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3547b84747be1fe0/Desktop/lakshay/EXCEL/Excel Project/"/>
    </mc:Choice>
  </mc:AlternateContent>
  <xr:revisionPtr revIDLastSave="16" documentId="8_{89C288D5-7D47-48C3-8BB8-1B7593EA2541}" xr6:coauthVersionLast="47" xr6:coauthVersionMax="47" xr10:uidLastSave="{D2C41196-8DE3-489C-B108-811C84C13C9E}"/>
  <bookViews>
    <workbookView xWindow="-108" yWindow="-108" windowWidth="23256" windowHeight="12456" firstSheet="1" activeTab="1" xr2:uid="{2A2018ED-6CEE-4E8D-AD16-CFB684C75818}"/>
  </bookViews>
  <sheets>
    <sheet name="Detail2" sheetId="11" state="hidden" r:id="rId1"/>
    <sheet name="Dashboard" sheetId="13" r:id="rId2"/>
    <sheet name="Detail1" sheetId="10" state="hidden" r:id="rId3"/>
    <sheet name="Analysis" sheetId="7" r:id="rId4"/>
    <sheet name="Detail3" sheetId="12" state="hidden" r:id="rId5"/>
    <sheet name="Pivot_Analysis" sheetId="8" r:id="rId6"/>
    <sheet name="Orders" sheetId="3" r:id="rId7"/>
    <sheet name="Products" sheetId="4" r:id="rId8"/>
    <sheet name="State" sheetId="1" r:id="rId9"/>
    <sheet name="Market" sheetId="5" r:id="rId10"/>
    <sheet name="Dropdown Lists" sheetId="6" r:id="rId11"/>
  </sheets>
  <definedNames>
    <definedName name="Ad_Month">Market!$A$2:$A$553</definedName>
    <definedName name="Ad_Region">Market!$D$2:$D$553</definedName>
    <definedName name="Ad_Spend">Market!$F$2:$F$553</definedName>
    <definedName name="Ad_State">Market!$B$2:$B$553</definedName>
    <definedName name="Ad_State_Code">Market!$C$2:$C$553</definedName>
    <definedName name="Ad_Year">Market!$E$2:$E$553</definedName>
    <definedName name="Category">Orders!$O$2:$O$4834</definedName>
    <definedName name="cCat">Analysis!$B$7</definedName>
    <definedName name="cChannel">Analysis!$B$6</definedName>
    <definedName name="City">Orders!$K$2:$K$4834</definedName>
    <definedName name="COGS">Orders!$W$2:$W$4834</definedName>
    <definedName name="cRegion">Analysis!$B$5</definedName>
    <definedName name="Customer_ID">Orders!$F$2:$F$4834</definedName>
    <definedName name="Customer_Rating">Orders!$AE$2:$AE$4834</definedName>
    <definedName name="Customer_Type">Orders!$G$2:$G$4834</definedName>
    <definedName name="cYear">Analysis!$B$4</definedName>
    <definedName name="Delivery_Date">Orders!$AB$2:$AB$4834</definedName>
    <definedName name="Delivery_Days">Orders!$AC$2:$AC$4834</definedName>
    <definedName name="Delivery_Speed">Orders!$AD$2:$AD$4834</definedName>
    <definedName name="Discount_Amount">Orders!$T$2:$T$4834</definedName>
    <definedName name="Discount_Clean2">Orders!$R$2:$R$4834</definedName>
    <definedName name="ExternalData_1" localSheetId="6" hidden="1">Orders!$A$1:$AF$4834</definedName>
    <definedName name="ExternalData_1" localSheetId="7" hidden="1">Products!$A$1:$E$31</definedName>
    <definedName name="ExternalData_1" localSheetId="8" hidden="1">State!$A$1:$C$24</definedName>
    <definedName name="Gross_Sale">Orders!$S$2:$S$4834</definedName>
    <definedName name="Margin">Orders!$Z$2:$Z$4834</definedName>
    <definedName name="Month">Orders!$D$2:$D$4834</definedName>
    <definedName name="Month_No">Orders!$E$2:$E$4834</definedName>
    <definedName name="Net_Revenue">Orders!$U$2:$U$4834</definedName>
    <definedName name="Order_Date">Orders!$B$2:$B$4834</definedName>
    <definedName name="Order_ID">Orders!$A$2:$A$4834</definedName>
    <definedName name="Payment_Method">Orders!$AA$2:$AA$4834</definedName>
    <definedName name="Product_ID">Orders!$M$2:$M$4834</definedName>
    <definedName name="Product_Name">Orders!$N$2:$N$4834</definedName>
    <definedName name="Profit">Orders!$Y$2:$Y$4834</definedName>
    <definedName name="Quantity">Orders!$P$2:$P$4834</definedName>
    <definedName name="Region">Orders!$J$2:$J$4834</definedName>
    <definedName name="Returned">Orders!$AF$2:$AF$4834</definedName>
    <definedName name="Sales_Channel">Orders!$L$2:$L$4834</definedName>
    <definedName name="selCategory">Dashboard!$P$5</definedName>
    <definedName name="selChannel">Dashboard!$L$5</definedName>
    <definedName name="selMetric">Dashboard!$T$5</definedName>
    <definedName name="selRegion">Dashboard!$H$5</definedName>
    <definedName name="selTopN">Dashboard!$X$5</definedName>
    <definedName name="selYear">Dashboard!$D$5</definedName>
    <definedName name="Shipping_Cost">Orders!$X$2:$X$4834</definedName>
    <definedName name="Slicer_Category">#N/A</definedName>
    <definedName name="Slicer_Region">#N/A</definedName>
    <definedName name="Slicer_Sales_Channel">#N/A</definedName>
    <definedName name="State">Orders!$H$2:$H$4834</definedName>
    <definedName name="State_Code">Orders!$I$2:$I$4834</definedName>
    <definedName name="Unit_Cost">Orders!$V$2:$V$4834</definedName>
    <definedName name="Unit_Price">Orders!$Q$2:$Q$4834</definedName>
    <definedName name="Year">Orders!$C$2:$C$4834</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Export_9395d5db-53a4-4fe3-aefe-1ddd1e495823" name="Orders_Export" connection="Query - Orders_Export"/>
          <x15:modelTable id="Products_f19d4fe6-1fd7-48a6-a34a-a532e7b64d09" name="Products" connection="Query - Products"/>
          <x15:modelTable id="State_Region_52be04a3-689e-48f8-88ec-515fce9cf05f" name="State_Region" connection="Query - State_Region"/>
          <x15:modelTable id="Marketing_Spend_30b2f501-41ab-4754-8987-53a8e9993edc" name="Marketing_Spend" connection="Query - Marketing_Spend"/>
        </x15:modelTables>
      </x15:dataModel>
    </ext>
  </extLst>
</workbook>
</file>

<file path=xl/calcChain.xml><?xml version="1.0" encoding="utf-8"?>
<calcChain xmlns="http://schemas.openxmlformats.org/spreadsheetml/2006/main">
  <c r="B149" i="7" l="1"/>
  <c r="B148" i="7"/>
  <c r="B147" i="7"/>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D2502" i="3"/>
  <c r="AD2503" i="3"/>
  <c r="AD2504" i="3"/>
  <c r="AD2505" i="3"/>
  <c r="AD2506" i="3"/>
  <c r="AD2507" i="3"/>
  <c r="AD2508" i="3"/>
  <c r="AD2509" i="3"/>
  <c r="AD2510" i="3"/>
  <c r="AD2511" i="3"/>
  <c r="AD2512" i="3"/>
  <c r="AD2513" i="3"/>
  <c r="AD2514" i="3"/>
  <c r="AD2515" i="3"/>
  <c r="AD2516" i="3"/>
  <c r="AD2517" i="3"/>
  <c r="AD2518" i="3"/>
  <c r="AD2519" i="3"/>
  <c r="AD2520" i="3"/>
  <c r="AD2521" i="3"/>
  <c r="AD2522" i="3"/>
  <c r="AD2523" i="3"/>
  <c r="AD2524" i="3"/>
  <c r="AD2525" i="3"/>
  <c r="AD2526" i="3"/>
  <c r="AD2527" i="3"/>
  <c r="AD2528" i="3"/>
  <c r="AD2529" i="3"/>
  <c r="AD2530" i="3"/>
  <c r="AD2531" i="3"/>
  <c r="AD2532" i="3"/>
  <c r="AD2533" i="3"/>
  <c r="AD2534" i="3"/>
  <c r="AD2535" i="3"/>
  <c r="AD2536" i="3"/>
  <c r="AD2537" i="3"/>
  <c r="AD2538" i="3"/>
  <c r="AD2539" i="3"/>
  <c r="AD2540" i="3"/>
  <c r="AD2541" i="3"/>
  <c r="AD2542" i="3"/>
  <c r="AD2543" i="3"/>
  <c r="AD2544" i="3"/>
  <c r="AD2545" i="3"/>
  <c r="AD2546" i="3"/>
  <c r="AD2547" i="3"/>
  <c r="AD2548" i="3"/>
  <c r="AD2549" i="3"/>
  <c r="AD2550" i="3"/>
  <c r="AD2551" i="3"/>
  <c r="AD2552" i="3"/>
  <c r="AD2553" i="3"/>
  <c r="AD2554" i="3"/>
  <c r="AD2555" i="3"/>
  <c r="AD2556" i="3"/>
  <c r="AD2557" i="3"/>
  <c r="AD2558" i="3"/>
  <c r="AD2559" i="3"/>
  <c r="AD2560" i="3"/>
  <c r="AD2561" i="3"/>
  <c r="AD2562" i="3"/>
  <c r="AD2563" i="3"/>
  <c r="AD2564" i="3"/>
  <c r="AD2565" i="3"/>
  <c r="AD2566" i="3"/>
  <c r="AD2567" i="3"/>
  <c r="AD2568" i="3"/>
  <c r="AD2569" i="3"/>
  <c r="AD2570" i="3"/>
  <c r="AD2571" i="3"/>
  <c r="AD2572" i="3"/>
  <c r="AD2573" i="3"/>
  <c r="AD2574" i="3"/>
  <c r="AD2575" i="3"/>
  <c r="AD2576" i="3"/>
  <c r="AD2577" i="3"/>
  <c r="AD2578" i="3"/>
  <c r="AD2579" i="3"/>
  <c r="AD2580" i="3"/>
  <c r="AD2581" i="3"/>
  <c r="AD2582" i="3"/>
  <c r="AD2583" i="3"/>
  <c r="AD2584" i="3"/>
  <c r="AD2585" i="3"/>
  <c r="AD2586" i="3"/>
  <c r="AD2587" i="3"/>
  <c r="AD2588" i="3"/>
  <c r="AD2589" i="3"/>
  <c r="AD2590" i="3"/>
  <c r="AD2591" i="3"/>
  <c r="AD2592" i="3"/>
  <c r="AD2593" i="3"/>
  <c r="AD2594" i="3"/>
  <c r="AD2595" i="3"/>
  <c r="AD2596" i="3"/>
  <c r="AD2597" i="3"/>
  <c r="AD2598" i="3"/>
  <c r="AD2599" i="3"/>
  <c r="AD2600" i="3"/>
  <c r="AD2601" i="3"/>
  <c r="AD2602" i="3"/>
  <c r="AD2603" i="3"/>
  <c r="AD2604" i="3"/>
  <c r="AD2605" i="3"/>
  <c r="AD2606" i="3"/>
  <c r="AD2607" i="3"/>
  <c r="AD2608" i="3"/>
  <c r="AD2609" i="3"/>
  <c r="AD2610" i="3"/>
  <c r="AD2611" i="3"/>
  <c r="AD2612" i="3"/>
  <c r="AD2613" i="3"/>
  <c r="AD2614" i="3"/>
  <c r="AD2615" i="3"/>
  <c r="AD2616" i="3"/>
  <c r="AD2617" i="3"/>
  <c r="AD2618" i="3"/>
  <c r="AD2619" i="3"/>
  <c r="AD2620" i="3"/>
  <c r="AD2621" i="3"/>
  <c r="AD2622" i="3"/>
  <c r="AD2623" i="3"/>
  <c r="AD2624" i="3"/>
  <c r="AD2625" i="3"/>
  <c r="AD2626" i="3"/>
  <c r="AD2627" i="3"/>
  <c r="AD2628" i="3"/>
  <c r="AD2629" i="3"/>
  <c r="AD2630" i="3"/>
  <c r="AD2631" i="3"/>
  <c r="AD2632" i="3"/>
  <c r="AD2633" i="3"/>
  <c r="AD2634" i="3"/>
  <c r="AD2635" i="3"/>
  <c r="AD2636" i="3"/>
  <c r="AD2637" i="3"/>
  <c r="AD2638" i="3"/>
  <c r="AD2639" i="3"/>
  <c r="AD2640" i="3"/>
  <c r="AD2641" i="3"/>
  <c r="AD2642" i="3"/>
  <c r="AD2643" i="3"/>
  <c r="AD2644" i="3"/>
  <c r="AD2645" i="3"/>
  <c r="AD2646" i="3"/>
  <c r="AD2647" i="3"/>
  <c r="AD2648" i="3"/>
  <c r="AD2649" i="3"/>
  <c r="AD2650" i="3"/>
  <c r="AD2651" i="3"/>
  <c r="AD2652" i="3"/>
  <c r="AD2653" i="3"/>
  <c r="AD2654" i="3"/>
  <c r="AD2655" i="3"/>
  <c r="AD2656" i="3"/>
  <c r="AD2657" i="3"/>
  <c r="AD2658" i="3"/>
  <c r="AD2659" i="3"/>
  <c r="AD2660" i="3"/>
  <c r="AD2661" i="3"/>
  <c r="AD2662" i="3"/>
  <c r="AD2663" i="3"/>
  <c r="AD2664" i="3"/>
  <c r="AD2665" i="3"/>
  <c r="AD2666" i="3"/>
  <c r="AD2667" i="3"/>
  <c r="AD2668" i="3"/>
  <c r="AD2669" i="3"/>
  <c r="AD2670" i="3"/>
  <c r="AD2671" i="3"/>
  <c r="AD2672" i="3"/>
  <c r="AD2673" i="3"/>
  <c r="AD2674" i="3"/>
  <c r="AD2675" i="3"/>
  <c r="AD2676" i="3"/>
  <c r="AD2677" i="3"/>
  <c r="AD2678" i="3"/>
  <c r="AD2679" i="3"/>
  <c r="AD2680" i="3"/>
  <c r="AD2681" i="3"/>
  <c r="AD2682" i="3"/>
  <c r="AD2683" i="3"/>
  <c r="AD2684" i="3"/>
  <c r="AD2685" i="3"/>
  <c r="AD2686" i="3"/>
  <c r="AD2687" i="3"/>
  <c r="AD2688" i="3"/>
  <c r="AD2689" i="3"/>
  <c r="AD2690" i="3"/>
  <c r="AD2691" i="3"/>
  <c r="AD2692" i="3"/>
  <c r="AD2693" i="3"/>
  <c r="AD2694" i="3"/>
  <c r="AD2695" i="3"/>
  <c r="AD2696" i="3"/>
  <c r="AD2697" i="3"/>
  <c r="AD2698" i="3"/>
  <c r="AD2699" i="3"/>
  <c r="AD2700" i="3"/>
  <c r="AD2701" i="3"/>
  <c r="AD2702" i="3"/>
  <c r="AD2703" i="3"/>
  <c r="AD2704" i="3"/>
  <c r="AD2705" i="3"/>
  <c r="AD2706" i="3"/>
  <c r="AD2707" i="3"/>
  <c r="AD2708" i="3"/>
  <c r="AD2709" i="3"/>
  <c r="AD2710" i="3"/>
  <c r="AD2711" i="3"/>
  <c r="AD2712" i="3"/>
  <c r="AD2713" i="3"/>
  <c r="AD2714" i="3"/>
  <c r="AD2715" i="3"/>
  <c r="AD2716" i="3"/>
  <c r="AD2717" i="3"/>
  <c r="AD2718" i="3"/>
  <c r="AD2719" i="3"/>
  <c r="AD2720" i="3"/>
  <c r="AD2721" i="3"/>
  <c r="AD2722" i="3"/>
  <c r="AD2723" i="3"/>
  <c r="AD2724"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49" i="3"/>
  <c r="AD2750" i="3"/>
  <c r="AD2751" i="3"/>
  <c r="AD2752" i="3"/>
  <c r="AD2753" i="3"/>
  <c r="AD2754" i="3"/>
  <c r="AD2755" i="3"/>
  <c r="AD2756" i="3"/>
  <c r="AD2757" i="3"/>
  <c r="AD2758" i="3"/>
  <c r="AD2759" i="3"/>
  <c r="AD2760" i="3"/>
  <c r="AD2761" i="3"/>
  <c r="AD2762" i="3"/>
  <c r="AD2763" i="3"/>
  <c r="AD2764" i="3"/>
  <c r="AD2765" i="3"/>
  <c r="AD2766" i="3"/>
  <c r="AD2767" i="3"/>
  <c r="AD2768" i="3"/>
  <c r="AD2769" i="3"/>
  <c r="AD2770" i="3"/>
  <c r="AD2771" i="3"/>
  <c r="AD2772" i="3"/>
  <c r="AD2773" i="3"/>
  <c r="AD2774" i="3"/>
  <c r="AD2775" i="3"/>
  <c r="AD2776" i="3"/>
  <c r="AD2777" i="3"/>
  <c r="AD2778" i="3"/>
  <c r="AD2779" i="3"/>
  <c r="AD2780" i="3"/>
  <c r="AD2781" i="3"/>
  <c r="AD2782" i="3"/>
  <c r="AD2783" i="3"/>
  <c r="AD2784" i="3"/>
  <c r="AD2785" i="3"/>
  <c r="AD2786" i="3"/>
  <c r="AD2787" i="3"/>
  <c r="AD2788" i="3"/>
  <c r="AD2789" i="3"/>
  <c r="AD2790" i="3"/>
  <c r="AD2791" i="3"/>
  <c r="AD2792" i="3"/>
  <c r="AD2793" i="3"/>
  <c r="AD2794" i="3"/>
  <c r="AD2795" i="3"/>
  <c r="AD2796" i="3"/>
  <c r="AD2797" i="3"/>
  <c r="AD2798" i="3"/>
  <c r="AD2799" i="3"/>
  <c r="AD2800" i="3"/>
  <c r="AD2801" i="3"/>
  <c r="AD2802" i="3"/>
  <c r="AD2803" i="3"/>
  <c r="AD2804" i="3"/>
  <c r="AD2805" i="3"/>
  <c r="AD2806"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2" i="5"/>
  <c r="C144" i="7"/>
  <c r="C143" i="7"/>
  <c r="C142" i="7"/>
  <c r="C141" i="7"/>
  <c r="C140" i="7"/>
  <c r="C139" i="7"/>
  <c r="C138" i="7"/>
  <c r="C137" i="7"/>
  <c r="C136" i="7"/>
  <c r="C135" i="7"/>
  <c r="C134" i="7"/>
  <c r="C133" i="7"/>
  <c r="C132" i="7"/>
  <c r="C131" i="7"/>
  <c r="C130" i="7"/>
  <c r="C129" i="7"/>
  <c r="C128" i="7"/>
  <c r="C127" i="7"/>
  <c r="C126" i="7"/>
  <c r="C125" i="7"/>
  <c r="C124" i="7"/>
  <c r="C123" i="7"/>
  <c r="C122" i="7"/>
  <c r="B50" i="13"/>
  <c r="T103" i="13"/>
  <c r="S103" i="13"/>
  <c r="R103" i="13"/>
  <c r="Q104" i="13"/>
  <c r="Q105" i="13"/>
  <c r="Q106" i="13"/>
  <c r="Q107" i="13"/>
  <c r="Q108" i="13"/>
  <c r="Q103" i="13"/>
  <c r="G18" i="7"/>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A28" i="7"/>
  <c r="A29" i="7"/>
  <c r="A30" i="7"/>
  <c r="A31" i="7"/>
  <c r="A32" i="7"/>
  <c r="A33" i="7"/>
  <c r="A34" i="7"/>
  <c r="A35" i="7"/>
  <c r="A36" i="7"/>
  <c r="A37" i="7"/>
  <c r="A38" i="7"/>
  <c r="A39" i="7"/>
  <c r="A40" i="7"/>
  <c r="A41" i="7"/>
  <c r="A42" i="7"/>
  <c r="A43" i="7"/>
  <c r="A44" i="7"/>
  <c r="A45" i="7"/>
  <c r="A46" i="7"/>
  <c r="A47" i="7"/>
  <c r="A48" i="7"/>
  <c r="A49" i="7"/>
  <c r="A27" i="7"/>
  <c r="A26" i="7"/>
  <c r="B7" i="7"/>
  <c r="B6" i="7"/>
  <c r="B5" i="7"/>
  <c r="B4" i="7"/>
  <c r="C16" i="3"/>
  <c r="C43" i="3"/>
  <c r="C56" i="3"/>
  <c r="C129" i="3"/>
  <c r="C174" i="3"/>
  <c r="C183" i="3"/>
  <c r="C202" i="3"/>
  <c r="C207" i="3"/>
  <c r="C215" i="3"/>
  <c r="C237" i="3"/>
  <c r="C250" i="3"/>
  <c r="C278" i="3"/>
  <c r="C285" i="3"/>
  <c r="C337" i="3"/>
  <c r="C343" i="3"/>
  <c r="C358" i="3"/>
  <c r="C389" i="3"/>
  <c r="C409" i="3"/>
  <c r="C491" i="3"/>
  <c r="C494" i="3"/>
  <c r="C500" i="3"/>
  <c r="C529" i="3"/>
  <c r="C531" i="3"/>
  <c r="C581" i="3"/>
  <c r="C593" i="3"/>
  <c r="C772" i="3"/>
  <c r="C794" i="3"/>
  <c r="C797" i="3"/>
  <c r="C803" i="3"/>
  <c r="C807" i="3"/>
  <c r="C821" i="3"/>
  <c r="C854" i="3"/>
  <c r="C877" i="3"/>
  <c r="C892" i="3"/>
  <c r="C905" i="3"/>
  <c r="C910" i="3"/>
  <c r="C920" i="3"/>
  <c r="C927" i="3"/>
  <c r="C928" i="3"/>
  <c r="C941" i="3"/>
  <c r="C992" i="3"/>
  <c r="C1010" i="3"/>
  <c r="C1052" i="3"/>
  <c r="C1053" i="3"/>
  <c r="C1093" i="3"/>
  <c r="C1101" i="3"/>
  <c r="C1128" i="3"/>
  <c r="C1135" i="3"/>
  <c r="C1245" i="3"/>
  <c r="C1301" i="3"/>
  <c r="C1324" i="3"/>
  <c r="C1349" i="3"/>
  <c r="C1362" i="3"/>
  <c r="C1411" i="3"/>
  <c r="C1425" i="3"/>
  <c r="C1426" i="3"/>
  <c r="C1433" i="3"/>
  <c r="C1444" i="3"/>
  <c r="C1556" i="3"/>
  <c r="C1569" i="3"/>
  <c r="C1629" i="3"/>
  <c r="C1639" i="3"/>
  <c r="C1664" i="3"/>
  <c r="C1713" i="3"/>
  <c r="C1748" i="3"/>
  <c r="C1774" i="3"/>
  <c r="C1784" i="3"/>
  <c r="C1813" i="3"/>
  <c r="C1820" i="3"/>
  <c r="C1838" i="3"/>
  <c r="C1963" i="3"/>
  <c r="C1973" i="3"/>
  <c r="C2000" i="3"/>
  <c r="C2054" i="3"/>
  <c r="C2068" i="3"/>
  <c r="C2101" i="3"/>
  <c r="C2122" i="3"/>
  <c r="C2160" i="3"/>
  <c r="C2233" i="3"/>
  <c r="C2234" i="3"/>
  <c r="C2298" i="3"/>
  <c r="C2332" i="3"/>
  <c r="C2427" i="3"/>
  <c r="C2565" i="3"/>
  <c r="C2586" i="3"/>
  <c r="C2608" i="3"/>
  <c r="C2625" i="3"/>
  <c r="C2641" i="3"/>
  <c r="C2666" i="3"/>
  <c r="C2667" i="3"/>
  <c r="C2691" i="3"/>
  <c r="C2694" i="3"/>
  <c r="C2705" i="3"/>
  <c r="C2720" i="3"/>
  <c r="C2729" i="3"/>
  <c r="C2737" i="3"/>
  <c r="C2738" i="3"/>
  <c r="C2765" i="3"/>
  <c r="C2772" i="3"/>
  <c r="C2779" i="3"/>
  <c r="C2797" i="3"/>
  <c r="C2829" i="3"/>
  <c r="C2834" i="3"/>
  <c r="C2869" i="3"/>
  <c r="C2876" i="3"/>
  <c r="C2896" i="3"/>
  <c r="C2945" i="3"/>
  <c r="C2955" i="3"/>
  <c r="C2998" i="3"/>
  <c r="C3025" i="3"/>
  <c r="C3057" i="3"/>
  <c r="C3089" i="3"/>
  <c r="C3106" i="3"/>
  <c r="C3136" i="3"/>
  <c r="C3189" i="3"/>
  <c r="C3195" i="3"/>
  <c r="C3236" i="3"/>
  <c r="C3267" i="3"/>
  <c r="C3427" i="3"/>
  <c r="C3431" i="3"/>
  <c r="C3460" i="3"/>
  <c r="C3472" i="3"/>
  <c r="C3494" i="3"/>
  <c r="C3502" i="3"/>
  <c r="C3621" i="3"/>
  <c r="C3625" i="3"/>
  <c r="C3638" i="3"/>
  <c r="C3653" i="3"/>
  <c r="C3675" i="3"/>
  <c r="C3695" i="3"/>
  <c r="C3711" i="3"/>
  <c r="C3747" i="3"/>
  <c r="C3796" i="3"/>
  <c r="C3814" i="3"/>
  <c r="C3833" i="3"/>
  <c r="C3841" i="3"/>
  <c r="C3849" i="3"/>
  <c r="C3871" i="3"/>
  <c r="C3961" i="3"/>
  <c r="C3973" i="3"/>
  <c r="C3988" i="3"/>
  <c r="C4088" i="3"/>
  <c r="C4092" i="3"/>
  <c r="C4153" i="3"/>
  <c r="C4188" i="3"/>
  <c r="C4237" i="3"/>
  <c r="C4356" i="3"/>
  <c r="C4385" i="3"/>
  <c r="C4407" i="3"/>
  <c r="C4411" i="3"/>
  <c r="C4422" i="3"/>
  <c r="C4425" i="3"/>
  <c r="C4429" i="3"/>
  <c r="C4447" i="3"/>
  <c r="C4448" i="3"/>
  <c r="C4488" i="3"/>
  <c r="C4537" i="3"/>
  <c r="C4563" i="3"/>
  <c r="C4616" i="3"/>
  <c r="C4658" i="3"/>
  <c r="C4669" i="3"/>
  <c r="C4735" i="3"/>
  <c r="C4738" i="3"/>
  <c r="C4793" i="3"/>
  <c r="C4810" i="3"/>
  <c r="C4819" i="3"/>
  <c r="C27" i="3"/>
  <c r="C31" i="3"/>
  <c r="C144" i="3"/>
  <c r="C156" i="3"/>
  <c r="C179" i="3"/>
  <c r="C282" i="3"/>
  <c r="C284" i="3"/>
  <c r="C341" i="3"/>
  <c r="C344" i="3"/>
  <c r="C360" i="3"/>
  <c r="C406" i="3"/>
  <c r="C432" i="3"/>
  <c r="C439" i="3"/>
  <c r="C441" i="3"/>
  <c r="C456" i="3"/>
  <c r="C498" i="3"/>
  <c r="C502" i="3"/>
  <c r="C514" i="3"/>
  <c r="C590" i="3"/>
  <c r="C599" i="3"/>
  <c r="C619" i="3"/>
  <c r="C621" i="3"/>
  <c r="C681" i="3"/>
  <c r="C692" i="3"/>
  <c r="C727" i="3"/>
  <c r="C731" i="3"/>
  <c r="C732" i="3"/>
  <c r="C733" i="3"/>
  <c r="C783" i="3"/>
  <c r="C800" i="3"/>
  <c r="C862" i="3"/>
  <c r="C878" i="3"/>
  <c r="C898" i="3"/>
  <c r="C999" i="3"/>
  <c r="C1028" i="3"/>
  <c r="C1041" i="3"/>
  <c r="C1072" i="3"/>
  <c r="C1113" i="3"/>
  <c r="C1167" i="3"/>
  <c r="C1171" i="3"/>
  <c r="C1180" i="3"/>
  <c r="C1224" i="3"/>
  <c r="C1265" i="3"/>
  <c r="C1275" i="3"/>
  <c r="C1346" i="3"/>
  <c r="C1360" i="3"/>
  <c r="C1369" i="3"/>
  <c r="C1420" i="3"/>
  <c r="C1481" i="3"/>
  <c r="C1492" i="3"/>
  <c r="C1678" i="3"/>
  <c r="C1717" i="3"/>
  <c r="C1719" i="3"/>
  <c r="C1733" i="3"/>
  <c r="C1736" i="3"/>
  <c r="C1750" i="3"/>
  <c r="C1764" i="3"/>
  <c r="C1893" i="3"/>
  <c r="C1942" i="3"/>
  <c r="C1984" i="3"/>
  <c r="C1998" i="3"/>
  <c r="C2061" i="3"/>
  <c r="C2102" i="3"/>
  <c r="C2123" i="3"/>
  <c r="C2133" i="3"/>
  <c r="C2168" i="3"/>
  <c r="C2179" i="3"/>
  <c r="C2227" i="3"/>
  <c r="C2252" i="3"/>
  <c r="C2261" i="3"/>
  <c r="C2265" i="3"/>
  <c r="C2282" i="3"/>
  <c r="C2296" i="3"/>
  <c r="C2303" i="3"/>
  <c r="C2320" i="3"/>
  <c r="C2323" i="3"/>
  <c r="C2360" i="3"/>
  <c r="C2393" i="3"/>
  <c r="C2420" i="3"/>
  <c r="C2426" i="3"/>
  <c r="C2461" i="3"/>
  <c r="C2546" i="3"/>
  <c r="C2573" i="3"/>
  <c r="C2644" i="3"/>
  <c r="C2653" i="3"/>
  <c r="C2680" i="3"/>
  <c r="C2687" i="3"/>
  <c r="C2721" i="3"/>
  <c r="C2722" i="3"/>
  <c r="C2727" i="3"/>
  <c r="C2730" i="3"/>
  <c r="C2798" i="3"/>
  <c r="C2813" i="3"/>
  <c r="C2816" i="3"/>
  <c r="C2831" i="3"/>
  <c r="C2948" i="3"/>
  <c r="C2974" i="3"/>
  <c r="C3072" i="3"/>
  <c r="C3105" i="3"/>
  <c r="C3121" i="3"/>
  <c r="C3124" i="3"/>
  <c r="C3140" i="3"/>
  <c r="C3193" i="3"/>
  <c r="C3247" i="3"/>
  <c r="C3380" i="3"/>
  <c r="C3404" i="3"/>
  <c r="C3416" i="3"/>
  <c r="C3438" i="3"/>
  <c r="C3480" i="3"/>
  <c r="C3490" i="3"/>
  <c r="C3533" i="3"/>
  <c r="C3535" i="3"/>
  <c r="C3604" i="3"/>
  <c r="C3620" i="3"/>
  <c r="C3667" i="3"/>
  <c r="C3684" i="3"/>
  <c r="C3739" i="3"/>
  <c r="C3742" i="3"/>
  <c r="C3755" i="3"/>
  <c r="C3769" i="3"/>
  <c r="C3802" i="3"/>
  <c r="C3806" i="3"/>
  <c r="C3810" i="3"/>
  <c r="C3857" i="3"/>
  <c r="C3870" i="3"/>
  <c r="C3916" i="3"/>
  <c r="C3924" i="3"/>
  <c r="C3942" i="3"/>
  <c r="C3969" i="3"/>
  <c r="C3982" i="3"/>
  <c r="C4003" i="3"/>
  <c r="C4027" i="3"/>
  <c r="C4030" i="3"/>
  <c r="C4042" i="3"/>
  <c r="C4098" i="3"/>
  <c r="C4104" i="3"/>
  <c r="C4106" i="3"/>
  <c r="C4114" i="3"/>
  <c r="C4117" i="3"/>
  <c r="C4149" i="3"/>
  <c r="C4150" i="3"/>
  <c r="C4152" i="3"/>
  <c r="C4298" i="3"/>
  <c r="C4308" i="3"/>
  <c r="C4321" i="3"/>
  <c r="C4390" i="3"/>
  <c r="C4403" i="3"/>
  <c r="C4520" i="3"/>
  <c r="C4531" i="3"/>
  <c r="C4643" i="3"/>
  <c r="C4717" i="3"/>
  <c r="C4751" i="3"/>
  <c r="C4772" i="3"/>
  <c r="C4779" i="3"/>
  <c r="C4796" i="3"/>
  <c r="C4820" i="3"/>
  <c r="C133" i="3"/>
  <c r="C141" i="3"/>
  <c r="C143" i="3"/>
  <c r="C288" i="3"/>
  <c r="C291" i="3"/>
  <c r="C375" i="3"/>
  <c r="C524" i="3"/>
  <c r="C527" i="3"/>
  <c r="C528" i="3"/>
  <c r="C657" i="3"/>
  <c r="C688" i="3"/>
  <c r="C715" i="3"/>
  <c r="C740" i="3"/>
  <c r="C801" i="3"/>
  <c r="C853" i="3"/>
  <c r="C946" i="3"/>
  <c r="C955" i="3"/>
  <c r="C1020" i="3"/>
  <c r="C1039" i="3"/>
  <c r="C1067" i="3"/>
  <c r="C1107" i="3"/>
  <c r="C1138" i="3"/>
  <c r="C1140" i="3"/>
  <c r="C1147" i="3"/>
  <c r="C1256" i="3"/>
  <c r="C1257" i="3"/>
  <c r="C1264" i="3"/>
  <c r="C1298" i="3"/>
  <c r="C1312" i="3"/>
  <c r="C1441" i="3"/>
  <c r="C1568" i="3"/>
  <c r="C1648" i="3"/>
  <c r="C1651" i="3"/>
  <c r="C1689" i="3"/>
  <c r="C1696" i="3"/>
  <c r="C1697" i="3"/>
  <c r="C1780" i="3"/>
  <c r="C1920" i="3"/>
  <c r="C1947" i="3"/>
  <c r="C1996" i="3"/>
  <c r="C2105" i="3"/>
  <c r="C2127" i="3"/>
  <c r="C2193" i="3"/>
  <c r="C2242" i="3"/>
  <c r="C2258" i="3"/>
  <c r="C2274" i="3"/>
  <c r="C2353" i="3"/>
  <c r="C2375" i="3"/>
  <c r="C2384" i="3"/>
  <c r="C2396" i="3"/>
  <c r="C2575" i="3"/>
  <c r="C2588" i="3"/>
  <c r="C2618" i="3"/>
  <c r="C2761" i="3"/>
  <c r="C2830" i="3"/>
  <c r="C2897" i="3"/>
  <c r="C3094" i="3"/>
  <c r="C3111" i="3"/>
  <c r="C3156" i="3"/>
  <c r="C3187" i="3"/>
  <c r="C3269" i="3"/>
  <c r="C3282" i="3"/>
  <c r="C3285" i="3"/>
  <c r="C3288" i="3"/>
  <c r="C3363" i="3"/>
  <c r="C3364" i="3"/>
  <c r="C3374" i="3"/>
  <c r="C3424" i="3"/>
  <c r="C3452" i="3"/>
  <c r="C3474" i="3"/>
  <c r="C3514" i="3"/>
  <c r="C3691" i="3"/>
  <c r="C3751" i="3"/>
  <c r="C3757" i="3"/>
  <c r="C3758" i="3"/>
  <c r="C3913" i="3"/>
  <c r="C3931" i="3"/>
  <c r="C3968" i="3"/>
  <c r="C3980" i="3"/>
  <c r="C4039" i="3"/>
  <c r="C4103" i="3"/>
  <c r="C4108" i="3"/>
  <c r="C4113" i="3"/>
  <c r="C4195" i="3"/>
  <c r="C4252" i="3"/>
  <c r="C4397" i="3"/>
  <c r="C4517" i="3"/>
  <c r="C4609" i="3"/>
  <c r="C4696" i="3"/>
  <c r="C4834" i="3"/>
  <c r="C53" i="3"/>
  <c r="C90" i="3"/>
  <c r="C123" i="3"/>
  <c r="C152" i="3"/>
  <c r="C182" i="3"/>
  <c r="C244" i="3"/>
  <c r="C429" i="3"/>
  <c r="C512" i="3"/>
  <c r="C607" i="3"/>
  <c r="C636" i="3"/>
  <c r="C717" i="3"/>
  <c r="C720" i="3"/>
  <c r="C739" i="3"/>
  <c r="C747" i="3"/>
  <c r="C923" i="3"/>
  <c r="C931" i="3"/>
  <c r="C993" i="3"/>
  <c r="C1019" i="3"/>
  <c r="C1159" i="3"/>
  <c r="C1162" i="3"/>
  <c r="C1319" i="3"/>
  <c r="C1341" i="3"/>
  <c r="C1354" i="3"/>
  <c r="C1358" i="3"/>
  <c r="C1376" i="3"/>
  <c r="C1445" i="3"/>
  <c r="C1533" i="3"/>
  <c r="C1539" i="3"/>
  <c r="C1561" i="3"/>
  <c r="C1615" i="3"/>
  <c r="C1834" i="3"/>
  <c r="C1859" i="3"/>
  <c r="C1927" i="3"/>
  <c r="C1939" i="3"/>
  <c r="C1945" i="3"/>
  <c r="C2027" i="3"/>
  <c r="C2089" i="3"/>
  <c r="C2108" i="3"/>
  <c r="C2159" i="3"/>
  <c r="C2163" i="3"/>
  <c r="C2171" i="3"/>
  <c r="C2250" i="3"/>
  <c r="C2472" i="3"/>
  <c r="C2518" i="3"/>
  <c r="C2614" i="3"/>
  <c r="C2640" i="3"/>
  <c r="C2651" i="3"/>
  <c r="C2717" i="3"/>
  <c r="C2723" i="3"/>
  <c r="C2863" i="3"/>
  <c r="C2868" i="3"/>
  <c r="C2950" i="3"/>
  <c r="C2992" i="3"/>
  <c r="C2997" i="3"/>
  <c r="C3061" i="3"/>
  <c r="C3064" i="3"/>
  <c r="C3075" i="3"/>
  <c r="C3102" i="3"/>
  <c r="C3119" i="3"/>
  <c r="C3133" i="3"/>
  <c r="C3208" i="3"/>
  <c r="C3214" i="3"/>
  <c r="C3321" i="3"/>
  <c r="C3397" i="3"/>
  <c r="C3590" i="3"/>
  <c r="C3687" i="3"/>
  <c r="C3698" i="3"/>
  <c r="C3726" i="3"/>
  <c r="C3738" i="3"/>
  <c r="C3762" i="3"/>
  <c r="C3800" i="3"/>
  <c r="C3858" i="3"/>
  <c r="C3914" i="3"/>
  <c r="C4019" i="3"/>
  <c r="C4105" i="3"/>
  <c r="C4192" i="3"/>
  <c r="C4229" i="3"/>
  <c r="C4262" i="3"/>
  <c r="C4303" i="3"/>
  <c r="C4393" i="3"/>
  <c r="C4440" i="3"/>
  <c r="C4727" i="3"/>
  <c r="C41" i="3"/>
  <c r="C105" i="3"/>
  <c r="C107" i="3"/>
  <c r="C428" i="3"/>
  <c r="C1029" i="3"/>
  <c r="C1157" i="3"/>
  <c r="C1307" i="3"/>
  <c r="C1421" i="3"/>
  <c r="C1484" i="3"/>
  <c r="C1575" i="3"/>
  <c r="C1803" i="3"/>
  <c r="C1832" i="3"/>
  <c r="C1931" i="3"/>
  <c r="C1968" i="3"/>
  <c r="C1989" i="3"/>
  <c r="C2091" i="3"/>
  <c r="C2104" i="3"/>
  <c r="C2111" i="3"/>
  <c r="C2307" i="3"/>
  <c r="C2321" i="3"/>
  <c r="C2517" i="3"/>
  <c r="C2534" i="3"/>
  <c r="C2620" i="3"/>
  <c r="C2726" i="3"/>
  <c r="C2820" i="3"/>
  <c r="C2859" i="3"/>
  <c r="C2918" i="3"/>
  <c r="C2964" i="3"/>
  <c r="C3063" i="3"/>
  <c r="C3117" i="3"/>
  <c r="C3220" i="3"/>
  <c r="C3299" i="3"/>
  <c r="C3342" i="3"/>
  <c r="C3384" i="3"/>
  <c r="C3407" i="3"/>
  <c r="C3466" i="3"/>
  <c r="C3501" i="3"/>
  <c r="C3526" i="3"/>
  <c r="C3554" i="3"/>
  <c r="C3579" i="3"/>
  <c r="C3693" i="3"/>
  <c r="C3840" i="3"/>
  <c r="C3946" i="3"/>
  <c r="C4255" i="3"/>
  <c r="C4420" i="3"/>
  <c r="C4433" i="3"/>
  <c r="C4634" i="3"/>
  <c r="C198" i="3"/>
  <c r="C393" i="3"/>
  <c r="C397" i="3"/>
  <c r="C465" i="3"/>
  <c r="C499" i="3"/>
  <c r="C622" i="3"/>
  <c r="C752" i="3"/>
  <c r="C830" i="3"/>
  <c r="C884" i="3"/>
  <c r="C943" i="3"/>
  <c r="C1054" i="3"/>
  <c r="C1145" i="3"/>
  <c r="C1479" i="3"/>
  <c r="C1544" i="3"/>
  <c r="C1573" i="3"/>
  <c r="C1700" i="3"/>
  <c r="C1810" i="3"/>
  <c r="C2067" i="3"/>
  <c r="C2113" i="3"/>
  <c r="C2292" i="3"/>
  <c r="C2605" i="3"/>
  <c r="C2657" i="3"/>
  <c r="C2664" i="3"/>
  <c r="C2693" i="3"/>
  <c r="C2977" i="3"/>
  <c r="C3019" i="3"/>
  <c r="C3023" i="3"/>
  <c r="C3356" i="3"/>
  <c r="C3378" i="3"/>
  <c r="C3448" i="3"/>
  <c r="C3681" i="3"/>
  <c r="C3779" i="3"/>
  <c r="C3862" i="3"/>
  <c r="C3894" i="3"/>
  <c r="C3912" i="3"/>
  <c r="C3927" i="3"/>
  <c r="C3993" i="3"/>
  <c r="C4000" i="3"/>
  <c r="C4080" i="3"/>
  <c r="C4374" i="3"/>
  <c r="C4378" i="3"/>
  <c r="C4389" i="3"/>
  <c r="C4436" i="3"/>
  <c r="C4496" i="3"/>
  <c r="C4684" i="3"/>
  <c r="C4811" i="3"/>
  <c r="C64" i="3"/>
  <c r="C153" i="3"/>
  <c r="C200" i="3"/>
  <c r="C373" i="3"/>
  <c r="C410" i="3"/>
  <c r="C550" i="3"/>
  <c r="C823" i="3"/>
  <c r="C846" i="3"/>
  <c r="C963" i="3"/>
  <c r="C969" i="3"/>
  <c r="C1033" i="3"/>
  <c r="C1203" i="3"/>
  <c r="C1333" i="3"/>
  <c r="C1440" i="3"/>
  <c r="C1609" i="3"/>
  <c r="C1706" i="3"/>
  <c r="C1762" i="3"/>
  <c r="C1890" i="3"/>
  <c r="C1895" i="3"/>
  <c r="C2096" i="3"/>
  <c r="C2124" i="3"/>
  <c r="C2137" i="3"/>
  <c r="C2228" i="3"/>
  <c r="C2263" i="3"/>
  <c r="C2275" i="3"/>
  <c r="C2308" i="3"/>
  <c r="C2358" i="3"/>
  <c r="C2378" i="3"/>
  <c r="C2442" i="3"/>
  <c r="C2527" i="3"/>
  <c r="C2663" i="3"/>
  <c r="C2739" i="3"/>
  <c r="C2759" i="3"/>
  <c r="C2793" i="3"/>
  <c r="C2811" i="3"/>
  <c r="C2850" i="3"/>
  <c r="C2965" i="3"/>
  <c r="C3045" i="3"/>
  <c r="C3110" i="3"/>
  <c r="C3118" i="3"/>
  <c r="C3192" i="3"/>
  <c r="C3371" i="3"/>
  <c r="C3402" i="3"/>
  <c r="C3446" i="3"/>
  <c r="C3565" i="3"/>
  <c r="C3651" i="3"/>
  <c r="C3724" i="3"/>
  <c r="C3890" i="3"/>
  <c r="C3910" i="3"/>
  <c r="C4028" i="3"/>
  <c r="C4034" i="3"/>
  <c r="C4177" i="3"/>
  <c r="C4184" i="3"/>
  <c r="C4340" i="3"/>
  <c r="C4388" i="3"/>
  <c r="C4463" i="3"/>
  <c r="C4479" i="3"/>
  <c r="C4572" i="3"/>
  <c r="C4598" i="3"/>
  <c r="C4633" i="3"/>
  <c r="C4640" i="3"/>
  <c r="C4661" i="3"/>
  <c r="C4720" i="3"/>
  <c r="C4780" i="3"/>
  <c r="C4809" i="3"/>
  <c r="C189" i="3"/>
  <c r="C255" i="3"/>
  <c r="C384" i="3"/>
  <c r="C402" i="3"/>
  <c r="C447" i="3"/>
  <c r="C482" i="3"/>
  <c r="C495" i="3"/>
  <c r="C549" i="3"/>
  <c r="C558" i="3"/>
  <c r="C644" i="3"/>
  <c r="C682" i="3"/>
  <c r="C781" i="3"/>
  <c r="C795" i="3"/>
  <c r="C903" i="3"/>
  <c r="C919" i="3"/>
  <c r="C1004" i="3"/>
  <c r="C1073" i="3"/>
  <c r="C1124" i="3"/>
  <c r="C1185" i="3"/>
  <c r="C1230" i="3"/>
  <c r="C1259" i="3"/>
  <c r="C1311" i="3"/>
  <c r="C1342" i="3"/>
  <c r="C1344" i="3"/>
  <c r="C1378" i="3"/>
  <c r="C1447" i="3"/>
  <c r="C1486" i="3"/>
  <c r="C1551" i="3"/>
  <c r="C1618" i="3"/>
  <c r="C1644" i="3"/>
  <c r="C1828" i="3"/>
  <c r="C1905" i="3"/>
  <c r="C1971" i="3"/>
  <c r="C2073" i="3"/>
  <c r="C2142" i="3"/>
  <c r="C2167" i="3"/>
  <c r="C2280" i="3"/>
  <c r="C2316" i="3"/>
  <c r="C2459" i="3"/>
  <c r="C2492" i="3"/>
  <c r="C2607" i="3"/>
  <c r="C2616" i="3"/>
  <c r="C2662" i="3"/>
  <c r="C2796" i="3"/>
  <c r="C2800" i="3"/>
  <c r="C2894" i="3"/>
  <c r="C2959" i="3"/>
  <c r="C2962" i="3"/>
  <c r="C2968" i="3"/>
  <c r="C3047" i="3"/>
  <c r="C3068" i="3"/>
  <c r="C3320" i="3"/>
  <c r="C3349" i="3"/>
  <c r="C3462" i="3"/>
  <c r="C3516" i="3"/>
  <c r="C3578" i="3"/>
  <c r="C3616" i="3"/>
  <c r="C3647" i="3"/>
  <c r="C3659" i="3"/>
  <c r="C3716" i="3"/>
  <c r="C3740" i="3"/>
  <c r="C3797" i="3"/>
  <c r="C3801" i="3"/>
  <c r="C3847" i="3"/>
  <c r="C4166" i="3"/>
  <c r="C4266" i="3"/>
  <c r="C4289" i="3"/>
  <c r="C4325" i="3"/>
  <c r="C4453" i="3"/>
  <c r="C4553" i="3"/>
  <c r="C4619" i="3"/>
  <c r="C4707" i="3"/>
  <c r="C4744" i="3"/>
  <c r="C4749" i="3"/>
  <c r="C4791" i="3"/>
  <c r="C29" i="3"/>
  <c r="C50" i="3"/>
  <c r="C116" i="3"/>
  <c r="C145" i="3"/>
  <c r="C193" i="3"/>
  <c r="C346" i="3"/>
  <c r="C357" i="3"/>
  <c r="C472" i="3"/>
  <c r="C573" i="3"/>
  <c r="C620" i="3"/>
  <c r="C700" i="3"/>
  <c r="C791" i="3"/>
  <c r="C834" i="3"/>
  <c r="C962" i="3"/>
  <c r="C973" i="3"/>
  <c r="C1003" i="3"/>
  <c r="C1022" i="3"/>
  <c r="C1050" i="3"/>
  <c r="C1114" i="3"/>
  <c r="C1188" i="3"/>
  <c r="C1190" i="3"/>
  <c r="C1196" i="3"/>
  <c r="C1248" i="3"/>
  <c r="C1270" i="3"/>
  <c r="C1280" i="3"/>
  <c r="C1321" i="3"/>
  <c r="C1332" i="3"/>
  <c r="C1338" i="3"/>
  <c r="C1602" i="3"/>
  <c r="C1656" i="3"/>
  <c r="C1665" i="3"/>
  <c r="C1858" i="3"/>
  <c r="C1888" i="3"/>
  <c r="C1913" i="3"/>
  <c r="C1959" i="3"/>
  <c r="C1960" i="3"/>
  <c r="C1999" i="3"/>
  <c r="C2031" i="3"/>
  <c r="C2146" i="3"/>
  <c r="C2236" i="3"/>
  <c r="C2268" i="3"/>
  <c r="C2304" i="3"/>
  <c r="C2311" i="3"/>
  <c r="C2326" i="3"/>
  <c r="C2385" i="3"/>
  <c r="C2417" i="3"/>
  <c r="C2493" i="3"/>
  <c r="C2504" i="3"/>
  <c r="C2604" i="3"/>
  <c r="C2708" i="3"/>
  <c r="C2756" i="3"/>
  <c r="C2773" i="3"/>
  <c r="C2819" i="3"/>
  <c r="C2851" i="3"/>
  <c r="C2967" i="3"/>
  <c r="C3013" i="3"/>
  <c r="C3036" i="3"/>
  <c r="C3055" i="3"/>
  <c r="C3103" i="3"/>
  <c r="C3122" i="3"/>
  <c r="C3207" i="3"/>
  <c r="C3226" i="3"/>
  <c r="C3281" i="3"/>
  <c r="C3294" i="3"/>
  <c r="C3346" i="3"/>
  <c r="C3359" i="3"/>
  <c r="C3408" i="3"/>
  <c r="C3415" i="3"/>
  <c r="C3507" i="3"/>
  <c r="C3521" i="3"/>
  <c r="C3559" i="3"/>
  <c r="C3617" i="3"/>
  <c r="C3661" i="3"/>
  <c r="C3756" i="3"/>
  <c r="C3766" i="3"/>
  <c r="C3778" i="3"/>
  <c r="C3837" i="3"/>
  <c r="C3851" i="3"/>
  <c r="C4116" i="3"/>
  <c r="C4258" i="3"/>
  <c r="C4335" i="3"/>
  <c r="C4338" i="3"/>
  <c r="C4410" i="3"/>
  <c r="C4415" i="3"/>
  <c r="C4638" i="3"/>
  <c r="C4645" i="3"/>
  <c r="C4646" i="3"/>
  <c r="C4672" i="3"/>
  <c r="C4778" i="3"/>
  <c r="C24" i="3"/>
  <c r="C95" i="3"/>
  <c r="C149" i="3"/>
  <c r="C185" i="3"/>
  <c r="C225" i="3"/>
  <c r="C228" i="3"/>
  <c r="C229" i="3"/>
  <c r="C239" i="3"/>
  <c r="C254" i="3"/>
  <c r="C281" i="3"/>
  <c r="C321" i="3"/>
  <c r="C353" i="3"/>
  <c r="C418" i="3"/>
  <c r="C617" i="3"/>
  <c r="C658" i="3"/>
  <c r="C663" i="3"/>
  <c r="C693" i="3"/>
  <c r="C753" i="3"/>
  <c r="C755" i="3"/>
  <c r="C871" i="3"/>
  <c r="C913" i="3"/>
  <c r="C918" i="3"/>
  <c r="C960" i="3"/>
  <c r="C964" i="3"/>
  <c r="C972" i="3"/>
  <c r="C1152" i="3"/>
  <c r="C1183" i="3"/>
  <c r="C1187" i="3"/>
  <c r="C1197" i="3"/>
  <c r="C1237" i="3"/>
  <c r="C1283" i="3"/>
  <c r="C1286" i="3"/>
  <c r="C1290" i="3"/>
  <c r="C1305" i="3"/>
  <c r="C1384" i="3"/>
  <c r="C1390" i="3"/>
  <c r="C1458" i="3"/>
  <c r="C1459" i="3"/>
  <c r="C1530" i="3"/>
  <c r="C1543" i="3"/>
  <c r="C1631" i="3"/>
  <c r="C1633" i="3"/>
  <c r="C1643" i="3"/>
  <c r="C1660" i="3"/>
  <c r="C1677" i="3"/>
  <c r="C1868" i="3"/>
  <c r="C1869" i="3"/>
  <c r="C2007" i="3"/>
  <c r="C2015" i="3"/>
  <c r="C2041" i="3"/>
  <c r="C2139" i="3"/>
  <c r="C2155" i="3"/>
  <c r="C2231" i="3"/>
  <c r="C2247" i="3"/>
  <c r="C2251" i="3"/>
  <c r="C2371" i="3"/>
  <c r="C2403" i="3"/>
  <c r="C2529" i="3"/>
  <c r="C2631" i="3"/>
  <c r="C2645" i="3"/>
  <c r="C2648" i="3"/>
  <c r="C2671" i="3"/>
  <c r="C2689" i="3"/>
  <c r="C2731" i="3"/>
  <c r="C2753" i="3"/>
  <c r="C2769" i="3"/>
  <c r="C2787" i="3"/>
  <c r="C2791" i="3"/>
  <c r="C2808" i="3"/>
  <c r="C2818" i="3"/>
  <c r="C2828" i="3"/>
  <c r="C2849" i="3"/>
  <c r="C2890" i="3"/>
  <c r="C2961" i="3"/>
  <c r="C2972" i="3"/>
  <c r="C3015" i="3"/>
  <c r="C3031" i="3"/>
  <c r="C3051" i="3"/>
  <c r="C3080" i="3"/>
  <c r="C3181" i="3"/>
  <c r="C3272" i="3"/>
  <c r="C3283" i="3"/>
  <c r="C3297" i="3"/>
  <c r="C3305" i="3"/>
  <c r="C3309" i="3"/>
  <c r="C3453" i="3"/>
  <c r="C3493" i="3"/>
  <c r="C3497" i="3"/>
  <c r="C3531" i="3"/>
  <c r="C3550" i="3"/>
  <c r="C3557" i="3"/>
  <c r="C3577" i="3"/>
  <c r="C3588" i="3"/>
  <c r="C3598" i="3"/>
  <c r="C3718" i="3"/>
  <c r="C3729" i="3"/>
  <c r="C3812" i="3"/>
  <c r="C3903" i="3"/>
  <c r="C3979" i="3"/>
  <c r="C4146" i="3"/>
  <c r="C4183" i="3"/>
  <c r="C4196" i="3"/>
  <c r="C4206" i="3"/>
  <c r="C4247" i="3"/>
  <c r="C4277" i="3"/>
  <c r="C4284" i="3"/>
  <c r="C4295" i="3"/>
  <c r="C4361" i="3"/>
  <c r="C4419" i="3"/>
  <c r="C4476" i="3"/>
  <c r="C4482" i="3"/>
  <c r="C4490" i="3"/>
  <c r="C4526" i="3"/>
  <c r="C4612" i="3"/>
  <c r="C4621" i="3"/>
  <c r="C4630" i="3"/>
  <c r="C4666" i="3"/>
  <c r="C4683" i="3"/>
  <c r="C4741" i="3"/>
  <c r="C4775" i="3"/>
  <c r="C4813" i="3"/>
  <c r="C7" i="3"/>
  <c r="C10" i="3"/>
  <c r="C57" i="3"/>
  <c r="C81" i="3"/>
  <c r="C147" i="3"/>
  <c r="C157" i="3"/>
  <c r="C195" i="3"/>
  <c r="C203" i="3"/>
  <c r="C241" i="3"/>
  <c r="C299" i="3"/>
  <c r="C366" i="3"/>
  <c r="C374" i="3"/>
  <c r="C377" i="3"/>
  <c r="C391" i="3"/>
  <c r="C476" i="3"/>
  <c r="C487" i="3"/>
  <c r="C515" i="3"/>
  <c r="C584" i="3"/>
  <c r="C643" i="3"/>
  <c r="C708" i="3"/>
  <c r="C773" i="3"/>
  <c r="C849" i="3"/>
  <c r="C881" i="3"/>
  <c r="C889" i="3"/>
  <c r="C894" i="3"/>
  <c r="C895" i="3"/>
  <c r="C904" i="3"/>
  <c r="C957" i="3"/>
  <c r="C1012" i="3"/>
  <c r="C1071" i="3"/>
  <c r="C1099" i="3"/>
  <c r="C1110" i="3"/>
  <c r="C1153" i="3"/>
  <c r="C1168" i="3"/>
  <c r="C1169" i="3"/>
  <c r="C1189" i="3"/>
  <c r="C1200" i="3"/>
  <c r="C1205" i="3"/>
  <c r="C1218" i="3"/>
  <c r="C1221" i="3"/>
  <c r="C1223" i="3"/>
  <c r="C1246" i="3"/>
  <c r="C1255" i="3"/>
  <c r="C1381" i="3"/>
  <c r="C1391" i="3"/>
  <c r="C1442" i="3"/>
  <c r="C1475" i="3"/>
  <c r="C1501" i="3"/>
  <c r="C1519" i="3"/>
  <c r="C1529" i="3"/>
  <c r="C1534" i="3"/>
  <c r="C1542" i="3"/>
  <c r="C1552" i="3"/>
  <c r="C1640" i="3"/>
  <c r="C1658" i="3"/>
  <c r="C1766" i="3"/>
  <c r="C1783" i="3"/>
  <c r="C1801" i="3"/>
  <c r="C1830" i="3"/>
  <c r="C1833" i="3"/>
  <c r="C1902" i="3"/>
  <c r="C1904" i="3"/>
  <c r="C1921" i="3"/>
  <c r="C2026" i="3"/>
  <c r="C2141" i="3"/>
  <c r="C2152" i="3"/>
  <c r="C2173" i="3"/>
  <c r="C2180" i="3"/>
  <c r="C2198" i="3"/>
  <c r="C2249" i="3"/>
  <c r="C2256" i="3"/>
  <c r="C2259" i="3"/>
  <c r="C2267" i="3"/>
  <c r="C2299" i="3"/>
  <c r="C2325" i="3"/>
  <c r="C2347" i="3"/>
  <c r="C2357" i="3"/>
  <c r="C2368" i="3"/>
  <c r="C2460" i="3"/>
  <c r="C2465" i="3"/>
  <c r="C2476" i="3"/>
  <c r="C2485" i="3"/>
  <c r="C2522" i="3"/>
  <c r="C2553" i="3"/>
  <c r="C2560" i="3"/>
  <c r="C2562" i="3"/>
  <c r="C2563" i="3"/>
  <c r="C2587" i="3"/>
  <c r="C2633" i="3"/>
  <c r="C2686" i="3"/>
  <c r="C2725" i="3"/>
  <c r="C2750" i="3"/>
  <c r="C2776" i="3"/>
  <c r="C2815" i="3"/>
  <c r="C2905" i="3"/>
  <c r="C2909" i="3"/>
  <c r="C2983" i="3"/>
  <c r="C2987" i="3"/>
  <c r="C2990" i="3"/>
  <c r="C3048" i="3"/>
  <c r="C3071" i="3"/>
  <c r="C3158" i="3"/>
  <c r="C3182" i="3"/>
  <c r="C3238" i="3"/>
  <c r="C3261" i="3"/>
  <c r="C3275" i="3"/>
  <c r="C3317" i="3"/>
  <c r="C3329" i="3"/>
  <c r="C3331" i="3"/>
  <c r="C3336" i="3"/>
  <c r="C3389" i="3"/>
  <c r="C3413" i="3"/>
  <c r="C3489" i="3"/>
  <c r="C3523" i="3"/>
  <c r="C3560" i="3"/>
  <c r="C3603" i="3"/>
  <c r="C3615" i="3"/>
  <c r="C3618" i="3"/>
  <c r="C3713" i="3"/>
  <c r="C3760" i="3"/>
  <c r="C3803" i="3"/>
  <c r="C3817" i="3"/>
  <c r="C3887" i="3"/>
  <c r="C3944" i="3"/>
  <c r="C3958" i="3"/>
  <c r="C3978" i="3"/>
  <c r="C3997" i="3"/>
  <c r="C4038" i="3"/>
  <c r="C4056" i="3"/>
  <c r="C4137" i="3"/>
  <c r="C4148" i="3"/>
  <c r="C4204" i="3"/>
  <c r="C4259" i="3"/>
  <c r="C4260" i="3"/>
  <c r="C4351" i="3"/>
  <c r="C4383" i="3"/>
  <c r="C4391" i="3"/>
  <c r="C4417" i="3"/>
  <c r="C4428" i="3"/>
  <c r="C4431" i="3"/>
  <c r="C4454" i="3"/>
  <c r="C4468" i="3"/>
  <c r="C4471" i="3"/>
  <c r="C4528" i="3"/>
  <c r="C4540" i="3"/>
  <c r="C4545" i="3"/>
  <c r="C4624" i="3"/>
  <c r="C4648" i="3"/>
  <c r="C4685" i="3"/>
  <c r="C4698" i="3"/>
  <c r="C4714" i="3"/>
  <c r="C4725" i="3"/>
  <c r="C48" i="3"/>
  <c r="C401" i="3"/>
  <c r="C630" i="3"/>
  <c r="C637" i="3"/>
  <c r="C638" i="3"/>
  <c r="C645" i="3"/>
  <c r="C678" i="3"/>
  <c r="C736" i="3"/>
  <c r="C749" i="3"/>
  <c r="C886" i="3"/>
  <c r="C976" i="3"/>
  <c r="C1058" i="3"/>
  <c r="C1120" i="3"/>
  <c r="C1130" i="3"/>
  <c r="C1186" i="3"/>
  <c r="C1212" i="3"/>
  <c r="C1261" i="3"/>
  <c r="C1403" i="3"/>
  <c r="C1460" i="3"/>
  <c r="C1471" i="3"/>
  <c r="C1545" i="3"/>
  <c r="C1548" i="3"/>
  <c r="C1572" i="3"/>
  <c r="C1591" i="3"/>
  <c r="C1600" i="3"/>
  <c r="C1611" i="3"/>
  <c r="C1671" i="3"/>
  <c r="C1742" i="3"/>
  <c r="C1769" i="3"/>
  <c r="C1839" i="3"/>
  <c r="C1877" i="3"/>
  <c r="C1912" i="3"/>
  <c r="C1980" i="3"/>
  <c r="C1986" i="3"/>
  <c r="C1988" i="3"/>
  <c r="C2099" i="3"/>
  <c r="C2129" i="3"/>
  <c r="C2150" i="3"/>
  <c r="C2177" i="3"/>
  <c r="C2350" i="3"/>
  <c r="C2480" i="3"/>
  <c r="C2551" i="3"/>
  <c r="C2612" i="3"/>
  <c r="C2718" i="3"/>
  <c r="C2810" i="3"/>
  <c r="C2947" i="3"/>
  <c r="C2980" i="3"/>
  <c r="C2984" i="3"/>
  <c r="C2986" i="3"/>
  <c r="C2989" i="3"/>
  <c r="C3163" i="3"/>
  <c r="C3170" i="3"/>
  <c r="C3201" i="3"/>
  <c r="C3303" i="3"/>
  <c r="C3306" i="3"/>
  <c r="C3433" i="3"/>
  <c r="C3473" i="3"/>
  <c r="C3491" i="3"/>
  <c r="C3529" i="3"/>
  <c r="C3543" i="3"/>
  <c r="C3650" i="3"/>
  <c r="C3679" i="3"/>
  <c r="C3750" i="3"/>
  <c r="C3808" i="3"/>
  <c r="C3834" i="3"/>
  <c r="C3915" i="3"/>
  <c r="C4205" i="3"/>
  <c r="C4231" i="3"/>
  <c r="C4380" i="3"/>
  <c r="C4406" i="3"/>
  <c r="C4466" i="3"/>
  <c r="C4693" i="3"/>
  <c r="C4705" i="3"/>
  <c r="C4748" i="3"/>
  <c r="C4804" i="3"/>
  <c r="C2" i="3"/>
  <c r="C22" i="3"/>
  <c r="C26" i="3"/>
  <c r="C38" i="3"/>
  <c r="C58" i="3"/>
  <c r="C92" i="3"/>
  <c r="C137" i="3"/>
  <c r="C155" i="3"/>
  <c r="C162" i="3"/>
  <c r="C171" i="3"/>
  <c r="C177" i="3"/>
  <c r="C214" i="3"/>
  <c r="C233" i="3"/>
  <c r="C246" i="3"/>
  <c r="C259" i="3"/>
  <c r="C301" i="3"/>
  <c r="C319" i="3"/>
  <c r="C328" i="3"/>
  <c r="C333" i="3"/>
  <c r="C336" i="3"/>
  <c r="C350" i="3"/>
  <c r="C383" i="3"/>
  <c r="C400" i="3"/>
  <c r="C419" i="3"/>
  <c r="C423" i="3"/>
  <c r="C449" i="3"/>
  <c r="C501" i="3"/>
  <c r="C516" i="3"/>
  <c r="C535" i="3"/>
  <c r="C560" i="3"/>
  <c r="C577" i="3"/>
  <c r="C625" i="3"/>
  <c r="C627" i="3"/>
  <c r="C676" i="3"/>
  <c r="C719" i="3"/>
  <c r="C742" i="3"/>
  <c r="C744" i="3"/>
  <c r="C751" i="3"/>
  <c r="C754" i="3"/>
  <c r="C756" i="3"/>
  <c r="C786" i="3"/>
  <c r="C789" i="3"/>
  <c r="C810" i="3"/>
  <c r="C813" i="3"/>
  <c r="C814" i="3"/>
  <c r="C842" i="3"/>
  <c r="C872" i="3"/>
  <c r="C887" i="3"/>
  <c r="C924" i="3"/>
  <c r="C925" i="3"/>
  <c r="C934" i="3"/>
  <c r="C981" i="3"/>
  <c r="C1018" i="3"/>
  <c r="C1059" i="3"/>
  <c r="C1075" i="3"/>
  <c r="C1082" i="3"/>
  <c r="C1085" i="3"/>
  <c r="C1087" i="3"/>
  <c r="C1091" i="3"/>
  <c r="C1104" i="3"/>
  <c r="C1109" i="3"/>
  <c r="C1151" i="3"/>
  <c r="C1174" i="3"/>
  <c r="C1195" i="3"/>
  <c r="C1225" i="3"/>
  <c r="C1268" i="3"/>
  <c r="C1331" i="3"/>
  <c r="C1334" i="3"/>
  <c r="C1373" i="3"/>
  <c r="C1406" i="3"/>
  <c r="C1407" i="3"/>
  <c r="C1446" i="3"/>
  <c r="C1463" i="3"/>
  <c r="C1509" i="3"/>
  <c r="C1579" i="3"/>
  <c r="C1616" i="3"/>
  <c r="C1636" i="3"/>
  <c r="C1666" i="3"/>
  <c r="C1675" i="3"/>
  <c r="C1692" i="3"/>
  <c r="C1731" i="3"/>
  <c r="C1749" i="3"/>
  <c r="C1814" i="3"/>
  <c r="C1829" i="3"/>
  <c r="C1992" i="3"/>
  <c r="C2016" i="3"/>
  <c r="C2046" i="3"/>
  <c r="C2050" i="3"/>
  <c r="C2116" i="3"/>
  <c r="C2121" i="3"/>
  <c r="C2162" i="3"/>
  <c r="C2191" i="3"/>
  <c r="C2212" i="3"/>
  <c r="C2220" i="3"/>
  <c r="C2300" i="3"/>
  <c r="C2369" i="3"/>
  <c r="C2377" i="3"/>
  <c r="C2406" i="3"/>
  <c r="C2438" i="3"/>
  <c r="C2441" i="3"/>
  <c r="C2477" i="3"/>
  <c r="C2554" i="3"/>
  <c r="C2558" i="3"/>
  <c r="C2577" i="3"/>
  <c r="C2622" i="3"/>
  <c r="C2661" i="3"/>
  <c r="C2673" i="3"/>
  <c r="C2683" i="3"/>
  <c r="C2704" i="3"/>
  <c r="C2747" i="3"/>
  <c r="C2794" i="3"/>
  <c r="C2821" i="3"/>
  <c r="C2841" i="3"/>
  <c r="C2877" i="3"/>
  <c r="C2879" i="3"/>
  <c r="C2888" i="3"/>
  <c r="C2889" i="3"/>
  <c r="C2891" i="3"/>
  <c r="C2912" i="3"/>
  <c r="C2933" i="3"/>
  <c r="C2937" i="3"/>
  <c r="C2952" i="3"/>
  <c r="C2996" i="3"/>
  <c r="C3003" i="3"/>
  <c r="C3016" i="3"/>
  <c r="C3017" i="3"/>
  <c r="C3040" i="3"/>
  <c r="C3043" i="3"/>
  <c r="C3059" i="3"/>
  <c r="C3099" i="3"/>
  <c r="C3142" i="3"/>
  <c r="C3233" i="3"/>
  <c r="C3235" i="3"/>
  <c r="C3237" i="3"/>
  <c r="C3240" i="3"/>
  <c r="C3271" i="3"/>
  <c r="C3337" i="3"/>
  <c r="C3340" i="3"/>
  <c r="C3385" i="3"/>
  <c r="C3441" i="3"/>
  <c r="C3459" i="3"/>
  <c r="C3461" i="3"/>
  <c r="C3485" i="3"/>
  <c r="C3517" i="3"/>
  <c r="C3541" i="3"/>
  <c r="C3563" i="3"/>
  <c r="C3568" i="3"/>
  <c r="C3610" i="3"/>
  <c r="C3619" i="3"/>
  <c r="C3634" i="3"/>
  <c r="C3663" i="3"/>
  <c r="C3680" i="3"/>
  <c r="C3689" i="3"/>
  <c r="C3822" i="3"/>
  <c r="C3829" i="3"/>
  <c r="C3845" i="3"/>
  <c r="C3859" i="3"/>
  <c r="C3861" i="3"/>
  <c r="C3921" i="3"/>
  <c r="C3936" i="3"/>
  <c r="C3937" i="3"/>
  <c r="C3947" i="3"/>
  <c r="C3959" i="3"/>
  <c r="C4128" i="3"/>
  <c r="C4172" i="3"/>
  <c r="C4193" i="3"/>
  <c r="C4213" i="3"/>
  <c r="C4282" i="3"/>
  <c r="C4379" i="3"/>
  <c r="C4472" i="3"/>
  <c r="C4525" i="3"/>
  <c r="C4562" i="3"/>
  <c r="C4573" i="3"/>
  <c r="C4625" i="3"/>
  <c r="C4651" i="3"/>
  <c r="C4697" i="3"/>
  <c r="C4729" i="3"/>
  <c r="C4736" i="3"/>
  <c r="C4798" i="3"/>
  <c r="C4830" i="3"/>
  <c r="C323" i="3"/>
  <c r="C526" i="3"/>
  <c r="C1423" i="3"/>
  <c r="C2166" i="3"/>
  <c r="C2186" i="3"/>
  <c r="C2344" i="3"/>
  <c r="C2799" i="3"/>
  <c r="C2931" i="3"/>
  <c r="C3058" i="3"/>
  <c r="C3710" i="3"/>
  <c r="C4134" i="3"/>
  <c r="C4167" i="3"/>
  <c r="C4208" i="3"/>
  <c r="C4682" i="3"/>
  <c r="C1315" i="3"/>
  <c r="C2210" i="3"/>
  <c r="C2222" i="3"/>
  <c r="C2394" i="3"/>
  <c r="C2418" i="3"/>
  <c r="C3469" i="3"/>
  <c r="C3824" i="3"/>
  <c r="C4484" i="3"/>
  <c r="C4733" i="3"/>
  <c r="C4825" i="3"/>
  <c r="C86" i="3"/>
  <c r="C235" i="3"/>
  <c r="C280" i="3"/>
  <c r="C289" i="3"/>
  <c r="C331" i="3"/>
  <c r="C351" i="3"/>
  <c r="C497" i="3"/>
  <c r="C505" i="3"/>
  <c r="C520" i="3"/>
  <c r="C521" i="3"/>
  <c r="C653" i="3"/>
  <c r="C673" i="3"/>
  <c r="C696" i="3"/>
  <c r="C702" i="3"/>
  <c r="C812" i="3"/>
  <c r="C829" i="3"/>
  <c r="C965" i="3"/>
  <c r="C978" i="3"/>
  <c r="C1045" i="3"/>
  <c r="C1064" i="3"/>
  <c r="C1118" i="3"/>
  <c r="C1249" i="3"/>
  <c r="C1325" i="3"/>
  <c r="C1363" i="3"/>
  <c r="C1493" i="3"/>
  <c r="C1504" i="3"/>
  <c r="C1517" i="3"/>
  <c r="C1532" i="3"/>
  <c r="C1607" i="3"/>
  <c r="C1707" i="3"/>
  <c r="C1757" i="3"/>
  <c r="C1805" i="3"/>
  <c r="C2003" i="3"/>
  <c r="C2043" i="3"/>
  <c r="C2095" i="3"/>
  <c r="C2271" i="3"/>
  <c r="C2290" i="3"/>
  <c r="C2340" i="3"/>
  <c r="C2341" i="3"/>
  <c r="C2423" i="3"/>
  <c r="C2484" i="3"/>
  <c r="C2506" i="3"/>
  <c r="C2544" i="3"/>
  <c r="C2572" i="3"/>
  <c r="C2603" i="3"/>
  <c r="C2638" i="3"/>
  <c r="C2716" i="3"/>
  <c r="C2744" i="3"/>
  <c r="C2836" i="3"/>
  <c r="C2919" i="3"/>
  <c r="C2927" i="3"/>
  <c r="C2928" i="3"/>
  <c r="C2994" i="3"/>
  <c r="C3041" i="3"/>
  <c r="C3096" i="3"/>
  <c r="C3104" i="3"/>
  <c r="C3108" i="3"/>
  <c r="C3123" i="3"/>
  <c r="C3126" i="3"/>
  <c r="C3167" i="3"/>
  <c r="C3179" i="3"/>
  <c r="C3292" i="3"/>
  <c r="C3333" i="3"/>
  <c r="C3344" i="3"/>
  <c r="C3393" i="3"/>
  <c r="C3399" i="3"/>
  <c r="C3435" i="3"/>
  <c r="C3530" i="3"/>
  <c r="C3558" i="3"/>
  <c r="C3564" i="3"/>
  <c r="C3678" i="3"/>
  <c r="C3720" i="3"/>
  <c r="C3723" i="3"/>
  <c r="C3725" i="3"/>
  <c r="C3736" i="3"/>
  <c r="C3811" i="3"/>
  <c r="C3821" i="3"/>
  <c r="C3869" i="3"/>
  <c r="C3966" i="3"/>
  <c r="C4033" i="3"/>
  <c r="C4141" i="3"/>
  <c r="C4157" i="3"/>
  <c r="C4165" i="3"/>
  <c r="C4198" i="3"/>
  <c r="C4202" i="3"/>
  <c r="C4309" i="3"/>
  <c r="C4319" i="3"/>
  <c r="C4339" i="3"/>
  <c r="C4421" i="3"/>
  <c r="C4443" i="3"/>
  <c r="C4558" i="3"/>
  <c r="C4708" i="3"/>
  <c r="C4709" i="3"/>
  <c r="C4759" i="3"/>
  <c r="C4766" i="3"/>
  <c r="C4784" i="3"/>
  <c r="C62" i="3"/>
  <c r="C66" i="3"/>
  <c r="C113" i="3"/>
  <c r="C164" i="3"/>
  <c r="C169" i="3"/>
  <c r="C213" i="3"/>
  <c r="C231" i="3"/>
  <c r="C382" i="3"/>
  <c r="C387" i="3"/>
  <c r="C525" i="3"/>
  <c r="C534" i="3"/>
  <c r="C536" i="3"/>
  <c r="C583" i="3"/>
  <c r="C615" i="3"/>
  <c r="C722" i="3"/>
  <c r="C745" i="3"/>
  <c r="C787" i="3"/>
  <c r="C799" i="3"/>
  <c r="C817" i="3"/>
  <c r="C832" i="3"/>
  <c r="C1001" i="3"/>
  <c r="C1021" i="3"/>
  <c r="C1049" i="3"/>
  <c r="C1083" i="3"/>
  <c r="C1191" i="3"/>
  <c r="C1243" i="3"/>
  <c r="C1260" i="3"/>
  <c r="C1287" i="3"/>
  <c r="C1292" i="3"/>
  <c r="C1299" i="3"/>
  <c r="C1302" i="3"/>
  <c r="C1304" i="3"/>
  <c r="C1327" i="3"/>
  <c r="C1448" i="3"/>
  <c r="C1455" i="3"/>
  <c r="C1487" i="3"/>
  <c r="C1510" i="3"/>
  <c r="C1553" i="3"/>
  <c r="C1559" i="3"/>
  <c r="C1570" i="3"/>
  <c r="C1601" i="3"/>
  <c r="C1632" i="3"/>
  <c r="C1638" i="3"/>
  <c r="C1751" i="3"/>
  <c r="C1754" i="3"/>
  <c r="C1755" i="3"/>
  <c r="C1923" i="3"/>
  <c r="C2018" i="3"/>
  <c r="C2025" i="3"/>
  <c r="C2033" i="3"/>
  <c r="C2119" i="3"/>
  <c r="C2156" i="3"/>
  <c r="C2165" i="3"/>
  <c r="C2184" i="3"/>
  <c r="C2188" i="3"/>
  <c r="C2217" i="3"/>
  <c r="C2238" i="3"/>
  <c r="C2318" i="3"/>
  <c r="C2324" i="3"/>
  <c r="C2431" i="3"/>
  <c r="C2432" i="3"/>
  <c r="C2448" i="3"/>
  <c r="C2458" i="3"/>
  <c r="C2509" i="3"/>
  <c r="C2523" i="3"/>
  <c r="C2540" i="3"/>
  <c r="C2571" i="3"/>
  <c r="C2647" i="3"/>
  <c r="C2655" i="3"/>
  <c r="C2695" i="3"/>
  <c r="C2864" i="3"/>
  <c r="C2874" i="3"/>
  <c r="C2881" i="3"/>
  <c r="C2893" i="3"/>
  <c r="C2899" i="3"/>
  <c r="C2930" i="3"/>
  <c r="C2999" i="3"/>
  <c r="C3021" i="3"/>
  <c r="C3078" i="3"/>
  <c r="C3135" i="3"/>
  <c r="C3213" i="3"/>
  <c r="C3273" i="3"/>
  <c r="C3286" i="3"/>
  <c r="C3310" i="3"/>
  <c r="C3327" i="3"/>
  <c r="C3347" i="3"/>
  <c r="C3439" i="3"/>
  <c r="C3511" i="3"/>
  <c r="C3613" i="3"/>
  <c r="C3614" i="3"/>
  <c r="C3669" i="3"/>
  <c r="C3784" i="3"/>
  <c r="C3809" i="3"/>
  <c r="C3866" i="3"/>
  <c r="C3923" i="3"/>
  <c r="C3999" i="3"/>
  <c r="C4022" i="3"/>
  <c r="C4032" i="3"/>
  <c r="C4135" i="3"/>
  <c r="C4140" i="3"/>
  <c r="C4145" i="3"/>
  <c r="C4158" i="3"/>
  <c r="C4194" i="3"/>
  <c r="C4210" i="3"/>
  <c r="C4211" i="3"/>
  <c r="C4223" i="3"/>
  <c r="C4302" i="3"/>
  <c r="C4375" i="3"/>
  <c r="C4376" i="3"/>
  <c r="C4416" i="3"/>
  <c r="C4670" i="3"/>
  <c r="C4675" i="3"/>
  <c r="C4726" i="3"/>
  <c r="C4815" i="3"/>
  <c r="C14" i="3"/>
  <c r="C65" i="3"/>
  <c r="C67" i="3"/>
  <c r="C75" i="3"/>
  <c r="C82" i="3"/>
  <c r="C115" i="3"/>
  <c r="C118" i="3"/>
  <c r="C148" i="3"/>
  <c r="C151" i="3"/>
  <c r="C175" i="3"/>
  <c r="C178" i="3"/>
  <c r="C181" i="3"/>
  <c r="C204" i="3"/>
  <c r="C294" i="3"/>
  <c r="C394" i="3"/>
  <c r="C408" i="3"/>
  <c r="C454" i="3"/>
  <c r="C474" i="3"/>
  <c r="C485" i="3"/>
  <c r="C488" i="3"/>
  <c r="C490" i="3"/>
  <c r="C493" i="3"/>
  <c r="C544" i="3"/>
  <c r="C556" i="3"/>
  <c r="C571" i="3"/>
  <c r="C574" i="3"/>
  <c r="C576" i="3"/>
  <c r="C579" i="3"/>
  <c r="C608" i="3"/>
  <c r="C629" i="3"/>
  <c r="C650" i="3"/>
  <c r="C674" i="3"/>
  <c r="C677" i="3"/>
  <c r="C779" i="3"/>
  <c r="C796" i="3"/>
  <c r="C826" i="3"/>
  <c r="C847" i="3"/>
  <c r="C869" i="3"/>
  <c r="C899" i="3"/>
  <c r="C926" i="3"/>
  <c r="C930" i="3"/>
  <c r="C942" i="3"/>
  <c r="C947" i="3"/>
  <c r="C953" i="3"/>
  <c r="C956" i="3"/>
  <c r="C967" i="3"/>
  <c r="C971" i="3"/>
  <c r="C982" i="3"/>
  <c r="C991" i="3"/>
  <c r="C1031" i="3"/>
  <c r="C1037" i="3"/>
  <c r="C1042" i="3"/>
  <c r="C1063" i="3"/>
  <c r="C1105" i="3"/>
  <c r="C1119" i="3"/>
  <c r="C1134" i="3"/>
  <c r="C1177" i="3"/>
  <c r="C1192" i="3"/>
  <c r="C1194" i="3"/>
  <c r="C1219" i="3"/>
  <c r="C1285" i="3"/>
  <c r="C1314" i="3"/>
  <c r="C1355" i="3"/>
  <c r="C1415" i="3"/>
  <c r="C1435" i="3"/>
  <c r="C1436" i="3"/>
  <c r="C1466" i="3"/>
  <c r="C1498" i="3"/>
  <c r="C1508" i="3"/>
  <c r="C1511" i="3"/>
  <c r="C1566" i="3"/>
  <c r="C1574" i="3"/>
  <c r="C1580" i="3"/>
  <c r="C1589" i="3"/>
  <c r="C1642" i="3"/>
  <c r="C1655" i="3"/>
  <c r="C1682" i="3"/>
  <c r="C1685" i="3"/>
  <c r="C1694" i="3"/>
  <c r="C1710" i="3"/>
  <c r="C1714" i="3"/>
  <c r="C1726" i="3"/>
  <c r="C1727" i="3"/>
  <c r="C1732" i="3"/>
  <c r="C1768" i="3"/>
  <c r="C1825" i="3"/>
  <c r="C1915" i="3"/>
  <c r="C1933" i="3"/>
  <c r="C1954" i="3"/>
  <c r="C1956" i="3"/>
  <c r="C1970" i="3"/>
  <c r="C1977" i="3"/>
  <c r="C1985" i="3"/>
  <c r="C2028" i="3"/>
  <c r="C2029" i="3"/>
  <c r="C2038" i="3"/>
  <c r="C2052" i="3"/>
  <c r="C2063" i="3"/>
  <c r="C2072" i="3"/>
  <c r="C2107" i="3"/>
  <c r="C2181" i="3"/>
  <c r="C2226" i="3"/>
  <c r="C2239" i="3"/>
  <c r="C2302" i="3"/>
  <c r="C2310" i="3"/>
  <c r="C2392" i="3"/>
  <c r="C2414" i="3"/>
  <c r="C2443" i="3"/>
  <c r="C2467" i="3"/>
  <c r="C2486" i="3"/>
  <c r="C2494" i="3"/>
  <c r="C2496" i="3"/>
  <c r="C2502" i="3"/>
  <c r="C2552" i="3"/>
  <c r="C2564" i="3"/>
  <c r="C2578" i="3"/>
  <c r="C2584" i="3"/>
  <c r="C2585" i="3"/>
  <c r="C2606" i="3"/>
  <c r="C2609" i="3"/>
  <c r="C2698" i="3"/>
  <c r="C2699" i="3"/>
  <c r="C2758" i="3"/>
  <c r="C2805" i="3"/>
  <c r="C2824" i="3"/>
  <c r="C2826" i="3"/>
  <c r="C2840" i="3"/>
  <c r="C2857" i="3"/>
  <c r="C2866" i="3"/>
  <c r="C2908" i="3"/>
  <c r="C3008" i="3"/>
  <c r="C3012" i="3"/>
  <c r="C3028" i="3"/>
  <c r="C3056" i="3"/>
  <c r="C3128" i="3"/>
  <c r="C3145" i="3"/>
  <c r="C3147" i="3"/>
  <c r="C3162" i="3"/>
  <c r="C3268" i="3"/>
  <c r="C3280" i="3"/>
  <c r="C3324" i="3"/>
  <c r="C3362" i="3"/>
  <c r="C3366" i="3"/>
  <c r="C3432" i="3"/>
  <c r="C3440" i="3"/>
  <c r="C3444" i="3"/>
  <c r="C3451" i="3"/>
  <c r="C3484" i="3"/>
  <c r="C3512" i="3"/>
  <c r="C3589" i="3"/>
  <c r="C3599" i="3"/>
  <c r="C3601" i="3"/>
  <c r="C3629" i="3"/>
  <c r="C3666" i="3"/>
  <c r="C3671" i="3"/>
  <c r="C3674" i="3"/>
  <c r="C3682" i="3"/>
  <c r="C3761" i="3"/>
  <c r="C3768" i="3"/>
  <c r="C3793" i="3"/>
  <c r="C3874" i="3"/>
  <c r="C3920" i="3"/>
  <c r="C3922" i="3"/>
  <c r="C3963" i="3"/>
  <c r="C3987" i="3"/>
  <c r="C4133" i="3"/>
  <c r="C4142" i="3"/>
  <c r="C4154" i="3"/>
  <c r="C4169" i="3"/>
  <c r="C4187" i="3"/>
  <c r="C4191" i="3"/>
  <c r="C4215" i="3"/>
  <c r="C4235" i="3"/>
  <c r="C4248" i="3"/>
  <c r="C4377" i="3"/>
  <c r="C4529" i="3"/>
  <c r="C4587" i="3"/>
  <c r="C4591" i="3"/>
  <c r="C4606" i="3"/>
  <c r="C4615" i="3"/>
  <c r="C4626" i="3"/>
  <c r="C4628" i="3"/>
  <c r="C4632" i="3"/>
  <c r="C4747" i="3"/>
  <c r="C4792" i="3"/>
  <c r="C4814" i="3"/>
  <c r="C4832" i="3"/>
  <c r="C11" i="3"/>
  <c r="C12" i="3"/>
  <c r="C30" i="3"/>
  <c r="C168" i="3"/>
  <c r="C170" i="3"/>
  <c r="C172" i="3"/>
  <c r="C236" i="3"/>
  <c r="C257" i="3"/>
  <c r="C305" i="3"/>
  <c r="C308" i="3"/>
  <c r="C324" i="3"/>
  <c r="C424" i="3"/>
  <c r="C507" i="3"/>
  <c r="C522" i="3"/>
  <c r="C557" i="3"/>
  <c r="C572" i="3"/>
  <c r="C600" i="3"/>
  <c r="C601" i="3"/>
  <c r="C610" i="3"/>
  <c r="C618" i="3"/>
  <c r="C635" i="3"/>
  <c r="C671" i="3"/>
  <c r="C691" i="3"/>
  <c r="C695" i="3"/>
  <c r="C748" i="3"/>
  <c r="C767" i="3"/>
  <c r="C775" i="3"/>
  <c r="C824" i="3"/>
  <c r="C856" i="3"/>
  <c r="C865" i="3"/>
  <c r="C921" i="3"/>
  <c r="C944" i="3"/>
  <c r="C970" i="3"/>
  <c r="C994" i="3"/>
  <c r="C1008" i="3"/>
  <c r="C1027" i="3"/>
  <c r="C1122" i="3"/>
  <c r="C1141" i="3"/>
  <c r="C1144" i="3"/>
  <c r="C1158" i="3"/>
  <c r="C1227" i="3"/>
  <c r="C1228" i="3"/>
  <c r="C1233" i="3"/>
  <c r="C1235" i="3"/>
  <c r="C1247" i="3"/>
  <c r="C1250" i="3"/>
  <c r="C1262" i="3"/>
  <c r="C1367" i="3"/>
  <c r="C1372" i="3"/>
  <c r="C1389" i="3"/>
  <c r="C1422" i="3"/>
  <c r="C1452" i="3"/>
  <c r="C1494" i="3"/>
  <c r="C1584" i="3"/>
  <c r="C1595" i="3"/>
  <c r="C1614" i="3"/>
  <c r="C1620" i="3"/>
  <c r="C1647" i="3"/>
  <c r="C1649" i="3"/>
  <c r="C1759" i="3"/>
  <c r="C1767" i="3"/>
  <c r="C1837" i="3"/>
  <c r="C1847" i="3"/>
  <c r="C1870" i="3"/>
  <c r="C1946" i="3"/>
  <c r="C1951" i="3"/>
  <c r="C1979" i="3"/>
  <c r="C2010" i="3"/>
  <c r="C2032" i="3"/>
  <c r="C2071" i="3"/>
  <c r="C2100" i="3"/>
  <c r="C2110" i="3"/>
  <c r="C2114" i="3"/>
  <c r="C2211" i="3"/>
  <c r="C2248" i="3"/>
  <c r="C2254" i="3"/>
  <c r="C2301" i="3"/>
  <c r="C2370" i="3"/>
  <c r="C2397" i="3"/>
  <c r="C2405" i="3"/>
  <c r="C2416" i="3"/>
  <c r="C2445" i="3"/>
  <c r="C2473" i="3"/>
  <c r="C2537" i="3"/>
  <c r="C2539" i="3"/>
  <c r="C2556" i="3"/>
  <c r="C2580" i="3"/>
  <c r="C2678" i="3"/>
  <c r="C2679" i="3"/>
  <c r="C2696" i="3"/>
  <c r="C2712" i="3"/>
  <c r="C2748" i="3"/>
  <c r="C2785" i="3"/>
  <c r="C2837" i="3"/>
  <c r="C2858" i="3"/>
  <c r="C2902" i="3"/>
  <c r="C2922" i="3"/>
  <c r="C2951" i="3"/>
  <c r="C3038" i="3"/>
  <c r="C3060" i="3"/>
  <c r="C3074" i="3"/>
  <c r="C3083" i="3"/>
  <c r="C3085" i="3"/>
  <c r="C3086" i="3"/>
  <c r="C3150" i="3"/>
  <c r="C3166" i="3"/>
  <c r="C3229" i="3"/>
  <c r="C3232" i="3"/>
  <c r="C3241" i="3"/>
  <c r="C3246" i="3"/>
  <c r="C3263" i="3"/>
  <c r="C3277" i="3"/>
  <c r="C3287" i="3"/>
  <c r="C3289" i="3"/>
  <c r="C3318" i="3"/>
  <c r="C3323" i="3"/>
  <c r="C3357" i="3"/>
  <c r="C3403" i="3"/>
  <c r="C3406" i="3"/>
  <c r="C3422" i="3"/>
  <c r="C3437" i="3"/>
  <c r="C3478" i="3"/>
  <c r="C3479" i="3"/>
  <c r="C3552" i="3"/>
  <c r="C3556" i="3"/>
  <c r="C3600" i="3"/>
  <c r="C3633" i="3"/>
  <c r="C3677" i="3"/>
  <c r="C3730" i="3"/>
  <c r="C3733" i="3"/>
  <c r="C3749" i="3"/>
  <c r="C3765" i="3"/>
  <c r="C3770" i="3"/>
  <c r="C3775" i="3"/>
  <c r="C3789" i="3"/>
  <c r="C3794" i="3"/>
  <c r="C3882" i="3"/>
  <c r="C3889" i="3"/>
  <c r="C3908" i="3"/>
  <c r="C3925" i="3"/>
  <c r="C3929" i="3"/>
  <c r="C3981" i="3"/>
  <c r="C3983" i="3"/>
  <c r="C4015" i="3"/>
  <c r="C4061" i="3"/>
  <c r="C4111" i="3"/>
  <c r="C4176" i="3"/>
  <c r="C4181" i="3"/>
  <c r="C4222" i="3"/>
  <c r="C4224" i="3"/>
  <c r="C4241" i="3"/>
  <c r="C4251" i="3"/>
  <c r="C4311" i="3"/>
  <c r="C4395" i="3"/>
  <c r="C4398" i="3"/>
  <c r="C4511" i="3"/>
  <c r="C4596" i="3"/>
  <c r="C4636" i="3"/>
  <c r="C4667" i="3"/>
  <c r="C4668" i="3"/>
  <c r="C4679" i="3"/>
  <c r="C4686" i="3"/>
  <c r="C4687" i="3"/>
  <c r="C4701" i="3"/>
  <c r="C4716" i="3"/>
  <c r="C4756" i="3"/>
  <c r="C4761" i="3"/>
  <c r="C4781" i="3"/>
  <c r="C4786" i="3"/>
  <c r="C70" i="3"/>
  <c r="C73" i="3"/>
  <c r="C180" i="3"/>
  <c r="C216" i="3"/>
  <c r="C222" i="3"/>
  <c r="C296" i="3"/>
  <c r="C300" i="3"/>
  <c r="C330" i="3"/>
  <c r="C338" i="3"/>
  <c r="C458" i="3"/>
  <c r="C518" i="3"/>
  <c r="C533" i="3"/>
  <c r="C679" i="3"/>
  <c r="C758" i="3"/>
  <c r="C768" i="3"/>
  <c r="C792" i="3"/>
  <c r="C863" i="3"/>
  <c r="C880" i="3"/>
  <c r="C891" i="3"/>
  <c r="C1024" i="3"/>
  <c r="C1036" i="3"/>
  <c r="C1156" i="3"/>
  <c r="C1163" i="3"/>
  <c r="C1239" i="3"/>
  <c r="C1303" i="3"/>
  <c r="C1364" i="3"/>
  <c r="C1408" i="3"/>
  <c r="C1428" i="3"/>
  <c r="C1708" i="3"/>
  <c r="C1906" i="3"/>
  <c r="C1950" i="3"/>
  <c r="C2051" i="3"/>
  <c r="C2065" i="3"/>
  <c r="C2098" i="3"/>
  <c r="C2329" i="3"/>
  <c r="C2413" i="3"/>
  <c r="C2433" i="3"/>
  <c r="C2490" i="3"/>
  <c r="C2602" i="3"/>
  <c r="C2642" i="3"/>
  <c r="C2688" i="3"/>
  <c r="C2854" i="3"/>
  <c r="C2920" i="3"/>
  <c r="C2935" i="3"/>
  <c r="C3026" i="3"/>
  <c r="C3244" i="3"/>
  <c r="C3251" i="3"/>
  <c r="C3260" i="3"/>
  <c r="C3319" i="3"/>
  <c r="C3360" i="3"/>
  <c r="C3392" i="3"/>
  <c r="C3464" i="3"/>
  <c r="C3503" i="3"/>
  <c r="C3542" i="3"/>
  <c r="C3545" i="3"/>
  <c r="C3548" i="3"/>
  <c r="C3645" i="3"/>
  <c r="C3670" i="3"/>
  <c r="C3699" i="3"/>
  <c r="C3795" i="3"/>
  <c r="C3893" i="3"/>
  <c r="C3938" i="3"/>
  <c r="C3972" i="3"/>
  <c r="C4041" i="3"/>
  <c r="C4125" i="3"/>
  <c r="C4209" i="3"/>
  <c r="C4334" i="3"/>
  <c r="C4470" i="3"/>
  <c r="C4513" i="3"/>
  <c r="C4578" i="3"/>
  <c r="C4579" i="3"/>
  <c r="C4681" i="3"/>
  <c r="C4757" i="3"/>
  <c r="C4769" i="3"/>
  <c r="C15" i="3"/>
  <c r="C42" i="3"/>
  <c r="C45" i="3"/>
  <c r="C220" i="3"/>
  <c r="C221" i="3"/>
  <c r="C224" i="3"/>
  <c r="C275" i="3"/>
  <c r="C290" i="3"/>
  <c r="C315" i="3"/>
  <c r="C405" i="3"/>
  <c r="C420" i="3"/>
  <c r="C421" i="3"/>
  <c r="C461" i="3"/>
  <c r="C466" i="3"/>
  <c r="C480" i="3"/>
  <c r="C492" i="3"/>
  <c r="C513" i="3"/>
  <c r="C530" i="3"/>
  <c r="C570" i="3"/>
  <c r="C588" i="3"/>
  <c r="C649" i="3"/>
  <c r="C659" i="3"/>
  <c r="C667" i="3"/>
  <c r="C690" i="3"/>
  <c r="C705" i="3"/>
  <c r="C777" i="3"/>
  <c r="C843" i="3"/>
  <c r="C882" i="3"/>
  <c r="C900" i="3"/>
  <c r="C902" i="3"/>
  <c r="C909" i="3"/>
  <c r="C933" i="3"/>
  <c r="C938" i="3"/>
  <c r="C945" i="3"/>
  <c r="C980" i="3"/>
  <c r="C990" i="3"/>
  <c r="C1002" i="3"/>
  <c r="C1016" i="3"/>
  <c r="C1026" i="3"/>
  <c r="C1060" i="3"/>
  <c r="C1076" i="3"/>
  <c r="C1094" i="3"/>
  <c r="C1139" i="3"/>
  <c r="C1184" i="3"/>
  <c r="C1273" i="3"/>
  <c r="C1379" i="3"/>
  <c r="C1400" i="3"/>
  <c r="C1409" i="3"/>
  <c r="C1434" i="3"/>
  <c r="C1470" i="3"/>
  <c r="C1617" i="3"/>
  <c r="C1637" i="3"/>
  <c r="C1721" i="3"/>
  <c r="C1763" i="3"/>
  <c r="C1791" i="3"/>
  <c r="C1800" i="3"/>
  <c r="C1917" i="3"/>
  <c r="C1922" i="3"/>
  <c r="C1926" i="3"/>
  <c r="C2034" i="3"/>
  <c r="C2035" i="3"/>
  <c r="C2161" i="3"/>
  <c r="C2223" i="3"/>
  <c r="C2225" i="3"/>
  <c r="C2291" i="3"/>
  <c r="C2293" i="3"/>
  <c r="C2306" i="3"/>
  <c r="C2317" i="3"/>
  <c r="C2336" i="3"/>
  <c r="C2366" i="3"/>
  <c r="C2399" i="3"/>
  <c r="C2407" i="3"/>
  <c r="C2447" i="3"/>
  <c r="C2451" i="3"/>
  <c r="C2482" i="3"/>
  <c r="C2489" i="3"/>
  <c r="C2511" i="3"/>
  <c r="C2515" i="3"/>
  <c r="C2610" i="3"/>
  <c r="C2636" i="3"/>
  <c r="C2643" i="3"/>
  <c r="C2650" i="3"/>
  <c r="C2710" i="3"/>
  <c r="C2774" i="3"/>
  <c r="C2839" i="3"/>
  <c r="C2867" i="3"/>
  <c r="C2886" i="3"/>
  <c r="C2895" i="3"/>
  <c r="C2898" i="3"/>
  <c r="C2942" i="3"/>
  <c r="C2956" i="3"/>
  <c r="C2960" i="3"/>
  <c r="C3005" i="3"/>
  <c r="C3054" i="3"/>
  <c r="C3076" i="3"/>
  <c r="C3095" i="3"/>
  <c r="C3113" i="3"/>
  <c r="C3159" i="3"/>
  <c r="C3168" i="3"/>
  <c r="C3215" i="3"/>
  <c r="C3222" i="3"/>
  <c r="C3248" i="3"/>
  <c r="C3307" i="3"/>
  <c r="C3353" i="3"/>
  <c r="C3370" i="3"/>
  <c r="C3394" i="3"/>
  <c r="C3423" i="3"/>
  <c r="C3425" i="3"/>
  <c r="C3465" i="3"/>
  <c r="C3510" i="3"/>
  <c r="C3539" i="3"/>
  <c r="C3584" i="3"/>
  <c r="C3587" i="3"/>
  <c r="C3591" i="3"/>
  <c r="C3630" i="3"/>
  <c r="C3644" i="3"/>
  <c r="C3654" i="3"/>
  <c r="C3676" i="3"/>
  <c r="C3776" i="3"/>
  <c r="C3804" i="3"/>
  <c r="C3831" i="3"/>
  <c r="C3962" i="3"/>
  <c r="C4051" i="3"/>
  <c r="C4052" i="3"/>
  <c r="C4062" i="3"/>
  <c r="C4075" i="3"/>
  <c r="C4085" i="3"/>
  <c r="C4095" i="3"/>
  <c r="C4159" i="3"/>
  <c r="C4160" i="3"/>
  <c r="C4170" i="3"/>
  <c r="C4264" i="3"/>
  <c r="C4271" i="3"/>
  <c r="C4427" i="3"/>
  <c r="C4435" i="3"/>
  <c r="C4450" i="3"/>
  <c r="C4451" i="3"/>
  <c r="C4547" i="3"/>
  <c r="C4567" i="3"/>
  <c r="C4580" i="3"/>
  <c r="C4641" i="3"/>
  <c r="C4745" i="3"/>
  <c r="C4764" i="3"/>
  <c r="C4790" i="3"/>
  <c r="C4808" i="3"/>
  <c r="C4817" i="3"/>
  <c r="C3" i="3"/>
  <c r="C61" i="3"/>
  <c r="C135" i="3"/>
  <c r="C190" i="3"/>
  <c r="C261" i="3"/>
  <c r="C264" i="3"/>
  <c r="C426" i="3"/>
  <c r="C486" i="3"/>
  <c r="C537" i="3"/>
  <c r="C542" i="3"/>
  <c r="C606" i="3"/>
  <c r="C613" i="3"/>
  <c r="C633" i="3"/>
  <c r="C634" i="3"/>
  <c r="C654" i="3"/>
  <c r="C672" i="3"/>
  <c r="C698" i="3"/>
  <c r="C712" i="3"/>
  <c r="C726" i="3"/>
  <c r="C730" i="3"/>
  <c r="C766" i="3"/>
  <c r="C798" i="3"/>
  <c r="C804" i="3"/>
  <c r="C838" i="3"/>
  <c r="C840" i="3"/>
  <c r="C1011" i="3"/>
  <c r="C1149" i="3"/>
  <c r="C1350" i="3"/>
  <c r="C1429" i="3"/>
  <c r="C1522" i="3"/>
  <c r="C1549" i="3"/>
  <c r="C1746" i="3"/>
  <c r="C1948" i="3"/>
  <c r="C1991" i="3"/>
  <c r="C2048" i="3"/>
  <c r="C2170" i="3"/>
  <c r="C2197" i="3"/>
  <c r="C2278" i="3"/>
  <c r="C2328" i="3"/>
  <c r="C2386" i="3"/>
  <c r="C2410" i="3"/>
  <c r="C2450" i="3"/>
  <c r="C2547" i="3"/>
  <c r="C2626" i="3"/>
  <c r="C2656" i="3"/>
  <c r="C2701" i="3"/>
  <c r="C2711" i="3"/>
  <c r="C2777" i="3"/>
  <c r="C2782" i="3"/>
  <c r="C2789" i="3"/>
  <c r="C2809" i="3"/>
  <c r="C2838" i="3"/>
  <c r="C2873" i="3"/>
  <c r="C2880" i="3"/>
  <c r="C2901" i="3"/>
  <c r="C2946" i="3"/>
  <c r="C2954" i="3"/>
  <c r="C2976" i="3"/>
  <c r="C3049" i="3"/>
  <c r="C3169" i="3"/>
  <c r="C3242" i="3"/>
  <c r="C3308" i="3"/>
  <c r="C3315" i="3"/>
  <c r="C3355" i="3"/>
  <c r="C3400" i="3"/>
  <c r="C3456" i="3"/>
  <c r="C3524" i="3"/>
  <c r="C3561" i="3"/>
  <c r="C3569" i="3"/>
  <c r="C3641" i="3"/>
  <c r="C3652" i="3"/>
  <c r="C3783" i="3"/>
  <c r="C3825" i="3"/>
  <c r="C3852" i="3"/>
  <c r="C3873" i="3"/>
  <c r="C3895" i="3"/>
  <c r="C3919" i="3"/>
  <c r="C3928" i="3"/>
  <c r="C3939" i="3"/>
  <c r="C3941" i="3"/>
  <c r="C3956" i="3"/>
  <c r="C4044" i="3"/>
  <c r="C4053" i="3"/>
  <c r="C4083" i="3"/>
  <c r="C4091" i="3"/>
  <c r="C4119" i="3"/>
  <c r="C4138" i="3"/>
  <c r="C4143" i="3"/>
  <c r="C4276" i="3"/>
  <c r="C4294" i="3"/>
  <c r="C4439" i="3"/>
  <c r="C4497" i="3"/>
  <c r="C4544" i="3"/>
  <c r="C4560" i="3"/>
  <c r="C4566" i="3"/>
  <c r="C4570" i="3"/>
  <c r="C4613" i="3"/>
  <c r="C4631" i="3"/>
  <c r="C4642" i="3"/>
  <c r="C4691" i="3"/>
  <c r="C4742" i="3"/>
  <c r="C4763" i="3"/>
  <c r="C4774" i="3"/>
  <c r="C4801" i="3"/>
  <c r="C6" i="3"/>
  <c r="C21" i="3"/>
  <c r="C87" i="3"/>
  <c r="C103" i="3"/>
  <c r="C112" i="3"/>
  <c r="C201" i="3"/>
  <c r="C206" i="3"/>
  <c r="C219" i="3"/>
  <c r="C273" i="3"/>
  <c r="C310" i="3"/>
  <c r="C312" i="3"/>
  <c r="C345" i="3"/>
  <c r="C361" i="3"/>
  <c r="C508" i="3"/>
  <c r="C566" i="3"/>
  <c r="C711" i="3"/>
  <c r="C864" i="3"/>
  <c r="C873" i="3"/>
  <c r="C885" i="3"/>
  <c r="C1172" i="3"/>
  <c r="C1238" i="3"/>
  <c r="C1274" i="3"/>
  <c r="C1295" i="3"/>
  <c r="C1310" i="3"/>
  <c r="C1318" i="3"/>
  <c r="C1336" i="3"/>
  <c r="C1491" i="3"/>
  <c r="C1558" i="3"/>
  <c r="C1576" i="3"/>
  <c r="C1622" i="3"/>
  <c r="C1744" i="3"/>
  <c r="C1790" i="3"/>
  <c r="C1819" i="3"/>
  <c r="C1846" i="3"/>
  <c r="C1862" i="3"/>
  <c r="C1880" i="3"/>
  <c r="C1907" i="3"/>
  <c r="C1911" i="3"/>
  <c r="C1928" i="3"/>
  <c r="C1961" i="3"/>
  <c r="C2011" i="3"/>
  <c r="C2042" i="3"/>
  <c r="C2074" i="3"/>
  <c r="C2205" i="3"/>
  <c r="C2287" i="3"/>
  <c r="C2297" i="3"/>
  <c r="C2400" i="3"/>
  <c r="C2428" i="3"/>
  <c r="C2430" i="3"/>
  <c r="C2488" i="3"/>
  <c r="C2555" i="3"/>
  <c r="C2592" i="3"/>
  <c r="C2806" i="3"/>
  <c r="C2814" i="3"/>
  <c r="C2887" i="3"/>
  <c r="C2910" i="3"/>
  <c r="C2916" i="3"/>
  <c r="C3257" i="3"/>
  <c r="C3326" i="3"/>
  <c r="C3391" i="3"/>
  <c r="C3442" i="3"/>
  <c r="C3449" i="3"/>
  <c r="C3475" i="3"/>
  <c r="C3567" i="3"/>
  <c r="C3576" i="3"/>
  <c r="C3582" i="3"/>
  <c r="C3602" i="3"/>
  <c r="C3649" i="3"/>
  <c r="C3660" i="3"/>
  <c r="C3665" i="3"/>
  <c r="C3688" i="3"/>
  <c r="C3867" i="3"/>
  <c r="C3926" i="3"/>
  <c r="C3976" i="3"/>
  <c r="C3977" i="3"/>
  <c r="C4007" i="3"/>
  <c r="C4021" i="3"/>
  <c r="C4287" i="3"/>
  <c r="C4401" i="3"/>
  <c r="C4449" i="3"/>
  <c r="C4514" i="3"/>
  <c r="C4516" i="3"/>
  <c r="C4593" i="3"/>
  <c r="C4595" i="3"/>
  <c r="C4762" i="3"/>
  <c r="C4794" i="3"/>
  <c r="C33" i="3"/>
  <c r="C111" i="3"/>
  <c r="C212" i="3"/>
  <c r="C217" i="3"/>
  <c r="C247" i="3"/>
  <c r="C298" i="3"/>
  <c r="C352" i="3"/>
  <c r="C396" i="3"/>
  <c r="C463" i="3"/>
  <c r="C509" i="3"/>
  <c r="C555" i="3"/>
  <c r="C563" i="3"/>
  <c r="C585" i="3"/>
  <c r="C594" i="3"/>
  <c r="C612" i="3"/>
  <c r="C646" i="3"/>
  <c r="C652" i="3"/>
  <c r="C771" i="3"/>
  <c r="C867" i="3"/>
  <c r="C879" i="3"/>
  <c r="C995" i="3"/>
  <c r="C1046" i="3"/>
  <c r="C1123" i="3"/>
  <c r="C1137" i="3"/>
  <c r="C1253" i="3"/>
  <c r="C1306" i="3"/>
  <c r="C1330" i="3"/>
  <c r="C1345" i="3"/>
  <c r="C1368" i="3"/>
  <c r="C1397" i="3"/>
  <c r="C1450" i="3"/>
  <c r="C1705" i="3"/>
  <c r="C1753" i="3"/>
  <c r="C1771" i="3"/>
  <c r="C1826" i="3"/>
  <c r="C1997" i="3"/>
  <c r="C2006" i="3"/>
  <c r="C2009" i="3"/>
  <c r="C2017" i="3"/>
  <c r="C2037" i="3"/>
  <c r="C2069" i="3"/>
  <c r="C2132" i="3"/>
  <c r="C2135" i="3"/>
  <c r="C2244" i="3"/>
  <c r="C2283" i="3"/>
  <c r="C2379" i="3"/>
  <c r="C2444" i="3"/>
  <c r="C2619" i="3"/>
  <c r="C2692" i="3"/>
  <c r="C2697" i="3"/>
  <c r="C2713" i="3"/>
  <c r="C2827" i="3"/>
  <c r="C2906" i="3"/>
  <c r="C3027" i="3"/>
  <c r="C3081" i="3"/>
  <c r="C3082" i="3"/>
  <c r="C3127" i="3"/>
  <c r="C3210" i="3"/>
  <c r="C3212" i="3"/>
  <c r="C3338" i="3"/>
  <c r="C3368" i="3"/>
  <c r="C3398" i="3"/>
  <c r="C3443" i="3"/>
  <c r="C3463" i="3"/>
  <c r="C3487" i="3"/>
  <c r="C3522" i="3"/>
  <c r="C3580" i="3"/>
  <c r="C3596" i="3"/>
  <c r="C3609" i="3"/>
  <c r="C3823" i="3"/>
  <c r="C3842" i="3"/>
  <c r="C3930" i="3"/>
  <c r="C4087" i="3"/>
  <c r="C4124" i="3"/>
  <c r="C4320" i="3"/>
  <c r="C4342" i="3"/>
  <c r="C4494" i="3"/>
  <c r="C4660" i="3"/>
  <c r="C4805" i="3"/>
  <c r="C1515" i="3"/>
  <c r="C1598" i="3"/>
  <c r="C2658" i="3"/>
  <c r="C2988" i="3"/>
  <c r="C3115" i="3"/>
  <c r="C3586" i="3"/>
  <c r="C4023" i="3"/>
  <c r="C4600" i="3"/>
  <c r="C51" i="3"/>
  <c r="C104" i="3"/>
  <c r="C110" i="3"/>
  <c r="C226" i="3"/>
  <c r="C248" i="3"/>
  <c r="C286" i="3"/>
  <c r="C320" i="3"/>
  <c r="C371" i="3"/>
  <c r="C448" i="3"/>
  <c r="C547" i="3"/>
  <c r="C647" i="3"/>
  <c r="C735" i="3"/>
  <c r="C866" i="3"/>
  <c r="C897" i="3"/>
  <c r="C935" i="3"/>
  <c r="C940" i="3"/>
  <c r="C950" i="3"/>
  <c r="C966" i="3"/>
  <c r="C975" i="3"/>
  <c r="C1079" i="3"/>
  <c r="C1160" i="3"/>
  <c r="C1351" i="3"/>
  <c r="C1583" i="3"/>
  <c r="C1630" i="3"/>
  <c r="C1662" i="3"/>
  <c r="C1663" i="3"/>
  <c r="C1773" i="3"/>
  <c r="C1787" i="3"/>
  <c r="C1842" i="3"/>
  <c r="C1865" i="3"/>
  <c r="C2092" i="3"/>
  <c r="C2138" i="3"/>
  <c r="C2176" i="3"/>
  <c r="C2196" i="3"/>
  <c r="C2221" i="3"/>
  <c r="C2229" i="3"/>
  <c r="C2276" i="3"/>
  <c r="C2312" i="3"/>
  <c r="C2412" i="3"/>
  <c r="C2424" i="3"/>
  <c r="C2474" i="3"/>
  <c r="C2503" i="3"/>
  <c r="C2593" i="3"/>
  <c r="C2596" i="3"/>
  <c r="C2628" i="3"/>
  <c r="C2654" i="3"/>
  <c r="C2792" i="3"/>
  <c r="C2823" i="3"/>
  <c r="C2825" i="3"/>
  <c r="C2856" i="3"/>
  <c r="C2871" i="3"/>
  <c r="C2921" i="3"/>
  <c r="C2941" i="3"/>
  <c r="C3020" i="3"/>
  <c r="C3044" i="3"/>
  <c r="C3073" i="3"/>
  <c r="C3112" i="3"/>
  <c r="C3154" i="3"/>
  <c r="C3188" i="3"/>
  <c r="C3211" i="3"/>
  <c r="C3219" i="3"/>
  <c r="C3252" i="3"/>
  <c r="C3265" i="3"/>
  <c r="C3325" i="3"/>
  <c r="C3367" i="3"/>
  <c r="C3372" i="3"/>
  <c r="C3381" i="3"/>
  <c r="C3405" i="3"/>
  <c r="C3631" i="3"/>
  <c r="C3648" i="3"/>
  <c r="C3655" i="3"/>
  <c r="C3668" i="3"/>
  <c r="C3692" i="3"/>
  <c r="C3745" i="3"/>
  <c r="C3773" i="3"/>
  <c r="C3865" i="3"/>
  <c r="C3950" i="3"/>
  <c r="C4008" i="3"/>
  <c r="C4059" i="3"/>
  <c r="C4065" i="3"/>
  <c r="C4107" i="3"/>
  <c r="C4217" i="3"/>
  <c r="C4246" i="3"/>
  <c r="C4278" i="3"/>
  <c r="C4333" i="3"/>
  <c r="C4363" i="3"/>
  <c r="C4430" i="3"/>
  <c r="C4461" i="3"/>
  <c r="C4554" i="3"/>
  <c r="C4565" i="3"/>
  <c r="C4622" i="3"/>
  <c r="C4639" i="3"/>
  <c r="C4663" i="3"/>
  <c r="C4688" i="3"/>
  <c r="C4690" i="3"/>
  <c r="C4806" i="3"/>
  <c r="C4826" i="3"/>
  <c r="C119" i="3"/>
  <c r="C159" i="3"/>
  <c r="C166" i="3"/>
  <c r="C188" i="3"/>
  <c r="C260" i="3"/>
  <c r="C390" i="3"/>
  <c r="C395" i="3"/>
  <c r="C473" i="3"/>
  <c r="C511" i="3"/>
  <c r="C517" i="3"/>
  <c r="C587" i="3"/>
  <c r="C655" i="3"/>
  <c r="C662" i="3"/>
  <c r="C724" i="3"/>
  <c r="C743" i="3"/>
  <c r="C929" i="3"/>
  <c r="C1038" i="3"/>
  <c r="C1048" i="3"/>
  <c r="C1074" i="3"/>
  <c r="C1126" i="3"/>
  <c r="C1132" i="3"/>
  <c r="C1229" i="3"/>
  <c r="C1272" i="3"/>
  <c r="C1300" i="3"/>
  <c r="C1313" i="3"/>
  <c r="C1335" i="3"/>
  <c r="C1365" i="3"/>
  <c r="C1382" i="3"/>
  <c r="C1485" i="3"/>
  <c r="C1624" i="3"/>
  <c r="C1645" i="3"/>
  <c r="C1683" i="3"/>
  <c r="C1795" i="3"/>
  <c r="C1848" i="3"/>
  <c r="C1861" i="3"/>
  <c r="C1878" i="3"/>
  <c r="C1937" i="3"/>
  <c r="C1966" i="3"/>
  <c r="C2019" i="3"/>
  <c r="C2112" i="3"/>
  <c r="C2145" i="3"/>
  <c r="C2240" i="3"/>
  <c r="C2281" i="3"/>
  <c r="C2419" i="3"/>
  <c r="C2615" i="3"/>
  <c r="C2685" i="3"/>
  <c r="C2707" i="3"/>
  <c r="C2749" i="3"/>
  <c r="C2832" i="3"/>
  <c r="C2900" i="3"/>
  <c r="C3032" i="3"/>
  <c r="C3034" i="3"/>
  <c r="C3070" i="3"/>
  <c r="C3217" i="3"/>
  <c r="C3224" i="3"/>
  <c r="C3457" i="3"/>
  <c r="C3481" i="3"/>
  <c r="C3482" i="3"/>
  <c r="C3664" i="3"/>
  <c r="C3807" i="3"/>
  <c r="C3900" i="3"/>
  <c r="C3934" i="3"/>
  <c r="C3985" i="3"/>
  <c r="C4077" i="3"/>
  <c r="C4126" i="3"/>
  <c r="C4178" i="3"/>
  <c r="C4197" i="3"/>
  <c r="C4207" i="3"/>
  <c r="C4239" i="3"/>
  <c r="C4245" i="3"/>
  <c r="C4313" i="3"/>
  <c r="C4458" i="3"/>
  <c r="C4495" i="3"/>
  <c r="C4585" i="3"/>
  <c r="C4590" i="3"/>
  <c r="C4607" i="3"/>
  <c r="C4637" i="3"/>
  <c r="C4680" i="3"/>
  <c r="C4699" i="3"/>
  <c r="C4712" i="3"/>
  <c r="C4713" i="3"/>
  <c r="C4760" i="3"/>
  <c r="C4787" i="3"/>
  <c r="C52" i="3"/>
  <c r="C76" i="3"/>
  <c r="C91" i="3"/>
  <c r="C126" i="3"/>
  <c r="C146" i="3"/>
  <c r="C196" i="3"/>
  <c r="C208" i="3"/>
  <c r="C209" i="3"/>
  <c r="C230" i="3"/>
  <c r="C251" i="3"/>
  <c r="C302" i="3"/>
  <c r="C314" i="3"/>
  <c r="C327" i="3"/>
  <c r="C386" i="3"/>
  <c r="C388" i="3"/>
  <c r="C459" i="3"/>
  <c r="C661" i="3"/>
  <c r="C737" i="3"/>
  <c r="C761" i="3"/>
  <c r="C788" i="3"/>
  <c r="C839" i="3"/>
  <c r="C936" i="3"/>
  <c r="C974" i="3"/>
  <c r="C1100" i="3"/>
  <c r="C1165" i="3"/>
  <c r="C1199" i="3"/>
  <c r="C1209" i="3"/>
  <c r="C1277" i="3"/>
  <c r="C1377" i="3"/>
  <c r="C1449" i="3"/>
  <c r="C1469" i="3"/>
  <c r="C1480" i="3"/>
  <c r="C1489" i="3"/>
  <c r="C1527" i="3"/>
  <c r="C1537" i="3"/>
  <c r="C1587" i="3"/>
  <c r="C1597" i="3"/>
  <c r="C1672" i="3"/>
  <c r="C1737" i="3"/>
  <c r="C1797" i="3"/>
  <c r="C1818" i="3"/>
  <c r="C1824" i="3"/>
  <c r="C1849" i="3"/>
  <c r="C1909" i="3"/>
  <c r="C1935" i="3"/>
  <c r="C1943" i="3"/>
  <c r="C1974" i="3"/>
  <c r="C2012" i="3"/>
  <c r="C2094" i="3"/>
  <c r="C2120" i="3"/>
  <c r="C2189" i="3"/>
  <c r="C2354" i="3"/>
  <c r="C2381" i="3"/>
  <c r="C2453" i="3"/>
  <c r="C2454" i="3"/>
  <c r="C2457" i="3"/>
  <c r="C2481" i="3"/>
  <c r="C2487" i="3"/>
  <c r="C2505" i="3"/>
  <c r="C2514" i="3"/>
  <c r="C2521" i="3"/>
  <c r="C2538" i="3"/>
  <c r="C2590" i="3"/>
  <c r="C2611" i="3"/>
  <c r="C2660" i="3"/>
  <c r="C2784" i="3"/>
  <c r="C2970" i="3"/>
  <c r="C3093" i="3"/>
  <c r="C3138" i="3"/>
  <c r="C3161" i="3"/>
  <c r="C3180" i="3"/>
  <c r="C3196" i="3"/>
  <c r="C3198" i="3"/>
  <c r="C3254" i="3"/>
  <c r="C3322" i="3"/>
  <c r="C3354" i="3"/>
  <c r="C3358" i="3"/>
  <c r="C3387" i="3"/>
  <c r="C3409" i="3"/>
  <c r="C3414" i="3"/>
  <c r="C3428" i="3"/>
  <c r="C3551" i="3"/>
  <c r="C3571" i="3"/>
  <c r="C3597" i="3"/>
  <c r="C3704" i="3"/>
  <c r="C3798" i="3"/>
  <c r="C3836" i="3"/>
  <c r="C3878" i="3"/>
  <c r="C3905" i="3"/>
  <c r="C4089" i="3"/>
  <c r="C4130" i="3"/>
  <c r="C4344" i="3"/>
  <c r="C4360" i="3"/>
  <c r="C4457" i="3"/>
  <c r="C4722" i="3"/>
  <c r="C4782" i="3"/>
  <c r="C4789" i="3"/>
  <c r="C4802" i="3"/>
  <c r="C158" i="3"/>
  <c r="C165" i="3"/>
  <c r="C192" i="3"/>
  <c r="C262" i="3"/>
  <c r="C293" i="3"/>
  <c r="C295" i="3"/>
  <c r="C342" i="3"/>
  <c r="C370" i="3"/>
  <c r="C543" i="3"/>
  <c r="C565" i="3"/>
  <c r="C660" i="3"/>
  <c r="C746" i="3"/>
  <c r="C816" i="3"/>
  <c r="C888" i="3"/>
  <c r="C893" i="3"/>
  <c r="C922" i="3"/>
  <c r="C985" i="3"/>
  <c r="C996" i="3"/>
  <c r="C1014" i="3"/>
  <c r="C1181" i="3"/>
  <c r="C1208" i="3"/>
  <c r="C1222" i="3"/>
  <c r="C1276" i="3"/>
  <c r="C1293" i="3"/>
  <c r="C1413" i="3"/>
  <c r="C1512" i="3"/>
  <c r="C1555" i="3"/>
  <c r="C1729" i="3"/>
  <c r="C1741" i="3"/>
  <c r="C1745" i="3"/>
  <c r="C1761" i="3"/>
  <c r="C1886" i="3"/>
  <c r="C1916" i="3"/>
  <c r="C1962" i="3"/>
  <c r="C2024" i="3"/>
  <c r="C2202" i="3"/>
  <c r="C2230" i="3"/>
  <c r="C2294" i="3"/>
  <c r="C2425" i="3"/>
  <c r="C2434" i="3"/>
  <c r="C2510" i="3"/>
  <c r="C2545" i="3"/>
  <c r="C2594" i="3"/>
  <c r="C2613" i="3"/>
  <c r="C2621" i="3"/>
  <c r="C2764" i="3"/>
  <c r="C2795" i="3"/>
  <c r="C2936" i="3"/>
  <c r="C2982" i="3"/>
  <c r="C2991" i="3"/>
  <c r="C3006" i="3"/>
  <c r="C3134" i="3"/>
  <c r="C3174" i="3"/>
  <c r="C3390" i="3"/>
  <c r="C3421" i="3"/>
  <c r="C3467" i="3"/>
  <c r="C3471" i="3"/>
  <c r="C3518" i="3"/>
  <c r="C3575" i="3"/>
  <c r="C3732" i="3"/>
  <c r="C3827" i="3"/>
  <c r="C3906" i="3"/>
  <c r="C3986" i="3"/>
  <c r="C4010" i="3"/>
  <c r="C4049" i="3"/>
  <c r="C4329" i="3"/>
  <c r="C4346" i="3"/>
  <c r="C4364" i="3"/>
  <c r="C4498" i="3"/>
  <c r="C4506" i="3"/>
  <c r="C4765" i="3"/>
  <c r="C4771" i="3"/>
  <c r="C4833" i="3"/>
  <c r="C84" i="3"/>
  <c r="C136" i="3"/>
  <c r="C167" i="3"/>
  <c r="C243" i="3"/>
  <c r="C403" i="3"/>
  <c r="C404" i="3"/>
  <c r="C412" i="3"/>
  <c r="C467" i="3"/>
  <c r="C626" i="3"/>
  <c r="C666" i="3"/>
  <c r="C701" i="3"/>
  <c r="C951" i="3"/>
  <c r="C954" i="3"/>
  <c r="C1015" i="3"/>
  <c r="C1108" i="3"/>
  <c r="C1226" i="3"/>
  <c r="C1418" i="3"/>
  <c r="C1419" i="3"/>
  <c r="C1478" i="3"/>
  <c r="C1606" i="3"/>
  <c r="C1613" i="3"/>
  <c r="C1718" i="3"/>
  <c r="C1722" i="3"/>
  <c r="C1908" i="3"/>
  <c r="C1958" i="3"/>
  <c r="C2056" i="3"/>
  <c r="C2109" i="3"/>
  <c r="C2216" i="3"/>
  <c r="C2260" i="3"/>
  <c r="C2315" i="3"/>
  <c r="C2335" i="3"/>
  <c r="C2422" i="3"/>
  <c r="C2437" i="3"/>
  <c r="C2452" i="3"/>
  <c r="C2499" i="3"/>
  <c r="C2524" i="3"/>
  <c r="C2581" i="3"/>
  <c r="C2591" i="3"/>
  <c r="C2675" i="3"/>
  <c r="C3039" i="3"/>
  <c r="C3087" i="3"/>
  <c r="C3125" i="3"/>
  <c r="C3175" i="3"/>
  <c r="C3200" i="3"/>
  <c r="C3223" i="3"/>
  <c r="C3284" i="3"/>
  <c r="C3455" i="3"/>
  <c r="C3608" i="3"/>
  <c r="C3643" i="3"/>
  <c r="C3694" i="3"/>
  <c r="C3702" i="3"/>
  <c r="C3880" i="3"/>
  <c r="C3904" i="3"/>
  <c r="C3909" i="3"/>
  <c r="C3917" i="3"/>
  <c r="C3951" i="3"/>
  <c r="C3954" i="3"/>
  <c r="C4392" i="3"/>
  <c r="C4629" i="3"/>
  <c r="C4671" i="3"/>
  <c r="C4677" i="3"/>
  <c r="C4737" i="3"/>
  <c r="C4739" i="3"/>
  <c r="C4740" i="3"/>
  <c r="C4795" i="3"/>
  <c r="C17" i="3"/>
  <c r="C68" i="3"/>
  <c r="C94" i="3"/>
  <c r="C120" i="3"/>
  <c r="C176" i="3"/>
  <c r="C367" i="3"/>
  <c r="C433" i="3"/>
  <c r="C442" i="3"/>
  <c r="C532" i="3"/>
  <c r="C568" i="3"/>
  <c r="C591" i="3"/>
  <c r="C707" i="3"/>
  <c r="C811" i="3"/>
  <c r="C851" i="3"/>
  <c r="C860" i="3"/>
  <c r="C908" i="3"/>
  <c r="C911" i="3"/>
  <c r="C1084" i="3"/>
  <c r="C1170" i="3"/>
  <c r="C1232" i="3"/>
  <c r="C1242" i="3"/>
  <c r="C1271" i="3"/>
  <c r="C1328" i="3"/>
  <c r="C1495" i="3"/>
  <c r="C1502" i="3"/>
  <c r="C1546" i="3"/>
  <c r="C1604" i="3"/>
  <c r="C1670" i="3"/>
  <c r="C1701" i="3"/>
  <c r="C1822" i="3"/>
  <c r="C1864" i="3"/>
  <c r="C1887" i="3"/>
  <c r="C2206" i="3"/>
  <c r="C2295" i="3"/>
  <c r="C2355" i="3"/>
  <c r="C2548" i="3"/>
  <c r="C2597" i="3"/>
  <c r="C2751" i="3"/>
  <c r="C2803" i="3"/>
  <c r="C2855" i="3"/>
  <c r="C2860" i="3"/>
  <c r="C2885" i="3"/>
  <c r="C2940" i="3"/>
  <c r="C2979" i="3"/>
  <c r="C3062" i="3"/>
  <c r="C3132" i="3"/>
  <c r="C3204" i="3"/>
  <c r="C3313" i="3"/>
  <c r="C3314" i="3"/>
  <c r="C3376" i="3"/>
  <c r="C3450" i="3"/>
  <c r="C3498" i="3"/>
  <c r="C3506" i="3"/>
  <c r="C3528" i="3"/>
  <c r="C3549" i="3"/>
  <c r="C3555" i="3"/>
  <c r="C3593" i="3"/>
  <c r="C3748" i="3"/>
  <c r="C3848" i="3"/>
  <c r="C3868" i="3"/>
  <c r="C3901" i="3"/>
  <c r="C3965" i="3"/>
  <c r="C4096" i="3"/>
  <c r="C4242" i="3"/>
  <c r="C4366" i="3"/>
  <c r="C4455" i="3"/>
  <c r="C4486" i="3"/>
  <c r="C4611" i="3"/>
  <c r="C4620" i="3"/>
  <c r="C4689" i="3"/>
  <c r="C4758" i="3"/>
  <c r="C4" i="3"/>
  <c r="C5" i="3"/>
  <c r="C13" i="3"/>
  <c r="C25" i="3"/>
  <c r="C44" i="3"/>
  <c r="C55" i="3"/>
  <c r="C124" i="3"/>
  <c r="C142" i="3"/>
  <c r="C227" i="3"/>
  <c r="C349" i="3"/>
  <c r="C415" i="3"/>
  <c r="C431" i="3"/>
  <c r="C462" i="3"/>
  <c r="C470" i="3"/>
  <c r="C540" i="3"/>
  <c r="C569" i="3"/>
  <c r="C580" i="3"/>
  <c r="C604" i="3"/>
  <c r="C721" i="3"/>
  <c r="C750" i="3"/>
  <c r="C778" i="3"/>
  <c r="C780" i="3"/>
  <c r="C793" i="3"/>
  <c r="C802" i="3"/>
  <c r="C819" i="3"/>
  <c r="C857" i="3"/>
  <c r="C868" i="3"/>
  <c r="C915" i="3"/>
  <c r="C983" i="3"/>
  <c r="C1006" i="3"/>
  <c r="C1044" i="3"/>
  <c r="C1056" i="3"/>
  <c r="C1131" i="3"/>
  <c r="C1133" i="3"/>
  <c r="C1143" i="3"/>
  <c r="C1148" i="3"/>
  <c r="C1236" i="3"/>
  <c r="C1309" i="3"/>
  <c r="C1320" i="3"/>
  <c r="C1323" i="3"/>
  <c r="C1417" i="3"/>
  <c r="C1438" i="3"/>
  <c r="C1483" i="3"/>
  <c r="C1650" i="3"/>
  <c r="C1652" i="3"/>
  <c r="C1725" i="3"/>
  <c r="C1796" i="3"/>
  <c r="C1815" i="3"/>
  <c r="C1827" i="3"/>
  <c r="C1854" i="3"/>
  <c r="C1891" i="3"/>
  <c r="C1898" i="3"/>
  <c r="C1929" i="3"/>
  <c r="C2103" i="3"/>
  <c r="C2117" i="3"/>
  <c r="C2157" i="3"/>
  <c r="C2192" i="3"/>
  <c r="C2288" i="3"/>
  <c r="C2343" i="3"/>
  <c r="C2391" i="3"/>
  <c r="C2463" i="3"/>
  <c r="C2478" i="3"/>
  <c r="C2498" i="3"/>
  <c r="C2507" i="3"/>
  <c r="C2513" i="3"/>
  <c r="C2690" i="3"/>
  <c r="C2719" i="3"/>
  <c r="C2736" i="3"/>
  <c r="C2745" i="3"/>
  <c r="C2780" i="3"/>
  <c r="C2846" i="3"/>
  <c r="C3065" i="3"/>
  <c r="C3341" i="3"/>
  <c r="C3544" i="3"/>
  <c r="C3605" i="3"/>
  <c r="C3657" i="3"/>
  <c r="C3658" i="3"/>
  <c r="C3673" i="3"/>
  <c r="C3737" i="3"/>
  <c r="C3763" i="3"/>
  <c r="C3792" i="3"/>
  <c r="C3815" i="3"/>
  <c r="C3935" i="3"/>
  <c r="C3943" i="3"/>
  <c r="C4012" i="3"/>
  <c r="C4013" i="3"/>
  <c r="C4016" i="3"/>
  <c r="C4018" i="3"/>
  <c r="C4037" i="3"/>
  <c r="C4045" i="3"/>
  <c r="C4102" i="3"/>
  <c r="C4220" i="3"/>
  <c r="C4232" i="3"/>
  <c r="C4250" i="3"/>
  <c r="C4253" i="3"/>
  <c r="C4254" i="3"/>
  <c r="C4286" i="3"/>
  <c r="C4292" i="3"/>
  <c r="C4293" i="3"/>
  <c r="C4305" i="3"/>
  <c r="C4352" i="3"/>
  <c r="C4353" i="3"/>
  <c r="C4408" i="3"/>
  <c r="C4444" i="3"/>
  <c r="C4473" i="3"/>
  <c r="C4546" i="3"/>
  <c r="C4561" i="3"/>
  <c r="C4569" i="3"/>
  <c r="C4584" i="3"/>
  <c r="C4602" i="3"/>
  <c r="C4617" i="3"/>
  <c r="C4635" i="3"/>
  <c r="C4695" i="3"/>
  <c r="C4767" i="3"/>
  <c r="C4777" i="3"/>
  <c r="C4824" i="3"/>
  <c r="C34" i="3"/>
  <c r="C154" i="3"/>
  <c r="C197" i="3"/>
  <c r="C240" i="3"/>
  <c r="C268" i="3"/>
  <c r="C309" i="3"/>
  <c r="C538" i="3"/>
  <c r="C551" i="3"/>
  <c r="C567" i="3"/>
  <c r="C685" i="3"/>
  <c r="C760" i="3"/>
  <c r="C764" i="3"/>
  <c r="C770" i="3"/>
  <c r="C876" i="3"/>
  <c r="C988" i="3"/>
  <c r="C1005" i="3"/>
  <c r="C1017" i="3"/>
  <c r="C1025" i="3"/>
  <c r="C1055" i="3"/>
  <c r="C1061" i="3"/>
  <c r="C1193" i="3"/>
  <c r="C1206" i="3"/>
  <c r="C1216" i="3"/>
  <c r="C1217" i="3"/>
  <c r="C1291" i="3"/>
  <c r="C1294" i="3"/>
  <c r="C1371" i="3"/>
  <c r="C1401" i="3"/>
  <c r="C1402" i="3"/>
  <c r="C1467" i="3"/>
  <c r="C1472" i="3"/>
  <c r="C1482" i="3"/>
  <c r="C1488" i="3"/>
  <c r="C1496" i="3"/>
  <c r="C1505" i="3"/>
  <c r="C1541" i="3"/>
  <c r="C1562" i="3"/>
  <c r="C1596" i="3"/>
  <c r="C1709" i="3"/>
  <c r="C1715" i="3"/>
  <c r="C1728" i="3"/>
  <c r="C1743" i="3"/>
  <c r="C1776" i="3"/>
  <c r="C1811" i="3"/>
  <c r="C1882" i="3"/>
  <c r="C1892" i="3"/>
  <c r="C1894" i="3"/>
  <c r="C1896" i="3"/>
  <c r="C1938" i="3"/>
  <c r="C1965" i="3"/>
  <c r="C1975" i="3"/>
  <c r="C2001" i="3"/>
  <c r="C2055" i="3"/>
  <c r="C2081" i="3"/>
  <c r="C2153" i="3"/>
  <c r="C2158" i="3"/>
  <c r="C2175" i="3"/>
  <c r="C2183" i="3"/>
  <c r="C2187" i="3"/>
  <c r="C2219" i="3"/>
  <c r="C2345" i="3"/>
  <c r="C2349" i="3"/>
  <c r="C2389" i="3"/>
  <c r="C2409" i="3"/>
  <c r="C2440" i="3"/>
  <c r="C2446" i="3"/>
  <c r="C2469" i="3"/>
  <c r="C2471" i="3"/>
  <c r="C2500" i="3"/>
  <c r="C2583" i="3"/>
  <c r="C2623" i="3"/>
  <c r="C2649" i="3"/>
  <c r="C2672" i="3"/>
  <c r="C2684" i="3"/>
  <c r="C2700" i="3"/>
  <c r="C2709" i="3"/>
  <c r="C2848" i="3"/>
  <c r="C2853" i="3"/>
  <c r="C2995" i="3"/>
  <c r="C3029" i="3"/>
  <c r="C3069" i="3"/>
  <c r="C3100" i="3"/>
  <c r="C3199" i="3"/>
  <c r="C3249" i="3"/>
  <c r="C3258" i="3"/>
  <c r="C3270" i="3"/>
  <c r="C3300" i="3"/>
  <c r="C3395" i="3"/>
  <c r="C3445" i="3"/>
  <c r="C3525" i="3"/>
  <c r="C3636" i="3"/>
  <c r="C3697" i="3"/>
  <c r="C3714" i="3"/>
  <c r="C3764" i="3"/>
  <c r="C3819" i="3"/>
  <c r="C3843" i="3"/>
  <c r="C3850" i="3"/>
  <c r="C3853" i="3"/>
  <c r="C3855" i="3"/>
  <c r="C3864" i="3"/>
  <c r="C3883" i="3"/>
  <c r="C3885" i="3"/>
  <c r="C3964" i="3"/>
  <c r="C3975" i="3"/>
  <c r="C3995" i="3"/>
  <c r="C4026" i="3"/>
  <c r="C4035" i="3"/>
  <c r="C4127" i="3"/>
  <c r="C4164" i="3"/>
  <c r="C4182" i="3"/>
  <c r="C4230" i="3"/>
  <c r="C4365" i="3"/>
  <c r="C4413" i="3"/>
  <c r="C4503" i="3"/>
  <c r="C4599" i="3"/>
  <c r="C4608" i="3"/>
  <c r="C4650" i="3"/>
  <c r="C4662" i="3"/>
  <c r="C4827" i="3"/>
  <c r="C32" i="3"/>
  <c r="C35" i="3"/>
  <c r="C37" i="3"/>
  <c r="C88" i="3"/>
  <c r="C108" i="3"/>
  <c r="C122" i="3"/>
  <c r="C184" i="3"/>
  <c r="C211" i="3"/>
  <c r="C223" i="3"/>
  <c r="C272" i="3"/>
  <c r="C283" i="3"/>
  <c r="C287" i="3"/>
  <c r="C304" i="3"/>
  <c r="C329" i="3"/>
  <c r="C340" i="3"/>
  <c r="C354" i="3"/>
  <c r="C414" i="3"/>
  <c r="C425" i="3"/>
  <c r="C430" i="3"/>
  <c r="C460" i="3"/>
  <c r="C464" i="3"/>
  <c r="C469" i="3"/>
  <c r="C484" i="3"/>
  <c r="C575" i="3"/>
  <c r="C586" i="3"/>
  <c r="C598" i="3"/>
  <c r="C689" i="3"/>
  <c r="C729" i="3"/>
  <c r="C805" i="3"/>
  <c r="C874" i="3"/>
  <c r="C1078" i="3"/>
  <c r="C1080" i="3"/>
  <c r="C1081" i="3"/>
  <c r="C1092" i="3"/>
  <c r="C1102" i="3"/>
  <c r="C1103" i="3"/>
  <c r="C1115" i="3"/>
  <c r="C1176" i="3"/>
  <c r="C1308" i="3"/>
  <c r="C1339" i="3"/>
  <c r="C1340" i="3"/>
  <c r="C1352" i="3"/>
  <c r="C1374" i="3"/>
  <c r="C1386" i="3"/>
  <c r="C1404" i="3"/>
  <c r="C1414" i="3"/>
  <c r="C1432" i="3"/>
  <c r="C1464" i="3"/>
  <c r="C1476" i="3"/>
  <c r="C1497" i="3"/>
  <c r="C1503" i="3"/>
  <c r="C1525" i="3"/>
  <c r="C1567" i="3"/>
  <c r="C1612" i="3"/>
  <c r="C1623" i="3"/>
  <c r="C1653" i="3"/>
  <c r="C1687" i="3"/>
  <c r="C1699" i="3"/>
  <c r="C1716" i="3"/>
  <c r="C1720" i="3"/>
  <c r="C1747" i="3"/>
  <c r="C1756" i="3"/>
  <c r="C1808" i="3"/>
  <c r="C1817" i="3"/>
  <c r="C1855" i="3"/>
  <c r="C1918" i="3"/>
  <c r="C1940" i="3"/>
  <c r="C1944" i="3"/>
  <c r="C1952" i="3"/>
  <c r="C1955" i="3"/>
  <c r="C1957" i="3"/>
  <c r="C1993" i="3"/>
  <c r="C2036" i="3"/>
  <c r="C2053" i="3"/>
  <c r="C2058" i="3"/>
  <c r="C2070" i="3"/>
  <c r="C2080" i="3"/>
  <c r="C2083" i="3"/>
  <c r="C2134" i="3"/>
  <c r="C2147" i="3"/>
  <c r="C2246" i="3"/>
  <c r="C2279" i="3"/>
  <c r="C2309" i="3"/>
  <c r="C2352" i="3"/>
  <c r="C2395" i="3"/>
  <c r="C2435" i="3"/>
  <c r="C2464" i="3"/>
  <c r="C2479" i="3"/>
  <c r="C2516" i="3"/>
  <c r="C2550" i="3"/>
  <c r="C2646" i="3"/>
  <c r="C2652" i="3"/>
  <c r="C2668" i="3"/>
  <c r="C2734" i="3"/>
  <c r="C2763" i="3"/>
  <c r="C2778" i="3"/>
  <c r="C2817" i="3"/>
  <c r="C2822" i="3"/>
  <c r="C2865" i="3"/>
  <c r="C2911" i="3"/>
  <c r="C2938" i="3"/>
  <c r="C2963" i="3"/>
  <c r="C2985" i="3"/>
  <c r="C3004" i="3"/>
  <c r="C3007" i="3"/>
  <c r="C3131" i="3"/>
  <c r="C3160" i="3"/>
  <c r="C3164" i="3"/>
  <c r="C3173" i="3"/>
  <c r="C3227" i="3"/>
  <c r="C3262" i="3"/>
  <c r="C3301" i="3"/>
  <c r="C3304" i="3"/>
  <c r="C3332" i="3"/>
  <c r="C3365" i="3"/>
  <c r="C3388" i="3"/>
  <c r="C3426" i="3"/>
  <c r="C3513" i="3"/>
  <c r="C3532" i="3"/>
  <c r="C3583" i="3"/>
  <c r="C3585" i="3"/>
  <c r="C3595" i="3"/>
  <c r="C3662" i="3"/>
  <c r="C3683" i="3"/>
  <c r="C3712" i="3"/>
  <c r="C3719" i="3"/>
  <c r="C3839" i="3"/>
  <c r="C3971" i="3"/>
  <c r="C3994" i="3"/>
  <c r="C4046" i="3"/>
  <c r="C4055" i="3"/>
  <c r="C4058" i="3"/>
  <c r="C4060" i="3"/>
  <c r="C4072" i="3"/>
  <c r="C4082" i="3"/>
  <c r="C4086" i="3"/>
  <c r="C4101" i="3"/>
  <c r="C4109" i="3"/>
  <c r="C4118" i="3"/>
  <c r="C4161" i="3"/>
  <c r="C4201" i="3"/>
  <c r="C4214" i="3"/>
  <c r="C4216" i="3"/>
  <c r="C4225" i="3"/>
  <c r="C4234" i="3"/>
  <c r="C4249" i="3"/>
  <c r="C4263" i="3"/>
  <c r="C4283" i="3"/>
  <c r="C4290" i="3"/>
  <c r="C4327" i="3"/>
  <c r="C4371" i="3"/>
  <c r="C4442" i="3"/>
  <c r="C4445" i="3"/>
  <c r="C4460" i="3"/>
  <c r="C4464" i="3"/>
  <c r="C4481" i="3"/>
  <c r="C4499" i="3"/>
  <c r="C4500" i="3"/>
  <c r="C4532" i="3"/>
  <c r="C4536" i="3"/>
  <c r="C4542" i="3"/>
  <c r="C4549" i="3"/>
  <c r="C4582" i="3"/>
  <c r="C4589" i="3"/>
  <c r="C4601" i="3"/>
  <c r="C4610" i="3"/>
  <c r="C4627" i="3"/>
  <c r="C4649" i="3"/>
  <c r="C4655" i="3"/>
  <c r="C4673" i="3"/>
  <c r="C4704" i="3"/>
  <c r="C4719" i="3"/>
  <c r="C4773" i="3"/>
  <c r="C4783" i="3"/>
  <c r="C40" i="3"/>
  <c r="C49" i="3"/>
  <c r="C79" i="3"/>
  <c r="C85" i="3"/>
  <c r="C96" i="3"/>
  <c r="C210" i="3"/>
  <c r="C267" i="3"/>
  <c r="C306" i="3"/>
  <c r="C311" i="3"/>
  <c r="C322" i="3"/>
  <c r="C356" i="3"/>
  <c r="C381" i="3"/>
  <c r="C436" i="3"/>
  <c r="C471" i="3"/>
  <c r="C475" i="3"/>
  <c r="C481" i="3"/>
  <c r="C578" i="3"/>
  <c r="C596" i="3"/>
  <c r="C664" i="3"/>
  <c r="C668" i="3"/>
  <c r="C683" i="3"/>
  <c r="C714" i="3"/>
  <c r="C728" i="3"/>
  <c r="C734" i="3"/>
  <c r="C757" i="3"/>
  <c r="C822" i="3"/>
  <c r="C906" i="3"/>
  <c r="C979" i="3"/>
  <c r="C998" i="3"/>
  <c r="C1057" i="3"/>
  <c r="C1116" i="3"/>
  <c r="C1117" i="3"/>
  <c r="C1125" i="3"/>
  <c r="C1150" i="3"/>
  <c r="C1166" i="3"/>
  <c r="C1198" i="3"/>
  <c r="C1251" i="3"/>
  <c r="C1258" i="3"/>
  <c r="C1348" i="3"/>
  <c r="C1388" i="3"/>
  <c r="C1410" i="3"/>
  <c r="C1437" i="3"/>
  <c r="C1443" i="3"/>
  <c r="C1468" i="3"/>
  <c r="C1521" i="3"/>
  <c r="C1625" i="3"/>
  <c r="C1626" i="3"/>
  <c r="C1628" i="3"/>
  <c r="C1669" i="3"/>
  <c r="C1673" i="3"/>
  <c r="C1775" i="3"/>
  <c r="C1778" i="3"/>
  <c r="C1779" i="3"/>
  <c r="C1816" i="3"/>
  <c r="C1841" i="3"/>
  <c r="C1844" i="3"/>
  <c r="C1852" i="3"/>
  <c r="C1914" i="3"/>
  <c r="C1983" i="3"/>
  <c r="C1990" i="3"/>
  <c r="C1994" i="3"/>
  <c r="C2047" i="3"/>
  <c r="C2075" i="3"/>
  <c r="C2164" i="3"/>
  <c r="C2201" i="3"/>
  <c r="C2284" i="3"/>
  <c r="C2331" i="3"/>
  <c r="C2362" i="3"/>
  <c r="C2363" i="3"/>
  <c r="C2365" i="3"/>
  <c r="C2388" i="3"/>
  <c r="C2401" i="3"/>
  <c r="C2408" i="3"/>
  <c r="C2415" i="3"/>
  <c r="C2449" i="3"/>
  <c r="C2455" i="3"/>
  <c r="C2466" i="3"/>
  <c r="C2569" i="3"/>
  <c r="C2574" i="3"/>
  <c r="C2582" i="3"/>
  <c r="C2624" i="3"/>
  <c r="C2637" i="3"/>
  <c r="C2740" i="3"/>
  <c r="C2760" i="3"/>
  <c r="C2762" i="3"/>
  <c r="C2861" i="3"/>
  <c r="C2913" i="3"/>
  <c r="C2923" i="3"/>
  <c r="C2973" i="3"/>
  <c r="C3035" i="3"/>
  <c r="C3066" i="3"/>
  <c r="C3084" i="3"/>
  <c r="C3097" i="3"/>
  <c r="C3185" i="3"/>
  <c r="C3225" i="3"/>
  <c r="C3243" i="3"/>
  <c r="C3274" i="3"/>
  <c r="C3278" i="3"/>
  <c r="C3348" i="3"/>
  <c r="C3351" i="3"/>
  <c r="C3436" i="3"/>
  <c r="C3470" i="3"/>
  <c r="C3504" i="3"/>
  <c r="C3566" i="3"/>
  <c r="C3570" i="3"/>
  <c r="C3813" i="3"/>
  <c r="C3820" i="3"/>
  <c r="C3872" i="3"/>
  <c r="C3970" i="3"/>
  <c r="C4043" i="3"/>
  <c r="C4064" i="3"/>
  <c r="C4071" i="3"/>
  <c r="C4100" i="3"/>
  <c r="C4136" i="3"/>
  <c r="C4168" i="3"/>
  <c r="C4203" i="3"/>
  <c r="C4299" i="3"/>
  <c r="C4409" i="3"/>
  <c r="C4465" i="3"/>
  <c r="C4507" i="3"/>
  <c r="C4521" i="3"/>
  <c r="C4557" i="3"/>
  <c r="C4586" i="3"/>
  <c r="C4647" i="3"/>
  <c r="C4653" i="3"/>
  <c r="C4678" i="3"/>
  <c r="C4700" i="3"/>
  <c r="C4731" i="3"/>
  <c r="C4776" i="3"/>
  <c r="C4797" i="3"/>
  <c r="C9" i="3"/>
  <c r="C125" i="3"/>
  <c r="C140" i="3"/>
  <c r="C364" i="3"/>
  <c r="C413" i="3"/>
  <c r="C496" i="3"/>
  <c r="C769" i="3"/>
  <c r="C836" i="3"/>
  <c r="C852" i="3"/>
  <c r="C883" i="3"/>
  <c r="C977" i="3"/>
  <c r="C1090" i="3"/>
  <c r="C1164" i="3"/>
  <c r="C1173" i="3"/>
  <c r="C1201" i="3"/>
  <c r="C1289" i="3"/>
  <c r="C1326" i="3"/>
  <c r="C1366" i="3"/>
  <c r="C1385" i="3"/>
  <c r="C1588" i="3"/>
  <c r="C1619" i="3"/>
  <c r="C1634" i="3"/>
  <c r="C1686" i="3"/>
  <c r="C1760" i="3"/>
  <c r="C1770" i="3"/>
  <c r="C1836" i="3"/>
  <c r="C1840" i="3"/>
  <c r="C1930" i="3"/>
  <c r="C1941" i="3"/>
  <c r="C1982" i="3"/>
  <c r="C2020" i="3"/>
  <c r="C2078" i="3"/>
  <c r="C2131" i="3"/>
  <c r="C2213" i="3"/>
  <c r="C2512" i="3"/>
  <c r="C2519" i="3"/>
  <c r="C2533" i="3"/>
  <c r="C2541" i="3"/>
  <c r="C2559" i="3"/>
  <c r="C2669" i="3"/>
  <c r="C2844" i="3"/>
  <c r="C2862" i="3"/>
  <c r="C2882" i="3"/>
  <c r="C3050" i="3"/>
  <c r="C3116" i="3"/>
  <c r="C3178" i="3"/>
  <c r="C3255" i="3"/>
  <c r="C3339" i="3"/>
  <c r="C3377" i="3"/>
  <c r="C3383" i="3"/>
  <c r="C3410" i="3"/>
  <c r="C3468" i="3"/>
  <c r="C3499" i="3"/>
  <c r="C3520" i="3"/>
  <c r="C3624" i="3"/>
  <c r="C3656" i="3"/>
  <c r="C3672" i="3"/>
  <c r="C3703" i="3"/>
  <c r="C3860" i="3"/>
  <c r="C3957" i="3"/>
  <c r="C4005" i="3"/>
  <c r="C4040" i="3"/>
  <c r="C4047" i="3"/>
  <c r="C4063" i="3"/>
  <c r="C4084" i="3"/>
  <c r="C4112" i="3"/>
  <c r="C4121" i="3"/>
  <c r="C4281" i="3"/>
  <c r="C4291" i="3"/>
  <c r="C4310" i="3"/>
  <c r="C4354" i="3"/>
  <c r="C4489" i="3"/>
  <c r="C4556" i="3"/>
  <c r="C4571" i="3"/>
  <c r="C4576" i="3"/>
  <c r="C4715" i="3"/>
  <c r="C4743" i="3"/>
  <c r="C4752" i="3"/>
  <c r="C109" i="3"/>
  <c r="C161" i="3"/>
  <c r="C186" i="3"/>
  <c r="C435" i="3"/>
  <c r="C455" i="3"/>
  <c r="C457" i="3"/>
  <c r="C477" i="3"/>
  <c r="C503" i="3"/>
  <c r="C554" i="3"/>
  <c r="C603" i="3"/>
  <c r="C639" i="3"/>
  <c r="C665" i="3"/>
  <c r="C776" i="3"/>
  <c r="C958" i="3"/>
  <c r="C1062" i="3"/>
  <c r="C1136" i="3"/>
  <c r="C1252" i="3"/>
  <c r="C1263" i="3"/>
  <c r="C1269" i="3"/>
  <c r="C1396" i="3"/>
  <c r="C1474" i="3"/>
  <c r="C1585" i="3"/>
  <c r="C1621" i="3"/>
  <c r="C1676" i="3"/>
  <c r="C1693" i="3"/>
  <c r="C1702" i="3"/>
  <c r="C1711" i="3"/>
  <c r="C1798" i="3"/>
  <c r="C2178" i="3"/>
  <c r="C2237" i="3"/>
  <c r="C2314" i="3"/>
  <c r="C2339" i="3"/>
  <c r="C2372" i="3"/>
  <c r="C2439" i="3"/>
  <c r="C2567" i="3"/>
  <c r="C2629" i="3"/>
  <c r="C2702" i="3"/>
  <c r="C2770" i="3"/>
  <c r="C2790" i="3"/>
  <c r="C3000" i="3"/>
  <c r="C3018" i="3"/>
  <c r="C3024" i="3"/>
  <c r="C3090" i="3"/>
  <c r="C3172" i="3"/>
  <c r="C3375" i="3"/>
  <c r="C3447" i="3"/>
  <c r="C3505" i="3"/>
  <c r="C3628" i="3"/>
  <c r="C3715" i="3"/>
  <c r="C3728" i="3"/>
  <c r="C3735" i="3"/>
  <c r="C3790" i="3"/>
  <c r="C3907" i="3"/>
  <c r="C3952" i="3"/>
  <c r="C3998" i="3"/>
  <c r="C4074" i="3"/>
  <c r="C4200" i="3"/>
  <c r="C4227" i="3"/>
  <c r="C4244" i="3"/>
  <c r="C4297" i="3"/>
  <c r="C4314" i="3"/>
  <c r="C4322" i="3"/>
  <c r="C4331" i="3"/>
  <c r="C4418" i="3"/>
  <c r="C4505" i="3"/>
  <c r="C4564" i="3"/>
  <c r="C4568" i="3"/>
  <c r="C4711" i="3"/>
  <c r="C4753" i="3"/>
  <c r="C765" i="3"/>
  <c r="C1506" i="3"/>
  <c r="C2993" i="3"/>
  <c r="C3155" i="3"/>
  <c r="C4437" i="3"/>
  <c r="C20" i="3"/>
  <c r="C101" i="3"/>
  <c r="C160" i="3"/>
  <c r="C274" i="3"/>
  <c r="C359" i="3"/>
  <c r="C380" i="3"/>
  <c r="C440" i="3"/>
  <c r="C451" i="3"/>
  <c r="C559" i="3"/>
  <c r="C675" i="3"/>
  <c r="C870" i="3"/>
  <c r="C914" i="3"/>
  <c r="C948" i="3"/>
  <c r="C1089" i="3"/>
  <c r="C1142" i="3"/>
  <c r="C1213" i="3"/>
  <c r="C1215" i="3"/>
  <c r="C1297" i="3"/>
  <c r="C1361" i="3"/>
  <c r="C1370" i="3"/>
  <c r="C1399" i="3"/>
  <c r="C1456" i="3"/>
  <c r="C1563" i="3"/>
  <c r="C1586" i="3"/>
  <c r="C1661" i="3"/>
  <c r="C1679" i="3"/>
  <c r="C1684" i="3"/>
  <c r="C1758" i="3"/>
  <c r="C1831" i="3"/>
  <c r="C1866" i="3"/>
  <c r="C1873" i="3"/>
  <c r="C1879" i="3"/>
  <c r="C1885" i="3"/>
  <c r="C1889" i="3"/>
  <c r="C2060" i="3"/>
  <c r="C2090" i="3"/>
  <c r="C2151" i="3"/>
  <c r="C2200" i="3"/>
  <c r="C2285" i="3"/>
  <c r="C2676" i="3"/>
  <c r="C2715" i="3"/>
  <c r="C2732" i="3"/>
  <c r="C2786" i="3"/>
  <c r="C2802" i="3"/>
  <c r="C2872" i="3"/>
  <c r="C3037" i="3"/>
  <c r="C3177" i="3"/>
  <c r="C3234" i="3"/>
  <c r="C3290" i="3"/>
  <c r="C3293" i="3"/>
  <c r="C3420" i="3"/>
  <c r="C3429" i="3"/>
  <c r="C3434" i="3"/>
  <c r="C3685" i="3"/>
  <c r="C3709" i="3"/>
  <c r="C3744" i="3"/>
  <c r="C3838" i="3"/>
  <c r="C3876" i="3"/>
  <c r="C3881" i="3"/>
  <c r="C3896" i="3"/>
  <c r="C4050" i="3"/>
  <c r="C4097" i="3"/>
  <c r="C4163" i="3"/>
  <c r="C4175" i="3"/>
  <c r="C4273" i="3"/>
  <c r="C4307" i="3"/>
  <c r="C4404" i="3"/>
  <c r="C4423" i="3"/>
  <c r="C4432" i="3"/>
  <c r="C4493" i="3"/>
  <c r="C4559" i="3"/>
  <c r="C4588" i="3"/>
  <c r="C4692" i="3"/>
  <c r="C4724" i="3"/>
  <c r="C4730" i="3"/>
  <c r="C4732" i="3"/>
  <c r="C93" i="3"/>
  <c r="C100" i="3"/>
  <c r="C121" i="3"/>
  <c r="C127" i="3"/>
  <c r="C252" i="3"/>
  <c r="C316" i="3"/>
  <c r="C541" i="3"/>
  <c r="C611" i="3"/>
  <c r="C614" i="3"/>
  <c r="C656" i="3"/>
  <c r="C896" i="3"/>
  <c r="C907" i="3"/>
  <c r="C952" i="3"/>
  <c r="C989" i="3"/>
  <c r="C1066" i="3"/>
  <c r="C1069" i="3"/>
  <c r="C1111" i="3"/>
  <c r="C1155" i="3"/>
  <c r="C1207" i="3"/>
  <c r="C1296" i="3"/>
  <c r="C1343" i="3"/>
  <c r="C1347" i="3"/>
  <c r="C1357" i="3"/>
  <c r="C1405" i="3"/>
  <c r="C1424" i="3"/>
  <c r="C1524" i="3"/>
  <c r="C1578" i="3"/>
  <c r="C1593" i="3"/>
  <c r="C1610" i="3"/>
  <c r="C1777" i="3"/>
  <c r="C1782" i="3"/>
  <c r="C1794" i="3"/>
  <c r="C1875" i="3"/>
  <c r="C1900" i="3"/>
  <c r="C1969" i="3"/>
  <c r="C2008" i="3"/>
  <c r="C2022" i="3"/>
  <c r="C2087" i="3"/>
  <c r="C2154" i="3"/>
  <c r="C2245" i="3"/>
  <c r="C2289" i="3"/>
  <c r="C2367" i="3"/>
  <c r="C2462" i="3"/>
  <c r="C2497" i="3"/>
  <c r="C2549" i="3"/>
  <c r="C2595" i="3"/>
  <c r="C2598" i="3"/>
  <c r="C2617" i="3"/>
  <c r="C2682" i="3"/>
  <c r="C2771" i="3"/>
  <c r="C2775" i="3"/>
  <c r="C2801" i="3"/>
  <c r="C2981" i="3"/>
  <c r="C3101" i="3"/>
  <c r="C3107" i="3"/>
  <c r="C3129" i="3"/>
  <c r="C3139" i="3"/>
  <c r="C3141" i="3"/>
  <c r="C3209" i="3"/>
  <c r="C3245" i="3"/>
  <c r="C3296" i="3"/>
  <c r="C3623" i="3"/>
  <c r="C3706" i="3"/>
  <c r="C3780" i="3"/>
  <c r="C3856" i="3"/>
  <c r="C3953" i="3"/>
  <c r="C4025" i="3"/>
  <c r="C4070" i="3"/>
  <c r="C4162" i="3"/>
  <c r="C4179" i="3"/>
  <c r="C4236" i="3"/>
  <c r="C4272" i="3"/>
  <c r="C4412" i="3"/>
  <c r="C4475" i="3"/>
  <c r="C4501" i="3"/>
  <c r="C4541" i="3"/>
  <c r="C4574" i="3"/>
  <c r="C4702" i="3"/>
  <c r="C4750" i="3"/>
  <c r="C4800" i="3"/>
  <c r="C77" i="3"/>
  <c r="C97" i="3"/>
  <c r="C102" i="3"/>
  <c r="C128" i="3"/>
  <c r="C132" i="3"/>
  <c r="C134" i="3"/>
  <c r="C238" i="3"/>
  <c r="C271" i="3"/>
  <c r="C307" i="3"/>
  <c r="C326" i="3"/>
  <c r="C347" i="3"/>
  <c r="C399" i="3"/>
  <c r="C407" i="3"/>
  <c r="C438" i="3"/>
  <c r="C510" i="3"/>
  <c r="C519" i="3"/>
  <c r="C564" i="3"/>
  <c r="C616" i="3"/>
  <c r="C628" i="3"/>
  <c r="C818" i="3"/>
  <c r="C825" i="3"/>
  <c r="C827" i="3"/>
  <c r="C859" i="3"/>
  <c r="C968" i="3"/>
  <c r="C1023" i="3"/>
  <c r="C1098" i="3"/>
  <c r="C1127" i="3"/>
  <c r="C1146" i="3"/>
  <c r="C1154" i="3"/>
  <c r="C1210" i="3"/>
  <c r="C1220" i="3"/>
  <c r="C1231" i="3"/>
  <c r="C1234" i="3"/>
  <c r="C1284" i="3"/>
  <c r="C1395" i="3"/>
  <c r="C1431" i="3"/>
  <c r="C1451" i="3"/>
  <c r="C1538" i="3"/>
  <c r="C1594" i="3"/>
  <c r="C1605" i="3"/>
  <c r="C1641" i="3"/>
  <c r="C1654" i="3"/>
  <c r="C1657" i="3"/>
  <c r="C1659" i="3"/>
  <c r="C1674" i="3"/>
  <c r="C1680" i="3"/>
  <c r="C1734" i="3"/>
  <c r="C1781" i="3"/>
  <c r="C1799" i="3"/>
  <c r="C1812" i="3"/>
  <c r="C1835" i="3"/>
  <c r="C1871" i="3"/>
  <c r="C1897" i="3"/>
  <c r="C1976" i="3"/>
  <c r="C1978" i="3"/>
  <c r="C2002" i="3"/>
  <c r="C2045" i="3"/>
  <c r="C2106" i="3"/>
  <c r="C2140" i="3"/>
  <c r="C2203" i="3"/>
  <c r="C2218" i="3"/>
  <c r="C2232" i="3"/>
  <c r="C2264" i="3"/>
  <c r="C2269" i="3"/>
  <c r="C2305" i="3"/>
  <c r="C2338" i="3"/>
  <c r="C2364" i="3"/>
  <c r="C2383" i="3"/>
  <c r="C2501" i="3"/>
  <c r="C2520" i="3"/>
  <c r="C2600" i="3"/>
  <c r="C2630" i="3"/>
  <c r="C2635" i="3"/>
  <c r="C2741" i="3"/>
  <c r="C2807" i="3"/>
  <c r="C2884" i="3"/>
  <c r="C2907" i="3"/>
  <c r="C2914" i="3"/>
  <c r="C2975" i="3"/>
  <c r="C3042" i="3"/>
  <c r="C3114" i="3"/>
  <c r="C3130" i="3"/>
  <c r="C3144" i="3"/>
  <c r="C3171" i="3"/>
  <c r="C3184" i="3"/>
  <c r="C3190" i="3"/>
  <c r="C3218" i="3"/>
  <c r="C3231" i="3"/>
  <c r="C3239" i="3"/>
  <c r="C3276" i="3"/>
  <c r="C3345" i="3"/>
  <c r="C3361" i="3"/>
  <c r="C3401" i="3"/>
  <c r="C3411" i="3"/>
  <c r="C3500" i="3"/>
  <c r="C3546" i="3"/>
  <c r="C3562" i="3"/>
  <c r="C3572" i="3"/>
  <c r="C3612" i="3"/>
  <c r="C3627" i="3"/>
  <c r="C3632" i="3"/>
  <c r="C3721" i="3"/>
  <c r="C3731" i="3"/>
  <c r="C3746" i="3"/>
  <c r="C3754" i="3"/>
  <c r="C3774" i="3"/>
  <c r="C3877" i="3"/>
  <c r="C3879" i="3"/>
  <c r="C3949" i="3"/>
  <c r="C3989" i="3"/>
  <c r="C3990" i="3"/>
  <c r="C3992" i="3"/>
  <c r="C4001" i="3"/>
  <c r="C4002" i="3"/>
  <c r="C4014" i="3"/>
  <c r="C4029" i="3"/>
  <c r="C4048" i="3"/>
  <c r="C4173" i="3"/>
  <c r="C4185" i="3"/>
  <c r="C4350" i="3"/>
  <c r="C4359" i="3"/>
  <c r="C4362" i="3"/>
  <c r="C4367" i="3"/>
  <c r="C4399" i="3"/>
  <c r="C4400" i="3"/>
  <c r="C4424" i="3"/>
  <c r="C4438" i="3"/>
  <c r="C4446" i="3"/>
  <c r="C4467" i="3"/>
  <c r="C4474" i="3"/>
  <c r="C4480" i="3"/>
  <c r="C4483" i="3"/>
  <c r="C4485" i="3"/>
  <c r="C4487" i="3"/>
  <c r="C4504" i="3"/>
  <c r="C4509" i="3"/>
  <c r="C4512" i="3"/>
  <c r="C4515" i="3"/>
  <c r="C4523" i="3"/>
  <c r="C4533" i="3"/>
  <c r="C4535" i="3"/>
  <c r="C4552" i="3"/>
  <c r="C4592" i="3"/>
  <c r="C4594" i="3"/>
  <c r="C4644" i="3"/>
  <c r="C4654" i="3"/>
  <c r="C4657" i="3"/>
  <c r="C4768" i="3"/>
  <c r="C4818" i="3"/>
  <c r="C78" i="3"/>
  <c r="C242" i="3"/>
  <c r="C265" i="3"/>
  <c r="C277" i="3"/>
  <c r="C279" i="3"/>
  <c r="C292" i="3"/>
  <c r="C297" i="3"/>
  <c r="C363" i="3"/>
  <c r="C443" i="3"/>
  <c r="C445" i="3"/>
  <c r="C450" i="3"/>
  <c r="C468" i="3"/>
  <c r="C582" i="3"/>
  <c r="C597" i="3"/>
  <c r="C609" i="3"/>
  <c r="C631" i="3"/>
  <c r="C632" i="3"/>
  <c r="C642" i="3"/>
  <c r="C648" i="3"/>
  <c r="C709" i="3"/>
  <c r="C762" i="3"/>
  <c r="C782" i="3"/>
  <c r="C784" i="3"/>
  <c r="C833" i="3"/>
  <c r="C837" i="3"/>
  <c r="C844" i="3"/>
  <c r="C932" i="3"/>
  <c r="C937" i="3"/>
  <c r="C1007" i="3"/>
  <c r="C1030" i="3"/>
  <c r="C1035" i="3"/>
  <c r="C1043" i="3"/>
  <c r="C1077" i="3"/>
  <c r="C1088" i="3"/>
  <c r="C1175" i="3"/>
  <c r="C1202" i="3"/>
  <c r="C1254" i="3"/>
  <c r="C1266" i="3"/>
  <c r="C1282" i="3"/>
  <c r="C1412" i="3"/>
  <c r="C1427" i="3"/>
  <c r="C1439" i="3"/>
  <c r="C1457" i="3"/>
  <c r="C1462" i="3"/>
  <c r="C1477" i="3"/>
  <c r="C1500" i="3"/>
  <c r="C1518" i="3"/>
  <c r="C1520" i="3"/>
  <c r="C1531" i="3"/>
  <c r="C1550" i="3"/>
  <c r="C1560" i="3"/>
  <c r="C1635" i="3"/>
  <c r="C1681" i="3"/>
  <c r="C1695" i="3"/>
  <c r="C1730" i="3"/>
  <c r="C1772" i="3"/>
  <c r="C1802" i="3"/>
  <c r="C1807" i="3"/>
  <c r="C1821" i="3"/>
  <c r="C1851" i="3"/>
  <c r="C1856" i="3"/>
  <c r="C1857" i="3"/>
  <c r="C1872" i="3"/>
  <c r="C1876" i="3"/>
  <c r="C1899" i="3"/>
  <c r="C1924" i="3"/>
  <c r="C1953" i="3"/>
  <c r="C1995" i="3"/>
  <c r="C2004" i="3"/>
  <c r="C2039" i="3"/>
  <c r="C2062" i="3"/>
  <c r="C2066" i="3"/>
  <c r="C2088" i="3"/>
  <c r="C2115" i="3"/>
  <c r="C2130" i="3"/>
  <c r="C2190" i="3"/>
  <c r="C2199" i="3"/>
  <c r="C2235" i="3"/>
  <c r="C2241" i="3"/>
  <c r="C2253" i="3"/>
  <c r="C2322" i="3"/>
  <c r="C2327" i="3"/>
  <c r="C2334" i="3"/>
  <c r="C2337" i="3"/>
  <c r="C2348" i="3"/>
  <c r="C2374" i="3"/>
  <c r="C2402" i="3"/>
  <c r="C2456" i="3"/>
  <c r="C2557" i="3"/>
  <c r="C2570" i="3"/>
  <c r="C2599" i="3"/>
  <c r="C2706" i="3"/>
  <c r="C2714" i="3"/>
  <c r="C2833" i="3"/>
  <c r="C2845" i="3"/>
  <c r="C2852" i="3"/>
  <c r="C2944" i="3"/>
  <c r="C3001" i="3"/>
  <c r="C3030" i="3"/>
  <c r="C3046" i="3"/>
  <c r="C3053" i="3"/>
  <c r="C3098" i="3"/>
  <c r="C3194" i="3"/>
  <c r="C3205" i="3"/>
  <c r="C3206" i="3"/>
  <c r="C3253" i="3"/>
  <c r="C3264" i="3"/>
  <c r="C3291" i="3"/>
  <c r="C3316" i="3"/>
  <c r="C3328" i="3"/>
  <c r="C3334" i="3"/>
  <c r="C3343" i="3"/>
  <c r="C3373" i="3"/>
  <c r="C3396" i="3"/>
  <c r="C3418" i="3"/>
  <c r="C3458" i="3"/>
  <c r="C3483" i="3"/>
  <c r="C3496" i="3"/>
  <c r="C3515" i="3"/>
  <c r="C3540" i="3"/>
  <c r="C3690" i="3"/>
  <c r="C3705" i="3"/>
  <c r="C3707" i="3"/>
  <c r="C3734" i="3"/>
  <c r="C3743" i="3"/>
  <c r="C3771" i="3"/>
  <c r="C3777" i="3"/>
  <c r="C3844" i="3"/>
  <c r="C3875" i="3"/>
  <c r="C3891" i="3"/>
  <c r="C3945" i="3"/>
  <c r="C3974" i="3"/>
  <c r="C4020" i="3"/>
  <c r="C4036" i="3"/>
  <c r="C4078" i="3"/>
  <c r="C4110" i="3"/>
  <c r="C4155" i="3"/>
  <c r="C4174" i="3"/>
  <c r="C4240" i="3"/>
  <c r="C4256" i="3"/>
  <c r="C4257" i="3"/>
  <c r="C4267" i="3"/>
  <c r="C4285" i="3"/>
  <c r="C4296" i="3"/>
  <c r="C4349" i="3"/>
  <c r="C4368" i="3"/>
  <c r="C4373" i="3"/>
  <c r="C4382" i="3"/>
  <c r="C4394" i="3"/>
  <c r="C4491" i="3"/>
  <c r="C4519" i="3"/>
  <c r="C4522" i="3"/>
  <c r="C4550" i="3"/>
  <c r="C4575" i="3"/>
  <c r="C4581" i="3"/>
  <c r="C4676" i="3"/>
  <c r="C4694" i="3"/>
  <c r="C4734" i="3"/>
  <c r="C4816" i="3"/>
  <c r="C4821" i="3"/>
  <c r="C4823" i="3"/>
  <c r="C28" i="3"/>
  <c r="C46" i="3"/>
  <c r="C71" i="3"/>
  <c r="C80" i="3"/>
  <c r="C150" i="3"/>
  <c r="C194" i="3"/>
  <c r="C199" i="3"/>
  <c r="C245" i="3"/>
  <c r="C253" i="3"/>
  <c r="C256" i="3"/>
  <c r="C276" i="3"/>
  <c r="C313" i="3"/>
  <c r="C339" i="3"/>
  <c r="C355" i="3"/>
  <c r="C372" i="3"/>
  <c r="C376" i="3"/>
  <c r="C446" i="3"/>
  <c r="C452" i="3"/>
  <c r="C504" i="3"/>
  <c r="C539" i="3"/>
  <c r="C545" i="3"/>
  <c r="C561" i="3"/>
  <c r="C592" i="3"/>
  <c r="C602" i="3"/>
  <c r="C623" i="3"/>
  <c r="C684" i="3"/>
  <c r="C704" i="3"/>
  <c r="C713" i="3"/>
  <c r="C723" i="3"/>
  <c r="C790" i="3"/>
  <c r="C815" i="3"/>
  <c r="C850" i="3"/>
  <c r="C861" i="3"/>
  <c r="C939" i="3"/>
  <c r="C987" i="3"/>
  <c r="C1000" i="3"/>
  <c r="C1051" i="3"/>
  <c r="C1097" i="3"/>
  <c r="C1106" i="3"/>
  <c r="C1112" i="3"/>
  <c r="C1178" i="3"/>
  <c r="C1267" i="3"/>
  <c r="C1279" i="3"/>
  <c r="C1359" i="3"/>
  <c r="C1375" i="3"/>
  <c r="C1393" i="3"/>
  <c r="C1394" i="3"/>
  <c r="C1453" i="3"/>
  <c r="C1454" i="3"/>
  <c r="C1513" i="3"/>
  <c r="C1535" i="3"/>
  <c r="C1557" i="3"/>
  <c r="C1564" i="3"/>
  <c r="C1571" i="3"/>
  <c r="C1577" i="3"/>
  <c r="C1599" i="3"/>
  <c r="C1691" i="3"/>
  <c r="C1698" i="3"/>
  <c r="C1738" i="3"/>
  <c r="C1740" i="3"/>
  <c r="C1845" i="3"/>
  <c r="C1925" i="3"/>
  <c r="C1936" i="3"/>
  <c r="C1967" i="3"/>
  <c r="C2013" i="3"/>
  <c r="C2030" i="3"/>
  <c r="C2040" i="3"/>
  <c r="C2044" i="3"/>
  <c r="C2064" i="3"/>
  <c r="C2082" i="3"/>
  <c r="C2093" i="3"/>
  <c r="C2126" i="3"/>
  <c r="C2136" i="3"/>
  <c r="C2144" i="3"/>
  <c r="C2149" i="3"/>
  <c r="C2194" i="3"/>
  <c r="C2266" i="3"/>
  <c r="C2273" i="3"/>
  <c r="C2319" i="3"/>
  <c r="C2346" i="3"/>
  <c r="C2356" i="3"/>
  <c r="C2376" i="3"/>
  <c r="C2380" i="3"/>
  <c r="C2470" i="3"/>
  <c r="C2525" i="3"/>
  <c r="C2532" i="3"/>
  <c r="C2674" i="3"/>
  <c r="C2677" i="3"/>
  <c r="C2703" i="3"/>
  <c r="C2742" i="3"/>
  <c r="C2757" i="3"/>
  <c r="C2767" i="3"/>
  <c r="C2768" i="3"/>
  <c r="C2870" i="3"/>
  <c r="C2883" i="3"/>
  <c r="C2903" i="3"/>
  <c r="C2926" i="3"/>
  <c r="C2934" i="3"/>
  <c r="C3092" i="3"/>
  <c r="C3137" i="3"/>
  <c r="C3165" i="3"/>
  <c r="C3183" i="3"/>
  <c r="C3202" i="3"/>
  <c r="C3221" i="3"/>
  <c r="C3250" i="3"/>
  <c r="C3298" i="3"/>
  <c r="C3312" i="3"/>
  <c r="C3330" i="3"/>
  <c r="C3369" i="3"/>
  <c r="C3412" i="3"/>
  <c r="C3430" i="3"/>
  <c r="C3476" i="3"/>
  <c r="C3477" i="3"/>
  <c r="C3492" i="3"/>
  <c r="C3538" i="3"/>
  <c r="C3574" i="3"/>
  <c r="C3606" i="3"/>
  <c r="C3607" i="3"/>
  <c r="C3611" i="3"/>
  <c r="C3640" i="3"/>
  <c r="C3686" i="3"/>
  <c r="C3708" i="3"/>
  <c r="C3752" i="3"/>
  <c r="C3753" i="3"/>
  <c r="C3767" i="3"/>
  <c r="C3781" i="3"/>
  <c r="C3785" i="3"/>
  <c r="C3786" i="3"/>
  <c r="C3888" i="3"/>
  <c r="C3984" i="3"/>
  <c r="C4031" i="3"/>
  <c r="C4093" i="3"/>
  <c r="C4123" i="3"/>
  <c r="C4131" i="3"/>
  <c r="C4186" i="3"/>
  <c r="C4212" i="3"/>
  <c r="C4233" i="3"/>
  <c r="C4243" i="3"/>
  <c r="C4268" i="3"/>
  <c r="C4275" i="3"/>
  <c r="C4279" i="3"/>
  <c r="C4316" i="3"/>
  <c r="C4328" i="3"/>
  <c r="C4332" i="3"/>
  <c r="C4337" i="3"/>
  <c r="C4347" i="3"/>
  <c r="C4348" i="3"/>
  <c r="C4355" i="3"/>
  <c r="C4358" i="3"/>
  <c r="C4387" i="3"/>
  <c r="C4414" i="3"/>
  <c r="C4434" i="3"/>
  <c r="C4456" i="3"/>
  <c r="C4459" i="3"/>
  <c r="C4502" i="3"/>
  <c r="C4524" i="3"/>
  <c r="C4548" i="3"/>
  <c r="C4551" i="3"/>
  <c r="C4614" i="3"/>
  <c r="C4623" i="3"/>
  <c r="C4674" i="3"/>
  <c r="C4723" i="3"/>
  <c r="C4755" i="3"/>
  <c r="C4770" i="3"/>
  <c r="C4785" i="3"/>
  <c r="C39" i="3"/>
  <c r="C54" i="3"/>
  <c r="C59" i="3"/>
  <c r="C60" i="3"/>
  <c r="C63" i="3"/>
  <c r="C72" i="3"/>
  <c r="C83" i="3"/>
  <c r="C99" i="3"/>
  <c r="C106" i="3"/>
  <c r="C114" i="3"/>
  <c r="C163" i="3"/>
  <c r="C218" i="3"/>
  <c r="C234" i="3"/>
  <c r="C258" i="3"/>
  <c r="C266" i="3"/>
  <c r="C269" i="3"/>
  <c r="C270" i="3"/>
  <c r="C317" i="3"/>
  <c r="C348" i="3"/>
  <c r="C365" i="3"/>
  <c r="C369" i="3"/>
  <c r="C378" i="3"/>
  <c r="C379" i="3"/>
  <c r="C416" i="3"/>
  <c r="C422" i="3"/>
  <c r="C427" i="3"/>
  <c r="C434" i="3"/>
  <c r="C523" i="3"/>
  <c r="C546" i="3"/>
  <c r="C595" i="3"/>
  <c r="C641" i="3"/>
  <c r="C651" i="3"/>
  <c r="C670" i="3"/>
  <c r="C680" i="3"/>
  <c r="C699" i="3"/>
  <c r="C710" i="3"/>
  <c r="C716" i="3"/>
  <c r="C774" i="3"/>
  <c r="C808" i="3"/>
  <c r="C809" i="3"/>
  <c r="C820" i="3"/>
  <c r="C831" i="3"/>
  <c r="C835" i="3"/>
  <c r="C961" i="3"/>
  <c r="C997" i="3"/>
  <c r="C1032" i="3"/>
  <c r="C1047" i="3"/>
  <c r="C1065" i="3"/>
  <c r="C1161" i="3"/>
  <c r="C1182" i="3"/>
  <c r="C1278" i="3"/>
  <c r="C1356" i="3"/>
  <c r="C1380" i="3"/>
  <c r="C1430" i="3"/>
  <c r="C1536" i="3"/>
  <c r="C1581" i="3"/>
  <c r="C1608" i="3"/>
  <c r="C1627" i="3"/>
  <c r="C1690" i="3"/>
  <c r="C1703" i="3"/>
  <c r="C1704" i="3"/>
  <c r="C1735" i="3"/>
  <c r="C1788" i="3"/>
  <c r="C1789" i="3"/>
  <c r="C1792" i="3"/>
  <c r="C1804" i="3"/>
  <c r="C1850" i="3"/>
  <c r="C1860" i="3"/>
  <c r="C1901" i="3"/>
  <c r="C1932" i="3"/>
  <c r="C1949" i="3"/>
  <c r="C1964" i="3"/>
  <c r="C1981" i="3"/>
  <c r="C2005" i="3"/>
  <c r="C2014" i="3"/>
  <c r="C2021" i="3"/>
  <c r="C2059" i="3"/>
  <c r="C2076" i="3"/>
  <c r="C2079" i="3"/>
  <c r="C2084" i="3"/>
  <c r="C2086" i="3"/>
  <c r="C2143" i="3"/>
  <c r="C2214" i="3"/>
  <c r="C2243" i="3"/>
  <c r="C2272" i="3"/>
  <c r="C2277" i="3"/>
  <c r="C2286" i="3"/>
  <c r="C2342" i="3"/>
  <c r="C2351" i="3"/>
  <c r="C2359" i="3"/>
  <c r="C2361" i="3"/>
  <c r="C2382" i="3"/>
  <c r="C2411" i="3"/>
  <c r="C2421" i="3"/>
  <c r="C2429" i="3"/>
  <c r="C2475" i="3"/>
  <c r="C2508" i="3"/>
  <c r="C2542" i="3"/>
  <c r="C2566" i="3"/>
  <c r="C2579" i="3"/>
  <c r="C2601" i="3"/>
  <c r="C2627" i="3"/>
  <c r="C2632" i="3"/>
  <c r="C2639" i="3"/>
  <c r="C2746" i="3"/>
  <c r="C2924" i="3"/>
  <c r="C2925" i="3"/>
  <c r="C2929" i="3"/>
  <c r="C2957" i="3"/>
  <c r="C2958" i="3"/>
  <c r="C2966" i="3"/>
  <c r="C3010" i="3"/>
  <c r="C3052" i="3"/>
  <c r="C3088" i="3"/>
  <c r="C3143" i="3"/>
  <c r="C3146" i="3"/>
  <c r="C3148" i="3"/>
  <c r="C3151" i="3"/>
  <c r="C3152" i="3"/>
  <c r="C3153" i="3"/>
  <c r="C3176" i="3"/>
  <c r="C3216" i="3"/>
  <c r="C3230" i="3"/>
  <c r="C3279" i="3"/>
  <c r="C3302" i="3"/>
  <c r="C3352" i="3"/>
  <c r="C3454" i="3"/>
  <c r="C3486" i="3"/>
  <c r="C3488" i="3"/>
  <c r="C3495" i="3"/>
  <c r="C3509" i="3"/>
  <c r="C3537" i="3"/>
  <c r="C3594" i="3"/>
  <c r="C3626" i="3"/>
  <c r="C3772" i="3"/>
  <c r="C3782" i="3"/>
  <c r="C3805" i="3"/>
  <c r="C3818" i="3"/>
  <c r="C3886" i="3"/>
  <c r="C3898" i="3"/>
  <c r="C3960" i="3"/>
  <c r="C4009" i="3"/>
  <c r="C4024" i="3"/>
  <c r="C4068" i="3"/>
  <c r="C4069" i="3"/>
  <c r="C4073" i="3"/>
  <c r="C4079" i="3"/>
  <c r="C4081" i="3"/>
  <c r="C4094" i="3"/>
  <c r="C4115" i="3"/>
  <c r="C4122" i="3"/>
  <c r="C4156" i="3"/>
  <c r="C4218" i="3"/>
  <c r="C4261" i="3"/>
  <c r="C4269" i="3"/>
  <c r="C4270" i="3"/>
  <c r="C4280" i="3"/>
  <c r="C4288" i="3"/>
  <c r="C4341" i="3"/>
  <c r="C4441" i="3"/>
  <c r="C4543" i="3"/>
  <c r="C4555" i="3"/>
  <c r="C4577" i="3"/>
  <c r="C4604" i="3"/>
  <c r="C4754" i="3"/>
  <c r="C4788" i="3"/>
  <c r="C4799" i="3"/>
  <c r="C4803" i="3"/>
  <c r="C4828" i="3"/>
  <c r="C4829" i="3"/>
  <c r="C23" i="3"/>
  <c r="C130" i="3"/>
  <c r="C232" i="3"/>
  <c r="C249" i="3"/>
  <c r="C325" i="3"/>
  <c r="C334" i="3"/>
  <c r="C362" i="3"/>
  <c r="C385" i="3"/>
  <c r="C552" i="3"/>
  <c r="C669" i="3"/>
  <c r="C687" i="3"/>
  <c r="C785" i="3"/>
  <c r="C828" i="3"/>
  <c r="C845" i="3"/>
  <c r="C916" i="3"/>
  <c r="C949" i="3"/>
  <c r="C959" i="3"/>
  <c r="C984" i="3"/>
  <c r="C1009" i="3"/>
  <c r="C1013" i="3"/>
  <c r="C1034" i="3"/>
  <c r="C1068" i="3"/>
  <c r="C1288" i="3"/>
  <c r="C1316" i="3"/>
  <c r="C1514" i="3"/>
  <c r="C1526" i="3"/>
  <c r="C1590" i="3"/>
  <c r="C1668" i="3"/>
  <c r="C1688" i="3"/>
  <c r="C1752" i="3"/>
  <c r="C1853" i="3"/>
  <c r="C1867" i="3"/>
  <c r="C1874" i="3"/>
  <c r="C1910" i="3"/>
  <c r="C2148" i="3"/>
  <c r="C2169" i="3"/>
  <c r="C2185" i="3"/>
  <c r="C2495" i="3"/>
  <c r="C2531" i="3"/>
  <c r="C2576" i="3"/>
  <c r="C2724" i="3"/>
  <c r="C2754" i="3"/>
  <c r="C2766" i="3"/>
  <c r="C2847" i="3"/>
  <c r="C2953" i="3"/>
  <c r="C2969" i="3"/>
  <c r="C2971" i="3"/>
  <c r="C3009" i="3"/>
  <c r="C3203" i="3"/>
  <c r="C3228" i="3"/>
  <c r="C3256" i="3"/>
  <c r="C3335" i="3"/>
  <c r="C3592" i="3"/>
  <c r="C3899" i="3"/>
  <c r="C3918" i="3"/>
  <c r="C3948" i="3"/>
  <c r="C3991" i="3"/>
  <c r="C4004" i="3"/>
  <c r="C4017" i="3"/>
  <c r="C4067" i="3"/>
  <c r="C4120" i="3"/>
  <c r="C4129" i="3"/>
  <c r="C4190" i="3"/>
  <c r="C4238" i="3"/>
  <c r="C4304" i="3"/>
  <c r="C4324" i="3"/>
  <c r="C4326" i="3"/>
  <c r="C4345" i="3"/>
  <c r="C4357" i="3"/>
  <c r="C4396" i="3"/>
  <c r="C4402" i="3"/>
  <c r="C4405" i="3"/>
  <c r="C4452" i="3"/>
  <c r="C4510" i="3"/>
  <c r="C4538" i="3"/>
  <c r="C4652" i="3"/>
  <c r="C4718" i="3"/>
  <c r="C4746" i="3"/>
  <c r="C4812" i="3"/>
  <c r="C19" i="3"/>
  <c r="C69" i="3"/>
  <c r="C74" i="3"/>
  <c r="C139" i="3"/>
  <c r="C392" i="3"/>
  <c r="C479" i="3"/>
  <c r="C605" i="3"/>
  <c r="C703" i="3"/>
  <c r="C855" i="3"/>
  <c r="C912" i="3"/>
  <c r="C1095" i="3"/>
  <c r="C1240" i="3"/>
  <c r="C1244" i="3"/>
  <c r="C1337" i="3"/>
  <c r="C1398" i="3"/>
  <c r="C1465" i="3"/>
  <c r="C1490" i="3"/>
  <c r="C1528" i="3"/>
  <c r="C1554" i="3"/>
  <c r="C1712" i="3"/>
  <c r="C1724" i="3"/>
  <c r="C2057" i="3"/>
  <c r="C2077" i="3"/>
  <c r="C2097" i="3"/>
  <c r="C2118" i="3"/>
  <c r="C2125" i="3"/>
  <c r="C2204" i="3"/>
  <c r="C2224" i="3"/>
  <c r="C2257" i="3"/>
  <c r="C2313" i="3"/>
  <c r="C2436" i="3"/>
  <c r="C2804" i="3"/>
  <c r="C2835" i="3"/>
  <c r="C2875" i="3"/>
  <c r="C2917" i="3"/>
  <c r="C2932" i="3"/>
  <c r="C2939" i="3"/>
  <c r="C3011" i="3"/>
  <c r="C3091" i="3"/>
  <c r="C3386" i="3"/>
  <c r="C3534" i="3"/>
  <c r="C3553" i="3"/>
  <c r="C3637" i="3"/>
  <c r="C3639" i="3"/>
  <c r="C3642" i="3"/>
  <c r="C3646" i="3"/>
  <c r="C3741" i="3"/>
  <c r="C3826" i="3"/>
  <c r="C3835" i="3"/>
  <c r="C3884" i="3"/>
  <c r="C3996" i="3"/>
  <c r="C4011" i="3"/>
  <c r="C4076" i="3"/>
  <c r="C4132" i="3"/>
  <c r="C4139" i="3"/>
  <c r="C4180" i="3"/>
  <c r="C4274" i="3"/>
  <c r="C4315" i="3"/>
  <c r="C4370" i="3"/>
  <c r="C4384" i="3"/>
  <c r="C4426" i="3"/>
  <c r="C4462" i="3"/>
  <c r="C4508" i="3"/>
  <c r="C4518" i="3"/>
  <c r="C4530" i="3"/>
  <c r="C4534" i="3"/>
  <c r="C4597" i="3"/>
  <c r="C4659" i="3"/>
  <c r="C4665" i="3"/>
  <c r="C4728" i="3"/>
  <c r="C18" i="3"/>
  <c r="C36" i="3"/>
  <c r="C89" i="3"/>
  <c r="C138" i="3"/>
  <c r="C173" i="3"/>
  <c r="C303" i="3"/>
  <c r="C368" i="3"/>
  <c r="C398" i="3"/>
  <c r="C453" i="3"/>
  <c r="C483" i="3"/>
  <c r="C589" i="3"/>
  <c r="C686" i="3"/>
  <c r="C697" i="3"/>
  <c r="C741" i="3"/>
  <c r="C848" i="3"/>
  <c r="C858" i="3"/>
  <c r="C890" i="3"/>
  <c r="C1129" i="3"/>
  <c r="C1214" i="3"/>
  <c r="C1329" i="3"/>
  <c r="C1387" i="3"/>
  <c r="C1416" i="3"/>
  <c r="C1507" i="3"/>
  <c r="C1547" i="3"/>
  <c r="C1592" i="3"/>
  <c r="C1667" i="3"/>
  <c r="C1739" i="3"/>
  <c r="C1793" i="3"/>
  <c r="C1843" i="3"/>
  <c r="C1884" i="3"/>
  <c r="C1934" i="3"/>
  <c r="C2128" i="3"/>
  <c r="C2182" i="3"/>
  <c r="C2195" i="3"/>
  <c r="C2209" i="3"/>
  <c r="C2330" i="3"/>
  <c r="C2387" i="3"/>
  <c r="C2390" i="3"/>
  <c r="C2468" i="3"/>
  <c r="C2483" i="3"/>
  <c r="C2543" i="3"/>
  <c r="C2568" i="3"/>
  <c r="C2589" i="3"/>
  <c r="C2781" i="3"/>
  <c r="C2788" i="3"/>
  <c r="C2842" i="3"/>
  <c r="C2892" i="3"/>
  <c r="C2915" i="3"/>
  <c r="C2943" i="3"/>
  <c r="C3014" i="3"/>
  <c r="C3191" i="3"/>
  <c r="C3295" i="3"/>
  <c r="C3311" i="3"/>
  <c r="C3382" i="3"/>
  <c r="C3519" i="3"/>
  <c r="C3635" i="3"/>
  <c r="C3696" i="3"/>
  <c r="C3799" i="3"/>
  <c r="C3816" i="3"/>
  <c r="C3832" i="3"/>
  <c r="C3846" i="3"/>
  <c r="C3854" i="3"/>
  <c r="C3892" i="3"/>
  <c r="C3933" i="3"/>
  <c r="C3955" i="3"/>
  <c r="C4057" i="3"/>
  <c r="C4151" i="3"/>
  <c r="C4171" i="3"/>
  <c r="C4221" i="3"/>
  <c r="C4226" i="3"/>
  <c r="C4318" i="3"/>
  <c r="C4492" i="3"/>
  <c r="C4583" i="3"/>
  <c r="C4618" i="3"/>
  <c r="C4807" i="3"/>
  <c r="C4822" i="3"/>
  <c r="C8" i="3"/>
  <c r="C47" i="3"/>
  <c r="C98" i="3"/>
  <c r="C187" i="3"/>
  <c r="C205" i="3"/>
  <c r="C263" i="3"/>
  <c r="C332" i="3"/>
  <c r="C417" i="3"/>
  <c r="C444" i="3"/>
  <c r="C489" i="3"/>
  <c r="C506" i="3"/>
  <c r="C548" i="3"/>
  <c r="C640" i="3"/>
  <c r="C694" i="3"/>
  <c r="C706" i="3"/>
  <c r="C718" i="3"/>
  <c r="C738" i="3"/>
  <c r="C875" i="3"/>
  <c r="C901" i="3"/>
  <c r="C1040" i="3"/>
  <c r="C1070" i="3"/>
  <c r="C1096" i="3"/>
  <c r="C1121" i="3"/>
  <c r="C1179" i="3"/>
  <c r="C1317" i="3"/>
  <c r="C1322" i="3"/>
  <c r="C1353" i="3"/>
  <c r="C1383" i="3"/>
  <c r="C1540" i="3"/>
  <c r="C1565" i="3"/>
  <c r="C1582" i="3"/>
  <c r="C1603" i="3"/>
  <c r="C1646" i="3"/>
  <c r="C1785" i="3"/>
  <c r="C1786" i="3"/>
  <c r="C1806" i="3"/>
  <c r="C1823" i="3"/>
  <c r="C1883" i="3"/>
  <c r="C1903" i="3"/>
  <c r="C2023" i="3"/>
  <c r="C2085" i="3"/>
  <c r="C2172" i="3"/>
  <c r="C2207" i="3"/>
  <c r="C2215" i="3"/>
  <c r="C2270" i="3"/>
  <c r="C2333" i="3"/>
  <c r="C2404" i="3"/>
  <c r="C2526" i="3"/>
  <c r="C2528" i="3"/>
  <c r="C2530" i="3"/>
  <c r="C2561" i="3"/>
  <c r="C2634" i="3"/>
  <c r="C2659" i="3"/>
  <c r="C2665" i="3"/>
  <c r="C2670" i="3"/>
  <c r="C2728" i="3"/>
  <c r="C2735" i="3"/>
  <c r="C2743" i="3"/>
  <c r="C2783" i="3"/>
  <c r="C2843" i="3"/>
  <c r="C2904" i="3"/>
  <c r="C2949" i="3"/>
  <c r="C2978" i="3"/>
  <c r="C3033" i="3"/>
  <c r="C3067" i="3"/>
  <c r="C3120" i="3"/>
  <c r="C3186" i="3"/>
  <c r="C3197" i="3"/>
  <c r="C3259" i="3"/>
  <c r="C3266" i="3"/>
  <c r="C3350" i="3"/>
  <c r="C3379" i="3"/>
  <c r="C3417" i="3"/>
  <c r="C3508" i="3"/>
  <c r="C3547" i="3"/>
  <c r="C3700" i="3"/>
  <c r="C3722" i="3"/>
  <c r="C3759" i="3"/>
  <c r="C3791" i="3"/>
  <c r="C3828" i="3"/>
  <c r="C3967" i="3"/>
  <c r="C4006" i="3"/>
  <c r="C4066" i="3"/>
  <c r="C4090" i="3"/>
  <c r="C4099" i="3"/>
  <c r="C4199" i="3"/>
  <c r="C4323" i="3"/>
  <c r="C4336" i="3"/>
  <c r="C4343" i="3"/>
  <c r="C4369" i="3"/>
  <c r="C4386" i="3"/>
  <c r="C4527" i="3"/>
  <c r="C4664" i="3"/>
  <c r="C4703" i="3"/>
  <c r="C4706" i="3"/>
  <c r="C4710" i="3"/>
  <c r="C4721" i="3"/>
  <c r="C117" i="3"/>
  <c r="C191" i="3"/>
  <c r="C318" i="3"/>
  <c r="C335" i="3"/>
  <c r="C437" i="3"/>
  <c r="C478" i="3"/>
  <c r="C553" i="3"/>
  <c r="C562" i="3"/>
  <c r="C624" i="3"/>
  <c r="C725" i="3"/>
  <c r="C763" i="3"/>
  <c r="C806" i="3"/>
  <c r="C841" i="3"/>
  <c r="C917" i="3"/>
  <c r="C986" i="3"/>
  <c r="C1086" i="3"/>
  <c r="C1204" i="3"/>
  <c r="C1211" i="3"/>
  <c r="C1241" i="3"/>
  <c r="C1281" i="3"/>
  <c r="C1461" i="3"/>
  <c r="C1473" i="3"/>
  <c r="C1516" i="3"/>
  <c r="C1523" i="3"/>
  <c r="C1723" i="3"/>
  <c r="C1765" i="3"/>
  <c r="C1809" i="3"/>
  <c r="C1881" i="3"/>
  <c r="C1919" i="3"/>
  <c r="C1972" i="3"/>
  <c r="C1987" i="3"/>
  <c r="C2049" i="3"/>
  <c r="C2174" i="3"/>
  <c r="C2208" i="3"/>
  <c r="C2373" i="3"/>
  <c r="C2398" i="3"/>
  <c r="C2491" i="3"/>
  <c r="C2535" i="3"/>
  <c r="C2536" i="3"/>
  <c r="C2681" i="3"/>
  <c r="C2733" i="3"/>
  <c r="C2752" i="3"/>
  <c r="C2812" i="3"/>
  <c r="C3002" i="3"/>
  <c r="C3022" i="3"/>
  <c r="C3077" i="3"/>
  <c r="C3079" i="3"/>
  <c r="C3109" i="3"/>
  <c r="C3149" i="3"/>
  <c r="C3419" i="3"/>
  <c r="C3527" i="3"/>
  <c r="C3536" i="3"/>
  <c r="C3573" i="3"/>
  <c r="C3622" i="3"/>
  <c r="C3701" i="3"/>
  <c r="C3717" i="3"/>
  <c r="C3727" i="3"/>
  <c r="C3788" i="3"/>
  <c r="C3830" i="3"/>
  <c r="C3863" i="3"/>
  <c r="C3902" i="3"/>
  <c r="C3911" i="3"/>
  <c r="C3940" i="3"/>
  <c r="C4054" i="3"/>
  <c r="C4144" i="3"/>
  <c r="C4147" i="3"/>
  <c r="C4189" i="3"/>
  <c r="C4228" i="3"/>
  <c r="C4265" i="3"/>
  <c r="C4300" i="3"/>
  <c r="C4306" i="3"/>
  <c r="C4312" i="3"/>
  <c r="C4317" i="3"/>
  <c r="C4330" i="3"/>
  <c r="C4372" i="3"/>
  <c r="C4381" i="3"/>
  <c r="C4469" i="3"/>
  <c r="C4478" i="3"/>
  <c r="C4603" i="3"/>
  <c r="C4605" i="3"/>
  <c r="C4656" i="3"/>
  <c r="C131" i="3"/>
  <c r="C411" i="3"/>
  <c r="C759" i="3"/>
  <c r="C1392" i="3"/>
  <c r="C1499" i="3"/>
  <c r="C1863" i="3"/>
  <c r="C2255" i="3"/>
  <c r="C2262" i="3"/>
  <c r="C2755" i="3"/>
  <c r="C2878" i="3"/>
  <c r="C3157" i="3"/>
  <c r="C3581" i="3"/>
  <c r="C3787" i="3"/>
  <c r="C3897" i="3"/>
  <c r="C3932" i="3"/>
  <c r="C4219" i="3"/>
  <c r="C4301" i="3"/>
  <c r="C4477" i="3"/>
  <c r="C4539" i="3"/>
  <c r="C4831" i="3"/>
  <c r="D16" i="3"/>
  <c r="D43" i="3"/>
  <c r="D56" i="3"/>
  <c r="D129" i="3"/>
  <c r="D174" i="3"/>
  <c r="D183" i="3"/>
  <c r="D202" i="3"/>
  <c r="D207" i="3"/>
  <c r="D215" i="3"/>
  <c r="D237" i="3"/>
  <c r="D250" i="3"/>
  <c r="D278" i="3"/>
  <c r="D285" i="3"/>
  <c r="D337" i="3"/>
  <c r="D343" i="3"/>
  <c r="D358" i="3"/>
  <c r="D389" i="3"/>
  <c r="D409" i="3"/>
  <c r="D491" i="3"/>
  <c r="D494" i="3"/>
  <c r="D500" i="3"/>
  <c r="D529" i="3"/>
  <c r="D531" i="3"/>
  <c r="D581" i="3"/>
  <c r="D593" i="3"/>
  <c r="D772" i="3"/>
  <c r="D794" i="3"/>
  <c r="D797" i="3"/>
  <c r="D803" i="3"/>
  <c r="D807" i="3"/>
  <c r="D821" i="3"/>
  <c r="D854" i="3"/>
  <c r="D877" i="3"/>
  <c r="D892" i="3"/>
  <c r="D905" i="3"/>
  <c r="D910" i="3"/>
  <c r="D920" i="3"/>
  <c r="D927" i="3"/>
  <c r="D928" i="3"/>
  <c r="D941" i="3"/>
  <c r="D992" i="3"/>
  <c r="D1010" i="3"/>
  <c r="D1052" i="3"/>
  <c r="D1053" i="3"/>
  <c r="D1093" i="3"/>
  <c r="D1101" i="3"/>
  <c r="D1128" i="3"/>
  <c r="D1135" i="3"/>
  <c r="D1245" i="3"/>
  <c r="D1301" i="3"/>
  <c r="D1324" i="3"/>
  <c r="D1349" i="3"/>
  <c r="D1362" i="3"/>
  <c r="D1411" i="3"/>
  <c r="D1425" i="3"/>
  <c r="D1426" i="3"/>
  <c r="D1433" i="3"/>
  <c r="D1444" i="3"/>
  <c r="D1556" i="3"/>
  <c r="D1569" i="3"/>
  <c r="D1629" i="3"/>
  <c r="D1639" i="3"/>
  <c r="D1664" i="3"/>
  <c r="D1713" i="3"/>
  <c r="D1748" i="3"/>
  <c r="D1774" i="3"/>
  <c r="D1784" i="3"/>
  <c r="D1813" i="3"/>
  <c r="D1820" i="3"/>
  <c r="D1838" i="3"/>
  <c r="D1963" i="3"/>
  <c r="D1973" i="3"/>
  <c r="D2000" i="3"/>
  <c r="D2054" i="3"/>
  <c r="D2068" i="3"/>
  <c r="D2101" i="3"/>
  <c r="D2122" i="3"/>
  <c r="D2160" i="3"/>
  <c r="D2233" i="3"/>
  <c r="D2234" i="3"/>
  <c r="D2298" i="3"/>
  <c r="D2332" i="3"/>
  <c r="D2427" i="3"/>
  <c r="D2565" i="3"/>
  <c r="D2586" i="3"/>
  <c r="D2608" i="3"/>
  <c r="D2625" i="3"/>
  <c r="D2641" i="3"/>
  <c r="D2666" i="3"/>
  <c r="D2667" i="3"/>
  <c r="D2691" i="3"/>
  <c r="D2694" i="3"/>
  <c r="D2705" i="3"/>
  <c r="D2720" i="3"/>
  <c r="D2729" i="3"/>
  <c r="D2737" i="3"/>
  <c r="D2738" i="3"/>
  <c r="D2765" i="3"/>
  <c r="D2772" i="3"/>
  <c r="D2779" i="3"/>
  <c r="D2797" i="3"/>
  <c r="D2829" i="3"/>
  <c r="D2834" i="3"/>
  <c r="D2869" i="3"/>
  <c r="D2876" i="3"/>
  <c r="D2896" i="3"/>
  <c r="D2945" i="3"/>
  <c r="D2955" i="3"/>
  <c r="D2998" i="3"/>
  <c r="D3025" i="3"/>
  <c r="D3057" i="3"/>
  <c r="D3089" i="3"/>
  <c r="D3106" i="3"/>
  <c r="D3136" i="3"/>
  <c r="D3189" i="3"/>
  <c r="D3195" i="3"/>
  <c r="D3236" i="3"/>
  <c r="D3267" i="3"/>
  <c r="D3427" i="3"/>
  <c r="D3431" i="3"/>
  <c r="D3460" i="3"/>
  <c r="D3472" i="3"/>
  <c r="D3494" i="3"/>
  <c r="D3502" i="3"/>
  <c r="D3621" i="3"/>
  <c r="D3625" i="3"/>
  <c r="D3638" i="3"/>
  <c r="D3653" i="3"/>
  <c r="D3675" i="3"/>
  <c r="D3695" i="3"/>
  <c r="D3711" i="3"/>
  <c r="D3747" i="3"/>
  <c r="D3796" i="3"/>
  <c r="D3814" i="3"/>
  <c r="D3833" i="3"/>
  <c r="D3841" i="3"/>
  <c r="D3849" i="3"/>
  <c r="D3871" i="3"/>
  <c r="D3961" i="3"/>
  <c r="D3973" i="3"/>
  <c r="D3988" i="3"/>
  <c r="D4088" i="3"/>
  <c r="D4092" i="3"/>
  <c r="D4153" i="3"/>
  <c r="D4188" i="3"/>
  <c r="D4237" i="3"/>
  <c r="D4356" i="3"/>
  <c r="D4385" i="3"/>
  <c r="D4407" i="3"/>
  <c r="D4411" i="3"/>
  <c r="D4422" i="3"/>
  <c r="D4425" i="3"/>
  <c r="D4429" i="3"/>
  <c r="D4447" i="3"/>
  <c r="D4448" i="3"/>
  <c r="D4488" i="3"/>
  <c r="D4537" i="3"/>
  <c r="D4563" i="3"/>
  <c r="D4616" i="3"/>
  <c r="D4658" i="3"/>
  <c r="D4669" i="3"/>
  <c r="D4735" i="3"/>
  <c r="D4738" i="3"/>
  <c r="D4793" i="3"/>
  <c r="D4810" i="3"/>
  <c r="D4819" i="3"/>
  <c r="D27" i="3"/>
  <c r="D31" i="3"/>
  <c r="D144" i="3"/>
  <c r="D156" i="3"/>
  <c r="D179" i="3"/>
  <c r="D282" i="3"/>
  <c r="D284" i="3"/>
  <c r="D341" i="3"/>
  <c r="D344" i="3"/>
  <c r="D360" i="3"/>
  <c r="D406" i="3"/>
  <c r="D432" i="3"/>
  <c r="D439" i="3"/>
  <c r="D441" i="3"/>
  <c r="D456" i="3"/>
  <c r="D498" i="3"/>
  <c r="D502" i="3"/>
  <c r="D514" i="3"/>
  <c r="D590" i="3"/>
  <c r="D599" i="3"/>
  <c r="D619" i="3"/>
  <c r="D621" i="3"/>
  <c r="D681" i="3"/>
  <c r="D692" i="3"/>
  <c r="D727" i="3"/>
  <c r="D731" i="3"/>
  <c r="D732" i="3"/>
  <c r="D733" i="3"/>
  <c r="D783" i="3"/>
  <c r="D800" i="3"/>
  <c r="D862" i="3"/>
  <c r="D878" i="3"/>
  <c r="D898" i="3"/>
  <c r="D999" i="3"/>
  <c r="D1028" i="3"/>
  <c r="D1041" i="3"/>
  <c r="D1072" i="3"/>
  <c r="D1113" i="3"/>
  <c r="D1167" i="3"/>
  <c r="D1171" i="3"/>
  <c r="D1180" i="3"/>
  <c r="D1224" i="3"/>
  <c r="D1265" i="3"/>
  <c r="D1275" i="3"/>
  <c r="D1346" i="3"/>
  <c r="D1360" i="3"/>
  <c r="D1369" i="3"/>
  <c r="D1420" i="3"/>
  <c r="D1481" i="3"/>
  <c r="D1492" i="3"/>
  <c r="D1678" i="3"/>
  <c r="D1717" i="3"/>
  <c r="D1719" i="3"/>
  <c r="D1733" i="3"/>
  <c r="D1736" i="3"/>
  <c r="D1750" i="3"/>
  <c r="D1764" i="3"/>
  <c r="D1893" i="3"/>
  <c r="D1942" i="3"/>
  <c r="D1984" i="3"/>
  <c r="D1998" i="3"/>
  <c r="D2061" i="3"/>
  <c r="D2102" i="3"/>
  <c r="D2123" i="3"/>
  <c r="D2133" i="3"/>
  <c r="D2168" i="3"/>
  <c r="D2179" i="3"/>
  <c r="D2227" i="3"/>
  <c r="D2252" i="3"/>
  <c r="D2261" i="3"/>
  <c r="D2265" i="3"/>
  <c r="D2282" i="3"/>
  <c r="D2296" i="3"/>
  <c r="D2303" i="3"/>
  <c r="D2320" i="3"/>
  <c r="D2323" i="3"/>
  <c r="D2360" i="3"/>
  <c r="D2393" i="3"/>
  <c r="D2420" i="3"/>
  <c r="D2426" i="3"/>
  <c r="D2461" i="3"/>
  <c r="D2546" i="3"/>
  <c r="D2573" i="3"/>
  <c r="D2644" i="3"/>
  <c r="D2653" i="3"/>
  <c r="D2680" i="3"/>
  <c r="D2687" i="3"/>
  <c r="D2721" i="3"/>
  <c r="D2722" i="3"/>
  <c r="D2727" i="3"/>
  <c r="D2730" i="3"/>
  <c r="D2798" i="3"/>
  <c r="D2813" i="3"/>
  <c r="D2816" i="3"/>
  <c r="D2831" i="3"/>
  <c r="D2948" i="3"/>
  <c r="D2974" i="3"/>
  <c r="D3072" i="3"/>
  <c r="D3105" i="3"/>
  <c r="D3121" i="3"/>
  <c r="D3124" i="3"/>
  <c r="D3140" i="3"/>
  <c r="D3193" i="3"/>
  <c r="D3247" i="3"/>
  <c r="D3380" i="3"/>
  <c r="D3404" i="3"/>
  <c r="D3416" i="3"/>
  <c r="D3438" i="3"/>
  <c r="D3480" i="3"/>
  <c r="D3490" i="3"/>
  <c r="D3533" i="3"/>
  <c r="D3535" i="3"/>
  <c r="D3604" i="3"/>
  <c r="D3620" i="3"/>
  <c r="D3667" i="3"/>
  <c r="D3684" i="3"/>
  <c r="D3739" i="3"/>
  <c r="D3742" i="3"/>
  <c r="D3755" i="3"/>
  <c r="D3769" i="3"/>
  <c r="D3802" i="3"/>
  <c r="D3806" i="3"/>
  <c r="D3810" i="3"/>
  <c r="D3857" i="3"/>
  <c r="D3870" i="3"/>
  <c r="D3916" i="3"/>
  <c r="D3924" i="3"/>
  <c r="D3942" i="3"/>
  <c r="D3969" i="3"/>
  <c r="D3982" i="3"/>
  <c r="D4003" i="3"/>
  <c r="D4027" i="3"/>
  <c r="D4030" i="3"/>
  <c r="D4042" i="3"/>
  <c r="D4098" i="3"/>
  <c r="D4104" i="3"/>
  <c r="D4106" i="3"/>
  <c r="D4114" i="3"/>
  <c r="D4117" i="3"/>
  <c r="D4149" i="3"/>
  <c r="D4150" i="3"/>
  <c r="D4152" i="3"/>
  <c r="D4298" i="3"/>
  <c r="D4308" i="3"/>
  <c r="D4321" i="3"/>
  <c r="D4390" i="3"/>
  <c r="D4403" i="3"/>
  <c r="D4520" i="3"/>
  <c r="D4531" i="3"/>
  <c r="D4643" i="3"/>
  <c r="D4717" i="3"/>
  <c r="D4751" i="3"/>
  <c r="D4772" i="3"/>
  <c r="D4779" i="3"/>
  <c r="D4796" i="3"/>
  <c r="D4820" i="3"/>
  <c r="D133" i="3"/>
  <c r="D141" i="3"/>
  <c r="D143" i="3"/>
  <c r="D288" i="3"/>
  <c r="D291" i="3"/>
  <c r="D375" i="3"/>
  <c r="D524" i="3"/>
  <c r="D527" i="3"/>
  <c r="D528" i="3"/>
  <c r="D657" i="3"/>
  <c r="D688" i="3"/>
  <c r="D715" i="3"/>
  <c r="D740" i="3"/>
  <c r="D801" i="3"/>
  <c r="D853" i="3"/>
  <c r="D946" i="3"/>
  <c r="D955" i="3"/>
  <c r="D1020" i="3"/>
  <c r="D1039" i="3"/>
  <c r="D1067" i="3"/>
  <c r="D1107" i="3"/>
  <c r="D1138" i="3"/>
  <c r="D1140" i="3"/>
  <c r="D1147" i="3"/>
  <c r="D1256" i="3"/>
  <c r="D1257" i="3"/>
  <c r="D1264" i="3"/>
  <c r="D1298" i="3"/>
  <c r="D1312" i="3"/>
  <c r="D1441" i="3"/>
  <c r="D1568" i="3"/>
  <c r="D1648" i="3"/>
  <c r="D1651" i="3"/>
  <c r="D1689" i="3"/>
  <c r="D1696" i="3"/>
  <c r="D1697" i="3"/>
  <c r="D1780" i="3"/>
  <c r="D1920" i="3"/>
  <c r="D1947" i="3"/>
  <c r="D1996" i="3"/>
  <c r="D2105" i="3"/>
  <c r="D2127" i="3"/>
  <c r="D2193" i="3"/>
  <c r="D2242" i="3"/>
  <c r="D2258" i="3"/>
  <c r="D2274" i="3"/>
  <c r="D2353" i="3"/>
  <c r="D2375" i="3"/>
  <c r="D2384" i="3"/>
  <c r="D2396" i="3"/>
  <c r="D2575" i="3"/>
  <c r="D2588" i="3"/>
  <c r="D2618" i="3"/>
  <c r="D2761" i="3"/>
  <c r="D2830" i="3"/>
  <c r="D2897" i="3"/>
  <c r="D3094" i="3"/>
  <c r="D3111" i="3"/>
  <c r="D3156" i="3"/>
  <c r="D3187" i="3"/>
  <c r="D3269" i="3"/>
  <c r="D3282" i="3"/>
  <c r="D3285" i="3"/>
  <c r="D3288" i="3"/>
  <c r="D3363" i="3"/>
  <c r="D3364" i="3"/>
  <c r="D3374" i="3"/>
  <c r="D3424" i="3"/>
  <c r="D3452" i="3"/>
  <c r="D3474" i="3"/>
  <c r="D3514" i="3"/>
  <c r="D3691" i="3"/>
  <c r="D3751" i="3"/>
  <c r="D3757" i="3"/>
  <c r="D3758" i="3"/>
  <c r="D3913" i="3"/>
  <c r="D3931" i="3"/>
  <c r="D3968" i="3"/>
  <c r="D3980" i="3"/>
  <c r="D4039" i="3"/>
  <c r="D4103" i="3"/>
  <c r="D4108" i="3"/>
  <c r="D4113" i="3"/>
  <c r="D4195" i="3"/>
  <c r="D4252" i="3"/>
  <c r="D4397" i="3"/>
  <c r="D4517" i="3"/>
  <c r="D4609" i="3"/>
  <c r="D4696" i="3"/>
  <c r="D4834" i="3"/>
  <c r="D53" i="3"/>
  <c r="D90" i="3"/>
  <c r="D123" i="3"/>
  <c r="D152" i="3"/>
  <c r="D182" i="3"/>
  <c r="D244" i="3"/>
  <c r="D429" i="3"/>
  <c r="D512" i="3"/>
  <c r="D607" i="3"/>
  <c r="D636" i="3"/>
  <c r="D717" i="3"/>
  <c r="D720" i="3"/>
  <c r="D739" i="3"/>
  <c r="D747" i="3"/>
  <c r="D923" i="3"/>
  <c r="D931" i="3"/>
  <c r="D993" i="3"/>
  <c r="D1019" i="3"/>
  <c r="D1159" i="3"/>
  <c r="D1162" i="3"/>
  <c r="D1319" i="3"/>
  <c r="D1341" i="3"/>
  <c r="D1354" i="3"/>
  <c r="D1358" i="3"/>
  <c r="D1376" i="3"/>
  <c r="D1445" i="3"/>
  <c r="D1533" i="3"/>
  <c r="D1539" i="3"/>
  <c r="D1561" i="3"/>
  <c r="D1615" i="3"/>
  <c r="D1834" i="3"/>
  <c r="D1859" i="3"/>
  <c r="D1927" i="3"/>
  <c r="D1939" i="3"/>
  <c r="D1945" i="3"/>
  <c r="D2027" i="3"/>
  <c r="D2089" i="3"/>
  <c r="D2108" i="3"/>
  <c r="D2159" i="3"/>
  <c r="D2163" i="3"/>
  <c r="D2171" i="3"/>
  <c r="D2250" i="3"/>
  <c r="D2472" i="3"/>
  <c r="D2518" i="3"/>
  <c r="D2614" i="3"/>
  <c r="D2640" i="3"/>
  <c r="D2651" i="3"/>
  <c r="D2717" i="3"/>
  <c r="D2723" i="3"/>
  <c r="D2863" i="3"/>
  <c r="D2868" i="3"/>
  <c r="D2950" i="3"/>
  <c r="D2992" i="3"/>
  <c r="D2997" i="3"/>
  <c r="D3061" i="3"/>
  <c r="D3064" i="3"/>
  <c r="D3075" i="3"/>
  <c r="D3102" i="3"/>
  <c r="D3119" i="3"/>
  <c r="D3133" i="3"/>
  <c r="D3208" i="3"/>
  <c r="D3214" i="3"/>
  <c r="D3321" i="3"/>
  <c r="D3397" i="3"/>
  <c r="D3590" i="3"/>
  <c r="D3687" i="3"/>
  <c r="D3698" i="3"/>
  <c r="D3726" i="3"/>
  <c r="D3738" i="3"/>
  <c r="D3762" i="3"/>
  <c r="D3800" i="3"/>
  <c r="D3858" i="3"/>
  <c r="D3914" i="3"/>
  <c r="D4019" i="3"/>
  <c r="D4105" i="3"/>
  <c r="D4192" i="3"/>
  <c r="D4229" i="3"/>
  <c r="D4262" i="3"/>
  <c r="D4303" i="3"/>
  <c r="D4393" i="3"/>
  <c r="D4440" i="3"/>
  <c r="D4727" i="3"/>
  <c r="D41" i="3"/>
  <c r="D105" i="3"/>
  <c r="D107" i="3"/>
  <c r="D428" i="3"/>
  <c r="D1029" i="3"/>
  <c r="D1157" i="3"/>
  <c r="D1307" i="3"/>
  <c r="D1421" i="3"/>
  <c r="D1484" i="3"/>
  <c r="D1575" i="3"/>
  <c r="D1803" i="3"/>
  <c r="D1832" i="3"/>
  <c r="D1931" i="3"/>
  <c r="D1968" i="3"/>
  <c r="D1989" i="3"/>
  <c r="D2091" i="3"/>
  <c r="D2104" i="3"/>
  <c r="D2111" i="3"/>
  <c r="D2307" i="3"/>
  <c r="D2321" i="3"/>
  <c r="D2517" i="3"/>
  <c r="D2534" i="3"/>
  <c r="D2620" i="3"/>
  <c r="D2726" i="3"/>
  <c r="D2820" i="3"/>
  <c r="D2859" i="3"/>
  <c r="D2918" i="3"/>
  <c r="D2964" i="3"/>
  <c r="D3063" i="3"/>
  <c r="D3117" i="3"/>
  <c r="D3220" i="3"/>
  <c r="D3299" i="3"/>
  <c r="D3342" i="3"/>
  <c r="D3384" i="3"/>
  <c r="D3407" i="3"/>
  <c r="D3466" i="3"/>
  <c r="D3501" i="3"/>
  <c r="D3526" i="3"/>
  <c r="D3554" i="3"/>
  <c r="D3579" i="3"/>
  <c r="D3693" i="3"/>
  <c r="D3840" i="3"/>
  <c r="D3946" i="3"/>
  <c r="D4255" i="3"/>
  <c r="D4420" i="3"/>
  <c r="D4433" i="3"/>
  <c r="D4634" i="3"/>
  <c r="D198" i="3"/>
  <c r="D393" i="3"/>
  <c r="D397" i="3"/>
  <c r="D465" i="3"/>
  <c r="D499" i="3"/>
  <c r="D622" i="3"/>
  <c r="D752" i="3"/>
  <c r="D830" i="3"/>
  <c r="D884" i="3"/>
  <c r="D943" i="3"/>
  <c r="D1054" i="3"/>
  <c r="D1145" i="3"/>
  <c r="D1479" i="3"/>
  <c r="D1544" i="3"/>
  <c r="D1573" i="3"/>
  <c r="D1700" i="3"/>
  <c r="D1810" i="3"/>
  <c r="D2067" i="3"/>
  <c r="D2113" i="3"/>
  <c r="D2292" i="3"/>
  <c r="D2605" i="3"/>
  <c r="D2657" i="3"/>
  <c r="D2664" i="3"/>
  <c r="D2693" i="3"/>
  <c r="D2977" i="3"/>
  <c r="D3019" i="3"/>
  <c r="D3023" i="3"/>
  <c r="D3356" i="3"/>
  <c r="D3378" i="3"/>
  <c r="D3448" i="3"/>
  <c r="D3681" i="3"/>
  <c r="D3779" i="3"/>
  <c r="D3862" i="3"/>
  <c r="D3894" i="3"/>
  <c r="D3912" i="3"/>
  <c r="D3927" i="3"/>
  <c r="D3993" i="3"/>
  <c r="D4000" i="3"/>
  <c r="D4080" i="3"/>
  <c r="D4374" i="3"/>
  <c r="D4378" i="3"/>
  <c r="D4389" i="3"/>
  <c r="D4436" i="3"/>
  <c r="D4496" i="3"/>
  <c r="D4684" i="3"/>
  <c r="D4811" i="3"/>
  <c r="D64" i="3"/>
  <c r="D153" i="3"/>
  <c r="D200" i="3"/>
  <c r="D373" i="3"/>
  <c r="D410" i="3"/>
  <c r="D550" i="3"/>
  <c r="D823" i="3"/>
  <c r="D846" i="3"/>
  <c r="D963" i="3"/>
  <c r="D969" i="3"/>
  <c r="D1033" i="3"/>
  <c r="D1203" i="3"/>
  <c r="D1333" i="3"/>
  <c r="D1440" i="3"/>
  <c r="D1609" i="3"/>
  <c r="D1706" i="3"/>
  <c r="D1762" i="3"/>
  <c r="D1890" i="3"/>
  <c r="D1895" i="3"/>
  <c r="D2096" i="3"/>
  <c r="D2124" i="3"/>
  <c r="D2137" i="3"/>
  <c r="D2228" i="3"/>
  <c r="D2263" i="3"/>
  <c r="D2275" i="3"/>
  <c r="D2308" i="3"/>
  <c r="D2358" i="3"/>
  <c r="D2378" i="3"/>
  <c r="D2442" i="3"/>
  <c r="D2527" i="3"/>
  <c r="D2663" i="3"/>
  <c r="D2739" i="3"/>
  <c r="D2759" i="3"/>
  <c r="D2793" i="3"/>
  <c r="D2811" i="3"/>
  <c r="D2850" i="3"/>
  <c r="D2965" i="3"/>
  <c r="D3045" i="3"/>
  <c r="D3110" i="3"/>
  <c r="D3118" i="3"/>
  <c r="D3192" i="3"/>
  <c r="D3371" i="3"/>
  <c r="D3402" i="3"/>
  <c r="D3446" i="3"/>
  <c r="D3565" i="3"/>
  <c r="D3651" i="3"/>
  <c r="D3724" i="3"/>
  <c r="D3890" i="3"/>
  <c r="D3910" i="3"/>
  <c r="D4028" i="3"/>
  <c r="D4034" i="3"/>
  <c r="D4177" i="3"/>
  <c r="D4184" i="3"/>
  <c r="D4340" i="3"/>
  <c r="D4388" i="3"/>
  <c r="D4463" i="3"/>
  <c r="D4479" i="3"/>
  <c r="D4572" i="3"/>
  <c r="D4598" i="3"/>
  <c r="D4633" i="3"/>
  <c r="D4640" i="3"/>
  <c r="D4661" i="3"/>
  <c r="D4720" i="3"/>
  <c r="D4780" i="3"/>
  <c r="D4809" i="3"/>
  <c r="D189" i="3"/>
  <c r="D255" i="3"/>
  <c r="D384" i="3"/>
  <c r="D402" i="3"/>
  <c r="D447" i="3"/>
  <c r="D482" i="3"/>
  <c r="D495" i="3"/>
  <c r="D549" i="3"/>
  <c r="D558" i="3"/>
  <c r="D644" i="3"/>
  <c r="D682" i="3"/>
  <c r="D781" i="3"/>
  <c r="D795" i="3"/>
  <c r="D903" i="3"/>
  <c r="D919" i="3"/>
  <c r="D1004" i="3"/>
  <c r="D1073" i="3"/>
  <c r="D1124" i="3"/>
  <c r="D1185" i="3"/>
  <c r="D1230" i="3"/>
  <c r="D1259" i="3"/>
  <c r="D1311" i="3"/>
  <c r="D1342" i="3"/>
  <c r="D1344" i="3"/>
  <c r="D1378" i="3"/>
  <c r="D1447" i="3"/>
  <c r="D1486" i="3"/>
  <c r="D1551" i="3"/>
  <c r="D1618" i="3"/>
  <c r="D1644" i="3"/>
  <c r="D1828" i="3"/>
  <c r="D1905" i="3"/>
  <c r="D1971" i="3"/>
  <c r="D2073" i="3"/>
  <c r="D2142" i="3"/>
  <c r="D2167" i="3"/>
  <c r="D2280" i="3"/>
  <c r="D2316" i="3"/>
  <c r="D2459" i="3"/>
  <c r="D2492" i="3"/>
  <c r="D2607" i="3"/>
  <c r="D2616" i="3"/>
  <c r="D2662" i="3"/>
  <c r="D2796" i="3"/>
  <c r="D2800" i="3"/>
  <c r="D2894" i="3"/>
  <c r="D2959" i="3"/>
  <c r="D2962" i="3"/>
  <c r="D2968" i="3"/>
  <c r="D3047" i="3"/>
  <c r="D3068" i="3"/>
  <c r="D3320" i="3"/>
  <c r="D3349" i="3"/>
  <c r="D3462" i="3"/>
  <c r="D3516" i="3"/>
  <c r="D3578" i="3"/>
  <c r="D3616" i="3"/>
  <c r="D3647" i="3"/>
  <c r="D3659" i="3"/>
  <c r="D3716" i="3"/>
  <c r="D3740" i="3"/>
  <c r="D3797" i="3"/>
  <c r="D3801" i="3"/>
  <c r="D3847" i="3"/>
  <c r="D4166" i="3"/>
  <c r="D4266" i="3"/>
  <c r="D4289" i="3"/>
  <c r="D4325" i="3"/>
  <c r="D4453" i="3"/>
  <c r="D4553" i="3"/>
  <c r="D4619" i="3"/>
  <c r="D4707" i="3"/>
  <c r="D4744" i="3"/>
  <c r="D4749" i="3"/>
  <c r="D4791" i="3"/>
  <c r="D29" i="3"/>
  <c r="D50" i="3"/>
  <c r="D116" i="3"/>
  <c r="D145" i="3"/>
  <c r="D193" i="3"/>
  <c r="D346" i="3"/>
  <c r="D357" i="3"/>
  <c r="D472" i="3"/>
  <c r="D573" i="3"/>
  <c r="D620" i="3"/>
  <c r="D700" i="3"/>
  <c r="D791" i="3"/>
  <c r="D834" i="3"/>
  <c r="D962" i="3"/>
  <c r="D973" i="3"/>
  <c r="D1003" i="3"/>
  <c r="D1022" i="3"/>
  <c r="D1050" i="3"/>
  <c r="D1114" i="3"/>
  <c r="D1188" i="3"/>
  <c r="D1190" i="3"/>
  <c r="D1196" i="3"/>
  <c r="D1248" i="3"/>
  <c r="D1270" i="3"/>
  <c r="D1280" i="3"/>
  <c r="D1321" i="3"/>
  <c r="D1332" i="3"/>
  <c r="D1338" i="3"/>
  <c r="D1602" i="3"/>
  <c r="D1656" i="3"/>
  <c r="D1665" i="3"/>
  <c r="D1858" i="3"/>
  <c r="D1888" i="3"/>
  <c r="D1913" i="3"/>
  <c r="D1959" i="3"/>
  <c r="D1960" i="3"/>
  <c r="D1999" i="3"/>
  <c r="D2031" i="3"/>
  <c r="D2146" i="3"/>
  <c r="D2236" i="3"/>
  <c r="D2268" i="3"/>
  <c r="D2304" i="3"/>
  <c r="D2311" i="3"/>
  <c r="D2326" i="3"/>
  <c r="D2385" i="3"/>
  <c r="D2417" i="3"/>
  <c r="D2493" i="3"/>
  <c r="D2504" i="3"/>
  <c r="D2604" i="3"/>
  <c r="D2708" i="3"/>
  <c r="D2756" i="3"/>
  <c r="D2773" i="3"/>
  <c r="D2819" i="3"/>
  <c r="D2851" i="3"/>
  <c r="D2967" i="3"/>
  <c r="D3013" i="3"/>
  <c r="D3036" i="3"/>
  <c r="D3055" i="3"/>
  <c r="D3103" i="3"/>
  <c r="D3122" i="3"/>
  <c r="D3207" i="3"/>
  <c r="D3226" i="3"/>
  <c r="D3281" i="3"/>
  <c r="D3294" i="3"/>
  <c r="D3346" i="3"/>
  <c r="D3359" i="3"/>
  <c r="D3408" i="3"/>
  <c r="D3415" i="3"/>
  <c r="D3507" i="3"/>
  <c r="D3521" i="3"/>
  <c r="D3559" i="3"/>
  <c r="D3617" i="3"/>
  <c r="D3661" i="3"/>
  <c r="D3756" i="3"/>
  <c r="D3766" i="3"/>
  <c r="D3778" i="3"/>
  <c r="D3837" i="3"/>
  <c r="D3851" i="3"/>
  <c r="D4116" i="3"/>
  <c r="D4258" i="3"/>
  <c r="D4335" i="3"/>
  <c r="D4338" i="3"/>
  <c r="D4410" i="3"/>
  <c r="D4415" i="3"/>
  <c r="D4638" i="3"/>
  <c r="D4645" i="3"/>
  <c r="D4646" i="3"/>
  <c r="D4672" i="3"/>
  <c r="D4778" i="3"/>
  <c r="D24" i="3"/>
  <c r="D95" i="3"/>
  <c r="D149" i="3"/>
  <c r="D185" i="3"/>
  <c r="D225" i="3"/>
  <c r="D228" i="3"/>
  <c r="D229" i="3"/>
  <c r="D239" i="3"/>
  <c r="D254" i="3"/>
  <c r="D281" i="3"/>
  <c r="D321" i="3"/>
  <c r="D353" i="3"/>
  <c r="D418" i="3"/>
  <c r="D617" i="3"/>
  <c r="D658" i="3"/>
  <c r="D663" i="3"/>
  <c r="D693" i="3"/>
  <c r="D753" i="3"/>
  <c r="D755" i="3"/>
  <c r="D871" i="3"/>
  <c r="D913" i="3"/>
  <c r="D918" i="3"/>
  <c r="D960" i="3"/>
  <c r="D964" i="3"/>
  <c r="D972" i="3"/>
  <c r="D1152" i="3"/>
  <c r="D1183" i="3"/>
  <c r="D1187" i="3"/>
  <c r="D1197" i="3"/>
  <c r="D1237" i="3"/>
  <c r="D1283" i="3"/>
  <c r="D1286" i="3"/>
  <c r="D1290" i="3"/>
  <c r="D1305" i="3"/>
  <c r="D1384" i="3"/>
  <c r="D1390" i="3"/>
  <c r="D1458" i="3"/>
  <c r="D1459" i="3"/>
  <c r="D1530" i="3"/>
  <c r="D1543" i="3"/>
  <c r="D1631" i="3"/>
  <c r="D1633" i="3"/>
  <c r="D1643" i="3"/>
  <c r="D1660" i="3"/>
  <c r="D1677" i="3"/>
  <c r="D1868" i="3"/>
  <c r="D1869" i="3"/>
  <c r="D2007" i="3"/>
  <c r="D2015" i="3"/>
  <c r="D2041" i="3"/>
  <c r="D2139" i="3"/>
  <c r="D2155" i="3"/>
  <c r="D2231" i="3"/>
  <c r="D2247" i="3"/>
  <c r="D2251" i="3"/>
  <c r="D2371" i="3"/>
  <c r="D2403" i="3"/>
  <c r="D2529" i="3"/>
  <c r="D2631" i="3"/>
  <c r="D2645" i="3"/>
  <c r="D2648" i="3"/>
  <c r="D2671" i="3"/>
  <c r="D2689" i="3"/>
  <c r="D2731" i="3"/>
  <c r="D2753" i="3"/>
  <c r="D2769" i="3"/>
  <c r="D2787" i="3"/>
  <c r="D2791" i="3"/>
  <c r="D2808" i="3"/>
  <c r="D2818" i="3"/>
  <c r="D2828" i="3"/>
  <c r="D2849" i="3"/>
  <c r="D2890" i="3"/>
  <c r="D2961" i="3"/>
  <c r="D2972" i="3"/>
  <c r="D3015" i="3"/>
  <c r="D3031" i="3"/>
  <c r="D3051" i="3"/>
  <c r="D3080" i="3"/>
  <c r="D3181" i="3"/>
  <c r="D3272" i="3"/>
  <c r="D3283" i="3"/>
  <c r="D3297" i="3"/>
  <c r="D3305" i="3"/>
  <c r="D3309" i="3"/>
  <c r="D3453" i="3"/>
  <c r="D3493" i="3"/>
  <c r="D3497" i="3"/>
  <c r="D3531" i="3"/>
  <c r="D3550" i="3"/>
  <c r="D3557" i="3"/>
  <c r="D3577" i="3"/>
  <c r="D3588" i="3"/>
  <c r="D3598" i="3"/>
  <c r="D3718" i="3"/>
  <c r="D3729" i="3"/>
  <c r="D3812" i="3"/>
  <c r="D3903" i="3"/>
  <c r="D3979" i="3"/>
  <c r="D4146" i="3"/>
  <c r="D4183" i="3"/>
  <c r="D4196" i="3"/>
  <c r="D4206" i="3"/>
  <c r="D4247" i="3"/>
  <c r="D4277" i="3"/>
  <c r="D4284" i="3"/>
  <c r="D4295" i="3"/>
  <c r="D4361" i="3"/>
  <c r="D4419" i="3"/>
  <c r="D4476" i="3"/>
  <c r="D4482" i="3"/>
  <c r="D4490" i="3"/>
  <c r="D4526" i="3"/>
  <c r="D4612" i="3"/>
  <c r="D4621" i="3"/>
  <c r="D4630" i="3"/>
  <c r="D4666" i="3"/>
  <c r="D4683" i="3"/>
  <c r="D4741" i="3"/>
  <c r="D4775" i="3"/>
  <c r="D4813" i="3"/>
  <c r="D7" i="3"/>
  <c r="D10" i="3"/>
  <c r="D57" i="3"/>
  <c r="D81" i="3"/>
  <c r="D147" i="3"/>
  <c r="D157" i="3"/>
  <c r="D195" i="3"/>
  <c r="D203" i="3"/>
  <c r="D241" i="3"/>
  <c r="D299" i="3"/>
  <c r="D366" i="3"/>
  <c r="D374" i="3"/>
  <c r="D377" i="3"/>
  <c r="D391" i="3"/>
  <c r="D476" i="3"/>
  <c r="D487" i="3"/>
  <c r="D515" i="3"/>
  <c r="D584" i="3"/>
  <c r="D643" i="3"/>
  <c r="D708" i="3"/>
  <c r="D773" i="3"/>
  <c r="D849" i="3"/>
  <c r="D881" i="3"/>
  <c r="D889" i="3"/>
  <c r="D894" i="3"/>
  <c r="D895" i="3"/>
  <c r="D904" i="3"/>
  <c r="D957" i="3"/>
  <c r="D1012" i="3"/>
  <c r="D1071" i="3"/>
  <c r="D1099" i="3"/>
  <c r="D1110" i="3"/>
  <c r="D1153" i="3"/>
  <c r="D1168" i="3"/>
  <c r="D1169" i="3"/>
  <c r="D1189" i="3"/>
  <c r="D1200" i="3"/>
  <c r="D1205" i="3"/>
  <c r="D1218" i="3"/>
  <c r="D1221" i="3"/>
  <c r="D1223" i="3"/>
  <c r="D1246" i="3"/>
  <c r="D1255" i="3"/>
  <c r="D1381" i="3"/>
  <c r="D1391" i="3"/>
  <c r="D1442" i="3"/>
  <c r="D1475" i="3"/>
  <c r="D1501" i="3"/>
  <c r="D1519" i="3"/>
  <c r="D1529" i="3"/>
  <c r="D1534" i="3"/>
  <c r="D1542" i="3"/>
  <c r="D1552" i="3"/>
  <c r="D1640" i="3"/>
  <c r="D1658" i="3"/>
  <c r="D1766" i="3"/>
  <c r="D1783" i="3"/>
  <c r="D1801" i="3"/>
  <c r="D1830" i="3"/>
  <c r="D1833" i="3"/>
  <c r="D1902" i="3"/>
  <c r="D1904" i="3"/>
  <c r="D1921" i="3"/>
  <c r="D2026" i="3"/>
  <c r="D2141" i="3"/>
  <c r="D2152" i="3"/>
  <c r="D2173" i="3"/>
  <c r="D2180" i="3"/>
  <c r="D2198" i="3"/>
  <c r="D2249" i="3"/>
  <c r="D2256" i="3"/>
  <c r="D2259" i="3"/>
  <c r="D2267" i="3"/>
  <c r="D2299" i="3"/>
  <c r="D2325" i="3"/>
  <c r="D2347" i="3"/>
  <c r="D2357" i="3"/>
  <c r="D2368" i="3"/>
  <c r="D2460" i="3"/>
  <c r="D2465" i="3"/>
  <c r="D2476" i="3"/>
  <c r="D2485" i="3"/>
  <c r="D2522" i="3"/>
  <c r="D2553" i="3"/>
  <c r="D2560" i="3"/>
  <c r="D2562" i="3"/>
  <c r="D2563" i="3"/>
  <c r="D2587" i="3"/>
  <c r="D2633" i="3"/>
  <c r="D2686" i="3"/>
  <c r="D2725" i="3"/>
  <c r="D2750" i="3"/>
  <c r="D2776" i="3"/>
  <c r="D2815" i="3"/>
  <c r="D2905" i="3"/>
  <c r="D2909" i="3"/>
  <c r="D2983" i="3"/>
  <c r="D2987" i="3"/>
  <c r="D2990" i="3"/>
  <c r="D3048" i="3"/>
  <c r="D3071" i="3"/>
  <c r="D3158" i="3"/>
  <c r="D3182" i="3"/>
  <c r="D3238" i="3"/>
  <c r="D3261" i="3"/>
  <c r="D3275" i="3"/>
  <c r="D3317" i="3"/>
  <c r="D3329" i="3"/>
  <c r="D3331" i="3"/>
  <c r="D3336" i="3"/>
  <c r="D3389" i="3"/>
  <c r="D3413" i="3"/>
  <c r="D3489" i="3"/>
  <c r="D3523" i="3"/>
  <c r="D3560" i="3"/>
  <c r="D3603" i="3"/>
  <c r="D3615" i="3"/>
  <c r="D3618" i="3"/>
  <c r="D3713" i="3"/>
  <c r="D3760" i="3"/>
  <c r="D3803" i="3"/>
  <c r="D3817" i="3"/>
  <c r="D3887" i="3"/>
  <c r="D3944" i="3"/>
  <c r="D3958" i="3"/>
  <c r="D3978" i="3"/>
  <c r="D3997" i="3"/>
  <c r="D4038" i="3"/>
  <c r="D4056" i="3"/>
  <c r="D4137" i="3"/>
  <c r="D4148" i="3"/>
  <c r="D4204" i="3"/>
  <c r="D4259" i="3"/>
  <c r="D4260" i="3"/>
  <c r="D4351" i="3"/>
  <c r="D4383" i="3"/>
  <c r="D4391" i="3"/>
  <c r="D4417" i="3"/>
  <c r="D4428" i="3"/>
  <c r="D4431" i="3"/>
  <c r="D4454" i="3"/>
  <c r="D4468" i="3"/>
  <c r="D4471" i="3"/>
  <c r="D4528" i="3"/>
  <c r="D4540" i="3"/>
  <c r="D4545" i="3"/>
  <c r="D4624" i="3"/>
  <c r="D4648" i="3"/>
  <c r="D4685" i="3"/>
  <c r="D4698" i="3"/>
  <c r="D4714" i="3"/>
  <c r="D4725" i="3"/>
  <c r="D48" i="3"/>
  <c r="D401" i="3"/>
  <c r="D630" i="3"/>
  <c r="D637" i="3"/>
  <c r="D638" i="3"/>
  <c r="D645" i="3"/>
  <c r="D678" i="3"/>
  <c r="D736" i="3"/>
  <c r="D749" i="3"/>
  <c r="D886" i="3"/>
  <c r="D976" i="3"/>
  <c r="D1058" i="3"/>
  <c r="D1120" i="3"/>
  <c r="D1130" i="3"/>
  <c r="D1186" i="3"/>
  <c r="D1212" i="3"/>
  <c r="D1261" i="3"/>
  <c r="D1403" i="3"/>
  <c r="D1460" i="3"/>
  <c r="D1471" i="3"/>
  <c r="D1545" i="3"/>
  <c r="D1548" i="3"/>
  <c r="D1572" i="3"/>
  <c r="D1591" i="3"/>
  <c r="D1600" i="3"/>
  <c r="D1611" i="3"/>
  <c r="D1671" i="3"/>
  <c r="D1742" i="3"/>
  <c r="D1769" i="3"/>
  <c r="D1839" i="3"/>
  <c r="D1877" i="3"/>
  <c r="D1912" i="3"/>
  <c r="D1980" i="3"/>
  <c r="D1986" i="3"/>
  <c r="D1988" i="3"/>
  <c r="D2099" i="3"/>
  <c r="D2129" i="3"/>
  <c r="D2150" i="3"/>
  <c r="D2177" i="3"/>
  <c r="D2350" i="3"/>
  <c r="D2480" i="3"/>
  <c r="D2551" i="3"/>
  <c r="D2612" i="3"/>
  <c r="D2718" i="3"/>
  <c r="D2810" i="3"/>
  <c r="D2947" i="3"/>
  <c r="D2980" i="3"/>
  <c r="D2984" i="3"/>
  <c r="D2986" i="3"/>
  <c r="D2989" i="3"/>
  <c r="D3163" i="3"/>
  <c r="D3170" i="3"/>
  <c r="D3201" i="3"/>
  <c r="D3303" i="3"/>
  <c r="D3306" i="3"/>
  <c r="D3433" i="3"/>
  <c r="D3473" i="3"/>
  <c r="D3491" i="3"/>
  <c r="D3529" i="3"/>
  <c r="D3543" i="3"/>
  <c r="D3650" i="3"/>
  <c r="D3679" i="3"/>
  <c r="D3750" i="3"/>
  <c r="D3808" i="3"/>
  <c r="D3834" i="3"/>
  <c r="D3915" i="3"/>
  <c r="D4205" i="3"/>
  <c r="D4231" i="3"/>
  <c r="D4380" i="3"/>
  <c r="D4406" i="3"/>
  <c r="D4466" i="3"/>
  <c r="D4693" i="3"/>
  <c r="D4705" i="3"/>
  <c r="D4748" i="3"/>
  <c r="D4804" i="3"/>
  <c r="D2" i="3"/>
  <c r="D22" i="3"/>
  <c r="D26" i="3"/>
  <c r="D38" i="3"/>
  <c r="D58" i="3"/>
  <c r="D92" i="3"/>
  <c r="D137" i="3"/>
  <c r="D155" i="3"/>
  <c r="D162" i="3"/>
  <c r="D171" i="3"/>
  <c r="D177" i="3"/>
  <c r="D214" i="3"/>
  <c r="D233" i="3"/>
  <c r="D246" i="3"/>
  <c r="D259" i="3"/>
  <c r="D301" i="3"/>
  <c r="D319" i="3"/>
  <c r="D328" i="3"/>
  <c r="D333" i="3"/>
  <c r="D336" i="3"/>
  <c r="D350" i="3"/>
  <c r="D383" i="3"/>
  <c r="D400" i="3"/>
  <c r="D419" i="3"/>
  <c r="D423" i="3"/>
  <c r="D449" i="3"/>
  <c r="D501" i="3"/>
  <c r="D516" i="3"/>
  <c r="D535" i="3"/>
  <c r="D560" i="3"/>
  <c r="D577" i="3"/>
  <c r="D625" i="3"/>
  <c r="D627" i="3"/>
  <c r="D676" i="3"/>
  <c r="D719" i="3"/>
  <c r="D742" i="3"/>
  <c r="D744" i="3"/>
  <c r="D751" i="3"/>
  <c r="D754" i="3"/>
  <c r="D756" i="3"/>
  <c r="D786" i="3"/>
  <c r="D789" i="3"/>
  <c r="D810" i="3"/>
  <c r="D813" i="3"/>
  <c r="D814" i="3"/>
  <c r="D842" i="3"/>
  <c r="D872" i="3"/>
  <c r="D887" i="3"/>
  <c r="D924" i="3"/>
  <c r="D925" i="3"/>
  <c r="D934" i="3"/>
  <c r="D981" i="3"/>
  <c r="D1018" i="3"/>
  <c r="D1059" i="3"/>
  <c r="D1075" i="3"/>
  <c r="D1082" i="3"/>
  <c r="D1085" i="3"/>
  <c r="D1087" i="3"/>
  <c r="D1091" i="3"/>
  <c r="D1104" i="3"/>
  <c r="D1109" i="3"/>
  <c r="D1151" i="3"/>
  <c r="D1174" i="3"/>
  <c r="D1195" i="3"/>
  <c r="D1225" i="3"/>
  <c r="D1268" i="3"/>
  <c r="D1331" i="3"/>
  <c r="D1334" i="3"/>
  <c r="D1373" i="3"/>
  <c r="D1406" i="3"/>
  <c r="D1407" i="3"/>
  <c r="D1446" i="3"/>
  <c r="D1463" i="3"/>
  <c r="D1509" i="3"/>
  <c r="D1579" i="3"/>
  <c r="D1616" i="3"/>
  <c r="D1636" i="3"/>
  <c r="D1666" i="3"/>
  <c r="D1675" i="3"/>
  <c r="D1692" i="3"/>
  <c r="D1731" i="3"/>
  <c r="D1749" i="3"/>
  <c r="D1814" i="3"/>
  <c r="D1829" i="3"/>
  <c r="D1992" i="3"/>
  <c r="D2016" i="3"/>
  <c r="D2046" i="3"/>
  <c r="D2050" i="3"/>
  <c r="D2116" i="3"/>
  <c r="D2121" i="3"/>
  <c r="D2162" i="3"/>
  <c r="D2191" i="3"/>
  <c r="D2212" i="3"/>
  <c r="D2220" i="3"/>
  <c r="D2300" i="3"/>
  <c r="D2369" i="3"/>
  <c r="D2377" i="3"/>
  <c r="D2406" i="3"/>
  <c r="D2438" i="3"/>
  <c r="D2441" i="3"/>
  <c r="D2477" i="3"/>
  <c r="D2554" i="3"/>
  <c r="D2558" i="3"/>
  <c r="D2577" i="3"/>
  <c r="D2622" i="3"/>
  <c r="D2661" i="3"/>
  <c r="D2673" i="3"/>
  <c r="D2683" i="3"/>
  <c r="D2704" i="3"/>
  <c r="D2747" i="3"/>
  <c r="D2794" i="3"/>
  <c r="D2821" i="3"/>
  <c r="D2841" i="3"/>
  <c r="D2877" i="3"/>
  <c r="D2879" i="3"/>
  <c r="D2888" i="3"/>
  <c r="D2889" i="3"/>
  <c r="D2891" i="3"/>
  <c r="D2912" i="3"/>
  <c r="D2933" i="3"/>
  <c r="D2937" i="3"/>
  <c r="D2952" i="3"/>
  <c r="D2996" i="3"/>
  <c r="D3003" i="3"/>
  <c r="D3016" i="3"/>
  <c r="D3017" i="3"/>
  <c r="D3040" i="3"/>
  <c r="D3043" i="3"/>
  <c r="D3059" i="3"/>
  <c r="D3099" i="3"/>
  <c r="D3142" i="3"/>
  <c r="D3233" i="3"/>
  <c r="D3235" i="3"/>
  <c r="D3237" i="3"/>
  <c r="D3240" i="3"/>
  <c r="D3271" i="3"/>
  <c r="D3337" i="3"/>
  <c r="D3340" i="3"/>
  <c r="D3385" i="3"/>
  <c r="D3441" i="3"/>
  <c r="D3459" i="3"/>
  <c r="D3461" i="3"/>
  <c r="D3485" i="3"/>
  <c r="D3517" i="3"/>
  <c r="D3541" i="3"/>
  <c r="D3563" i="3"/>
  <c r="D3568" i="3"/>
  <c r="D3610" i="3"/>
  <c r="D3619" i="3"/>
  <c r="D3634" i="3"/>
  <c r="D3663" i="3"/>
  <c r="D3680" i="3"/>
  <c r="D3689" i="3"/>
  <c r="D3822" i="3"/>
  <c r="D3829" i="3"/>
  <c r="D3845" i="3"/>
  <c r="D3859" i="3"/>
  <c r="D3861" i="3"/>
  <c r="D3921" i="3"/>
  <c r="D3936" i="3"/>
  <c r="D3937" i="3"/>
  <c r="D3947" i="3"/>
  <c r="D3959" i="3"/>
  <c r="D4128" i="3"/>
  <c r="D4172" i="3"/>
  <c r="D4193" i="3"/>
  <c r="D4213" i="3"/>
  <c r="D4282" i="3"/>
  <c r="D4379" i="3"/>
  <c r="D4472" i="3"/>
  <c r="D4525" i="3"/>
  <c r="D4562" i="3"/>
  <c r="D4573" i="3"/>
  <c r="D4625" i="3"/>
  <c r="D4651" i="3"/>
  <c r="D4697" i="3"/>
  <c r="D4729" i="3"/>
  <c r="D4736" i="3"/>
  <c r="D4798" i="3"/>
  <c r="D4830" i="3"/>
  <c r="D323" i="3"/>
  <c r="D526" i="3"/>
  <c r="D1423" i="3"/>
  <c r="D2166" i="3"/>
  <c r="D2186" i="3"/>
  <c r="D2344" i="3"/>
  <c r="D2799" i="3"/>
  <c r="D2931" i="3"/>
  <c r="D3058" i="3"/>
  <c r="D3710" i="3"/>
  <c r="D4134" i="3"/>
  <c r="D4167" i="3"/>
  <c r="D4208" i="3"/>
  <c r="D4682" i="3"/>
  <c r="D1315" i="3"/>
  <c r="D2210" i="3"/>
  <c r="D2222" i="3"/>
  <c r="D2394" i="3"/>
  <c r="D2418" i="3"/>
  <c r="D3469" i="3"/>
  <c r="D3824" i="3"/>
  <c r="D4484" i="3"/>
  <c r="D4733" i="3"/>
  <c r="D4825" i="3"/>
  <c r="D86" i="3"/>
  <c r="D235" i="3"/>
  <c r="D280" i="3"/>
  <c r="D289" i="3"/>
  <c r="D331" i="3"/>
  <c r="D351" i="3"/>
  <c r="D497" i="3"/>
  <c r="D505" i="3"/>
  <c r="D520" i="3"/>
  <c r="D521" i="3"/>
  <c r="D653" i="3"/>
  <c r="D673" i="3"/>
  <c r="D696" i="3"/>
  <c r="D702" i="3"/>
  <c r="D812" i="3"/>
  <c r="D829" i="3"/>
  <c r="D965" i="3"/>
  <c r="D978" i="3"/>
  <c r="D1045" i="3"/>
  <c r="D1064" i="3"/>
  <c r="D1118" i="3"/>
  <c r="D1249" i="3"/>
  <c r="D1325" i="3"/>
  <c r="D1363" i="3"/>
  <c r="D1493" i="3"/>
  <c r="D1504" i="3"/>
  <c r="D1517" i="3"/>
  <c r="D1532" i="3"/>
  <c r="D1607" i="3"/>
  <c r="D1707" i="3"/>
  <c r="D1757" i="3"/>
  <c r="D1805" i="3"/>
  <c r="D2003" i="3"/>
  <c r="D2043" i="3"/>
  <c r="D2095" i="3"/>
  <c r="D2271" i="3"/>
  <c r="D2290" i="3"/>
  <c r="D2340" i="3"/>
  <c r="D2341" i="3"/>
  <c r="D2423" i="3"/>
  <c r="D2484" i="3"/>
  <c r="D2506" i="3"/>
  <c r="D2544" i="3"/>
  <c r="D2572" i="3"/>
  <c r="D2603" i="3"/>
  <c r="D2638" i="3"/>
  <c r="D2716" i="3"/>
  <c r="D2744" i="3"/>
  <c r="D2836" i="3"/>
  <c r="D2919" i="3"/>
  <c r="D2927" i="3"/>
  <c r="D2928" i="3"/>
  <c r="D2994" i="3"/>
  <c r="D3041" i="3"/>
  <c r="D3096" i="3"/>
  <c r="D3104" i="3"/>
  <c r="D3108" i="3"/>
  <c r="D3123" i="3"/>
  <c r="D3126" i="3"/>
  <c r="D3167" i="3"/>
  <c r="D3179" i="3"/>
  <c r="D3292" i="3"/>
  <c r="D3333" i="3"/>
  <c r="D3344" i="3"/>
  <c r="D3393" i="3"/>
  <c r="D3399" i="3"/>
  <c r="D3435" i="3"/>
  <c r="D3530" i="3"/>
  <c r="D3558" i="3"/>
  <c r="D3564" i="3"/>
  <c r="D3678" i="3"/>
  <c r="D3720" i="3"/>
  <c r="D3723" i="3"/>
  <c r="D3725" i="3"/>
  <c r="D3736" i="3"/>
  <c r="D3811" i="3"/>
  <c r="D3821" i="3"/>
  <c r="D3869" i="3"/>
  <c r="D3966" i="3"/>
  <c r="D4033" i="3"/>
  <c r="D4141" i="3"/>
  <c r="D4157" i="3"/>
  <c r="D4165" i="3"/>
  <c r="D4198" i="3"/>
  <c r="D4202" i="3"/>
  <c r="D4309" i="3"/>
  <c r="D4319" i="3"/>
  <c r="D4339" i="3"/>
  <c r="D4421" i="3"/>
  <c r="D4443" i="3"/>
  <c r="D4558" i="3"/>
  <c r="D4708" i="3"/>
  <c r="D4709" i="3"/>
  <c r="D4759" i="3"/>
  <c r="D4766" i="3"/>
  <c r="D4784" i="3"/>
  <c r="D62" i="3"/>
  <c r="D66" i="3"/>
  <c r="D113" i="3"/>
  <c r="D164" i="3"/>
  <c r="D169" i="3"/>
  <c r="D213" i="3"/>
  <c r="D231" i="3"/>
  <c r="D382" i="3"/>
  <c r="D387" i="3"/>
  <c r="D525" i="3"/>
  <c r="D534" i="3"/>
  <c r="D536" i="3"/>
  <c r="D583" i="3"/>
  <c r="D615" i="3"/>
  <c r="D722" i="3"/>
  <c r="D745" i="3"/>
  <c r="D787" i="3"/>
  <c r="D799" i="3"/>
  <c r="D817" i="3"/>
  <c r="D832" i="3"/>
  <c r="D1001" i="3"/>
  <c r="D1021" i="3"/>
  <c r="D1049" i="3"/>
  <c r="D1083" i="3"/>
  <c r="D1191" i="3"/>
  <c r="D1243" i="3"/>
  <c r="D1260" i="3"/>
  <c r="D1287" i="3"/>
  <c r="D1292" i="3"/>
  <c r="D1299" i="3"/>
  <c r="D1302" i="3"/>
  <c r="D1304" i="3"/>
  <c r="D1327" i="3"/>
  <c r="D1448" i="3"/>
  <c r="D1455" i="3"/>
  <c r="D1487" i="3"/>
  <c r="D1510" i="3"/>
  <c r="D1553" i="3"/>
  <c r="D1559" i="3"/>
  <c r="D1570" i="3"/>
  <c r="D1601" i="3"/>
  <c r="D1632" i="3"/>
  <c r="D1638" i="3"/>
  <c r="D1751" i="3"/>
  <c r="D1754" i="3"/>
  <c r="D1755" i="3"/>
  <c r="D1923" i="3"/>
  <c r="D2018" i="3"/>
  <c r="D2025" i="3"/>
  <c r="D2033" i="3"/>
  <c r="D2119" i="3"/>
  <c r="D2156" i="3"/>
  <c r="D2165" i="3"/>
  <c r="D2184" i="3"/>
  <c r="D2188" i="3"/>
  <c r="D2217" i="3"/>
  <c r="D2238" i="3"/>
  <c r="D2318" i="3"/>
  <c r="D2324" i="3"/>
  <c r="D2431" i="3"/>
  <c r="D2432" i="3"/>
  <c r="D2448" i="3"/>
  <c r="D2458" i="3"/>
  <c r="D2509" i="3"/>
  <c r="D2523" i="3"/>
  <c r="D2540" i="3"/>
  <c r="D2571" i="3"/>
  <c r="D2647" i="3"/>
  <c r="D2655" i="3"/>
  <c r="D2695" i="3"/>
  <c r="D2864" i="3"/>
  <c r="D2874" i="3"/>
  <c r="D2881" i="3"/>
  <c r="D2893" i="3"/>
  <c r="D2899" i="3"/>
  <c r="D2930" i="3"/>
  <c r="D2999" i="3"/>
  <c r="D3021" i="3"/>
  <c r="D3078" i="3"/>
  <c r="D3135" i="3"/>
  <c r="D3213" i="3"/>
  <c r="D3273" i="3"/>
  <c r="D3286" i="3"/>
  <c r="D3310" i="3"/>
  <c r="D3327" i="3"/>
  <c r="D3347" i="3"/>
  <c r="D3439" i="3"/>
  <c r="D3511" i="3"/>
  <c r="D3613" i="3"/>
  <c r="D3614" i="3"/>
  <c r="D3669" i="3"/>
  <c r="D3784" i="3"/>
  <c r="D3809" i="3"/>
  <c r="D3866" i="3"/>
  <c r="D3923" i="3"/>
  <c r="D3999" i="3"/>
  <c r="D4022" i="3"/>
  <c r="D4032" i="3"/>
  <c r="D4135" i="3"/>
  <c r="D4140" i="3"/>
  <c r="D4145" i="3"/>
  <c r="D4158" i="3"/>
  <c r="D4194" i="3"/>
  <c r="D4210" i="3"/>
  <c r="D4211" i="3"/>
  <c r="D4223" i="3"/>
  <c r="D4302" i="3"/>
  <c r="D4375" i="3"/>
  <c r="D4376" i="3"/>
  <c r="D4416" i="3"/>
  <c r="D4670" i="3"/>
  <c r="D4675" i="3"/>
  <c r="D4726" i="3"/>
  <c r="D4815" i="3"/>
  <c r="D14" i="3"/>
  <c r="D65" i="3"/>
  <c r="D67" i="3"/>
  <c r="D75" i="3"/>
  <c r="D82" i="3"/>
  <c r="D115" i="3"/>
  <c r="D118" i="3"/>
  <c r="D148" i="3"/>
  <c r="D151" i="3"/>
  <c r="D175" i="3"/>
  <c r="D178" i="3"/>
  <c r="D181" i="3"/>
  <c r="D204" i="3"/>
  <c r="D294" i="3"/>
  <c r="D394" i="3"/>
  <c r="D408" i="3"/>
  <c r="D454" i="3"/>
  <c r="D474" i="3"/>
  <c r="D485" i="3"/>
  <c r="D488" i="3"/>
  <c r="D490" i="3"/>
  <c r="D493" i="3"/>
  <c r="D544" i="3"/>
  <c r="D556" i="3"/>
  <c r="D571" i="3"/>
  <c r="D574" i="3"/>
  <c r="D576" i="3"/>
  <c r="D579" i="3"/>
  <c r="D608" i="3"/>
  <c r="D629" i="3"/>
  <c r="D650" i="3"/>
  <c r="D674" i="3"/>
  <c r="D677" i="3"/>
  <c r="D779" i="3"/>
  <c r="D796" i="3"/>
  <c r="D826" i="3"/>
  <c r="D847" i="3"/>
  <c r="D869" i="3"/>
  <c r="D899" i="3"/>
  <c r="D926" i="3"/>
  <c r="D930" i="3"/>
  <c r="D942" i="3"/>
  <c r="D947" i="3"/>
  <c r="D953" i="3"/>
  <c r="D956" i="3"/>
  <c r="D967" i="3"/>
  <c r="D971" i="3"/>
  <c r="D982" i="3"/>
  <c r="D991" i="3"/>
  <c r="D1031" i="3"/>
  <c r="D1037" i="3"/>
  <c r="D1042" i="3"/>
  <c r="D1063" i="3"/>
  <c r="D1105" i="3"/>
  <c r="D1119" i="3"/>
  <c r="D1134" i="3"/>
  <c r="D1177" i="3"/>
  <c r="D1192" i="3"/>
  <c r="D1194" i="3"/>
  <c r="D1219" i="3"/>
  <c r="D1285" i="3"/>
  <c r="D1314" i="3"/>
  <c r="D1355" i="3"/>
  <c r="D1415" i="3"/>
  <c r="D1435" i="3"/>
  <c r="D1436" i="3"/>
  <c r="D1466" i="3"/>
  <c r="D1498" i="3"/>
  <c r="D1508" i="3"/>
  <c r="D1511" i="3"/>
  <c r="D1566" i="3"/>
  <c r="D1574" i="3"/>
  <c r="D1580" i="3"/>
  <c r="D1589" i="3"/>
  <c r="D1642" i="3"/>
  <c r="D1655" i="3"/>
  <c r="D1682" i="3"/>
  <c r="D1685" i="3"/>
  <c r="D1694" i="3"/>
  <c r="D1710" i="3"/>
  <c r="D1714" i="3"/>
  <c r="D1726" i="3"/>
  <c r="D1727" i="3"/>
  <c r="D1732" i="3"/>
  <c r="D1768" i="3"/>
  <c r="D1825" i="3"/>
  <c r="D1915" i="3"/>
  <c r="D1933" i="3"/>
  <c r="D1954" i="3"/>
  <c r="D1956" i="3"/>
  <c r="D1970" i="3"/>
  <c r="D1977" i="3"/>
  <c r="D1985" i="3"/>
  <c r="D2028" i="3"/>
  <c r="D2029" i="3"/>
  <c r="D2038" i="3"/>
  <c r="D2052" i="3"/>
  <c r="D2063" i="3"/>
  <c r="D2072" i="3"/>
  <c r="D2107" i="3"/>
  <c r="D2181" i="3"/>
  <c r="D2226" i="3"/>
  <c r="D2239" i="3"/>
  <c r="D2302" i="3"/>
  <c r="D2310" i="3"/>
  <c r="D2392" i="3"/>
  <c r="D2414" i="3"/>
  <c r="D2443" i="3"/>
  <c r="D2467" i="3"/>
  <c r="D2486" i="3"/>
  <c r="D2494" i="3"/>
  <c r="D2496" i="3"/>
  <c r="D2502" i="3"/>
  <c r="D2552" i="3"/>
  <c r="D2564" i="3"/>
  <c r="D2578" i="3"/>
  <c r="D2584" i="3"/>
  <c r="D2585" i="3"/>
  <c r="D2606" i="3"/>
  <c r="D2609" i="3"/>
  <c r="D2698" i="3"/>
  <c r="D2699" i="3"/>
  <c r="D2758" i="3"/>
  <c r="D2805" i="3"/>
  <c r="D2824" i="3"/>
  <c r="D2826" i="3"/>
  <c r="D2840" i="3"/>
  <c r="D2857" i="3"/>
  <c r="D2866" i="3"/>
  <c r="D2908" i="3"/>
  <c r="D3008" i="3"/>
  <c r="D3012" i="3"/>
  <c r="D3028" i="3"/>
  <c r="D3056" i="3"/>
  <c r="D3128" i="3"/>
  <c r="D3145" i="3"/>
  <c r="D3147" i="3"/>
  <c r="D3162" i="3"/>
  <c r="D3268" i="3"/>
  <c r="D3280" i="3"/>
  <c r="D3324" i="3"/>
  <c r="D3362" i="3"/>
  <c r="D3366" i="3"/>
  <c r="D3432" i="3"/>
  <c r="D3440" i="3"/>
  <c r="D3444" i="3"/>
  <c r="D3451" i="3"/>
  <c r="D3484" i="3"/>
  <c r="D3512" i="3"/>
  <c r="D3589" i="3"/>
  <c r="D3599" i="3"/>
  <c r="D3601" i="3"/>
  <c r="D3629" i="3"/>
  <c r="D3666" i="3"/>
  <c r="D3671" i="3"/>
  <c r="D3674" i="3"/>
  <c r="D3682" i="3"/>
  <c r="D3761" i="3"/>
  <c r="D3768" i="3"/>
  <c r="D3793" i="3"/>
  <c r="D3874" i="3"/>
  <c r="D3920" i="3"/>
  <c r="D3922" i="3"/>
  <c r="D3963" i="3"/>
  <c r="D3987" i="3"/>
  <c r="D4133" i="3"/>
  <c r="D4142" i="3"/>
  <c r="D4154" i="3"/>
  <c r="D4169" i="3"/>
  <c r="D4187" i="3"/>
  <c r="D4191" i="3"/>
  <c r="D4215" i="3"/>
  <c r="D4235" i="3"/>
  <c r="D4248" i="3"/>
  <c r="D4377" i="3"/>
  <c r="D4529" i="3"/>
  <c r="D4587" i="3"/>
  <c r="D4591" i="3"/>
  <c r="D4606" i="3"/>
  <c r="D4615" i="3"/>
  <c r="D4626" i="3"/>
  <c r="D4628" i="3"/>
  <c r="D4632" i="3"/>
  <c r="D4747" i="3"/>
  <c r="D4792" i="3"/>
  <c r="D4814" i="3"/>
  <c r="D4832" i="3"/>
  <c r="D11" i="3"/>
  <c r="D12" i="3"/>
  <c r="D30" i="3"/>
  <c r="D168" i="3"/>
  <c r="D170" i="3"/>
  <c r="D172" i="3"/>
  <c r="D236" i="3"/>
  <c r="D257" i="3"/>
  <c r="D305" i="3"/>
  <c r="D308" i="3"/>
  <c r="D324" i="3"/>
  <c r="D424" i="3"/>
  <c r="D507" i="3"/>
  <c r="D522" i="3"/>
  <c r="D557" i="3"/>
  <c r="D572" i="3"/>
  <c r="D600" i="3"/>
  <c r="D601" i="3"/>
  <c r="D610" i="3"/>
  <c r="D618" i="3"/>
  <c r="D635" i="3"/>
  <c r="D671" i="3"/>
  <c r="D691" i="3"/>
  <c r="D695" i="3"/>
  <c r="D748" i="3"/>
  <c r="D767" i="3"/>
  <c r="D775" i="3"/>
  <c r="D824" i="3"/>
  <c r="D856" i="3"/>
  <c r="D865" i="3"/>
  <c r="D921" i="3"/>
  <c r="D944" i="3"/>
  <c r="D970" i="3"/>
  <c r="D994" i="3"/>
  <c r="D1008" i="3"/>
  <c r="D1027" i="3"/>
  <c r="D1122" i="3"/>
  <c r="D1141" i="3"/>
  <c r="D1144" i="3"/>
  <c r="D1158" i="3"/>
  <c r="D1227" i="3"/>
  <c r="D1228" i="3"/>
  <c r="D1233" i="3"/>
  <c r="D1235" i="3"/>
  <c r="D1247" i="3"/>
  <c r="D1250" i="3"/>
  <c r="D1262" i="3"/>
  <c r="D1367" i="3"/>
  <c r="D1372" i="3"/>
  <c r="D1389" i="3"/>
  <c r="D1422" i="3"/>
  <c r="D1452" i="3"/>
  <c r="D1494" i="3"/>
  <c r="D1584" i="3"/>
  <c r="D1595" i="3"/>
  <c r="D1614" i="3"/>
  <c r="D1620" i="3"/>
  <c r="D1647" i="3"/>
  <c r="D1649" i="3"/>
  <c r="D1759" i="3"/>
  <c r="D1767" i="3"/>
  <c r="D1837" i="3"/>
  <c r="D1847" i="3"/>
  <c r="D1870" i="3"/>
  <c r="D1946" i="3"/>
  <c r="D1951" i="3"/>
  <c r="D1979" i="3"/>
  <c r="D2010" i="3"/>
  <c r="D2032" i="3"/>
  <c r="D2071" i="3"/>
  <c r="D2100" i="3"/>
  <c r="D2110" i="3"/>
  <c r="D2114" i="3"/>
  <c r="D2211" i="3"/>
  <c r="D2248" i="3"/>
  <c r="D2254" i="3"/>
  <c r="D2301" i="3"/>
  <c r="D2370" i="3"/>
  <c r="D2397" i="3"/>
  <c r="D2405" i="3"/>
  <c r="D2416" i="3"/>
  <c r="D2445" i="3"/>
  <c r="D2473" i="3"/>
  <c r="D2537" i="3"/>
  <c r="D2539" i="3"/>
  <c r="D2556" i="3"/>
  <c r="D2580" i="3"/>
  <c r="D2678" i="3"/>
  <c r="D2679" i="3"/>
  <c r="D2696" i="3"/>
  <c r="D2712" i="3"/>
  <c r="D2748" i="3"/>
  <c r="D2785" i="3"/>
  <c r="D2837" i="3"/>
  <c r="D2858" i="3"/>
  <c r="D2902" i="3"/>
  <c r="D2922" i="3"/>
  <c r="D2951" i="3"/>
  <c r="D3038" i="3"/>
  <c r="D3060" i="3"/>
  <c r="D3074" i="3"/>
  <c r="D3083" i="3"/>
  <c r="D3085" i="3"/>
  <c r="D3086" i="3"/>
  <c r="D3150" i="3"/>
  <c r="D3166" i="3"/>
  <c r="D3229" i="3"/>
  <c r="D3232" i="3"/>
  <c r="D3241" i="3"/>
  <c r="D3246" i="3"/>
  <c r="D3263" i="3"/>
  <c r="D3277" i="3"/>
  <c r="D3287" i="3"/>
  <c r="D3289" i="3"/>
  <c r="D3318" i="3"/>
  <c r="D3323" i="3"/>
  <c r="D3357" i="3"/>
  <c r="D3403" i="3"/>
  <c r="D3406" i="3"/>
  <c r="D3422" i="3"/>
  <c r="D3437" i="3"/>
  <c r="D3478" i="3"/>
  <c r="D3479" i="3"/>
  <c r="D3552" i="3"/>
  <c r="D3556" i="3"/>
  <c r="D3600" i="3"/>
  <c r="D3633" i="3"/>
  <c r="D3677" i="3"/>
  <c r="D3730" i="3"/>
  <c r="D3733" i="3"/>
  <c r="D3749" i="3"/>
  <c r="D3765" i="3"/>
  <c r="D3770" i="3"/>
  <c r="D3775" i="3"/>
  <c r="D3789" i="3"/>
  <c r="D3794" i="3"/>
  <c r="D3882" i="3"/>
  <c r="D3889" i="3"/>
  <c r="D3908" i="3"/>
  <c r="D3925" i="3"/>
  <c r="D3929" i="3"/>
  <c r="D3981" i="3"/>
  <c r="D3983" i="3"/>
  <c r="D4015" i="3"/>
  <c r="D4061" i="3"/>
  <c r="D4111" i="3"/>
  <c r="D4176" i="3"/>
  <c r="D4181" i="3"/>
  <c r="D4222" i="3"/>
  <c r="D4224" i="3"/>
  <c r="D4241" i="3"/>
  <c r="D4251" i="3"/>
  <c r="D4311" i="3"/>
  <c r="D4395" i="3"/>
  <c r="D4398" i="3"/>
  <c r="D4511" i="3"/>
  <c r="D4596" i="3"/>
  <c r="D4636" i="3"/>
  <c r="D4667" i="3"/>
  <c r="D4668" i="3"/>
  <c r="D4679" i="3"/>
  <c r="D4686" i="3"/>
  <c r="D4687" i="3"/>
  <c r="D4701" i="3"/>
  <c r="D4716" i="3"/>
  <c r="D4756" i="3"/>
  <c r="D4761" i="3"/>
  <c r="D4781" i="3"/>
  <c r="D4786" i="3"/>
  <c r="D70" i="3"/>
  <c r="D73" i="3"/>
  <c r="D180" i="3"/>
  <c r="D216" i="3"/>
  <c r="D222" i="3"/>
  <c r="D296" i="3"/>
  <c r="D300" i="3"/>
  <c r="D330" i="3"/>
  <c r="D338" i="3"/>
  <c r="D458" i="3"/>
  <c r="D518" i="3"/>
  <c r="D533" i="3"/>
  <c r="D679" i="3"/>
  <c r="D758" i="3"/>
  <c r="D768" i="3"/>
  <c r="D792" i="3"/>
  <c r="D863" i="3"/>
  <c r="D880" i="3"/>
  <c r="D891" i="3"/>
  <c r="D1024" i="3"/>
  <c r="D1036" i="3"/>
  <c r="D1156" i="3"/>
  <c r="D1163" i="3"/>
  <c r="D1239" i="3"/>
  <c r="D1303" i="3"/>
  <c r="D1364" i="3"/>
  <c r="D1408" i="3"/>
  <c r="D1428" i="3"/>
  <c r="D1708" i="3"/>
  <c r="D1906" i="3"/>
  <c r="D1950" i="3"/>
  <c r="D2051" i="3"/>
  <c r="D2065" i="3"/>
  <c r="D2098" i="3"/>
  <c r="D2329" i="3"/>
  <c r="D2413" i="3"/>
  <c r="D2433" i="3"/>
  <c r="D2490" i="3"/>
  <c r="D2602" i="3"/>
  <c r="D2642" i="3"/>
  <c r="D2688" i="3"/>
  <c r="D2854" i="3"/>
  <c r="D2920" i="3"/>
  <c r="D2935" i="3"/>
  <c r="D3026" i="3"/>
  <c r="D3244" i="3"/>
  <c r="D3251" i="3"/>
  <c r="D3260" i="3"/>
  <c r="D3319" i="3"/>
  <c r="D3360" i="3"/>
  <c r="D3392" i="3"/>
  <c r="D3464" i="3"/>
  <c r="D3503" i="3"/>
  <c r="D3542" i="3"/>
  <c r="D3545" i="3"/>
  <c r="D3548" i="3"/>
  <c r="D3645" i="3"/>
  <c r="D3670" i="3"/>
  <c r="D3699" i="3"/>
  <c r="D3795" i="3"/>
  <c r="D3893" i="3"/>
  <c r="D3938" i="3"/>
  <c r="D3972" i="3"/>
  <c r="D4041" i="3"/>
  <c r="D4125" i="3"/>
  <c r="D4209" i="3"/>
  <c r="D4334" i="3"/>
  <c r="D4470" i="3"/>
  <c r="D4513" i="3"/>
  <c r="D4578" i="3"/>
  <c r="D4579" i="3"/>
  <c r="D4681" i="3"/>
  <c r="D4757" i="3"/>
  <c r="D4769" i="3"/>
  <c r="D15" i="3"/>
  <c r="D42" i="3"/>
  <c r="D45" i="3"/>
  <c r="D220" i="3"/>
  <c r="D221" i="3"/>
  <c r="D224" i="3"/>
  <c r="D275" i="3"/>
  <c r="D290" i="3"/>
  <c r="D315" i="3"/>
  <c r="D405" i="3"/>
  <c r="D420" i="3"/>
  <c r="D421" i="3"/>
  <c r="D461" i="3"/>
  <c r="D466" i="3"/>
  <c r="D480" i="3"/>
  <c r="D492" i="3"/>
  <c r="D513" i="3"/>
  <c r="D530" i="3"/>
  <c r="D570" i="3"/>
  <c r="D588" i="3"/>
  <c r="D649" i="3"/>
  <c r="D659" i="3"/>
  <c r="D667" i="3"/>
  <c r="D690" i="3"/>
  <c r="D705" i="3"/>
  <c r="D777" i="3"/>
  <c r="D843" i="3"/>
  <c r="D882" i="3"/>
  <c r="D900" i="3"/>
  <c r="D902" i="3"/>
  <c r="D909" i="3"/>
  <c r="D933" i="3"/>
  <c r="D938" i="3"/>
  <c r="D945" i="3"/>
  <c r="D980" i="3"/>
  <c r="D990" i="3"/>
  <c r="D1002" i="3"/>
  <c r="D1016" i="3"/>
  <c r="D1026" i="3"/>
  <c r="D1060" i="3"/>
  <c r="D1076" i="3"/>
  <c r="D1094" i="3"/>
  <c r="D1139" i="3"/>
  <c r="D1184" i="3"/>
  <c r="D1273" i="3"/>
  <c r="D1379" i="3"/>
  <c r="D1400" i="3"/>
  <c r="D1409" i="3"/>
  <c r="D1434" i="3"/>
  <c r="D1470" i="3"/>
  <c r="D1617" i="3"/>
  <c r="D1637" i="3"/>
  <c r="D1721" i="3"/>
  <c r="D1763" i="3"/>
  <c r="D1791" i="3"/>
  <c r="D1800" i="3"/>
  <c r="D1917" i="3"/>
  <c r="D1922" i="3"/>
  <c r="D1926" i="3"/>
  <c r="D2034" i="3"/>
  <c r="D2035" i="3"/>
  <c r="D2161" i="3"/>
  <c r="D2223" i="3"/>
  <c r="D2225" i="3"/>
  <c r="D2291" i="3"/>
  <c r="D2293" i="3"/>
  <c r="D2306" i="3"/>
  <c r="D2317" i="3"/>
  <c r="D2336" i="3"/>
  <c r="D2366" i="3"/>
  <c r="D2399" i="3"/>
  <c r="D2407" i="3"/>
  <c r="D2447" i="3"/>
  <c r="D2451" i="3"/>
  <c r="D2482" i="3"/>
  <c r="D2489" i="3"/>
  <c r="D2511" i="3"/>
  <c r="D2515" i="3"/>
  <c r="D2610" i="3"/>
  <c r="D2636" i="3"/>
  <c r="D2643" i="3"/>
  <c r="D2650" i="3"/>
  <c r="D2710" i="3"/>
  <c r="D2774" i="3"/>
  <c r="D2839" i="3"/>
  <c r="D2867" i="3"/>
  <c r="D2886" i="3"/>
  <c r="D2895" i="3"/>
  <c r="D2898" i="3"/>
  <c r="D2942" i="3"/>
  <c r="D2956" i="3"/>
  <c r="D2960" i="3"/>
  <c r="D3005" i="3"/>
  <c r="D3054" i="3"/>
  <c r="D3076" i="3"/>
  <c r="D3095" i="3"/>
  <c r="D3113" i="3"/>
  <c r="D3159" i="3"/>
  <c r="D3168" i="3"/>
  <c r="D3215" i="3"/>
  <c r="D3222" i="3"/>
  <c r="D3248" i="3"/>
  <c r="D3307" i="3"/>
  <c r="D3353" i="3"/>
  <c r="D3370" i="3"/>
  <c r="D3394" i="3"/>
  <c r="D3423" i="3"/>
  <c r="D3425" i="3"/>
  <c r="D3465" i="3"/>
  <c r="D3510" i="3"/>
  <c r="D3539" i="3"/>
  <c r="D3584" i="3"/>
  <c r="D3587" i="3"/>
  <c r="D3591" i="3"/>
  <c r="D3630" i="3"/>
  <c r="D3644" i="3"/>
  <c r="D3654" i="3"/>
  <c r="D3676" i="3"/>
  <c r="D3776" i="3"/>
  <c r="D3804" i="3"/>
  <c r="D3831" i="3"/>
  <c r="D3962" i="3"/>
  <c r="D4051" i="3"/>
  <c r="D4052" i="3"/>
  <c r="D4062" i="3"/>
  <c r="D4075" i="3"/>
  <c r="D4085" i="3"/>
  <c r="D4095" i="3"/>
  <c r="D4159" i="3"/>
  <c r="D4160" i="3"/>
  <c r="D4170" i="3"/>
  <c r="D4264" i="3"/>
  <c r="D4271" i="3"/>
  <c r="D4427" i="3"/>
  <c r="D4435" i="3"/>
  <c r="D4450" i="3"/>
  <c r="D4451" i="3"/>
  <c r="D4547" i="3"/>
  <c r="D4567" i="3"/>
  <c r="D4580" i="3"/>
  <c r="D4641" i="3"/>
  <c r="D4745" i="3"/>
  <c r="D4764" i="3"/>
  <c r="D4790" i="3"/>
  <c r="D4808" i="3"/>
  <c r="D4817" i="3"/>
  <c r="D3" i="3"/>
  <c r="D61" i="3"/>
  <c r="D135" i="3"/>
  <c r="D190" i="3"/>
  <c r="D261" i="3"/>
  <c r="D264" i="3"/>
  <c r="D426" i="3"/>
  <c r="D486" i="3"/>
  <c r="D537" i="3"/>
  <c r="D542" i="3"/>
  <c r="D606" i="3"/>
  <c r="D613" i="3"/>
  <c r="D633" i="3"/>
  <c r="D634" i="3"/>
  <c r="D654" i="3"/>
  <c r="D672" i="3"/>
  <c r="D698" i="3"/>
  <c r="D712" i="3"/>
  <c r="D726" i="3"/>
  <c r="D730" i="3"/>
  <c r="D766" i="3"/>
  <c r="D798" i="3"/>
  <c r="D804" i="3"/>
  <c r="D838" i="3"/>
  <c r="D840" i="3"/>
  <c r="D1011" i="3"/>
  <c r="D1149" i="3"/>
  <c r="D1350" i="3"/>
  <c r="D1429" i="3"/>
  <c r="D1522" i="3"/>
  <c r="D1549" i="3"/>
  <c r="D1746" i="3"/>
  <c r="D1948" i="3"/>
  <c r="D1991" i="3"/>
  <c r="D2048" i="3"/>
  <c r="D2170" i="3"/>
  <c r="D2197" i="3"/>
  <c r="D2278" i="3"/>
  <c r="D2328" i="3"/>
  <c r="D2386" i="3"/>
  <c r="D2410" i="3"/>
  <c r="D2450" i="3"/>
  <c r="D2547" i="3"/>
  <c r="D2626" i="3"/>
  <c r="D2656" i="3"/>
  <c r="D2701" i="3"/>
  <c r="D2711" i="3"/>
  <c r="D2777" i="3"/>
  <c r="D2782" i="3"/>
  <c r="D2789" i="3"/>
  <c r="D2809" i="3"/>
  <c r="D2838" i="3"/>
  <c r="D2873" i="3"/>
  <c r="D2880" i="3"/>
  <c r="D2901" i="3"/>
  <c r="D2946" i="3"/>
  <c r="D2954" i="3"/>
  <c r="D2976" i="3"/>
  <c r="D3049" i="3"/>
  <c r="D3169" i="3"/>
  <c r="D3242" i="3"/>
  <c r="D3308" i="3"/>
  <c r="D3315" i="3"/>
  <c r="D3355" i="3"/>
  <c r="D3400" i="3"/>
  <c r="D3456" i="3"/>
  <c r="D3524" i="3"/>
  <c r="D3561" i="3"/>
  <c r="D3569" i="3"/>
  <c r="D3641" i="3"/>
  <c r="D3652" i="3"/>
  <c r="D3783" i="3"/>
  <c r="D3825" i="3"/>
  <c r="D3852" i="3"/>
  <c r="D3873" i="3"/>
  <c r="D3895" i="3"/>
  <c r="D3919" i="3"/>
  <c r="D3928" i="3"/>
  <c r="D3939" i="3"/>
  <c r="D3941" i="3"/>
  <c r="D3956" i="3"/>
  <c r="D4044" i="3"/>
  <c r="D4053" i="3"/>
  <c r="D4083" i="3"/>
  <c r="D4091" i="3"/>
  <c r="D4119" i="3"/>
  <c r="D4138" i="3"/>
  <c r="D4143" i="3"/>
  <c r="D4276" i="3"/>
  <c r="D4294" i="3"/>
  <c r="D4439" i="3"/>
  <c r="D4497" i="3"/>
  <c r="D4544" i="3"/>
  <c r="D4560" i="3"/>
  <c r="D4566" i="3"/>
  <c r="D4570" i="3"/>
  <c r="D4613" i="3"/>
  <c r="D4631" i="3"/>
  <c r="D4642" i="3"/>
  <c r="D4691" i="3"/>
  <c r="D4742" i="3"/>
  <c r="D4763" i="3"/>
  <c r="D4774" i="3"/>
  <c r="D4801" i="3"/>
  <c r="D6" i="3"/>
  <c r="D21" i="3"/>
  <c r="D87" i="3"/>
  <c r="D103" i="3"/>
  <c r="D112" i="3"/>
  <c r="D201" i="3"/>
  <c r="D206" i="3"/>
  <c r="D219" i="3"/>
  <c r="D273" i="3"/>
  <c r="D310" i="3"/>
  <c r="D312" i="3"/>
  <c r="D345" i="3"/>
  <c r="D361" i="3"/>
  <c r="D508" i="3"/>
  <c r="D566" i="3"/>
  <c r="D711" i="3"/>
  <c r="D864" i="3"/>
  <c r="D873" i="3"/>
  <c r="D885" i="3"/>
  <c r="D1172" i="3"/>
  <c r="D1238" i="3"/>
  <c r="D1274" i="3"/>
  <c r="D1295" i="3"/>
  <c r="D1310" i="3"/>
  <c r="D1318" i="3"/>
  <c r="D1336" i="3"/>
  <c r="D1491" i="3"/>
  <c r="D1558" i="3"/>
  <c r="D1576" i="3"/>
  <c r="D1622" i="3"/>
  <c r="D1744" i="3"/>
  <c r="D1790" i="3"/>
  <c r="D1819" i="3"/>
  <c r="D1846" i="3"/>
  <c r="D1862" i="3"/>
  <c r="D1880" i="3"/>
  <c r="D1907" i="3"/>
  <c r="D1911" i="3"/>
  <c r="D1928" i="3"/>
  <c r="D1961" i="3"/>
  <c r="D2011" i="3"/>
  <c r="D2042" i="3"/>
  <c r="D2074" i="3"/>
  <c r="D2205" i="3"/>
  <c r="D2287" i="3"/>
  <c r="D2297" i="3"/>
  <c r="D2400" i="3"/>
  <c r="D2428" i="3"/>
  <c r="D2430" i="3"/>
  <c r="D2488" i="3"/>
  <c r="D2555" i="3"/>
  <c r="D2592" i="3"/>
  <c r="D2806" i="3"/>
  <c r="D2814" i="3"/>
  <c r="D2887" i="3"/>
  <c r="D2910" i="3"/>
  <c r="D2916" i="3"/>
  <c r="D3257" i="3"/>
  <c r="D3326" i="3"/>
  <c r="D3391" i="3"/>
  <c r="D3442" i="3"/>
  <c r="D3449" i="3"/>
  <c r="D3475" i="3"/>
  <c r="D3567" i="3"/>
  <c r="D3576" i="3"/>
  <c r="D3582" i="3"/>
  <c r="D3602" i="3"/>
  <c r="D3649" i="3"/>
  <c r="D3660" i="3"/>
  <c r="D3665" i="3"/>
  <c r="D3688" i="3"/>
  <c r="D3867" i="3"/>
  <c r="D3926" i="3"/>
  <c r="D3976" i="3"/>
  <c r="D3977" i="3"/>
  <c r="D4007" i="3"/>
  <c r="D4021" i="3"/>
  <c r="D4287" i="3"/>
  <c r="D4401" i="3"/>
  <c r="D4449" i="3"/>
  <c r="D4514" i="3"/>
  <c r="D4516" i="3"/>
  <c r="D4593" i="3"/>
  <c r="D4595" i="3"/>
  <c r="D4762" i="3"/>
  <c r="D4794" i="3"/>
  <c r="D33" i="3"/>
  <c r="D111" i="3"/>
  <c r="D212" i="3"/>
  <c r="D217" i="3"/>
  <c r="D247" i="3"/>
  <c r="D298" i="3"/>
  <c r="D352" i="3"/>
  <c r="D396" i="3"/>
  <c r="D463" i="3"/>
  <c r="D509" i="3"/>
  <c r="D555" i="3"/>
  <c r="D563" i="3"/>
  <c r="D585" i="3"/>
  <c r="D594" i="3"/>
  <c r="D612" i="3"/>
  <c r="D646" i="3"/>
  <c r="D652" i="3"/>
  <c r="D771" i="3"/>
  <c r="D867" i="3"/>
  <c r="D879" i="3"/>
  <c r="D995" i="3"/>
  <c r="D1046" i="3"/>
  <c r="D1123" i="3"/>
  <c r="D1137" i="3"/>
  <c r="D1253" i="3"/>
  <c r="D1306" i="3"/>
  <c r="D1330" i="3"/>
  <c r="D1345" i="3"/>
  <c r="D1368" i="3"/>
  <c r="D1397" i="3"/>
  <c r="D1450" i="3"/>
  <c r="D1705" i="3"/>
  <c r="D1753" i="3"/>
  <c r="D1771" i="3"/>
  <c r="D1826" i="3"/>
  <c r="D1997" i="3"/>
  <c r="D2006" i="3"/>
  <c r="D2009" i="3"/>
  <c r="D2017" i="3"/>
  <c r="D2037" i="3"/>
  <c r="D2069" i="3"/>
  <c r="D2132" i="3"/>
  <c r="D2135" i="3"/>
  <c r="D2244" i="3"/>
  <c r="D2283" i="3"/>
  <c r="D2379" i="3"/>
  <c r="D2444" i="3"/>
  <c r="D2619" i="3"/>
  <c r="D2692" i="3"/>
  <c r="D2697" i="3"/>
  <c r="D2713" i="3"/>
  <c r="D2827" i="3"/>
  <c r="D2906" i="3"/>
  <c r="D3027" i="3"/>
  <c r="D3081" i="3"/>
  <c r="D3082" i="3"/>
  <c r="D3127" i="3"/>
  <c r="D3210" i="3"/>
  <c r="D3212" i="3"/>
  <c r="D3338" i="3"/>
  <c r="D3368" i="3"/>
  <c r="D3398" i="3"/>
  <c r="D3443" i="3"/>
  <c r="D3463" i="3"/>
  <c r="D3487" i="3"/>
  <c r="D3522" i="3"/>
  <c r="D3580" i="3"/>
  <c r="D3596" i="3"/>
  <c r="D3609" i="3"/>
  <c r="D3823" i="3"/>
  <c r="D3842" i="3"/>
  <c r="D3930" i="3"/>
  <c r="D4087" i="3"/>
  <c r="D4124" i="3"/>
  <c r="D4320" i="3"/>
  <c r="D4342" i="3"/>
  <c r="D4494" i="3"/>
  <c r="D4660" i="3"/>
  <c r="D4805" i="3"/>
  <c r="D1515" i="3"/>
  <c r="D1598" i="3"/>
  <c r="D2658" i="3"/>
  <c r="D2988" i="3"/>
  <c r="D3115" i="3"/>
  <c r="D3586" i="3"/>
  <c r="D4023" i="3"/>
  <c r="D4600" i="3"/>
  <c r="D51" i="3"/>
  <c r="D104" i="3"/>
  <c r="D110" i="3"/>
  <c r="D226" i="3"/>
  <c r="D248" i="3"/>
  <c r="D286" i="3"/>
  <c r="D320" i="3"/>
  <c r="D371" i="3"/>
  <c r="D448" i="3"/>
  <c r="D547" i="3"/>
  <c r="D647" i="3"/>
  <c r="D735" i="3"/>
  <c r="D866" i="3"/>
  <c r="D897" i="3"/>
  <c r="D935" i="3"/>
  <c r="D940" i="3"/>
  <c r="D950" i="3"/>
  <c r="D966" i="3"/>
  <c r="D975" i="3"/>
  <c r="D1079" i="3"/>
  <c r="D1160" i="3"/>
  <c r="D1351" i="3"/>
  <c r="D1583" i="3"/>
  <c r="D1630" i="3"/>
  <c r="D1662" i="3"/>
  <c r="D1663" i="3"/>
  <c r="D1773" i="3"/>
  <c r="D1787" i="3"/>
  <c r="D1842" i="3"/>
  <c r="D1865" i="3"/>
  <c r="D2092" i="3"/>
  <c r="D2138" i="3"/>
  <c r="D2176" i="3"/>
  <c r="D2196" i="3"/>
  <c r="D2221" i="3"/>
  <c r="D2229" i="3"/>
  <c r="D2276" i="3"/>
  <c r="D2312" i="3"/>
  <c r="D2412" i="3"/>
  <c r="D2424" i="3"/>
  <c r="D2474" i="3"/>
  <c r="D2503" i="3"/>
  <c r="D2593" i="3"/>
  <c r="D2596" i="3"/>
  <c r="D2628" i="3"/>
  <c r="D2654" i="3"/>
  <c r="D2792" i="3"/>
  <c r="D2823" i="3"/>
  <c r="D2825" i="3"/>
  <c r="D2856" i="3"/>
  <c r="D2871" i="3"/>
  <c r="D2921" i="3"/>
  <c r="D2941" i="3"/>
  <c r="D3020" i="3"/>
  <c r="D3044" i="3"/>
  <c r="D3073" i="3"/>
  <c r="D3112" i="3"/>
  <c r="D3154" i="3"/>
  <c r="D3188" i="3"/>
  <c r="D3211" i="3"/>
  <c r="D3219" i="3"/>
  <c r="D3252" i="3"/>
  <c r="D3265" i="3"/>
  <c r="D3325" i="3"/>
  <c r="D3367" i="3"/>
  <c r="D3372" i="3"/>
  <c r="D3381" i="3"/>
  <c r="D3405" i="3"/>
  <c r="D3631" i="3"/>
  <c r="D3648" i="3"/>
  <c r="D3655" i="3"/>
  <c r="D3668" i="3"/>
  <c r="D3692" i="3"/>
  <c r="D3745" i="3"/>
  <c r="D3773" i="3"/>
  <c r="D3865" i="3"/>
  <c r="D3950" i="3"/>
  <c r="D4008" i="3"/>
  <c r="D4059" i="3"/>
  <c r="D4065" i="3"/>
  <c r="D4107" i="3"/>
  <c r="D4217" i="3"/>
  <c r="D4246" i="3"/>
  <c r="D4278" i="3"/>
  <c r="D4333" i="3"/>
  <c r="D4363" i="3"/>
  <c r="D4430" i="3"/>
  <c r="D4461" i="3"/>
  <c r="D4554" i="3"/>
  <c r="D4565" i="3"/>
  <c r="D4622" i="3"/>
  <c r="D4639" i="3"/>
  <c r="D4663" i="3"/>
  <c r="D4688" i="3"/>
  <c r="D4690" i="3"/>
  <c r="D4806" i="3"/>
  <c r="D4826" i="3"/>
  <c r="D119" i="3"/>
  <c r="D159" i="3"/>
  <c r="D166" i="3"/>
  <c r="D188" i="3"/>
  <c r="D260" i="3"/>
  <c r="D390" i="3"/>
  <c r="D395" i="3"/>
  <c r="D473" i="3"/>
  <c r="D511" i="3"/>
  <c r="D517" i="3"/>
  <c r="D587" i="3"/>
  <c r="D655" i="3"/>
  <c r="D662" i="3"/>
  <c r="D724" i="3"/>
  <c r="D743" i="3"/>
  <c r="D929" i="3"/>
  <c r="D1038" i="3"/>
  <c r="D1048" i="3"/>
  <c r="D1074" i="3"/>
  <c r="D1126" i="3"/>
  <c r="D1132" i="3"/>
  <c r="D1229" i="3"/>
  <c r="D1272" i="3"/>
  <c r="D1300" i="3"/>
  <c r="D1313" i="3"/>
  <c r="D1335" i="3"/>
  <c r="D1365" i="3"/>
  <c r="D1382" i="3"/>
  <c r="D1485" i="3"/>
  <c r="D1624" i="3"/>
  <c r="D1645" i="3"/>
  <c r="D1683" i="3"/>
  <c r="D1795" i="3"/>
  <c r="D1848" i="3"/>
  <c r="D1861" i="3"/>
  <c r="D1878" i="3"/>
  <c r="D1937" i="3"/>
  <c r="D1966" i="3"/>
  <c r="D2019" i="3"/>
  <c r="D2112" i="3"/>
  <c r="D2145" i="3"/>
  <c r="D2240" i="3"/>
  <c r="D2281" i="3"/>
  <c r="D2419" i="3"/>
  <c r="D2615" i="3"/>
  <c r="D2685" i="3"/>
  <c r="D2707" i="3"/>
  <c r="D2749" i="3"/>
  <c r="D2832" i="3"/>
  <c r="D2900" i="3"/>
  <c r="D3032" i="3"/>
  <c r="D3034" i="3"/>
  <c r="D3070" i="3"/>
  <c r="D3217" i="3"/>
  <c r="D3224" i="3"/>
  <c r="D3457" i="3"/>
  <c r="D3481" i="3"/>
  <c r="D3482" i="3"/>
  <c r="D3664" i="3"/>
  <c r="D3807" i="3"/>
  <c r="D3900" i="3"/>
  <c r="D3934" i="3"/>
  <c r="D3985" i="3"/>
  <c r="D4077" i="3"/>
  <c r="D4126" i="3"/>
  <c r="D4178" i="3"/>
  <c r="D4197" i="3"/>
  <c r="D4207" i="3"/>
  <c r="D4239" i="3"/>
  <c r="D4245" i="3"/>
  <c r="D4313" i="3"/>
  <c r="D4458" i="3"/>
  <c r="D4495" i="3"/>
  <c r="D4585" i="3"/>
  <c r="D4590" i="3"/>
  <c r="D4607" i="3"/>
  <c r="D4637" i="3"/>
  <c r="D4680" i="3"/>
  <c r="D4699" i="3"/>
  <c r="D4712" i="3"/>
  <c r="D4713" i="3"/>
  <c r="D4760" i="3"/>
  <c r="D4787" i="3"/>
  <c r="D52" i="3"/>
  <c r="D76" i="3"/>
  <c r="D91" i="3"/>
  <c r="D126" i="3"/>
  <c r="D146" i="3"/>
  <c r="D196" i="3"/>
  <c r="D208" i="3"/>
  <c r="D209" i="3"/>
  <c r="D230" i="3"/>
  <c r="D251" i="3"/>
  <c r="D302" i="3"/>
  <c r="D314" i="3"/>
  <c r="D327" i="3"/>
  <c r="D386" i="3"/>
  <c r="D388" i="3"/>
  <c r="D459" i="3"/>
  <c r="D661" i="3"/>
  <c r="D737" i="3"/>
  <c r="D761" i="3"/>
  <c r="D788" i="3"/>
  <c r="D839" i="3"/>
  <c r="D936" i="3"/>
  <c r="D974" i="3"/>
  <c r="D1100" i="3"/>
  <c r="D1165" i="3"/>
  <c r="D1199" i="3"/>
  <c r="D1209" i="3"/>
  <c r="D1277" i="3"/>
  <c r="D1377" i="3"/>
  <c r="D1449" i="3"/>
  <c r="D1469" i="3"/>
  <c r="D1480" i="3"/>
  <c r="D1489" i="3"/>
  <c r="D1527" i="3"/>
  <c r="D1537" i="3"/>
  <c r="D1587" i="3"/>
  <c r="D1597" i="3"/>
  <c r="D1672" i="3"/>
  <c r="D1737" i="3"/>
  <c r="D1797" i="3"/>
  <c r="D1818" i="3"/>
  <c r="D1824" i="3"/>
  <c r="D1849" i="3"/>
  <c r="D1909" i="3"/>
  <c r="D1935" i="3"/>
  <c r="D1943" i="3"/>
  <c r="D1974" i="3"/>
  <c r="D2012" i="3"/>
  <c r="D2094" i="3"/>
  <c r="D2120" i="3"/>
  <c r="D2189" i="3"/>
  <c r="D2354" i="3"/>
  <c r="D2381" i="3"/>
  <c r="D2453" i="3"/>
  <c r="D2454" i="3"/>
  <c r="D2457" i="3"/>
  <c r="D2481" i="3"/>
  <c r="D2487" i="3"/>
  <c r="D2505" i="3"/>
  <c r="D2514" i="3"/>
  <c r="D2521" i="3"/>
  <c r="D2538" i="3"/>
  <c r="D2590" i="3"/>
  <c r="D2611" i="3"/>
  <c r="D2660" i="3"/>
  <c r="D2784" i="3"/>
  <c r="D2970" i="3"/>
  <c r="D3093" i="3"/>
  <c r="D3138" i="3"/>
  <c r="D3161" i="3"/>
  <c r="D3180" i="3"/>
  <c r="D3196" i="3"/>
  <c r="D3198" i="3"/>
  <c r="D3254" i="3"/>
  <c r="D3322" i="3"/>
  <c r="D3354" i="3"/>
  <c r="D3358" i="3"/>
  <c r="D3387" i="3"/>
  <c r="D3409" i="3"/>
  <c r="D3414" i="3"/>
  <c r="D3428" i="3"/>
  <c r="D3551" i="3"/>
  <c r="D3571" i="3"/>
  <c r="D3597" i="3"/>
  <c r="D3704" i="3"/>
  <c r="D3798" i="3"/>
  <c r="D3836" i="3"/>
  <c r="D3878" i="3"/>
  <c r="D3905" i="3"/>
  <c r="D4089" i="3"/>
  <c r="D4130" i="3"/>
  <c r="D4344" i="3"/>
  <c r="D4360" i="3"/>
  <c r="D4457" i="3"/>
  <c r="D4722" i="3"/>
  <c r="D4782" i="3"/>
  <c r="D4789" i="3"/>
  <c r="D4802" i="3"/>
  <c r="D158" i="3"/>
  <c r="D165" i="3"/>
  <c r="D192" i="3"/>
  <c r="D262" i="3"/>
  <c r="D293" i="3"/>
  <c r="D295" i="3"/>
  <c r="D342" i="3"/>
  <c r="D370" i="3"/>
  <c r="D543" i="3"/>
  <c r="D565" i="3"/>
  <c r="D660" i="3"/>
  <c r="D746" i="3"/>
  <c r="D816" i="3"/>
  <c r="D888" i="3"/>
  <c r="D893" i="3"/>
  <c r="D922" i="3"/>
  <c r="D985" i="3"/>
  <c r="D996" i="3"/>
  <c r="D1014" i="3"/>
  <c r="D1181" i="3"/>
  <c r="D1208" i="3"/>
  <c r="D1222" i="3"/>
  <c r="D1276" i="3"/>
  <c r="D1293" i="3"/>
  <c r="D1413" i="3"/>
  <c r="D1512" i="3"/>
  <c r="D1555" i="3"/>
  <c r="D1729" i="3"/>
  <c r="D1741" i="3"/>
  <c r="D1745" i="3"/>
  <c r="D1761" i="3"/>
  <c r="D1886" i="3"/>
  <c r="D1916" i="3"/>
  <c r="D1962" i="3"/>
  <c r="D2024" i="3"/>
  <c r="D2202" i="3"/>
  <c r="D2230" i="3"/>
  <c r="D2294" i="3"/>
  <c r="D2425" i="3"/>
  <c r="D2434" i="3"/>
  <c r="D2510" i="3"/>
  <c r="D2545" i="3"/>
  <c r="D2594" i="3"/>
  <c r="D2613" i="3"/>
  <c r="D2621" i="3"/>
  <c r="D2764" i="3"/>
  <c r="D2795" i="3"/>
  <c r="D2936" i="3"/>
  <c r="D2982" i="3"/>
  <c r="D2991" i="3"/>
  <c r="D3006" i="3"/>
  <c r="D3134" i="3"/>
  <c r="D3174" i="3"/>
  <c r="D3390" i="3"/>
  <c r="D3421" i="3"/>
  <c r="D3467" i="3"/>
  <c r="D3471" i="3"/>
  <c r="D3518" i="3"/>
  <c r="D3575" i="3"/>
  <c r="D3732" i="3"/>
  <c r="D3827" i="3"/>
  <c r="D3906" i="3"/>
  <c r="D3986" i="3"/>
  <c r="D4010" i="3"/>
  <c r="D4049" i="3"/>
  <c r="D4329" i="3"/>
  <c r="D4346" i="3"/>
  <c r="D4364" i="3"/>
  <c r="D4498" i="3"/>
  <c r="D4506" i="3"/>
  <c r="D4765" i="3"/>
  <c r="D4771" i="3"/>
  <c r="D4833" i="3"/>
  <c r="D84" i="3"/>
  <c r="D136" i="3"/>
  <c r="D167" i="3"/>
  <c r="D243" i="3"/>
  <c r="D403" i="3"/>
  <c r="D404" i="3"/>
  <c r="D412" i="3"/>
  <c r="D467" i="3"/>
  <c r="D626" i="3"/>
  <c r="D666" i="3"/>
  <c r="D701" i="3"/>
  <c r="D951" i="3"/>
  <c r="D954" i="3"/>
  <c r="D1015" i="3"/>
  <c r="D1108" i="3"/>
  <c r="D1226" i="3"/>
  <c r="D1418" i="3"/>
  <c r="D1419" i="3"/>
  <c r="D1478" i="3"/>
  <c r="D1606" i="3"/>
  <c r="D1613" i="3"/>
  <c r="D1718" i="3"/>
  <c r="D1722" i="3"/>
  <c r="D1908" i="3"/>
  <c r="D1958" i="3"/>
  <c r="D2056" i="3"/>
  <c r="D2109" i="3"/>
  <c r="D2216" i="3"/>
  <c r="D2260" i="3"/>
  <c r="D2315" i="3"/>
  <c r="D2335" i="3"/>
  <c r="D2422" i="3"/>
  <c r="D2437" i="3"/>
  <c r="D2452" i="3"/>
  <c r="D2499" i="3"/>
  <c r="D2524" i="3"/>
  <c r="D2581" i="3"/>
  <c r="D2591" i="3"/>
  <c r="D2675" i="3"/>
  <c r="D3039" i="3"/>
  <c r="D3087" i="3"/>
  <c r="D3125" i="3"/>
  <c r="D3175" i="3"/>
  <c r="D3200" i="3"/>
  <c r="D3223" i="3"/>
  <c r="D3284" i="3"/>
  <c r="D3455" i="3"/>
  <c r="D3608" i="3"/>
  <c r="D3643" i="3"/>
  <c r="D3694" i="3"/>
  <c r="D3702" i="3"/>
  <c r="D3880" i="3"/>
  <c r="D3904" i="3"/>
  <c r="D3909" i="3"/>
  <c r="D3917" i="3"/>
  <c r="D3951" i="3"/>
  <c r="D3954" i="3"/>
  <c r="D4392" i="3"/>
  <c r="D4629" i="3"/>
  <c r="D4671" i="3"/>
  <c r="D4677" i="3"/>
  <c r="D4737" i="3"/>
  <c r="D4739" i="3"/>
  <c r="D4740" i="3"/>
  <c r="D4795" i="3"/>
  <c r="D17" i="3"/>
  <c r="D68" i="3"/>
  <c r="D94" i="3"/>
  <c r="D120" i="3"/>
  <c r="D176" i="3"/>
  <c r="D367" i="3"/>
  <c r="D433" i="3"/>
  <c r="D442" i="3"/>
  <c r="D532" i="3"/>
  <c r="D568" i="3"/>
  <c r="D591" i="3"/>
  <c r="D707" i="3"/>
  <c r="D811" i="3"/>
  <c r="D851" i="3"/>
  <c r="D860" i="3"/>
  <c r="D908" i="3"/>
  <c r="D911" i="3"/>
  <c r="D1084" i="3"/>
  <c r="D1170" i="3"/>
  <c r="D1232" i="3"/>
  <c r="D1242" i="3"/>
  <c r="D1271" i="3"/>
  <c r="D1328" i="3"/>
  <c r="D1495" i="3"/>
  <c r="D1502" i="3"/>
  <c r="D1546" i="3"/>
  <c r="D1604" i="3"/>
  <c r="D1670" i="3"/>
  <c r="D1701" i="3"/>
  <c r="D1822" i="3"/>
  <c r="D1864" i="3"/>
  <c r="D1887" i="3"/>
  <c r="D2206" i="3"/>
  <c r="D2295" i="3"/>
  <c r="D2355" i="3"/>
  <c r="D2548" i="3"/>
  <c r="D2597" i="3"/>
  <c r="D2751" i="3"/>
  <c r="D2803" i="3"/>
  <c r="D2855" i="3"/>
  <c r="D2860" i="3"/>
  <c r="D2885" i="3"/>
  <c r="D2940" i="3"/>
  <c r="D2979" i="3"/>
  <c r="D3062" i="3"/>
  <c r="D3132" i="3"/>
  <c r="D3204" i="3"/>
  <c r="D3313" i="3"/>
  <c r="D3314" i="3"/>
  <c r="D3376" i="3"/>
  <c r="D3450" i="3"/>
  <c r="D3498" i="3"/>
  <c r="D3506" i="3"/>
  <c r="D3528" i="3"/>
  <c r="D3549" i="3"/>
  <c r="D3555" i="3"/>
  <c r="D3593" i="3"/>
  <c r="D3748" i="3"/>
  <c r="D3848" i="3"/>
  <c r="D3868" i="3"/>
  <c r="D3901" i="3"/>
  <c r="D3965" i="3"/>
  <c r="D4096" i="3"/>
  <c r="D4242" i="3"/>
  <c r="D4366" i="3"/>
  <c r="D4455" i="3"/>
  <c r="D4486" i="3"/>
  <c r="D4611" i="3"/>
  <c r="D4620" i="3"/>
  <c r="D4689" i="3"/>
  <c r="D4758" i="3"/>
  <c r="D4" i="3"/>
  <c r="D5" i="3"/>
  <c r="D13" i="3"/>
  <c r="D25" i="3"/>
  <c r="D44" i="3"/>
  <c r="D55" i="3"/>
  <c r="D124" i="3"/>
  <c r="D142" i="3"/>
  <c r="D227" i="3"/>
  <c r="D349" i="3"/>
  <c r="D415" i="3"/>
  <c r="D431" i="3"/>
  <c r="D462" i="3"/>
  <c r="D470" i="3"/>
  <c r="D540" i="3"/>
  <c r="D569" i="3"/>
  <c r="D580" i="3"/>
  <c r="D604" i="3"/>
  <c r="D721" i="3"/>
  <c r="D750" i="3"/>
  <c r="D778" i="3"/>
  <c r="D780" i="3"/>
  <c r="D793" i="3"/>
  <c r="D802" i="3"/>
  <c r="D819" i="3"/>
  <c r="D857" i="3"/>
  <c r="D868" i="3"/>
  <c r="D915" i="3"/>
  <c r="D983" i="3"/>
  <c r="D1006" i="3"/>
  <c r="D1044" i="3"/>
  <c r="D1056" i="3"/>
  <c r="D1131" i="3"/>
  <c r="D1133" i="3"/>
  <c r="D1143" i="3"/>
  <c r="D1148" i="3"/>
  <c r="D1236" i="3"/>
  <c r="D1309" i="3"/>
  <c r="D1320" i="3"/>
  <c r="D1323" i="3"/>
  <c r="D1417" i="3"/>
  <c r="D1438" i="3"/>
  <c r="D1483" i="3"/>
  <c r="D1650" i="3"/>
  <c r="D1652" i="3"/>
  <c r="D1725" i="3"/>
  <c r="D1796" i="3"/>
  <c r="D1815" i="3"/>
  <c r="D1827" i="3"/>
  <c r="D1854" i="3"/>
  <c r="D1891" i="3"/>
  <c r="D1898" i="3"/>
  <c r="D1929" i="3"/>
  <c r="D2103" i="3"/>
  <c r="D2117" i="3"/>
  <c r="D2157" i="3"/>
  <c r="D2192" i="3"/>
  <c r="D2288" i="3"/>
  <c r="D2343" i="3"/>
  <c r="D2391" i="3"/>
  <c r="D2463" i="3"/>
  <c r="D2478" i="3"/>
  <c r="D2498" i="3"/>
  <c r="D2507" i="3"/>
  <c r="D2513" i="3"/>
  <c r="D2690" i="3"/>
  <c r="D2719" i="3"/>
  <c r="D2736" i="3"/>
  <c r="D2745" i="3"/>
  <c r="D2780" i="3"/>
  <c r="D2846" i="3"/>
  <c r="D3065" i="3"/>
  <c r="D3341" i="3"/>
  <c r="D3544" i="3"/>
  <c r="D3605" i="3"/>
  <c r="D3657" i="3"/>
  <c r="D3658" i="3"/>
  <c r="D3673" i="3"/>
  <c r="D3737" i="3"/>
  <c r="D3763" i="3"/>
  <c r="D3792" i="3"/>
  <c r="D3815" i="3"/>
  <c r="D3935" i="3"/>
  <c r="D3943" i="3"/>
  <c r="D4012" i="3"/>
  <c r="D4013" i="3"/>
  <c r="D4016" i="3"/>
  <c r="D4018" i="3"/>
  <c r="D4037" i="3"/>
  <c r="D4045" i="3"/>
  <c r="D4102" i="3"/>
  <c r="D4220" i="3"/>
  <c r="D4232" i="3"/>
  <c r="D4250" i="3"/>
  <c r="D4253" i="3"/>
  <c r="D4254" i="3"/>
  <c r="D4286" i="3"/>
  <c r="D4292" i="3"/>
  <c r="D4293" i="3"/>
  <c r="D4305" i="3"/>
  <c r="D4352" i="3"/>
  <c r="D4353" i="3"/>
  <c r="D4408" i="3"/>
  <c r="D4444" i="3"/>
  <c r="D4473" i="3"/>
  <c r="D4546" i="3"/>
  <c r="D4561" i="3"/>
  <c r="D4569" i="3"/>
  <c r="D4584" i="3"/>
  <c r="D4602" i="3"/>
  <c r="D4617" i="3"/>
  <c r="D4635" i="3"/>
  <c r="D4695" i="3"/>
  <c r="D4767" i="3"/>
  <c r="D4777" i="3"/>
  <c r="D4824" i="3"/>
  <c r="D34" i="3"/>
  <c r="D154" i="3"/>
  <c r="D197" i="3"/>
  <c r="D240" i="3"/>
  <c r="D268" i="3"/>
  <c r="D309" i="3"/>
  <c r="D538" i="3"/>
  <c r="D551" i="3"/>
  <c r="D567" i="3"/>
  <c r="D685" i="3"/>
  <c r="D760" i="3"/>
  <c r="D764" i="3"/>
  <c r="D770" i="3"/>
  <c r="D876" i="3"/>
  <c r="D988" i="3"/>
  <c r="D1005" i="3"/>
  <c r="D1017" i="3"/>
  <c r="D1025" i="3"/>
  <c r="D1055" i="3"/>
  <c r="D1061" i="3"/>
  <c r="D1193" i="3"/>
  <c r="D1206" i="3"/>
  <c r="D1216" i="3"/>
  <c r="D1217" i="3"/>
  <c r="D1291" i="3"/>
  <c r="D1294" i="3"/>
  <c r="D1371" i="3"/>
  <c r="D1401" i="3"/>
  <c r="D1402" i="3"/>
  <c r="D1467" i="3"/>
  <c r="D1472" i="3"/>
  <c r="D1482" i="3"/>
  <c r="D1488" i="3"/>
  <c r="D1496" i="3"/>
  <c r="D1505" i="3"/>
  <c r="D1541" i="3"/>
  <c r="D1562" i="3"/>
  <c r="D1596" i="3"/>
  <c r="D1709" i="3"/>
  <c r="D1715" i="3"/>
  <c r="D1728" i="3"/>
  <c r="D1743" i="3"/>
  <c r="D1776" i="3"/>
  <c r="D1811" i="3"/>
  <c r="D1882" i="3"/>
  <c r="D1892" i="3"/>
  <c r="D1894" i="3"/>
  <c r="D1896" i="3"/>
  <c r="D1938" i="3"/>
  <c r="D1965" i="3"/>
  <c r="D1975" i="3"/>
  <c r="D2001" i="3"/>
  <c r="D2055" i="3"/>
  <c r="D2081" i="3"/>
  <c r="D2153" i="3"/>
  <c r="D2158" i="3"/>
  <c r="D2175" i="3"/>
  <c r="D2183" i="3"/>
  <c r="D2187" i="3"/>
  <c r="D2219" i="3"/>
  <c r="D2345" i="3"/>
  <c r="D2349" i="3"/>
  <c r="D2389" i="3"/>
  <c r="D2409" i="3"/>
  <c r="D2440" i="3"/>
  <c r="D2446" i="3"/>
  <c r="D2469" i="3"/>
  <c r="D2471" i="3"/>
  <c r="D2500" i="3"/>
  <c r="D2583" i="3"/>
  <c r="D2623" i="3"/>
  <c r="D2649" i="3"/>
  <c r="D2672" i="3"/>
  <c r="D2684" i="3"/>
  <c r="D2700" i="3"/>
  <c r="D2709" i="3"/>
  <c r="D2848" i="3"/>
  <c r="D2853" i="3"/>
  <c r="D2995" i="3"/>
  <c r="D3029" i="3"/>
  <c r="D3069" i="3"/>
  <c r="D3100" i="3"/>
  <c r="D3199" i="3"/>
  <c r="D3249" i="3"/>
  <c r="D3258" i="3"/>
  <c r="D3270" i="3"/>
  <c r="D3300" i="3"/>
  <c r="D3395" i="3"/>
  <c r="D3445" i="3"/>
  <c r="D3525" i="3"/>
  <c r="D3636" i="3"/>
  <c r="D3697" i="3"/>
  <c r="D3714" i="3"/>
  <c r="D3764" i="3"/>
  <c r="D3819" i="3"/>
  <c r="D3843" i="3"/>
  <c r="D3850" i="3"/>
  <c r="D3853" i="3"/>
  <c r="D3855" i="3"/>
  <c r="D3864" i="3"/>
  <c r="D3883" i="3"/>
  <c r="D3885" i="3"/>
  <c r="D3964" i="3"/>
  <c r="D3975" i="3"/>
  <c r="D3995" i="3"/>
  <c r="D4026" i="3"/>
  <c r="D4035" i="3"/>
  <c r="D4127" i="3"/>
  <c r="D4164" i="3"/>
  <c r="D4182" i="3"/>
  <c r="D4230" i="3"/>
  <c r="D4365" i="3"/>
  <c r="D4413" i="3"/>
  <c r="D4503" i="3"/>
  <c r="D4599" i="3"/>
  <c r="D4608" i="3"/>
  <c r="D4650" i="3"/>
  <c r="D4662" i="3"/>
  <c r="D4827" i="3"/>
  <c r="D32" i="3"/>
  <c r="D35" i="3"/>
  <c r="D37" i="3"/>
  <c r="D88" i="3"/>
  <c r="D108" i="3"/>
  <c r="D122" i="3"/>
  <c r="D184" i="3"/>
  <c r="D211" i="3"/>
  <c r="D223" i="3"/>
  <c r="D272" i="3"/>
  <c r="D283" i="3"/>
  <c r="D287" i="3"/>
  <c r="D304" i="3"/>
  <c r="D329" i="3"/>
  <c r="D340" i="3"/>
  <c r="D354" i="3"/>
  <c r="D414" i="3"/>
  <c r="D425" i="3"/>
  <c r="D430" i="3"/>
  <c r="D460" i="3"/>
  <c r="D464" i="3"/>
  <c r="D469" i="3"/>
  <c r="D484" i="3"/>
  <c r="D575" i="3"/>
  <c r="D586" i="3"/>
  <c r="D598" i="3"/>
  <c r="D689" i="3"/>
  <c r="D729" i="3"/>
  <c r="D805" i="3"/>
  <c r="D874" i="3"/>
  <c r="D1078" i="3"/>
  <c r="D1080" i="3"/>
  <c r="D1081" i="3"/>
  <c r="D1092" i="3"/>
  <c r="D1102" i="3"/>
  <c r="D1103" i="3"/>
  <c r="D1115" i="3"/>
  <c r="D1176" i="3"/>
  <c r="D1308" i="3"/>
  <c r="D1339" i="3"/>
  <c r="D1340" i="3"/>
  <c r="D1352" i="3"/>
  <c r="D1374" i="3"/>
  <c r="D1386" i="3"/>
  <c r="D1404" i="3"/>
  <c r="D1414" i="3"/>
  <c r="D1432" i="3"/>
  <c r="D1464" i="3"/>
  <c r="D1476" i="3"/>
  <c r="D1497" i="3"/>
  <c r="D1503" i="3"/>
  <c r="D1525" i="3"/>
  <c r="D1567" i="3"/>
  <c r="D1612" i="3"/>
  <c r="D1623" i="3"/>
  <c r="D1653" i="3"/>
  <c r="D1687" i="3"/>
  <c r="D1699" i="3"/>
  <c r="D1716" i="3"/>
  <c r="D1720" i="3"/>
  <c r="D1747" i="3"/>
  <c r="D1756" i="3"/>
  <c r="D1808" i="3"/>
  <c r="D1817" i="3"/>
  <c r="D1855" i="3"/>
  <c r="D1918" i="3"/>
  <c r="D1940" i="3"/>
  <c r="D1944" i="3"/>
  <c r="D1952" i="3"/>
  <c r="D1955" i="3"/>
  <c r="D1957" i="3"/>
  <c r="D1993" i="3"/>
  <c r="D2036" i="3"/>
  <c r="D2053" i="3"/>
  <c r="D2058" i="3"/>
  <c r="D2070" i="3"/>
  <c r="D2080" i="3"/>
  <c r="D2083" i="3"/>
  <c r="D2134" i="3"/>
  <c r="D2147" i="3"/>
  <c r="D2246" i="3"/>
  <c r="D2279" i="3"/>
  <c r="D2309" i="3"/>
  <c r="D2352" i="3"/>
  <c r="D2395" i="3"/>
  <c r="D2435" i="3"/>
  <c r="D2464" i="3"/>
  <c r="D2479" i="3"/>
  <c r="D2516" i="3"/>
  <c r="D2550" i="3"/>
  <c r="D2646" i="3"/>
  <c r="D2652" i="3"/>
  <c r="D2668" i="3"/>
  <c r="D2734" i="3"/>
  <c r="D2763" i="3"/>
  <c r="D2778" i="3"/>
  <c r="D2817" i="3"/>
  <c r="D2822" i="3"/>
  <c r="D2865" i="3"/>
  <c r="D2911" i="3"/>
  <c r="D2938" i="3"/>
  <c r="D2963" i="3"/>
  <c r="D2985" i="3"/>
  <c r="D3004" i="3"/>
  <c r="D3007" i="3"/>
  <c r="D3131" i="3"/>
  <c r="D3160" i="3"/>
  <c r="D3164" i="3"/>
  <c r="D3173" i="3"/>
  <c r="D3227" i="3"/>
  <c r="D3262" i="3"/>
  <c r="D3301" i="3"/>
  <c r="D3304" i="3"/>
  <c r="D3332" i="3"/>
  <c r="D3365" i="3"/>
  <c r="D3388" i="3"/>
  <c r="D3426" i="3"/>
  <c r="D3513" i="3"/>
  <c r="D3532" i="3"/>
  <c r="D3583" i="3"/>
  <c r="D3585" i="3"/>
  <c r="D3595" i="3"/>
  <c r="D3662" i="3"/>
  <c r="D3683" i="3"/>
  <c r="D3712" i="3"/>
  <c r="D3719" i="3"/>
  <c r="D3839" i="3"/>
  <c r="D3971" i="3"/>
  <c r="D3994" i="3"/>
  <c r="D4046" i="3"/>
  <c r="D4055" i="3"/>
  <c r="D4058" i="3"/>
  <c r="D4060" i="3"/>
  <c r="D4072" i="3"/>
  <c r="D4082" i="3"/>
  <c r="D4086" i="3"/>
  <c r="D4101" i="3"/>
  <c r="D4109" i="3"/>
  <c r="D4118" i="3"/>
  <c r="D4161" i="3"/>
  <c r="D4201" i="3"/>
  <c r="D4214" i="3"/>
  <c r="D4216" i="3"/>
  <c r="D4225" i="3"/>
  <c r="D4234" i="3"/>
  <c r="D4249" i="3"/>
  <c r="D4263" i="3"/>
  <c r="D4283" i="3"/>
  <c r="D4290" i="3"/>
  <c r="D4327" i="3"/>
  <c r="D4371" i="3"/>
  <c r="D4442" i="3"/>
  <c r="D4445" i="3"/>
  <c r="D4460" i="3"/>
  <c r="D4464" i="3"/>
  <c r="D4481" i="3"/>
  <c r="D4499" i="3"/>
  <c r="D4500" i="3"/>
  <c r="D4532" i="3"/>
  <c r="D4536" i="3"/>
  <c r="D4542" i="3"/>
  <c r="D4549" i="3"/>
  <c r="D4582" i="3"/>
  <c r="D4589" i="3"/>
  <c r="D4601" i="3"/>
  <c r="D4610" i="3"/>
  <c r="D4627" i="3"/>
  <c r="D4649" i="3"/>
  <c r="D4655" i="3"/>
  <c r="D4673" i="3"/>
  <c r="D4704" i="3"/>
  <c r="D4719" i="3"/>
  <c r="D4773" i="3"/>
  <c r="D4783" i="3"/>
  <c r="D40" i="3"/>
  <c r="D49" i="3"/>
  <c r="D79" i="3"/>
  <c r="D85" i="3"/>
  <c r="D96" i="3"/>
  <c r="D210" i="3"/>
  <c r="D267" i="3"/>
  <c r="D306" i="3"/>
  <c r="D311" i="3"/>
  <c r="D322" i="3"/>
  <c r="D356" i="3"/>
  <c r="D381" i="3"/>
  <c r="D436" i="3"/>
  <c r="D471" i="3"/>
  <c r="D475" i="3"/>
  <c r="D481" i="3"/>
  <c r="D578" i="3"/>
  <c r="D596" i="3"/>
  <c r="D664" i="3"/>
  <c r="D668" i="3"/>
  <c r="D683" i="3"/>
  <c r="D714" i="3"/>
  <c r="D728" i="3"/>
  <c r="D734" i="3"/>
  <c r="D757" i="3"/>
  <c r="D822" i="3"/>
  <c r="D906" i="3"/>
  <c r="D979" i="3"/>
  <c r="D998" i="3"/>
  <c r="D1057" i="3"/>
  <c r="D1116" i="3"/>
  <c r="D1117" i="3"/>
  <c r="D1125" i="3"/>
  <c r="D1150" i="3"/>
  <c r="D1166" i="3"/>
  <c r="D1198" i="3"/>
  <c r="D1251" i="3"/>
  <c r="D1258" i="3"/>
  <c r="D1348" i="3"/>
  <c r="D1388" i="3"/>
  <c r="D1410" i="3"/>
  <c r="D1437" i="3"/>
  <c r="D1443" i="3"/>
  <c r="D1468" i="3"/>
  <c r="D1521" i="3"/>
  <c r="D1625" i="3"/>
  <c r="D1626" i="3"/>
  <c r="D1628" i="3"/>
  <c r="D1669" i="3"/>
  <c r="D1673" i="3"/>
  <c r="D1775" i="3"/>
  <c r="D1778" i="3"/>
  <c r="D1779" i="3"/>
  <c r="D1816" i="3"/>
  <c r="D1841" i="3"/>
  <c r="D1844" i="3"/>
  <c r="D1852" i="3"/>
  <c r="D1914" i="3"/>
  <c r="D1983" i="3"/>
  <c r="D1990" i="3"/>
  <c r="D1994" i="3"/>
  <c r="D2047" i="3"/>
  <c r="D2075" i="3"/>
  <c r="D2164" i="3"/>
  <c r="D2201" i="3"/>
  <c r="D2284" i="3"/>
  <c r="D2331" i="3"/>
  <c r="D2362" i="3"/>
  <c r="D2363" i="3"/>
  <c r="D2365" i="3"/>
  <c r="D2388" i="3"/>
  <c r="D2401" i="3"/>
  <c r="D2408" i="3"/>
  <c r="D2415" i="3"/>
  <c r="D2449" i="3"/>
  <c r="D2455" i="3"/>
  <c r="D2466" i="3"/>
  <c r="D2569" i="3"/>
  <c r="D2574" i="3"/>
  <c r="D2582" i="3"/>
  <c r="D2624" i="3"/>
  <c r="D2637" i="3"/>
  <c r="D2740" i="3"/>
  <c r="D2760" i="3"/>
  <c r="D2762" i="3"/>
  <c r="D2861" i="3"/>
  <c r="D2913" i="3"/>
  <c r="D2923" i="3"/>
  <c r="D2973" i="3"/>
  <c r="D3035" i="3"/>
  <c r="D3066" i="3"/>
  <c r="D3084" i="3"/>
  <c r="D3097" i="3"/>
  <c r="D3185" i="3"/>
  <c r="D3225" i="3"/>
  <c r="D3243" i="3"/>
  <c r="D3274" i="3"/>
  <c r="D3278" i="3"/>
  <c r="D3348" i="3"/>
  <c r="D3351" i="3"/>
  <c r="D3436" i="3"/>
  <c r="D3470" i="3"/>
  <c r="D3504" i="3"/>
  <c r="D3566" i="3"/>
  <c r="D3570" i="3"/>
  <c r="D3813" i="3"/>
  <c r="D3820" i="3"/>
  <c r="D3872" i="3"/>
  <c r="D3970" i="3"/>
  <c r="D4043" i="3"/>
  <c r="D4064" i="3"/>
  <c r="D4071" i="3"/>
  <c r="D4100" i="3"/>
  <c r="D4136" i="3"/>
  <c r="D4168" i="3"/>
  <c r="D4203" i="3"/>
  <c r="D4299" i="3"/>
  <c r="D4409" i="3"/>
  <c r="D4465" i="3"/>
  <c r="D4507" i="3"/>
  <c r="D4521" i="3"/>
  <c r="D4557" i="3"/>
  <c r="D4586" i="3"/>
  <c r="D4647" i="3"/>
  <c r="D4653" i="3"/>
  <c r="D4678" i="3"/>
  <c r="D4700" i="3"/>
  <c r="D4731" i="3"/>
  <c r="D4776" i="3"/>
  <c r="D4797" i="3"/>
  <c r="D9" i="3"/>
  <c r="D125" i="3"/>
  <c r="D140" i="3"/>
  <c r="D364" i="3"/>
  <c r="D413" i="3"/>
  <c r="D496" i="3"/>
  <c r="D769" i="3"/>
  <c r="D836" i="3"/>
  <c r="D852" i="3"/>
  <c r="D883" i="3"/>
  <c r="D977" i="3"/>
  <c r="D1090" i="3"/>
  <c r="D1164" i="3"/>
  <c r="D1173" i="3"/>
  <c r="D1201" i="3"/>
  <c r="D1289" i="3"/>
  <c r="D1326" i="3"/>
  <c r="D1366" i="3"/>
  <c r="D1385" i="3"/>
  <c r="D1588" i="3"/>
  <c r="D1619" i="3"/>
  <c r="D1634" i="3"/>
  <c r="D1686" i="3"/>
  <c r="D1760" i="3"/>
  <c r="D1770" i="3"/>
  <c r="D1836" i="3"/>
  <c r="D1840" i="3"/>
  <c r="D1930" i="3"/>
  <c r="D1941" i="3"/>
  <c r="D1982" i="3"/>
  <c r="D2020" i="3"/>
  <c r="D2078" i="3"/>
  <c r="D2131" i="3"/>
  <c r="D2213" i="3"/>
  <c r="D2512" i="3"/>
  <c r="D2519" i="3"/>
  <c r="D2533" i="3"/>
  <c r="D2541" i="3"/>
  <c r="D2559" i="3"/>
  <c r="D2669" i="3"/>
  <c r="D2844" i="3"/>
  <c r="D2862" i="3"/>
  <c r="D2882" i="3"/>
  <c r="D3050" i="3"/>
  <c r="D3116" i="3"/>
  <c r="D3178" i="3"/>
  <c r="D3255" i="3"/>
  <c r="D3339" i="3"/>
  <c r="D3377" i="3"/>
  <c r="D3383" i="3"/>
  <c r="D3410" i="3"/>
  <c r="D3468" i="3"/>
  <c r="D3499" i="3"/>
  <c r="D3520" i="3"/>
  <c r="D3624" i="3"/>
  <c r="D3656" i="3"/>
  <c r="D3672" i="3"/>
  <c r="D3703" i="3"/>
  <c r="D3860" i="3"/>
  <c r="D3957" i="3"/>
  <c r="D4005" i="3"/>
  <c r="D4040" i="3"/>
  <c r="D4047" i="3"/>
  <c r="D4063" i="3"/>
  <c r="D4084" i="3"/>
  <c r="D4112" i="3"/>
  <c r="D4121" i="3"/>
  <c r="D4281" i="3"/>
  <c r="D4291" i="3"/>
  <c r="D4310" i="3"/>
  <c r="D4354" i="3"/>
  <c r="D4489" i="3"/>
  <c r="D4556" i="3"/>
  <c r="D4571" i="3"/>
  <c r="D4576" i="3"/>
  <c r="D4715" i="3"/>
  <c r="D4743" i="3"/>
  <c r="D4752" i="3"/>
  <c r="D109" i="3"/>
  <c r="D161" i="3"/>
  <c r="D186" i="3"/>
  <c r="D435" i="3"/>
  <c r="D455" i="3"/>
  <c r="D457" i="3"/>
  <c r="D477" i="3"/>
  <c r="D503" i="3"/>
  <c r="D554" i="3"/>
  <c r="D603" i="3"/>
  <c r="D639" i="3"/>
  <c r="D665" i="3"/>
  <c r="D776" i="3"/>
  <c r="D958" i="3"/>
  <c r="D1062" i="3"/>
  <c r="D1136" i="3"/>
  <c r="D1252" i="3"/>
  <c r="D1263" i="3"/>
  <c r="D1269" i="3"/>
  <c r="D1396" i="3"/>
  <c r="D1474" i="3"/>
  <c r="D1585" i="3"/>
  <c r="D1621" i="3"/>
  <c r="D1676" i="3"/>
  <c r="D1693" i="3"/>
  <c r="D1702" i="3"/>
  <c r="D1711" i="3"/>
  <c r="D1798" i="3"/>
  <c r="D2178" i="3"/>
  <c r="D2237" i="3"/>
  <c r="D2314" i="3"/>
  <c r="D2339" i="3"/>
  <c r="D2372" i="3"/>
  <c r="D2439" i="3"/>
  <c r="D2567" i="3"/>
  <c r="D2629" i="3"/>
  <c r="D2702" i="3"/>
  <c r="D2770" i="3"/>
  <c r="D2790" i="3"/>
  <c r="D3000" i="3"/>
  <c r="D3018" i="3"/>
  <c r="D3024" i="3"/>
  <c r="D3090" i="3"/>
  <c r="D3172" i="3"/>
  <c r="D3375" i="3"/>
  <c r="D3447" i="3"/>
  <c r="D3505" i="3"/>
  <c r="D3628" i="3"/>
  <c r="D3715" i="3"/>
  <c r="D3728" i="3"/>
  <c r="D3735" i="3"/>
  <c r="D3790" i="3"/>
  <c r="D3907" i="3"/>
  <c r="D3952" i="3"/>
  <c r="D3998" i="3"/>
  <c r="D4074" i="3"/>
  <c r="D4200" i="3"/>
  <c r="D4227" i="3"/>
  <c r="D4244" i="3"/>
  <c r="D4297" i="3"/>
  <c r="D4314" i="3"/>
  <c r="D4322" i="3"/>
  <c r="D4331" i="3"/>
  <c r="D4418" i="3"/>
  <c r="D4505" i="3"/>
  <c r="D4564" i="3"/>
  <c r="D4568" i="3"/>
  <c r="D4711" i="3"/>
  <c r="D4753" i="3"/>
  <c r="D765" i="3"/>
  <c r="D1506" i="3"/>
  <c r="D2993" i="3"/>
  <c r="D3155" i="3"/>
  <c r="D4437" i="3"/>
  <c r="D20" i="3"/>
  <c r="D101" i="3"/>
  <c r="D160" i="3"/>
  <c r="D274" i="3"/>
  <c r="D359" i="3"/>
  <c r="D380" i="3"/>
  <c r="D440" i="3"/>
  <c r="D451" i="3"/>
  <c r="D559" i="3"/>
  <c r="D675" i="3"/>
  <c r="D870" i="3"/>
  <c r="D914" i="3"/>
  <c r="D948" i="3"/>
  <c r="D1089" i="3"/>
  <c r="D1142" i="3"/>
  <c r="D1213" i="3"/>
  <c r="D1215" i="3"/>
  <c r="D1297" i="3"/>
  <c r="D1361" i="3"/>
  <c r="D1370" i="3"/>
  <c r="D1399" i="3"/>
  <c r="D1456" i="3"/>
  <c r="D1563" i="3"/>
  <c r="D1586" i="3"/>
  <c r="D1661" i="3"/>
  <c r="D1679" i="3"/>
  <c r="D1684" i="3"/>
  <c r="D1758" i="3"/>
  <c r="D1831" i="3"/>
  <c r="D1866" i="3"/>
  <c r="D1873" i="3"/>
  <c r="D1879" i="3"/>
  <c r="D1885" i="3"/>
  <c r="D1889" i="3"/>
  <c r="D2060" i="3"/>
  <c r="D2090" i="3"/>
  <c r="D2151" i="3"/>
  <c r="D2200" i="3"/>
  <c r="D2285" i="3"/>
  <c r="D2676" i="3"/>
  <c r="D2715" i="3"/>
  <c r="D2732" i="3"/>
  <c r="D2786" i="3"/>
  <c r="D2802" i="3"/>
  <c r="D2872" i="3"/>
  <c r="D3037" i="3"/>
  <c r="D3177" i="3"/>
  <c r="D3234" i="3"/>
  <c r="D3290" i="3"/>
  <c r="D3293" i="3"/>
  <c r="D3420" i="3"/>
  <c r="D3429" i="3"/>
  <c r="D3434" i="3"/>
  <c r="D3685" i="3"/>
  <c r="D3709" i="3"/>
  <c r="D3744" i="3"/>
  <c r="D3838" i="3"/>
  <c r="D3876" i="3"/>
  <c r="D3881" i="3"/>
  <c r="D3896" i="3"/>
  <c r="D4050" i="3"/>
  <c r="D4097" i="3"/>
  <c r="D4163" i="3"/>
  <c r="D4175" i="3"/>
  <c r="D4273" i="3"/>
  <c r="D4307" i="3"/>
  <c r="D4404" i="3"/>
  <c r="D4423" i="3"/>
  <c r="D4432" i="3"/>
  <c r="D4493" i="3"/>
  <c r="D4559" i="3"/>
  <c r="D4588" i="3"/>
  <c r="D4692" i="3"/>
  <c r="D4724" i="3"/>
  <c r="D4730" i="3"/>
  <c r="D4732" i="3"/>
  <c r="D93" i="3"/>
  <c r="D100" i="3"/>
  <c r="D121" i="3"/>
  <c r="D127" i="3"/>
  <c r="D252" i="3"/>
  <c r="D316" i="3"/>
  <c r="D541" i="3"/>
  <c r="D611" i="3"/>
  <c r="D614" i="3"/>
  <c r="D656" i="3"/>
  <c r="D896" i="3"/>
  <c r="D907" i="3"/>
  <c r="D952" i="3"/>
  <c r="D989" i="3"/>
  <c r="D1066" i="3"/>
  <c r="D1069" i="3"/>
  <c r="D1111" i="3"/>
  <c r="D1155" i="3"/>
  <c r="D1207" i="3"/>
  <c r="D1296" i="3"/>
  <c r="D1343" i="3"/>
  <c r="D1347" i="3"/>
  <c r="D1357" i="3"/>
  <c r="D1405" i="3"/>
  <c r="D1424" i="3"/>
  <c r="D1524" i="3"/>
  <c r="D1578" i="3"/>
  <c r="D1593" i="3"/>
  <c r="D1610" i="3"/>
  <c r="D1777" i="3"/>
  <c r="D1782" i="3"/>
  <c r="D1794" i="3"/>
  <c r="D1875" i="3"/>
  <c r="D1900" i="3"/>
  <c r="D1969" i="3"/>
  <c r="D2008" i="3"/>
  <c r="D2022" i="3"/>
  <c r="D2087" i="3"/>
  <c r="D2154" i="3"/>
  <c r="D2245" i="3"/>
  <c r="D2289" i="3"/>
  <c r="D2367" i="3"/>
  <c r="D2462" i="3"/>
  <c r="D2497" i="3"/>
  <c r="D2549" i="3"/>
  <c r="D2595" i="3"/>
  <c r="D2598" i="3"/>
  <c r="D2617" i="3"/>
  <c r="D2682" i="3"/>
  <c r="D2771" i="3"/>
  <c r="D2775" i="3"/>
  <c r="D2801" i="3"/>
  <c r="D2981" i="3"/>
  <c r="D3101" i="3"/>
  <c r="D3107" i="3"/>
  <c r="D3129" i="3"/>
  <c r="D3139" i="3"/>
  <c r="D3141" i="3"/>
  <c r="D3209" i="3"/>
  <c r="D3245" i="3"/>
  <c r="D3296" i="3"/>
  <c r="D3623" i="3"/>
  <c r="D3706" i="3"/>
  <c r="D3780" i="3"/>
  <c r="D3856" i="3"/>
  <c r="D3953" i="3"/>
  <c r="D4025" i="3"/>
  <c r="D4070" i="3"/>
  <c r="D4162" i="3"/>
  <c r="D4179" i="3"/>
  <c r="D4236" i="3"/>
  <c r="D4272" i="3"/>
  <c r="D4412" i="3"/>
  <c r="D4475" i="3"/>
  <c r="D4501" i="3"/>
  <c r="D4541" i="3"/>
  <c r="D4574" i="3"/>
  <c r="D4702" i="3"/>
  <c r="D4750" i="3"/>
  <c r="D4800" i="3"/>
  <c r="D77" i="3"/>
  <c r="D97" i="3"/>
  <c r="D102" i="3"/>
  <c r="D128" i="3"/>
  <c r="D132" i="3"/>
  <c r="D134" i="3"/>
  <c r="D238" i="3"/>
  <c r="D271" i="3"/>
  <c r="D307" i="3"/>
  <c r="D326" i="3"/>
  <c r="D347" i="3"/>
  <c r="D399" i="3"/>
  <c r="D407" i="3"/>
  <c r="D438" i="3"/>
  <c r="D510" i="3"/>
  <c r="D519" i="3"/>
  <c r="D564" i="3"/>
  <c r="D616" i="3"/>
  <c r="D628" i="3"/>
  <c r="D818" i="3"/>
  <c r="D825" i="3"/>
  <c r="D827" i="3"/>
  <c r="D859" i="3"/>
  <c r="D968" i="3"/>
  <c r="D1023" i="3"/>
  <c r="D1098" i="3"/>
  <c r="D1127" i="3"/>
  <c r="D1146" i="3"/>
  <c r="D1154" i="3"/>
  <c r="D1210" i="3"/>
  <c r="D1220" i="3"/>
  <c r="D1231" i="3"/>
  <c r="D1234" i="3"/>
  <c r="D1284" i="3"/>
  <c r="D1395" i="3"/>
  <c r="D1431" i="3"/>
  <c r="D1451" i="3"/>
  <c r="D1538" i="3"/>
  <c r="D1594" i="3"/>
  <c r="D1605" i="3"/>
  <c r="D1641" i="3"/>
  <c r="D1654" i="3"/>
  <c r="D1657" i="3"/>
  <c r="D1659" i="3"/>
  <c r="D1674" i="3"/>
  <c r="D1680" i="3"/>
  <c r="D1734" i="3"/>
  <c r="D1781" i="3"/>
  <c r="D1799" i="3"/>
  <c r="D1812" i="3"/>
  <c r="D1835" i="3"/>
  <c r="D1871" i="3"/>
  <c r="D1897" i="3"/>
  <c r="D1976" i="3"/>
  <c r="D1978" i="3"/>
  <c r="D2002" i="3"/>
  <c r="D2045" i="3"/>
  <c r="D2106" i="3"/>
  <c r="D2140" i="3"/>
  <c r="D2203" i="3"/>
  <c r="D2218" i="3"/>
  <c r="D2232" i="3"/>
  <c r="D2264" i="3"/>
  <c r="D2269" i="3"/>
  <c r="D2305" i="3"/>
  <c r="D2338" i="3"/>
  <c r="D2364" i="3"/>
  <c r="D2383" i="3"/>
  <c r="D2501" i="3"/>
  <c r="D2520" i="3"/>
  <c r="D2600" i="3"/>
  <c r="D2630" i="3"/>
  <c r="D2635" i="3"/>
  <c r="D2741" i="3"/>
  <c r="D2807" i="3"/>
  <c r="D2884" i="3"/>
  <c r="D2907" i="3"/>
  <c r="D2914" i="3"/>
  <c r="D2975" i="3"/>
  <c r="D3042" i="3"/>
  <c r="D3114" i="3"/>
  <c r="D3130" i="3"/>
  <c r="D3144" i="3"/>
  <c r="D3171" i="3"/>
  <c r="D3184" i="3"/>
  <c r="D3190" i="3"/>
  <c r="D3218" i="3"/>
  <c r="D3231" i="3"/>
  <c r="D3239" i="3"/>
  <c r="D3276" i="3"/>
  <c r="D3345" i="3"/>
  <c r="D3361" i="3"/>
  <c r="D3401" i="3"/>
  <c r="D3411" i="3"/>
  <c r="D3500" i="3"/>
  <c r="D3546" i="3"/>
  <c r="D3562" i="3"/>
  <c r="D3572" i="3"/>
  <c r="D3612" i="3"/>
  <c r="D3627" i="3"/>
  <c r="D3632" i="3"/>
  <c r="D3721" i="3"/>
  <c r="D3731" i="3"/>
  <c r="D3746" i="3"/>
  <c r="D3754" i="3"/>
  <c r="D3774" i="3"/>
  <c r="D3877" i="3"/>
  <c r="D3879" i="3"/>
  <c r="D3949" i="3"/>
  <c r="D3989" i="3"/>
  <c r="D3990" i="3"/>
  <c r="D3992" i="3"/>
  <c r="D4001" i="3"/>
  <c r="D4002" i="3"/>
  <c r="D4014" i="3"/>
  <c r="D4029" i="3"/>
  <c r="D4048" i="3"/>
  <c r="D4173" i="3"/>
  <c r="D4185" i="3"/>
  <c r="D4350" i="3"/>
  <c r="D4359" i="3"/>
  <c r="D4362" i="3"/>
  <c r="D4367" i="3"/>
  <c r="D4399" i="3"/>
  <c r="D4400" i="3"/>
  <c r="D4424" i="3"/>
  <c r="D4438" i="3"/>
  <c r="D4446" i="3"/>
  <c r="D4467" i="3"/>
  <c r="D4474" i="3"/>
  <c r="D4480" i="3"/>
  <c r="D4483" i="3"/>
  <c r="D4485" i="3"/>
  <c r="D4487" i="3"/>
  <c r="D4504" i="3"/>
  <c r="D4509" i="3"/>
  <c r="D4512" i="3"/>
  <c r="D4515" i="3"/>
  <c r="D4523" i="3"/>
  <c r="D4533" i="3"/>
  <c r="D4535" i="3"/>
  <c r="D4552" i="3"/>
  <c r="D4592" i="3"/>
  <c r="D4594" i="3"/>
  <c r="D4644" i="3"/>
  <c r="D4654" i="3"/>
  <c r="D4657" i="3"/>
  <c r="D4768" i="3"/>
  <c r="D4818" i="3"/>
  <c r="D78" i="3"/>
  <c r="D242" i="3"/>
  <c r="D265" i="3"/>
  <c r="D277" i="3"/>
  <c r="D279" i="3"/>
  <c r="D292" i="3"/>
  <c r="D297" i="3"/>
  <c r="D363" i="3"/>
  <c r="D443" i="3"/>
  <c r="D445" i="3"/>
  <c r="D450" i="3"/>
  <c r="D468" i="3"/>
  <c r="D582" i="3"/>
  <c r="D597" i="3"/>
  <c r="D609" i="3"/>
  <c r="D631" i="3"/>
  <c r="D632" i="3"/>
  <c r="D642" i="3"/>
  <c r="D648" i="3"/>
  <c r="D709" i="3"/>
  <c r="D762" i="3"/>
  <c r="D782" i="3"/>
  <c r="D784" i="3"/>
  <c r="D833" i="3"/>
  <c r="D837" i="3"/>
  <c r="D844" i="3"/>
  <c r="D932" i="3"/>
  <c r="D937" i="3"/>
  <c r="D1007" i="3"/>
  <c r="D1030" i="3"/>
  <c r="D1035" i="3"/>
  <c r="D1043" i="3"/>
  <c r="D1077" i="3"/>
  <c r="D1088" i="3"/>
  <c r="D1175" i="3"/>
  <c r="D1202" i="3"/>
  <c r="D1254" i="3"/>
  <c r="D1266" i="3"/>
  <c r="D1282" i="3"/>
  <c r="D1412" i="3"/>
  <c r="D1427" i="3"/>
  <c r="D1439" i="3"/>
  <c r="D1457" i="3"/>
  <c r="D1462" i="3"/>
  <c r="D1477" i="3"/>
  <c r="D1500" i="3"/>
  <c r="D1518" i="3"/>
  <c r="D1520" i="3"/>
  <c r="D1531" i="3"/>
  <c r="D1550" i="3"/>
  <c r="D1560" i="3"/>
  <c r="D1635" i="3"/>
  <c r="D1681" i="3"/>
  <c r="D1695" i="3"/>
  <c r="D1730" i="3"/>
  <c r="D1772" i="3"/>
  <c r="D1802" i="3"/>
  <c r="D1807" i="3"/>
  <c r="D1821" i="3"/>
  <c r="D1851" i="3"/>
  <c r="D1856" i="3"/>
  <c r="D1857" i="3"/>
  <c r="D1872" i="3"/>
  <c r="D1876" i="3"/>
  <c r="D1899" i="3"/>
  <c r="D1924" i="3"/>
  <c r="D1953" i="3"/>
  <c r="D1995" i="3"/>
  <c r="D2004" i="3"/>
  <c r="D2039" i="3"/>
  <c r="D2062" i="3"/>
  <c r="D2066" i="3"/>
  <c r="D2088" i="3"/>
  <c r="D2115" i="3"/>
  <c r="D2130" i="3"/>
  <c r="D2190" i="3"/>
  <c r="D2199" i="3"/>
  <c r="D2235" i="3"/>
  <c r="D2241" i="3"/>
  <c r="D2253" i="3"/>
  <c r="D2322" i="3"/>
  <c r="D2327" i="3"/>
  <c r="D2334" i="3"/>
  <c r="D2337" i="3"/>
  <c r="D2348" i="3"/>
  <c r="D2374" i="3"/>
  <c r="D2402" i="3"/>
  <c r="D2456" i="3"/>
  <c r="D2557" i="3"/>
  <c r="D2570" i="3"/>
  <c r="D2599" i="3"/>
  <c r="D2706" i="3"/>
  <c r="D2714" i="3"/>
  <c r="D2833" i="3"/>
  <c r="D2845" i="3"/>
  <c r="D2852" i="3"/>
  <c r="D2944" i="3"/>
  <c r="D3001" i="3"/>
  <c r="D3030" i="3"/>
  <c r="D3046" i="3"/>
  <c r="D3053" i="3"/>
  <c r="D3098" i="3"/>
  <c r="D3194" i="3"/>
  <c r="D3205" i="3"/>
  <c r="D3206" i="3"/>
  <c r="D3253" i="3"/>
  <c r="D3264" i="3"/>
  <c r="D3291" i="3"/>
  <c r="D3316" i="3"/>
  <c r="D3328" i="3"/>
  <c r="D3334" i="3"/>
  <c r="D3343" i="3"/>
  <c r="D3373" i="3"/>
  <c r="D3396" i="3"/>
  <c r="D3418" i="3"/>
  <c r="D3458" i="3"/>
  <c r="D3483" i="3"/>
  <c r="D3496" i="3"/>
  <c r="D3515" i="3"/>
  <c r="D3540" i="3"/>
  <c r="D3690" i="3"/>
  <c r="D3705" i="3"/>
  <c r="D3707" i="3"/>
  <c r="D3734" i="3"/>
  <c r="D3743" i="3"/>
  <c r="D3771" i="3"/>
  <c r="D3777" i="3"/>
  <c r="D3844" i="3"/>
  <c r="D3875" i="3"/>
  <c r="D3891" i="3"/>
  <c r="D3945" i="3"/>
  <c r="D3974" i="3"/>
  <c r="D4020" i="3"/>
  <c r="D4036" i="3"/>
  <c r="D4078" i="3"/>
  <c r="D4110" i="3"/>
  <c r="D4155" i="3"/>
  <c r="D4174" i="3"/>
  <c r="D4240" i="3"/>
  <c r="D4256" i="3"/>
  <c r="D4257" i="3"/>
  <c r="D4267" i="3"/>
  <c r="D4285" i="3"/>
  <c r="D4296" i="3"/>
  <c r="D4349" i="3"/>
  <c r="D4368" i="3"/>
  <c r="D4373" i="3"/>
  <c r="D4382" i="3"/>
  <c r="D4394" i="3"/>
  <c r="D4491" i="3"/>
  <c r="D4519" i="3"/>
  <c r="D4522" i="3"/>
  <c r="D4550" i="3"/>
  <c r="D4575" i="3"/>
  <c r="D4581" i="3"/>
  <c r="D4676" i="3"/>
  <c r="D4694" i="3"/>
  <c r="D4734" i="3"/>
  <c r="D4816" i="3"/>
  <c r="D4821" i="3"/>
  <c r="D4823" i="3"/>
  <c r="D28" i="3"/>
  <c r="D46" i="3"/>
  <c r="D71" i="3"/>
  <c r="D80" i="3"/>
  <c r="D150" i="3"/>
  <c r="D194" i="3"/>
  <c r="D199" i="3"/>
  <c r="D245" i="3"/>
  <c r="D253" i="3"/>
  <c r="D256" i="3"/>
  <c r="D276" i="3"/>
  <c r="D313" i="3"/>
  <c r="D339" i="3"/>
  <c r="D355" i="3"/>
  <c r="D372" i="3"/>
  <c r="D376" i="3"/>
  <c r="D446" i="3"/>
  <c r="D452" i="3"/>
  <c r="D504" i="3"/>
  <c r="D539" i="3"/>
  <c r="D545" i="3"/>
  <c r="D561" i="3"/>
  <c r="D592" i="3"/>
  <c r="D602" i="3"/>
  <c r="D623" i="3"/>
  <c r="D684" i="3"/>
  <c r="D704" i="3"/>
  <c r="D713" i="3"/>
  <c r="D723" i="3"/>
  <c r="D790" i="3"/>
  <c r="D815" i="3"/>
  <c r="D850" i="3"/>
  <c r="D861" i="3"/>
  <c r="D939" i="3"/>
  <c r="D987" i="3"/>
  <c r="D1000" i="3"/>
  <c r="D1051" i="3"/>
  <c r="D1097" i="3"/>
  <c r="D1106" i="3"/>
  <c r="D1112" i="3"/>
  <c r="D1178" i="3"/>
  <c r="D1267" i="3"/>
  <c r="D1279" i="3"/>
  <c r="D1359" i="3"/>
  <c r="D1375" i="3"/>
  <c r="D1393" i="3"/>
  <c r="D1394" i="3"/>
  <c r="D1453" i="3"/>
  <c r="D1454" i="3"/>
  <c r="D1513" i="3"/>
  <c r="D1535" i="3"/>
  <c r="D1557" i="3"/>
  <c r="D1564" i="3"/>
  <c r="D1571" i="3"/>
  <c r="D1577" i="3"/>
  <c r="D1599" i="3"/>
  <c r="D1691" i="3"/>
  <c r="D1698" i="3"/>
  <c r="D1738" i="3"/>
  <c r="D1740" i="3"/>
  <c r="D1845" i="3"/>
  <c r="D1925" i="3"/>
  <c r="D1936" i="3"/>
  <c r="D1967" i="3"/>
  <c r="D2013" i="3"/>
  <c r="D2030" i="3"/>
  <c r="D2040" i="3"/>
  <c r="D2044" i="3"/>
  <c r="D2064" i="3"/>
  <c r="D2082" i="3"/>
  <c r="D2093" i="3"/>
  <c r="D2126" i="3"/>
  <c r="D2136" i="3"/>
  <c r="D2144" i="3"/>
  <c r="D2149" i="3"/>
  <c r="D2194" i="3"/>
  <c r="D2266" i="3"/>
  <c r="D2273" i="3"/>
  <c r="D2319" i="3"/>
  <c r="D2346" i="3"/>
  <c r="D2356" i="3"/>
  <c r="D2376" i="3"/>
  <c r="D2380" i="3"/>
  <c r="D2470" i="3"/>
  <c r="D2525" i="3"/>
  <c r="D2532" i="3"/>
  <c r="D2674" i="3"/>
  <c r="D2677" i="3"/>
  <c r="D2703" i="3"/>
  <c r="D2742" i="3"/>
  <c r="D2757" i="3"/>
  <c r="D2767" i="3"/>
  <c r="D2768" i="3"/>
  <c r="D2870" i="3"/>
  <c r="D2883" i="3"/>
  <c r="D2903" i="3"/>
  <c r="D2926" i="3"/>
  <c r="D2934" i="3"/>
  <c r="D3092" i="3"/>
  <c r="D3137" i="3"/>
  <c r="D3165" i="3"/>
  <c r="D3183" i="3"/>
  <c r="D3202" i="3"/>
  <c r="D3221" i="3"/>
  <c r="D3250" i="3"/>
  <c r="D3298" i="3"/>
  <c r="D3312" i="3"/>
  <c r="D3330" i="3"/>
  <c r="D3369" i="3"/>
  <c r="D3412" i="3"/>
  <c r="D3430" i="3"/>
  <c r="D3476" i="3"/>
  <c r="D3477" i="3"/>
  <c r="D3492" i="3"/>
  <c r="D3538" i="3"/>
  <c r="D3574" i="3"/>
  <c r="D3606" i="3"/>
  <c r="D3607" i="3"/>
  <c r="D3611" i="3"/>
  <c r="D3640" i="3"/>
  <c r="D3686" i="3"/>
  <c r="D3708" i="3"/>
  <c r="D3752" i="3"/>
  <c r="D3753" i="3"/>
  <c r="D3767" i="3"/>
  <c r="D3781" i="3"/>
  <c r="D3785" i="3"/>
  <c r="D3786" i="3"/>
  <c r="D3888" i="3"/>
  <c r="D3984" i="3"/>
  <c r="D4031" i="3"/>
  <c r="D4093" i="3"/>
  <c r="D4123" i="3"/>
  <c r="D4131" i="3"/>
  <c r="D4186" i="3"/>
  <c r="D4212" i="3"/>
  <c r="D4233" i="3"/>
  <c r="D4243" i="3"/>
  <c r="D4268" i="3"/>
  <c r="D4275" i="3"/>
  <c r="D4279" i="3"/>
  <c r="D4316" i="3"/>
  <c r="D4328" i="3"/>
  <c r="D4332" i="3"/>
  <c r="D4337" i="3"/>
  <c r="D4347" i="3"/>
  <c r="D4348" i="3"/>
  <c r="D4355" i="3"/>
  <c r="D4358" i="3"/>
  <c r="D4387" i="3"/>
  <c r="D4414" i="3"/>
  <c r="D4434" i="3"/>
  <c r="D4456" i="3"/>
  <c r="D4459" i="3"/>
  <c r="D4502" i="3"/>
  <c r="D4524" i="3"/>
  <c r="D4548" i="3"/>
  <c r="D4551" i="3"/>
  <c r="D4614" i="3"/>
  <c r="D4623" i="3"/>
  <c r="D4674" i="3"/>
  <c r="D4723" i="3"/>
  <c r="D4755" i="3"/>
  <c r="D4770" i="3"/>
  <c r="D4785" i="3"/>
  <c r="D39" i="3"/>
  <c r="D54" i="3"/>
  <c r="D59" i="3"/>
  <c r="D60" i="3"/>
  <c r="D63" i="3"/>
  <c r="D72" i="3"/>
  <c r="D83" i="3"/>
  <c r="D99" i="3"/>
  <c r="D106" i="3"/>
  <c r="D114" i="3"/>
  <c r="D163" i="3"/>
  <c r="D218" i="3"/>
  <c r="D234" i="3"/>
  <c r="D258" i="3"/>
  <c r="D266" i="3"/>
  <c r="D269" i="3"/>
  <c r="D270" i="3"/>
  <c r="D317" i="3"/>
  <c r="D348" i="3"/>
  <c r="D365" i="3"/>
  <c r="D369" i="3"/>
  <c r="D378" i="3"/>
  <c r="D379" i="3"/>
  <c r="D416" i="3"/>
  <c r="D422" i="3"/>
  <c r="D427" i="3"/>
  <c r="D434" i="3"/>
  <c r="D523" i="3"/>
  <c r="D546" i="3"/>
  <c r="D595" i="3"/>
  <c r="D641" i="3"/>
  <c r="D651" i="3"/>
  <c r="D670" i="3"/>
  <c r="D680" i="3"/>
  <c r="D699" i="3"/>
  <c r="D710" i="3"/>
  <c r="D716" i="3"/>
  <c r="D774" i="3"/>
  <c r="D808" i="3"/>
  <c r="D809" i="3"/>
  <c r="D820" i="3"/>
  <c r="D831" i="3"/>
  <c r="D835" i="3"/>
  <c r="D961" i="3"/>
  <c r="D997" i="3"/>
  <c r="D1032" i="3"/>
  <c r="D1047" i="3"/>
  <c r="D1065" i="3"/>
  <c r="D1161" i="3"/>
  <c r="D1182" i="3"/>
  <c r="D1278" i="3"/>
  <c r="D1356" i="3"/>
  <c r="D1380" i="3"/>
  <c r="D1430" i="3"/>
  <c r="D1536" i="3"/>
  <c r="D1581" i="3"/>
  <c r="D1608" i="3"/>
  <c r="D1627" i="3"/>
  <c r="D1690" i="3"/>
  <c r="D1703" i="3"/>
  <c r="D1704" i="3"/>
  <c r="D1735" i="3"/>
  <c r="D1788" i="3"/>
  <c r="D1789" i="3"/>
  <c r="D1792" i="3"/>
  <c r="D1804" i="3"/>
  <c r="D1850" i="3"/>
  <c r="D1860" i="3"/>
  <c r="D1901" i="3"/>
  <c r="D1932" i="3"/>
  <c r="D1949" i="3"/>
  <c r="D1964" i="3"/>
  <c r="D1981" i="3"/>
  <c r="D2005" i="3"/>
  <c r="D2014" i="3"/>
  <c r="D2021" i="3"/>
  <c r="D2059" i="3"/>
  <c r="D2076" i="3"/>
  <c r="D2079" i="3"/>
  <c r="D2084" i="3"/>
  <c r="D2086" i="3"/>
  <c r="D2143" i="3"/>
  <c r="D2214" i="3"/>
  <c r="D2243" i="3"/>
  <c r="D2272" i="3"/>
  <c r="D2277" i="3"/>
  <c r="D2286" i="3"/>
  <c r="D2342" i="3"/>
  <c r="D2351" i="3"/>
  <c r="D2359" i="3"/>
  <c r="D2361" i="3"/>
  <c r="D2382" i="3"/>
  <c r="D2411" i="3"/>
  <c r="D2421" i="3"/>
  <c r="D2429" i="3"/>
  <c r="D2475" i="3"/>
  <c r="D2508" i="3"/>
  <c r="D2542" i="3"/>
  <c r="D2566" i="3"/>
  <c r="D2579" i="3"/>
  <c r="D2601" i="3"/>
  <c r="D2627" i="3"/>
  <c r="D2632" i="3"/>
  <c r="D2639" i="3"/>
  <c r="D2746" i="3"/>
  <c r="D2924" i="3"/>
  <c r="D2925" i="3"/>
  <c r="D2929" i="3"/>
  <c r="D2957" i="3"/>
  <c r="D2958" i="3"/>
  <c r="D2966" i="3"/>
  <c r="D3010" i="3"/>
  <c r="D3052" i="3"/>
  <c r="D3088" i="3"/>
  <c r="D3143" i="3"/>
  <c r="D3146" i="3"/>
  <c r="D3148" i="3"/>
  <c r="D3151" i="3"/>
  <c r="D3152" i="3"/>
  <c r="D3153" i="3"/>
  <c r="D3176" i="3"/>
  <c r="D3216" i="3"/>
  <c r="D3230" i="3"/>
  <c r="D3279" i="3"/>
  <c r="D3302" i="3"/>
  <c r="D3352" i="3"/>
  <c r="D3454" i="3"/>
  <c r="D3486" i="3"/>
  <c r="D3488" i="3"/>
  <c r="D3495" i="3"/>
  <c r="D3509" i="3"/>
  <c r="D3537" i="3"/>
  <c r="D3594" i="3"/>
  <c r="D3626" i="3"/>
  <c r="D3772" i="3"/>
  <c r="D3782" i="3"/>
  <c r="D3805" i="3"/>
  <c r="D3818" i="3"/>
  <c r="D3886" i="3"/>
  <c r="D3898" i="3"/>
  <c r="D3960" i="3"/>
  <c r="D4009" i="3"/>
  <c r="D4024" i="3"/>
  <c r="D4068" i="3"/>
  <c r="D4069" i="3"/>
  <c r="D4073" i="3"/>
  <c r="D4079" i="3"/>
  <c r="D4081" i="3"/>
  <c r="D4094" i="3"/>
  <c r="D4115" i="3"/>
  <c r="D4122" i="3"/>
  <c r="D4156" i="3"/>
  <c r="D4218" i="3"/>
  <c r="D4261" i="3"/>
  <c r="D4269" i="3"/>
  <c r="D4270" i="3"/>
  <c r="D4280" i="3"/>
  <c r="D4288" i="3"/>
  <c r="D4341" i="3"/>
  <c r="D4441" i="3"/>
  <c r="D4543" i="3"/>
  <c r="D4555" i="3"/>
  <c r="D4577" i="3"/>
  <c r="D4604" i="3"/>
  <c r="D4754" i="3"/>
  <c r="D4788" i="3"/>
  <c r="D4799" i="3"/>
  <c r="D4803" i="3"/>
  <c r="D4828" i="3"/>
  <c r="D4829" i="3"/>
  <c r="D23" i="3"/>
  <c r="D130" i="3"/>
  <c r="D232" i="3"/>
  <c r="D249" i="3"/>
  <c r="D325" i="3"/>
  <c r="D334" i="3"/>
  <c r="D362" i="3"/>
  <c r="D385" i="3"/>
  <c r="D552" i="3"/>
  <c r="D669" i="3"/>
  <c r="D687" i="3"/>
  <c r="D785" i="3"/>
  <c r="D828" i="3"/>
  <c r="D845" i="3"/>
  <c r="D916" i="3"/>
  <c r="D949" i="3"/>
  <c r="D959" i="3"/>
  <c r="D984" i="3"/>
  <c r="D1009" i="3"/>
  <c r="D1013" i="3"/>
  <c r="D1034" i="3"/>
  <c r="D1068" i="3"/>
  <c r="D1288" i="3"/>
  <c r="D1316" i="3"/>
  <c r="D1514" i="3"/>
  <c r="D1526" i="3"/>
  <c r="D1590" i="3"/>
  <c r="D1668" i="3"/>
  <c r="D1688" i="3"/>
  <c r="D1752" i="3"/>
  <c r="D1853" i="3"/>
  <c r="D1867" i="3"/>
  <c r="D1874" i="3"/>
  <c r="D1910" i="3"/>
  <c r="D2148" i="3"/>
  <c r="D2169" i="3"/>
  <c r="D2185" i="3"/>
  <c r="D2495" i="3"/>
  <c r="D2531" i="3"/>
  <c r="D2576" i="3"/>
  <c r="D2724" i="3"/>
  <c r="D2754" i="3"/>
  <c r="D2766" i="3"/>
  <c r="D2847" i="3"/>
  <c r="D2953" i="3"/>
  <c r="D2969" i="3"/>
  <c r="D2971" i="3"/>
  <c r="D3009" i="3"/>
  <c r="D3203" i="3"/>
  <c r="D3228" i="3"/>
  <c r="D3256" i="3"/>
  <c r="D3335" i="3"/>
  <c r="D3592" i="3"/>
  <c r="D3899" i="3"/>
  <c r="D3918" i="3"/>
  <c r="D3948" i="3"/>
  <c r="D3991" i="3"/>
  <c r="D4004" i="3"/>
  <c r="D4017" i="3"/>
  <c r="D4067" i="3"/>
  <c r="D4120" i="3"/>
  <c r="D4129" i="3"/>
  <c r="D4190" i="3"/>
  <c r="D4238" i="3"/>
  <c r="D4304" i="3"/>
  <c r="D4324" i="3"/>
  <c r="D4326" i="3"/>
  <c r="D4345" i="3"/>
  <c r="D4357" i="3"/>
  <c r="D4396" i="3"/>
  <c r="D4402" i="3"/>
  <c r="D4405" i="3"/>
  <c r="D4452" i="3"/>
  <c r="D4510" i="3"/>
  <c r="D4538" i="3"/>
  <c r="D4652" i="3"/>
  <c r="D4718" i="3"/>
  <c r="D4746" i="3"/>
  <c r="D4812" i="3"/>
  <c r="D19" i="3"/>
  <c r="D69" i="3"/>
  <c r="D74" i="3"/>
  <c r="D139" i="3"/>
  <c r="D392" i="3"/>
  <c r="D479" i="3"/>
  <c r="D605" i="3"/>
  <c r="D703" i="3"/>
  <c r="D855" i="3"/>
  <c r="D912" i="3"/>
  <c r="D1095" i="3"/>
  <c r="D1240" i="3"/>
  <c r="D1244" i="3"/>
  <c r="D1337" i="3"/>
  <c r="D1398" i="3"/>
  <c r="D1465" i="3"/>
  <c r="D1490" i="3"/>
  <c r="D1528" i="3"/>
  <c r="D1554" i="3"/>
  <c r="D1712" i="3"/>
  <c r="D1724" i="3"/>
  <c r="D2057" i="3"/>
  <c r="D2077" i="3"/>
  <c r="D2097" i="3"/>
  <c r="D2118" i="3"/>
  <c r="D2125" i="3"/>
  <c r="D2204" i="3"/>
  <c r="D2224" i="3"/>
  <c r="D2257" i="3"/>
  <c r="D2313" i="3"/>
  <c r="D2436" i="3"/>
  <c r="D2804" i="3"/>
  <c r="D2835" i="3"/>
  <c r="D2875" i="3"/>
  <c r="D2917" i="3"/>
  <c r="D2932" i="3"/>
  <c r="D2939" i="3"/>
  <c r="D3011" i="3"/>
  <c r="D3091" i="3"/>
  <c r="D3386" i="3"/>
  <c r="D3534" i="3"/>
  <c r="D3553" i="3"/>
  <c r="D3637" i="3"/>
  <c r="D3639" i="3"/>
  <c r="D3642" i="3"/>
  <c r="D3646" i="3"/>
  <c r="D3741" i="3"/>
  <c r="D3826" i="3"/>
  <c r="D3835" i="3"/>
  <c r="D3884" i="3"/>
  <c r="D3996" i="3"/>
  <c r="D4011" i="3"/>
  <c r="D4076" i="3"/>
  <c r="D4132" i="3"/>
  <c r="D4139" i="3"/>
  <c r="D4180" i="3"/>
  <c r="D4274" i="3"/>
  <c r="D4315" i="3"/>
  <c r="D4370" i="3"/>
  <c r="D4384" i="3"/>
  <c r="D4426" i="3"/>
  <c r="D4462" i="3"/>
  <c r="D4508" i="3"/>
  <c r="D4518" i="3"/>
  <c r="D4530" i="3"/>
  <c r="D4534" i="3"/>
  <c r="D4597" i="3"/>
  <c r="D4659" i="3"/>
  <c r="D4665" i="3"/>
  <c r="D4728" i="3"/>
  <c r="D18" i="3"/>
  <c r="D36" i="3"/>
  <c r="D89" i="3"/>
  <c r="D138" i="3"/>
  <c r="D173" i="3"/>
  <c r="D303" i="3"/>
  <c r="D368" i="3"/>
  <c r="D398" i="3"/>
  <c r="D453" i="3"/>
  <c r="D483" i="3"/>
  <c r="D589" i="3"/>
  <c r="D686" i="3"/>
  <c r="D697" i="3"/>
  <c r="D741" i="3"/>
  <c r="D848" i="3"/>
  <c r="D858" i="3"/>
  <c r="D890" i="3"/>
  <c r="D1129" i="3"/>
  <c r="D1214" i="3"/>
  <c r="D1329" i="3"/>
  <c r="D1387" i="3"/>
  <c r="D1416" i="3"/>
  <c r="D1507" i="3"/>
  <c r="D1547" i="3"/>
  <c r="D1592" i="3"/>
  <c r="D1667" i="3"/>
  <c r="D1739" i="3"/>
  <c r="D1793" i="3"/>
  <c r="D1843" i="3"/>
  <c r="D1884" i="3"/>
  <c r="D1934" i="3"/>
  <c r="D2128" i="3"/>
  <c r="D2182" i="3"/>
  <c r="D2195" i="3"/>
  <c r="D2209" i="3"/>
  <c r="D2330" i="3"/>
  <c r="D2387" i="3"/>
  <c r="D2390" i="3"/>
  <c r="D2468" i="3"/>
  <c r="D2483" i="3"/>
  <c r="D2543" i="3"/>
  <c r="D2568" i="3"/>
  <c r="D2589" i="3"/>
  <c r="D2781" i="3"/>
  <c r="D2788" i="3"/>
  <c r="D2842" i="3"/>
  <c r="D2892" i="3"/>
  <c r="D2915" i="3"/>
  <c r="D2943" i="3"/>
  <c r="D3014" i="3"/>
  <c r="D3191" i="3"/>
  <c r="D3295" i="3"/>
  <c r="D3311" i="3"/>
  <c r="D3382" i="3"/>
  <c r="D3519" i="3"/>
  <c r="D3635" i="3"/>
  <c r="D3696" i="3"/>
  <c r="D3799" i="3"/>
  <c r="D3816" i="3"/>
  <c r="D3832" i="3"/>
  <c r="D3846" i="3"/>
  <c r="D3854" i="3"/>
  <c r="D3892" i="3"/>
  <c r="D3933" i="3"/>
  <c r="D3955" i="3"/>
  <c r="D4057" i="3"/>
  <c r="D4151" i="3"/>
  <c r="D4171" i="3"/>
  <c r="D4221" i="3"/>
  <c r="D4226" i="3"/>
  <c r="D4318" i="3"/>
  <c r="D4492" i="3"/>
  <c r="D4583" i="3"/>
  <c r="D4618" i="3"/>
  <c r="D4807" i="3"/>
  <c r="D4822" i="3"/>
  <c r="D8" i="3"/>
  <c r="D47" i="3"/>
  <c r="D98" i="3"/>
  <c r="D187" i="3"/>
  <c r="D205" i="3"/>
  <c r="D263" i="3"/>
  <c r="D332" i="3"/>
  <c r="D417" i="3"/>
  <c r="D444" i="3"/>
  <c r="D489" i="3"/>
  <c r="D506" i="3"/>
  <c r="D548" i="3"/>
  <c r="D640" i="3"/>
  <c r="D694" i="3"/>
  <c r="D706" i="3"/>
  <c r="D718" i="3"/>
  <c r="D738" i="3"/>
  <c r="D875" i="3"/>
  <c r="D901" i="3"/>
  <c r="D1040" i="3"/>
  <c r="D1070" i="3"/>
  <c r="D1096" i="3"/>
  <c r="D1121" i="3"/>
  <c r="D1179" i="3"/>
  <c r="D1317" i="3"/>
  <c r="D1322" i="3"/>
  <c r="D1353" i="3"/>
  <c r="D1383" i="3"/>
  <c r="D1540" i="3"/>
  <c r="D1565" i="3"/>
  <c r="D1582" i="3"/>
  <c r="D1603" i="3"/>
  <c r="D1646" i="3"/>
  <c r="D1785" i="3"/>
  <c r="D1786" i="3"/>
  <c r="D1806" i="3"/>
  <c r="D1823" i="3"/>
  <c r="D1883" i="3"/>
  <c r="D1903" i="3"/>
  <c r="D2023" i="3"/>
  <c r="D2085" i="3"/>
  <c r="D2172" i="3"/>
  <c r="D2207" i="3"/>
  <c r="D2215" i="3"/>
  <c r="D2270" i="3"/>
  <c r="D2333" i="3"/>
  <c r="D2404" i="3"/>
  <c r="D2526" i="3"/>
  <c r="D2528" i="3"/>
  <c r="D2530" i="3"/>
  <c r="D2561" i="3"/>
  <c r="D2634" i="3"/>
  <c r="D2659" i="3"/>
  <c r="D2665" i="3"/>
  <c r="D2670" i="3"/>
  <c r="D2728" i="3"/>
  <c r="D2735" i="3"/>
  <c r="D2743" i="3"/>
  <c r="D2783" i="3"/>
  <c r="D2843" i="3"/>
  <c r="D2904" i="3"/>
  <c r="D2949" i="3"/>
  <c r="D2978" i="3"/>
  <c r="D3033" i="3"/>
  <c r="D3067" i="3"/>
  <c r="D3120" i="3"/>
  <c r="D3186" i="3"/>
  <c r="D3197" i="3"/>
  <c r="D3259" i="3"/>
  <c r="D3266" i="3"/>
  <c r="D3350" i="3"/>
  <c r="D3379" i="3"/>
  <c r="D3417" i="3"/>
  <c r="D3508" i="3"/>
  <c r="D3547" i="3"/>
  <c r="D3700" i="3"/>
  <c r="D3722" i="3"/>
  <c r="D3759" i="3"/>
  <c r="D3791" i="3"/>
  <c r="D3828" i="3"/>
  <c r="D3967" i="3"/>
  <c r="D4006" i="3"/>
  <c r="D4066" i="3"/>
  <c r="D4090" i="3"/>
  <c r="D4099" i="3"/>
  <c r="D4199" i="3"/>
  <c r="D4323" i="3"/>
  <c r="D4336" i="3"/>
  <c r="D4343" i="3"/>
  <c r="D4369" i="3"/>
  <c r="D4386" i="3"/>
  <c r="D4527" i="3"/>
  <c r="D4664" i="3"/>
  <c r="D4703" i="3"/>
  <c r="D4706" i="3"/>
  <c r="D4710" i="3"/>
  <c r="D4721" i="3"/>
  <c r="D117" i="3"/>
  <c r="D191" i="3"/>
  <c r="D318" i="3"/>
  <c r="D335" i="3"/>
  <c r="D437" i="3"/>
  <c r="D478" i="3"/>
  <c r="D553" i="3"/>
  <c r="D562" i="3"/>
  <c r="D624" i="3"/>
  <c r="D725" i="3"/>
  <c r="D763" i="3"/>
  <c r="D806" i="3"/>
  <c r="D841" i="3"/>
  <c r="D917" i="3"/>
  <c r="D986" i="3"/>
  <c r="D1086" i="3"/>
  <c r="D1204" i="3"/>
  <c r="D1211" i="3"/>
  <c r="D1241" i="3"/>
  <c r="D1281" i="3"/>
  <c r="D1461" i="3"/>
  <c r="D1473" i="3"/>
  <c r="D1516" i="3"/>
  <c r="D1523" i="3"/>
  <c r="D1723" i="3"/>
  <c r="D1765" i="3"/>
  <c r="D1809" i="3"/>
  <c r="D1881" i="3"/>
  <c r="D1919" i="3"/>
  <c r="D1972" i="3"/>
  <c r="D1987" i="3"/>
  <c r="D2049" i="3"/>
  <c r="D2174" i="3"/>
  <c r="D2208" i="3"/>
  <c r="D2373" i="3"/>
  <c r="D2398" i="3"/>
  <c r="D2491" i="3"/>
  <c r="D2535" i="3"/>
  <c r="D2536" i="3"/>
  <c r="D2681" i="3"/>
  <c r="D2733" i="3"/>
  <c r="D2752" i="3"/>
  <c r="D2812" i="3"/>
  <c r="D3002" i="3"/>
  <c r="D3022" i="3"/>
  <c r="D3077" i="3"/>
  <c r="D3079" i="3"/>
  <c r="D3109" i="3"/>
  <c r="D3149" i="3"/>
  <c r="D3419" i="3"/>
  <c r="D3527" i="3"/>
  <c r="D3536" i="3"/>
  <c r="D3573" i="3"/>
  <c r="D3622" i="3"/>
  <c r="D3701" i="3"/>
  <c r="D3717" i="3"/>
  <c r="D3727" i="3"/>
  <c r="D3788" i="3"/>
  <c r="D3830" i="3"/>
  <c r="D3863" i="3"/>
  <c r="D3902" i="3"/>
  <c r="D3911" i="3"/>
  <c r="D3940" i="3"/>
  <c r="D4054" i="3"/>
  <c r="D4144" i="3"/>
  <c r="D4147" i="3"/>
  <c r="D4189" i="3"/>
  <c r="D4228" i="3"/>
  <c r="D4265" i="3"/>
  <c r="D4300" i="3"/>
  <c r="D4306" i="3"/>
  <c r="D4312" i="3"/>
  <c r="D4317" i="3"/>
  <c r="D4330" i="3"/>
  <c r="D4372" i="3"/>
  <c r="D4381" i="3"/>
  <c r="D4469" i="3"/>
  <c r="D4478" i="3"/>
  <c r="D4603" i="3"/>
  <c r="D4605" i="3"/>
  <c r="D4656" i="3"/>
  <c r="D131" i="3"/>
  <c r="D411" i="3"/>
  <c r="D759" i="3"/>
  <c r="D1392" i="3"/>
  <c r="D1499" i="3"/>
  <c r="D1863" i="3"/>
  <c r="D2255" i="3"/>
  <c r="D2262" i="3"/>
  <c r="D2755" i="3"/>
  <c r="D2878" i="3"/>
  <c r="D3157" i="3"/>
  <c r="D3581" i="3"/>
  <c r="D3787" i="3"/>
  <c r="D3897" i="3"/>
  <c r="D3932" i="3"/>
  <c r="D4219" i="3"/>
  <c r="D4301" i="3"/>
  <c r="D4477" i="3"/>
  <c r="D4539" i="3"/>
  <c r="D4831" i="3"/>
  <c r="E16" i="3"/>
  <c r="E43" i="3"/>
  <c r="E56" i="3"/>
  <c r="E129" i="3"/>
  <c r="E174" i="3"/>
  <c r="E183" i="3"/>
  <c r="E202" i="3"/>
  <c r="E207" i="3"/>
  <c r="E215" i="3"/>
  <c r="E237" i="3"/>
  <c r="E250" i="3"/>
  <c r="E278" i="3"/>
  <c r="E285" i="3"/>
  <c r="E337" i="3"/>
  <c r="E343" i="3"/>
  <c r="E358" i="3"/>
  <c r="E389" i="3"/>
  <c r="E409" i="3"/>
  <c r="E491" i="3"/>
  <c r="E494" i="3"/>
  <c r="E500" i="3"/>
  <c r="E529" i="3"/>
  <c r="E531" i="3"/>
  <c r="E581" i="3"/>
  <c r="E593" i="3"/>
  <c r="E772" i="3"/>
  <c r="E794" i="3"/>
  <c r="E797" i="3"/>
  <c r="E803" i="3"/>
  <c r="E807" i="3"/>
  <c r="E821" i="3"/>
  <c r="E854" i="3"/>
  <c r="E877" i="3"/>
  <c r="E892" i="3"/>
  <c r="E905" i="3"/>
  <c r="E910" i="3"/>
  <c r="E920" i="3"/>
  <c r="E927" i="3"/>
  <c r="E928" i="3"/>
  <c r="E941" i="3"/>
  <c r="E992" i="3"/>
  <c r="E1010" i="3"/>
  <c r="E1052" i="3"/>
  <c r="E1053" i="3"/>
  <c r="E1093" i="3"/>
  <c r="E1101" i="3"/>
  <c r="E1128" i="3"/>
  <c r="E1135" i="3"/>
  <c r="E1245" i="3"/>
  <c r="E1301" i="3"/>
  <c r="E1324" i="3"/>
  <c r="E1349" i="3"/>
  <c r="E1362" i="3"/>
  <c r="E1411" i="3"/>
  <c r="E1425" i="3"/>
  <c r="E1426" i="3"/>
  <c r="E1433" i="3"/>
  <c r="E1444" i="3"/>
  <c r="E1556" i="3"/>
  <c r="E1569" i="3"/>
  <c r="E1629" i="3"/>
  <c r="E1639" i="3"/>
  <c r="E1664" i="3"/>
  <c r="E1713" i="3"/>
  <c r="E1748" i="3"/>
  <c r="E1774" i="3"/>
  <c r="E1784" i="3"/>
  <c r="E1813" i="3"/>
  <c r="E1820" i="3"/>
  <c r="E1838" i="3"/>
  <c r="E1963" i="3"/>
  <c r="E1973" i="3"/>
  <c r="E2000" i="3"/>
  <c r="E2054" i="3"/>
  <c r="E2068" i="3"/>
  <c r="E2101" i="3"/>
  <c r="E2122" i="3"/>
  <c r="E2160" i="3"/>
  <c r="E2233" i="3"/>
  <c r="E2234" i="3"/>
  <c r="E2298" i="3"/>
  <c r="E2332" i="3"/>
  <c r="E2427" i="3"/>
  <c r="E2565" i="3"/>
  <c r="E2586" i="3"/>
  <c r="E2608" i="3"/>
  <c r="E2625" i="3"/>
  <c r="E2641" i="3"/>
  <c r="E2666" i="3"/>
  <c r="E2667" i="3"/>
  <c r="E2691" i="3"/>
  <c r="E2694" i="3"/>
  <c r="E2705" i="3"/>
  <c r="E2720" i="3"/>
  <c r="E2729" i="3"/>
  <c r="E2737" i="3"/>
  <c r="E2738" i="3"/>
  <c r="E2765" i="3"/>
  <c r="E2772" i="3"/>
  <c r="E2779" i="3"/>
  <c r="E2797" i="3"/>
  <c r="E2829" i="3"/>
  <c r="E2834" i="3"/>
  <c r="E2869" i="3"/>
  <c r="E2876" i="3"/>
  <c r="E2896" i="3"/>
  <c r="E2945" i="3"/>
  <c r="E2955" i="3"/>
  <c r="E2998" i="3"/>
  <c r="E3025" i="3"/>
  <c r="E3057" i="3"/>
  <c r="E3089" i="3"/>
  <c r="E3106" i="3"/>
  <c r="E3136" i="3"/>
  <c r="E3189" i="3"/>
  <c r="E3195" i="3"/>
  <c r="E3236" i="3"/>
  <c r="E3267" i="3"/>
  <c r="E3427" i="3"/>
  <c r="E3431" i="3"/>
  <c r="E3460" i="3"/>
  <c r="E3472" i="3"/>
  <c r="E3494" i="3"/>
  <c r="E3502" i="3"/>
  <c r="E3621" i="3"/>
  <c r="E3625" i="3"/>
  <c r="E3638" i="3"/>
  <c r="E3653" i="3"/>
  <c r="E3675" i="3"/>
  <c r="E3695" i="3"/>
  <c r="E3711" i="3"/>
  <c r="E3747" i="3"/>
  <c r="E3796" i="3"/>
  <c r="E3814" i="3"/>
  <c r="E3833" i="3"/>
  <c r="E3841" i="3"/>
  <c r="E3849" i="3"/>
  <c r="E3871" i="3"/>
  <c r="E3961" i="3"/>
  <c r="E3973" i="3"/>
  <c r="E3988" i="3"/>
  <c r="E4088" i="3"/>
  <c r="E4092" i="3"/>
  <c r="E4153" i="3"/>
  <c r="E4188" i="3"/>
  <c r="E4237" i="3"/>
  <c r="E4356" i="3"/>
  <c r="E4385" i="3"/>
  <c r="E4407" i="3"/>
  <c r="E4411" i="3"/>
  <c r="E4422" i="3"/>
  <c r="E4425" i="3"/>
  <c r="E4429" i="3"/>
  <c r="E4447" i="3"/>
  <c r="E4448" i="3"/>
  <c r="E4488" i="3"/>
  <c r="E4537" i="3"/>
  <c r="E4563" i="3"/>
  <c r="E4616" i="3"/>
  <c r="E4658" i="3"/>
  <c r="E4669" i="3"/>
  <c r="E4735" i="3"/>
  <c r="E4738" i="3"/>
  <c r="E4793" i="3"/>
  <c r="E4810" i="3"/>
  <c r="E4819" i="3"/>
  <c r="E27" i="3"/>
  <c r="E31" i="3"/>
  <c r="E144" i="3"/>
  <c r="E156" i="3"/>
  <c r="E179" i="3"/>
  <c r="E282" i="3"/>
  <c r="E284" i="3"/>
  <c r="E341" i="3"/>
  <c r="E344" i="3"/>
  <c r="E360" i="3"/>
  <c r="E406" i="3"/>
  <c r="E432" i="3"/>
  <c r="E439" i="3"/>
  <c r="E441" i="3"/>
  <c r="E456" i="3"/>
  <c r="E498" i="3"/>
  <c r="E502" i="3"/>
  <c r="E514" i="3"/>
  <c r="E590" i="3"/>
  <c r="E599" i="3"/>
  <c r="E619" i="3"/>
  <c r="E621" i="3"/>
  <c r="E681" i="3"/>
  <c r="E692" i="3"/>
  <c r="E727" i="3"/>
  <c r="E731" i="3"/>
  <c r="E732" i="3"/>
  <c r="E733" i="3"/>
  <c r="E783" i="3"/>
  <c r="E800" i="3"/>
  <c r="E862" i="3"/>
  <c r="E878" i="3"/>
  <c r="E898" i="3"/>
  <c r="E999" i="3"/>
  <c r="E1028" i="3"/>
  <c r="E1041" i="3"/>
  <c r="E1072" i="3"/>
  <c r="E1113" i="3"/>
  <c r="E1167" i="3"/>
  <c r="E1171" i="3"/>
  <c r="E1180" i="3"/>
  <c r="E1224" i="3"/>
  <c r="E1265" i="3"/>
  <c r="E1275" i="3"/>
  <c r="E1346" i="3"/>
  <c r="E1360" i="3"/>
  <c r="E1369" i="3"/>
  <c r="E1420" i="3"/>
  <c r="E1481" i="3"/>
  <c r="E1492" i="3"/>
  <c r="E1678" i="3"/>
  <c r="E1717" i="3"/>
  <c r="E1719" i="3"/>
  <c r="E1733" i="3"/>
  <c r="E1736" i="3"/>
  <c r="E1750" i="3"/>
  <c r="E1764" i="3"/>
  <c r="E1893" i="3"/>
  <c r="E1942" i="3"/>
  <c r="E1984" i="3"/>
  <c r="E1998" i="3"/>
  <c r="E2061" i="3"/>
  <c r="E2102" i="3"/>
  <c r="E2123" i="3"/>
  <c r="E2133" i="3"/>
  <c r="E2168" i="3"/>
  <c r="E2179" i="3"/>
  <c r="E2227" i="3"/>
  <c r="E2252" i="3"/>
  <c r="E2261" i="3"/>
  <c r="E2265" i="3"/>
  <c r="E2282" i="3"/>
  <c r="E2296" i="3"/>
  <c r="E2303" i="3"/>
  <c r="E2320" i="3"/>
  <c r="E2323" i="3"/>
  <c r="E2360" i="3"/>
  <c r="E2393" i="3"/>
  <c r="E2420" i="3"/>
  <c r="E2426" i="3"/>
  <c r="E2461" i="3"/>
  <c r="E2546" i="3"/>
  <c r="E2573" i="3"/>
  <c r="E2644" i="3"/>
  <c r="E2653" i="3"/>
  <c r="E2680" i="3"/>
  <c r="E2687" i="3"/>
  <c r="E2721" i="3"/>
  <c r="E2722" i="3"/>
  <c r="E2727" i="3"/>
  <c r="E2730" i="3"/>
  <c r="E2798" i="3"/>
  <c r="E2813" i="3"/>
  <c r="E2816" i="3"/>
  <c r="E2831" i="3"/>
  <c r="E2948" i="3"/>
  <c r="E2974" i="3"/>
  <c r="E3072" i="3"/>
  <c r="E3105" i="3"/>
  <c r="E3121" i="3"/>
  <c r="E3124" i="3"/>
  <c r="E3140" i="3"/>
  <c r="E3193" i="3"/>
  <c r="E3247" i="3"/>
  <c r="E3380" i="3"/>
  <c r="E3404" i="3"/>
  <c r="E3416" i="3"/>
  <c r="E3438" i="3"/>
  <c r="E3480" i="3"/>
  <c r="E3490" i="3"/>
  <c r="E3533" i="3"/>
  <c r="E3535" i="3"/>
  <c r="E3604" i="3"/>
  <c r="E3620" i="3"/>
  <c r="E3667" i="3"/>
  <c r="E3684" i="3"/>
  <c r="E3739" i="3"/>
  <c r="E3742" i="3"/>
  <c r="E3755" i="3"/>
  <c r="E3769" i="3"/>
  <c r="E3802" i="3"/>
  <c r="E3806" i="3"/>
  <c r="E3810" i="3"/>
  <c r="E3857" i="3"/>
  <c r="E3870" i="3"/>
  <c r="E3916" i="3"/>
  <c r="E3924" i="3"/>
  <c r="E3942" i="3"/>
  <c r="E3969" i="3"/>
  <c r="E3982" i="3"/>
  <c r="E4003" i="3"/>
  <c r="E4027" i="3"/>
  <c r="E4030" i="3"/>
  <c r="E4042" i="3"/>
  <c r="E4098" i="3"/>
  <c r="E4104" i="3"/>
  <c r="E4106" i="3"/>
  <c r="E4114" i="3"/>
  <c r="E4117" i="3"/>
  <c r="E4149" i="3"/>
  <c r="E4150" i="3"/>
  <c r="E4152" i="3"/>
  <c r="E4298" i="3"/>
  <c r="E4308" i="3"/>
  <c r="E4321" i="3"/>
  <c r="E4390" i="3"/>
  <c r="E4403" i="3"/>
  <c r="E4520" i="3"/>
  <c r="E4531" i="3"/>
  <c r="E4643" i="3"/>
  <c r="E4717" i="3"/>
  <c r="E4751" i="3"/>
  <c r="E4772" i="3"/>
  <c r="E4779" i="3"/>
  <c r="E4796" i="3"/>
  <c r="E4820" i="3"/>
  <c r="E133" i="3"/>
  <c r="E141" i="3"/>
  <c r="E143" i="3"/>
  <c r="E288" i="3"/>
  <c r="E291" i="3"/>
  <c r="E375" i="3"/>
  <c r="E524" i="3"/>
  <c r="E527" i="3"/>
  <c r="E528" i="3"/>
  <c r="E657" i="3"/>
  <c r="E688" i="3"/>
  <c r="E715" i="3"/>
  <c r="E740" i="3"/>
  <c r="E801" i="3"/>
  <c r="E853" i="3"/>
  <c r="E946" i="3"/>
  <c r="E955" i="3"/>
  <c r="E1020" i="3"/>
  <c r="E1039" i="3"/>
  <c r="E1067" i="3"/>
  <c r="E1107" i="3"/>
  <c r="E1138" i="3"/>
  <c r="E1140" i="3"/>
  <c r="E1147" i="3"/>
  <c r="E1256" i="3"/>
  <c r="E1257" i="3"/>
  <c r="E1264" i="3"/>
  <c r="E1298" i="3"/>
  <c r="E1312" i="3"/>
  <c r="E1441" i="3"/>
  <c r="E1568" i="3"/>
  <c r="E1648" i="3"/>
  <c r="E1651" i="3"/>
  <c r="E1689" i="3"/>
  <c r="E1696" i="3"/>
  <c r="E1697" i="3"/>
  <c r="E1780" i="3"/>
  <c r="E1920" i="3"/>
  <c r="E1947" i="3"/>
  <c r="E1996" i="3"/>
  <c r="E2105" i="3"/>
  <c r="E2127" i="3"/>
  <c r="E2193" i="3"/>
  <c r="E2242" i="3"/>
  <c r="E2258" i="3"/>
  <c r="E2274" i="3"/>
  <c r="E2353" i="3"/>
  <c r="E2375" i="3"/>
  <c r="E2384" i="3"/>
  <c r="E2396" i="3"/>
  <c r="E2575" i="3"/>
  <c r="E2588" i="3"/>
  <c r="E2618" i="3"/>
  <c r="E2761" i="3"/>
  <c r="E2830" i="3"/>
  <c r="E2897" i="3"/>
  <c r="E3094" i="3"/>
  <c r="E3111" i="3"/>
  <c r="E3156" i="3"/>
  <c r="E3187" i="3"/>
  <c r="E3269" i="3"/>
  <c r="E3282" i="3"/>
  <c r="E3285" i="3"/>
  <c r="E3288" i="3"/>
  <c r="E3363" i="3"/>
  <c r="E3364" i="3"/>
  <c r="E3374" i="3"/>
  <c r="E3424" i="3"/>
  <c r="E3452" i="3"/>
  <c r="E3474" i="3"/>
  <c r="E3514" i="3"/>
  <c r="E3691" i="3"/>
  <c r="E3751" i="3"/>
  <c r="E3757" i="3"/>
  <c r="E3758" i="3"/>
  <c r="E3913" i="3"/>
  <c r="E3931" i="3"/>
  <c r="E3968" i="3"/>
  <c r="E3980" i="3"/>
  <c r="E4039" i="3"/>
  <c r="E4103" i="3"/>
  <c r="E4108" i="3"/>
  <c r="E4113" i="3"/>
  <c r="E4195" i="3"/>
  <c r="E4252" i="3"/>
  <c r="E4397" i="3"/>
  <c r="E4517" i="3"/>
  <c r="E4609" i="3"/>
  <c r="E4696" i="3"/>
  <c r="E4834" i="3"/>
  <c r="E53" i="3"/>
  <c r="E90" i="3"/>
  <c r="E123" i="3"/>
  <c r="E152" i="3"/>
  <c r="E182" i="3"/>
  <c r="E244" i="3"/>
  <c r="E429" i="3"/>
  <c r="E512" i="3"/>
  <c r="E607" i="3"/>
  <c r="E636" i="3"/>
  <c r="E717" i="3"/>
  <c r="E720" i="3"/>
  <c r="E739" i="3"/>
  <c r="E747" i="3"/>
  <c r="E923" i="3"/>
  <c r="E931" i="3"/>
  <c r="E993" i="3"/>
  <c r="E1019" i="3"/>
  <c r="E1159" i="3"/>
  <c r="E1162" i="3"/>
  <c r="E1319" i="3"/>
  <c r="E1341" i="3"/>
  <c r="E1354" i="3"/>
  <c r="E1358" i="3"/>
  <c r="E1376" i="3"/>
  <c r="E1445" i="3"/>
  <c r="E1533" i="3"/>
  <c r="E1539" i="3"/>
  <c r="E1561" i="3"/>
  <c r="E1615" i="3"/>
  <c r="E1834" i="3"/>
  <c r="E1859" i="3"/>
  <c r="E1927" i="3"/>
  <c r="E1939" i="3"/>
  <c r="E1945" i="3"/>
  <c r="E2027" i="3"/>
  <c r="E2089" i="3"/>
  <c r="E2108" i="3"/>
  <c r="E2159" i="3"/>
  <c r="E2163" i="3"/>
  <c r="E2171" i="3"/>
  <c r="E2250" i="3"/>
  <c r="E2472" i="3"/>
  <c r="E2518" i="3"/>
  <c r="E2614" i="3"/>
  <c r="E2640" i="3"/>
  <c r="E2651" i="3"/>
  <c r="E2717" i="3"/>
  <c r="E2723" i="3"/>
  <c r="E2863" i="3"/>
  <c r="E2868" i="3"/>
  <c r="E2950" i="3"/>
  <c r="E2992" i="3"/>
  <c r="E2997" i="3"/>
  <c r="E3061" i="3"/>
  <c r="E3064" i="3"/>
  <c r="E3075" i="3"/>
  <c r="E3102" i="3"/>
  <c r="E3119" i="3"/>
  <c r="E3133" i="3"/>
  <c r="E3208" i="3"/>
  <c r="E3214" i="3"/>
  <c r="E3321" i="3"/>
  <c r="E3397" i="3"/>
  <c r="E3590" i="3"/>
  <c r="E3687" i="3"/>
  <c r="E3698" i="3"/>
  <c r="E3726" i="3"/>
  <c r="E3738" i="3"/>
  <c r="E3762" i="3"/>
  <c r="E3800" i="3"/>
  <c r="E3858" i="3"/>
  <c r="E3914" i="3"/>
  <c r="E4019" i="3"/>
  <c r="E4105" i="3"/>
  <c r="E4192" i="3"/>
  <c r="E4229" i="3"/>
  <c r="E4262" i="3"/>
  <c r="E4303" i="3"/>
  <c r="E4393" i="3"/>
  <c r="E4440" i="3"/>
  <c r="E4727" i="3"/>
  <c r="E41" i="3"/>
  <c r="E105" i="3"/>
  <c r="E107" i="3"/>
  <c r="E428" i="3"/>
  <c r="E1029" i="3"/>
  <c r="E1157" i="3"/>
  <c r="E1307" i="3"/>
  <c r="E1421" i="3"/>
  <c r="E1484" i="3"/>
  <c r="E1575" i="3"/>
  <c r="E1803" i="3"/>
  <c r="E1832" i="3"/>
  <c r="E1931" i="3"/>
  <c r="E1968" i="3"/>
  <c r="E1989" i="3"/>
  <c r="E2091" i="3"/>
  <c r="E2104" i="3"/>
  <c r="E2111" i="3"/>
  <c r="E2307" i="3"/>
  <c r="E2321" i="3"/>
  <c r="E2517" i="3"/>
  <c r="E2534" i="3"/>
  <c r="E2620" i="3"/>
  <c r="E2726" i="3"/>
  <c r="E2820" i="3"/>
  <c r="E2859" i="3"/>
  <c r="E2918" i="3"/>
  <c r="E2964" i="3"/>
  <c r="E3063" i="3"/>
  <c r="E3117" i="3"/>
  <c r="E3220" i="3"/>
  <c r="E3299" i="3"/>
  <c r="E3342" i="3"/>
  <c r="E3384" i="3"/>
  <c r="E3407" i="3"/>
  <c r="E3466" i="3"/>
  <c r="E3501" i="3"/>
  <c r="E3526" i="3"/>
  <c r="E3554" i="3"/>
  <c r="E3579" i="3"/>
  <c r="E3693" i="3"/>
  <c r="E3840" i="3"/>
  <c r="E3946" i="3"/>
  <c r="E4255" i="3"/>
  <c r="E4420" i="3"/>
  <c r="E4433" i="3"/>
  <c r="E4634" i="3"/>
  <c r="E198" i="3"/>
  <c r="E393" i="3"/>
  <c r="E397" i="3"/>
  <c r="E465" i="3"/>
  <c r="E499" i="3"/>
  <c r="E622" i="3"/>
  <c r="E752" i="3"/>
  <c r="E830" i="3"/>
  <c r="E884" i="3"/>
  <c r="E943" i="3"/>
  <c r="E1054" i="3"/>
  <c r="E1145" i="3"/>
  <c r="E1479" i="3"/>
  <c r="E1544" i="3"/>
  <c r="E1573" i="3"/>
  <c r="E1700" i="3"/>
  <c r="E1810" i="3"/>
  <c r="E2067" i="3"/>
  <c r="E2113" i="3"/>
  <c r="E2292" i="3"/>
  <c r="E2605" i="3"/>
  <c r="E2657" i="3"/>
  <c r="E2664" i="3"/>
  <c r="E2693" i="3"/>
  <c r="E2977" i="3"/>
  <c r="E3019" i="3"/>
  <c r="E3023" i="3"/>
  <c r="E3356" i="3"/>
  <c r="E3378" i="3"/>
  <c r="E3448" i="3"/>
  <c r="E3681" i="3"/>
  <c r="E3779" i="3"/>
  <c r="E3862" i="3"/>
  <c r="E3894" i="3"/>
  <c r="E3912" i="3"/>
  <c r="E3927" i="3"/>
  <c r="E3993" i="3"/>
  <c r="E4000" i="3"/>
  <c r="E4080" i="3"/>
  <c r="E4374" i="3"/>
  <c r="E4378" i="3"/>
  <c r="E4389" i="3"/>
  <c r="E4436" i="3"/>
  <c r="E4496" i="3"/>
  <c r="E4684" i="3"/>
  <c r="E4811" i="3"/>
  <c r="E64" i="3"/>
  <c r="E153" i="3"/>
  <c r="E200" i="3"/>
  <c r="E373" i="3"/>
  <c r="E410" i="3"/>
  <c r="E550" i="3"/>
  <c r="E823" i="3"/>
  <c r="E846" i="3"/>
  <c r="E963" i="3"/>
  <c r="E969" i="3"/>
  <c r="E1033" i="3"/>
  <c r="E1203" i="3"/>
  <c r="E1333" i="3"/>
  <c r="E1440" i="3"/>
  <c r="E1609" i="3"/>
  <c r="E1706" i="3"/>
  <c r="E1762" i="3"/>
  <c r="E1890" i="3"/>
  <c r="E1895" i="3"/>
  <c r="E2096" i="3"/>
  <c r="E2124" i="3"/>
  <c r="E2137" i="3"/>
  <c r="E2228" i="3"/>
  <c r="E2263" i="3"/>
  <c r="E2275" i="3"/>
  <c r="E2308" i="3"/>
  <c r="E2358" i="3"/>
  <c r="E2378" i="3"/>
  <c r="E2442" i="3"/>
  <c r="E2527" i="3"/>
  <c r="E2663" i="3"/>
  <c r="E2739" i="3"/>
  <c r="E2759" i="3"/>
  <c r="E2793" i="3"/>
  <c r="E2811" i="3"/>
  <c r="E2850" i="3"/>
  <c r="E2965" i="3"/>
  <c r="E3045" i="3"/>
  <c r="E3110" i="3"/>
  <c r="E3118" i="3"/>
  <c r="E3192" i="3"/>
  <c r="E3371" i="3"/>
  <c r="E3402" i="3"/>
  <c r="E3446" i="3"/>
  <c r="E3565" i="3"/>
  <c r="E3651" i="3"/>
  <c r="E3724" i="3"/>
  <c r="E3890" i="3"/>
  <c r="E3910" i="3"/>
  <c r="E4028" i="3"/>
  <c r="E4034" i="3"/>
  <c r="E4177" i="3"/>
  <c r="E4184" i="3"/>
  <c r="E4340" i="3"/>
  <c r="E4388" i="3"/>
  <c r="E4463" i="3"/>
  <c r="E4479" i="3"/>
  <c r="E4572" i="3"/>
  <c r="E4598" i="3"/>
  <c r="E4633" i="3"/>
  <c r="E4640" i="3"/>
  <c r="E4661" i="3"/>
  <c r="E4720" i="3"/>
  <c r="E4780" i="3"/>
  <c r="E4809" i="3"/>
  <c r="E189" i="3"/>
  <c r="E255" i="3"/>
  <c r="E384" i="3"/>
  <c r="E402" i="3"/>
  <c r="E447" i="3"/>
  <c r="E482" i="3"/>
  <c r="E495" i="3"/>
  <c r="E549" i="3"/>
  <c r="E558" i="3"/>
  <c r="E644" i="3"/>
  <c r="E682" i="3"/>
  <c r="E781" i="3"/>
  <c r="E795" i="3"/>
  <c r="E903" i="3"/>
  <c r="E919" i="3"/>
  <c r="E1004" i="3"/>
  <c r="E1073" i="3"/>
  <c r="E1124" i="3"/>
  <c r="E1185" i="3"/>
  <c r="E1230" i="3"/>
  <c r="E1259" i="3"/>
  <c r="E1311" i="3"/>
  <c r="E1342" i="3"/>
  <c r="E1344" i="3"/>
  <c r="E1378" i="3"/>
  <c r="E1447" i="3"/>
  <c r="E1486" i="3"/>
  <c r="E1551" i="3"/>
  <c r="E1618" i="3"/>
  <c r="E1644" i="3"/>
  <c r="E1828" i="3"/>
  <c r="E1905" i="3"/>
  <c r="E1971" i="3"/>
  <c r="E2073" i="3"/>
  <c r="E2142" i="3"/>
  <c r="E2167" i="3"/>
  <c r="E2280" i="3"/>
  <c r="E2316" i="3"/>
  <c r="E2459" i="3"/>
  <c r="E2492" i="3"/>
  <c r="E2607" i="3"/>
  <c r="E2616" i="3"/>
  <c r="E2662" i="3"/>
  <c r="E2796" i="3"/>
  <c r="E2800" i="3"/>
  <c r="E2894" i="3"/>
  <c r="E2959" i="3"/>
  <c r="E2962" i="3"/>
  <c r="E2968" i="3"/>
  <c r="E3047" i="3"/>
  <c r="E3068" i="3"/>
  <c r="E3320" i="3"/>
  <c r="E3349" i="3"/>
  <c r="E3462" i="3"/>
  <c r="E3516" i="3"/>
  <c r="E3578" i="3"/>
  <c r="E3616" i="3"/>
  <c r="E3647" i="3"/>
  <c r="E3659" i="3"/>
  <c r="E3716" i="3"/>
  <c r="E3740" i="3"/>
  <c r="E3797" i="3"/>
  <c r="E3801" i="3"/>
  <c r="E3847" i="3"/>
  <c r="E4166" i="3"/>
  <c r="E4266" i="3"/>
  <c r="E4289" i="3"/>
  <c r="E4325" i="3"/>
  <c r="E4453" i="3"/>
  <c r="E4553" i="3"/>
  <c r="E4619" i="3"/>
  <c r="E4707" i="3"/>
  <c r="E4744" i="3"/>
  <c r="E4749" i="3"/>
  <c r="E4791" i="3"/>
  <c r="E29" i="3"/>
  <c r="E50" i="3"/>
  <c r="E116" i="3"/>
  <c r="E145" i="3"/>
  <c r="E193" i="3"/>
  <c r="E346" i="3"/>
  <c r="E357" i="3"/>
  <c r="E472" i="3"/>
  <c r="E573" i="3"/>
  <c r="E620" i="3"/>
  <c r="E700" i="3"/>
  <c r="E791" i="3"/>
  <c r="E834" i="3"/>
  <c r="E962" i="3"/>
  <c r="E973" i="3"/>
  <c r="E1003" i="3"/>
  <c r="E1022" i="3"/>
  <c r="E1050" i="3"/>
  <c r="E1114" i="3"/>
  <c r="E1188" i="3"/>
  <c r="E1190" i="3"/>
  <c r="E1196" i="3"/>
  <c r="E1248" i="3"/>
  <c r="E1270" i="3"/>
  <c r="E1280" i="3"/>
  <c r="E1321" i="3"/>
  <c r="E1332" i="3"/>
  <c r="E1338" i="3"/>
  <c r="E1602" i="3"/>
  <c r="E1656" i="3"/>
  <c r="E1665" i="3"/>
  <c r="E1858" i="3"/>
  <c r="E1888" i="3"/>
  <c r="E1913" i="3"/>
  <c r="E1959" i="3"/>
  <c r="E1960" i="3"/>
  <c r="E1999" i="3"/>
  <c r="E2031" i="3"/>
  <c r="E2146" i="3"/>
  <c r="E2236" i="3"/>
  <c r="E2268" i="3"/>
  <c r="E2304" i="3"/>
  <c r="E2311" i="3"/>
  <c r="E2326" i="3"/>
  <c r="E2385" i="3"/>
  <c r="E2417" i="3"/>
  <c r="E2493" i="3"/>
  <c r="E2504" i="3"/>
  <c r="E2604" i="3"/>
  <c r="E2708" i="3"/>
  <c r="E2756" i="3"/>
  <c r="E2773" i="3"/>
  <c r="E2819" i="3"/>
  <c r="E2851" i="3"/>
  <c r="E2967" i="3"/>
  <c r="E3013" i="3"/>
  <c r="E3036" i="3"/>
  <c r="E3055" i="3"/>
  <c r="E3103" i="3"/>
  <c r="E3122" i="3"/>
  <c r="E3207" i="3"/>
  <c r="E3226" i="3"/>
  <c r="E3281" i="3"/>
  <c r="E3294" i="3"/>
  <c r="E3346" i="3"/>
  <c r="E3359" i="3"/>
  <c r="E3408" i="3"/>
  <c r="E3415" i="3"/>
  <c r="E3507" i="3"/>
  <c r="E3521" i="3"/>
  <c r="E3559" i="3"/>
  <c r="E3617" i="3"/>
  <c r="E3661" i="3"/>
  <c r="E3756" i="3"/>
  <c r="E3766" i="3"/>
  <c r="E3778" i="3"/>
  <c r="E3837" i="3"/>
  <c r="E3851" i="3"/>
  <c r="E4116" i="3"/>
  <c r="E4258" i="3"/>
  <c r="E4335" i="3"/>
  <c r="E4338" i="3"/>
  <c r="E4410" i="3"/>
  <c r="E4415" i="3"/>
  <c r="E4638" i="3"/>
  <c r="E4645" i="3"/>
  <c r="E4646" i="3"/>
  <c r="E4672" i="3"/>
  <c r="E4778" i="3"/>
  <c r="E24" i="3"/>
  <c r="E95" i="3"/>
  <c r="E149" i="3"/>
  <c r="E185" i="3"/>
  <c r="E225" i="3"/>
  <c r="E228" i="3"/>
  <c r="E229" i="3"/>
  <c r="E239" i="3"/>
  <c r="E254" i="3"/>
  <c r="E281" i="3"/>
  <c r="E321" i="3"/>
  <c r="E353" i="3"/>
  <c r="E418" i="3"/>
  <c r="E617" i="3"/>
  <c r="E658" i="3"/>
  <c r="E663" i="3"/>
  <c r="E693" i="3"/>
  <c r="E753" i="3"/>
  <c r="E755" i="3"/>
  <c r="E871" i="3"/>
  <c r="E913" i="3"/>
  <c r="E918" i="3"/>
  <c r="E960" i="3"/>
  <c r="E964" i="3"/>
  <c r="E972" i="3"/>
  <c r="E1152" i="3"/>
  <c r="E1183" i="3"/>
  <c r="E1187" i="3"/>
  <c r="E1197" i="3"/>
  <c r="E1237" i="3"/>
  <c r="E1283" i="3"/>
  <c r="E1286" i="3"/>
  <c r="E1290" i="3"/>
  <c r="E1305" i="3"/>
  <c r="E1384" i="3"/>
  <c r="E1390" i="3"/>
  <c r="E1458" i="3"/>
  <c r="E1459" i="3"/>
  <c r="E1530" i="3"/>
  <c r="E1543" i="3"/>
  <c r="E1631" i="3"/>
  <c r="E1633" i="3"/>
  <c r="E1643" i="3"/>
  <c r="E1660" i="3"/>
  <c r="E1677" i="3"/>
  <c r="E1868" i="3"/>
  <c r="E1869" i="3"/>
  <c r="E2007" i="3"/>
  <c r="E2015" i="3"/>
  <c r="E2041" i="3"/>
  <c r="E2139" i="3"/>
  <c r="E2155" i="3"/>
  <c r="E2231" i="3"/>
  <c r="E2247" i="3"/>
  <c r="E2251" i="3"/>
  <c r="E2371" i="3"/>
  <c r="E2403" i="3"/>
  <c r="E2529" i="3"/>
  <c r="E2631" i="3"/>
  <c r="E2645" i="3"/>
  <c r="E2648" i="3"/>
  <c r="E2671" i="3"/>
  <c r="E2689" i="3"/>
  <c r="E2731" i="3"/>
  <c r="E2753" i="3"/>
  <c r="E2769" i="3"/>
  <c r="E2787" i="3"/>
  <c r="E2791" i="3"/>
  <c r="E2808" i="3"/>
  <c r="E2818" i="3"/>
  <c r="E2828" i="3"/>
  <c r="E2849" i="3"/>
  <c r="E2890" i="3"/>
  <c r="E2961" i="3"/>
  <c r="E2972" i="3"/>
  <c r="E3015" i="3"/>
  <c r="E3031" i="3"/>
  <c r="E3051" i="3"/>
  <c r="E3080" i="3"/>
  <c r="E3181" i="3"/>
  <c r="E3272" i="3"/>
  <c r="E3283" i="3"/>
  <c r="E3297" i="3"/>
  <c r="E3305" i="3"/>
  <c r="E3309" i="3"/>
  <c r="E3453" i="3"/>
  <c r="E3493" i="3"/>
  <c r="E3497" i="3"/>
  <c r="E3531" i="3"/>
  <c r="E3550" i="3"/>
  <c r="E3557" i="3"/>
  <c r="E3577" i="3"/>
  <c r="E3588" i="3"/>
  <c r="E3598" i="3"/>
  <c r="E3718" i="3"/>
  <c r="E3729" i="3"/>
  <c r="E3812" i="3"/>
  <c r="E3903" i="3"/>
  <c r="E3979" i="3"/>
  <c r="E4146" i="3"/>
  <c r="E4183" i="3"/>
  <c r="E4196" i="3"/>
  <c r="E4206" i="3"/>
  <c r="E4247" i="3"/>
  <c r="E4277" i="3"/>
  <c r="E4284" i="3"/>
  <c r="E4295" i="3"/>
  <c r="E4361" i="3"/>
  <c r="E4419" i="3"/>
  <c r="E4476" i="3"/>
  <c r="E4482" i="3"/>
  <c r="E4490" i="3"/>
  <c r="E4526" i="3"/>
  <c r="E4612" i="3"/>
  <c r="E4621" i="3"/>
  <c r="E4630" i="3"/>
  <c r="E4666" i="3"/>
  <c r="E4683" i="3"/>
  <c r="E4741" i="3"/>
  <c r="E4775" i="3"/>
  <c r="E4813" i="3"/>
  <c r="E7" i="3"/>
  <c r="E10" i="3"/>
  <c r="E57" i="3"/>
  <c r="E81" i="3"/>
  <c r="E147" i="3"/>
  <c r="E157" i="3"/>
  <c r="E195" i="3"/>
  <c r="E203" i="3"/>
  <c r="E241" i="3"/>
  <c r="E299" i="3"/>
  <c r="E366" i="3"/>
  <c r="E374" i="3"/>
  <c r="E377" i="3"/>
  <c r="E391" i="3"/>
  <c r="E476" i="3"/>
  <c r="E487" i="3"/>
  <c r="E515" i="3"/>
  <c r="E584" i="3"/>
  <c r="E643" i="3"/>
  <c r="E708" i="3"/>
  <c r="E773" i="3"/>
  <c r="E849" i="3"/>
  <c r="E881" i="3"/>
  <c r="E889" i="3"/>
  <c r="E894" i="3"/>
  <c r="E895" i="3"/>
  <c r="E904" i="3"/>
  <c r="E957" i="3"/>
  <c r="E1012" i="3"/>
  <c r="E1071" i="3"/>
  <c r="E1099" i="3"/>
  <c r="E1110" i="3"/>
  <c r="E1153" i="3"/>
  <c r="E1168" i="3"/>
  <c r="E1169" i="3"/>
  <c r="E1189" i="3"/>
  <c r="E1200" i="3"/>
  <c r="E1205" i="3"/>
  <c r="E1218" i="3"/>
  <c r="E1221" i="3"/>
  <c r="E1223" i="3"/>
  <c r="E1246" i="3"/>
  <c r="E1255" i="3"/>
  <c r="E1381" i="3"/>
  <c r="E1391" i="3"/>
  <c r="E1442" i="3"/>
  <c r="E1475" i="3"/>
  <c r="E1501" i="3"/>
  <c r="E1519" i="3"/>
  <c r="E1529" i="3"/>
  <c r="E1534" i="3"/>
  <c r="E1542" i="3"/>
  <c r="E1552" i="3"/>
  <c r="E1640" i="3"/>
  <c r="E1658" i="3"/>
  <c r="E1766" i="3"/>
  <c r="E1783" i="3"/>
  <c r="E1801" i="3"/>
  <c r="E1830" i="3"/>
  <c r="E1833" i="3"/>
  <c r="E1902" i="3"/>
  <c r="E1904" i="3"/>
  <c r="E1921" i="3"/>
  <c r="E2026" i="3"/>
  <c r="E2141" i="3"/>
  <c r="E2152" i="3"/>
  <c r="E2173" i="3"/>
  <c r="E2180" i="3"/>
  <c r="E2198" i="3"/>
  <c r="E2249" i="3"/>
  <c r="E2256" i="3"/>
  <c r="E2259" i="3"/>
  <c r="E2267" i="3"/>
  <c r="E2299" i="3"/>
  <c r="E2325" i="3"/>
  <c r="E2347" i="3"/>
  <c r="E2357" i="3"/>
  <c r="E2368" i="3"/>
  <c r="E2460" i="3"/>
  <c r="E2465" i="3"/>
  <c r="E2476" i="3"/>
  <c r="E2485" i="3"/>
  <c r="E2522" i="3"/>
  <c r="E2553" i="3"/>
  <c r="E2560" i="3"/>
  <c r="E2562" i="3"/>
  <c r="E2563" i="3"/>
  <c r="E2587" i="3"/>
  <c r="E2633" i="3"/>
  <c r="E2686" i="3"/>
  <c r="E2725" i="3"/>
  <c r="E2750" i="3"/>
  <c r="E2776" i="3"/>
  <c r="E2815" i="3"/>
  <c r="E2905" i="3"/>
  <c r="E2909" i="3"/>
  <c r="E2983" i="3"/>
  <c r="E2987" i="3"/>
  <c r="E2990" i="3"/>
  <c r="E3048" i="3"/>
  <c r="E3071" i="3"/>
  <c r="E3158" i="3"/>
  <c r="E3182" i="3"/>
  <c r="E3238" i="3"/>
  <c r="E3261" i="3"/>
  <c r="E3275" i="3"/>
  <c r="E3317" i="3"/>
  <c r="E3329" i="3"/>
  <c r="E3331" i="3"/>
  <c r="E3336" i="3"/>
  <c r="E3389" i="3"/>
  <c r="E3413" i="3"/>
  <c r="E3489" i="3"/>
  <c r="E3523" i="3"/>
  <c r="E3560" i="3"/>
  <c r="E3603" i="3"/>
  <c r="E3615" i="3"/>
  <c r="E3618" i="3"/>
  <c r="E3713" i="3"/>
  <c r="E3760" i="3"/>
  <c r="E3803" i="3"/>
  <c r="E3817" i="3"/>
  <c r="E3887" i="3"/>
  <c r="E3944" i="3"/>
  <c r="E3958" i="3"/>
  <c r="E3978" i="3"/>
  <c r="E3997" i="3"/>
  <c r="E4038" i="3"/>
  <c r="E4056" i="3"/>
  <c r="E4137" i="3"/>
  <c r="E4148" i="3"/>
  <c r="E4204" i="3"/>
  <c r="E4259" i="3"/>
  <c r="E4260" i="3"/>
  <c r="E4351" i="3"/>
  <c r="E4383" i="3"/>
  <c r="E4391" i="3"/>
  <c r="E4417" i="3"/>
  <c r="E4428" i="3"/>
  <c r="E4431" i="3"/>
  <c r="E4454" i="3"/>
  <c r="E4468" i="3"/>
  <c r="E4471" i="3"/>
  <c r="E4528" i="3"/>
  <c r="E4540" i="3"/>
  <c r="E4545" i="3"/>
  <c r="E4624" i="3"/>
  <c r="E4648" i="3"/>
  <c r="E4685" i="3"/>
  <c r="E4698" i="3"/>
  <c r="E4714" i="3"/>
  <c r="E4725" i="3"/>
  <c r="E48" i="3"/>
  <c r="E401" i="3"/>
  <c r="E630" i="3"/>
  <c r="E637" i="3"/>
  <c r="E638" i="3"/>
  <c r="E645" i="3"/>
  <c r="E678" i="3"/>
  <c r="E736" i="3"/>
  <c r="E749" i="3"/>
  <c r="E886" i="3"/>
  <c r="E976" i="3"/>
  <c r="E1058" i="3"/>
  <c r="E1120" i="3"/>
  <c r="E1130" i="3"/>
  <c r="E1186" i="3"/>
  <c r="E1212" i="3"/>
  <c r="E1261" i="3"/>
  <c r="E1403" i="3"/>
  <c r="E1460" i="3"/>
  <c r="E1471" i="3"/>
  <c r="E1545" i="3"/>
  <c r="E1548" i="3"/>
  <c r="E1572" i="3"/>
  <c r="E1591" i="3"/>
  <c r="E1600" i="3"/>
  <c r="E1611" i="3"/>
  <c r="E1671" i="3"/>
  <c r="E1742" i="3"/>
  <c r="E1769" i="3"/>
  <c r="E1839" i="3"/>
  <c r="E1877" i="3"/>
  <c r="E1912" i="3"/>
  <c r="E1980" i="3"/>
  <c r="E1986" i="3"/>
  <c r="E1988" i="3"/>
  <c r="E2099" i="3"/>
  <c r="E2129" i="3"/>
  <c r="E2150" i="3"/>
  <c r="E2177" i="3"/>
  <c r="E2350" i="3"/>
  <c r="E2480" i="3"/>
  <c r="E2551" i="3"/>
  <c r="E2612" i="3"/>
  <c r="E2718" i="3"/>
  <c r="E2810" i="3"/>
  <c r="E2947" i="3"/>
  <c r="E2980" i="3"/>
  <c r="E2984" i="3"/>
  <c r="E2986" i="3"/>
  <c r="E2989" i="3"/>
  <c r="E3163" i="3"/>
  <c r="E3170" i="3"/>
  <c r="E3201" i="3"/>
  <c r="E3303" i="3"/>
  <c r="E3306" i="3"/>
  <c r="E3433" i="3"/>
  <c r="E3473" i="3"/>
  <c r="E3491" i="3"/>
  <c r="E3529" i="3"/>
  <c r="E3543" i="3"/>
  <c r="E3650" i="3"/>
  <c r="E3679" i="3"/>
  <c r="E3750" i="3"/>
  <c r="E3808" i="3"/>
  <c r="E3834" i="3"/>
  <c r="E3915" i="3"/>
  <c r="E4205" i="3"/>
  <c r="E4231" i="3"/>
  <c r="E4380" i="3"/>
  <c r="E4406" i="3"/>
  <c r="E4466" i="3"/>
  <c r="E4693" i="3"/>
  <c r="E4705" i="3"/>
  <c r="E4748" i="3"/>
  <c r="E4804" i="3"/>
  <c r="E2" i="3"/>
  <c r="E22" i="3"/>
  <c r="E26" i="3"/>
  <c r="E38" i="3"/>
  <c r="E58" i="3"/>
  <c r="E92" i="3"/>
  <c r="E137" i="3"/>
  <c r="E155" i="3"/>
  <c r="E162" i="3"/>
  <c r="E171" i="3"/>
  <c r="E177" i="3"/>
  <c r="E214" i="3"/>
  <c r="E233" i="3"/>
  <c r="E246" i="3"/>
  <c r="E259" i="3"/>
  <c r="E301" i="3"/>
  <c r="E319" i="3"/>
  <c r="E328" i="3"/>
  <c r="E333" i="3"/>
  <c r="E336" i="3"/>
  <c r="E350" i="3"/>
  <c r="E383" i="3"/>
  <c r="E400" i="3"/>
  <c r="E419" i="3"/>
  <c r="E423" i="3"/>
  <c r="E449" i="3"/>
  <c r="E501" i="3"/>
  <c r="E516" i="3"/>
  <c r="E535" i="3"/>
  <c r="E560" i="3"/>
  <c r="E577" i="3"/>
  <c r="E625" i="3"/>
  <c r="E627" i="3"/>
  <c r="E676" i="3"/>
  <c r="E719" i="3"/>
  <c r="E742" i="3"/>
  <c r="E744" i="3"/>
  <c r="E751" i="3"/>
  <c r="E754" i="3"/>
  <c r="E756" i="3"/>
  <c r="E786" i="3"/>
  <c r="E789" i="3"/>
  <c r="E810" i="3"/>
  <c r="E813" i="3"/>
  <c r="E814" i="3"/>
  <c r="E842" i="3"/>
  <c r="E872" i="3"/>
  <c r="E887" i="3"/>
  <c r="E924" i="3"/>
  <c r="E925" i="3"/>
  <c r="E934" i="3"/>
  <c r="E981" i="3"/>
  <c r="E1018" i="3"/>
  <c r="E1059" i="3"/>
  <c r="E1075" i="3"/>
  <c r="E1082" i="3"/>
  <c r="E1085" i="3"/>
  <c r="E1087" i="3"/>
  <c r="E1091" i="3"/>
  <c r="E1104" i="3"/>
  <c r="E1109" i="3"/>
  <c r="E1151" i="3"/>
  <c r="E1174" i="3"/>
  <c r="E1195" i="3"/>
  <c r="E1225" i="3"/>
  <c r="E1268" i="3"/>
  <c r="E1331" i="3"/>
  <c r="E1334" i="3"/>
  <c r="E1373" i="3"/>
  <c r="E1406" i="3"/>
  <c r="E1407" i="3"/>
  <c r="E1446" i="3"/>
  <c r="E1463" i="3"/>
  <c r="E1509" i="3"/>
  <c r="E1579" i="3"/>
  <c r="E1616" i="3"/>
  <c r="E1636" i="3"/>
  <c r="E1666" i="3"/>
  <c r="E1675" i="3"/>
  <c r="E1692" i="3"/>
  <c r="E1731" i="3"/>
  <c r="E1749" i="3"/>
  <c r="E1814" i="3"/>
  <c r="E1829" i="3"/>
  <c r="E1992" i="3"/>
  <c r="E2016" i="3"/>
  <c r="E2046" i="3"/>
  <c r="E2050" i="3"/>
  <c r="E2116" i="3"/>
  <c r="E2121" i="3"/>
  <c r="E2162" i="3"/>
  <c r="E2191" i="3"/>
  <c r="E2212" i="3"/>
  <c r="E2220" i="3"/>
  <c r="E2300" i="3"/>
  <c r="E2369" i="3"/>
  <c r="E2377" i="3"/>
  <c r="E2406" i="3"/>
  <c r="E2438" i="3"/>
  <c r="E2441" i="3"/>
  <c r="E2477" i="3"/>
  <c r="E2554" i="3"/>
  <c r="E2558" i="3"/>
  <c r="E2577" i="3"/>
  <c r="E2622" i="3"/>
  <c r="E2661" i="3"/>
  <c r="E2673" i="3"/>
  <c r="E2683" i="3"/>
  <c r="E2704" i="3"/>
  <c r="E2747" i="3"/>
  <c r="E2794" i="3"/>
  <c r="E2821" i="3"/>
  <c r="E2841" i="3"/>
  <c r="E2877" i="3"/>
  <c r="E2879" i="3"/>
  <c r="E2888" i="3"/>
  <c r="E2889" i="3"/>
  <c r="E2891" i="3"/>
  <c r="E2912" i="3"/>
  <c r="E2933" i="3"/>
  <c r="E2937" i="3"/>
  <c r="E2952" i="3"/>
  <c r="E2996" i="3"/>
  <c r="E3003" i="3"/>
  <c r="E3016" i="3"/>
  <c r="E3017" i="3"/>
  <c r="E3040" i="3"/>
  <c r="E3043" i="3"/>
  <c r="E3059" i="3"/>
  <c r="E3099" i="3"/>
  <c r="E3142" i="3"/>
  <c r="E3233" i="3"/>
  <c r="E3235" i="3"/>
  <c r="E3237" i="3"/>
  <c r="E3240" i="3"/>
  <c r="E3271" i="3"/>
  <c r="E3337" i="3"/>
  <c r="E3340" i="3"/>
  <c r="E3385" i="3"/>
  <c r="E3441" i="3"/>
  <c r="E3459" i="3"/>
  <c r="E3461" i="3"/>
  <c r="E3485" i="3"/>
  <c r="E3517" i="3"/>
  <c r="E3541" i="3"/>
  <c r="E3563" i="3"/>
  <c r="E3568" i="3"/>
  <c r="E3610" i="3"/>
  <c r="E3619" i="3"/>
  <c r="E3634" i="3"/>
  <c r="E3663" i="3"/>
  <c r="E3680" i="3"/>
  <c r="E3689" i="3"/>
  <c r="E3822" i="3"/>
  <c r="E3829" i="3"/>
  <c r="E3845" i="3"/>
  <c r="E3859" i="3"/>
  <c r="E3861" i="3"/>
  <c r="E3921" i="3"/>
  <c r="E3936" i="3"/>
  <c r="E3937" i="3"/>
  <c r="E3947" i="3"/>
  <c r="E3959" i="3"/>
  <c r="E4128" i="3"/>
  <c r="E4172" i="3"/>
  <c r="E4193" i="3"/>
  <c r="E4213" i="3"/>
  <c r="E4282" i="3"/>
  <c r="E4379" i="3"/>
  <c r="E4472" i="3"/>
  <c r="E4525" i="3"/>
  <c r="E4562" i="3"/>
  <c r="E4573" i="3"/>
  <c r="E4625" i="3"/>
  <c r="E4651" i="3"/>
  <c r="E4697" i="3"/>
  <c r="E4729" i="3"/>
  <c r="E4736" i="3"/>
  <c r="E4798" i="3"/>
  <c r="E4830" i="3"/>
  <c r="E323" i="3"/>
  <c r="E526" i="3"/>
  <c r="E1423" i="3"/>
  <c r="E2166" i="3"/>
  <c r="E2186" i="3"/>
  <c r="E2344" i="3"/>
  <c r="E2799" i="3"/>
  <c r="E2931" i="3"/>
  <c r="E3058" i="3"/>
  <c r="E3710" i="3"/>
  <c r="E4134" i="3"/>
  <c r="E4167" i="3"/>
  <c r="E4208" i="3"/>
  <c r="E4682" i="3"/>
  <c r="E1315" i="3"/>
  <c r="E2210" i="3"/>
  <c r="E2222" i="3"/>
  <c r="E2394" i="3"/>
  <c r="E2418" i="3"/>
  <c r="E3469" i="3"/>
  <c r="E3824" i="3"/>
  <c r="E4484" i="3"/>
  <c r="E4733" i="3"/>
  <c r="E4825" i="3"/>
  <c r="E86" i="3"/>
  <c r="E235" i="3"/>
  <c r="E280" i="3"/>
  <c r="E289" i="3"/>
  <c r="E331" i="3"/>
  <c r="E351" i="3"/>
  <c r="E497" i="3"/>
  <c r="E505" i="3"/>
  <c r="E520" i="3"/>
  <c r="E521" i="3"/>
  <c r="E653" i="3"/>
  <c r="E673" i="3"/>
  <c r="E696" i="3"/>
  <c r="E702" i="3"/>
  <c r="E812" i="3"/>
  <c r="E829" i="3"/>
  <c r="E965" i="3"/>
  <c r="E978" i="3"/>
  <c r="E1045" i="3"/>
  <c r="E1064" i="3"/>
  <c r="E1118" i="3"/>
  <c r="E1249" i="3"/>
  <c r="E1325" i="3"/>
  <c r="E1363" i="3"/>
  <c r="E1493" i="3"/>
  <c r="E1504" i="3"/>
  <c r="E1517" i="3"/>
  <c r="E1532" i="3"/>
  <c r="E1607" i="3"/>
  <c r="E1707" i="3"/>
  <c r="E1757" i="3"/>
  <c r="E1805" i="3"/>
  <c r="E2003" i="3"/>
  <c r="E2043" i="3"/>
  <c r="E2095" i="3"/>
  <c r="E2271" i="3"/>
  <c r="E2290" i="3"/>
  <c r="E2340" i="3"/>
  <c r="E2341" i="3"/>
  <c r="E2423" i="3"/>
  <c r="E2484" i="3"/>
  <c r="E2506" i="3"/>
  <c r="E2544" i="3"/>
  <c r="E2572" i="3"/>
  <c r="E2603" i="3"/>
  <c r="E2638" i="3"/>
  <c r="E2716" i="3"/>
  <c r="E2744" i="3"/>
  <c r="E2836" i="3"/>
  <c r="E2919" i="3"/>
  <c r="E2927" i="3"/>
  <c r="E2928" i="3"/>
  <c r="E2994" i="3"/>
  <c r="E3041" i="3"/>
  <c r="E3096" i="3"/>
  <c r="E3104" i="3"/>
  <c r="E3108" i="3"/>
  <c r="E3123" i="3"/>
  <c r="E3126" i="3"/>
  <c r="E3167" i="3"/>
  <c r="E3179" i="3"/>
  <c r="E3292" i="3"/>
  <c r="E3333" i="3"/>
  <c r="E3344" i="3"/>
  <c r="E3393" i="3"/>
  <c r="E3399" i="3"/>
  <c r="E3435" i="3"/>
  <c r="E3530" i="3"/>
  <c r="E3558" i="3"/>
  <c r="E3564" i="3"/>
  <c r="E3678" i="3"/>
  <c r="E3720" i="3"/>
  <c r="E3723" i="3"/>
  <c r="E3725" i="3"/>
  <c r="E3736" i="3"/>
  <c r="E3811" i="3"/>
  <c r="E3821" i="3"/>
  <c r="E3869" i="3"/>
  <c r="E3966" i="3"/>
  <c r="E4033" i="3"/>
  <c r="E4141" i="3"/>
  <c r="E4157" i="3"/>
  <c r="E4165" i="3"/>
  <c r="E4198" i="3"/>
  <c r="E4202" i="3"/>
  <c r="E4309" i="3"/>
  <c r="E4319" i="3"/>
  <c r="E4339" i="3"/>
  <c r="E4421" i="3"/>
  <c r="E4443" i="3"/>
  <c r="E4558" i="3"/>
  <c r="E4708" i="3"/>
  <c r="E4709" i="3"/>
  <c r="E4759" i="3"/>
  <c r="E4766" i="3"/>
  <c r="E4784" i="3"/>
  <c r="E62" i="3"/>
  <c r="E66" i="3"/>
  <c r="E113" i="3"/>
  <c r="E164" i="3"/>
  <c r="E169" i="3"/>
  <c r="E213" i="3"/>
  <c r="E231" i="3"/>
  <c r="E382" i="3"/>
  <c r="E387" i="3"/>
  <c r="E525" i="3"/>
  <c r="E534" i="3"/>
  <c r="E536" i="3"/>
  <c r="E583" i="3"/>
  <c r="E615" i="3"/>
  <c r="E722" i="3"/>
  <c r="E745" i="3"/>
  <c r="E787" i="3"/>
  <c r="E799" i="3"/>
  <c r="E817" i="3"/>
  <c r="E832" i="3"/>
  <c r="E1001" i="3"/>
  <c r="E1021" i="3"/>
  <c r="E1049" i="3"/>
  <c r="E1083" i="3"/>
  <c r="E1191" i="3"/>
  <c r="E1243" i="3"/>
  <c r="E1260" i="3"/>
  <c r="E1287" i="3"/>
  <c r="E1292" i="3"/>
  <c r="E1299" i="3"/>
  <c r="E1302" i="3"/>
  <c r="E1304" i="3"/>
  <c r="E1327" i="3"/>
  <c r="E1448" i="3"/>
  <c r="E1455" i="3"/>
  <c r="E1487" i="3"/>
  <c r="E1510" i="3"/>
  <c r="E1553" i="3"/>
  <c r="E1559" i="3"/>
  <c r="E1570" i="3"/>
  <c r="E1601" i="3"/>
  <c r="E1632" i="3"/>
  <c r="E1638" i="3"/>
  <c r="E1751" i="3"/>
  <c r="E1754" i="3"/>
  <c r="E1755" i="3"/>
  <c r="E1923" i="3"/>
  <c r="E2018" i="3"/>
  <c r="E2025" i="3"/>
  <c r="E2033" i="3"/>
  <c r="E2119" i="3"/>
  <c r="E2156" i="3"/>
  <c r="E2165" i="3"/>
  <c r="E2184" i="3"/>
  <c r="E2188" i="3"/>
  <c r="E2217" i="3"/>
  <c r="E2238" i="3"/>
  <c r="E2318" i="3"/>
  <c r="E2324" i="3"/>
  <c r="E2431" i="3"/>
  <c r="E2432" i="3"/>
  <c r="E2448" i="3"/>
  <c r="E2458" i="3"/>
  <c r="E2509" i="3"/>
  <c r="E2523" i="3"/>
  <c r="E2540" i="3"/>
  <c r="E2571" i="3"/>
  <c r="E2647" i="3"/>
  <c r="E2655" i="3"/>
  <c r="E2695" i="3"/>
  <c r="E2864" i="3"/>
  <c r="E2874" i="3"/>
  <c r="E2881" i="3"/>
  <c r="E2893" i="3"/>
  <c r="E2899" i="3"/>
  <c r="E2930" i="3"/>
  <c r="E2999" i="3"/>
  <c r="E3021" i="3"/>
  <c r="E3078" i="3"/>
  <c r="E3135" i="3"/>
  <c r="E3213" i="3"/>
  <c r="E3273" i="3"/>
  <c r="E3286" i="3"/>
  <c r="E3310" i="3"/>
  <c r="E3327" i="3"/>
  <c r="E3347" i="3"/>
  <c r="E3439" i="3"/>
  <c r="E3511" i="3"/>
  <c r="E3613" i="3"/>
  <c r="E3614" i="3"/>
  <c r="E3669" i="3"/>
  <c r="E3784" i="3"/>
  <c r="E3809" i="3"/>
  <c r="E3866" i="3"/>
  <c r="E3923" i="3"/>
  <c r="E3999" i="3"/>
  <c r="E4022" i="3"/>
  <c r="E4032" i="3"/>
  <c r="E4135" i="3"/>
  <c r="E4140" i="3"/>
  <c r="E4145" i="3"/>
  <c r="E4158" i="3"/>
  <c r="E4194" i="3"/>
  <c r="E4210" i="3"/>
  <c r="E4211" i="3"/>
  <c r="E4223" i="3"/>
  <c r="E4302" i="3"/>
  <c r="E4375" i="3"/>
  <c r="E4376" i="3"/>
  <c r="E4416" i="3"/>
  <c r="E4670" i="3"/>
  <c r="E4675" i="3"/>
  <c r="E4726" i="3"/>
  <c r="E4815" i="3"/>
  <c r="E14" i="3"/>
  <c r="E65" i="3"/>
  <c r="E67" i="3"/>
  <c r="E75" i="3"/>
  <c r="E82" i="3"/>
  <c r="E115" i="3"/>
  <c r="E118" i="3"/>
  <c r="E148" i="3"/>
  <c r="E151" i="3"/>
  <c r="E175" i="3"/>
  <c r="E178" i="3"/>
  <c r="E181" i="3"/>
  <c r="E204" i="3"/>
  <c r="E294" i="3"/>
  <c r="E394" i="3"/>
  <c r="E408" i="3"/>
  <c r="E454" i="3"/>
  <c r="E474" i="3"/>
  <c r="E485" i="3"/>
  <c r="E488" i="3"/>
  <c r="E490" i="3"/>
  <c r="E493" i="3"/>
  <c r="E544" i="3"/>
  <c r="E556" i="3"/>
  <c r="E571" i="3"/>
  <c r="E574" i="3"/>
  <c r="E576" i="3"/>
  <c r="E579" i="3"/>
  <c r="E608" i="3"/>
  <c r="E629" i="3"/>
  <c r="E650" i="3"/>
  <c r="E674" i="3"/>
  <c r="E677" i="3"/>
  <c r="E779" i="3"/>
  <c r="E796" i="3"/>
  <c r="E826" i="3"/>
  <c r="E847" i="3"/>
  <c r="E869" i="3"/>
  <c r="E899" i="3"/>
  <c r="E926" i="3"/>
  <c r="E930" i="3"/>
  <c r="E942" i="3"/>
  <c r="E947" i="3"/>
  <c r="E953" i="3"/>
  <c r="E956" i="3"/>
  <c r="E967" i="3"/>
  <c r="E971" i="3"/>
  <c r="E982" i="3"/>
  <c r="E991" i="3"/>
  <c r="E1031" i="3"/>
  <c r="E1037" i="3"/>
  <c r="E1042" i="3"/>
  <c r="E1063" i="3"/>
  <c r="E1105" i="3"/>
  <c r="E1119" i="3"/>
  <c r="E1134" i="3"/>
  <c r="E1177" i="3"/>
  <c r="E1192" i="3"/>
  <c r="E1194" i="3"/>
  <c r="E1219" i="3"/>
  <c r="E1285" i="3"/>
  <c r="E1314" i="3"/>
  <c r="E1355" i="3"/>
  <c r="E1415" i="3"/>
  <c r="E1435" i="3"/>
  <c r="E1436" i="3"/>
  <c r="E1466" i="3"/>
  <c r="E1498" i="3"/>
  <c r="E1508" i="3"/>
  <c r="E1511" i="3"/>
  <c r="E1566" i="3"/>
  <c r="E1574" i="3"/>
  <c r="E1580" i="3"/>
  <c r="E1589" i="3"/>
  <c r="E1642" i="3"/>
  <c r="E1655" i="3"/>
  <c r="E1682" i="3"/>
  <c r="E1685" i="3"/>
  <c r="E1694" i="3"/>
  <c r="E1710" i="3"/>
  <c r="E1714" i="3"/>
  <c r="E1726" i="3"/>
  <c r="E1727" i="3"/>
  <c r="E1732" i="3"/>
  <c r="E1768" i="3"/>
  <c r="E1825" i="3"/>
  <c r="E1915" i="3"/>
  <c r="E1933" i="3"/>
  <c r="E1954" i="3"/>
  <c r="E1956" i="3"/>
  <c r="E1970" i="3"/>
  <c r="E1977" i="3"/>
  <c r="E1985" i="3"/>
  <c r="E2028" i="3"/>
  <c r="E2029" i="3"/>
  <c r="E2038" i="3"/>
  <c r="E2052" i="3"/>
  <c r="E2063" i="3"/>
  <c r="E2072" i="3"/>
  <c r="E2107" i="3"/>
  <c r="E2181" i="3"/>
  <c r="E2226" i="3"/>
  <c r="E2239" i="3"/>
  <c r="E2302" i="3"/>
  <c r="E2310" i="3"/>
  <c r="E2392" i="3"/>
  <c r="E2414" i="3"/>
  <c r="E2443" i="3"/>
  <c r="E2467" i="3"/>
  <c r="E2486" i="3"/>
  <c r="E2494" i="3"/>
  <c r="E2496" i="3"/>
  <c r="E2502" i="3"/>
  <c r="E2552" i="3"/>
  <c r="E2564" i="3"/>
  <c r="E2578" i="3"/>
  <c r="E2584" i="3"/>
  <c r="E2585" i="3"/>
  <c r="E2606" i="3"/>
  <c r="E2609" i="3"/>
  <c r="E2698" i="3"/>
  <c r="E2699" i="3"/>
  <c r="E2758" i="3"/>
  <c r="E2805" i="3"/>
  <c r="E2824" i="3"/>
  <c r="E2826" i="3"/>
  <c r="E2840" i="3"/>
  <c r="E2857" i="3"/>
  <c r="E2866" i="3"/>
  <c r="E2908" i="3"/>
  <c r="E3008" i="3"/>
  <c r="E3012" i="3"/>
  <c r="E3028" i="3"/>
  <c r="E3056" i="3"/>
  <c r="E3128" i="3"/>
  <c r="E3145" i="3"/>
  <c r="E3147" i="3"/>
  <c r="E3162" i="3"/>
  <c r="E3268" i="3"/>
  <c r="E3280" i="3"/>
  <c r="E3324" i="3"/>
  <c r="E3362" i="3"/>
  <c r="E3366" i="3"/>
  <c r="E3432" i="3"/>
  <c r="E3440" i="3"/>
  <c r="E3444" i="3"/>
  <c r="E3451" i="3"/>
  <c r="E3484" i="3"/>
  <c r="E3512" i="3"/>
  <c r="E3589" i="3"/>
  <c r="E3599" i="3"/>
  <c r="E3601" i="3"/>
  <c r="E3629" i="3"/>
  <c r="E3666" i="3"/>
  <c r="E3671" i="3"/>
  <c r="E3674" i="3"/>
  <c r="E3682" i="3"/>
  <c r="E3761" i="3"/>
  <c r="E3768" i="3"/>
  <c r="E3793" i="3"/>
  <c r="E3874" i="3"/>
  <c r="E3920" i="3"/>
  <c r="E3922" i="3"/>
  <c r="E3963" i="3"/>
  <c r="E3987" i="3"/>
  <c r="E4133" i="3"/>
  <c r="E4142" i="3"/>
  <c r="E4154" i="3"/>
  <c r="E4169" i="3"/>
  <c r="E4187" i="3"/>
  <c r="E4191" i="3"/>
  <c r="E4215" i="3"/>
  <c r="E4235" i="3"/>
  <c r="E4248" i="3"/>
  <c r="E4377" i="3"/>
  <c r="E4529" i="3"/>
  <c r="E4587" i="3"/>
  <c r="E4591" i="3"/>
  <c r="E4606" i="3"/>
  <c r="E4615" i="3"/>
  <c r="E4626" i="3"/>
  <c r="E4628" i="3"/>
  <c r="E4632" i="3"/>
  <c r="E4747" i="3"/>
  <c r="E4792" i="3"/>
  <c r="E4814" i="3"/>
  <c r="E4832" i="3"/>
  <c r="E11" i="3"/>
  <c r="E12" i="3"/>
  <c r="E30" i="3"/>
  <c r="E168" i="3"/>
  <c r="E170" i="3"/>
  <c r="E172" i="3"/>
  <c r="E236" i="3"/>
  <c r="E257" i="3"/>
  <c r="E305" i="3"/>
  <c r="E308" i="3"/>
  <c r="E324" i="3"/>
  <c r="E424" i="3"/>
  <c r="E507" i="3"/>
  <c r="E522" i="3"/>
  <c r="E557" i="3"/>
  <c r="E572" i="3"/>
  <c r="E600" i="3"/>
  <c r="E601" i="3"/>
  <c r="E610" i="3"/>
  <c r="E618" i="3"/>
  <c r="E635" i="3"/>
  <c r="E671" i="3"/>
  <c r="E691" i="3"/>
  <c r="E695" i="3"/>
  <c r="E748" i="3"/>
  <c r="E767" i="3"/>
  <c r="E775" i="3"/>
  <c r="E824" i="3"/>
  <c r="E856" i="3"/>
  <c r="E865" i="3"/>
  <c r="E921" i="3"/>
  <c r="E944" i="3"/>
  <c r="E970" i="3"/>
  <c r="E994" i="3"/>
  <c r="E1008" i="3"/>
  <c r="E1027" i="3"/>
  <c r="E1122" i="3"/>
  <c r="E1141" i="3"/>
  <c r="E1144" i="3"/>
  <c r="E1158" i="3"/>
  <c r="E1227" i="3"/>
  <c r="E1228" i="3"/>
  <c r="E1233" i="3"/>
  <c r="E1235" i="3"/>
  <c r="E1247" i="3"/>
  <c r="E1250" i="3"/>
  <c r="E1262" i="3"/>
  <c r="E1367" i="3"/>
  <c r="E1372" i="3"/>
  <c r="E1389" i="3"/>
  <c r="E1422" i="3"/>
  <c r="E1452" i="3"/>
  <c r="E1494" i="3"/>
  <c r="E1584" i="3"/>
  <c r="E1595" i="3"/>
  <c r="E1614" i="3"/>
  <c r="E1620" i="3"/>
  <c r="E1647" i="3"/>
  <c r="E1649" i="3"/>
  <c r="E1759" i="3"/>
  <c r="E1767" i="3"/>
  <c r="E1837" i="3"/>
  <c r="E1847" i="3"/>
  <c r="E1870" i="3"/>
  <c r="E1946" i="3"/>
  <c r="E1951" i="3"/>
  <c r="E1979" i="3"/>
  <c r="E2010" i="3"/>
  <c r="E2032" i="3"/>
  <c r="E2071" i="3"/>
  <c r="E2100" i="3"/>
  <c r="E2110" i="3"/>
  <c r="E2114" i="3"/>
  <c r="E2211" i="3"/>
  <c r="E2248" i="3"/>
  <c r="E2254" i="3"/>
  <c r="E2301" i="3"/>
  <c r="E2370" i="3"/>
  <c r="E2397" i="3"/>
  <c r="E2405" i="3"/>
  <c r="E2416" i="3"/>
  <c r="E2445" i="3"/>
  <c r="E2473" i="3"/>
  <c r="E2537" i="3"/>
  <c r="E2539" i="3"/>
  <c r="E2556" i="3"/>
  <c r="E2580" i="3"/>
  <c r="E2678" i="3"/>
  <c r="E2679" i="3"/>
  <c r="E2696" i="3"/>
  <c r="E2712" i="3"/>
  <c r="E2748" i="3"/>
  <c r="E2785" i="3"/>
  <c r="E2837" i="3"/>
  <c r="E2858" i="3"/>
  <c r="E2902" i="3"/>
  <c r="E2922" i="3"/>
  <c r="E2951" i="3"/>
  <c r="E3038" i="3"/>
  <c r="E3060" i="3"/>
  <c r="E3074" i="3"/>
  <c r="E3083" i="3"/>
  <c r="E3085" i="3"/>
  <c r="E3086" i="3"/>
  <c r="E3150" i="3"/>
  <c r="E3166" i="3"/>
  <c r="E3229" i="3"/>
  <c r="E3232" i="3"/>
  <c r="E3241" i="3"/>
  <c r="E3246" i="3"/>
  <c r="E3263" i="3"/>
  <c r="E3277" i="3"/>
  <c r="E3287" i="3"/>
  <c r="E3289" i="3"/>
  <c r="E3318" i="3"/>
  <c r="E3323" i="3"/>
  <c r="E3357" i="3"/>
  <c r="E3403" i="3"/>
  <c r="E3406" i="3"/>
  <c r="E3422" i="3"/>
  <c r="E3437" i="3"/>
  <c r="E3478" i="3"/>
  <c r="E3479" i="3"/>
  <c r="E3552" i="3"/>
  <c r="E3556" i="3"/>
  <c r="E3600" i="3"/>
  <c r="E3633" i="3"/>
  <c r="E3677" i="3"/>
  <c r="E3730" i="3"/>
  <c r="E3733" i="3"/>
  <c r="E3749" i="3"/>
  <c r="E3765" i="3"/>
  <c r="E3770" i="3"/>
  <c r="E3775" i="3"/>
  <c r="E3789" i="3"/>
  <c r="E3794" i="3"/>
  <c r="E3882" i="3"/>
  <c r="E3889" i="3"/>
  <c r="E3908" i="3"/>
  <c r="E3925" i="3"/>
  <c r="E3929" i="3"/>
  <c r="E3981" i="3"/>
  <c r="E3983" i="3"/>
  <c r="E4015" i="3"/>
  <c r="E4061" i="3"/>
  <c r="E4111" i="3"/>
  <c r="E4176" i="3"/>
  <c r="E4181" i="3"/>
  <c r="E4222" i="3"/>
  <c r="E4224" i="3"/>
  <c r="E4241" i="3"/>
  <c r="E4251" i="3"/>
  <c r="E4311" i="3"/>
  <c r="E4395" i="3"/>
  <c r="E4398" i="3"/>
  <c r="E4511" i="3"/>
  <c r="E4596" i="3"/>
  <c r="E4636" i="3"/>
  <c r="E4667" i="3"/>
  <c r="E4668" i="3"/>
  <c r="E4679" i="3"/>
  <c r="E4686" i="3"/>
  <c r="E4687" i="3"/>
  <c r="E4701" i="3"/>
  <c r="E4716" i="3"/>
  <c r="E4756" i="3"/>
  <c r="E4761" i="3"/>
  <c r="E4781" i="3"/>
  <c r="E4786" i="3"/>
  <c r="E70" i="3"/>
  <c r="E73" i="3"/>
  <c r="E180" i="3"/>
  <c r="E216" i="3"/>
  <c r="E222" i="3"/>
  <c r="E296" i="3"/>
  <c r="E300" i="3"/>
  <c r="E330" i="3"/>
  <c r="E338" i="3"/>
  <c r="E458" i="3"/>
  <c r="E518" i="3"/>
  <c r="E533" i="3"/>
  <c r="E679" i="3"/>
  <c r="E758" i="3"/>
  <c r="E768" i="3"/>
  <c r="E792" i="3"/>
  <c r="E863" i="3"/>
  <c r="E880" i="3"/>
  <c r="E891" i="3"/>
  <c r="E1024" i="3"/>
  <c r="E1036" i="3"/>
  <c r="E1156" i="3"/>
  <c r="E1163" i="3"/>
  <c r="E1239" i="3"/>
  <c r="E1303" i="3"/>
  <c r="E1364" i="3"/>
  <c r="E1408" i="3"/>
  <c r="E1428" i="3"/>
  <c r="E1708" i="3"/>
  <c r="E1906" i="3"/>
  <c r="E1950" i="3"/>
  <c r="E2051" i="3"/>
  <c r="E2065" i="3"/>
  <c r="E2098" i="3"/>
  <c r="E2329" i="3"/>
  <c r="E2413" i="3"/>
  <c r="E2433" i="3"/>
  <c r="E2490" i="3"/>
  <c r="E2602" i="3"/>
  <c r="E2642" i="3"/>
  <c r="E2688" i="3"/>
  <c r="E2854" i="3"/>
  <c r="E2920" i="3"/>
  <c r="E2935" i="3"/>
  <c r="E3026" i="3"/>
  <c r="E3244" i="3"/>
  <c r="E3251" i="3"/>
  <c r="E3260" i="3"/>
  <c r="E3319" i="3"/>
  <c r="E3360" i="3"/>
  <c r="E3392" i="3"/>
  <c r="E3464" i="3"/>
  <c r="E3503" i="3"/>
  <c r="E3542" i="3"/>
  <c r="E3545" i="3"/>
  <c r="E3548" i="3"/>
  <c r="E3645" i="3"/>
  <c r="E3670" i="3"/>
  <c r="E3699" i="3"/>
  <c r="E3795" i="3"/>
  <c r="E3893" i="3"/>
  <c r="E3938" i="3"/>
  <c r="E3972" i="3"/>
  <c r="E4041" i="3"/>
  <c r="E4125" i="3"/>
  <c r="E4209" i="3"/>
  <c r="E4334" i="3"/>
  <c r="E4470" i="3"/>
  <c r="E4513" i="3"/>
  <c r="E4578" i="3"/>
  <c r="E4579" i="3"/>
  <c r="E4681" i="3"/>
  <c r="E4757" i="3"/>
  <c r="E4769" i="3"/>
  <c r="E15" i="3"/>
  <c r="E42" i="3"/>
  <c r="E45" i="3"/>
  <c r="E220" i="3"/>
  <c r="E221" i="3"/>
  <c r="E224" i="3"/>
  <c r="E275" i="3"/>
  <c r="E290" i="3"/>
  <c r="E315" i="3"/>
  <c r="E405" i="3"/>
  <c r="E420" i="3"/>
  <c r="E421" i="3"/>
  <c r="E461" i="3"/>
  <c r="E466" i="3"/>
  <c r="E480" i="3"/>
  <c r="E492" i="3"/>
  <c r="E513" i="3"/>
  <c r="E530" i="3"/>
  <c r="E570" i="3"/>
  <c r="E588" i="3"/>
  <c r="E649" i="3"/>
  <c r="E659" i="3"/>
  <c r="E667" i="3"/>
  <c r="E690" i="3"/>
  <c r="E705" i="3"/>
  <c r="E777" i="3"/>
  <c r="E843" i="3"/>
  <c r="E882" i="3"/>
  <c r="E900" i="3"/>
  <c r="E902" i="3"/>
  <c r="E909" i="3"/>
  <c r="E933" i="3"/>
  <c r="E938" i="3"/>
  <c r="E945" i="3"/>
  <c r="E980" i="3"/>
  <c r="E990" i="3"/>
  <c r="E1002" i="3"/>
  <c r="E1016" i="3"/>
  <c r="E1026" i="3"/>
  <c r="E1060" i="3"/>
  <c r="E1076" i="3"/>
  <c r="E1094" i="3"/>
  <c r="E1139" i="3"/>
  <c r="E1184" i="3"/>
  <c r="E1273" i="3"/>
  <c r="E1379" i="3"/>
  <c r="E1400" i="3"/>
  <c r="E1409" i="3"/>
  <c r="E1434" i="3"/>
  <c r="E1470" i="3"/>
  <c r="E1617" i="3"/>
  <c r="E1637" i="3"/>
  <c r="E1721" i="3"/>
  <c r="E1763" i="3"/>
  <c r="E1791" i="3"/>
  <c r="E1800" i="3"/>
  <c r="E1917" i="3"/>
  <c r="E1922" i="3"/>
  <c r="E1926" i="3"/>
  <c r="E2034" i="3"/>
  <c r="E2035" i="3"/>
  <c r="E2161" i="3"/>
  <c r="E2223" i="3"/>
  <c r="E2225" i="3"/>
  <c r="E2291" i="3"/>
  <c r="E2293" i="3"/>
  <c r="E2306" i="3"/>
  <c r="E2317" i="3"/>
  <c r="E2336" i="3"/>
  <c r="E2366" i="3"/>
  <c r="E2399" i="3"/>
  <c r="E2407" i="3"/>
  <c r="E2447" i="3"/>
  <c r="E2451" i="3"/>
  <c r="E2482" i="3"/>
  <c r="E2489" i="3"/>
  <c r="E2511" i="3"/>
  <c r="E2515" i="3"/>
  <c r="E2610" i="3"/>
  <c r="E2636" i="3"/>
  <c r="E2643" i="3"/>
  <c r="E2650" i="3"/>
  <c r="E2710" i="3"/>
  <c r="E2774" i="3"/>
  <c r="E2839" i="3"/>
  <c r="E2867" i="3"/>
  <c r="E2886" i="3"/>
  <c r="E2895" i="3"/>
  <c r="E2898" i="3"/>
  <c r="E2942" i="3"/>
  <c r="E2956" i="3"/>
  <c r="E2960" i="3"/>
  <c r="E3005" i="3"/>
  <c r="E3054" i="3"/>
  <c r="E3076" i="3"/>
  <c r="E3095" i="3"/>
  <c r="E3113" i="3"/>
  <c r="E3159" i="3"/>
  <c r="E3168" i="3"/>
  <c r="E3215" i="3"/>
  <c r="E3222" i="3"/>
  <c r="E3248" i="3"/>
  <c r="E3307" i="3"/>
  <c r="E3353" i="3"/>
  <c r="E3370" i="3"/>
  <c r="E3394" i="3"/>
  <c r="E3423" i="3"/>
  <c r="E3425" i="3"/>
  <c r="E3465" i="3"/>
  <c r="E3510" i="3"/>
  <c r="E3539" i="3"/>
  <c r="E3584" i="3"/>
  <c r="E3587" i="3"/>
  <c r="E3591" i="3"/>
  <c r="E3630" i="3"/>
  <c r="E3644" i="3"/>
  <c r="E3654" i="3"/>
  <c r="E3676" i="3"/>
  <c r="E3776" i="3"/>
  <c r="E3804" i="3"/>
  <c r="E3831" i="3"/>
  <c r="E3962" i="3"/>
  <c r="E4051" i="3"/>
  <c r="E4052" i="3"/>
  <c r="E4062" i="3"/>
  <c r="E4075" i="3"/>
  <c r="E4085" i="3"/>
  <c r="E4095" i="3"/>
  <c r="E4159" i="3"/>
  <c r="E4160" i="3"/>
  <c r="E4170" i="3"/>
  <c r="E4264" i="3"/>
  <c r="E4271" i="3"/>
  <c r="E4427" i="3"/>
  <c r="E4435" i="3"/>
  <c r="E4450" i="3"/>
  <c r="E4451" i="3"/>
  <c r="E4547" i="3"/>
  <c r="E4567" i="3"/>
  <c r="E4580" i="3"/>
  <c r="E4641" i="3"/>
  <c r="E4745" i="3"/>
  <c r="E4764" i="3"/>
  <c r="E4790" i="3"/>
  <c r="E4808" i="3"/>
  <c r="E4817" i="3"/>
  <c r="E3" i="3"/>
  <c r="E61" i="3"/>
  <c r="E135" i="3"/>
  <c r="E190" i="3"/>
  <c r="E261" i="3"/>
  <c r="E264" i="3"/>
  <c r="E426" i="3"/>
  <c r="E486" i="3"/>
  <c r="E537" i="3"/>
  <c r="E542" i="3"/>
  <c r="E606" i="3"/>
  <c r="E613" i="3"/>
  <c r="E633" i="3"/>
  <c r="E634" i="3"/>
  <c r="E654" i="3"/>
  <c r="E672" i="3"/>
  <c r="E698" i="3"/>
  <c r="E712" i="3"/>
  <c r="E726" i="3"/>
  <c r="E730" i="3"/>
  <c r="E766" i="3"/>
  <c r="E798" i="3"/>
  <c r="E804" i="3"/>
  <c r="E838" i="3"/>
  <c r="E840" i="3"/>
  <c r="E1011" i="3"/>
  <c r="E1149" i="3"/>
  <c r="E1350" i="3"/>
  <c r="E1429" i="3"/>
  <c r="E1522" i="3"/>
  <c r="E1549" i="3"/>
  <c r="E1746" i="3"/>
  <c r="E1948" i="3"/>
  <c r="E1991" i="3"/>
  <c r="E2048" i="3"/>
  <c r="E2170" i="3"/>
  <c r="E2197" i="3"/>
  <c r="E2278" i="3"/>
  <c r="E2328" i="3"/>
  <c r="E2386" i="3"/>
  <c r="E2410" i="3"/>
  <c r="E2450" i="3"/>
  <c r="E2547" i="3"/>
  <c r="E2626" i="3"/>
  <c r="E2656" i="3"/>
  <c r="E2701" i="3"/>
  <c r="E2711" i="3"/>
  <c r="E2777" i="3"/>
  <c r="E2782" i="3"/>
  <c r="E2789" i="3"/>
  <c r="E2809" i="3"/>
  <c r="E2838" i="3"/>
  <c r="E2873" i="3"/>
  <c r="E2880" i="3"/>
  <c r="E2901" i="3"/>
  <c r="E2946" i="3"/>
  <c r="E2954" i="3"/>
  <c r="E2976" i="3"/>
  <c r="E3049" i="3"/>
  <c r="E3169" i="3"/>
  <c r="E3242" i="3"/>
  <c r="E3308" i="3"/>
  <c r="E3315" i="3"/>
  <c r="E3355" i="3"/>
  <c r="E3400" i="3"/>
  <c r="E3456" i="3"/>
  <c r="E3524" i="3"/>
  <c r="E3561" i="3"/>
  <c r="E3569" i="3"/>
  <c r="E3641" i="3"/>
  <c r="E3652" i="3"/>
  <c r="E3783" i="3"/>
  <c r="E3825" i="3"/>
  <c r="E3852" i="3"/>
  <c r="E3873" i="3"/>
  <c r="E3895" i="3"/>
  <c r="E3919" i="3"/>
  <c r="E3928" i="3"/>
  <c r="E3939" i="3"/>
  <c r="E3941" i="3"/>
  <c r="E3956" i="3"/>
  <c r="E4044" i="3"/>
  <c r="E4053" i="3"/>
  <c r="E4083" i="3"/>
  <c r="E4091" i="3"/>
  <c r="E4119" i="3"/>
  <c r="E4138" i="3"/>
  <c r="E4143" i="3"/>
  <c r="E4276" i="3"/>
  <c r="E4294" i="3"/>
  <c r="E4439" i="3"/>
  <c r="E4497" i="3"/>
  <c r="E4544" i="3"/>
  <c r="E4560" i="3"/>
  <c r="E4566" i="3"/>
  <c r="E4570" i="3"/>
  <c r="E4613" i="3"/>
  <c r="E4631" i="3"/>
  <c r="E4642" i="3"/>
  <c r="E4691" i="3"/>
  <c r="E4742" i="3"/>
  <c r="E4763" i="3"/>
  <c r="E4774" i="3"/>
  <c r="E4801" i="3"/>
  <c r="E6" i="3"/>
  <c r="E21" i="3"/>
  <c r="E87" i="3"/>
  <c r="E103" i="3"/>
  <c r="E112" i="3"/>
  <c r="E201" i="3"/>
  <c r="E206" i="3"/>
  <c r="E219" i="3"/>
  <c r="E273" i="3"/>
  <c r="E310" i="3"/>
  <c r="E312" i="3"/>
  <c r="E345" i="3"/>
  <c r="E361" i="3"/>
  <c r="E508" i="3"/>
  <c r="E566" i="3"/>
  <c r="E711" i="3"/>
  <c r="E864" i="3"/>
  <c r="E873" i="3"/>
  <c r="E885" i="3"/>
  <c r="E1172" i="3"/>
  <c r="E1238" i="3"/>
  <c r="E1274" i="3"/>
  <c r="E1295" i="3"/>
  <c r="E1310" i="3"/>
  <c r="E1318" i="3"/>
  <c r="E1336" i="3"/>
  <c r="E1491" i="3"/>
  <c r="E1558" i="3"/>
  <c r="E1576" i="3"/>
  <c r="E1622" i="3"/>
  <c r="E1744" i="3"/>
  <c r="E1790" i="3"/>
  <c r="E1819" i="3"/>
  <c r="E1846" i="3"/>
  <c r="E1862" i="3"/>
  <c r="E1880" i="3"/>
  <c r="E1907" i="3"/>
  <c r="E1911" i="3"/>
  <c r="E1928" i="3"/>
  <c r="E1961" i="3"/>
  <c r="E2011" i="3"/>
  <c r="E2042" i="3"/>
  <c r="E2074" i="3"/>
  <c r="E2205" i="3"/>
  <c r="E2287" i="3"/>
  <c r="E2297" i="3"/>
  <c r="E2400" i="3"/>
  <c r="E2428" i="3"/>
  <c r="E2430" i="3"/>
  <c r="E2488" i="3"/>
  <c r="E2555" i="3"/>
  <c r="E2592" i="3"/>
  <c r="E2806" i="3"/>
  <c r="E2814" i="3"/>
  <c r="E2887" i="3"/>
  <c r="E2910" i="3"/>
  <c r="E2916" i="3"/>
  <c r="E3257" i="3"/>
  <c r="E3326" i="3"/>
  <c r="E3391" i="3"/>
  <c r="E3442" i="3"/>
  <c r="E3449" i="3"/>
  <c r="E3475" i="3"/>
  <c r="E3567" i="3"/>
  <c r="E3576" i="3"/>
  <c r="E3582" i="3"/>
  <c r="E3602" i="3"/>
  <c r="E3649" i="3"/>
  <c r="E3660" i="3"/>
  <c r="E3665" i="3"/>
  <c r="E3688" i="3"/>
  <c r="E3867" i="3"/>
  <c r="E3926" i="3"/>
  <c r="E3976" i="3"/>
  <c r="E3977" i="3"/>
  <c r="E4007" i="3"/>
  <c r="E4021" i="3"/>
  <c r="E4287" i="3"/>
  <c r="E4401" i="3"/>
  <c r="E4449" i="3"/>
  <c r="E4514" i="3"/>
  <c r="E4516" i="3"/>
  <c r="E4593" i="3"/>
  <c r="E4595" i="3"/>
  <c r="E4762" i="3"/>
  <c r="E4794" i="3"/>
  <c r="E33" i="3"/>
  <c r="E111" i="3"/>
  <c r="E212" i="3"/>
  <c r="E217" i="3"/>
  <c r="E247" i="3"/>
  <c r="E298" i="3"/>
  <c r="E352" i="3"/>
  <c r="E396" i="3"/>
  <c r="E463" i="3"/>
  <c r="E509" i="3"/>
  <c r="E555" i="3"/>
  <c r="E563" i="3"/>
  <c r="E585" i="3"/>
  <c r="E594" i="3"/>
  <c r="E612" i="3"/>
  <c r="E646" i="3"/>
  <c r="E652" i="3"/>
  <c r="E771" i="3"/>
  <c r="E867" i="3"/>
  <c r="E879" i="3"/>
  <c r="E995" i="3"/>
  <c r="E1046" i="3"/>
  <c r="E1123" i="3"/>
  <c r="E1137" i="3"/>
  <c r="E1253" i="3"/>
  <c r="E1306" i="3"/>
  <c r="E1330" i="3"/>
  <c r="E1345" i="3"/>
  <c r="E1368" i="3"/>
  <c r="E1397" i="3"/>
  <c r="E1450" i="3"/>
  <c r="E1705" i="3"/>
  <c r="E1753" i="3"/>
  <c r="E1771" i="3"/>
  <c r="E1826" i="3"/>
  <c r="E1997" i="3"/>
  <c r="E2006" i="3"/>
  <c r="E2009" i="3"/>
  <c r="E2017" i="3"/>
  <c r="E2037" i="3"/>
  <c r="E2069" i="3"/>
  <c r="E2132" i="3"/>
  <c r="E2135" i="3"/>
  <c r="E2244" i="3"/>
  <c r="E2283" i="3"/>
  <c r="E2379" i="3"/>
  <c r="E2444" i="3"/>
  <c r="E2619" i="3"/>
  <c r="E2692" i="3"/>
  <c r="E2697" i="3"/>
  <c r="E2713" i="3"/>
  <c r="E2827" i="3"/>
  <c r="E2906" i="3"/>
  <c r="E3027" i="3"/>
  <c r="E3081" i="3"/>
  <c r="E3082" i="3"/>
  <c r="E3127" i="3"/>
  <c r="E3210" i="3"/>
  <c r="E3212" i="3"/>
  <c r="E3338" i="3"/>
  <c r="E3368" i="3"/>
  <c r="E3398" i="3"/>
  <c r="E3443" i="3"/>
  <c r="E3463" i="3"/>
  <c r="E3487" i="3"/>
  <c r="E3522" i="3"/>
  <c r="E3580" i="3"/>
  <c r="E3596" i="3"/>
  <c r="E3609" i="3"/>
  <c r="E3823" i="3"/>
  <c r="E3842" i="3"/>
  <c r="E3930" i="3"/>
  <c r="E4087" i="3"/>
  <c r="E4124" i="3"/>
  <c r="E4320" i="3"/>
  <c r="E4342" i="3"/>
  <c r="E4494" i="3"/>
  <c r="E4660" i="3"/>
  <c r="E4805" i="3"/>
  <c r="E1515" i="3"/>
  <c r="E1598" i="3"/>
  <c r="E2658" i="3"/>
  <c r="E2988" i="3"/>
  <c r="E3115" i="3"/>
  <c r="E3586" i="3"/>
  <c r="E4023" i="3"/>
  <c r="E4600" i="3"/>
  <c r="E51" i="3"/>
  <c r="E104" i="3"/>
  <c r="E110" i="3"/>
  <c r="E226" i="3"/>
  <c r="E248" i="3"/>
  <c r="E286" i="3"/>
  <c r="E320" i="3"/>
  <c r="E371" i="3"/>
  <c r="E448" i="3"/>
  <c r="E547" i="3"/>
  <c r="E647" i="3"/>
  <c r="E735" i="3"/>
  <c r="E866" i="3"/>
  <c r="E897" i="3"/>
  <c r="E935" i="3"/>
  <c r="E940" i="3"/>
  <c r="E950" i="3"/>
  <c r="E966" i="3"/>
  <c r="E975" i="3"/>
  <c r="E1079" i="3"/>
  <c r="E1160" i="3"/>
  <c r="E1351" i="3"/>
  <c r="E1583" i="3"/>
  <c r="E1630" i="3"/>
  <c r="E1662" i="3"/>
  <c r="E1663" i="3"/>
  <c r="E1773" i="3"/>
  <c r="E1787" i="3"/>
  <c r="E1842" i="3"/>
  <c r="E1865" i="3"/>
  <c r="E2092" i="3"/>
  <c r="E2138" i="3"/>
  <c r="E2176" i="3"/>
  <c r="E2196" i="3"/>
  <c r="E2221" i="3"/>
  <c r="E2229" i="3"/>
  <c r="E2276" i="3"/>
  <c r="E2312" i="3"/>
  <c r="E2412" i="3"/>
  <c r="E2424" i="3"/>
  <c r="E2474" i="3"/>
  <c r="E2503" i="3"/>
  <c r="E2593" i="3"/>
  <c r="E2596" i="3"/>
  <c r="E2628" i="3"/>
  <c r="E2654" i="3"/>
  <c r="E2792" i="3"/>
  <c r="E2823" i="3"/>
  <c r="E2825" i="3"/>
  <c r="E2856" i="3"/>
  <c r="E2871" i="3"/>
  <c r="E2921" i="3"/>
  <c r="E2941" i="3"/>
  <c r="E3020" i="3"/>
  <c r="E3044" i="3"/>
  <c r="E3073" i="3"/>
  <c r="E3112" i="3"/>
  <c r="E3154" i="3"/>
  <c r="E3188" i="3"/>
  <c r="E3211" i="3"/>
  <c r="E3219" i="3"/>
  <c r="E3252" i="3"/>
  <c r="E3265" i="3"/>
  <c r="E3325" i="3"/>
  <c r="E3367" i="3"/>
  <c r="E3372" i="3"/>
  <c r="E3381" i="3"/>
  <c r="E3405" i="3"/>
  <c r="E3631" i="3"/>
  <c r="E3648" i="3"/>
  <c r="E3655" i="3"/>
  <c r="E3668" i="3"/>
  <c r="E3692" i="3"/>
  <c r="E3745" i="3"/>
  <c r="E3773" i="3"/>
  <c r="E3865" i="3"/>
  <c r="E3950" i="3"/>
  <c r="E4008" i="3"/>
  <c r="E4059" i="3"/>
  <c r="E4065" i="3"/>
  <c r="E4107" i="3"/>
  <c r="E4217" i="3"/>
  <c r="E4246" i="3"/>
  <c r="E4278" i="3"/>
  <c r="E4333" i="3"/>
  <c r="E4363" i="3"/>
  <c r="E4430" i="3"/>
  <c r="E4461" i="3"/>
  <c r="E4554" i="3"/>
  <c r="E4565" i="3"/>
  <c r="E4622" i="3"/>
  <c r="E4639" i="3"/>
  <c r="E4663" i="3"/>
  <c r="E4688" i="3"/>
  <c r="E4690" i="3"/>
  <c r="E4806" i="3"/>
  <c r="E4826" i="3"/>
  <c r="E119" i="3"/>
  <c r="E159" i="3"/>
  <c r="E166" i="3"/>
  <c r="E188" i="3"/>
  <c r="E260" i="3"/>
  <c r="E390" i="3"/>
  <c r="E395" i="3"/>
  <c r="E473" i="3"/>
  <c r="E511" i="3"/>
  <c r="E517" i="3"/>
  <c r="E587" i="3"/>
  <c r="E655" i="3"/>
  <c r="E662" i="3"/>
  <c r="E724" i="3"/>
  <c r="E743" i="3"/>
  <c r="E929" i="3"/>
  <c r="E1038" i="3"/>
  <c r="E1048" i="3"/>
  <c r="E1074" i="3"/>
  <c r="E1126" i="3"/>
  <c r="E1132" i="3"/>
  <c r="E1229" i="3"/>
  <c r="E1272" i="3"/>
  <c r="E1300" i="3"/>
  <c r="E1313" i="3"/>
  <c r="E1335" i="3"/>
  <c r="E1365" i="3"/>
  <c r="E1382" i="3"/>
  <c r="E1485" i="3"/>
  <c r="E1624" i="3"/>
  <c r="E1645" i="3"/>
  <c r="E1683" i="3"/>
  <c r="E1795" i="3"/>
  <c r="E1848" i="3"/>
  <c r="E1861" i="3"/>
  <c r="E1878" i="3"/>
  <c r="E1937" i="3"/>
  <c r="E1966" i="3"/>
  <c r="E2019" i="3"/>
  <c r="E2112" i="3"/>
  <c r="E2145" i="3"/>
  <c r="E2240" i="3"/>
  <c r="E2281" i="3"/>
  <c r="E2419" i="3"/>
  <c r="E2615" i="3"/>
  <c r="E2685" i="3"/>
  <c r="E2707" i="3"/>
  <c r="E2749" i="3"/>
  <c r="E2832" i="3"/>
  <c r="E2900" i="3"/>
  <c r="E3032" i="3"/>
  <c r="E3034" i="3"/>
  <c r="E3070" i="3"/>
  <c r="E3217" i="3"/>
  <c r="E3224" i="3"/>
  <c r="E3457" i="3"/>
  <c r="E3481" i="3"/>
  <c r="E3482" i="3"/>
  <c r="E3664" i="3"/>
  <c r="E3807" i="3"/>
  <c r="E3900" i="3"/>
  <c r="E3934" i="3"/>
  <c r="E3985" i="3"/>
  <c r="E4077" i="3"/>
  <c r="E4126" i="3"/>
  <c r="E4178" i="3"/>
  <c r="E4197" i="3"/>
  <c r="E4207" i="3"/>
  <c r="E4239" i="3"/>
  <c r="E4245" i="3"/>
  <c r="E4313" i="3"/>
  <c r="E4458" i="3"/>
  <c r="E4495" i="3"/>
  <c r="E4585" i="3"/>
  <c r="E4590" i="3"/>
  <c r="E4607" i="3"/>
  <c r="E4637" i="3"/>
  <c r="E4680" i="3"/>
  <c r="E4699" i="3"/>
  <c r="E4712" i="3"/>
  <c r="E4713" i="3"/>
  <c r="E4760" i="3"/>
  <c r="E4787" i="3"/>
  <c r="E52" i="3"/>
  <c r="E76" i="3"/>
  <c r="E91" i="3"/>
  <c r="E126" i="3"/>
  <c r="E146" i="3"/>
  <c r="E196" i="3"/>
  <c r="E208" i="3"/>
  <c r="E209" i="3"/>
  <c r="E230" i="3"/>
  <c r="E251" i="3"/>
  <c r="E302" i="3"/>
  <c r="E314" i="3"/>
  <c r="E327" i="3"/>
  <c r="E386" i="3"/>
  <c r="E388" i="3"/>
  <c r="E459" i="3"/>
  <c r="E661" i="3"/>
  <c r="E737" i="3"/>
  <c r="E761" i="3"/>
  <c r="E788" i="3"/>
  <c r="E839" i="3"/>
  <c r="E936" i="3"/>
  <c r="E974" i="3"/>
  <c r="E1100" i="3"/>
  <c r="E1165" i="3"/>
  <c r="E1199" i="3"/>
  <c r="E1209" i="3"/>
  <c r="E1277" i="3"/>
  <c r="E1377" i="3"/>
  <c r="E1449" i="3"/>
  <c r="E1469" i="3"/>
  <c r="E1480" i="3"/>
  <c r="E1489" i="3"/>
  <c r="E1527" i="3"/>
  <c r="E1537" i="3"/>
  <c r="E1587" i="3"/>
  <c r="E1597" i="3"/>
  <c r="E1672" i="3"/>
  <c r="E1737" i="3"/>
  <c r="E1797" i="3"/>
  <c r="E1818" i="3"/>
  <c r="E1824" i="3"/>
  <c r="E1849" i="3"/>
  <c r="E1909" i="3"/>
  <c r="E1935" i="3"/>
  <c r="E1943" i="3"/>
  <c r="E1974" i="3"/>
  <c r="E2012" i="3"/>
  <c r="E2094" i="3"/>
  <c r="E2120" i="3"/>
  <c r="E2189" i="3"/>
  <c r="E2354" i="3"/>
  <c r="E2381" i="3"/>
  <c r="E2453" i="3"/>
  <c r="E2454" i="3"/>
  <c r="E2457" i="3"/>
  <c r="E2481" i="3"/>
  <c r="E2487" i="3"/>
  <c r="E2505" i="3"/>
  <c r="E2514" i="3"/>
  <c r="E2521" i="3"/>
  <c r="E2538" i="3"/>
  <c r="E2590" i="3"/>
  <c r="E2611" i="3"/>
  <c r="E2660" i="3"/>
  <c r="E2784" i="3"/>
  <c r="E2970" i="3"/>
  <c r="E3093" i="3"/>
  <c r="E3138" i="3"/>
  <c r="E3161" i="3"/>
  <c r="E3180" i="3"/>
  <c r="E3196" i="3"/>
  <c r="E3198" i="3"/>
  <c r="E3254" i="3"/>
  <c r="E3322" i="3"/>
  <c r="E3354" i="3"/>
  <c r="E3358" i="3"/>
  <c r="E3387" i="3"/>
  <c r="E3409" i="3"/>
  <c r="E3414" i="3"/>
  <c r="E3428" i="3"/>
  <c r="E3551" i="3"/>
  <c r="E3571" i="3"/>
  <c r="E3597" i="3"/>
  <c r="E3704" i="3"/>
  <c r="E3798" i="3"/>
  <c r="E3836" i="3"/>
  <c r="E3878" i="3"/>
  <c r="E3905" i="3"/>
  <c r="E4089" i="3"/>
  <c r="E4130" i="3"/>
  <c r="E4344" i="3"/>
  <c r="E4360" i="3"/>
  <c r="E4457" i="3"/>
  <c r="E4722" i="3"/>
  <c r="E4782" i="3"/>
  <c r="E4789" i="3"/>
  <c r="E4802" i="3"/>
  <c r="E158" i="3"/>
  <c r="E165" i="3"/>
  <c r="E192" i="3"/>
  <c r="E262" i="3"/>
  <c r="E293" i="3"/>
  <c r="E295" i="3"/>
  <c r="E342" i="3"/>
  <c r="E370" i="3"/>
  <c r="E543" i="3"/>
  <c r="E565" i="3"/>
  <c r="E660" i="3"/>
  <c r="E746" i="3"/>
  <c r="E816" i="3"/>
  <c r="E888" i="3"/>
  <c r="E893" i="3"/>
  <c r="E922" i="3"/>
  <c r="E985" i="3"/>
  <c r="E996" i="3"/>
  <c r="E1014" i="3"/>
  <c r="E1181" i="3"/>
  <c r="E1208" i="3"/>
  <c r="E1222" i="3"/>
  <c r="E1276" i="3"/>
  <c r="E1293" i="3"/>
  <c r="E1413" i="3"/>
  <c r="E1512" i="3"/>
  <c r="E1555" i="3"/>
  <c r="E1729" i="3"/>
  <c r="E1741" i="3"/>
  <c r="E1745" i="3"/>
  <c r="E1761" i="3"/>
  <c r="E1886" i="3"/>
  <c r="E1916" i="3"/>
  <c r="E1962" i="3"/>
  <c r="E2024" i="3"/>
  <c r="E2202" i="3"/>
  <c r="E2230" i="3"/>
  <c r="E2294" i="3"/>
  <c r="E2425" i="3"/>
  <c r="E2434" i="3"/>
  <c r="E2510" i="3"/>
  <c r="E2545" i="3"/>
  <c r="E2594" i="3"/>
  <c r="E2613" i="3"/>
  <c r="E2621" i="3"/>
  <c r="E2764" i="3"/>
  <c r="E2795" i="3"/>
  <c r="E2936" i="3"/>
  <c r="E2982" i="3"/>
  <c r="E2991" i="3"/>
  <c r="E3006" i="3"/>
  <c r="E3134" i="3"/>
  <c r="E3174" i="3"/>
  <c r="E3390" i="3"/>
  <c r="E3421" i="3"/>
  <c r="E3467" i="3"/>
  <c r="E3471" i="3"/>
  <c r="E3518" i="3"/>
  <c r="E3575" i="3"/>
  <c r="E3732" i="3"/>
  <c r="E3827" i="3"/>
  <c r="E3906" i="3"/>
  <c r="E3986" i="3"/>
  <c r="E4010" i="3"/>
  <c r="E4049" i="3"/>
  <c r="E4329" i="3"/>
  <c r="E4346" i="3"/>
  <c r="E4364" i="3"/>
  <c r="E4498" i="3"/>
  <c r="E4506" i="3"/>
  <c r="E4765" i="3"/>
  <c r="E4771" i="3"/>
  <c r="E4833" i="3"/>
  <c r="E84" i="3"/>
  <c r="E136" i="3"/>
  <c r="E167" i="3"/>
  <c r="E243" i="3"/>
  <c r="E403" i="3"/>
  <c r="E404" i="3"/>
  <c r="E412" i="3"/>
  <c r="E467" i="3"/>
  <c r="E626" i="3"/>
  <c r="E666" i="3"/>
  <c r="E701" i="3"/>
  <c r="E951" i="3"/>
  <c r="E954" i="3"/>
  <c r="E1015" i="3"/>
  <c r="E1108" i="3"/>
  <c r="E1226" i="3"/>
  <c r="E1418" i="3"/>
  <c r="E1419" i="3"/>
  <c r="E1478" i="3"/>
  <c r="E1606" i="3"/>
  <c r="E1613" i="3"/>
  <c r="E1718" i="3"/>
  <c r="E1722" i="3"/>
  <c r="E1908" i="3"/>
  <c r="E1958" i="3"/>
  <c r="E2056" i="3"/>
  <c r="E2109" i="3"/>
  <c r="E2216" i="3"/>
  <c r="E2260" i="3"/>
  <c r="E2315" i="3"/>
  <c r="E2335" i="3"/>
  <c r="E2422" i="3"/>
  <c r="E2437" i="3"/>
  <c r="E2452" i="3"/>
  <c r="E2499" i="3"/>
  <c r="E2524" i="3"/>
  <c r="E2581" i="3"/>
  <c r="E2591" i="3"/>
  <c r="E2675" i="3"/>
  <c r="E3039" i="3"/>
  <c r="E3087" i="3"/>
  <c r="E3125" i="3"/>
  <c r="E3175" i="3"/>
  <c r="E3200" i="3"/>
  <c r="E3223" i="3"/>
  <c r="E3284" i="3"/>
  <c r="E3455" i="3"/>
  <c r="E3608" i="3"/>
  <c r="E3643" i="3"/>
  <c r="E3694" i="3"/>
  <c r="E3702" i="3"/>
  <c r="E3880" i="3"/>
  <c r="E3904" i="3"/>
  <c r="E3909" i="3"/>
  <c r="E3917" i="3"/>
  <c r="E3951" i="3"/>
  <c r="E3954" i="3"/>
  <c r="E4392" i="3"/>
  <c r="E4629" i="3"/>
  <c r="E4671" i="3"/>
  <c r="E4677" i="3"/>
  <c r="E4737" i="3"/>
  <c r="E4739" i="3"/>
  <c r="E4740" i="3"/>
  <c r="E4795" i="3"/>
  <c r="E17" i="3"/>
  <c r="E68" i="3"/>
  <c r="E94" i="3"/>
  <c r="E120" i="3"/>
  <c r="E176" i="3"/>
  <c r="E367" i="3"/>
  <c r="E433" i="3"/>
  <c r="E442" i="3"/>
  <c r="E532" i="3"/>
  <c r="E568" i="3"/>
  <c r="E591" i="3"/>
  <c r="E707" i="3"/>
  <c r="E811" i="3"/>
  <c r="E851" i="3"/>
  <c r="E860" i="3"/>
  <c r="E908" i="3"/>
  <c r="E911" i="3"/>
  <c r="E1084" i="3"/>
  <c r="E1170" i="3"/>
  <c r="E1232" i="3"/>
  <c r="E1242" i="3"/>
  <c r="E1271" i="3"/>
  <c r="E1328" i="3"/>
  <c r="E1495" i="3"/>
  <c r="E1502" i="3"/>
  <c r="E1546" i="3"/>
  <c r="E1604" i="3"/>
  <c r="E1670" i="3"/>
  <c r="E1701" i="3"/>
  <c r="E1822" i="3"/>
  <c r="E1864" i="3"/>
  <c r="E1887" i="3"/>
  <c r="E2206" i="3"/>
  <c r="E2295" i="3"/>
  <c r="E2355" i="3"/>
  <c r="E2548" i="3"/>
  <c r="E2597" i="3"/>
  <c r="E2751" i="3"/>
  <c r="E2803" i="3"/>
  <c r="E2855" i="3"/>
  <c r="E2860" i="3"/>
  <c r="E2885" i="3"/>
  <c r="E2940" i="3"/>
  <c r="E2979" i="3"/>
  <c r="E3062" i="3"/>
  <c r="E3132" i="3"/>
  <c r="E3204" i="3"/>
  <c r="E3313" i="3"/>
  <c r="E3314" i="3"/>
  <c r="E3376" i="3"/>
  <c r="E3450" i="3"/>
  <c r="E3498" i="3"/>
  <c r="E3506" i="3"/>
  <c r="E3528" i="3"/>
  <c r="E3549" i="3"/>
  <c r="E3555" i="3"/>
  <c r="E3593" i="3"/>
  <c r="E3748" i="3"/>
  <c r="E3848" i="3"/>
  <c r="E3868" i="3"/>
  <c r="E3901" i="3"/>
  <c r="E3965" i="3"/>
  <c r="E4096" i="3"/>
  <c r="E4242" i="3"/>
  <c r="E4366" i="3"/>
  <c r="E4455" i="3"/>
  <c r="E4486" i="3"/>
  <c r="E4611" i="3"/>
  <c r="E4620" i="3"/>
  <c r="E4689" i="3"/>
  <c r="E4758" i="3"/>
  <c r="E4" i="3"/>
  <c r="E5" i="3"/>
  <c r="E13" i="3"/>
  <c r="E25" i="3"/>
  <c r="E44" i="3"/>
  <c r="E55" i="3"/>
  <c r="E124" i="3"/>
  <c r="E142" i="3"/>
  <c r="E227" i="3"/>
  <c r="E349" i="3"/>
  <c r="E415" i="3"/>
  <c r="E431" i="3"/>
  <c r="E462" i="3"/>
  <c r="E470" i="3"/>
  <c r="E540" i="3"/>
  <c r="E569" i="3"/>
  <c r="E580" i="3"/>
  <c r="E604" i="3"/>
  <c r="E721" i="3"/>
  <c r="E750" i="3"/>
  <c r="E778" i="3"/>
  <c r="E780" i="3"/>
  <c r="E793" i="3"/>
  <c r="E802" i="3"/>
  <c r="E819" i="3"/>
  <c r="E857" i="3"/>
  <c r="E868" i="3"/>
  <c r="E915" i="3"/>
  <c r="E983" i="3"/>
  <c r="E1006" i="3"/>
  <c r="E1044" i="3"/>
  <c r="E1056" i="3"/>
  <c r="E1131" i="3"/>
  <c r="E1133" i="3"/>
  <c r="E1143" i="3"/>
  <c r="E1148" i="3"/>
  <c r="E1236" i="3"/>
  <c r="E1309" i="3"/>
  <c r="E1320" i="3"/>
  <c r="E1323" i="3"/>
  <c r="E1417" i="3"/>
  <c r="E1438" i="3"/>
  <c r="E1483" i="3"/>
  <c r="E1650" i="3"/>
  <c r="E1652" i="3"/>
  <c r="E1725" i="3"/>
  <c r="E1796" i="3"/>
  <c r="E1815" i="3"/>
  <c r="E1827" i="3"/>
  <c r="E1854" i="3"/>
  <c r="E1891" i="3"/>
  <c r="E1898" i="3"/>
  <c r="E1929" i="3"/>
  <c r="E2103" i="3"/>
  <c r="E2117" i="3"/>
  <c r="E2157" i="3"/>
  <c r="E2192" i="3"/>
  <c r="E2288" i="3"/>
  <c r="E2343" i="3"/>
  <c r="E2391" i="3"/>
  <c r="E2463" i="3"/>
  <c r="E2478" i="3"/>
  <c r="E2498" i="3"/>
  <c r="E2507" i="3"/>
  <c r="E2513" i="3"/>
  <c r="E2690" i="3"/>
  <c r="E2719" i="3"/>
  <c r="E2736" i="3"/>
  <c r="E2745" i="3"/>
  <c r="E2780" i="3"/>
  <c r="E2846" i="3"/>
  <c r="E3065" i="3"/>
  <c r="E3341" i="3"/>
  <c r="E3544" i="3"/>
  <c r="E3605" i="3"/>
  <c r="E3657" i="3"/>
  <c r="E3658" i="3"/>
  <c r="E3673" i="3"/>
  <c r="E3737" i="3"/>
  <c r="E3763" i="3"/>
  <c r="E3792" i="3"/>
  <c r="E3815" i="3"/>
  <c r="E3935" i="3"/>
  <c r="E3943" i="3"/>
  <c r="E4012" i="3"/>
  <c r="E4013" i="3"/>
  <c r="E4016" i="3"/>
  <c r="E4018" i="3"/>
  <c r="E4037" i="3"/>
  <c r="E4045" i="3"/>
  <c r="E4102" i="3"/>
  <c r="E4220" i="3"/>
  <c r="E4232" i="3"/>
  <c r="E4250" i="3"/>
  <c r="E4253" i="3"/>
  <c r="E4254" i="3"/>
  <c r="E4286" i="3"/>
  <c r="E4292" i="3"/>
  <c r="E4293" i="3"/>
  <c r="E4305" i="3"/>
  <c r="E4352" i="3"/>
  <c r="E4353" i="3"/>
  <c r="E4408" i="3"/>
  <c r="E4444" i="3"/>
  <c r="E4473" i="3"/>
  <c r="E4546" i="3"/>
  <c r="E4561" i="3"/>
  <c r="E4569" i="3"/>
  <c r="E4584" i="3"/>
  <c r="E4602" i="3"/>
  <c r="E4617" i="3"/>
  <c r="E4635" i="3"/>
  <c r="E4695" i="3"/>
  <c r="E4767" i="3"/>
  <c r="E4777" i="3"/>
  <c r="E4824" i="3"/>
  <c r="E34" i="3"/>
  <c r="E154" i="3"/>
  <c r="E197" i="3"/>
  <c r="E240" i="3"/>
  <c r="E268" i="3"/>
  <c r="E309" i="3"/>
  <c r="E538" i="3"/>
  <c r="E551" i="3"/>
  <c r="E567" i="3"/>
  <c r="E685" i="3"/>
  <c r="E760" i="3"/>
  <c r="E764" i="3"/>
  <c r="E770" i="3"/>
  <c r="E876" i="3"/>
  <c r="E988" i="3"/>
  <c r="E1005" i="3"/>
  <c r="E1017" i="3"/>
  <c r="E1025" i="3"/>
  <c r="E1055" i="3"/>
  <c r="E1061" i="3"/>
  <c r="E1193" i="3"/>
  <c r="E1206" i="3"/>
  <c r="E1216" i="3"/>
  <c r="E1217" i="3"/>
  <c r="E1291" i="3"/>
  <c r="E1294" i="3"/>
  <c r="E1371" i="3"/>
  <c r="E1401" i="3"/>
  <c r="E1402" i="3"/>
  <c r="E1467" i="3"/>
  <c r="E1472" i="3"/>
  <c r="E1482" i="3"/>
  <c r="E1488" i="3"/>
  <c r="E1496" i="3"/>
  <c r="E1505" i="3"/>
  <c r="E1541" i="3"/>
  <c r="E1562" i="3"/>
  <c r="E1596" i="3"/>
  <c r="E1709" i="3"/>
  <c r="E1715" i="3"/>
  <c r="E1728" i="3"/>
  <c r="E1743" i="3"/>
  <c r="E1776" i="3"/>
  <c r="E1811" i="3"/>
  <c r="E1882" i="3"/>
  <c r="E1892" i="3"/>
  <c r="E1894" i="3"/>
  <c r="E1896" i="3"/>
  <c r="E1938" i="3"/>
  <c r="E1965" i="3"/>
  <c r="E1975" i="3"/>
  <c r="E2001" i="3"/>
  <c r="E2055" i="3"/>
  <c r="E2081" i="3"/>
  <c r="E2153" i="3"/>
  <c r="E2158" i="3"/>
  <c r="E2175" i="3"/>
  <c r="E2183" i="3"/>
  <c r="E2187" i="3"/>
  <c r="E2219" i="3"/>
  <c r="E2345" i="3"/>
  <c r="E2349" i="3"/>
  <c r="E2389" i="3"/>
  <c r="E2409" i="3"/>
  <c r="E2440" i="3"/>
  <c r="E2446" i="3"/>
  <c r="E2469" i="3"/>
  <c r="E2471" i="3"/>
  <c r="E2500" i="3"/>
  <c r="E2583" i="3"/>
  <c r="E2623" i="3"/>
  <c r="E2649" i="3"/>
  <c r="E2672" i="3"/>
  <c r="E2684" i="3"/>
  <c r="E2700" i="3"/>
  <c r="E2709" i="3"/>
  <c r="E2848" i="3"/>
  <c r="E2853" i="3"/>
  <c r="E2995" i="3"/>
  <c r="E3029" i="3"/>
  <c r="E3069" i="3"/>
  <c r="E3100" i="3"/>
  <c r="E3199" i="3"/>
  <c r="E3249" i="3"/>
  <c r="E3258" i="3"/>
  <c r="E3270" i="3"/>
  <c r="E3300" i="3"/>
  <c r="E3395" i="3"/>
  <c r="E3445" i="3"/>
  <c r="E3525" i="3"/>
  <c r="E3636" i="3"/>
  <c r="E3697" i="3"/>
  <c r="E3714" i="3"/>
  <c r="E3764" i="3"/>
  <c r="E3819" i="3"/>
  <c r="E3843" i="3"/>
  <c r="E3850" i="3"/>
  <c r="E3853" i="3"/>
  <c r="E3855" i="3"/>
  <c r="E3864" i="3"/>
  <c r="E3883" i="3"/>
  <c r="E3885" i="3"/>
  <c r="E3964" i="3"/>
  <c r="E3975" i="3"/>
  <c r="E3995" i="3"/>
  <c r="E4026" i="3"/>
  <c r="E4035" i="3"/>
  <c r="E4127" i="3"/>
  <c r="E4164" i="3"/>
  <c r="E4182" i="3"/>
  <c r="E4230" i="3"/>
  <c r="E4365" i="3"/>
  <c r="E4413" i="3"/>
  <c r="E4503" i="3"/>
  <c r="E4599" i="3"/>
  <c r="E4608" i="3"/>
  <c r="E4650" i="3"/>
  <c r="E4662" i="3"/>
  <c r="E4827" i="3"/>
  <c r="E32" i="3"/>
  <c r="E35" i="3"/>
  <c r="E37" i="3"/>
  <c r="E88" i="3"/>
  <c r="E108" i="3"/>
  <c r="E122" i="3"/>
  <c r="E184" i="3"/>
  <c r="E211" i="3"/>
  <c r="E223" i="3"/>
  <c r="E272" i="3"/>
  <c r="E283" i="3"/>
  <c r="E287" i="3"/>
  <c r="E304" i="3"/>
  <c r="E329" i="3"/>
  <c r="E340" i="3"/>
  <c r="E354" i="3"/>
  <c r="E414" i="3"/>
  <c r="E425" i="3"/>
  <c r="E430" i="3"/>
  <c r="E460" i="3"/>
  <c r="E464" i="3"/>
  <c r="E469" i="3"/>
  <c r="E484" i="3"/>
  <c r="E575" i="3"/>
  <c r="E586" i="3"/>
  <c r="E598" i="3"/>
  <c r="E689" i="3"/>
  <c r="E729" i="3"/>
  <c r="E805" i="3"/>
  <c r="E874" i="3"/>
  <c r="E1078" i="3"/>
  <c r="E1080" i="3"/>
  <c r="E1081" i="3"/>
  <c r="E1092" i="3"/>
  <c r="E1102" i="3"/>
  <c r="E1103" i="3"/>
  <c r="E1115" i="3"/>
  <c r="E1176" i="3"/>
  <c r="E1308" i="3"/>
  <c r="E1339" i="3"/>
  <c r="E1340" i="3"/>
  <c r="E1352" i="3"/>
  <c r="E1374" i="3"/>
  <c r="E1386" i="3"/>
  <c r="E1404" i="3"/>
  <c r="E1414" i="3"/>
  <c r="E1432" i="3"/>
  <c r="E1464" i="3"/>
  <c r="E1476" i="3"/>
  <c r="E1497" i="3"/>
  <c r="E1503" i="3"/>
  <c r="E1525" i="3"/>
  <c r="E1567" i="3"/>
  <c r="E1612" i="3"/>
  <c r="E1623" i="3"/>
  <c r="E1653" i="3"/>
  <c r="E1687" i="3"/>
  <c r="E1699" i="3"/>
  <c r="E1716" i="3"/>
  <c r="E1720" i="3"/>
  <c r="E1747" i="3"/>
  <c r="E1756" i="3"/>
  <c r="E1808" i="3"/>
  <c r="E1817" i="3"/>
  <c r="E1855" i="3"/>
  <c r="E1918" i="3"/>
  <c r="E1940" i="3"/>
  <c r="E1944" i="3"/>
  <c r="E1952" i="3"/>
  <c r="E1955" i="3"/>
  <c r="E1957" i="3"/>
  <c r="E1993" i="3"/>
  <c r="E2036" i="3"/>
  <c r="E2053" i="3"/>
  <c r="E2058" i="3"/>
  <c r="E2070" i="3"/>
  <c r="E2080" i="3"/>
  <c r="E2083" i="3"/>
  <c r="E2134" i="3"/>
  <c r="E2147" i="3"/>
  <c r="E2246" i="3"/>
  <c r="E2279" i="3"/>
  <c r="E2309" i="3"/>
  <c r="E2352" i="3"/>
  <c r="E2395" i="3"/>
  <c r="E2435" i="3"/>
  <c r="E2464" i="3"/>
  <c r="E2479" i="3"/>
  <c r="E2516" i="3"/>
  <c r="E2550" i="3"/>
  <c r="E2646" i="3"/>
  <c r="E2652" i="3"/>
  <c r="E2668" i="3"/>
  <c r="E2734" i="3"/>
  <c r="E2763" i="3"/>
  <c r="E2778" i="3"/>
  <c r="E2817" i="3"/>
  <c r="E2822" i="3"/>
  <c r="E2865" i="3"/>
  <c r="E2911" i="3"/>
  <c r="E2938" i="3"/>
  <c r="E2963" i="3"/>
  <c r="E2985" i="3"/>
  <c r="E3004" i="3"/>
  <c r="E3007" i="3"/>
  <c r="E3131" i="3"/>
  <c r="E3160" i="3"/>
  <c r="E3164" i="3"/>
  <c r="E3173" i="3"/>
  <c r="E3227" i="3"/>
  <c r="E3262" i="3"/>
  <c r="E3301" i="3"/>
  <c r="E3304" i="3"/>
  <c r="E3332" i="3"/>
  <c r="E3365" i="3"/>
  <c r="E3388" i="3"/>
  <c r="E3426" i="3"/>
  <c r="E3513" i="3"/>
  <c r="E3532" i="3"/>
  <c r="E3583" i="3"/>
  <c r="E3585" i="3"/>
  <c r="E3595" i="3"/>
  <c r="E3662" i="3"/>
  <c r="E3683" i="3"/>
  <c r="E3712" i="3"/>
  <c r="E3719" i="3"/>
  <c r="E3839" i="3"/>
  <c r="E3971" i="3"/>
  <c r="E3994" i="3"/>
  <c r="E4046" i="3"/>
  <c r="E4055" i="3"/>
  <c r="E4058" i="3"/>
  <c r="E4060" i="3"/>
  <c r="E4072" i="3"/>
  <c r="E4082" i="3"/>
  <c r="E4086" i="3"/>
  <c r="E4101" i="3"/>
  <c r="E4109" i="3"/>
  <c r="E4118" i="3"/>
  <c r="E4161" i="3"/>
  <c r="E4201" i="3"/>
  <c r="E4214" i="3"/>
  <c r="E4216" i="3"/>
  <c r="E4225" i="3"/>
  <c r="E4234" i="3"/>
  <c r="E4249" i="3"/>
  <c r="E4263" i="3"/>
  <c r="E4283" i="3"/>
  <c r="E4290" i="3"/>
  <c r="E4327" i="3"/>
  <c r="E4371" i="3"/>
  <c r="E4442" i="3"/>
  <c r="E4445" i="3"/>
  <c r="E4460" i="3"/>
  <c r="E4464" i="3"/>
  <c r="E4481" i="3"/>
  <c r="E4499" i="3"/>
  <c r="E4500" i="3"/>
  <c r="E4532" i="3"/>
  <c r="E4536" i="3"/>
  <c r="E4542" i="3"/>
  <c r="E4549" i="3"/>
  <c r="E4582" i="3"/>
  <c r="E4589" i="3"/>
  <c r="E4601" i="3"/>
  <c r="E4610" i="3"/>
  <c r="E4627" i="3"/>
  <c r="E4649" i="3"/>
  <c r="E4655" i="3"/>
  <c r="E4673" i="3"/>
  <c r="E4704" i="3"/>
  <c r="E4719" i="3"/>
  <c r="E4773" i="3"/>
  <c r="E4783" i="3"/>
  <c r="E40" i="3"/>
  <c r="E49" i="3"/>
  <c r="E79" i="3"/>
  <c r="E85" i="3"/>
  <c r="E96" i="3"/>
  <c r="E210" i="3"/>
  <c r="E267" i="3"/>
  <c r="E306" i="3"/>
  <c r="E311" i="3"/>
  <c r="E322" i="3"/>
  <c r="E356" i="3"/>
  <c r="E381" i="3"/>
  <c r="E436" i="3"/>
  <c r="E471" i="3"/>
  <c r="E475" i="3"/>
  <c r="E481" i="3"/>
  <c r="E578" i="3"/>
  <c r="E596" i="3"/>
  <c r="E664" i="3"/>
  <c r="E668" i="3"/>
  <c r="E683" i="3"/>
  <c r="E714" i="3"/>
  <c r="E728" i="3"/>
  <c r="E734" i="3"/>
  <c r="E757" i="3"/>
  <c r="E822" i="3"/>
  <c r="E906" i="3"/>
  <c r="E979" i="3"/>
  <c r="E998" i="3"/>
  <c r="E1057" i="3"/>
  <c r="E1116" i="3"/>
  <c r="E1117" i="3"/>
  <c r="E1125" i="3"/>
  <c r="E1150" i="3"/>
  <c r="E1166" i="3"/>
  <c r="E1198" i="3"/>
  <c r="E1251" i="3"/>
  <c r="E1258" i="3"/>
  <c r="E1348" i="3"/>
  <c r="E1388" i="3"/>
  <c r="E1410" i="3"/>
  <c r="E1437" i="3"/>
  <c r="E1443" i="3"/>
  <c r="E1468" i="3"/>
  <c r="E1521" i="3"/>
  <c r="E1625" i="3"/>
  <c r="E1626" i="3"/>
  <c r="E1628" i="3"/>
  <c r="E1669" i="3"/>
  <c r="E1673" i="3"/>
  <c r="E1775" i="3"/>
  <c r="E1778" i="3"/>
  <c r="E1779" i="3"/>
  <c r="E1816" i="3"/>
  <c r="E1841" i="3"/>
  <c r="E1844" i="3"/>
  <c r="E1852" i="3"/>
  <c r="E1914" i="3"/>
  <c r="E1983" i="3"/>
  <c r="E1990" i="3"/>
  <c r="E1994" i="3"/>
  <c r="E2047" i="3"/>
  <c r="E2075" i="3"/>
  <c r="E2164" i="3"/>
  <c r="E2201" i="3"/>
  <c r="E2284" i="3"/>
  <c r="E2331" i="3"/>
  <c r="E2362" i="3"/>
  <c r="E2363" i="3"/>
  <c r="E2365" i="3"/>
  <c r="E2388" i="3"/>
  <c r="E2401" i="3"/>
  <c r="E2408" i="3"/>
  <c r="E2415" i="3"/>
  <c r="E2449" i="3"/>
  <c r="E2455" i="3"/>
  <c r="E2466" i="3"/>
  <c r="E2569" i="3"/>
  <c r="E2574" i="3"/>
  <c r="E2582" i="3"/>
  <c r="E2624" i="3"/>
  <c r="E2637" i="3"/>
  <c r="E2740" i="3"/>
  <c r="E2760" i="3"/>
  <c r="E2762" i="3"/>
  <c r="E2861" i="3"/>
  <c r="E2913" i="3"/>
  <c r="E2923" i="3"/>
  <c r="E2973" i="3"/>
  <c r="E3035" i="3"/>
  <c r="E3066" i="3"/>
  <c r="E3084" i="3"/>
  <c r="E3097" i="3"/>
  <c r="E3185" i="3"/>
  <c r="E3225" i="3"/>
  <c r="E3243" i="3"/>
  <c r="E3274" i="3"/>
  <c r="E3278" i="3"/>
  <c r="E3348" i="3"/>
  <c r="E3351" i="3"/>
  <c r="E3436" i="3"/>
  <c r="E3470" i="3"/>
  <c r="E3504" i="3"/>
  <c r="E3566" i="3"/>
  <c r="E3570" i="3"/>
  <c r="E3813" i="3"/>
  <c r="E3820" i="3"/>
  <c r="E3872" i="3"/>
  <c r="E3970" i="3"/>
  <c r="E4043" i="3"/>
  <c r="E4064" i="3"/>
  <c r="E4071" i="3"/>
  <c r="E4100" i="3"/>
  <c r="E4136" i="3"/>
  <c r="E4168" i="3"/>
  <c r="E4203" i="3"/>
  <c r="E4299" i="3"/>
  <c r="E4409" i="3"/>
  <c r="E4465" i="3"/>
  <c r="E4507" i="3"/>
  <c r="E4521" i="3"/>
  <c r="E4557" i="3"/>
  <c r="E4586" i="3"/>
  <c r="E4647" i="3"/>
  <c r="E4653" i="3"/>
  <c r="E4678" i="3"/>
  <c r="E4700" i="3"/>
  <c r="E4731" i="3"/>
  <c r="E4776" i="3"/>
  <c r="E4797" i="3"/>
  <c r="E9" i="3"/>
  <c r="E125" i="3"/>
  <c r="E140" i="3"/>
  <c r="E364" i="3"/>
  <c r="E413" i="3"/>
  <c r="E496" i="3"/>
  <c r="E769" i="3"/>
  <c r="E836" i="3"/>
  <c r="E852" i="3"/>
  <c r="E883" i="3"/>
  <c r="E977" i="3"/>
  <c r="E1090" i="3"/>
  <c r="E1164" i="3"/>
  <c r="E1173" i="3"/>
  <c r="E1201" i="3"/>
  <c r="E1289" i="3"/>
  <c r="E1326" i="3"/>
  <c r="E1366" i="3"/>
  <c r="E1385" i="3"/>
  <c r="E1588" i="3"/>
  <c r="E1619" i="3"/>
  <c r="E1634" i="3"/>
  <c r="E1686" i="3"/>
  <c r="E1760" i="3"/>
  <c r="E1770" i="3"/>
  <c r="E1836" i="3"/>
  <c r="E1840" i="3"/>
  <c r="E1930" i="3"/>
  <c r="E1941" i="3"/>
  <c r="E1982" i="3"/>
  <c r="E2020" i="3"/>
  <c r="E2078" i="3"/>
  <c r="E2131" i="3"/>
  <c r="E2213" i="3"/>
  <c r="E2512" i="3"/>
  <c r="E2519" i="3"/>
  <c r="E2533" i="3"/>
  <c r="E2541" i="3"/>
  <c r="E2559" i="3"/>
  <c r="E2669" i="3"/>
  <c r="E2844" i="3"/>
  <c r="E2862" i="3"/>
  <c r="E2882" i="3"/>
  <c r="E3050" i="3"/>
  <c r="E3116" i="3"/>
  <c r="E3178" i="3"/>
  <c r="E3255" i="3"/>
  <c r="E3339" i="3"/>
  <c r="E3377" i="3"/>
  <c r="E3383" i="3"/>
  <c r="E3410" i="3"/>
  <c r="E3468" i="3"/>
  <c r="E3499" i="3"/>
  <c r="E3520" i="3"/>
  <c r="E3624" i="3"/>
  <c r="E3656" i="3"/>
  <c r="E3672" i="3"/>
  <c r="E3703" i="3"/>
  <c r="E3860" i="3"/>
  <c r="E3957" i="3"/>
  <c r="E4005" i="3"/>
  <c r="E4040" i="3"/>
  <c r="E4047" i="3"/>
  <c r="E4063" i="3"/>
  <c r="E4084" i="3"/>
  <c r="E4112" i="3"/>
  <c r="E4121" i="3"/>
  <c r="E4281" i="3"/>
  <c r="E4291" i="3"/>
  <c r="E4310" i="3"/>
  <c r="E4354" i="3"/>
  <c r="E4489" i="3"/>
  <c r="E4556" i="3"/>
  <c r="E4571" i="3"/>
  <c r="E4576" i="3"/>
  <c r="E4715" i="3"/>
  <c r="E4743" i="3"/>
  <c r="E4752" i="3"/>
  <c r="E109" i="3"/>
  <c r="E161" i="3"/>
  <c r="E186" i="3"/>
  <c r="E435" i="3"/>
  <c r="E455" i="3"/>
  <c r="E457" i="3"/>
  <c r="E477" i="3"/>
  <c r="E503" i="3"/>
  <c r="E554" i="3"/>
  <c r="E603" i="3"/>
  <c r="E639" i="3"/>
  <c r="E665" i="3"/>
  <c r="E776" i="3"/>
  <c r="E958" i="3"/>
  <c r="E1062" i="3"/>
  <c r="E1136" i="3"/>
  <c r="E1252" i="3"/>
  <c r="E1263" i="3"/>
  <c r="E1269" i="3"/>
  <c r="E1396" i="3"/>
  <c r="E1474" i="3"/>
  <c r="E1585" i="3"/>
  <c r="E1621" i="3"/>
  <c r="E1676" i="3"/>
  <c r="E1693" i="3"/>
  <c r="E1702" i="3"/>
  <c r="E1711" i="3"/>
  <c r="E1798" i="3"/>
  <c r="E2178" i="3"/>
  <c r="E2237" i="3"/>
  <c r="E2314" i="3"/>
  <c r="E2339" i="3"/>
  <c r="E2372" i="3"/>
  <c r="E2439" i="3"/>
  <c r="E2567" i="3"/>
  <c r="E2629" i="3"/>
  <c r="E2702" i="3"/>
  <c r="E2770" i="3"/>
  <c r="E2790" i="3"/>
  <c r="E3000" i="3"/>
  <c r="E3018" i="3"/>
  <c r="E3024" i="3"/>
  <c r="E3090" i="3"/>
  <c r="E3172" i="3"/>
  <c r="E3375" i="3"/>
  <c r="E3447" i="3"/>
  <c r="E3505" i="3"/>
  <c r="E3628" i="3"/>
  <c r="E3715" i="3"/>
  <c r="E3728" i="3"/>
  <c r="E3735" i="3"/>
  <c r="E3790" i="3"/>
  <c r="E3907" i="3"/>
  <c r="E3952" i="3"/>
  <c r="E3998" i="3"/>
  <c r="E4074" i="3"/>
  <c r="E4200" i="3"/>
  <c r="E4227" i="3"/>
  <c r="E4244" i="3"/>
  <c r="E4297" i="3"/>
  <c r="E4314" i="3"/>
  <c r="E4322" i="3"/>
  <c r="E4331" i="3"/>
  <c r="E4418" i="3"/>
  <c r="E4505" i="3"/>
  <c r="E4564" i="3"/>
  <c r="E4568" i="3"/>
  <c r="E4711" i="3"/>
  <c r="E4753" i="3"/>
  <c r="E765" i="3"/>
  <c r="E1506" i="3"/>
  <c r="E2993" i="3"/>
  <c r="E3155" i="3"/>
  <c r="E4437" i="3"/>
  <c r="E20" i="3"/>
  <c r="E101" i="3"/>
  <c r="E160" i="3"/>
  <c r="E274" i="3"/>
  <c r="E359" i="3"/>
  <c r="E380" i="3"/>
  <c r="E440" i="3"/>
  <c r="E451" i="3"/>
  <c r="E559" i="3"/>
  <c r="E675" i="3"/>
  <c r="E870" i="3"/>
  <c r="E914" i="3"/>
  <c r="E948" i="3"/>
  <c r="E1089" i="3"/>
  <c r="E1142" i="3"/>
  <c r="E1213" i="3"/>
  <c r="E1215" i="3"/>
  <c r="E1297" i="3"/>
  <c r="E1361" i="3"/>
  <c r="E1370" i="3"/>
  <c r="E1399" i="3"/>
  <c r="E1456" i="3"/>
  <c r="E1563" i="3"/>
  <c r="E1586" i="3"/>
  <c r="E1661" i="3"/>
  <c r="E1679" i="3"/>
  <c r="E1684" i="3"/>
  <c r="E1758" i="3"/>
  <c r="E1831" i="3"/>
  <c r="E1866" i="3"/>
  <c r="E1873" i="3"/>
  <c r="E1879" i="3"/>
  <c r="E1885" i="3"/>
  <c r="E1889" i="3"/>
  <c r="E2060" i="3"/>
  <c r="E2090" i="3"/>
  <c r="E2151" i="3"/>
  <c r="E2200" i="3"/>
  <c r="E2285" i="3"/>
  <c r="E2676" i="3"/>
  <c r="E2715" i="3"/>
  <c r="E2732" i="3"/>
  <c r="E2786" i="3"/>
  <c r="E2802" i="3"/>
  <c r="E2872" i="3"/>
  <c r="E3037" i="3"/>
  <c r="E3177" i="3"/>
  <c r="E3234" i="3"/>
  <c r="E3290" i="3"/>
  <c r="E3293" i="3"/>
  <c r="E3420" i="3"/>
  <c r="E3429" i="3"/>
  <c r="E3434" i="3"/>
  <c r="E3685" i="3"/>
  <c r="E3709" i="3"/>
  <c r="E3744" i="3"/>
  <c r="E3838" i="3"/>
  <c r="E3876" i="3"/>
  <c r="E3881" i="3"/>
  <c r="E3896" i="3"/>
  <c r="E4050" i="3"/>
  <c r="E4097" i="3"/>
  <c r="E4163" i="3"/>
  <c r="E4175" i="3"/>
  <c r="E4273" i="3"/>
  <c r="E4307" i="3"/>
  <c r="E4404" i="3"/>
  <c r="E4423" i="3"/>
  <c r="E4432" i="3"/>
  <c r="E4493" i="3"/>
  <c r="E4559" i="3"/>
  <c r="E4588" i="3"/>
  <c r="E4692" i="3"/>
  <c r="E4724" i="3"/>
  <c r="E4730" i="3"/>
  <c r="E4732" i="3"/>
  <c r="E93" i="3"/>
  <c r="E100" i="3"/>
  <c r="E121" i="3"/>
  <c r="E127" i="3"/>
  <c r="E252" i="3"/>
  <c r="E316" i="3"/>
  <c r="E541" i="3"/>
  <c r="E611" i="3"/>
  <c r="E614" i="3"/>
  <c r="E656" i="3"/>
  <c r="E896" i="3"/>
  <c r="E907" i="3"/>
  <c r="E952" i="3"/>
  <c r="E989" i="3"/>
  <c r="E1066" i="3"/>
  <c r="E1069" i="3"/>
  <c r="E1111" i="3"/>
  <c r="E1155" i="3"/>
  <c r="E1207" i="3"/>
  <c r="E1296" i="3"/>
  <c r="E1343" i="3"/>
  <c r="E1347" i="3"/>
  <c r="E1357" i="3"/>
  <c r="E1405" i="3"/>
  <c r="E1424" i="3"/>
  <c r="E1524" i="3"/>
  <c r="E1578" i="3"/>
  <c r="E1593" i="3"/>
  <c r="E1610" i="3"/>
  <c r="E1777" i="3"/>
  <c r="E1782" i="3"/>
  <c r="E1794" i="3"/>
  <c r="E1875" i="3"/>
  <c r="E1900" i="3"/>
  <c r="E1969" i="3"/>
  <c r="E2008" i="3"/>
  <c r="E2022" i="3"/>
  <c r="E2087" i="3"/>
  <c r="E2154" i="3"/>
  <c r="E2245" i="3"/>
  <c r="E2289" i="3"/>
  <c r="E2367" i="3"/>
  <c r="E2462" i="3"/>
  <c r="E2497" i="3"/>
  <c r="E2549" i="3"/>
  <c r="E2595" i="3"/>
  <c r="E2598" i="3"/>
  <c r="E2617" i="3"/>
  <c r="E2682" i="3"/>
  <c r="E2771" i="3"/>
  <c r="E2775" i="3"/>
  <c r="E2801" i="3"/>
  <c r="E2981" i="3"/>
  <c r="E3101" i="3"/>
  <c r="E3107" i="3"/>
  <c r="E3129" i="3"/>
  <c r="E3139" i="3"/>
  <c r="E3141" i="3"/>
  <c r="E3209" i="3"/>
  <c r="E3245" i="3"/>
  <c r="E3296" i="3"/>
  <c r="E3623" i="3"/>
  <c r="E3706" i="3"/>
  <c r="E3780" i="3"/>
  <c r="E3856" i="3"/>
  <c r="E3953" i="3"/>
  <c r="E4025" i="3"/>
  <c r="E4070" i="3"/>
  <c r="E4162" i="3"/>
  <c r="E4179" i="3"/>
  <c r="E4236" i="3"/>
  <c r="E4272" i="3"/>
  <c r="E4412" i="3"/>
  <c r="E4475" i="3"/>
  <c r="E4501" i="3"/>
  <c r="E4541" i="3"/>
  <c r="E4574" i="3"/>
  <c r="E4702" i="3"/>
  <c r="E4750" i="3"/>
  <c r="E4800" i="3"/>
  <c r="E77" i="3"/>
  <c r="E97" i="3"/>
  <c r="E102" i="3"/>
  <c r="E128" i="3"/>
  <c r="E132" i="3"/>
  <c r="E134" i="3"/>
  <c r="E238" i="3"/>
  <c r="E271" i="3"/>
  <c r="E307" i="3"/>
  <c r="E326" i="3"/>
  <c r="E347" i="3"/>
  <c r="E399" i="3"/>
  <c r="E407" i="3"/>
  <c r="E438" i="3"/>
  <c r="E510" i="3"/>
  <c r="E519" i="3"/>
  <c r="E564" i="3"/>
  <c r="E616" i="3"/>
  <c r="E628" i="3"/>
  <c r="E818" i="3"/>
  <c r="E825" i="3"/>
  <c r="E827" i="3"/>
  <c r="E859" i="3"/>
  <c r="E968" i="3"/>
  <c r="E1023" i="3"/>
  <c r="E1098" i="3"/>
  <c r="E1127" i="3"/>
  <c r="E1146" i="3"/>
  <c r="E1154" i="3"/>
  <c r="E1210" i="3"/>
  <c r="E1220" i="3"/>
  <c r="E1231" i="3"/>
  <c r="E1234" i="3"/>
  <c r="E1284" i="3"/>
  <c r="E1395" i="3"/>
  <c r="E1431" i="3"/>
  <c r="E1451" i="3"/>
  <c r="E1538" i="3"/>
  <c r="E1594" i="3"/>
  <c r="E1605" i="3"/>
  <c r="E1641" i="3"/>
  <c r="E1654" i="3"/>
  <c r="E1657" i="3"/>
  <c r="E1659" i="3"/>
  <c r="E1674" i="3"/>
  <c r="E1680" i="3"/>
  <c r="E1734" i="3"/>
  <c r="E1781" i="3"/>
  <c r="E1799" i="3"/>
  <c r="E1812" i="3"/>
  <c r="E1835" i="3"/>
  <c r="E1871" i="3"/>
  <c r="E1897" i="3"/>
  <c r="E1976" i="3"/>
  <c r="E1978" i="3"/>
  <c r="E2002" i="3"/>
  <c r="E2045" i="3"/>
  <c r="E2106" i="3"/>
  <c r="E2140" i="3"/>
  <c r="E2203" i="3"/>
  <c r="E2218" i="3"/>
  <c r="E2232" i="3"/>
  <c r="E2264" i="3"/>
  <c r="E2269" i="3"/>
  <c r="E2305" i="3"/>
  <c r="E2338" i="3"/>
  <c r="E2364" i="3"/>
  <c r="E2383" i="3"/>
  <c r="E2501" i="3"/>
  <c r="E2520" i="3"/>
  <c r="E2600" i="3"/>
  <c r="E2630" i="3"/>
  <c r="E2635" i="3"/>
  <c r="E2741" i="3"/>
  <c r="E2807" i="3"/>
  <c r="E2884" i="3"/>
  <c r="E2907" i="3"/>
  <c r="E2914" i="3"/>
  <c r="E2975" i="3"/>
  <c r="E3042" i="3"/>
  <c r="E3114" i="3"/>
  <c r="E3130" i="3"/>
  <c r="E3144" i="3"/>
  <c r="E3171" i="3"/>
  <c r="E3184" i="3"/>
  <c r="E3190" i="3"/>
  <c r="E3218" i="3"/>
  <c r="E3231" i="3"/>
  <c r="E3239" i="3"/>
  <c r="E3276" i="3"/>
  <c r="E3345" i="3"/>
  <c r="E3361" i="3"/>
  <c r="E3401" i="3"/>
  <c r="E3411" i="3"/>
  <c r="E3500" i="3"/>
  <c r="E3546" i="3"/>
  <c r="E3562" i="3"/>
  <c r="E3572" i="3"/>
  <c r="E3612" i="3"/>
  <c r="E3627" i="3"/>
  <c r="E3632" i="3"/>
  <c r="E3721" i="3"/>
  <c r="E3731" i="3"/>
  <c r="E3746" i="3"/>
  <c r="E3754" i="3"/>
  <c r="E3774" i="3"/>
  <c r="E3877" i="3"/>
  <c r="E3879" i="3"/>
  <c r="E3949" i="3"/>
  <c r="E3989" i="3"/>
  <c r="E3990" i="3"/>
  <c r="E3992" i="3"/>
  <c r="E4001" i="3"/>
  <c r="E4002" i="3"/>
  <c r="E4014" i="3"/>
  <c r="E4029" i="3"/>
  <c r="E4048" i="3"/>
  <c r="E4173" i="3"/>
  <c r="E4185" i="3"/>
  <c r="E4350" i="3"/>
  <c r="E4359" i="3"/>
  <c r="E4362" i="3"/>
  <c r="E4367" i="3"/>
  <c r="E4399" i="3"/>
  <c r="E4400" i="3"/>
  <c r="E4424" i="3"/>
  <c r="E4438" i="3"/>
  <c r="E4446" i="3"/>
  <c r="E4467" i="3"/>
  <c r="E4474" i="3"/>
  <c r="E4480" i="3"/>
  <c r="E4483" i="3"/>
  <c r="E4485" i="3"/>
  <c r="E4487" i="3"/>
  <c r="E4504" i="3"/>
  <c r="E4509" i="3"/>
  <c r="E4512" i="3"/>
  <c r="E4515" i="3"/>
  <c r="E4523" i="3"/>
  <c r="E4533" i="3"/>
  <c r="E4535" i="3"/>
  <c r="E4552" i="3"/>
  <c r="E4592" i="3"/>
  <c r="E4594" i="3"/>
  <c r="E4644" i="3"/>
  <c r="E4654" i="3"/>
  <c r="E4657" i="3"/>
  <c r="E4768" i="3"/>
  <c r="E4818" i="3"/>
  <c r="E78" i="3"/>
  <c r="E242" i="3"/>
  <c r="E265" i="3"/>
  <c r="E277" i="3"/>
  <c r="E279" i="3"/>
  <c r="E292" i="3"/>
  <c r="E297" i="3"/>
  <c r="E363" i="3"/>
  <c r="E443" i="3"/>
  <c r="E445" i="3"/>
  <c r="E450" i="3"/>
  <c r="E468" i="3"/>
  <c r="E582" i="3"/>
  <c r="E597" i="3"/>
  <c r="E609" i="3"/>
  <c r="E631" i="3"/>
  <c r="E632" i="3"/>
  <c r="E642" i="3"/>
  <c r="E648" i="3"/>
  <c r="E709" i="3"/>
  <c r="E762" i="3"/>
  <c r="E782" i="3"/>
  <c r="E784" i="3"/>
  <c r="E833" i="3"/>
  <c r="E837" i="3"/>
  <c r="E844" i="3"/>
  <c r="E932" i="3"/>
  <c r="E937" i="3"/>
  <c r="E1007" i="3"/>
  <c r="E1030" i="3"/>
  <c r="E1035" i="3"/>
  <c r="E1043" i="3"/>
  <c r="E1077" i="3"/>
  <c r="E1088" i="3"/>
  <c r="E1175" i="3"/>
  <c r="E1202" i="3"/>
  <c r="E1254" i="3"/>
  <c r="E1266" i="3"/>
  <c r="E1282" i="3"/>
  <c r="E1412" i="3"/>
  <c r="E1427" i="3"/>
  <c r="E1439" i="3"/>
  <c r="E1457" i="3"/>
  <c r="E1462" i="3"/>
  <c r="E1477" i="3"/>
  <c r="E1500" i="3"/>
  <c r="E1518" i="3"/>
  <c r="E1520" i="3"/>
  <c r="E1531" i="3"/>
  <c r="E1550" i="3"/>
  <c r="E1560" i="3"/>
  <c r="E1635" i="3"/>
  <c r="E1681" i="3"/>
  <c r="E1695" i="3"/>
  <c r="E1730" i="3"/>
  <c r="E1772" i="3"/>
  <c r="E1802" i="3"/>
  <c r="E1807" i="3"/>
  <c r="E1821" i="3"/>
  <c r="E1851" i="3"/>
  <c r="E1856" i="3"/>
  <c r="E1857" i="3"/>
  <c r="E1872" i="3"/>
  <c r="E1876" i="3"/>
  <c r="E1899" i="3"/>
  <c r="E1924" i="3"/>
  <c r="E1953" i="3"/>
  <c r="E1995" i="3"/>
  <c r="E2004" i="3"/>
  <c r="E2039" i="3"/>
  <c r="E2062" i="3"/>
  <c r="E2066" i="3"/>
  <c r="E2088" i="3"/>
  <c r="E2115" i="3"/>
  <c r="E2130" i="3"/>
  <c r="E2190" i="3"/>
  <c r="E2199" i="3"/>
  <c r="E2235" i="3"/>
  <c r="E2241" i="3"/>
  <c r="E2253" i="3"/>
  <c r="E2322" i="3"/>
  <c r="E2327" i="3"/>
  <c r="E2334" i="3"/>
  <c r="E2337" i="3"/>
  <c r="E2348" i="3"/>
  <c r="E2374" i="3"/>
  <c r="E2402" i="3"/>
  <c r="E2456" i="3"/>
  <c r="E2557" i="3"/>
  <c r="E2570" i="3"/>
  <c r="E2599" i="3"/>
  <c r="E2706" i="3"/>
  <c r="E2714" i="3"/>
  <c r="E2833" i="3"/>
  <c r="E2845" i="3"/>
  <c r="E2852" i="3"/>
  <c r="E2944" i="3"/>
  <c r="E3001" i="3"/>
  <c r="E3030" i="3"/>
  <c r="E3046" i="3"/>
  <c r="E3053" i="3"/>
  <c r="E3098" i="3"/>
  <c r="E3194" i="3"/>
  <c r="E3205" i="3"/>
  <c r="E3206" i="3"/>
  <c r="E3253" i="3"/>
  <c r="E3264" i="3"/>
  <c r="E3291" i="3"/>
  <c r="E3316" i="3"/>
  <c r="E3328" i="3"/>
  <c r="E3334" i="3"/>
  <c r="E3343" i="3"/>
  <c r="E3373" i="3"/>
  <c r="E3396" i="3"/>
  <c r="E3418" i="3"/>
  <c r="E3458" i="3"/>
  <c r="E3483" i="3"/>
  <c r="E3496" i="3"/>
  <c r="E3515" i="3"/>
  <c r="E3540" i="3"/>
  <c r="E3690" i="3"/>
  <c r="E3705" i="3"/>
  <c r="E3707" i="3"/>
  <c r="E3734" i="3"/>
  <c r="E3743" i="3"/>
  <c r="E3771" i="3"/>
  <c r="E3777" i="3"/>
  <c r="E3844" i="3"/>
  <c r="E3875" i="3"/>
  <c r="E3891" i="3"/>
  <c r="E3945" i="3"/>
  <c r="E3974" i="3"/>
  <c r="E4020" i="3"/>
  <c r="E4036" i="3"/>
  <c r="E4078" i="3"/>
  <c r="E4110" i="3"/>
  <c r="E4155" i="3"/>
  <c r="E4174" i="3"/>
  <c r="E4240" i="3"/>
  <c r="E4256" i="3"/>
  <c r="E4257" i="3"/>
  <c r="E4267" i="3"/>
  <c r="E4285" i="3"/>
  <c r="E4296" i="3"/>
  <c r="E4349" i="3"/>
  <c r="E4368" i="3"/>
  <c r="E4373" i="3"/>
  <c r="E4382" i="3"/>
  <c r="E4394" i="3"/>
  <c r="E4491" i="3"/>
  <c r="E4519" i="3"/>
  <c r="E4522" i="3"/>
  <c r="E4550" i="3"/>
  <c r="E4575" i="3"/>
  <c r="E4581" i="3"/>
  <c r="E4676" i="3"/>
  <c r="E4694" i="3"/>
  <c r="E4734" i="3"/>
  <c r="E4816" i="3"/>
  <c r="E4821" i="3"/>
  <c r="E4823" i="3"/>
  <c r="E28" i="3"/>
  <c r="E46" i="3"/>
  <c r="E71" i="3"/>
  <c r="E80" i="3"/>
  <c r="E150" i="3"/>
  <c r="E194" i="3"/>
  <c r="E199" i="3"/>
  <c r="E245" i="3"/>
  <c r="E253" i="3"/>
  <c r="E256" i="3"/>
  <c r="E276" i="3"/>
  <c r="E313" i="3"/>
  <c r="E339" i="3"/>
  <c r="E355" i="3"/>
  <c r="E372" i="3"/>
  <c r="E376" i="3"/>
  <c r="E446" i="3"/>
  <c r="E452" i="3"/>
  <c r="E504" i="3"/>
  <c r="E539" i="3"/>
  <c r="E545" i="3"/>
  <c r="E561" i="3"/>
  <c r="E592" i="3"/>
  <c r="E602" i="3"/>
  <c r="E623" i="3"/>
  <c r="E684" i="3"/>
  <c r="E704" i="3"/>
  <c r="E713" i="3"/>
  <c r="E723" i="3"/>
  <c r="E790" i="3"/>
  <c r="E815" i="3"/>
  <c r="E850" i="3"/>
  <c r="E861" i="3"/>
  <c r="E939" i="3"/>
  <c r="E987" i="3"/>
  <c r="E1000" i="3"/>
  <c r="E1051" i="3"/>
  <c r="E1097" i="3"/>
  <c r="E1106" i="3"/>
  <c r="E1112" i="3"/>
  <c r="E1178" i="3"/>
  <c r="E1267" i="3"/>
  <c r="E1279" i="3"/>
  <c r="E1359" i="3"/>
  <c r="E1375" i="3"/>
  <c r="E1393" i="3"/>
  <c r="E1394" i="3"/>
  <c r="E1453" i="3"/>
  <c r="E1454" i="3"/>
  <c r="E1513" i="3"/>
  <c r="E1535" i="3"/>
  <c r="E1557" i="3"/>
  <c r="E1564" i="3"/>
  <c r="E1571" i="3"/>
  <c r="E1577" i="3"/>
  <c r="E1599" i="3"/>
  <c r="E1691" i="3"/>
  <c r="E1698" i="3"/>
  <c r="E1738" i="3"/>
  <c r="E1740" i="3"/>
  <c r="E1845" i="3"/>
  <c r="E1925" i="3"/>
  <c r="E1936" i="3"/>
  <c r="E1967" i="3"/>
  <c r="E2013" i="3"/>
  <c r="E2030" i="3"/>
  <c r="E2040" i="3"/>
  <c r="E2044" i="3"/>
  <c r="E2064" i="3"/>
  <c r="E2082" i="3"/>
  <c r="E2093" i="3"/>
  <c r="E2126" i="3"/>
  <c r="E2136" i="3"/>
  <c r="E2144" i="3"/>
  <c r="E2149" i="3"/>
  <c r="E2194" i="3"/>
  <c r="E2266" i="3"/>
  <c r="E2273" i="3"/>
  <c r="E2319" i="3"/>
  <c r="E2346" i="3"/>
  <c r="E2356" i="3"/>
  <c r="E2376" i="3"/>
  <c r="E2380" i="3"/>
  <c r="E2470" i="3"/>
  <c r="E2525" i="3"/>
  <c r="E2532" i="3"/>
  <c r="E2674" i="3"/>
  <c r="E2677" i="3"/>
  <c r="E2703" i="3"/>
  <c r="E2742" i="3"/>
  <c r="E2757" i="3"/>
  <c r="E2767" i="3"/>
  <c r="E2768" i="3"/>
  <c r="E2870" i="3"/>
  <c r="E2883" i="3"/>
  <c r="E2903" i="3"/>
  <c r="E2926" i="3"/>
  <c r="E2934" i="3"/>
  <c r="E3092" i="3"/>
  <c r="E3137" i="3"/>
  <c r="E3165" i="3"/>
  <c r="E3183" i="3"/>
  <c r="E3202" i="3"/>
  <c r="E3221" i="3"/>
  <c r="E3250" i="3"/>
  <c r="E3298" i="3"/>
  <c r="E3312" i="3"/>
  <c r="E3330" i="3"/>
  <c r="E3369" i="3"/>
  <c r="E3412" i="3"/>
  <c r="E3430" i="3"/>
  <c r="E3476" i="3"/>
  <c r="E3477" i="3"/>
  <c r="E3492" i="3"/>
  <c r="E3538" i="3"/>
  <c r="E3574" i="3"/>
  <c r="E3606" i="3"/>
  <c r="E3607" i="3"/>
  <c r="E3611" i="3"/>
  <c r="E3640" i="3"/>
  <c r="E3686" i="3"/>
  <c r="E3708" i="3"/>
  <c r="E3752" i="3"/>
  <c r="E3753" i="3"/>
  <c r="E3767" i="3"/>
  <c r="E3781" i="3"/>
  <c r="E3785" i="3"/>
  <c r="E3786" i="3"/>
  <c r="E3888" i="3"/>
  <c r="E3984" i="3"/>
  <c r="E4031" i="3"/>
  <c r="E4093" i="3"/>
  <c r="E4123" i="3"/>
  <c r="E4131" i="3"/>
  <c r="E4186" i="3"/>
  <c r="E4212" i="3"/>
  <c r="E4233" i="3"/>
  <c r="E4243" i="3"/>
  <c r="E4268" i="3"/>
  <c r="E4275" i="3"/>
  <c r="E4279" i="3"/>
  <c r="E4316" i="3"/>
  <c r="E4328" i="3"/>
  <c r="E4332" i="3"/>
  <c r="E4337" i="3"/>
  <c r="E4347" i="3"/>
  <c r="E4348" i="3"/>
  <c r="E4355" i="3"/>
  <c r="E4358" i="3"/>
  <c r="E4387" i="3"/>
  <c r="E4414" i="3"/>
  <c r="E4434" i="3"/>
  <c r="E4456" i="3"/>
  <c r="E4459" i="3"/>
  <c r="E4502" i="3"/>
  <c r="E4524" i="3"/>
  <c r="E4548" i="3"/>
  <c r="E4551" i="3"/>
  <c r="E4614" i="3"/>
  <c r="E4623" i="3"/>
  <c r="E4674" i="3"/>
  <c r="E4723" i="3"/>
  <c r="E4755" i="3"/>
  <c r="E4770" i="3"/>
  <c r="E4785" i="3"/>
  <c r="E39" i="3"/>
  <c r="E54" i="3"/>
  <c r="E59" i="3"/>
  <c r="E60" i="3"/>
  <c r="E63" i="3"/>
  <c r="E72" i="3"/>
  <c r="E83" i="3"/>
  <c r="E99" i="3"/>
  <c r="E106" i="3"/>
  <c r="E114" i="3"/>
  <c r="E163" i="3"/>
  <c r="E218" i="3"/>
  <c r="E234" i="3"/>
  <c r="E258" i="3"/>
  <c r="E266" i="3"/>
  <c r="E269" i="3"/>
  <c r="E270" i="3"/>
  <c r="E317" i="3"/>
  <c r="E348" i="3"/>
  <c r="E365" i="3"/>
  <c r="E369" i="3"/>
  <c r="E378" i="3"/>
  <c r="E379" i="3"/>
  <c r="E416" i="3"/>
  <c r="E422" i="3"/>
  <c r="E427" i="3"/>
  <c r="E434" i="3"/>
  <c r="E523" i="3"/>
  <c r="E546" i="3"/>
  <c r="E595" i="3"/>
  <c r="E641" i="3"/>
  <c r="E651" i="3"/>
  <c r="E670" i="3"/>
  <c r="E680" i="3"/>
  <c r="E699" i="3"/>
  <c r="E710" i="3"/>
  <c r="E716" i="3"/>
  <c r="E774" i="3"/>
  <c r="E808" i="3"/>
  <c r="E809" i="3"/>
  <c r="E820" i="3"/>
  <c r="E831" i="3"/>
  <c r="E835" i="3"/>
  <c r="E961" i="3"/>
  <c r="E997" i="3"/>
  <c r="E1032" i="3"/>
  <c r="E1047" i="3"/>
  <c r="E1065" i="3"/>
  <c r="E1161" i="3"/>
  <c r="E1182" i="3"/>
  <c r="E1278" i="3"/>
  <c r="E1356" i="3"/>
  <c r="E1380" i="3"/>
  <c r="E1430" i="3"/>
  <c r="E1536" i="3"/>
  <c r="E1581" i="3"/>
  <c r="E1608" i="3"/>
  <c r="E1627" i="3"/>
  <c r="E1690" i="3"/>
  <c r="E1703" i="3"/>
  <c r="E1704" i="3"/>
  <c r="E1735" i="3"/>
  <c r="E1788" i="3"/>
  <c r="E1789" i="3"/>
  <c r="E1792" i="3"/>
  <c r="E1804" i="3"/>
  <c r="E1850" i="3"/>
  <c r="E1860" i="3"/>
  <c r="E1901" i="3"/>
  <c r="E1932" i="3"/>
  <c r="E1949" i="3"/>
  <c r="E1964" i="3"/>
  <c r="E1981" i="3"/>
  <c r="E2005" i="3"/>
  <c r="E2014" i="3"/>
  <c r="E2021" i="3"/>
  <c r="E2059" i="3"/>
  <c r="E2076" i="3"/>
  <c r="E2079" i="3"/>
  <c r="E2084" i="3"/>
  <c r="E2086" i="3"/>
  <c r="E2143" i="3"/>
  <c r="E2214" i="3"/>
  <c r="E2243" i="3"/>
  <c r="E2272" i="3"/>
  <c r="E2277" i="3"/>
  <c r="E2286" i="3"/>
  <c r="E2342" i="3"/>
  <c r="E2351" i="3"/>
  <c r="E2359" i="3"/>
  <c r="E2361" i="3"/>
  <c r="E2382" i="3"/>
  <c r="E2411" i="3"/>
  <c r="E2421" i="3"/>
  <c r="E2429" i="3"/>
  <c r="E2475" i="3"/>
  <c r="E2508" i="3"/>
  <c r="E2542" i="3"/>
  <c r="E2566" i="3"/>
  <c r="E2579" i="3"/>
  <c r="E2601" i="3"/>
  <c r="E2627" i="3"/>
  <c r="E2632" i="3"/>
  <c r="E2639" i="3"/>
  <c r="E2746" i="3"/>
  <c r="E2924" i="3"/>
  <c r="E2925" i="3"/>
  <c r="E2929" i="3"/>
  <c r="E2957" i="3"/>
  <c r="E2958" i="3"/>
  <c r="E2966" i="3"/>
  <c r="E3010" i="3"/>
  <c r="E3052" i="3"/>
  <c r="E3088" i="3"/>
  <c r="E3143" i="3"/>
  <c r="E3146" i="3"/>
  <c r="E3148" i="3"/>
  <c r="E3151" i="3"/>
  <c r="E3152" i="3"/>
  <c r="E3153" i="3"/>
  <c r="E3176" i="3"/>
  <c r="E3216" i="3"/>
  <c r="E3230" i="3"/>
  <c r="E3279" i="3"/>
  <c r="E3302" i="3"/>
  <c r="E3352" i="3"/>
  <c r="E3454" i="3"/>
  <c r="E3486" i="3"/>
  <c r="E3488" i="3"/>
  <c r="E3495" i="3"/>
  <c r="E3509" i="3"/>
  <c r="E3537" i="3"/>
  <c r="E3594" i="3"/>
  <c r="E3626" i="3"/>
  <c r="E3772" i="3"/>
  <c r="E3782" i="3"/>
  <c r="E3805" i="3"/>
  <c r="E3818" i="3"/>
  <c r="E3886" i="3"/>
  <c r="E3898" i="3"/>
  <c r="E3960" i="3"/>
  <c r="E4009" i="3"/>
  <c r="E4024" i="3"/>
  <c r="E4068" i="3"/>
  <c r="E4069" i="3"/>
  <c r="E4073" i="3"/>
  <c r="E4079" i="3"/>
  <c r="E4081" i="3"/>
  <c r="E4094" i="3"/>
  <c r="E4115" i="3"/>
  <c r="E4122" i="3"/>
  <c r="E4156" i="3"/>
  <c r="E4218" i="3"/>
  <c r="E4261" i="3"/>
  <c r="E4269" i="3"/>
  <c r="E4270" i="3"/>
  <c r="E4280" i="3"/>
  <c r="E4288" i="3"/>
  <c r="E4341" i="3"/>
  <c r="E4441" i="3"/>
  <c r="E4543" i="3"/>
  <c r="E4555" i="3"/>
  <c r="E4577" i="3"/>
  <c r="E4604" i="3"/>
  <c r="E4754" i="3"/>
  <c r="E4788" i="3"/>
  <c r="E4799" i="3"/>
  <c r="E4803" i="3"/>
  <c r="E4828" i="3"/>
  <c r="E4829" i="3"/>
  <c r="E23" i="3"/>
  <c r="E130" i="3"/>
  <c r="E232" i="3"/>
  <c r="E249" i="3"/>
  <c r="E325" i="3"/>
  <c r="E334" i="3"/>
  <c r="E362" i="3"/>
  <c r="E385" i="3"/>
  <c r="E552" i="3"/>
  <c r="E669" i="3"/>
  <c r="E687" i="3"/>
  <c r="E785" i="3"/>
  <c r="E828" i="3"/>
  <c r="E845" i="3"/>
  <c r="E916" i="3"/>
  <c r="E949" i="3"/>
  <c r="E959" i="3"/>
  <c r="E984" i="3"/>
  <c r="E1009" i="3"/>
  <c r="E1013" i="3"/>
  <c r="E1034" i="3"/>
  <c r="E1068" i="3"/>
  <c r="E1288" i="3"/>
  <c r="E1316" i="3"/>
  <c r="E1514" i="3"/>
  <c r="E1526" i="3"/>
  <c r="E1590" i="3"/>
  <c r="E1668" i="3"/>
  <c r="E1688" i="3"/>
  <c r="E1752" i="3"/>
  <c r="E1853" i="3"/>
  <c r="E1867" i="3"/>
  <c r="E1874" i="3"/>
  <c r="E1910" i="3"/>
  <c r="E2148" i="3"/>
  <c r="E2169" i="3"/>
  <c r="E2185" i="3"/>
  <c r="E2495" i="3"/>
  <c r="E2531" i="3"/>
  <c r="E2576" i="3"/>
  <c r="E2724" i="3"/>
  <c r="E2754" i="3"/>
  <c r="E2766" i="3"/>
  <c r="E2847" i="3"/>
  <c r="E2953" i="3"/>
  <c r="E2969" i="3"/>
  <c r="E2971" i="3"/>
  <c r="E3009" i="3"/>
  <c r="E3203" i="3"/>
  <c r="E3228" i="3"/>
  <c r="E3256" i="3"/>
  <c r="E3335" i="3"/>
  <c r="E3592" i="3"/>
  <c r="E3899" i="3"/>
  <c r="E3918" i="3"/>
  <c r="E3948" i="3"/>
  <c r="E3991" i="3"/>
  <c r="E4004" i="3"/>
  <c r="E4017" i="3"/>
  <c r="E4067" i="3"/>
  <c r="E4120" i="3"/>
  <c r="E4129" i="3"/>
  <c r="E4190" i="3"/>
  <c r="E4238" i="3"/>
  <c r="E4304" i="3"/>
  <c r="E4324" i="3"/>
  <c r="E4326" i="3"/>
  <c r="E4345" i="3"/>
  <c r="E4357" i="3"/>
  <c r="E4396" i="3"/>
  <c r="E4402" i="3"/>
  <c r="E4405" i="3"/>
  <c r="E4452" i="3"/>
  <c r="E4510" i="3"/>
  <c r="E4538" i="3"/>
  <c r="E4652" i="3"/>
  <c r="E4718" i="3"/>
  <c r="E4746" i="3"/>
  <c r="E4812" i="3"/>
  <c r="E19" i="3"/>
  <c r="E69" i="3"/>
  <c r="E74" i="3"/>
  <c r="E139" i="3"/>
  <c r="E392" i="3"/>
  <c r="E479" i="3"/>
  <c r="E605" i="3"/>
  <c r="E703" i="3"/>
  <c r="E855" i="3"/>
  <c r="E912" i="3"/>
  <c r="E1095" i="3"/>
  <c r="E1240" i="3"/>
  <c r="E1244" i="3"/>
  <c r="E1337" i="3"/>
  <c r="E1398" i="3"/>
  <c r="E1465" i="3"/>
  <c r="E1490" i="3"/>
  <c r="E1528" i="3"/>
  <c r="E1554" i="3"/>
  <c r="E1712" i="3"/>
  <c r="E1724" i="3"/>
  <c r="E2057" i="3"/>
  <c r="E2077" i="3"/>
  <c r="E2097" i="3"/>
  <c r="E2118" i="3"/>
  <c r="E2125" i="3"/>
  <c r="E2204" i="3"/>
  <c r="E2224" i="3"/>
  <c r="E2257" i="3"/>
  <c r="E2313" i="3"/>
  <c r="E2436" i="3"/>
  <c r="E2804" i="3"/>
  <c r="E2835" i="3"/>
  <c r="E2875" i="3"/>
  <c r="E2917" i="3"/>
  <c r="E2932" i="3"/>
  <c r="E2939" i="3"/>
  <c r="E3011" i="3"/>
  <c r="E3091" i="3"/>
  <c r="E3386" i="3"/>
  <c r="E3534" i="3"/>
  <c r="E3553" i="3"/>
  <c r="E3637" i="3"/>
  <c r="E3639" i="3"/>
  <c r="E3642" i="3"/>
  <c r="E3646" i="3"/>
  <c r="E3741" i="3"/>
  <c r="E3826" i="3"/>
  <c r="E3835" i="3"/>
  <c r="E3884" i="3"/>
  <c r="E3996" i="3"/>
  <c r="E4011" i="3"/>
  <c r="E4076" i="3"/>
  <c r="E4132" i="3"/>
  <c r="E4139" i="3"/>
  <c r="E4180" i="3"/>
  <c r="E4274" i="3"/>
  <c r="E4315" i="3"/>
  <c r="E4370" i="3"/>
  <c r="E4384" i="3"/>
  <c r="E4426" i="3"/>
  <c r="E4462" i="3"/>
  <c r="E4508" i="3"/>
  <c r="E4518" i="3"/>
  <c r="E4530" i="3"/>
  <c r="E4534" i="3"/>
  <c r="E4597" i="3"/>
  <c r="E4659" i="3"/>
  <c r="E4665" i="3"/>
  <c r="E4728" i="3"/>
  <c r="E18" i="3"/>
  <c r="E36" i="3"/>
  <c r="E89" i="3"/>
  <c r="E138" i="3"/>
  <c r="E173" i="3"/>
  <c r="E303" i="3"/>
  <c r="E368" i="3"/>
  <c r="E398" i="3"/>
  <c r="E453" i="3"/>
  <c r="E483" i="3"/>
  <c r="E589" i="3"/>
  <c r="E686" i="3"/>
  <c r="E697" i="3"/>
  <c r="E741" i="3"/>
  <c r="E848" i="3"/>
  <c r="E858" i="3"/>
  <c r="E890" i="3"/>
  <c r="E1129" i="3"/>
  <c r="E1214" i="3"/>
  <c r="E1329" i="3"/>
  <c r="E1387" i="3"/>
  <c r="E1416" i="3"/>
  <c r="E1507" i="3"/>
  <c r="E1547" i="3"/>
  <c r="E1592" i="3"/>
  <c r="E1667" i="3"/>
  <c r="E1739" i="3"/>
  <c r="E1793" i="3"/>
  <c r="E1843" i="3"/>
  <c r="E1884" i="3"/>
  <c r="E1934" i="3"/>
  <c r="E2128" i="3"/>
  <c r="E2182" i="3"/>
  <c r="E2195" i="3"/>
  <c r="E2209" i="3"/>
  <c r="E2330" i="3"/>
  <c r="E2387" i="3"/>
  <c r="E2390" i="3"/>
  <c r="E2468" i="3"/>
  <c r="E2483" i="3"/>
  <c r="E2543" i="3"/>
  <c r="E2568" i="3"/>
  <c r="E2589" i="3"/>
  <c r="E2781" i="3"/>
  <c r="E2788" i="3"/>
  <c r="E2842" i="3"/>
  <c r="E2892" i="3"/>
  <c r="E2915" i="3"/>
  <c r="E2943" i="3"/>
  <c r="E3014" i="3"/>
  <c r="E3191" i="3"/>
  <c r="E3295" i="3"/>
  <c r="E3311" i="3"/>
  <c r="E3382" i="3"/>
  <c r="E3519" i="3"/>
  <c r="E3635" i="3"/>
  <c r="E3696" i="3"/>
  <c r="E3799" i="3"/>
  <c r="E3816" i="3"/>
  <c r="E3832" i="3"/>
  <c r="E3846" i="3"/>
  <c r="E3854" i="3"/>
  <c r="E3892" i="3"/>
  <c r="E3933" i="3"/>
  <c r="E3955" i="3"/>
  <c r="E4057" i="3"/>
  <c r="E4151" i="3"/>
  <c r="E4171" i="3"/>
  <c r="E4221" i="3"/>
  <c r="E4226" i="3"/>
  <c r="E4318" i="3"/>
  <c r="E4492" i="3"/>
  <c r="E4583" i="3"/>
  <c r="E4618" i="3"/>
  <c r="E4807" i="3"/>
  <c r="E4822" i="3"/>
  <c r="E8" i="3"/>
  <c r="E47" i="3"/>
  <c r="E98" i="3"/>
  <c r="E187" i="3"/>
  <c r="E205" i="3"/>
  <c r="E263" i="3"/>
  <c r="E332" i="3"/>
  <c r="E417" i="3"/>
  <c r="E444" i="3"/>
  <c r="E489" i="3"/>
  <c r="E506" i="3"/>
  <c r="E548" i="3"/>
  <c r="E640" i="3"/>
  <c r="E694" i="3"/>
  <c r="E706" i="3"/>
  <c r="E718" i="3"/>
  <c r="E738" i="3"/>
  <c r="E875" i="3"/>
  <c r="E901" i="3"/>
  <c r="E1040" i="3"/>
  <c r="E1070" i="3"/>
  <c r="E1096" i="3"/>
  <c r="E1121" i="3"/>
  <c r="E1179" i="3"/>
  <c r="E1317" i="3"/>
  <c r="E1322" i="3"/>
  <c r="E1353" i="3"/>
  <c r="E1383" i="3"/>
  <c r="E1540" i="3"/>
  <c r="E1565" i="3"/>
  <c r="E1582" i="3"/>
  <c r="E1603" i="3"/>
  <c r="E1646" i="3"/>
  <c r="E1785" i="3"/>
  <c r="E1786" i="3"/>
  <c r="E1806" i="3"/>
  <c r="E1823" i="3"/>
  <c r="E1883" i="3"/>
  <c r="E1903" i="3"/>
  <c r="E2023" i="3"/>
  <c r="E2085" i="3"/>
  <c r="E2172" i="3"/>
  <c r="E2207" i="3"/>
  <c r="E2215" i="3"/>
  <c r="E2270" i="3"/>
  <c r="E2333" i="3"/>
  <c r="E2404" i="3"/>
  <c r="E2526" i="3"/>
  <c r="E2528" i="3"/>
  <c r="E2530" i="3"/>
  <c r="E2561" i="3"/>
  <c r="E2634" i="3"/>
  <c r="E2659" i="3"/>
  <c r="E2665" i="3"/>
  <c r="E2670" i="3"/>
  <c r="E2728" i="3"/>
  <c r="E2735" i="3"/>
  <c r="E2743" i="3"/>
  <c r="E2783" i="3"/>
  <c r="E2843" i="3"/>
  <c r="E2904" i="3"/>
  <c r="E2949" i="3"/>
  <c r="E2978" i="3"/>
  <c r="E3033" i="3"/>
  <c r="E3067" i="3"/>
  <c r="E3120" i="3"/>
  <c r="E3186" i="3"/>
  <c r="E3197" i="3"/>
  <c r="E3259" i="3"/>
  <c r="E3266" i="3"/>
  <c r="E3350" i="3"/>
  <c r="E3379" i="3"/>
  <c r="E3417" i="3"/>
  <c r="E3508" i="3"/>
  <c r="E3547" i="3"/>
  <c r="E3700" i="3"/>
  <c r="E3722" i="3"/>
  <c r="E3759" i="3"/>
  <c r="E3791" i="3"/>
  <c r="E3828" i="3"/>
  <c r="E3967" i="3"/>
  <c r="E4006" i="3"/>
  <c r="E4066" i="3"/>
  <c r="E4090" i="3"/>
  <c r="E4099" i="3"/>
  <c r="E4199" i="3"/>
  <c r="E4323" i="3"/>
  <c r="E4336" i="3"/>
  <c r="E4343" i="3"/>
  <c r="E4369" i="3"/>
  <c r="E4386" i="3"/>
  <c r="E4527" i="3"/>
  <c r="E4664" i="3"/>
  <c r="E4703" i="3"/>
  <c r="E4706" i="3"/>
  <c r="E4710" i="3"/>
  <c r="E4721" i="3"/>
  <c r="E117" i="3"/>
  <c r="E191" i="3"/>
  <c r="E318" i="3"/>
  <c r="E335" i="3"/>
  <c r="E437" i="3"/>
  <c r="E478" i="3"/>
  <c r="E553" i="3"/>
  <c r="E562" i="3"/>
  <c r="E624" i="3"/>
  <c r="E725" i="3"/>
  <c r="E763" i="3"/>
  <c r="E806" i="3"/>
  <c r="E841" i="3"/>
  <c r="E917" i="3"/>
  <c r="E986" i="3"/>
  <c r="E1086" i="3"/>
  <c r="E1204" i="3"/>
  <c r="E1211" i="3"/>
  <c r="E1241" i="3"/>
  <c r="E1281" i="3"/>
  <c r="E1461" i="3"/>
  <c r="E1473" i="3"/>
  <c r="E1516" i="3"/>
  <c r="E1523" i="3"/>
  <c r="E1723" i="3"/>
  <c r="E1765" i="3"/>
  <c r="E1809" i="3"/>
  <c r="E1881" i="3"/>
  <c r="E1919" i="3"/>
  <c r="E1972" i="3"/>
  <c r="E1987" i="3"/>
  <c r="E2049" i="3"/>
  <c r="E2174" i="3"/>
  <c r="E2208" i="3"/>
  <c r="E2373" i="3"/>
  <c r="E2398" i="3"/>
  <c r="E2491" i="3"/>
  <c r="E2535" i="3"/>
  <c r="E2536" i="3"/>
  <c r="E2681" i="3"/>
  <c r="E2733" i="3"/>
  <c r="E2752" i="3"/>
  <c r="E2812" i="3"/>
  <c r="E3002" i="3"/>
  <c r="E3022" i="3"/>
  <c r="E3077" i="3"/>
  <c r="E3079" i="3"/>
  <c r="E3109" i="3"/>
  <c r="E3149" i="3"/>
  <c r="E3419" i="3"/>
  <c r="E3527" i="3"/>
  <c r="E3536" i="3"/>
  <c r="E3573" i="3"/>
  <c r="E3622" i="3"/>
  <c r="E3701" i="3"/>
  <c r="E3717" i="3"/>
  <c r="E3727" i="3"/>
  <c r="E3788" i="3"/>
  <c r="E3830" i="3"/>
  <c r="E3863" i="3"/>
  <c r="E3902" i="3"/>
  <c r="E3911" i="3"/>
  <c r="E3940" i="3"/>
  <c r="E4054" i="3"/>
  <c r="E4144" i="3"/>
  <c r="E4147" i="3"/>
  <c r="E4189" i="3"/>
  <c r="E4228" i="3"/>
  <c r="E4265" i="3"/>
  <c r="E4300" i="3"/>
  <c r="E4306" i="3"/>
  <c r="E4312" i="3"/>
  <c r="E4317" i="3"/>
  <c r="E4330" i="3"/>
  <c r="E4372" i="3"/>
  <c r="E4381" i="3"/>
  <c r="E4469" i="3"/>
  <c r="E4478" i="3"/>
  <c r="E4603" i="3"/>
  <c r="E4605" i="3"/>
  <c r="E4656" i="3"/>
  <c r="E131" i="3"/>
  <c r="E411" i="3"/>
  <c r="E759" i="3"/>
  <c r="E1392" i="3"/>
  <c r="E1499" i="3"/>
  <c r="E1863" i="3"/>
  <c r="E2255" i="3"/>
  <c r="E2262" i="3"/>
  <c r="E2755" i="3"/>
  <c r="E2878" i="3"/>
  <c r="E3157" i="3"/>
  <c r="E3581" i="3"/>
  <c r="E3787" i="3"/>
  <c r="E3897" i="3"/>
  <c r="E3932" i="3"/>
  <c r="E4219" i="3"/>
  <c r="E4301" i="3"/>
  <c r="E4477" i="3"/>
  <c r="E4539" i="3"/>
  <c r="E4831" i="3"/>
  <c r="I16" i="3"/>
  <c r="J16" i="3" s="1"/>
  <c r="I43" i="3"/>
  <c r="J43" i="3" s="1"/>
  <c r="I56" i="3"/>
  <c r="J56" i="3" s="1"/>
  <c r="I129" i="3"/>
  <c r="J129" i="3" s="1"/>
  <c r="I174" i="3"/>
  <c r="J174" i="3" s="1"/>
  <c r="I183" i="3"/>
  <c r="J183" i="3" s="1"/>
  <c r="I202" i="3"/>
  <c r="J202" i="3" s="1"/>
  <c r="I207" i="3"/>
  <c r="J207" i="3" s="1"/>
  <c r="I215" i="3"/>
  <c r="J215" i="3" s="1"/>
  <c r="I237" i="3"/>
  <c r="J237" i="3" s="1"/>
  <c r="I250" i="3"/>
  <c r="J250" i="3" s="1"/>
  <c r="I278" i="3"/>
  <c r="J278" i="3" s="1"/>
  <c r="I285" i="3"/>
  <c r="J285" i="3" s="1"/>
  <c r="I337" i="3"/>
  <c r="J337" i="3" s="1"/>
  <c r="I343" i="3"/>
  <c r="J343" i="3" s="1"/>
  <c r="I358" i="3"/>
  <c r="J358" i="3" s="1"/>
  <c r="I389" i="3"/>
  <c r="J389" i="3" s="1"/>
  <c r="I409" i="3"/>
  <c r="J409" i="3" s="1"/>
  <c r="I491" i="3"/>
  <c r="J491" i="3" s="1"/>
  <c r="I494" i="3"/>
  <c r="J494" i="3" s="1"/>
  <c r="I500" i="3"/>
  <c r="J500" i="3" s="1"/>
  <c r="I529" i="3"/>
  <c r="J529" i="3" s="1"/>
  <c r="I531" i="3"/>
  <c r="J531" i="3" s="1"/>
  <c r="I581" i="3"/>
  <c r="J581" i="3" s="1"/>
  <c r="I593" i="3"/>
  <c r="I772" i="3"/>
  <c r="I794" i="3"/>
  <c r="I797" i="3"/>
  <c r="I803" i="3"/>
  <c r="I807" i="3"/>
  <c r="I821" i="3"/>
  <c r="I854" i="3"/>
  <c r="I877" i="3"/>
  <c r="J877" i="3" s="1"/>
  <c r="I892" i="3"/>
  <c r="I905" i="3"/>
  <c r="J905" i="3" s="1"/>
  <c r="I910" i="3"/>
  <c r="I920" i="3"/>
  <c r="J920" i="3" s="1"/>
  <c r="I927" i="3"/>
  <c r="J927" i="3" s="1"/>
  <c r="I928" i="3"/>
  <c r="I941" i="3"/>
  <c r="J941" i="3" s="1"/>
  <c r="I992" i="3"/>
  <c r="J992" i="3" s="1"/>
  <c r="I1010" i="3"/>
  <c r="J1010" i="3" s="1"/>
  <c r="I1052" i="3"/>
  <c r="J1052" i="3" s="1"/>
  <c r="I1053" i="3"/>
  <c r="J1053" i="3" s="1"/>
  <c r="I1093" i="3"/>
  <c r="J1093" i="3" s="1"/>
  <c r="I1101" i="3"/>
  <c r="J1101" i="3" s="1"/>
  <c r="I1128" i="3"/>
  <c r="J1128" i="3" s="1"/>
  <c r="I1135" i="3"/>
  <c r="J1135" i="3" s="1"/>
  <c r="I1245" i="3"/>
  <c r="J1245" i="3" s="1"/>
  <c r="I1301" i="3"/>
  <c r="J1301" i="3" s="1"/>
  <c r="I1324" i="3"/>
  <c r="J1324" i="3" s="1"/>
  <c r="I1349" i="3"/>
  <c r="J1349" i="3" s="1"/>
  <c r="I1362" i="3"/>
  <c r="J1362" i="3" s="1"/>
  <c r="I1411" i="3"/>
  <c r="J1411" i="3" s="1"/>
  <c r="I1425" i="3"/>
  <c r="J1425" i="3" s="1"/>
  <c r="I1426" i="3"/>
  <c r="J1426" i="3" s="1"/>
  <c r="I1433" i="3"/>
  <c r="J1433" i="3" s="1"/>
  <c r="I1444" i="3"/>
  <c r="J1444" i="3" s="1"/>
  <c r="I1556" i="3"/>
  <c r="J1556" i="3" s="1"/>
  <c r="I1569" i="3"/>
  <c r="J1569" i="3" s="1"/>
  <c r="I1629" i="3"/>
  <c r="J1629" i="3" s="1"/>
  <c r="I1639" i="3"/>
  <c r="J1639" i="3" s="1"/>
  <c r="I1664" i="3"/>
  <c r="J1664" i="3" s="1"/>
  <c r="I1713" i="3"/>
  <c r="J1713" i="3" s="1"/>
  <c r="I1748" i="3"/>
  <c r="J1748" i="3" s="1"/>
  <c r="I1774" i="3"/>
  <c r="J1774" i="3" s="1"/>
  <c r="I1784" i="3"/>
  <c r="J1784" i="3" s="1"/>
  <c r="I1813" i="3"/>
  <c r="J1813" i="3" s="1"/>
  <c r="I1820" i="3"/>
  <c r="J1820" i="3" s="1"/>
  <c r="I1838" i="3"/>
  <c r="J1838" i="3" s="1"/>
  <c r="I1963" i="3"/>
  <c r="J1963" i="3" s="1"/>
  <c r="I1973" i="3"/>
  <c r="J1973" i="3" s="1"/>
  <c r="I2000" i="3"/>
  <c r="J2000" i="3" s="1"/>
  <c r="I2054" i="3"/>
  <c r="J2054" i="3" s="1"/>
  <c r="I2068" i="3"/>
  <c r="J2068" i="3" s="1"/>
  <c r="I2101" i="3"/>
  <c r="J2101" i="3" s="1"/>
  <c r="I2122" i="3"/>
  <c r="J2122" i="3" s="1"/>
  <c r="I2160" i="3"/>
  <c r="J2160" i="3" s="1"/>
  <c r="I2233" i="3"/>
  <c r="J2233" i="3" s="1"/>
  <c r="I2234" i="3"/>
  <c r="J2234" i="3" s="1"/>
  <c r="I2298" i="3"/>
  <c r="J2298" i="3" s="1"/>
  <c r="I2332" i="3"/>
  <c r="J2332" i="3" s="1"/>
  <c r="I2427" i="3"/>
  <c r="J2427" i="3" s="1"/>
  <c r="I2565" i="3"/>
  <c r="J2565" i="3" s="1"/>
  <c r="I2586" i="3"/>
  <c r="J2586" i="3" s="1"/>
  <c r="I2608" i="3"/>
  <c r="J2608" i="3" s="1"/>
  <c r="I2625" i="3"/>
  <c r="J2625" i="3" s="1"/>
  <c r="I2641" i="3"/>
  <c r="J2641" i="3" s="1"/>
  <c r="I2666" i="3"/>
  <c r="J2666" i="3" s="1"/>
  <c r="I2667" i="3"/>
  <c r="J2667" i="3" s="1"/>
  <c r="I2691" i="3"/>
  <c r="J2691" i="3" s="1"/>
  <c r="I2694" i="3"/>
  <c r="J2694" i="3" s="1"/>
  <c r="I2705" i="3"/>
  <c r="J2705" i="3" s="1"/>
  <c r="I2720" i="3"/>
  <c r="J2720" i="3" s="1"/>
  <c r="I2729" i="3"/>
  <c r="J2729" i="3" s="1"/>
  <c r="I2737" i="3"/>
  <c r="J2737" i="3" s="1"/>
  <c r="I2738" i="3"/>
  <c r="J2738" i="3" s="1"/>
  <c r="I2765" i="3"/>
  <c r="J2765" i="3" s="1"/>
  <c r="I2772" i="3"/>
  <c r="J2772" i="3" s="1"/>
  <c r="I2779" i="3"/>
  <c r="J2779" i="3" s="1"/>
  <c r="I2797" i="3"/>
  <c r="J2797" i="3" s="1"/>
  <c r="I2829" i="3"/>
  <c r="J2829" i="3" s="1"/>
  <c r="I2834" i="3"/>
  <c r="J2834" i="3" s="1"/>
  <c r="I2869" i="3"/>
  <c r="J2869" i="3" s="1"/>
  <c r="I2876" i="3"/>
  <c r="J2876" i="3" s="1"/>
  <c r="I2896" i="3"/>
  <c r="J2896" i="3" s="1"/>
  <c r="I2945" i="3"/>
  <c r="J2945" i="3" s="1"/>
  <c r="I2955" i="3"/>
  <c r="J2955" i="3" s="1"/>
  <c r="I2998" i="3"/>
  <c r="J2998" i="3" s="1"/>
  <c r="I3025" i="3"/>
  <c r="J3025" i="3" s="1"/>
  <c r="I3057" i="3"/>
  <c r="J3057" i="3" s="1"/>
  <c r="I3089" i="3"/>
  <c r="J3089" i="3" s="1"/>
  <c r="I3106" i="3"/>
  <c r="J3106" i="3" s="1"/>
  <c r="I3136" i="3"/>
  <c r="J3136" i="3" s="1"/>
  <c r="I3189" i="3"/>
  <c r="J3189" i="3" s="1"/>
  <c r="I3195" i="3"/>
  <c r="J3195" i="3" s="1"/>
  <c r="I3236" i="3"/>
  <c r="J3236" i="3" s="1"/>
  <c r="I3267" i="3"/>
  <c r="J3267" i="3" s="1"/>
  <c r="I3427" i="3"/>
  <c r="J3427" i="3" s="1"/>
  <c r="I3431" i="3"/>
  <c r="J3431" i="3" s="1"/>
  <c r="I3460" i="3"/>
  <c r="J3460" i="3" s="1"/>
  <c r="I3472" i="3"/>
  <c r="J3472" i="3" s="1"/>
  <c r="I3494" i="3"/>
  <c r="J3494" i="3" s="1"/>
  <c r="I3502" i="3"/>
  <c r="J3502" i="3" s="1"/>
  <c r="I3621" i="3"/>
  <c r="J3621" i="3" s="1"/>
  <c r="I3625" i="3"/>
  <c r="J3625" i="3" s="1"/>
  <c r="I3638" i="3"/>
  <c r="J3638" i="3" s="1"/>
  <c r="I3653" i="3"/>
  <c r="J3653" i="3" s="1"/>
  <c r="I3675" i="3"/>
  <c r="J3675" i="3" s="1"/>
  <c r="I3695" i="3"/>
  <c r="J3695" i="3" s="1"/>
  <c r="I3711" i="3"/>
  <c r="J3711" i="3" s="1"/>
  <c r="I3747" i="3"/>
  <c r="J3747" i="3" s="1"/>
  <c r="I3796" i="3"/>
  <c r="J3796" i="3" s="1"/>
  <c r="I3814" i="3"/>
  <c r="J3814" i="3" s="1"/>
  <c r="I3833" i="3"/>
  <c r="J3833" i="3" s="1"/>
  <c r="I3841" i="3"/>
  <c r="J3841" i="3" s="1"/>
  <c r="I3849" i="3"/>
  <c r="J3849" i="3" s="1"/>
  <c r="I3871" i="3"/>
  <c r="J3871" i="3" s="1"/>
  <c r="I3961" i="3"/>
  <c r="J3961" i="3" s="1"/>
  <c r="I3973" i="3"/>
  <c r="J3973" i="3" s="1"/>
  <c r="I3988" i="3"/>
  <c r="J3988" i="3" s="1"/>
  <c r="I4088" i="3"/>
  <c r="J4088" i="3" s="1"/>
  <c r="I4092" i="3"/>
  <c r="J4092" i="3" s="1"/>
  <c r="I4153" i="3"/>
  <c r="J4153" i="3" s="1"/>
  <c r="I4188" i="3"/>
  <c r="J4188" i="3" s="1"/>
  <c r="I4237" i="3"/>
  <c r="J4237" i="3" s="1"/>
  <c r="I4356" i="3"/>
  <c r="J4356" i="3" s="1"/>
  <c r="I4385" i="3"/>
  <c r="J4385" i="3" s="1"/>
  <c r="I4407" i="3"/>
  <c r="J4407" i="3" s="1"/>
  <c r="I4411" i="3"/>
  <c r="J4411" i="3" s="1"/>
  <c r="I4422" i="3"/>
  <c r="J4422" i="3" s="1"/>
  <c r="I4425" i="3"/>
  <c r="J4425" i="3" s="1"/>
  <c r="I4429" i="3"/>
  <c r="J4429" i="3" s="1"/>
  <c r="I4447" i="3"/>
  <c r="J4447" i="3" s="1"/>
  <c r="I4448" i="3"/>
  <c r="J4448" i="3" s="1"/>
  <c r="I4488" i="3"/>
  <c r="J4488" i="3" s="1"/>
  <c r="I4537" i="3"/>
  <c r="J4537" i="3" s="1"/>
  <c r="I4563" i="3"/>
  <c r="J4563" i="3" s="1"/>
  <c r="I4616" i="3"/>
  <c r="J4616" i="3" s="1"/>
  <c r="I4658" i="3"/>
  <c r="J4658" i="3" s="1"/>
  <c r="I4669" i="3"/>
  <c r="J4669" i="3" s="1"/>
  <c r="I4735" i="3"/>
  <c r="J4735" i="3" s="1"/>
  <c r="I4738" i="3"/>
  <c r="J4738" i="3" s="1"/>
  <c r="I4793" i="3"/>
  <c r="J4793" i="3" s="1"/>
  <c r="I4810" i="3"/>
  <c r="J4810" i="3" s="1"/>
  <c r="I4819" i="3"/>
  <c r="J4819" i="3" s="1"/>
  <c r="I27" i="3"/>
  <c r="J27" i="3" s="1"/>
  <c r="I31" i="3"/>
  <c r="J31" i="3" s="1"/>
  <c r="I144" i="3"/>
  <c r="J144" i="3" s="1"/>
  <c r="I156" i="3"/>
  <c r="J156" i="3" s="1"/>
  <c r="I179" i="3"/>
  <c r="J179" i="3" s="1"/>
  <c r="I282" i="3"/>
  <c r="J282" i="3" s="1"/>
  <c r="I284" i="3"/>
  <c r="J284" i="3" s="1"/>
  <c r="I341" i="3"/>
  <c r="J341" i="3" s="1"/>
  <c r="I344" i="3"/>
  <c r="J344" i="3" s="1"/>
  <c r="I360" i="3"/>
  <c r="J360" i="3" s="1"/>
  <c r="I406" i="3"/>
  <c r="J406" i="3" s="1"/>
  <c r="I432" i="3"/>
  <c r="J432" i="3" s="1"/>
  <c r="I439" i="3"/>
  <c r="J439" i="3" s="1"/>
  <c r="I441" i="3"/>
  <c r="J441" i="3" s="1"/>
  <c r="I456" i="3"/>
  <c r="J456" i="3" s="1"/>
  <c r="I498" i="3"/>
  <c r="J498" i="3" s="1"/>
  <c r="I502" i="3"/>
  <c r="J502" i="3" s="1"/>
  <c r="I514" i="3"/>
  <c r="J514" i="3" s="1"/>
  <c r="I590" i="3"/>
  <c r="J590" i="3" s="1"/>
  <c r="I599" i="3"/>
  <c r="J599" i="3" s="1"/>
  <c r="I619" i="3"/>
  <c r="J619" i="3" s="1"/>
  <c r="I621" i="3"/>
  <c r="J621" i="3" s="1"/>
  <c r="I681" i="3"/>
  <c r="J681" i="3" s="1"/>
  <c r="I692" i="3"/>
  <c r="J692" i="3" s="1"/>
  <c r="I727" i="3"/>
  <c r="J727" i="3" s="1"/>
  <c r="I731" i="3"/>
  <c r="J731" i="3" s="1"/>
  <c r="I732" i="3"/>
  <c r="J732" i="3" s="1"/>
  <c r="I733" i="3"/>
  <c r="J733" i="3" s="1"/>
  <c r="I783" i="3"/>
  <c r="J783" i="3" s="1"/>
  <c r="I800" i="3"/>
  <c r="J800" i="3" s="1"/>
  <c r="I862" i="3"/>
  <c r="J862" i="3" s="1"/>
  <c r="I878" i="3"/>
  <c r="J878" i="3" s="1"/>
  <c r="I898" i="3"/>
  <c r="J898" i="3" s="1"/>
  <c r="I999" i="3"/>
  <c r="J999" i="3" s="1"/>
  <c r="I1028" i="3"/>
  <c r="J1028" i="3" s="1"/>
  <c r="I1041" i="3"/>
  <c r="J1041" i="3" s="1"/>
  <c r="I1072" i="3"/>
  <c r="J1072" i="3" s="1"/>
  <c r="I1113" i="3"/>
  <c r="J1113" i="3" s="1"/>
  <c r="I1167" i="3"/>
  <c r="J1167" i="3" s="1"/>
  <c r="I1171" i="3"/>
  <c r="J1171" i="3" s="1"/>
  <c r="I1180" i="3"/>
  <c r="J1180" i="3" s="1"/>
  <c r="I1224" i="3"/>
  <c r="J1224" i="3" s="1"/>
  <c r="I1265" i="3"/>
  <c r="J1265" i="3" s="1"/>
  <c r="I1275" i="3"/>
  <c r="J1275" i="3" s="1"/>
  <c r="I1346" i="3"/>
  <c r="J1346" i="3" s="1"/>
  <c r="I1360" i="3"/>
  <c r="J1360" i="3" s="1"/>
  <c r="I1369" i="3"/>
  <c r="J1369" i="3" s="1"/>
  <c r="I1420" i="3"/>
  <c r="J1420" i="3" s="1"/>
  <c r="I1481" i="3"/>
  <c r="J1481" i="3" s="1"/>
  <c r="I1492" i="3"/>
  <c r="J1492" i="3" s="1"/>
  <c r="I1678" i="3"/>
  <c r="J1678" i="3" s="1"/>
  <c r="I1717" i="3"/>
  <c r="J1717" i="3" s="1"/>
  <c r="I1719" i="3"/>
  <c r="J1719" i="3" s="1"/>
  <c r="I1733" i="3"/>
  <c r="J1733" i="3" s="1"/>
  <c r="I1736" i="3"/>
  <c r="J1736" i="3" s="1"/>
  <c r="I1750" i="3"/>
  <c r="J1750" i="3" s="1"/>
  <c r="I1764" i="3"/>
  <c r="J1764" i="3" s="1"/>
  <c r="I1893" i="3"/>
  <c r="J1893" i="3" s="1"/>
  <c r="I1942" i="3"/>
  <c r="J1942" i="3" s="1"/>
  <c r="I1984" i="3"/>
  <c r="J1984" i="3" s="1"/>
  <c r="I1998" i="3"/>
  <c r="J1998" i="3" s="1"/>
  <c r="I2061" i="3"/>
  <c r="J2061" i="3" s="1"/>
  <c r="I2102" i="3"/>
  <c r="J2102" i="3" s="1"/>
  <c r="I2123" i="3"/>
  <c r="J2123" i="3" s="1"/>
  <c r="I2133" i="3"/>
  <c r="J2133" i="3" s="1"/>
  <c r="I2168" i="3"/>
  <c r="J2168" i="3" s="1"/>
  <c r="I2179" i="3"/>
  <c r="J2179" i="3" s="1"/>
  <c r="I2227" i="3"/>
  <c r="J2227" i="3" s="1"/>
  <c r="I2252" i="3"/>
  <c r="J2252" i="3" s="1"/>
  <c r="I2261" i="3"/>
  <c r="J2261" i="3" s="1"/>
  <c r="I2265" i="3"/>
  <c r="J2265" i="3" s="1"/>
  <c r="I2282" i="3"/>
  <c r="J2282" i="3" s="1"/>
  <c r="I2296" i="3"/>
  <c r="J2296" i="3" s="1"/>
  <c r="I2303" i="3"/>
  <c r="J2303" i="3" s="1"/>
  <c r="I2320" i="3"/>
  <c r="J2320" i="3" s="1"/>
  <c r="I2323" i="3"/>
  <c r="J2323" i="3" s="1"/>
  <c r="I2360" i="3"/>
  <c r="J2360" i="3" s="1"/>
  <c r="I2393" i="3"/>
  <c r="J2393" i="3" s="1"/>
  <c r="I2420" i="3"/>
  <c r="J2420" i="3" s="1"/>
  <c r="I2426" i="3"/>
  <c r="J2426" i="3" s="1"/>
  <c r="I2461" i="3"/>
  <c r="J2461" i="3" s="1"/>
  <c r="I2546" i="3"/>
  <c r="J2546" i="3" s="1"/>
  <c r="I2573" i="3"/>
  <c r="J2573" i="3" s="1"/>
  <c r="I2644" i="3"/>
  <c r="J2644" i="3" s="1"/>
  <c r="I2653" i="3"/>
  <c r="J2653" i="3" s="1"/>
  <c r="I2680" i="3"/>
  <c r="J2680" i="3" s="1"/>
  <c r="I2687" i="3"/>
  <c r="J2687" i="3" s="1"/>
  <c r="I2721" i="3"/>
  <c r="J2721" i="3" s="1"/>
  <c r="I2722" i="3"/>
  <c r="J2722" i="3" s="1"/>
  <c r="I2727" i="3"/>
  <c r="J2727" i="3" s="1"/>
  <c r="I2730" i="3"/>
  <c r="J2730" i="3" s="1"/>
  <c r="I2798" i="3"/>
  <c r="J2798" i="3" s="1"/>
  <c r="I2813" i="3"/>
  <c r="J2813" i="3" s="1"/>
  <c r="I2816" i="3"/>
  <c r="J2816" i="3" s="1"/>
  <c r="I2831" i="3"/>
  <c r="J2831" i="3" s="1"/>
  <c r="I2948" i="3"/>
  <c r="J2948" i="3" s="1"/>
  <c r="I2974" i="3"/>
  <c r="J2974" i="3" s="1"/>
  <c r="I3072" i="3"/>
  <c r="J3072" i="3" s="1"/>
  <c r="I3105" i="3"/>
  <c r="J3105" i="3" s="1"/>
  <c r="I3121" i="3"/>
  <c r="J3121" i="3" s="1"/>
  <c r="I3124" i="3"/>
  <c r="J3124" i="3" s="1"/>
  <c r="I3140" i="3"/>
  <c r="J3140" i="3" s="1"/>
  <c r="I3193" i="3"/>
  <c r="J3193" i="3" s="1"/>
  <c r="I3247" i="3"/>
  <c r="J3247" i="3" s="1"/>
  <c r="I3380" i="3"/>
  <c r="J3380" i="3" s="1"/>
  <c r="I3404" i="3"/>
  <c r="J3404" i="3" s="1"/>
  <c r="I3416" i="3"/>
  <c r="J3416" i="3" s="1"/>
  <c r="I3438" i="3"/>
  <c r="J3438" i="3" s="1"/>
  <c r="I3480" i="3"/>
  <c r="J3480" i="3" s="1"/>
  <c r="I3490" i="3"/>
  <c r="J3490" i="3" s="1"/>
  <c r="I3533" i="3"/>
  <c r="J3533" i="3" s="1"/>
  <c r="I3535" i="3"/>
  <c r="J3535" i="3" s="1"/>
  <c r="I3604" i="3"/>
  <c r="J3604" i="3" s="1"/>
  <c r="I3620" i="3"/>
  <c r="J3620" i="3" s="1"/>
  <c r="I3667" i="3"/>
  <c r="J3667" i="3" s="1"/>
  <c r="I3684" i="3"/>
  <c r="J3684" i="3" s="1"/>
  <c r="I3739" i="3"/>
  <c r="J3739" i="3" s="1"/>
  <c r="I3742" i="3"/>
  <c r="J3742" i="3" s="1"/>
  <c r="I3755" i="3"/>
  <c r="J3755" i="3" s="1"/>
  <c r="I3769" i="3"/>
  <c r="J3769" i="3" s="1"/>
  <c r="I3802" i="3"/>
  <c r="J3802" i="3" s="1"/>
  <c r="I3806" i="3"/>
  <c r="J3806" i="3" s="1"/>
  <c r="I3810" i="3"/>
  <c r="J3810" i="3" s="1"/>
  <c r="I3857" i="3"/>
  <c r="J3857" i="3" s="1"/>
  <c r="I3870" i="3"/>
  <c r="J3870" i="3" s="1"/>
  <c r="I3916" i="3"/>
  <c r="J3916" i="3" s="1"/>
  <c r="I3924" i="3"/>
  <c r="J3924" i="3" s="1"/>
  <c r="I3942" i="3"/>
  <c r="J3942" i="3" s="1"/>
  <c r="I3969" i="3"/>
  <c r="J3969" i="3" s="1"/>
  <c r="I3982" i="3"/>
  <c r="J3982" i="3" s="1"/>
  <c r="I4003" i="3"/>
  <c r="J4003" i="3" s="1"/>
  <c r="I4027" i="3"/>
  <c r="J4027" i="3" s="1"/>
  <c r="I4030" i="3"/>
  <c r="J4030" i="3" s="1"/>
  <c r="I4042" i="3"/>
  <c r="J4042" i="3" s="1"/>
  <c r="I4098" i="3"/>
  <c r="J4098" i="3" s="1"/>
  <c r="I4104" i="3"/>
  <c r="J4104" i="3" s="1"/>
  <c r="I4106" i="3"/>
  <c r="J4106" i="3" s="1"/>
  <c r="I4114" i="3"/>
  <c r="J4114" i="3" s="1"/>
  <c r="I4117" i="3"/>
  <c r="J4117" i="3" s="1"/>
  <c r="I4149" i="3"/>
  <c r="J4149" i="3" s="1"/>
  <c r="I4150" i="3"/>
  <c r="J4150" i="3" s="1"/>
  <c r="I4152" i="3"/>
  <c r="J4152" i="3" s="1"/>
  <c r="I4298" i="3"/>
  <c r="J4298" i="3" s="1"/>
  <c r="I4308" i="3"/>
  <c r="J4308" i="3" s="1"/>
  <c r="I4321" i="3"/>
  <c r="J4321" i="3" s="1"/>
  <c r="I4390" i="3"/>
  <c r="J4390" i="3" s="1"/>
  <c r="I4403" i="3"/>
  <c r="J4403" i="3" s="1"/>
  <c r="I4520" i="3"/>
  <c r="J4520" i="3" s="1"/>
  <c r="I4531" i="3"/>
  <c r="J4531" i="3" s="1"/>
  <c r="I4643" i="3"/>
  <c r="J4643" i="3" s="1"/>
  <c r="I4717" i="3"/>
  <c r="J4717" i="3" s="1"/>
  <c r="I4751" i="3"/>
  <c r="J4751" i="3" s="1"/>
  <c r="I4772" i="3"/>
  <c r="J4772" i="3" s="1"/>
  <c r="I4779" i="3"/>
  <c r="J4779" i="3" s="1"/>
  <c r="I4796" i="3"/>
  <c r="J4796" i="3" s="1"/>
  <c r="I4820" i="3"/>
  <c r="J4820" i="3" s="1"/>
  <c r="I133" i="3"/>
  <c r="J133" i="3" s="1"/>
  <c r="I141" i="3"/>
  <c r="J141" i="3" s="1"/>
  <c r="I143" i="3"/>
  <c r="J143" i="3" s="1"/>
  <c r="I288" i="3"/>
  <c r="J288" i="3" s="1"/>
  <c r="I291" i="3"/>
  <c r="J291" i="3" s="1"/>
  <c r="I375" i="3"/>
  <c r="J375" i="3" s="1"/>
  <c r="I524" i="3"/>
  <c r="J524" i="3" s="1"/>
  <c r="I527" i="3"/>
  <c r="J527" i="3" s="1"/>
  <c r="I528" i="3"/>
  <c r="J528" i="3" s="1"/>
  <c r="I657" i="3"/>
  <c r="J657" i="3" s="1"/>
  <c r="I688" i="3"/>
  <c r="J688" i="3" s="1"/>
  <c r="I715" i="3"/>
  <c r="J715" i="3" s="1"/>
  <c r="I740" i="3"/>
  <c r="J740" i="3" s="1"/>
  <c r="I801" i="3"/>
  <c r="J801" i="3" s="1"/>
  <c r="I853" i="3"/>
  <c r="J853" i="3" s="1"/>
  <c r="I946" i="3"/>
  <c r="J946" i="3" s="1"/>
  <c r="I955" i="3"/>
  <c r="J955" i="3" s="1"/>
  <c r="I1020" i="3"/>
  <c r="J1020" i="3" s="1"/>
  <c r="I1039" i="3"/>
  <c r="J1039" i="3" s="1"/>
  <c r="I1067" i="3"/>
  <c r="J1067" i="3" s="1"/>
  <c r="I1107" i="3"/>
  <c r="J1107" i="3" s="1"/>
  <c r="I1138" i="3"/>
  <c r="J1138" i="3" s="1"/>
  <c r="I1140" i="3"/>
  <c r="J1140" i="3" s="1"/>
  <c r="I1147" i="3"/>
  <c r="J1147" i="3" s="1"/>
  <c r="I1256" i="3"/>
  <c r="J1256" i="3" s="1"/>
  <c r="I1257" i="3"/>
  <c r="J1257" i="3" s="1"/>
  <c r="I1264" i="3"/>
  <c r="J1264" i="3" s="1"/>
  <c r="I1298" i="3"/>
  <c r="J1298" i="3" s="1"/>
  <c r="I1312" i="3"/>
  <c r="J1312" i="3" s="1"/>
  <c r="I1441" i="3"/>
  <c r="J1441" i="3" s="1"/>
  <c r="I1568" i="3"/>
  <c r="J1568" i="3" s="1"/>
  <c r="I1648" i="3"/>
  <c r="J1648" i="3" s="1"/>
  <c r="I1651" i="3"/>
  <c r="J1651" i="3" s="1"/>
  <c r="I1689" i="3"/>
  <c r="J1689" i="3" s="1"/>
  <c r="I1696" i="3"/>
  <c r="J1696" i="3" s="1"/>
  <c r="I1697" i="3"/>
  <c r="J1697" i="3" s="1"/>
  <c r="I1780" i="3"/>
  <c r="J1780" i="3" s="1"/>
  <c r="I1920" i="3"/>
  <c r="J1920" i="3" s="1"/>
  <c r="I1947" i="3"/>
  <c r="J1947" i="3" s="1"/>
  <c r="I1996" i="3"/>
  <c r="J1996" i="3" s="1"/>
  <c r="I2105" i="3"/>
  <c r="J2105" i="3" s="1"/>
  <c r="I2127" i="3"/>
  <c r="J2127" i="3" s="1"/>
  <c r="I2193" i="3"/>
  <c r="J2193" i="3" s="1"/>
  <c r="I2242" i="3"/>
  <c r="J2242" i="3" s="1"/>
  <c r="I2258" i="3"/>
  <c r="J2258" i="3" s="1"/>
  <c r="I2274" i="3"/>
  <c r="J2274" i="3" s="1"/>
  <c r="I2353" i="3"/>
  <c r="J2353" i="3" s="1"/>
  <c r="I2375" i="3"/>
  <c r="J2375" i="3" s="1"/>
  <c r="I2384" i="3"/>
  <c r="J2384" i="3" s="1"/>
  <c r="I2396" i="3"/>
  <c r="J2396" i="3" s="1"/>
  <c r="I2575" i="3"/>
  <c r="J2575" i="3" s="1"/>
  <c r="I2588" i="3"/>
  <c r="J2588" i="3" s="1"/>
  <c r="I2618" i="3"/>
  <c r="J2618" i="3" s="1"/>
  <c r="I2761" i="3"/>
  <c r="J2761" i="3" s="1"/>
  <c r="I2830" i="3"/>
  <c r="J2830" i="3" s="1"/>
  <c r="I2897" i="3"/>
  <c r="J2897" i="3" s="1"/>
  <c r="I3094" i="3"/>
  <c r="J3094" i="3" s="1"/>
  <c r="I3111" i="3"/>
  <c r="J3111" i="3" s="1"/>
  <c r="I3156" i="3"/>
  <c r="J3156" i="3" s="1"/>
  <c r="I3187" i="3"/>
  <c r="J3187" i="3" s="1"/>
  <c r="I3269" i="3"/>
  <c r="J3269" i="3" s="1"/>
  <c r="I3282" i="3"/>
  <c r="J3282" i="3" s="1"/>
  <c r="I3285" i="3"/>
  <c r="J3285" i="3" s="1"/>
  <c r="I3288" i="3"/>
  <c r="J3288" i="3" s="1"/>
  <c r="I3363" i="3"/>
  <c r="J3363" i="3" s="1"/>
  <c r="I3364" i="3"/>
  <c r="J3364" i="3" s="1"/>
  <c r="I3374" i="3"/>
  <c r="J3374" i="3" s="1"/>
  <c r="I3424" i="3"/>
  <c r="J3424" i="3" s="1"/>
  <c r="I3452" i="3"/>
  <c r="J3452" i="3" s="1"/>
  <c r="I3474" i="3"/>
  <c r="J3474" i="3" s="1"/>
  <c r="I3514" i="3"/>
  <c r="J3514" i="3" s="1"/>
  <c r="I3691" i="3"/>
  <c r="J3691" i="3" s="1"/>
  <c r="I3751" i="3"/>
  <c r="J3751" i="3" s="1"/>
  <c r="I3757" i="3"/>
  <c r="J3757" i="3" s="1"/>
  <c r="I3758" i="3"/>
  <c r="J3758" i="3" s="1"/>
  <c r="I3913" i="3"/>
  <c r="J3913" i="3" s="1"/>
  <c r="I3931" i="3"/>
  <c r="J3931" i="3" s="1"/>
  <c r="I3968" i="3"/>
  <c r="J3968" i="3" s="1"/>
  <c r="I3980" i="3"/>
  <c r="J3980" i="3" s="1"/>
  <c r="I4039" i="3"/>
  <c r="J4039" i="3" s="1"/>
  <c r="I4103" i="3"/>
  <c r="J4103" i="3" s="1"/>
  <c r="I4108" i="3"/>
  <c r="J4108" i="3" s="1"/>
  <c r="I4113" i="3"/>
  <c r="J4113" i="3" s="1"/>
  <c r="I4195" i="3"/>
  <c r="J4195" i="3" s="1"/>
  <c r="I4252" i="3"/>
  <c r="J4252" i="3" s="1"/>
  <c r="I4397" i="3"/>
  <c r="J4397" i="3" s="1"/>
  <c r="I4517" i="3"/>
  <c r="J4517" i="3" s="1"/>
  <c r="I4609" i="3"/>
  <c r="J4609" i="3" s="1"/>
  <c r="I4696" i="3"/>
  <c r="J4696" i="3" s="1"/>
  <c r="I4834" i="3"/>
  <c r="J4834" i="3" s="1"/>
  <c r="I53" i="3"/>
  <c r="J53" i="3" s="1"/>
  <c r="I90" i="3"/>
  <c r="J90" i="3" s="1"/>
  <c r="I123" i="3"/>
  <c r="J123" i="3" s="1"/>
  <c r="I152" i="3"/>
  <c r="J152" i="3" s="1"/>
  <c r="I182" i="3"/>
  <c r="J182" i="3" s="1"/>
  <c r="I244" i="3"/>
  <c r="J244" i="3" s="1"/>
  <c r="I429" i="3"/>
  <c r="J429" i="3" s="1"/>
  <c r="I512" i="3"/>
  <c r="J512" i="3" s="1"/>
  <c r="I607" i="3"/>
  <c r="J607" i="3" s="1"/>
  <c r="I636" i="3"/>
  <c r="J636" i="3" s="1"/>
  <c r="I717" i="3"/>
  <c r="J717" i="3" s="1"/>
  <c r="I720" i="3"/>
  <c r="J720" i="3" s="1"/>
  <c r="I739" i="3"/>
  <c r="J739" i="3" s="1"/>
  <c r="I747" i="3"/>
  <c r="J747" i="3" s="1"/>
  <c r="I923" i="3"/>
  <c r="J923" i="3" s="1"/>
  <c r="I931" i="3"/>
  <c r="J931" i="3" s="1"/>
  <c r="I993" i="3"/>
  <c r="J993" i="3" s="1"/>
  <c r="I1019" i="3"/>
  <c r="J1019" i="3" s="1"/>
  <c r="I1159" i="3"/>
  <c r="J1159" i="3" s="1"/>
  <c r="I1162" i="3"/>
  <c r="J1162" i="3" s="1"/>
  <c r="I1319" i="3"/>
  <c r="J1319" i="3" s="1"/>
  <c r="I1341" i="3"/>
  <c r="J1341" i="3" s="1"/>
  <c r="I1354" i="3"/>
  <c r="J1354" i="3" s="1"/>
  <c r="I1358" i="3"/>
  <c r="J1358" i="3" s="1"/>
  <c r="I1376" i="3"/>
  <c r="J1376" i="3" s="1"/>
  <c r="I1445" i="3"/>
  <c r="J1445" i="3" s="1"/>
  <c r="I1533" i="3"/>
  <c r="J1533" i="3" s="1"/>
  <c r="I1539" i="3"/>
  <c r="J1539" i="3" s="1"/>
  <c r="I1561" i="3"/>
  <c r="J1561" i="3" s="1"/>
  <c r="I1615" i="3"/>
  <c r="J1615" i="3" s="1"/>
  <c r="I1834" i="3"/>
  <c r="J1834" i="3" s="1"/>
  <c r="I1859" i="3"/>
  <c r="J1859" i="3" s="1"/>
  <c r="I1927" i="3"/>
  <c r="J1927" i="3" s="1"/>
  <c r="I1939" i="3"/>
  <c r="J1939" i="3" s="1"/>
  <c r="I1945" i="3"/>
  <c r="J1945" i="3" s="1"/>
  <c r="I2027" i="3"/>
  <c r="J2027" i="3" s="1"/>
  <c r="I2089" i="3"/>
  <c r="J2089" i="3" s="1"/>
  <c r="I2108" i="3"/>
  <c r="J2108" i="3" s="1"/>
  <c r="I2159" i="3"/>
  <c r="J2159" i="3" s="1"/>
  <c r="I2163" i="3"/>
  <c r="J2163" i="3" s="1"/>
  <c r="I2171" i="3"/>
  <c r="J2171" i="3" s="1"/>
  <c r="I2250" i="3"/>
  <c r="J2250" i="3" s="1"/>
  <c r="I2472" i="3"/>
  <c r="J2472" i="3" s="1"/>
  <c r="I2518" i="3"/>
  <c r="J2518" i="3" s="1"/>
  <c r="I2614" i="3"/>
  <c r="J2614" i="3" s="1"/>
  <c r="I2640" i="3"/>
  <c r="J2640" i="3" s="1"/>
  <c r="I2651" i="3"/>
  <c r="J2651" i="3" s="1"/>
  <c r="I2717" i="3"/>
  <c r="J2717" i="3" s="1"/>
  <c r="I2723" i="3"/>
  <c r="J2723" i="3" s="1"/>
  <c r="I2863" i="3"/>
  <c r="J2863" i="3" s="1"/>
  <c r="I2868" i="3"/>
  <c r="J2868" i="3" s="1"/>
  <c r="I2950" i="3"/>
  <c r="J2950" i="3" s="1"/>
  <c r="I2992" i="3"/>
  <c r="J2992" i="3" s="1"/>
  <c r="I2997" i="3"/>
  <c r="J2997" i="3" s="1"/>
  <c r="I3061" i="3"/>
  <c r="J3061" i="3" s="1"/>
  <c r="I3064" i="3"/>
  <c r="J3064" i="3" s="1"/>
  <c r="I3075" i="3"/>
  <c r="J3075" i="3" s="1"/>
  <c r="I3102" i="3"/>
  <c r="J3102" i="3" s="1"/>
  <c r="I3119" i="3"/>
  <c r="J3119" i="3" s="1"/>
  <c r="I3133" i="3"/>
  <c r="J3133" i="3" s="1"/>
  <c r="I3208" i="3"/>
  <c r="J3208" i="3" s="1"/>
  <c r="I3214" i="3"/>
  <c r="J3214" i="3" s="1"/>
  <c r="I3321" i="3"/>
  <c r="J3321" i="3" s="1"/>
  <c r="I3397" i="3"/>
  <c r="J3397" i="3" s="1"/>
  <c r="I3590" i="3"/>
  <c r="J3590" i="3" s="1"/>
  <c r="I3687" i="3"/>
  <c r="J3687" i="3" s="1"/>
  <c r="I3698" i="3"/>
  <c r="J3698" i="3" s="1"/>
  <c r="I3726" i="3"/>
  <c r="J3726" i="3" s="1"/>
  <c r="I3738" i="3"/>
  <c r="J3738" i="3" s="1"/>
  <c r="I3762" i="3"/>
  <c r="J3762" i="3" s="1"/>
  <c r="I3800" i="3"/>
  <c r="J3800" i="3" s="1"/>
  <c r="I3858" i="3"/>
  <c r="J3858" i="3" s="1"/>
  <c r="I3914" i="3"/>
  <c r="J3914" i="3" s="1"/>
  <c r="I4019" i="3"/>
  <c r="J4019" i="3" s="1"/>
  <c r="I4105" i="3"/>
  <c r="J4105" i="3" s="1"/>
  <c r="I4192" i="3"/>
  <c r="J4192" i="3" s="1"/>
  <c r="I4229" i="3"/>
  <c r="J4229" i="3" s="1"/>
  <c r="I4262" i="3"/>
  <c r="J4262" i="3" s="1"/>
  <c r="I4303" i="3"/>
  <c r="J4303" i="3" s="1"/>
  <c r="I4393" i="3"/>
  <c r="J4393" i="3" s="1"/>
  <c r="I4440" i="3"/>
  <c r="J4440" i="3" s="1"/>
  <c r="I4727" i="3"/>
  <c r="J4727" i="3" s="1"/>
  <c r="I41" i="3"/>
  <c r="J41" i="3" s="1"/>
  <c r="I105" i="3"/>
  <c r="J105" i="3" s="1"/>
  <c r="I107" i="3"/>
  <c r="J107" i="3" s="1"/>
  <c r="I428" i="3"/>
  <c r="J428" i="3" s="1"/>
  <c r="I1029" i="3"/>
  <c r="J1029" i="3" s="1"/>
  <c r="I1157" i="3"/>
  <c r="J1157" i="3" s="1"/>
  <c r="I1307" i="3"/>
  <c r="J1307" i="3" s="1"/>
  <c r="I1421" i="3"/>
  <c r="J1421" i="3" s="1"/>
  <c r="I1484" i="3"/>
  <c r="J1484" i="3" s="1"/>
  <c r="I1575" i="3"/>
  <c r="J1575" i="3" s="1"/>
  <c r="I1803" i="3"/>
  <c r="J1803" i="3" s="1"/>
  <c r="I1832" i="3"/>
  <c r="J1832" i="3" s="1"/>
  <c r="I1931" i="3"/>
  <c r="J1931" i="3" s="1"/>
  <c r="I1968" i="3"/>
  <c r="J1968" i="3" s="1"/>
  <c r="I1989" i="3"/>
  <c r="J1989" i="3" s="1"/>
  <c r="I2091" i="3"/>
  <c r="J2091" i="3" s="1"/>
  <c r="I2104" i="3"/>
  <c r="J2104" i="3" s="1"/>
  <c r="I2111" i="3"/>
  <c r="J2111" i="3" s="1"/>
  <c r="I2307" i="3"/>
  <c r="J2307" i="3" s="1"/>
  <c r="I2321" i="3"/>
  <c r="J2321" i="3" s="1"/>
  <c r="I2517" i="3"/>
  <c r="J2517" i="3" s="1"/>
  <c r="I2534" i="3"/>
  <c r="J2534" i="3" s="1"/>
  <c r="I2620" i="3"/>
  <c r="J2620" i="3" s="1"/>
  <c r="I2726" i="3"/>
  <c r="J2726" i="3" s="1"/>
  <c r="I2820" i="3"/>
  <c r="J2820" i="3" s="1"/>
  <c r="I2859" i="3"/>
  <c r="J2859" i="3" s="1"/>
  <c r="I2918" i="3"/>
  <c r="J2918" i="3" s="1"/>
  <c r="I2964" i="3"/>
  <c r="J2964" i="3" s="1"/>
  <c r="I3063" i="3"/>
  <c r="J3063" i="3" s="1"/>
  <c r="I3117" i="3"/>
  <c r="J3117" i="3" s="1"/>
  <c r="I3220" i="3"/>
  <c r="J3220" i="3" s="1"/>
  <c r="I3299" i="3"/>
  <c r="J3299" i="3" s="1"/>
  <c r="I3342" i="3"/>
  <c r="J3342" i="3" s="1"/>
  <c r="I3384" i="3"/>
  <c r="J3384" i="3" s="1"/>
  <c r="I3407" i="3"/>
  <c r="J3407" i="3" s="1"/>
  <c r="I3466" i="3"/>
  <c r="J3466" i="3" s="1"/>
  <c r="I3501" i="3"/>
  <c r="J3501" i="3" s="1"/>
  <c r="I3526" i="3"/>
  <c r="J3526" i="3" s="1"/>
  <c r="I3554" i="3"/>
  <c r="J3554" i="3" s="1"/>
  <c r="I3579" i="3"/>
  <c r="J3579" i="3" s="1"/>
  <c r="I3693" i="3"/>
  <c r="J3693" i="3" s="1"/>
  <c r="I3840" i="3"/>
  <c r="J3840" i="3" s="1"/>
  <c r="I3946" i="3"/>
  <c r="J3946" i="3" s="1"/>
  <c r="I4255" i="3"/>
  <c r="J4255" i="3" s="1"/>
  <c r="I4420" i="3"/>
  <c r="J4420" i="3" s="1"/>
  <c r="I4433" i="3"/>
  <c r="J4433" i="3" s="1"/>
  <c r="I4634" i="3"/>
  <c r="J4634" i="3" s="1"/>
  <c r="I198" i="3"/>
  <c r="J198" i="3" s="1"/>
  <c r="I393" i="3"/>
  <c r="J393" i="3" s="1"/>
  <c r="I397" i="3"/>
  <c r="J397" i="3" s="1"/>
  <c r="I465" i="3"/>
  <c r="J465" i="3" s="1"/>
  <c r="I499" i="3"/>
  <c r="J499" i="3" s="1"/>
  <c r="I622" i="3"/>
  <c r="J622" i="3" s="1"/>
  <c r="I752" i="3"/>
  <c r="J752" i="3" s="1"/>
  <c r="I830" i="3"/>
  <c r="J830" i="3" s="1"/>
  <c r="I884" i="3"/>
  <c r="J884" i="3" s="1"/>
  <c r="I943" i="3"/>
  <c r="J943" i="3" s="1"/>
  <c r="I1054" i="3"/>
  <c r="J1054" i="3" s="1"/>
  <c r="I1145" i="3"/>
  <c r="J1145" i="3" s="1"/>
  <c r="I1479" i="3"/>
  <c r="J1479" i="3" s="1"/>
  <c r="I1544" i="3"/>
  <c r="J1544" i="3" s="1"/>
  <c r="I1573" i="3"/>
  <c r="J1573" i="3" s="1"/>
  <c r="I1700" i="3"/>
  <c r="J1700" i="3" s="1"/>
  <c r="I1810" i="3"/>
  <c r="J1810" i="3" s="1"/>
  <c r="I2067" i="3"/>
  <c r="J2067" i="3" s="1"/>
  <c r="I2113" i="3"/>
  <c r="J2113" i="3" s="1"/>
  <c r="I2292" i="3"/>
  <c r="J2292" i="3" s="1"/>
  <c r="I2605" i="3"/>
  <c r="J2605" i="3" s="1"/>
  <c r="I2657" i="3"/>
  <c r="J2657" i="3" s="1"/>
  <c r="I2664" i="3"/>
  <c r="J2664" i="3" s="1"/>
  <c r="I2693" i="3"/>
  <c r="J2693" i="3" s="1"/>
  <c r="I2977" i="3"/>
  <c r="J2977" i="3" s="1"/>
  <c r="I3019" i="3"/>
  <c r="J3019" i="3" s="1"/>
  <c r="I3023" i="3"/>
  <c r="J3023" i="3" s="1"/>
  <c r="I3356" i="3"/>
  <c r="J3356" i="3" s="1"/>
  <c r="I3378" i="3"/>
  <c r="J3378" i="3" s="1"/>
  <c r="I3448" i="3"/>
  <c r="J3448" i="3" s="1"/>
  <c r="I3681" i="3"/>
  <c r="J3681" i="3" s="1"/>
  <c r="I3779" i="3"/>
  <c r="J3779" i="3" s="1"/>
  <c r="I3862" i="3"/>
  <c r="J3862" i="3" s="1"/>
  <c r="I3894" i="3"/>
  <c r="J3894" i="3" s="1"/>
  <c r="I3912" i="3"/>
  <c r="J3912" i="3" s="1"/>
  <c r="I3927" i="3"/>
  <c r="J3927" i="3" s="1"/>
  <c r="I3993" i="3"/>
  <c r="J3993" i="3" s="1"/>
  <c r="I4000" i="3"/>
  <c r="J4000" i="3" s="1"/>
  <c r="I4080" i="3"/>
  <c r="J4080" i="3" s="1"/>
  <c r="I4374" i="3"/>
  <c r="J4374" i="3" s="1"/>
  <c r="I4378" i="3"/>
  <c r="J4378" i="3" s="1"/>
  <c r="I4389" i="3"/>
  <c r="J4389" i="3" s="1"/>
  <c r="I4436" i="3"/>
  <c r="J4436" i="3" s="1"/>
  <c r="I4496" i="3"/>
  <c r="J4496" i="3" s="1"/>
  <c r="I4684" i="3"/>
  <c r="J4684" i="3" s="1"/>
  <c r="I4811" i="3"/>
  <c r="J4811" i="3" s="1"/>
  <c r="I64" i="3"/>
  <c r="J64" i="3" s="1"/>
  <c r="I153" i="3"/>
  <c r="J153" i="3" s="1"/>
  <c r="I200" i="3"/>
  <c r="J200" i="3" s="1"/>
  <c r="I373" i="3"/>
  <c r="J373" i="3" s="1"/>
  <c r="I410" i="3"/>
  <c r="J410" i="3" s="1"/>
  <c r="I550" i="3"/>
  <c r="J550" i="3" s="1"/>
  <c r="I823" i="3"/>
  <c r="J823" i="3" s="1"/>
  <c r="I846" i="3"/>
  <c r="J846" i="3" s="1"/>
  <c r="I963" i="3"/>
  <c r="J963" i="3" s="1"/>
  <c r="I969" i="3"/>
  <c r="J969" i="3" s="1"/>
  <c r="I1033" i="3"/>
  <c r="J1033" i="3" s="1"/>
  <c r="I1203" i="3"/>
  <c r="J1203" i="3" s="1"/>
  <c r="I1333" i="3"/>
  <c r="J1333" i="3" s="1"/>
  <c r="I1440" i="3"/>
  <c r="J1440" i="3" s="1"/>
  <c r="I1609" i="3"/>
  <c r="J1609" i="3" s="1"/>
  <c r="I1706" i="3"/>
  <c r="J1706" i="3" s="1"/>
  <c r="I1762" i="3"/>
  <c r="J1762" i="3" s="1"/>
  <c r="I1890" i="3"/>
  <c r="J1890" i="3" s="1"/>
  <c r="I1895" i="3"/>
  <c r="J1895" i="3" s="1"/>
  <c r="I2096" i="3"/>
  <c r="J2096" i="3" s="1"/>
  <c r="I2124" i="3"/>
  <c r="J2124" i="3" s="1"/>
  <c r="I2137" i="3"/>
  <c r="J2137" i="3" s="1"/>
  <c r="I2228" i="3"/>
  <c r="J2228" i="3" s="1"/>
  <c r="I2263" i="3"/>
  <c r="J2263" i="3" s="1"/>
  <c r="I2275" i="3"/>
  <c r="J2275" i="3" s="1"/>
  <c r="I2308" i="3"/>
  <c r="J2308" i="3" s="1"/>
  <c r="I2358" i="3"/>
  <c r="J2358" i="3" s="1"/>
  <c r="I2378" i="3"/>
  <c r="J2378" i="3" s="1"/>
  <c r="I2442" i="3"/>
  <c r="J2442" i="3" s="1"/>
  <c r="I2527" i="3"/>
  <c r="J2527" i="3" s="1"/>
  <c r="I2663" i="3"/>
  <c r="J2663" i="3" s="1"/>
  <c r="I2739" i="3"/>
  <c r="J2739" i="3" s="1"/>
  <c r="I2759" i="3"/>
  <c r="J2759" i="3" s="1"/>
  <c r="I2793" i="3"/>
  <c r="J2793" i="3" s="1"/>
  <c r="I2811" i="3"/>
  <c r="J2811" i="3" s="1"/>
  <c r="I2850" i="3"/>
  <c r="J2850" i="3" s="1"/>
  <c r="I2965" i="3"/>
  <c r="J2965" i="3" s="1"/>
  <c r="I3045" i="3"/>
  <c r="J3045" i="3" s="1"/>
  <c r="I3110" i="3"/>
  <c r="J3110" i="3" s="1"/>
  <c r="I3118" i="3"/>
  <c r="J3118" i="3" s="1"/>
  <c r="I3192" i="3"/>
  <c r="J3192" i="3" s="1"/>
  <c r="I3371" i="3"/>
  <c r="J3371" i="3" s="1"/>
  <c r="I3402" i="3"/>
  <c r="J3402" i="3" s="1"/>
  <c r="I3446" i="3"/>
  <c r="J3446" i="3" s="1"/>
  <c r="I3565" i="3"/>
  <c r="J3565" i="3" s="1"/>
  <c r="I3651" i="3"/>
  <c r="J3651" i="3" s="1"/>
  <c r="I3724" i="3"/>
  <c r="J3724" i="3" s="1"/>
  <c r="I3890" i="3"/>
  <c r="J3890" i="3" s="1"/>
  <c r="I3910" i="3"/>
  <c r="J3910" i="3" s="1"/>
  <c r="I4028" i="3"/>
  <c r="J4028" i="3" s="1"/>
  <c r="I4034" i="3"/>
  <c r="J4034" i="3" s="1"/>
  <c r="I4177" i="3"/>
  <c r="J4177" i="3" s="1"/>
  <c r="I4184" i="3"/>
  <c r="J4184" i="3" s="1"/>
  <c r="I4340" i="3"/>
  <c r="J4340" i="3" s="1"/>
  <c r="I4388" i="3"/>
  <c r="J4388" i="3" s="1"/>
  <c r="I4463" i="3"/>
  <c r="J4463" i="3" s="1"/>
  <c r="I4479" i="3"/>
  <c r="J4479" i="3" s="1"/>
  <c r="I4572" i="3"/>
  <c r="J4572" i="3" s="1"/>
  <c r="I4598" i="3"/>
  <c r="J4598" i="3" s="1"/>
  <c r="I4633" i="3"/>
  <c r="J4633" i="3" s="1"/>
  <c r="I4640" i="3"/>
  <c r="J4640" i="3" s="1"/>
  <c r="I4661" i="3"/>
  <c r="J4661" i="3" s="1"/>
  <c r="I4720" i="3"/>
  <c r="J4720" i="3" s="1"/>
  <c r="I4780" i="3"/>
  <c r="J4780" i="3" s="1"/>
  <c r="I4809" i="3"/>
  <c r="J4809" i="3" s="1"/>
  <c r="I189" i="3"/>
  <c r="J189" i="3" s="1"/>
  <c r="I255" i="3"/>
  <c r="J255" i="3" s="1"/>
  <c r="I384" i="3"/>
  <c r="J384" i="3" s="1"/>
  <c r="I402" i="3"/>
  <c r="J402" i="3" s="1"/>
  <c r="I447" i="3"/>
  <c r="J447" i="3" s="1"/>
  <c r="I482" i="3"/>
  <c r="J482" i="3" s="1"/>
  <c r="I495" i="3"/>
  <c r="J495" i="3" s="1"/>
  <c r="I549" i="3"/>
  <c r="J549" i="3" s="1"/>
  <c r="I558" i="3"/>
  <c r="J558" i="3" s="1"/>
  <c r="I644" i="3"/>
  <c r="J644" i="3" s="1"/>
  <c r="I682" i="3"/>
  <c r="J682" i="3" s="1"/>
  <c r="I781" i="3"/>
  <c r="J781" i="3" s="1"/>
  <c r="I795" i="3"/>
  <c r="J795" i="3" s="1"/>
  <c r="I903" i="3"/>
  <c r="J903" i="3" s="1"/>
  <c r="I919" i="3"/>
  <c r="J919" i="3" s="1"/>
  <c r="I1004" i="3"/>
  <c r="J1004" i="3" s="1"/>
  <c r="I1073" i="3"/>
  <c r="J1073" i="3" s="1"/>
  <c r="I1124" i="3"/>
  <c r="J1124" i="3" s="1"/>
  <c r="I1185" i="3"/>
  <c r="J1185" i="3" s="1"/>
  <c r="I1230" i="3"/>
  <c r="J1230" i="3" s="1"/>
  <c r="I1259" i="3"/>
  <c r="J1259" i="3" s="1"/>
  <c r="I1311" i="3"/>
  <c r="J1311" i="3" s="1"/>
  <c r="I1342" i="3"/>
  <c r="J1342" i="3" s="1"/>
  <c r="I1344" i="3"/>
  <c r="J1344" i="3" s="1"/>
  <c r="I1378" i="3"/>
  <c r="J1378" i="3" s="1"/>
  <c r="I1447" i="3"/>
  <c r="J1447" i="3" s="1"/>
  <c r="I1486" i="3"/>
  <c r="J1486" i="3" s="1"/>
  <c r="I1551" i="3"/>
  <c r="J1551" i="3" s="1"/>
  <c r="I1618" i="3"/>
  <c r="J1618" i="3" s="1"/>
  <c r="I1644" i="3"/>
  <c r="J1644" i="3" s="1"/>
  <c r="I1828" i="3"/>
  <c r="J1828" i="3" s="1"/>
  <c r="I1905" i="3"/>
  <c r="J1905" i="3" s="1"/>
  <c r="I1971" i="3"/>
  <c r="J1971" i="3" s="1"/>
  <c r="I2073" i="3"/>
  <c r="J2073" i="3" s="1"/>
  <c r="I2142" i="3"/>
  <c r="J2142" i="3" s="1"/>
  <c r="I2167" i="3"/>
  <c r="J2167" i="3" s="1"/>
  <c r="I2280" i="3"/>
  <c r="J2280" i="3" s="1"/>
  <c r="I2316" i="3"/>
  <c r="J2316" i="3" s="1"/>
  <c r="I2459" i="3"/>
  <c r="J2459" i="3" s="1"/>
  <c r="I2492" i="3"/>
  <c r="J2492" i="3" s="1"/>
  <c r="I2607" i="3"/>
  <c r="J2607" i="3" s="1"/>
  <c r="I2616" i="3"/>
  <c r="J2616" i="3" s="1"/>
  <c r="I2662" i="3"/>
  <c r="J2662" i="3" s="1"/>
  <c r="I2796" i="3"/>
  <c r="J2796" i="3" s="1"/>
  <c r="I2800" i="3"/>
  <c r="J2800" i="3" s="1"/>
  <c r="I2894" i="3"/>
  <c r="J2894" i="3" s="1"/>
  <c r="I2959" i="3"/>
  <c r="J2959" i="3" s="1"/>
  <c r="I2962" i="3"/>
  <c r="J2962" i="3" s="1"/>
  <c r="I2968" i="3"/>
  <c r="J2968" i="3" s="1"/>
  <c r="I3047" i="3"/>
  <c r="J3047" i="3" s="1"/>
  <c r="I3068" i="3"/>
  <c r="J3068" i="3" s="1"/>
  <c r="I3320" i="3"/>
  <c r="J3320" i="3" s="1"/>
  <c r="I3349" i="3"/>
  <c r="J3349" i="3" s="1"/>
  <c r="I3462" i="3"/>
  <c r="J3462" i="3" s="1"/>
  <c r="I3516" i="3"/>
  <c r="J3516" i="3" s="1"/>
  <c r="I3578" i="3"/>
  <c r="J3578" i="3" s="1"/>
  <c r="I3616" i="3"/>
  <c r="J3616" i="3" s="1"/>
  <c r="I3647" i="3"/>
  <c r="J3647" i="3" s="1"/>
  <c r="I3659" i="3"/>
  <c r="J3659" i="3" s="1"/>
  <c r="I3716" i="3"/>
  <c r="J3716" i="3" s="1"/>
  <c r="I3740" i="3"/>
  <c r="J3740" i="3" s="1"/>
  <c r="I3797" i="3"/>
  <c r="J3797" i="3" s="1"/>
  <c r="I3801" i="3"/>
  <c r="J3801" i="3" s="1"/>
  <c r="I3847" i="3"/>
  <c r="J3847" i="3" s="1"/>
  <c r="I4166" i="3"/>
  <c r="J4166" i="3" s="1"/>
  <c r="I4266" i="3"/>
  <c r="J4266" i="3" s="1"/>
  <c r="I4289" i="3"/>
  <c r="J4289" i="3" s="1"/>
  <c r="I4325" i="3"/>
  <c r="J4325" i="3" s="1"/>
  <c r="I4453" i="3"/>
  <c r="J4453" i="3" s="1"/>
  <c r="I4553" i="3"/>
  <c r="J4553" i="3" s="1"/>
  <c r="I4619" i="3"/>
  <c r="J4619" i="3" s="1"/>
  <c r="I4707" i="3"/>
  <c r="J4707" i="3" s="1"/>
  <c r="I4744" i="3"/>
  <c r="J4744" i="3" s="1"/>
  <c r="I4749" i="3"/>
  <c r="J4749" i="3" s="1"/>
  <c r="I4791" i="3"/>
  <c r="J4791" i="3" s="1"/>
  <c r="I29" i="3"/>
  <c r="J29" i="3" s="1"/>
  <c r="I50" i="3"/>
  <c r="J50" i="3" s="1"/>
  <c r="I116" i="3"/>
  <c r="J116" i="3" s="1"/>
  <c r="I145" i="3"/>
  <c r="J145" i="3" s="1"/>
  <c r="I193" i="3"/>
  <c r="J193" i="3" s="1"/>
  <c r="I346" i="3"/>
  <c r="J346" i="3" s="1"/>
  <c r="I357" i="3"/>
  <c r="J357" i="3" s="1"/>
  <c r="I472" i="3"/>
  <c r="J472" i="3" s="1"/>
  <c r="I573" i="3"/>
  <c r="J573" i="3" s="1"/>
  <c r="I620" i="3"/>
  <c r="J620" i="3" s="1"/>
  <c r="I700" i="3"/>
  <c r="J700" i="3" s="1"/>
  <c r="I791" i="3"/>
  <c r="J791" i="3" s="1"/>
  <c r="I834" i="3"/>
  <c r="J834" i="3" s="1"/>
  <c r="I962" i="3"/>
  <c r="J962" i="3" s="1"/>
  <c r="I973" i="3"/>
  <c r="J973" i="3" s="1"/>
  <c r="I1003" i="3"/>
  <c r="J1003" i="3" s="1"/>
  <c r="I1022" i="3"/>
  <c r="J1022" i="3" s="1"/>
  <c r="I1050" i="3"/>
  <c r="J1050" i="3" s="1"/>
  <c r="I1114" i="3"/>
  <c r="J1114" i="3" s="1"/>
  <c r="I1188" i="3"/>
  <c r="J1188" i="3" s="1"/>
  <c r="I1190" i="3"/>
  <c r="J1190" i="3" s="1"/>
  <c r="I1196" i="3"/>
  <c r="J1196" i="3" s="1"/>
  <c r="I1248" i="3"/>
  <c r="J1248" i="3" s="1"/>
  <c r="I1270" i="3"/>
  <c r="J1270" i="3" s="1"/>
  <c r="I1280" i="3"/>
  <c r="J1280" i="3" s="1"/>
  <c r="I1321" i="3"/>
  <c r="J1321" i="3" s="1"/>
  <c r="I1332" i="3"/>
  <c r="J1332" i="3" s="1"/>
  <c r="I1338" i="3"/>
  <c r="J1338" i="3" s="1"/>
  <c r="I1602" i="3"/>
  <c r="J1602" i="3" s="1"/>
  <c r="I1656" i="3"/>
  <c r="J1656" i="3" s="1"/>
  <c r="I1665" i="3"/>
  <c r="J1665" i="3" s="1"/>
  <c r="I1858" i="3"/>
  <c r="J1858" i="3" s="1"/>
  <c r="I1888" i="3"/>
  <c r="J1888" i="3" s="1"/>
  <c r="I1913" i="3"/>
  <c r="J1913" i="3" s="1"/>
  <c r="I1959" i="3"/>
  <c r="J1959" i="3" s="1"/>
  <c r="I1960" i="3"/>
  <c r="J1960" i="3" s="1"/>
  <c r="I1999" i="3"/>
  <c r="J1999" i="3" s="1"/>
  <c r="I2031" i="3"/>
  <c r="J2031" i="3" s="1"/>
  <c r="I2146" i="3"/>
  <c r="J2146" i="3" s="1"/>
  <c r="I2236" i="3"/>
  <c r="J2236" i="3" s="1"/>
  <c r="I2268" i="3"/>
  <c r="J2268" i="3" s="1"/>
  <c r="I2304" i="3"/>
  <c r="J2304" i="3" s="1"/>
  <c r="I2311" i="3"/>
  <c r="J2311" i="3" s="1"/>
  <c r="I2326" i="3"/>
  <c r="J2326" i="3" s="1"/>
  <c r="I2385" i="3"/>
  <c r="J2385" i="3" s="1"/>
  <c r="I2417" i="3"/>
  <c r="J2417" i="3" s="1"/>
  <c r="I2493" i="3"/>
  <c r="J2493" i="3" s="1"/>
  <c r="I2504" i="3"/>
  <c r="J2504" i="3" s="1"/>
  <c r="I2604" i="3"/>
  <c r="J2604" i="3" s="1"/>
  <c r="I2708" i="3"/>
  <c r="J2708" i="3" s="1"/>
  <c r="I2756" i="3"/>
  <c r="J2756" i="3" s="1"/>
  <c r="I2773" i="3"/>
  <c r="J2773" i="3" s="1"/>
  <c r="I2819" i="3"/>
  <c r="J2819" i="3" s="1"/>
  <c r="I2851" i="3"/>
  <c r="J2851" i="3" s="1"/>
  <c r="I2967" i="3"/>
  <c r="J2967" i="3" s="1"/>
  <c r="I3013" i="3"/>
  <c r="J3013" i="3" s="1"/>
  <c r="I3036" i="3"/>
  <c r="J3036" i="3" s="1"/>
  <c r="I3055" i="3"/>
  <c r="J3055" i="3" s="1"/>
  <c r="I3103" i="3"/>
  <c r="J3103" i="3" s="1"/>
  <c r="I3122" i="3"/>
  <c r="J3122" i="3" s="1"/>
  <c r="I3207" i="3"/>
  <c r="J3207" i="3" s="1"/>
  <c r="I3226" i="3"/>
  <c r="J3226" i="3" s="1"/>
  <c r="I3281" i="3"/>
  <c r="J3281" i="3" s="1"/>
  <c r="I3294" i="3"/>
  <c r="J3294" i="3" s="1"/>
  <c r="I3346" i="3"/>
  <c r="J3346" i="3" s="1"/>
  <c r="I3359" i="3"/>
  <c r="J3359" i="3" s="1"/>
  <c r="I3408" i="3"/>
  <c r="J3408" i="3" s="1"/>
  <c r="I3415" i="3"/>
  <c r="J3415" i="3" s="1"/>
  <c r="I3507" i="3"/>
  <c r="J3507" i="3" s="1"/>
  <c r="I3521" i="3"/>
  <c r="J3521" i="3" s="1"/>
  <c r="I3559" i="3"/>
  <c r="J3559" i="3" s="1"/>
  <c r="I3617" i="3"/>
  <c r="J3617" i="3" s="1"/>
  <c r="I3661" i="3"/>
  <c r="J3661" i="3" s="1"/>
  <c r="I3756" i="3"/>
  <c r="J3756" i="3" s="1"/>
  <c r="I3766" i="3"/>
  <c r="J3766" i="3" s="1"/>
  <c r="I3778" i="3"/>
  <c r="J3778" i="3" s="1"/>
  <c r="I3837" i="3"/>
  <c r="J3837" i="3" s="1"/>
  <c r="I3851" i="3"/>
  <c r="J3851" i="3" s="1"/>
  <c r="I4116" i="3"/>
  <c r="J4116" i="3" s="1"/>
  <c r="I4258" i="3"/>
  <c r="J4258" i="3" s="1"/>
  <c r="I4335" i="3"/>
  <c r="J4335" i="3" s="1"/>
  <c r="I4338" i="3"/>
  <c r="J4338" i="3" s="1"/>
  <c r="I4410" i="3"/>
  <c r="J4410" i="3" s="1"/>
  <c r="I4415" i="3"/>
  <c r="J4415" i="3" s="1"/>
  <c r="I4638" i="3"/>
  <c r="J4638" i="3" s="1"/>
  <c r="I4645" i="3"/>
  <c r="J4645" i="3" s="1"/>
  <c r="I4646" i="3"/>
  <c r="J4646" i="3" s="1"/>
  <c r="I4672" i="3"/>
  <c r="J4672" i="3" s="1"/>
  <c r="I4778" i="3"/>
  <c r="J4778" i="3" s="1"/>
  <c r="I24" i="3"/>
  <c r="J24" i="3" s="1"/>
  <c r="I95" i="3"/>
  <c r="J95" i="3" s="1"/>
  <c r="I149" i="3"/>
  <c r="J149" i="3" s="1"/>
  <c r="I185" i="3"/>
  <c r="J185" i="3" s="1"/>
  <c r="I225" i="3"/>
  <c r="J225" i="3" s="1"/>
  <c r="I228" i="3"/>
  <c r="J228" i="3" s="1"/>
  <c r="I229" i="3"/>
  <c r="J229" i="3" s="1"/>
  <c r="I239" i="3"/>
  <c r="J239" i="3" s="1"/>
  <c r="I254" i="3"/>
  <c r="J254" i="3" s="1"/>
  <c r="I281" i="3"/>
  <c r="J281" i="3" s="1"/>
  <c r="I321" i="3"/>
  <c r="J321" i="3" s="1"/>
  <c r="I353" i="3"/>
  <c r="J353" i="3" s="1"/>
  <c r="I418" i="3"/>
  <c r="J418" i="3" s="1"/>
  <c r="I617" i="3"/>
  <c r="J617" i="3" s="1"/>
  <c r="I658" i="3"/>
  <c r="J658" i="3" s="1"/>
  <c r="I663" i="3"/>
  <c r="J663" i="3" s="1"/>
  <c r="I693" i="3"/>
  <c r="J693" i="3" s="1"/>
  <c r="I753" i="3"/>
  <c r="J753" i="3" s="1"/>
  <c r="I755" i="3"/>
  <c r="J755" i="3" s="1"/>
  <c r="I871" i="3"/>
  <c r="J871" i="3" s="1"/>
  <c r="I913" i="3"/>
  <c r="J913" i="3" s="1"/>
  <c r="I918" i="3"/>
  <c r="J918" i="3" s="1"/>
  <c r="I960" i="3"/>
  <c r="J960" i="3" s="1"/>
  <c r="I964" i="3"/>
  <c r="J964" i="3" s="1"/>
  <c r="I972" i="3"/>
  <c r="J972" i="3" s="1"/>
  <c r="I1152" i="3"/>
  <c r="J1152" i="3" s="1"/>
  <c r="I1183" i="3"/>
  <c r="J1183" i="3" s="1"/>
  <c r="I1187" i="3"/>
  <c r="J1187" i="3" s="1"/>
  <c r="I1197" i="3"/>
  <c r="J1197" i="3" s="1"/>
  <c r="I1237" i="3"/>
  <c r="J1237" i="3" s="1"/>
  <c r="I1283" i="3"/>
  <c r="J1283" i="3" s="1"/>
  <c r="I1286" i="3"/>
  <c r="J1286" i="3" s="1"/>
  <c r="I1290" i="3"/>
  <c r="J1290" i="3" s="1"/>
  <c r="I1305" i="3"/>
  <c r="J1305" i="3" s="1"/>
  <c r="I1384" i="3"/>
  <c r="J1384" i="3" s="1"/>
  <c r="I1390" i="3"/>
  <c r="J1390" i="3" s="1"/>
  <c r="I1458" i="3"/>
  <c r="J1458" i="3" s="1"/>
  <c r="I1459" i="3"/>
  <c r="J1459" i="3" s="1"/>
  <c r="I1530" i="3"/>
  <c r="J1530" i="3" s="1"/>
  <c r="I1543" i="3"/>
  <c r="J1543" i="3" s="1"/>
  <c r="I1631" i="3"/>
  <c r="J1631" i="3" s="1"/>
  <c r="I1633" i="3"/>
  <c r="J1633" i="3" s="1"/>
  <c r="I1643" i="3"/>
  <c r="J1643" i="3" s="1"/>
  <c r="I1660" i="3"/>
  <c r="J1660" i="3" s="1"/>
  <c r="I1677" i="3"/>
  <c r="J1677" i="3" s="1"/>
  <c r="I1868" i="3"/>
  <c r="J1868" i="3" s="1"/>
  <c r="I1869" i="3"/>
  <c r="J1869" i="3" s="1"/>
  <c r="I2007" i="3"/>
  <c r="J2007" i="3" s="1"/>
  <c r="I2015" i="3"/>
  <c r="J2015" i="3" s="1"/>
  <c r="I2041" i="3"/>
  <c r="J2041" i="3" s="1"/>
  <c r="I2139" i="3"/>
  <c r="J2139" i="3" s="1"/>
  <c r="I2155" i="3"/>
  <c r="J2155" i="3" s="1"/>
  <c r="I2231" i="3"/>
  <c r="J2231" i="3" s="1"/>
  <c r="I2247" i="3"/>
  <c r="J2247" i="3" s="1"/>
  <c r="I2251" i="3"/>
  <c r="J2251" i="3" s="1"/>
  <c r="I2371" i="3"/>
  <c r="J2371" i="3" s="1"/>
  <c r="I2403" i="3"/>
  <c r="J2403" i="3" s="1"/>
  <c r="I2529" i="3"/>
  <c r="J2529" i="3" s="1"/>
  <c r="I2631" i="3"/>
  <c r="J2631" i="3" s="1"/>
  <c r="I2645" i="3"/>
  <c r="J2645" i="3" s="1"/>
  <c r="I2648" i="3"/>
  <c r="J2648" i="3" s="1"/>
  <c r="I2671" i="3"/>
  <c r="J2671" i="3" s="1"/>
  <c r="I2689" i="3"/>
  <c r="J2689" i="3" s="1"/>
  <c r="I2731" i="3"/>
  <c r="J2731" i="3" s="1"/>
  <c r="I2753" i="3"/>
  <c r="J2753" i="3" s="1"/>
  <c r="I2769" i="3"/>
  <c r="J2769" i="3" s="1"/>
  <c r="I2787" i="3"/>
  <c r="J2787" i="3" s="1"/>
  <c r="I2791" i="3"/>
  <c r="J2791" i="3" s="1"/>
  <c r="I2808" i="3"/>
  <c r="J2808" i="3" s="1"/>
  <c r="I2818" i="3"/>
  <c r="J2818" i="3" s="1"/>
  <c r="I2828" i="3"/>
  <c r="J2828" i="3" s="1"/>
  <c r="I2849" i="3"/>
  <c r="J2849" i="3" s="1"/>
  <c r="I2890" i="3"/>
  <c r="J2890" i="3" s="1"/>
  <c r="I2961" i="3"/>
  <c r="J2961" i="3" s="1"/>
  <c r="I2972" i="3"/>
  <c r="J2972" i="3" s="1"/>
  <c r="I3015" i="3"/>
  <c r="J3015" i="3" s="1"/>
  <c r="I3031" i="3"/>
  <c r="J3031" i="3" s="1"/>
  <c r="I3051" i="3"/>
  <c r="J3051" i="3" s="1"/>
  <c r="I3080" i="3"/>
  <c r="J3080" i="3" s="1"/>
  <c r="I3181" i="3"/>
  <c r="J3181" i="3" s="1"/>
  <c r="I3272" i="3"/>
  <c r="J3272" i="3" s="1"/>
  <c r="I3283" i="3"/>
  <c r="J3283" i="3" s="1"/>
  <c r="I3297" i="3"/>
  <c r="J3297" i="3" s="1"/>
  <c r="I3305" i="3"/>
  <c r="I3309" i="3"/>
  <c r="I3453" i="3"/>
  <c r="I3493" i="3"/>
  <c r="I3497" i="3"/>
  <c r="I3531" i="3"/>
  <c r="I3550" i="3"/>
  <c r="I3557" i="3"/>
  <c r="I3577" i="3"/>
  <c r="I3588" i="3"/>
  <c r="I3598" i="3"/>
  <c r="I3718" i="3"/>
  <c r="I3729" i="3"/>
  <c r="I3812" i="3"/>
  <c r="I3903" i="3"/>
  <c r="I3979" i="3"/>
  <c r="I4146" i="3"/>
  <c r="I4183" i="3"/>
  <c r="I4196" i="3"/>
  <c r="I4206" i="3"/>
  <c r="I4247" i="3"/>
  <c r="I4277" i="3"/>
  <c r="I4284" i="3"/>
  <c r="I4295" i="3"/>
  <c r="I4361" i="3"/>
  <c r="I4419" i="3"/>
  <c r="I4476" i="3"/>
  <c r="I4482" i="3"/>
  <c r="I4490" i="3"/>
  <c r="I4526" i="3"/>
  <c r="I4612" i="3"/>
  <c r="I4621" i="3"/>
  <c r="I4630" i="3"/>
  <c r="I4666" i="3"/>
  <c r="I4683" i="3"/>
  <c r="I4741" i="3"/>
  <c r="I4775" i="3"/>
  <c r="I4813" i="3"/>
  <c r="I7" i="3"/>
  <c r="I10" i="3"/>
  <c r="I57" i="3"/>
  <c r="I81" i="3"/>
  <c r="I147" i="3"/>
  <c r="I157" i="3"/>
  <c r="I195" i="3"/>
  <c r="I203" i="3"/>
  <c r="I241" i="3"/>
  <c r="I299" i="3"/>
  <c r="I366" i="3"/>
  <c r="I374" i="3"/>
  <c r="I377" i="3"/>
  <c r="I391" i="3"/>
  <c r="I476" i="3"/>
  <c r="I487" i="3"/>
  <c r="I515" i="3"/>
  <c r="I584" i="3"/>
  <c r="I643" i="3"/>
  <c r="I708" i="3"/>
  <c r="I773" i="3"/>
  <c r="I849" i="3"/>
  <c r="I881" i="3"/>
  <c r="I889" i="3"/>
  <c r="I894" i="3"/>
  <c r="I895" i="3"/>
  <c r="I904" i="3"/>
  <c r="I957" i="3"/>
  <c r="I1012" i="3"/>
  <c r="I1071" i="3"/>
  <c r="I1099" i="3"/>
  <c r="I1110" i="3"/>
  <c r="I1153" i="3"/>
  <c r="I1168" i="3"/>
  <c r="I1169" i="3"/>
  <c r="I1189" i="3"/>
  <c r="I1200" i="3"/>
  <c r="I1205" i="3"/>
  <c r="I1218" i="3"/>
  <c r="I1221" i="3"/>
  <c r="I1223" i="3"/>
  <c r="I1246" i="3"/>
  <c r="I1255" i="3"/>
  <c r="I1381" i="3"/>
  <c r="I1391" i="3"/>
  <c r="I1442" i="3"/>
  <c r="I1475" i="3"/>
  <c r="I1501" i="3"/>
  <c r="I1519" i="3"/>
  <c r="I1529" i="3"/>
  <c r="I1534" i="3"/>
  <c r="I1542" i="3"/>
  <c r="I1552" i="3"/>
  <c r="I1640" i="3"/>
  <c r="I1658" i="3"/>
  <c r="I1766" i="3"/>
  <c r="I1783" i="3"/>
  <c r="I1801" i="3"/>
  <c r="I1830" i="3"/>
  <c r="I1833" i="3"/>
  <c r="I1902" i="3"/>
  <c r="I1904" i="3"/>
  <c r="I1921" i="3"/>
  <c r="I2026" i="3"/>
  <c r="I2141" i="3"/>
  <c r="I2152" i="3"/>
  <c r="I2173" i="3"/>
  <c r="I2180" i="3"/>
  <c r="I2198" i="3"/>
  <c r="I2249" i="3"/>
  <c r="I2256" i="3"/>
  <c r="I2259" i="3"/>
  <c r="I2267" i="3"/>
  <c r="I2299" i="3"/>
  <c r="I2325" i="3"/>
  <c r="I2347" i="3"/>
  <c r="I2357" i="3"/>
  <c r="I2368" i="3"/>
  <c r="I2460" i="3"/>
  <c r="I2465" i="3"/>
  <c r="I2476" i="3"/>
  <c r="I2485" i="3"/>
  <c r="I2522" i="3"/>
  <c r="I2553" i="3"/>
  <c r="I2560" i="3"/>
  <c r="I2562" i="3"/>
  <c r="I2563" i="3"/>
  <c r="I2587" i="3"/>
  <c r="I2633" i="3"/>
  <c r="I2686" i="3"/>
  <c r="I2725" i="3"/>
  <c r="I2750" i="3"/>
  <c r="I2776" i="3"/>
  <c r="I2815" i="3"/>
  <c r="I2905" i="3"/>
  <c r="I2909" i="3"/>
  <c r="I2983" i="3"/>
  <c r="I2987" i="3"/>
  <c r="I2990" i="3"/>
  <c r="I3048" i="3"/>
  <c r="I3071" i="3"/>
  <c r="I3158" i="3"/>
  <c r="I3182" i="3"/>
  <c r="I3238" i="3"/>
  <c r="I3261" i="3"/>
  <c r="I3275" i="3"/>
  <c r="I3317" i="3"/>
  <c r="I3329" i="3"/>
  <c r="I3331" i="3"/>
  <c r="I3336" i="3"/>
  <c r="I3389" i="3"/>
  <c r="I3413" i="3"/>
  <c r="I3489" i="3"/>
  <c r="I3523" i="3"/>
  <c r="I3560" i="3"/>
  <c r="I3603" i="3"/>
  <c r="I3615" i="3"/>
  <c r="I3618" i="3"/>
  <c r="I3713" i="3"/>
  <c r="I3760" i="3"/>
  <c r="I3803" i="3"/>
  <c r="I3817" i="3"/>
  <c r="I3887" i="3"/>
  <c r="I3944" i="3"/>
  <c r="I3958" i="3"/>
  <c r="I3978" i="3"/>
  <c r="I3997" i="3"/>
  <c r="I4038" i="3"/>
  <c r="I4056" i="3"/>
  <c r="I4137" i="3"/>
  <c r="I4148" i="3"/>
  <c r="I4204" i="3"/>
  <c r="I4259" i="3"/>
  <c r="I4260" i="3"/>
  <c r="I4351" i="3"/>
  <c r="I4383" i="3"/>
  <c r="I4391" i="3"/>
  <c r="I4417" i="3"/>
  <c r="I4428" i="3"/>
  <c r="I4431" i="3"/>
  <c r="I4454" i="3"/>
  <c r="I4468" i="3"/>
  <c r="I4471" i="3"/>
  <c r="I4528" i="3"/>
  <c r="I4540" i="3"/>
  <c r="I4545" i="3"/>
  <c r="I4624" i="3"/>
  <c r="I4648" i="3"/>
  <c r="I4685" i="3"/>
  <c r="I4698" i="3"/>
  <c r="I4714" i="3"/>
  <c r="I4725" i="3"/>
  <c r="I48" i="3"/>
  <c r="I401" i="3"/>
  <c r="I630" i="3"/>
  <c r="I637" i="3"/>
  <c r="I638" i="3"/>
  <c r="I645" i="3"/>
  <c r="I678" i="3"/>
  <c r="I736" i="3"/>
  <c r="I749" i="3"/>
  <c r="I886" i="3"/>
  <c r="I976" i="3"/>
  <c r="I1058" i="3"/>
  <c r="I1120" i="3"/>
  <c r="I1130" i="3"/>
  <c r="I1186" i="3"/>
  <c r="I1212" i="3"/>
  <c r="I1261" i="3"/>
  <c r="I1403" i="3"/>
  <c r="I1460" i="3"/>
  <c r="I1471" i="3"/>
  <c r="I1545" i="3"/>
  <c r="I1548" i="3"/>
  <c r="I1572" i="3"/>
  <c r="I1591" i="3"/>
  <c r="I1600" i="3"/>
  <c r="I1611" i="3"/>
  <c r="I1671" i="3"/>
  <c r="I1742" i="3"/>
  <c r="I1769" i="3"/>
  <c r="I1839" i="3"/>
  <c r="I1877" i="3"/>
  <c r="I1912" i="3"/>
  <c r="I1980" i="3"/>
  <c r="I1986" i="3"/>
  <c r="I1988" i="3"/>
  <c r="I2099" i="3"/>
  <c r="I2129" i="3"/>
  <c r="I2150" i="3"/>
  <c r="I2177" i="3"/>
  <c r="I2350" i="3"/>
  <c r="I2480" i="3"/>
  <c r="I2551" i="3"/>
  <c r="I2612" i="3"/>
  <c r="I2718" i="3"/>
  <c r="I2810" i="3"/>
  <c r="I2947" i="3"/>
  <c r="I2980" i="3"/>
  <c r="I2984" i="3"/>
  <c r="I2986" i="3"/>
  <c r="I2989" i="3"/>
  <c r="I3163" i="3"/>
  <c r="I3170" i="3"/>
  <c r="I3201" i="3"/>
  <c r="I3303" i="3"/>
  <c r="I3306" i="3"/>
  <c r="I3433" i="3"/>
  <c r="I3473" i="3"/>
  <c r="I3491" i="3"/>
  <c r="I3529" i="3"/>
  <c r="I3543" i="3"/>
  <c r="I3650" i="3"/>
  <c r="I3679" i="3"/>
  <c r="I3750" i="3"/>
  <c r="I3808" i="3"/>
  <c r="I3834" i="3"/>
  <c r="I3915" i="3"/>
  <c r="I4205" i="3"/>
  <c r="I4231" i="3"/>
  <c r="I4380" i="3"/>
  <c r="I4406" i="3"/>
  <c r="I4466" i="3"/>
  <c r="I4693" i="3"/>
  <c r="I4705" i="3"/>
  <c r="I4748" i="3"/>
  <c r="I4804" i="3"/>
  <c r="I2" i="3"/>
  <c r="I22" i="3"/>
  <c r="I26" i="3"/>
  <c r="I38" i="3"/>
  <c r="I58" i="3"/>
  <c r="I92" i="3"/>
  <c r="I137" i="3"/>
  <c r="I155" i="3"/>
  <c r="I162" i="3"/>
  <c r="I171" i="3"/>
  <c r="I177" i="3"/>
  <c r="I214" i="3"/>
  <c r="I233" i="3"/>
  <c r="I246" i="3"/>
  <c r="I259" i="3"/>
  <c r="I301" i="3"/>
  <c r="I319" i="3"/>
  <c r="I328" i="3"/>
  <c r="I333" i="3"/>
  <c r="I336" i="3"/>
  <c r="I350" i="3"/>
  <c r="I383" i="3"/>
  <c r="I400" i="3"/>
  <c r="I419" i="3"/>
  <c r="I423" i="3"/>
  <c r="I449" i="3"/>
  <c r="I501" i="3"/>
  <c r="I516" i="3"/>
  <c r="I535" i="3"/>
  <c r="I560" i="3"/>
  <c r="I577" i="3"/>
  <c r="I625" i="3"/>
  <c r="I627" i="3"/>
  <c r="I676" i="3"/>
  <c r="I719" i="3"/>
  <c r="I742" i="3"/>
  <c r="I744" i="3"/>
  <c r="I751" i="3"/>
  <c r="I754" i="3"/>
  <c r="I756" i="3"/>
  <c r="I786" i="3"/>
  <c r="I789" i="3"/>
  <c r="I810" i="3"/>
  <c r="I813" i="3"/>
  <c r="I814" i="3"/>
  <c r="I842" i="3"/>
  <c r="I872" i="3"/>
  <c r="I887" i="3"/>
  <c r="I924" i="3"/>
  <c r="I925" i="3"/>
  <c r="I934" i="3"/>
  <c r="I981" i="3"/>
  <c r="I1018" i="3"/>
  <c r="I1059" i="3"/>
  <c r="I1075" i="3"/>
  <c r="I1082" i="3"/>
  <c r="I1085" i="3"/>
  <c r="I1087" i="3"/>
  <c r="I1091" i="3"/>
  <c r="I1104" i="3"/>
  <c r="I1109" i="3"/>
  <c r="I1151" i="3"/>
  <c r="I1174" i="3"/>
  <c r="I1195" i="3"/>
  <c r="I1225" i="3"/>
  <c r="I1268" i="3"/>
  <c r="I1331" i="3"/>
  <c r="I1334" i="3"/>
  <c r="I1373" i="3"/>
  <c r="I1406" i="3"/>
  <c r="I1407" i="3"/>
  <c r="I1446" i="3"/>
  <c r="I1463" i="3"/>
  <c r="I1509" i="3"/>
  <c r="I1579" i="3"/>
  <c r="I1616" i="3"/>
  <c r="I1636" i="3"/>
  <c r="I1666" i="3"/>
  <c r="I1675" i="3"/>
  <c r="I1692" i="3"/>
  <c r="I1731" i="3"/>
  <c r="I1749" i="3"/>
  <c r="I1814" i="3"/>
  <c r="I1829" i="3"/>
  <c r="I1992" i="3"/>
  <c r="I2016" i="3"/>
  <c r="I2046" i="3"/>
  <c r="I2050" i="3"/>
  <c r="I2116" i="3"/>
  <c r="I2121" i="3"/>
  <c r="I2162" i="3"/>
  <c r="I2191" i="3"/>
  <c r="I2212" i="3"/>
  <c r="I2220" i="3"/>
  <c r="I2300" i="3"/>
  <c r="I2369" i="3"/>
  <c r="I2377" i="3"/>
  <c r="I2406" i="3"/>
  <c r="I2438" i="3"/>
  <c r="I2441" i="3"/>
  <c r="I2477" i="3"/>
  <c r="I2554" i="3"/>
  <c r="I2558" i="3"/>
  <c r="I2577" i="3"/>
  <c r="I2622" i="3"/>
  <c r="I2661" i="3"/>
  <c r="I2673" i="3"/>
  <c r="I2683" i="3"/>
  <c r="I2704" i="3"/>
  <c r="I2747" i="3"/>
  <c r="I2794" i="3"/>
  <c r="I2821" i="3"/>
  <c r="I2841" i="3"/>
  <c r="I2877" i="3"/>
  <c r="I2879" i="3"/>
  <c r="I2888" i="3"/>
  <c r="I2889" i="3"/>
  <c r="I2891" i="3"/>
  <c r="I2912" i="3"/>
  <c r="I2933" i="3"/>
  <c r="I2937" i="3"/>
  <c r="I2952" i="3"/>
  <c r="I2996" i="3"/>
  <c r="I3003" i="3"/>
  <c r="I3016" i="3"/>
  <c r="I3017" i="3"/>
  <c r="I3040" i="3"/>
  <c r="I3043" i="3"/>
  <c r="I3059" i="3"/>
  <c r="I3099" i="3"/>
  <c r="I3142" i="3"/>
  <c r="I3233" i="3"/>
  <c r="I3235" i="3"/>
  <c r="I3237" i="3"/>
  <c r="I3240" i="3"/>
  <c r="I3271" i="3"/>
  <c r="I3337" i="3"/>
  <c r="I3340" i="3"/>
  <c r="I3385" i="3"/>
  <c r="I3441" i="3"/>
  <c r="I3459" i="3"/>
  <c r="I3461" i="3"/>
  <c r="I3485" i="3"/>
  <c r="I3517" i="3"/>
  <c r="I3541" i="3"/>
  <c r="I3563" i="3"/>
  <c r="I3568" i="3"/>
  <c r="I3610" i="3"/>
  <c r="I3619" i="3"/>
  <c r="I3634" i="3"/>
  <c r="I3663" i="3"/>
  <c r="I3680" i="3"/>
  <c r="I3689" i="3"/>
  <c r="I3822" i="3"/>
  <c r="I3829" i="3"/>
  <c r="I3845" i="3"/>
  <c r="I3859" i="3"/>
  <c r="I3861" i="3"/>
  <c r="I3921" i="3"/>
  <c r="I3936" i="3"/>
  <c r="I3937" i="3"/>
  <c r="I3947" i="3"/>
  <c r="I3959" i="3"/>
  <c r="I4128" i="3"/>
  <c r="I4172" i="3"/>
  <c r="I4193" i="3"/>
  <c r="I4213" i="3"/>
  <c r="I4282" i="3"/>
  <c r="I4379" i="3"/>
  <c r="I4472" i="3"/>
  <c r="I4525" i="3"/>
  <c r="I4562" i="3"/>
  <c r="I4573" i="3"/>
  <c r="I4625" i="3"/>
  <c r="I4651" i="3"/>
  <c r="I4697" i="3"/>
  <c r="I4729" i="3"/>
  <c r="I4736" i="3"/>
  <c r="I4798" i="3"/>
  <c r="I4830" i="3"/>
  <c r="I323" i="3"/>
  <c r="I526" i="3"/>
  <c r="I1423" i="3"/>
  <c r="I2166" i="3"/>
  <c r="I2186" i="3"/>
  <c r="I2344" i="3"/>
  <c r="I2799" i="3"/>
  <c r="I2931" i="3"/>
  <c r="I3058" i="3"/>
  <c r="I3710" i="3"/>
  <c r="I4134" i="3"/>
  <c r="I4167" i="3"/>
  <c r="I4208" i="3"/>
  <c r="I4682" i="3"/>
  <c r="I1315" i="3"/>
  <c r="I2210" i="3"/>
  <c r="I2222" i="3"/>
  <c r="I2394" i="3"/>
  <c r="I2418" i="3"/>
  <c r="I3469" i="3"/>
  <c r="I3824" i="3"/>
  <c r="I4484" i="3"/>
  <c r="I4733" i="3"/>
  <c r="I4825" i="3"/>
  <c r="I86" i="3"/>
  <c r="I235" i="3"/>
  <c r="I280" i="3"/>
  <c r="I289" i="3"/>
  <c r="I331" i="3"/>
  <c r="I351" i="3"/>
  <c r="I497" i="3"/>
  <c r="I505" i="3"/>
  <c r="I520" i="3"/>
  <c r="I521" i="3"/>
  <c r="I653" i="3"/>
  <c r="I673" i="3"/>
  <c r="I696" i="3"/>
  <c r="I702" i="3"/>
  <c r="I812" i="3"/>
  <c r="I829" i="3"/>
  <c r="I965" i="3"/>
  <c r="I978" i="3"/>
  <c r="I1045" i="3"/>
  <c r="I1064" i="3"/>
  <c r="I1118" i="3"/>
  <c r="I1249" i="3"/>
  <c r="I1325" i="3"/>
  <c r="I1363" i="3"/>
  <c r="I1493" i="3"/>
  <c r="I1504" i="3"/>
  <c r="I1517" i="3"/>
  <c r="I1532" i="3"/>
  <c r="I1607" i="3"/>
  <c r="I1707" i="3"/>
  <c r="I1757" i="3"/>
  <c r="I1805" i="3"/>
  <c r="I2003" i="3"/>
  <c r="I2043" i="3"/>
  <c r="I2095" i="3"/>
  <c r="I2271" i="3"/>
  <c r="I2290" i="3"/>
  <c r="I2340" i="3"/>
  <c r="I2341" i="3"/>
  <c r="I2423" i="3"/>
  <c r="I2484" i="3"/>
  <c r="I2506" i="3"/>
  <c r="I2544" i="3"/>
  <c r="I2572" i="3"/>
  <c r="I2603" i="3"/>
  <c r="I2638" i="3"/>
  <c r="I2716" i="3"/>
  <c r="I2744" i="3"/>
  <c r="I2836" i="3"/>
  <c r="I2919" i="3"/>
  <c r="I2927" i="3"/>
  <c r="I2928" i="3"/>
  <c r="I2994" i="3"/>
  <c r="I3041" i="3"/>
  <c r="I3096" i="3"/>
  <c r="I3104" i="3"/>
  <c r="I3108" i="3"/>
  <c r="I3123" i="3"/>
  <c r="I3126" i="3"/>
  <c r="I3167" i="3"/>
  <c r="I3179" i="3"/>
  <c r="I3292" i="3"/>
  <c r="I3333" i="3"/>
  <c r="I3344" i="3"/>
  <c r="I3393" i="3"/>
  <c r="I3399" i="3"/>
  <c r="I3435" i="3"/>
  <c r="I3530" i="3"/>
  <c r="I3558" i="3"/>
  <c r="I3564" i="3"/>
  <c r="I3678" i="3"/>
  <c r="I3720" i="3"/>
  <c r="I3723" i="3"/>
  <c r="I3725" i="3"/>
  <c r="I3736" i="3"/>
  <c r="I3811" i="3"/>
  <c r="I3821" i="3"/>
  <c r="I3869" i="3"/>
  <c r="I3966" i="3"/>
  <c r="I4033" i="3"/>
  <c r="I4141" i="3"/>
  <c r="I4157" i="3"/>
  <c r="I4165" i="3"/>
  <c r="I4198" i="3"/>
  <c r="I4202" i="3"/>
  <c r="I4309" i="3"/>
  <c r="I4319" i="3"/>
  <c r="I4339" i="3"/>
  <c r="I4421" i="3"/>
  <c r="I4443" i="3"/>
  <c r="I4558" i="3"/>
  <c r="I4708" i="3"/>
  <c r="I4709" i="3"/>
  <c r="I4759" i="3"/>
  <c r="I4766" i="3"/>
  <c r="I4784" i="3"/>
  <c r="I62" i="3"/>
  <c r="I66" i="3"/>
  <c r="I113" i="3"/>
  <c r="I164" i="3"/>
  <c r="I169" i="3"/>
  <c r="I213" i="3"/>
  <c r="I231" i="3"/>
  <c r="I382" i="3"/>
  <c r="I387" i="3"/>
  <c r="I525" i="3"/>
  <c r="I534" i="3"/>
  <c r="I536" i="3"/>
  <c r="I583" i="3"/>
  <c r="I615" i="3"/>
  <c r="I722" i="3"/>
  <c r="I745" i="3"/>
  <c r="I787" i="3"/>
  <c r="I799" i="3"/>
  <c r="I817" i="3"/>
  <c r="I832" i="3"/>
  <c r="I1001" i="3"/>
  <c r="I1021" i="3"/>
  <c r="I1049" i="3"/>
  <c r="I1083" i="3"/>
  <c r="I1191" i="3"/>
  <c r="I1243" i="3"/>
  <c r="I1260" i="3"/>
  <c r="I1287" i="3"/>
  <c r="I1292" i="3"/>
  <c r="I1299" i="3"/>
  <c r="I1302" i="3"/>
  <c r="I1304" i="3"/>
  <c r="I1327" i="3"/>
  <c r="I1448" i="3"/>
  <c r="I1455" i="3"/>
  <c r="I1487" i="3"/>
  <c r="I1510" i="3"/>
  <c r="I1553" i="3"/>
  <c r="I1559" i="3"/>
  <c r="I1570" i="3"/>
  <c r="I1601" i="3"/>
  <c r="I1632" i="3"/>
  <c r="I1638" i="3"/>
  <c r="I1751" i="3"/>
  <c r="I1754" i="3"/>
  <c r="I1755" i="3"/>
  <c r="I1923" i="3"/>
  <c r="I2018" i="3"/>
  <c r="I2025" i="3"/>
  <c r="I2033" i="3"/>
  <c r="I2119" i="3"/>
  <c r="I2156" i="3"/>
  <c r="I2165" i="3"/>
  <c r="I2184" i="3"/>
  <c r="I2188" i="3"/>
  <c r="I2217" i="3"/>
  <c r="I2238" i="3"/>
  <c r="I2318" i="3"/>
  <c r="I2324" i="3"/>
  <c r="I2431" i="3"/>
  <c r="I2432" i="3"/>
  <c r="I2448" i="3"/>
  <c r="I2458" i="3"/>
  <c r="I2509" i="3"/>
  <c r="I2523" i="3"/>
  <c r="I2540" i="3"/>
  <c r="I2571" i="3"/>
  <c r="I2647" i="3"/>
  <c r="I2655" i="3"/>
  <c r="I2695" i="3"/>
  <c r="I2864" i="3"/>
  <c r="I2874" i="3"/>
  <c r="I2881" i="3"/>
  <c r="I2893" i="3"/>
  <c r="I2899" i="3"/>
  <c r="I2930" i="3"/>
  <c r="I2999" i="3"/>
  <c r="I3021" i="3"/>
  <c r="I3078" i="3"/>
  <c r="I3135" i="3"/>
  <c r="I3213" i="3"/>
  <c r="I3273" i="3"/>
  <c r="I3286" i="3"/>
  <c r="I3310" i="3"/>
  <c r="I3327" i="3"/>
  <c r="I3347" i="3"/>
  <c r="I3439" i="3"/>
  <c r="I3511" i="3"/>
  <c r="I3613" i="3"/>
  <c r="I3614" i="3"/>
  <c r="I3669" i="3"/>
  <c r="I3784" i="3"/>
  <c r="I3809" i="3"/>
  <c r="I3866" i="3"/>
  <c r="I3923" i="3"/>
  <c r="I3999" i="3"/>
  <c r="I4022" i="3"/>
  <c r="I4032" i="3"/>
  <c r="I4135" i="3"/>
  <c r="I4140" i="3"/>
  <c r="I4145" i="3"/>
  <c r="I4158" i="3"/>
  <c r="I4194" i="3"/>
  <c r="I4210" i="3"/>
  <c r="I4211" i="3"/>
  <c r="I4223" i="3"/>
  <c r="I4302" i="3"/>
  <c r="I4375" i="3"/>
  <c r="I4376" i="3"/>
  <c r="I4416" i="3"/>
  <c r="I4670" i="3"/>
  <c r="I4675" i="3"/>
  <c r="I4726" i="3"/>
  <c r="I4815" i="3"/>
  <c r="I14" i="3"/>
  <c r="I65" i="3"/>
  <c r="I67" i="3"/>
  <c r="I75" i="3"/>
  <c r="I82" i="3"/>
  <c r="I115" i="3"/>
  <c r="I118" i="3"/>
  <c r="I148" i="3"/>
  <c r="I151" i="3"/>
  <c r="I175" i="3"/>
  <c r="I178" i="3"/>
  <c r="I181" i="3"/>
  <c r="I204" i="3"/>
  <c r="I294" i="3"/>
  <c r="I394" i="3"/>
  <c r="I408" i="3"/>
  <c r="I454" i="3"/>
  <c r="I474" i="3"/>
  <c r="I485" i="3"/>
  <c r="I488" i="3"/>
  <c r="I490" i="3"/>
  <c r="I493" i="3"/>
  <c r="I544" i="3"/>
  <c r="I556" i="3"/>
  <c r="I571" i="3"/>
  <c r="I574" i="3"/>
  <c r="I576" i="3"/>
  <c r="I579" i="3"/>
  <c r="I608" i="3"/>
  <c r="I629" i="3"/>
  <c r="I650" i="3"/>
  <c r="I674" i="3"/>
  <c r="I677" i="3"/>
  <c r="I779" i="3"/>
  <c r="I796" i="3"/>
  <c r="I826" i="3"/>
  <c r="I847" i="3"/>
  <c r="I869" i="3"/>
  <c r="I899" i="3"/>
  <c r="I926" i="3"/>
  <c r="I930" i="3"/>
  <c r="I942" i="3"/>
  <c r="I947" i="3"/>
  <c r="I953" i="3"/>
  <c r="I956" i="3"/>
  <c r="I967" i="3"/>
  <c r="I971" i="3"/>
  <c r="I982" i="3"/>
  <c r="I991" i="3"/>
  <c r="I1031" i="3"/>
  <c r="I1037" i="3"/>
  <c r="I1042" i="3"/>
  <c r="I1063" i="3"/>
  <c r="I1105" i="3"/>
  <c r="I1119" i="3"/>
  <c r="I1134" i="3"/>
  <c r="I1177" i="3"/>
  <c r="I1192" i="3"/>
  <c r="I1194" i="3"/>
  <c r="I1219" i="3"/>
  <c r="I1285" i="3"/>
  <c r="I1314" i="3"/>
  <c r="I1355" i="3"/>
  <c r="I1415" i="3"/>
  <c r="I1435" i="3"/>
  <c r="I1436" i="3"/>
  <c r="I1466" i="3"/>
  <c r="I1498" i="3"/>
  <c r="I1508" i="3"/>
  <c r="I1511" i="3"/>
  <c r="I1566" i="3"/>
  <c r="I1574" i="3"/>
  <c r="I1580" i="3"/>
  <c r="I1589" i="3"/>
  <c r="I1642" i="3"/>
  <c r="I1655" i="3"/>
  <c r="I1682" i="3"/>
  <c r="I1685" i="3"/>
  <c r="I1694" i="3"/>
  <c r="I1710" i="3"/>
  <c r="I1714" i="3"/>
  <c r="I1726" i="3"/>
  <c r="I1727" i="3"/>
  <c r="I1732" i="3"/>
  <c r="I1768" i="3"/>
  <c r="I1825" i="3"/>
  <c r="I1915" i="3"/>
  <c r="I1933" i="3"/>
  <c r="I1954" i="3"/>
  <c r="I1956" i="3"/>
  <c r="I1970" i="3"/>
  <c r="I1977" i="3"/>
  <c r="I1985" i="3"/>
  <c r="I2028" i="3"/>
  <c r="I2029" i="3"/>
  <c r="I2038" i="3"/>
  <c r="I2052" i="3"/>
  <c r="I2063" i="3"/>
  <c r="I2072" i="3"/>
  <c r="I2107" i="3"/>
  <c r="I2181" i="3"/>
  <c r="I2226" i="3"/>
  <c r="I2239" i="3"/>
  <c r="I2302" i="3"/>
  <c r="I2310" i="3"/>
  <c r="I2392" i="3"/>
  <c r="I2414" i="3"/>
  <c r="I2443" i="3"/>
  <c r="I2467" i="3"/>
  <c r="I2486" i="3"/>
  <c r="I2494" i="3"/>
  <c r="I2496" i="3"/>
  <c r="I2502" i="3"/>
  <c r="I2552" i="3"/>
  <c r="I2564" i="3"/>
  <c r="I2578" i="3"/>
  <c r="I2584" i="3"/>
  <c r="I2585" i="3"/>
  <c r="I2606" i="3"/>
  <c r="I2609" i="3"/>
  <c r="I2698" i="3"/>
  <c r="I2699" i="3"/>
  <c r="I2758" i="3"/>
  <c r="I2805" i="3"/>
  <c r="I2824" i="3"/>
  <c r="I2826" i="3"/>
  <c r="I2840" i="3"/>
  <c r="I2857" i="3"/>
  <c r="I2866" i="3"/>
  <c r="I2908" i="3"/>
  <c r="I3008" i="3"/>
  <c r="I3012" i="3"/>
  <c r="I3028" i="3"/>
  <c r="I3056" i="3"/>
  <c r="I3128" i="3"/>
  <c r="I3145" i="3"/>
  <c r="I3147" i="3"/>
  <c r="I3162" i="3"/>
  <c r="I3268" i="3"/>
  <c r="I3280" i="3"/>
  <c r="I3324" i="3"/>
  <c r="I3362" i="3"/>
  <c r="I3366" i="3"/>
  <c r="I3432" i="3"/>
  <c r="I3440" i="3"/>
  <c r="I3444" i="3"/>
  <c r="I3451" i="3"/>
  <c r="I3484" i="3"/>
  <c r="I3512" i="3"/>
  <c r="I3589" i="3"/>
  <c r="I3599" i="3"/>
  <c r="I3601" i="3"/>
  <c r="I3629" i="3"/>
  <c r="I3666" i="3"/>
  <c r="I3671" i="3"/>
  <c r="I3674" i="3"/>
  <c r="I3682" i="3"/>
  <c r="I3761" i="3"/>
  <c r="I3768" i="3"/>
  <c r="I3793" i="3"/>
  <c r="I3874" i="3"/>
  <c r="I3920" i="3"/>
  <c r="I3922" i="3"/>
  <c r="I3963" i="3"/>
  <c r="I3987" i="3"/>
  <c r="I4133" i="3"/>
  <c r="I4142" i="3"/>
  <c r="I4154" i="3"/>
  <c r="I4169" i="3"/>
  <c r="I4187" i="3"/>
  <c r="I4191" i="3"/>
  <c r="I4215" i="3"/>
  <c r="I4235" i="3"/>
  <c r="I4248" i="3"/>
  <c r="I4377" i="3"/>
  <c r="J4377" i="3" s="1"/>
  <c r="I4529" i="3"/>
  <c r="J4529" i="3" s="1"/>
  <c r="I4587" i="3"/>
  <c r="J4587" i="3" s="1"/>
  <c r="I4591" i="3"/>
  <c r="J4591" i="3" s="1"/>
  <c r="I4606" i="3"/>
  <c r="J4606" i="3" s="1"/>
  <c r="I4615" i="3"/>
  <c r="J4615" i="3" s="1"/>
  <c r="I4626" i="3"/>
  <c r="J4626" i="3" s="1"/>
  <c r="I4628" i="3"/>
  <c r="J4628" i="3" s="1"/>
  <c r="I4632" i="3"/>
  <c r="J4632" i="3" s="1"/>
  <c r="I4747" i="3"/>
  <c r="J4747" i="3" s="1"/>
  <c r="I4792" i="3"/>
  <c r="J4792" i="3" s="1"/>
  <c r="I4814" i="3"/>
  <c r="J4814" i="3" s="1"/>
  <c r="I4832" i="3"/>
  <c r="J4832" i="3" s="1"/>
  <c r="I11" i="3"/>
  <c r="J11" i="3" s="1"/>
  <c r="I12" i="3"/>
  <c r="J12" i="3" s="1"/>
  <c r="I30" i="3"/>
  <c r="J30" i="3" s="1"/>
  <c r="I168" i="3"/>
  <c r="J168" i="3" s="1"/>
  <c r="I170" i="3"/>
  <c r="J170" i="3" s="1"/>
  <c r="I172" i="3"/>
  <c r="J172" i="3" s="1"/>
  <c r="I236" i="3"/>
  <c r="J236" i="3" s="1"/>
  <c r="I257" i="3"/>
  <c r="J257" i="3" s="1"/>
  <c r="I305" i="3"/>
  <c r="J305" i="3" s="1"/>
  <c r="I308" i="3"/>
  <c r="J308" i="3" s="1"/>
  <c r="I324" i="3"/>
  <c r="J324" i="3" s="1"/>
  <c r="I424" i="3"/>
  <c r="J424" i="3" s="1"/>
  <c r="I507" i="3"/>
  <c r="J507" i="3" s="1"/>
  <c r="I522" i="3"/>
  <c r="J522" i="3" s="1"/>
  <c r="I557" i="3"/>
  <c r="J557" i="3" s="1"/>
  <c r="I572" i="3"/>
  <c r="J572" i="3" s="1"/>
  <c r="I600" i="3"/>
  <c r="J600" i="3" s="1"/>
  <c r="I601" i="3"/>
  <c r="J601" i="3" s="1"/>
  <c r="I610" i="3"/>
  <c r="J610" i="3" s="1"/>
  <c r="I618" i="3"/>
  <c r="J618" i="3" s="1"/>
  <c r="I635" i="3"/>
  <c r="J635" i="3" s="1"/>
  <c r="I671" i="3"/>
  <c r="J671" i="3" s="1"/>
  <c r="I691" i="3"/>
  <c r="J691" i="3" s="1"/>
  <c r="I695" i="3"/>
  <c r="J695" i="3" s="1"/>
  <c r="I748" i="3"/>
  <c r="J748" i="3" s="1"/>
  <c r="I767" i="3"/>
  <c r="J767" i="3" s="1"/>
  <c r="I775" i="3"/>
  <c r="J775" i="3" s="1"/>
  <c r="I824" i="3"/>
  <c r="J824" i="3" s="1"/>
  <c r="I856" i="3"/>
  <c r="J856" i="3" s="1"/>
  <c r="I865" i="3"/>
  <c r="J865" i="3" s="1"/>
  <c r="I921" i="3"/>
  <c r="J921" i="3" s="1"/>
  <c r="I944" i="3"/>
  <c r="J944" i="3" s="1"/>
  <c r="I970" i="3"/>
  <c r="J970" i="3" s="1"/>
  <c r="I994" i="3"/>
  <c r="J994" i="3" s="1"/>
  <c r="I1008" i="3"/>
  <c r="J1008" i="3" s="1"/>
  <c r="I1027" i="3"/>
  <c r="J1027" i="3" s="1"/>
  <c r="I1122" i="3"/>
  <c r="J1122" i="3" s="1"/>
  <c r="I1141" i="3"/>
  <c r="J1141" i="3" s="1"/>
  <c r="I1144" i="3"/>
  <c r="J1144" i="3" s="1"/>
  <c r="I1158" i="3"/>
  <c r="J1158" i="3" s="1"/>
  <c r="I1227" i="3"/>
  <c r="J1227" i="3" s="1"/>
  <c r="I1228" i="3"/>
  <c r="J1228" i="3" s="1"/>
  <c r="I1233" i="3"/>
  <c r="J1233" i="3" s="1"/>
  <c r="I1235" i="3"/>
  <c r="J1235" i="3" s="1"/>
  <c r="I1247" i="3"/>
  <c r="J1247" i="3" s="1"/>
  <c r="I1250" i="3"/>
  <c r="J1250" i="3" s="1"/>
  <c r="I1262" i="3"/>
  <c r="J1262" i="3" s="1"/>
  <c r="I1367" i="3"/>
  <c r="J1367" i="3" s="1"/>
  <c r="I1372" i="3"/>
  <c r="J1372" i="3" s="1"/>
  <c r="I1389" i="3"/>
  <c r="J1389" i="3" s="1"/>
  <c r="I1422" i="3"/>
  <c r="J1422" i="3" s="1"/>
  <c r="I1452" i="3"/>
  <c r="J1452" i="3" s="1"/>
  <c r="I1494" i="3"/>
  <c r="J1494" i="3" s="1"/>
  <c r="I1584" i="3"/>
  <c r="J1584" i="3" s="1"/>
  <c r="I1595" i="3"/>
  <c r="J1595" i="3" s="1"/>
  <c r="I1614" i="3"/>
  <c r="J1614" i="3" s="1"/>
  <c r="I1620" i="3"/>
  <c r="J1620" i="3" s="1"/>
  <c r="I1647" i="3"/>
  <c r="J1647" i="3" s="1"/>
  <c r="I1649" i="3"/>
  <c r="J1649" i="3" s="1"/>
  <c r="I1759" i="3"/>
  <c r="J1759" i="3" s="1"/>
  <c r="I1767" i="3"/>
  <c r="J1767" i="3" s="1"/>
  <c r="I1837" i="3"/>
  <c r="J1837" i="3" s="1"/>
  <c r="I1847" i="3"/>
  <c r="J1847" i="3" s="1"/>
  <c r="I1870" i="3"/>
  <c r="J1870" i="3" s="1"/>
  <c r="I1946" i="3"/>
  <c r="J1946" i="3" s="1"/>
  <c r="I1951" i="3"/>
  <c r="J1951" i="3" s="1"/>
  <c r="I1979" i="3"/>
  <c r="J1979" i="3" s="1"/>
  <c r="I2010" i="3"/>
  <c r="J2010" i="3" s="1"/>
  <c r="I2032" i="3"/>
  <c r="J2032" i="3" s="1"/>
  <c r="I2071" i="3"/>
  <c r="J2071" i="3" s="1"/>
  <c r="I2100" i="3"/>
  <c r="J2100" i="3" s="1"/>
  <c r="I2110" i="3"/>
  <c r="J2110" i="3" s="1"/>
  <c r="I2114" i="3"/>
  <c r="J2114" i="3" s="1"/>
  <c r="I2211" i="3"/>
  <c r="J2211" i="3" s="1"/>
  <c r="I2248" i="3"/>
  <c r="J2248" i="3" s="1"/>
  <c r="I2254" i="3"/>
  <c r="J2254" i="3" s="1"/>
  <c r="I2301" i="3"/>
  <c r="J2301" i="3" s="1"/>
  <c r="I2370" i="3"/>
  <c r="J2370" i="3" s="1"/>
  <c r="I2397" i="3"/>
  <c r="J2397" i="3" s="1"/>
  <c r="I2405" i="3"/>
  <c r="J2405" i="3" s="1"/>
  <c r="I2416" i="3"/>
  <c r="J2416" i="3" s="1"/>
  <c r="I2445" i="3"/>
  <c r="J2445" i="3" s="1"/>
  <c r="I2473" i="3"/>
  <c r="J2473" i="3" s="1"/>
  <c r="I2537" i="3"/>
  <c r="J2537" i="3" s="1"/>
  <c r="I2539" i="3"/>
  <c r="J2539" i="3" s="1"/>
  <c r="I2556" i="3"/>
  <c r="J2556" i="3" s="1"/>
  <c r="I2580" i="3"/>
  <c r="J2580" i="3" s="1"/>
  <c r="I2678" i="3"/>
  <c r="J2678" i="3" s="1"/>
  <c r="I2679" i="3"/>
  <c r="J2679" i="3" s="1"/>
  <c r="I2696" i="3"/>
  <c r="J2696" i="3" s="1"/>
  <c r="I2712" i="3"/>
  <c r="J2712" i="3" s="1"/>
  <c r="I2748" i="3"/>
  <c r="J2748" i="3" s="1"/>
  <c r="I2785" i="3"/>
  <c r="J2785" i="3" s="1"/>
  <c r="I2837" i="3"/>
  <c r="J2837" i="3" s="1"/>
  <c r="I2858" i="3"/>
  <c r="J2858" i="3" s="1"/>
  <c r="I2902" i="3"/>
  <c r="J2902" i="3" s="1"/>
  <c r="I2922" i="3"/>
  <c r="J2922" i="3" s="1"/>
  <c r="I2951" i="3"/>
  <c r="J2951" i="3" s="1"/>
  <c r="I3038" i="3"/>
  <c r="J3038" i="3" s="1"/>
  <c r="I3060" i="3"/>
  <c r="J3060" i="3" s="1"/>
  <c r="I3074" i="3"/>
  <c r="J3074" i="3" s="1"/>
  <c r="I3083" i="3"/>
  <c r="J3083" i="3" s="1"/>
  <c r="I3085" i="3"/>
  <c r="J3085" i="3" s="1"/>
  <c r="I3086" i="3"/>
  <c r="J3086" i="3" s="1"/>
  <c r="I3150" i="3"/>
  <c r="J3150" i="3" s="1"/>
  <c r="I3166" i="3"/>
  <c r="J3166" i="3" s="1"/>
  <c r="I3229" i="3"/>
  <c r="J3229" i="3" s="1"/>
  <c r="I3232" i="3"/>
  <c r="J3232" i="3" s="1"/>
  <c r="I3241" i="3"/>
  <c r="J3241" i="3" s="1"/>
  <c r="I3246" i="3"/>
  <c r="J3246" i="3" s="1"/>
  <c r="I3263" i="3"/>
  <c r="J3263" i="3" s="1"/>
  <c r="I3277" i="3"/>
  <c r="J3277" i="3" s="1"/>
  <c r="I3287" i="3"/>
  <c r="J3287" i="3" s="1"/>
  <c r="I3289" i="3"/>
  <c r="J3289" i="3" s="1"/>
  <c r="I3318" i="3"/>
  <c r="J3318" i="3" s="1"/>
  <c r="I3323" i="3"/>
  <c r="J3323" i="3" s="1"/>
  <c r="I3357" i="3"/>
  <c r="J3357" i="3" s="1"/>
  <c r="I3403" i="3"/>
  <c r="J3403" i="3" s="1"/>
  <c r="I3406" i="3"/>
  <c r="J3406" i="3" s="1"/>
  <c r="I3422" i="3"/>
  <c r="J3422" i="3" s="1"/>
  <c r="I3437" i="3"/>
  <c r="J3437" i="3" s="1"/>
  <c r="I3478" i="3"/>
  <c r="J3478" i="3" s="1"/>
  <c r="I3479" i="3"/>
  <c r="J3479" i="3" s="1"/>
  <c r="I3552" i="3"/>
  <c r="J3552" i="3" s="1"/>
  <c r="I3556" i="3"/>
  <c r="J3556" i="3" s="1"/>
  <c r="I3600" i="3"/>
  <c r="J3600" i="3" s="1"/>
  <c r="I3633" i="3"/>
  <c r="J3633" i="3" s="1"/>
  <c r="I3677" i="3"/>
  <c r="J3677" i="3" s="1"/>
  <c r="I3730" i="3"/>
  <c r="J3730" i="3" s="1"/>
  <c r="I3733" i="3"/>
  <c r="J3733" i="3" s="1"/>
  <c r="I3749" i="3"/>
  <c r="J3749" i="3" s="1"/>
  <c r="I3765" i="3"/>
  <c r="J3765" i="3" s="1"/>
  <c r="I3770" i="3"/>
  <c r="J3770" i="3" s="1"/>
  <c r="I3775" i="3"/>
  <c r="J3775" i="3" s="1"/>
  <c r="I3789" i="3"/>
  <c r="J3789" i="3" s="1"/>
  <c r="I3794" i="3"/>
  <c r="J3794" i="3" s="1"/>
  <c r="I3882" i="3"/>
  <c r="J3882" i="3" s="1"/>
  <c r="I3889" i="3"/>
  <c r="J3889" i="3" s="1"/>
  <c r="I3908" i="3"/>
  <c r="J3908" i="3" s="1"/>
  <c r="I3925" i="3"/>
  <c r="J3925" i="3" s="1"/>
  <c r="I3929" i="3"/>
  <c r="J3929" i="3" s="1"/>
  <c r="I3981" i="3"/>
  <c r="J3981" i="3" s="1"/>
  <c r="I3983" i="3"/>
  <c r="J3983" i="3" s="1"/>
  <c r="I4015" i="3"/>
  <c r="J4015" i="3" s="1"/>
  <c r="I4061" i="3"/>
  <c r="J4061" i="3" s="1"/>
  <c r="I4111" i="3"/>
  <c r="J4111" i="3" s="1"/>
  <c r="I4176" i="3"/>
  <c r="J4176" i="3" s="1"/>
  <c r="I4181" i="3"/>
  <c r="J4181" i="3" s="1"/>
  <c r="I4222" i="3"/>
  <c r="J4222" i="3" s="1"/>
  <c r="I4224" i="3"/>
  <c r="J4224" i="3" s="1"/>
  <c r="I4241" i="3"/>
  <c r="J4241" i="3" s="1"/>
  <c r="I4251" i="3"/>
  <c r="J4251" i="3" s="1"/>
  <c r="I4311" i="3"/>
  <c r="J4311" i="3" s="1"/>
  <c r="I4395" i="3"/>
  <c r="J4395" i="3" s="1"/>
  <c r="I4398" i="3"/>
  <c r="J4398" i="3" s="1"/>
  <c r="I4511" i="3"/>
  <c r="J4511" i="3" s="1"/>
  <c r="I4596" i="3"/>
  <c r="J4596" i="3" s="1"/>
  <c r="I4636" i="3"/>
  <c r="J4636" i="3" s="1"/>
  <c r="I4667" i="3"/>
  <c r="J4667" i="3" s="1"/>
  <c r="I4668" i="3"/>
  <c r="J4668" i="3" s="1"/>
  <c r="I4679" i="3"/>
  <c r="J4679" i="3" s="1"/>
  <c r="I4686" i="3"/>
  <c r="J4686" i="3" s="1"/>
  <c r="I4687" i="3"/>
  <c r="J4687" i="3" s="1"/>
  <c r="I4701" i="3"/>
  <c r="J4701" i="3" s="1"/>
  <c r="I4716" i="3"/>
  <c r="J4716" i="3" s="1"/>
  <c r="I4756" i="3"/>
  <c r="J4756" i="3" s="1"/>
  <c r="I4761" i="3"/>
  <c r="J4761" i="3" s="1"/>
  <c r="I4781" i="3"/>
  <c r="J4781" i="3" s="1"/>
  <c r="I4786" i="3"/>
  <c r="J4786" i="3" s="1"/>
  <c r="I70" i="3"/>
  <c r="J70" i="3" s="1"/>
  <c r="I73" i="3"/>
  <c r="J73" i="3" s="1"/>
  <c r="I180" i="3"/>
  <c r="J180" i="3" s="1"/>
  <c r="I216" i="3"/>
  <c r="J216" i="3" s="1"/>
  <c r="I222" i="3"/>
  <c r="J222" i="3" s="1"/>
  <c r="I296" i="3"/>
  <c r="J296" i="3" s="1"/>
  <c r="I300" i="3"/>
  <c r="J300" i="3" s="1"/>
  <c r="I330" i="3"/>
  <c r="J330" i="3" s="1"/>
  <c r="I338" i="3"/>
  <c r="J338" i="3" s="1"/>
  <c r="I458" i="3"/>
  <c r="J458" i="3" s="1"/>
  <c r="I518" i="3"/>
  <c r="J518" i="3" s="1"/>
  <c r="I533" i="3"/>
  <c r="J533" i="3" s="1"/>
  <c r="I679" i="3"/>
  <c r="J679" i="3" s="1"/>
  <c r="I758" i="3"/>
  <c r="J758" i="3" s="1"/>
  <c r="I768" i="3"/>
  <c r="J768" i="3" s="1"/>
  <c r="I792" i="3"/>
  <c r="J792" i="3" s="1"/>
  <c r="I863" i="3"/>
  <c r="J863" i="3" s="1"/>
  <c r="I880" i="3"/>
  <c r="J880" i="3" s="1"/>
  <c r="I891" i="3"/>
  <c r="J891" i="3" s="1"/>
  <c r="I1024" i="3"/>
  <c r="J1024" i="3" s="1"/>
  <c r="I1036" i="3"/>
  <c r="J1036" i="3" s="1"/>
  <c r="I1156" i="3"/>
  <c r="J1156" i="3" s="1"/>
  <c r="I1163" i="3"/>
  <c r="J1163" i="3" s="1"/>
  <c r="I1239" i="3"/>
  <c r="J1239" i="3" s="1"/>
  <c r="I1303" i="3"/>
  <c r="J1303" i="3" s="1"/>
  <c r="I1364" i="3"/>
  <c r="J1364" i="3" s="1"/>
  <c r="I1408" i="3"/>
  <c r="J1408" i="3" s="1"/>
  <c r="I1428" i="3"/>
  <c r="J1428" i="3" s="1"/>
  <c r="I1708" i="3"/>
  <c r="J1708" i="3" s="1"/>
  <c r="I1906" i="3"/>
  <c r="J1906" i="3" s="1"/>
  <c r="I1950" i="3"/>
  <c r="J1950" i="3" s="1"/>
  <c r="I2051" i="3"/>
  <c r="J2051" i="3" s="1"/>
  <c r="I2065" i="3"/>
  <c r="J2065" i="3" s="1"/>
  <c r="I2098" i="3"/>
  <c r="J2098" i="3" s="1"/>
  <c r="I2329" i="3"/>
  <c r="J2329" i="3" s="1"/>
  <c r="I2413" i="3"/>
  <c r="J2413" i="3" s="1"/>
  <c r="I2433" i="3"/>
  <c r="J2433" i="3" s="1"/>
  <c r="I2490" i="3"/>
  <c r="J2490" i="3" s="1"/>
  <c r="I2602" i="3"/>
  <c r="J2602" i="3" s="1"/>
  <c r="I2642" i="3"/>
  <c r="J2642" i="3" s="1"/>
  <c r="I2688" i="3"/>
  <c r="J2688" i="3" s="1"/>
  <c r="I2854" i="3"/>
  <c r="J2854" i="3" s="1"/>
  <c r="I2920" i="3"/>
  <c r="J2920" i="3" s="1"/>
  <c r="I2935" i="3"/>
  <c r="J2935" i="3" s="1"/>
  <c r="I3026" i="3"/>
  <c r="J3026" i="3" s="1"/>
  <c r="I3244" i="3"/>
  <c r="J3244" i="3" s="1"/>
  <c r="I3251" i="3"/>
  <c r="J3251" i="3" s="1"/>
  <c r="I3260" i="3"/>
  <c r="J3260" i="3" s="1"/>
  <c r="I3319" i="3"/>
  <c r="J3319" i="3" s="1"/>
  <c r="I3360" i="3"/>
  <c r="J3360" i="3" s="1"/>
  <c r="I3392" i="3"/>
  <c r="J3392" i="3" s="1"/>
  <c r="I3464" i="3"/>
  <c r="J3464" i="3" s="1"/>
  <c r="I3503" i="3"/>
  <c r="J3503" i="3" s="1"/>
  <c r="I3542" i="3"/>
  <c r="J3542" i="3" s="1"/>
  <c r="I3545" i="3"/>
  <c r="J3545" i="3" s="1"/>
  <c r="I3548" i="3"/>
  <c r="J3548" i="3" s="1"/>
  <c r="I3645" i="3"/>
  <c r="J3645" i="3" s="1"/>
  <c r="I3670" i="3"/>
  <c r="J3670" i="3" s="1"/>
  <c r="I3699" i="3"/>
  <c r="J3699" i="3" s="1"/>
  <c r="I3795" i="3"/>
  <c r="J3795" i="3" s="1"/>
  <c r="I3893" i="3"/>
  <c r="J3893" i="3" s="1"/>
  <c r="I3938" i="3"/>
  <c r="J3938" i="3" s="1"/>
  <c r="I3972" i="3"/>
  <c r="J3972" i="3" s="1"/>
  <c r="I4041" i="3"/>
  <c r="J4041" i="3" s="1"/>
  <c r="I4125" i="3"/>
  <c r="J4125" i="3" s="1"/>
  <c r="I4209" i="3"/>
  <c r="J4209" i="3" s="1"/>
  <c r="I4334" i="3"/>
  <c r="J4334" i="3" s="1"/>
  <c r="I4470" i="3"/>
  <c r="J4470" i="3" s="1"/>
  <c r="I4513" i="3"/>
  <c r="J4513" i="3" s="1"/>
  <c r="I4578" i="3"/>
  <c r="J4578" i="3" s="1"/>
  <c r="I4579" i="3"/>
  <c r="J4579" i="3" s="1"/>
  <c r="I4681" i="3"/>
  <c r="J4681" i="3" s="1"/>
  <c r="I4757" i="3"/>
  <c r="J4757" i="3" s="1"/>
  <c r="I4769" i="3"/>
  <c r="J4769" i="3" s="1"/>
  <c r="I15" i="3"/>
  <c r="J15" i="3" s="1"/>
  <c r="I42" i="3"/>
  <c r="J42" i="3" s="1"/>
  <c r="I45" i="3"/>
  <c r="J45" i="3" s="1"/>
  <c r="I220" i="3"/>
  <c r="J220" i="3" s="1"/>
  <c r="I221" i="3"/>
  <c r="J221" i="3" s="1"/>
  <c r="I224" i="3"/>
  <c r="J224" i="3" s="1"/>
  <c r="I275" i="3"/>
  <c r="J275" i="3" s="1"/>
  <c r="I290" i="3"/>
  <c r="J290" i="3" s="1"/>
  <c r="I315" i="3"/>
  <c r="J315" i="3" s="1"/>
  <c r="I405" i="3"/>
  <c r="J405" i="3" s="1"/>
  <c r="I420" i="3"/>
  <c r="J420" i="3" s="1"/>
  <c r="I421" i="3"/>
  <c r="J421" i="3" s="1"/>
  <c r="I461" i="3"/>
  <c r="J461" i="3" s="1"/>
  <c r="I466" i="3"/>
  <c r="J466" i="3" s="1"/>
  <c r="I480" i="3"/>
  <c r="J480" i="3" s="1"/>
  <c r="I492" i="3"/>
  <c r="J492" i="3" s="1"/>
  <c r="I513" i="3"/>
  <c r="J513" i="3" s="1"/>
  <c r="I530" i="3"/>
  <c r="J530" i="3" s="1"/>
  <c r="I570" i="3"/>
  <c r="J570" i="3" s="1"/>
  <c r="I588" i="3"/>
  <c r="J588" i="3" s="1"/>
  <c r="I649" i="3"/>
  <c r="J649" i="3" s="1"/>
  <c r="I659" i="3"/>
  <c r="J659" i="3" s="1"/>
  <c r="I667" i="3"/>
  <c r="J667" i="3" s="1"/>
  <c r="I690" i="3"/>
  <c r="J690" i="3" s="1"/>
  <c r="I705" i="3"/>
  <c r="J705" i="3" s="1"/>
  <c r="I777" i="3"/>
  <c r="J777" i="3" s="1"/>
  <c r="I843" i="3"/>
  <c r="J843" i="3" s="1"/>
  <c r="I882" i="3"/>
  <c r="J882" i="3" s="1"/>
  <c r="I900" i="3"/>
  <c r="J900" i="3" s="1"/>
  <c r="I902" i="3"/>
  <c r="J902" i="3" s="1"/>
  <c r="I909" i="3"/>
  <c r="J909" i="3" s="1"/>
  <c r="I933" i="3"/>
  <c r="J933" i="3" s="1"/>
  <c r="I938" i="3"/>
  <c r="J938" i="3" s="1"/>
  <c r="I945" i="3"/>
  <c r="J945" i="3" s="1"/>
  <c r="I980" i="3"/>
  <c r="J980" i="3" s="1"/>
  <c r="I990" i="3"/>
  <c r="J990" i="3" s="1"/>
  <c r="I1002" i="3"/>
  <c r="J1002" i="3" s="1"/>
  <c r="I1016" i="3"/>
  <c r="J1016" i="3" s="1"/>
  <c r="I1026" i="3"/>
  <c r="J1026" i="3" s="1"/>
  <c r="I1060" i="3"/>
  <c r="J1060" i="3" s="1"/>
  <c r="I1076" i="3"/>
  <c r="J1076" i="3" s="1"/>
  <c r="I1094" i="3"/>
  <c r="J1094" i="3" s="1"/>
  <c r="I1139" i="3"/>
  <c r="J1139" i="3" s="1"/>
  <c r="I1184" i="3"/>
  <c r="J1184" i="3" s="1"/>
  <c r="I1273" i="3"/>
  <c r="J1273" i="3" s="1"/>
  <c r="I1379" i="3"/>
  <c r="J1379" i="3" s="1"/>
  <c r="I1400" i="3"/>
  <c r="J1400" i="3" s="1"/>
  <c r="I1409" i="3"/>
  <c r="J1409" i="3" s="1"/>
  <c r="I1434" i="3"/>
  <c r="J1434" i="3" s="1"/>
  <c r="I1470" i="3"/>
  <c r="J1470" i="3" s="1"/>
  <c r="I1617" i="3"/>
  <c r="J1617" i="3" s="1"/>
  <c r="I1637" i="3"/>
  <c r="J1637" i="3" s="1"/>
  <c r="I1721" i="3"/>
  <c r="J1721" i="3" s="1"/>
  <c r="I1763" i="3"/>
  <c r="J1763" i="3" s="1"/>
  <c r="I1791" i="3"/>
  <c r="J1791" i="3" s="1"/>
  <c r="I1800" i="3"/>
  <c r="J1800" i="3" s="1"/>
  <c r="I1917" i="3"/>
  <c r="J1917" i="3" s="1"/>
  <c r="I1922" i="3"/>
  <c r="J1922" i="3" s="1"/>
  <c r="I1926" i="3"/>
  <c r="J1926" i="3" s="1"/>
  <c r="I2034" i="3"/>
  <c r="J2034" i="3" s="1"/>
  <c r="I2035" i="3"/>
  <c r="J2035" i="3" s="1"/>
  <c r="I2161" i="3"/>
  <c r="J2161" i="3" s="1"/>
  <c r="I2223" i="3"/>
  <c r="J2223" i="3" s="1"/>
  <c r="I2225" i="3"/>
  <c r="J2225" i="3" s="1"/>
  <c r="I2291" i="3"/>
  <c r="J2291" i="3" s="1"/>
  <c r="I2293" i="3"/>
  <c r="J2293" i="3" s="1"/>
  <c r="I2306" i="3"/>
  <c r="J2306" i="3" s="1"/>
  <c r="I2317" i="3"/>
  <c r="J2317" i="3" s="1"/>
  <c r="I2336" i="3"/>
  <c r="J2336" i="3" s="1"/>
  <c r="I2366" i="3"/>
  <c r="J2366" i="3" s="1"/>
  <c r="I2399" i="3"/>
  <c r="J2399" i="3" s="1"/>
  <c r="I2407" i="3"/>
  <c r="J2407" i="3" s="1"/>
  <c r="I2447" i="3"/>
  <c r="J2447" i="3" s="1"/>
  <c r="I2451" i="3"/>
  <c r="J2451" i="3" s="1"/>
  <c r="I2482" i="3"/>
  <c r="J2482" i="3" s="1"/>
  <c r="I2489" i="3"/>
  <c r="J2489" i="3" s="1"/>
  <c r="I2511" i="3"/>
  <c r="J2511" i="3" s="1"/>
  <c r="I2515" i="3"/>
  <c r="J2515" i="3" s="1"/>
  <c r="I2610" i="3"/>
  <c r="J2610" i="3" s="1"/>
  <c r="I2636" i="3"/>
  <c r="J2636" i="3" s="1"/>
  <c r="I2643" i="3"/>
  <c r="J2643" i="3" s="1"/>
  <c r="I2650" i="3"/>
  <c r="J2650" i="3" s="1"/>
  <c r="I2710" i="3"/>
  <c r="J2710" i="3" s="1"/>
  <c r="I2774" i="3"/>
  <c r="J2774" i="3" s="1"/>
  <c r="I2839" i="3"/>
  <c r="J2839" i="3" s="1"/>
  <c r="I2867" i="3"/>
  <c r="J2867" i="3" s="1"/>
  <c r="I2886" i="3"/>
  <c r="J2886" i="3" s="1"/>
  <c r="I2895" i="3"/>
  <c r="J2895" i="3" s="1"/>
  <c r="I2898" i="3"/>
  <c r="J2898" i="3" s="1"/>
  <c r="I2942" i="3"/>
  <c r="J2942" i="3" s="1"/>
  <c r="I2956" i="3"/>
  <c r="J2956" i="3" s="1"/>
  <c r="I2960" i="3"/>
  <c r="J2960" i="3" s="1"/>
  <c r="I3005" i="3"/>
  <c r="J3005" i="3" s="1"/>
  <c r="I3054" i="3"/>
  <c r="J3054" i="3" s="1"/>
  <c r="I3076" i="3"/>
  <c r="J3076" i="3" s="1"/>
  <c r="I3095" i="3"/>
  <c r="J3095" i="3" s="1"/>
  <c r="I3113" i="3"/>
  <c r="J3113" i="3" s="1"/>
  <c r="I3159" i="3"/>
  <c r="J3159" i="3" s="1"/>
  <c r="I3168" i="3"/>
  <c r="J3168" i="3" s="1"/>
  <c r="I3215" i="3"/>
  <c r="J3215" i="3" s="1"/>
  <c r="I3222" i="3"/>
  <c r="J3222" i="3" s="1"/>
  <c r="I3248" i="3"/>
  <c r="J3248" i="3" s="1"/>
  <c r="I3307" i="3"/>
  <c r="J3307" i="3" s="1"/>
  <c r="I3353" i="3"/>
  <c r="J3353" i="3" s="1"/>
  <c r="I3370" i="3"/>
  <c r="J3370" i="3" s="1"/>
  <c r="I3394" i="3"/>
  <c r="J3394" i="3" s="1"/>
  <c r="I3423" i="3"/>
  <c r="J3423" i="3" s="1"/>
  <c r="I3425" i="3"/>
  <c r="J3425" i="3" s="1"/>
  <c r="I3465" i="3"/>
  <c r="J3465" i="3" s="1"/>
  <c r="I3510" i="3"/>
  <c r="J3510" i="3" s="1"/>
  <c r="I3539" i="3"/>
  <c r="J3539" i="3" s="1"/>
  <c r="I3584" i="3"/>
  <c r="J3584" i="3" s="1"/>
  <c r="I3587" i="3"/>
  <c r="J3587" i="3" s="1"/>
  <c r="I3591" i="3"/>
  <c r="J3591" i="3" s="1"/>
  <c r="I3630" i="3"/>
  <c r="J3630" i="3" s="1"/>
  <c r="I3644" i="3"/>
  <c r="J3644" i="3" s="1"/>
  <c r="I3654" i="3"/>
  <c r="J3654" i="3" s="1"/>
  <c r="I3676" i="3"/>
  <c r="J3676" i="3" s="1"/>
  <c r="I3776" i="3"/>
  <c r="J3776" i="3" s="1"/>
  <c r="I3804" i="3"/>
  <c r="J3804" i="3" s="1"/>
  <c r="I3831" i="3"/>
  <c r="J3831" i="3" s="1"/>
  <c r="I3962" i="3"/>
  <c r="J3962" i="3" s="1"/>
  <c r="I4051" i="3"/>
  <c r="J4051" i="3" s="1"/>
  <c r="I4052" i="3"/>
  <c r="J4052" i="3" s="1"/>
  <c r="I4062" i="3"/>
  <c r="J4062" i="3" s="1"/>
  <c r="I4075" i="3"/>
  <c r="J4075" i="3" s="1"/>
  <c r="I4085" i="3"/>
  <c r="J4085" i="3" s="1"/>
  <c r="I4095" i="3"/>
  <c r="J4095" i="3" s="1"/>
  <c r="I4159" i="3"/>
  <c r="J4159" i="3" s="1"/>
  <c r="I4160" i="3"/>
  <c r="J4160" i="3" s="1"/>
  <c r="I4170" i="3"/>
  <c r="J4170" i="3" s="1"/>
  <c r="I4264" i="3"/>
  <c r="J4264" i="3" s="1"/>
  <c r="I4271" i="3"/>
  <c r="J4271" i="3" s="1"/>
  <c r="I4427" i="3"/>
  <c r="J4427" i="3" s="1"/>
  <c r="I4435" i="3"/>
  <c r="J4435" i="3" s="1"/>
  <c r="I4450" i="3"/>
  <c r="J4450" i="3" s="1"/>
  <c r="I4451" i="3"/>
  <c r="J4451" i="3" s="1"/>
  <c r="I4547" i="3"/>
  <c r="J4547" i="3" s="1"/>
  <c r="I4567" i="3"/>
  <c r="J4567" i="3" s="1"/>
  <c r="I4580" i="3"/>
  <c r="J4580" i="3" s="1"/>
  <c r="I4641" i="3"/>
  <c r="J4641" i="3" s="1"/>
  <c r="I4745" i="3"/>
  <c r="J4745" i="3" s="1"/>
  <c r="I4764" i="3"/>
  <c r="J4764" i="3" s="1"/>
  <c r="I4790" i="3"/>
  <c r="J4790" i="3" s="1"/>
  <c r="I4808" i="3"/>
  <c r="J4808" i="3" s="1"/>
  <c r="I4817" i="3"/>
  <c r="J4817" i="3" s="1"/>
  <c r="I3" i="3"/>
  <c r="J3" i="3" s="1"/>
  <c r="I61" i="3"/>
  <c r="J61" i="3" s="1"/>
  <c r="I135" i="3"/>
  <c r="J135" i="3" s="1"/>
  <c r="I190" i="3"/>
  <c r="J190" i="3" s="1"/>
  <c r="I261" i="3"/>
  <c r="J261" i="3" s="1"/>
  <c r="I264" i="3"/>
  <c r="J264" i="3" s="1"/>
  <c r="I426" i="3"/>
  <c r="J426" i="3" s="1"/>
  <c r="I486" i="3"/>
  <c r="J486" i="3" s="1"/>
  <c r="I537" i="3"/>
  <c r="J537" i="3" s="1"/>
  <c r="I542" i="3"/>
  <c r="J542" i="3" s="1"/>
  <c r="I606" i="3"/>
  <c r="J606" i="3" s="1"/>
  <c r="I613" i="3"/>
  <c r="J613" i="3" s="1"/>
  <c r="I633" i="3"/>
  <c r="J633" i="3" s="1"/>
  <c r="I634" i="3"/>
  <c r="J634" i="3" s="1"/>
  <c r="I654" i="3"/>
  <c r="J654" i="3" s="1"/>
  <c r="I672" i="3"/>
  <c r="J672" i="3" s="1"/>
  <c r="I698" i="3"/>
  <c r="J698" i="3" s="1"/>
  <c r="I712" i="3"/>
  <c r="J712" i="3" s="1"/>
  <c r="I726" i="3"/>
  <c r="J726" i="3" s="1"/>
  <c r="I730" i="3"/>
  <c r="J730" i="3" s="1"/>
  <c r="I766" i="3"/>
  <c r="J766" i="3" s="1"/>
  <c r="I798" i="3"/>
  <c r="J798" i="3" s="1"/>
  <c r="I804" i="3"/>
  <c r="J804" i="3" s="1"/>
  <c r="I838" i="3"/>
  <c r="J838" i="3" s="1"/>
  <c r="I840" i="3"/>
  <c r="J840" i="3" s="1"/>
  <c r="I1011" i="3"/>
  <c r="J1011" i="3" s="1"/>
  <c r="I1149" i="3"/>
  <c r="J1149" i="3" s="1"/>
  <c r="I1350" i="3"/>
  <c r="J1350" i="3" s="1"/>
  <c r="I1429" i="3"/>
  <c r="J1429" i="3" s="1"/>
  <c r="I1522" i="3"/>
  <c r="J1522" i="3" s="1"/>
  <c r="I1549" i="3"/>
  <c r="J1549" i="3" s="1"/>
  <c r="I1746" i="3"/>
  <c r="J1746" i="3" s="1"/>
  <c r="I1948" i="3"/>
  <c r="J1948" i="3" s="1"/>
  <c r="I1991" i="3"/>
  <c r="J1991" i="3" s="1"/>
  <c r="I2048" i="3"/>
  <c r="J2048" i="3" s="1"/>
  <c r="I2170" i="3"/>
  <c r="J2170" i="3" s="1"/>
  <c r="I2197" i="3"/>
  <c r="J2197" i="3" s="1"/>
  <c r="I2278" i="3"/>
  <c r="J2278" i="3" s="1"/>
  <c r="I2328" i="3"/>
  <c r="J2328" i="3" s="1"/>
  <c r="I2386" i="3"/>
  <c r="J2386" i="3" s="1"/>
  <c r="I2410" i="3"/>
  <c r="J2410" i="3" s="1"/>
  <c r="I2450" i="3"/>
  <c r="J2450" i="3" s="1"/>
  <c r="I2547" i="3"/>
  <c r="J2547" i="3" s="1"/>
  <c r="I2626" i="3"/>
  <c r="J2626" i="3" s="1"/>
  <c r="I2656" i="3"/>
  <c r="J2656" i="3" s="1"/>
  <c r="I2701" i="3"/>
  <c r="J2701" i="3" s="1"/>
  <c r="I2711" i="3"/>
  <c r="J2711" i="3" s="1"/>
  <c r="I2777" i="3"/>
  <c r="J2777" i="3" s="1"/>
  <c r="I2782" i="3"/>
  <c r="J2782" i="3" s="1"/>
  <c r="I2789" i="3"/>
  <c r="J2789" i="3" s="1"/>
  <c r="I2809" i="3"/>
  <c r="J2809" i="3" s="1"/>
  <c r="I2838" i="3"/>
  <c r="J2838" i="3" s="1"/>
  <c r="I2873" i="3"/>
  <c r="J2873" i="3" s="1"/>
  <c r="I2880" i="3"/>
  <c r="J2880" i="3" s="1"/>
  <c r="I2901" i="3"/>
  <c r="J2901" i="3" s="1"/>
  <c r="I2946" i="3"/>
  <c r="J2946" i="3" s="1"/>
  <c r="I2954" i="3"/>
  <c r="J2954" i="3" s="1"/>
  <c r="I2976" i="3"/>
  <c r="J2976" i="3" s="1"/>
  <c r="I3049" i="3"/>
  <c r="J3049" i="3" s="1"/>
  <c r="I3169" i="3"/>
  <c r="J3169" i="3" s="1"/>
  <c r="I3242" i="3"/>
  <c r="J3242" i="3" s="1"/>
  <c r="I3308" i="3"/>
  <c r="J3308" i="3" s="1"/>
  <c r="I3315" i="3"/>
  <c r="J3315" i="3" s="1"/>
  <c r="I3355" i="3"/>
  <c r="J3355" i="3" s="1"/>
  <c r="I3400" i="3"/>
  <c r="J3400" i="3" s="1"/>
  <c r="I3456" i="3"/>
  <c r="J3456" i="3" s="1"/>
  <c r="I3524" i="3"/>
  <c r="J3524" i="3" s="1"/>
  <c r="I3561" i="3"/>
  <c r="J3561" i="3" s="1"/>
  <c r="I3569" i="3"/>
  <c r="J3569" i="3" s="1"/>
  <c r="I3641" i="3"/>
  <c r="J3641" i="3" s="1"/>
  <c r="I3652" i="3"/>
  <c r="J3652" i="3" s="1"/>
  <c r="I3783" i="3"/>
  <c r="J3783" i="3" s="1"/>
  <c r="I3825" i="3"/>
  <c r="J3825" i="3" s="1"/>
  <c r="I3852" i="3"/>
  <c r="J3852" i="3" s="1"/>
  <c r="I3873" i="3"/>
  <c r="J3873" i="3" s="1"/>
  <c r="I3895" i="3"/>
  <c r="J3895" i="3" s="1"/>
  <c r="I3919" i="3"/>
  <c r="J3919" i="3" s="1"/>
  <c r="I3928" i="3"/>
  <c r="J3928" i="3" s="1"/>
  <c r="I3939" i="3"/>
  <c r="J3939" i="3" s="1"/>
  <c r="I3941" i="3"/>
  <c r="J3941" i="3" s="1"/>
  <c r="I3956" i="3"/>
  <c r="J3956" i="3" s="1"/>
  <c r="I4044" i="3"/>
  <c r="J4044" i="3" s="1"/>
  <c r="I4053" i="3"/>
  <c r="J4053" i="3" s="1"/>
  <c r="I4083" i="3"/>
  <c r="J4083" i="3" s="1"/>
  <c r="I4091" i="3"/>
  <c r="J4091" i="3" s="1"/>
  <c r="I4119" i="3"/>
  <c r="J4119" i="3" s="1"/>
  <c r="I4138" i="3"/>
  <c r="J4138" i="3" s="1"/>
  <c r="I4143" i="3"/>
  <c r="J4143" i="3" s="1"/>
  <c r="I4276" i="3"/>
  <c r="J4276" i="3" s="1"/>
  <c r="I4294" i="3"/>
  <c r="J4294" i="3" s="1"/>
  <c r="I4439" i="3"/>
  <c r="J4439" i="3" s="1"/>
  <c r="I4497" i="3"/>
  <c r="J4497" i="3" s="1"/>
  <c r="I4544" i="3"/>
  <c r="J4544" i="3" s="1"/>
  <c r="I4560" i="3"/>
  <c r="J4560" i="3" s="1"/>
  <c r="I4566" i="3"/>
  <c r="J4566" i="3" s="1"/>
  <c r="I4570" i="3"/>
  <c r="J4570" i="3" s="1"/>
  <c r="I4613" i="3"/>
  <c r="J4613" i="3" s="1"/>
  <c r="I4631" i="3"/>
  <c r="J4631" i="3" s="1"/>
  <c r="I4642" i="3"/>
  <c r="J4642" i="3" s="1"/>
  <c r="I4691" i="3"/>
  <c r="J4691" i="3" s="1"/>
  <c r="I4742" i="3"/>
  <c r="J4742" i="3" s="1"/>
  <c r="I4763" i="3"/>
  <c r="J4763" i="3" s="1"/>
  <c r="I4774" i="3"/>
  <c r="J4774" i="3" s="1"/>
  <c r="I4801" i="3"/>
  <c r="J4801" i="3" s="1"/>
  <c r="I6" i="3"/>
  <c r="J6" i="3" s="1"/>
  <c r="I21" i="3"/>
  <c r="J21" i="3" s="1"/>
  <c r="I87" i="3"/>
  <c r="J87" i="3" s="1"/>
  <c r="I103" i="3"/>
  <c r="J103" i="3" s="1"/>
  <c r="I112" i="3"/>
  <c r="J112" i="3" s="1"/>
  <c r="I201" i="3"/>
  <c r="J201" i="3" s="1"/>
  <c r="I206" i="3"/>
  <c r="J206" i="3" s="1"/>
  <c r="I219" i="3"/>
  <c r="J219" i="3" s="1"/>
  <c r="I273" i="3"/>
  <c r="J273" i="3" s="1"/>
  <c r="I310" i="3"/>
  <c r="J310" i="3" s="1"/>
  <c r="I312" i="3"/>
  <c r="J312" i="3" s="1"/>
  <c r="I345" i="3"/>
  <c r="J345" i="3" s="1"/>
  <c r="I361" i="3"/>
  <c r="J361" i="3" s="1"/>
  <c r="I508" i="3"/>
  <c r="J508" i="3" s="1"/>
  <c r="I566" i="3"/>
  <c r="J566" i="3" s="1"/>
  <c r="I711" i="3"/>
  <c r="J711" i="3" s="1"/>
  <c r="I864" i="3"/>
  <c r="J864" i="3" s="1"/>
  <c r="I873" i="3"/>
  <c r="J873" i="3" s="1"/>
  <c r="I885" i="3"/>
  <c r="J885" i="3" s="1"/>
  <c r="I1172" i="3"/>
  <c r="J1172" i="3" s="1"/>
  <c r="I1238" i="3"/>
  <c r="J1238" i="3" s="1"/>
  <c r="I1274" i="3"/>
  <c r="J1274" i="3" s="1"/>
  <c r="I1295" i="3"/>
  <c r="J1295" i="3" s="1"/>
  <c r="I1310" i="3"/>
  <c r="J1310" i="3" s="1"/>
  <c r="I1318" i="3"/>
  <c r="J1318" i="3" s="1"/>
  <c r="I1336" i="3"/>
  <c r="J1336" i="3" s="1"/>
  <c r="I1491" i="3"/>
  <c r="J1491" i="3" s="1"/>
  <c r="I1558" i="3"/>
  <c r="J1558" i="3" s="1"/>
  <c r="I1576" i="3"/>
  <c r="J1576" i="3" s="1"/>
  <c r="I1622" i="3"/>
  <c r="J1622" i="3" s="1"/>
  <c r="I1744" i="3"/>
  <c r="J1744" i="3" s="1"/>
  <c r="I1790" i="3"/>
  <c r="J1790" i="3" s="1"/>
  <c r="I1819" i="3"/>
  <c r="J1819" i="3" s="1"/>
  <c r="I1846" i="3"/>
  <c r="J1846" i="3" s="1"/>
  <c r="I1862" i="3"/>
  <c r="J1862" i="3" s="1"/>
  <c r="I1880" i="3"/>
  <c r="J1880" i="3" s="1"/>
  <c r="I1907" i="3"/>
  <c r="J1907" i="3" s="1"/>
  <c r="I1911" i="3"/>
  <c r="J1911" i="3" s="1"/>
  <c r="I1928" i="3"/>
  <c r="J1928" i="3" s="1"/>
  <c r="I1961" i="3"/>
  <c r="J1961" i="3" s="1"/>
  <c r="I2011" i="3"/>
  <c r="J2011" i="3" s="1"/>
  <c r="I2042" i="3"/>
  <c r="J2042" i="3" s="1"/>
  <c r="I2074" i="3"/>
  <c r="J2074" i="3" s="1"/>
  <c r="I2205" i="3"/>
  <c r="J2205" i="3" s="1"/>
  <c r="I2287" i="3"/>
  <c r="J2287" i="3" s="1"/>
  <c r="I2297" i="3"/>
  <c r="J2297" i="3" s="1"/>
  <c r="I2400" i="3"/>
  <c r="J2400" i="3" s="1"/>
  <c r="I2428" i="3"/>
  <c r="J2428" i="3" s="1"/>
  <c r="I2430" i="3"/>
  <c r="J2430" i="3" s="1"/>
  <c r="I2488" i="3"/>
  <c r="J2488" i="3" s="1"/>
  <c r="I2555" i="3"/>
  <c r="J2555" i="3" s="1"/>
  <c r="I2592" i="3"/>
  <c r="J2592" i="3" s="1"/>
  <c r="I2806" i="3"/>
  <c r="J2806" i="3" s="1"/>
  <c r="I2814" i="3"/>
  <c r="J2814" i="3" s="1"/>
  <c r="I2887" i="3"/>
  <c r="J2887" i="3" s="1"/>
  <c r="I2910" i="3"/>
  <c r="J2910" i="3" s="1"/>
  <c r="I2916" i="3"/>
  <c r="J2916" i="3" s="1"/>
  <c r="I3257" i="3"/>
  <c r="J3257" i="3" s="1"/>
  <c r="I3326" i="3"/>
  <c r="J3326" i="3" s="1"/>
  <c r="I3391" i="3"/>
  <c r="J3391" i="3" s="1"/>
  <c r="I3442" i="3"/>
  <c r="J3442" i="3" s="1"/>
  <c r="I3449" i="3"/>
  <c r="J3449" i="3" s="1"/>
  <c r="I3475" i="3"/>
  <c r="J3475" i="3" s="1"/>
  <c r="I3567" i="3"/>
  <c r="J3567" i="3" s="1"/>
  <c r="I3576" i="3"/>
  <c r="J3576" i="3" s="1"/>
  <c r="I3582" i="3"/>
  <c r="J3582" i="3" s="1"/>
  <c r="I3602" i="3"/>
  <c r="J3602" i="3" s="1"/>
  <c r="I3649" i="3"/>
  <c r="J3649" i="3" s="1"/>
  <c r="I3660" i="3"/>
  <c r="J3660" i="3" s="1"/>
  <c r="I3665" i="3"/>
  <c r="J3665" i="3" s="1"/>
  <c r="I3688" i="3"/>
  <c r="J3688" i="3" s="1"/>
  <c r="I3867" i="3"/>
  <c r="J3867" i="3" s="1"/>
  <c r="I3926" i="3"/>
  <c r="J3926" i="3" s="1"/>
  <c r="I3976" i="3"/>
  <c r="J3976" i="3" s="1"/>
  <c r="I3977" i="3"/>
  <c r="J3977" i="3" s="1"/>
  <c r="I4007" i="3"/>
  <c r="J4007" i="3" s="1"/>
  <c r="I4021" i="3"/>
  <c r="J4021" i="3" s="1"/>
  <c r="I4287" i="3"/>
  <c r="J4287" i="3" s="1"/>
  <c r="I4401" i="3"/>
  <c r="J4401" i="3" s="1"/>
  <c r="I4449" i="3"/>
  <c r="J4449" i="3" s="1"/>
  <c r="I4514" i="3"/>
  <c r="J4514" i="3" s="1"/>
  <c r="I4516" i="3"/>
  <c r="J4516" i="3" s="1"/>
  <c r="I4593" i="3"/>
  <c r="J4593" i="3" s="1"/>
  <c r="I4595" i="3"/>
  <c r="J4595" i="3" s="1"/>
  <c r="I4762" i="3"/>
  <c r="J4762" i="3" s="1"/>
  <c r="I4794" i="3"/>
  <c r="J4794" i="3" s="1"/>
  <c r="I33" i="3"/>
  <c r="J33" i="3" s="1"/>
  <c r="I111" i="3"/>
  <c r="J111" i="3" s="1"/>
  <c r="I212" i="3"/>
  <c r="J212" i="3" s="1"/>
  <c r="I217" i="3"/>
  <c r="J217" i="3" s="1"/>
  <c r="I247" i="3"/>
  <c r="J247" i="3" s="1"/>
  <c r="I298" i="3"/>
  <c r="J298" i="3" s="1"/>
  <c r="I352" i="3"/>
  <c r="J352" i="3" s="1"/>
  <c r="I396" i="3"/>
  <c r="J396" i="3" s="1"/>
  <c r="I463" i="3"/>
  <c r="J463" i="3" s="1"/>
  <c r="I509" i="3"/>
  <c r="J509" i="3" s="1"/>
  <c r="I555" i="3"/>
  <c r="J555" i="3" s="1"/>
  <c r="I563" i="3"/>
  <c r="J563" i="3" s="1"/>
  <c r="I585" i="3"/>
  <c r="J585" i="3" s="1"/>
  <c r="I594" i="3"/>
  <c r="J594" i="3" s="1"/>
  <c r="I612" i="3"/>
  <c r="J612" i="3" s="1"/>
  <c r="I646" i="3"/>
  <c r="J646" i="3" s="1"/>
  <c r="I652" i="3"/>
  <c r="J652" i="3" s="1"/>
  <c r="I771" i="3"/>
  <c r="J771" i="3" s="1"/>
  <c r="I867" i="3"/>
  <c r="J867" i="3" s="1"/>
  <c r="I879" i="3"/>
  <c r="J879" i="3" s="1"/>
  <c r="I995" i="3"/>
  <c r="J995" i="3" s="1"/>
  <c r="I1046" i="3"/>
  <c r="J1046" i="3" s="1"/>
  <c r="I1123" i="3"/>
  <c r="J1123" i="3" s="1"/>
  <c r="I1137" i="3"/>
  <c r="J1137" i="3" s="1"/>
  <c r="I1253" i="3"/>
  <c r="J1253" i="3" s="1"/>
  <c r="I1306" i="3"/>
  <c r="J1306" i="3" s="1"/>
  <c r="I1330" i="3"/>
  <c r="J1330" i="3" s="1"/>
  <c r="I1345" i="3"/>
  <c r="J1345" i="3" s="1"/>
  <c r="I1368" i="3"/>
  <c r="J1368" i="3" s="1"/>
  <c r="I1397" i="3"/>
  <c r="J1397" i="3" s="1"/>
  <c r="I1450" i="3"/>
  <c r="J1450" i="3" s="1"/>
  <c r="I1705" i="3"/>
  <c r="J1705" i="3" s="1"/>
  <c r="I1753" i="3"/>
  <c r="J1753" i="3" s="1"/>
  <c r="I1771" i="3"/>
  <c r="J1771" i="3" s="1"/>
  <c r="I1826" i="3"/>
  <c r="J1826" i="3" s="1"/>
  <c r="I1997" i="3"/>
  <c r="J1997" i="3" s="1"/>
  <c r="I2006" i="3"/>
  <c r="J2006" i="3" s="1"/>
  <c r="I2009" i="3"/>
  <c r="J2009" i="3" s="1"/>
  <c r="I2017" i="3"/>
  <c r="J2017" i="3" s="1"/>
  <c r="I2037" i="3"/>
  <c r="J2037" i="3" s="1"/>
  <c r="I2069" i="3"/>
  <c r="J2069" i="3" s="1"/>
  <c r="I2132" i="3"/>
  <c r="J2132" i="3" s="1"/>
  <c r="I2135" i="3"/>
  <c r="J2135" i="3" s="1"/>
  <c r="I2244" i="3"/>
  <c r="J2244" i="3" s="1"/>
  <c r="I2283" i="3"/>
  <c r="J2283" i="3" s="1"/>
  <c r="I2379" i="3"/>
  <c r="J2379" i="3" s="1"/>
  <c r="I2444" i="3"/>
  <c r="J2444" i="3" s="1"/>
  <c r="I2619" i="3"/>
  <c r="J2619" i="3" s="1"/>
  <c r="I2692" i="3"/>
  <c r="J2692" i="3" s="1"/>
  <c r="I2697" i="3"/>
  <c r="J2697" i="3" s="1"/>
  <c r="I2713" i="3"/>
  <c r="J2713" i="3" s="1"/>
  <c r="I2827" i="3"/>
  <c r="J2827" i="3" s="1"/>
  <c r="I2906" i="3"/>
  <c r="J2906" i="3" s="1"/>
  <c r="I3027" i="3"/>
  <c r="J3027" i="3" s="1"/>
  <c r="I3081" i="3"/>
  <c r="J3081" i="3" s="1"/>
  <c r="I3082" i="3"/>
  <c r="J3082" i="3" s="1"/>
  <c r="I3127" i="3"/>
  <c r="J3127" i="3" s="1"/>
  <c r="I3210" i="3"/>
  <c r="J3210" i="3" s="1"/>
  <c r="I3212" i="3"/>
  <c r="J3212" i="3" s="1"/>
  <c r="I3338" i="3"/>
  <c r="J3338" i="3" s="1"/>
  <c r="I3368" i="3"/>
  <c r="J3368" i="3" s="1"/>
  <c r="I3398" i="3"/>
  <c r="J3398" i="3" s="1"/>
  <c r="I3443" i="3"/>
  <c r="J3443" i="3" s="1"/>
  <c r="I3463" i="3"/>
  <c r="J3463" i="3" s="1"/>
  <c r="I3487" i="3"/>
  <c r="J3487" i="3" s="1"/>
  <c r="I3522" i="3"/>
  <c r="J3522" i="3" s="1"/>
  <c r="I3580" i="3"/>
  <c r="J3580" i="3" s="1"/>
  <c r="I3596" i="3"/>
  <c r="J3596" i="3" s="1"/>
  <c r="I3609" i="3"/>
  <c r="J3609" i="3" s="1"/>
  <c r="I3823" i="3"/>
  <c r="J3823" i="3" s="1"/>
  <c r="I3842" i="3"/>
  <c r="J3842" i="3" s="1"/>
  <c r="I3930" i="3"/>
  <c r="J3930" i="3" s="1"/>
  <c r="I4087" i="3"/>
  <c r="J4087" i="3" s="1"/>
  <c r="I4124" i="3"/>
  <c r="J4124" i="3" s="1"/>
  <c r="I4320" i="3"/>
  <c r="J4320" i="3" s="1"/>
  <c r="I4342" i="3"/>
  <c r="J4342" i="3" s="1"/>
  <c r="I4494" i="3"/>
  <c r="J4494" i="3" s="1"/>
  <c r="I4660" i="3"/>
  <c r="J4660" i="3" s="1"/>
  <c r="I4805" i="3"/>
  <c r="J4805" i="3" s="1"/>
  <c r="I1515" i="3"/>
  <c r="J1515" i="3" s="1"/>
  <c r="I1598" i="3"/>
  <c r="J1598" i="3" s="1"/>
  <c r="I2658" i="3"/>
  <c r="J2658" i="3" s="1"/>
  <c r="I2988" i="3"/>
  <c r="J2988" i="3" s="1"/>
  <c r="I3115" i="3"/>
  <c r="J3115" i="3" s="1"/>
  <c r="I3586" i="3"/>
  <c r="J3586" i="3" s="1"/>
  <c r="I4023" i="3"/>
  <c r="J4023" i="3" s="1"/>
  <c r="I4600" i="3"/>
  <c r="J4600" i="3" s="1"/>
  <c r="I51" i="3"/>
  <c r="J51" i="3" s="1"/>
  <c r="I104" i="3"/>
  <c r="J104" i="3" s="1"/>
  <c r="I110" i="3"/>
  <c r="J110" i="3" s="1"/>
  <c r="I226" i="3"/>
  <c r="J226" i="3" s="1"/>
  <c r="I248" i="3"/>
  <c r="J248" i="3" s="1"/>
  <c r="I286" i="3"/>
  <c r="J286" i="3" s="1"/>
  <c r="I320" i="3"/>
  <c r="J320" i="3" s="1"/>
  <c r="I371" i="3"/>
  <c r="J371" i="3" s="1"/>
  <c r="I448" i="3"/>
  <c r="J448" i="3" s="1"/>
  <c r="I547" i="3"/>
  <c r="J547" i="3" s="1"/>
  <c r="I647" i="3"/>
  <c r="J647" i="3" s="1"/>
  <c r="I735" i="3"/>
  <c r="J735" i="3" s="1"/>
  <c r="I866" i="3"/>
  <c r="J866" i="3" s="1"/>
  <c r="I897" i="3"/>
  <c r="J897" i="3" s="1"/>
  <c r="I935" i="3"/>
  <c r="J935" i="3" s="1"/>
  <c r="I940" i="3"/>
  <c r="J940" i="3" s="1"/>
  <c r="I950" i="3"/>
  <c r="J950" i="3" s="1"/>
  <c r="I966" i="3"/>
  <c r="J966" i="3" s="1"/>
  <c r="I975" i="3"/>
  <c r="J975" i="3" s="1"/>
  <c r="I1079" i="3"/>
  <c r="J1079" i="3" s="1"/>
  <c r="I1160" i="3"/>
  <c r="J1160" i="3" s="1"/>
  <c r="I1351" i="3"/>
  <c r="J1351" i="3" s="1"/>
  <c r="I1583" i="3"/>
  <c r="J1583" i="3" s="1"/>
  <c r="I1630" i="3"/>
  <c r="J1630" i="3" s="1"/>
  <c r="I1662" i="3"/>
  <c r="J1662" i="3" s="1"/>
  <c r="I1663" i="3"/>
  <c r="J1663" i="3" s="1"/>
  <c r="I1773" i="3"/>
  <c r="J1773" i="3" s="1"/>
  <c r="I1787" i="3"/>
  <c r="J1787" i="3" s="1"/>
  <c r="I1842" i="3"/>
  <c r="J1842" i="3" s="1"/>
  <c r="I1865" i="3"/>
  <c r="J1865" i="3" s="1"/>
  <c r="I2092" i="3"/>
  <c r="J2092" i="3" s="1"/>
  <c r="I2138" i="3"/>
  <c r="J2138" i="3" s="1"/>
  <c r="I2176" i="3"/>
  <c r="J2176" i="3" s="1"/>
  <c r="I2196" i="3"/>
  <c r="J2196" i="3" s="1"/>
  <c r="I2221" i="3"/>
  <c r="J2221" i="3" s="1"/>
  <c r="I2229" i="3"/>
  <c r="J2229" i="3" s="1"/>
  <c r="I2276" i="3"/>
  <c r="J2276" i="3" s="1"/>
  <c r="I2312" i="3"/>
  <c r="J2312" i="3" s="1"/>
  <c r="I2412" i="3"/>
  <c r="J2412" i="3" s="1"/>
  <c r="I2424" i="3"/>
  <c r="J2424" i="3" s="1"/>
  <c r="I2474" i="3"/>
  <c r="J2474" i="3" s="1"/>
  <c r="I2503" i="3"/>
  <c r="J2503" i="3" s="1"/>
  <c r="I2593" i="3"/>
  <c r="J2593" i="3" s="1"/>
  <c r="I2596" i="3"/>
  <c r="J2596" i="3" s="1"/>
  <c r="I2628" i="3"/>
  <c r="J2628" i="3" s="1"/>
  <c r="I2654" i="3"/>
  <c r="J2654" i="3" s="1"/>
  <c r="I2792" i="3"/>
  <c r="J2792" i="3" s="1"/>
  <c r="I2823" i="3"/>
  <c r="J2823" i="3" s="1"/>
  <c r="I2825" i="3"/>
  <c r="J2825" i="3" s="1"/>
  <c r="I2856" i="3"/>
  <c r="J2856" i="3" s="1"/>
  <c r="I2871" i="3"/>
  <c r="J2871" i="3" s="1"/>
  <c r="I2921" i="3"/>
  <c r="J2921" i="3" s="1"/>
  <c r="I2941" i="3"/>
  <c r="J2941" i="3" s="1"/>
  <c r="I3020" i="3"/>
  <c r="J3020" i="3" s="1"/>
  <c r="I3044" i="3"/>
  <c r="J3044" i="3" s="1"/>
  <c r="I3073" i="3"/>
  <c r="J3073" i="3" s="1"/>
  <c r="I3112" i="3"/>
  <c r="J3112" i="3" s="1"/>
  <c r="I3154" i="3"/>
  <c r="J3154" i="3" s="1"/>
  <c r="I3188" i="3"/>
  <c r="J3188" i="3" s="1"/>
  <c r="I3211" i="3"/>
  <c r="J3211" i="3" s="1"/>
  <c r="I3219" i="3"/>
  <c r="J3219" i="3" s="1"/>
  <c r="I3252" i="3"/>
  <c r="J3252" i="3" s="1"/>
  <c r="I3265" i="3"/>
  <c r="J3265" i="3" s="1"/>
  <c r="I3325" i="3"/>
  <c r="J3325" i="3" s="1"/>
  <c r="I3367" i="3"/>
  <c r="J3367" i="3" s="1"/>
  <c r="I3372" i="3"/>
  <c r="J3372" i="3" s="1"/>
  <c r="I3381" i="3"/>
  <c r="J3381" i="3" s="1"/>
  <c r="I3405" i="3"/>
  <c r="J3405" i="3" s="1"/>
  <c r="I3631" i="3"/>
  <c r="J3631" i="3" s="1"/>
  <c r="I3648" i="3"/>
  <c r="J3648" i="3" s="1"/>
  <c r="I3655" i="3"/>
  <c r="J3655" i="3" s="1"/>
  <c r="I3668" i="3"/>
  <c r="J3668" i="3" s="1"/>
  <c r="I3692" i="3"/>
  <c r="J3692" i="3" s="1"/>
  <c r="I3745" i="3"/>
  <c r="J3745" i="3" s="1"/>
  <c r="I3773" i="3"/>
  <c r="J3773" i="3" s="1"/>
  <c r="I3865" i="3"/>
  <c r="J3865" i="3" s="1"/>
  <c r="I3950" i="3"/>
  <c r="J3950" i="3" s="1"/>
  <c r="I4008" i="3"/>
  <c r="J4008" i="3" s="1"/>
  <c r="I4059" i="3"/>
  <c r="J4059" i="3" s="1"/>
  <c r="I4065" i="3"/>
  <c r="J4065" i="3" s="1"/>
  <c r="I4107" i="3"/>
  <c r="J4107" i="3" s="1"/>
  <c r="I4217" i="3"/>
  <c r="J4217" i="3" s="1"/>
  <c r="I4246" i="3"/>
  <c r="J4246" i="3" s="1"/>
  <c r="I4278" i="3"/>
  <c r="J4278" i="3" s="1"/>
  <c r="I4333" i="3"/>
  <c r="J4333" i="3" s="1"/>
  <c r="I4363" i="3"/>
  <c r="J4363" i="3" s="1"/>
  <c r="I4430" i="3"/>
  <c r="J4430" i="3" s="1"/>
  <c r="I4461" i="3"/>
  <c r="J4461" i="3" s="1"/>
  <c r="I4554" i="3"/>
  <c r="J4554" i="3" s="1"/>
  <c r="I4565" i="3"/>
  <c r="J4565" i="3" s="1"/>
  <c r="I4622" i="3"/>
  <c r="J4622" i="3" s="1"/>
  <c r="I4639" i="3"/>
  <c r="J4639" i="3" s="1"/>
  <c r="I4663" i="3"/>
  <c r="J4663" i="3" s="1"/>
  <c r="I4688" i="3"/>
  <c r="J4688" i="3" s="1"/>
  <c r="I4690" i="3"/>
  <c r="J4690" i="3" s="1"/>
  <c r="I4806" i="3"/>
  <c r="J4806" i="3" s="1"/>
  <c r="I4826" i="3"/>
  <c r="J4826" i="3" s="1"/>
  <c r="I119" i="3"/>
  <c r="J119" i="3" s="1"/>
  <c r="I159" i="3"/>
  <c r="J159" i="3" s="1"/>
  <c r="I166" i="3"/>
  <c r="J166" i="3" s="1"/>
  <c r="I188" i="3"/>
  <c r="J188" i="3" s="1"/>
  <c r="I260" i="3"/>
  <c r="J260" i="3" s="1"/>
  <c r="I390" i="3"/>
  <c r="J390" i="3" s="1"/>
  <c r="I395" i="3"/>
  <c r="J395" i="3" s="1"/>
  <c r="I473" i="3"/>
  <c r="J473" i="3" s="1"/>
  <c r="I511" i="3"/>
  <c r="J511" i="3" s="1"/>
  <c r="I517" i="3"/>
  <c r="J517" i="3" s="1"/>
  <c r="I587" i="3"/>
  <c r="J587" i="3" s="1"/>
  <c r="I655" i="3"/>
  <c r="J655" i="3" s="1"/>
  <c r="I662" i="3"/>
  <c r="J662" i="3" s="1"/>
  <c r="I724" i="3"/>
  <c r="J724" i="3" s="1"/>
  <c r="I743" i="3"/>
  <c r="J743" i="3" s="1"/>
  <c r="I929" i="3"/>
  <c r="J929" i="3" s="1"/>
  <c r="I1038" i="3"/>
  <c r="J1038" i="3" s="1"/>
  <c r="I1048" i="3"/>
  <c r="J1048" i="3" s="1"/>
  <c r="I1074" i="3"/>
  <c r="J1074" i="3" s="1"/>
  <c r="I1126" i="3"/>
  <c r="J1126" i="3" s="1"/>
  <c r="I1132" i="3"/>
  <c r="J1132" i="3" s="1"/>
  <c r="I1229" i="3"/>
  <c r="J1229" i="3" s="1"/>
  <c r="I1272" i="3"/>
  <c r="J1272" i="3" s="1"/>
  <c r="I1300" i="3"/>
  <c r="J1300" i="3" s="1"/>
  <c r="I1313" i="3"/>
  <c r="J1313" i="3" s="1"/>
  <c r="I1335" i="3"/>
  <c r="J1335" i="3" s="1"/>
  <c r="I1365" i="3"/>
  <c r="J1365" i="3" s="1"/>
  <c r="I1382" i="3"/>
  <c r="J1382" i="3" s="1"/>
  <c r="I1485" i="3"/>
  <c r="J1485" i="3" s="1"/>
  <c r="I1624" i="3"/>
  <c r="J1624" i="3" s="1"/>
  <c r="I1645" i="3"/>
  <c r="J1645" i="3" s="1"/>
  <c r="I1683" i="3"/>
  <c r="J1683" i="3" s="1"/>
  <c r="I1795" i="3"/>
  <c r="J1795" i="3" s="1"/>
  <c r="I1848" i="3"/>
  <c r="J1848" i="3" s="1"/>
  <c r="I1861" i="3"/>
  <c r="J1861" i="3" s="1"/>
  <c r="I1878" i="3"/>
  <c r="J1878" i="3" s="1"/>
  <c r="I1937" i="3"/>
  <c r="J1937" i="3" s="1"/>
  <c r="I1966" i="3"/>
  <c r="J1966" i="3" s="1"/>
  <c r="I2019" i="3"/>
  <c r="J2019" i="3" s="1"/>
  <c r="I2112" i="3"/>
  <c r="J2112" i="3" s="1"/>
  <c r="I2145" i="3"/>
  <c r="J2145" i="3" s="1"/>
  <c r="I2240" i="3"/>
  <c r="J2240" i="3" s="1"/>
  <c r="I2281" i="3"/>
  <c r="J2281" i="3" s="1"/>
  <c r="I2419" i="3"/>
  <c r="J2419" i="3" s="1"/>
  <c r="I2615" i="3"/>
  <c r="J2615" i="3" s="1"/>
  <c r="I2685" i="3"/>
  <c r="J2685" i="3" s="1"/>
  <c r="I2707" i="3"/>
  <c r="J2707" i="3" s="1"/>
  <c r="I2749" i="3"/>
  <c r="J2749" i="3" s="1"/>
  <c r="I2832" i="3"/>
  <c r="J2832" i="3" s="1"/>
  <c r="I2900" i="3"/>
  <c r="J2900" i="3" s="1"/>
  <c r="I3032" i="3"/>
  <c r="J3032" i="3" s="1"/>
  <c r="I3034" i="3"/>
  <c r="J3034" i="3" s="1"/>
  <c r="I3070" i="3"/>
  <c r="J3070" i="3" s="1"/>
  <c r="I3217" i="3"/>
  <c r="J3217" i="3" s="1"/>
  <c r="I3224" i="3"/>
  <c r="J3224" i="3" s="1"/>
  <c r="I3457" i="3"/>
  <c r="J3457" i="3" s="1"/>
  <c r="I3481" i="3"/>
  <c r="J3481" i="3" s="1"/>
  <c r="I3482" i="3"/>
  <c r="J3482" i="3" s="1"/>
  <c r="I3664" i="3"/>
  <c r="J3664" i="3" s="1"/>
  <c r="I3807" i="3"/>
  <c r="J3807" i="3" s="1"/>
  <c r="I3900" i="3"/>
  <c r="J3900" i="3" s="1"/>
  <c r="I3934" i="3"/>
  <c r="J3934" i="3" s="1"/>
  <c r="I3985" i="3"/>
  <c r="J3985" i="3" s="1"/>
  <c r="I4077" i="3"/>
  <c r="J4077" i="3" s="1"/>
  <c r="I4126" i="3"/>
  <c r="J4126" i="3" s="1"/>
  <c r="I4178" i="3"/>
  <c r="J4178" i="3" s="1"/>
  <c r="I4197" i="3"/>
  <c r="J4197" i="3" s="1"/>
  <c r="I4207" i="3"/>
  <c r="J4207" i="3" s="1"/>
  <c r="I4239" i="3"/>
  <c r="J4239" i="3" s="1"/>
  <c r="I4245" i="3"/>
  <c r="J4245" i="3" s="1"/>
  <c r="I4313" i="3"/>
  <c r="J4313" i="3" s="1"/>
  <c r="I4458" i="3"/>
  <c r="J4458" i="3" s="1"/>
  <c r="I4495" i="3"/>
  <c r="J4495" i="3" s="1"/>
  <c r="I4585" i="3"/>
  <c r="J4585" i="3" s="1"/>
  <c r="I4590" i="3"/>
  <c r="J4590" i="3" s="1"/>
  <c r="I4607" i="3"/>
  <c r="J4607" i="3" s="1"/>
  <c r="I4637" i="3"/>
  <c r="J4637" i="3" s="1"/>
  <c r="I4680" i="3"/>
  <c r="J4680" i="3" s="1"/>
  <c r="I4699" i="3"/>
  <c r="J4699" i="3" s="1"/>
  <c r="I4712" i="3"/>
  <c r="J4712" i="3" s="1"/>
  <c r="I4713" i="3"/>
  <c r="J4713" i="3" s="1"/>
  <c r="I4760" i="3"/>
  <c r="J4760" i="3" s="1"/>
  <c r="I4787" i="3"/>
  <c r="J4787" i="3" s="1"/>
  <c r="I52" i="3"/>
  <c r="J52" i="3" s="1"/>
  <c r="I76" i="3"/>
  <c r="J76" i="3" s="1"/>
  <c r="I91" i="3"/>
  <c r="J91" i="3" s="1"/>
  <c r="I126" i="3"/>
  <c r="J126" i="3" s="1"/>
  <c r="I146" i="3"/>
  <c r="J146" i="3" s="1"/>
  <c r="I196" i="3"/>
  <c r="J196" i="3" s="1"/>
  <c r="I208" i="3"/>
  <c r="J208" i="3" s="1"/>
  <c r="I209" i="3"/>
  <c r="J209" i="3" s="1"/>
  <c r="I230" i="3"/>
  <c r="J230" i="3" s="1"/>
  <c r="I251" i="3"/>
  <c r="J251" i="3" s="1"/>
  <c r="I302" i="3"/>
  <c r="J302" i="3" s="1"/>
  <c r="I314" i="3"/>
  <c r="J314" i="3" s="1"/>
  <c r="I327" i="3"/>
  <c r="J327" i="3" s="1"/>
  <c r="I386" i="3"/>
  <c r="J386" i="3" s="1"/>
  <c r="I388" i="3"/>
  <c r="J388" i="3" s="1"/>
  <c r="I459" i="3"/>
  <c r="J459" i="3" s="1"/>
  <c r="I661" i="3"/>
  <c r="J661" i="3" s="1"/>
  <c r="I737" i="3"/>
  <c r="J737" i="3" s="1"/>
  <c r="I761" i="3"/>
  <c r="J761" i="3" s="1"/>
  <c r="I788" i="3"/>
  <c r="J788" i="3" s="1"/>
  <c r="I839" i="3"/>
  <c r="J839" i="3" s="1"/>
  <c r="I936" i="3"/>
  <c r="J936" i="3" s="1"/>
  <c r="I974" i="3"/>
  <c r="J974" i="3" s="1"/>
  <c r="I1100" i="3"/>
  <c r="J1100" i="3" s="1"/>
  <c r="I1165" i="3"/>
  <c r="J1165" i="3" s="1"/>
  <c r="I1199" i="3"/>
  <c r="J1199" i="3" s="1"/>
  <c r="I1209" i="3"/>
  <c r="J1209" i="3" s="1"/>
  <c r="I1277" i="3"/>
  <c r="J1277" i="3" s="1"/>
  <c r="I1377" i="3"/>
  <c r="J1377" i="3" s="1"/>
  <c r="I1449" i="3"/>
  <c r="J1449" i="3" s="1"/>
  <c r="I1469" i="3"/>
  <c r="J1469" i="3" s="1"/>
  <c r="I1480" i="3"/>
  <c r="J1480" i="3" s="1"/>
  <c r="I1489" i="3"/>
  <c r="J1489" i="3" s="1"/>
  <c r="I1527" i="3"/>
  <c r="J1527" i="3" s="1"/>
  <c r="I1537" i="3"/>
  <c r="J1537" i="3" s="1"/>
  <c r="I1587" i="3"/>
  <c r="J1587" i="3" s="1"/>
  <c r="I1597" i="3"/>
  <c r="J1597" i="3" s="1"/>
  <c r="I1672" i="3"/>
  <c r="J1672" i="3" s="1"/>
  <c r="I1737" i="3"/>
  <c r="J1737" i="3" s="1"/>
  <c r="I1797" i="3"/>
  <c r="J1797" i="3" s="1"/>
  <c r="I1818" i="3"/>
  <c r="J1818" i="3" s="1"/>
  <c r="I1824" i="3"/>
  <c r="J1824" i="3" s="1"/>
  <c r="I1849" i="3"/>
  <c r="J1849" i="3" s="1"/>
  <c r="I1909" i="3"/>
  <c r="J1909" i="3" s="1"/>
  <c r="I1935" i="3"/>
  <c r="J1935" i="3" s="1"/>
  <c r="I1943" i="3"/>
  <c r="J1943" i="3" s="1"/>
  <c r="I1974" i="3"/>
  <c r="J1974" i="3" s="1"/>
  <c r="I2012" i="3"/>
  <c r="J2012" i="3" s="1"/>
  <c r="I2094" i="3"/>
  <c r="J2094" i="3" s="1"/>
  <c r="I2120" i="3"/>
  <c r="J2120" i="3" s="1"/>
  <c r="I2189" i="3"/>
  <c r="J2189" i="3" s="1"/>
  <c r="I2354" i="3"/>
  <c r="J2354" i="3" s="1"/>
  <c r="I2381" i="3"/>
  <c r="J2381" i="3" s="1"/>
  <c r="I2453" i="3"/>
  <c r="J2453" i="3" s="1"/>
  <c r="I2454" i="3"/>
  <c r="J2454" i="3" s="1"/>
  <c r="I2457" i="3"/>
  <c r="J2457" i="3" s="1"/>
  <c r="I2481" i="3"/>
  <c r="J2481" i="3" s="1"/>
  <c r="I2487" i="3"/>
  <c r="J2487" i="3" s="1"/>
  <c r="I2505" i="3"/>
  <c r="J2505" i="3" s="1"/>
  <c r="I2514" i="3"/>
  <c r="J2514" i="3" s="1"/>
  <c r="I2521" i="3"/>
  <c r="J2521" i="3" s="1"/>
  <c r="I2538" i="3"/>
  <c r="J2538" i="3" s="1"/>
  <c r="I2590" i="3"/>
  <c r="J2590" i="3" s="1"/>
  <c r="I2611" i="3"/>
  <c r="J2611" i="3" s="1"/>
  <c r="I2660" i="3"/>
  <c r="J2660" i="3" s="1"/>
  <c r="I2784" i="3"/>
  <c r="J2784" i="3" s="1"/>
  <c r="I2970" i="3"/>
  <c r="J2970" i="3" s="1"/>
  <c r="I3093" i="3"/>
  <c r="J3093" i="3" s="1"/>
  <c r="I3138" i="3"/>
  <c r="J3138" i="3" s="1"/>
  <c r="I3161" i="3"/>
  <c r="J3161" i="3" s="1"/>
  <c r="I3180" i="3"/>
  <c r="J3180" i="3" s="1"/>
  <c r="I3196" i="3"/>
  <c r="J3196" i="3" s="1"/>
  <c r="I3198" i="3"/>
  <c r="J3198" i="3" s="1"/>
  <c r="I3254" i="3"/>
  <c r="J3254" i="3" s="1"/>
  <c r="I3322" i="3"/>
  <c r="J3322" i="3" s="1"/>
  <c r="I3354" i="3"/>
  <c r="J3354" i="3" s="1"/>
  <c r="I3358" i="3"/>
  <c r="J3358" i="3" s="1"/>
  <c r="I3387" i="3"/>
  <c r="J3387" i="3" s="1"/>
  <c r="I3409" i="3"/>
  <c r="J3409" i="3" s="1"/>
  <c r="I3414" i="3"/>
  <c r="J3414" i="3" s="1"/>
  <c r="I3428" i="3"/>
  <c r="J3428" i="3" s="1"/>
  <c r="I3551" i="3"/>
  <c r="J3551" i="3" s="1"/>
  <c r="I3571" i="3"/>
  <c r="J3571" i="3" s="1"/>
  <c r="I3597" i="3"/>
  <c r="J3597" i="3" s="1"/>
  <c r="I3704" i="3"/>
  <c r="J3704" i="3" s="1"/>
  <c r="I3798" i="3"/>
  <c r="J3798" i="3" s="1"/>
  <c r="I3836" i="3"/>
  <c r="J3836" i="3" s="1"/>
  <c r="I3878" i="3"/>
  <c r="J3878" i="3" s="1"/>
  <c r="I3905" i="3"/>
  <c r="J3905" i="3" s="1"/>
  <c r="I4089" i="3"/>
  <c r="J4089" i="3" s="1"/>
  <c r="I4130" i="3"/>
  <c r="J4130" i="3" s="1"/>
  <c r="I4344" i="3"/>
  <c r="J4344" i="3" s="1"/>
  <c r="I4360" i="3"/>
  <c r="J4360" i="3" s="1"/>
  <c r="I4457" i="3"/>
  <c r="J4457" i="3" s="1"/>
  <c r="I4722" i="3"/>
  <c r="J4722" i="3" s="1"/>
  <c r="I4782" i="3"/>
  <c r="J4782" i="3" s="1"/>
  <c r="I4789" i="3"/>
  <c r="J4789" i="3" s="1"/>
  <c r="I4802" i="3"/>
  <c r="J4802" i="3" s="1"/>
  <c r="I158" i="3"/>
  <c r="J158" i="3" s="1"/>
  <c r="I165" i="3"/>
  <c r="J165" i="3" s="1"/>
  <c r="I192" i="3"/>
  <c r="J192" i="3" s="1"/>
  <c r="I262" i="3"/>
  <c r="J262" i="3" s="1"/>
  <c r="I293" i="3"/>
  <c r="J293" i="3" s="1"/>
  <c r="I295" i="3"/>
  <c r="J295" i="3" s="1"/>
  <c r="I342" i="3"/>
  <c r="J342" i="3" s="1"/>
  <c r="I370" i="3"/>
  <c r="J370" i="3" s="1"/>
  <c r="I543" i="3"/>
  <c r="J543" i="3" s="1"/>
  <c r="I565" i="3"/>
  <c r="J565" i="3" s="1"/>
  <c r="I660" i="3"/>
  <c r="J660" i="3" s="1"/>
  <c r="I746" i="3"/>
  <c r="J746" i="3" s="1"/>
  <c r="I816" i="3"/>
  <c r="J816" i="3" s="1"/>
  <c r="I888" i="3"/>
  <c r="J888" i="3" s="1"/>
  <c r="I893" i="3"/>
  <c r="J893" i="3" s="1"/>
  <c r="I922" i="3"/>
  <c r="J922" i="3" s="1"/>
  <c r="I985" i="3"/>
  <c r="J985" i="3" s="1"/>
  <c r="I996" i="3"/>
  <c r="J996" i="3" s="1"/>
  <c r="I1014" i="3"/>
  <c r="J1014" i="3" s="1"/>
  <c r="I1181" i="3"/>
  <c r="J1181" i="3" s="1"/>
  <c r="I1208" i="3"/>
  <c r="J1208" i="3" s="1"/>
  <c r="I1222" i="3"/>
  <c r="J1222" i="3" s="1"/>
  <c r="I1276" i="3"/>
  <c r="J1276" i="3" s="1"/>
  <c r="I1293" i="3"/>
  <c r="J1293" i="3" s="1"/>
  <c r="I1413" i="3"/>
  <c r="J1413" i="3" s="1"/>
  <c r="I1512" i="3"/>
  <c r="J1512" i="3" s="1"/>
  <c r="I1555" i="3"/>
  <c r="J1555" i="3" s="1"/>
  <c r="I1729" i="3"/>
  <c r="J1729" i="3" s="1"/>
  <c r="I1741" i="3"/>
  <c r="J1741" i="3" s="1"/>
  <c r="I1745" i="3"/>
  <c r="J1745" i="3" s="1"/>
  <c r="I1761" i="3"/>
  <c r="J1761" i="3" s="1"/>
  <c r="I1886" i="3"/>
  <c r="J1886" i="3" s="1"/>
  <c r="I1916" i="3"/>
  <c r="J1916" i="3" s="1"/>
  <c r="I1962" i="3"/>
  <c r="J1962" i="3" s="1"/>
  <c r="I2024" i="3"/>
  <c r="J2024" i="3" s="1"/>
  <c r="I2202" i="3"/>
  <c r="J2202" i="3" s="1"/>
  <c r="I2230" i="3"/>
  <c r="J2230" i="3" s="1"/>
  <c r="I2294" i="3"/>
  <c r="J2294" i="3" s="1"/>
  <c r="I2425" i="3"/>
  <c r="J2425" i="3" s="1"/>
  <c r="I2434" i="3"/>
  <c r="J2434" i="3" s="1"/>
  <c r="I2510" i="3"/>
  <c r="J2510" i="3" s="1"/>
  <c r="I2545" i="3"/>
  <c r="J2545" i="3" s="1"/>
  <c r="I2594" i="3"/>
  <c r="J2594" i="3" s="1"/>
  <c r="I2613" i="3"/>
  <c r="J2613" i="3" s="1"/>
  <c r="I2621" i="3"/>
  <c r="J2621" i="3" s="1"/>
  <c r="I2764" i="3"/>
  <c r="J2764" i="3" s="1"/>
  <c r="I2795" i="3"/>
  <c r="J2795" i="3" s="1"/>
  <c r="I2936" i="3"/>
  <c r="J2936" i="3" s="1"/>
  <c r="I2982" i="3"/>
  <c r="J2982" i="3" s="1"/>
  <c r="I2991" i="3"/>
  <c r="J2991" i="3" s="1"/>
  <c r="I3006" i="3"/>
  <c r="J3006" i="3" s="1"/>
  <c r="I3134" i="3"/>
  <c r="J3134" i="3" s="1"/>
  <c r="I3174" i="3"/>
  <c r="J3174" i="3" s="1"/>
  <c r="I3390" i="3"/>
  <c r="J3390" i="3" s="1"/>
  <c r="I3421" i="3"/>
  <c r="J3421" i="3" s="1"/>
  <c r="I3467" i="3"/>
  <c r="J3467" i="3" s="1"/>
  <c r="I3471" i="3"/>
  <c r="J3471" i="3" s="1"/>
  <c r="I3518" i="3"/>
  <c r="J3518" i="3" s="1"/>
  <c r="I3575" i="3"/>
  <c r="J3575" i="3" s="1"/>
  <c r="I3732" i="3"/>
  <c r="J3732" i="3" s="1"/>
  <c r="I3827" i="3"/>
  <c r="J3827" i="3" s="1"/>
  <c r="I3906" i="3"/>
  <c r="J3906" i="3" s="1"/>
  <c r="I3986" i="3"/>
  <c r="J3986" i="3" s="1"/>
  <c r="I4010" i="3"/>
  <c r="J4010" i="3" s="1"/>
  <c r="I4049" i="3"/>
  <c r="J4049" i="3" s="1"/>
  <c r="I4329" i="3"/>
  <c r="J4329" i="3" s="1"/>
  <c r="I4346" i="3"/>
  <c r="J4346" i="3" s="1"/>
  <c r="I4364" i="3"/>
  <c r="J4364" i="3" s="1"/>
  <c r="I4498" i="3"/>
  <c r="J4498" i="3" s="1"/>
  <c r="I4506" i="3"/>
  <c r="J4506" i="3" s="1"/>
  <c r="I4765" i="3"/>
  <c r="J4765" i="3" s="1"/>
  <c r="I4771" i="3"/>
  <c r="J4771" i="3" s="1"/>
  <c r="I4833" i="3"/>
  <c r="J4833" i="3" s="1"/>
  <c r="I84" i="3"/>
  <c r="J84" i="3" s="1"/>
  <c r="I136" i="3"/>
  <c r="J136" i="3" s="1"/>
  <c r="I167" i="3"/>
  <c r="J167" i="3" s="1"/>
  <c r="I243" i="3"/>
  <c r="J243" i="3" s="1"/>
  <c r="I403" i="3"/>
  <c r="J403" i="3" s="1"/>
  <c r="I404" i="3"/>
  <c r="J404" i="3" s="1"/>
  <c r="I412" i="3"/>
  <c r="J412" i="3" s="1"/>
  <c r="I467" i="3"/>
  <c r="J467" i="3" s="1"/>
  <c r="I626" i="3"/>
  <c r="J626" i="3" s="1"/>
  <c r="I666" i="3"/>
  <c r="J666" i="3" s="1"/>
  <c r="I701" i="3"/>
  <c r="J701" i="3" s="1"/>
  <c r="I951" i="3"/>
  <c r="J951" i="3" s="1"/>
  <c r="I954" i="3"/>
  <c r="J954" i="3" s="1"/>
  <c r="I1015" i="3"/>
  <c r="J1015" i="3" s="1"/>
  <c r="I1108" i="3"/>
  <c r="J1108" i="3" s="1"/>
  <c r="I1226" i="3"/>
  <c r="J1226" i="3" s="1"/>
  <c r="I1418" i="3"/>
  <c r="J1418" i="3" s="1"/>
  <c r="I1419" i="3"/>
  <c r="J1419" i="3" s="1"/>
  <c r="I1478" i="3"/>
  <c r="J1478" i="3" s="1"/>
  <c r="I1606" i="3"/>
  <c r="J1606" i="3" s="1"/>
  <c r="I1613" i="3"/>
  <c r="J1613" i="3" s="1"/>
  <c r="I1718" i="3"/>
  <c r="J1718" i="3" s="1"/>
  <c r="I1722" i="3"/>
  <c r="J1722" i="3" s="1"/>
  <c r="I1908" i="3"/>
  <c r="J1908" i="3" s="1"/>
  <c r="I1958" i="3"/>
  <c r="J1958" i="3" s="1"/>
  <c r="I2056" i="3"/>
  <c r="J2056" i="3" s="1"/>
  <c r="I2109" i="3"/>
  <c r="J2109" i="3" s="1"/>
  <c r="I2216" i="3"/>
  <c r="J2216" i="3" s="1"/>
  <c r="I2260" i="3"/>
  <c r="J2260" i="3" s="1"/>
  <c r="I2315" i="3"/>
  <c r="J2315" i="3" s="1"/>
  <c r="I2335" i="3"/>
  <c r="J2335" i="3" s="1"/>
  <c r="I2422" i="3"/>
  <c r="J2422" i="3" s="1"/>
  <c r="I2437" i="3"/>
  <c r="J2437" i="3" s="1"/>
  <c r="I2452" i="3"/>
  <c r="J2452" i="3" s="1"/>
  <c r="I2499" i="3"/>
  <c r="J2499" i="3" s="1"/>
  <c r="I2524" i="3"/>
  <c r="J2524" i="3" s="1"/>
  <c r="I2581" i="3"/>
  <c r="J2581" i="3" s="1"/>
  <c r="I2591" i="3"/>
  <c r="J2591" i="3" s="1"/>
  <c r="I2675" i="3"/>
  <c r="J2675" i="3" s="1"/>
  <c r="I3039" i="3"/>
  <c r="J3039" i="3" s="1"/>
  <c r="I3087" i="3"/>
  <c r="J3087" i="3" s="1"/>
  <c r="I3125" i="3"/>
  <c r="J3125" i="3" s="1"/>
  <c r="I3175" i="3"/>
  <c r="J3175" i="3" s="1"/>
  <c r="I3200" i="3"/>
  <c r="J3200" i="3" s="1"/>
  <c r="I3223" i="3"/>
  <c r="J3223" i="3" s="1"/>
  <c r="I3284" i="3"/>
  <c r="J3284" i="3" s="1"/>
  <c r="I3455" i="3"/>
  <c r="J3455" i="3" s="1"/>
  <c r="I3608" i="3"/>
  <c r="J3608" i="3" s="1"/>
  <c r="I3643" i="3"/>
  <c r="J3643" i="3" s="1"/>
  <c r="I3694" i="3"/>
  <c r="J3694" i="3" s="1"/>
  <c r="I3702" i="3"/>
  <c r="J3702" i="3" s="1"/>
  <c r="I3880" i="3"/>
  <c r="J3880" i="3" s="1"/>
  <c r="I3904" i="3"/>
  <c r="J3904" i="3" s="1"/>
  <c r="I3909" i="3"/>
  <c r="J3909" i="3" s="1"/>
  <c r="I3917" i="3"/>
  <c r="J3917" i="3" s="1"/>
  <c r="I3951" i="3"/>
  <c r="J3951" i="3" s="1"/>
  <c r="I3954" i="3"/>
  <c r="J3954" i="3" s="1"/>
  <c r="I4392" i="3"/>
  <c r="J4392" i="3" s="1"/>
  <c r="I4629" i="3"/>
  <c r="J4629" i="3" s="1"/>
  <c r="I4671" i="3"/>
  <c r="J4671" i="3" s="1"/>
  <c r="I4677" i="3"/>
  <c r="J4677" i="3" s="1"/>
  <c r="I4737" i="3"/>
  <c r="J4737" i="3" s="1"/>
  <c r="I4739" i="3"/>
  <c r="J4739" i="3" s="1"/>
  <c r="I4740" i="3"/>
  <c r="J4740" i="3" s="1"/>
  <c r="I4795" i="3"/>
  <c r="J4795" i="3" s="1"/>
  <c r="I17" i="3"/>
  <c r="J17" i="3" s="1"/>
  <c r="I68" i="3"/>
  <c r="J68" i="3" s="1"/>
  <c r="I94" i="3"/>
  <c r="J94" i="3" s="1"/>
  <c r="I120" i="3"/>
  <c r="J120" i="3" s="1"/>
  <c r="I176" i="3"/>
  <c r="J176" i="3" s="1"/>
  <c r="I367" i="3"/>
  <c r="J367" i="3" s="1"/>
  <c r="I433" i="3"/>
  <c r="J433" i="3" s="1"/>
  <c r="I442" i="3"/>
  <c r="J442" i="3" s="1"/>
  <c r="I532" i="3"/>
  <c r="J532" i="3" s="1"/>
  <c r="I568" i="3"/>
  <c r="J568" i="3" s="1"/>
  <c r="I591" i="3"/>
  <c r="J591" i="3" s="1"/>
  <c r="I707" i="3"/>
  <c r="J707" i="3" s="1"/>
  <c r="I811" i="3"/>
  <c r="J811" i="3" s="1"/>
  <c r="I851" i="3"/>
  <c r="J851" i="3" s="1"/>
  <c r="I860" i="3"/>
  <c r="J860" i="3" s="1"/>
  <c r="I908" i="3"/>
  <c r="J908" i="3" s="1"/>
  <c r="I911" i="3"/>
  <c r="J911" i="3" s="1"/>
  <c r="I1084" i="3"/>
  <c r="J1084" i="3" s="1"/>
  <c r="I1170" i="3"/>
  <c r="J1170" i="3" s="1"/>
  <c r="I1232" i="3"/>
  <c r="J1232" i="3" s="1"/>
  <c r="I1242" i="3"/>
  <c r="J1242" i="3" s="1"/>
  <c r="I1271" i="3"/>
  <c r="J1271" i="3" s="1"/>
  <c r="I1328" i="3"/>
  <c r="J1328" i="3" s="1"/>
  <c r="I1495" i="3"/>
  <c r="J1495" i="3" s="1"/>
  <c r="I1502" i="3"/>
  <c r="J1502" i="3" s="1"/>
  <c r="I1546" i="3"/>
  <c r="J1546" i="3" s="1"/>
  <c r="I1604" i="3"/>
  <c r="J1604" i="3" s="1"/>
  <c r="I1670" i="3"/>
  <c r="J1670" i="3" s="1"/>
  <c r="I1701" i="3"/>
  <c r="J1701" i="3" s="1"/>
  <c r="I1822" i="3"/>
  <c r="J1822" i="3" s="1"/>
  <c r="I1864" i="3"/>
  <c r="J1864" i="3" s="1"/>
  <c r="I1887" i="3"/>
  <c r="J1887" i="3" s="1"/>
  <c r="I2206" i="3"/>
  <c r="J2206" i="3" s="1"/>
  <c r="I2295" i="3"/>
  <c r="J2295" i="3" s="1"/>
  <c r="I2355" i="3"/>
  <c r="J2355" i="3" s="1"/>
  <c r="I2548" i="3"/>
  <c r="J2548" i="3" s="1"/>
  <c r="I2597" i="3"/>
  <c r="J2597" i="3" s="1"/>
  <c r="I2751" i="3"/>
  <c r="J2751" i="3" s="1"/>
  <c r="I2803" i="3"/>
  <c r="J2803" i="3" s="1"/>
  <c r="I2855" i="3"/>
  <c r="J2855" i="3" s="1"/>
  <c r="I2860" i="3"/>
  <c r="J2860" i="3" s="1"/>
  <c r="I2885" i="3"/>
  <c r="J2885" i="3" s="1"/>
  <c r="I2940" i="3"/>
  <c r="J2940" i="3" s="1"/>
  <c r="I2979" i="3"/>
  <c r="J2979" i="3" s="1"/>
  <c r="I3062" i="3"/>
  <c r="J3062" i="3" s="1"/>
  <c r="I3132" i="3"/>
  <c r="J3132" i="3" s="1"/>
  <c r="I3204" i="3"/>
  <c r="J3204" i="3" s="1"/>
  <c r="I3313" i="3"/>
  <c r="J3313" i="3" s="1"/>
  <c r="I3314" i="3"/>
  <c r="J3314" i="3" s="1"/>
  <c r="I3376" i="3"/>
  <c r="J3376" i="3" s="1"/>
  <c r="I3450" i="3"/>
  <c r="J3450" i="3" s="1"/>
  <c r="I3498" i="3"/>
  <c r="J3498" i="3" s="1"/>
  <c r="I3506" i="3"/>
  <c r="J3506" i="3" s="1"/>
  <c r="I3528" i="3"/>
  <c r="J3528" i="3" s="1"/>
  <c r="I3549" i="3"/>
  <c r="J3549" i="3" s="1"/>
  <c r="I3555" i="3"/>
  <c r="J3555" i="3" s="1"/>
  <c r="I3593" i="3"/>
  <c r="J3593" i="3" s="1"/>
  <c r="I3748" i="3"/>
  <c r="J3748" i="3" s="1"/>
  <c r="I3848" i="3"/>
  <c r="J3848" i="3" s="1"/>
  <c r="I3868" i="3"/>
  <c r="J3868" i="3" s="1"/>
  <c r="I3901" i="3"/>
  <c r="J3901" i="3" s="1"/>
  <c r="I3965" i="3"/>
  <c r="J3965" i="3" s="1"/>
  <c r="I4096" i="3"/>
  <c r="J4096" i="3" s="1"/>
  <c r="I4242" i="3"/>
  <c r="J4242" i="3" s="1"/>
  <c r="I4366" i="3"/>
  <c r="J4366" i="3" s="1"/>
  <c r="I4455" i="3"/>
  <c r="J4455" i="3" s="1"/>
  <c r="I4486" i="3"/>
  <c r="J4486" i="3" s="1"/>
  <c r="I4611" i="3"/>
  <c r="J4611" i="3" s="1"/>
  <c r="I4620" i="3"/>
  <c r="J4620" i="3" s="1"/>
  <c r="I4689" i="3"/>
  <c r="J4689" i="3" s="1"/>
  <c r="I4758" i="3"/>
  <c r="J4758" i="3" s="1"/>
  <c r="I4" i="3"/>
  <c r="J4" i="3" s="1"/>
  <c r="I5" i="3"/>
  <c r="J5" i="3" s="1"/>
  <c r="I13" i="3"/>
  <c r="J13" i="3" s="1"/>
  <c r="I25" i="3"/>
  <c r="J25" i="3" s="1"/>
  <c r="I44" i="3"/>
  <c r="J44" i="3" s="1"/>
  <c r="I55" i="3"/>
  <c r="J55" i="3" s="1"/>
  <c r="I124" i="3"/>
  <c r="J124" i="3" s="1"/>
  <c r="I142" i="3"/>
  <c r="J142" i="3" s="1"/>
  <c r="I227" i="3"/>
  <c r="J227" i="3" s="1"/>
  <c r="I349" i="3"/>
  <c r="J349" i="3" s="1"/>
  <c r="I415" i="3"/>
  <c r="J415" i="3" s="1"/>
  <c r="I431" i="3"/>
  <c r="J431" i="3" s="1"/>
  <c r="I462" i="3"/>
  <c r="J462" i="3" s="1"/>
  <c r="I470" i="3"/>
  <c r="J470" i="3" s="1"/>
  <c r="I540" i="3"/>
  <c r="J540" i="3" s="1"/>
  <c r="I569" i="3"/>
  <c r="J569" i="3" s="1"/>
  <c r="I580" i="3"/>
  <c r="J580" i="3" s="1"/>
  <c r="I604" i="3"/>
  <c r="J604" i="3" s="1"/>
  <c r="I721" i="3"/>
  <c r="J721" i="3" s="1"/>
  <c r="I750" i="3"/>
  <c r="J750" i="3" s="1"/>
  <c r="I778" i="3"/>
  <c r="J778" i="3" s="1"/>
  <c r="I780" i="3"/>
  <c r="J780" i="3" s="1"/>
  <c r="I793" i="3"/>
  <c r="J793" i="3" s="1"/>
  <c r="I802" i="3"/>
  <c r="J802" i="3" s="1"/>
  <c r="I819" i="3"/>
  <c r="J819" i="3" s="1"/>
  <c r="I857" i="3"/>
  <c r="J857" i="3" s="1"/>
  <c r="I868" i="3"/>
  <c r="J868" i="3" s="1"/>
  <c r="I915" i="3"/>
  <c r="J915" i="3" s="1"/>
  <c r="I983" i="3"/>
  <c r="J983" i="3" s="1"/>
  <c r="I1006" i="3"/>
  <c r="J1006" i="3" s="1"/>
  <c r="I1044" i="3"/>
  <c r="J1044" i="3" s="1"/>
  <c r="I1056" i="3"/>
  <c r="J1056" i="3" s="1"/>
  <c r="I1131" i="3"/>
  <c r="J1131" i="3" s="1"/>
  <c r="I1133" i="3"/>
  <c r="J1133" i="3" s="1"/>
  <c r="I1143" i="3"/>
  <c r="J1143" i="3" s="1"/>
  <c r="I1148" i="3"/>
  <c r="J1148" i="3" s="1"/>
  <c r="I1236" i="3"/>
  <c r="J1236" i="3" s="1"/>
  <c r="I1309" i="3"/>
  <c r="J1309" i="3" s="1"/>
  <c r="I1320" i="3"/>
  <c r="J1320" i="3" s="1"/>
  <c r="I1323" i="3"/>
  <c r="J1323" i="3" s="1"/>
  <c r="I1417" i="3"/>
  <c r="J1417" i="3" s="1"/>
  <c r="I1438" i="3"/>
  <c r="J1438" i="3" s="1"/>
  <c r="I1483" i="3"/>
  <c r="J1483" i="3" s="1"/>
  <c r="I1650" i="3"/>
  <c r="J1650" i="3" s="1"/>
  <c r="I1652" i="3"/>
  <c r="J1652" i="3" s="1"/>
  <c r="I1725" i="3"/>
  <c r="J1725" i="3" s="1"/>
  <c r="I1796" i="3"/>
  <c r="J1796" i="3" s="1"/>
  <c r="I1815" i="3"/>
  <c r="J1815" i="3" s="1"/>
  <c r="I1827" i="3"/>
  <c r="J1827" i="3" s="1"/>
  <c r="I1854" i="3"/>
  <c r="J1854" i="3" s="1"/>
  <c r="I1891" i="3"/>
  <c r="J1891" i="3" s="1"/>
  <c r="I1898" i="3"/>
  <c r="J1898" i="3" s="1"/>
  <c r="I1929" i="3"/>
  <c r="J1929" i="3" s="1"/>
  <c r="I2103" i="3"/>
  <c r="J2103" i="3" s="1"/>
  <c r="I2117" i="3"/>
  <c r="J2117" i="3" s="1"/>
  <c r="I2157" i="3"/>
  <c r="J2157" i="3" s="1"/>
  <c r="I2192" i="3"/>
  <c r="J2192" i="3" s="1"/>
  <c r="I2288" i="3"/>
  <c r="J2288" i="3" s="1"/>
  <c r="I2343" i="3"/>
  <c r="J2343" i="3" s="1"/>
  <c r="I2391" i="3"/>
  <c r="J2391" i="3" s="1"/>
  <c r="I2463" i="3"/>
  <c r="J2463" i="3" s="1"/>
  <c r="I2478" i="3"/>
  <c r="J2478" i="3" s="1"/>
  <c r="I2498" i="3"/>
  <c r="J2498" i="3" s="1"/>
  <c r="I2507" i="3"/>
  <c r="J2507" i="3" s="1"/>
  <c r="I2513" i="3"/>
  <c r="J2513" i="3" s="1"/>
  <c r="I2690" i="3"/>
  <c r="J2690" i="3" s="1"/>
  <c r="I2719" i="3"/>
  <c r="J2719" i="3" s="1"/>
  <c r="I2736" i="3"/>
  <c r="J2736" i="3" s="1"/>
  <c r="I2745" i="3"/>
  <c r="J2745" i="3" s="1"/>
  <c r="I2780" i="3"/>
  <c r="J2780" i="3" s="1"/>
  <c r="I2846" i="3"/>
  <c r="J2846" i="3" s="1"/>
  <c r="I3065" i="3"/>
  <c r="J3065" i="3" s="1"/>
  <c r="I3341" i="3"/>
  <c r="J3341" i="3" s="1"/>
  <c r="I3544" i="3"/>
  <c r="J3544" i="3" s="1"/>
  <c r="I3605" i="3"/>
  <c r="J3605" i="3" s="1"/>
  <c r="I3657" i="3"/>
  <c r="J3657" i="3" s="1"/>
  <c r="I3658" i="3"/>
  <c r="J3658" i="3" s="1"/>
  <c r="I3673" i="3"/>
  <c r="J3673" i="3" s="1"/>
  <c r="I3737" i="3"/>
  <c r="J3737" i="3" s="1"/>
  <c r="I3763" i="3"/>
  <c r="J3763" i="3" s="1"/>
  <c r="I3792" i="3"/>
  <c r="J3792" i="3" s="1"/>
  <c r="I3815" i="3"/>
  <c r="J3815" i="3" s="1"/>
  <c r="I3935" i="3"/>
  <c r="J3935" i="3" s="1"/>
  <c r="I3943" i="3"/>
  <c r="J3943" i="3" s="1"/>
  <c r="I4012" i="3"/>
  <c r="J4012" i="3" s="1"/>
  <c r="I4013" i="3"/>
  <c r="J4013" i="3" s="1"/>
  <c r="I4016" i="3"/>
  <c r="J4016" i="3" s="1"/>
  <c r="I4018" i="3"/>
  <c r="J4018" i="3" s="1"/>
  <c r="I4037" i="3"/>
  <c r="J4037" i="3" s="1"/>
  <c r="I4045" i="3"/>
  <c r="J4045" i="3" s="1"/>
  <c r="I4102" i="3"/>
  <c r="J4102" i="3" s="1"/>
  <c r="I4220" i="3"/>
  <c r="J4220" i="3" s="1"/>
  <c r="I4232" i="3"/>
  <c r="J4232" i="3" s="1"/>
  <c r="I4250" i="3"/>
  <c r="J4250" i="3" s="1"/>
  <c r="I4253" i="3"/>
  <c r="J4253" i="3" s="1"/>
  <c r="I4254" i="3"/>
  <c r="J4254" i="3" s="1"/>
  <c r="I4286" i="3"/>
  <c r="J4286" i="3" s="1"/>
  <c r="I4292" i="3"/>
  <c r="J4292" i="3" s="1"/>
  <c r="I4293" i="3"/>
  <c r="J4293" i="3" s="1"/>
  <c r="I4305" i="3"/>
  <c r="J4305" i="3" s="1"/>
  <c r="I4352" i="3"/>
  <c r="J4352" i="3" s="1"/>
  <c r="I4353" i="3"/>
  <c r="J4353" i="3" s="1"/>
  <c r="I4408" i="3"/>
  <c r="J4408" i="3" s="1"/>
  <c r="I4444" i="3"/>
  <c r="J4444" i="3" s="1"/>
  <c r="I4473" i="3"/>
  <c r="J4473" i="3" s="1"/>
  <c r="I4546" i="3"/>
  <c r="J4546" i="3" s="1"/>
  <c r="I4561" i="3"/>
  <c r="J4561" i="3" s="1"/>
  <c r="I4569" i="3"/>
  <c r="J4569" i="3" s="1"/>
  <c r="I4584" i="3"/>
  <c r="J4584" i="3" s="1"/>
  <c r="I4602" i="3"/>
  <c r="J4602" i="3" s="1"/>
  <c r="I4617" i="3"/>
  <c r="J4617" i="3" s="1"/>
  <c r="I4635" i="3"/>
  <c r="J4635" i="3" s="1"/>
  <c r="I4695" i="3"/>
  <c r="J4695" i="3" s="1"/>
  <c r="I4767" i="3"/>
  <c r="J4767" i="3" s="1"/>
  <c r="I4777" i="3"/>
  <c r="J4777" i="3" s="1"/>
  <c r="I4824" i="3"/>
  <c r="J4824" i="3" s="1"/>
  <c r="I34" i="3"/>
  <c r="J34" i="3" s="1"/>
  <c r="I154" i="3"/>
  <c r="J154" i="3" s="1"/>
  <c r="I197" i="3"/>
  <c r="J197" i="3" s="1"/>
  <c r="I240" i="3"/>
  <c r="J240" i="3" s="1"/>
  <c r="I268" i="3"/>
  <c r="J268" i="3" s="1"/>
  <c r="I309" i="3"/>
  <c r="J309" i="3" s="1"/>
  <c r="I538" i="3"/>
  <c r="J538" i="3" s="1"/>
  <c r="I551" i="3"/>
  <c r="J551" i="3" s="1"/>
  <c r="I567" i="3"/>
  <c r="J567" i="3" s="1"/>
  <c r="I685" i="3"/>
  <c r="J685" i="3" s="1"/>
  <c r="I760" i="3"/>
  <c r="J760" i="3" s="1"/>
  <c r="I764" i="3"/>
  <c r="J764" i="3" s="1"/>
  <c r="I770" i="3"/>
  <c r="J770" i="3" s="1"/>
  <c r="I876" i="3"/>
  <c r="J876" i="3" s="1"/>
  <c r="I988" i="3"/>
  <c r="J988" i="3" s="1"/>
  <c r="I1005" i="3"/>
  <c r="J1005" i="3" s="1"/>
  <c r="I1017" i="3"/>
  <c r="J1017" i="3" s="1"/>
  <c r="I1025" i="3"/>
  <c r="J1025" i="3" s="1"/>
  <c r="I1055" i="3"/>
  <c r="J1055" i="3" s="1"/>
  <c r="I1061" i="3"/>
  <c r="J1061" i="3" s="1"/>
  <c r="I1193" i="3"/>
  <c r="J1193" i="3" s="1"/>
  <c r="I1206" i="3"/>
  <c r="J1206" i="3" s="1"/>
  <c r="I1216" i="3"/>
  <c r="J1216" i="3" s="1"/>
  <c r="I1217" i="3"/>
  <c r="J1217" i="3" s="1"/>
  <c r="I1291" i="3"/>
  <c r="J1291" i="3" s="1"/>
  <c r="I1294" i="3"/>
  <c r="J1294" i="3" s="1"/>
  <c r="I1371" i="3"/>
  <c r="J1371" i="3" s="1"/>
  <c r="I1401" i="3"/>
  <c r="J1401" i="3" s="1"/>
  <c r="I1402" i="3"/>
  <c r="J1402" i="3" s="1"/>
  <c r="I1467" i="3"/>
  <c r="J1467" i="3" s="1"/>
  <c r="I1472" i="3"/>
  <c r="J1472" i="3" s="1"/>
  <c r="I1482" i="3"/>
  <c r="J1482" i="3" s="1"/>
  <c r="I1488" i="3"/>
  <c r="J1488" i="3" s="1"/>
  <c r="I1496" i="3"/>
  <c r="J1496" i="3" s="1"/>
  <c r="I1505" i="3"/>
  <c r="J1505" i="3" s="1"/>
  <c r="I1541" i="3"/>
  <c r="J1541" i="3" s="1"/>
  <c r="I1562" i="3"/>
  <c r="J1562" i="3" s="1"/>
  <c r="I1596" i="3"/>
  <c r="J1596" i="3" s="1"/>
  <c r="I1709" i="3"/>
  <c r="J1709" i="3" s="1"/>
  <c r="I1715" i="3"/>
  <c r="J1715" i="3" s="1"/>
  <c r="I1728" i="3"/>
  <c r="J1728" i="3" s="1"/>
  <c r="I1743" i="3"/>
  <c r="J1743" i="3" s="1"/>
  <c r="I1776" i="3"/>
  <c r="J1776" i="3" s="1"/>
  <c r="I1811" i="3"/>
  <c r="J1811" i="3" s="1"/>
  <c r="I1882" i="3"/>
  <c r="J1882" i="3" s="1"/>
  <c r="I1892" i="3"/>
  <c r="J1892" i="3" s="1"/>
  <c r="I1894" i="3"/>
  <c r="J1894" i="3" s="1"/>
  <c r="I1896" i="3"/>
  <c r="J1896" i="3" s="1"/>
  <c r="I1938" i="3"/>
  <c r="J1938" i="3" s="1"/>
  <c r="I1965" i="3"/>
  <c r="J1965" i="3" s="1"/>
  <c r="I1975" i="3"/>
  <c r="J1975" i="3" s="1"/>
  <c r="I2001" i="3"/>
  <c r="J2001" i="3" s="1"/>
  <c r="I2055" i="3"/>
  <c r="J2055" i="3" s="1"/>
  <c r="I2081" i="3"/>
  <c r="J2081" i="3" s="1"/>
  <c r="I2153" i="3"/>
  <c r="J2153" i="3" s="1"/>
  <c r="I2158" i="3"/>
  <c r="J2158" i="3" s="1"/>
  <c r="I2175" i="3"/>
  <c r="J2175" i="3" s="1"/>
  <c r="I2183" i="3"/>
  <c r="J2183" i="3" s="1"/>
  <c r="I2187" i="3"/>
  <c r="J2187" i="3" s="1"/>
  <c r="I2219" i="3"/>
  <c r="J2219" i="3" s="1"/>
  <c r="I2345" i="3"/>
  <c r="J2345" i="3" s="1"/>
  <c r="I2349" i="3"/>
  <c r="J2349" i="3" s="1"/>
  <c r="I2389" i="3"/>
  <c r="J2389" i="3" s="1"/>
  <c r="I2409" i="3"/>
  <c r="J2409" i="3" s="1"/>
  <c r="I2440" i="3"/>
  <c r="J2440" i="3" s="1"/>
  <c r="I2446" i="3"/>
  <c r="J2446" i="3" s="1"/>
  <c r="I2469" i="3"/>
  <c r="J2469" i="3" s="1"/>
  <c r="I2471" i="3"/>
  <c r="J2471" i="3" s="1"/>
  <c r="I2500" i="3"/>
  <c r="J2500" i="3" s="1"/>
  <c r="I2583" i="3"/>
  <c r="J2583" i="3" s="1"/>
  <c r="I2623" i="3"/>
  <c r="J2623" i="3" s="1"/>
  <c r="I2649" i="3"/>
  <c r="J2649" i="3" s="1"/>
  <c r="I2672" i="3"/>
  <c r="J2672" i="3" s="1"/>
  <c r="I2684" i="3"/>
  <c r="J2684" i="3" s="1"/>
  <c r="I2700" i="3"/>
  <c r="J2700" i="3" s="1"/>
  <c r="I2709" i="3"/>
  <c r="J2709" i="3" s="1"/>
  <c r="I2848" i="3"/>
  <c r="J2848" i="3" s="1"/>
  <c r="I2853" i="3"/>
  <c r="J2853" i="3" s="1"/>
  <c r="I2995" i="3"/>
  <c r="J2995" i="3" s="1"/>
  <c r="I3029" i="3"/>
  <c r="J3029" i="3" s="1"/>
  <c r="I3069" i="3"/>
  <c r="J3069" i="3" s="1"/>
  <c r="I3100" i="3"/>
  <c r="J3100" i="3" s="1"/>
  <c r="I3199" i="3"/>
  <c r="J3199" i="3" s="1"/>
  <c r="I3249" i="3"/>
  <c r="J3249" i="3" s="1"/>
  <c r="I3258" i="3"/>
  <c r="J3258" i="3" s="1"/>
  <c r="I3270" i="3"/>
  <c r="J3270" i="3" s="1"/>
  <c r="I3300" i="3"/>
  <c r="J3300" i="3" s="1"/>
  <c r="I3395" i="3"/>
  <c r="J3395" i="3" s="1"/>
  <c r="I3445" i="3"/>
  <c r="J3445" i="3" s="1"/>
  <c r="I3525" i="3"/>
  <c r="J3525" i="3" s="1"/>
  <c r="I3636" i="3"/>
  <c r="J3636" i="3" s="1"/>
  <c r="I3697" i="3"/>
  <c r="J3697" i="3" s="1"/>
  <c r="I3714" i="3"/>
  <c r="J3714" i="3" s="1"/>
  <c r="I3764" i="3"/>
  <c r="J3764" i="3" s="1"/>
  <c r="I3819" i="3"/>
  <c r="J3819" i="3" s="1"/>
  <c r="I3843" i="3"/>
  <c r="J3843" i="3" s="1"/>
  <c r="I3850" i="3"/>
  <c r="J3850" i="3" s="1"/>
  <c r="I3853" i="3"/>
  <c r="J3853" i="3" s="1"/>
  <c r="I3855" i="3"/>
  <c r="J3855" i="3" s="1"/>
  <c r="I3864" i="3"/>
  <c r="J3864" i="3" s="1"/>
  <c r="I3883" i="3"/>
  <c r="J3883" i="3" s="1"/>
  <c r="I3885" i="3"/>
  <c r="J3885" i="3" s="1"/>
  <c r="I3964" i="3"/>
  <c r="J3964" i="3" s="1"/>
  <c r="I3975" i="3"/>
  <c r="J3975" i="3" s="1"/>
  <c r="I3995" i="3"/>
  <c r="J3995" i="3" s="1"/>
  <c r="I4026" i="3"/>
  <c r="J4026" i="3" s="1"/>
  <c r="I4035" i="3"/>
  <c r="J4035" i="3" s="1"/>
  <c r="I4127" i="3"/>
  <c r="J4127" i="3" s="1"/>
  <c r="I4164" i="3"/>
  <c r="J4164" i="3" s="1"/>
  <c r="I4182" i="3"/>
  <c r="J4182" i="3" s="1"/>
  <c r="I4230" i="3"/>
  <c r="J4230" i="3" s="1"/>
  <c r="I4365" i="3"/>
  <c r="J4365" i="3" s="1"/>
  <c r="I4413" i="3"/>
  <c r="J4413" i="3" s="1"/>
  <c r="I4503" i="3"/>
  <c r="J4503" i="3" s="1"/>
  <c r="I4599" i="3"/>
  <c r="J4599" i="3" s="1"/>
  <c r="I4608" i="3"/>
  <c r="J4608" i="3" s="1"/>
  <c r="I4650" i="3"/>
  <c r="J4650" i="3" s="1"/>
  <c r="I4662" i="3"/>
  <c r="J4662" i="3" s="1"/>
  <c r="I4827" i="3"/>
  <c r="J4827" i="3" s="1"/>
  <c r="I32" i="3"/>
  <c r="J32" i="3" s="1"/>
  <c r="I35" i="3"/>
  <c r="J35" i="3" s="1"/>
  <c r="I37" i="3"/>
  <c r="J37" i="3" s="1"/>
  <c r="I88" i="3"/>
  <c r="J88" i="3" s="1"/>
  <c r="I108" i="3"/>
  <c r="J108" i="3" s="1"/>
  <c r="I122" i="3"/>
  <c r="J122" i="3" s="1"/>
  <c r="I184" i="3"/>
  <c r="J184" i="3" s="1"/>
  <c r="I211" i="3"/>
  <c r="J211" i="3" s="1"/>
  <c r="I223" i="3"/>
  <c r="J223" i="3" s="1"/>
  <c r="I272" i="3"/>
  <c r="J272" i="3" s="1"/>
  <c r="I283" i="3"/>
  <c r="J283" i="3" s="1"/>
  <c r="I287" i="3"/>
  <c r="J287" i="3" s="1"/>
  <c r="I304" i="3"/>
  <c r="J304" i="3" s="1"/>
  <c r="I329" i="3"/>
  <c r="J329" i="3" s="1"/>
  <c r="I340" i="3"/>
  <c r="J340" i="3" s="1"/>
  <c r="I354" i="3"/>
  <c r="J354" i="3" s="1"/>
  <c r="I414" i="3"/>
  <c r="J414" i="3" s="1"/>
  <c r="I425" i="3"/>
  <c r="J425" i="3" s="1"/>
  <c r="I430" i="3"/>
  <c r="J430" i="3" s="1"/>
  <c r="I460" i="3"/>
  <c r="J460" i="3" s="1"/>
  <c r="I464" i="3"/>
  <c r="J464" i="3" s="1"/>
  <c r="I469" i="3"/>
  <c r="J469" i="3" s="1"/>
  <c r="I484" i="3"/>
  <c r="J484" i="3" s="1"/>
  <c r="I575" i="3"/>
  <c r="J575" i="3" s="1"/>
  <c r="I586" i="3"/>
  <c r="J586" i="3" s="1"/>
  <c r="I598" i="3"/>
  <c r="J598" i="3" s="1"/>
  <c r="I689" i="3"/>
  <c r="J689" i="3" s="1"/>
  <c r="I729" i="3"/>
  <c r="J729" i="3" s="1"/>
  <c r="I805" i="3"/>
  <c r="J805" i="3" s="1"/>
  <c r="I874" i="3"/>
  <c r="J874" i="3" s="1"/>
  <c r="I1078" i="3"/>
  <c r="J1078" i="3" s="1"/>
  <c r="I1080" i="3"/>
  <c r="J1080" i="3" s="1"/>
  <c r="I1081" i="3"/>
  <c r="J1081" i="3" s="1"/>
  <c r="I1092" i="3"/>
  <c r="J1092" i="3" s="1"/>
  <c r="I1102" i="3"/>
  <c r="J1102" i="3" s="1"/>
  <c r="I1103" i="3"/>
  <c r="J1103" i="3" s="1"/>
  <c r="I1115" i="3"/>
  <c r="J1115" i="3" s="1"/>
  <c r="I1176" i="3"/>
  <c r="J1176" i="3" s="1"/>
  <c r="I1308" i="3"/>
  <c r="J1308" i="3" s="1"/>
  <c r="I1339" i="3"/>
  <c r="J1339" i="3" s="1"/>
  <c r="I1340" i="3"/>
  <c r="J1340" i="3" s="1"/>
  <c r="I1352" i="3"/>
  <c r="J1352" i="3" s="1"/>
  <c r="I1374" i="3"/>
  <c r="J1374" i="3" s="1"/>
  <c r="I1386" i="3"/>
  <c r="J1386" i="3" s="1"/>
  <c r="I1404" i="3"/>
  <c r="J1404" i="3" s="1"/>
  <c r="I1414" i="3"/>
  <c r="J1414" i="3" s="1"/>
  <c r="I1432" i="3"/>
  <c r="J1432" i="3" s="1"/>
  <c r="I1464" i="3"/>
  <c r="J1464" i="3" s="1"/>
  <c r="I1476" i="3"/>
  <c r="J1476" i="3" s="1"/>
  <c r="I1497" i="3"/>
  <c r="J1497" i="3" s="1"/>
  <c r="I1503" i="3"/>
  <c r="J1503" i="3" s="1"/>
  <c r="I1525" i="3"/>
  <c r="J1525" i="3" s="1"/>
  <c r="I1567" i="3"/>
  <c r="J1567" i="3" s="1"/>
  <c r="I1612" i="3"/>
  <c r="J1612" i="3" s="1"/>
  <c r="I1623" i="3"/>
  <c r="J1623" i="3" s="1"/>
  <c r="I1653" i="3"/>
  <c r="J1653" i="3" s="1"/>
  <c r="I1687" i="3"/>
  <c r="J1687" i="3" s="1"/>
  <c r="I1699" i="3"/>
  <c r="J1699" i="3" s="1"/>
  <c r="I1716" i="3"/>
  <c r="J1716" i="3" s="1"/>
  <c r="I1720" i="3"/>
  <c r="J1720" i="3" s="1"/>
  <c r="I1747" i="3"/>
  <c r="J1747" i="3" s="1"/>
  <c r="I1756" i="3"/>
  <c r="J1756" i="3" s="1"/>
  <c r="I1808" i="3"/>
  <c r="J1808" i="3" s="1"/>
  <c r="I1817" i="3"/>
  <c r="J1817" i="3" s="1"/>
  <c r="I1855" i="3"/>
  <c r="J1855" i="3" s="1"/>
  <c r="I1918" i="3"/>
  <c r="J1918" i="3" s="1"/>
  <c r="I1940" i="3"/>
  <c r="J1940" i="3" s="1"/>
  <c r="I1944" i="3"/>
  <c r="J1944" i="3" s="1"/>
  <c r="I1952" i="3"/>
  <c r="J1952" i="3" s="1"/>
  <c r="I1955" i="3"/>
  <c r="J1955" i="3" s="1"/>
  <c r="I1957" i="3"/>
  <c r="J1957" i="3" s="1"/>
  <c r="I1993" i="3"/>
  <c r="J1993" i="3" s="1"/>
  <c r="I2036" i="3"/>
  <c r="J2036" i="3" s="1"/>
  <c r="I2053" i="3"/>
  <c r="J2053" i="3" s="1"/>
  <c r="I2058" i="3"/>
  <c r="J2058" i="3" s="1"/>
  <c r="I2070" i="3"/>
  <c r="J2070" i="3" s="1"/>
  <c r="I2080" i="3"/>
  <c r="J2080" i="3" s="1"/>
  <c r="I2083" i="3"/>
  <c r="J2083" i="3" s="1"/>
  <c r="I2134" i="3"/>
  <c r="J2134" i="3" s="1"/>
  <c r="I2147" i="3"/>
  <c r="J2147" i="3" s="1"/>
  <c r="I2246" i="3"/>
  <c r="J2246" i="3" s="1"/>
  <c r="I2279" i="3"/>
  <c r="J2279" i="3" s="1"/>
  <c r="I2309" i="3"/>
  <c r="J2309" i="3" s="1"/>
  <c r="I2352" i="3"/>
  <c r="J2352" i="3" s="1"/>
  <c r="I2395" i="3"/>
  <c r="J2395" i="3" s="1"/>
  <c r="I2435" i="3"/>
  <c r="J2435" i="3" s="1"/>
  <c r="I2464" i="3"/>
  <c r="J2464" i="3" s="1"/>
  <c r="I2479" i="3"/>
  <c r="J2479" i="3" s="1"/>
  <c r="I2516" i="3"/>
  <c r="J2516" i="3" s="1"/>
  <c r="I2550" i="3"/>
  <c r="J2550" i="3" s="1"/>
  <c r="I2646" i="3"/>
  <c r="J2646" i="3" s="1"/>
  <c r="I2652" i="3"/>
  <c r="J2652" i="3" s="1"/>
  <c r="I2668" i="3"/>
  <c r="J2668" i="3" s="1"/>
  <c r="I2734" i="3"/>
  <c r="J2734" i="3" s="1"/>
  <c r="I2763" i="3"/>
  <c r="J2763" i="3" s="1"/>
  <c r="I2778" i="3"/>
  <c r="J2778" i="3" s="1"/>
  <c r="I2817" i="3"/>
  <c r="J2817" i="3" s="1"/>
  <c r="I2822" i="3"/>
  <c r="J2822" i="3" s="1"/>
  <c r="I2865" i="3"/>
  <c r="J2865" i="3" s="1"/>
  <c r="I2911" i="3"/>
  <c r="J2911" i="3" s="1"/>
  <c r="I2938" i="3"/>
  <c r="J2938" i="3" s="1"/>
  <c r="I2963" i="3"/>
  <c r="J2963" i="3" s="1"/>
  <c r="I2985" i="3"/>
  <c r="J2985" i="3" s="1"/>
  <c r="I3004" i="3"/>
  <c r="J3004" i="3" s="1"/>
  <c r="I3007" i="3"/>
  <c r="J3007" i="3" s="1"/>
  <c r="I3131" i="3"/>
  <c r="J3131" i="3" s="1"/>
  <c r="I3160" i="3"/>
  <c r="J3160" i="3" s="1"/>
  <c r="I3164" i="3"/>
  <c r="J3164" i="3" s="1"/>
  <c r="I3173" i="3"/>
  <c r="J3173" i="3" s="1"/>
  <c r="I3227" i="3"/>
  <c r="J3227" i="3" s="1"/>
  <c r="I3262" i="3"/>
  <c r="J3262" i="3" s="1"/>
  <c r="I3301" i="3"/>
  <c r="J3301" i="3" s="1"/>
  <c r="I3304" i="3"/>
  <c r="J3304" i="3" s="1"/>
  <c r="I3332" i="3"/>
  <c r="J3332" i="3" s="1"/>
  <c r="I3365" i="3"/>
  <c r="J3365" i="3" s="1"/>
  <c r="I3388" i="3"/>
  <c r="J3388" i="3" s="1"/>
  <c r="I3426" i="3"/>
  <c r="J3426" i="3" s="1"/>
  <c r="I3513" i="3"/>
  <c r="J3513" i="3" s="1"/>
  <c r="I3532" i="3"/>
  <c r="J3532" i="3" s="1"/>
  <c r="I3583" i="3"/>
  <c r="J3583" i="3" s="1"/>
  <c r="I3585" i="3"/>
  <c r="J3585" i="3" s="1"/>
  <c r="I3595" i="3"/>
  <c r="J3595" i="3" s="1"/>
  <c r="I3662" i="3"/>
  <c r="J3662" i="3" s="1"/>
  <c r="I3683" i="3"/>
  <c r="J3683" i="3" s="1"/>
  <c r="I3712" i="3"/>
  <c r="J3712" i="3" s="1"/>
  <c r="I3719" i="3"/>
  <c r="J3719" i="3" s="1"/>
  <c r="I3839" i="3"/>
  <c r="J3839" i="3" s="1"/>
  <c r="I3971" i="3"/>
  <c r="J3971" i="3" s="1"/>
  <c r="I3994" i="3"/>
  <c r="J3994" i="3" s="1"/>
  <c r="I4046" i="3"/>
  <c r="J4046" i="3" s="1"/>
  <c r="I4055" i="3"/>
  <c r="J4055" i="3" s="1"/>
  <c r="I4058" i="3"/>
  <c r="J4058" i="3" s="1"/>
  <c r="I4060" i="3"/>
  <c r="J4060" i="3" s="1"/>
  <c r="I4072" i="3"/>
  <c r="J4072" i="3" s="1"/>
  <c r="I4082" i="3"/>
  <c r="J4082" i="3" s="1"/>
  <c r="I4086" i="3"/>
  <c r="J4086" i="3" s="1"/>
  <c r="I4101" i="3"/>
  <c r="J4101" i="3" s="1"/>
  <c r="I4109" i="3"/>
  <c r="J4109" i="3" s="1"/>
  <c r="I4118" i="3"/>
  <c r="J4118" i="3" s="1"/>
  <c r="I4161" i="3"/>
  <c r="J4161" i="3" s="1"/>
  <c r="I4201" i="3"/>
  <c r="J4201" i="3" s="1"/>
  <c r="I4214" i="3"/>
  <c r="J4214" i="3" s="1"/>
  <c r="I4216" i="3"/>
  <c r="J4216" i="3" s="1"/>
  <c r="I4225" i="3"/>
  <c r="J4225" i="3" s="1"/>
  <c r="I4234" i="3"/>
  <c r="J4234" i="3" s="1"/>
  <c r="I4249" i="3"/>
  <c r="J4249" i="3" s="1"/>
  <c r="I4263" i="3"/>
  <c r="J4263" i="3" s="1"/>
  <c r="I4283" i="3"/>
  <c r="J4283" i="3" s="1"/>
  <c r="I4290" i="3"/>
  <c r="J4290" i="3" s="1"/>
  <c r="I4327" i="3"/>
  <c r="J4327" i="3" s="1"/>
  <c r="I4371" i="3"/>
  <c r="J4371" i="3" s="1"/>
  <c r="I4442" i="3"/>
  <c r="J4442" i="3" s="1"/>
  <c r="I4445" i="3"/>
  <c r="J4445" i="3" s="1"/>
  <c r="I4460" i="3"/>
  <c r="J4460" i="3" s="1"/>
  <c r="I4464" i="3"/>
  <c r="J4464" i="3" s="1"/>
  <c r="I4481" i="3"/>
  <c r="J4481" i="3" s="1"/>
  <c r="I4499" i="3"/>
  <c r="J4499" i="3" s="1"/>
  <c r="I4500" i="3"/>
  <c r="J4500" i="3" s="1"/>
  <c r="I4532" i="3"/>
  <c r="J4532" i="3" s="1"/>
  <c r="I4536" i="3"/>
  <c r="J4536" i="3" s="1"/>
  <c r="I4542" i="3"/>
  <c r="J4542" i="3" s="1"/>
  <c r="I4549" i="3"/>
  <c r="J4549" i="3" s="1"/>
  <c r="I4582" i="3"/>
  <c r="J4582" i="3" s="1"/>
  <c r="I4589" i="3"/>
  <c r="J4589" i="3" s="1"/>
  <c r="I4601" i="3"/>
  <c r="J4601" i="3" s="1"/>
  <c r="I4610" i="3"/>
  <c r="J4610" i="3" s="1"/>
  <c r="I4627" i="3"/>
  <c r="J4627" i="3" s="1"/>
  <c r="I4649" i="3"/>
  <c r="J4649" i="3" s="1"/>
  <c r="I4655" i="3"/>
  <c r="J4655" i="3" s="1"/>
  <c r="I4673" i="3"/>
  <c r="J4673" i="3" s="1"/>
  <c r="I4704" i="3"/>
  <c r="J4704" i="3" s="1"/>
  <c r="I4719" i="3"/>
  <c r="J4719" i="3" s="1"/>
  <c r="I4773" i="3"/>
  <c r="J4773" i="3" s="1"/>
  <c r="I4783" i="3"/>
  <c r="J4783" i="3" s="1"/>
  <c r="I40" i="3"/>
  <c r="J40" i="3" s="1"/>
  <c r="I49" i="3"/>
  <c r="J49" i="3" s="1"/>
  <c r="I79" i="3"/>
  <c r="J79" i="3" s="1"/>
  <c r="I85" i="3"/>
  <c r="J85" i="3" s="1"/>
  <c r="I96" i="3"/>
  <c r="J96" i="3" s="1"/>
  <c r="I210" i="3"/>
  <c r="J210" i="3" s="1"/>
  <c r="I267" i="3"/>
  <c r="J267" i="3" s="1"/>
  <c r="I306" i="3"/>
  <c r="J306" i="3" s="1"/>
  <c r="I311" i="3"/>
  <c r="J311" i="3" s="1"/>
  <c r="I322" i="3"/>
  <c r="J322" i="3" s="1"/>
  <c r="I356" i="3"/>
  <c r="J356" i="3" s="1"/>
  <c r="I381" i="3"/>
  <c r="J381" i="3" s="1"/>
  <c r="I436" i="3"/>
  <c r="J436" i="3" s="1"/>
  <c r="I471" i="3"/>
  <c r="J471" i="3" s="1"/>
  <c r="I475" i="3"/>
  <c r="J475" i="3" s="1"/>
  <c r="I481" i="3"/>
  <c r="J481" i="3" s="1"/>
  <c r="I578" i="3"/>
  <c r="J578" i="3" s="1"/>
  <c r="I596" i="3"/>
  <c r="J596" i="3" s="1"/>
  <c r="I664" i="3"/>
  <c r="J664" i="3" s="1"/>
  <c r="I668" i="3"/>
  <c r="J668" i="3" s="1"/>
  <c r="I683" i="3"/>
  <c r="J683" i="3" s="1"/>
  <c r="I714" i="3"/>
  <c r="J714" i="3" s="1"/>
  <c r="I728" i="3"/>
  <c r="J728" i="3" s="1"/>
  <c r="I734" i="3"/>
  <c r="J734" i="3" s="1"/>
  <c r="I757" i="3"/>
  <c r="J757" i="3" s="1"/>
  <c r="I822" i="3"/>
  <c r="J822" i="3" s="1"/>
  <c r="I906" i="3"/>
  <c r="J906" i="3" s="1"/>
  <c r="I979" i="3"/>
  <c r="J979" i="3" s="1"/>
  <c r="I998" i="3"/>
  <c r="J998" i="3" s="1"/>
  <c r="I1057" i="3"/>
  <c r="J1057" i="3" s="1"/>
  <c r="I1116" i="3"/>
  <c r="J1116" i="3" s="1"/>
  <c r="I1117" i="3"/>
  <c r="J1117" i="3" s="1"/>
  <c r="I1125" i="3"/>
  <c r="J1125" i="3" s="1"/>
  <c r="I1150" i="3"/>
  <c r="J1150" i="3" s="1"/>
  <c r="I1166" i="3"/>
  <c r="J1166" i="3" s="1"/>
  <c r="I1198" i="3"/>
  <c r="J1198" i="3" s="1"/>
  <c r="I1251" i="3"/>
  <c r="J1251" i="3" s="1"/>
  <c r="I1258" i="3"/>
  <c r="J1258" i="3" s="1"/>
  <c r="I1348" i="3"/>
  <c r="J1348" i="3" s="1"/>
  <c r="I1388" i="3"/>
  <c r="J1388" i="3" s="1"/>
  <c r="I1410" i="3"/>
  <c r="J1410" i="3" s="1"/>
  <c r="I1437" i="3"/>
  <c r="J1437" i="3" s="1"/>
  <c r="I1443" i="3"/>
  <c r="J1443" i="3" s="1"/>
  <c r="I1468" i="3"/>
  <c r="J1468" i="3" s="1"/>
  <c r="I1521" i="3"/>
  <c r="J1521" i="3" s="1"/>
  <c r="I1625" i="3"/>
  <c r="J1625" i="3" s="1"/>
  <c r="I1626" i="3"/>
  <c r="J1626" i="3" s="1"/>
  <c r="I1628" i="3"/>
  <c r="J1628" i="3" s="1"/>
  <c r="I1669" i="3"/>
  <c r="J1669" i="3" s="1"/>
  <c r="I1673" i="3"/>
  <c r="J1673" i="3" s="1"/>
  <c r="I1775" i="3"/>
  <c r="J1775" i="3" s="1"/>
  <c r="I1778" i="3"/>
  <c r="J1778" i="3" s="1"/>
  <c r="I1779" i="3"/>
  <c r="J1779" i="3" s="1"/>
  <c r="I1816" i="3"/>
  <c r="J1816" i="3" s="1"/>
  <c r="I1841" i="3"/>
  <c r="J1841" i="3" s="1"/>
  <c r="I1844" i="3"/>
  <c r="J1844" i="3" s="1"/>
  <c r="I1852" i="3"/>
  <c r="J1852" i="3" s="1"/>
  <c r="I1914" i="3"/>
  <c r="J1914" i="3" s="1"/>
  <c r="I1983" i="3"/>
  <c r="J1983" i="3" s="1"/>
  <c r="I1990" i="3"/>
  <c r="J1990" i="3" s="1"/>
  <c r="I1994" i="3"/>
  <c r="J1994" i="3" s="1"/>
  <c r="I2047" i="3"/>
  <c r="J2047" i="3" s="1"/>
  <c r="I2075" i="3"/>
  <c r="J2075" i="3" s="1"/>
  <c r="I2164" i="3"/>
  <c r="J2164" i="3" s="1"/>
  <c r="I2201" i="3"/>
  <c r="J2201" i="3" s="1"/>
  <c r="I2284" i="3"/>
  <c r="J2284" i="3" s="1"/>
  <c r="I2331" i="3"/>
  <c r="J2331" i="3" s="1"/>
  <c r="I2362" i="3"/>
  <c r="J2362" i="3" s="1"/>
  <c r="I2363" i="3"/>
  <c r="J2363" i="3" s="1"/>
  <c r="I2365" i="3"/>
  <c r="J2365" i="3" s="1"/>
  <c r="I2388" i="3"/>
  <c r="J2388" i="3" s="1"/>
  <c r="I2401" i="3"/>
  <c r="J2401" i="3" s="1"/>
  <c r="I2408" i="3"/>
  <c r="J2408" i="3" s="1"/>
  <c r="I2415" i="3"/>
  <c r="J2415" i="3" s="1"/>
  <c r="I2449" i="3"/>
  <c r="J2449" i="3" s="1"/>
  <c r="I2455" i="3"/>
  <c r="J2455" i="3" s="1"/>
  <c r="I2466" i="3"/>
  <c r="J2466" i="3" s="1"/>
  <c r="I2569" i="3"/>
  <c r="J2569" i="3" s="1"/>
  <c r="I2574" i="3"/>
  <c r="J2574" i="3" s="1"/>
  <c r="I2582" i="3"/>
  <c r="J2582" i="3" s="1"/>
  <c r="I2624" i="3"/>
  <c r="J2624" i="3" s="1"/>
  <c r="I2637" i="3"/>
  <c r="J2637" i="3" s="1"/>
  <c r="I2740" i="3"/>
  <c r="J2740" i="3" s="1"/>
  <c r="I2760" i="3"/>
  <c r="J2760" i="3" s="1"/>
  <c r="I2762" i="3"/>
  <c r="J2762" i="3" s="1"/>
  <c r="I2861" i="3"/>
  <c r="J2861" i="3" s="1"/>
  <c r="I2913" i="3"/>
  <c r="J2913" i="3" s="1"/>
  <c r="I2923" i="3"/>
  <c r="J2923" i="3" s="1"/>
  <c r="I2973" i="3"/>
  <c r="J2973" i="3" s="1"/>
  <c r="I3035" i="3"/>
  <c r="J3035" i="3" s="1"/>
  <c r="I3066" i="3"/>
  <c r="J3066" i="3" s="1"/>
  <c r="I3084" i="3"/>
  <c r="J3084" i="3" s="1"/>
  <c r="I3097" i="3"/>
  <c r="J3097" i="3" s="1"/>
  <c r="I3185" i="3"/>
  <c r="J3185" i="3" s="1"/>
  <c r="I3225" i="3"/>
  <c r="J3225" i="3" s="1"/>
  <c r="I3243" i="3"/>
  <c r="J3243" i="3" s="1"/>
  <c r="I3274" i="3"/>
  <c r="J3274" i="3" s="1"/>
  <c r="I3278" i="3"/>
  <c r="J3278" i="3" s="1"/>
  <c r="I3348" i="3"/>
  <c r="J3348" i="3" s="1"/>
  <c r="I3351" i="3"/>
  <c r="J3351" i="3" s="1"/>
  <c r="I3436" i="3"/>
  <c r="J3436" i="3" s="1"/>
  <c r="I3470" i="3"/>
  <c r="J3470" i="3" s="1"/>
  <c r="I3504" i="3"/>
  <c r="J3504" i="3" s="1"/>
  <c r="I3566" i="3"/>
  <c r="J3566" i="3" s="1"/>
  <c r="I3570" i="3"/>
  <c r="J3570" i="3" s="1"/>
  <c r="I3813" i="3"/>
  <c r="J3813" i="3" s="1"/>
  <c r="I3820" i="3"/>
  <c r="J3820" i="3" s="1"/>
  <c r="I3872" i="3"/>
  <c r="J3872" i="3" s="1"/>
  <c r="I3970" i="3"/>
  <c r="J3970" i="3" s="1"/>
  <c r="I4043" i="3"/>
  <c r="J4043" i="3" s="1"/>
  <c r="I4064" i="3"/>
  <c r="J4064" i="3" s="1"/>
  <c r="I4071" i="3"/>
  <c r="J4071" i="3" s="1"/>
  <c r="I4100" i="3"/>
  <c r="J4100" i="3" s="1"/>
  <c r="I4136" i="3"/>
  <c r="J4136" i="3" s="1"/>
  <c r="I4168" i="3"/>
  <c r="J4168" i="3" s="1"/>
  <c r="I4203" i="3"/>
  <c r="J4203" i="3" s="1"/>
  <c r="I4299" i="3"/>
  <c r="J4299" i="3" s="1"/>
  <c r="I4409" i="3"/>
  <c r="J4409" i="3" s="1"/>
  <c r="I4465" i="3"/>
  <c r="J4465" i="3" s="1"/>
  <c r="I4507" i="3"/>
  <c r="J4507" i="3" s="1"/>
  <c r="I4521" i="3"/>
  <c r="J4521" i="3" s="1"/>
  <c r="I4557" i="3"/>
  <c r="J4557" i="3" s="1"/>
  <c r="I4586" i="3"/>
  <c r="J4586" i="3" s="1"/>
  <c r="I4647" i="3"/>
  <c r="J4647" i="3" s="1"/>
  <c r="I4653" i="3"/>
  <c r="J4653" i="3" s="1"/>
  <c r="I4678" i="3"/>
  <c r="J4678" i="3" s="1"/>
  <c r="I4700" i="3"/>
  <c r="J4700" i="3" s="1"/>
  <c r="I4731" i="3"/>
  <c r="J4731" i="3" s="1"/>
  <c r="I4776" i="3"/>
  <c r="J4776" i="3" s="1"/>
  <c r="I4797" i="3"/>
  <c r="J4797" i="3" s="1"/>
  <c r="I9" i="3"/>
  <c r="J9" i="3" s="1"/>
  <c r="I125" i="3"/>
  <c r="J125" i="3" s="1"/>
  <c r="I140" i="3"/>
  <c r="J140" i="3" s="1"/>
  <c r="I364" i="3"/>
  <c r="J364" i="3" s="1"/>
  <c r="I413" i="3"/>
  <c r="J413" i="3" s="1"/>
  <c r="I496" i="3"/>
  <c r="J496" i="3" s="1"/>
  <c r="I769" i="3"/>
  <c r="J769" i="3" s="1"/>
  <c r="I836" i="3"/>
  <c r="J836" i="3" s="1"/>
  <c r="I852" i="3"/>
  <c r="J852" i="3" s="1"/>
  <c r="I883" i="3"/>
  <c r="J883" i="3" s="1"/>
  <c r="I977" i="3"/>
  <c r="J977" i="3" s="1"/>
  <c r="I1090" i="3"/>
  <c r="J1090" i="3" s="1"/>
  <c r="I1164" i="3"/>
  <c r="J1164" i="3" s="1"/>
  <c r="I1173" i="3"/>
  <c r="J1173" i="3" s="1"/>
  <c r="I1201" i="3"/>
  <c r="J1201" i="3" s="1"/>
  <c r="I1289" i="3"/>
  <c r="J1289" i="3" s="1"/>
  <c r="I1326" i="3"/>
  <c r="J1326" i="3" s="1"/>
  <c r="I1366" i="3"/>
  <c r="J1366" i="3" s="1"/>
  <c r="I1385" i="3"/>
  <c r="J1385" i="3" s="1"/>
  <c r="I1588" i="3"/>
  <c r="J1588" i="3" s="1"/>
  <c r="I1619" i="3"/>
  <c r="J1619" i="3" s="1"/>
  <c r="I1634" i="3"/>
  <c r="J1634" i="3" s="1"/>
  <c r="I1686" i="3"/>
  <c r="J1686" i="3" s="1"/>
  <c r="I1760" i="3"/>
  <c r="J1760" i="3" s="1"/>
  <c r="I1770" i="3"/>
  <c r="J1770" i="3" s="1"/>
  <c r="I1836" i="3"/>
  <c r="J1836" i="3" s="1"/>
  <c r="I1840" i="3"/>
  <c r="J1840" i="3" s="1"/>
  <c r="I1930" i="3"/>
  <c r="J1930" i="3" s="1"/>
  <c r="I1941" i="3"/>
  <c r="J1941" i="3" s="1"/>
  <c r="I1982" i="3"/>
  <c r="J1982" i="3" s="1"/>
  <c r="I2020" i="3"/>
  <c r="J2020" i="3" s="1"/>
  <c r="I2078" i="3"/>
  <c r="J2078" i="3" s="1"/>
  <c r="I2131" i="3"/>
  <c r="J2131" i="3" s="1"/>
  <c r="I2213" i="3"/>
  <c r="J2213" i="3" s="1"/>
  <c r="I2512" i="3"/>
  <c r="J2512" i="3" s="1"/>
  <c r="I2519" i="3"/>
  <c r="J2519" i="3" s="1"/>
  <c r="I2533" i="3"/>
  <c r="J2533" i="3" s="1"/>
  <c r="I2541" i="3"/>
  <c r="J2541" i="3" s="1"/>
  <c r="I2559" i="3"/>
  <c r="J2559" i="3" s="1"/>
  <c r="I2669" i="3"/>
  <c r="J2669" i="3" s="1"/>
  <c r="I2844" i="3"/>
  <c r="J2844" i="3" s="1"/>
  <c r="I2862" i="3"/>
  <c r="J2862" i="3" s="1"/>
  <c r="I2882" i="3"/>
  <c r="J2882" i="3" s="1"/>
  <c r="I3050" i="3"/>
  <c r="J3050" i="3" s="1"/>
  <c r="I3116" i="3"/>
  <c r="J3116" i="3" s="1"/>
  <c r="I3178" i="3"/>
  <c r="J3178" i="3" s="1"/>
  <c r="I3255" i="3"/>
  <c r="J3255" i="3" s="1"/>
  <c r="I3339" i="3"/>
  <c r="J3339" i="3" s="1"/>
  <c r="I3377" i="3"/>
  <c r="J3377" i="3" s="1"/>
  <c r="I3383" i="3"/>
  <c r="J3383" i="3" s="1"/>
  <c r="I3410" i="3"/>
  <c r="J3410" i="3" s="1"/>
  <c r="I3468" i="3"/>
  <c r="J3468" i="3" s="1"/>
  <c r="I3499" i="3"/>
  <c r="J3499" i="3" s="1"/>
  <c r="I3520" i="3"/>
  <c r="J3520" i="3" s="1"/>
  <c r="I3624" i="3"/>
  <c r="J3624" i="3" s="1"/>
  <c r="I3656" i="3"/>
  <c r="J3656" i="3" s="1"/>
  <c r="I3672" i="3"/>
  <c r="J3672" i="3" s="1"/>
  <c r="I3703" i="3"/>
  <c r="J3703" i="3" s="1"/>
  <c r="I3860" i="3"/>
  <c r="J3860" i="3" s="1"/>
  <c r="I3957" i="3"/>
  <c r="J3957" i="3" s="1"/>
  <c r="I4005" i="3"/>
  <c r="J4005" i="3" s="1"/>
  <c r="I4040" i="3"/>
  <c r="J4040" i="3" s="1"/>
  <c r="I4047" i="3"/>
  <c r="J4047" i="3" s="1"/>
  <c r="I4063" i="3"/>
  <c r="J4063" i="3" s="1"/>
  <c r="I4084" i="3"/>
  <c r="J4084" i="3" s="1"/>
  <c r="I4112" i="3"/>
  <c r="J4112" i="3" s="1"/>
  <c r="I4121" i="3"/>
  <c r="J4121" i="3" s="1"/>
  <c r="I4281" i="3"/>
  <c r="J4281" i="3" s="1"/>
  <c r="I4291" i="3"/>
  <c r="J4291" i="3" s="1"/>
  <c r="I4310" i="3"/>
  <c r="J4310" i="3" s="1"/>
  <c r="I4354" i="3"/>
  <c r="J4354" i="3" s="1"/>
  <c r="I4489" i="3"/>
  <c r="J4489" i="3" s="1"/>
  <c r="I4556" i="3"/>
  <c r="J4556" i="3" s="1"/>
  <c r="I4571" i="3"/>
  <c r="J4571" i="3" s="1"/>
  <c r="I4576" i="3"/>
  <c r="J4576" i="3" s="1"/>
  <c r="I4715" i="3"/>
  <c r="J4715" i="3" s="1"/>
  <c r="I4743" i="3"/>
  <c r="J4743" i="3" s="1"/>
  <c r="I4752" i="3"/>
  <c r="J4752" i="3" s="1"/>
  <c r="I109" i="3"/>
  <c r="J109" i="3" s="1"/>
  <c r="I161" i="3"/>
  <c r="J161" i="3" s="1"/>
  <c r="I186" i="3"/>
  <c r="J186" i="3" s="1"/>
  <c r="I435" i="3"/>
  <c r="J435" i="3" s="1"/>
  <c r="I455" i="3"/>
  <c r="J455" i="3" s="1"/>
  <c r="I457" i="3"/>
  <c r="J457" i="3" s="1"/>
  <c r="I477" i="3"/>
  <c r="J477" i="3" s="1"/>
  <c r="I503" i="3"/>
  <c r="J503" i="3" s="1"/>
  <c r="I554" i="3"/>
  <c r="J554" i="3" s="1"/>
  <c r="I603" i="3"/>
  <c r="J603" i="3" s="1"/>
  <c r="I639" i="3"/>
  <c r="J639" i="3" s="1"/>
  <c r="I665" i="3"/>
  <c r="J665" i="3" s="1"/>
  <c r="I776" i="3"/>
  <c r="J776" i="3" s="1"/>
  <c r="I958" i="3"/>
  <c r="J958" i="3" s="1"/>
  <c r="I1062" i="3"/>
  <c r="J1062" i="3" s="1"/>
  <c r="I1136" i="3"/>
  <c r="J1136" i="3" s="1"/>
  <c r="I1252" i="3"/>
  <c r="J1252" i="3" s="1"/>
  <c r="I1263" i="3"/>
  <c r="J1263" i="3" s="1"/>
  <c r="I1269" i="3"/>
  <c r="J1269" i="3" s="1"/>
  <c r="I1396" i="3"/>
  <c r="J1396" i="3" s="1"/>
  <c r="I1474" i="3"/>
  <c r="J1474" i="3" s="1"/>
  <c r="I1585" i="3"/>
  <c r="J1585" i="3" s="1"/>
  <c r="I1621" i="3"/>
  <c r="J1621" i="3" s="1"/>
  <c r="I1676" i="3"/>
  <c r="J1676" i="3" s="1"/>
  <c r="I1693" i="3"/>
  <c r="J1693" i="3" s="1"/>
  <c r="I1702" i="3"/>
  <c r="J1702" i="3" s="1"/>
  <c r="I1711" i="3"/>
  <c r="J1711" i="3" s="1"/>
  <c r="I1798" i="3"/>
  <c r="J1798" i="3" s="1"/>
  <c r="I2178" i="3"/>
  <c r="J2178" i="3" s="1"/>
  <c r="I2237" i="3"/>
  <c r="J2237" i="3" s="1"/>
  <c r="I2314" i="3"/>
  <c r="J2314" i="3" s="1"/>
  <c r="I2339" i="3"/>
  <c r="J2339" i="3" s="1"/>
  <c r="I2372" i="3"/>
  <c r="J2372" i="3" s="1"/>
  <c r="I2439" i="3"/>
  <c r="J2439" i="3" s="1"/>
  <c r="I2567" i="3"/>
  <c r="J2567" i="3" s="1"/>
  <c r="I2629" i="3"/>
  <c r="J2629" i="3" s="1"/>
  <c r="I2702" i="3"/>
  <c r="J2702" i="3" s="1"/>
  <c r="I2770" i="3"/>
  <c r="J2770" i="3" s="1"/>
  <c r="I2790" i="3"/>
  <c r="J2790" i="3" s="1"/>
  <c r="I3000" i="3"/>
  <c r="J3000" i="3" s="1"/>
  <c r="I3018" i="3"/>
  <c r="J3018" i="3" s="1"/>
  <c r="I3024" i="3"/>
  <c r="J3024" i="3" s="1"/>
  <c r="I3090" i="3"/>
  <c r="J3090" i="3" s="1"/>
  <c r="I3172" i="3"/>
  <c r="J3172" i="3" s="1"/>
  <c r="I3375" i="3"/>
  <c r="J3375" i="3" s="1"/>
  <c r="I3447" i="3"/>
  <c r="J3447" i="3" s="1"/>
  <c r="I3505" i="3"/>
  <c r="J3505" i="3" s="1"/>
  <c r="I3628" i="3"/>
  <c r="J3628" i="3" s="1"/>
  <c r="I3715" i="3"/>
  <c r="J3715" i="3" s="1"/>
  <c r="I3728" i="3"/>
  <c r="J3728" i="3" s="1"/>
  <c r="I3735" i="3"/>
  <c r="J3735" i="3" s="1"/>
  <c r="I3790" i="3"/>
  <c r="J3790" i="3" s="1"/>
  <c r="I3907" i="3"/>
  <c r="J3907" i="3" s="1"/>
  <c r="I3952" i="3"/>
  <c r="J3952" i="3" s="1"/>
  <c r="I3998" i="3"/>
  <c r="J3998" i="3" s="1"/>
  <c r="I4074" i="3"/>
  <c r="J4074" i="3" s="1"/>
  <c r="I4200" i="3"/>
  <c r="J4200" i="3" s="1"/>
  <c r="I4227" i="3"/>
  <c r="J4227" i="3" s="1"/>
  <c r="I4244" i="3"/>
  <c r="J4244" i="3" s="1"/>
  <c r="I4297" i="3"/>
  <c r="J4297" i="3" s="1"/>
  <c r="I4314" i="3"/>
  <c r="J4314" i="3" s="1"/>
  <c r="I4322" i="3"/>
  <c r="J4322" i="3" s="1"/>
  <c r="I4331" i="3"/>
  <c r="J4331" i="3" s="1"/>
  <c r="I4418" i="3"/>
  <c r="J4418" i="3" s="1"/>
  <c r="I4505" i="3"/>
  <c r="J4505" i="3" s="1"/>
  <c r="I4564" i="3"/>
  <c r="J4564" i="3" s="1"/>
  <c r="I4568" i="3"/>
  <c r="J4568" i="3" s="1"/>
  <c r="I4711" i="3"/>
  <c r="J4711" i="3" s="1"/>
  <c r="I4753" i="3"/>
  <c r="J4753" i="3" s="1"/>
  <c r="I765" i="3"/>
  <c r="J765" i="3" s="1"/>
  <c r="I1506" i="3"/>
  <c r="J1506" i="3" s="1"/>
  <c r="I2993" i="3"/>
  <c r="J2993" i="3" s="1"/>
  <c r="I3155" i="3"/>
  <c r="J3155" i="3" s="1"/>
  <c r="I4437" i="3"/>
  <c r="J4437" i="3" s="1"/>
  <c r="I20" i="3"/>
  <c r="J20" i="3" s="1"/>
  <c r="I101" i="3"/>
  <c r="J101" i="3" s="1"/>
  <c r="I160" i="3"/>
  <c r="J160" i="3" s="1"/>
  <c r="I274" i="3"/>
  <c r="J274" i="3" s="1"/>
  <c r="I359" i="3"/>
  <c r="J359" i="3" s="1"/>
  <c r="I380" i="3"/>
  <c r="J380" i="3" s="1"/>
  <c r="I440" i="3"/>
  <c r="J440" i="3" s="1"/>
  <c r="I451" i="3"/>
  <c r="J451" i="3" s="1"/>
  <c r="I559" i="3"/>
  <c r="J559" i="3" s="1"/>
  <c r="I675" i="3"/>
  <c r="J675" i="3" s="1"/>
  <c r="I870" i="3"/>
  <c r="J870" i="3" s="1"/>
  <c r="I914" i="3"/>
  <c r="J914" i="3" s="1"/>
  <c r="I948" i="3"/>
  <c r="J948" i="3" s="1"/>
  <c r="I1089" i="3"/>
  <c r="J1089" i="3" s="1"/>
  <c r="I1142" i="3"/>
  <c r="J1142" i="3" s="1"/>
  <c r="I1213" i="3"/>
  <c r="J1213" i="3" s="1"/>
  <c r="I1215" i="3"/>
  <c r="J1215" i="3" s="1"/>
  <c r="I1297" i="3"/>
  <c r="J1297" i="3" s="1"/>
  <c r="I1361" i="3"/>
  <c r="J1361" i="3" s="1"/>
  <c r="I1370" i="3"/>
  <c r="J1370" i="3" s="1"/>
  <c r="I1399" i="3"/>
  <c r="J1399" i="3" s="1"/>
  <c r="I1456" i="3"/>
  <c r="J1456" i="3" s="1"/>
  <c r="I1563" i="3"/>
  <c r="J1563" i="3" s="1"/>
  <c r="I1586" i="3"/>
  <c r="J1586" i="3" s="1"/>
  <c r="I1661" i="3"/>
  <c r="J1661" i="3" s="1"/>
  <c r="I1679" i="3"/>
  <c r="J1679" i="3" s="1"/>
  <c r="I1684" i="3"/>
  <c r="J1684" i="3" s="1"/>
  <c r="I1758" i="3"/>
  <c r="J1758" i="3" s="1"/>
  <c r="I1831" i="3"/>
  <c r="J1831" i="3" s="1"/>
  <c r="I1866" i="3"/>
  <c r="J1866" i="3" s="1"/>
  <c r="I1873" i="3"/>
  <c r="J1873" i="3" s="1"/>
  <c r="I1879" i="3"/>
  <c r="J1879" i="3" s="1"/>
  <c r="I1885" i="3"/>
  <c r="J1885" i="3" s="1"/>
  <c r="I1889" i="3"/>
  <c r="J1889" i="3" s="1"/>
  <c r="I2060" i="3"/>
  <c r="J2060" i="3" s="1"/>
  <c r="I2090" i="3"/>
  <c r="J2090" i="3" s="1"/>
  <c r="I2151" i="3"/>
  <c r="J2151" i="3" s="1"/>
  <c r="I2200" i="3"/>
  <c r="J2200" i="3" s="1"/>
  <c r="I2285" i="3"/>
  <c r="J2285" i="3" s="1"/>
  <c r="I2676" i="3"/>
  <c r="J2676" i="3" s="1"/>
  <c r="I2715" i="3"/>
  <c r="J2715" i="3" s="1"/>
  <c r="I2732" i="3"/>
  <c r="J2732" i="3" s="1"/>
  <c r="I2786" i="3"/>
  <c r="J2786" i="3" s="1"/>
  <c r="I2802" i="3"/>
  <c r="J2802" i="3" s="1"/>
  <c r="I2872" i="3"/>
  <c r="J2872" i="3" s="1"/>
  <c r="I3037" i="3"/>
  <c r="J3037" i="3" s="1"/>
  <c r="I3177" i="3"/>
  <c r="J3177" i="3" s="1"/>
  <c r="I3234" i="3"/>
  <c r="J3234" i="3" s="1"/>
  <c r="I3290" i="3"/>
  <c r="J3290" i="3" s="1"/>
  <c r="I3293" i="3"/>
  <c r="J3293" i="3" s="1"/>
  <c r="I3420" i="3"/>
  <c r="J3420" i="3" s="1"/>
  <c r="I3429" i="3"/>
  <c r="J3429" i="3" s="1"/>
  <c r="I3434" i="3"/>
  <c r="J3434" i="3" s="1"/>
  <c r="I3685" i="3"/>
  <c r="J3685" i="3" s="1"/>
  <c r="I3709" i="3"/>
  <c r="J3709" i="3" s="1"/>
  <c r="I3744" i="3"/>
  <c r="J3744" i="3" s="1"/>
  <c r="I3838" i="3"/>
  <c r="J3838" i="3" s="1"/>
  <c r="I3876" i="3"/>
  <c r="J3876" i="3" s="1"/>
  <c r="I3881" i="3"/>
  <c r="J3881" i="3" s="1"/>
  <c r="I3896" i="3"/>
  <c r="J3896" i="3" s="1"/>
  <c r="I4050" i="3"/>
  <c r="J4050" i="3" s="1"/>
  <c r="I4097" i="3"/>
  <c r="J4097" i="3" s="1"/>
  <c r="I4163" i="3"/>
  <c r="J4163" i="3" s="1"/>
  <c r="I4175" i="3"/>
  <c r="J4175" i="3" s="1"/>
  <c r="I4273" i="3"/>
  <c r="J4273" i="3" s="1"/>
  <c r="I4307" i="3"/>
  <c r="J4307" i="3" s="1"/>
  <c r="I4404" i="3"/>
  <c r="J4404" i="3" s="1"/>
  <c r="I4423" i="3"/>
  <c r="J4423" i="3" s="1"/>
  <c r="I4432" i="3"/>
  <c r="J4432" i="3" s="1"/>
  <c r="I4493" i="3"/>
  <c r="J4493" i="3" s="1"/>
  <c r="I4559" i="3"/>
  <c r="J4559" i="3" s="1"/>
  <c r="I4588" i="3"/>
  <c r="J4588" i="3" s="1"/>
  <c r="I4692" i="3"/>
  <c r="J4692" i="3" s="1"/>
  <c r="I4724" i="3"/>
  <c r="J4724" i="3" s="1"/>
  <c r="I4730" i="3"/>
  <c r="J4730" i="3" s="1"/>
  <c r="I4732" i="3"/>
  <c r="J4732" i="3" s="1"/>
  <c r="I93" i="3"/>
  <c r="J93" i="3" s="1"/>
  <c r="I100" i="3"/>
  <c r="J100" i="3" s="1"/>
  <c r="I121" i="3"/>
  <c r="J121" i="3" s="1"/>
  <c r="I127" i="3"/>
  <c r="J127" i="3" s="1"/>
  <c r="I252" i="3"/>
  <c r="J252" i="3" s="1"/>
  <c r="I316" i="3"/>
  <c r="J316" i="3" s="1"/>
  <c r="I541" i="3"/>
  <c r="J541" i="3" s="1"/>
  <c r="I611" i="3"/>
  <c r="J611" i="3" s="1"/>
  <c r="I614" i="3"/>
  <c r="J614" i="3" s="1"/>
  <c r="I656" i="3"/>
  <c r="J656" i="3" s="1"/>
  <c r="I896" i="3"/>
  <c r="J896" i="3" s="1"/>
  <c r="I907" i="3"/>
  <c r="J907" i="3" s="1"/>
  <c r="I952" i="3"/>
  <c r="J952" i="3" s="1"/>
  <c r="I989" i="3"/>
  <c r="J989" i="3" s="1"/>
  <c r="I1066" i="3"/>
  <c r="J1066" i="3" s="1"/>
  <c r="I1069" i="3"/>
  <c r="J1069" i="3" s="1"/>
  <c r="I1111" i="3"/>
  <c r="J1111" i="3" s="1"/>
  <c r="I1155" i="3"/>
  <c r="J1155" i="3" s="1"/>
  <c r="I1207" i="3"/>
  <c r="J1207" i="3" s="1"/>
  <c r="I1296" i="3"/>
  <c r="J1296" i="3" s="1"/>
  <c r="I1343" i="3"/>
  <c r="J1343" i="3" s="1"/>
  <c r="I1347" i="3"/>
  <c r="J1347" i="3" s="1"/>
  <c r="I1357" i="3"/>
  <c r="J1357" i="3" s="1"/>
  <c r="I1405" i="3"/>
  <c r="J1405" i="3" s="1"/>
  <c r="I1424" i="3"/>
  <c r="J1424" i="3" s="1"/>
  <c r="I1524" i="3"/>
  <c r="J1524" i="3" s="1"/>
  <c r="I1578" i="3"/>
  <c r="J1578" i="3" s="1"/>
  <c r="I1593" i="3"/>
  <c r="J1593" i="3" s="1"/>
  <c r="I1610" i="3"/>
  <c r="J1610" i="3" s="1"/>
  <c r="I1777" i="3"/>
  <c r="J1777" i="3" s="1"/>
  <c r="I1782" i="3"/>
  <c r="J1782" i="3" s="1"/>
  <c r="I1794" i="3"/>
  <c r="J1794" i="3" s="1"/>
  <c r="I1875" i="3"/>
  <c r="J1875" i="3" s="1"/>
  <c r="I1900" i="3"/>
  <c r="J1900" i="3" s="1"/>
  <c r="I1969" i="3"/>
  <c r="J1969" i="3" s="1"/>
  <c r="I2008" i="3"/>
  <c r="J2008" i="3" s="1"/>
  <c r="I2022" i="3"/>
  <c r="J2022" i="3" s="1"/>
  <c r="I2087" i="3"/>
  <c r="J2087" i="3" s="1"/>
  <c r="I2154" i="3"/>
  <c r="J2154" i="3" s="1"/>
  <c r="I2245" i="3"/>
  <c r="J2245" i="3" s="1"/>
  <c r="I2289" i="3"/>
  <c r="J2289" i="3" s="1"/>
  <c r="I2367" i="3"/>
  <c r="J2367" i="3" s="1"/>
  <c r="I2462" i="3"/>
  <c r="J2462" i="3" s="1"/>
  <c r="I2497" i="3"/>
  <c r="J2497" i="3" s="1"/>
  <c r="I2549" i="3"/>
  <c r="J2549" i="3" s="1"/>
  <c r="I2595" i="3"/>
  <c r="J2595" i="3" s="1"/>
  <c r="I2598" i="3"/>
  <c r="J2598" i="3" s="1"/>
  <c r="I2617" i="3"/>
  <c r="J2617" i="3" s="1"/>
  <c r="I2682" i="3"/>
  <c r="J2682" i="3" s="1"/>
  <c r="I2771" i="3"/>
  <c r="J2771" i="3" s="1"/>
  <c r="I2775" i="3"/>
  <c r="J2775" i="3" s="1"/>
  <c r="I2801" i="3"/>
  <c r="J2801" i="3" s="1"/>
  <c r="I2981" i="3"/>
  <c r="J2981" i="3" s="1"/>
  <c r="I3101" i="3"/>
  <c r="J3101" i="3" s="1"/>
  <c r="I3107" i="3"/>
  <c r="J3107" i="3" s="1"/>
  <c r="I3129" i="3"/>
  <c r="J3129" i="3" s="1"/>
  <c r="I3139" i="3"/>
  <c r="J3139" i="3" s="1"/>
  <c r="I3141" i="3"/>
  <c r="J3141" i="3" s="1"/>
  <c r="I3209" i="3"/>
  <c r="J3209" i="3" s="1"/>
  <c r="I3245" i="3"/>
  <c r="J3245" i="3" s="1"/>
  <c r="I3296" i="3"/>
  <c r="J3296" i="3" s="1"/>
  <c r="I3623" i="3"/>
  <c r="J3623" i="3" s="1"/>
  <c r="I3706" i="3"/>
  <c r="J3706" i="3" s="1"/>
  <c r="I3780" i="3"/>
  <c r="J3780" i="3" s="1"/>
  <c r="I3856" i="3"/>
  <c r="J3856" i="3" s="1"/>
  <c r="I3953" i="3"/>
  <c r="J3953" i="3" s="1"/>
  <c r="I4025" i="3"/>
  <c r="J4025" i="3" s="1"/>
  <c r="I4070" i="3"/>
  <c r="J4070" i="3" s="1"/>
  <c r="I4162" i="3"/>
  <c r="J4162" i="3" s="1"/>
  <c r="I4179" i="3"/>
  <c r="J4179" i="3" s="1"/>
  <c r="I4236" i="3"/>
  <c r="J4236" i="3" s="1"/>
  <c r="I4272" i="3"/>
  <c r="J4272" i="3" s="1"/>
  <c r="I4412" i="3"/>
  <c r="J4412" i="3" s="1"/>
  <c r="I4475" i="3"/>
  <c r="J4475" i="3" s="1"/>
  <c r="I4501" i="3"/>
  <c r="J4501" i="3" s="1"/>
  <c r="I4541" i="3"/>
  <c r="J4541" i="3" s="1"/>
  <c r="I4574" i="3"/>
  <c r="J4574" i="3" s="1"/>
  <c r="I4702" i="3"/>
  <c r="J4702" i="3" s="1"/>
  <c r="I4750" i="3"/>
  <c r="J4750" i="3" s="1"/>
  <c r="I4800" i="3"/>
  <c r="J4800" i="3" s="1"/>
  <c r="I77" i="3"/>
  <c r="J77" i="3" s="1"/>
  <c r="I97" i="3"/>
  <c r="J97" i="3" s="1"/>
  <c r="I102" i="3"/>
  <c r="J102" i="3" s="1"/>
  <c r="I128" i="3"/>
  <c r="J128" i="3" s="1"/>
  <c r="I132" i="3"/>
  <c r="J132" i="3" s="1"/>
  <c r="I134" i="3"/>
  <c r="J134" i="3" s="1"/>
  <c r="I238" i="3"/>
  <c r="J238" i="3" s="1"/>
  <c r="I271" i="3"/>
  <c r="J271" i="3" s="1"/>
  <c r="I307" i="3"/>
  <c r="J307" i="3" s="1"/>
  <c r="I326" i="3"/>
  <c r="J326" i="3" s="1"/>
  <c r="I347" i="3"/>
  <c r="J347" i="3" s="1"/>
  <c r="I399" i="3"/>
  <c r="J399" i="3" s="1"/>
  <c r="I407" i="3"/>
  <c r="J407" i="3" s="1"/>
  <c r="I438" i="3"/>
  <c r="J438" i="3" s="1"/>
  <c r="I510" i="3"/>
  <c r="J510" i="3" s="1"/>
  <c r="I519" i="3"/>
  <c r="J519" i="3" s="1"/>
  <c r="I564" i="3"/>
  <c r="J564" i="3" s="1"/>
  <c r="I616" i="3"/>
  <c r="J616" i="3" s="1"/>
  <c r="I628" i="3"/>
  <c r="J628" i="3" s="1"/>
  <c r="I818" i="3"/>
  <c r="J818" i="3" s="1"/>
  <c r="I825" i="3"/>
  <c r="J825" i="3" s="1"/>
  <c r="I827" i="3"/>
  <c r="J827" i="3" s="1"/>
  <c r="I859" i="3"/>
  <c r="J859" i="3" s="1"/>
  <c r="I968" i="3"/>
  <c r="J968" i="3" s="1"/>
  <c r="I1023" i="3"/>
  <c r="J1023" i="3" s="1"/>
  <c r="I1098" i="3"/>
  <c r="J1098" i="3" s="1"/>
  <c r="I1127" i="3"/>
  <c r="J1127" i="3" s="1"/>
  <c r="I1146" i="3"/>
  <c r="J1146" i="3" s="1"/>
  <c r="I1154" i="3"/>
  <c r="J1154" i="3" s="1"/>
  <c r="I1210" i="3"/>
  <c r="J1210" i="3" s="1"/>
  <c r="I1220" i="3"/>
  <c r="J1220" i="3" s="1"/>
  <c r="I1231" i="3"/>
  <c r="J1231" i="3" s="1"/>
  <c r="I1234" i="3"/>
  <c r="J1234" i="3" s="1"/>
  <c r="I1284" i="3"/>
  <c r="J1284" i="3" s="1"/>
  <c r="I1395" i="3"/>
  <c r="J1395" i="3" s="1"/>
  <c r="I1431" i="3"/>
  <c r="J1431" i="3" s="1"/>
  <c r="I1451" i="3"/>
  <c r="J1451" i="3" s="1"/>
  <c r="I1538" i="3"/>
  <c r="J1538" i="3" s="1"/>
  <c r="I1594" i="3"/>
  <c r="J1594" i="3" s="1"/>
  <c r="I1605" i="3"/>
  <c r="J1605" i="3" s="1"/>
  <c r="I1641" i="3"/>
  <c r="J1641" i="3" s="1"/>
  <c r="I1654" i="3"/>
  <c r="J1654" i="3" s="1"/>
  <c r="I1657" i="3"/>
  <c r="J1657" i="3" s="1"/>
  <c r="I1659" i="3"/>
  <c r="J1659" i="3" s="1"/>
  <c r="I1674" i="3"/>
  <c r="J1674" i="3" s="1"/>
  <c r="I1680" i="3"/>
  <c r="J1680" i="3" s="1"/>
  <c r="I1734" i="3"/>
  <c r="J1734" i="3" s="1"/>
  <c r="I1781" i="3"/>
  <c r="J1781" i="3" s="1"/>
  <c r="I1799" i="3"/>
  <c r="J1799" i="3" s="1"/>
  <c r="I1812" i="3"/>
  <c r="J1812" i="3" s="1"/>
  <c r="I1835" i="3"/>
  <c r="J1835" i="3" s="1"/>
  <c r="I1871" i="3"/>
  <c r="J1871" i="3" s="1"/>
  <c r="I1897" i="3"/>
  <c r="J1897" i="3" s="1"/>
  <c r="I1976" i="3"/>
  <c r="J1976" i="3" s="1"/>
  <c r="I1978" i="3"/>
  <c r="J1978" i="3" s="1"/>
  <c r="I2002" i="3"/>
  <c r="J2002" i="3" s="1"/>
  <c r="I2045" i="3"/>
  <c r="J2045" i="3" s="1"/>
  <c r="I2106" i="3"/>
  <c r="J2106" i="3" s="1"/>
  <c r="I2140" i="3"/>
  <c r="J2140" i="3" s="1"/>
  <c r="I2203" i="3"/>
  <c r="J2203" i="3" s="1"/>
  <c r="I2218" i="3"/>
  <c r="J2218" i="3" s="1"/>
  <c r="I2232" i="3"/>
  <c r="J2232" i="3" s="1"/>
  <c r="I2264" i="3"/>
  <c r="J2264" i="3" s="1"/>
  <c r="I2269" i="3"/>
  <c r="J2269" i="3" s="1"/>
  <c r="I2305" i="3"/>
  <c r="J2305" i="3" s="1"/>
  <c r="I2338" i="3"/>
  <c r="J2338" i="3" s="1"/>
  <c r="I2364" i="3"/>
  <c r="J2364" i="3" s="1"/>
  <c r="I2383" i="3"/>
  <c r="J2383" i="3" s="1"/>
  <c r="I2501" i="3"/>
  <c r="J2501" i="3" s="1"/>
  <c r="I2520" i="3"/>
  <c r="J2520" i="3" s="1"/>
  <c r="I2600" i="3"/>
  <c r="J2600" i="3" s="1"/>
  <c r="I2630" i="3"/>
  <c r="J2630" i="3" s="1"/>
  <c r="I2635" i="3"/>
  <c r="J2635" i="3" s="1"/>
  <c r="I2741" i="3"/>
  <c r="J2741" i="3" s="1"/>
  <c r="I2807" i="3"/>
  <c r="J2807" i="3" s="1"/>
  <c r="I2884" i="3"/>
  <c r="J2884" i="3" s="1"/>
  <c r="I2907" i="3"/>
  <c r="J2907" i="3" s="1"/>
  <c r="I2914" i="3"/>
  <c r="J2914" i="3" s="1"/>
  <c r="I2975" i="3"/>
  <c r="J2975" i="3" s="1"/>
  <c r="I3042" i="3"/>
  <c r="J3042" i="3" s="1"/>
  <c r="I3114" i="3"/>
  <c r="J3114" i="3" s="1"/>
  <c r="I3130" i="3"/>
  <c r="J3130" i="3" s="1"/>
  <c r="I3144" i="3"/>
  <c r="J3144" i="3" s="1"/>
  <c r="I3171" i="3"/>
  <c r="J3171" i="3" s="1"/>
  <c r="I3184" i="3"/>
  <c r="J3184" i="3" s="1"/>
  <c r="I3190" i="3"/>
  <c r="J3190" i="3" s="1"/>
  <c r="I3218" i="3"/>
  <c r="J3218" i="3" s="1"/>
  <c r="I3231" i="3"/>
  <c r="J3231" i="3" s="1"/>
  <c r="I3239" i="3"/>
  <c r="J3239" i="3" s="1"/>
  <c r="I3276" i="3"/>
  <c r="J3276" i="3" s="1"/>
  <c r="I3345" i="3"/>
  <c r="J3345" i="3" s="1"/>
  <c r="I3361" i="3"/>
  <c r="J3361" i="3" s="1"/>
  <c r="I3401" i="3"/>
  <c r="J3401" i="3" s="1"/>
  <c r="I3411" i="3"/>
  <c r="J3411" i="3" s="1"/>
  <c r="I3500" i="3"/>
  <c r="J3500" i="3" s="1"/>
  <c r="I3546" i="3"/>
  <c r="J3546" i="3" s="1"/>
  <c r="I3562" i="3"/>
  <c r="J3562" i="3" s="1"/>
  <c r="I3572" i="3"/>
  <c r="J3572" i="3" s="1"/>
  <c r="I3612" i="3"/>
  <c r="J3612" i="3" s="1"/>
  <c r="I3627" i="3"/>
  <c r="J3627" i="3" s="1"/>
  <c r="I3632" i="3"/>
  <c r="J3632" i="3" s="1"/>
  <c r="I3721" i="3"/>
  <c r="J3721" i="3" s="1"/>
  <c r="I3731" i="3"/>
  <c r="J3731" i="3" s="1"/>
  <c r="I3746" i="3"/>
  <c r="J3746" i="3" s="1"/>
  <c r="I3754" i="3"/>
  <c r="J3754" i="3" s="1"/>
  <c r="I3774" i="3"/>
  <c r="J3774" i="3" s="1"/>
  <c r="I3877" i="3"/>
  <c r="J3877" i="3" s="1"/>
  <c r="I3879" i="3"/>
  <c r="J3879" i="3" s="1"/>
  <c r="I3949" i="3"/>
  <c r="J3949" i="3" s="1"/>
  <c r="I3989" i="3"/>
  <c r="J3989" i="3" s="1"/>
  <c r="I3990" i="3"/>
  <c r="J3990" i="3" s="1"/>
  <c r="I3992" i="3"/>
  <c r="J3992" i="3" s="1"/>
  <c r="I4001" i="3"/>
  <c r="J4001" i="3" s="1"/>
  <c r="I4002" i="3"/>
  <c r="J4002" i="3" s="1"/>
  <c r="I4014" i="3"/>
  <c r="J4014" i="3" s="1"/>
  <c r="I4029" i="3"/>
  <c r="J4029" i="3" s="1"/>
  <c r="I4048" i="3"/>
  <c r="J4048" i="3" s="1"/>
  <c r="I4173" i="3"/>
  <c r="J4173" i="3" s="1"/>
  <c r="I4185" i="3"/>
  <c r="J4185" i="3" s="1"/>
  <c r="I4350" i="3"/>
  <c r="J4350" i="3" s="1"/>
  <c r="I4359" i="3"/>
  <c r="J4359" i="3" s="1"/>
  <c r="I4362" i="3"/>
  <c r="J4362" i="3" s="1"/>
  <c r="I4367" i="3"/>
  <c r="J4367" i="3" s="1"/>
  <c r="I4399" i="3"/>
  <c r="J4399" i="3" s="1"/>
  <c r="I4400" i="3"/>
  <c r="J4400" i="3" s="1"/>
  <c r="I4424" i="3"/>
  <c r="J4424" i="3" s="1"/>
  <c r="I4438" i="3"/>
  <c r="J4438" i="3" s="1"/>
  <c r="I4446" i="3"/>
  <c r="J4446" i="3" s="1"/>
  <c r="I4467" i="3"/>
  <c r="J4467" i="3" s="1"/>
  <c r="I4474" i="3"/>
  <c r="J4474" i="3" s="1"/>
  <c r="I4480" i="3"/>
  <c r="J4480" i="3" s="1"/>
  <c r="I4483" i="3"/>
  <c r="J4483" i="3" s="1"/>
  <c r="I4485" i="3"/>
  <c r="J4485" i="3" s="1"/>
  <c r="I4487" i="3"/>
  <c r="J4487" i="3" s="1"/>
  <c r="I4504" i="3"/>
  <c r="J4504" i="3" s="1"/>
  <c r="I4509" i="3"/>
  <c r="J4509" i="3" s="1"/>
  <c r="I4512" i="3"/>
  <c r="J4512" i="3" s="1"/>
  <c r="I4515" i="3"/>
  <c r="J4515" i="3" s="1"/>
  <c r="I4523" i="3"/>
  <c r="J4523" i="3" s="1"/>
  <c r="I4533" i="3"/>
  <c r="J4533" i="3" s="1"/>
  <c r="I4535" i="3"/>
  <c r="J4535" i="3" s="1"/>
  <c r="I4552" i="3"/>
  <c r="J4552" i="3" s="1"/>
  <c r="I4592" i="3"/>
  <c r="J4592" i="3" s="1"/>
  <c r="I4594" i="3"/>
  <c r="J4594" i="3" s="1"/>
  <c r="I4644" i="3"/>
  <c r="J4644" i="3" s="1"/>
  <c r="I4654" i="3"/>
  <c r="J4654" i="3" s="1"/>
  <c r="I4657" i="3"/>
  <c r="J4657" i="3" s="1"/>
  <c r="I4768" i="3"/>
  <c r="J4768" i="3" s="1"/>
  <c r="I4818" i="3"/>
  <c r="J4818" i="3" s="1"/>
  <c r="I78" i="3"/>
  <c r="J78" i="3" s="1"/>
  <c r="I242" i="3"/>
  <c r="J242" i="3" s="1"/>
  <c r="I265" i="3"/>
  <c r="J265" i="3" s="1"/>
  <c r="I277" i="3"/>
  <c r="J277" i="3" s="1"/>
  <c r="I279" i="3"/>
  <c r="J279" i="3" s="1"/>
  <c r="I292" i="3"/>
  <c r="J292" i="3" s="1"/>
  <c r="I297" i="3"/>
  <c r="J297" i="3" s="1"/>
  <c r="I363" i="3"/>
  <c r="J363" i="3" s="1"/>
  <c r="I443" i="3"/>
  <c r="J443" i="3" s="1"/>
  <c r="I445" i="3"/>
  <c r="J445" i="3" s="1"/>
  <c r="I450" i="3"/>
  <c r="J450" i="3" s="1"/>
  <c r="I468" i="3"/>
  <c r="J468" i="3" s="1"/>
  <c r="I582" i="3"/>
  <c r="J582" i="3" s="1"/>
  <c r="I597" i="3"/>
  <c r="J597" i="3" s="1"/>
  <c r="I609" i="3"/>
  <c r="J609" i="3" s="1"/>
  <c r="I631" i="3"/>
  <c r="J631" i="3" s="1"/>
  <c r="I632" i="3"/>
  <c r="J632" i="3" s="1"/>
  <c r="I642" i="3"/>
  <c r="J642" i="3" s="1"/>
  <c r="I648" i="3"/>
  <c r="J648" i="3" s="1"/>
  <c r="I709" i="3"/>
  <c r="J709" i="3" s="1"/>
  <c r="I762" i="3"/>
  <c r="J762" i="3" s="1"/>
  <c r="I782" i="3"/>
  <c r="J782" i="3" s="1"/>
  <c r="I784" i="3"/>
  <c r="J784" i="3" s="1"/>
  <c r="I833" i="3"/>
  <c r="J833" i="3" s="1"/>
  <c r="I837" i="3"/>
  <c r="J837" i="3" s="1"/>
  <c r="I844" i="3"/>
  <c r="J844" i="3" s="1"/>
  <c r="I932" i="3"/>
  <c r="J932" i="3" s="1"/>
  <c r="I937" i="3"/>
  <c r="J937" i="3" s="1"/>
  <c r="I1007" i="3"/>
  <c r="J1007" i="3" s="1"/>
  <c r="I1030" i="3"/>
  <c r="J1030" i="3" s="1"/>
  <c r="I1035" i="3"/>
  <c r="J1035" i="3" s="1"/>
  <c r="I1043" i="3"/>
  <c r="J1043" i="3" s="1"/>
  <c r="I1077" i="3"/>
  <c r="J1077" i="3" s="1"/>
  <c r="I1088" i="3"/>
  <c r="J1088" i="3" s="1"/>
  <c r="I1175" i="3"/>
  <c r="J1175" i="3" s="1"/>
  <c r="I1202" i="3"/>
  <c r="J1202" i="3" s="1"/>
  <c r="I1254" i="3"/>
  <c r="J1254" i="3" s="1"/>
  <c r="I1266" i="3"/>
  <c r="J1266" i="3" s="1"/>
  <c r="I1282" i="3"/>
  <c r="J1282" i="3" s="1"/>
  <c r="I1412" i="3"/>
  <c r="J1412" i="3" s="1"/>
  <c r="I1427" i="3"/>
  <c r="J1427" i="3" s="1"/>
  <c r="I1439" i="3"/>
  <c r="J1439" i="3" s="1"/>
  <c r="I1457" i="3"/>
  <c r="J1457" i="3" s="1"/>
  <c r="I1462" i="3"/>
  <c r="J1462" i="3" s="1"/>
  <c r="I1477" i="3"/>
  <c r="J1477" i="3" s="1"/>
  <c r="I1500" i="3"/>
  <c r="J1500" i="3" s="1"/>
  <c r="I1518" i="3"/>
  <c r="J1518" i="3" s="1"/>
  <c r="I1520" i="3"/>
  <c r="J1520" i="3" s="1"/>
  <c r="I1531" i="3"/>
  <c r="J1531" i="3" s="1"/>
  <c r="I1550" i="3"/>
  <c r="J1550" i="3" s="1"/>
  <c r="I1560" i="3"/>
  <c r="J1560" i="3" s="1"/>
  <c r="I1635" i="3"/>
  <c r="J1635" i="3" s="1"/>
  <c r="I1681" i="3"/>
  <c r="J1681" i="3" s="1"/>
  <c r="I1695" i="3"/>
  <c r="J1695" i="3" s="1"/>
  <c r="I1730" i="3"/>
  <c r="J1730" i="3" s="1"/>
  <c r="I1772" i="3"/>
  <c r="J1772" i="3" s="1"/>
  <c r="I1802" i="3"/>
  <c r="J1802" i="3" s="1"/>
  <c r="I1807" i="3"/>
  <c r="J1807" i="3" s="1"/>
  <c r="I1821" i="3"/>
  <c r="J1821" i="3" s="1"/>
  <c r="I1851" i="3"/>
  <c r="J1851" i="3" s="1"/>
  <c r="I1856" i="3"/>
  <c r="J1856" i="3" s="1"/>
  <c r="I1857" i="3"/>
  <c r="J1857" i="3" s="1"/>
  <c r="I1872" i="3"/>
  <c r="J1872" i="3" s="1"/>
  <c r="I1876" i="3"/>
  <c r="J1876" i="3" s="1"/>
  <c r="I1899" i="3"/>
  <c r="J1899" i="3" s="1"/>
  <c r="I1924" i="3"/>
  <c r="J1924" i="3" s="1"/>
  <c r="I1953" i="3"/>
  <c r="J1953" i="3" s="1"/>
  <c r="I1995" i="3"/>
  <c r="J1995" i="3" s="1"/>
  <c r="I2004" i="3"/>
  <c r="J2004" i="3" s="1"/>
  <c r="I2039" i="3"/>
  <c r="J2039" i="3" s="1"/>
  <c r="I2062" i="3"/>
  <c r="J2062" i="3" s="1"/>
  <c r="I2066" i="3"/>
  <c r="J2066" i="3" s="1"/>
  <c r="I2088" i="3"/>
  <c r="J2088" i="3" s="1"/>
  <c r="I2115" i="3"/>
  <c r="J2115" i="3" s="1"/>
  <c r="I2130" i="3"/>
  <c r="J2130" i="3" s="1"/>
  <c r="I2190" i="3"/>
  <c r="J2190" i="3" s="1"/>
  <c r="I2199" i="3"/>
  <c r="J2199" i="3" s="1"/>
  <c r="I2235" i="3"/>
  <c r="J2235" i="3" s="1"/>
  <c r="I2241" i="3"/>
  <c r="J2241" i="3" s="1"/>
  <c r="I2253" i="3"/>
  <c r="J2253" i="3" s="1"/>
  <c r="I2322" i="3"/>
  <c r="J2322" i="3" s="1"/>
  <c r="I2327" i="3"/>
  <c r="J2327" i="3" s="1"/>
  <c r="I2334" i="3"/>
  <c r="J2334" i="3" s="1"/>
  <c r="I2337" i="3"/>
  <c r="J2337" i="3" s="1"/>
  <c r="I2348" i="3"/>
  <c r="J2348" i="3" s="1"/>
  <c r="I2374" i="3"/>
  <c r="J2374" i="3" s="1"/>
  <c r="I2402" i="3"/>
  <c r="J2402" i="3" s="1"/>
  <c r="I2456" i="3"/>
  <c r="J2456" i="3" s="1"/>
  <c r="I2557" i="3"/>
  <c r="J2557" i="3" s="1"/>
  <c r="I2570" i="3"/>
  <c r="J2570" i="3" s="1"/>
  <c r="I2599" i="3"/>
  <c r="J2599" i="3" s="1"/>
  <c r="I2706" i="3"/>
  <c r="J2706" i="3" s="1"/>
  <c r="I2714" i="3"/>
  <c r="J2714" i="3" s="1"/>
  <c r="I2833" i="3"/>
  <c r="J2833" i="3" s="1"/>
  <c r="I2845" i="3"/>
  <c r="J2845" i="3" s="1"/>
  <c r="I2852" i="3"/>
  <c r="J2852" i="3" s="1"/>
  <c r="I2944" i="3"/>
  <c r="J2944" i="3" s="1"/>
  <c r="I3001" i="3"/>
  <c r="J3001" i="3" s="1"/>
  <c r="I3030" i="3"/>
  <c r="J3030" i="3" s="1"/>
  <c r="I3046" i="3"/>
  <c r="J3046" i="3" s="1"/>
  <c r="I3053" i="3"/>
  <c r="J3053" i="3" s="1"/>
  <c r="I3098" i="3"/>
  <c r="J3098" i="3" s="1"/>
  <c r="I3194" i="3"/>
  <c r="J3194" i="3" s="1"/>
  <c r="I3205" i="3"/>
  <c r="J3205" i="3" s="1"/>
  <c r="I3206" i="3"/>
  <c r="J3206" i="3" s="1"/>
  <c r="I3253" i="3"/>
  <c r="J3253" i="3" s="1"/>
  <c r="I3264" i="3"/>
  <c r="J3264" i="3" s="1"/>
  <c r="I3291" i="3"/>
  <c r="J3291" i="3" s="1"/>
  <c r="I3316" i="3"/>
  <c r="J3316" i="3" s="1"/>
  <c r="I3328" i="3"/>
  <c r="J3328" i="3" s="1"/>
  <c r="I3334" i="3"/>
  <c r="J3334" i="3" s="1"/>
  <c r="I3343" i="3"/>
  <c r="J3343" i="3" s="1"/>
  <c r="I3373" i="3"/>
  <c r="J3373" i="3" s="1"/>
  <c r="I3396" i="3"/>
  <c r="J3396" i="3" s="1"/>
  <c r="I3418" i="3"/>
  <c r="J3418" i="3" s="1"/>
  <c r="I3458" i="3"/>
  <c r="J3458" i="3" s="1"/>
  <c r="I3483" i="3"/>
  <c r="J3483" i="3" s="1"/>
  <c r="I3496" i="3"/>
  <c r="J3496" i="3" s="1"/>
  <c r="I3515" i="3"/>
  <c r="J3515" i="3" s="1"/>
  <c r="I3540" i="3"/>
  <c r="J3540" i="3" s="1"/>
  <c r="I3690" i="3"/>
  <c r="J3690" i="3" s="1"/>
  <c r="I3705" i="3"/>
  <c r="J3705" i="3" s="1"/>
  <c r="I3707" i="3"/>
  <c r="J3707" i="3" s="1"/>
  <c r="I3734" i="3"/>
  <c r="J3734" i="3" s="1"/>
  <c r="I3743" i="3"/>
  <c r="J3743" i="3" s="1"/>
  <c r="I3771" i="3"/>
  <c r="J3771" i="3" s="1"/>
  <c r="I3777" i="3"/>
  <c r="J3777" i="3" s="1"/>
  <c r="I3844" i="3"/>
  <c r="J3844" i="3" s="1"/>
  <c r="I3875" i="3"/>
  <c r="J3875" i="3" s="1"/>
  <c r="I3891" i="3"/>
  <c r="J3891" i="3" s="1"/>
  <c r="I3945" i="3"/>
  <c r="J3945" i="3" s="1"/>
  <c r="I3974" i="3"/>
  <c r="J3974" i="3" s="1"/>
  <c r="I4020" i="3"/>
  <c r="J4020" i="3" s="1"/>
  <c r="I4036" i="3"/>
  <c r="J4036" i="3" s="1"/>
  <c r="I4078" i="3"/>
  <c r="J4078" i="3" s="1"/>
  <c r="I4110" i="3"/>
  <c r="J4110" i="3" s="1"/>
  <c r="I4155" i="3"/>
  <c r="J4155" i="3" s="1"/>
  <c r="I4174" i="3"/>
  <c r="J4174" i="3" s="1"/>
  <c r="I4240" i="3"/>
  <c r="J4240" i="3" s="1"/>
  <c r="I4256" i="3"/>
  <c r="J4256" i="3" s="1"/>
  <c r="I4257" i="3"/>
  <c r="J4257" i="3" s="1"/>
  <c r="I4267" i="3"/>
  <c r="J4267" i="3" s="1"/>
  <c r="I4285" i="3"/>
  <c r="J4285" i="3" s="1"/>
  <c r="I4296" i="3"/>
  <c r="J4296" i="3" s="1"/>
  <c r="I4349" i="3"/>
  <c r="J4349" i="3" s="1"/>
  <c r="I4368" i="3"/>
  <c r="J4368" i="3" s="1"/>
  <c r="I4373" i="3"/>
  <c r="J4373" i="3" s="1"/>
  <c r="I4382" i="3"/>
  <c r="J4382" i="3" s="1"/>
  <c r="I4394" i="3"/>
  <c r="J4394" i="3" s="1"/>
  <c r="I4491" i="3"/>
  <c r="J4491" i="3" s="1"/>
  <c r="I4519" i="3"/>
  <c r="J4519" i="3" s="1"/>
  <c r="I4522" i="3"/>
  <c r="J4522" i="3" s="1"/>
  <c r="I4550" i="3"/>
  <c r="J4550" i="3" s="1"/>
  <c r="I4575" i="3"/>
  <c r="J4575" i="3" s="1"/>
  <c r="I4581" i="3"/>
  <c r="J4581" i="3" s="1"/>
  <c r="I4676" i="3"/>
  <c r="J4676" i="3" s="1"/>
  <c r="I4694" i="3"/>
  <c r="J4694" i="3" s="1"/>
  <c r="I4734" i="3"/>
  <c r="J4734" i="3" s="1"/>
  <c r="I4816" i="3"/>
  <c r="J4816" i="3" s="1"/>
  <c r="I4821" i="3"/>
  <c r="J4821" i="3" s="1"/>
  <c r="I4823" i="3"/>
  <c r="J4823" i="3" s="1"/>
  <c r="I28" i="3"/>
  <c r="J28" i="3" s="1"/>
  <c r="I46" i="3"/>
  <c r="J46" i="3" s="1"/>
  <c r="I71" i="3"/>
  <c r="J71" i="3" s="1"/>
  <c r="I80" i="3"/>
  <c r="J80" i="3" s="1"/>
  <c r="I150" i="3"/>
  <c r="J150" i="3" s="1"/>
  <c r="I194" i="3"/>
  <c r="J194" i="3" s="1"/>
  <c r="I199" i="3"/>
  <c r="J199" i="3" s="1"/>
  <c r="I245" i="3"/>
  <c r="J245" i="3" s="1"/>
  <c r="I253" i="3"/>
  <c r="J253" i="3" s="1"/>
  <c r="I256" i="3"/>
  <c r="J256" i="3" s="1"/>
  <c r="I276" i="3"/>
  <c r="J276" i="3" s="1"/>
  <c r="I313" i="3"/>
  <c r="J313" i="3" s="1"/>
  <c r="I339" i="3"/>
  <c r="J339" i="3" s="1"/>
  <c r="I355" i="3"/>
  <c r="J355" i="3" s="1"/>
  <c r="I372" i="3"/>
  <c r="J372" i="3" s="1"/>
  <c r="I376" i="3"/>
  <c r="J376" i="3" s="1"/>
  <c r="I446" i="3"/>
  <c r="J446" i="3" s="1"/>
  <c r="I452" i="3"/>
  <c r="J452" i="3" s="1"/>
  <c r="I504" i="3"/>
  <c r="J504" i="3" s="1"/>
  <c r="I539" i="3"/>
  <c r="J539" i="3" s="1"/>
  <c r="I545" i="3"/>
  <c r="J545" i="3" s="1"/>
  <c r="I561" i="3"/>
  <c r="J561" i="3" s="1"/>
  <c r="I592" i="3"/>
  <c r="J592" i="3" s="1"/>
  <c r="I602" i="3"/>
  <c r="J602" i="3" s="1"/>
  <c r="I623" i="3"/>
  <c r="J623" i="3" s="1"/>
  <c r="I684" i="3"/>
  <c r="J684" i="3" s="1"/>
  <c r="I704" i="3"/>
  <c r="J704" i="3" s="1"/>
  <c r="I713" i="3"/>
  <c r="J713" i="3" s="1"/>
  <c r="I723" i="3"/>
  <c r="J723" i="3" s="1"/>
  <c r="I790" i="3"/>
  <c r="J790" i="3" s="1"/>
  <c r="I815" i="3"/>
  <c r="J815" i="3" s="1"/>
  <c r="I850" i="3"/>
  <c r="J850" i="3" s="1"/>
  <c r="I861" i="3"/>
  <c r="J861" i="3" s="1"/>
  <c r="I939" i="3"/>
  <c r="J939" i="3" s="1"/>
  <c r="I987" i="3"/>
  <c r="J987" i="3" s="1"/>
  <c r="I1000" i="3"/>
  <c r="J1000" i="3" s="1"/>
  <c r="I1051" i="3"/>
  <c r="J1051" i="3" s="1"/>
  <c r="I1097" i="3"/>
  <c r="J1097" i="3" s="1"/>
  <c r="I1106" i="3"/>
  <c r="J1106" i="3" s="1"/>
  <c r="I1112" i="3"/>
  <c r="J1112" i="3" s="1"/>
  <c r="I1178" i="3"/>
  <c r="J1178" i="3" s="1"/>
  <c r="I1267" i="3"/>
  <c r="J1267" i="3" s="1"/>
  <c r="I1279" i="3"/>
  <c r="J1279" i="3" s="1"/>
  <c r="I1359" i="3"/>
  <c r="J1359" i="3" s="1"/>
  <c r="I1375" i="3"/>
  <c r="J1375" i="3" s="1"/>
  <c r="I1393" i="3"/>
  <c r="J1393" i="3" s="1"/>
  <c r="I1394" i="3"/>
  <c r="J1394" i="3" s="1"/>
  <c r="I1453" i="3"/>
  <c r="J1453" i="3" s="1"/>
  <c r="I1454" i="3"/>
  <c r="J1454" i="3" s="1"/>
  <c r="I1513" i="3"/>
  <c r="J1513" i="3" s="1"/>
  <c r="I1535" i="3"/>
  <c r="J1535" i="3" s="1"/>
  <c r="I1557" i="3"/>
  <c r="J1557" i="3" s="1"/>
  <c r="I1564" i="3"/>
  <c r="J1564" i="3" s="1"/>
  <c r="I1571" i="3"/>
  <c r="J1571" i="3" s="1"/>
  <c r="I1577" i="3"/>
  <c r="J1577" i="3" s="1"/>
  <c r="I1599" i="3"/>
  <c r="J1599" i="3" s="1"/>
  <c r="I1691" i="3"/>
  <c r="J1691" i="3" s="1"/>
  <c r="I1698" i="3"/>
  <c r="J1698" i="3" s="1"/>
  <c r="I1738" i="3"/>
  <c r="J1738" i="3" s="1"/>
  <c r="I1740" i="3"/>
  <c r="J1740" i="3" s="1"/>
  <c r="I1845" i="3"/>
  <c r="J1845" i="3" s="1"/>
  <c r="I1925" i="3"/>
  <c r="J1925" i="3" s="1"/>
  <c r="I1936" i="3"/>
  <c r="J1936" i="3" s="1"/>
  <c r="I1967" i="3"/>
  <c r="J1967" i="3" s="1"/>
  <c r="I2013" i="3"/>
  <c r="J2013" i="3" s="1"/>
  <c r="I2030" i="3"/>
  <c r="J2030" i="3" s="1"/>
  <c r="I2040" i="3"/>
  <c r="J2040" i="3" s="1"/>
  <c r="I2044" i="3"/>
  <c r="J2044" i="3" s="1"/>
  <c r="I2064" i="3"/>
  <c r="J2064" i="3" s="1"/>
  <c r="I2082" i="3"/>
  <c r="J2082" i="3" s="1"/>
  <c r="I2093" i="3"/>
  <c r="J2093" i="3" s="1"/>
  <c r="I2126" i="3"/>
  <c r="J2126" i="3" s="1"/>
  <c r="I2136" i="3"/>
  <c r="J2136" i="3" s="1"/>
  <c r="I2144" i="3"/>
  <c r="J2144" i="3" s="1"/>
  <c r="I2149" i="3"/>
  <c r="J2149" i="3" s="1"/>
  <c r="I2194" i="3"/>
  <c r="J2194" i="3" s="1"/>
  <c r="I2266" i="3"/>
  <c r="J2266" i="3" s="1"/>
  <c r="I2273" i="3"/>
  <c r="J2273" i="3" s="1"/>
  <c r="I2319" i="3"/>
  <c r="J2319" i="3" s="1"/>
  <c r="I2346" i="3"/>
  <c r="J2346" i="3" s="1"/>
  <c r="I2356" i="3"/>
  <c r="J2356" i="3" s="1"/>
  <c r="I2376" i="3"/>
  <c r="J2376" i="3" s="1"/>
  <c r="I2380" i="3"/>
  <c r="J2380" i="3" s="1"/>
  <c r="I2470" i="3"/>
  <c r="J2470" i="3" s="1"/>
  <c r="I2525" i="3"/>
  <c r="J2525" i="3" s="1"/>
  <c r="I2532" i="3"/>
  <c r="J2532" i="3" s="1"/>
  <c r="I2674" i="3"/>
  <c r="J2674" i="3" s="1"/>
  <c r="I2677" i="3"/>
  <c r="J2677" i="3" s="1"/>
  <c r="I2703" i="3"/>
  <c r="J2703" i="3" s="1"/>
  <c r="I2742" i="3"/>
  <c r="J2742" i="3" s="1"/>
  <c r="I2757" i="3"/>
  <c r="J2757" i="3" s="1"/>
  <c r="I2767" i="3"/>
  <c r="J2767" i="3" s="1"/>
  <c r="I2768" i="3"/>
  <c r="J2768" i="3" s="1"/>
  <c r="I2870" i="3"/>
  <c r="J2870" i="3" s="1"/>
  <c r="I2883" i="3"/>
  <c r="J2883" i="3" s="1"/>
  <c r="I2903" i="3"/>
  <c r="J2903" i="3" s="1"/>
  <c r="I2926" i="3"/>
  <c r="J2926" i="3" s="1"/>
  <c r="I2934" i="3"/>
  <c r="J2934" i="3" s="1"/>
  <c r="I3092" i="3"/>
  <c r="J3092" i="3" s="1"/>
  <c r="I3137" i="3"/>
  <c r="J3137" i="3" s="1"/>
  <c r="I3165" i="3"/>
  <c r="J3165" i="3" s="1"/>
  <c r="I3183" i="3"/>
  <c r="J3183" i="3" s="1"/>
  <c r="I3202" i="3"/>
  <c r="J3202" i="3" s="1"/>
  <c r="I3221" i="3"/>
  <c r="J3221" i="3" s="1"/>
  <c r="I3250" i="3"/>
  <c r="J3250" i="3" s="1"/>
  <c r="I3298" i="3"/>
  <c r="J3298" i="3" s="1"/>
  <c r="I3312" i="3"/>
  <c r="J3312" i="3" s="1"/>
  <c r="I3330" i="3"/>
  <c r="J3330" i="3" s="1"/>
  <c r="I3369" i="3"/>
  <c r="J3369" i="3" s="1"/>
  <c r="I3412" i="3"/>
  <c r="J3412" i="3" s="1"/>
  <c r="I3430" i="3"/>
  <c r="J3430" i="3" s="1"/>
  <c r="I3476" i="3"/>
  <c r="J3476" i="3" s="1"/>
  <c r="I3477" i="3"/>
  <c r="J3477" i="3" s="1"/>
  <c r="I3492" i="3"/>
  <c r="J3492" i="3" s="1"/>
  <c r="I3538" i="3"/>
  <c r="J3538" i="3" s="1"/>
  <c r="I3574" i="3"/>
  <c r="J3574" i="3" s="1"/>
  <c r="I3606" i="3"/>
  <c r="J3606" i="3" s="1"/>
  <c r="I3607" i="3"/>
  <c r="J3607" i="3" s="1"/>
  <c r="I3611" i="3"/>
  <c r="J3611" i="3" s="1"/>
  <c r="I3640" i="3"/>
  <c r="J3640" i="3" s="1"/>
  <c r="I3686" i="3"/>
  <c r="J3686" i="3" s="1"/>
  <c r="I3708" i="3"/>
  <c r="J3708" i="3" s="1"/>
  <c r="I3752" i="3"/>
  <c r="J3752" i="3" s="1"/>
  <c r="I3753" i="3"/>
  <c r="J3753" i="3" s="1"/>
  <c r="I3767" i="3"/>
  <c r="J3767" i="3" s="1"/>
  <c r="I3781" i="3"/>
  <c r="J3781" i="3" s="1"/>
  <c r="I3785" i="3"/>
  <c r="J3785" i="3" s="1"/>
  <c r="I3786" i="3"/>
  <c r="J3786" i="3" s="1"/>
  <c r="I3888" i="3"/>
  <c r="J3888" i="3" s="1"/>
  <c r="I3984" i="3"/>
  <c r="J3984" i="3" s="1"/>
  <c r="I4031" i="3"/>
  <c r="J4031" i="3" s="1"/>
  <c r="I4093" i="3"/>
  <c r="J4093" i="3" s="1"/>
  <c r="I4123" i="3"/>
  <c r="J4123" i="3" s="1"/>
  <c r="I4131" i="3"/>
  <c r="J4131" i="3" s="1"/>
  <c r="I4186" i="3"/>
  <c r="J4186" i="3" s="1"/>
  <c r="I4212" i="3"/>
  <c r="J4212" i="3" s="1"/>
  <c r="I4233" i="3"/>
  <c r="J4233" i="3" s="1"/>
  <c r="I4243" i="3"/>
  <c r="J4243" i="3" s="1"/>
  <c r="I4268" i="3"/>
  <c r="J4268" i="3" s="1"/>
  <c r="I4275" i="3"/>
  <c r="J4275" i="3" s="1"/>
  <c r="I4279" i="3"/>
  <c r="J4279" i="3" s="1"/>
  <c r="I4316" i="3"/>
  <c r="J4316" i="3" s="1"/>
  <c r="I4328" i="3"/>
  <c r="J4328" i="3" s="1"/>
  <c r="I4332" i="3"/>
  <c r="J4332" i="3" s="1"/>
  <c r="I4337" i="3"/>
  <c r="J4337" i="3" s="1"/>
  <c r="I4347" i="3"/>
  <c r="J4347" i="3" s="1"/>
  <c r="I4348" i="3"/>
  <c r="J4348" i="3" s="1"/>
  <c r="I4355" i="3"/>
  <c r="J4355" i="3" s="1"/>
  <c r="I4358" i="3"/>
  <c r="J4358" i="3" s="1"/>
  <c r="I4387" i="3"/>
  <c r="J4387" i="3" s="1"/>
  <c r="I4414" i="3"/>
  <c r="J4414" i="3" s="1"/>
  <c r="I4434" i="3"/>
  <c r="J4434" i="3" s="1"/>
  <c r="I4456" i="3"/>
  <c r="J4456" i="3" s="1"/>
  <c r="I4459" i="3"/>
  <c r="J4459" i="3" s="1"/>
  <c r="I4502" i="3"/>
  <c r="J4502" i="3" s="1"/>
  <c r="I4524" i="3"/>
  <c r="J4524" i="3" s="1"/>
  <c r="I4548" i="3"/>
  <c r="J4548" i="3" s="1"/>
  <c r="I4551" i="3"/>
  <c r="J4551" i="3" s="1"/>
  <c r="I4614" i="3"/>
  <c r="J4614" i="3" s="1"/>
  <c r="I4623" i="3"/>
  <c r="J4623" i="3" s="1"/>
  <c r="I4674" i="3"/>
  <c r="J4674" i="3" s="1"/>
  <c r="I4723" i="3"/>
  <c r="J4723" i="3" s="1"/>
  <c r="I4755" i="3"/>
  <c r="J4755" i="3" s="1"/>
  <c r="I4770" i="3"/>
  <c r="J4770" i="3" s="1"/>
  <c r="I4785" i="3"/>
  <c r="J4785" i="3" s="1"/>
  <c r="I39" i="3"/>
  <c r="J39" i="3" s="1"/>
  <c r="I54" i="3"/>
  <c r="J54" i="3" s="1"/>
  <c r="I59" i="3"/>
  <c r="J59" i="3" s="1"/>
  <c r="I60" i="3"/>
  <c r="J60" i="3" s="1"/>
  <c r="I63" i="3"/>
  <c r="J63" i="3" s="1"/>
  <c r="I72" i="3"/>
  <c r="J72" i="3" s="1"/>
  <c r="I83" i="3"/>
  <c r="J83" i="3" s="1"/>
  <c r="I99" i="3"/>
  <c r="J99" i="3" s="1"/>
  <c r="I106" i="3"/>
  <c r="J106" i="3" s="1"/>
  <c r="I114" i="3"/>
  <c r="J114" i="3" s="1"/>
  <c r="I163" i="3"/>
  <c r="J163" i="3" s="1"/>
  <c r="I218" i="3"/>
  <c r="J218" i="3" s="1"/>
  <c r="I234" i="3"/>
  <c r="J234" i="3" s="1"/>
  <c r="I258" i="3"/>
  <c r="J258" i="3" s="1"/>
  <c r="I266" i="3"/>
  <c r="J266" i="3" s="1"/>
  <c r="I269" i="3"/>
  <c r="J269" i="3" s="1"/>
  <c r="I270" i="3"/>
  <c r="J270" i="3" s="1"/>
  <c r="I317" i="3"/>
  <c r="J317" i="3" s="1"/>
  <c r="I348" i="3"/>
  <c r="J348" i="3" s="1"/>
  <c r="I365" i="3"/>
  <c r="J365" i="3" s="1"/>
  <c r="I369" i="3"/>
  <c r="J369" i="3" s="1"/>
  <c r="I378" i="3"/>
  <c r="J378" i="3" s="1"/>
  <c r="I379" i="3"/>
  <c r="J379" i="3" s="1"/>
  <c r="I416" i="3"/>
  <c r="J416" i="3" s="1"/>
  <c r="I422" i="3"/>
  <c r="J422" i="3" s="1"/>
  <c r="I427" i="3"/>
  <c r="J427" i="3" s="1"/>
  <c r="I434" i="3"/>
  <c r="J434" i="3" s="1"/>
  <c r="I523" i="3"/>
  <c r="J523" i="3" s="1"/>
  <c r="I546" i="3"/>
  <c r="J546" i="3" s="1"/>
  <c r="I595" i="3"/>
  <c r="J595" i="3" s="1"/>
  <c r="I641" i="3"/>
  <c r="J641" i="3" s="1"/>
  <c r="I651" i="3"/>
  <c r="J651" i="3" s="1"/>
  <c r="I670" i="3"/>
  <c r="J670" i="3" s="1"/>
  <c r="I680" i="3"/>
  <c r="J680" i="3" s="1"/>
  <c r="I699" i="3"/>
  <c r="J699" i="3" s="1"/>
  <c r="I710" i="3"/>
  <c r="J710" i="3" s="1"/>
  <c r="I716" i="3"/>
  <c r="J716" i="3" s="1"/>
  <c r="I774" i="3"/>
  <c r="J774" i="3" s="1"/>
  <c r="I808" i="3"/>
  <c r="J808" i="3" s="1"/>
  <c r="I809" i="3"/>
  <c r="J809" i="3" s="1"/>
  <c r="I820" i="3"/>
  <c r="J820" i="3" s="1"/>
  <c r="I831" i="3"/>
  <c r="J831" i="3" s="1"/>
  <c r="I835" i="3"/>
  <c r="J835" i="3" s="1"/>
  <c r="I961" i="3"/>
  <c r="J961" i="3" s="1"/>
  <c r="I997" i="3"/>
  <c r="J997" i="3" s="1"/>
  <c r="I1032" i="3"/>
  <c r="J1032" i="3" s="1"/>
  <c r="I1047" i="3"/>
  <c r="J1047" i="3" s="1"/>
  <c r="I1065" i="3"/>
  <c r="J1065" i="3" s="1"/>
  <c r="I1161" i="3"/>
  <c r="J1161" i="3" s="1"/>
  <c r="I1182" i="3"/>
  <c r="J1182" i="3" s="1"/>
  <c r="I1278" i="3"/>
  <c r="J1278" i="3" s="1"/>
  <c r="I1356" i="3"/>
  <c r="J1356" i="3" s="1"/>
  <c r="I1380" i="3"/>
  <c r="J1380" i="3" s="1"/>
  <c r="I1430" i="3"/>
  <c r="J1430" i="3" s="1"/>
  <c r="I1536" i="3"/>
  <c r="J1536" i="3" s="1"/>
  <c r="I1581" i="3"/>
  <c r="J1581" i="3" s="1"/>
  <c r="I1608" i="3"/>
  <c r="J1608" i="3" s="1"/>
  <c r="I1627" i="3"/>
  <c r="J1627" i="3" s="1"/>
  <c r="I1690" i="3"/>
  <c r="J1690" i="3" s="1"/>
  <c r="I1703" i="3"/>
  <c r="J1703" i="3" s="1"/>
  <c r="I1704" i="3"/>
  <c r="J1704" i="3" s="1"/>
  <c r="I1735" i="3"/>
  <c r="J1735" i="3" s="1"/>
  <c r="I1788" i="3"/>
  <c r="J1788" i="3" s="1"/>
  <c r="I1789" i="3"/>
  <c r="J1789" i="3" s="1"/>
  <c r="I1792" i="3"/>
  <c r="J1792" i="3" s="1"/>
  <c r="I1804" i="3"/>
  <c r="J1804" i="3" s="1"/>
  <c r="I1850" i="3"/>
  <c r="J1850" i="3" s="1"/>
  <c r="I1860" i="3"/>
  <c r="J1860" i="3" s="1"/>
  <c r="I1901" i="3"/>
  <c r="J1901" i="3" s="1"/>
  <c r="I1932" i="3"/>
  <c r="J1932" i="3" s="1"/>
  <c r="I1949" i="3"/>
  <c r="J1949" i="3" s="1"/>
  <c r="I1964" i="3"/>
  <c r="J1964" i="3" s="1"/>
  <c r="I1981" i="3"/>
  <c r="J1981" i="3" s="1"/>
  <c r="I2005" i="3"/>
  <c r="J2005" i="3" s="1"/>
  <c r="I2014" i="3"/>
  <c r="J2014" i="3" s="1"/>
  <c r="I2021" i="3"/>
  <c r="J2021" i="3" s="1"/>
  <c r="I2059" i="3"/>
  <c r="J2059" i="3" s="1"/>
  <c r="I2076" i="3"/>
  <c r="J2076" i="3" s="1"/>
  <c r="I2079" i="3"/>
  <c r="J2079" i="3" s="1"/>
  <c r="I2084" i="3"/>
  <c r="J2084" i="3" s="1"/>
  <c r="I2086" i="3"/>
  <c r="J2086" i="3" s="1"/>
  <c r="I2143" i="3"/>
  <c r="J2143" i="3" s="1"/>
  <c r="I2214" i="3"/>
  <c r="J2214" i="3" s="1"/>
  <c r="I2243" i="3"/>
  <c r="J2243" i="3" s="1"/>
  <c r="I2272" i="3"/>
  <c r="J2272" i="3" s="1"/>
  <c r="I2277" i="3"/>
  <c r="J2277" i="3" s="1"/>
  <c r="I2286" i="3"/>
  <c r="J2286" i="3" s="1"/>
  <c r="I2342" i="3"/>
  <c r="J2342" i="3" s="1"/>
  <c r="I2351" i="3"/>
  <c r="J2351" i="3" s="1"/>
  <c r="I2359" i="3"/>
  <c r="J2359" i="3" s="1"/>
  <c r="I2361" i="3"/>
  <c r="J2361" i="3" s="1"/>
  <c r="I2382" i="3"/>
  <c r="J2382" i="3" s="1"/>
  <c r="I2411" i="3"/>
  <c r="J2411" i="3" s="1"/>
  <c r="I2421" i="3"/>
  <c r="J2421" i="3" s="1"/>
  <c r="I2429" i="3"/>
  <c r="J2429" i="3" s="1"/>
  <c r="I2475" i="3"/>
  <c r="J2475" i="3" s="1"/>
  <c r="I2508" i="3"/>
  <c r="J2508" i="3" s="1"/>
  <c r="I2542" i="3"/>
  <c r="J2542" i="3" s="1"/>
  <c r="I2566" i="3"/>
  <c r="J2566" i="3" s="1"/>
  <c r="I2579" i="3"/>
  <c r="J2579" i="3" s="1"/>
  <c r="I2601" i="3"/>
  <c r="J2601" i="3" s="1"/>
  <c r="I2627" i="3"/>
  <c r="J2627" i="3" s="1"/>
  <c r="I2632" i="3"/>
  <c r="J2632" i="3" s="1"/>
  <c r="I2639" i="3"/>
  <c r="J2639" i="3" s="1"/>
  <c r="I2746" i="3"/>
  <c r="J2746" i="3" s="1"/>
  <c r="I2924" i="3"/>
  <c r="J2924" i="3" s="1"/>
  <c r="I2925" i="3"/>
  <c r="J2925" i="3" s="1"/>
  <c r="I2929" i="3"/>
  <c r="J2929" i="3" s="1"/>
  <c r="I2957" i="3"/>
  <c r="J2957" i="3" s="1"/>
  <c r="I2958" i="3"/>
  <c r="J2958" i="3" s="1"/>
  <c r="I2966" i="3"/>
  <c r="J2966" i="3" s="1"/>
  <c r="I3010" i="3"/>
  <c r="J3010" i="3" s="1"/>
  <c r="I3052" i="3"/>
  <c r="J3052" i="3" s="1"/>
  <c r="I3088" i="3"/>
  <c r="J3088" i="3" s="1"/>
  <c r="I3143" i="3"/>
  <c r="J3143" i="3" s="1"/>
  <c r="I3146" i="3"/>
  <c r="J3146" i="3" s="1"/>
  <c r="I3148" i="3"/>
  <c r="J3148" i="3" s="1"/>
  <c r="I3151" i="3"/>
  <c r="J3151" i="3" s="1"/>
  <c r="I3152" i="3"/>
  <c r="J3152" i="3" s="1"/>
  <c r="I3153" i="3"/>
  <c r="J3153" i="3" s="1"/>
  <c r="I3176" i="3"/>
  <c r="J3176" i="3" s="1"/>
  <c r="I3216" i="3"/>
  <c r="J3216" i="3" s="1"/>
  <c r="I3230" i="3"/>
  <c r="J3230" i="3" s="1"/>
  <c r="I3279" i="3"/>
  <c r="J3279" i="3" s="1"/>
  <c r="I3302" i="3"/>
  <c r="J3302" i="3" s="1"/>
  <c r="I3352" i="3"/>
  <c r="J3352" i="3" s="1"/>
  <c r="I3454" i="3"/>
  <c r="J3454" i="3" s="1"/>
  <c r="I3486" i="3"/>
  <c r="J3486" i="3" s="1"/>
  <c r="I3488" i="3"/>
  <c r="J3488" i="3" s="1"/>
  <c r="I3495" i="3"/>
  <c r="J3495" i="3" s="1"/>
  <c r="I3509" i="3"/>
  <c r="J3509" i="3" s="1"/>
  <c r="I3537" i="3"/>
  <c r="J3537" i="3" s="1"/>
  <c r="I3594" i="3"/>
  <c r="J3594" i="3" s="1"/>
  <c r="I3626" i="3"/>
  <c r="J3626" i="3" s="1"/>
  <c r="I3772" i="3"/>
  <c r="J3772" i="3" s="1"/>
  <c r="I3782" i="3"/>
  <c r="J3782" i="3" s="1"/>
  <c r="I3805" i="3"/>
  <c r="J3805" i="3" s="1"/>
  <c r="I3818" i="3"/>
  <c r="J3818" i="3" s="1"/>
  <c r="I3886" i="3"/>
  <c r="J3886" i="3" s="1"/>
  <c r="I3898" i="3"/>
  <c r="J3898" i="3" s="1"/>
  <c r="I3960" i="3"/>
  <c r="J3960" i="3" s="1"/>
  <c r="I4009" i="3"/>
  <c r="J4009" i="3" s="1"/>
  <c r="I4024" i="3"/>
  <c r="J4024" i="3" s="1"/>
  <c r="I4068" i="3"/>
  <c r="J4068" i="3" s="1"/>
  <c r="I4069" i="3"/>
  <c r="J4069" i="3" s="1"/>
  <c r="I4073" i="3"/>
  <c r="J4073" i="3" s="1"/>
  <c r="I4079" i="3"/>
  <c r="J4079" i="3" s="1"/>
  <c r="I4081" i="3"/>
  <c r="J4081" i="3" s="1"/>
  <c r="I4094" i="3"/>
  <c r="J4094" i="3" s="1"/>
  <c r="I4115" i="3"/>
  <c r="J4115" i="3" s="1"/>
  <c r="I4122" i="3"/>
  <c r="J4122" i="3" s="1"/>
  <c r="I4156" i="3"/>
  <c r="J4156" i="3" s="1"/>
  <c r="I4218" i="3"/>
  <c r="J4218" i="3" s="1"/>
  <c r="I4261" i="3"/>
  <c r="J4261" i="3" s="1"/>
  <c r="I4269" i="3"/>
  <c r="J4269" i="3" s="1"/>
  <c r="I4270" i="3"/>
  <c r="J4270" i="3" s="1"/>
  <c r="I4280" i="3"/>
  <c r="J4280" i="3" s="1"/>
  <c r="I4288" i="3"/>
  <c r="J4288" i="3" s="1"/>
  <c r="I4341" i="3"/>
  <c r="J4341" i="3" s="1"/>
  <c r="I4441" i="3"/>
  <c r="J4441" i="3" s="1"/>
  <c r="I4543" i="3"/>
  <c r="J4543" i="3" s="1"/>
  <c r="I4555" i="3"/>
  <c r="J4555" i="3" s="1"/>
  <c r="I4577" i="3"/>
  <c r="J4577" i="3" s="1"/>
  <c r="I4604" i="3"/>
  <c r="J4604" i="3" s="1"/>
  <c r="I4754" i="3"/>
  <c r="J4754" i="3" s="1"/>
  <c r="I4788" i="3"/>
  <c r="J4788" i="3" s="1"/>
  <c r="I4799" i="3"/>
  <c r="J4799" i="3" s="1"/>
  <c r="I4803" i="3"/>
  <c r="J4803" i="3" s="1"/>
  <c r="I4828" i="3"/>
  <c r="J4828" i="3" s="1"/>
  <c r="I4829" i="3"/>
  <c r="J4829" i="3" s="1"/>
  <c r="I23" i="3"/>
  <c r="J23" i="3" s="1"/>
  <c r="I130" i="3"/>
  <c r="J130" i="3" s="1"/>
  <c r="I232" i="3"/>
  <c r="J232" i="3" s="1"/>
  <c r="I249" i="3"/>
  <c r="J249" i="3" s="1"/>
  <c r="I325" i="3"/>
  <c r="J325" i="3" s="1"/>
  <c r="I334" i="3"/>
  <c r="J334" i="3" s="1"/>
  <c r="I362" i="3"/>
  <c r="J362" i="3" s="1"/>
  <c r="I385" i="3"/>
  <c r="J385" i="3" s="1"/>
  <c r="I552" i="3"/>
  <c r="J552" i="3" s="1"/>
  <c r="I669" i="3"/>
  <c r="J669" i="3" s="1"/>
  <c r="I687" i="3"/>
  <c r="J687" i="3" s="1"/>
  <c r="I785" i="3"/>
  <c r="J785" i="3" s="1"/>
  <c r="I828" i="3"/>
  <c r="J828" i="3" s="1"/>
  <c r="I845" i="3"/>
  <c r="J845" i="3" s="1"/>
  <c r="I916" i="3"/>
  <c r="J916" i="3" s="1"/>
  <c r="I949" i="3"/>
  <c r="J949" i="3" s="1"/>
  <c r="I959" i="3"/>
  <c r="J959" i="3" s="1"/>
  <c r="I984" i="3"/>
  <c r="J984" i="3" s="1"/>
  <c r="I1009" i="3"/>
  <c r="J1009" i="3" s="1"/>
  <c r="I1013" i="3"/>
  <c r="J1013" i="3" s="1"/>
  <c r="I1034" i="3"/>
  <c r="J1034" i="3" s="1"/>
  <c r="I1068" i="3"/>
  <c r="J1068" i="3" s="1"/>
  <c r="I1288" i="3"/>
  <c r="J1288" i="3" s="1"/>
  <c r="I1316" i="3"/>
  <c r="J1316" i="3" s="1"/>
  <c r="I1514" i="3"/>
  <c r="J1514" i="3" s="1"/>
  <c r="I1526" i="3"/>
  <c r="J1526" i="3" s="1"/>
  <c r="I1590" i="3"/>
  <c r="J1590" i="3" s="1"/>
  <c r="I1668" i="3"/>
  <c r="J1668" i="3" s="1"/>
  <c r="I1688" i="3"/>
  <c r="J1688" i="3" s="1"/>
  <c r="I1752" i="3"/>
  <c r="J1752" i="3" s="1"/>
  <c r="I1853" i="3"/>
  <c r="J1853" i="3" s="1"/>
  <c r="I1867" i="3"/>
  <c r="J1867" i="3" s="1"/>
  <c r="I1874" i="3"/>
  <c r="J1874" i="3" s="1"/>
  <c r="I1910" i="3"/>
  <c r="J1910" i="3" s="1"/>
  <c r="I2148" i="3"/>
  <c r="J2148" i="3" s="1"/>
  <c r="I2169" i="3"/>
  <c r="J2169" i="3" s="1"/>
  <c r="I2185" i="3"/>
  <c r="J2185" i="3" s="1"/>
  <c r="I2495" i="3"/>
  <c r="J2495" i="3" s="1"/>
  <c r="I2531" i="3"/>
  <c r="J2531" i="3" s="1"/>
  <c r="I2576" i="3"/>
  <c r="J2576" i="3" s="1"/>
  <c r="I2724" i="3"/>
  <c r="J2724" i="3" s="1"/>
  <c r="I2754" i="3"/>
  <c r="J2754" i="3" s="1"/>
  <c r="I2766" i="3"/>
  <c r="J2766" i="3" s="1"/>
  <c r="I2847" i="3"/>
  <c r="J2847" i="3" s="1"/>
  <c r="I2953" i="3"/>
  <c r="J2953" i="3" s="1"/>
  <c r="I2969" i="3"/>
  <c r="J2969" i="3" s="1"/>
  <c r="I2971" i="3"/>
  <c r="J2971" i="3" s="1"/>
  <c r="I3009" i="3"/>
  <c r="J3009" i="3" s="1"/>
  <c r="I3203" i="3"/>
  <c r="J3203" i="3" s="1"/>
  <c r="I3228" i="3"/>
  <c r="J3228" i="3" s="1"/>
  <c r="I3256" i="3"/>
  <c r="J3256" i="3" s="1"/>
  <c r="I3335" i="3"/>
  <c r="J3335" i="3" s="1"/>
  <c r="I3592" i="3"/>
  <c r="J3592" i="3" s="1"/>
  <c r="I3899" i="3"/>
  <c r="J3899" i="3" s="1"/>
  <c r="I3918" i="3"/>
  <c r="J3918" i="3" s="1"/>
  <c r="I3948" i="3"/>
  <c r="J3948" i="3" s="1"/>
  <c r="I3991" i="3"/>
  <c r="J3991" i="3" s="1"/>
  <c r="I4004" i="3"/>
  <c r="J4004" i="3" s="1"/>
  <c r="I4017" i="3"/>
  <c r="J4017" i="3" s="1"/>
  <c r="I4067" i="3"/>
  <c r="J4067" i="3" s="1"/>
  <c r="I4120" i="3"/>
  <c r="J4120" i="3" s="1"/>
  <c r="I4129" i="3"/>
  <c r="J4129" i="3" s="1"/>
  <c r="I4190" i="3"/>
  <c r="J4190" i="3" s="1"/>
  <c r="I4238" i="3"/>
  <c r="J4238" i="3" s="1"/>
  <c r="I4304" i="3"/>
  <c r="J4304" i="3" s="1"/>
  <c r="I4324" i="3"/>
  <c r="J4324" i="3" s="1"/>
  <c r="I4326" i="3"/>
  <c r="J4326" i="3" s="1"/>
  <c r="I4345" i="3"/>
  <c r="J4345" i="3" s="1"/>
  <c r="I4357" i="3"/>
  <c r="J4357" i="3" s="1"/>
  <c r="I4396" i="3"/>
  <c r="J4396" i="3" s="1"/>
  <c r="I4402" i="3"/>
  <c r="J4402" i="3" s="1"/>
  <c r="I4405" i="3"/>
  <c r="J4405" i="3" s="1"/>
  <c r="I4452" i="3"/>
  <c r="J4452" i="3" s="1"/>
  <c r="I4510" i="3"/>
  <c r="J4510" i="3" s="1"/>
  <c r="I4538" i="3"/>
  <c r="J4538" i="3" s="1"/>
  <c r="I4652" i="3"/>
  <c r="J4652" i="3" s="1"/>
  <c r="I4718" i="3"/>
  <c r="J4718" i="3" s="1"/>
  <c r="I4746" i="3"/>
  <c r="J4746" i="3" s="1"/>
  <c r="I4812" i="3"/>
  <c r="J4812" i="3" s="1"/>
  <c r="I19" i="3"/>
  <c r="J19" i="3" s="1"/>
  <c r="I69" i="3"/>
  <c r="J69" i="3" s="1"/>
  <c r="I74" i="3"/>
  <c r="J74" i="3" s="1"/>
  <c r="I139" i="3"/>
  <c r="J139" i="3" s="1"/>
  <c r="I392" i="3"/>
  <c r="J392" i="3" s="1"/>
  <c r="I479" i="3"/>
  <c r="J479" i="3" s="1"/>
  <c r="I605" i="3"/>
  <c r="J605" i="3" s="1"/>
  <c r="I703" i="3"/>
  <c r="J703" i="3" s="1"/>
  <c r="I855" i="3"/>
  <c r="J855" i="3" s="1"/>
  <c r="I912" i="3"/>
  <c r="J912" i="3" s="1"/>
  <c r="I1095" i="3"/>
  <c r="J1095" i="3" s="1"/>
  <c r="I1240" i="3"/>
  <c r="J1240" i="3" s="1"/>
  <c r="I1244" i="3"/>
  <c r="J1244" i="3" s="1"/>
  <c r="I1337" i="3"/>
  <c r="J1337" i="3" s="1"/>
  <c r="I1398" i="3"/>
  <c r="J1398" i="3" s="1"/>
  <c r="I1465" i="3"/>
  <c r="J1465" i="3" s="1"/>
  <c r="I1490" i="3"/>
  <c r="J1490" i="3" s="1"/>
  <c r="I1528" i="3"/>
  <c r="J1528" i="3" s="1"/>
  <c r="I1554" i="3"/>
  <c r="J1554" i="3" s="1"/>
  <c r="I1712" i="3"/>
  <c r="J1712" i="3" s="1"/>
  <c r="I1724" i="3"/>
  <c r="J1724" i="3" s="1"/>
  <c r="I2057" i="3"/>
  <c r="J2057" i="3" s="1"/>
  <c r="I2077" i="3"/>
  <c r="J2077" i="3" s="1"/>
  <c r="I2097" i="3"/>
  <c r="J2097" i="3" s="1"/>
  <c r="I2118" i="3"/>
  <c r="J2118" i="3" s="1"/>
  <c r="I2125" i="3"/>
  <c r="J2125" i="3" s="1"/>
  <c r="I2204" i="3"/>
  <c r="J2204" i="3" s="1"/>
  <c r="I2224" i="3"/>
  <c r="J2224" i="3" s="1"/>
  <c r="I2257" i="3"/>
  <c r="J2257" i="3" s="1"/>
  <c r="I2313" i="3"/>
  <c r="J2313" i="3" s="1"/>
  <c r="I2436" i="3"/>
  <c r="J2436" i="3" s="1"/>
  <c r="I2804" i="3"/>
  <c r="J2804" i="3" s="1"/>
  <c r="I2835" i="3"/>
  <c r="J2835" i="3" s="1"/>
  <c r="I2875" i="3"/>
  <c r="J2875" i="3" s="1"/>
  <c r="I2917" i="3"/>
  <c r="J2917" i="3" s="1"/>
  <c r="I2932" i="3"/>
  <c r="J2932" i="3" s="1"/>
  <c r="I2939" i="3"/>
  <c r="J2939" i="3" s="1"/>
  <c r="I3011" i="3"/>
  <c r="J3011" i="3" s="1"/>
  <c r="I3091" i="3"/>
  <c r="J3091" i="3" s="1"/>
  <c r="I3386" i="3"/>
  <c r="J3386" i="3" s="1"/>
  <c r="I3534" i="3"/>
  <c r="J3534" i="3" s="1"/>
  <c r="I3553" i="3"/>
  <c r="J3553" i="3" s="1"/>
  <c r="I3637" i="3"/>
  <c r="J3637" i="3" s="1"/>
  <c r="I3639" i="3"/>
  <c r="J3639" i="3" s="1"/>
  <c r="I3642" i="3"/>
  <c r="J3642" i="3" s="1"/>
  <c r="I3646" i="3"/>
  <c r="J3646" i="3" s="1"/>
  <c r="I3741" i="3"/>
  <c r="J3741" i="3" s="1"/>
  <c r="I3826" i="3"/>
  <c r="J3826" i="3" s="1"/>
  <c r="I3835" i="3"/>
  <c r="J3835" i="3" s="1"/>
  <c r="I3884" i="3"/>
  <c r="J3884" i="3" s="1"/>
  <c r="I3996" i="3"/>
  <c r="J3996" i="3" s="1"/>
  <c r="I4011" i="3"/>
  <c r="J4011" i="3" s="1"/>
  <c r="I4076" i="3"/>
  <c r="J4076" i="3" s="1"/>
  <c r="I4132" i="3"/>
  <c r="J4132" i="3" s="1"/>
  <c r="I4139" i="3"/>
  <c r="J4139" i="3" s="1"/>
  <c r="I4180" i="3"/>
  <c r="J4180" i="3" s="1"/>
  <c r="I4274" i="3"/>
  <c r="J4274" i="3" s="1"/>
  <c r="I4315" i="3"/>
  <c r="J4315" i="3" s="1"/>
  <c r="I4370" i="3"/>
  <c r="J4370" i="3" s="1"/>
  <c r="I4384" i="3"/>
  <c r="J4384" i="3" s="1"/>
  <c r="I4426" i="3"/>
  <c r="J4426" i="3" s="1"/>
  <c r="I4462" i="3"/>
  <c r="J4462" i="3" s="1"/>
  <c r="I4508" i="3"/>
  <c r="J4508" i="3" s="1"/>
  <c r="I4518" i="3"/>
  <c r="J4518" i="3" s="1"/>
  <c r="I4530" i="3"/>
  <c r="J4530" i="3" s="1"/>
  <c r="I4534" i="3"/>
  <c r="J4534" i="3" s="1"/>
  <c r="I4597" i="3"/>
  <c r="J4597" i="3" s="1"/>
  <c r="I4659" i="3"/>
  <c r="J4659" i="3" s="1"/>
  <c r="I4665" i="3"/>
  <c r="J4665" i="3" s="1"/>
  <c r="I4728" i="3"/>
  <c r="J4728" i="3" s="1"/>
  <c r="I18" i="3"/>
  <c r="J18" i="3" s="1"/>
  <c r="I36" i="3"/>
  <c r="J36" i="3" s="1"/>
  <c r="I89" i="3"/>
  <c r="J89" i="3" s="1"/>
  <c r="I138" i="3"/>
  <c r="J138" i="3" s="1"/>
  <c r="I173" i="3"/>
  <c r="J173" i="3" s="1"/>
  <c r="I303" i="3"/>
  <c r="J303" i="3" s="1"/>
  <c r="I368" i="3"/>
  <c r="J368" i="3" s="1"/>
  <c r="I398" i="3"/>
  <c r="J398" i="3" s="1"/>
  <c r="I453" i="3"/>
  <c r="J453" i="3" s="1"/>
  <c r="I483" i="3"/>
  <c r="J483" i="3" s="1"/>
  <c r="I589" i="3"/>
  <c r="J589" i="3" s="1"/>
  <c r="I686" i="3"/>
  <c r="J686" i="3" s="1"/>
  <c r="I697" i="3"/>
  <c r="J697" i="3" s="1"/>
  <c r="I741" i="3"/>
  <c r="J741" i="3" s="1"/>
  <c r="I848" i="3"/>
  <c r="J848" i="3" s="1"/>
  <c r="I858" i="3"/>
  <c r="J858" i="3" s="1"/>
  <c r="I890" i="3"/>
  <c r="J890" i="3" s="1"/>
  <c r="I1129" i="3"/>
  <c r="J1129" i="3" s="1"/>
  <c r="I1214" i="3"/>
  <c r="J1214" i="3" s="1"/>
  <c r="I1329" i="3"/>
  <c r="J1329" i="3" s="1"/>
  <c r="I1387" i="3"/>
  <c r="J1387" i="3" s="1"/>
  <c r="I1416" i="3"/>
  <c r="J1416" i="3" s="1"/>
  <c r="I1507" i="3"/>
  <c r="J1507" i="3" s="1"/>
  <c r="I1547" i="3"/>
  <c r="J1547" i="3" s="1"/>
  <c r="I1592" i="3"/>
  <c r="J1592" i="3" s="1"/>
  <c r="I1667" i="3"/>
  <c r="J1667" i="3" s="1"/>
  <c r="I1739" i="3"/>
  <c r="J1739" i="3" s="1"/>
  <c r="I1793" i="3"/>
  <c r="J1793" i="3" s="1"/>
  <c r="I1843" i="3"/>
  <c r="J1843" i="3" s="1"/>
  <c r="I1884" i="3"/>
  <c r="J1884" i="3" s="1"/>
  <c r="I1934" i="3"/>
  <c r="J1934" i="3" s="1"/>
  <c r="I2128" i="3"/>
  <c r="J2128" i="3" s="1"/>
  <c r="I2182" i="3"/>
  <c r="J2182" i="3" s="1"/>
  <c r="I2195" i="3"/>
  <c r="J2195" i="3" s="1"/>
  <c r="I2209" i="3"/>
  <c r="J2209" i="3" s="1"/>
  <c r="I2330" i="3"/>
  <c r="J2330" i="3" s="1"/>
  <c r="I2387" i="3"/>
  <c r="J2387" i="3" s="1"/>
  <c r="I2390" i="3"/>
  <c r="J2390" i="3" s="1"/>
  <c r="I2468" i="3"/>
  <c r="J2468" i="3" s="1"/>
  <c r="I2483" i="3"/>
  <c r="J2483" i="3" s="1"/>
  <c r="I2543" i="3"/>
  <c r="J2543" i="3" s="1"/>
  <c r="I2568" i="3"/>
  <c r="J2568" i="3" s="1"/>
  <c r="I2589" i="3"/>
  <c r="J2589" i="3" s="1"/>
  <c r="I2781" i="3"/>
  <c r="J2781" i="3" s="1"/>
  <c r="I2788" i="3"/>
  <c r="J2788" i="3" s="1"/>
  <c r="I2842" i="3"/>
  <c r="J2842" i="3" s="1"/>
  <c r="I2892" i="3"/>
  <c r="J2892" i="3" s="1"/>
  <c r="I2915" i="3"/>
  <c r="J2915" i="3" s="1"/>
  <c r="I2943" i="3"/>
  <c r="J2943" i="3" s="1"/>
  <c r="I3014" i="3"/>
  <c r="J3014" i="3" s="1"/>
  <c r="I3191" i="3"/>
  <c r="J3191" i="3" s="1"/>
  <c r="I3295" i="3"/>
  <c r="J3295" i="3" s="1"/>
  <c r="I3311" i="3"/>
  <c r="J3311" i="3" s="1"/>
  <c r="I3382" i="3"/>
  <c r="J3382" i="3" s="1"/>
  <c r="I3519" i="3"/>
  <c r="J3519" i="3" s="1"/>
  <c r="I3635" i="3"/>
  <c r="J3635" i="3" s="1"/>
  <c r="I3696" i="3"/>
  <c r="J3696" i="3" s="1"/>
  <c r="I3799" i="3"/>
  <c r="J3799" i="3" s="1"/>
  <c r="I3816" i="3"/>
  <c r="J3816" i="3" s="1"/>
  <c r="I3832" i="3"/>
  <c r="J3832" i="3" s="1"/>
  <c r="I3846" i="3"/>
  <c r="J3846" i="3" s="1"/>
  <c r="I3854" i="3"/>
  <c r="J3854" i="3" s="1"/>
  <c r="I3892" i="3"/>
  <c r="J3892" i="3" s="1"/>
  <c r="I3933" i="3"/>
  <c r="J3933" i="3" s="1"/>
  <c r="I3955" i="3"/>
  <c r="J3955" i="3" s="1"/>
  <c r="I4057" i="3"/>
  <c r="J4057" i="3" s="1"/>
  <c r="I4151" i="3"/>
  <c r="J4151" i="3" s="1"/>
  <c r="I4171" i="3"/>
  <c r="J4171" i="3" s="1"/>
  <c r="I4221" i="3"/>
  <c r="J4221" i="3" s="1"/>
  <c r="I4226" i="3"/>
  <c r="J4226" i="3" s="1"/>
  <c r="I4318" i="3"/>
  <c r="J4318" i="3" s="1"/>
  <c r="I4492" i="3"/>
  <c r="J4492" i="3" s="1"/>
  <c r="I4583" i="3"/>
  <c r="J4583" i="3" s="1"/>
  <c r="I4618" i="3"/>
  <c r="J4618" i="3" s="1"/>
  <c r="I4807" i="3"/>
  <c r="J4807" i="3" s="1"/>
  <c r="I4822" i="3"/>
  <c r="J4822" i="3" s="1"/>
  <c r="I8" i="3"/>
  <c r="J8" i="3" s="1"/>
  <c r="I47" i="3"/>
  <c r="J47" i="3" s="1"/>
  <c r="I98" i="3"/>
  <c r="J98" i="3" s="1"/>
  <c r="I187" i="3"/>
  <c r="J187" i="3" s="1"/>
  <c r="I205" i="3"/>
  <c r="J205" i="3" s="1"/>
  <c r="I263" i="3"/>
  <c r="J263" i="3" s="1"/>
  <c r="I332" i="3"/>
  <c r="J332" i="3" s="1"/>
  <c r="I417" i="3"/>
  <c r="J417" i="3" s="1"/>
  <c r="I444" i="3"/>
  <c r="J444" i="3" s="1"/>
  <c r="I489" i="3"/>
  <c r="J489" i="3" s="1"/>
  <c r="I506" i="3"/>
  <c r="J506" i="3" s="1"/>
  <c r="I548" i="3"/>
  <c r="J548" i="3" s="1"/>
  <c r="I640" i="3"/>
  <c r="J640" i="3" s="1"/>
  <c r="I694" i="3"/>
  <c r="J694" i="3" s="1"/>
  <c r="I706" i="3"/>
  <c r="J706" i="3" s="1"/>
  <c r="I718" i="3"/>
  <c r="J718" i="3" s="1"/>
  <c r="I738" i="3"/>
  <c r="J738" i="3" s="1"/>
  <c r="I875" i="3"/>
  <c r="J875" i="3" s="1"/>
  <c r="I901" i="3"/>
  <c r="J901" i="3" s="1"/>
  <c r="I1040" i="3"/>
  <c r="J1040" i="3" s="1"/>
  <c r="I1070" i="3"/>
  <c r="J1070" i="3" s="1"/>
  <c r="I1096" i="3"/>
  <c r="J1096" i="3" s="1"/>
  <c r="I1121" i="3"/>
  <c r="J1121" i="3" s="1"/>
  <c r="I1179" i="3"/>
  <c r="J1179" i="3" s="1"/>
  <c r="I1317" i="3"/>
  <c r="J1317" i="3" s="1"/>
  <c r="I1322" i="3"/>
  <c r="J1322" i="3" s="1"/>
  <c r="I1353" i="3"/>
  <c r="J1353" i="3" s="1"/>
  <c r="I1383" i="3"/>
  <c r="J1383" i="3" s="1"/>
  <c r="I1540" i="3"/>
  <c r="J1540" i="3" s="1"/>
  <c r="I1565" i="3"/>
  <c r="J1565" i="3" s="1"/>
  <c r="I1582" i="3"/>
  <c r="J1582" i="3" s="1"/>
  <c r="I1603" i="3"/>
  <c r="J1603" i="3" s="1"/>
  <c r="I1646" i="3"/>
  <c r="J1646" i="3" s="1"/>
  <c r="I1785" i="3"/>
  <c r="J1785" i="3" s="1"/>
  <c r="I1786" i="3"/>
  <c r="J1786" i="3" s="1"/>
  <c r="I1806" i="3"/>
  <c r="J1806" i="3" s="1"/>
  <c r="I1823" i="3"/>
  <c r="J1823" i="3" s="1"/>
  <c r="I1883" i="3"/>
  <c r="J1883" i="3" s="1"/>
  <c r="I1903" i="3"/>
  <c r="J1903" i="3" s="1"/>
  <c r="I2023" i="3"/>
  <c r="J2023" i="3" s="1"/>
  <c r="I2085" i="3"/>
  <c r="J2085" i="3" s="1"/>
  <c r="I2172" i="3"/>
  <c r="J2172" i="3" s="1"/>
  <c r="I2207" i="3"/>
  <c r="J2207" i="3" s="1"/>
  <c r="I2215" i="3"/>
  <c r="J2215" i="3" s="1"/>
  <c r="I2270" i="3"/>
  <c r="J2270" i="3" s="1"/>
  <c r="I2333" i="3"/>
  <c r="J2333" i="3" s="1"/>
  <c r="I2404" i="3"/>
  <c r="J2404" i="3" s="1"/>
  <c r="I2526" i="3"/>
  <c r="J2526" i="3" s="1"/>
  <c r="I2528" i="3"/>
  <c r="J2528" i="3" s="1"/>
  <c r="I2530" i="3"/>
  <c r="J2530" i="3" s="1"/>
  <c r="I2561" i="3"/>
  <c r="J2561" i="3" s="1"/>
  <c r="I2634" i="3"/>
  <c r="J2634" i="3" s="1"/>
  <c r="I2659" i="3"/>
  <c r="J2659" i="3" s="1"/>
  <c r="I2665" i="3"/>
  <c r="J2665" i="3" s="1"/>
  <c r="I2670" i="3"/>
  <c r="J2670" i="3" s="1"/>
  <c r="I2728" i="3"/>
  <c r="J2728" i="3" s="1"/>
  <c r="I2735" i="3"/>
  <c r="J2735" i="3" s="1"/>
  <c r="I2743" i="3"/>
  <c r="J2743" i="3" s="1"/>
  <c r="I2783" i="3"/>
  <c r="J2783" i="3" s="1"/>
  <c r="I2843" i="3"/>
  <c r="J2843" i="3" s="1"/>
  <c r="I2904" i="3"/>
  <c r="J2904" i="3" s="1"/>
  <c r="I2949" i="3"/>
  <c r="J2949" i="3" s="1"/>
  <c r="I2978" i="3"/>
  <c r="J2978" i="3" s="1"/>
  <c r="I3033" i="3"/>
  <c r="J3033" i="3" s="1"/>
  <c r="I3067" i="3"/>
  <c r="J3067" i="3" s="1"/>
  <c r="I3120" i="3"/>
  <c r="J3120" i="3" s="1"/>
  <c r="I3186" i="3"/>
  <c r="J3186" i="3" s="1"/>
  <c r="I3197" i="3"/>
  <c r="J3197" i="3" s="1"/>
  <c r="I3259" i="3"/>
  <c r="J3259" i="3" s="1"/>
  <c r="I3266" i="3"/>
  <c r="J3266" i="3" s="1"/>
  <c r="I3350" i="3"/>
  <c r="J3350" i="3" s="1"/>
  <c r="I3379" i="3"/>
  <c r="J3379" i="3" s="1"/>
  <c r="I3417" i="3"/>
  <c r="J3417" i="3" s="1"/>
  <c r="I3508" i="3"/>
  <c r="J3508" i="3" s="1"/>
  <c r="I3547" i="3"/>
  <c r="J3547" i="3" s="1"/>
  <c r="I3700" i="3"/>
  <c r="J3700" i="3" s="1"/>
  <c r="I3722" i="3"/>
  <c r="J3722" i="3" s="1"/>
  <c r="I3759" i="3"/>
  <c r="J3759" i="3" s="1"/>
  <c r="I3791" i="3"/>
  <c r="J3791" i="3" s="1"/>
  <c r="I3828" i="3"/>
  <c r="J3828" i="3" s="1"/>
  <c r="I3967" i="3"/>
  <c r="J3967" i="3" s="1"/>
  <c r="I4006" i="3"/>
  <c r="J4006" i="3" s="1"/>
  <c r="I4066" i="3"/>
  <c r="J4066" i="3" s="1"/>
  <c r="I4090" i="3"/>
  <c r="J4090" i="3" s="1"/>
  <c r="I4099" i="3"/>
  <c r="J4099" i="3" s="1"/>
  <c r="I4199" i="3"/>
  <c r="J4199" i="3" s="1"/>
  <c r="I4323" i="3"/>
  <c r="J4323" i="3" s="1"/>
  <c r="I4336" i="3"/>
  <c r="J4336" i="3" s="1"/>
  <c r="I4343" i="3"/>
  <c r="J4343" i="3" s="1"/>
  <c r="I4369" i="3"/>
  <c r="J4369" i="3" s="1"/>
  <c r="I4386" i="3"/>
  <c r="J4386" i="3" s="1"/>
  <c r="I4527" i="3"/>
  <c r="J4527" i="3" s="1"/>
  <c r="I4664" i="3"/>
  <c r="J4664" i="3" s="1"/>
  <c r="I4703" i="3"/>
  <c r="J4703" i="3" s="1"/>
  <c r="I4706" i="3"/>
  <c r="J4706" i="3" s="1"/>
  <c r="I4710" i="3"/>
  <c r="J4710" i="3" s="1"/>
  <c r="I4721" i="3"/>
  <c r="J4721" i="3" s="1"/>
  <c r="I117" i="3"/>
  <c r="J117" i="3" s="1"/>
  <c r="I191" i="3"/>
  <c r="J191" i="3" s="1"/>
  <c r="I318" i="3"/>
  <c r="J318" i="3" s="1"/>
  <c r="I335" i="3"/>
  <c r="J335" i="3" s="1"/>
  <c r="I437" i="3"/>
  <c r="J437" i="3" s="1"/>
  <c r="I478" i="3"/>
  <c r="J478" i="3" s="1"/>
  <c r="I553" i="3"/>
  <c r="J553" i="3" s="1"/>
  <c r="I562" i="3"/>
  <c r="J562" i="3" s="1"/>
  <c r="I624" i="3"/>
  <c r="J624" i="3" s="1"/>
  <c r="I725" i="3"/>
  <c r="J725" i="3" s="1"/>
  <c r="I763" i="3"/>
  <c r="J763" i="3" s="1"/>
  <c r="I806" i="3"/>
  <c r="J806" i="3" s="1"/>
  <c r="I841" i="3"/>
  <c r="J841" i="3" s="1"/>
  <c r="I917" i="3"/>
  <c r="J917" i="3" s="1"/>
  <c r="I986" i="3"/>
  <c r="J986" i="3" s="1"/>
  <c r="I1086" i="3"/>
  <c r="J1086" i="3" s="1"/>
  <c r="I1204" i="3"/>
  <c r="J1204" i="3" s="1"/>
  <c r="I1211" i="3"/>
  <c r="J1211" i="3" s="1"/>
  <c r="I1241" i="3"/>
  <c r="J1241" i="3" s="1"/>
  <c r="I1281" i="3"/>
  <c r="J1281" i="3" s="1"/>
  <c r="I1461" i="3"/>
  <c r="J1461" i="3" s="1"/>
  <c r="I1473" i="3"/>
  <c r="J1473" i="3" s="1"/>
  <c r="I1516" i="3"/>
  <c r="J1516" i="3" s="1"/>
  <c r="I1523" i="3"/>
  <c r="J1523" i="3" s="1"/>
  <c r="I1723" i="3"/>
  <c r="J1723" i="3" s="1"/>
  <c r="I1765" i="3"/>
  <c r="J1765" i="3" s="1"/>
  <c r="I1809" i="3"/>
  <c r="J1809" i="3" s="1"/>
  <c r="I1881" i="3"/>
  <c r="J1881" i="3" s="1"/>
  <c r="I1919" i="3"/>
  <c r="J1919" i="3" s="1"/>
  <c r="I1972" i="3"/>
  <c r="J1972" i="3" s="1"/>
  <c r="I1987" i="3"/>
  <c r="J1987" i="3" s="1"/>
  <c r="I2049" i="3"/>
  <c r="J2049" i="3" s="1"/>
  <c r="I2174" i="3"/>
  <c r="J2174" i="3" s="1"/>
  <c r="I2208" i="3"/>
  <c r="J2208" i="3" s="1"/>
  <c r="I2373" i="3"/>
  <c r="J2373" i="3" s="1"/>
  <c r="I2398" i="3"/>
  <c r="J2398" i="3" s="1"/>
  <c r="I2491" i="3"/>
  <c r="J2491" i="3" s="1"/>
  <c r="I2535" i="3"/>
  <c r="J2535" i="3" s="1"/>
  <c r="I2536" i="3"/>
  <c r="J2536" i="3" s="1"/>
  <c r="I2681" i="3"/>
  <c r="J2681" i="3" s="1"/>
  <c r="I2733" i="3"/>
  <c r="J2733" i="3" s="1"/>
  <c r="I2752" i="3"/>
  <c r="J2752" i="3" s="1"/>
  <c r="I2812" i="3"/>
  <c r="J2812" i="3" s="1"/>
  <c r="I3002" i="3"/>
  <c r="J3002" i="3" s="1"/>
  <c r="I3022" i="3"/>
  <c r="J3022" i="3" s="1"/>
  <c r="I3077" i="3"/>
  <c r="J3077" i="3" s="1"/>
  <c r="I3079" i="3"/>
  <c r="J3079" i="3" s="1"/>
  <c r="I3109" i="3"/>
  <c r="J3109" i="3" s="1"/>
  <c r="I3149" i="3"/>
  <c r="J3149" i="3" s="1"/>
  <c r="I3419" i="3"/>
  <c r="J3419" i="3" s="1"/>
  <c r="I3527" i="3"/>
  <c r="J3527" i="3" s="1"/>
  <c r="I3536" i="3"/>
  <c r="J3536" i="3" s="1"/>
  <c r="I3573" i="3"/>
  <c r="J3573" i="3" s="1"/>
  <c r="I3622" i="3"/>
  <c r="J3622" i="3" s="1"/>
  <c r="I3701" i="3"/>
  <c r="J3701" i="3" s="1"/>
  <c r="I3717" i="3"/>
  <c r="J3717" i="3" s="1"/>
  <c r="I3727" i="3"/>
  <c r="J3727" i="3" s="1"/>
  <c r="I3788" i="3"/>
  <c r="J3788" i="3" s="1"/>
  <c r="I3830" i="3"/>
  <c r="J3830" i="3" s="1"/>
  <c r="I3863" i="3"/>
  <c r="J3863" i="3" s="1"/>
  <c r="I3902" i="3"/>
  <c r="J3902" i="3" s="1"/>
  <c r="I3911" i="3"/>
  <c r="J3911" i="3" s="1"/>
  <c r="I3940" i="3"/>
  <c r="J3940" i="3" s="1"/>
  <c r="I4054" i="3"/>
  <c r="J4054" i="3" s="1"/>
  <c r="I4144" i="3"/>
  <c r="J4144" i="3" s="1"/>
  <c r="I4147" i="3"/>
  <c r="J4147" i="3" s="1"/>
  <c r="I4189" i="3"/>
  <c r="J4189" i="3" s="1"/>
  <c r="I4228" i="3"/>
  <c r="J4228" i="3" s="1"/>
  <c r="I4265" i="3"/>
  <c r="J4265" i="3" s="1"/>
  <c r="I4300" i="3"/>
  <c r="J4300" i="3" s="1"/>
  <c r="I4306" i="3"/>
  <c r="J4306" i="3" s="1"/>
  <c r="I4312" i="3"/>
  <c r="J4312" i="3" s="1"/>
  <c r="I4317" i="3"/>
  <c r="J4317" i="3" s="1"/>
  <c r="I4330" i="3"/>
  <c r="J4330" i="3" s="1"/>
  <c r="I4372" i="3"/>
  <c r="J4372" i="3" s="1"/>
  <c r="I4381" i="3"/>
  <c r="J4381" i="3" s="1"/>
  <c r="I4469" i="3"/>
  <c r="J4469" i="3" s="1"/>
  <c r="I4478" i="3"/>
  <c r="J4478" i="3" s="1"/>
  <c r="I4603" i="3"/>
  <c r="J4603" i="3" s="1"/>
  <c r="I4605" i="3"/>
  <c r="J4605" i="3" s="1"/>
  <c r="I4656" i="3"/>
  <c r="J4656" i="3" s="1"/>
  <c r="I131" i="3"/>
  <c r="J131" i="3" s="1"/>
  <c r="I411" i="3"/>
  <c r="J411" i="3" s="1"/>
  <c r="I759" i="3"/>
  <c r="J759" i="3" s="1"/>
  <c r="I1392" i="3"/>
  <c r="J1392" i="3" s="1"/>
  <c r="I1499" i="3"/>
  <c r="J1499" i="3" s="1"/>
  <c r="I1863" i="3"/>
  <c r="J1863" i="3" s="1"/>
  <c r="I2255" i="3"/>
  <c r="J2255" i="3" s="1"/>
  <c r="I2262" i="3"/>
  <c r="J2262" i="3" s="1"/>
  <c r="I2755" i="3"/>
  <c r="J2755" i="3" s="1"/>
  <c r="I2878" i="3"/>
  <c r="J2878" i="3" s="1"/>
  <c r="I3157" i="3"/>
  <c r="J3157" i="3" s="1"/>
  <c r="I3581" i="3"/>
  <c r="J3581" i="3" s="1"/>
  <c r="I3787" i="3"/>
  <c r="J3787" i="3" s="1"/>
  <c r="I3897" i="3"/>
  <c r="J3897" i="3" s="1"/>
  <c r="I3932" i="3"/>
  <c r="J3932" i="3" s="1"/>
  <c r="I4219" i="3"/>
  <c r="J4219" i="3" s="1"/>
  <c r="I4301" i="3"/>
  <c r="J4301" i="3" s="1"/>
  <c r="I4477" i="3"/>
  <c r="J4477" i="3" s="1"/>
  <c r="I4539" i="3"/>
  <c r="J4539" i="3" s="1"/>
  <c r="I4831" i="3"/>
  <c r="J4831" i="3" s="1"/>
  <c r="J3305" i="3"/>
  <c r="J3309" i="3"/>
  <c r="J3453" i="3"/>
  <c r="J3493" i="3"/>
  <c r="J3497" i="3"/>
  <c r="J3531" i="3"/>
  <c r="J3550" i="3"/>
  <c r="J3557" i="3"/>
  <c r="J3577" i="3"/>
  <c r="J3588" i="3"/>
  <c r="J3598" i="3"/>
  <c r="J3718" i="3"/>
  <c r="J3729" i="3"/>
  <c r="J3812" i="3"/>
  <c r="J3903" i="3"/>
  <c r="J3979" i="3"/>
  <c r="J4146" i="3"/>
  <c r="J4183" i="3"/>
  <c r="J4196" i="3"/>
  <c r="J4206" i="3"/>
  <c r="J4247" i="3"/>
  <c r="J4277" i="3"/>
  <c r="J4284" i="3"/>
  <c r="J4295" i="3"/>
  <c r="J4361" i="3"/>
  <c r="J4419" i="3"/>
  <c r="J4476" i="3"/>
  <c r="J4482" i="3"/>
  <c r="J4490" i="3"/>
  <c r="J4526" i="3"/>
  <c r="J4612" i="3"/>
  <c r="J4621" i="3"/>
  <c r="J4630" i="3"/>
  <c r="J4666" i="3"/>
  <c r="J4683" i="3"/>
  <c r="J4741" i="3"/>
  <c r="J4775" i="3"/>
  <c r="J4813" i="3"/>
  <c r="J7" i="3"/>
  <c r="J10" i="3"/>
  <c r="J57" i="3"/>
  <c r="J81" i="3"/>
  <c r="J147" i="3"/>
  <c r="J157" i="3"/>
  <c r="J195" i="3"/>
  <c r="J203" i="3"/>
  <c r="J241" i="3"/>
  <c r="J299" i="3"/>
  <c r="J366" i="3"/>
  <c r="J374" i="3"/>
  <c r="J377" i="3"/>
  <c r="J391" i="3"/>
  <c r="J476" i="3"/>
  <c r="J487" i="3"/>
  <c r="J515" i="3"/>
  <c r="J584" i="3"/>
  <c r="J643" i="3"/>
  <c r="J708" i="3"/>
  <c r="J773" i="3"/>
  <c r="J849" i="3"/>
  <c r="J881" i="3"/>
  <c r="J889" i="3"/>
  <c r="J894" i="3"/>
  <c r="J895" i="3"/>
  <c r="J904" i="3"/>
  <c r="J957" i="3"/>
  <c r="J1012" i="3"/>
  <c r="J1071" i="3"/>
  <c r="J1099" i="3"/>
  <c r="J1110" i="3"/>
  <c r="J1153" i="3"/>
  <c r="J1168" i="3"/>
  <c r="J1169" i="3"/>
  <c r="J1189" i="3"/>
  <c r="J1200" i="3"/>
  <c r="J1205" i="3"/>
  <c r="J1218" i="3"/>
  <c r="J1221" i="3"/>
  <c r="J1223" i="3"/>
  <c r="J1246" i="3"/>
  <c r="J1255" i="3"/>
  <c r="J1381" i="3"/>
  <c r="J1391" i="3"/>
  <c r="J1442" i="3"/>
  <c r="J1475" i="3"/>
  <c r="J1501" i="3"/>
  <c r="J1519" i="3"/>
  <c r="J1529" i="3"/>
  <c r="J1534" i="3"/>
  <c r="J1542" i="3"/>
  <c r="J1552" i="3"/>
  <c r="J1640" i="3"/>
  <c r="J1658" i="3"/>
  <c r="J1766" i="3"/>
  <c r="J1783" i="3"/>
  <c r="J1801" i="3"/>
  <c r="J1830" i="3"/>
  <c r="J1833" i="3"/>
  <c r="J1902" i="3"/>
  <c r="J1904" i="3"/>
  <c r="J1921" i="3"/>
  <c r="J2026" i="3"/>
  <c r="J2141" i="3"/>
  <c r="J2152" i="3"/>
  <c r="J2173" i="3"/>
  <c r="J2180" i="3"/>
  <c r="J2198" i="3"/>
  <c r="J2249" i="3"/>
  <c r="J2256" i="3"/>
  <c r="J2259" i="3"/>
  <c r="J2267" i="3"/>
  <c r="J2299" i="3"/>
  <c r="J2325" i="3"/>
  <c r="J2347" i="3"/>
  <c r="J2357" i="3"/>
  <c r="J2368" i="3"/>
  <c r="J2460" i="3"/>
  <c r="J2465" i="3"/>
  <c r="J2476" i="3"/>
  <c r="J2485" i="3"/>
  <c r="J2522" i="3"/>
  <c r="J2553" i="3"/>
  <c r="J2560" i="3"/>
  <c r="J2562" i="3"/>
  <c r="J2563" i="3"/>
  <c r="J2587" i="3"/>
  <c r="J2633" i="3"/>
  <c r="J2686" i="3"/>
  <c r="J2725" i="3"/>
  <c r="J2750" i="3"/>
  <c r="J2776" i="3"/>
  <c r="J2815" i="3"/>
  <c r="J2905" i="3"/>
  <c r="J2909" i="3"/>
  <c r="J2983" i="3"/>
  <c r="J2987" i="3"/>
  <c r="J2990" i="3"/>
  <c r="J3048" i="3"/>
  <c r="J3071" i="3"/>
  <c r="J3158" i="3"/>
  <c r="J3182" i="3"/>
  <c r="J3238" i="3"/>
  <c r="J3261" i="3"/>
  <c r="J3275" i="3"/>
  <c r="J3317" i="3"/>
  <c r="J3329" i="3"/>
  <c r="J3331" i="3"/>
  <c r="J3336" i="3"/>
  <c r="J3389" i="3"/>
  <c r="J3413" i="3"/>
  <c r="J3489" i="3"/>
  <c r="J3523" i="3"/>
  <c r="J3560" i="3"/>
  <c r="J3603" i="3"/>
  <c r="J3615" i="3"/>
  <c r="J3618" i="3"/>
  <c r="J3713" i="3"/>
  <c r="J3760" i="3"/>
  <c r="J3803" i="3"/>
  <c r="J3817" i="3"/>
  <c r="J3887" i="3"/>
  <c r="J3944" i="3"/>
  <c r="J3958" i="3"/>
  <c r="J3978" i="3"/>
  <c r="J3997" i="3"/>
  <c r="J4038" i="3"/>
  <c r="J4056" i="3"/>
  <c r="J4137" i="3"/>
  <c r="J4148" i="3"/>
  <c r="J4204" i="3"/>
  <c r="J4259" i="3"/>
  <c r="J4260" i="3"/>
  <c r="J4351" i="3"/>
  <c r="J4383" i="3"/>
  <c r="J4391" i="3"/>
  <c r="J4417" i="3"/>
  <c r="J4428" i="3"/>
  <c r="J4431" i="3"/>
  <c r="J4454" i="3"/>
  <c r="J4468" i="3"/>
  <c r="J4471" i="3"/>
  <c r="J4528" i="3"/>
  <c r="J4540" i="3"/>
  <c r="J4545" i="3"/>
  <c r="J4624" i="3"/>
  <c r="J4648" i="3"/>
  <c r="J4685" i="3"/>
  <c r="J4698" i="3"/>
  <c r="J4714" i="3"/>
  <c r="J4725" i="3"/>
  <c r="J48" i="3"/>
  <c r="J401" i="3"/>
  <c r="J630" i="3"/>
  <c r="J637" i="3"/>
  <c r="J638" i="3"/>
  <c r="J645" i="3"/>
  <c r="J678" i="3"/>
  <c r="J736" i="3"/>
  <c r="J749" i="3"/>
  <c r="J886" i="3"/>
  <c r="J976" i="3"/>
  <c r="J1058" i="3"/>
  <c r="J1120" i="3"/>
  <c r="J1130" i="3"/>
  <c r="J1186" i="3"/>
  <c r="J1212" i="3"/>
  <c r="J1261" i="3"/>
  <c r="J1403" i="3"/>
  <c r="J1460" i="3"/>
  <c r="J1471" i="3"/>
  <c r="J1545" i="3"/>
  <c r="J1548" i="3"/>
  <c r="J1572" i="3"/>
  <c r="J1591" i="3"/>
  <c r="J1600" i="3"/>
  <c r="J1611" i="3"/>
  <c r="J1671" i="3"/>
  <c r="J1742" i="3"/>
  <c r="J1769" i="3"/>
  <c r="J1839" i="3"/>
  <c r="J1877" i="3"/>
  <c r="J1912" i="3"/>
  <c r="J1980" i="3"/>
  <c r="J1986" i="3"/>
  <c r="J1988" i="3"/>
  <c r="J2099" i="3"/>
  <c r="J2129" i="3"/>
  <c r="J2150" i="3"/>
  <c r="J2177" i="3"/>
  <c r="J2350" i="3"/>
  <c r="J2480" i="3"/>
  <c r="J2551" i="3"/>
  <c r="J2612" i="3"/>
  <c r="J2718" i="3"/>
  <c r="J2810" i="3"/>
  <c r="J2947" i="3"/>
  <c r="J2980" i="3"/>
  <c r="J2984" i="3"/>
  <c r="J2986" i="3"/>
  <c r="J2989" i="3"/>
  <c r="J3163" i="3"/>
  <c r="J3170" i="3"/>
  <c r="J3201" i="3"/>
  <c r="J3303" i="3"/>
  <c r="J3306" i="3"/>
  <c r="J3433" i="3"/>
  <c r="J3473" i="3"/>
  <c r="J3491" i="3"/>
  <c r="J3529" i="3"/>
  <c r="J3543" i="3"/>
  <c r="J3650" i="3"/>
  <c r="J3679" i="3"/>
  <c r="J3750" i="3"/>
  <c r="J3808" i="3"/>
  <c r="J3834" i="3"/>
  <c r="J3915" i="3"/>
  <c r="J4205" i="3"/>
  <c r="J4231" i="3"/>
  <c r="J4380" i="3"/>
  <c r="J4406" i="3"/>
  <c r="J4466" i="3"/>
  <c r="J4693" i="3"/>
  <c r="J4705" i="3"/>
  <c r="J4748" i="3"/>
  <c r="J4804" i="3"/>
  <c r="J2" i="3"/>
  <c r="J22" i="3"/>
  <c r="J26" i="3"/>
  <c r="J38" i="3"/>
  <c r="J58" i="3"/>
  <c r="J92" i="3"/>
  <c r="J137" i="3"/>
  <c r="J155" i="3"/>
  <c r="J162" i="3"/>
  <c r="J171" i="3"/>
  <c r="J177" i="3"/>
  <c r="J214" i="3"/>
  <c r="J233" i="3"/>
  <c r="J246" i="3"/>
  <c r="J259" i="3"/>
  <c r="J301" i="3"/>
  <c r="J319" i="3"/>
  <c r="J328" i="3"/>
  <c r="J333" i="3"/>
  <c r="J336" i="3"/>
  <c r="J350" i="3"/>
  <c r="J383" i="3"/>
  <c r="J400" i="3"/>
  <c r="J419" i="3"/>
  <c r="J423" i="3"/>
  <c r="J449" i="3"/>
  <c r="J501" i="3"/>
  <c r="J516" i="3"/>
  <c r="J535" i="3"/>
  <c r="J560" i="3"/>
  <c r="J577" i="3"/>
  <c r="J625" i="3"/>
  <c r="J627" i="3"/>
  <c r="J676" i="3"/>
  <c r="J719" i="3"/>
  <c r="J742" i="3"/>
  <c r="J744" i="3"/>
  <c r="J751" i="3"/>
  <c r="J754" i="3"/>
  <c r="J756" i="3"/>
  <c r="J786" i="3"/>
  <c r="J789" i="3"/>
  <c r="J810" i="3"/>
  <c r="J813" i="3"/>
  <c r="J814" i="3"/>
  <c r="J842" i="3"/>
  <c r="J872" i="3"/>
  <c r="J887" i="3"/>
  <c r="J924" i="3"/>
  <c r="J925" i="3"/>
  <c r="J934" i="3"/>
  <c r="J981" i="3"/>
  <c r="J1018" i="3"/>
  <c r="J1059" i="3"/>
  <c r="J1075" i="3"/>
  <c r="J1082" i="3"/>
  <c r="J1085" i="3"/>
  <c r="J1087" i="3"/>
  <c r="J1091" i="3"/>
  <c r="J1104" i="3"/>
  <c r="J1109" i="3"/>
  <c r="J1151" i="3"/>
  <c r="J1174" i="3"/>
  <c r="J1195" i="3"/>
  <c r="J1225" i="3"/>
  <c r="J1268" i="3"/>
  <c r="J1331" i="3"/>
  <c r="J1334" i="3"/>
  <c r="J1373" i="3"/>
  <c r="J1406" i="3"/>
  <c r="J1407" i="3"/>
  <c r="J1446" i="3"/>
  <c r="J1463" i="3"/>
  <c r="J1509" i="3"/>
  <c r="J1579" i="3"/>
  <c r="J1616" i="3"/>
  <c r="J1636" i="3"/>
  <c r="J1666" i="3"/>
  <c r="J1675" i="3"/>
  <c r="J1692" i="3"/>
  <c r="J1731" i="3"/>
  <c r="J1749" i="3"/>
  <c r="J1814" i="3"/>
  <c r="J1829" i="3"/>
  <c r="J1992" i="3"/>
  <c r="J2016" i="3"/>
  <c r="J2046" i="3"/>
  <c r="J2050" i="3"/>
  <c r="J2116" i="3"/>
  <c r="J2121" i="3"/>
  <c r="J2162" i="3"/>
  <c r="J2191" i="3"/>
  <c r="J2212" i="3"/>
  <c r="J2220" i="3"/>
  <c r="J2300" i="3"/>
  <c r="J2369" i="3"/>
  <c r="J2377" i="3"/>
  <c r="J2406" i="3"/>
  <c r="J2438" i="3"/>
  <c r="J2441" i="3"/>
  <c r="J2477" i="3"/>
  <c r="J2554" i="3"/>
  <c r="J2558" i="3"/>
  <c r="J2577" i="3"/>
  <c r="J2622" i="3"/>
  <c r="J2661" i="3"/>
  <c r="J2673" i="3"/>
  <c r="J2683" i="3"/>
  <c r="J2704" i="3"/>
  <c r="J2747" i="3"/>
  <c r="J2794" i="3"/>
  <c r="J2821" i="3"/>
  <c r="J2841" i="3"/>
  <c r="J2877" i="3"/>
  <c r="J2879" i="3"/>
  <c r="J2888" i="3"/>
  <c r="J2889" i="3"/>
  <c r="J2891" i="3"/>
  <c r="J2912" i="3"/>
  <c r="J2933" i="3"/>
  <c r="J2937" i="3"/>
  <c r="J2952" i="3"/>
  <c r="J2996" i="3"/>
  <c r="J3003" i="3"/>
  <c r="J3016" i="3"/>
  <c r="J3017" i="3"/>
  <c r="J3040" i="3"/>
  <c r="J3043" i="3"/>
  <c r="J3059" i="3"/>
  <c r="J3099" i="3"/>
  <c r="J3142" i="3"/>
  <c r="J3233" i="3"/>
  <c r="J3235" i="3"/>
  <c r="J3237" i="3"/>
  <c r="J3240" i="3"/>
  <c r="J3271" i="3"/>
  <c r="J3337" i="3"/>
  <c r="J3340" i="3"/>
  <c r="J3385" i="3"/>
  <c r="J3441" i="3"/>
  <c r="J3459" i="3"/>
  <c r="J3461" i="3"/>
  <c r="J3485" i="3"/>
  <c r="J3517" i="3"/>
  <c r="J3541" i="3"/>
  <c r="J3563" i="3"/>
  <c r="J3568" i="3"/>
  <c r="J3610" i="3"/>
  <c r="J3619" i="3"/>
  <c r="J3634" i="3"/>
  <c r="J3663" i="3"/>
  <c r="J3680" i="3"/>
  <c r="J3689" i="3"/>
  <c r="J3822" i="3"/>
  <c r="J3829" i="3"/>
  <c r="J3845" i="3"/>
  <c r="J3859" i="3"/>
  <c r="J3861" i="3"/>
  <c r="J3921" i="3"/>
  <c r="J3936" i="3"/>
  <c r="J3937" i="3"/>
  <c r="J3947" i="3"/>
  <c r="J3959" i="3"/>
  <c r="J4128" i="3"/>
  <c r="J4172" i="3"/>
  <c r="J4193" i="3"/>
  <c r="J4213" i="3"/>
  <c r="J4282" i="3"/>
  <c r="J4379" i="3"/>
  <c r="J4472" i="3"/>
  <c r="J4525" i="3"/>
  <c r="J4562" i="3"/>
  <c r="J4573" i="3"/>
  <c r="J4625" i="3"/>
  <c r="J4651" i="3"/>
  <c r="J4697" i="3"/>
  <c r="J4729" i="3"/>
  <c r="J4736" i="3"/>
  <c r="J4798" i="3"/>
  <c r="J4830" i="3"/>
  <c r="J323" i="3"/>
  <c r="J526" i="3"/>
  <c r="J1423" i="3"/>
  <c r="J2166" i="3"/>
  <c r="J2186" i="3"/>
  <c r="J2344" i="3"/>
  <c r="J2799" i="3"/>
  <c r="J2931" i="3"/>
  <c r="J3058" i="3"/>
  <c r="J3710" i="3"/>
  <c r="J4134" i="3"/>
  <c r="J4167" i="3"/>
  <c r="J4208" i="3"/>
  <c r="J4682" i="3"/>
  <c r="J1315" i="3"/>
  <c r="J2210" i="3"/>
  <c r="J2222" i="3"/>
  <c r="J2394" i="3"/>
  <c r="J2418" i="3"/>
  <c r="J3469" i="3"/>
  <c r="J3824" i="3"/>
  <c r="J4484" i="3"/>
  <c r="J4733" i="3"/>
  <c r="J4825" i="3"/>
  <c r="J86" i="3"/>
  <c r="J235" i="3"/>
  <c r="J280" i="3"/>
  <c r="J289" i="3"/>
  <c r="J331" i="3"/>
  <c r="J351" i="3"/>
  <c r="J497" i="3"/>
  <c r="J505" i="3"/>
  <c r="J520" i="3"/>
  <c r="J521" i="3"/>
  <c r="J653" i="3"/>
  <c r="J673" i="3"/>
  <c r="J696" i="3"/>
  <c r="J702" i="3"/>
  <c r="J812" i="3"/>
  <c r="J829" i="3"/>
  <c r="J965" i="3"/>
  <c r="J978" i="3"/>
  <c r="J1045" i="3"/>
  <c r="J1064" i="3"/>
  <c r="J1118" i="3"/>
  <c r="J1249" i="3"/>
  <c r="J1325" i="3"/>
  <c r="J1363" i="3"/>
  <c r="J1493" i="3"/>
  <c r="J1504" i="3"/>
  <c r="J1517" i="3"/>
  <c r="J1532" i="3"/>
  <c r="J1607" i="3"/>
  <c r="J1707" i="3"/>
  <c r="J1757" i="3"/>
  <c r="J1805" i="3"/>
  <c r="J2003" i="3"/>
  <c r="J2043" i="3"/>
  <c r="J2095" i="3"/>
  <c r="J2271" i="3"/>
  <c r="J2290" i="3"/>
  <c r="J2340" i="3"/>
  <c r="J2341" i="3"/>
  <c r="J2423" i="3"/>
  <c r="J2484" i="3"/>
  <c r="J2506" i="3"/>
  <c r="J2544" i="3"/>
  <c r="J2572" i="3"/>
  <c r="J2603" i="3"/>
  <c r="J2638" i="3"/>
  <c r="J2716" i="3"/>
  <c r="J2744" i="3"/>
  <c r="J2836" i="3"/>
  <c r="J2919" i="3"/>
  <c r="J2927" i="3"/>
  <c r="J2928" i="3"/>
  <c r="J2994" i="3"/>
  <c r="J3041" i="3"/>
  <c r="J3096" i="3"/>
  <c r="J3104" i="3"/>
  <c r="J3108" i="3"/>
  <c r="J3123" i="3"/>
  <c r="J3126" i="3"/>
  <c r="J3167" i="3"/>
  <c r="J3179" i="3"/>
  <c r="J3292" i="3"/>
  <c r="J3333" i="3"/>
  <c r="J3344" i="3"/>
  <c r="J3393" i="3"/>
  <c r="J3399" i="3"/>
  <c r="J3435" i="3"/>
  <c r="J3530" i="3"/>
  <c r="J3558" i="3"/>
  <c r="J3564" i="3"/>
  <c r="J3678" i="3"/>
  <c r="J3720" i="3"/>
  <c r="J3723" i="3"/>
  <c r="J3725" i="3"/>
  <c r="J3736" i="3"/>
  <c r="J3811" i="3"/>
  <c r="J3821" i="3"/>
  <c r="J3869" i="3"/>
  <c r="J3966" i="3"/>
  <c r="J4033" i="3"/>
  <c r="J4141" i="3"/>
  <c r="J4157" i="3"/>
  <c r="J4165" i="3"/>
  <c r="J4198" i="3"/>
  <c r="J4202" i="3"/>
  <c r="J4309" i="3"/>
  <c r="J4319" i="3"/>
  <c r="J4339" i="3"/>
  <c r="J4421" i="3"/>
  <c r="J4443" i="3"/>
  <c r="J4558" i="3"/>
  <c r="J4708" i="3"/>
  <c r="J4709" i="3"/>
  <c r="J4759" i="3"/>
  <c r="J4766" i="3"/>
  <c r="J4784" i="3"/>
  <c r="J62" i="3"/>
  <c r="J66" i="3"/>
  <c r="J113" i="3"/>
  <c r="J164" i="3"/>
  <c r="J169" i="3"/>
  <c r="J213" i="3"/>
  <c r="J231" i="3"/>
  <c r="J382" i="3"/>
  <c r="J387" i="3"/>
  <c r="J525" i="3"/>
  <c r="J534" i="3"/>
  <c r="J536" i="3"/>
  <c r="J583" i="3"/>
  <c r="J615" i="3"/>
  <c r="J722" i="3"/>
  <c r="J745" i="3"/>
  <c r="J787" i="3"/>
  <c r="J799" i="3"/>
  <c r="J817" i="3"/>
  <c r="J832" i="3"/>
  <c r="J1001" i="3"/>
  <c r="J1021" i="3"/>
  <c r="J1049" i="3"/>
  <c r="J1083" i="3"/>
  <c r="J1191" i="3"/>
  <c r="J1243" i="3"/>
  <c r="J1260" i="3"/>
  <c r="J1287" i="3"/>
  <c r="J1292" i="3"/>
  <c r="J1299" i="3"/>
  <c r="J1302" i="3"/>
  <c r="J1304" i="3"/>
  <c r="J1327" i="3"/>
  <c r="J1448" i="3"/>
  <c r="J1455" i="3"/>
  <c r="J1487" i="3"/>
  <c r="J1510" i="3"/>
  <c r="J1553" i="3"/>
  <c r="J1559" i="3"/>
  <c r="J1570" i="3"/>
  <c r="J1601" i="3"/>
  <c r="J1632" i="3"/>
  <c r="J1638" i="3"/>
  <c r="J1751" i="3"/>
  <c r="J1754" i="3"/>
  <c r="J1755" i="3"/>
  <c r="J1923" i="3"/>
  <c r="J2018" i="3"/>
  <c r="J2025" i="3"/>
  <c r="J2033" i="3"/>
  <c r="J2119" i="3"/>
  <c r="J2156" i="3"/>
  <c r="J2165" i="3"/>
  <c r="J2184" i="3"/>
  <c r="J2188" i="3"/>
  <c r="J2217" i="3"/>
  <c r="J2238" i="3"/>
  <c r="J2318" i="3"/>
  <c r="J2324" i="3"/>
  <c r="J2431" i="3"/>
  <c r="J2432" i="3"/>
  <c r="J2448" i="3"/>
  <c r="J2458" i="3"/>
  <c r="J2509" i="3"/>
  <c r="J2523" i="3"/>
  <c r="J2540" i="3"/>
  <c r="J2571" i="3"/>
  <c r="J2647" i="3"/>
  <c r="J2655" i="3"/>
  <c r="J2695" i="3"/>
  <c r="J2864" i="3"/>
  <c r="J2874" i="3"/>
  <c r="J2881" i="3"/>
  <c r="J2893" i="3"/>
  <c r="J2899" i="3"/>
  <c r="J2930" i="3"/>
  <c r="J2999" i="3"/>
  <c r="J3021" i="3"/>
  <c r="J3078" i="3"/>
  <c r="J3135" i="3"/>
  <c r="J3213" i="3"/>
  <c r="J3273" i="3"/>
  <c r="J3286" i="3"/>
  <c r="J3310" i="3"/>
  <c r="J3327" i="3"/>
  <c r="J3347" i="3"/>
  <c r="J3439" i="3"/>
  <c r="J3511" i="3"/>
  <c r="J3613" i="3"/>
  <c r="J3614" i="3"/>
  <c r="J3669" i="3"/>
  <c r="J3784" i="3"/>
  <c r="J3809" i="3"/>
  <c r="J3866" i="3"/>
  <c r="J3923" i="3"/>
  <c r="J3999" i="3"/>
  <c r="J4022" i="3"/>
  <c r="J4032" i="3"/>
  <c r="J4135" i="3"/>
  <c r="J4140" i="3"/>
  <c r="J4145" i="3"/>
  <c r="J4158" i="3"/>
  <c r="J4194" i="3"/>
  <c r="J4210" i="3"/>
  <c r="J4211" i="3"/>
  <c r="J4223" i="3"/>
  <c r="J4302" i="3"/>
  <c r="J4375" i="3"/>
  <c r="J4376" i="3"/>
  <c r="J4416" i="3"/>
  <c r="J4670" i="3"/>
  <c r="J4675" i="3"/>
  <c r="J4726" i="3"/>
  <c r="J4815" i="3"/>
  <c r="J14" i="3"/>
  <c r="J65" i="3"/>
  <c r="J67" i="3"/>
  <c r="J75" i="3"/>
  <c r="J82" i="3"/>
  <c r="J115" i="3"/>
  <c r="J118" i="3"/>
  <c r="J148" i="3"/>
  <c r="J151" i="3"/>
  <c r="J175" i="3"/>
  <c r="J178" i="3"/>
  <c r="J181" i="3"/>
  <c r="J204" i="3"/>
  <c r="J294" i="3"/>
  <c r="J394" i="3"/>
  <c r="J408" i="3"/>
  <c r="J454" i="3"/>
  <c r="J474" i="3"/>
  <c r="J485" i="3"/>
  <c r="J488" i="3"/>
  <c r="J490" i="3"/>
  <c r="J493" i="3"/>
  <c r="J544" i="3"/>
  <c r="J556" i="3"/>
  <c r="J571" i="3"/>
  <c r="J574" i="3"/>
  <c r="J576" i="3"/>
  <c r="J579" i="3"/>
  <c r="J608" i="3"/>
  <c r="J629" i="3"/>
  <c r="J650" i="3"/>
  <c r="J674" i="3"/>
  <c r="J677" i="3"/>
  <c r="J779" i="3"/>
  <c r="J796" i="3"/>
  <c r="J826" i="3"/>
  <c r="J847" i="3"/>
  <c r="J869" i="3"/>
  <c r="J899" i="3"/>
  <c r="J926" i="3"/>
  <c r="J930" i="3"/>
  <c r="J942" i="3"/>
  <c r="J947" i="3"/>
  <c r="J953" i="3"/>
  <c r="J956" i="3"/>
  <c r="J967" i="3"/>
  <c r="J971" i="3"/>
  <c r="J982" i="3"/>
  <c r="J991" i="3"/>
  <c r="J1031" i="3"/>
  <c r="J1037" i="3"/>
  <c r="J1042" i="3"/>
  <c r="J1063" i="3"/>
  <c r="J1105" i="3"/>
  <c r="J1119" i="3"/>
  <c r="J1134" i="3"/>
  <c r="J1177" i="3"/>
  <c r="J1192" i="3"/>
  <c r="J1194" i="3"/>
  <c r="J1219" i="3"/>
  <c r="J1285" i="3"/>
  <c r="J1314" i="3"/>
  <c r="J1355" i="3"/>
  <c r="J1415" i="3"/>
  <c r="J1435" i="3"/>
  <c r="J1436" i="3"/>
  <c r="J1466" i="3"/>
  <c r="J1498" i="3"/>
  <c r="J1508" i="3"/>
  <c r="J1511" i="3"/>
  <c r="J1566" i="3"/>
  <c r="J1574" i="3"/>
  <c r="J1580" i="3"/>
  <c r="J1589" i="3"/>
  <c r="J1642" i="3"/>
  <c r="J1655" i="3"/>
  <c r="J1682" i="3"/>
  <c r="J1685" i="3"/>
  <c r="J1694" i="3"/>
  <c r="J1710" i="3"/>
  <c r="J1714" i="3"/>
  <c r="J1726" i="3"/>
  <c r="J1727" i="3"/>
  <c r="J1732" i="3"/>
  <c r="J1768" i="3"/>
  <c r="J1825" i="3"/>
  <c r="J1915" i="3"/>
  <c r="J1933" i="3"/>
  <c r="J1954" i="3"/>
  <c r="J1956" i="3"/>
  <c r="J1970" i="3"/>
  <c r="J1977" i="3"/>
  <c r="J1985" i="3"/>
  <c r="J2028" i="3"/>
  <c r="J2029" i="3"/>
  <c r="J2038" i="3"/>
  <c r="J2052" i="3"/>
  <c r="J2063" i="3"/>
  <c r="J2072" i="3"/>
  <c r="J2107" i="3"/>
  <c r="J2181" i="3"/>
  <c r="J2226" i="3"/>
  <c r="J2239" i="3"/>
  <c r="J2302" i="3"/>
  <c r="J2310" i="3"/>
  <c r="J2392" i="3"/>
  <c r="J2414" i="3"/>
  <c r="J2443" i="3"/>
  <c r="J2467" i="3"/>
  <c r="J2486" i="3"/>
  <c r="J2494" i="3"/>
  <c r="J2496" i="3"/>
  <c r="J2502" i="3"/>
  <c r="J2552" i="3"/>
  <c r="J2564" i="3"/>
  <c r="J2578" i="3"/>
  <c r="J2584" i="3"/>
  <c r="J2585" i="3"/>
  <c r="J2606" i="3"/>
  <c r="J2609" i="3"/>
  <c r="J2698" i="3"/>
  <c r="J2699" i="3"/>
  <c r="J2758" i="3"/>
  <c r="J2805" i="3"/>
  <c r="J2824" i="3"/>
  <c r="J2826" i="3"/>
  <c r="J2840" i="3"/>
  <c r="J2857" i="3"/>
  <c r="J2866" i="3"/>
  <c r="J2908" i="3"/>
  <c r="J3008" i="3"/>
  <c r="J3012" i="3"/>
  <c r="J3028" i="3"/>
  <c r="J3056" i="3"/>
  <c r="J3128" i="3"/>
  <c r="J3145" i="3"/>
  <c r="J3147" i="3"/>
  <c r="J3162" i="3"/>
  <c r="J3268" i="3"/>
  <c r="J3280" i="3"/>
  <c r="J3324" i="3"/>
  <c r="J3362" i="3"/>
  <c r="J3366" i="3"/>
  <c r="J3432" i="3"/>
  <c r="J3440" i="3"/>
  <c r="J3444" i="3"/>
  <c r="J3451" i="3"/>
  <c r="J3484" i="3"/>
  <c r="J3512" i="3"/>
  <c r="J3589" i="3"/>
  <c r="J3599" i="3"/>
  <c r="J3601" i="3"/>
  <c r="J3629" i="3"/>
  <c r="J3666" i="3"/>
  <c r="J3671" i="3"/>
  <c r="J3674" i="3"/>
  <c r="J3682" i="3"/>
  <c r="J3761" i="3"/>
  <c r="J3768" i="3"/>
  <c r="J3793" i="3"/>
  <c r="J3874" i="3"/>
  <c r="J3920" i="3"/>
  <c r="J3922" i="3"/>
  <c r="J3963" i="3"/>
  <c r="J3987" i="3"/>
  <c r="J4133" i="3"/>
  <c r="J4142" i="3"/>
  <c r="J4154" i="3"/>
  <c r="J4169" i="3"/>
  <c r="J4187" i="3"/>
  <c r="J4191" i="3"/>
  <c r="J4215" i="3"/>
  <c r="J4235" i="3"/>
  <c r="J4248" i="3"/>
  <c r="N16" i="3"/>
  <c r="N43" i="3"/>
  <c r="N56" i="3"/>
  <c r="N129" i="3"/>
  <c r="N174" i="3"/>
  <c r="N183" i="3"/>
  <c r="N202" i="3"/>
  <c r="N207" i="3"/>
  <c r="N215" i="3"/>
  <c r="N237" i="3"/>
  <c r="N250" i="3"/>
  <c r="N278" i="3"/>
  <c r="N285" i="3"/>
  <c r="N337" i="3"/>
  <c r="N343" i="3"/>
  <c r="N358" i="3"/>
  <c r="N389" i="3"/>
  <c r="N409" i="3"/>
  <c r="N491" i="3"/>
  <c r="N494" i="3"/>
  <c r="N500" i="3"/>
  <c r="N529" i="3"/>
  <c r="N531" i="3"/>
  <c r="N581" i="3"/>
  <c r="N593" i="3"/>
  <c r="N772" i="3"/>
  <c r="N794" i="3"/>
  <c r="N797" i="3"/>
  <c r="N803" i="3"/>
  <c r="N807" i="3"/>
  <c r="N821" i="3"/>
  <c r="N854" i="3"/>
  <c r="N877" i="3"/>
  <c r="N892" i="3"/>
  <c r="N905" i="3"/>
  <c r="N910" i="3"/>
  <c r="N920" i="3"/>
  <c r="N927" i="3"/>
  <c r="N928" i="3"/>
  <c r="N941" i="3"/>
  <c r="N992" i="3"/>
  <c r="N1010" i="3"/>
  <c r="N1052" i="3"/>
  <c r="N1053" i="3"/>
  <c r="N1093" i="3"/>
  <c r="N1101" i="3"/>
  <c r="N1128" i="3"/>
  <c r="N1135" i="3"/>
  <c r="N1245" i="3"/>
  <c r="N1301" i="3"/>
  <c r="N1324" i="3"/>
  <c r="N1349" i="3"/>
  <c r="N1362" i="3"/>
  <c r="N1411" i="3"/>
  <c r="N1425" i="3"/>
  <c r="N1426" i="3"/>
  <c r="N1433" i="3"/>
  <c r="N1444" i="3"/>
  <c r="N1556" i="3"/>
  <c r="N1569" i="3"/>
  <c r="N1629" i="3"/>
  <c r="N1639" i="3"/>
  <c r="N1664" i="3"/>
  <c r="N1713" i="3"/>
  <c r="N1748" i="3"/>
  <c r="N1774" i="3"/>
  <c r="N1784" i="3"/>
  <c r="N1813" i="3"/>
  <c r="N1820" i="3"/>
  <c r="N1838" i="3"/>
  <c r="N1963" i="3"/>
  <c r="N1973" i="3"/>
  <c r="N2000" i="3"/>
  <c r="N2054" i="3"/>
  <c r="N2068" i="3"/>
  <c r="N2101" i="3"/>
  <c r="N2122" i="3"/>
  <c r="N2160" i="3"/>
  <c r="N2233" i="3"/>
  <c r="N2234" i="3"/>
  <c r="N2298" i="3"/>
  <c r="N2332" i="3"/>
  <c r="N2427" i="3"/>
  <c r="N2565" i="3"/>
  <c r="N2586" i="3"/>
  <c r="N2608" i="3"/>
  <c r="N2625" i="3"/>
  <c r="N2641" i="3"/>
  <c r="N2666" i="3"/>
  <c r="N2667" i="3"/>
  <c r="N2691" i="3"/>
  <c r="N2694" i="3"/>
  <c r="N2705" i="3"/>
  <c r="N2720" i="3"/>
  <c r="N2729" i="3"/>
  <c r="N2737" i="3"/>
  <c r="N2738" i="3"/>
  <c r="N2765" i="3"/>
  <c r="N2772" i="3"/>
  <c r="N2779" i="3"/>
  <c r="N2797" i="3"/>
  <c r="N2829" i="3"/>
  <c r="N2834" i="3"/>
  <c r="N2869" i="3"/>
  <c r="N2876" i="3"/>
  <c r="N2896" i="3"/>
  <c r="N2945" i="3"/>
  <c r="N2955" i="3"/>
  <c r="N2998" i="3"/>
  <c r="N3025" i="3"/>
  <c r="N3057" i="3"/>
  <c r="N3089" i="3"/>
  <c r="N3106" i="3"/>
  <c r="N3136" i="3"/>
  <c r="N3189" i="3"/>
  <c r="N3195" i="3"/>
  <c r="N3236" i="3"/>
  <c r="N3267" i="3"/>
  <c r="N3427" i="3"/>
  <c r="N3431" i="3"/>
  <c r="N3460" i="3"/>
  <c r="N3472" i="3"/>
  <c r="N3494" i="3"/>
  <c r="N3502" i="3"/>
  <c r="N3621" i="3"/>
  <c r="N3625" i="3"/>
  <c r="N3638" i="3"/>
  <c r="N3653" i="3"/>
  <c r="N3675" i="3"/>
  <c r="N3695" i="3"/>
  <c r="N3711" i="3"/>
  <c r="N3747" i="3"/>
  <c r="N3796" i="3"/>
  <c r="N3814" i="3"/>
  <c r="N3833" i="3"/>
  <c r="N3841" i="3"/>
  <c r="N3849" i="3"/>
  <c r="N3871" i="3"/>
  <c r="N3961" i="3"/>
  <c r="N3973" i="3"/>
  <c r="N3988" i="3"/>
  <c r="N4088" i="3"/>
  <c r="N4092" i="3"/>
  <c r="N4153" i="3"/>
  <c r="N4188" i="3"/>
  <c r="N4237" i="3"/>
  <c r="N4356" i="3"/>
  <c r="N4385" i="3"/>
  <c r="N4407" i="3"/>
  <c r="N4411" i="3"/>
  <c r="N4422" i="3"/>
  <c r="N4425" i="3"/>
  <c r="N4429" i="3"/>
  <c r="N4447" i="3"/>
  <c r="N4448" i="3"/>
  <c r="N4488" i="3"/>
  <c r="N4537" i="3"/>
  <c r="N4563" i="3"/>
  <c r="N4616" i="3"/>
  <c r="N4658" i="3"/>
  <c r="N4669" i="3"/>
  <c r="N4735" i="3"/>
  <c r="N4738" i="3"/>
  <c r="N4793" i="3"/>
  <c r="N4810" i="3"/>
  <c r="N4819" i="3"/>
  <c r="N27" i="3"/>
  <c r="N31" i="3"/>
  <c r="N144" i="3"/>
  <c r="N156" i="3"/>
  <c r="N179" i="3"/>
  <c r="N282" i="3"/>
  <c r="N284" i="3"/>
  <c r="N341" i="3"/>
  <c r="N344" i="3"/>
  <c r="N360" i="3"/>
  <c r="N406" i="3"/>
  <c r="N432" i="3"/>
  <c r="N439" i="3"/>
  <c r="N441" i="3"/>
  <c r="N456" i="3"/>
  <c r="N498" i="3"/>
  <c r="N502" i="3"/>
  <c r="N514" i="3"/>
  <c r="N590" i="3"/>
  <c r="N599" i="3"/>
  <c r="N619" i="3"/>
  <c r="N621" i="3"/>
  <c r="N681" i="3"/>
  <c r="N692" i="3"/>
  <c r="N727" i="3"/>
  <c r="N731" i="3"/>
  <c r="N732" i="3"/>
  <c r="N733" i="3"/>
  <c r="N783" i="3"/>
  <c r="N800" i="3"/>
  <c r="N862" i="3"/>
  <c r="N878" i="3"/>
  <c r="N898" i="3"/>
  <c r="N999" i="3"/>
  <c r="N1028" i="3"/>
  <c r="N1041" i="3"/>
  <c r="N1072" i="3"/>
  <c r="N1113" i="3"/>
  <c r="N1167" i="3"/>
  <c r="N1171" i="3"/>
  <c r="N1180" i="3"/>
  <c r="N1224" i="3"/>
  <c r="N1265" i="3"/>
  <c r="N1275" i="3"/>
  <c r="N1346" i="3"/>
  <c r="N1360" i="3"/>
  <c r="N1369" i="3"/>
  <c r="N1420" i="3"/>
  <c r="N1481" i="3"/>
  <c r="N1492" i="3"/>
  <c r="N1678" i="3"/>
  <c r="N1717" i="3"/>
  <c r="N1719" i="3"/>
  <c r="N1733" i="3"/>
  <c r="N1736" i="3"/>
  <c r="N1750" i="3"/>
  <c r="N1764" i="3"/>
  <c r="N1893" i="3"/>
  <c r="N1942" i="3"/>
  <c r="N1984" i="3"/>
  <c r="N1998" i="3"/>
  <c r="N2061" i="3"/>
  <c r="N2102" i="3"/>
  <c r="N2123" i="3"/>
  <c r="N2133" i="3"/>
  <c r="N2168" i="3"/>
  <c r="N2179" i="3"/>
  <c r="N2227" i="3"/>
  <c r="N2252" i="3"/>
  <c r="N2261" i="3"/>
  <c r="N2265" i="3"/>
  <c r="N2282" i="3"/>
  <c r="N2296" i="3"/>
  <c r="N2303" i="3"/>
  <c r="N2320" i="3"/>
  <c r="N2323" i="3"/>
  <c r="N2360" i="3"/>
  <c r="N2393" i="3"/>
  <c r="N2420" i="3"/>
  <c r="N2426" i="3"/>
  <c r="N2461" i="3"/>
  <c r="N2546" i="3"/>
  <c r="N2573" i="3"/>
  <c r="N2644" i="3"/>
  <c r="N2653" i="3"/>
  <c r="N2680" i="3"/>
  <c r="N2687" i="3"/>
  <c r="N2721" i="3"/>
  <c r="N2722" i="3"/>
  <c r="N2727" i="3"/>
  <c r="N2730" i="3"/>
  <c r="N2798" i="3"/>
  <c r="N2813" i="3"/>
  <c r="N2816" i="3"/>
  <c r="N2831" i="3"/>
  <c r="N2948" i="3"/>
  <c r="N2974" i="3"/>
  <c r="N3072" i="3"/>
  <c r="N3105" i="3"/>
  <c r="N3121" i="3"/>
  <c r="N3124" i="3"/>
  <c r="N3140" i="3"/>
  <c r="N3193" i="3"/>
  <c r="N3247" i="3"/>
  <c r="N3380" i="3"/>
  <c r="N3404" i="3"/>
  <c r="N3416" i="3"/>
  <c r="N3438" i="3"/>
  <c r="N3480" i="3"/>
  <c r="N3490" i="3"/>
  <c r="N3533" i="3"/>
  <c r="N3535" i="3"/>
  <c r="N3604" i="3"/>
  <c r="N3620" i="3"/>
  <c r="N3667" i="3"/>
  <c r="N3684" i="3"/>
  <c r="N3739" i="3"/>
  <c r="N3742" i="3"/>
  <c r="N3755" i="3"/>
  <c r="N3769" i="3"/>
  <c r="N3802" i="3"/>
  <c r="N3806" i="3"/>
  <c r="N3810" i="3"/>
  <c r="N3857" i="3"/>
  <c r="N3870" i="3"/>
  <c r="N3916" i="3"/>
  <c r="N3924" i="3"/>
  <c r="N3942" i="3"/>
  <c r="N3969" i="3"/>
  <c r="N3982" i="3"/>
  <c r="N4003" i="3"/>
  <c r="N4027" i="3"/>
  <c r="N4030" i="3"/>
  <c r="N4042" i="3"/>
  <c r="N4098" i="3"/>
  <c r="N4104" i="3"/>
  <c r="N4106" i="3"/>
  <c r="N4114" i="3"/>
  <c r="N4117" i="3"/>
  <c r="N4149" i="3"/>
  <c r="N4150" i="3"/>
  <c r="N4152" i="3"/>
  <c r="N4298" i="3"/>
  <c r="N4308" i="3"/>
  <c r="N4321" i="3"/>
  <c r="N4390" i="3"/>
  <c r="N4403" i="3"/>
  <c r="N4520" i="3"/>
  <c r="N4531" i="3"/>
  <c r="N4643" i="3"/>
  <c r="N4717" i="3"/>
  <c r="N4751" i="3"/>
  <c r="N4772" i="3"/>
  <c r="N4779" i="3"/>
  <c r="N4796" i="3"/>
  <c r="N4820" i="3"/>
  <c r="N133" i="3"/>
  <c r="N141" i="3"/>
  <c r="N143" i="3"/>
  <c r="N288" i="3"/>
  <c r="N291" i="3"/>
  <c r="N375" i="3"/>
  <c r="N524" i="3"/>
  <c r="N527" i="3"/>
  <c r="N528" i="3"/>
  <c r="N657" i="3"/>
  <c r="N688" i="3"/>
  <c r="N715" i="3"/>
  <c r="N740" i="3"/>
  <c r="N801" i="3"/>
  <c r="N853" i="3"/>
  <c r="N946" i="3"/>
  <c r="N955" i="3"/>
  <c r="N1020" i="3"/>
  <c r="N1039" i="3"/>
  <c r="N1067" i="3"/>
  <c r="N1107" i="3"/>
  <c r="N1138" i="3"/>
  <c r="N1140" i="3"/>
  <c r="N1147" i="3"/>
  <c r="N1256" i="3"/>
  <c r="N1257" i="3"/>
  <c r="N1264" i="3"/>
  <c r="N1298" i="3"/>
  <c r="N1312" i="3"/>
  <c r="N1441" i="3"/>
  <c r="N1568" i="3"/>
  <c r="N1648" i="3"/>
  <c r="N1651" i="3"/>
  <c r="N1689" i="3"/>
  <c r="N1696" i="3"/>
  <c r="N1697" i="3"/>
  <c r="N1780" i="3"/>
  <c r="N1920" i="3"/>
  <c r="N1947" i="3"/>
  <c r="N1996" i="3"/>
  <c r="N2105" i="3"/>
  <c r="N2127" i="3"/>
  <c r="N2193" i="3"/>
  <c r="N2242" i="3"/>
  <c r="N2258" i="3"/>
  <c r="N2274" i="3"/>
  <c r="N2353" i="3"/>
  <c r="N2375" i="3"/>
  <c r="N2384" i="3"/>
  <c r="N2396" i="3"/>
  <c r="N2575" i="3"/>
  <c r="N2588" i="3"/>
  <c r="N2618" i="3"/>
  <c r="N2761" i="3"/>
  <c r="N2830" i="3"/>
  <c r="N2897" i="3"/>
  <c r="N3094" i="3"/>
  <c r="N3111" i="3"/>
  <c r="N3156" i="3"/>
  <c r="N3187" i="3"/>
  <c r="N3269" i="3"/>
  <c r="N3282" i="3"/>
  <c r="N3285" i="3"/>
  <c r="N3288" i="3"/>
  <c r="N3363" i="3"/>
  <c r="N3364" i="3"/>
  <c r="N3374" i="3"/>
  <c r="N3424" i="3"/>
  <c r="N3452" i="3"/>
  <c r="N3474" i="3"/>
  <c r="N3514" i="3"/>
  <c r="N3691" i="3"/>
  <c r="N3751" i="3"/>
  <c r="N3757" i="3"/>
  <c r="N3758" i="3"/>
  <c r="N3913" i="3"/>
  <c r="N3931" i="3"/>
  <c r="N3968" i="3"/>
  <c r="N3980" i="3"/>
  <c r="N4039" i="3"/>
  <c r="N4103" i="3"/>
  <c r="N4108" i="3"/>
  <c r="N4113" i="3"/>
  <c r="N4195" i="3"/>
  <c r="N4252" i="3"/>
  <c r="N4397" i="3"/>
  <c r="N4517" i="3"/>
  <c r="N4609" i="3"/>
  <c r="N4696" i="3"/>
  <c r="N4834" i="3"/>
  <c r="N53" i="3"/>
  <c r="N90" i="3"/>
  <c r="N123" i="3"/>
  <c r="N152" i="3"/>
  <c r="N182" i="3"/>
  <c r="N244" i="3"/>
  <c r="N429" i="3"/>
  <c r="N512" i="3"/>
  <c r="N607" i="3"/>
  <c r="N636" i="3"/>
  <c r="N717" i="3"/>
  <c r="N720" i="3"/>
  <c r="N739" i="3"/>
  <c r="N747" i="3"/>
  <c r="N923" i="3"/>
  <c r="N931" i="3"/>
  <c r="N993" i="3"/>
  <c r="N1019" i="3"/>
  <c r="N1159" i="3"/>
  <c r="N1162" i="3"/>
  <c r="N1319" i="3"/>
  <c r="N1341" i="3"/>
  <c r="N1354" i="3"/>
  <c r="N1358" i="3"/>
  <c r="N1376" i="3"/>
  <c r="N1445" i="3"/>
  <c r="N1533" i="3"/>
  <c r="N1539" i="3"/>
  <c r="N1561" i="3"/>
  <c r="N1615" i="3"/>
  <c r="N1834" i="3"/>
  <c r="N1859" i="3"/>
  <c r="N1927" i="3"/>
  <c r="N1939" i="3"/>
  <c r="N1945" i="3"/>
  <c r="N2027" i="3"/>
  <c r="N2089" i="3"/>
  <c r="N2108" i="3"/>
  <c r="N2159" i="3"/>
  <c r="N2163" i="3"/>
  <c r="N2171" i="3"/>
  <c r="N2250" i="3"/>
  <c r="N2472" i="3"/>
  <c r="N2518" i="3"/>
  <c r="N2614" i="3"/>
  <c r="N2640" i="3"/>
  <c r="N2651" i="3"/>
  <c r="N2717" i="3"/>
  <c r="N2723" i="3"/>
  <c r="N2863" i="3"/>
  <c r="N2868" i="3"/>
  <c r="N2950" i="3"/>
  <c r="N2992" i="3"/>
  <c r="N2997" i="3"/>
  <c r="N3061" i="3"/>
  <c r="N3064" i="3"/>
  <c r="N3075" i="3"/>
  <c r="N3102" i="3"/>
  <c r="N3119" i="3"/>
  <c r="N3133" i="3"/>
  <c r="N3208" i="3"/>
  <c r="N3214" i="3"/>
  <c r="N3321" i="3"/>
  <c r="N3397" i="3"/>
  <c r="N3590" i="3"/>
  <c r="N3687" i="3"/>
  <c r="N3698" i="3"/>
  <c r="N3726" i="3"/>
  <c r="N3738" i="3"/>
  <c r="N3762" i="3"/>
  <c r="N3800" i="3"/>
  <c r="N3858" i="3"/>
  <c r="N3914" i="3"/>
  <c r="N4019" i="3"/>
  <c r="N4105" i="3"/>
  <c r="N4192" i="3"/>
  <c r="N4229" i="3"/>
  <c r="N4262" i="3"/>
  <c r="N4303" i="3"/>
  <c r="N4393" i="3"/>
  <c r="N4440" i="3"/>
  <c r="N4727" i="3"/>
  <c r="N41" i="3"/>
  <c r="N105" i="3"/>
  <c r="N107" i="3"/>
  <c r="N428" i="3"/>
  <c r="N1029" i="3"/>
  <c r="N1157" i="3"/>
  <c r="N1307" i="3"/>
  <c r="N1421" i="3"/>
  <c r="N1484" i="3"/>
  <c r="N1575" i="3"/>
  <c r="N1803" i="3"/>
  <c r="N1832" i="3"/>
  <c r="N1931" i="3"/>
  <c r="N1968" i="3"/>
  <c r="N1989" i="3"/>
  <c r="N2091" i="3"/>
  <c r="N2104" i="3"/>
  <c r="N2111" i="3"/>
  <c r="N2307" i="3"/>
  <c r="N2321" i="3"/>
  <c r="N2517" i="3"/>
  <c r="N2534" i="3"/>
  <c r="N2620" i="3"/>
  <c r="N2726" i="3"/>
  <c r="N2820" i="3"/>
  <c r="N2859" i="3"/>
  <c r="N2918" i="3"/>
  <c r="N2964" i="3"/>
  <c r="N3063" i="3"/>
  <c r="N3117" i="3"/>
  <c r="N3220" i="3"/>
  <c r="N3299" i="3"/>
  <c r="N3342" i="3"/>
  <c r="N3384" i="3"/>
  <c r="N3407" i="3"/>
  <c r="N3466" i="3"/>
  <c r="N3501" i="3"/>
  <c r="N3526" i="3"/>
  <c r="N3554" i="3"/>
  <c r="N3579" i="3"/>
  <c r="N3693" i="3"/>
  <c r="N3840" i="3"/>
  <c r="N3946" i="3"/>
  <c r="N4255" i="3"/>
  <c r="N4420" i="3"/>
  <c r="N4433" i="3"/>
  <c r="N4634" i="3"/>
  <c r="N198" i="3"/>
  <c r="N393" i="3"/>
  <c r="N397" i="3"/>
  <c r="N465" i="3"/>
  <c r="N499" i="3"/>
  <c r="N622" i="3"/>
  <c r="N752" i="3"/>
  <c r="N830" i="3"/>
  <c r="N884" i="3"/>
  <c r="N943" i="3"/>
  <c r="N1054" i="3"/>
  <c r="N1145" i="3"/>
  <c r="N1479" i="3"/>
  <c r="N1544" i="3"/>
  <c r="N1573" i="3"/>
  <c r="N1700" i="3"/>
  <c r="N1810" i="3"/>
  <c r="N2067" i="3"/>
  <c r="N2113" i="3"/>
  <c r="N2292" i="3"/>
  <c r="N2605" i="3"/>
  <c r="N2657" i="3"/>
  <c r="N2664" i="3"/>
  <c r="N2693" i="3"/>
  <c r="N2977" i="3"/>
  <c r="N3019" i="3"/>
  <c r="N3023" i="3"/>
  <c r="N3356" i="3"/>
  <c r="N3378" i="3"/>
  <c r="N3448" i="3"/>
  <c r="N3681" i="3"/>
  <c r="N3779" i="3"/>
  <c r="N3862" i="3"/>
  <c r="N3894" i="3"/>
  <c r="N3912" i="3"/>
  <c r="N3927" i="3"/>
  <c r="N3993" i="3"/>
  <c r="N4000" i="3"/>
  <c r="N4080" i="3"/>
  <c r="N4374" i="3"/>
  <c r="N4378" i="3"/>
  <c r="N4389" i="3"/>
  <c r="N4436" i="3"/>
  <c r="N4496" i="3"/>
  <c r="N4684" i="3"/>
  <c r="N4811" i="3"/>
  <c r="N64" i="3"/>
  <c r="N153" i="3"/>
  <c r="N200" i="3"/>
  <c r="N373" i="3"/>
  <c r="N410" i="3"/>
  <c r="N550" i="3"/>
  <c r="N823" i="3"/>
  <c r="N846" i="3"/>
  <c r="N963" i="3"/>
  <c r="N969" i="3"/>
  <c r="N1033" i="3"/>
  <c r="N1203" i="3"/>
  <c r="N1333" i="3"/>
  <c r="N1440" i="3"/>
  <c r="N1609" i="3"/>
  <c r="N1706" i="3"/>
  <c r="N1762" i="3"/>
  <c r="N1890" i="3"/>
  <c r="N1895" i="3"/>
  <c r="N2096" i="3"/>
  <c r="N2124" i="3"/>
  <c r="N2137" i="3"/>
  <c r="N2228" i="3"/>
  <c r="N2263" i="3"/>
  <c r="N2275" i="3"/>
  <c r="N2308" i="3"/>
  <c r="N2358" i="3"/>
  <c r="N2378" i="3"/>
  <c r="N2442" i="3"/>
  <c r="N2527" i="3"/>
  <c r="N2663" i="3"/>
  <c r="N2739" i="3"/>
  <c r="N2759" i="3"/>
  <c r="N2793" i="3"/>
  <c r="N2811" i="3"/>
  <c r="N2850" i="3"/>
  <c r="N2965" i="3"/>
  <c r="N3045" i="3"/>
  <c r="N3110" i="3"/>
  <c r="N3118" i="3"/>
  <c r="N3192" i="3"/>
  <c r="N3371" i="3"/>
  <c r="N3402" i="3"/>
  <c r="N3446" i="3"/>
  <c r="N3565" i="3"/>
  <c r="N3651" i="3"/>
  <c r="N3724" i="3"/>
  <c r="N3890" i="3"/>
  <c r="N3910" i="3"/>
  <c r="N4028" i="3"/>
  <c r="N4034" i="3"/>
  <c r="N4177" i="3"/>
  <c r="N4184" i="3"/>
  <c r="N4340" i="3"/>
  <c r="N4388" i="3"/>
  <c r="N4463" i="3"/>
  <c r="N4479" i="3"/>
  <c r="N4572" i="3"/>
  <c r="N4598" i="3"/>
  <c r="N4633" i="3"/>
  <c r="N4640" i="3"/>
  <c r="N4661" i="3"/>
  <c r="N4720" i="3"/>
  <c r="N4780" i="3"/>
  <c r="N4809" i="3"/>
  <c r="N189" i="3"/>
  <c r="N255" i="3"/>
  <c r="N384" i="3"/>
  <c r="N402" i="3"/>
  <c r="N447" i="3"/>
  <c r="N482" i="3"/>
  <c r="N495" i="3"/>
  <c r="N549" i="3"/>
  <c r="N558" i="3"/>
  <c r="N644" i="3"/>
  <c r="N682" i="3"/>
  <c r="N781" i="3"/>
  <c r="N795" i="3"/>
  <c r="N903" i="3"/>
  <c r="N919" i="3"/>
  <c r="N1004" i="3"/>
  <c r="N1073" i="3"/>
  <c r="N1124" i="3"/>
  <c r="N1185" i="3"/>
  <c r="N1230" i="3"/>
  <c r="N1259" i="3"/>
  <c r="N1311" i="3"/>
  <c r="N1342" i="3"/>
  <c r="N1344" i="3"/>
  <c r="N1378" i="3"/>
  <c r="N1447" i="3"/>
  <c r="N1486" i="3"/>
  <c r="N1551" i="3"/>
  <c r="N1618" i="3"/>
  <c r="N1644" i="3"/>
  <c r="N1828" i="3"/>
  <c r="N1905" i="3"/>
  <c r="N1971" i="3"/>
  <c r="N2073" i="3"/>
  <c r="N2142" i="3"/>
  <c r="N2167" i="3"/>
  <c r="N2280" i="3"/>
  <c r="N2316" i="3"/>
  <c r="N2459" i="3"/>
  <c r="N2492" i="3"/>
  <c r="N2607" i="3"/>
  <c r="N2616" i="3"/>
  <c r="N2662" i="3"/>
  <c r="N2796" i="3"/>
  <c r="N2800" i="3"/>
  <c r="N2894" i="3"/>
  <c r="N2959" i="3"/>
  <c r="N2962" i="3"/>
  <c r="N2968" i="3"/>
  <c r="N3047" i="3"/>
  <c r="N3068" i="3"/>
  <c r="N3320" i="3"/>
  <c r="N3349" i="3"/>
  <c r="N3462" i="3"/>
  <c r="N3516" i="3"/>
  <c r="N3578" i="3"/>
  <c r="N3616" i="3"/>
  <c r="N3647" i="3"/>
  <c r="N3659" i="3"/>
  <c r="N3716" i="3"/>
  <c r="N3740" i="3"/>
  <c r="N3797" i="3"/>
  <c r="N3801" i="3"/>
  <c r="N3847" i="3"/>
  <c r="N4166" i="3"/>
  <c r="N4266" i="3"/>
  <c r="N4289" i="3"/>
  <c r="N4325" i="3"/>
  <c r="N4453" i="3"/>
  <c r="N4553" i="3"/>
  <c r="N4619" i="3"/>
  <c r="N4707" i="3"/>
  <c r="N4744" i="3"/>
  <c r="N4749" i="3"/>
  <c r="N4791" i="3"/>
  <c r="N29" i="3"/>
  <c r="N50" i="3"/>
  <c r="N116" i="3"/>
  <c r="N145" i="3"/>
  <c r="N193" i="3"/>
  <c r="N346" i="3"/>
  <c r="N357" i="3"/>
  <c r="N472" i="3"/>
  <c r="N573" i="3"/>
  <c r="N620" i="3"/>
  <c r="N700" i="3"/>
  <c r="N791" i="3"/>
  <c r="N834" i="3"/>
  <c r="N962" i="3"/>
  <c r="N973" i="3"/>
  <c r="N1003" i="3"/>
  <c r="N1022" i="3"/>
  <c r="N1050" i="3"/>
  <c r="N1114" i="3"/>
  <c r="N1188" i="3"/>
  <c r="N1190" i="3"/>
  <c r="N1196" i="3"/>
  <c r="N1248" i="3"/>
  <c r="N1270" i="3"/>
  <c r="N1280" i="3"/>
  <c r="N1321" i="3"/>
  <c r="N1332" i="3"/>
  <c r="N1338" i="3"/>
  <c r="N1602" i="3"/>
  <c r="N1656" i="3"/>
  <c r="N1665" i="3"/>
  <c r="N1858" i="3"/>
  <c r="N1888" i="3"/>
  <c r="N1913" i="3"/>
  <c r="N1959" i="3"/>
  <c r="N1960" i="3"/>
  <c r="N1999" i="3"/>
  <c r="N2031" i="3"/>
  <c r="N2146" i="3"/>
  <c r="N2236" i="3"/>
  <c r="N2268" i="3"/>
  <c r="N2304" i="3"/>
  <c r="N2311" i="3"/>
  <c r="N2326" i="3"/>
  <c r="N2385" i="3"/>
  <c r="N2417" i="3"/>
  <c r="N2493" i="3"/>
  <c r="N2504" i="3"/>
  <c r="N2604" i="3"/>
  <c r="N2708" i="3"/>
  <c r="N2756" i="3"/>
  <c r="N2773" i="3"/>
  <c r="N2819" i="3"/>
  <c r="N2851" i="3"/>
  <c r="N2967" i="3"/>
  <c r="N3013" i="3"/>
  <c r="N3036" i="3"/>
  <c r="N3055" i="3"/>
  <c r="N3103" i="3"/>
  <c r="N3122" i="3"/>
  <c r="N3207" i="3"/>
  <c r="N3226" i="3"/>
  <c r="N3281" i="3"/>
  <c r="N3294" i="3"/>
  <c r="N3346" i="3"/>
  <c r="N3359" i="3"/>
  <c r="N3408" i="3"/>
  <c r="N3415" i="3"/>
  <c r="N3507" i="3"/>
  <c r="N3521" i="3"/>
  <c r="N3559" i="3"/>
  <c r="N3617" i="3"/>
  <c r="N3661" i="3"/>
  <c r="N3756" i="3"/>
  <c r="N3766" i="3"/>
  <c r="N3778" i="3"/>
  <c r="N3837" i="3"/>
  <c r="N3851" i="3"/>
  <c r="N4116" i="3"/>
  <c r="N4258" i="3"/>
  <c r="N4335" i="3"/>
  <c r="N4338" i="3"/>
  <c r="N4410" i="3"/>
  <c r="N4415" i="3"/>
  <c r="N4638" i="3"/>
  <c r="N4645" i="3"/>
  <c r="N4646" i="3"/>
  <c r="N4672" i="3"/>
  <c r="N4778" i="3"/>
  <c r="N24" i="3"/>
  <c r="N95" i="3"/>
  <c r="N149" i="3"/>
  <c r="N185" i="3"/>
  <c r="N225" i="3"/>
  <c r="N228" i="3"/>
  <c r="N229" i="3"/>
  <c r="N239" i="3"/>
  <c r="N254" i="3"/>
  <c r="N281" i="3"/>
  <c r="N321" i="3"/>
  <c r="N353" i="3"/>
  <c r="N418" i="3"/>
  <c r="N617" i="3"/>
  <c r="N658" i="3"/>
  <c r="N663" i="3"/>
  <c r="N693" i="3"/>
  <c r="N753" i="3"/>
  <c r="N755" i="3"/>
  <c r="N871" i="3"/>
  <c r="N913" i="3"/>
  <c r="N918" i="3"/>
  <c r="N960" i="3"/>
  <c r="N964" i="3"/>
  <c r="N972" i="3"/>
  <c r="N1152" i="3"/>
  <c r="N1183" i="3"/>
  <c r="N1187" i="3"/>
  <c r="N1197" i="3"/>
  <c r="N1237" i="3"/>
  <c r="N1283" i="3"/>
  <c r="N1286" i="3"/>
  <c r="N1290" i="3"/>
  <c r="N1305" i="3"/>
  <c r="N1384" i="3"/>
  <c r="N1390" i="3"/>
  <c r="N1458" i="3"/>
  <c r="N1459" i="3"/>
  <c r="N1530" i="3"/>
  <c r="N1543" i="3"/>
  <c r="N1631" i="3"/>
  <c r="N1633" i="3"/>
  <c r="N1643" i="3"/>
  <c r="N1660" i="3"/>
  <c r="N1677" i="3"/>
  <c r="N1868" i="3"/>
  <c r="N1869" i="3"/>
  <c r="N2007" i="3"/>
  <c r="N2015" i="3"/>
  <c r="N2041" i="3"/>
  <c r="N2139" i="3"/>
  <c r="N2155" i="3"/>
  <c r="N2231" i="3"/>
  <c r="N2247" i="3"/>
  <c r="N2251" i="3"/>
  <c r="N2371" i="3"/>
  <c r="N2403" i="3"/>
  <c r="N2529" i="3"/>
  <c r="N2631" i="3"/>
  <c r="N2645" i="3"/>
  <c r="N2648" i="3"/>
  <c r="N2671" i="3"/>
  <c r="N2689" i="3"/>
  <c r="N2731" i="3"/>
  <c r="N2753" i="3"/>
  <c r="N2769" i="3"/>
  <c r="N2787" i="3"/>
  <c r="N2791" i="3"/>
  <c r="N2808" i="3"/>
  <c r="N2818" i="3"/>
  <c r="N2828" i="3"/>
  <c r="N2849" i="3"/>
  <c r="N2890" i="3"/>
  <c r="N2961" i="3"/>
  <c r="N2972" i="3"/>
  <c r="N3015" i="3"/>
  <c r="N3031" i="3"/>
  <c r="N3051" i="3"/>
  <c r="N3080" i="3"/>
  <c r="N3181" i="3"/>
  <c r="N3272" i="3"/>
  <c r="N3283" i="3"/>
  <c r="N3297" i="3"/>
  <c r="N3305" i="3"/>
  <c r="N3309" i="3"/>
  <c r="N3453" i="3"/>
  <c r="N3493" i="3"/>
  <c r="N3497" i="3"/>
  <c r="N3531" i="3"/>
  <c r="N3550" i="3"/>
  <c r="N3557" i="3"/>
  <c r="N3577" i="3"/>
  <c r="N3588" i="3"/>
  <c r="N3598" i="3"/>
  <c r="N3718" i="3"/>
  <c r="N3729" i="3"/>
  <c r="N3812" i="3"/>
  <c r="N3903" i="3"/>
  <c r="N3979" i="3"/>
  <c r="N4146" i="3"/>
  <c r="N4183" i="3"/>
  <c r="N4196" i="3"/>
  <c r="N4206" i="3"/>
  <c r="N4247" i="3"/>
  <c r="N4277" i="3"/>
  <c r="N4284" i="3"/>
  <c r="N4295" i="3"/>
  <c r="N4361" i="3"/>
  <c r="N4419" i="3"/>
  <c r="N4476" i="3"/>
  <c r="N4482" i="3"/>
  <c r="N4490" i="3"/>
  <c r="N4526" i="3"/>
  <c r="N4612" i="3"/>
  <c r="N4621" i="3"/>
  <c r="N4630" i="3"/>
  <c r="N4666" i="3"/>
  <c r="N4683" i="3"/>
  <c r="N4741" i="3"/>
  <c r="N4775" i="3"/>
  <c r="N4813" i="3"/>
  <c r="N7" i="3"/>
  <c r="N10" i="3"/>
  <c r="N57" i="3"/>
  <c r="N81" i="3"/>
  <c r="N147" i="3"/>
  <c r="N157" i="3"/>
  <c r="N195" i="3"/>
  <c r="N203" i="3"/>
  <c r="N241" i="3"/>
  <c r="N299" i="3"/>
  <c r="N366" i="3"/>
  <c r="N374" i="3"/>
  <c r="N377" i="3"/>
  <c r="N391" i="3"/>
  <c r="N476" i="3"/>
  <c r="N487" i="3"/>
  <c r="N515" i="3"/>
  <c r="N584" i="3"/>
  <c r="N643" i="3"/>
  <c r="N708" i="3"/>
  <c r="N773" i="3"/>
  <c r="N849" i="3"/>
  <c r="N881" i="3"/>
  <c r="N889" i="3"/>
  <c r="N894" i="3"/>
  <c r="N895" i="3"/>
  <c r="N904" i="3"/>
  <c r="N957" i="3"/>
  <c r="N1012" i="3"/>
  <c r="N1071" i="3"/>
  <c r="N1099" i="3"/>
  <c r="N1110" i="3"/>
  <c r="N1153" i="3"/>
  <c r="N1168" i="3"/>
  <c r="N1169" i="3"/>
  <c r="N1189" i="3"/>
  <c r="N1200" i="3"/>
  <c r="N1205" i="3"/>
  <c r="N1218" i="3"/>
  <c r="N1221" i="3"/>
  <c r="N1223" i="3"/>
  <c r="N1246" i="3"/>
  <c r="N1255" i="3"/>
  <c r="N1381" i="3"/>
  <c r="N1391" i="3"/>
  <c r="N1442" i="3"/>
  <c r="N1475" i="3"/>
  <c r="N1501" i="3"/>
  <c r="N1519" i="3"/>
  <c r="N1529" i="3"/>
  <c r="N1534" i="3"/>
  <c r="N1542" i="3"/>
  <c r="N1552" i="3"/>
  <c r="N1640" i="3"/>
  <c r="N1658" i="3"/>
  <c r="N1766" i="3"/>
  <c r="N1783" i="3"/>
  <c r="N1801" i="3"/>
  <c r="N1830" i="3"/>
  <c r="N1833" i="3"/>
  <c r="N1902" i="3"/>
  <c r="N1904" i="3"/>
  <c r="N1921" i="3"/>
  <c r="N2026" i="3"/>
  <c r="N2141" i="3"/>
  <c r="N2152" i="3"/>
  <c r="N2173" i="3"/>
  <c r="N2180" i="3"/>
  <c r="N2198" i="3"/>
  <c r="N2249" i="3"/>
  <c r="N2256" i="3"/>
  <c r="N2259" i="3"/>
  <c r="N2267" i="3"/>
  <c r="N2299" i="3"/>
  <c r="N2325" i="3"/>
  <c r="N2347" i="3"/>
  <c r="N2357" i="3"/>
  <c r="N2368" i="3"/>
  <c r="N2460" i="3"/>
  <c r="N2465" i="3"/>
  <c r="N2476" i="3"/>
  <c r="N2485" i="3"/>
  <c r="N2522" i="3"/>
  <c r="N2553" i="3"/>
  <c r="N2560" i="3"/>
  <c r="N2562" i="3"/>
  <c r="N2563" i="3"/>
  <c r="N2587" i="3"/>
  <c r="N2633" i="3"/>
  <c r="N2686" i="3"/>
  <c r="N2725" i="3"/>
  <c r="N2750" i="3"/>
  <c r="N2776" i="3"/>
  <c r="N2815" i="3"/>
  <c r="N2905" i="3"/>
  <c r="N2909" i="3"/>
  <c r="N2983" i="3"/>
  <c r="N2987" i="3"/>
  <c r="N2990" i="3"/>
  <c r="N3048" i="3"/>
  <c r="N3071" i="3"/>
  <c r="N3158" i="3"/>
  <c r="N3182" i="3"/>
  <c r="N3238" i="3"/>
  <c r="N3261" i="3"/>
  <c r="N3275" i="3"/>
  <c r="N3317" i="3"/>
  <c r="N3329" i="3"/>
  <c r="N3331" i="3"/>
  <c r="N3336" i="3"/>
  <c r="N3389" i="3"/>
  <c r="N3413" i="3"/>
  <c r="N3489" i="3"/>
  <c r="N3523" i="3"/>
  <c r="N3560" i="3"/>
  <c r="N3603" i="3"/>
  <c r="N3615" i="3"/>
  <c r="N3618" i="3"/>
  <c r="N3713" i="3"/>
  <c r="N3760" i="3"/>
  <c r="N3803" i="3"/>
  <c r="N3817" i="3"/>
  <c r="N3887" i="3"/>
  <c r="N3944" i="3"/>
  <c r="N3958" i="3"/>
  <c r="N3978" i="3"/>
  <c r="N3997" i="3"/>
  <c r="N4038" i="3"/>
  <c r="N4056" i="3"/>
  <c r="N4137" i="3"/>
  <c r="N4148" i="3"/>
  <c r="N4204" i="3"/>
  <c r="N4259" i="3"/>
  <c r="N4260" i="3"/>
  <c r="N4351" i="3"/>
  <c r="N4383" i="3"/>
  <c r="N4391" i="3"/>
  <c r="N4417" i="3"/>
  <c r="N4428" i="3"/>
  <c r="N4431" i="3"/>
  <c r="N4454" i="3"/>
  <c r="N4468" i="3"/>
  <c r="N4471" i="3"/>
  <c r="N4528" i="3"/>
  <c r="N4540" i="3"/>
  <c r="N4545" i="3"/>
  <c r="N4624" i="3"/>
  <c r="N4648" i="3"/>
  <c r="N4685" i="3"/>
  <c r="N4698" i="3"/>
  <c r="N4714" i="3"/>
  <c r="N4725" i="3"/>
  <c r="N48" i="3"/>
  <c r="N401" i="3"/>
  <c r="N630" i="3"/>
  <c r="N637" i="3"/>
  <c r="N638" i="3"/>
  <c r="N645" i="3"/>
  <c r="N678" i="3"/>
  <c r="N736" i="3"/>
  <c r="N749" i="3"/>
  <c r="N886" i="3"/>
  <c r="N976" i="3"/>
  <c r="N1058" i="3"/>
  <c r="N1120" i="3"/>
  <c r="N1130" i="3"/>
  <c r="N1186" i="3"/>
  <c r="N1212" i="3"/>
  <c r="N1261" i="3"/>
  <c r="N1403" i="3"/>
  <c r="N1460" i="3"/>
  <c r="N1471" i="3"/>
  <c r="N1545" i="3"/>
  <c r="N1548" i="3"/>
  <c r="N1572" i="3"/>
  <c r="N1591" i="3"/>
  <c r="N1600" i="3"/>
  <c r="N1611" i="3"/>
  <c r="N1671" i="3"/>
  <c r="N1742" i="3"/>
  <c r="N1769" i="3"/>
  <c r="N1839" i="3"/>
  <c r="N1877" i="3"/>
  <c r="N1912" i="3"/>
  <c r="N1980" i="3"/>
  <c r="N1986" i="3"/>
  <c r="N1988" i="3"/>
  <c r="N2099" i="3"/>
  <c r="N2129" i="3"/>
  <c r="N2150" i="3"/>
  <c r="N2177" i="3"/>
  <c r="N2350" i="3"/>
  <c r="N2480" i="3"/>
  <c r="N2551" i="3"/>
  <c r="N2612" i="3"/>
  <c r="N2718" i="3"/>
  <c r="N2810" i="3"/>
  <c r="N2947" i="3"/>
  <c r="N2980" i="3"/>
  <c r="N2984" i="3"/>
  <c r="N2986" i="3"/>
  <c r="N2989" i="3"/>
  <c r="N3163" i="3"/>
  <c r="N3170" i="3"/>
  <c r="N3201" i="3"/>
  <c r="N3303" i="3"/>
  <c r="N3306" i="3"/>
  <c r="N3433" i="3"/>
  <c r="N3473" i="3"/>
  <c r="N3491" i="3"/>
  <c r="N3529" i="3"/>
  <c r="N3543" i="3"/>
  <c r="N3650" i="3"/>
  <c r="N3679" i="3"/>
  <c r="N3750" i="3"/>
  <c r="N3808" i="3"/>
  <c r="N3834" i="3"/>
  <c r="N3915" i="3"/>
  <c r="N4205" i="3"/>
  <c r="N4231" i="3"/>
  <c r="N4380" i="3"/>
  <c r="N4406" i="3"/>
  <c r="N4466" i="3"/>
  <c r="N4693" i="3"/>
  <c r="N4705" i="3"/>
  <c r="N4748" i="3"/>
  <c r="N4804" i="3"/>
  <c r="N2" i="3"/>
  <c r="N22" i="3"/>
  <c r="N26" i="3"/>
  <c r="N38" i="3"/>
  <c r="N58" i="3"/>
  <c r="N92" i="3"/>
  <c r="N137" i="3"/>
  <c r="N155" i="3"/>
  <c r="N162" i="3"/>
  <c r="N171" i="3"/>
  <c r="N177" i="3"/>
  <c r="N214" i="3"/>
  <c r="N233" i="3"/>
  <c r="N246" i="3"/>
  <c r="N259" i="3"/>
  <c r="N301" i="3"/>
  <c r="N319" i="3"/>
  <c r="N328" i="3"/>
  <c r="N333" i="3"/>
  <c r="N336" i="3"/>
  <c r="N350" i="3"/>
  <c r="N383" i="3"/>
  <c r="N400" i="3"/>
  <c r="N419" i="3"/>
  <c r="N423" i="3"/>
  <c r="N449" i="3"/>
  <c r="N501" i="3"/>
  <c r="N516" i="3"/>
  <c r="N535" i="3"/>
  <c r="N560" i="3"/>
  <c r="N577" i="3"/>
  <c r="N625" i="3"/>
  <c r="N627" i="3"/>
  <c r="N676" i="3"/>
  <c r="N719" i="3"/>
  <c r="N742" i="3"/>
  <c r="N744" i="3"/>
  <c r="N751" i="3"/>
  <c r="N754" i="3"/>
  <c r="N756" i="3"/>
  <c r="N786" i="3"/>
  <c r="N789" i="3"/>
  <c r="N810" i="3"/>
  <c r="N813" i="3"/>
  <c r="N814" i="3"/>
  <c r="N842" i="3"/>
  <c r="N872" i="3"/>
  <c r="N887" i="3"/>
  <c r="N924" i="3"/>
  <c r="N925" i="3"/>
  <c r="N934" i="3"/>
  <c r="N981" i="3"/>
  <c r="N1018" i="3"/>
  <c r="N1059" i="3"/>
  <c r="N1075" i="3"/>
  <c r="N1082" i="3"/>
  <c r="N1085" i="3"/>
  <c r="N1087" i="3"/>
  <c r="N1091" i="3"/>
  <c r="N1104" i="3"/>
  <c r="N1109" i="3"/>
  <c r="N1151" i="3"/>
  <c r="N1174" i="3"/>
  <c r="N1195" i="3"/>
  <c r="N1225" i="3"/>
  <c r="N1268" i="3"/>
  <c r="N1331" i="3"/>
  <c r="N1334" i="3"/>
  <c r="N1373" i="3"/>
  <c r="N1406" i="3"/>
  <c r="N1407" i="3"/>
  <c r="N1446" i="3"/>
  <c r="N1463" i="3"/>
  <c r="N1509" i="3"/>
  <c r="N1579" i="3"/>
  <c r="N1616" i="3"/>
  <c r="N1636" i="3"/>
  <c r="N1666" i="3"/>
  <c r="N1675" i="3"/>
  <c r="N1692" i="3"/>
  <c r="N1731" i="3"/>
  <c r="N1749" i="3"/>
  <c r="N1814" i="3"/>
  <c r="N1829" i="3"/>
  <c r="N1992" i="3"/>
  <c r="N2016" i="3"/>
  <c r="N2046" i="3"/>
  <c r="N2050" i="3"/>
  <c r="N2116" i="3"/>
  <c r="N2121" i="3"/>
  <c r="N2162" i="3"/>
  <c r="N2191" i="3"/>
  <c r="N2212" i="3"/>
  <c r="N2220" i="3"/>
  <c r="N2300" i="3"/>
  <c r="N2369" i="3"/>
  <c r="N2377" i="3"/>
  <c r="N2406" i="3"/>
  <c r="N2438" i="3"/>
  <c r="N2441" i="3"/>
  <c r="N2477" i="3"/>
  <c r="N2554" i="3"/>
  <c r="N2558" i="3"/>
  <c r="N2577" i="3"/>
  <c r="N2622" i="3"/>
  <c r="N2661" i="3"/>
  <c r="N2673" i="3"/>
  <c r="N2683" i="3"/>
  <c r="N2704" i="3"/>
  <c r="N2747" i="3"/>
  <c r="N2794" i="3"/>
  <c r="N2821" i="3"/>
  <c r="N2841" i="3"/>
  <c r="N2877" i="3"/>
  <c r="N2879" i="3"/>
  <c r="N2888" i="3"/>
  <c r="N2889" i="3"/>
  <c r="N2891" i="3"/>
  <c r="N2912" i="3"/>
  <c r="N2933" i="3"/>
  <c r="N2937" i="3"/>
  <c r="N2952" i="3"/>
  <c r="N2996" i="3"/>
  <c r="N3003" i="3"/>
  <c r="N3016" i="3"/>
  <c r="N3017" i="3"/>
  <c r="N3040" i="3"/>
  <c r="N3043" i="3"/>
  <c r="N3059" i="3"/>
  <c r="N3099" i="3"/>
  <c r="N3142" i="3"/>
  <c r="N3233" i="3"/>
  <c r="N3235" i="3"/>
  <c r="N3237" i="3"/>
  <c r="N3240" i="3"/>
  <c r="N3271" i="3"/>
  <c r="N3337" i="3"/>
  <c r="N3340" i="3"/>
  <c r="N3385" i="3"/>
  <c r="N3441" i="3"/>
  <c r="N3459" i="3"/>
  <c r="N3461" i="3"/>
  <c r="N3485" i="3"/>
  <c r="N3517" i="3"/>
  <c r="N3541" i="3"/>
  <c r="N3563" i="3"/>
  <c r="N3568" i="3"/>
  <c r="N3610" i="3"/>
  <c r="N3619" i="3"/>
  <c r="N3634" i="3"/>
  <c r="N3663" i="3"/>
  <c r="N3680" i="3"/>
  <c r="N3689" i="3"/>
  <c r="N3822" i="3"/>
  <c r="N3829" i="3"/>
  <c r="N3845" i="3"/>
  <c r="N3859" i="3"/>
  <c r="N3861" i="3"/>
  <c r="N3921" i="3"/>
  <c r="N3936" i="3"/>
  <c r="N3937" i="3"/>
  <c r="N3947" i="3"/>
  <c r="N3959" i="3"/>
  <c r="N4128" i="3"/>
  <c r="N4172" i="3"/>
  <c r="N4193" i="3"/>
  <c r="N4213" i="3"/>
  <c r="N4282" i="3"/>
  <c r="N4379" i="3"/>
  <c r="N4472" i="3"/>
  <c r="N4525" i="3"/>
  <c r="N4562" i="3"/>
  <c r="N4573" i="3"/>
  <c r="N4625" i="3"/>
  <c r="N4651" i="3"/>
  <c r="N4697" i="3"/>
  <c r="N4729" i="3"/>
  <c r="N4736" i="3"/>
  <c r="N4798" i="3"/>
  <c r="N4830" i="3"/>
  <c r="N323" i="3"/>
  <c r="N526" i="3"/>
  <c r="N1423" i="3"/>
  <c r="N2166" i="3"/>
  <c r="N2186" i="3"/>
  <c r="N2344" i="3"/>
  <c r="N2799" i="3"/>
  <c r="N2931" i="3"/>
  <c r="N3058" i="3"/>
  <c r="N3710" i="3"/>
  <c r="N4134" i="3"/>
  <c r="N4167" i="3"/>
  <c r="N4208" i="3"/>
  <c r="N4682" i="3"/>
  <c r="N1315" i="3"/>
  <c r="N2210" i="3"/>
  <c r="N2222" i="3"/>
  <c r="N2394" i="3"/>
  <c r="N2418" i="3"/>
  <c r="N3469" i="3"/>
  <c r="N3824" i="3"/>
  <c r="N4484" i="3"/>
  <c r="N4733" i="3"/>
  <c r="N4825" i="3"/>
  <c r="N86" i="3"/>
  <c r="N235" i="3"/>
  <c r="N280" i="3"/>
  <c r="N289" i="3"/>
  <c r="N331" i="3"/>
  <c r="N351" i="3"/>
  <c r="N497" i="3"/>
  <c r="N505" i="3"/>
  <c r="N520" i="3"/>
  <c r="N521" i="3"/>
  <c r="N653" i="3"/>
  <c r="N673" i="3"/>
  <c r="N696" i="3"/>
  <c r="N702" i="3"/>
  <c r="N812" i="3"/>
  <c r="N829" i="3"/>
  <c r="N965" i="3"/>
  <c r="N978" i="3"/>
  <c r="N1045" i="3"/>
  <c r="N1064" i="3"/>
  <c r="N1118" i="3"/>
  <c r="N1249" i="3"/>
  <c r="N1325" i="3"/>
  <c r="N1363" i="3"/>
  <c r="N1493" i="3"/>
  <c r="N1504" i="3"/>
  <c r="N1517" i="3"/>
  <c r="N1532" i="3"/>
  <c r="N1607" i="3"/>
  <c r="N1707" i="3"/>
  <c r="N1757" i="3"/>
  <c r="N1805" i="3"/>
  <c r="N2003" i="3"/>
  <c r="N2043" i="3"/>
  <c r="N2095" i="3"/>
  <c r="N2271" i="3"/>
  <c r="N2290" i="3"/>
  <c r="N2340" i="3"/>
  <c r="N2341" i="3"/>
  <c r="N2423" i="3"/>
  <c r="N2484" i="3"/>
  <c r="N2506" i="3"/>
  <c r="N2544" i="3"/>
  <c r="N2572" i="3"/>
  <c r="N2603" i="3"/>
  <c r="N2638" i="3"/>
  <c r="N2716" i="3"/>
  <c r="N2744" i="3"/>
  <c r="N2836" i="3"/>
  <c r="N2919" i="3"/>
  <c r="N2927" i="3"/>
  <c r="N2928" i="3"/>
  <c r="N2994" i="3"/>
  <c r="N3041" i="3"/>
  <c r="N3096" i="3"/>
  <c r="N3104" i="3"/>
  <c r="N3108" i="3"/>
  <c r="N3123" i="3"/>
  <c r="N3126" i="3"/>
  <c r="N3167" i="3"/>
  <c r="N3179" i="3"/>
  <c r="N3292" i="3"/>
  <c r="N3333" i="3"/>
  <c r="N3344" i="3"/>
  <c r="N3393" i="3"/>
  <c r="N3399" i="3"/>
  <c r="N3435" i="3"/>
  <c r="N3530" i="3"/>
  <c r="N3558" i="3"/>
  <c r="N3564" i="3"/>
  <c r="N3678" i="3"/>
  <c r="N3720" i="3"/>
  <c r="N3723" i="3"/>
  <c r="N3725" i="3"/>
  <c r="N3736" i="3"/>
  <c r="N3811" i="3"/>
  <c r="N3821" i="3"/>
  <c r="N3869" i="3"/>
  <c r="N3966" i="3"/>
  <c r="N4033" i="3"/>
  <c r="N4141" i="3"/>
  <c r="N4157" i="3"/>
  <c r="N4165" i="3"/>
  <c r="N4198" i="3"/>
  <c r="N4202" i="3"/>
  <c r="N4309" i="3"/>
  <c r="N4319" i="3"/>
  <c r="N4339" i="3"/>
  <c r="N4421" i="3"/>
  <c r="N4443" i="3"/>
  <c r="N4558" i="3"/>
  <c r="N4708" i="3"/>
  <c r="N4709" i="3"/>
  <c r="N4759" i="3"/>
  <c r="N4766" i="3"/>
  <c r="N4784" i="3"/>
  <c r="N62" i="3"/>
  <c r="N66" i="3"/>
  <c r="N113" i="3"/>
  <c r="N164" i="3"/>
  <c r="N169" i="3"/>
  <c r="N213" i="3"/>
  <c r="N231" i="3"/>
  <c r="N382" i="3"/>
  <c r="N387" i="3"/>
  <c r="N525" i="3"/>
  <c r="N534" i="3"/>
  <c r="N536" i="3"/>
  <c r="N583" i="3"/>
  <c r="N615" i="3"/>
  <c r="N722" i="3"/>
  <c r="N745" i="3"/>
  <c r="N787" i="3"/>
  <c r="N799" i="3"/>
  <c r="N817" i="3"/>
  <c r="N832" i="3"/>
  <c r="N1001" i="3"/>
  <c r="N1021" i="3"/>
  <c r="N1049" i="3"/>
  <c r="N1083" i="3"/>
  <c r="N1191" i="3"/>
  <c r="N1243" i="3"/>
  <c r="N1260" i="3"/>
  <c r="N1287" i="3"/>
  <c r="N1292" i="3"/>
  <c r="N1299" i="3"/>
  <c r="N1302" i="3"/>
  <c r="N1304" i="3"/>
  <c r="N1327" i="3"/>
  <c r="N1448" i="3"/>
  <c r="N1455" i="3"/>
  <c r="N1487" i="3"/>
  <c r="N1510" i="3"/>
  <c r="N1553" i="3"/>
  <c r="N1559" i="3"/>
  <c r="N1570" i="3"/>
  <c r="N1601" i="3"/>
  <c r="N1632" i="3"/>
  <c r="N1638" i="3"/>
  <c r="N1751" i="3"/>
  <c r="N1754" i="3"/>
  <c r="N1755" i="3"/>
  <c r="N1923" i="3"/>
  <c r="N2018" i="3"/>
  <c r="N2025" i="3"/>
  <c r="N2033" i="3"/>
  <c r="N2119" i="3"/>
  <c r="N2156" i="3"/>
  <c r="N2165" i="3"/>
  <c r="N2184" i="3"/>
  <c r="N2188" i="3"/>
  <c r="N2217" i="3"/>
  <c r="N2238" i="3"/>
  <c r="N2318" i="3"/>
  <c r="N2324" i="3"/>
  <c r="N2431" i="3"/>
  <c r="N2432" i="3"/>
  <c r="N2448" i="3"/>
  <c r="N2458" i="3"/>
  <c r="N2509" i="3"/>
  <c r="N2523" i="3"/>
  <c r="N2540" i="3"/>
  <c r="N2571" i="3"/>
  <c r="N2647" i="3"/>
  <c r="N2655" i="3"/>
  <c r="N2695" i="3"/>
  <c r="N2864" i="3"/>
  <c r="N2874" i="3"/>
  <c r="N2881" i="3"/>
  <c r="N2893" i="3"/>
  <c r="N2899" i="3"/>
  <c r="N2930" i="3"/>
  <c r="N2999" i="3"/>
  <c r="N3021" i="3"/>
  <c r="N3078" i="3"/>
  <c r="N3135" i="3"/>
  <c r="N3213" i="3"/>
  <c r="N3273" i="3"/>
  <c r="N3286" i="3"/>
  <c r="N3310" i="3"/>
  <c r="N3327" i="3"/>
  <c r="N3347" i="3"/>
  <c r="N3439" i="3"/>
  <c r="N3511" i="3"/>
  <c r="N3613" i="3"/>
  <c r="N3614" i="3"/>
  <c r="N3669" i="3"/>
  <c r="N3784" i="3"/>
  <c r="N3809" i="3"/>
  <c r="N3866" i="3"/>
  <c r="N3923" i="3"/>
  <c r="N3999" i="3"/>
  <c r="N4022" i="3"/>
  <c r="N4032" i="3"/>
  <c r="N4135" i="3"/>
  <c r="N4140" i="3"/>
  <c r="N4145" i="3"/>
  <c r="N4158" i="3"/>
  <c r="N4194" i="3"/>
  <c r="N4210" i="3"/>
  <c r="N4211" i="3"/>
  <c r="N4223" i="3"/>
  <c r="N4302" i="3"/>
  <c r="N4375" i="3"/>
  <c r="N4376" i="3"/>
  <c r="N4416" i="3"/>
  <c r="N4670" i="3"/>
  <c r="N4675" i="3"/>
  <c r="N4726" i="3"/>
  <c r="N4815" i="3"/>
  <c r="N14" i="3"/>
  <c r="N65" i="3"/>
  <c r="N67" i="3"/>
  <c r="N75" i="3"/>
  <c r="N82" i="3"/>
  <c r="N115" i="3"/>
  <c r="N118" i="3"/>
  <c r="N148" i="3"/>
  <c r="N151" i="3"/>
  <c r="N175" i="3"/>
  <c r="N178" i="3"/>
  <c r="N181" i="3"/>
  <c r="N204" i="3"/>
  <c r="N294" i="3"/>
  <c r="N394" i="3"/>
  <c r="N408" i="3"/>
  <c r="N454" i="3"/>
  <c r="N474" i="3"/>
  <c r="N485" i="3"/>
  <c r="N488" i="3"/>
  <c r="N490" i="3"/>
  <c r="N493" i="3"/>
  <c r="N544" i="3"/>
  <c r="N556" i="3"/>
  <c r="N571" i="3"/>
  <c r="N574" i="3"/>
  <c r="N576" i="3"/>
  <c r="N579" i="3"/>
  <c r="N608" i="3"/>
  <c r="N629" i="3"/>
  <c r="N650" i="3"/>
  <c r="N674" i="3"/>
  <c r="N677" i="3"/>
  <c r="N779" i="3"/>
  <c r="N796" i="3"/>
  <c r="N826" i="3"/>
  <c r="N847" i="3"/>
  <c r="N869" i="3"/>
  <c r="N899" i="3"/>
  <c r="N926" i="3"/>
  <c r="N930" i="3"/>
  <c r="N942" i="3"/>
  <c r="N947" i="3"/>
  <c r="N953" i="3"/>
  <c r="N956" i="3"/>
  <c r="N967" i="3"/>
  <c r="N971" i="3"/>
  <c r="N982" i="3"/>
  <c r="N991" i="3"/>
  <c r="N1031" i="3"/>
  <c r="N1037" i="3"/>
  <c r="N1042" i="3"/>
  <c r="N1063" i="3"/>
  <c r="N1105" i="3"/>
  <c r="N1119" i="3"/>
  <c r="N1134" i="3"/>
  <c r="N1177" i="3"/>
  <c r="N1192" i="3"/>
  <c r="N1194" i="3"/>
  <c r="N1219" i="3"/>
  <c r="N1285" i="3"/>
  <c r="N1314" i="3"/>
  <c r="N1355" i="3"/>
  <c r="N1415" i="3"/>
  <c r="N1435" i="3"/>
  <c r="N1436" i="3"/>
  <c r="N1466" i="3"/>
  <c r="N1498" i="3"/>
  <c r="N1508" i="3"/>
  <c r="N1511" i="3"/>
  <c r="N1566" i="3"/>
  <c r="N1574" i="3"/>
  <c r="N1580" i="3"/>
  <c r="N1589" i="3"/>
  <c r="N1642" i="3"/>
  <c r="N1655" i="3"/>
  <c r="N1682" i="3"/>
  <c r="N1685" i="3"/>
  <c r="N1694" i="3"/>
  <c r="N1710" i="3"/>
  <c r="N1714" i="3"/>
  <c r="N1726" i="3"/>
  <c r="N1727" i="3"/>
  <c r="N1732" i="3"/>
  <c r="N1768" i="3"/>
  <c r="N1825" i="3"/>
  <c r="N1915" i="3"/>
  <c r="N1933" i="3"/>
  <c r="N1954" i="3"/>
  <c r="N1956" i="3"/>
  <c r="N1970" i="3"/>
  <c r="N1977" i="3"/>
  <c r="N1985" i="3"/>
  <c r="N2028" i="3"/>
  <c r="N2029" i="3"/>
  <c r="N2038" i="3"/>
  <c r="N2052" i="3"/>
  <c r="N2063" i="3"/>
  <c r="N2072" i="3"/>
  <c r="N2107" i="3"/>
  <c r="N2181" i="3"/>
  <c r="N2226" i="3"/>
  <c r="N2239" i="3"/>
  <c r="N2302" i="3"/>
  <c r="N2310" i="3"/>
  <c r="N2392" i="3"/>
  <c r="N2414" i="3"/>
  <c r="N2443" i="3"/>
  <c r="N2467" i="3"/>
  <c r="N2486" i="3"/>
  <c r="N2494" i="3"/>
  <c r="N2496" i="3"/>
  <c r="N2502" i="3"/>
  <c r="N2552" i="3"/>
  <c r="N2564" i="3"/>
  <c r="N2578" i="3"/>
  <c r="N2584" i="3"/>
  <c r="N2585" i="3"/>
  <c r="N2606" i="3"/>
  <c r="N2609" i="3"/>
  <c r="N2698" i="3"/>
  <c r="N2699" i="3"/>
  <c r="N2758" i="3"/>
  <c r="N2805" i="3"/>
  <c r="N2824" i="3"/>
  <c r="N2826" i="3"/>
  <c r="N2840" i="3"/>
  <c r="N2857" i="3"/>
  <c r="N2866" i="3"/>
  <c r="N2908" i="3"/>
  <c r="N3008" i="3"/>
  <c r="N3012" i="3"/>
  <c r="N3028" i="3"/>
  <c r="N3056" i="3"/>
  <c r="N3128" i="3"/>
  <c r="N3145" i="3"/>
  <c r="N3147" i="3"/>
  <c r="N3162" i="3"/>
  <c r="N3268" i="3"/>
  <c r="N3280" i="3"/>
  <c r="N3324" i="3"/>
  <c r="N3362" i="3"/>
  <c r="N3366" i="3"/>
  <c r="N3432" i="3"/>
  <c r="N3440" i="3"/>
  <c r="N3444" i="3"/>
  <c r="N3451" i="3"/>
  <c r="N3484" i="3"/>
  <c r="N3512" i="3"/>
  <c r="N3589" i="3"/>
  <c r="N3599" i="3"/>
  <c r="N3601" i="3"/>
  <c r="N3629" i="3"/>
  <c r="N3666" i="3"/>
  <c r="N3671" i="3"/>
  <c r="N3674" i="3"/>
  <c r="N3682" i="3"/>
  <c r="N3761" i="3"/>
  <c r="N3768" i="3"/>
  <c r="N3793" i="3"/>
  <c r="N3874" i="3"/>
  <c r="N3920" i="3"/>
  <c r="N3922" i="3"/>
  <c r="N3963" i="3"/>
  <c r="N3987" i="3"/>
  <c r="N4133" i="3"/>
  <c r="N4142" i="3"/>
  <c r="N4154" i="3"/>
  <c r="N4169" i="3"/>
  <c r="N4187" i="3"/>
  <c r="N4191" i="3"/>
  <c r="N4215" i="3"/>
  <c r="N4235" i="3"/>
  <c r="N4248" i="3"/>
  <c r="N4377" i="3"/>
  <c r="N4529" i="3"/>
  <c r="N4587" i="3"/>
  <c r="N4591" i="3"/>
  <c r="N4606" i="3"/>
  <c r="N4615" i="3"/>
  <c r="N4626" i="3"/>
  <c r="N4628" i="3"/>
  <c r="N4632" i="3"/>
  <c r="N4747" i="3"/>
  <c r="N4792" i="3"/>
  <c r="N4814" i="3"/>
  <c r="N4832" i="3"/>
  <c r="N11" i="3"/>
  <c r="N12" i="3"/>
  <c r="N30" i="3"/>
  <c r="N168" i="3"/>
  <c r="N170" i="3"/>
  <c r="N172" i="3"/>
  <c r="N236" i="3"/>
  <c r="N257" i="3"/>
  <c r="N305" i="3"/>
  <c r="N308" i="3"/>
  <c r="N324" i="3"/>
  <c r="N424" i="3"/>
  <c r="N507" i="3"/>
  <c r="N522" i="3"/>
  <c r="N557" i="3"/>
  <c r="N572" i="3"/>
  <c r="N600" i="3"/>
  <c r="N601" i="3"/>
  <c r="N610" i="3"/>
  <c r="N618" i="3"/>
  <c r="N635" i="3"/>
  <c r="N671" i="3"/>
  <c r="N691" i="3"/>
  <c r="N695" i="3"/>
  <c r="N748" i="3"/>
  <c r="N767" i="3"/>
  <c r="N775" i="3"/>
  <c r="N824" i="3"/>
  <c r="N856" i="3"/>
  <c r="N865" i="3"/>
  <c r="N921" i="3"/>
  <c r="N944" i="3"/>
  <c r="N970" i="3"/>
  <c r="N994" i="3"/>
  <c r="N1008" i="3"/>
  <c r="N1027" i="3"/>
  <c r="N1122" i="3"/>
  <c r="N1141" i="3"/>
  <c r="N1144" i="3"/>
  <c r="N1158" i="3"/>
  <c r="N1227" i="3"/>
  <c r="N1228" i="3"/>
  <c r="N1233" i="3"/>
  <c r="N1235" i="3"/>
  <c r="N1247" i="3"/>
  <c r="N1250" i="3"/>
  <c r="N1262" i="3"/>
  <c r="N1367" i="3"/>
  <c r="N1372" i="3"/>
  <c r="N1389" i="3"/>
  <c r="N1422" i="3"/>
  <c r="N1452" i="3"/>
  <c r="N1494" i="3"/>
  <c r="N1584" i="3"/>
  <c r="N1595" i="3"/>
  <c r="N1614" i="3"/>
  <c r="N1620" i="3"/>
  <c r="N1647" i="3"/>
  <c r="N1649" i="3"/>
  <c r="N1759" i="3"/>
  <c r="N1767" i="3"/>
  <c r="N1837" i="3"/>
  <c r="N1847" i="3"/>
  <c r="N1870" i="3"/>
  <c r="N1946" i="3"/>
  <c r="N1951" i="3"/>
  <c r="N1979" i="3"/>
  <c r="N2010" i="3"/>
  <c r="N2032" i="3"/>
  <c r="N2071" i="3"/>
  <c r="N2100" i="3"/>
  <c r="N2110" i="3"/>
  <c r="N2114" i="3"/>
  <c r="N2211" i="3"/>
  <c r="N2248" i="3"/>
  <c r="N2254" i="3"/>
  <c r="N2301" i="3"/>
  <c r="N2370" i="3"/>
  <c r="N2397" i="3"/>
  <c r="N2405" i="3"/>
  <c r="N2416" i="3"/>
  <c r="N2445" i="3"/>
  <c r="N2473" i="3"/>
  <c r="N2537" i="3"/>
  <c r="N2539" i="3"/>
  <c r="N2556" i="3"/>
  <c r="N2580" i="3"/>
  <c r="N2678" i="3"/>
  <c r="N2679" i="3"/>
  <c r="N2696" i="3"/>
  <c r="N2712" i="3"/>
  <c r="N2748" i="3"/>
  <c r="N2785" i="3"/>
  <c r="N2837" i="3"/>
  <c r="N2858" i="3"/>
  <c r="N2902" i="3"/>
  <c r="N2922" i="3"/>
  <c r="N2951" i="3"/>
  <c r="N3038" i="3"/>
  <c r="N3060" i="3"/>
  <c r="N3074" i="3"/>
  <c r="N3083" i="3"/>
  <c r="N3085" i="3"/>
  <c r="N3086" i="3"/>
  <c r="N3150" i="3"/>
  <c r="N3166" i="3"/>
  <c r="N3229" i="3"/>
  <c r="N3232" i="3"/>
  <c r="N3241" i="3"/>
  <c r="N3246" i="3"/>
  <c r="N3263" i="3"/>
  <c r="N3277" i="3"/>
  <c r="N3287" i="3"/>
  <c r="N3289" i="3"/>
  <c r="N3318" i="3"/>
  <c r="N3323" i="3"/>
  <c r="N3357" i="3"/>
  <c r="N3403" i="3"/>
  <c r="N3406" i="3"/>
  <c r="N3422" i="3"/>
  <c r="N3437" i="3"/>
  <c r="N3478" i="3"/>
  <c r="N3479" i="3"/>
  <c r="N3552" i="3"/>
  <c r="N3556" i="3"/>
  <c r="N3600" i="3"/>
  <c r="N3633" i="3"/>
  <c r="N3677" i="3"/>
  <c r="N3730" i="3"/>
  <c r="N3733" i="3"/>
  <c r="N3749" i="3"/>
  <c r="N3765" i="3"/>
  <c r="N3770" i="3"/>
  <c r="N3775" i="3"/>
  <c r="N3789" i="3"/>
  <c r="N3794" i="3"/>
  <c r="N3882" i="3"/>
  <c r="N3889" i="3"/>
  <c r="N3908" i="3"/>
  <c r="N3925" i="3"/>
  <c r="N3929" i="3"/>
  <c r="N3981" i="3"/>
  <c r="N3983" i="3"/>
  <c r="N4015" i="3"/>
  <c r="N4061" i="3"/>
  <c r="N4111" i="3"/>
  <c r="N4176" i="3"/>
  <c r="N4181" i="3"/>
  <c r="N4222" i="3"/>
  <c r="N4224" i="3"/>
  <c r="N4241" i="3"/>
  <c r="N4251" i="3"/>
  <c r="N4311" i="3"/>
  <c r="N4395" i="3"/>
  <c r="N4398" i="3"/>
  <c r="N4511" i="3"/>
  <c r="N4596" i="3"/>
  <c r="N4636" i="3"/>
  <c r="N4667" i="3"/>
  <c r="N4668" i="3"/>
  <c r="N4679" i="3"/>
  <c r="N4686" i="3"/>
  <c r="N4687" i="3"/>
  <c r="N4701" i="3"/>
  <c r="N4716" i="3"/>
  <c r="N4756" i="3"/>
  <c r="N4761" i="3"/>
  <c r="N4781" i="3"/>
  <c r="N4786" i="3"/>
  <c r="N70" i="3"/>
  <c r="N73" i="3"/>
  <c r="N180" i="3"/>
  <c r="N216" i="3"/>
  <c r="N222" i="3"/>
  <c r="N296" i="3"/>
  <c r="N300" i="3"/>
  <c r="N330" i="3"/>
  <c r="N338" i="3"/>
  <c r="N458" i="3"/>
  <c r="N518" i="3"/>
  <c r="N533" i="3"/>
  <c r="N679" i="3"/>
  <c r="N758" i="3"/>
  <c r="N768" i="3"/>
  <c r="N792" i="3"/>
  <c r="N863" i="3"/>
  <c r="N880" i="3"/>
  <c r="N891" i="3"/>
  <c r="N1024" i="3"/>
  <c r="N1036" i="3"/>
  <c r="N1156" i="3"/>
  <c r="N1163" i="3"/>
  <c r="N1239" i="3"/>
  <c r="N1303" i="3"/>
  <c r="N1364" i="3"/>
  <c r="N1408" i="3"/>
  <c r="N1428" i="3"/>
  <c r="N1708" i="3"/>
  <c r="N1906" i="3"/>
  <c r="N1950" i="3"/>
  <c r="N2051" i="3"/>
  <c r="N2065" i="3"/>
  <c r="N2098" i="3"/>
  <c r="N2329" i="3"/>
  <c r="N2413" i="3"/>
  <c r="N2433" i="3"/>
  <c r="N2490" i="3"/>
  <c r="N2602" i="3"/>
  <c r="N2642" i="3"/>
  <c r="N2688" i="3"/>
  <c r="N2854" i="3"/>
  <c r="N2920" i="3"/>
  <c r="N2935" i="3"/>
  <c r="N3026" i="3"/>
  <c r="N3244" i="3"/>
  <c r="N3251" i="3"/>
  <c r="N3260" i="3"/>
  <c r="N3319" i="3"/>
  <c r="N3360" i="3"/>
  <c r="N3392" i="3"/>
  <c r="N3464" i="3"/>
  <c r="N3503" i="3"/>
  <c r="N3542" i="3"/>
  <c r="N3545" i="3"/>
  <c r="N3548" i="3"/>
  <c r="N3645" i="3"/>
  <c r="N3670" i="3"/>
  <c r="N3699" i="3"/>
  <c r="N3795" i="3"/>
  <c r="N3893" i="3"/>
  <c r="N3938" i="3"/>
  <c r="N3972" i="3"/>
  <c r="N4041" i="3"/>
  <c r="N4125" i="3"/>
  <c r="N4209" i="3"/>
  <c r="N4334" i="3"/>
  <c r="N4470" i="3"/>
  <c r="N4513" i="3"/>
  <c r="N4578" i="3"/>
  <c r="N4579" i="3"/>
  <c r="N4681" i="3"/>
  <c r="N4757" i="3"/>
  <c r="N4769" i="3"/>
  <c r="N15" i="3"/>
  <c r="N42" i="3"/>
  <c r="N45" i="3"/>
  <c r="N220" i="3"/>
  <c r="N221" i="3"/>
  <c r="N224" i="3"/>
  <c r="N275" i="3"/>
  <c r="N290" i="3"/>
  <c r="N315" i="3"/>
  <c r="N405" i="3"/>
  <c r="N420" i="3"/>
  <c r="N421" i="3"/>
  <c r="N461" i="3"/>
  <c r="N466" i="3"/>
  <c r="N480" i="3"/>
  <c r="N492" i="3"/>
  <c r="N513" i="3"/>
  <c r="N530" i="3"/>
  <c r="N570" i="3"/>
  <c r="N588" i="3"/>
  <c r="N649" i="3"/>
  <c r="N659" i="3"/>
  <c r="N667" i="3"/>
  <c r="N690" i="3"/>
  <c r="N705" i="3"/>
  <c r="N777" i="3"/>
  <c r="N843" i="3"/>
  <c r="N882" i="3"/>
  <c r="N900" i="3"/>
  <c r="N902" i="3"/>
  <c r="N909" i="3"/>
  <c r="N933" i="3"/>
  <c r="N938" i="3"/>
  <c r="N945" i="3"/>
  <c r="N980" i="3"/>
  <c r="N990" i="3"/>
  <c r="N1002" i="3"/>
  <c r="N1016" i="3"/>
  <c r="N1026" i="3"/>
  <c r="N1060" i="3"/>
  <c r="N1076" i="3"/>
  <c r="N1094" i="3"/>
  <c r="N1139" i="3"/>
  <c r="N1184" i="3"/>
  <c r="N1273" i="3"/>
  <c r="N1379" i="3"/>
  <c r="N1400" i="3"/>
  <c r="N1409" i="3"/>
  <c r="N1434" i="3"/>
  <c r="N1470" i="3"/>
  <c r="N1617" i="3"/>
  <c r="N1637" i="3"/>
  <c r="N1721" i="3"/>
  <c r="N1763" i="3"/>
  <c r="N1791" i="3"/>
  <c r="N1800" i="3"/>
  <c r="N1917" i="3"/>
  <c r="N1922" i="3"/>
  <c r="N1926" i="3"/>
  <c r="N2034" i="3"/>
  <c r="N2035" i="3"/>
  <c r="N2161" i="3"/>
  <c r="N2223" i="3"/>
  <c r="N2225" i="3"/>
  <c r="N2291" i="3"/>
  <c r="N2293" i="3"/>
  <c r="N2306" i="3"/>
  <c r="N2317" i="3"/>
  <c r="N2336" i="3"/>
  <c r="N2366" i="3"/>
  <c r="N2399" i="3"/>
  <c r="N2407" i="3"/>
  <c r="N2447" i="3"/>
  <c r="N2451" i="3"/>
  <c r="N2482" i="3"/>
  <c r="N2489" i="3"/>
  <c r="N2511" i="3"/>
  <c r="N2515" i="3"/>
  <c r="N2610" i="3"/>
  <c r="N2636" i="3"/>
  <c r="N2643" i="3"/>
  <c r="N2650" i="3"/>
  <c r="N2710" i="3"/>
  <c r="N2774" i="3"/>
  <c r="N2839" i="3"/>
  <c r="N2867" i="3"/>
  <c r="N2886" i="3"/>
  <c r="N2895" i="3"/>
  <c r="N2898" i="3"/>
  <c r="N2942" i="3"/>
  <c r="N2956" i="3"/>
  <c r="N2960" i="3"/>
  <c r="N3005" i="3"/>
  <c r="N3054" i="3"/>
  <c r="N3076" i="3"/>
  <c r="N3095" i="3"/>
  <c r="N3113" i="3"/>
  <c r="N3159" i="3"/>
  <c r="N3168" i="3"/>
  <c r="N3215" i="3"/>
  <c r="N3222" i="3"/>
  <c r="N3248" i="3"/>
  <c r="N3307" i="3"/>
  <c r="N3353" i="3"/>
  <c r="N3370" i="3"/>
  <c r="N3394" i="3"/>
  <c r="N3423" i="3"/>
  <c r="N3425" i="3"/>
  <c r="N3465" i="3"/>
  <c r="N3510" i="3"/>
  <c r="N3539" i="3"/>
  <c r="N3584" i="3"/>
  <c r="N3587" i="3"/>
  <c r="N3591" i="3"/>
  <c r="N3630" i="3"/>
  <c r="N3644" i="3"/>
  <c r="N3654" i="3"/>
  <c r="N3676" i="3"/>
  <c r="N3776" i="3"/>
  <c r="N3804" i="3"/>
  <c r="N3831" i="3"/>
  <c r="N3962" i="3"/>
  <c r="N4051" i="3"/>
  <c r="N4052" i="3"/>
  <c r="N4062" i="3"/>
  <c r="N4075" i="3"/>
  <c r="N4085" i="3"/>
  <c r="N4095" i="3"/>
  <c r="N4159" i="3"/>
  <c r="N4160" i="3"/>
  <c r="N4170" i="3"/>
  <c r="N4264" i="3"/>
  <c r="N4271" i="3"/>
  <c r="N4427" i="3"/>
  <c r="N4435" i="3"/>
  <c r="N4450" i="3"/>
  <c r="N4451" i="3"/>
  <c r="N4547" i="3"/>
  <c r="N4567" i="3"/>
  <c r="N4580" i="3"/>
  <c r="N4641" i="3"/>
  <c r="N4745" i="3"/>
  <c r="N4764" i="3"/>
  <c r="N4790" i="3"/>
  <c r="N4808" i="3"/>
  <c r="N4817" i="3"/>
  <c r="N3" i="3"/>
  <c r="N61" i="3"/>
  <c r="N135" i="3"/>
  <c r="N190" i="3"/>
  <c r="N261" i="3"/>
  <c r="N264" i="3"/>
  <c r="N426" i="3"/>
  <c r="N486" i="3"/>
  <c r="N537" i="3"/>
  <c r="N542" i="3"/>
  <c r="N606" i="3"/>
  <c r="N613" i="3"/>
  <c r="N633" i="3"/>
  <c r="N634" i="3"/>
  <c r="N654" i="3"/>
  <c r="N672" i="3"/>
  <c r="N698" i="3"/>
  <c r="N712" i="3"/>
  <c r="N726" i="3"/>
  <c r="N730" i="3"/>
  <c r="N766" i="3"/>
  <c r="N798" i="3"/>
  <c r="N804" i="3"/>
  <c r="N838" i="3"/>
  <c r="N840" i="3"/>
  <c r="N1011" i="3"/>
  <c r="N1149" i="3"/>
  <c r="N1350" i="3"/>
  <c r="N1429" i="3"/>
  <c r="N1522" i="3"/>
  <c r="N1549" i="3"/>
  <c r="N1746" i="3"/>
  <c r="N1948" i="3"/>
  <c r="N1991" i="3"/>
  <c r="N2048" i="3"/>
  <c r="N2170" i="3"/>
  <c r="N2197" i="3"/>
  <c r="N2278" i="3"/>
  <c r="N2328" i="3"/>
  <c r="N2386" i="3"/>
  <c r="N2410" i="3"/>
  <c r="N2450" i="3"/>
  <c r="N2547" i="3"/>
  <c r="N2626" i="3"/>
  <c r="N2656" i="3"/>
  <c r="N2701" i="3"/>
  <c r="N2711" i="3"/>
  <c r="N2777" i="3"/>
  <c r="N2782" i="3"/>
  <c r="N2789" i="3"/>
  <c r="N2809" i="3"/>
  <c r="N2838" i="3"/>
  <c r="N2873" i="3"/>
  <c r="N2880" i="3"/>
  <c r="N2901" i="3"/>
  <c r="N2946" i="3"/>
  <c r="N2954" i="3"/>
  <c r="N2976" i="3"/>
  <c r="N3049" i="3"/>
  <c r="N3169" i="3"/>
  <c r="N3242" i="3"/>
  <c r="N3308" i="3"/>
  <c r="N3315" i="3"/>
  <c r="N3355" i="3"/>
  <c r="N3400" i="3"/>
  <c r="N3456" i="3"/>
  <c r="N3524" i="3"/>
  <c r="N3561" i="3"/>
  <c r="N3569" i="3"/>
  <c r="N3641" i="3"/>
  <c r="N3652" i="3"/>
  <c r="N3783" i="3"/>
  <c r="N3825" i="3"/>
  <c r="N3852" i="3"/>
  <c r="N3873" i="3"/>
  <c r="N3895" i="3"/>
  <c r="N3919" i="3"/>
  <c r="N3928" i="3"/>
  <c r="N3939" i="3"/>
  <c r="N3941" i="3"/>
  <c r="N3956" i="3"/>
  <c r="N4044" i="3"/>
  <c r="N4053" i="3"/>
  <c r="N4083" i="3"/>
  <c r="N4091" i="3"/>
  <c r="N4119" i="3"/>
  <c r="N4138" i="3"/>
  <c r="N4143" i="3"/>
  <c r="N4276" i="3"/>
  <c r="N4294" i="3"/>
  <c r="N4439" i="3"/>
  <c r="N4497" i="3"/>
  <c r="N4544" i="3"/>
  <c r="N4560" i="3"/>
  <c r="N4566" i="3"/>
  <c r="N4570" i="3"/>
  <c r="N4613" i="3"/>
  <c r="N4631" i="3"/>
  <c r="N4642" i="3"/>
  <c r="N4691" i="3"/>
  <c r="N4742" i="3"/>
  <c r="N4763" i="3"/>
  <c r="N4774" i="3"/>
  <c r="N4801" i="3"/>
  <c r="N6" i="3"/>
  <c r="N21" i="3"/>
  <c r="N87" i="3"/>
  <c r="N103" i="3"/>
  <c r="N112" i="3"/>
  <c r="N201" i="3"/>
  <c r="N206" i="3"/>
  <c r="N219" i="3"/>
  <c r="N273" i="3"/>
  <c r="N310" i="3"/>
  <c r="N312" i="3"/>
  <c r="N345" i="3"/>
  <c r="N361" i="3"/>
  <c r="N508" i="3"/>
  <c r="N566" i="3"/>
  <c r="N711" i="3"/>
  <c r="N864" i="3"/>
  <c r="N873" i="3"/>
  <c r="N885" i="3"/>
  <c r="N1172" i="3"/>
  <c r="N1238" i="3"/>
  <c r="N1274" i="3"/>
  <c r="N1295" i="3"/>
  <c r="N1310" i="3"/>
  <c r="N1318" i="3"/>
  <c r="N1336" i="3"/>
  <c r="N1491" i="3"/>
  <c r="N1558" i="3"/>
  <c r="N1576" i="3"/>
  <c r="N1622" i="3"/>
  <c r="N1744" i="3"/>
  <c r="N1790" i="3"/>
  <c r="N1819" i="3"/>
  <c r="N1846" i="3"/>
  <c r="N1862" i="3"/>
  <c r="N1880" i="3"/>
  <c r="N1907" i="3"/>
  <c r="N1911" i="3"/>
  <c r="N1928" i="3"/>
  <c r="N1961" i="3"/>
  <c r="N2011" i="3"/>
  <c r="N2042" i="3"/>
  <c r="N2074" i="3"/>
  <c r="N2205" i="3"/>
  <c r="N2287" i="3"/>
  <c r="N2297" i="3"/>
  <c r="N2400" i="3"/>
  <c r="N2428" i="3"/>
  <c r="N2430" i="3"/>
  <c r="N2488" i="3"/>
  <c r="N2555" i="3"/>
  <c r="N2592" i="3"/>
  <c r="N2806" i="3"/>
  <c r="N2814" i="3"/>
  <c r="N2887" i="3"/>
  <c r="N2910" i="3"/>
  <c r="N2916" i="3"/>
  <c r="N3257" i="3"/>
  <c r="N3326" i="3"/>
  <c r="N3391" i="3"/>
  <c r="N3442" i="3"/>
  <c r="N3449" i="3"/>
  <c r="N3475" i="3"/>
  <c r="N3567" i="3"/>
  <c r="N3576" i="3"/>
  <c r="N3582" i="3"/>
  <c r="N3602" i="3"/>
  <c r="N3649" i="3"/>
  <c r="N3660" i="3"/>
  <c r="N3665" i="3"/>
  <c r="N3688" i="3"/>
  <c r="N3867" i="3"/>
  <c r="N3926" i="3"/>
  <c r="N3976" i="3"/>
  <c r="N3977" i="3"/>
  <c r="N4007" i="3"/>
  <c r="N4021" i="3"/>
  <c r="N4287" i="3"/>
  <c r="N4401" i="3"/>
  <c r="N4449" i="3"/>
  <c r="N4514" i="3"/>
  <c r="N4516" i="3"/>
  <c r="N4593" i="3"/>
  <c r="N4595" i="3"/>
  <c r="N4762" i="3"/>
  <c r="N4794" i="3"/>
  <c r="N33" i="3"/>
  <c r="N111" i="3"/>
  <c r="N212" i="3"/>
  <c r="N217" i="3"/>
  <c r="N247" i="3"/>
  <c r="N298" i="3"/>
  <c r="N352" i="3"/>
  <c r="N396" i="3"/>
  <c r="N463" i="3"/>
  <c r="N509" i="3"/>
  <c r="N555" i="3"/>
  <c r="N563" i="3"/>
  <c r="N585" i="3"/>
  <c r="N594" i="3"/>
  <c r="N612" i="3"/>
  <c r="N646" i="3"/>
  <c r="N652" i="3"/>
  <c r="N771" i="3"/>
  <c r="N867" i="3"/>
  <c r="N879" i="3"/>
  <c r="N995" i="3"/>
  <c r="N1046" i="3"/>
  <c r="N1123" i="3"/>
  <c r="N1137" i="3"/>
  <c r="N1253" i="3"/>
  <c r="N1306" i="3"/>
  <c r="N1330" i="3"/>
  <c r="N1345" i="3"/>
  <c r="N1368" i="3"/>
  <c r="N1397" i="3"/>
  <c r="N1450" i="3"/>
  <c r="N1705" i="3"/>
  <c r="N1753" i="3"/>
  <c r="N1771" i="3"/>
  <c r="N1826" i="3"/>
  <c r="N1997" i="3"/>
  <c r="N2006" i="3"/>
  <c r="N2009" i="3"/>
  <c r="N2017" i="3"/>
  <c r="N2037" i="3"/>
  <c r="N2069" i="3"/>
  <c r="N2132" i="3"/>
  <c r="N2135" i="3"/>
  <c r="N2244" i="3"/>
  <c r="N2283" i="3"/>
  <c r="N2379" i="3"/>
  <c r="N2444" i="3"/>
  <c r="N2619" i="3"/>
  <c r="N2692" i="3"/>
  <c r="N2697" i="3"/>
  <c r="N2713" i="3"/>
  <c r="N2827" i="3"/>
  <c r="N2906" i="3"/>
  <c r="N3027" i="3"/>
  <c r="N3081" i="3"/>
  <c r="N3082" i="3"/>
  <c r="N3127" i="3"/>
  <c r="N3210" i="3"/>
  <c r="N3212" i="3"/>
  <c r="N3338" i="3"/>
  <c r="N3368" i="3"/>
  <c r="N3398" i="3"/>
  <c r="N3443" i="3"/>
  <c r="N3463" i="3"/>
  <c r="N3487" i="3"/>
  <c r="N3522" i="3"/>
  <c r="N3580" i="3"/>
  <c r="N3596" i="3"/>
  <c r="N3609" i="3"/>
  <c r="N3823" i="3"/>
  <c r="N3842" i="3"/>
  <c r="N3930" i="3"/>
  <c r="N4087" i="3"/>
  <c r="N4124" i="3"/>
  <c r="N4320" i="3"/>
  <c r="N4342" i="3"/>
  <c r="N4494" i="3"/>
  <c r="N4660" i="3"/>
  <c r="N4805" i="3"/>
  <c r="N1515" i="3"/>
  <c r="N1598" i="3"/>
  <c r="N2658" i="3"/>
  <c r="N2988" i="3"/>
  <c r="N3115" i="3"/>
  <c r="N3586" i="3"/>
  <c r="N4023" i="3"/>
  <c r="N4600" i="3"/>
  <c r="N51" i="3"/>
  <c r="N104" i="3"/>
  <c r="N110" i="3"/>
  <c r="N226" i="3"/>
  <c r="N248" i="3"/>
  <c r="N286" i="3"/>
  <c r="N320" i="3"/>
  <c r="N371" i="3"/>
  <c r="N448" i="3"/>
  <c r="N547" i="3"/>
  <c r="N647" i="3"/>
  <c r="N735" i="3"/>
  <c r="N866" i="3"/>
  <c r="N897" i="3"/>
  <c r="N935" i="3"/>
  <c r="N940" i="3"/>
  <c r="N950" i="3"/>
  <c r="N966" i="3"/>
  <c r="N975" i="3"/>
  <c r="N1079" i="3"/>
  <c r="N1160" i="3"/>
  <c r="N1351" i="3"/>
  <c r="N1583" i="3"/>
  <c r="N1630" i="3"/>
  <c r="N1662" i="3"/>
  <c r="N1663" i="3"/>
  <c r="N1773" i="3"/>
  <c r="N1787" i="3"/>
  <c r="N1842" i="3"/>
  <c r="N1865" i="3"/>
  <c r="N2092" i="3"/>
  <c r="N2138" i="3"/>
  <c r="N2176" i="3"/>
  <c r="N2196" i="3"/>
  <c r="N2221" i="3"/>
  <c r="N2229" i="3"/>
  <c r="N2276" i="3"/>
  <c r="N2312" i="3"/>
  <c r="N2412" i="3"/>
  <c r="N2424" i="3"/>
  <c r="N2474" i="3"/>
  <c r="N2503" i="3"/>
  <c r="N2593" i="3"/>
  <c r="N2596" i="3"/>
  <c r="N2628" i="3"/>
  <c r="N2654" i="3"/>
  <c r="N2792" i="3"/>
  <c r="N2823" i="3"/>
  <c r="N2825" i="3"/>
  <c r="N2856" i="3"/>
  <c r="N2871" i="3"/>
  <c r="N2921" i="3"/>
  <c r="N2941" i="3"/>
  <c r="N3020" i="3"/>
  <c r="N3044" i="3"/>
  <c r="N3073" i="3"/>
  <c r="N3112" i="3"/>
  <c r="N3154" i="3"/>
  <c r="N3188" i="3"/>
  <c r="N3211" i="3"/>
  <c r="N3219" i="3"/>
  <c r="N3252" i="3"/>
  <c r="N3265" i="3"/>
  <c r="N3325" i="3"/>
  <c r="N3367" i="3"/>
  <c r="N3372" i="3"/>
  <c r="N3381" i="3"/>
  <c r="N3405" i="3"/>
  <c r="N3631" i="3"/>
  <c r="N3648" i="3"/>
  <c r="N3655" i="3"/>
  <c r="N3668" i="3"/>
  <c r="N3692" i="3"/>
  <c r="N3745" i="3"/>
  <c r="N3773" i="3"/>
  <c r="N3865" i="3"/>
  <c r="N3950" i="3"/>
  <c r="N4008" i="3"/>
  <c r="N4059" i="3"/>
  <c r="N4065" i="3"/>
  <c r="N4107" i="3"/>
  <c r="N4217" i="3"/>
  <c r="N4246" i="3"/>
  <c r="N4278" i="3"/>
  <c r="N4333" i="3"/>
  <c r="N4363" i="3"/>
  <c r="N4430" i="3"/>
  <c r="N4461" i="3"/>
  <c r="N4554" i="3"/>
  <c r="N4565" i="3"/>
  <c r="N4622" i="3"/>
  <c r="N4639" i="3"/>
  <c r="N4663" i="3"/>
  <c r="N4688" i="3"/>
  <c r="N4690" i="3"/>
  <c r="N4806" i="3"/>
  <c r="N4826" i="3"/>
  <c r="N119" i="3"/>
  <c r="N159" i="3"/>
  <c r="N166" i="3"/>
  <c r="N188" i="3"/>
  <c r="N260" i="3"/>
  <c r="N390" i="3"/>
  <c r="N395" i="3"/>
  <c r="N473" i="3"/>
  <c r="N511" i="3"/>
  <c r="N517" i="3"/>
  <c r="N587" i="3"/>
  <c r="N655" i="3"/>
  <c r="N662" i="3"/>
  <c r="N724" i="3"/>
  <c r="N743" i="3"/>
  <c r="N929" i="3"/>
  <c r="N1038" i="3"/>
  <c r="N1048" i="3"/>
  <c r="N1074" i="3"/>
  <c r="N1126" i="3"/>
  <c r="N1132" i="3"/>
  <c r="N1229" i="3"/>
  <c r="N1272" i="3"/>
  <c r="N1300" i="3"/>
  <c r="N1313" i="3"/>
  <c r="N1335" i="3"/>
  <c r="N1365" i="3"/>
  <c r="N1382" i="3"/>
  <c r="N1485" i="3"/>
  <c r="N1624" i="3"/>
  <c r="N1645" i="3"/>
  <c r="N1683" i="3"/>
  <c r="N1795" i="3"/>
  <c r="N1848" i="3"/>
  <c r="N1861" i="3"/>
  <c r="N1878" i="3"/>
  <c r="N1937" i="3"/>
  <c r="N1966" i="3"/>
  <c r="N2019" i="3"/>
  <c r="N2112" i="3"/>
  <c r="N2145" i="3"/>
  <c r="N2240" i="3"/>
  <c r="N2281" i="3"/>
  <c r="N2419" i="3"/>
  <c r="N2615" i="3"/>
  <c r="N2685" i="3"/>
  <c r="N2707" i="3"/>
  <c r="N2749" i="3"/>
  <c r="N2832" i="3"/>
  <c r="N2900" i="3"/>
  <c r="N3032" i="3"/>
  <c r="N3034" i="3"/>
  <c r="N3070" i="3"/>
  <c r="N3217" i="3"/>
  <c r="N3224" i="3"/>
  <c r="N3457" i="3"/>
  <c r="N3481" i="3"/>
  <c r="N3482" i="3"/>
  <c r="N3664" i="3"/>
  <c r="N3807" i="3"/>
  <c r="N3900" i="3"/>
  <c r="N3934" i="3"/>
  <c r="N3985" i="3"/>
  <c r="N4077" i="3"/>
  <c r="N4126" i="3"/>
  <c r="N4178" i="3"/>
  <c r="N4197" i="3"/>
  <c r="N4207" i="3"/>
  <c r="N4239" i="3"/>
  <c r="N4245" i="3"/>
  <c r="N4313" i="3"/>
  <c r="N4458" i="3"/>
  <c r="N4495" i="3"/>
  <c r="N4585" i="3"/>
  <c r="N4590" i="3"/>
  <c r="N4607" i="3"/>
  <c r="N4637" i="3"/>
  <c r="N4680" i="3"/>
  <c r="N4699" i="3"/>
  <c r="N4712" i="3"/>
  <c r="N4713" i="3"/>
  <c r="N4760" i="3"/>
  <c r="N4787" i="3"/>
  <c r="N52" i="3"/>
  <c r="N76" i="3"/>
  <c r="N91" i="3"/>
  <c r="N126" i="3"/>
  <c r="N146" i="3"/>
  <c r="N196" i="3"/>
  <c r="N208" i="3"/>
  <c r="N209" i="3"/>
  <c r="N230" i="3"/>
  <c r="N251" i="3"/>
  <c r="N302" i="3"/>
  <c r="N314" i="3"/>
  <c r="N327" i="3"/>
  <c r="N386" i="3"/>
  <c r="N388" i="3"/>
  <c r="N459" i="3"/>
  <c r="N661" i="3"/>
  <c r="N737" i="3"/>
  <c r="N761" i="3"/>
  <c r="N788" i="3"/>
  <c r="N839" i="3"/>
  <c r="N936" i="3"/>
  <c r="N974" i="3"/>
  <c r="N1100" i="3"/>
  <c r="N1165" i="3"/>
  <c r="N1199" i="3"/>
  <c r="N1209" i="3"/>
  <c r="N1277" i="3"/>
  <c r="N1377" i="3"/>
  <c r="N1449" i="3"/>
  <c r="N1469" i="3"/>
  <c r="N1480" i="3"/>
  <c r="N1489" i="3"/>
  <c r="N1527" i="3"/>
  <c r="N1537" i="3"/>
  <c r="N1587" i="3"/>
  <c r="N1597" i="3"/>
  <c r="N1672" i="3"/>
  <c r="N1737" i="3"/>
  <c r="N1797" i="3"/>
  <c r="N1818" i="3"/>
  <c r="N1824" i="3"/>
  <c r="N1849" i="3"/>
  <c r="N1909" i="3"/>
  <c r="N1935" i="3"/>
  <c r="N1943" i="3"/>
  <c r="N1974" i="3"/>
  <c r="N2012" i="3"/>
  <c r="N2094" i="3"/>
  <c r="N2120" i="3"/>
  <c r="N2189" i="3"/>
  <c r="N2354" i="3"/>
  <c r="N2381" i="3"/>
  <c r="N2453" i="3"/>
  <c r="N2454" i="3"/>
  <c r="N2457" i="3"/>
  <c r="N2481" i="3"/>
  <c r="N2487" i="3"/>
  <c r="N2505" i="3"/>
  <c r="N2514" i="3"/>
  <c r="N2521" i="3"/>
  <c r="N2538" i="3"/>
  <c r="N2590" i="3"/>
  <c r="N2611" i="3"/>
  <c r="N2660" i="3"/>
  <c r="N2784" i="3"/>
  <c r="N2970" i="3"/>
  <c r="N3093" i="3"/>
  <c r="N3138" i="3"/>
  <c r="N3161" i="3"/>
  <c r="N3180" i="3"/>
  <c r="N3196" i="3"/>
  <c r="N3198" i="3"/>
  <c r="N3254" i="3"/>
  <c r="N3322" i="3"/>
  <c r="N3354" i="3"/>
  <c r="N3358" i="3"/>
  <c r="N3387" i="3"/>
  <c r="N3409" i="3"/>
  <c r="N3414" i="3"/>
  <c r="N3428" i="3"/>
  <c r="N3551" i="3"/>
  <c r="N3571" i="3"/>
  <c r="N3597" i="3"/>
  <c r="N3704" i="3"/>
  <c r="N3798" i="3"/>
  <c r="N3836" i="3"/>
  <c r="N3878" i="3"/>
  <c r="N3905" i="3"/>
  <c r="N4089" i="3"/>
  <c r="N4130" i="3"/>
  <c r="N4344" i="3"/>
  <c r="N4360" i="3"/>
  <c r="N4457" i="3"/>
  <c r="N4722" i="3"/>
  <c r="N4782" i="3"/>
  <c r="N4789" i="3"/>
  <c r="N4802" i="3"/>
  <c r="N158" i="3"/>
  <c r="N165" i="3"/>
  <c r="N192" i="3"/>
  <c r="N262" i="3"/>
  <c r="N293" i="3"/>
  <c r="N295" i="3"/>
  <c r="N342" i="3"/>
  <c r="N370" i="3"/>
  <c r="N543" i="3"/>
  <c r="N565" i="3"/>
  <c r="N660" i="3"/>
  <c r="N746" i="3"/>
  <c r="N816" i="3"/>
  <c r="N888" i="3"/>
  <c r="N893" i="3"/>
  <c r="N922" i="3"/>
  <c r="N985" i="3"/>
  <c r="N996" i="3"/>
  <c r="N1014" i="3"/>
  <c r="N1181" i="3"/>
  <c r="N1208" i="3"/>
  <c r="N1222" i="3"/>
  <c r="N1276" i="3"/>
  <c r="N1293" i="3"/>
  <c r="N1413" i="3"/>
  <c r="N1512" i="3"/>
  <c r="N1555" i="3"/>
  <c r="N1729" i="3"/>
  <c r="N1741" i="3"/>
  <c r="N1745" i="3"/>
  <c r="N1761" i="3"/>
  <c r="N1886" i="3"/>
  <c r="N1916" i="3"/>
  <c r="N1962" i="3"/>
  <c r="N2024" i="3"/>
  <c r="N2202" i="3"/>
  <c r="N2230" i="3"/>
  <c r="N2294" i="3"/>
  <c r="N2425" i="3"/>
  <c r="N2434" i="3"/>
  <c r="N2510" i="3"/>
  <c r="N2545" i="3"/>
  <c r="N2594" i="3"/>
  <c r="N2613" i="3"/>
  <c r="N2621" i="3"/>
  <c r="N2764" i="3"/>
  <c r="N2795" i="3"/>
  <c r="N2936" i="3"/>
  <c r="N2982" i="3"/>
  <c r="N2991" i="3"/>
  <c r="N3006" i="3"/>
  <c r="N3134" i="3"/>
  <c r="N3174" i="3"/>
  <c r="N3390" i="3"/>
  <c r="N3421" i="3"/>
  <c r="N3467" i="3"/>
  <c r="N3471" i="3"/>
  <c r="N3518" i="3"/>
  <c r="N3575" i="3"/>
  <c r="N3732" i="3"/>
  <c r="N3827" i="3"/>
  <c r="N3906" i="3"/>
  <c r="N3986" i="3"/>
  <c r="N4010" i="3"/>
  <c r="N4049" i="3"/>
  <c r="N4329" i="3"/>
  <c r="N4346" i="3"/>
  <c r="N4364" i="3"/>
  <c r="N4498" i="3"/>
  <c r="N4506" i="3"/>
  <c r="N4765" i="3"/>
  <c r="N4771" i="3"/>
  <c r="N4833" i="3"/>
  <c r="N84" i="3"/>
  <c r="N136" i="3"/>
  <c r="N167" i="3"/>
  <c r="N243" i="3"/>
  <c r="N403" i="3"/>
  <c r="N404" i="3"/>
  <c r="N412" i="3"/>
  <c r="N467" i="3"/>
  <c r="N626" i="3"/>
  <c r="N666" i="3"/>
  <c r="N701" i="3"/>
  <c r="N951" i="3"/>
  <c r="N954" i="3"/>
  <c r="N1015" i="3"/>
  <c r="N1108" i="3"/>
  <c r="N1226" i="3"/>
  <c r="N1418" i="3"/>
  <c r="N1419" i="3"/>
  <c r="N1478" i="3"/>
  <c r="N1606" i="3"/>
  <c r="N1613" i="3"/>
  <c r="N1718" i="3"/>
  <c r="N1722" i="3"/>
  <c r="N1908" i="3"/>
  <c r="N1958" i="3"/>
  <c r="N2056" i="3"/>
  <c r="N2109" i="3"/>
  <c r="N2216" i="3"/>
  <c r="N2260" i="3"/>
  <c r="N2315" i="3"/>
  <c r="N2335" i="3"/>
  <c r="N2422" i="3"/>
  <c r="N2437" i="3"/>
  <c r="N2452" i="3"/>
  <c r="N2499" i="3"/>
  <c r="N2524" i="3"/>
  <c r="N2581" i="3"/>
  <c r="N2591" i="3"/>
  <c r="N2675" i="3"/>
  <c r="N3039" i="3"/>
  <c r="N3087" i="3"/>
  <c r="N3125" i="3"/>
  <c r="N3175" i="3"/>
  <c r="N3200" i="3"/>
  <c r="N3223" i="3"/>
  <c r="N3284" i="3"/>
  <c r="N3455" i="3"/>
  <c r="N3608" i="3"/>
  <c r="N3643" i="3"/>
  <c r="N3694" i="3"/>
  <c r="N3702" i="3"/>
  <c r="N3880" i="3"/>
  <c r="N3904" i="3"/>
  <c r="N3909" i="3"/>
  <c r="N3917" i="3"/>
  <c r="N3951" i="3"/>
  <c r="N3954" i="3"/>
  <c r="N4392" i="3"/>
  <c r="N4629" i="3"/>
  <c r="N4671" i="3"/>
  <c r="N4677" i="3"/>
  <c r="N4737" i="3"/>
  <c r="N4739" i="3"/>
  <c r="N4740" i="3"/>
  <c r="N4795" i="3"/>
  <c r="N17" i="3"/>
  <c r="N68" i="3"/>
  <c r="N94" i="3"/>
  <c r="N120" i="3"/>
  <c r="N176" i="3"/>
  <c r="N367" i="3"/>
  <c r="N433" i="3"/>
  <c r="N442" i="3"/>
  <c r="N532" i="3"/>
  <c r="N568" i="3"/>
  <c r="N591" i="3"/>
  <c r="N707" i="3"/>
  <c r="N811" i="3"/>
  <c r="N851" i="3"/>
  <c r="N860" i="3"/>
  <c r="N908" i="3"/>
  <c r="N911" i="3"/>
  <c r="N1084" i="3"/>
  <c r="N1170" i="3"/>
  <c r="N1232" i="3"/>
  <c r="N1242" i="3"/>
  <c r="N1271" i="3"/>
  <c r="N1328" i="3"/>
  <c r="N1495" i="3"/>
  <c r="N1502" i="3"/>
  <c r="N1546" i="3"/>
  <c r="N1604" i="3"/>
  <c r="N1670" i="3"/>
  <c r="N1701" i="3"/>
  <c r="N1822" i="3"/>
  <c r="N1864" i="3"/>
  <c r="N1887" i="3"/>
  <c r="N2206" i="3"/>
  <c r="N2295" i="3"/>
  <c r="N2355" i="3"/>
  <c r="N2548" i="3"/>
  <c r="N2597" i="3"/>
  <c r="N2751" i="3"/>
  <c r="N2803" i="3"/>
  <c r="N2855" i="3"/>
  <c r="N2860" i="3"/>
  <c r="N2885" i="3"/>
  <c r="N2940" i="3"/>
  <c r="N2979" i="3"/>
  <c r="N3062" i="3"/>
  <c r="N3132" i="3"/>
  <c r="N3204" i="3"/>
  <c r="N3313" i="3"/>
  <c r="N3314" i="3"/>
  <c r="N3376" i="3"/>
  <c r="N3450" i="3"/>
  <c r="N3498" i="3"/>
  <c r="N3506" i="3"/>
  <c r="N3528" i="3"/>
  <c r="N3549" i="3"/>
  <c r="N3555" i="3"/>
  <c r="N3593" i="3"/>
  <c r="N3748" i="3"/>
  <c r="N3848" i="3"/>
  <c r="N3868" i="3"/>
  <c r="N3901" i="3"/>
  <c r="N3965" i="3"/>
  <c r="N4096" i="3"/>
  <c r="N4242" i="3"/>
  <c r="N4366" i="3"/>
  <c r="N4455" i="3"/>
  <c r="N4486" i="3"/>
  <c r="N4611" i="3"/>
  <c r="N4620" i="3"/>
  <c r="N4689" i="3"/>
  <c r="N4758" i="3"/>
  <c r="N4" i="3"/>
  <c r="N5" i="3"/>
  <c r="N13" i="3"/>
  <c r="N25" i="3"/>
  <c r="N44" i="3"/>
  <c r="N55" i="3"/>
  <c r="N124" i="3"/>
  <c r="N142" i="3"/>
  <c r="N227" i="3"/>
  <c r="N349" i="3"/>
  <c r="N415" i="3"/>
  <c r="N431" i="3"/>
  <c r="N462" i="3"/>
  <c r="N470" i="3"/>
  <c r="N540" i="3"/>
  <c r="N569" i="3"/>
  <c r="N580" i="3"/>
  <c r="N604" i="3"/>
  <c r="N721" i="3"/>
  <c r="N750" i="3"/>
  <c r="N778" i="3"/>
  <c r="N780" i="3"/>
  <c r="N793" i="3"/>
  <c r="N802" i="3"/>
  <c r="N819" i="3"/>
  <c r="N857" i="3"/>
  <c r="N868" i="3"/>
  <c r="N915" i="3"/>
  <c r="N983" i="3"/>
  <c r="N1006" i="3"/>
  <c r="N1044" i="3"/>
  <c r="N1056" i="3"/>
  <c r="N1131" i="3"/>
  <c r="N1133" i="3"/>
  <c r="N1143" i="3"/>
  <c r="N1148" i="3"/>
  <c r="N1236" i="3"/>
  <c r="N1309" i="3"/>
  <c r="N1320" i="3"/>
  <c r="N1323" i="3"/>
  <c r="N1417" i="3"/>
  <c r="N1438" i="3"/>
  <c r="N1483" i="3"/>
  <c r="N1650" i="3"/>
  <c r="N1652" i="3"/>
  <c r="N1725" i="3"/>
  <c r="N1796" i="3"/>
  <c r="N1815" i="3"/>
  <c r="N1827" i="3"/>
  <c r="N1854" i="3"/>
  <c r="N1891" i="3"/>
  <c r="N1898" i="3"/>
  <c r="N1929" i="3"/>
  <c r="N2103" i="3"/>
  <c r="N2117" i="3"/>
  <c r="N2157" i="3"/>
  <c r="N2192" i="3"/>
  <c r="N2288" i="3"/>
  <c r="N2343" i="3"/>
  <c r="N2391" i="3"/>
  <c r="N2463" i="3"/>
  <c r="N2478" i="3"/>
  <c r="N2498" i="3"/>
  <c r="N2507" i="3"/>
  <c r="N2513" i="3"/>
  <c r="N2690" i="3"/>
  <c r="N2719" i="3"/>
  <c r="N2736" i="3"/>
  <c r="N2745" i="3"/>
  <c r="N2780" i="3"/>
  <c r="N2846" i="3"/>
  <c r="N3065" i="3"/>
  <c r="N3341" i="3"/>
  <c r="N3544" i="3"/>
  <c r="N3605" i="3"/>
  <c r="N3657" i="3"/>
  <c r="N3658" i="3"/>
  <c r="N3673" i="3"/>
  <c r="N3737" i="3"/>
  <c r="N3763" i="3"/>
  <c r="N3792" i="3"/>
  <c r="N3815" i="3"/>
  <c r="N3935" i="3"/>
  <c r="N3943" i="3"/>
  <c r="N4012" i="3"/>
  <c r="N4013" i="3"/>
  <c r="N4016" i="3"/>
  <c r="N4018" i="3"/>
  <c r="N4037" i="3"/>
  <c r="N4045" i="3"/>
  <c r="N4102" i="3"/>
  <c r="N4220" i="3"/>
  <c r="N4232" i="3"/>
  <c r="N4250" i="3"/>
  <c r="N4253" i="3"/>
  <c r="N4254" i="3"/>
  <c r="N4286" i="3"/>
  <c r="N4292" i="3"/>
  <c r="N4293" i="3"/>
  <c r="N4305" i="3"/>
  <c r="N4352" i="3"/>
  <c r="N4353" i="3"/>
  <c r="N4408" i="3"/>
  <c r="N4444" i="3"/>
  <c r="N4473" i="3"/>
  <c r="N4546" i="3"/>
  <c r="N4561" i="3"/>
  <c r="N4569" i="3"/>
  <c r="N4584" i="3"/>
  <c r="N4602" i="3"/>
  <c r="N4617" i="3"/>
  <c r="N4635" i="3"/>
  <c r="N4695" i="3"/>
  <c r="N4767" i="3"/>
  <c r="N4777" i="3"/>
  <c r="N4824" i="3"/>
  <c r="N34" i="3"/>
  <c r="N154" i="3"/>
  <c r="N197" i="3"/>
  <c r="N240" i="3"/>
  <c r="N268" i="3"/>
  <c r="N309" i="3"/>
  <c r="N538" i="3"/>
  <c r="N551" i="3"/>
  <c r="N567" i="3"/>
  <c r="N685" i="3"/>
  <c r="N760" i="3"/>
  <c r="N764" i="3"/>
  <c r="N770" i="3"/>
  <c r="N876" i="3"/>
  <c r="N988" i="3"/>
  <c r="N1005" i="3"/>
  <c r="N1017" i="3"/>
  <c r="N1025" i="3"/>
  <c r="N1055" i="3"/>
  <c r="N1061" i="3"/>
  <c r="N1193" i="3"/>
  <c r="N1206" i="3"/>
  <c r="N1216" i="3"/>
  <c r="N1217" i="3"/>
  <c r="N1291" i="3"/>
  <c r="N1294" i="3"/>
  <c r="N1371" i="3"/>
  <c r="N1401" i="3"/>
  <c r="N1402" i="3"/>
  <c r="N1467" i="3"/>
  <c r="N1472" i="3"/>
  <c r="N1482" i="3"/>
  <c r="N1488" i="3"/>
  <c r="N1496" i="3"/>
  <c r="N1505" i="3"/>
  <c r="N1541" i="3"/>
  <c r="N1562" i="3"/>
  <c r="N1596" i="3"/>
  <c r="N1709" i="3"/>
  <c r="N1715" i="3"/>
  <c r="N1728" i="3"/>
  <c r="N1743" i="3"/>
  <c r="N1776" i="3"/>
  <c r="N1811" i="3"/>
  <c r="N1882" i="3"/>
  <c r="N1892" i="3"/>
  <c r="N1894" i="3"/>
  <c r="N1896" i="3"/>
  <c r="N1938" i="3"/>
  <c r="N1965" i="3"/>
  <c r="N1975" i="3"/>
  <c r="N2001" i="3"/>
  <c r="N2055" i="3"/>
  <c r="N2081" i="3"/>
  <c r="N2153" i="3"/>
  <c r="N2158" i="3"/>
  <c r="N2175" i="3"/>
  <c r="N2183" i="3"/>
  <c r="N2187" i="3"/>
  <c r="N2219" i="3"/>
  <c r="N2345" i="3"/>
  <c r="N2349" i="3"/>
  <c r="N2389" i="3"/>
  <c r="N2409" i="3"/>
  <c r="N2440" i="3"/>
  <c r="N2446" i="3"/>
  <c r="N2469" i="3"/>
  <c r="N2471" i="3"/>
  <c r="N2500" i="3"/>
  <c r="N2583" i="3"/>
  <c r="N2623" i="3"/>
  <c r="N2649" i="3"/>
  <c r="N2672" i="3"/>
  <c r="N2684" i="3"/>
  <c r="N2700" i="3"/>
  <c r="N2709" i="3"/>
  <c r="N2848" i="3"/>
  <c r="N2853" i="3"/>
  <c r="N2995" i="3"/>
  <c r="N3029" i="3"/>
  <c r="N3069" i="3"/>
  <c r="N3100" i="3"/>
  <c r="N3199" i="3"/>
  <c r="N3249" i="3"/>
  <c r="N3258" i="3"/>
  <c r="N3270" i="3"/>
  <c r="N3300" i="3"/>
  <c r="N3395" i="3"/>
  <c r="N3445" i="3"/>
  <c r="N3525" i="3"/>
  <c r="N3636" i="3"/>
  <c r="N3697" i="3"/>
  <c r="N3714" i="3"/>
  <c r="N3764" i="3"/>
  <c r="N3819" i="3"/>
  <c r="N3843" i="3"/>
  <c r="N3850" i="3"/>
  <c r="N3853" i="3"/>
  <c r="N3855" i="3"/>
  <c r="N3864" i="3"/>
  <c r="N3883" i="3"/>
  <c r="N3885" i="3"/>
  <c r="N3964" i="3"/>
  <c r="N3975" i="3"/>
  <c r="N3995" i="3"/>
  <c r="N4026" i="3"/>
  <c r="N4035" i="3"/>
  <c r="N4127" i="3"/>
  <c r="N4164" i="3"/>
  <c r="N4182" i="3"/>
  <c r="N4230" i="3"/>
  <c r="N4365" i="3"/>
  <c r="N4413" i="3"/>
  <c r="N4503" i="3"/>
  <c r="N4599" i="3"/>
  <c r="N4608" i="3"/>
  <c r="N4650" i="3"/>
  <c r="N4662" i="3"/>
  <c r="N4827" i="3"/>
  <c r="N32" i="3"/>
  <c r="N35" i="3"/>
  <c r="N37" i="3"/>
  <c r="N88" i="3"/>
  <c r="N108" i="3"/>
  <c r="N122" i="3"/>
  <c r="N184" i="3"/>
  <c r="N211" i="3"/>
  <c r="N223" i="3"/>
  <c r="N272" i="3"/>
  <c r="N283" i="3"/>
  <c r="N287" i="3"/>
  <c r="N304" i="3"/>
  <c r="N329" i="3"/>
  <c r="N340" i="3"/>
  <c r="N354" i="3"/>
  <c r="N414" i="3"/>
  <c r="N425" i="3"/>
  <c r="N430" i="3"/>
  <c r="N460" i="3"/>
  <c r="N464" i="3"/>
  <c r="N469" i="3"/>
  <c r="N484" i="3"/>
  <c r="N575" i="3"/>
  <c r="N586" i="3"/>
  <c r="N598" i="3"/>
  <c r="N689" i="3"/>
  <c r="N729" i="3"/>
  <c r="N805" i="3"/>
  <c r="N874" i="3"/>
  <c r="N1078" i="3"/>
  <c r="N1080" i="3"/>
  <c r="N1081" i="3"/>
  <c r="N1092" i="3"/>
  <c r="N1102" i="3"/>
  <c r="N1103" i="3"/>
  <c r="N1115" i="3"/>
  <c r="N1176" i="3"/>
  <c r="N1308" i="3"/>
  <c r="N1339" i="3"/>
  <c r="N1340" i="3"/>
  <c r="N1352" i="3"/>
  <c r="N1374" i="3"/>
  <c r="N1386" i="3"/>
  <c r="N1404" i="3"/>
  <c r="N1414" i="3"/>
  <c r="N1432" i="3"/>
  <c r="N1464" i="3"/>
  <c r="N1476" i="3"/>
  <c r="N1497" i="3"/>
  <c r="N1503" i="3"/>
  <c r="N1525" i="3"/>
  <c r="N1567" i="3"/>
  <c r="N1612" i="3"/>
  <c r="N1623" i="3"/>
  <c r="N1653" i="3"/>
  <c r="N1687" i="3"/>
  <c r="N1699" i="3"/>
  <c r="N1716" i="3"/>
  <c r="N1720" i="3"/>
  <c r="N1747" i="3"/>
  <c r="N1756" i="3"/>
  <c r="N1808" i="3"/>
  <c r="N1817" i="3"/>
  <c r="N1855" i="3"/>
  <c r="N1918" i="3"/>
  <c r="N1940" i="3"/>
  <c r="N1944" i="3"/>
  <c r="N1952" i="3"/>
  <c r="N1955" i="3"/>
  <c r="N1957" i="3"/>
  <c r="N1993" i="3"/>
  <c r="N2036" i="3"/>
  <c r="N2053" i="3"/>
  <c r="N2058" i="3"/>
  <c r="N2070" i="3"/>
  <c r="N2080" i="3"/>
  <c r="N2083" i="3"/>
  <c r="N2134" i="3"/>
  <c r="N2147" i="3"/>
  <c r="N2246" i="3"/>
  <c r="N2279" i="3"/>
  <c r="N2309" i="3"/>
  <c r="N2352" i="3"/>
  <c r="N2395" i="3"/>
  <c r="N2435" i="3"/>
  <c r="N2464" i="3"/>
  <c r="N2479" i="3"/>
  <c r="N2516" i="3"/>
  <c r="N2550" i="3"/>
  <c r="N2646" i="3"/>
  <c r="N2652" i="3"/>
  <c r="N2668" i="3"/>
  <c r="N2734" i="3"/>
  <c r="N2763" i="3"/>
  <c r="N2778" i="3"/>
  <c r="N2817" i="3"/>
  <c r="N2822" i="3"/>
  <c r="N2865" i="3"/>
  <c r="N2911" i="3"/>
  <c r="N2938" i="3"/>
  <c r="N2963" i="3"/>
  <c r="N2985" i="3"/>
  <c r="N3004" i="3"/>
  <c r="N3007" i="3"/>
  <c r="N3131" i="3"/>
  <c r="N3160" i="3"/>
  <c r="N3164" i="3"/>
  <c r="N3173" i="3"/>
  <c r="N3227" i="3"/>
  <c r="N3262" i="3"/>
  <c r="N3301" i="3"/>
  <c r="N3304" i="3"/>
  <c r="N3332" i="3"/>
  <c r="N3365" i="3"/>
  <c r="N3388" i="3"/>
  <c r="N3426" i="3"/>
  <c r="N3513" i="3"/>
  <c r="N3532" i="3"/>
  <c r="N3583" i="3"/>
  <c r="N3585" i="3"/>
  <c r="N3595" i="3"/>
  <c r="N3662" i="3"/>
  <c r="N3683" i="3"/>
  <c r="N3712" i="3"/>
  <c r="N3719" i="3"/>
  <c r="N3839" i="3"/>
  <c r="N3971" i="3"/>
  <c r="N3994" i="3"/>
  <c r="N4046" i="3"/>
  <c r="N4055" i="3"/>
  <c r="N4058" i="3"/>
  <c r="N4060" i="3"/>
  <c r="N4072" i="3"/>
  <c r="N4082" i="3"/>
  <c r="N4086" i="3"/>
  <c r="N4101" i="3"/>
  <c r="N4109" i="3"/>
  <c r="N4118" i="3"/>
  <c r="N4161" i="3"/>
  <c r="N4201" i="3"/>
  <c r="N4214" i="3"/>
  <c r="N4216" i="3"/>
  <c r="N4225" i="3"/>
  <c r="N4234" i="3"/>
  <c r="N4249" i="3"/>
  <c r="N4263" i="3"/>
  <c r="N4283" i="3"/>
  <c r="N4290" i="3"/>
  <c r="N4327" i="3"/>
  <c r="N4371" i="3"/>
  <c r="N4442" i="3"/>
  <c r="N4445" i="3"/>
  <c r="N4460" i="3"/>
  <c r="N4464" i="3"/>
  <c r="N4481" i="3"/>
  <c r="N4499" i="3"/>
  <c r="N4500" i="3"/>
  <c r="N4532" i="3"/>
  <c r="N4536" i="3"/>
  <c r="N4542" i="3"/>
  <c r="N4549" i="3"/>
  <c r="N4582" i="3"/>
  <c r="N4589" i="3"/>
  <c r="N4601" i="3"/>
  <c r="N4610" i="3"/>
  <c r="N4627" i="3"/>
  <c r="N4649" i="3"/>
  <c r="N4655" i="3"/>
  <c r="N4673" i="3"/>
  <c r="N4704" i="3"/>
  <c r="N4719" i="3"/>
  <c r="N4773" i="3"/>
  <c r="N4783" i="3"/>
  <c r="N40" i="3"/>
  <c r="N49" i="3"/>
  <c r="N79" i="3"/>
  <c r="N85" i="3"/>
  <c r="N96" i="3"/>
  <c r="N210" i="3"/>
  <c r="N267" i="3"/>
  <c r="N306" i="3"/>
  <c r="N311" i="3"/>
  <c r="N322" i="3"/>
  <c r="N356" i="3"/>
  <c r="N381" i="3"/>
  <c r="N436" i="3"/>
  <c r="N471" i="3"/>
  <c r="N475" i="3"/>
  <c r="N481" i="3"/>
  <c r="N578" i="3"/>
  <c r="N596" i="3"/>
  <c r="N664" i="3"/>
  <c r="N668" i="3"/>
  <c r="N683" i="3"/>
  <c r="N714" i="3"/>
  <c r="N728" i="3"/>
  <c r="N734" i="3"/>
  <c r="N757" i="3"/>
  <c r="N822" i="3"/>
  <c r="N906" i="3"/>
  <c r="N979" i="3"/>
  <c r="N998" i="3"/>
  <c r="N1057" i="3"/>
  <c r="N1116" i="3"/>
  <c r="N1117" i="3"/>
  <c r="N1125" i="3"/>
  <c r="N1150" i="3"/>
  <c r="N1166" i="3"/>
  <c r="N1198" i="3"/>
  <c r="N1251" i="3"/>
  <c r="N1258" i="3"/>
  <c r="N1348" i="3"/>
  <c r="N1388" i="3"/>
  <c r="N1410" i="3"/>
  <c r="N1437" i="3"/>
  <c r="N1443" i="3"/>
  <c r="N1468" i="3"/>
  <c r="N1521" i="3"/>
  <c r="N1625" i="3"/>
  <c r="N1626" i="3"/>
  <c r="N1628" i="3"/>
  <c r="N1669" i="3"/>
  <c r="N1673" i="3"/>
  <c r="N1775" i="3"/>
  <c r="N1778" i="3"/>
  <c r="N1779" i="3"/>
  <c r="N1816" i="3"/>
  <c r="N1841" i="3"/>
  <c r="N1844" i="3"/>
  <c r="N1852" i="3"/>
  <c r="N1914" i="3"/>
  <c r="N1983" i="3"/>
  <c r="N1990" i="3"/>
  <c r="N1994" i="3"/>
  <c r="N2047" i="3"/>
  <c r="N2075" i="3"/>
  <c r="N2164" i="3"/>
  <c r="N2201" i="3"/>
  <c r="N2284" i="3"/>
  <c r="N2331" i="3"/>
  <c r="N2362" i="3"/>
  <c r="N2363" i="3"/>
  <c r="N2365" i="3"/>
  <c r="N2388" i="3"/>
  <c r="N2401" i="3"/>
  <c r="N2408" i="3"/>
  <c r="N2415" i="3"/>
  <c r="N2449" i="3"/>
  <c r="N2455" i="3"/>
  <c r="N2466" i="3"/>
  <c r="N2569" i="3"/>
  <c r="N2574" i="3"/>
  <c r="N2582" i="3"/>
  <c r="N2624" i="3"/>
  <c r="N2637" i="3"/>
  <c r="N2740" i="3"/>
  <c r="N2760" i="3"/>
  <c r="N2762" i="3"/>
  <c r="N2861" i="3"/>
  <c r="N2913" i="3"/>
  <c r="N2923" i="3"/>
  <c r="N2973" i="3"/>
  <c r="N3035" i="3"/>
  <c r="N3066" i="3"/>
  <c r="N3084" i="3"/>
  <c r="N3097" i="3"/>
  <c r="N3185" i="3"/>
  <c r="N3225" i="3"/>
  <c r="N3243" i="3"/>
  <c r="N3274" i="3"/>
  <c r="N3278" i="3"/>
  <c r="N3348" i="3"/>
  <c r="N3351" i="3"/>
  <c r="N3436" i="3"/>
  <c r="N3470" i="3"/>
  <c r="N3504" i="3"/>
  <c r="N3566" i="3"/>
  <c r="N3570" i="3"/>
  <c r="N3813" i="3"/>
  <c r="N3820" i="3"/>
  <c r="N3872" i="3"/>
  <c r="N3970" i="3"/>
  <c r="N4043" i="3"/>
  <c r="N4064" i="3"/>
  <c r="N4071" i="3"/>
  <c r="N4100" i="3"/>
  <c r="N4136" i="3"/>
  <c r="N4168" i="3"/>
  <c r="N4203" i="3"/>
  <c r="N4299" i="3"/>
  <c r="N4409" i="3"/>
  <c r="N4465" i="3"/>
  <c r="N4507" i="3"/>
  <c r="N4521" i="3"/>
  <c r="N4557" i="3"/>
  <c r="N4586" i="3"/>
  <c r="N4647" i="3"/>
  <c r="N4653" i="3"/>
  <c r="N4678" i="3"/>
  <c r="N4700" i="3"/>
  <c r="N4731" i="3"/>
  <c r="N4776" i="3"/>
  <c r="N4797" i="3"/>
  <c r="N9" i="3"/>
  <c r="N125" i="3"/>
  <c r="N140" i="3"/>
  <c r="N364" i="3"/>
  <c r="N413" i="3"/>
  <c r="N496" i="3"/>
  <c r="N769" i="3"/>
  <c r="N836" i="3"/>
  <c r="N852" i="3"/>
  <c r="N883" i="3"/>
  <c r="N977" i="3"/>
  <c r="N1090" i="3"/>
  <c r="N1164" i="3"/>
  <c r="N1173" i="3"/>
  <c r="N1201" i="3"/>
  <c r="N1289" i="3"/>
  <c r="N1326" i="3"/>
  <c r="N1366" i="3"/>
  <c r="N1385" i="3"/>
  <c r="N1588" i="3"/>
  <c r="N1619" i="3"/>
  <c r="N1634" i="3"/>
  <c r="N1686" i="3"/>
  <c r="N1760" i="3"/>
  <c r="N1770" i="3"/>
  <c r="N1836" i="3"/>
  <c r="N1840" i="3"/>
  <c r="N1930" i="3"/>
  <c r="N1941" i="3"/>
  <c r="N1982" i="3"/>
  <c r="N2020" i="3"/>
  <c r="N2078" i="3"/>
  <c r="N2131" i="3"/>
  <c r="N2213" i="3"/>
  <c r="N2512" i="3"/>
  <c r="N2519" i="3"/>
  <c r="N2533" i="3"/>
  <c r="N2541" i="3"/>
  <c r="N2559" i="3"/>
  <c r="N2669" i="3"/>
  <c r="N2844" i="3"/>
  <c r="N2862" i="3"/>
  <c r="N2882" i="3"/>
  <c r="N3050" i="3"/>
  <c r="N3116" i="3"/>
  <c r="N3178" i="3"/>
  <c r="N3255" i="3"/>
  <c r="N3339" i="3"/>
  <c r="N3377" i="3"/>
  <c r="N3383" i="3"/>
  <c r="N3410" i="3"/>
  <c r="N3468" i="3"/>
  <c r="N3499" i="3"/>
  <c r="N3520" i="3"/>
  <c r="N3624" i="3"/>
  <c r="N3656" i="3"/>
  <c r="N3672" i="3"/>
  <c r="N3703" i="3"/>
  <c r="N3860" i="3"/>
  <c r="N3957" i="3"/>
  <c r="N4005" i="3"/>
  <c r="N4040" i="3"/>
  <c r="N4047" i="3"/>
  <c r="N4063" i="3"/>
  <c r="N4084" i="3"/>
  <c r="N4112" i="3"/>
  <c r="N4121" i="3"/>
  <c r="N4281" i="3"/>
  <c r="N4291" i="3"/>
  <c r="N4310" i="3"/>
  <c r="N4354" i="3"/>
  <c r="N4489" i="3"/>
  <c r="N4556" i="3"/>
  <c r="N4571" i="3"/>
  <c r="N4576" i="3"/>
  <c r="N4715" i="3"/>
  <c r="N4743" i="3"/>
  <c r="N4752" i="3"/>
  <c r="N109" i="3"/>
  <c r="N161" i="3"/>
  <c r="N186" i="3"/>
  <c r="N435" i="3"/>
  <c r="N455" i="3"/>
  <c r="N457" i="3"/>
  <c r="N477" i="3"/>
  <c r="N503" i="3"/>
  <c r="N554" i="3"/>
  <c r="N603" i="3"/>
  <c r="N639" i="3"/>
  <c r="N665" i="3"/>
  <c r="N776" i="3"/>
  <c r="N958" i="3"/>
  <c r="N1062" i="3"/>
  <c r="N1136" i="3"/>
  <c r="N1252" i="3"/>
  <c r="N1263" i="3"/>
  <c r="N1269" i="3"/>
  <c r="N1396" i="3"/>
  <c r="N1474" i="3"/>
  <c r="N1585" i="3"/>
  <c r="N1621" i="3"/>
  <c r="N1676" i="3"/>
  <c r="N1693" i="3"/>
  <c r="N1702" i="3"/>
  <c r="N1711" i="3"/>
  <c r="N1798" i="3"/>
  <c r="N2178" i="3"/>
  <c r="N2237" i="3"/>
  <c r="N2314" i="3"/>
  <c r="N2339" i="3"/>
  <c r="N2372" i="3"/>
  <c r="N2439" i="3"/>
  <c r="N2567" i="3"/>
  <c r="N2629" i="3"/>
  <c r="N2702" i="3"/>
  <c r="N2770" i="3"/>
  <c r="N2790" i="3"/>
  <c r="N3000" i="3"/>
  <c r="N3018" i="3"/>
  <c r="N3024" i="3"/>
  <c r="N3090" i="3"/>
  <c r="N3172" i="3"/>
  <c r="N3375" i="3"/>
  <c r="N3447" i="3"/>
  <c r="N3505" i="3"/>
  <c r="N3628" i="3"/>
  <c r="N3715" i="3"/>
  <c r="N3728" i="3"/>
  <c r="N3735" i="3"/>
  <c r="N3790" i="3"/>
  <c r="N3907" i="3"/>
  <c r="N3952" i="3"/>
  <c r="N3998" i="3"/>
  <c r="N4074" i="3"/>
  <c r="N4200" i="3"/>
  <c r="N4227" i="3"/>
  <c r="N4244" i="3"/>
  <c r="N4297" i="3"/>
  <c r="N4314" i="3"/>
  <c r="N4322" i="3"/>
  <c r="N4331" i="3"/>
  <c r="N4418" i="3"/>
  <c r="N4505" i="3"/>
  <c r="N4564" i="3"/>
  <c r="N4568" i="3"/>
  <c r="N4711" i="3"/>
  <c r="N4753" i="3"/>
  <c r="N765" i="3"/>
  <c r="N1506" i="3"/>
  <c r="N2993" i="3"/>
  <c r="N3155" i="3"/>
  <c r="N4437" i="3"/>
  <c r="N20" i="3"/>
  <c r="N101" i="3"/>
  <c r="N160" i="3"/>
  <c r="N274" i="3"/>
  <c r="N359" i="3"/>
  <c r="N380" i="3"/>
  <c r="N440" i="3"/>
  <c r="N451" i="3"/>
  <c r="N559" i="3"/>
  <c r="N675" i="3"/>
  <c r="N870" i="3"/>
  <c r="N914" i="3"/>
  <c r="N948" i="3"/>
  <c r="N1089" i="3"/>
  <c r="N1142" i="3"/>
  <c r="N1213" i="3"/>
  <c r="N1215" i="3"/>
  <c r="N1297" i="3"/>
  <c r="N1361" i="3"/>
  <c r="N1370" i="3"/>
  <c r="N1399" i="3"/>
  <c r="N1456" i="3"/>
  <c r="N1563" i="3"/>
  <c r="N1586" i="3"/>
  <c r="N1661" i="3"/>
  <c r="N1679" i="3"/>
  <c r="N1684" i="3"/>
  <c r="N1758" i="3"/>
  <c r="N1831" i="3"/>
  <c r="N1866" i="3"/>
  <c r="N1873" i="3"/>
  <c r="N1879" i="3"/>
  <c r="N1885" i="3"/>
  <c r="N1889" i="3"/>
  <c r="N2060" i="3"/>
  <c r="N2090" i="3"/>
  <c r="N2151" i="3"/>
  <c r="N2200" i="3"/>
  <c r="N2285" i="3"/>
  <c r="N2676" i="3"/>
  <c r="N2715" i="3"/>
  <c r="N2732" i="3"/>
  <c r="N2786" i="3"/>
  <c r="N2802" i="3"/>
  <c r="N2872" i="3"/>
  <c r="N3037" i="3"/>
  <c r="N3177" i="3"/>
  <c r="N3234" i="3"/>
  <c r="N3290" i="3"/>
  <c r="N3293" i="3"/>
  <c r="N3420" i="3"/>
  <c r="N3429" i="3"/>
  <c r="N3434" i="3"/>
  <c r="N3685" i="3"/>
  <c r="N3709" i="3"/>
  <c r="N3744" i="3"/>
  <c r="N3838" i="3"/>
  <c r="N3876" i="3"/>
  <c r="N3881" i="3"/>
  <c r="N3896" i="3"/>
  <c r="N4050" i="3"/>
  <c r="N4097" i="3"/>
  <c r="N4163" i="3"/>
  <c r="N4175" i="3"/>
  <c r="N4273" i="3"/>
  <c r="N4307" i="3"/>
  <c r="N4404" i="3"/>
  <c r="N4423" i="3"/>
  <c r="N4432" i="3"/>
  <c r="N4493" i="3"/>
  <c r="N4559" i="3"/>
  <c r="N4588" i="3"/>
  <c r="N4692" i="3"/>
  <c r="N4724" i="3"/>
  <c r="N4730" i="3"/>
  <c r="N4732" i="3"/>
  <c r="N93" i="3"/>
  <c r="N100" i="3"/>
  <c r="N121" i="3"/>
  <c r="N127" i="3"/>
  <c r="N252" i="3"/>
  <c r="N316" i="3"/>
  <c r="N541" i="3"/>
  <c r="N611" i="3"/>
  <c r="N614" i="3"/>
  <c r="N656" i="3"/>
  <c r="N896" i="3"/>
  <c r="N907" i="3"/>
  <c r="N952" i="3"/>
  <c r="N989" i="3"/>
  <c r="N1066" i="3"/>
  <c r="N1069" i="3"/>
  <c r="N1111" i="3"/>
  <c r="N1155" i="3"/>
  <c r="N1207" i="3"/>
  <c r="N1296" i="3"/>
  <c r="N1343" i="3"/>
  <c r="N1347" i="3"/>
  <c r="N1357" i="3"/>
  <c r="N1405" i="3"/>
  <c r="N1424" i="3"/>
  <c r="N1524" i="3"/>
  <c r="N1578" i="3"/>
  <c r="N1593" i="3"/>
  <c r="N1610" i="3"/>
  <c r="N1777" i="3"/>
  <c r="N1782" i="3"/>
  <c r="N1794" i="3"/>
  <c r="N1875" i="3"/>
  <c r="N1900" i="3"/>
  <c r="N1969" i="3"/>
  <c r="N2008" i="3"/>
  <c r="N2022" i="3"/>
  <c r="N2087" i="3"/>
  <c r="N2154" i="3"/>
  <c r="N2245" i="3"/>
  <c r="N2289" i="3"/>
  <c r="N2367" i="3"/>
  <c r="N2462" i="3"/>
  <c r="N2497" i="3"/>
  <c r="N2549" i="3"/>
  <c r="N2595" i="3"/>
  <c r="N2598" i="3"/>
  <c r="N2617" i="3"/>
  <c r="N2682" i="3"/>
  <c r="N2771" i="3"/>
  <c r="N2775" i="3"/>
  <c r="N2801" i="3"/>
  <c r="N2981" i="3"/>
  <c r="N3101" i="3"/>
  <c r="N3107" i="3"/>
  <c r="N3129" i="3"/>
  <c r="N3139" i="3"/>
  <c r="N3141" i="3"/>
  <c r="N3209" i="3"/>
  <c r="N3245" i="3"/>
  <c r="N3296" i="3"/>
  <c r="N3623" i="3"/>
  <c r="N3706" i="3"/>
  <c r="N3780" i="3"/>
  <c r="N3856" i="3"/>
  <c r="N3953" i="3"/>
  <c r="N4025" i="3"/>
  <c r="N4070" i="3"/>
  <c r="N4162" i="3"/>
  <c r="N4179" i="3"/>
  <c r="N4236" i="3"/>
  <c r="N4272" i="3"/>
  <c r="N4412" i="3"/>
  <c r="N4475" i="3"/>
  <c r="N4501" i="3"/>
  <c r="N4541" i="3"/>
  <c r="N4574" i="3"/>
  <c r="N4702" i="3"/>
  <c r="N4750" i="3"/>
  <c r="N4800" i="3"/>
  <c r="N77" i="3"/>
  <c r="N97" i="3"/>
  <c r="N102" i="3"/>
  <c r="N128" i="3"/>
  <c r="N132" i="3"/>
  <c r="N134" i="3"/>
  <c r="N238" i="3"/>
  <c r="N271" i="3"/>
  <c r="N307" i="3"/>
  <c r="N326" i="3"/>
  <c r="N347" i="3"/>
  <c r="N399" i="3"/>
  <c r="N407" i="3"/>
  <c r="N438" i="3"/>
  <c r="N510" i="3"/>
  <c r="N519" i="3"/>
  <c r="N564" i="3"/>
  <c r="N616" i="3"/>
  <c r="N628" i="3"/>
  <c r="N818" i="3"/>
  <c r="N825" i="3"/>
  <c r="N827" i="3"/>
  <c r="N859" i="3"/>
  <c r="N968" i="3"/>
  <c r="N1023" i="3"/>
  <c r="N1098" i="3"/>
  <c r="N1127" i="3"/>
  <c r="N1146" i="3"/>
  <c r="N1154" i="3"/>
  <c r="N1210" i="3"/>
  <c r="N1220" i="3"/>
  <c r="N1231" i="3"/>
  <c r="N1234" i="3"/>
  <c r="N1284" i="3"/>
  <c r="N1395" i="3"/>
  <c r="N1431" i="3"/>
  <c r="N1451" i="3"/>
  <c r="N1538" i="3"/>
  <c r="N1594" i="3"/>
  <c r="N1605" i="3"/>
  <c r="N1641" i="3"/>
  <c r="N1654" i="3"/>
  <c r="N1657" i="3"/>
  <c r="N1659" i="3"/>
  <c r="N1674" i="3"/>
  <c r="N1680" i="3"/>
  <c r="N1734" i="3"/>
  <c r="N1781" i="3"/>
  <c r="N1799" i="3"/>
  <c r="N1812" i="3"/>
  <c r="N1835" i="3"/>
  <c r="N1871" i="3"/>
  <c r="N1897" i="3"/>
  <c r="N1976" i="3"/>
  <c r="N1978" i="3"/>
  <c r="N2002" i="3"/>
  <c r="N2045" i="3"/>
  <c r="N2106" i="3"/>
  <c r="N2140" i="3"/>
  <c r="N2203" i="3"/>
  <c r="N2218" i="3"/>
  <c r="N2232" i="3"/>
  <c r="N2264" i="3"/>
  <c r="N2269" i="3"/>
  <c r="N2305" i="3"/>
  <c r="N2338" i="3"/>
  <c r="N2364" i="3"/>
  <c r="N2383" i="3"/>
  <c r="N2501" i="3"/>
  <c r="N2520" i="3"/>
  <c r="N2600" i="3"/>
  <c r="N2630" i="3"/>
  <c r="N2635" i="3"/>
  <c r="N2741" i="3"/>
  <c r="N2807" i="3"/>
  <c r="N2884" i="3"/>
  <c r="N2907" i="3"/>
  <c r="N2914" i="3"/>
  <c r="N2975" i="3"/>
  <c r="N3042" i="3"/>
  <c r="N3114" i="3"/>
  <c r="N3130" i="3"/>
  <c r="N3144" i="3"/>
  <c r="N3171" i="3"/>
  <c r="N3184" i="3"/>
  <c r="N3190" i="3"/>
  <c r="N3218" i="3"/>
  <c r="N3231" i="3"/>
  <c r="N3239" i="3"/>
  <c r="N3276" i="3"/>
  <c r="N3345" i="3"/>
  <c r="N3361" i="3"/>
  <c r="N3401" i="3"/>
  <c r="N3411" i="3"/>
  <c r="N3500" i="3"/>
  <c r="N3546" i="3"/>
  <c r="N3562" i="3"/>
  <c r="N3572" i="3"/>
  <c r="N3612" i="3"/>
  <c r="N3627" i="3"/>
  <c r="N3632" i="3"/>
  <c r="N3721" i="3"/>
  <c r="N3731" i="3"/>
  <c r="N3746" i="3"/>
  <c r="N3754" i="3"/>
  <c r="N3774" i="3"/>
  <c r="N3877" i="3"/>
  <c r="N3879" i="3"/>
  <c r="N3949" i="3"/>
  <c r="N3989" i="3"/>
  <c r="N3990" i="3"/>
  <c r="N3992" i="3"/>
  <c r="N4001" i="3"/>
  <c r="N4002" i="3"/>
  <c r="N4014" i="3"/>
  <c r="N4029" i="3"/>
  <c r="N4048" i="3"/>
  <c r="N4173" i="3"/>
  <c r="N4185" i="3"/>
  <c r="N4350" i="3"/>
  <c r="N4359" i="3"/>
  <c r="N4362" i="3"/>
  <c r="N4367" i="3"/>
  <c r="N4399" i="3"/>
  <c r="N4400" i="3"/>
  <c r="N4424" i="3"/>
  <c r="N4438" i="3"/>
  <c r="N4446" i="3"/>
  <c r="N4467" i="3"/>
  <c r="N4474" i="3"/>
  <c r="N4480" i="3"/>
  <c r="N4483" i="3"/>
  <c r="N4485" i="3"/>
  <c r="N4487" i="3"/>
  <c r="N4504" i="3"/>
  <c r="N4509" i="3"/>
  <c r="N4512" i="3"/>
  <c r="N4515" i="3"/>
  <c r="N4523" i="3"/>
  <c r="N4533" i="3"/>
  <c r="N4535" i="3"/>
  <c r="N4552" i="3"/>
  <c r="N4592" i="3"/>
  <c r="N4594" i="3"/>
  <c r="N4644" i="3"/>
  <c r="N4654" i="3"/>
  <c r="N4657" i="3"/>
  <c r="N4768" i="3"/>
  <c r="N4818" i="3"/>
  <c r="N78" i="3"/>
  <c r="N242" i="3"/>
  <c r="N265" i="3"/>
  <c r="N277" i="3"/>
  <c r="N279" i="3"/>
  <c r="N292" i="3"/>
  <c r="N297" i="3"/>
  <c r="N363" i="3"/>
  <c r="N443" i="3"/>
  <c r="N445" i="3"/>
  <c r="N450" i="3"/>
  <c r="N468" i="3"/>
  <c r="N582" i="3"/>
  <c r="N597" i="3"/>
  <c r="N609" i="3"/>
  <c r="N631" i="3"/>
  <c r="N632" i="3"/>
  <c r="N642" i="3"/>
  <c r="N648" i="3"/>
  <c r="N709" i="3"/>
  <c r="N762" i="3"/>
  <c r="N782" i="3"/>
  <c r="N784" i="3"/>
  <c r="N833" i="3"/>
  <c r="N837" i="3"/>
  <c r="N844" i="3"/>
  <c r="N932" i="3"/>
  <c r="N937" i="3"/>
  <c r="N1007" i="3"/>
  <c r="N1030" i="3"/>
  <c r="N1035" i="3"/>
  <c r="N1043" i="3"/>
  <c r="N1077" i="3"/>
  <c r="N1088" i="3"/>
  <c r="N1175" i="3"/>
  <c r="N1202" i="3"/>
  <c r="N1254" i="3"/>
  <c r="N1266" i="3"/>
  <c r="N1282" i="3"/>
  <c r="N1412" i="3"/>
  <c r="N1427" i="3"/>
  <c r="N1439" i="3"/>
  <c r="N1457" i="3"/>
  <c r="N1462" i="3"/>
  <c r="N1477" i="3"/>
  <c r="N1500" i="3"/>
  <c r="N1518" i="3"/>
  <c r="N1520" i="3"/>
  <c r="N1531" i="3"/>
  <c r="N1550" i="3"/>
  <c r="N1560" i="3"/>
  <c r="N1635" i="3"/>
  <c r="N1681" i="3"/>
  <c r="N1695" i="3"/>
  <c r="N1730" i="3"/>
  <c r="N1772" i="3"/>
  <c r="N1802" i="3"/>
  <c r="N1807" i="3"/>
  <c r="N1821" i="3"/>
  <c r="N1851" i="3"/>
  <c r="N1856" i="3"/>
  <c r="N1857" i="3"/>
  <c r="N1872" i="3"/>
  <c r="N1876" i="3"/>
  <c r="N1899" i="3"/>
  <c r="N1924" i="3"/>
  <c r="N1953" i="3"/>
  <c r="N1995" i="3"/>
  <c r="N2004" i="3"/>
  <c r="N2039" i="3"/>
  <c r="N2062" i="3"/>
  <c r="N2066" i="3"/>
  <c r="N2088" i="3"/>
  <c r="N2115" i="3"/>
  <c r="N2130" i="3"/>
  <c r="N2190" i="3"/>
  <c r="N2199" i="3"/>
  <c r="N2235" i="3"/>
  <c r="N2241" i="3"/>
  <c r="N2253" i="3"/>
  <c r="N2322" i="3"/>
  <c r="N2327" i="3"/>
  <c r="N2334" i="3"/>
  <c r="N2337" i="3"/>
  <c r="N2348" i="3"/>
  <c r="N2374" i="3"/>
  <c r="N2402" i="3"/>
  <c r="N2456" i="3"/>
  <c r="N2557" i="3"/>
  <c r="N2570" i="3"/>
  <c r="N2599" i="3"/>
  <c r="N2706" i="3"/>
  <c r="N2714" i="3"/>
  <c r="N2833" i="3"/>
  <c r="N2845" i="3"/>
  <c r="N2852" i="3"/>
  <c r="N2944" i="3"/>
  <c r="N3001" i="3"/>
  <c r="N3030" i="3"/>
  <c r="N3046" i="3"/>
  <c r="N3053" i="3"/>
  <c r="N3098" i="3"/>
  <c r="N3194" i="3"/>
  <c r="N3205" i="3"/>
  <c r="N3206" i="3"/>
  <c r="N3253" i="3"/>
  <c r="N3264" i="3"/>
  <c r="N3291" i="3"/>
  <c r="N3316" i="3"/>
  <c r="N3328" i="3"/>
  <c r="N3334" i="3"/>
  <c r="N3343" i="3"/>
  <c r="N3373" i="3"/>
  <c r="N3396" i="3"/>
  <c r="N3418" i="3"/>
  <c r="N3458" i="3"/>
  <c r="N3483" i="3"/>
  <c r="N3496" i="3"/>
  <c r="N3515" i="3"/>
  <c r="N3540" i="3"/>
  <c r="N3690" i="3"/>
  <c r="N3705" i="3"/>
  <c r="N3707" i="3"/>
  <c r="N3734" i="3"/>
  <c r="N3743" i="3"/>
  <c r="N3771" i="3"/>
  <c r="N3777" i="3"/>
  <c r="N3844" i="3"/>
  <c r="N3875" i="3"/>
  <c r="N3891" i="3"/>
  <c r="N3945" i="3"/>
  <c r="N3974" i="3"/>
  <c r="N4020" i="3"/>
  <c r="N4036" i="3"/>
  <c r="N4078" i="3"/>
  <c r="N4110" i="3"/>
  <c r="N4155" i="3"/>
  <c r="N4174" i="3"/>
  <c r="N4240" i="3"/>
  <c r="N4256" i="3"/>
  <c r="N4257" i="3"/>
  <c r="N4267" i="3"/>
  <c r="N4285" i="3"/>
  <c r="N4296" i="3"/>
  <c r="N4349" i="3"/>
  <c r="N4368" i="3"/>
  <c r="N4373" i="3"/>
  <c r="N4382" i="3"/>
  <c r="N4394" i="3"/>
  <c r="N4491" i="3"/>
  <c r="N4519" i="3"/>
  <c r="N4522" i="3"/>
  <c r="N4550" i="3"/>
  <c r="N4575" i="3"/>
  <c r="N4581" i="3"/>
  <c r="N4676" i="3"/>
  <c r="N4694" i="3"/>
  <c r="N4734" i="3"/>
  <c r="N4816" i="3"/>
  <c r="N4821" i="3"/>
  <c r="N4823" i="3"/>
  <c r="N28" i="3"/>
  <c r="N46" i="3"/>
  <c r="N71" i="3"/>
  <c r="N80" i="3"/>
  <c r="N150" i="3"/>
  <c r="N194" i="3"/>
  <c r="N199" i="3"/>
  <c r="N245" i="3"/>
  <c r="N253" i="3"/>
  <c r="N256" i="3"/>
  <c r="N276" i="3"/>
  <c r="N313" i="3"/>
  <c r="N339" i="3"/>
  <c r="N355" i="3"/>
  <c r="N372" i="3"/>
  <c r="N376" i="3"/>
  <c r="N446" i="3"/>
  <c r="N452" i="3"/>
  <c r="N504" i="3"/>
  <c r="N539" i="3"/>
  <c r="N545" i="3"/>
  <c r="N561" i="3"/>
  <c r="N592" i="3"/>
  <c r="N602" i="3"/>
  <c r="N623" i="3"/>
  <c r="N684" i="3"/>
  <c r="N704" i="3"/>
  <c r="N713" i="3"/>
  <c r="N723" i="3"/>
  <c r="N790" i="3"/>
  <c r="N815" i="3"/>
  <c r="N850" i="3"/>
  <c r="N861" i="3"/>
  <c r="N939" i="3"/>
  <c r="N987" i="3"/>
  <c r="N1000" i="3"/>
  <c r="N1051" i="3"/>
  <c r="N1097" i="3"/>
  <c r="N1106" i="3"/>
  <c r="N1112" i="3"/>
  <c r="N1178" i="3"/>
  <c r="N1267" i="3"/>
  <c r="N1279" i="3"/>
  <c r="N1359" i="3"/>
  <c r="N1375" i="3"/>
  <c r="N1393" i="3"/>
  <c r="N1394" i="3"/>
  <c r="N1453" i="3"/>
  <c r="N1454" i="3"/>
  <c r="N1513" i="3"/>
  <c r="N1535" i="3"/>
  <c r="N1557" i="3"/>
  <c r="N1564" i="3"/>
  <c r="N1571" i="3"/>
  <c r="N1577" i="3"/>
  <c r="N1599" i="3"/>
  <c r="N1691" i="3"/>
  <c r="N1698" i="3"/>
  <c r="N1738" i="3"/>
  <c r="N1740" i="3"/>
  <c r="N1845" i="3"/>
  <c r="N1925" i="3"/>
  <c r="N1936" i="3"/>
  <c r="N1967" i="3"/>
  <c r="N2013" i="3"/>
  <c r="N2030" i="3"/>
  <c r="N2040" i="3"/>
  <c r="N2044" i="3"/>
  <c r="N2064" i="3"/>
  <c r="N2082" i="3"/>
  <c r="N2093" i="3"/>
  <c r="N2126" i="3"/>
  <c r="N2136" i="3"/>
  <c r="N2144" i="3"/>
  <c r="N2149" i="3"/>
  <c r="N2194" i="3"/>
  <c r="N2266" i="3"/>
  <c r="N2273" i="3"/>
  <c r="N2319" i="3"/>
  <c r="N2346" i="3"/>
  <c r="N2356" i="3"/>
  <c r="N2376" i="3"/>
  <c r="N2380" i="3"/>
  <c r="N2470" i="3"/>
  <c r="N2525" i="3"/>
  <c r="N2532" i="3"/>
  <c r="N2674" i="3"/>
  <c r="N2677" i="3"/>
  <c r="N2703" i="3"/>
  <c r="N2742" i="3"/>
  <c r="N2757" i="3"/>
  <c r="N2767" i="3"/>
  <c r="N2768" i="3"/>
  <c r="N2870" i="3"/>
  <c r="N2883" i="3"/>
  <c r="N2903" i="3"/>
  <c r="N2926" i="3"/>
  <c r="N2934" i="3"/>
  <c r="N3092" i="3"/>
  <c r="N3137" i="3"/>
  <c r="N3165" i="3"/>
  <c r="N3183" i="3"/>
  <c r="N3202" i="3"/>
  <c r="N3221" i="3"/>
  <c r="N3250" i="3"/>
  <c r="N3298" i="3"/>
  <c r="N3312" i="3"/>
  <c r="N3330" i="3"/>
  <c r="N3369" i="3"/>
  <c r="N3412" i="3"/>
  <c r="N3430" i="3"/>
  <c r="N3476" i="3"/>
  <c r="N3477" i="3"/>
  <c r="N3492" i="3"/>
  <c r="N3538" i="3"/>
  <c r="N3574" i="3"/>
  <c r="N3606" i="3"/>
  <c r="N3607" i="3"/>
  <c r="N3611" i="3"/>
  <c r="N3640" i="3"/>
  <c r="N3686" i="3"/>
  <c r="N3708" i="3"/>
  <c r="N3752" i="3"/>
  <c r="N3753" i="3"/>
  <c r="N3767" i="3"/>
  <c r="N3781" i="3"/>
  <c r="N3785" i="3"/>
  <c r="N3786" i="3"/>
  <c r="N3888" i="3"/>
  <c r="N3984" i="3"/>
  <c r="N4031" i="3"/>
  <c r="N4093" i="3"/>
  <c r="N4123" i="3"/>
  <c r="N4131" i="3"/>
  <c r="N4186" i="3"/>
  <c r="N4212" i="3"/>
  <c r="N4233" i="3"/>
  <c r="N4243" i="3"/>
  <c r="N4268" i="3"/>
  <c r="N4275" i="3"/>
  <c r="N4279" i="3"/>
  <c r="N4316" i="3"/>
  <c r="N4328" i="3"/>
  <c r="N4332" i="3"/>
  <c r="N4337" i="3"/>
  <c r="N4347" i="3"/>
  <c r="N4348" i="3"/>
  <c r="N4355" i="3"/>
  <c r="N4358" i="3"/>
  <c r="N4387" i="3"/>
  <c r="N4414" i="3"/>
  <c r="N4434" i="3"/>
  <c r="N4456" i="3"/>
  <c r="N4459" i="3"/>
  <c r="N4502" i="3"/>
  <c r="N4524" i="3"/>
  <c r="N4548" i="3"/>
  <c r="N4551" i="3"/>
  <c r="N4614" i="3"/>
  <c r="N4623" i="3"/>
  <c r="N4674" i="3"/>
  <c r="N4723" i="3"/>
  <c r="N4755" i="3"/>
  <c r="N4770" i="3"/>
  <c r="N4785" i="3"/>
  <c r="N39" i="3"/>
  <c r="N54" i="3"/>
  <c r="N59" i="3"/>
  <c r="N60" i="3"/>
  <c r="N63" i="3"/>
  <c r="N72" i="3"/>
  <c r="N83" i="3"/>
  <c r="N99" i="3"/>
  <c r="N106" i="3"/>
  <c r="N114" i="3"/>
  <c r="N163" i="3"/>
  <c r="N218" i="3"/>
  <c r="N234" i="3"/>
  <c r="N258" i="3"/>
  <c r="N266" i="3"/>
  <c r="N269" i="3"/>
  <c r="N270" i="3"/>
  <c r="N317" i="3"/>
  <c r="N348" i="3"/>
  <c r="N365" i="3"/>
  <c r="N369" i="3"/>
  <c r="N378" i="3"/>
  <c r="N379" i="3"/>
  <c r="N416" i="3"/>
  <c r="N422" i="3"/>
  <c r="N427" i="3"/>
  <c r="N434" i="3"/>
  <c r="N523" i="3"/>
  <c r="N546" i="3"/>
  <c r="N595" i="3"/>
  <c r="N641" i="3"/>
  <c r="N651" i="3"/>
  <c r="N670" i="3"/>
  <c r="N680" i="3"/>
  <c r="N699" i="3"/>
  <c r="N710" i="3"/>
  <c r="N716" i="3"/>
  <c r="N774" i="3"/>
  <c r="N808" i="3"/>
  <c r="N809" i="3"/>
  <c r="N820" i="3"/>
  <c r="N831" i="3"/>
  <c r="N835" i="3"/>
  <c r="N961" i="3"/>
  <c r="N997" i="3"/>
  <c r="N1032" i="3"/>
  <c r="N1047" i="3"/>
  <c r="N1065" i="3"/>
  <c r="N1161" i="3"/>
  <c r="N1182" i="3"/>
  <c r="N1278" i="3"/>
  <c r="N1356" i="3"/>
  <c r="N1380" i="3"/>
  <c r="N1430" i="3"/>
  <c r="N1536" i="3"/>
  <c r="N1581" i="3"/>
  <c r="N1608" i="3"/>
  <c r="N1627" i="3"/>
  <c r="N1690" i="3"/>
  <c r="N1703" i="3"/>
  <c r="N1704" i="3"/>
  <c r="N1735" i="3"/>
  <c r="N1788" i="3"/>
  <c r="N1789" i="3"/>
  <c r="N1792" i="3"/>
  <c r="N1804" i="3"/>
  <c r="N1850" i="3"/>
  <c r="N1860" i="3"/>
  <c r="N1901" i="3"/>
  <c r="N1932" i="3"/>
  <c r="N1949" i="3"/>
  <c r="N1964" i="3"/>
  <c r="N1981" i="3"/>
  <c r="N2005" i="3"/>
  <c r="N2014" i="3"/>
  <c r="N2021" i="3"/>
  <c r="N2059" i="3"/>
  <c r="N2076" i="3"/>
  <c r="N2079" i="3"/>
  <c r="N2084" i="3"/>
  <c r="N2086" i="3"/>
  <c r="N2143" i="3"/>
  <c r="N2214" i="3"/>
  <c r="N2243" i="3"/>
  <c r="N2272" i="3"/>
  <c r="N2277" i="3"/>
  <c r="N2286" i="3"/>
  <c r="N2342" i="3"/>
  <c r="N2351" i="3"/>
  <c r="N2359" i="3"/>
  <c r="N2361" i="3"/>
  <c r="N2382" i="3"/>
  <c r="N2411" i="3"/>
  <c r="N2421" i="3"/>
  <c r="N2429" i="3"/>
  <c r="N2475" i="3"/>
  <c r="N2508" i="3"/>
  <c r="N2542" i="3"/>
  <c r="N2566" i="3"/>
  <c r="N2579" i="3"/>
  <c r="N2601" i="3"/>
  <c r="N2627" i="3"/>
  <c r="N2632" i="3"/>
  <c r="N2639" i="3"/>
  <c r="N2746" i="3"/>
  <c r="N2924" i="3"/>
  <c r="N2925" i="3"/>
  <c r="N2929" i="3"/>
  <c r="N2957" i="3"/>
  <c r="N2958" i="3"/>
  <c r="N2966" i="3"/>
  <c r="N3010" i="3"/>
  <c r="N3052" i="3"/>
  <c r="N3088" i="3"/>
  <c r="N3143" i="3"/>
  <c r="N3146" i="3"/>
  <c r="N3148" i="3"/>
  <c r="N3151" i="3"/>
  <c r="N3152" i="3"/>
  <c r="N3153" i="3"/>
  <c r="N3176" i="3"/>
  <c r="N3216" i="3"/>
  <c r="N3230" i="3"/>
  <c r="N3279" i="3"/>
  <c r="N3302" i="3"/>
  <c r="N3352" i="3"/>
  <c r="N3454" i="3"/>
  <c r="N3486" i="3"/>
  <c r="N3488" i="3"/>
  <c r="N3495" i="3"/>
  <c r="N3509" i="3"/>
  <c r="N3537" i="3"/>
  <c r="N3594" i="3"/>
  <c r="N3626" i="3"/>
  <c r="N3772" i="3"/>
  <c r="N3782" i="3"/>
  <c r="N3805" i="3"/>
  <c r="N3818" i="3"/>
  <c r="N3886" i="3"/>
  <c r="N3898" i="3"/>
  <c r="N3960" i="3"/>
  <c r="N4009" i="3"/>
  <c r="N4024" i="3"/>
  <c r="N4068" i="3"/>
  <c r="N4069" i="3"/>
  <c r="N4073" i="3"/>
  <c r="N4079" i="3"/>
  <c r="N4081" i="3"/>
  <c r="N4094" i="3"/>
  <c r="N4115" i="3"/>
  <c r="N4122" i="3"/>
  <c r="N4156" i="3"/>
  <c r="N4218" i="3"/>
  <c r="N4261" i="3"/>
  <c r="N4269" i="3"/>
  <c r="N4270" i="3"/>
  <c r="N4280" i="3"/>
  <c r="N4288" i="3"/>
  <c r="N4341" i="3"/>
  <c r="N4441" i="3"/>
  <c r="N4543" i="3"/>
  <c r="N4555" i="3"/>
  <c r="N4577" i="3"/>
  <c r="N4604" i="3"/>
  <c r="N4754" i="3"/>
  <c r="N4788" i="3"/>
  <c r="N4799" i="3"/>
  <c r="N4803" i="3"/>
  <c r="N4828" i="3"/>
  <c r="N4829" i="3"/>
  <c r="N23" i="3"/>
  <c r="N130" i="3"/>
  <c r="N232" i="3"/>
  <c r="N249" i="3"/>
  <c r="N325" i="3"/>
  <c r="N334" i="3"/>
  <c r="N362" i="3"/>
  <c r="N385" i="3"/>
  <c r="N552" i="3"/>
  <c r="N669" i="3"/>
  <c r="N687" i="3"/>
  <c r="N785" i="3"/>
  <c r="N828" i="3"/>
  <c r="N845" i="3"/>
  <c r="N916" i="3"/>
  <c r="N949" i="3"/>
  <c r="N959" i="3"/>
  <c r="N984" i="3"/>
  <c r="N1009" i="3"/>
  <c r="N1013" i="3"/>
  <c r="N1034" i="3"/>
  <c r="N1068" i="3"/>
  <c r="N1288" i="3"/>
  <c r="N1316" i="3"/>
  <c r="N1514" i="3"/>
  <c r="N1526" i="3"/>
  <c r="N1590" i="3"/>
  <c r="N1668" i="3"/>
  <c r="N1688" i="3"/>
  <c r="N1752" i="3"/>
  <c r="N1853" i="3"/>
  <c r="N1867" i="3"/>
  <c r="N1874" i="3"/>
  <c r="N1910" i="3"/>
  <c r="N2148" i="3"/>
  <c r="N2169" i="3"/>
  <c r="N2185" i="3"/>
  <c r="N2495" i="3"/>
  <c r="N2531" i="3"/>
  <c r="N2576" i="3"/>
  <c r="N2724" i="3"/>
  <c r="N2754" i="3"/>
  <c r="N2766" i="3"/>
  <c r="N2847" i="3"/>
  <c r="N2953" i="3"/>
  <c r="N2969" i="3"/>
  <c r="N2971" i="3"/>
  <c r="N3009" i="3"/>
  <c r="N3203" i="3"/>
  <c r="N3228" i="3"/>
  <c r="N3256" i="3"/>
  <c r="N3335" i="3"/>
  <c r="N3592" i="3"/>
  <c r="N3899" i="3"/>
  <c r="N3918" i="3"/>
  <c r="N3948" i="3"/>
  <c r="N3991" i="3"/>
  <c r="N4004" i="3"/>
  <c r="N4017" i="3"/>
  <c r="N4067" i="3"/>
  <c r="N4120" i="3"/>
  <c r="N4129" i="3"/>
  <c r="N4190" i="3"/>
  <c r="N4238" i="3"/>
  <c r="N4304" i="3"/>
  <c r="N4324" i="3"/>
  <c r="N4326" i="3"/>
  <c r="N4345" i="3"/>
  <c r="N4357" i="3"/>
  <c r="N4396" i="3"/>
  <c r="N4402" i="3"/>
  <c r="N4405" i="3"/>
  <c r="N4452" i="3"/>
  <c r="N4510" i="3"/>
  <c r="N4538" i="3"/>
  <c r="N4652" i="3"/>
  <c r="N4718" i="3"/>
  <c r="N4746" i="3"/>
  <c r="N4812" i="3"/>
  <c r="N19" i="3"/>
  <c r="N69" i="3"/>
  <c r="N74" i="3"/>
  <c r="N139" i="3"/>
  <c r="N392" i="3"/>
  <c r="N479" i="3"/>
  <c r="N605" i="3"/>
  <c r="N703" i="3"/>
  <c r="N855" i="3"/>
  <c r="N912" i="3"/>
  <c r="N1095" i="3"/>
  <c r="N1240" i="3"/>
  <c r="N1244" i="3"/>
  <c r="N1337" i="3"/>
  <c r="N1398" i="3"/>
  <c r="N1465" i="3"/>
  <c r="N1490" i="3"/>
  <c r="N1528" i="3"/>
  <c r="N1554" i="3"/>
  <c r="N1712" i="3"/>
  <c r="N1724" i="3"/>
  <c r="N2057" i="3"/>
  <c r="N2077" i="3"/>
  <c r="N2097" i="3"/>
  <c r="N2118" i="3"/>
  <c r="N2125" i="3"/>
  <c r="N2204" i="3"/>
  <c r="N2224" i="3"/>
  <c r="N2257" i="3"/>
  <c r="N2313" i="3"/>
  <c r="N2436" i="3"/>
  <c r="N2804" i="3"/>
  <c r="N2835" i="3"/>
  <c r="N2875" i="3"/>
  <c r="N2917" i="3"/>
  <c r="N2932" i="3"/>
  <c r="N2939" i="3"/>
  <c r="N3011" i="3"/>
  <c r="N3091" i="3"/>
  <c r="N3386" i="3"/>
  <c r="N3534" i="3"/>
  <c r="N3553" i="3"/>
  <c r="N3637" i="3"/>
  <c r="N3639" i="3"/>
  <c r="N3642" i="3"/>
  <c r="N3646" i="3"/>
  <c r="N3741" i="3"/>
  <c r="N3826" i="3"/>
  <c r="N3835" i="3"/>
  <c r="N3884" i="3"/>
  <c r="N3996" i="3"/>
  <c r="N4011" i="3"/>
  <c r="N4076" i="3"/>
  <c r="N4132" i="3"/>
  <c r="N4139" i="3"/>
  <c r="N4180" i="3"/>
  <c r="N4274" i="3"/>
  <c r="N4315" i="3"/>
  <c r="N4370" i="3"/>
  <c r="N4384" i="3"/>
  <c r="N4426" i="3"/>
  <c r="N4462" i="3"/>
  <c r="N4508" i="3"/>
  <c r="N4518" i="3"/>
  <c r="N4530" i="3"/>
  <c r="N4534" i="3"/>
  <c r="N4597" i="3"/>
  <c r="N4659" i="3"/>
  <c r="N4665" i="3"/>
  <c r="N4728" i="3"/>
  <c r="N18" i="3"/>
  <c r="N36" i="3"/>
  <c r="N89" i="3"/>
  <c r="N138" i="3"/>
  <c r="N173" i="3"/>
  <c r="N303" i="3"/>
  <c r="N368" i="3"/>
  <c r="N398" i="3"/>
  <c r="N453" i="3"/>
  <c r="N483" i="3"/>
  <c r="N589" i="3"/>
  <c r="N686" i="3"/>
  <c r="N697" i="3"/>
  <c r="N741" i="3"/>
  <c r="N848" i="3"/>
  <c r="N858" i="3"/>
  <c r="N890" i="3"/>
  <c r="N1129" i="3"/>
  <c r="N1214" i="3"/>
  <c r="N1329" i="3"/>
  <c r="N1387" i="3"/>
  <c r="N1416" i="3"/>
  <c r="N1507" i="3"/>
  <c r="N1547" i="3"/>
  <c r="N1592" i="3"/>
  <c r="N1667" i="3"/>
  <c r="N1739" i="3"/>
  <c r="N1793" i="3"/>
  <c r="N1843" i="3"/>
  <c r="N1884" i="3"/>
  <c r="N1934" i="3"/>
  <c r="N2128" i="3"/>
  <c r="N2182" i="3"/>
  <c r="N2195" i="3"/>
  <c r="N2209" i="3"/>
  <c r="N2330" i="3"/>
  <c r="N2387" i="3"/>
  <c r="N2390" i="3"/>
  <c r="N2468" i="3"/>
  <c r="N2483" i="3"/>
  <c r="N2543" i="3"/>
  <c r="N2568" i="3"/>
  <c r="N2589" i="3"/>
  <c r="N2781" i="3"/>
  <c r="N2788" i="3"/>
  <c r="N2842" i="3"/>
  <c r="N2892" i="3"/>
  <c r="N2915" i="3"/>
  <c r="N2943" i="3"/>
  <c r="N3014" i="3"/>
  <c r="N3191" i="3"/>
  <c r="N3295" i="3"/>
  <c r="N3311" i="3"/>
  <c r="N3382" i="3"/>
  <c r="N3519" i="3"/>
  <c r="N3635" i="3"/>
  <c r="N3696" i="3"/>
  <c r="N3799" i="3"/>
  <c r="N3816" i="3"/>
  <c r="N3832" i="3"/>
  <c r="N3846" i="3"/>
  <c r="N3854" i="3"/>
  <c r="N3892" i="3"/>
  <c r="N3933" i="3"/>
  <c r="N3955" i="3"/>
  <c r="N4057" i="3"/>
  <c r="N4151" i="3"/>
  <c r="N4171" i="3"/>
  <c r="N4221" i="3"/>
  <c r="N4226" i="3"/>
  <c r="N4318" i="3"/>
  <c r="N4492" i="3"/>
  <c r="N4583" i="3"/>
  <c r="N4618" i="3"/>
  <c r="N4807" i="3"/>
  <c r="N4822" i="3"/>
  <c r="N8" i="3"/>
  <c r="N47" i="3"/>
  <c r="N98" i="3"/>
  <c r="N187" i="3"/>
  <c r="N205" i="3"/>
  <c r="N263" i="3"/>
  <c r="N332" i="3"/>
  <c r="N417" i="3"/>
  <c r="N444" i="3"/>
  <c r="N489" i="3"/>
  <c r="N506" i="3"/>
  <c r="N548" i="3"/>
  <c r="N640" i="3"/>
  <c r="N694" i="3"/>
  <c r="N706" i="3"/>
  <c r="N718" i="3"/>
  <c r="N738" i="3"/>
  <c r="N875" i="3"/>
  <c r="N901" i="3"/>
  <c r="N1040" i="3"/>
  <c r="N1070" i="3"/>
  <c r="N1096" i="3"/>
  <c r="N1121" i="3"/>
  <c r="N1179" i="3"/>
  <c r="N1317" i="3"/>
  <c r="N1322" i="3"/>
  <c r="N1353" i="3"/>
  <c r="N1383" i="3"/>
  <c r="N1540" i="3"/>
  <c r="N1565" i="3"/>
  <c r="N1582" i="3"/>
  <c r="N1603" i="3"/>
  <c r="N1646" i="3"/>
  <c r="N1785" i="3"/>
  <c r="N1786" i="3"/>
  <c r="N1806" i="3"/>
  <c r="N1823" i="3"/>
  <c r="N1883" i="3"/>
  <c r="N1903" i="3"/>
  <c r="N2023" i="3"/>
  <c r="N2085" i="3"/>
  <c r="N2172" i="3"/>
  <c r="N2207" i="3"/>
  <c r="N2215" i="3"/>
  <c r="N2270" i="3"/>
  <c r="N2333" i="3"/>
  <c r="N2404" i="3"/>
  <c r="N2526" i="3"/>
  <c r="N2528" i="3"/>
  <c r="N2530" i="3"/>
  <c r="N2561" i="3"/>
  <c r="N2634" i="3"/>
  <c r="N2659" i="3"/>
  <c r="N2665" i="3"/>
  <c r="N2670" i="3"/>
  <c r="N2728" i="3"/>
  <c r="N2735" i="3"/>
  <c r="N2743" i="3"/>
  <c r="N2783" i="3"/>
  <c r="N2843" i="3"/>
  <c r="N2904" i="3"/>
  <c r="N2949" i="3"/>
  <c r="N2978" i="3"/>
  <c r="N3033" i="3"/>
  <c r="N3067" i="3"/>
  <c r="N3120" i="3"/>
  <c r="N3186" i="3"/>
  <c r="N3197" i="3"/>
  <c r="N3259" i="3"/>
  <c r="N3266" i="3"/>
  <c r="N3350" i="3"/>
  <c r="N3379" i="3"/>
  <c r="N3417" i="3"/>
  <c r="N3508" i="3"/>
  <c r="N3547" i="3"/>
  <c r="N3700" i="3"/>
  <c r="N3722" i="3"/>
  <c r="N3759" i="3"/>
  <c r="N3791" i="3"/>
  <c r="N3828" i="3"/>
  <c r="N3967" i="3"/>
  <c r="N4006" i="3"/>
  <c r="N4066" i="3"/>
  <c r="N4090" i="3"/>
  <c r="N4099" i="3"/>
  <c r="N4199" i="3"/>
  <c r="N4323" i="3"/>
  <c r="N4336" i="3"/>
  <c r="N4343" i="3"/>
  <c r="N4369" i="3"/>
  <c r="N4386" i="3"/>
  <c r="N4527" i="3"/>
  <c r="N4664" i="3"/>
  <c r="N4703" i="3"/>
  <c r="N4706" i="3"/>
  <c r="N4710" i="3"/>
  <c r="N4721" i="3"/>
  <c r="N117" i="3"/>
  <c r="N191" i="3"/>
  <c r="N318" i="3"/>
  <c r="N335" i="3"/>
  <c r="N437" i="3"/>
  <c r="N478" i="3"/>
  <c r="N553" i="3"/>
  <c r="N562" i="3"/>
  <c r="N624" i="3"/>
  <c r="N725" i="3"/>
  <c r="N763" i="3"/>
  <c r="N806" i="3"/>
  <c r="N841" i="3"/>
  <c r="N917" i="3"/>
  <c r="N986" i="3"/>
  <c r="N1086" i="3"/>
  <c r="N1204" i="3"/>
  <c r="N1211" i="3"/>
  <c r="N1241" i="3"/>
  <c r="N1281" i="3"/>
  <c r="N1461" i="3"/>
  <c r="N1473" i="3"/>
  <c r="N1516" i="3"/>
  <c r="N1523" i="3"/>
  <c r="N1723" i="3"/>
  <c r="N1765" i="3"/>
  <c r="N1809" i="3"/>
  <c r="N1881" i="3"/>
  <c r="N1919" i="3"/>
  <c r="N1972" i="3"/>
  <c r="N1987" i="3"/>
  <c r="N2049" i="3"/>
  <c r="N2174" i="3"/>
  <c r="N2208" i="3"/>
  <c r="N2373" i="3"/>
  <c r="N2398" i="3"/>
  <c r="N2491" i="3"/>
  <c r="N2535" i="3"/>
  <c r="N2536" i="3"/>
  <c r="N2681" i="3"/>
  <c r="N2733" i="3"/>
  <c r="N2752" i="3"/>
  <c r="N2812" i="3"/>
  <c r="N3002" i="3"/>
  <c r="N3022" i="3"/>
  <c r="N3077" i="3"/>
  <c r="N3079" i="3"/>
  <c r="N3109" i="3"/>
  <c r="N3149" i="3"/>
  <c r="N3419" i="3"/>
  <c r="N3527" i="3"/>
  <c r="N3536" i="3"/>
  <c r="N3573" i="3"/>
  <c r="N3622" i="3"/>
  <c r="N3701" i="3"/>
  <c r="N3717" i="3"/>
  <c r="N3727" i="3"/>
  <c r="N3788" i="3"/>
  <c r="N3830" i="3"/>
  <c r="N3863" i="3"/>
  <c r="N3902" i="3"/>
  <c r="N3911" i="3"/>
  <c r="N3940" i="3"/>
  <c r="N4054" i="3"/>
  <c r="N4144" i="3"/>
  <c r="N4147" i="3"/>
  <c r="N4189" i="3"/>
  <c r="N4228" i="3"/>
  <c r="N4265" i="3"/>
  <c r="N4300" i="3"/>
  <c r="N4306" i="3"/>
  <c r="N4312" i="3"/>
  <c r="N4317" i="3"/>
  <c r="N4330" i="3"/>
  <c r="N4372" i="3"/>
  <c r="N4381" i="3"/>
  <c r="N4469" i="3"/>
  <c r="N4478" i="3"/>
  <c r="N4603" i="3"/>
  <c r="N4605" i="3"/>
  <c r="N4656" i="3"/>
  <c r="N131" i="3"/>
  <c r="N411" i="3"/>
  <c r="N759" i="3"/>
  <c r="N1392" i="3"/>
  <c r="N1499" i="3"/>
  <c r="N1863" i="3"/>
  <c r="N2255" i="3"/>
  <c r="N2262" i="3"/>
  <c r="N2755" i="3"/>
  <c r="N2878" i="3"/>
  <c r="N3157" i="3"/>
  <c r="N3581" i="3"/>
  <c r="N3787" i="3"/>
  <c r="N3897" i="3"/>
  <c r="N3932" i="3"/>
  <c r="N4219" i="3"/>
  <c r="N4301" i="3"/>
  <c r="N4477" i="3"/>
  <c r="N4539" i="3"/>
  <c r="N4831" i="3"/>
  <c r="O16" i="3"/>
  <c r="O43" i="3"/>
  <c r="O56" i="3"/>
  <c r="O129" i="3"/>
  <c r="O174" i="3"/>
  <c r="O183" i="3"/>
  <c r="O202" i="3"/>
  <c r="O207" i="3"/>
  <c r="O215" i="3"/>
  <c r="O237" i="3"/>
  <c r="O250" i="3"/>
  <c r="O278" i="3"/>
  <c r="O285" i="3"/>
  <c r="O337" i="3"/>
  <c r="O343" i="3"/>
  <c r="O358" i="3"/>
  <c r="O389" i="3"/>
  <c r="O409" i="3"/>
  <c r="O491" i="3"/>
  <c r="O494" i="3"/>
  <c r="O500" i="3"/>
  <c r="O529" i="3"/>
  <c r="O531" i="3"/>
  <c r="O581" i="3"/>
  <c r="O593" i="3"/>
  <c r="O772" i="3"/>
  <c r="O794" i="3"/>
  <c r="O797" i="3"/>
  <c r="O803" i="3"/>
  <c r="O807" i="3"/>
  <c r="O821" i="3"/>
  <c r="O854" i="3"/>
  <c r="O877" i="3"/>
  <c r="O892" i="3"/>
  <c r="O905" i="3"/>
  <c r="O910" i="3"/>
  <c r="O920" i="3"/>
  <c r="O927" i="3"/>
  <c r="O928" i="3"/>
  <c r="O941" i="3"/>
  <c r="O992" i="3"/>
  <c r="O1010" i="3"/>
  <c r="O1052" i="3"/>
  <c r="O1053" i="3"/>
  <c r="O1093" i="3"/>
  <c r="O1101" i="3"/>
  <c r="O1128" i="3"/>
  <c r="O1135" i="3"/>
  <c r="O1245" i="3"/>
  <c r="O1301" i="3"/>
  <c r="O1324" i="3"/>
  <c r="O1349" i="3"/>
  <c r="O1362" i="3"/>
  <c r="O1411" i="3"/>
  <c r="O1425" i="3"/>
  <c r="O1426" i="3"/>
  <c r="O1433" i="3"/>
  <c r="O1444" i="3"/>
  <c r="O1556" i="3"/>
  <c r="O1569" i="3"/>
  <c r="O1629" i="3"/>
  <c r="O1639" i="3"/>
  <c r="O1664" i="3"/>
  <c r="O1713" i="3"/>
  <c r="O1748" i="3"/>
  <c r="O1774" i="3"/>
  <c r="O1784" i="3"/>
  <c r="O1813" i="3"/>
  <c r="O1820" i="3"/>
  <c r="O1838" i="3"/>
  <c r="O1963" i="3"/>
  <c r="O1973" i="3"/>
  <c r="O2000" i="3"/>
  <c r="O2054" i="3"/>
  <c r="O2068" i="3"/>
  <c r="O2101" i="3"/>
  <c r="O2122" i="3"/>
  <c r="O2160" i="3"/>
  <c r="O2233" i="3"/>
  <c r="O2234" i="3"/>
  <c r="O2298" i="3"/>
  <c r="O2332" i="3"/>
  <c r="O2427" i="3"/>
  <c r="O2565" i="3"/>
  <c r="O2586" i="3"/>
  <c r="O2608" i="3"/>
  <c r="O2625" i="3"/>
  <c r="O2641" i="3"/>
  <c r="O2666" i="3"/>
  <c r="O2667" i="3"/>
  <c r="O2691" i="3"/>
  <c r="O2694" i="3"/>
  <c r="O2705" i="3"/>
  <c r="O2720" i="3"/>
  <c r="O2729" i="3"/>
  <c r="O2737" i="3"/>
  <c r="O2738" i="3"/>
  <c r="O2765" i="3"/>
  <c r="O2772" i="3"/>
  <c r="O2779" i="3"/>
  <c r="O2797" i="3"/>
  <c r="O2829" i="3"/>
  <c r="O2834" i="3"/>
  <c r="O2869" i="3"/>
  <c r="O2876" i="3"/>
  <c r="O2896" i="3"/>
  <c r="O2945" i="3"/>
  <c r="O2955" i="3"/>
  <c r="O2998" i="3"/>
  <c r="O3025" i="3"/>
  <c r="O3057" i="3"/>
  <c r="O3089" i="3"/>
  <c r="O3106" i="3"/>
  <c r="O3136" i="3"/>
  <c r="O3189" i="3"/>
  <c r="O3195" i="3"/>
  <c r="O3236" i="3"/>
  <c r="O3267" i="3"/>
  <c r="O3427" i="3"/>
  <c r="O3431" i="3"/>
  <c r="O3460" i="3"/>
  <c r="O3472" i="3"/>
  <c r="O3494" i="3"/>
  <c r="O3502" i="3"/>
  <c r="O3621" i="3"/>
  <c r="O3625" i="3"/>
  <c r="O3638" i="3"/>
  <c r="O3653" i="3"/>
  <c r="O3675" i="3"/>
  <c r="O3695" i="3"/>
  <c r="O3711" i="3"/>
  <c r="O3747" i="3"/>
  <c r="O3796" i="3"/>
  <c r="O3814" i="3"/>
  <c r="O3833" i="3"/>
  <c r="O3841" i="3"/>
  <c r="O3849" i="3"/>
  <c r="O3871" i="3"/>
  <c r="O3961" i="3"/>
  <c r="O3973" i="3"/>
  <c r="O3988" i="3"/>
  <c r="O4088" i="3"/>
  <c r="O4092" i="3"/>
  <c r="O4153" i="3"/>
  <c r="O4188" i="3"/>
  <c r="O4237" i="3"/>
  <c r="O4356" i="3"/>
  <c r="O4385" i="3"/>
  <c r="O4407" i="3"/>
  <c r="O4411" i="3"/>
  <c r="O4422" i="3"/>
  <c r="O4425" i="3"/>
  <c r="O4429" i="3"/>
  <c r="O4447" i="3"/>
  <c r="O4448" i="3"/>
  <c r="O4488" i="3"/>
  <c r="O4537" i="3"/>
  <c r="O4563" i="3"/>
  <c r="O4616" i="3"/>
  <c r="O4658" i="3"/>
  <c r="O4669" i="3"/>
  <c r="O4735" i="3"/>
  <c r="O4738" i="3"/>
  <c r="O4793" i="3"/>
  <c r="O4810" i="3"/>
  <c r="O4819" i="3"/>
  <c r="O27" i="3"/>
  <c r="O31" i="3"/>
  <c r="O144" i="3"/>
  <c r="O156" i="3"/>
  <c r="O179" i="3"/>
  <c r="O282" i="3"/>
  <c r="O284" i="3"/>
  <c r="O341" i="3"/>
  <c r="O344" i="3"/>
  <c r="O360" i="3"/>
  <c r="O406" i="3"/>
  <c r="O432" i="3"/>
  <c r="O439" i="3"/>
  <c r="O441" i="3"/>
  <c r="O456" i="3"/>
  <c r="O498" i="3"/>
  <c r="O502" i="3"/>
  <c r="O514" i="3"/>
  <c r="O590" i="3"/>
  <c r="O599" i="3"/>
  <c r="O619" i="3"/>
  <c r="O621" i="3"/>
  <c r="O681" i="3"/>
  <c r="O692" i="3"/>
  <c r="O727" i="3"/>
  <c r="O731" i="3"/>
  <c r="O732" i="3"/>
  <c r="O733" i="3"/>
  <c r="O783" i="3"/>
  <c r="O800" i="3"/>
  <c r="O862" i="3"/>
  <c r="O878" i="3"/>
  <c r="O898" i="3"/>
  <c r="O999" i="3"/>
  <c r="O1028" i="3"/>
  <c r="O1041" i="3"/>
  <c r="O1072" i="3"/>
  <c r="O1113" i="3"/>
  <c r="O1167" i="3"/>
  <c r="O1171" i="3"/>
  <c r="O1180" i="3"/>
  <c r="O1224" i="3"/>
  <c r="O1265" i="3"/>
  <c r="O1275" i="3"/>
  <c r="O1346" i="3"/>
  <c r="O1360" i="3"/>
  <c r="O1369" i="3"/>
  <c r="O1420" i="3"/>
  <c r="O1481" i="3"/>
  <c r="O1492" i="3"/>
  <c r="O1678" i="3"/>
  <c r="O1717" i="3"/>
  <c r="O1719" i="3"/>
  <c r="O1733" i="3"/>
  <c r="O1736" i="3"/>
  <c r="O1750" i="3"/>
  <c r="O1764" i="3"/>
  <c r="O1893" i="3"/>
  <c r="O1942" i="3"/>
  <c r="O1984" i="3"/>
  <c r="O1998" i="3"/>
  <c r="O2061" i="3"/>
  <c r="O2102" i="3"/>
  <c r="O2123" i="3"/>
  <c r="O2133" i="3"/>
  <c r="O2168" i="3"/>
  <c r="O2179" i="3"/>
  <c r="O2227" i="3"/>
  <c r="O2252" i="3"/>
  <c r="O2261" i="3"/>
  <c r="O2265" i="3"/>
  <c r="O2282" i="3"/>
  <c r="O2296" i="3"/>
  <c r="O2303" i="3"/>
  <c r="O2320" i="3"/>
  <c r="O2323" i="3"/>
  <c r="O2360" i="3"/>
  <c r="O2393" i="3"/>
  <c r="O2420" i="3"/>
  <c r="O2426" i="3"/>
  <c r="O2461" i="3"/>
  <c r="O2546" i="3"/>
  <c r="O2573" i="3"/>
  <c r="O2644" i="3"/>
  <c r="O2653" i="3"/>
  <c r="O2680" i="3"/>
  <c r="O2687" i="3"/>
  <c r="O2721" i="3"/>
  <c r="O2722" i="3"/>
  <c r="O2727" i="3"/>
  <c r="O2730" i="3"/>
  <c r="O2798" i="3"/>
  <c r="O2813" i="3"/>
  <c r="O2816" i="3"/>
  <c r="O2831" i="3"/>
  <c r="O2948" i="3"/>
  <c r="O2974" i="3"/>
  <c r="O3072" i="3"/>
  <c r="O3105" i="3"/>
  <c r="O3121" i="3"/>
  <c r="O3124" i="3"/>
  <c r="O3140" i="3"/>
  <c r="O3193" i="3"/>
  <c r="O3247" i="3"/>
  <c r="O3380" i="3"/>
  <c r="O3404" i="3"/>
  <c r="O3416" i="3"/>
  <c r="O3438" i="3"/>
  <c r="O3480" i="3"/>
  <c r="O3490" i="3"/>
  <c r="O3533" i="3"/>
  <c r="O3535" i="3"/>
  <c r="O3604" i="3"/>
  <c r="O3620" i="3"/>
  <c r="O3667" i="3"/>
  <c r="O3684" i="3"/>
  <c r="O3739" i="3"/>
  <c r="O3742" i="3"/>
  <c r="O3755" i="3"/>
  <c r="O3769" i="3"/>
  <c r="O3802" i="3"/>
  <c r="O3806" i="3"/>
  <c r="O3810" i="3"/>
  <c r="O3857" i="3"/>
  <c r="O3870" i="3"/>
  <c r="O3916" i="3"/>
  <c r="O3924" i="3"/>
  <c r="O3942" i="3"/>
  <c r="O3969" i="3"/>
  <c r="O3982" i="3"/>
  <c r="O4003" i="3"/>
  <c r="O4027" i="3"/>
  <c r="O4030" i="3"/>
  <c r="O4042" i="3"/>
  <c r="O4098" i="3"/>
  <c r="O4104" i="3"/>
  <c r="O4106" i="3"/>
  <c r="O4114" i="3"/>
  <c r="O4117" i="3"/>
  <c r="O4149" i="3"/>
  <c r="O4150" i="3"/>
  <c r="O4152" i="3"/>
  <c r="O4298" i="3"/>
  <c r="O4308" i="3"/>
  <c r="O4321" i="3"/>
  <c r="O4390" i="3"/>
  <c r="O4403" i="3"/>
  <c r="O4520" i="3"/>
  <c r="O4531" i="3"/>
  <c r="O4643" i="3"/>
  <c r="O4717" i="3"/>
  <c r="O4751" i="3"/>
  <c r="O4772" i="3"/>
  <c r="O4779" i="3"/>
  <c r="O4796" i="3"/>
  <c r="O4820" i="3"/>
  <c r="O133" i="3"/>
  <c r="O141" i="3"/>
  <c r="O143" i="3"/>
  <c r="O288" i="3"/>
  <c r="O291" i="3"/>
  <c r="O375" i="3"/>
  <c r="O524" i="3"/>
  <c r="O527" i="3"/>
  <c r="O528" i="3"/>
  <c r="O657" i="3"/>
  <c r="O688" i="3"/>
  <c r="O715" i="3"/>
  <c r="O740" i="3"/>
  <c r="O801" i="3"/>
  <c r="O853" i="3"/>
  <c r="O946" i="3"/>
  <c r="O955" i="3"/>
  <c r="O1020" i="3"/>
  <c r="O1039" i="3"/>
  <c r="O1067" i="3"/>
  <c r="O1107" i="3"/>
  <c r="O1138" i="3"/>
  <c r="O1140" i="3"/>
  <c r="O1147" i="3"/>
  <c r="O1256" i="3"/>
  <c r="O1257" i="3"/>
  <c r="O1264" i="3"/>
  <c r="O1298" i="3"/>
  <c r="O1312" i="3"/>
  <c r="O1441" i="3"/>
  <c r="O1568" i="3"/>
  <c r="O1648" i="3"/>
  <c r="O1651" i="3"/>
  <c r="O1689" i="3"/>
  <c r="O1696" i="3"/>
  <c r="O1697" i="3"/>
  <c r="O1780" i="3"/>
  <c r="O1920" i="3"/>
  <c r="O1947" i="3"/>
  <c r="O1996" i="3"/>
  <c r="O2105" i="3"/>
  <c r="O2127" i="3"/>
  <c r="O2193" i="3"/>
  <c r="O2242" i="3"/>
  <c r="O2258" i="3"/>
  <c r="O2274" i="3"/>
  <c r="O2353" i="3"/>
  <c r="O2375" i="3"/>
  <c r="O2384" i="3"/>
  <c r="O2396" i="3"/>
  <c r="O2575" i="3"/>
  <c r="O2588" i="3"/>
  <c r="O2618" i="3"/>
  <c r="O2761" i="3"/>
  <c r="O2830" i="3"/>
  <c r="O2897" i="3"/>
  <c r="O3094" i="3"/>
  <c r="O3111" i="3"/>
  <c r="O3156" i="3"/>
  <c r="O3187" i="3"/>
  <c r="O3269" i="3"/>
  <c r="O3282" i="3"/>
  <c r="O3285" i="3"/>
  <c r="O3288" i="3"/>
  <c r="O3363" i="3"/>
  <c r="O3364" i="3"/>
  <c r="O3374" i="3"/>
  <c r="O3424" i="3"/>
  <c r="O3452" i="3"/>
  <c r="O3474" i="3"/>
  <c r="O3514" i="3"/>
  <c r="O3691" i="3"/>
  <c r="O3751" i="3"/>
  <c r="O3757" i="3"/>
  <c r="O3758" i="3"/>
  <c r="O3913" i="3"/>
  <c r="O3931" i="3"/>
  <c r="O3968" i="3"/>
  <c r="O3980" i="3"/>
  <c r="O4039" i="3"/>
  <c r="O4103" i="3"/>
  <c r="O4108" i="3"/>
  <c r="O4113" i="3"/>
  <c r="O4195" i="3"/>
  <c r="O4252" i="3"/>
  <c r="O4397" i="3"/>
  <c r="O4517" i="3"/>
  <c r="O4609" i="3"/>
  <c r="O4696" i="3"/>
  <c r="O4834" i="3"/>
  <c r="O53" i="3"/>
  <c r="O90" i="3"/>
  <c r="O123" i="3"/>
  <c r="O152" i="3"/>
  <c r="O182" i="3"/>
  <c r="O244" i="3"/>
  <c r="O429" i="3"/>
  <c r="O512" i="3"/>
  <c r="O607" i="3"/>
  <c r="O636" i="3"/>
  <c r="O717" i="3"/>
  <c r="O720" i="3"/>
  <c r="O739" i="3"/>
  <c r="O747" i="3"/>
  <c r="O923" i="3"/>
  <c r="O931" i="3"/>
  <c r="O993" i="3"/>
  <c r="O1019" i="3"/>
  <c r="O1159" i="3"/>
  <c r="O1162" i="3"/>
  <c r="O1319" i="3"/>
  <c r="O1341" i="3"/>
  <c r="O1354" i="3"/>
  <c r="O1358" i="3"/>
  <c r="O1376" i="3"/>
  <c r="O1445" i="3"/>
  <c r="O1533" i="3"/>
  <c r="O1539" i="3"/>
  <c r="O1561" i="3"/>
  <c r="O1615" i="3"/>
  <c r="O1834" i="3"/>
  <c r="O1859" i="3"/>
  <c r="O1927" i="3"/>
  <c r="O1939" i="3"/>
  <c r="O1945" i="3"/>
  <c r="O2027" i="3"/>
  <c r="O2089" i="3"/>
  <c r="O2108" i="3"/>
  <c r="O2159" i="3"/>
  <c r="O2163" i="3"/>
  <c r="O2171" i="3"/>
  <c r="O2250" i="3"/>
  <c r="O2472" i="3"/>
  <c r="O2518" i="3"/>
  <c r="O2614" i="3"/>
  <c r="O2640" i="3"/>
  <c r="O2651" i="3"/>
  <c r="O2717" i="3"/>
  <c r="O2723" i="3"/>
  <c r="O2863" i="3"/>
  <c r="O2868" i="3"/>
  <c r="O2950" i="3"/>
  <c r="O2992" i="3"/>
  <c r="O2997" i="3"/>
  <c r="O3061" i="3"/>
  <c r="O3064" i="3"/>
  <c r="O3075" i="3"/>
  <c r="O3102" i="3"/>
  <c r="O3119" i="3"/>
  <c r="O3133" i="3"/>
  <c r="O3208" i="3"/>
  <c r="O3214" i="3"/>
  <c r="O3321" i="3"/>
  <c r="O3397" i="3"/>
  <c r="O3590" i="3"/>
  <c r="O3687" i="3"/>
  <c r="O3698" i="3"/>
  <c r="O3726" i="3"/>
  <c r="O3738" i="3"/>
  <c r="O3762" i="3"/>
  <c r="O3800" i="3"/>
  <c r="O3858" i="3"/>
  <c r="O3914" i="3"/>
  <c r="O4019" i="3"/>
  <c r="O4105" i="3"/>
  <c r="O4192" i="3"/>
  <c r="O4229" i="3"/>
  <c r="O4262" i="3"/>
  <c r="O4303" i="3"/>
  <c r="O4393" i="3"/>
  <c r="O4440" i="3"/>
  <c r="O4727" i="3"/>
  <c r="O41" i="3"/>
  <c r="O105" i="3"/>
  <c r="O107" i="3"/>
  <c r="O428" i="3"/>
  <c r="O1029" i="3"/>
  <c r="O1157" i="3"/>
  <c r="O1307" i="3"/>
  <c r="O1421" i="3"/>
  <c r="O1484" i="3"/>
  <c r="O1575" i="3"/>
  <c r="O1803" i="3"/>
  <c r="O1832" i="3"/>
  <c r="O1931" i="3"/>
  <c r="O1968" i="3"/>
  <c r="O1989" i="3"/>
  <c r="O2091" i="3"/>
  <c r="O2104" i="3"/>
  <c r="O2111" i="3"/>
  <c r="O2307" i="3"/>
  <c r="O2321" i="3"/>
  <c r="O2517" i="3"/>
  <c r="O2534" i="3"/>
  <c r="O2620" i="3"/>
  <c r="O2726" i="3"/>
  <c r="O2820" i="3"/>
  <c r="O2859" i="3"/>
  <c r="O2918" i="3"/>
  <c r="O2964" i="3"/>
  <c r="O3063" i="3"/>
  <c r="O3117" i="3"/>
  <c r="O3220" i="3"/>
  <c r="O3299" i="3"/>
  <c r="O3342" i="3"/>
  <c r="O3384" i="3"/>
  <c r="O3407" i="3"/>
  <c r="O3466" i="3"/>
  <c r="O3501" i="3"/>
  <c r="O3526" i="3"/>
  <c r="O3554" i="3"/>
  <c r="O3579" i="3"/>
  <c r="O3693" i="3"/>
  <c r="O3840" i="3"/>
  <c r="O3946" i="3"/>
  <c r="O4255" i="3"/>
  <c r="O4420" i="3"/>
  <c r="O4433" i="3"/>
  <c r="O4634" i="3"/>
  <c r="O198" i="3"/>
  <c r="O393" i="3"/>
  <c r="O397" i="3"/>
  <c r="O465" i="3"/>
  <c r="O499" i="3"/>
  <c r="O622" i="3"/>
  <c r="O752" i="3"/>
  <c r="O830" i="3"/>
  <c r="O884" i="3"/>
  <c r="O943" i="3"/>
  <c r="O1054" i="3"/>
  <c r="O1145" i="3"/>
  <c r="O1479" i="3"/>
  <c r="O1544" i="3"/>
  <c r="O1573" i="3"/>
  <c r="O1700" i="3"/>
  <c r="O1810" i="3"/>
  <c r="O2067" i="3"/>
  <c r="O2113" i="3"/>
  <c r="O2292" i="3"/>
  <c r="O2605" i="3"/>
  <c r="O2657" i="3"/>
  <c r="O2664" i="3"/>
  <c r="O2693" i="3"/>
  <c r="O2977" i="3"/>
  <c r="O3019" i="3"/>
  <c r="O3023" i="3"/>
  <c r="O3356" i="3"/>
  <c r="O3378" i="3"/>
  <c r="O3448" i="3"/>
  <c r="O3681" i="3"/>
  <c r="O3779" i="3"/>
  <c r="O3862" i="3"/>
  <c r="O3894" i="3"/>
  <c r="O3912" i="3"/>
  <c r="O3927" i="3"/>
  <c r="O3993" i="3"/>
  <c r="O4000" i="3"/>
  <c r="O4080" i="3"/>
  <c r="O4374" i="3"/>
  <c r="O4378" i="3"/>
  <c r="O4389" i="3"/>
  <c r="O4436" i="3"/>
  <c r="O4496" i="3"/>
  <c r="O4684" i="3"/>
  <c r="O4811" i="3"/>
  <c r="O64" i="3"/>
  <c r="O153" i="3"/>
  <c r="O200" i="3"/>
  <c r="O373" i="3"/>
  <c r="O410" i="3"/>
  <c r="O550" i="3"/>
  <c r="O823" i="3"/>
  <c r="O846" i="3"/>
  <c r="O963" i="3"/>
  <c r="O969" i="3"/>
  <c r="O1033" i="3"/>
  <c r="O1203" i="3"/>
  <c r="O1333" i="3"/>
  <c r="O1440" i="3"/>
  <c r="O1609" i="3"/>
  <c r="O1706" i="3"/>
  <c r="O1762" i="3"/>
  <c r="O1890" i="3"/>
  <c r="O1895" i="3"/>
  <c r="O2096" i="3"/>
  <c r="O2124" i="3"/>
  <c r="O2137" i="3"/>
  <c r="O2228" i="3"/>
  <c r="O2263" i="3"/>
  <c r="O2275" i="3"/>
  <c r="O2308" i="3"/>
  <c r="O2358" i="3"/>
  <c r="O2378" i="3"/>
  <c r="O2442" i="3"/>
  <c r="O2527" i="3"/>
  <c r="O2663" i="3"/>
  <c r="O2739" i="3"/>
  <c r="O2759" i="3"/>
  <c r="O2793" i="3"/>
  <c r="O2811" i="3"/>
  <c r="O2850" i="3"/>
  <c r="O2965" i="3"/>
  <c r="O3045" i="3"/>
  <c r="O3110" i="3"/>
  <c r="O3118" i="3"/>
  <c r="O3192" i="3"/>
  <c r="O3371" i="3"/>
  <c r="O3402" i="3"/>
  <c r="O3446" i="3"/>
  <c r="O3565" i="3"/>
  <c r="O3651" i="3"/>
  <c r="O3724" i="3"/>
  <c r="O3890" i="3"/>
  <c r="O3910" i="3"/>
  <c r="O4028" i="3"/>
  <c r="O4034" i="3"/>
  <c r="O4177" i="3"/>
  <c r="O4184" i="3"/>
  <c r="O4340" i="3"/>
  <c r="O4388" i="3"/>
  <c r="O4463" i="3"/>
  <c r="O4479" i="3"/>
  <c r="O4572" i="3"/>
  <c r="O4598" i="3"/>
  <c r="O4633" i="3"/>
  <c r="O4640" i="3"/>
  <c r="O4661" i="3"/>
  <c r="O4720" i="3"/>
  <c r="O4780" i="3"/>
  <c r="O4809" i="3"/>
  <c r="O189" i="3"/>
  <c r="O255" i="3"/>
  <c r="O384" i="3"/>
  <c r="O402" i="3"/>
  <c r="O447" i="3"/>
  <c r="O482" i="3"/>
  <c r="O495" i="3"/>
  <c r="O549" i="3"/>
  <c r="O558" i="3"/>
  <c r="O644" i="3"/>
  <c r="O682" i="3"/>
  <c r="O781" i="3"/>
  <c r="O795" i="3"/>
  <c r="O903" i="3"/>
  <c r="O919" i="3"/>
  <c r="O1004" i="3"/>
  <c r="O1073" i="3"/>
  <c r="O1124" i="3"/>
  <c r="O1185" i="3"/>
  <c r="O1230" i="3"/>
  <c r="O1259" i="3"/>
  <c r="O1311" i="3"/>
  <c r="O1342" i="3"/>
  <c r="O1344" i="3"/>
  <c r="O1378" i="3"/>
  <c r="O1447" i="3"/>
  <c r="O1486" i="3"/>
  <c r="O1551" i="3"/>
  <c r="O1618" i="3"/>
  <c r="O1644" i="3"/>
  <c r="O1828" i="3"/>
  <c r="O1905" i="3"/>
  <c r="O1971" i="3"/>
  <c r="O2073" i="3"/>
  <c r="O2142" i="3"/>
  <c r="O2167" i="3"/>
  <c r="O2280" i="3"/>
  <c r="O2316" i="3"/>
  <c r="O2459" i="3"/>
  <c r="O2492" i="3"/>
  <c r="O2607" i="3"/>
  <c r="O2616" i="3"/>
  <c r="O2662" i="3"/>
  <c r="O2796" i="3"/>
  <c r="O2800" i="3"/>
  <c r="O2894" i="3"/>
  <c r="O2959" i="3"/>
  <c r="O2962" i="3"/>
  <c r="O2968" i="3"/>
  <c r="O3047" i="3"/>
  <c r="O3068" i="3"/>
  <c r="O3320" i="3"/>
  <c r="O3349" i="3"/>
  <c r="O3462" i="3"/>
  <c r="O3516" i="3"/>
  <c r="O3578" i="3"/>
  <c r="O3616" i="3"/>
  <c r="O3647" i="3"/>
  <c r="O3659" i="3"/>
  <c r="O3716" i="3"/>
  <c r="O3740" i="3"/>
  <c r="O3797" i="3"/>
  <c r="O3801" i="3"/>
  <c r="O3847" i="3"/>
  <c r="O4166" i="3"/>
  <c r="O4266" i="3"/>
  <c r="O4289" i="3"/>
  <c r="O4325" i="3"/>
  <c r="O4453" i="3"/>
  <c r="O4553" i="3"/>
  <c r="O4619" i="3"/>
  <c r="O4707" i="3"/>
  <c r="O4744" i="3"/>
  <c r="O4749" i="3"/>
  <c r="O4791" i="3"/>
  <c r="O29" i="3"/>
  <c r="O50" i="3"/>
  <c r="O116" i="3"/>
  <c r="O145" i="3"/>
  <c r="O193" i="3"/>
  <c r="O346" i="3"/>
  <c r="O357" i="3"/>
  <c r="O472" i="3"/>
  <c r="O573" i="3"/>
  <c r="O620" i="3"/>
  <c r="O700" i="3"/>
  <c r="O791" i="3"/>
  <c r="O834" i="3"/>
  <c r="O962" i="3"/>
  <c r="O973" i="3"/>
  <c r="O1003" i="3"/>
  <c r="O1022" i="3"/>
  <c r="O1050" i="3"/>
  <c r="O1114" i="3"/>
  <c r="O1188" i="3"/>
  <c r="O1190" i="3"/>
  <c r="O1196" i="3"/>
  <c r="O1248" i="3"/>
  <c r="O1270" i="3"/>
  <c r="O1280" i="3"/>
  <c r="O1321" i="3"/>
  <c r="O1332" i="3"/>
  <c r="O1338" i="3"/>
  <c r="O1602" i="3"/>
  <c r="O1656" i="3"/>
  <c r="O1665" i="3"/>
  <c r="O1858" i="3"/>
  <c r="O1888" i="3"/>
  <c r="O1913" i="3"/>
  <c r="O1959" i="3"/>
  <c r="O1960" i="3"/>
  <c r="O1999" i="3"/>
  <c r="O2031" i="3"/>
  <c r="O2146" i="3"/>
  <c r="O2236" i="3"/>
  <c r="O2268" i="3"/>
  <c r="O2304" i="3"/>
  <c r="O2311" i="3"/>
  <c r="O2326" i="3"/>
  <c r="O2385" i="3"/>
  <c r="O2417" i="3"/>
  <c r="O2493" i="3"/>
  <c r="O2504" i="3"/>
  <c r="O2604" i="3"/>
  <c r="O2708" i="3"/>
  <c r="O2756" i="3"/>
  <c r="O2773" i="3"/>
  <c r="O2819" i="3"/>
  <c r="O2851" i="3"/>
  <c r="O2967" i="3"/>
  <c r="O3013" i="3"/>
  <c r="O3036" i="3"/>
  <c r="O3055" i="3"/>
  <c r="O3103" i="3"/>
  <c r="O3122" i="3"/>
  <c r="O3207" i="3"/>
  <c r="O3226" i="3"/>
  <c r="O3281" i="3"/>
  <c r="O3294" i="3"/>
  <c r="O3346" i="3"/>
  <c r="O3359" i="3"/>
  <c r="O3408" i="3"/>
  <c r="O3415" i="3"/>
  <c r="O3507" i="3"/>
  <c r="O3521" i="3"/>
  <c r="O3559" i="3"/>
  <c r="O3617" i="3"/>
  <c r="O3661" i="3"/>
  <c r="O3756" i="3"/>
  <c r="O3766" i="3"/>
  <c r="O3778" i="3"/>
  <c r="O3837" i="3"/>
  <c r="O3851" i="3"/>
  <c r="O4116" i="3"/>
  <c r="O4258" i="3"/>
  <c r="O4335" i="3"/>
  <c r="O4338" i="3"/>
  <c r="O4410" i="3"/>
  <c r="O4415" i="3"/>
  <c r="O4638" i="3"/>
  <c r="O4645" i="3"/>
  <c r="O4646" i="3"/>
  <c r="O4672" i="3"/>
  <c r="O4778" i="3"/>
  <c r="O24" i="3"/>
  <c r="O95" i="3"/>
  <c r="O149" i="3"/>
  <c r="O185" i="3"/>
  <c r="O225" i="3"/>
  <c r="O228" i="3"/>
  <c r="O229" i="3"/>
  <c r="O239" i="3"/>
  <c r="O254" i="3"/>
  <c r="O281" i="3"/>
  <c r="O321" i="3"/>
  <c r="O353" i="3"/>
  <c r="O418" i="3"/>
  <c r="O617" i="3"/>
  <c r="O658" i="3"/>
  <c r="O663" i="3"/>
  <c r="O693" i="3"/>
  <c r="O753" i="3"/>
  <c r="O755" i="3"/>
  <c r="O871" i="3"/>
  <c r="O913" i="3"/>
  <c r="O918" i="3"/>
  <c r="O960" i="3"/>
  <c r="O964" i="3"/>
  <c r="O972" i="3"/>
  <c r="O1152" i="3"/>
  <c r="O1183" i="3"/>
  <c r="O1187" i="3"/>
  <c r="O1197" i="3"/>
  <c r="O1237" i="3"/>
  <c r="O1283" i="3"/>
  <c r="O1286" i="3"/>
  <c r="O1290" i="3"/>
  <c r="O1305" i="3"/>
  <c r="O1384" i="3"/>
  <c r="O1390" i="3"/>
  <c r="O1458" i="3"/>
  <c r="O1459" i="3"/>
  <c r="O1530" i="3"/>
  <c r="O1543" i="3"/>
  <c r="O1631" i="3"/>
  <c r="O1633" i="3"/>
  <c r="O1643" i="3"/>
  <c r="O1660" i="3"/>
  <c r="O1677" i="3"/>
  <c r="O1868" i="3"/>
  <c r="O1869" i="3"/>
  <c r="O2007" i="3"/>
  <c r="O2015" i="3"/>
  <c r="O2041" i="3"/>
  <c r="O2139" i="3"/>
  <c r="O2155" i="3"/>
  <c r="O2231" i="3"/>
  <c r="O2247" i="3"/>
  <c r="O2251" i="3"/>
  <c r="O2371" i="3"/>
  <c r="O2403" i="3"/>
  <c r="O2529" i="3"/>
  <c r="O2631" i="3"/>
  <c r="O2645" i="3"/>
  <c r="O2648" i="3"/>
  <c r="O2671" i="3"/>
  <c r="O2689" i="3"/>
  <c r="O2731" i="3"/>
  <c r="O2753" i="3"/>
  <c r="O2769" i="3"/>
  <c r="O2787" i="3"/>
  <c r="O2791" i="3"/>
  <c r="O2808" i="3"/>
  <c r="O2818" i="3"/>
  <c r="O2828" i="3"/>
  <c r="O2849" i="3"/>
  <c r="O2890" i="3"/>
  <c r="O2961" i="3"/>
  <c r="O2972" i="3"/>
  <c r="O3015" i="3"/>
  <c r="O3031" i="3"/>
  <c r="O3051" i="3"/>
  <c r="O3080" i="3"/>
  <c r="O3181" i="3"/>
  <c r="O3272" i="3"/>
  <c r="O3283" i="3"/>
  <c r="O3297" i="3"/>
  <c r="O3305" i="3"/>
  <c r="O3309" i="3"/>
  <c r="O3453" i="3"/>
  <c r="O3493" i="3"/>
  <c r="O3497" i="3"/>
  <c r="O3531" i="3"/>
  <c r="O3550" i="3"/>
  <c r="O3557" i="3"/>
  <c r="O3577" i="3"/>
  <c r="O3588" i="3"/>
  <c r="O3598" i="3"/>
  <c r="O3718" i="3"/>
  <c r="O3729" i="3"/>
  <c r="O3812" i="3"/>
  <c r="O3903" i="3"/>
  <c r="O3979" i="3"/>
  <c r="O4146" i="3"/>
  <c r="O4183" i="3"/>
  <c r="O4196" i="3"/>
  <c r="O4206" i="3"/>
  <c r="O4247" i="3"/>
  <c r="O4277" i="3"/>
  <c r="O4284" i="3"/>
  <c r="O4295" i="3"/>
  <c r="O4361" i="3"/>
  <c r="O4419" i="3"/>
  <c r="O4476" i="3"/>
  <c r="O4482" i="3"/>
  <c r="O4490" i="3"/>
  <c r="O4526" i="3"/>
  <c r="O4612" i="3"/>
  <c r="O4621" i="3"/>
  <c r="O4630" i="3"/>
  <c r="O4666" i="3"/>
  <c r="O4683" i="3"/>
  <c r="O4741" i="3"/>
  <c r="O4775" i="3"/>
  <c r="O4813" i="3"/>
  <c r="O7" i="3"/>
  <c r="O10" i="3"/>
  <c r="O57" i="3"/>
  <c r="O81" i="3"/>
  <c r="O147" i="3"/>
  <c r="O157" i="3"/>
  <c r="O195" i="3"/>
  <c r="O203" i="3"/>
  <c r="O241" i="3"/>
  <c r="O299" i="3"/>
  <c r="O366" i="3"/>
  <c r="O374" i="3"/>
  <c r="O377" i="3"/>
  <c r="O391" i="3"/>
  <c r="O476" i="3"/>
  <c r="O487" i="3"/>
  <c r="O515" i="3"/>
  <c r="O584" i="3"/>
  <c r="O643" i="3"/>
  <c r="O708" i="3"/>
  <c r="O773" i="3"/>
  <c r="O849" i="3"/>
  <c r="O881" i="3"/>
  <c r="O889" i="3"/>
  <c r="O894" i="3"/>
  <c r="O895" i="3"/>
  <c r="O904" i="3"/>
  <c r="O957" i="3"/>
  <c r="O1012" i="3"/>
  <c r="O1071" i="3"/>
  <c r="O1099" i="3"/>
  <c r="O1110" i="3"/>
  <c r="O1153" i="3"/>
  <c r="O1168" i="3"/>
  <c r="O1169" i="3"/>
  <c r="O1189" i="3"/>
  <c r="O1200" i="3"/>
  <c r="O1205" i="3"/>
  <c r="O1218" i="3"/>
  <c r="O1221" i="3"/>
  <c r="O1223" i="3"/>
  <c r="O1246" i="3"/>
  <c r="O1255" i="3"/>
  <c r="O1381" i="3"/>
  <c r="O1391" i="3"/>
  <c r="O1442" i="3"/>
  <c r="O1475" i="3"/>
  <c r="O1501" i="3"/>
  <c r="O1519" i="3"/>
  <c r="O1529" i="3"/>
  <c r="O1534" i="3"/>
  <c r="O1542" i="3"/>
  <c r="O1552" i="3"/>
  <c r="O1640" i="3"/>
  <c r="O1658" i="3"/>
  <c r="O1766" i="3"/>
  <c r="O1783" i="3"/>
  <c r="O1801" i="3"/>
  <c r="O1830" i="3"/>
  <c r="O1833" i="3"/>
  <c r="O1902" i="3"/>
  <c r="O1904" i="3"/>
  <c r="O1921" i="3"/>
  <c r="O2026" i="3"/>
  <c r="O2141" i="3"/>
  <c r="O2152" i="3"/>
  <c r="O2173" i="3"/>
  <c r="O2180" i="3"/>
  <c r="O2198" i="3"/>
  <c r="O2249" i="3"/>
  <c r="O2256" i="3"/>
  <c r="O2259" i="3"/>
  <c r="O2267" i="3"/>
  <c r="O2299" i="3"/>
  <c r="O2325" i="3"/>
  <c r="O2347" i="3"/>
  <c r="O2357" i="3"/>
  <c r="O2368" i="3"/>
  <c r="O2460" i="3"/>
  <c r="O2465" i="3"/>
  <c r="O2476" i="3"/>
  <c r="O2485" i="3"/>
  <c r="O2522" i="3"/>
  <c r="O2553" i="3"/>
  <c r="O2560" i="3"/>
  <c r="O2562" i="3"/>
  <c r="O2563" i="3"/>
  <c r="O2587" i="3"/>
  <c r="O2633" i="3"/>
  <c r="O2686" i="3"/>
  <c r="O2725" i="3"/>
  <c r="O2750" i="3"/>
  <c r="O2776" i="3"/>
  <c r="O2815" i="3"/>
  <c r="O2905" i="3"/>
  <c r="O2909" i="3"/>
  <c r="O2983" i="3"/>
  <c r="O2987" i="3"/>
  <c r="O2990" i="3"/>
  <c r="O3048" i="3"/>
  <c r="O3071" i="3"/>
  <c r="O3158" i="3"/>
  <c r="O3182" i="3"/>
  <c r="O3238" i="3"/>
  <c r="O3261" i="3"/>
  <c r="O3275" i="3"/>
  <c r="O3317" i="3"/>
  <c r="O3329" i="3"/>
  <c r="O3331" i="3"/>
  <c r="O3336" i="3"/>
  <c r="O3389" i="3"/>
  <c r="O3413" i="3"/>
  <c r="O3489" i="3"/>
  <c r="O3523" i="3"/>
  <c r="O3560" i="3"/>
  <c r="O3603" i="3"/>
  <c r="O3615" i="3"/>
  <c r="O3618" i="3"/>
  <c r="O3713" i="3"/>
  <c r="O3760" i="3"/>
  <c r="O3803" i="3"/>
  <c r="O3817" i="3"/>
  <c r="O3887" i="3"/>
  <c r="O3944" i="3"/>
  <c r="O3958" i="3"/>
  <c r="O3978" i="3"/>
  <c r="O3997" i="3"/>
  <c r="O4038" i="3"/>
  <c r="O4056" i="3"/>
  <c r="O4137" i="3"/>
  <c r="O4148" i="3"/>
  <c r="O4204" i="3"/>
  <c r="O4259" i="3"/>
  <c r="O4260" i="3"/>
  <c r="O4351" i="3"/>
  <c r="O4383" i="3"/>
  <c r="O4391" i="3"/>
  <c r="O4417" i="3"/>
  <c r="O4428" i="3"/>
  <c r="O4431" i="3"/>
  <c r="O4454" i="3"/>
  <c r="O4468" i="3"/>
  <c r="O4471" i="3"/>
  <c r="O4528" i="3"/>
  <c r="O4540" i="3"/>
  <c r="O4545" i="3"/>
  <c r="O4624" i="3"/>
  <c r="O4648" i="3"/>
  <c r="O4685" i="3"/>
  <c r="O4698" i="3"/>
  <c r="O4714" i="3"/>
  <c r="O4725" i="3"/>
  <c r="O48" i="3"/>
  <c r="O401" i="3"/>
  <c r="O630" i="3"/>
  <c r="O637" i="3"/>
  <c r="O638" i="3"/>
  <c r="O645" i="3"/>
  <c r="O678" i="3"/>
  <c r="O736" i="3"/>
  <c r="O749" i="3"/>
  <c r="O886" i="3"/>
  <c r="O976" i="3"/>
  <c r="O1058" i="3"/>
  <c r="O1120" i="3"/>
  <c r="O1130" i="3"/>
  <c r="O1186" i="3"/>
  <c r="O1212" i="3"/>
  <c r="O1261" i="3"/>
  <c r="O1403" i="3"/>
  <c r="O1460" i="3"/>
  <c r="O1471" i="3"/>
  <c r="O1545" i="3"/>
  <c r="O1548" i="3"/>
  <c r="O1572" i="3"/>
  <c r="O1591" i="3"/>
  <c r="O1600" i="3"/>
  <c r="O1611" i="3"/>
  <c r="O1671" i="3"/>
  <c r="O1742" i="3"/>
  <c r="O1769" i="3"/>
  <c r="O1839" i="3"/>
  <c r="O1877" i="3"/>
  <c r="O1912" i="3"/>
  <c r="O1980" i="3"/>
  <c r="O1986" i="3"/>
  <c r="O1988" i="3"/>
  <c r="O2099" i="3"/>
  <c r="O2129" i="3"/>
  <c r="O2150" i="3"/>
  <c r="O2177" i="3"/>
  <c r="O2350" i="3"/>
  <c r="O2480" i="3"/>
  <c r="O2551" i="3"/>
  <c r="O2612" i="3"/>
  <c r="O2718" i="3"/>
  <c r="O2810" i="3"/>
  <c r="O2947" i="3"/>
  <c r="O2980" i="3"/>
  <c r="O2984" i="3"/>
  <c r="O2986" i="3"/>
  <c r="O2989" i="3"/>
  <c r="O3163" i="3"/>
  <c r="O3170" i="3"/>
  <c r="O3201" i="3"/>
  <c r="O3303" i="3"/>
  <c r="O3306" i="3"/>
  <c r="O3433" i="3"/>
  <c r="O3473" i="3"/>
  <c r="O3491" i="3"/>
  <c r="O3529" i="3"/>
  <c r="O3543" i="3"/>
  <c r="O3650" i="3"/>
  <c r="O3679" i="3"/>
  <c r="O3750" i="3"/>
  <c r="O3808" i="3"/>
  <c r="O3834" i="3"/>
  <c r="O3915" i="3"/>
  <c r="O4205" i="3"/>
  <c r="O4231" i="3"/>
  <c r="O4380" i="3"/>
  <c r="O4406" i="3"/>
  <c r="O4466" i="3"/>
  <c r="O4693" i="3"/>
  <c r="O4705" i="3"/>
  <c r="O4748" i="3"/>
  <c r="O4804" i="3"/>
  <c r="O2" i="3"/>
  <c r="O22" i="3"/>
  <c r="O26" i="3"/>
  <c r="O38" i="3"/>
  <c r="O58" i="3"/>
  <c r="O92" i="3"/>
  <c r="O137" i="3"/>
  <c r="O155" i="3"/>
  <c r="O162" i="3"/>
  <c r="O171" i="3"/>
  <c r="O177" i="3"/>
  <c r="O214" i="3"/>
  <c r="O233" i="3"/>
  <c r="O246" i="3"/>
  <c r="O259" i="3"/>
  <c r="O301" i="3"/>
  <c r="O319" i="3"/>
  <c r="O328" i="3"/>
  <c r="O333" i="3"/>
  <c r="O336" i="3"/>
  <c r="O350" i="3"/>
  <c r="O383" i="3"/>
  <c r="O400" i="3"/>
  <c r="O419" i="3"/>
  <c r="O423" i="3"/>
  <c r="O449" i="3"/>
  <c r="O501" i="3"/>
  <c r="O516" i="3"/>
  <c r="O535" i="3"/>
  <c r="O560" i="3"/>
  <c r="O577" i="3"/>
  <c r="O625" i="3"/>
  <c r="O627" i="3"/>
  <c r="O676" i="3"/>
  <c r="O719" i="3"/>
  <c r="O742" i="3"/>
  <c r="O744" i="3"/>
  <c r="O751" i="3"/>
  <c r="O754" i="3"/>
  <c r="O756" i="3"/>
  <c r="O786" i="3"/>
  <c r="O789" i="3"/>
  <c r="O810" i="3"/>
  <c r="O813" i="3"/>
  <c r="O814" i="3"/>
  <c r="O842" i="3"/>
  <c r="O872" i="3"/>
  <c r="O887" i="3"/>
  <c r="O924" i="3"/>
  <c r="O925" i="3"/>
  <c r="O934" i="3"/>
  <c r="O981" i="3"/>
  <c r="O1018" i="3"/>
  <c r="O1059" i="3"/>
  <c r="O1075" i="3"/>
  <c r="O1082" i="3"/>
  <c r="O1085" i="3"/>
  <c r="O1087" i="3"/>
  <c r="O1091" i="3"/>
  <c r="O1104" i="3"/>
  <c r="O1109" i="3"/>
  <c r="O1151" i="3"/>
  <c r="O1174" i="3"/>
  <c r="O1195" i="3"/>
  <c r="O1225" i="3"/>
  <c r="O1268" i="3"/>
  <c r="O1331" i="3"/>
  <c r="O1334" i="3"/>
  <c r="O1373" i="3"/>
  <c r="O1406" i="3"/>
  <c r="O1407" i="3"/>
  <c r="O1446" i="3"/>
  <c r="O1463" i="3"/>
  <c r="O1509" i="3"/>
  <c r="O1579" i="3"/>
  <c r="O1616" i="3"/>
  <c r="O1636" i="3"/>
  <c r="O1666" i="3"/>
  <c r="O1675" i="3"/>
  <c r="O1692" i="3"/>
  <c r="O1731" i="3"/>
  <c r="O1749" i="3"/>
  <c r="O1814" i="3"/>
  <c r="O1829" i="3"/>
  <c r="O1992" i="3"/>
  <c r="O2016" i="3"/>
  <c r="O2046" i="3"/>
  <c r="O2050" i="3"/>
  <c r="O2116" i="3"/>
  <c r="O2121" i="3"/>
  <c r="O2162" i="3"/>
  <c r="O2191" i="3"/>
  <c r="O2212" i="3"/>
  <c r="O2220" i="3"/>
  <c r="O2300" i="3"/>
  <c r="O2369" i="3"/>
  <c r="O2377" i="3"/>
  <c r="O2406" i="3"/>
  <c r="O2438" i="3"/>
  <c r="O2441" i="3"/>
  <c r="O2477" i="3"/>
  <c r="O2554" i="3"/>
  <c r="O2558" i="3"/>
  <c r="O2577" i="3"/>
  <c r="O2622" i="3"/>
  <c r="O2661" i="3"/>
  <c r="O2673" i="3"/>
  <c r="O2683" i="3"/>
  <c r="O2704" i="3"/>
  <c r="O2747" i="3"/>
  <c r="O2794" i="3"/>
  <c r="O2821" i="3"/>
  <c r="O2841" i="3"/>
  <c r="O2877" i="3"/>
  <c r="O2879" i="3"/>
  <c r="O2888" i="3"/>
  <c r="O2889" i="3"/>
  <c r="O2891" i="3"/>
  <c r="O2912" i="3"/>
  <c r="O2933" i="3"/>
  <c r="O2937" i="3"/>
  <c r="O2952" i="3"/>
  <c r="O2996" i="3"/>
  <c r="O3003" i="3"/>
  <c r="O3016" i="3"/>
  <c r="O3017" i="3"/>
  <c r="O3040" i="3"/>
  <c r="O3043" i="3"/>
  <c r="O3059" i="3"/>
  <c r="O3099" i="3"/>
  <c r="O3142" i="3"/>
  <c r="O3233" i="3"/>
  <c r="O3235" i="3"/>
  <c r="O3237" i="3"/>
  <c r="O3240" i="3"/>
  <c r="O3271" i="3"/>
  <c r="O3337" i="3"/>
  <c r="O3340" i="3"/>
  <c r="O3385" i="3"/>
  <c r="O3441" i="3"/>
  <c r="O3459" i="3"/>
  <c r="O3461" i="3"/>
  <c r="O3485" i="3"/>
  <c r="O3517" i="3"/>
  <c r="O3541" i="3"/>
  <c r="O3563" i="3"/>
  <c r="O3568" i="3"/>
  <c r="O3610" i="3"/>
  <c r="O3619" i="3"/>
  <c r="O3634" i="3"/>
  <c r="O3663" i="3"/>
  <c r="O3680" i="3"/>
  <c r="O3689" i="3"/>
  <c r="O3822" i="3"/>
  <c r="O3829" i="3"/>
  <c r="O3845" i="3"/>
  <c r="O3859" i="3"/>
  <c r="O3861" i="3"/>
  <c r="O3921" i="3"/>
  <c r="O3936" i="3"/>
  <c r="O3937" i="3"/>
  <c r="O3947" i="3"/>
  <c r="O3959" i="3"/>
  <c r="O4128" i="3"/>
  <c r="O4172" i="3"/>
  <c r="O4193" i="3"/>
  <c r="O4213" i="3"/>
  <c r="O4282" i="3"/>
  <c r="O4379" i="3"/>
  <c r="O4472" i="3"/>
  <c r="O4525" i="3"/>
  <c r="O4562" i="3"/>
  <c r="O4573" i="3"/>
  <c r="O4625" i="3"/>
  <c r="O4651" i="3"/>
  <c r="O4697" i="3"/>
  <c r="O4729" i="3"/>
  <c r="O4736" i="3"/>
  <c r="O4798" i="3"/>
  <c r="O4830" i="3"/>
  <c r="O323" i="3"/>
  <c r="O526" i="3"/>
  <c r="O1423" i="3"/>
  <c r="O2166" i="3"/>
  <c r="O2186" i="3"/>
  <c r="O2344" i="3"/>
  <c r="O2799" i="3"/>
  <c r="O2931" i="3"/>
  <c r="O3058" i="3"/>
  <c r="O3710" i="3"/>
  <c r="O4134" i="3"/>
  <c r="O4167" i="3"/>
  <c r="O4208" i="3"/>
  <c r="O4682" i="3"/>
  <c r="O1315" i="3"/>
  <c r="O2210" i="3"/>
  <c r="O2222" i="3"/>
  <c r="O2394" i="3"/>
  <c r="O2418" i="3"/>
  <c r="O3469" i="3"/>
  <c r="O3824" i="3"/>
  <c r="O4484" i="3"/>
  <c r="O4733" i="3"/>
  <c r="O4825" i="3"/>
  <c r="O86" i="3"/>
  <c r="O235" i="3"/>
  <c r="O280" i="3"/>
  <c r="O289" i="3"/>
  <c r="O331" i="3"/>
  <c r="O351" i="3"/>
  <c r="O497" i="3"/>
  <c r="O505" i="3"/>
  <c r="O520" i="3"/>
  <c r="O521" i="3"/>
  <c r="O653" i="3"/>
  <c r="O673" i="3"/>
  <c r="O696" i="3"/>
  <c r="O702" i="3"/>
  <c r="O812" i="3"/>
  <c r="O829" i="3"/>
  <c r="O965" i="3"/>
  <c r="O978" i="3"/>
  <c r="O1045" i="3"/>
  <c r="O1064" i="3"/>
  <c r="O1118" i="3"/>
  <c r="O1249" i="3"/>
  <c r="O1325" i="3"/>
  <c r="O1363" i="3"/>
  <c r="O1493" i="3"/>
  <c r="O1504" i="3"/>
  <c r="O1517" i="3"/>
  <c r="O1532" i="3"/>
  <c r="O1607" i="3"/>
  <c r="O1707" i="3"/>
  <c r="O1757" i="3"/>
  <c r="O1805" i="3"/>
  <c r="O2003" i="3"/>
  <c r="O2043" i="3"/>
  <c r="O2095" i="3"/>
  <c r="O2271" i="3"/>
  <c r="O2290" i="3"/>
  <c r="O2340" i="3"/>
  <c r="O2341" i="3"/>
  <c r="O2423" i="3"/>
  <c r="O2484" i="3"/>
  <c r="O2506" i="3"/>
  <c r="O2544" i="3"/>
  <c r="O2572" i="3"/>
  <c r="O2603" i="3"/>
  <c r="O2638" i="3"/>
  <c r="O2716" i="3"/>
  <c r="O2744" i="3"/>
  <c r="O2836" i="3"/>
  <c r="O2919" i="3"/>
  <c r="O2927" i="3"/>
  <c r="O2928" i="3"/>
  <c r="O2994" i="3"/>
  <c r="O3041" i="3"/>
  <c r="O3096" i="3"/>
  <c r="O3104" i="3"/>
  <c r="O3108" i="3"/>
  <c r="O3123" i="3"/>
  <c r="O3126" i="3"/>
  <c r="O3167" i="3"/>
  <c r="O3179" i="3"/>
  <c r="O3292" i="3"/>
  <c r="O3333" i="3"/>
  <c r="O3344" i="3"/>
  <c r="O3393" i="3"/>
  <c r="O3399" i="3"/>
  <c r="O3435" i="3"/>
  <c r="O3530" i="3"/>
  <c r="O3558" i="3"/>
  <c r="O3564" i="3"/>
  <c r="O3678" i="3"/>
  <c r="O3720" i="3"/>
  <c r="O3723" i="3"/>
  <c r="O3725" i="3"/>
  <c r="O3736" i="3"/>
  <c r="O3811" i="3"/>
  <c r="O3821" i="3"/>
  <c r="O3869" i="3"/>
  <c r="O3966" i="3"/>
  <c r="O4033" i="3"/>
  <c r="O4141" i="3"/>
  <c r="O4157" i="3"/>
  <c r="O4165" i="3"/>
  <c r="O4198" i="3"/>
  <c r="O4202" i="3"/>
  <c r="O4309" i="3"/>
  <c r="O4319" i="3"/>
  <c r="O4339" i="3"/>
  <c r="O4421" i="3"/>
  <c r="O4443" i="3"/>
  <c r="O4558" i="3"/>
  <c r="O4708" i="3"/>
  <c r="O4709" i="3"/>
  <c r="O4759" i="3"/>
  <c r="O4766" i="3"/>
  <c r="O4784" i="3"/>
  <c r="O62" i="3"/>
  <c r="O66" i="3"/>
  <c r="O113" i="3"/>
  <c r="O164" i="3"/>
  <c r="O169" i="3"/>
  <c r="O213" i="3"/>
  <c r="O231" i="3"/>
  <c r="O382" i="3"/>
  <c r="O387" i="3"/>
  <c r="O525" i="3"/>
  <c r="O534" i="3"/>
  <c r="O536" i="3"/>
  <c r="O583" i="3"/>
  <c r="O615" i="3"/>
  <c r="O722" i="3"/>
  <c r="O745" i="3"/>
  <c r="O787" i="3"/>
  <c r="O799" i="3"/>
  <c r="O817" i="3"/>
  <c r="O832" i="3"/>
  <c r="O1001" i="3"/>
  <c r="O1021" i="3"/>
  <c r="O1049" i="3"/>
  <c r="O1083" i="3"/>
  <c r="O1191" i="3"/>
  <c r="O1243" i="3"/>
  <c r="O1260" i="3"/>
  <c r="O1287" i="3"/>
  <c r="O1292" i="3"/>
  <c r="O1299" i="3"/>
  <c r="O1302" i="3"/>
  <c r="O1304" i="3"/>
  <c r="O1327" i="3"/>
  <c r="O1448" i="3"/>
  <c r="O1455" i="3"/>
  <c r="O1487" i="3"/>
  <c r="O1510" i="3"/>
  <c r="O1553" i="3"/>
  <c r="O1559" i="3"/>
  <c r="O1570" i="3"/>
  <c r="O1601" i="3"/>
  <c r="O1632" i="3"/>
  <c r="O1638" i="3"/>
  <c r="O1751" i="3"/>
  <c r="O1754" i="3"/>
  <c r="O1755" i="3"/>
  <c r="O1923" i="3"/>
  <c r="O2018" i="3"/>
  <c r="O2025" i="3"/>
  <c r="O2033" i="3"/>
  <c r="O2119" i="3"/>
  <c r="O2156" i="3"/>
  <c r="O2165" i="3"/>
  <c r="O2184" i="3"/>
  <c r="O2188" i="3"/>
  <c r="O2217" i="3"/>
  <c r="O2238" i="3"/>
  <c r="O2318" i="3"/>
  <c r="O2324" i="3"/>
  <c r="O2431" i="3"/>
  <c r="O2432" i="3"/>
  <c r="O2448" i="3"/>
  <c r="O2458" i="3"/>
  <c r="O2509" i="3"/>
  <c r="O2523" i="3"/>
  <c r="O2540" i="3"/>
  <c r="O2571" i="3"/>
  <c r="O2647" i="3"/>
  <c r="O2655" i="3"/>
  <c r="O2695" i="3"/>
  <c r="O2864" i="3"/>
  <c r="O2874" i="3"/>
  <c r="O2881" i="3"/>
  <c r="O2893" i="3"/>
  <c r="O2899" i="3"/>
  <c r="O2930" i="3"/>
  <c r="O2999" i="3"/>
  <c r="O3021" i="3"/>
  <c r="O3078" i="3"/>
  <c r="O3135" i="3"/>
  <c r="O3213" i="3"/>
  <c r="O3273" i="3"/>
  <c r="O3286" i="3"/>
  <c r="O3310" i="3"/>
  <c r="O3327" i="3"/>
  <c r="O3347" i="3"/>
  <c r="O3439" i="3"/>
  <c r="O3511" i="3"/>
  <c r="O3613" i="3"/>
  <c r="O3614" i="3"/>
  <c r="O3669" i="3"/>
  <c r="O3784" i="3"/>
  <c r="O3809" i="3"/>
  <c r="O3866" i="3"/>
  <c r="O3923" i="3"/>
  <c r="O3999" i="3"/>
  <c r="O4022" i="3"/>
  <c r="O4032" i="3"/>
  <c r="O4135" i="3"/>
  <c r="O4140" i="3"/>
  <c r="O4145" i="3"/>
  <c r="O4158" i="3"/>
  <c r="O4194" i="3"/>
  <c r="O4210" i="3"/>
  <c r="O4211" i="3"/>
  <c r="O4223" i="3"/>
  <c r="O4302" i="3"/>
  <c r="O4375" i="3"/>
  <c r="O4376" i="3"/>
  <c r="O4416" i="3"/>
  <c r="O4670" i="3"/>
  <c r="O4675" i="3"/>
  <c r="O4726" i="3"/>
  <c r="O4815" i="3"/>
  <c r="O14" i="3"/>
  <c r="O65" i="3"/>
  <c r="O67" i="3"/>
  <c r="O75" i="3"/>
  <c r="O82" i="3"/>
  <c r="O115" i="3"/>
  <c r="O118" i="3"/>
  <c r="O148" i="3"/>
  <c r="O151" i="3"/>
  <c r="O175" i="3"/>
  <c r="O178" i="3"/>
  <c r="O181" i="3"/>
  <c r="O204" i="3"/>
  <c r="O294" i="3"/>
  <c r="O394" i="3"/>
  <c r="O408" i="3"/>
  <c r="O454" i="3"/>
  <c r="O474" i="3"/>
  <c r="O485" i="3"/>
  <c r="O488" i="3"/>
  <c r="O490" i="3"/>
  <c r="O493" i="3"/>
  <c r="O544" i="3"/>
  <c r="O556" i="3"/>
  <c r="O571" i="3"/>
  <c r="O574" i="3"/>
  <c r="O576" i="3"/>
  <c r="O579" i="3"/>
  <c r="O608" i="3"/>
  <c r="O629" i="3"/>
  <c r="O650" i="3"/>
  <c r="O674" i="3"/>
  <c r="O677" i="3"/>
  <c r="O779" i="3"/>
  <c r="O796" i="3"/>
  <c r="O826" i="3"/>
  <c r="O847" i="3"/>
  <c r="O869" i="3"/>
  <c r="O899" i="3"/>
  <c r="O926" i="3"/>
  <c r="O930" i="3"/>
  <c r="O942" i="3"/>
  <c r="O947" i="3"/>
  <c r="O953" i="3"/>
  <c r="O956" i="3"/>
  <c r="O967" i="3"/>
  <c r="O971" i="3"/>
  <c r="O982" i="3"/>
  <c r="O991" i="3"/>
  <c r="O1031" i="3"/>
  <c r="O1037" i="3"/>
  <c r="O1042" i="3"/>
  <c r="O1063" i="3"/>
  <c r="O1105" i="3"/>
  <c r="O1119" i="3"/>
  <c r="O1134" i="3"/>
  <c r="O1177" i="3"/>
  <c r="O1192" i="3"/>
  <c r="O1194" i="3"/>
  <c r="O1219" i="3"/>
  <c r="O1285" i="3"/>
  <c r="O1314" i="3"/>
  <c r="O1355" i="3"/>
  <c r="O1415" i="3"/>
  <c r="O1435" i="3"/>
  <c r="O1436" i="3"/>
  <c r="O1466" i="3"/>
  <c r="O1498" i="3"/>
  <c r="O1508" i="3"/>
  <c r="O1511" i="3"/>
  <c r="O1566" i="3"/>
  <c r="O1574" i="3"/>
  <c r="O1580" i="3"/>
  <c r="O1589" i="3"/>
  <c r="O1642" i="3"/>
  <c r="O1655" i="3"/>
  <c r="O1682" i="3"/>
  <c r="O1685" i="3"/>
  <c r="O1694" i="3"/>
  <c r="O1710" i="3"/>
  <c r="O1714" i="3"/>
  <c r="O1726" i="3"/>
  <c r="O1727" i="3"/>
  <c r="O1732" i="3"/>
  <c r="O1768" i="3"/>
  <c r="O1825" i="3"/>
  <c r="O1915" i="3"/>
  <c r="O1933" i="3"/>
  <c r="O1954" i="3"/>
  <c r="O1956" i="3"/>
  <c r="O1970" i="3"/>
  <c r="O1977" i="3"/>
  <c r="O1985" i="3"/>
  <c r="O2028" i="3"/>
  <c r="O2029" i="3"/>
  <c r="O2038" i="3"/>
  <c r="O2052" i="3"/>
  <c r="O2063" i="3"/>
  <c r="O2072" i="3"/>
  <c r="O2107" i="3"/>
  <c r="O2181" i="3"/>
  <c r="O2226" i="3"/>
  <c r="O2239" i="3"/>
  <c r="O2302" i="3"/>
  <c r="O2310" i="3"/>
  <c r="O2392" i="3"/>
  <c r="O2414" i="3"/>
  <c r="O2443" i="3"/>
  <c r="O2467" i="3"/>
  <c r="O2486" i="3"/>
  <c r="O2494" i="3"/>
  <c r="O2496" i="3"/>
  <c r="O2502" i="3"/>
  <c r="O2552" i="3"/>
  <c r="O2564" i="3"/>
  <c r="O2578" i="3"/>
  <c r="O2584" i="3"/>
  <c r="O2585" i="3"/>
  <c r="O2606" i="3"/>
  <c r="O2609" i="3"/>
  <c r="O2698" i="3"/>
  <c r="O2699" i="3"/>
  <c r="O2758" i="3"/>
  <c r="O2805" i="3"/>
  <c r="O2824" i="3"/>
  <c r="O2826" i="3"/>
  <c r="O2840" i="3"/>
  <c r="O2857" i="3"/>
  <c r="O2866" i="3"/>
  <c r="O2908" i="3"/>
  <c r="O3008" i="3"/>
  <c r="O3012" i="3"/>
  <c r="O3028" i="3"/>
  <c r="O3056" i="3"/>
  <c r="O3128" i="3"/>
  <c r="O3145" i="3"/>
  <c r="O3147" i="3"/>
  <c r="O3162" i="3"/>
  <c r="O3268" i="3"/>
  <c r="O3280" i="3"/>
  <c r="O3324" i="3"/>
  <c r="O3362" i="3"/>
  <c r="O3366" i="3"/>
  <c r="O3432" i="3"/>
  <c r="O3440" i="3"/>
  <c r="O3444" i="3"/>
  <c r="O3451" i="3"/>
  <c r="O3484" i="3"/>
  <c r="O3512" i="3"/>
  <c r="O3589" i="3"/>
  <c r="O3599" i="3"/>
  <c r="O3601" i="3"/>
  <c r="O3629" i="3"/>
  <c r="O3666" i="3"/>
  <c r="O3671" i="3"/>
  <c r="O3674" i="3"/>
  <c r="O3682" i="3"/>
  <c r="O3761" i="3"/>
  <c r="O3768" i="3"/>
  <c r="O3793" i="3"/>
  <c r="O3874" i="3"/>
  <c r="O3920" i="3"/>
  <c r="O3922" i="3"/>
  <c r="O3963" i="3"/>
  <c r="O3987" i="3"/>
  <c r="O4133" i="3"/>
  <c r="O4142" i="3"/>
  <c r="O4154" i="3"/>
  <c r="O4169" i="3"/>
  <c r="O4187" i="3"/>
  <c r="O4191" i="3"/>
  <c r="O4215" i="3"/>
  <c r="O4235" i="3"/>
  <c r="O4248" i="3"/>
  <c r="O4377" i="3"/>
  <c r="O4529" i="3"/>
  <c r="O4587" i="3"/>
  <c r="O4591" i="3"/>
  <c r="O4606" i="3"/>
  <c r="O4615" i="3"/>
  <c r="O4626" i="3"/>
  <c r="O4628" i="3"/>
  <c r="O4632" i="3"/>
  <c r="O4747" i="3"/>
  <c r="O4792" i="3"/>
  <c r="O4814" i="3"/>
  <c r="O4832" i="3"/>
  <c r="O11" i="3"/>
  <c r="O12" i="3"/>
  <c r="O30" i="3"/>
  <c r="O168" i="3"/>
  <c r="O170" i="3"/>
  <c r="O172" i="3"/>
  <c r="O236" i="3"/>
  <c r="O257" i="3"/>
  <c r="O305" i="3"/>
  <c r="O308" i="3"/>
  <c r="O324" i="3"/>
  <c r="O424" i="3"/>
  <c r="O507" i="3"/>
  <c r="O522" i="3"/>
  <c r="O557" i="3"/>
  <c r="O572" i="3"/>
  <c r="O600" i="3"/>
  <c r="O601" i="3"/>
  <c r="O610" i="3"/>
  <c r="O618" i="3"/>
  <c r="O635" i="3"/>
  <c r="O671" i="3"/>
  <c r="O691" i="3"/>
  <c r="O695" i="3"/>
  <c r="O748" i="3"/>
  <c r="O767" i="3"/>
  <c r="O775" i="3"/>
  <c r="O824" i="3"/>
  <c r="O856" i="3"/>
  <c r="O865" i="3"/>
  <c r="O921" i="3"/>
  <c r="O944" i="3"/>
  <c r="O970" i="3"/>
  <c r="O994" i="3"/>
  <c r="O1008" i="3"/>
  <c r="O1027" i="3"/>
  <c r="O1122" i="3"/>
  <c r="O1141" i="3"/>
  <c r="O1144" i="3"/>
  <c r="O1158" i="3"/>
  <c r="O1227" i="3"/>
  <c r="O1228" i="3"/>
  <c r="O1233" i="3"/>
  <c r="O1235" i="3"/>
  <c r="O1247" i="3"/>
  <c r="O1250" i="3"/>
  <c r="O1262" i="3"/>
  <c r="O1367" i="3"/>
  <c r="O1372" i="3"/>
  <c r="O1389" i="3"/>
  <c r="O1422" i="3"/>
  <c r="O1452" i="3"/>
  <c r="O1494" i="3"/>
  <c r="O1584" i="3"/>
  <c r="O1595" i="3"/>
  <c r="O1614" i="3"/>
  <c r="O1620" i="3"/>
  <c r="O1647" i="3"/>
  <c r="O1649" i="3"/>
  <c r="O1759" i="3"/>
  <c r="O1767" i="3"/>
  <c r="O1837" i="3"/>
  <c r="O1847" i="3"/>
  <c r="O1870" i="3"/>
  <c r="O1946" i="3"/>
  <c r="O1951" i="3"/>
  <c r="O1979" i="3"/>
  <c r="O2010" i="3"/>
  <c r="O2032" i="3"/>
  <c r="O2071" i="3"/>
  <c r="O2100" i="3"/>
  <c r="O2110" i="3"/>
  <c r="O2114" i="3"/>
  <c r="O2211" i="3"/>
  <c r="O2248" i="3"/>
  <c r="O2254" i="3"/>
  <c r="O2301" i="3"/>
  <c r="O2370" i="3"/>
  <c r="O2397" i="3"/>
  <c r="O2405" i="3"/>
  <c r="O2416" i="3"/>
  <c r="O2445" i="3"/>
  <c r="O2473" i="3"/>
  <c r="O2537" i="3"/>
  <c r="O2539" i="3"/>
  <c r="O2556" i="3"/>
  <c r="O2580" i="3"/>
  <c r="O2678" i="3"/>
  <c r="O2679" i="3"/>
  <c r="O2696" i="3"/>
  <c r="O2712" i="3"/>
  <c r="O2748" i="3"/>
  <c r="O2785" i="3"/>
  <c r="O2837" i="3"/>
  <c r="O2858" i="3"/>
  <c r="O2902" i="3"/>
  <c r="O2922" i="3"/>
  <c r="O2951" i="3"/>
  <c r="O3038" i="3"/>
  <c r="O3060" i="3"/>
  <c r="O3074" i="3"/>
  <c r="O3083" i="3"/>
  <c r="O3085" i="3"/>
  <c r="O3086" i="3"/>
  <c r="O3150" i="3"/>
  <c r="O3166" i="3"/>
  <c r="O3229" i="3"/>
  <c r="O3232" i="3"/>
  <c r="O3241" i="3"/>
  <c r="O3246" i="3"/>
  <c r="O3263" i="3"/>
  <c r="O3277" i="3"/>
  <c r="O3287" i="3"/>
  <c r="O3289" i="3"/>
  <c r="O3318" i="3"/>
  <c r="O3323" i="3"/>
  <c r="O3357" i="3"/>
  <c r="O3403" i="3"/>
  <c r="O3406" i="3"/>
  <c r="O3422" i="3"/>
  <c r="O3437" i="3"/>
  <c r="O3478" i="3"/>
  <c r="O3479" i="3"/>
  <c r="O3552" i="3"/>
  <c r="O3556" i="3"/>
  <c r="O3600" i="3"/>
  <c r="O3633" i="3"/>
  <c r="O3677" i="3"/>
  <c r="O3730" i="3"/>
  <c r="O3733" i="3"/>
  <c r="O3749" i="3"/>
  <c r="O3765" i="3"/>
  <c r="O3770" i="3"/>
  <c r="O3775" i="3"/>
  <c r="O3789" i="3"/>
  <c r="O3794" i="3"/>
  <c r="O3882" i="3"/>
  <c r="O3889" i="3"/>
  <c r="O3908" i="3"/>
  <c r="O3925" i="3"/>
  <c r="O3929" i="3"/>
  <c r="O3981" i="3"/>
  <c r="O3983" i="3"/>
  <c r="O4015" i="3"/>
  <c r="O4061" i="3"/>
  <c r="O4111" i="3"/>
  <c r="O4176" i="3"/>
  <c r="O4181" i="3"/>
  <c r="O4222" i="3"/>
  <c r="O4224" i="3"/>
  <c r="O4241" i="3"/>
  <c r="O4251" i="3"/>
  <c r="O4311" i="3"/>
  <c r="O4395" i="3"/>
  <c r="O4398" i="3"/>
  <c r="O4511" i="3"/>
  <c r="O4596" i="3"/>
  <c r="O4636" i="3"/>
  <c r="O4667" i="3"/>
  <c r="O4668" i="3"/>
  <c r="O4679" i="3"/>
  <c r="O4686" i="3"/>
  <c r="O4687" i="3"/>
  <c r="O4701" i="3"/>
  <c r="O4716" i="3"/>
  <c r="O4756" i="3"/>
  <c r="O4761" i="3"/>
  <c r="O4781" i="3"/>
  <c r="O4786" i="3"/>
  <c r="O70" i="3"/>
  <c r="O73" i="3"/>
  <c r="O180" i="3"/>
  <c r="O216" i="3"/>
  <c r="O222" i="3"/>
  <c r="O296" i="3"/>
  <c r="O300" i="3"/>
  <c r="O330" i="3"/>
  <c r="O338" i="3"/>
  <c r="O458" i="3"/>
  <c r="O518" i="3"/>
  <c r="O533" i="3"/>
  <c r="O679" i="3"/>
  <c r="O758" i="3"/>
  <c r="O768" i="3"/>
  <c r="O792" i="3"/>
  <c r="O863" i="3"/>
  <c r="O880" i="3"/>
  <c r="O891" i="3"/>
  <c r="O1024" i="3"/>
  <c r="O1036" i="3"/>
  <c r="O1156" i="3"/>
  <c r="O1163" i="3"/>
  <c r="O1239" i="3"/>
  <c r="O1303" i="3"/>
  <c r="O1364" i="3"/>
  <c r="O1408" i="3"/>
  <c r="O1428" i="3"/>
  <c r="O1708" i="3"/>
  <c r="O1906" i="3"/>
  <c r="O1950" i="3"/>
  <c r="O2051" i="3"/>
  <c r="O2065" i="3"/>
  <c r="O2098" i="3"/>
  <c r="O2329" i="3"/>
  <c r="O2413" i="3"/>
  <c r="O2433" i="3"/>
  <c r="O2490" i="3"/>
  <c r="O2602" i="3"/>
  <c r="O2642" i="3"/>
  <c r="O2688" i="3"/>
  <c r="O2854" i="3"/>
  <c r="O2920" i="3"/>
  <c r="O2935" i="3"/>
  <c r="O3026" i="3"/>
  <c r="O3244" i="3"/>
  <c r="O3251" i="3"/>
  <c r="O3260" i="3"/>
  <c r="O3319" i="3"/>
  <c r="O3360" i="3"/>
  <c r="O3392" i="3"/>
  <c r="O3464" i="3"/>
  <c r="O3503" i="3"/>
  <c r="O3542" i="3"/>
  <c r="O3545" i="3"/>
  <c r="O3548" i="3"/>
  <c r="O3645" i="3"/>
  <c r="O3670" i="3"/>
  <c r="O3699" i="3"/>
  <c r="O3795" i="3"/>
  <c r="O3893" i="3"/>
  <c r="O3938" i="3"/>
  <c r="O3972" i="3"/>
  <c r="O4041" i="3"/>
  <c r="O4125" i="3"/>
  <c r="O4209" i="3"/>
  <c r="O4334" i="3"/>
  <c r="O4470" i="3"/>
  <c r="O4513" i="3"/>
  <c r="O4578" i="3"/>
  <c r="O4579" i="3"/>
  <c r="O4681" i="3"/>
  <c r="O4757" i="3"/>
  <c r="O4769" i="3"/>
  <c r="O15" i="3"/>
  <c r="O42" i="3"/>
  <c r="O45" i="3"/>
  <c r="O220" i="3"/>
  <c r="O221" i="3"/>
  <c r="O224" i="3"/>
  <c r="O275" i="3"/>
  <c r="O290" i="3"/>
  <c r="O315" i="3"/>
  <c r="O405" i="3"/>
  <c r="O420" i="3"/>
  <c r="O421" i="3"/>
  <c r="O461" i="3"/>
  <c r="O466" i="3"/>
  <c r="O480" i="3"/>
  <c r="O492" i="3"/>
  <c r="O513" i="3"/>
  <c r="O530" i="3"/>
  <c r="O570" i="3"/>
  <c r="O588" i="3"/>
  <c r="O649" i="3"/>
  <c r="O659" i="3"/>
  <c r="O667" i="3"/>
  <c r="O690" i="3"/>
  <c r="O705" i="3"/>
  <c r="O777" i="3"/>
  <c r="O843" i="3"/>
  <c r="O882" i="3"/>
  <c r="O900" i="3"/>
  <c r="O902" i="3"/>
  <c r="O909" i="3"/>
  <c r="O933" i="3"/>
  <c r="O938" i="3"/>
  <c r="O945" i="3"/>
  <c r="O980" i="3"/>
  <c r="O990" i="3"/>
  <c r="O1002" i="3"/>
  <c r="O1016" i="3"/>
  <c r="O1026" i="3"/>
  <c r="O1060" i="3"/>
  <c r="O1076" i="3"/>
  <c r="O1094" i="3"/>
  <c r="O1139" i="3"/>
  <c r="O1184" i="3"/>
  <c r="O1273" i="3"/>
  <c r="O1379" i="3"/>
  <c r="O1400" i="3"/>
  <c r="O1409" i="3"/>
  <c r="O1434" i="3"/>
  <c r="O1470" i="3"/>
  <c r="O1617" i="3"/>
  <c r="O1637" i="3"/>
  <c r="O1721" i="3"/>
  <c r="O1763" i="3"/>
  <c r="O1791" i="3"/>
  <c r="O1800" i="3"/>
  <c r="O1917" i="3"/>
  <c r="O1922" i="3"/>
  <c r="O1926" i="3"/>
  <c r="O2034" i="3"/>
  <c r="O2035" i="3"/>
  <c r="O2161" i="3"/>
  <c r="O2223" i="3"/>
  <c r="O2225" i="3"/>
  <c r="O2291" i="3"/>
  <c r="O2293" i="3"/>
  <c r="O2306" i="3"/>
  <c r="O2317" i="3"/>
  <c r="O2336" i="3"/>
  <c r="O2366" i="3"/>
  <c r="O2399" i="3"/>
  <c r="O2407" i="3"/>
  <c r="O2447" i="3"/>
  <c r="O2451" i="3"/>
  <c r="O2482" i="3"/>
  <c r="O2489" i="3"/>
  <c r="O2511" i="3"/>
  <c r="O2515" i="3"/>
  <c r="O2610" i="3"/>
  <c r="O2636" i="3"/>
  <c r="O2643" i="3"/>
  <c r="O2650" i="3"/>
  <c r="O2710" i="3"/>
  <c r="O2774" i="3"/>
  <c r="O2839" i="3"/>
  <c r="O2867" i="3"/>
  <c r="O2886" i="3"/>
  <c r="O2895" i="3"/>
  <c r="O2898" i="3"/>
  <c r="O2942" i="3"/>
  <c r="O2956" i="3"/>
  <c r="O2960" i="3"/>
  <c r="O3005" i="3"/>
  <c r="O3054" i="3"/>
  <c r="O3076" i="3"/>
  <c r="O3095" i="3"/>
  <c r="O3113" i="3"/>
  <c r="O3159" i="3"/>
  <c r="O3168" i="3"/>
  <c r="O3215" i="3"/>
  <c r="O3222" i="3"/>
  <c r="O3248" i="3"/>
  <c r="O3307" i="3"/>
  <c r="O3353" i="3"/>
  <c r="O3370" i="3"/>
  <c r="O3394" i="3"/>
  <c r="O3423" i="3"/>
  <c r="O3425" i="3"/>
  <c r="O3465" i="3"/>
  <c r="O3510" i="3"/>
  <c r="O3539" i="3"/>
  <c r="O3584" i="3"/>
  <c r="O3587" i="3"/>
  <c r="O3591" i="3"/>
  <c r="O3630" i="3"/>
  <c r="O3644" i="3"/>
  <c r="O3654" i="3"/>
  <c r="O3676" i="3"/>
  <c r="O3776" i="3"/>
  <c r="O3804" i="3"/>
  <c r="O3831" i="3"/>
  <c r="O3962" i="3"/>
  <c r="O4051" i="3"/>
  <c r="O4052" i="3"/>
  <c r="O4062" i="3"/>
  <c r="O4075" i="3"/>
  <c r="O4085" i="3"/>
  <c r="O4095" i="3"/>
  <c r="O4159" i="3"/>
  <c r="O4160" i="3"/>
  <c r="O4170" i="3"/>
  <c r="O4264" i="3"/>
  <c r="O4271" i="3"/>
  <c r="O4427" i="3"/>
  <c r="O4435" i="3"/>
  <c r="O4450" i="3"/>
  <c r="O4451" i="3"/>
  <c r="O4547" i="3"/>
  <c r="O4567" i="3"/>
  <c r="O4580" i="3"/>
  <c r="O4641" i="3"/>
  <c r="O4745" i="3"/>
  <c r="O4764" i="3"/>
  <c r="O4790" i="3"/>
  <c r="O4808" i="3"/>
  <c r="O4817" i="3"/>
  <c r="O3" i="3"/>
  <c r="O61" i="3"/>
  <c r="O135" i="3"/>
  <c r="O190" i="3"/>
  <c r="O261" i="3"/>
  <c r="O264" i="3"/>
  <c r="O426" i="3"/>
  <c r="O486" i="3"/>
  <c r="O537" i="3"/>
  <c r="O542" i="3"/>
  <c r="O606" i="3"/>
  <c r="O613" i="3"/>
  <c r="O633" i="3"/>
  <c r="O634" i="3"/>
  <c r="O654" i="3"/>
  <c r="O672" i="3"/>
  <c r="O698" i="3"/>
  <c r="O712" i="3"/>
  <c r="O726" i="3"/>
  <c r="O730" i="3"/>
  <c r="O766" i="3"/>
  <c r="O798" i="3"/>
  <c r="O804" i="3"/>
  <c r="O838" i="3"/>
  <c r="O840" i="3"/>
  <c r="O1011" i="3"/>
  <c r="O1149" i="3"/>
  <c r="O1350" i="3"/>
  <c r="O1429" i="3"/>
  <c r="O1522" i="3"/>
  <c r="O1549" i="3"/>
  <c r="O1746" i="3"/>
  <c r="O1948" i="3"/>
  <c r="O1991" i="3"/>
  <c r="O2048" i="3"/>
  <c r="O2170" i="3"/>
  <c r="O2197" i="3"/>
  <c r="O2278" i="3"/>
  <c r="O2328" i="3"/>
  <c r="O2386" i="3"/>
  <c r="O2410" i="3"/>
  <c r="O2450" i="3"/>
  <c r="O2547" i="3"/>
  <c r="O2626" i="3"/>
  <c r="O2656" i="3"/>
  <c r="O2701" i="3"/>
  <c r="O2711" i="3"/>
  <c r="O2777" i="3"/>
  <c r="O2782" i="3"/>
  <c r="O2789" i="3"/>
  <c r="O2809" i="3"/>
  <c r="O2838" i="3"/>
  <c r="O2873" i="3"/>
  <c r="O2880" i="3"/>
  <c r="O2901" i="3"/>
  <c r="O2946" i="3"/>
  <c r="O2954" i="3"/>
  <c r="O2976" i="3"/>
  <c r="O3049" i="3"/>
  <c r="O3169" i="3"/>
  <c r="O3242" i="3"/>
  <c r="O3308" i="3"/>
  <c r="O3315" i="3"/>
  <c r="O3355" i="3"/>
  <c r="O3400" i="3"/>
  <c r="O3456" i="3"/>
  <c r="O3524" i="3"/>
  <c r="O3561" i="3"/>
  <c r="O3569" i="3"/>
  <c r="O3641" i="3"/>
  <c r="O3652" i="3"/>
  <c r="O3783" i="3"/>
  <c r="O3825" i="3"/>
  <c r="O3852" i="3"/>
  <c r="O3873" i="3"/>
  <c r="O3895" i="3"/>
  <c r="O3919" i="3"/>
  <c r="O3928" i="3"/>
  <c r="O3939" i="3"/>
  <c r="O3941" i="3"/>
  <c r="O3956" i="3"/>
  <c r="O4044" i="3"/>
  <c r="O4053" i="3"/>
  <c r="O4083" i="3"/>
  <c r="O4091" i="3"/>
  <c r="O4119" i="3"/>
  <c r="O4138" i="3"/>
  <c r="O4143" i="3"/>
  <c r="O4276" i="3"/>
  <c r="O4294" i="3"/>
  <c r="O4439" i="3"/>
  <c r="O4497" i="3"/>
  <c r="O4544" i="3"/>
  <c r="O4560" i="3"/>
  <c r="O4566" i="3"/>
  <c r="O4570" i="3"/>
  <c r="O4613" i="3"/>
  <c r="O4631" i="3"/>
  <c r="O4642" i="3"/>
  <c r="O4691" i="3"/>
  <c r="O4742" i="3"/>
  <c r="O4763" i="3"/>
  <c r="O4774" i="3"/>
  <c r="O4801" i="3"/>
  <c r="O6" i="3"/>
  <c r="O21" i="3"/>
  <c r="O87" i="3"/>
  <c r="O103" i="3"/>
  <c r="O112" i="3"/>
  <c r="O201" i="3"/>
  <c r="O206" i="3"/>
  <c r="O219" i="3"/>
  <c r="O273" i="3"/>
  <c r="O310" i="3"/>
  <c r="O312" i="3"/>
  <c r="O345" i="3"/>
  <c r="O361" i="3"/>
  <c r="O508" i="3"/>
  <c r="O566" i="3"/>
  <c r="O711" i="3"/>
  <c r="O864" i="3"/>
  <c r="O873" i="3"/>
  <c r="O885" i="3"/>
  <c r="O1172" i="3"/>
  <c r="O1238" i="3"/>
  <c r="O1274" i="3"/>
  <c r="O1295" i="3"/>
  <c r="O1310" i="3"/>
  <c r="O1318" i="3"/>
  <c r="O1336" i="3"/>
  <c r="O1491" i="3"/>
  <c r="O1558" i="3"/>
  <c r="O1576" i="3"/>
  <c r="O1622" i="3"/>
  <c r="O1744" i="3"/>
  <c r="O1790" i="3"/>
  <c r="O1819" i="3"/>
  <c r="O1846" i="3"/>
  <c r="O1862" i="3"/>
  <c r="O1880" i="3"/>
  <c r="O1907" i="3"/>
  <c r="O1911" i="3"/>
  <c r="O1928" i="3"/>
  <c r="O1961" i="3"/>
  <c r="O2011" i="3"/>
  <c r="O2042" i="3"/>
  <c r="O2074" i="3"/>
  <c r="O2205" i="3"/>
  <c r="O2287" i="3"/>
  <c r="O2297" i="3"/>
  <c r="O2400" i="3"/>
  <c r="O2428" i="3"/>
  <c r="O2430" i="3"/>
  <c r="O2488" i="3"/>
  <c r="O2555" i="3"/>
  <c r="O2592" i="3"/>
  <c r="O2806" i="3"/>
  <c r="O2814" i="3"/>
  <c r="O2887" i="3"/>
  <c r="O2910" i="3"/>
  <c r="O2916" i="3"/>
  <c r="O3257" i="3"/>
  <c r="O3326" i="3"/>
  <c r="O3391" i="3"/>
  <c r="O3442" i="3"/>
  <c r="O3449" i="3"/>
  <c r="O3475" i="3"/>
  <c r="O3567" i="3"/>
  <c r="O3576" i="3"/>
  <c r="O3582" i="3"/>
  <c r="O3602" i="3"/>
  <c r="O3649" i="3"/>
  <c r="O3660" i="3"/>
  <c r="O3665" i="3"/>
  <c r="O3688" i="3"/>
  <c r="O3867" i="3"/>
  <c r="O3926" i="3"/>
  <c r="O3976" i="3"/>
  <c r="O3977" i="3"/>
  <c r="O4007" i="3"/>
  <c r="O4021" i="3"/>
  <c r="O4287" i="3"/>
  <c r="O4401" i="3"/>
  <c r="O4449" i="3"/>
  <c r="O4514" i="3"/>
  <c r="O4516" i="3"/>
  <c r="O4593" i="3"/>
  <c r="O4595" i="3"/>
  <c r="O4762" i="3"/>
  <c r="O4794" i="3"/>
  <c r="O33" i="3"/>
  <c r="O111" i="3"/>
  <c r="O212" i="3"/>
  <c r="O217" i="3"/>
  <c r="O247" i="3"/>
  <c r="O298" i="3"/>
  <c r="O352" i="3"/>
  <c r="O396" i="3"/>
  <c r="O463" i="3"/>
  <c r="O509" i="3"/>
  <c r="O555" i="3"/>
  <c r="O563" i="3"/>
  <c r="O585" i="3"/>
  <c r="O594" i="3"/>
  <c r="O612" i="3"/>
  <c r="O646" i="3"/>
  <c r="O652" i="3"/>
  <c r="O771" i="3"/>
  <c r="O867" i="3"/>
  <c r="O879" i="3"/>
  <c r="O995" i="3"/>
  <c r="O1046" i="3"/>
  <c r="O1123" i="3"/>
  <c r="O1137" i="3"/>
  <c r="O1253" i="3"/>
  <c r="O1306" i="3"/>
  <c r="O1330" i="3"/>
  <c r="O1345" i="3"/>
  <c r="O1368" i="3"/>
  <c r="O1397" i="3"/>
  <c r="O1450" i="3"/>
  <c r="O1705" i="3"/>
  <c r="O1753" i="3"/>
  <c r="O1771" i="3"/>
  <c r="O1826" i="3"/>
  <c r="O1997" i="3"/>
  <c r="O2006" i="3"/>
  <c r="O2009" i="3"/>
  <c r="O2017" i="3"/>
  <c r="O2037" i="3"/>
  <c r="O2069" i="3"/>
  <c r="O2132" i="3"/>
  <c r="O2135" i="3"/>
  <c r="O2244" i="3"/>
  <c r="O2283" i="3"/>
  <c r="O2379" i="3"/>
  <c r="O2444" i="3"/>
  <c r="O2619" i="3"/>
  <c r="O2692" i="3"/>
  <c r="O2697" i="3"/>
  <c r="O2713" i="3"/>
  <c r="O2827" i="3"/>
  <c r="O2906" i="3"/>
  <c r="O3027" i="3"/>
  <c r="O3081" i="3"/>
  <c r="O3082" i="3"/>
  <c r="O3127" i="3"/>
  <c r="O3210" i="3"/>
  <c r="O3212" i="3"/>
  <c r="O3338" i="3"/>
  <c r="O3368" i="3"/>
  <c r="O3398" i="3"/>
  <c r="O3443" i="3"/>
  <c r="O3463" i="3"/>
  <c r="O3487" i="3"/>
  <c r="O3522" i="3"/>
  <c r="O3580" i="3"/>
  <c r="O3596" i="3"/>
  <c r="O3609" i="3"/>
  <c r="O3823" i="3"/>
  <c r="O3842" i="3"/>
  <c r="O3930" i="3"/>
  <c r="O4087" i="3"/>
  <c r="O4124" i="3"/>
  <c r="O4320" i="3"/>
  <c r="O4342" i="3"/>
  <c r="O4494" i="3"/>
  <c r="O4660" i="3"/>
  <c r="O4805" i="3"/>
  <c r="O1515" i="3"/>
  <c r="O1598" i="3"/>
  <c r="O2658" i="3"/>
  <c r="O2988" i="3"/>
  <c r="O3115" i="3"/>
  <c r="O3586" i="3"/>
  <c r="O4023" i="3"/>
  <c r="O4600" i="3"/>
  <c r="O51" i="3"/>
  <c r="O104" i="3"/>
  <c r="O110" i="3"/>
  <c r="O226" i="3"/>
  <c r="O248" i="3"/>
  <c r="O286" i="3"/>
  <c r="O320" i="3"/>
  <c r="O371" i="3"/>
  <c r="O448" i="3"/>
  <c r="O547" i="3"/>
  <c r="O647" i="3"/>
  <c r="O735" i="3"/>
  <c r="O866" i="3"/>
  <c r="O897" i="3"/>
  <c r="O935" i="3"/>
  <c r="O940" i="3"/>
  <c r="O950" i="3"/>
  <c r="O966" i="3"/>
  <c r="O975" i="3"/>
  <c r="O1079" i="3"/>
  <c r="O1160" i="3"/>
  <c r="O1351" i="3"/>
  <c r="O1583" i="3"/>
  <c r="O1630" i="3"/>
  <c r="O1662" i="3"/>
  <c r="O1663" i="3"/>
  <c r="O1773" i="3"/>
  <c r="O1787" i="3"/>
  <c r="O1842" i="3"/>
  <c r="O1865" i="3"/>
  <c r="O2092" i="3"/>
  <c r="O2138" i="3"/>
  <c r="O2176" i="3"/>
  <c r="O2196" i="3"/>
  <c r="O2221" i="3"/>
  <c r="O2229" i="3"/>
  <c r="O2276" i="3"/>
  <c r="O2312" i="3"/>
  <c r="O2412" i="3"/>
  <c r="O2424" i="3"/>
  <c r="O2474" i="3"/>
  <c r="O2503" i="3"/>
  <c r="O2593" i="3"/>
  <c r="O2596" i="3"/>
  <c r="O2628" i="3"/>
  <c r="O2654" i="3"/>
  <c r="O2792" i="3"/>
  <c r="O2823" i="3"/>
  <c r="O2825" i="3"/>
  <c r="O2856" i="3"/>
  <c r="O2871" i="3"/>
  <c r="O2921" i="3"/>
  <c r="O2941" i="3"/>
  <c r="O3020" i="3"/>
  <c r="O3044" i="3"/>
  <c r="O3073" i="3"/>
  <c r="O3112" i="3"/>
  <c r="O3154" i="3"/>
  <c r="O3188" i="3"/>
  <c r="O3211" i="3"/>
  <c r="O3219" i="3"/>
  <c r="O3252" i="3"/>
  <c r="O3265" i="3"/>
  <c r="O3325" i="3"/>
  <c r="O3367" i="3"/>
  <c r="O3372" i="3"/>
  <c r="O3381" i="3"/>
  <c r="O3405" i="3"/>
  <c r="O3631" i="3"/>
  <c r="O3648" i="3"/>
  <c r="O3655" i="3"/>
  <c r="O3668" i="3"/>
  <c r="O3692" i="3"/>
  <c r="O3745" i="3"/>
  <c r="O3773" i="3"/>
  <c r="O3865" i="3"/>
  <c r="O3950" i="3"/>
  <c r="O4008" i="3"/>
  <c r="O4059" i="3"/>
  <c r="O4065" i="3"/>
  <c r="O4107" i="3"/>
  <c r="O4217" i="3"/>
  <c r="O4246" i="3"/>
  <c r="O4278" i="3"/>
  <c r="O4333" i="3"/>
  <c r="O4363" i="3"/>
  <c r="O4430" i="3"/>
  <c r="O4461" i="3"/>
  <c r="O4554" i="3"/>
  <c r="O4565" i="3"/>
  <c r="O4622" i="3"/>
  <c r="O4639" i="3"/>
  <c r="O4663" i="3"/>
  <c r="O4688" i="3"/>
  <c r="O4690" i="3"/>
  <c r="O4806" i="3"/>
  <c r="O4826" i="3"/>
  <c r="O119" i="3"/>
  <c r="O159" i="3"/>
  <c r="O166" i="3"/>
  <c r="O188" i="3"/>
  <c r="O260" i="3"/>
  <c r="O390" i="3"/>
  <c r="O395" i="3"/>
  <c r="O473" i="3"/>
  <c r="O511" i="3"/>
  <c r="O517" i="3"/>
  <c r="O587" i="3"/>
  <c r="O655" i="3"/>
  <c r="O662" i="3"/>
  <c r="O724" i="3"/>
  <c r="O743" i="3"/>
  <c r="O929" i="3"/>
  <c r="O1038" i="3"/>
  <c r="O1048" i="3"/>
  <c r="O1074" i="3"/>
  <c r="O1126" i="3"/>
  <c r="O1132" i="3"/>
  <c r="O1229" i="3"/>
  <c r="O1272" i="3"/>
  <c r="O1300" i="3"/>
  <c r="O1313" i="3"/>
  <c r="O1335" i="3"/>
  <c r="O1365" i="3"/>
  <c r="O1382" i="3"/>
  <c r="O1485" i="3"/>
  <c r="O1624" i="3"/>
  <c r="O1645" i="3"/>
  <c r="O1683" i="3"/>
  <c r="O1795" i="3"/>
  <c r="O1848" i="3"/>
  <c r="O1861" i="3"/>
  <c r="O1878" i="3"/>
  <c r="O1937" i="3"/>
  <c r="O1966" i="3"/>
  <c r="O2019" i="3"/>
  <c r="O2112" i="3"/>
  <c r="O2145" i="3"/>
  <c r="O2240" i="3"/>
  <c r="O2281" i="3"/>
  <c r="O2419" i="3"/>
  <c r="O2615" i="3"/>
  <c r="O2685" i="3"/>
  <c r="O2707" i="3"/>
  <c r="O2749" i="3"/>
  <c r="O2832" i="3"/>
  <c r="O2900" i="3"/>
  <c r="O3032" i="3"/>
  <c r="O3034" i="3"/>
  <c r="O3070" i="3"/>
  <c r="O3217" i="3"/>
  <c r="O3224" i="3"/>
  <c r="O3457" i="3"/>
  <c r="O3481" i="3"/>
  <c r="O3482" i="3"/>
  <c r="O3664" i="3"/>
  <c r="O3807" i="3"/>
  <c r="O3900" i="3"/>
  <c r="O3934" i="3"/>
  <c r="O3985" i="3"/>
  <c r="O4077" i="3"/>
  <c r="O4126" i="3"/>
  <c r="O4178" i="3"/>
  <c r="O4197" i="3"/>
  <c r="O4207" i="3"/>
  <c r="O4239" i="3"/>
  <c r="O4245" i="3"/>
  <c r="O4313" i="3"/>
  <c r="O4458" i="3"/>
  <c r="O4495" i="3"/>
  <c r="O4585" i="3"/>
  <c r="O4590" i="3"/>
  <c r="O4607" i="3"/>
  <c r="O4637" i="3"/>
  <c r="O4680" i="3"/>
  <c r="O4699" i="3"/>
  <c r="O4712" i="3"/>
  <c r="O4713" i="3"/>
  <c r="O4760" i="3"/>
  <c r="O4787" i="3"/>
  <c r="O52" i="3"/>
  <c r="O76" i="3"/>
  <c r="O91" i="3"/>
  <c r="O126" i="3"/>
  <c r="O146" i="3"/>
  <c r="O196" i="3"/>
  <c r="O208" i="3"/>
  <c r="O209" i="3"/>
  <c r="O230" i="3"/>
  <c r="O251" i="3"/>
  <c r="O302" i="3"/>
  <c r="O314" i="3"/>
  <c r="O327" i="3"/>
  <c r="O386" i="3"/>
  <c r="O388" i="3"/>
  <c r="O459" i="3"/>
  <c r="O661" i="3"/>
  <c r="O737" i="3"/>
  <c r="O761" i="3"/>
  <c r="O788" i="3"/>
  <c r="O839" i="3"/>
  <c r="O936" i="3"/>
  <c r="O974" i="3"/>
  <c r="O1100" i="3"/>
  <c r="O1165" i="3"/>
  <c r="O1199" i="3"/>
  <c r="O1209" i="3"/>
  <c r="O1277" i="3"/>
  <c r="O1377" i="3"/>
  <c r="O1449" i="3"/>
  <c r="O1469" i="3"/>
  <c r="O1480" i="3"/>
  <c r="O1489" i="3"/>
  <c r="O1527" i="3"/>
  <c r="O1537" i="3"/>
  <c r="O1587" i="3"/>
  <c r="O1597" i="3"/>
  <c r="O1672" i="3"/>
  <c r="O1737" i="3"/>
  <c r="O1797" i="3"/>
  <c r="O1818" i="3"/>
  <c r="O1824" i="3"/>
  <c r="O1849" i="3"/>
  <c r="O1909" i="3"/>
  <c r="O1935" i="3"/>
  <c r="O1943" i="3"/>
  <c r="O1974" i="3"/>
  <c r="O2012" i="3"/>
  <c r="O2094" i="3"/>
  <c r="O2120" i="3"/>
  <c r="O2189" i="3"/>
  <c r="O2354" i="3"/>
  <c r="O2381" i="3"/>
  <c r="O2453" i="3"/>
  <c r="O2454" i="3"/>
  <c r="O2457" i="3"/>
  <c r="O2481" i="3"/>
  <c r="O2487" i="3"/>
  <c r="O2505" i="3"/>
  <c r="O2514" i="3"/>
  <c r="O2521" i="3"/>
  <c r="O2538" i="3"/>
  <c r="O2590" i="3"/>
  <c r="O2611" i="3"/>
  <c r="O2660" i="3"/>
  <c r="O2784" i="3"/>
  <c r="O2970" i="3"/>
  <c r="O3093" i="3"/>
  <c r="O3138" i="3"/>
  <c r="O3161" i="3"/>
  <c r="O3180" i="3"/>
  <c r="O3196" i="3"/>
  <c r="O3198" i="3"/>
  <c r="O3254" i="3"/>
  <c r="O3322" i="3"/>
  <c r="O3354" i="3"/>
  <c r="O3358" i="3"/>
  <c r="O3387" i="3"/>
  <c r="O3409" i="3"/>
  <c r="O3414" i="3"/>
  <c r="O3428" i="3"/>
  <c r="O3551" i="3"/>
  <c r="O3571" i="3"/>
  <c r="O3597" i="3"/>
  <c r="O3704" i="3"/>
  <c r="O3798" i="3"/>
  <c r="O3836" i="3"/>
  <c r="O3878" i="3"/>
  <c r="O3905" i="3"/>
  <c r="O4089" i="3"/>
  <c r="O4130" i="3"/>
  <c r="O4344" i="3"/>
  <c r="O4360" i="3"/>
  <c r="O4457" i="3"/>
  <c r="O4722" i="3"/>
  <c r="O4782" i="3"/>
  <c r="O4789" i="3"/>
  <c r="O4802" i="3"/>
  <c r="O158" i="3"/>
  <c r="O165" i="3"/>
  <c r="O192" i="3"/>
  <c r="O262" i="3"/>
  <c r="O293" i="3"/>
  <c r="O295" i="3"/>
  <c r="O342" i="3"/>
  <c r="O370" i="3"/>
  <c r="O543" i="3"/>
  <c r="O565" i="3"/>
  <c r="O660" i="3"/>
  <c r="O746" i="3"/>
  <c r="O816" i="3"/>
  <c r="O888" i="3"/>
  <c r="O893" i="3"/>
  <c r="O922" i="3"/>
  <c r="O985" i="3"/>
  <c r="O996" i="3"/>
  <c r="O1014" i="3"/>
  <c r="O1181" i="3"/>
  <c r="O1208" i="3"/>
  <c r="O1222" i="3"/>
  <c r="O1276" i="3"/>
  <c r="O1293" i="3"/>
  <c r="O1413" i="3"/>
  <c r="O1512" i="3"/>
  <c r="O1555" i="3"/>
  <c r="O1729" i="3"/>
  <c r="O1741" i="3"/>
  <c r="O1745" i="3"/>
  <c r="O1761" i="3"/>
  <c r="O1886" i="3"/>
  <c r="O1916" i="3"/>
  <c r="O1962" i="3"/>
  <c r="O2024" i="3"/>
  <c r="O2202" i="3"/>
  <c r="O2230" i="3"/>
  <c r="O2294" i="3"/>
  <c r="O2425" i="3"/>
  <c r="O2434" i="3"/>
  <c r="O2510" i="3"/>
  <c r="O2545" i="3"/>
  <c r="O2594" i="3"/>
  <c r="O2613" i="3"/>
  <c r="O2621" i="3"/>
  <c r="O2764" i="3"/>
  <c r="O2795" i="3"/>
  <c r="O2936" i="3"/>
  <c r="O2982" i="3"/>
  <c r="O2991" i="3"/>
  <c r="O3006" i="3"/>
  <c r="O3134" i="3"/>
  <c r="O3174" i="3"/>
  <c r="O3390" i="3"/>
  <c r="O3421" i="3"/>
  <c r="O3467" i="3"/>
  <c r="O3471" i="3"/>
  <c r="O3518" i="3"/>
  <c r="O3575" i="3"/>
  <c r="O3732" i="3"/>
  <c r="O3827" i="3"/>
  <c r="O3906" i="3"/>
  <c r="O3986" i="3"/>
  <c r="O4010" i="3"/>
  <c r="O4049" i="3"/>
  <c r="O4329" i="3"/>
  <c r="O4346" i="3"/>
  <c r="O4364" i="3"/>
  <c r="O4498" i="3"/>
  <c r="O4506" i="3"/>
  <c r="O4765" i="3"/>
  <c r="O4771" i="3"/>
  <c r="O4833" i="3"/>
  <c r="O84" i="3"/>
  <c r="O136" i="3"/>
  <c r="O167" i="3"/>
  <c r="O243" i="3"/>
  <c r="O403" i="3"/>
  <c r="O404" i="3"/>
  <c r="O412" i="3"/>
  <c r="O467" i="3"/>
  <c r="O626" i="3"/>
  <c r="O666" i="3"/>
  <c r="O701" i="3"/>
  <c r="O951" i="3"/>
  <c r="O954" i="3"/>
  <c r="O1015" i="3"/>
  <c r="O1108" i="3"/>
  <c r="O1226" i="3"/>
  <c r="O1418" i="3"/>
  <c r="O1419" i="3"/>
  <c r="O1478" i="3"/>
  <c r="O1606" i="3"/>
  <c r="O1613" i="3"/>
  <c r="O1718" i="3"/>
  <c r="O1722" i="3"/>
  <c r="O1908" i="3"/>
  <c r="O1958" i="3"/>
  <c r="O2056" i="3"/>
  <c r="O2109" i="3"/>
  <c r="O2216" i="3"/>
  <c r="O2260" i="3"/>
  <c r="O2315" i="3"/>
  <c r="O2335" i="3"/>
  <c r="O2422" i="3"/>
  <c r="O2437" i="3"/>
  <c r="O2452" i="3"/>
  <c r="O2499" i="3"/>
  <c r="O2524" i="3"/>
  <c r="O2581" i="3"/>
  <c r="O2591" i="3"/>
  <c r="O2675" i="3"/>
  <c r="O3039" i="3"/>
  <c r="O3087" i="3"/>
  <c r="O3125" i="3"/>
  <c r="O3175" i="3"/>
  <c r="O3200" i="3"/>
  <c r="O3223" i="3"/>
  <c r="O3284" i="3"/>
  <c r="O3455" i="3"/>
  <c r="O3608" i="3"/>
  <c r="O3643" i="3"/>
  <c r="O3694" i="3"/>
  <c r="O3702" i="3"/>
  <c r="O3880" i="3"/>
  <c r="O3904" i="3"/>
  <c r="O3909" i="3"/>
  <c r="O3917" i="3"/>
  <c r="O3951" i="3"/>
  <c r="O3954" i="3"/>
  <c r="O4392" i="3"/>
  <c r="O4629" i="3"/>
  <c r="O4671" i="3"/>
  <c r="O4677" i="3"/>
  <c r="O4737" i="3"/>
  <c r="O4739" i="3"/>
  <c r="O4740" i="3"/>
  <c r="O4795" i="3"/>
  <c r="O17" i="3"/>
  <c r="O68" i="3"/>
  <c r="O94" i="3"/>
  <c r="O120" i="3"/>
  <c r="O176" i="3"/>
  <c r="O367" i="3"/>
  <c r="O433" i="3"/>
  <c r="O442" i="3"/>
  <c r="O532" i="3"/>
  <c r="O568" i="3"/>
  <c r="O591" i="3"/>
  <c r="O707" i="3"/>
  <c r="O811" i="3"/>
  <c r="O851" i="3"/>
  <c r="O860" i="3"/>
  <c r="O908" i="3"/>
  <c r="O911" i="3"/>
  <c r="O1084" i="3"/>
  <c r="O1170" i="3"/>
  <c r="O1232" i="3"/>
  <c r="O1242" i="3"/>
  <c r="O1271" i="3"/>
  <c r="O1328" i="3"/>
  <c r="O1495" i="3"/>
  <c r="O1502" i="3"/>
  <c r="O1546" i="3"/>
  <c r="O1604" i="3"/>
  <c r="O1670" i="3"/>
  <c r="O1701" i="3"/>
  <c r="O1822" i="3"/>
  <c r="O1864" i="3"/>
  <c r="O1887" i="3"/>
  <c r="O2206" i="3"/>
  <c r="O2295" i="3"/>
  <c r="O2355" i="3"/>
  <c r="O2548" i="3"/>
  <c r="O2597" i="3"/>
  <c r="O2751" i="3"/>
  <c r="O2803" i="3"/>
  <c r="O2855" i="3"/>
  <c r="O2860" i="3"/>
  <c r="O2885" i="3"/>
  <c r="O2940" i="3"/>
  <c r="O2979" i="3"/>
  <c r="O3062" i="3"/>
  <c r="O3132" i="3"/>
  <c r="O3204" i="3"/>
  <c r="O3313" i="3"/>
  <c r="O3314" i="3"/>
  <c r="O3376" i="3"/>
  <c r="O3450" i="3"/>
  <c r="O3498" i="3"/>
  <c r="O3506" i="3"/>
  <c r="O3528" i="3"/>
  <c r="O3549" i="3"/>
  <c r="O3555" i="3"/>
  <c r="O3593" i="3"/>
  <c r="O3748" i="3"/>
  <c r="O3848" i="3"/>
  <c r="O3868" i="3"/>
  <c r="O3901" i="3"/>
  <c r="O3965" i="3"/>
  <c r="O4096" i="3"/>
  <c r="O4242" i="3"/>
  <c r="O4366" i="3"/>
  <c r="O4455" i="3"/>
  <c r="O4486" i="3"/>
  <c r="O4611" i="3"/>
  <c r="O4620" i="3"/>
  <c r="O4689" i="3"/>
  <c r="O4758" i="3"/>
  <c r="O4" i="3"/>
  <c r="O5" i="3"/>
  <c r="O13" i="3"/>
  <c r="O25" i="3"/>
  <c r="O44" i="3"/>
  <c r="O55" i="3"/>
  <c r="O124" i="3"/>
  <c r="O142" i="3"/>
  <c r="O227" i="3"/>
  <c r="O349" i="3"/>
  <c r="O415" i="3"/>
  <c r="O431" i="3"/>
  <c r="O462" i="3"/>
  <c r="O470" i="3"/>
  <c r="O540" i="3"/>
  <c r="O569" i="3"/>
  <c r="O580" i="3"/>
  <c r="O604" i="3"/>
  <c r="O721" i="3"/>
  <c r="O750" i="3"/>
  <c r="O778" i="3"/>
  <c r="O780" i="3"/>
  <c r="O793" i="3"/>
  <c r="O802" i="3"/>
  <c r="O819" i="3"/>
  <c r="O857" i="3"/>
  <c r="O868" i="3"/>
  <c r="O915" i="3"/>
  <c r="O983" i="3"/>
  <c r="O1006" i="3"/>
  <c r="O1044" i="3"/>
  <c r="O1056" i="3"/>
  <c r="O1131" i="3"/>
  <c r="O1133" i="3"/>
  <c r="O1143" i="3"/>
  <c r="O1148" i="3"/>
  <c r="O1236" i="3"/>
  <c r="O1309" i="3"/>
  <c r="O1320" i="3"/>
  <c r="O1323" i="3"/>
  <c r="O1417" i="3"/>
  <c r="O1438" i="3"/>
  <c r="O1483" i="3"/>
  <c r="O1650" i="3"/>
  <c r="O1652" i="3"/>
  <c r="O1725" i="3"/>
  <c r="O1796" i="3"/>
  <c r="O1815" i="3"/>
  <c r="O1827" i="3"/>
  <c r="O1854" i="3"/>
  <c r="O1891" i="3"/>
  <c r="O1898" i="3"/>
  <c r="O1929" i="3"/>
  <c r="O2103" i="3"/>
  <c r="O2117" i="3"/>
  <c r="O2157" i="3"/>
  <c r="O2192" i="3"/>
  <c r="O2288" i="3"/>
  <c r="O2343" i="3"/>
  <c r="O2391" i="3"/>
  <c r="O2463" i="3"/>
  <c r="O2478" i="3"/>
  <c r="O2498" i="3"/>
  <c r="O2507" i="3"/>
  <c r="O2513" i="3"/>
  <c r="O2690" i="3"/>
  <c r="O2719" i="3"/>
  <c r="O2736" i="3"/>
  <c r="O2745" i="3"/>
  <c r="O2780" i="3"/>
  <c r="O2846" i="3"/>
  <c r="O3065" i="3"/>
  <c r="O3341" i="3"/>
  <c r="O3544" i="3"/>
  <c r="O3605" i="3"/>
  <c r="O3657" i="3"/>
  <c r="O3658" i="3"/>
  <c r="O3673" i="3"/>
  <c r="O3737" i="3"/>
  <c r="O3763" i="3"/>
  <c r="O3792" i="3"/>
  <c r="O3815" i="3"/>
  <c r="O3935" i="3"/>
  <c r="O3943" i="3"/>
  <c r="O4012" i="3"/>
  <c r="O4013" i="3"/>
  <c r="O4016" i="3"/>
  <c r="O4018" i="3"/>
  <c r="O4037" i="3"/>
  <c r="O4045" i="3"/>
  <c r="O4102" i="3"/>
  <c r="O4220" i="3"/>
  <c r="O4232" i="3"/>
  <c r="O4250" i="3"/>
  <c r="O4253" i="3"/>
  <c r="O4254" i="3"/>
  <c r="O4286" i="3"/>
  <c r="O4292" i="3"/>
  <c r="O4293" i="3"/>
  <c r="O4305" i="3"/>
  <c r="O4352" i="3"/>
  <c r="O4353" i="3"/>
  <c r="O4408" i="3"/>
  <c r="O4444" i="3"/>
  <c r="O4473" i="3"/>
  <c r="O4546" i="3"/>
  <c r="O4561" i="3"/>
  <c r="O4569" i="3"/>
  <c r="O4584" i="3"/>
  <c r="O4602" i="3"/>
  <c r="O4617" i="3"/>
  <c r="O4635" i="3"/>
  <c r="O4695" i="3"/>
  <c r="O4767" i="3"/>
  <c r="O4777" i="3"/>
  <c r="O4824" i="3"/>
  <c r="O34" i="3"/>
  <c r="O154" i="3"/>
  <c r="O197" i="3"/>
  <c r="O240" i="3"/>
  <c r="O268" i="3"/>
  <c r="O309" i="3"/>
  <c r="O538" i="3"/>
  <c r="O551" i="3"/>
  <c r="O567" i="3"/>
  <c r="O685" i="3"/>
  <c r="O760" i="3"/>
  <c r="O764" i="3"/>
  <c r="O770" i="3"/>
  <c r="O876" i="3"/>
  <c r="O988" i="3"/>
  <c r="O1005" i="3"/>
  <c r="O1017" i="3"/>
  <c r="O1025" i="3"/>
  <c r="O1055" i="3"/>
  <c r="O1061" i="3"/>
  <c r="O1193" i="3"/>
  <c r="O1206" i="3"/>
  <c r="O1216" i="3"/>
  <c r="O1217" i="3"/>
  <c r="O1291" i="3"/>
  <c r="O1294" i="3"/>
  <c r="O1371" i="3"/>
  <c r="O1401" i="3"/>
  <c r="O1402" i="3"/>
  <c r="O1467" i="3"/>
  <c r="O1472" i="3"/>
  <c r="O1482" i="3"/>
  <c r="O1488" i="3"/>
  <c r="O1496" i="3"/>
  <c r="O1505" i="3"/>
  <c r="O1541" i="3"/>
  <c r="O1562" i="3"/>
  <c r="O1596" i="3"/>
  <c r="O1709" i="3"/>
  <c r="O1715" i="3"/>
  <c r="O1728" i="3"/>
  <c r="O1743" i="3"/>
  <c r="O1776" i="3"/>
  <c r="O1811" i="3"/>
  <c r="O1882" i="3"/>
  <c r="O1892" i="3"/>
  <c r="O1894" i="3"/>
  <c r="O1896" i="3"/>
  <c r="O1938" i="3"/>
  <c r="O1965" i="3"/>
  <c r="O1975" i="3"/>
  <c r="O2001" i="3"/>
  <c r="O2055" i="3"/>
  <c r="O2081" i="3"/>
  <c r="O2153" i="3"/>
  <c r="O2158" i="3"/>
  <c r="O2175" i="3"/>
  <c r="O2183" i="3"/>
  <c r="O2187" i="3"/>
  <c r="O2219" i="3"/>
  <c r="O2345" i="3"/>
  <c r="O2349" i="3"/>
  <c r="O2389" i="3"/>
  <c r="O2409" i="3"/>
  <c r="O2440" i="3"/>
  <c r="O2446" i="3"/>
  <c r="O2469" i="3"/>
  <c r="O2471" i="3"/>
  <c r="O2500" i="3"/>
  <c r="O2583" i="3"/>
  <c r="O2623" i="3"/>
  <c r="O2649" i="3"/>
  <c r="O2672" i="3"/>
  <c r="O2684" i="3"/>
  <c r="O2700" i="3"/>
  <c r="O2709" i="3"/>
  <c r="O2848" i="3"/>
  <c r="O2853" i="3"/>
  <c r="O2995" i="3"/>
  <c r="O3029" i="3"/>
  <c r="O3069" i="3"/>
  <c r="O3100" i="3"/>
  <c r="O3199" i="3"/>
  <c r="O3249" i="3"/>
  <c r="O3258" i="3"/>
  <c r="O3270" i="3"/>
  <c r="O3300" i="3"/>
  <c r="O3395" i="3"/>
  <c r="O3445" i="3"/>
  <c r="O3525" i="3"/>
  <c r="O3636" i="3"/>
  <c r="O3697" i="3"/>
  <c r="O3714" i="3"/>
  <c r="O3764" i="3"/>
  <c r="O3819" i="3"/>
  <c r="O3843" i="3"/>
  <c r="O3850" i="3"/>
  <c r="O3853" i="3"/>
  <c r="O3855" i="3"/>
  <c r="O3864" i="3"/>
  <c r="O3883" i="3"/>
  <c r="O3885" i="3"/>
  <c r="O3964" i="3"/>
  <c r="O3975" i="3"/>
  <c r="O3995" i="3"/>
  <c r="O4026" i="3"/>
  <c r="O4035" i="3"/>
  <c r="O4127" i="3"/>
  <c r="O4164" i="3"/>
  <c r="O4182" i="3"/>
  <c r="O4230" i="3"/>
  <c r="O4365" i="3"/>
  <c r="O4413" i="3"/>
  <c r="O4503" i="3"/>
  <c r="O4599" i="3"/>
  <c r="O4608" i="3"/>
  <c r="O4650" i="3"/>
  <c r="O4662" i="3"/>
  <c r="O4827" i="3"/>
  <c r="O32" i="3"/>
  <c r="O35" i="3"/>
  <c r="O37" i="3"/>
  <c r="O88" i="3"/>
  <c r="O108" i="3"/>
  <c r="O122" i="3"/>
  <c r="O184" i="3"/>
  <c r="O211" i="3"/>
  <c r="O223" i="3"/>
  <c r="O272" i="3"/>
  <c r="O283" i="3"/>
  <c r="O287" i="3"/>
  <c r="O304" i="3"/>
  <c r="O329" i="3"/>
  <c r="O340" i="3"/>
  <c r="O354" i="3"/>
  <c r="O414" i="3"/>
  <c r="O425" i="3"/>
  <c r="O430" i="3"/>
  <c r="O460" i="3"/>
  <c r="O464" i="3"/>
  <c r="O469" i="3"/>
  <c r="O484" i="3"/>
  <c r="O575" i="3"/>
  <c r="O586" i="3"/>
  <c r="O598" i="3"/>
  <c r="O689" i="3"/>
  <c r="O729" i="3"/>
  <c r="O805" i="3"/>
  <c r="O874" i="3"/>
  <c r="O1078" i="3"/>
  <c r="O1080" i="3"/>
  <c r="O1081" i="3"/>
  <c r="O1092" i="3"/>
  <c r="O1102" i="3"/>
  <c r="O1103" i="3"/>
  <c r="O1115" i="3"/>
  <c r="O1176" i="3"/>
  <c r="O1308" i="3"/>
  <c r="O1339" i="3"/>
  <c r="O1340" i="3"/>
  <c r="O1352" i="3"/>
  <c r="O1374" i="3"/>
  <c r="O1386" i="3"/>
  <c r="O1404" i="3"/>
  <c r="O1414" i="3"/>
  <c r="O1432" i="3"/>
  <c r="O1464" i="3"/>
  <c r="O1476" i="3"/>
  <c r="O1497" i="3"/>
  <c r="O1503" i="3"/>
  <c r="O1525" i="3"/>
  <c r="O1567" i="3"/>
  <c r="O1612" i="3"/>
  <c r="O1623" i="3"/>
  <c r="O1653" i="3"/>
  <c r="O1687" i="3"/>
  <c r="O1699" i="3"/>
  <c r="O1716" i="3"/>
  <c r="O1720" i="3"/>
  <c r="O1747" i="3"/>
  <c r="O1756" i="3"/>
  <c r="O1808" i="3"/>
  <c r="O1817" i="3"/>
  <c r="O1855" i="3"/>
  <c r="O1918" i="3"/>
  <c r="O1940" i="3"/>
  <c r="O1944" i="3"/>
  <c r="O1952" i="3"/>
  <c r="O1955" i="3"/>
  <c r="O1957" i="3"/>
  <c r="O1993" i="3"/>
  <c r="O2036" i="3"/>
  <c r="O2053" i="3"/>
  <c r="O2058" i="3"/>
  <c r="O2070" i="3"/>
  <c r="O2080" i="3"/>
  <c r="O2083" i="3"/>
  <c r="O2134" i="3"/>
  <c r="O2147" i="3"/>
  <c r="O2246" i="3"/>
  <c r="O2279" i="3"/>
  <c r="O2309" i="3"/>
  <c r="O2352" i="3"/>
  <c r="O2395" i="3"/>
  <c r="O2435" i="3"/>
  <c r="O2464" i="3"/>
  <c r="O2479" i="3"/>
  <c r="O2516" i="3"/>
  <c r="O2550" i="3"/>
  <c r="O2646" i="3"/>
  <c r="O2652" i="3"/>
  <c r="O2668" i="3"/>
  <c r="O2734" i="3"/>
  <c r="O2763" i="3"/>
  <c r="O2778" i="3"/>
  <c r="O2817" i="3"/>
  <c r="O2822" i="3"/>
  <c r="O2865" i="3"/>
  <c r="O2911" i="3"/>
  <c r="O2938" i="3"/>
  <c r="O2963" i="3"/>
  <c r="O2985" i="3"/>
  <c r="O3004" i="3"/>
  <c r="O3007" i="3"/>
  <c r="O3131" i="3"/>
  <c r="O3160" i="3"/>
  <c r="O3164" i="3"/>
  <c r="O3173" i="3"/>
  <c r="O3227" i="3"/>
  <c r="O3262" i="3"/>
  <c r="O3301" i="3"/>
  <c r="O3304" i="3"/>
  <c r="O3332" i="3"/>
  <c r="O3365" i="3"/>
  <c r="O3388" i="3"/>
  <c r="O3426" i="3"/>
  <c r="O3513" i="3"/>
  <c r="O3532" i="3"/>
  <c r="O3583" i="3"/>
  <c r="O3585" i="3"/>
  <c r="O3595" i="3"/>
  <c r="O3662" i="3"/>
  <c r="O3683" i="3"/>
  <c r="O3712" i="3"/>
  <c r="O3719" i="3"/>
  <c r="O3839" i="3"/>
  <c r="O3971" i="3"/>
  <c r="O3994" i="3"/>
  <c r="O4046" i="3"/>
  <c r="O4055" i="3"/>
  <c r="O4058" i="3"/>
  <c r="O4060" i="3"/>
  <c r="O4072" i="3"/>
  <c r="O4082" i="3"/>
  <c r="O4086" i="3"/>
  <c r="O4101" i="3"/>
  <c r="O4109" i="3"/>
  <c r="O4118" i="3"/>
  <c r="O4161" i="3"/>
  <c r="O4201" i="3"/>
  <c r="O4214" i="3"/>
  <c r="O4216" i="3"/>
  <c r="O4225" i="3"/>
  <c r="O4234" i="3"/>
  <c r="O4249" i="3"/>
  <c r="O4263" i="3"/>
  <c r="O4283" i="3"/>
  <c r="O4290" i="3"/>
  <c r="O4327" i="3"/>
  <c r="O4371" i="3"/>
  <c r="O4442" i="3"/>
  <c r="O4445" i="3"/>
  <c r="O4460" i="3"/>
  <c r="O4464" i="3"/>
  <c r="O4481" i="3"/>
  <c r="O4499" i="3"/>
  <c r="O4500" i="3"/>
  <c r="O4532" i="3"/>
  <c r="O4536" i="3"/>
  <c r="O4542" i="3"/>
  <c r="O4549" i="3"/>
  <c r="O4582" i="3"/>
  <c r="O4589" i="3"/>
  <c r="O4601" i="3"/>
  <c r="O4610" i="3"/>
  <c r="O4627" i="3"/>
  <c r="O4649" i="3"/>
  <c r="O4655" i="3"/>
  <c r="O4673" i="3"/>
  <c r="O4704" i="3"/>
  <c r="O4719" i="3"/>
  <c r="O4773" i="3"/>
  <c r="O4783" i="3"/>
  <c r="O40" i="3"/>
  <c r="O49" i="3"/>
  <c r="O79" i="3"/>
  <c r="O85" i="3"/>
  <c r="O96" i="3"/>
  <c r="O210" i="3"/>
  <c r="O267" i="3"/>
  <c r="O306" i="3"/>
  <c r="O311" i="3"/>
  <c r="O322" i="3"/>
  <c r="O356" i="3"/>
  <c r="O381" i="3"/>
  <c r="O436" i="3"/>
  <c r="O471" i="3"/>
  <c r="O475" i="3"/>
  <c r="O481" i="3"/>
  <c r="O578" i="3"/>
  <c r="O596" i="3"/>
  <c r="O664" i="3"/>
  <c r="O668" i="3"/>
  <c r="O683" i="3"/>
  <c r="O714" i="3"/>
  <c r="O728" i="3"/>
  <c r="O734" i="3"/>
  <c r="O757" i="3"/>
  <c r="O822" i="3"/>
  <c r="O906" i="3"/>
  <c r="O979" i="3"/>
  <c r="O998" i="3"/>
  <c r="O1057" i="3"/>
  <c r="O1116" i="3"/>
  <c r="O1117" i="3"/>
  <c r="O1125" i="3"/>
  <c r="O1150" i="3"/>
  <c r="O1166" i="3"/>
  <c r="O1198" i="3"/>
  <c r="O1251" i="3"/>
  <c r="O1258" i="3"/>
  <c r="O1348" i="3"/>
  <c r="O1388" i="3"/>
  <c r="O1410" i="3"/>
  <c r="O1437" i="3"/>
  <c r="O1443" i="3"/>
  <c r="O1468" i="3"/>
  <c r="O1521" i="3"/>
  <c r="O1625" i="3"/>
  <c r="O1626" i="3"/>
  <c r="O1628" i="3"/>
  <c r="O1669" i="3"/>
  <c r="O1673" i="3"/>
  <c r="O1775" i="3"/>
  <c r="O1778" i="3"/>
  <c r="O1779" i="3"/>
  <c r="O1816" i="3"/>
  <c r="O1841" i="3"/>
  <c r="O1844" i="3"/>
  <c r="O1852" i="3"/>
  <c r="O1914" i="3"/>
  <c r="O1983" i="3"/>
  <c r="O1990" i="3"/>
  <c r="O1994" i="3"/>
  <c r="O2047" i="3"/>
  <c r="O2075" i="3"/>
  <c r="O2164" i="3"/>
  <c r="O2201" i="3"/>
  <c r="O2284" i="3"/>
  <c r="O2331" i="3"/>
  <c r="O2362" i="3"/>
  <c r="O2363" i="3"/>
  <c r="O2365" i="3"/>
  <c r="O2388" i="3"/>
  <c r="O2401" i="3"/>
  <c r="O2408" i="3"/>
  <c r="O2415" i="3"/>
  <c r="O2449" i="3"/>
  <c r="O2455" i="3"/>
  <c r="O2466" i="3"/>
  <c r="O2569" i="3"/>
  <c r="O2574" i="3"/>
  <c r="O2582" i="3"/>
  <c r="O2624" i="3"/>
  <c r="O2637" i="3"/>
  <c r="O2740" i="3"/>
  <c r="O2760" i="3"/>
  <c r="O2762" i="3"/>
  <c r="O2861" i="3"/>
  <c r="O2913" i="3"/>
  <c r="O2923" i="3"/>
  <c r="O2973" i="3"/>
  <c r="O3035" i="3"/>
  <c r="O3066" i="3"/>
  <c r="O3084" i="3"/>
  <c r="O3097" i="3"/>
  <c r="O3185" i="3"/>
  <c r="O3225" i="3"/>
  <c r="O3243" i="3"/>
  <c r="O3274" i="3"/>
  <c r="O3278" i="3"/>
  <c r="O3348" i="3"/>
  <c r="O3351" i="3"/>
  <c r="O3436" i="3"/>
  <c r="O3470" i="3"/>
  <c r="O3504" i="3"/>
  <c r="O3566" i="3"/>
  <c r="O3570" i="3"/>
  <c r="O3813" i="3"/>
  <c r="O3820" i="3"/>
  <c r="O3872" i="3"/>
  <c r="O3970" i="3"/>
  <c r="O4043" i="3"/>
  <c r="O4064" i="3"/>
  <c r="O4071" i="3"/>
  <c r="O4100" i="3"/>
  <c r="O4136" i="3"/>
  <c r="O4168" i="3"/>
  <c r="O4203" i="3"/>
  <c r="O4299" i="3"/>
  <c r="O4409" i="3"/>
  <c r="O4465" i="3"/>
  <c r="O4507" i="3"/>
  <c r="O4521" i="3"/>
  <c r="O4557" i="3"/>
  <c r="O4586" i="3"/>
  <c r="O4647" i="3"/>
  <c r="O4653" i="3"/>
  <c r="O4678" i="3"/>
  <c r="O4700" i="3"/>
  <c r="O4731" i="3"/>
  <c r="O4776" i="3"/>
  <c r="O4797" i="3"/>
  <c r="O9" i="3"/>
  <c r="O125" i="3"/>
  <c r="O140" i="3"/>
  <c r="O364" i="3"/>
  <c r="O413" i="3"/>
  <c r="O496" i="3"/>
  <c r="O769" i="3"/>
  <c r="O836" i="3"/>
  <c r="O852" i="3"/>
  <c r="O883" i="3"/>
  <c r="O977" i="3"/>
  <c r="O1090" i="3"/>
  <c r="O1164" i="3"/>
  <c r="O1173" i="3"/>
  <c r="O1201" i="3"/>
  <c r="O1289" i="3"/>
  <c r="O1326" i="3"/>
  <c r="O1366" i="3"/>
  <c r="O1385" i="3"/>
  <c r="O1588" i="3"/>
  <c r="O1619" i="3"/>
  <c r="O1634" i="3"/>
  <c r="O1686" i="3"/>
  <c r="O1760" i="3"/>
  <c r="O1770" i="3"/>
  <c r="O1836" i="3"/>
  <c r="O1840" i="3"/>
  <c r="O1930" i="3"/>
  <c r="O1941" i="3"/>
  <c r="O1982" i="3"/>
  <c r="O2020" i="3"/>
  <c r="O2078" i="3"/>
  <c r="O2131" i="3"/>
  <c r="O2213" i="3"/>
  <c r="O2512" i="3"/>
  <c r="O2519" i="3"/>
  <c r="O2533" i="3"/>
  <c r="O2541" i="3"/>
  <c r="O2559" i="3"/>
  <c r="O2669" i="3"/>
  <c r="O2844" i="3"/>
  <c r="O2862" i="3"/>
  <c r="O2882" i="3"/>
  <c r="O3050" i="3"/>
  <c r="O3116" i="3"/>
  <c r="O3178" i="3"/>
  <c r="O3255" i="3"/>
  <c r="O3339" i="3"/>
  <c r="O3377" i="3"/>
  <c r="O3383" i="3"/>
  <c r="O3410" i="3"/>
  <c r="O3468" i="3"/>
  <c r="O3499" i="3"/>
  <c r="O3520" i="3"/>
  <c r="O3624" i="3"/>
  <c r="O3656" i="3"/>
  <c r="O3672" i="3"/>
  <c r="O3703" i="3"/>
  <c r="O3860" i="3"/>
  <c r="O3957" i="3"/>
  <c r="O4005" i="3"/>
  <c r="O4040" i="3"/>
  <c r="O4047" i="3"/>
  <c r="O4063" i="3"/>
  <c r="O4084" i="3"/>
  <c r="O4112" i="3"/>
  <c r="O4121" i="3"/>
  <c r="O4281" i="3"/>
  <c r="O4291" i="3"/>
  <c r="O4310" i="3"/>
  <c r="O4354" i="3"/>
  <c r="O4489" i="3"/>
  <c r="O4556" i="3"/>
  <c r="O4571" i="3"/>
  <c r="O4576" i="3"/>
  <c r="O4715" i="3"/>
  <c r="O4743" i="3"/>
  <c r="O4752" i="3"/>
  <c r="O109" i="3"/>
  <c r="O161" i="3"/>
  <c r="O186" i="3"/>
  <c r="O435" i="3"/>
  <c r="O455" i="3"/>
  <c r="O457" i="3"/>
  <c r="O477" i="3"/>
  <c r="O503" i="3"/>
  <c r="O554" i="3"/>
  <c r="O603" i="3"/>
  <c r="O639" i="3"/>
  <c r="O665" i="3"/>
  <c r="O776" i="3"/>
  <c r="O958" i="3"/>
  <c r="O1062" i="3"/>
  <c r="O1136" i="3"/>
  <c r="O1252" i="3"/>
  <c r="O1263" i="3"/>
  <c r="O1269" i="3"/>
  <c r="O1396" i="3"/>
  <c r="O1474" i="3"/>
  <c r="O1585" i="3"/>
  <c r="O1621" i="3"/>
  <c r="O1676" i="3"/>
  <c r="O1693" i="3"/>
  <c r="O1702" i="3"/>
  <c r="O1711" i="3"/>
  <c r="O1798" i="3"/>
  <c r="O2178" i="3"/>
  <c r="O2237" i="3"/>
  <c r="O2314" i="3"/>
  <c r="O2339" i="3"/>
  <c r="O2372" i="3"/>
  <c r="O2439" i="3"/>
  <c r="O2567" i="3"/>
  <c r="O2629" i="3"/>
  <c r="O2702" i="3"/>
  <c r="O2770" i="3"/>
  <c r="O2790" i="3"/>
  <c r="O3000" i="3"/>
  <c r="O3018" i="3"/>
  <c r="O3024" i="3"/>
  <c r="O3090" i="3"/>
  <c r="O3172" i="3"/>
  <c r="O3375" i="3"/>
  <c r="O3447" i="3"/>
  <c r="O3505" i="3"/>
  <c r="O3628" i="3"/>
  <c r="O3715" i="3"/>
  <c r="O3728" i="3"/>
  <c r="O3735" i="3"/>
  <c r="O3790" i="3"/>
  <c r="O3907" i="3"/>
  <c r="O3952" i="3"/>
  <c r="O3998" i="3"/>
  <c r="O4074" i="3"/>
  <c r="O4200" i="3"/>
  <c r="O4227" i="3"/>
  <c r="O4244" i="3"/>
  <c r="O4297" i="3"/>
  <c r="O4314" i="3"/>
  <c r="O4322" i="3"/>
  <c r="O4331" i="3"/>
  <c r="O4418" i="3"/>
  <c r="O4505" i="3"/>
  <c r="O4564" i="3"/>
  <c r="O4568" i="3"/>
  <c r="O4711" i="3"/>
  <c r="O4753" i="3"/>
  <c r="O765" i="3"/>
  <c r="O1506" i="3"/>
  <c r="O2993" i="3"/>
  <c r="O3155" i="3"/>
  <c r="O4437" i="3"/>
  <c r="O20" i="3"/>
  <c r="O101" i="3"/>
  <c r="O160" i="3"/>
  <c r="O274" i="3"/>
  <c r="O359" i="3"/>
  <c r="O380" i="3"/>
  <c r="O440" i="3"/>
  <c r="O451" i="3"/>
  <c r="O559" i="3"/>
  <c r="O675" i="3"/>
  <c r="O870" i="3"/>
  <c r="O914" i="3"/>
  <c r="O948" i="3"/>
  <c r="O1089" i="3"/>
  <c r="O1142" i="3"/>
  <c r="O1213" i="3"/>
  <c r="O1215" i="3"/>
  <c r="O1297" i="3"/>
  <c r="O1361" i="3"/>
  <c r="O1370" i="3"/>
  <c r="O1399" i="3"/>
  <c r="O1456" i="3"/>
  <c r="O1563" i="3"/>
  <c r="O1586" i="3"/>
  <c r="O1661" i="3"/>
  <c r="O1679" i="3"/>
  <c r="O1684" i="3"/>
  <c r="O1758" i="3"/>
  <c r="O1831" i="3"/>
  <c r="O1866" i="3"/>
  <c r="O1873" i="3"/>
  <c r="O1879" i="3"/>
  <c r="O1885" i="3"/>
  <c r="O1889" i="3"/>
  <c r="O2060" i="3"/>
  <c r="O2090" i="3"/>
  <c r="O2151" i="3"/>
  <c r="O2200" i="3"/>
  <c r="O2285" i="3"/>
  <c r="O2676" i="3"/>
  <c r="O2715" i="3"/>
  <c r="O2732" i="3"/>
  <c r="O2786" i="3"/>
  <c r="O2802" i="3"/>
  <c r="O2872" i="3"/>
  <c r="O3037" i="3"/>
  <c r="O3177" i="3"/>
  <c r="O3234" i="3"/>
  <c r="O3290" i="3"/>
  <c r="O3293" i="3"/>
  <c r="O3420" i="3"/>
  <c r="O3429" i="3"/>
  <c r="O3434" i="3"/>
  <c r="O3685" i="3"/>
  <c r="O3709" i="3"/>
  <c r="O3744" i="3"/>
  <c r="O3838" i="3"/>
  <c r="O3876" i="3"/>
  <c r="O3881" i="3"/>
  <c r="O3896" i="3"/>
  <c r="O4050" i="3"/>
  <c r="O4097" i="3"/>
  <c r="O4163" i="3"/>
  <c r="O4175" i="3"/>
  <c r="O4273" i="3"/>
  <c r="O4307" i="3"/>
  <c r="O4404" i="3"/>
  <c r="O4423" i="3"/>
  <c r="O4432" i="3"/>
  <c r="O4493" i="3"/>
  <c r="O4559" i="3"/>
  <c r="O4588" i="3"/>
  <c r="O4692" i="3"/>
  <c r="O4724" i="3"/>
  <c r="O4730" i="3"/>
  <c r="O4732" i="3"/>
  <c r="O93" i="3"/>
  <c r="O100" i="3"/>
  <c r="O121" i="3"/>
  <c r="O127" i="3"/>
  <c r="O252" i="3"/>
  <c r="O316" i="3"/>
  <c r="O541" i="3"/>
  <c r="O611" i="3"/>
  <c r="O614" i="3"/>
  <c r="O656" i="3"/>
  <c r="O896" i="3"/>
  <c r="O907" i="3"/>
  <c r="O952" i="3"/>
  <c r="O989" i="3"/>
  <c r="O1066" i="3"/>
  <c r="O1069" i="3"/>
  <c r="O1111" i="3"/>
  <c r="O1155" i="3"/>
  <c r="O1207" i="3"/>
  <c r="O1296" i="3"/>
  <c r="O1343" i="3"/>
  <c r="O1347" i="3"/>
  <c r="O1357" i="3"/>
  <c r="O1405" i="3"/>
  <c r="O1424" i="3"/>
  <c r="O1524" i="3"/>
  <c r="O1578" i="3"/>
  <c r="O1593" i="3"/>
  <c r="O1610" i="3"/>
  <c r="O1777" i="3"/>
  <c r="O1782" i="3"/>
  <c r="O1794" i="3"/>
  <c r="O1875" i="3"/>
  <c r="O1900" i="3"/>
  <c r="O1969" i="3"/>
  <c r="O2008" i="3"/>
  <c r="O2022" i="3"/>
  <c r="O2087" i="3"/>
  <c r="O2154" i="3"/>
  <c r="O2245" i="3"/>
  <c r="O2289" i="3"/>
  <c r="O2367" i="3"/>
  <c r="O2462" i="3"/>
  <c r="O2497" i="3"/>
  <c r="O2549" i="3"/>
  <c r="O2595" i="3"/>
  <c r="O2598" i="3"/>
  <c r="O2617" i="3"/>
  <c r="O2682" i="3"/>
  <c r="O2771" i="3"/>
  <c r="O2775" i="3"/>
  <c r="O2801" i="3"/>
  <c r="O2981" i="3"/>
  <c r="O3101" i="3"/>
  <c r="O3107" i="3"/>
  <c r="O3129" i="3"/>
  <c r="O3139" i="3"/>
  <c r="O3141" i="3"/>
  <c r="O3209" i="3"/>
  <c r="O3245" i="3"/>
  <c r="O3296" i="3"/>
  <c r="O3623" i="3"/>
  <c r="O3706" i="3"/>
  <c r="O3780" i="3"/>
  <c r="O3856" i="3"/>
  <c r="O3953" i="3"/>
  <c r="O4025" i="3"/>
  <c r="O4070" i="3"/>
  <c r="O4162" i="3"/>
  <c r="O4179" i="3"/>
  <c r="O4236" i="3"/>
  <c r="O4272" i="3"/>
  <c r="O4412" i="3"/>
  <c r="O4475" i="3"/>
  <c r="O4501" i="3"/>
  <c r="O4541" i="3"/>
  <c r="O4574" i="3"/>
  <c r="O4702" i="3"/>
  <c r="O4750" i="3"/>
  <c r="O4800" i="3"/>
  <c r="O77" i="3"/>
  <c r="O97" i="3"/>
  <c r="O102" i="3"/>
  <c r="O128" i="3"/>
  <c r="O132" i="3"/>
  <c r="O134" i="3"/>
  <c r="O238" i="3"/>
  <c r="O271" i="3"/>
  <c r="O307" i="3"/>
  <c r="O326" i="3"/>
  <c r="O347" i="3"/>
  <c r="O399" i="3"/>
  <c r="O407" i="3"/>
  <c r="O438" i="3"/>
  <c r="O510" i="3"/>
  <c r="O519" i="3"/>
  <c r="O564" i="3"/>
  <c r="O616" i="3"/>
  <c r="O628" i="3"/>
  <c r="O818" i="3"/>
  <c r="O825" i="3"/>
  <c r="O827" i="3"/>
  <c r="O859" i="3"/>
  <c r="O968" i="3"/>
  <c r="O1023" i="3"/>
  <c r="O1098" i="3"/>
  <c r="O1127" i="3"/>
  <c r="O1146" i="3"/>
  <c r="O1154" i="3"/>
  <c r="O1210" i="3"/>
  <c r="O1220" i="3"/>
  <c r="O1231" i="3"/>
  <c r="O1234" i="3"/>
  <c r="O1284" i="3"/>
  <c r="O1395" i="3"/>
  <c r="O1431" i="3"/>
  <c r="O1451" i="3"/>
  <c r="O1538" i="3"/>
  <c r="O1594" i="3"/>
  <c r="O1605" i="3"/>
  <c r="O1641" i="3"/>
  <c r="O1654" i="3"/>
  <c r="O1657" i="3"/>
  <c r="O1659" i="3"/>
  <c r="O1674" i="3"/>
  <c r="O1680" i="3"/>
  <c r="O1734" i="3"/>
  <c r="O1781" i="3"/>
  <c r="O1799" i="3"/>
  <c r="O1812" i="3"/>
  <c r="O1835" i="3"/>
  <c r="O1871" i="3"/>
  <c r="O1897" i="3"/>
  <c r="O1976" i="3"/>
  <c r="O1978" i="3"/>
  <c r="O2002" i="3"/>
  <c r="O2045" i="3"/>
  <c r="O2106" i="3"/>
  <c r="O2140" i="3"/>
  <c r="O2203" i="3"/>
  <c r="O2218" i="3"/>
  <c r="O2232" i="3"/>
  <c r="O2264" i="3"/>
  <c r="O2269" i="3"/>
  <c r="O2305" i="3"/>
  <c r="O2338" i="3"/>
  <c r="O2364" i="3"/>
  <c r="O2383" i="3"/>
  <c r="O2501" i="3"/>
  <c r="O2520" i="3"/>
  <c r="O2600" i="3"/>
  <c r="O2630" i="3"/>
  <c r="O2635" i="3"/>
  <c r="O2741" i="3"/>
  <c r="O2807" i="3"/>
  <c r="O2884" i="3"/>
  <c r="O2907" i="3"/>
  <c r="O2914" i="3"/>
  <c r="O2975" i="3"/>
  <c r="O3042" i="3"/>
  <c r="O3114" i="3"/>
  <c r="O3130" i="3"/>
  <c r="O3144" i="3"/>
  <c r="O3171" i="3"/>
  <c r="O3184" i="3"/>
  <c r="O3190" i="3"/>
  <c r="O3218" i="3"/>
  <c r="O3231" i="3"/>
  <c r="O3239" i="3"/>
  <c r="O3276" i="3"/>
  <c r="O3345" i="3"/>
  <c r="O3361" i="3"/>
  <c r="O3401" i="3"/>
  <c r="O3411" i="3"/>
  <c r="O3500" i="3"/>
  <c r="O3546" i="3"/>
  <c r="O3562" i="3"/>
  <c r="O3572" i="3"/>
  <c r="O3612" i="3"/>
  <c r="O3627" i="3"/>
  <c r="O3632" i="3"/>
  <c r="O3721" i="3"/>
  <c r="O3731" i="3"/>
  <c r="O3746" i="3"/>
  <c r="O3754" i="3"/>
  <c r="O3774" i="3"/>
  <c r="O3877" i="3"/>
  <c r="O3879" i="3"/>
  <c r="O3949" i="3"/>
  <c r="O3989" i="3"/>
  <c r="O3990" i="3"/>
  <c r="O3992" i="3"/>
  <c r="O4001" i="3"/>
  <c r="O4002" i="3"/>
  <c r="O4014" i="3"/>
  <c r="O4029" i="3"/>
  <c r="O4048" i="3"/>
  <c r="O4173" i="3"/>
  <c r="O4185" i="3"/>
  <c r="O4350" i="3"/>
  <c r="O4359" i="3"/>
  <c r="O4362" i="3"/>
  <c r="O4367" i="3"/>
  <c r="O4399" i="3"/>
  <c r="O4400" i="3"/>
  <c r="O4424" i="3"/>
  <c r="O4438" i="3"/>
  <c r="O4446" i="3"/>
  <c r="O4467" i="3"/>
  <c r="O4474" i="3"/>
  <c r="O4480" i="3"/>
  <c r="O4483" i="3"/>
  <c r="O4485" i="3"/>
  <c r="O4487" i="3"/>
  <c r="O4504" i="3"/>
  <c r="O4509" i="3"/>
  <c r="O4512" i="3"/>
  <c r="O4515" i="3"/>
  <c r="O4523" i="3"/>
  <c r="O4533" i="3"/>
  <c r="O4535" i="3"/>
  <c r="O4552" i="3"/>
  <c r="O4592" i="3"/>
  <c r="O4594" i="3"/>
  <c r="O4644" i="3"/>
  <c r="O4654" i="3"/>
  <c r="O4657" i="3"/>
  <c r="O4768" i="3"/>
  <c r="O4818" i="3"/>
  <c r="O78" i="3"/>
  <c r="O242" i="3"/>
  <c r="O265" i="3"/>
  <c r="O277" i="3"/>
  <c r="O279" i="3"/>
  <c r="O292" i="3"/>
  <c r="O297" i="3"/>
  <c r="O363" i="3"/>
  <c r="O443" i="3"/>
  <c r="O445" i="3"/>
  <c r="O450" i="3"/>
  <c r="O468" i="3"/>
  <c r="O582" i="3"/>
  <c r="O597" i="3"/>
  <c r="O609" i="3"/>
  <c r="O631" i="3"/>
  <c r="O632" i="3"/>
  <c r="O642" i="3"/>
  <c r="O648" i="3"/>
  <c r="O709" i="3"/>
  <c r="O762" i="3"/>
  <c r="O782" i="3"/>
  <c r="O784" i="3"/>
  <c r="O833" i="3"/>
  <c r="O837" i="3"/>
  <c r="O844" i="3"/>
  <c r="O932" i="3"/>
  <c r="O937" i="3"/>
  <c r="O1007" i="3"/>
  <c r="O1030" i="3"/>
  <c r="O1035" i="3"/>
  <c r="O1043" i="3"/>
  <c r="O1077" i="3"/>
  <c r="O1088" i="3"/>
  <c r="O1175" i="3"/>
  <c r="O1202" i="3"/>
  <c r="O1254" i="3"/>
  <c r="O1266" i="3"/>
  <c r="O1282" i="3"/>
  <c r="O1412" i="3"/>
  <c r="O1427" i="3"/>
  <c r="O1439" i="3"/>
  <c r="O1457" i="3"/>
  <c r="O1462" i="3"/>
  <c r="O1477" i="3"/>
  <c r="O1500" i="3"/>
  <c r="O1518" i="3"/>
  <c r="O1520" i="3"/>
  <c r="O1531" i="3"/>
  <c r="O1550" i="3"/>
  <c r="O1560" i="3"/>
  <c r="O1635" i="3"/>
  <c r="O1681" i="3"/>
  <c r="O1695" i="3"/>
  <c r="O1730" i="3"/>
  <c r="O1772" i="3"/>
  <c r="O1802" i="3"/>
  <c r="O1807" i="3"/>
  <c r="O1821" i="3"/>
  <c r="O1851" i="3"/>
  <c r="O1856" i="3"/>
  <c r="O1857" i="3"/>
  <c r="O1872" i="3"/>
  <c r="O1876" i="3"/>
  <c r="O1899" i="3"/>
  <c r="O1924" i="3"/>
  <c r="O1953" i="3"/>
  <c r="O1995" i="3"/>
  <c r="O2004" i="3"/>
  <c r="O2039" i="3"/>
  <c r="O2062" i="3"/>
  <c r="O2066" i="3"/>
  <c r="O2088" i="3"/>
  <c r="O2115" i="3"/>
  <c r="O2130" i="3"/>
  <c r="O2190" i="3"/>
  <c r="O2199" i="3"/>
  <c r="O2235" i="3"/>
  <c r="O2241" i="3"/>
  <c r="O2253" i="3"/>
  <c r="O2322" i="3"/>
  <c r="O2327" i="3"/>
  <c r="O2334" i="3"/>
  <c r="O2337" i="3"/>
  <c r="O2348" i="3"/>
  <c r="O2374" i="3"/>
  <c r="O2402" i="3"/>
  <c r="O2456" i="3"/>
  <c r="O2557" i="3"/>
  <c r="O2570" i="3"/>
  <c r="O2599" i="3"/>
  <c r="O2706" i="3"/>
  <c r="O2714" i="3"/>
  <c r="O2833" i="3"/>
  <c r="O2845" i="3"/>
  <c r="O2852" i="3"/>
  <c r="O2944" i="3"/>
  <c r="O3001" i="3"/>
  <c r="O3030" i="3"/>
  <c r="O3046" i="3"/>
  <c r="O3053" i="3"/>
  <c r="O3098" i="3"/>
  <c r="O3194" i="3"/>
  <c r="O3205" i="3"/>
  <c r="O3206" i="3"/>
  <c r="O3253" i="3"/>
  <c r="O3264" i="3"/>
  <c r="O3291" i="3"/>
  <c r="O3316" i="3"/>
  <c r="O3328" i="3"/>
  <c r="O3334" i="3"/>
  <c r="O3343" i="3"/>
  <c r="O3373" i="3"/>
  <c r="O3396" i="3"/>
  <c r="O3418" i="3"/>
  <c r="O3458" i="3"/>
  <c r="O3483" i="3"/>
  <c r="O3496" i="3"/>
  <c r="O3515" i="3"/>
  <c r="O3540" i="3"/>
  <c r="O3690" i="3"/>
  <c r="O3705" i="3"/>
  <c r="O3707" i="3"/>
  <c r="O3734" i="3"/>
  <c r="O3743" i="3"/>
  <c r="O3771" i="3"/>
  <c r="O3777" i="3"/>
  <c r="O3844" i="3"/>
  <c r="O3875" i="3"/>
  <c r="O3891" i="3"/>
  <c r="O3945" i="3"/>
  <c r="O3974" i="3"/>
  <c r="O4020" i="3"/>
  <c r="O4036" i="3"/>
  <c r="O4078" i="3"/>
  <c r="O4110" i="3"/>
  <c r="O4155" i="3"/>
  <c r="O4174" i="3"/>
  <c r="O4240" i="3"/>
  <c r="O4256" i="3"/>
  <c r="O4257" i="3"/>
  <c r="O4267" i="3"/>
  <c r="O4285" i="3"/>
  <c r="O4296" i="3"/>
  <c r="O4349" i="3"/>
  <c r="O4368" i="3"/>
  <c r="O4373" i="3"/>
  <c r="O4382" i="3"/>
  <c r="O4394" i="3"/>
  <c r="O4491" i="3"/>
  <c r="O4519" i="3"/>
  <c r="O4522" i="3"/>
  <c r="O4550" i="3"/>
  <c r="O4575" i="3"/>
  <c r="O4581" i="3"/>
  <c r="O4676" i="3"/>
  <c r="O4694" i="3"/>
  <c r="O4734" i="3"/>
  <c r="O4816" i="3"/>
  <c r="O4821" i="3"/>
  <c r="O4823" i="3"/>
  <c r="O28" i="3"/>
  <c r="O46" i="3"/>
  <c r="O71" i="3"/>
  <c r="O80" i="3"/>
  <c r="O150" i="3"/>
  <c r="O194" i="3"/>
  <c r="O199" i="3"/>
  <c r="O245" i="3"/>
  <c r="O253" i="3"/>
  <c r="O256" i="3"/>
  <c r="O276" i="3"/>
  <c r="O313" i="3"/>
  <c r="O339" i="3"/>
  <c r="O355" i="3"/>
  <c r="O372" i="3"/>
  <c r="O376" i="3"/>
  <c r="O446" i="3"/>
  <c r="O452" i="3"/>
  <c r="O504" i="3"/>
  <c r="O539" i="3"/>
  <c r="O545" i="3"/>
  <c r="O561" i="3"/>
  <c r="O592" i="3"/>
  <c r="O602" i="3"/>
  <c r="O623" i="3"/>
  <c r="O684" i="3"/>
  <c r="O704" i="3"/>
  <c r="O713" i="3"/>
  <c r="O723" i="3"/>
  <c r="O790" i="3"/>
  <c r="O815" i="3"/>
  <c r="O850" i="3"/>
  <c r="O861" i="3"/>
  <c r="O939" i="3"/>
  <c r="O987" i="3"/>
  <c r="O1000" i="3"/>
  <c r="O1051" i="3"/>
  <c r="O1097" i="3"/>
  <c r="O1106" i="3"/>
  <c r="O1112" i="3"/>
  <c r="O1178" i="3"/>
  <c r="O1267" i="3"/>
  <c r="O1279" i="3"/>
  <c r="O1359" i="3"/>
  <c r="O1375" i="3"/>
  <c r="O1393" i="3"/>
  <c r="O1394" i="3"/>
  <c r="O1453" i="3"/>
  <c r="O1454" i="3"/>
  <c r="O1513" i="3"/>
  <c r="O1535" i="3"/>
  <c r="O1557" i="3"/>
  <c r="O1564" i="3"/>
  <c r="O1571" i="3"/>
  <c r="O1577" i="3"/>
  <c r="O1599" i="3"/>
  <c r="O1691" i="3"/>
  <c r="O1698" i="3"/>
  <c r="O1738" i="3"/>
  <c r="O1740" i="3"/>
  <c r="O1845" i="3"/>
  <c r="O1925" i="3"/>
  <c r="O1936" i="3"/>
  <c r="O1967" i="3"/>
  <c r="O2013" i="3"/>
  <c r="O2030" i="3"/>
  <c r="O2040" i="3"/>
  <c r="O2044" i="3"/>
  <c r="O2064" i="3"/>
  <c r="O2082" i="3"/>
  <c r="O2093" i="3"/>
  <c r="O2126" i="3"/>
  <c r="O2136" i="3"/>
  <c r="O2144" i="3"/>
  <c r="O2149" i="3"/>
  <c r="O2194" i="3"/>
  <c r="O2266" i="3"/>
  <c r="O2273" i="3"/>
  <c r="O2319" i="3"/>
  <c r="O2346" i="3"/>
  <c r="O2356" i="3"/>
  <c r="O2376" i="3"/>
  <c r="O2380" i="3"/>
  <c r="O2470" i="3"/>
  <c r="O2525" i="3"/>
  <c r="O2532" i="3"/>
  <c r="O2674" i="3"/>
  <c r="O2677" i="3"/>
  <c r="O2703" i="3"/>
  <c r="O2742" i="3"/>
  <c r="O2757" i="3"/>
  <c r="O2767" i="3"/>
  <c r="O2768" i="3"/>
  <c r="O2870" i="3"/>
  <c r="O2883" i="3"/>
  <c r="O2903" i="3"/>
  <c r="O2926" i="3"/>
  <c r="O2934" i="3"/>
  <c r="O3092" i="3"/>
  <c r="O3137" i="3"/>
  <c r="O3165" i="3"/>
  <c r="O3183" i="3"/>
  <c r="O3202" i="3"/>
  <c r="O3221" i="3"/>
  <c r="O3250" i="3"/>
  <c r="O3298" i="3"/>
  <c r="O3312" i="3"/>
  <c r="O3330" i="3"/>
  <c r="O3369" i="3"/>
  <c r="O3412" i="3"/>
  <c r="O3430" i="3"/>
  <c r="O3476" i="3"/>
  <c r="O3477" i="3"/>
  <c r="O3492" i="3"/>
  <c r="O3538" i="3"/>
  <c r="O3574" i="3"/>
  <c r="O3606" i="3"/>
  <c r="O3607" i="3"/>
  <c r="O3611" i="3"/>
  <c r="O3640" i="3"/>
  <c r="O3686" i="3"/>
  <c r="O3708" i="3"/>
  <c r="O3752" i="3"/>
  <c r="O3753" i="3"/>
  <c r="O3767" i="3"/>
  <c r="O3781" i="3"/>
  <c r="O3785" i="3"/>
  <c r="O3786" i="3"/>
  <c r="O3888" i="3"/>
  <c r="O3984" i="3"/>
  <c r="O4031" i="3"/>
  <c r="O4093" i="3"/>
  <c r="O4123" i="3"/>
  <c r="O4131" i="3"/>
  <c r="O4186" i="3"/>
  <c r="O4212" i="3"/>
  <c r="O4233" i="3"/>
  <c r="O4243" i="3"/>
  <c r="O4268" i="3"/>
  <c r="O4275" i="3"/>
  <c r="O4279" i="3"/>
  <c r="O4316" i="3"/>
  <c r="O4328" i="3"/>
  <c r="O4332" i="3"/>
  <c r="O4337" i="3"/>
  <c r="O4347" i="3"/>
  <c r="O4348" i="3"/>
  <c r="O4355" i="3"/>
  <c r="O4358" i="3"/>
  <c r="O4387" i="3"/>
  <c r="O4414" i="3"/>
  <c r="O4434" i="3"/>
  <c r="O4456" i="3"/>
  <c r="O4459" i="3"/>
  <c r="O4502" i="3"/>
  <c r="O4524" i="3"/>
  <c r="O4548" i="3"/>
  <c r="O4551" i="3"/>
  <c r="O4614" i="3"/>
  <c r="O4623" i="3"/>
  <c r="O4674" i="3"/>
  <c r="O4723" i="3"/>
  <c r="O4755" i="3"/>
  <c r="O4770" i="3"/>
  <c r="O4785" i="3"/>
  <c r="O39" i="3"/>
  <c r="O54" i="3"/>
  <c r="O59" i="3"/>
  <c r="O60" i="3"/>
  <c r="O63" i="3"/>
  <c r="O72" i="3"/>
  <c r="O83" i="3"/>
  <c r="O99" i="3"/>
  <c r="O106" i="3"/>
  <c r="O114" i="3"/>
  <c r="O163" i="3"/>
  <c r="O218" i="3"/>
  <c r="O234" i="3"/>
  <c r="O258" i="3"/>
  <c r="O266" i="3"/>
  <c r="O269" i="3"/>
  <c r="O270" i="3"/>
  <c r="O317" i="3"/>
  <c r="O348" i="3"/>
  <c r="O365" i="3"/>
  <c r="O369" i="3"/>
  <c r="O378" i="3"/>
  <c r="O379" i="3"/>
  <c r="O416" i="3"/>
  <c r="O422" i="3"/>
  <c r="O427" i="3"/>
  <c r="O434" i="3"/>
  <c r="O523" i="3"/>
  <c r="O546" i="3"/>
  <c r="O595" i="3"/>
  <c r="O641" i="3"/>
  <c r="O651" i="3"/>
  <c r="O670" i="3"/>
  <c r="O680" i="3"/>
  <c r="O699" i="3"/>
  <c r="O710" i="3"/>
  <c r="O716" i="3"/>
  <c r="O774" i="3"/>
  <c r="O808" i="3"/>
  <c r="O809" i="3"/>
  <c r="O820" i="3"/>
  <c r="O831" i="3"/>
  <c r="O835" i="3"/>
  <c r="O961" i="3"/>
  <c r="O997" i="3"/>
  <c r="O1032" i="3"/>
  <c r="O1047" i="3"/>
  <c r="O1065" i="3"/>
  <c r="O1161" i="3"/>
  <c r="O1182" i="3"/>
  <c r="O1278" i="3"/>
  <c r="O1356" i="3"/>
  <c r="O1380" i="3"/>
  <c r="O1430" i="3"/>
  <c r="O1536" i="3"/>
  <c r="O1581" i="3"/>
  <c r="O1608" i="3"/>
  <c r="O1627" i="3"/>
  <c r="O1690" i="3"/>
  <c r="O1703" i="3"/>
  <c r="O1704" i="3"/>
  <c r="O1735" i="3"/>
  <c r="O1788" i="3"/>
  <c r="O1789" i="3"/>
  <c r="O1792" i="3"/>
  <c r="O1804" i="3"/>
  <c r="O1850" i="3"/>
  <c r="O1860" i="3"/>
  <c r="O1901" i="3"/>
  <c r="O1932" i="3"/>
  <c r="O1949" i="3"/>
  <c r="O1964" i="3"/>
  <c r="O1981" i="3"/>
  <c r="O2005" i="3"/>
  <c r="O2014" i="3"/>
  <c r="O2021" i="3"/>
  <c r="O2059" i="3"/>
  <c r="O2076" i="3"/>
  <c r="O2079" i="3"/>
  <c r="O2084" i="3"/>
  <c r="O2086" i="3"/>
  <c r="O2143" i="3"/>
  <c r="O2214" i="3"/>
  <c r="O2243" i="3"/>
  <c r="O2272" i="3"/>
  <c r="O2277" i="3"/>
  <c r="O2286" i="3"/>
  <c r="O2342" i="3"/>
  <c r="O2351" i="3"/>
  <c r="O2359" i="3"/>
  <c r="O2361" i="3"/>
  <c r="O2382" i="3"/>
  <c r="O2411" i="3"/>
  <c r="O2421" i="3"/>
  <c r="O2429" i="3"/>
  <c r="O2475" i="3"/>
  <c r="O2508" i="3"/>
  <c r="O2542" i="3"/>
  <c r="O2566" i="3"/>
  <c r="O2579" i="3"/>
  <c r="O2601" i="3"/>
  <c r="O2627" i="3"/>
  <c r="O2632" i="3"/>
  <c r="O2639" i="3"/>
  <c r="O2746" i="3"/>
  <c r="O2924" i="3"/>
  <c r="O2925" i="3"/>
  <c r="O2929" i="3"/>
  <c r="O2957" i="3"/>
  <c r="O2958" i="3"/>
  <c r="O2966" i="3"/>
  <c r="O3010" i="3"/>
  <c r="O3052" i="3"/>
  <c r="O3088" i="3"/>
  <c r="O3143" i="3"/>
  <c r="O3146" i="3"/>
  <c r="O3148" i="3"/>
  <c r="O3151" i="3"/>
  <c r="O3152" i="3"/>
  <c r="O3153" i="3"/>
  <c r="O3176" i="3"/>
  <c r="O3216" i="3"/>
  <c r="O3230" i="3"/>
  <c r="O3279" i="3"/>
  <c r="O3302" i="3"/>
  <c r="O3352" i="3"/>
  <c r="O3454" i="3"/>
  <c r="O3486" i="3"/>
  <c r="O3488" i="3"/>
  <c r="O3495" i="3"/>
  <c r="O3509" i="3"/>
  <c r="O3537" i="3"/>
  <c r="O3594" i="3"/>
  <c r="O3626" i="3"/>
  <c r="O3772" i="3"/>
  <c r="O3782" i="3"/>
  <c r="O3805" i="3"/>
  <c r="O3818" i="3"/>
  <c r="O3886" i="3"/>
  <c r="O3898" i="3"/>
  <c r="O3960" i="3"/>
  <c r="O4009" i="3"/>
  <c r="O4024" i="3"/>
  <c r="O4068" i="3"/>
  <c r="O4069" i="3"/>
  <c r="O4073" i="3"/>
  <c r="O4079" i="3"/>
  <c r="O4081" i="3"/>
  <c r="O4094" i="3"/>
  <c r="O4115" i="3"/>
  <c r="O4122" i="3"/>
  <c r="O4156" i="3"/>
  <c r="O4218" i="3"/>
  <c r="O4261" i="3"/>
  <c r="O4269" i="3"/>
  <c r="O4270" i="3"/>
  <c r="O4280" i="3"/>
  <c r="O4288" i="3"/>
  <c r="O4341" i="3"/>
  <c r="O4441" i="3"/>
  <c r="O4543" i="3"/>
  <c r="O4555" i="3"/>
  <c r="O4577" i="3"/>
  <c r="O4604" i="3"/>
  <c r="O4754" i="3"/>
  <c r="O4788" i="3"/>
  <c r="O4799" i="3"/>
  <c r="O4803" i="3"/>
  <c r="O4828" i="3"/>
  <c r="O4829" i="3"/>
  <c r="O23" i="3"/>
  <c r="O130" i="3"/>
  <c r="O232" i="3"/>
  <c r="O249" i="3"/>
  <c r="O325" i="3"/>
  <c r="O334" i="3"/>
  <c r="O362" i="3"/>
  <c r="O385" i="3"/>
  <c r="O552" i="3"/>
  <c r="O669" i="3"/>
  <c r="O687" i="3"/>
  <c r="O785" i="3"/>
  <c r="O828" i="3"/>
  <c r="O845" i="3"/>
  <c r="O916" i="3"/>
  <c r="O949" i="3"/>
  <c r="O959" i="3"/>
  <c r="O984" i="3"/>
  <c r="O1009" i="3"/>
  <c r="O1013" i="3"/>
  <c r="O1034" i="3"/>
  <c r="O1068" i="3"/>
  <c r="O1288" i="3"/>
  <c r="O1316" i="3"/>
  <c r="O1514" i="3"/>
  <c r="O1526" i="3"/>
  <c r="O1590" i="3"/>
  <c r="O1668" i="3"/>
  <c r="O1688" i="3"/>
  <c r="O1752" i="3"/>
  <c r="O1853" i="3"/>
  <c r="O1867" i="3"/>
  <c r="O1874" i="3"/>
  <c r="O1910" i="3"/>
  <c r="O2148" i="3"/>
  <c r="O2169" i="3"/>
  <c r="O2185" i="3"/>
  <c r="O2495" i="3"/>
  <c r="O2531" i="3"/>
  <c r="O2576" i="3"/>
  <c r="O2724" i="3"/>
  <c r="O2754" i="3"/>
  <c r="O2766" i="3"/>
  <c r="O2847" i="3"/>
  <c r="O2953" i="3"/>
  <c r="O2969" i="3"/>
  <c r="O2971" i="3"/>
  <c r="O3009" i="3"/>
  <c r="O3203" i="3"/>
  <c r="O3228" i="3"/>
  <c r="O3256" i="3"/>
  <c r="O3335" i="3"/>
  <c r="O3592" i="3"/>
  <c r="O3899" i="3"/>
  <c r="O3918" i="3"/>
  <c r="O3948" i="3"/>
  <c r="O3991" i="3"/>
  <c r="O4004" i="3"/>
  <c r="O4017" i="3"/>
  <c r="O4067" i="3"/>
  <c r="O4120" i="3"/>
  <c r="O4129" i="3"/>
  <c r="O4190" i="3"/>
  <c r="O4238" i="3"/>
  <c r="O4304" i="3"/>
  <c r="O4324" i="3"/>
  <c r="O4326" i="3"/>
  <c r="O4345" i="3"/>
  <c r="O4357" i="3"/>
  <c r="O4396" i="3"/>
  <c r="O4402" i="3"/>
  <c r="O4405" i="3"/>
  <c r="O4452" i="3"/>
  <c r="O4510" i="3"/>
  <c r="O4538" i="3"/>
  <c r="O4652" i="3"/>
  <c r="O4718" i="3"/>
  <c r="O4746" i="3"/>
  <c r="O4812" i="3"/>
  <c r="O19" i="3"/>
  <c r="O69" i="3"/>
  <c r="O74" i="3"/>
  <c r="O139" i="3"/>
  <c r="O392" i="3"/>
  <c r="O479" i="3"/>
  <c r="O605" i="3"/>
  <c r="O703" i="3"/>
  <c r="O855" i="3"/>
  <c r="O912" i="3"/>
  <c r="O1095" i="3"/>
  <c r="O1240" i="3"/>
  <c r="O1244" i="3"/>
  <c r="O1337" i="3"/>
  <c r="O1398" i="3"/>
  <c r="O1465" i="3"/>
  <c r="O1490" i="3"/>
  <c r="O1528" i="3"/>
  <c r="O1554" i="3"/>
  <c r="O1712" i="3"/>
  <c r="O1724" i="3"/>
  <c r="O2057" i="3"/>
  <c r="O2077" i="3"/>
  <c r="O2097" i="3"/>
  <c r="O2118" i="3"/>
  <c r="O2125" i="3"/>
  <c r="O2204" i="3"/>
  <c r="O2224" i="3"/>
  <c r="O2257" i="3"/>
  <c r="O2313" i="3"/>
  <c r="O2436" i="3"/>
  <c r="O2804" i="3"/>
  <c r="O2835" i="3"/>
  <c r="O2875" i="3"/>
  <c r="O2917" i="3"/>
  <c r="O2932" i="3"/>
  <c r="O2939" i="3"/>
  <c r="O3011" i="3"/>
  <c r="O3091" i="3"/>
  <c r="O3386" i="3"/>
  <c r="O3534" i="3"/>
  <c r="O3553" i="3"/>
  <c r="O3637" i="3"/>
  <c r="O3639" i="3"/>
  <c r="O3642" i="3"/>
  <c r="O3646" i="3"/>
  <c r="O3741" i="3"/>
  <c r="O3826" i="3"/>
  <c r="O3835" i="3"/>
  <c r="O3884" i="3"/>
  <c r="O3996" i="3"/>
  <c r="O4011" i="3"/>
  <c r="O4076" i="3"/>
  <c r="O4132" i="3"/>
  <c r="O4139" i="3"/>
  <c r="O4180" i="3"/>
  <c r="O4274" i="3"/>
  <c r="O4315" i="3"/>
  <c r="O4370" i="3"/>
  <c r="O4384" i="3"/>
  <c r="O4426" i="3"/>
  <c r="O4462" i="3"/>
  <c r="O4508" i="3"/>
  <c r="O4518" i="3"/>
  <c r="O4530" i="3"/>
  <c r="O4534" i="3"/>
  <c r="O4597" i="3"/>
  <c r="O4659" i="3"/>
  <c r="O4665" i="3"/>
  <c r="O4728" i="3"/>
  <c r="O18" i="3"/>
  <c r="O36" i="3"/>
  <c r="O89" i="3"/>
  <c r="O138" i="3"/>
  <c r="O173" i="3"/>
  <c r="O303" i="3"/>
  <c r="O368" i="3"/>
  <c r="O398" i="3"/>
  <c r="O453" i="3"/>
  <c r="O483" i="3"/>
  <c r="O589" i="3"/>
  <c r="O686" i="3"/>
  <c r="O697" i="3"/>
  <c r="O741" i="3"/>
  <c r="O848" i="3"/>
  <c r="O858" i="3"/>
  <c r="O890" i="3"/>
  <c r="O1129" i="3"/>
  <c r="O1214" i="3"/>
  <c r="O1329" i="3"/>
  <c r="O1387" i="3"/>
  <c r="O1416" i="3"/>
  <c r="O1507" i="3"/>
  <c r="O1547" i="3"/>
  <c r="O1592" i="3"/>
  <c r="O1667" i="3"/>
  <c r="O1739" i="3"/>
  <c r="O1793" i="3"/>
  <c r="O1843" i="3"/>
  <c r="O1884" i="3"/>
  <c r="O1934" i="3"/>
  <c r="O2128" i="3"/>
  <c r="O2182" i="3"/>
  <c r="O2195" i="3"/>
  <c r="O2209" i="3"/>
  <c r="O2330" i="3"/>
  <c r="O2387" i="3"/>
  <c r="O2390" i="3"/>
  <c r="O2468" i="3"/>
  <c r="O2483" i="3"/>
  <c r="O2543" i="3"/>
  <c r="O2568" i="3"/>
  <c r="O2589" i="3"/>
  <c r="O2781" i="3"/>
  <c r="O2788" i="3"/>
  <c r="O2842" i="3"/>
  <c r="O2892" i="3"/>
  <c r="O2915" i="3"/>
  <c r="O2943" i="3"/>
  <c r="O3014" i="3"/>
  <c r="O3191" i="3"/>
  <c r="O3295" i="3"/>
  <c r="O3311" i="3"/>
  <c r="O3382" i="3"/>
  <c r="O3519" i="3"/>
  <c r="O3635" i="3"/>
  <c r="O3696" i="3"/>
  <c r="O3799" i="3"/>
  <c r="O3816" i="3"/>
  <c r="O3832" i="3"/>
  <c r="O3846" i="3"/>
  <c r="O3854" i="3"/>
  <c r="O3892" i="3"/>
  <c r="O3933" i="3"/>
  <c r="O3955" i="3"/>
  <c r="O4057" i="3"/>
  <c r="O4151" i="3"/>
  <c r="O4171" i="3"/>
  <c r="O4221" i="3"/>
  <c r="O4226" i="3"/>
  <c r="O4318" i="3"/>
  <c r="O4492" i="3"/>
  <c r="O4583" i="3"/>
  <c r="O4618" i="3"/>
  <c r="O4807" i="3"/>
  <c r="O4822" i="3"/>
  <c r="O8" i="3"/>
  <c r="O47" i="3"/>
  <c r="O98" i="3"/>
  <c r="O187" i="3"/>
  <c r="O205" i="3"/>
  <c r="O263" i="3"/>
  <c r="O332" i="3"/>
  <c r="O417" i="3"/>
  <c r="O444" i="3"/>
  <c r="O489" i="3"/>
  <c r="O506" i="3"/>
  <c r="O548" i="3"/>
  <c r="O640" i="3"/>
  <c r="O694" i="3"/>
  <c r="O706" i="3"/>
  <c r="O718" i="3"/>
  <c r="O738" i="3"/>
  <c r="O875" i="3"/>
  <c r="O901" i="3"/>
  <c r="O1040" i="3"/>
  <c r="O1070" i="3"/>
  <c r="O1096" i="3"/>
  <c r="O1121" i="3"/>
  <c r="O1179" i="3"/>
  <c r="O1317" i="3"/>
  <c r="O1322" i="3"/>
  <c r="O1353" i="3"/>
  <c r="O1383" i="3"/>
  <c r="O1540" i="3"/>
  <c r="O1565" i="3"/>
  <c r="O1582" i="3"/>
  <c r="O1603" i="3"/>
  <c r="O1646" i="3"/>
  <c r="O1785" i="3"/>
  <c r="O1786" i="3"/>
  <c r="O1806" i="3"/>
  <c r="O1823" i="3"/>
  <c r="O1883" i="3"/>
  <c r="O1903" i="3"/>
  <c r="O2023" i="3"/>
  <c r="O2085" i="3"/>
  <c r="O2172" i="3"/>
  <c r="O2207" i="3"/>
  <c r="O2215" i="3"/>
  <c r="O2270" i="3"/>
  <c r="O2333" i="3"/>
  <c r="O2404" i="3"/>
  <c r="O2526" i="3"/>
  <c r="O2528" i="3"/>
  <c r="O2530" i="3"/>
  <c r="O2561" i="3"/>
  <c r="O2634" i="3"/>
  <c r="O2659" i="3"/>
  <c r="O2665" i="3"/>
  <c r="O2670" i="3"/>
  <c r="O2728" i="3"/>
  <c r="O2735" i="3"/>
  <c r="O2743" i="3"/>
  <c r="O2783" i="3"/>
  <c r="O2843" i="3"/>
  <c r="O2904" i="3"/>
  <c r="O2949" i="3"/>
  <c r="O2978" i="3"/>
  <c r="O3033" i="3"/>
  <c r="O3067" i="3"/>
  <c r="O3120" i="3"/>
  <c r="O3186" i="3"/>
  <c r="O3197" i="3"/>
  <c r="O3259" i="3"/>
  <c r="O3266" i="3"/>
  <c r="O3350" i="3"/>
  <c r="O3379" i="3"/>
  <c r="O3417" i="3"/>
  <c r="O3508" i="3"/>
  <c r="O3547" i="3"/>
  <c r="O3700" i="3"/>
  <c r="O3722" i="3"/>
  <c r="O3759" i="3"/>
  <c r="O3791" i="3"/>
  <c r="O3828" i="3"/>
  <c r="O3967" i="3"/>
  <c r="O4006" i="3"/>
  <c r="O4066" i="3"/>
  <c r="O4090" i="3"/>
  <c r="O4099" i="3"/>
  <c r="O4199" i="3"/>
  <c r="O4323" i="3"/>
  <c r="O4336" i="3"/>
  <c r="O4343" i="3"/>
  <c r="O4369" i="3"/>
  <c r="O4386" i="3"/>
  <c r="O4527" i="3"/>
  <c r="O4664" i="3"/>
  <c r="O4703" i="3"/>
  <c r="O4706" i="3"/>
  <c r="O4710" i="3"/>
  <c r="O4721" i="3"/>
  <c r="O117" i="3"/>
  <c r="O191" i="3"/>
  <c r="O318" i="3"/>
  <c r="O335" i="3"/>
  <c r="O437" i="3"/>
  <c r="O478" i="3"/>
  <c r="O553" i="3"/>
  <c r="O562" i="3"/>
  <c r="O624" i="3"/>
  <c r="O725" i="3"/>
  <c r="O763" i="3"/>
  <c r="O806" i="3"/>
  <c r="O841" i="3"/>
  <c r="O917" i="3"/>
  <c r="O986" i="3"/>
  <c r="O1086" i="3"/>
  <c r="O1204" i="3"/>
  <c r="O1211" i="3"/>
  <c r="O1241" i="3"/>
  <c r="O1281" i="3"/>
  <c r="O1461" i="3"/>
  <c r="O1473" i="3"/>
  <c r="O1516" i="3"/>
  <c r="O1523" i="3"/>
  <c r="O1723" i="3"/>
  <c r="O1765" i="3"/>
  <c r="O1809" i="3"/>
  <c r="O1881" i="3"/>
  <c r="O1919" i="3"/>
  <c r="O1972" i="3"/>
  <c r="O1987" i="3"/>
  <c r="O2049" i="3"/>
  <c r="O2174" i="3"/>
  <c r="O2208" i="3"/>
  <c r="O2373" i="3"/>
  <c r="O2398" i="3"/>
  <c r="O2491" i="3"/>
  <c r="O2535" i="3"/>
  <c r="O2536" i="3"/>
  <c r="O2681" i="3"/>
  <c r="O2733" i="3"/>
  <c r="O2752" i="3"/>
  <c r="O2812" i="3"/>
  <c r="O3002" i="3"/>
  <c r="O3022" i="3"/>
  <c r="O3077" i="3"/>
  <c r="O3079" i="3"/>
  <c r="O3109" i="3"/>
  <c r="O3149" i="3"/>
  <c r="O3419" i="3"/>
  <c r="O3527" i="3"/>
  <c r="O3536" i="3"/>
  <c r="O3573" i="3"/>
  <c r="O3622" i="3"/>
  <c r="O3701" i="3"/>
  <c r="O3717" i="3"/>
  <c r="O3727" i="3"/>
  <c r="O3788" i="3"/>
  <c r="O3830" i="3"/>
  <c r="O3863" i="3"/>
  <c r="O3902" i="3"/>
  <c r="O3911" i="3"/>
  <c r="O3940" i="3"/>
  <c r="O4054" i="3"/>
  <c r="O4144" i="3"/>
  <c r="O4147" i="3"/>
  <c r="O4189" i="3"/>
  <c r="O4228" i="3"/>
  <c r="O4265" i="3"/>
  <c r="O4300" i="3"/>
  <c r="O4306" i="3"/>
  <c r="O4312" i="3"/>
  <c r="O4317" i="3"/>
  <c r="O4330" i="3"/>
  <c r="O4372" i="3"/>
  <c r="O4381" i="3"/>
  <c r="O4469" i="3"/>
  <c r="O4478" i="3"/>
  <c r="O4603" i="3"/>
  <c r="O4605" i="3"/>
  <c r="O4656" i="3"/>
  <c r="O131" i="3"/>
  <c r="O411" i="3"/>
  <c r="O759" i="3"/>
  <c r="O1392" i="3"/>
  <c r="O1499" i="3"/>
  <c r="O1863" i="3"/>
  <c r="O2255" i="3"/>
  <c r="O2262" i="3"/>
  <c r="O2755" i="3"/>
  <c r="O2878" i="3"/>
  <c r="O3157" i="3"/>
  <c r="O3581" i="3"/>
  <c r="O3787" i="3"/>
  <c r="O3897" i="3"/>
  <c r="O3932" i="3"/>
  <c r="O4219" i="3"/>
  <c r="O4301" i="3"/>
  <c r="O4477" i="3"/>
  <c r="O4539" i="3"/>
  <c r="O4831" i="3"/>
  <c r="S16" i="3"/>
  <c r="T16" i="3" s="1"/>
  <c r="S43" i="3"/>
  <c r="T43" i="3" s="1"/>
  <c r="S56" i="3"/>
  <c r="T56" i="3" s="1"/>
  <c r="S129" i="3"/>
  <c r="T129" i="3" s="1"/>
  <c r="S174" i="3"/>
  <c r="T174" i="3" s="1"/>
  <c r="S183" i="3"/>
  <c r="T183" i="3" s="1"/>
  <c r="S202" i="3"/>
  <c r="T202" i="3" s="1"/>
  <c r="S207" i="3"/>
  <c r="T207" i="3" s="1"/>
  <c r="S215" i="3"/>
  <c r="T215" i="3" s="1"/>
  <c r="S237" i="3"/>
  <c r="T237" i="3" s="1"/>
  <c r="S250" i="3"/>
  <c r="T250" i="3" s="1"/>
  <c r="S278" i="3"/>
  <c r="T278" i="3" s="1"/>
  <c r="S285" i="3"/>
  <c r="T285" i="3" s="1"/>
  <c r="S337" i="3"/>
  <c r="T337" i="3" s="1"/>
  <c r="S343" i="3"/>
  <c r="T343" i="3" s="1"/>
  <c r="S358" i="3"/>
  <c r="T358" i="3" s="1"/>
  <c r="S389" i="3"/>
  <c r="T389" i="3" s="1"/>
  <c r="S409" i="3"/>
  <c r="T409" i="3" s="1"/>
  <c r="S491" i="3"/>
  <c r="T491" i="3" s="1"/>
  <c r="S494" i="3"/>
  <c r="T494" i="3" s="1"/>
  <c r="S500" i="3"/>
  <c r="T500" i="3" s="1"/>
  <c r="S529" i="3"/>
  <c r="T529" i="3" s="1"/>
  <c r="S531" i="3"/>
  <c r="T531" i="3" s="1"/>
  <c r="S581" i="3"/>
  <c r="T581" i="3" s="1"/>
  <c r="S593" i="3"/>
  <c r="T593" i="3" s="1"/>
  <c r="S772" i="3"/>
  <c r="T772" i="3" s="1"/>
  <c r="S794" i="3"/>
  <c r="T794" i="3" s="1"/>
  <c r="S797" i="3"/>
  <c r="T797" i="3" s="1"/>
  <c r="S803" i="3"/>
  <c r="T803" i="3" s="1"/>
  <c r="S807" i="3"/>
  <c r="T807" i="3" s="1"/>
  <c r="S821" i="3"/>
  <c r="T821" i="3" s="1"/>
  <c r="S854" i="3"/>
  <c r="T854" i="3" s="1"/>
  <c r="S877" i="3"/>
  <c r="T877" i="3" s="1"/>
  <c r="S892" i="3"/>
  <c r="T892" i="3" s="1"/>
  <c r="S905" i="3"/>
  <c r="T905" i="3" s="1"/>
  <c r="S910" i="3"/>
  <c r="T910" i="3" s="1"/>
  <c r="S920" i="3"/>
  <c r="T920" i="3" s="1"/>
  <c r="S927" i="3"/>
  <c r="T927" i="3" s="1"/>
  <c r="S928" i="3"/>
  <c r="T928" i="3" s="1"/>
  <c r="S941" i="3"/>
  <c r="T941" i="3" s="1"/>
  <c r="S992" i="3"/>
  <c r="T992" i="3" s="1"/>
  <c r="S1010" i="3"/>
  <c r="T1010" i="3" s="1"/>
  <c r="S1052" i="3"/>
  <c r="T1052" i="3" s="1"/>
  <c r="S1053" i="3"/>
  <c r="T1053" i="3" s="1"/>
  <c r="S1093" i="3"/>
  <c r="T1093" i="3" s="1"/>
  <c r="S1101" i="3"/>
  <c r="T1101" i="3" s="1"/>
  <c r="S1128" i="3"/>
  <c r="T1128" i="3" s="1"/>
  <c r="S1135" i="3"/>
  <c r="T1135" i="3" s="1"/>
  <c r="S1245" i="3"/>
  <c r="T1245" i="3" s="1"/>
  <c r="S1301" i="3"/>
  <c r="T1301" i="3" s="1"/>
  <c r="S1324" i="3"/>
  <c r="T1324" i="3" s="1"/>
  <c r="S1349" i="3"/>
  <c r="T1349" i="3" s="1"/>
  <c r="S1362" i="3"/>
  <c r="T1362" i="3" s="1"/>
  <c r="S1411" i="3"/>
  <c r="T1411" i="3" s="1"/>
  <c r="S1425" i="3"/>
  <c r="T1425" i="3" s="1"/>
  <c r="S1426" i="3"/>
  <c r="T1426" i="3" s="1"/>
  <c r="S1433" i="3"/>
  <c r="T1433" i="3" s="1"/>
  <c r="S1444" i="3"/>
  <c r="T1444" i="3" s="1"/>
  <c r="S1556" i="3"/>
  <c r="T1556" i="3" s="1"/>
  <c r="S1569" i="3"/>
  <c r="T1569" i="3" s="1"/>
  <c r="S1629" i="3"/>
  <c r="T1629" i="3" s="1"/>
  <c r="S1639" i="3"/>
  <c r="T1639" i="3" s="1"/>
  <c r="S1664" i="3"/>
  <c r="T1664" i="3" s="1"/>
  <c r="S1713" i="3"/>
  <c r="T1713" i="3" s="1"/>
  <c r="S1748" i="3"/>
  <c r="T1748" i="3" s="1"/>
  <c r="S1774" i="3"/>
  <c r="T1774" i="3" s="1"/>
  <c r="S1784" i="3"/>
  <c r="T1784" i="3" s="1"/>
  <c r="S1813" i="3"/>
  <c r="T1813" i="3" s="1"/>
  <c r="S1820" i="3"/>
  <c r="T1820" i="3" s="1"/>
  <c r="S1838" i="3"/>
  <c r="T1838" i="3" s="1"/>
  <c r="S1963" i="3"/>
  <c r="T1963" i="3" s="1"/>
  <c r="S1973" i="3"/>
  <c r="T1973" i="3" s="1"/>
  <c r="S2000" i="3"/>
  <c r="T2000" i="3" s="1"/>
  <c r="S2054" i="3"/>
  <c r="T2054" i="3" s="1"/>
  <c r="S2068" i="3"/>
  <c r="T2068" i="3" s="1"/>
  <c r="S2101" i="3"/>
  <c r="T2101" i="3" s="1"/>
  <c r="S2122" i="3"/>
  <c r="T2122" i="3" s="1"/>
  <c r="S2160" i="3"/>
  <c r="T2160" i="3" s="1"/>
  <c r="S2233" i="3"/>
  <c r="T2233" i="3" s="1"/>
  <c r="S2234" i="3"/>
  <c r="T2234" i="3" s="1"/>
  <c r="S2298" i="3"/>
  <c r="T2298" i="3" s="1"/>
  <c r="S2332" i="3"/>
  <c r="T2332" i="3" s="1"/>
  <c r="S2427" i="3"/>
  <c r="T2427" i="3" s="1"/>
  <c r="S2565" i="3"/>
  <c r="T2565" i="3" s="1"/>
  <c r="S2586" i="3"/>
  <c r="T2586" i="3" s="1"/>
  <c r="S2608" i="3"/>
  <c r="T2608" i="3" s="1"/>
  <c r="S2625" i="3"/>
  <c r="T2625" i="3" s="1"/>
  <c r="S2641" i="3"/>
  <c r="T2641" i="3" s="1"/>
  <c r="S2666" i="3"/>
  <c r="T2666" i="3" s="1"/>
  <c r="S2667" i="3"/>
  <c r="T2667" i="3" s="1"/>
  <c r="S2691" i="3"/>
  <c r="T2691" i="3" s="1"/>
  <c r="S2694" i="3"/>
  <c r="T2694" i="3" s="1"/>
  <c r="S2705" i="3"/>
  <c r="T2705" i="3" s="1"/>
  <c r="S2720" i="3"/>
  <c r="T2720" i="3" s="1"/>
  <c r="S2729" i="3"/>
  <c r="T2729" i="3" s="1"/>
  <c r="S2737" i="3"/>
  <c r="T2737" i="3" s="1"/>
  <c r="S2738" i="3"/>
  <c r="T2738" i="3" s="1"/>
  <c r="S2765" i="3"/>
  <c r="T2765" i="3" s="1"/>
  <c r="S2772" i="3"/>
  <c r="T2772" i="3" s="1"/>
  <c r="S2779" i="3"/>
  <c r="T2779" i="3" s="1"/>
  <c r="S2797" i="3"/>
  <c r="T2797" i="3" s="1"/>
  <c r="S2829" i="3"/>
  <c r="T2829" i="3" s="1"/>
  <c r="S2834" i="3"/>
  <c r="T2834" i="3" s="1"/>
  <c r="S2869" i="3"/>
  <c r="T2869" i="3" s="1"/>
  <c r="S2876" i="3"/>
  <c r="T2876" i="3" s="1"/>
  <c r="S2896" i="3"/>
  <c r="T2896" i="3" s="1"/>
  <c r="S2945" i="3"/>
  <c r="T2945" i="3" s="1"/>
  <c r="S2955" i="3"/>
  <c r="T2955" i="3" s="1"/>
  <c r="S2998" i="3"/>
  <c r="T2998" i="3" s="1"/>
  <c r="S3025" i="3"/>
  <c r="T3025" i="3" s="1"/>
  <c r="S3057" i="3"/>
  <c r="T3057" i="3" s="1"/>
  <c r="S3089" i="3"/>
  <c r="T3089" i="3" s="1"/>
  <c r="S3106" i="3"/>
  <c r="T3106" i="3" s="1"/>
  <c r="S3136" i="3"/>
  <c r="T3136" i="3" s="1"/>
  <c r="S3189" i="3"/>
  <c r="T3189" i="3" s="1"/>
  <c r="S3195" i="3"/>
  <c r="T3195" i="3" s="1"/>
  <c r="S3236" i="3"/>
  <c r="T3236" i="3" s="1"/>
  <c r="S3267" i="3"/>
  <c r="T3267" i="3" s="1"/>
  <c r="S3427" i="3"/>
  <c r="T3427" i="3" s="1"/>
  <c r="S3431" i="3"/>
  <c r="T3431" i="3" s="1"/>
  <c r="S3460" i="3"/>
  <c r="T3460" i="3" s="1"/>
  <c r="S3472" i="3"/>
  <c r="T3472" i="3" s="1"/>
  <c r="S3494" i="3"/>
  <c r="T3494" i="3" s="1"/>
  <c r="S3502" i="3"/>
  <c r="T3502" i="3" s="1"/>
  <c r="S3621" i="3"/>
  <c r="T3621" i="3" s="1"/>
  <c r="S3625" i="3"/>
  <c r="T3625" i="3" s="1"/>
  <c r="S3638" i="3"/>
  <c r="T3638" i="3" s="1"/>
  <c r="S3653" i="3"/>
  <c r="T3653" i="3" s="1"/>
  <c r="S3675" i="3"/>
  <c r="T3675" i="3" s="1"/>
  <c r="S3695" i="3"/>
  <c r="T3695" i="3" s="1"/>
  <c r="S3711" i="3"/>
  <c r="T3711" i="3" s="1"/>
  <c r="S3747" i="3"/>
  <c r="T3747" i="3" s="1"/>
  <c r="S3796" i="3"/>
  <c r="T3796" i="3" s="1"/>
  <c r="S3814" i="3"/>
  <c r="T3814" i="3" s="1"/>
  <c r="S3833" i="3"/>
  <c r="T3833" i="3" s="1"/>
  <c r="S3841" i="3"/>
  <c r="T3841" i="3" s="1"/>
  <c r="S3849" i="3"/>
  <c r="T3849" i="3" s="1"/>
  <c r="S3871" i="3"/>
  <c r="T3871" i="3" s="1"/>
  <c r="S3961" i="3"/>
  <c r="T3961" i="3" s="1"/>
  <c r="S3973" i="3"/>
  <c r="T3973" i="3" s="1"/>
  <c r="S3988" i="3"/>
  <c r="T3988" i="3" s="1"/>
  <c r="S4088" i="3"/>
  <c r="T4088" i="3" s="1"/>
  <c r="S4092" i="3"/>
  <c r="T4092" i="3" s="1"/>
  <c r="S4153" i="3"/>
  <c r="T4153" i="3" s="1"/>
  <c r="S4188" i="3"/>
  <c r="T4188" i="3" s="1"/>
  <c r="S4237" i="3"/>
  <c r="T4237" i="3" s="1"/>
  <c r="S4356" i="3"/>
  <c r="T4356" i="3" s="1"/>
  <c r="S4385" i="3"/>
  <c r="T4385" i="3" s="1"/>
  <c r="S4407" i="3"/>
  <c r="T4407" i="3" s="1"/>
  <c r="S4411" i="3"/>
  <c r="T4411" i="3" s="1"/>
  <c r="S4422" i="3"/>
  <c r="T4422" i="3" s="1"/>
  <c r="S4425" i="3"/>
  <c r="T4425" i="3" s="1"/>
  <c r="S4429" i="3"/>
  <c r="T4429" i="3" s="1"/>
  <c r="S4447" i="3"/>
  <c r="T4447" i="3" s="1"/>
  <c r="S4448" i="3"/>
  <c r="T4448" i="3" s="1"/>
  <c r="S4488" i="3"/>
  <c r="T4488" i="3" s="1"/>
  <c r="S4537" i="3"/>
  <c r="T4537" i="3" s="1"/>
  <c r="S4563" i="3"/>
  <c r="T4563" i="3" s="1"/>
  <c r="S4616" i="3"/>
  <c r="T4616" i="3" s="1"/>
  <c r="S4658" i="3"/>
  <c r="T4658" i="3" s="1"/>
  <c r="S4669" i="3"/>
  <c r="T4669" i="3" s="1"/>
  <c r="S4735" i="3"/>
  <c r="T4735" i="3" s="1"/>
  <c r="S4738" i="3"/>
  <c r="T4738" i="3" s="1"/>
  <c r="S4793" i="3"/>
  <c r="T4793" i="3" s="1"/>
  <c r="S4810" i="3"/>
  <c r="T4810" i="3" s="1"/>
  <c r="S4819" i="3"/>
  <c r="T4819" i="3" s="1"/>
  <c r="S27" i="3"/>
  <c r="T27" i="3" s="1"/>
  <c r="S31" i="3"/>
  <c r="T31" i="3" s="1"/>
  <c r="S144" i="3"/>
  <c r="T144" i="3" s="1"/>
  <c r="S156" i="3"/>
  <c r="T156" i="3" s="1"/>
  <c r="S179" i="3"/>
  <c r="T179" i="3" s="1"/>
  <c r="S282" i="3"/>
  <c r="T282" i="3" s="1"/>
  <c r="S284" i="3"/>
  <c r="T284" i="3" s="1"/>
  <c r="S341" i="3"/>
  <c r="T341" i="3" s="1"/>
  <c r="S344" i="3"/>
  <c r="T344" i="3" s="1"/>
  <c r="S360" i="3"/>
  <c r="T360" i="3" s="1"/>
  <c r="S406" i="3"/>
  <c r="T406" i="3" s="1"/>
  <c r="S432" i="3"/>
  <c r="T432" i="3" s="1"/>
  <c r="S439" i="3"/>
  <c r="T439" i="3" s="1"/>
  <c r="S441" i="3"/>
  <c r="T441" i="3" s="1"/>
  <c r="S456" i="3"/>
  <c r="T456" i="3" s="1"/>
  <c r="S498" i="3"/>
  <c r="T498" i="3" s="1"/>
  <c r="S502" i="3"/>
  <c r="T502" i="3" s="1"/>
  <c r="S514" i="3"/>
  <c r="T514" i="3" s="1"/>
  <c r="S590" i="3"/>
  <c r="T590" i="3" s="1"/>
  <c r="S599" i="3"/>
  <c r="T599" i="3" s="1"/>
  <c r="S619" i="3"/>
  <c r="T619" i="3" s="1"/>
  <c r="S621" i="3"/>
  <c r="T621" i="3" s="1"/>
  <c r="S681" i="3"/>
  <c r="T681" i="3" s="1"/>
  <c r="S692" i="3"/>
  <c r="T692" i="3" s="1"/>
  <c r="S727" i="3"/>
  <c r="T727" i="3" s="1"/>
  <c r="S731" i="3"/>
  <c r="T731" i="3" s="1"/>
  <c r="S732" i="3"/>
  <c r="T732" i="3" s="1"/>
  <c r="S733" i="3"/>
  <c r="T733" i="3" s="1"/>
  <c r="S783" i="3"/>
  <c r="T783" i="3" s="1"/>
  <c r="S800" i="3"/>
  <c r="T800" i="3" s="1"/>
  <c r="S862" i="3"/>
  <c r="T862" i="3" s="1"/>
  <c r="S878" i="3"/>
  <c r="T878" i="3" s="1"/>
  <c r="S898" i="3"/>
  <c r="T898" i="3" s="1"/>
  <c r="S999" i="3"/>
  <c r="T999" i="3" s="1"/>
  <c r="S1028" i="3"/>
  <c r="T1028" i="3" s="1"/>
  <c r="S1041" i="3"/>
  <c r="T1041" i="3" s="1"/>
  <c r="S1072" i="3"/>
  <c r="T1072" i="3" s="1"/>
  <c r="S1113" i="3"/>
  <c r="T1113" i="3" s="1"/>
  <c r="S1167" i="3"/>
  <c r="T1167" i="3" s="1"/>
  <c r="S1171" i="3"/>
  <c r="T1171" i="3" s="1"/>
  <c r="S1180" i="3"/>
  <c r="T1180" i="3" s="1"/>
  <c r="S1224" i="3"/>
  <c r="T1224" i="3" s="1"/>
  <c r="S1265" i="3"/>
  <c r="T1265" i="3" s="1"/>
  <c r="S1275" i="3"/>
  <c r="T1275" i="3" s="1"/>
  <c r="S1346" i="3"/>
  <c r="T1346" i="3" s="1"/>
  <c r="S1360" i="3"/>
  <c r="T1360" i="3" s="1"/>
  <c r="S1369" i="3"/>
  <c r="T1369" i="3" s="1"/>
  <c r="S1420" i="3"/>
  <c r="T1420" i="3" s="1"/>
  <c r="S1481" i="3"/>
  <c r="T1481" i="3" s="1"/>
  <c r="S1492" i="3"/>
  <c r="T1492" i="3" s="1"/>
  <c r="S1678" i="3"/>
  <c r="T1678" i="3" s="1"/>
  <c r="S1717" i="3"/>
  <c r="T1717" i="3" s="1"/>
  <c r="S1719" i="3"/>
  <c r="T1719" i="3" s="1"/>
  <c r="S1733" i="3"/>
  <c r="T1733" i="3" s="1"/>
  <c r="S1736" i="3"/>
  <c r="T1736" i="3" s="1"/>
  <c r="S1750" i="3"/>
  <c r="T1750" i="3" s="1"/>
  <c r="S1764" i="3"/>
  <c r="T1764" i="3" s="1"/>
  <c r="S1893" i="3"/>
  <c r="T1893" i="3" s="1"/>
  <c r="S1942" i="3"/>
  <c r="T1942" i="3" s="1"/>
  <c r="S1984" i="3"/>
  <c r="T1984" i="3" s="1"/>
  <c r="S1998" i="3"/>
  <c r="T1998" i="3" s="1"/>
  <c r="S2061" i="3"/>
  <c r="T2061" i="3" s="1"/>
  <c r="S2102" i="3"/>
  <c r="T2102" i="3" s="1"/>
  <c r="S2123" i="3"/>
  <c r="T2123" i="3" s="1"/>
  <c r="S2133" i="3"/>
  <c r="T2133" i="3" s="1"/>
  <c r="S2168" i="3"/>
  <c r="T2168" i="3" s="1"/>
  <c r="S2179" i="3"/>
  <c r="T2179" i="3" s="1"/>
  <c r="S2227" i="3"/>
  <c r="T2227" i="3" s="1"/>
  <c r="S2252" i="3"/>
  <c r="T2252" i="3" s="1"/>
  <c r="S2261" i="3"/>
  <c r="T2261" i="3" s="1"/>
  <c r="S2265" i="3"/>
  <c r="T2265" i="3" s="1"/>
  <c r="S2282" i="3"/>
  <c r="T2282" i="3" s="1"/>
  <c r="S2296" i="3"/>
  <c r="T2296" i="3" s="1"/>
  <c r="S2303" i="3"/>
  <c r="T2303" i="3" s="1"/>
  <c r="S2320" i="3"/>
  <c r="T2320" i="3" s="1"/>
  <c r="S2323" i="3"/>
  <c r="T2323" i="3" s="1"/>
  <c r="S2360" i="3"/>
  <c r="T2360" i="3" s="1"/>
  <c r="S2393" i="3"/>
  <c r="T2393" i="3" s="1"/>
  <c r="S2420" i="3"/>
  <c r="T2420" i="3" s="1"/>
  <c r="S2426" i="3"/>
  <c r="T2426" i="3" s="1"/>
  <c r="S2461" i="3"/>
  <c r="T2461" i="3" s="1"/>
  <c r="S2546" i="3"/>
  <c r="T2546" i="3" s="1"/>
  <c r="S2573" i="3"/>
  <c r="T2573" i="3" s="1"/>
  <c r="S2644" i="3"/>
  <c r="T2644" i="3" s="1"/>
  <c r="S2653" i="3"/>
  <c r="T2653" i="3" s="1"/>
  <c r="S2680" i="3"/>
  <c r="T2680" i="3" s="1"/>
  <c r="S2687" i="3"/>
  <c r="T2687" i="3" s="1"/>
  <c r="S2721" i="3"/>
  <c r="T2721" i="3" s="1"/>
  <c r="S2722" i="3"/>
  <c r="T2722" i="3" s="1"/>
  <c r="S2727" i="3"/>
  <c r="T2727" i="3" s="1"/>
  <c r="S2730" i="3"/>
  <c r="T2730" i="3" s="1"/>
  <c r="S2798" i="3"/>
  <c r="T2798" i="3" s="1"/>
  <c r="S2813" i="3"/>
  <c r="T2813" i="3" s="1"/>
  <c r="S2816" i="3"/>
  <c r="T2816" i="3" s="1"/>
  <c r="S2831" i="3"/>
  <c r="T2831" i="3" s="1"/>
  <c r="S2948" i="3"/>
  <c r="T2948" i="3" s="1"/>
  <c r="S2974" i="3"/>
  <c r="T2974" i="3" s="1"/>
  <c r="S3072" i="3"/>
  <c r="T3072" i="3" s="1"/>
  <c r="S3105" i="3"/>
  <c r="T3105" i="3" s="1"/>
  <c r="S3121" i="3"/>
  <c r="T3121" i="3" s="1"/>
  <c r="S3124" i="3"/>
  <c r="T3124" i="3" s="1"/>
  <c r="S3140" i="3"/>
  <c r="T3140" i="3" s="1"/>
  <c r="S3193" i="3"/>
  <c r="T3193" i="3" s="1"/>
  <c r="S3247" i="3"/>
  <c r="T3247" i="3" s="1"/>
  <c r="S3380" i="3"/>
  <c r="T3380" i="3" s="1"/>
  <c r="S3404" i="3"/>
  <c r="T3404" i="3" s="1"/>
  <c r="S3416" i="3"/>
  <c r="T3416" i="3" s="1"/>
  <c r="S3438" i="3"/>
  <c r="T3438" i="3" s="1"/>
  <c r="S3480" i="3"/>
  <c r="T3480" i="3" s="1"/>
  <c r="S3490" i="3"/>
  <c r="T3490" i="3" s="1"/>
  <c r="S3533" i="3"/>
  <c r="T3533" i="3" s="1"/>
  <c r="S3535" i="3"/>
  <c r="T3535" i="3" s="1"/>
  <c r="S3604" i="3"/>
  <c r="T3604" i="3" s="1"/>
  <c r="S3620" i="3"/>
  <c r="T3620" i="3" s="1"/>
  <c r="S3667" i="3"/>
  <c r="T3667" i="3" s="1"/>
  <c r="S3684" i="3"/>
  <c r="T3684" i="3" s="1"/>
  <c r="S3739" i="3"/>
  <c r="T3739" i="3" s="1"/>
  <c r="S3742" i="3"/>
  <c r="T3742" i="3" s="1"/>
  <c r="S3755" i="3"/>
  <c r="T3755" i="3" s="1"/>
  <c r="S3769" i="3"/>
  <c r="T3769" i="3" s="1"/>
  <c r="S3802" i="3"/>
  <c r="T3802" i="3" s="1"/>
  <c r="S3806" i="3"/>
  <c r="T3806" i="3" s="1"/>
  <c r="S3810" i="3"/>
  <c r="T3810" i="3" s="1"/>
  <c r="S3857" i="3"/>
  <c r="T3857" i="3" s="1"/>
  <c r="S3870" i="3"/>
  <c r="T3870" i="3" s="1"/>
  <c r="S3916" i="3"/>
  <c r="T3916" i="3" s="1"/>
  <c r="S3924" i="3"/>
  <c r="T3924" i="3" s="1"/>
  <c r="S3942" i="3"/>
  <c r="T3942" i="3" s="1"/>
  <c r="S3969" i="3"/>
  <c r="T3969" i="3" s="1"/>
  <c r="S3982" i="3"/>
  <c r="T3982" i="3" s="1"/>
  <c r="S4003" i="3"/>
  <c r="T4003" i="3" s="1"/>
  <c r="S4027" i="3"/>
  <c r="T4027" i="3" s="1"/>
  <c r="S4030" i="3"/>
  <c r="T4030" i="3" s="1"/>
  <c r="S4042" i="3"/>
  <c r="T4042" i="3" s="1"/>
  <c r="S4098" i="3"/>
  <c r="T4098" i="3" s="1"/>
  <c r="S4104" i="3"/>
  <c r="T4104" i="3" s="1"/>
  <c r="S4106" i="3"/>
  <c r="T4106" i="3" s="1"/>
  <c r="S4114" i="3"/>
  <c r="T4114" i="3" s="1"/>
  <c r="S4117" i="3"/>
  <c r="T4117" i="3" s="1"/>
  <c r="S4149" i="3"/>
  <c r="T4149" i="3" s="1"/>
  <c r="S4150" i="3"/>
  <c r="T4150" i="3" s="1"/>
  <c r="S4152" i="3"/>
  <c r="T4152" i="3" s="1"/>
  <c r="S4298" i="3"/>
  <c r="T4298" i="3" s="1"/>
  <c r="S4308" i="3"/>
  <c r="T4308" i="3" s="1"/>
  <c r="S4321" i="3"/>
  <c r="T4321" i="3" s="1"/>
  <c r="S4390" i="3"/>
  <c r="T4390" i="3" s="1"/>
  <c r="S4403" i="3"/>
  <c r="T4403" i="3" s="1"/>
  <c r="S4520" i="3"/>
  <c r="T4520" i="3" s="1"/>
  <c r="S4531" i="3"/>
  <c r="T4531" i="3" s="1"/>
  <c r="S4643" i="3"/>
  <c r="T4643" i="3" s="1"/>
  <c r="S4717" i="3"/>
  <c r="T4717" i="3" s="1"/>
  <c r="S4751" i="3"/>
  <c r="T4751" i="3" s="1"/>
  <c r="S4772" i="3"/>
  <c r="T4772" i="3" s="1"/>
  <c r="S4779" i="3"/>
  <c r="T4779" i="3" s="1"/>
  <c r="S4796" i="3"/>
  <c r="T4796" i="3" s="1"/>
  <c r="S4820" i="3"/>
  <c r="T4820" i="3" s="1"/>
  <c r="S133" i="3"/>
  <c r="T133" i="3" s="1"/>
  <c r="S141" i="3"/>
  <c r="T141" i="3" s="1"/>
  <c r="S143" i="3"/>
  <c r="T143" i="3" s="1"/>
  <c r="S288" i="3"/>
  <c r="T288" i="3" s="1"/>
  <c r="S291" i="3"/>
  <c r="T291" i="3" s="1"/>
  <c r="S375" i="3"/>
  <c r="T375" i="3" s="1"/>
  <c r="S524" i="3"/>
  <c r="T524" i="3" s="1"/>
  <c r="S527" i="3"/>
  <c r="T527" i="3" s="1"/>
  <c r="S528" i="3"/>
  <c r="T528" i="3" s="1"/>
  <c r="S657" i="3"/>
  <c r="T657" i="3" s="1"/>
  <c r="S688" i="3"/>
  <c r="T688" i="3" s="1"/>
  <c r="S715" i="3"/>
  <c r="T715" i="3" s="1"/>
  <c r="S740" i="3"/>
  <c r="T740" i="3" s="1"/>
  <c r="S801" i="3"/>
  <c r="T801" i="3" s="1"/>
  <c r="S853" i="3"/>
  <c r="T853" i="3" s="1"/>
  <c r="S946" i="3"/>
  <c r="T946" i="3" s="1"/>
  <c r="S955" i="3"/>
  <c r="T955" i="3" s="1"/>
  <c r="S1020" i="3"/>
  <c r="T1020" i="3" s="1"/>
  <c r="S1039" i="3"/>
  <c r="T1039" i="3" s="1"/>
  <c r="S1067" i="3"/>
  <c r="T1067" i="3" s="1"/>
  <c r="S1107" i="3"/>
  <c r="T1107" i="3" s="1"/>
  <c r="S1138" i="3"/>
  <c r="T1138" i="3" s="1"/>
  <c r="S1140" i="3"/>
  <c r="T1140" i="3" s="1"/>
  <c r="S1147" i="3"/>
  <c r="T1147" i="3" s="1"/>
  <c r="S1256" i="3"/>
  <c r="T1256" i="3" s="1"/>
  <c r="S1257" i="3"/>
  <c r="T1257" i="3" s="1"/>
  <c r="S1264" i="3"/>
  <c r="T1264" i="3" s="1"/>
  <c r="S1298" i="3"/>
  <c r="T1298" i="3" s="1"/>
  <c r="S1312" i="3"/>
  <c r="T1312" i="3" s="1"/>
  <c r="S1441" i="3"/>
  <c r="T1441" i="3" s="1"/>
  <c r="S1568" i="3"/>
  <c r="T1568" i="3" s="1"/>
  <c r="S1648" i="3"/>
  <c r="T1648" i="3" s="1"/>
  <c r="S1651" i="3"/>
  <c r="T1651" i="3" s="1"/>
  <c r="S1689" i="3"/>
  <c r="T1689" i="3" s="1"/>
  <c r="S1696" i="3"/>
  <c r="T1696" i="3" s="1"/>
  <c r="S1697" i="3"/>
  <c r="T1697" i="3" s="1"/>
  <c r="S1780" i="3"/>
  <c r="T1780" i="3" s="1"/>
  <c r="S1920" i="3"/>
  <c r="T1920" i="3" s="1"/>
  <c r="S1947" i="3"/>
  <c r="T1947" i="3" s="1"/>
  <c r="S1996" i="3"/>
  <c r="T1996" i="3" s="1"/>
  <c r="S2105" i="3"/>
  <c r="T2105" i="3" s="1"/>
  <c r="S2127" i="3"/>
  <c r="T2127" i="3" s="1"/>
  <c r="S2193" i="3"/>
  <c r="T2193" i="3" s="1"/>
  <c r="S2242" i="3"/>
  <c r="T2242" i="3" s="1"/>
  <c r="S2258" i="3"/>
  <c r="T2258" i="3" s="1"/>
  <c r="S2274" i="3"/>
  <c r="T2274" i="3" s="1"/>
  <c r="S2353" i="3"/>
  <c r="T2353" i="3" s="1"/>
  <c r="S2375" i="3"/>
  <c r="T2375" i="3" s="1"/>
  <c r="S2384" i="3"/>
  <c r="T2384" i="3" s="1"/>
  <c r="S2396" i="3"/>
  <c r="T2396" i="3" s="1"/>
  <c r="S2575" i="3"/>
  <c r="T2575" i="3" s="1"/>
  <c r="S2588" i="3"/>
  <c r="T2588" i="3" s="1"/>
  <c r="S2618" i="3"/>
  <c r="T2618" i="3" s="1"/>
  <c r="S2761" i="3"/>
  <c r="T2761" i="3" s="1"/>
  <c r="S2830" i="3"/>
  <c r="T2830" i="3" s="1"/>
  <c r="S2897" i="3"/>
  <c r="T2897" i="3" s="1"/>
  <c r="S3094" i="3"/>
  <c r="T3094" i="3" s="1"/>
  <c r="S3111" i="3"/>
  <c r="T3111" i="3" s="1"/>
  <c r="S3156" i="3"/>
  <c r="T3156" i="3" s="1"/>
  <c r="S3187" i="3"/>
  <c r="T3187" i="3" s="1"/>
  <c r="S3269" i="3"/>
  <c r="T3269" i="3" s="1"/>
  <c r="S3282" i="3"/>
  <c r="T3282" i="3" s="1"/>
  <c r="S3285" i="3"/>
  <c r="T3285" i="3" s="1"/>
  <c r="S3288" i="3"/>
  <c r="T3288" i="3" s="1"/>
  <c r="S3363" i="3"/>
  <c r="T3363" i="3" s="1"/>
  <c r="S3364" i="3"/>
  <c r="T3364" i="3" s="1"/>
  <c r="S3374" i="3"/>
  <c r="T3374" i="3" s="1"/>
  <c r="S3424" i="3"/>
  <c r="T3424" i="3" s="1"/>
  <c r="S3452" i="3"/>
  <c r="T3452" i="3" s="1"/>
  <c r="S3474" i="3"/>
  <c r="T3474" i="3" s="1"/>
  <c r="S3514" i="3"/>
  <c r="T3514" i="3" s="1"/>
  <c r="S3691" i="3"/>
  <c r="T3691" i="3" s="1"/>
  <c r="S3751" i="3"/>
  <c r="T3751" i="3" s="1"/>
  <c r="S3757" i="3"/>
  <c r="T3757" i="3" s="1"/>
  <c r="S3758" i="3"/>
  <c r="T3758" i="3" s="1"/>
  <c r="S3913" i="3"/>
  <c r="T3913" i="3" s="1"/>
  <c r="S3931" i="3"/>
  <c r="T3931" i="3" s="1"/>
  <c r="S3968" i="3"/>
  <c r="T3968" i="3" s="1"/>
  <c r="S3980" i="3"/>
  <c r="T3980" i="3" s="1"/>
  <c r="S4039" i="3"/>
  <c r="T4039" i="3" s="1"/>
  <c r="S4103" i="3"/>
  <c r="T4103" i="3" s="1"/>
  <c r="S4108" i="3"/>
  <c r="T4108" i="3" s="1"/>
  <c r="S4113" i="3"/>
  <c r="T4113" i="3" s="1"/>
  <c r="S4195" i="3"/>
  <c r="T4195" i="3" s="1"/>
  <c r="S4252" i="3"/>
  <c r="T4252" i="3" s="1"/>
  <c r="S4397" i="3"/>
  <c r="T4397" i="3" s="1"/>
  <c r="S4517" i="3"/>
  <c r="T4517" i="3" s="1"/>
  <c r="S4609" i="3"/>
  <c r="T4609" i="3" s="1"/>
  <c r="S4696" i="3"/>
  <c r="T4696" i="3" s="1"/>
  <c r="S4834" i="3"/>
  <c r="T4834" i="3" s="1"/>
  <c r="S53" i="3"/>
  <c r="T53" i="3" s="1"/>
  <c r="U53" i="3" s="1"/>
  <c r="S90" i="3"/>
  <c r="T90" i="3" s="1"/>
  <c r="S123" i="3"/>
  <c r="T123" i="3" s="1"/>
  <c r="S152" i="3"/>
  <c r="T152" i="3" s="1"/>
  <c r="S182" i="3"/>
  <c r="T182" i="3" s="1"/>
  <c r="S244" i="3"/>
  <c r="T244" i="3" s="1"/>
  <c r="S429" i="3"/>
  <c r="T429" i="3" s="1"/>
  <c r="S512" i="3"/>
  <c r="T512" i="3" s="1"/>
  <c r="S607" i="3"/>
  <c r="T607" i="3" s="1"/>
  <c r="S636" i="3"/>
  <c r="T636" i="3" s="1"/>
  <c r="S717" i="3"/>
  <c r="T717" i="3" s="1"/>
  <c r="S720" i="3"/>
  <c r="T720" i="3" s="1"/>
  <c r="S739" i="3"/>
  <c r="T739" i="3" s="1"/>
  <c r="S747" i="3"/>
  <c r="T747" i="3" s="1"/>
  <c r="S923" i="3"/>
  <c r="T923" i="3" s="1"/>
  <c r="S931" i="3"/>
  <c r="T931" i="3" s="1"/>
  <c r="S993" i="3"/>
  <c r="T993" i="3" s="1"/>
  <c r="S1019" i="3"/>
  <c r="T1019" i="3" s="1"/>
  <c r="S1159" i="3"/>
  <c r="T1159" i="3" s="1"/>
  <c r="S1162" i="3"/>
  <c r="T1162" i="3" s="1"/>
  <c r="S1319" i="3"/>
  <c r="T1319" i="3" s="1"/>
  <c r="S1341" i="3"/>
  <c r="T1341" i="3" s="1"/>
  <c r="S1354" i="3"/>
  <c r="T1354" i="3" s="1"/>
  <c r="S1358" i="3"/>
  <c r="T1358" i="3" s="1"/>
  <c r="S1376" i="3"/>
  <c r="T1376" i="3" s="1"/>
  <c r="S1445" i="3"/>
  <c r="T1445" i="3" s="1"/>
  <c r="S1533" i="3"/>
  <c r="T1533" i="3" s="1"/>
  <c r="S1539" i="3"/>
  <c r="T1539" i="3" s="1"/>
  <c r="S1561" i="3"/>
  <c r="T1561" i="3" s="1"/>
  <c r="S1615" i="3"/>
  <c r="T1615" i="3" s="1"/>
  <c r="S1834" i="3"/>
  <c r="T1834" i="3" s="1"/>
  <c r="S1859" i="3"/>
  <c r="T1859" i="3" s="1"/>
  <c r="S1927" i="3"/>
  <c r="T1927" i="3" s="1"/>
  <c r="S1939" i="3"/>
  <c r="T1939" i="3" s="1"/>
  <c r="S1945" i="3"/>
  <c r="T1945" i="3" s="1"/>
  <c r="S2027" i="3"/>
  <c r="T2027" i="3" s="1"/>
  <c r="S2089" i="3"/>
  <c r="T2089" i="3" s="1"/>
  <c r="S2108" i="3"/>
  <c r="T2108" i="3" s="1"/>
  <c r="S2159" i="3"/>
  <c r="T2159" i="3" s="1"/>
  <c r="S2163" i="3"/>
  <c r="T2163" i="3" s="1"/>
  <c r="S2171" i="3"/>
  <c r="T2171" i="3" s="1"/>
  <c r="S2250" i="3"/>
  <c r="T2250" i="3" s="1"/>
  <c r="S2472" i="3"/>
  <c r="T2472" i="3" s="1"/>
  <c r="S2518" i="3"/>
  <c r="T2518" i="3" s="1"/>
  <c r="S2614" i="3"/>
  <c r="T2614" i="3" s="1"/>
  <c r="S2640" i="3"/>
  <c r="T2640" i="3" s="1"/>
  <c r="S2651" i="3"/>
  <c r="T2651" i="3" s="1"/>
  <c r="S2717" i="3"/>
  <c r="T2717" i="3" s="1"/>
  <c r="S2723" i="3"/>
  <c r="T2723" i="3" s="1"/>
  <c r="S2863" i="3"/>
  <c r="T2863" i="3" s="1"/>
  <c r="S2868" i="3"/>
  <c r="T2868" i="3" s="1"/>
  <c r="S2950" i="3"/>
  <c r="T2950" i="3" s="1"/>
  <c r="S2992" i="3"/>
  <c r="T2992" i="3" s="1"/>
  <c r="S2997" i="3"/>
  <c r="T2997" i="3" s="1"/>
  <c r="S3061" i="3"/>
  <c r="T3061" i="3" s="1"/>
  <c r="S3064" i="3"/>
  <c r="T3064" i="3" s="1"/>
  <c r="S3075" i="3"/>
  <c r="T3075" i="3" s="1"/>
  <c r="S3102" i="3"/>
  <c r="T3102" i="3" s="1"/>
  <c r="S3119" i="3"/>
  <c r="T3119" i="3" s="1"/>
  <c r="S3133" i="3"/>
  <c r="T3133" i="3" s="1"/>
  <c r="S3208" i="3"/>
  <c r="T3208" i="3" s="1"/>
  <c r="S3214" i="3"/>
  <c r="T3214" i="3" s="1"/>
  <c r="S3321" i="3"/>
  <c r="T3321" i="3" s="1"/>
  <c r="S3397" i="3"/>
  <c r="T3397" i="3" s="1"/>
  <c r="S3590" i="3"/>
  <c r="T3590" i="3" s="1"/>
  <c r="S3687" i="3"/>
  <c r="T3687" i="3" s="1"/>
  <c r="S3698" i="3"/>
  <c r="T3698" i="3" s="1"/>
  <c r="S3726" i="3"/>
  <c r="T3726" i="3" s="1"/>
  <c r="S3738" i="3"/>
  <c r="T3738" i="3" s="1"/>
  <c r="S3762" i="3"/>
  <c r="T3762" i="3" s="1"/>
  <c r="S3800" i="3"/>
  <c r="T3800" i="3" s="1"/>
  <c r="S3858" i="3"/>
  <c r="T3858" i="3" s="1"/>
  <c r="S3914" i="3"/>
  <c r="T3914" i="3" s="1"/>
  <c r="S4019" i="3"/>
  <c r="T4019" i="3" s="1"/>
  <c r="S4105" i="3"/>
  <c r="T4105" i="3" s="1"/>
  <c r="S4192" i="3"/>
  <c r="T4192" i="3" s="1"/>
  <c r="S4229" i="3"/>
  <c r="T4229" i="3" s="1"/>
  <c r="S4262" i="3"/>
  <c r="T4262" i="3" s="1"/>
  <c r="S4303" i="3"/>
  <c r="T4303" i="3" s="1"/>
  <c r="S4393" i="3"/>
  <c r="T4393" i="3" s="1"/>
  <c r="S4440" i="3"/>
  <c r="T4440" i="3" s="1"/>
  <c r="S4727" i="3"/>
  <c r="T4727" i="3" s="1"/>
  <c r="S41" i="3"/>
  <c r="T41" i="3" s="1"/>
  <c r="U41" i="3" s="1"/>
  <c r="S105" i="3"/>
  <c r="T105" i="3" s="1"/>
  <c r="S107" i="3"/>
  <c r="T107" i="3" s="1"/>
  <c r="S428" i="3"/>
  <c r="T428" i="3" s="1"/>
  <c r="S1029" i="3"/>
  <c r="T1029" i="3" s="1"/>
  <c r="S1157" i="3"/>
  <c r="T1157" i="3" s="1"/>
  <c r="S1307" i="3"/>
  <c r="T1307" i="3" s="1"/>
  <c r="S1421" i="3"/>
  <c r="T1421" i="3" s="1"/>
  <c r="S1484" i="3"/>
  <c r="T1484" i="3" s="1"/>
  <c r="S1575" i="3"/>
  <c r="T1575" i="3" s="1"/>
  <c r="S1803" i="3"/>
  <c r="T1803" i="3" s="1"/>
  <c r="S1832" i="3"/>
  <c r="T1832" i="3" s="1"/>
  <c r="S1931" i="3"/>
  <c r="T1931" i="3" s="1"/>
  <c r="S1968" i="3"/>
  <c r="T1968" i="3" s="1"/>
  <c r="S1989" i="3"/>
  <c r="T1989" i="3" s="1"/>
  <c r="S2091" i="3"/>
  <c r="T2091" i="3" s="1"/>
  <c r="S2104" i="3"/>
  <c r="T2104" i="3" s="1"/>
  <c r="S2111" i="3"/>
  <c r="T2111" i="3" s="1"/>
  <c r="S2307" i="3"/>
  <c r="T2307" i="3" s="1"/>
  <c r="S2321" i="3"/>
  <c r="T2321" i="3" s="1"/>
  <c r="S2517" i="3"/>
  <c r="T2517" i="3" s="1"/>
  <c r="S2534" i="3"/>
  <c r="T2534" i="3" s="1"/>
  <c r="S2620" i="3"/>
  <c r="T2620" i="3" s="1"/>
  <c r="S2726" i="3"/>
  <c r="T2726" i="3" s="1"/>
  <c r="S2820" i="3"/>
  <c r="T2820" i="3" s="1"/>
  <c r="S2859" i="3"/>
  <c r="T2859" i="3" s="1"/>
  <c r="S2918" i="3"/>
  <c r="T2918" i="3" s="1"/>
  <c r="S2964" i="3"/>
  <c r="T2964" i="3" s="1"/>
  <c r="S3063" i="3"/>
  <c r="T3063" i="3" s="1"/>
  <c r="S3117" i="3"/>
  <c r="T3117" i="3" s="1"/>
  <c r="S3220" i="3"/>
  <c r="T3220" i="3" s="1"/>
  <c r="S3299" i="3"/>
  <c r="T3299" i="3" s="1"/>
  <c r="S3342" i="3"/>
  <c r="T3342" i="3" s="1"/>
  <c r="S3384" i="3"/>
  <c r="T3384" i="3" s="1"/>
  <c r="S3407" i="3"/>
  <c r="T3407" i="3" s="1"/>
  <c r="S3466" i="3"/>
  <c r="T3466" i="3" s="1"/>
  <c r="S3501" i="3"/>
  <c r="T3501" i="3" s="1"/>
  <c r="S3526" i="3"/>
  <c r="T3526" i="3" s="1"/>
  <c r="S3554" i="3"/>
  <c r="T3554" i="3" s="1"/>
  <c r="S3579" i="3"/>
  <c r="T3579" i="3" s="1"/>
  <c r="S3693" i="3"/>
  <c r="T3693" i="3" s="1"/>
  <c r="S3840" i="3"/>
  <c r="T3840" i="3" s="1"/>
  <c r="S3946" i="3"/>
  <c r="T3946" i="3" s="1"/>
  <c r="S4255" i="3"/>
  <c r="T4255" i="3" s="1"/>
  <c r="S4420" i="3"/>
  <c r="T4420" i="3" s="1"/>
  <c r="S4433" i="3"/>
  <c r="T4433" i="3" s="1"/>
  <c r="S4634" i="3"/>
  <c r="T4634" i="3" s="1"/>
  <c r="S198" i="3"/>
  <c r="T198" i="3" s="1"/>
  <c r="S393" i="3"/>
  <c r="T393" i="3" s="1"/>
  <c r="S397" i="3"/>
  <c r="T397" i="3" s="1"/>
  <c r="S465" i="3"/>
  <c r="T465" i="3" s="1"/>
  <c r="S499" i="3"/>
  <c r="T499" i="3" s="1"/>
  <c r="S622" i="3"/>
  <c r="T622" i="3" s="1"/>
  <c r="S752" i="3"/>
  <c r="T752" i="3" s="1"/>
  <c r="S830" i="3"/>
  <c r="T830" i="3" s="1"/>
  <c r="S884" i="3"/>
  <c r="T884" i="3" s="1"/>
  <c r="S943" i="3"/>
  <c r="T943" i="3" s="1"/>
  <c r="S1054" i="3"/>
  <c r="T1054" i="3" s="1"/>
  <c r="S1145" i="3"/>
  <c r="T1145" i="3" s="1"/>
  <c r="S1479" i="3"/>
  <c r="T1479" i="3" s="1"/>
  <c r="S1544" i="3"/>
  <c r="T1544" i="3" s="1"/>
  <c r="S1573" i="3"/>
  <c r="T1573" i="3" s="1"/>
  <c r="S1700" i="3"/>
  <c r="T1700" i="3" s="1"/>
  <c r="S1810" i="3"/>
  <c r="T1810" i="3" s="1"/>
  <c r="S2067" i="3"/>
  <c r="T2067" i="3" s="1"/>
  <c r="S2113" i="3"/>
  <c r="T2113" i="3" s="1"/>
  <c r="S2292" i="3"/>
  <c r="T2292" i="3" s="1"/>
  <c r="S2605" i="3"/>
  <c r="T2605" i="3" s="1"/>
  <c r="S2657" i="3"/>
  <c r="T2657" i="3" s="1"/>
  <c r="S2664" i="3"/>
  <c r="T2664" i="3" s="1"/>
  <c r="S2693" i="3"/>
  <c r="T2693" i="3" s="1"/>
  <c r="S2977" i="3"/>
  <c r="T2977" i="3" s="1"/>
  <c r="S3019" i="3"/>
  <c r="T3019" i="3" s="1"/>
  <c r="S3023" i="3"/>
  <c r="T3023" i="3" s="1"/>
  <c r="S3356" i="3"/>
  <c r="T3356" i="3" s="1"/>
  <c r="S3378" i="3"/>
  <c r="T3378" i="3" s="1"/>
  <c r="S3448" i="3"/>
  <c r="T3448" i="3" s="1"/>
  <c r="S3681" i="3"/>
  <c r="T3681" i="3" s="1"/>
  <c r="S3779" i="3"/>
  <c r="T3779" i="3" s="1"/>
  <c r="S3862" i="3"/>
  <c r="T3862" i="3" s="1"/>
  <c r="S3894" i="3"/>
  <c r="T3894" i="3" s="1"/>
  <c r="S3912" i="3"/>
  <c r="T3912" i="3" s="1"/>
  <c r="S3927" i="3"/>
  <c r="T3927" i="3" s="1"/>
  <c r="S3993" i="3"/>
  <c r="T3993" i="3" s="1"/>
  <c r="S4000" i="3"/>
  <c r="T4000" i="3" s="1"/>
  <c r="S4080" i="3"/>
  <c r="T4080" i="3" s="1"/>
  <c r="S4374" i="3"/>
  <c r="T4374" i="3" s="1"/>
  <c r="S4378" i="3"/>
  <c r="T4378" i="3" s="1"/>
  <c r="S4389" i="3"/>
  <c r="T4389" i="3" s="1"/>
  <c r="S4436" i="3"/>
  <c r="T4436" i="3" s="1"/>
  <c r="S4496" i="3"/>
  <c r="T4496" i="3" s="1"/>
  <c r="S4684" i="3"/>
  <c r="T4684" i="3" s="1"/>
  <c r="S4811" i="3"/>
  <c r="T4811" i="3" s="1"/>
  <c r="S64" i="3"/>
  <c r="T64" i="3" s="1"/>
  <c r="U64" i="3" s="1"/>
  <c r="S153" i="3"/>
  <c r="T153" i="3" s="1"/>
  <c r="S200" i="3"/>
  <c r="T200" i="3" s="1"/>
  <c r="S373" i="3"/>
  <c r="T373" i="3" s="1"/>
  <c r="S410" i="3"/>
  <c r="T410" i="3" s="1"/>
  <c r="S550" i="3"/>
  <c r="T550" i="3" s="1"/>
  <c r="S823" i="3"/>
  <c r="T823" i="3" s="1"/>
  <c r="S846" i="3"/>
  <c r="T846" i="3" s="1"/>
  <c r="S963" i="3"/>
  <c r="T963" i="3" s="1"/>
  <c r="S969" i="3"/>
  <c r="T969" i="3" s="1"/>
  <c r="S1033" i="3"/>
  <c r="T1033" i="3" s="1"/>
  <c r="S1203" i="3"/>
  <c r="T1203" i="3" s="1"/>
  <c r="S1333" i="3"/>
  <c r="T1333" i="3" s="1"/>
  <c r="S1440" i="3"/>
  <c r="T1440" i="3" s="1"/>
  <c r="S1609" i="3"/>
  <c r="T1609" i="3" s="1"/>
  <c r="S1706" i="3"/>
  <c r="T1706" i="3" s="1"/>
  <c r="S1762" i="3"/>
  <c r="T1762" i="3" s="1"/>
  <c r="S1890" i="3"/>
  <c r="T1890" i="3" s="1"/>
  <c r="S1895" i="3"/>
  <c r="T1895" i="3" s="1"/>
  <c r="S2096" i="3"/>
  <c r="T2096" i="3" s="1"/>
  <c r="S2124" i="3"/>
  <c r="T2124" i="3" s="1"/>
  <c r="S2137" i="3"/>
  <c r="T2137" i="3" s="1"/>
  <c r="S2228" i="3"/>
  <c r="T2228" i="3" s="1"/>
  <c r="S2263" i="3"/>
  <c r="T2263" i="3" s="1"/>
  <c r="S2275" i="3"/>
  <c r="T2275" i="3" s="1"/>
  <c r="S2308" i="3"/>
  <c r="T2308" i="3" s="1"/>
  <c r="S2358" i="3"/>
  <c r="T2358" i="3" s="1"/>
  <c r="S2378" i="3"/>
  <c r="T2378" i="3" s="1"/>
  <c r="S2442" i="3"/>
  <c r="T2442" i="3" s="1"/>
  <c r="S2527" i="3"/>
  <c r="T2527" i="3" s="1"/>
  <c r="S2663" i="3"/>
  <c r="T2663" i="3" s="1"/>
  <c r="S2739" i="3"/>
  <c r="T2739" i="3" s="1"/>
  <c r="S2759" i="3"/>
  <c r="T2759" i="3" s="1"/>
  <c r="S2793" i="3"/>
  <c r="T2793" i="3" s="1"/>
  <c r="S2811" i="3"/>
  <c r="T2811" i="3" s="1"/>
  <c r="S2850" i="3"/>
  <c r="T2850" i="3" s="1"/>
  <c r="S2965" i="3"/>
  <c r="T2965" i="3" s="1"/>
  <c r="S3045" i="3"/>
  <c r="T3045" i="3" s="1"/>
  <c r="S3110" i="3"/>
  <c r="T3110" i="3" s="1"/>
  <c r="S3118" i="3"/>
  <c r="T3118" i="3" s="1"/>
  <c r="S3192" i="3"/>
  <c r="T3192" i="3" s="1"/>
  <c r="S3371" i="3"/>
  <c r="T3371" i="3" s="1"/>
  <c r="S3402" i="3"/>
  <c r="T3402" i="3" s="1"/>
  <c r="S3446" i="3"/>
  <c r="T3446" i="3" s="1"/>
  <c r="S3565" i="3"/>
  <c r="T3565" i="3" s="1"/>
  <c r="S3651" i="3"/>
  <c r="T3651" i="3" s="1"/>
  <c r="S3724" i="3"/>
  <c r="T3724" i="3" s="1"/>
  <c r="S3890" i="3"/>
  <c r="T3890" i="3" s="1"/>
  <c r="S3910" i="3"/>
  <c r="T3910" i="3" s="1"/>
  <c r="S4028" i="3"/>
  <c r="T4028" i="3" s="1"/>
  <c r="S4034" i="3"/>
  <c r="T4034" i="3" s="1"/>
  <c r="S4177" i="3"/>
  <c r="T4177" i="3" s="1"/>
  <c r="S4184" i="3"/>
  <c r="T4184" i="3" s="1"/>
  <c r="S4340" i="3"/>
  <c r="T4340" i="3" s="1"/>
  <c r="S4388" i="3"/>
  <c r="T4388" i="3" s="1"/>
  <c r="S4463" i="3"/>
  <c r="T4463" i="3" s="1"/>
  <c r="S4479" i="3"/>
  <c r="T4479" i="3" s="1"/>
  <c r="S4572" i="3"/>
  <c r="T4572" i="3" s="1"/>
  <c r="S4598" i="3"/>
  <c r="T4598" i="3" s="1"/>
  <c r="S4633" i="3"/>
  <c r="T4633" i="3" s="1"/>
  <c r="S4640" i="3"/>
  <c r="T4640" i="3" s="1"/>
  <c r="S4661" i="3"/>
  <c r="T4661" i="3" s="1"/>
  <c r="S4720" i="3"/>
  <c r="T4720" i="3" s="1"/>
  <c r="S4780" i="3"/>
  <c r="T4780" i="3" s="1"/>
  <c r="S4809" i="3"/>
  <c r="T4809" i="3" s="1"/>
  <c r="S189" i="3"/>
  <c r="T189" i="3" s="1"/>
  <c r="S255" i="3"/>
  <c r="T255" i="3" s="1"/>
  <c r="S384" i="3"/>
  <c r="T384" i="3" s="1"/>
  <c r="S402" i="3"/>
  <c r="T402" i="3" s="1"/>
  <c r="S447" i="3"/>
  <c r="T447" i="3" s="1"/>
  <c r="S482" i="3"/>
  <c r="T482" i="3" s="1"/>
  <c r="S495" i="3"/>
  <c r="T495" i="3" s="1"/>
  <c r="S549" i="3"/>
  <c r="T549" i="3" s="1"/>
  <c r="S558" i="3"/>
  <c r="T558" i="3" s="1"/>
  <c r="S644" i="3"/>
  <c r="T644" i="3" s="1"/>
  <c r="S682" i="3"/>
  <c r="T682" i="3" s="1"/>
  <c r="S781" i="3"/>
  <c r="T781" i="3" s="1"/>
  <c r="S795" i="3"/>
  <c r="T795" i="3" s="1"/>
  <c r="S903" i="3"/>
  <c r="T903" i="3" s="1"/>
  <c r="S919" i="3"/>
  <c r="T919" i="3" s="1"/>
  <c r="S1004" i="3"/>
  <c r="T1004" i="3" s="1"/>
  <c r="S1073" i="3"/>
  <c r="T1073" i="3" s="1"/>
  <c r="S1124" i="3"/>
  <c r="T1124" i="3" s="1"/>
  <c r="S1185" i="3"/>
  <c r="T1185" i="3" s="1"/>
  <c r="S1230" i="3"/>
  <c r="T1230" i="3" s="1"/>
  <c r="S1259" i="3"/>
  <c r="T1259" i="3" s="1"/>
  <c r="S1311" i="3"/>
  <c r="T1311" i="3" s="1"/>
  <c r="S1342" i="3"/>
  <c r="T1342" i="3" s="1"/>
  <c r="S1344" i="3"/>
  <c r="T1344" i="3" s="1"/>
  <c r="S1378" i="3"/>
  <c r="T1378" i="3" s="1"/>
  <c r="S1447" i="3"/>
  <c r="T1447" i="3" s="1"/>
  <c r="S1486" i="3"/>
  <c r="T1486" i="3" s="1"/>
  <c r="S1551" i="3"/>
  <c r="T1551" i="3" s="1"/>
  <c r="S1618" i="3"/>
  <c r="T1618" i="3" s="1"/>
  <c r="S1644" i="3"/>
  <c r="T1644" i="3" s="1"/>
  <c r="S1828" i="3"/>
  <c r="T1828" i="3" s="1"/>
  <c r="S1905" i="3"/>
  <c r="T1905" i="3" s="1"/>
  <c r="S1971" i="3"/>
  <c r="T1971" i="3" s="1"/>
  <c r="S2073" i="3"/>
  <c r="T2073" i="3" s="1"/>
  <c r="S2142" i="3"/>
  <c r="T2142" i="3" s="1"/>
  <c r="S2167" i="3"/>
  <c r="T2167" i="3" s="1"/>
  <c r="S2280" i="3"/>
  <c r="T2280" i="3" s="1"/>
  <c r="S2316" i="3"/>
  <c r="T2316" i="3" s="1"/>
  <c r="S2459" i="3"/>
  <c r="T2459" i="3" s="1"/>
  <c r="S2492" i="3"/>
  <c r="T2492" i="3" s="1"/>
  <c r="S2607" i="3"/>
  <c r="T2607" i="3" s="1"/>
  <c r="S2616" i="3"/>
  <c r="T2616" i="3" s="1"/>
  <c r="S2662" i="3"/>
  <c r="T2662" i="3" s="1"/>
  <c r="S2796" i="3"/>
  <c r="T2796" i="3" s="1"/>
  <c r="S2800" i="3"/>
  <c r="T2800" i="3" s="1"/>
  <c r="S2894" i="3"/>
  <c r="T2894" i="3" s="1"/>
  <c r="S2959" i="3"/>
  <c r="T2959" i="3" s="1"/>
  <c r="S2962" i="3"/>
  <c r="T2962" i="3" s="1"/>
  <c r="S2968" i="3"/>
  <c r="T2968" i="3" s="1"/>
  <c r="S3047" i="3"/>
  <c r="T3047" i="3" s="1"/>
  <c r="S3068" i="3"/>
  <c r="T3068" i="3" s="1"/>
  <c r="S3320" i="3"/>
  <c r="T3320" i="3" s="1"/>
  <c r="S3349" i="3"/>
  <c r="T3349" i="3" s="1"/>
  <c r="S3462" i="3"/>
  <c r="T3462" i="3" s="1"/>
  <c r="S3516" i="3"/>
  <c r="T3516" i="3" s="1"/>
  <c r="S3578" i="3"/>
  <c r="T3578" i="3" s="1"/>
  <c r="S3616" i="3"/>
  <c r="T3616" i="3" s="1"/>
  <c r="S3647" i="3"/>
  <c r="T3647" i="3" s="1"/>
  <c r="S3659" i="3"/>
  <c r="T3659" i="3" s="1"/>
  <c r="S3716" i="3"/>
  <c r="T3716" i="3" s="1"/>
  <c r="S3740" i="3"/>
  <c r="T3740" i="3" s="1"/>
  <c r="S3797" i="3"/>
  <c r="T3797" i="3" s="1"/>
  <c r="S3801" i="3"/>
  <c r="T3801" i="3" s="1"/>
  <c r="S3847" i="3"/>
  <c r="T3847" i="3" s="1"/>
  <c r="S4166" i="3"/>
  <c r="T4166" i="3" s="1"/>
  <c r="S4266" i="3"/>
  <c r="T4266" i="3" s="1"/>
  <c r="S4289" i="3"/>
  <c r="T4289" i="3" s="1"/>
  <c r="S4325" i="3"/>
  <c r="T4325" i="3" s="1"/>
  <c r="S4453" i="3"/>
  <c r="T4453" i="3" s="1"/>
  <c r="S4553" i="3"/>
  <c r="T4553" i="3" s="1"/>
  <c r="S4619" i="3"/>
  <c r="T4619" i="3" s="1"/>
  <c r="S4707" i="3"/>
  <c r="T4707" i="3" s="1"/>
  <c r="S4744" i="3"/>
  <c r="T4744" i="3" s="1"/>
  <c r="S4749" i="3"/>
  <c r="T4749" i="3" s="1"/>
  <c r="S4791" i="3"/>
  <c r="T4791" i="3" s="1"/>
  <c r="S29" i="3"/>
  <c r="T29" i="3" s="1"/>
  <c r="U29" i="3" s="1"/>
  <c r="S50" i="3"/>
  <c r="T50" i="3" s="1"/>
  <c r="U50" i="3" s="1"/>
  <c r="S116" i="3"/>
  <c r="T116" i="3" s="1"/>
  <c r="S145" i="3"/>
  <c r="T145" i="3" s="1"/>
  <c r="S193" i="3"/>
  <c r="T193" i="3" s="1"/>
  <c r="S346" i="3"/>
  <c r="T346" i="3" s="1"/>
  <c r="S357" i="3"/>
  <c r="T357" i="3" s="1"/>
  <c r="S472" i="3"/>
  <c r="T472" i="3" s="1"/>
  <c r="S573" i="3"/>
  <c r="T573" i="3" s="1"/>
  <c r="S620" i="3"/>
  <c r="T620" i="3" s="1"/>
  <c r="S700" i="3"/>
  <c r="T700" i="3" s="1"/>
  <c r="S791" i="3"/>
  <c r="T791" i="3" s="1"/>
  <c r="S834" i="3"/>
  <c r="T834" i="3" s="1"/>
  <c r="S962" i="3"/>
  <c r="T962" i="3" s="1"/>
  <c r="S973" i="3"/>
  <c r="T973" i="3" s="1"/>
  <c r="S1003" i="3"/>
  <c r="T1003" i="3" s="1"/>
  <c r="S1022" i="3"/>
  <c r="T1022" i="3" s="1"/>
  <c r="S1050" i="3"/>
  <c r="T1050" i="3" s="1"/>
  <c r="S1114" i="3"/>
  <c r="T1114" i="3" s="1"/>
  <c r="S1188" i="3"/>
  <c r="T1188" i="3" s="1"/>
  <c r="S1190" i="3"/>
  <c r="T1190" i="3" s="1"/>
  <c r="S1196" i="3"/>
  <c r="T1196" i="3" s="1"/>
  <c r="S1248" i="3"/>
  <c r="T1248" i="3" s="1"/>
  <c r="S1270" i="3"/>
  <c r="T1270" i="3" s="1"/>
  <c r="S1280" i="3"/>
  <c r="T1280" i="3" s="1"/>
  <c r="S1321" i="3"/>
  <c r="T1321" i="3" s="1"/>
  <c r="S1332" i="3"/>
  <c r="T1332" i="3" s="1"/>
  <c r="S1338" i="3"/>
  <c r="T1338" i="3" s="1"/>
  <c r="S1602" i="3"/>
  <c r="T1602" i="3" s="1"/>
  <c r="S1656" i="3"/>
  <c r="T1656" i="3" s="1"/>
  <c r="S1665" i="3"/>
  <c r="T1665" i="3" s="1"/>
  <c r="S1858" i="3"/>
  <c r="T1858" i="3" s="1"/>
  <c r="S1888" i="3"/>
  <c r="T1888" i="3" s="1"/>
  <c r="S1913" i="3"/>
  <c r="T1913" i="3" s="1"/>
  <c r="S1959" i="3"/>
  <c r="T1959" i="3" s="1"/>
  <c r="S1960" i="3"/>
  <c r="T1960" i="3" s="1"/>
  <c r="S1999" i="3"/>
  <c r="T1999" i="3" s="1"/>
  <c r="S2031" i="3"/>
  <c r="T2031" i="3" s="1"/>
  <c r="S2146" i="3"/>
  <c r="T2146" i="3" s="1"/>
  <c r="S2236" i="3"/>
  <c r="T2236" i="3" s="1"/>
  <c r="S2268" i="3"/>
  <c r="T2268" i="3" s="1"/>
  <c r="S2304" i="3"/>
  <c r="T2304" i="3" s="1"/>
  <c r="S2311" i="3"/>
  <c r="T2311" i="3" s="1"/>
  <c r="S2326" i="3"/>
  <c r="T2326" i="3" s="1"/>
  <c r="S2385" i="3"/>
  <c r="T2385" i="3" s="1"/>
  <c r="S2417" i="3"/>
  <c r="T2417" i="3" s="1"/>
  <c r="S2493" i="3"/>
  <c r="T2493" i="3" s="1"/>
  <c r="S2504" i="3"/>
  <c r="T2504" i="3" s="1"/>
  <c r="S2604" i="3"/>
  <c r="T2604" i="3" s="1"/>
  <c r="S2708" i="3"/>
  <c r="T2708" i="3" s="1"/>
  <c r="S2756" i="3"/>
  <c r="T2756" i="3" s="1"/>
  <c r="S2773" i="3"/>
  <c r="T2773" i="3" s="1"/>
  <c r="S2819" i="3"/>
  <c r="T2819" i="3" s="1"/>
  <c r="S2851" i="3"/>
  <c r="T2851" i="3" s="1"/>
  <c r="S2967" i="3"/>
  <c r="T2967" i="3" s="1"/>
  <c r="S3013" i="3"/>
  <c r="T3013" i="3" s="1"/>
  <c r="S3036" i="3"/>
  <c r="T3036" i="3" s="1"/>
  <c r="S3055" i="3"/>
  <c r="T3055" i="3" s="1"/>
  <c r="S3103" i="3"/>
  <c r="T3103" i="3" s="1"/>
  <c r="S3122" i="3"/>
  <c r="T3122" i="3" s="1"/>
  <c r="S3207" i="3"/>
  <c r="T3207" i="3" s="1"/>
  <c r="S3226" i="3"/>
  <c r="T3226" i="3" s="1"/>
  <c r="S3281" i="3"/>
  <c r="T3281" i="3" s="1"/>
  <c r="S3294" i="3"/>
  <c r="T3294" i="3" s="1"/>
  <c r="S3346" i="3"/>
  <c r="T3346" i="3" s="1"/>
  <c r="S3359" i="3"/>
  <c r="T3359" i="3" s="1"/>
  <c r="S3408" i="3"/>
  <c r="T3408" i="3" s="1"/>
  <c r="S3415" i="3"/>
  <c r="T3415" i="3" s="1"/>
  <c r="S3507" i="3"/>
  <c r="T3507" i="3" s="1"/>
  <c r="S3521" i="3"/>
  <c r="T3521" i="3" s="1"/>
  <c r="S3559" i="3"/>
  <c r="T3559" i="3" s="1"/>
  <c r="S3617" i="3"/>
  <c r="T3617" i="3" s="1"/>
  <c r="S3661" i="3"/>
  <c r="T3661" i="3" s="1"/>
  <c r="S3756" i="3"/>
  <c r="T3756" i="3" s="1"/>
  <c r="S3766" i="3"/>
  <c r="T3766" i="3" s="1"/>
  <c r="S3778" i="3"/>
  <c r="T3778" i="3" s="1"/>
  <c r="S3837" i="3"/>
  <c r="T3837" i="3" s="1"/>
  <c r="S3851" i="3"/>
  <c r="T3851" i="3" s="1"/>
  <c r="S4116" i="3"/>
  <c r="T4116" i="3" s="1"/>
  <c r="S4258" i="3"/>
  <c r="T4258" i="3" s="1"/>
  <c r="S4335" i="3"/>
  <c r="T4335" i="3" s="1"/>
  <c r="S4338" i="3"/>
  <c r="T4338" i="3" s="1"/>
  <c r="S4410" i="3"/>
  <c r="T4410" i="3" s="1"/>
  <c r="S4415" i="3"/>
  <c r="T4415" i="3" s="1"/>
  <c r="S4638" i="3"/>
  <c r="T4638" i="3" s="1"/>
  <c r="S4645" i="3"/>
  <c r="T4645" i="3" s="1"/>
  <c r="S4646" i="3"/>
  <c r="T4646" i="3" s="1"/>
  <c r="S4672" i="3"/>
  <c r="T4672" i="3" s="1"/>
  <c r="S4778" i="3"/>
  <c r="T4778" i="3" s="1"/>
  <c r="S24" i="3"/>
  <c r="T24" i="3" s="1"/>
  <c r="U24" i="3" s="1"/>
  <c r="S95" i="3"/>
  <c r="T95" i="3" s="1"/>
  <c r="U95" i="3" s="1"/>
  <c r="S149" i="3"/>
  <c r="T149" i="3" s="1"/>
  <c r="S185" i="3"/>
  <c r="T185" i="3" s="1"/>
  <c r="S225" i="3"/>
  <c r="T225" i="3" s="1"/>
  <c r="S228" i="3"/>
  <c r="T228" i="3" s="1"/>
  <c r="S229" i="3"/>
  <c r="T229" i="3" s="1"/>
  <c r="S239" i="3"/>
  <c r="T239" i="3" s="1"/>
  <c r="S254" i="3"/>
  <c r="T254" i="3" s="1"/>
  <c r="S281" i="3"/>
  <c r="T281" i="3" s="1"/>
  <c r="S321" i="3"/>
  <c r="T321" i="3" s="1"/>
  <c r="S353" i="3"/>
  <c r="T353" i="3" s="1"/>
  <c r="S418" i="3"/>
  <c r="T418" i="3" s="1"/>
  <c r="S617" i="3"/>
  <c r="T617" i="3" s="1"/>
  <c r="S658" i="3"/>
  <c r="T658" i="3" s="1"/>
  <c r="S663" i="3"/>
  <c r="T663" i="3" s="1"/>
  <c r="S693" i="3"/>
  <c r="T693" i="3" s="1"/>
  <c r="S753" i="3"/>
  <c r="T753" i="3" s="1"/>
  <c r="S755" i="3"/>
  <c r="T755" i="3" s="1"/>
  <c r="S871" i="3"/>
  <c r="T871" i="3" s="1"/>
  <c r="S913" i="3"/>
  <c r="T913" i="3" s="1"/>
  <c r="S918" i="3"/>
  <c r="T918" i="3" s="1"/>
  <c r="S960" i="3"/>
  <c r="T960" i="3" s="1"/>
  <c r="S964" i="3"/>
  <c r="T964" i="3" s="1"/>
  <c r="S972" i="3"/>
  <c r="T972" i="3" s="1"/>
  <c r="S1152" i="3"/>
  <c r="T1152" i="3" s="1"/>
  <c r="S1183" i="3"/>
  <c r="T1183" i="3" s="1"/>
  <c r="S1187" i="3"/>
  <c r="T1187" i="3" s="1"/>
  <c r="S1197" i="3"/>
  <c r="T1197" i="3" s="1"/>
  <c r="S1237" i="3"/>
  <c r="T1237" i="3" s="1"/>
  <c r="S1283" i="3"/>
  <c r="T1283" i="3" s="1"/>
  <c r="S1286" i="3"/>
  <c r="T1286" i="3" s="1"/>
  <c r="S1290" i="3"/>
  <c r="T1290" i="3" s="1"/>
  <c r="S1305" i="3"/>
  <c r="T1305" i="3" s="1"/>
  <c r="S1384" i="3"/>
  <c r="T1384" i="3" s="1"/>
  <c r="S1390" i="3"/>
  <c r="T1390" i="3" s="1"/>
  <c r="S1458" i="3"/>
  <c r="T1458" i="3" s="1"/>
  <c r="S1459" i="3"/>
  <c r="T1459" i="3" s="1"/>
  <c r="S1530" i="3"/>
  <c r="T1530" i="3" s="1"/>
  <c r="S1543" i="3"/>
  <c r="T1543" i="3" s="1"/>
  <c r="S1631" i="3"/>
  <c r="T1631" i="3" s="1"/>
  <c r="S1633" i="3"/>
  <c r="T1633" i="3" s="1"/>
  <c r="S1643" i="3"/>
  <c r="T1643" i="3" s="1"/>
  <c r="S1660" i="3"/>
  <c r="T1660" i="3" s="1"/>
  <c r="S1677" i="3"/>
  <c r="T1677" i="3" s="1"/>
  <c r="S1868" i="3"/>
  <c r="T1868" i="3" s="1"/>
  <c r="S1869" i="3"/>
  <c r="T1869" i="3" s="1"/>
  <c r="S2007" i="3"/>
  <c r="T2007" i="3" s="1"/>
  <c r="S2015" i="3"/>
  <c r="T2015" i="3" s="1"/>
  <c r="S2041" i="3"/>
  <c r="T2041" i="3" s="1"/>
  <c r="S2139" i="3"/>
  <c r="T2139" i="3" s="1"/>
  <c r="S2155" i="3"/>
  <c r="T2155" i="3" s="1"/>
  <c r="S2231" i="3"/>
  <c r="T2231" i="3" s="1"/>
  <c r="S2247" i="3"/>
  <c r="T2247" i="3" s="1"/>
  <c r="S2251" i="3"/>
  <c r="T2251" i="3" s="1"/>
  <c r="S2371" i="3"/>
  <c r="T2371" i="3" s="1"/>
  <c r="S2403" i="3"/>
  <c r="T2403" i="3" s="1"/>
  <c r="S2529" i="3"/>
  <c r="T2529" i="3" s="1"/>
  <c r="S2631" i="3"/>
  <c r="T2631" i="3" s="1"/>
  <c r="S2645" i="3"/>
  <c r="T2645" i="3" s="1"/>
  <c r="S2648" i="3"/>
  <c r="T2648" i="3" s="1"/>
  <c r="S2671" i="3"/>
  <c r="T2671" i="3" s="1"/>
  <c r="S2689" i="3"/>
  <c r="T2689" i="3" s="1"/>
  <c r="S2731" i="3"/>
  <c r="T2731" i="3" s="1"/>
  <c r="S2753" i="3"/>
  <c r="T2753" i="3" s="1"/>
  <c r="S2769" i="3"/>
  <c r="T2769" i="3" s="1"/>
  <c r="S2787" i="3"/>
  <c r="T2787" i="3" s="1"/>
  <c r="S2791" i="3"/>
  <c r="T2791" i="3" s="1"/>
  <c r="S2808" i="3"/>
  <c r="T2808" i="3" s="1"/>
  <c r="S2818" i="3"/>
  <c r="T2818" i="3" s="1"/>
  <c r="S2828" i="3"/>
  <c r="T2828" i="3" s="1"/>
  <c r="S2849" i="3"/>
  <c r="T2849" i="3" s="1"/>
  <c r="S2890" i="3"/>
  <c r="T2890" i="3" s="1"/>
  <c r="S2961" i="3"/>
  <c r="T2961" i="3" s="1"/>
  <c r="S2972" i="3"/>
  <c r="T2972" i="3" s="1"/>
  <c r="S3015" i="3"/>
  <c r="T3015" i="3" s="1"/>
  <c r="S3031" i="3"/>
  <c r="T3031" i="3" s="1"/>
  <c r="S3051" i="3"/>
  <c r="T3051" i="3" s="1"/>
  <c r="S3080" i="3"/>
  <c r="T3080" i="3" s="1"/>
  <c r="S3181" i="3"/>
  <c r="T3181" i="3" s="1"/>
  <c r="S3272" i="3"/>
  <c r="T3272" i="3" s="1"/>
  <c r="S3283" i="3"/>
  <c r="T3283" i="3" s="1"/>
  <c r="S3297" i="3"/>
  <c r="T3297" i="3" s="1"/>
  <c r="S3305" i="3"/>
  <c r="T3305" i="3" s="1"/>
  <c r="S3309" i="3"/>
  <c r="T3309" i="3" s="1"/>
  <c r="S3453" i="3"/>
  <c r="T3453" i="3" s="1"/>
  <c r="S3493" i="3"/>
  <c r="T3493" i="3" s="1"/>
  <c r="S3497" i="3"/>
  <c r="T3497" i="3" s="1"/>
  <c r="S3531" i="3"/>
  <c r="T3531" i="3" s="1"/>
  <c r="S3550" i="3"/>
  <c r="T3550" i="3" s="1"/>
  <c r="S3557" i="3"/>
  <c r="T3557" i="3" s="1"/>
  <c r="S3577" i="3"/>
  <c r="T3577" i="3" s="1"/>
  <c r="S3588" i="3"/>
  <c r="T3588" i="3" s="1"/>
  <c r="S3598" i="3"/>
  <c r="T3598" i="3" s="1"/>
  <c r="S3718" i="3"/>
  <c r="T3718" i="3" s="1"/>
  <c r="S3729" i="3"/>
  <c r="T3729" i="3" s="1"/>
  <c r="S3812" i="3"/>
  <c r="T3812" i="3" s="1"/>
  <c r="S3903" i="3"/>
  <c r="T3903" i="3" s="1"/>
  <c r="S3979" i="3"/>
  <c r="T3979" i="3" s="1"/>
  <c r="S4146" i="3"/>
  <c r="T4146" i="3" s="1"/>
  <c r="S4183" i="3"/>
  <c r="T4183" i="3" s="1"/>
  <c r="S4196" i="3"/>
  <c r="T4196" i="3" s="1"/>
  <c r="S4206" i="3"/>
  <c r="T4206" i="3" s="1"/>
  <c r="S4247" i="3"/>
  <c r="T4247" i="3" s="1"/>
  <c r="S4277" i="3"/>
  <c r="T4277" i="3" s="1"/>
  <c r="S4284" i="3"/>
  <c r="T4284" i="3" s="1"/>
  <c r="S4295" i="3"/>
  <c r="T4295" i="3" s="1"/>
  <c r="S4361" i="3"/>
  <c r="T4361" i="3" s="1"/>
  <c r="S4419" i="3"/>
  <c r="T4419" i="3" s="1"/>
  <c r="S4476" i="3"/>
  <c r="T4476" i="3" s="1"/>
  <c r="S4482" i="3"/>
  <c r="T4482" i="3" s="1"/>
  <c r="S4490" i="3"/>
  <c r="T4490" i="3" s="1"/>
  <c r="S4526" i="3"/>
  <c r="T4526" i="3" s="1"/>
  <c r="S4612" i="3"/>
  <c r="T4612" i="3" s="1"/>
  <c r="S4621" i="3"/>
  <c r="T4621" i="3" s="1"/>
  <c r="S4630" i="3"/>
  <c r="T4630" i="3" s="1"/>
  <c r="S4666" i="3"/>
  <c r="T4666" i="3" s="1"/>
  <c r="S4683" i="3"/>
  <c r="T4683" i="3" s="1"/>
  <c r="S4741" i="3"/>
  <c r="T4741" i="3" s="1"/>
  <c r="S4775" i="3"/>
  <c r="T4775" i="3" s="1"/>
  <c r="S4813" i="3"/>
  <c r="T4813" i="3" s="1"/>
  <c r="S7" i="3"/>
  <c r="T7" i="3" s="1"/>
  <c r="U7" i="3" s="1"/>
  <c r="S10" i="3"/>
  <c r="T10" i="3" s="1"/>
  <c r="U10" i="3" s="1"/>
  <c r="S57" i="3"/>
  <c r="T57" i="3" s="1"/>
  <c r="U57" i="3" s="1"/>
  <c r="S81" i="3"/>
  <c r="T81" i="3" s="1"/>
  <c r="U81" i="3" s="1"/>
  <c r="S147" i="3"/>
  <c r="T147" i="3" s="1"/>
  <c r="S157" i="3"/>
  <c r="T157" i="3" s="1"/>
  <c r="S195" i="3"/>
  <c r="T195" i="3" s="1"/>
  <c r="S203" i="3"/>
  <c r="T203" i="3" s="1"/>
  <c r="S241" i="3"/>
  <c r="T241" i="3" s="1"/>
  <c r="S299" i="3"/>
  <c r="T299" i="3" s="1"/>
  <c r="S366" i="3"/>
  <c r="T366" i="3" s="1"/>
  <c r="S374" i="3"/>
  <c r="T374" i="3" s="1"/>
  <c r="S377" i="3"/>
  <c r="T377" i="3" s="1"/>
  <c r="S391" i="3"/>
  <c r="T391" i="3" s="1"/>
  <c r="S476" i="3"/>
  <c r="T476" i="3" s="1"/>
  <c r="S487" i="3"/>
  <c r="T487" i="3" s="1"/>
  <c r="S515" i="3"/>
  <c r="T515" i="3" s="1"/>
  <c r="S584" i="3"/>
  <c r="T584" i="3" s="1"/>
  <c r="S643" i="3"/>
  <c r="T643" i="3" s="1"/>
  <c r="S708" i="3"/>
  <c r="T708" i="3" s="1"/>
  <c r="S773" i="3"/>
  <c r="T773" i="3" s="1"/>
  <c r="S849" i="3"/>
  <c r="T849" i="3" s="1"/>
  <c r="S881" i="3"/>
  <c r="T881" i="3" s="1"/>
  <c r="S889" i="3"/>
  <c r="T889" i="3" s="1"/>
  <c r="S894" i="3"/>
  <c r="T894" i="3" s="1"/>
  <c r="S895" i="3"/>
  <c r="T895" i="3" s="1"/>
  <c r="S904" i="3"/>
  <c r="T904" i="3" s="1"/>
  <c r="S957" i="3"/>
  <c r="T957" i="3" s="1"/>
  <c r="S1012" i="3"/>
  <c r="T1012" i="3" s="1"/>
  <c r="S1071" i="3"/>
  <c r="T1071" i="3" s="1"/>
  <c r="S1099" i="3"/>
  <c r="T1099" i="3" s="1"/>
  <c r="S1110" i="3"/>
  <c r="T1110" i="3" s="1"/>
  <c r="S1153" i="3"/>
  <c r="T1153" i="3" s="1"/>
  <c r="S1168" i="3"/>
  <c r="T1168" i="3" s="1"/>
  <c r="S1169" i="3"/>
  <c r="T1169" i="3" s="1"/>
  <c r="S1189" i="3"/>
  <c r="T1189" i="3" s="1"/>
  <c r="S1200" i="3"/>
  <c r="T1200" i="3" s="1"/>
  <c r="S1205" i="3"/>
  <c r="T1205" i="3" s="1"/>
  <c r="S1218" i="3"/>
  <c r="T1218" i="3" s="1"/>
  <c r="S1221" i="3"/>
  <c r="T1221" i="3" s="1"/>
  <c r="S1223" i="3"/>
  <c r="T1223" i="3" s="1"/>
  <c r="S1246" i="3"/>
  <c r="T1246" i="3" s="1"/>
  <c r="S1255" i="3"/>
  <c r="T1255" i="3" s="1"/>
  <c r="S1381" i="3"/>
  <c r="T1381" i="3" s="1"/>
  <c r="S1391" i="3"/>
  <c r="T1391" i="3" s="1"/>
  <c r="S1442" i="3"/>
  <c r="T1442" i="3" s="1"/>
  <c r="S1475" i="3"/>
  <c r="T1475" i="3" s="1"/>
  <c r="S1501" i="3"/>
  <c r="T1501" i="3" s="1"/>
  <c r="S1519" i="3"/>
  <c r="T1519" i="3" s="1"/>
  <c r="S1529" i="3"/>
  <c r="T1529" i="3" s="1"/>
  <c r="S1534" i="3"/>
  <c r="T1534" i="3" s="1"/>
  <c r="S1542" i="3"/>
  <c r="T1542" i="3" s="1"/>
  <c r="S1552" i="3"/>
  <c r="T1552" i="3" s="1"/>
  <c r="S1640" i="3"/>
  <c r="T1640" i="3" s="1"/>
  <c r="S1658" i="3"/>
  <c r="T1658" i="3" s="1"/>
  <c r="S1766" i="3"/>
  <c r="T1766" i="3" s="1"/>
  <c r="S1783" i="3"/>
  <c r="T1783" i="3" s="1"/>
  <c r="S1801" i="3"/>
  <c r="T1801" i="3" s="1"/>
  <c r="S1830" i="3"/>
  <c r="T1830" i="3" s="1"/>
  <c r="S1833" i="3"/>
  <c r="T1833" i="3" s="1"/>
  <c r="S1902" i="3"/>
  <c r="T1902" i="3" s="1"/>
  <c r="S1904" i="3"/>
  <c r="T1904" i="3" s="1"/>
  <c r="S1921" i="3"/>
  <c r="T1921" i="3" s="1"/>
  <c r="S2026" i="3"/>
  <c r="T2026" i="3" s="1"/>
  <c r="S2141" i="3"/>
  <c r="T2141" i="3" s="1"/>
  <c r="S2152" i="3"/>
  <c r="T2152" i="3" s="1"/>
  <c r="S2173" i="3"/>
  <c r="T2173" i="3" s="1"/>
  <c r="S2180" i="3"/>
  <c r="T2180" i="3" s="1"/>
  <c r="S2198" i="3"/>
  <c r="T2198" i="3" s="1"/>
  <c r="S2249" i="3"/>
  <c r="T2249" i="3" s="1"/>
  <c r="S2256" i="3"/>
  <c r="T2256" i="3" s="1"/>
  <c r="S2259" i="3"/>
  <c r="T2259" i="3" s="1"/>
  <c r="S2267" i="3"/>
  <c r="T2267" i="3" s="1"/>
  <c r="S2299" i="3"/>
  <c r="T2299" i="3" s="1"/>
  <c r="S2325" i="3"/>
  <c r="T2325" i="3" s="1"/>
  <c r="S2347" i="3"/>
  <c r="T2347" i="3" s="1"/>
  <c r="S2357" i="3"/>
  <c r="T2357" i="3" s="1"/>
  <c r="S2368" i="3"/>
  <c r="T2368" i="3" s="1"/>
  <c r="S2460" i="3"/>
  <c r="T2460" i="3" s="1"/>
  <c r="S2465" i="3"/>
  <c r="T2465" i="3" s="1"/>
  <c r="S2476" i="3"/>
  <c r="T2476" i="3" s="1"/>
  <c r="S2485" i="3"/>
  <c r="T2485" i="3" s="1"/>
  <c r="S2522" i="3"/>
  <c r="T2522" i="3" s="1"/>
  <c r="S2553" i="3"/>
  <c r="T2553" i="3" s="1"/>
  <c r="S2560" i="3"/>
  <c r="T2560" i="3" s="1"/>
  <c r="S2562" i="3"/>
  <c r="T2562" i="3" s="1"/>
  <c r="S2563" i="3"/>
  <c r="T2563" i="3" s="1"/>
  <c r="S2587" i="3"/>
  <c r="T2587" i="3" s="1"/>
  <c r="S2633" i="3"/>
  <c r="T2633" i="3" s="1"/>
  <c r="S2686" i="3"/>
  <c r="T2686" i="3" s="1"/>
  <c r="S2725" i="3"/>
  <c r="T2725" i="3" s="1"/>
  <c r="S2750" i="3"/>
  <c r="T2750" i="3" s="1"/>
  <c r="S2776" i="3"/>
  <c r="T2776" i="3" s="1"/>
  <c r="S2815" i="3"/>
  <c r="T2815" i="3" s="1"/>
  <c r="S2905" i="3"/>
  <c r="T2905" i="3" s="1"/>
  <c r="S2909" i="3"/>
  <c r="T2909" i="3" s="1"/>
  <c r="S2983" i="3"/>
  <c r="T2983" i="3" s="1"/>
  <c r="S2987" i="3"/>
  <c r="T2987" i="3" s="1"/>
  <c r="S2990" i="3"/>
  <c r="T2990" i="3" s="1"/>
  <c r="S3048" i="3"/>
  <c r="T3048" i="3" s="1"/>
  <c r="S3071" i="3"/>
  <c r="T3071" i="3" s="1"/>
  <c r="S3158" i="3"/>
  <c r="T3158" i="3" s="1"/>
  <c r="S3182" i="3"/>
  <c r="T3182" i="3" s="1"/>
  <c r="S3238" i="3"/>
  <c r="T3238" i="3" s="1"/>
  <c r="S3261" i="3"/>
  <c r="T3261" i="3" s="1"/>
  <c r="S3275" i="3"/>
  <c r="T3275" i="3" s="1"/>
  <c r="S3317" i="3"/>
  <c r="T3317" i="3" s="1"/>
  <c r="S3329" i="3"/>
  <c r="T3329" i="3" s="1"/>
  <c r="S3331" i="3"/>
  <c r="T3331" i="3" s="1"/>
  <c r="S3336" i="3"/>
  <c r="T3336" i="3" s="1"/>
  <c r="S3389" i="3"/>
  <c r="T3389" i="3" s="1"/>
  <c r="S3413" i="3"/>
  <c r="T3413" i="3" s="1"/>
  <c r="S3489" i="3"/>
  <c r="T3489" i="3" s="1"/>
  <c r="S3523" i="3"/>
  <c r="T3523" i="3" s="1"/>
  <c r="S3560" i="3"/>
  <c r="T3560" i="3" s="1"/>
  <c r="S3603" i="3"/>
  <c r="T3603" i="3" s="1"/>
  <c r="S3615" i="3"/>
  <c r="T3615" i="3" s="1"/>
  <c r="S3618" i="3"/>
  <c r="T3618" i="3" s="1"/>
  <c r="S3713" i="3"/>
  <c r="T3713" i="3" s="1"/>
  <c r="S3760" i="3"/>
  <c r="T3760" i="3" s="1"/>
  <c r="S3803" i="3"/>
  <c r="T3803" i="3" s="1"/>
  <c r="S3817" i="3"/>
  <c r="T3817" i="3" s="1"/>
  <c r="S3887" i="3"/>
  <c r="T3887" i="3" s="1"/>
  <c r="S3944" i="3"/>
  <c r="T3944" i="3" s="1"/>
  <c r="S3958" i="3"/>
  <c r="T3958" i="3" s="1"/>
  <c r="S3978" i="3"/>
  <c r="T3978" i="3" s="1"/>
  <c r="S3997" i="3"/>
  <c r="T3997" i="3" s="1"/>
  <c r="S4038" i="3"/>
  <c r="T4038" i="3" s="1"/>
  <c r="S4056" i="3"/>
  <c r="T4056" i="3" s="1"/>
  <c r="S4137" i="3"/>
  <c r="T4137" i="3" s="1"/>
  <c r="S4148" i="3"/>
  <c r="T4148" i="3" s="1"/>
  <c r="S4204" i="3"/>
  <c r="T4204" i="3" s="1"/>
  <c r="S4259" i="3"/>
  <c r="T4259" i="3" s="1"/>
  <c r="S4260" i="3"/>
  <c r="T4260" i="3" s="1"/>
  <c r="S4351" i="3"/>
  <c r="T4351" i="3" s="1"/>
  <c r="S4383" i="3"/>
  <c r="T4383" i="3" s="1"/>
  <c r="S4391" i="3"/>
  <c r="T4391" i="3" s="1"/>
  <c r="S4417" i="3"/>
  <c r="T4417" i="3" s="1"/>
  <c r="S4428" i="3"/>
  <c r="T4428" i="3" s="1"/>
  <c r="S4431" i="3"/>
  <c r="T4431" i="3" s="1"/>
  <c r="S4454" i="3"/>
  <c r="T4454" i="3" s="1"/>
  <c r="S4468" i="3"/>
  <c r="T4468" i="3" s="1"/>
  <c r="S4471" i="3"/>
  <c r="T4471" i="3" s="1"/>
  <c r="S4528" i="3"/>
  <c r="T4528" i="3" s="1"/>
  <c r="S4540" i="3"/>
  <c r="T4540" i="3" s="1"/>
  <c r="S4545" i="3"/>
  <c r="T4545" i="3" s="1"/>
  <c r="S4624" i="3"/>
  <c r="T4624" i="3" s="1"/>
  <c r="S4648" i="3"/>
  <c r="T4648" i="3" s="1"/>
  <c r="S4685" i="3"/>
  <c r="T4685" i="3" s="1"/>
  <c r="S4698" i="3"/>
  <c r="T4698" i="3" s="1"/>
  <c r="S4714" i="3"/>
  <c r="T4714" i="3" s="1"/>
  <c r="S4725" i="3"/>
  <c r="T4725" i="3" s="1"/>
  <c r="S48" i="3"/>
  <c r="T48" i="3" s="1"/>
  <c r="U48" i="3" s="1"/>
  <c r="S401" i="3"/>
  <c r="T401" i="3" s="1"/>
  <c r="S630" i="3"/>
  <c r="T630" i="3" s="1"/>
  <c r="S637" i="3"/>
  <c r="T637" i="3" s="1"/>
  <c r="S638" i="3"/>
  <c r="T638" i="3" s="1"/>
  <c r="S645" i="3"/>
  <c r="T645" i="3" s="1"/>
  <c r="S678" i="3"/>
  <c r="T678" i="3" s="1"/>
  <c r="S736" i="3"/>
  <c r="T736" i="3" s="1"/>
  <c r="S749" i="3"/>
  <c r="T749" i="3" s="1"/>
  <c r="S886" i="3"/>
  <c r="T886" i="3" s="1"/>
  <c r="S976" i="3"/>
  <c r="T976" i="3" s="1"/>
  <c r="S1058" i="3"/>
  <c r="T1058" i="3" s="1"/>
  <c r="S1120" i="3"/>
  <c r="T1120" i="3" s="1"/>
  <c r="S1130" i="3"/>
  <c r="T1130" i="3" s="1"/>
  <c r="S1186" i="3"/>
  <c r="T1186" i="3" s="1"/>
  <c r="S1212" i="3"/>
  <c r="T1212" i="3" s="1"/>
  <c r="S1261" i="3"/>
  <c r="T1261" i="3" s="1"/>
  <c r="S1403" i="3"/>
  <c r="T1403" i="3" s="1"/>
  <c r="S1460" i="3"/>
  <c r="T1460" i="3" s="1"/>
  <c r="S1471" i="3"/>
  <c r="T1471" i="3" s="1"/>
  <c r="S1545" i="3"/>
  <c r="T1545" i="3" s="1"/>
  <c r="S1548" i="3"/>
  <c r="T1548" i="3" s="1"/>
  <c r="S1572" i="3"/>
  <c r="T1572" i="3" s="1"/>
  <c r="S1591" i="3"/>
  <c r="T1591" i="3" s="1"/>
  <c r="S1600" i="3"/>
  <c r="T1600" i="3" s="1"/>
  <c r="S1611" i="3"/>
  <c r="T1611" i="3" s="1"/>
  <c r="S1671" i="3"/>
  <c r="T1671" i="3" s="1"/>
  <c r="S1742" i="3"/>
  <c r="T1742" i="3" s="1"/>
  <c r="S1769" i="3"/>
  <c r="T1769" i="3" s="1"/>
  <c r="S1839" i="3"/>
  <c r="T1839" i="3" s="1"/>
  <c r="S1877" i="3"/>
  <c r="T1877" i="3" s="1"/>
  <c r="S1912" i="3"/>
  <c r="T1912" i="3" s="1"/>
  <c r="S1980" i="3"/>
  <c r="T1980" i="3" s="1"/>
  <c r="S1986" i="3"/>
  <c r="T1986" i="3" s="1"/>
  <c r="S1988" i="3"/>
  <c r="T1988" i="3" s="1"/>
  <c r="S2099" i="3"/>
  <c r="T2099" i="3" s="1"/>
  <c r="S2129" i="3"/>
  <c r="T2129" i="3" s="1"/>
  <c r="S2150" i="3"/>
  <c r="T2150" i="3" s="1"/>
  <c r="S2177" i="3"/>
  <c r="T2177" i="3" s="1"/>
  <c r="S2350" i="3"/>
  <c r="T2350" i="3" s="1"/>
  <c r="S2480" i="3"/>
  <c r="T2480" i="3" s="1"/>
  <c r="S2551" i="3"/>
  <c r="T2551" i="3" s="1"/>
  <c r="S2612" i="3"/>
  <c r="T2612" i="3" s="1"/>
  <c r="S2718" i="3"/>
  <c r="T2718" i="3" s="1"/>
  <c r="S2810" i="3"/>
  <c r="T2810" i="3" s="1"/>
  <c r="S2947" i="3"/>
  <c r="T2947" i="3" s="1"/>
  <c r="S2980" i="3"/>
  <c r="T2980" i="3" s="1"/>
  <c r="S2984" i="3"/>
  <c r="T2984" i="3" s="1"/>
  <c r="S2986" i="3"/>
  <c r="T2986" i="3" s="1"/>
  <c r="S2989" i="3"/>
  <c r="T2989" i="3" s="1"/>
  <c r="S3163" i="3"/>
  <c r="T3163" i="3" s="1"/>
  <c r="S3170" i="3"/>
  <c r="T3170" i="3" s="1"/>
  <c r="S3201" i="3"/>
  <c r="T3201" i="3" s="1"/>
  <c r="S3303" i="3"/>
  <c r="T3303" i="3" s="1"/>
  <c r="S3306" i="3"/>
  <c r="T3306" i="3" s="1"/>
  <c r="S3433" i="3"/>
  <c r="T3433" i="3" s="1"/>
  <c r="S3473" i="3"/>
  <c r="T3473" i="3" s="1"/>
  <c r="S3491" i="3"/>
  <c r="T3491" i="3" s="1"/>
  <c r="S3529" i="3"/>
  <c r="T3529" i="3" s="1"/>
  <c r="S3543" i="3"/>
  <c r="T3543" i="3" s="1"/>
  <c r="S3650" i="3"/>
  <c r="T3650" i="3" s="1"/>
  <c r="S3679" i="3"/>
  <c r="T3679" i="3" s="1"/>
  <c r="S3750" i="3"/>
  <c r="T3750" i="3" s="1"/>
  <c r="S3808" i="3"/>
  <c r="T3808" i="3" s="1"/>
  <c r="S3834" i="3"/>
  <c r="T3834" i="3" s="1"/>
  <c r="S3915" i="3"/>
  <c r="T3915" i="3" s="1"/>
  <c r="S4205" i="3"/>
  <c r="T4205" i="3" s="1"/>
  <c r="S4231" i="3"/>
  <c r="T4231" i="3" s="1"/>
  <c r="S4380" i="3"/>
  <c r="T4380" i="3" s="1"/>
  <c r="S4406" i="3"/>
  <c r="T4406" i="3" s="1"/>
  <c r="S4466" i="3"/>
  <c r="T4466" i="3" s="1"/>
  <c r="S4693" i="3"/>
  <c r="T4693" i="3" s="1"/>
  <c r="S4705" i="3"/>
  <c r="T4705" i="3" s="1"/>
  <c r="S4748" i="3"/>
  <c r="T4748" i="3" s="1"/>
  <c r="S4804" i="3"/>
  <c r="T4804" i="3" s="1"/>
  <c r="S2" i="3"/>
  <c r="T2" i="3" s="1"/>
  <c r="U2" i="3" s="1"/>
  <c r="S22" i="3"/>
  <c r="T22" i="3" s="1"/>
  <c r="U22" i="3" s="1"/>
  <c r="S26" i="3"/>
  <c r="T26" i="3" s="1"/>
  <c r="U26" i="3" s="1"/>
  <c r="S38" i="3"/>
  <c r="T38" i="3" s="1"/>
  <c r="U38" i="3" s="1"/>
  <c r="S58" i="3"/>
  <c r="T58" i="3" s="1"/>
  <c r="U58" i="3" s="1"/>
  <c r="S92" i="3"/>
  <c r="T92" i="3" s="1"/>
  <c r="U92" i="3" s="1"/>
  <c r="S137" i="3"/>
  <c r="T137" i="3" s="1"/>
  <c r="U137" i="3" s="1"/>
  <c r="S155" i="3"/>
  <c r="T155" i="3" s="1"/>
  <c r="U155" i="3" s="1"/>
  <c r="S162" i="3"/>
  <c r="T162" i="3" s="1"/>
  <c r="U162" i="3" s="1"/>
  <c r="S171" i="3"/>
  <c r="T171" i="3" s="1"/>
  <c r="U171" i="3" s="1"/>
  <c r="S177" i="3"/>
  <c r="T177" i="3" s="1"/>
  <c r="S214" i="3"/>
  <c r="T214" i="3" s="1"/>
  <c r="S233" i="3"/>
  <c r="T233" i="3" s="1"/>
  <c r="S246" i="3"/>
  <c r="T246" i="3" s="1"/>
  <c r="S259" i="3"/>
  <c r="T259" i="3" s="1"/>
  <c r="S301" i="3"/>
  <c r="T301" i="3" s="1"/>
  <c r="S319" i="3"/>
  <c r="T319" i="3" s="1"/>
  <c r="S328" i="3"/>
  <c r="T328" i="3" s="1"/>
  <c r="S333" i="3"/>
  <c r="T333" i="3" s="1"/>
  <c r="S336" i="3"/>
  <c r="T336" i="3" s="1"/>
  <c r="S350" i="3"/>
  <c r="T350" i="3" s="1"/>
  <c r="S383" i="3"/>
  <c r="T383" i="3" s="1"/>
  <c r="S400" i="3"/>
  <c r="T400" i="3" s="1"/>
  <c r="S419" i="3"/>
  <c r="T419" i="3" s="1"/>
  <c r="S423" i="3"/>
  <c r="T423" i="3" s="1"/>
  <c r="S449" i="3"/>
  <c r="T449" i="3" s="1"/>
  <c r="S501" i="3"/>
  <c r="T501" i="3" s="1"/>
  <c r="S516" i="3"/>
  <c r="T516" i="3" s="1"/>
  <c r="S535" i="3"/>
  <c r="T535" i="3" s="1"/>
  <c r="S560" i="3"/>
  <c r="T560" i="3" s="1"/>
  <c r="S577" i="3"/>
  <c r="T577" i="3" s="1"/>
  <c r="S625" i="3"/>
  <c r="T625" i="3" s="1"/>
  <c r="S627" i="3"/>
  <c r="T627" i="3" s="1"/>
  <c r="S676" i="3"/>
  <c r="T676" i="3" s="1"/>
  <c r="S719" i="3"/>
  <c r="T719" i="3" s="1"/>
  <c r="S742" i="3"/>
  <c r="T742" i="3" s="1"/>
  <c r="S744" i="3"/>
  <c r="T744" i="3" s="1"/>
  <c r="S751" i="3"/>
  <c r="T751" i="3" s="1"/>
  <c r="S754" i="3"/>
  <c r="T754" i="3" s="1"/>
  <c r="S756" i="3"/>
  <c r="T756" i="3" s="1"/>
  <c r="S786" i="3"/>
  <c r="T786" i="3" s="1"/>
  <c r="S789" i="3"/>
  <c r="T789" i="3" s="1"/>
  <c r="S810" i="3"/>
  <c r="T810" i="3" s="1"/>
  <c r="S813" i="3"/>
  <c r="T813" i="3" s="1"/>
  <c r="S814" i="3"/>
  <c r="T814" i="3" s="1"/>
  <c r="S842" i="3"/>
  <c r="T842" i="3" s="1"/>
  <c r="S872" i="3"/>
  <c r="T872" i="3" s="1"/>
  <c r="S887" i="3"/>
  <c r="T887" i="3" s="1"/>
  <c r="S924" i="3"/>
  <c r="T924" i="3" s="1"/>
  <c r="S925" i="3"/>
  <c r="T925" i="3" s="1"/>
  <c r="S934" i="3"/>
  <c r="T934" i="3" s="1"/>
  <c r="S981" i="3"/>
  <c r="T981" i="3" s="1"/>
  <c r="S1018" i="3"/>
  <c r="T1018" i="3" s="1"/>
  <c r="S1059" i="3"/>
  <c r="T1059" i="3" s="1"/>
  <c r="S1075" i="3"/>
  <c r="T1075" i="3" s="1"/>
  <c r="S1082" i="3"/>
  <c r="T1082" i="3" s="1"/>
  <c r="S1085" i="3"/>
  <c r="T1085" i="3" s="1"/>
  <c r="S1087" i="3"/>
  <c r="T1087" i="3" s="1"/>
  <c r="S1091" i="3"/>
  <c r="T1091" i="3" s="1"/>
  <c r="S1104" i="3"/>
  <c r="T1104" i="3" s="1"/>
  <c r="S1109" i="3"/>
  <c r="T1109" i="3" s="1"/>
  <c r="S1151" i="3"/>
  <c r="T1151" i="3" s="1"/>
  <c r="S1174" i="3"/>
  <c r="T1174" i="3" s="1"/>
  <c r="S1195" i="3"/>
  <c r="T1195" i="3" s="1"/>
  <c r="S1225" i="3"/>
  <c r="T1225" i="3" s="1"/>
  <c r="S1268" i="3"/>
  <c r="T1268" i="3" s="1"/>
  <c r="S1331" i="3"/>
  <c r="T1331" i="3" s="1"/>
  <c r="S1334" i="3"/>
  <c r="T1334" i="3" s="1"/>
  <c r="S1373" i="3"/>
  <c r="T1373" i="3" s="1"/>
  <c r="S1406" i="3"/>
  <c r="T1406" i="3" s="1"/>
  <c r="S1407" i="3"/>
  <c r="T1407" i="3" s="1"/>
  <c r="S1446" i="3"/>
  <c r="T1446" i="3" s="1"/>
  <c r="S1463" i="3"/>
  <c r="T1463" i="3" s="1"/>
  <c r="S1509" i="3"/>
  <c r="T1509" i="3" s="1"/>
  <c r="S1579" i="3"/>
  <c r="T1579" i="3" s="1"/>
  <c r="S1616" i="3"/>
  <c r="T1616" i="3" s="1"/>
  <c r="S1636" i="3"/>
  <c r="T1636" i="3" s="1"/>
  <c r="S1666" i="3"/>
  <c r="T1666" i="3" s="1"/>
  <c r="S1675" i="3"/>
  <c r="T1675" i="3" s="1"/>
  <c r="S1692" i="3"/>
  <c r="T1692" i="3" s="1"/>
  <c r="S1731" i="3"/>
  <c r="T1731" i="3" s="1"/>
  <c r="S1749" i="3"/>
  <c r="T1749" i="3" s="1"/>
  <c r="S1814" i="3"/>
  <c r="T1814" i="3" s="1"/>
  <c r="S1829" i="3"/>
  <c r="T1829" i="3" s="1"/>
  <c r="S1992" i="3"/>
  <c r="T1992" i="3" s="1"/>
  <c r="S2016" i="3"/>
  <c r="T2016" i="3" s="1"/>
  <c r="S2046" i="3"/>
  <c r="T2046" i="3" s="1"/>
  <c r="S2050" i="3"/>
  <c r="T2050" i="3" s="1"/>
  <c r="S2116" i="3"/>
  <c r="T2116" i="3" s="1"/>
  <c r="S2121" i="3"/>
  <c r="T2121" i="3" s="1"/>
  <c r="S2162" i="3"/>
  <c r="T2162" i="3" s="1"/>
  <c r="S2191" i="3"/>
  <c r="T2191" i="3" s="1"/>
  <c r="S2212" i="3"/>
  <c r="T2212" i="3" s="1"/>
  <c r="S2220" i="3"/>
  <c r="T2220" i="3" s="1"/>
  <c r="S2300" i="3"/>
  <c r="T2300" i="3" s="1"/>
  <c r="S2369" i="3"/>
  <c r="T2369" i="3" s="1"/>
  <c r="S2377" i="3"/>
  <c r="T2377" i="3" s="1"/>
  <c r="S2406" i="3"/>
  <c r="T2406" i="3" s="1"/>
  <c r="S2438" i="3"/>
  <c r="T2438" i="3" s="1"/>
  <c r="S2441" i="3"/>
  <c r="T2441" i="3" s="1"/>
  <c r="S2477" i="3"/>
  <c r="T2477" i="3" s="1"/>
  <c r="S2554" i="3"/>
  <c r="T2554" i="3" s="1"/>
  <c r="S2558" i="3"/>
  <c r="T2558" i="3" s="1"/>
  <c r="S2577" i="3"/>
  <c r="T2577" i="3" s="1"/>
  <c r="S2622" i="3"/>
  <c r="T2622" i="3" s="1"/>
  <c r="S2661" i="3"/>
  <c r="T2661" i="3" s="1"/>
  <c r="S2673" i="3"/>
  <c r="T2673" i="3" s="1"/>
  <c r="S2683" i="3"/>
  <c r="T2683" i="3" s="1"/>
  <c r="S2704" i="3"/>
  <c r="T2704" i="3" s="1"/>
  <c r="S2747" i="3"/>
  <c r="T2747" i="3" s="1"/>
  <c r="S2794" i="3"/>
  <c r="T2794" i="3" s="1"/>
  <c r="S2821" i="3"/>
  <c r="T2821" i="3" s="1"/>
  <c r="S2841" i="3"/>
  <c r="T2841" i="3" s="1"/>
  <c r="S2877" i="3"/>
  <c r="T2877" i="3" s="1"/>
  <c r="S2879" i="3"/>
  <c r="T2879" i="3" s="1"/>
  <c r="S2888" i="3"/>
  <c r="T2888" i="3" s="1"/>
  <c r="S2889" i="3"/>
  <c r="T2889" i="3" s="1"/>
  <c r="S2891" i="3"/>
  <c r="T2891" i="3" s="1"/>
  <c r="S2912" i="3"/>
  <c r="T2912" i="3" s="1"/>
  <c r="S2933" i="3"/>
  <c r="T2933" i="3" s="1"/>
  <c r="S2937" i="3"/>
  <c r="T2937" i="3" s="1"/>
  <c r="S2952" i="3"/>
  <c r="T2952" i="3" s="1"/>
  <c r="S2996" i="3"/>
  <c r="T2996" i="3" s="1"/>
  <c r="S3003" i="3"/>
  <c r="T3003" i="3" s="1"/>
  <c r="S3016" i="3"/>
  <c r="T3016" i="3" s="1"/>
  <c r="S3017" i="3"/>
  <c r="T3017" i="3" s="1"/>
  <c r="S3040" i="3"/>
  <c r="T3040" i="3" s="1"/>
  <c r="S3043" i="3"/>
  <c r="T3043" i="3" s="1"/>
  <c r="S3059" i="3"/>
  <c r="T3059" i="3" s="1"/>
  <c r="S3099" i="3"/>
  <c r="T3099" i="3" s="1"/>
  <c r="S3142" i="3"/>
  <c r="T3142" i="3" s="1"/>
  <c r="S3233" i="3"/>
  <c r="T3233" i="3" s="1"/>
  <c r="S3235" i="3"/>
  <c r="T3235" i="3" s="1"/>
  <c r="S3237" i="3"/>
  <c r="T3237" i="3" s="1"/>
  <c r="S3240" i="3"/>
  <c r="T3240" i="3" s="1"/>
  <c r="S3271" i="3"/>
  <c r="T3271" i="3" s="1"/>
  <c r="S3337" i="3"/>
  <c r="T3337" i="3" s="1"/>
  <c r="S3340" i="3"/>
  <c r="T3340" i="3" s="1"/>
  <c r="S3385" i="3"/>
  <c r="T3385" i="3" s="1"/>
  <c r="S3441" i="3"/>
  <c r="T3441" i="3" s="1"/>
  <c r="S3459" i="3"/>
  <c r="T3459" i="3" s="1"/>
  <c r="S3461" i="3"/>
  <c r="T3461" i="3" s="1"/>
  <c r="S3485" i="3"/>
  <c r="T3485" i="3" s="1"/>
  <c r="S3517" i="3"/>
  <c r="T3517" i="3" s="1"/>
  <c r="S3541" i="3"/>
  <c r="T3541" i="3" s="1"/>
  <c r="S3563" i="3"/>
  <c r="T3563" i="3" s="1"/>
  <c r="S3568" i="3"/>
  <c r="T3568" i="3" s="1"/>
  <c r="S3610" i="3"/>
  <c r="T3610" i="3" s="1"/>
  <c r="S3619" i="3"/>
  <c r="T3619" i="3" s="1"/>
  <c r="S3634" i="3"/>
  <c r="T3634" i="3" s="1"/>
  <c r="S3663" i="3"/>
  <c r="T3663" i="3" s="1"/>
  <c r="S3680" i="3"/>
  <c r="T3680" i="3" s="1"/>
  <c r="S3689" i="3"/>
  <c r="T3689" i="3" s="1"/>
  <c r="S3822" i="3"/>
  <c r="T3822" i="3" s="1"/>
  <c r="S3829" i="3"/>
  <c r="T3829" i="3" s="1"/>
  <c r="S3845" i="3"/>
  <c r="T3845" i="3" s="1"/>
  <c r="S3859" i="3"/>
  <c r="T3859" i="3" s="1"/>
  <c r="S3861" i="3"/>
  <c r="T3861" i="3" s="1"/>
  <c r="S3921" i="3"/>
  <c r="T3921" i="3" s="1"/>
  <c r="S3936" i="3"/>
  <c r="T3936" i="3" s="1"/>
  <c r="S3937" i="3"/>
  <c r="T3937" i="3" s="1"/>
  <c r="S3947" i="3"/>
  <c r="T3947" i="3" s="1"/>
  <c r="S3959" i="3"/>
  <c r="T3959" i="3" s="1"/>
  <c r="S4128" i="3"/>
  <c r="T4128" i="3" s="1"/>
  <c r="S4172" i="3"/>
  <c r="T4172" i="3" s="1"/>
  <c r="S4193" i="3"/>
  <c r="T4193" i="3" s="1"/>
  <c r="S4213" i="3"/>
  <c r="T4213" i="3" s="1"/>
  <c r="S4282" i="3"/>
  <c r="T4282" i="3" s="1"/>
  <c r="S4379" i="3"/>
  <c r="T4379" i="3" s="1"/>
  <c r="S4472" i="3"/>
  <c r="T4472" i="3" s="1"/>
  <c r="S4525" i="3"/>
  <c r="T4525" i="3" s="1"/>
  <c r="S4562" i="3"/>
  <c r="T4562" i="3" s="1"/>
  <c r="S4573" i="3"/>
  <c r="T4573" i="3" s="1"/>
  <c r="S4625" i="3"/>
  <c r="T4625" i="3" s="1"/>
  <c r="S4651" i="3"/>
  <c r="T4651" i="3" s="1"/>
  <c r="S4697" i="3"/>
  <c r="T4697" i="3" s="1"/>
  <c r="S4729" i="3"/>
  <c r="T4729" i="3" s="1"/>
  <c r="S4736" i="3"/>
  <c r="T4736" i="3" s="1"/>
  <c r="S4798" i="3"/>
  <c r="T4798" i="3" s="1"/>
  <c r="S4830" i="3"/>
  <c r="T4830" i="3" s="1"/>
  <c r="S323" i="3"/>
  <c r="T323" i="3" s="1"/>
  <c r="S526" i="3"/>
  <c r="T526" i="3" s="1"/>
  <c r="S1423" i="3"/>
  <c r="T1423" i="3" s="1"/>
  <c r="S2166" i="3"/>
  <c r="T2166" i="3" s="1"/>
  <c r="S2186" i="3"/>
  <c r="T2186" i="3" s="1"/>
  <c r="S2344" i="3"/>
  <c r="T2344" i="3" s="1"/>
  <c r="S2799" i="3"/>
  <c r="T2799" i="3" s="1"/>
  <c r="S2931" i="3"/>
  <c r="T2931" i="3" s="1"/>
  <c r="S3058" i="3"/>
  <c r="T3058" i="3" s="1"/>
  <c r="S3710" i="3"/>
  <c r="T3710" i="3" s="1"/>
  <c r="S4134" i="3"/>
  <c r="T4134" i="3" s="1"/>
  <c r="S4167" i="3"/>
  <c r="T4167" i="3" s="1"/>
  <c r="S4208" i="3"/>
  <c r="T4208" i="3" s="1"/>
  <c r="S4682" i="3"/>
  <c r="T4682" i="3" s="1"/>
  <c r="S1315" i="3"/>
  <c r="T1315" i="3" s="1"/>
  <c r="S2210" i="3"/>
  <c r="T2210" i="3" s="1"/>
  <c r="S2222" i="3"/>
  <c r="T2222" i="3" s="1"/>
  <c r="S2394" i="3"/>
  <c r="T2394" i="3" s="1"/>
  <c r="S2418" i="3"/>
  <c r="T2418" i="3" s="1"/>
  <c r="S3469" i="3"/>
  <c r="T3469" i="3" s="1"/>
  <c r="S3824" i="3"/>
  <c r="T3824" i="3" s="1"/>
  <c r="S4484" i="3"/>
  <c r="T4484" i="3" s="1"/>
  <c r="S4733" i="3"/>
  <c r="T4733" i="3" s="1"/>
  <c r="S4825" i="3"/>
  <c r="T4825" i="3" s="1"/>
  <c r="S86" i="3"/>
  <c r="T86" i="3" s="1"/>
  <c r="U86" i="3" s="1"/>
  <c r="S235" i="3"/>
  <c r="T235" i="3" s="1"/>
  <c r="S280" i="3"/>
  <c r="T280" i="3" s="1"/>
  <c r="S289" i="3"/>
  <c r="T289" i="3" s="1"/>
  <c r="S331" i="3"/>
  <c r="T331" i="3" s="1"/>
  <c r="S351" i="3"/>
  <c r="T351" i="3" s="1"/>
  <c r="S497" i="3"/>
  <c r="T497" i="3" s="1"/>
  <c r="S505" i="3"/>
  <c r="T505" i="3" s="1"/>
  <c r="S520" i="3"/>
  <c r="T520" i="3" s="1"/>
  <c r="S521" i="3"/>
  <c r="T521" i="3" s="1"/>
  <c r="S653" i="3"/>
  <c r="T653" i="3" s="1"/>
  <c r="S673" i="3"/>
  <c r="T673" i="3" s="1"/>
  <c r="S696" i="3"/>
  <c r="T696" i="3" s="1"/>
  <c r="S702" i="3"/>
  <c r="T702" i="3" s="1"/>
  <c r="S812" i="3"/>
  <c r="T812" i="3" s="1"/>
  <c r="S829" i="3"/>
  <c r="T829" i="3" s="1"/>
  <c r="S965" i="3"/>
  <c r="T965" i="3" s="1"/>
  <c r="S978" i="3"/>
  <c r="T978" i="3" s="1"/>
  <c r="S1045" i="3"/>
  <c r="T1045" i="3" s="1"/>
  <c r="S1064" i="3"/>
  <c r="T1064" i="3" s="1"/>
  <c r="S1118" i="3"/>
  <c r="T1118" i="3" s="1"/>
  <c r="S1249" i="3"/>
  <c r="T1249" i="3" s="1"/>
  <c r="S1325" i="3"/>
  <c r="T1325" i="3" s="1"/>
  <c r="S1363" i="3"/>
  <c r="T1363" i="3" s="1"/>
  <c r="S1493" i="3"/>
  <c r="T1493" i="3" s="1"/>
  <c r="S1504" i="3"/>
  <c r="T1504" i="3" s="1"/>
  <c r="S1517" i="3"/>
  <c r="T1517" i="3" s="1"/>
  <c r="S1532" i="3"/>
  <c r="T1532" i="3" s="1"/>
  <c r="S1607" i="3"/>
  <c r="T1607" i="3" s="1"/>
  <c r="S1707" i="3"/>
  <c r="T1707" i="3" s="1"/>
  <c r="S1757" i="3"/>
  <c r="T1757" i="3" s="1"/>
  <c r="S1805" i="3"/>
  <c r="T1805" i="3" s="1"/>
  <c r="S2003" i="3"/>
  <c r="T2003" i="3" s="1"/>
  <c r="S2043" i="3"/>
  <c r="T2043" i="3" s="1"/>
  <c r="S2095" i="3"/>
  <c r="T2095" i="3" s="1"/>
  <c r="S2271" i="3"/>
  <c r="T2271" i="3" s="1"/>
  <c r="S2290" i="3"/>
  <c r="T2290" i="3" s="1"/>
  <c r="S2340" i="3"/>
  <c r="T2340" i="3" s="1"/>
  <c r="S2341" i="3"/>
  <c r="T2341" i="3" s="1"/>
  <c r="S2423" i="3"/>
  <c r="T2423" i="3" s="1"/>
  <c r="S2484" i="3"/>
  <c r="T2484" i="3" s="1"/>
  <c r="S2506" i="3"/>
  <c r="T2506" i="3" s="1"/>
  <c r="S2544" i="3"/>
  <c r="T2544" i="3" s="1"/>
  <c r="S2572" i="3"/>
  <c r="T2572" i="3" s="1"/>
  <c r="S2603" i="3"/>
  <c r="T2603" i="3" s="1"/>
  <c r="S2638" i="3"/>
  <c r="T2638" i="3" s="1"/>
  <c r="S2716" i="3"/>
  <c r="T2716" i="3" s="1"/>
  <c r="S2744" i="3"/>
  <c r="T2744" i="3" s="1"/>
  <c r="S2836" i="3"/>
  <c r="T2836" i="3" s="1"/>
  <c r="S2919" i="3"/>
  <c r="T2919" i="3" s="1"/>
  <c r="S2927" i="3"/>
  <c r="T2927" i="3" s="1"/>
  <c r="S2928" i="3"/>
  <c r="T2928" i="3" s="1"/>
  <c r="S2994" i="3"/>
  <c r="T2994" i="3" s="1"/>
  <c r="S3041" i="3"/>
  <c r="T3041" i="3" s="1"/>
  <c r="S3096" i="3"/>
  <c r="T3096" i="3" s="1"/>
  <c r="S3104" i="3"/>
  <c r="T3104" i="3" s="1"/>
  <c r="S3108" i="3"/>
  <c r="T3108" i="3" s="1"/>
  <c r="S3123" i="3"/>
  <c r="T3123" i="3" s="1"/>
  <c r="S3126" i="3"/>
  <c r="T3126" i="3" s="1"/>
  <c r="S3167" i="3"/>
  <c r="T3167" i="3" s="1"/>
  <c r="S3179" i="3"/>
  <c r="T3179" i="3" s="1"/>
  <c r="S3292" i="3"/>
  <c r="T3292" i="3" s="1"/>
  <c r="S3333" i="3"/>
  <c r="T3333" i="3" s="1"/>
  <c r="S3344" i="3"/>
  <c r="T3344" i="3" s="1"/>
  <c r="S3393" i="3"/>
  <c r="T3393" i="3" s="1"/>
  <c r="S3399" i="3"/>
  <c r="T3399" i="3" s="1"/>
  <c r="S3435" i="3"/>
  <c r="T3435" i="3" s="1"/>
  <c r="S3530" i="3"/>
  <c r="T3530" i="3" s="1"/>
  <c r="S3558" i="3"/>
  <c r="T3558" i="3" s="1"/>
  <c r="S3564" i="3"/>
  <c r="T3564" i="3" s="1"/>
  <c r="S3678" i="3"/>
  <c r="T3678" i="3" s="1"/>
  <c r="S3720" i="3"/>
  <c r="T3720" i="3" s="1"/>
  <c r="S3723" i="3"/>
  <c r="T3723" i="3" s="1"/>
  <c r="S3725" i="3"/>
  <c r="T3725" i="3" s="1"/>
  <c r="S3736" i="3"/>
  <c r="T3736" i="3" s="1"/>
  <c r="S3811" i="3"/>
  <c r="T3811" i="3" s="1"/>
  <c r="S3821" i="3"/>
  <c r="T3821" i="3" s="1"/>
  <c r="S3869" i="3"/>
  <c r="T3869" i="3" s="1"/>
  <c r="S3966" i="3"/>
  <c r="T3966" i="3" s="1"/>
  <c r="S4033" i="3"/>
  <c r="T4033" i="3" s="1"/>
  <c r="S4141" i="3"/>
  <c r="T4141" i="3" s="1"/>
  <c r="S4157" i="3"/>
  <c r="T4157" i="3" s="1"/>
  <c r="S4165" i="3"/>
  <c r="T4165" i="3" s="1"/>
  <c r="S4198" i="3"/>
  <c r="T4198" i="3" s="1"/>
  <c r="S4202" i="3"/>
  <c r="T4202" i="3" s="1"/>
  <c r="S4309" i="3"/>
  <c r="T4309" i="3" s="1"/>
  <c r="S4319" i="3"/>
  <c r="T4319" i="3" s="1"/>
  <c r="S4339" i="3"/>
  <c r="T4339" i="3" s="1"/>
  <c r="S4421" i="3"/>
  <c r="T4421" i="3" s="1"/>
  <c r="S4443" i="3"/>
  <c r="T4443" i="3" s="1"/>
  <c r="S4558" i="3"/>
  <c r="T4558" i="3" s="1"/>
  <c r="S4708" i="3"/>
  <c r="T4708" i="3" s="1"/>
  <c r="S4709" i="3"/>
  <c r="T4709" i="3" s="1"/>
  <c r="S4759" i="3"/>
  <c r="T4759" i="3" s="1"/>
  <c r="S4766" i="3"/>
  <c r="T4766" i="3" s="1"/>
  <c r="S4784" i="3"/>
  <c r="T4784" i="3" s="1"/>
  <c r="S62" i="3"/>
  <c r="T62" i="3" s="1"/>
  <c r="U62" i="3" s="1"/>
  <c r="S66" i="3"/>
  <c r="T66" i="3" s="1"/>
  <c r="U66" i="3" s="1"/>
  <c r="S113" i="3"/>
  <c r="T113" i="3" s="1"/>
  <c r="U113" i="3" s="1"/>
  <c r="S164" i="3"/>
  <c r="T164" i="3" s="1"/>
  <c r="U164" i="3" s="1"/>
  <c r="S169" i="3"/>
  <c r="T169" i="3" s="1"/>
  <c r="U169" i="3" s="1"/>
  <c r="S213" i="3"/>
  <c r="T213" i="3" s="1"/>
  <c r="U213" i="3" s="1"/>
  <c r="S231" i="3"/>
  <c r="T231" i="3" s="1"/>
  <c r="U231" i="3" s="1"/>
  <c r="S382" i="3"/>
  <c r="T382" i="3" s="1"/>
  <c r="S387" i="3"/>
  <c r="T387" i="3" s="1"/>
  <c r="S525" i="3"/>
  <c r="T525" i="3" s="1"/>
  <c r="S534" i="3"/>
  <c r="T534" i="3" s="1"/>
  <c r="S536" i="3"/>
  <c r="T536" i="3" s="1"/>
  <c r="S583" i="3"/>
  <c r="T583" i="3" s="1"/>
  <c r="S615" i="3"/>
  <c r="T615" i="3" s="1"/>
  <c r="S722" i="3"/>
  <c r="T722" i="3" s="1"/>
  <c r="S745" i="3"/>
  <c r="T745" i="3" s="1"/>
  <c r="S787" i="3"/>
  <c r="T787" i="3" s="1"/>
  <c r="S799" i="3"/>
  <c r="T799" i="3" s="1"/>
  <c r="S817" i="3"/>
  <c r="T817" i="3" s="1"/>
  <c r="S832" i="3"/>
  <c r="T832" i="3" s="1"/>
  <c r="S1001" i="3"/>
  <c r="T1001" i="3" s="1"/>
  <c r="S1021" i="3"/>
  <c r="T1021" i="3" s="1"/>
  <c r="S1049" i="3"/>
  <c r="T1049" i="3" s="1"/>
  <c r="S1083" i="3"/>
  <c r="T1083" i="3" s="1"/>
  <c r="S1191" i="3"/>
  <c r="T1191" i="3" s="1"/>
  <c r="S1243" i="3"/>
  <c r="T1243" i="3" s="1"/>
  <c r="S1260" i="3"/>
  <c r="T1260" i="3" s="1"/>
  <c r="S1287" i="3"/>
  <c r="T1287" i="3" s="1"/>
  <c r="S1292" i="3"/>
  <c r="T1292" i="3" s="1"/>
  <c r="S1299" i="3"/>
  <c r="T1299" i="3" s="1"/>
  <c r="S1302" i="3"/>
  <c r="T1302" i="3" s="1"/>
  <c r="S1304" i="3"/>
  <c r="T1304" i="3" s="1"/>
  <c r="S1327" i="3"/>
  <c r="T1327" i="3" s="1"/>
  <c r="S1448" i="3"/>
  <c r="T1448" i="3" s="1"/>
  <c r="S1455" i="3"/>
  <c r="T1455" i="3" s="1"/>
  <c r="S1487" i="3"/>
  <c r="T1487" i="3" s="1"/>
  <c r="S1510" i="3"/>
  <c r="T1510" i="3" s="1"/>
  <c r="S1553" i="3"/>
  <c r="T1553" i="3" s="1"/>
  <c r="S1559" i="3"/>
  <c r="T1559" i="3" s="1"/>
  <c r="S1570" i="3"/>
  <c r="T1570" i="3" s="1"/>
  <c r="S1601" i="3"/>
  <c r="T1601" i="3" s="1"/>
  <c r="S1632" i="3"/>
  <c r="T1632" i="3" s="1"/>
  <c r="S1638" i="3"/>
  <c r="T1638" i="3" s="1"/>
  <c r="S1751" i="3"/>
  <c r="T1751" i="3" s="1"/>
  <c r="S1754" i="3"/>
  <c r="T1754" i="3" s="1"/>
  <c r="S1755" i="3"/>
  <c r="T1755" i="3" s="1"/>
  <c r="S1923" i="3"/>
  <c r="T1923" i="3" s="1"/>
  <c r="S2018" i="3"/>
  <c r="T2018" i="3" s="1"/>
  <c r="S2025" i="3"/>
  <c r="T2025" i="3" s="1"/>
  <c r="S2033" i="3"/>
  <c r="T2033" i="3" s="1"/>
  <c r="S2119" i="3"/>
  <c r="T2119" i="3" s="1"/>
  <c r="S2156" i="3"/>
  <c r="T2156" i="3" s="1"/>
  <c r="S2165" i="3"/>
  <c r="T2165" i="3" s="1"/>
  <c r="S2184" i="3"/>
  <c r="T2184" i="3" s="1"/>
  <c r="S2188" i="3"/>
  <c r="T2188" i="3" s="1"/>
  <c r="S2217" i="3"/>
  <c r="T2217" i="3" s="1"/>
  <c r="S2238" i="3"/>
  <c r="T2238" i="3" s="1"/>
  <c r="S2318" i="3"/>
  <c r="T2318" i="3" s="1"/>
  <c r="S2324" i="3"/>
  <c r="T2324" i="3" s="1"/>
  <c r="S2431" i="3"/>
  <c r="T2431" i="3" s="1"/>
  <c r="S2432" i="3"/>
  <c r="T2432" i="3" s="1"/>
  <c r="S2448" i="3"/>
  <c r="T2448" i="3" s="1"/>
  <c r="S2458" i="3"/>
  <c r="T2458" i="3" s="1"/>
  <c r="S2509" i="3"/>
  <c r="T2509" i="3" s="1"/>
  <c r="S2523" i="3"/>
  <c r="T2523" i="3" s="1"/>
  <c r="S2540" i="3"/>
  <c r="T2540" i="3" s="1"/>
  <c r="S2571" i="3"/>
  <c r="T2571" i="3" s="1"/>
  <c r="S2647" i="3"/>
  <c r="T2647" i="3" s="1"/>
  <c r="S2655" i="3"/>
  <c r="T2655" i="3" s="1"/>
  <c r="S2695" i="3"/>
  <c r="T2695" i="3" s="1"/>
  <c r="S2864" i="3"/>
  <c r="T2864" i="3" s="1"/>
  <c r="S2874" i="3"/>
  <c r="T2874" i="3" s="1"/>
  <c r="S2881" i="3"/>
  <c r="T2881" i="3" s="1"/>
  <c r="S2893" i="3"/>
  <c r="T2893" i="3" s="1"/>
  <c r="S2899" i="3"/>
  <c r="T2899" i="3" s="1"/>
  <c r="S2930" i="3"/>
  <c r="T2930" i="3" s="1"/>
  <c r="S2999" i="3"/>
  <c r="T2999" i="3" s="1"/>
  <c r="S3021" i="3"/>
  <c r="T3021" i="3" s="1"/>
  <c r="S3078" i="3"/>
  <c r="T3078" i="3" s="1"/>
  <c r="S3135" i="3"/>
  <c r="T3135" i="3" s="1"/>
  <c r="S3213" i="3"/>
  <c r="T3213" i="3" s="1"/>
  <c r="S3273" i="3"/>
  <c r="T3273" i="3" s="1"/>
  <c r="S3286" i="3"/>
  <c r="T3286" i="3" s="1"/>
  <c r="S3310" i="3"/>
  <c r="T3310" i="3" s="1"/>
  <c r="S3327" i="3"/>
  <c r="T3327" i="3" s="1"/>
  <c r="S3347" i="3"/>
  <c r="T3347" i="3" s="1"/>
  <c r="S3439" i="3"/>
  <c r="T3439" i="3" s="1"/>
  <c r="S3511" i="3"/>
  <c r="T3511" i="3" s="1"/>
  <c r="S3613" i="3"/>
  <c r="T3613" i="3" s="1"/>
  <c r="S3614" i="3"/>
  <c r="T3614" i="3" s="1"/>
  <c r="S3669" i="3"/>
  <c r="T3669" i="3" s="1"/>
  <c r="S3784" i="3"/>
  <c r="T3784" i="3" s="1"/>
  <c r="S3809" i="3"/>
  <c r="T3809" i="3" s="1"/>
  <c r="S3866" i="3"/>
  <c r="T3866" i="3" s="1"/>
  <c r="S3923" i="3"/>
  <c r="T3923" i="3" s="1"/>
  <c r="S3999" i="3"/>
  <c r="T3999" i="3" s="1"/>
  <c r="S4022" i="3"/>
  <c r="T4022" i="3" s="1"/>
  <c r="S4032" i="3"/>
  <c r="T4032" i="3" s="1"/>
  <c r="S4135" i="3"/>
  <c r="T4135" i="3" s="1"/>
  <c r="S4140" i="3"/>
  <c r="T4140" i="3" s="1"/>
  <c r="S4145" i="3"/>
  <c r="T4145" i="3" s="1"/>
  <c r="S4158" i="3"/>
  <c r="T4158" i="3" s="1"/>
  <c r="S4194" i="3"/>
  <c r="T4194" i="3" s="1"/>
  <c r="S4210" i="3"/>
  <c r="T4210" i="3" s="1"/>
  <c r="S4211" i="3"/>
  <c r="T4211" i="3" s="1"/>
  <c r="S4223" i="3"/>
  <c r="T4223" i="3" s="1"/>
  <c r="S4302" i="3"/>
  <c r="T4302" i="3" s="1"/>
  <c r="S4375" i="3"/>
  <c r="T4375" i="3" s="1"/>
  <c r="S4376" i="3"/>
  <c r="T4376" i="3" s="1"/>
  <c r="S4416" i="3"/>
  <c r="T4416" i="3" s="1"/>
  <c r="S4670" i="3"/>
  <c r="T4670" i="3" s="1"/>
  <c r="S4675" i="3"/>
  <c r="T4675" i="3" s="1"/>
  <c r="S4726" i="3"/>
  <c r="T4726" i="3" s="1"/>
  <c r="S4815" i="3"/>
  <c r="T4815" i="3" s="1"/>
  <c r="S14" i="3"/>
  <c r="T14" i="3" s="1"/>
  <c r="U14" i="3" s="1"/>
  <c r="S65" i="3"/>
  <c r="T65" i="3" s="1"/>
  <c r="U65" i="3" s="1"/>
  <c r="S67" i="3"/>
  <c r="T67" i="3" s="1"/>
  <c r="U67" i="3" s="1"/>
  <c r="S75" i="3"/>
  <c r="T75" i="3" s="1"/>
  <c r="U75" i="3" s="1"/>
  <c r="S82" i="3"/>
  <c r="T82" i="3" s="1"/>
  <c r="U82" i="3" s="1"/>
  <c r="S115" i="3"/>
  <c r="T115" i="3" s="1"/>
  <c r="U115" i="3" s="1"/>
  <c r="S118" i="3"/>
  <c r="T118" i="3" s="1"/>
  <c r="U118" i="3" s="1"/>
  <c r="S148" i="3"/>
  <c r="T148" i="3" s="1"/>
  <c r="U148" i="3" s="1"/>
  <c r="S151" i="3"/>
  <c r="T151" i="3" s="1"/>
  <c r="U151" i="3" s="1"/>
  <c r="S175" i="3"/>
  <c r="T175" i="3" s="1"/>
  <c r="U175" i="3" s="1"/>
  <c r="S178" i="3"/>
  <c r="T178" i="3" s="1"/>
  <c r="U178" i="3" s="1"/>
  <c r="S181" i="3"/>
  <c r="T181" i="3" s="1"/>
  <c r="U181" i="3" s="1"/>
  <c r="S204" i="3"/>
  <c r="T204" i="3" s="1"/>
  <c r="U204" i="3" s="1"/>
  <c r="S294" i="3"/>
  <c r="T294" i="3" s="1"/>
  <c r="S394" i="3"/>
  <c r="T394" i="3" s="1"/>
  <c r="S408" i="3"/>
  <c r="T408" i="3" s="1"/>
  <c r="S454" i="3"/>
  <c r="T454" i="3" s="1"/>
  <c r="S474" i="3"/>
  <c r="T474" i="3" s="1"/>
  <c r="S485" i="3"/>
  <c r="T485" i="3" s="1"/>
  <c r="S488" i="3"/>
  <c r="T488" i="3" s="1"/>
  <c r="S490" i="3"/>
  <c r="T490" i="3" s="1"/>
  <c r="S493" i="3"/>
  <c r="T493" i="3" s="1"/>
  <c r="S544" i="3"/>
  <c r="T544" i="3" s="1"/>
  <c r="S556" i="3"/>
  <c r="T556" i="3" s="1"/>
  <c r="S571" i="3"/>
  <c r="T571" i="3" s="1"/>
  <c r="S574" i="3"/>
  <c r="T574" i="3" s="1"/>
  <c r="S576" i="3"/>
  <c r="T576" i="3" s="1"/>
  <c r="S579" i="3"/>
  <c r="T579" i="3" s="1"/>
  <c r="S608" i="3"/>
  <c r="T608" i="3" s="1"/>
  <c r="S629" i="3"/>
  <c r="T629" i="3" s="1"/>
  <c r="S650" i="3"/>
  <c r="T650" i="3" s="1"/>
  <c r="S674" i="3"/>
  <c r="T674" i="3" s="1"/>
  <c r="S677" i="3"/>
  <c r="T677" i="3" s="1"/>
  <c r="S779" i="3"/>
  <c r="T779" i="3" s="1"/>
  <c r="S796" i="3"/>
  <c r="T796" i="3" s="1"/>
  <c r="S826" i="3"/>
  <c r="T826" i="3" s="1"/>
  <c r="S847" i="3"/>
  <c r="T847" i="3" s="1"/>
  <c r="S869" i="3"/>
  <c r="T869" i="3" s="1"/>
  <c r="S899" i="3"/>
  <c r="T899" i="3" s="1"/>
  <c r="S926" i="3"/>
  <c r="T926" i="3" s="1"/>
  <c r="S930" i="3"/>
  <c r="T930" i="3" s="1"/>
  <c r="S942" i="3"/>
  <c r="T942" i="3" s="1"/>
  <c r="S947" i="3"/>
  <c r="T947" i="3" s="1"/>
  <c r="S953" i="3"/>
  <c r="T953" i="3" s="1"/>
  <c r="S956" i="3"/>
  <c r="T956" i="3" s="1"/>
  <c r="S967" i="3"/>
  <c r="T967" i="3" s="1"/>
  <c r="S971" i="3"/>
  <c r="T971" i="3" s="1"/>
  <c r="S982" i="3"/>
  <c r="T982" i="3" s="1"/>
  <c r="S991" i="3"/>
  <c r="T991" i="3" s="1"/>
  <c r="S1031" i="3"/>
  <c r="T1031" i="3" s="1"/>
  <c r="S1037" i="3"/>
  <c r="T1037" i="3" s="1"/>
  <c r="S1042" i="3"/>
  <c r="T1042" i="3" s="1"/>
  <c r="S1063" i="3"/>
  <c r="T1063" i="3" s="1"/>
  <c r="S1105" i="3"/>
  <c r="T1105" i="3" s="1"/>
  <c r="S1119" i="3"/>
  <c r="T1119" i="3" s="1"/>
  <c r="S1134" i="3"/>
  <c r="T1134" i="3" s="1"/>
  <c r="S1177" i="3"/>
  <c r="T1177" i="3" s="1"/>
  <c r="S1192" i="3"/>
  <c r="T1192" i="3" s="1"/>
  <c r="S1194" i="3"/>
  <c r="T1194" i="3" s="1"/>
  <c r="S1219" i="3"/>
  <c r="T1219" i="3" s="1"/>
  <c r="S1285" i="3"/>
  <c r="T1285" i="3" s="1"/>
  <c r="S1314" i="3"/>
  <c r="T1314" i="3" s="1"/>
  <c r="S1355" i="3"/>
  <c r="T1355" i="3" s="1"/>
  <c r="S1415" i="3"/>
  <c r="T1415" i="3" s="1"/>
  <c r="S1435" i="3"/>
  <c r="T1435" i="3" s="1"/>
  <c r="S1436" i="3"/>
  <c r="T1436" i="3" s="1"/>
  <c r="S1466" i="3"/>
  <c r="T1466" i="3" s="1"/>
  <c r="S1498" i="3"/>
  <c r="T1498" i="3" s="1"/>
  <c r="S1508" i="3"/>
  <c r="T1508" i="3" s="1"/>
  <c r="S1511" i="3"/>
  <c r="T1511" i="3" s="1"/>
  <c r="S1566" i="3"/>
  <c r="T1566" i="3" s="1"/>
  <c r="S1574" i="3"/>
  <c r="T1574" i="3" s="1"/>
  <c r="S1580" i="3"/>
  <c r="T1580" i="3" s="1"/>
  <c r="S1589" i="3"/>
  <c r="T1589" i="3" s="1"/>
  <c r="S1642" i="3"/>
  <c r="T1642" i="3" s="1"/>
  <c r="S1655" i="3"/>
  <c r="T1655" i="3" s="1"/>
  <c r="S1682" i="3"/>
  <c r="T1682" i="3" s="1"/>
  <c r="S1685" i="3"/>
  <c r="T1685" i="3" s="1"/>
  <c r="S1694" i="3"/>
  <c r="T1694" i="3" s="1"/>
  <c r="S1710" i="3"/>
  <c r="T1710" i="3" s="1"/>
  <c r="S1714" i="3"/>
  <c r="T1714" i="3" s="1"/>
  <c r="S1726" i="3"/>
  <c r="T1726" i="3" s="1"/>
  <c r="S1727" i="3"/>
  <c r="T1727" i="3" s="1"/>
  <c r="S1732" i="3"/>
  <c r="T1732" i="3" s="1"/>
  <c r="S1768" i="3"/>
  <c r="T1768" i="3" s="1"/>
  <c r="S1825" i="3"/>
  <c r="T1825" i="3" s="1"/>
  <c r="S1915" i="3"/>
  <c r="T1915" i="3" s="1"/>
  <c r="S1933" i="3"/>
  <c r="T1933" i="3" s="1"/>
  <c r="S1954" i="3"/>
  <c r="T1954" i="3" s="1"/>
  <c r="S1956" i="3"/>
  <c r="T1956" i="3" s="1"/>
  <c r="S1970" i="3"/>
  <c r="T1970" i="3" s="1"/>
  <c r="S1977" i="3"/>
  <c r="T1977" i="3" s="1"/>
  <c r="S1985" i="3"/>
  <c r="T1985" i="3" s="1"/>
  <c r="S2028" i="3"/>
  <c r="T2028" i="3" s="1"/>
  <c r="S2029" i="3"/>
  <c r="T2029" i="3" s="1"/>
  <c r="S2038" i="3"/>
  <c r="T2038" i="3" s="1"/>
  <c r="S2052" i="3"/>
  <c r="T2052" i="3" s="1"/>
  <c r="S2063" i="3"/>
  <c r="T2063" i="3" s="1"/>
  <c r="S2072" i="3"/>
  <c r="T2072" i="3" s="1"/>
  <c r="S2107" i="3"/>
  <c r="T2107" i="3" s="1"/>
  <c r="S2181" i="3"/>
  <c r="T2181" i="3" s="1"/>
  <c r="S2226" i="3"/>
  <c r="T2226" i="3" s="1"/>
  <c r="S2239" i="3"/>
  <c r="T2239" i="3" s="1"/>
  <c r="S2302" i="3"/>
  <c r="T2302" i="3" s="1"/>
  <c r="S2310" i="3"/>
  <c r="T2310" i="3" s="1"/>
  <c r="S2392" i="3"/>
  <c r="T2392" i="3" s="1"/>
  <c r="S2414" i="3"/>
  <c r="T2414" i="3" s="1"/>
  <c r="S2443" i="3"/>
  <c r="T2443" i="3" s="1"/>
  <c r="S2467" i="3"/>
  <c r="T2467" i="3" s="1"/>
  <c r="S2486" i="3"/>
  <c r="T2486" i="3" s="1"/>
  <c r="S2494" i="3"/>
  <c r="T2494" i="3" s="1"/>
  <c r="S2496" i="3"/>
  <c r="T2496" i="3" s="1"/>
  <c r="S2502" i="3"/>
  <c r="T2502" i="3" s="1"/>
  <c r="S2552" i="3"/>
  <c r="T2552" i="3" s="1"/>
  <c r="S2564" i="3"/>
  <c r="T2564" i="3" s="1"/>
  <c r="S2578" i="3"/>
  <c r="T2578" i="3" s="1"/>
  <c r="S2584" i="3"/>
  <c r="T2584" i="3" s="1"/>
  <c r="S2585" i="3"/>
  <c r="T2585" i="3" s="1"/>
  <c r="S2606" i="3"/>
  <c r="T2606" i="3" s="1"/>
  <c r="S2609" i="3"/>
  <c r="T2609" i="3" s="1"/>
  <c r="S2698" i="3"/>
  <c r="T2698" i="3" s="1"/>
  <c r="S2699" i="3"/>
  <c r="T2699" i="3" s="1"/>
  <c r="S2758" i="3"/>
  <c r="T2758" i="3" s="1"/>
  <c r="S2805" i="3"/>
  <c r="T2805" i="3" s="1"/>
  <c r="S2824" i="3"/>
  <c r="T2824" i="3" s="1"/>
  <c r="S2826" i="3"/>
  <c r="T2826" i="3" s="1"/>
  <c r="S2840" i="3"/>
  <c r="T2840" i="3" s="1"/>
  <c r="S2857" i="3"/>
  <c r="T2857" i="3" s="1"/>
  <c r="S2866" i="3"/>
  <c r="T2866" i="3" s="1"/>
  <c r="S2908" i="3"/>
  <c r="T2908" i="3" s="1"/>
  <c r="S3008" i="3"/>
  <c r="T3008" i="3" s="1"/>
  <c r="S3012" i="3"/>
  <c r="T3012" i="3" s="1"/>
  <c r="S3028" i="3"/>
  <c r="T3028" i="3" s="1"/>
  <c r="S3056" i="3"/>
  <c r="T3056" i="3" s="1"/>
  <c r="S3128" i="3"/>
  <c r="T3128" i="3" s="1"/>
  <c r="S3145" i="3"/>
  <c r="T3145" i="3" s="1"/>
  <c r="S3147" i="3"/>
  <c r="T3147" i="3" s="1"/>
  <c r="S3162" i="3"/>
  <c r="T3162" i="3" s="1"/>
  <c r="S3268" i="3"/>
  <c r="T3268" i="3" s="1"/>
  <c r="S3280" i="3"/>
  <c r="T3280" i="3" s="1"/>
  <c r="S3324" i="3"/>
  <c r="T3324" i="3" s="1"/>
  <c r="S3362" i="3"/>
  <c r="T3362" i="3" s="1"/>
  <c r="S3366" i="3"/>
  <c r="T3366" i="3" s="1"/>
  <c r="S3432" i="3"/>
  <c r="T3432" i="3" s="1"/>
  <c r="S3440" i="3"/>
  <c r="T3440" i="3" s="1"/>
  <c r="S3444" i="3"/>
  <c r="T3444" i="3" s="1"/>
  <c r="S3451" i="3"/>
  <c r="T3451" i="3" s="1"/>
  <c r="S3484" i="3"/>
  <c r="T3484" i="3" s="1"/>
  <c r="S3512" i="3"/>
  <c r="T3512" i="3" s="1"/>
  <c r="S3589" i="3"/>
  <c r="T3589" i="3" s="1"/>
  <c r="S3599" i="3"/>
  <c r="T3599" i="3" s="1"/>
  <c r="S3601" i="3"/>
  <c r="T3601" i="3" s="1"/>
  <c r="S3629" i="3"/>
  <c r="T3629" i="3" s="1"/>
  <c r="S3666" i="3"/>
  <c r="T3666" i="3" s="1"/>
  <c r="S3671" i="3"/>
  <c r="T3671" i="3" s="1"/>
  <c r="S3674" i="3"/>
  <c r="T3674" i="3" s="1"/>
  <c r="S3682" i="3"/>
  <c r="T3682" i="3" s="1"/>
  <c r="S3761" i="3"/>
  <c r="T3761" i="3" s="1"/>
  <c r="S3768" i="3"/>
  <c r="T3768" i="3" s="1"/>
  <c r="S3793" i="3"/>
  <c r="T3793" i="3" s="1"/>
  <c r="S3874" i="3"/>
  <c r="T3874" i="3" s="1"/>
  <c r="S3920" i="3"/>
  <c r="T3920" i="3" s="1"/>
  <c r="S3922" i="3"/>
  <c r="T3922" i="3" s="1"/>
  <c r="S3963" i="3"/>
  <c r="T3963" i="3" s="1"/>
  <c r="S3987" i="3"/>
  <c r="T3987" i="3" s="1"/>
  <c r="S4133" i="3"/>
  <c r="T4133" i="3" s="1"/>
  <c r="S4142" i="3"/>
  <c r="T4142" i="3" s="1"/>
  <c r="S4154" i="3"/>
  <c r="T4154" i="3" s="1"/>
  <c r="S4169" i="3"/>
  <c r="T4169" i="3" s="1"/>
  <c r="S4187" i="3"/>
  <c r="T4187" i="3" s="1"/>
  <c r="S4191" i="3"/>
  <c r="T4191" i="3" s="1"/>
  <c r="S4215" i="3"/>
  <c r="T4215" i="3" s="1"/>
  <c r="S4235" i="3"/>
  <c r="T4235" i="3" s="1"/>
  <c r="S4248" i="3"/>
  <c r="T4248" i="3" s="1"/>
  <c r="S4377" i="3"/>
  <c r="T4377" i="3" s="1"/>
  <c r="S4529" i="3"/>
  <c r="T4529" i="3" s="1"/>
  <c r="S4587" i="3"/>
  <c r="T4587" i="3" s="1"/>
  <c r="S4591" i="3"/>
  <c r="T4591" i="3" s="1"/>
  <c r="S4606" i="3"/>
  <c r="T4606" i="3" s="1"/>
  <c r="S4615" i="3"/>
  <c r="T4615" i="3" s="1"/>
  <c r="S4626" i="3"/>
  <c r="T4626" i="3" s="1"/>
  <c r="S4628" i="3"/>
  <c r="T4628" i="3" s="1"/>
  <c r="S4632" i="3"/>
  <c r="T4632" i="3" s="1"/>
  <c r="S4747" i="3"/>
  <c r="T4747" i="3" s="1"/>
  <c r="S4792" i="3"/>
  <c r="T4792" i="3" s="1"/>
  <c r="S4814" i="3"/>
  <c r="T4814" i="3" s="1"/>
  <c r="S4832" i="3"/>
  <c r="T4832" i="3" s="1"/>
  <c r="S11" i="3"/>
  <c r="T11" i="3" s="1"/>
  <c r="U11" i="3" s="1"/>
  <c r="S12" i="3"/>
  <c r="T12" i="3" s="1"/>
  <c r="U12" i="3" s="1"/>
  <c r="S30" i="3"/>
  <c r="T30" i="3" s="1"/>
  <c r="U30" i="3" s="1"/>
  <c r="S168" i="3"/>
  <c r="T168" i="3" s="1"/>
  <c r="U168" i="3" s="1"/>
  <c r="S170" i="3"/>
  <c r="T170" i="3" s="1"/>
  <c r="U170" i="3" s="1"/>
  <c r="S172" i="3"/>
  <c r="T172" i="3" s="1"/>
  <c r="U172" i="3" s="1"/>
  <c r="S236" i="3"/>
  <c r="T236" i="3" s="1"/>
  <c r="U236" i="3" s="1"/>
  <c r="S257" i="3"/>
  <c r="T257" i="3" s="1"/>
  <c r="U257" i="3" s="1"/>
  <c r="S305" i="3"/>
  <c r="T305" i="3" s="1"/>
  <c r="U305" i="3" s="1"/>
  <c r="S308" i="3"/>
  <c r="T308" i="3" s="1"/>
  <c r="U308" i="3" s="1"/>
  <c r="S324" i="3"/>
  <c r="T324" i="3" s="1"/>
  <c r="S424" i="3"/>
  <c r="T424" i="3" s="1"/>
  <c r="S507" i="3"/>
  <c r="T507" i="3" s="1"/>
  <c r="S522" i="3"/>
  <c r="T522" i="3" s="1"/>
  <c r="S557" i="3"/>
  <c r="T557" i="3" s="1"/>
  <c r="S572" i="3"/>
  <c r="T572" i="3" s="1"/>
  <c r="S600" i="3"/>
  <c r="T600" i="3" s="1"/>
  <c r="S601" i="3"/>
  <c r="T601" i="3" s="1"/>
  <c r="S610" i="3"/>
  <c r="T610" i="3" s="1"/>
  <c r="S618" i="3"/>
  <c r="T618" i="3" s="1"/>
  <c r="S635" i="3"/>
  <c r="T635" i="3" s="1"/>
  <c r="S671" i="3"/>
  <c r="T671" i="3" s="1"/>
  <c r="S691" i="3"/>
  <c r="T691" i="3" s="1"/>
  <c r="S695" i="3"/>
  <c r="T695" i="3" s="1"/>
  <c r="S748" i="3"/>
  <c r="T748" i="3" s="1"/>
  <c r="S767" i="3"/>
  <c r="T767" i="3" s="1"/>
  <c r="S775" i="3"/>
  <c r="T775" i="3" s="1"/>
  <c r="S824" i="3"/>
  <c r="T824" i="3" s="1"/>
  <c r="S856" i="3"/>
  <c r="T856" i="3" s="1"/>
  <c r="S865" i="3"/>
  <c r="T865" i="3" s="1"/>
  <c r="S921" i="3"/>
  <c r="T921" i="3" s="1"/>
  <c r="S944" i="3"/>
  <c r="T944" i="3" s="1"/>
  <c r="S970" i="3"/>
  <c r="T970" i="3" s="1"/>
  <c r="S994" i="3"/>
  <c r="T994" i="3" s="1"/>
  <c r="S1008" i="3"/>
  <c r="T1008" i="3" s="1"/>
  <c r="S1027" i="3"/>
  <c r="T1027" i="3" s="1"/>
  <c r="S1122" i="3"/>
  <c r="T1122" i="3" s="1"/>
  <c r="S1141" i="3"/>
  <c r="T1141" i="3" s="1"/>
  <c r="S1144" i="3"/>
  <c r="T1144" i="3" s="1"/>
  <c r="S1158" i="3"/>
  <c r="T1158" i="3" s="1"/>
  <c r="S1227" i="3"/>
  <c r="T1227" i="3" s="1"/>
  <c r="S1228" i="3"/>
  <c r="T1228" i="3" s="1"/>
  <c r="S1233" i="3"/>
  <c r="T1233" i="3" s="1"/>
  <c r="S1235" i="3"/>
  <c r="T1235" i="3" s="1"/>
  <c r="S1247" i="3"/>
  <c r="T1247" i="3" s="1"/>
  <c r="S1250" i="3"/>
  <c r="T1250" i="3" s="1"/>
  <c r="S1262" i="3"/>
  <c r="T1262" i="3" s="1"/>
  <c r="S1367" i="3"/>
  <c r="T1367" i="3" s="1"/>
  <c r="S1372" i="3"/>
  <c r="T1372" i="3" s="1"/>
  <c r="S1389" i="3"/>
  <c r="T1389" i="3" s="1"/>
  <c r="S1422" i="3"/>
  <c r="T1422" i="3" s="1"/>
  <c r="S1452" i="3"/>
  <c r="T1452" i="3" s="1"/>
  <c r="S1494" i="3"/>
  <c r="T1494" i="3" s="1"/>
  <c r="S1584" i="3"/>
  <c r="T1584" i="3" s="1"/>
  <c r="S1595" i="3"/>
  <c r="T1595" i="3" s="1"/>
  <c r="S1614" i="3"/>
  <c r="T1614" i="3" s="1"/>
  <c r="S1620" i="3"/>
  <c r="T1620" i="3" s="1"/>
  <c r="S1647" i="3"/>
  <c r="T1647" i="3" s="1"/>
  <c r="S1649" i="3"/>
  <c r="T1649" i="3" s="1"/>
  <c r="S1759" i="3"/>
  <c r="T1759" i="3" s="1"/>
  <c r="S1767" i="3"/>
  <c r="T1767" i="3" s="1"/>
  <c r="S1837" i="3"/>
  <c r="T1837" i="3" s="1"/>
  <c r="S1847" i="3"/>
  <c r="T1847" i="3" s="1"/>
  <c r="S1870" i="3"/>
  <c r="T1870" i="3" s="1"/>
  <c r="S1946" i="3"/>
  <c r="T1946" i="3" s="1"/>
  <c r="S1951" i="3"/>
  <c r="T1951" i="3" s="1"/>
  <c r="S1979" i="3"/>
  <c r="T1979" i="3" s="1"/>
  <c r="S2010" i="3"/>
  <c r="T2010" i="3" s="1"/>
  <c r="S2032" i="3"/>
  <c r="T2032" i="3" s="1"/>
  <c r="S2071" i="3"/>
  <c r="T2071" i="3" s="1"/>
  <c r="S2100" i="3"/>
  <c r="T2100" i="3" s="1"/>
  <c r="S2110" i="3"/>
  <c r="T2110" i="3" s="1"/>
  <c r="S2114" i="3"/>
  <c r="T2114" i="3" s="1"/>
  <c r="S2211" i="3"/>
  <c r="T2211" i="3" s="1"/>
  <c r="S2248" i="3"/>
  <c r="T2248" i="3" s="1"/>
  <c r="S2254" i="3"/>
  <c r="T2254" i="3" s="1"/>
  <c r="S2301" i="3"/>
  <c r="T2301" i="3" s="1"/>
  <c r="S2370" i="3"/>
  <c r="T2370" i="3" s="1"/>
  <c r="S2397" i="3"/>
  <c r="T2397" i="3" s="1"/>
  <c r="S2405" i="3"/>
  <c r="T2405" i="3" s="1"/>
  <c r="S2416" i="3"/>
  <c r="T2416" i="3" s="1"/>
  <c r="S2445" i="3"/>
  <c r="T2445" i="3" s="1"/>
  <c r="S2473" i="3"/>
  <c r="T2473" i="3" s="1"/>
  <c r="S2537" i="3"/>
  <c r="T2537" i="3" s="1"/>
  <c r="S2539" i="3"/>
  <c r="T2539" i="3" s="1"/>
  <c r="S2556" i="3"/>
  <c r="T2556" i="3" s="1"/>
  <c r="S2580" i="3"/>
  <c r="T2580" i="3" s="1"/>
  <c r="S2678" i="3"/>
  <c r="T2678" i="3" s="1"/>
  <c r="S2679" i="3"/>
  <c r="T2679" i="3" s="1"/>
  <c r="S2696" i="3"/>
  <c r="T2696" i="3" s="1"/>
  <c r="S2712" i="3"/>
  <c r="T2712" i="3" s="1"/>
  <c r="S2748" i="3"/>
  <c r="T2748" i="3" s="1"/>
  <c r="S2785" i="3"/>
  <c r="T2785" i="3" s="1"/>
  <c r="S2837" i="3"/>
  <c r="T2837" i="3" s="1"/>
  <c r="S2858" i="3"/>
  <c r="T2858" i="3" s="1"/>
  <c r="S2902" i="3"/>
  <c r="T2902" i="3" s="1"/>
  <c r="S2922" i="3"/>
  <c r="T2922" i="3" s="1"/>
  <c r="S2951" i="3"/>
  <c r="T2951" i="3" s="1"/>
  <c r="S3038" i="3"/>
  <c r="T3038" i="3" s="1"/>
  <c r="S3060" i="3"/>
  <c r="T3060" i="3" s="1"/>
  <c r="S3074" i="3"/>
  <c r="T3074" i="3" s="1"/>
  <c r="S3083" i="3"/>
  <c r="T3083" i="3" s="1"/>
  <c r="S3085" i="3"/>
  <c r="T3085" i="3" s="1"/>
  <c r="S3086" i="3"/>
  <c r="T3086" i="3" s="1"/>
  <c r="S3150" i="3"/>
  <c r="T3150" i="3" s="1"/>
  <c r="S3166" i="3"/>
  <c r="T3166" i="3" s="1"/>
  <c r="S3229" i="3"/>
  <c r="T3229" i="3" s="1"/>
  <c r="S3232" i="3"/>
  <c r="T3232" i="3" s="1"/>
  <c r="S3241" i="3"/>
  <c r="T3241" i="3" s="1"/>
  <c r="S3246" i="3"/>
  <c r="T3246" i="3" s="1"/>
  <c r="S3263" i="3"/>
  <c r="T3263" i="3" s="1"/>
  <c r="S3277" i="3"/>
  <c r="T3277" i="3" s="1"/>
  <c r="S3287" i="3"/>
  <c r="T3287" i="3" s="1"/>
  <c r="S3289" i="3"/>
  <c r="T3289" i="3" s="1"/>
  <c r="S3318" i="3"/>
  <c r="T3318" i="3" s="1"/>
  <c r="S3323" i="3"/>
  <c r="T3323" i="3" s="1"/>
  <c r="S3357" i="3"/>
  <c r="T3357" i="3" s="1"/>
  <c r="S3403" i="3"/>
  <c r="T3403" i="3" s="1"/>
  <c r="S3406" i="3"/>
  <c r="T3406" i="3" s="1"/>
  <c r="S3422" i="3"/>
  <c r="T3422" i="3" s="1"/>
  <c r="S3437" i="3"/>
  <c r="T3437" i="3" s="1"/>
  <c r="S3478" i="3"/>
  <c r="T3478" i="3" s="1"/>
  <c r="S3479" i="3"/>
  <c r="T3479" i="3" s="1"/>
  <c r="S3552" i="3"/>
  <c r="T3552" i="3" s="1"/>
  <c r="S3556" i="3"/>
  <c r="T3556" i="3" s="1"/>
  <c r="S3600" i="3"/>
  <c r="T3600" i="3" s="1"/>
  <c r="S3633" i="3"/>
  <c r="T3633" i="3" s="1"/>
  <c r="S3677" i="3"/>
  <c r="T3677" i="3" s="1"/>
  <c r="S3730" i="3"/>
  <c r="T3730" i="3" s="1"/>
  <c r="S3733" i="3"/>
  <c r="T3733" i="3" s="1"/>
  <c r="S3749" i="3"/>
  <c r="T3749" i="3" s="1"/>
  <c r="S3765" i="3"/>
  <c r="T3765" i="3" s="1"/>
  <c r="S3770" i="3"/>
  <c r="T3770" i="3" s="1"/>
  <c r="S3775" i="3"/>
  <c r="T3775" i="3" s="1"/>
  <c r="S3789" i="3"/>
  <c r="T3789" i="3" s="1"/>
  <c r="S3794" i="3"/>
  <c r="T3794" i="3" s="1"/>
  <c r="S3882" i="3"/>
  <c r="T3882" i="3" s="1"/>
  <c r="S3889" i="3"/>
  <c r="T3889" i="3" s="1"/>
  <c r="S3908" i="3"/>
  <c r="T3908" i="3" s="1"/>
  <c r="S3925" i="3"/>
  <c r="T3925" i="3" s="1"/>
  <c r="S3929" i="3"/>
  <c r="T3929" i="3" s="1"/>
  <c r="S3981" i="3"/>
  <c r="T3981" i="3" s="1"/>
  <c r="S3983" i="3"/>
  <c r="T3983" i="3" s="1"/>
  <c r="S4015" i="3"/>
  <c r="T4015" i="3" s="1"/>
  <c r="S4061" i="3"/>
  <c r="T4061" i="3" s="1"/>
  <c r="S4111" i="3"/>
  <c r="T4111" i="3" s="1"/>
  <c r="S4176" i="3"/>
  <c r="T4176" i="3" s="1"/>
  <c r="S4181" i="3"/>
  <c r="T4181" i="3" s="1"/>
  <c r="S4222" i="3"/>
  <c r="T4222" i="3" s="1"/>
  <c r="S4224" i="3"/>
  <c r="T4224" i="3" s="1"/>
  <c r="S4241" i="3"/>
  <c r="T4241" i="3" s="1"/>
  <c r="S4251" i="3"/>
  <c r="T4251" i="3" s="1"/>
  <c r="S4311" i="3"/>
  <c r="T4311" i="3" s="1"/>
  <c r="S4395" i="3"/>
  <c r="T4395" i="3" s="1"/>
  <c r="S4398" i="3"/>
  <c r="T4398" i="3" s="1"/>
  <c r="S4511" i="3"/>
  <c r="T4511" i="3" s="1"/>
  <c r="S4596" i="3"/>
  <c r="T4596" i="3" s="1"/>
  <c r="S4636" i="3"/>
  <c r="T4636" i="3" s="1"/>
  <c r="S4667" i="3"/>
  <c r="T4667" i="3" s="1"/>
  <c r="S4668" i="3"/>
  <c r="T4668" i="3" s="1"/>
  <c r="S4679" i="3"/>
  <c r="T4679" i="3" s="1"/>
  <c r="S4686" i="3"/>
  <c r="T4686" i="3" s="1"/>
  <c r="S4687" i="3"/>
  <c r="T4687" i="3" s="1"/>
  <c r="S4701" i="3"/>
  <c r="T4701" i="3" s="1"/>
  <c r="S4716" i="3"/>
  <c r="T4716" i="3" s="1"/>
  <c r="S4756" i="3"/>
  <c r="T4756" i="3" s="1"/>
  <c r="S4761" i="3"/>
  <c r="T4761" i="3" s="1"/>
  <c r="S4781" i="3"/>
  <c r="T4781" i="3" s="1"/>
  <c r="S4786" i="3"/>
  <c r="T4786" i="3" s="1"/>
  <c r="S70" i="3"/>
  <c r="T70" i="3" s="1"/>
  <c r="U70" i="3" s="1"/>
  <c r="S73" i="3"/>
  <c r="T73" i="3" s="1"/>
  <c r="U73" i="3" s="1"/>
  <c r="S180" i="3"/>
  <c r="T180" i="3" s="1"/>
  <c r="U180" i="3" s="1"/>
  <c r="S216" i="3"/>
  <c r="T216" i="3" s="1"/>
  <c r="U216" i="3" s="1"/>
  <c r="S222" i="3"/>
  <c r="T222" i="3" s="1"/>
  <c r="U222" i="3" s="1"/>
  <c r="S296" i="3"/>
  <c r="T296" i="3" s="1"/>
  <c r="U296" i="3" s="1"/>
  <c r="S300" i="3"/>
  <c r="T300" i="3" s="1"/>
  <c r="U300" i="3" s="1"/>
  <c r="S330" i="3"/>
  <c r="T330" i="3" s="1"/>
  <c r="S338" i="3"/>
  <c r="T338" i="3" s="1"/>
  <c r="S458" i="3"/>
  <c r="T458" i="3" s="1"/>
  <c r="S518" i="3"/>
  <c r="T518" i="3" s="1"/>
  <c r="S533" i="3"/>
  <c r="T533" i="3" s="1"/>
  <c r="S679" i="3"/>
  <c r="T679" i="3" s="1"/>
  <c r="S758" i="3"/>
  <c r="T758" i="3" s="1"/>
  <c r="S768" i="3"/>
  <c r="T768" i="3" s="1"/>
  <c r="S792" i="3"/>
  <c r="T792" i="3" s="1"/>
  <c r="S863" i="3"/>
  <c r="T863" i="3" s="1"/>
  <c r="S880" i="3"/>
  <c r="T880" i="3" s="1"/>
  <c r="S891" i="3"/>
  <c r="T891" i="3" s="1"/>
  <c r="S1024" i="3"/>
  <c r="T1024" i="3" s="1"/>
  <c r="S1036" i="3"/>
  <c r="T1036" i="3" s="1"/>
  <c r="S1156" i="3"/>
  <c r="T1156" i="3" s="1"/>
  <c r="S1163" i="3"/>
  <c r="T1163" i="3" s="1"/>
  <c r="S1239" i="3"/>
  <c r="T1239" i="3" s="1"/>
  <c r="S1303" i="3"/>
  <c r="T1303" i="3" s="1"/>
  <c r="S1364" i="3"/>
  <c r="T1364" i="3" s="1"/>
  <c r="S1408" i="3"/>
  <c r="T1408" i="3" s="1"/>
  <c r="S1428" i="3"/>
  <c r="T1428" i="3" s="1"/>
  <c r="S1708" i="3"/>
  <c r="T1708" i="3" s="1"/>
  <c r="S1906" i="3"/>
  <c r="T1906" i="3" s="1"/>
  <c r="S1950" i="3"/>
  <c r="T1950" i="3" s="1"/>
  <c r="S2051" i="3"/>
  <c r="T2051" i="3" s="1"/>
  <c r="S2065" i="3"/>
  <c r="T2065" i="3" s="1"/>
  <c r="S2098" i="3"/>
  <c r="T2098" i="3" s="1"/>
  <c r="S2329" i="3"/>
  <c r="T2329" i="3" s="1"/>
  <c r="S2413" i="3"/>
  <c r="T2413" i="3" s="1"/>
  <c r="S2433" i="3"/>
  <c r="T2433" i="3" s="1"/>
  <c r="S2490" i="3"/>
  <c r="T2490" i="3" s="1"/>
  <c r="S2602" i="3"/>
  <c r="T2602" i="3" s="1"/>
  <c r="S2642" i="3"/>
  <c r="T2642" i="3" s="1"/>
  <c r="S2688" i="3"/>
  <c r="T2688" i="3" s="1"/>
  <c r="S2854" i="3"/>
  <c r="T2854" i="3" s="1"/>
  <c r="S2920" i="3"/>
  <c r="T2920" i="3" s="1"/>
  <c r="S2935" i="3"/>
  <c r="T2935" i="3" s="1"/>
  <c r="S3026" i="3"/>
  <c r="T3026" i="3" s="1"/>
  <c r="S3244" i="3"/>
  <c r="T3244" i="3" s="1"/>
  <c r="S3251" i="3"/>
  <c r="T3251" i="3" s="1"/>
  <c r="S3260" i="3"/>
  <c r="T3260" i="3" s="1"/>
  <c r="S3319" i="3"/>
  <c r="T3319" i="3" s="1"/>
  <c r="S3360" i="3"/>
  <c r="T3360" i="3" s="1"/>
  <c r="S3392" i="3"/>
  <c r="T3392" i="3" s="1"/>
  <c r="S3464" i="3"/>
  <c r="T3464" i="3" s="1"/>
  <c r="S3503" i="3"/>
  <c r="T3503" i="3" s="1"/>
  <c r="S3542" i="3"/>
  <c r="T3542" i="3" s="1"/>
  <c r="S3545" i="3"/>
  <c r="T3545" i="3" s="1"/>
  <c r="S3548" i="3"/>
  <c r="T3548" i="3" s="1"/>
  <c r="S3645" i="3"/>
  <c r="T3645" i="3" s="1"/>
  <c r="S3670" i="3"/>
  <c r="T3670" i="3" s="1"/>
  <c r="S3699" i="3"/>
  <c r="T3699" i="3" s="1"/>
  <c r="S3795" i="3"/>
  <c r="T3795" i="3" s="1"/>
  <c r="S3893" i="3"/>
  <c r="T3893" i="3" s="1"/>
  <c r="S3938" i="3"/>
  <c r="T3938" i="3" s="1"/>
  <c r="S3972" i="3"/>
  <c r="T3972" i="3" s="1"/>
  <c r="S4041" i="3"/>
  <c r="T4041" i="3" s="1"/>
  <c r="S4125" i="3"/>
  <c r="T4125" i="3" s="1"/>
  <c r="S4209" i="3"/>
  <c r="T4209" i="3" s="1"/>
  <c r="S4334" i="3"/>
  <c r="T4334" i="3" s="1"/>
  <c r="S4470" i="3"/>
  <c r="T4470" i="3" s="1"/>
  <c r="S4513" i="3"/>
  <c r="T4513" i="3" s="1"/>
  <c r="S4578" i="3"/>
  <c r="T4578" i="3" s="1"/>
  <c r="S4579" i="3"/>
  <c r="T4579" i="3" s="1"/>
  <c r="S4681" i="3"/>
  <c r="T4681" i="3" s="1"/>
  <c r="S4757" i="3"/>
  <c r="T4757" i="3" s="1"/>
  <c r="S4769" i="3"/>
  <c r="T4769" i="3" s="1"/>
  <c r="S15" i="3"/>
  <c r="T15" i="3" s="1"/>
  <c r="U15" i="3" s="1"/>
  <c r="S42" i="3"/>
  <c r="T42" i="3" s="1"/>
  <c r="U42" i="3" s="1"/>
  <c r="S45" i="3"/>
  <c r="T45" i="3" s="1"/>
  <c r="U45" i="3" s="1"/>
  <c r="S220" i="3"/>
  <c r="T220" i="3" s="1"/>
  <c r="U220" i="3" s="1"/>
  <c r="S221" i="3"/>
  <c r="T221" i="3" s="1"/>
  <c r="U221" i="3" s="1"/>
  <c r="S224" i="3"/>
  <c r="T224" i="3" s="1"/>
  <c r="U224" i="3" s="1"/>
  <c r="S275" i="3"/>
  <c r="T275" i="3" s="1"/>
  <c r="U275" i="3" s="1"/>
  <c r="S290" i="3"/>
  <c r="T290" i="3" s="1"/>
  <c r="U290" i="3" s="1"/>
  <c r="S315" i="3"/>
  <c r="T315" i="3" s="1"/>
  <c r="U315" i="3" s="1"/>
  <c r="S405" i="3"/>
  <c r="T405" i="3" s="1"/>
  <c r="S420" i="3"/>
  <c r="T420" i="3" s="1"/>
  <c r="U420" i="3" s="1"/>
  <c r="S421" i="3"/>
  <c r="T421" i="3" s="1"/>
  <c r="S461" i="3"/>
  <c r="T461" i="3" s="1"/>
  <c r="S466" i="3"/>
  <c r="T466" i="3" s="1"/>
  <c r="S480" i="3"/>
  <c r="T480" i="3" s="1"/>
  <c r="S492" i="3"/>
  <c r="T492" i="3" s="1"/>
  <c r="S513" i="3"/>
  <c r="T513" i="3" s="1"/>
  <c r="S530" i="3"/>
  <c r="T530" i="3" s="1"/>
  <c r="S570" i="3"/>
  <c r="T570" i="3" s="1"/>
  <c r="S588" i="3"/>
  <c r="T588" i="3" s="1"/>
  <c r="S649" i="3"/>
  <c r="T649" i="3" s="1"/>
  <c r="S659" i="3"/>
  <c r="T659" i="3" s="1"/>
  <c r="S667" i="3"/>
  <c r="T667" i="3" s="1"/>
  <c r="S690" i="3"/>
  <c r="T690" i="3" s="1"/>
  <c r="S705" i="3"/>
  <c r="T705" i="3" s="1"/>
  <c r="S777" i="3"/>
  <c r="T777" i="3" s="1"/>
  <c r="S843" i="3"/>
  <c r="T843" i="3" s="1"/>
  <c r="S882" i="3"/>
  <c r="T882" i="3" s="1"/>
  <c r="S900" i="3"/>
  <c r="T900" i="3" s="1"/>
  <c r="S902" i="3"/>
  <c r="T902" i="3" s="1"/>
  <c r="S909" i="3"/>
  <c r="T909" i="3" s="1"/>
  <c r="S933" i="3"/>
  <c r="T933" i="3" s="1"/>
  <c r="S938" i="3"/>
  <c r="T938" i="3" s="1"/>
  <c r="S945" i="3"/>
  <c r="T945" i="3" s="1"/>
  <c r="S980" i="3"/>
  <c r="T980" i="3" s="1"/>
  <c r="S990" i="3"/>
  <c r="T990" i="3" s="1"/>
  <c r="S1002" i="3"/>
  <c r="T1002" i="3" s="1"/>
  <c r="S1016" i="3"/>
  <c r="T1016" i="3" s="1"/>
  <c r="S1026" i="3"/>
  <c r="T1026" i="3" s="1"/>
  <c r="S1060" i="3"/>
  <c r="T1060" i="3" s="1"/>
  <c r="S1076" i="3"/>
  <c r="T1076" i="3" s="1"/>
  <c r="S1094" i="3"/>
  <c r="T1094" i="3" s="1"/>
  <c r="S1139" i="3"/>
  <c r="T1139" i="3" s="1"/>
  <c r="S1184" i="3"/>
  <c r="T1184" i="3" s="1"/>
  <c r="S1273" i="3"/>
  <c r="T1273" i="3" s="1"/>
  <c r="S1379" i="3"/>
  <c r="T1379" i="3" s="1"/>
  <c r="S1400" i="3"/>
  <c r="T1400" i="3" s="1"/>
  <c r="S1409" i="3"/>
  <c r="T1409" i="3" s="1"/>
  <c r="S1434" i="3"/>
  <c r="T1434" i="3" s="1"/>
  <c r="S1470" i="3"/>
  <c r="T1470" i="3" s="1"/>
  <c r="S1617" i="3"/>
  <c r="T1617" i="3" s="1"/>
  <c r="S1637" i="3"/>
  <c r="T1637" i="3" s="1"/>
  <c r="S1721" i="3"/>
  <c r="T1721" i="3" s="1"/>
  <c r="S1763" i="3"/>
  <c r="T1763" i="3" s="1"/>
  <c r="S1791" i="3"/>
  <c r="T1791" i="3" s="1"/>
  <c r="S1800" i="3"/>
  <c r="T1800" i="3" s="1"/>
  <c r="S1917" i="3"/>
  <c r="T1917" i="3" s="1"/>
  <c r="S1922" i="3"/>
  <c r="T1922" i="3" s="1"/>
  <c r="S1926" i="3"/>
  <c r="T1926" i="3" s="1"/>
  <c r="S2034" i="3"/>
  <c r="T2034" i="3" s="1"/>
  <c r="S2035" i="3"/>
  <c r="T2035" i="3" s="1"/>
  <c r="S2161" i="3"/>
  <c r="T2161" i="3" s="1"/>
  <c r="S2223" i="3"/>
  <c r="T2223" i="3" s="1"/>
  <c r="S2225" i="3"/>
  <c r="T2225" i="3" s="1"/>
  <c r="S2291" i="3"/>
  <c r="T2291" i="3" s="1"/>
  <c r="S2293" i="3"/>
  <c r="T2293" i="3" s="1"/>
  <c r="S2306" i="3"/>
  <c r="T2306" i="3" s="1"/>
  <c r="S2317" i="3"/>
  <c r="T2317" i="3" s="1"/>
  <c r="S2336" i="3"/>
  <c r="T2336" i="3" s="1"/>
  <c r="S2366" i="3"/>
  <c r="T2366" i="3" s="1"/>
  <c r="S2399" i="3"/>
  <c r="T2399" i="3" s="1"/>
  <c r="S2407" i="3"/>
  <c r="T2407" i="3" s="1"/>
  <c r="S2447" i="3"/>
  <c r="T2447" i="3" s="1"/>
  <c r="S2451" i="3"/>
  <c r="T2451" i="3" s="1"/>
  <c r="S2482" i="3"/>
  <c r="T2482" i="3" s="1"/>
  <c r="S2489" i="3"/>
  <c r="T2489" i="3" s="1"/>
  <c r="S2511" i="3"/>
  <c r="T2511" i="3" s="1"/>
  <c r="S2515" i="3"/>
  <c r="T2515" i="3" s="1"/>
  <c r="S2610" i="3"/>
  <c r="T2610" i="3" s="1"/>
  <c r="S2636" i="3"/>
  <c r="T2636" i="3" s="1"/>
  <c r="S2643" i="3"/>
  <c r="T2643" i="3" s="1"/>
  <c r="S2650" i="3"/>
  <c r="T2650" i="3" s="1"/>
  <c r="S2710" i="3"/>
  <c r="T2710" i="3" s="1"/>
  <c r="S2774" i="3"/>
  <c r="T2774" i="3" s="1"/>
  <c r="S2839" i="3"/>
  <c r="T2839" i="3" s="1"/>
  <c r="S2867" i="3"/>
  <c r="T2867" i="3" s="1"/>
  <c r="S2886" i="3"/>
  <c r="T2886" i="3" s="1"/>
  <c r="S2895" i="3"/>
  <c r="T2895" i="3" s="1"/>
  <c r="S2898" i="3"/>
  <c r="T2898" i="3" s="1"/>
  <c r="S2942" i="3"/>
  <c r="T2942" i="3" s="1"/>
  <c r="S2956" i="3"/>
  <c r="T2956" i="3" s="1"/>
  <c r="S2960" i="3"/>
  <c r="T2960" i="3" s="1"/>
  <c r="S3005" i="3"/>
  <c r="T3005" i="3" s="1"/>
  <c r="S3054" i="3"/>
  <c r="T3054" i="3" s="1"/>
  <c r="S3076" i="3"/>
  <c r="T3076" i="3" s="1"/>
  <c r="S3095" i="3"/>
  <c r="T3095" i="3" s="1"/>
  <c r="S3113" i="3"/>
  <c r="T3113" i="3" s="1"/>
  <c r="S3159" i="3"/>
  <c r="T3159" i="3" s="1"/>
  <c r="S3168" i="3"/>
  <c r="T3168" i="3" s="1"/>
  <c r="S3215" i="3"/>
  <c r="T3215" i="3" s="1"/>
  <c r="S3222" i="3"/>
  <c r="T3222" i="3" s="1"/>
  <c r="S3248" i="3"/>
  <c r="T3248" i="3" s="1"/>
  <c r="S3307" i="3"/>
  <c r="T3307" i="3" s="1"/>
  <c r="S3353" i="3"/>
  <c r="T3353" i="3" s="1"/>
  <c r="S3370" i="3"/>
  <c r="T3370" i="3" s="1"/>
  <c r="S3394" i="3"/>
  <c r="T3394" i="3" s="1"/>
  <c r="S3423" i="3"/>
  <c r="T3423" i="3" s="1"/>
  <c r="S3425" i="3"/>
  <c r="T3425" i="3" s="1"/>
  <c r="S3465" i="3"/>
  <c r="T3465" i="3" s="1"/>
  <c r="S3510" i="3"/>
  <c r="T3510" i="3" s="1"/>
  <c r="S3539" i="3"/>
  <c r="T3539" i="3" s="1"/>
  <c r="S3584" i="3"/>
  <c r="T3584" i="3" s="1"/>
  <c r="S3587" i="3"/>
  <c r="T3587" i="3" s="1"/>
  <c r="S3591" i="3"/>
  <c r="T3591" i="3" s="1"/>
  <c r="S3630" i="3"/>
  <c r="T3630" i="3" s="1"/>
  <c r="S3644" i="3"/>
  <c r="T3644" i="3" s="1"/>
  <c r="S3654" i="3"/>
  <c r="T3654" i="3" s="1"/>
  <c r="S3676" i="3"/>
  <c r="T3676" i="3" s="1"/>
  <c r="S3776" i="3"/>
  <c r="T3776" i="3" s="1"/>
  <c r="S3804" i="3"/>
  <c r="T3804" i="3" s="1"/>
  <c r="S3831" i="3"/>
  <c r="T3831" i="3" s="1"/>
  <c r="S3962" i="3"/>
  <c r="T3962" i="3" s="1"/>
  <c r="S4051" i="3"/>
  <c r="T4051" i="3" s="1"/>
  <c r="S4052" i="3"/>
  <c r="T4052" i="3" s="1"/>
  <c r="S4062" i="3"/>
  <c r="T4062" i="3" s="1"/>
  <c r="S4075" i="3"/>
  <c r="T4075" i="3" s="1"/>
  <c r="S4085" i="3"/>
  <c r="T4085" i="3" s="1"/>
  <c r="S4095" i="3"/>
  <c r="T4095" i="3" s="1"/>
  <c r="S4159" i="3"/>
  <c r="T4159" i="3" s="1"/>
  <c r="S4160" i="3"/>
  <c r="T4160" i="3" s="1"/>
  <c r="S4170" i="3"/>
  <c r="T4170" i="3" s="1"/>
  <c r="S4264" i="3"/>
  <c r="T4264" i="3" s="1"/>
  <c r="S4271" i="3"/>
  <c r="T4271" i="3" s="1"/>
  <c r="S4427" i="3"/>
  <c r="T4427" i="3" s="1"/>
  <c r="S4435" i="3"/>
  <c r="T4435" i="3" s="1"/>
  <c r="S4450" i="3"/>
  <c r="T4450" i="3" s="1"/>
  <c r="S4451" i="3"/>
  <c r="T4451" i="3" s="1"/>
  <c r="S4547" i="3"/>
  <c r="T4547" i="3" s="1"/>
  <c r="S4567" i="3"/>
  <c r="T4567" i="3" s="1"/>
  <c r="S4580" i="3"/>
  <c r="T4580" i="3" s="1"/>
  <c r="S4641" i="3"/>
  <c r="T4641" i="3" s="1"/>
  <c r="S4745" i="3"/>
  <c r="T4745" i="3" s="1"/>
  <c r="S4764" i="3"/>
  <c r="T4764" i="3" s="1"/>
  <c r="S4790" i="3"/>
  <c r="T4790" i="3" s="1"/>
  <c r="S4808" i="3"/>
  <c r="T4808" i="3" s="1"/>
  <c r="S4817" i="3"/>
  <c r="T4817" i="3" s="1"/>
  <c r="S3" i="3"/>
  <c r="T3" i="3" s="1"/>
  <c r="U3" i="3" s="1"/>
  <c r="S61" i="3"/>
  <c r="T61" i="3" s="1"/>
  <c r="U61" i="3" s="1"/>
  <c r="S135" i="3"/>
  <c r="T135" i="3" s="1"/>
  <c r="U135" i="3" s="1"/>
  <c r="S190" i="3"/>
  <c r="T190" i="3" s="1"/>
  <c r="U190" i="3" s="1"/>
  <c r="S261" i="3"/>
  <c r="T261" i="3" s="1"/>
  <c r="U261" i="3" s="1"/>
  <c r="S264" i="3"/>
  <c r="T264" i="3" s="1"/>
  <c r="U264" i="3" s="1"/>
  <c r="S426" i="3"/>
  <c r="T426" i="3" s="1"/>
  <c r="U426" i="3" s="1"/>
  <c r="S486" i="3"/>
  <c r="T486" i="3" s="1"/>
  <c r="S537" i="3"/>
  <c r="T537" i="3" s="1"/>
  <c r="S542" i="3"/>
  <c r="T542" i="3" s="1"/>
  <c r="S606" i="3"/>
  <c r="T606" i="3" s="1"/>
  <c r="S613" i="3"/>
  <c r="T613" i="3" s="1"/>
  <c r="S633" i="3"/>
  <c r="T633" i="3" s="1"/>
  <c r="S634" i="3"/>
  <c r="T634" i="3" s="1"/>
  <c r="S654" i="3"/>
  <c r="T654" i="3" s="1"/>
  <c r="S672" i="3"/>
  <c r="T672" i="3" s="1"/>
  <c r="S698" i="3"/>
  <c r="T698" i="3" s="1"/>
  <c r="S712" i="3"/>
  <c r="T712" i="3" s="1"/>
  <c r="S726" i="3"/>
  <c r="T726" i="3" s="1"/>
  <c r="S730" i="3"/>
  <c r="T730" i="3" s="1"/>
  <c r="S766" i="3"/>
  <c r="T766" i="3" s="1"/>
  <c r="S798" i="3"/>
  <c r="T798" i="3" s="1"/>
  <c r="S804" i="3"/>
  <c r="T804" i="3" s="1"/>
  <c r="S838" i="3"/>
  <c r="T838" i="3" s="1"/>
  <c r="S840" i="3"/>
  <c r="T840" i="3" s="1"/>
  <c r="S1011" i="3"/>
  <c r="T1011" i="3" s="1"/>
  <c r="S1149" i="3"/>
  <c r="T1149" i="3" s="1"/>
  <c r="S1350" i="3"/>
  <c r="T1350" i="3" s="1"/>
  <c r="S1429" i="3"/>
  <c r="T1429" i="3" s="1"/>
  <c r="S1522" i="3"/>
  <c r="T1522" i="3" s="1"/>
  <c r="S1549" i="3"/>
  <c r="T1549" i="3" s="1"/>
  <c r="S1746" i="3"/>
  <c r="T1746" i="3" s="1"/>
  <c r="S1948" i="3"/>
  <c r="T1948" i="3" s="1"/>
  <c r="S1991" i="3"/>
  <c r="T1991" i="3" s="1"/>
  <c r="S2048" i="3"/>
  <c r="T2048" i="3" s="1"/>
  <c r="S2170" i="3"/>
  <c r="T2170" i="3" s="1"/>
  <c r="S2197" i="3"/>
  <c r="T2197" i="3" s="1"/>
  <c r="S2278" i="3"/>
  <c r="T2278" i="3" s="1"/>
  <c r="S2328" i="3"/>
  <c r="T2328" i="3" s="1"/>
  <c r="S2386" i="3"/>
  <c r="T2386" i="3" s="1"/>
  <c r="S2410" i="3"/>
  <c r="T2410" i="3" s="1"/>
  <c r="S2450" i="3"/>
  <c r="T2450" i="3" s="1"/>
  <c r="S2547" i="3"/>
  <c r="T2547" i="3" s="1"/>
  <c r="S2626" i="3"/>
  <c r="T2626" i="3" s="1"/>
  <c r="S2656" i="3"/>
  <c r="T2656" i="3" s="1"/>
  <c r="S2701" i="3"/>
  <c r="T2701" i="3" s="1"/>
  <c r="S2711" i="3"/>
  <c r="T2711" i="3" s="1"/>
  <c r="S2777" i="3"/>
  <c r="T2777" i="3" s="1"/>
  <c r="S2782" i="3"/>
  <c r="T2782" i="3" s="1"/>
  <c r="S2789" i="3"/>
  <c r="T2789" i="3" s="1"/>
  <c r="S2809" i="3"/>
  <c r="T2809" i="3" s="1"/>
  <c r="S2838" i="3"/>
  <c r="T2838" i="3" s="1"/>
  <c r="S2873" i="3"/>
  <c r="T2873" i="3" s="1"/>
  <c r="S2880" i="3"/>
  <c r="T2880" i="3" s="1"/>
  <c r="S2901" i="3"/>
  <c r="T2901" i="3" s="1"/>
  <c r="S2946" i="3"/>
  <c r="T2946" i="3" s="1"/>
  <c r="S2954" i="3"/>
  <c r="T2954" i="3" s="1"/>
  <c r="S2976" i="3"/>
  <c r="T2976" i="3" s="1"/>
  <c r="S3049" i="3"/>
  <c r="T3049" i="3" s="1"/>
  <c r="S3169" i="3"/>
  <c r="T3169" i="3" s="1"/>
  <c r="S3242" i="3"/>
  <c r="T3242" i="3" s="1"/>
  <c r="S3308" i="3"/>
  <c r="T3308" i="3" s="1"/>
  <c r="S3315" i="3"/>
  <c r="T3315" i="3" s="1"/>
  <c r="S3355" i="3"/>
  <c r="T3355" i="3" s="1"/>
  <c r="S3400" i="3"/>
  <c r="T3400" i="3" s="1"/>
  <c r="S3456" i="3"/>
  <c r="T3456" i="3" s="1"/>
  <c r="S3524" i="3"/>
  <c r="T3524" i="3" s="1"/>
  <c r="S3561" i="3"/>
  <c r="T3561" i="3" s="1"/>
  <c r="S3569" i="3"/>
  <c r="T3569" i="3" s="1"/>
  <c r="S3641" i="3"/>
  <c r="T3641" i="3" s="1"/>
  <c r="S3652" i="3"/>
  <c r="T3652" i="3" s="1"/>
  <c r="S3783" i="3"/>
  <c r="T3783" i="3" s="1"/>
  <c r="S3825" i="3"/>
  <c r="T3825" i="3" s="1"/>
  <c r="S3852" i="3"/>
  <c r="T3852" i="3" s="1"/>
  <c r="S3873" i="3"/>
  <c r="T3873" i="3" s="1"/>
  <c r="S3895" i="3"/>
  <c r="T3895" i="3" s="1"/>
  <c r="S3919" i="3"/>
  <c r="T3919" i="3" s="1"/>
  <c r="S3928" i="3"/>
  <c r="T3928" i="3" s="1"/>
  <c r="S3939" i="3"/>
  <c r="T3939" i="3" s="1"/>
  <c r="S3941" i="3"/>
  <c r="T3941" i="3" s="1"/>
  <c r="S3956" i="3"/>
  <c r="T3956" i="3" s="1"/>
  <c r="S4044" i="3"/>
  <c r="T4044" i="3" s="1"/>
  <c r="S4053" i="3"/>
  <c r="T4053" i="3" s="1"/>
  <c r="S4083" i="3"/>
  <c r="T4083" i="3" s="1"/>
  <c r="S4091" i="3"/>
  <c r="T4091" i="3" s="1"/>
  <c r="S4119" i="3"/>
  <c r="T4119" i="3" s="1"/>
  <c r="S4138" i="3"/>
  <c r="T4138" i="3" s="1"/>
  <c r="S4143" i="3"/>
  <c r="T4143" i="3" s="1"/>
  <c r="S4276" i="3"/>
  <c r="T4276" i="3" s="1"/>
  <c r="S4294" i="3"/>
  <c r="T4294" i="3" s="1"/>
  <c r="S4439" i="3"/>
  <c r="T4439" i="3" s="1"/>
  <c r="S4497" i="3"/>
  <c r="T4497" i="3" s="1"/>
  <c r="S4544" i="3"/>
  <c r="T4544" i="3" s="1"/>
  <c r="S4560" i="3"/>
  <c r="T4560" i="3" s="1"/>
  <c r="S4566" i="3"/>
  <c r="T4566" i="3" s="1"/>
  <c r="S4570" i="3"/>
  <c r="T4570" i="3" s="1"/>
  <c r="S4613" i="3"/>
  <c r="T4613" i="3" s="1"/>
  <c r="S4631" i="3"/>
  <c r="T4631" i="3" s="1"/>
  <c r="S4642" i="3"/>
  <c r="T4642" i="3" s="1"/>
  <c r="S4691" i="3"/>
  <c r="T4691" i="3" s="1"/>
  <c r="S4742" i="3"/>
  <c r="T4742" i="3" s="1"/>
  <c r="S4763" i="3"/>
  <c r="T4763" i="3" s="1"/>
  <c r="S4774" i="3"/>
  <c r="T4774" i="3" s="1"/>
  <c r="S4801" i="3"/>
  <c r="T4801" i="3" s="1"/>
  <c r="S6" i="3"/>
  <c r="T6" i="3" s="1"/>
  <c r="U6" i="3" s="1"/>
  <c r="S21" i="3"/>
  <c r="T21" i="3" s="1"/>
  <c r="U21" i="3" s="1"/>
  <c r="S87" i="3"/>
  <c r="T87" i="3" s="1"/>
  <c r="U87" i="3" s="1"/>
  <c r="S103" i="3"/>
  <c r="T103" i="3" s="1"/>
  <c r="U103" i="3" s="1"/>
  <c r="S112" i="3"/>
  <c r="T112" i="3" s="1"/>
  <c r="U112" i="3" s="1"/>
  <c r="S201" i="3"/>
  <c r="T201" i="3" s="1"/>
  <c r="U201" i="3" s="1"/>
  <c r="S206" i="3"/>
  <c r="T206" i="3" s="1"/>
  <c r="U206" i="3" s="1"/>
  <c r="S219" i="3"/>
  <c r="T219" i="3" s="1"/>
  <c r="U219" i="3" s="1"/>
  <c r="S273" i="3"/>
  <c r="T273" i="3" s="1"/>
  <c r="U273" i="3" s="1"/>
  <c r="S310" i="3"/>
  <c r="T310" i="3" s="1"/>
  <c r="S312" i="3"/>
  <c r="T312" i="3" s="1"/>
  <c r="U312" i="3" s="1"/>
  <c r="S345" i="3"/>
  <c r="T345" i="3" s="1"/>
  <c r="S361" i="3"/>
  <c r="T361" i="3" s="1"/>
  <c r="S508" i="3"/>
  <c r="T508" i="3" s="1"/>
  <c r="U508" i="3" s="1"/>
  <c r="S566" i="3"/>
  <c r="T566" i="3" s="1"/>
  <c r="S711" i="3"/>
  <c r="T711" i="3" s="1"/>
  <c r="S864" i="3"/>
  <c r="T864" i="3" s="1"/>
  <c r="S873" i="3"/>
  <c r="T873" i="3" s="1"/>
  <c r="S885" i="3"/>
  <c r="T885" i="3" s="1"/>
  <c r="S1172" i="3"/>
  <c r="T1172" i="3" s="1"/>
  <c r="S1238" i="3"/>
  <c r="T1238" i="3" s="1"/>
  <c r="S1274" i="3"/>
  <c r="T1274" i="3" s="1"/>
  <c r="S1295" i="3"/>
  <c r="T1295" i="3" s="1"/>
  <c r="S1310" i="3"/>
  <c r="T1310" i="3" s="1"/>
  <c r="S1318" i="3"/>
  <c r="T1318" i="3" s="1"/>
  <c r="S1336" i="3"/>
  <c r="T1336" i="3" s="1"/>
  <c r="S1491" i="3"/>
  <c r="T1491" i="3" s="1"/>
  <c r="S1558" i="3"/>
  <c r="T1558" i="3" s="1"/>
  <c r="S1576" i="3"/>
  <c r="T1576" i="3" s="1"/>
  <c r="S1622" i="3"/>
  <c r="T1622" i="3" s="1"/>
  <c r="S1744" i="3"/>
  <c r="T1744" i="3" s="1"/>
  <c r="S1790" i="3"/>
  <c r="T1790" i="3" s="1"/>
  <c r="S1819" i="3"/>
  <c r="T1819" i="3" s="1"/>
  <c r="S1846" i="3"/>
  <c r="T1846" i="3" s="1"/>
  <c r="S1862" i="3"/>
  <c r="T1862" i="3" s="1"/>
  <c r="S1880" i="3"/>
  <c r="T1880" i="3" s="1"/>
  <c r="S1907" i="3"/>
  <c r="T1907" i="3" s="1"/>
  <c r="S1911" i="3"/>
  <c r="T1911" i="3" s="1"/>
  <c r="S1928" i="3"/>
  <c r="T1928" i="3" s="1"/>
  <c r="S1961" i="3"/>
  <c r="T1961" i="3" s="1"/>
  <c r="S2011" i="3"/>
  <c r="T2011" i="3" s="1"/>
  <c r="S2042" i="3"/>
  <c r="T2042" i="3" s="1"/>
  <c r="S2074" i="3"/>
  <c r="T2074" i="3" s="1"/>
  <c r="S2205" i="3"/>
  <c r="T2205" i="3" s="1"/>
  <c r="S2287" i="3"/>
  <c r="T2287" i="3" s="1"/>
  <c r="S2297" i="3"/>
  <c r="T2297" i="3" s="1"/>
  <c r="S2400" i="3"/>
  <c r="T2400" i="3" s="1"/>
  <c r="S2428" i="3"/>
  <c r="T2428" i="3" s="1"/>
  <c r="S2430" i="3"/>
  <c r="T2430" i="3" s="1"/>
  <c r="S2488" i="3"/>
  <c r="T2488" i="3" s="1"/>
  <c r="S2555" i="3"/>
  <c r="T2555" i="3" s="1"/>
  <c r="S2592" i="3"/>
  <c r="T2592" i="3" s="1"/>
  <c r="S2806" i="3"/>
  <c r="T2806" i="3" s="1"/>
  <c r="S2814" i="3"/>
  <c r="T2814" i="3" s="1"/>
  <c r="S2887" i="3"/>
  <c r="T2887" i="3" s="1"/>
  <c r="S2910" i="3"/>
  <c r="T2910" i="3" s="1"/>
  <c r="S2916" i="3"/>
  <c r="T2916" i="3" s="1"/>
  <c r="S3257" i="3"/>
  <c r="T3257" i="3" s="1"/>
  <c r="S3326" i="3"/>
  <c r="T3326" i="3" s="1"/>
  <c r="S3391" i="3"/>
  <c r="T3391" i="3" s="1"/>
  <c r="S3442" i="3"/>
  <c r="T3442" i="3" s="1"/>
  <c r="S3449" i="3"/>
  <c r="T3449" i="3" s="1"/>
  <c r="S3475" i="3"/>
  <c r="T3475" i="3" s="1"/>
  <c r="S3567" i="3"/>
  <c r="T3567" i="3" s="1"/>
  <c r="S3576" i="3"/>
  <c r="T3576" i="3" s="1"/>
  <c r="S3582" i="3"/>
  <c r="T3582" i="3" s="1"/>
  <c r="S3602" i="3"/>
  <c r="T3602" i="3" s="1"/>
  <c r="S3649" i="3"/>
  <c r="T3649" i="3" s="1"/>
  <c r="S3660" i="3"/>
  <c r="T3660" i="3" s="1"/>
  <c r="S3665" i="3"/>
  <c r="T3665" i="3" s="1"/>
  <c r="S3688" i="3"/>
  <c r="T3688" i="3" s="1"/>
  <c r="S3867" i="3"/>
  <c r="T3867" i="3" s="1"/>
  <c r="S3926" i="3"/>
  <c r="T3926" i="3" s="1"/>
  <c r="S3976" i="3"/>
  <c r="T3976" i="3" s="1"/>
  <c r="S3977" i="3"/>
  <c r="T3977" i="3" s="1"/>
  <c r="S4007" i="3"/>
  <c r="T4007" i="3" s="1"/>
  <c r="S4021" i="3"/>
  <c r="T4021" i="3" s="1"/>
  <c r="S4287" i="3"/>
  <c r="T4287" i="3" s="1"/>
  <c r="S4401" i="3"/>
  <c r="T4401" i="3" s="1"/>
  <c r="S4449" i="3"/>
  <c r="T4449" i="3" s="1"/>
  <c r="S4514" i="3"/>
  <c r="T4514" i="3" s="1"/>
  <c r="S4516" i="3"/>
  <c r="T4516" i="3" s="1"/>
  <c r="S4593" i="3"/>
  <c r="T4593" i="3" s="1"/>
  <c r="S4595" i="3"/>
  <c r="T4595" i="3" s="1"/>
  <c r="S4762" i="3"/>
  <c r="T4762" i="3" s="1"/>
  <c r="S4794" i="3"/>
  <c r="T4794" i="3" s="1"/>
  <c r="S33" i="3"/>
  <c r="T33" i="3" s="1"/>
  <c r="U33" i="3" s="1"/>
  <c r="S111" i="3"/>
  <c r="T111" i="3" s="1"/>
  <c r="U111" i="3" s="1"/>
  <c r="S212" i="3"/>
  <c r="T212" i="3" s="1"/>
  <c r="U212" i="3" s="1"/>
  <c r="S217" i="3"/>
  <c r="T217" i="3" s="1"/>
  <c r="U217" i="3" s="1"/>
  <c r="S247" i="3"/>
  <c r="T247" i="3" s="1"/>
  <c r="U247" i="3" s="1"/>
  <c r="S298" i="3"/>
  <c r="T298" i="3" s="1"/>
  <c r="U298" i="3" s="1"/>
  <c r="S352" i="3"/>
  <c r="T352" i="3" s="1"/>
  <c r="U352" i="3" s="1"/>
  <c r="S396" i="3"/>
  <c r="T396" i="3" s="1"/>
  <c r="S463" i="3"/>
  <c r="T463" i="3" s="1"/>
  <c r="S509" i="3"/>
  <c r="T509" i="3" s="1"/>
  <c r="S555" i="3"/>
  <c r="T555" i="3" s="1"/>
  <c r="S563" i="3"/>
  <c r="T563" i="3" s="1"/>
  <c r="S585" i="3"/>
  <c r="T585" i="3" s="1"/>
  <c r="S594" i="3"/>
  <c r="T594" i="3" s="1"/>
  <c r="S612" i="3"/>
  <c r="T612" i="3" s="1"/>
  <c r="S646" i="3"/>
  <c r="T646" i="3" s="1"/>
  <c r="S652" i="3"/>
  <c r="T652" i="3" s="1"/>
  <c r="S771" i="3"/>
  <c r="T771" i="3" s="1"/>
  <c r="S867" i="3"/>
  <c r="T867" i="3" s="1"/>
  <c r="S879" i="3"/>
  <c r="T879" i="3" s="1"/>
  <c r="S995" i="3"/>
  <c r="T995" i="3" s="1"/>
  <c r="S1046" i="3"/>
  <c r="T1046" i="3" s="1"/>
  <c r="S1123" i="3"/>
  <c r="T1123" i="3" s="1"/>
  <c r="S1137" i="3"/>
  <c r="T1137" i="3" s="1"/>
  <c r="S1253" i="3"/>
  <c r="T1253" i="3" s="1"/>
  <c r="S1306" i="3"/>
  <c r="T1306" i="3" s="1"/>
  <c r="S1330" i="3"/>
  <c r="T1330" i="3" s="1"/>
  <c r="S1345" i="3"/>
  <c r="T1345" i="3" s="1"/>
  <c r="S1368" i="3"/>
  <c r="T1368" i="3" s="1"/>
  <c r="S1397" i="3"/>
  <c r="T1397" i="3" s="1"/>
  <c r="S1450" i="3"/>
  <c r="T1450" i="3" s="1"/>
  <c r="S1705" i="3"/>
  <c r="T1705" i="3" s="1"/>
  <c r="S1753" i="3"/>
  <c r="T1753" i="3" s="1"/>
  <c r="S1771" i="3"/>
  <c r="T1771" i="3" s="1"/>
  <c r="S1826" i="3"/>
  <c r="T1826" i="3" s="1"/>
  <c r="S1997" i="3"/>
  <c r="T1997" i="3" s="1"/>
  <c r="S2006" i="3"/>
  <c r="T2006" i="3" s="1"/>
  <c r="S2009" i="3"/>
  <c r="T2009" i="3" s="1"/>
  <c r="S2017" i="3"/>
  <c r="T2017" i="3" s="1"/>
  <c r="S2037" i="3"/>
  <c r="T2037" i="3" s="1"/>
  <c r="S2069" i="3"/>
  <c r="T2069" i="3" s="1"/>
  <c r="S2132" i="3"/>
  <c r="T2132" i="3" s="1"/>
  <c r="S2135" i="3"/>
  <c r="T2135" i="3" s="1"/>
  <c r="S2244" i="3"/>
  <c r="T2244" i="3" s="1"/>
  <c r="S2283" i="3"/>
  <c r="T2283" i="3" s="1"/>
  <c r="S2379" i="3"/>
  <c r="T2379" i="3" s="1"/>
  <c r="S2444" i="3"/>
  <c r="T2444" i="3" s="1"/>
  <c r="S2619" i="3"/>
  <c r="T2619" i="3" s="1"/>
  <c r="S2692" i="3"/>
  <c r="T2692" i="3" s="1"/>
  <c r="S2697" i="3"/>
  <c r="T2697" i="3" s="1"/>
  <c r="S2713" i="3"/>
  <c r="T2713" i="3" s="1"/>
  <c r="S2827" i="3"/>
  <c r="T2827" i="3" s="1"/>
  <c r="S2906" i="3"/>
  <c r="T2906" i="3" s="1"/>
  <c r="S3027" i="3"/>
  <c r="T3027" i="3" s="1"/>
  <c r="S3081" i="3"/>
  <c r="T3081" i="3" s="1"/>
  <c r="S3082" i="3"/>
  <c r="T3082" i="3" s="1"/>
  <c r="S3127" i="3"/>
  <c r="T3127" i="3" s="1"/>
  <c r="S3210" i="3"/>
  <c r="T3210" i="3" s="1"/>
  <c r="S3212" i="3"/>
  <c r="T3212" i="3" s="1"/>
  <c r="S3338" i="3"/>
  <c r="T3338" i="3" s="1"/>
  <c r="S3368" i="3"/>
  <c r="T3368" i="3" s="1"/>
  <c r="S3398" i="3"/>
  <c r="T3398" i="3" s="1"/>
  <c r="S3443" i="3"/>
  <c r="T3443" i="3" s="1"/>
  <c r="S3463" i="3"/>
  <c r="T3463" i="3" s="1"/>
  <c r="S3487" i="3"/>
  <c r="T3487" i="3" s="1"/>
  <c r="S3522" i="3"/>
  <c r="T3522" i="3" s="1"/>
  <c r="S3580" i="3"/>
  <c r="T3580" i="3" s="1"/>
  <c r="S3596" i="3"/>
  <c r="T3596" i="3" s="1"/>
  <c r="S3609" i="3"/>
  <c r="T3609" i="3" s="1"/>
  <c r="S3823" i="3"/>
  <c r="T3823" i="3" s="1"/>
  <c r="S3842" i="3"/>
  <c r="T3842" i="3" s="1"/>
  <c r="S3930" i="3"/>
  <c r="T3930" i="3" s="1"/>
  <c r="S4087" i="3"/>
  <c r="T4087" i="3" s="1"/>
  <c r="S4124" i="3"/>
  <c r="T4124" i="3" s="1"/>
  <c r="S4320" i="3"/>
  <c r="T4320" i="3" s="1"/>
  <c r="S4342" i="3"/>
  <c r="T4342" i="3" s="1"/>
  <c r="S4494" i="3"/>
  <c r="T4494" i="3" s="1"/>
  <c r="S4660" i="3"/>
  <c r="T4660" i="3" s="1"/>
  <c r="S4805" i="3"/>
  <c r="T4805" i="3" s="1"/>
  <c r="S1515" i="3"/>
  <c r="T1515" i="3" s="1"/>
  <c r="S1598" i="3"/>
  <c r="T1598" i="3" s="1"/>
  <c r="S2658" i="3"/>
  <c r="T2658" i="3" s="1"/>
  <c r="S2988" i="3"/>
  <c r="T2988" i="3" s="1"/>
  <c r="S3115" i="3"/>
  <c r="T3115" i="3" s="1"/>
  <c r="S3586" i="3"/>
  <c r="T3586" i="3" s="1"/>
  <c r="S4023" i="3"/>
  <c r="T4023" i="3" s="1"/>
  <c r="S4600" i="3"/>
  <c r="T4600" i="3" s="1"/>
  <c r="S51" i="3"/>
  <c r="T51" i="3" s="1"/>
  <c r="U51" i="3" s="1"/>
  <c r="S104" i="3"/>
  <c r="T104" i="3" s="1"/>
  <c r="U104" i="3" s="1"/>
  <c r="S110" i="3"/>
  <c r="T110" i="3" s="1"/>
  <c r="U110" i="3" s="1"/>
  <c r="S226" i="3"/>
  <c r="T226" i="3" s="1"/>
  <c r="U226" i="3" s="1"/>
  <c r="S248" i="3"/>
  <c r="T248" i="3" s="1"/>
  <c r="U248" i="3" s="1"/>
  <c r="S286" i="3"/>
  <c r="T286" i="3" s="1"/>
  <c r="U286" i="3" s="1"/>
  <c r="S320" i="3"/>
  <c r="T320" i="3" s="1"/>
  <c r="U320" i="3" s="1"/>
  <c r="S371" i="3"/>
  <c r="T371" i="3" s="1"/>
  <c r="S448" i="3"/>
  <c r="T448" i="3" s="1"/>
  <c r="U448" i="3" s="1"/>
  <c r="S547" i="3"/>
  <c r="T547" i="3" s="1"/>
  <c r="U547" i="3" s="1"/>
  <c r="S647" i="3"/>
  <c r="T647" i="3" s="1"/>
  <c r="S735" i="3"/>
  <c r="T735" i="3" s="1"/>
  <c r="S866" i="3"/>
  <c r="T866" i="3" s="1"/>
  <c r="S897" i="3"/>
  <c r="T897" i="3" s="1"/>
  <c r="S935" i="3"/>
  <c r="T935" i="3" s="1"/>
  <c r="S940" i="3"/>
  <c r="T940" i="3" s="1"/>
  <c r="S950" i="3"/>
  <c r="T950" i="3" s="1"/>
  <c r="S966" i="3"/>
  <c r="T966" i="3" s="1"/>
  <c r="S975" i="3"/>
  <c r="T975" i="3" s="1"/>
  <c r="S1079" i="3"/>
  <c r="T1079" i="3" s="1"/>
  <c r="S1160" i="3"/>
  <c r="T1160" i="3" s="1"/>
  <c r="S1351" i="3"/>
  <c r="T1351" i="3" s="1"/>
  <c r="S1583" i="3"/>
  <c r="T1583" i="3" s="1"/>
  <c r="S1630" i="3"/>
  <c r="T1630" i="3" s="1"/>
  <c r="S1662" i="3"/>
  <c r="T1662" i="3" s="1"/>
  <c r="S1663" i="3"/>
  <c r="T1663" i="3" s="1"/>
  <c r="S1773" i="3"/>
  <c r="T1773" i="3" s="1"/>
  <c r="S1787" i="3"/>
  <c r="T1787" i="3" s="1"/>
  <c r="S1842" i="3"/>
  <c r="T1842" i="3" s="1"/>
  <c r="S1865" i="3"/>
  <c r="T1865" i="3" s="1"/>
  <c r="S2092" i="3"/>
  <c r="T2092" i="3" s="1"/>
  <c r="S2138" i="3"/>
  <c r="T2138" i="3" s="1"/>
  <c r="S2176" i="3"/>
  <c r="T2176" i="3" s="1"/>
  <c r="S2196" i="3"/>
  <c r="T2196" i="3" s="1"/>
  <c r="S2221" i="3"/>
  <c r="T2221" i="3" s="1"/>
  <c r="S2229" i="3"/>
  <c r="T2229" i="3" s="1"/>
  <c r="S2276" i="3"/>
  <c r="T2276" i="3" s="1"/>
  <c r="S2312" i="3"/>
  <c r="T2312" i="3" s="1"/>
  <c r="S2412" i="3"/>
  <c r="T2412" i="3" s="1"/>
  <c r="S2424" i="3"/>
  <c r="T2424" i="3" s="1"/>
  <c r="S2474" i="3"/>
  <c r="T2474" i="3" s="1"/>
  <c r="S2503" i="3"/>
  <c r="T2503" i="3" s="1"/>
  <c r="S2593" i="3"/>
  <c r="T2593" i="3" s="1"/>
  <c r="S2596" i="3"/>
  <c r="T2596" i="3" s="1"/>
  <c r="S2628" i="3"/>
  <c r="T2628" i="3" s="1"/>
  <c r="S2654" i="3"/>
  <c r="T2654" i="3" s="1"/>
  <c r="S2792" i="3"/>
  <c r="T2792" i="3" s="1"/>
  <c r="S2823" i="3"/>
  <c r="T2823" i="3" s="1"/>
  <c r="S2825" i="3"/>
  <c r="T2825" i="3" s="1"/>
  <c r="S2856" i="3"/>
  <c r="T2856" i="3" s="1"/>
  <c r="S2871" i="3"/>
  <c r="T2871" i="3" s="1"/>
  <c r="S2921" i="3"/>
  <c r="T2921" i="3" s="1"/>
  <c r="S2941" i="3"/>
  <c r="T2941" i="3" s="1"/>
  <c r="S3020" i="3"/>
  <c r="T3020" i="3" s="1"/>
  <c r="S3044" i="3"/>
  <c r="T3044" i="3" s="1"/>
  <c r="S3073" i="3"/>
  <c r="T3073" i="3" s="1"/>
  <c r="S3112" i="3"/>
  <c r="T3112" i="3" s="1"/>
  <c r="S3154" i="3"/>
  <c r="T3154" i="3" s="1"/>
  <c r="S3188" i="3"/>
  <c r="T3188" i="3" s="1"/>
  <c r="S3211" i="3"/>
  <c r="T3211" i="3" s="1"/>
  <c r="S3219" i="3"/>
  <c r="T3219" i="3" s="1"/>
  <c r="S3252" i="3"/>
  <c r="T3252" i="3" s="1"/>
  <c r="S3265" i="3"/>
  <c r="T3265" i="3" s="1"/>
  <c r="S3325" i="3"/>
  <c r="T3325" i="3" s="1"/>
  <c r="S3367" i="3"/>
  <c r="T3367" i="3" s="1"/>
  <c r="S3372" i="3"/>
  <c r="T3372" i="3" s="1"/>
  <c r="S3381" i="3"/>
  <c r="T3381" i="3" s="1"/>
  <c r="S3405" i="3"/>
  <c r="T3405" i="3" s="1"/>
  <c r="S3631" i="3"/>
  <c r="T3631" i="3" s="1"/>
  <c r="S3648" i="3"/>
  <c r="T3648" i="3" s="1"/>
  <c r="S3655" i="3"/>
  <c r="T3655" i="3" s="1"/>
  <c r="S3668" i="3"/>
  <c r="T3668" i="3" s="1"/>
  <c r="S3692" i="3"/>
  <c r="T3692" i="3" s="1"/>
  <c r="S3745" i="3"/>
  <c r="T3745" i="3" s="1"/>
  <c r="S3773" i="3"/>
  <c r="T3773" i="3" s="1"/>
  <c r="S3865" i="3"/>
  <c r="T3865" i="3" s="1"/>
  <c r="S3950" i="3"/>
  <c r="T3950" i="3" s="1"/>
  <c r="S4008" i="3"/>
  <c r="T4008" i="3" s="1"/>
  <c r="S4059" i="3"/>
  <c r="T4059" i="3" s="1"/>
  <c r="S4065" i="3"/>
  <c r="T4065" i="3" s="1"/>
  <c r="S4107" i="3"/>
  <c r="T4107" i="3" s="1"/>
  <c r="S4217" i="3"/>
  <c r="T4217" i="3" s="1"/>
  <c r="S4246" i="3"/>
  <c r="T4246" i="3" s="1"/>
  <c r="S4278" i="3"/>
  <c r="T4278" i="3" s="1"/>
  <c r="S4333" i="3"/>
  <c r="T4333" i="3" s="1"/>
  <c r="S4363" i="3"/>
  <c r="T4363" i="3" s="1"/>
  <c r="S4430" i="3"/>
  <c r="T4430" i="3" s="1"/>
  <c r="S4461" i="3"/>
  <c r="T4461" i="3" s="1"/>
  <c r="S4554" i="3"/>
  <c r="T4554" i="3" s="1"/>
  <c r="S4565" i="3"/>
  <c r="T4565" i="3" s="1"/>
  <c r="S4622" i="3"/>
  <c r="T4622" i="3" s="1"/>
  <c r="S4639" i="3"/>
  <c r="T4639" i="3" s="1"/>
  <c r="S4663" i="3"/>
  <c r="T4663" i="3" s="1"/>
  <c r="S4688" i="3"/>
  <c r="T4688" i="3" s="1"/>
  <c r="S4690" i="3"/>
  <c r="T4690" i="3" s="1"/>
  <c r="S4806" i="3"/>
  <c r="T4806" i="3" s="1"/>
  <c r="S4826" i="3"/>
  <c r="T4826" i="3" s="1"/>
  <c r="S119" i="3"/>
  <c r="T119" i="3" s="1"/>
  <c r="U119" i="3" s="1"/>
  <c r="S159" i="3"/>
  <c r="T159" i="3" s="1"/>
  <c r="U159" i="3" s="1"/>
  <c r="S166" i="3"/>
  <c r="T166" i="3" s="1"/>
  <c r="U166" i="3" s="1"/>
  <c r="S188" i="3"/>
  <c r="T188" i="3" s="1"/>
  <c r="U188" i="3" s="1"/>
  <c r="S260" i="3"/>
  <c r="T260" i="3" s="1"/>
  <c r="U260" i="3" s="1"/>
  <c r="S390" i="3"/>
  <c r="T390" i="3" s="1"/>
  <c r="S395" i="3"/>
  <c r="T395" i="3" s="1"/>
  <c r="U395" i="3" s="1"/>
  <c r="S473" i="3"/>
  <c r="T473" i="3" s="1"/>
  <c r="S511" i="3"/>
  <c r="T511" i="3" s="1"/>
  <c r="U511" i="3" s="1"/>
  <c r="S517" i="3"/>
  <c r="T517" i="3" s="1"/>
  <c r="S587" i="3"/>
  <c r="T587" i="3" s="1"/>
  <c r="U587" i="3" s="1"/>
  <c r="S655" i="3"/>
  <c r="T655" i="3" s="1"/>
  <c r="U655" i="3" s="1"/>
  <c r="S662" i="3"/>
  <c r="T662" i="3" s="1"/>
  <c r="S724" i="3"/>
  <c r="T724" i="3" s="1"/>
  <c r="S743" i="3"/>
  <c r="T743" i="3" s="1"/>
  <c r="S929" i="3"/>
  <c r="T929" i="3" s="1"/>
  <c r="S1038" i="3"/>
  <c r="T1038" i="3" s="1"/>
  <c r="S1048" i="3"/>
  <c r="T1048" i="3" s="1"/>
  <c r="S1074" i="3"/>
  <c r="T1074" i="3" s="1"/>
  <c r="S1126" i="3"/>
  <c r="T1126" i="3" s="1"/>
  <c r="S1132" i="3"/>
  <c r="T1132" i="3" s="1"/>
  <c r="S1229" i="3"/>
  <c r="T1229" i="3" s="1"/>
  <c r="S1272" i="3"/>
  <c r="T1272" i="3" s="1"/>
  <c r="S1300" i="3"/>
  <c r="T1300" i="3" s="1"/>
  <c r="S1313" i="3"/>
  <c r="T1313" i="3" s="1"/>
  <c r="S1335" i="3"/>
  <c r="T1335" i="3" s="1"/>
  <c r="S1365" i="3"/>
  <c r="T1365" i="3" s="1"/>
  <c r="S1382" i="3"/>
  <c r="T1382" i="3" s="1"/>
  <c r="S1485" i="3"/>
  <c r="T1485" i="3" s="1"/>
  <c r="S1624" i="3"/>
  <c r="T1624" i="3" s="1"/>
  <c r="S1645" i="3"/>
  <c r="T1645" i="3" s="1"/>
  <c r="S1683" i="3"/>
  <c r="T1683" i="3" s="1"/>
  <c r="S1795" i="3"/>
  <c r="T1795" i="3" s="1"/>
  <c r="S1848" i="3"/>
  <c r="T1848" i="3" s="1"/>
  <c r="S1861" i="3"/>
  <c r="T1861" i="3" s="1"/>
  <c r="S1878" i="3"/>
  <c r="T1878" i="3" s="1"/>
  <c r="S1937" i="3"/>
  <c r="T1937" i="3" s="1"/>
  <c r="S1966" i="3"/>
  <c r="T1966" i="3" s="1"/>
  <c r="S2019" i="3"/>
  <c r="T2019" i="3" s="1"/>
  <c r="S2112" i="3"/>
  <c r="T2112" i="3" s="1"/>
  <c r="S2145" i="3"/>
  <c r="T2145" i="3" s="1"/>
  <c r="S2240" i="3"/>
  <c r="T2240" i="3" s="1"/>
  <c r="S2281" i="3"/>
  <c r="T2281" i="3" s="1"/>
  <c r="S2419" i="3"/>
  <c r="T2419" i="3" s="1"/>
  <c r="S2615" i="3"/>
  <c r="T2615" i="3" s="1"/>
  <c r="S2685" i="3"/>
  <c r="T2685" i="3" s="1"/>
  <c r="S2707" i="3"/>
  <c r="T2707" i="3" s="1"/>
  <c r="S2749" i="3"/>
  <c r="T2749" i="3" s="1"/>
  <c r="S2832" i="3"/>
  <c r="T2832" i="3" s="1"/>
  <c r="S2900" i="3"/>
  <c r="T2900" i="3" s="1"/>
  <c r="S3032" i="3"/>
  <c r="T3032" i="3" s="1"/>
  <c r="S3034" i="3"/>
  <c r="T3034" i="3" s="1"/>
  <c r="S3070" i="3"/>
  <c r="T3070" i="3" s="1"/>
  <c r="S3217" i="3"/>
  <c r="T3217" i="3" s="1"/>
  <c r="S3224" i="3"/>
  <c r="T3224" i="3" s="1"/>
  <c r="S3457" i="3"/>
  <c r="T3457" i="3" s="1"/>
  <c r="S3481" i="3"/>
  <c r="T3481" i="3" s="1"/>
  <c r="S3482" i="3"/>
  <c r="T3482" i="3" s="1"/>
  <c r="S3664" i="3"/>
  <c r="T3664" i="3" s="1"/>
  <c r="S3807" i="3"/>
  <c r="T3807" i="3" s="1"/>
  <c r="S3900" i="3"/>
  <c r="T3900" i="3" s="1"/>
  <c r="S3934" i="3"/>
  <c r="T3934" i="3" s="1"/>
  <c r="S3985" i="3"/>
  <c r="T3985" i="3" s="1"/>
  <c r="S4077" i="3"/>
  <c r="T4077" i="3" s="1"/>
  <c r="S4126" i="3"/>
  <c r="T4126" i="3" s="1"/>
  <c r="S4178" i="3"/>
  <c r="T4178" i="3" s="1"/>
  <c r="S4197" i="3"/>
  <c r="T4197" i="3" s="1"/>
  <c r="S4207" i="3"/>
  <c r="T4207" i="3" s="1"/>
  <c r="S4239" i="3"/>
  <c r="T4239" i="3" s="1"/>
  <c r="S4245" i="3"/>
  <c r="T4245" i="3" s="1"/>
  <c r="S4313" i="3"/>
  <c r="T4313" i="3" s="1"/>
  <c r="S4458" i="3"/>
  <c r="T4458" i="3" s="1"/>
  <c r="S4495" i="3"/>
  <c r="T4495" i="3" s="1"/>
  <c r="S4585" i="3"/>
  <c r="T4585" i="3" s="1"/>
  <c r="S4590" i="3"/>
  <c r="T4590" i="3" s="1"/>
  <c r="S4607" i="3"/>
  <c r="T4607" i="3" s="1"/>
  <c r="S4637" i="3"/>
  <c r="T4637" i="3" s="1"/>
  <c r="S4680" i="3"/>
  <c r="T4680" i="3" s="1"/>
  <c r="S4699" i="3"/>
  <c r="T4699" i="3" s="1"/>
  <c r="S4712" i="3"/>
  <c r="T4712" i="3" s="1"/>
  <c r="S4713" i="3"/>
  <c r="T4713" i="3" s="1"/>
  <c r="S4760" i="3"/>
  <c r="T4760" i="3" s="1"/>
  <c r="S4787" i="3"/>
  <c r="T4787" i="3" s="1"/>
  <c r="S52" i="3"/>
  <c r="T52" i="3" s="1"/>
  <c r="U52" i="3" s="1"/>
  <c r="S76" i="3"/>
  <c r="T76" i="3" s="1"/>
  <c r="U76" i="3" s="1"/>
  <c r="S91" i="3"/>
  <c r="T91" i="3" s="1"/>
  <c r="U91" i="3" s="1"/>
  <c r="S126" i="3"/>
  <c r="T126" i="3" s="1"/>
  <c r="U126" i="3" s="1"/>
  <c r="S146" i="3"/>
  <c r="T146" i="3" s="1"/>
  <c r="U146" i="3" s="1"/>
  <c r="S196" i="3"/>
  <c r="T196" i="3" s="1"/>
  <c r="U196" i="3" s="1"/>
  <c r="S208" i="3"/>
  <c r="T208" i="3" s="1"/>
  <c r="U208" i="3" s="1"/>
  <c r="S209" i="3"/>
  <c r="T209" i="3" s="1"/>
  <c r="U209" i="3" s="1"/>
  <c r="S230" i="3"/>
  <c r="T230" i="3" s="1"/>
  <c r="U230" i="3" s="1"/>
  <c r="S251" i="3"/>
  <c r="T251" i="3" s="1"/>
  <c r="U251" i="3" s="1"/>
  <c r="S302" i="3"/>
  <c r="T302" i="3" s="1"/>
  <c r="U302" i="3" s="1"/>
  <c r="S314" i="3"/>
  <c r="T314" i="3" s="1"/>
  <c r="U314" i="3" s="1"/>
  <c r="S327" i="3"/>
  <c r="T327" i="3" s="1"/>
  <c r="S386" i="3"/>
  <c r="T386" i="3" s="1"/>
  <c r="U386" i="3" s="1"/>
  <c r="S388" i="3"/>
  <c r="T388" i="3" s="1"/>
  <c r="U388" i="3" s="1"/>
  <c r="S459" i="3"/>
  <c r="T459" i="3" s="1"/>
  <c r="S661" i="3"/>
  <c r="T661" i="3" s="1"/>
  <c r="U661" i="3" s="1"/>
  <c r="S737" i="3"/>
  <c r="T737" i="3" s="1"/>
  <c r="U737" i="3" s="1"/>
  <c r="S761" i="3"/>
  <c r="T761" i="3" s="1"/>
  <c r="S788" i="3"/>
  <c r="T788" i="3" s="1"/>
  <c r="S839" i="3"/>
  <c r="T839" i="3" s="1"/>
  <c r="S936" i="3"/>
  <c r="T936" i="3" s="1"/>
  <c r="S974" i="3"/>
  <c r="T974" i="3" s="1"/>
  <c r="S1100" i="3"/>
  <c r="T1100" i="3" s="1"/>
  <c r="S1165" i="3"/>
  <c r="T1165" i="3" s="1"/>
  <c r="S1199" i="3"/>
  <c r="T1199" i="3" s="1"/>
  <c r="S1209" i="3"/>
  <c r="T1209" i="3" s="1"/>
  <c r="S1277" i="3"/>
  <c r="T1277" i="3" s="1"/>
  <c r="S1377" i="3"/>
  <c r="T1377" i="3" s="1"/>
  <c r="S1449" i="3"/>
  <c r="T1449" i="3" s="1"/>
  <c r="S1469" i="3"/>
  <c r="T1469" i="3" s="1"/>
  <c r="S1480" i="3"/>
  <c r="T1480" i="3" s="1"/>
  <c r="S1489" i="3"/>
  <c r="T1489" i="3" s="1"/>
  <c r="S1527" i="3"/>
  <c r="T1527" i="3" s="1"/>
  <c r="S1537" i="3"/>
  <c r="T1537" i="3" s="1"/>
  <c r="S1587" i="3"/>
  <c r="T1587" i="3" s="1"/>
  <c r="S1597" i="3"/>
  <c r="T1597" i="3" s="1"/>
  <c r="S1672" i="3"/>
  <c r="T1672" i="3" s="1"/>
  <c r="S1737" i="3"/>
  <c r="T1737" i="3" s="1"/>
  <c r="S1797" i="3"/>
  <c r="T1797" i="3" s="1"/>
  <c r="S1818" i="3"/>
  <c r="T1818" i="3" s="1"/>
  <c r="S1824" i="3"/>
  <c r="T1824" i="3" s="1"/>
  <c r="S1849" i="3"/>
  <c r="T1849" i="3" s="1"/>
  <c r="S1909" i="3"/>
  <c r="T1909" i="3" s="1"/>
  <c r="S1935" i="3"/>
  <c r="T1935" i="3" s="1"/>
  <c r="S1943" i="3"/>
  <c r="T1943" i="3" s="1"/>
  <c r="S1974" i="3"/>
  <c r="T1974" i="3" s="1"/>
  <c r="S2012" i="3"/>
  <c r="T2012" i="3" s="1"/>
  <c r="S2094" i="3"/>
  <c r="T2094" i="3" s="1"/>
  <c r="S2120" i="3"/>
  <c r="T2120" i="3" s="1"/>
  <c r="S2189" i="3"/>
  <c r="T2189" i="3" s="1"/>
  <c r="S2354" i="3"/>
  <c r="T2354" i="3" s="1"/>
  <c r="S2381" i="3"/>
  <c r="T2381" i="3" s="1"/>
  <c r="S2453" i="3"/>
  <c r="T2453" i="3" s="1"/>
  <c r="S2454" i="3"/>
  <c r="T2454" i="3" s="1"/>
  <c r="S2457" i="3"/>
  <c r="T2457" i="3" s="1"/>
  <c r="S2481" i="3"/>
  <c r="T2481" i="3" s="1"/>
  <c r="S2487" i="3"/>
  <c r="T2487" i="3" s="1"/>
  <c r="S2505" i="3"/>
  <c r="T2505" i="3" s="1"/>
  <c r="S2514" i="3"/>
  <c r="T2514" i="3" s="1"/>
  <c r="S2521" i="3"/>
  <c r="T2521" i="3" s="1"/>
  <c r="S2538" i="3"/>
  <c r="T2538" i="3" s="1"/>
  <c r="S2590" i="3"/>
  <c r="T2590" i="3" s="1"/>
  <c r="S2611" i="3"/>
  <c r="T2611" i="3" s="1"/>
  <c r="S2660" i="3"/>
  <c r="T2660" i="3" s="1"/>
  <c r="S2784" i="3"/>
  <c r="T2784" i="3" s="1"/>
  <c r="S2970" i="3"/>
  <c r="T2970" i="3" s="1"/>
  <c r="S3093" i="3"/>
  <c r="T3093" i="3" s="1"/>
  <c r="S3138" i="3"/>
  <c r="T3138" i="3" s="1"/>
  <c r="S3161" i="3"/>
  <c r="T3161" i="3" s="1"/>
  <c r="S3180" i="3"/>
  <c r="T3180" i="3" s="1"/>
  <c r="S3196" i="3"/>
  <c r="T3196" i="3" s="1"/>
  <c r="S3198" i="3"/>
  <c r="T3198" i="3" s="1"/>
  <c r="S3254" i="3"/>
  <c r="T3254" i="3" s="1"/>
  <c r="S3322" i="3"/>
  <c r="T3322" i="3" s="1"/>
  <c r="S3354" i="3"/>
  <c r="T3354" i="3" s="1"/>
  <c r="S3358" i="3"/>
  <c r="T3358" i="3" s="1"/>
  <c r="S3387" i="3"/>
  <c r="T3387" i="3" s="1"/>
  <c r="S3409" i="3"/>
  <c r="T3409" i="3" s="1"/>
  <c r="S3414" i="3"/>
  <c r="T3414" i="3" s="1"/>
  <c r="S3428" i="3"/>
  <c r="T3428" i="3" s="1"/>
  <c r="S3551" i="3"/>
  <c r="T3551" i="3" s="1"/>
  <c r="S3571" i="3"/>
  <c r="T3571" i="3" s="1"/>
  <c r="S3597" i="3"/>
  <c r="T3597" i="3" s="1"/>
  <c r="S3704" i="3"/>
  <c r="T3704" i="3" s="1"/>
  <c r="S3798" i="3"/>
  <c r="T3798" i="3" s="1"/>
  <c r="S3836" i="3"/>
  <c r="T3836" i="3" s="1"/>
  <c r="S3878" i="3"/>
  <c r="T3878" i="3" s="1"/>
  <c r="S3905" i="3"/>
  <c r="T3905" i="3" s="1"/>
  <c r="S4089" i="3"/>
  <c r="T4089" i="3" s="1"/>
  <c r="S4130" i="3"/>
  <c r="T4130" i="3" s="1"/>
  <c r="S4344" i="3"/>
  <c r="T4344" i="3" s="1"/>
  <c r="S4360" i="3"/>
  <c r="T4360" i="3" s="1"/>
  <c r="S4457" i="3"/>
  <c r="T4457" i="3" s="1"/>
  <c r="S4722" i="3"/>
  <c r="T4722" i="3" s="1"/>
  <c r="S4782" i="3"/>
  <c r="T4782" i="3" s="1"/>
  <c r="S4789" i="3"/>
  <c r="T4789" i="3" s="1"/>
  <c r="S4802" i="3"/>
  <c r="T4802" i="3" s="1"/>
  <c r="S158" i="3"/>
  <c r="T158" i="3" s="1"/>
  <c r="U158" i="3" s="1"/>
  <c r="S165" i="3"/>
  <c r="T165" i="3" s="1"/>
  <c r="U165" i="3" s="1"/>
  <c r="S192" i="3"/>
  <c r="T192" i="3" s="1"/>
  <c r="U192" i="3" s="1"/>
  <c r="S262" i="3"/>
  <c r="T262" i="3" s="1"/>
  <c r="U262" i="3" s="1"/>
  <c r="S293" i="3"/>
  <c r="T293" i="3" s="1"/>
  <c r="U293" i="3" s="1"/>
  <c r="S295" i="3"/>
  <c r="T295" i="3" s="1"/>
  <c r="U295" i="3" s="1"/>
  <c r="S342" i="3"/>
  <c r="T342" i="3" s="1"/>
  <c r="S370" i="3"/>
  <c r="T370" i="3" s="1"/>
  <c r="S543" i="3"/>
  <c r="T543" i="3" s="1"/>
  <c r="S565" i="3"/>
  <c r="T565" i="3" s="1"/>
  <c r="S660" i="3"/>
  <c r="T660" i="3" s="1"/>
  <c r="S746" i="3"/>
  <c r="T746" i="3" s="1"/>
  <c r="S816" i="3"/>
  <c r="T816" i="3" s="1"/>
  <c r="S888" i="3"/>
  <c r="T888" i="3" s="1"/>
  <c r="S893" i="3"/>
  <c r="T893" i="3" s="1"/>
  <c r="S922" i="3"/>
  <c r="T922" i="3" s="1"/>
  <c r="S985" i="3"/>
  <c r="T985" i="3" s="1"/>
  <c r="S996" i="3"/>
  <c r="T996" i="3" s="1"/>
  <c r="S1014" i="3"/>
  <c r="T1014" i="3" s="1"/>
  <c r="S1181" i="3"/>
  <c r="T1181" i="3" s="1"/>
  <c r="S1208" i="3"/>
  <c r="T1208" i="3" s="1"/>
  <c r="S1222" i="3"/>
  <c r="T1222" i="3" s="1"/>
  <c r="S1276" i="3"/>
  <c r="T1276" i="3" s="1"/>
  <c r="S1293" i="3"/>
  <c r="T1293" i="3" s="1"/>
  <c r="S1413" i="3"/>
  <c r="T1413" i="3" s="1"/>
  <c r="S1512" i="3"/>
  <c r="T1512" i="3" s="1"/>
  <c r="S1555" i="3"/>
  <c r="T1555" i="3" s="1"/>
  <c r="S1729" i="3"/>
  <c r="T1729" i="3" s="1"/>
  <c r="S1741" i="3"/>
  <c r="T1741" i="3" s="1"/>
  <c r="S1745" i="3"/>
  <c r="T1745" i="3" s="1"/>
  <c r="S1761" i="3"/>
  <c r="T1761" i="3" s="1"/>
  <c r="S1886" i="3"/>
  <c r="T1886" i="3" s="1"/>
  <c r="S1916" i="3"/>
  <c r="T1916" i="3" s="1"/>
  <c r="S1962" i="3"/>
  <c r="T1962" i="3" s="1"/>
  <c r="S2024" i="3"/>
  <c r="T2024" i="3" s="1"/>
  <c r="S2202" i="3"/>
  <c r="T2202" i="3" s="1"/>
  <c r="S2230" i="3"/>
  <c r="T2230" i="3" s="1"/>
  <c r="S2294" i="3"/>
  <c r="T2294" i="3" s="1"/>
  <c r="S2425" i="3"/>
  <c r="T2425" i="3" s="1"/>
  <c r="S2434" i="3"/>
  <c r="T2434" i="3" s="1"/>
  <c r="S2510" i="3"/>
  <c r="T2510" i="3" s="1"/>
  <c r="S2545" i="3"/>
  <c r="T2545" i="3" s="1"/>
  <c r="S2594" i="3"/>
  <c r="T2594" i="3" s="1"/>
  <c r="S2613" i="3"/>
  <c r="T2613" i="3" s="1"/>
  <c r="S2621" i="3"/>
  <c r="T2621" i="3" s="1"/>
  <c r="S2764" i="3"/>
  <c r="T2764" i="3" s="1"/>
  <c r="S2795" i="3"/>
  <c r="T2795" i="3" s="1"/>
  <c r="S2936" i="3"/>
  <c r="T2936" i="3" s="1"/>
  <c r="S2982" i="3"/>
  <c r="T2982" i="3" s="1"/>
  <c r="S2991" i="3"/>
  <c r="T2991" i="3" s="1"/>
  <c r="S3006" i="3"/>
  <c r="T3006" i="3" s="1"/>
  <c r="S3134" i="3"/>
  <c r="T3134" i="3" s="1"/>
  <c r="S3174" i="3"/>
  <c r="T3174" i="3" s="1"/>
  <c r="S3390" i="3"/>
  <c r="T3390" i="3" s="1"/>
  <c r="S3421" i="3"/>
  <c r="T3421" i="3" s="1"/>
  <c r="S3467" i="3"/>
  <c r="T3467" i="3" s="1"/>
  <c r="S3471" i="3"/>
  <c r="T3471" i="3" s="1"/>
  <c r="S3518" i="3"/>
  <c r="T3518" i="3" s="1"/>
  <c r="S3575" i="3"/>
  <c r="T3575" i="3" s="1"/>
  <c r="S3732" i="3"/>
  <c r="T3732" i="3" s="1"/>
  <c r="S3827" i="3"/>
  <c r="T3827" i="3" s="1"/>
  <c r="S3906" i="3"/>
  <c r="T3906" i="3" s="1"/>
  <c r="S3986" i="3"/>
  <c r="T3986" i="3" s="1"/>
  <c r="S4010" i="3"/>
  <c r="T4010" i="3" s="1"/>
  <c r="S4049" i="3"/>
  <c r="T4049" i="3" s="1"/>
  <c r="S4329" i="3"/>
  <c r="T4329" i="3" s="1"/>
  <c r="S4346" i="3"/>
  <c r="T4346" i="3" s="1"/>
  <c r="S4364" i="3"/>
  <c r="T4364" i="3" s="1"/>
  <c r="S4498" i="3"/>
  <c r="T4498" i="3" s="1"/>
  <c r="S4506" i="3"/>
  <c r="T4506" i="3" s="1"/>
  <c r="S4765" i="3"/>
  <c r="T4765" i="3" s="1"/>
  <c r="S4771" i="3"/>
  <c r="T4771" i="3" s="1"/>
  <c r="S4833" i="3"/>
  <c r="T4833" i="3" s="1"/>
  <c r="S84" i="3"/>
  <c r="T84" i="3" s="1"/>
  <c r="U84" i="3" s="1"/>
  <c r="S136" i="3"/>
  <c r="T136" i="3" s="1"/>
  <c r="U136" i="3" s="1"/>
  <c r="S167" i="3"/>
  <c r="T167" i="3" s="1"/>
  <c r="U167" i="3" s="1"/>
  <c r="S243" i="3"/>
  <c r="T243" i="3" s="1"/>
  <c r="U243" i="3" s="1"/>
  <c r="S403" i="3"/>
  <c r="T403" i="3" s="1"/>
  <c r="S404" i="3"/>
  <c r="T404" i="3" s="1"/>
  <c r="S412" i="3"/>
  <c r="T412" i="3" s="1"/>
  <c r="S467" i="3"/>
  <c r="T467" i="3" s="1"/>
  <c r="S626" i="3"/>
  <c r="T626" i="3" s="1"/>
  <c r="S666" i="3"/>
  <c r="T666" i="3" s="1"/>
  <c r="S701" i="3"/>
  <c r="T701" i="3" s="1"/>
  <c r="S951" i="3"/>
  <c r="T951" i="3" s="1"/>
  <c r="U951" i="3" s="1"/>
  <c r="S954" i="3"/>
  <c r="T954" i="3" s="1"/>
  <c r="U954" i="3" s="1"/>
  <c r="S1015" i="3"/>
  <c r="T1015" i="3" s="1"/>
  <c r="S1108" i="3"/>
  <c r="T1108" i="3" s="1"/>
  <c r="S1226" i="3"/>
  <c r="T1226" i="3" s="1"/>
  <c r="S1418" i="3"/>
  <c r="T1418" i="3" s="1"/>
  <c r="S1419" i="3"/>
  <c r="T1419" i="3" s="1"/>
  <c r="S1478" i="3"/>
  <c r="T1478" i="3" s="1"/>
  <c r="S1606" i="3"/>
  <c r="T1606" i="3" s="1"/>
  <c r="S1613" i="3"/>
  <c r="T1613" i="3" s="1"/>
  <c r="S1718" i="3"/>
  <c r="T1718" i="3" s="1"/>
  <c r="S1722" i="3"/>
  <c r="T1722" i="3" s="1"/>
  <c r="S1908" i="3"/>
  <c r="T1908" i="3" s="1"/>
  <c r="S1958" i="3"/>
  <c r="T1958" i="3" s="1"/>
  <c r="S2056" i="3"/>
  <c r="T2056" i="3" s="1"/>
  <c r="S2109" i="3"/>
  <c r="T2109" i="3" s="1"/>
  <c r="S2216" i="3"/>
  <c r="T2216" i="3" s="1"/>
  <c r="S2260" i="3"/>
  <c r="T2260" i="3" s="1"/>
  <c r="S2315" i="3"/>
  <c r="T2315" i="3" s="1"/>
  <c r="S2335" i="3"/>
  <c r="T2335" i="3" s="1"/>
  <c r="S2422" i="3"/>
  <c r="T2422" i="3" s="1"/>
  <c r="S2437" i="3"/>
  <c r="T2437" i="3" s="1"/>
  <c r="S2452" i="3"/>
  <c r="T2452" i="3" s="1"/>
  <c r="S2499" i="3"/>
  <c r="T2499" i="3" s="1"/>
  <c r="S2524" i="3"/>
  <c r="T2524" i="3" s="1"/>
  <c r="S2581" i="3"/>
  <c r="T2581" i="3" s="1"/>
  <c r="S2591" i="3"/>
  <c r="T2591" i="3" s="1"/>
  <c r="S2675" i="3"/>
  <c r="T2675" i="3" s="1"/>
  <c r="S3039" i="3"/>
  <c r="T3039" i="3" s="1"/>
  <c r="S3087" i="3"/>
  <c r="T3087" i="3" s="1"/>
  <c r="S3125" i="3"/>
  <c r="T3125" i="3" s="1"/>
  <c r="S3175" i="3"/>
  <c r="T3175" i="3" s="1"/>
  <c r="S3200" i="3"/>
  <c r="T3200" i="3" s="1"/>
  <c r="S3223" i="3"/>
  <c r="T3223" i="3" s="1"/>
  <c r="S3284" i="3"/>
  <c r="T3284" i="3" s="1"/>
  <c r="S3455" i="3"/>
  <c r="T3455" i="3" s="1"/>
  <c r="S3608" i="3"/>
  <c r="T3608" i="3" s="1"/>
  <c r="S3643" i="3"/>
  <c r="T3643" i="3" s="1"/>
  <c r="S3694" i="3"/>
  <c r="T3694" i="3" s="1"/>
  <c r="S3702" i="3"/>
  <c r="T3702" i="3" s="1"/>
  <c r="S3880" i="3"/>
  <c r="T3880" i="3" s="1"/>
  <c r="S3904" i="3"/>
  <c r="T3904" i="3" s="1"/>
  <c r="S3909" i="3"/>
  <c r="T3909" i="3" s="1"/>
  <c r="S3917" i="3"/>
  <c r="T3917" i="3" s="1"/>
  <c r="S3951" i="3"/>
  <c r="T3951" i="3" s="1"/>
  <c r="S3954" i="3"/>
  <c r="T3954" i="3" s="1"/>
  <c r="S4392" i="3"/>
  <c r="T4392" i="3" s="1"/>
  <c r="S4629" i="3"/>
  <c r="T4629" i="3" s="1"/>
  <c r="S4671" i="3"/>
  <c r="T4671" i="3" s="1"/>
  <c r="S4677" i="3"/>
  <c r="T4677" i="3" s="1"/>
  <c r="S4737" i="3"/>
  <c r="T4737" i="3" s="1"/>
  <c r="S4739" i="3"/>
  <c r="T4739" i="3" s="1"/>
  <c r="S4740" i="3"/>
  <c r="T4740" i="3" s="1"/>
  <c r="S4795" i="3"/>
  <c r="T4795" i="3" s="1"/>
  <c r="S17" i="3"/>
  <c r="T17" i="3" s="1"/>
  <c r="U17" i="3" s="1"/>
  <c r="S68" i="3"/>
  <c r="T68" i="3" s="1"/>
  <c r="U68" i="3" s="1"/>
  <c r="S94" i="3"/>
  <c r="T94" i="3" s="1"/>
  <c r="U94" i="3" s="1"/>
  <c r="S120" i="3"/>
  <c r="T120" i="3" s="1"/>
  <c r="U120" i="3" s="1"/>
  <c r="S176" i="3"/>
  <c r="T176" i="3" s="1"/>
  <c r="U176" i="3" s="1"/>
  <c r="S367" i="3"/>
  <c r="T367" i="3" s="1"/>
  <c r="S433" i="3"/>
  <c r="T433" i="3" s="1"/>
  <c r="U433" i="3" s="1"/>
  <c r="S442" i="3"/>
  <c r="T442" i="3" s="1"/>
  <c r="U442" i="3" s="1"/>
  <c r="S532" i="3"/>
  <c r="T532" i="3" s="1"/>
  <c r="S568" i="3"/>
  <c r="T568" i="3" s="1"/>
  <c r="S591" i="3"/>
  <c r="T591" i="3" s="1"/>
  <c r="S707" i="3"/>
  <c r="T707" i="3" s="1"/>
  <c r="S811" i="3"/>
  <c r="T811" i="3" s="1"/>
  <c r="U811" i="3" s="1"/>
  <c r="S851" i="3"/>
  <c r="T851" i="3" s="1"/>
  <c r="S860" i="3"/>
  <c r="T860" i="3" s="1"/>
  <c r="U860" i="3" s="1"/>
  <c r="S908" i="3"/>
  <c r="T908" i="3" s="1"/>
  <c r="S911" i="3"/>
  <c r="T911" i="3" s="1"/>
  <c r="U911" i="3" s="1"/>
  <c r="S1084" i="3"/>
  <c r="T1084" i="3" s="1"/>
  <c r="S1170" i="3"/>
  <c r="T1170" i="3" s="1"/>
  <c r="S1232" i="3"/>
  <c r="T1232" i="3" s="1"/>
  <c r="S1242" i="3"/>
  <c r="T1242" i="3" s="1"/>
  <c r="S1271" i="3"/>
  <c r="T1271" i="3" s="1"/>
  <c r="S1328" i="3"/>
  <c r="T1328" i="3" s="1"/>
  <c r="S1495" i="3"/>
  <c r="T1495" i="3" s="1"/>
  <c r="S1502" i="3"/>
  <c r="T1502" i="3" s="1"/>
  <c r="S1546" i="3"/>
  <c r="T1546" i="3" s="1"/>
  <c r="S1604" i="3"/>
  <c r="T1604" i="3" s="1"/>
  <c r="S1670" i="3"/>
  <c r="T1670" i="3" s="1"/>
  <c r="S1701" i="3"/>
  <c r="T1701" i="3" s="1"/>
  <c r="S1822" i="3"/>
  <c r="T1822" i="3" s="1"/>
  <c r="S1864" i="3"/>
  <c r="T1864" i="3" s="1"/>
  <c r="S1887" i="3"/>
  <c r="T1887" i="3" s="1"/>
  <c r="S2206" i="3"/>
  <c r="T2206" i="3" s="1"/>
  <c r="S2295" i="3"/>
  <c r="T2295" i="3" s="1"/>
  <c r="S2355" i="3"/>
  <c r="T2355" i="3" s="1"/>
  <c r="S2548" i="3"/>
  <c r="T2548" i="3" s="1"/>
  <c r="S2597" i="3"/>
  <c r="T2597" i="3" s="1"/>
  <c r="S2751" i="3"/>
  <c r="T2751" i="3" s="1"/>
  <c r="S2803" i="3"/>
  <c r="T2803" i="3" s="1"/>
  <c r="S2855" i="3"/>
  <c r="T2855" i="3" s="1"/>
  <c r="S2860" i="3"/>
  <c r="T2860" i="3" s="1"/>
  <c r="S2885" i="3"/>
  <c r="T2885" i="3" s="1"/>
  <c r="S2940" i="3"/>
  <c r="T2940" i="3" s="1"/>
  <c r="S2979" i="3"/>
  <c r="T2979" i="3" s="1"/>
  <c r="S3062" i="3"/>
  <c r="T3062" i="3" s="1"/>
  <c r="S3132" i="3"/>
  <c r="T3132" i="3" s="1"/>
  <c r="S3204" i="3"/>
  <c r="T3204" i="3" s="1"/>
  <c r="S3313" i="3"/>
  <c r="T3313" i="3" s="1"/>
  <c r="S3314" i="3"/>
  <c r="T3314" i="3" s="1"/>
  <c r="S3376" i="3"/>
  <c r="T3376" i="3" s="1"/>
  <c r="S3450" i="3"/>
  <c r="T3450" i="3" s="1"/>
  <c r="S3498" i="3"/>
  <c r="T3498" i="3" s="1"/>
  <c r="S3506" i="3"/>
  <c r="T3506" i="3" s="1"/>
  <c r="S3528" i="3"/>
  <c r="T3528" i="3" s="1"/>
  <c r="S3549" i="3"/>
  <c r="T3549" i="3" s="1"/>
  <c r="S3555" i="3"/>
  <c r="T3555" i="3" s="1"/>
  <c r="S3593" i="3"/>
  <c r="T3593" i="3" s="1"/>
  <c r="S3748" i="3"/>
  <c r="T3748" i="3" s="1"/>
  <c r="S3848" i="3"/>
  <c r="T3848" i="3" s="1"/>
  <c r="S3868" i="3"/>
  <c r="T3868" i="3" s="1"/>
  <c r="S3901" i="3"/>
  <c r="T3901" i="3" s="1"/>
  <c r="S3965" i="3"/>
  <c r="T3965" i="3" s="1"/>
  <c r="S4096" i="3"/>
  <c r="T4096" i="3" s="1"/>
  <c r="S4242" i="3"/>
  <c r="T4242" i="3" s="1"/>
  <c r="S4366" i="3"/>
  <c r="T4366" i="3" s="1"/>
  <c r="S4455" i="3"/>
  <c r="T4455" i="3" s="1"/>
  <c r="S4486" i="3"/>
  <c r="T4486" i="3" s="1"/>
  <c r="S4611" i="3"/>
  <c r="T4611" i="3" s="1"/>
  <c r="S4620" i="3"/>
  <c r="T4620" i="3" s="1"/>
  <c r="S4689" i="3"/>
  <c r="T4689" i="3" s="1"/>
  <c r="S4758" i="3"/>
  <c r="T4758" i="3" s="1"/>
  <c r="S4" i="3"/>
  <c r="T4" i="3" s="1"/>
  <c r="U4" i="3" s="1"/>
  <c r="S5" i="3"/>
  <c r="T5" i="3" s="1"/>
  <c r="U5" i="3" s="1"/>
  <c r="S13" i="3"/>
  <c r="T13" i="3" s="1"/>
  <c r="U13" i="3" s="1"/>
  <c r="S25" i="3"/>
  <c r="T25" i="3" s="1"/>
  <c r="U25" i="3" s="1"/>
  <c r="S44" i="3"/>
  <c r="T44" i="3" s="1"/>
  <c r="U44" i="3" s="1"/>
  <c r="S55" i="3"/>
  <c r="T55" i="3" s="1"/>
  <c r="U55" i="3" s="1"/>
  <c r="S124" i="3"/>
  <c r="T124" i="3" s="1"/>
  <c r="U124" i="3" s="1"/>
  <c r="S142" i="3"/>
  <c r="T142" i="3" s="1"/>
  <c r="U142" i="3" s="1"/>
  <c r="S227" i="3"/>
  <c r="T227" i="3" s="1"/>
  <c r="U227" i="3" s="1"/>
  <c r="S349" i="3"/>
  <c r="T349" i="3" s="1"/>
  <c r="S415" i="3"/>
  <c r="T415" i="3" s="1"/>
  <c r="U415" i="3" s="1"/>
  <c r="S431" i="3"/>
  <c r="T431" i="3" s="1"/>
  <c r="U431" i="3" s="1"/>
  <c r="S462" i="3"/>
  <c r="T462" i="3" s="1"/>
  <c r="U462" i="3" s="1"/>
  <c r="S470" i="3"/>
  <c r="T470" i="3" s="1"/>
  <c r="S540" i="3"/>
  <c r="T540" i="3" s="1"/>
  <c r="S569" i="3"/>
  <c r="T569" i="3" s="1"/>
  <c r="U569" i="3" s="1"/>
  <c r="S580" i="3"/>
  <c r="T580" i="3" s="1"/>
  <c r="S604" i="3"/>
  <c r="T604" i="3" s="1"/>
  <c r="S721" i="3"/>
  <c r="T721" i="3" s="1"/>
  <c r="S750" i="3"/>
  <c r="T750" i="3" s="1"/>
  <c r="U750" i="3" s="1"/>
  <c r="S778" i="3"/>
  <c r="T778" i="3" s="1"/>
  <c r="U778" i="3" s="1"/>
  <c r="S780" i="3"/>
  <c r="T780" i="3" s="1"/>
  <c r="S793" i="3"/>
  <c r="T793" i="3" s="1"/>
  <c r="S802" i="3"/>
  <c r="T802" i="3" s="1"/>
  <c r="S819" i="3"/>
  <c r="T819" i="3" s="1"/>
  <c r="S857" i="3"/>
  <c r="T857" i="3" s="1"/>
  <c r="U857" i="3" s="1"/>
  <c r="S868" i="3"/>
  <c r="T868" i="3" s="1"/>
  <c r="S915" i="3"/>
  <c r="T915" i="3" s="1"/>
  <c r="S983" i="3"/>
  <c r="T983" i="3" s="1"/>
  <c r="U983" i="3" s="1"/>
  <c r="S1006" i="3"/>
  <c r="T1006" i="3" s="1"/>
  <c r="S1044" i="3"/>
  <c r="T1044" i="3" s="1"/>
  <c r="S1056" i="3"/>
  <c r="T1056" i="3" s="1"/>
  <c r="U1056" i="3" s="1"/>
  <c r="S1131" i="3"/>
  <c r="T1131" i="3" s="1"/>
  <c r="S1133" i="3"/>
  <c r="T1133" i="3" s="1"/>
  <c r="S1143" i="3"/>
  <c r="T1143" i="3" s="1"/>
  <c r="S1148" i="3"/>
  <c r="T1148" i="3" s="1"/>
  <c r="S1236" i="3"/>
  <c r="T1236" i="3" s="1"/>
  <c r="S1309" i="3"/>
  <c r="T1309" i="3" s="1"/>
  <c r="S1320" i="3"/>
  <c r="T1320" i="3" s="1"/>
  <c r="S1323" i="3"/>
  <c r="T1323" i="3" s="1"/>
  <c r="S1417" i="3"/>
  <c r="T1417" i="3" s="1"/>
  <c r="S1438" i="3"/>
  <c r="T1438" i="3" s="1"/>
  <c r="S1483" i="3"/>
  <c r="T1483" i="3" s="1"/>
  <c r="S1650" i="3"/>
  <c r="T1650" i="3" s="1"/>
  <c r="S1652" i="3"/>
  <c r="T1652" i="3" s="1"/>
  <c r="S1725" i="3"/>
  <c r="T1725" i="3" s="1"/>
  <c r="S1796" i="3"/>
  <c r="T1796" i="3" s="1"/>
  <c r="S1815" i="3"/>
  <c r="T1815" i="3" s="1"/>
  <c r="S1827" i="3"/>
  <c r="T1827" i="3" s="1"/>
  <c r="S1854" i="3"/>
  <c r="T1854" i="3" s="1"/>
  <c r="S1891" i="3"/>
  <c r="T1891" i="3" s="1"/>
  <c r="S1898" i="3"/>
  <c r="T1898" i="3" s="1"/>
  <c r="S1929" i="3"/>
  <c r="T1929" i="3" s="1"/>
  <c r="S2103" i="3"/>
  <c r="T2103" i="3" s="1"/>
  <c r="S2117" i="3"/>
  <c r="T2117" i="3" s="1"/>
  <c r="S2157" i="3"/>
  <c r="T2157" i="3" s="1"/>
  <c r="S2192" i="3"/>
  <c r="T2192" i="3" s="1"/>
  <c r="S2288" i="3"/>
  <c r="T2288" i="3" s="1"/>
  <c r="S2343" i="3"/>
  <c r="T2343" i="3" s="1"/>
  <c r="S2391" i="3"/>
  <c r="T2391" i="3" s="1"/>
  <c r="S2463" i="3"/>
  <c r="T2463" i="3" s="1"/>
  <c r="S2478" i="3"/>
  <c r="T2478" i="3" s="1"/>
  <c r="S2498" i="3"/>
  <c r="T2498" i="3" s="1"/>
  <c r="S2507" i="3"/>
  <c r="T2507" i="3" s="1"/>
  <c r="S2513" i="3"/>
  <c r="T2513" i="3" s="1"/>
  <c r="S2690" i="3"/>
  <c r="T2690" i="3" s="1"/>
  <c r="S2719" i="3"/>
  <c r="T2719" i="3" s="1"/>
  <c r="S2736" i="3"/>
  <c r="T2736" i="3" s="1"/>
  <c r="S2745" i="3"/>
  <c r="T2745" i="3" s="1"/>
  <c r="S2780" i="3"/>
  <c r="T2780" i="3" s="1"/>
  <c r="S2846" i="3"/>
  <c r="T2846" i="3" s="1"/>
  <c r="S3065" i="3"/>
  <c r="T3065" i="3" s="1"/>
  <c r="S3341" i="3"/>
  <c r="T3341" i="3" s="1"/>
  <c r="S3544" i="3"/>
  <c r="T3544" i="3" s="1"/>
  <c r="S3605" i="3"/>
  <c r="T3605" i="3" s="1"/>
  <c r="S3657" i="3"/>
  <c r="T3657" i="3" s="1"/>
  <c r="S3658" i="3"/>
  <c r="T3658" i="3" s="1"/>
  <c r="S3673" i="3"/>
  <c r="T3673" i="3" s="1"/>
  <c r="S3737" i="3"/>
  <c r="T3737" i="3" s="1"/>
  <c r="S3763" i="3"/>
  <c r="T3763" i="3" s="1"/>
  <c r="S3792" i="3"/>
  <c r="T3792" i="3" s="1"/>
  <c r="S3815" i="3"/>
  <c r="T3815" i="3" s="1"/>
  <c r="S3935" i="3"/>
  <c r="T3935" i="3" s="1"/>
  <c r="S3943" i="3"/>
  <c r="T3943" i="3" s="1"/>
  <c r="S4012" i="3"/>
  <c r="T4012" i="3" s="1"/>
  <c r="S4013" i="3"/>
  <c r="T4013" i="3" s="1"/>
  <c r="S4016" i="3"/>
  <c r="T4016" i="3" s="1"/>
  <c r="S4018" i="3"/>
  <c r="T4018" i="3" s="1"/>
  <c r="S4037" i="3"/>
  <c r="T4037" i="3" s="1"/>
  <c r="S4045" i="3"/>
  <c r="T4045" i="3" s="1"/>
  <c r="S4102" i="3"/>
  <c r="T4102" i="3" s="1"/>
  <c r="S4220" i="3"/>
  <c r="T4220" i="3" s="1"/>
  <c r="S4232" i="3"/>
  <c r="T4232" i="3" s="1"/>
  <c r="S4250" i="3"/>
  <c r="T4250" i="3" s="1"/>
  <c r="S4253" i="3"/>
  <c r="T4253" i="3" s="1"/>
  <c r="S4254" i="3"/>
  <c r="T4254" i="3" s="1"/>
  <c r="S4286" i="3"/>
  <c r="T4286" i="3" s="1"/>
  <c r="S4292" i="3"/>
  <c r="T4292" i="3" s="1"/>
  <c r="S4293" i="3"/>
  <c r="T4293" i="3" s="1"/>
  <c r="S4305" i="3"/>
  <c r="T4305" i="3" s="1"/>
  <c r="S4352" i="3"/>
  <c r="T4352" i="3" s="1"/>
  <c r="S4353" i="3"/>
  <c r="T4353" i="3" s="1"/>
  <c r="S4408" i="3"/>
  <c r="T4408" i="3" s="1"/>
  <c r="S4444" i="3"/>
  <c r="T4444" i="3" s="1"/>
  <c r="S4473" i="3"/>
  <c r="T4473" i="3" s="1"/>
  <c r="S4546" i="3"/>
  <c r="T4546" i="3" s="1"/>
  <c r="S4561" i="3"/>
  <c r="T4561" i="3" s="1"/>
  <c r="S4569" i="3"/>
  <c r="T4569" i="3" s="1"/>
  <c r="S4584" i="3"/>
  <c r="T4584" i="3" s="1"/>
  <c r="S4602" i="3"/>
  <c r="T4602" i="3" s="1"/>
  <c r="S4617" i="3"/>
  <c r="T4617" i="3" s="1"/>
  <c r="S4635" i="3"/>
  <c r="T4635" i="3" s="1"/>
  <c r="S4695" i="3"/>
  <c r="T4695" i="3" s="1"/>
  <c r="S4767" i="3"/>
  <c r="T4767" i="3" s="1"/>
  <c r="S4777" i="3"/>
  <c r="T4777" i="3" s="1"/>
  <c r="S4824" i="3"/>
  <c r="T4824" i="3" s="1"/>
  <c r="S34" i="3"/>
  <c r="T34" i="3" s="1"/>
  <c r="U34" i="3" s="1"/>
  <c r="S154" i="3"/>
  <c r="T154" i="3" s="1"/>
  <c r="U154" i="3" s="1"/>
  <c r="S197" i="3"/>
  <c r="T197" i="3" s="1"/>
  <c r="U197" i="3" s="1"/>
  <c r="S240" i="3"/>
  <c r="T240" i="3" s="1"/>
  <c r="U240" i="3" s="1"/>
  <c r="S268" i="3"/>
  <c r="T268" i="3" s="1"/>
  <c r="U268" i="3" s="1"/>
  <c r="S309" i="3"/>
  <c r="T309" i="3" s="1"/>
  <c r="U309" i="3" s="1"/>
  <c r="S538" i="3"/>
  <c r="T538" i="3" s="1"/>
  <c r="U538" i="3" s="1"/>
  <c r="S551" i="3"/>
  <c r="T551" i="3" s="1"/>
  <c r="S567" i="3"/>
  <c r="T567" i="3" s="1"/>
  <c r="U567" i="3" s="1"/>
  <c r="S685" i="3"/>
  <c r="T685" i="3" s="1"/>
  <c r="U685" i="3" s="1"/>
  <c r="S760" i="3"/>
  <c r="T760" i="3" s="1"/>
  <c r="S764" i="3"/>
  <c r="T764" i="3" s="1"/>
  <c r="S770" i="3"/>
  <c r="T770" i="3" s="1"/>
  <c r="S876" i="3"/>
  <c r="T876" i="3" s="1"/>
  <c r="S988" i="3"/>
  <c r="T988" i="3" s="1"/>
  <c r="S1005" i="3"/>
  <c r="T1005" i="3" s="1"/>
  <c r="U1005" i="3" s="1"/>
  <c r="S1017" i="3"/>
  <c r="T1017" i="3" s="1"/>
  <c r="U1017" i="3" s="1"/>
  <c r="S1025" i="3"/>
  <c r="T1025" i="3" s="1"/>
  <c r="S1055" i="3"/>
  <c r="T1055" i="3" s="1"/>
  <c r="S1061" i="3"/>
  <c r="T1061" i="3" s="1"/>
  <c r="S1193" i="3"/>
  <c r="T1193" i="3" s="1"/>
  <c r="S1206" i="3"/>
  <c r="T1206" i="3" s="1"/>
  <c r="S1216" i="3"/>
  <c r="T1216" i="3" s="1"/>
  <c r="S1217" i="3"/>
  <c r="T1217" i="3" s="1"/>
  <c r="S1291" i="3"/>
  <c r="T1291" i="3" s="1"/>
  <c r="S1294" i="3"/>
  <c r="T1294" i="3" s="1"/>
  <c r="S1371" i="3"/>
  <c r="T1371" i="3" s="1"/>
  <c r="S1401" i="3"/>
  <c r="T1401" i="3" s="1"/>
  <c r="S1402" i="3"/>
  <c r="T1402" i="3" s="1"/>
  <c r="S1467" i="3"/>
  <c r="T1467" i="3" s="1"/>
  <c r="S1472" i="3"/>
  <c r="T1472" i="3" s="1"/>
  <c r="S1482" i="3"/>
  <c r="T1482" i="3" s="1"/>
  <c r="S1488" i="3"/>
  <c r="T1488" i="3" s="1"/>
  <c r="S1496" i="3"/>
  <c r="T1496" i="3" s="1"/>
  <c r="S1505" i="3"/>
  <c r="T1505" i="3" s="1"/>
  <c r="S1541" i="3"/>
  <c r="T1541" i="3" s="1"/>
  <c r="S1562" i="3"/>
  <c r="T1562" i="3" s="1"/>
  <c r="S1596" i="3"/>
  <c r="T1596" i="3" s="1"/>
  <c r="S1709" i="3"/>
  <c r="T1709" i="3" s="1"/>
  <c r="S1715" i="3"/>
  <c r="T1715" i="3" s="1"/>
  <c r="S1728" i="3"/>
  <c r="T1728" i="3" s="1"/>
  <c r="S1743" i="3"/>
  <c r="T1743" i="3" s="1"/>
  <c r="S1776" i="3"/>
  <c r="T1776" i="3" s="1"/>
  <c r="S1811" i="3"/>
  <c r="T1811" i="3" s="1"/>
  <c r="S1882" i="3"/>
  <c r="T1882" i="3" s="1"/>
  <c r="S1892" i="3"/>
  <c r="T1892" i="3" s="1"/>
  <c r="S1894" i="3"/>
  <c r="T1894" i="3" s="1"/>
  <c r="S1896" i="3"/>
  <c r="T1896" i="3" s="1"/>
  <c r="S1938" i="3"/>
  <c r="T1938" i="3" s="1"/>
  <c r="S1965" i="3"/>
  <c r="T1965" i="3" s="1"/>
  <c r="S1975" i="3"/>
  <c r="T1975" i="3" s="1"/>
  <c r="S2001" i="3"/>
  <c r="T2001" i="3" s="1"/>
  <c r="S2055" i="3"/>
  <c r="T2055" i="3" s="1"/>
  <c r="S2081" i="3"/>
  <c r="T2081" i="3" s="1"/>
  <c r="S2153" i="3"/>
  <c r="T2153" i="3" s="1"/>
  <c r="S2158" i="3"/>
  <c r="T2158" i="3" s="1"/>
  <c r="S2175" i="3"/>
  <c r="T2175" i="3" s="1"/>
  <c r="S2183" i="3"/>
  <c r="T2183" i="3" s="1"/>
  <c r="S2187" i="3"/>
  <c r="T2187" i="3" s="1"/>
  <c r="S2219" i="3"/>
  <c r="T2219" i="3" s="1"/>
  <c r="S2345" i="3"/>
  <c r="T2345" i="3" s="1"/>
  <c r="S2349" i="3"/>
  <c r="T2349" i="3" s="1"/>
  <c r="S2389" i="3"/>
  <c r="T2389" i="3" s="1"/>
  <c r="S2409" i="3"/>
  <c r="T2409" i="3" s="1"/>
  <c r="S2440" i="3"/>
  <c r="T2440" i="3" s="1"/>
  <c r="S2446" i="3"/>
  <c r="T2446" i="3" s="1"/>
  <c r="S2469" i="3"/>
  <c r="T2469" i="3" s="1"/>
  <c r="S2471" i="3"/>
  <c r="T2471" i="3" s="1"/>
  <c r="S2500" i="3"/>
  <c r="T2500" i="3" s="1"/>
  <c r="S2583" i="3"/>
  <c r="T2583" i="3" s="1"/>
  <c r="S2623" i="3"/>
  <c r="T2623" i="3" s="1"/>
  <c r="S2649" i="3"/>
  <c r="T2649" i="3" s="1"/>
  <c r="S2672" i="3"/>
  <c r="T2672" i="3" s="1"/>
  <c r="S2684" i="3"/>
  <c r="T2684" i="3" s="1"/>
  <c r="S2700" i="3"/>
  <c r="T2700" i="3" s="1"/>
  <c r="S2709" i="3"/>
  <c r="T2709" i="3" s="1"/>
  <c r="S2848" i="3"/>
  <c r="T2848" i="3" s="1"/>
  <c r="S2853" i="3"/>
  <c r="T2853" i="3" s="1"/>
  <c r="S2995" i="3"/>
  <c r="T2995" i="3" s="1"/>
  <c r="S3029" i="3"/>
  <c r="T3029" i="3" s="1"/>
  <c r="S3069" i="3"/>
  <c r="T3069" i="3" s="1"/>
  <c r="S3100" i="3"/>
  <c r="T3100" i="3" s="1"/>
  <c r="S3199" i="3"/>
  <c r="T3199" i="3" s="1"/>
  <c r="S3249" i="3"/>
  <c r="T3249" i="3" s="1"/>
  <c r="S3258" i="3"/>
  <c r="T3258" i="3" s="1"/>
  <c r="S3270" i="3"/>
  <c r="T3270" i="3" s="1"/>
  <c r="S3300" i="3"/>
  <c r="T3300" i="3" s="1"/>
  <c r="S3395" i="3"/>
  <c r="T3395" i="3" s="1"/>
  <c r="S3445" i="3"/>
  <c r="T3445" i="3" s="1"/>
  <c r="S3525" i="3"/>
  <c r="T3525" i="3" s="1"/>
  <c r="S3636" i="3"/>
  <c r="T3636" i="3" s="1"/>
  <c r="S3697" i="3"/>
  <c r="T3697" i="3" s="1"/>
  <c r="S3714" i="3"/>
  <c r="T3714" i="3" s="1"/>
  <c r="S3764" i="3"/>
  <c r="T3764" i="3" s="1"/>
  <c r="S3819" i="3"/>
  <c r="T3819" i="3" s="1"/>
  <c r="S3843" i="3"/>
  <c r="T3843" i="3" s="1"/>
  <c r="S3850" i="3"/>
  <c r="T3850" i="3" s="1"/>
  <c r="S3853" i="3"/>
  <c r="T3853" i="3" s="1"/>
  <c r="S3855" i="3"/>
  <c r="T3855" i="3" s="1"/>
  <c r="S3864" i="3"/>
  <c r="T3864" i="3" s="1"/>
  <c r="S3883" i="3"/>
  <c r="T3883" i="3" s="1"/>
  <c r="S3885" i="3"/>
  <c r="T3885" i="3" s="1"/>
  <c r="S3964" i="3"/>
  <c r="T3964" i="3" s="1"/>
  <c r="S3975" i="3"/>
  <c r="T3975" i="3" s="1"/>
  <c r="S3995" i="3"/>
  <c r="T3995" i="3" s="1"/>
  <c r="S4026" i="3"/>
  <c r="T4026" i="3" s="1"/>
  <c r="S4035" i="3"/>
  <c r="T4035" i="3" s="1"/>
  <c r="S4127" i="3"/>
  <c r="T4127" i="3" s="1"/>
  <c r="S4164" i="3"/>
  <c r="T4164" i="3" s="1"/>
  <c r="S4182" i="3"/>
  <c r="T4182" i="3" s="1"/>
  <c r="S4230" i="3"/>
  <c r="T4230" i="3" s="1"/>
  <c r="S4365" i="3"/>
  <c r="T4365" i="3" s="1"/>
  <c r="S4413" i="3"/>
  <c r="T4413" i="3" s="1"/>
  <c r="S4503" i="3"/>
  <c r="T4503" i="3" s="1"/>
  <c r="S4599" i="3"/>
  <c r="T4599" i="3" s="1"/>
  <c r="S4608" i="3"/>
  <c r="T4608" i="3" s="1"/>
  <c r="S4650" i="3"/>
  <c r="T4650" i="3" s="1"/>
  <c r="S4662" i="3"/>
  <c r="T4662" i="3" s="1"/>
  <c r="S4827" i="3"/>
  <c r="T4827" i="3" s="1"/>
  <c r="S32" i="3"/>
  <c r="T32" i="3" s="1"/>
  <c r="U32" i="3" s="1"/>
  <c r="S35" i="3"/>
  <c r="T35" i="3" s="1"/>
  <c r="U35" i="3" s="1"/>
  <c r="S37" i="3"/>
  <c r="T37" i="3" s="1"/>
  <c r="U37" i="3" s="1"/>
  <c r="S88" i="3"/>
  <c r="T88" i="3" s="1"/>
  <c r="U88" i="3" s="1"/>
  <c r="S108" i="3"/>
  <c r="T108" i="3" s="1"/>
  <c r="U108" i="3" s="1"/>
  <c r="S122" i="3"/>
  <c r="T122" i="3" s="1"/>
  <c r="U122" i="3" s="1"/>
  <c r="S184" i="3"/>
  <c r="T184" i="3" s="1"/>
  <c r="U184" i="3" s="1"/>
  <c r="S211" i="3"/>
  <c r="T211" i="3" s="1"/>
  <c r="U211" i="3" s="1"/>
  <c r="S223" i="3"/>
  <c r="T223" i="3" s="1"/>
  <c r="U223" i="3" s="1"/>
  <c r="S272" i="3"/>
  <c r="T272" i="3" s="1"/>
  <c r="U272" i="3" s="1"/>
  <c r="S283" i="3"/>
  <c r="T283" i="3" s="1"/>
  <c r="U283" i="3" s="1"/>
  <c r="S287" i="3"/>
  <c r="T287" i="3" s="1"/>
  <c r="U287" i="3" s="1"/>
  <c r="S304" i="3"/>
  <c r="T304" i="3" s="1"/>
  <c r="U304" i="3" s="1"/>
  <c r="S329" i="3"/>
  <c r="T329" i="3" s="1"/>
  <c r="S340" i="3"/>
  <c r="T340" i="3" s="1"/>
  <c r="U340" i="3" s="1"/>
  <c r="S354" i="3"/>
  <c r="T354" i="3" s="1"/>
  <c r="S414" i="3"/>
  <c r="T414" i="3" s="1"/>
  <c r="S425" i="3"/>
  <c r="T425" i="3" s="1"/>
  <c r="S430" i="3"/>
  <c r="T430" i="3" s="1"/>
  <c r="S460" i="3"/>
  <c r="T460" i="3" s="1"/>
  <c r="S464" i="3"/>
  <c r="T464" i="3" s="1"/>
  <c r="S469" i="3"/>
  <c r="T469" i="3" s="1"/>
  <c r="S484" i="3"/>
  <c r="T484" i="3" s="1"/>
  <c r="S575" i="3"/>
  <c r="T575" i="3" s="1"/>
  <c r="S586" i="3"/>
  <c r="T586" i="3" s="1"/>
  <c r="S598" i="3"/>
  <c r="T598" i="3" s="1"/>
  <c r="S689" i="3"/>
  <c r="T689" i="3" s="1"/>
  <c r="U689" i="3" s="1"/>
  <c r="S729" i="3"/>
  <c r="T729" i="3" s="1"/>
  <c r="S805" i="3"/>
  <c r="T805" i="3" s="1"/>
  <c r="U805" i="3" s="1"/>
  <c r="S874" i="3"/>
  <c r="T874" i="3" s="1"/>
  <c r="S1078" i="3"/>
  <c r="T1078" i="3" s="1"/>
  <c r="U1078" i="3" s="1"/>
  <c r="S1080" i="3"/>
  <c r="T1080" i="3" s="1"/>
  <c r="U1080" i="3" s="1"/>
  <c r="S1081" i="3"/>
  <c r="T1081" i="3" s="1"/>
  <c r="S1092" i="3"/>
  <c r="T1092" i="3" s="1"/>
  <c r="S1102" i="3"/>
  <c r="T1102" i="3" s="1"/>
  <c r="U1102" i="3" s="1"/>
  <c r="S1103" i="3"/>
  <c r="T1103" i="3" s="1"/>
  <c r="S1115" i="3"/>
  <c r="T1115" i="3" s="1"/>
  <c r="S1176" i="3"/>
  <c r="T1176" i="3" s="1"/>
  <c r="U1176" i="3" s="1"/>
  <c r="S1308" i="3"/>
  <c r="T1308" i="3" s="1"/>
  <c r="S1339" i="3"/>
  <c r="T1339" i="3" s="1"/>
  <c r="U1339" i="3" s="1"/>
  <c r="S1340" i="3"/>
  <c r="T1340" i="3" s="1"/>
  <c r="S1352" i="3"/>
  <c r="T1352" i="3" s="1"/>
  <c r="U1352" i="3" s="1"/>
  <c r="S1374" i="3"/>
  <c r="T1374" i="3" s="1"/>
  <c r="S1386" i="3"/>
  <c r="T1386" i="3" s="1"/>
  <c r="S1404" i="3"/>
  <c r="T1404" i="3" s="1"/>
  <c r="S1414" i="3"/>
  <c r="T1414" i="3" s="1"/>
  <c r="S1432" i="3"/>
  <c r="T1432" i="3" s="1"/>
  <c r="S1464" i="3"/>
  <c r="T1464" i="3" s="1"/>
  <c r="S1476" i="3"/>
  <c r="T1476" i="3" s="1"/>
  <c r="S1497" i="3"/>
  <c r="T1497" i="3" s="1"/>
  <c r="S1503" i="3"/>
  <c r="T1503" i="3" s="1"/>
  <c r="S1525" i="3"/>
  <c r="T1525" i="3" s="1"/>
  <c r="S1567" i="3"/>
  <c r="T1567" i="3" s="1"/>
  <c r="S1612" i="3"/>
  <c r="T1612" i="3" s="1"/>
  <c r="S1623" i="3"/>
  <c r="T1623" i="3" s="1"/>
  <c r="S1653" i="3"/>
  <c r="T1653" i="3" s="1"/>
  <c r="S1687" i="3"/>
  <c r="T1687" i="3" s="1"/>
  <c r="S1699" i="3"/>
  <c r="T1699" i="3" s="1"/>
  <c r="S1716" i="3"/>
  <c r="T1716" i="3" s="1"/>
  <c r="S1720" i="3"/>
  <c r="T1720" i="3" s="1"/>
  <c r="S1747" i="3"/>
  <c r="T1747" i="3" s="1"/>
  <c r="S1756" i="3"/>
  <c r="T1756" i="3" s="1"/>
  <c r="S1808" i="3"/>
  <c r="T1808" i="3" s="1"/>
  <c r="S1817" i="3"/>
  <c r="T1817" i="3" s="1"/>
  <c r="S1855" i="3"/>
  <c r="T1855" i="3" s="1"/>
  <c r="S1918" i="3"/>
  <c r="T1918" i="3" s="1"/>
  <c r="S1940" i="3"/>
  <c r="T1940" i="3" s="1"/>
  <c r="S1944" i="3"/>
  <c r="T1944" i="3" s="1"/>
  <c r="S1952" i="3"/>
  <c r="T1952" i="3" s="1"/>
  <c r="S1955" i="3"/>
  <c r="T1955" i="3" s="1"/>
  <c r="S1957" i="3"/>
  <c r="T1957" i="3" s="1"/>
  <c r="S1993" i="3"/>
  <c r="T1993" i="3" s="1"/>
  <c r="S2036" i="3"/>
  <c r="T2036" i="3" s="1"/>
  <c r="S2053" i="3"/>
  <c r="T2053" i="3" s="1"/>
  <c r="S2058" i="3"/>
  <c r="T2058" i="3" s="1"/>
  <c r="S2070" i="3"/>
  <c r="T2070" i="3" s="1"/>
  <c r="S2080" i="3"/>
  <c r="T2080" i="3" s="1"/>
  <c r="S2083" i="3"/>
  <c r="T2083" i="3" s="1"/>
  <c r="S2134" i="3"/>
  <c r="T2134" i="3" s="1"/>
  <c r="S2147" i="3"/>
  <c r="T2147" i="3" s="1"/>
  <c r="S2246" i="3"/>
  <c r="T2246" i="3" s="1"/>
  <c r="S2279" i="3"/>
  <c r="T2279" i="3" s="1"/>
  <c r="S2309" i="3"/>
  <c r="T2309" i="3" s="1"/>
  <c r="S2352" i="3"/>
  <c r="T2352" i="3" s="1"/>
  <c r="S2395" i="3"/>
  <c r="T2395" i="3" s="1"/>
  <c r="S2435" i="3"/>
  <c r="T2435" i="3" s="1"/>
  <c r="S2464" i="3"/>
  <c r="T2464" i="3" s="1"/>
  <c r="S2479" i="3"/>
  <c r="T2479" i="3" s="1"/>
  <c r="S2516" i="3"/>
  <c r="T2516" i="3" s="1"/>
  <c r="S2550" i="3"/>
  <c r="T2550" i="3" s="1"/>
  <c r="S2646" i="3"/>
  <c r="T2646" i="3" s="1"/>
  <c r="S2652" i="3"/>
  <c r="T2652" i="3" s="1"/>
  <c r="S2668" i="3"/>
  <c r="T2668" i="3" s="1"/>
  <c r="S2734" i="3"/>
  <c r="T2734" i="3" s="1"/>
  <c r="S2763" i="3"/>
  <c r="T2763" i="3" s="1"/>
  <c r="S2778" i="3"/>
  <c r="T2778" i="3" s="1"/>
  <c r="S2817" i="3"/>
  <c r="T2817" i="3" s="1"/>
  <c r="S2822" i="3"/>
  <c r="T2822" i="3" s="1"/>
  <c r="S2865" i="3"/>
  <c r="T2865" i="3" s="1"/>
  <c r="S2911" i="3"/>
  <c r="T2911" i="3" s="1"/>
  <c r="S2938" i="3"/>
  <c r="T2938" i="3" s="1"/>
  <c r="S2963" i="3"/>
  <c r="T2963" i="3" s="1"/>
  <c r="S2985" i="3"/>
  <c r="T2985" i="3" s="1"/>
  <c r="S3004" i="3"/>
  <c r="T3004" i="3" s="1"/>
  <c r="S3007" i="3"/>
  <c r="T3007" i="3" s="1"/>
  <c r="S3131" i="3"/>
  <c r="T3131" i="3" s="1"/>
  <c r="S3160" i="3"/>
  <c r="T3160" i="3" s="1"/>
  <c r="S3164" i="3"/>
  <c r="T3164" i="3" s="1"/>
  <c r="S3173" i="3"/>
  <c r="T3173" i="3" s="1"/>
  <c r="S3227" i="3"/>
  <c r="T3227" i="3" s="1"/>
  <c r="S3262" i="3"/>
  <c r="T3262" i="3" s="1"/>
  <c r="S3301" i="3"/>
  <c r="T3301" i="3" s="1"/>
  <c r="S3304" i="3"/>
  <c r="T3304" i="3" s="1"/>
  <c r="S3332" i="3"/>
  <c r="T3332" i="3" s="1"/>
  <c r="S3365" i="3"/>
  <c r="T3365" i="3" s="1"/>
  <c r="S3388" i="3"/>
  <c r="T3388" i="3" s="1"/>
  <c r="S3426" i="3"/>
  <c r="T3426" i="3" s="1"/>
  <c r="S3513" i="3"/>
  <c r="T3513" i="3" s="1"/>
  <c r="S3532" i="3"/>
  <c r="T3532" i="3" s="1"/>
  <c r="S3583" i="3"/>
  <c r="T3583" i="3" s="1"/>
  <c r="S3585" i="3"/>
  <c r="T3585" i="3" s="1"/>
  <c r="S3595" i="3"/>
  <c r="T3595" i="3" s="1"/>
  <c r="S3662" i="3"/>
  <c r="T3662" i="3" s="1"/>
  <c r="S3683" i="3"/>
  <c r="T3683" i="3" s="1"/>
  <c r="S3712" i="3"/>
  <c r="T3712" i="3" s="1"/>
  <c r="S3719" i="3"/>
  <c r="T3719" i="3" s="1"/>
  <c r="S3839" i="3"/>
  <c r="T3839" i="3" s="1"/>
  <c r="S3971" i="3"/>
  <c r="T3971" i="3" s="1"/>
  <c r="S3994" i="3"/>
  <c r="T3994" i="3" s="1"/>
  <c r="S4046" i="3"/>
  <c r="T4046" i="3" s="1"/>
  <c r="S4055" i="3"/>
  <c r="T4055" i="3" s="1"/>
  <c r="S4058" i="3"/>
  <c r="T4058" i="3" s="1"/>
  <c r="S4060" i="3"/>
  <c r="T4060" i="3" s="1"/>
  <c r="S4072" i="3"/>
  <c r="T4072" i="3" s="1"/>
  <c r="S4082" i="3"/>
  <c r="T4082" i="3" s="1"/>
  <c r="S4086" i="3"/>
  <c r="T4086" i="3" s="1"/>
  <c r="S4101" i="3"/>
  <c r="T4101" i="3" s="1"/>
  <c r="S4109" i="3"/>
  <c r="T4109" i="3" s="1"/>
  <c r="S4118" i="3"/>
  <c r="T4118" i="3" s="1"/>
  <c r="S4161" i="3"/>
  <c r="T4161" i="3" s="1"/>
  <c r="S4201" i="3"/>
  <c r="T4201" i="3" s="1"/>
  <c r="S4214" i="3"/>
  <c r="T4214" i="3" s="1"/>
  <c r="S4216" i="3"/>
  <c r="T4216" i="3" s="1"/>
  <c r="S4225" i="3"/>
  <c r="T4225" i="3" s="1"/>
  <c r="S4234" i="3"/>
  <c r="T4234" i="3" s="1"/>
  <c r="S4249" i="3"/>
  <c r="T4249" i="3" s="1"/>
  <c r="S4263" i="3"/>
  <c r="T4263" i="3" s="1"/>
  <c r="S4283" i="3"/>
  <c r="T4283" i="3" s="1"/>
  <c r="S4290" i="3"/>
  <c r="T4290" i="3" s="1"/>
  <c r="S4327" i="3"/>
  <c r="T4327" i="3" s="1"/>
  <c r="S4371" i="3"/>
  <c r="T4371" i="3" s="1"/>
  <c r="S4442" i="3"/>
  <c r="T4442" i="3" s="1"/>
  <c r="S4445" i="3"/>
  <c r="T4445" i="3" s="1"/>
  <c r="S4460" i="3"/>
  <c r="T4460" i="3" s="1"/>
  <c r="S4464" i="3"/>
  <c r="T4464" i="3" s="1"/>
  <c r="S4481" i="3"/>
  <c r="T4481" i="3" s="1"/>
  <c r="S4499" i="3"/>
  <c r="T4499" i="3" s="1"/>
  <c r="S4500" i="3"/>
  <c r="T4500" i="3" s="1"/>
  <c r="S4532" i="3"/>
  <c r="T4532" i="3" s="1"/>
  <c r="S4536" i="3"/>
  <c r="T4536" i="3" s="1"/>
  <c r="S4542" i="3"/>
  <c r="T4542" i="3" s="1"/>
  <c r="S4549" i="3"/>
  <c r="T4549" i="3" s="1"/>
  <c r="S4582" i="3"/>
  <c r="T4582" i="3" s="1"/>
  <c r="S4589" i="3"/>
  <c r="T4589" i="3" s="1"/>
  <c r="S4601" i="3"/>
  <c r="T4601" i="3" s="1"/>
  <c r="S4610" i="3"/>
  <c r="T4610" i="3" s="1"/>
  <c r="S4627" i="3"/>
  <c r="T4627" i="3" s="1"/>
  <c r="S4649" i="3"/>
  <c r="T4649" i="3" s="1"/>
  <c r="S4655" i="3"/>
  <c r="T4655" i="3" s="1"/>
  <c r="S4673" i="3"/>
  <c r="T4673" i="3" s="1"/>
  <c r="S4704" i="3"/>
  <c r="T4704" i="3" s="1"/>
  <c r="S4719" i="3"/>
  <c r="T4719" i="3" s="1"/>
  <c r="S4773" i="3"/>
  <c r="T4773" i="3" s="1"/>
  <c r="S4783" i="3"/>
  <c r="T4783" i="3" s="1"/>
  <c r="S40" i="3"/>
  <c r="T40" i="3" s="1"/>
  <c r="U40" i="3" s="1"/>
  <c r="S49" i="3"/>
  <c r="T49" i="3" s="1"/>
  <c r="U49" i="3" s="1"/>
  <c r="S79" i="3"/>
  <c r="T79" i="3" s="1"/>
  <c r="U79" i="3" s="1"/>
  <c r="S85" i="3"/>
  <c r="T85" i="3" s="1"/>
  <c r="U85" i="3" s="1"/>
  <c r="S96" i="3"/>
  <c r="T96" i="3" s="1"/>
  <c r="U96" i="3" s="1"/>
  <c r="S210" i="3"/>
  <c r="T210" i="3" s="1"/>
  <c r="U210" i="3" s="1"/>
  <c r="S267" i="3"/>
  <c r="T267" i="3" s="1"/>
  <c r="U267" i="3" s="1"/>
  <c r="S306" i="3"/>
  <c r="T306" i="3" s="1"/>
  <c r="U306" i="3" s="1"/>
  <c r="S311" i="3"/>
  <c r="T311" i="3" s="1"/>
  <c r="S322" i="3"/>
  <c r="T322" i="3" s="1"/>
  <c r="S356" i="3"/>
  <c r="T356" i="3" s="1"/>
  <c r="S381" i="3"/>
  <c r="T381" i="3" s="1"/>
  <c r="S436" i="3"/>
  <c r="T436" i="3" s="1"/>
  <c r="S471" i="3"/>
  <c r="T471" i="3" s="1"/>
  <c r="U471" i="3" s="1"/>
  <c r="S475" i="3"/>
  <c r="T475" i="3" s="1"/>
  <c r="S481" i="3"/>
  <c r="T481" i="3" s="1"/>
  <c r="S578" i="3"/>
  <c r="T578" i="3" s="1"/>
  <c r="S596" i="3"/>
  <c r="T596" i="3" s="1"/>
  <c r="U596" i="3" s="1"/>
  <c r="S664" i="3"/>
  <c r="T664" i="3" s="1"/>
  <c r="U664" i="3" s="1"/>
  <c r="S668" i="3"/>
  <c r="T668" i="3" s="1"/>
  <c r="S683" i="3"/>
  <c r="T683" i="3" s="1"/>
  <c r="S714" i="3"/>
  <c r="T714" i="3" s="1"/>
  <c r="U714" i="3" s="1"/>
  <c r="S728" i="3"/>
  <c r="T728" i="3" s="1"/>
  <c r="S734" i="3"/>
  <c r="T734" i="3" s="1"/>
  <c r="U734" i="3" s="1"/>
  <c r="S757" i="3"/>
  <c r="T757" i="3" s="1"/>
  <c r="S822" i="3"/>
  <c r="T822" i="3" s="1"/>
  <c r="U822" i="3" s="1"/>
  <c r="S906" i="3"/>
  <c r="T906" i="3" s="1"/>
  <c r="U906" i="3" s="1"/>
  <c r="S979" i="3"/>
  <c r="T979" i="3" s="1"/>
  <c r="S998" i="3"/>
  <c r="T998" i="3" s="1"/>
  <c r="U998" i="3" s="1"/>
  <c r="S1057" i="3"/>
  <c r="T1057" i="3" s="1"/>
  <c r="S1116" i="3"/>
  <c r="T1116" i="3" s="1"/>
  <c r="S1117" i="3"/>
  <c r="T1117" i="3" s="1"/>
  <c r="U1117" i="3" s="1"/>
  <c r="S1125" i="3"/>
  <c r="T1125" i="3" s="1"/>
  <c r="U1125" i="3" s="1"/>
  <c r="S1150" i="3"/>
  <c r="T1150" i="3" s="1"/>
  <c r="U1150" i="3" s="1"/>
  <c r="S1166" i="3"/>
  <c r="T1166" i="3" s="1"/>
  <c r="S1198" i="3"/>
  <c r="T1198" i="3" s="1"/>
  <c r="S1251" i="3"/>
  <c r="T1251" i="3" s="1"/>
  <c r="S1258" i="3"/>
  <c r="T1258" i="3" s="1"/>
  <c r="U1258" i="3" s="1"/>
  <c r="S1348" i="3"/>
  <c r="T1348" i="3" s="1"/>
  <c r="U1348" i="3" s="1"/>
  <c r="S1388" i="3"/>
  <c r="T1388" i="3" s="1"/>
  <c r="U1388" i="3" s="1"/>
  <c r="S1410" i="3"/>
  <c r="T1410" i="3" s="1"/>
  <c r="S1437" i="3"/>
  <c r="T1437" i="3" s="1"/>
  <c r="S1443" i="3"/>
  <c r="T1443" i="3" s="1"/>
  <c r="S1468" i="3"/>
  <c r="T1468" i="3" s="1"/>
  <c r="U1468" i="3" s="1"/>
  <c r="S1521" i="3"/>
  <c r="T1521" i="3" s="1"/>
  <c r="S1625" i="3"/>
  <c r="T1625" i="3" s="1"/>
  <c r="S1626" i="3"/>
  <c r="T1626" i="3" s="1"/>
  <c r="S1628" i="3"/>
  <c r="T1628" i="3" s="1"/>
  <c r="S1669" i="3"/>
  <c r="T1669" i="3" s="1"/>
  <c r="S1673" i="3"/>
  <c r="T1673" i="3" s="1"/>
  <c r="S1775" i="3"/>
  <c r="T1775" i="3" s="1"/>
  <c r="S1778" i="3"/>
  <c r="T1778" i="3" s="1"/>
  <c r="S1779" i="3"/>
  <c r="T1779" i="3" s="1"/>
  <c r="S1816" i="3"/>
  <c r="T1816" i="3" s="1"/>
  <c r="S1841" i="3"/>
  <c r="T1841" i="3" s="1"/>
  <c r="S1844" i="3"/>
  <c r="T1844" i="3" s="1"/>
  <c r="S1852" i="3"/>
  <c r="T1852" i="3" s="1"/>
  <c r="S1914" i="3"/>
  <c r="T1914" i="3" s="1"/>
  <c r="S1983" i="3"/>
  <c r="T1983" i="3" s="1"/>
  <c r="S1990" i="3"/>
  <c r="T1990" i="3" s="1"/>
  <c r="S1994" i="3"/>
  <c r="T1994" i="3" s="1"/>
  <c r="S2047" i="3"/>
  <c r="T2047" i="3" s="1"/>
  <c r="S2075" i="3"/>
  <c r="T2075" i="3" s="1"/>
  <c r="S2164" i="3"/>
  <c r="T2164" i="3" s="1"/>
  <c r="S2201" i="3"/>
  <c r="T2201" i="3" s="1"/>
  <c r="S2284" i="3"/>
  <c r="T2284" i="3" s="1"/>
  <c r="S2331" i="3"/>
  <c r="T2331" i="3" s="1"/>
  <c r="S2362" i="3"/>
  <c r="T2362" i="3" s="1"/>
  <c r="S2363" i="3"/>
  <c r="T2363" i="3" s="1"/>
  <c r="S2365" i="3"/>
  <c r="T2365" i="3" s="1"/>
  <c r="S2388" i="3"/>
  <c r="T2388" i="3" s="1"/>
  <c r="S2401" i="3"/>
  <c r="T2401" i="3" s="1"/>
  <c r="S2408" i="3"/>
  <c r="T2408" i="3" s="1"/>
  <c r="S2415" i="3"/>
  <c r="T2415" i="3" s="1"/>
  <c r="S2449" i="3"/>
  <c r="T2449" i="3" s="1"/>
  <c r="S2455" i="3"/>
  <c r="T2455" i="3" s="1"/>
  <c r="S2466" i="3"/>
  <c r="T2466" i="3" s="1"/>
  <c r="S2569" i="3"/>
  <c r="T2569" i="3" s="1"/>
  <c r="S2574" i="3"/>
  <c r="T2574" i="3" s="1"/>
  <c r="S2582" i="3"/>
  <c r="T2582" i="3" s="1"/>
  <c r="S2624" i="3"/>
  <c r="T2624" i="3" s="1"/>
  <c r="S2637" i="3"/>
  <c r="T2637" i="3" s="1"/>
  <c r="S2740" i="3"/>
  <c r="T2740" i="3" s="1"/>
  <c r="S2760" i="3"/>
  <c r="T2760" i="3" s="1"/>
  <c r="S2762" i="3"/>
  <c r="T2762" i="3" s="1"/>
  <c r="S2861" i="3"/>
  <c r="T2861" i="3" s="1"/>
  <c r="S2913" i="3"/>
  <c r="T2913" i="3" s="1"/>
  <c r="S2923" i="3"/>
  <c r="T2923" i="3" s="1"/>
  <c r="S2973" i="3"/>
  <c r="T2973" i="3" s="1"/>
  <c r="S3035" i="3"/>
  <c r="T3035" i="3" s="1"/>
  <c r="S3066" i="3"/>
  <c r="T3066" i="3" s="1"/>
  <c r="S3084" i="3"/>
  <c r="T3084" i="3" s="1"/>
  <c r="S3097" i="3"/>
  <c r="T3097" i="3" s="1"/>
  <c r="S3185" i="3"/>
  <c r="T3185" i="3" s="1"/>
  <c r="S3225" i="3"/>
  <c r="T3225" i="3" s="1"/>
  <c r="S3243" i="3"/>
  <c r="T3243" i="3" s="1"/>
  <c r="S3274" i="3"/>
  <c r="T3274" i="3" s="1"/>
  <c r="S3278" i="3"/>
  <c r="T3278" i="3" s="1"/>
  <c r="S3348" i="3"/>
  <c r="T3348" i="3" s="1"/>
  <c r="S3351" i="3"/>
  <c r="T3351" i="3" s="1"/>
  <c r="S3436" i="3"/>
  <c r="T3436" i="3" s="1"/>
  <c r="S3470" i="3"/>
  <c r="T3470" i="3" s="1"/>
  <c r="S3504" i="3"/>
  <c r="T3504" i="3" s="1"/>
  <c r="S3566" i="3"/>
  <c r="T3566" i="3" s="1"/>
  <c r="S3570" i="3"/>
  <c r="T3570" i="3" s="1"/>
  <c r="S3813" i="3"/>
  <c r="T3813" i="3" s="1"/>
  <c r="S3820" i="3"/>
  <c r="T3820" i="3" s="1"/>
  <c r="S3872" i="3"/>
  <c r="T3872" i="3" s="1"/>
  <c r="S3970" i="3"/>
  <c r="T3970" i="3" s="1"/>
  <c r="S4043" i="3"/>
  <c r="T4043" i="3" s="1"/>
  <c r="S4064" i="3"/>
  <c r="T4064" i="3" s="1"/>
  <c r="S4071" i="3"/>
  <c r="T4071" i="3" s="1"/>
  <c r="S4100" i="3"/>
  <c r="T4100" i="3" s="1"/>
  <c r="S4136" i="3"/>
  <c r="T4136" i="3" s="1"/>
  <c r="S4168" i="3"/>
  <c r="T4168" i="3" s="1"/>
  <c r="S4203" i="3"/>
  <c r="T4203" i="3" s="1"/>
  <c r="S4299" i="3"/>
  <c r="T4299" i="3" s="1"/>
  <c r="S4409" i="3"/>
  <c r="T4409" i="3" s="1"/>
  <c r="S4465" i="3"/>
  <c r="T4465" i="3" s="1"/>
  <c r="S4507" i="3"/>
  <c r="T4507" i="3" s="1"/>
  <c r="S4521" i="3"/>
  <c r="T4521" i="3" s="1"/>
  <c r="S4557" i="3"/>
  <c r="T4557" i="3" s="1"/>
  <c r="S4586" i="3"/>
  <c r="T4586" i="3" s="1"/>
  <c r="S4647" i="3"/>
  <c r="T4647" i="3" s="1"/>
  <c r="S4653" i="3"/>
  <c r="T4653" i="3" s="1"/>
  <c r="S4678" i="3"/>
  <c r="T4678" i="3" s="1"/>
  <c r="S4700" i="3"/>
  <c r="T4700" i="3" s="1"/>
  <c r="S4731" i="3"/>
  <c r="T4731" i="3" s="1"/>
  <c r="S4776" i="3"/>
  <c r="T4776" i="3" s="1"/>
  <c r="S4797" i="3"/>
  <c r="T4797" i="3" s="1"/>
  <c r="S9" i="3"/>
  <c r="T9" i="3" s="1"/>
  <c r="U9" i="3" s="1"/>
  <c r="S125" i="3"/>
  <c r="T125" i="3" s="1"/>
  <c r="U125" i="3" s="1"/>
  <c r="S140" i="3"/>
  <c r="T140" i="3" s="1"/>
  <c r="U140" i="3" s="1"/>
  <c r="S364" i="3"/>
  <c r="T364" i="3" s="1"/>
  <c r="S413" i="3"/>
  <c r="T413" i="3" s="1"/>
  <c r="U413" i="3" s="1"/>
  <c r="S496" i="3"/>
  <c r="T496" i="3" s="1"/>
  <c r="S769" i="3"/>
  <c r="T769" i="3" s="1"/>
  <c r="U769" i="3" s="1"/>
  <c r="S836" i="3"/>
  <c r="T836" i="3" s="1"/>
  <c r="S852" i="3"/>
  <c r="T852" i="3" s="1"/>
  <c r="U852" i="3" s="1"/>
  <c r="S883" i="3"/>
  <c r="T883" i="3" s="1"/>
  <c r="S977" i="3"/>
  <c r="T977" i="3" s="1"/>
  <c r="U977" i="3" s="1"/>
  <c r="S1090" i="3"/>
  <c r="T1090" i="3" s="1"/>
  <c r="S1164" i="3"/>
  <c r="T1164" i="3" s="1"/>
  <c r="U1164" i="3" s="1"/>
  <c r="S1173" i="3"/>
  <c r="T1173" i="3" s="1"/>
  <c r="U1173" i="3" s="1"/>
  <c r="S1201" i="3"/>
  <c r="T1201" i="3" s="1"/>
  <c r="S1289" i="3"/>
  <c r="T1289" i="3" s="1"/>
  <c r="S1326" i="3"/>
  <c r="T1326" i="3" s="1"/>
  <c r="S1366" i="3"/>
  <c r="T1366" i="3" s="1"/>
  <c r="U1366" i="3" s="1"/>
  <c r="S1385" i="3"/>
  <c r="T1385" i="3" s="1"/>
  <c r="U1385" i="3" s="1"/>
  <c r="S1588" i="3"/>
  <c r="T1588" i="3" s="1"/>
  <c r="S1619" i="3"/>
  <c r="T1619" i="3" s="1"/>
  <c r="S1634" i="3"/>
  <c r="T1634" i="3" s="1"/>
  <c r="S1686" i="3"/>
  <c r="T1686" i="3" s="1"/>
  <c r="S1760" i="3"/>
  <c r="T1760" i="3" s="1"/>
  <c r="S1770" i="3"/>
  <c r="T1770" i="3" s="1"/>
  <c r="S1836" i="3"/>
  <c r="T1836" i="3" s="1"/>
  <c r="S1840" i="3"/>
  <c r="T1840" i="3" s="1"/>
  <c r="S1930" i="3"/>
  <c r="T1930" i="3" s="1"/>
  <c r="S1941" i="3"/>
  <c r="T1941" i="3" s="1"/>
  <c r="S1982" i="3"/>
  <c r="T1982" i="3" s="1"/>
  <c r="S2020" i="3"/>
  <c r="T2020" i="3" s="1"/>
  <c r="S2078" i="3"/>
  <c r="T2078" i="3" s="1"/>
  <c r="S2131" i="3"/>
  <c r="T2131" i="3" s="1"/>
  <c r="S2213" i="3"/>
  <c r="T2213" i="3" s="1"/>
  <c r="S2512" i="3"/>
  <c r="T2512" i="3" s="1"/>
  <c r="S2519" i="3"/>
  <c r="T2519" i="3" s="1"/>
  <c r="S2533" i="3"/>
  <c r="T2533" i="3" s="1"/>
  <c r="S2541" i="3"/>
  <c r="T2541" i="3" s="1"/>
  <c r="S2559" i="3"/>
  <c r="T2559" i="3" s="1"/>
  <c r="S2669" i="3"/>
  <c r="T2669" i="3" s="1"/>
  <c r="S2844" i="3"/>
  <c r="T2844" i="3" s="1"/>
  <c r="S2862" i="3"/>
  <c r="T2862" i="3" s="1"/>
  <c r="S2882" i="3"/>
  <c r="T2882" i="3" s="1"/>
  <c r="S3050" i="3"/>
  <c r="T3050" i="3" s="1"/>
  <c r="S3116" i="3"/>
  <c r="T3116" i="3" s="1"/>
  <c r="S3178" i="3"/>
  <c r="T3178" i="3" s="1"/>
  <c r="S3255" i="3"/>
  <c r="T3255" i="3" s="1"/>
  <c r="S3339" i="3"/>
  <c r="T3339" i="3" s="1"/>
  <c r="S3377" i="3"/>
  <c r="T3377" i="3" s="1"/>
  <c r="S3383" i="3"/>
  <c r="T3383" i="3" s="1"/>
  <c r="S3410" i="3"/>
  <c r="T3410" i="3" s="1"/>
  <c r="S3468" i="3"/>
  <c r="T3468" i="3" s="1"/>
  <c r="S3499" i="3"/>
  <c r="T3499" i="3" s="1"/>
  <c r="S3520" i="3"/>
  <c r="T3520" i="3" s="1"/>
  <c r="S3624" i="3"/>
  <c r="T3624" i="3" s="1"/>
  <c r="S3656" i="3"/>
  <c r="T3656" i="3" s="1"/>
  <c r="S3672" i="3"/>
  <c r="T3672" i="3" s="1"/>
  <c r="S3703" i="3"/>
  <c r="T3703" i="3" s="1"/>
  <c r="S3860" i="3"/>
  <c r="T3860" i="3" s="1"/>
  <c r="S3957" i="3"/>
  <c r="T3957" i="3" s="1"/>
  <c r="S4005" i="3"/>
  <c r="T4005" i="3" s="1"/>
  <c r="S4040" i="3"/>
  <c r="T4040" i="3" s="1"/>
  <c r="S4047" i="3"/>
  <c r="T4047" i="3" s="1"/>
  <c r="S4063" i="3"/>
  <c r="T4063" i="3" s="1"/>
  <c r="S4084" i="3"/>
  <c r="T4084" i="3" s="1"/>
  <c r="S4112" i="3"/>
  <c r="T4112" i="3" s="1"/>
  <c r="S4121" i="3"/>
  <c r="T4121" i="3" s="1"/>
  <c r="S4281" i="3"/>
  <c r="T4281" i="3" s="1"/>
  <c r="S4291" i="3"/>
  <c r="T4291" i="3" s="1"/>
  <c r="S4310" i="3"/>
  <c r="T4310" i="3" s="1"/>
  <c r="S4354" i="3"/>
  <c r="T4354" i="3" s="1"/>
  <c r="S4489" i="3"/>
  <c r="T4489" i="3" s="1"/>
  <c r="S4556" i="3"/>
  <c r="T4556" i="3" s="1"/>
  <c r="S4571" i="3"/>
  <c r="T4571" i="3" s="1"/>
  <c r="S4576" i="3"/>
  <c r="T4576" i="3" s="1"/>
  <c r="S4715" i="3"/>
  <c r="T4715" i="3" s="1"/>
  <c r="S4743" i="3"/>
  <c r="T4743" i="3" s="1"/>
  <c r="S4752" i="3"/>
  <c r="T4752" i="3" s="1"/>
  <c r="S109" i="3"/>
  <c r="T109" i="3" s="1"/>
  <c r="U109" i="3" s="1"/>
  <c r="S161" i="3"/>
  <c r="T161" i="3" s="1"/>
  <c r="U161" i="3" s="1"/>
  <c r="S186" i="3"/>
  <c r="T186" i="3" s="1"/>
  <c r="U186" i="3" s="1"/>
  <c r="S435" i="3"/>
  <c r="T435" i="3" s="1"/>
  <c r="U435" i="3" s="1"/>
  <c r="S455" i="3"/>
  <c r="T455" i="3" s="1"/>
  <c r="U455" i="3" s="1"/>
  <c r="S457" i="3"/>
  <c r="T457" i="3" s="1"/>
  <c r="S477" i="3"/>
  <c r="T477" i="3" s="1"/>
  <c r="U477" i="3" s="1"/>
  <c r="S503" i="3"/>
  <c r="T503" i="3" s="1"/>
  <c r="S554" i="3"/>
  <c r="T554" i="3" s="1"/>
  <c r="U554" i="3" s="1"/>
  <c r="S603" i="3"/>
  <c r="T603" i="3" s="1"/>
  <c r="S639" i="3"/>
  <c r="T639" i="3" s="1"/>
  <c r="U639" i="3" s="1"/>
  <c r="S665" i="3"/>
  <c r="T665" i="3" s="1"/>
  <c r="S776" i="3"/>
  <c r="T776" i="3" s="1"/>
  <c r="S958" i="3"/>
  <c r="T958" i="3" s="1"/>
  <c r="S1062" i="3"/>
  <c r="T1062" i="3" s="1"/>
  <c r="S1136" i="3"/>
  <c r="T1136" i="3" s="1"/>
  <c r="S1252" i="3"/>
  <c r="T1252" i="3" s="1"/>
  <c r="U1252" i="3" s="1"/>
  <c r="S1263" i="3"/>
  <c r="T1263" i="3" s="1"/>
  <c r="S1269" i="3"/>
  <c r="T1269" i="3" s="1"/>
  <c r="S1396" i="3"/>
  <c r="T1396" i="3" s="1"/>
  <c r="S1474" i="3"/>
  <c r="T1474" i="3" s="1"/>
  <c r="U1474" i="3" s="1"/>
  <c r="S1585" i="3"/>
  <c r="T1585" i="3" s="1"/>
  <c r="S1621" i="3"/>
  <c r="T1621" i="3" s="1"/>
  <c r="S1676" i="3"/>
  <c r="T1676" i="3" s="1"/>
  <c r="S1693" i="3"/>
  <c r="T1693" i="3" s="1"/>
  <c r="S1702" i="3"/>
  <c r="T1702" i="3" s="1"/>
  <c r="S1711" i="3"/>
  <c r="T1711" i="3" s="1"/>
  <c r="S1798" i="3"/>
  <c r="T1798" i="3" s="1"/>
  <c r="S2178" i="3"/>
  <c r="T2178" i="3" s="1"/>
  <c r="S2237" i="3"/>
  <c r="T2237" i="3" s="1"/>
  <c r="S2314" i="3"/>
  <c r="T2314" i="3" s="1"/>
  <c r="S2339" i="3"/>
  <c r="T2339" i="3" s="1"/>
  <c r="S2372" i="3"/>
  <c r="T2372" i="3" s="1"/>
  <c r="S2439" i="3"/>
  <c r="T2439" i="3" s="1"/>
  <c r="S2567" i="3"/>
  <c r="T2567" i="3" s="1"/>
  <c r="S2629" i="3"/>
  <c r="T2629" i="3" s="1"/>
  <c r="S2702" i="3"/>
  <c r="T2702" i="3" s="1"/>
  <c r="S2770" i="3"/>
  <c r="T2770" i="3" s="1"/>
  <c r="S2790" i="3"/>
  <c r="T2790" i="3" s="1"/>
  <c r="S3000" i="3"/>
  <c r="T3000" i="3" s="1"/>
  <c r="S3018" i="3"/>
  <c r="T3018" i="3" s="1"/>
  <c r="S3024" i="3"/>
  <c r="T3024" i="3" s="1"/>
  <c r="S3090" i="3"/>
  <c r="T3090" i="3" s="1"/>
  <c r="S3172" i="3"/>
  <c r="T3172" i="3" s="1"/>
  <c r="S3375" i="3"/>
  <c r="T3375" i="3" s="1"/>
  <c r="S3447" i="3"/>
  <c r="T3447" i="3" s="1"/>
  <c r="S3505" i="3"/>
  <c r="T3505" i="3" s="1"/>
  <c r="S3628" i="3"/>
  <c r="T3628" i="3" s="1"/>
  <c r="S3715" i="3"/>
  <c r="T3715" i="3" s="1"/>
  <c r="S3728" i="3"/>
  <c r="T3728" i="3" s="1"/>
  <c r="S3735" i="3"/>
  <c r="T3735" i="3" s="1"/>
  <c r="S3790" i="3"/>
  <c r="T3790" i="3" s="1"/>
  <c r="S3907" i="3"/>
  <c r="T3907" i="3" s="1"/>
  <c r="S3952" i="3"/>
  <c r="T3952" i="3" s="1"/>
  <c r="S3998" i="3"/>
  <c r="T3998" i="3" s="1"/>
  <c r="S4074" i="3"/>
  <c r="T4074" i="3" s="1"/>
  <c r="S4200" i="3"/>
  <c r="T4200" i="3" s="1"/>
  <c r="S4227" i="3"/>
  <c r="T4227" i="3" s="1"/>
  <c r="S4244" i="3"/>
  <c r="T4244" i="3" s="1"/>
  <c r="S4297" i="3"/>
  <c r="T4297" i="3" s="1"/>
  <c r="S4314" i="3"/>
  <c r="T4314" i="3" s="1"/>
  <c r="S4322" i="3"/>
  <c r="T4322" i="3" s="1"/>
  <c r="S4331" i="3"/>
  <c r="T4331" i="3" s="1"/>
  <c r="S4418" i="3"/>
  <c r="T4418" i="3" s="1"/>
  <c r="S4505" i="3"/>
  <c r="T4505" i="3" s="1"/>
  <c r="S4564" i="3"/>
  <c r="T4564" i="3" s="1"/>
  <c r="S4568" i="3"/>
  <c r="T4568" i="3" s="1"/>
  <c r="S4711" i="3"/>
  <c r="T4711" i="3" s="1"/>
  <c r="S4753" i="3"/>
  <c r="T4753" i="3" s="1"/>
  <c r="S765" i="3"/>
  <c r="T765" i="3" s="1"/>
  <c r="S1506" i="3"/>
  <c r="T1506" i="3" s="1"/>
  <c r="S2993" i="3"/>
  <c r="T2993" i="3" s="1"/>
  <c r="S3155" i="3"/>
  <c r="T3155" i="3" s="1"/>
  <c r="S4437" i="3"/>
  <c r="T4437" i="3" s="1"/>
  <c r="S20" i="3"/>
  <c r="T20" i="3" s="1"/>
  <c r="U20" i="3" s="1"/>
  <c r="S101" i="3"/>
  <c r="T101" i="3" s="1"/>
  <c r="U101" i="3" s="1"/>
  <c r="S160" i="3"/>
  <c r="T160" i="3" s="1"/>
  <c r="U160" i="3" s="1"/>
  <c r="S274" i="3"/>
  <c r="T274" i="3" s="1"/>
  <c r="U274" i="3" s="1"/>
  <c r="S359" i="3"/>
  <c r="T359" i="3" s="1"/>
  <c r="S380" i="3"/>
  <c r="T380" i="3" s="1"/>
  <c r="U380" i="3" s="1"/>
  <c r="S440" i="3"/>
  <c r="T440" i="3" s="1"/>
  <c r="U440" i="3" s="1"/>
  <c r="S451" i="3"/>
  <c r="T451" i="3" s="1"/>
  <c r="S559" i="3"/>
  <c r="T559" i="3" s="1"/>
  <c r="S675" i="3"/>
  <c r="T675" i="3" s="1"/>
  <c r="S870" i="3"/>
  <c r="T870" i="3" s="1"/>
  <c r="U870" i="3" s="1"/>
  <c r="S914" i="3"/>
  <c r="T914" i="3" s="1"/>
  <c r="S948" i="3"/>
  <c r="T948" i="3" s="1"/>
  <c r="U948" i="3" s="1"/>
  <c r="S1089" i="3"/>
  <c r="T1089" i="3" s="1"/>
  <c r="S1142" i="3"/>
  <c r="T1142" i="3" s="1"/>
  <c r="S1213" i="3"/>
  <c r="T1213" i="3" s="1"/>
  <c r="S1215" i="3"/>
  <c r="T1215" i="3" s="1"/>
  <c r="U1215" i="3" s="1"/>
  <c r="S1297" i="3"/>
  <c r="T1297" i="3" s="1"/>
  <c r="U1297" i="3" s="1"/>
  <c r="S1361" i="3"/>
  <c r="T1361" i="3" s="1"/>
  <c r="S1370" i="3"/>
  <c r="T1370" i="3" s="1"/>
  <c r="U1370" i="3" s="1"/>
  <c r="S1399" i="3"/>
  <c r="T1399" i="3" s="1"/>
  <c r="S1456" i="3"/>
  <c r="T1456" i="3" s="1"/>
  <c r="S1563" i="3"/>
  <c r="T1563" i="3" s="1"/>
  <c r="S1586" i="3"/>
  <c r="T1586" i="3" s="1"/>
  <c r="U1586" i="3" s="1"/>
  <c r="S1661" i="3"/>
  <c r="T1661" i="3" s="1"/>
  <c r="S1679" i="3"/>
  <c r="T1679" i="3" s="1"/>
  <c r="U1679" i="3" s="1"/>
  <c r="S1684" i="3"/>
  <c r="T1684" i="3" s="1"/>
  <c r="S1758" i="3"/>
  <c r="T1758" i="3" s="1"/>
  <c r="S1831" i="3"/>
  <c r="T1831" i="3" s="1"/>
  <c r="S1866" i="3"/>
  <c r="T1866" i="3" s="1"/>
  <c r="S1873" i="3"/>
  <c r="T1873" i="3" s="1"/>
  <c r="S1879" i="3"/>
  <c r="T1879" i="3" s="1"/>
  <c r="S1885" i="3"/>
  <c r="T1885" i="3" s="1"/>
  <c r="S1889" i="3"/>
  <c r="T1889" i="3" s="1"/>
  <c r="S2060" i="3"/>
  <c r="T2060" i="3" s="1"/>
  <c r="S2090" i="3"/>
  <c r="T2090" i="3" s="1"/>
  <c r="S2151" i="3"/>
  <c r="T2151" i="3" s="1"/>
  <c r="S2200" i="3"/>
  <c r="T2200" i="3" s="1"/>
  <c r="S2285" i="3"/>
  <c r="T2285" i="3" s="1"/>
  <c r="S2676" i="3"/>
  <c r="T2676" i="3" s="1"/>
  <c r="S2715" i="3"/>
  <c r="T2715" i="3" s="1"/>
  <c r="S2732" i="3"/>
  <c r="T2732" i="3" s="1"/>
  <c r="S2786" i="3"/>
  <c r="T2786" i="3" s="1"/>
  <c r="S2802" i="3"/>
  <c r="T2802" i="3" s="1"/>
  <c r="S2872" i="3"/>
  <c r="T2872" i="3" s="1"/>
  <c r="S3037" i="3"/>
  <c r="T3037" i="3" s="1"/>
  <c r="S3177" i="3"/>
  <c r="T3177" i="3" s="1"/>
  <c r="S3234" i="3"/>
  <c r="T3234" i="3" s="1"/>
  <c r="S3290" i="3"/>
  <c r="T3290" i="3" s="1"/>
  <c r="S3293" i="3"/>
  <c r="T3293" i="3" s="1"/>
  <c r="S3420" i="3"/>
  <c r="T3420" i="3" s="1"/>
  <c r="S3429" i="3"/>
  <c r="T3429" i="3" s="1"/>
  <c r="S3434" i="3"/>
  <c r="T3434" i="3" s="1"/>
  <c r="S3685" i="3"/>
  <c r="T3685" i="3" s="1"/>
  <c r="S3709" i="3"/>
  <c r="T3709" i="3" s="1"/>
  <c r="S3744" i="3"/>
  <c r="T3744" i="3" s="1"/>
  <c r="S3838" i="3"/>
  <c r="T3838" i="3" s="1"/>
  <c r="S3876" i="3"/>
  <c r="T3876" i="3" s="1"/>
  <c r="S3881" i="3"/>
  <c r="T3881" i="3" s="1"/>
  <c r="S3896" i="3"/>
  <c r="T3896" i="3" s="1"/>
  <c r="S4050" i="3"/>
  <c r="T4050" i="3" s="1"/>
  <c r="S4097" i="3"/>
  <c r="T4097" i="3" s="1"/>
  <c r="S4163" i="3"/>
  <c r="T4163" i="3" s="1"/>
  <c r="S4175" i="3"/>
  <c r="T4175" i="3" s="1"/>
  <c r="S4273" i="3"/>
  <c r="T4273" i="3" s="1"/>
  <c r="S4307" i="3"/>
  <c r="T4307" i="3" s="1"/>
  <c r="S4404" i="3"/>
  <c r="T4404" i="3" s="1"/>
  <c r="S4423" i="3"/>
  <c r="T4423" i="3" s="1"/>
  <c r="S4432" i="3"/>
  <c r="T4432" i="3" s="1"/>
  <c r="S4493" i="3"/>
  <c r="T4493" i="3" s="1"/>
  <c r="S4559" i="3"/>
  <c r="T4559" i="3" s="1"/>
  <c r="S4588" i="3"/>
  <c r="T4588" i="3" s="1"/>
  <c r="S4692" i="3"/>
  <c r="T4692" i="3" s="1"/>
  <c r="S4724" i="3"/>
  <c r="T4724" i="3" s="1"/>
  <c r="S4730" i="3"/>
  <c r="T4730" i="3" s="1"/>
  <c r="S4732" i="3"/>
  <c r="T4732" i="3" s="1"/>
  <c r="S93" i="3"/>
  <c r="T93" i="3" s="1"/>
  <c r="U93" i="3" s="1"/>
  <c r="S100" i="3"/>
  <c r="T100" i="3" s="1"/>
  <c r="U100" i="3" s="1"/>
  <c r="S121" i="3"/>
  <c r="T121" i="3" s="1"/>
  <c r="U121" i="3" s="1"/>
  <c r="S127" i="3"/>
  <c r="T127" i="3" s="1"/>
  <c r="U127" i="3" s="1"/>
  <c r="S252" i="3"/>
  <c r="T252" i="3" s="1"/>
  <c r="U252" i="3" s="1"/>
  <c r="S316" i="3"/>
  <c r="T316" i="3" s="1"/>
  <c r="U316" i="3" s="1"/>
  <c r="S541" i="3"/>
  <c r="T541" i="3" s="1"/>
  <c r="U541" i="3" s="1"/>
  <c r="S611" i="3"/>
  <c r="T611" i="3" s="1"/>
  <c r="U611" i="3" s="1"/>
  <c r="S614" i="3"/>
  <c r="T614" i="3" s="1"/>
  <c r="S656" i="3"/>
  <c r="T656" i="3" s="1"/>
  <c r="S896" i="3"/>
  <c r="T896" i="3" s="1"/>
  <c r="S907" i="3"/>
  <c r="T907" i="3" s="1"/>
  <c r="S952" i="3"/>
  <c r="T952" i="3" s="1"/>
  <c r="S989" i="3"/>
  <c r="T989" i="3" s="1"/>
  <c r="U989" i="3" s="1"/>
  <c r="S1066" i="3"/>
  <c r="T1066" i="3" s="1"/>
  <c r="S1069" i="3"/>
  <c r="T1069" i="3" s="1"/>
  <c r="U1069" i="3" s="1"/>
  <c r="S1111" i="3"/>
  <c r="T1111" i="3" s="1"/>
  <c r="S1155" i="3"/>
  <c r="T1155" i="3" s="1"/>
  <c r="S1207" i="3"/>
  <c r="T1207" i="3" s="1"/>
  <c r="U1207" i="3" s="1"/>
  <c r="S1296" i="3"/>
  <c r="T1296" i="3" s="1"/>
  <c r="S1343" i="3"/>
  <c r="T1343" i="3" s="1"/>
  <c r="S1347" i="3"/>
  <c r="T1347" i="3" s="1"/>
  <c r="S1357" i="3"/>
  <c r="T1357" i="3" s="1"/>
  <c r="S1405" i="3"/>
  <c r="T1405" i="3" s="1"/>
  <c r="S1424" i="3"/>
  <c r="T1424" i="3" s="1"/>
  <c r="S1524" i="3"/>
  <c r="T1524" i="3" s="1"/>
  <c r="S1578" i="3"/>
  <c r="T1578" i="3" s="1"/>
  <c r="S1593" i="3"/>
  <c r="T1593" i="3" s="1"/>
  <c r="S1610" i="3"/>
  <c r="T1610" i="3" s="1"/>
  <c r="S1777" i="3"/>
  <c r="T1777" i="3" s="1"/>
  <c r="U1777" i="3" s="1"/>
  <c r="S1782" i="3"/>
  <c r="T1782" i="3" s="1"/>
  <c r="S1794" i="3"/>
  <c r="T1794" i="3" s="1"/>
  <c r="S1875" i="3"/>
  <c r="T1875" i="3" s="1"/>
  <c r="S1900" i="3"/>
  <c r="T1900" i="3" s="1"/>
  <c r="S1969" i="3"/>
  <c r="T1969" i="3" s="1"/>
  <c r="S2008" i="3"/>
  <c r="T2008" i="3" s="1"/>
  <c r="S2022" i="3"/>
  <c r="T2022" i="3" s="1"/>
  <c r="S2087" i="3"/>
  <c r="T2087" i="3" s="1"/>
  <c r="S2154" i="3"/>
  <c r="T2154" i="3" s="1"/>
  <c r="S2245" i="3"/>
  <c r="T2245" i="3" s="1"/>
  <c r="S2289" i="3"/>
  <c r="T2289" i="3" s="1"/>
  <c r="S2367" i="3"/>
  <c r="T2367" i="3" s="1"/>
  <c r="S2462" i="3"/>
  <c r="T2462" i="3" s="1"/>
  <c r="S2497" i="3"/>
  <c r="T2497" i="3" s="1"/>
  <c r="S2549" i="3"/>
  <c r="T2549" i="3" s="1"/>
  <c r="S2595" i="3"/>
  <c r="T2595" i="3" s="1"/>
  <c r="S2598" i="3"/>
  <c r="T2598" i="3" s="1"/>
  <c r="S2617" i="3"/>
  <c r="T2617" i="3" s="1"/>
  <c r="S2682" i="3"/>
  <c r="T2682" i="3" s="1"/>
  <c r="S2771" i="3"/>
  <c r="T2771" i="3" s="1"/>
  <c r="S2775" i="3"/>
  <c r="T2775" i="3" s="1"/>
  <c r="S2801" i="3"/>
  <c r="T2801" i="3" s="1"/>
  <c r="S2981" i="3"/>
  <c r="T2981" i="3" s="1"/>
  <c r="S3101" i="3"/>
  <c r="T3101" i="3" s="1"/>
  <c r="S3107" i="3"/>
  <c r="T3107" i="3" s="1"/>
  <c r="S3129" i="3"/>
  <c r="T3129" i="3" s="1"/>
  <c r="S3139" i="3"/>
  <c r="T3139" i="3" s="1"/>
  <c r="S3141" i="3"/>
  <c r="T3141" i="3" s="1"/>
  <c r="S3209" i="3"/>
  <c r="T3209" i="3" s="1"/>
  <c r="S3245" i="3"/>
  <c r="T3245" i="3" s="1"/>
  <c r="S3296" i="3"/>
  <c r="T3296" i="3" s="1"/>
  <c r="S3623" i="3"/>
  <c r="T3623" i="3" s="1"/>
  <c r="S3706" i="3"/>
  <c r="T3706" i="3" s="1"/>
  <c r="S3780" i="3"/>
  <c r="T3780" i="3" s="1"/>
  <c r="S3856" i="3"/>
  <c r="T3856" i="3" s="1"/>
  <c r="S3953" i="3"/>
  <c r="T3953" i="3" s="1"/>
  <c r="S4025" i="3"/>
  <c r="T4025" i="3" s="1"/>
  <c r="S4070" i="3"/>
  <c r="T4070" i="3" s="1"/>
  <c r="S4162" i="3"/>
  <c r="T4162" i="3" s="1"/>
  <c r="S4179" i="3"/>
  <c r="T4179" i="3" s="1"/>
  <c r="S4236" i="3"/>
  <c r="T4236" i="3" s="1"/>
  <c r="S4272" i="3"/>
  <c r="T4272" i="3" s="1"/>
  <c r="S4412" i="3"/>
  <c r="T4412" i="3" s="1"/>
  <c r="S4475" i="3"/>
  <c r="T4475" i="3" s="1"/>
  <c r="S4501" i="3"/>
  <c r="T4501" i="3" s="1"/>
  <c r="S4541" i="3"/>
  <c r="T4541" i="3" s="1"/>
  <c r="S4574" i="3"/>
  <c r="T4574" i="3" s="1"/>
  <c r="S4702" i="3"/>
  <c r="T4702" i="3" s="1"/>
  <c r="S4750" i="3"/>
  <c r="T4750" i="3" s="1"/>
  <c r="S4800" i="3"/>
  <c r="T4800" i="3" s="1"/>
  <c r="S77" i="3"/>
  <c r="T77" i="3" s="1"/>
  <c r="U77" i="3" s="1"/>
  <c r="S97" i="3"/>
  <c r="T97" i="3" s="1"/>
  <c r="U97" i="3" s="1"/>
  <c r="S102" i="3"/>
  <c r="T102" i="3" s="1"/>
  <c r="U102" i="3" s="1"/>
  <c r="S128" i="3"/>
  <c r="T128" i="3" s="1"/>
  <c r="U128" i="3" s="1"/>
  <c r="S132" i="3"/>
  <c r="T132" i="3" s="1"/>
  <c r="U132" i="3" s="1"/>
  <c r="S134" i="3"/>
  <c r="T134" i="3" s="1"/>
  <c r="U134" i="3" s="1"/>
  <c r="S238" i="3"/>
  <c r="T238" i="3" s="1"/>
  <c r="U238" i="3" s="1"/>
  <c r="S271" i="3"/>
  <c r="T271" i="3" s="1"/>
  <c r="U271" i="3" s="1"/>
  <c r="S307" i="3"/>
  <c r="T307" i="3" s="1"/>
  <c r="U307" i="3" s="1"/>
  <c r="S326" i="3"/>
  <c r="T326" i="3" s="1"/>
  <c r="U326" i="3" s="1"/>
  <c r="S347" i="3"/>
  <c r="T347" i="3" s="1"/>
  <c r="U347" i="3" s="1"/>
  <c r="S399" i="3"/>
  <c r="T399" i="3" s="1"/>
  <c r="S407" i="3"/>
  <c r="T407" i="3" s="1"/>
  <c r="S438" i="3"/>
  <c r="T438" i="3" s="1"/>
  <c r="U438" i="3" s="1"/>
  <c r="S510" i="3"/>
  <c r="T510" i="3" s="1"/>
  <c r="S519" i="3"/>
  <c r="T519" i="3" s="1"/>
  <c r="U519" i="3" s="1"/>
  <c r="S564" i="3"/>
  <c r="T564" i="3" s="1"/>
  <c r="U564" i="3" s="1"/>
  <c r="S616" i="3"/>
  <c r="T616" i="3" s="1"/>
  <c r="U616" i="3" s="1"/>
  <c r="S628" i="3"/>
  <c r="T628" i="3" s="1"/>
  <c r="U628" i="3" s="1"/>
  <c r="S818" i="3"/>
  <c r="T818" i="3" s="1"/>
  <c r="S825" i="3"/>
  <c r="T825" i="3" s="1"/>
  <c r="S827" i="3"/>
  <c r="T827" i="3" s="1"/>
  <c r="S859" i="3"/>
  <c r="T859" i="3" s="1"/>
  <c r="S968" i="3"/>
  <c r="T968" i="3" s="1"/>
  <c r="U968" i="3" s="1"/>
  <c r="S1023" i="3"/>
  <c r="T1023" i="3" s="1"/>
  <c r="U1023" i="3" s="1"/>
  <c r="S1098" i="3"/>
  <c r="T1098" i="3" s="1"/>
  <c r="S1127" i="3"/>
  <c r="T1127" i="3" s="1"/>
  <c r="U1127" i="3" s="1"/>
  <c r="S1146" i="3"/>
  <c r="T1146" i="3" s="1"/>
  <c r="S1154" i="3"/>
  <c r="T1154" i="3" s="1"/>
  <c r="S1210" i="3"/>
  <c r="T1210" i="3" s="1"/>
  <c r="S1220" i="3"/>
  <c r="T1220" i="3" s="1"/>
  <c r="S1231" i="3"/>
  <c r="T1231" i="3" s="1"/>
  <c r="S1234" i="3"/>
  <c r="T1234" i="3" s="1"/>
  <c r="S1284" i="3"/>
  <c r="T1284" i="3" s="1"/>
  <c r="S1395" i="3"/>
  <c r="T1395" i="3" s="1"/>
  <c r="S1431" i="3"/>
  <c r="T1431" i="3" s="1"/>
  <c r="S1451" i="3"/>
  <c r="T1451" i="3" s="1"/>
  <c r="S1538" i="3"/>
  <c r="T1538" i="3" s="1"/>
  <c r="S1594" i="3"/>
  <c r="T1594" i="3" s="1"/>
  <c r="S1605" i="3"/>
  <c r="T1605" i="3" s="1"/>
  <c r="S1641" i="3"/>
  <c r="T1641" i="3" s="1"/>
  <c r="S1654" i="3"/>
  <c r="T1654" i="3" s="1"/>
  <c r="S1657" i="3"/>
  <c r="T1657" i="3" s="1"/>
  <c r="U1657" i="3" s="1"/>
  <c r="S1659" i="3"/>
  <c r="T1659" i="3" s="1"/>
  <c r="S1674" i="3"/>
  <c r="T1674" i="3" s="1"/>
  <c r="U1674" i="3" s="1"/>
  <c r="S1680" i="3"/>
  <c r="T1680" i="3" s="1"/>
  <c r="S1734" i="3"/>
  <c r="T1734" i="3" s="1"/>
  <c r="U1734" i="3" s="1"/>
  <c r="S1781" i="3"/>
  <c r="T1781" i="3" s="1"/>
  <c r="S1799" i="3"/>
  <c r="T1799" i="3" s="1"/>
  <c r="U1799" i="3" s="1"/>
  <c r="S1812" i="3"/>
  <c r="T1812" i="3" s="1"/>
  <c r="S1835" i="3"/>
  <c r="T1835" i="3" s="1"/>
  <c r="S1871" i="3"/>
  <c r="T1871" i="3" s="1"/>
  <c r="S1897" i="3"/>
  <c r="T1897" i="3" s="1"/>
  <c r="S1976" i="3"/>
  <c r="T1976" i="3" s="1"/>
  <c r="U1976" i="3" s="1"/>
  <c r="S1978" i="3"/>
  <c r="T1978" i="3" s="1"/>
  <c r="S2002" i="3"/>
  <c r="T2002" i="3" s="1"/>
  <c r="U2002" i="3" s="1"/>
  <c r="S2045" i="3"/>
  <c r="T2045" i="3" s="1"/>
  <c r="S2106" i="3"/>
  <c r="T2106" i="3" s="1"/>
  <c r="S2140" i="3"/>
  <c r="T2140" i="3" s="1"/>
  <c r="S2203" i="3"/>
  <c r="T2203" i="3" s="1"/>
  <c r="S2218" i="3"/>
  <c r="T2218" i="3" s="1"/>
  <c r="S2232" i="3"/>
  <c r="T2232" i="3" s="1"/>
  <c r="S2264" i="3"/>
  <c r="T2264" i="3" s="1"/>
  <c r="S2269" i="3"/>
  <c r="T2269" i="3" s="1"/>
  <c r="S2305" i="3"/>
  <c r="T2305" i="3" s="1"/>
  <c r="S2338" i="3"/>
  <c r="T2338" i="3" s="1"/>
  <c r="S2364" i="3"/>
  <c r="T2364" i="3" s="1"/>
  <c r="S2383" i="3"/>
  <c r="T2383" i="3" s="1"/>
  <c r="S2501" i="3"/>
  <c r="T2501" i="3" s="1"/>
  <c r="S2520" i="3"/>
  <c r="T2520" i="3" s="1"/>
  <c r="S2600" i="3"/>
  <c r="T2600" i="3" s="1"/>
  <c r="S2630" i="3"/>
  <c r="T2630" i="3" s="1"/>
  <c r="S2635" i="3"/>
  <c r="T2635" i="3" s="1"/>
  <c r="S2741" i="3"/>
  <c r="T2741" i="3" s="1"/>
  <c r="S2807" i="3"/>
  <c r="T2807" i="3" s="1"/>
  <c r="S2884" i="3"/>
  <c r="T2884" i="3" s="1"/>
  <c r="S2907" i="3"/>
  <c r="T2907" i="3" s="1"/>
  <c r="S2914" i="3"/>
  <c r="T2914" i="3" s="1"/>
  <c r="S2975" i="3"/>
  <c r="T2975" i="3" s="1"/>
  <c r="S3042" i="3"/>
  <c r="T3042" i="3" s="1"/>
  <c r="S3114" i="3"/>
  <c r="T3114" i="3" s="1"/>
  <c r="S3130" i="3"/>
  <c r="T3130" i="3" s="1"/>
  <c r="S3144" i="3"/>
  <c r="T3144" i="3" s="1"/>
  <c r="S3171" i="3"/>
  <c r="T3171" i="3" s="1"/>
  <c r="S3184" i="3"/>
  <c r="T3184" i="3" s="1"/>
  <c r="S3190" i="3"/>
  <c r="T3190" i="3" s="1"/>
  <c r="S3218" i="3"/>
  <c r="T3218" i="3" s="1"/>
  <c r="S3231" i="3"/>
  <c r="T3231" i="3" s="1"/>
  <c r="S3239" i="3"/>
  <c r="T3239" i="3" s="1"/>
  <c r="S3276" i="3"/>
  <c r="T3276" i="3" s="1"/>
  <c r="S3345" i="3"/>
  <c r="T3345" i="3" s="1"/>
  <c r="S3361" i="3"/>
  <c r="T3361" i="3" s="1"/>
  <c r="S3401" i="3"/>
  <c r="T3401" i="3" s="1"/>
  <c r="S3411" i="3"/>
  <c r="T3411" i="3" s="1"/>
  <c r="S3500" i="3"/>
  <c r="T3500" i="3" s="1"/>
  <c r="S3546" i="3"/>
  <c r="T3546" i="3" s="1"/>
  <c r="S3562" i="3"/>
  <c r="T3562" i="3" s="1"/>
  <c r="S3572" i="3"/>
  <c r="T3572" i="3" s="1"/>
  <c r="S3612" i="3"/>
  <c r="T3612" i="3" s="1"/>
  <c r="S3627" i="3"/>
  <c r="T3627" i="3" s="1"/>
  <c r="S3632" i="3"/>
  <c r="T3632" i="3" s="1"/>
  <c r="S3721" i="3"/>
  <c r="T3721" i="3" s="1"/>
  <c r="S3731" i="3"/>
  <c r="T3731" i="3" s="1"/>
  <c r="S3746" i="3"/>
  <c r="T3746" i="3" s="1"/>
  <c r="S3754" i="3"/>
  <c r="T3754" i="3" s="1"/>
  <c r="S3774" i="3"/>
  <c r="T3774" i="3" s="1"/>
  <c r="S3877" i="3"/>
  <c r="T3877" i="3" s="1"/>
  <c r="S3879" i="3"/>
  <c r="T3879" i="3" s="1"/>
  <c r="S3949" i="3"/>
  <c r="T3949" i="3" s="1"/>
  <c r="S3989" i="3"/>
  <c r="T3989" i="3" s="1"/>
  <c r="S3990" i="3"/>
  <c r="T3990" i="3" s="1"/>
  <c r="S3992" i="3"/>
  <c r="T3992" i="3" s="1"/>
  <c r="S4001" i="3"/>
  <c r="T4001" i="3" s="1"/>
  <c r="S4002" i="3"/>
  <c r="T4002" i="3" s="1"/>
  <c r="S4014" i="3"/>
  <c r="T4014" i="3" s="1"/>
  <c r="S4029" i="3"/>
  <c r="T4029" i="3" s="1"/>
  <c r="S4048" i="3"/>
  <c r="T4048" i="3" s="1"/>
  <c r="S4173" i="3"/>
  <c r="T4173" i="3" s="1"/>
  <c r="S4185" i="3"/>
  <c r="T4185" i="3" s="1"/>
  <c r="S4350" i="3"/>
  <c r="T4350" i="3" s="1"/>
  <c r="S4359" i="3"/>
  <c r="T4359" i="3" s="1"/>
  <c r="S4362" i="3"/>
  <c r="T4362" i="3" s="1"/>
  <c r="S4367" i="3"/>
  <c r="T4367" i="3" s="1"/>
  <c r="S4399" i="3"/>
  <c r="T4399" i="3" s="1"/>
  <c r="S4400" i="3"/>
  <c r="T4400" i="3" s="1"/>
  <c r="S4424" i="3"/>
  <c r="T4424" i="3" s="1"/>
  <c r="S4438" i="3"/>
  <c r="T4438" i="3" s="1"/>
  <c r="S4446" i="3"/>
  <c r="T4446" i="3" s="1"/>
  <c r="S4467" i="3"/>
  <c r="T4467" i="3" s="1"/>
  <c r="S4474" i="3"/>
  <c r="T4474" i="3" s="1"/>
  <c r="S4480" i="3"/>
  <c r="T4480" i="3" s="1"/>
  <c r="S4483" i="3"/>
  <c r="T4483" i="3" s="1"/>
  <c r="S4485" i="3"/>
  <c r="T4485" i="3" s="1"/>
  <c r="S4487" i="3"/>
  <c r="T4487" i="3" s="1"/>
  <c r="S4504" i="3"/>
  <c r="T4504" i="3" s="1"/>
  <c r="S4509" i="3"/>
  <c r="T4509" i="3" s="1"/>
  <c r="S4512" i="3"/>
  <c r="T4512" i="3" s="1"/>
  <c r="S4515" i="3"/>
  <c r="T4515" i="3" s="1"/>
  <c r="S4523" i="3"/>
  <c r="T4523" i="3" s="1"/>
  <c r="S4533" i="3"/>
  <c r="T4533" i="3" s="1"/>
  <c r="S4535" i="3"/>
  <c r="T4535" i="3" s="1"/>
  <c r="S4552" i="3"/>
  <c r="T4552" i="3" s="1"/>
  <c r="S4592" i="3"/>
  <c r="T4592" i="3" s="1"/>
  <c r="S4594" i="3"/>
  <c r="T4594" i="3" s="1"/>
  <c r="S4644" i="3"/>
  <c r="T4644" i="3" s="1"/>
  <c r="S4654" i="3"/>
  <c r="T4654" i="3" s="1"/>
  <c r="S4657" i="3"/>
  <c r="T4657" i="3" s="1"/>
  <c r="S4768" i="3"/>
  <c r="T4768" i="3" s="1"/>
  <c r="S4818" i="3"/>
  <c r="T4818" i="3" s="1"/>
  <c r="S78" i="3"/>
  <c r="T78" i="3" s="1"/>
  <c r="U78" i="3" s="1"/>
  <c r="S242" i="3"/>
  <c r="T242" i="3" s="1"/>
  <c r="U242" i="3" s="1"/>
  <c r="S265" i="3"/>
  <c r="T265" i="3" s="1"/>
  <c r="U265" i="3" s="1"/>
  <c r="S277" i="3"/>
  <c r="T277" i="3" s="1"/>
  <c r="U277" i="3" s="1"/>
  <c r="S279" i="3"/>
  <c r="T279" i="3" s="1"/>
  <c r="U279" i="3" s="1"/>
  <c r="S292" i="3"/>
  <c r="T292" i="3" s="1"/>
  <c r="U292" i="3" s="1"/>
  <c r="S297" i="3"/>
  <c r="T297" i="3" s="1"/>
  <c r="U297" i="3" s="1"/>
  <c r="S363" i="3"/>
  <c r="T363" i="3" s="1"/>
  <c r="U363" i="3" s="1"/>
  <c r="S443" i="3"/>
  <c r="T443" i="3" s="1"/>
  <c r="S445" i="3"/>
  <c r="T445" i="3" s="1"/>
  <c r="U445" i="3" s="1"/>
  <c r="S450" i="3"/>
  <c r="T450" i="3" s="1"/>
  <c r="U450" i="3" s="1"/>
  <c r="S468" i="3"/>
  <c r="T468" i="3" s="1"/>
  <c r="U468" i="3" s="1"/>
  <c r="S582" i="3"/>
  <c r="T582" i="3" s="1"/>
  <c r="S597" i="3"/>
  <c r="T597" i="3" s="1"/>
  <c r="S609" i="3"/>
  <c r="T609" i="3" s="1"/>
  <c r="U609" i="3" s="1"/>
  <c r="S631" i="3"/>
  <c r="T631" i="3" s="1"/>
  <c r="U631" i="3" s="1"/>
  <c r="S632" i="3"/>
  <c r="T632" i="3" s="1"/>
  <c r="S642" i="3"/>
  <c r="T642" i="3" s="1"/>
  <c r="U642" i="3" s="1"/>
  <c r="S648" i="3"/>
  <c r="T648" i="3" s="1"/>
  <c r="U648" i="3" s="1"/>
  <c r="S709" i="3"/>
  <c r="T709" i="3" s="1"/>
  <c r="U709" i="3" s="1"/>
  <c r="S762" i="3"/>
  <c r="T762" i="3" s="1"/>
  <c r="S782" i="3"/>
  <c r="T782" i="3" s="1"/>
  <c r="S784" i="3"/>
  <c r="T784" i="3" s="1"/>
  <c r="U784" i="3" s="1"/>
  <c r="S833" i="3"/>
  <c r="T833" i="3" s="1"/>
  <c r="U833" i="3" s="1"/>
  <c r="S837" i="3"/>
  <c r="T837" i="3" s="1"/>
  <c r="U837" i="3" s="1"/>
  <c r="S844" i="3"/>
  <c r="T844" i="3" s="1"/>
  <c r="S932" i="3"/>
  <c r="T932" i="3" s="1"/>
  <c r="S937" i="3"/>
  <c r="T937" i="3" s="1"/>
  <c r="S1007" i="3"/>
  <c r="T1007" i="3" s="1"/>
  <c r="S1030" i="3"/>
  <c r="T1030" i="3" s="1"/>
  <c r="S1035" i="3"/>
  <c r="T1035" i="3" s="1"/>
  <c r="U1035" i="3" s="1"/>
  <c r="S1043" i="3"/>
  <c r="T1043" i="3" s="1"/>
  <c r="S1077" i="3"/>
  <c r="T1077" i="3" s="1"/>
  <c r="S1088" i="3"/>
  <c r="T1088" i="3" s="1"/>
  <c r="S1175" i="3"/>
  <c r="T1175" i="3" s="1"/>
  <c r="S1202" i="3"/>
  <c r="T1202" i="3" s="1"/>
  <c r="S1254" i="3"/>
  <c r="T1254" i="3" s="1"/>
  <c r="S1266" i="3"/>
  <c r="T1266" i="3" s="1"/>
  <c r="S1282" i="3"/>
  <c r="T1282" i="3" s="1"/>
  <c r="S1412" i="3"/>
  <c r="T1412" i="3" s="1"/>
  <c r="S1427" i="3"/>
  <c r="T1427" i="3" s="1"/>
  <c r="S1439" i="3"/>
  <c r="T1439" i="3" s="1"/>
  <c r="U1439" i="3" s="1"/>
  <c r="S1457" i="3"/>
  <c r="T1457" i="3" s="1"/>
  <c r="S1462" i="3"/>
  <c r="T1462" i="3" s="1"/>
  <c r="S1477" i="3"/>
  <c r="T1477" i="3" s="1"/>
  <c r="U1477" i="3" s="1"/>
  <c r="S1500" i="3"/>
  <c r="T1500" i="3" s="1"/>
  <c r="S1518" i="3"/>
  <c r="T1518" i="3" s="1"/>
  <c r="S1520" i="3"/>
  <c r="T1520" i="3" s="1"/>
  <c r="S1531" i="3"/>
  <c r="T1531" i="3" s="1"/>
  <c r="U1531" i="3" s="1"/>
  <c r="S1550" i="3"/>
  <c r="T1550" i="3" s="1"/>
  <c r="S1560" i="3"/>
  <c r="T1560" i="3" s="1"/>
  <c r="S1635" i="3"/>
  <c r="T1635" i="3" s="1"/>
  <c r="S1681" i="3"/>
  <c r="T1681" i="3" s="1"/>
  <c r="S1695" i="3"/>
  <c r="T1695" i="3" s="1"/>
  <c r="U1695" i="3" s="1"/>
  <c r="S1730" i="3"/>
  <c r="T1730" i="3" s="1"/>
  <c r="U1730" i="3" s="1"/>
  <c r="S1772" i="3"/>
  <c r="T1772" i="3" s="1"/>
  <c r="S1802" i="3"/>
  <c r="T1802" i="3" s="1"/>
  <c r="U1802" i="3" s="1"/>
  <c r="S1807" i="3"/>
  <c r="T1807" i="3" s="1"/>
  <c r="S1821" i="3"/>
  <c r="T1821" i="3" s="1"/>
  <c r="S1851" i="3"/>
  <c r="T1851" i="3" s="1"/>
  <c r="U1851" i="3" s="1"/>
  <c r="S1856" i="3"/>
  <c r="T1856" i="3" s="1"/>
  <c r="S1857" i="3"/>
  <c r="T1857" i="3" s="1"/>
  <c r="U1857" i="3" s="1"/>
  <c r="S1872" i="3"/>
  <c r="T1872" i="3" s="1"/>
  <c r="S1876" i="3"/>
  <c r="T1876" i="3" s="1"/>
  <c r="U1876" i="3" s="1"/>
  <c r="S1899" i="3"/>
  <c r="T1899" i="3" s="1"/>
  <c r="S1924" i="3"/>
  <c r="T1924" i="3" s="1"/>
  <c r="S1953" i="3"/>
  <c r="T1953" i="3" s="1"/>
  <c r="S1995" i="3"/>
  <c r="T1995" i="3" s="1"/>
  <c r="S2004" i="3"/>
  <c r="T2004" i="3" s="1"/>
  <c r="S2039" i="3"/>
  <c r="T2039" i="3" s="1"/>
  <c r="S2062" i="3"/>
  <c r="T2062" i="3" s="1"/>
  <c r="S2066" i="3"/>
  <c r="T2066" i="3" s="1"/>
  <c r="U2066" i="3" s="1"/>
  <c r="S2088" i="3"/>
  <c r="T2088" i="3" s="1"/>
  <c r="S2115" i="3"/>
  <c r="T2115" i="3" s="1"/>
  <c r="U2115" i="3" s="1"/>
  <c r="S2130" i="3"/>
  <c r="T2130" i="3" s="1"/>
  <c r="U2130" i="3" s="1"/>
  <c r="S2190" i="3"/>
  <c r="T2190" i="3" s="1"/>
  <c r="S2199" i="3"/>
  <c r="T2199" i="3" s="1"/>
  <c r="S2235" i="3"/>
  <c r="T2235" i="3" s="1"/>
  <c r="S2241" i="3"/>
  <c r="T2241" i="3" s="1"/>
  <c r="S2253" i="3"/>
  <c r="T2253" i="3" s="1"/>
  <c r="S2322" i="3"/>
  <c r="T2322" i="3" s="1"/>
  <c r="S2327" i="3"/>
  <c r="T2327" i="3" s="1"/>
  <c r="S2334" i="3"/>
  <c r="T2334" i="3" s="1"/>
  <c r="S2337" i="3"/>
  <c r="T2337" i="3" s="1"/>
  <c r="S2348" i="3"/>
  <c r="T2348" i="3" s="1"/>
  <c r="S2374" i="3"/>
  <c r="T2374" i="3" s="1"/>
  <c r="S2402" i="3"/>
  <c r="T2402" i="3" s="1"/>
  <c r="S2456" i="3"/>
  <c r="T2456" i="3" s="1"/>
  <c r="S2557" i="3"/>
  <c r="T2557" i="3" s="1"/>
  <c r="S2570" i="3"/>
  <c r="T2570" i="3" s="1"/>
  <c r="S2599" i="3"/>
  <c r="T2599" i="3" s="1"/>
  <c r="S2706" i="3"/>
  <c r="T2706" i="3" s="1"/>
  <c r="S2714" i="3"/>
  <c r="T2714" i="3" s="1"/>
  <c r="S2833" i="3"/>
  <c r="T2833" i="3" s="1"/>
  <c r="S2845" i="3"/>
  <c r="T2845" i="3" s="1"/>
  <c r="S2852" i="3"/>
  <c r="T2852" i="3" s="1"/>
  <c r="S2944" i="3"/>
  <c r="T2944" i="3" s="1"/>
  <c r="S3001" i="3"/>
  <c r="T3001" i="3" s="1"/>
  <c r="S3030" i="3"/>
  <c r="T3030" i="3" s="1"/>
  <c r="S3046" i="3"/>
  <c r="T3046" i="3" s="1"/>
  <c r="S3053" i="3"/>
  <c r="T3053" i="3" s="1"/>
  <c r="S3098" i="3"/>
  <c r="T3098" i="3" s="1"/>
  <c r="S3194" i="3"/>
  <c r="T3194" i="3" s="1"/>
  <c r="S3205" i="3"/>
  <c r="T3205" i="3" s="1"/>
  <c r="S3206" i="3"/>
  <c r="T3206" i="3" s="1"/>
  <c r="S3253" i="3"/>
  <c r="T3253" i="3" s="1"/>
  <c r="S3264" i="3"/>
  <c r="T3264" i="3" s="1"/>
  <c r="S3291" i="3"/>
  <c r="T3291" i="3" s="1"/>
  <c r="S3316" i="3"/>
  <c r="T3316" i="3" s="1"/>
  <c r="S3328" i="3"/>
  <c r="T3328" i="3" s="1"/>
  <c r="S3334" i="3"/>
  <c r="T3334" i="3" s="1"/>
  <c r="S3343" i="3"/>
  <c r="T3343" i="3" s="1"/>
  <c r="S3373" i="3"/>
  <c r="T3373" i="3" s="1"/>
  <c r="S3396" i="3"/>
  <c r="T3396" i="3" s="1"/>
  <c r="S3418" i="3"/>
  <c r="T3418" i="3" s="1"/>
  <c r="S3458" i="3"/>
  <c r="T3458" i="3" s="1"/>
  <c r="S3483" i="3"/>
  <c r="T3483" i="3" s="1"/>
  <c r="S3496" i="3"/>
  <c r="T3496" i="3" s="1"/>
  <c r="S3515" i="3"/>
  <c r="T3515" i="3" s="1"/>
  <c r="S3540" i="3"/>
  <c r="T3540" i="3" s="1"/>
  <c r="S3690" i="3"/>
  <c r="T3690" i="3" s="1"/>
  <c r="S3705" i="3"/>
  <c r="T3705" i="3" s="1"/>
  <c r="S3707" i="3"/>
  <c r="T3707" i="3" s="1"/>
  <c r="S3734" i="3"/>
  <c r="T3734" i="3" s="1"/>
  <c r="S3743" i="3"/>
  <c r="T3743" i="3" s="1"/>
  <c r="S3771" i="3"/>
  <c r="T3771" i="3" s="1"/>
  <c r="S3777" i="3"/>
  <c r="T3777" i="3" s="1"/>
  <c r="S3844" i="3"/>
  <c r="T3844" i="3" s="1"/>
  <c r="S3875" i="3"/>
  <c r="T3875" i="3" s="1"/>
  <c r="S3891" i="3"/>
  <c r="T3891" i="3" s="1"/>
  <c r="S3945" i="3"/>
  <c r="T3945" i="3" s="1"/>
  <c r="S3974" i="3"/>
  <c r="T3974" i="3" s="1"/>
  <c r="S4020" i="3"/>
  <c r="T4020" i="3" s="1"/>
  <c r="S4036" i="3"/>
  <c r="T4036" i="3" s="1"/>
  <c r="S4078" i="3"/>
  <c r="T4078" i="3" s="1"/>
  <c r="S4110" i="3"/>
  <c r="T4110" i="3" s="1"/>
  <c r="S4155" i="3"/>
  <c r="T4155" i="3" s="1"/>
  <c r="S4174" i="3"/>
  <c r="T4174" i="3" s="1"/>
  <c r="S4240" i="3"/>
  <c r="T4240" i="3" s="1"/>
  <c r="S4256" i="3"/>
  <c r="T4256" i="3" s="1"/>
  <c r="S4257" i="3"/>
  <c r="T4257" i="3" s="1"/>
  <c r="S4267" i="3"/>
  <c r="T4267" i="3" s="1"/>
  <c r="S4285" i="3"/>
  <c r="T4285" i="3" s="1"/>
  <c r="S4296" i="3"/>
  <c r="T4296" i="3" s="1"/>
  <c r="S4349" i="3"/>
  <c r="T4349" i="3" s="1"/>
  <c r="S4368" i="3"/>
  <c r="T4368" i="3" s="1"/>
  <c r="S4373" i="3"/>
  <c r="T4373" i="3" s="1"/>
  <c r="S4382" i="3"/>
  <c r="T4382" i="3" s="1"/>
  <c r="S4394" i="3"/>
  <c r="T4394" i="3" s="1"/>
  <c r="S4491" i="3"/>
  <c r="T4491" i="3" s="1"/>
  <c r="S4519" i="3"/>
  <c r="T4519" i="3" s="1"/>
  <c r="S4522" i="3"/>
  <c r="T4522" i="3" s="1"/>
  <c r="S4550" i="3"/>
  <c r="T4550" i="3" s="1"/>
  <c r="S4575" i="3"/>
  <c r="T4575" i="3" s="1"/>
  <c r="S4581" i="3"/>
  <c r="T4581" i="3" s="1"/>
  <c r="S4676" i="3"/>
  <c r="T4676" i="3" s="1"/>
  <c r="S4694" i="3"/>
  <c r="T4694" i="3" s="1"/>
  <c r="S4734" i="3"/>
  <c r="T4734" i="3" s="1"/>
  <c r="S4816" i="3"/>
  <c r="T4816" i="3" s="1"/>
  <c r="S4821" i="3"/>
  <c r="T4821" i="3" s="1"/>
  <c r="S4823" i="3"/>
  <c r="T4823" i="3" s="1"/>
  <c r="S28" i="3"/>
  <c r="T28" i="3" s="1"/>
  <c r="U28" i="3" s="1"/>
  <c r="S46" i="3"/>
  <c r="T46" i="3" s="1"/>
  <c r="U46" i="3" s="1"/>
  <c r="S71" i="3"/>
  <c r="T71" i="3" s="1"/>
  <c r="U71" i="3" s="1"/>
  <c r="S80" i="3"/>
  <c r="T80" i="3" s="1"/>
  <c r="U80" i="3" s="1"/>
  <c r="S150" i="3"/>
  <c r="T150" i="3" s="1"/>
  <c r="U150" i="3" s="1"/>
  <c r="S194" i="3"/>
  <c r="T194" i="3" s="1"/>
  <c r="U194" i="3" s="1"/>
  <c r="S199" i="3"/>
  <c r="T199" i="3" s="1"/>
  <c r="U199" i="3" s="1"/>
  <c r="S245" i="3"/>
  <c r="T245" i="3" s="1"/>
  <c r="U245" i="3" s="1"/>
  <c r="S253" i="3"/>
  <c r="T253" i="3" s="1"/>
  <c r="U253" i="3" s="1"/>
  <c r="S256" i="3"/>
  <c r="T256" i="3" s="1"/>
  <c r="U256" i="3" s="1"/>
  <c r="S276" i="3"/>
  <c r="T276" i="3" s="1"/>
  <c r="U276" i="3" s="1"/>
  <c r="S313" i="3"/>
  <c r="T313" i="3" s="1"/>
  <c r="U313" i="3" s="1"/>
  <c r="S339" i="3"/>
  <c r="T339" i="3" s="1"/>
  <c r="S355" i="3"/>
  <c r="T355" i="3" s="1"/>
  <c r="U355" i="3" s="1"/>
  <c r="S372" i="3"/>
  <c r="T372" i="3" s="1"/>
  <c r="U372" i="3" s="1"/>
  <c r="S376" i="3"/>
  <c r="T376" i="3" s="1"/>
  <c r="S446" i="3"/>
  <c r="T446" i="3" s="1"/>
  <c r="S452" i="3"/>
  <c r="T452" i="3" s="1"/>
  <c r="S504" i="3"/>
  <c r="T504" i="3" s="1"/>
  <c r="S539" i="3"/>
  <c r="T539" i="3" s="1"/>
  <c r="S545" i="3"/>
  <c r="T545" i="3" s="1"/>
  <c r="S561" i="3"/>
  <c r="T561" i="3" s="1"/>
  <c r="S592" i="3"/>
  <c r="T592" i="3" s="1"/>
  <c r="S602" i="3"/>
  <c r="T602" i="3" s="1"/>
  <c r="U602" i="3" s="1"/>
  <c r="S623" i="3"/>
  <c r="T623" i="3" s="1"/>
  <c r="U623" i="3" s="1"/>
  <c r="S684" i="3"/>
  <c r="T684" i="3" s="1"/>
  <c r="S704" i="3"/>
  <c r="T704" i="3" s="1"/>
  <c r="S713" i="3"/>
  <c r="T713" i="3" s="1"/>
  <c r="S723" i="3"/>
  <c r="T723" i="3" s="1"/>
  <c r="U723" i="3" s="1"/>
  <c r="S790" i="3"/>
  <c r="T790" i="3" s="1"/>
  <c r="S815" i="3"/>
  <c r="T815" i="3" s="1"/>
  <c r="S850" i="3"/>
  <c r="T850" i="3" s="1"/>
  <c r="S861" i="3"/>
  <c r="T861" i="3" s="1"/>
  <c r="S939" i="3"/>
  <c r="T939" i="3" s="1"/>
  <c r="U939" i="3" s="1"/>
  <c r="S987" i="3"/>
  <c r="T987" i="3" s="1"/>
  <c r="S1000" i="3"/>
  <c r="T1000" i="3" s="1"/>
  <c r="S1051" i="3"/>
  <c r="T1051" i="3" s="1"/>
  <c r="S1097" i="3"/>
  <c r="T1097" i="3" s="1"/>
  <c r="S1106" i="3"/>
  <c r="T1106" i="3" s="1"/>
  <c r="S1112" i="3"/>
  <c r="T1112" i="3" s="1"/>
  <c r="U1112" i="3" s="1"/>
  <c r="S1178" i="3"/>
  <c r="T1178" i="3" s="1"/>
  <c r="S1267" i="3"/>
  <c r="T1267" i="3" s="1"/>
  <c r="U1267" i="3" s="1"/>
  <c r="S1279" i="3"/>
  <c r="T1279" i="3" s="1"/>
  <c r="S1359" i="3"/>
  <c r="T1359" i="3" s="1"/>
  <c r="S1375" i="3"/>
  <c r="T1375" i="3" s="1"/>
  <c r="S1393" i="3"/>
  <c r="T1393" i="3" s="1"/>
  <c r="S1394" i="3"/>
  <c r="T1394" i="3" s="1"/>
  <c r="U1394" i="3" s="1"/>
  <c r="S1453" i="3"/>
  <c r="T1453" i="3" s="1"/>
  <c r="S1454" i="3"/>
  <c r="T1454" i="3" s="1"/>
  <c r="S1513" i="3"/>
  <c r="T1513" i="3" s="1"/>
  <c r="U1513" i="3" s="1"/>
  <c r="S1535" i="3"/>
  <c r="T1535" i="3" s="1"/>
  <c r="S1557" i="3"/>
  <c r="T1557" i="3" s="1"/>
  <c r="S1564" i="3"/>
  <c r="T1564" i="3" s="1"/>
  <c r="U1564" i="3" s="1"/>
  <c r="S1571" i="3"/>
  <c r="T1571" i="3" s="1"/>
  <c r="S1577" i="3"/>
  <c r="T1577" i="3" s="1"/>
  <c r="S1599" i="3"/>
  <c r="T1599" i="3" s="1"/>
  <c r="S1691" i="3"/>
  <c r="T1691" i="3" s="1"/>
  <c r="S1698" i="3"/>
  <c r="T1698" i="3" s="1"/>
  <c r="U1698" i="3" s="1"/>
  <c r="S1738" i="3"/>
  <c r="T1738" i="3" s="1"/>
  <c r="S1740" i="3"/>
  <c r="T1740" i="3" s="1"/>
  <c r="U1740" i="3" s="1"/>
  <c r="S1845" i="3"/>
  <c r="T1845" i="3" s="1"/>
  <c r="U1845" i="3" s="1"/>
  <c r="S1925" i="3"/>
  <c r="T1925" i="3" s="1"/>
  <c r="S1936" i="3"/>
  <c r="T1936" i="3" s="1"/>
  <c r="S1967" i="3"/>
  <c r="T1967" i="3" s="1"/>
  <c r="U1967" i="3" s="1"/>
  <c r="S2013" i="3"/>
  <c r="T2013" i="3" s="1"/>
  <c r="S2030" i="3"/>
  <c r="T2030" i="3" s="1"/>
  <c r="S2040" i="3"/>
  <c r="T2040" i="3" s="1"/>
  <c r="U2040" i="3" s="1"/>
  <c r="S2044" i="3"/>
  <c r="T2044" i="3" s="1"/>
  <c r="S2064" i="3"/>
  <c r="T2064" i="3" s="1"/>
  <c r="U2064" i="3" s="1"/>
  <c r="S2082" i="3"/>
  <c r="T2082" i="3" s="1"/>
  <c r="S2093" i="3"/>
  <c r="T2093" i="3" s="1"/>
  <c r="S2126" i="3"/>
  <c r="T2126" i="3" s="1"/>
  <c r="S2136" i="3"/>
  <c r="T2136" i="3" s="1"/>
  <c r="U2136" i="3" s="1"/>
  <c r="S2144" i="3"/>
  <c r="T2144" i="3" s="1"/>
  <c r="U2144" i="3" s="1"/>
  <c r="S2149" i="3"/>
  <c r="T2149" i="3" s="1"/>
  <c r="S2194" i="3"/>
  <c r="T2194" i="3" s="1"/>
  <c r="U2194" i="3" s="1"/>
  <c r="S2266" i="3"/>
  <c r="T2266" i="3" s="1"/>
  <c r="S2273" i="3"/>
  <c r="T2273" i="3" s="1"/>
  <c r="S2319" i="3"/>
  <c r="T2319" i="3" s="1"/>
  <c r="S2346" i="3"/>
  <c r="T2346" i="3" s="1"/>
  <c r="U2346" i="3" s="1"/>
  <c r="S2356" i="3"/>
  <c r="T2356" i="3" s="1"/>
  <c r="S2376" i="3"/>
  <c r="T2376" i="3" s="1"/>
  <c r="S2380" i="3"/>
  <c r="T2380" i="3" s="1"/>
  <c r="S2470" i="3"/>
  <c r="T2470" i="3" s="1"/>
  <c r="S2525" i="3"/>
  <c r="T2525" i="3" s="1"/>
  <c r="S2532" i="3"/>
  <c r="T2532" i="3" s="1"/>
  <c r="S2674" i="3"/>
  <c r="T2674" i="3" s="1"/>
  <c r="S2677" i="3"/>
  <c r="T2677" i="3" s="1"/>
  <c r="S2703" i="3"/>
  <c r="T2703" i="3" s="1"/>
  <c r="S2742" i="3"/>
  <c r="T2742" i="3" s="1"/>
  <c r="S2757" i="3"/>
  <c r="T2757" i="3" s="1"/>
  <c r="S2767" i="3"/>
  <c r="T2767" i="3" s="1"/>
  <c r="S2768" i="3"/>
  <c r="T2768" i="3" s="1"/>
  <c r="S2870" i="3"/>
  <c r="T2870" i="3" s="1"/>
  <c r="S2883" i="3"/>
  <c r="T2883" i="3" s="1"/>
  <c r="S2903" i="3"/>
  <c r="T2903" i="3" s="1"/>
  <c r="S2926" i="3"/>
  <c r="T2926" i="3" s="1"/>
  <c r="S2934" i="3"/>
  <c r="T2934" i="3" s="1"/>
  <c r="S3092" i="3"/>
  <c r="T3092" i="3" s="1"/>
  <c r="S3137" i="3"/>
  <c r="T3137" i="3" s="1"/>
  <c r="S3165" i="3"/>
  <c r="T3165" i="3" s="1"/>
  <c r="S3183" i="3"/>
  <c r="T3183" i="3" s="1"/>
  <c r="S3202" i="3"/>
  <c r="T3202" i="3" s="1"/>
  <c r="S3221" i="3"/>
  <c r="T3221" i="3" s="1"/>
  <c r="S3250" i="3"/>
  <c r="T3250" i="3" s="1"/>
  <c r="S3298" i="3"/>
  <c r="T3298" i="3" s="1"/>
  <c r="S3312" i="3"/>
  <c r="T3312" i="3" s="1"/>
  <c r="S3330" i="3"/>
  <c r="T3330" i="3" s="1"/>
  <c r="S3369" i="3"/>
  <c r="T3369" i="3" s="1"/>
  <c r="S3412" i="3"/>
  <c r="T3412" i="3" s="1"/>
  <c r="S3430" i="3"/>
  <c r="T3430" i="3" s="1"/>
  <c r="S3476" i="3"/>
  <c r="T3476" i="3" s="1"/>
  <c r="S3477" i="3"/>
  <c r="T3477" i="3" s="1"/>
  <c r="S3492" i="3"/>
  <c r="T3492" i="3" s="1"/>
  <c r="S3538" i="3"/>
  <c r="T3538" i="3" s="1"/>
  <c r="S3574" i="3"/>
  <c r="T3574" i="3" s="1"/>
  <c r="S3606" i="3"/>
  <c r="T3606" i="3" s="1"/>
  <c r="S3607" i="3"/>
  <c r="T3607" i="3" s="1"/>
  <c r="S3611" i="3"/>
  <c r="T3611" i="3" s="1"/>
  <c r="S3640" i="3"/>
  <c r="T3640" i="3" s="1"/>
  <c r="S3686" i="3"/>
  <c r="T3686" i="3" s="1"/>
  <c r="S3708" i="3"/>
  <c r="T3708" i="3" s="1"/>
  <c r="S3752" i="3"/>
  <c r="T3752" i="3" s="1"/>
  <c r="S3753" i="3"/>
  <c r="T3753" i="3" s="1"/>
  <c r="S3767" i="3"/>
  <c r="T3767" i="3" s="1"/>
  <c r="S3781" i="3"/>
  <c r="T3781" i="3" s="1"/>
  <c r="S3785" i="3"/>
  <c r="T3785" i="3" s="1"/>
  <c r="S3786" i="3"/>
  <c r="T3786" i="3" s="1"/>
  <c r="S3888" i="3"/>
  <c r="T3888" i="3" s="1"/>
  <c r="S3984" i="3"/>
  <c r="T3984" i="3" s="1"/>
  <c r="S4031" i="3"/>
  <c r="T4031" i="3" s="1"/>
  <c r="S4093" i="3"/>
  <c r="T4093" i="3" s="1"/>
  <c r="S4123" i="3"/>
  <c r="T4123" i="3" s="1"/>
  <c r="S4131" i="3"/>
  <c r="T4131" i="3" s="1"/>
  <c r="S4186" i="3"/>
  <c r="T4186" i="3" s="1"/>
  <c r="S4212" i="3"/>
  <c r="T4212" i="3" s="1"/>
  <c r="S4233" i="3"/>
  <c r="T4233" i="3" s="1"/>
  <c r="S4243" i="3"/>
  <c r="T4243" i="3" s="1"/>
  <c r="S4268" i="3"/>
  <c r="T4268" i="3" s="1"/>
  <c r="S4275" i="3"/>
  <c r="T4275" i="3" s="1"/>
  <c r="S4279" i="3"/>
  <c r="T4279" i="3" s="1"/>
  <c r="S4316" i="3"/>
  <c r="T4316" i="3" s="1"/>
  <c r="S4328" i="3"/>
  <c r="T4328" i="3" s="1"/>
  <c r="S4332" i="3"/>
  <c r="T4332" i="3" s="1"/>
  <c r="S4337" i="3"/>
  <c r="T4337" i="3" s="1"/>
  <c r="S4347" i="3"/>
  <c r="T4347" i="3" s="1"/>
  <c r="S4348" i="3"/>
  <c r="T4348" i="3" s="1"/>
  <c r="S4355" i="3"/>
  <c r="T4355" i="3" s="1"/>
  <c r="S4358" i="3"/>
  <c r="T4358" i="3" s="1"/>
  <c r="S4387" i="3"/>
  <c r="T4387" i="3" s="1"/>
  <c r="S4414" i="3"/>
  <c r="T4414" i="3" s="1"/>
  <c r="S4434" i="3"/>
  <c r="T4434" i="3" s="1"/>
  <c r="S4456" i="3"/>
  <c r="T4456" i="3" s="1"/>
  <c r="S4459" i="3"/>
  <c r="T4459" i="3" s="1"/>
  <c r="S4502" i="3"/>
  <c r="T4502" i="3" s="1"/>
  <c r="S4524" i="3"/>
  <c r="T4524" i="3" s="1"/>
  <c r="S4548" i="3"/>
  <c r="T4548" i="3" s="1"/>
  <c r="S4551" i="3"/>
  <c r="T4551" i="3" s="1"/>
  <c r="S4614" i="3"/>
  <c r="T4614" i="3" s="1"/>
  <c r="S4623" i="3"/>
  <c r="T4623" i="3" s="1"/>
  <c r="S4674" i="3"/>
  <c r="T4674" i="3" s="1"/>
  <c r="S4723" i="3"/>
  <c r="T4723" i="3" s="1"/>
  <c r="S4755" i="3"/>
  <c r="T4755" i="3" s="1"/>
  <c r="S4770" i="3"/>
  <c r="T4770" i="3" s="1"/>
  <c r="S4785" i="3"/>
  <c r="T4785" i="3" s="1"/>
  <c r="S39" i="3"/>
  <c r="T39" i="3" s="1"/>
  <c r="U39" i="3" s="1"/>
  <c r="S54" i="3"/>
  <c r="T54" i="3" s="1"/>
  <c r="U54" i="3" s="1"/>
  <c r="S59" i="3"/>
  <c r="T59" i="3" s="1"/>
  <c r="U59" i="3" s="1"/>
  <c r="S60" i="3"/>
  <c r="T60" i="3" s="1"/>
  <c r="U60" i="3" s="1"/>
  <c r="S63" i="3"/>
  <c r="T63" i="3" s="1"/>
  <c r="U63" i="3" s="1"/>
  <c r="S72" i="3"/>
  <c r="T72" i="3" s="1"/>
  <c r="U72" i="3" s="1"/>
  <c r="S83" i="3"/>
  <c r="T83" i="3" s="1"/>
  <c r="U83" i="3" s="1"/>
  <c r="S99" i="3"/>
  <c r="T99" i="3" s="1"/>
  <c r="U99" i="3" s="1"/>
  <c r="S106" i="3"/>
  <c r="T106" i="3" s="1"/>
  <c r="U106" i="3" s="1"/>
  <c r="S114" i="3"/>
  <c r="T114" i="3" s="1"/>
  <c r="U114" i="3" s="1"/>
  <c r="S163" i="3"/>
  <c r="T163" i="3" s="1"/>
  <c r="U163" i="3" s="1"/>
  <c r="S218" i="3"/>
  <c r="T218" i="3" s="1"/>
  <c r="U218" i="3" s="1"/>
  <c r="S234" i="3"/>
  <c r="T234" i="3" s="1"/>
  <c r="U234" i="3" s="1"/>
  <c r="S258" i="3"/>
  <c r="T258" i="3" s="1"/>
  <c r="U258" i="3" s="1"/>
  <c r="S266" i="3"/>
  <c r="T266" i="3" s="1"/>
  <c r="U266" i="3" s="1"/>
  <c r="S269" i="3"/>
  <c r="T269" i="3" s="1"/>
  <c r="U269" i="3" s="1"/>
  <c r="S270" i="3"/>
  <c r="T270" i="3" s="1"/>
  <c r="U270" i="3" s="1"/>
  <c r="S317" i="3"/>
  <c r="T317" i="3" s="1"/>
  <c r="U317" i="3" s="1"/>
  <c r="S348" i="3"/>
  <c r="T348" i="3" s="1"/>
  <c r="S365" i="3"/>
  <c r="T365" i="3" s="1"/>
  <c r="S369" i="3"/>
  <c r="T369" i="3" s="1"/>
  <c r="U369" i="3" s="1"/>
  <c r="S378" i="3"/>
  <c r="T378" i="3" s="1"/>
  <c r="S379" i="3"/>
  <c r="T379" i="3" s="1"/>
  <c r="S416" i="3"/>
  <c r="T416" i="3" s="1"/>
  <c r="S422" i="3"/>
  <c r="T422" i="3" s="1"/>
  <c r="U422" i="3" s="1"/>
  <c r="S427" i="3"/>
  <c r="T427" i="3" s="1"/>
  <c r="S434" i="3"/>
  <c r="T434" i="3" s="1"/>
  <c r="S523" i="3"/>
  <c r="T523" i="3" s="1"/>
  <c r="S546" i="3"/>
  <c r="T546" i="3" s="1"/>
  <c r="S595" i="3"/>
  <c r="T595" i="3" s="1"/>
  <c r="S641" i="3"/>
  <c r="T641" i="3" s="1"/>
  <c r="S651" i="3"/>
  <c r="T651" i="3" s="1"/>
  <c r="S670" i="3"/>
  <c r="T670" i="3" s="1"/>
  <c r="U670" i="3" s="1"/>
  <c r="S680" i="3"/>
  <c r="T680" i="3" s="1"/>
  <c r="S699" i="3"/>
  <c r="T699" i="3" s="1"/>
  <c r="S710" i="3"/>
  <c r="T710" i="3" s="1"/>
  <c r="S716" i="3"/>
  <c r="T716" i="3" s="1"/>
  <c r="S774" i="3"/>
  <c r="T774" i="3" s="1"/>
  <c r="S808" i="3"/>
  <c r="T808" i="3" s="1"/>
  <c r="U808" i="3" s="1"/>
  <c r="S809" i="3"/>
  <c r="T809" i="3" s="1"/>
  <c r="S820" i="3"/>
  <c r="T820" i="3" s="1"/>
  <c r="U820" i="3" s="1"/>
  <c r="S831" i="3"/>
  <c r="T831" i="3" s="1"/>
  <c r="S835" i="3"/>
  <c r="T835" i="3" s="1"/>
  <c r="S961" i="3"/>
  <c r="T961" i="3" s="1"/>
  <c r="S997" i="3"/>
  <c r="T997" i="3" s="1"/>
  <c r="S1032" i="3"/>
  <c r="T1032" i="3" s="1"/>
  <c r="U1032" i="3" s="1"/>
  <c r="S1047" i="3"/>
  <c r="T1047" i="3" s="1"/>
  <c r="S1065" i="3"/>
  <c r="T1065" i="3" s="1"/>
  <c r="U1065" i="3" s="1"/>
  <c r="S1161" i="3"/>
  <c r="T1161" i="3" s="1"/>
  <c r="U1161" i="3" s="1"/>
  <c r="S1182" i="3"/>
  <c r="T1182" i="3" s="1"/>
  <c r="U1182" i="3" s="1"/>
  <c r="S1278" i="3"/>
  <c r="T1278" i="3" s="1"/>
  <c r="U1278" i="3" s="1"/>
  <c r="S1356" i="3"/>
  <c r="T1356" i="3" s="1"/>
  <c r="U1356" i="3" s="1"/>
  <c r="S1380" i="3"/>
  <c r="T1380" i="3" s="1"/>
  <c r="S1430" i="3"/>
  <c r="T1430" i="3" s="1"/>
  <c r="U1430" i="3" s="1"/>
  <c r="S1536" i="3"/>
  <c r="T1536" i="3" s="1"/>
  <c r="S1581" i="3"/>
  <c r="T1581" i="3" s="1"/>
  <c r="S1608" i="3"/>
  <c r="T1608" i="3" s="1"/>
  <c r="U1608" i="3" s="1"/>
  <c r="S1627" i="3"/>
  <c r="T1627" i="3" s="1"/>
  <c r="S1690" i="3"/>
  <c r="T1690" i="3" s="1"/>
  <c r="S1703" i="3"/>
  <c r="T1703" i="3" s="1"/>
  <c r="S1704" i="3"/>
  <c r="T1704" i="3" s="1"/>
  <c r="U1704" i="3" s="1"/>
  <c r="S1735" i="3"/>
  <c r="T1735" i="3" s="1"/>
  <c r="S1788" i="3"/>
  <c r="T1788" i="3" s="1"/>
  <c r="S1789" i="3"/>
  <c r="T1789" i="3" s="1"/>
  <c r="S1792" i="3"/>
  <c r="T1792" i="3" s="1"/>
  <c r="S1804" i="3"/>
  <c r="T1804" i="3" s="1"/>
  <c r="S1850" i="3"/>
  <c r="T1850" i="3" s="1"/>
  <c r="S1860" i="3"/>
  <c r="T1860" i="3" s="1"/>
  <c r="S1901" i="3"/>
  <c r="T1901" i="3" s="1"/>
  <c r="U1901" i="3" s="1"/>
  <c r="S1932" i="3"/>
  <c r="T1932" i="3" s="1"/>
  <c r="S1949" i="3"/>
  <c r="T1949" i="3" s="1"/>
  <c r="S1964" i="3"/>
  <c r="T1964" i="3" s="1"/>
  <c r="U1964" i="3" s="1"/>
  <c r="S1981" i="3"/>
  <c r="T1981" i="3" s="1"/>
  <c r="U1981" i="3" s="1"/>
  <c r="S2005" i="3"/>
  <c r="T2005" i="3" s="1"/>
  <c r="S2014" i="3"/>
  <c r="T2014" i="3" s="1"/>
  <c r="S2021" i="3"/>
  <c r="T2021" i="3" s="1"/>
  <c r="U2021" i="3" s="1"/>
  <c r="S2059" i="3"/>
  <c r="T2059" i="3" s="1"/>
  <c r="S2076" i="3"/>
  <c r="T2076" i="3" s="1"/>
  <c r="U2076" i="3" s="1"/>
  <c r="S2079" i="3"/>
  <c r="T2079" i="3" s="1"/>
  <c r="U2079" i="3" s="1"/>
  <c r="S2084" i="3"/>
  <c r="T2084" i="3" s="1"/>
  <c r="U2084" i="3" s="1"/>
  <c r="S2086" i="3"/>
  <c r="T2086" i="3" s="1"/>
  <c r="S2143" i="3"/>
  <c r="T2143" i="3" s="1"/>
  <c r="S2214" i="3"/>
  <c r="T2214" i="3" s="1"/>
  <c r="S2243" i="3"/>
  <c r="T2243" i="3" s="1"/>
  <c r="U2243" i="3" s="1"/>
  <c r="S2272" i="3"/>
  <c r="T2272" i="3" s="1"/>
  <c r="U2272" i="3" s="1"/>
  <c r="S2277" i="3"/>
  <c r="T2277" i="3" s="1"/>
  <c r="S2286" i="3"/>
  <c r="T2286" i="3" s="1"/>
  <c r="S2342" i="3"/>
  <c r="T2342" i="3" s="1"/>
  <c r="U2342" i="3" s="1"/>
  <c r="S2351" i="3"/>
  <c r="T2351" i="3" s="1"/>
  <c r="S2359" i="3"/>
  <c r="T2359" i="3" s="1"/>
  <c r="S2361" i="3"/>
  <c r="T2361" i="3" s="1"/>
  <c r="U2361" i="3" s="1"/>
  <c r="S2382" i="3"/>
  <c r="T2382" i="3" s="1"/>
  <c r="S2411" i="3"/>
  <c r="T2411" i="3" s="1"/>
  <c r="S2421" i="3"/>
  <c r="T2421" i="3" s="1"/>
  <c r="U2421" i="3" s="1"/>
  <c r="S2429" i="3"/>
  <c r="T2429" i="3" s="1"/>
  <c r="U2429" i="3" s="1"/>
  <c r="S2475" i="3"/>
  <c r="T2475" i="3" s="1"/>
  <c r="S2508" i="3"/>
  <c r="T2508" i="3" s="1"/>
  <c r="S2542" i="3"/>
  <c r="T2542" i="3" s="1"/>
  <c r="U2542" i="3" s="1"/>
  <c r="S2566" i="3"/>
  <c r="T2566" i="3" s="1"/>
  <c r="S2579" i="3"/>
  <c r="T2579" i="3" s="1"/>
  <c r="S2601" i="3"/>
  <c r="T2601" i="3" s="1"/>
  <c r="S2627" i="3"/>
  <c r="T2627" i="3" s="1"/>
  <c r="S2632" i="3"/>
  <c r="T2632" i="3" s="1"/>
  <c r="S2639" i="3"/>
  <c r="T2639" i="3" s="1"/>
  <c r="S2746" i="3"/>
  <c r="T2746" i="3" s="1"/>
  <c r="S2924" i="3"/>
  <c r="T2924" i="3" s="1"/>
  <c r="S2925" i="3"/>
  <c r="T2925" i="3" s="1"/>
  <c r="S2929" i="3"/>
  <c r="T2929" i="3" s="1"/>
  <c r="S2957" i="3"/>
  <c r="T2957" i="3" s="1"/>
  <c r="S2958" i="3"/>
  <c r="T2958" i="3" s="1"/>
  <c r="S2966" i="3"/>
  <c r="T2966" i="3" s="1"/>
  <c r="S3010" i="3"/>
  <c r="T3010" i="3" s="1"/>
  <c r="S3052" i="3"/>
  <c r="T3052" i="3" s="1"/>
  <c r="S3088" i="3"/>
  <c r="T3088" i="3" s="1"/>
  <c r="S3143" i="3"/>
  <c r="T3143" i="3" s="1"/>
  <c r="S3146" i="3"/>
  <c r="T3146" i="3" s="1"/>
  <c r="S3148" i="3"/>
  <c r="T3148" i="3" s="1"/>
  <c r="S3151" i="3"/>
  <c r="T3151" i="3" s="1"/>
  <c r="S3152" i="3"/>
  <c r="T3152" i="3" s="1"/>
  <c r="S3153" i="3"/>
  <c r="T3153" i="3" s="1"/>
  <c r="S3176" i="3"/>
  <c r="T3176" i="3" s="1"/>
  <c r="S3216" i="3"/>
  <c r="T3216" i="3" s="1"/>
  <c r="S3230" i="3"/>
  <c r="T3230" i="3" s="1"/>
  <c r="S3279" i="3"/>
  <c r="T3279" i="3" s="1"/>
  <c r="S3302" i="3"/>
  <c r="T3302" i="3" s="1"/>
  <c r="S3352" i="3"/>
  <c r="T3352" i="3" s="1"/>
  <c r="S3454" i="3"/>
  <c r="T3454" i="3" s="1"/>
  <c r="S3486" i="3"/>
  <c r="T3486" i="3" s="1"/>
  <c r="S3488" i="3"/>
  <c r="T3488" i="3" s="1"/>
  <c r="S3495" i="3"/>
  <c r="T3495" i="3" s="1"/>
  <c r="S3509" i="3"/>
  <c r="T3509" i="3" s="1"/>
  <c r="S3537" i="3"/>
  <c r="T3537" i="3" s="1"/>
  <c r="S3594" i="3"/>
  <c r="T3594" i="3" s="1"/>
  <c r="S3626" i="3"/>
  <c r="T3626" i="3" s="1"/>
  <c r="S3772" i="3"/>
  <c r="T3772" i="3" s="1"/>
  <c r="S3782" i="3"/>
  <c r="T3782" i="3" s="1"/>
  <c r="S3805" i="3"/>
  <c r="T3805" i="3" s="1"/>
  <c r="S3818" i="3"/>
  <c r="T3818" i="3" s="1"/>
  <c r="S3886" i="3"/>
  <c r="T3886" i="3" s="1"/>
  <c r="S3898" i="3"/>
  <c r="T3898" i="3" s="1"/>
  <c r="S3960" i="3"/>
  <c r="T3960" i="3" s="1"/>
  <c r="S4009" i="3"/>
  <c r="T4009" i="3" s="1"/>
  <c r="S4024" i="3"/>
  <c r="T4024" i="3" s="1"/>
  <c r="S4068" i="3"/>
  <c r="T4068" i="3" s="1"/>
  <c r="S4069" i="3"/>
  <c r="T4069" i="3" s="1"/>
  <c r="S4073" i="3"/>
  <c r="T4073" i="3" s="1"/>
  <c r="S4079" i="3"/>
  <c r="T4079" i="3" s="1"/>
  <c r="S4081" i="3"/>
  <c r="T4081" i="3" s="1"/>
  <c r="S4094" i="3"/>
  <c r="T4094" i="3" s="1"/>
  <c r="S4115" i="3"/>
  <c r="T4115" i="3" s="1"/>
  <c r="S4122" i="3"/>
  <c r="T4122" i="3" s="1"/>
  <c r="S4156" i="3"/>
  <c r="T4156" i="3" s="1"/>
  <c r="S4218" i="3"/>
  <c r="T4218" i="3" s="1"/>
  <c r="S4261" i="3"/>
  <c r="T4261" i="3" s="1"/>
  <c r="S4269" i="3"/>
  <c r="T4269" i="3" s="1"/>
  <c r="S4270" i="3"/>
  <c r="T4270" i="3" s="1"/>
  <c r="S4280" i="3"/>
  <c r="T4280" i="3" s="1"/>
  <c r="S4288" i="3"/>
  <c r="T4288" i="3" s="1"/>
  <c r="S4341" i="3"/>
  <c r="T4341" i="3" s="1"/>
  <c r="S4441" i="3"/>
  <c r="T4441" i="3" s="1"/>
  <c r="S4543" i="3"/>
  <c r="T4543" i="3" s="1"/>
  <c r="S4555" i="3"/>
  <c r="T4555" i="3" s="1"/>
  <c r="S4577" i="3"/>
  <c r="T4577" i="3" s="1"/>
  <c r="S4604" i="3"/>
  <c r="T4604" i="3" s="1"/>
  <c r="S4754" i="3"/>
  <c r="T4754" i="3" s="1"/>
  <c r="S4788" i="3"/>
  <c r="T4788" i="3" s="1"/>
  <c r="S4799" i="3"/>
  <c r="T4799" i="3" s="1"/>
  <c r="S4803" i="3"/>
  <c r="T4803" i="3" s="1"/>
  <c r="S4828" i="3"/>
  <c r="T4828" i="3" s="1"/>
  <c r="S4829" i="3"/>
  <c r="T4829" i="3" s="1"/>
  <c r="S23" i="3"/>
  <c r="T23" i="3" s="1"/>
  <c r="U23" i="3" s="1"/>
  <c r="S130" i="3"/>
  <c r="T130" i="3" s="1"/>
  <c r="U130" i="3" s="1"/>
  <c r="S232" i="3"/>
  <c r="T232" i="3" s="1"/>
  <c r="U232" i="3" s="1"/>
  <c r="S249" i="3"/>
  <c r="T249" i="3" s="1"/>
  <c r="U249" i="3" s="1"/>
  <c r="S325" i="3"/>
  <c r="T325" i="3" s="1"/>
  <c r="S334" i="3"/>
  <c r="T334" i="3" s="1"/>
  <c r="U334" i="3" s="1"/>
  <c r="S362" i="3"/>
  <c r="T362" i="3" s="1"/>
  <c r="S385" i="3"/>
  <c r="T385" i="3" s="1"/>
  <c r="S552" i="3"/>
  <c r="T552" i="3" s="1"/>
  <c r="U552" i="3" s="1"/>
  <c r="S669" i="3"/>
  <c r="T669" i="3" s="1"/>
  <c r="S687" i="3"/>
  <c r="T687" i="3" s="1"/>
  <c r="S785" i="3"/>
  <c r="T785" i="3" s="1"/>
  <c r="S828" i="3"/>
  <c r="T828" i="3" s="1"/>
  <c r="U828" i="3" s="1"/>
  <c r="S845" i="3"/>
  <c r="T845" i="3" s="1"/>
  <c r="U845" i="3" s="1"/>
  <c r="S916" i="3"/>
  <c r="T916" i="3" s="1"/>
  <c r="U916" i="3" s="1"/>
  <c r="S949" i="3"/>
  <c r="T949" i="3" s="1"/>
  <c r="S959" i="3"/>
  <c r="T959" i="3" s="1"/>
  <c r="S984" i="3"/>
  <c r="T984" i="3" s="1"/>
  <c r="S1009" i="3"/>
  <c r="T1009" i="3" s="1"/>
  <c r="S1013" i="3"/>
  <c r="T1013" i="3" s="1"/>
  <c r="S1034" i="3"/>
  <c r="T1034" i="3" s="1"/>
  <c r="S1068" i="3"/>
  <c r="T1068" i="3" s="1"/>
  <c r="S1288" i="3"/>
  <c r="T1288" i="3" s="1"/>
  <c r="U1288" i="3" s="1"/>
  <c r="S1316" i="3"/>
  <c r="T1316" i="3" s="1"/>
  <c r="S1514" i="3"/>
  <c r="T1514" i="3" s="1"/>
  <c r="S1526" i="3"/>
  <c r="T1526" i="3" s="1"/>
  <c r="S1590" i="3"/>
  <c r="T1590" i="3" s="1"/>
  <c r="S1668" i="3"/>
  <c r="T1668" i="3" s="1"/>
  <c r="U1668" i="3" s="1"/>
  <c r="S1688" i="3"/>
  <c r="T1688" i="3" s="1"/>
  <c r="S1752" i="3"/>
  <c r="T1752" i="3" s="1"/>
  <c r="U1752" i="3" s="1"/>
  <c r="S1853" i="3"/>
  <c r="T1853" i="3" s="1"/>
  <c r="S1867" i="3"/>
  <c r="T1867" i="3" s="1"/>
  <c r="S1874" i="3"/>
  <c r="T1874" i="3" s="1"/>
  <c r="S1910" i="3"/>
  <c r="T1910" i="3" s="1"/>
  <c r="S2148" i="3"/>
  <c r="T2148" i="3" s="1"/>
  <c r="S2169" i="3"/>
  <c r="T2169" i="3" s="1"/>
  <c r="S2185" i="3"/>
  <c r="T2185" i="3" s="1"/>
  <c r="U2185" i="3" s="1"/>
  <c r="S2495" i="3"/>
  <c r="T2495" i="3" s="1"/>
  <c r="S2531" i="3"/>
  <c r="T2531" i="3" s="1"/>
  <c r="S2576" i="3"/>
  <c r="T2576" i="3" s="1"/>
  <c r="S2724" i="3"/>
  <c r="T2724" i="3" s="1"/>
  <c r="S2754" i="3"/>
  <c r="T2754" i="3" s="1"/>
  <c r="S2766" i="3"/>
  <c r="T2766" i="3" s="1"/>
  <c r="S2847" i="3"/>
  <c r="T2847" i="3" s="1"/>
  <c r="S2953" i="3"/>
  <c r="T2953" i="3" s="1"/>
  <c r="S2969" i="3"/>
  <c r="T2969" i="3" s="1"/>
  <c r="S2971" i="3"/>
  <c r="T2971" i="3" s="1"/>
  <c r="S3009" i="3"/>
  <c r="T3009" i="3" s="1"/>
  <c r="S3203" i="3"/>
  <c r="T3203" i="3" s="1"/>
  <c r="S3228" i="3"/>
  <c r="T3228" i="3" s="1"/>
  <c r="S3256" i="3"/>
  <c r="T3256" i="3" s="1"/>
  <c r="S3335" i="3"/>
  <c r="T3335" i="3" s="1"/>
  <c r="S3592" i="3"/>
  <c r="T3592" i="3" s="1"/>
  <c r="S3899" i="3"/>
  <c r="T3899" i="3" s="1"/>
  <c r="S3918" i="3"/>
  <c r="T3918" i="3" s="1"/>
  <c r="S3948" i="3"/>
  <c r="T3948" i="3" s="1"/>
  <c r="S3991" i="3"/>
  <c r="T3991" i="3" s="1"/>
  <c r="S4004" i="3"/>
  <c r="T4004" i="3" s="1"/>
  <c r="S4017" i="3"/>
  <c r="T4017" i="3" s="1"/>
  <c r="S4067" i="3"/>
  <c r="T4067" i="3" s="1"/>
  <c r="S4120" i="3"/>
  <c r="T4120" i="3" s="1"/>
  <c r="S4129" i="3"/>
  <c r="T4129" i="3" s="1"/>
  <c r="S4190" i="3"/>
  <c r="T4190" i="3" s="1"/>
  <c r="S4238" i="3"/>
  <c r="T4238" i="3" s="1"/>
  <c r="S4304" i="3"/>
  <c r="T4304" i="3" s="1"/>
  <c r="S4324" i="3"/>
  <c r="T4324" i="3" s="1"/>
  <c r="S4326" i="3"/>
  <c r="T4326" i="3" s="1"/>
  <c r="S4345" i="3"/>
  <c r="T4345" i="3" s="1"/>
  <c r="S4357" i="3"/>
  <c r="T4357" i="3" s="1"/>
  <c r="S4396" i="3"/>
  <c r="T4396" i="3" s="1"/>
  <c r="S4402" i="3"/>
  <c r="T4402" i="3" s="1"/>
  <c r="S4405" i="3"/>
  <c r="T4405" i="3" s="1"/>
  <c r="S4452" i="3"/>
  <c r="T4452" i="3" s="1"/>
  <c r="S4510" i="3"/>
  <c r="T4510" i="3" s="1"/>
  <c r="S4538" i="3"/>
  <c r="T4538" i="3" s="1"/>
  <c r="S4652" i="3"/>
  <c r="T4652" i="3" s="1"/>
  <c r="S4718" i="3"/>
  <c r="T4718" i="3" s="1"/>
  <c r="S4746" i="3"/>
  <c r="T4746" i="3" s="1"/>
  <c r="S4812" i="3"/>
  <c r="T4812" i="3" s="1"/>
  <c r="S19" i="3"/>
  <c r="T19" i="3" s="1"/>
  <c r="U19" i="3" s="1"/>
  <c r="S69" i="3"/>
  <c r="T69" i="3" s="1"/>
  <c r="U69" i="3" s="1"/>
  <c r="S74" i="3"/>
  <c r="T74" i="3" s="1"/>
  <c r="U74" i="3" s="1"/>
  <c r="S139" i="3"/>
  <c r="T139" i="3" s="1"/>
  <c r="U139" i="3" s="1"/>
  <c r="S392" i="3"/>
  <c r="T392" i="3" s="1"/>
  <c r="S479" i="3"/>
  <c r="T479" i="3" s="1"/>
  <c r="S605" i="3"/>
  <c r="T605" i="3" s="1"/>
  <c r="U605" i="3" s="1"/>
  <c r="S703" i="3"/>
  <c r="T703" i="3" s="1"/>
  <c r="U703" i="3" s="1"/>
  <c r="S855" i="3"/>
  <c r="T855" i="3" s="1"/>
  <c r="S912" i="3"/>
  <c r="T912" i="3" s="1"/>
  <c r="S1095" i="3"/>
  <c r="T1095" i="3" s="1"/>
  <c r="S1240" i="3"/>
  <c r="T1240" i="3" s="1"/>
  <c r="S1244" i="3"/>
  <c r="T1244" i="3" s="1"/>
  <c r="U1244" i="3" s="1"/>
  <c r="S1337" i="3"/>
  <c r="T1337" i="3" s="1"/>
  <c r="S1398" i="3"/>
  <c r="T1398" i="3" s="1"/>
  <c r="S1465" i="3"/>
  <c r="T1465" i="3" s="1"/>
  <c r="S1490" i="3"/>
  <c r="T1490" i="3" s="1"/>
  <c r="S1528" i="3"/>
  <c r="T1528" i="3" s="1"/>
  <c r="U1528" i="3" s="1"/>
  <c r="S1554" i="3"/>
  <c r="T1554" i="3" s="1"/>
  <c r="S1712" i="3"/>
  <c r="T1712" i="3" s="1"/>
  <c r="U1712" i="3" s="1"/>
  <c r="S1724" i="3"/>
  <c r="T1724" i="3" s="1"/>
  <c r="U1724" i="3" s="1"/>
  <c r="S2057" i="3"/>
  <c r="T2057" i="3" s="1"/>
  <c r="U2057" i="3" s="1"/>
  <c r="S2077" i="3"/>
  <c r="T2077" i="3" s="1"/>
  <c r="S2097" i="3"/>
  <c r="T2097" i="3" s="1"/>
  <c r="S2118" i="3"/>
  <c r="T2118" i="3" s="1"/>
  <c r="U2118" i="3" s="1"/>
  <c r="S2125" i="3"/>
  <c r="T2125" i="3" s="1"/>
  <c r="U2125" i="3" s="1"/>
  <c r="S2204" i="3"/>
  <c r="T2204" i="3" s="1"/>
  <c r="S2224" i="3"/>
  <c r="T2224" i="3" s="1"/>
  <c r="S2257" i="3"/>
  <c r="T2257" i="3" s="1"/>
  <c r="S2313" i="3"/>
  <c r="T2313" i="3" s="1"/>
  <c r="S2436" i="3"/>
  <c r="T2436" i="3" s="1"/>
  <c r="S2804" i="3"/>
  <c r="T2804" i="3" s="1"/>
  <c r="S2835" i="3"/>
  <c r="T2835" i="3" s="1"/>
  <c r="S2875" i="3"/>
  <c r="T2875" i="3" s="1"/>
  <c r="S2917" i="3"/>
  <c r="T2917" i="3" s="1"/>
  <c r="S2932" i="3"/>
  <c r="T2932" i="3" s="1"/>
  <c r="S2939" i="3"/>
  <c r="T2939" i="3" s="1"/>
  <c r="S3011" i="3"/>
  <c r="T3011" i="3" s="1"/>
  <c r="S3091" i="3"/>
  <c r="T3091" i="3" s="1"/>
  <c r="S3386" i="3"/>
  <c r="T3386" i="3" s="1"/>
  <c r="S3534" i="3"/>
  <c r="T3534" i="3" s="1"/>
  <c r="S3553" i="3"/>
  <c r="T3553" i="3" s="1"/>
  <c r="S3637" i="3"/>
  <c r="T3637" i="3" s="1"/>
  <c r="S3639" i="3"/>
  <c r="T3639" i="3" s="1"/>
  <c r="S3642" i="3"/>
  <c r="T3642" i="3" s="1"/>
  <c r="S3646" i="3"/>
  <c r="T3646" i="3" s="1"/>
  <c r="S3741" i="3"/>
  <c r="T3741" i="3" s="1"/>
  <c r="S3826" i="3"/>
  <c r="T3826" i="3" s="1"/>
  <c r="S3835" i="3"/>
  <c r="T3835" i="3" s="1"/>
  <c r="S3884" i="3"/>
  <c r="T3884" i="3" s="1"/>
  <c r="S3996" i="3"/>
  <c r="T3996" i="3" s="1"/>
  <c r="S4011" i="3"/>
  <c r="T4011" i="3" s="1"/>
  <c r="S4076" i="3"/>
  <c r="T4076" i="3" s="1"/>
  <c r="S4132" i="3"/>
  <c r="T4132" i="3" s="1"/>
  <c r="S4139" i="3"/>
  <c r="T4139" i="3" s="1"/>
  <c r="S4180" i="3"/>
  <c r="T4180" i="3" s="1"/>
  <c r="S4274" i="3"/>
  <c r="T4274" i="3" s="1"/>
  <c r="S4315" i="3"/>
  <c r="T4315" i="3" s="1"/>
  <c r="S4370" i="3"/>
  <c r="T4370" i="3" s="1"/>
  <c r="S4384" i="3"/>
  <c r="T4384" i="3" s="1"/>
  <c r="S4426" i="3"/>
  <c r="T4426" i="3" s="1"/>
  <c r="S4462" i="3"/>
  <c r="T4462" i="3" s="1"/>
  <c r="S4508" i="3"/>
  <c r="T4508" i="3" s="1"/>
  <c r="S4518" i="3"/>
  <c r="T4518" i="3" s="1"/>
  <c r="S4530" i="3"/>
  <c r="T4530" i="3" s="1"/>
  <c r="S4534" i="3"/>
  <c r="T4534" i="3" s="1"/>
  <c r="S4597" i="3"/>
  <c r="T4597" i="3" s="1"/>
  <c r="S4659" i="3"/>
  <c r="T4659" i="3" s="1"/>
  <c r="S4665" i="3"/>
  <c r="T4665" i="3" s="1"/>
  <c r="S4728" i="3"/>
  <c r="T4728" i="3" s="1"/>
  <c r="S18" i="3"/>
  <c r="T18" i="3" s="1"/>
  <c r="U18" i="3" s="1"/>
  <c r="S36" i="3"/>
  <c r="T36" i="3" s="1"/>
  <c r="U36" i="3" s="1"/>
  <c r="S89" i="3"/>
  <c r="T89" i="3" s="1"/>
  <c r="U89" i="3" s="1"/>
  <c r="S138" i="3"/>
  <c r="T138" i="3" s="1"/>
  <c r="U138" i="3" s="1"/>
  <c r="S173" i="3"/>
  <c r="T173" i="3" s="1"/>
  <c r="U173" i="3" s="1"/>
  <c r="S303" i="3"/>
  <c r="T303" i="3" s="1"/>
  <c r="U303" i="3" s="1"/>
  <c r="S368" i="3"/>
  <c r="T368" i="3" s="1"/>
  <c r="S398" i="3"/>
  <c r="T398" i="3" s="1"/>
  <c r="S453" i="3"/>
  <c r="T453" i="3" s="1"/>
  <c r="U453" i="3" s="1"/>
  <c r="S483" i="3"/>
  <c r="T483" i="3" s="1"/>
  <c r="S589" i="3"/>
  <c r="T589" i="3" s="1"/>
  <c r="S686" i="3"/>
  <c r="T686" i="3" s="1"/>
  <c r="S697" i="3"/>
  <c r="T697" i="3" s="1"/>
  <c r="U697" i="3" s="1"/>
  <c r="S741" i="3"/>
  <c r="T741" i="3" s="1"/>
  <c r="S848" i="3"/>
  <c r="T848" i="3" s="1"/>
  <c r="S858" i="3"/>
  <c r="T858" i="3" s="1"/>
  <c r="S890" i="3"/>
  <c r="T890" i="3" s="1"/>
  <c r="S1129" i="3"/>
  <c r="T1129" i="3" s="1"/>
  <c r="S1214" i="3"/>
  <c r="T1214" i="3" s="1"/>
  <c r="S1329" i="3"/>
  <c r="T1329" i="3" s="1"/>
  <c r="S1387" i="3"/>
  <c r="T1387" i="3" s="1"/>
  <c r="S1416" i="3"/>
  <c r="T1416" i="3" s="1"/>
  <c r="S1507" i="3"/>
  <c r="T1507" i="3" s="1"/>
  <c r="U1507" i="3" s="1"/>
  <c r="S1547" i="3"/>
  <c r="T1547" i="3" s="1"/>
  <c r="S1592" i="3"/>
  <c r="T1592" i="3" s="1"/>
  <c r="U1592" i="3" s="1"/>
  <c r="S1667" i="3"/>
  <c r="T1667" i="3" s="1"/>
  <c r="S1739" i="3"/>
  <c r="T1739" i="3" s="1"/>
  <c r="S1793" i="3"/>
  <c r="T1793" i="3" s="1"/>
  <c r="U1793" i="3" s="1"/>
  <c r="S1843" i="3"/>
  <c r="T1843" i="3" s="1"/>
  <c r="S1884" i="3"/>
  <c r="T1884" i="3" s="1"/>
  <c r="S1934" i="3"/>
  <c r="T1934" i="3" s="1"/>
  <c r="S2128" i="3"/>
  <c r="T2128" i="3" s="1"/>
  <c r="S2182" i="3"/>
  <c r="T2182" i="3" s="1"/>
  <c r="U2182" i="3" s="1"/>
  <c r="S2195" i="3"/>
  <c r="T2195" i="3" s="1"/>
  <c r="S2209" i="3"/>
  <c r="T2209" i="3" s="1"/>
  <c r="U2209" i="3" s="1"/>
  <c r="S2330" i="3"/>
  <c r="T2330" i="3" s="1"/>
  <c r="S2387" i="3"/>
  <c r="T2387" i="3" s="1"/>
  <c r="S2390" i="3"/>
  <c r="T2390" i="3" s="1"/>
  <c r="S2468" i="3"/>
  <c r="T2468" i="3" s="1"/>
  <c r="U2468" i="3" s="1"/>
  <c r="S2483" i="3"/>
  <c r="T2483" i="3" s="1"/>
  <c r="U2483" i="3" s="1"/>
  <c r="S2543" i="3"/>
  <c r="T2543" i="3" s="1"/>
  <c r="S2568" i="3"/>
  <c r="T2568" i="3" s="1"/>
  <c r="U2568" i="3" s="1"/>
  <c r="S2589" i="3"/>
  <c r="T2589" i="3" s="1"/>
  <c r="S2781" i="3"/>
  <c r="T2781" i="3" s="1"/>
  <c r="U2781" i="3" s="1"/>
  <c r="S2788" i="3"/>
  <c r="T2788" i="3" s="1"/>
  <c r="S2842" i="3"/>
  <c r="T2842" i="3" s="1"/>
  <c r="S2892" i="3"/>
  <c r="T2892" i="3" s="1"/>
  <c r="U2892" i="3" s="1"/>
  <c r="S2915" i="3"/>
  <c r="T2915" i="3" s="1"/>
  <c r="S2943" i="3"/>
  <c r="T2943" i="3" s="1"/>
  <c r="U2943" i="3" s="1"/>
  <c r="S3014" i="3"/>
  <c r="T3014" i="3" s="1"/>
  <c r="S3191" i="3"/>
  <c r="T3191" i="3" s="1"/>
  <c r="S3295" i="3"/>
  <c r="T3295" i="3" s="1"/>
  <c r="S3311" i="3"/>
  <c r="T3311" i="3" s="1"/>
  <c r="S3382" i="3"/>
  <c r="T3382" i="3" s="1"/>
  <c r="S3519" i="3"/>
  <c r="T3519" i="3" s="1"/>
  <c r="S3635" i="3"/>
  <c r="T3635" i="3" s="1"/>
  <c r="S3696" i="3"/>
  <c r="T3696" i="3" s="1"/>
  <c r="S3799" i="3"/>
  <c r="T3799" i="3" s="1"/>
  <c r="S3816" i="3"/>
  <c r="T3816" i="3" s="1"/>
  <c r="S3832" i="3"/>
  <c r="T3832" i="3" s="1"/>
  <c r="S3846" i="3"/>
  <c r="T3846" i="3" s="1"/>
  <c r="S3854" i="3"/>
  <c r="T3854" i="3" s="1"/>
  <c r="S3892" i="3"/>
  <c r="T3892" i="3" s="1"/>
  <c r="S3933" i="3"/>
  <c r="T3933" i="3" s="1"/>
  <c r="S3955" i="3"/>
  <c r="T3955" i="3" s="1"/>
  <c r="S4057" i="3"/>
  <c r="T4057" i="3" s="1"/>
  <c r="S4151" i="3"/>
  <c r="T4151" i="3" s="1"/>
  <c r="S4171" i="3"/>
  <c r="T4171" i="3" s="1"/>
  <c r="S4221" i="3"/>
  <c r="T4221" i="3" s="1"/>
  <c r="S4226" i="3"/>
  <c r="T4226" i="3" s="1"/>
  <c r="S4318" i="3"/>
  <c r="T4318" i="3" s="1"/>
  <c r="S4492" i="3"/>
  <c r="T4492" i="3" s="1"/>
  <c r="S4583" i="3"/>
  <c r="T4583" i="3" s="1"/>
  <c r="S4618" i="3"/>
  <c r="T4618" i="3" s="1"/>
  <c r="S4807" i="3"/>
  <c r="T4807" i="3" s="1"/>
  <c r="S4822" i="3"/>
  <c r="T4822" i="3" s="1"/>
  <c r="S8" i="3"/>
  <c r="T8" i="3" s="1"/>
  <c r="U8" i="3" s="1"/>
  <c r="S47" i="3"/>
  <c r="T47" i="3" s="1"/>
  <c r="U47" i="3" s="1"/>
  <c r="S98" i="3"/>
  <c r="T98" i="3" s="1"/>
  <c r="U98" i="3" s="1"/>
  <c r="S187" i="3"/>
  <c r="T187" i="3" s="1"/>
  <c r="U187" i="3" s="1"/>
  <c r="S205" i="3"/>
  <c r="T205" i="3" s="1"/>
  <c r="U205" i="3" s="1"/>
  <c r="S263" i="3"/>
  <c r="T263" i="3" s="1"/>
  <c r="U263" i="3" s="1"/>
  <c r="S332" i="3"/>
  <c r="T332" i="3" s="1"/>
  <c r="S417" i="3"/>
  <c r="T417" i="3" s="1"/>
  <c r="U417" i="3" s="1"/>
  <c r="S444" i="3"/>
  <c r="T444" i="3" s="1"/>
  <c r="U444" i="3" s="1"/>
  <c r="S489" i="3"/>
  <c r="T489" i="3" s="1"/>
  <c r="S506" i="3"/>
  <c r="T506" i="3" s="1"/>
  <c r="S548" i="3"/>
  <c r="T548" i="3" s="1"/>
  <c r="S640" i="3"/>
  <c r="T640" i="3" s="1"/>
  <c r="S694" i="3"/>
  <c r="T694" i="3" s="1"/>
  <c r="S706" i="3"/>
  <c r="T706" i="3" s="1"/>
  <c r="U706" i="3" s="1"/>
  <c r="S718" i="3"/>
  <c r="T718" i="3" s="1"/>
  <c r="S738" i="3"/>
  <c r="T738" i="3" s="1"/>
  <c r="S875" i="3"/>
  <c r="T875" i="3" s="1"/>
  <c r="U875" i="3" s="1"/>
  <c r="S901" i="3"/>
  <c r="T901" i="3" s="1"/>
  <c r="S1040" i="3"/>
  <c r="T1040" i="3" s="1"/>
  <c r="S1070" i="3"/>
  <c r="T1070" i="3" s="1"/>
  <c r="S1096" i="3"/>
  <c r="T1096" i="3" s="1"/>
  <c r="U1096" i="3" s="1"/>
  <c r="S1121" i="3"/>
  <c r="T1121" i="3" s="1"/>
  <c r="U1121" i="3" s="1"/>
  <c r="S1179" i="3"/>
  <c r="T1179" i="3" s="1"/>
  <c r="U1179" i="3" s="1"/>
  <c r="S1317" i="3"/>
  <c r="T1317" i="3" s="1"/>
  <c r="U1317" i="3" s="1"/>
  <c r="S1322" i="3"/>
  <c r="T1322" i="3" s="1"/>
  <c r="S1353" i="3"/>
  <c r="T1353" i="3" s="1"/>
  <c r="S1383" i="3"/>
  <c r="T1383" i="3" s="1"/>
  <c r="S1540" i="3"/>
  <c r="T1540" i="3" s="1"/>
  <c r="U1540" i="3" s="1"/>
  <c r="S1565" i="3"/>
  <c r="T1565" i="3" s="1"/>
  <c r="S1582" i="3"/>
  <c r="T1582" i="3" s="1"/>
  <c r="U1582" i="3" s="1"/>
  <c r="S1603" i="3"/>
  <c r="T1603" i="3" s="1"/>
  <c r="S1646" i="3"/>
  <c r="T1646" i="3" s="1"/>
  <c r="S1785" i="3"/>
  <c r="T1785" i="3" s="1"/>
  <c r="S1786" i="3"/>
  <c r="T1786" i="3" s="1"/>
  <c r="S1806" i="3"/>
  <c r="T1806" i="3" s="1"/>
  <c r="S1823" i="3"/>
  <c r="T1823" i="3" s="1"/>
  <c r="S1883" i="3"/>
  <c r="T1883" i="3" s="1"/>
  <c r="S1903" i="3"/>
  <c r="T1903" i="3" s="1"/>
  <c r="S2023" i="3"/>
  <c r="T2023" i="3" s="1"/>
  <c r="S2085" i="3"/>
  <c r="T2085" i="3" s="1"/>
  <c r="S2172" i="3"/>
  <c r="T2172" i="3" s="1"/>
  <c r="S2207" i="3"/>
  <c r="T2207" i="3" s="1"/>
  <c r="S2215" i="3"/>
  <c r="T2215" i="3" s="1"/>
  <c r="S2270" i="3"/>
  <c r="T2270" i="3" s="1"/>
  <c r="S2333" i="3"/>
  <c r="T2333" i="3" s="1"/>
  <c r="S2404" i="3"/>
  <c r="T2404" i="3" s="1"/>
  <c r="U2404" i="3" s="1"/>
  <c r="S2526" i="3"/>
  <c r="T2526" i="3" s="1"/>
  <c r="U2526" i="3" s="1"/>
  <c r="S2528" i="3"/>
  <c r="T2528" i="3" s="1"/>
  <c r="S2530" i="3"/>
  <c r="T2530" i="3" s="1"/>
  <c r="S2561" i="3"/>
  <c r="T2561" i="3" s="1"/>
  <c r="S2634" i="3"/>
  <c r="T2634" i="3" s="1"/>
  <c r="U2634" i="3" s="1"/>
  <c r="S2659" i="3"/>
  <c r="T2659" i="3" s="1"/>
  <c r="S2665" i="3"/>
  <c r="T2665" i="3" s="1"/>
  <c r="U2665" i="3" s="1"/>
  <c r="S2670" i="3"/>
  <c r="T2670" i="3" s="1"/>
  <c r="S2728" i="3"/>
  <c r="T2728" i="3" s="1"/>
  <c r="U2728" i="3" s="1"/>
  <c r="S2735" i="3"/>
  <c r="T2735" i="3" s="1"/>
  <c r="S2743" i="3"/>
  <c r="T2743" i="3" s="1"/>
  <c r="U2743" i="3" s="1"/>
  <c r="S2783" i="3"/>
  <c r="T2783" i="3" s="1"/>
  <c r="U2783" i="3" s="1"/>
  <c r="S2843" i="3"/>
  <c r="T2843" i="3" s="1"/>
  <c r="U2843" i="3" s="1"/>
  <c r="S2904" i="3"/>
  <c r="T2904" i="3" s="1"/>
  <c r="S2949" i="3"/>
  <c r="T2949" i="3" s="1"/>
  <c r="S2978" i="3"/>
  <c r="T2978" i="3" s="1"/>
  <c r="U2978" i="3" s="1"/>
  <c r="S3033" i="3"/>
  <c r="T3033" i="3" s="1"/>
  <c r="U3033" i="3" s="1"/>
  <c r="S3067" i="3"/>
  <c r="T3067" i="3" s="1"/>
  <c r="S3120" i="3"/>
  <c r="T3120" i="3" s="1"/>
  <c r="S3186" i="3"/>
  <c r="T3186" i="3" s="1"/>
  <c r="S3197" i="3"/>
  <c r="T3197" i="3" s="1"/>
  <c r="S3259" i="3"/>
  <c r="T3259" i="3" s="1"/>
  <c r="S3266" i="3"/>
  <c r="T3266" i="3" s="1"/>
  <c r="S3350" i="3"/>
  <c r="T3350" i="3" s="1"/>
  <c r="S3379" i="3"/>
  <c r="T3379" i="3" s="1"/>
  <c r="S3417" i="3"/>
  <c r="T3417" i="3" s="1"/>
  <c r="S3508" i="3"/>
  <c r="T3508" i="3" s="1"/>
  <c r="S3547" i="3"/>
  <c r="T3547" i="3" s="1"/>
  <c r="S3700" i="3"/>
  <c r="T3700" i="3" s="1"/>
  <c r="S3722" i="3"/>
  <c r="T3722" i="3" s="1"/>
  <c r="S3759" i="3"/>
  <c r="T3759" i="3" s="1"/>
  <c r="S3791" i="3"/>
  <c r="T3791" i="3" s="1"/>
  <c r="S3828" i="3"/>
  <c r="T3828" i="3" s="1"/>
  <c r="S3967" i="3"/>
  <c r="T3967" i="3" s="1"/>
  <c r="S4006" i="3"/>
  <c r="T4006" i="3" s="1"/>
  <c r="S4066" i="3"/>
  <c r="T4066" i="3" s="1"/>
  <c r="S4090" i="3"/>
  <c r="T4090" i="3" s="1"/>
  <c r="S4099" i="3"/>
  <c r="T4099" i="3" s="1"/>
  <c r="S4199" i="3"/>
  <c r="T4199" i="3" s="1"/>
  <c r="S4323" i="3"/>
  <c r="T4323" i="3" s="1"/>
  <c r="S4336" i="3"/>
  <c r="T4336" i="3" s="1"/>
  <c r="S4343" i="3"/>
  <c r="T4343" i="3" s="1"/>
  <c r="S4369" i="3"/>
  <c r="T4369" i="3" s="1"/>
  <c r="S4386" i="3"/>
  <c r="T4386" i="3" s="1"/>
  <c r="S4527" i="3"/>
  <c r="T4527" i="3" s="1"/>
  <c r="S4664" i="3"/>
  <c r="T4664" i="3" s="1"/>
  <c r="S4703" i="3"/>
  <c r="T4703" i="3" s="1"/>
  <c r="S4706" i="3"/>
  <c r="T4706" i="3" s="1"/>
  <c r="S4710" i="3"/>
  <c r="T4710" i="3" s="1"/>
  <c r="S4721" i="3"/>
  <c r="T4721" i="3" s="1"/>
  <c r="S117" i="3"/>
  <c r="T117" i="3" s="1"/>
  <c r="U117" i="3" s="1"/>
  <c r="S191" i="3"/>
  <c r="T191" i="3" s="1"/>
  <c r="U191" i="3" s="1"/>
  <c r="S318" i="3"/>
  <c r="T318" i="3" s="1"/>
  <c r="U318" i="3" s="1"/>
  <c r="S335" i="3"/>
  <c r="T335" i="3" s="1"/>
  <c r="S437" i="3"/>
  <c r="T437" i="3" s="1"/>
  <c r="S478" i="3"/>
  <c r="T478" i="3" s="1"/>
  <c r="S553" i="3"/>
  <c r="T553" i="3" s="1"/>
  <c r="S562" i="3"/>
  <c r="T562" i="3" s="1"/>
  <c r="U562" i="3" s="1"/>
  <c r="S624" i="3"/>
  <c r="T624" i="3" s="1"/>
  <c r="S725" i="3"/>
  <c r="T725" i="3" s="1"/>
  <c r="S763" i="3"/>
  <c r="T763" i="3" s="1"/>
  <c r="U763" i="3" s="1"/>
  <c r="S806" i="3"/>
  <c r="T806" i="3" s="1"/>
  <c r="S841" i="3"/>
  <c r="T841" i="3" s="1"/>
  <c r="S917" i="3"/>
  <c r="T917" i="3" s="1"/>
  <c r="S986" i="3"/>
  <c r="T986" i="3" s="1"/>
  <c r="U986" i="3" s="1"/>
  <c r="S1086" i="3"/>
  <c r="T1086" i="3" s="1"/>
  <c r="U1086" i="3" s="1"/>
  <c r="S1204" i="3"/>
  <c r="T1204" i="3" s="1"/>
  <c r="S1211" i="3"/>
  <c r="T1211" i="3" s="1"/>
  <c r="S1241" i="3"/>
  <c r="T1241" i="3" s="1"/>
  <c r="U1241" i="3" s="1"/>
  <c r="S1281" i="3"/>
  <c r="T1281" i="3" s="1"/>
  <c r="U1281" i="3" s="1"/>
  <c r="S1461" i="3"/>
  <c r="T1461" i="3" s="1"/>
  <c r="U1461" i="3" s="1"/>
  <c r="S1473" i="3"/>
  <c r="T1473" i="3" s="1"/>
  <c r="S1516" i="3"/>
  <c r="T1516" i="3" s="1"/>
  <c r="U1516" i="3" s="1"/>
  <c r="S1523" i="3"/>
  <c r="T1523" i="3" s="1"/>
  <c r="S1723" i="3"/>
  <c r="T1723" i="3" s="1"/>
  <c r="S1765" i="3"/>
  <c r="T1765" i="3" s="1"/>
  <c r="S1809" i="3"/>
  <c r="T1809" i="3" s="1"/>
  <c r="S1881" i="3"/>
  <c r="T1881" i="3" s="1"/>
  <c r="S1919" i="3"/>
  <c r="T1919" i="3" s="1"/>
  <c r="S1972" i="3"/>
  <c r="T1972" i="3" s="1"/>
  <c r="S1987" i="3"/>
  <c r="T1987" i="3" s="1"/>
  <c r="U1987" i="3" s="1"/>
  <c r="S2049" i="3"/>
  <c r="T2049" i="3" s="1"/>
  <c r="U2049" i="3" s="1"/>
  <c r="S2174" i="3"/>
  <c r="T2174" i="3" s="1"/>
  <c r="U2174" i="3" s="1"/>
  <c r="S2208" i="3"/>
  <c r="T2208" i="3" s="1"/>
  <c r="S2373" i="3"/>
  <c r="T2373" i="3" s="1"/>
  <c r="S2398" i="3"/>
  <c r="T2398" i="3" s="1"/>
  <c r="U2398" i="3" s="1"/>
  <c r="S2491" i="3"/>
  <c r="T2491" i="3" s="1"/>
  <c r="U2491" i="3" s="1"/>
  <c r="S2535" i="3"/>
  <c r="T2535" i="3" s="1"/>
  <c r="U2535" i="3" s="1"/>
  <c r="S2536" i="3"/>
  <c r="T2536" i="3" s="1"/>
  <c r="S2681" i="3"/>
  <c r="T2681" i="3" s="1"/>
  <c r="S2733" i="3"/>
  <c r="T2733" i="3" s="1"/>
  <c r="S2752" i="3"/>
  <c r="T2752" i="3" s="1"/>
  <c r="U2752" i="3" s="1"/>
  <c r="S2812" i="3"/>
  <c r="T2812" i="3" s="1"/>
  <c r="U2812" i="3" s="1"/>
  <c r="S3002" i="3"/>
  <c r="T3002" i="3" s="1"/>
  <c r="U3002" i="3" s="1"/>
  <c r="S3022" i="3"/>
  <c r="T3022" i="3" s="1"/>
  <c r="U3022" i="3" s="1"/>
  <c r="S3077" i="3"/>
  <c r="T3077" i="3" s="1"/>
  <c r="S3079" i="3"/>
  <c r="T3079" i="3" s="1"/>
  <c r="S3109" i="3"/>
  <c r="T3109" i="3" s="1"/>
  <c r="S3149" i="3"/>
  <c r="T3149" i="3" s="1"/>
  <c r="S3419" i="3"/>
  <c r="T3419" i="3" s="1"/>
  <c r="S3527" i="3"/>
  <c r="T3527" i="3" s="1"/>
  <c r="S3536" i="3"/>
  <c r="T3536" i="3" s="1"/>
  <c r="S3573" i="3"/>
  <c r="T3573" i="3" s="1"/>
  <c r="S3622" i="3"/>
  <c r="T3622" i="3" s="1"/>
  <c r="S3701" i="3"/>
  <c r="T3701" i="3" s="1"/>
  <c r="S3717" i="3"/>
  <c r="T3717" i="3" s="1"/>
  <c r="S3727" i="3"/>
  <c r="T3727" i="3" s="1"/>
  <c r="S3788" i="3"/>
  <c r="T3788" i="3" s="1"/>
  <c r="S3830" i="3"/>
  <c r="T3830" i="3" s="1"/>
  <c r="S3863" i="3"/>
  <c r="T3863" i="3" s="1"/>
  <c r="S3902" i="3"/>
  <c r="T3902" i="3" s="1"/>
  <c r="S3911" i="3"/>
  <c r="T3911" i="3" s="1"/>
  <c r="S3940" i="3"/>
  <c r="T3940" i="3" s="1"/>
  <c r="S4054" i="3"/>
  <c r="T4054" i="3" s="1"/>
  <c r="S4144" i="3"/>
  <c r="T4144" i="3" s="1"/>
  <c r="S4147" i="3"/>
  <c r="T4147" i="3" s="1"/>
  <c r="S4189" i="3"/>
  <c r="T4189" i="3" s="1"/>
  <c r="S4228" i="3"/>
  <c r="T4228" i="3" s="1"/>
  <c r="S4265" i="3"/>
  <c r="T4265" i="3" s="1"/>
  <c r="S4300" i="3"/>
  <c r="T4300" i="3" s="1"/>
  <c r="S4306" i="3"/>
  <c r="T4306" i="3" s="1"/>
  <c r="S4312" i="3"/>
  <c r="T4312" i="3" s="1"/>
  <c r="S4317" i="3"/>
  <c r="T4317" i="3" s="1"/>
  <c r="S4330" i="3"/>
  <c r="T4330" i="3" s="1"/>
  <c r="S4372" i="3"/>
  <c r="T4372" i="3" s="1"/>
  <c r="S4381" i="3"/>
  <c r="T4381" i="3" s="1"/>
  <c r="S4469" i="3"/>
  <c r="T4469" i="3" s="1"/>
  <c r="S4478" i="3"/>
  <c r="T4478" i="3" s="1"/>
  <c r="S4603" i="3"/>
  <c r="T4603" i="3" s="1"/>
  <c r="S4605" i="3"/>
  <c r="T4605" i="3" s="1"/>
  <c r="S4656" i="3"/>
  <c r="T4656" i="3" s="1"/>
  <c r="S131" i="3"/>
  <c r="T131" i="3" s="1"/>
  <c r="U131" i="3" s="1"/>
  <c r="S411" i="3"/>
  <c r="T411" i="3" s="1"/>
  <c r="U411" i="3" s="1"/>
  <c r="S759" i="3"/>
  <c r="T759" i="3" s="1"/>
  <c r="U759" i="3" s="1"/>
  <c r="S1392" i="3"/>
  <c r="T1392" i="3" s="1"/>
  <c r="S1499" i="3"/>
  <c r="T1499" i="3" s="1"/>
  <c r="S1863" i="3"/>
  <c r="T1863" i="3" s="1"/>
  <c r="U1863" i="3" s="1"/>
  <c r="S2255" i="3"/>
  <c r="T2255" i="3" s="1"/>
  <c r="S2262" i="3"/>
  <c r="T2262" i="3" s="1"/>
  <c r="U2262" i="3" s="1"/>
  <c r="S2755" i="3"/>
  <c r="T2755" i="3" s="1"/>
  <c r="U2755" i="3" s="1"/>
  <c r="S2878" i="3"/>
  <c r="T2878" i="3" s="1"/>
  <c r="S3157" i="3"/>
  <c r="T3157" i="3" s="1"/>
  <c r="S3581" i="3"/>
  <c r="T3581" i="3" s="1"/>
  <c r="S3787" i="3"/>
  <c r="T3787" i="3" s="1"/>
  <c r="S3897" i="3"/>
  <c r="T3897" i="3" s="1"/>
  <c r="S3932" i="3"/>
  <c r="T3932" i="3" s="1"/>
  <c r="S4219" i="3"/>
  <c r="T4219" i="3" s="1"/>
  <c r="S4301" i="3"/>
  <c r="T4301" i="3" s="1"/>
  <c r="S4477" i="3"/>
  <c r="T4477" i="3" s="1"/>
  <c r="S4539" i="3"/>
  <c r="T4539" i="3" s="1"/>
  <c r="S4831" i="3"/>
  <c r="T4831" i="3" s="1"/>
  <c r="V16" i="3"/>
  <c r="W16" i="3" s="1"/>
  <c r="V43" i="3"/>
  <c r="W43" i="3" s="1"/>
  <c r="V56" i="3"/>
  <c r="W56" i="3" s="1"/>
  <c r="V129" i="3"/>
  <c r="W129" i="3" s="1"/>
  <c r="V174" i="3"/>
  <c r="W174" i="3" s="1"/>
  <c r="V183" i="3"/>
  <c r="W183" i="3" s="1"/>
  <c r="V202" i="3"/>
  <c r="W202" i="3" s="1"/>
  <c r="V207" i="3"/>
  <c r="W207" i="3" s="1"/>
  <c r="V215" i="3"/>
  <c r="W215" i="3" s="1"/>
  <c r="V237" i="3"/>
  <c r="W237" i="3" s="1"/>
  <c r="V250" i="3"/>
  <c r="W250" i="3" s="1"/>
  <c r="V278" i="3"/>
  <c r="W278" i="3" s="1"/>
  <c r="V285" i="3"/>
  <c r="W285" i="3" s="1"/>
  <c r="V337" i="3"/>
  <c r="W337" i="3" s="1"/>
  <c r="V343" i="3"/>
  <c r="W343" i="3" s="1"/>
  <c r="V358" i="3"/>
  <c r="W358" i="3" s="1"/>
  <c r="V389" i="3"/>
  <c r="W389" i="3" s="1"/>
  <c r="V409" i="3"/>
  <c r="W409" i="3" s="1"/>
  <c r="V491" i="3"/>
  <c r="W491" i="3" s="1"/>
  <c r="V494" i="3"/>
  <c r="W494" i="3" s="1"/>
  <c r="V500" i="3"/>
  <c r="W500" i="3" s="1"/>
  <c r="V529" i="3"/>
  <c r="W529" i="3" s="1"/>
  <c r="V531" i="3"/>
  <c r="W531" i="3" s="1"/>
  <c r="V581" i="3"/>
  <c r="W581" i="3" s="1"/>
  <c r="V593" i="3"/>
  <c r="W593" i="3" s="1"/>
  <c r="V772" i="3"/>
  <c r="W772" i="3" s="1"/>
  <c r="V794" i="3"/>
  <c r="W794" i="3" s="1"/>
  <c r="V797" i="3"/>
  <c r="W797" i="3" s="1"/>
  <c r="V803" i="3"/>
  <c r="W803" i="3" s="1"/>
  <c r="V807" i="3"/>
  <c r="W807" i="3" s="1"/>
  <c r="V821" i="3"/>
  <c r="W821" i="3" s="1"/>
  <c r="V854" i="3"/>
  <c r="W854" i="3" s="1"/>
  <c r="V877" i="3"/>
  <c r="W877" i="3" s="1"/>
  <c r="V892" i="3"/>
  <c r="W892" i="3" s="1"/>
  <c r="V905" i="3"/>
  <c r="W905" i="3" s="1"/>
  <c r="V910" i="3"/>
  <c r="W910" i="3" s="1"/>
  <c r="V920" i="3"/>
  <c r="W920" i="3" s="1"/>
  <c r="V927" i="3"/>
  <c r="W927" i="3" s="1"/>
  <c r="V928" i="3"/>
  <c r="W928" i="3" s="1"/>
  <c r="V941" i="3"/>
  <c r="W941" i="3" s="1"/>
  <c r="V992" i="3"/>
  <c r="W992" i="3" s="1"/>
  <c r="V1010" i="3"/>
  <c r="W1010" i="3" s="1"/>
  <c r="V1052" i="3"/>
  <c r="W1052" i="3" s="1"/>
  <c r="V1053" i="3"/>
  <c r="W1053" i="3" s="1"/>
  <c r="V1093" i="3"/>
  <c r="W1093" i="3" s="1"/>
  <c r="V1101" i="3"/>
  <c r="W1101" i="3" s="1"/>
  <c r="V1128" i="3"/>
  <c r="W1128" i="3" s="1"/>
  <c r="V1135" i="3"/>
  <c r="W1135" i="3" s="1"/>
  <c r="V1245" i="3"/>
  <c r="W1245" i="3" s="1"/>
  <c r="V1301" i="3"/>
  <c r="W1301" i="3" s="1"/>
  <c r="V1324" i="3"/>
  <c r="W1324" i="3" s="1"/>
  <c r="V1349" i="3"/>
  <c r="W1349" i="3" s="1"/>
  <c r="V1362" i="3"/>
  <c r="W1362" i="3" s="1"/>
  <c r="V1411" i="3"/>
  <c r="W1411" i="3" s="1"/>
  <c r="V1425" i="3"/>
  <c r="W1425" i="3" s="1"/>
  <c r="V1426" i="3"/>
  <c r="W1426" i="3" s="1"/>
  <c r="V1433" i="3"/>
  <c r="W1433" i="3" s="1"/>
  <c r="V1444" i="3"/>
  <c r="W1444" i="3" s="1"/>
  <c r="V1556" i="3"/>
  <c r="W1556" i="3" s="1"/>
  <c r="V1569" i="3"/>
  <c r="W1569" i="3" s="1"/>
  <c r="V1629" i="3"/>
  <c r="W1629" i="3" s="1"/>
  <c r="V1639" i="3"/>
  <c r="W1639" i="3" s="1"/>
  <c r="V1664" i="3"/>
  <c r="W1664" i="3" s="1"/>
  <c r="V1713" i="3"/>
  <c r="W1713" i="3" s="1"/>
  <c r="V1748" i="3"/>
  <c r="W1748" i="3" s="1"/>
  <c r="V1774" i="3"/>
  <c r="W1774" i="3" s="1"/>
  <c r="V1784" i="3"/>
  <c r="W1784" i="3" s="1"/>
  <c r="V1813" i="3"/>
  <c r="W1813" i="3" s="1"/>
  <c r="V1820" i="3"/>
  <c r="W1820" i="3" s="1"/>
  <c r="V1838" i="3"/>
  <c r="W1838" i="3" s="1"/>
  <c r="V1963" i="3"/>
  <c r="W1963" i="3" s="1"/>
  <c r="V1973" i="3"/>
  <c r="W1973" i="3" s="1"/>
  <c r="V2000" i="3"/>
  <c r="W2000" i="3" s="1"/>
  <c r="V2054" i="3"/>
  <c r="W2054" i="3" s="1"/>
  <c r="V2068" i="3"/>
  <c r="W2068" i="3" s="1"/>
  <c r="V2101" i="3"/>
  <c r="W2101" i="3" s="1"/>
  <c r="V2122" i="3"/>
  <c r="W2122" i="3" s="1"/>
  <c r="V2160" i="3"/>
  <c r="W2160" i="3" s="1"/>
  <c r="V2233" i="3"/>
  <c r="W2233" i="3" s="1"/>
  <c r="V2234" i="3"/>
  <c r="W2234" i="3" s="1"/>
  <c r="V2298" i="3"/>
  <c r="W2298" i="3" s="1"/>
  <c r="V2332" i="3"/>
  <c r="W2332" i="3" s="1"/>
  <c r="V2427" i="3"/>
  <c r="W2427" i="3" s="1"/>
  <c r="V2565" i="3"/>
  <c r="W2565" i="3" s="1"/>
  <c r="V2586" i="3"/>
  <c r="W2586" i="3" s="1"/>
  <c r="V2608" i="3"/>
  <c r="W2608" i="3" s="1"/>
  <c r="V2625" i="3"/>
  <c r="W2625" i="3" s="1"/>
  <c r="V2641" i="3"/>
  <c r="W2641" i="3" s="1"/>
  <c r="V2666" i="3"/>
  <c r="W2666" i="3" s="1"/>
  <c r="V2667" i="3"/>
  <c r="W2667" i="3" s="1"/>
  <c r="V2691" i="3"/>
  <c r="W2691" i="3" s="1"/>
  <c r="V2694" i="3"/>
  <c r="W2694" i="3" s="1"/>
  <c r="V2705" i="3"/>
  <c r="W2705" i="3" s="1"/>
  <c r="V2720" i="3"/>
  <c r="W2720" i="3" s="1"/>
  <c r="V2729" i="3"/>
  <c r="W2729" i="3" s="1"/>
  <c r="V2737" i="3"/>
  <c r="W2737" i="3" s="1"/>
  <c r="V2738" i="3"/>
  <c r="W2738" i="3" s="1"/>
  <c r="V2765" i="3"/>
  <c r="W2765" i="3" s="1"/>
  <c r="V2772" i="3"/>
  <c r="W2772" i="3" s="1"/>
  <c r="V2779" i="3"/>
  <c r="W2779" i="3" s="1"/>
  <c r="V2797" i="3"/>
  <c r="W2797" i="3" s="1"/>
  <c r="V2829" i="3"/>
  <c r="W2829" i="3" s="1"/>
  <c r="V2834" i="3"/>
  <c r="W2834" i="3" s="1"/>
  <c r="V2869" i="3"/>
  <c r="W2869" i="3" s="1"/>
  <c r="V2876" i="3"/>
  <c r="W2876" i="3" s="1"/>
  <c r="V2896" i="3"/>
  <c r="W2896" i="3" s="1"/>
  <c r="V2945" i="3"/>
  <c r="W2945" i="3" s="1"/>
  <c r="V2955" i="3"/>
  <c r="W2955" i="3" s="1"/>
  <c r="V2998" i="3"/>
  <c r="W2998" i="3" s="1"/>
  <c r="V3025" i="3"/>
  <c r="W3025" i="3" s="1"/>
  <c r="V3057" i="3"/>
  <c r="W3057" i="3" s="1"/>
  <c r="V3089" i="3"/>
  <c r="W3089" i="3" s="1"/>
  <c r="V3106" i="3"/>
  <c r="W3106" i="3" s="1"/>
  <c r="V3136" i="3"/>
  <c r="W3136" i="3" s="1"/>
  <c r="V3189" i="3"/>
  <c r="W3189" i="3" s="1"/>
  <c r="V3195" i="3"/>
  <c r="W3195" i="3" s="1"/>
  <c r="V3236" i="3"/>
  <c r="W3236" i="3" s="1"/>
  <c r="V3267" i="3"/>
  <c r="W3267" i="3" s="1"/>
  <c r="V3427" i="3"/>
  <c r="W3427" i="3" s="1"/>
  <c r="V3431" i="3"/>
  <c r="W3431" i="3" s="1"/>
  <c r="V3460" i="3"/>
  <c r="W3460" i="3" s="1"/>
  <c r="V3472" i="3"/>
  <c r="W3472" i="3" s="1"/>
  <c r="V3494" i="3"/>
  <c r="W3494" i="3" s="1"/>
  <c r="V3502" i="3"/>
  <c r="W3502" i="3" s="1"/>
  <c r="V3621" i="3"/>
  <c r="W3621" i="3" s="1"/>
  <c r="V3625" i="3"/>
  <c r="W3625" i="3" s="1"/>
  <c r="V3638" i="3"/>
  <c r="W3638" i="3" s="1"/>
  <c r="V3653" i="3"/>
  <c r="W3653" i="3" s="1"/>
  <c r="V3675" i="3"/>
  <c r="W3675" i="3" s="1"/>
  <c r="V3695" i="3"/>
  <c r="W3695" i="3" s="1"/>
  <c r="V3711" i="3"/>
  <c r="W3711" i="3" s="1"/>
  <c r="V3747" i="3"/>
  <c r="W3747" i="3" s="1"/>
  <c r="V3796" i="3"/>
  <c r="W3796" i="3" s="1"/>
  <c r="V3814" i="3"/>
  <c r="W3814" i="3" s="1"/>
  <c r="V3833" i="3"/>
  <c r="W3833" i="3" s="1"/>
  <c r="V3841" i="3"/>
  <c r="W3841" i="3" s="1"/>
  <c r="V3849" i="3"/>
  <c r="W3849" i="3" s="1"/>
  <c r="V3871" i="3"/>
  <c r="W3871" i="3" s="1"/>
  <c r="V3961" i="3"/>
  <c r="W3961" i="3" s="1"/>
  <c r="V3973" i="3"/>
  <c r="W3973" i="3" s="1"/>
  <c r="V3988" i="3"/>
  <c r="W3988" i="3" s="1"/>
  <c r="V4088" i="3"/>
  <c r="W4088" i="3" s="1"/>
  <c r="V4092" i="3"/>
  <c r="W4092" i="3" s="1"/>
  <c r="V4153" i="3"/>
  <c r="W4153" i="3" s="1"/>
  <c r="V4188" i="3"/>
  <c r="W4188" i="3" s="1"/>
  <c r="V4237" i="3"/>
  <c r="W4237" i="3" s="1"/>
  <c r="V4356" i="3"/>
  <c r="W4356" i="3" s="1"/>
  <c r="V4385" i="3"/>
  <c r="W4385" i="3" s="1"/>
  <c r="V4407" i="3"/>
  <c r="W4407" i="3" s="1"/>
  <c r="V4411" i="3"/>
  <c r="W4411" i="3" s="1"/>
  <c r="V4422" i="3"/>
  <c r="W4422" i="3" s="1"/>
  <c r="V4425" i="3"/>
  <c r="W4425" i="3" s="1"/>
  <c r="V4429" i="3"/>
  <c r="W4429" i="3" s="1"/>
  <c r="V4447" i="3"/>
  <c r="W4447" i="3" s="1"/>
  <c r="V4448" i="3"/>
  <c r="W4448" i="3" s="1"/>
  <c r="V4488" i="3"/>
  <c r="W4488" i="3" s="1"/>
  <c r="V4537" i="3"/>
  <c r="W4537" i="3" s="1"/>
  <c r="V4563" i="3"/>
  <c r="W4563" i="3" s="1"/>
  <c r="V4616" i="3"/>
  <c r="W4616" i="3" s="1"/>
  <c r="V4658" i="3"/>
  <c r="W4658" i="3" s="1"/>
  <c r="V4669" i="3"/>
  <c r="W4669" i="3" s="1"/>
  <c r="V4735" i="3"/>
  <c r="W4735" i="3" s="1"/>
  <c r="V4738" i="3"/>
  <c r="W4738" i="3" s="1"/>
  <c r="V4793" i="3"/>
  <c r="W4793" i="3" s="1"/>
  <c r="V4810" i="3"/>
  <c r="W4810" i="3" s="1"/>
  <c r="V4819" i="3"/>
  <c r="W4819" i="3" s="1"/>
  <c r="V27" i="3"/>
  <c r="W27" i="3" s="1"/>
  <c r="V31" i="3"/>
  <c r="W31" i="3" s="1"/>
  <c r="V144" i="3"/>
  <c r="W144" i="3" s="1"/>
  <c r="V156" i="3"/>
  <c r="W156" i="3" s="1"/>
  <c r="V179" i="3"/>
  <c r="W179" i="3" s="1"/>
  <c r="V282" i="3"/>
  <c r="W282" i="3" s="1"/>
  <c r="V284" i="3"/>
  <c r="W284" i="3" s="1"/>
  <c r="V341" i="3"/>
  <c r="W341" i="3" s="1"/>
  <c r="V344" i="3"/>
  <c r="W344" i="3" s="1"/>
  <c r="V360" i="3"/>
  <c r="W360" i="3" s="1"/>
  <c r="V406" i="3"/>
  <c r="W406" i="3" s="1"/>
  <c r="V432" i="3"/>
  <c r="W432" i="3" s="1"/>
  <c r="V439" i="3"/>
  <c r="W439" i="3" s="1"/>
  <c r="V441" i="3"/>
  <c r="W441" i="3" s="1"/>
  <c r="V456" i="3"/>
  <c r="W456" i="3" s="1"/>
  <c r="V498" i="3"/>
  <c r="W498" i="3" s="1"/>
  <c r="V502" i="3"/>
  <c r="W502" i="3" s="1"/>
  <c r="V514" i="3"/>
  <c r="W514" i="3" s="1"/>
  <c r="V590" i="3"/>
  <c r="W590" i="3" s="1"/>
  <c r="V599" i="3"/>
  <c r="W599" i="3" s="1"/>
  <c r="V619" i="3"/>
  <c r="W619" i="3" s="1"/>
  <c r="V621" i="3"/>
  <c r="W621" i="3" s="1"/>
  <c r="V681" i="3"/>
  <c r="W681" i="3" s="1"/>
  <c r="V692" i="3"/>
  <c r="W692" i="3" s="1"/>
  <c r="V727" i="3"/>
  <c r="W727" i="3" s="1"/>
  <c r="V731" i="3"/>
  <c r="W731" i="3" s="1"/>
  <c r="V732" i="3"/>
  <c r="W732" i="3" s="1"/>
  <c r="V733" i="3"/>
  <c r="W733" i="3" s="1"/>
  <c r="V783" i="3"/>
  <c r="W783" i="3" s="1"/>
  <c r="V800" i="3"/>
  <c r="W800" i="3" s="1"/>
  <c r="V862" i="3"/>
  <c r="W862" i="3" s="1"/>
  <c r="V878" i="3"/>
  <c r="W878" i="3" s="1"/>
  <c r="V898" i="3"/>
  <c r="W898" i="3" s="1"/>
  <c r="V999" i="3"/>
  <c r="W999" i="3" s="1"/>
  <c r="V1028" i="3"/>
  <c r="W1028" i="3" s="1"/>
  <c r="V1041" i="3"/>
  <c r="W1041" i="3" s="1"/>
  <c r="V1072" i="3"/>
  <c r="W1072" i="3" s="1"/>
  <c r="V1113" i="3"/>
  <c r="W1113" i="3" s="1"/>
  <c r="V1167" i="3"/>
  <c r="W1167" i="3" s="1"/>
  <c r="V1171" i="3"/>
  <c r="W1171" i="3" s="1"/>
  <c r="V1180" i="3"/>
  <c r="W1180" i="3" s="1"/>
  <c r="V1224" i="3"/>
  <c r="W1224" i="3" s="1"/>
  <c r="V1265" i="3"/>
  <c r="W1265" i="3" s="1"/>
  <c r="V1275" i="3"/>
  <c r="W1275" i="3" s="1"/>
  <c r="V1346" i="3"/>
  <c r="W1346" i="3" s="1"/>
  <c r="V1360" i="3"/>
  <c r="W1360" i="3" s="1"/>
  <c r="V1369" i="3"/>
  <c r="W1369" i="3" s="1"/>
  <c r="V1420" i="3"/>
  <c r="W1420" i="3" s="1"/>
  <c r="V1481" i="3"/>
  <c r="W1481" i="3" s="1"/>
  <c r="V1492" i="3"/>
  <c r="W1492" i="3" s="1"/>
  <c r="V1678" i="3"/>
  <c r="W1678" i="3" s="1"/>
  <c r="V1717" i="3"/>
  <c r="W1717" i="3" s="1"/>
  <c r="V1719" i="3"/>
  <c r="W1719" i="3" s="1"/>
  <c r="V1733" i="3"/>
  <c r="W1733" i="3" s="1"/>
  <c r="V1736" i="3"/>
  <c r="W1736" i="3" s="1"/>
  <c r="V1750" i="3"/>
  <c r="W1750" i="3" s="1"/>
  <c r="V1764" i="3"/>
  <c r="W1764" i="3" s="1"/>
  <c r="V1893" i="3"/>
  <c r="W1893" i="3" s="1"/>
  <c r="V1942" i="3"/>
  <c r="W1942" i="3" s="1"/>
  <c r="V1984" i="3"/>
  <c r="W1984" i="3" s="1"/>
  <c r="V1998" i="3"/>
  <c r="W1998" i="3" s="1"/>
  <c r="V2061" i="3"/>
  <c r="W2061" i="3" s="1"/>
  <c r="V2102" i="3"/>
  <c r="W2102" i="3" s="1"/>
  <c r="V2123" i="3"/>
  <c r="W2123" i="3" s="1"/>
  <c r="V2133" i="3"/>
  <c r="W2133" i="3" s="1"/>
  <c r="V2168" i="3"/>
  <c r="W2168" i="3" s="1"/>
  <c r="V2179" i="3"/>
  <c r="W2179" i="3" s="1"/>
  <c r="V2227" i="3"/>
  <c r="W2227" i="3" s="1"/>
  <c r="V2252" i="3"/>
  <c r="W2252" i="3" s="1"/>
  <c r="V2261" i="3"/>
  <c r="W2261" i="3" s="1"/>
  <c r="V2265" i="3"/>
  <c r="W2265" i="3" s="1"/>
  <c r="V2282" i="3"/>
  <c r="W2282" i="3" s="1"/>
  <c r="V2296" i="3"/>
  <c r="W2296" i="3" s="1"/>
  <c r="V2303" i="3"/>
  <c r="W2303" i="3" s="1"/>
  <c r="V2320" i="3"/>
  <c r="W2320" i="3" s="1"/>
  <c r="V2323" i="3"/>
  <c r="W2323" i="3" s="1"/>
  <c r="V2360" i="3"/>
  <c r="W2360" i="3" s="1"/>
  <c r="V2393" i="3"/>
  <c r="W2393" i="3" s="1"/>
  <c r="V2420" i="3"/>
  <c r="W2420" i="3" s="1"/>
  <c r="V2426" i="3"/>
  <c r="W2426" i="3" s="1"/>
  <c r="V2461" i="3"/>
  <c r="W2461" i="3" s="1"/>
  <c r="V2546" i="3"/>
  <c r="W2546" i="3" s="1"/>
  <c r="V2573" i="3"/>
  <c r="W2573" i="3" s="1"/>
  <c r="V2644" i="3"/>
  <c r="W2644" i="3" s="1"/>
  <c r="V2653" i="3"/>
  <c r="W2653" i="3" s="1"/>
  <c r="V2680" i="3"/>
  <c r="W2680" i="3" s="1"/>
  <c r="V2687" i="3"/>
  <c r="W2687" i="3" s="1"/>
  <c r="V2721" i="3"/>
  <c r="W2721" i="3" s="1"/>
  <c r="V2722" i="3"/>
  <c r="W2722" i="3" s="1"/>
  <c r="V2727" i="3"/>
  <c r="W2727" i="3" s="1"/>
  <c r="V2730" i="3"/>
  <c r="W2730" i="3" s="1"/>
  <c r="V2798" i="3"/>
  <c r="W2798" i="3" s="1"/>
  <c r="V2813" i="3"/>
  <c r="W2813" i="3" s="1"/>
  <c r="V2816" i="3"/>
  <c r="W2816" i="3" s="1"/>
  <c r="V2831" i="3"/>
  <c r="W2831" i="3" s="1"/>
  <c r="V2948" i="3"/>
  <c r="W2948" i="3" s="1"/>
  <c r="V2974" i="3"/>
  <c r="W2974" i="3" s="1"/>
  <c r="V3072" i="3"/>
  <c r="W3072" i="3" s="1"/>
  <c r="V3105" i="3"/>
  <c r="W3105" i="3" s="1"/>
  <c r="V3121" i="3"/>
  <c r="W3121" i="3" s="1"/>
  <c r="V3124" i="3"/>
  <c r="W3124" i="3" s="1"/>
  <c r="V3140" i="3"/>
  <c r="W3140" i="3" s="1"/>
  <c r="V3193" i="3"/>
  <c r="W3193" i="3" s="1"/>
  <c r="V3247" i="3"/>
  <c r="W3247" i="3" s="1"/>
  <c r="V3380" i="3"/>
  <c r="W3380" i="3" s="1"/>
  <c r="V3404" i="3"/>
  <c r="W3404" i="3" s="1"/>
  <c r="V3416" i="3"/>
  <c r="W3416" i="3" s="1"/>
  <c r="V3438" i="3"/>
  <c r="W3438" i="3" s="1"/>
  <c r="V3480" i="3"/>
  <c r="W3480" i="3" s="1"/>
  <c r="V3490" i="3"/>
  <c r="W3490" i="3" s="1"/>
  <c r="V3533" i="3"/>
  <c r="W3533" i="3" s="1"/>
  <c r="V3535" i="3"/>
  <c r="W3535" i="3" s="1"/>
  <c r="V3604" i="3"/>
  <c r="W3604" i="3" s="1"/>
  <c r="V3620" i="3"/>
  <c r="W3620" i="3" s="1"/>
  <c r="V3667" i="3"/>
  <c r="W3667" i="3" s="1"/>
  <c r="V3684" i="3"/>
  <c r="W3684" i="3" s="1"/>
  <c r="V3739" i="3"/>
  <c r="W3739" i="3" s="1"/>
  <c r="V3742" i="3"/>
  <c r="W3742" i="3" s="1"/>
  <c r="V3755" i="3"/>
  <c r="W3755" i="3" s="1"/>
  <c r="V3769" i="3"/>
  <c r="W3769" i="3" s="1"/>
  <c r="V3802" i="3"/>
  <c r="W3802" i="3" s="1"/>
  <c r="V3806" i="3"/>
  <c r="W3806" i="3" s="1"/>
  <c r="V3810" i="3"/>
  <c r="W3810" i="3" s="1"/>
  <c r="V3857" i="3"/>
  <c r="W3857" i="3" s="1"/>
  <c r="V3870" i="3"/>
  <c r="W3870" i="3" s="1"/>
  <c r="V3916" i="3"/>
  <c r="W3916" i="3" s="1"/>
  <c r="V3924" i="3"/>
  <c r="W3924" i="3" s="1"/>
  <c r="V3942" i="3"/>
  <c r="W3942" i="3" s="1"/>
  <c r="V3969" i="3"/>
  <c r="W3969" i="3" s="1"/>
  <c r="V3982" i="3"/>
  <c r="W3982" i="3" s="1"/>
  <c r="V4003" i="3"/>
  <c r="W4003" i="3" s="1"/>
  <c r="V4027" i="3"/>
  <c r="W4027" i="3" s="1"/>
  <c r="V4030" i="3"/>
  <c r="W4030" i="3" s="1"/>
  <c r="V4042" i="3"/>
  <c r="W4042" i="3" s="1"/>
  <c r="V4098" i="3"/>
  <c r="W4098" i="3" s="1"/>
  <c r="V4104" i="3"/>
  <c r="W4104" i="3" s="1"/>
  <c r="V4106" i="3"/>
  <c r="W4106" i="3" s="1"/>
  <c r="V4114" i="3"/>
  <c r="W4114" i="3" s="1"/>
  <c r="V4117" i="3"/>
  <c r="W4117" i="3" s="1"/>
  <c r="V4149" i="3"/>
  <c r="W4149" i="3" s="1"/>
  <c r="V4150" i="3"/>
  <c r="W4150" i="3" s="1"/>
  <c r="V4152" i="3"/>
  <c r="W4152" i="3" s="1"/>
  <c r="V4298" i="3"/>
  <c r="W4298" i="3" s="1"/>
  <c r="V4308" i="3"/>
  <c r="W4308" i="3" s="1"/>
  <c r="V4321" i="3"/>
  <c r="W4321" i="3" s="1"/>
  <c r="V4390" i="3"/>
  <c r="W4390" i="3" s="1"/>
  <c r="V4403" i="3"/>
  <c r="W4403" i="3" s="1"/>
  <c r="V4520" i="3"/>
  <c r="W4520" i="3" s="1"/>
  <c r="V4531" i="3"/>
  <c r="W4531" i="3" s="1"/>
  <c r="V4643" i="3"/>
  <c r="W4643" i="3" s="1"/>
  <c r="V4717" i="3"/>
  <c r="W4717" i="3" s="1"/>
  <c r="V4751" i="3"/>
  <c r="W4751" i="3" s="1"/>
  <c r="V4772" i="3"/>
  <c r="W4772" i="3" s="1"/>
  <c r="V4779" i="3"/>
  <c r="W4779" i="3" s="1"/>
  <c r="V4796" i="3"/>
  <c r="W4796" i="3" s="1"/>
  <c r="V4820" i="3"/>
  <c r="W4820" i="3" s="1"/>
  <c r="V133" i="3"/>
  <c r="W133" i="3" s="1"/>
  <c r="V141" i="3"/>
  <c r="W141" i="3" s="1"/>
  <c r="V143" i="3"/>
  <c r="W143" i="3" s="1"/>
  <c r="V288" i="3"/>
  <c r="W288" i="3" s="1"/>
  <c r="V291" i="3"/>
  <c r="W291" i="3" s="1"/>
  <c r="V375" i="3"/>
  <c r="W375" i="3" s="1"/>
  <c r="V524" i="3"/>
  <c r="W524" i="3" s="1"/>
  <c r="V527" i="3"/>
  <c r="W527" i="3" s="1"/>
  <c r="V528" i="3"/>
  <c r="W528" i="3" s="1"/>
  <c r="V657" i="3"/>
  <c r="W657" i="3" s="1"/>
  <c r="V688" i="3"/>
  <c r="W688" i="3" s="1"/>
  <c r="V715" i="3"/>
  <c r="W715" i="3" s="1"/>
  <c r="V740" i="3"/>
  <c r="W740" i="3" s="1"/>
  <c r="V801" i="3"/>
  <c r="W801" i="3" s="1"/>
  <c r="V853" i="3"/>
  <c r="W853" i="3" s="1"/>
  <c r="V946" i="3"/>
  <c r="W946" i="3" s="1"/>
  <c r="V955" i="3"/>
  <c r="W955" i="3" s="1"/>
  <c r="V1020" i="3"/>
  <c r="W1020" i="3" s="1"/>
  <c r="V1039" i="3"/>
  <c r="W1039" i="3" s="1"/>
  <c r="V1067" i="3"/>
  <c r="W1067" i="3" s="1"/>
  <c r="V1107" i="3"/>
  <c r="W1107" i="3" s="1"/>
  <c r="V1138" i="3"/>
  <c r="W1138" i="3" s="1"/>
  <c r="V1140" i="3"/>
  <c r="W1140" i="3" s="1"/>
  <c r="V1147" i="3"/>
  <c r="W1147" i="3" s="1"/>
  <c r="V1256" i="3"/>
  <c r="W1256" i="3" s="1"/>
  <c r="V1257" i="3"/>
  <c r="W1257" i="3" s="1"/>
  <c r="V1264" i="3"/>
  <c r="W1264" i="3" s="1"/>
  <c r="V1298" i="3"/>
  <c r="W1298" i="3" s="1"/>
  <c r="V1312" i="3"/>
  <c r="W1312" i="3" s="1"/>
  <c r="V1441" i="3"/>
  <c r="W1441" i="3" s="1"/>
  <c r="V1568" i="3"/>
  <c r="W1568" i="3" s="1"/>
  <c r="V1648" i="3"/>
  <c r="W1648" i="3" s="1"/>
  <c r="V1651" i="3"/>
  <c r="W1651" i="3" s="1"/>
  <c r="V1689" i="3"/>
  <c r="W1689" i="3" s="1"/>
  <c r="V1696" i="3"/>
  <c r="W1696" i="3" s="1"/>
  <c r="V1697" i="3"/>
  <c r="W1697" i="3" s="1"/>
  <c r="V1780" i="3"/>
  <c r="W1780" i="3" s="1"/>
  <c r="V1920" i="3"/>
  <c r="W1920" i="3" s="1"/>
  <c r="V1947" i="3"/>
  <c r="W1947" i="3" s="1"/>
  <c r="V1996" i="3"/>
  <c r="W1996" i="3" s="1"/>
  <c r="V2105" i="3"/>
  <c r="W2105" i="3" s="1"/>
  <c r="V2127" i="3"/>
  <c r="W2127" i="3" s="1"/>
  <c r="V2193" i="3"/>
  <c r="W2193" i="3" s="1"/>
  <c r="V2242" i="3"/>
  <c r="W2242" i="3" s="1"/>
  <c r="V2258" i="3"/>
  <c r="W2258" i="3" s="1"/>
  <c r="V2274" i="3"/>
  <c r="W2274" i="3" s="1"/>
  <c r="V2353" i="3"/>
  <c r="W2353" i="3" s="1"/>
  <c r="V2375" i="3"/>
  <c r="W2375" i="3" s="1"/>
  <c r="V2384" i="3"/>
  <c r="W2384" i="3" s="1"/>
  <c r="V2396" i="3"/>
  <c r="W2396" i="3" s="1"/>
  <c r="V2575" i="3"/>
  <c r="W2575" i="3" s="1"/>
  <c r="V2588" i="3"/>
  <c r="W2588" i="3" s="1"/>
  <c r="V2618" i="3"/>
  <c r="W2618" i="3" s="1"/>
  <c r="V2761" i="3"/>
  <c r="W2761" i="3" s="1"/>
  <c r="V2830" i="3"/>
  <c r="W2830" i="3" s="1"/>
  <c r="V2897" i="3"/>
  <c r="W2897" i="3" s="1"/>
  <c r="V3094" i="3"/>
  <c r="W3094" i="3" s="1"/>
  <c r="V3111" i="3"/>
  <c r="W3111" i="3" s="1"/>
  <c r="V3156" i="3"/>
  <c r="W3156" i="3" s="1"/>
  <c r="V3187" i="3"/>
  <c r="W3187" i="3" s="1"/>
  <c r="V3269" i="3"/>
  <c r="W3269" i="3" s="1"/>
  <c r="V3282" i="3"/>
  <c r="W3282" i="3" s="1"/>
  <c r="V3285" i="3"/>
  <c r="W3285" i="3" s="1"/>
  <c r="V3288" i="3"/>
  <c r="W3288" i="3" s="1"/>
  <c r="V3363" i="3"/>
  <c r="W3363" i="3" s="1"/>
  <c r="V3364" i="3"/>
  <c r="W3364" i="3" s="1"/>
  <c r="V3374" i="3"/>
  <c r="W3374" i="3" s="1"/>
  <c r="V3424" i="3"/>
  <c r="W3424" i="3" s="1"/>
  <c r="V3452" i="3"/>
  <c r="W3452" i="3" s="1"/>
  <c r="V3474" i="3"/>
  <c r="W3474" i="3" s="1"/>
  <c r="V3514" i="3"/>
  <c r="W3514" i="3" s="1"/>
  <c r="V3691" i="3"/>
  <c r="W3691" i="3" s="1"/>
  <c r="V3751" i="3"/>
  <c r="W3751" i="3" s="1"/>
  <c r="V3757" i="3"/>
  <c r="W3757" i="3" s="1"/>
  <c r="V3758" i="3"/>
  <c r="W3758" i="3" s="1"/>
  <c r="V3913" i="3"/>
  <c r="W3913" i="3" s="1"/>
  <c r="V3931" i="3"/>
  <c r="W3931" i="3" s="1"/>
  <c r="V3968" i="3"/>
  <c r="W3968" i="3" s="1"/>
  <c r="V3980" i="3"/>
  <c r="W3980" i="3" s="1"/>
  <c r="V4039" i="3"/>
  <c r="W4039" i="3" s="1"/>
  <c r="V4103" i="3"/>
  <c r="W4103" i="3" s="1"/>
  <c r="V4108" i="3"/>
  <c r="W4108" i="3" s="1"/>
  <c r="V4113" i="3"/>
  <c r="W4113" i="3" s="1"/>
  <c r="V4195" i="3"/>
  <c r="W4195" i="3" s="1"/>
  <c r="V4252" i="3"/>
  <c r="W4252" i="3" s="1"/>
  <c r="V4397" i="3"/>
  <c r="W4397" i="3" s="1"/>
  <c r="V4517" i="3"/>
  <c r="W4517" i="3" s="1"/>
  <c r="V4609" i="3"/>
  <c r="W4609" i="3" s="1"/>
  <c r="V4696" i="3"/>
  <c r="W4696" i="3" s="1"/>
  <c r="V4834" i="3"/>
  <c r="W4834" i="3" s="1"/>
  <c r="V53" i="3"/>
  <c r="W53" i="3" s="1"/>
  <c r="V90" i="3"/>
  <c r="W90" i="3" s="1"/>
  <c r="V123" i="3"/>
  <c r="W123" i="3" s="1"/>
  <c r="V152" i="3"/>
  <c r="W152" i="3" s="1"/>
  <c r="V182" i="3"/>
  <c r="W182" i="3" s="1"/>
  <c r="V244" i="3"/>
  <c r="W244" i="3" s="1"/>
  <c r="V429" i="3"/>
  <c r="W429" i="3" s="1"/>
  <c r="V512" i="3"/>
  <c r="W512" i="3" s="1"/>
  <c r="V607" i="3"/>
  <c r="W607" i="3" s="1"/>
  <c r="V636" i="3"/>
  <c r="W636" i="3" s="1"/>
  <c r="V717" i="3"/>
  <c r="W717" i="3" s="1"/>
  <c r="V720" i="3"/>
  <c r="W720" i="3" s="1"/>
  <c r="V739" i="3"/>
  <c r="W739" i="3" s="1"/>
  <c r="V747" i="3"/>
  <c r="W747" i="3" s="1"/>
  <c r="V923" i="3"/>
  <c r="W923" i="3" s="1"/>
  <c r="V931" i="3"/>
  <c r="W931" i="3" s="1"/>
  <c r="V993" i="3"/>
  <c r="W993" i="3" s="1"/>
  <c r="V1019" i="3"/>
  <c r="W1019" i="3" s="1"/>
  <c r="V1159" i="3"/>
  <c r="W1159" i="3" s="1"/>
  <c r="V1162" i="3"/>
  <c r="W1162" i="3" s="1"/>
  <c r="V1319" i="3"/>
  <c r="W1319" i="3" s="1"/>
  <c r="V1341" i="3"/>
  <c r="W1341" i="3" s="1"/>
  <c r="V1354" i="3"/>
  <c r="W1354" i="3" s="1"/>
  <c r="V1358" i="3"/>
  <c r="W1358" i="3" s="1"/>
  <c r="V1376" i="3"/>
  <c r="W1376" i="3" s="1"/>
  <c r="V1445" i="3"/>
  <c r="W1445" i="3" s="1"/>
  <c r="V1533" i="3"/>
  <c r="W1533" i="3" s="1"/>
  <c r="V1539" i="3"/>
  <c r="W1539" i="3" s="1"/>
  <c r="V1561" i="3"/>
  <c r="W1561" i="3" s="1"/>
  <c r="V1615" i="3"/>
  <c r="W1615" i="3" s="1"/>
  <c r="V1834" i="3"/>
  <c r="W1834" i="3" s="1"/>
  <c r="V1859" i="3"/>
  <c r="W1859" i="3" s="1"/>
  <c r="V1927" i="3"/>
  <c r="W1927" i="3" s="1"/>
  <c r="V1939" i="3"/>
  <c r="W1939" i="3" s="1"/>
  <c r="V1945" i="3"/>
  <c r="W1945" i="3" s="1"/>
  <c r="V2027" i="3"/>
  <c r="W2027" i="3" s="1"/>
  <c r="V2089" i="3"/>
  <c r="W2089" i="3" s="1"/>
  <c r="V2108" i="3"/>
  <c r="W2108" i="3" s="1"/>
  <c r="V2159" i="3"/>
  <c r="W2159" i="3" s="1"/>
  <c r="V2163" i="3"/>
  <c r="W2163" i="3" s="1"/>
  <c r="V2171" i="3"/>
  <c r="W2171" i="3" s="1"/>
  <c r="V2250" i="3"/>
  <c r="W2250" i="3" s="1"/>
  <c r="V2472" i="3"/>
  <c r="W2472" i="3" s="1"/>
  <c r="V2518" i="3"/>
  <c r="W2518" i="3" s="1"/>
  <c r="V2614" i="3"/>
  <c r="W2614" i="3" s="1"/>
  <c r="V2640" i="3"/>
  <c r="W2640" i="3" s="1"/>
  <c r="V2651" i="3"/>
  <c r="W2651" i="3" s="1"/>
  <c r="V2717" i="3"/>
  <c r="W2717" i="3" s="1"/>
  <c r="V2723" i="3"/>
  <c r="W2723" i="3" s="1"/>
  <c r="V2863" i="3"/>
  <c r="W2863" i="3" s="1"/>
  <c r="V2868" i="3"/>
  <c r="W2868" i="3" s="1"/>
  <c r="V2950" i="3"/>
  <c r="W2950" i="3" s="1"/>
  <c r="V2992" i="3"/>
  <c r="W2992" i="3" s="1"/>
  <c r="V2997" i="3"/>
  <c r="W2997" i="3" s="1"/>
  <c r="V3061" i="3"/>
  <c r="W3061" i="3" s="1"/>
  <c r="V3064" i="3"/>
  <c r="W3064" i="3" s="1"/>
  <c r="V3075" i="3"/>
  <c r="W3075" i="3" s="1"/>
  <c r="V3102" i="3"/>
  <c r="W3102" i="3" s="1"/>
  <c r="V3119" i="3"/>
  <c r="W3119" i="3" s="1"/>
  <c r="V3133" i="3"/>
  <c r="W3133" i="3" s="1"/>
  <c r="V3208" i="3"/>
  <c r="W3208" i="3" s="1"/>
  <c r="V3214" i="3"/>
  <c r="W3214" i="3" s="1"/>
  <c r="V3321" i="3"/>
  <c r="W3321" i="3" s="1"/>
  <c r="V3397" i="3"/>
  <c r="W3397" i="3" s="1"/>
  <c r="V3590" i="3"/>
  <c r="W3590" i="3" s="1"/>
  <c r="V3687" i="3"/>
  <c r="W3687" i="3" s="1"/>
  <c r="V3698" i="3"/>
  <c r="W3698" i="3" s="1"/>
  <c r="V3726" i="3"/>
  <c r="W3726" i="3" s="1"/>
  <c r="V3738" i="3"/>
  <c r="W3738" i="3" s="1"/>
  <c r="V3762" i="3"/>
  <c r="W3762" i="3" s="1"/>
  <c r="V3800" i="3"/>
  <c r="W3800" i="3" s="1"/>
  <c r="V3858" i="3"/>
  <c r="W3858" i="3" s="1"/>
  <c r="V3914" i="3"/>
  <c r="W3914" i="3" s="1"/>
  <c r="V4019" i="3"/>
  <c r="W4019" i="3" s="1"/>
  <c r="V4105" i="3"/>
  <c r="W4105" i="3" s="1"/>
  <c r="V4192" i="3"/>
  <c r="W4192" i="3" s="1"/>
  <c r="V4229" i="3"/>
  <c r="W4229" i="3" s="1"/>
  <c r="V4262" i="3"/>
  <c r="W4262" i="3" s="1"/>
  <c r="V4303" i="3"/>
  <c r="W4303" i="3" s="1"/>
  <c r="V4393" i="3"/>
  <c r="W4393" i="3" s="1"/>
  <c r="V4440" i="3"/>
  <c r="W4440" i="3" s="1"/>
  <c r="V4727" i="3"/>
  <c r="W4727" i="3" s="1"/>
  <c r="V41" i="3"/>
  <c r="W41" i="3" s="1"/>
  <c r="V105" i="3"/>
  <c r="W105" i="3" s="1"/>
  <c r="V107" i="3"/>
  <c r="W107" i="3" s="1"/>
  <c r="V428" i="3"/>
  <c r="W428" i="3" s="1"/>
  <c r="V1029" i="3"/>
  <c r="W1029" i="3" s="1"/>
  <c r="V1157" i="3"/>
  <c r="W1157" i="3" s="1"/>
  <c r="V1307" i="3"/>
  <c r="W1307" i="3" s="1"/>
  <c r="V1421" i="3"/>
  <c r="W1421" i="3" s="1"/>
  <c r="V1484" i="3"/>
  <c r="W1484" i="3" s="1"/>
  <c r="V1575" i="3"/>
  <c r="W1575" i="3" s="1"/>
  <c r="V1803" i="3"/>
  <c r="W1803" i="3" s="1"/>
  <c r="V1832" i="3"/>
  <c r="W1832" i="3" s="1"/>
  <c r="V1931" i="3"/>
  <c r="W1931" i="3" s="1"/>
  <c r="V1968" i="3"/>
  <c r="W1968" i="3" s="1"/>
  <c r="V1989" i="3"/>
  <c r="W1989" i="3" s="1"/>
  <c r="V2091" i="3"/>
  <c r="W2091" i="3" s="1"/>
  <c r="V2104" i="3"/>
  <c r="W2104" i="3" s="1"/>
  <c r="V2111" i="3"/>
  <c r="W2111" i="3" s="1"/>
  <c r="V2307" i="3"/>
  <c r="W2307" i="3" s="1"/>
  <c r="V2321" i="3"/>
  <c r="W2321" i="3" s="1"/>
  <c r="V2517" i="3"/>
  <c r="W2517" i="3" s="1"/>
  <c r="V2534" i="3"/>
  <c r="W2534" i="3" s="1"/>
  <c r="V2620" i="3"/>
  <c r="W2620" i="3" s="1"/>
  <c r="V2726" i="3"/>
  <c r="W2726" i="3" s="1"/>
  <c r="V2820" i="3"/>
  <c r="W2820" i="3" s="1"/>
  <c r="V2859" i="3"/>
  <c r="W2859" i="3" s="1"/>
  <c r="V2918" i="3"/>
  <c r="W2918" i="3" s="1"/>
  <c r="V2964" i="3"/>
  <c r="W2964" i="3" s="1"/>
  <c r="V3063" i="3"/>
  <c r="W3063" i="3" s="1"/>
  <c r="V3117" i="3"/>
  <c r="W3117" i="3" s="1"/>
  <c r="V3220" i="3"/>
  <c r="W3220" i="3" s="1"/>
  <c r="V3299" i="3"/>
  <c r="W3299" i="3" s="1"/>
  <c r="V3342" i="3"/>
  <c r="W3342" i="3" s="1"/>
  <c r="V3384" i="3"/>
  <c r="W3384" i="3" s="1"/>
  <c r="V3407" i="3"/>
  <c r="W3407" i="3" s="1"/>
  <c r="V3466" i="3"/>
  <c r="W3466" i="3" s="1"/>
  <c r="V3501" i="3"/>
  <c r="W3501" i="3" s="1"/>
  <c r="V3526" i="3"/>
  <c r="W3526" i="3" s="1"/>
  <c r="V3554" i="3"/>
  <c r="W3554" i="3" s="1"/>
  <c r="V3579" i="3"/>
  <c r="W3579" i="3" s="1"/>
  <c r="V3693" i="3"/>
  <c r="W3693" i="3" s="1"/>
  <c r="V3840" i="3"/>
  <c r="W3840" i="3" s="1"/>
  <c r="V3946" i="3"/>
  <c r="W3946" i="3" s="1"/>
  <c r="V4255" i="3"/>
  <c r="W4255" i="3" s="1"/>
  <c r="V4420" i="3"/>
  <c r="W4420" i="3" s="1"/>
  <c r="V4433" i="3"/>
  <c r="W4433" i="3" s="1"/>
  <c r="V4634" i="3"/>
  <c r="W4634" i="3" s="1"/>
  <c r="V198" i="3"/>
  <c r="W198" i="3" s="1"/>
  <c r="V393" i="3"/>
  <c r="W393" i="3" s="1"/>
  <c r="V397" i="3"/>
  <c r="W397" i="3" s="1"/>
  <c r="V465" i="3"/>
  <c r="W465" i="3" s="1"/>
  <c r="V499" i="3"/>
  <c r="W499" i="3" s="1"/>
  <c r="V622" i="3"/>
  <c r="W622" i="3" s="1"/>
  <c r="V752" i="3"/>
  <c r="W752" i="3" s="1"/>
  <c r="V830" i="3"/>
  <c r="W830" i="3" s="1"/>
  <c r="V884" i="3"/>
  <c r="W884" i="3" s="1"/>
  <c r="V943" i="3"/>
  <c r="W943" i="3" s="1"/>
  <c r="V1054" i="3"/>
  <c r="W1054" i="3" s="1"/>
  <c r="V1145" i="3"/>
  <c r="W1145" i="3" s="1"/>
  <c r="V1479" i="3"/>
  <c r="W1479" i="3" s="1"/>
  <c r="V1544" i="3"/>
  <c r="W1544" i="3" s="1"/>
  <c r="V1573" i="3"/>
  <c r="W1573" i="3" s="1"/>
  <c r="V1700" i="3"/>
  <c r="W1700" i="3" s="1"/>
  <c r="V1810" i="3"/>
  <c r="W1810" i="3" s="1"/>
  <c r="V2067" i="3"/>
  <c r="W2067" i="3" s="1"/>
  <c r="V2113" i="3"/>
  <c r="W2113" i="3" s="1"/>
  <c r="V2292" i="3"/>
  <c r="W2292" i="3" s="1"/>
  <c r="V2605" i="3"/>
  <c r="W2605" i="3" s="1"/>
  <c r="V2657" i="3"/>
  <c r="W2657" i="3" s="1"/>
  <c r="V2664" i="3"/>
  <c r="W2664" i="3" s="1"/>
  <c r="V2693" i="3"/>
  <c r="W2693" i="3" s="1"/>
  <c r="V2977" i="3"/>
  <c r="W2977" i="3" s="1"/>
  <c r="V3019" i="3"/>
  <c r="W3019" i="3" s="1"/>
  <c r="V3023" i="3"/>
  <c r="W3023" i="3" s="1"/>
  <c r="V3356" i="3"/>
  <c r="W3356" i="3" s="1"/>
  <c r="V3378" i="3"/>
  <c r="W3378" i="3" s="1"/>
  <c r="V3448" i="3"/>
  <c r="W3448" i="3" s="1"/>
  <c r="V3681" i="3"/>
  <c r="W3681" i="3" s="1"/>
  <c r="V3779" i="3"/>
  <c r="W3779" i="3" s="1"/>
  <c r="V3862" i="3"/>
  <c r="W3862" i="3" s="1"/>
  <c r="V3894" i="3"/>
  <c r="W3894" i="3" s="1"/>
  <c r="V3912" i="3"/>
  <c r="W3912" i="3" s="1"/>
  <c r="V3927" i="3"/>
  <c r="W3927" i="3" s="1"/>
  <c r="V3993" i="3"/>
  <c r="W3993" i="3" s="1"/>
  <c r="V4000" i="3"/>
  <c r="W4000" i="3" s="1"/>
  <c r="V4080" i="3"/>
  <c r="W4080" i="3" s="1"/>
  <c r="V4374" i="3"/>
  <c r="W4374" i="3" s="1"/>
  <c r="V4378" i="3"/>
  <c r="W4378" i="3" s="1"/>
  <c r="V4389" i="3"/>
  <c r="W4389" i="3" s="1"/>
  <c r="V4436" i="3"/>
  <c r="W4436" i="3" s="1"/>
  <c r="V4496" i="3"/>
  <c r="W4496" i="3" s="1"/>
  <c r="V4684" i="3"/>
  <c r="W4684" i="3" s="1"/>
  <c r="V4811" i="3"/>
  <c r="W4811" i="3" s="1"/>
  <c r="V64" i="3"/>
  <c r="W64" i="3" s="1"/>
  <c r="V153" i="3"/>
  <c r="W153" i="3" s="1"/>
  <c r="V200" i="3"/>
  <c r="W200" i="3" s="1"/>
  <c r="V373" i="3"/>
  <c r="W373" i="3" s="1"/>
  <c r="V410" i="3"/>
  <c r="W410" i="3" s="1"/>
  <c r="V550" i="3"/>
  <c r="W550" i="3" s="1"/>
  <c r="V823" i="3"/>
  <c r="W823" i="3" s="1"/>
  <c r="V846" i="3"/>
  <c r="W846" i="3" s="1"/>
  <c r="V963" i="3"/>
  <c r="W963" i="3" s="1"/>
  <c r="V969" i="3"/>
  <c r="W969" i="3" s="1"/>
  <c r="V1033" i="3"/>
  <c r="W1033" i="3" s="1"/>
  <c r="V1203" i="3"/>
  <c r="W1203" i="3" s="1"/>
  <c r="V1333" i="3"/>
  <c r="W1333" i="3" s="1"/>
  <c r="V1440" i="3"/>
  <c r="W1440" i="3" s="1"/>
  <c r="V1609" i="3"/>
  <c r="W1609" i="3" s="1"/>
  <c r="V1706" i="3"/>
  <c r="W1706" i="3" s="1"/>
  <c r="V1762" i="3"/>
  <c r="W1762" i="3" s="1"/>
  <c r="V1890" i="3"/>
  <c r="W1890" i="3" s="1"/>
  <c r="V1895" i="3"/>
  <c r="W1895" i="3" s="1"/>
  <c r="V2096" i="3"/>
  <c r="W2096" i="3" s="1"/>
  <c r="V2124" i="3"/>
  <c r="W2124" i="3" s="1"/>
  <c r="V2137" i="3"/>
  <c r="W2137" i="3" s="1"/>
  <c r="V2228" i="3"/>
  <c r="W2228" i="3" s="1"/>
  <c r="V2263" i="3"/>
  <c r="W2263" i="3" s="1"/>
  <c r="V2275" i="3"/>
  <c r="W2275" i="3" s="1"/>
  <c r="V2308" i="3"/>
  <c r="W2308" i="3" s="1"/>
  <c r="V2358" i="3"/>
  <c r="W2358" i="3" s="1"/>
  <c r="V2378" i="3"/>
  <c r="W2378" i="3" s="1"/>
  <c r="V2442" i="3"/>
  <c r="W2442" i="3" s="1"/>
  <c r="V2527" i="3"/>
  <c r="W2527" i="3" s="1"/>
  <c r="V2663" i="3"/>
  <c r="W2663" i="3" s="1"/>
  <c r="V2739" i="3"/>
  <c r="W2739" i="3" s="1"/>
  <c r="V2759" i="3"/>
  <c r="W2759" i="3" s="1"/>
  <c r="V2793" i="3"/>
  <c r="W2793" i="3" s="1"/>
  <c r="V2811" i="3"/>
  <c r="W2811" i="3" s="1"/>
  <c r="V2850" i="3"/>
  <c r="W2850" i="3" s="1"/>
  <c r="V2965" i="3"/>
  <c r="W2965" i="3" s="1"/>
  <c r="V3045" i="3"/>
  <c r="W3045" i="3" s="1"/>
  <c r="V3110" i="3"/>
  <c r="W3110" i="3" s="1"/>
  <c r="V3118" i="3"/>
  <c r="W3118" i="3" s="1"/>
  <c r="V3192" i="3"/>
  <c r="W3192" i="3" s="1"/>
  <c r="V3371" i="3"/>
  <c r="W3371" i="3" s="1"/>
  <c r="V3402" i="3"/>
  <c r="W3402" i="3" s="1"/>
  <c r="V3446" i="3"/>
  <c r="W3446" i="3" s="1"/>
  <c r="V3565" i="3"/>
  <c r="W3565" i="3" s="1"/>
  <c r="V3651" i="3"/>
  <c r="W3651" i="3" s="1"/>
  <c r="V3724" i="3"/>
  <c r="W3724" i="3" s="1"/>
  <c r="V3890" i="3"/>
  <c r="W3890" i="3" s="1"/>
  <c r="V3910" i="3"/>
  <c r="W3910" i="3" s="1"/>
  <c r="V4028" i="3"/>
  <c r="W4028" i="3" s="1"/>
  <c r="V4034" i="3"/>
  <c r="W4034" i="3" s="1"/>
  <c r="V4177" i="3"/>
  <c r="W4177" i="3" s="1"/>
  <c r="V4184" i="3"/>
  <c r="W4184" i="3" s="1"/>
  <c r="V4340" i="3"/>
  <c r="W4340" i="3" s="1"/>
  <c r="V4388" i="3"/>
  <c r="W4388" i="3" s="1"/>
  <c r="V4463" i="3"/>
  <c r="W4463" i="3" s="1"/>
  <c r="V4479" i="3"/>
  <c r="W4479" i="3" s="1"/>
  <c r="V4572" i="3"/>
  <c r="W4572" i="3" s="1"/>
  <c r="V4598" i="3"/>
  <c r="W4598" i="3" s="1"/>
  <c r="V4633" i="3"/>
  <c r="W4633" i="3" s="1"/>
  <c r="V4640" i="3"/>
  <c r="W4640" i="3" s="1"/>
  <c r="V4661" i="3"/>
  <c r="W4661" i="3" s="1"/>
  <c r="V4720" i="3"/>
  <c r="W4720" i="3" s="1"/>
  <c r="V4780" i="3"/>
  <c r="W4780" i="3" s="1"/>
  <c r="V4809" i="3"/>
  <c r="W4809" i="3" s="1"/>
  <c r="V189" i="3"/>
  <c r="W189" i="3" s="1"/>
  <c r="V255" i="3"/>
  <c r="W255" i="3" s="1"/>
  <c r="V384" i="3"/>
  <c r="W384" i="3" s="1"/>
  <c r="V402" i="3"/>
  <c r="W402" i="3" s="1"/>
  <c r="V447" i="3"/>
  <c r="W447" i="3" s="1"/>
  <c r="V482" i="3"/>
  <c r="W482" i="3" s="1"/>
  <c r="V495" i="3"/>
  <c r="W495" i="3" s="1"/>
  <c r="V549" i="3"/>
  <c r="W549" i="3" s="1"/>
  <c r="V558" i="3"/>
  <c r="W558" i="3" s="1"/>
  <c r="V644" i="3"/>
  <c r="W644" i="3" s="1"/>
  <c r="V682" i="3"/>
  <c r="W682" i="3" s="1"/>
  <c r="V781" i="3"/>
  <c r="W781" i="3" s="1"/>
  <c r="V795" i="3"/>
  <c r="W795" i="3" s="1"/>
  <c r="V903" i="3"/>
  <c r="W903" i="3" s="1"/>
  <c r="V919" i="3"/>
  <c r="W919" i="3" s="1"/>
  <c r="V1004" i="3"/>
  <c r="W1004" i="3" s="1"/>
  <c r="V1073" i="3"/>
  <c r="W1073" i="3" s="1"/>
  <c r="V1124" i="3"/>
  <c r="W1124" i="3" s="1"/>
  <c r="V1185" i="3"/>
  <c r="W1185" i="3" s="1"/>
  <c r="V1230" i="3"/>
  <c r="W1230" i="3" s="1"/>
  <c r="V1259" i="3"/>
  <c r="W1259" i="3" s="1"/>
  <c r="V1311" i="3"/>
  <c r="W1311" i="3" s="1"/>
  <c r="V1342" i="3"/>
  <c r="W1342" i="3" s="1"/>
  <c r="V1344" i="3"/>
  <c r="W1344" i="3" s="1"/>
  <c r="V1378" i="3"/>
  <c r="W1378" i="3" s="1"/>
  <c r="V1447" i="3"/>
  <c r="W1447" i="3" s="1"/>
  <c r="V1486" i="3"/>
  <c r="W1486" i="3" s="1"/>
  <c r="V1551" i="3"/>
  <c r="W1551" i="3" s="1"/>
  <c r="V1618" i="3"/>
  <c r="W1618" i="3" s="1"/>
  <c r="V1644" i="3"/>
  <c r="W1644" i="3" s="1"/>
  <c r="V1828" i="3"/>
  <c r="W1828" i="3" s="1"/>
  <c r="V1905" i="3"/>
  <c r="W1905" i="3" s="1"/>
  <c r="V1971" i="3"/>
  <c r="W1971" i="3" s="1"/>
  <c r="V2073" i="3"/>
  <c r="W2073" i="3" s="1"/>
  <c r="V2142" i="3"/>
  <c r="W2142" i="3" s="1"/>
  <c r="V2167" i="3"/>
  <c r="W2167" i="3" s="1"/>
  <c r="V2280" i="3"/>
  <c r="W2280" i="3" s="1"/>
  <c r="V2316" i="3"/>
  <c r="W2316" i="3" s="1"/>
  <c r="V2459" i="3"/>
  <c r="W2459" i="3" s="1"/>
  <c r="V2492" i="3"/>
  <c r="W2492" i="3" s="1"/>
  <c r="V2607" i="3"/>
  <c r="W2607" i="3" s="1"/>
  <c r="V2616" i="3"/>
  <c r="W2616" i="3" s="1"/>
  <c r="V2662" i="3"/>
  <c r="W2662" i="3" s="1"/>
  <c r="V2796" i="3"/>
  <c r="W2796" i="3" s="1"/>
  <c r="V2800" i="3"/>
  <c r="W2800" i="3" s="1"/>
  <c r="V2894" i="3"/>
  <c r="W2894" i="3" s="1"/>
  <c r="V2959" i="3"/>
  <c r="W2959" i="3" s="1"/>
  <c r="V2962" i="3"/>
  <c r="W2962" i="3" s="1"/>
  <c r="V2968" i="3"/>
  <c r="W2968" i="3" s="1"/>
  <c r="V3047" i="3"/>
  <c r="W3047" i="3" s="1"/>
  <c r="V3068" i="3"/>
  <c r="W3068" i="3" s="1"/>
  <c r="V3320" i="3"/>
  <c r="W3320" i="3" s="1"/>
  <c r="V3349" i="3"/>
  <c r="W3349" i="3" s="1"/>
  <c r="V3462" i="3"/>
  <c r="W3462" i="3" s="1"/>
  <c r="V3516" i="3"/>
  <c r="W3516" i="3" s="1"/>
  <c r="V3578" i="3"/>
  <c r="W3578" i="3" s="1"/>
  <c r="V3616" i="3"/>
  <c r="W3616" i="3" s="1"/>
  <c r="V3647" i="3"/>
  <c r="W3647" i="3" s="1"/>
  <c r="V3659" i="3"/>
  <c r="W3659" i="3" s="1"/>
  <c r="V3716" i="3"/>
  <c r="W3716" i="3" s="1"/>
  <c r="V3740" i="3"/>
  <c r="W3740" i="3" s="1"/>
  <c r="V3797" i="3"/>
  <c r="W3797" i="3" s="1"/>
  <c r="V3801" i="3"/>
  <c r="W3801" i="3" s="1"/>
  <c r="V3847" i="3"/>
  <c r="W3847" i="3" s="1"/>
  <c r="V4166" i="3"/>
  <c r="W4166" i="3" s="1"/>
  <c r="V4266" i="3"/>
  <c r="W4266" i="3" s="1"/>
  <c r="V4289" i="3"/>
  <c r="W4289" i="3" s="1"/>
  <c r="V4325" i="3"/>
  <c r="W4325" i="3" s="1"/>
  <c r="V4453" i="3"/>
  <c r="W4453" i="3" s="1"/>
  <c r="V4553" i="3"/>
  <c r="W4553" i="3" s="1"/>
  <c r="V4619" i="3"/>
  <c r="W4619" i="3" s="1"/>
  <c r="V4707" i="3"/>
  <c r="W4707" i="3" s="1"/>
  <c r="V4744" i="3"/>
  <c r="W4744" i="3" s="1"/>
  <c r="V4749" i="3"/>
  <c r="W4749" i="3" s="1"/>
  <c r="V4791" i="3"/>
  <c r="W4791" i="3" s="1"/>
  <c r="V29" i="3"/>
  <c r="W29" i="3" s="1"/>
  <c r="V50" i="3"/>
  <c r="W50" i="3" s="1"/>
  <c r="V116" i="3"/>
  <c r="W116" i="3" s="1"/>
  <c r="V145" i="3"/>
  <c r="W145" i="3" s="1"/>
  <c r="V193" i="3"/>
  <c r="W193" i="3" s="1"/>
  <c r="V346" i="3"/>
  <c r="W346" i="3" s="1"/>
  <c r="V357" i="3"/>
  <c r="W357" i="3" s="1"/>
  <c r="V472" i="3"/>
  <c r="W472" i="3" s="1"/>
  <c r="V573" i="3"/>
  <c r="W573" i="3" s="1"/>
  <c r="V620" i="3"/>
  <c r="W620" i="3" s="1"/>
  <c r="V700" i="3"/>
  <c r="W700" i="3" s="1"/>
  <c r="V791" i="3"/>
  <c r="W791" i="3" s="1"/>
  <c r="V834" i="3"/>
  <c r="W834" i="3" s="1"/>
  <c r="V962" i="3"/>
  <c r="W962" i="3" s="1"/>
  <c r="V973" i="3"/>
  <c r="W973" i="3" s="1"/>
  <c r="V1003" i="3"/>
  <c r="W1003" i="3" s="1"/>
  <c r="V1022" i="3"/>
  <c r="W1022" i="3" s="1"/>
  <c r="V1050" i="3"/>
  <c r="W1050" i="3" s="1"/>
  <c r="V1114" i="3"/>
  <c r="W1114" i="3" s="1"/>
  <c r="V1188" i="3"/>
  <c r="W1188" i="3" s="1"/>
  <c r="V1190" i="3"/>
  <c r="W1190" i="3" s="1"/>
  <c r="V1196" i="3"/>
  <c r="W1196" i="3" s="1"/>
  <c r="V1248" i="3"/>
  <c r="W1248" i="3" s="1"/>
  <c r="V1270" i="3"/>
  <c r="W1270" i="3" s="1"/>
  <c r="V1280" i="3"/>
  <c r="W1280" i="3" s="1"/>
  <c r="V1321" i="3"/>
  <c r="W1321" i="3" s="1"/>
  <c r="V1332" i="3"/>
  <c r="W1332" i="3" s="1"/>
  <c r="V1338" i="3"/>
  <c r="W1338" i="3" s="1"/>
  <c r="V1602" i="3"/>
  <c r="W1602" i="3" s="1"/>
  <c r="V1656" i="3"/>
  <c r="W1656" i="3" s="1"/>
  <c r="V1665" i="3"/>
  <c r="W1665" i="3" s="1"/>
  <c r="V1858" i="3"/>
  <c r="W1858" i="3" s="1"/>
  <c r="V1888" i="3"/>
  <c r="W1888" i="3" s="1"/>
  <c r="V1913" i="3"/>
  <c r="W1913" i="3" s="1"/>
  <c r="V1959" i="3"/>
  <c r="W1959" i="3" s="1"/>
  <c r="V1960" i="3"/>
  <c r="W1960" i="3" s="1"/>
  <c r="V1999" i="3"/>
  <c r="W1999" i="3" s="1"/>
  <c r="V2031" i="3"/>
  <c r="W2031" i="3" s="1"/>
  <c r="V2146" i="3"/>
  <c r="W2146" i="3" s="1"/>
  <c r="V2236" i="3"/>
  <c r="W2236" i="3" s="1"/>
  <c r="V2268" i="3"/>
  <c r="W2268" i="3" s="1"/>
  <c r="V2304" i="3"/>
  <c r="W2304" i="3" s="1"/>
  <c r="V2311" i="3"/>
  <c r="W2311" i="3" s="1"/>
  <c r="V2326" i="3"/>
  <c r="W2326" i="3" s="1"/>
  <c r="V2385" i="3"/>
  <c r="W2385" i="3" s="1"/>
  <c r="V2417" i="3"/>
  <c r="W2417" i="3" s="1"/>
  <c r="V2493" i="3"/>
  <c r="W2493" i="3" s="1"/>
  <c r="V2504" i="3"/>
  <c r="W2504" i="3" s="1"/>
  <c r="V2604" i="3"/>
  <c r="W2604" i="3" s="1"/>
  <c r="V2708" i="3"/>
  <c r="W2708" i="3" s="1"/>
  <c r="V2756" i="3"/>
  <c r="W2756" i="3" s="1"/>
  <c r="V2773" i="3"/>
  <c r="W2773" i="3" s="1"/>
  <c r="V2819" i="3"/>
  <c r="W2819" i="3" s="1"/>
  <c r="V2851" i="3"/>
  <c r="W2851" i="3" s="1"/>
  <c r="V2967" i="3"/>
  <c r="W2967" i="3" s="1"/>
  <c r="V3013" i="3"/>
  <c r="W3013" i="3" s="1"/>
  <c r="V3036" i="3"/>
  <c r="W3036" i="3" s="1"/>
  <c r="V3055" i="3"/>
  <c r="W3055" i="3" s="1"/>
  <c r="V3103" i="3"/>
  <c r="W3103" i="3" s="1"/>
  <c r="V3122" i="3"/>
  <c r="W3122" i="3" s="1"/>
  <c r="V3207" i="3"/>
  <c r="W3207" i="3" s="1"/>
  <c r="V3226" i="3"/>
  <c r="W3226" i="3" s="1"/>
  <c r="V3281" i="3"/>
  <c r="W3281" i="3" s="1"/>
  <c r="V3294" i="3"/>
  <c r="W3294" i="3" s="1"/>
  <c r="V3346" i="3"/>
  <c r="W3346" i="3" s="1"/>
  <c r="V3359" i="3"/>
  <c r="W3359" i="3" s="1"/>
  <c r="V3408" i="3"/>
  <c r="W3408" i="3" s="1"/>
  <c r="V3415" i="3"/>
  <c r="W3415" i="3" s="1"/>
  <c r="V3507" i="3"/>
  <c r="W3507" i="3" s="1"/>
  <c r="V3521" i="3"/>
  <c r="W3521" i="3" s="1"/>
  <c r="V3559" i="3"/>
  <c r="W3559" i="3" s="1"/>
  <c r="V3617" i="3"/>
  <c r="W3617" i="3" s="1"/>
  <c r="V3661" i="3"/>
  <c r="W3661" i="3" s="1"/>
  <c r="V3756" i="3"/>
  <c r="W3756" i="3" s="1"/>
  <c r="V3766" i="3"/>
  <c r="W3766" i="3" s="1"/>
  <c r="V3778" i="3"/>
  <c r="W3778" i="3" s="1"/>
  <c r="V3837" i="3"/>
  <c r="W3837" i="3" s="1"/>
  <c r="V3851" i="3"/>
  <c r="W3851" i="3" s="1"/>
  <c r="V4116" i="3"/>
  <c r="W4116" i="3" s="1"/>
  <c r="V4258" i="3"/>
  <c r="W4258" i="3" s="1"/>
  <c r="V4335" i="3"/>
  <c r="W4335" i="3" s="1"/>
  <c r="V4338" i="3"/>
  <c r="W4338" i="3" s="1"/>
  <c r="V4410" i="3"/>
  <c r="W4410" i="3" s="1"/>
  <c r="V4415" i="3"/>
  <c r="W4415" i="3" s="1"/>
  <c r="V4638" i="3"/>
  <c r="W4638" i="3" s="1"/>
  <c r="V4645" i="3"/>
  <c r="W4645" i="3" s="1"/>
  <c r="V4646" i="3"/>
  <c r="W4646" i="3" s="1"/>
  <c r="V4672" i="3"/>
  <c r="W4672" i="3" s="1"/>
  <c r="V4778" i="3"/>
  <c r="W4778" i="3" s="1"/>
  <c r="V24" i="3"/>
  <c r="W24" i="3" s="1"/>
  <c r="V95" i="3"/>
  <c r="W95" i="3" s="1"/>
  <c r="V149" i="3"/>
  <c r="W149" i="3" s="1"/>
  <c r="V185" i="3"/>
  <c r="W185" i="3" s="1"/>
  <c r="V225" i="3"/>
  <c r="W225" i="3" s="1"/>
  <c r="V228" i="3"/>
  <c r="W228" i="3" s="1"/>
  <c r="V229" i="3"/>
  <c r="W229" i="3" s="1"/>
  <c r="V239" i="3"/>
  <c r="W239" i="3" s="1"/>
  <c r="V254" i="3"/>
  <c r="W254" i="3" s="1"/>
  <c r="V281" i="3"/>
  <c r="W281" i="3" s="1"/>
  <c r="V321" i="3"/>
  <c r="W321" i="3" s="1"/>
  <c r="V353" i="3"/>
  <c r="W353" i="3" s="1"/>
  <c r="V418" i="3"/>
  <c r="W418" i="3" s="1"/>
  <c r="V617" i="3"/>
  <c r="W617" i="3" s="1"/>
  <c r="V658" i="3"/>
  <c r="W658" i="3" s="1"/>
  <c r="V663" i="3"/>
  <c r="W663" i="3" s="1"/>
  <c r="V693" i="3"/>
  <c r="W693" i="3" s="1"/>
  <c r="V753" i="3"/>
  <c r="W753" i="3" s="1"/>
  <c r="V755" i="3"/>
  <c r="W755" i="3" s="1"/>
  <c r="V871" i="3"/>
  <c r="W871" i="3" s="1"/>
  <c r="V913" i="3"/>
  <c r="W913" i="3" s="1"/>
  <c r="V918" i="3"/>
  <c r="W918" i="3" s="1"/>
  <c r="V960" i="3"/>
  <c r="W960" i="3" s="1"/>
  <c r="V964" i="3"/>
  <c r="W964" i="3" s="1"/>
  <c r="V972" i="3"/>
  <c r="W972" i="3" s="1"/>
  <c r="V1152" i="3"/>
  <c r="W1152" i="3" s="1"/>
  <c r="V1183" i="3"/>
  <c r="W1183" i="3" s="1"/>
  <c r="V1187" i="3"/>
  <c r="W1187" i="3" s="1"/>
  <c r="V1197" i="3"/>
  <c r="W1197" i="3" s="1"/>
  <c r="V1237" i="3"/>
  <c r="W1237" i="3" s="1"/>
  <c r="V1283" i="3"/>
  <c r="W1283" i="3" s="1"/>
  <c r="V1286" i="3"/>
  <c r="W1286" i="3" s="1"/>
  <c r="V1290" i="3"/>
  <c r="W1290" i="3" s="1"/>
  <c r="V1305" i="3"/>
  <c r="W1305" i="3" s="1"/>
  <c r="V1384" i="3"/>
  <c r="W1384" i="3" s="1"/>
  <c r="V1390" i="3"/>
  <c r="W1390" i="3" s="1"/>
  <c r="V1458" i="3"/>
  <c r="W1458" i="3" s="1"/>
  <c r="V1459" i="3"/>
  <c r="W1459" i="3" s="1"/>
  <c r="V1530" i="3"/>
  <c r="W1530" i="3" s="1"/>
  <c r="V1543" i="3"/>
  <c r="W1543" i="3" s="1"/>
  <c r="V1631" i="3"/>
  <c r="W1631" i="3" s="1"/>
  <c r="V1633" i="3"/>
  <c r="W1633" i="3" s="1"/>
  <c r="V1643" i="3"/>
  <c r="W1643" i="3" s="1"/>
  <c r="V1660" i="3"/>
  <c r="W1660" i="3" s="1"/>
  <c r="V1677" i="3"/>
  <c r="W1677" i="3" s="1"/>
  <c r="V1868" i="3"/>
  <c r="W1868" i="3" s="1"/>
  <c r="V1869" i="3"/>
  <c r="W1869" i="3" s="1"/>
  <c r="V2007" i="3"/>
  <c r="W2007" i="3" s="1"/>
  <c r="V2015" i="3"/>
  <c r="W2015" i="3" s="1"/>
  <c r="V2041" i="3"/>
  <c r="W2041" i="3" s="1"/>
  <c r="V2139" i="3"/>
  <c r="W2139" i="3" s="1"/>
  <c r="V2155" i="3"/>
  <c r="W2155" i="3" s="1"/>
  <c r="V2231" i="3"/>
  <c r="W2231" i="3" s="1"/>
  <c r="V2247" i="3"/>
  <c r="W2247" i="3" s="1"/>
  <c r="V2251" i="3"/>
  <c r="W2251" i="3" s="1"/>
  <c r="V2371" i="3"/>
  <c r="W2371" i="3" s="1"/>
  <c r="V2403" i="3"/>
  <c r="W2403" i="3" s="1"/>
  <c r="V2529" i="3"/>
  <c r="W2529" i="3" s="1"/>
  <c r="V2631" i="3"/>
  <c r="W2631" i="3" s="1"/>
  <c r="V2645" i="3"/>
  <c r="W2645" i="3" s="1"/>
  <c r="V2648" i="3"/>
  <c r="W2648" i="3" s="1"/>
  <c r="V2671" i="3"/>
  <c r="W2671" i="3" s="1"/>
  <c r="V2689" i="3"/>
  <c r="W2689" i="3" s="1"/>
  <c r="V2731" i="3"/>
  <c r="W2731" i="3" s="1"/>
  <c r="V2753" i="3"/>
  <c r="W2753" i="3" s="1"/>
  <c r="V2769" i="3"/>
  <c r="W2769" i="3" s="1"/>
  <c r="V2787" i="3"/>
  <c r="W2787" i="3" s="1"/>
  <c r="V2791" i="3"/>
  <c r="W2791" i="3" s="1"/>
  <c r="V2808" i="3"/>
  <c r="W2808" i="3" s="1"/>
  <c r="V2818" i="3"/>
  <c r="W2818" i="3" s="1"/>
  <c r="V2828" i="3"/>
  <c r="W2828" i="3" s="1"/>
  <c r="V2849" i="3"/>
  <c r="W2849" i="3" s="1"/>
  <c r="V2890" i="3"/>
  <c r="W2890" i="3" s="1"/>
  <c r="V2961" i="3"/>
  <c r="W2961" i="3" s="1"/>
  <c r="V2972" i="3"/>
  <c r="W2972" i="3" s="1"/>
  <c r="V3015" i="3"/>
  <c r="W3015" i="3" s="1"/>
  <c r="V3031" i="3"/>
  <c r="W3031" i="3" s="1"/>
  <c r="V3051" i="3"/>
  <c r="W3051" i="3" s="1"/>
  <c r="V3080" i="3"/>
  <c r="W3080" i="3" s="1"/>
  <c r="V3181" i="3"/>
  <c r="W3181" i="3" s="1"/>
  <c r="V3272" i="3"/>
  <c r="W3272" i="3" s="1"/>
  <c r="V3283" i="3"/>
  <c r="W3283" i="3" s="1"/>
  <c r="V3297" i="3"/>
  <c r="W3297" i="3" s="1"/>
  <c r="V3305" i="3"/>
  <c r="W3305" i="3" s="1"/>
  <c r="V3309" i="3"/>
  <c r="W3309" i="3" s="1"/>
  <c r="V3453" i="3"/>
  <c r="W3453" i="3" s="1"/>
  <c r="V3493" i="3"/>
  <c r="W3493" i="3" s="1"/>
  <c r="V3497" i="3"/>
  <c r="W3497" i="3" s="1"/>
  <c r="V3531" i="3"/>
  <c r="W3531" i="3" s="1"/>
  <c r="V3550" i="3"/>
  <c r="W3550" i="3" s="1"/>
  <c r="V3557" i="3"/>
  <c r="W3557" i="3" s="1"/>
  <c r="V3577" i="3"/>
  <c r="W3577" i="3" s="1"/>
  <c r="V3588" i="3"/>
  <c r="W3588" i="3" s="1"/>
  <c r="V3598" i="3"/>
  <c r="W3598" i="3" s="1"/>
  <c r="V3718" i="3"/>
  <c r="W3718" i="3" s="1"/>
  <c r="V3729" i="3"/>
  <c r="W3729" i="3" s="1"/>
  <c r="V3812" i="3"/>
  <c r="W3812" i="3" s="1"/>
  <c r="V3903" i="3"/>
  <c r="W3903" i="3" s="1"/>
  <c r="V3979" i="3"/>
  <c r="W3979" i="3" s="1"/>
  <c r="V4146" i="3"/>
  <c r="W4146" i="3" s="1"/>
  <c r="V4183" i="3"/>
  <c r="W4183" i="3" s="1"/>
  <c r="V4196" i="3"/>
  <c r="W4196" i="3" s="1"/>
  <c r="V4206" i="3"/>
  <c r="W4206" i="3" s="1"/>
  <c r="V4247" i="3"/>
  <c r="W4247" i="3" s="1"/>
  <c r="V4277" i="3"/>
  <c r="W4277" i="3" s="1"/>
  <c r="V4284" i="3"/>
  <c r="W4284" i="3" s="1"/>
  <c r="V4295" i="3"/>
  <c r="W4295" i="3" s="1"/>
  <c r="V4361" i="3"/>
  <c r="W4361" i="3" s="1"/>
  <c r="V4419" i="3"/>
  <c r="W4419" i="3" s="1"/>
  <c r="V4476" i="3"/>
  <c r="W4476" i="3" s="1"/>
  <c r="V4482" i="3"/>
  <c r="W4482" i="3" s="1"/>
  <c r="V4490" i="3"/>
  <c r="W4490" i="3" s="1"/>
  <c r="V4526" i="3"/>
  <c r="W4526" i="3" s="1"/>
  <c r="V4612" i="3"/>
  <c r="W4612" i="3" s="1"/>
  <c r="V4621" i="3"/>
  <c r="W4621" i="3" s="1"/>
  <c r="V4630" i="3"/>
  <c r="W4630" i="3" s="1"/>
  <c r="V4666" i="3"/>
  <c r="W4666" i="3" s="1"/>
  <c r="V4683" i="3"/>
  <c r="W4683" i="3" s="1"/>
  <c r="V4741" i="3"/>
  <c r="W4741" i="3" s="1"/>
  <c r="V4775" i="3"/>
  <c r="W4775" i="3" s="1"/>
  <c r="V4813" i="3"/>
  <c r="W4813" i="3" s="1"/>
  <c r="V7" i="3"/>
  <c r="W7" i="3" s="1"/>
  <c r="V10" i="3"/>
  <c r="W10" i="3" s="1"/>
  <c r="V57" i="3"/>
  <c r="W57" i="3" s="1"/>
  <c r="V81" i="3"/>
  <c r="W81" i="3" s="1"/>
  <c r="V147" i="3"/>
  <c r="W147" i="3" s="1"/>
  <c r="V157" i="3"/>
  <c r="W157" i="3" s="1"/>
  <c r="V195" i="3"/>
  <c r="W195" i="3" s="1"/>
  <c r="V203" i="3"/>
  <c r="W203" i="3" s="1"/>
  <c r="V241" i="3"/>
  <c r="W241" i="3" s="1"/>
  <c r="V299" i="3"/>
  <c r="W299" i="3" s="1"/>
  <c r="V366" i="3"/>
  <c r="W366" i="3" s="1"/>
  <c r="V374" i="3"/>
  <c r="W374" i="3" s="1"/>
  <c r="V377" i="3"/>
  <c r="W377" i="3" s="1"/>
  <c r="V391" i="3"/>
  <c r="W391" i="3" s="1"/>
  <c r="V476" i="3"/>
  <c r="W476" i="3" s="1"/>
  <c r="V487" i="3"/>
  <c r="W487" i="3" s="1"/>
  <c r="V515" i="3"/>
  <c r="W515" i="3" s="1"/>
  <c r="V584" i="3"/>
  <c r="W584" i="3" s="1"/>
  <c r="V643" i="3"/>
  <c r="W643" i="3" s="1"/>
  <c r="V708" i="3"/>
  <c r="W708" i="3" s="1"/>
  <c r="V773" i="3"/>
  <c r="W773" i="3" s="1"/>
  <c r="V849" i="3"/>
  <c r="W849" i="3" s="1"/>
  <c r="V881" i="3"/>
  <c r="W881" i="3" s="1"/>
  <c r="V889" i="3"/>
  <c r="W889" i="3" s="1"/>
  <c r="V894" i="3"/>
  <c r="W894" i="3" s="1"/>
  <c r="V895" i="3"/>
  <c r="W895" i="3" s="1"/>
  <c r="V904" i="3"/>
  <c r="W904" i="3" s="1"/>
  <c r="V957" i="3"/>
  <c r="W957" i="3" s="1"/>
  <c r="V1012" i="3"/>
  <c r="W1012" i="3" s="1"/>
  <c r="V1071" i="3"/>
  <c r="W1071" i="3" s="1"/>
  <c r="V1099" i="3"/>
  <c r="W1099" i="3" s="1"/>
  <c r="V1110" i="3"/>
  <c r="W1110" i="3" s="1"/>
  <c r="V1153" i="3"/>
  <c r="W1153" i="3" s="1"/>
  <c r="V1168" i="3"/>
  <c r="W1168" i="3" s="1"/>
  <c r="V1169" i="3"/>
  <c r="W1169" i="3" s="1"/>
  <c r="V1189" i="3"/>
  <c r="W1189" i="3" s="1"/>
  <c r="V1200" i="3"/>
  <c r="W1200" i="3" s="1"/>
  <c r="V1205" i="3"/>
  <c r="W1205" i="3" s="1"/>
  <c r="V1218" i="3"/>
  <c r="W1218" i="3" s="1"/>
  <c r="V1221" i="3"/>
  <c r="W1221" i="3" s="1"/>
  <c r="V1223" i="3"/>
  <c r="W1223" i="3" s="1"/>
  <c r="V1246" i="3"/>
  <c r="W1246" i="3" s="1"/>
  <c r="V1255" i="3"/>
  <c r="W1255" i="3" s="1"/>
  <c r="V1381" i="3"/>
  <c r="W1381" i="3" s="1"/>
  <c r="V1391" i="3"/>
  <c r="W1391" i="3" s="1"/>
  <c r="V1442" i="3"/>
  <c r="W1442" i="3" s="1"/>
  <c r="V1475" i="3"/>
  <c r="W1475" i="3" s="1"/>
  <c r="V1501" i="3"/>
  <c r="W1501" i="3" s="1"/>
  <c r="V1519" i="3"/>
  <c r="W1519" i="3" s="1"/>
  <c r="V1529" i="3"/>
  <c r="W1529" i="3" s="1"/>
  <c r="V1534" i="3"/>
  <c r="W1534" i="3" s="1"/>
  <c r="V1542" i="3"/>
  <c r="W1542" i="3" s="1"/>
  <c r="V1552" i="3"/>
  <c r="W1552" i="3" s="1"/>
  <c r="V1640" i="3"/>
  <c r="W1640" i="3" s="1"/>
  <c r="V1658" i="3"/>
  <c r="W1658" i="3" s="1"/>
  <c r="V1766" i="3"/>
  <c r="W1766" i="3" s="1"/>
  <c r="V1783" i="3"/>
  <c r="W1783" i="3" s="1"/>
  <c r="V1801" i="3"/>
  <c r="W1801" i="3" s="1"/>
  <c r="V1830" i="3"/>
  <c r="W1830" i="3" s="1"/>
  <c r="V1833" i="3"/>
  <c r="W1833" i="3" s="1"/>
  <c r="V1902" i="3"/>
  <c r="W1902" i="3" s="1"/>
  <c r="V1904" i="3"/>
  <c r="W1904" i="3" s="1"/>
  <c r="V1921" i="3"/>
  <c r="W1921" i="3" s="1"/>
  <c r="V2026" i="3"/>
  <c r="W2026" i="3" s="1"/>
  <c r="V2141" i="3"/>
  <c r="W2141" i="3" s="1"/>
  <c r="V2152" i="3"/>
  <c r="W2152" i="3" s="1"/>
  <c r="V2173" i="3"/>
  <c r="W2173" i="3" s="1"/>
  <c r="V2180" i="3"/>
  <c r="W2180" i="3" s="1"/>
  <c r="V2198" i="3"/>
  <c r="W2198" i="3" s="1"/>
  <c r="V2249" i="3"/>
  <c r="W2249" i="3" s="1"/>
  <c r="V2256" i="3"/>
  <c r="W2256" i="3" s="1"/>
  <c r="V2259" i="3"/>
  <c r="W2259" i="3" s="1"/>
  <c r="V2267" i="3"/>
  <c r="W2267" i="3" s="1"/>
  <c r="V2299" i="3"/>
  <c r="W2299" i="3" s="1"/>
  <c r="V2325" i="3"/>
  <c r="W2325" i="3" s="1"/>
  <c r="V2347" i="3"/>
  <c r="W2347" i="3" s="1"/>
  <c r="V2357" i="3"/>
  <c r="W2357" i="3" s="1"/>
  <c r="V2368" i="3"/>
  <c r="W2368" i="3" s="1"/>
  <c r="V2460" i="3"/>
  <c r="W2460" i="3" s="1"/>
  <c r="V2465" i="3"/>
  <c r="W2465" i="3" s="1"/>
  <c r="V2476" i="3"/>
  <c r="W2476" i="3" s="1"/>
  <c r="V2485" i="3"/>
  <c r="W2485" i="3" s="1"/>
  <c r="V2522" i="3"/>
  <c r="W2522" i="3" s="1"/>
  <c r="V2553" i="3"/>
  <c r="W2553" i="3" s="1"/>
  <c r="V2560" i="3"/>
  <c r="W2560" i="3" s="1"/>
  <c r="V2562" i="3"/>
  <c r="W2562" i="3" s="1"/>
  <c r="V2563" i="3"/>
  <c r="W2563" i="3" s="1"/>
  <c r="V2587" i="3"/>
  <c r="W2587" i="3" s="1"/>
  <c r="V2633" i="3"/>
  <c r="W2633" i="3" s="1"/>
  <c r="V2686" i="3"/>
  <c r="W2686" i="3" s="1"/>
  <c r="V2725" i="3"/>
  <c r="W2725" i="3" s="1"/>
  <c r="V2750" i="3"/>
  <c r="W2750" i="3" s="1"/>
  <c r="V2776" i="3"/>
  <c r="W2776" i="3" s="1"/>
  <c r="V2815" i="3"/>
  <c r="W2815" i="3" s="1"/>
  <c r="V2905" i="3"/>
  <c r="W2905" i="3" s="1"/>
  <c r="V2909" i="3"/>
  <c r="W2909" i="3" s="1"/>
  <c r="V2983" i="3"/>
  <c r="W2983" i="3" s="1"/>
  <c r="V2987" i="3"/>
  <c r="W2987" i="3" s="1"/>
  <c r="V2990" i="3"/>
  <c r="W2990" i="3" s="1"/>
  <c r="V3048" i="3"/>
  <c r="W3048" i="3" s="1"/>
  <c r="V3071" i="3"/>
  <c r="W3071" i="3" s="1"/>
  <c r="V3158" i="3"/>
  <c r="W3158" i="3" s="1"/>
  <c r="V3182" i="3"/>
  <c r="W3182" i="3" s="1"/>
  <c r="V3238" i="3"/>
  <c r="W3238" i="3" s="1"/>
  <c r="V3261" i="3"/>
  <c r="W3261" i="3" s="1"/>
  <c r="V3275" i="3"/>
  <c r="W3275" i="3" s="1"/>
  <c r="V3317" i="3"/>
  <c r="W3317" i="3" s="1"/>
  <c r="V3329" i="3"/>
  <c r="W3329" i="3" s="1"/>
  <c r="V3331" i="3"/>
  <c r="W3331" i="3" s="1"/>
  <c r="V3336" i="3"/>
  <c r="W3336" i="3" s="1"/>
  <c r="V3389" i="3"/>
  <c r="W3389" i="3" s="1"/>
  <c r="V3413" i="3"/>
  <c r="W3413" i="3" s="1"/>
  <c r="V3489" i="3"/>
  <c r="W3489" i="3" s="1"/>
  <c r="V3523" i="3"/>
  <c r="W3523" i="3" s="1"/>
  <c r="V3560" i="3"/>
  <c r="W3560" i="3" s="1"/>
  <c r="V3603" i="3"/>
  <c r="W3603" i="3" s="1"/>
  <c r="V3615" i="3"/>
  <c r="W3615" i="3" s="1"/>
  <c r="V3618" i="3"/>
  <c r="W3618" i="3" s="1"/>
  <c r="V3713" i="3"/>
  <c r="W3713" i="3" s="1"/>
  <c r="V3760" i="3"/>
  <c r="W3760" i="3" s="1"/>
  <c r="V3803" i="3"/>
  <c r="W3803" i="3" s="1"/>
  <c r="V3817" i="3"/>
  <c r="W3817" i="3" s="1"/>
  <c r="V3887" i="3"/>
  <c r="W3887" i="3" s="1"/>
  <c r="V3944" i="3"/>
  <c r="W3944" i="3" s="1"/>
  <c r="V3958" i="3"/>
  <c r="W3958" i="3" s="1"/>
  <c r="V3978" i="3"/>
  <c r="W3978" i="3" s="1"/>
  <c r="V3997" i="3"/>
  <c r="W3997" i="3" s="1"/>
  <c r="V4038" i="3"/>
  <c r="W4038" i="3" s="1"/>
  <c r="V4056" i="3"/>
  <c r="W4056" i="3" s="1"/>
  <c r="V4137" i="3"/>
  <c r="W4137" i="3" s="1"/>
  <c r="V4148" i="3"/>
  <c r="W4148" i="3" s="1"/>
  <c r="V4204" i="3"/>
  <c r="W4204" i="3" s="1"/>
  <c r="V4259" i="3"/>
  <c r="W4259" i="3" s="1"/>
  <c r="V4260" i="3"/>
  <c r="W4260" i="3" s="1"/>
  <c r="V4351" i="3"/>
  <c r="W4351" i="3" s="1"/>
  <c r="V4383" i="3"/>
  <c r="W4383" i="3" s="1"/>
  <c r="V4391" i="3"/>
  <c r="W4391" i="3" s="1"/>
  <c r="V4417" i="3"/>
  <c r="W4417" i="3" s="1"/>
  <c r="V4428" i="3"/>
  <c r="W4428" i="3" s="1"/>
  <c r="V4431" i="3"/>
  <c r="W4431" i="3" s="1"/>
  <c r="V4454" i="3"/>
  <c r="W4454" i="3" s="1"/>
  <c r="V4468" i="3"/>
  <c r="W4468" i="3" s="1"/>
  <c r="V4471" i="3"/>
  <c r="W4471" i="3" s="1"/>
  <c r="V4528" i="3"/>
  <c r="W4528" i="3" s="1"/>
  <c r="V4540" i="3"/>
  <c r="W4540" i="3" s="1"/>
  <c r="V4545" i="3"/>
  <c r="W4545" i="3" s="1"/>
  <c r="V4624" i="3"/>
  <c r="W4624" i="3" s="1"/>
  <c r="V4648" i="3"/>
  <c r="W4648" i="3" s="1"/>
  <c r="V4685" i="3"/>
  <c r="W4685" i="3" s="1"/>
  <c r="V4698" i="3"/>
  <c r="W4698" i="3" s="1"/>
  <c r="V4714" i="3"/>
  <c r="W4714" i="3" s="1"/>
  <c r="V4725" i="3"/>
  <c r="W4725" i="3" s="1"/>
  <c r="V48" i="3"/>
  <c r="W48" i="3" s="1"/>
  <c r="V401" i="3"/>
  <c r="W401" i="3" s="1"/>
  <c r="V630" i="3"/>
  <c r="W630" i="3" s="1"/>
  <c r="V637" i="3"/>
  <c r="W637" i="3" s="1"/>
  <c r="V638" i="3"/>
  <c r="W638" i="3" s="1"/>
  <c r="V645" i="3"/>
  <c r="W645" i="3" s="1"/>
  <c r="V678" i="3"/>
  <c r="W678" i="3" s="1"/>
  <c r="V736" i="3"/>
  <c r="W736" i="3" s="1"/>
  <c r="V749" i="3"/>
  <c r="W749" i="3" s="1"/>
  <c r="V886" i="3"/>
  <c r="W886" i="3" s="1"/>
  <c r="V976" i="3"/>
  <c r="W976" i="3" s="1"/>
  <c r="V1058" i="3"/>
  <c r="W1058" i="3" s="1"/>
  <c r="V1120" i="3"/>
  <c r="W1120" i="3" s="1"/>
  <c r="V1130" i="3"/>
  <c r="W1130" i="3" s="1"/>
  <c r="V1186" i="3"/>
  <c r="W1186" i="3" s="1"/>
  <c r="V1212" i="3"/>
  <c r="W1212" i="3" s="1"/>
  <c r="V1261" i="3"/>
  <c r="W1261" i="3" s="1"/>
  <c r="V1403" i="3"/>
  <c r="W1403" i="3" s="1"/>
  <c r="V1460" i="3"/>
  <c r="W1460" i="3" s="1"/>
  <c r="V1471" i="3"/>
  <c r="W1471" i="3" s="1"/>
  <c r="V1545" i="3"/>
  <c r="W1545" i="3" s="1"/>
  <c r="V1548" i="3"/>
  <c r="W1548" i="3" s="1"/>
  <c r="V1572" i="3"/>
  <c r="W1572" i="3" s="1"/>
  <c r="V1591" i="3"/>
  <c r="W1591" i="3" s="1"/>
  <c r="V1600" i="3"/>
  <c r="W1600" i="3" s="1"/>
  <c r="V1611" i="3"/>
  <c r="W1611" i="3" s="1"/>
  <c r="V1671" i="3"/>
  <c r="W1671" i="3" s="1"/>
  <c r="V1742" i="3"/>
  <c r="W1742" i="3" s="1"/>
  <c r="V1769" i="3"/>
  <c r="W1769" i="3" s="1"/>
  <c r="V1839" i="3"/>
  <c r="W1839" i="3" s="1"/>
  <c r="V1877" i="3"/>
  <c r="W1877" i="3" s="1"/>
  <c r="V1912" i="3"/>
  <c r="W1912" i="3" s="1"/>
  <c r="V1980" i="3"/>
  <c r="W1980" i="3" s="1"/>
  <c r="V1986" i="3"/>
  <c r="W1986" i="3" s="1"/>
  <c r="V1988" i="3"/>
  <c r="W1988" i="3" s="1"/>
  <c r="V2099" i="3"/>
  <c r="W2099" i="3" s="1"/>
  <c r="V2129" i="3"/>
  <c r="W2129" i="3" s="1"/>
  <c r="V2150" i="3"/>
  <c r="W2150" i="3" s="1"/>
  <c r="V2177" i="3"/>
  <c r="W2177" i="3" s="1"/>
  <c r="V2350" i="3"/>
  <c r="W2350" i="3" s="1"/>
  <c r="V2480" i="3"/>
  <c r="W2480" i="3" s="1"/>
  <c r="V2551" i="3"/>
  <c r="W2551" i="3" s="1"/>
  <c r="V2612" i="3"/>
  <c r="W2612" i="3" s="1"/>
  <c r="V2718" i="3"/>
  <c r="W2718" i="3" s="1"/>
  <c r="V2810" i="3"/>
  <c r="W2810" i="3" s="1"/>
  <c r="V2947" i="3"/>
  <c r="W2947" i="3" s="1"/>
  <c r="V2980" i="3"/>
  <c r="W2980" i="3" s="1"/>
  <c r="V2984" i="3"/>
  <c r="W2984" i="3" s="1"/>
  <c r="V2986" i="3"/>
  <c r="W2986" i="3" s="1"/>
  <c r="V2989" i="3"/>
  <c r="W2989" i="3" s="1"/>
  <c r="V3163" i="3"/>
  <c r="W3163" i="3" s="1"/>
  <c r="V3170" i="3"/>
  <c r="W3170" i="3" s="1"/>
  <c r="V3201" i="3"/>
  <c r="W3201" i="3" s="1"/>
  <c r="V3303" i="3"/>
  <c r="W3303" i="3" s="1"/>
  <c r="V3306" i="3"/>
  <c r="W3306" i="3" s="1"/>
  <c r="V3433" i="3"/>
  <c r="W3433" i="3" s="1"/>
  <c r="V3473" i="3"/>
  <c r="W3473" i="3" s="1"/>
  <c r="V3491" i="3"/>
  <c r="W3491" i="3" s="1"/>
  <c r="V3529" i="3"/>
  <c r="W3529" i="3" s="1"/>
  <c r="V3543" i="3"/>
  <c r="W3543" i="3" s="1"/>
  <c r="V3650" i="3"/>
  <c r="W3650" i="3" s="1"/>
  <c r="V3679" i="3"/>
  <c r="W3679" i="3" s="1"/>
  <c r="V3750" i="3"/>
  <c r="W3750" i="3" s="1"/>
  <c r="V3808" i="3"/>
  <c r="W3808" i="3" s="1"/>
  <c r="V3834" i="3"/>
  <c r="W3834" i="3" s="1"/>
  <c r="V3915" i="3"/>
  <c r="W3915" i="3" s="1"/>
  <c r="V4205" i="3"/>
  <c r="W4205" i="3" s="1"/>
  <c r="V4231" i="3"/>
  <c r="W4231" i="3" s="1"/>
  <c r="V4380" i="3"/>
  <c r="W4380" i="3" s="1"/>
  <c r="V4406" i="3"/>
  <c r="W4406" i="3" s="1"/>
  <c r="V4466" i="3"/>
  <c r="W4466" i="3" s="1"/>
  <c r="V4693" i="3"/>
  <c r="W4693" i="3" s="1"/>
  <c r="V4705" i="3"/>
  <c r="W4705" i="3" s="1"/>
  <c r="V4748" i="3"/>
  <c r="W4748" i="3" s="1"/>
  <c r="V4804" i="3"/>
  <c r="W4804" i="3" s="1"/>
  <c r="V2" i="3"/>
  <c r="W2" i="3" s="1"/>
  <c r="V22" i="3"/>
  <c r="W22" i="3" s="1"/>
  <c r="V26" i="3"/>
  <c r="W26" i="3" s="1"/>
  <c r="V38" i="3"/>
  <c r="W38" i="3" s="1"/>
  <c r="V58" i="3"/>
  <c r="W58" i="3" s="1"/>
  <c r="V92" i="3"/>
  <c r="W92" i="3" s="1"/>
  <c r="V137" i="3"/>
  <c r="W137" i="3" s="1"/>
  <c r="V155" i="3"/>
  <c r="W155" i="3" s="1"/>
  <c r="V162" i="3"/>
  <c r="W162" i="3" s="1"/>
  <c r="V171" i="3"/>
  <c r="W171" i="3" s="1"/>
  <c r="V177" i="3"/>
  <c r="W177" i="3" s="1"/>
  <c r="V214" i="3"/>
  <c r="W214" i="3" s="1"/>
  <c r="V233" i="3"/>
  <c r="W233" i="3" s="1"/>
  <c r="V246" i="3"/>
  <c r="W246" i="3" s="1"/>
  <c r="V259" i="3"/>
  <c r="W259" i="3" s="1"/>
  <c r="V301" i="3"/>
  <c r="W301" i="3" s="1"/>
  <c r="V319" i="3"/>
  <c r="W319" i="3" s="1"/>
  <c r="V328" i="3"/>
  <c r="W328" i="3" s="1"/>
  <c r="V333" i="3"/>
  <c r="W333" i="3" s="1"/>
  <c r="V336" i="3"/>
  <c r="W336" i="3" s="1"/>
  <c r="V350" i="3"/>
  <c r="W350" i="3" s="1"/>
  <c r="V383" i="3"/>
  <c r="W383" i="3" s="1"/>
  <c r="V400" i="3"/>
  <c r="W400" i="3" s="1"/>
  <c r="V419" i="3"/>
  <c r="W419" i="3" s="1"/>
  <c r="V423" i="3"/>
  <c r="W423" i="3" s="1"/>
  <c r="V449" i="3"/>
  <c r="W449" i="3" s="1"/>
  <c r="V501" i="3"/>
  <c r="W501" i="3" s="1"/>
  <c r="V516" i="3"/>
  <c r="W516" i="3" s="1"/>
  <c r="V535" i="3"/>
  <c r="W535" i="3" s="1"/>
  <c r="V560" i="3"/>
  <c r="W560" i="3" s="1"/>
  <c r="V577" i="3"/>
  <c r="W577" i="3" s="1"/>
  <c r="V625" i="3"/>
  <c r="W625" i="3" s="1"/>
  <c r="V627" i="3"/>
  <c r="W627" i="3" s="1"/>
  <c r="V676" i="3"/>
  <c r="W676" i="3" s="1"/>
  <c r="V719" i="3"/>
  <c r="W719" i="3" s="1"/>
  <c r="V742" i="3"/>
  <c r="W742" i="3" s="1"/>
  <c r="V744" i="3"/>
  <c r="W744" i="3" s="1"/>
  <c r="V751" i="3"/>
  <c r="W751" i="3" s="1"/>
  <c r="V754" i="3"/>
  <c r="W754" i="3" s="1"/>
  <c r="V756" i="3"/>
  <c r="W756" i="3" s="1"/>
  <c r="V786" i="3"/>
  <c r="W786" i="3" s="1"/>
  <c r="V789" i="3"/>
  <c r="W789" i="3" s="1"/>
  <c r="V810" i="3"/>
  <c r="W810" i="3" s="1"/>
  <c r="V813" i="3"/>
  <c r="W813" i="3" s="1"/>
  <c r="V814" i="3"/>
  <c r="W814" i="3" s="1"/>
  <c r="V842" i="3"/>
  <c r="W842" i="3" s="1"/>
  <c r="V872" i="3"/>
  <c r="W872" i="3" s="1"/>
  <c r="V887" i="3"/>
  <c r="W887" i="3" s="1"/>
  <c r="V924" i="3"/>
  <c r="W924" i="3" s="1"/>
  <c r="V925" i="3"/>
  <c r="W925" i="3" s="1"/>
  <c r="V934" i="3"/>
  <c r="W934" i="3" s="1"/>
  <c r="V981" i="3"/>
  <c r="W981" i="3" s="1"/>
  <c r="V1018" i="3"/>
  <c r="W1018" i="3" s="1"/>
  <c r="V1059" i="3"/>
  <c r="W1059" i="3" s="1"/>
  <c r="V1075" i="3"/>
  <c r="W1075" i="3" s="1"/>
  <c r="V1082" i="3"/>
  <c r="W1082" i="3" s="1"/>
  <c r="V1085" i="3"/>
  <c r="W1085" i="3" s="1"/>
  <c r="V1087" i="3"/>
  <c r="W1087" i="3" s="1"/>
  <c r="V1091" i="3"/>
  <c r="W1091" i="3" s="1"/>
  <c r="V1104" i="3"/>
  <c r="W1104" i="3" s="1"/>
  <c r="V1109" i="3"/>
  <c r="W1109" i="3" s="1"/>
  <c r="V1151" i="3"/>
  <c r="W1151" i="3" s="1"/>
  <c r="V1174" i="3"/>
  <c r="W1174" i="3" s="1"/>
  <c r="V1195" i="3"/>
  <c r="W1195" i="3" s="1"/>
  <c r="V1225" i="3"/>
  <c r="W1225" i="3" s="1"/>
  <c r="V1268" i="3"/>
  <c r="W1268" i="3" s="1"/>
  <c r="V1331" i="3"/>
  <c r="W1331" i="3" s="1"/>
  <c r="V1334" i="3"/>
  <c r="W1334" i="3" s="1"/>
  <c r="V1373" i="3"/>
  <c r="W1373" i="3" s="1"/>
  <c r="V1406" i="3"/>
  <c r="W1406" i="3" s="1"/>
  <c r="V1407" i="3"/>
  <c r="W1407" i="3" s="1"/>
  <c r="V1446" i="3"/>
  <c r="W1446" i="3" s="1"/>
  <c r="V1463" i="3"/>
  <c r="W1463" i="3" s="1"/>
  <c r="V1509" i="3"/>
  <c r="W1509" i="3" s="1"/>
  <c r="V1579" i="3"/>
  <c r="W1579" i="3" s="1"/>
  <c r="V1616" i="3"/>
  <c r="W1616" i="3" s="1"/>
  <c r="V1636" i="3"/>
  <c r="W1636" i="3" s="1"/>
  <c r="V1666" i="3"/>
  <c r="W1666" i="3" s="1"/>
  <c r="V1675" i="3"/>
  <c r="W1675" i="3" s="1"/>
  <c r="V1692" i="3"/>
  <c r="W1692" i="3" s="1"/>
  <c r="V1731" i="3"/>
  <c r="W1731" i="3" s="1"/>
  <c r="V1749" i="3"/>
  <c r="W1749" i="3" s="1"/>
  <c r="V1814" i="3"/>
  <c r="W1814" i="3" s="1"/>
  <c r="V1829" i="3"/>
  <c r="W1829" i="3" s="1"/>
  <c r="V1992" i="3"/>
  <c r="W1992" i="3" s="1"/>
  <c r="V2016" i="3"/>
  <c r="W2016" i="3" s="1"/>
  <c r="V2046" i="3"/>
  <c r="W2046" i="3" s="1"/>
  <c r="V2050" i="3"/>
  <c r="W2050" i="3" s="1"/>
  <c r="V2116" i="3"/>
  <c r="W2116" i="3" s="1"/>
  <c r="V2121" i="3"/>
  <c r="W2121" i="3" s="1"/>
  <c r="V2162" i="3"/>
  <c r="W2162" i="3" s="1"/>
  <c r="V2191" i="3"/>
  <c r="W2191" i="3" s="1"/>
  <c r="V2212" i="3"/>
  <c r="W2212" i="3" s="1"/>
  <c r="V2220" i="3"/>
  <c r="W2220" i="3" s="1"/>
  <c r="V2300" i="3"/>
  <c r="W2300" i="3" s="1"/>
  <c r="V2369" i="3"/>
  <c r="W2369" i="3" s="1"/>
  <c r="V2377" i="3"/>
  <c r="W2377" i="3" s="1"/>
  <c r="V2406" i="3"/>
  <c r="W2406" i="3" s="1"/>
  <c r="V2438" i="3"/>
  <c r="W2438" i="3" s="1"/>
  <c r="V2441" i="3"/>
  <c r="W2441" i="3" s="1"/>
  <c r="V2477" i="3"/>
  <c r="W2477" i="3" s="1"/>
  <c r="V2554" i="3"/>
  <c r="W2554" i="3" s="1"/>
  <c r="V2558" i="3"/>
  <c r="W2558" i="3" s="1"/>
  <c r="V2577" i="3"/>
  <c r="W2577" i="3" s="1"/>
  <c r="V2622" i="3"/>
  <c r="W2622" i="3" s="1"/>
  <c r="V2661" i="3"/>
  <c r="W2661" i="3" s="1"/>
  <c r="V2673" i="3"/>
  <c r="W2673" i="3" s="1"/>
  <c r="V2683" i="3"/>
  <c r="W2683" i="3" s="1"/>
  <c r="V2704" i="3"/>
  <c r="W2704" i="3" s="1"/>
  <c r="V2747" i="3"/>
  <c r="W2747" i="3" s="1"/>
  <c r="V2794" i="3"/>
  <c r="W2794" i="3" s="1"/>
  <c r="V2821" i="3"/>
  <c r="W2821" i="3" s="1"/>
  <c r="V2841" i="3"/>
  <c r="W2841" i="3" s="1"/>
  <c r="V2877" i="3"/>
  <c r="W2877" i="3" s="1"/>
  <c r="V2879" i="3"/>
  <c r="W2879" i="3" s="1"/>
  <c r="V2888" i="3"/>
  <c r="W2888" i="3" s="1"/>
  <c r="V2889" i="3"/>
  <c r="W2889" i="3" s="1"/>
  <c r="V2891" i="3"/>
  <c r="W2891" i="3" s="1"/>
  <c r="V2912" i="3"/>
  <c r="W2912" i="3" s="1"/>
  <c r="V2933" i="3"/>
  <c r="W2933" i="3" s="1"/>
  <c r="V2937" i="3"/>
  <c r="W2937" i="3" s="1"/>
  <c r="V2952" i="3"/>
  <c r="W2952" i="3" s="1"/>
  <c r="V2996" i="3"/>
  <c r="W2996" i="3" s="1"/>
  <c r="V3003" i="3"/>
  <c r="W3003" i="3" s="1"/>
  <c r="V3016" i="3"/>
  <c r="W3016" i="3" s="1"/>
  <c r="V3017" i="3"/>
  <c r="W3017" i="3" s="1"/>
  <c r="V3040" i="3"/>
  <c r="W3040" i="3" s="1"/>
  <c r="V3043" i="3"/>
  <c r="W3043" i="3" s="1"/>
  <c r="V3059" i="3"/>
  <c r="W3059" i="3" s="1"/>
  <c r="V3099" i="3"/>
  <c r="W3099" i="3" s="1"/>
  <c r="V3142" i="3"/>
  <c r="W3142" i="3" s="1"/>
  <c r="V3233" i="3"/>
  <c r="W3233" i="3" s="1"/>
  <c r="V3235" i="3"/>
  <c r="W3235" i="3" s="1"/>
  <c r="V3237" i="3"/>
  <c r="W3237" i="3" s="1"/>
  <c r="V3240" i="3"/>
  <c r="W3240" i="3" s="1"/>
  <c r="V3271" i="3"/>
  <c r="W3271" i="3" s="1"/>
  <c r="V3337" i="3"/>
  <c r="W3337" i="3" s="1"/>
  <c r="V3340" i="3"/>
  <c r="W3340" i="3" s="1"/>
  <c r="V3385" i="3"/>
  <c r="W3385" i="3" s="1"/>
  <c r="V3441" i="3"/>
  <c r="W3441" i="3" s="1"/>
  <c r="V3459" i="3"/>
  <c r="W3459" i="3" s="1"/>
  <c r="V3461" i="3"/>
  <c r="W3461" i="3" s="1"/>
  <c r="V3485" i="3"/>
  <c r="W3485" i="3" s="1"/>
  <c r="V3517" i="3"/>
  <c r="W3517" i="3" s="1"/>
  <c r="V3541" i="3"/>
  <c r="W3541" i="3" s="1"/>
  <c r="V3563" i="3"/>
  <c r="W3563" i="3" s="1"/>
  <c r="V3568" i="3"/>
  <c r="W3568" i="3" s="1"/>
  <c r="V3610" i="3"/>
  <c r="W3610" i="3" s="1"/>
  <c r="V3619" i="3"/>
  <c r="W3619" i="3" s="1"/>
  <c r="V3634" i="3"/>
  <c r="W3634" i="3" s="1"/>
  <c r="V3663" i="3"/>
  <c r="W3663" i="3" s="1"/>
  <c r="V3680" i="3"/>
  <c r="W3680" i="3" s="1"/>
  <c r="V3689" i="3"/>
  <c r="W3689" i="3" s="1"/>
  <c r="V3822" i="3"/>
  <c r="W3822" i="3" s="1"/>
  <c r="V3829" i="3"/>
  <c r="W3829" i="3" s="1"/>
  <c r="V3845" i="3"/>
  <c r="W3845" i="3" s="1"/>
  <c r="V3859" i="3"/>
  <c r="W3859" i="3" s="1"/>
  <c r="V3861" i="3"/>
  <c r="W3861" i="3" s="1"/>
  <c r="V3921" i="3"/>
  <c r="W3921" i="3" s="1"/>
  <c r="V3936" i="3"/>
  <c r="W3936" i="3" s="1"/>
  <c r="V3937" i="3"/>
  <c r="W3937" i="3" s="1"/>
  <c r="V3947" i="3"/>
  <c r="W3947" i="3" s="1"/>
  <c r="V3959" i="3"/>
  <c r="W3959" i="3" s="1"/>
  <c r="V4128" i="3"/>
  <c r="W4128" i="3" s="1"/>
  <c r="V4172" i="3"/>
  <c r="W4172" i="3" s="1"/>
  <c r="V4193" i="3"/>
  <c r="W4193" i="3" s="1"/>
  <c r="V4213" i="3"/>
  <c r="W4213" i="3" s="1"/>
  <c r="V4282" i="3"/>
  <c r="W4282" i="3" s="1"/>
  <c r="V4379" i="3"/>
  <c r="W4379" i="3" s="1"/>
  <c r="V4472" i="3"/>
  <c r="W4472" i="3" s="1"/>
  <c r="V4525" i="3"/>
  <c r="W4525" i="3" s="1"/>
  <c r="V4562" i="3"/>
  <c r="W4562" i="3" s="1"/>
  <c r="V4573" i="3"/>
  <c r="W4573" i="3" s="1"/>
  <c r="V4625" i="3"/>
  <c r="W4625" i="3" s="1"/>
  <c r="V4651" i="3"/>
  <c r="W4651" i="3" s="1"/>
  <c r="V4697" i="3"/>
  <c r="W4697" i="3" s="1"/>
  <c r="V4729" i="3"/>
  <c r="W4729" i="3" s="1"/>
  <c r="V4736" i="3"/>
  <c r="W4736" i="3" s="1"/>
  <c r="V4798" i="3"/>
  <c r="W4798" i="3" s="1"/>
  <c r="V4830" i="3"/>
  <c r="W4830" i="3" s="1"/>
  <c r="V323" i="3"/>
  <c r="W323" i="3" s="1"/>
  <c r="V526" i="3"/>
  <c r="W526" i="3" s="1"/>
  <c r="V1423" i="3"/>
  <c r="W1423" i="3" s="1"/>
  <c r="V2166" i="3"/>
  <c r="W2166" i="3" s="1"/>
  <c r="V2186" i="3"/>
  <c r="W2186" i="3" s="1"/>
  <c r="V2344" i="3"/>
  <c r="W2344" i="3" s="1"/>
  <c r="V2799" i="3"/>
  <c r="W2799" i="3" s="1"/>
  <c r="V2931" i="3"/>
  <c r="W2931" i="3" s="1"/>
  <c r="V3058" i="3"/>
  <c r="W3058" i="3" s="1"/>
  <c r="V3710" i="3"/>
  <c r="W3710" i="3" s="1"/>
  <c r="V4134" i="3"/>
  <c r="W4134" i="3" s="1"/>
  <c r="V4167" i="3"/>
  <c r="W4167" i="3" s="1"/>
  <c r="V4208" i="3"/>
  <c r="W4208" i="3" s="1"/>
  <c r="V4682" i="3"/>
  <c r="W4682" i="3" s="1"/>
  <c r="V1315" i="3"/>
  <c r="W1315" i="3" s="1"/>
  <c r="V2210" i="3"/>
  <c r="W2210" i="3" s="1"/>
  <c r="V2222" i="3"/>
  <c r="W2222" i="3" s="1"/>
  <c r="V2394" i="3"/>
  <c r="W2394" i="3" s="1"/>
  <c r="V2418" i="3"/>
  <c r="W2418" i="3" s="1"/>
  <c r="V3469" i="3"/>
  <c r="W3469" i="3" s="1"/>
  <c r="V3824" i="3"/>
  <c r="W3824" i="3" s="1"/>
  <c r="V4484" i="3"/>
  <c r="W4484" i="3" s="1"/>
  <c r="V4733" i="3"/>
  <c r="W4733" i="3" s="1"/>
  <c r="V4825" i="3"/>
  <c r="W4825" i="3" s="1"/>
  <c r="V86" i="3"/>
  <c r="W86" i="3" s="1"/>
  <c r="V235" i="3"/>
  <c r="W235" i="3" s="1"/>
  <c r="V280" i="3"/>
  <c r="W280" i="3" s="1"/>
  <c r="V289" i="3"/>
  <c r="W289" i="3" s="1"/>
  <c r="V331" i="3"/>
  <c r="W331" i="3" s="1"/>
  <c r="V351" i="3"/>
  <c r="W351" i="3" s="1"/>
  <c r="V497" i="3"/>
  <c r="W497" i="3" s="1"/>
  <c r="V505" i="3"/>
  <c r="W505" i="3" s="1"/>
  <c r="V520" i="3"/>
  <c r="W520" i="3" s="1"/>
  <c r="V521" i="3"/>
  <c r="W521" i="3" s="1"/>
  <c r="V653" i="3"/>
  <c r="W653" i="3" s="1"/>
  <c r="V673" i="3"/>
  <c r="W673" i="3" s="1"/>
  <c r="V696" i="3"/>
  <c r="W696" i="3" s="1"/>
  <c r="V702" i="3"/>
  <c r="W702" i="3" s="1"/>
  <c r="V812" i="3"/>
  <c r="W812" i="3" s="1"/>
  <c r="V829" i="3"/>
  <c r="W829" i="3" s="1"/>
  <c r="V965" i="3"/>
  <c r="W965" i="3" s="1"/>
  <c r="V978" i="3"/>
  <c r="W978" i="3" s="1"/>
  <c r="V1045" i="3"/>
  <c r="W1045" i="3" s="1"/>
  <c r="V1064" i="3"/>
  <c r="W1064" i="3" s="1"/>
  <c r="V1118" i="3"/>
  <c r="W1118" i="3" s="1"/>
  <c r="V1249" i="3"/>
  <c r="W1249" i="3" s="1"/>
  <c r="V1325" i="3"/>
  <c r="W1325" i="3" s="1"/>
  <c r="V1363" i="3"/>
  <c r="W1363" i="3" s="1"/>
  <c r="V1493" i="3"/>
  <c r="W1493" i="3" s="1"/>
  <c r="V1504" i="3"/>
  <c r="W1504" i="3" s="1"/>
  <c r="V1517" i="3"/>
  <c r="W1517" i="3" s="1"/>
  <c r="V1532" i="3"/>
  <c r="W1532" i="3" s="1"/>
  <c r="V1607" i="3"/>
  <c r="W1607" i="3" s="1"/>
  <c r="V1707" i="3"/>
  <c r="W1707" i="3" s="1"/>
  <c r="V1757" i="3"/>
  <c r="W1757" i="3" s="1"/>
  <c r="V1805" i="3"/>
  <c r="W1805" i="3" s="1"/>
  <c r="V2003" i="3"/>
  <c r="W2003" i="3" s="1"/>
  <c r="V2043" i="3"/>
  <c r="W2043" i="3" s="1"/>
  <c r="V2095" i="3"/>
  <c r="W2095" i="3" s="1"/>
  <c r="V2271" i="3"/>
  <c r="W2271" i="3" s="1"/>
  <c r="V2290" i="3"/>
  <c r="W2290" i="3" s="1"/>
  <c r="V2340" i="3"/>
  <c r="W2340" i="3" s="1"/>
  <c r="V2341" i="3"/>
  <c r="W2341" i="3" s="1"/>
  <c r="V2423" i="3"/>
  <c r="W2423" i="3" s="1"/>
  <c r="V2484" i="3"/>
  <c r="W2484" i="3" s="1"/>
  <c r="V2506" i="3"/>
  <c r="W2506" i="3" s="1"/>
  <c r="V2544" i="3"/>
  <c r="W2544" i="3" s="1"/>
  <c r="V2572" i="3"/>
  <c r="W2572" i="3" s="1"/>
  <c r="V2603" i="3"/>
  <c r="W2603" i="3" s="1"/>
  <c r="V2638" i="3"/>
  <c r="W2638" i="3" s="1"/>
  <c r="V2716" i="3"/>
  <c r="W2716" i="3" s="1"/>
  <c r="V2744" i="3"/>
  <c r="W2744" i="3" s="1"/>
  <c r="V2836" i="3"/>
  <c r="W2836" i="3" s="1"/>
  <c r="V2919" i="3"/>
  <c r="W2919" i="3" s="1"/>
  <c r="V2927" i="3"/>
  <c r="W2927" i="3" s="1"/>
  <c r="V2928" i="3"/>
  <c r="W2928" i="3" s="1"/>
  <c r="V2994" i="3"/>
  <c r="W2994" i="3" s="1"/>
  <c r="V3041" i="3"/>
  <c r="W3041" i="3" s="1"/>
  <c r="V3096" i="3"/>
  <c r="W3096" i="3" s="1"/>
  <c r="V3104" i="3"/>
  <c r="W3104" i="3" s="1"/>
  <c r="V3108" i="3"/>
  <c r="W3108" i="3" s="1"/>
  <c r="V3123" i="3"/>
  <c r="W3123" i="3" s="1"/>
  <c r="V3126" i="3"/>
  <c r="W3126" i="3" s="1"/>
  <c r="V3167" i="3"/>
  <c r="W3167" i="3" s="1"/>
  <c r="V3179" i="3"/>
  <c r="W3179" i="3" s="1"/>
  <c r="V3292" i="3"/>
  <c r="W3292" i="3" s="1"/>
  <c r="V3333" i="3"/>
  <c r="W3333" i="3" s="1"/>
  <c r="V3344" i="3"/>
  <c r="W3344" i="3" s="1"/>
  <c r="V3393" i="3"/>
  <c r="W3393" i="3" s="1"/>
  <c r="V3399" i="3"/>
  <c r="W3399" i="3" s="1"/>
  <c r="V3435" i="3"/>
  <c r="W3435" i="3" s="1"/>
  <c r="V3530" i="3"/>
  <c r="W3530" i="3" s="1"/>
  <c r="V3558" i="3"/>
  <c r="W3558" i="3" s="1"/>
  <c r="V3564" i="3"/>
  <c r="W3564" i="3" s="1"/>
  <c r="V3678" i="3"/>
  <c r="W3678" i="3" s="1"/>
  <c r="V3720" i="3"/>
  <c r="W3720" i="3" s="1"/>
  <c r="V3723" i="3"/>
  <c r="W3723" i="3" s="1"/>
  <c r="V3725" i="3"/>
  <c r="W3725" i="3" s="1"/>
  <c r="V3736" i="3"/>
  <c r="W3736" i="3" s="1"/>
  <c r="V3811" i="3"/>
  <c r="W3811" i="3" s="1"/>
  <c r="V3821" i="3"/>
  <c r="W3821" i="3" s="1"/>
  <c r="V3869" i="3"/>
  <c r="W3869" i="3" s="1"/>
  <c r="V3966" i="3"/>
  <c r="W3966" i="3" s="1"/>
  <c r="V4033" i="3"/>
  <c r="W4033" i="3" s="1"/>
  <c r="V4141" i="3"/>
  <c r="W4141" i="3" s="1"/>
  <c r="V4157" i="3"/>
  <c r="W4157" i="3" s="1"/>
  <c r="V4165" i="3"/>
  <c r="W4165" i="3" s="1"/>
  <c r="V4198" i="3"/>
  <c r="W4198" i="3" s="1"/>
  <c r="V4202" i="3"/>
  <c r="W4202" i="3" s="1"/>
  <c r="V4309" i="3"/>
  <c r="W4309" i="3" s="1"/>
  <c r="V4319" i="3"/>
  <c r="W4319" i="3" s="1"/>
  <c r="V4339" i="3"/>
  <c r="W4339" i="3" s="1"/>
  <c r="V4421" i="3"/>
  <c r="W4421" i="3" s="1"/>
  <c r="V4443" i="3"/>
  <c r="W4443" i="3" s="1"/>
  <c r="V4558" i="3"/>
  <c r="W4558" i="3" s="1"/>
  <c r="V4708" i="3"/>
  <c r="W4708" i="3" s="1"/>
  <c r="V4709" i="3"/>
  <c r="W4709" i="3" s="1"/>
  <c r="V4759" i="3"/>
  <c r="W4759" i="3" s="1"/>
  <c r="V4766" i="3"/>
  <c r="W4766" i="3" s="1"/>
  <c r="V4784" i="3"/>
  <c r="W4784" i="3" s="1"/>
  <c r="V62" i="3"/>
  <c r="W62" i="3" s="1"/>
  <c r="V66" i="3"/>
  <c r="W66" i="3" s="1"/>
  <c r="V113" i="3"/>
  <c r="W113" i="3" s="1"/>
  <c r="V164" i="3"/>
  <c r="W164" i="3" s="1"/>
  <c r="V169" i="3"/>
  <c r="W169" i="3" s="1"/>
  <c r="V213" i="3"/>
  <c r="W213" i="3" s="1"/>
  <c r="V231" i="3"/>
  <c r="W231" i="3" s="1"/>
  <c r="V382" i="3"/>
  <c r="W382" i="3" s="1"/>
  <c r="V387" i="3"/>
  <c r="W387" i="3" s="1"/>
  <c r="V525" i="3"/>
  <c r="W525" i="3" s="1"/>
  <c r="V534" i="3"/>
  <c r="W534" i="3" s="1"/>
  <c r="V536" i="3"/>
  <c r="W536" i="3" s="1"/>
  <c r="V583" i="3"/>
  <c r="W583" i="3" s="1"/>
  <c r="V615" i="3"/>
  <c r="W615" i="3" s="1"/>
  <c r="V722" i="3"/>
  <c r="W722" i="3" s="1"/>
  <c r="V745" i="3"/>
  <c r="W745" i="3" s="1"/>
  <c r="V787" i="3"/>
  <c r="W787" i="3" s="1"/>
  <c r="V799" i="3"/>
  <c r="W799" i="3" s="1"/>
  <c r="V817" i="3"/>
  <c r="W817" i="3" s="1"/>
  <c r="V832" i="3"/>
  <c r="W832" i="3" s="1"/>
  <c r="V1001" i="3"/>
  <c r="W1001" i="3" s="1"/>
  <c r="V1021" i="3"/>
  <c r="W1021" i="3" s="1"/>
  <c r="V1049" i="3"/>
  <c r="W1049" i="3" s="1"/>
  <c r="V1083" i="3"/>
  <c r="W1083" i="3" s="1"/>
  <c r="V1191" i="3"/>
  <c r="W1191" i="3" s="1"/>
  <c r="V1243" i="3"/>
  <c r="W1243" i="3" s="1"/>
  <c r="V1260" i="3"/>
  <c r="W1260" i="3" s="1"/>
  <c r="V1287" i="3"/>
  <c r="W1287" i="3" s="1"/>
  <c r="V1292" i="3"/>
  <c r="W1292" i="3" s="1"/>
  <c r="V1299" i="3"/>
  <c r="W1299" i="3" s="1"/>
  <c r="V1302" i="3"/>
  <c r="W1302" i="3" s="1"/>
  <c r="V1304" i="3"/>
  <c r="W1304" i="3" s="1"/>
  <c r="V1327" i="3"/>
  <c r="W1327" i="3" s="1"/>
  <c r="V1448" i="3"/>
  <c r="W1448" i="3" s="1"/>
  <c r="V1455" i="3"/>
  <c r="W1455" i="3" s="1"/>
  <c r="V1487" i="3"/>
  <c r="W1487" i="3" s="1"/>
  <c r="V1510" i="3"/>
  <c r="W1510" i="3" s="1"/>
  <c r="V1553" i="3"/>
  <c r="W1553" i="3" s="1"/>
  <c r="V1559" i="3"/>
  <c r="W1559" i="3" s="1"/>
  <c r="V1570" i="3"/>
  <c r="W1570" i="3" s="1"/>
  <c r="V1601" i="3"/>
  <c r="W1601" i="3" s="1"/>
  <c r="V1632" i="3"/>
  <c r="W1632" i="3" s="1"/>
  <c r="V1638" i="3"/>
  <c r="W1638" i="3" s="1"/>
  <c r="V1751" i="3"/>
  <c r="W1751" i="3" s="1"/>
  <c r="V1754" i="3"/>
  <c r="W1754" i="3" s="1"/>
  <c r="V1755" i="3"/>
  <c r="W1755" i="3" s="1"/>
  <c r="V1923" i="3"/>
  <c r="W1923" i="3" s="1"/>
  <c r="V2018" i="3"/>
  <c r="W2018" i="3" s="1"/>
  <c r="V2025" i="3"/>
  <c r="W2025" i="3" s="1"/>
  <c r="V2033" i="3"/>
  <c r="W2033" i="3" s="1"/>
  <c r="V2119" i="3"/>
  <c r="W2119" i="3" s="1"/>
  <c r="V2156" i="3"/>
  <c r="W2156" i="3" s="1"/>
  <c r="V2165" i="3"/>
  <c r="W2165" i="3" s="1"/>
  <c r="V2184" i="3"/>
  <c r="W2184" i="3" s="1"/>
  <c r="V2188" i="3"/>
  <c r="W2188" i="3" s="1"/>
  <c r="V2217" i="3"/>
  <c r="W2217" i="3" s="1"/>
  <c r="V2238" i="3"/>
  <c r="W2238" i="3" s="1"/>
  <c r="V2318" i="3"/>
  <c r="W2318" i="3" s="1"/>
  <c r="V2324" i="3"/>
  <c r="W2324" i="3" s="1"/>
  <c r="V2431" i="3"/>
  <c r="W2431" i="3" s="1"/>
  <c r="V2432" i="3"/>
  <c r="W2432" i="3" s="1"/>
  <c r="V2448" i="3"/>
  <c r="W2448" i="3" s="1"/>
  <c r="V2458" i="3"/>
  <c r="W2458" i="3" s="1"/>
  <c r="V2509" i="3"/>
  <c r="W2509" i="3" s="1"/>
  <c r="V2523" i="3"/>
  <c r="W2523" i="3" s="1"/>
  <c r="V2540" i="3"/>
  <c r="W2540" i="3" s="1"/>
  <c r="V2571" i="3"/>
  <c r="W2571" i="3" s="1"/>
  <c r="V2647" i="3"/>
  <c r="W2647" i="3" s="1"/>
  <c r="V2655" i="3"/>
  <c r="W2655" i="3" s="1"/>
  <c r="V2695" i="3"/>
  <c r="W2695" i="3" s="1"/>
  <c r="V2864" i="3"/>
  <c r="W2864" i="3" s="1"/>
  <c r="V2874" i="3"/>
  <c r="W2874" i="3" s="1"/>
  <c r="V2881" i="3"/>
  <c r="W2881" i="3" s="1"/>
  <c r="V2893" i="3"/>
  <c r="W2893" i="3" s="1"/>
  <c r="V2899" i="3"/>
  <c r="W2899" i="3" s="1"/>
  <c r="V2930" i="3"/>
  <c r="W2930" i="3" s="1"/>
  <c r="V2999" i="3"/>
  <c r="W2999" i="3" s="1"/>
  <c r="V3021" i="3"/>
  <c r="W3021" i="3" s="1"/>
  <c r="V3078" i="3"/>
  <c r="W3078" i="3" s="1"/>
  <c r="V3135" i="3"/>
  <c r="W3135" i="3" s="1"/>
  <c r="V3213" i="3"/>
  <c r="W3213" i="3" s="1"/>
  <c r="V3273" i="3"/>
  <c r="W3273" i="3" s="1"/>
  <c r="V3286" i="3"/>
  <c r="W3286" i="3" s="1"/>
  <c r="V3310" i="3"/>
  <c r="W3310" i="3" s="1"/>
  <c r="V3327" i="3"/>
  <c r="W3327" i="3" s="1"/>
  <c r="V3347" i="3"/>
  <c r="W3347" i="3" s="1"/>
  <c r="V3439" i="3"/>
  <c r="W3439" i="3" s="1"/>
  <c r="V3511" i="3"/>
  <c r="W3511" i="3" s="1"/>
  <c r="V3613" i="3"/>
  <c r="W3613" i="3" s="1"/>
  <c r="V3614" i="3"/>
  <c r="W3614" i="3" s="1"/>
  <c r="V3669" i="3"/>
  <c r="W3669" i="3" s="1"/>
  <c r="V3784" i="3"/>
  <c r="W3784" i="3" s="1"/>
  <c r="V3809" i="3"/>
  <c r="W3809" i="3" s="1"/>
  <c r="V3866" i="3"/>
  <c r="W3866" i="3" s="1"/>
  <c r="V3923" i="3"/>
  <c r="W3923" i="3" s="1"/>
  <c r="V3999" i="3"/>
  <c r="W3999" i="3" s="1"/>
  <c r="V4022" i="3"/>
  <c r="W4022" i="3" s="1"/>
  <c r="V4032" i="3"/>
  <c r="W4032" i="3" s="1"/>
  <c r="V4135" i="3"/>
  <c r="W4135" i="3" s="1"/>
  <c r="V4140" i="3"/>
  <c r="W4140" i="3" s="1"/>
  <c r="V4145" i="3"/>
  <c r="W4145" i="3" s="1"/>
  <c r="V4158" i="3"/>
  <c r="W4158" i="3" s="1"/>
  <c r="V4194" i="3"/>
  <c r="W4194" i="3" s="1"/>
  <c r="V4210" i="3"/>
  <c r="W4210" i="3" s="1"/>
  <c r="V4211" i="3"/>
  <c r="W4211" i="3" s="1"/>
  <c r="V4223" i="3"/>
  <c r="W4223" i="3" s="1"/>
  <c r="V4302" i="3"/>
  <c r="W4302" i="3" s="1"/>
  <c r="V4375" i="3"/>
  <c r="W4375" i="3" s="1"/>
  <c r="V4376" i="3"/>
  <c r="W4376" i="3" s="1"/>
  <c r="V4416" i="3"/>
  <c r="W4416" i="3" s="1"/>
  <c r="V4670" i="3"/>
  <c r="W4670" i="3" s="1"/>
  <c r="V4675" i="3"/>
  <c r="W4675" i="3" s="1"/>
  <c r="V4726" i="3"/>
  <c r="W4726" i="3" s="1"/>
  <c r="V4815" i="3"/>
  <c r="W4815" i="3" s="1"/>
  <c r="V14" i="3"/>
  <c r="W14" i="3" s="1"/>
  <c r="V65" i="3"/>
  <c r="W65" i="3" s="1"/>
  <c r="V67" i="3"/>
  <c r="W67" i="3" s="1"/>
  <c r="V75" i="3"/>
  <c r="W75" i="3" s="1"/>
  <c r="V82" i="3"/>
  <c r="W82" i="3" s="1"/>
  <c r="V115" i="3"/>
  <c r="W115" i="3" s="1"/>
  <c r="V118" i="3"/>
  <c r="W118" i="3" s="1"/>
  <c r="V148" i="3"/>
  <c r="W148" i="3" s="1"/>
  <c r="V151" i="3"/>
  <c r="W151" i="3" s="1"/>
  <c r="V175" i="3"/>
  <c r="W175" i="3" s="1"/>
  <c r="V178" i="3"/>
  <c r="W178" i="3" s="1"/>
  <c r="V181" i="3"/>
  <c r="W181" i="3" s="1"/>
  <c r="V204" i="3"/>
  <c r="W204" i="3" s="1"/>
  <c r="V294" i="3"/>
  <c r="W294" i="3" s="1"/>
  <c r="V394" i="3"/>
  <c r="W394" i="3" s="1"/>
  <c r="V408" i="3"/>
  <c r="W408" i="3" s="1"/>
  <c r="V454" i="3"/>
  <c r="W454" i="3" s="1"/>
  <c r="V474" i="3"/>
  <c r="W474" i="3" s="1"/>
  <c r="V485" i="3"/>
  <c r="W485" i="3" s="1"/>
  <c r="V488" i="3"/>
  <c r="W488" i="3" s="1"/>
  <c r="V490" i="3"/>
  <c r="W490" i="3" s="1"/>
  <c r="V493" i="3"/>
  <c r="W493" i="3" s="1"/>
  <c r="V544" i="3"/>
  <c r="W544" i="3" s="1"/>
  <c r="V556" i="3"/>
  <c r="W556" i="3" s="1"/>
  <c r="V571" i="3"/>
  <c r="W571" i="3" s="1"/>
  <c r="V574" i="3"/>
  <c r="W574" i="3" s="1"/>
  <c r="V576" i="3"/>
  <c r="W576" i="3" s="1"/>
  <c r="V579" i="3"/>
  <c r="W579" i="3" s="1"/>
  <c r="V608" i="3"/>
  <c r="W608" i="3" s="1"/>
  <c r="V629" i="3"/>
  <c r="W629" i="3" s="1"/>
  <c r="V650" i="3"/>
  <c r="W650" i="3" s="1"/>
  <c r="V674" i="3"/>
  <c r="W674" i="3" s="1"/>
  <c r="V677" i="3"/>
  <c r="W677" i="3" s="1"/>
  <c r="V779" i="3"/>
  <c r="W779" i="3" s="1"/>
  <c r="V796" i="3"/>
  <c r="W796" i="3" s="1"/>
  <c r="V826" i="3"/>
  <c r="W826" i="3" s="1"/>
  <c r="V847" i="3"/>
  <c r="W847" i="3" s="1"/>
  <c r="V869" i="3"/>
  <c r="W869" i="3" s="1"/>
  <c r="V899" i="3"/>
  <c r="W899" i="3" s="1"/>
  <c r="V926" i="3"/>
  <c r="W926" i="3" s="1"/>
  <c r="V930" i="3"/>
  <c r="W930" i="3" s="1"/>
  <c r="V942" i="3"/>
  <c r="W942" i="3" s="1"/>
  <c r="V947" i="3"/>
  <c r="W947" i="3" s="1"/>
  <c r="V953" i="3"/>
  <c r="W953" i="3" s="1"/>
  <c r="V956" i="3"/>
  <c r="W956" i="3" s="1"/>
  <c r="V967" i="3"/>
  <c r="W967" i="3" s="1"/>
  <c r="V971" i="3"/>
  <c r="W971" i="3" s="1"/>
  <c r="V982" i="3"/>
  <c r="W982" i="3" s="1"/>
  <c r="V991" i="3"/>
  <c r="W991" i="3" s="1"/>
  <c r="V1031" i="3"/>
  <c r="W1031" i="3" s="1"/>
  <c r="V1037" i="3"/>
  <c r="W1037" i="3" s="1"/>
  <c r="V1042" i="3"/>
  <c r="W1042" i="3" s="1"/>
  <c r="V1063" i="3"/>
  <c r="W1063" i="3" s="1"/>
  <c r="V1105" i="3"/>
  <c r="W1105" i="3" s="1"/>
  <c r="V1119" i="3"/>
  <c r="W1119" i="3" s="1"/>
  <c r="V1134" i="3"/>
  <c r="W1134" i="3" s="1"/>
  <c r="V1177" i="3"/>
  <c r="W1177" i="3" s="1"/>
  <c r="V1192" i="3"/>
  <c r="W1192" i="3" s="1"/>
  <c r="V1194" i="3"/>
  <c r="W1194" i="3" s="1"/>
  <c r="V1219" i="3"/>
  <c r="W1219" i="3" s="1"/>
  <c r="V1285" i="3"/>
  <c r="W1285" i="3" s="1"/>
  <c r="V1314" i="3"/>
  <c r="W1314" i="3" s="1"/>
  <c r="V1355" i="3"/>
  <c r="W1355" i="3" s="1"/>
  <c r="V1415" i="3"/>
  <c r="W1415" i="3" s="1"/>
  <c r="V1435" i="3"/>
  <c r="W1435" i="3" s="1"/>
  <c r="V1436" i="3"/>
  <c r="W1436" i="3" s="1"/>
  <c r="V1466" i="3"/>
  <c r="W1466" i="3" s="1"/>
  <c r="V1498" i="3"/>
  <c r="W1498" i="3" s="1"/>
  <c r="V1508" i="3"/>
  <c r="W1508" i="3" s="1"/>
  <c r="V1511" i="3"/>
  <c r="W1511" i="3" s="1"/>
  <c r="V1566" i="3"/>
  <c r="W1566" i="3" s="1"/>
  <c r="V1574" i="3"/>
  <c r="W1574" i="3" s="1"/>
  <c r="V1580" i="3"/>
  <c r="W1580" i="3" s="1"/>
  <c r="V1589" i="3"/>
  <c r="W1589" i="3" s="1"/>
  <c r="V1642" i="3"/>
  <c r="W1642" i="3" s="1"/>
  <c r="V1655" i="3"/>
  <c r="W1655" i="3" s="1"/>
  <c r="V1682" i="3"/>
  <c r="W1682" i="3" s="1"/>
  <c r="V1685" i="3"/>
  <c r="W1685" i="3" s="1"/>
  <c r="V1694" i="3"/>
  <c r="W1694" i="3" s="1"/>
  <c r="V1710" i="3"/>
  <c r="W1710" i="3" s="1"/>
  <c r="V1714" i="3"/>
  <c r="W1714" i="3" s="1"/>
  <c r="V1726" i="3"/>
  <c r="W1726" i="3" s="1"/>
  <c r="V1727" i="3"/>
  <c r="W1727" i="3" s="1"/>
  <c r="V1732" i="3"/>
  <c r="W1732" i="3" s="1"/>
  <c r="V1768" i="3"/>
  <c r="W1768" i="3" s="1"/>
  <c r="V1825" i="3"/>
  <c r="W1825" i="3" s="1"/>
  <c r="V1915" i="3"/>
  <c r="W1915" i="3" s="1"/>
  <c r="V1933" i="3"/>
  <c r="W1933" i="3" s="1"/>
  <c r="V1954" i="3"/>
  <c r="W1954" i="3" s="1"/>
  <c r="V1956" i="3"/>
  <c r="W1956" i="3" s="1"/>
  <c r="V1970" i="3"/>
  <c r="W1970" i="3" s="1"/>
  <c r="V1977" i="3"/>
  <c r="W1977" i="3" s="1"/>
  <c r="V1985" i="3"/>
  <c r="W1985" i="3" s="1"/>
  <c r="V2028" i="3"/>
  <c r="W2028" i="3" s="1"/>
  <c r="V2029" i="3"/>
  <c r="W2029" i="3" s="1"/>
  <c r="V2038" i="3"/>
  <c r="W2038" i="3" s="1"/>
  <c r="V2052" i="3"/>
  <c r="W2052" i="3" s="1"/>
  <c r="V2063" i="3"/>
  <c r="W2063" i="3" s="1"/>
  <c r="V2072" i="3"/>
  <c r="W2072" i="3" s="1"/>
  <c r="V2107" i="3"/>
  <c r="W2107" i="3" s="1"/>
  <c r="V2181" i="3"/>
  <c r="W2181" i="3" s="1"/>
  <c r="V2226" i="3"/>
  <c r="W2226" i="3" s="1"/>
  <c r="V2239" i="3"/>
  <c r="W2239" i="3" s="1"/>
  <c r="V2302" i="3"/>
  <c r="W2302" i="3" s="1"/>
  <c r="V2310" i="3"/>
  <c r="W2310" i="3" s="1"/>
  <c r="V2392" i="3"/>
  <c r="W2392" i="3" s="1"/>
  <c r="V2414" i="3"/>
  <c r="W2414" i="3" s="1"/>
  <c r="V2443" i="3"/>
  <c r="W2443" i="3" s="1"/>
  <c r="V2467" i="3"/>
  <c r="W2467" i="3" s="1"/>
  <c r="V2486" i="3"/>
  <c r="W2486" i="3" s="1"/>
  <c r="V2494" i="3"/>
  <c r="W2494" i="3" s="1"/>
  <c r="V2496" i="3"/>
  <c r="W2496" i="3" s="1"/>
  <c r="V2502" i="3"/>
  <c r="W2502" i="3" s="1"/>
  <c r="V2552" i="3"/>
  <c r="W2552" i="3" s="1"/>
  <c r="V2564" i="3"/>
  <c r="W2564" i="3" s="1"/>
  <c r="V2578" i="3"/>
  <c r="W2578" i="3" s="1"/>
  <c r="V2584" i="3"/>
  <c r="W2584" i="3" s="1"/>
  <c r="V2585" i="3"/>
  <c r="W2585" i="3" s="1"/>
  <c r="V2606" i="3"/>
  <c r="W2606" i="3" s="1"/>
  <c r="V2609" i="3"/>
  <c r="W2609" i="3" s="1"/>
  <c r="V2698" i="3"/>
  <c r="W2698" i="3" s="1"/>
  <c r="V2699" i="3"/>
  <c r="W2699" i="3" s="1"/>
  <c r="V2758" i="3"/>
  <c r="W2758" i="3" s="1"/>
  <c r="V2805" i="3"/>
  <c r="W2805" i="3" s="1"/>
  <c r="V2824" i="3"/>
  <c r="W2824" i="3" s="1"/>
  <c r="V2826" i="3"/>
  <c r="W2826" i="3" s="1"/>
  <c r="V2840" i="3"/>
  <c r="W2840" i="3" s="1"/>
  <c r="V2857" i="3"/>
  <c r="W2857" i="3" s="1"/>
  <c r="V2866" i="3"/>
  <c r="W2866" i="3" s="1"/>
  <c r="V2908" i="3"/>
  <c r="W2908" i="3" s="1"/>
  <c r="V3008" i="3"/>
  <c r="W3008" i="3" s="1"/>
  <c r="V3012" i="3"/>
  <c r="W3012" i="3" s="1"/>
  <c r="V3028" i="3"/>
  <c r="W3028" i="3" s="1"/>
  <c r="V3056" i="3"/>
  <c r="W3056" i="3" s="1"/>
  <c r="V3128" i="3"/>
  <c r="W3128" i="3" s="1"/>
  <c r="V3145" i="3"/>
  <c r="W3145" i="3" s="1"/>
  <c r="V3147" i="3"/>
  <c r="W3147" i="3" s="1"/>
  <c r="V3162" i="3"/>
  <c r="W3162" i="3" s="1"/>
  <c r="V3268" i="3"/>
  <c r="W3268" i="3" s="1"/>
  <c r="V3280" i="3"/>
  <c r="W3280" i="3" s="1"/>
  <c r="V3324" i="3"/>
  <c r="W3324" i="3" s="1"/>
  <c r="V3362" i="3"/>
  <c r="W3362" i="3" s="1"/>
  <c r="V3366" i="3"/>
  <c r="W3366" i="3" s="1"/>
  <c r="V3432" i="3"/>
  <c r="W3432" i="3" s="1"/>
  <c r="V3440" i="3"/>
  <c r="W3440" i="3" s="1"/>
  <c r="V3444" i="3"/>
  <c r="W3444" i="3" s="1"/>
  <c r="V3451" i="3"/>
  <c r="W3451" i="3" s="1"/>
  <c r="V3484" i="3"/>
  <c r="W3484" i="3" s="1"/>
  <c r="V3512" i="3"/>
  <c r="W3512" i="3" s="1"/>
  <c r="V3589" i="3"/>
  <c r="W3589" i="3" s="1"/>
  <c r="V3599" i="3"/>
  <c r="W3599" i="3" s="1"/>
  <c r="V3601" i="3"/>
  <c r="W3601" i="3" s="1"/>
  <c r="V3629" i="3"/>
  <c r="W3629" i="3" s="1"/>
  <c r="V3666" i="3"/>
  <c r="W3666" i="3" s="1"/>
  <c r="V3671" i="3"/>
  <c r="W3671" i="3" s="1"/>
  <c r="V3674" i="3"/>
  <c r="W3674" i="3" s="1"/>
  <c r="V3682" i="3"/>
  <c r="W3682" i="3" s="1"/>
  <c r="V3761" i="3"/>
  <c r="W3761" i="3" s="1"/>
  <c r="V3768" i="3"/>
  <c r="W3768" i="3" s="1"/>
  <c r="V3793" i="3"/>
  <c r="W3793" i="3" s="1"/>
  <c r="V3874" i="3"/>
  <c r="W3874" i="3" s="1"/>
  <c r="V3920" i="3"/>
  <c r="W3920" i="3" s="1"/>
  <c r="V3922" i="3"/>
  <c r="W3922" i="3" s="1"/>
  <c r="V3963" i="3"/>
  <c r="W3963" i="3" s="1"/>
  <c r="V3987" i="3"/>
  <c r="W3987" i="3" s="1"/>
  <c r="V4133" i="3"/>
  <c r="W4133" i="3" s="1"/>
  <c r="V4142" i="3"/>
  <c r="W4142" i="3" s="1"/>
  <c r="V4154" i="3"/>
  <c r="W4154" i="3" s="1"/>
  <c r="V4169" i="3"/>
  <c r="W4169" i="3" s="1"/>
  <c r="V4187" i="3"/>
  <c r="W4187" i="3" s="1"/>
  <c r="V4191" i="3"/>
  <c r="W4191" i="3" s="1"/>
  <c r="V4215" i="3"/>
  <c r="W4215" i="3" s="1"/>
  <c r="V4235" i="3"/>
  <c r="W4235" i="3" s="1"/>
  <c r="V4248" i="3"/>
  <c r="W4248" i="3" s="1"/>
  <c r="V4377" i="3"/>
  <c r="W4377" i="3" s="1"/>
  <c r="V4529" i="3"/>
  <c r="W4529" i="3" s="1"/>
  <c r="V4587" i="3"/>
  <c r="W4587" i="3" s="1"/>
  <c r="V4591" i="3"/>
  <c r="W4591" i="3" s="1"/>
  <c r="V4606" i="3"/>
  <c r="W4606" i="3" s="1"/>
  <c r="V4615" i="3"/>
  <c r="W4615" i="3" s="1"/>
  <c r="V4626" i="3"/>
  <c r="W4626" i="3" s="1"/>
  <c r="V4628" i="3"/>
  <c r="W4628" i="3" s="1"/>
  <c r="V4632" i="3"/>
  <c r="W4632" i="3" s="1"/>
  <c r="V4747" i="3"/>
  <c r="W4747" i="3" s="1"/>
  <c r="V4792" i="3"/>
  <c r="W4792" i="3" s="1"/>
  <c r="V4814" i="3"/>
  <c r="W4814" i="3" s="1"/>
  <c r="V4832" i="3"/>
  <c r="W4832" i="3" s="1"/>
  <c r="V11" i="3"/>
  <c r="W11" i="3" s="1"/>
  <c r="V12" i="3"/>
  <c r="W12" i="3" s="1"/>
  <c r="V30" i="3"/>
  <c r="W30" i="3" s="1"/>
  <c r="V168" i="3"/>
  <c r="W168" i="3" s="1"/>
  <c r="V170" i="3"/>
  <c r="W170" i="3" s="1"/>
  <c r="V172" i="3"/>
  <c r="W172" i="3" s="1"/>
  <c r="V236" i="3"/>
  <c r="W236" i="3" s="1"/>
  <c r="V257" i="3"/>
  <c r="W257" i="3" s="1"/>
  <c r="V305" i="3"/>
  <c r="W305" i="3" s="1"/>
  <c r="V308" i="3"/>
  <c r="W308" i="3" s="1"/>
  <c r="V324" i="3"/>
  <c r="W324" i="3" s="1"/>
  <c r="V424" i="3"/>
  <c r="W424" i="3" s="1"/>
  <c r="V507" i="3"/>
  <c r="W507" i="3" s="1"/>
  <c r="V522" i="3"/>
  <c r="W522" i="3" s="1"/>
  <c r="V557" i="3"/>
  <c r="W557" i="3" s="1"/>
  <c r="V572" i="3"/>
  <c r="W572" i="3" s="1"/>
  <c r="V600" i="3"/>
  <c r="W600" i="3" s="1"/>
  <c r="V601" i="3"/>
  <c r="W601" i="3" s="1"/>
  <c r="V610" i="3"/>
  <c r="W610" i="3" s="1"/>
  <c r="V618" i="3"/>
  <c r="W618" i="3" s="1"/>
  <c r="V635" i="3"/>
  <c r="W635" i="3" s="1"/>
  <c r="V671" i="3"/>
  <c r="W671" i="3" s="1"/>
  <c r="V691" i="3"/>
  <c r="W691" i="3" s="1"/>
  <c r="V695" i="3"/>
  <c r="W695" i="3" s="1"/>
  <c r="V748" i="3"/>
  <c r="W748" i="3" s="1"/>
  <c r="V767" i="3"/>
  <c r="W767" i="3" s="1"/>
  <c r="V775" i="3"/>
  <c r="W775" i="3" s="1"/>
  <c r="V824" i="3"/>
  <c r="W824" i="3" s="1"/>
  <c r="V856" i="3"/>
  <c r="W856" i="3" s="1"/>
  <c r="V865" i="3"/>
  <c r="W865" i="3" s="1"/>
  <c r="V921" i="3"/>
  <c r="W921" i="3" s="1"/>
  <c r="V944" i="3"/>
  <c r="W944" i="3" s="1"/>
  <c r="V970" i="3"/>
  <c r="W970" i="3" s="1"/>
  <c r="V994" i="3"/>
  <c r="W994" i="3" s="1"/>
  <c r="V1008" i="3"/>
  <c r="W1008" i="3" s="1"/>
  <c r="V1027" i="3"/>
  <c r="W1027" i="3" s="1"/>
  <c r="V1122" i="3"/>
  <c r="W1122" i="3" s="1"/>
  <c r="V1141" i="3"/>
  <c r="W1141" i="3" s="1"/>
  <c r="V1144" i="3"/>
  <c r="W1144" i="3" s="1"/>
  <c r="V1158" i="3"/>
  <c r="W1158" i="3" s="1"/>
  <c r="V1227" i="3"/>
  <c r="W1227" i="3" s="1"/>
  <c r="V1228" i="3"/>
  <c r="W1228" i="3" s="1"/>
  <c r="V1233" i="3"/>
  <c r="W1233" i="3" s="1"/>
  <c r="V1235" i="3"/>
  <c r="W1235" i="3" s="1"/>
  <c r="V1247" i="3"/>
  <c r="W1247" i="3" s="1"/>
  <c r="V1250" i="3"/>
  <c r="W1250" i="3" s="1"/>
  <c r="V1262" i="3"/>
  <c r="W1262" i="3" s="1"/>
  <c r="V1367" i="3"/>
  <c r="W1367" i="3" s="1"/>
  <c r="V1372" i="3"/>
  <c r="W1372" i="3" s="1"/>
  <c r="V1389" i="3"/>
  <c r="W1389" i="3" s="1"/>
  <c r="V1422" i="3"/>
  <c r="W1422" i="3" s="1"/>
  <c r="V1452" i="3"/>
  <c r="W1452" i="3" s="1"/>
  <c r="V1494" i="3"/>
  <c r="W1494" i="3" s="1"/>
  <c r="V1584" i="3"/>
  <c r="W1584" i="3" s="1"/>
  <c r="V1595" i="3"/>
  <c r="W1595" i="3" s="1"/>
  <c r="V1614" i="3"/>
  <c r="W1614" i="3" s="1"/>
  <c r="V1620" i="3"/>
  <c r="W1620" i="3" s="1"/>
  <c r="V1647" i="3"/>
  <c r="W1647" i="3" s="1"/>
  <c r="V1649" i="3"/>
  <c r="W1649" i="3" s="1"/>
  <c r="V1759" i="3"/>
  <c r="W1759" i="3" s="1"/>
  <c r="V1767" i="3"/>
  <c r="W1767" i="3" s="1"/>
  <c r="V1837" i="3"/>
  <c r="W1837" i="3" s="1"/>
  <c r="V1847" i="3"/>
  <c r="W1847" i="3" s="1"/>
  <c r="V1870" i="3"/>
  <c r="W1870" i="3" s="1"/>
  <c r="V1946" i="3"/>
  <c r="W1946" i="3" s="1"/>
  <c r="V1951" i="3"/>
  <c r="W1951" i="3" s="1"/>
  <c r="V1979" i="3"/>
  <c r="W1979" i="3" s="1"/>
  <c r="V2010" i="3"/>
  <c r="W2010" i="3" s="1"/>
  <c r="V2032" i="3"/>
  <c r="W2032" i="3" s="1"/>
  <c r="V2071" i="3"/>
  <c r="W2071" i="3" s="1"/>
  <c r="V2100" i="3"/>
  <c r="W2100" i="3" s="1"/>
  <c r="V2110" i="3"/>
  <c r="W2110" i="3" s="1"/>
  <c r="V2114" i="3"/>
  <c r="W2114" i="3" s="1"/>
  <c r="V2211" i="3"/>
  <c r="W2211" i="3" s="1"/>
  <c r="V2248" i="3"/>
  <c r="W2248" i="3" s="1"/>
  <c r="V2254" i="3"/>
  <c r="W2254" i="3" s="1"/>
  <c r="V2301" i="3"/>
  <c r="W2301" i="3" s="1"/>
  <c r="V2370" i="3"/>
  <c r="W2370" i="3" s="1"/>
  <c r="V2397" i="3"/>
  <c r="W2397" i="3" s="1"/>
  <c r="V2405" i="3"/>
  <c r="W2405" i="3" s="1"/>
  <c r="V2416" i="3"/>
  <c r="W2416" i="3" s="1"/>
  <c r="V2445" i="3"/>
  <c r="W2445" i="3" s="1"/>
  <c r="V2473" i="3"/>
  <c r="W2473" i="3" s="1"/>
  <c r="V2537" i="3"/>
  <c r="W2537" i="3" s="1"/>
  <c r="V2539" i="3"/>
  <c r="W2539" i="3" s="1"/>
  <c r="V2556" i="3"/>
  <c r="W2556" i="3" s="1"/>
  <c r="V2580" i="3"/>
  <c r="W2580" i="3" s="1"/>
  <c r="V2678" i="3"/>
  <c r="W2678" i="3" s="1"/>
  <c r="V2679" i="3"/>
  <c r="W2679" i="3" s="1"/>
  <c r="V2696" i="3"/>
  <c r="W2696" i="3" s="1"/>
  <c r="V2712" i="3"/>
  <c r="W2712" i="3" s="1"/>
  <c r="V2748" i="3"/>
  <c r="W2748" i="3" s="1"/>
  <c r="V2785" i="3"/>
  <c r="W2785" i="3" s="1"/>
  <c r="V2837" i="3"/>
  <c r="W2837" i="3" s="1"/>
  <c r="V2858" i="3"/>
  <c r="W2858" i="3" s="1"/>
  <c r="V2902" i="3"/>
  <c r="W2902" i="3" s="1"/>
  <c r="V2922" i="3"/>
  <c r="W2922" i="3" s="1"/>
  <c r="V2951" i="3"/>
  <c r="W2951" i="3" s="1"/>
  <c r="V3038" i="3"/>
  <c r="W3038" i="3" s="1"/>
  <c r="V3060" i="3"/>
  <c r="W3060" i="3" s="1"/>
  <c r="V3074" i="3"/>
  <c r="W3074" i="3" s="1"/>
  <c r="V3083" i="3"/>
  <c r="W3083" i="3" s="1"/>
  <c r="V3085" i="3"/>
  <c r="W3085" i="3" s="1"/>
  <c r="V3086" i="3"/>
  <c r="W3086" i="3" s="1"/>
  <c r="V3150" i="3"/>
  <c r="W3150" i="3" s="1"/>
  <c r="V3166" i="3"/>
  <c r="W3166" i="3" s="1"/>
  <c r="V3229" i="3"/>
  <c r="W3229" i="3" s="1"/>
  <c r="V3232" i="3"/>
  <c r="W3232" i="3" s="1"/>
  <c r="V3241" i="3"/>
  <c r="W3241" i="3" s="1"/>
  <c r="V3246" i="3"/>
  <c r="W3246" i="3" s="1"/>
  <c r="V3263" i="3"/>
  <c r="W3263" i="3" s="1"/>
  <c r="V3277" i="3"/>
  <c r="W3277" i="3" s="1"/>
  <c r="V3287" i="3"/>
  <c r="W3287" i="3" s="1"/>
  <c r="V3289" i="3"/>
  <c r="W3289" i="3" s="1"/>
  <c r="V3318" i="3"/>
  <c r="W3318" i="3" s="1"/>
  <c r="V3323" i="3"/>
  <c r="W3323" i="3" s="1"/>
  <c r="V3357" i="3"/>
  <c r="W3357" i="3" s="1"/>
  <c r="V3403" i="3"/>
  <c r="W3403" i="3" s="1"/>
  <c r="V3406" i="3"/>
  <c r="W3406" i="3" s="1"/>
  <c r="V3422" i="3"/>
  <c r="W3422" i="3" s="1"/>
  <c r="V3437" i="3"/>
  <c r="W3437" i="3" s="1"/>
  <c r="V3478" i="3"/>
  <c r="W3478" i="3" s="1"/>
  <c r="V3479" i="3"/>
  <c r="W3479" i="3" s="1"/>
  <c r="V3552" i="3"/>
  <c r="W3552" i="3" s="1"/>
  <c r="V3556" i="3"/>
  <c r="W3556" i="3" s="1"/>
  <c r="V3600" i="3"/>
  <c r="W3600" i="3" s="1"/>
  <c r="V3633" i="3"/>
  <c r="W3633" i="3" s="1"/>
  <c r="V3677" i="3"/>
  <c r="W3677" i="3" s="1"/>
  <c r="V3730" i="3"/>
  <c r="W3730" i="3" s="1"/>
  <c r="V3733" i="3"/>
  <c r="W3733" i="3" s="1"/>
  <c r="V3749" i="3"/>
  <c r="W3749" i="3" s="1"/>
  <c r="V3765" i="3"/>
  <c r="W3765" i="3" s="1"/>
  <c r="V3770" i="3"/>
  <c r="W3770" i="3" s="1"/>
  <c r="V3775" i="3"/>
  <c r="W3775" i="3" s="1"/>
  <c r="V3789" i="3"/>
  <c r="W3789" i="3" s="1"/>
  <c r="V3794" i="3"/>
  <c r="W3794" i="3" s="1"/>
  <c r="V3882" i="3"/>
  <c r="W3882" i="3" s="1"/>
  <c r="V3889" i="3"/>
  <c r="W3889" i="3" s="1"/>
  <c r="V3908" i="3"/>
  <c r="W3908" i="3" s="1"/>
  <c r="V3925" i="3"/>
  <c r="W3925" i="3" s="1"/>
  <c r="V3929" i="3"/>
  <c r="W3929" i="3" s="1"/>
  <c r="V3981" i="3"/>
  <c r="W3981" i="3" s="1"/>
  <c r="V3983" i="3"/>
  <c r="W3983" i="3" s="1"/>
  <c r="V4015" i="3"/>
  <c r="W4015" i="3" s="1"/>
  <c r="V4061" i="3"/>
  <c r="W4061" i="3" s="1"/>
  <c r="V4111" i="3"/>
  <c r="W4111" i="3" s="1"/>
  <c r="V4176" i="3"/>
  <c r="W4176" i="3" s="1"/>
  <c r="V4181" i="3"/>
  <c r="W4181" i="3" s="1"/>
  <c r="V4222" i="3"/>
  <c r="W4222" i="3" s="1"/>
  <c r="V4224" i="3"/>
  <c r="W4224" i="3" s="1"/>
  <c r="V4241" i="3"/>
  <c r="W4241" i="3" s="1"/>
  <c r="V4251" i="3"/>
  <c r="W4251" i="3" s="1"/>
  <c r="V4311" i="3"/>
  <c r="W4311" i="3" s="1"/>
  <c r="V4395" i="3"/>
  <c r="W4395" i="3" s="1"/>
  <c r="V4398" i="3"/>
  <c r="W4398" i="3" s="1"/>
  <c r="V4511" i="3"/>
  <c r="W4511" i="3" s="1"/>
  <c r="V4596" i="3"/>
  <c r="W4596" i="3" s="1"/>
  <c r="V4636" i="3"/>
  <c r="W4636" i="3" s="1"/>
  <c r="V4667" i="3"/>
  <c r="W4667" i="3" s="1"/>
  <c r="V4668" i="3"/>
  <c r="W4668" i="3" s="1"/>
  <c r="V4679" i="3"/>
  <c r="W4679" i="3" s="1"/>
  <c r="V4686" i="3"/>
  <c r="W4686" i="3" s="1"/>
  <c r="V4687" i="3"/>
  <c r="W4687" i="3" s="1"/>
  <c r="V4701" i="3"/>
  <c r="W4701" i="3" s="1"/>
  <c r="V4716" i="3"/>
  <c r="W4716" i="3" s="1"/>
  <c r="V4756" i="3"/>
  <c r="W4756" i="3" s="1"/>
  <c r="V4761" i="3"/>
  <c r="W4761" i="3" s="1"/>
  <c r="V4781" i="3"/>
  <c r="W4781" i="3" s="1"/>
  <c r="V4786" i="3"/>
  <c r="W4786" i="3" s="1"/>
  <c r="V70" i="3"/>
  <c r="W70" i="3" s="1"/>
  <c r="V73" i="3"/>
  <c r="W73" i="3" s="1"/>
  <c r="V180" i="3"/>
  <c r="W180" i="3" s="1"/>
  <c r="V216" i="3"/>
  <c r="W216" i="3" s="1"/>
  <c r="V222" i="3"/>
  <c r="W222" i="3" s="1"/>
  <c r="V296" i="3"/>
  <c r="W296" i="3" s="1"/>
  <c r="V300" i="3"/>
  <c r="W300" i="3" s="1"/>
  <c r="V330" i="3"/>
  <c r="W330" i="3" s="1"/>
  <c r="V338" i="3"/>
  <c r="W338" i="3" s="1"/>
  <c r="V458" i="3"/>
  <c r="W458" i="3" s="1"/>
  <c r="V518" i="3"/>
  <c r="W518" i="3" s="1"/>
  <c r="V533" i="3"/>
  <c r="W533" i="3" s="1"/>
  <c r="V679" i="3"/>
  <c r="W679" i="3" s="1"/>
  <c r="V758" i="3"/>
  <c r="W758" i="3" s="1"/>
  <c r="V768" i="3"/>
  <c r="W768" i="3" s="1"/>
  <c r="V792" i="3"/>
  <c r="W792" i="3" s="1"/>
  <c r="V863" i="3"/>
  <c r="W863" i="3" s="1"/>
  <c r="V880" i="3"/>
  <c r="W880" i="3" s="1"/>
  <c r="V891" i="3"/>
  <c r="W891" i="3" s="1"/>
  <c r="V1024" i="3"/>
  <c r="W1024" i="3" s="1"/>
  <c r="V1036" i="3"/>
  <c r="W1036" i="3" s="1"/>
  <c r="V1156" i="3"/>
  <c r="W1156" i="3" s="1"/>
  <c r="V1163" i="3"/>
  <c r="W1163" i="3" s="1"/>
  <c r="V1239" i="3"/>
  <c r="W1239" i="3" s="1"/>
  <c r="V1303" i="3"/>
  <c r="W1303" i="3" s="1"/>
  <c r="V1364" i="3"/>
  <c r="W1364" i="3" s="1"/>
  <c r="V1408" i="3"/>
  <c r="W1408" i="3" s="1"/>
  <c r="V1428" i="3"/>
  <c r="W1428" i="3" s="1"/>
  <c r="V1708" i="3"/>
  <c r="W1708" i="3" s="1"/>
  <c r="V1906" i="3"/>
  <c r="W1906" i="3" s="1"/>
  <c r="V1950" i="3"/>
  <c r="W1950" i="3" s="1"/>
  <c r="V2051" i="3"/>
  <c r="W2051" i="3" s="1"/>
  <c r="V2065" i="3"/>
  <c r="W2065" i="3" s="1"/>
  <c r="V2098" i="3"/>
  <c r="W2098" i="3" s="1"/>
  <c r="V2329" i="3"/>
  <c r="W2329" i="3" s="1"/>
  <c r="V2413" i="3"/>
  <c r="W2413" i="3" s="1"/>
  <c r="V2433" i="3"/>
  <c r="W2433" i="3" s="1"/>
  <c r="V2490" i="3"/>
  <c r="W2490" i="3" s="1"/>
  <c r="V2602" i="3"/>
  <c r="W2602" i="3" s="1"/>
  <c r="V2642" i="3"/>
  <c r="W2642" i="3" s="1"/>
  <c r="V2688" i="3"/>
  <c r="W2688" i="3" s="1"/>
  <c r="V2854" i="3"/>
  <c r="W2854" i="3" s="1"/>
  <c r="V2920" i="3"/>
  <c r="W2920" i="3" s="1"/>
  <c r="V2935" i="3"/>
  <c r="W2935" i="3" s="1"/>
  <c r="V3026" i="3"/>
  <c r="W3026" i="3" s="1"/>
  <c r="V3244" i="3"/>
  <c r="W3244" i="3" s="1"/>
  <c r="V3251" i="3"/>
  <c r="W3251" i="3" s="1"/>
  <c r="V3260" i="3"/>
  <c r="W3260" i="3" s="1"/>
  <c r="V3319" i="3"/>
  <c r="W3319" i="3" s="1"/>
  <c r="V3360" i="3"/>
  <c r="W3360" i="3" s="1"/>
  <c r="V3392" i="3"/>
  <c r="W3392" i="3" s="1"/>
  <c r="V3464" i="3"/>
  <c r="W3464" i="3" s="1"/>
  <c r="V3503" i="3"/>
  <c r="W3503" i="3" s="1"/>
  <c r="V3542" i="3"/>
  <c r="W3542" i="3" s="1"/>
  <c r="V3545" i="3"/>
  <c r="W3545" i="3" s="1"/>
  <c r="V3548" i="3"/>
  <c r="W3548" i="3" s="1"/>
  <c r="V3645" i="3"/>
  <c r="W3645" i="3" s="1"/>
  <c r="V3670" i="3"/>
  <c r="W3670" i="3" s="1"/>
  <c r="V3699" i="3"/>
  <c r="W3699" i="3" s="1"/>
  <c r="V3795" i="3"/>
  <c r="W3795" i="3" s="1"/>
  <c r="V3893" i="3"/>
  <c r="W3893" i="3" s="1"/>
  <c r="V3938" i="3"/>
  <c r="W3938" i="3" s="1"/>
  <c r="V3972" i="3"/>
  <c r="W3972" i="3" s="1"/>
  <c r="V4041" i="3"/>
  <c r="W4041" i="3" s="1"/>
  <c r="V4125" i="3"/>
  <c r="W4125" i="3" s="1"/>
  <c r="V4209" i="3"/>
  <c r="W4209" i="3" s="1"/>
  <c r="V4334" i="3"/>
  <c r="W4334" i="3" s="1"/>
  <c r="V4470" i="3"/>
  <c r="W4470" i="3" s="1"/>
  <c r="V4513" i="3"/>
  <c r="W4513" i="3" s="1"/>
  <c r="V4578" i="3"/>
  <c r="W4578" i="3" s="1"/>
  <c r="V4579" i="3"/>
  <c r="W4579" i="3" s="1"/>
  <c r="V4681" i="3"/>
  <c r="W4681" i="3" s="1"/>
  <c r="V4757" i="3"/>
  <c r="W4757" i="3" s="1"/>
  <c r="V4769" i="3"/>
  <c r="W4769" i="3" s="1"/>
  <c r="V15" i="3"/>
  <c r="W15" i="3" s="1"/>
  <c r="V42" i="3"/>
  <c r="W42" i="3" s="1"/>
  <c r="V45" i="3"/>
  <c r="W45" i="3" s="1"/>
  <c r="V220" i="3"/>
  <c r="W220" i="3" s="1"/>
  <c r="V221" i="3"/>
  <c r="W221" i="3" s="1"/>
  <c r="V224" i="3"/>
  <c r="W224" i="3" s="1"/>
  <c r="V275" i="3"/>
  <c r="W275" i="3" s="1"/>
  <c r="V290" i="3"/>
  <c r="W290" i="3" s="1"/>
  <c r="V315" i="3"/>
  <c r="W315" i="3" s="1"/>
  <c r="V405" i="3"/>
  <c r="W405" i="3" s="1"/>
  <c r="V420" i="3"/>
  <c r="W420" i="3" s="1"/>
  <c r="V421" i="3"/>
  <c r="W421" i="3" s="1"/>
  <c r="V461" i="3"/>
  <c r="W461" i="3" s="1"/>
  <c r="V466" i="3"/>
  <c r="W466" i="3" s="1"/>
  <c r="V480" i="3"/>
  <c r="W480" i="3" s="1"/>
  <c r="V492" i="3"/>
  <c r="W492" i="3" s="1"/>
  <c r="V513" i="3"/>
  <c r="W513" i="3" s="1"/>
  <c r="V530" i="3"/>
  <c r="W530" i="3" s="1"/>
  <c r="V570" i="3"/>
  <c r="W570" i="3" s="1"/>
  <c r="V588" i="3"/>
  <c r="W588" i="3" s="1"/>
  <c r="V649" i="3"/>
  <c r="W649" i="3" s="1"/>
  <c r="V659" i="3"/>
  <c r="W659" i="3" s="1"/>
  <c r="V667" i="3"/>
  <c r="W667" i="3" s="1"/>
  <c r="V690" i="3"/>
  <c r="W690" i="3" s="1"/>
  <c r="V705" i="3"/>
  <c r="W705" i="3" s="1"/>
  <c r="V777" i="3"/>
  <c r="W777" i="3" s="1"/>
  <c r="V843" i="3"/>
  <c r="W843" i="3" s="1"/>
  <c r="V882" i="3"/>
  <c r="W882" i="3" s="1"/>
  <c r="V900" i="3"/>
  <c r="W900" i="3" s="1"/>
  <c r="V902" i="3"/>
  <c r="W902" i="3" s="1"/>
  <c r="V909" i="3"/>
  <c r="W909" i="3" s="1"/>
  <c r="V933" i="3"/>
  <c r="W933" i="3" s="1"/>
  <c r="V938" i="3"/>
  <c r="W938" i="3" s="1"/>
  <c r="V945" i="3"/>
  <c r="W945" i="3" s="1"/>
  <c r="V980" i="3"/>
  <c r="W980" i="3" s="1"/>
  <c r="V990" i="3"/>
  <c r="W990" i="3" s="1"/>
  <c r="V1002" i="3"/>
  <c r="W1002" i="3" s="1"/>
  <c r="V1016" i="3"/>
  <c r="W1016" i="3" s="1"/>
  <c r="V1026" i="3"/>
  <c r="W1026" i="3" s="1"/>
  <c r="V1060" i="3"/>
  <c r="W1060" i="3" s="1"/>
  <c r="V1076" i="3"/>
  <c r="W1076" i="3" s="1"/>
  <c r="V1094" i="3"/>
  <c r="W1094" i="3" s="1"/>
  <c r="V1139" i="3"/>
  <c r="W1139" i="3" s="1"/>
  <c r="V1184" i="3"/>
  <c r="W1184" i="3" s="1"/>
  <c r="V1273" i="3"/>
  <c r="W1273" i="3" s="1"/>
  <c r="V1379" i="3"/>
  <c r="W1379" i="3" s="1"/>
  <c r="V1400" i="3"/>
  <c r="W1400" i="3" s="1"/>
  <c r="V1409" i="3"/>
  <c r="W1409" i="3" s="1"/>
  <c r="V1434" i="3"/>
  <c r="W1434" i="3" s="1"/>
  <c r="V1470" i="3"/>
  <c r="W1470" i="3" s="1"/>
  <c r="V1617" i="3"/>
  <c r="W1617" i="3" s="1"/>
  <c r="V1637" i="3"/>
  <c r="W1637" i="3" s="1"/>
  <c r="V1721" i="3"/>
  <c r="W1721" i="3" s="1"/>
  <c r="V1763" i="3"/>
  <c r="W1763" i="3" s="1"/>
  <c r="V1791" i="3"/>
  <c r="W1791" i="3" s="1"/>
  <c r="V1800" i="3"/>
  <c r="W1800" i="3" s="1"/>
  <c r="V1917" i="3"/>
  <c r="W1917" i="3" s="1"/>
  <c r="V1922" i="3"/>
  <c r="W1922" i="3" s="1"/>
  <c r="V1926" i="3"/>
  <c r="W1926" i="3" s="1"/>
  <c r="V2034" i="3"/>
  <c r="W2034" i="3" s="1"/>
  <c r="V2035" i="3"/>
  <c r="W2035" i="3" s="1"/>
  <c r="V2161" i="3"/>
  <c r="W2161" i="3" s="1"/>
  <c r="V2223" i="3"/>
  <c r="W2223" i="3" s="1"/>
  <c r="V2225" i="3"/>
  <c r="W2225" i="3" s="1"/>
  <c r="V2291" i="3"/>
  <c r="W2291" i="3" s="1"/>
  <c r="V2293" i="3"/>
  <c r="W2293" i="3" s="1"/>
  <c r="V2306" i="3"/>
  <c r="W2306" i="3" s="1"/>
  <c r="V2317" i="3"/>
  <c r="W2317" i="3" s="1"/>
  <c r="V2336" i="3"/>
  <c r="W2336" i="3" s="1"/>
  <c r="V2366" i="3"/>
  <c r="W2366" i="3" s="1"/>
  <c r="V2399" i="3"/>
  <c r="W2399" i="3" s="1"/>
  <c r="V2407" i="3"/>
  <c r="W2407" i="3" s="1"/>
  <c r="V2447" i="3"/>
  <c r="W2447" i="3" s="1"/>
  <c r="V2451" i="3"/>
  <c r="W2451" i="3" s="1"/>
  <c r="V2482" i="3"/>
  <c r="W2482" i="3" s="1"/>
  <c r="V2489" i="3"/>
  <c r="W2489" i="3" s="1"/>
  <c r="V2511" i="3"/>
  <c r="W2511" i="3" s="1"/>
  <c r="V2515" i="3"/>
  <c r="W2515" i="3" s="1"/>
  <c r="V2610" i="3"/>
  <c r="W2610" i="3" s="1"/>
  <c r="V2636" i="3"/>
  <c r="W2636" i="3" s="1"/>
  <c r="V2643" i="3"/>
  <c r="W2643" i="3" s="1"/>
  <c r="V2650" i="3"/>
  <c r="W2650" i="3" s="1"/>
  <c r="V2710" i="3"/>
  <c r="W2710" i="3" s="1"/>
  <c r="V2774" i="3"/>
  <c r="W2774" i="3" s="1"/>
  <c r="V2839" i="3"/>
  <c r="W2839" i="3" s="1"/>
  <c r="V2867" i="3"/>
  <c r="W2867" i="3" s="1"/>
  <c r="V2886" i="3"/>
  <c r="W2886" i="3" s="1"/>
  <c r="V2895" i="3"/>
  <c r="W2895" i="3" s="1"/>
  <c r="V2898" i="3"/>
  <c r="W2898" i="3" s="1"/>
  <c r="V2942" i="3"/>
  <c r="W2942" i="3" s="1"/>
  <c r="V2956" i="3"/>
  <c r="W2956" i="3" s="1"/>
  <c r="V2960" i="3"/>
  <c r="W2960" i="3" s="1"/>
  <c r="V3005" i="3"/>
  <c r="W3005" i="3" s="1"/>
  <c r="V3054" i="3"/>
  <c r="W3054" i="3" s="1"/>
  <c r="V3076" i="3"/>
  <c r="W3076" i="3" s="1"/>
  <c r="V3095" i="3"/>
  <c r="W3095" i="3" s="1"/>
  <c r="V3113" i="3"/>
  <c r="W3113" i="3" s="1"/>
  <c r="V3159" i="3"/>
  <c r="W3159" i="3" s="1"/>
  <c r="V3168" i="3"/>
  <c r="W3168" i="3" s="1"/>
  <c r="V3215" i="3"/>
  <c r="W3215" i="3" s="1"/>
  <c r="V3222" i="3"/>
  <c r="W3222" i="3" s="1"/>
  <c r="V3248" i="3"/>
  <c r="W3248" i="3" s="1"/>
  <c r="V3307" i="3"/>
  <c r="W3307" i="3" s="1"/>
  <c r="V3353" i="3"/>
  <c r="W3353" i="3" s="1"/>
  <c r="V3370" i="3"/>
  <c r="W3370" i="3" s="1"/>
  <c r="V3394" i="3"/>
  <c r="W3394" i="3" s="1"/>
  <c r="V3423" i="3"/>
  <c r="W3423" i="3" s="1"/>
  <c r="V3425" i="3"/>
  <c r="W3425" i="3" s="1"/>
  <c r="V3465" i="3"/>
  <c r="W3465" i="3" s="1"/>
  <c r="V3510" i="3"/>
  <c r="W3510" i="3" s="1"/>
  <c r="V3539" i="3"/>
  <c r="W3539" i="3" s="1"/>
  <c r="V3584" i="3"/>
  <c r="W3584" i="3" s="1"/>
  <c r="V3587" i="3"/>
  <c r="W3587" i="3" s="1"/>
  <c r="V3591" i="3"/>
  <c r="W3591" i="3" s="1"/>
  <c r="V3630" i="3"/>
  <c r="W3630" i="3" s="1"/>
  <c r="V3644" i="3"/>
  <c r="W3644" i="3" s="1"/>
  <c r="V3654" i="3"/>
  <c r="W3654" i="3" s="1"/>
  <c r="V3676" i="3"/>
  <c r="W3676" i="3" s="1"/>
  <c r="V3776" i="3"/>
  <c r="W3776" i="3" s="1"/>
  <c r="V3804" i="3"/>
  <c r="W3804" i="3" s="1"/>
  <c r="V3831" i="3"/>
  <c r="W3831" i="3" s="1"/>
  <c r="V3962" i="3"/>
  <c r="W3962" i="3" s="1"/>
  <c r="V4051" i="3"/>
  <c r="W4051" i="3" s="1"/>
  <c r="V4052" i="3"/>
  <c r="W4052" i="3" s="1"/>
  <c r="V4062" i="3"/>
  <c r="W4062" i="3" s="1"/>
  <c r="V4075" i="3"/>
  <c r="W4075" i="3" s="1"/>
  <c r="V4085" i="3"/>
  <c r="W4085" i="3" s="1"/>
  <c r="V4095" i="3"/>
  <c r="W4095" i="3" s="1"/>
  <c r="V4159" i="3"/>
  <c r="W4159" i="3" s="1"/>
  <c r="V4160" i="3"/>
  <c r="W4160" i="3" s="1"/>
  <c r="V4170" i="3"/>
  <c r="W4170" i="3" s="1"/>
  <c r="V4264" i="3"/>
  <c r="W4264" i="3" s="1"/>
  <c r="V4271" i="3"/>
  <c r="W4271" i="3" s="1"/>
  <c r="V4427" i="3"/>
  <c r="W4427" i="3" s="1"/>
  <c r="V4435" i="3"/>
  <c r="W4435" i="3" s="1"/>
  <c r="V4450" i="3"/>
  <c r="W4450" i="3" s="1"/>
  <c r="V4451" i="3"/>
  <c r="W4451" i="3" s="1"/>
  <c r="V4547" i="3"/>
  <c r="W4547" i="3" s="1"/>
  <c r="V4567" i="3"/>
  <c r="W4567" i="3" s="1"/>
  <c r="V4580" i="3"/>
  <c r="W4580" i="3" s="1"/>
  <c r="V4641" i="3"/>
  <c r="W4641" i="3" s="1"/>
  <c r="V4745" i="3"/>
  <c r="W4745" i="3" s="1"/>
  <c r="V4764" i="3"/>
  <c r="W4764" i="3" s="1"/>
  <c r="V4790" i="3"/>
  <c r="W4790" i="3" s="1"/>
  <c r="V4808" i="3"/>
  <c r="W4808" i="3" s="1"/>
  <c r="V4817" i="3"/>
  <c r="W4817" i="3" s="1"/>
  <c r="V3" i="3"/>
  <c r="W3" i="3" s="1"/>
  <c r="V61" i="3"/>
  <c r="W61" i="3" s="1"/>
  <c r="V135" i="3"/>
  <c r="W135" i="3" s="1"/>
  <c r="V190" i="3"/>
  <c r="W190" i="3" s="1"/>
  <c r="V261" i="3"/>
  <c r="W261" i="3" s="1"/>
  <c r="V264" i="3"/>
  <c r="W264" i="3" s="1"/>
  <c r="V426" i="3"/>
  <c r="W426" i="3" s="1"/>
  <c r="V486" i="3"/>
  <c r="W486" i="3" s="1"/>
  <c r="V537" i="3"/>
  <c r="W537" i="3" s="1"/>
  <c r="V542" i="3"/>
  <c r="W542" i="3" s="1"/>
  <c r="V606" i="3"/>
  <c r="W606" i="3" s="1"/>
  <c r="V613" i="3"/>
  <c r="W613" i="3" s="1"/>
  <c r="V633" i="3"/>
  <c r="W633" i="3" s="1"/>
  <c r="V634" i="3"/>
  <c r="W634" i="3" s="1"/>
  <c r="V654" i="3"/>
  <c r="W654" i="3" s="1"/>
  <c r="V672" i="3"/>
  <c r="W672" i="3" s="1"/>
  <c r="V698" i="3"/>
  <c r="W698" i="3" s="1"/>
  <c r="V712" i="3"/>
  <c r="W712" i="3" s="1"/>
  <c r="V726" i="3"/>
  <c r="W726" i="3" s="1"/>
  <c r="V730" i="3"/>
  <c r="W730" i="3" s="1"/>
  <c r="V766" i="3"/>
  <c r="W766" i="3" s="1"/>
  <c r="V798" i="3"/>
  <c r="W798" i="3" s="1"/>
  <c r="V804" i="3"/>
  <c r="W804" i="3" s="1"/>
  <c r="V838" i="3"/>
  <c r="W838" i="3" s="1"/>
  <c r="V840" i="3"/>
  <c r="W840" i="3" s="1"/>
  <c r="V1011" i="3"/>
  <c r="W1011" i="3" s="1"/>
  <c r="V1149" i="3"/>
  <c r="W1149" i="3" s="1"/>
  <c r="V1350" i="3"/>
  <c r="W1350" i="3" s="1"/>
  <c r="V1429" i="3"/>
  <c r="W1429" i="3" s="1"/>
  <c r="V1522" i="3"/>
  <c r="W1522" i="3" s="1"/>
  <c r="V1549" i="3"/>
  <c r="W1549" i="3" s="1"/>
  <c r="V1746" i="3"/>
  <c r="W1746" i="3" s="1"/>
  <c r="V1948" i="3"/>
  <c r="W1948" i="3" s="1"/>
  <c r="V1991" i="3"/>
  <c r="W1991" i="3" s="1"/>
  <c r="V2048" i="3"/>
  <c r="W2048" i="3" s="1"/>
  <c r="V2170" i="3"/>
  <c r="W2170" i="3" s="1"/>
  <c r="V2197" i="3"/>
  <c r="W2197" i="3" s="1"/>
  <c r="V2278" i="3"/>
  <c r="W2278" i="3" s="1"/>
  <c r="V2328" i="3"/>
  <c r="W2328" i="3" s="1"/>
  <c r="V2386" i="3"/>
  <c r="W2386" i="3" s="1"/>
  <c r="V2410" i="3"/>
  <c r="W2410" i="3" s="1"/>
  <c r="V2450" i="3"/>
  <c r="W2450" i="3" s="1"/>
  <c r="V2547" i="3"/>
  <c r="W2547" i="3" s="1"/>
  <c r="V2626" i="3"/>
  <c r="W2626" i="3" s="1"/>
  <c r="V2656" i="3"/>
  <c r="W2656" i="3" s="1"/>
  <c r="V2701" i="3"/>
  <c r="W2701" i="3" s="1"/>
  <c r="V2711" i="3"/>
  <c r="W2711" i="3" s="1"/>
  <c r="V2777" i="3"/>
  <c r="W2777" i="3" s="1"/>
  <c r="V2782" i="3"/>
  <c r="W2782" i="3" s="1"/>
  <c r="V2789" i="3"/>
  <c r="W2789" i="3" s="1"/>
  <c r="V2809" i="3"/>
  <c r="W2809" i="3" s="1"/>
  <c r="V2838" i="3"/>
  <c r="W2838" i="3" s="1"/>
  <c r="V2873" i="3"/>
  <c r="W2873" i="3" s="1"/>
  <c r="V2880" i="3"/>
  <c r="W2880" i="3" s="1"/>
  <c r="V2901" i="3"/>
  <c r="W2901" i="3" s="1"/>
  <c r="V2946" i="3"/>
  <c r="W2946" i="3" s="1"/>
  <c r="V2954" i="3"/>
  <c r="W2954" i="3" s="1"/>
  <c r="V2976" i="3"/>
  <c r="W2976" i="3" s="1"/>
  <c r="V3049" i="3"/>
  <c r="W3049" i="3" s="1"/>
  <c r="V3169" i="3"/>
  <c r="W3169" i="3" s="1"/>
  <c r="V3242" i="3"/>
  <c r="W3242" i="3" s="1"/>
  <c r="V3308" i="3"/>
  <c r="W3308" i="3" s="1"/>
  <c r="V3315" i="3"/>
  <c r="W3315" i="3" s="1"/>
  <c r="V3355" i="3"/>
  <c r="W3355" i="3" s="1"/>
  <c r="V3400" i="3"/>
  <c r="W3400" i="3" s="1"/>
  <c r="V3456" i="3"/>
  <c r="W3456" i="3" s="1"/>
  <c r="V3524" i="3"/>
  <c r="W3524" i="3" s="1"/>
  <c r="V3561" i="3"/>
  <c r="W3561" i="3" s="1"/>
  <c r="V3569" i="3"/>
  <c r="W3569" i="3" s="1"/>
  <c r="V3641" i="3"/>
  <c r="W3641" i="3" s="1"/>
  <c r="V3652" i="3"/>
  <c r="W3652" i="3" s="1"/>
  <c r="V3783" i="3"/>
  <c r="W3783" i="3" s="1"/>
  <c r="V3825" i="3"/>
  <c r="W3825" i="3" s="1"/>
  <c r="V3852" i="3"/>
  <c r="W3852" i="3" s="1"/>
  <c r="V3873" i="3"/>
  <c r="W3873" i="3" s="1"/>
  <c r="V3895" i="3"/>
  <c r="W3895" i="3" s="1"/>
  <c r="V3919" i="3"/>
  <c r="W3919" i="3" s="1"/>
  <c r="V3928" i="3"/>
  <c r="W3928" i="3" s="1"/>
  <c r="V3939" i="3"/>
  <c r="W3939" i="3" s="1"/>
  <c r="V3941" i="3"/>
  <c r="W3941" i="3" s="1"/>
  <c r="V3956" i="3"/>
  <c r="W3956" i="3" s="1"/>
  <c r="V4044" i="3"/>
  <c r="W4044" i="3" s="1"/>
  <c r="V4053" i="3"/>
  <c r="W4053" i="3" s="1"/>
  <c r="V4083" i="3"/>
  <c r="W4083" i="3" s="1"/>
  <c r="V4091" i="3"/>
  <c r="W4091" i="3" s="1"/>
  <c r="V4119" i="3"/>
  <c r="W4119" i="3" s="1"/>
  <c r="V4138" i="3"/>
  <c r="W4138" i="3" s="1"/>
  <c r="V4143" i="3"/>
  <c r="W4143" i="3" s="1"/>
  <c r="V4276" i="3"/>
  <c r="W4276" i="3" s="1"/>
  <c r="V4294" i="3"/>
  <c r="W4294" i="3" s="1"/>
  <c r="V4439" i="3"/>
  <c r="W4439" i="3" s="1"/>
  <c r="V4497" i="3"/>
  <c r="W4497" i="3" s="1"/>
  <c r="V4544" i="3"/>
  <c r="W4544" i="3" s="1"/>
  <c r="V4560" i="3"/>
  <c r="W4560" i="3" s="1"/>
  <c r="V4566" i="3"/>
  <c r="W4566" i="3" s="1"/>
  <c r="V4570" i="3"/>
  <c r="W4570" i="3" s="1"/>
  <c r="V4613" i="3"/>
  <c r="W4613" i="3" s="1"/>
  <c r="V4631" i="3"/>
  <c r="W4631" i="3" s="1"/>
  <c r="V4642" i="3"/>
  <c r="W4642" i="3" s="1"/>
  <c r="V4691" i="3"/>
  <c r="W4691" i="3" s="1"/>
  <c r="V4742" i="3"/>
  <c r="W4742" i="3" s="1"/>
  <c r="V4763" i="3"/>
  <c r="W4763" i="3" s="1"/>
  <c r="V4774" i="3"/>
  <c r="W4774" i="3" s="1"/>
  <c r="V4801" i="3"/>
  <c r="W4801" i="3" s="1"/>
  <c r="V6" i="3"/>
  <c r="W6" i="3" s="1"/>
  <c r="V21" i="3"/>
  <c r="W21" i="3" s="1"/>
  <c r="V87" i="3"/>
  <c r="W87" i="3" s="1"/>
  <c r="V103" i="3"/>
  <c r="W103" i="3" s="1"/>
  <c r="V112" i="3"/>
  <c r="W112" i="3" s="1"/>
  <c r="V201" i="3"/>
  <c r="W201" i="3" s="1"/>
  <c r="V206" i="3"/>
  <c r="W206" i="3" s="1"/>
  <c r="V219" i="3"/>
  <c r="W219" i="3" s="1"/>
  <c r="V273" i="3"/>
  <c r="W273" i="3" s="1"/>
  <c r="V310" i="3"/>
  <c r="W310" i="3" s="1"/>
  <c r="V312" i="3"/>
  <c r="W312" i="3" s="1"/>
  <c r="V345" i="3"/>
  <c r="W345" i="3" s="1"/>
  <c r="V361" i="3"/>
  <c r="W361" i="3" s="1"/>
  <c r="V508" i="3"/>
  <c r="W508" i="3" s="1"/>
  <c r="V566" i="3"/>
  <c r="W566" i="3" s="1"/>
  <c r="V711" i="3"/>
  <c r="W711" i="3" s="1"/>
  <c r="V864" i="3"/>
  <c r="W864" i="3" s="1"/>
  <c r="V873" i="3"/>
  <c r="W873" i="3" s="1"/>
  <c r="V885" i="3"/>
  <c r="W885" i="3" s="1"/>
  <c r="V1172" i="3"/>
  <c r="W1172" i="3" s="1"/>
  <c r="V1238" i="3"/>
  <c r="W1238" i="3" s="1"/>
  <c r="V1274" i="3"/>
  <c r="W1274" i="3" s="1"/>
  <c r="V1295" i="3"/>
  <c r="W1295" i="3" s="1"/>
  <c r="V1310" i="3"/>
  <c r="W1310" i="3" s="1"/>
  <c r="V1318" i="3"/>
  <c r="W1318" i="3" s="1"/>
  <c r="V1336" i="3"/>
  <c r="W1336" i="3" s="1"/>
  <c r="V1491" i="3"/>
  <c r="W1491" i="3" s="1"/>
  <c r="V1558" i="3"/>
  <c r="W1558" i="3" s="1"/>
  <c r="V1576" i="3"/>
  <c r="W1576" i="3" s="1"/>
  <c r="V1622" i="3"/>
  <c r="W1622" i="3" s="1"/>
  <c r="V1744" i="3"/>
  <c r="W1744" i="3" s="1"/>
  <c r="V1790" i="3"/>
  <c r="W1790" i="3" s="1"/>
  <c r="V1819" i="3"/>
  <c r="W1819" i="3" s="1"/>
  <c r="V1846" i="3"/>
  <c r="W1846" i="3" s="1"/>
  <c r="V1862" i="3"/>
  <c r="W1862" i="3" s="1"/>
  <c r="V1880" i="3"/>
  <c r="W1880" i="3" s="1"/>
  <c r="V1907" i="3"/>
  <c r="W1907" i="3" s="1"/>
  <c r="V1911" i="3"/>
  <c r="W1911" i="3" s="1"/>
  <c r="V1928" i="3"/>
  <c r="W1928" i="3" s="1"/>
  <c r="V1961" i="3"/>
  <c r="W1961" i="3" s="1"/>
  <c r="V2011" i="3"/>
  <c r="W2011" i="3" s="1"/>
  <c r="V2042" i="3"/>
  <c r="W2042" i="3" s="1"/>
  <c r="V2074" i="3"/>
  <c r="W2074" i="3" s="1"/>
  <c r="V2205" i="3"/>
  <c r="W2205" i="3" s="1"/>
  <c r="V2287" i="3"/>
  <c r="W2287" i="3" s="1"/>
  <c r="V2297" i="3"/>
  <c r="W2297" i="3" s="1"/>
  <c r="V2400" i="3"/>
  <c r="W2400" i="3" s="1"/>
  <c r="V2428" i="3"/>
  <c r="W2428" i="3" s="1"/>
  <c r="V2430" i="3"/>
  <c r="W2430" i="3" s="1"/>
  <c r="V2488" i="3"/>
  <c r="W2488" i="3" s="1"/>
  <c r="V2555" i="3"/>
  <c r="W2555" i="3" s="1"/>
  <c r="V2592" i="3"/>
  <c r="W2592" i="3" s="1"/>
  <c r="V2806" i="3"/>
  <c r="W2806" i="3" s="1"/>
  <c r="V2814" i="3"/>
  <c r="W2814" i="3" s="1"/>
  <c r="V2887" i="3"/>
  <c r="W2887" i="3" s="1"/>
  <c r="V2910" i="3"/>
  <c r="W2910" i="3" s="1"/>
  <c r="V2916" i="3"/>
  <c r="W2916" i="3" s="1"/>
  <c r="V3257" i="3"/>
  <c r="W3257" i="3" s="1"/>
  <c r="V3326" i="3"/>
  <c r="W3326" i="3" s="1"/>
  <c r="V3391" i="3"/>
  <c r="W3391" i="3" s="1"/>
  <c r="V3442" i="3"/>
  <c r="W3442" i="3" s="1"/>
  <c r="V3449" i="3"/>
  <c r="W3449" i="3" s="1"/>
  <c r="V3475" i="3"/>
  <c r="W3475" i="3" s="1"/>
  <c r="V3567" i="3"/>
  <c r="W3567" i="3" s="1"/>
  <c r="V3576" i="3"/>
  <c r="W3576" i="3" s="1"/>
  <c r="V3582" i="3"/>
  <c r="W3582" i="3" s="1"/>
  <c r="V3602" i="3"/>
  <c r="W3602" i="3" s="1"/>
  <c r="V3649" i="3"/>
  <c r="W3649" i="3" s="1"/>
  <c r="V3660" i="3"/>
  <c r="W3660" i="3" s="1"/>
  <c r="V3665" i="3"/>
  <c r="W3665" i="3" s="1"/>
  <c r="V3688" i="3"/>
  <c r="W3688" i="3" s="1"/>
  <c r="V3867" i="3"/>
  <c r="W3867" i="3" s="1"/>
  <c r="V3926" i="3"/>
  <c r="W3926" i="3" s="1"/>
  <c r="V3976" i="3"/>
  <c r="W3976" i="3" s="1"/>
  <c r="V3977" i="3"/>
  <c r="W3977" i="3" s="1"/>
  <c r="V4007" i="3"/>
  <c r="W4007" i="3" s="1"/>
  <c r="V4021" i="3"/>
  <c r="W4021" i="3" s="1"/>
  <c r="V4287" i="3"/>
  <c r="W4287" i="3" s="1"/>
  <c r="V4401" i="3"/>
  <c r="W4401" i="3" s="1"/>
  <c r="V4449" i="3"/>
  <c r="W4449" i="3" s="1"/>
  <c r="V4514" i="3"/>
  <c r="W4514" i="3" s="1"/>
  <c r="V4516" i="3"/>
  <c r="W4516" i="3" s="1"/>
  <c r="V4593" i="3"/>
  <c r="W4593" i="3" s="1"/>
  <c r="V4595" i="3"/>
  <c r="W4595" i="3" s="1"/>
  <c r="V4762" i="3"/>
  <c r="W4762" i="3" s="1"/>
  <c r="V4794" i="3"/>
  <c r="W4794" i="3" s="1"/>
  <c r="V33" i="3"/>
  <c r="W33" i="3" s="1"/>
  <c r="V111" i="3"/>
  <c r="W111" i="3" s="1"/>
  <c r="V212" i="3"/>
  <c r="W212" i="3" s="1"/>
  <c r="V217" i="3"/>
  <c r="W217" i="3" s="1"/>
  <c r="V247" i="3"/>
  <c r="W247" i="3" s="1"/>
  <c r="V298" i="3"/>
  <c r="W298" i="3" s="1"/>
  <c r="V352" i="3"/>
  <c r="W352" i="3" s="1"/>
  <c r="V396" i="3"/>
  <c r="W396" i="3" s="1"/>
  <c r="V463" i="3"/>
  <c r="W463" i="3" s="1"/>
  <c r="V509" i="3"/>
  <c r="W509" i="3" s="1"/>
  <c r="V555" i="3"/>
  <c r="W555" i="3" s="1"/>
  <c r="V563" i="3"/>
  <c r="W563" i="3" s="1"/>
  <c r="V585" i="3"/>
  <c r="W585" i="3" s="1"/>
  <c r="V594" i="3"/>
  <c r="W594" i="3" s="1"/>
  <c r="V612" i="3"/>
  <c r="W612" i="3" s="1"/>
  <c r="V646" i="3"/>
  <c r="W646" i="3" s="1"/>
  <c r="V652" i="3"/>
  <c r="W652" i="3" s="1"/>
  <c r="V771" i="3"/>
  <c r="W771" i="3" s="1"/>
  <c r="V867" i="3"/>
  <c r="W867" i="3" s="1"/>
  <c r="V879" i="3"/>
  <c r="W879" i="3" s="1"/>
  <c r="V995" i="3"/>
  <c r="W995" i="3" s="1"/>
  <c r="V1046" i="3"/>
  <c r="W1046" i="3" s="1"/>
  <c r="V1123" i="3"/>
  <c r="W1123" i="3" s="1"/>
  <c r="V1137" i="3"/>
  <c r="W1137" i="3" s="1"/>
  <c r="V1253" i="3"/>
  <c r="W1253" i="3" s="1"/>
  <c r="V1306" i="3"/>
  <c r="W1306" i="3" s="1"/>
  <c r="V1330" i="3"/>
  <c r="W1330" i="3" s="1"/>
  <c r="V1345" i="3"/>
  <c r="W1345" i="3" s="1"/>
  <c r="V1368" i="3"/>
  <c r="W1368" i="3" s="1"/>
  <c r="V1397" i="3"/>
  <c r="W1397" i="3" s="1"/>
  <c r="V1450" i="3"/>
  <c r="W1450" i="3" s="1"/>
  <c r="V1705" i="3"/>
  <c r="W1705" i="3" s="1"/>
  <c r="V1753" i="3"/>
  <c r="W1753" i="3" s="1"/>
  <c r="V1771" i="3"/>
  <c r="W1771" i="3" s="1"/>
  <c r="V1826" i="3"/>
  <c r="W1826" i="3" s="1"/>
  <c r="V1997" i="3"/>
  <c r="W1997" i="3" s="1"/>
  <c r="V2006" i="3"/>
  <c r="W2006" i="3" s="1"/>
  <c r="V2009" i="3"/>
  <c r="W2009" i="3" s="1"/>
  <c r="V2017" i="3"/>
  <c r="W2017" i="3" s="1"/>
  <c r="V2037" i="3"/>
  <c r="W2037" i="3" s="1"/>
  <c r="V2069" i="3"/>
  <c r="W2069" i="3" s="1"/>
  <c r="V2132" i="3"/>
  <c r="W2132" i="3" s="1"/>
  <c r="V2135" i="3"/>
  <c r="W2135" i="3" s="1"/>
  <c r="V2244" i="3"/>
  <c r="W2244" i="3" s="1"/>
  <c r="V2283" i="3"/>
  <c r="W2283" i="3" s="1"/>
  <c r="V2379" i="3"/>
  <c r="W2379" i="3" s="1"/>
  <c r="V2444" i="3"/>
  <c r="W2444" i="3" s="1"/>
  <c r="V2619" i="3"/>
  <c r="W2619" i="3" s="1"/>
  <c r="V2692" i="3"/>
  <c r="W2692" i="3" s="1"/>
  <c r="V2697" i="3"/>
  <c r="W2697" i="3" s="1"/>
  <c r="V2713" i="3"/>
  <c r="W2713" i="3" s="1"/>
  <c r="V2827" i="3"/>
  <c r="W2827" i="3" s="1"/>
  <c r="V2906" i="3"/>
  <c r="W2906" i="3" s="1"/>
  <c r="V3027" i="3"/>
  <c r="W3027" i="3" s="1"/>
  <c r="V3081" i="3"/>
  <c r="W3081" i="3" s="1"/>
  <c r="V3082" i="3"/>
  <c r="W3082" i="3" s="1"/>
  <c r="V3127" i="3"/>
  <c r="W3127" i="3" s="1"/>
  <c r="V3210" i="3"/>
  <c r="W3210" i="3" s="1"/>
  <c r="V3212" i="3"/>
  <c r="W3212" i="3" s="1"/>
  <c r="V3338" i="3"/>
  <c r="W3338" i="3" s="1"/>
  <c r="V3368" i="3"/>
  <c r="W3368" i="3" s="1"/>
  <c r="V3398" i="3"/>
  <c r="W3398" i="3" s="1"/>
  <c r="V3443" i="3"/>
  <c r="W3443" i="3" s="1"/>
  <c r="V3463" i="3"/>
  <c r="W3463" i="3" s="1"/>
  <c r="V3487" i="3"/>
  <c r="W3487" i="3" s="1"/>
  <c r="V3522" i="3"/>
  <c r="W3522" i="3" s="1"/>
  <c r="V3580" i="3"/>
  <c r="W3580" i="3" s="1"/>
  <c r="V3596" i="3"/>
  <c r="W3596" i="3" s="1"/>
  <c r="V3609" i="3"/>
  <c r="W3609" i="3" s="1"/>
  <c r="V3823" i="3"/>
  <c r="W3823" i="3" s="1"/>
  <c r="V3842" i="3"/>
  <c r="W3842" i="3" s="1"/>
  <c r="V3930" i="3"/>
  <c r="W3930" i="3" s="1"/>
  <c r="V4087" i="3"/>
  <c r="W4087" i="3" s="1"/>
  <c r="V4124" i="3"/>
  <c r="W4124" i="3" s="1"/>
  <c r="V4320" i="3"/>
  <c r="W4320" i="3" s="1"/>
  <c r="V4342" i="3"/>
  <c r="W4342" i="3" s="1"/>
  <c r="V4494" i="3"/>
  <c r="W4494" i="3" s="1"/>
  <c r="V4660" i="3"/>
  <c r="W4660" i="3" s="1"/>
  <c r="V4805" i="3"/>
  <c r="W4805" i="3" s="1"/>
  <c r="V1515" i="3"/>
  <c r="W1515" i="3" s="1"/>
  <c r="V1598" i="3"/>
  <c r="W1598" i="3" s="1"/>
  <c r="V2658" i="3"/>
  <c r="W2658" i="3" s="1"/>
  <c r="V2988" i="3"/>
  <c r="W2988" i="3" s="1"/>
  <c r="V3115" i="3"/>
  <c r="W3115" i="3" s="1"/>
  <c r="V3586" i="3"/>
  <c r="W3586" i="3" s="1"/>
  <c r="V4023" i="3"/>
  <c r="W4023" i="3" s="1"/>
  <c r="V4600" i="3"/>
  <c r="W4600" i="3" s="1"/>
  <c r="V51" i="3"/>
  <c r="W51" i="3" s="1"/>
  <c r="V104" i="3"/>
  <c r="W104" i="3" s="1"/>
  <c r="V110" i="3"/>
  <c r="W110" i="3" s="1"/>
  <c r="V226" i="3"/>
  <c r="W226" i="3" s="1"/>
  <c r="V248" i="3"/>
  <c r="W248" i="3" s="1"/>
  <c r="V286" i="3"/>
  <c r="W286" i="3" s="1"/>
  <c r="V320" i="3"/>
  <c r="W320" i="3" s="1"/>
  <c r="V371" i="3"/>
  <c r="W371" i="3" s="1"/>
  <c r="V448" i="3"/>
  <c r="W448" i="3" s="1"/>
  <c r="V547" i="3"/>
  <c r="W547" i="3" s="1"/>
  <c r="V647" i="3"/>
  <c r="W647" i="3" s="1"/>
  <c r="V735" i="3"/>
  <c r="W735" i="3" s="1"/>
  <c r="V866" i="3"/>
  <c r="W866" i="3" s="1"/>
  <c r="V897" i="3"/>
  <c r="W897" i="3" s="1"/>
  <c r="V935" i="3"/>
  <c r="W935" i="3" s="1"/>
  <c r="V940" i="3"/>
  <c r="W940" i="3" s="1"/>
  <c r="V950" i="3"/>
  <c r="W950" i="3" s="1"/>
  <c r="V966" i="3"/>
  <c r="W966" i="3" s="1"/>
  <c r="V975" i="3"/>
  <c r="W975" i="3" s="1"/>
  <c r="V1079" i="3"/>
  <c r="W1079" i="3" s="1"/>
  <c r="V1160" i="3"/>
  <c r="W1160" i="3" s="1"/>
  <c r="V1351" i="3"/>
  <c r="W1351" i="3" s="1"/>
  <c r="V1583" i="3"/>
  <c r="W1583" i="3" s="1"/>
  <c r="V1630" i="3"/>
  <c r="W1630" i="3" s="1"/>
  <c r="V1662" i="3"/>
  <c r="W1662" i="3" s="1"/>
  <c r="V1663" i="3"/>
  <c r="W1663" i="3" s="1"/>
  <c r="V1773" i="3"/>
  <c r="W1773" i="3" s="1"/>
  <c r="V1787" i="3"/>
  <c r="W1787" i="3" s="1"/>
  <c r="V1842" i="3"/>
  <c r="W1842" i="3" s="1"/>
  <c r="V1865" i="3"/>
  <c r="W1865" i="3" s="1"/>
  <c r="V2092" i="3"/>
  <c r="W2092" i="3" s="1"/>
  <c r="V2138" i="3"/>
  <c r="W2138" i="3" s="1"/>
  <c r="V2176" i="3"/>
  <c r="W2176" i="3" s="1"/>
  <c r="V2196" i="3"/>
  <c r="W2196" i="3" s="1"/>
  <c r="V2221" i="3"/>
  <c r="W2221" i="3" s="1"/>
  <c r="V2229" i="3"/>
  <c r="W2229" i="3" s="1"/>
  <c r="V2276" i="3"/>
  <c r="W2276" i="3" s="1"/>
  <c r="V2312" i="3"/>
  <c r="W2312" i="3" s="1"/>
  <c r="V2412" i="3"/>
  <c r="W2412" i="3" s="1"/>
  <c r="V2424" i="3"/>
  <c r="W2424" i="3" s="1"/>
  <c r="V2474" i="3"/>
  <c r="W2474" i="3" s="1"/>
  <c r="V2503" i="3"/>
  <c r="W2503" i="3" s="1"/>
  <c r="V2593" i="3"/>
  <c r="W2593" i="3" s="1"/>
  <c r="V2596" i="3"/>
  <c r="W2596" i="3" s="1"/>
  <c r="V2628" i="3"/>
  <c r="W2628" i="3" s="1"/>
  <c r="V2654" i="3"/>
  <c r="W2654" i="3" s="1"/>
  <c r="V2792" i="3"/>
  <c r="W2792" i="3" s="1"/>
  <c r="V2823" i="3"/>
  <c r="W2823" i="3" s="1"/>
  <c r="V2825" i="3"/>
  <c r="W2825" i="3" s="1"/>
  <c r="V2856" i="3"/>
  <c r="W2856" i="3" s="1"/>
  <c r="V2871" i="3"/>
  <c r="W2871" i="3" s="1"/>
  <c r="V2921" i="3"/>
  <c r="W2921" i="3" s="1"/>
  <c r="V2941" i="3"/>
  <c r="W2941" i="3" s="1"/>
  <c r="V3020" i="3"/>
  <c r="W3020" i="3" s="1"/>
  <c r="V3044" i="3"/>
  <c r="W3044" i="3" s="1"/>
  <c r="V3073" i="3"/>
  <c r="W3073" i="3" s="1"/>
  <c r="V3112" i="3"/>
  <c r="W3112" i="3" s="1"/>
  <c r="V3154" i="3"/>
  <c r="W3154" i="3" s="1"/>
  <c r="V3188" i="3"/>
  <c r="W3188" i="3" s="1"/>
  <c r="V3211" i="3"/>
  <c r="W3211" i="3" s="1"/>
  <c r="V3219" i="3"/>
  <c r="W3219" i="3" s="1"/>
  <c r="V3252" i="3"/>
  <c r="W3252" i="3" s="1"/>
  <c r="V3265" i="3"/>
  <c r="W3265" i="3" s="1"/>
  <c r="V3325" i="3"/>
  <c r="W3325" i="3" s="1"/>
  <c r="V3367" i="3"/>
  <c r="W3367" i="3" s="1"/>
  <c r="V3372" i="3"/>
  <c r="W3372" i="3" s="1"/>
  <c r="V3381" i="3"/>
  <c r="W3381" i="3" s="1"/>
  <c r="V3405" i="3"/>
  <c r="W3405" i="3" s="1"/>
  <c r="V3631" i="3"/>
  <c r="W3631" i="3" s="1"/>
  <c r="V3648" i="3"/>
  <c r="W3648" i="3" s="1"/>
  <c r="V3655" i="3"/>
  <c r="W3655" i="3" s="1"/>
  <c r="V3668" i="3"/>
  <c r="W3668" i="3" s="1"/>
  <c r="V3692" i="3"/>
  <c r="W3692" i="3" s="1"/>
  <c r="V3745" i="3"/>
  <c r="W3745" i="3" s="1"/>
  <c r="V3773" i="3"/>
  <c r="W3773" i="3" s="1"/>
  <c r="V3865" i="3"/>
  <c r="W3865" i="3" s="1"/>
  <c r="V3950" i="3"/>
  <c r="W3950" i="3" s="1"/>
  <c r="V4008" i="3"/>
  <c r="W4008" i="3" s="1"/>
  <c r="V4059" i="3"/>
  <c r="W4059" i="3" s="1"/>
  <c r="V4065" i="3"/>
  <c r="W4065" i="3" s="1"/>
  <c r="V4107" i="3"/>
  <c r="W4107" i="3" s="1"/>
  <c r="V4217" i="3"/>
  <c r="W4217" i="3" s="1"/>
  <c r="V4246" i="3"/>
  <c r="W4246" i="3" s="1"/>
  <c r="V4278" i="3"/>
  <c r="W4278" i="3" s="1"/>
  <c r="V4333" i="3"/>
  <c r="W4333" i="3" s="1"/>
  <c r="V4363" i="3"/>
  <c r="W4363" i="3" s="1"/>
  <c r="V4430" i="3"/>
  <c r="W4430" i="3" s="1"/>
  <c r="V4461" i="3"/>
  <c r="W4461" i="3" s="1"/>
  <c r="V4554" i="3"/>
  <c r="W4554" i="3" s="1"/>
  <c r="V4565" i="3"/>
  <c r="W4565" i="3" s="1"/>
  <c r="V4622" i="3"/>
  <c r="W4622" i="3" s="1"/>
  <c r="V4639" i="3"/>
  <c r="W4639" i="3" s="1"/>
  <c r="V4663" i="3"/>
  <c r="W4663" i="3" s="1"/>
  <c r="V4688" i="3"/>
  <c r="W4688" i="3" s="1"/>
  <c r="V4690" i="3"/>
  <c r="W4690" i="3" s="1"/>
  <c r="V4806" i="3"/>
  <c r="W4806" i="3" s="1"/>
  <c r="V4826" i="3"/>
  <c r="W4826" i="3" s="1"/>
  <c r="V119" i="3"/>
  <c r="W119" i="3" s="1"/>
  <c r="V159" i="3"/>
  <c r="W159" i="3" s="1"/>
  <c r="V166" i="3"/>
  <c r="W166" i="3" s="1"/>
  <c r="V188" i="3"/>
  <c r="W188" i="3" s="1"/>
  <c r="V260" i="3"/>
  <c r="W260" i="3" s="1"/>
  <c r="V390" i="3"/>
  <c r="W390" i="3" s="1"/>
  <c r="V395" i="3"/>
  <c r="W395" i="3" s="1"/>
  <c r="V473" i="3"/>
  <c r="W473" i="3" s="1"/>
  <c r="V511" i="3"/>
  <c r="W511" i="3" s="1"/>
  <c r="V517" i="3"/>
  <c r="W517" i="3" s="1"/>
  <c r="V587" i="3"/>
  <c r="W587" i="3" s="1"/>
  <c r="V655" i="3"/>
  <c r="W655" i="3" s="1"/>
  <c r="V662" i="3"/>
  <c r="W662" i="3" s="1"/>
  <c r="V724" i="3"/>
  <c r="W724" i="3" s="1"/>
  <c r="V743" i="3"/>
  <c r="W743" i="3" s="1"/>
  <c r="V929" i="3"/>
  <c r="W929" i="3" s="1"/>
  <c r="V1038" i="3"/>
  <c r="W1038" i="3" s="1"/>
  <c r="V1048" i="3"/>
  <c r="W1048" i="3" s="1"/>
  <c r="V1074" i="3"/>
  <c r="W1074" i="3" s="1"/>
  <c r="V1126" i="3"/>
  <c r="W1126" i="3" s="1"/>
  <c r="V1132" i="3"/>
  <c r="W1132" i="3" s="1"/>
  <c r="V1229" i="3"/>
  <c r="W1229" i="3" s="1"/>
  <c r="V1272" i="3"/>
  <c r="W1272" i="3" s="1"/>
  <c r="V1300" i="3"/>
  <c r="W1300" i="3" s="1"/>
  <c r="V1313" i="3"/>
  <c r="W1313" i="3" s="1"/>
  <c r="V1335" i="3"/>
  <c r="W1335" i="3" s="1"/>
  <c r="V1365" i="3"/>
  <c r="W1365" i="3" s="1"/>
  <c r="V1382" i="3"/>
  <c r="W1382" i="3" s="1"/>
  <c r="V1485" i="3"/>
  <c r="W1485" i="3" s="1"/>
  <c r="V1624" i="3"/>
  <c r="W1624" i="3" s="1"/>
  <c r="V1645" i="3"/>
  <c r="W1645" i="3" s="1"/>
  <c r="V1683" i="3"/>
  <c r="W1683" i="3" s="1"/>
  <c r="V1795" i="3"/>
  <c r="W1795" i="3" s="1"/>
  <c r="V1848" i="3"/>
  <c r="W1848" i="3" s="1"/>
  <c r="V1861" i="3"/>
  <c r="W1861" i="3" s="1"/>
  <c r="V1878" i="3"/>
  <c r="W1878" i="3" s="1"/>
  <c r="V1937" i="3"/>
  <c r="W1937" i="3" s="1"/>
  <c r="V1966" i="3"/>
  <c r="W1966" i="3" s="1"/>
  <c r="V2019" i="3"/>
  <c r="W2019" i="3" s="1"/>
  <c r="V2112" i="3"/>
  <c r="W2112" i="3" s="1"/>
  <c r="V2145" i="3"/>
  <c r="W2145" i="3" s="1"/>
  <c r="V2240" i="3"/>
  <c r="W2240" i="3" s="1"/>
  <c r="V2281" i="3"/>
  <c r="W2281" i="3" s="1"/>
  <c r="V2419" i="3"/>
  <c r="W2419" i="3" s="1"/>
  <c r="V2615" i="3"/>
  <c r="W2615" i="3" s="1"/>
  <c r="V2685" i="3"/>
  <c r="W2685" i="3" s="1"/>
  <c r="V2707" i="3"/>
  <c r="W2707" i="3" s="1"/>
  <c r="V2749" i="3"/>
  <c r="W2749" i="3" s="1"/>
  <c r="V2832" i="3"/>
  <c r="W2832" i="3" s="1"/>
  <c r="V2900" i="3"/>
  <c r="W2900" i="3" s="1"/>
  <c r="V3032" i="3"/>
  <c r="W3032" i="3" s="1"/>
  <c r="V3034" i="3"/>
  <c r="W3034" i="3" s="1"/>
  <c r="V3070" i="3"/>
  <c r="W3070" i="3" s="1"/>
  <c r="V3217" i="3"/>
  <c r="W3217" i="3" s="1"/>
  <c r="V3224" i="3"/>
  <c r="W3224" i="3" s="1"/>
  <c r="V3457" i="3"/>
  <c r="W3457" i="3" s="1"/>
  <c r="V3481" i="3"/>
  <c r="W3481" i="3" s="1"/>
  <c r="V3482" i="3"/>
  <c r="W3482" i="3" s="1"/>
  <c r="V3664" i="3"/>
  <c r="W3664" i="3" s="1"/>
  <c r="V3807" i="3"/>
  <c r="W3807" i="3" s="1"/>
  <c r="V3900" i="3"/>
  <c r="W3900" i="3" s="1"/>
  <c r="V3934" i="3"/>
  <c r="W3934" i="3" s="1"/>
  <c r="V3985" i="3"/>
  <c r="W3985" i="3" s="1"/>
  <c r="V4077" i="3"/>
  <c r="W4077" i="3" s="1"/>
  <c r="V4126" i="3"/>
  <c r="W4126" i="3" s="1"/>
  <c r="V4178" i="3"/>
  <c r="W4178" i="3" s="1"/>
  <c r="V4197" i="3"/>
  <c r="W4197" i="3" s="1"/>
  <c r="V4207" i="3"/>
  <c r="W4207" i="3" s="1"/>
  <c r="V4239" i="3"/>
  <c r="W4239" i="3" s="1"/>
  <c r="V4245" i="3"/>
  <c r="W4245" i="3" s="1"/>
  <c r="V4313" i="3"/>
  <c r="W4313" i="3" s="1"/>
  <c r="V4458" i="3"/>
  <c r="W4458" i="3" s="1"/>
  <c r="V4495" i="3"/>
  <c r="W4495" i="3" s="1"/>
  <c r="V4585" i="3"/>
  <c r="W4585" i="3" s="1"/>
  <c r="V4590" i="3"/>
  <c r="W4590" i="3" s="1"/>
  <c r="V4607" i="3"/>
  <c r="W4607" i="3" s="1"/>
  <c r="V4637" i="3"/>
  <c r="W4637" i="3" s="1"/>
  <c r="V4680" i="3"/>
  <c r="W4680" i="3" s="1"/>
  <c r="V4699" i="3"/>
  <c r="W4699" i="3" s="1"/>
  <c r="V4712" i="3"/>
  <c r="W4712" i="3" s="1"/>
  <c r="V4713" i="3"/>
  <c r="W4713" i="3" s="1"/>
  <c r="V4760" i="3"/>
  <c r="W4760" i="3" s="1"/>
  <c r="V4787" i="3"/>
  <c r="W4787" i="3" s="1"/>
  <c r="V52" i="3"/>
  <c r="W52" i="3" s="1"/>
  <c r="V76" i="3"/>
  <c r="W76" i="3" s="1"/>
  <c r="V91" i="3"/>
  <c r="W91" i="3" s="1"/>
  <c r="V126" i="3"/>
  <c r="W126" i="3" s="1"/>
  <c r="V146" i="3"/>
  <c r="W146" i="3" s="1"/>
  <c r="V196" i="3"/>
  <c r="W196" i="3" s="1"/>
  <c r="V208" i="3"/>
  <c r="W208" i="3" s="1"/>
  <c r="V209" i="3"/>
  <c r="W209" i="3" s="1"/>
  <c r="V230" i="3"/>
  <c r="W230" i="3" s="1"/>
  <c r="V251" i="3"/>
  <c r="W251" i="3" s="1"/>
  <c r="V302" i="3"/>
  <c r="W302" i="3" s="1"/>
  <c r="V314" i="3"/>
  <c r="W314" i="3" s="1"/>
  <c r="V327" i="3"/>
  <c r="W327" i="3" s="1"/>
  <c r="V386" i="3"/>
  <c r="W386" i="3" s="1"/>
  <c r="V388" i="3"/>
  <c r="W388" i="3" s="1"/>
  <c r="V459" i="3"/>
  <c r="W459" i="3" s="1"/>
  <c r="V661" i="3"/>
  <c r="W661" i="3" s="1"/>
  <c r="V737" i="3"/>
  <c r="W737" i="3" s="1"/>
  <c r="V761" i="3"/>
  <c r="W761" i="3" s="1"/>
  <c r="V788" i="3"/>
  <c r="W788" i="3" s="1"/>
  <c r="V839" i="3"/>
  <c r="W839" i="3" s="1"/>
  <c r="V936" i="3"/>
  <c r="W936" i="3" s="1"/>
  <c r="V974" i="3"/>
  <c r="W974" i="3" s="1"/>
  <c r="V1100" i="3"/>
  <c r="W1100" i="3" s="1"/>
  <c r="V1165" i="3"/>
  <c r="W1165" i="3" s="1"/>
  <c r="V1199" i="3"/>
  <c r="W1199" i="3" s="1"/>
  <c r="V1209" i="3"/>
  <c r="W1209" i="3" s="1"/>
  <c r="V1277" i="3"/>
  <c r="W1277" i="3" s="1"/>
  <c r="V1377" i="3"/>
  <c r="W1377" i="3" s="1"/>
  <c r="V1449" i="3"/>
  <c r="W1449" i="3" s="1"/>
  <c r="V1469" i="3"/>
  <c r="W1469" i="3" s="1"/>
  <c r="V1480" i="3"/>
  <c r="W1480" i="3" s="1"/>
  <c r="V1489" i="3"/>
  <c r="W1489" i="3" s="1"/>
  <c r="V1527" i="3"/>
  <c r="W1527" i="3" s="1"/>
  <c r="V1537" i="3"/>
  <c r="W1537" i="3" s="1"/>
  <c r="V1587" i="3"/>
  <c r="W1587" i="3" s="1"/>
  <c r="V1597" i="3"/>
  <c r="W1597" i="3" s="1"/>
  <c r="V1672" i="3"/>
  <c r="W1672" i="3" s="1"/>
  <c r="V1737" i="3"/>
  <c r="W1737" i="3" s="1"/>
  <c r="V1797" i="3"/>
  <c r="W1797" i="3" s="1"/>
  <c r="V1818" i="3"/>
  <c r="W1818" i="3" s="1"/>
  <c r="V1824" i="3"/>
  <c r="W1824" i="3" s="1"/>
  <c r="V1849" i="3"/>
  <c r="W1849" i="3" s="1"/>
  <c r="V1909" i="3"/>
  <c r="W1909" i="3" s="1"/>
  <c r="V1935" i="3"/>
  <c r="W1935" i="3" s="1"/>
  <c r="V1943" i="3"/>
  <c r="W1943" i="3" s="1"/>
  <c r="V1974" i="3"/>
  <c r="W1974" i="3" s="1"/>
  <c r="V2012" i="3"/>
  <c r="W2012" i="3" s="1"/>
  <c r="V2094" i="3"/>
  <c r="W2094" i="3" s="1"/>
  <c r="V2120" i="3"/>
  <c r="W2120" i="3" s="1"/>
  <c r="V2189" i="3"/>
  <c r="W2189" i="3" s="1"/>
  <c r="V2354" i="3"/>
  <c r="W2354" i="3" s="1"/>
  <c r="V2381" i="3"/>
  <c r="W2381" i="3" s="1"/>
  <c r="V2453" i="3"/>
  <c r="W2453" i="3" s="1"/>
  <c r="V2454" i="3"/>
  <c r="W2454" i="3" s="1"/>
  <c r="V2457" i="3"/>
  <c r="W2457" i="3" s="1"/>
  <c r="V2481" i="3"/>
  <c r="W2481" i="3" s="1"/>
  <c r="V2487" i="3"/>
  <c r="W2487" i="3" s="1"/>
  <c r="V2505" i="3"/>
  <c r="W2505" i="3" s="1"/>
  <c r="V2514" i="3"/>
  <c r="W2514" i="3" s="1"/>
  <c r="V2521" i="3"/>
  <c r="W2521" i="3" s="1"/>
  <c r="V2538" i="3"/>
  <c r="W2538" i="3" s="1"/>
  <c r="V2590" i="3"/>
  <c r="W2590" i="3" s="1"/>
  <c r="V2611" i="3"/>
  <c r="W2611" i="3" s="1"/>
  <c r="V2660" i="3"/>
  <c r="W2660" i="3" s="1"/>
  <c r="V2784" i="3"/>
  <c r="W2784" i="3" s="1"/>
  <c r="V2970" i="3"/>
  <c r="W2970" i="3" s="1"/>
  <c r="V3093" i="3"/>
  <c r="W3093" i="3" s="1"/>
  <c r="V3138" i="3"/>
  <c r="W3138" i="3" s="1"/>
  <c r="V3161" i="3"/>
  <c r="W3161" i="3" s="1"/>
  <c r="V3180" i="3"/>
  <c r="W3180" i="3" s="1"/>
  <c r="V3196" i="3"/>
  <c r="W3196" i="3" s="1"/>
  <c r="V3198" i="3"/>
  <c r="W3198" i="3" s="1"/>
  <c r="V3254" i="3"/>
  <c r="W3254" i="3" s="1"/>
  <c r="V3322" i="3"/>
  <c r="W3322" i="3" s="1"/>
  <c r="V3354" i="3"/>
  <c r="W3354" i="3" s="1"/>
  <c r="V3358" i="3"/>
  <c r="W3358" i="3" s="1"/>
  <c r="V3387" i="3"/>
  <c r="W3387" i="3" s="1"/>
  <c r="V3409" i="3"/>
  <c r="W3409" i="3" s="1"/>
  <c r="V3414" i="3"/>
  <c r="W3414" i="3" s="1"/>
  <c r="V3428" i="3"/>
  <c r="W3428" i="3" s="1"/>
  <c r="V3551" i="3"/>
  <c r="W3551" i="3" s="1"/>
  <c r="V3571" i="3"/>
  <c r="W3571" i="3" s="1"/>
  <c r="V3597" i="3"/>
  <c r="W3597" i="3" s="1"/>
  <c r="V3704" i="3"/>
  <c r="W3704" i="3" s="1"/>
  <c r="V3798" i="3"/>
  <c r="W3798" i="3" s="1"/>
  <c r="V3836" i="3"/>
  <c r="W3836" i="3" s="1"/>
  <c r="V3878" i="3"/>
  <c r="W3878" i="3" s="1"/>
  <c r="V3905" i="3"/>
  <c r="W3905" i="3" s="1"/>
  <c r="V4089" i="3"/>
  <c r="W4089" i="3" s="1"/>
  <c r="V4130" i="3"/>
  <c r="W4130" i="3" s="1"/>
  <c r="V4344" i="3"/>
  <c r="W4344" i="3" s="1"/>
  <c r="V4360" i="3"/>
  <c r="W4360" i="3" s="1"/>
  <c r="V4457" i="3"/>
  <c r="W4457" i="3" s="1"/>
  <c r="V4722" i="3"/>
  <c r="W4722" i="3" s="1"/>
  <c r="V4782" i="3"/>
  <c r="W4782" i="3" s="1"/>
  <c r="V4789" i="3"/>
  <c r="W4789" i="3" s="1"/>
  <c r="V4802" i="3"/>
  <c r="W4802" i="3" s="1"/>
  <c r="V158" i="3"/>
  <c r="W158" i="3" s="1"/>
  <c r="V165" i="3"/>
  <c r="W165" i="3" s="1"/>
  <c r="V192" i="3"/>
  <c r="W192" i="3" s="1"/>
  <c r="V262" i="3"/>
  <c r="W262" i="3" s="1"/>
  <c r="V293" i="3"/>
  <c r="W293" i="3" s="1"/>
  <c r="V295" i="3"/>
  <c r="W295" i="3" s="1"/>
  <c r="V342" i="3"/>
  <c r="W342" i="3" s="1"/>
  <c r="V370" i="3"/>
  <c r="W370" i="3" s="1"/>
  <c r="V543" i="3"/>
  <c r="W543" i="3" s="1"/>
  <c r="V565" i="3"/>
  <c r="W565" i="3" s="1"/>
  <c r="V660" i="3"/>
  <c r="W660" i="3" s="1"/>
  <c r="V746" i="3"/>
  <c r="W746" i="3" s="1"/>
  <c r="V816" i="3"/>
  <c r="W816" i="3" s="1"/>
  <c r="V888" i="3"/>
  <c r="W888" i="3" s="1"/>
  <c r="V893" i="3"/>
  <c r="W893" i="3" s="1"/>
  <c r="V922" i="3"/>
  <c r="W922" i="3" s="1"/>
  <c r="V985" i="3"/>
  <c r="W985" i="3" s="1"/>
  <c r="V996" i="3"/>
  <c r="W996" i="3" s="1"/>
  <c r="V1014" i="3"/>
  <c r="W1014" i="3" s="1"/>
  <c r="V1181" i="3"/>
  <c r="W1181" i="3" s="1"/>
  <c r="V1208" i="3"/>
  <c r="W1208" i="3" s="1"/>
  <c r="V1222" i="3"/>
  <c r="W1222" i="3" s="1"/>
  <c r="V1276" i="3"/>
  <c r="W1276" i="3" s="1"/>
  <c r="V1293" i="3"/>
  <c r="W1293" i="3" s="1"/>
  <c r="V1413" i="3"/>
  <c r="W1413" i="3" s="1"/>
  <c r="V1512" i="3"/>
  <c r="W1512" i="3" s="1"/>
  <c r="V1555" i="3"/>
  <c r="W1555" i="3" s="1"/>
  <c r="V1729" i="3"/>
  <c r="W1729" i="3" s="1"/>
  <c r="V1741" i="3"/>
  <c r="W1741" i="3" s="1"/>
  <c r="V1745" i="3"/>
  <c r="W1745" i="3" s="1"/>
  <c r="V1761" i="3"/>
  <c r="W1761" i="3" s="1"/>
  <c r="V1886" i="3"/>
  <c r="W1886" i="3" s="1"/>
  <c r="V1916" i="3"/>
  <c r="W1916" i="3" s="1"/>
  <c r="V1962" i="3"/>
  <c r="W1962" i="3" s="1"/>
  <c r="V2024" i="3"/>
  <c r="W2024" i="3" s="1"/>
  <c r="V2202" i="3"/>
  <c r="W2202" i="3" s="1"/>
  <c r="V2230" i="3"/>
  <c r="W2230" i="3" s="1"/>
  <c r="V2294" i="3"/>
  <c r="W2294" i="3" s="1"/>
  <c r="V2425" i="3"/>
  <c r="W2425" i="3" s="1"/>
  <c r="V2434" i="3"/>
  <c r="W2434" i="3" s="1"/>
  <c r="V2510" i="3"/>
  <c r="W2510" i="3" s="1"/>
  <c r="V2545" i="3"/>
  <c r="W2545" i="3" s="1"/>
  <c r="V2594" i="3"/>
  <c r="W2594" i="3" s="1"/>
  <c r="V2613" i="3"/>
  <c r="W2613" i="3" s="1"/>
  <c r="V2621" i="3"/>
  <c r="W2621" i="3" s="1"/>
  <c r="V2764" i="3"/>
  <c r="W2764" i="3" s="1"/>
  <c r="V2795" i="3"/>
  <c r="W2795" i="3" s="1"/>
  <c r="V2936" i="3"/>
  <c r="W2936" i="3" s="1"/>
  <c r="V2982" i="3"/>
  <c r="W2982" i="3" s="1"/>
  <c r="V2991" i="3"/>
  <c r="W2991" i="3" s="1"/>
  <c r="V3006" i="3"/>
  <c r="W3006" i="3" s="1"/>
  <c r="V3134" i="3"/>
  <c r="W3134" i="3" s="1"/>
  <c r="V3174" i="3"/>
  <c r="W3174" i="3" s="1"/>
  <c r="V3390" i="3"/>
  <c r="W3390" i="3" s="1"/>
  <c r="V3421" i="3"/>
  <c r="W3421" i="3" s="1"/>
  <c r="V3467" i="3"/>
  <c r="W3467" i="3" s="1"/>
  <c r="V3471" i="3"/>
  <c r="W3471" i="3" s="1"/>
  <c r="V3518" i="3"/>
  <c r="W3518" i="3" s="1"/>
  <c r="V3575" i="3"/>
  <c r="W3575" i="3" s="1"/>
  <c r="V3732" i="3"/>
  <c r="W3732" i="3" s="1"/>
  <c r="V3827" i="3"/>
  <c r="W3827" i="3" s="1"/>
  <c r="V3906" i="3"/>
  <c r="W3906" i="3" s="1"/>
  <c r="V3986" i="3"/>
  <c r="W3986" i="3" s="1"/>
  <c r="V4010" i="3"/>
  <c r="W4010" i="3" s="1"/>
  <c r="V4049" i="3"/>
  <c r="W4049" i="3" s="1"/>
  <c r="V4329" i="3"/>
  <c r="W4329" i="3" s="1"/>
  <c r="V4346" i="3"/>
  <c r="W4346" i="3" s="1"/>
  <c r="V4364" i="3"/>
  <c r="W4364" i="3" s="1"/>
  <c r="V4498" i="3"/>
  <c r="W4498" i="3" s="1"/>
  <c r="V4506" i="3"/>
  <c r="W4506" i="3" s="1"/>
  <c r="V4765" i="3"/>
  <c r="W4765" i="3" s="1"/>
  <c r="V4771" i="3"/>
  <c r="W4771" i="3" s="1"/>
  <c r="V4833" i="3"/>
  <c r="W4833" i="3" s="1"/>
  <c r="V84" i="3"/>
  <c r="W84" i="3" s="1"/>
  <c r="V136" i="3"/>
  <c r="W136" i="3" s="1"/>
  <c r="V167" i="3"/>
  <c r="W167" i="3" s="1"/>
  <c r="V243" i="3"/>
  <c r="W243" i="3" s="1"/>
  <c r="V403" i="3"/>
  <c r="W403" i="3" s="1"/>
  <c r="V404" i="3"/>
  <c r="W404" i="3" s="1"/>
  <c r="V412" i="3"/>
  <c r="W412" i="3" s="1"/>
  <c r="V467" i="3"/>
  <c r="W467" i="3" s="1"/>
  <c r="V626" i="3"/>
  <c r="W626" i="3" s="1"/>
  <c r="V666" i="3"/>
  <c r="W666" i="3" s="1"/>
  <c r="V701" i="3"/>
  <c r="W701" i="3" s="1"/>
  <c r="V951" i="3"/>
  <c r="W951" i="3" s="1"/>
  <c r="V954" i="3"/>
  <c r="W954" i="3" s="1"/>
  <c r="V1015" i="3"/>
  <c r="W1015" i="3" s="1"/>
  <c r="V1108" i="3"/>
  <c r="W1108" i="3" s="1"/>
  <c r="V1226" i="3"/>
  <c r="W1226" i="3" s="1"/>
  <c r="V1418" i="3"/>
  <c r="W1418" i="3" s="1"/>
  <c r="V1419" i="3"/>
  <c r="W1419" i="3" s="1"/>
  <c r="V1478" i="3"/>
  <c r="W1478" i="3" s="1"/>
  <c r="V1606" i="3"/>
  <c r="W1606" i="3" s="1"/>
  <c r="V1613" i="3"/>
  <c r="W1613" i="3" s="1"/>
  <c r="V1718" i="3"/>
  <c r="W1718" i="3" s="1"/>
  <c r="V1722" i="3"/>
  <c r="W1722" i="3" s="1"/>
  <c r="V1908" i="3"/>
  <c r="W1908" i="3" s="1"/>
  <c r="V1958" i="3"/>
  <c r="W1958" i="3" s="1"/>
  <c r="V2056" i="3"/>
  <c r="W2056" i="3" s="1"/>
  <c r="V2109" i="3"/>
  <c r="W2109" i="3" s="1"/>
  <c r="V2216" i="3"/>
  <c r="W2216" i="3" s="1"/>
  <c r="V2260" i="3"/>
  <c r="W2260" i="3" s="1"/>
  <c r="V2315" i="3"/>
  <c r="W2315" i="3" s="1"/>
  <c r="V2335" i="3"/>
  <c r="W2335" i="3" s="1"/>
  <c r="V2422" i="3"/>
  <c r="W2422" i="3" s="1"/>
  <c r="V2437" i="3"/>
  <c r="W2437" i="3" s="1"/>
  <c r="V2452" i="3"/>
  <c r="W2452" i="3" s="1"/>
  <c r="V2499" i="3"/>
  <c r="W2499" i="3" s="1"/>
  <c r="V2524" i="3"/>
  <c r="W2524" i="3" s="1"/>
  <c r="V2581" i="3"/>
  <c r="W2581" i="3" s="1"/>
  <c r="V2591" i="3"/>
  <c r="W2591" i="3" s="1"/>
  <c r="V2675" i="3"/>
  <c r="W2675" i="3" s="1"/>
  <c r="V3039" i="3"/>
  <c r="W3039" i="3" s="1"/>
  <c r="V3087" i="3"/>
  <c r="W3087" i="3" s="1"/>
  <c r="V3125" i="3"/>
  <c r="W3125" i="3" s="1"/>
  <c r="V3175" i="3"/>
  <c r="W3175" i="3" s="1"/>
  <c r="V3200" i="3"/>
  <c r="W3200" i="3" s="1"/>
  <c r="V3223" i="3"/>
  <c r="W3223" i="3" s="1"/>
  <c r="V3284" i="3"/>
  <c r="W3284" i="3" s="1"/>
  <c r="V3455" i="3"/>
  <c r="W3455" i="3" s="1"/>
  <c r="V3608" i="3"/>
  <c r="W3608" i="3" s="1"/>
  <c r="V3643" i="3"/>
  <c r="W3643" i="3" s="1"/>
  <c r="V3694" i="3"/>
  <c r="W3694" i="3" s="1"/>
  <c r="V3702" i="3"/>
  <c r="W3702" i="3" s="1"/>
  <c r="V3880" i="3"/>
  <c r="W3880" i="3" s="1"/>
  <c r="V3904" i="3"/>
  <c r="W3904" i="3" s="1"/>
  <c r="V3909" i="3"/>
  <c r="W3909" i="3" s="1"/>
  <c r="V3917" i="3"/>
  <c r="W3917" i="3" s="1"/>
  <c r="V3951" i="3"/>
  <c r="W3951" i="3" s="1"/>
  <c r="V3954" i="3"/>
  <c r="W3954" i="3" s="1"/>
  <c r="V4392" i="3"/>
  <c r="W4392" i="3" s="1"/>
  <c r="V4629" i="3"/>
  <c r="W4629" i="3" s="1"/>
  <c r="V4671" i="3"/>
  <c r="W4671" i="3" s="1"/>
  <c r="V4677" i="3"/>
  <c r="W4677" i="3" s="1"/>
  <c r="V4737" i="3"/>
  <c r="W4737" i="3" s="1"/>
  <c r="V4739" i="3"/>
  <c r="W4739" i="3" s="1"/>
  <c r="V4740" i="3"/>
  <c r="W4740" i="3" s="1"/>
  <c r="V4795" i="3"/>
  <c r="W4795" i="3" s="1"/>
  <c r="V17" i="3"/>
  <c r="W17" i="3" s="1"/>
  <c r="V68" i="3"/>
  <c r="W68" i="3" s="1"/>
  <c r="V94" i="3"/>
  <c r="W94" i="3" s="1"/>
  <c r="V120" i="3"/>
  <c r="W120" i="3" s="1"/>
  <c r="V176" i="3"/>
  <c r="W176" i="3" s="1"/>
  <c r="V367" i="3"/>
  <c r="W367" i="3" s="1"/>
  <c r="V433" i="3"/>
  <c r="W433" i="3" s="1"/>
  <c r="V442" i="3"/>
  <c r="W442" i="3" s="1"/>
  <c r="V532" i="3"/>
  <c r="W532" i="3" s="1"/>
  <c r="V568" i="3"/>
  <c r="W568" i="3" s="1"/>
  <c r="V591" i="3"/>
  <c r="W591" i="3" s="1"/>
  <c r="V707" i="3"/>
  <c r="W707" i="3" s="1"/>
  <c r="V811" i="3"/>
  <c r="W811" i="3" s="1"/>
  <c r="V851" i="3"/>
  <c r="W851" i="3" s="1"/>
  <c r="V860" i="3"/>
  <c r="W860" i="3" s="1"/>
  <c r="V908" i="3"/>
  <c r="W908" i="3" s="1"/>
  <c r="V911" i="3"/>
  <c r="W911" i="3" s="1"/>
  <c r="V1084" i="3"/>
  <c r="W1084" i="3" s="1"/>
  <c r="V1170" i="3"/>
  <c r="W1170" i="3" s="1"/>
  <c r="V1232" i="3"/>
  <c r="W1232" i="3" s="1"/>
  <c r="V1242" i="3"/>
  <c r="W1242" i="3" s="1"/>
  <c r="V1271" i="3"/>
  <c r="W1271" i="3" s="1"/>
  <c r="V1328" i="3"/>
  <c r="W1328" i="3" s="1"/>
  <c r="V1495" i="3"/>
  <c r="W1495" i="3" s="1"/>
  <c r="V1502" i="3"/>
  <c r="W1502" i="3" s="1"/>
  <c r="V1546" i="3"/>
  <c r="W1546" i="3" s="1"/>
  <c r="V1604" i="3"/>
  <c r="W1604" i="3" s="1"/>
  <c r="V1670" i="3"/>
  <c r="W1670" i="3" s="1"/>
  <c r="V1701" i="3"/>
  <c r="W1701" i="3" s="1"/>
  <c r="V1822" i="3"/>
  <c r="W1822" i="3" s="1"/>
  <c r="V1864" i="3"/>
  <c r="W1864" i="3" s="1"/>
  <c r="V1887" i="3"/>
  <c r="W1887" i="3" s="1"/>
  <c r="V2206" i="3"/>
  <c r="W2206" i="3" s="1"/>
  <c r="V2295" i="3"/>
  <c r="W2295" i="3" s="1"/>
  <c r="V2355" i="3"/>
  <c r="W2355" i="3" s="1"/>
  <c r="V2548" i="3"/>
  <c r="W2548" i="3" s="1"/>
  <c r="V2597" i="3"/>
  <c r="W2597" i="3" s="1"/>
  <c r="V2751" i="3"/>
  <c r="W2751" i="3" s="1"/>
  <c r="V2803" i="3"/>
  <c r="W2803" i="3" s="1"/>
  <c r="V2855" i="3"/>
  <c r="W2855" i="3" s="1"/>
  <c r="V2860" i="3"/>
  <c r="W2860" i="3" s="1"/>
  <c r="V2885" i="3"/>
  <c r="W2885" i="3" s="1"/>
  <c r="V2940" i="3"/>
  <c r="W2940" i="3" s="1"/>
  <c r="V2979" i="3"/>
  <c r="W2979" i="3" s="1"/>
  <c r="V3062" i="3"/>
  <c r="W3062" i="3" s="1"/>
  <c r="V3132" i="3"/>
  <c r="W3132" i="3" s="1"/>
  <c r="V3204" i="3"/>
  <c r="W3204" i="3" s="1"/>
  <c r="V3313" i="3"/>
  <c r="W3313" i="3" s="1"/>
  <c r="V3314" i="3"/>
  <c r="W3314" i="3" s="1"/>
  <c r="V3376" i="3"/>
  <c r="W3376" i="3" s="1"/>
  <c r="V3450" i="3"/>
  <c r="W3450" i="3" s="1"/>
  <c r="V3498" i="3"/>
  <c r="W3498" i="3" s="1"/>
  <c r="V3506" i="3"/>
  <c r="W3506" i="3" s="1"/>
  <c r="V3528" i="3"/>
  <c r="W3528" i="3" s="1"/>
  <c r="V3549" i="3"/>
  <c r="W3549" i="3" s="1"/>
  <c r="V3555" i="3"/>
  <c r="W3555" i="3" s="1"/>
  <c r="V3593" i="3"/>
  <c r="W3593" i="3" s="1"/>
  <c r="V3748" i="3"/>
  <c r="W3748" i="3" s="1"/>
  <c r="V3848" i="3"/>
  <c r="W3848" i="3" s="1"/>
  <c r="V3868" i="3"/>
  <c r="W3868" i="3" s="1"/>
  <c r="V3901" i="3"/>
  <c r="W3901" i="3" s="1"/>
  <c r="V3965" i="3"/>
  <c r="W3965" i="3" s="1"/>
  <c r="V4096" i="3"/>
  <c r="W4096" i="3" s="1"/>
  <c r="V4242" i="3"/>
  <c r="W4242" i="3" s="1"/>
  <c r="V4366" i="3"/>
  <c r="W4366" i="3" s="1"/>
  <c r="V4455" i="3"/>
  <c r="W4455" i="3" s="1"/>
  <c r="V4486" i="3"/>
  <c r="W4486" i="3" s="1"/>
  <c r="V4611" i="3"/>
  <c r="W4611" i="3" s="1"/>
  <c r="V4620" i="3"/>
  <c r="W4620" i="3" s="1"/>
  <c r="V4689" i="3"/>
  <c r="W4689" i="3" s="1"/>
  <c r="V4758" i="3"/>
  <c r="W4758" i="3" s="1"/>
  <c r="V4" i="3"/>
  <c r="W4" i="3" s="1"/>
  <c r="V5" i="3"/>
  <c r="W5" i="3" s="1"/>
  <c r="V13" i="3"/>
  <c r="W13" i="3" s="1"/>
  <c r="V25" i="3"/>
  <c r="W25" i="3" s="1"/>
  <c r="V44" i="3"/>
  <c r="W44" i="3" s="1"/>
  <c r="V55" i="3"/>
  <c r="W55" i="3" s="1"/>
  <c r="V124" i="3"/>
  <c r="W124" i="3" s="1"/>
  <c r="V142" i="3"/>
  <c r="W142" i="3" s="1"/>
  <c r="V227" i="3"/>
  <c r="W227" i="3" s="1"/>
  <c r="V349" i="3"/>
  <c r="W349" i="3" s="1"/>
  <c r="V415" i="3"/>
  <c r="W415" i="3" s="1"/>
  <c r="V431" i="3"/>
  <c r="W431" i="3" s="1"/>
  <c r="V462" i="3"/>
  <c r="W462" i="3" s="1"/>
  <c r="V470" i="3"/>
  <c r="W470" i="3" s="1"/>
  <c r="V540" i="3"/>
  <c r="W540" i="3" s="1"/>
  <c r="V569" i="3"/>
  <c r="W569" i="3" s="1"/>
  <c r="V580" i="3"/>
  <c r="W580" i="3" s="1"/>
  <c r="V604" i="3"/>
  <c r="W604" i="3" s="1"/>
  <c r="V721" i="3"/>
  <c r="W721" i="3" s="1"/>
  <c r="V750" i="3"/>
  <c r="W750" i="3" s="1"/>
  <c r="V778" i="3"/>
  <c r="W778" i="3" s="1"/>
  <c r="V780" i="3"/>
  <c r="W780" i="3" s="1"/>
  <c r="V793" i="3"/>
  <c r="W793" i="3" s="1"/>
  <c r="V802" i="3"/>
  <c r="W802" i="3" s="1"/>
  <c r="V819" i="3"/>
  <c r="W819" i="3" s="1"/>
  <c r="V857" i="3"/>
  <c r="W857" i="3" s="1"/>
  <c r="V868" i="3"/>
  <c r="W868" i="3" s="1"/>
  <c r="V915" i="3"/>
  <c r="W915" i="3" s="1"/>
  <c r="V983" i="3"/>
  <c r="W983" i="3" s="1"/>
  <c r="V1006" i="3"/>
  <c r="W1006" i="3" s="1"/>
  <c r="V1044" i="3"/>
  <c r="W1044" i="3" s="1"/>
  <c r="V1056" i="3"/>
  <c r="W1056" i="3" s="1"/>
  <c r="V1131" i="3"/>
  <c r="W1131" i="3" s="1"/>
  <c r="V1133" i="3"/>
  <c r="W1133" i="3" s="1"/>
  <c r="V1143" i="3"/>
  <c r="W1143" i="3" s="1"/>
  <c r="V1148" i="3"/>
  <c r="W1148" i="3" s="1"/>
  <c r="V1236" i="3"/>
  <c r="W1236" i="3" s="1"/>
  <c r="V1309" i="3"/>
  <c r="W1309" i="3" s="1"/>
  <c r="V1320" i="3"/>
  <c r="W1320" i="3" s="1"/>
  <c r="V1323" i="3"/>
  <c r="W1323" i="3" s="1"/>
  <c r="V1417" i="3"/>
  <c r="W1417" i="3" s="1"/>
  <c r="V1438" i="3"/>
  <c r="W1438" i="3" s="1"/>
  <c r="V1483" i="3"/>
  <c r="W1483" i="3" s="1"/>
  <c r="V1650" i="3"/>
  <c r="W1650" i="3" s="1"/>
  <c r="V1652" i="3"/>
  <c r="W1652" i="3" s="1"/>
  <c r="V1725" i="3"/>
  <c r="W1725" i="3" s="1"/>
  <c r="V1796" i="3"/>
  <c r="W1796" i="3" s="1"/>
  <c r="V1815" i="3"/>
  <c r="W1815" i="3" s="1"/>
  <c r="V1827" i="3"/>
  <c r="W1827" i="3" s="1"/>
  <c r="V1854" i="3"/>
  <c r="W1854" i="3" s="1"/>
  <c r="V1891" i="3"/>
  <c r="W1891" i="3" s="1"/>
  <c r="V1898" i="3"/>
  <c r="W1898" i="3" s="1"/>
  <c r="V1929" i="3"/>
  <c r="W1929" i="3" s="1"/>
  <c r="V2103" i="3"/>
  <c r="W2103" i="3" s="1"/>
  <c r="V2117" i="3"/>
  <c r="W2117" i="3" s="1"/>
  <c r="V2157" i="3"/>
  <c r="W2157" i="3" s="1"/>
  <c r="V2192" i="3"/>
  <c r="W2192" i="3" s="1"/>
  <c r="V2288" i="3"/>
  <c r="W2288" i="3" s="1"/>
  <c r="V2343" i="3"/>
  <c r="W2343" i="3" s="1"/>
  <c r="V2391" i="3"/>
  <c r="W2391" i="3" s="1"/>
  <c r="V2463" i="3"/>
  <c r="W2463" i="3" s="1"/>
  <c r="V2478" i="3"/>
  <c r="W2478" i="3" s="1"/>
  <c r="V2498" i="3"/>
  <c r="W2498" i="3" s="1"/>
  <c r="V2507" i="3"/>
  <c r="W2507" i="3" s="1"/>
  <c r="V2513" i="3"/>
  <c r="W2513" i="3" s="1"/>
  <c r="V2690" i="3"/>
  <c r="W2690" i="3" s="1"/>
  <c r="V2719" i="3"/>
  <c r="W2719" i="3" s="1"/>
  <c r="V2736" i="3"/>
  <c r="W2736" i="3" s="1"/>
  <c r="V2745" i="3"/>
  <c r="W2745" i="3" s="1"/>
  <c r="V2780" i="3"/>
  <c r="W2780" i="3" s="1"/>
  <c r="V2846" i="3"/>
  <c r="W2846" i="3" s="1"/>
  <c r="V3065" i="3"/>
  <c r="W3065" i="3" s="1"/>
  <c r="V3341" i="3"/>
  <c r="W3341" i="3" s="1"/>
  <c r="V3544" i="3"/>
  <c r="W3544" i="3" s="1"/>
  <c r="V3605" i="3"/>
  <c r="W3605" i="3" s="1"/>
  <c r="V3657" i="3"/>
  <c r="W3657" i="3" s="1"/>
  <c r="V3658" i="3"/>
  <c r="W3658" i="3" s="1"/>
  <c r="V3673" i="3"/>
  <c r="W3673" i="3" s="1"/>
  <c r="V3737" i="3"/>
  <c r="W3737" i="3" s="1"/>
  <c r="V3763" i="3"/>
  <c r="W3763" i="3" s="1"/>
  <c r="V3792" i="3"/>
  <c r="W3792" i="3" s="1"/>
  <c r="V3815" i="3"/>
  <c r="W3815" i="3" s="1"/>
  <c r="V3935" i="3"/>
  <c r="W3935" i="3" s="1"/>
  <c r="V3943" i="3"/>
  <c r="W3943" i="3" s="1"/>
  <c r="V4012" i="3"/>
  <c r="W4012" i="3" s="1"/>
  <c r="V4013" i="3"/>
  <c r="W4013" i="3" s="1"/>
  <c r="V4016" i="3"/>
  <c r="W4016" i="3" s="1"/>
  <c r="V4018" i="3"/>
  <c r="W4018" i="3" s="1"/>
  <c r="V4037" i="3"/>
  <c r="W4037" i="3" s="1"/>
  <c r="V4045" i="3"/>
  <c r="W4045" i="3" s="1"/>
  <c r="V4102" i="3"/>
  <c r="W4102" i="3" s="1"/>
  <c r="V4220" i="3"/>
  <c r="W4220" i="3" s="1"/>
  <c r="V4232" i="3"/>
  <c r="W4232" i="3" s="1"/>
  <c r="V4250" i="3"/>
  <c r="W4250" i="3" s="1"/>
  <c r="V4253" i="3"/>
  <c r="W4253" i="3" s="1"/>
  <c r="V4254" i="3"/>
  <c r="W4254" i="3" s="1"/>
  <c r="V4286" i="3"/>
  <c r="W4286" i="3" s="1"/>
  <c r="V4292" i="3"/>
  <c r="W4292" i="3" s="1"/>
  <c r="V4293" i="3"/>
  <c r="W4293" i="3" s="1"/>
  <c r="V4305" i="3"/>
  <c r="W4305" i="3" s="1"/>
  <c r="V4352" i="3"/>
  <c r="W4352" i="3" s="1"/>
  <c r="V4353" i="3"/>
  <c r="W4353" i="3" s="1"/>
  <c r="V4408" i="3"/>
  <c r="W4408" i="3" s="1"/>
  <c r="V4444" i="3"/>
  <c r="W4444" i="3" s="1"/>
  <c r="V4473" i="3"/>
  <c r="W4473" i="3" s="1"/>
  <c r="V4546" i="3"/>
  <c r="W4546" i="3" s="1"/>
  <c r="V4561" i="3"/>
  <c r="W4561" i="3" s="1"/>
  <c r="V4569" i="3"/>
  <c r="W4569" i="3" s="1"/>
  <c r="V4584" i="3"/>
  <c r="W4584" i="3" s="1"/>
  <c r="V4602" i="3"/>
  <c r="W4602" i="3" s="1"/>
  <c r="V4617" i="3"/>
  <c r="W4617" i="3" s="1"/>
  <c r="V4635" i="3"/>
  <c r="W4635" i="3" s="1"/>
  <c r="V4695" i="3"/>
  <c r="W4695" i="3" s="1"/>
  <c r="V4767" i="3"/>
  <c r="W4767" i="3" s="1"/>
  <c r="V4777" i="3"/>
  <c r="W4777" i="3" s="1"/>
  <c r="V4824" i="3"/>
  <c r="W4824" i="3" s="1"/>
  <c r="V34" i="3"/>
  <c r="W34" i="3" s="1"/>
  <c r="V154" i="3"/>
  <c r="W154" i="3" s="1"/>
  <c r="V197" i="3"/>
  <c r="W197" i="3" s="1"/>
  <c r="V240" i="3"/>
  <c r="W240" i="3" s="1"/>
  <c r="V268" i="3"/>
  <c r="W268" i="3" s="1"/>
  <c r="V309" i="3"/>
  <c r="W309" i="3" s="1"/>
  <c r="V538" i="3"/>
  <c r="W538" i="3" s="1"/>
  <c r="V551" i="3"/>
  <c r="W551" i="3" s="1"/>
  <c r="V567" i="3"/>
  <c r="W567" i="3" s="1"/>
  <c r="V685" i="3"/>
  <c r="W685" i="3" s="1"/>
  <c r="V760" i="3"/>
  <c r="W760" i="3" s="1"/>
  <c r="V764" i="3"/>
  <c r="W764" i="3" s="1"/>
  <c r="V770" i="3"/>
  <c r="W770" i="3" s="1"/>
  <c r="V876" i="3"/>
  <c r="W876" i="3" s="1"/>
  <c r="V988" i="3"/>
  <c r="W988" i="3" s="1"/>
  <c r="V1005" i="3"/>
  <c r="W1005" i="3" s="1"/>
  <c r="V1017" i="3"/>
  <c r="W1017" i="3" s="1"/>
  <c r="V1025" i="3"/>
  <c r="W1025" i="3" s="1"/>
  <c r="V1055" i="3"/>
  <c r="W1055" i="3" s="1"/>
  <c r="V1061" i="3"/>
  <c r="W1061" i="3" s="1"/>
  <c r="V1193" i="3"/>
  <c r="W1193" i="3" s="1"/>
  <c r="V1206" i="3"/>
  <c r="W1206" i="3" s="1"/>
  <c r="V1216" i="3"/>
  <c r="W1216" i="3" s="1"/>
  <c r="V1217" i="3"/>
  <c r="W1217" i="3" s="1"/>
  <c r="V1291" i="3"/>
  <c r="W1291" i="3" s="1"/>
  <c r="V1294" i="3"/>
  <c r="W1294" i="3" s="1"/>
  <c r="V1371" i="3"/>
  <c r="W1371" i="3" s="1"/>
  <c r="V1401" i="3"/>
  <c r="W1401" i="3" s="1"/>
  <c r="V1402" i="3"/>
  <c r="W1402" i="3" s="1"/>
  <c r="V1467" i="3"/>
  <c r="W1467" i="3" s="1"/>
  <c r="V1472" i="3"/>
  <c r="W1472" i="3" s="1"/>
  <c r="V1482" i="3"/>
  <c r="W1482" i="3" s="1"/>
  <c r="V1488" i="3"/>
  <c r="W1488" i="3" s="1"/>
  <c r="V1496" i="3"/>
  <c r="W1496" i="3" s="1"/>
  <c r="V1505" i="3"/>
  <c r="W1505" i="3" s="1"/>
  <c r="V1541" i="3"/>
  <c r="W1541" i="3" s="1"/>
  <c r="V1562" i="3"/>
  <c r="W1562" i="3" s="1"/>
  <c r="V1596" i="3"/>
  <c r="W1596" i="3" s="1"/>
  <c r="V1709" i="3"/>
  <c r="W1709" i="3" s="1"/>
  <c r="V1715" i="3"/>
  <c r="W1715" i="3" s="1"/>
  <c r="V1728" i="3"/>
  <c r="W1728" i="3" s="1"/>
  <c r="V1743" i="3"/>
  <c r="W1743" i="3" s="1"/>
  <c r="V1776" i="3"/>
  <c r="W1776" i="3" s="1"/>
  <c r="V1811" i="3"/>
  <c r="W1811" i="3" s="1"/>
  <c r="V1882" i="3"/>
  <c r="W1882" i="3" s="1"/>
  <c r="V1892" i="3"/>
  <c r="W1892" i="3" s="1"/>
  <c r="V1894" i="3"/>
  <c r="W1894" i="3" s="1"/>
  <c r="V1896" i="3"/>
  <c r="W1896" i="3" s="1"/>
  <c r="V1938" i="3"/>
  <c r="W1938" i="3" s="1"/>
  <c r="V1965" i="3"/>
  <c r="W1965" i="3" s="1"/>
  <c r="V1975" i="3"/>
  <c r="W1975" i="3" s="1"/>
  <c r="V2001" i="3"/>
  <c r="W2001" i="3" s="1"/>
  <c r="V2055" i="3"/>
  <c r="W2055" i="3" s="1"/>
  <c r="V2081" i="3"/>
  <c r="W2081" i="3" s="1"/>
  <c r="V2153" i="3"/>
  <c r="W2153" i="3" s="1"/>
  <c r="V2158" i="3"/>
  <c r="W2158" i="3" s="1"/>
  <c r="V2175" i="3"/>
  <c r="W2175" i="3" s="1"/>
  <c r="V2183" i="3"/>
  <c r="W2183" i="3" s="1"/>
  <c r="V2187" i="3"/>
  <c r="W2187" i="3" s="1"/>
  <c r="V2219" i="3"/>
  <c r="W2219" i="3" s="1"/>
  <c r="V2345" i="3"/>
  <c r="W2345" i="3" s="1"/>
  <c r="V2349" i="3"/>
  <c r="W2349" i="3" s="1"/>
  <c r="V2389" i="3"/>
  <c r="W2389" i="3" s="1"/>
  <c r="V2409" i="3"/>
  <c r="W2409" i="3" s="1"/>
  <c r="V2440" i="3"/>
  <c r="W2440" i="3" s="1"/>
  <c r="V2446" i="3"/>
  <c r="W2446" i="3" s="1"/>
  <c r="V2469" i="3"/>
  <c r="W2469" i="3" s="1"/>
  <c r="V2471" i="3"/>
  <c r="W2471" i="3" s="1"/>
  <c r="V2500" i="3"/>
  <c r="W2500" i="3" s="1"/>
  <c r="V2583" i="3"/>
  <c r="W2583" i="3" s="1"/>
  <c r="V2623" i="3"/>
  <c r="W2623" i="3" s="1"/>
  <c r="V2649" i="3"/>
  <c r="W2649" i="3" s="1"/>
  <c r="V2672" i="3"/>
  <c r="W2672" i="3" s="1"/>
  <c r="V2684" i="3"/>
  <c r="W2684" i="3" s="1"/>
  <c r="V2700" i="3"/>
  <c r="W2700" i="3" s="1"/>
  <c r="V2709" i="3"/>
  <c r="W2709" i="3" s="1"/>
  <c r="V2848" i="3"/>
  <c r="W2848" i="3" s="1"/>
  <c r="V2853" i="3"/>
  <c r="W2853" i="3" s="1"/>
  <c r="V2995" i="3"/>
  <c r="W2995" i="3" s="1"/>
  <c r="V3029" i="3"/>
  <c r="W3029" i="3" s="1"/>
  <c r="V3069" i="3"/>
  <c r="W3069" i="3" s="1"/>
  <c r="V3100" i="3"/>
  <c r="W3100" i="3" s="1"/>
  <c r="V3199" i="3"/>
  <c r="W3199" i="3" s="1"/>
  <c r="V3249" i="3"/>
  <c r="W3249" i="3" s="1"/>
  <c r="V3258" i="3"/>
  <c r="W3258" i="3" s="1"/>
  <c r="V3270" i="3"/>
  <c r="W3270" i="3" s="1"/>
  <c r="V3300" i="3"/>
  <c r="W3300" i="3" s="1"/>
  <c r="V3395" i="3"/>
  <c r="W3395" i="3" s="1"/>
  <c r="V3445" i="3"/>
  <c r="W3445" i="3" s="1"/>
  <c r="V3525" i="3"/>
  <c r="W3525" i="3" s="1"/>
  <c r="V3636" i="3"/>
  <c r="W3636" i="3" s="1"/>
  <c r="V3697" i="3"/>
  <c r="W3697" i="3" s="1"/>
  <c r="V3714" i="3"/>
  <c r="W3714" i="3" s="1"/>
  <c r="V3764" i="3"/>
  <c r="W3764" i="3" s="1"/>
  <c r="V3819" i="3"/>
  <c r="W3819" i="3" s="1"/>
  <c r="V3843" i="3"/>
  <c r="W3843" i="3" s="1"/>
  <c r="V3850" i="3"/>
  <c r="W3850" i="3" s="1"/>
  <c r="V3853" i="3"/>
  <c r="W3853" i="3" s="1"/>
  <c r="V3855" i="3"/>
  <c r="W3855" i="3" s="1"/>
  <c r="V3864" i="3"/>
  <c r="W3864" i="3" s="1"/>
  <c r="V3883" i="3"/>
  <c r="W3883" i="3" s="1"/>
  <c r="V3885" i="3"/>
  <c r="W3885" i="3" s="1"/>
  <c r="V3964" i="3"/>
  <c r="W3964" i="3" s="1"/>
  <c r="V3975" i="3"/>
  <c r="W3975" i="3" s="1"/>
  <c r="V3995" i="3"/>
  <c r="W3995" i="3" s="1"/>
  <c r="V4026" i="3"/>
  <c r="W4026" i="3" s="1"/>
  <c r="V4035" i="3"/>
  <c r="W4035" i="3" s="1"/>
  <c r="V4127" i="3"/>
  <c r="W4127" i="3" s="1"/>
  <c r="V4164" i="3"/>
  <c r="W4164" i="3" s="1"/>
  <c r="V4182" i="3"/>
  <c r="W4182" i="3" s="1"/>
  <c r="V4230" i="3"/>
  <c r="W4230" i="3" s="1"/>
  <c r="V4365" i="3"/>
  <c r="W4365" i="3" s="1"/>
  <c r="V4413" i="3"/>
  <c r="W4413" i="3" s="1"/>
  <c r="V4503" i="3"/>
  <c r="W4503" i="3" s="1"/>
  <c r="V4599" i="3"/>
  <c r="W4599" i="3" s="1"/>
  <c r="V4608" i="3"/>
  <c r="W4608" i="3" s="1"/>
  <c r="V4650" i="3"/>
  <c r="W4650" i="3" s="1"/>
  <c r="V4662" i="3"/>
  <c r="W4662" i="3" s="1"/>
  <c r="V4827" i="3"/>
  <c r="W4827" i="3" s="1"/>
  <c r="V32" i="3"/>
  <c r="W32" i="3" s="1"/>
  <c r="V35" i="3"/>
  <c r="W35" i="3" s="1"/>
  <c r="V37" i="3"/>
  <c r="W37" i="3" s="1"/>
  <c r="V88" i="3"/>
  <c r="W88" i="3" s="1"/>
  <c r="V108" i="3"/>
  <c r="W108" i="3" s="1"/>
  <c r="V122" i="3"/>
  <c r="W122" i="3" s="1"/>
  <c r="V184" i="3"/>
  <c r="W184" i="3" s="1"/>
  <c r="V211" i="3"/>
  <c r="W211" i="3" s="1"/>
  <c r="V223" i="3"/>
  <c r="W223" i="3" s="1"/>
  <c r="V272" i="3"/>
  <c r="W272" i="3" s="1"/>
  <c r="V283" i="3"/>
  <c r="W283" i="3" s="1"/>
  <c r="V287" i="3"/>
  <c r="W287" i="3" s="1"/>
  <c r="V304" i="3"/>
  <c r="W304" i="3" s="1"/>
  <c r="V329" i="3"/>
  <c r="W329" i="3" s="1"/>
  <c r="V340" i="3"/>
  <c r="W340" i="3" s="1"/>
  <c r="V354" i="3"/>
  <c r="W354" i="3" s="1"/>
  <c r="V414" i="3"/>
  <c r="W414" i="3" s="1"/>
  <c r="V425" i="3"/>
  <c r="W425" i="3" s="1"/>
  <c r="V430" i="3"/>
  <c r="W430" i="3" s="1"/>
  <c r="V460" i="3"/>
  <c r="W460" i="3" s="1"/>
  <c r="V464" i="3"/>
  <c r="W464" i="3" s="1"/>
  <c r="V469" i="3"/>
  <c r="W469" i="3" s="1"/>
  <c r="V484" i="3"/>
  <c r="W484" i="3" s="1"/>
  <c r="V575" i="3"/>
  <c r="W575" i="3" s="1"/>
  <c r="V586" i="3"/>
  <c r="W586" i="3" s="1"/>
  <c r="V598" i="3"/>
  <c r="W598" i="3" s="1"/>
  <c r="V689" i="3"/>
  <c r="W689" i="3" s="1"/>
  <c r="V729" i="3"/>
  <c r="W729" i="3" s="1"/>
  <c r="V805" i="3"/>
  <c r="W805" i="3" s="1"/>
  <c r="V874" i="3"/>
  <c r="W874" i="3" s="1"/>
  <c r="V1078" i="3"/>
  <c r="W1078" i="3" s="1"/>
  <c r="V1080" i="3"/>
  <c r="W1080" i="3" s="1"/>
  <c r="V1081" i="3"/>
  <c r="W1081" i="3" s="1"/>
  <c r="V1092" i="3"/>
  <c r="W1092" i="3" s="1"/>
  <c r="V1102" i="3"/>
  <c r="W1102" i="3" s="1"/>
  <c r="V1103" i="3"/>
  <c r="W1103" i="3" s="1"/>
  <c r="V1115" i="3"/>
  <c r="W1115" i="3" s="1"/>
  <c r="V1176" i="3"/>
  <c r="W1176" i="3" s="1"/>
  <c r="V1308" i="3"/>
  <c r="W1308" i="3" s="1"/>
  <c r="V1339" i="3"/>
  <c r="W1339" i="3" s="1"/>
  <c r="V1340" i="3"/>
  <c r="W1340" i="3" s="1"/>
  <c r="V1352" i="3"/>
  <c r="W1352" i="3" s="1"/>
  <c r="V1374" i="3"/>
  <c r="W1374" i="3" s="1"/>
  <c r="V1386" i="3"/>
  <c r="W1386" i="3" s="1"/>
  <c r="V1404" i="3"/>
  <c r="W1404" i="3" s="1"/>
  <c r="V1414" i="3"/>
  <c r="W1414" i="3" s="1"/>
  <c r="V1432" i="3"/>
  <c r="W1432" i="3" s="1"/>
  <c r="V1464" i="3"/>
  <c r="W1464" i="3" s="1"/>
  <c r="V1476" i="3"/>
  <c r="W1476" i="3" s="1"/>
  <c r="V1497" i="3"/>
  <c r="W1497" i="3" s="1"/>
  <c r="V1503" i="3"/>
  <c r="W1503" i="3" s="1"/>
  <c r="V1525" i="3"/>
  <c r="W1525" i="3" s="1"/>
  <c r="V1567" i="3"/>
  <c r="W1567" i="3" s="1"/>
  <c r="V1612" i="3"/>
  <c r="W1612" i="3" s="1"/>
  <c r="V1623" i="3"/>
  <c r="W1623" i="3" s="1"/>
  <c r="V1653" i="3"/>
  <c r="W1653" i="3" s="1"/>
  <c r="V1687" i="3"/>
  <c r="W1687" i="3" s="1"/>
  <c r="V1699" i="3"/>
  <c r="W1699" i="3" s="1"/>
  <c r="V1716" i="3"/>
  <c r="W1716" i="3" s="1"/>
  <c r="V1720" i="3"/>
  <c r="W1720" i="3" s="1"/>
  <c r="V1747" i="3"/>
  <c r="W1747" i="3" s="1"/>
  <c r="V1756" i="3"/>
  <c r="W1756" i="3" s="1"/>
  <c r="V1808" i="3"/>
  <c r="W1808" i="3" s="1"/>
  <c r="V1817" i="3"/>
  <c r="W1817" i="3" s="1"/>
  <c r="V1855" i="3"/>
  <c r="W1855" i="3" s="1"/>
  <c r="V1918" i="3"/>
  <c r="W1918" i="3" s="1"/>
  <c r="V1940" i="3"/>
  <c r="W1940" i="3" s="1"/>
  <c r="V1944" i="3"/>
  <c r="W1944" i="3" s="1"/>
  <c r="V1952" i="3"/>
  <c r="W1952" i="3" s="1"/>
  <c r="V1955" i="3"/>
  <c r="W1955" i="3" s="1"/>
  <c r="V1957" i="3"/>
  <c r="W1957" i="3" s="1"/>
  <c r="V1993" i="3"/>
  <c r="W1993" i="3" s="1"/>
  <c r="V2036" i="3"/>
  <c r="W2036" i="3" s="1"/>
  <c r="V2053" i="3"/>
  <c r="W2053" i="3" s="1"/>
  <c r="V2058" i="3"/>
  <c r="W2058" i="3" s="1"/>
  <c r="V2070" i="3"/>
  <c r="W2070" i="3" s="1"/>
  <c r="V2080" i="3"/>
  <c r="W2080" i="3" s="1"/>
  <c r="V2083" i="3"/>
  <c r="W2083" i="3" s="1"/>
  <c r="V2134" i="3"/>
  <c r="W2134" i="3" s="1"/>
  <c r="V2147" i="3"/>
  <c r="W2147" i="3" s="1"/>
  <c r="V2246" i="3"/>
  <c r="W2246" i="3" s="1"/>
  <c r="V2279" i="3"/>
  <c r="W2279" i="3" s="1"/>
  <c r="V2309" i="3"/>
  <c r="W2309" i="3" s="1"/>
  <c r="V2352" i="3"/>
  <c r="W2352" i="3" s="1"/>
  <c r="V2395" i="3"/>
  <c r="W2395" i="3" s="1"/>
  <c r="V2435" i="3"/>
  <c r="W2435" i="3" s="1"/>
  <c r="V2464" i="3"/>
  <c r="W2464" i="3" s="1"/>
  <c r="V2479" i="3"/>
  <c r="W2479" i="3" s="1"/>
  <c r="V2516" i="3"/>
  <c r="W2516" i="3" s="1"/>
  <c r="V2550" i="3"/>
  <c r="W2550" i="3" s="1"/>
  <c r="V2646" i="3"/>
  <c r="W2646" i="3" s="1"/>
  <c r="V2652" i="3"/>
  <c r="W2652" i="3" s="1"/>
  <c r="V2668" i="3"/>
  <c r="W2668" i="3" s="1"/>
  <c r="V2734" i="3"/>
  <c r="W2734" i="3" s="1"/>
  <c r="V2763" i="3"/>
  <c r="W2763" i="3" s="1"/>
  <c r="V2778" i="3"/>
  <c r="W2778" i="3" s="1"/>
  <c r="V2817" i="3"/>
  <c r="W2817" i="3" s="1"/>
  <c r="V2822" i="3"/>
  <c r="W2822" i="3" s="1"/>
  <c r="V2865" i="3"/>
  <c r="W2865" i="3" s="1"/>
  <c r="V2911" i="3"/>
  <c r="W2911" i="3" s="1"/>
  <c r="V2938" i="3"/>
  <c r="W2938" i="3" s="1"/>
  <c r="V2963" i="3"/>
  <c r="W2963" i="3" s="1"/>
  <c r="V2985" i="3"/>
  <c r="W2985" i="3" s="1"/>
  <c r="V3004" i="3"/>
  <c r="W3004" i="3" s="1"/>
  <c r="V3007" i="3"/>
  <c r="W3007" i="3" s="1"/>
  <c r="V3131" i="3"/>
  <c r="W3131" i="3" s="1"/>
  <c r="V3160" i="3"/>
  <c r="W3160" i="3" s="1"/>
  <c r="V3164" i="3"/>
  <c r="W3164" i="3" s="1"/>
  <c r="V3173" i="3"/>
  <c r="W3173" i="3" s="1"/>
  <c r="V3227" i="3"/>
  <c r="W3227" i="3" s="1"/>
  <c r="V3262" i="3"/>
  <c r="W3262" i="3" s="1"/>
  <c r="V3301" i="3"/>
  <c r="W3301" i="3" s="1"/>
  <c r="V3304" i="3"/>
  <c r="W3304" i="3" s="1"/>
  <c r="V3332" i="3"/>
  <c r="W3332" i="3" s="1"/>
  <c r="V3365" i="3"/>
  <c r="W3365" i="3" s="1"/>
  <c r="V3388" i="3"/>
  <c r="W3388" i="3" s="1"/>
  <c r="V3426" i="3"/>
  <c r="W3426" i="3" s="1"/>
  <c r="V3513" i="3"/>
  <c r="W3513" i="3" s="1"/>
  <c r="V3532" i="3"/>
  <c r="W3532" i="3" s="1"/>
  <c r="V3583" i="3"/>
  <c r="W3583" i="3" s="1"/>
  <c r="V3585" i="3"/>
  <c r="W3585" i="3" s="1"/>
  <c r="V3595" i="3"/>
  <c r="W3595" i="3" s="1"/>
  <c r="V3662" i="3"/>
  <c r="W3662" i="3" s="1"/>
  <c r="V3683" i="3"/>
  <c r="W3683" i="3" s="1"/>
  <c r="V3712" i="3"/>
  <c r="W3712" i="3" s="1"/>
  <c r="V3719" i="3"/>
  <c r="W3719" i="3" s="1"/>
  <c r="V3839" i="3"/>
  <c r="W3839" i="3" s="1"/>
  <c r="V3971" i="3"/>
  <c r="W3971" i="3" s="1"/>
  <c r="V3994" i="3"/>
  <c r="W3994" i="3" s="1"/>
  <c r="V4046" i="3"/>
  <c r="W4046" i="3" s="1"/>
  <c r="V4055" i="3"/>
  <c r="W4055" i="3" s="1"/>
  <c r="V4058" i="3"/>
  <c r="W4058" i="3" s="1"/>
  <c r="V4060" i="3"/>
  <c r="W4060" i="3" s="1"/>
  <c r="V4072" i="3"/>
  <c r="W4072" i="3" s="1"/>
  <c r="V4082" i="3"/>
  <c r="W4082" i="3" s="1"/>
  <c r="V4086" i="3"/>
  <c r="W4086" i="3" s="1"/>
  <c r="V4101" i="3"/>
  <c r="W4101" i="3" s="1"/>
  <c r="V4109" i="3"/>
  <c r="W4109" i="3" s="1"/>
  <c r="V4118" i="3"/>
  <c r="W4118" i="3" s="1"/>
  <c r="V4161" i="3"/>
  <c r="W4161" i="3" s="1"/>
  <c r="V4201" i="3"/>
  <c r="W4201" i="3" s="1"/>
  <c r="V4214" i="3"/>
  <c r="W4214" i="3" s="1"/>
  <c r="V4216" i="3"/>
  <c r="W4216" i="3" s="1"/>
  <c r="V4225" i="3"/>
  <c r="W4225" i="3" s="1"/>
  <c r="V4234" i="3"/>
  <c r="W4234" i="3" s="1"/>
  <c r="V4249" i="3"/>
  <c r="W4249" i="3" s="1"/>
  <c r="V4263" i="3"/>
  <c r="W4263" i="3" s="1"/>
  <c r="V4283" i="3"/>
  <c r="W4283" i="3" s="1"/>
  <c r="V4290" i="3"/>
  <c r="W4290" i="3" s="1"/>
  <c r="V4327" i="3"/>
  <c r="W4327" i="3" s="1"/>
  <c r="V4371" i="3"/>
  <c r="W4371" i="3" s="1"/>
  <c r="V4442" i="3"/>
  <c r="W4442" i="3" s="1"/>
  <c r="V4445" i="3"/>
  <c r="W4445" i="3" s="1"/>
  <c r="V4460" i="3"/>
  <c r="W4460" i="3" s="1"/>
  <c r="V4464" i="3"/>
  <c r="W4464" i="3" s="1"/>
  <c r="V4481" i="3"/>
  <c r="W4481" i="3" s="1"/>
  <c r="V4499" i="3"/>
  <c r="W4499" i="3" s="1"/>
  <c r="V4500" i="3"/>
  <c r="W4500" i="3" s="1"/>
  <c r="V4532" i="3"/>
  <c r="W4532" i="3" s="1"/>
  <c r="V4536" i="3"/>
  <c r="W4536" i="3" s="1"/>
  <c r="V4542" i="3"/>
  <c r="W4542" i="3" s="1"/>
  <c r="V4549" i="3"/>
  <c r="W4549" i="3" s="1"/>
  <c r="V4582" i="3"/>
  <c r="W4582" i="3" s="1"/>
  <c r="V4589" i="3"/>
  <c r="W4589" i="3" s="1"/>
  <c r="V4601" i="3"/>
  <c r="W4601" i="3" s="1"/>
  <c r="V4610" i="3"/>
  <c r="W4610" i="3" s="1"/>
  <c r="V4627" i="3"/>
  <c r="W4627" i="3" s="1"/>
  <c r="V4649" i="3"/>
  <c r="W4649" i="3" s="1"/>
  <c r="V4655" i="3"/>
  <c r="W4655" i="3" s="1"/>
  <c r="V4673" i="3"/>
  <c r="W4673" i="3" s="1"/>
  <c r="V4704" i="3"/>
  <c r="W4704" i="3" s="1"/>
  <c r="V4719" i="3"/>
  <c r="W4719" i="3" s="1"/>
  <c r="V4773" i="3"/>
  <c r="W4773" i="3" s="1"/>
  <c r="V4783" i="3"/>
  <c r="W4783" i="3" s="1"/>
  <c r="V40" i="3"/>
  <c r="W40" i="3" s="1"/>
  <c r="V49" i="3"/>
  <c r="W49" i="3" s="1"/>
  <c r="V79" i="3"/>
  <c r="W79" i="3" s="1"/>
  <c r="V85" i="3"/>
  <c r="W85" i="3" s="1"/>
  <c r="V96" i="3"/>
  <c r="W96" i="3" s="1"/>
  <c r="V210" i="3"/>
  <c r="W210" i="3" s="1"/>
  <c r="V267" i="3"/>
  <c r="W267" i="3" s="1"/>
  <c r="V306" i="3"/>
  <c r="W306" i="3" s="1"/>
  <c r="V311" i="3"/>
  <c r="W311" i="3" s="1"/>
  <c r="V322" i="3"/>
  <c r="W322" i="3" s="1"/>
  <c r="V356" i="3"/>
  <c r="W356" i="3" s="1"/>
  <c r="V381" i="3"/>
  <c r="W381" i="3" s="1"/>
  <c r="V436" i="3"/>
  <c r="W436" i="3" s="1"/>
  <c r="V471" i="3"/>
  <c r="W471" i="3" s="1"/>
  <c r="V475" i="3"/>
  <c r="W475" i="3" s="1"/>
  <c r="V481" i="3"/>
  <c r="W481" i="3" s="1"/>
  <c r="V578" i="3"/>
  <c r="W578" i="3" s="1"/>
  <c r="V596" i="3"/>
  <c r="W596" i="3" s="1"/>
  <c r="V664" i="3"/>
  <c r="W664" i="3" s="1"/>
  <c r="V668" i="3"/>
  <c r="W668" i="3" s="1"/>
  <c r="V683" i="3"/>
  <c r="W683" i="3" s="1"/>
  <c r="V714" i="3"/>
  <c r="W714" i="3" s="1"/>
  <c r="V728" i="3"/>
  <c r="W728" i="3" s="1"/>
  <c r="V734" i="3"/>
  <c r="W734" i="3" s="1"/>
  <c r="V757" i="3"/>
  <c r="W757" i="3" s="1"/>
  <c r="V822" i="3"/>
  <c r="W822" i="3" s="1"/>
  <c r="V906" i="3"/>
  <c r="W906" i="3" s="1"/>
  <c r="V979" i="3"/>
  <c r="W979" i="3" s="1"/>
  <c r="V998" i="3"/>
  <c r="W998" i="3" s="1"/>
  <c r="V1057" i="3"/>
  <c r="W1057" i="3" s="1"/>
  <c r="V1116" i="3"/>
  <c r="W1116" i="3" s="1"/>
  <c r="V1117" i="3"/>
  <c r="W1117" i="3" s="1"/>
  <c r="V1125" i="3"/>
  <c r="W1125" i="3" s="1"/>
  <c r="V1150" i="3"/>
  <c r="W1150" i="3" s="1"/>
  <c r="V1166" i="3"/>
  <c r="W1166" i="3" s="1"/>
  <c r="V1198" i="3"/>
  <c r="W1198" i="3" s="1"/>
  <c r="V1251" i="3"/>
  <c r="W1251" i="3" s="1"/>
  <c r="V1258" i="3"/>
  <c r="W1258" i="3" s="1"/>
  <c r="V1348" i="3"/>
  <c r="W1348" i="3" s="1"/>
  <c r="V1388" i="3"/>
  <c r="W1388" i="3" s="1"/>
  <c r="V1410" i="3"/>
  <c r="W1410" i="3" s="1"/>
  <c r="V1437" i="3"/>
  <c r="W1437" i="3" s="1"/>
  <c r="V1443" i="3"/>
  <c r="W1443" i="3" s="1"/>
  <c r="V1468" i="3"/>
  <c r="W1468" i="3" s="1"/>
  <c r="V1521" i="3"/>
  <c r="W1521" i="3" s="1"/>
  <c r="V1625" i="3"/>
  <c r="W1625" i="3" s="1"/>
  <c r="V1626" i="3"/>
  <c r="W1626" i="3" s="1"/>
  <c r="V1628" i="3"/>
  <c r="W1628" i="3" s="1"/>
  <c r="V1669" i="3"/>
  <c r="W1669" i="3" s="1"/>
  <c r="V1673" i="3"/>
  <c r="W1673" i="3" s="1"/>
  <c r="V1775" i="3"/>
  <c r="W1775" i="3" s="1"/>
  <c r="V1778" i="3"/>
  <c r="W1778" i="3" s="1"/>
  <c r="V1779" i="3"/>
  <c r="W1779" i="3" s="1"/>
  <c r="V1816" i="3"/>
  <c r="W1816" i="3" s="1"/>
  <c r="V1841" i="3"/>
  <c r="W1841" i="3" s="1"/>
  <c r="V1844" i="3"/>
  <c r="W1844" i="3" s="1"/>
  <c r="V1852" i="3"/>
  <c r="W1852" i="3" s="1"/>
  <c r="V1914" i="3"/>
  <c r="W1914" i="3" s="1"/>
  <c r="V1983" i="3"/>
  <c r="W1983" i="3" s="1"/>
  <c r="V1990" i="3"/>
  <c r="W1990" i="3" s="1"/>
  <c r="V1994" i="3"/>
  <c r="W1994" i="3" s="1"/>
  <c r="V2047" i="3"/>
  <c r="W2047" i="3" s="1"/>
  <c r="V2075" i="3"/>
  <c r="W2075" i="3" s="1"/>
  <c r="V2164" i="3"/>
  <c r="W2164" i="3" s="1"/>
  <c r="V2201" i="3"/>
  <c r="W2201" i="3" s="1"/>
  <c r="V2284" i="3"/>
  <c r="W2284" i="3" s="1"/>
  <c r="V2331" i="3"/>
  <c r="W2331" i="3" s="1"/>
  <c r="V2362" i="3"/>
  <c r="W2362" i="3" s="1"/>
  <c r="V2363" i="3"/>
  <c r="W2363" i="3" s="1"/>
  <c r="V2365" i="3"/>
  <c r="W2365" i="3" s="1"/>
  <c r="V2388" i="3"/>
  <c r="W2388" i="3" s="1"/>
  <c r="V2401" i="3"/>
  <c r="W2401" i="3" s="1"/>
  <c r="V2408" i="3"/>
  <c r="W2408" i="3" s="1"/>
  <c r="V2415" i="3"/>
  <c r="W2415" i="3" s="1"/>
  <c r="V2449" i="3"/>
  <c r="W2449" i="3" s="1"/>
  <c r="V2455" i="3"/>
  <c r="W2455" i="3" s="1"/>
  <c r="V2466" i="3"/>
  <c r="W2466" i="3" s="1"/>
  <c r="V2569" i="3"/>
  <c r="W2569" i="3" s="1"/>
  <c r="V2574" i="3"/>
  <c r="W2574" i="3" s="1"/>
  <c r="V2582" i="3"/>
  <c r="W2582" i="3" s="1"/>
  <c r="V2624" i="3"/>
  <c r="W2624" i="3" s="1"/>
  <c r="V2637" i="3"/>
  <c r="W2637" i="3" s="1"/>
  <c r="V2740" i="3"/>
  <c r="W2740" i="3" s="1"/>
  <c r="V2760" i="3"/>
  <c r="W2760" i="3" s="1"/>
  <c r="V2762" i="3"/>
  <c r="W2762" i="3" s="1"/>
  <c r="V2861" i="3"/>
  <c r="W2861" i="3" s="1"/>
  <c r="V2913" i="3"/>
  <c r="W2913" i="3" s="1"/>
  <c r="V2923" i="3"/>
  <c r="W2923" i="3" s="1"/>
  <c r="V2973" i="3"/>
  <c r="W2973" i="3" s="1"/>
  <c r="V3035" i="3"/>
  <c r="W3035" i="3" s="1"/>
  <c r="V3066" i="3"/>
  <c r="W3066" i="3" s="1"/>
  <c r="V3084" i="3"/>
  <c r="W3084" i="3" s="1"/>
  <c r="V3097" i="3"/>
  <c r="W3097" i="3" s="1"/>
  <c r="V3185" i="3"/>
  <c r="W3185" i="3" s="1"/>
  <c r="V3225" i="3"/>
  <c r="W3225" i="3" s="1"/>
  <c r="V3243" i="3"/>
  <c r="W3243" i="3" s="1"/>
  <c r="V3274" i="3"/>
  <c r="W3274" i="3" s="1"/>
  <c r="V3278" i="3"/>
  <c r="W3278" i="3" s="1"/>
  <c r="V3348" i="3"/>
  <c r="W3348" i="3" s="1"/>
  <c r="V3351" i="3"/>
  <c r="W3351" i="3" s="1"/>
  <c r="V3436" i="3"/>
  <c r="W3436" i="3" s="1"/>
  <c r="V3470" i="3"/>
  <c r="W3470" i="3" s="1"/>
  <c r="V3504" i="3"/>
  <c r="W3504" i="3" s="1"/>
  <c r="V3566" i="3"/>
  <c r="W3566" i="3" s="1"/>
  <c r="V3570" i="3"/>
  <c r="W3570" i="3" s="1"/>
  <c r="V3813" i="3"/>
  <c r="W3813" i="3" s="1"/>
  <c r="V3820" i="3"/>
  <c r="W3820" i="3" s="1"/>
  <c r="V3872" i="3"/>
  <c r="W3872" i="3" s="1"/>
  <c r="V3970" i="3"/>
  <c r="W3970" i="3" s="1"/>
  <c r="V4043" i="3"/>
  <c r="W4043" i="3" s="1"/>
  <c r="V4064" i="3"/>
  <c r="W4064" i="3" s="1"/>
  <c r="V4071" i="3"/>
  <c r="W4071" i="3" s="1"/>
  <c r="V4100" i="3"/>
  <c r="W4100" i="3" s="1"/>
  <c r="V4136" i="3"/>
  <c r="W4136" i="3" s="1"/>
  <c r="V4168" i="3"/>
  <c r="W4168" i="3" s="1"/>
  <c r="V4203" i="3"/>
  <c r="W4203" i="3" s="1"/>
  <c r="V4299" i="3"/>
  <c r="W4299" i="3" s="1"/>
  <c r="V4409" i="3"/>
  <c r="W4409" i="3" s="1"/>
  <c r="V4465" i="3"/>
  <c r="W4465" i="3" s="1"/>
  <c r="V4507" i="3"/>
  <c r="W4507" i="3" s="1"/>
  <c r="V4521" i="3"/>
  <c r="W4521" i="3" s="1"/>
  <c r="V4557" i="3"/>
  <c r="W4557" i="3" s="1"/>
  <c r="V4586" i="3"/>
  <c r="W4586" i="3" s="1"/>
  <c r="V4647" i="3"/>
  <c r="W4647" i="3" s="1"/>
  <c r="V4653" i="3"/>
  <c r="W4653" i="3" s="1"/>
  <c r="V4678" i="3"/>
  <c r="W4678" i="3" s="1"/>
  <c r="V4700" i="3"/>
  <c r="W4700" i="3" s="1"/>
  <c r="V4731" i="3"/>
  <c r="W4731" i="3" s="1"/>
  <c r="V4776" i="3"/>
  <c r="W4776" i="3" s="1"/>
  <c r="V4797" i="3"/>
  <c r="W4797" i="3" s="1"/>
  <c r="V9" i="3"/>
  <c r="W9" i="3" s="1"/>
  <c r="V125" i="3"/>
  <c r="W125" i="3" s="1"/>
  <c r="V140" i="3"/>
  <c r="W140" i="3" s="1"/>
  <c r="V364" i="3"/>
  <c r="W364" i="3" s="1"/>
  <c r="V413" i="3"/>
  <c r="W413" i="3" s="1"/>
  <c r="V496" i="3"/>
  <c r="W496" i="3" s="1"/>
  <c r="V769" i="3"/>
  <c r="W769" i="3" s="1"/>
  <c r="V836" i="3"/>
  <c r="W836" i="3" s="1"/>
  <c r="V852" i="3"/>
  <c r="W852" i="3" s="1"/>
  <c r="V883" i="3"/>
  <c r="W883" i="3" s="1"/>
  <c r="V977" i="3"/>
  <c r="W977" i="3" s="1"/>
  <c r="V1090" i="3"/>
  <c r="W1090" i="3" s="1"/>
  <c r="V1164" i="3"/>
  <c r="W1164" i="3" s="1"/>
  <c r="V1173" i="3"/>
  <c r="W1173" i="3" s="1"/>
  <c r="V1201" i="3"/>
  <c r="W1201" i="3" s="1"/>
  <c r="V1289" i="3"/>
  <c r="W1289" i="3" s="1"/>
  <c r="V1326" i="3"/>
  <c r="W1326" i="3" s="1"/>
  <c r="V1366" i="3"/>
  <c r="W1366" i="3" s="1"/>
  <c r="V1385" i="3"/>
  <c r="W1385" i="3" s="1"/>
  <c r="V1588" i="3"/>
  <c r="W1588" i="3" s="1"/>
  <c r="V1619" i="3"/>
  <c r="W1619" i="3" s="1"/>
  <c r="V1634" i="3"/>
  <c r="W1634" i="3" s="1"/>
  <c r="V1686" i="3"/>
  <c r="W1686" i="3" s="1"/>
  <c r="V1760" i="3"/>
  <c r="W1760" i="3" s="1"/>
  <c r="V1770" i="3"/>
  <c r="W1770" i="3" s="1"/>
  <c r="V1836" i="3"/>
  <c r="W1836" i="3" s="1"/>
  <c r="V1840" i="3"/>
  <c r="W1840" i="3" s="1"/>
  <c r="V1930" i="3"/>
  <c r="W1930" i="3" s="1"/>
  <c r="V1941" i="3"/>
  <c r="W1941" i="3" s="1"/>
  <c r="V1982" i="3"/>
  <c r="W1982" i="3" s="1"/>
  <c r="V2020" i="3"/>
  <c r="W2020" i="3" s="1"/>
  <c r="V2078" i="3"/>
  <c r="W2078" i="3" s="1"/>
  <c r="V2131" i="3"/>
  <c r="W2131" i="3" s="1"/>
  <c r="V2213" i="3"/>
  <c r="W2213" i="3" s="1"/>
  <c r="V2512" i="3"/>
  <c r="W2512" i="3" s="1"/>
  <c r="V2519" i="3"/>
  <c r="W2519" i="3" s="1"/>
  <c r="V2533" i="3"/>
  <c r="W2533" i="3" s="1"/>
  <c r="V2541" i="3"/>
  <c r="W2541" i="3" s="1"/>
  <c r="V2559" i="3"/>
  <c r="W2559" i="3" s="1"/>
  <c r="V2669" i="3"/>
  <c r="W2669" i="3" s="1"/>
  <c r="V2844" i="3"/>
  <c r="W2844" i="3" s="1"/>
  <c r="V2862" i="3"/>
  <c r="W2862" i="3" s="1"/>
  <c r="V2882" i="3"/>
  <c r="W2882" i="3" s="1"/>
  <c r="V3050" i="3"/>
  <c r="W3050" i="3" s="1"/>
  <c r="V3116" i="3"/>
  <c r="W3116" i="3" s="1"/>
  <c r="V3178" i="3"/>
  <c r="W3178" i="3" s="1"/>
  <c r="V3255" i="3"/>
  <c r="W3255" i="3" s="1"/>
  <c r="V3339" i="3"/>
  <c r="W3339" i="3" s="1"/>
  <c r="V3377" i="3"/>
  <c r="W3377" i="3" s="1"/>
  <c r="V3383" i="3"/>
  <c r="W3383" i="3" s="1"/>
  <c r="V3410" i="3"/>
  <c r="W3410" i="3" s="1"/>
  <c r="V3468" i="3"/>
  <c r="W3468" i="3" s="1"/>
  <c r="V3499" i="3"/>
  <c r="W3499" i="3" s="1"/>
  <c r="V3520" i="3"/>
  <c r="W3520" i="3" s="1"/>
  <c r="V3624" i="3"/>
  <c r="W3624" i="3" s="1"/>
  <c r="V3656" i="3"/>
  <c r="W3656" i="3" s="1"/>
  <c r="V3672" i="3"/>
  <c r="W3672" i="3" s="1"/>
  <c r="V3703" i="3"/>
  <c r="W3703" i="3" s="1"/>
  <c r="V3860" i="3"/>
  <c r="W3860" i="3" s="1"/>
  <c r="V3957" i="3"/>
  <c r="W3957" i="3" s="1"/>
  <c r="V4005" i="3"/>
  <c r="W4005" i="3" s="1"/>
  <c r="V4040" i="3"/>
  <c r="W4040" i="3" s="1"/>
  <c r="V4047" i="3"/>
  <c r="W4047" i="3" s="1"/>
  <c r="V4063" i="3"/>
  <c r="W4063" i="3" s="1"/>
  <c r="V4084" i="3"/>
  <c r="W4084" i="3" s="1"/>
  <c r="V4112" i="3"/>
  <c r="W4112" i="3" s="1"/>
  <c r="V4121" i="3"/>
  <c r="W4121" i="3" s="1"/>
  <c r="V4281" i="3"/>
  <c r="W4281" i="3" s="1"/>
  <c r="V4291" i="3"/>
  <c r="W4291" i="3" s="1"/>
  <c r="V4310" i="3"/>
  <c r="W4310" i="3" s="1"/>
  <c r="V4354" i="3"/>
  <c r="W4354" i="3" s="1"/>
  <c r="V4489" i="3"/>
  <c r="W4489" i="3" s="1"/>
  <c r="V4556" i="3"/>
  <c r="W4556" i="3" s="1"/>
  <c r="V4571" i="3"/>
  <c r="W4571" i="3" s="1"/>
  <c r="V4576" i="3"/>
  <c r="W4576" i="3" s="1"/>
  <c r="V4715" i="3"/>
  <c r="W4715" i="3" s="1"/>
  <c r="V4743" i="3"/>
  <c r="W4743" i="3" s="1"/>
  <c r="V4752" i="3"/>
  <c r="W4752" i="3" s="1"/>
  <c r="V109" i="3"/>
  <c r="W109" i="3" s="1"/>
  <c r="V161" i="3"/>
  <c r="W161" i="3" s="1"/>
  <c r="V186" i="3"/>
  <c r="W186" i="3" s="1"/>
  <c r="V435" i="3"/>
  <c r="W435" i="3" s="1"/>
  <c r="V455" i="3"/>
  <c r="W455" i="3" s="1"/>
  <c r="V457" i="3"/>
  <c r="W457" i="3" s="1"/>
  <c r="V477" i="3"/>
  <c r="W477" i="3" s="1"/>
  <c r="V503" i="3"/>
  <c r="W503" i="3" s="1"/>
  <c r="V554" i="3"/>
  <c r="W554" i="3" s="1"/>
  <c r="V603" i="3"/>
  <c r="W603" i="3" s="1"/>
  <c r="V639" i="3"/>
  <c r="W639" i="3" s="1"/>
  <c r="V665" i="3"/>
  <c r="W665" i="3" s="1"/>
  <c r="V776" i="3"/>
  <c r="W776" i="3" s="1"/>
  <c r="V958" i="3"/>
  <c r="W958" i="3" s="1"/>
  <c r="V1062" i="3"/>
  <c r="W1062" i="3" s="1"/>
  <c r="V1136" i="3"/>
  <c r="W1136" i="3" s="1"/>
  <c r="V1252" i="3"/>
  <c r="W1252" i="3" s="1"/>
  <c r="V1263" i="3"/>
  <c r="W1263" i="3" s="1"/>
  <c r="V1269" i="3"/>
  <c r="W1269" i="3" s="1"/>
  <c r="V1396" i="3"/>
  <c r="W1396" i="3" s="1"/>
  <c r="V1474" i="3"/>
  <c r="W1474" i="3" s="1"/>
  <c r="V1585" i="3"/>
  <c r="W1585" i="3" s="1"/>
  <c r="V1621" i="3"/>
  <c r="W1621" i="3" s="1"/>
  <c r="V1676" i="3"/>
  <c r="W1676" i="3" s="1"/>
  <c r="V1693" i="3"/>
  <c r="W1693" i="3" s="1"/>
  <c r="V1702" i="3"/>
  <c r="W1702" i="3" s="1"/>
  <c r="V1711" i="3"/>
  <c r="W1711" i="3" s="1"/>
  <c r="V1798" i="3"/>
  <c r="W1798" i="3" s="1"/>
  <c r="V2178" i="3"/>
  <c r="W2178" i="3" s="1"/>
  <c r="V2237" i="3"/>
  <c r="W2237" i="3" s="1"/>
  <c r="V2314" i="3"/>
  <c r="W2314" i="3" s="1"/>
  <c r="V2339" i="3"/>
  <c r="W2339" i="3" s="1"/>
  <c r="V2372" i="3"/>
  <c r="W2372" i="3" s="1"/>
  <c r="V2439" i="3"/>
  <c r="W2439" i="3" s="1"/>
  <c r="V2567" i="3"/>
  <c r="W2567" i="3" s="1"/>
  <c r="V2629" i="3"/>
  <c r="W2629" i="3" s="1"/>
  <c r="V2702" i="3"/>
  <c r="W2702" i="3" s="1"/>
  <c r="V2770" i="3"/>
  <c r="W2770" i="3" s="1"/>
  <c r="V2790" i="3"/>
  <c r="W2790" i="3" s="1"/>
  <c r="V3000" i="3"/>
  <c r="W3000" i="3" s="1"/>
  <c r="V3018" i="3"/>
  <c r="W3018" i="3" s="1"/>
  <c r="V3024" i="3"/>
  <c r="W3024" i="3" s="1"/>
  <c r="V3090" i="3"/>
  <c r="W3090" i="3" s="1"/>
  <c r="V3172" i="3"/>
  <c r="W3172" i="3" s="1"/>
  <c r="V3375" i="3"/>
  <c r="W3375" i="3" s="1"/>
  <c r="V3447" i="3"/>
  <c r="W3447" i="3" s="1"/>
  <c r="V3505" i="3"/>
  <c r="W3505" i="3" s="1"/>
  <c r="V3628" i="3"/>
  <c r="W3628" i="3" s="1"/>
  <c r="V3715" i="3"/>
  <c r="W3715" i="3" s="1"/>
  <c r="V3728" i="3"/>
  <c r="W3728" i="3" s="1"/>
  <c r="V3735" i="3"/>
  <c r="W3735" i="3" s="1"/>
  <c r="V3790" i="3"/>
  <c r="W3790" i="3" s="1"/>
  <c r="V3907" i="3"/>
  <c r="W3907" i="3" s="1"/>
  <c r="V3952" i="3"/>
  <c r="W3952" i="3" s="1"/>
  <c r="V3998" i="3"/>
  <c r="W3998" i="3" s="1"/>
  <c r="V4074" i="3"/>
  <c r="W4074" i="3" s="1"/>
  <c r="V4200" i="3"/>
  <c r="W4200" i="3" s="1"/>
  <c r="V4227" i="3"/>
  <c r="W4227" i="3" s="1"/>
  <c r="V4244" i="3"/>
  <c r="W4244" i="3" s="1"/>
  <c r="V4297" i="3"/>
  <c r="W4297" i="3" s="1"/>
  <c r="V4314" i="3"/>
  <c r="W4314" i="3" s="1"/>
  <c r="V4322" i="3"/>
  <c r="W4322" i="3" s="1"/>
  <c r="V4331" i="3"/>
  <c r="W4331" i="3" s="1"/>
  <c r="V4418" i="3"/>
  <c r="W4418" i="3" s="1"/>
  <c r="V4505" i="3"/>
  <c r="W4505" i="3" s="1"/>
  <c r="V4564" i="3"/>
  <c r="W4564" i="3" s="1"/>
  <c r="V4568" i="3"/>
  <c r="W4568" i="3" s="1"/>
  <c r="V4711" i="3"/>
  <c r="W4711" i="3" s="1"/>
  <c r="V4753" i="3"/>
  <c r="W4753" i="3" s="1"/>
  <c r="V765" i="3"/>
  <c r="W765" i="3" s="1"/>
  <c r="V1506" i="3"/>
  <c r="W1506" i="3" s="1"/>
  <c r="V2993" i="3"/>
  <c r="W2993" i="3" s="1"/>
  <c r="V3155" i="3"/>
  <c r="W3155" i="3" s="1"/>
  <c r="V4437" i="3"/>
  <c r="W4437" i="3" s="1"/>
  <c r="V20" i="3"/>
  <c r="W20" i="3" s="1"/>
  <c r="V101" i="3"/>
  <c r="W101" i="3" s="1"/>
  <c r="V160" i="3"/>
  <c r="W160" i="3" s="1"/>
  <c r="V274" i="3"/>
  <c r="W274" i="3" s="1"/>
  <c r="V359" i="3"/>
  <c r="W359" i="3" s="1"/>
  <c r="V380" i="3"/>
  <c r="W380" i="3" s="1"/>
  <c r="V440" i="3"/>
  <c r="W440" i="3" s="1"/>
  <c r="V451" i="3"/>
  <c r="W451" i="3" s="1"/>
  <c r="V559" i="3"/>
  <c r="W559" i="3" s="1"/>
  <c r="V675" i="3"/>
  <c r="W675" i="3" s="1"/>
  <c r="V870" i="3"/>
  <c r="W870" i="3" s="1"/>
  <c r="V914" i="3"/>
  <c r="W914" i="3" s="1"/>
  <c r="V948" i="3"/>
  <c r="W948" i="3" s="1"/>
  <c r="V1089" i="3"/>
  <c r="W1089" i="3" s="1"/>
  <c r="V1142" i="3"/>
  <c r="W1142" i="3" s="1"/>
  <c r="V1213" i="3"/>
  <c r="W1213" i="3" s="1"/>
  <c r="V1215" i="3"/>
  <c r="W1215" i="3" s="1"/>
  <c r="V1297" i="3"/>
  <c r="W1297" i="3" s="1"/>
  <c r="V1361" i="3"/>
  <c r="W1361" i="3" s="1"/>
  <c r="V1370" i="3"/>
  <c r="W1370" i="3" s="1"/>
  <c r="V1399" i="3"/>
  <c r="W1399" i="3" s="1"/>
  <c r="V1456" i="3"/>
  <c r="W1456" i="3" s="1"/>
  <c r="V1563" i="3"/>
  <c r="W1563" i="3" s="1"/>
  <c r="V1586" i="3"/>
  <c r="W1586" i="3" s="1"/>
  <c r="V1661" i="3"/>
  <c r="W1661" i="3" s="1"/>
  <c r="V1679" i="3"/>
  <c r="W1679" i="3" s="1"/>
  <c r="V1684" i="3"/>
  <c r="W1684" i="3" s="1"/>
  <c r="V1758" i="3"/>
  <c r="W1758" i="3" s="1"/>
  <c r="V1831" i="3"/>
  <c r="W1831" i="3" s="1"/>
  <c r="V1866" i="3"/>
  <c r="W1866" i="3" s="1"/>
  <c r="V1873" i="3"/>
  <c r="W1873" i="3" s="1"/>
  <c r="V1879" i="3"/>
  <c r="W1879" i="3" s="1"/>
  <c r="V1885" i="3"/>
  <c r="W1885" i="3" s="1"/>
  <c r="V1889" i="3"/>
  <c r="W1889" i="3" s="1"/>
  <c r="V2060" i="3"/>
  <c r="W2060" i="3" s="1"/>
  <c r="V2090" i="3"/>
  <c r="W2090" i="3" s="1"/>
  <c r="V2151" i="3"/>
  <c r="W2151" i="3" s="1"/>
  <c r="V2200" i="3"/>
  <c r="W2200" i="3" s="1"/>
  <c r="V2285" i="3"/>
  <c r="W2285" i="3" s="1"/>
  <c r="V2676" i="3"/>
  <c r="W2676" i="3" s="1"/>
  <c r="V2715" i="3"/>
  <c r="W2715" i="3" s="1"/>
  <c r="V2732" i="3"/>
  <c r="W2732" i="3" s="1"/>
  <c r="V2786" i="3"/>
  <c r="W2786" i="3" s="1"/>
  <c r="V2802" i="3"/>
  <c r="W2802" i="3" s="1"/>
  <c r="V2872" i="3"/>
  <c r="W2872" i="3" s="1"/>
  <c r="V3037" i="3"/>
  <c r="W3037" i="3" s="1"/>
  <c r="V3177" i="3"/>
  <c r="W3177" i="3" s="1"/>
  <c r="V3234" i="3"/>
  <c r="W3234" i="3" s="1"/>
  <c r="V3290" i="3"/>
  <c r="W3290" i="3" s="1"/>
  <c r="V3293" i="3"/>
  <c r="W3293" i="3" s="1"/>
  <c r="V3420" i="3"/>
  <c r="W3420" i="3" s="1"/>
  <c r="V3429" i="3"/>
  <c r="W3429" i="3" s="1"/>
  <c r="V3434" i="3"/>
  <c r="W3434" i="3" s="1"/>
  <c r="V3685" i="3"/>
  <c r="W3685" i="3" s="1"/>
  <c r="V3709" i="3"/>
  <c r="W3709" i="3" s="1"/>
  <c r="V3744" i="3"/>
  <c r="W3744" i="3" s="1"/>
  <c r="V3838" i="3"/>
  <c r="W3838" i="3" s="1"/>
  <c r="V3876" i="3"/>
  <c r="W3876" i="3" s="1"/>
  <c r="V3881" i="3"/>
  <c r="W3881" i="3" s="1"/>
  <c r="V3896" i="3"/>
  <c r="W3896" i="3" s="1"/>
  <c r="V4050" i="3"/>
  <c r="W4050" i="3" s="1"/>
  <c r="V4097" i="3"/>
  <c r="W4097" i="3" s="1"/>
  <c r="V4163" i="3"/>
  <c r="W4163" i="3" s="1"/>
  <c r="V4175" i="3"/>
  <c r="W4175" i="3" s="1"/>
  <c r="V4273" i="3"/>
  <c r="W4273" i="3" s="1"/>
  <c r="V4307" i="3"/>
  <c r="W4307" i="3" s="1"/>
  <c r="V4404" i="3"/>
  <c r="W4404" i="3" s="1"/>
  <c r="V4423" i="3"/>
  <c r="W4423" i="3" s="1"/>
  <c r="V4432" i="3"/>
  <c r="W4432" i="3" s="1"/>
  <c r="V4493" i="3"/>
  <c r="W4493" i="3" s="1"/>
  <c r="V4559" i="3"/>
  <c r="W4559" i="3" s="1"/>
  <c r="V4588" i="3"/>
  <c r="W4588" i="3" s="1"/>
  <c r="V4692" i="3"/>
  <c r="W4692" i="3" s="1"/>
  <c r="V4724" i="3"/>
  <c r="W4724" i="3" s="1"/>
  <c r="V4730" i="3"/>
  <c r="W4730" i="3" s="1"/>
  <c r="V4732" i="3"/>
  <c r="W4732" i="3" s="1"/>
  <c r="V93" i="3"/>
  <c r="W93" i="3" s="1"/>
  <c r="V100" i="3"/>
  <c r="W100" i="3" s="1"/>
  <c r="V121" i="3"/>
  <c r="W121" i="3" s="1"/>
  <c r="V127" i="3"/>
  <c r="W127" i="3" s="1"/>
  <c r="V252" i="3"/>
  <c r="W252" i="3" s="1"/>
  <c r="V316" i="3"/>
  <c r="W316" i="3" s="1"/>
  <c r="V541" i="3"/>
  <c r="W541" i="3" s="1"/>
  <c r="V611" i="3"/>
  <c r="W611" i="3" s="1"/>
  <c r="V614" i="3"/>
  <c r="W614" i="3" s="1"/>
  <c r="V656" i="3"/>
  <c r="W656" i="3" s="1"/>
  <c r="V896" i="3"/>
  <c r="W896" i="3" s="1"/>
  <c r="V907" i="3"/>
  <c r="W907" i="3" s="1"/>
  <c r="V952" i="3"/>
  <c r="W952" i="3" s="1"/>
  <c r="V989" i="3"/>
  <c r="W989" i="3" s="1"/>
  <c r="V1066" i="3"/>
  <c r="W1066" i="3" s="1"/>
  <c r="V1069" i="3"/>
  <c r="W1069" i="3" s="1"/>
  <c r="V1111" i="3"/>
  <c r="W1111" i="3" s="1"/>
  <c r="V1155" i="3"/>
  <c r="W1155" i="3" s="1"/>
  <c r="V1207" i="3"/>
  <c r="W1207" i="3" s="1"/>
  <c r="V1296" i="3"/>
  <c r="W1296" i="3" s="1"/>
  <c r="V1343" i="3"/>
  <c r="W1343" i="3" s="1"/>
  <c r="V1347" i="3"/>
  <c r="W1347" i="3" s="1"/>
  <c r="V1357" i="3"/>
  <c r="W1357" i="3" s="1"/>
  <c r="V1405" i="3"/>
  <c r="W1405" i="3" s="1"/>
  <c r="V1424" i="3"/>
  <c r="W1424" i="3" s="1"/>
  <c r="V1524" i="3"/>
  <c r="W1524" i="3" s="1"/>
  <c r="V1578" i="3"/>
  <c r="W1578" i="3" s="1"/>
  <c r="V1593" i="3"/>
  <c r="W1593" i="3" s="1"/>
  <c r="V1610" i="3"/>
  <c r="W1610" i="3" s="1"/>
  <c r="V1777" i="3"/>
  <c r="W1777" i="3" s="1"/>
  <c r="V1782" i="3"/>
  <c r="W1782" i="3" s="1"/>
  <c r="V1794" i="3"/>
  <c r="W1794" i="3" s="1"/>
  <c r="V1875" i="3"/>
  <c r="W1875" i="3" s="1"/>
  <c r="V1900" i="3"/>
  <c r="W1900" i="3" s="1"/>
  <c r="V1969" i="3"/>
  <c r="W1969" i="3" s="1"/>
  <c r="V2008" i="3"/>
  <c r="W2008" i="3" s="1"/>
  <c r="V2022" i="3"/>
  <c r="W2022" i="3" s="1"/>
  <c r="V2087" i="3"/>
  <c r="W2087" i="3" s="1"/>
  <c r="V2154" i="3"/>
  <c r="W2154" i="3" s="1"/>
  <c r="V2245" i="3"/>
  <c r="W2245" i="3" s="1"/>
  <c r="V2289" i="3"/>
  <c r="W2289" i="3" s="1"/>
  <c r="V2367" i="3"/>
  <c r="W2367" i="3" s="1"/>
  <c r="V2462" i="3"/>
  <c r="W2462" i="3" s="1"/>
  <c r="V2497" i="3"/>
  <c r="W2497" i="3" s="1"/>
  <c r="V2549" i="3"/>
  <c r="W2549" i="3" s="1"/>
  <c r="V2595" i="3"/>
  <c r="W2595" i="3" s="1"/>
  <c r="V2598" i="3"/>
  <c r="W2598" i="3" s="1"/>
  <c r="V2617" i="3"/>
  <c r="W2617" i="3" s="1"/>
  <c r="V2682" i="3"/>
  <c r="W2682" i="3" s="1"/>
  <c r="V2771" i="3"/>
  <c r="W2771" i="3" s="1"/>
  <c r="V2775" i="3"/>
  <c r="W2775" i="3" s="1"/>
  <c r="V2801" i="3"/>
  <c r="W2801" i="3" s="1"/>
  <c r="V2981" i="3"/>
  <c r="W2981" i="3" s="1"/>
  <c r="V3101" i="3"/>
  <c r="W3101" i="3" s="1"/>
  <c r="V3107" i="3"/>
  <c r="W3107" i="3" s="1"/>
  <c r="V3129" i="3"/>
  <c r="W3129" i="3" s="1"/>
  <c r="V3139" i="3"/>
  <c r="W3139" i="3" s="1"/>
  <c r="V3141" i="3"/>
  <c r="W3141" i="3" s="1"/>
  <c r="V3209" i="3"/>
  <c r="W3209" i="3" s="1"/>
  <c r="V3245" i="3"/>
  <c r="W3245" i="3" s="1"/>
  <c r="V3296" i="3"/>
  <c r="W3296" i="3" s="1"/>
  <c r="V3623" i="3"/>
  <c r="W3623" i="3" s="1"/>
  <c r="V3706" i="3"/>
  <c r="W3706" i="3" s="1"/>
  <c r="V3780" i="3"/>
  <c r="W3780" i="3" s="1"/>
  <c r="V3856" i="3"/>
  <c r="W3856" i="3" s="1"/>
  <c r="V3953" i="3"/>
  <c r="W3953" i="3" s="1"/>
  <c r="V4025" i="3"/>
  <c r="W4025" i="3" s="1"/>
  <c r="V4070" i="3"/>
  <c r="W4070" i="3" s="1"/>
  <c r="V4162" i="3"/>
  <c r="W4162" i="3" s="1"/>
  <c r="V4179" i="3"/>
  <c r="W4179" i="3" s="1"/>
  <c r="V4236" i="3"/>
  <c r="W4236" i="3" s="1"/>
  <c r="V4272" i="3"/>
  <c r="W4272" i="3" s="1"/>
  <c r="V4412" i="3"/>
  <c r="W4412" i="3" s="1"/>
  <c r="V4475" i="3"/>
  <c r="W4475" i="3" s="1"/>
  <c r="V4501" i="3"/>
  <c r="W4501" i="3" s="1"/>
  <c r="V4541" i="3"/>
  <c r="W4541" i="3" s="1"/>
  <c r="V4574" i="3"/>
  <c r="W4574" i="3" s="1"/>
  <c r="V4702" i="3"/>
  <c r="W4702" i="3" s="1"/>
  <c r="V4750" i="3"/>
  <c r="W4750" i="3" s="1"/>
  <c r="V4800" i="3"/>
  <c r="W4800" i="3" s="1"/>
  <c r="V77" i="3"/>
  <c r="W77" i="3" s="1"/>
  <c r="V97" i="3"/>
  <c r="W97" i="3" s="1"/>
  <c r="V102" i="3"/>
  <c r="W102" i="3" s="1"/>
  <c r="V128" i="3"/>
  <c r="W128" i="3" s="1"/>
  <c r="V132" i="3"/>
  <c r="W132" i="3" s="1"/>
  <c r="V134" i="3"/>
  <c r="W134" i="3" s="1"/>
  <c r="V238" i="3"/>
  <c r="W238" i="3" s="1"/>
  <c r="V271" i="3"/>
  <c r="W271" i="3" s="1"/>
  <c r="V307" i="3"/>
  <c r="W307" i="3" s="1"/>
  <c r="V326" i="3"/>
  <c r="W326" i="3" s="1"/>
  <c r="V347" i="3"/>
  <c r="W347" i="3" s="1"/>
  <c r="V399" i="3"/>
  <c r="W399" i="3" s="1"/>
  <c r="V407" i="3"/>
  <c r="W407" i="3" s="1"/>
  <c r="V438" i="3"/>
  <c r="W438" i="3" s="1"/>
  <c r="V510" i="3"/>
  <c r="W510" i="3" s="1"/>
  <c r="V519" i="3"/>
  <c r="W519" i="3" s="1"/>
  <c r="V564" i="3"/>
  <c r="W564" i="3" s="1"/>
  <c r="V616" i="3"/>
  <c r="W616" i="3" s="1"/>
  <c r="V628" i="3"/>
  <c r="W628" i="3" s="1"/>
  <c r="V818" i="3"/>
  <c r="W818" i="3" s="1"/>
  <c r="V825" i="3"/>
  <c r="W825" i="3" s="1"/>
  <c r="V827" i="3"/>
  <c r="W827" i="3" s="1"/>
  <c r="V859" i="3"/>
  <c r="W859" i="3" s="1"/>
  <c r="V968" i="3"/>
  <c r="W968" i="3" s="1"/>
  <c r="V1023" i="3"/>
  <c r="W1023" i="3" s="1"/>
  <c r="V1098" i="3"/>
  <c r="W1098" i="3" s="1"/>
  <c r="V1127" i="3"/>
  <c r="W1127" i="3" s="1"/>
  <c r="V1146" i="3"/>
  <c r="W1146" i="3" s="1"/>
  <c r="V1154" i="3"/>
  <c r="W1154" i="3" s="1"/>
  <c r="V1210" i="3"/>
  <c r="W1210" i="3" s="1"/>
  <c r="V1220" i="3"/>
  <c r="W1220" i="3" s="1"/>
  <c r="V1231" i="3"/>
  <c r="W1231" i="3" s="1"/>
  <c r="V1234" i="3"/>
  <c r="W1234" i="3" s="1"/>
  <c r="V1284" i="3"/>
  <c r="W1284" i="3" s="1"/>
  <c r="V1395" i="3"/>
  <c r="W1395" i="3" s="1"/>
  <c r="V1431" i="3"/>
  <c r="W1431" i="3" s="1"/>
  <c r="V1451" i="3"/>
  <c r="W1451" i="3" s="1"/>
  <c r="V1538" i="3"/>
  <c r="W1538" i="3" s="1"/>
  <c r="V1594" i="3"/>
  <c r="W1594" i="3" s="1"/>
  <c r="V1605" i="3"/>
  <c r="W1605" i="3" s="1"/>
  <c r="V1641" i="3"/>
  <c r="W1641" i="3" s="1"/>
  <c r="V1654" i="3"/>
  <c r="W1654" i="3" s="1"/>
  <c r="V1657" i="3"/>
  <c r="W1657" i="3" s="1"/>
  <c r="V1659" i="3"/>
  <c r="W1659" i="3" s="1"/>
  <c r="V1674" i="3"/>
  <c r="W1674" i="3" s="1"/>
  <c r="V1680" i="3"/>
  <c r="W1680" i="3" s="1"/>
  <c r="V1734" i="3"/>
  <c r="W1734" i="3" s="1"/>
  <c r="V1781" i="3"/>
  <c r="W1781" i="3" s="1"/>
  <c r="V1799" i="3"/>
  <c r="W1799" i="3" s="1"/>
  <c r="V1812" i="3"/>
  <c r="W1812" i="3" s="1"/>
  <c r="V1835" i="3"/>
  <c r="W1835" i="3" s="1"/>
  <c r="V1871" i="3"/>
  <c r="W1871" i="3" s="1"/>
  <c r="V1897" i="3"/>
  <c r="W1897" i="3" s="1"/>
  <c r="V1976" i="3"/>
  <c r="W1976" i="3" s="1"/>
  <c r="V1978" i="3"/>
  <c r="W1978" i="3" s="1"/>
  <c r="V2002" i="3"/>
  <c r="W2002" i="3" s="1"/>
  <c r="V2045" i="3"/>
  <c r="W2045" i="3" s="1"/>
  <c r="V2106" i="3"/>
  <c r="W2106" i="3" s="1"/>
  <c r="V2140" i="3"/>
  <c r="W2140" i="3" s="1"/>
  <c r="V2203" i="3"/>
  <c r="W2203" i="3" s="1"/>
  <c r="V2218" i="3"/>
  <c r="W2218" i="3" s="1"/>
  <c r="V2232" i="3"/>
  <c r="W2232" i="3" s="1"/>
  <c r="V2264" i="3"/>
  <c r="W2264" i="3" s="1"/>
  <c r="V2269" i="3"/>
  <c r="W2269" i="3" s="1"/>
  <c r="V2305" i="3"/>
  <c r="W2305" i="3" s="1"/>
  <c r="V2338" i="3"/>
  <c r="W2338" i="3" s="1"/>
  <c r="V2364" i="3"/>
  <c r="W2364" i="3" s="1"/>
  <c r="V2383" i="3"/>
  <c r="W2383" i="3" s="1"/>
  <c r="V2501" i="3"/>
  <c r="W2501" i="3" s="1"/>
  <c r="V2520" i="3"/>
  <c r="W2520" i="3" s="1"/>
  <c r="V2600" i="3"/>
  <c r="W2600" i="3" s="1"/>
  <c r="V2630" i="3"/>
  <c r="W2630" i="3" s="1"/>
  <c r="V2635" i="3"/>
  <c r="W2635" i="3" s="1"/>
  <c r="V2741" i="3"/>
  <c r="W2741" i="3" s="1"/>
  <c r="V2807" i="3"/>
  <c r="W2807" i="3" s="1"/>
  <c r="V2884" i="3"/>
  <c r="W2884" i="3" s="1"/>
  <c r="V2907" i="3"/>
  <c r="W2907" i="3" s="1"/>
  <c r="V2914" i="3"/>
  <c r="W2914" i="3" s="1"/>
  <c r="V2975" i="3"/>
  <c r="W2975" i="3" s="1"/>
  <c r="V3042" i="3"/>
  <c r="W3042" i="3" s="1"/>
  <c r="V3114" i="3"/>
  <c r="W3114" i="3" s="1"/>
  <c r="V3130" i="3"/>
  <c r="W3130" i="3" s="1"/>
  <c r="V3144" i="3"/>
  <c r="W3144" i="3" s="1"/>
  <c r="V3171" i="3"/>
  <c r="W3171" i="3" s="1"/>
  <c r="V3184" i="3"/>
  <c r="W3184" i="3" s="1"/>
  <c r="V3190" i="3"/>
  <c r="W3190" i="3" s="1"/>
  <c r="V3218" i="3"/>
  <c r="W3218" i="3" s="1"/>
  <c r="V3231" i="3"/>
  <c r="W3231" i="3" s="1"/>
  <c r="V3239" i="3"/>
  <c r="W3239" i="3" s="1"/>
  <c r="V3276" i="3"/>
  <c r="W3276" i="3" s="1"/>
  <c r="V3345" i="3"/>
  <c r="W3345" i="3" s="1"/>
  <c r="V3361" i="3"/>
  <c r="W3361" i="3" s="1"/>
  <c r="V3401" i="3"/>
  <c r="W3401" i="3" s="1"/>
  <c r="V3411" i="3"/>
  <c r="W3411" i="3" s="1"/>
  <c r="V3500" i="3"/>
  <c r="W3500" i="3" s="1"/>
  <c r="V3546" i="3"/>
  <c r="W3546" i="3" s="1"/>
  <c r="V3562" i="3"/>
  <c r="W3562" i="3" s="1"/>
  <c r="V3572" i="3"/>
  <c r="W3572" i="3" s="1"/>
  <c r="V3612" i="3"/>
  <c r="W3612" i="3" s="1"/>
  <c r="V3627" i="3"/>
  <c r="W3627" i="3" s="1"/>
  <c r="V3632" i="3"/>
  <c r="W3632" i="3" s="1"/>
  <c r="V3721" i="3"/>
  <c r="W3721" i="3" s="1"/>
  <c r="V3731" i="3"/>
  <c r="W3731" i="3" s="1"/>
  <c r="V3746" i="3"/>
  <c r="W3746" i="3" s="1"/>
  <c r="V3754" i="3"/>
  <c r="W3754" i="3" s="1"/>
  <c r="V3774" i="3"/>
  <c r="W3774" i="3" s="1"/>
  <c r="V3877" i="3"/>
  <c r="W3877" i="3" s="1"/>
  <c r="V3879" i="3"/>
  <c r="W3879" i="3" s="1"/>
  <c r="V3949" i="3"/>
  <c r="W3949" i="3" s="1"/>
  <c r="V3989" i="3"/>
  <c r="W3989" i="3" s="1"/>
  <c r="V3990" i="3"/>
  <c r="W3990" i="3" s="1"/>
  <c r="V3992" i="3"/>
  <c r="W3992" i="3" s="1"/>
  <c r="V4001" i="3"/>
  <c r="W4001" i="3" s="1"/>
  <c r="V4002" i="3"/>
  <c r="W4002" i="3" s="1"/>
  <c r="V4014" i="3"/>
  <c r="W4014" i="3" s="1"/>
  <c r="V4029" i="3"/>
  <c r="W4029" i="3" s="1"/>
  <c r="V4048" i="3"/>
  <c r="W4048" i="3" s="1"/>
  <c r="V4173" i="3"/>
  <c r="W4173" i="3" s="1"/>
  <c r="V4185" i="3"/>
  <c r="W4185" i="3" s="1"/>
  <c r="V4350" i="3"/>
  <c r="W4350" i="3" s="1"/>
  <c r="V4359" i="3"/>
  <c r="W4359" i="3" s="1"/>
  <c r="V4362" i="3"/>
  <c r="W4362" i="3" s="1"/>
  <c r="V4367" i="3"/>
  <c r="W4367" i="3" s="1"/>
  <c r="V4399" i="3"/>
  <c r="W4399" i="3" s="1"/>
  <c r="V4400" i="3"/>
  <c r="W4400" i="3" s="1"/>
  <c r="V4424" i="3"/>
  <c r="W4424" i="3" s="1"/>
  <c r="V4438" i="3"/>
  <c r="W4438" i="3" s="1"/>
  <c r="V4446" i="3"/>
  <c r="W4446" i="3" s="1"/>
  <c r="V4467" i="3"/>
  <c r="W4467" i="3" s="1"/>
  <c r="V4474" i="3"/>
  <c r="W4474" i="3" s="1"/>
  <c r="V4480" i="3"/>
  <c r="W4480" i="3" s="1"/>
  <c r="V4483" i="3"/>
  <c r="W4483" i="3" s="1"/>
  <c r="V4485" i="3"/>
  <c r="W4485" i="3" s="1"/>
  <c r="V4487" i="3"/>
  <c r="W4487" i="3" s="1"/>
  <c r="V4504" i="3"/>
  <c r="W4504" i="3" s="1"/>
  <c r="V4509" i="3"/>
  <c r="W4509" i="3" s="1"/>
  <c r="V4512" i="3"/>
  <c r="W4512" i="3" s="1"/>
  <c r="V4515" i="3"/>
  <c r="W4515" i="3" s="1"/>
  <c r="V4523" i="3"/>
  <c r="W4523" i="3" s="1"/>
  <c r="V4533" i="3"/>
  <c r="W4533" i="3" s="1"/>
  <c r="V4535" i="3"/>
  <c r="W4535" i="3" s="1"/>
  <c r="V4552" i="3"/>
  <c r="W4552" i="3" s="1"/>
  <c r="V4592" i="3"/>
  <c r="W4592" i="3" s="1"/>
  <c r="V4594" i="3"/>
  <c r="W4594" i="3" s="1"/>
  <c r="V4644" i="3"/>
  <c r="W4644" i="3" s="1"/>
  <c r="V4654" i="3"/>
  <c r="W4654" i="3" s="1"/>
  <c r="V4657" i="3"/>
  <c r="W4657" i="3" s="1"/>
  <c r="V4768" i="3"/>
  <c r="W4768" i="3" s="1"/>
  <c r="V4818" i="3"/>
  <c r="W4818" i="3" s="1"/>
  <c r="V78" i="3"/>
  <c r="W78" i="3" s="1"/>
  <c r="V242" i="3"/>
  <c r="W242" i="3" s="1"/>
  <c r="V265" i="3"/>
  <c r="W265" i="3" s="1"/>
  <c r="V277" i="3"/>
  <c r="W277" i="3" s="1"/>
  <c r="V279" i="3"/>
  <c r="W279" i="3" s="1"/>
  <c r="V292" i="3"/>
  <c r="W292" i="3" s="1"/>
  <c r="V297" i="3"/>
  <c r="W297" i="3" s="1"/>
  <c r="V363" i="3"/>
  <c r="W363" i="3" s="1"/>
  <c r="V443" i="3"/>
  <c r="W443" i="3" s="1"/>
  <c r="V445" i="3"/>
  <c r="W445" i="3" s="1"/>
  <c r="V450" i="3"/>
  <c r="W450" i="3" s="1"/>
  <c r="V468" i="3"/>
  <c r="W468" i="3" s="1"/>
  <c r="V582" i="3"/>
  <c r="W582" i="3" s="1"/>
  <c r="V597" i="3"/>
  <c r="W597" i="3" s="1"/>
  <c r="V609" i="3"/>
  <c r="W609" i="3" s="1"/>
  <c r="V631" i="3"/>
  <c r="W631" i="3" s="1"/>
  <c r="V632" i="3"/>
  <c r="W632" i="3" s="1"/>
  <c r="V642" i="3"/>
  <c r="W642" i="3" s="1"/>
  <c r="V648" i="3"/>
  <c r="W648" i="3" s="1"/>
  <c r="V709" i="3"/>
  <c r="W709" i="3" s="1"/>
  <c r="V762" i="3"/>
  <c r="W762" i="3" s="1"/>
  <c r="V782" i="3"/>
  <c r="W782" i="3" s="1"/>
  <c r="V784" i="3"/>
  <c r="W784" i="3" s="1"/>
  <c r="V833" i="3"/>
  <c r="W833" i="3" s="1"/>
  <c r="V837" i="3"/>
  <c r="W837" i="3" s="1"/>
  <c r="V844" i="3"/>
  <c r="W844" i="3" s="1"/>
  <c r="V932" i="3"/>
  <c r="W932" i="3" s="1"/>
  <c r="V937" i="3"/>
  <c r="W937" i="3" s="1"/>
  <c r="V1007" i="3"/>
  <c r="W1007" i="3" s="1"/>
  <c r="V1030" i="3"/>
  <c r="W1030" i="3" s="1"/>
  <c r="V1035" i="3"/>
  <c r="W1035" i="3" s="1"/>
  <c r="V1043" i="3"/>
  <c r="W1043" i="3" s="1"/>
  <c r="V1077" i="3"/>
  <c r="W1077" i="3" s="1"/>
  <c r="V1088" i="3"/>
  <c r="W1088" i="3" s="1"/>
  <c r="V1175" i="3"/>
  <c r="W1175" i="3" s="1"/>
  <c r="V1202" i="3"/>
  <c r="W1202" i="3" s="1"/>
  <c r="V1254" i="3"/>
  <c r="W1254" i="3" s="1"/>
  <c r="V1266" i="3"/>
  <c r="W1266" i="3" s="1"/>
  <c r="V1282" i="3"/>
  <c r="W1282" i="3" s="1"/>
  <c r="V1412" i="3"/>
  <c r="W1412" i="3" s="1"/>
  <c r="V1427" i="3"/>
  <c r="W1427" i="3" s="1"/>
  <c r="V1439" i="3"/>
  <c r="W1439" i="3" s="1"/>
  <c r="V1457" i="3"/>
  <c r="W1457" i="3" s="1"/>
  <c r="V1462" i="3"/>
  <c r="W1462" i="3" s="1"/>
  <c r="V1477" i="3"/>
  <c r="W1477" i="3" s="1"/>
  <c r="V1500" i="3"/>
  <c r="W1500" i="3" s="1"/>
  <c r="V1518" i="3"/>
  <c r="W1518" i="3" s="1"/>
  <c r="V1520" i="3"/>
  <c r="W1520" i="3" s="1"/>
  <c r="V1531" i="3"/>
  <c r="W1531" i="3" s="1"/>
  <c r="V1550" i="3"/>
  <c r="W1550" i="3" s="1"/>
  <c r="V1560" i="3"/>
  <c r="W1560" i="3" s="1"/>
  <c r="V1635" i="3"/>
  <c r="W1635" i="3" s="1"/>
  <c r="V1681" i="3"/>
  <c r="W1681" i="3" s="1"/>
  <c r="V1695" i="3"/>
  <c r="W1695" i="3" s="1"/>
  <c r="V1730" i="3"/>
  <c r="W1730" i="3" s="1"/>
  <c r="V1772" i="3"/>
  <c r="W1772" i="3" s="1"/>
  <c r="V1802" i="3"/>
  <c r="W1802" i="3" s="1"/>
  <c r="V1807" i="3"/>
  <c r="W1807" i="3" s="1"/>
  <c r="V1821" i="3"/>
  <c r="W1821" i="3" s="1"/>
  <c r="V1851" i="3"/>
  <c r="W1851" i="3" s="1"/>
  <c r="V1856" i="3"/>
  <c r="W1856" i="3" s="1"/>
  <c r="V1857" i="3"/>
  <c r="W1857" i="3" s="1"/>
  <c r="V1872" i="3"/>
  <c r="W1872" i="3" s="1"/>
  <c r="V1876" i="3"/>
  <c r="W1876" i="3" s="1"/>
  <c r="V1899" i="3"/>
  <c r="W1899" i="3" s="1"/>
  <c r="V1924" i="3"/>
  <c r="W1924" i="3" s="1"/>
  <c r="V1953" i="3"/>
  <c r="W1953" i="3" s="1"/>
  <c r="V1995" i="3"/>
  <c r="W1995" i="3" s="1"/>
  <c r="V2004" i="3"/>
  <c r="W2004" i="3" s="1"/>
  <c r="V2039" i="3"/>
  <c r="W2039" i="3" s="1"/>
  <c r="V2062" i="3"/>
  <c r="W2062" i="3" s="1"/>
  <c r="V2066" i="3"/>
  <c r="W2066" i="3" s="1"/>
  <c r="V2088" i="3"/>
  <c r="W2088" i="3" s="1"/>
  <c r="V2115" i="3"/>
  <c r="W2115" i="3" s="1"/>
  <c r="V2130" i="3"/>
  <c r="W2130" i="3" s="1"/>
  <c r="V2190" i="3"/>
  <c r="W2190" i="3" s="1"/>
  <c r="V2199" i="3"/>
  <c r="W2199" i="3" s="1"/>
  <c r="V2235" i="3"/>
  <c r="W2235" i="3" s="1"/>
  <c r="V2241" i="3"/>
  <c r="W2241" i="3" s="1"/>
  <c r="V2253" i="3"/>
  <c r="W2253" i="3" s="1"/>
  <c r="V2322" i="3"/>
  <c r="W2322" i="3" s="1"/>
  <c r="V2327" i="3"/>
  <c r="W2327" i="3" s="1"/>
  <c r="V2334" i="3"/>
  <c r="W2334" i="3" s="1"/>
  <c r="V2337" i="3"/>
  <c r="W2337" i="3" s="1"/>
  <c r="V2348" i="3"/>
  <c r="W2348" i="3" s="1"/>
  <c r="V2374" i="3"/>
  <c r="W2374" i="3" s="1"/>
  <c r="V2402" i="3"/>
  <c r="W2402" i="3" s="1"/>
  <c r="V2456" i="3"/>
  <c r="W2456" i="3" s="1"/>
  <c r="V2557" i="3"/>
  <c r="W2557" i="3" s="1"/>
  <c r="V2570" i="3"/>
  <c r="W2570" i="3" s="1"/>
  <c r="V2599" i="3"/>
  <c r="W2599" i="3" s="1"/>
  <c r="V2706" i="3"/>
  <c r="W2706" i="3" s="1"/>
  <c r="V2714" i="3"/>
  <c r="W2714" i="3" s="1"/>
  <c r="V2833" i="3"/>
  <c r="W2833" i="3" s="1"/>
  <c r="V2845" i="3"/>
  <c r="W2845" i="3" s="1"/>
  <c r="V2852" i="3"/>
  <c r="W2852" i="3" s="1"/>
  <c r="V2944" i="3"/>
  <c r="W2944" i="3" s="1"/>
  <c r="V3001" i="3"/>
  <c r="W3001" i="3" s="1"/>
  <c r="V3030" i="3"/>
  <c r="W3030" i="3" s="1"/>
  <c r="V3046" i="3"/>
  <c r="W3046" i="3" s="1"/>
  <c r="V3053" i="3"/>
  <c r="W3053" i="3" s="1"/>
  <c r="V3098" i="3"/>
  <c r="W3098" i="3" s="1"/>
  <c r="V3194" i="3"/>
  <c r="W3194" i="3" s="1"/>
  <c r="V3205" i="3"/>
  <c r="W3205" i="3" s="1"/>
  <c r="V3206" i="3"/>
  <c r="W3206" i="3" s="1"/>
  <c r="V3253" i="3"/>
  <c r="W3253" i="3" s="1"/>
  <c r="V3264" i="3"/>
  <c r="W3264" i="3" s="1"/>
  <c r="V3291" i="3"/>
  <c r="W3291" i="3" s="1"/>
  <c r="V3316" i="3"/>
  <c r="W3316" i="3" s="1"/>
  <c r="V3328" i="3"/>
  <c r="W3328" i="3" s="1"/>
  <c r="V3334" i="3"/>
  <c r="W3334" i="3" s="1"/>
  <c r="V3343" i="3"/>
  <c r="W3343" i="3" s="1"/>
  <c r="V3373" i="3"/>
  <c r="W3373" i="3" s="1"/>
  <c r="V3396" i="3"/>
  <c r="W3396" i="3" s="1"/>
  <c r="V3418" i="3"/>
  <c r="W3418" i="3" s="1"/>
  <c r="V3458" i="3"/>
  <c r="W3458" i="3" s="1"/>
  <c r="V3483" i="3"/>
  <c r="W3483" i="3" s="1"/>
  <c r="V3496" i="3"/>
  <c r="W3496" i="3" s="1"/>
  <c r="V3515" i="3"/>
  <c r="W3515" i="3" s="1"/>
  <c r="V3540" i="3"/>
  <c r="W3540" i="3" s="1"/>
  <c r="V3690" i="3"/>
  <c r="W3690" i="3" s="1"/>
  <c r="V3705" i="3"/>
  <c r="W3705" i="3" s="1"/>
  <c r="V3707" i="3"/>
  <c r="W3707" i="3" s="1"/>
  <c r="V3734" i="3"/>
  <c r="W3734" i="3" s="1"/>
  <c r="V3743" i="3"/>
  <c r="W3743" i="3" s="1"/>
  <c r="V3771" i="3"/>
  <c r="W3771" i="3" s="1"/>
  <c r="V3777" i="3"/>
  <c r="W3777" i="3" s="1"/>
  <c r="V3844" i="3"/>
  <c r="W3844" i="3" s="1"/>
  <c r="V3875" i="3"/>
  <c r="W3875" i="3" s="1"/>
  <c r="V3891" i="3"/>
  <c r="W3891" i="3" s="1"/>
  <c r="V3945" i="3"/>
  <c r="W3945" i="3" s="1"/>
  <c r="V3974" i="3"/>
  <c r="W3974" i="3" s="1"/>
  <c r="V4020" i="3"/>
  <c r="W4020" i="3" s="1"/>
  <c r="V4036" i="3"/>
  <c r="W4036" i="3" s="1"/>
  <c r="V4078" i="3"/>
  <c r="W4078" i="3" s="1"/>
  <c r="V4110" i="3"/>
  <c r="W4110" i="3" s="1"/>
  <c r="V4155" i="3"/>
  <c r="W4155" i="3" s="1"/>
  <c r="V4174" i="3"/>
  <c r="W4174" i="3" s="1"/>
  <c r="V4240" i="3"/>
  <c r="W4240" i="3" s="1"/>
  <c r="V4256" i="3"/>
  <c r="W4256" i="3" s="1"/>
  <c r="V4257" i="3"/>
  <c r="W4257" i="3" s="1"/>
  <c r="V4267" i="3"/>
  <c r="W4267" i="3" s="1"/>
  <c r="V4285" i="3"/>
  <c r="W4285" i="3" s="1"/>
  <c r="V4296" i="3"/>
  <c r="W4296" i="3" s="1"/>
  <c r="V4349" i="3"/>
  <c r="W4349" i="3" s="1"/>
  <c r="V4368" i="3"/>
  <c r="W4368" i="3" s="1"/>
  <c r="V4373" i="3"/>
  <c r="W4373" i="3" s="1"/>
  <c r="V4382" i="3"/>
  <c r="W4382" i="3" s="1"/>
  <c r="V4394" i="3"/>
  <c r="W4394" i="3" s="1"/>
  <c r="V4491" i="3"/>
  <c r="W4491" i="3" s="1"/>
  <c r="V4519" i="3"/>
  <c r="W4519" i="3" s="1"/>
  <c r="V4522" i="3"/>
  <c r="W4522" i="3" s="1"/>
  <c r="V4550" i="3"/>
  <c r="W4550" i="3" s="1"/>
  <c r="V4575" i="3"/>
  <c r="W4575" i="3" s="1"/>
  <c r="V4581" i="3"/>
  <c r="W4581" i="3" s="1"/>
  <c r="V4676" i="3"/>
  <c r="W4676" i="3" s="1"/>
  <c r="V4694" i="3"/>
  <c r="W4694" i="3" s="1"/>
  <c r="V4734" i="3"/>
  <c r="W4734" i="3" s="1"/>
  <c r="V4816" i="3"/>
  <c r="W4816" i="3" s="1"/>
  <c r="V4821" i="3"/>
  <c r="W4821" i="3" s="1"/>
  <c r="V4823" i="3"/>
  <c r="W4823" i="3" s="1"/>
  <c r="V28" i="3"/>
  <c r="W28" i="3" s="1"/>
  <c r="V46" i="3"/>
  <c r="W46" i="3" s="1"/>
  <c r="V71" i="3"/>
  <c r="W71" i="3" s="1"/>
  <c r="V80" i="3"/>
  <c r="W80" i="3" s="1"/>
  <c r="V150" i="3"/>
  <c r="W150" i="3" s="1"/>
  <c r="V194" i="3"/>
  <c r="W194" i="3" s="1"/>
  <c r="V199" i="3"/>
  <c r="W199" i="3" s="1"/>
  <c r="V245" i="3"/>
  <c r="W245" i="3" s="1"/>
  <c r="V253" i="3"/>
  <c r="W253" i="3" s="1"/>
  <c r="V256" i="3"/>
  <c r="W256" i="3" s="1"/>
  <c r="V276" i="3"/>
  <c r="W276" i="3" s="1"/>
  <c r="V313" i="3"/>
  <c r="W313" i="3" s="1"/>
  <c r="V339" i="3"/>
  <c r="W339" i="3" s="1"/>
  <c r="V355" i="3"/>
  <c r="W355" i="3" s="1"/>
  <c r="V372" i="3"/>
  <c r="W372" i="3" s="1"/>
  <c r="V376" i="3"/>
  <c r="W376" i="3" s="1"/>
  <c r="V446" i="3"/>
  <c r="W446" i="3" s="1"/>
  <c r="V452" i="3"/>
  <c r="W452" i="3" s="1"/>
  <c r="V504" i="3"/>
  <c r="W504" i="3" s="1"/>
  <c r="V539" i="3"/>
  <c r="W539" i="3" s="1"/>
  <c r="V545" i="3"/>
  <c r="W545" i="3" s="1"/>
  <c r="V561" i="3"/>
  <c r="W561" i="3" s="1"/>
  <c r="V592" i="3"/>
  <c r="W592" i="3" s="1"/>
  <c r="V602" i="3"/>
  <c r="W602" i="3" s="1"/>
  <c r="V623" i="3"/>
  <c r="W623" i="3" s="1"/>
  <c r="V684" i="3"/>
  <c r="W684" i="3" s="1"/>
  <c r="V704" i="3"/>
  <c r="W704" i="3" s="1"/>
  <c r="V713" i="3"/>
  <c r="W713" i="3" s="1"/>
  <c r="V723" i="3"/>
  <c r="W723" i="3" s="1"/>
  <c r="V790" i="3"/>
  <c r="W790" i="3" s="1"/>
  <c r="V815" i="3"/>
  <c r="W815" i="3" s="1"/>
  <c r="V850" i="3"/>
  <c r="W850" i="3" s="1"/>
  <c r="V861" i="3"/>
  <c r="W861" i="3" s="1"/>
  <c r="V939" i="3"/>
  <c r="W939" i="3" s="1"/>
  <c r="V987" i="3"/>
  <c r="W987" i="3" s="1"/>
  <c r="V1000" i="3"/>
  <c r="W1000" i="3" s="1"/>
  <c r="V1051" i="3"/>
  <c r="W1051" i="3" s="1"/>
  <c r="V1097" i="3"/>
  <c r="W1097" i="3" s="1"/>
  <c r="V1106" i="3"/>
  <c r="W1106" i="3" s="1"/>
  <c r="V1112" i="3"/>
  <c r="W1112" i="3" s="1"/>
  <c r="V1178" i="3"/>
  <c r="W1178" i="3" s="1"/>
  <c r="V1267" i="3"/>
  <c r="W1267" i="3" s="1"/>
  <c r="V1279" i="3"/>
  <c r="W1279" i="3" s="1"/>
  <c r="V1359" i="3"/>
  <c r="W1359" i="3" s="1"/>
  <c r="V1375" i="3"/>
  <c r="W1375" i="3" s="1"/>
  <c r="V1393" i="3"/>
  <c r="W1393" i="3" s="1"/>
  <c r="V1394" i="3"/>
  <c r="W1394" i="3" s="1"/>
  <c r="V1453" i="3"/>
  <c r="W1453" i="3" s="1"/>
  <c r="V1454" i="3"/>
  <c r="W1454" i="3" s="1"/>
  <c r="V1513" i="3"/>
  <c r="W1513" i="3" s="1"/>
  <c r="V1535" i="3"/>
  <c r="W1535" i="3" s="1"/>
  <c r="V1557" i="3"/>
  <c r="W1557" i="3" s="1"/>
  <c r="V1564" i="3"/>
  <c r="W1564" i="3" s="1"/>
  <c r="V1571" i="3"/>
  <c r="W1571" i="3" s="1"/>
  <c r="V1577" i="3"/>
  <c r="W1577" i="3" s="1"/>
  <c r="V1599" i="3"/>
  <c r="W1599" i="3" s="1"/>
  <c r="V1691" i="3"/>
  <c r="W1691" i="3" s="1"/>
  <c r="V1698" i="3"/>
  <c r="W1698" i="3" s="1"/>
  <c r="V1738" i="3"/>
  <c r="W1738" i="3" s="1"/>
  <c r="V1740" i="3"/>
  <c r="W1740" i="3" s="1"/>
  <c r="V1845" i="3"/>
  <c r="W1845" i="3" s="1"/>
  <c r="V1925" i="3"/>
  <c r="W1925" i="3" s="1"/>
  <c r="V1936" i="3"/>
  <c r="W1936" i="3" s="1"/>
  <c r="V1967" i="3"/>
  <c r="W1967" i="3" s="1"/>
  <c r="V2013" i="3"/>
  <c r="W2013" i="3" s="1"/>
  <c r="V2030" i="3"/>
  <c r="W2030" i="3" s="1"/>
  <c r="V2040" i="3"/>
  <c r="W2040" i="3" s="1"/>
  <c r="V2044" i="3"/>
  <c r="W2044" i="3" s="1"/>
  <c r="V2064" i="3"/>
  <c r="W2064" i="3" s="1"/>
  <c r="V2082" i="3"/>
  <c r="W2082" i="3" s="1"/>
  <c r="V2093" i="3"/>
  <c r="W2093" i="3" s="1"/>
  <c r="V2126" i="3"/>
  <c r="W2126" i="3" s="1"/>
  <c r="V2136" i="3"/>
  <c r="W2136" i="3" s="1"/>
  <c r="V2144" i="3"/>
  <c r="W2144" i="3" s="1"/>
  <c r="V2149" i="3"/>
  <c r="W2149" i="3" s="1"/>
  <c r="V2194" i="3"/>
  <c r="W2194" i="3" s="1"/>
  <c r="V2266" i="3"/>
  <c r="W2266" i="3" s="1"/>
  <c r="V2273" i="3"/>
  <c r="W2273" i="3" s="1"/>
  <c r="V2319" i="3"/>
  <c r="W2319" i="3" s="1"/>
  <c r="V2346" i="3"/>
  <c r="W2346" i="3" s="1"/>
  <c r="V2356" i="3"/>
  <c r="W2356" i="3" s="1"/>
  <c r="V2376" i="3"/>
  <c r="W2376" i="3" s="1"/>
  <c r="V2380" i="3"/>
  <c r="W2380" i="3" s="1"/>
  <c r="V2470" i="3"/>
  <c r="W2470" i="3" s="1"/>
  <c r="V2525" i="3"/>
  <c r="W2525" i="3" s="1"/>
  <c r="V2532" i="3"/>
  <c r="W2532" i="3" s="1"/>
  <c r="V2674" i="3"/>
  <c r="W2674" i="3" s="1"/>
  <c r="V2677" i="3"/>
  <c r="W2677" i="3" s="1"/>
  <c r="V2703" i="3"/>
  <c r="W2703" i="3" s="1"/>
  <c r="V2742" i="3"/>
  <c r="W2742" i="3" s="1"/>
  <c r="V2757" i="3"/>
  <c r="W2757" i="3" s="1"/>
  <c r="V2767" i="3"/>
  <c r="W2767" i="3" s="1"/>
  <c r="V2768" i="3"/>
  <c r="W2768" i="3" s="1"/>
  <c r="V2870" i="3"/>
  <c r="W2870" i="3" s="1"/>
  <c r="V2883" i="3"/>
  <c r="W2883" i="3" s="1"/>
  <c r="V2903" i="3"/>
  <c r="W2903" i="3" s="1"/>
  <c r="V2926" i="3"/>
  <c r="W2926" i="3" s="1"/>
  <c r="V2934" i="3"/>
  <c r="W2934" i="3" s="1"/>
  <c r="V3092" i="3"/>
  <c r="W3092" i="3" s="1"/>
  <c r="V3137" i="3"/>
  <c r="W3137" i="3" s="1"/>
  <c r="V3165" i="3"/>
  <c r="W3165" i="3" s="1"/>
  <c r="V3183" i="3"/>
  <c r="W3183" i="3" s="1"/>
  <c r="V3202" i="3"/>
  <c r="W3202" i="3" s="1"/>
  <c r="V3221" i="3"/>
  <c r="W3221" i="3" s="1"/>
  <c r="V3250" i="3"/>
  <c r="W3250" i="3" s="1"/>
  <c r="V3298" i="3"/>
  <c r="W3298" i="3" s="1"/>
  <c r="V3312" i="3"/>
  <c r="W3312" i="3" s="1"/>
  <c r="V3330" i="3"/>
  <c r="W3330" i="3" s="1"/>
  <c r="V3369" i="3"/>
  <c r="W3369" i="3" s="1"/>
  <c r="V3412" i="3"/>
  <c r="W3412" i="3" s="1"/>
  <c r="V3430" i="3"/>
  <c r="W3430" i="3" s="1"/>
  <c r="V3476" i="3"/>
  <c r="W3476" i="3" s="1"/>
  <c r="V3477" i="3"/>
  <c r="W3477" i="3" s="1"/>
  <c r="V3492" i="3"/>
  <c r="W3492" i="3" s="1"/>
  <c r="V3538" i="3"/>
  <c r="W3538" i="3" s="1"/>
  <c r="V3574" i="3"/>
  <c r="W3574" i="3" s="1"/>
  <c r="V3606" i="3"/>
  <c r="W3606" i="3" s="1"/>
  <c r="V3607" i="3"/>
  <c r="W3607" i="3" s="1"/>
  <c r="V3611" i="3"/>
  <c r="W3611" i="3" s="1"/>
  <c r="V3640" i="3"/>
  <c r="W3640" i="3" s="1"/>
  <c r="V3686" i="3"/>
  <c r="W3686" i="3" s="1"/>
  <c r="V3708" i="3"/>
  <c r="W3708" i="3" s="1"/>
  <c r="V3752" i="3"/>
  <c r="W3752" i="3" s="1"/>
  <c r="V3753" i="3"/>
  <c r="W3753" i="3" s="1"/>
  <c r="V3767" i="3"/>
  <c r="W3767" i="3" s="1"/>
  <c r="V3781" i="3"/>
  <c r="W3781" i="3" s="1"/>
  <c r="V3785" i="3"/>
  <c r="W3785" i="3" s="1"/>
  <c r="V3786" i="3"/>
  <c r="W3786" i="3" s="1"/>
  <c r="V3888" i="3"/>
  <c r="W3888" i="3" s="1"/>
  <c r="V3984" i="3"/>
  <c r="W3984" i="3" s="1"/>
  <c r="V4031" i="3"/>
  <c r="W4031" i="3" s="1"/>
  <c r="V4093" i="3"/>
  <c r="W4093" i="3" s="1"/>
  <c r="V4123" i="3"/>
  <c r="W4123" i="3" s="1"/>
  <c r="V4131" i="3"/>
  <c r="W4131" i="3" s="1"/>
  <c r="V4186" i="3"/>
  <c r="W4186" i="3" s="1"/>
  <c r="V4212" i="3"/>
  <c r="W4212" i="3" s="1"/>
  <c r="V4233" i="3"/>
  <c r="W4233" i="3" s="1"/>
  <c r="V4243" i="3"/>
  <c r="W4243" i="3" s="1"/>
  <c r="V4268" i="3"/>
  <c r="W4268" i="3" s="1"/>
  <c r="V4275" i="3"/>
  <c r="W4275" i="3" s="1"/>
  <c r="V4279" i="3"/>
  <c r="W4279" i="3" s="1"/>
  <c r="V4316" i="3"/>
  <c r="W4316" i="3" s="1"/>
  <c r="V4328" i="3"/>
  <c r="W4328" i="3" s="1"/>
  <c r="V4332" i="3"/>
  <c r="W4332" i="3" s="1"/>
  <c r="V4337" i="3"/>
  <c r="W4337" i="3" s="1"/>
  <c r="V4347" i="3"/>
  <c r="W4347" i="3" s="1"/>
  <c r="V4348" i="3"/>
  <c r="W4348" i="3" s="1"/>
  <c r="V4355" i="3"/>
  <c r="W4355" i="3" s="1"/>
  <c r="V4358" i="3"/>
  <c r="W4358" i="3" s="1"/>
  <c r="V4387" i="3"/>
  <c r="W4387" i="3" s="1"/>
  <c r="V4414" i="3"/>
  <c r="W4414" i="3" s="1"/>
  <c r="V4434" i="3"/>
  <c r="W4434" i="3" s="1"/>
  <c r="V4456" i="3"/>
  <c r="W4456" i="3" s="1"/>
  <c r="V4459" i="3"/>
  <c r="W4459" i="3" s="1"/>
  <c r="V4502" i="3"/>
  <c r="W4502" i="3" s="1"/>
  <c r="V4524" i="3"/>
  <c r="W4524" i="3" s="1"/>
  <c r="V4548" i="3"/>
  <c r="W4548" i="3" s="1"/>
  <c r="V4551" i="3"/>
  <c r="W4551" i="3" s="1"/>
  <c r="V4614" i="3"/>
  <c r="W4614" i="3" s="1"/>
  <c r="V4623" i="3"/>
  <c r="W4623" i="3" s="1"/>
  <c r="V4674" i="3"/>
  <c r="W4674" i="3" s="1"/>
  <c r="V4723" i="3"/>
  <c r="W4723" i="3" s="1"/>
  <c r="V4755" i="3"/>
  <c r="W4755" i="3" s="1"/>
  <c r="V4770" i="3"/>
  <c r="W4770" i="3" s="1"/>
  <c r="V4785" i="3"/>
  <c r="W4785" i="3" s="1"/>
  <c r="V39" i="3"/>
  <c r="W39" i="3" s="1"/>
  <c r="V54" i="3"/>
  <c r="W54" i="3" s="1"/>
  <c r="V59" i="3"/>
  <c r="W59" i="3" s="1"/>
  <c r="V60" i="3"/>
  <c r="W60" i="3" s="1"/>
  <c r="V63" i="3"/>
  <c r="W63" i="3" s="1"/>
  <c r="V72" i="3"/>
  <c r="W72" i="3" s="1"/>
  <c r="V83" i="3"/>
  <c r="W83" i="3" s="1"/>
  <c r="V99" i="3"/>
  <c r="W99" i="3" s="1"/>
  <c r="V106" i="3"/>
  <c r="W106" i="3" s="1"/>
  <c r="V114" i="3"/>
  <c r="W114" i="3" s="1"/>
  <c r="V163" i="3"/>
  <c r="W163" i="3" s="1"/>
  <c r="V218" i="3"/>
  <c r="W218" i="3" s="1"/>
  <c r="V234" i="3"/>
  <c r="W234" i="3" s="1"/>
  <c r="V258" i="3"/>
  <c r="W258" i="3" s="1"/>
  <c r="V266" i="3"/>
  <c r="W266" i="3" s="1"/>
  <c r="V269" i="3"/>
  <c r="W269" i="3" s="1"/>
  <c r="V270" i="3"/>
  <c r="W270" i="3" s="1"/>
  <c r="V317" i="3"/>
  <c r="W317" i="3" s="1"/>
  <c r="V348" i="3"/>
  <c r="W348" i="3" s="1"/>
  <c r="V365" i="3"/>
  <c r="W365" i="3" s="1"/>
  <c r="V369" i="3"/>
  <c r="W369" i="3" s="1"/>
  <c r="V378" i="3"/>
  <c r="W378" i="3" s="1"/>
  <c r="V379" i="3"/>
  <c r="W379" i="3" s="1"/>
  <c r="V416" i="3"/>
  <c r="W416" i="3" s="1"/>
  <c r="V422" i="3"/>
  <c r="W422" i="3" s="1"/>
  <c r="V427" i="3"/>
  <c r="W427" i="3" s="1"/>
  <c r="V434" i="3"/>
  <c r="W434" i="3" s="1"/>
  <c r="V523" i="3"/>
  <c r="W523" i="3" s="1"/>
  <c r="V546" i="3"/>
  <c r="W546" i="3" s="1"/>
  <c r="V595" i="3"/>
  <c r="W595" i="3" s="1"/>
  <c r="V641" i="3"/>
  <c r="W641" i="3" s="1"/>
  <c r="V651" i="3"/>
  <c r="W651" i="3" s="1"/>
  <c r="V670" i="3"/>
  <c r="W670" i="3" s="1"/>
  <c r="V680" i="3"/>
  <c r="W680" i="3" s="1"/>
  <c r="V699" i="3"/>
  <c r="W699" i="3" s="1"/>
  <c r="V710" i="3"/>
  <c r="W710" i="3" s="1"/>
  <c r="V716" i="3"/>
  <c r="W716" i="3" s="1"/>
  <c r="V774" i="3"/>
  <c r="W774" i="3" s="1"/>
  <c r="V808" i="3"/>
  <c r="W808" i="3" s="1"/>
  <c r="V809" i="3"/>
  <c r="W809" i="3" s="1"/>
  <c r="V820" i="3"/>
  <c r="W820" i="3" s="1"/>
  <c r="V831" i="3"/>
  <c r="W831" i="3" s="1"/>
  <c r="V835" i="3"/>
  <c r="W835" i="3" s="1"/>
  <c r="V961" i="3"/>
  <c r="W961" i="3" s="1"/>
  <c r="V997" i="3"/>
  <c r="W997" i="3" s="1"/>
  <c r="V1032" i="3"/>
  <c r="W1032" i="3" s="1"/>
  <c r="V1047" i="3"/>
  <c r="W1047" i="3" s="1"/>
  <c r="V1065" i="3"/>
  <c r="W1065" i="3" s="1"/>
  <c r="V1161" i="3"/>
  <c r="W1161" i="3" s="1"/>
  <c r="V1182" i="3"/>
  <c r="W1182" i="3" s="1"/>
  <c r="V1278" i="3"/>
  <c r="W1278" i="3" s="1"/>
  <c r="V1356" i="3"/>
  <c r="W1356" i="3" s="1"/>
  <c r="V1380" i="3"/>
  <c r="W1380" i="3" s="1"/>
  <c r="V1430" i="3"/>
  <c r="W1430" i="3" s="1"/>
  <c r="V1536" i="3"/>
  <c r="W1536" i="3" s="1"/>
  <c r="V1581" i="3"/>
  <c r="W1581" i="3" s="1"/>
  <c r="V1608" i="3"/>
  <c r="W1608" i="3" s="1"/>
  <c r="V1627" i="3"/>
  <c r="W1627" i="3" s="1"/>
  <c r="V1690" i="3"/>
  <c r="W1690" i="3" s="1"/>
  <c r="V1703" i="3"/>
  <c r="W1703" i="3" s="1"/>
  <c r="V1704" i="3"/>
  <c r="W1704" i="3" s="1"/>
  <c r="V1735" i="3"/>
  <c r="W1735" i="3" s="1"/>
  <c r="V1788" i="3"/>
  <c r="W1788" i="3" s="1"/>
  <c r="V1789" i="3"/>
  <c r="W1789" i="3" s="1"/>
  <c r="V1792" i="3"/>
  <c r="W1792" i="3" s="1"/>
  <c r="V1804" i="3"/>
  <c r="W1804" i="3" s="1"/>
  <c r="V1850" i="3"/>
  <c r="W1850" i="3" s="1"/>
  <c r="V1860" i="3"/>
  <c r="W1860" i="3" s="1"/>
  <c r="V1901" i="3"/>
  <c r="W1901" i="3" s="1"/>
  <c r="V1932" i="3"/>
  <c r="W1932" i="3" s="1"/>
  <c r="V1949" i="3"/>
  <c r="W1949" i="3" s="1"/>
  <c r="V1964" i="3"/>
  <c r="W1964" i="3" s="1"/>
  <c r="V1981" i="3"/>
  <c r="W1981" i="3" s="1"/>
  <c r="V2005" i="3"/>
  <c r="W2005" i="3" s="1"/>
  <c r="V2014" i="3"/>
  <c r="W2014" i="3" s="1"/>
  <c r="V2021" i="3"/>
  <c r="W2021" i="3" s="1"/>
  <c r="V2059" i="3"/>
  <c r="W2059" i="3" s="1"/>
  <c r="V2076" i="3"/>
  <c r="W2076" i="3" s="1"/>
  <c r="V2079" i="3"/>
  <c r="W2079" i="3" s="1"/>
  <c r="V2084" i="3"/>
  <c r="W2084" i="3" s="1"/>
  <c r="V2086" i="3"/>
  <c r="W2086" i="3" s="1"/>
  <c r="V2143" i="3"/>
  <c r="W2143" i="3" s="1"/>
  <c r="V2214" i="3"/>
  <c r="W2214" i="3" s="1"/>
  <c r="V2243" i="3"/>
  <c r="W2243" i="3" s="1"/>
  <c r="V2272" i="3"/>
  <c r="W2272" i="3" s="1"/>
  <c r="V2277" i="3"/>
  <c r="W2277" i="3" s="1"/>
  <c r="V2286" i="3"/>
  <c r="W2286" i="3" s="1"/>
  <c r="V2342" i="3"/>
  <c r="W2342" i="3" s="1"/>
  <c r="V2351" i="3"/>
  <c r="W2351" i="3" s="1"/>
  <c r="V2359" i="3"/>
  <c r="W2359" i="3" s="1"/>
  <c r="V2361" i="3"/>
  <c r="W2361" i="3" s="1"/>
  <c r="V2382" i="3"/>
  <c r="W2382" i="3" s="1"/>
  <c r="V2411" i="3"/>
  <c r="W2411" i="3" s="1"/>
  <c r="V2421" i="3"/>
  <c r="W2421" i="3" s="1"/>
  <c r="V2429" i="3"/>
  <c r="W2429" i="3" s="1"/>
  <c r="V2475" i="3"/>
  <c r="W2475" i="3" s="1"/>
  <c r="V2508" i="3"/>
  <c r="W2508" i="3" s="1"/>
  <c r="V2542" i="3"/>
  <c r="W2542" i="3" s="1"/>
  <c r="V2566" i="3"/>
  <c r="W2566" i="3" s="1"/>
  <c r="V2579" i="3"/>
  <c r="W2579" i="3" s="1"/>
  <c r="V2601" i="3"/>
  <c r="W2601" i="3" s="1"/>
  <c r="V2627" i="3"/>
  <c r="W2627" i="3" s="1"/>
  <c r="V2632" i="3"/>
  <c r="W2632" i="3" s="1"/>
  <c r="V2639" i="3"/>
  <c r="W2639" i="3" s="1"/>
  <c r="V2746" i="3"/>
  <c r="W2746" i="3" s="1"/>
  <c r="V2924" i="3"/>
  <c r="W2924" i="3" s="1"/>
  <c r="V2925" i="3"/>
  <c r="W2925" i="3" s="1"/>
  <c r="V2929" i="3"/>
  <c r="W2929" i="3" s="1"/>
  <c r="V2957" i="3"/>
  <c r="W2957" i="3" s="1"/>
  <c r="V2958" i="3"/>
  <c r="W2958" i="3" s="1"/>
  <c r="V2966" i="3"/>
  <c r="W2966" i="3" s="1"/>
  <c r="V3010" i="3"/>
  <c r="W3010" i="3" s="1"/>
  <c r="V3052" i="3"/>
  <c r="W3052" i="3" s="1"/>
  <c r="V3088" i="3"/>
  <c r="W3088" i="3" s="1"/>
  <c r="V3143" i="3"/>
  <c r="W3143" i="3" s="1"/>
  <c r="V3146" i="3"/>
  <c r="W3146" i="3" s="1"/>
  <c r="V3148" i="3"/>
  <c r="W3148" i="3" s="1"/>
  <c r="V3151" i="3"/>
  <c r="W3151" i="3" s="1"/>
  <c r="V3152" i="3"/>
  <c r="W3152" i="3" s="1"/>
  <c r="V3153" i="3"/>
  <c r="W3153" i="3" s="1"/>
  <c r="V3176" i="3"/>
  <c r="W3176" i="3" s="1"/>
  <c r="V3216" i="3"/>
  <c r="W3216" i="3" s="1"/>
  <c r="V3230" i="3"/>
  <c r="W3230" i="3" s="1"/>
  <c r="V3279" i="3"/>
  <c r="W3279" i="3" s="1"/>
  <c r="V3302" i="3"/>
  <c r="W3302" i="3" s="1"/>
  <c r="V3352" i="3"/>
  <c r="W3352" i="3" s="1"/>
  <c r="V3454" i="3"/>
  <c r="W3454" i="3" s="1"/>
  <c r="V3486" i="3"/>
  <c r="W3486" i="3" s="1"/>
  <c r="V3488" i="3"/>
  <c r="W3488" i="3" s="1"/>
  <c r="V3495" i="3"/>
  <c r="W3495" i="3" s="1"/>
  <c r="V3509" i="3"/>
  <c r="W3509" i="3" s="1"/>
  <c r="V3537" i="3"/>
  <c r="W3537" i="3" s="1"/>
  <c r="V3594" i="3"/>
  <c r="W3594" i="3" s="1"/>
  <c r="V3626" i="3"/>
  <c r="W3626" i="3" s="1"/>
  <c r="V3772" i="3"/>
  <c r="W3772" i="3" s="1"/>
  <c r="V3782" i="3"/>
  <c r="W3782" i="3" s="1"/>
  <c r="V3805" i="3"/>
  <c r="W3805" i="3" s="1"/>
  <c r="V3818" i="3"/>
  <c r="W3818" i="3" s="1"/>
  <c r="V3886" i="3"/>
  <c r="W3886" i="3" s="1"/>
  <c r="V3898" i="3"/>
  <c r="W3898" i="3" s="1"/>
  <c r="V3960" i="3"/>
  <c r="W3960" i="3" s="1"/>
  <c r="V4009" i="3"/>
  <c r="W4009" i="3" s="1"/>
  <c r="V4024" i="3"/>
  <c r="W4024" i="3" s="1"/>
  <c r="V4068" i="3"/>
  <c r="W4068" i="3" s="1"/>
  <c r="V4069" i="3"/>
  <c r="W4069" i="3" s="1"/>
  <c r="V4073" i="3"/>
  <c r="W4073" i="3" s="1"/>
  <c r="V4079" i="3"/>
  <c r="W4079" i="3" s="1"/>
  <c r="V4081" i="3"/>
  <c r="W4081" i="3" s="1"/>
  <c r="V4094" i="3"/>
  <c r="W4094" i="3" s="1"/>
  <c r="V4115" i="3"/>
  <c r="W4115" i="3" s="1"/>
  <c r="V4122" i="3"/>
  <c r="W4122" i="3" s="1"/>
  <c r="V4156" i="3"/>
  <c r="W4156" i="3" s="1"/>
  <c r="V4218" i="3"/>
  <c r="W4218" i="3" s="1"/>
  <c r="V4261" i="3"/>
  <c r="W4261" i="3" s="1"/>
  <c r="V4269" i="3"/>
  <c r="W4269" i="3" s="1"/>
  <c r="V4270" i="3"/>
  <c r="W4270" i="3" s="1"/>
  <c r="V4280" i="3"/>
  <c r="W4280" i="3" s="1"/>
  <c r="V4288" i="3"/>
  <c r="W4288" i="3" s="1"/>
  <c r="V4341" i="3"/>
  <c r="W4341" i="3" s="1"/>
  <c r="V4441" i="3"/>
  <c r="W4441" i="3" s="1"/>
  <c r="V4543" i="3"/>
  <c r="W4543" i="3" s="1"/>
  <c r="V4555" i="3"/>
  <c r="W4555" i="3" s="1"/>
  <c r="V4577" i="3"/>
  <c r="W4577" i="3" s="1"/>
  <c r="V4604" i="3"/>
  <c r="W4604" i="3" s="1"/>
  <c r="V4754" i="3"/>
  <c r="W4754" i="3" s="1"/>
  <c r="V4788" i="3"/>
  <c r="W4788" i="3" s="1"/>
  <c r="V4799" i="3"/>
  <c r="W4799" i="3" s="1"/>
  <c r="V4803" i="3"/>
  <c r="W4803" i="3" s="1"/>
  <c r="V4828" i="3"/>
  <c r="W4828" i="3" s="1"/>
  <c r="V4829" i="3"/>
  <c r="W4829" i="3" s="1"/>
  <c r="V23" i="3"/>
  <c r="W23" i="3" s="1"/>
  <c r="V130" i="3"/>
  <c r="W130" i="3" s="1"/>
  <c r="V232" i="3"/>
  <c r="W232" i="3" s="1"/>
  <c r="V249" i="3"/>
  <c r="W249" i="3" s="1"/>
  <c r="V325" i="3"/>
  <c r="W325" i="3" s="1"/>
  <c r="V334" i="3"/>
  <c r="W334" i="3" s="1"/>
  <c r="V362" i="3"/>
  <c r="W362" i="3" s="1"/>
  <c r="V385" i="3"/>
  <c r="W385" i="3" s="1"/>
  <c r="V552" i="3"/>
  <c r="W552" i="3" s="1"/>
  <c r="V669" i="3"/>
  <c r="W669" i="3" s="1"/>
  <c r="V687" i="3"/>
  <c r="W687" i="3" s="1"/>
  <c r="V785" i="3"/>
  <c r="W785" i="3" s="1"/>
  <c r="V828" i="3"/>
  <c r="W828" i="3" s="1"/>
  <c r="V845" i="3"/>
  <c r="W845" i="3" s="1"/>
  <c r="V916" i="3"/>
  <c r="W916" i="3" s="1"/>
  <c r="V949" i="3"/>
  <c r="W949" i="3" s="1"/>
  <c r="V959" i="3"/>
  <c r="W959" i="3" s="1"/>
  <c r="V984" i="3"/>
  <c r="W984" i="3" s="1"/>
  <c r="V1009" i="3"/>
  <c r="W1009" i="3" s="1"/>
  <c r="V1013" i="3"/>
  <c r="W1013" i="3" s="1"/>
  <c r="V1034" i="3"/>
  <c r="W1034" i="3" s="1"/>
  <c r="V1068" i="3"/>
  <c r="W1068" i="3" s="1"/>
  <c r="V1288" i="3"/>
  <c r="W1288" i="3" s="1"/>
  <c r="V1316" i="3"/>
  <c r="W1316" i="3" s="1"/>
  <c r="V1514" i="3"/>
  <c r="W1514" i="3" s="1"/>
  <c r="V1526" i="3"/>
  <c r="W1526" i="3" s="1"/>
  <c r="V1590" i="3"/>
  <c r="W1590" i="3" s="1"/>
  <c r="V1668" i="3"/>
  <c r="W1668" i="3" s="1"/>
  <c r="V1688" i="3"/>
  <c r="W1688" i="3" s="1"/>
  <c r="V1752" i="3"/>
  <c r="W1752" i="3" s="1"/>
  <c r="V1853" i="3"/>
  <c r="W1853" i="3" s="1"/>
  <c r="V1867" i="3"/>
  <c r="W1867" i="3" s="1"/>
  <c r="V1874" i="3"/>
  <c r="W1874" i="3" s="1"/>
  <c r="V1910" i="3"/>
  <c r="W1910" i="3" s="1"/>
  <c r="V2148" i="3"/>
  <c r="W2148" i="3" s="1"/>
  <c r="V2169" i="3"/>
  <c r="W2169" i="3" s="1"/>
  <c r="V2185" i="3"/>
  <c r="W2185" i="3" s="1"/>
  <c r="V2495" i="3"/>
  <c r="W2495" i="3" s="1"/>
  <c r="V2531" i="3"/>
  <c r="W2531" i="3" s="1"/>
  <c r="V2576" i="3"/>
  <c r="W2576" i="3" s="1"/>
  <c r="V2724" i="3"/>
  <c r="W2724" i="3" s="1"/>
  <c r="V2754" i="3"/>
  <c r="W2754" i="3" s="1"/>
  <c r="V2766" i="3"/>
  <c r="W2766" i="3" s="1"/>
  <c r="V2847" i="3"/>
  <c r="W2847" i="3" s="1"/>
  <c r="V2953" i="3"/>
  <c r="W2953" i="3" s="1"/>
  <c r="V2969" i="3"/>
  <c r="W2969" i="3" s="1"/>
  <c r="V2971" i="3"/>
  <c r="W2971" i="3" s="1"/>
  <c r="V3009" i="3"/>
  <c r="W3009" i="3" s="1"/>
  <c r="V3203" i="3"/>
  <c r="W3203" i="3" s="1"/>
  <c r="V3228" i="3"/>
  <c r="W3228" i="3" s="1"/>
  <c r="V3256" i="3"/>
  <c r="W3256" i="3" s="1"/>
  <c r="V3335" i="3"/>
  <c r="W3335" i="3" s="1"/>
  <c r="V3592" i="3"/>
  <c r="W3592" i="3" s="1"/>
  <c r="V3899" i="3"/>
  <c r="W3899" i="3" s="1"/>
  <c r="V3918" i="3"/>
  <c r="W3918" i="3" s="1"/>
  <c r="V3948" i="3"/>
  <c r="W3948" i="3" s="1"/>
  <c r="V3991" i="3"/>
  <c r="W3991" i="3" s="1"/>
  <c r="V4004" i="3"/>
  <c r="W4004" i="3" s="1"/>
  <c r="V4017" i="3"/>
  <c r="W4017" i="3" s="1"/>
  <c r="V4067" i="3"/>
  <c r="W4067" i="3" s="1"/>
  <c r="V4120" i="3"/>
  <c r="W4120" i="3" s="1"/>
  <c r="V4129" i="3"/>
  <c r="W4129" i="3" s="1"/>
  <c r="V4190" i="3"/>
  <c r="W4190" i="3" s="1"/>
  <c r="V4238" i="3"/>
  <c r="W4238" i="3" s="1"/>
  <c r="V4304" i="3"/>
  <c r="W4304" i="3" s="1"/>
  <c r="V4324" i="3"/>
  <c r="W4324" i="3" s="1"/>
  <c r="V4326" i="3"/>
  <c r="W4326" i="3" s="1"/>
  <c r="V4345" i="3"/>
  <c r="W4345" i="3" s="1"/>
  <c r="V4357" i="3"/>
  <c r="W4357" i="3" s="1"/>
  <c r="V4396" i="3"/>
  <c r="W4396" i="3" s="1"/>
  <c r="V4402" i="3"/>
  <c r="W4402" i="3" s="1"/>
  <c r="V4405" i="3"/>
  <c r="W4405" i="3" s="1"/>
  <c r="V4452" i="3"/>
  <c r="W4452" i="3" s="1"/>
  <c r="V4510" i="3"/>
  <c r="W4510" i="3" s="1"/>
  <c r="V4538" i="3"/>
  <c r="W4538" i="3" s="1"/>
  <c r="V4652" i="3"/>
  <c r="W4652" i="3" s="1"/>
  <c r="V4718" i="3"/>
  <c r="W4718" i="3" s="1"/>
  <c r="V4746" i="3"/>
  <c r="W4746" i="3" s="1"/>
  <c r="V4812" i="3"/>
  <c r="W4812" i="3" s="1"/>
  <c r="V19" i="3"/>
  <c r="W19" i="3" s="1"/>
  <c r="V69" i="3"/>
  <c r="W69" i="3" s="1"/>
  <c r="V74" i="3"/>
  <c r="W74" i="3" s="1"/>
  <c r="V139" i="3"/>
  <c r="W139" i="3" s="1"/>
  <c r="V392" i="3"/>
  <c r="W392" i="3" s="1"/>
  <c r="V479" i="3"/>
  <c r="W479" i="3" s="1"/>
  <c r="V605" i="3"/>
  <c r="W605" i="3" s="1"/>
  <c r="V703" i="3"/>
  <c r="W703" i="3" s="1"/>
  <c r="V855" i="3"/>
  <c r="W855" i="3" s="1"/>
  <c r="V912" i="3"/>
  <c r="W912" i="3" s="1"/>
  <c r="V1095" i="3"/>
  <c r="W1095" i="3" s="1"/>
  <c r="V1240" i="3"/>
  <c r="W1240" i="3" s="1"/>
  <c r="V1244" i="3"/>
  <c r="W1244" i="3" s="1"/>
  <c r="V1337" i="3"/>
  <c r="W1337" i="3" s="1"/>
  <c r="V1398" i="3"/>
  <c r="W1398" i="3" s="1"/>
  <c r="V1465" i="3"/>
  <c r="W1465" i="3" s="1"/>
  <c r="V1490" i="3"/>
  <c r="W1490" i="3" s="1"/>
  <c r="V1528" i="3"/>
  <c r="W1528" i="3" s="1"/>
  <c r="V1554" i="3"/>
  <c r="W1554" i="3" s="1"/>
  <c r="V1712" i="3"/>
  <c r="W1712" i="3" s="1"/>
  <c r="V1724" i="3"/>
  <c r="W1724" i="3" s="1"/>
  <c r="V2057" i="3"/>
  <c r="W2057" i="3" s="1"/>
  <c r="V2077" i="3"/>
  <c r="W2077" i="3" s="1"/>
  <c r="V2097" i="3"/>
  <c r="W2097" i="3" s="1"/>
  <c r="V2118" i="3"/>
  <c r="W2118" i="3" s="1"/>
  <c r="V2125" i="3"/>
  <c r="W2125" i="3" s="1"/>
  <c r="V2204" i="3"/>
  <c r="W2204" i="3" s="1"/>
  <c r="V2224" i="3"/>
  <c r="W2224" i="3" s="1"/>
  <c r="V2257" i="3"/>
  <c r="W2257" i="3" s="1"/>
  <c r="V2313" i="3"/>
  <c r="W2313" i="3" s="1"/>
  <c r="V2436" i="3"/>
  <c r="W2436" i="3" s="1"/>
  <c r="V2804" i="3"/>
  <c r="W2804" i="3" s="1"/>
  <c r="V2835" i="3"/>
  <c r="W2835" i="3" s="1"/>
  <c r="V2875" i="3"/>
  <c r="W2875" i="3" s="1"/>
  <c r="V2917" i="3"/>
  <c r="W2917" i="3" s="1"/>
  <c r="V2932" i="3"/>
  <c r="W2932" i="3" s="1"/>
  <c r="V2939" i="3"/>
  <c r="W2939" i="3" s="1"/>
  <c r="V3011" i="3"/>
  <c r="W3011" i="3" s="1"/>
  <c r="V3091" i="3"/>
  <c r="W3091" i="3" s="1"/>
  <c r="V3386" i="3"/>
  <c r="W3386" i="3" s="1"/>
  <c r="V3534" i="3"/>
  <c r="W3534" i="3" s="1"/>
  <c r="V3553" i="3"/>
  <c r="W3553" i="3" s="1"/>
  <c r="V3637" i="3"/>
  <c r="W3637" i="3" s="1"/>
  <c r="V3639" i="3"/>
  <c r="W3639" i="3" s="1"/>
  <c r="V3642" i="3"/>
  <c r="W3642" i="3" s="1"/>
  <c r="V3646" i="3"/>
  <c r="W3646" i="3" s="1"/>
  <c r="V3741" i="3"/>
  <c r="W3741" i="3" s="1"/>
  <c r="V3826" i="3"/>
  <c r="W3826" i="3" s="1"/>
  <c r="V3835" i="3"/>
  <c r="W3835" i="3" s="1"/>
  <c r="V3884" i="3"/>
  <c r="W3884" i="3" s="1"/>
  <c r="V3996" i="3"/>
  <c r="W3996" i="3" s="1"/>
  <c r="V4011" i="3"/>
  <c r="W4011" i="3" s="1"/>
  <c r="V4076" i="3"/>
  <c r="W4076" i="3" s="1"/>
  <c r="V4132" i="3"/>
  <c r="W4132" i="3" s="1"/>
  <c r="V4139" i="3"/>
  <c r="W4139" i="3" s="1"/>
  <c r="V4180" i="3"/>
  <c r="W4180" i="3" s="1"/>
  <c r="V4274" i="3"/>
  <c r="W4274" i="3" s="1"/>
  <c r="V4315" i="3"/>
  <c r="W4315" i="3" s="1"/>
  <c r="V4370" i="3"/>
  <c r="W4370" i="3" s="1"/>
  <c r="V4384" i="3"/>
  <c r="W4384" i="3" s="1"/>
  <c r="V4426" i="3"/>
  <c r="W4426" i="3" s="1"/>
  <c r="V4462" i="3"/>
  <c r="W4462" i="3" s="1"/>
  <c r="V4508" i="3"/>
  <c r="W4508" i="3" s="1"/>
  <c r="V4518" i="3"/>
  <c r="W4518" i="3" s="1"/>
  <c r="V4530" i="3"/>
  <c r="W4530" i="3" s="1"/>
  <c r="V4534" i="3"/>
  <c r="W4534" i="3" s="1"/>
  <c r="V4597" i="3"/>
  <c r="W4597" i="3" s="1"/>
  <c r="V4659" i="3"/>
  <c r="W4659" i="3" s="1"/>
  <c r="V4665" i="3"/>
  <c r="W4665" i="3" s="1"/>
  <c r="V4728" i="3"/>
  <c r="W4728" i="3" s="1"/>
  <c r="V18" i="3"/>
  <c r="W18" i="3" s="1"/>
  <c r="V36" i="3"/>
  <c r="W36" i="3" s="1"/>
  <c r="V89" i="3"/>
  <c r="W89" i="3" s="1"/>
  <c r="V138" i="3"/>
  <c r="W138" i="3" s="1"/>
  <c r="V173" i="3"/>
  <c r="W173" i="3" s="1"/>
  <c r="V303" i="3"/>
  <c r="W303" i="3" s="1"/>
  <c r="V368" i="3"/>
  <c r="W368" i="3" s="1"/>
  <c r="V398" i="3"/>
  <c r="W398" i="3" s="1"/>
  <c r="V453" i="3"/>
  <c r="W453" i="3" s="1"/>
  <c r="V483" i="3"/>
  <c r="W483" i="3" s="1"/>
  <c r="V589" i="3"/>
  <c r="W589" i="3" s="1"/>
  <c r="V686" i="3"/>
  <c r="W686" i="3" s="1"/>
  <c r="V697" i="3"/>
  <c r="W697" i="3" s="1"/>
  <c r="V741" i="3"/>
  <c r="W741" i="3" s="1"/>
  <c r="V848" i="3"/>
  <c r="W848" i="3" s="1"/>
  <c r="V858" i="3"/>
  <c r="W858" i="3" s="1"/>
  <c r="V890" i="3"/>
  <c r="W890" i="3" s="1"/>
  <c r="V1129" i="3"/>
  <c r="W1129" i="3" s="1"/>
  <c r="V1214" i="3"/>
  <c r="W1214" i="3" s="1"/>
  <c r="V1329" i="3"/>
  <c r="W1329" i="3" s="1"/>
  <c r="V1387" i="3"/>
  <c r="W1387" i="3" s="1"/>
  <c r="V1416" i="3"/>
  <c r="W1416" i="3" s="1"/>
  <c r="V1507" i="3"/>
  <c r="W1507" i="3" s="1"/>
  <c r="V1547" i="3"/>
  <c r="W1547" i="3" s="1"/>
  <c r="V1592" i="3"/>
  <c r="W1592" i="3" s="1"/>
  <c r="V1667" i="3"/>
  <c r="W1667" i="3" s="1"/>
  <c r="V1739" i="3"/>
  <c r="W1739" i="3" s="1"/>
  <c r="V1793" i="3"/>
  <c r="W1793" i="3" s="1"/>
  <c r="V1843" i="3"/>
  <c r="W1843" i="3" s="1"/>
  <c r="V1884" i="3"/>
  <c r="W1884" i="3" s="1"/>
  <c r="V1934" i="3"/>
  <c r="W1934" i="3" s="1"/>
  <c r="V2128" i="3"/>
  <c r="W2128" i="3" s="1"/>
  <c r="V2182" i="3"/>
  <c r="W2182" i="3" s="1"/>
  <c r="V2195" i="3"/>
  <c r="W2195" i="3" s="1"/>
  <c r="V2209" i="3"/>
  <c r="W2209" i="3" s="1"/>
  <c r="V2330" i="3"/>
  <c r="W2330" i="3" s="1"/>
  <c r="V2387" i="3"/>
  <c r="W2387" i="3" s="1"/>
  <c r="V2390" i="3"/>
  <c r="W2390" i="3" s="1"/>
  <c r="V2468" i="3"/>
  <c r="W2468" i="3" s="1"/>
  <c r="V2483" i="3"/>
  <c r="W2483" i="3" s="1"/>
  <c r="V2543" i="3"/>
  <c r="W2543" i="3" s="1"/>
  <c r="V2568" i="3"/>
  <c r="W2568" i="3" s="1"/>
  <c r="V2589" i="3"/>
  <c r="W2589" i="3" s="1"/>
  <c r="V2781" i="3"/>
  <c r="W2781" i="3" s="1"/>
  <c r="V2788" i="3"/>
  <c r="W2788" i="3" s="1"/>
  <c r="V2842" i="3"/>
  <c r="W2842" i="3" s="1"/>
  <c r="V2892" i="3"/>
  <c r="W2892" i="3" s="1"/>
  <c r="V2915" i="3"/>
  <c r="W2915" i="3" s="1"/>
  <c r="V2943" i="3"/>
  <c r="W2943" i="3" s="1"/>
  <c r="V3014" i="3"/>
  <c r="W3014" i="3" s="1"/>
  <c r="V3191" i="3"/>
  <c r="W3191" i="3" s="1"/>
  <c r="V3295" i="3"/>
  <c r="W3295" i="3" s="1"/>
  <c r="V3311" i="3"/>
  <c r="W3311" i="3" s="1"/>
  <c r="V3382" i="3"/>
  <c r="W3382" i="3" s="1"/>
  <c r="V3519" i="3"/>
  <c r="W3519" i="3" s="1"/>
  <c r="V3635" i="3"/>
  <c r="W3635" i="3" s="1"/>
  <c r="V3696" i="3"/>
  <c r="W3696" i="3" s="1"/>
  <c r="V3799" i="3"/>
  <c r="W3799" i="3" s="1"/>
  <c r="V3816" i="3"/>
  <c r="W3816" i="3" s="1"/>
  <c r="V3832" i="3"/>
  <c r="W3832" i="3" s="1"/>
  <c r="V3846" i="3"/>
  <c r="W3846" i="3" s="1"/>
  <c r="V3854" i="3"/>
  <c r="W3854" i="3" s="1"/>
  <c r="V3892" i="3"/>
  <c r="W3892" i="3" s="1"/>
  <c r="V3933" i="3"/>
  <c r="W3933" i="3" s="1"/>
  <c r="V3955" i="3"/>
  <c r="W3955" i="3" s="1"/>
  <c r="V4057" i="3"/>
  <c r="W4057" i="3" s="1"/>
  <c r="V4151" i="3"/>
  <c r="W4151" i="3" s="1"/>
  <c r="V4171" i="3"/>
  <c r="W4171" i="3" s="1"/>
  <c r="V4221" i="3"/>
  <c r="W4221" i="3" s="1"/>
  <c r="V4226" i="3"/>
  <c r="W4226" i="3" s="1"/>
  <c r="V4318" i="3"/>
  <c r="W4318" i="3" s="1"/>
  <c r="V4492" i="3"/>
  <c r="W4492" i="3" s="1"/>
  <c r="V4583" i="3"/>
  <c r="W4583" i="3" s="1"/>
  <c r="V4618" i="3"/>
  <c r="W4618" i="3" s="1"/>
  <c r="V4807" i="3"/>
  <c r="W4807" i="3" s="1"/>
  <c r="V4822" i="3"/>
  <c r="W4822" i="3" s="1"/>
  <c r="V8" i="3"/>
  <c r="W8" i="3" s="1"/>
  <c r="V47" i="3"/>
  <c r="W47" i="3" s="1"/>
  <c r="V98" i="3"/>
  <c r="W98" i="3" s="1"/>
  <c r="V187" i="3"/>
  <c r="W187" i="3" s="1"/>
  <c r="V205" i="3"/>
  <c r="W205" i="3" s="1"/>
  <c r="V263" i="3"/>
  <c r="W263" i="3" s="1"/>
  <c r="V332" i="3"/>
  <c r="W332" i="3" s="1"/>
  <c r="V417" i="3"/>
  <c r="W417" i="3" s="1"/>
  <c r="V444" i="3"/>
  <c r="W444" i="3" s="1"/>
  <c r="V489" i="3"/>
  <c r="W489" i="3" s="1"/>
  <c r="V506" i="3"/>
  <c r="W506" i="3" s="1"/>
  <c r="V548" i="3"/>
  <c r="W548" i="3" s="1"/>
  <c r="V640" i="3"/>
  <c r="W640" i="3" s="1"/>
  <c r="V694" i="3"/>
  <c r="W694" i="3" s="1"/>
  <c r="V706" i="3"/>
  <c r="W706" i="3" s="1"/>
  <c r="V718" i="3"/>
  <c r="W718" i="3" s="1"/>
  <c r="V738" i="3"/>
  <c r="W738" i="3" s="1"/>
  <c r="V875" i="3"/>
  <c r="W875" i="3" s="1"/>
  <c r="V901" i="3"/>
  <c r="W901" i="3" s="1"/>
  <c r="V1040" i="3"/>
  <c r="W1040" i="3" s="1"/>
  <c r="V1070" i="3"/>
  <c r="W1070" i="3" s="1"/>
  <c r="V1096" i="3"/>
  <c r="W1096" i="3" s="1"/>
  <c r="V1121" i="3"/>
  <c r="W1121" i="3" s="1"/>
  <c r="V1179" i="3"/>
  <c r="W1179" i="3" s="1"/>
  <c r="V1317" i="3"/>
  <c r="W1317" i="3" s="1"/>
  <c r="V1322" i="3"/>
  <c r="W1322" i="3" s="1"/>
  <c r="V1353" i="3"/>
  <c r="W1353" i="3" s="1"/>
  <c r="V1383" i="3"/>
  <c r="W1383" i="3" s="1"/>
  <c r="V1540" i="3"/>
  <c r="W1540" i="3" s="1"/>
  <c r="V1565" i="3"/>
  <c r="W1565" i="3" s="1"/>
  <c r="V1582" i="3"/>
  <c r="W1582" i="3" s="1"/>
  <c r="V1603" i="3"/>
  <c r="W1603" i="3" s="1"/>
  <c r="V1646" i="3"/>
  <c r="W1646" i="3" s="1"/>
  <c r="V1785" i="3"/>
  <c r="W1785" i="3" s="1"/>
  <c r="V1786" i="3"/>
  <c r="W1786" i="3" s="1"/>
  <c r="V1806" i="3"/>
  <c r="W1806" i="3" s="1"/>
  <c r="V1823" i="3"/>
  <c r="W1823" i="3" s="1"/>
  <c r="V1883" i="3"/>
  <c r="W1883" i="3" s="1"/>
  <c r="V1903" i="3"/>
  <c r="W1903" i="3" s="1"/>
  <c r="V2023" i="3"/>
  <c r="W2023" i="3" s="1"/>
  <c r="V2085" i="3"/>
  <c r="W2085" i="3" s="1"/>
  <c r="V2172" i="3"/>
  <c r="W2172" i="3" s="1"/>
  <c r="V2207" i="3"/>
  <c r="W2207" i="3" s="1"/>
  <c r="V2215" i="3"/>
  <c r="W2215" i="3" s="1"/>
  <c r="V2270" i="3"/>
  <c r="W2270" i="3" s="1"/>
  <c r="V2333" i="3"/>
  <c r="W2333" i="3" s="1"/>
  <c r="V2404" i="3"/>
  <c r="W2404" i="3" s="1"/>
  <c r="V2526" i="3"/>
  <c r="W2526" i="3" s="1"/>
  <c r="V2528" i="3"/>
  <c r="W2528" i="3" s="1"/>
  <c r="V2530" i="3"/>
  <c r="W2530" i="3" s="1"/>
  <c r="V2561" i="3"/>
  <c r="W2561" i="3" s="1"/>
  <c r="V2634" i="3"/>
  <c r="W2634" i="3" s="1"/>
  <c r="V2659" i="3"/>
  <c r="W2659" i="3" s="1"/>
  <c r="V2665" i="3"/>
  <c r="W2665" i="3" s="1"/>
  <c r="V2670" i="3"/>
  <c r="W2670" i="3" s="1"/>
  <c r="V2728" i="3"/>
  <c r="W2728" i="3" s="1"/>
  <c r="V2735" i="3"/>
  <c r="W2735" i="3" s="1"/>
  <c r="V2743" i="3"/>
  <c r="W2743" i="3" s="1"/>
  <c r="V2783" i="3"/>
  <c r="W2783" i="3" s="1"/>
  <c r="V2843" i="3"/>
  <c r="W2843" i="3" s="1"/>
  <c r="V2904" i="3"/>
  <c r="W2904" i="3" s="1"/>
  <c r="V2949" i="3"/>
  <c r="W2949" i="3" s="1"/>
  <c r="V2978" i="3"/>
  <c r="W2978" i="3" s="1"/>
  <c r="V3033" i="3"/>
  <c r="W3033" i="3" s="1"/>
  <c r="V3067" i="3"/>
  <c r="W3067" i="3" s="1"/>
  <c r="V3120" i="3"/>
  <c r="W3120" i="3" s="1"/>
  <c r="V3186" i="3"/>
  <c r="W3186" i="3" s="1"/>
  <c r="V3197" i="3"/>
  <c r="W3197" i="3" s="1"/>
  <c r="V3259" i="3"/>
  <c r="W3259" i="3" s="1"/>
  <c r="V3266" i="3"/>
  <c r="W3266" i="3" s="1"/>
  <c r="V3350" i="3"/>
  <c r="W3350" i="3" s="1"/>
  <c r="V3379" i="3"/>
  <c r="W3379" i="3" s="1"/>
  <c r="V3417" i="3"/>
  <c r="W3417" i="3" s="1"/>
  <c r="V3508" i="3"/>
  <c r="W3508" i="3" s="1"/>
  <c r="V3547" i="3"/>
  <c r="W3547" i="3" s="1"/>
  <c r="V3700" i="3"/>
  <c r="W3700" i="3" s="1"/>
  <c r="V3722" i="3"/>
  <c r="W3722" i="3" s="1"/>
  <c r="V3759" i="3"/>
  <c r="W3759" i="3" s="1"/>
  <c r="V3791" i="3"/>
  <c r="W3791" i="3" s="1"/>
  <c r="V3828" i="3"/>
  <c r="W3828" i="3" s="1"/>
  <c r="V3967" i="3"/>
  <c r="W3967" i="3" s="1"/>
  <c r="V4006" i="3"/>
  <c r="W4006" i="3" s="1"/>
  <c r="V4066" i="3"/>
  <c r="W4066" i="3" s="1"/>
  <c r="V4090" i="3"/>
  <c r="W4090" i="3" s="1"/>
  <c r="V4099" i="3"/>
  <c r="W4099" i="3" s="1"/>
  <c r="V4199" i="3"/>
  <c r="W4199" i="3" s="1"/>
  <c r="V4323" i="3"/>
  <c r="W4323" i="3" s="1"/>
  <c r="V4336" i="3"/>
  <c r="W4336" i="3" s="1"/>
  <c r="V4343" i="3"/>
  <c r="W4343" i="3" s="1"/>
  <c r="V4369" i="3"/>
  <c r="W4369" i="3" s="1"/>
  <c r="V4386" i="3"/>
  <c r="W4386" i="3" s="1"/>
  <c r="V4527" i="3"/>
  <c r="W4527" i="3" s="1"/>
  <c r="V4664" i="3"/>
  <c r="W4664" i="3" s="1"/>
  <c r="V4703" i="3"/>
  <c r="W4703" i="3" s="1"/>
  <c r="V4706" i="3"/>
  <c r="W4706" i="3" s="1"/>
  <c r="V4710" i="3"/>
  <c r="W4710" i="3" s="1"/>
  <c r="V4721" i="3"/>
  <c r="W4721" i="3" s="1"/>
  <c r="V117" i="3"/>
  <c r="W117" i="3" s="1"/>
  <c r="V191" i="3"/>
  <c r="W191" i="3" s="1"/>
  <c r="V318" i="3"/>
  <c r="W318" i="3" s="1"/>
  <c r="V335" i="3"/>
  <c r="W335" i="3" s="1"/>
  <c r="V437" i="3"/>
  <c r="W437" i="3" s="1"/>
  <c r="V478" i="3"/>
  <c r="W478" i="3" s="1"/>
  <c r="V553" i="3"/>
  <c r="W553" i="3" s="1"/>
  <c r="V562" i="3"/>
  <c r="W562" i="3" s="1"/>
  <c r="V624" i="3"/>
  <c r="W624" i="3" s="1"/>
  <c r="V725" i="3"/>
  <c r="W725" i="3" s="1"/>
  <c r="V763" i="3"/>
  <c r="W763" i="3" s="1"/>
  <c r="V806" i="3"/>
  <c r="W806" i="3" s="1"/>
  <c r="V841" i="3"/>
  <c r="W841" i="3" s="1"/>
  <c r="V917" i="3"/>
  <c r="W917" i="3" s="1"/>
  <c r="V986" i="3"/>
  <c r="W986" i="3" s="1"/>
  <c r="V1086" i="3"/>
  <c r="W1086" i="3" s="1"/>
  <c r="V1204" i="3"/>
  <c r="W1204" i="3" s="1"/>
  <c r="V1211" i="3"/>
  <c r="W1211" i="3" s="1"/>
  <c r="V1241" i="3"/>
  <c r="W1241" i="3" s="1"/>
  <c r="V1281" i="3"/>
  <c r="W1281" i="3" s="1"/>
  <c r="V1461" i="3"/>
  <c r="W1461" i="3" s="1"/>
  <c r="V1473" i="3"/>
  <c r="W1473" i="3" s="1"/>
  <c r="V1516" i="3"/>
  <c r="W1516" i="3" s="1"/>
  <c r="V1523" i="3"/>
  <c r="W1523" i="3" s="1"/>
  <c r="V1723" i="3"/>
  <c r="W1723" i="3" s="1"/>
  <c r="V1765" i="3"/>
  <c r="W1765" i="3" s="1"/>
  <c r="V1809" i="3"/>
  <c r="W1809" i="3" s="1"/>
  <c r="V1881" i="3"/>
  <c r="W1881" i="3" s="1"/>
  <c r="V1919" i="3"/>
  <c r="W1919" i="3" s="1"/>
  <c r="V1972" i="3"/>
  <c r="W1972" i="3" s="1"/>
  <c r="V1987" i="3"/>
  <c r="W1987" i="3" s="1"/>
  <c r="V2049" i="3"/>
  <c r="W2049" i="3" s="1"/>
  <c r="V2174" i="3"/>
  <c r="W2174" i="3" s="1"/>
  <c r="V2208" i="3"/>
  <c r="W2208" i="3" s="1"/>
  <c r="V2373" i="3"/>
  <c r="W2373" i="3" s="1"/>
  <c r="V2398" i="3"/>
  <c r="W2398" i="3" s="1"/>
  <c r="V2491" i="3"/>
  <c r="W2491" i="3" s="1"/>
  <c r="V2535" i="3"/>
  <c r="W2535" i="3" s="1"/>
  <c r="V2536" i="3"/>
  <c r="W2536" i="3" s="1"/>
  <c r="V2681" i="3"/>
  <c r="W2681" i="3" s="1"/>
  <c r="V2733" i="3"/>
  <c r="W2733" i="3" s="1"/>
  <c r="V2752" i="3"/>
  <c r="W2752" i="3" s="1"/>
  <c r="V2812" i="3"/>
  <c r="W2812" i="3" s="1"/>
  <c r="V3002" i="3"/>
  <c r="W3002" i="3" s="1"/>
  <c r="V3022" i="3"/>
  <c r="W3022" i="3" s="1"/>
  <c r="V3077" i="3"/>
  <c r="W3077" i="3" s="1"/>
  <c r="V3079" i="3"/>
  <c r="W3079" i="3" s="1"/>
  <c r="V3109" i="3"/>
  <c r="W3109" i="3" s="1"/>
  <c r="V3149" i="3"/>
  <c r="W3149" i="3" s="1"/>
  <c r="V3419" i="3"/>
  <c r="W3419" i="3" s="1"/>
  <c r="V3527" i="3"/>
  <c r="W3527" i="3" s="1"/>
  <c r="V3536" i="3"/>
  <c r="W3536" i="3" s="1"/>
  <c r="V3573" i="3"/>
  <c r="W3573" i="3" s="1"/>
  <c r="V3622" i="3"/>
  <c r="W3622" i="3" s="1"/>
  <c r="V3701" i="3"/>
  <c r="W3701" i="3" s="1"/>
  <c r="V3717" i="3"/>
  <c r="W3717" i="3" s="1"/>
  <c r="V3727" i="3"/>
  <c r="W3727" i="3" s="1"/>
  <c r="V3788" i="3"/>
  <c r="W3788" i="3" s="1"/>
  <c r="V3830" i="3"/>
  <c r="W3830" i="3" s="1"/>
  <c r="V3863" i="3"/>
  <c r="W3863" i="3" s="1"/>
  <c r="V3902" i="3"/>
  <c r="W3902" i="3" s="1"/>
  <c r="V3911" i="3"/>
  <c r="W3911" i="3" s="1"/>
  <c r="V3940" i="3"/>
  <c r="W3940" i="3" s="1"/>
  <c r="V4054" i="3"/>
  <c r="W4054" i="3" s="1"/>
  <c r="V4144" i="3"/>
  <c r="W4144" i="3" s="1"/>
  <c r="V4147" i="3"/>
  <c r="W4147" i="3" s="1"/>
  <c r="V4189" i="3"/>
  <c r="W4189" i="3" s="1"/>
  <c r="V4228" i="3"/>
  <c r="W4228" i="3" s="1"/>
  <c r="V4265" i="3"/>
  <c r="W4265" i="3" s="1"/>
  <c r="V4300" i="3"/>
  <c r="W4300" i="3" s="1"/>
  <c r="V4306" i="3"/>
  <c r="W4306" i="3" s="1"/>
  <c r="V4312" i="3"/>
  <c r="W4312" i="3" s="1"/>
  <c r="V4317" i="3"/>
  <c r="W4317" i="3" s="1"/>
  <c r="V4330" i="3"/>
  <c r="W4330" i="3" s="1"/>
  <c r="V4372" i="3"/>
  <c r="W4372" i="3" s="1"/>
  <c r="V4381" i="3"/>
  <c r="W4381" i="3" s="1"/>
  <c r="V4469" i="3"/>
  <c r="W4469" i="3" s="1"/>
  <c r="V4478" i="3"/>
  <c r="W4478" i="3" s="1"/>
  <c r="V4603" i="3"/>
  <c r="W4603" i="3" s="1"/>
  <c r="V4605" i="3"/>
  <c r="W4605" i="3" s="1"/>
  <c r="V4656" i="3"/>
  <c r="W4656" i="3" s="1"/>
  <c r="V131" i="3"/>
  <c r="W131" i="3" s="1"/>
  <c r="V411" i="3"/>
  <c r="W411" i="3" s="1"/>
  <c r="V759" i="3"/>
  <c r="W759" i="3" s="1"/>
  <c r="V1392" i="3"/>
  <c r="W1392" i="3" s="1"/>
  <c r="V1499" i="3"/>
  <c r="W1499" i="3" s="1"/>
  <c r="V1863" i="3"/>
  <c r="W1863" i="3" s="1"/>
  <c r="V2255" i="3"/>
  <c r="W2255" i="3" s="1"/>
  <c r="V2262" i="3"/>
  <c r="W2262" i="3" s="1"/>
  <c r="V2755" i="3"/>
  <c r="W2755" i="3" s="1"/>
  <c r="V2878" i="3"/>
  <c r="W2878" i="3" s="1"/>
  <c r="V3157" i="3"/>
  <c r="W3157" i="3" s="1"/>
  <c r="V3581" i="3"/>
  <c r="W3581" i="3" s="1"/>
  <c r="V3787" i="3"/>
  <c r="W3787" i="3" s="1"/>
  <c r="V3897" i="3"/>
  <c r="W3897" i="3" s="1"/>
  <c r="V3932" i="3"/>
  <c r="W3932" i="3" s="1"/>
  <c r="V4219" i="3"/>
  <c r="W4219" i="3" s="1"/>
  <c r="V4301" i="3"/>
  <c r="W4301" i="3" s="1"/>
  <c r="V4477" i="3"/>
  <c r="W4477" i="3" s="1"/>
  <c r="V4539" i="3"/>
  <c r="W4539" i="3" s="1"/>
  <c r="V4831" i="3"/>
  <c r="W4831" i="3" s="1"/>
  <c r="X16" i="3"/>
  <c r="X43" i="3"/>
  <c r="X56" i="3"/>
  <c r="X129" i="3"/>
  <c r="X174" i="3"/>
  <c r="X183" i="3"/>
  <c r="X202" i="3"/>
  <c r="X207" i="3"/>
  <c r="X215" i="3"/>
  <c r="X237" i="3"/>
  <c r="X250" i="3"/>
  <c r="X278" i="3"/>
  <c r="X285" i="3"/>
  <c r="X337" i="3"/>
  <c r="X343" i="3"/>
  <c r="X358" i="3"/>
  <c r="X389" i="3"/>
  <c r="X409" i="3"/>
  <c r="X491" i="3"/>
  <c r="X494" i="3"/>
  <c r="X500" i="3"/>
  <c r="X529" i="3"/>
  <c r="X531" i="3"/>
  <c r="X581" i="3"/>
  <c r="X593" i="3"/>
  <c r="X772" i="3"/>
  <c r="X794" i="3"/>
  <c r="X797" i="3"/>
  <c r="X803" i="3"/>
  <c r="X807" i="3"/>
  <c r="X821" i="3"/>
  <c r="X854" i="3"/>
  <c r="X877" i="3"/>
  <c r="X892" i="3"/>
  <c r="X905" i="3"/>
  <c r="X910" i="3"/>
  <c r="X920" i="3"/>
  <c r="X927" i="3"/>
  <c r="X928" i="3"/>
  <c r="X941" i="3"/>
  <c r="X992" i="3"/>
  <c r="X1010" i="3"/>
  <c r="X1052" i="3"/>
  <c r="X1053" i="3"/>
  <c r="X1093" i="3"/>
  <c r="X1101" i="3"/>
  <c r="X1128" i="3"/>
  <c r="X1135" i="3"/>
  <c r="X1245" i="3"/>
  <c r="X1301" i="3"/>
  <c r="X1324" i="3"/>
  <c r="X1349" i="3"/>
  <c r="X1362" i="3"/>
  <c r="X1411" i="3"/>
  <c r="X1425" i="3"/>
  <c r="X1426" i="3"/>
  <c r="X1433" i="3"/>
  <c r="X1444" i="3"/>
  <c r="X1556" i="3"/>
  <c r="X1569" i="3"/>
  <c r="X1629" i="3"/>
  <c r="X1639" i="3"/>
  <c r="X1664" i="3"/>
  <c r="X1713" i="3"/>
  <c r="X1748" i="3"/>
  <c r="X1774" i="3"/>
  <c r="X1784" i="3"/>
  <c r="X1813" i="3"/>
  <c r="X1820" i="3"/>
  <c r="X1838" i="3"/>
  <c r="X1963" i="3"/>
  <c r="X1973" i="3"/>
  <c r="X2000" i="3"/>
  <c r="X2054" i="3"/>
  <c r="X2068" i="3"/>
  <c r="X2101" i="3"/>
  <c r="X2122" i="3"/>
  <c r="X2160" i="3"/>
  <c r="X2233" i="3"/>
  <c r="X2234" i="3"/>
  <c r="X2298" i="3"/>
  <c r="X2332" i="3"/>
  <c r="X2427" i="3"/>
  <c r="X2565" i="3"/>
  <c r="X2586" i="3"/>
  <c r="X2608" i="3"/>
  <c r="X2625" i="3"/>
  <c r="X2641" i="3"/>
  <c r="X2666" i="3"/>
  <c r="X2667" i="3"/>
  <c r="X2691" i="3"/>
  <c r="X2694" i="3"/>
  <c r="X2705" i="3"/>
  <c r="X2720" i="3"/>
  <c r="X2729" i="3"/>
  <c r="X2737" i="3"/>
  <c r="X2738" i="3"/>
  <c r="X2765" i="3"/>
  <c r="X2772" i="3"/>
  <c r="X2779" i="3"/>
  <c r="X2797" i="3"/>
  <c r="X2829" i="3"/>
  <c r="X2834" i="3"/>
  <c r="X2869" i="3"/>
  <c r="X2876" i="3"/>
  <c r="X2896" i="3"/>
  <c r="X2945" i="3"/>
  <c r="X2955" i="3"/>
  <c r="X2998" i="3"/>
  <c r="X3025" i="3"/>
  <c r="X3057" i="3"/>
  <c r="X3089" i="3"/>
  <c r="X3106" i="3"/>
  <c r="X3136" i="3"/>
  <c r="X3189" i="3"/>
  <c r="X3195" i="3"/>
  <c r="X3236" i="3"/>
  <c r="X3267" i="3"/>
  <c r="X3427" i="3"/>
  <c r="X3431" i="3"/>
  <c r="X3460" i="3"/>
  <c r="X3472" i="3"/>
  <c r="X3494" i="3"/>
  <c r="X3502" i="3"/>
  <c r="X3621" i="3"/>
  <c r="X3625" i="3"/>
  <c r="X3638" i="3"/>
  <c r="X3653" i="3"/>
  <c r="X3675" i="3"/>
  <c r="X3695" i="3"/>
  <c r="X3711" i="3"/>
  <c r="X3747" i="3"/>
  <c r="X3796" i="3"/>
  <c r="X3814" i="3"/>
  <c r="X3833" i="3"/>
  <c r="X3841" i="3"/>
  <c r="X3849" i="3"/>
  <c r="X3871" i="3"/>
  <c r="X3961" i="3"/>
  <c r="X3973" i="3"/>
  <c r="X3988" i="3"/>
  <c r="X4088" i="3"/>
  <c r="X4092" i="3"/>
  <c r="X4153" i="3"/>
  <c r="X4188" i="3"/>
  <c r="X4237" i="3"/>
  <c r="X4356" i="3"/>
  <c r="X4385" i="3"/>
  <c r="X4407" i="3"/>
  <c r="X4411" i="3"/>
  <c r="X4422" i="3"/>
  <c r="X4425" i="3"/>
  <c r="X4429" i="3"/>
  <c r="X4447" i="3"/>
  <c r="X4448" i="3"/>
  <c r="X4488" i="3"/>
  <c r="X4537" i="3"/>
  <c r="X4563" i="3"/>
  <c r="X4616" i="3"/>
  <c r="X4658" i="3"/>
  <c r="X4669" i="3"/>
  <c r="X4735" i="3"/>
  <c r="X4738" i="3"/>
  <c r="X4793" i="3"/>
  <c r="X4810" i="3"/>
  <c r="X4819" i="3"/>
  <c r="X27" i="3"/>
  <c r="X31" i="3"/>
  <c r="X144" i="3"/>
  <c r="X156" i="3"/>
  <c r="X179" i="3"/>
  <c r="X282" i="3"/>
  <c r="X284" i="3"/>
  <c r="X341" i="3"/>
  <c r="X344" i="3"/>
  <c r="X360" i="3"/>
  <c r="X406" i="3"/>
  <c r="X432" i="3"/>
  <c r="X439" i="3"/>
  <c r="X441" i="3"/>
  <c r="X456" i="3"/>
  <c r="X498" i="3"/>
  <c r="X502" i="3"/>
  <c r="X514" i="3"/>
  <c r="X590" i="3"/>
  <c r="X599" i="3"/>
  <c r="X619" i="3"/>
  <c r="X621" i="3"/>
  <c r="X681" i="3"/>
  <c r="X692" i="3"/>
  <c r="X727" i="3"/>
  <c r="X731" i="3"/>
  <c r="X732" i="3"/>
  <c r="X733" i="3"/>
  <c r="X783" i="3"/>
  <c r="X800" i="3"/>
  <c r="X862" i="3"/>
  <c r="X878" i="3"/>
  <c r="X898" i="3"/>
  <c r="X999" i="3"/>
  <c r="X1028" i="3"/>
  <c r="X1041" i="3"/>
  <c r="X1072" i="3"/>
  <c r="X1113" i="3"/>
  <c r="X1167" i="3"/>
  <c r="X1171" i="3"/>
  <c r="X1180" i="3"/>
  <c r="X1224" i="3"/>
  <c r="X1265" i="3"/>
  <c r="X1275" i="3"/>
  <c r="X1346" i="3"/>
  <c r="X1360" i="3"/>
  <c r="X1369" i="3"/>
  <c r="X1420" i="3"/>
  <c r="X1481" i="3"/>
  <c r="X1492" i="3"/>
  <c r="X1678" i="3"/>
  <c r="X1717" i="3"/>
  <c r="X1719" i="3"/>
  <c r="X1733" i="3"/>
  <c r="X1736" i="3"/>
  <c r="X1750" i="3"/>
  <c r="X1764" i="3"/>
  <c r="X1893" i="3"/>
  <c r="X1942" i="3"/>
  <c r="X1984" i="3"/>
  <c r="X1998" i="3"/>
  <c r="X2061" i="3"/>
  <c r="X2102" i="3"/>
  <c r="X2123" i="3"/>
  <c r="X2133" i="3"/>
  <c r="X2168" i="3"/>
  <c r="X2179" i="3"/>
  <c r="X2227" i="3"/>
  <c r="X2252" i="3"/>
  <c r="X2261" i="3"/>
  <c r="X2265" i="3"/>
  <c r="X2282" i="3"/>
  <c r="X2296" i="3"/>
  <c r="X2303" i="3"/>
  <c r="X2320" i="3"/>
  <c r="X2323" i="3"/>
  <c r="X2360" i="3"/>
  <c r="X2393" i="3"/>
  <c r="X2420" i="3"/>
  <c r="X2426" i="3"/>
  <c r="X2461" i="3"/>
  <c r="X2546" i="3"/>
  <c r="X2573" i="3"/>
  <c r="X2644" i="3"/>
  <c r="X2653" i="3"/>
  <c r="X2680" i="3"/>
  <c r="X2687" i="3"/>
  <c r="X2721" i="3"/>
  <c r="X2722" i="3"/>
  <c r="X2727" i="3"/>
  <c r="X2730" i="3"/>
  <c r="X2798" i="3"/>
  <c r="X2813" i="3"/>
  <c r="X2816" i="3"/>
  <c r="X2831" i="3"/>
  <c r="X2948" i="3"/>
  <c r="X2974" i="3"/>
  <c r="X3072" i="3"/>
  <c r="X3105" i="3"/>
  <c r="X3121" i="3"/>
  <c r="X3124" i="3"/>
  <c r="X3140" i="3"/>
  <c r="X3193" i="3"/>
  <c r="X3247" i="3"/>
  <c r="X3380" i="3"/>
  <c r="X3404" i="3"/>
  <c r="X3416" i="3"/>
  <c r="X3438" i="3"/>
  <c r="X3480" i="3"/>
  <c r="X3490" i="3"/>
  <c r="X3533" i="3"/>
  <c r="X3535" i="3"/>
  <c r="X3604" i="3"/>
  <c r="X3620" i="3"/>
  <c r="X3667" i="3"/>
  <c r="X3684" i="3"/>
  <c r="X3739" i="3"/>
  <c r="X3742" i="3"/>
  <c r="X3755" i="3"/>
  <c r="X3769" i="3"/>
  <c r="X3802" i="3"/>
  <c r="X3806" i="3"/>
  <c r="X3810" i="3"/>
  <c r="X3857" i="3"/>
  <c r="X3870" i="3"/>
  <c r="X3916" i="3"/>
  <c r="X3924" i="3"/>
  <c r="X3942" i="3"/>
  <c r="X3969" i="3"/>
  <c r="X3982" i="3"/>
  <c r="X4003" i="3"/>
  <c r="X4027" i="3"/>
  <c r="X4030" i="3"/>
  <c r="X4042" i="3"/>
  <c r="X4098" i="3"/>
  <c r="X4104" i="3"/>
  <c r="X4106" i="3"/>
  <c r="X4114" i="3"/>
  <c r="X4117" i="3"/>
  <c r="X4149" i="3"/>
  <c r="X4150" i="3"/>
  <c r="X4152" i="3"/>
  <c r="X4298" i="3"/>
  <c r="X4308" i="3"/>
  <c r="X4321" i="3"/>
  <c r="X4390" i="3"/>
  <c r="X4403" i="3"/>
  <c r="X4520" i="3"/>
  <c r="X4531" i="3"/>
  <c r="X4643" i="3"/>
  <c r="X4717" i="3"/>
  <c r="X4751" i="3"/>
  <c r="X4772" i="3"/>
  <c r="X4779" i="3"/>
  <c r="X4796" i="3"/>
  <c r="X4820" i="3"/>
  <c r="X133" i="3"/>
  <c r="X141" i="3"/>
  <c r="X143" i="3"/>
  <c r="X288" i="3"/>
  <c r="X291" i="3"/>
  <c r="X375" i="3"/>
  <c r="X524" i="3"/>
  <c r="X527" i="3"/>
  <c r="X528" i="3"/>
  <c r="X657" i="3"/>
  <c r="X688" i="3"/>
  <c r="X715" i="3"/>
  <c r="X740" i="3"/>
  <c r="X801" i="3"/>
  <c r="X853" i="3"/>
  <c r="X946" i="3"/>
  <c r="X955" i="3"/>
  <c r="X1020" i="3"/>
  <c r="X1039" i="3"/>
  <c r="X1067" i="3"/>
  <c r="X1107" i="3"/>
  <c r="X1138" i="3"/>
  <c r="X1140" i="3"/>
  <c r="X1147" i="3"/>
  <c r="X1256" i="3"/>
  <c r="X1257" i="3"/>
  <c r="X1264" i="3"/>
  <c r="X1298" i="3"/>
  <c r="X1312" i="3"/>
  <c r="X1441" i="3"/>
  <c r="X1568" i="3"/>
  <c r="X1648" i="3"/>
  <c r="X1651" i="3"/>
  <c r="X1689" i="3"/>
  <c r="X1696" i="3"/>
  <c r="X1697" i="3"/>
  <c r="X1780" i="3"/>
  <c r="X1920" i="3"/>
  <c r="X1947" i="3"/>
  <c r="X1996" i="3"/>
  <c r="X2105" i="3"/>
  <c r="X2127" i="3"/>
  <c r="X2193" i="3"/>
  <c r="X2242" i="3"/>
  <c r="X2258" i="3"/>
  <c r="X2274" i="3"/>
  <c r="X2353" i="3"/>
  <c r="X2375" i="3"/>
  <c r="X2384" i="3"/>
  <c r="X2396" i="3"/>
  <c r="X2575" i="3"/>
  <c r="X2588" i="3"/>
  <c r="X2618" i="3"/>
  <c r="X2761" i="3"/>
  <c r="X2830" i="3"/>
  <c r="X2897" i="3"/>
  <c r="X3094" i="3"/>
  <c r="X3111" i="3"/>
  <c r="X3156" i="3"/>
  <c r="X3187" i="3"/>
  <c r="X3269" i="3"/>
  <c r="X3282" i="3"/>
  <c r="X3285" i="3"/>
  <c r="X3288" i="3"/>
  <c r="X3363" i="3"/>
  <c r="X3364" i="3"/>
  <c r="X3374" i="3"/>
  <c r="X3424" i="3"/>
  <c r="X3452" i="3"/>
  <c r="X3474" i="3"/>
  <c r="X3514" i="3"/>
  <c r="X3691" i="3"/>
  <c r="X3751" i="3"/>
  <c r="X3757" i="3"/>
  <c r="X3758" i="3"/>
  <c r="X3913" i="3"/>
  <c r="X3931" i="3"/>
  <c r="X3968" i="3"/>
  <c r="X3980" i="3"/>
  <c r="X4039" i="3"/>
  <c r="X4103" i="3"/>
  <c r="X4108" i="3"/>
  <c r="X4113" i="3"/>
  <c r="X4195" i="3"/>
  <c r="X4252" i="3"/>
  <c r="X4397" i="3"/>
  <c r="X4517" i="3"/>
  <c r="X4609" i="3"/>
  <c r="X4696" i="3"/>
  <c r="X4834" i="3"/>
  <c r="X53" i="3"/>
  <c r="X90" i="3"/>
  <c r="X123" i="3"/>
  <c r="X152" i="3"/>
  <c r="X182" i="3"/>
  <c r="X244" i="3"/>
  <c r="X429" i="3"/>
  <c r="X512" i="3"/>
  <c r="X607" i="3"/>
  <c r="X636" i="3"/>
  <c r="X717" i="3"/>
  <c r="X720" i="3"/>
  <c r="X739" i="3"/>
  <c r="X747" i="3"/>
  <c r="X923" i="3"/>
  <c r="X931" i="3"/>
  <c r="X993" i="3"/>
  <c r="X1019" i="3"/>
  <c r="X1159" i="3"/>
  <c r="X1162" i="3"/>
  <c r="X1319" i="3"/>
  <c r="X1341" i="3"/>
  <c r="X1354" i="3"/>
  <c r="X1358" i="3"/>
  <c r="X1376" i="3"/>
  <c r="X1445" i="3"/>
  <c r="X1533" i="3"/>
  <c r="X1539" i="3"/>
  <c r="X1561" i="3"/>
  <c r="X1615" i="3"/>
  <c r="X1834" i="3"/>
  <c r="X1859" i="3"/>
  <c r="X1927" i="3"/>
  <c r="X1939" i="3"/>
  <c r="X1945" i="3"/>
  <c r="X2027" i="3"/>
  <c r="X2089" i="3"/>
  <c r="X2108" i="3"/>
  <c r="X2159" i="3"/>
  <c r="X2163" i="3"/>
  <c r="X2171" i="3"/>
  <c r="X2250" i="3"/>
  <c r="X2472" i="3"/>
  <c r="X2518" i="3"/>
  <c r="X2614" i="3"/>
  <c r="X2640" i="3"/>
  <c r="X2651" i="3"/>
  <c r="X2717" i="3"/>
  <c r="X2723" i="3"/>
  <c r="X2863" i="3"/>
  <c r="X2868" i="3"/>
  <c r="X2950" i="3"/>
  <c r="X2992" i="3"/>
  <c r="X2997" i="3"/>
  <c r="X3061" i="3"/>
  <c r="X3064" i="3"/>
  <c r="X3075" i="3"/>
  <c r="X3102" i="3"/>
  <c r="X3119" i="3"/>
  <c r="X3133" i="3"/>
  <c r="X3208" i="3"/>
  <c r="X3214" i="3"/>
  <c r="X3321" i="3"/>
  <c r="X3397" i="3"/>
  <c r="X3590" i="3"/>
  <c r="X3687" i="3"/>
  <c r="X3698" i="3"/>
  <c r="X3726" i="3"/>
  <c r="X3738" i="3"/>
  <c r="X3762" i="3"/>
  <c r="X3800" i="3"/>
  <c r="X3858" i="3"/>
  <c r="X3914" i="3"/>
  <c r="X4019" i="3"/>
  <c r="X4105" i="3"/>
  <c r="X4192" i="3"/>
  <c r="X4229" i="3"/>
  <c r="X4262" i="3"/>
  <c r="X4303" i="3"/>
  <c r="X4393" i="3"/>
  <c r="X4440" i="3"/>
  <c r="X4727" i="3"/>
  <c r="X41" i="3"/>
  <c r="X105" i="3"/>
  <c r="X107" i="3"/>
  <c r="X428" i="3"/>
  <c r="X1029" i="3"/>
  <c r="X1157" i="3"/>
  <c r="X1307" i="3"/>
  <c r="X1421" i="3"/>
  <c r="X1484" i="3"/>
  <c r="X1575" i="3"/>
  <c r="X1803" i="3"/>
  <c r="X1832" i="3"/>
  <c r="X1931" i="3"/>
  <c r="X1968" i="3"/>
  <c r="X1989" i="3"/>
  <c r="X2091" i="3"/>
  <c r="X2104" i="3"/>
  <c r="X2111" i="3"/>
  <c r="X2307" i="3"/>
  <c r="X2321" i="3"/>
  <c r="X2517" i="3"/>
  <c r="X2534" i="3"/>
  <c r="X2620" i="3"/>
  <c r="X2726" i="3"/>
  <c r="X2820" i="3"/>
  <c r="X2859" i="3"/>
  <c r="X2918" i="3"/>
  <c r="X2964" i="3"/>
  <c r="X3063" i="3"/>
  <c r="X3117" i="3"/>
  <c r="X3220" i="3"/>
  <c r="X3299" i="3"/>
  <c r="X3342" i="3"/>
  <c r="X3384" i="3"/>
  <c r="X3407" i="3"/>
  <c r="X3466" i="3"/>
  <c r="X3501" i="3"/>
  <c r="X3526" i="3"/>
  <c r="X3554" i="3"/>
  <c r="X3579" i="3"/>
  <c r="X3693" i="3"/>
  <c r="X3840" i="3"/>
  <c r="X3946" i="3"/>
  <c r="X4255" i="3"/>
  <c r="X4420" i="3"/>
  <c r="X4433" i="3"/>
  <c r="X4634" i="3"/>
  <c r="X198" i="3"/>
  <c r="X393" i="3"/>
  <c r="X397" i="3"/>
  <c r="X465" i="3"/>
  <c r="X499" i="3"/>
  <c r="X622" i="3"/>
  <c r="X752" i="3"/>
  <c r="X830" i="3"/>
  <c r="X884" i="3"/>
  <c r="X943" i="3"/>
  <c r="X1054" i="3"/>
  <c r="X1145" i="3"/>
  <c r="X1479" i="3"/>
  <c r="X1544" i="3"/>
  <c r="X1573" i="3"/>
  <c r="X1700" i="3"/>
  <c r="X1810" i="3"/>
  <c r="X2067" i="3"/>
  <c r="X2113" i="3"/>
  <c r="X2292" i="3"/>
  <c r="X2605" i="3"/>
  <c r="X2657" i="3"/>
  <c r="X2664" i="3"/>
  <c r="X2693" i="3"/>
  <c r="X2977" i="3"/>
  <c r="X3019" i="3"/>
  <c r="X3023" i="3"/>
  <c r="X3356" i="3"/>
  <c r="X3378" i="3"/>
  <c r="X3448" i="3"/>
  <c r="X3681" i="3"/>
  <c r="X3779" i="3"/>
  <c r="X3862" i="3"/>
  <c r="X3894" i="3"/>
  <c r="X3912" i="3"/>
  <c r="X3927" i="3"/>
  <c r="X3993" i="3"/>
  <c r="X4000" i="3"/>
  <c r="X4080" i="3"/>
  <c r="X4374" i="3"/>
  <c r="X4378" i="3"/>
  <c r="X4389" i="3"/>
  <c r="X4436" i="3"/>
  <c r="X4496" i="3"/>
  <c r="X4684" i="3"/>
  <c r="X4811" i="3"/>
  <c r="X64" i="3"/>
  <c r="X153" i="3"/>
  <c r="X200" i="3"/>
  <c r="X373" i="3"/>
  <c r="X410" i="3"/>
  <c r="X550" i="3"/>
  <c r="X823" i="3"/>
  <c r="X846" i="3"/>
  <c r="X963" i="3"/>
  <c r="X969" i="3"/>
  <c r="X1033" i="3"/>
  <c r="X1203" i="3"/>
  <c r="X1333" i="3"/>
  <c r="X1440" i="3"/>
  <c r="X1609" i="3"/>
  <c r="X1706" i="3"/>
  <c r="X1762" i="3"/>
  <c r="X1890" i="3"/>
  <c r="X1895" i="3"/>
  <c r="X2096" i="3"/>
  <c r="X2124" i="3"/>
  <c r="X2137" i="3"/>
  <c r="X2228" i="3"/>
  <c r="X2263" i="3"/>
  <c r="X2275" i="3"/>
  <c r="X2308" i="3"/>
  <c r="X2358" i="3"/>
  <c r="X2378" i="3"/>
  <c r="X2442" i="3"/>
  <c r="X2527" i="3"/>
  <c r="X2663" i="3"/>
  <c r="X2739" i="3"/>
  <c r="X2759" i="3"/>
  <c r="X2793" i="3"/>
  <c r="X2811" i="3"/>
  <c r="X2850" i="3"/>
  <c r="X2965" i="3"/>
  <c r="X3045" i="3"/>
  <c r="X3110" i="3"/>
  <c r="X3118" i="3"/>
  <c r="X3192" i="3"/>
  <c r="X3371" i="3"/>
  <c r="X3402" i="3"/>
  <c r="X3446" i="3"/>
  <c r="X3565" i="3"/>
  <c r="X3651" i="3"/>
  <c r="X3724" i="3"/>
  <c r="X3890" i="3"/>
  <c r="X3910" i="3"/>
  <c r="X4028" i="3"/>
  <c r="X4034" i="3"/>
  <c r="X4177" i="3"/>
  <c r="X4184" i="3"/>
  <c r="X4340" i="3"/>
  <c r="X4388" i="3"/>
  <c r="X4463" i="3"/>
  <c r="X4479" i="3"/>
  <c r="X4572" i="3"/>
  <c r="X4598" i="3"/>
  <c r="X4633" i="3"/>
  <c r="X4640" i="3"/>
  <c r="X4661" i="3"/>
  <c r="X4720" i="3"/>
  <c r="X4780" i="3"/>
  <c r="X4809" i="3"/>
  <c r="X189" i="3"/>
  <c r="X255" i="3"/>
  <c r="X384" i="3"/>
  <c r="X402" i="3"/>
  <c r="X447" i="3"/>
  <c r="X482" i="3"/>
  <c r="X495" i="3"/>
  <c r="X549" i="3"/>
  <c r="X558" i="3"/>
  <c r="X644" i="3"/>
  <c r="X682" i="3"/>
  <c r="X781" i="3"/>
  <c r="X795" i="3"/>
  <c r="X903" i="3"/>
  <c r="X919" i="3"/>
  <c r="X1004" i="3"/>
  <c r="X1073" i="3"/>
  <c r="X1124" i="3"/>
  <c r="X1185" i="3"/>
  <c r="X1230" i="3"/>
  <c r="X1259" i="3"/>
  <c r="X1311" i="3"/>
  <c r="X1342" i="3"/>
  <c r="X1344" i="3"/>
  <c r="X1378" i="3"/>
  <c r="X1447" i="3"/>
  <c r="X1486" i="3"/>
  <c r="X1551" i="3"/>
  <c r="X1618" i="3"/>
  <c r="X1644" i="3"/>
  <c r="X1828" i="3"/>
  <c r="X1905" i="3"/>
  <c r="X1971" i="3"/>
  <c r="X2073" i="3"/>
  <c r="X2142" i="3"/>
  <c r="X2167" i="3"/>
  <c r="X2280" i="3"/>
  <c r="X2316" i="3"/>
  <c r="X2459" i="3"/>
  <c r="X2492" i="3"/>
  <c r="X2607" i="3"/>
  <c r="X2616" i="3"/>
  <c r="X2662" i="3"/>
  <c r="X2796" i="3"/>
  <c r="X2800" i="3"/>
  <c r="X2894" i="3"/>
  <c r="X2959" i="3"/>
  <c r="X2962" i="3"/>
  <c r="X2968" i="3"/>
  <c r="X3047" i="3"/>
  <c r="X3068" i="3"/>
  <c r="X3320" i="3"/>
  <c r="X3349" i="3"/>
  <c r="X3462" i="3"/>
  <c r="X3516" i="3"/>
  <c r="X3578" i="3"/>
  <c r="X3616" i="3"/>
  <c r="X3647" i="3"/>
  <c r="X3659" i="3"/>
  <c r="X3716" i="3"/>
  <c r="X3740" i="3"/>
  <c r="X3797" i="3"/>
  <c r="X3801" i="3"/>
  <c r="X3847" i="3"/>
  <c r="X4166" i="3"/>
  <c r="X4266" i="3"/>
  <c r="X4289" i="3"/>
  <c r="X4325" i="3"/>
  <c r="X4453" i="3"/>
  <c r="X4553" i="3"/>
  <c r="X4619" i="3"/>
  <c r="X4707" i="3"/>
  <c r="X4744" i="3"/>
  <c r="X4749" i="3"/>
  <c r="X4791" i="3"/>
  <c r="X29" i="3"/>
  <c r="X50" i="3"/>
  <c r="X116" i="3"/>
  <c r="X145" i="3"/>
  <c r="X193" i="3"/>
  <c r="X346" i="3"/>
  <c r="X357" i="3"/>
  <c r="X472" i="3"/>
  <c r="X573" i="3"/>
  <c r="X620" i="3"/>
  <c r="X700" i="3"/>
  <c r="X791" i="3"/>
  <c r="X834" i="3"/>
  <c r="X962" i="3"/>
  <c r="X973" i="3"/>
  <c r="X1003" i="3"/>
  <c r="X1022" i="3"/>
  <c r="X1050" i="3"/>
  <c r="X1114" i="3"/>
  <c r="X1188" i="3"/>
  <c r="X1190" i="3"/>
  <c r="X1196" i="3"/>
  <c r="X1248" i="3"/>
  <c r="X1270" i="3"/>
  <c r="X1280" i="3"/>
  <c r="X1321" i="3"/>
  <c r="X1332" i="3"/>
  <c r="X1338" i="3"/>
  <c r="X1602" i="3"/>
  <c r="X1656" i="3"/>
  <c r="X1665" i="3"/>
  <c r="X1858" i="3"/>
  <c r="X1888" i="3"/>
  <c r="X1913" i="3"/>
  <c r="X1959" i="3"/>
  <c r="X1960" i="3"/>
  <c r="X1999" i="3"/>
  <c r="X2031" i="3"/>
  <c r="X2146" i="3"/>
  <c r="X2236" i="3"/>
  <c r="X2268" i="3"/>
  <c r="X2304" i="3"/>
  <c r="X2311" i="3"/>
  <c r="X2326" i="3"/>
  <c r="X2385" i="3"/>
  <c r="X2417" i="3"/>
  <c r="X2493" i="3"/>
  <c r="X2504" i="3"/>
  <c r="X2604" i="3"/>
  <c r="X2708" i="3"/>
  <c r="X2756" i="3"/>
  <c r="X2773" i="3"/>
  <c r="X2819" i="3"/>
  <c r="X2851" i="3"/>
  <c r="X2967" i="3"/>
  <c r="X3013" i="3"/>
  <c r="X3036" i="3"/>
  <c r="X3055" i="3"/>
  <c r="X3103" i="3"/>
  <c r="X3122" i="3"/>
  <c r="X3207" i="3"/>
  <c r="X3226" i="3"/>
  <c r="X3281" i="3"/>
  <c r="X3294" i="3"/>
  <c r="X3346" i="3"/>
  <c r="X3359" i="3"/>
  <c r="X3408" i="3"/>
  <c r="X3415" i="3"/>
  <c r="X3507" i="3"/>
  <c r="X3521" i="3"/>
  <c r="X3559" i="3"/>
  <c r="X3617" i="3"/>
  <c r="X3661" i="3"/>
  <c r="X3756" i="3"/>
  <c r="X3766" i="3"/>
  <c r="X3778" i="3"/>
  <c r="X3837" i="3"/>
  <c r="X3851" i="3"/>
  <c r="X4116" i="3"/>
  <c r="X4258" i="3"/>
  <c r="X4335" i="3"/>
  <c r="X4338" i="3"/>
  <c r="X4410" i="3"/>
  <c r="X4415" i="3"/>
  <c r="X4638" i="3"/>
  <c r="X4645" i="3"/>
  <c r="X4646" i="3"/>
  <c r="X4672" i="3"/>
  <c r="X4778" i="3"/>
  <c r="X24" i="3"/>
  <c r="X95" i="3"/>
  <c r="X149" i="3"/>
  <c r="X185" i="3"/>
  <c r="X225" i="3"/>
  <c r="X228" i="3"/>
  <c r="X229" i="3"/>
  <c r="X239" i="3"/>
  <c r="X254" i="3"/>
  <c r="X281" i="3"/>
  <c r="X321" i="3"/>
  <c r="X353" i="3"/>
  <c r="X418" i="3"/>
  <c r="X617" i="3"/>
  <c r="X658" i="3"/>
  <c r="X663" i="3"/>
  <c r="X693" i="3"/>
  <c r="X753" i="3"/>
  <c r="X755" i="3"/>
  <c r="X871" i="3"/>
  <c r="X913" i="3"/>
  <c r="X918" i="3"/>
  <c r="X960" i="3"/>
  <c r="X964" i="3"/>
  <c r="X972" i="3"/>
  <c r="X1152" i="3"/>
  <c r="X1183" i="3"/>
  <c r="X1187" i="3"/>
  <c r="X1197" i="3"/>
  <c r="X1237" i="3"/>
  <c r="X1283" i="3"/>
  <c r="X1286" i="3"/>
  <c r="X1290" i="3"/>
  <c r="X1305" i="3"/>
  <c r="X1384" i="3"/>
  <c r="X1390" i="3"/>
  <c r="X1458" i="3"/>
  <c r="X1459" i="3"/>
  <c r="X1530" i="3"/>
  <c r="X1543" i="3"/>
  <c r="X1631" i="3"/>
  <c r="X1633" i="3"/>
  <c r="X1643" i="3"/>
  <c r="X1660" i="3"/>
  <c r="X1677" i="3"/>
  <c r="X1868" i="3"/>
  <c r="X1869" i="3"/>
  <c r="X2007" i="3"/>
  <c r="X2015" i="3"/>
  <c r="X2041" i="3"/>
  <c r="X2139" i="3"/>
  <c r="X2155" i="3"/>
  <c r="X2231" i="3"/>
  <c r="X2247" i="3"/>
  <c r="X2251" i="3"/>
  <c r="X2371" i="3"/>
  <c r="X2403" i="3"/>
  <c r="X2529" i="3"/>
  <c r="X2631" i="3"/>
  <c r="X2645" i="3"/>
  <c r="X2648" i="3"/>
  <c r="X2671" i="3"/>
  <c r="X2689" i="3"/>
  <c r="X2731" i="3"/>
  <c r="X2753" i="3"/>
  <c r="X2769" i="3"/>
  <c r="X2787" i="3"/>
  <c r="X2791" i="3"/>
  <c r="X2808" i="3"/>
  <c r="X2818" i="3"/>
  <c r="X2828" i="3"/>
  <c r="X2849" i="3"/>
  <c r="X2890" i="3"/>
  <c r="X2961" i="3"/>
  <c r="X2972" i="3"/>
  <c r="X3015" i="3"/>
  <c r="X3031" i="3"/>
  <c r="X3051" i="3"/>
  <c r="X3080" i="3"/>
  <c r="X3181" i="3"/>
  <c r="X3272" i="3"/>
  <c r="X3283" i="3"/>
  <c r="X3297" i="3"/>
  <c r="X3305" i="3"/>
  <c r="X3309" i="3"/>
  <c r="X3453" i="3"/>
  <c r="X3493" i="3"/>
  <c r="X3497" i="3"/>
  <c r="X3531" i="3"/>
  <c r="X3550" i="3"/>
  <c r="X3557" i="3"/>
  <c r="X3577" i="3"/>
  <c r="X3588" i="3"/>
  <c r="X3598" i="3"/>
  <c r="X3718" i="3"/>
  <c r="X3729" i="3"/>
  <c r="X3812" i="3"/>
  <c r="X3903" i="3"/>
  <c r="X3979" i="3"/>
  <c r="X4146" i="3"/>
  <c r="X4183" i="3"/>
  <c r="X4196" i="3"/>
  <c r="X4206" i="3"/>
  <c r="X4247" i="3"/>
  <c r="X4277" i="3"/>
  <c r="X4284" i="3"/>
  <c r="X4295" i="3"/>
  <c r="X4361" i="3"/>
  <c r="X4419" i="3"/>
  <c r="X4476" i="3"/>
  <c r="X4482" i="3"/>
  <c r="X4490" i="3"/>
  <c r="X4526" i="3"/>
  <c r="X4612" i="3"/>
  <c r="X4621" i="3"/>
  <c r="X4630" i="3"/>
  <c r="X4666" i="3"/>
  <c r="X4683" i="3"/>
  <c r="X4741" i="3"/>
  <c r="X4775" i="3"/>
  <c r="X4813" i="3"/>
  <c r="X7" i="3"/>
  <c r="X10" i="3"/>
  <c r="X57" i="3"/>
  <c r="X81" i="3"/>
  <c r="X147" i="3"/>
  <c r="X157" i="3"/>
  <c r="X195" i="3"/>
  <c r="X203" i="3"/>
  <c r="X241" i="3"/>
  <c r="X299" i="3"/>
  <c r="X366" i="3"/>
  <c r="X374" i="3"/>
  <c r="X377" i="3"/>
  <c r="X391" i="3"/>
  <c r="X476" i="3"/>
  <c r="X487" i="3"/>
  <c r="X515" i="3"/>
  <c r="X584" i="3"/>
  <c r="X643" i="3"/>
  <c r="X708" i="3"/>
  <c r="X773" i="3"/>
  <c r="X849" i="3"/>
  <c r="X881" i="3"/>
  <c r="X889" i="3"/>
  <c r="X894" i="3"/>
  <c r="X895" i="3"/>
  <c r="X904" i="3"/>
  <c r="X957" i="3"/>
  <c r="X1012" i="3"/>
  <c r="X1071" i="3"/>
  <c r="X1099" i="3"/>
  <c r="X1110" i="3"/>
  <c r="X1153" i="3"/>
  <c r="X1168" i="3"/>
  <c r="X1169" i="3"/>
  <c r="X1189" i="3"/>
  <c r="X1200" i="3"/>
  <c r="X1205" i="3"/>
  <c r="X1218" i="3"/>
  <c r="X1221" i="3"/>
  <c r="X1223" i="3"/>
  <c r="X1246" i="3"/>
  <c r="X1255" i="3"/>
  <c r="X1381" i="3"/>
  <c r="X1391" i="3"/>
  <c r="X1442" i="3"/>
  <c r="X1475" i="3"/>
  <c r="X1501" i="3"/>
  <c r="X1519" i="3"/>
  <c r="X1529" i="3"/>
  <c r="X1534" i="3"/>
  <c r="X1542" i="3"/>
  <c r="X1552" i="3"/>
  <c r="X1640" i="3"/>
  <c r="X1658" i="3"/>
  <c r="X1766" i="3"/>
  <c r="X1783" i="3"/>
  <c r="X1801" i="3"/>
  <c r="X1830" i="3"/>
  <c r="X1833" i="3"/>
  <c r="X1902" i="3"/>
  <c r="X1904" i="3"/>
  <c r="X1921" i="3"/>
  <c r="X2026" i="3"/>
  <c r="X2141" i="3"/>
  <c r="X2152" i="3"/>
  <c r="X2173" i="3"/>
  <c r="X2180" i="3"/>
  <c r="X2198" i="3"/>
  <c r="X2249" i="3"/>
  <c r="X2256" i="3"/>
  <c r="X2259" i="3"/>
  <c r="X2267" i="3"/>
  <c r="X2299" i="3"/>
  <c r="X2325" i="3"/>
  <c r="X2347" i="3"/>
  <c r="X2357" i="3"/>
  <c r="X2368" i="3"/>
  <c r="X2460" i="3"/>
  <c r="X2465" i="3"/>
  <c r="X2476" i="3"/>
  <c r="X2485" i="3"/>
  <c r="X2522" i="3"/>
  <c r="X2553" i="3"/>
  <c r="X2560" i="3"/>
  <c r="X2562" i="3"/>
  <c r="X2563" i="3"/>
  <c r="X2587" i="3"/>
  <c r="X2633" i="3"/>
  <c r="X2686" i="3"/>
  <c r="X2725" i="3"/>
  <c r="X2750" i="3"/>
  <c r="X2776" i="3"/>
  <c r="X2815" i="3"/>
  <c r="X2905" i="3"/>
  <c r="X2909" i="3"/>
  <c r="X2983" i="3"/>
  <c r="X2987" i="3"/>
  <c r="X2990" i="3"/>
  <c r="X3048" i="3"/>
  <c r="X3071" i="3"/>
  <c r="X3158" i="3"/>
  <c r="X3182" i="3"/>
  <c r="X3238" i="3"/>
  <c r="X3261" i="3"/>
  <c r="X3275" i="3"/>
  <c r="X3317" i="3"/>
  <c r="X3329" i="3"/>
  <c r="X3331" i="3"/>
  <c r="X3336" i="3"/>
  <c r="X3389" i="3"/>
  <c r="X3413" i="3"/>
  <c r="X3489" i="3"/>
  <c r="X3523" i="3"/>
  <c r="X3560" i="3"/>
  <c r="X3603" i="3"/>
  <c r="X3615" i="3"/>
  <c r="X3618" i="3"/>
  <c r="X3713" i="3"/>
  <c r="X3760" i="3"/>
  <c r="X3803" i="3"/>
  <c r="X3817" i="3"/>
  <c r="X3887" i="3"/>
  <c r="X3944" i="3"/>
  <c r="X3958" i="3"/>
  <c r="X3978" i="3"/>
  <c r="X3997" i="3"/>
  <c r="X4038" i="3"/>
  <c r="X4056" i="3"/>
  <c r="X4137" i="3"/>
  <c r="X4148" i="3"/>
  <c r="X4204" i="3"/>
  <c r="X4259" i="3"/>
  <c r="X4260" i="3"/>
  <c r="X4351" i="3"/>
  <c r="X4383" i="3"/>
  <c r="X4391" i="3"/>
  <c r="X4417" i="3"/>
  <c r="X4428" i="3"/>
  <c r="X4431" i="3"/>
  <c r="X4454" i="3"/>
  <c r="X4468" i="3"/>
  <c r="X4471" i="3"/>
  <c r="X4528" i="3"/>
  <c r="X4540" i="3"/>
  <c r="X4545" i="3"/>
  <c r="X4624" i="3"/>
  <c r="X4648" i="3"/>
  <c r="X4685" i="3"/>
  <c r="X4698" i="3"/>
  <c r="X4714" i="3"/>
  <c r="X4725" i="3"/>
  <c r="X48" i="3"/>
  <c r="X401" i="3"/>
  <c r="X630" i="3"/>
  <c r="X637" i="3"/>
  <c r="X638" i="3"/>
  <c r="X645" i="3"/>
  <c r="X678" i="3"/>
  <c r="X736" i="3"/>
  <c r="X749" i="3"/>
  <c r="X886" i="3"/>
  <c r="X976" i="3"/>
  <c r="X1058" i="3"/>
  <c r="X1120" i="3"/>
  <c r="X1130" i="3"/>
  <c r="X1186" i="3"/>
  <c r="X1212" i="3"/>
  <c r="X1261" i="3"/>
  <c r="X1403" i="3"/>
  <c r="X1460" i="3"/>
  <c r="X1471" i="3"/>
  <c r="X1545" i="3"/>
  <c r="X1548" i="3"/>
  <c r="X1572" i="3"/>
  <c r="X1591" i="3"/>
  <c r="X1600" i="3"/>
  <c r="X1611" i="3"/>
  <c r="X1671" i="3"/>
  <c r="X1742" i="3"/>
  <c r="X1769" i="3"/>
  <c r="X1839" i="3"/>
  <c r="X1877" i="3"/>
  <c r="X1912" i="3"/>
  <c r="X1980" i="3"/>
  <c r="X1986" i="3"/>
  <c r="X1988" i="3"/>
  <c r="X2099" i="3"/>
  <c r="X2129" i="3"/>
  <c r="X2150" i="3"/>
  <c r="X2177" i="3"/>
  <c r="X2350" i="3"/>
  <c r="X2480" i="3"/>
  <c r="X2551" i="3"/>
  <c r="X2612" i="3"/>
  <c r="X2718" i="3"/>
  <c r="X2810" i="3"/>
  <c r="X2947" i="3"/>
  <c r="X2980" i="3"/>
  <c r="X2984" i="3"/>
  <c r="X2986" i="3"/>
  <c r="X2989" i="3"/>
  <c r="X3163" i="3"/>
  <c r="X3170" i="3"/>
  <c r="X3201" i="3"/>
  <c r="X3303" i="3"/>
  <c r="X3306" i="3"/>
  <c r="X3433" i="3"/>
  <c r="X3473" i="3"/>
  <c r="X3491" i="3"/>
  <c r="X3529" i="3"/>
  <c r="X3543" i="3"/>
  <c r="X3650" i="3"/>
  <c r="X3679" i="3"/>
  <c r="X3750" i="3"/>
  <c r="X3808" i="3"/>
  <c r="X3834" i="3"/>
  <c r="X3915" i="3"/>
  <c r="X4205" i="3"/>
  <c r="X4231" i="3"/>
  <c r="X4380" i="3"/>
  <c r="X4406" i="3"/>
  <c r="X4466" i="3"/>
  <c r="X4693" i="3"/>
  <c r="X4705" i="3"/>
  <c r="X4748" i="3"/>
  <c r="X4804" i="3"/>
  <c r="X2" i="3"/>
  <c r="X22" i="3"/>
  <c r="X26" i="3"/>
  <c r="X38" i="3"/>
  <c r="X58" i="3"/>
  <c r="X92" i="3"/>
  <c r="X137" i="3"/>
  <c r="X155" i="3"/>
  <c r="X162" i="3"/>
  <c r="X171" i="3"/>
  <c r="X177" i="3"/>
  <c r="X214" i="3"/>
  <c r="X233" i="3"/>
  <c r="X246" i="3"/>
  <c r="X259" i="3"/>
  <c r="X301" i="3"/>
  <c r="X319" i="3"/>
  <c r="X328" i="3"/>
  <c r="X333" i="3"/>
  <c r="X336" i="3"/>
  <c r="X350" i="3"/>
  <c r="X383" i="3"/>
  <c r="X400" i="3"/>
  <c r="X419" i="3"/>
  <c r="X423" i="3"/>
  <c r="X449" i="3"/>
  <c r="X501" i="3"/>
  <c r="X516" i="3"/>
  <c r="X535" i="3"/>
  <c r="X560" i="3"/>
  <c r="X577" i="3"/>
  <c r="X625" i="3"/>
  <c r="X627" i="3"/>
  <c r="X676" i="3"/>
  <c r="X719" i="3"/>
  <c r="X742" i="3"/>
  <c r="X744" i="3"/>
  <c r="X751" i="3"/>
  <c r="X754" i="3"/>
  <c r="X756" i="3"/>
  <c r="X786" i="3"/>
  <c r="X789" i="3"/>
  <c r="X810" i="3"/>
  <c r="X813" i="3"/>
  <c r="X814" i="3"/>
  <c r="X842" i="3"/>
  <c r="X872" i="3"/>
  <c r="X887" i="3"/>
  <c r="X924" i="3"/>
  <c r="X925" i="3"/>
  <c r="X934" i="3"/>
  <c r="X981" i="3"/>
  <c r="X1018" i="3"/>
  <c r="X1059" i="3"/>
  <c r="X1075" i="3"/>
  <c r="X1082" i="3"/>
  <c r="X1085" i="3"/>
  <c r="X1087" i="3"/>
  <c r="X1091" i="3"/>
  <c r="X1104" i="3"/>
  <c r="X1109" i="3"/>
  <c r="X1151" i="3"/>
  <c r="X1174" i="3"/>
  <c r="X1195" i="3"/>
  <c r="X1225" i="3"/>
  <c r="X1268" i="3"/>
  <c r="X1331" i="3"/>
  <c r="X1334" i="3"/>
  <c r="X1373" i="3"/>
  <c r="X1406" i="3"/>
  <c r="X1407" i="3"/>
  <c r="X1446" i="3"/>
  <c r="X1463" i="3"/>
  <c r="X1509" i="3"/>
  <c r="X1579" i="3"/>
  <c r="X1616" i="3"/>
  <c r="X1636" i="3"/>
  <c r="X1666" i="3"/>
  <c r="X1675" i="3"/>
  <c r="X1692" i="3"/>
  <c r="X1731" i="3"/>
  <c r="X1749" i="3"/>
  <c r="X1814" i="3"/>
  <c r="X1829" i="3"/>
  <c r="X1992" i="3"/>
  <c r="X2016" i="3"/>
  <c r="X2046" i="3"/>
  <c r="X2050" i="3"/>
  <c r="X2116" i="3"/>
  <c r="X2121" i="3"/>
  <c r="X2162" i="3"/>
  <c r="X2191" i="3"/>
  <c r="X2212" i="3"/>
  <c r="X2220" i="3"/>
  <c r="X2300" i="3"/>
  <c r="X2369" i="3"/>
  <c r="X2377" i="3"/>
  <c r="X2406" i="3"/>
  <c r="X2438" i="3"/>
  <c r="X2441" i="3"/>
  <c r="X2477" i="3"/>
  <c r="X2554" i="3"/>
  <c r="X2558" i="3"/>
  <c r="X2577" i="3"/>
  <c r="X2622" i="3"/>
  <c r="X2661" i="3"/>
  <c r="X2673" i="3"/>
  <c r="X2683" i="3"/>
  <c r="X2704" i="3"/>
  <c r="X2747" i="3"/>
  <c r="X2794" i="3"/>
  <c r="X2821" i="3"/>
  <c r="X2841" i="3"/>
  <c r="X2877" i="3"/>
  <c r="X2879" i="3"/>
  <c r="X2888" i="3"/>
  <c r="X2889" i="3"/>
  <c r="X2891" i="3"/>
  <c r="X2912" i="3"/>
  <c r="X2933" i="3"/>
  <c r="X2937" i="3"/>
  <c r="X2952" i="3"/>
  <c r="X2996" i="3"/>
  <c r="X3003" i="3"/>
  <c r="X3016" i="3"/>
  <c r="X3017" i="3"/>
  <c r="X3040" i="3"/>
  <c r="X3043" i="3"/>
  <c r="X3059" i="3"/>
  <c r="X3099" i="3"/>
  <c r="X3142" i="3"/>
  <c r="X3233" i="3"/>
  <c r="X3235" i="3"/>
  <c r="X3237" i="3"/>
  <c r="X3240" i="3"/>
  <c r="X3271" i="3"/>
  <c r="X3337" i="3"/>
  <c r="X3340" i="3"/>
  <c r="X3385" i="3"/>
  <c r="X3441" i="3"/>
  <c r="X3459" i="3"/>
  <c r="X3461" i="3"/>
  <c r="X3485" i="3"/>
  <c r="X3517" i="3"/>
  <c r="X3541" i="3"/>
  <c r="X3563" i="3"/>
  <c r="X3568" i="3"/>
  <c r="X3610" i="3"/>
  <c r="X3619" i="3"/>
  <c r="X3634" i="3"/>
  <c r="X3663" i="3"/>
  <c r="X3680" i="3"/>
  <c r="X3689" i="3"/>
  <c r="X3822" i="3"/>
  <c r="X3829" i="3"/>
  <c r="X3845" i="3"/>
  <c r="X3859" i="3"/>
  <c r="X3861" i="3"/>
  <c r="X3921" i="3"/>
  <c r="X3936" i="3"/>
  <c r="X3937" i="3"/>
  <c r="X3947" i="3"/>
  <c r="X3959" i="3"/>
  <c r="X4128" i="3"/>
  <c r="X4172" i="3"/>
  <c r="X4193" i="3"/>
  <c r="X4213" i="3"/>
  <c r="X4282" i="3"/>
  <c r="X4379" i="3"/>
  <c r="X4472" i="3"/>
  <c r="X4525" i="3"/>
  <c r="X4562" i="3"/>
  <c r="X4573" i="3"/>
  <c r="X4625" i="3"/>
  <c r="X4651" i="3"/>
  <c r="X4697" i="3"/>
  <c r="X4729" i="3"/>
  <c r="X4736" i="3"/>
  <c r="X4798" i="3"/>
  <c r="X4830" i="3"/>
  <c r="X323" i="3"/>
  <c r="X526" i="3"/>
  <c r="X1423" i="3"/>
  <c r="X2166" i="3"/>
  <c r="X2186" i="3"/>
  <c r="X2344" i="3"/>
  <c r="X2799" i="3"/>
  <c r="X2931" i="3"/>
  <c r="X3058" i="3"/>
  <c r="X3710" i="3"/>
  <c r="X4134" i="3"/>
  <c r="X4167" i="3"/>
  <c r="X4208" i="3"/>
  <c r="X4682" i="3"/>
  <c r="X1315" i="3"/>
  <c r="X2210" i="3"/>
  <c r="X2222" i="3"/>
  <c r="X2394" i="3"/>
  <c r="X2418" i="3"/>
  <c r="X3469" i="3"/>
  <c r="X3824" i="3"/>
  <c r="X4484" i="3"/>
  <c r="X4733" i="3"/>
  <c r="X4825" i="3"/>
  <c r="X86" i="3"/>
  <c r="X235" i="3"/>
  <c r="X280" i="3"/>
  <c r="X289" i="3"/>
  <c r="X331" i="3"/>
  <c r="X351" i="3"/>
  <c r="X497" i="3"/>
  <c r="X505" i="3"/>
  <c r="X520" i="3"/>
  <c r="X521" i="3"/>
  <c r="X653" i="3"/>
  <c r="X673" i="3"/>
  <c r="X696" i="3"/>
  <c r="X702" i="3"/>
  <c r="X812" i="3"/>
  <c r="X829" i="3"/>
  <c r="X965" i="3"/>
  <c r="X978" i="3"/>
  <c r="X1045" i="3"/>
  <c r="X1064" i="3"/>
  <c r="X1118" i="3"/>
  <c r="X1249" i="3"/>
  <c r="X1325" i="3"/>
  <c r="X1363" i="3"/>
  <c r="X1493" i="3"/>
  <c r="X1504" i="3"/>
  <c r="X1517" i="3"/>
  <c r="X1532" i="3"/>
  <c r="X1607" i="3"/>
  <c r="X1707" i="3"/>
  <c r="X1757" i="3"/>
  <c r="X1805" i="3"/>
  <c r="X2003" i="3"/>
  <c r="X2043" i="3"/>
  <c r="X2095" i="3"/>
  <c r="X2271" i="3"/>
  <c r="X2290" i="3"/>
  <c r="X2340" i="3"/>
  <c r="X2341" i="3"/>
  <c r="X2423" i="3"/>
  <c r="X2484" i="3"/>
  <c r="X2506" i="3"/>
  <c r="X2544" i="3"/>
  <c r="X2572" i="3"/>
  <c r="X2603" i="3"/>
  <c r="X2638" i="3"/>
  <c r="X2716" i="3"/>
  <c r="X2744" i="3"/>
  <c r="X2836" i="3"/>
  <c r="X2919" i="3"/>
  <c r="X2927" i="3"/>
  <c r="X2928" i="3"/>
  <c r="X2994" i="3"/>
  <c r="X3041" i="3"/>
  <c r="X3096" i="3"/>
  <c r="X3104" i="3"/>
  <c r="X3108" i="3"/>
  <c r="X3123" i="3"/>
  <c r="X3126" i="3"/>
  <c r="X3167" i="3"/>
  <c r="X3179" i="3"/>
  <c r="X3292" i="3"/>
  <c r="X3333" i="3"/>
  <c r="X3344" i="3"/>
  <c r="X3393" i="3"/>
  <c r="X3399" i="3"/>
  <c r="X3435" i="3"/>
  <c r="X3530" i="3"/>
  <c r="X3558" i="3"/>
  <c r="X3564" i="3"/>
  <c r="X3678" i="3"/>
  <c r="X3720" i="3"/>
  <c r="X3723" i="3"/>
  <c r="X3725" i="3"/>
  <c r="X3736" i="3"/>
  <c r="X3811" i="3"/>
  <c r="X3821" i="3"/>
  <c r="X3869" i="3"/>
  <c r="X3966" i="3"/>
  <c r="X4033" i="3"/>
  <c r="X4141" i="3"/>
  <c r="X4157" i="3"/>
  <c r="X4165" i="3"/>
  <c r="X4198" i="3"/>
  <c r="X4202" i="3"/>
  <c r="X4309" i="3"/>
  <c r="X4319" i="3"/>
  <c r="X4339" i="3"/>
  <c r="X4421" i="3"/>
  <c r="X4443" i="3"/>
  <c r="X4558" i="3"/>
  <c r="X4708" i="3"/>
  <c r="X4709" i="3"/>
  <c r="X4759" i="3"/>
  <c r="X4766" i="3"/>
  <c r="X4784" i="3"/>
  <c r="X62" i="3"/>
  <c r="X66" i="3"/>
  <c r="X113" i="3"/>
  <c r="X164" i="3"/>
  <c r="X169" i="3"/>
  <c r="X213" i="3"/>
  <c r="X231" i="3"/>
  <c r="X382" i="3"/>
  <c r="X387" i="3"/>
  <c r="X525" i="3"/>
  <c r="X534" i="3"/>
  <c r="X536" i="3"/>
  <c r="X583" i="3"/>
  <c r="X615" i="3"/>
  <c r="X722" i="3"/>
  <c r="X745" i="3"/>
  <c r="X787" i="3"/>
  <c r="X799" i="3"/>
  <c r="X817" i="3"/>
  <c r="X832" i="3"/>
  <c r="X1001" i="3"/>
  <c r="X1021" i="3"/>
  <c r="X1049" i="3"/>
  <c r="X1083" i="3"/>
  <c r="X1191" i="3"/>
  <c r="X1243" i="3"/>
  <c r="X1260" i="3"/>
  <c r="X1287" i="3"/>
  <c r="X1292" i="3"/>
  <c r="X1299" i="3"/>
  <c r="X1302" i="3"/>
  <c r="X1304" i="3"/>
  <c r="X1327" i="3"/>
  <c r="X1448" i="3"/>
  <c r="X1455" i="3"/>
  <c r="X1487" i="3"/>
  <c r="X1510" i="3"/>
  <c r="X1553" i="3"/>
  <c r="X1559" i="3"/>
  <c r="X1570" i="3"/>
  <c r="X1601" i="3"/>
  <c r="X1632" i="3"/>
  <c r="X1638" i="3"/>
  <c r="X1751" i="3"/>
  <c r="X1754" i="3"/>
  <c r="X1755" i="3"/>
  <c r="X1923" i="3"/>
  <c r="X2018" i="3"/>
  <c r="X2025" i="3"/>
  <c r="X2033" i="3"/>
  <c r="X2119" i="3"/>
  <c r="X2156" i="3"/>
  <c r="X2165" i="3"/>
  <c r="X2184" i="3"/>
  <c r="X2188" i="3"/>
  <c r="X2217" i="3"/>
  <c r="X2238" i="3"/>
  <c r="X2318" i="3"/>
  <c r="X2324" i="3"/>
  <c r="X2431" i="3"/>
  <c r="X2432" i="3"/>
  <c r="X2448" i="3"/>
  <c r="X2458" i="3"/>
  <c r="X2509" i="3"/>
  <c r="X2523" i="3"/>
  <c r="X2540" i="3"/>
  <c r="X2571" i="3"/>
  <c r="X2647" i="3"/>
  <c r="X2655" i="3"/>
  <c r="X2695" i="3"/>
  <c r="X2864" i="3"/>
  <c r="X2874" i="3"/>
  <c r="X2881" i="3"/>
  <c r="X2893" i="3"/>
  <c r="X2899" i="3"/>
  <c r="X2930" i="3"/>
  <c r="X2999" i="3"/>
  <c r="X3021" i="3"/>
  <c r="X3078" i="3"/>
  <c r="X3135" i="3"/>
  <c r="X3213" i="3"/>
  <c r="X3273" i="3"/>
  <c r="X3286" i="3"/>
  <c r="X3310" i="3"/>
  <c r="X3327" i="3"/>
  <c r="X3347" i="3"/>
  <c r="X3439" i="3"/>
  <c r="X3511" i="3"/>
  <c r="X3613" i="3"/>
  <c r="X3614" i="3"/>
  <c r="X3669" i="3"/>
  <c r="X3784" i="3"/>
  <c r="X3809" i="3"/>
  <c r="X3866" i="3"/>
  <c r="X3923" i="3"/>
  <c r="X3999" i="3"/>
  <c r="X4022" i="3"/>
  <c r="X4032" i="3"/>
  <c r="X4135" i="3"/>
  <c r="X4140" i="3"/>
  <c r="X4145" i="3"/>
  <c r="X4158" i="3"/>
  <c r="X4194" i="3"/>
  <c r="X4210" i="3"/>
  <c r="X4211" i="3"/>
  <c r="X4223" i="3"/>
  <c r="X4302" i="3"/>
  <c r="X4375" i="3"/>
  <c r="X4376" i="3"/>
  <c r="X4416" i="3"/>
  <c r="X4670" i="3"/>
  <c r="X4675" i="3"/>
  <c r="X4726" i="3"/>
  <c r="X4815" i="3"/>
  <c r="X14" i="3"/>
  <c r="X65" i="3"/>
  <c r="X67" i="3"/>
  <c r="X75" i="3"/>
  <c r="X82" i="3"/>
  <c r="X115" i="3"/>
  <c r="X118" i="3"/>
  <c r="X148" i="3"/>
  <c r="X151" i="3"/>
  <c r="X175" i="3"/>
  <c r="X178" i="3"/>
  <c r="X181" i="3"/>
  <c r="X204" i="3"/>
  <c r="X294" i="3"/>
  <c r="X394" i="3"/>
  <c r="X408" i="3"/>
  <c r="X454" i="3"/>
  <c r="X474" i="3"/>
  <c r="X485" i="3"/>
  <c r="X488" i="3"/>
  <c r="X490" i="3"/>
  <c r="X493" i="3"/>
  <c r="X544" i="3"/>
  <c r="X556" i="3"/>
  <c r="X571" i="3"/>
  <c r="X574" i="3"/>
  <c r="X576" i="3"/>
  <c r="X579" i="3"/>
  <c r="X608" i="3"/>
  <c r="X629" i="3"/>
  <c r="X650" i="3"/>
  <c r="X674" i="3"/>
  <c r="X677" i="3"/>
  <c r="X779" i="3"/>
  <c r="X796" i="3"/>
  <c r="X826" i="3"/>
  <c r="X847" i="3"/>
  <c r="X869" i="3"/>
  <c r="X899" i="3"/>
  <c r="X926" i="3"/>
  <c r="X930" i="3"/>
  <c r="X942" i="3"/>
  <c r="X947" i="3"/>
  <c r="X953" i="3"/>
  <c r="X956" i="3"/>
  <c r="X967" i="3"/>
  <c r="X971" i="3"/>
  <c r="X982" i="3"/>
  <c r="X991" i="3"/>
  <c r="X1031" i="3"/>
  <c r="X1037" i="3"/>
  <c r="X1042" i="3"/>
  <c r="X1063" i="3"/>
  <c r="X1105" i="3"/>
  <c r="X1119" i="3"/>
  <c r="X1134" i="3"/>
  <c r="X1177" i="3"/>
  <c r="X1192" i="3"/>
  <c r="X1194" i="3"/>
  <c r="X1219" i="3"/>
  <c r="X1285" i="3"/>
  <c r="X1314" i="3"/>
  <c r="X1355" i="3"/>
  <c r="X1415" i="3"/>
  <c r="X1435" i="3"/>
  <c r="X1436" i="3"/>
  <c r="X1466" i="3"/>
  <c r="X1498" i="3"/>
  <c r="X1508" i="3"/>
  <c r="X1511" i="3"/>
  <c r="X1566" i="3"/>
  <c r="X1574" i="3"/>
  <c r="X1580" i="3"/>
  <c r="X1589" i="3"/>
  <c r="X1642" i="3"/>
  <c r="X1655" i="3"/>
  <c r="X1682" i="3"/>
  <c r="X1685" i="3"/>
  <c r="X1694" i="3"/>
  <c r="X1710" i="3"/>
  <c r="X1714" i="3"/>
  <c r="X1726" i="3"/>
  <c r="X1727" i="3"/>
  <c r="X1732" i="3"/>
  <c r="X1768" i="3"/>
  <c r="X1825" i="3"/>
  <c r="X1915" i="3"/>
  <c r="X1933" i="3"/>
  <c r="X1954" i="3"/>
  <c r="X1956" i="3"/>
  <c r="X1970" i="3"/>
  <c r="X1977" i="3"/>
  <c r="X1985" i="3"/>
  <c r="X2028" i="3"/>
  <c r="X2029" i="3"/>
  <c r="X2038" i="3"/>
  <c r="X2052" i="3"/>
  <c r="X2063" i="3"/>
  <c r="X2072" i="3"/>
  <c r="X2107" i="3"/>
  <c r="X2181" i="3"/>
  <c r="X2226" i="3"/>
  <c r="X2239" i="3"/>
  <c r="X2302" i="3"/>
  <c r="X2310" i="3"/>
  <c r="X2392" i="3"/>
  <c r="X2414" i="3"/>
  <c r="X2443" i="3"/>
  <c r="X2467" i="3"/>
  <c r="X2486" i="3"/>
  <c r="X2494" i="3"/>
  <c r="X2496" i="3"/>
  <c r="X2502" i="3"/>
  <c r="X2552" i="3"/>
  <c r="X2564" i="3"/>
  <c r="X2578" i="3"/>
  <c r="X2584" i="3"/>
  <c r="X2585" i="3"/>
  <c r="X2606" i="3"/>
  <c r="X2609" i="3"/>
  <c r="X2698" i="3"/>
  <c r="X2699" i="3"/>
  <c r="X2758" i="3"/>
  <c r="X2805" i="3"/>
  <c r="X2824" i="3"/>
  <c r="X2826" i="3"/>
  <c r="X2840" i="3"/>
  <c r="X2857" i="3"/>
  <c r="X2866" i="3"/>
  <c r="X2908" i="3"/>
  <c r="X3008" i="3"/>
  <c r="X3012" i="3"/>
  <c r="X3028" i="3"/>
  <c r="X3056" i="3"/>
  <c r="X3128" i="3"/>
  <c r="X3145" i="3"/>
  <c r="X3147" i="3"/>
  <c r="X3162" i="3"/>
  <c r="X3268" i="3"/>
  <c r="X3280" i="3"/>
  <c r="X3324" i="3"/>
  <c r="X3362" i="3"/>
  <c r="X3366" i="3"/>
  <c r="X3432" i="3"/>
  <c r="X3440" i="3"/>
  <c r="X3444" i="3"/>
  <c r="X3451" i="3"/>
  <c r="X3484" i="3"/>
  <c r="X3512" i="3"/>
  <c r="X3589" i="3"/>
  <c r="X3599" i="3"/>
  <c r="X3601" i="3"/>
  <c r="X3629" i="3"/>
  <c r="X3666" i="3"/>
  <c r="X3671" i="3"/>
  <c r="X3674" i="3"/>
  <c r="X3682" i="3"/>
  <c r="X3761" i="3"/>
  <c r="X3768" i="3"/>
  <c r="X3793" i="3"/>
  <c r="X3874" i="3"/>
  <c r="X3920" i="3"/>
  <c r="X3922" i="3"/>
  <c r="X3963" i="3"/>
  <c r="X3987" i="3"/>
  <c r="X4133" i="3"/>
  <c r="X4142" i="3"/>
  <c r="X4154" i="3"/>
  <c r="X4169" i="3"/>
  <c r="X4187" i="3"/>
  <c r="X4191" i="3"/>
  <c r="X4215" i="3"/>
  <c r="X4235" i="3"/>
  <c r="X4248" i="3"/>
  <c r="X4377" i="3"/>
  <c r="X4529" i="3"/>
  <c r="X4587" i="3"/>
  <c r="X4591" i="3"/>
  <c r="X4606" i="3"/>
  <c r="X4615" i="3"/>
  <c r="X4626" i="3"/>
  <c r="X4628" i="3"/>
  <c r="X4632" i="3"/>
  <c r="X4747" i="3"/>
  <c r="X4792" i="3"/>
  <c r="X4814" i="3"/>
  <c r="X4832" i="3"/>
  <c r="X11" i="3"/>
  <c r="X12" i="3"/>
  <c r="X30" i="3"/>
  <c r="X168" i="3"/>
  <c r="X170" i="3"/>
  <c r="X172" i="3"/>
  <c r="X236" i="3"/>
  <c r="X257" i="3"/>
  <c r="X305" i="3"/>
  <c r="X308" i="3"/>
  <c r="X324" i="3"/>
  <c r="X424" i="3"/>
  <c r="X507" i="3"/>
  <c r="X522" i="3"/>
  <c r="X557" i="3"/>
  <c r="X572" i="3"/>
  <c r="X600" i="3"/>
  <c r="X601" i="3"/>
  <c r="X610" i="3"/>
  <c r="X618" i="3"/>
  <c r="X635" i="3"/>
  <c r="X671" i="3"/>
  <c r="X691" i="3"/>
  <c r="X695" i="3"/>
  <c r="X748" i="3"/>
  <c r="X767" i="3"/>
  <c r="X775" i="3"/>
  <c r="X824" i="3"/>
  <c r="X856" i="3"/>
  <c r="X865" i="3"/>
  <c r="X921" i="3"/>
  <c r="X944" i="3"/>
  <c r="X970" i="3"/>
  <c r="X994" i="3"/>
  <c r="X1008" i="3"/>
  <c r="X1027" i="3"/>
  <c r="X1122" i="3"/>
  <c r="X1141" i="3"/>
  <c r="X1144" i="3"/>
  <c r="X1158" i="3"/>
  <c r="X1227" i="3"/>
  <c r="X1228" i="3"/>
  <c r="X1233" i="3"/>
  <c r="X1235" i="3"/>
  <c r="X1247" i="3"/>
  <c r="X1250" i="3"/>
  <c r="X1262" i="3"/>
  <c r="X1367" i="3"/>
  <c r="X1372" i="3"/>
  <c r="X1389" i="3"/>
  <c r="X1422" i="3"/>
  <c r="X1452" i="3"/>
  <c r="X1494" i="3"/>
  <c r="X1584" i="3"/>
  <c r="X1595" i="3"/>
  <c r="X1614" i="3"/>
  <c r="X1620" i="3"/>
  <c r="X1647" i="3"/>
  <c r="X1649" i="3"/>
  <c r="X1759" i="3"/>
  <c r="X1767" i="3"/>
  <c r="X1837" i="3"/>
  <c r="X1847" i="3"/>
  <c r="X1870" i="3"/>
  <c r="X1946" i="3"/>
  <c r="X1951" i="3"/>
  <c r="X1979" i="3"/>
  <c r="X2010" i="3"/>
  <c r="X2032" i="3"/>
  <c r="X2071" i="3"/>
  <c r="X2100" i="3"/>
  <c r="X2110" i="3"/>
  <c r="X2114" i="3"/>
  <c r="X2211" i="3"/>
  <c r="X2248" i="3"/>
  <c r="X2254" i="3"/>
  <c r="X2301" i="3"/>
  <c r="X2370" i="3"/>
  <c r="X2397" i="3"/>
  <c r="X2405" i="3"/>
  <c r="X2416" i="3"/>
  <c r="X2445" i="3"/>
  <c r="X2473" i="3"/>
  <c r="X2537" i="3"/>
  <c r="X2539" i="3"/>
  <c r="X2556" i="3"/>
  <c r="X2580" i="3"/>
  <c r="X2678" i="3"/>
  <c r="X2679" i="3"/>
  <c r="X2696" i="3"/>
  <c r="X2712" i="3"/>
  <c r="X2748" i="3"/>
  <c r="X2785" i="3"/>
  <c r="X2837" i="3"/>
  <c r="X2858" i="3"/>
  <c r="X2902" i="3"/>
  <c r="X2922" i="3"/>
  <c r="X2951" i="3"/>
  <c r="X3038" i="3"/>
  <c r="X3060" i="3"/>
  <c r="X3074" i="3"/>
  <c r="X3083" i="3"/>
  <c r="X3085" i="3"/>
  <c r="X3086" i="3"/>
  <c r="X3150" i="3"/>
  <c r="X3166" i="3"/>
  <c r="X3229" i="3"/>
  <c r="X3232" i="3"/>
  <c r="X3241" i="3"/>
  <c r="X3246" i="3"/>
  <c r="X3263" i="3"/>
  <c r="X3277" i="3"/>
  <c r="X3287" i="3"/>
  <c r="X3289" i="3"/>
  <c r="X3318" i="3"/>
  <c r="X3323" i="3"/>
  <c r="X3357" i="3"/>
  <c r="X3403" i="3"/>
  <c r="X3406" i="3"/>
  <c r="X3422" i="3"/>
  <c r="X3437" i="3"/>
  <c r="X3478" i="3"/>
  <c r="X3479" i="3"/>
  <c r="X3552" i="3"/>
  <c r="X3556" i="3"/>
  <c r="X3600" i="3"/>
  <c r="X3633" i="3"/>
  <c r="X3677" i="3"/>
  <c r="X3730" i="3"/>
  <c r="X3733" i="3"/>
  <c r="X3749" i="3"/>
  <c r="X3765" i="3"/>
  <c r="X3770" i="3"/>
  <c r="X3775" i="3"/>
  <c r="X3789" i="3"/>
  <c r="X3794" i="3"/>
  <c r="X3882" i="3"/>
  <c r="X3889" i="3"/>
  <c r="X3908" i="3"/>
  <c r="X3925" i="3"/>
  <c r="X3929" i="3"/>
  <c r="X3981" i="3"/>
  <c r="X3983" i="3"/>
  <c r="X4015" i="3"/>
  <c r="X4061" i="3"/>
  <c r="X4111" i="3"/>
  <c r="X4176" i="3"/>
  <c r="X4181" i="3"/>
  <c r="X4222" i="3"/>
  <c r="X4224" i="3"/>
  <c r="X4241" i="3"/>
  <c r="X4251" i="3"/>
  <c r="X4311" i="3"/>
  <c r="X4395" i="3"/>
  <c r="X4398" i="3"/>
  <c r="X4511" i="3"/>
  <c r="X4596" i="3"/>
  <c r="X4636" i="3"/>
  <c r="X4667" i="3"/>
  <c r="X4668" i="3"/>
  <c r="X4679" i="3"/>
  <c r="X4686" i="3"/>
  <c r="X4687" i="3"/>
  <c r="X4701" i="3"/>
  <c r="X4716" i="3"/>
  <c r="X4756" i="3"/>
  <c r="X4761" i="3"/>
  <c r="X4781" i="3"/>
  <c r="X4786" i="3"/>
  <c r="X70" i="3"/>
  <c r="X73" i="3"/>
  <c r="X180" i="3"/>
  <c r="X216" i="3"/>
  <c r="X222" i="3"/>
  <c r="X296" i="3"/>
  <c r="X300" i="3"/>
  <c r="X330" i="3"/>
  <c r="X338" i="3"/>
  <c r="X458" i="3"/>
  <c r="X518" i="3"/>
  <c r="X533" i="3"/>
  <c r="X679" i="3"/>
  <c r="X758" i="3"/>
  <c r="X768" i="3"/>
  <c r="X792" i="3"/>
  <c r="X863" i="3"/>
  <c r="X880" i="3"/>
  <c r="X891" i="3"/>
  <c r="X1024" i="3"/>
  <c r="X1036" i="3"/>
  <c r="X1156" i="3"/>
  <c r="X1163" i="3"/>
  <c r="X1239" i="3"/>
  <c r="X1303" i="3"/>
  <c r="X1364" i="3"/>
  <c r="X1408" i="3"/>
  <c r="X1428" i="3"/>
  <c r="X1708" i="3"/>
  <c r="X1906" i="3"/>
  <c r="X1950" i="3"/>
  <c r="X2051" i="3"/>
  <c r="X2065" i="3"/>
  <c r="X2098" i="3"/>
  <c r="X2329" i="3"/>
  <c r="X2413" i="3"/>
  <c r="X2433" i="3"/>
  <c r="X2490" i="3"/>
  <c r="X2602" i="3"/>
  <c r="X2642" i="3"/>
  <c r="X2688" i="3"/>
  <c r="X2854" i="3"/>
  <c r="X2920" i="3"/>
  <c r="X2935" i="3"/>
  <c r="X3026" i="3"/>
  <c r="X3244" i="3"/>
  <c r="X3251" i="3"/>
  <c r="X3260" i="3"/>
  <c r="X3319" i="3"/>
  <c r="X3360" i="3"/>
  <c r="X3392" i="3"/>
  <c r="X3464" i="3"/>
  <c r="X3503" i="3"/>
  <c r="X3542" i="3"/>
  <c r="X3545" i="3"/>
  <c r="X3548" i="3"/>
  <c r="X3645" i="3"/>
  <c r="X3670" i="3"/>
  <c r="X3699" i="3"/>
  <c r="X3795" i="3"/>
  <c r="X3893" i="3"/>
  <c r="X3938" i="3"/>
  <c r="X3972" i="3"/>
  <c r="X4041" i="3"/>
  <c r="X4125" i="3"/>
  <c r="X4209" i="3"/>
  <c r="X4334" i="3"/>
  <c r="X4470" i="3"/>
  <c r="X4513" i="3"/>
  <c r="X4578" i="3"/>
  <c r="X4579" i="3"/>
  <c r="X4681" i="3"/>
  <c r="X4757" i="3"/>
  <c r="X4769" i="3"/>
  <c r="X15" i="3"/>
  <c r="X42" i="3"/>
  <c r="X45" i="3"/>
  <c r="X220" i="3"/>
  <c r="X221" i="3"/>
  <c r="X224" i="3"/>
  <c r="X275" i="3"/>
  <c r="X290" i="3"/>
  <c r="X315" i="3"/>
  <c r="X405" i="3"/>
  <c r="X420" i="3"/>
  <c r="X421" i="3"/>
  <c r="X461" i="3"/>
  <c r="X466" i="3"/>
  <c r="X480" i="3"/>
  <c r="X492" i="3"/>
  <c r="X513" i="3"/>
  <c r="X530" i="3"/>
  <c r="X570" i="3"/>
  <c r="X588" i="3"/>
  <c r="X649" i="3"/>
  <c r="X659" i="3"/>
  <c r="X667" i="3"/>
  <c r="X690" i="3"/>
  <c r="X705" i="3"/>
  <c r="X777" i="3"/>
  <c r="X843" i="3"/>
  <c r="X882" i="3"/>
  <c r="X900" i="3"/>
  <c r="X902" i="3"/>
  <c r="X909" i="3"/>
  <c r="X933" i="3"/>
  <c r="X938" i="3"/>
  <c r="X945" i="3"/>
  <c r="X980" i="3"/>
  <c r="X990" i="3"/>
  <c r="X1002" i="3"/>
  <c r="X1016" i="3"/>
  <c r="X1026" i="3"/>
  <c r="X1060" i="3"/>
  <c r="X1076" i="3"/>
  <c r="X1094" i="3"/>
  <c r="X1139" i="3"/>
  <c r="X1184" i="3"/>
  <c r="X1273" i="3"/>
  <c r="X1379" i="3"/>
  <c r="X1400" i="3"/>
  <c r="X1409" i="3"/>
  <c r="X1434" i="3"/>
  <c r="X1470" i="3"/>
  <c r="X1617" i="3"/>
  <c r="X1637" i="3"/>
  <c r="X1721" i="3"/>
  <c r="X1763" i="3"/>
  <c r="X1791" i="3"/>
  <c r="X1800" i="3"/>
  <c r="X1917" i="3"/>
  <c r="X1922" i="3"/>
  <c r="X1926" i="3"/>
  <c r="X2034" i="3"/>
  <c r="X2035" i="3"/>
  <c r="X2161" i="3"/>
  <c r="X2223" i="3"/>
  <c r="X2225" i="3"/>
  <c r="X2291" i="3"/>
  <c r="X2293" i="3"/>
  <c r="X2306" i="3"/>
  <c r="X2317" i="3"/>
  <c r="X2336" i="3"/>
  <c r="X2366" i="3"/>
  <c r="X2399" i="3"/>
  <c r="X2407" i="3"/>
  <c r="X2447" i="3"/>
  <c r="X2451" i="3"/>
  <c r="X2482" i="3"/>
  <c r="X2489" i="3"/>
  <c r="X2511" i="3"/>
  <c r="X2515" i="3"/>
  <c r="X2610" i="3"/>
  <c r="X2636" i="3"/>
  <c r="X2643" i="3"/>
  <c r="X2650" i="3"/>
  <c r="X2710" i="3"/>
  <c r="X2774" i="3"/>
  <c r="X2839" i="3"/>
  <c r="X2867" i="3"/>
  <c r="X2886" i="3"/>
  <c r="X2895" i="3"/>
  <c r="X2898" i="3"/>
  <c r="X2942" i="3"/>
  <c r="X2956" i="3"/>
  <c r="X2960" i="3"/>
  <c r="X3005" i="3"/>
  <c r="X3054" i="3"/>
  <c r="X3076" i="3"/>
  <c r="X3095" i="3"/>
  <c r="X3113" i="3"/>
  <c r="X3159" i="3"/>
  <c r="X3168" i="3"/>
  <c r="X3215" i="3"/>
  <c r="X3222" i="3"/>
  <c r="X3248" i="3"/>
  <c r="X3307" i="3"/>
  <c r="X3353" i="3"/>
  <c r="X3370" i="3"/>
  <c r="X3394" i="3"/>
  <c r="X3423" i="3"/>
  <c r="X3425" i="3"/>
  <c r="X3465" i="3"/>
  <c r="X3510" i="3"/>
  <c r="X3539" i="3"/>
  <c r="X3584" i="3"/>
  <c r="X3587" i="3"/>
  <c r="X3591" i="3"/>
  <c r="X3630" i="3"/>
  <c r="X3644" i="3"/>
  <c r="X3654" i="3"/>
  <c r="X3676" i="3"/>
  <c r="X3776" i="3"/>
  <c r="X3804" i="3"/>
  <c r="X3831" i="3"/>
  <c r="X3962" i="3"/>
  <c r="X4051" i="3"/>
  <c r="X4052" i="3"/>
  <c r="X4062" i="3"/>
  <c r="X4075" i="3"/>
  <c r="X4085" i="3"/>
  <c r="X4095" i="3"/>
  <c r="X4159" i="3"/>
  <c r="X4160" i="3"/>
  <c r="X4170" i="3"/>
  <c r="X4264" i="3"/>
  <c r="X4271" i="3"/>
  <c r="X4427" i="3"/>
  <c r="X4435" i="3"/>
  <c r="X4450" i="3"/>
  <c r="X4451" i="3"/>
  <c r="X4547" i="3"/>
  <c r="X4567" i="3"/>
  <c r="X4580" i="3"/>
  <c r="X4641" i="3"/>
  <c r="X4745" i="3"/>
  <c r="X4764" i="3"/>
  <c r="X4790" i="3"/>
  <c r="X4808" i="3"/>
  <c r="X4817" i="3"/>
  <c r="X3" i="3"/>
  <c r="X61" i="3"/>
  <c r="X135" i="3"/>
  <c r="X190" i="3"/>
  <c r="X261" i="3"/>
  <c r="X264" i="3"/>
  <c r="X426" i="3"/>
  <c r="X486" i="3"/>
  <c r="X537" i="3"/>
  <c r="X542" i="3"/>
  <c r="X606" i="3"/>
  <c r="X613" i="3"/>
  <c r="X633" i="3"/>
  <c r="X634" i="3"/>
  <c r="X654" i="3"/>
  <c r="X672" i="3"/>
  <c r="X698" i="3"/>
  <c r="X712" i="3"/>
  <c r="X726" i="3"/>
  <c r="X730" i="3"/>
  <c r="X766" i="3"/>
  <c r="X798" i="3"/>
  <c r="X804" i="3"/>
  <c r="X838" i="3"/>
  <c r="X840" i="3"/>
  <c r="X1011" i="3"/>
  <c r="X1149" i="3"/>
  <c r="X1350" i="3"/>
  <c r="X1429" i="3"/>
  <c r="X1522" i="3"/>
  <c r="X1549" i="3"/>
  <c r="X1746" i="3"/>
  <c r="X1948" i="3"/>
  <c r="X1991" i="3"/>
  <c r="X2048" i="3"/>
  <c r="X2170" i="3"/>
  <c r="X2197" i="3"/>
  <c r="X2278" i="3"/>
  <c r="X2328" i="3"/>
  <c r="X2386" i="3"/>
  <c r="X2410" i="3"/>
  <c r="X2450" i="3"/>
  <c r="X2547" i="3"/>
  <c r="X2626" i="3"/>
  <c r="X2656" i="3"/>
  <c r="X2701" i="3"/>
  <c r="X2711" i="3"/>
  <c r="X2777" i="3"/>
  <c r="X2782" i="3"/>
  <c r="X2789" i="3"/>
  <c r="X2809" i="3"/>
  <c r="X2838" i="3"/>
  <c r="X2873" i="3"/>
  <c r="X2880" i="3"/>
  <c r="X2901" i="3"/>
  <c r="X2946" i="3"/>
  <c r="X2954" i="3"/>
  <c r="X2976" i="3"/>
  <c r="X3049" i="3"/>
  <c r="X3169" i="3"/>
  <c r="X3242" i="3"/>
  <c r="X3308" i="3"/>
  <c r="X3315" i="3"/>
  <c r="X3355" i="3"/>
  <c r="X3400" i="3"/>
  <c r="X3456" i="3"/>
  <c r="X3524" i="3"/>
  <c r="X3561" i="3"/>
  <c r="X3569" i="3"/>
  <c r="X3641" i="3"/>
  <c r="X3652" i="3"/>
  <c r="X3783" i="3"/>
  <c r="X3825" i="3"/>
  <c r="X3852" i="3"/>
  <c r="X3873" i="3"/>
  <c r="X3895" i="3"/>
  <c r="X3919" i="3"/>
  <c r="X3928" i="3"/>
  <c r="X3939" i="3"/>
  <c r="X3941" i="3"/>
  <c r="X3956" i="3"/>
  <c r="X4044" i="3"/>
  <c r="X4053" i="3"/>
  <c r="X4083" i="3"/>
  <c r="X4091" i="3"/>
  <c r="X4119" i="3"/>
  <c r="X4138" i="3"/>
  <c r="X4143" i="3"/>
  <c r="X4276" i="3"/>
  <c r="X4294" i="3"/>
  <c r="X4439" i="3"/>
  <c r="X4497" i="3"/>
  <c r="X4544" i="3"/>
  <c r="X4560" i="3"/>
  <c r="X4566" i="3"/>
  <c r="X4570" i="3"/>
  <c r="X4613" i="3"/>
  <c r="X4631" i="3"/>
  <c r="X4642" i="3"/>
  <c r="X4691" i="3"/>
  <c r="X4742" i="3"/>
  <c r="X4763" i="3"/>
  <c r="X4774" i="3"/>
  <c r="X4801" i="3"/>
  <c r="X6" i="3"/>
  <c r="X21" i="3"/>
  <c r="X87" i="3"/>
  <c r="X103" i="3"/>
  <c r="X112" i="3"/>
  <c r="X201" i="3"/>
  <c r="X206" i="3"/>
  <c r="X219" i="3"/>
  <c r="X273" i="3"/>
  <c r="X310" i="3"/>
  <c r="X312" i="3"/>
  <c r="X345" i="3"/>
  <c r="X361" i="3"/>
  <c r="X508" i="3"/>
  <c r="X566" i="3"/>
  <c r="X711" i="3"/>
  <c r="X864" i="3"/>
  <c r="X873" i="3"/>
  <c r="X885" i="3"/>
  <c r="X1172" i="3"/>
  <c r="X1238" i="3"/>
  <c r="X1274" i="3"/>
  <c r="X1295" i="3"/>
  <c r="X1310" i="3"/>
  <c r="X1318" i="3"/>
  <c r="X1336" i="3"/>
  <c r="X1491" i="3"/>
  <c r="X1558" i="3"/>
  <c r="X1576" i="3"/>
  <c r="X1622" i="3"/>
  <c r="X1744" i="3"/>
  <c r="X1790" i="3"/>
  <c r="X1819" i="3"/>
  <c r="X1846" i="3"/>
  <c r="X1862" i="3"/>
  <c r="X1880" i="3"/>
  <c r="X1907" i="3"/>
  <c r="X1911" i="3"/>
  <c r="X1928" i="3"/>
  <c r="X1961" i="3"/>
  <c r="X2011" i="3"/>
  <c r="X2042" i="3"/>
  <c r="X2074" i="3"/>
  <c r="X2205" i="3"/>
  <c r="X2287" i="3"/>
  <c r="X2297" i="3"/>
  <c r="X2400" i="3"/>
  <c r="X2428" i="3"/>
  <c r="X2430" i="3"/>
  <c r="X2488" i="3"/>
  <c r="X2555" i="3"/>
  <c r="X2592" i="3"/>
  <c r="X2806" i="3"/>
  <c r="X2814" i="3"/>
  <c r="X2887" i="3"/>
  <c r="X2910" i="3"/>
  <c r="X2916" i="3"/>
  <c r="X3257" i="3"/>
  <c r="X3326" i="3"/>
  <c r="X3391" i="3"/>
  <c r="X3442" i="3"/>
  <c r="X3449" i="3"/>
  <c r="X3475" i="3"/>
  <c r="X3567" i="3"/>
  <c r="X3576" i="3"/>
  <c r="X3582" i="3"/>
  <c r="X3602" i="3"/>
  <c r="X3649" i="3"/>
  <c r="X3660" i="3"/>
  <c r="X3665" i="3"/>
  <c r="X3688" i="3"/>
  <c r="X3867" i="3"/>
  <c r="X3926" i="3"/>
  <c r="X3976" i="3"/>
  <c r="X3977" i="3"/>
  <c r="X4007" i="3"/>
  <c r="X4021" i="3"/>
  <c r="X4287" i="3"/>
  <c r="X4401" i="3"/>
  <c r="X4449" i="3"/>
  <c r="X4514" i="3"/>
  <c r="X4516" i="3"/>
  <c r="X4593" i="3"/>
  <c r="X4595" i="3"/>
  <c r="X4762" i="3"/>
  <c r="X4794" i="3"/>
  <c r="X33" i="3"/>
  <c r="X111" i="3"/>
  <c r="X212" i="3"/>
  <c r="X217" i="3"/>
  <c r="X247" i="3"/>
  <c r="X298" i="3"/>
  <c r="X352" i="3"/>
  <c r="X396" i="3"/>
  <c r="X463" i="3"/>
  <c r="X509" i="3"/>
  <c r="X555" i="3"/>
  <c r="X563" i="3"/>
  <c r="X585" i="3"/>
  <c r="X594" i="3"/>
  <c r="X612" i="3"/>
  <c r="X646" i="3"/>
  <c r="X652" i="3"/>
  <c r="X771" i="3"/>
  <c r="X867" i="3"/>
  <c r="X879" i="3"/>
  <c r="X995" i="3"/>
  <c r="X1046" i="3"/>
  <c r="X1123" i="3"/>
  <c r="X1137" i="3"/>
  <c r="X1253" i="3"/>
  <c r="X1306" i="3"/>
  <c r="X1330" i="3"/>
  <c r="X1345" i="3"/>
  <c r="X1368" i="3"/>
  <c r="X1397" i="3"/>
  <c r="X1450" i="3"/>
  <c r="X1705" i="3"/>
  <c r="X1753" i="3"/>
  <c r="X1771" i="3"/>
  <c r="X1826" i="3"/>
  <c r="X1997" i="3"/>
  <c r="X2006" i="3"/>
  <c r="X2009" i="3"/>
  <c r="X2017" i="3"/>
  <c r="X2037" i="3"/>
  <c r="X2069" i="3"/>
  <c r="X2132" i="3"/>
  <c r="X2135" i="3"/>
  <c r="X2244" i="3"/>
  <c r="X2283" i="3"/>
  <c r="X2379" i="3"/>
  <c r="X2444" i="3"/>
  <c r="X2619" i="3"/>
  <c r="X2692" i="3"/>
  <c r="X2697" i="3"/>
  <c r="X2713" i="3"/>
  <c r="X2827" i="3"/>
  <c r="X2906" i="3"/>
  <c r="X3027" i="3"/>
  <c r="X3081" i="3"/>
  <c r="X3082" i="3"/>
  <c r="X3127" i="3"/>
  <c r="X3210" i="3"/>
  <c r="X3212" i="3"/>
  <c r="X3338" i="3"/>
  <c r="X3368" i="3"/>
  <c r="X3398" i="3"/>
  <c r="X3443" i="3"/>
  <c r="X3463" i="3"/>
  <c r="X3487" i="3"/>
  <c r="X3522" i="3"/>
  <c r="X3580" i="3"/>
  <c r="X3596" i="3"/>
  <c r="X3609" i="3"/>
  <c r="X3823" i="3"/>
  <c r="X3842" i="3"/>
  <c r="X3930" i="3"/>
  <c r="X4087" i="3"/>
  <c r="X4124" i="3"/>
  <c r="X4320" i="3"/>
  <c r="X4342" i="3"/>
  <c r="X4494" i="3"/>
  <c r="X4660" i="3"/>
  <c r="X4805" i="3"/>
  <c r="X1515" i="3"/>
  <c r="X1598" i="3"/>
  <c r="X2658" i="3"/>
  <c r="X2988" i="3"/>
  <c r="X3115" i="3"/>
  <c r="X3586" i="3"/>
  <c r="X4023" i="3"/>
  <c r="X4600" i="3"/>
  <c r="X51" i="3"/>
  <c r="X104" i="3"/>
  <c r="X110" i="3"/>
  <c r="X226" i="3"/>
  <c r="X248" i="3"/>
  <c r="X286" i="3"/>
  <c r="X320" i="3"/>
  <c r="X371" i="3"/>
  <c r="X448" i="3"/>
  <c r="X547" i="3"/>
  <c r="X647" i="3"/>
  <c r="X735" i="3"/>
  <c r="X866" i="3"/>
  <c r="X897" i="3"/>
  <c r="X935" i="3"/>
  <c r="X940" i="3"/>
  <c r="X950" i="3"/>
  <c r="X966" i="3"/>
  <c r="X975" i="3"/>
  <c r="X1079" i="3"/>
  <c r="X1160" i="3"/>
  <c r="X1351" i="3"/>
  <c r="X1583" i="3"/>
  <c r="X1630" i="3"/>
  <c r="X1662" i="3"/>
  <c r="X1663" i="3"/>
  <c r="X1773" i="3"/>
  <c r="X1787" i="3"/>
  <c r="X1842" i="3"/>
  <c r="X1865" i="3"/>
  <c r="X2092" i="3"/>
  <c r="X2138" i="3"/>
  <c r="X2176" i="3"/>
  <c r="X2196" i="3"/>
  <c r="X2221" i="3"/>
  <c r="X2229" i="3"/>
  <c r="X2276" i="3"/>
  <c r="X2312" i="3"/>
  <c r="X2412" i="3"/>
  <c r="X2424" i="3"/>
  <c r="X2474" i="3"/>
  <c r="X2503" i="3"/>
  <c r="X2593" i="3"/>
  <c r="X2596" i="3"/>
  <c r="X2628" i="3"/>
  <c r="X2654" i="3"/>
  <c r="X2792" i="3"/>
  <c r="X2823" i="3"/>
  <c r="X2825" i="3"/>
  <c r="X2856" i="3"/>
  <c r="X2871" i="3"/>
  <c r="X2921" i="3"/>
  <c r="X2941" i="3"/>
  <c r="X3020" i="3"/>
  <c r="X3044" i="3"/>
  <c r="X3073" i="3"/>
  <c r="X3112" i="3"/>
  <c r="X3154" i="3"/>
  <c r="X3188" i="3"/>
  <c r="X3211" i="3"/>
  <c r="X3219" i="3"/>
  <c r="X3252" i="3"/>
  <c r="X3265" i="3"/>
  <c r="X3325" i="3"/>
  <c r="X3367" i="3"/>
  <c r="X3372" i="3"/>
  <c r="X3381" i="3"/>
  <c r="X3405" i="3"/>
  <c r="X3631" i="3"/>
  <c r="X3648" i="3"/>
  <c r="X3655" i="3"/>
  <c r="X3668" i="3"/>
  <c r="X3692" i="3"/>
  <c r="X3745" i="3"/>
  <c r="X3773" i="3"/>
  <c r="X3865" i="3"/>
  <c r="X3950" i="3"/>
  <c r="X4008" i="3"/>
  <c r="X4059" i="3"/>
  <c r="X4065" i="3"/>
  <c r="X4107" i="3"/>
  <c r="X4217" i="3"/>
  <c r="X4246" i="3"/>
  <c r="X4278" i="3"/>
  <c r="X4333" i="3"/>
  <c r="X4363" i="3"/>
  <c r="X4430" i="3"/>
  <c r="X4461" i="3"/>
  <c r="X4554" i="3"/>
  <c r="X4565" i="3"/>
  <c r="X4622" i="3"/>
  <c r="X4639" i="3"/>
  <c r="X4663" i="3"/>
  <c r="X4688" i="3"/>
  <c r="X4690" i="3"/>
  <c r="X4806" i="3"/>
  <c r="X4826" i="3"/>
  <c r="X119" i="3"/>
  <c r="X159" i="3"/>
  <c r="X166" i="3"/>
  <c r="X188" i="3"/>
  <c r="X260" i="3"/>
  <c r="X390" i="3"/>
  <c r="X395" i="3"/>
  <c r="X473" i="3"/>
  <c r="X511" i="3"/>
  <c r="X517" i="3"/>
  <c r="X587" i="3"/>
  <c r="X655" i="3"/>
  <c r="X662" i="3"/>
  <c r="X724" i="3"/>
  <c r="X743" i="3"/>
  <c r="X929" i="3"/>
  <c r="X1038" i="3"/>
  <c r="X1048" i="3"/>
  <c r="X1074" i="3"/>
  <c r="X1126" i="3"/>
  <c r="X1132" i="3"/>
  <c r="X1229" i="3"/>
  <c r="X1272" i="3"/>
  <c r="X1300" i="3"/>
  <c r="X1313" i="3"/>
  <c r="X1335" i="3"/>
  <c r="X1365" i="3"/>
  <c r="X1382" i="3"/>
  <c r="X1485" i="3"/>
  <c r="X1624" i="3"/>
  <c r="X1645" i="3"/>
  <c r="X1683" i="3"/>
  <c r="X1795" i="3"/>
  <c r="X1848" i="3"/>
  <c r="X1861" i="3"/>
  <c r="X1878" i="3"/>
  <c r="X1937" i="3"/>
  <c r="X1966" i="3"/>
  <c r="X2019" i="3"/>
  <c r="X2112" i="3"/>
  <c r="X2145" i="3"/>
  <c r="X2240" i="3"/>
  <c r="X2281" i="3"/>
  <c r="X2419" i="3"/>
  <c r="X2615" i="3"/>
  <c r="X2685" i="3"/>
  <c r="X2707" i="3"/>
  <c r="X2749" i="3"/>
  <c r="X2832" i="3"/>
  <c r="X2900" i="3"/>
  <c r="X3032" i="3"/>
  <c r="X3034" i="3"/>
  <c r="X3070" i="3"/>
  <c r="X3217" i="3"/>
  <c r="X3224" i="3"/>
  <c r="X3457" i="3"/>
  <c r="X3481" i="3"/>
  <c r="X3482" i="3"/>
  <c r="X3664" i="3"/>
  <c r="X3807" i="3"/>
  <c r="X3900" i="3"/>
  <c r="X3934" i="3"/>
  <c r="X3985" i="3"/>
  <c r="X4077" i="3"/>
  <c r="X4126" i="3"/>
  <c r="X4178" i="3"/>
  <c r="X4197" i="3"/>
  <c r="X4207" i="3"/>
  <c r="X4239" i="3"/>
  <c r="X4245" i="3"/>
  <c r="X4313" i="3"/>
  <c r="X4458" i="3"/>
  <c r="X4495" i="3"/>
  <c r="X4585" i="3"/>
  <c r="X4590" i="3"/>
  <c r="X4607" i="3"/>
  <c r="X4637" i="3"/>
  <c r="X4680" i="3"/>
  <c r="X4699" i="3"/>
  <c r="X4712" i="3"/>
  <c r="X4713" i="3"/>
  <c r="X4760" i="3"/>
  <c r="X4787" i="3"/>
  <c r="X52" i="3"/>
  <c r="X76" i="3"/>
  <c r="X91" i="3"/>
  <c r="X126" i="3"/>
  <c r="X146" i="3"/>
  <c r="X196" i="3"/>
  <c r="X208" i="3"/>
  <c r="X209" i="3"/>
  <c r="X230" i="3"/>
  <c r="X251" i="3"/>
  <c r="X302" i="3"/>
  <c r="X314" i="3"/>
  <c r="X327" i="3"/>
  <c r="X386" i="3"/>
  <c r="X388" i="3"/>
  <c r="X459" i="3"/>
  <c r="X661" i="3"/>
  <c r="X737" i="3"/>
  <c r="X761" i="3"/>
  <c r="X788" i="3"/>
  <c r="X839" i="3"/>
  <c r="X936" i="3"/>
  <c r="X974" i="3"/>
  <c r="X1100" i="3"/>
  <c r="X1165" i="3"/>
  <c r="X1199" i="3"/>
  <c r="X1209" i="3"/>
  <c r="X1277" i="3"/>
  <c r="X1377" i="3"/>
  <c r="X1449" i="3"/>
  <c r="X1469" i="3"/>
  <c r="X1480" i="3"/>
  <c r="X1489" i="3"/>
  <c r="X1527" i="3"/>
  <c r="X1537" i="3"/>
  <c r="X1587" i="3"/>
  <c r="X1597" i="3"/>
  <c r="X1672" i="3"/>
  <c r="X1737" i="3"/>
  <c r="X1797" i="3"/>
  <c r="X1818" i="3"/>
  <c r="X1824" i="3"/>
  <c r="X1849" i="3"/>
  <c r="X1909" i="3"/>
  <c r="X1935" i="3"/>
  <c r="X1943" i="3"/>
  <c r="X1974" i="3"/>
  <c r="X2012" i="3"/>
  <c r="X2094" i="3"/>
  <c r="X2120" i="3"/>
  <c r="X2189" i="3"/>
  <c r="X2354" i="3"/>
  <c r="X2381" i="3"/>
  <c r="X2453" i="3"/>
  <c r="X2454" i="3"/>
  <c r="X2457" i="3"/>
  <c r="X2481" i="3"/>
  <c r="X2487" i="3"/>
  <c r="X2505" i="3"/>
  <c r="X2514" i="3"/>
  <c r="X2521" i="3"/>
  <c r="X2538" i="3"/>
  <c r="X2590" i="3"/>
  <c r="X2611" i="3"/>
  <c r="X2660" i="3"/>
  <c r="X2784" i="3"/>
  <c r="X2970" i="3"/>
  <c r="X3093" i="3"/>
  <c r="X3138" i="3"/>
  <c r="X3161" i="3"/>
  <c r="X3180" i="3"/>
  <c r="X3196" i="3"/>
  <c r="X3198" i="3"/>
  <c r="X3254" i="3"/>
  <c r="X3322" i="3"/>
  <c r="X3354" i="3"/>
  <c r="X3358" i="3"/>
  <c r="X3387" i="3"/>
  <c r="X3409" i="3"/>
  <c r="X3414" i="3"/>
  <c r="X3428" i="3"/>
  <c r="X3551" i="3"/>
  <c r="X3571" i="3"/>
  <c r="X3597" i="3"/>
  <c r="X3704" i="3"/>
  <c r="X3798" i="3"/>
  <c r="X3836" i="3"/>
  <c r="X3878" i="3"/>
  <c r="X3905" i="3"/>
  <c r="X4089" i="3"/>
  <c r="X4130" i="3"/>
  <c r="X4344" i="3"/>
  <c r="X4360" i="3"/>
  <c r="X4457" i="3"/>
  <c r="X4722" i="3"/>
  <c r="X4782" i="3"/>
  <c r="X4789" i="3"/>
  <c r="X4802" i="3"/>
  <c r="X158" i="3"/>
  <c r="X165" i="3"/>
  <c r="X192" i="3"/>
  <c r="X262" i="3"/>
  <c r="X293" i="3"/>
  <c r="X295" i="3"/>
  <c r="X342" i="3"/>
  <c r="X370" i="3"/>
  <c r="X543" i="3"/>
  <c r="X565" i="3"/>
  <c r="X660" i="3"/>
  <c r="X746" i="3"/>
  <c r="X816" i="3"/>
  <c r="X888" i="3"/>
  <c r="X893" i="3"/>
  <c r="X922" i="3"/>
  <c r="X985" i="3"/>
  <c r="X996" i="3"/>
  <c r="X1014" i="3"/>
  <c r="X1181" i="3"/>
  <c r="X1208" i="3"/>
  <c r="X1222" i="3"/>
  <c r="X1276" i="3"/>
  <c r="X1293" i="3"/>
  <c r="X1413" i="3"/>
  <c r="X1512" i="3"/>
  <c r="X1555" i="3"/>
  <c r="X1729" i="3"/>
  <c r="X1741" i="3"/>
  <c r="X1745" i="3"/>
  <c r="X1761" i="3"/>
  <c r="X1886" i="3"/>
  <c r="X1916" i="3"/>
  <c r="X1962" i="3"/>
  <c r="X2024" i="3"/>
  <c r="X2202" i="3"/>
  <c r="X2230" i="3"/>
  <c r="X2294" i="3"/>
  <c r="X2425" i="3"/>
  <c r="X2434" i="3"/>
  <c r="X2510" i="3"/>
  <c r="X2545" i="3"/>
  <c r="X2594" i="3"/>
  <c r="X2613" i="3"/>
  <c r="X2621" i="3"/>
  <c r="X2764" i="3"/>
  <c r="X2795" i="3"/>
  <c r="X2936" i="3"/>
  <c r="X2982" i="3"/>
  <c r="X2991" i="3"/>
  <c r="X3006" i="3"/>
  <c r="X3134" i="3"/>
  <c r="X3174" i="3"/>
  <c r="X3390" i="3"/>
  <c r="X3421" i="3"/>
  <c r="X3467" i="3"/>
  <c r="X3471" i="3"/>
  <c r="X3518" i="3"/>
  <c r="X3575" i="3"/>
  <c r="X3732" i="3"/>
  <c r="X3827" i="3"/>
  <c r="X3906" i="3"/>
  <c r="X3986" i="3"/>
  <c r="X4010" i="3"/>
  <c r="X4049" i="3"/>
  <c r="X4329" i="3"/>
  <c r="X4346" i="3"/>
  <c r="X4364" i="3"/>
  <c r="X4498" i="3"/>
  <c r="X4506" i="3"/>
  <c r="X4765" i="3"/>
  <c r="X4771" i="3"/>
  <c r="X4833" i="3"/>
  <c r="X84" i="3"/>
  <c r="X136" i="3"/>
  <c r="X167" i="3"/>
  <c r="X243" i="3"/>
  <c r="X403" i="3"/>
  <c r="X404" i="3"/>
  <c r="X412" i="3"/>
  <c r="X467" i="3"/>
  <c r="X626" i="3"/>
  <c r="X666" i="3"/>
  <c r="X701" i="3"/>
  <c r="X951" i="3"/>
  <c r="X954" i="3"/>
  <c r="X1015" i="3"/>
  <c r="X1108" i="3"/>
  <c r="X1226" i="3"/>
  <c r="X1418" i="3"/>
  <c r="X1419" i="3"/>
  <c r="X1478" i="3"/>
  <c r="X1606" i="3"/>
  <c r="X1613" i="3"/>
  <c r="X1718" i="3"/>
  <c r="X1722" i="3"/>
  <c r="X1908" i="3"/>
  <c r="X1958" i="3"/>
  <c r="X2056" i="3"/>
  <c r="X2109" i="3"/>
  <c r="X2216" i="3"/>
  <c r="X2260" i="3"/>
  <c r="X2315" i="3"/>
  <c r="X2335" i="3"/>
  <c r="X2422" i="3"/>
  <c r="X2437" i="3"/>
  <c r="X2452" i="3"/>
  <c r="X2499" i="3"/>
  <c r="X2524" i="3"/>
  <c r="X2581" i="3"/>
  <c r="X2591" i="3"/>
  <c r="X2675" i="3"/>
  <c r="X3039" i="3"/>
  <c r="X3087" i="3"/>
  <c r="X3125" i="3"/>
  <c r="X3175" i="3"/>
  <c r="X3200" i="3"/>
  <c r="X3223" i="3"/>
  <c r="X3284" i="3"/>
  <c r="X3455" i="3"/>
  <c r="X3608" i="3"/>
  <c r="X3643" i="3"/>
  <c r="X3694" i="3"/>
  <c r="X3702" i="3"/>
  <c r="X3880" i="3"/>
  <c r="X3904" i="3"/>
  <c r="X3909" i="3"/>
  <c r="X3917" i="3"/>
  <c r="X3951" i="3"/>
  <c r="X3954" i="3"/>
  <c r="X4392" i="3"/>
  <c r="X4629" i="3"/>
  <c r="X4671" i="3"/>
  <c r="X4677" i="3"/>
  <c r="X4737" i="3"/>
  <c r="X4739" i="3"/>
  <c r="X4740" i="3"/>
  <c r="X4795" i="3"/>
  <c r="X17" i="3"/>
  <c r="X68" i="3"/>
  <c r="X94" i="3"/>
  <c r="X120" i="3"/>
  <c r="X176" i="3"/>
  <c r="X367" i="3"/>
  <c r="X433" i="3"/>
  <c r="X442" i="3"/>
  <c r="X532" i="3"/>
  <c r="X568" i="3"/>
  <c r="X591" i="3"/>
  <c r="X707" i="3"/>
  <c r="X811" i="3"/>
  <c r="X851" i="3"/>
  <c r="X860" i="3"/>
  <c r="X908" i="3"/>
  <c r="X911" i="3"/>
  <c r="X1084" i="3"/>
  <c r="X1170" i="3"/>
  <c r="X1232" i="3"/>
  <c r="X1242" i="3"/>
  <c r="X1271" i="3"/>
  <c r="X1328" i="3"/>
  <c r="X1495" i="3"/>
  <c r="X1502" i="3"/>
  <c r="X1546" i="3"/>
  <c r="X1604" i="3"/>
  <c r="X1670" i="3"/>
  <c r="X1701" i="3"/>
  <c r="X1822" i="3"/>
  <c r="X1864" i="3"/>
  <c r="X1887" i="3"/>
  <c r="X2206" i="3"/>
  <c r="X2295" i="3"/>
  <c r="X2355" i="3"/>
  <c r="X2548" i="3"/>
  <c r="X2597" i="3"/>
  <c r="X2751" i="3"/>
  <c r="X2803" i="3"/>
  <c r="X2855" i="3"/>
  <c r="X2860" i="3"/>
  <c r="X2885" i="3"/>
  <c r="X2940" i="3"/>
  <c r="X2979" i="3"/>
  <c r="X3062" i="3"/>
  <c r="X3132" i="3"/>
  <c r="X3204" i="3"/>
  <c r="X3313" i="3"/>
  <c r="X3314" i="3"/>
  <c r="X3376" i="3"/>
  <c r="X3450" i="3"/>
  <c r="X3498" i="3"/>
  <c r="X3506" i="3"/>
  <c r="X3528" i="3"/>
  <c r="X3549" i="3"/>
  <c r="X3555" i="3"/>
  <c r="X3593" i="3"/>
  <c r="X3748" i="3"/>
  <c r="X3848" i="3"/>
  <c r="X3868" i="3"/>
  <c r="X3901" i="3"/>
  <c r="X3965" i="3"/>
  <c r="X4096" i="3"/>
  <c r="X4242" i="3"/>
  <c r="X4366" i="3"/>
  <c r="X4455" i="3"/>
  <c r="X4486" i="3"/>
  <c r="X4611" i="3"/>
  <c r="X4620" i="3"/>
  <c r="X4689" i="3"/>
  <c r="X4758" i="3"/>
  <c r="X4" i="3"/>
  <c r="X5" i="3"/>
  <c r="X13" i="3"/>
  <c r="X25" i="3"/>
  <c r="X44" i="3"/>
  <c r="X55" i="3"/>
  <c r="X124" i="3"/>
  <c r="X142" i="3"/>
  <c r="X227" i="3"/>
  <c r="X349" i="3"/>
  <c r="X415" i="3"/>
  <c r="X431" i="3"/>
  <c r="X462" i="3"/>
  <c r="X470" i="3"/>
  <c r="X540" i="3"/>
  <c r="X569" i="3"/>
  <c r="X580" i="3"/>
  <c r="X604" i="3"/>
  <c r="X721" i="3"/>
  <c r="X750" i="3"/>
  <c r="X778" i="3"/>
  <c r="X780" i="3"/>
  <c r="X793" i="3"/>
  <c r="X802" i="3"/>
  <c r="X819" i="3"/>
  <c r="X857" i="3"/>
  <c r="X868" i="3"/>
  <c r="X915" i="3"/>
  <c r="X983" i="3"/>
  <c r="X1006" i="3"/>
  <c r="X1044" i="3"/>
  <c r="X1056" i="3"/>
  <c r="X1131" i="3"/>
  <c r="X1133" i="3"/>
  <c r="X1143" i="3"/>
  <c r="X1148" i="3"/>
  <c r="X1236" i="3"/>
  <c r="X1309" i="3"/>
  <c r="X1320" i="3"/>
  <c r="X1323" i="3"/>
  <c r="X1417" i="3"/>
  <c r="X1438" i="3"/>
  <c r="X1483" i="3"/>
  <c r="X1650" i="3"/>
  <c r="X1652" i="3"/>
  <c r="X1725" i="3"/>
  <c r="X1796" i="3"/>
  <c r="X1815" i="3"/>
  <c r="X1827" i="3"/>
  <c r="X1854" i="3"/>
  <c r="X1891" i="3"/>
  <c r="X1898" i="3"/>
  <c r="X1929" i="3"/>
  <c r="X2103" i="3"/>
  <c r="X2117" i="3"/>
  <c r="X2157" i="3"/>
  <c r="X2192" i="3"/>
  <c r="X2288" i="3"/>
  <c r="X2343" i="3"/>
  <c r="X2391" i="3"/>
  <c r="X2463" i="3"/>
  <c r="X2478" i="3"/>
  <c r="X2498" i="3"/>
  <c r="X2507" i="3"/>
  <c r="X2513" i="3"/>
  <c r="X2690" i="3"/>
  <c r="X2719" i="3"/>
  <c r="X2736" i="3"/>
  <c r="X2745" i="3"/>
  <c r="X2780" i="3"/>
  <c r="X2846" i="3"/>
  <c r="X3065" i="3"/>
  <c r="X3341" i="3"/>
  <c r="X3544" i="3"/>
  <c r="X3605" i="3"/>
  <c r="X3657" i="3"/>
  <c r="X3658" i="3"/>
  <c r="X3673" i="3"/>
  <c r="X3737" i="3"/>
  <c r="X3763" i="3"/>
  <c r="X3792" i="3"/>
  <c r="X3815" i="3"/>
  <c r="X3935" i="3"/>
  <c r="X3943" i="3"/>
  <c r="X4012" i="3"/>
  <c r="X4013" i="3"/>
  <c r="X4016" i="3"/>
  <c r="X4018" i="3"/>
  <c r="X4037" i="3"/>
  <c r="X4045" i="3"/>
  <c r="X4102" i="3"/>
  <c r="X4220" i="3"/>
  <c r="X4232" i="3"/>
  <c r="X4250" i="3"/>
  <c r="X4253" i="3"/>
  <c r="X4254" i="3"/>
  <c r="X4286" i="3"/>
  <c r="X4292" i="3"/>
  <c r="X4293" i="3"/>
  <c r="X4305" i="3"/>
  <c r="X4352" i="3"/>
  <c r="X4353" i="3"/>
  <c r="X4408" i="3"/>
  <c r="X4444" i="3"/>
  <c r="X4473" i="3"/>
  <c r="X4546" i="3"/>
  <c r="X4561" i="3"/>
  <c r="X4569" i="3"/>
  <c r="X4584" i="3"/>
  <c r="X4602" i="3"/>
  <c r="X4617" i="3"/>
  <c r="X4635" i="3"/>
  <c r="X4695" i="3"/>
  <c r="X4767" i="3"/>
  <c r="X4777" i="3"/>
  <c r="X4824" i="3"/>
  <c r="X34" i="3"/>
  <c r="X154" i="3"/>
  <c r="X197" i="3"/>
  <c r="X240" i="3"/>
  <c r="X268" i="3"/>
  <c r="X309" i="3"/>
  <c r="X538" i="3"/>
  <c r="X551" i="3"/>
  <c r="X567" i="3"/>
  <c r="X685" i="3"/>
  <c r="X760" i="3"/>
  <c r="X764" i="3"/>
  <c r="X770" i="3"/>
  <c r="X876" i="3"/>
  <c r="X988" i="3"/>
  <c r="X1005" i="3"/>
  <c r="X1017" i="3"/>
  <c r="X1025" i="3"/>
  <c r="X1055" i="3"/>
  <c r="X1061" i="3"/>
  <c r="X1193" i="3"/>
  <c r="X1206" i="3"/>
  <c r="X1216" i="3"/>
  <c r="X1217" i="3"/>
  <c r="X1291" i="3"/>
  <c r="X1294" i="3"/>
  <c r="X1371" i="3"/>
  <c r="X1401" i="3"/>
  <c r="X1402" i="3"/>
  <c r="X1467" i="3"/>
  <c r="X1472" i="3"/>
  <c r="X1482" i="3"/>
  <c r="X1488" i="3"/>
  <c r="X1496" i="3"/>
  <c r="X1505" i="3"/>
  <c r="X1541" i="3"/>
  <c r="X1562" i="3"/>
  <c r="X1596" i="3"/>
  <c r="X1709" i="3"/>
  <c r="X1715" i="3"/>
  <c r="X1728" i="3"/>
  <c r="X1743" i="3"/>
  <c r="X1776" i="3"/>
  <c r="X1811" i="3"/>
  <c r="X1882" i="3"/>
  <c r="X1892" i="3"/>
  <c r="X1894" i="3"/>
  <c r="X1896" i="3"/>
  <c r="X1938" i="3"/>
  <c r="X1965" i="3"/>
  <c r="X1975" i="3"/>
  <c r="X2001" i="3"/>
  <c r="X2055" i="3"/>
  <c r="X2081" i="3"/>
  <c r="X2153" i="3"/>
  <c r="X2158" i="3"/>
  <c r="X2175" i="3"/>
  <c r="X2183" i="3"/>
  <c r="X2187" i="3"/>
  <c r="X2219" i="3"/>
  <c r="X2345" i="3"/>
  <c r="X2349" i="3"/>
  <c r="X2389" i="3"/>
  <c r="X2409" i="3"/>
  <c r="X2440" i="3"/>
  <c r="X2446" i="3"/>
  <c r="X2469" i="3"/>
  <c r="X2471" i="3"/>
  <c r="X2500" i="3"/>
  <c r="X2583" i="3"/>
  <c r="X2623" i="3"/>
  <c r="X2649" i="3"/>
  <c r="X2672" i="3"/>
  <c r="X2684" i="3"/>
  <c r="X2700" i="3"/>
  <c r="X2709" i="3"/>
  <c r="X2848" i="3"/>
  <c r="X2853" i="3"/>
  <c r="X2995" i="3"/>
  <c r="X3029" i="3"/>
  <c r="X3069" i="3"/>
  <c r="X3100" i="3"/>
  <c r="X3199" i="3"/>
  <c r="X3249" i="3"/>
  <c r="X3258" i="3"/>
  <c r="X3270" i="3"/>
  <c r="X3300" i="3"/>
  <c r="X3395" i="3"/>
  <c r="X3445" i="3"/>
  <c r="X3525" i="3"/>
  <c r="X3636" i="3"/>
  <c r="X3697" i="3"/>
  <c r="X3714" i="3"/>
  <c r="X3764" i="3"/>
  <c r="X3819" i="3"/>
  <c r="X3843" i="3"/>
  <c r="X3850" i="3"/>
  <c r="X3853" i="3"/>
  <c r="X3855" i="3"/>
  <c r="X3864" i="3"/>
  <c r="X3883" i="3"/>
  <c r="X3885" i="3"/>
  <c r="X3964" i="3"/>
  <c r="X3975" i="3"/>
  <c r="X3995" i="3"/>
  <c r="X4026" i="3"/>
  <c r="X4035" i="3"/>
  <c r="X4127" i="3"/>
  <c r="X4164" i="3"/>
  <c r="X4182" i="3"/>
  <c r="X4230" i="3"/>
  <c r="X4365" i="3"/>
  <c r="X4413" i="3"/>
  <c r="X4503" i="3"/>
  <c r="X4599" i="3"/>
  <c r="X4608" i="3"/>
  <c r="X4650" i="3"/>
  <c r="X4662" i="3"/>
  <c r="X4827" i="3"/>
  <c r="X32" i="3"/>
  <c r="X35" i="3"/>
  <c r="X37" i="3"/>
  <c r="X88" i="3"/>
  <c r="X108" i="3"/>
  <c r="X122" i="3"/>
  <c r="X184" i="3"/>
  <c r="X211" i="3"/>
  <c r="X223" i="3"/>
  <c r="X272" i="3"/>
  <c r="X283" i="3"/>
  <c r="X287" i="3"/>
  <c r="X304" i="3"/>
  <c r="X329" i="3"/>
  <c r="X340" i="3"/>
  <c r="X354" i="3"/>
  <c r="X414" i="3"/>
  <c r="X425" i="3"/>
  <c r="X430" i="3"/>
  <c r="X460" i="3"/>
  <c r="X464" i="3"/>
  <c r="X469" i="3"/>
  <c r="X484" i="3"/>
  <c r="X575" i="3"/>
  <c r="X586" i="3"/>
  <c r="X598" i="3"/>
  <c r="X689" i="3"/>
  <c r="X729" i="3"/>
  <c r="X805" i="3"/>
  <c r="X874" i="3"/>
  <c r="X1078" i="3"/>
  <c r="X1080" i="3"/>
  <c r="X1081" i="3"/>
  <c r="X1092" i="3"/>
  <c r="X1102" i="3"/>
  <c r="X1103" i="3"/>
  <c r="X1115" i="3"/>
  <c r="X1176" i="3"/>
  <c r="X1308" i="3"/>
  <c r="X1339" i="3"/>
  <c r="X1340" i="3"/>
  <c r="X1352" i="3"/>
  <c r="X1374" i="3"/>
  <c r="X1386" i="3"/>
  <c r="X1404" i="3"/>
  <c r="X1414" i="3"/>
  <c r="X1432" i="3"/>
  <c r="X1464" i="3"/>
  <c r="X1476" i="3"/>
  <c r="X1497" i="3"/>
  <c r="X1503" i="3"/>
  <c r="X1525" i="3"/>
  <c r="X1567" i="3"/>
  <c r="X1612" i="3"/>
  <c r="X1623" i="3"/>
  <c r="X1653" i="3"/>
  <c r="X1687" i="3"/>
  <c r="X1699" i="3"/>
  <c r="X1716" i="3"/>
  <c r="X1720" i="3"/>
  <c r="X1747" i="3"/>
  <c r="X1756" i="3"/>
  <c r="X1808" i="3"/>
  <c r="X1817" i="3"/>
  <c r="X1855" i="3"/>
  <c r="X1918" i="3"/>
  <c r="X1940" i="3"/>
  <c r="X1944" i="3"/>
  <c r="X1952" i="3"/>
  <c r="X1955" i="3"/>
  <c r="X1957" i="3"/>
  <c r="X1993" i="3"/>
  <c r="X2036" i="3"/>
  <c r="X2053" i="3"/>
  <c r="X2058" i="3"/>
  <c r="X2070" i="3"/>
  <c r="X2080" i="3"/>
  <c r="X2083" i="3"/>
  <c r="X2134" i="3"/>
  <c r="X2147" i="3"/>
  <c r="X2246" i="3"/>
  <c r="X2279" i="3"/>
  <c r="X2309" i="3"/>
  <c r="X2352" i="3"/>
  <c r="X2395" i="3"/>
  <c r="X2435" i="3"/>
  <c r="X2464" i="3"/>
  <c r="X2479" i="3"/>
  <c r="X2516" i="3"/>
  <c r="X2550" i="3"/>
  <c r="X2646" i="3"/>
  <c r="X2652" i="3"/>
  <c r="X2668" i="3"/>
  <c r="X2734" i="3"/>
  <c r="X2763" i="3"/>
  <c r="X2778" i="3"/>
  <c r="X2817" i="3"/>
  <c r="X2822" i="3"/>
  <c r="X2865" i="3"/>
  <c r="X2911" i="3"/>
  <c r="X2938" i="3"/>
  <c r="X2963" i="3"/>
  <c r="X2985" i="3"/>
  <c r="X3004" i="3"/>
  <c r="X3007" i="3"/>
  <c r="X3131" i="3"/>
  <c r="X3160" i="3"/>
  <c r="X3164" i="3"/>
  <c r="X3173" i="3"/>
  <c r="X3227" i="3"/>
  <c r="X3262" i="3"/>
  <c r="X3301" i="3"/>
  <c r="X3304" i="3"/>
  <c r="X3332" i="3"/>
  <c r="X3365" i="3"/>
  <c r="X3388" i="3"/>
  <c r="X3426" i="3"/>
  <c r="X3513" i="3"/>
  <c r="X3532" i="3"/>
  <c r="X3583" i="3"/>
  <c r="X3585" i="3"/>
  <c r="X3595" i="3"/>
  <c r="X3662" i="3"/>
  <c r="X3683" i="3"/>
  <c r="X3712" i="3"/>
  <c r="X3719" i="3"/>
  <c r="X3839" i="3"/>
  <c r="X3971" i="3"/>
  <c r="X3994" i="3"/>
  <c r="X4046" i="3"/>
  <c r="X4055" i="3"/>
  <c r="X4058" i="3"/>
  <c r="X4060" i="3"/>
  <c r="X4072" i="3"/>
  <c r="X4082" i="3"/>
  <c r="X4086" i="3"/>
  <c r="X4101" i="3"/>
  <c r="X4109" i="3"/>
  <c r="X4118" i="3"/>
  <c r="X4161" i="3"/>
  <c r="X4201" i="3"/>
  <c r="X4214" i="3"/>
  <c r="X4216" i="3"/>
  <c r="X4225" i="3"/>
  <c r="X4234" i="3"/>
  <c r="X4249" i="3"/>
  <c r="X4263" i="3"/>
  <c r="X4283" i="3"/>
  <c r="X4290" i="3"/>
  <c r="X4327" i="3"/>
  <c r="X4371" i="3"/>
  <c r="X4442" i="3"/>
  <c r="X4445" i="3"/>
  <c r="X4460" i="3"/>
  <c r="X4464" i="3"/>
  <c r="X4481" i="3"/>
  <c r="X4499" i="3"/>
  <c r="X4500" i="3"/>
  <c r="X4532" i="3"/>
  <c r="X4536" i="3"/>
  <c r="X4542" i="3"/>
  <c r="X4549" i="3"/>
  <c r="X4582" i="3"/>
  <c r="X4589" i="3"/>
  <c r="X4601" i="3"/>
  <c r="X4610" i="3"/>
  <c r="X4627" i="3"/>
  <c r="X4649" i="3"/>
  <c r="X4655" i="3"/>
  <c r="X4673" i="3"/>
  <c r="X4704" i="3"/>
  <c r="X4719" i="3"/>
  <c r="X4773" i="3"/>
  <c r="X4783" i="3"/>
  <c r="X40" i="3"/>
  <c r="X49" i="3"/>
  <c r="X79" i="3"/>
  <c r="X85" i="3"/>
  <c r="X96" i="3"/>
  <c r="X210" i="3"/>
  <c r="X267" i="3"/>
  <c r="X306" i="3"/>
  <c r="X311" i="3"/>
  <c r="X322" i="3"/>
  <c r="X356" i="3"/>
  <c r="X381" i="3"/>
  <c r="X436" i="3"/>
  <c r="X471" i="3"/>
  <c r="X475" i="3"/>
  <c r="X481" i="3"/>
  <c r="X578" i="3"/>
  <c r="X596" i="3"/>
  <c r="X664" i="3"/>
  <c r="X668" i="3"/>
  <c r="X683" i="3"/>
  <c r="X714" i="3"/>
  <c r="X728" i="3"/>
  <c r="X734" i="3"/>
  <c r="X757" i="3"/>
  <c r="X822" i="3"/>
  <c r="X906" i="3"/>
  <c r="X979" i="3"/>
  <c r="X998" i="3"/>
  <c r="X1057" i="3"/>
  <c r="X1116" i="3"/>
  <c r="X1117" i="3"/>
  <c r="X1125" i="3"/>
  <c r="X1150" i="3"/>
  <c r="X1166" i="3"/>
  <c r="X1198" i="3"/>
  <c r="X1251" i="3"/>
  <c r="X1258" i="3"/>
  <c r="X1348" i="3"/>
  <c r="X1388" i="3"/>
  <c r="X1410" i="3"/>
  <c r="X1437" i="3"/>
  <c r="X1443" i="3"/>
  <c r="X1468" i="3"/>
  <c r="X1521" i="3"/>
  <c r="X1625" i="3"/>
  <c r="X1626" i="3"/>
  <c r="X1628" i="3"/>
  <c r="X1669" i="3"/>
  <c r="X1673" i="3"/>
  <c r="X1775" i="3"/>
  <c r="X1778" i="3"/>
  <c r="X1779" i="3"/>
  <c r="X1816" i="3"/>
  <c r="X1841" i="3"/>
  <c r="X1844" i="3"/>
  <c r="X1852" i="3"/>
  <c r="X1914" i="3"/>
  <c r="X1983" i="3"/>
  <c r="X1990" i="3"/>
  <c r="X1994" i="3"/>
  <c r="X2047" i="3"/>
  <c r="X2075" i="3"/>
  <c r="X2164" i="3"/>
  <c r="X2201" i="3"/>
  <c r="X2284" i="3"/>
  <c r="X2331" i="3"/>
  <c r="X2362" i="3"/>
  <c r="X2363" i="3"/>
  <c r="X2365" i="3"/>
  <c r="X2388" i="3"/>
  <c r="X2401" i="3"/>
  <c r="X2408" i="3"/>
  <c r="X2415" i="3"/>
  <c r="X2449" i="3"/>
  <c r="X2455" i="3"/>
  <c r="X2466" i="3"/>
  <c r="X2569" i="3"/>
  <c r="X2574" i="3"/>
  <c r="X2582" i="3"/>
  <c r="X2624" i="3"/>
  <c r="X2637" i="3"/>
  <c r="X2740" i="3"/>
  <c r="X2760" i="3"/>
  <c r="X2762" i="3"/>
  <c r="X2861" i="3"/>
  <c r="X2913" i="3"/>
  <c r="X2923" i="3"/>
  <c r="X2973" i="3"/>
  <c r="X3035" i="3"/>
  <c r="X3066" i="3"/>
  <c r="X3084" i="3"/>
  <c r="X3097" i="3"/>
  <c r="X3185" i="3"/>
  <c r="X3225" i="3"/>
  <c r="X3243" i="3"/>
  <c r="X3274" i="3"/>
  <c r="X3278" i="3"/>
  <c r="X3348" i="3"/>
  <c r="X3351" i="3"/>
  <c r="X3436" i="3"/>
  <c r="X3470" i="3"/>
  <c r="X3504" i="3"/>
  <c r="X3566" i="3"/>
  <c r="X3570" i="3"/>
  <c r="X3813" i="3"/>
  <c r="X3820" i="3"/>
  <c r="X3872" i="3"/>
  <c r="X3970" i="3"/>
  <c r="X4043" i="3"/>
  <c r="X4064" i="3"/>
  <c r="X4071" i="3"/>
  <c r="X4100" i="3"/>
  <c r="X4136" i="3"/>
  <c r="X4168" i="3"/>
  <c r="X4203" i="3"/>
  <c r="X4299" i="3"/>
  <c r="X4409" i="3"/>
  <c r="X4465" i="3"/>
  <c r="X4507" i="3"/>
  <c r="X4521" i="3"/>
  <c r="X4557" i="3"/>
  <c r="X4586" i="3"/>
  <c r="X4647" i="3"/>
  <c r="X4653" i="3"/>
  <c r="X4678" i="3"/>
  <c r="X4700" i="3"/>
  <c r="X4731" i="3"/>
  <c r="X4776" i="3"/>
  <c r="X4797" i="3"/>
  <c r="X9" i="3"/>
  <c r="X125" i="3"/>
  <c r="X140" i="3"/>
  <c r="X364" i="3"/>
  <c r="X413" i="3"/>
  <c r="X496" i="3"/>
  <c r="X769" i="3"/>
  <c r="X836" i="3"/>
  <c r="X852" i="3"/>
  <c r="X883" i="3"/>
  <c r="X977" i="3"/>
  <c r="X1090" i="3"/>
  <c r="X1164" i="3"/>
  <c r="X1173" i="3"/>
  <c r="X1201" i="3"/>
  <c r="X1289" i="3"/>
  <c r="X1326" i="3"/>
  <c r="X1366" i="3"/>
  <c r="X1385" i="3"/>
  <c r="X1588" i="3"/>
  <c r="X1619" i="3"/>
  <c r="X1634" i="3"/>
  <c r="X1686" i="3"/>
  <c r="X1760" i="3"/>
  <c r="X1770" i="3"/>
  <c r="X1836" i="3"/>
  <c r="X1840" i="3"/>
  <c r="X1930" i="3"/>
  <c r="X1941" i="3"/>
  <c r="X1982" i="3"/>
  <c r="X2020" i="3"/>
  <c r="X2078" i="3"/>
  <c r="X2131" i="3"/>
  <c r="X2213" i="3"/>
  <c r="X2512" i="3"/>
  <c r="X2519" i="3"/>
  <c r="X2533" i="3"/>
  <c r="X2541" i="3"/>
  <c r="X2559" i="3"/>
  <c r="X2669" i="3"/>
  <c r="X2844" i="3"/>
  <c r="X2862" i="3"/>
  <c r="X2882" i="3"/>
  <c r="X3050" i="3"/>
  <c r="X3116" i="3"/>
  <c r="X3178" i="3"/>
  <c r="X3255" i="3"/>
  <c r="X3339" i="3"/>
  <c r="X3377" i="3"/>
  <c r="X3383" i="3"/>
  <c r="X3410" i="3"/>
  <c r="X3468" i="3"/>
  <c r="X3499" i="3"/>
  <c r="X3520" i="3"/>
  <c r="X3624" i="3"/>
  <c r="X3656" i="3"/>
  <c r="X3672" i="3"/>
  <c r="X3703" i="3"/>
  <c r="X3860" i="3"/>
  <c r="X3957" i="3"/>
  <c r="X4005" i="3"/>
  <c r="X4040" i="3"/>
  <c r="X4047" i="3"/>
  <c r="X4063" i="3"/>
  <c r="X4084" i="3"/>
  <c r="X4112" i="3"/>
  <c r="X4121" i="3"/>
  <c r="X4281" i="3"/>
  <c r="X4291" i="3"/>
  <c r="X4310" i="3"/>
  <c r="X4354" i="3"/>
  <c r="X4489" i="3"/>
  <c r="X4556" i="3"/>
  <c r="X4571" i="3"/>
  <c r="X4576" i="3"/>
  <c r="X4715" i="3"/>
  <c r="X4743" i="3"/>
  <c r="X4752" i="3"/>
  <c r="X109" i="3"/>
  <c r="X161" i="3"/>
  <c r="X186" i="3"/>
  <c r="X435" i="3"/>
  <c r="X455" i="3"/>
  <c r="X457" i="3"/>
  <c r="X477" i="3"/>
  <c r="X503" i="3"/>
  <c r="X554" i="3"/>
  <c r="X603" i="3"/>
  <c r="X639" i="3"/>
  <c r="X665" i="3"/>
  <c r="X776" i="3"/>
  <c r="X958" i="3"/>
  <c r="X1062" i="3"/>
  <c r="X1136" i="3"/>
  <c r="X1252" i="3"/>
  <c r="X1263" i="3"/>
  <c r="X1269" i="3"/>
  <c r="X1396" i="3"/>
  <c r="X1474" i="3"/>
  <c r="X1585" i="3"/>
  <c r="X1621" i="3"/>
  <c r="X1676" i="3"/>
  <c r="X1693" i="3"/>
  <c r="X1702" i="3"/>
  <c r="X1711" i="3"/>
  <c r="X1798" i="3"/>
  <c r="X2178" i="3"/>
  <c r="X2237" i="3"/>
  <c r="X2314" i="3"/>
  <c r="X2339" i="3"/>
  <c r="X2372" i="3"/>
  <c r="X2439" i="3"/>
  <c r="X2567" i="3"/>
  <c r="X2629" i="3"/>
  <c r="X2702" i="3"/>
  <c r="X2770" i="3"/>
  <c r="X2790" i="3"/>
  <c r="X3000" i="3"/>
  <c r="X3018" i="3"/>
  <c r="X3024" i="3"/>
  <c r="X3090" i="3"/>
  <c r="X3172" i="3"/>
  <c r="X3375" i="3"/>
  <c r="X3447" i="3"/>
  <c r="X3505" i="3"/>
  <c r="X3628" i="3"/>
  <c r="X3715" i="3"/>
  <c r="X3728" i="3"/>
  <c r="X3735" i="3"/>
  <c r="X3790" i="3"/>
  <c r="X3907" i="3"/>
  <c r="X3952" i="3"/>
  <c r="X3998" i="3"/>
  <c r="X4074" i="3"/>
  <c r="X4200" i="3"/>
  <c r="X4227" i="3"/>
  <c r="X4244" i="3"/>
  <c r="X4297" i="3"/>
  <c r="X4314" i="3"/>
  <c r="X4322" i="3"/>
  <c r="X4331" i="3"/>
  <c r="X4418" i="3"/>
  <c r="X4505" i="3"/>
  <c r="X4564" i="3"/>
  <c r="X4568" i="3"/>
  <c r="X4711" i="3"/>
  <c r="X4753" i="3"/>
  <c r="X765" i="3"/>
  <c r="X1506" i="3"/>
  <c r="X2993" i="3"/>
  <c r="X3155" i="3"/>
  <c r="X4437" i="3"/>
  <c r="X20" i="3"/>
  <c r="X101" i="3"/>
  <c r="X160" i="3"/>
  <c r="X274" i="3"/>
  <c r="X359" i="3"/>
  <c r="X380" i="3"/>
  <c r="X440" i="3"/>
  <c r="X451" i="3"/>
  <c r="X559" i="3"/>
  <c r="X675" i="3"/>
  <c r="X870" i="3"/>
  <c r="X914" i="3"/>
  <c r="X948" i="3"/>
  <c r="X1089" i="3"/>
  <c r="X1142" i="3"/>
  <c r="X1213" i="3"/>
  <c r="X1215" i="3"/>
  <c r="X1297" i="3"/>
  <c r="X1361" i="3"/>
  <c r="X1370" i="3"/>
  <c r="X1399" i="3"/>
  <c r="X1456" i="3"/>
  <c r="X1563" i="3"/>
  <c r="X1586" i="3"/>
  <c r="X1661" i="3"/>
  <c r="X1679" i="3"/>
  <c r="X1684" i="3"/>
  <c r="X1758" i="3"/>
  <c r="X1831" i="3"/>
  <c r="X1866" i="3"/>
  <c r="X1873" i="3"/>
  <c r="X1879" i="3"/>
  <c r="X1885" i="3"/>
  <c r="X1889" i="3"/>
  <c r="X2060" i="3"/>
  <c r="X2090" i="3"/>
  <c r="X2151" i="3"/>
  <c r="X2200" i="3"/>
  <c r="X2285" i="3"/>
  <c r="X2676" i="3"/>
  <c r="X2715" i="3"/>
  <c r="X2732" i="3"/>
  <c r="X2786" i="3"/>
  <c r="X2802" i="3"/>
  <c r="X2872" i="3"/>
  <c r="X3037" i="3"/>
  <c r="X3177" i="3"/>
  <c r="X3234" i="3"/>
  <c r="X3290" i="3"/>
  <c r="X3293" i="3"/>
  <c r="X3420" i="3"/>
  <c r="X3429" i="3"/>
  <c r="X3434" i="3"/>
  <c r="X3685" i="3"/>
  <c r="X3709" i="3"/>
  <c r="X3744" i="3"/>
  <c r="X3838" i="3"/>
  <c r="X3876" i="3"/>
  <c r="X3881" i="3"/>
  <c r="X3896" i="3"/>
  <c r="X4050" i="3"/>
  <c r="X4097" i="3"/>
  <c r="X4163" i="3"/>
  <c r="X4175" i="3"/>
  <c r="X4273" i="3"/>
  <c r="X4307" i="3"/>
  <c r="X4404" i="3"/>
  <c r="X4423" i="3"/>
  <c r="X4432" i="3"/>
  <c r="X4493" i="3"/>
  <c r="X4559" i="3"/>
  <c r="X4588" i="3"/>
  <c r="X4692" i="3"/>
  <c r="X4724" i="3"/>
  <c r="X4730" i="3"/>
  <c r="X4732" i="3"/>
  <c r="X93" i="3"/>
  <c r="X100" i="3"/>
  <c r="X121" i="3"/>
  <c r="X127" i="3"/>
  <c r="X252" i="3"/>
  <c r="X316" i="3"/>
  <c r="X541" i="3"/>
  <c r="X611" i="3"/>
  <c r="X614" i="3"/>
  <c r="X656" i="3"/>
  <c r="X896" i="3"/>
  <c r="X907" i="3"/>
  <c r="X952" i="3"/>
  <c r="X989" i="3"/>
  <c r="X1066" i="3"/>
  <c r="X1069" i="3"/>
  <c r="X1111" i="3"/>
  <c r="X1155" i="3"/>
  <c r="X1207" i="3"/>
  <c r="X1296" i="3"/>
  <c r="X1343" i="3"/>
  <c r="X1347" i="3"/>
  <c r="X1357" i="3"/>
  <c r="X1405" i="3"/>
  <c r="X1424" i="3"/>
  <c r="X1524" i="3"/>
  <c r="X1578" i="3"/>
  <c r="X1593" i="3"/>
  <c r="X1610" i="3"/>
  <c r="X1777" i="3"/>
  <c r="X1782" i="3"/>
  <c r="X1794" i="3"/>
  <c r="X1875" i="3"/>
  <c r="X1900" i="3"/>
  <c r="X1969" i="3"/>
  <c r="X2008" i="3"/>
  <c r="X2022" i="3"/>
  <c r="X2087" i="3"/>
  <c r="X2154" i="3"/>
  <c r="X2245" i="3"/>
  <c r="X2289" i="3"/>
  <c r="X2367" i="3"/>
  <c r="X2462" i="3"/>
  <c r="X2497" i="3"/>
  <c r="X2549" i="3"/>
  <c r="X2595" i="3"/>
  <c r="X2598" i="3"/>
  <c r="X2617" i="3"/>
  <c r="X2682" i="3"/>
  <c r="X2771" i="3"/>
  <c r="X2775" i="3"/>
  <c r="X2801" i="3"/>
  <c r="X2981" i="3"/>
  <c r="X3101" i="3"/>
  <c r="X3107" i="3"/>
  <c r="X3129" i="3"/>
  <c r="X3139" i="3"/>
  <c r="X3141" i="3"/>
  <c r="X3209" i="3"/>
  <c r="X3245" i="3"/>
  <c r="X3296" i="3"/>
  <c r="X3623" i="3"/>
  <c r="X3706" i="3"/>
  <c r="X3780" i="3"/>
  <c r="X3856" i="3"/>
  <c r="X3953" i="3"/>
  <c r="X4025" i="3"/>
  <c r="X4070" i="3"/>
  <c r="X4162" i="3"/>
  <c r="X4179" i="3"/>
  <c r="X4236" i="3"/>
  <c r="X4272" i="3"/>
  <c r="X4412" i="3"/>
  <c r="X4475" i="3"/>
  <c r="X4501" i="3"/>
  <c r="X4541" i="3"/>
  <c r="X4574" i="3"/>
  <c r="X4702" i="3"/>
  <c r="X4750" i="3"/>
  <c r="X4800" i="3"/>
  <c r="X77" i="3"/>
  <c r="X97" i="3"/>
  <c r="X102" i="3"/>
  <c r="X128" i="3"/>
  <c r="X132" i="3"/>
  <c r="X134" i="3"/>
  <c r="X238" i="3"/>
  <c r="X271" i="3"/>
  <c r="X307" i="3"/>
  <c r="X326" i="3"/>
  <c r="X347" i="3"/>
  <c r="X399" i="3"/>
  <c r="X407" i="3"/>
  <c r="X438" i="3"/>
  <c r="X510" i="3"/>
  <c r="X519" i="3"/>
  <c r="X564" i="3"/>
  <c r="X616" i="3"/>
  <c r="X628" i="3"/>
  <c r="X818" i="3"/>
  <c r="X825" i="3"/>
  <c r="X827" i="3"/>
  <c r="X859" i="3"/>
  <c r="X968" i="3"/>
  <c r="X1023" i="3"/>
  <c r="X1098" i="3"/>
  <c r="X1127" i="3"/>
  <c r="X1146" i="3"/>
  <c r="X1154" i="3"/>
  <c r="X1210" i="3"/>
  <c r="X1220" i="3"/>
  <c r="X1231" i="3"/>
  <c r="X1234" i="3"/>
  <c r="X1284" i="3"/>
  <c r="X1395" i="3"/>
  <c r="X1431" i="3"/>
  <c r="X1451" i="3"/>
  <c r="X1538" i="3"/>
  <c r="X1594" i="3"/>
  <c r="X1605" i="3"/>
  <c r="X1641" i="3"/>
  <c r="X1654" i="3"/>
  <c r="X1657" i="3"/>
  <c r="X1659" i="3"/>
  <c r="X1674" i="3"/>
  <c r="X1680" i="3"/>
  <c r="X1734" i="3"/>
  <c r="X1781" i="3"/>
  <c r="X1799" i="3"/>
  <c r="X1812" i="3"/>
  <c r="X1835" i="3"/>
  <c r="X1871" i="3"/>
  <c r="X1897" i="3"/>
  <c r="X1976" i="3"/>
  <c r="X1978" i="3"/>
  <c r="X2002" i="3"/>
  <c r="X2045" i="3"/>
  <c r="X2106" i="3"/>
  <c r="X2140" i="3"/>
  <c r="X2203" i="3"/>
  <c r="X2218" i="3"/>
  <c r="X2232" i="3"/>
  <c r="X2264" i="3"/>
  <c r="X2269" i="3"/>
  <c r="X2305" i="3"/>
  <c r="X2338" i="3"/>
  <c r="X2364" i="3"/>
  <c r="X2383" i="3"/>
  <c r="X2501" i="3"/>
  <c r="X2520" i="3"/>
  <c r="X2600" i="3"/>
  <c r="X2630" i="3"/>
  <c r="X2635" i="3"/>
  <c r="X2741" i="3"/>
  <c r="X2807" i="3"/>
  <c r="X2884" i="3"/>
  <c r="X2907" i="3"/>
  <c r="X2914" i="3"/>
  <c r="X2975" i="3"/>
  <c r="X3042" i="3"/>
  <c r="X3114" i="3"/>
  <c r="X3130" i="3"/>
  <c r="X3144" i="3"/>
  <c r="X3171" i="3"/>
  <c r="X3184" i="3"/>
  <c r="X3190" i="3"/>
  <c r="X3218" i="3"/>
  <c r="X3231" i="3"/>
  <c r="X3239" i="3"/>
  <c r="X3276" i="3"/>
  <c r="X3345" i="3"/>
  <c r="X3361" i="3"/>
  <c r="X3401" i="3"/>
  <c r="X3411" i="3"/>
  <c r="X3500" i="3"/>
  <c r="X3546" i="3"/>
  <c r="X3562" i="3"/>
  <c r="X3572" i="3"/>
  <c r="X3612" i="3"/>
  <c r="X3627" i="3"/>
  <c r="X3632" i="3"/>
  <c r="X3721" i="3"/>
  <c r="X3731" i="3"/>
  <c r="X3746" i="3"/>
  <c r="X3754" i="3"/>
  <c r="X3774" i="3"/>
  <c r="X3877" i="3"/>
  <c r="X3879" i="3"/>
  <c r="X3949" i="3"/>
  <c r="X3989" i="3"/>
  <c r="X3990" i="3"/>
  <c r="X3992" i="3"/>
  <c r="X4001" i="3"/>
  <c r="X4002" i="3"/>
  <c r="X4014" i="3"/>
  <c r="X4029" i="3"/>
  <c r="X4048" i="3"/>
  <c r="X4173" i="3"/>
  <c r="X4185" i="3"/>
  <c r="X4350" i="3"/>
  <c r="X4359" i="3"/>
  <c r="X4362" i="3"/>
  <c r="X4367" i="3"/>
  <c r="X4399" i="3"/>
  <c r="X4400" i="3"/>
  <c r="X4424" i="3"/>
  <c r="X4438" i="3"/>
  <c r="X4446" i="3"/>
  <c r="X4467" i="3"/>
  <c r="X4474" i="3"/>
  <c r="X4480" i="3"/>
  <c r="X4483" i="3"/>
  <c r="X4485" i="3"/>
  <c r="X4487" i="3"/>
  <c r="X4504" i="3"/>
  <c r="X4509" i="3"/>
  <c r="X4512" i="3"/>
  <c r="X4515" i="3"/>
  <c r="X4523" i="3"/>
  <c r="X4533" i="3"/>
  <c r="X4535" i="3"/>
  <c r="X4552" i="3"/>
  <c r="X4592" i="3"/>
  <c r="X4594" i="3"/>
  <c r="X4644" i="3"/>
  <c r="X4654" i="3"/>
  <c r="X4657" i="3"/>
  <c r="X4768" i="3"/>
  <c r="X4818" i="3"/>
  <c r="X78" i="3"/>
  <c r="X242" i="3"/>
  <c r="X265" i="3"/>
  <c r="X277" i="3"/>
  <c r="X279" i="3"/>
  <c r="X292" i="3"/>
  <c r="X297" i="3"/>
  <c r="X363" i="3"/>
  <c r="X443" i="3"/>
  <c r="X445" i="3"/>
  <c r="X450" i="3"/>
  <c r="X468" i="3"/>
  <c r="X582" i="3"/>
  <c r="X597" i="3"/>
  <c r="X609" i="3"/>
  <c r="X631" i="3"/>
  <c r="X632" i="3"/>
  <c r="X642" i="3"/>
  <c r="X648" i="3"/>
  <c r="X709" i="3"/>
  <c r="X762" i="3"/>
  <c r="X782" i="3"/>
  <c r="X784" i="3"/>
  <c r="X833" i="3"/>
  <c r="X837" i="3"/>
  <c r="X844" i="3"/>
  <c r="X932" i="3"/>
  <c r="X937" i="3"/>
  <c r="X1007" i="3"/>
  <c r="X1030" i="3"/>
  <c r="X1035" i="3"/>
  <c r="X1043" i="3"/>
  <c r="X1077" i="3"/>
  <c r="X1088" i="3"/>
  <c r="X1175" i="3"/>
  <c r="X1202" i="3"/>
  <c r="X1254" i="3"/>
  <c r="X1266" i="3"/>
  <c r="X1282" i="3"/>
  <c r="X1412" i="3"/>
  <c r="X1427" i="3"/>
  <c r="X1439" i="3"/>
  <c r="X1457" i="3"/>
  <c r="X1462" i="3"/>
  <c r="X1477" i="3"/>
  <c r="X1500" i="3"/>
  <c r="X1518" i="3"/>
  <c r="X1520" i="3"/>
  <c r="X1531" i="3"/>
  <c r="X1550" i="3"/>
  <c r="X1560" i="3"/>
  <c r="X1635" i="3"/>
  <c r="X1681" i="3"/>
  <c r="X1695" i="3"/>
  <c r="X1730" i="3"/>
  <c r="X1772" i="3"/>
  <c r="X1802" i="3"/>
  <c r="X1807" i="3"/>
  <c r="X1821" i="3"/>
  <c r="X1851" i="3"/>
  <c r="X1856" i="3"/>
  <c r="X1857" i="3"/>
  <c r="X1872" i="3"/>
  <c r="X1876" i="3"/>
  <c r="X1899" i="3"/>
  <c r="X1924" i="3"/>
  <c r="X1953" i="3"/>
  <c r="X1995" i="3"/>
  <c r="X2004" i="3"/>
  <c r="X2039" i="3"/>
  <c r="X2062" i="3"/>
  <c r="X2066" i="3"/>
  <c r="X2088" i="3"/>
  <c r="X2115" i="3"/>
  <c r="X2130" i="3"/>
  <c r="X2190" i="3"/>
  <c r="X2199" i="3"/>
  <c r="X2235" i="3"/>
  <c r="X2241" i="3"/>
  <c r="X2253" i="3"/>
  <c r="X2322" i="3"/>
  <c r="X2327" i="3"/>
  <c r="X2334" i="3"/>
  <c r="X2337" i="3"/>
  <c r="X2348" i="3"/>
  <c r="X2374" i="3"/>
  <c r="X2402" i="3"/>
  <c r="X2456" i="3"/>
  <c r="X2557" i="3"/>
  <c r="X2570" i="3"/>
  <c r="X2599" i="3"/>
  <c r="X2706" i="3"/>
  <c r="X2714" i="3"/>
  <c r="X2833" i="3"/>
  <c r="X2845" i="3"/>
  <c r="X2852" i="3"/>
  <c r="X2944" i="3"/>
  <c r="X3001" i="3"/>
  <c r="X3030" i="3"/>
  <c r="X3046" i="3"/>
  <c r="X3053" i="3"/>
  <c r="X3098" i="3"/>
  <c r="X3194" i="3"/>
  <c r="X3205" i="3"/>
  <c r="X3206" i="3"/>
  <c r="X3253" i="3"/>
  <c r="X3264" i="3"/>
  <c r="X3291" i="3"/>
  <c r="X3316" i="3"/>
  <c r="X3328" i="3"/>
  <c r="X3334" i="3"/>
  <c r="X3343" i="3"/>
  <c r="X3373" i="3"/>
  <c r="X3396" i="3"/>
  <c r="X3418" i="3"/>
  <c r="X3458" i="3"/>
  <c r="X3483" i="3"/>
  <c r="X3496" i="3"/>
  <c r="X3515" i="3"/>
  <c r="X3540" i="3"/>
  <c r="X3690" i="3"/>
  <c r="X3705" i="3"/>
  <c r="X3707" i="3"/>
  <c r="X3734" i="3"/>
  <c r="X3743" i="3"/>
  <c r="X3771" i="3"/>
  <c r="X3777" i="3"/>
  <c r="X3844" i="3"/>
  <c r="X3875" i="3"/>
  <c r="X3891" i="3"/>
  <c r="X3945" i="3"/>
  <c r="X3974" i="3"/>
  <c r="X4020" i="3"/>
  <c r="X4036" i="3"/>
  <c r="X4078" i="3"/>
  <c r="X4110" i="3"/>
  <c r="X4155" i="3"/>
  <c r="X4174" i="3"/>
  <c r="X4240" i="3"/>
  <c r="X4256" i="3"/>
  <c r="X4257" i="3"/>
  <c r="X4267" i="3"/>
  <c r="X4285" i="3"/>
  <c r="X4296" i="3"/>
  <c r="X4349" i="3"/>
  <c r="X4368" i="3"/>
  <c r="X4373" i="3"/>
  <c r="X4382" i="3"/>
  <c r="X4394" i="3"/>
  <c r="X4491" i="3"/>
  <c r="X4519" i="3"/>
  <c r="X4522" i="3"/>
  <c r="X4550" i="3"/>
  <c r="X4575" i="3"/>
  <c r="X4581" i="3"/>
  <c r="X4676" i="3"/>
  <c r="X4694" i="3"/>
  <c r="X4734" i="3"/>
  <c r="X4816" i="3"/>
  <c r="X4821" i="3"/>
  <c r="X4823" i="3"/>
  <c r="X28" i="3"/>
  <c r="X46" i="3"/>
  <c r="X71" i="3"/>
  <c r="X80" i="3"/>
  <c r="X150" i="3"/>
  <c r="X194" i="3"/>
  <c r="X199" i="3"/>
  <c r="X245" i="3"/>
  <c r="X253" i="3"/>
  <c r="X256" i="3"/>
  <c r="X276" i="3"/>
  <c r="X313" i="3"/>
  <c r="X339" i="3"/>
  <c r="X355" i="3"/>
  <c r="X372" i="3"/>
  <c r="X376" i="3"/>
  <c r="X446" i="3"/>
  <c r="X452" i="3"/>
  <c r="X504" i="3"/>
  <c r="X539" i="3"/>
  <c r="X545" i="3"/>
  <c r="X561" i="3"/>
  <c r="X592" i="3"/>
  <c r="X602" i="3"/>
  <c r="X623" i="3"/>
  <c r="X684" i="3"/>
  <c r="X704" i="3"/>
  <c r="X713" i="3"/>
  <c r="X723" i="3"/>
  <c r="X790" i="3"/>
  <c r="X815" i="3"/>
  <c r="X850" i="3"/>
  <c r="X861" i="3"/>
  <c r="X939" i="3"/>
  <c r="X987" i="3"/>
  <c r="X1000" i="3"/>
  <c r="X1051" i="3"/>
  <c r="X1097" i="3"/>
  <c r="X1106" i="3"/>
  <c r="X1112" i="3"/>
  <c r="X1178" i="3"/>
  <c r="X1267" i="3"/>
  <c r="X1279" i="3"/>
  <c r="X1359" i="3"/>
  <c r="X1375" i="3"/>
  <c r="X1393" i="3"/>
  <c r="X1394" i="3"/>
  <c r="X1453" i="3"/>
  <c r="X1454" i="3"/>
  <c r="X1513" i="3"/>
  <c r="X1535" i="3"/>
  <c r="X1557" i="3"/>
  <c r="X1564" i="3"/>
  <c r="X1571" i="3"/>
  <c r="X1577" i="3"/>
  <c r="X1599" i="3"/>
  <c r="X1691" i="3"/>
  <c r="X1698" i="3"/>
  <c r="X1738" i="3"/>
  <c r="X1740" i="3"/>
  <c r="X1845" i="3"/>
  <c r="X1925" i="3"/>
  <c r="X1936" i="3"/>
  <c r="X1967" i="3"/>
  <c r="X2013" i="3"/>
  <c r="X2030" i="3"/>
  <c r="X2040" i="3"/>
  <c r="X2044" i="3"/>
  <c r="X2064" i="3"/>
  <c r="X2082" i="3"/>
  <c r="X2093" i="3"/>
  <c r="X2126" i="3"/>
  <c r="X2136" i="3"/>
  <c r="X2144" i="3"/>
  <c r="X2149" i="3"/>
  <c r="X2194" i="3"/>
  <c r="X2266" i="3"/>
  <c r="X2273" i="3"/>
  <c r="X2319" i="3"/>
  <c r="X2346" i="3"/>
  <c r="X2356" i="3"/>
  <c r="X2376" i="3"/>
  <c r="X2380" i="3"/>
  <c r="X2470" i="3"/>
  <c r="X2525" i="3"/>
  <c r="X2532" i="3"/>
  <c r="X2674" i="3"/>
  <c r="X2677" i="3"/>
  <c r="X2703" i="3"/>
  <c r="X2742" i="3"/>
  <c r="X2757" i="3"/>
  <c r="X2767" i="3"/>
  <c r="X2768" i="3"/>
  <c r="X2870" i="3"/>
  <c r="X2883" i="3"/>
  <c r="X2903" i="3"/>
  <c r="X2926" i="3"/>
  <c r="X2934" i="3"/>
  <c r="X3092" i="3"/>
  <c r="X3137" i="3"/>
  <c r="X3165" i="3"/>
  <c r="X3183" i="3"/>
  <c r="X3202" i="3"/>
  <c r="X3221" i="3"/>
  <c r="X3250" i="3"/>
  <c r="X3298" i="3"/>
  <c r="X3312" i="3"/>
  <c r="X3330" i="3"/>
  <c r="X3369" i="3"/>
  <c r="X3412" i="3"/>
  <c r="X3430" i="3"/>
  <c r="X3476" i="3"/>
  <c r="X3477" i="3"/>
  <c r="X3492" i="3"/>
  <c r="X3538" i="3"/>
  <c r="X3574" i="3"/>
  <c r="X3606" i="3"/>
  <c r="X3607" i="3"/>
  <c r="X3611" i="3"/>
  <c r="X3640" i="3"/>
  <c r="X3686" i="3"/>
  <c r="X3708" i="3"/>
  <c r="X3752" i="3"/>
  <c r="X3753" i="3"/>
  <c r="X3767" i="3"/>
  <c r="X3781" i="3"/>
  <c r="X3785" i="3"/>
  <c r="X3786" i="3"/>
  <c r="X3888" i="3"/>
  <c r="X3984" i="3"/>
  <c r="X4031" i="3"/>
  <c r="X4093" i="3"/>
  <c r="X4123" i="3"/>
  <c r="X4131" i="3"/>
  <c r="X4186" i="3"/>
  <c r="X4212" i="3"/>
  <c r="X4233" i="3"/>
  <c r="X4243" i="3"/>
  <c r="X4268" i="3"/>
  <c r="X4275" i="3"/>
  <c r="X4279" i="3"/>
  <c r="X4316" i="3"/>
  <c r="X4328" i="3"/>
  <c r="X4332" i="3"/>
  <c r="X4337" i="3"/>
  <c r="X4347" i="3"/>
  <c r="X4348" i="3"/>
  <c r="X4355" i="3"/>
  <c r="X4358" i="3"/>
  <c r="X4387" i="3"/>
  <c r="X4414" i="3"/>
  <c r="X4434" i="3"/>
  <c r="X4456" i="3"/>
  <c r="X4459" i="3"/>
  <c r="X4502" i="3"/>
  <c r="X4524" i="3"/>
  <c r="X4548" i="3"/>
  <c r="X4551" i="3"/>
  <c r="X4614" i="3"/>
  <c r="X4623" i="3"/>
  <c r="X4674" i="3"/>
  <c r="X4723" i="3"/>
  <c r="X4755" i="3"/>
  <c r="X4770" i="3"/>
  <c r="X4785" i="3"/>
  <c r="X39" i="3"/>
  <c r="X54" i="3"/>
  <c r="X59" i="3"/>
  <c r="X60" i="3"/>
  <c r="X63" i="3"/>
  <c r="X72" i="3"/>
  <c r="X83" i="3"/>
  <c r="X99" i="3"/>
  <c r="X106" i="3"/>
  <c r="X114" i="3"/>
  <c r="X163" i="3"/>
  <c r="X218" i="3"/>
  <c r="X234" i="3"/>
  <c r="X258" i="3"/>
  <c r="X266" i="3"/>
  <c r="X269" i="3"/>
  <c r="X270" i="3"/>
  <c r="X317" i="3"/>
  <c r="X348" i="3"/>
  <c r="X365" i="3"/>
  <c r="X369" i="3"/>
  <c r="X378" i="3"/>
  <c r="X379" i="3"/>
  <c r="X416" i="3"/>
  <c r="X422" i="3"/>
  <c r="X427" i="3"/>
  <c r="X434" i="3"/>
  <c r="X523" i="3"/>
  <c r="X546" i="3"/>
  <c r="X595" i="3"/>
  <c r="X641" i="3"/>
  <c r="X651" i="3"/>
  <c r="X670" i="3"/>
  <c r="X680" i="3"/>
  <c r="X699" i="3"/>
  <c r="X710" i="3"/>
  <c r="X716" i="3"/>
  <c r="X774" i="3"/>
  <c r="X808" i="3"/>
  <c r="X809" i="3"/>
  <c r="X820" i="3"/>
  <c r="X831" i="3"/>
  <c r="X835" i="3"/>
  <c r="X961" i="3"/>
  <c r="X997" i="3"/>
  <c r="X1032" i="3"/>
  <c r="X1047" i="3"/>
  <c r="X1065" i="3"/>
  <c r="X1161" i="3"/>
  <c r="X1182" i="3"/>
  <c r="X1278" i="3"/>
  <c r="X1356" i="3"/>
  <c r="X1380" i="3"/>
  <c r="X1430" i="3"/>
  <c r="X1536" i="3"/>
  <c r="X1581" i="3"/>
  <c r="X1608" i="3"/>
  <c r="X1627" i="3"/>
  <c r="X1690" i="3"/>
  <c r="X1703" i="3"/>
  <c r="X1704" i="3"/>
  <c r="X1735" i="3"/>
  <c r="X1788" i="3"/>
  <c r="X1789" i="3"/>
  <c r="X1792" i="3"/>
  <c r="X1804" i="3"/>
  <c r="X1850" i="3"/>
  <c r="X1860" i="3"/>
  <c r="X1901" i="3"/>
  <c r="X1932" i="3"/>
  <c r="X1949" i="3"/>
  <c r="X1964" i="3"/>
  <c r="X1981" i="3"/>
  <c r="X2005" i="3"/>
  <c r="X2014" i="3"/>
  <c r="X2021" i="3"/>
  <c r="X2059" i="3"/>
  <c r="X2076" i="3"/>
  <c r="X2079" i="3"/>
  <c r="X2084" i="3"/>
  <c r="X2086" i="3"/>
  <c r="X2143" i="3"/>
  <c r="X2214" i="3"/>
  <c r="X2243" i="3"/>
  <c r="X2272" i="3"/>
  <c r="X2277" i="3"/>
  <c r="X2286" i="3"/>
  <c r="X2342" i="3"/>
  <c r="X2351" i="3"/>
  <c r="X2359" i="3"/>
  <c r="X2361" i="3"/>
  <c r="X2382" i="3"/>
  <c r="X2411" i="3"/>
  <c r="X2421" i="3"/>
  <c r="X2429" i="3"/>
  <c r="X2475" i="3"/>
  <c r="X2508" i="3"/>
  <c r="X2542" i="3"/>
  <c r="X2566" i="3"/>
  <c r="X2579" i="3"/>
  <c r="X2601" i="3"/>
  <c r="X2627" i="3"/>
  <c r="X2632" i="3"/>
  <c r="X2639" i="3"/>
  <c r="X2746" i="3"/>
  <c r="X2924" i="3"/>
  <c r="X2925" i="3"/>
  <c r="X2929" i="3"/>
  <c r="X2957" i="3"/>
  <c r="X2958" i="3"/>
  <c r="X2966" i="3"/>
  <c r="X3010" i="3"/>
  <c r="X3052" i="3"/>
  <c r="X3088" i="3"/>
  <c r="X3143" i="3"/>
  <c r="X3146" i="3"/>
  <c r="X3148" i="3"/>
  <c r="X3151" i="3"/>
  <c r="X3152" i="3"/>
  <c r="X3153" i="3"/>
  <c r="X3176" i="3"/>
  <c r="X3216" i="3"/>
  <c r="X3230" i="3"/>
  <c r="X3279" i="3"/>
  <c r="X3302" i="3"/>
  <c r="X3352" i="3"/>
  <c r="X3454" i="3"/>
  <c r="X3486" i="3"/>
  <c r="X3488" i="3"/>
  <c r="X3495" i="3"/>
  <c r="X3509" i="3"/>
  <c r="X3537" i="3"/>
  <c r="X3594" i="3"/>
  <c r="X3626" i="3"/>
  <c r="X3772" i="3"/>
  <c r="X3782" i="3"/>
  <c r="X3805" i="3"/>
  <c r="X3818" i="3"/>
  <c r="X3886" i="3"/>
  <c r="X3898" i="3"/>
  <c r="X3960" i="3"/>
  <c r="X4009" i="3"/>
  <c r="X4024" i="3"/>
  <c r="X4068" i="3"/>
  <c r="X4069" i="3"/>
  <c r="X4073" i="3"/>
  <c r="X4079" i="3"/>
  <c r="X4081" i="3"/>
  <c r="X4094" i="3"/>
  <c r="X4115" i="3"/>
  <c r="X4122" i="3"/>
  <c r="X4156" i="3"/>
  <c r="X4218" i="3"/>
  <c r="X4261" i="3"/>
  <c r="X4269" i="3"/>
  <c r="X4270" i="3"/>
  <c r="X4280" i="3"/>
  <c r="X4288" i="3"/>
  <c r="X4341" i="3"/>
  <c r="X4441" i="3"/>
  <c r="X4543" i="3"/>
  <c r="X4555" i="3"/>
  <c r="X4577" i="3"/>
  <c r="X4604" i="3"/>
  <c r="X4754" i="3"/>
  <c r="X4788" i="3"/>
  <c r="X4799" i="3"/>
  <c r="X4803" i="3"/>
  <c r="X4828" i="3"/>
  <c r="X4829" i="3"/>
  <c r="X23" i="3"/>
  <c r="X130" i="3"/>
  <c r="X232" i="3"/>
  <c r="X249" i="3"/>
  <c r="X325" i="3"/>
  <c r="X334" i="3"/>
  <c r="X362" i="3"/>
  <c r="X385" i="3"/>
  <c r="X552" i="3"/>
  <c r="X669" i="3"/>
  <c r="X687" i="3"/>
  <c r="X785" i="3"/>
  <c r="X828" i="3"/>
  <c r="X845" i="3"/>
  <c r="X916" i="3"/>
  <c r="X949" i="3"/>
  <c r="X959" i="3"/>
  <c r="X984" i="3"/>
  <c r="X1009" i="3"/>
  <c r="X1013" i="3"/>
  <c r="X1034" i="3"/>
  <c r="X1068" i="3"/>
  <c r="X1288" i="3"/>
  <c r="X1316" i="3"/>
  <c r="X1514" i="3"/>
  <c r="X1526" i="3"/>
  <c r="X1590" i="3"/>
  <c r="X1668" i="3"/>
  <c r="X1688" i="3"/>
  <c r="X1752" i="3"/>
  <c r="X1853" i="3"/>
  <c r="X1867" i="3"/>
  <c r="X1874" i="3"/>
  <c r="X1910" i="3"/>
  <c r="X2148" i="3"/>
  <c r="X2169" i="3"/>
  <c r="X2185" i="3"/>
  <c r="X2495" i="3"/>
  <c r="X2531" i="3"/>
  <c r="X2576" i="3"/>
  <c r="X2724" i="3"/>
  <c r="X2754" i="3"/>
  <c r="X2766" i="3"/>
  <c r="X2847" i="3"/>
  <c r="X2953" i="3"/>
  <c r="X2969" i="3"/>
  <c r="X2971" i="3"/>
  <c r="X3009" i="3"/>
  <c r="X3203" i="3"/>
  <c r="X3228" i="3"/>
  <c r="X3256" i="3"/>
  <c r="X3335" i="3"/>
  <c r="X3592" i="3"/>
  <c r="X3899" i="3"/>
  <c r="X3918" i="3"/>
  <c r="X3948" i="3"/>
  <c r="X3991" i="3"/>
  <c r="X4004" i="3"/>
  <c r="X4017" i="3"/>
  <c r="X4067" i="3"/>
  <c r="X4120" i="3"/>
  <c r="X4129" i="3"/>
  <c r="X4190" i="3"/>
  <c r="X4238" i="3"/>
  <c r="X4304" i="3"/>
  <c r="X4324" i="3"/>
  <c r="X4326" i="3"/>
  <c r="X4345" i="3"/>
  <c r="X4357" i="3"/>
  <c r="X4396" i="3"/>
  <c r="X4402" i="3"/>
  <c r="X4405" i="3"/>
  <c r="X4452" i="3"/>
  <c r="X4510" i="3"/>
  <c r="X4538" i="3"/>
  <c r="X4652" i="3"/>
  <c r="X4718" i="3"/>
  <c r="X4746" i="3"/>
  <c r="X4812" i="3"/>
  <c r="X19" i="3"/>
  <c r="X69" i="3"/>
  <c r="X74" i="3"/>
  <c r="X139" i="3"/>
  <c r="X392" i="3"/>
  <c r="X479" i="3"/>
  <c r="X605" i="3"/>
  <c r="X703" i="3"/>
  <c r="X855" i="3"/>
  <c r="X912" i="3"/>
  <c r="X1095" i="3"/>
  <c r="X1240" i="3"/>
  <c r="X1244" i="3"/>
  <c r="X1337" i="3"/>
  <c r="X1398" i="3"/>
  <c r="X1465" i="3"/>
  <c r="X1490" i="3"/>
  <c r="X1528" i="3"/>
  <c r="X1554" i="3"/>
  <c r="X1712" i="3"/>
  <c r="X1724" i="3"/>
  <c r="X2057" i="3"/>
  <c r="X2077" i="3"/>
  <c r="X2097" i="3"/>
  <c r="X2118" i="3"/>
  <c r="X2125" i="3"/>
  <c r="X2204" i="3"/>
  <c r="X2224" i="3"/>
  <c r="X2257" i="3"/>
  <c r="X2313" i="3"/>
  <c r="X2436" i="3"/>
  <c r="X2804" i="3"/>
  <c r="X2835" i="3"/>
  <c r="X2875" i="3"/>
  <c r="X2917" i="3"/>
  <c r="X2932" i="3"/>
  <c r="X2939" i="3"/>
  <c r="X3011" i="3"/>
  <c r="X3091" i="3"/>
  <c r="X3386" i="3"/>
  <c r="X3534" i="3"/>
  <c r="X3553" i="3"/>
  <c r="X3637" i="3"/>
  <c r="X3639" i="3"/>
  <c r="X3642" i="3"/>
  <c r="X3646" i="3"/>
  <c r="X3741" i="3"/>
  <c r="X3826" i="3"/>
  <c r="X3835" i="3"/>
  <c r="X3884" i="3"/>
  <c r="X3996" i="3"/>
  <c r="X4011" i="3"/>
  <c r="X4076" i="3"/>
  <c r="X4132" i="3"/>
  <c r="X4139" i="3"/>
  <c r="X4180" i="3"/>
  <c r="X4274" i="3"/>
  <c r="X4315" i="3"/>
  <c r="X4370" i="3"/>
  <c r="X4384" i="3"/>
  <c r="X4426" i="3"/>
  <c r="X4462" i="3"/>
  <c r="X4508" i="3"/>
  <c r="X4518" i="3"/>
  <c r="X4530" i="3"/>
  <c r="X4534" i="3"/>
  <c r="X4597" i="3"/>
  <c r="X4659" i="3"/>
  <c r="X4665" i="3"/>
  <c r="X4728" i="3"/>
  <c r="X18" i="3"/>
  <c r="X36" i="3"/>
  <c r="X89" i="3"/>
  <c r="X138" i="3"/>
  <c r="X173" i="3"/>
  <c r="X303" i="3"/>
  <c r="X368" i="3"/>
  <c r="X398" i="3"/>
  <c r="X453" i="3"/>
  <c r="X483" i="3"/>
  <c r="X589" i="3"/>
  <c r="X686" i="3"/>
  <c r="X697" i="3"/>
  <c r="X741" i="3"/>
  <c r="X848" i="3"/>
  <c r="X858" i="3"/>
  <c r="X890" i="3"/>
  <c r="X1129" i="3"/>
  <c r="X1214" i="3"/>
  <c r="X1329" i="3"/>
  <c r="X1387" i="3"/>
  <c r="X1416" i="3"/>
  <c r="X1507" i="3"/>
  <c r="X1547" i="3"/>
  <c r="X1592" i="3"/>
  <c r="X1667" i="3"/>
  <c r="X1739" i="3"/>
  <c r="X1793" i="3"/>
  <c r="X1843" i="3"/>
  <c r="X1884" i="3"/>
  <c r="X1934" i="3"/>
  <c r="X2128" i="3"/>
  <c r="X2182" i="3"/>
  <c r="X2195" i="3"/>
  <c r="X2209" i="3"/>
  <c r="X2330" i="3"/>
  <c r="X2387" i="3"/>
  <c r="X2390" i="3"/>
  <c r="X2468" i="3"/>
  <c r="X2483" i="3"/>
  <c r="X2543" i="3"/>
  <c r="X2568" i="3"/>
  <c r="X2589" i="3"/>
  <c r="X2781" i="3"/>
  <c r="X2788" i="3"/>
  <c r="X2842" i="3"/>
  <c r="X2892" i="3"/>
  <c r="X2915" i="3"/>
  <c r="X2943" i="3"/>
  <c r="X3014" i="3"/>
  <c r="X3191" i="3"/>
  <c r="X3295" i="3"/>
  <c r="X3311" i="3"/>
  <c r="X3382" i="3"/>
  <c r="X3519" i="3"/>
  <c r="X3635" i="3"/>
  <c r="X3696" i="3"/>
  <c r="X3799" i="3"/>
  <c r="X3816" i="3"/>
  <c r="X3832" i="3"/>
  <c r="X3846" i="3"/>
  <c r="X3854" i="3"/>
  <c r="X3892" i="3"/>
  <c r="X3933" i="3"/>
  <c r="X3955" i="3"/>
  <c r="X4057" i="3"/>
  <c r="X4151" i="3"/>
  <c r="X4171" i="3"/>
  <c r="X4221" i="3"/>
  <c r="X4226" i="3"/>
  <c r="X4318" i="3"/>
  <c r="X4492" i="3"/>
  <c r="X4583" i="3"/>
  <c r="X4618" i="3"/>
  <c r="X4807" i="3"/>
  <c r="X4822" i="3"/>
  <c r="X8" i="3"/>
  <c r="X47" i="3"/>
  <c r="X98" i="3"/>
  <c r="X187" i="3"/>
  <c r="X205" i="3"/>
  <c r="X263" i="3"/>
  <c r="X332" i="3"/>
  <c r="X417" i="3"/>
  <c r="X444" i="3"/>
  <c r="X489" i="3"/>
  <c r="X506" i="3"/>
  <c r="X548" i="3"/>
  <c r="X640" i="3"/>
  <c r="X694" i="3"/>
  <c r="X706" i="3"/>
  <c r="X718" i="3"/>
  <c r="X738" i="3"/>
  <c r="X875" i="3"/>
  <c r="X901" i="3"/>
  <c r="X1040" i="3"/>
  <c r="X1070" i="3"/>
  <c r="X1096" i="3"/>
  <c r="X1121" i="3"/>
  <c r="X1179" i="3"/>
  <c r="X1317" i="3"/>
  <c r="X1322" i="3"/>
  <c r="X1353" i="3"/>
  <c r="X1383" i="3"/>
  <c r="X1540" i="3"/>
  <c r="X1565" i="3"/>
  <c r="X1582" i="3"/>
  <c r="X1603" i="3"/>
  <c r="X1646" i="3"/>
  <c r="X1785" i="3"/>
  <c r="X1786" i="3"/>
  <c r="X1806" i="3"/>
  <c r="X1823" i="3"/>
  <c r="X1883" i="3"/>
  <c r="X1903" i="3"/>
  <c r="X2023" i="3"/>
  <c r="X2085" i="3"/>
  <c r="X2172" i="3"/>
  <c r="X2207" i="3"/>
  <c r="X2215" i="3"/>
  <c r="X2270" i="3"/>
  <c r="X2333" i="3"/>
  <c r="X2404" i="3"/>
  <c r="X2526" i="3"/>
  <c r="X2528" i="3"/>
  <c r="X2530" i="3"/>
  <c r="X2561" i="3"/>
  <c r="X2634" i="3"/>
  <c r="X2659" i="3"/>
  <c r="X2665" i="3"/>
  <c r="X2670" i="3"/>
  <c r="X2728" i="3"/>
  <c r="X2735" i="3"/>
  <c r="X2743" i="3"/>
  <c r="X2783" i="3"/>
  <c r="X2843" i="3"/>
  <c r="X2904" i="3"/>
  <c r="X2949" i="3"/>
  <c r="X2978" i="3"/>
  <c r="X3033" i="3"/>
  <c r="X3067" i="3"/>
  <c r="X3120" i="3"/>
  <c r="X3186" i="3"/>
  <c r="X3197" i="3"/>
  <c r="X3259" i="3"/>
  <c r="X3266" i="3"/>
  <c r="X3350" i="3"/>
  <c r="X3379" i="3"/>
  <c r="X3417" i="3"/>
  <c r="X3508" i="3"/>
  <c r="X3547" i="3"/>
  <c r="X3700" i="3"/>
  <c r="X3722" i="3"/>
  <c r="X3759" i="3"/>
  <c r="X3791" i="3"/>
  <c r="X3828" i="3"/>
  <c r="X3967" i="3"/>
  <c r="X4006" i="3"/>
  <c r="X4066" i="3"/>
  <c r="X4090" i="3"/>
  <c r="X4099" i="3"/>
  <c r="X4199" i="3"/>
  <c r="X4323" i="3"/>
  <c r="X4336" i="3"/>
  <c r="X4343" i="3"/>
  <c r="X4369" i="3"/>
  <c r="X4386" i="3"/>
  <c r="X4527" i="3"/>
  <c r="X4664" i="3"/>
  <c r="X4703" i="3"/>
  <c r="X4706" i="3"/>
  <c r="X4710" i="3"/>
  <c r="X4721" i="3"/>
  <c r="X117" i="3"/>
  <c r="X191" i="3"/>
  <c r="X318" i="3"/>
  <c r="X335" i="3"/>
  <c r="X437" i="3"/>
  <c r="X478" i="3"/>
  <c r="X553" i="3"/>
  <c r="X562" i="3"/>
  <c r="X624" i="3"/>
  <c r="X725" i="3"/>
  <c r="X763" i="3"/>
  <c r="X806" i="3"/>
  <c r="X841" i="3"/>
  <c r="X917" i="3"/>
  <c r="X986" i="3"/>
  <c r="X1086" i="3"/>
  <c r="X1204" i="3"/>
  <c r="X1211" i="3"/>
  <c r="X1241" i="3"/>
  <c r="X1281" i="3"/>
  <c r="X1461" i="3"/>
  <c r="X1473" i="3"/>
  <c r="X1516" i="3"/>
  <c r="X1523" i="3"/>
  <c r="X1723" i="3"/>
  <c r="X1765" i="3"/>
  <c r="X1809" i="3"/>
  <c r="X1881" i="3"/>
  <c r="X1919" i="3"/>
  <c r="X1972" i="3"/>
  <c r="X1987" i="3"/>
  <c r="X2049" i="3"/>
  <c r="X2174" i="3"/>
  <c r="X2208" i="3"/>
  <c r="X2373" i="3"/>
  <c r="X2398" i="3"/>
  <c r="X2491" i="3"/>
  <c r="X2535" i="3"/>
  <c r="X2536" i="3"/>
  <c r="X2681" i="3"/>
  <c r="X2733" i="3"/>
  <c r="X2752" i="3"/>
  <c r="X2812" i="3"/>
  <c r="X3002" i="3"/>
  <c r="X3022" i="3"/>
  <c r="X3077" i="3"/>
  <c r="X3079" i="3"/>
  <c r="X3109" i="3"/>
  <c r="X3149" i="3"/>
  <c r="X3419" i="3"/>
  <c r="X3527" i="3"/>
  <c r="X3536" i="3"/>
  <c r="X3573" i="3"/>
  <c r="X3622" i="3"/>
  <c r="X3701" i="3"/>
  <c r="X3717" i="3"/>
  <c r="X3727" i="3"/>
  <c r="X3788" i="3"/>
  <c r="X3830" i="3"/>
  <c r="X3863" i="3"/>
  <c r="X3902" i="3"/>
  <c r="X3911" i="3"/>
  <c r="X3940" i="3"/>
  <c r="X4054" i="3"/>
  <c r="X4144" i="3"/>
  <c r="X4147" i="3"/>
  <c r="X4189" i="3"/>
  <c r="X4228" i="3"/>
  <c r="X4265" i="3"/>
  <c r="X4300" i="3"/>
  <c r="X4306" i="3"/>
  <c r="X4312" i="3"/>
  <c r="X4317" i="3"/>
  <c r="X4330" i="3"/>
  <c r="X4372" i="3"/>
  <c r="X4381" i="3"/>
  <c r="X4469" i="3"/>
  <c r="X4478" i="3"/>
  <c r="X4603" i="3"/>
  <c r="X4605" i="3"/>
  <c r="X4656" i="3"/>
  <c r="X131" i="3"/>
  <c r="X411" i="3"/>
  <c r="X759" i="3"/>
  <c r="X1392" i="3"/>
  <c r="X1499" i="3"/>
  <c r="X1863" i="3"/>
  <c r="X2255" i="3"/>
  <c r="X2262" i="3"/>
  <c r="X2755" i="3"/>
  <c r="X2878" i="3"/>
  <c r="X3157" i="3"/>
  <c r="X3581" i="3"/>
  <c r="X3787" i="3"/>
  <c r="X3897" i="3"/>
  <c r="X3932" i="3"/>
  <c r="X4219" i="3"/>
  <c r="X4301" i="3"/>
  <c r="X4477" i="3"/>
  <c r="X4539" i="3"/>
  <c r="X4831" i="3"/>
  <c r="AC16" i="3"/>
  <c r="AC43" i="3"/>
  <c r="AC56" i="3"/>
  <c r="AC129" i="3"/>
  <c r="AC174" i="3"/>
  <c r="AC183" i="3"/>
  <c r="AC202" i="3"/>
  <c r="AC207" i="3"/>
  <c r="AC215" i="3"/>
  <c r="AC237" i="3"/>
  <c r="AC250" i="3"/>
  <c r="AC278" i="3"/>
  <c r="AC285" i="3"/>
  <c r="AC337" i="3"/>
  <c r="AC343" i="3"/>
  <c r="AC358" i="3"/>
  <c r="AC389" i="3"/>
  <c r="AC409" i="3"/>
  <c r="AC491" i="3"/>
  <c r="AC494" i="3"/>
  <c r="AC500" i="3"/>
  <c r="AC529" i="3"/>
  <c r="AC531" i="3"/>
  <c r="AC581" i="3"/>
  <c r="AC593" i="3"/>
  <c r="AC772" i="3"/>
  <c r="AC794" i="3"/>
  <c r="AC797" i="3"/>
  <c r="AC803" i="3"/>
  <c r="AC807" i="3"/>
  <c r="AC821" i="3"/>
  <c r="AC854" i="3"/>
  <c r="AC877" i="3"/>
  <c r="AC892" i="3"/>
  <c r="AC905" i="3"/>
  <c r="AC910" i="3"/>
  <c r="AC920" i="3"/>
  <c r="AC927" i="3"/>
  <c r="AC928" i="3"/>
  <c r="AC941" i="3"/>
  <c r="AC992" i="3"/>
  <c r="AC1010" i="3"/>
  <c r="AC1052" i="3"/>
  <c r="AC1053" i="3"/>
  <c r="AC1093" i="3"/>
  <c r="AC1101" i="3"/>
  <c r="AC1128" i="3"/>
  <c r="AC1135" i="3"/>
  <c r="AC1245" i="3"/>
  <c r="AC1301" i="3"/>
  <c r="AC1324" i="3"/>
  <c r="AC1349" i="3"/>
  <c r="AC1362" i="3"/>
  <c r="AC1411" i="3"/>
  <c r="AC1425" i="3"/>
  <c r="AC1426" i="3"/>
  <c r="AC1433" i="3"/>
  <c r="AC1444" i="3"/>
  <c r="AC1556" i="3"/>
  <c r="AC1569" i="3"/>
  <c r="AC1629" i="3"/>
  <c r="AC1639" i="3"/>
  <c r="AC1664" i="3"/>
  <c r="AC1713" i="3"/>
  <c r="AC1748" i="3"/>
  <c r="AC1774" i="3"/>
  <c r="AC1784" i="3"/>
  <c r="AC1813" i="3"/>
  <c r="AC1820" i="3"/>
  <c r="AC1838" i="3"/>
  <c r="AC1963" i="3"/>
  <c r="AC1973" i="3"/>
  <c r="AC2000" i="3"/>
  <c r="AC2054" i="3"/>
  <c r="AC2068" i="3"/>
  <c r="AC2101" i="3"/>
  <c r="AC2122" i="3"/>
  <c r="AC2160" i="3"/>
  <c r="AC2233" i="3"/>
  <c r="AC2234" i="3"/>
  <c r="AC2298" i="3"/>
  <c r="AC2332" i="3"/>
  <c r="AC2427" i="3"/>
  <c r="AC2565" i="3"/>
  <c r="AC2586" i="3"/>
  <c r="AC2608" i="3"/>
  <c r="AC2625" i="3"/>
  <c r="AC2641" i="3"/>
  <c r="AC2666" i="3"/>
  <c r="AC2667" i="3"/>
  <c r="AC2691" i="3"/>
  <c r="AC2694" i="3"/>
  <c r="AC2705" i="3"/>
  <c r="AC2720" i="3"/>
  <c r="AC2729" i="3"/>
  <c r="AC2737" i="3"/>
  <c r="AC2738" i="3"/>
  <c r="AC2765" i="3"/>
  <c r="AC2772" i="3"/>
  <c r="AC2779" i="3"/>
  <c r="AC2797" i="3"/>
  <c r="AC2829" i="3"/>
  <c r="AC2834" i="3"/>
  <c r="AC2869" i="3"/>
  <c r="AC2876" i="3"/>
  <c r="AC2896" i="3"/>
  <c r="AC2945" i="3"/>
  <c r="AC2955" i="3"/>
  <c r="AC2998" i="3"/>
  <c r="AC3025" i="3"/>
  <c r="AC3057" i="3"/>
  <c r="AC3089" i="3"/>
  <c r="AC3106" i="3"/>
  <c r="AC3136" i="3"/>
  <c r="AC3189" i="3"/>
  <c r="AC3195" i="3"/>
  <c r="AC3236" i="3"/>
  <c r="AC3267" i="3"/>
  <c r="AC3427" i="3"/>
  <c r="AC3431" i="3"/>
  <c r="AC3460" i="3"/>
  <c r="AC3472" i="3"/>
  <c r="AC3494" i="3"/>
  <c r="AC3502" i="3"/>
  <c r="AC3621" i="3"/>
  <c r="AC3625" i="3"/>
  <c r="AC3638" i="3"/>
  <c r="AC3653" i="3"/>
  <c r="AC3675" i="3"/>
  <c r="AC3695" i="3"/>
  <c r="AC3711" i="3"/>
  <c r="AC3747" i="3"/>
  <c r="AC3796" i="3"/>
  <c r="AC3814" i="3"/>
  <c r="AC3833" i="3"/>
  <c r="AC3841" i="3"/>
  <c r="AC3849" i="3"/>
  <c r="AC3871" i="3"/>
  <c r="AC3961" i="3"/>
  <c r="AC3973" i="3"/>
  <c r="AC3988" i="3"/>
  <c r="AC4088" i="3"/>
  <c r="AC4092" i="3"/>
  <c r="AC4153" i="3"/>
  <c r="AC4188" i="3"/>
  <c r="AC4237" i="3"/>
  <c r="AC4356" i="3"/>
  <c r="AC4385" i="3"/>
  <c r="AC4407" i="3"/>
  <c r="AC4411" i="3"/>
  <c r="AC4422" i="3"/>
  <c r="AC4425" i="3"/>
  <c r="AC4429" i="3"/>
  <c r="AC4447" i="3"/>
  <c r="AD4447" i="3" s="1"/>
  <c r="AC4448" i="3"/>
  <c r="AD4448" i="3" s="1"/>
  <c r="AC4488" i="3"/>
  <c r="AD4488" i="3" s="1"/>
  <c r="AC4537" i="3"/>
  <c r="AD4537" i="3" s="1"/>
  <c r="AC4563" i="3"/>
  <c r="AD4563" i="3" s="1"/>
  <c r="AC4616" i="3"/>
  <c r="AD4616" i="3" s="1"/>
  <c r="AC4658" i="3"/>
  <c r="AD4658" i="3" s="1"/>
  <c r="AC4669" i="3"/>
  <c r="AD4669" i="3" s="1"/>
  <c r="AC4735" i="3"/>
  <c r="AD4735" i="3" s="1"/>
  <c r="AC4738" i="3"/>
  <c r="AD4738" i="3" s="1"/>
  <c r="AC4793" i="3"/>
  <c r="AD4793" i="3" s="1"/>
  <c r="AC4810" i="3"/>
  <c r="AD4810" i="3" s="1"/>
  <c r="AC4819" i="3"/>
  <c r="AD4819" i="3" s="1"/>
  <c r="AC27" i="3"/>
  <c r="AC31" i="3"/>
  <c r="AC144" i="3"/>
  <c r="AC156" i="3"/>
  <c r="AC179" i="3"/>
  <c r="AC282" i="3"/>
  <c r="AC284" i="3"/>
  <c r="AC341" i="3"/>
  <c r="AC344" i="3"/>
  <c r="AC360" i="3"/>
  <c r="AC406" i="3"/>
  <c r="AC432" i="3"/>
  <c r="AC439" i="3"/>
  <c r="AC441" i="3"/>
  <c r="AC456" i="3"/>
  <c r="AC498" i="3"/>
  <c r="AC502" i="3"/>
  <c r="AC514" i="3"/>
  <c r="AC590" i="3"/>
  <c r="AC599" i="3"/>
  <c r="AC619" i="3"/>
  <c r="AC621" i="3"/>
  <c r="AC681" i="3"/>
  <c r="AC692" i="3"/>
  <c r="AC727" i="3"/>
  <c r="AC731" i="3"/>
  <c r="AC732" i="3"/>
  <c r="AC733" i="3"/>
  <c r="AC783" i="3"/>
  <c r="AC800" i="3"/>
  <c r="AC862" i="3"/>
  <c r="AC878" i="3"/>
  <c r="AC898" i="3"/>
  <c r="AC999" i="3"/>
  <c r="AC1028" i="3"/>
  <c r="AC1041" i="3"/>
  <c r="AC1072" i="3"/>
  <c r="AC1113" i="3"/>
  <c r="AC1167" i="3"/>
  <c r="AC1171" i="3"/>
  <c r="AC1180" i="3"/>
  <c r="AC1224" i="3"/>
  <c r="AC1265" i="3"/>
  <c r="AC1275" i="3"/>
  <c r="AC1346" i="3"/>
  <c r="AC1360" i="3"/>
  <c r="AC1369" i="3"/>
  <c r="AC1420" i="3"/>
  <c r="AC1481" i="3"/>
  <c r="AC1492" i="3"/>
  <c r="AC1678" i="3"/>
  <c r="AC1717" i="3"/>
  <c r="AC1719" i="3"/>
  <c r="AC1733" i="3"/>
  <c r="AC1736" i="3"/>
  <c r="AC1750" i="3"/>
  <c r="AC1764" i="3"/>
  <c r="AC1893" i="3"/>
  <c r="AC1942" i="3"/>
  <c r="AC1984" i="3"/>
  <c r="AC1998" i="3"/>
  <c r="AC2061" i="3"/>
  <c r="AC2102" i="3"/>
  <c r="AC2123" i="3"/>
  <c r="AC2133" i="3"/>
  <c r="AC2168" i="3"/>
  <c r="AC2179" i="3"/>
  <c r="AC2227" i="3"/>
  <c r="AC2252" i="3"/>
  <c r="AC2261" i="3"/>
  <c r="AC2265" i="3"/>
  <c r="AC2282" i="3"/>
  <c r="AC2296" i="3"/>
  <c r="AC2303" i="3"/>
  <c r="AC2320" i="3"/>
  <c r="AC2323" i="3"/>
  <c r="AC2360" i="3"/>
  <c r="AC2393" i="3"/>
  <c r="AC2420" i="3"/>
  <c r="AC2426" i="3"/>
  <c r="AC2461" i="3"/>
  <c r="AC2546" i="3"/>
  <c r="AC2573" i="3"/>
  <c r="AC2644" i="3"/>
  <c r="AC2653" i="3"/>
  <c r="AC2680" i="3"/>
  <c r="AC2687" i="3"/>
  <c r="AC2721" i="3"/>
  <c r="AC2722" i="3"/>
  <c r="AC2727" i="3"/>
  <c r="AC2730" i="3"/>
  <c r="AC2798" i="3"/>
  <c r="AC2813" i="3"/>
  <c r="AC2816" i="3"/>
  <c r="AC2831" i="3"/>
  <c r="AC2948" i="3"/>
  <c r="AC2974" i="3"/>
  <c r="AC3072" i="3"/>
  <c r="AC3105" i="3"/>
  <c r="AC3121" i="3"/>
  <c r="AC3124" i="3"/>
  <c r="AC3140" i="3"/>
  <c r="AC3193" i="3"/>
  <c r="AC3247" i="3"/>
  <c r="AC3380" i="3"/>
  <c r="AC3404" i="3"/>
  <c r="AC3416" i="3"/>
  <c r="AC3438" i="3"/>
  <c r="AC3480" i="3"/>
  <c r="AC3490" i="3"/>
  <c r="AC3533" i="3"/>
  <c r="AC3535" i="3"/>
  <c r="AC3604" i="3"/>
  <c r="AC3620" i="3"/>
  <c r="AC3667" i="3"/>
  <c r="AC3684" i="3"/>
  <c r="AC3739" i="3"/>
  <c r="AC3742" i="3"/>
  <c r="AC3755" i="3"/>
  <c r="AC3769" i="3"/>
  <c r="AC3802" i="3"/>
  <c r="AC3806" i="3"/>
  <c r="AC3810" i="3"/>
  <c r="AC3857" i="3"/>
  <c r="AC3870" i="3"/>
  <c r="AC3916" i="3"/>
  <c r="AC3924" i="3"/>
  <c r="AC3942" i="3"/>
  <c r="AC3969" i="3"/>
  <c r="AC3982" i="3"/>
  <c r="AC4003" i="3"/>
  <c r="AC4027" i="3"/>
  <c r="AC4030" i="3"/>
  <c r="AC4042" i="3"/>
  <c r="AC4098" i="3"/>
  <c r="AC4104" i="3"/>
  <c r="AC4106" i="3"/>
  <c r="AC4114" i="3"/>
  <c r="AC4117" i="3"/>
  <c r="AC4149" i="3"/>
  <c r="AC4150" i="3"/>
  <c r="AC4152" i="3"/>
  <c r="AC4298" i="3"/>
  <c r="AC4308" i="3"/>
  <c r="AC4321" i="3"/>
  <c r="AC4390" i="3"/>
  <c r="AC4403" i="3"/>
  <c r="AC4520" i="3"/>
  <c r="AD4520" i="3" s="1"/>
  <c r="AC4531" i="3"/>
  <c r="AD4531" i="3" s="1"/>
  <c r="AC4643" i="3"/>
  <c r="AD4643" i="3" s="1"/>
  <c r="AC4717" i="3"/>
  <c r="AD4717" i="3" s="1"/>
  <c r="AC4751" i="3"/>
  <c r="AD4751" i="3" s="1"/>
  <c r="AC4772" i="3"/>
  <c r="AD4772" i="3" s="1"/>
  <c r="AC4779" i="3"/>
  <c r="AD4779" i="3" s="1"/>
  <c r="AC4796" i="3"/>
  <c r="AD4796" i="3" s="1"/>
  <c r="AC4820" i="3"/>
  <c r="AD4820" i="3" s="1"/>
  <c r="AC133" i="3"/>
  <c r="AC141" i="3"/>
  <c r="AC143" i="3"/>
  <c r="AC288" i="3"/>
  <c r="AC291" i="3"/>
  <c r="AC375" i="3"/>
  <c r="AC524" i="3"/>
  <c r="AC527" i="3"/>
  <c r="AC528" i="3"/>
  <c r="AC657" i="3"/>
  <c r="AC688" i="3"/>
  <c r="AC715" i="3"/>
  <c r="AC740" i="3"/>
  <c r="AC801" i="3"/>
  <c r="AC853" i="3"/>
  <c r="AC946" i="3"/>
  <c r="AC955" i="3"/>
  <c r="AC1020" i="3"/>
  <c r="AC1039" i="3"/>
  <c r="AC1067" i="3"/>
  <c r="AC1107" i="3"/>
  <c r="AC1138" i="3"/>
  <c r="AC1140" i="3"/>
  <c r="AC1147" i="3"/>
  <c r="AC1256" i="3"/>
  <c r="AC1257" i="3"/>
  <c r="AC1264" i="3"/>
  <c r="AC1298" i="3"/>
  <c r="AC1312" i="3"/>
  <c r="AC1441" i="3"/>
  <c r="AC1568" i="3"/>
  <c r="AC1648" i="3"/>
  <c r="AC1651" i="3"/>
  <c r="AC1689" i="3"/>
  <c r="AC1696" i="3"/>
  <c r="AC1697" i="3"/>
  <c r="AC1780" i="3"/>
  <c r="AC1920" i="3"/>
  <c r="AC1947" i="3"/>
  <c r="AC1996" i="3"/>
  <c r="AC2105" i="3"/>
  <c r="AC2127" i="3"/>
  <c r="AC2193" i="3"/>
  <c r="AC2242" i="3"/>
  <c r="AC2258" i="3"/>
  <c r="AC2274" i="3"/>
  <c r="AC2353" i="3"/>
  <c r="AC2375" i="3"/>
  <c r="AC2384" i="3"/>
  <c r="AC2396" i="3"/>
  <c r="AC2575" i="3"/>
  <c r="AC2588" i="3"/>
  <c r="AC2618" i="3"/>
  <c r="AC2761" i="3"/>
  <c r="AC2830" i="3"/>
  <c r="AC2897" i="3"/>
  <c r="AC3094" i="3"/>
  <c r="AC3111" i="3"/>
  <c r="AC3156" i="3"/>
  <c r="AC3187" i="3"/>
  <c r="AC3269" i="3"/>
  <c r="AC3282" i="3"/>
  <c r="AC3285" i="3"/>
  <c r="AC3288" i="3"/>
  <c r="AC3363" i="3"/>
  <c r="AC3364" i="3"/>
  <c r="AC3374" i="3"/>
  <c r="AC3424" i="3"/>
  <c r="AC3452" i="3"/>
  <c r="AC3474" i="3"/>
  <c r="AC3514" i="3"/>
  <c r="AC3691" i="3"/>
  <c r="AC3751" i="3"/>
  <c r="AC3757" i="3"/>
  <c r="AC3758" i="3"/>
  <c r="AC3913" i="3"/>
  <c r="AC3931" i="3"/>
  <c r="AC3968" i="3"/>
  <c r="AC3980" i="3"/>
  <c r="AC4039" i="3"/>
  <c r="AC4103" i="3"/>
  <c r="AC4108" i="3"/>
  <c r="AC4113" i="3"/>
  <c r="AC4195" i="3"/>
  <c r="AC4252" i="3"/>
  <c r="AC4397" i="3"/>
  <c r="AC4517" i="3"/>
  <c r="AD4517" i="3" s="1"/>
  <c r="AC4609" i="3"/>
  <c r="AD4609" i="3" s="1"/>
  <c r="AC4696" i="3"/>
  <c r="AD4696" i="3" s="1"/>
  <c r="AC4834" i="3"/>
  <c r="AD4834" i="3" s="1"/>
  <c r="AC53" i="3"/>
  <c r="AC90" i="3"/>
  <c r="AC123" i="3"/>
  <c r="AC152" i="3"/>
  <c r="AC182" i="3"/>
  <c r="AC244" i="3"/>
  <c r="AC429" i="3"/>
  <c r="AC512" i="3"/>
  <c r="AC607" i="3"/>
  <c r="AC636" i="3"/>
  <c r="AC717" i="3"/>
  <c r="AC720" i="3"/>
  <c r="AC739" i="3"/>
  <c r="AC747" i="3"/>
  <c r="AC923" i="3"/>
  <c r="AC931" i="3"/>
  <c r="AC993" i="3"/>
  <c r="AC1019" i="3"/>
  <c r="AC1159" i="3"/>
  <c r="AC1162" i="3"/>
  <c r="AC1319" i="3"/>
  <c r="AC1341" i="3"/>
  <c r="AC1354" i="3"/>
  <c r="AC1358" i="3"/>
  <c r="AC1376" i="3"/>
  <c r="AC1445" i="3"/>
  <c r="AC1533" i="3"/>
  <c r="AC1539" i="3"/>
  <c r="AC1561" i="3"/>
  <c r="AC1615" i="3"/>
  <c r="AC1834" i="3"/>
  <c r="AC1859" i="3"/>
  <c r="AC1927" i="3"/>
  <c r="AC1939" i="3"/>
  <c r="AC1945" i="3"/>
  <c r="AC2027" i="3"/>
  <c r="AC2089" i="3"/>
  <c r="AC2108" i="3"/>
  <c r="AC2159" i="3"/>
  <c r="AC2163" i="3"/>
  <c r="AC2171" i="3"/>
  <c r="AC2250" i="3"/>
  <c r="AC2472" i="3"/>
  <c r="AC2518" i="3"/>
  <c r="AC2614" i="3"/>
  <c r="AC2640" i="3"/>
  <c r="AC2651" i="3"/>
  <c r="AC2717" i="3"/>
  <c r="AC2723" i="3"/>
  <c r="AC2863" i="3"/>
  <c r="AC2868" i="3"/>
  <c r="AC2950" i="3"/>
  <c r="AC2992" i="3"/>
  <c r="AC2997" i="3"/>
  <c r="AC3061" i="3"/>
  <c r="AC3064" i="3"/>
  <c r="AC3075" i="3"/>
  <c r="AC3102" i="3"/>
  <c r="AC3119" i="3"/>
  <c r="AC3133" i="3"/>
  <c r="AC3208" i="3"/>
  <c r="AC3214" i="3"/>
  <c r="AC3321" i="3"/>
  <c r="AC3397" i="3"/>
  <c r="AC3590" i="3"/>
  <c r="AC3687" i="3"/>
  <c r="AC3698" i="3"/>
  <c r="AC3726" i="3"/>
  <c r="AC3738" i="3"/>
  <c r="AC3762" i="3"/>
  <c r="AC3800" i="3"/>
  <c r="AC3858" i="3"/>
  <c r="AC3914" i="3"/>
  <c r="AC4019" i="3"/>
  <c r="AC4105" i="3"/>
  <c r="AC4192" i="3"/>
  <c r="AC4229" i="3"/>
  <c r="AC4262" i="3"/>
  <c r="AC4303" i="3"/>
  <c r="AC4393" i="3"/>
  <c r="AC4440" i="3"/>
  <c r="AC4727" i="3"/>
  <c r="AD4727" i="3" s="1"/>
  <c r="AC41" i="3"/>
  <c r="AC105" i="3"/>
  <c r="AC107" i="3"/>
  <c r="AC428" i="3"/>
  <c r="AC1029" i="3"/>
  <c r="AC1157" i="3"/>
  <c r="AC1307" i="3"/>
  <c r="AC1421" i="3"/>
  <c r="AC1484" i="3"/>
  <c r="AC1575" i="3"/>
  <c r="AC1803" i="3"/>
  <c r="AC1832" i="3"/>
  <c r="AC1931" i="3"/>
  <c r="AC1968" i="3"/>
  <c r="AC1989" i="3"/>
  <c r="AC2091" i="3"/>
  <c r="AC2104" i="3"/>
  <c r="AC2111" i="3"/>
  <c r="AC2307" i="3"/>
  <c r="AC2321" i="3"/>
  <c r="AC2517" i="3"/>
  <c r="AC2534" i="3"/>
  <c r="AC2620" i="3"/>
  <c r="AC2726" i="3"/>
  <c r="AC2820" i="3"/>
  <c r="AC2859" i="3"/>
  <c r="AC2918" i="3"/>
  <c r="AC2964" i="3"/>
  <c r="AC3063" i="3"/>
  <c r="AC3117" i="3"/>
  <c r="AC3220" i="3"/>
  <c r="AC3299" i="3"/>
  <c r="AC3342" i="3"/>
  <c r="AC3384" i="3"/>
  <c r="AC3407" i="3"/>
  <c r="AC3466" i="3"/>
  <c r="AC3501" i="3"/>
  <c r="AC3526" i="3"/>
  <c r="AC3554" i="3"/>
  <c r="AC3579" i="3"/>
  <c r="AC3693" i="3"/>
  <c r="AC3840" i="3"/>
  <c r="AC3946" i="3"/>
  <c r="AC4255" i="3"/>
  <c r="AC4420" i="3"/>
  <c r="AC4433" i="3"/>
  <c r="AC4634" i="3"/>
  <c r="AD4634" i="3" s="1"/>
  <c r="AC198" i="3"/>
  <c r="AC393" i="3"/>
  <c r="AC397" i="3"/>
  <c r="AC465" i="3"/>
  <c r="AC499" i="3"/>
  <c r="AC622" i="3"/>
  <c r="AC752" i="3"/>
  <c r="AC830" i="3"/>
  <c r="AC884" i="3"/>
  <c r="AC943" i="3"/>
  <c r="AC1054" i="3"/>
  <c r="AC1145" i="3"/>
  <c r="AC1479" i="3"/>
  <c r="AC1544" i="3"/>
  <c r="AC1573" i="3"/>
  <c r="AC1700" i="3"/>
  <c r="AC1810" i="3"/>
  <c r="AC2067" i="3"/>
  <c r="AC2113" i="3"/>
  <c r="AC2292" i="3"/>
  <c r="AC2605" i="3"/>
  <c r="AC2657" i="3"/>
  <c r="AC2664" i="3"/>
  <c r="AC2693" i="3"/>
  <c r="AC2977" i="3"/>
  <c r="AC3019" i="3"/>
  <c r="AC3023" i="3"/>
  <c r="AC3356" i="3"/>
  <c r="AC3378" i="3"/>
  <c r="AC3448" i="3"/>
  <c r="AC3681" i="3"/>
  <c r="AC3779" i="3"/>
  <c r="AC3862" i="3"/>
  <c r="AC3894" i="3"/>
  <c r="AC3912" i="3"/>
  <c r="AC3927" i="3"/>
  <c r="AC3993" i="3"/>
  <c r="AC4000" i="3"/>
  <c r="AC4080" i="3"/>
  <c r="AC4374" i="3"/>
  <c r="AC4378" i="3"/>
  <c r="AC4389" i="3"/>
  <c r="AC4436" i="3"/>
  <c r="AC4496" i="3"/>
  <c r="AD4496" i="3" s="1"/>
  <c r="AC4684" i="3"/>
  <c r="AD4684" i="3" s="1"/>
  <c r="AC4811" i="3"/>
  <c r="AD4811" i="3" s="1"/>
  <c r="AC64" i="3"/>
  <c r="AC153" i="3"/>
  <c r="AC200" i="3"/>
  <c r="AC373" i="3"/>
  <c r="AC410" i="3"/>
  <c r="AC550" i="3"/>
  <c r="AC823" i="3"/>
  <c r="AC846" i="3"/>
  <c r="AC963" i="3"/>
  <c r="AC969" i="3"/>
  <c r="AC1033" i="3"/>
  <c r="AC1203" i="3"/>
  <c r="AC1333" i="3"/>
  <c r="AC1440" i="3"/>
  <c r="AC1609" i="3"/>
  <c r="AC1706" i="3"/>
  <c r="AC1762" i="3"/>
  <c r="AC1890" i="3"/>
  <c r="AC1895" i="3"/>
  <c r="AC2096" i="3"/>
  <c r="AC2124" i="3"/>
  <c r="AC2137" i="3"/>
  <c r="AC2228" i="3"/>
  <c r="AC2263" i="3"/>
  <c r="AC2275" i="3"/>
  <c r="AC2308" i="3"/>
  <c r="AC2358" i="3"/>
  <c r="AC2378" i="3"/>
  <c r="AC2442" i="3"/>
  <c r="AC2527" i="3"/>
  <c r="AC2663" i="3"/>
  <c r="AC2739" i="3"/>
  <c r="AC2759" i="3"/>
  <c r="AC2793" i="3"/>
  <c r="AC2811" i="3"/>
  <c r="AC2850" i="3"/>
  <c r="AC2965" i="3"/>
  <c r="AC3045" i="3"/>
  <c r="AC3110" i="3"/>
  <c r="AC3118" i="3"/>
  <c r="AC3192" i="3"/>
  <c r="AC3371" i="3"/>
  <c r="AC3402" i="3"/>
  <c r="AC3446" i="3"/>
  <c r="AC3565" i="3"/>
  <c r="AC3651" i="3"/>
  <c r="AC3724" i="3"/>
  <c r="AC3890" i="3"/>
  <c r="AC3910" i="3"/>
  <c r="AC4028" i="3"/>
  <c r="AC4034" i="3"/>
  <c r="AC4177" i="3"/>
  <c r="AC4184" i="3"/>
  <c r="AC4340" i="3"/>
  <c r="AC4388" i="3"/>
  <c r="AC4463" i="3"/>
  <c r="AD4463" i="3" s="1"/>
  <c r="AC4479" i="3"/>
  <c r="AD4479" i="3" s="1"/>
  <c r="AC4572" i="3"/>
  <c r="AD4572" i="3" s="1"/>
  <c r="AC4598" i="3"/>
  <c r="AD4598" i="3" s="1"/>
  <c r="AC4633" i="3"/>
  <c r="AD4633" i="3" s="1"/>
  <c r="AC4640" i="3"/>
  <c r="AD4640" i="3" s="1"/>
  <c r="AC4661" i="3"/>
  <c r="AD4661" i="3" s="1"/>
  <c r="AC4720" i="3"/>
  <c r="AD4720" i="3" s="1"/>
  <c r="AC4780" i="3"/>
  <c r="AD4780" i="3" s="1"/>
  <c r="AC4809" i="3"/>
  <c r="AD4809" i="3" s="1"/>
  <c r="AC189" i="3"/>
  <c r="AC255" i="3"/>
  <c r="AC384" i="3"/>
  <c r="AC402" i="3"/>
  <c r="AC447" i="3"/>
  <c r="AC482" i="3"/>
  <c r="AC495" i="3"/>
  <c r="AC549" i="3"/>
  <c r="AC558" i="3"/>
  <c r="AC644" i="3"/>
  <c r="AC682" i="3"/>
  <c r="AC781" i="3"/>
  <c r="AC795" i="3"/>
  <c r="AC903" i="3"/>
  <c r="AC919" i="3"/>
  <c r="AC1004" i="3"/>
  <c r="AC1073" i="3"/>
  <c r="AC1124" i="3"/>
  <c r="AC1185" i="3"/>
  <c r="AC1230" i="3"/>
  <c r="AC1259" i="3"/>
  <c r="AC1311" i="3"/>
  <c r="AC1342" i="3"/>
  <c r="AC1344" i="3"/>
  <c r="AC1378" i="3"/>
  <c r="AC1447" i="3"/>
  <c r="AC1486" i="3"/>
  <c r="AC1551" i="3"/>
  <c r="AC1618" i="3"/>
  <c r="AC1644" i="3"/>
  <c r="AC1828" i="3"/>
  <c r="AC1905" i="3"/>
  <c r="AC1971" i="3"/>
  <c r="AC2073" i="3"/>
  <c r="AC2142" i="3"/>
  <c r="AC2167" i="3"/>
  <c r="AC2280" i="3"/>
  <c r="AC2316" i="3"/>
  <c r="AC2459" i="3"/>
  <c r="AC2492" i="3"/>
  <c r="AC2607" i="3"/>
  <c r="AC2616" i="3"/>
  <c r="AC2662" i="3"/>
  <c r="AC2796" i="3"/>
  <c r="AC2800" i="3"/>
  <c r="AC2894" i="3"/>
  <c r="AC2959" i="3"/>
  <c r="AC2962" i="3"/>
  <c r="AC2968" i="3"/>
  <c r="AC3047" i="3"/>
  <c r="AC3068" i="3"/>
  <c r="AC3320" i="3"/>
  <c r="AC3349" i="3"/>
  <c r="AC3462" i="3"/>
  <c r="AC3516" i="3"/>
  <c r="AC3578" i="3"/>
  <c r="AC3616" i="3"/>
  <c r="AC3647" i="3"/>
  <c r="AC3659" i="3"/>
  <c r="AC3716" i="3"/>
  <c r="AC3740" i="3"/>
  <c r="AC3797" i="3"/>
  <c r="AC3801" i="3"/>
  <c r="AC3847" i="3"/>
  <c r="AC4166" i="3"/>
  <c r="AC4266" i="3"/>
  <c r="AC4289" i="3"/>
  <c r="AC4325" i="3"/>
  <c r="AC4453" i="3"/>
  <c r="AD4453" i="3" s="1"/>
  <c r="AC4553" i="3"/>
  <c r="AD4553" i="3" s="1"/>
  <c r="AC4619" i="3"/>
  <c r="AD4619" i="3" s="1"/>
  <c r="AC4707" i="3"/>
  <c r="AD4707" i="3" s="1"/>
  <c r="AC4744" i="3"/>
  <c r="AD4744" i="3" s="1"/>
  <c r="AC4749" i="3"/>
  <c r="AD4749" i="3" s="1"/>
  <c r="AC4791" i="3"/>
  <c r="AD4791" i="3" s="1"/>
  <c r="AC29" i="3"/>
  <c r="AC50" i="3"/>
  <c r="AC116" i="3"/>
  <c r="AC145" i="3"/>
  <c r="AC193" i="3"/>
  <c r="AC346" i="3"/>
  <c r="AC357" i="3"/>
  <c r="AC472" i="3"/>
  <c r="AC573" i="3"/>
  <c r="AC620" i="3"/>
  <c r="AC700" i="3"/>
  <c r="AC791" i="3"/>
  <c r="AC834" i="3"/>
  <c r="AC962" i="3"/>
  <c r="AC973" i="3"/>
  <c r="AC1003" i="3"/>
  <c r="AC1022" i="3"/>
  <c r="AC1050" i="3"/>
  <c r="AC1114" i="3"/>
  <c r="AC1188" i="3"/>
  <c r="AC1190" i="3"/>
  <c r="AC1196" i="3"/>
  <c r="AC1248" i="3"/>
  <c r="AC1270" i="3"/>
  <c r="AC1280" i="3"/>
  <c r="AC1321" i="3"/>
  <c r="AC1332" i="3"/>
  <c r="AC1338" i="3"/>
  <c r="AC1602" i="3"/>
  <c r="AC1656" i="3"/>
  <c r="AC1665" i="3"/>
  <c r="AC1858" i="3"/>
  <c r="AC1888" i="3"/>
  <c r="AC1913" i="3"/>
  <c r="AC1959" i="3"/>
  <c r="AC1960" i="3"/>
  <c r="AC1999" i="3"/>
  <c r="AC2031" i="3"/>
  <c r="AC2146" i="3"/>
  <c r="AC2236" i="3"/>
  <c r="AC2268" i="3"/>
  <c r="AC2304" i="3"/>
  <c r="AC2311" i="3"/>
  <c r="AC2326" i="3"/>
  <c r="AC2385" i="3"/>
  <c r="AC2417" i="3"/>
  <c r="AC2493" i="3"/>
  <c r="AC2504" i="3"/>
  <c r="AC2604" i="3"/>
  <c r="AC2708" i="3"/>
  <c r="AC2756" i="3"/>
  <c r="AC2773" i="3"/>
  <c r="AC2819" i="3"/>
  <c r="AC2851" i="3"/>
  <c r="AC2967" i="3"/>
  <c r="AC3013" i="3"/>
  <c r="AC3036" i="3"/>
  <c r="AC3055" i="3"/>
  <c r="AC3103" i="3"/>
  <c r="AC3122" i="3"/>
  <c r="AC3207" i="3"/>
  <c r="AC3226" i="3"/>
  <c r="AC3281" i="3"/>
  <c r="AC3294" i="3"/>
  <c r="AC3346" i="3"/>
  <c r="AC3359" i="3"/>
  <c r="AC3408" i="3"/>
  <c r="AC3415" i="3"/>
  <c r="AC3507" i="3"/>
  <c r="AC3521" i="3"/>
  <c r="AC3559" i="3"/>
  <c r="AC3617" i="3"/>
  <c r="AC3661" i="3"/>
  <c r="AC3756" i="3"/>
  <c r="AC3766" i="3"/>
  <c r="AC3778" i="3"/>
  <c r="AC3837" i="3"/>
  <c r="AC3851" i="3"/>
  <c r="AC4116" i="3"/>
  <c r="AC4258" i="3"/>
  <c r="AC4335" i="3"/>
  <c r="AC4338" i="3"/>
  <c r="AC4410" i="3"/>
  <c r="AC4415" i="3"/>
  <c r="AC4638" i="3"/>
  <c r="AD4638" i="3" s="1"/>
  <c r="AC4645" i="3"/>
  <c r="AD4645" i="3" s="1"/>
  <c r="AC4646" i="3"/>
  <c r="AD4646" i="3" s="1"/>
  <c r="AC4672" i="3"/>
  <c r="AD4672" i="3" s="1"/>
  <c r="AC4778" i="3"/>
  <c r="AD4778" i="3" s="1"/>
  <c r="AC24" i="3"/>
  <c r="AC95" i="3"/>
  <c r="AC149" i="3"/>
  <c r="AC185" i="3"/>
  <c r="AC225" i="3"/>
  <c r="AC228" i="3"/>
  <c r="AC229" i="3"/>
  <c r="AC239" i="3"/>
  <c r="AC254" i="3"/>
  <c r="AC281" i="3"/>
  <c r="AC321" i="3"/>
  <c r="AC353" i="3"/>
  <c r="AC418" i="3"/>
  <c r="AC617" i="3"/>
  <c r="AC658" i="3"/>
  <c r="AC663" i="3"/>
  <c r="AC693" i="3"/>
  <c r="AC753" i="3"/>
  <c r="AC755" i="3"/>
  <c r="AC871" i="3"/>
  <c r="AC913" i="3"/>
  <c r="AC918" i="3"/>
  <c r="AC960" i="3"/>
  <c r="AC964" i="3"/>
  <c r="AC972" i="3"/>
  <c r="AC1152" i="3"/>
  <c r="AC1183" i="3"/>
  <c r="AC1187" i="3"/>
  <c r="AC1197" i="3"/>
  <c r="AC1237" i="3"/>
  <c r="AC1283" i="3"/>
  <c r="AC1286" i="3"/>
  <c r="AC1290" i="3"/>
  <c r="AC1305" i="3"/>
  <c r="AC1384" i="3"/>
  <c r="AC1390" i="3"/>
  <c r="AC1458" i="3"/>
  <c r="AC1459" i="3"/>
  <c r="AC1530" i="3"/>
  <c r="AC1543" i="3"/>
  <c r="AC1631" i="3"/>
  <c r="AC1633" i="3"/>
  <c r="AC1643" i="3"/>
  <c r="AC1660" i="3"/>
  <c r="AC1677" i="3"/>
  <c r="AC1868" i="3"/>
  <c r="AC1869" i="3"/>
  <c r="AC2007" i="3"/>
  <c r="AC2015" i="3"/>
  <c r="AC2041" i="3"/>
  <c r="AC2139" i="3"/>
  <c r="AC2155" i="3"/>
  <c r="AC2231" i="3"/>
  <c r="AC2247" i="3"/>
  <c r="AC2251" i="3"/>
  <c r="AC2371" i="3"/>
  <c r="AC2403" i="3"/>
  <c r="AC2529" i="3"/>
  <c r="AC2631" i="3"/>
  <c r="AC2645" i="3"/>
  <c r="AC2648" i="3"/>
  <c r="AC2671" i="3"/>
  <c r="AC2689" i="3"/>
  <c r="AC2731" i="3"/>
  <c r="AC2753" i="3"/>
  <c r="AC2769" i="3"/>
  <c r="AC2787" i="3"/>
  <c r="AC2791" i="3"/>
  <c r="AC2808" i="3"/>
  <c r="AC2818" i="3"/>
  <c r="AC2828" i="3"/>
  <c r="AC2849" i="3"/>
  <c r="AC2890" i="3"/>
  <c r="AC2961" i="3"/>
  <c r="AC2972" i="3"/>
  <c r="AC3015" i="3"/>
  <c r="AC3031" i="3"/>
  <c r="AC3051" i="3"/>
  <c r="AC3080" i="3"/>
  <c r="AC3181" i="3"/>
  <c r="AC3272" i="3"/>
  <c r="AC3283" i="3"/>
  <c r="AC3297" i="3"/>
  <c r="AC3305" i="3"/>
  <c r="AC3309" i="3"/>
  <c r="AC3453" i="3"/>
  <c r="AC3493" i="3"/>
  <c r="AC3497" i="3"/>
  <c r="AC3531" i="3"/>
  <c r="AC3550" i="3"/>
  <c r="AC3557" i="3"/>
  <c r="AC3577" i="3"/>
  <c r="AC3588" i="3"/>
  <c r="AC3598" i="3"/>
  <c r="AC3718" i="3"/>
  <c r="AC3729" i="3"/>
  <c r="AC3812" i="3"/>
  <c r="AC3903" i="3"/>
  <c r="AC3979" i="3"/>
  <c r="AC4146" i="3"/>
  <c r="AC4183" i="3"/>
  <c r="AC4196" i="3"/>
  <c r="AC4206" i="3"/>
  <c r="AC4247" i="3"/>
  <c r="AC4277" i="3"/>
  <c r="AC4284" i="3"/>
  <c r="AC4295" i="3"/>
  <c r="AC4361" i="3"/>
  <c r="AC4419" i="3"/>
  <c r="AC4476" i="3"/>
  <c r="AD4476" i="3" s="1"/>
  <c r="AC4482" i="3"/>
  <c r="AD4482" i="3" s="1"/>
  <c r="AC4490" i="3"/>
  <c r="AD4490" i="3" s="1"/>
  <c r="AC4526" i="3"/>
  <c r="AD4526" i="3" s="1"/>
  <c r="AC4612" i="3"/>
  <c r="AD4612" i="3" s="1"/>
  <c r="AC4621" i="3"/>
  <c r="AD4621" i="3" s="1"/>
  <c r="AC4630" i="3"/>
  <c r="AD4630" i="3" s="1"/>
  <c r="AC4666" i="3"/>
  <c r="AD4666" i="3" s="1"/>
  <c r="AC4683" i="3"/>
  <c r="AD4683" i="3" s="1"/>
  <c r="AC4741" i="3"/>
  <c r="AD4741" i="3" s="1"/>
  <c r="AC4775" i="3"/>
  <c r="AD4775" i="3" s="1"/>
  <c r="AC4813" i="3"/>
  <c r="AD4813" i="3" s="1"/>
  <c r="AC7" i="3"/>
  <c r="AC10" i="3"/>
  <c r="AC57" i="3"/>
  <c r="AC81" i="3"/>
  <c r="AC147" i="3"/>
  <c r="AC157" i="3"/>
  <c r="AC195" i="3"/>
  <c r="AC203" i="3"/>
  <c r="AC241" i="3"/>
  <c r="AC299" i="3"/>
  <c r="AC366" i="3"/>
  <c r="AC374" i="3"/>
  <c r="AC377" i="3"/>
  <c r="AC391" i="3"/>
  <c r="AC476" i="3"/>
  <c r="AC487" i="3"/>
  <c r="AC515" i="3"/>
  <c r="AC584" i="3"/>
  <c r="AC643" i="3"/>
  <c r="AC708" i="3"/>
  <c r="AC773" i="3"/>
  <c r="AC849" i="3"/>
  <c r="AC881" i="3"/>
  <c r="AC889" i="3"/>
  <c r="AC894" i="3"/>
  <c r="AC895" i="3"/>
  <c r="AC904" i="3"/>
  <c r="AC957" i="3"/>
  <c r="AC1012" i="3"/>
  <c r="AC1071" i="3"/>
  <c r="AC1099" i="3"/>
  <c r="AC1110" i="3"/>
  <c r="AC1153" i="3"/>
  <c r="AC1168" i="3"/>
  <c r="AC1169" i="3"/>
  <c r="AC1189" i="3"/>
  <c r="AC1200" i="3"/>
  <c r="AC1205" i="3"/>
  <c r="AC1218" i="3"/>
  <c r="AC1221" i="3"/>
  <c r="AC1223" i="3"/>
  <c r="AC1246" i="3"/>
  <c r="AC1255" i="3"/>
  <c r="AC1381" i="3"/>
  <c r="AC1391" i="3"/>
  <c r="AC1442" i="3"/>
  <c r="AC1475" i="3"/>
  <c r="AC1501" i="3"/>
  <c r="AC1519" i="3"/>
  <c r="AC1529" i="3"/>
  <c r="AC1534" i="3"/>
  <c r="AC1542" i="3"/>
  <c r="AC1552" i="3"/>
  <c r="AC1640" i="3"/>
  <c r="AC1658" i="3"/>
  <c r="AC1766" i="3"/>
  <c r="AC1783" i="3"/>
  <c r="AC1801" i="3"/>
  <c r="AC1830" i="3"/>
  <c r="AC1833" i="3"/>
  <c r="AC1902" i="3"/>
  <c r="AC1904" i="3"/>
  <c r="AC1921" i="3"/>
  <c r="AC2026" i="3"/>
  <c r="AC2141" i="3"/>
  <c r="AC2152" i="3"/>
  <c r="AC2173" i="3"/>
  <c r="AC2180" i="3"/>
  <c r="AC2198" i="3"/>
  <c r="AC2249" i="3"/>
  <c r="AC2256" i="3"/>
  <c r="AC2259" i="3"/>
  <c r="AC2267" i="3"/>
  <c r="AC2299" i="3"/>
  <c r="AC2325" i="3"/>
  <c r="AC2347" i="3"/>
  <c r="AC2357" i="3"/>
  <c r="AC2368" i="3"/>
  <c r="AC2460" i="3"/>
  <c r="AC2465" i="3"/>
  <c r="AC2476" i="3"/>
  <c r="AC2485" i="3"/>
  <c r="AC2522" i="3"/>
  <c r="AC2553" i="3"/>
  <c r="AC2560" i="3"/>
  <c r="AC2562" i="3"/>
  <c r="AC2563" i="3"/>
  <c r="AC2587" i="3"/>
  <c r="AC2633" i="3"/>
  <c r="AC2686" i="3"/>
  <c r="AC2725" i="3"/>
  <c r="AC2750" i="3"/>
  <c r="AC2776" i="3"/>
  <c r="AC2815" i="3"/>
  <c r="AC2905" i="3"/>
  <c r="AC2909" i="3"/>
  <c r="AC2983" i="3"/>
  <c r="AC2987" i="3"/>
  <c r="AC2990" i="3"/>
  <c r="AC3048" i="3"/>
  <c r="AC3071" i="3"/>
  <c r="AC3158" i="3"/>
  <c r="AC3182" i="3"/>
  <c r="AC3238" i="3"/>
  <c r="AC3261" i="3"/>
  <c r="AC3275" i="3"/>
  <c r="AC3317" i="3"/>
  <c r="AC3329" i="3"/>
  <c r="AC3331" i="3"/>
  <c r="AC3336" i="3"/>
  <c r="AC3389" i="3"/>
  <c r="AC3413" i="3"/>
  <c r="AC3489" i="3"/>
  <c r="AC3523" i="3"/>
  <c r="AC3560" i="3"/>
  <c r="AC3603" i="3"/>
  <c r="AC3615" i="3"/>
  <c r="AC3618" i="3"/>
  <c r="AC3713" i="3"/>
  <c r="AC3760" i="3"/>
  <c r="AC3803" i="3"/>
  <c r="AC3817" i="3"/>
  <c r="AC3887" i="3"/>
  <c r="AC3944" i="3"/>
  <c r="AC3958" i="3"/>
  <c r="AC3978" i="3"/>
  <c r="AC3997" i="3"/>
  <c r="AC4038" i="3"/>
  <c r="AC4056" i="3"/>
  <c r="AC4137" i="3"/>
  <c r="AC4148" i="3"/>
  <c r="AC4204" i="3"/>
  <c r="AC4259" i="3"/>
  <c r="AC4260" i="3"/>
  <c r="AC4351" i="3"/>
  <c r="AC4383" i="3"/>
  <c r="AC4391" i="3"/>
  <c r="AC4417" i="3"/>
  <c r="AC4428" i="3"/>
  <c r="AC4431" i="3"/>
  <c r="AC4454" i="3"/>
  <c r="AD4454" i="3" s="1"/>
  <c r="AC4468" i="3"/>
  <c r="AD4468" i="3" s="1"/>
  <c r="AC4471" i="3"/>
  <c r="AD4471" i="3" s="1"/>
  <c r="AC4528" i="3"/>
  <c r="AD4528" i="3" s="1"/>
  <c r="AC4540" i="3"/>
  <c r="AD4540" i="3" s="1"/>
  <c r="AC4545" i="3"/>
  <c r="AD4545" i="3" s="1"/>
  <c r="AC4624" i="3"/>
  <c r="AD4624" i="3" s="1"/>
  <c r="AC4648" i="3"/>
  <c r="AD4648" i="3" s="1"/>
  <c r="AC4685" i="3"/>
  <c r="AD4685" i="3" s="1"/>
  <c r="AC4698" i="3"/>
  <c r="AD4698" i="3" s="1"/>
  <c r="AC4714" i="3"/>
  <c r="AD4714" i="3" s="1"/>
  <c r="AC4725" i="3"/>
  <c r="AD4725" i="3" s="1"/>
  <c r="AC48" i="3"/>
  <c r="AC401" i="3"/>
  <c r="AC630" i="3"/>
  <c r="AC637" i="3"/>
  <c r="AC638" i="3"/>
  <c r="AC645" i="3"/>
  <c r="AC678" i="3"/>
  <c r="AC736" i="3"/>
  <c r="AC749" i="3"/>
  <c r="AC886" i="3"/>
  <c r="AC976" i="3"/>
  <c r="AC1058" i="3"/>
  <c r="AC1120" i="3"/>
  <c r="AC1130" i="3"/>
  <c r="AC1186" i="3"/>
  <c r="AC1212" i="3"/>
  <c r="AC1261" i="3"/>
  <c r="AC1403" i="3"/>
  <c r="AC1460" i="3"/>
  <c r="AC1471" i="3"/>
  <c r="AC1545" i="3"/>
  <c r="AC1548" i="3"/>
  <c r="AC1572" i="3"/>
  <c r="AC1591" i="3"/>
  <c r="AC1600" i="3"/>
  <c r="AC1611" i="3"/>
  <c r="AC1671" i="3"/>
  <c r="AC1742" i="3"/>
  <c r="AC1769" i="3"/>
  <c r="AC1839" i="3"/>
  <c r="AC1877" i="3"/>
  <c r="AC1912" i="3"/>
  <c r="AC1980" i="3"/>
  <c r="AC1986" i="3"/>
  <c r="AC1988" i="3"/>
  <c r="AC2099" i="3"/>
  <c r="AC2129" i="3"/>
  <c r="AC2150" i="3"/>
  <c r="AC2177" i="3"/>
  <c r="AC2350" i="3"/>
  <c r="AC2480" i="3"/>
  <c r="AC2551" i="3"/>
  <c r="AC2612" i="3"/>
  <c r="AC2718" i="3"/>
  <c r="AC2810" i="3"/>
  <c r="AC2947" i="3"/>
  <c r="AC2980" i="3"/>
  <c r="AC2984" i="3"/>
  <c r="AC2986" i="3"/>
  <c r="AC2989" i="3"/>
  <c r="AC3163" i="3"/>
  <c r="AC3170" i="3"/>
  <c r="AC3201" i="3"/>
  <c r="AC3303" i="3"/>
  <c r="AC3306" i="3"/>
  <c r="AC3433" i="3"/>
  <c r="AC3473" i="3"/>
  <c r="AC3491" i="3"/>
  <c r="AC3529" i="3"/>
  <c r="AC3543" i="3"/>
  <c r="AC3650" i="3"/>
  <c r="AC3679" i="3"/>
  <c r="AC3750" i="3"/>
  <c r="AC3808" i="3"/>
  <c r="AC3834" i="3"/>
  <c r="AC3915" i="3"/>
  <c r="AC4205" i="3"/>
  <c r="AC4231" i="3"/>
  <c r="AC4380" i="3"/>
  <c r="AC4406" i="3"/>
  <c r="AC4466" i="3"/>
  <c r="AD4466" i="3" s="1"/>
  <c r="AC4693" i="3"/>
  <c r="AD4693" i="3" s="1"/>
  <c r="AC4705" i="3"/>
  <c r="AD4705" i="3" s="1"/>
  <c r="AC4748" i="3"/>
  <c r="AD4748" i="3" s="1"/>
  <c r="AC4804" i="3"/>
  <c r="AD4804" i="3" s="1"/>
  <c r="AC2" i="3"/>
  <c r="AD2" i="3" s="1"/>
  <c r="AC22" i="3"/>
  <c r="AC26" i="3"/>
  <c r="AC38" i="3"/>
  <c r="AC58" i="3"/>
  <c r="AC92" i="3"/>
  <c r="AC137" i="3"/>
  <c r="AC155" i="3"/>
  <c r="AC162" i="3"/>
  <c r="AC171" i="3"/>
  <c r="AC177" i="3"/>
  <c r="AC214" i="3"/>
  <c r="AC233" i="3"/>
  <c r="AC246" i="3"/>
  <c r="AC259" i="3"/>
  <c r="AC301" i="3"/>
  <c r="AC319" i="3"/>
  <c r="AC328" i="3"/>
  <c r="AC333" i="3"/>
  <c r="AC336" i="3"/>
  <c r="AC350" i="3"/>
  <c r="AC383" i="3"/>
  <c r="AC400" i="3"/>
  <c r="AC419" i="3"/>
  <c r="AC423" i="3"/>
  <c r="AC449" i="3"/>
  <c r="AC501" i="3"/>
  <c r="AC516" i="3"/>
  <c r="AC535" i="3"/>
  <c r="AC560" i="3"/>
  <c r="AC577" i="3"/>
  <c r="AC625" i="3"/>
  <c r="AC627" i="3"/>
  <c r="AC676" i="3"/>
  <c r="AC719" i="3"/>
  <c r="AC742" i="3"/>
  <c r="AC744" i="3"/>
  <c r="AC751" i="3"/>
  <c r="AC754" i="3"/>
  <c r="AC756" i="3"/>
  <c r="AC786" i="3"/>
  <c r="AC789" i="3"/>
  <c r="AC810" i="3"/>
  <c r="AC813" i="3"/>
  <c r="AC814" i="3"/>
  <c r="AC842" i="3"/>
  <c r="AC872" i="3"/>
  <c r="AC887" i="3"/>
  <c r="AC924" i="3"/>
  <c r="AC925" i="3"/>
  <c r="AC934" i="3"/>
  <c r="AC981" i="3"/>
  <c r="AC1018" i="3"/>
  <c r="AC1059" i="3"/>
  <c r="AC1075" i="3"/>
  <c r="AC1082" i="3"/>
  <c r="AC1085" i="3"/>
  <c r="AC1087" i="3"/>
  <c r="AC1091" i="3"/>
  <c r="AC1104" i="3"/>
  <c r="AC1109" i="3"/>
  <c r="AC1151" i="3"/>
  <c r="AC1174" i="3"/>
  <c r="AC1195" i="3"/>
  <c r="AC1225" i="3"/>
  <c r="AC1268" i="3"/>
  <c r="AC1331" i="3"/>
  <c r="AC1334" i="3"/>
  <c r="AC1373" i="3"/>
  <c r="AC1406" i="3"/>
  <c r="AC1407" i="3"/>
  <c r="AC1446" i="3"/>
  <c r="AC1463" i="3"/>
  <c r="AC1509" i="3"/>
  <c r="AC1579" i="3"/>
  <c r="AC1616" i="3"/>
  <c r="AC1636" i="3"/>
  <c r="AC1666" i="3"/>
  <c r="AC1675" i="3"/>
  <c r="AC1692" i="3"/>
  <c r="AC1731" i="3"/>
  <c r="AC1749" i="3"/>
  <c r="AC1814" i="3"/>
  <c r="AC1829" i="3"/>
  <c r="AC1992" i="3"/>
  <c r="AC2016" i="3"/>
  <c r="AC2046" i="3"/>
  <c r="AC2050" i="3"/>
  <c r="AC2116" i="3"/>
  <c r="AC2121" i="3"/>
  <c r="AC2162" i="3"/>
  <c r="AC2191" i="3"/>
  <c r="AC2212" i="3"/>
  <c r="AC2220" i="3"/>
  <c r="AC2300" i="3"/>
  <c r="AC2369" i="3"/>
  <c r="AC2377" i="3"/>
  <c r="AC2406" i="3"/>
  <c r="AC2438" i="3"/>
  <c r="AC2441" i="3"/>
  <c r="AC2477" i="3"/>
  <c r="AC2554" i="3"/>
  <c r="AC2558" i="3"/>
  <c r="AC2577" i="3"/>
  <c r="AC2622" i="3"/>
  <c r="AC2661" i="3"/>
  <c r="AC2673" i="3"/>
  <c r="AC2683" i="3"/>
  <c r="AC2704" i="3"/>
  <c r="AC2747" i="3"/>
  <c r="AC2794" i="3"/>
  <c r="AC2821" i="3"/>
  <c r="AC2841" i="3"/>
  <c r="AC2877" i="3"/>
  <c r="AC2879" i="3"/>
  <c r="AC2888" i="3"/>
  <c r="AC2889" i="3"/>
  <c r="AC2891" i="3"/>
  <c r="AC2912" i="3"/>
  <c r="AC2933" i="3"/>
  <c r="AC2937" i="3"/>
  <c r="AC2952" i="3"/>
  <c r="AC2996" i="3"/>
  <c r="AC3003" i="3"/>
  <c r="AC3016" i="3"/>
  <c r="AC3017" i="3"/>
  <c r="AC3040" i="3"/>
  <c r="AC3043" i="3"/>
  <c r="AC3059" i="3"/>
  <c r="AC3099" i="3"/>
  <c r="AC3142" i="3"/>
  <c r="AC3233" i="3"/>
  <c r="AC3235" i="3"/>
  <c r="AC3237" i="3"/>
  <c r="AC3240" i="3"/>
  <c r="AC3271" i="3"/>
  <c r="AC3337" i="3"/>
  <c r="AC3340" i="3"/>
  <c r="AC3385" i="3"/>
  <c r="AC3441" i="3"/>
  <c r="AC3459" i="3"/>
  <c r="AC3461" i="3"/>
  <c r="AC3485" i="3"/>
  <c r="AC3517" i="3"/>
  <c r="AC3541" i="3"/>
  <c r="AC3563" i="3"/>
  <c r="AC3568" i="3"/>
  <c r="AC3610" i="3"/>
  <c r="AC3619" i="3"/>
  <c r="AC3634" i="3"/>
  <c r="AC3663" i="3"/>
  <c r="AC3680" i="3"/>
  <c r="AC3689" i="3"/>
  <c r="AC3822" i="3"/>
  <c r="AC3829" i="3"/>
  <c r="AC3845" i="3"/>
  <c r="AC3859" i="3"/>
  <c r="AC3861" i="3"/>
  <c r="AC3921" i="3"/>
  <c r="AC3936" i="3"/>
  <c r="AC3937" i="3"/>
  <c r="AC3947" i="3"/>
  <c r="AC3959" i="3"/>
  <c r="AC4128" i="3"/>
  <c r="AC4172" i="3"/>
  <c r="AC4193" i="3"/>
  <c r="AC4213" i="3"/>
  <c r="AC4282" i="3"/>
  <c r="AC4379" i="3"/>
  <c r="AC4472" i="3"/>
  <c r="AD4472" i="3" s="1"/>
  <c r="AC4525" i="3"/>
  <c r="AD4525" i="3" s="1"/>
  <c r="AC4562" i="3"/>
  <c r="AD4562" i="3" s="1"/>
  <c r="AC4573" i="3"/>
  <c r="AD4573" i="3" s="1"/>
  <c r="AC4625" i="3"/>
  <c r="AD4625" i="3" s="1"/>
  <c r="AC4651" i="3"/>
  <c r="AD4651" i="3" s="1"/>
  <c r="AC4697" i="3"/>
  <c r="AD4697" i="3" s="1"/>
  <c r="AC4729" i="3"/>
  <c r="AD4729" i="3" s="1"/>
  <c r="AC4736" i="3"/>
  <c r="AD4736" i="3" s="1"/>
  <c r="AC4798" i="3"/>
  <c r="AD4798" i="3" s="1"/>
  <c r="AC4830" i="3"/>
  <c r="AD4830" i="3" s="1"/>
  <c r="AC323" i="3"/>
  <c r="AC526" i="3"/>
  <c r="AC1423" i="3"/>
  <c r="AC2166" i="3"/>
  <c r="AC2186" i="3"/>
  <c r="AC2344" i="3"/>
  <c r="AC2799" i="3"/>
  <c r="AC2931" i="3"/>
  <c r="AC3058" i="3"/>
  <c r="AC3710" i="3"/>
  <c r="AC4134" i="3"/>
  <c r="AC4167" i="3"/>
  <c r="AC4208" i="3"/>
  <c r="AC4682" i="3"/>
  <c r="AD4682" i="3" s="1"/>
  <c r="AC1315" i="3"/>
  <c r="AC2210" i="3"/>
  <c r="AC2222" i="3"/>
  <c r="AC2394" i="3"/>
  <c r="AC2418" i="3"/>
  <c r="AC3469" i="3"/>
  <c r="AC3824" i="3"/>
  <c r="AC4484" i="3"/>
  <c r="AD4484" i="3" s="1"/>
  <c r="AC4733" i="3"/>
  <c r="AD4733" i="3" s="1"/>
  <c r="AC4825" i="3"/>
  <c r="AD4825" i="3" s="1"/>
  <c r="AC86" i="3"/>
  <c r="AC235" i="3"/>
  <c r="AC280" i="3"/>
  <c r="AC289" i="3"/>
  <c r="AC331" i="3"/>
  <c r="AC351" i="3"/>
  <c r="AC497" i="3"/>
  <c r="AC505" i="3"/>
  <c r="AC520" i="3"/>
  <c r="AC521" i="3"/>
  <c r="AC653" i="3"/>
  <c r="AC673" i="3"/>
  <c r="AC696" i="3"/>
  <c r="AC702" i="3"/>
  <c r="AC812" i="3"/>
  <c r="AC829" i="3"/>
  <c r="AC965" i="3"/>
  <c r="AC978" i="3"/>
  <c r="AC1045" i="3"/>
  <c r="AC1064" i="3"/>
  <c r="AC1118" i="3"/>
  <c r="AC1249" i="3"/>
  <c r="AC1325" i="3"/>
  <c r="AC1363" i="3"/>
  <c r="AC1493" i="3"/>
  <c r="AC1504" i="3"/>
  <c r="AC1517" i="3"/>
  <c r="AC1532" i="3"/>
  <c r="AC1607" i="3"/>
  <c r="AC1707" i="3"/>
  <c r="AC1757" i="3"/>
  <c r="AC1805" i="3"/>
  <c r="AC2003" i="3"/>
  <c r="AC2043" i="3"/>
  <c r="AC2095" i="3"/>
  <c r="AC2271" i="3"/>
  <c r="AC2290" i="3"/>
  <c r="AC2340" i="3"/>
  <c r="AC2341" i="3"/>
  <c r="AC2423" i="3"/>
  <c r="AC2484" i="3"/>
  <c r="AC2506" i="3"/>
  <c r="AC2544" i="3"/>
  <c r="AC2572" i="3"/>
  <c r="AC2603" i="3"/>
  <c r="AC2638" i="3"/>
  <c r="AC2716" i="3"/>
  <c r="AC2744" i="3"/>
  <c r="AC2836" i="3"/>
  <c r="AC2919" i="3"/>
  <c r="AC2927" i="3"/>
  <c r="AC2928" i="3"/>
  <c r="AC2994" i="3"/>
  <c r="AC3041" i="3"/>
  <c r="AC3096" i="3"/>
  <c r="AC3104" i="3"/>
  <c r="AC3108" i="3"/>
  <c r="AC3123" i="3"/>
  <c r="AC3126" i="3"/>
  <c r="AC3167" i="3"/>
  <c r="AC3179" i="3"/>
  <c r="AC3292" i="3"/>
  <c r="AC3333" i="3"/>
  <c r="AC3344" i="3"/>
  <c r="AC3393" i="3"/>
  <c r="AC3399" i="3"/>
  <c r="AC3435" i="3"/>
  <c r="AC3530" i="3"/>
  <c r="AC3558" i="3"/>
  <c r="AC3564" i="3"/>
  <c r="AC3678" i="3"/>
  <c r="AC3720" i="3"/>
  <c r="AC3723" i="3"/>
  <c r="AC3725" i="3"/>
  <c r="AC3736" i="3"/>
  <c r="AC3811" i="3"/>
  <c r="AC3821" i="3"/>
  <c r="AC3869" i="3"/>
  <c r="AC3966" i="3"/>
  <c r="AC4033" i="3"/>
  <c r="AC4141" i="3"/>
  <c r="AC4157" i="3"/>
  <c r="AC4165" i="3"/>
  <c r="AC4198" i="3"/>
  <c r="AC4202" i="3"/>
  <c r="AC4309" i="3"/>
  <c r="AC4319" i="3"/>
  <c r="AC4339" i="3"/>
  <c r="AC4421" i="3"/>
  <c r="AC4443" i="3"/>
  <c r="AD4443" i="3" s="1"/>
  <c r="AC4558" i="3"/>
  <c r="AD4558" i="3" s="1"/>
  <c r="AC4708" i="3"/>
  <c r="AD4708" i="3" s="1"/>
  <c r="AC4709" i="3"/>
  <c r="AD4709" i="3" s="1"/>
  <c r="AC4759" i="3"/>
  <c r="AD4759" i="3" s="1"/>
  <c r="AC4766" i="3"/>
  <c r="AD4766" i="3" s="1"/>
  <c r="AC4784" i="3"/>
  <c r="AD4784" i="3" s="1"/>
  <c r="AC62" i="3"/>
  <c r="AC66" i="3"/>
  <c r="AC113" i="3"/>
  <c r="AC164" i="3"/>
  <c r="AC169" i="3"/>
  <c r="AC213" i="3"/>
  <c r="AC231" i="3"/>
  <c r="AC382" i="3"/>
  <c r="AC387" i="3"/>
  <c r="AC525" i="3"/>
  <c r="AC534" i="3"/>
  <c r="AC536" i="3"/>
  <c r="AC583" i="3"/>
  <c r="AC615" i="3"/>
  <c r="AC722" i="3"/>
  <c r="AC745" i="3"/>
  <c r="AC787" i="3"/>
  <c r="AC799" i="3"/>
  <c r="AC817" i="3"/>
  <c r="AC832" i="3"/>
  <c r="AC1001" i="3"/>
  <c r="AC1021" i="3"/>
  <c r="AC1049" i="3"/>
  <c r="AC1083" i="3"/>
  <c r="AC1191" i="3"/>
  <c r="AC1243" i="3"/>
  <c r="AC1260" i="3"/>
  <c r="AC1287" i="3"/>
  <c r="AC1292" i="3"/>
  <c r="AC1299" i="3"/>
  <c r="AC1302" i="3"/>
  <c r="AC1304" i="3"/>
  <c r="AC1327" i="3"/>
  <c r="AC1448" i="3"/>
  <c r="AC1455" i="3"/>
  <c r="AC1487" i="3"/>
  <c r="AC1510" i="3"/>
  <c r="AC1553" i="3"/>
  <c r="AC1559" i="3"/>
  <c r="AC1570" i="3"/>
  <c r="AC1601" i="3"/>
  <c r="AC1632" i="3"/>
  <c r="AC1638" i="3"/>
  <c r="AC1751" i="3"/>
  <c r="AC1754" i="3"/>
  <c r="AC1755" i="3"/>
  <c r="AC1923" i="3"/>
  <c r="AC2018" i="3"/>
  <c r="AC2025" i="3"/>
  <c r="AC2033" i="3"/>
  <c r="AC2119" i="3"/>
  <c r="AC2156" i="3"/>
  <c r="AC2165" i="3"/>
  <c r="AC2184" i="3"/>
  <c r="AC2188" i="3"/>
  <c r="AC2217" i="3"/>
  <c r="AC2238" i="3"/>
  <c r="AC2318" i="3"/>
  <c r="AC2324" i="3"/>
  <c r="AC2431" i="3"/>
  <c r="AC2432" i="3"/>
  <c r="AC2448" i="3"/>
  <c r="AC2458" i="3"/>
  <c r="AC2509" i="3"/>
  <c r="AC2523" i="3"/>
  <c r="AC2540" i="3"/>
  <c r="AC2571" i="3"/>
  <c r="AC2647" i="3"/>
  <c r="AC2655" i="3"/>
  <c r="AC2695" i="3"/>
  <c r="AC2864" i="3"/>
  <c r="AC2874" i="3"/>
  <c r="AC2881" i="3"/>
  <c r="AC2893" i="3"/>
  <c r="AC2899" i="3"/>
  <c r="AC2930" i="3"/>
  <c r="AC2999" i="3"/>
  <c r="AC3021" i="3"/>
  <c r="AC3078" i="3"/>
  <c r="AC3135" i="3"/>
  <c r="AC3213" i="3"/>
  <c r="AC3273" i="3"/>
  <c r="AC3286" i="3"/>
  <c r="AC3310" i="3"/>
  <c r="AC3327" i="3"/>
  <c r="AC3347" i="3"/>
  <c r="AC3439" i="3"/>
  <c r="AC3511" i="3"/>
  <c r="AC3613" i="3"/>
  <c r="AC3614" i="3"/>
  <c r="AC3669" i="3"/>
  <c r="AC3784" i="3"/>
  <c r="AC3809" i="3"/>
  <c r="AC3866" i="3"/>
  <c r="AC3923" i="3"/>
  <c r="AC3999" i="3"/>
  <c r="AC4022" i="3"/>
  <c r="AC4032" i="3"/>
  <c r="AC4135" i="3"/>
  <c r="AC4140" i="3"/>
  <c r="AC4145" i="3"/>
  <c r="AC4158" i="3"/>
  <c r="AC4194" i="3"/>
  <c r="AC4210" i="3"/>
  <c r="AC4211" i="3"/>
  <c r="AC4223" i="3"/>
  <c r="AC4302" i="3"/>
  <c r="AC4375" i="3"/>
  <c r="AC4376" i="3"/>
  <c r="AC4416" i="3"/>
  <c r="AC4670" i="3"/>
  <c r="AD4670" i="3" s="1"/>
  <c r="AC4675" i="3"/>
  <c r="AD4675" i="3" s="1"/>
  <c r="AC4726" i="3"/>
  <c r="AD4726" i="3" s="1"/>
  <c r="AC4815" i="3"/>
  <c r="AD4815" i="3" s="1"/>
  <c r="AC14" i="3"/>
  <c r="AC65" i="3"/>
  <c r="AC67" i="3"/>
  <c r="AC75" i="3"/>
  <c r="AC82" i="3"/>
  <c r="AC115" i="3"/>
  <c r="AC118" i="3"/>
  <c r="AC148" i="3"/>
  <c r="AC151" i="3"/>
  <c r="AC175" i="3"/>
  <c r="AC178" i="3"/>
  <c r="AC181" i="3"/>
  <c r="AC204" i="3"/>
  <c r="AC294" i="3"/>
  <c r="AC394" i="3"/>
  <c r="AC408" i="3"/>
  <c r="AC454" i="3"/>
  <c r="AC474" i="3"/>
  <c r="AC485" i="3"/>
  <c r="AC488" i="3"/>
  <c r="AC490" i="3"/>
  <c r="AC493" i="3"/>
  <c r="AC544" i="3"/>
  <c r="AC556" i="3"/>
  <c r="AC571" i="3"/>
  <c r="AC574" i="3"/>
  <c r="AC576" i="3"/>
  <c r="AC579" i="3"/>
  <c r="AC608" i="3"/>
  <c r="AC629" i="3"/>
  <c r="AC650" i="3"/>
  <c r="AC674" i="3"/>
  <c r="AC677" i="3"/>
  <c r="AC779" i="3"/>
  <c r="AC796" i="3"/>
  <c r="AC826" i="3"/>
  <c r="AC847" i="3"/>
  <c r="AC869" i="3"/>
  <c r="AC899" i="3"/>
  <c r="AC926" i="3"/>
  <c r="AC930" i="3"/>
  <c r="AC942" i="3"/>
  <c r="AC947" i="3"/>
  <c r="AC953" i="3"/>
  <c r="AC956" i="3"/>
  <c r="AC967" i="3"/>
  <c r="AC971" i="3"/>
  <c r="AC982" i="3"/>
  <c r="AC991" i="3"/>
  <c r="AC1031" i="3"/>
  <c r="AC1037" i="3"/>
  <c r="AC1042" i="3"/>
  <c r="AC1063" i="3"/>
  <c r="AC1105" i="3"/>
  <c r="AC1119" i="3"/>
  <c r="AC1134" i="3"/>
  <c r="AC1177" i="3"/>
  <c r="AC1192" i="3"/>
  <c r="AC1194" i="3"/>
  <c r="AC1219" i="3"/>
  <c r="AC1285" i="3"/>
  <c r="AC1314" i="3"/>
  <c r="AC1355" i="3"/>
  <c r="AC1415" i="3"/>
  <c r="AC1435" i="3"/>
  <c r="AC1436" i="3"/>
  <c r="AC1466" i="3"/>
  <c r="AC1498" i="3"/>
  <c r="AC1508" i="3"/>
  <c r="AC1511" i="3"/>
  <c r="AC1566" i="3"/>
  <c r="AC1574" i="3"/>
  <c r="AC1580" i="3"/>
  <c r="AC1589" i="3"/>
  <c r="AC1642" i="3"/>
  <c r="AC1655" i="3"/>
  <c r="AC1682" i="3"/>
  <c r="AC1685" i="3"/>
  <c r="AC1694" i="3"/>
  <c r="AC1710" i="3"/>
  <c r="AC1714" i="3"/>
  <c r="AC1726" i="3"/>
  <c r="AC1727" i="3"/>
  <c r="AC1732" i="3"/>
  <c r="AC1768" i="3"/>
  <c r="AC1825" i="3"/>
  <c r="AC1915" i="3"/>
  <c r="AC1933" i="3"/>
  <c r="AC1954" i="3"/>
  <c r="AC1956" i="3"/>
  <c r="AC1970" i="3"/>
  <c r="AC1977" i="3"/>
  <c r="AC1985" i="3"/>
  <c r="AC2028" i="3"/>
  <c r="AC2029" i="3"/>
  <c r="AC2038" i="3"/>
  <c r="AC2052" i="3"/>
  <c r="AC2063" i="3"/>
  <c r="AC2072" i="3"/>
  <c r="AC2107" i="3"/>
  <c r="AC2181" i="3"/>
  <c r="AC2226" i="3"/>
  <c r="AC2239" i="3"/>
  <c r="AC2302" i="3"/>
  <c r="AC2310" i="3"/>
  <c r="AC2392" i="3"/>
  <c r="AC2414" i="3"/>
  <c r="AC2443" i="3"/>
  <c r="AC2467" i="3"/>
  <c r="AC2486" i="3"/>
  <c r="AC2494" i="3"/>
  <c r="AC2496" i="3"/>
  <c r="AC2502" i="3"/>
  <c r="AC2552" i="3"/>
  <c r="AC2564" i="3"/>
  <c r="AC2578" i="3"/>
  <c r="AC2584" i="3"/>
  <c r="AC2585" i="3"/>
  <c r="AC2606" i="3"/>
  <c r="AC2609" i="3"/>
  <c r="AC2698" i="3"/>
  <c r="AC2699" i="3"/>
  <c r="AC2758" i="3"/>
  <c r="AC2805" i="3"/>
  <c r="AC2824" i="3"/>
  <c r="AC2826" i="3"/>
  <c r="AC2840" i="3"/>
  <c r="AC2857" i="3"/>
  <c r="AC2866" i="3"/>
  <c r="AC2908" i="3"/>
  <c r="AC3008" i="3"/>
  <c r="AC3012" i="3"/>
  <c r="AC3028" i="3"/>
  <c r="AC3056" i="3"/>
  <c r="AC3128" i="3"/>
  <c r="AC3145" i="3"/>
  <c r="AC3147" i="3"/>
  <c r="AC3162" i="3"/>
  <c r="AC3268" i="3"/>
  <c r="AC3280" i="3"/>
  <c r="AC3324" i="3"/>
  <c r="AC3362" i="3"/>
  <c r="AC3366" i="3"/>
  <c r="AC3432" i="3"/>
  <c r="AC3440" i="3"/>
  <c r="AC3444" i="3"/>
  <c r="AC3451" i="3"/>
  <c r="AC3484" i="3"/>
  <c r="AC3512" i="3"/>
  <c r="AC3589" i="3"/>
  <c r="AC3599" i="3"/>
  <c r="AC3601" i="3"/>
  <c r="AC3629" i="3"/>
  <c r="AC3666" i="3"/>
  <c r="AC3671" i="3"/>
  <c r="AC3674" i="3"/>
  <c r="AC3682" i="3"/>
  <c r="AC3761" i="3"/>
  <c r="AC3768" i="3"/>
  <c r="AC3793" i="3"/>
  <c r="AC3874" i="3"/>
  <c r="AC3920" i="3"/>
  <c r="AC3922" i="3"/>
  <c r="AC3963" i="3"/>
  <c r="AC3987" i="3"/>
  <c r="AC4133" i="3"/>
  <c r="AC4142" i="3"/>
  <c r="AC4154" i="3"/>
  <c r="AC4169" i="3"/>
  <c r="AC4187" i="3"/>
  <c r="AC4191" i="3"/>
  <c r="AC4215" i="3"/>
  <c r="AC4235" i="3"/>
  <c r="AC4248" i="3"/>
  <c r="AC4377" i="3"/>
  <c r="AC4529" i="3"/>
  <c r="AD4529" i="3" s="1"/>
  <c r="AC4587" i="3"/>
  <c r="AD4587" i="3" s="1"/>
  <c r="AC4591" i="3"/>
  <c r="AD4591" i="3" s="1"/>
  <c r="AC4606" i="3"/>
  <c r="AD4606" i="3" s="1"/>
  <c r="AC4615" i="3"/>
  <c r="AD4615" i="3" s="1"/>
  <c r="AC4626" i="3"/>
  <c r="AD4626" i="3" s="1"/>
  <c r="AC4628" i="3"/>
  <c r="AD4628" i="3" s="1"/>
  <c r="AC4632" i="3"/>
  <c r="AD4632" i="3" s="1"/>
  <c r="AC4747" i="3"/>
  <c r="AD4747" i="3" s="1"/>
  <c r="AC4792" i="3"/>
  <c r="AD4792" i="3" s="1"/>
  <c r="AC4814" i="3"/>
  <c r="AD4814" i="3" s="1"/>
  <c r="AC4832" i="3"/>
  <c r="AD4832" i="3" s="1"/>
  <c r="AC11" i="3"/>
  <c r="AC12" i="3"/>
  <c r="AC30" i="3"/>
  <c r="AC168" i="3"/>
  <c r="AC170" i="3"/>
  <c r="AC172" i="3"/>
  <c r="AC236" i="3"/>
  <c r="AC257" i="3"/>
  <c r="AC305" i="3"/>
  <c r="AC308" i="3"/>
  <c r="AC324" i="3"/>
  <c r="AC424" i="3"/>
  <c r="AC507" i="3"/>
  <c r="AC522" i="3"/>
  <c r="AC557" i="3"/>
  <c r="AC572" i="3"/>
  <c r="AC600" i="3"/>
  <c r="AC601" i="3"/>
  <c r="AC610" i="3"/>
  <c r="AC618" i="3"/>
  <c r="AC635" i="3"/>
  <c r="AC671" i="3"/>
  <c r="AC691" i="3"/>
  <c r="AC695" i="3"/>
  <c r="AC748" i="3"/>
  <c r="AC767" i="3"/>
  <c r="AC775" i="3"/>
  <c r="AC824" i="3"/>
  <c r="AC856" i="3"/>
  <c r="AC865" i="3"/>
  <c r="AC921" i="3"/>
  <c r="AC944" i="3"/>
  <c r="AC970" i="3"/>
  <c r="AC994" i="3"/>
  <c r="AC1008" i="3"/>
  <c r="AC1027" i="3"/>
  <c r="AC1122" i="3"/>
  <c r="AC1141" i="3"/>
  <c r="AC1144" i="3"/>
  <c r="AC1158" i="3"/>
  <c r="AC1227" i="3"/>
  <c r="AC1228" i="3"/>
  <c r="AC1233" i="3"/>
  <c r="AC1235" i="3"/>
  <c r="AC1247" i="3"/>
  <c r="AC1250" i="3"/>
  <c r="AC1262" i="3"/>
  <c r="AC1367" i="3"/>
  <c r="AC1372" i="3"/>
  <c r="AC1389" i="3"/>
  <c r="AC1422" i="3"/>
  <c r="AC1452" i="3"/>
  <c r="AC1494" i="3"/>
  <c r="AC1584" i="3"/>
  <c r="AC1595" i="3"/>
  <c r="AC1614" i="3"/>
  <c r="AC1620" i="3"/>
  <c r="AC1647" i="3"/>
  <c r="AC1649" i="3"/>
  <c r="AC1759" i="3"/>
  <c r="AC1767" i="3"/>
  <c r="AC1837" i="3"/>
  <c r="AC1847" i="3"/>
  <c r="AC1870" i="3"/>
  <c r="AC1946" i="3"/>
  <c r="AC1951" i="3"/>
  <c r="AC1979" i="3"/>
  <c r="AC2010" i="3"/>
  <c r="AC2032" i="3"/>
  <c r="AC2071" i="3"/>
  <c r="AC2100" i="3"/>
  <c r="AC2110" i="3"/>
  <c r="AC2114" i="3"/>
  <c r="AC2211" i="3"/>
  <c r="AC2248" i="3"/>
  <c r="AC2254" i="3"/>
  <c r="AC2301" i="3"/>
  <c r="AC2370" i="3"/>
  <c r="AC2397" i="3"/>
  <c r="AC2405" i="3"/>
  <c r="AC2416" i="3"/>
  <c r="AC2445" i="3"/>
  <c r="AC2473" i="3"/>
  <c r="AC2537" i="3"/>
  <c r="AC2539" i="3"/>
  <c r="AC2556" i="3"/>
  <c r="AC2580" i="3"/>
  <c r="AC2678" i="3"/>
  <c r="AC2679" i="3"/>
  <c r="AC2696" i="3"/>
  <c r="AC2712" i="3"/>
  <c r="AC2748" i="3"/>
  <c r="AC2785" i="3"/>
  <c r="AC2837" i="3"/>
  <c r="AC2858" i="3"/>
  <c r="AC2902" i="3"/>
  <c r="AC2922" i="3"/>
  <c r="AC2951" i="3"/>
  <c r="AC3038" i="3"/>
  <c r="AC3060" i="3"/>
  <c r="AC3074" i="3"/>
  <c r="AC3083" i="3"/>
  <c r="AC3085" i="3"/>
  <c r="AC3086" i="3"/>
  <c r="AC3150" i="3"/>
  <c r="AC3166" i="3"/>
  <c r="AC3229" i="3"/>
  <c r="AC3232" i="3"/>
  <c r="AC3241" i="3"/>
  <c r="AC3246" i="3"/>
  <c r="AC3263" i="3"/>
  <c r="AC3277" i="3"/>
  <c r="AC3287" i="3"/>
  <c r="AC3289" i="3"/>
  <c r="AC3318" i="3"/>
  <c r="AC3323" i="3"/>
  <c r="AC3357" i="3"/>
  <c r="AC3403" i="3"/>
  <c r="AC3406" i="3"/>
  <c r="AC3422" i="3"/>
  <c r="AC3437" i="3"/>
  <c r="AC3478" i="3"/>
  <c r="AC3479" i="3"/>
  <c r="AC3552" i="3"/>
  <c r="AC3556" i="3"/>
  <c r="AC3600" i="3"/>
  <c r="AC3633" i="3"/>
  <c r="AC3677" i="3"/>
  <c r="AC3730" i="3"/>
  <c r="AC3733" i="3"/>
  <c r="AC3749" i="3"/>
  <c r="AC3765" i="3"/>
  <c r="AC3770" i="3"/>
  <c r="AC3775" i="3"/>
  <c r="AC3789" i="3"/>
  <c r="AC3794" i="3"/>
  <c r="AC3882" i="3"/>
  <c r="AC3889" i="3"/>
  <c r="AC3908" i="3"/>
  <c r="AC3925" i="3"/>
  <c r="AC3929" i="3"/>
  <c r="AC3981" i="3"/>
  <c r="AC3983" i="3"/>
  <c r="AC4015" i="3"/>
  <c r="AC4061" i="3"/>
  <c r="AC4111" i="3"/>
  <c r="AC4176" i="3"/>
  <c r="AC4181" i="3"/>
  <c r="AC4222" i="3"/>
  <c r="AC4224" i="3"/>
  <c r="AC4241" i="3"/>
  <c r="AC4251" i="3"/>
  <c r="AC4311" i="3"/>
  <c r="AC4395" i="3"/>
  <c r="AC4398" i="3"/>
  <c r="AC4511" i="3"/>
  <c r="AD4511" i="3" s="1"/>
  <c r="AC4596" i="3"/>
  <c r="AD4596" i="3" s="1"/>
  <c r="AC4636" i="3"/>
  <c r="AD4636" i="3" s="1"/>
  <c r="AC4667" i="3"/>
  <c r="AD4667" i="3" s="1"/>
  <c r="AC4668" i="3"/>
  <c r="AD4668" i="3" s="1"/>
  <c r="AC4679" i="3"/>
  <c r="AD4679" i="3" s="1"/>
  <c r="AC4686" i="3"/>
  <c r="AD4686" i="3" s="1"/>
  <c r="AC4687" i="3"/>
  <c r="AD4687" i="3" s="1"/>
  <c r="AC4701" i="3"/>
  <c r="AD4701" i="3" s="1"/>
  <c r="AC4716" i="3"/>
  <c r="AD4716" i="3" s="1"/>
  <c r="AC4756" i="3"/>
  <c r="AD4756" i="3" s="1"/>
  <c r="AC4761" i="3"/>
  <c r="AD4761" i="3" s="1"/>
  <c r="AC4781" i="3"/>
  <c r="AD4781" i="3" s="1"/>
  <c r="AC4786" i="3"/>
  <c r="AD4786" i="3" s="1"/>
  <c r="AC70" i="3"/>
  <c r="AC73" i="3"/>
  <c r="AC180" i="3"/>
  <c r="AC216" i="3"/>
  <c r="AC222" i="3"/>
  <c r="AC296" i="3"/>
  <c r="AC300" i="3"/>
  <c r="AC330" i="3"/>
  <c r="AC338" i="3"/>
  <c r="AC458" i="3"/>
  <c r="AC518" i="3"/>
  <c r="AC533" i="3"/>
  <c r="AC679" i="3"/>
  <c r="AC758" i="3"/>
  <c r="AC768" i="3"/>
  <c r="AC792" i="3"/>
  <c r="AC863" i="3"/>
  <c r="AC880" i="3"/>
  <c r="AC891" i="3"/>
  <c r="AC1024" i="3"/>
  <c r="AC1036" i="3"/>
  <c r="AC1156" i="3"/>
  <c r="AC1163" i="3"/>
  <c r="AC1239" i="3"/>
  <c r="AC1303" i="3"/>
  <c r="AC1364" i="3"/>
  <c r="AC1408" i="3"/>
  <c r="AC1428" i="3"/>
  <c r="AC1708" i="3"/>
  <c r="AC1906" i="3"/>
  <c r="AC1950" i="3"/>
  <c r="AC2051" i="3"/>
  <c r="AC2065" i="3"/>
  <c r="AC2098" i="3"/>
  <c r="AC2329" i="3"/>
  <c r="AC2413" i="3"/>
  <c r="AC2433" i="3"/>
  <c r="AC2490" i="3"/>
  <c r="AC2602" i="3"/>
  <c r="AC2642" i="3"/>
  <c r="AC2688" i="3"/>
  <c r="AC2854" i="3"/>
  <c r="AC2920" i="3"/>
  <c r="AC2935" i="3"/>
  <c r="AC3026" i="3"/>
  <c r="AC3244" i="3"/>
  <c r="AC3251" i="3"/>
  <c r="AC3260" i="3"/>
  <c r="AC3319" i="3"/>
  <c r="AC3360" i="3"/>
  <c r="AC3392" i="3"/>
  <c r="AC3464" i="3"/>
  <c r="AC3503" i="3"/>
  <c r="AC3542" i="3"/>
  <c r="AC3545" i="3"/>
  <c r="AC3548" i="3"/>
  <c r="AC3645" i="3"/>
  <c r="AC3670" i="3"/>
  <c r="AC3699" i="3"/>
  <c r="AC3795" i="3"/>
  <c r="AC3893" i="3"/>
  <c r="AC3938" i="3"/>
  <c r="AC3972" i="3"/>
  <c r="AC4041" i="3"/>
  <c r="AC4125" i="3"/>
  <c r="AC4209" i="3"/>
  <c r="AC4334" i="3"/>
  <c r="AC4470" i="3"/>
  <c r="AD4470" i="3" s="1"/>
  <c r="AC4513" i="3"/>
  <c r="AD4513" i="3" s="1"/>
  <c r="AC4578" i="3"/>
  <c r="AD4578" i="3" s="1"/>
  <c r="AC4579" i="3"/>
  <c r="AD4579" i="3" s="1"/>
  <c r="AC4681" i="3"/>
  <c r="AD4681" i="3" s="1"/>
  <c r="AC4757" i="3"/>
  <c r="AD4757" i="3" s="1"/>
  <c r="AC4769" i="3"/>
  <c r="AD4769" i="3" s="1"/>
  <c r="AC15" i="3"/>
  <c r="AC42" i="3"/>
  <c r="AC45" i="3"/>
  <c r="AC220" i="3"/>
  <c r="AC221" i="3"/>
  <c r="AC224" i="3"/>
  <c r="AC275" i="3"/>
  <c r="AC290" i="3"/>
  <c r="AC315" i="3"/>
  <c r="AC405" i="3"/>
  <c r="AC420" i="3"/>
  <c r="AC421" i="3"/>
  <c r="AC461" i="3"/>
  <c r="AC466" i="3"/>
  <c r="AC480" i="3"/>
  <c r="AC492" i="3"/>
  <c r="AC513" i="3"/>
  <c r="AC530" i="3"/>
  <c r="AC570" i="3"/>
  <c r="AC588" i="3"/>
  <c r="AC649" i="3"/>
  <c r="AC659" i="3"/>
  <c r="AC667" i="3"/>
  <c r="AC690" i="3"/>
  <c r="AC705" i="3"/>
  <c r="AC777" i="3"/>
  <c r="AC843" i="3"/>
  <c r="AC882" i="3"/>
  <c r="AC900" i="3"/>
  <c r="AC902" i="3"/>
  <c r="AC909" i="3"/>
  <c r="AC933" i="3"/>
  <c r="AC938" i="3"/>
  <c r="AC945" i="3"/>
  <c r="AC980" i="3"/>
  <c r="AC990" i="3"/>
  <c r="AC1002" i="3"/>
  <c r="AC1016" i="3"/>
  <c r="AC1026" i="3"/>
  <c r="AC1060" i="3"/>
  <c r="AC1076" i="3"/>
  <c r="AC1094" i="3"/>
  <c r="AC1139" i="3"/>
  <c r="AC1184" i="3"/>
  <c r="AC1273" i="3"/>
  <c r="AC1379" i="3"/>
  <c r="AC1400" i="3"/>
  <c r="AC1409" i="3"/>
  <c r="AC1434" i="3"/>
  <c r="AC1470" i="3"/>
  <c r="AC1617" i="3"/>
  <c r="AC1637" i="3"/>
  <c r="AC1721" i="3"/>
  <c r="AC1763" i="3"/>
  <c r="AC1791" i="3"/>
  <c r="AC1800" i="3"/>
  <c r="AC1917" i="3"/>
  <c r="AC1922" i="3"/>
  <c r="AC1926" i="3"/>
  <c r="AC2034" i="3"/>
  <c r="AC2035" i="3"/>
  <c r="AC2161" i="3"/>
  <c r="AC2223" i="3"/>
  <c r="AC2225" i="3"/>
  <c r="AC2291" i="3"/>
  <c r="AC2293" i="3"/>
  <c r="AC2306" i="3"/>
  <c r="AC2317" i="3"/>
  <c r="AC2336" i="3"/>
  <c r="AC2366" i="3"/>
  <c r="AC2399" i="3"/>
  <c r="AC2407" i="3"/>
  <c r="AC2447" i="3"/>
  <c r="AC2451" i="3"/>
  <c r="AC2482" i="3"/>
  <c r="AC2489" i="3"/>
  <c r="AC2511" i="3"/>
  <c r="AC2515" i="3"/>
  <c r="AC2610" i="3"/>
  <c r="AC2636" i="3"/>
  <c r="AC2643" i="3"/>
  <c r="AC2650" i="3"/>
  <c r="AC2710" i="3"/>
  <c r="AC2774" i="3"/>
  <c r="AC2839" i="3"/>
  <c r="AC2867" i="3"/>
  <c r="AC2886" i="3"/>
  <c r="AC2895" i="3"/>
  <c r="AC2898" i="3"/>
  <c r="AC2942" i="3"/>
  <c r="AC2956" i="3"/>
  <c r="AC2960" i="3"/>
  <c r="AC3005" i="3"/>
  <c r="AC3054" i="3"/>
  <c r="AC3076" i="3"/>
  <c r="AC3095" i="3"/>
  <c r="AC3113" i="3"/>
  <c r="AC3159" i="3"/>
  <c r="AC3168" i="3"/>
  <c r="AC3215" i="3"/>
  <c r="AC3222" i="3"/>
  <c r="AC3248" i="3"/>
  <c r="AC3307" i="3"/>
  <c r="AC3353" i="3"/>
  <c r="AC3370" i="3"/>
  <c r="AC3394" i="3"/>
  <c r="AC3423" i="3"/>
  <c r="AC3425" i="3"/>
  <c r="AC3465" i="3"/>
  <c r="AC3510" i="3"/>
  <c r="AC3539" i="3"/>
  <c r="AC3584" i="3"/>
  <c r="AC3587" i="3"/>
  <c r="AC3591" i="3"/>
  <c r="AC3630" i="3"/>
  <c r="AC3644" i="3"/>
  <c r="AC3654" i="3"/>
  <c r="AC3676" i="3"/>
  <c r="AC3776" i="3"/>
  <c r="AC3804" i="3"/>
  <c r="AC3831" i="3"/>
  <c r="AC3962" i="3"/>
  <c r="AC4051" i="3"/>
  <c r="AC4052" i="3"/>
  <c r="AC4062" i="3"/>
  <c r="AC4075" i="3"/>
  <c r="AC4085" i="3"/>
  <c r="AC4095" i="3"/>
  <c r="AC4159" i="3"/>
  <c r="AC4160" i="3"/>
  <c r="AC4170" i="3"/>
  <c r="AC4264" i="3"/>
  <c r="AC4271" i="3"/>
  <c r="AC4427" i="3"/>
  <c r="AC4435" i="3"/>
  <c r="AC4450" i="3"/>
  <c r="AD4450" i="3" s="1"/>
  <c r="AC4451" i="3"/>
  <c r="AD4451" i="3" s="1"/>
  <c r="AC4547" i="3"/>
  <c r="AD4547" i="3" s="1"/>
  <c r="AC4567" i="3"/>
  <c r="AD4567" i="3" s="1"/>
  <c r="AC4580" i="3"/>
  <c r="AD4580" i="3" s="1"/>
  <c r="AC4641" i="3"/>
  <c r="AD4641" i="3" s="1"/>
  <c r="AC4745" i="3"/>
  <c r="AD4745" i="3" s="1"/>
  <c r="AC4764" i="3"/>
  <c r="AD4764" i="3" s="1"/>
  <c r="AC4790" i="3"/>
  <c r="AD4790" i="3" s="1"/>
  <c r="AC4808" i="3"/>
  <c r="AD4808" i="3" s="1"/>
  <c r="AC4817" i="3"/>
  <c r="AD4817" i="3" s="1"/>
  <c r="AC3" i="3"/>
  <c r="AC61" i="3"/>
  <c r="AC135" i="3"/>
  <c r="AC190" i="3"/>
  <c r="AC261" i="3"/>
  <c r="AC264" i="3"/>
  <c r="AC426" i="3"/>
  <c r="AC486" i="3"/>
  <c r="AC537" i="3"/>
  <c r="AC542" i="3"/>
  <c r="AC606" i="3"/>
  <c r="AC613" i="3"/>
  <c r="AC633" i="3"/>
  <c r="AC634" i="3"/>
  <c r="AC654" i="3"/>
  <c r="AC672" i="3"/>
  <c r="AC698" i="3"/>
  <c r="AC712" i="3"/>
  <c r="AC726" i="3"/>
  <c r="AC730" i="3"/>
  <c r="AC766" i="3"/>
  <c r="AC798" i="3"/>
  <c r="AC804" i="3"/>
  <c r="AC838" i="3"/>
  <c r="AC840" i="3"/>
  <c r="AC1011" i="3"/>
  <c r="AC1149" i="3"/>
  <c r="AC1350" i="3"/>
  <c r="AC1429" i="3"/>
  <c r="AC1522" i="3"/>
  <c r="AC1549" i="3"/>
  <c r="AC1746" i="3"/>
  <c r="AC1948" i="3"/>
  <c r="AC1991" i="3"/>
  <c r="AC2048" i="3"/>
  <c r="AC2170" i="3"/>
  <c r="AC2197" i="3"/>
  <c r="AC2278" i="3"/>
  <c r="AC2328" i="3"/>
  <c r="AC2386" i="3"/>
  <c r="AC2410" i="3"/>
  <c r="AC2450" i="3"/>
  <c r="AC2547" i="3"/>
  <c r="AC2626" i="3"/>
  <c r="AC2656" i="3"/>
  <c r="AC2701" i="3"/>
  <c r="AC2711" i="3"/>
  <c r="AC2777" i="3"/>
  <c r="AC2782" i="3"/>
  <c r="AC2789" i="3"/>
  <c r="AC2809" i="3"/>
  <c r="AC2838" i="3"/>
  <c r="AC2873" i="3"/>
  <c r="AC2880" i="3"/>
  <c r="AC2901" i="3"/>
  <c r="AC2946" i="3"/>
  <c r="AC2954" i="3"/>
  <c r="AC2976" i="3"/>
  <c r="AC3049" i="3"/>
  <c r="AC3169" i="3"/>
  <c r="AC3242" i="3"/>
  <c r="AC3308" i="3"/>
  <c r="AC3315" i="3"/>
  <c r="AC3355" i="3"/>
  <c r="AC3400" i="3"/>
  <c r="AC3456" i="3"/>
  <c r="AC3524" i="3"/>
  <c r="AC3561" i="3"/>
  <c r="AC3569" i="3"/>
  <c r="AC3641" i="3"/>
  <c r="AC3652" i="3"/>
  <c r="AC3783" i="3"/>
  <c r="AC3825" i="3"/>
  <c r="AC3852" i="3"/>
  <c r="AC3873" i="3"/>
  <c r="AC3895" i="3"/>
  <c r="AC3919" i="3"/>
  <c r="AC3928" i="3"/>
  <c r="AC3939" i="3"/>
  <c r="AC3941" i="3"/>
  <c r="AC3956" i="3"/>
  <c r="AC4044" i="3"/>
  <c r="AC4053" i="3"/>
  <c r="AC4083" i="3"/>
  <c r="AC4091" i="3"/>
  <c r="AC4119" i="3"/>
  <c r="AC4138" i="3"/>
  <c r="AC4143" i="3"/>
  <c r="AC4276" i="3"/>
  <c r="AC4294" i="3"/>
  <c r="AC4439" i="3"/>
  <c r="AC4497" i="3"/>
  <c r="AD4497" i="3" s="1"/>
  <c r="AC4544" i="3"/>
  <c r="AD4544" i="3" s="1"/>
  <c r="AC4560" i="3"/>
  <c r="AD4560" i="3" s="1"/>
  <c r="AC4566" i="3"/>
  <c r="AD4566" i="3" s="1"/>
  <c r="AC4570" i="3"/>
  <c r="AD4570" i="3" s="1"/>
  <c r="AC4613" i="3"/>
  <c r="AD4613" i="3" s="1"/>
  <c r="AC4631" i="3"/>
  <c r="AD4631" i="3" s="1"/>
  <c r="AC4642" i="3"/>
  <c r="AD4642" i="3" s="1"/>
  <c r="AC4691" i="3"/>
  <c r="AD4691" i="3" s="1"/>
  <c r="AC4742" i="3"/>
  <c r="AD4742" i="3" s="1"/>
  <c r="AC4763" i="3"/>
  <c r="AD4763" i="3" s="1"/>
  <c r="AC4774" i="3"/>
  <c r="AD4774" i="3" s="1"/>
  <c r="AC4801" i="3"/>
  <c r="AD4801" i="3" s="1"/>
  <c r="AC6" i="3"/>
  <c r="AC21" i="3"/>
  <c r="AC87" i="3"/>
  <c r="AC103" i="3"/>
  <c r="AC112" i="3"/>
  <c r="AC201" i="3"/>
  <c r="AC206" i="3"/>
  <c r="AC219" i="3"/>
  <c r="AC273" i="3"/>
  <c r="AC310" i="3"/>
  <c r="AC312" i="3"/>
  <c r="AC345" i="3"/>
  <c r="AC361" i="3"/>
  <c r="AC508" i="3"/>
  <c r="AC566" i="3"/>
  <c r="AC711" i="3"/>
  <c r="AC864" i="3"/>
  <c r="AC873" i="3"/>
  <c r="AC885" i="3"/>
  <c r="AC1172" i="3"/>
  <c r="AC1238" i="3"/>
  <c r="AC1274" i="3"/>
  <c r="AC1295" i="3"/>
  <c r="AC1310" i="3"/>
  <c r="AC1318" i="3"/>
  <c r="AC1336" i="3"/>
  <c r="AC1491" i="3"/>
  <c r="AC1558" i="3"/>
  <c r="AC1576" i="3"/>
  <c r="AC1622" i="3"/>
  <c r="AC1744" i="3"/>
  <c r="AC1790" i="3"/>
  <c r="AC1819" i="3"/>
  <c r="AC1846" i="3"/>
  <c r="AC1862" i="3"/>
  <c r="AC1880" i="3"/>
  <c r="AC1907" i="3"/>
  <c r="AC1911" i="3"/>
  <c r="AC1928" i="3"/>
  <c r="AC1961" i="3"/>
  <c r="AC2011" i="3"/>
  <c r="AC2042" i="3"/>
  <c r="AC2074" i="3"/>
  <c r="AC2205" i="3"/>
  <c r="AC2287" i="3"/>
  <c r="AC2297" i="3"/>
  <c r="AC2400" i="3"/>
  <c r="AC2428" i="3"/>
  <c r="AC2430" i="3"/>
  <c r="AC2488" i="3"/>
  <c r="AC2555" i="3"/>
  <c r="AC2592" i="3"/>
  <c r="AC2806" i="3"/>
  <c r="AC2814" i="3"/>
  <c r="AC2887" i="3"/>
  <c r="AC2910" i="3"/>
  <c r="AC2916" i="3"/>
  <c r="AC3257" i="3"/>
  <c r="AC3326" i="3"/>
  <c r="AC3391" i="3"/>
  <c r="AC3442" i="3"/>
  <c r="AC3449" i="3"/>
  <c r="AC3475" i="3"/>
  <c r="AC3567" i="3"/>
  <c r="AC3576" i="3"/>
  <c r="AC3582" i="3"/>
  <c r="AC3602" i="3"/>
  <c r="AC3649" i="3"/>
  <c r="AC3660" i="3"/>
  <c r="AC3665" i="3"/>
  <c r="AC3688" i="3"/>
  <c r="AC3867" i="3"/>
  <c r="AC3926" i="3"/>
  <c r="AC3976" i="3"/>
  <c r="AC3977" i="3"/>
  <c r="AC4007" i="3"/>
  <c r="AC4021" i="3"/>
  <c r="AC4287" i="3"/>
  <c r="AC4401" i="3"/>
  <c r="AC4449" i="3"/>
  <c r="AD4449" i="3" s="1"/>
  <c r="AC4514" i="3"/>
  <c r="AD4514" i="3" s="1"/>
  <c r="AC4516" i="3"/>
  <c r="AD4516" i="3" s="1"/>
  <c r="AC4593" i="3"/>
  <c r="AD4593" i="3" s="1"/>
  <c r="AC4595" i="3"/>
  <c r="AD4595" i="3" s="1"/>
  <c r="AC4762" i="3"/>
  <c r="AD4762" i="3" s="1"/>
  <c r="AC4794" i="3"/>
  <c r="AD4794" i="3" s="1"/>
  <c r="AC33" i="3"/>
  <c r="AC111" i="3"/>
  <c r="AC212" i="3"/>
  <c r="AC217" i="3"/>
  <c r="AC247" i="3"/>
  <c r="AC298" i="3"/>
  <c r="AC352" i="3"/>
  <c r="AC396" i="3"/>
  <c r="AC463" i="3"/>
  <c r="AC509" i="3"/>
  <c r="AC555" i="3"/>
  <c r="AC563" i="3"/>
  <c r="AC585" i="3"/>
  <c r="AC594" i="3"/>
  <c r="AC612" i="3"/>
  <c r="AC646" i="3"/>
  <c r="AC652" i="3"/>
  <c r="AC771" i="3"/>
  <c r="AC867" i="3"/>
  <c r="AC879" i="3"/>
  <c r="AC995" i="3"/>
  <c r="AC1046" i="3"/>
  <c r="AC1123" i="3"/>
  <c r="AC1137" i="3"/>
  <c r="AC1253" i="3"/>
  <c r="AC1306" i="3"/>
  <c r="AC1330" i="3"/>
  <c r="AC1345" i="3"/>
  <c r="AC1368" i="3"/>
  <c r="AC1397" i="3"/>
  <c r="AC1450" i="3"/>
  <c r="AC1705" i="3"/>
  <c r="AC1753" i="3"/>
  <c r="AC1771" i="3"/>
  <c r="AC1826" i="3"/>
  <c r="AC1997" i="3"/>
  <c r="AC2006" i="3"/>
  <c r="AC2009" i="3"/>
  <c r="AC2017" i="3"/>
  <c r="AC2037" i="3"/>
  <c r="AC2069" i="3"/>
  <c r="AC2132" i="3"/>
  <c r="AC2135" i="3"/>
  <c r="AC2244" i="3"/>
  <c r="AC2283" i="3"/>
  <c r="AC2379" i="3"/>
  <c r="AC2444" i="3"/>
  <c r="AC2619" i="3"/>
  <c r="AC2692" i="3"/>
  <c r="AC2697" i="3"/>
  <c r="AC2713" i="3"/>
  <c r="AC2827" i="3"/>
  <c r="AC2906" i="3"/>
  <c r="AC3027" i="3"/>
  <c r="AC3081" i="3"/>
  <c r="AC3082" i="3"/>
  <c r="AC3127" i="3"/>
  <c r="AC3210" i="3"/>
  <c r="AC3212" i="3"/>
  <c r="AC3338" i="3"/>
  <c r="AC3368" i="3"/>
  <c r="AC3398" i="3"/>
  <c r="AC3443" i="3"/>
  <c r="AC3463" i="3"/>
  <c r="AC3487" i="3"/>
  <c r="AC3522" i="3"/>
  <c r="AC3580" i="3"/>
  <c r="AC3596" i="3"/>
  <c r="AC3609" i="3"/>
  <c r="AC3823" i="3"/>
  <c r="AC3842" i="3"/>
  <c r="AC3930" i="3"/>
  <c r="AC4087" i="3"/>
  <c r="AC4124" i="3"/>
  <c r="AC4320" i="3"/>
  <c r="AC4342" i="3"/>
  <c r="AC4494" i="3"/>
  <c r="AD4494" i="3" s="1"/>
  <c r="AC4660" i="3"/>
  <c r="AD4660" i="3" s="1"/>
  <c r="AC4805" i="3"/>
  <c r="AD4805" i="3" s="1"/>
  <c r="AC1515" i="3"/>
  <c r="AC1598" i="3"/>
  <c r="AC2658" i="3"/>
  <c r="AC2988" i="3"/>
  <c r="AC3115" i="3"/>
  <c r="AC3586" i="3"/>
  <c r="AC4023" i="3"/>
  <c r="AC4600" i="3"/>
  <c r="AD4600" i="3" s="1"/>
  <c r="AC51" i="3"/>
  <c r="AC104" i="3"/>
  <c r="AC110" i="3"/>
  <c r="AC226" i="3"/>
  <c r="AC248" i="3"/>
  <c r="AC286" i="3"/>
  <c r="AC320" i="3"/>
  <c r="AC371" i="3"/>
  <c r="AC448" i="3"/>
  <c r="AC547" i="3"/>
  <c r="AC647" i="3"/>
  <c r="AC735" i="3"/>
  <c r="AC866" i="3"/>
  <c r="AC897" i="3"/>
  <c r="AC935" i="3"/>
  <c r="AC940" i="3"/>
  <c r="AC950" i="3"/>
  <c r="AC966" i="3"/>
  <c r="AC975" i="3"/>
  <c r="AC1079" i="3"/>
  <c r="AC1160" i="3"/>
  <c r="AC1351" i="3"/>
  <c r="AC1583" i="3"/>
  <c r="AC1630" i="3"/>
  <c r="AC1662" i="3"/>
  <c r="AC1663" i="3"/>
  <c r="AC1773" i="3"/>
  <c r="AC1787" i="3"/>
  <c r="AC1842" i="3"/>
  <c r="AC1865" i="3"/>
  <c r="AC2092" i="3"/>
  <c r="AC2138" i="3"/>
  <c r="AC2176" i="3"/>
  <c r="AC2196" i="3"/>
  <c r="AC2221" i="3"/>
  <c r="AC2229" i="3"/>
  <c r="AC2276" i="3"/>
  <c r="AC2312" i="3"/>
  <c r="AC2412" i="3"/>
  <c r="AC2424" i="3"/>
  <c r="AC2474" i="3"/>
  <c r="AC2503" i="3"/>
  <c r="AC2593" i="3"/>
  <c r="AC2596" i="3"/>
  <c r="AC2628" i="3"/>
  <c r="AC2654" i="3"/>
  <c r="AC2792" i="3"/>
  <c r="AC2823" i="3"/>
  <c r="AC2825" i="3"/>
  <c r="AC2856" i="3"/>
  <c r="AC2871" i="3"/>
  <c r="AC2921" i="3"/>
  <c r="AC2941" i="3"/>
  <c r="AC3020" i="3"/>
  <c r="AC3044" i="3"/>
  <c r="AC3073" i="3"/>
  <c r="AC3112" i="3"/>
  <c r="AC3154" i="3"/>
  <c r="AC3188" i="3"/>
  <c r="AC3211" i="3"/>
  <c r="AC3219" i="3"/>
  <c r="AC3252" i="3"/>
  <c r="AC3265" i="3"/>
  <c r="AC3325" i="3"/>
  <c r="AC3367" i="3"/>
  <c r="AC3372" i="3"/>
  <c r="AC3381" i="3"/>
  <c r="AC3405" i="3"/>
  <c r="AC3631" i="3"/>
  <c r="AC3648" i="3"/>
  <c r="AC3655" i="3"/>
  <c r="AC3668" i="3"/>
  <c r="AC3692" i="3"/>
  <c r="AC3745" i="3"/>
  <c r="AC3773" i="3"/>
  <c r="AC3865" i="3"/>
  <c r="AC3950" i="3"/>
  <c r="AC4008" i="3"/>
  <c r="AC4059" i="3"/>
  <c r="AC4065" i="3"/>
  <c r="AC4107" i="3"/>
  <c r="AC4217" i="3"/>
  <c r="AC4246" i="3"/>
  <c r="AC4278" i="3"/>
  <c r="AC4333" i="3"/>
  <c r="AC4363" i="3"/>
  <c r="AC4430" i="3"/>
  <c r="AC4461" i="3"/>
  <c r="AD4461" i="3" s="1"/>
  <c r="AC4554" i="3"/>
  <c r="AD4554" i="3" s="1"/>
  <c r="AC4565" i="3"/>
  <c r="AD4565" i="3" s="1"/>
  <c r="AC4622" i="3"/>
  <c r="AD4622" i="3" s="1"/>
  <c r="AC4639" i="3"/>
  <c r="AD4639" i="3" s="1"/>
  <c r="AC4663" i="3"/>
  <c r="AD4663" i="3" s="1"/>
  <c r="AC4688" i="3"/>
  <c r="AD4688" i="3" s="1"/>
  <c r="AC4690" i="3"/>
  <c r="AD4690" i="3" s="1"/>
  <c r="AC4806" i="3"/>
  <c r="AD4806" i="3" s="1"/>
  <c r="AC4826" i="3"/>
  <c r="AD4826" i="3" s="1"/>
  <c r="AC119" i="3"/>
  <c r="AC159" i="3"/>
  <c r="AC166" i="3"/>
  <c r="AC188" i="3"/>
  <c r="AC260" i="3"/>
  <c r="AC390" i="3"/>
  <c r="AC395" i="3"/>
  <c r="AC473" i="3"/>
  <c r="AC511" i="3"/>
  <c r="AC517" i="3"/>
  <c r="AC587" i="3"/>
  <c r="AC655" i="3"/>
  <c r="AC662" i="3"/>
  <c r="AC724" i="3"/>
  <c r="AC743" i="3"/>
  <c r="AC929" i="3"/>
  <c r="AC1038" i="3"/>
  <c r="AC1048" i="3"/>
  <c r="AC1074" i="3"/>
  <c r="AC1126" i="3"/>
  <c r="AC1132" i="3"/>
  <c r="AC1229" i="3"/>
  <c r="AC1272" i="3"/>
  <c r="AC1300" i="3"/>
  <c r="AC1313" i="3"/>
  <c r="AC1335" i="3"/>
  <c r="AC1365" i="3"/>
  <c r="AC1382" i="3"/>
  <c r="AC1485" i="3"/>
  <c r="AC1624" i="3"/>
  <c r="AC1645" i="3"/>
  <c r="AC1683" i="3"/>
  <c r="AC1795" i="3"/>
  <c r="AC1848" i="3"/>
  <c r="AC1861" i="3"/>
  <c r="AC1878" i="3"/>
  <c r="AC1937" i="3"/>
  <c r="AC1966" i="3"/>
  <c r="AC2019" i="3"/>
  <c r="AC2112" i="3"/>
  <c r="AC2145" i="3"/>
  <c r="AC2240" i="3"/>
  <c r="AC2281" i="3"/>
  <c r="AC2419" i="3"/>
  <c r="AC2615" i="3"/>
  <c r="AC2685" i="3"/>
  <c r="AC2707" i="3"/>
  <c r="AC2749" i="3"/>
  <c r="AC2832" i="3"/>
  <c r="AC2900" i="3"/>
  <c r="AC3032" i="3"/>
  <c r="AC3034" i="3"/>
  <c r="AC3070" i="3"/>
  <c r="AC3217" i="3"/>
  <c r="AC3224" i="3"/>
  <c r="AC3457" i="3"/>
  <c r="AC3481" i="3"/>
  <c r="AC3482" i="3"/>
  <c r="AC3664" i="3"/>
  <c r="AC3807" i="3"/>
  <c r="AC3900" i="3"/>
  <c r="AC3934" i="3"/>
  <c r="AC3985" i="3"/>
  <c r="AC4077" i="3"/>
  <c r="AC4126" i="3"/>
  <c r="AC4178" i="3"/>
  <c r="AC4197" i="3"/>
  <c r="AC4207" i="3"/>
  <c r="AC4239" i="3"/>
  <c r="AC4245" i="3"/>
  <c r="AC4313" i="3"/>
  <c r="AC4458" i="3"/>
  <c r="AD4458" i="3" s="1"/>
  <c r="AC4495" i="3"/>
  <c r="AD4495" i="3" s="1"/>
  <c r="AC4585" i="3"/>
  <c r="AD4585" i="3" s="1"/>
  <c r="AC4590" i="3"/>
  <c r="AD4590" i="3" s="1"/>
  <c r="AC4607" i="3"/>
  <c r="AD4607" i="3" s="1"/>
  <c r="AC4637" i="3"/>
  <c r="AD4637" i="3" s="1"/>
  <c r="AC4680" i="3"/>
  <c r="AD4680" i="3" s="1"/>
  <c r="AC4699" i="3"/>
  <c r="AD4699" i="3" s="1"/>
  <c r="AC4712" i="3"/>
  <c r="AD4712" i="3" s="1"/>
  <c r="AC4713" i="3"/>
  <c r="AD4713" i="3" s="1"/>
  <c r="AC4760" i="3"/>
  <c r="AD4760" i="3" s="1"/>
  <c r="AC4787" i="3"/>
  <c r="AD4787" i="3" s="1"/>
  <c r="AC52" i="3"/>
  <c r="AC76" i="3"/>
  <c r="AC91" i="3"/>
  <c r="AC126" i="3"/>
  <c r="AC146" i="3"/>
  <c r="AC196" i="3"/>
  <c r="AC208" i="3"/>
  <c r="AC209" i="3"/>
  <c r="AC230" i="3"/>
  <c r="AC251" i="3"/>
  <c r="AC302" i="3"/>
  <c r="AC314" i="3"/>
  <c r="AC327" i="3"/>
  <c r="AC386" i="3"/>
  <c r="AC388" i="3"/>
  <c r="AC459" i="3"/>
  <c r="AC661" i="3"/>
  <c r="AC737" i="3"/>
  <c r="AC761" i="3"/>
  <c r="AC788" i="3"/>
  <c r="AC839" i="3"/>
  <c r="AC936" i="3"/>
  <c r="AC974" i="3"/>
  <c r="AC1100" i="3"/>
  <c r="AC1165" i="3"/>
  <c r="AC1199" i="3"/>
  <c r="AC1209" i="3"/>
  <c r="AC1277" i="3"/>
  <c r="AC1377" i="3"/>
  <c r="AC1449" i="3"/>
  <c r="AC1469" i="3"/>
  <c r="AC1480" i="3"/>
  <c r="AC1489" i="3"/>
  <c r="AC1527" i="3"/>
  <c r="AC1537" i="3"/>
  <c r="AC1587" i="3"/>
  <c r="AC1597" i="3"/>
  <c r="AC1672" i="3"/>
  <c r="AC1737" i="3"/>
  <c r="AC1797" i="3"/>
  <c r="AC1818" i="3"/>
  <c r="AC1824" i="3"/>
  <c r="AC1849" i="3"/>
  <c r="AC1909" i="3"/>
  <c r="AC1935" i="3"/>
  <c r="AC1943" i="3"/>
  <c r="AC1974" i="3"/>
  <c r="AC2012" i="3"/>
  <c r="AC2094" i="3"/>
  <c r="AC2120" i="3"/>
  <c r="AC2189" i="3"/>
  <c r="AC2354" i="3"/>
  <c r="AC2381" i="3"/>
  <c r="AC2453" i="3"/>
  <c r="AC2454" i="3"/>
  <c r="AC2457" i="3"/>
  <c r="AC2481" i="3"/>
  <c r="AC2487" i="3"/>
  <c r="AC2505" i="3"/>
  <c r="AC2514" i="3"/>
  <c r="AC2521" i="3"/>
  <c r="AC2538" i="3"/>
  <c r="AC2590" i="3"/>
  <c r="AC2611" i="3"/>
  <c r="AC2660" i="3"/>
  <c r="AC2784" i="3"/>
  <c r="AC2970" i="3"/>
  <c r="AC3093" i="3"/>
  <c r="AC3138" i="3"/>
  <c r="AC3161" i="3"/>
  <c r="AC3180" i="3"/>
  <c r="AC3196" i="3"/>
  <c r="AC3198" i="3"/>
  <c r="AC3254" i="3"/>
  <c r="AC3322" i="3"/>
  <c r="AC3354" i="3"/>
  <c r="AC3358" i="3"/>
  <c r="AC3387" i="3"/>
  <c r="AC3409" i="3"/>
  <c r="AC3414" i="3"/>
  <c r="AC3428" i="3"/>
  <c r="AC3551" i="3"/>
  <c r="AC3571" i="3"/>
  <c r="AC3597" i="3"/>
  <c r="AC3704" i="3"/>
  <c r="AC3798" i="3"/>
  <c r="AC3836" i="3"/>
  <c r="AC3878" i="3"/>
  <c r="AC3905" i="3"/>
  <c r="AC4089" i="3"/>
  <c r="AC4130" i="3"/>
  <c r="AC4344" i="3"/>
  <c r="AC4360" i="3"/>
  <c r="AC4457" i="3"/>
  <c r="AD4457" i="3" s="1"/>
  <c r="AC4722" i="3"/>
  <c r="AD4722" i="3" s="1"/>
  <c r="AC4782" i="3"/>
  <c r="AD4782" i="3" s="1"/>
  <c r="AC4789" i="3"/>
  <c r="AD4789" i="3" s="1"/>
  <c r="AC4802" i="3"/>
  <c r="AD4802" i="3" s="1"/>
  <c r="AC158" i="3"/>
  <c r="AC165" i="3"/>
  <c r="AC192" i="3"/>
  <c r="AC262" i="3"/>
  <c r="AC293" i="3"/>
  <c r="AC295" i="3"/>
  <c r="AC342" i="3"/>
  <c r="AC370" i="3"/>
  <c r="AC543" i="3"/>
  <c r="AC565" i="3"/>
  <c r="AC660" i="3"/>
  <c r="AC746" i="3"/>
  <c r="AC816" i="3"/>
  <c r="AC888" i="3"/>
  <c r="AC893" i="3"/>
  <c r="AC922" i="3"/>
  <c r="AC985" i="3"/>
  <c r="AC996" i="3"/>
  <c r="AC1014" i="3"/>
  <c r="AC1181" i="3"/>
  <c r="AC1208" i="3"/>
  <c r="AC1222" i="3"/>
  <c r="AC1276" i="3"/>
  <c r="AC1293" i="3"/>
  <c r="AC1413" i="3"/>
  <c r="AC1512" i="3"/>
  <c r="AC1555" i="3"/>
  <c r="AC1729" i="3"/>
  <c r="AC1741" i="3"/>
  <c r="AC1745" i="3"/>
  <c r="AC1761" i="3"/>
  <c r="AC1886" i="3"/>
  <c r="AC1916" i="3"/>
  <c r="AC1962" i="3"/>
  <c r="AC2024" i="3"/>
  <c r="AC2202" i="3"/>
  <c r="AC2230" i="3"/>
  <c r="AC2294" i="3"/>
  <c r="AC2425" i="3"/>
  <c r="AC2434" i="3"/>
  <c r="AC2510" i="3"/>
  <c r="AC2545" i="3"/>
  <c r="AC2594" i="3"/>
  <c r="AC2613" i="3"/>
  <c r="AC2621" i="3"/>
  <c r="AC2764" i="3"/>
  <c r="AC2795" i="3"/>
  <c r="AC2936" i="3"/>
  <c r="AC2982" i="3"/>
  <c r="AC2991" i="3"/>
  <c r="AC3006" i="3"/>
  <c r="AC3134" i="3"/>
  <c r="AC3174" i="3"/>
  <c r="AC3390" i="3"/>
  <c r="AC3421" i="3"/>
  <c r="AC3467" i="3"/>
  <c r="AC3471" i="3"/>
  <c r="AC3518" i="3"/>
  <c r="AC3575" i="3"/>
  <c r="AC3732" i="3"/>
  <c r="AC3827" i="3"/>
  <c r="AC3906" i="3"/>
  <c r="AC3986" i="3"/>
  <c r="AC4010" i="3"/>
  <c r="AC4049" i="3"/>
  <c r="AC4329" i="3"/>
  <c r="AC4346" i="3"/>
  <c r="AC4364" i="3"/>
  <c r="AC4498" i="3"/>
  <c r="AD4498" i="3" s="1"/>
  <c r="AC4506" i="3"/>
  <c r="AD4506" i="3" s="1"/>
  <c r="AC4765" i="3"/>
  <c r="AD4765" i="3" s="1"/>
  <c r="AC4771" i="3"/>
  <c r="AD4771" i="3" s="1"/>
  <c r="AC4833" i="3"/>
  <c r="AD4833" i="3" s="1"/>
  <c r="AC84" i="3"/>
  <c r="AC136" i="3"/>
  <c r="AC167" i="3"/>
  <c r="AC243" i="3"/>
  <c r="AC403" i="3"/>
  <c r="AC404" i="3"/>
  <c r="AC412" i="3"/>
  <c r="AC467" i="3"/>
  <c r="AC626" i="3"/>
  <c r="AC666" i="3"/>
  <c r="AC701" i="3"/>
  <c r="AC951" i="3"/>
  <c r="AC954" i="3"/>
  <c r="AC1015" i="3"/>
  <c r="AC1108" i="3"/>
  <c r="AC1226" i="3"/>
  <c r="AC1418" i="3"/>
  <c r="AC1419" i="3"/>
  <c r="AC1478" i="3"/>
  <c r="AC1606" i="3"/>
  <c r="AC1613" i="3"/>
  <c r="AC1718" i="3"/>
  <c r="AC1722" i="3"/>
  <c r="AC1908" i="3"/>
  <c r="AC1958" i="3"/>
  <c r="AC2056" i="3"/>
  <c r="AC2109" i="3"/>
  <c r="AC2216" i="3"/>
  <c r="AC2260" i="3"/>
  <c r="AC2315" i="3"/>
  <c r="AC2335" i="3"/>
  <c r="AC2422" i="3"/>
  <c r="AC2437" i="3"/>
  <c r="AC2452" i="3"/>
  <c r="AC2499" i="3"/>
  <c r="AC2524" i="3"/>
  <c r="AC2581" i="3"/>
  <c r="AC2591" i="3"/>
  <c r="AC2675" i="3"/>
  <c r="AC3039" i="3"/>
  <c r="AC3087" i="3"/>
  <c r="AC3125" i="3"/>
  <c r="AC3175" i="3"/>
  <c r="AC3200" i="3"/>
  <c r="AC3223" i="3"/>
  <c r="AC3284" i="3"/>
  <c r="AC3455" i="3"/>
  <c r="AC3608" i="3"/>
  <c r="AC3643" i="3"/>
  <c r="AC3694" i="3"/>
  <c r="AC3702" i="3"/>
  <c r="AC3880" i="3"/>
  <c r="AC3904" i="3"/>
  <c r="AC3909" i="3"/>
  <c r="AC3917" i="3"/>
  <c r="AC3951" i="3"/>
  <c r="AC3954" i="3"/>
  <c r="AC4392" i="3"/>
  <c r="AC4629" i="3"/>
  <c r="AD4629" i="3" s="1"/>
  <c r="AC4671" i="3"/>
  <c r="AD4671" i="3" s="1"/>
  <c r="AC4677" i="3"/>
  <c r="AD4677" i="3" s="1"/>
  <c r="AC4737" i="3"/>
  <c r="AD4737" i="3" s="1"/>
  <c r="AC4739" i="3"/>
  <c r="AD4739" i="3" s="1"/>
  <c r="AC4740" i="3"/>
  <c r="AD4740" i="3" s="1"/>
  <c r="AC4795" i="3"/>
  <c r="AD4795" i="3" s="1"/>
  <c r="AC17" i="3"/>
  <c r="AC68" i="3"/>
  <c r="AC94" i="3"/>
  <c r="AC120" i="3"/>
  <c r="AC176" i="3"/>
  <c r="AC367" i="3"/>
  <c r="AC433" i="3"/>
  <c r="AC442" i="3"/>
  <c r="AC532" i="3"/>
  <c r="AC568" i="3"/>
  <c r="AC591" i="3"/>
  <c r="AC707" i="3"/>
  <c r="AC811" i="3"/>
  <c r="AC851" i="3"/>
  <c r="AC860" i="3"/>
  <c r="AC908" i="3"/>
  <c r="AC911" i="3"/>
  <c r="AC1084" i="3"/>
  <c r="AC1170" i="3"/>
  <c r="AC1232" i="3"/>
  <c r="AC1242" i="3"/>
  <c r="AC1271" i="3"/>
  <c r="AC1328" i="3"/>
  <c r="AC1495" i="3"/>
  <c r="AC1502" i="3"/>
  <c r="AC1546" i="3"/>
  <c r="AC1604" i="3"/>
  <c r="AC1670" i="3"/>
  <c r="AC1701" i="3"/>
  <c r="AC1822" i="3"/>
  <c r="AC1864" i="3"/>
  <c r="AC1887" i="3"/>
  <c r="AC2206" i="3"/>
  <c r="AC2295" i="3"/>
  <c r="AC2355" i="3"/>
  <c r="AC2548" i="3"/>
  <c r="AC2597" i="3"/>
  <c r="AC2751" i="3"/>
  <c r="AC2803" i="3"/>
  <c r="AC2855" i="3"/>
  <c r="AC2860" i="3"/>
  <c r="AC2885" i="3"/>
  <c r="AC2940" i="3"/>
  <c r="AC2979" i="3"/>
  <c r="AC3062" i="3"/>
  <c r="AC3132" i="3"/>
  <c r="AC3204" i="3"/>
  <c r="AC3313" i="3"/>
  <c r="AC3314" i="3"/>
  <c r="AC3376" i="3"/>
  <c r="AC3450" i="3"/>
  <c r="AC3498" i="3"/>
  <c r="AC3506" i="3"/>
  <c r="AC3528" i="3"/>
  <c r="AC3549" i="3"/>
  <c r="AC3555" i="3"/>
  <c r="AC3593" i="3"/>
  <c r="AC3748" i="3"/>
  <c r="AC3848" i="3"/>
  <c r="AC3868" i="3"/>
  <c r="AC3901" i="3"/>
  <c r="AC3965" i="3"/>
  <c r="AC4096" i="3"/>
  <c r="AC4242" i="3"/>
  <c r="AC4366" i="3"/>
  <c r="AC4455" i="3"/>
  <c r="AD4455" i="3" s="1"/>
  <c r="AC4486" i="3"/>
  <c r="AD4486" i="3" s="1"/>
  <c r="AC4611" i="3"/>
  <c r="AD4611" i="3" s="1"/>
  <c r="AC4620" i="3"/>
  <c r="AD4620" i="3" s="1"/>
  <c r="AC4689" i="3"/>
  <c r="AD4689" i="3" s="1"/>
  <c r="AC4758" i="3"/>
  <c r="AD4758" i="3" s="1"/>
  <c r="AC4" i="3"/>
  <c r="AC5" i="3"/>
  <c r="AC13" i="3"/>
  <c r="AC25" i="3"/>
  <c r="AC44" i="3"/>
  <c r="AC55" i="3"/>
  <c r="AC124" i="3"/>
  <c r="AC142" i="3"/>
  <c r="AC227" i="3"/>
  <c r="AC349" i="3"/>
  <c r="AC415" i="3"/>
  <c r="AC431" i="3"/>
  <c r="AC462" i="3"/>
  <c r="AC470" i="3"/>
  <c r="AC540" i="3"/>
  <c r="AC569" i="3"/>
  <c r="AC580" i="3"/>
  <c r="AC604" i="3"/>
  <c r="AC721" i="3"/>
  <c r="AC750" i="3"/>
  <c r="AC778" i="3"/>
  <c r="AC780" i="3"/>
  <c r="AC793" i="3"/>
  <c r="AC802" i="3"/>
  <c r="AC819" i="3"/>
  <c r="AC857" i="3"/>
  <c r="AC868" i="3"/>
  <c r="AC915" i="3"/>
  <c r="AC983" i="3"/>
  <c r="AC1006" i="3"/>
  <c r="AC1044" i="3"/>
  <c r="AC1056" i="3"/>
  <c r="AC1131" i="3"/>
  <c r="AC1133" i="3"/>
  <c r="AC1143" i="3"/>
  <c r="AC1148" i="3"/>
  <c r="AC1236" i="3"/>
  <c r="AC1309" i="3"/>
  <c r="AC1320" i="3"/>
  <c r="AC1323" i="3"/>
  <c r="AC1417" i="3"/>
  <c r="AC1438" i="3"/>
  <c r="AC1483" i="3"/>
  <c r="AC1650" i="3"/>
  <c r="AC1652" i="3"/>
  <c r="AC1725" i="3"/>
  <c r="AC1796" i="3"/>
  <c r="AC1815" i="3"/>
  <c r="AC1827" i="3"/>
  <c r="AC1854" i="3"/>
  <c r="AC1891" i="3"/>
  <c r="AC1898" i="3"/>
  <c r="AC1929" i="3"/>
  <c r="AC2103" i="3"/>
  <c r="AC2117" i="3"/>
  <c r="AC2157" i="3"/>
  <c r="AC2192" i="3"/>
  <c r="AC2288" i="3"/>
  <c r="AC2343" i="3"/>
  <c r="AC2391" i="3"/>
  <c r="AC2463" i="3"/>
  <c r="AC2478" i="3"/>
  <c r="AC2498" i="3"/>
  <c r="AC2507" i="3"/>
  <c r="AC2513" i="3"/>
  <c r="AC2690" i="3"/>
  <c r="AC2719" i="3"/>
  <c r="AC2736" i="3"/>
  <c r="AC2745" i="3"/>
  <c r="AC2780" i="3"/>
  <c r="AC2846" i="3"/>
  <c r="AC3065" i="3"/>
  <c r="AC3341" i="3"/>
  <c r="AC3544" i="3"/>
  <c r="AC3605" i="3"/>
  <c r="AC3657" i="3"/>
  <c r="AC3658" i="3"/>
  <c r="AC3673" i="3"/>
  <c r="AC3737" i="3"/>
  <c r="AC3763" i="3"/>
  <c r="AC3792" i="3"/>
  <c r="AC3815" i="3"/>
  <c r="AC3935" i="3"/>
  <c r="AC3943" i="3"/>
  <c r="AC4012" i="3"/>
  <c r="AC4013" i="3"/>
  <c r="AC4016" i="3"/>
  <c r="AC4018" i="3"/>
  <c r="AC4037" i="3"/>
  <c r="AC4045" i="3"/>
  <c r="AC4102" i="3"/>
  <c r="AC4220" i="3"/>
  <c r="AC4232" i="3"/>
  <c r="AC4250" i="3"/>
  <c r="AC4253" i="3"/>
  <c r="AC4254" i="3"/>
  <c r="AC4286" i="3"/>
  <c r="AC4292" i="3"/>
  <c r="AC4293" i="3"/>
  <c r="AC4305" i="3"/>
  <c r="AC4352" i="3"/>
  <c r="AC4353" i="3"/>
  <c r="AC4408" i="3"/>
  <c r="AC4444" i="3"/>
  <c r="AD4444" i="3" s="1"/>
  <c r="AC4473" i="3"/>
  <c r="AD4473" i="3" s="1"/>
  <c r="AC4546" i="3"/>
  <c r="AD4546" i="3" s="1"/>
  <c r="AC4561" i="3"/>
  <c r="AD4561" i="3" s="1"/>
  <c r="AC4569" i="3"/>
  <c r="AD4569" i="3" s="1"/>
  <c r="AC4584" i="3"/>
  <c r="AD4584" i="3" s="1"/>
  <c r="AC4602" i="3"/>
  <c r="AD4602" i="3" s="1"/>
  <c r="AC4617" i="3"/>
  <c r="AD4617" i="3" s="1"/>
  <c r="AC4635" i="3"/>
  <c r="AD4635" i="3" s="1"/>
  <c r="AC4695" i="3"/>
  <c r="AD4695" i="3" s="1"/>
  <c r="AC4767" i="3"/>
  <c r="AD4767" i="3" s="1"/>
  <c r="AC4777" i="3"/>
  <c r="AD4777" i="3" s="1"/>
  <c r="AC4824" i="3"/>
  <c r="AD4824" i="3" s="1"/>
  <c r="AC34" i="3"/>
  <c r="AC154" i="3"/>
  <c r="AC197" i="3"/>
  <c r="AC240" i="3"/>
  <c r="AC268" i="3"/>
  <c r="AC309" i="3"/>
  <c r="AC538" i="3"/>
  <c r="AC551" i="3"/>
  <c r="AC567" i="3"/>
  <c r="AC685" i="3"/>
  <c r="AC760" i="3"/>
  <c r="AC764" i="3"/>
  <c r="AC770" i="3"/>
  <c r="AC876" i="3"/>
  <c r="AC988" i="3"/>
  <c r="AC1005" i="3"/>
  <c r="AC1017" i="3"/>
  <c r="AC1025" i="3"/>
  <c r="AC1055" i="3"/>
  <c r="AC1061" i="3"/>
  <c r="AC1193" i="3"/>
  <c r="AC1206" i="3"/>
  <c r="AC1216" i="3"/>
  <c r="AC1217" i="3"/>
  <c r="AC1291" i="3"/>
  <c r="AC1294" i="3"/>
  <c r="AC1371" i="3"/>
  <c r="AC1401" i="3"/>
  <c r="AC1402" i="3"/>
  <c r="AC1467" i="3"/>
  <c r="AC1472" i="3"/>
  <c r="AC1482" i="3"/>
  <c r="AC1488" i="3"/>
  <c r="AC1496" i="3"/>
  <c r="AC1505" i="3"/>
  <c r="AC1541" i="3"/>
  <c r="AC1562" i="3"/>
  <c r="AC1596" i="3"/>
  <c r="AC1709" i="3"/>
  <c r="AC1715" i="3"/>
  <c r="AC1728" i="3"/>
  <c r="AC1743" i="3"/>
  <c r="AC1776" i="3"/>
  <c r="AC1811" i="3"/>
  <c r="AC1882" i="3"/>
  <c r="AC1892" i="3"/>
  <c r="AC1894" i="3"/>
  <c r="AC1896" i="3"/>
  <c r="AC1938" i="3"/>
  <c r="AC1965" i="3"/>
  <c r="AC1975" i="3"/>
  <c r="AC2001" i="3"/>
  <c r="AC2055" i="3"/>
  <c r="AC2081" i="3"/>
  <c r="AC2153" i="3"/>
  <c r="AC2158" i="3"/>
  <c r="AC2175" i="3"/>
  <c r="AC2183" i="3"/>
  <c r="AC2187" i="3"/>
  <c r="AC2219" i="3"/>
  <c r="AC2345" i="3"/>
  <c r="AC2349" i="3"/>
  <c r="AC2389" i="3"/>
  <c r="AC2409" i="3"/>
  <c r="AC2440" i="3"/>
  <c r="AC2446" i="3"/>
  <c r="AC2469" i="3"/>
  <c r="AC2471" i="3"/>
  <c r="AC2500" i="3"/>
  <c r="AC2583" i="3"/>
  <c r="AC2623" i="3"/>
  <c r="AC2649" i="3"/>
  <c r="AC2672" i="3"/>
  <c r="AC2684" i="3"/>
  <c r="AC2700" i="3"/>
  <c r="AC2709" i="3"/>
  <c r="AC2848" i="3"/>
  <c r="AC2853" i="3"/>
  <c r="AC2995" i="3"/>
  <c r="AC3029" i="3"/>
  <c r="AC3069" i="3"/>
  <c r="AC3100" i="3"/>
  <c r="AC3199" i="3"/>
  <c r="AC3249" i="3"/>
  <c r="AC3258" i="3"/>
  <c r="AC3270" i="3"/>
  <c r="AC3300" i="3"/>
  <c r="AC3395" i="3"/>
  <c r="AC3445" i="3"/>
  <c r="AC3525" i="3"/>
  <c r="AC3636" i="3"/>
  <c r="AC3697" i="3"/>
  <c r="AC3714" i="3"/>
  <c r="AC3764" i="3"/>
  <c r="AC3819" i="3"/>
  <c r="AC3843" i="3"/>
  <c r="AC3850" i="3"/>
  <c r="AC3853" i="3"/>
  <c r="AC3855" i="3"/>
  <c r="AC3864" i="3"/>
  <c r="AC3883" i="3"/>
  <c r="AC3885" i="3"/>
  <c r="AC3964" i="3"/>
  <c r="AC3975" i="3"/>
  <c r="AC3995" i="3"/>
  <c r="AC4026" i="3"/>
  <c r="AC4035" i="3"/>
  <c r="AC4127" i="3"/>
  <c r="AC4164" i="3"/>
  <c r="AC4182" i="3"/>
  <c r="AC4230" i="3"/>
  <c r="AC4365" i="3"/>
  <c r="AC4413" i="3"/>
  <c r="AC4503" i="3"/>
  <c r="AD4503" i="3" s="1"/>
  <c r="AC4599" i="3"/>
  <c r="AD4599" i="3" s="1"/>
  <c r="AC4608" i="3"/>
  <c r="AD4608" i="3" s="1"/>
  <c r="AC4650" i="3"/>
  <c r="AD4650" i="3" s="1"/>
  <c r="AC4662" i="3"/>
  <c r="AD4662" i="3" s="1"/>
  <c r="AC4827" i="3"/>
  <c r="AD4827" i="3" s="1"/>
  <c r="AC32" i="3"/>
  <c r="AC35" i="3"/>
  <c r="AC37" i="3"/>
  <c r="AC88" i="3"/>
  <c r="AC108" i="3"/>
  <c r="AC122" i="3"/>
  <c r="AC184" i="3"/>
  <c r="AC211" i="3"/>
  <c r="AC223" i="3"/>
  <c r="AC272" i="3"/>
  <c r="AC283" i="3"/>
  <c r="AC287" i="3"/>
  <c r="AC304" i="3"/>
  <c r="AC329" i="3"/>
  <c r="AC340" i="3"/>
  <c r="AC354" i="3"/>
  <c r="AC414" i="3"/>
  <c r="AC425" i="3"/>
  <c r="AC430" i="3"/>
  <c r="AC460" i="3"/>
  <c r="AC464" i="3"/>
  <c r="AC469" i="3"/>
  <c r="AC484" i="3"/>
  <c r="AC575" i="3"/>
  <c r="AC586" i="3"/>
  <c r="AC598" i="3"/>
  <c r="AC689" i="3"/>
  <c r="AC729" i="3"/>
  <c r="AC805" i="3"/>
  <c r="AC874" i="3"/>
  <c r="AC1078" i="3"/>
  <c r="AC1080" i="3"/>
  <c r="AC1081" i="3"/>
  <c r="AC1092" i="3"/>
  <c r="AC1102" i="3"/>
  <c r="AC1103" i="3"/>
  <c r="AC1115" i="3"/>
  <c r="AC1176" i="3"/>
  <c r="AC1308" i="3"/>
  <c r="AC1339" i="3"/>
  <c r="AC1340" i="3"/>
  <c r="AC1352" i="3"/>
  <c r="AC1374" i="3"/>
  <c r="AC1386" i="3"/>
  <c r="AC1404" i="3"/>
  <c r="AC1414" i="3"/>
  <c r="AC1432" i="3"/>
  <c r="AC1464" i="3"/>
  <c r="AC1476" i="3"/>
  <c r="AC1497" i="3"/>
  <c r="AC1503" i="3"/>
  <c r="AC1525" i="3"/>
  <c r="AC1567" i="3"/>
  <c r="AC1612" i="3"/>
  <c r="AC1623" i="3"/>
  <c r="AC1653" i="3"/>
  <c r="AC1687" i="3"/>
  <c r="AC1699" i="3"/>
  <c r="AC1716" i="3"/>
  <c r="AC1720" i="3"/>
  <c r="AC1747" i="3"/>
  <c r="AC1756" i="3"/>
  <c r="AC1808" i="3"/>
  <c r="AC1817" i="3"/>
  <c r="AC1855" i="3"/>
  <c r="AC1918" i="3"/>
  <c r="AC1940" i="3"/>
  <c r="AC1944" i="3"/>
  <c r="AC1952" i="3"/>
  <c r="AC1955" i="3"/>
  <c r="AC1957" i="3"/>
  <c r="AC1993" i="3"/>
  <c r="AC2036" i="3"/>
  <c r="AC2053" i="3"/>
  <c r="AC2058" i="3"/>
  <c r="AC2070" i="3"/>
  <c r="AC2080" i="3"/>
  <c r="AC2083" i="3"/>
  <c r="AC2134" i="3"/>
  <c r="AC2147" i="3"/>
  <c r="AC2246" i="3"/>
  <c r="AC2279" i="3"/>
  <c r="AC2309" i="3"/>
  <c r="AC2352" i="3"/>
  <c r="AC2395" i="3"/>
  <c r="AC2435" i="3"/>
  <c r="AC2464" i="3"/>
  <c r="AC2479" i="3"/>
  <c r="AC2516" i="3"/>
  <c r="AC2550" i="3"/>
  <c r="AC2646" i="3"/>
  <c r="AC2652" i="3"/>
  <c r="AC2668" i="3"/>
  <c r="AC2734" i="3"/>
  <c r="AC2763" i="3"/>
  <c r="AC2778" i="3"/>
  <c r="AC2817" i="3"/>
  <c r="AC2822" i="3"/>
  <c r="AC2865" i="3"/>
  <c r="AC2911" i="3"/>
  <c r="AC2938" i="3"/>
  <c r="AC2963" i="3"/>
  <c r="AC2985" i="3"/>
  <c r="AC3004" i="3"/>
  <c r="AC3007" i="3"/>
  <c r="AC3131" i="3"/>
  <c r="AC3160" i="3"/>
  <c r="AC3164" i="3"/>
  <c r="AC3173" i="3"/>
  <c r="AC3227" i="3"/>
  <c r="AC3262" i="3"/>
  <c r="AC3301" i="3"/>
  <c r="AC3304" i="3"/>
  <c r="AC3332" i="3"/>
  <c r="AC3365" i="3"/>
  <c r="AC3388" i="3"/>
  <c r="AC3426" i="3"/>
  <c r="AC3513" i="3"/>
  <c r="AC3532" i="3"/>
  <c r="AC3583" i="3"/>
  <c r="AC3585" i="3"/>
  <c r="AC3595" i="3"/>
  <c r="AC3662" i="3"/>
  <c r="AC3683" i="3"/>
  <c r="AC3712" i="3"/>
  <c r="AC3719" i="3"/>
  <c r="AC3839" i="3"/>
  <c r="AC3971" i="3"/>
  <c r="AC3994" i="3"/>
  <c r="AC4046" i="3"/>
  <c r="AC4055" i="3"/>
  <c r="AC4058" i="3"/>
  <c r="AC4060" i="3"/>
  <c r="AC4072" i="3"/>
  <c r="AC4082" i="3"/>
  <c r="AC4086" i="3"/>
  <c r="AC4101" i="3"/>
  <c r="AC4109" i="3"/>
  <c r="AC4118" i="3"/>
  <c r="AC4161" i="3"/>
  <c r="AC4201" i="3"/>
  <c r="AC4214" i="3"/>
  <c r="AC4216" i="3"/>
  <c r="AC4225" i="3"/>
  <c r="AC4234" i="3"/>
  <c r="AC4249" i="3"/>
  <c r="AC4263" i="3"/>
  <c r="AC4283" i="3"/>
  <c r="AC4290" i="3"/>
  <c r="AC4327" i="3"/>
  <c r="AC4371" i="3"/>
  <c r="AC4442" i="3"/>
  <c r="AD4442" i="3" s="1"/>
  <c r="AC4445" i="3"/>
  <c r="AD4445" i="3" s="1"/>
  <c r="AC4460" i="3"/>
  <c r="AD4460" i="3" s="1"/>
  <c r="AC4464" i="3"/>
  <c r="AD4464" i="3" s="1"/>
  <c r="AC4481" i="3"/>
  <c r="AD4481" i="3" s="1"/>
  <c r="AC4499" i="3"/>
  <c r="AD4499" i="3" s="1"/>
  <c r="AC4500" i="3"/>
  <c r="AD4500" i="3" s="1"/>
  <c r="AC4532" i="3"/>
  <c r="AD4532" i="3" s="1"/>
  <c r="AC4536" i="3"/>
  <c r="AD4536" i="3" s="1"/>
  <c r="AC4542" i="3"/>
  <c r="AD4542" i="3" s="1"/>
  <c r="AC4549" i="3"/>
  <c r="AD4549" i="3" s="1"/>
  <c r="AC4582" i="3"/>
  <c r="AD4582" i="3" s="1"/>
  <c r="AC4589" i="3"/>
  <c r="AD4589" i="3" s="1"/>
  <c r="AC4601" i="3"/>
  <c r="AD4601" i="3" s="1"/>
  <c r="AC4610" i="3"/>
  <c r="AD4610" i="3" s="1"/>
  <c r="AC4627" i="3"/>
  <c r="AD4627" i="3" s="1"/>
  <c r="AC4649" i="3"/>
  <c r="AD4649" i="3" s="1"/>
  <c r="AC4655" i="3"/>
  <c r="AD4655" i="3" s="1"/>
  <c r="AC4673" i="3"/>
  <c r="AD4673" i="3" s="1"/>
  <c r="AC4704" i="3"/>
  <c r="AD4704" i="3" s="1"/>
  <c r="AC4719" i="3"/>
  <c r="AD4719" i="3" s="1"/>
  <c r="AC4773" i="3"/>
  <c r="AD4773" i="3" s="1"/>
  <c r="AC4783" i="3"/>
  <c r="AD4783" i="3" s="1"/>
  <c r="AC40" i="3"/>
  <c r="AC49" i="3"/>
  <c r="AC79" i="3"/>
  <c r="AC85" i="3"/>
  <c r="AC96" i="3"/>
  <c r="AC210" i="3"/>
  <c r="AC267" i="3"/>
  <c r="AC306" i="3"/>
  <c r="AC311" i="3"/>
  <c r="AC322" i="3"/>
  <c r="AC356" i="3"/>
  <c r="AC381" i="3"/>
  <c r="AC436" i="3"/>
  <c r="AC471" i="3"/>
  <c r="AC475" i="3"/>
  <c r="AC481" i="3"/>
  <c r="AC578" i="3"/>
  <c r="AC596" i="3"/>
  <c r="AC664" i="3"/>
  <c r="AC668" i="3"/>
  <c r="AC683" i="3"/>
  <c r="AC714" i="3"/>
  <c r="AC728" i="3"/>
  <c r="AC734" i="3"/>
  <c r="AC757" i="3"/>
  <c r="AC822" i="3"/>
  <c r="AC906" i="3"/>
  <c r="AC979" i="3"/>
  <c r="AC998" i="3"/>
  <c r="AC1057" i="3"/>
  <c r="AC1116" i="3"/>
  <c r="AC1117" i="3"/>
  <c r="AC1125" i="3"/>
  <c r="AC1150" i="3"/>
  <c r="AC1166" i="3"/>
  <c r="AC1198" i="3"/>
  <c r="AC1251" i="3"/>
  <c r="AC1258" i="3"/>
  <c r="AC1348" i="3"/>
  <c r="AC1388" i="3"/>
  <c r="AC1410" i="3"/>
  <c r="AC1437" i="3"/>
  <c r="AC1443" i="3"/>
  <c r="AC1468" i="3"/>
  <c r="AC1521" i="3"/>
  <c r="AC1625" i="3"/>
  <c r="AC1626" i="3"/>
  <c r="AC1628" i="3"/>
  <c r="AC1669" i="3"/>
  <c r="AC1673" i="3"/>
  <c r="AC1775" i="3"/>
  <c r="AC1778" i="3"/>
  <c r="AC1779" i="3"/>
  <c r="AC1816" i="3"/>
  <c r="AC1841" i="3"/>
  <c r="AC1844" i="3"/>
  <c r="AC1852" i="3"/>
  <c r="AC1914" i="3"/>
  <c r="AC1983" i="3"/>
  <c r="AC1990" i="3"/>
  <c r="AC1994" i="3"/>
  <c r="AC2047" i="3"/>
  <c r="AC2075" i="3"/>
  <c r="AC2164" i="3"/>
  <c r="AC2201" i="3"/>
  <c r="AC2284" i="3"/>
  <c r="AC2331" i="3"/>
  <c r="AC2362" i="3"/>
  <c r="AC2363" i="3"/>
  <c r="AC2365" i="3"/>
  <c r="AC2388" i="3"/>
  <c r="AC2401" i="3"/>
  <c r="AC2408" i="3"/>
  <c r="AC2415" i="3"/>
  <c r="AC2449" i="3"/>
  <c r="AC2455" i="3"/>
  <c r="AC2466" i="3"/>
  <c r="AC2569" i="3"/>
  <c r="AC2574" i="3"/>
  <c r="AC2582" i="3"/>
  <c r="AC2624" i="3"/>
  <c r="AC2637" i="3"/>
  <c r="AC2740" i="3"/>
  <c r="AC2760" i="3"/>
  <c r="AC2762" i="3"/>
  <c r="AC2861" i="3"/>
  <c r="AC2913" i="3"/>
  <c r="AC2923" i="3"/>
  <c r="AC2973" i="3"/>
  <c r="AC3035" i="3"/>
  <c r="AC3066" i="3"/>
  <c r="AC3084" i="3"/>
  <c r="AC3097" i="3"/>
  <c r="AC3185" i="3"/>
  <c r="AC3225" i="3"/>
  <c r="AC3243" i="3"/>
  <c r="AC3274" i="3"/>
  <c r="AC3278" i="3"/>
  <c r="AC3348" i="3"/>
  <c r="AC3351" i="3"/>
  <c r="AC3436" i="3"/>
  <c r="AC3470" i="3"/>
  <c r="AC3504" i="3"/>
  <c r="AC3566" i="3"/>
  <c r="AC3570" i="3"/>
  <c r="AC3813" i="3"/>
  <c r="AC3820" i="3"/>
  <c r="AC3872" i="3"/>
  <c r="AC3970" i="3"/>
  <c r="AC4043" i="3"/>
  <c r="AC4064" i="3"/>
  <c r="AC4071" i="3"/>
  <c r="AC4100" i="3"/>
  <c r="AC4136" i="3"/>
  <c r="AC4168" i="3"/>
  <c r="AC4203" i="3"/>
  <c r="AC4299" i="3"/>
  <c r="AC4409" i="3"/>
  <c r="AC4465" i="3"/>
  <c r="AD4465" i="3" s="1"/>
  <c r="AC4507" i="3"/>
  <c r="AD4507" i="3" s="1"/>
  <c r="AC4521" i="3"/>
  <c r="AD4521" i="3" s="1"/>
  <c r="AC4557" i="3"/>
  <c r="AD4557" i="3" s="1"/>
  <c r="AC4586" i="3"/>
  <c r="AD4586" i="3" s="1"/>
  <c r="AC4647" i="3"/>
  <c r="AD4647" i="3" s="1"/>
  <c r="AC4653" i="3"/>
  <c r="AD4653" i="3" s="1"/>
  <c r="AC4678" i="3"/>
  <c r="AD4678" i="3" s="1"/>
  <c r="AC4700" i="3"/>
  <c r="AD4700" i="3" s="1"/>
  <c r="AC4731" i="3"/>
  <c r="AD4731" i="3" s="1"/>
  <c r="AC4776" i="3"/>
  <c r="AD4776" i="3" s="1"/>
  <c r="AC4797" i="3"/>
  <c r="AD4797" i="3" s="1"/>
  <c r="AC9" i="3"/>
  <c r="AC125" i="3"/>
  <c r="AC140" i="3"/>
  <c r="AC364" i="3"/>
  <c r="AC413" i="3"/>
  <c r="AC496" i="3"/>
  <c r="AC769" i="3"/>
  <c r="AC836" i="3"/>
  <c r="AC852" i="3"/>
  <c r="AC883" i="3"/>
  <c r="AC977" i="3"/>
  <c r="AC1090" i="3"/>
  <c r="AC1164" i="3"/>
  <c r="AC1173" i="3"/>
  <c r="AC1201" i="3"/>
  <c r="AC1289" i="3"/>
  <c r="AC1326" i="3"/>
  <c r="AC1366" i="3"/>
  <c r="AC1385" i="3"/>
  <c r="AC1588" i="3"/>
  <c r="AC1619" i="3"/>
  <c r="AC1634" i="3"/>
  <c r="AC1686" i="3"/>
  <c r="AC1760" i="3"/>
  <c r="AC1770" i="3"/>
  <c r="AC1836" i="3"/>
  <c r="AC1840" i="3"/>
  <c r="AC1930" i="3"/>
  <c r="AC1941" i="3"/>
  <c r="AC1982" i="3"/>
  <c r="AC2020" i="3"/>
  <c r="AC2078" i="3"/>
  <c r="AC2131" i="3"/>
  <c r="AC2213" i="3"/>
  <c r="AC2512" i="3"/>
  <c r="AC2519" i="3"/>
  <c r="AC2533" i="3"/>
  <c r="AC2541" i="3"/>
  <c r="AC2559" i="3"/>
  <c r="AC2669" i="3"/>
  <c r="AC2844" i="3"/>
  <c r="AC2862" i="3"/>
  <c r="AC2882" i="3"/>
  <c r="AC3050" i="3"/>
  <c r="AC3116" i="3"/>
  <c r="AC3178" i="3"/>
  <c r="AC3255" i="3"/>
  <c r="AC3339" i="3"/>
  <c r="AC3377" i="3"/>
  <c r="AC3383" i="3"/>
  <c r="AC3410" i="3"/>
  <c r="AC3468" i="3"/>
  <c r="AC3499" i="3"/>
  <c r="AC3520" i="3"/>
  <c r="AC3624" i="3"/>
  <c r="AC3656" i="3"/>
  <c r="AC3672" i="3"/>
  <c r="AC3703" i="3"/>
  <c r="AC3860" i="3"/>
  <c r="AC3957" i="3"/>
  <c r="AC4005" i="3"/>
  <c r="AC4040" i="3"/>
  <c r="AC4047" i="3"/>
  <c r="AC4063" i="3"/>
  <c r="AC4084" i="3"/>
  <c r="AC4112" i="3"/>
  <c r="AC4121" i="3"/>
  <c r="AC4281" i="3"/>
  <c r="AC4291" i="3"/>
  <c r="AC4310" i="3"/>
  <c r="AC4354" i="3"/>
  <c r="AC4489" i="3"/>
  <c r="AD4489" i="3" s="1"/>
  <c r="AC4556" i="3"/>
  <c r="AD4556" i="3" s="1"/>
  <c r="AC4571" i="3"/>
  <c r="AD4571" i="3" s="1"/>
  <c r="AC4576" i="3"/>
  <c r="AD4576" i="3" s="1"/>
  <c r="AC4715" i="3"/>
  <c r="AD4715" i="3" s="1"/>
  <c r="AC4743" i="3"/>
  <c r="AD4743" i="3" s="1"/>
  <c r="AC4752" i="3"/>
  <c r="AD4752" i="3" s="1"/>
  <c r="AC109" i="3"/>
  <c r="AC161" i="3"/>
  <c r="AC186" i="3"/>
  <c r="AC435" i="3"/>
  <c r="AC455" i="3"/>
  <c r="AC457" i="3"/>
  <c r="AC477" i="3"/>
  <c r="AC503" i="3"/>
  <c r="AC554" i="3"/>
  <c r="AC603" i="3"/>
  <c r="AC639" i="3"/>
  <c r="AC665" i="3"/>
  <c r="AC776" i="3"/>
  <c r="AC958" i="3"/>
  <c r="AC1062" i="3"/>
  <c r="AC1136" i="3"/>
  <c r="AC1252" i="3"/>
  <c r="AC1263" i="3"/>
  <c r="AC1269" i="3"/>
  <c r="AC1396" i="3"/>
  <c r="AC1474" i="3"/>
  <c r="AC1585" i="3"/>
  <c r="AC1621" i="3"/>
  <c r="AC1676" i="3"/>
  <c r="AC1693" i="3"/>
  <c r="AC1702" i="3"/>
  <c r="AC1711" i="3"/>
  <c r="AC1798" i="3"/>
  <c r="AC2178" i="3"/>
  <c r="AC2237" i="3"/>
  <c r="AC2314" i="3"/>
  <c r="AC2339" i="3"/>
  <c r="AC2372" i="3"/>
  <c r="AC2439" i="3"/>
  <c r="AC2567" i="3"/>
  <c r="AC2629" i="3"/>
  <c r="AC2702" i="3"/>
  <c r="AC2770" i="3"/>
  <c r="AC2790" i="3"/>
  <c r="AC3000" i="3"/>
  <c r="AC3018" i="3"/>
  <c r="AC3024" i="3"/>
  <c r="AC3090" i="3"/>
  <c r="AC3172" i="3"/>
  <c r="AC3375" i="3"/>
  <c r="AC3447" i="3"/>
  <c r="AC3505" i="3"/>
  <c r="AC3628" i="3"/>
  <c r="AC3715" i="3"/>
  <c r="AC3728" i="3"/>
  <c r="AC3735" i="3"/>
  <c r="AC3790" i="3"/>
  <c r="AC3907" i="3"/>
  <c r="AC3952" i="3"/>
  <c r="AC3998" i="3"/>
  <c r="AC4074" i="3"/>
  <c r="AC4200" i="3"/>
  <c r="AC4227" i="3"/>
  <c r="AC4244" i="3"/>
  <c r="AC4297" i="3"/>
  <c r="AC4314" i="3"/>
  <c r="AC4322" i="3"/>
  <c r="AC4331" i="3"/>
  <c r="AC4418" i="3"/>
  <c r="AC4505" i="3"/>
  <c r="AD4505" i="3" s="1"/>
  <c r="AC4564" i="3"/>
  <c r="AD4564" i="3" s="1"/>
  <c r="AC4568" i="3"/>
  <c r="AD4568" i="3" s="1"/>
  <c r="AC4711" i="3"/>
  <c r="AD4711" i="3" s="1"/>
  <c r="AC4753" i="3"/>
  <c r="AD4753" i="3" s="1"/>
  <c r="AC765" i="3"/>
  <c r="AC1506" i="3"/>
  <c r="AC2993" i="3"/>
  <c r="AC3155" i="3"/>
  <c r="AC4437" i="3"/>
  <c r="AC20" i="3"/>
  <c r="AC101" i="3"/>
  <c r="AC160" i="3"/>
  <c r="AC274" i="3"/>
  <c r="AC359" i="3"/>
  <c r="AC380" i="3"/>
  <c r="AC440" i="3"/>
  <c r="AC451" i="3"/>
  <c r="AC559" i="3"/>
  <c r="AC675" i="3"/>
  <c r="AC870" i="3"/>
  <c r="AC914" i="3"/>
  <c r="AC948" i="3"/>
  <c r="AC1089" i="3"/>
  <c r="AC1142" i="3"/>
  <c r="AC1213" i="3"/>
  <c r="AC1215" i="3"/>
  <c r="AC1297" i="3"/>
  <c r="AC1361" i="3"/>
  <c r="AC1370" i="3"/>
  <c r="AC1399" i="3"/>
  <c r="AC1456" i="3"/>
  <c r="AC1563" i="3"/>
  <c r="AC1586" i="3"/>
  <c r="AC1661" i="3"/>
  <c r="AC1679" i="3"/>
  <c r="AC1684" i="3"/>
  <c r="AC1758" i="3"/>
  <c r="AC1831" i="3"/>
  <c r="AC1866" i="3"/>
  <c r="AC1873" i="3"/>
  <c r="AC1879" i="3"/>
  <c r="AC1885" i="3"/>
  <c r="AC1889" i="3"/>
  <c r="AC2060" i="3"/>
  <c r="AC2090" i="3"/>
  <c r="AC2151" i="3"/>
  <c r="AC2200" i="3"/>
  <c r="AC2285" i="3"/>
  <c r="AC2676" i="3"/>
  <c r="AC2715" i="3"/>
  <c r="AC2732" i="3"/>
  <c r="AC2786" i="3"/>
  <c r="AC2802" i="3"/>
  <c r="AC2872" i="3"/>
  <c r="AC3037" i="3"/>
  <c r="AC3177" i="3"/>
  <c r="AC3234" i="3"/>
  <c r="AC3290" i="3"/>
  <c r="AC3293" i="3"/>
  <c r="AC3420" i="3"/>
  <c r="AC3429" i="3"/>
  <c r="AC3434" i="3"/>
  <c r="AC3685" i="3"/>
  <c r="AC3709" i="3"/>
  <c r="AC3744" i="3"/>
  <c r="AC3838" i="3"/>
  <c r="AC3876" i="3"/>
  <c r="AC3881" i="3"/>
  <c r="AC3896" i="3"/>
  <c r="AC4050" i="3"/>
  <c r="AC4097" i="3"/>
  <c r="AC4163" i="3"/>
  <c r="AC4175" i="3"/>
  <c r="AC4273" i="3"/>
  <c r="AC4307" i="3"/>
  <c r="AC4404" i="3"/>
  <c r="AC4423" i="3"/>
  <c r="AC4432" i="3"/>
  <c r="AC4493" i="3"/>
  <c r="AD4493" i="3" s="1"/>
  <c r="AC4559" i="3"/>
  <c r="AD4559" i="3" s="1"/>
  <c r="AC4588" i="3"/>
  <c r="AD4588" i="3" s="1"/>
  <c r="AC4692" i="3"/>
  <c r="AD4692" i="3" s="1"/>
  <c r="AC4724" i="3"/>
  <c r="AD4724" i="3" s="1"/>
  <c r="AC4730" i="3"/>
  <c r="AD4730" i="3" s="1"/>
  <c r="AC4732" i="3"/>
  <c r="AD4732" i="3" s="1"/>
  <c r="AC93" i="3"/>
  <c r="AC100" i="3"/>
  <c r="AC121" i="3"/>
  <c r="AC127" i="3"/>
  <c r="AC252" i="3"/>
  <c r="AC316" i="3"/>
  <c r="AC541" i="3"/>
  <c r="AC611" i="3"/>
  <c r="AC614" i="3"/>
  <c r="AC656" i="3"/>
  <c r="AC896" i="3"/>
  <c r="AC907" i="3"/>
  <c r="AC952" i="3"/>
  <c r="AC989" i="3"/>
  <c r="AC1066" i="3"/>
  <c r="AC1069" i="3"/>
  <c r="AC1111" i="3"/>
  <c r="AC1155" i="3"/>
  <c r="AC1207" i="3"/>
  <c r="AC1296" i="3"/>
  <c r="AC1343" i="3"/>
  <c r="AC1347" i="3"/>
  <c r="AC1357" i="3"/>
  <c r="AC1405" i="3"/>
  <c r="AC1424" i="3"/>
  <c r="AC1524" i="3"/>
  <c r="AC1578" i="3"/>
  <c r="AC1593" i="3"/>
  <c r="AC1610" i="3"/>
  <c r="AC1777" i="3"/>
  <c r="AC1782" i="3"/>
  <c r="AC1794" i="3"/>
  <c r="AC1875" i="3"/>
  <c r="AC1900" i="3"/>
  <c r="AC1969" i="3"/>
  <c r="AC2008" i="3"/>
  <c r="AC2022" i="3"/>
  <c r="AC2087" i="3"/>
  <c r="AC2154" i="3"/>
  <c r="AC2245" i="3"/>
  <c r="AC2289" i="3"/>
  <c r="AC2367" i="3"/>
  <c r="AC2462" i="3"/>
  <c r="AC2497" i="3"/>
  <c r="AC2549" i="3"/>
  <c r="AC2595" i="3"/>
  <c r="AC2598" i="3"/>
  <c r="AC2617" i="3"/>
  <c r="AC2682" i="3"/>
  <c r="AC2771" i="3"/>
  <c r="AC2775" i="3"/>
  <c r="AC2801" i="3"/>
  <c r="AC2981" i="3"/>
  <c r="AC3101" i="3"/>
  <c r="AC3107" i="3"/>
  <c r="AC3129" i="3"/>
  <c r="AC3139" i="3"/>
  <c r="AC3141" i="3"/>
  <c r="AC3209" i="3"/>
  <c r="AC3245" i="3"/>
  <c r="AC3296" i="3"/>
  <c r="AC3623" i="3"/>
  <c r="AC3706" i="3"/>
  <c r="AC3780" i="3"/>
  <c r="AC3856" i="3"/>
  <c r="AC3953" i="3"/>
  <c r="AC4025" i="3"/>
  <c r="AC4070" i="3"/>
  <c r="AC4162" i="3"/>
  <c r="AC4179" i="3"/>
  <c r="AC4236" i="3"/>
  <c r="AC4272" i="3"/>
  <c r="AC4412" i="3"/>
  <c r="AC4475" i="3"/>
  <c r="AD4475" i="3" s="1"/>
  <c r="AC4501" i="3"/>
  <c r="AD4501" i="3" s="1"/>
  <c r="AC4541" i="3"/>
  <c r="AD4541" i="3" s="1"/>
  <c r="AC4574" i="3"/>
  <c r="AD4574" i="3" s="1"/>
  <c r="AC4702" i="3"/>
  <c r="AD4702" i="3" s="1"/>
  <c r="AC4750" i="3"/>
  <c r="AD4750" i="3" s="1"/>
  <c r="AC4800" i="3"/>
  <c r="AD4800" i="3" s="1"/>
  <c r="AC77" i="3"/>
  <c r="AC97" i="3"/>
  <c r="AC102" i="3"/>
  <c r="AC128" i="3"/>
  <c r="AC132" i="3"/>
  <c r="AC134" i="3"/>
  <c r="AC238" i="3"/>
  <c r="AC271" i="3"/>
  <c r="AC307" i="3"/>
  <c r="AC326" i="3"/>
  <c r="AC347" i="3"/>
  <c r="AC399" i="3"/>
  <c r="AC407" i="3"/>
  <c r="AC438" i="3"/>
  <c r="AC510" i="3"/>
  <c r="AC519" i="3"/>
  <c r="AC564" i="3"/>
  <c r="AC616" i="3"/>
  <c r="AC628" i="3"/>
  <c r="AC818" i="3"/>
  <c r="AC825" i="3"/>
  <c r="AC827" i="3"/>
  <c r="AC859" i="3"/>
  <c r="AC968" i="3"/>
  <c r="AC1023" i="3"/>
  <c r="AC1098" i="3"/>
  <c r="AC1127" i="3"/>
  <c r="AC1146" i="3"/>
  <c r="AC1154" i="3"/>
  <c r="AC1210" i="3"/>
  <c r="AC1220" i="3"/>
  <c r="AC1231" i="3"/>
  <c r="AC1234" i="3"/>
  <c r="AC1284" i="3"/>
  <c r="AC1395" i="3"/>
  <c r="AC1431" i="3"/>
  <c r="AC1451" i="3"/>
  <c r="AC1538" i="3"/>
  <c r="AC1594" i="3"/>
  <c r="AC1605" i="3"/>
  <c r="AC1641" i="3"/>
  <c r="AC1654" i="3"/>
  <c r="AC1657" i="3"/>
  <c r="AC1659" i="3"/>
  <c r="AC1674" i="3"/>
  <c r="AC1680" i="3"/>
  <c r="AC1734" i="3"/>
  <c r="AC1781" i="3"/>
  <c r="AC1799" i="3"/>
  <c r="AC1812" i="3"/>
  <c r="AC1835" i="3"/>
  <c r="AC1871" i="3"/>
  <c r="AC1897" i="3"/>
  <c r="AC1976" i="3"/>
  <c r="AC1978" i="3"/>
  <c r="AC2002" i="3"/>
  <c r="AC2045" i="3"/>
  <c r="AC2106" i="3"/>
  <c r="AC2140" i="3"/>
  <c r="AC2203" i="3"/>
  <c r="AC2218" i="3"/>
  <c r="AC2232" i="3"/>
  <c r="AC2264" i="3"/>
  <c r="AC2269" i="3"/>
  <c r="AC2305" i="3"/>
  <c r="AC2338" i="3"/>
  <c r="AC2364" i="3"/>
  <c r="AC2383" i="3"/>
  <c r="AC2501" i="3"/>
  <c r="AC2520" i="3"/>
  <c r="AC2600" i="3"/>
  <c r="AC2630" i="3"/>
  <c r="AC2635" i="3"/>
  <c r="AC2741" i="3"/>
  <c r="AC2807" i="3"/>
  <c r="AC2884" i="3"/>
  <c r="AC2907" i="3"/>
  <c r="AC2914" i="3"/>
  <c r="AC2975" i="3"/>
  <c r="AC3042" i="3"/>
  <c r="AC3114" i="3"/>
  <c r="AC3130" i="3"/>
  <c r="AC3144" i="3"/>
  <c r="AC3171" i="3"/>
  <c r="AC3184" i="3"/>
  <c r="AC3190" i="3"/>
  <c r="AC3218" i="3"/>
  <c r="AC3231" i="3"/>
  <c r="AC3239" i="3"/>
  <c r="AC3276" i="3"/>
  <c r="AC3345" i="3"/>
  <c r="AC3361" i="3"/>
  <c r="AC3401" i="3"/>
  <c r="AC3411" i="3"/>
  <c r="AC3500" i="3"/>
  <c r="AC3546" i="3"/>
  <c r="AC3562" i="3"/>
  <c r="AC3572" i="3"/>
  <c r="AC3612" i="3"/>
  <c r="AC3627" i="3"/>
  <c r="AC3632" i="3"/>
  <c r="AC3721" i="3"/>
  <c r="AC3731" i="3"/>
  <c r="AC3746" i="3"/>
  <c r="AC3754" i="3"/>
  <c r="AC3774" i="3"/>
  <c r="AC3877" i="3"/>
  <c r="AC3879" i="3"/>
  <c r="AC3949" i="3"/>
  <c r="AC3989" i="3"/>
  <c r="AC3990" i="3"/>
  <c r="AC3992" i="3"/>
  <c r="AC4001" i="3"/>
  <c r="AC4002" i="3"/>
  <c r="AC4014" i="3"/>
  <c r="AC4029" i="3"/>
  <c r="AC4048" i="3"/>
  <c r="AC4173" i="3"/>
  <c r="AC4185" i="3"/>
  <c r="AC4350" i="3"/>
  <c r="AC4359" i="3"/>
  <c r="AC4362" i="3"/>
  <c r="AC4367" i="3"/>
  <c r="AC4399" i="3"/>
  <c r="AC4400" i="3"/>
  <c r="AC4424" i="3"/>
  <c r="AC4438" i="3"/>
  <c r="AC4446" i="3"/>
  <c r="AD4446" i="3" s="1"/>
  <c r="AC4467" i="3"/>
  <c r="AD4467" i="3" s="1"/>
  <c r="AC4474" i="3"/>
  <c r="AD4474" i="3" s="1"/>
  <c r="AC4480" i="3"/>
  <c r="AD4480" i="3" s="1"/>
  <c r="AC4483" i="3"/>
  <c r="AD4483" i="3" s="1"/>
  <c r="AC4485" i="3"/>
  <c r="AD4485" i="3" s="1"/>
  <c r="AC4487" i="3"/>
  <c r="AD4487" i="3" s="1"/>
  <c r="AC4504" i="3"/>
  <c r="AD4504" i="3" s="1"/>
  <c r="AC4509" i="3"/>
  <c r="AD4509" i="3" s="1"/>
  <c r="AC4512" i="3"/>
  <c r="AD4512" i="3" s="1"/>
  <c r="AC4515" i="3"/>
  <c r="AD4515" i="3" s="1"/>
  <c r="AC4523" i="3"/>
  <c r="AD4523" i="3" s="1"/>
  <c r="AC4533" i="3"/>
  <c r="AD4533" i="3" s="1"/>
  <c r="AC4535" i="3"/>
  <c r="AD4535" i="3" s="1"/>
  <c r="AC4552" i="3"/>
  <c r="AD4552" i="3" s="1"/>
  <c r="AC4592" i="3"/>
  <c r="AD4592" i="3" s="1"/>
  <c r="AC4594" i="3"/>
  <c r="AD4594" i="3" s="1"/>
  <c r="AC4644" i="3"/>
  <c r="AD4644" i="3" s="1"/>
  <c r="AC4654" i="3"/>
  <c r="AD4654" i="3" s="1"/>
  <c r="AC4657" i="3"/>
  <c r="AD4657" i="3" s="1"/>
  <c r="AC4768" i="3"/>
  <c r="AD4768" i="3" s="1"/>
  <c r="AC4818" i="3"/>
  <c r="AD4818" i="3" s="1"/>
  <c r="AC78" i="3"/>
  <c r="AC242" i="3"/>
  <c r="AC265" i="3"/>
  <c r="AC277" i="3"/>
  <c r="AC279" i="3"/>
  <c r="AC292" i="3"/>
  <c r="AC297" i="3"/>
  <c r="AC363" i="3"/>
  <c r="AC443" i="3"/>
  <c r="AC445" i="3"/>
  <c r="AC450" i="3"/>
  <c r="AC468" i="3"/>
  <c r="AC582" i="3"/>
  <c r="AC597" i="3"/>
  <c r="AC609" i="3"/>
  <c r="AC631" i="3"/>
  <c r="AC632" i="3"/>
  <c r="AC642" i="3"/>
  <c r="AC648" i="3"/>
  <c r="AC709" i="3"/>
  <c r="AC762" i="3"/>
  <c r="AC782" i="3"/>
  <c r="AC784" i="3"/>
  <c r="AC833" i="3"/>
  <c r="AC837" i="3"/>
  <c r="AC844" i="3"/>
  <c r="AC932" i="3"/>
  <c r="AC937" i="3"/>
  <c r="AC1007" i="3"/>
  <c r="AC1030" i="3"/>
  <c r="AC1035" i="3"/>
  <c r="AC1043" i="3"/>
  <c r="AC1077" i="3"/>
  <c r="AC1088" i="3"/>
  <c r="AC1175" i="3"/>
  <c r="AC1202" i="3"/>
  <c r="AC1254" i="3"/>
  <c r="AC1266" i="3"/>
  <c r="AC1282" i="3"/>
  <c r="AC1412" i="3"/>
  <c r="AC1427" i="3"/>
  <c r="AC1439" i="3"/>
  <c r="AC1457" i="3"/>
  <c r="AC1462" i="3"/>
  <c r="AC1477" i="3"/>
  <c r="AC1500" i="3"/>
  <c r="AC1518" i="3"/>
  <c r="AC1520" i="3"/>
  <c r="AC1531" i="3"/>
  <c r="AC1550" i="3"/>
  <c r="AC1560" i="3"/>
  <c r="AC1635" i="3"/>
  <c r="AC1681" i="3"/>
  <c r="AC1695" i="3"/>
  <c r="AC1730" i="3"/>
  <c r="AC1772" i="3"/>
  <c r="AC1802" i="3"/>
  <c r="AC1807" i="3"/>
  <c r="AC1821" i="3"/>
  <c r="AC1851" i="3"/>
  <c r="AC1856" i="3"/>
  <c r="AC1857" i="3"/>
  <c r="AC1872" i="3"/>
  <c r="AC1876" i="3"/>
  <c r="AC1899" i="3"/>
  <c r="AC1924" i="3"/>
  <c r="AC1953" i="3"/>
  <c r="AC1995" i="3"/>
  <c r="AC2004" i="3"/>
  <c r="AC2039" i="3"/>
  <c r="AC2062" i="3"/>
  <c r="AC2066" i="3"/>
  <c r="AC2088" i="3"/>
  <c r="AC2115" i="3"/>
  <c r="AC2130" i="3"/>
  <c r="AC2190" i="3"/>
  <c r="AC2199" i="3"/>
  <c r="AC2235" i="3"/>
  <c r="AC2241" i="3"/>
  <c r="AC2253" i="3"/>
  <c r="AC2322" i="3"/>
  <c r="AC2327" i="3"/>
  <c r="AC2334" i="3"/>
  <c r="AC2337" i="3"/>
  <c r="AC2348" i="3"/>
  <c r="AC2374" i="3"/>
  <c r="AC2402" i="3"/>
  <c r="AC2456" i="3"/>
  <c r="AC2557" i="3"/>
  <c r="AC2570" i="3"/>
  <c r="AC2599" i="3"/>
  <c r="AC2706" i="3"/>
  <c r="AC2714" i="3"/>
  <c r="AC2833" i="3"/>
  <c r="AC2845" i="3"/>
  <c r="AC2852" i="3"/>
  <c r="AC2944" i="3"/>
  <c r="AC3001" i="3"/>
  <c r="AC3030" i="3"/>
  <c r="AC3046" i="3"/>
  <c r="AC3053" i="3"/>
  <c r="AC3098" i="3"/>
  <c r="AC3194" i="3"/>
  <c r="AC3205" i="3"/>
  <c r="AC3206" i="3"/>
  <c r="AC3253" i="3"/>
  <c r="AC3264" i="3"/>
  <c r="AC3291" i="3"/>
  <c r="AC3316" i="3"/>
  <c r="AC3328" i="3"/>
  <c r="AC3334" i="3"/>
  <c r="AC3343" i="3"/>
  <c r="AC3373" i="3"/>
  <c r="AC3396" i="3"/>
  <c r="AC3418" i="3"/>
  <c r="AC3458" i="3"/>
  <c r="AC3483" i="3"/>
  <c r="AC3496" i="3"/>
  <c r="AC3515" i="3"/>
  <c r="AC3540" i="3"/>
  <c r="AC3690" i="3"/>
  <c r="AC3705" i="3"/>
  <c r="AC3707" i="3"/>
  <c r="AC3734" i="3"/>
  <c r="AC3743" i="3"/>
  <c r="AC3771" i="3"/>
  <c r="AC3777" i="3"/>
  <c r="AC3844" i="3"/>
  <c r="AC3875" i="3"/>
  <c r="AC3891" i="3"/>
  <c r="AC3945" i="3"/>
  <c r="AC3974" i="3"/>
  <c r="AC4020" i="3"/>
  <c r="AC4036" i="3"/>
  <c r="AC4078" i="3"/>
  <c r="AC4110" i="3"/>
  <c r="AC4155" i="3"/>
  <c r="AC4174" i="3"/>
  <c r="AC4240" i="3"/>
  <c r="AC4256" i="3"/>
  <c r="AC4257" i="3"/>
  <c r="AC4267" i="3"/>
  <c r="AC4285" i="3"/>
  <c r="AC4296" i="3"/>
  <c r="AC4349" i="3"/>
  <c r="AC4368" i="3"/>
  <c r="AC4373" i="3"/>
  <c r="AC4382" i="3"/>
  <c r="AC4394" i="3"/>
  <c r="AC4491" i="3"/>
  <c r="AD4491" i="3" s="1"/>
  <c r="AC4519" i="3"/>
  <c r="AD4519" i="3" s="1"/>
  <c r="AC4522" i="3"/>
  <c r="AD4522" i="3" s="1"/>
  <c r="AC4550" i="3"/>
  <c r="AD4550" i="3" s="1"/>
  <c r="AC4575" i="3"/>
  <c r="AD4575" i="3" s="1"/>
  <c r="AC4581" i="3"/>
  <c r="AD4581" i="3" s="1"/>
  <c r="AC4676" i="3"/>
  <c r="AD4676" i="3" s="1"/>
  <c r="AC4694" i="3"/>
  <c r="AD4694" i="3" s="1"/>
  <c r="AC4734" i="3"/>
  <c r="AD4734" i="3" s="1"/>
  <c r="AC4816" i="3"/>
  <c r="AD4816" i="3" s="1"/>
  <c r="AC4821" i="3"/>
  <c r="AD4821" i="3" s="1"/>
  <c r="AC4823" i="3"/>
  <c r="AD4823" i="3" s="1"/>
  <c r="AC28" i="3"/>
  <c r="AC46" i="3"/>
  <c r="AC71" i="3"/>
  <c r="AC80" i="3"/>
  <c r="AC150" i="3"/>
  <c r="AC194" i="3"/>
  <c r="AC199" i="3"/>
  <c r="AC245" i="3"/>
  <c r="AC253" i="3"/>
  <c r="AC256" i="3"/>
  <c r="AC276" i="3"/>
  <c r="AC313" i="3"/>
  <c r="AC339" i="3"/>
  <c r="AC355" i="3"/>
  <c r="AC372" i="3"/>
  <c r="AC376" i="3"/>
  <c r="AC446" i="3"/>
  <c r="AC452" i="3"/>
  <c r="AC504" i="3"/>
  <c r="AC539" i="3"/>
  <c r="AC545" i="3"/>
  <c r="AC561" i="3"/>
  <c r="AC592" i="3"/>
  <c r="AC602" i="3"/>
  <c r="AC623" i="3"/>
  <c r="AC684" i="3"/>
  <c r="AC704" i="3"/>
  <c r="AC713" i="3"/>
  <c r="AC723" i="3"/>
  <c r="AC790" i="3"/>
  <c r="AC815" i="3"/>
  <c r="AC850" i="3"/>
  <c r="AC861" i="3"/>
  <c r="AC939" i="3"/>
  <c r="AC987" i="3"/>
  <c r="AC1000" i="3"/>
  <c r="AC1051" i="3"/>
  <c r="AC1097" i="3"/>
  <c r="AC1106" i="3"/>
  <c r="AC1112" i="3"/>
  <c r="AC1178" i="3"/>
  <c r="AC1267" i="3"/>
  <c r="AC1279" i="3"/>
  <c r="AC1359" i="3"/>
  <c r="AC1375" i="3"/>
  <c r="AC1393" i="3"/>
  <c r="AC1394" i="3"/>
  <c r="AC1453" i="3"/>
  <c r="AC1454" i="3"/>
  <c r="AC1513" i="3"/>
  <c r="AC1535" i="3"/>
  <c r="AC1557" i="3"/>
  <c r="AC1564" i="3"/>
  <c r="AC1571" i="3"/>
  <c r="AC1577" i="3"/>
  <c r="AC1599" i="3"/>
  <c r="AC1691" i="3"/>
  <c r="AC1698" i="3"/>
  <c r="AC1738" i="3"/>
  <c r="AC1740" i="3"/>
  <c r="AC1845" i="3"/>
  <c r="AC1925" i="3"/>
  <c r="AC1936" i="3"/>
  <c r="AC1967" i="3"/>
  <c r="AC2013" i="3"/>
  <c r="AC2030" i="3"/>
  <c r="AC2040" i="3"/>
  <c r="AC2044" i="3"/>
  <c r="AC2064" i="3"/>
  <c r="AC2082" i="3"/>
  <c r="AC2093" i="3"/>
  <c r="AC2126" i="3"/>
  <c r="AC2136" i="3"/>
  <c r="AC2144" i="3"/>
  <c r="AC2149" i="3"/>
  <c r="AC2194" i="3"/>
  <c r="AC2266" i="3"/>
  <c r="AC2273" i="3"/>
  <c r="AC2319" i="3"/>
  <c r="AC2346" i="3"/>
  <c r="AC2356" i="3"/>
  <c r="AC2376" i="3"/>
  <c r="AC2380" i="3"/>
  <c r="AC2470" i="3"/>
  <c r="AC2525" i="3"/>
  <c r="AC2532" i="3"/>
  <c r="AC2674" i="3"/>
  <c r="AC2677" i="3"/>
  <c r="AC2703" i="3"/>
  <c r="AC2742" i="3"/>
  <c r="AC2757" i="3"/>
  <c r="AC2767" i="3"/>
  <c r="AC2768" i="3"/>
  <c r="AC2870" i="3"/>
  <c r="AC2883" i="3"/>
  <c r="AC2903" i="3"/>
  <c r="AC2926" i="3"/>
  <c r="AC2934" i="3"/>
  <c r="AC3092" i="3"/>
  <c r="AC3137" i="3"/>
  <c r="AC3165" i="3"/>
  <c r="AC3183" i="3"/>
  <c r="AC3202" i="3"/>
  <c r="AC3221" i="3"/>
  <c r="AC3250" i="3"/>
  <c r="AC3298" i="3"/>
  <c r="AC3312" i="3"/>
  <c r="AC3330" i="3"/>
  <c r="AC3369" i="3"/>
  <c r="AC3412" i="3"/>
  <c r="AC3430" i="3"/>
  <c r="AC3476" i="3"/>
  <c r="AC3477" i="3"/>
  <c r="AC3492" i="3"/>
  <c r="AC3538" i="3"/>
  <c r="AC3574" i="3"/>
  <c r="AC3606" i="3"/>
  <c r="AC3607" i="3"/>
  <c r="AC3611" i="3"/>
  <c r="AC3640" i="3"/>
  <c r="AC3686" i="3"/>
  <c r="AC3708" i="3"/>
  <c r="AC3752" i="3"/>
  <c r="AC3753" i="3"/>
  <c r="AC3767" i="3"/>
  <c r="AC3781" i="3"/>
  <c r="AC3785" i="3"/>
  <c r="AC3786" i="3"/>
  <c r="AC3888" i="3"/>
  <c r="AC3984" i="3"/>
  <c r="AC4031" i="3"/>
  <c r="AC4093" i="3"/>
  <c r="AC4123" i="3"/>
  <c r="AC4131" i="3"/>
  <c r="AC4186" i="3"/>
  <c r="AC4212" i="3"/>
  <c r="AC4233" i="3"/>
  <c r="AC4243" i="3"/>
  <c r="AC4268" i="3"/>
  <c r="AC4275" i="3"/>
  <c r="AC4279" i="3"/>
  <c r="AC4316" i="3"/>
  <c r="AC4328" i="3"/>
  <c r="AC4332" i="3"/>
  <c r="AC4337" i="3"/>
  <c r="AC4347" i="3"/>
  <c r="AC4348" i="3"/>
  <c r="AC4355" i="3"/>
  <c r="AC4358" i="3"/>
  <c r="AC4387" i="3"/>
  <c r="AC4414" i="3"/>
  <c r="AC4434" i="3"/>
  <c r="AC4456" i="3"/>
  <c r="AD4456" i="3" s="1"/>
  <c r="AC4459" i="3"/>
  <c r="AD4459" i="3" s="1"/>
  <c r="AC4502" i="3"/>
  <c r="AD4502" i="3" s="1"/>
  <c r="AC4524" i="3"/>
  <c r="AD4524" i="3" s="1"/>
  <c r="AC4548" i="3"/>
  <c r="AD4548" i="3" s="1"/>
  <c r="AC4551" i="3"/>
  <c r="AD4551" i="3" s="1"/>
  <c r="AC4614" i="3"/>
  <c r="AD4614" i="3" s="1"/>
  <c r="AC4623" i="3"/>
  <c r="AD4623" i="3" s="1"/>
  <c r="AC4674" i="3"/>
  <c r="AD4674" i="3" s="1"/>
  <c r="AC4723" i="3"/>
  <c r="AD4723" i="3" s="1"/>
  <c r="AC4755" i="3"/>
  <c r="AD4755" i="3" s="1"/>
  <c r="AC4770" i="3"/>
  <c r="AD4770" i="3" s="1"/>
  <c r="AC4785" i="3"/>
  <c r="AD4785" i="3" s="1"/>
  <c r="AC39" i="3"/>
  <c r="AC54" i="3"/>
  <c r="AC59" i="3"/>
  <c r="AC60" i="3"/>
  <c r="AC63" i="3"/>
  <c r="AC72" i="3"/>
  <c r="AC83" i="3"/>
  <c r="AC99" i="3"/>
  <c r="AC106" i="3"/>
  <c r="AC114" i="3"/>
  <c r="AC163" i="3"/>
  <c r="AC218" i="3"/>
  <c r="AC234" i="3"/>
  <c r="AC258" i="3"/>
  <c r="AC266" i="3"/>
  <c r="AC269" i="3"/>
  <c r="AC270" i="3"/>
  <c r="AC317" i="3"/>
  <c r="AC348" i="3"/>
  <c r="AC365" i="3"/>
  <c r="AC369" i="3"/>
  <c r="AC378" i="3"/>
  <c r="AC379" i="3"/>
  <c r="AC416" i="3"/>
  <c r="AC422" i="3"/>
  <c r="AC427" i="3"/>
  <c r="AC434" i="3"/>
  <c r="AC523" i="3"/>
  <c r="AC546" i="3"/>
  <c r="AC595" i="3"/>
  <c r="AC641" i="3"/>
  <c r="AC651" i="3"/>
  <c r="AC670" i="3"/>
  <c r="AC680" i="3"/>
  <c r="AC699" i="3"/>
  <c r="AC710" i="3"/>
  <c r="AC716" i="3"/>
  <c r="AC774" i="3"/>
  <c r="AC808" i="3"/>
  <c r="AC809" i="3"/>
  <c r="AC820" i="3"/>
  <c r="AC831" i="3"/>
  <c r="AC835" i="3"/>
  <c r="AC961" i="3"/>
  <c r="AC997" i="3"/>
  <c r="AC1032" i="3"/>
  <c r="AC1047" i="3"/>
  <c r="AC1065" i="3"/>
  <c r="AC1161" i="3"/>
  <c r="AC1182" i="3"/>
  <c r="AC1278" i="3"/>
  <c r="AC1356" i="3"/>
  <c r="AC1380" i="3"/>
  <c r="AC1430" i="3"/>
  <c r="AC1536" i="3"/>
  <c r="AC1581" i="3"/>
  <c r="AC1608" i="3"/>
  <c r="AC1627" i="3"/>
  <c r="AC1690" i="3"/>
  <c r="AC1703" i="3"/>
  <c r="AC1704" i="3"/>
  <c r="AC1735" i="3"/>
  <c r="AC1788" i="3"/>
  <c r="AC1789" i="3"/>
  <c r="AC1792" i="3"/>
  <c r="AC1804" i="3"/>
  <c r="AC1850" i="3"/>
  <c r="AC1860" i="3"/>
  <c r="AC1901" i="3"/>
  <c r="AC1932" i="3"/>
  <c r="AC1949" i="3"/>
  <c r="AC1964" i="3"/>
  <c r="AC1981" i="3"/>
  <c r="AC2005" i="3"/>
  <c r="AC2014" i="3"/>
  <c r="AC2021" i="3"/>
  <c r="AC2059" i="3"/>
  <c r="AC2076" i="3"/>
  <c r="AC2079" i="3"/>
  <c r="AC2084" i="3"/>
  <c r="AC2086" i="3"/>
  <c r="AC2143" i="3"/>
  <c r="AC2214" i="3"/>
  <c r="AC2243" i="3"/>
  <c r="AC2272" i="3"/>
  <c r="AC2277" i="3"/>
  <c r="AC2286" i="3"/>
  <c r="AC2342" i="3"/>
  <c r="AC2351" i="3"/>
  <c r="AC2359" i="3"/>
  <c r="AC2361" i="3"/>
  <c r="AC2382" i="3"/>
  <c r="AC2411" i="3"/>
  <c r="AC2421" i="3"/>
  <c r="AC2429" i="3"/>
  <c r="AC2475" i="3"/>
  <c r="AC2508" i="3"/>
  <c r="AC2542" i="3"/>
  <c r="AC2566" i="3"/>
  <c r="AC2579" i="3"/>
  <c r="AC2601" i="3"/>
  <c r="AC2627" i="3"/>
  <c r="AC2632" i="3"/>
  <c r="AC2639" i="3"/>
  <c r="AC2746" i="3"/>
  <c r="AC2924" i="3"/>
  <c r="AC2925" i="3"/>
  <c r="AC2929" i="3"/>
  <c r="AC2957" i="3"/>
  <c r="AC2958" i="3"/>
  <c r="AC2966" i="3"/>
  <c r="AC3010" i="3"/>
  <c r="AC3052" i="3"/>
  <c r="AC3088" i="3"/>
  <c r="AC3143" i="3"/>
  <c r="AC3146" i="3"/>
  <c r="AC3148" i="3"/>
  <c r="AC3151" i="3"/>
  <c r="AC3152" i="3"/>
  <c r="AC3153" i="3"/>
  <c r="AC3176" i="3"/>
  <c r="AC3216" i="3"/>
  <c r="AC3230" i="3"/>
  <c r="AC3279" i="3"/>
  <c r="AC3302" i="3"/>
  <c r="AC3352" i="3"/>
  <c r="AC3454" i="3"/>
  <c r="AC3486" i="3"/>
  <c r="AC3488" i="3"/>
  <c r="AC3495" i="3"/>
  <c r="AC3509" i="3"/>
  <c r="AC3537" i="3"/>
  <c r="AC3594" i="3"/>
  <c r="AC3626" i="3"/>
  <c r="AC3772" i="3"/>
  <c r="AC3782" i="3"/>
  <c r="AC3805" i="3"/>
  <c r="AC3818" i="3"/>
  <c r="AC3886" i="3"/>
  <c r="AC3898" i="3"/>
  <c r="AC3960" i="3"/>
  <c r="AC4009" i="3"/>
  <c r="AC4024" i="3"/>
  <c r="AC4068" i="3"/>
  <c r="AC4069" i="3"/>
  <c r="AC4073" i="3"/>
  <c r="AC4079" i="3"/>
  <c r="AC4081" i="3"/>
  <c r="AC4094" i="3"/>
  <c r="AC4115" i="3"/>
  <c r="AC4122" i="3"/>
  <c r="AC4156" i="3"/>
  <c r="AC4218" i="3"/>
  <c r="AC4261" i="3"/>
  <c r="AC4269" i="3"/>
  <c r="AC4270" i="3"/>
  <c r="AC4280" i="3"/>
  <c r="AC4288" i="3"/>
  <c r="AC4341" i="3"/>
  <c r="AC4441" i="3"/>
  <c r="AC4543" i="3"/>
  <c r="AD4543" i="3" s="1"/>
  <c r="AC4555" i="3"/>
  <c r="AD4555" i="3" s="1"/>
  <c r="AC4577" i="3"/>
  <c r="AD4577" i="3" s="1"/>
  <c r="AC4604" i="3"/>
  <c r="AD4604" i="3" s="1"/>
  <c r="AC4754" i="3"/>
  <c r="AD4754" i="3" s="1"/>
  <c r="AC4788" i="3"/>
  <c r="AD4788" i="3" s="1"/>
  <c r="AC4799" i="3"/>
  <c r="AD4799" i="3" s="1"/>
  <c r="AC4803" i="3"/>
  <c r="AD4803" i="3" s="1"/>
  <c r="AC4828" i="3"/>
  <c r="AD4828" i="3" s="1"/>
  <c r="AC4829" i="3"/>
  <c r="AD4829" i="3" s="1"/>
  <c r="AC23" i="3"/>
  <c r="AC130" i="3"/>
  <c r="AC232" i="3"/>
  <c r="AC249" i="3"/>
  <c r="AC325" i="3"/>
  <c r="AC334" i="3"/>
  <c r="AC362" i="3"/>
  <c r="AC385" i="3"/>
  <c r="AC552" i="3"/>
  <c r="AC669" i="3"/>
  <c r="AC687" i="3"/>
  <c r="AC785" i="3"/>
  <c r="AC828" i="3"/>
  <c r="AC845" i="3"/>
  <c r="AC916" i="3"/>
  <c r="AC949" i="3"/>
  <c r="AC959" i="3"/>
  <c r="AC984" i="3"/>
  <c r="AC1009" i="3"/>
  <c r="AC1013" i="3"/>
  <c r="AC1034" i="3"/>
  <c r="AC1068" i="3"/>
  <c r="AC1288" i="3"/>
  <c r="AC1316" i="3"/>
  <c r="AC1514" i="3"/>
  <c r="AC1526" i="3"/>
  <c r="AC1590" i="3"/>
  <c r="AC1668" i="3"/>
  <c r="AC1688" i="3"/>
  <c r="AC1752" i="3"/>
  <c r="AC1853" i="3"/>
  <c r="AC1867" i="3"/>
  <c r="AC1874" i="3"/>
  <c r="AC1910" i="3"/>
  <c r="AC2148" i="3"/>
  <c r="AC2169" i="3"/>
  <c r="AC2185" i="3"/>
  <c r="AC2495" i="3"/>
  <c r="AC2531" i="3"/>
  <c r="AC2576" i="3"/>
  <c r="AC2724" i="3"/>
  <c r="AC2754" i="3"/>
  <c r="AC2766" i="3"/>
  <c r="AC2847" i="3"/>
  <c r="AC2953" i="3"/>
  <c r="AC2969" i="3"/>
  <c r="AC2971" i="3"/>
  <c r="AC3009" i="3"/>
  <c r="AC3203" i="3"/>
  <c r="AC3228" i="3"/>
  <c r="AC3256" i="3"/>
  <c r="AC3335" i="3"/>
  <c r="AC3592" i="3"/>
  <c r="AC3899" i="3"/>
  <c r="AC3918" i="3"/>
  <c r="AC3948" i="3"/>
  <c r="AC3991" i="3"/>
  <c r="AC4004" i="3"/>
  <c r="AC4017" i="3"/>
  <c r="AC4067" i="3"/>
  <c r="AC4120" i="3"/>
  <c r="AC4129" i="3"/>
  <c r="AC4190" i="3"/>
  <c r="AC4238" i="3"/>
  <c r="AC4304" i="3"/>
  <c r="AC4324" i="3"/>
  <c r="AC4326" i="3"/>
  <c r="AC4345" i="3"/>
  <c r="AC4357" i="3"/>
  <c r="AC4396" i="3"/>
  <c r="AC4402" i="3"/>
  <c r="AC4405" i="3"/>
  <c r="AC4452" i="3"/>
  <c r="AD4452" i="3" s="1"/>
  <c r="AC4510" i="3"/>
  <c r="AD4510" i="3" s="1"/>
  <c r="AC4538" i="3"/>
  <c r="AD4538" i="3" s="1"/>
  <c r="AC4652" i="3"/>
  <c r="AD4652" i="3" s="1"/>
  <c r="AC4718" i="3"/>
  <c r="AD4718" i="3" s="1"/>
  <c r="AC4746" i="3"/>
  <c r="AD4746" i="3" s="1"/>
  <c r="AC4812" i="3"/>
  <c r="AD4812" i="3" s="1"/>
  <c r="AC19" i="3"/>
  <c r="AC69" i="3"/>
  <c r="AC74" i="3"/>
  <c r="AC139" i="3"/>
  <c r="AC392" i="3"/>
  <c r="AC479" i="3"/>
  <c r="AC605" i="3"/>
  <c r="AC703" i="3"/>
  <c r="AC855" i="3"/>
  <c r="AC912" i="3"/>
  <c r="AC1095" i="3"/>
  <c r="AC1240" i="3"/>
  <c r="AC1244" i="3"/>
  <c r="AC1337" i="3"/>
  <c r="AC1398" i="3"/>
  <c r="AC1465" i="3"/>
  <c r="AC1490" i="3"/>
  <c r="AC1528" i="3"/>
  <c r="AC1554" i="3"/>
  <c r="AC1712" i="3"/>
  <c r="AC1724" i="3"/>
  <c r="AC2057" i="3"/>
  <c r="AC2077" i="3"/>
  <c r="AC2097" i="3"/>
  <c r="AC2118" i="3"/>
  <c r="AC2125" i="3"/>
  <c r="AC2204" i="3"/>
  <c r="AC2224" i="3"/>
  <c r="AC2257" i="3"/>
  <c r="AC2313" i="3"/>
  <c r="AC2436" i="3"/>
  <c r="AC2804" i="3"/>
  <c r="AC2835" i="3"/>
  <c r="AC2875" i="3"/>
  <c r="AC2917" i="3"/>
  <c r="AC2932" i="3"/>
  <c r="AC2939" i="3"/>
  <c r="AC3011" i="3"/>
  <c r="AC3091" i="3"/>
  <c r="AC3386" i="3"/>
  <c r="AC3534" i="3"/>
  <c r="AC3553" i="3"/>
  <c r="AC3637" i="3"/>
  <c r="AC3639" i="3"/>
  <c r="AC3642" i="3"/>
  <c r="AC3646" i="3"/>
  <c r="AC3741" i="3"/>
  <c r="AC3826" i="3"/>
  <c r="AC3835" i="3"/>
  <c r="AC3884" i="3"/>
  <c r="AC3996" i="3"/>
  <c r="AC4011" i="3"/>
  <c r="AC4076" i="3"/>
  <c r="AC4132" i="3"/>
  <c r="AC4139" i="3"/>
  <c r="AC4180" i="3"/>
  <c r="AC4274" i="3"/>
  <c r="AC4315" i="3"/>
  <c r="AC4370" i="3"/>
  <c r="AC4384" i="3"/>
  <c r="AC4426" i="3"/>
  <c r="AC4462" i="3"/>
  <c r="AD4462" i="3" s="1"/>
  <c r="AC4508" i="3"/>
  <c r="AD4508" i="3" s="1"/>
  <c r="AC4518" i="3"/>
  <c r="AD4518" i="3" s="1"/>
  <c r="AC4530" i="3"/>
  <c r="AD4530" i="3" s="1"/>
  <c r="AC4534" i="3"/>
  <c r="AD4534" i="3" s="1"/>
  <c r="AC4597" i="3"/>
  <c r="AD4597" i="3" s="1"/>
  <c r="AC4659" i="3"/>
  <c r="AD4659" i="3" s="1"/>
  <c r="AC4665" i="3"/>
  <c r="AD4665" i="3" s="1"/>
  <c r="AC4728" i="3"/>
  <c r="AD4728" i="3" s="1"/>
  <c r="AC18" i="3"/>
  <c r="AC36" i="3"/>
  <c r="AC89" i="3"/>
  <c r="AC138" i="3"/>
  <c r="AC173" i="3"/>
  <c r="AC303" i="3"/>
  <c r="AC368" i="3"/>
  <c r="AC398" i="3"/>
  <c r="AC453" i="3"/>
  <c r="AC483" i="3"/>
  <c r="AC589" i="3"/>
  <c r="AC686" i="3"/>
  <c r="AC697" i="3"/>
  <c r="AC741" i="3"/>
  <c r="AC848" i="3"/>
  <c r="AC858" i="3"/>
  <c r="AC890" i="3"/>
  <c r="AC1129" i="3"/>
  <c r="AC1214" i="3"/>
  <c r="AC1329" i="3"/>
  <c r="AC1387" i="3"/>
  <c r="AC1416" i="3"/>
  <c r="AC1507" i="3"/>
  <c r="AC1547" i="3"/>
  <c r="AC1592" i="3"/>
  <c r="AC1667" i="3"/>
  <c r="AC1739" i="3"/>
  <c r="AC1793" i="3"/>
  <c r="AC1843" i="3"/>
  <c r="AC1884" i="3"/>
  <c r="AC1934" i="3"/>
  <c r="AC2128" i="3"/>
  <c r="AC2182" i="3"/>
  <c r="AC2195" i="3"/>
  <c r="AC2209" i="3"/>
  <c r="AC2330" i="3"/>
  <c r="AC2387" i="3"/>
  <c r="AC2390" i="3"/>
  <c r="AC2468" i="3"/>
  <c r="AC2483" i="3"/>
  <c r="AC2543" i="3"/>
  <c r="AC2568" i="3"/>
  <c r="AC2589" i="3"/>
  <c r="AC2781" i="3"/>
  <c r="AC2788" i="3"/>
  <c r="AC2842" i="3"/>
  <c r="AC2892" i="3"/>
  <c r="AC2915" i="3"/>
  <c r="AC2943" i="3"/>
  <c r="AC3014" i="3"/>
  <c r="AC3191" i="3"/>
  <c r="AC3295" i="3"/>
  <c r="AC3311" i="3"/>
  <c r="AC3382" i="3"/>
  <c r="AC3519" i="3"/>
  <c r="AC3635" i="3"/>
  <c r="AC3696" i="3"/>
  <c r="AC3799" i="3"/>
  <c r="AC3816" i="3"/>
  <c r="AC3832" i="3"/>
  <c r="AC3846" i="3"/>
  <c r="AC3854" i="3"/>
  <c r="AC3892" i="3"/>
  <c r="AC3933" i="3"/>
  <c r="AC3955" i="3"/>
  <c r="AC4057" i="3"/>
  <c r="AC4151" i="3"/>
  <c r="AC4171" i="3"/>
  <c r="AC4221" i="3"/>
  <c r="AC4226" i="3"/>
  <c r="AC4318" i="3"/>
  <c r="AC4492" i="3"/>
  <c r="AD4492" i="3" s="1"/>
  <c r="AC4583" i="3"/>
  <c r="AD4583" i="3" s="1"/>
  <c r="AC4618" i="3"/>
  <c r="AD4618" i="3" s="1"/>
  <c r="AC4807" i="3"/>
  <c r="AD4807" i="3" s="1"/>
  <c r="AC4822" i="3"/>
  <c r="AD4822" i="3" s="1"/>
  <c r="AC8" i="3"/>
  <c r="AC47" i="3"/>
  <c r="AC98" i="3"/>
  <c r="AC187" i="3"/>
  <c r="AC205" i="3"/>
  <c r="AC263" i="3"/>
  <c r="AC332" i="3"/>
  <c r="AC417" i="3"/>
  <c r="AC444" i="3"/>
  <c r="AC489" i="3"/>
  <c r="AC506" i="3"/>
  <c r="AC548" i="3"/>
  <c r="AC640" i="3"/>
  <c r="AC694" i="3"/>
  <c r="AC706" i="3"/>
  <c r="AC718" i="3"/>
  <c r="AC738" i="3"/>
  <c r="AC875" i="3"/>
  <c r="AC901" i="3"/>
  <c r="AC1040" i="3"/>
  <c r="AC1070" i="3"/>
  <c r="AC1096" i="3"/>
  <c r="AC1121" i="3"/>
  <c r="AC1179" i="3"/>
  <c r="AC1317" i="3"/>
  <c r="AC1322" i="3"/>
  <c r="AC1353" i="3"/>
  <c r="AC1383" i="3"/>
  <c r="AC1540" i="3"/>
  <c r="AC1565" i="3"/>
  <c r="AC1582" i="3"/>
  <c r="AC1603" i="3"/>
  <c r="AC1646" i="3"/>
  <c r="AC1785" i="3"/>
  <c r="AC1786" i="3"/>
  <c r="AC1806" i="3"/>
  <c r="AC1823" i="3"/>
  <c r="AC1883" i="3"/>
  <c r="AC1903" i="3"/>
  <c r="AC2023" i="3"/>
  <c r="AC2085" i="3"/>
  <c r="AC2172" i="3"/>
  <c r="AC2207" i="3"/>
  <c r="AC2215" i="3"/>
  <c r="AC2270" i="3"/>
  <c r="AC2333" i="3"/>
  <c r="AC2404" i="3"/>
  <c r="AC2526" i="3"/>
  <c r="AC2528" i="3"/>
  <c r="AC2530" i="3"/>
  <c r="AC2561" i="3"/>
  <c r="AC2634" i="3"/>
  <c r="AC2659" i="3"/>
  <c r="AC2665" i="3"/>
  <c r="AC2670" i="3"/>
  <c r="AC2728" i="3"/>
  <c r="AC2735" i="3"/>
  <c r="AC2743" i="3"/>
  <c r="AC2783" i="3"/>
  <c r="AC2843" i="3"/>
  <c r="AC2904" i="3"/>
  <c r="AC2949" i="3"/>
  <c r="AC2978" i="3"/>
  <c r="AC3033" i="3"/>
  <c r="AC3067" i="3"/>
  <c r="AC3120" i="3"/>
  <c r="AC3186" i="3"/>
  <c r="AC3197" i="3"/>
  <c r="AC3259" i="3"/>
  <c r="AC3266" i="3"/>
  <c r="AC3350" i="3"/>
  <c r="AC3379" i="3"/>
  <c r="AC3417" i="3"/>
  <c r="AC3508" i="3"/>
  <c r="AC3547" i="3"/>
  <c r="AC3700" i="3"/>
  <c r="AC3722" i="3"/>
  <c r="AC3759" i="3"/>
  <c r="AC3791" i="3"/>
  <c r="AC3828" i="3"/>
  <c r="AC3967" i="3"/>
  <c r="AC4006" i="3"/>
  <c r="AC4066" i="3"/>
  <c r="AC4090" i="3"/>
  <c r="AC4099" i="3"/>
  <c r="AC4199" i="3"/>
  <c r="AC4323" i="3"/>
  <c r="AC4336" i="3"/>
  <c r="AC4343" i="3"/>
  <c r="AC4369" i="3"/>
  <c r="AC4386" i="3"/>
  <c r="AC4527" i="3"/>
  <c r="AD4527" i="3" s="1"/>
  <c r="AC4664" i="3"/>
  <c r="AD4664" i="3" s="1"/>
  <c r="AC4703" i="3"/>
  <c r="AD4703" i="3" s="1"/>
  <c r="AC4706" i="3"/>
  <c r="AD4706" i="3" s="1"/>
  <c r="AC4710" i="3"/>
  <c r="AD4710" i="3" s="1"/>
  <c r="AC4721" i="3"/>
  <c r="AD4721" i="3" s="1"/>
  <c r="AC117" i="3"/>
  <c r="AC191" i="3"/>
  <c r="AC318" i="3"/>
  <c r="AC335" i="3"/>
  <c r="AC437" i="3"/>
  <c r="AC478" i="3"/>
  <c r="AC553" i="3"/>
  <c r="AC562" i="3"/>
  <c r="AC624" i="3"/>
  <c r="AC725" i="3"/>
  <c r="AC763" i="3"/>
  <c r="AC806" i="3"/>
  <c r="AC841" i="3"/>
  <c r="AC917" i="3"/>
  <c r="AC986" i="3"/>
  <c r="AC1086" i="3"/>
  <c r="AC1204" i="3"/>
  <c r="AC1211" i="3"/>
  <c r="AC1241" i="3"/>
  <c r="AC1281" i="3"/>
  <c r="AC1461" i="3"/>
  <c r="AC1473" i="3"/>
  <c r="AC1516" i="3"/>
  <c r="AC1523" i="3"/>
  <c r="AC1723" i="3"/>
  <c r="AC1765" i="3"/>
  <c r="AC1809" i="3"/>
  <c r="AC1881" i="3"/>
  <c r="AC1919" i="3"/>
  <c r="AC1972" i="3"/>
  <c r="AC1987" i="3"/>
  <c r="AC2049" i="3"/>
  <c r="AC2174" i="3"/>
  <c r="AC2208" i="3"/>
  <c r="AC2373" i="3"/>
  <c r="AC2398" i="3"/>
  <c r="AC2491" i="3"/>
  <c r="AC2535" i="3"/>
  <c r="AC2536" i="3"/>
  <c r="AC2681" i="3"/>
  <c r="AC2733" i="3"/>
  <c r="AC2752" i="3"/>
  <c r="AC2812" i="3"/>
  <c r="AC3002" i="3"/>
  <c r="AC3022" i="3"/>
  <c r="AC3077" i="3"/>
  <c r="AC3079" i="3"/>
  <c r="AC3109" i="3"/>
  <c r="AC3149" i="3"/>
  <c r="AC3419" i="3"/>
  <c r="AC3527" i="3"/>
  <c r="AC3536" i="3"/>
  <c r="AC3573" i="3"/>
  <c r="AC3622" i="3"/>
  <c r="AC3701" i="3"/>
  <c r="AC3717" i="3"/>
  <c r="AC3727" i="3"/>
  <c r="AC3788" i="3"/>
  <c r="AC3830" i="3"/>
  <c r="AC3863" i="3"/>
  <c r="AC3902" i="3"/>
  <c r="AC3911" i="3"/>
  <c r="AC3940" i="3"/>
  <c r="AC4054" i="3"/>
  <c r="AC4144" i="3"/>
  <c r="AC4147" i="3"/>
  <c r="AC4189" i="3"/>
  <c r="AC4228" i="3"/>
  <c r="AC4265" i="3"/>
  <c r="AC4300" i="3"/>
  <c r="AC4306" i="3"/>
  <c r="AC4312" i="3"/>
  <c r="AC4317" i="3"/>
  <c r="AC4330" i="3"/>
  <c r="AC4372" i="3"/>
  <c r="AC4381" i="3"/>
  <c r="AC4469" i="3"/>
  <c r="AD4469" i="3" s="1"/>
  <c r="AC4478" i="3"/>
  <c r="AD4478" i="3" s="1"/>
  <c r="AC4603" i="3"/>
  <c r="AD4603" i="3" s="1"/>
  <c r="AC4605" i="3"/>
  <c r="AD4605" i="3" s="1"/>
  <c r="AC4656" i="3"/>
  <c r="AD4656" i="3" s="1"/>
  <c r="AC131" i="3"/>
  <c r="AC411" i="3"/>
  <c r="AC759" i="3"/>
  <c r="AC1392" i="3"/>
  <c r="AC1499" i="3"/>
  <c r="AC1863" i="3"/>
  <c r="AC2255" i="3"/>
  <c r="AC2262" i="3"/>
  <c r="AC2755" i="3"/>
  <c r="AC2878" i="3"/>
  <c r="AC3157" i="3"/>
  <c r="AC3581" i="3"/>
  <c r="AC3787" i="3"/>
  <c r="AC3897" i="3"/>
  <c r="AC3932" i="3"/>
  <c r="AC4219" i="3"/>
  <c r="AC4301" i="3"/>
  <c r="AC4477" i="3"/>
  <c r="AD4477" i="3" s="1"/>
  <c r="AC4539" i="3"/>
  <c r="AD4539" i="3" s="1"/>
  <c r="AC4831" i="3"/>
  <c r="AD4831" i="3" s="1"/>
  <c r="K27" i="7" l="1"/>
  <c r="K34" i="7"/>
  <c r="K39" i="7"/>
  <c r="K44" i="7"/>
  <c r="K48" i="7"/>
  <c r="K29" i="7"/>
  <c r="K32" i="7"/>
  <c r="K37" i="7"/>
  <c r="K42" i="7"/>
  <c r="K46" i="7"/>
  <c r="K28" i="7"/>
  <c r="K36" i="7"/>
  <c r="K38" i="7"/>
  <c r="K41" i="7"/>
  <c r="K45" i="7"/>
  <c r="K47" i="7"/>
  <c r="K26" i="7"/>
  <c r="K30" i="7"/>
  <c r="K33" i="7"/>
  <c r="K31" i="7"/>
  <c r="K35" i="7"/>
  <c r="K40" i="7"/>
  <c r="K43" i="7"/>
  <c r="K49" i="7"/>
  <c r="G123" i="7"/>
  <c r="F124" i="7"/>
  <c r="H124" i="7" s="1"/>
  <c r="L124" i="7" s="1"/>
  <c r="G124" i="7"/>
  <c r="I124" i="7"/>
  <c r="J124" i="7"/>
  <c r="N124" i="7" s="1"/>
  <c r="G128" i="7"/>
  <c r="I129" i="7"/>
  <c r="I130" i="7"/>
  <c r="I132" i="7"/>
  <c r="J133" i="7"/>
  <c r="N133" i="7" s="1"/>
  <c r="G134" i="7"/>
  <c r="J137" i="7"/>
  <c r="N137" i="7" s="1"/>
  <c r="F138" i="7"/>
  <c r="H138" i="7" s="1"/>
  <c r="L138" i="7" s="1"/>
  <c r="I138" i="7"/>
  <c r="I139" i="7"/>
  <c r="F142" i="7"/>
  <c r="H142" i="7" s="1"/>
  <c r="L142" i="7" s="1"/>
  <c r="F143" i="7"/>
  <c r="H143" i="7" s="1"/>
  <c r="L143" i="7" s="1"/>
  <c r="G122" i="7"/>
  <c r="G125" i="7"/>
  <c r="J130" i="7"/>
  <c r="N130" i="7" s="1"/>
  <c r="G131" i="7"/>
  <c r="F132" i="7"/>
  <c r="H132" i="7" s="1"/>
  <c r="L132" i="7" s="1"/>
  <c r="J134" i="7"/>
  <c r="N134" i="7" s="1"/>
  <c r="F135" i="7"/>
  <c r="H135" i="7" s="1"/>
  <c r="L135" i="7" s="1"/>
  <c r="G136" i="7"/>
  <c r="I137" i="7"/>
  <c r="G138" i="7"/>
  <c r="F139" i="7"/>
  <c r="H139" i="7" s="1"/>
  <c r="L139" i="7" s="1"/>
  <c r="I140" i="7"/>
  <c r="G141" i="7"/>
  <c r="J142" i="7"/>
  <c r="N142" i="7" s="1"/>
  <c r="I143" i="7"/>
  <c r="F144" i="7"/>
  <c r="H144" i="7" s="1"/>
  <c r="L144" i="7" s="1"/>
  <c r="F122" i="7"/>
  <c r="F125" i="7"/>
  <c r="H125" i="7" s="1"/>
  <c r="L125" i="7" s="1"/>
  <c r="G126" i="7"/>
  <c r="F129" i="7"/>
  <c r="H129" i="7" s="1"/>
  <c r="L129" i="7" s="1"/>
  <c r="J129" i="7"/>
  <c r="N129" i="7" s="1"/>
  <c r="G130" i="7"/>
  <c r="F131" i="7"/>
  <c r="H131" i="7" s="1"/>
  <c r="L131" i="7" s="1"/>
  <c r="J135" i="7"/>
  <c r="N135" i="7" s="1"/>
  <c r="F136" i="7"/>
  <c r="H136" i="7" s="1"/>
  <c r="L136" i="7" s="1"/>
  <c r="J136" i="7"/>
  <c r="N136" i="7" s="1"/>
  <c r="G137" i="7"/>
  <c r="J138" i="7"/>
  <c r="N138" i="7" s="1"/>
  <c r="G140" i="7"/>
  <c r="I142" i="7"/>
  <c r="G143" i="7"/>
  <c r="I144" i="7"/>
  <c r="H122" i="7"/>
  <c r="L122" i="7" s="1"/>
  <c r="F123" i="7"/>
  <c r="H123" i="7" s="1"/>
  <c r="L123" i="7" s="1"/>
  <c r="I123" i="7"/>
  <c r="J123" i="7"/>
  <c r="N123" i="7" s="1"/>
  <c r="I128" i="7"/>
  <c r="J131" i="7"/>
  <c r="N131" i="7" s="1"/>
  <c r="G132" i="7"/>
  <c r="G133" i="7"/>
  <c r="I134" i="7"/>
  <c r="G135" i="7"/>
  <c r="I136" i="7"/>
  <c r="F137" i="7"/>
  <c r="H137" i="7" s="1"/>
  <c r="L137" i="7" s="1"/>
  <c r="G139" i="7"/>
  <c r="I141" i="7"/>
  <c r="J122" i="7"/>
  <c r="N122" i="7" s="1"/>
  <c r="I125" i="7"/>
  <c r="I126" i="7"/>
  <c r="G127" i="7"/>
  <c r="J127" i="7"/>
  <c r="N127" i="7" s="1"/>
  <c r="F128" i="7"/>
  <c r="H128" i="7" s="1"/>
  <c r="L128" i="7" s="1"/>
  <c r="J128" i="7"/>
  <c r="N128" i="7" s="1"/>
  <c r="G129" i="7"/>
  <c r="F130" i="7"/>
  <c r="H130" i="7" s="1"/>
  <c r="L130" i="7" s="1"/>
  <c r="I131" i="7"/>
  <c r="J132" i="7"/>
  <c r="N132" i="7" s="1"/>
  <c r="F133" i="7"/>
  <c r="H133" i="7" s="1"/>
  <c r="L133" i="7" s="1"/>
  <c r="I133" i="7"/>
  <c r="F134" i="7"/>
  <c r="H134" i="7" s="1"/>
  <c r="L134" i="7" s="1"/>
  <c r="I135" i="7"/>
  <c r="J139" i="7"/>
  <c r="N139" i="7" s="1"/>
  <c r="F140" i="7"/>
  <c r="H140" i="7" s="1"/>
  <c r="L140" i="7" s="1"/>
  <c r="J140" i="7"/>
  <c r="N140" i="7" s="1"/>
  <c r="F141" i="7"/>
  <c r="H141" i="7" s="1"/>
  <c r="L141" i="7" s="1"/>
  <c r="J141" i="7"/>
  <c r="N141" i="7" s="1"/>
  <c r="G142" i="7"/>
  <c r="J143" i="7"/>
  <c r="N143" i="7" s="1"/>
  <c r="J144" i="7"/>
  <c r="N144" i="7" s="1"/>
  <c r="I122" i="7"/>
  <c r="J125" i="7"/>
  <c r="N125" i="7" s="1"/>
  <c r="F126" i="7"/>
  <c r="H126" i="7" s="1"/>
  <c r="L126" i="7" s="1"/>
  <c r="J126" i="7"/>
  <c r="N126" i="7" s="1"/>
  <c r="F127" i="7"/>
  <c r="H127" i="7" s="1"/>
  <c r="L127" i="7" s="1"/>
  <c r="I127" i="7"/>
  <c r="G144" i="7"/>
  <c r="J40" i="7"/>
  <c r="G40" i="7"/>
  <c r="H40" i="7"/>
  <c r="I40" i="7"/>
  <c r="I44" i="7"/>
  <c r="G44" i="7"/>
  <c r="H44" i="7"/>
  <c r="J44" i="7"/>
  <c r="G49" i="7"/>
  <c r="H49" i="7"/>
  <c r="J49" i="7"/>
  <c r="I49" i="7"/>
  <c r="H35" i="7"/>
  <c r="I35" i="7"/>
  <c r="G35" i="7"/>
  <c r="J35" i="7"/>
  <c r="H39" i="7"/>
  <c r="G39" i="7"/>
  <c r="J39" i="7"/>
  <c r="I39" i="7"/>
  <c r="I48" i="7"/>
  <c r="J48" i="7"/>
  <c r="H48" i="7"/>
  <c r="G48" i="7"/>
  <c r="H37" i="7"/>
  <c r="G37" i="7"/>
  <c r="I37" i="7"/>
  <c r="J37" i="7"/>
  <c r="H43" i="7"/>
  <c r="I43" i="7"/>
  <c r="J43" i="7"/>
  <c r="G43" i="7"/>
  <c r="J28" i="7"/>
  <c r="G28" i="7"/>
  <c r="H28" i="7"/>
  <c r="I28" i="7"/>
  <c r="H42" i="7"/>
  <c r="I42" i="7"/>
  <c r="G42" i="7"/>
  <c r="J42" i="7"/>
  <c r="G29" i="7"/>
  <c r="J29" i="7"/>
  <c r="I29" i="7"/>
  <c r="H29" i="7"/>
  <c r="G41" i="7"/>
  <c r="I41" i="7"/>
  <c r="J41" i="7"/>
  <c r="H41" i="7"/>
  <c r="J33" i="7"/>
  <c r="I33" i="7"/>
  <c r="H33" i="7"/>
  <c r="G33" i="7"/>
  <c r="H34" i="7"/>
  <c r="J34" i="7"/>
  <c r="I34" i="7"/>
  <c r="G34" i="7"/>
  <c r="I27" i="7"/>
  <c r="G27" i="7"/>
  <c r="J27" i="7"/>
  <c r="H27" i="7"/>
  <c r="H36" i="7"/>
  <c r="I36" i="7"/>
  <c r="J36" i="7"/>
  <c r="G36" i="7"/>
  <c r="H47" i="7"/>
  <c r="I47" i="7"/>
  <c r="G47" i="7"/>
  <c r="J47" i="7"/>
  <c r="I45" i="7"/>
  <c r="H45" i="7"/>
  <c r="J45" i="7"/>
  <c r="G45" i="7"/>
  <c r="I46" i="7"/>
  <c r="G46" i="7"/>
  <c r="J46" i="7"/>
  <c r="H46" i="7"/>
  <c r="I38" i="7"/>
  <c r="J38" i="7"/>
  <c r="G38" i="7"/>
  <c r="H38" i="7"/>
  <c r="J593" i="3"/>
  <c r="J772" i="3"/>
  <c r="J794" i="3"/>
  <c r="J797" i="3"/>
  <c r="J803" i="3"/>
  <c r="J807" i="3"/>
  <c r="J821" i="3"/>
  <c r="J854" i="3"/>
  <c r="J892" i="3"/>
  <c r="J910" i="3"/>
  <c r="J928" i="3"/>
  <c r="E31" i="7"/>
  <c r="E40" i="7"/>
  <c r="E44" i="7"/>
  <c r="E49" i="7"/>
  <c r="E35" i="7"/>
  <c r="J26" i="7"/>
  <c r="D17" i="7"/>
  <c r="D15" i="7"/>
  <c r="C14" i="7"/>
  <c r="C19" i="7"/>
  <c r="E26" i="7"/>
  <c r="C15" i="7"/>
  <c r="C21" i="7"/>
  <c r="C17" i="7"/>
  <c r="D14" i="7"/>
  <c r="I26" i="7"/>
  <c r="H26" i="7"/>
  <c r="G26" i="7"/>
  <c r="D21" i="7"/>
  <c r="D19" i="7"/>
  <c r="E30" i="7"/>
  <c r="E39" i="7"/>
  <c r="E48" i="7"/>
  <c r="E32" i="7"/>
  <c r="E37" i="7"/>
  <c r="E43" i="7"/>
  <c r="E28" i="7"/>
  <c r="E42" i="7"/>
  <c r="E29" i="7"/>
  <c r="E41" i="7"/>
  <c r="E33" i="7"/>
  <c r="E34" i="7"/>
  <c r="E27" i="7"/>
  <c r="E36" i="7"/>
  <c r="E47" i="7"/>
  <c r="E45" i="7"/>
  <c r="E46" i="7"/>
  <c r="E38" i="7"/>
  <c r="B21" i="7"/>
  <c r="B19" i="7"/>
  <c r="W8" i="13" s="1"/>
  <c r="B17" i="7"/>
  <c r="Q8" i="13" s="1"/>
  <c r="B15" i="7"/>
  <c r="B14" i="7"/>
  <c r="Y24" i="3"/>
  <c r="Y95" i="3"/>
  <c r="Y7" i="3"/>
  <c r="Y10" i="3"/>
  <c r="Y57" i="3"/>
  <c r="Y81" i="3"/>
  <c r="Y48" i="3"/>
  <c r="U324" i="3"/>
  <c r="U330" i="3"/>
  <c r="U338" i="3"/>
  <c r="U405" i="3"/>
  <c r="Y405" i="3" s="1"/>
  <c r="Z405" i="3" s="1"/>
  <c r="U421" i="3"/>
  <c r="Y421" i="3" s="1"/>
  <c r="Z421" i="3" s="1"/>
  <c r="U461" i="3"/>
  <c r="U466" i="3"/>
  <c r="Y466" i="3" s="1"/>
  <c r="Z466" i="3" s="1"/>
  <c r="U486" i="3"/>
  <c r="Y486" i="3" s="1"/>
  <c r="Z486" i="3" s="1"/>
  <c r="U537" i="3"/>
  <c r="Y537" i="3" s="1"/>
  <c r="Z537" i="3" s="1"/>
  <c r="U542" i="3"/>
  <c r="Y542" i="3" s="1"/>
  <c r="Z542" i="3" s="1"/>
  <c r="U310" i="3"/>
  <c r="U345" i="3"/>
  <c r="Y345" i="3" s="1"/>
  <c r="Z345" i="3" s="1"/>
  <c r="U361" i="3"/>
  <c r="U566" i="3"/>
  <c r="Y566" i="3" s="1"/>
  <c r="Z566" i="3" s="1"/>
  <c r="U396" i="3"/>
  <c r="Y396" i="3" s="1"/>
  <c r="Z396" i="3" s="1"/>
  <c r="U463" i="3"/>
  <c r="U509" i="3"/>
  <c r="Y509" i="3" s="1"/>
  <c r="Z509" i="3" s="1"/>
  <c r="U555" i="3"/>
  <c r="Y555" i="3" s="1"/>
  <c r="Z555" i="3" s="1"/>
  <c r="U563" i="3"/>
  <c r="Y563" i="3" s="1"/>
  <c r="Z563" i="3" s="1"/>
  <c r="U585" i="3"/>
  <c r="Y585" i="3" s="1"/>
  <c r="Z585" i="3" s="1"/>
  <c r="U594" i="3"/>
  <c r="Y594" i="3" s="1"/>
  <c r="Z594" i="3" s="1"/>
  <c r="U612" i="3"/>
  <c r="Y612" i="3" s="1"/>
  <c r="Z612" i="3" s="1"/>
  <c r="U371" i="3"/>
  <c r="U647" i="3"/>
  <c r="Y647" i="3" s="1"/>
  <c r="Z647" i="3" s="1"/>
  <c r="U390" i="3"/>
  <c r="Y390" i="3" s="1"/>
  <c r="Z390" i="3" s="1"/>
  <c r="U473" i="3"/>
  <c r="Y473" i="3" s="1"/>
  <c r="Z473" i="3" s="1"/>
  <c r="U517" i="3"/>
  <c r="Y517" i="3" s="1"/>
  <c r="Z517" i="3" s="1"/>
  <c r="U662" i="3"/>
  <c r="Y662" i="3" s="1"/>
  <c r="Z662" i="3" s="1"/>
  <c r="U724" i="3"/>
  <c r="Y724" i="3" s="1"/>
  <c r="Z724" i="3" s="1"/>
  <c r="U327" i="3"/>
  <c r="U459" i="3"/>
  <c r="Y459" i="3" s="1"/>
  <c r="Z459" i="3" s="1"/>
  <c r="U761" i="3"/>
  <c r="Y761" i="3" s="1"/>
  <c r="Z761" i="3" s="1"/>
  <c r="U788" i="3"/>
  <c r="Y788" i="3" s="1"/>
  <c r="Z788" i="3" s="1"/>
  <c r="U342" i="3"/>
  <c r="U370" i="3"/>
  <c r="Y370" i="3" s="1"/>
  <c r="Z370" i="3" s="1"/>
  <c r="U543" i="3"/>
  <c r="Y543" i="3" s="1"/>
  <c r="Z543" i="3" s="1"/>
  <c r="U565" i="3"/>
  <c r="Y565" i="3" s="1"/>
  <c r="Z565" i="3" s="1"/>
  <c r="U660" i="3"/>
  <c r="Y660" i="3" s="1"/>
  <c r="Z660" i="3" s="1"/>
  <c r="U746" i="3"/>
  <c r="Y746" i="3" s="1"/>
  <c r="Z746" i="3" s="1"/>
  <c r="U816" i="3"/>
  <c r="Y816" i="3" s="1"/>
  <c r="Z816" i="3" s="1"/>
  <c r="U403" i="3"/>
  <c r="Y403" i="3" s="1"/>
  <c r="Z403" i="3" s="1"/>
  <c r="U404" i="3"/>
  <c r="Y404" i="3" s="1"/>
  <c r="Z404" i="3" s="1"/>
  <c r="U412" i="3"/>
  <c r="Y412" i="3" s="1"/>
  <c r="Z412" i="3" s="1"/>
  <c r="U467" i="3"/>
  <c r="Y467" i="3" s="1"/>
  <c r="Z467" i="3" s="1"/>
  <c r="U626" i="3"/>
  <c r="Y626" i="3" s="1"/>
  <c r="Z626" i="3" s="1"/>
  <c r="U666" i="3"/>
  <c r="Y666" i="3" s="1"/>
  <c r="Z666" i="3" s="1"/>
  <c r="U701" i="3"/>
  <c r="Y701" i="3" s="1"/>
  <c r="Z701" i="3" s="1"/>
  <c r="U367" i="3"/>
  <c r="Y367" i="3" s="1"/>
  <c r="Z367" i="3" s="1"/>
  <c r="U532" i="3"/>
  <c r="Y532" i="3" s="1"/>
  <c r="Z532" i="3" s="1"/>
  <c r="U568" i="3"/>
  <c r="Y568" i="3" s="1"/>
  <c r="Z568" i="3" s="1"/>
  <c r="U591" i="3"/>
  <c r="Y591" i="3" s="1"/>
  <c r="Z591" i="3" s="1"/>
  <c r="U707" i="3"/>
  <c r="Y707" i="3" s="1"/>
  <c r="Z707" i="3" s="1"/>
  <c r="U851" i="3"/>
  <c r="Y851" i="3" s="1"/>
  <c r="Z851" i="3" s="1"/>
  <c r="U908" i="3"/>
  <c r="Y908" i="3" s="1"/>
  <c r="Z908" i="3" s="1"/>
  <c r="U349" i="3"/>
  <c r="U470" i="3"/>
  <c r="Y470" i="3" s="1"/>
  <c r="Z470" i="3" s="1"/>
  <c r="U540" i="3"/>
  <c r="Y540" i="3" s="1"/>
  <c r="Z540" i="3" s="1"/>
  <c r="U580" i="3"/>
  <c r="U604" i="3"/>
  <c r="Y604" i="3" s="1"/>
  <c r="Z604" i="3" s="1"/>
  <c r="U721" i="3"/>
  <c r="Y721" i="3" s="1"/>
  <c r="Z721" i="3" s="1"/>
  <c r="U780" i="3"/>
  <c r="Y780" i="3" s="1"/>
  <c r="Z780" i="3" s="1"/>
  <c r="U793" i="3"/>
  <c r="Y793" i="3" s="1"/>
  <c r="Z793" i="3" s="1"/>
  <c r="U802" i="3"/>
  <c r="Y802" i="3" s="1"/>
  <c r="Z802" i="3" s="1"/>
  <c r="U819" i="3"/>
  <c r="Y819" i="3" s="1"/>
  <c r="Z819" i="3" s="1"/>
  <c r="U868" i="3"/>
  <c r="Y868" i="3" s="1"/>
  <c r="Z868" i="3" s="1"/>
  <c r="U915" i="3"/>
  <c r="Y915" i="3" s="1"/>
  <c r="Z915" i="3" s="1"/>
  <c r="U1006" i="3"/>
  <c r="Y1006" i="3" s="1"/>
  <c r="Z1006" i="3" s="1"/>
  <c r="U1044" i="3"/>
  <c r="Y1044" i="3" s="1"/>
  <c r="Z1044" i="3" s="1"/>
  <c r="U551" i="3"/>
  <c r="Y551" i="3" s="1"/>
  <c r="Z551" i="3" s="1"/>
  <c r="U760" i="3"/>
  <c r="Y760" i="3" s="1"/>
  <c r="Z760" i="3" s="1"/>
  <c r="U764" i="3"/>
  <c r="Y764" i="3" s="1"/>
  <c r="Z764" i="3" s="1"/>
  <c r="U770" i="3"/>
  <c r="Y770" i="3" s="1"/>
  <c r="Z770" i="3" s="1"/>
  <c r="U876" i="3"/>
  <c r="Y876" i="3" s="1"/>
  <c r="Z876" i="3" s="1"/>
  <c r="U988" i="3"/>
  <c r="Y988" i="3" s="1"/>
  <c r="Z988" i="3" s="1"/>
  <c r="U1025" i="3"/>
  <c r="Y1025" i="3" s="1"/>
  <c r="Z1025" i="3" s="1"/>
  <c r="U1055" i="3"/>
  <c r="Y1055" i="3" s="1"/>
  <c r="Z1055" i="3" s="1"/>
  <c r="U1061" i="3"/>
  <c r="Y1061" i="3" s="1"/>
  <c r="Z1061" i="3" s="1"/>
  <c r="U1193" i="3"/>
  <c r="Y1193" i="3" s="1"/>
  <c r="Z1193" i="3" s="1"/>
  <c r="U329" i="3"/>
  <c r="U354" i="3"/>
  <c r="U414" i="3"/>
  <c r="Y414" i="3" s="1"/>
  <c r="Z414" i="3" s="1"/>
  <c r="U425" i="3"/>
  <c r="Y425" i="3" s="1"/>
  <c r="Z425" i="3" s="1"/>
  <c r="U430" i="3"/>
  <c r="U460" i="3"/>
  <c r="U464" i="3"/>
  <c r="U469" i="3"/>
  <c r="Y469" i="3" s="1"/>
  <c r="Z469" i="3" s="1"/>
  <c r="U484" i="3"/>
  <c r="Y484" i="3" s="1"/>
  <c r="Z484" i="3" s="1"/>
  <c r="U575" i="3"/>
  <c r="Y575" i="3" s="1"/>
  <c r="Z575" i="3" s="1"/>
  <c r="U586" i="3"/>
  <c r="U598" i="3"/>
  <c r="Y598" i="3" s="1"/>
  <c r="Z598" i="3" s="1"/>
  <c r="U729" i="3"/>
  <c r="Y729" i="3" s="1"/>
  <c r="Z729" i="3" s="1"/>
  <c r="U874" i="3"/>
  <c r="Y874" i="3" s="1"/>
  <c r="Z874" i="3" s="1"/>
  <c r="U1081" i="3"/>
  <c r="Y1081" i="3" s="1"/>
  <c r="Z1081" i="3" s="1"/>
  <c r="U1092" i="3"/>
  <c r="Y1092" i="3" s="1"/>
  <c r="Z1092" i="3" s="1"/>
  <c r="U1103" i="3"/>
  <c r="Y1103" i="3" s="1"/>
  <c r="Z1103" i="3" s="1"/>
  <c r="U1115" i="3"/>
  <c r="Y1115" i="3" s="1"/>
  <c r="Z1115" i="3" s="1"/>
  <c r="U1308" i="3"/>
  <c r="Y1308" i="3" s="1"/>
  <c r="Z1308" i="3" s="1"/>
  <c r="U1340" i="3"/>
  <c r="Y1340" i="3" s="1"/>
  <c r="Z1340" i="3" s="1"/>
  <c r="U311" i="3"/>
  <c r="Y311" i="3" s="1"/>
  <c r="Z311" i="3" s="1"/>
  <c r="U322" i="3"/>
  <c r="U356" i="3"/>
  <c r="Y356" i="3" s="1"/>
  <c r="Z356" i="3" s="1"/>
  <c r="U381" i="3"/>
  <c r="Y381" i="3" s="1"/>
  <c r="Z381" i="3" s="1"/>
  <c r="U436" i="3"/>
  <c r="U475" i="3"/>
  <c r="Y475" i="3" s="1"/>
  <c r="Z475" i="3" s="1"/>
  <c r="U481" i="3"/>
  <c r="Y481" i="3" s="1"/>
  <c r="Z481" i="3" s="1"/>
  <c r="U578" i="3"/>
  <c r="U668" i="3"/>
  <c r="Y668" i="3" s="1"/>
  <c r="Z668" i="3" s="1"/>
  <c r="U683" i="3"/>
  <c r="Y683" i="3" s="1"/>
  <c r="Z683" i="3" s="1"/>
  <c r="U728" i="3"/>
  <c r="Y728" i="3" s="1"/>
  <c r="Z728" i="3" s="1"/>
  <c r="U757" i="3"/>
  <c r="Y757" i="3" s="1"/>
  <c r="Z757" i="3" s="1"/>
  <c r="U979" i="3"/>
  <c r="Y979" i="3" s="1"/>
  <c r="Z979" i="3" s="1"/>
  <c r="U1057" i="3"/>
  <c r="U1116" i="3"/>
  <c r="Y1116" i="3" s="1"/>
  <c r="Z1116" i="3" s="1"/>
  <c r="U1166" i="3"/>
  <c r="Y1166" i="3" s="1"/>
  <c r="Z1166" i="3" s="1"/>
  <c r="U1198" i="3"/>
  <c r="Y1198" i="3" s="1"/>
  <c r="Z1198" i="3" s="1"/>
  <c r="U1251" i="3"/>
  <c r="Y1251" i="3" s="1"/>
  <c r="Z1251" i="3" s="1"/>
  <c r="U1410" i="3"/>
  <c r="Y1410" i="3" s="1"/>
  <c r="Z1410" i="3" s="1"/>
  <c r="U1437" i="3"/>
  <c r="Y1437" i="3" s="1"/>
  <c r="Z1437" i="3" s="1"/>
  <c r="U1443" i="3"/>
  <c r="Y1443" i="3" s="1"/>
  <c r="Z1443" i="3" s="1"/>
  <c r="U1521" i="3"/>
  <c r="Y1521" i="3" s="1"/>
  <c r="Z1521" i="3" s="1"/>
  <c r="U364" i="3"/>
  <c r="U496" i="3"/>
  <c r="Y496" i="3" s="1"/>
  <c r="Z496" i="3" s="1"/>
  <c r="U836" i="3"/>
  <c r="Y836" i="3" s="1"/>
  <c r="Z836" i="3" s="1"/>
  <c r="U883" i="3"/>
  <c r="Y883" i="3" s="1"/>
  <c r="Z883" i="3" s="1"/>
  <c r="U1090" i="3"/>
  <c r="Y1090" i="3" s="1"/>
  <c r="Z1090" i="3" s="1"/>
  <c r="U1201" i="3"/>
  <c r="U1289" i="3"/>
  <c r="Y1289" i="3" s="1"/>
  <c r="Z1289" i="3" s="1"/>
  <c r="U1326" i="3"/>
  <c r="Y1326" i="3" s="1"/>
  <c r="Z1326" i="3" s="1"/>
  <c r="U1588" i="3"/>
  <c r="Y1588" i="3" s="1"/>
  <c r="Z1588" i="3" s="1"/>
  <c r="U1619" i="3"/>
  <c r="Y1619" i="3" s="1"/>
  <c r="Z1619" i="3" s="1"/>
  <c r="U1634" i="3"/>
  <c r="Y1634" i="3" s="1"/>
  <c r="Z1634" i="3" s="1"/>
  <c r="U457" i="3"/>
  <c r="Y457" i="3" s="1"/>
  <c r="Z457" i="3" s="1"/>
  <c r="U503" i="3"/>
  <c r="Y503" i="3" s="1"/>
  <c r="Z503" i="3" s="1"/>
  <c r="U603" i="3"/>
  <c r="Y603" i="3" s="1"/>
  <c r="Z603" i="3" s="1"/>
  <c r="U665" i="3"/>
  <c r="Y665" i="3" s="1"/>
  <c r="Z665" i="3" s="1"/>
  <c r="U776" i="3"/>
  <c r="Y776" i="3" s="1"/>
  <c r="Z776" i="3" s="1"/>
  <c r="U958" i="3"/>
  <c r="Y958" i="3" s="1"/>
  <c r="Z958" i="3" s="1"/>
  <c r="U1062" i="3"/>
  <c r="Y1062" i="3" s="1"/>
  <c r="Z1062" i="3" s="1"/>
  <c r="U1136" i="3"/>
  <c r="Y1136" i="3" s="1"/>
  <c r="Z1136" i="3" s="1"/>
  <c r="U1263" i="3"/>
  <c r="Y1263" i="3" s="1"/>
  <c r="Z1263" i="3" s="1"/>
  <c r="U1269" i="3"/>
  <c r="Y1269" i="3" s="1"/>
  <c r="Z1269" i="3" s="1"/>
  <c r="U1396" i="3"/>
  <c r="Y1396" i="3" s="1"/>
  <c r="Z1396" i="3" s="1"/>
  <c r="U1585" i="3"/>
  <c r="Y1585" i="3" s="1"/>
  <c r="Z1585" i="3" s="1"/>
  <c r="U1621" i="3"/>
  <c r="Y1621" i="3" s="1"/>
  <c r="Z1621" i="3" s="1"/>
  <c r="U1676" i="3"/>
  <c r="U1693" i="3"/>
  <c r="Y1693" i="3" s="1"/>
  <c r="Z1693" i="3" s="1"/>
  <c r="U1702" i="3"/>
  <c r="Y1702" i="3" s="1"/>
  <c r="Z1702" i="3" s="1"/>
  <c r="U1711" i="3"/>
  <c r="Y1711" i="3" s="1"/>
  <c r="Z1711" i="3" s="1"/>
  <c r="U765" i="3"/>
  <c r="Y765" i="3" s="1"/>
  <c r="Z765" i="3" s="1"/>
  <c r="U1506" i="3"/>
  <c r="Y1506" i="3" s="1"/>
  <c r="Z1506" i="3" s="1"/>
  <c r="U359" i="3"/>
  <c r="Y359" i="3" s="1"/>
  <c r="Z359" i="3" s="1"/>
  <c r="U451" i="3"/>
  <c r="U559" i="3"/>
  <c r="Y559" i="3" s="1"/>
  <c r="Z559" i="3" s="1"/>
  <c r="U675" i="3"/>
  <c r="Y675" i="3" s="1"/>
  <c r="Z675" i="3" s="1"/>
  <c r="U914" i="3"/>
  <c r="Y914" i="3" s="1"/>
  <c r="Z914" i="3" s="1"/>
  <c r="U1089" i="3"/>
  <c r="Y1089" i="3" s="1"/>
  <c r="Z1089" i="3" s="1"/>
  <c r="U1142" i="3"/>
  <c r="Y1142" i="3" s="1"/>
  <c r="Z1142" i="3" s="1"/>
  <c r="U1213" i="3"/>
  <c r="Y1213" i="3" s="1"/>
  <c r="Z1213" i="3" s="1"/>
  <c r="U1361" i="3"/>
  <c r="Y1361" i="3" s="1"/>
  <c r="Z1361" i="3" s="1"/>
  <c r="U1399" i="3"/>
  <c r="Y1399" i="3" s="1"/>
  <c r="Z1399" i="3" s="1"/>
  <c r="U1456" i="3"/>
  <c r="Y1456" i="3" s="1"/>
  <c r="Z1456" i="3" s="1"/>
  <c r="U1563" i="3"/>
  <c r="Y1563" i="3" s="1"/>
  <c r="Z1563" i="3" s="1"/>
  <c r="U1661" i="3"/>
  <c r="Y1661" i="3" s="1"/>
  <c r="Z1661" i="3" s="1"/>
  <c r="U1684" i="3"/>
  <c r="Y1684" i="3" s="1"/>
  <c r="Z1684" i="3" s="1"/>
  <c r="U1758" i="3"/>
  <c r="Y1758" i="3" s="1"/>
  <c r="Z1758" i="3" s="1"/>
  <c r="U614" i="3"/>
  <c r="Y614" i="3" s="1"/>
  <c r="Z614" i="3" s="1"/>
  <c r="U656" i="3"/>
  <c r="Y656" i="3" s="1"/>
  <c r="Z656" i="3" s="1"/>
  <c r="U896" i="3"/>
  <c r="Y896" i="3" s="1"/>
  <c r="Z896" i="3" s="1"/>
  <c r="U907" i="3"/>
  <c r="Y907" i="3" s="1"/>
  <c r="Z907" i="3" s="1"/>
  <c r="U952" i="3"/>
  <c r="Y952" i="3" s="1"/>
  <c r="Z952" i="3" s="1"/>
  <c r="U1066" i="3"/>
  <c r="Y1066" i="3" s="1"/>
  <c r="Z1066" i="3" s="1"/>
  <c r="U1111" i="3"/>
  <c r="Y1111" i="3" s="1"/>
  <c r="Z1111" i="3" s="1"/>
  <c r="U1155" i="3"/>
  <c r="Y1155" i="3" s="1"/>
  <c r="Z1155" i="3" s="1"/>
  <c r="U1296" i="3"/>
  <c r="Y1296" i="3" s="1"/>
  <c r="Z1296" i="3" s="1"/>
  <c r="U1343" i="3"/>
  <c r="Y1343" i="3" s="1"/>
  <c r="Z1343" i="3" s="1"/>
  <c r="U1347" i="3"/>
  <c r="Y1347" i="3" s="1"/>
  <c r="Z1347" i="3" s="1"/>
  <c r="U1357" i="3"/>
  <c r="Y1357" i="3" s="1"/>
  <c r="Z1357" i="3" s="1"/>
  <c r="U1405" i="3"/>
  <c r="Y1405" i="3" s="1"/>
  <c r="Z1405" i="3" s="1"/>
  <c r="U1424" i="3"/>
  <c r="Y1424" i="3" s="1"/>
  <c r="Z1424" i="3" s="1"/>
  <c r="U1524" i="3"/>
  <c r="Y1524" i="3" s="1"/>
  <c r="Z1524" i="3" s="1"/>
  <c r="U1578" i="3"/>
  <c r="Y1578" i="3" s="1"/>
  <c r="Z1578" i="3" s="1"/>
  <c r="U1593" i="3"/>
  <c r="Y1593" i="3" s="1"/>
  <c r="Z1593" i="3" s="1"/>
  <c r="U1610" i="3"/>
  <c r="Y1610" i="3" s="1"/>
  <c r="Z1610" i="3" s="1"/>
  <c r="U1782" i="3"/>
  <c r="Y1782" i="3" s="1"/>
  <c r="Z1782" i="3" s="1"/>
  <c r="U1794" i="3"/>
  <c r="Y1794" i="3" s="1"/>
  <c r="Z1794" i="3" s="1"/>
  <c r="U1875" i="3"/>
  <c r="Y1875" i="3" s="1"/>
  <c r="Z1875" i="3" s="1"/>
  <c r="U399" i="3"/>
  <c r="U407" i="3"/>
  <c r="Y407" i="3" s="1"/>
  <c r="Z407" i="3" s="1"/>
  <c r="U510" i="3"/>
  <c r="Y510" i="3" s="1"/>
  <c r="Z510" i="3" s="1"/>
  <c r="U818" i="3"/>
  <c r="Y818" i="3" s="1"/>
  <c r="Z818" i="3" s="1"/>
  <c r="U825" i="3"/>
  <c r="Y825" i="3" s="1"/>
  <c r="Z825" i="3" s="1"/>
  <c r="U827" i="3"/>
  <c r="Y827" i="3" s="1"/>
  <c r="Z827" i="3" s="1"/>
  <c r="U859" i="3"/>
  <c r="Y859" i="3" s="1"/>
  <c r="Z859" i="3" s="1"/>
  <c r="U1098" i="3"/>
  <c r="Y1098" i="3" s="1"/>
  <c r="Z1098" i="3" s="1"/>
  <c r="U1146" i="3"/>
  <c r="Y1146" i="3" s="1"/>
  <c r="Z1146" i="3" s="1"/>
  <c r="U1154" i="3"/>
  <c r="Y1154" i="3" s="1"/>
  <c r="Z1154" i="3" s="1"/>
  <c r="U1210" i="3"/>
  <c r="Y1210" i="3" s="1"/>
  <c r="Z1210" i="3" s="1"/>
  <c r="U1220" i="3"/>
  <c r="Y1220" i="3" s="1"/>
  <c r="Z1220" i="3" s="1"/>
  <c r="U1231" i="3"/>
  <c r="Y1231" i="3" s="1"/>
  <c r="Z1231" i="3" s="1"/>
  <c r="U1234" i="3"/>
  <c r="Y1234" i="3" s="1"/>
  <c r="Z1234" i="3" s="1"/>
  <c r="U1284" i="3"/>
  <c r="Y1284" i="3" s="1"/>
  <c r="Z1284" i="3" s="1"/>
  <c r="U1395" i="3"/>
  <c r="Y1395" i="3" s="1"/>
  <c r="Z1395" i="3" s="1"/>
  <c r="U1431" i="3"/>
  <c r="Y1431" i="3" s="1"/>
  <c r="Z1431" i="3" s="1"/>
  <c r="U1451" i="3"/>
  <c r="Y1451" i="3" s="1"/>
  <c r="Z1451" i="3" s="1"/>
  <c r="U1538" i="3"/>
  <c r="Y1538" i="3" s="1"/>
  <c r="Z1538" i="3" s="1"/>
  <c r="U1594" i="3"/>
  <c r="Y1594" i="3" s="1"/>
  <c r="Z1594" i="3" s="1"/>
  <c r="U1605" i="3"/>
  <c r="Y1605" i="3" s="1"/>
  <c r="Z1605" i="3" s="1"/>
  <c r="U1641" i="3"/>
  <c r="Y1641" i="3" s="1"/>
  <c r="Z1641" i="3" s="1"/>
  <c r="U1654" i="3"/>
  <c r="Y1654" i="3" s="1"/>
  <c r="Z1654" i="3" s="1"/>
  <c r="U1659" i="3"/>
  <c r="Y1659" i="3" s="1"/>
  <c r="Z1659" i="3" s="1"/>
  <c r="U1680" i="3"/>
  <c r="Y1680" i="3" s="1"/>
  <c r="Z1680" i="3" s="1"/>
  <c r="U1781" i="3"/>
  <c r="Y1781" i="3" s="1"/>
  <c r="Z1781" i="3" s="1"/>
  <c r="U1812" i="3"/>
  <c r="Y1812" i="3" s="1"/>
  <c r="Z1812" i="3" s="1"/>
  <c r="U1835" i="3"/>
  <c r="Y1835" i="3" s="1"/>
  <c r="Z1835" i="3" s="1"/>
  <c r="U1871" i="3"/>
  <c r="Y1871" i="3" s="1"/>
  <c r="Z1871" i="3" s="1"/>
  <c r="U1897" i="3"/>
  <c r="Y1897" i="3" s="1"/>
  <c r="Z1897" i="3" s="1"/>
  <c r="U1978" i="3"/>
  <c r="Y1978" i="3" s="1"/>
  <c r="Z1978" i="3" s="1"/>
  <c r="U443" i="3"/>
  <c r="U582" i="3"/>
  <c r="U597" i="3"/>
  <c r="Y597" i="3" s="1"/>
  <c r="Z597" i="3" s="1"/>
  <c r="U632" i="3"/>
  <c r="Y632" i="3" s="1"/>
  <c r="Z632" i="3" s="1"/>
  <c r="U762" i="3"/>
  <c r="Y762" i="3" s="1"/>
  <c r="Z762" i="3" s="1"/>
  <c r="U782" i="3"/>
  <c r="Y782" i="3" s="1"/>
  <c r="Z782" i="3" s="1"/>
  <c r="U844" i="3"/>
  <c r="Y844" i="3" s="1"/>
  <c r="Z844" i="3" s="1"/>
  <c r="U932" i="3"/>
  <c r="Y932" i="3" s="1"/>
  <c r="Z932" i="3" s="1"/>
  <c r="U937" i="3"/>
  <c r="Y937" i="3" s="1"/>
  <c r="Z937" i="3" s="1"/>
  <c r="U1007" i="3"/>
  <c r="Y1007" i="3" s="1"/>
  <c r="Z1007" i="3" s="1"/>
  <c r="U1030" i="3"/>
  <c r="Y1030" i="3" s="1"/>
  <c r="Z1030" i="3" s="1"/>
  <c r="U1043" i="3"/>
  <c r="Y1043" i="3" s="1"/>
  <c r="Z1043" i="3" s="1"/>
  <c r="U1077" i="3"/>
  <c r="Y1077" i="3" s="1"/>
  <c r="Z1077" i="3" s="1"/>
  <c r="U1088" i="3"/>
  <c r="Y1088" i="3" s="1"/>
  <c r="Z1088" i="3" s="1"/>
  <c r="U1175" i="3"/>
  <c r="Y1175" i="3" s="1"/>
  <c r="Z1175" i="3" s="1"/>
  <c r="U1202" i="3"/>
  <c r="Y1202" i="3" s="1"/>
  <c r="Z1202" i="3" s="1"/>
  <c r="U1254" i="3"/>
  <c r="Y1254" i="3" s="1"/>
  <c r="Z1254" i="3" s="1"/>
  <c r="U1266" i="3"/>
  <c r="Y1266" i="3" s="1"/>
  <c r="Z1266" i="3" s="1"/>
  <c r="U1282" i="3"/>
  <c r="Y1282" i="3" s="1"/>
  <c r="Z1282" i="3" s="1"/>
  <c r="U1412" i="3"/>
  <c r="Y1412" i="3" s="1"/>
  <c r="Z1412" i="3" s="1"/>
  <c r="U1427" i="3"/>
  <c r="Y1427" i="3" s="1"/>
  <c r="Z1427" i="3" s="1"/>
  <c r="U1457" i="3"/>
  <c r="Y1457" i="3" s="1"/>
  <c r="Z1457" i="3" s="1"/>
  <c r="U1462" i="3"/>
  <c r="Y1462" i="3" s="1"/>
  <c r="Z1462" i="3" s="1"/>
  <c r="U1500" i="3"/>
  <c r="Y1500" i="3" s="1"/>
  <c r="Z1500" i="3" s="1"/>
  <c r="U1518" i="3"/>
  <c r="Y1518" i="3" s="1"/>
  <c r="Z1518" i="3" s="1"/>
  <c r="U1520" i="3"/>
  <c r="Y1520" i="3" s="1"/>
  <c r="Z1520" i="3" s="1"/>
  <c r="U1550" i="3"/>
  <c r="Y1550" i="3" s="1"/>
  <c r="Z1550" i="3" s="1"/>
  <c r="U1560" i="3"/>
  <c r="Y1560" i="3" s="1"/>
  <c r="Z1560" i="3" s="1"/>
  <c r="U1635" i="3"/>
  <c r="Y1635" i="3" s="1"/>
  <c r="Z1635" i="3" s="1"/>
  <c r="U1681" i="3"/>
  <c r="Y1681" i="3" s="1"/>
  <c r="Z1681" i="3" s="1"/>
  <c r="U1772" i="3"/>
  <c r="Y1772" i="3" s="1"/>
  <c r="Z1772" i="3" s="1"/>
  <c r="U1807" i="3"/>
  <c r="Y1807" i="3" s="1"/>
  <c r="Z1807" i="3" s="1"/>
  <c r="U1821" i="3"/>
  <c r="Y1821" i="3" s="1"/>
  <c r="Z1821" i="3" s="1"/>
  <c r="U1856" i="3"/>
  <c r="Y1856" i="3" s="1"/>
  <c r="Z1856" i="3" s="1"/>
  <c r="U1872" i="3"/>
  <c r="Y1872" i="3" s="1"/>
  <c r="Z1872" i="3" s="1"/>
  <c r="U1899" i="3"/>
  <c r="Y1899" i="3" s="1"/>
  <c r="Z1899" i="3" s="1"/>
  <c r="U1924" i="3"/>
  <c r="Y1924" i="3" s="1"/>
  <c r="Z1924" i="3" s="1"/>
  <c r="U1953" i="3"/>
  <c r="Y1953" i="3" s="1"/>
  <c r="Z1953" i="3" s="1"/>
  <c r="U1995" i="3"/>
  <c r="Y1995" i="3" s="1"/>
  <c r="Z1995" i="3" s="1"/>
  <c r="U2004" i="3"/>
  <c r="Y2004" i="3" s="1"/>
  <c r="Z2004" i="3" s="1"/>
  <c r="U2039" i="3"/>
  <c r="Y2039" i="3" s="1"/>
  <c r="Z2039" i="3" s="1"/>
  <c r="U2062" i="3"/>
  <c r="Y2062" i="3" s="1"/>
  <c r="Z2062" i="3" s="1"/>
  <c r="U2088" i="3"/>
  <c r="Y2088" i="3" s="1"/>
  <c r="Z2088" i="3" s="1"/>
  <c r="U339" i="3"/>
  <c r="U376" i="3"/>
  <c r="U446" i="3"/>
  <c r="U452" i="3"/>
  <c r="Y452" i="3" s="1"/>
  <c r="Z452" i="3" s="1"/>
  <c r="U504" i="3"/>
  <c r="Y504" i="3" s="1"/>
  <c r="Z504" i="3" s="1"/>
  <c r="U539" i="3"/>
  <c r="Y539" i="3" s="1"/>
  <c r="Z539" i="3" s="1"/>
  <c r="U545" i="3"/>
  <c r="Y545" i="3" s="1"/>
  <c r="Z545" i="3" s="1"/>
  <c r="U561" i="3"/>
  <c r="Y561" i="3" s="1"/>
  <c r="Z561" i="3" s="1"/>
  <c r="U592" i="3"/>
  <c r="U684" i="3"/>
  <c r="Y684" i="3" s="1"/>
  <c r="Z684" i="3" s="1"/>
  <c r="U704" i="3"/>
  <c r="Y704" i="3" s="1"/>
  <c r="Z704" i="3" s="1"/>
  <c r="U713" i="3"/>
  <c r="Y713" i="3" s="1"/>
  <c r="Z713" i="3" s="1"/>
  <c r="U790" i="3"/>
  <c r="Y790" i="3" s="1"/>
  <c r="Z790" i="3" s="1"/>
  <c r="U815" i="3"/>
  <c r="Y815" i="3" s="1"/>
  <c r="Z815" i="3" s="1"/>
  <c r="U850" i="3"/>
  <c r="Y850" i="3" s="1"/>
  <c r="Z850" i="3" s="1"/>
  <c r="U861" i="3"/>
  <c r="Y861" i="3" s="1"/>
  <c r="Z861" i="3" s="1"/>
  <c r="U987" i="3"/>
  <c r="Y987" i="3" s="1"/>
  <c r="Z987" i="3" s="1"/>
  <c r="U1000" i="3"/>
  <c r="Y1000" i="3" s="1"/>
  <c r="Z1000" i="3" s="1"/>
  <c r="U1051" i="3"/>
  <c r="Y1051" i="3" s="1"/>
  <c r="Z1051" i="3" s="1"/>
  <c r="U1097" i="3"/>
  <c r="Y1097" i="3" s="1"/>
  <c r="Z1097" i="3" s="1"/>
  <c r="U1106" i="3"/>
  <c r="Y1106" i="3" s="1"/>
  <c r="Z1106" i="3" s="1"/>
  <c r="U1178" i="3"/>
  <c r="Y1178" i="3" s="1"/>
  <c r="Z1178" i="3" s="1"/>
  <c r="U1279" i="3"/>
  <c r="Y1279" i="3" s="1"/>
  <c r="Z1279" i="3" s="1"/>
  <c r="U1359" i="3"/>
  <c r="Y1359" i="3" s="1"/>
  <c r="Z1359" i="3" s="1"/>
  <c r="U1375" i="3"/>
  <c r="Y1375" i="3" s="1"/>
  <c r="Z1375" i="3" s="1"/>
  <c r="U1393" i="3"/>
  <c r="Y1393" i="3" s="1"/>
  <c r="Z1393" i="3" s="1"/>
  <c r="U1453" i="3"/>
  <c r="Y1453" i="3" s="1"/>
  <c r="Z1453" i="3" s="1"/>
  <c r="U1454" i="3"/>
  <c r="Y1454" i="3" s="1"/>
  <c r="Z1454" i="3" s="1"/>
  <c r="U1535" i="3"/>
  <c r="Y1535" i="3" s="1"/>
  <c r="Z1535" i="3" s="1"/>
  <c r="U1557" i="3"/>
  <c r="Y1557" i="3" s="1"/>
  <c r="Z1557" i="3" s="1"/>
  <c r="U1571" i="3"/>
  <c r="Y1571" i="3" s="1"/>
  <c r="Z1571" i="3" s="1"/>
  <c r="U1577" i="3"/>
  <c r="Y1577" i="3" s="1"/>
  <c r="Z1577" i="3" s="1"/>
  <c r="U1599" i="3"/>
  <c r="Y1599" i="3" s="1"/>
  <c r="Z1599" i="3" s="1"/>
  <c r="U1691" i="3"/>
  <c r="Y1691" i="3" s="1"/>
  <c r="Z1691" i="3" s="1"/>
  <c r="U1738" i="3"/>
  <c r="Y1738" i="3" s="1"/>
  <c r="Z1738" i="3" s="1"/>
  <c r="U1925" i="3"/>
  <c r="Y1925" i="3" s="1"/>
  <c r="Z1925" i="3" s="1"/>
  <c r="U1936" i="3"/>
  <c r="Y1936" i="3" s="1"/>
  <c r="Z1936" i="3" s="1"/>
  <c r="U2013" i="3"/>
  <c r="Y2013" i="3" s="1"/>
  <c r="Z2013" i="3" s="1"/>
  <c r="U2030" i="3"/>
  <c r="Y2030" i="3" s="1"/>
  <c r="Z2030" i="3" s="1"/>
  <c r="U2044" i="3"/>
  <c r="Y2044" i="3" s="1"/>
  <c r="Z2044" i="3" s="1"/>
  <c r="U2082" i="3"/>
  <c r="Y2082" i="3" s="1"/>
  <c r="Z2082" i="3" s="1"/>
  <c r="U2093" i="3"/>
  <c r="Y2093" i="3" s="1"/>
  <c r="Z2093" i="3" s="1"/>
  <c r="U2126" i="3"/>
  <c r="Y2126" i="3" s="1"/>
  <c r="Z2126" i="3" s="1"/>
  <c r="U2149" i="3"/>
  <c r="Y2149" i="3" s="1"/>
  <c r="Z2149" i="3" s="1"/>
  <c r="U2266" i="3"/>
  <c r="Y2266" i="3" s="1"/>
  <c r="Z2266" i="3" s="1"/>
  <c r="U2273" i="3"/>
  <c r="Y2273" i="3" s="1"/>
  <c r="Z2273" i="3" s="1"/>
  <c r="U2319" i="3"/>
  <c r="Y2319" i="3" s="1"/>
  <c r="Z2319" i="3" s="1"/>
  <c r="U2356" i="3"/>
  <c r="Y2356" i="3" s="1"/>
  <c r="Z2356" i="3" s="1"/>
  <c r="U2376" i="3"/>
  <c r="Y2376" i="3" s="1"/>
  <c r="Z2376" i="3" s="1"/>
  <c r="U2380" i="3"/>
  <c r="Y2380" i="3" s="1"/>
  <c r="Z2380" i="3" s="1"/>
  <c r="U348" i="3"/>
  <c r="U365" i="3"/>
  <c r="U378" i="3"/>
  <c r="U379" i="3"/>
  <c r="Y379" i="3" s="1"/>
  <c r="Z379" i="3" s="1"/>
  <c r="U416" i="3"/>
  <c r="Y416" i="3" s="1"/>
  <c r="Z416" i="3" s="1"/>
  <c r="U427" i="3"/>
  <c r="U434" i="3"/>
  <c r="U523" i="3"/>
  <c r="Y523" i="3" s="1"/>
  <c r="Z523" i="3" s="1"/>
  <c r="U546" i="3"/>
  <c r="Y546" i="3" s="1"/>
  <c r="Z546" i="3" s="1"/>
  <c r="U595" i="3"/>
  <c r="Y595" i="3" s="1"/>
  <c r="Z595" i="3" s="1"/>
  <c r="U641" i="3"/>
  <c r="Y641" i="3" s="1"/>
  <c r="Z641" i="3" s="1"/>
  <c r="U651" i="3"/>
  <c r="Y651" i="3" s="1"/>
  <c r="Z651" i="3" s="1"/>
  <c r="U680" i="3"/>
  <c r="Y680" i="3" s="1"/>
  <c r="Z680" i="3" s="1"/>
  <c r="U699" i="3"/>
  <c r="Y699" i="3" s="1"/>
  <c r="Z699" i="3" s="1"/>
  <c r="U710" i="3"/>
  <c r="Y710" i="3" s="1"/>
  <c r="Z710" i="3" s="1"/>
  <c r="U716" i="3"/>
  <c r="Y716" i="3" s="1"/>
  <c r="Z716" i="3" s="1"/>
  <c r="U774" i="3"/>
  <c r="Y774" i="3" s="1"/>
  <c r="Z774" i="3" s="1"/>
  <c r="U809" i="3"/>
  <c r="Y809" i="3" s="1"/>
  <c r="Z809" i="3" s="1"/>
  <c r="U831" i="3"/>
  <c r="Y831" i="3" s="1"/>
  <c r="Z831" i="3" s="1"/>
  <c r="U835" i="3"/>
  <c r="Y835" i="3" s="1"/>
  <c r="Z835" i="3" s="1"/>
  <c r="U961" i="3"/>
  <c r="Y961" i="3" s="1"/>
  <c r="Z961" i="3" s="1"/>
  <c r="U997" i="3"/>
  <c r="Y997" i="3" s="1"/>
  <c r="Z997" i="3" s="1"/>
  <c r="U1047" i="3"/>
  <c r="Y1047" i="3" s="1"/>
  <c r="Z1047" i="3" s="1"/>
  <c r="U1380" i="3"/>
  <c r="Y1380" i="3" s="1"/>
  <c r="Z1380" i="3" s="1"/>
  <c r="U1536" i="3"/>
  <c r="Y1536" i="3" s="1"/>
  <c r="Z1536" i="3" s="1"/>
  <c r="U1581" i="3"/>
  <c r="Y1581" i="3" s="1"/>
  <c r="Z1581" i="3" s="1"/>
  <c r="U1627" i="3"/>
  <c r="Y1627" i="3" s="1"/>
  <c r="Z1627" i="3" s="1"/>
  <c r="U1690" i="3"/>
  <c r="Y1690" i="3" s="1"/>
  <c r="Z1690" i="3" s="1"/>
  <c r="U1703" i="3"/>
  <c r="Y1703" i="3" s="1"/>
  <c r="Z1703" i="3" s="1"/>
  <c r="U1735" i="3"/>
  <c r="Y1735" i="3" s="1"/>
  <c r="Z1735" i="3" s="1"/>
  <c r="U1788" i="3"/>
  <c r="Y1788" i="3" s="1"/>
  <c r="Z1788" i="3" s="1"/>
  <c r="U1789" i="3"/>
  <c r="Y1789" i="3" s="1"/>
  <c r="Z1789" i="3" s="1"/>
  <c r="U1792" i="3"/>
  <c r="Y1792" i="3" s="1"/>
  <c r="Z1792" i="3" s="1"/>
  <c r="U1804" i="3"/>
  <c r="Y1804" i="3" s="1"/>
  <c r="Z1804" i="3" s="1"/>
  <c r="U1850" i="3"/>
  <c r="Y1850" i="3" s="1"/>
  <c r="Z1850" i="3" s="1"/>
  <c r="U1860" i="3"/>
  <c r="Y1860" i="3" s="1"/>
  <c r="Z1860" i="3" s="1"/>
  <c r="U1932" i="3"/>
  <c r="Y1932" i="3" s="1"/>
  <c r="Z1932" i="3" s="1"/>
  <c r="U1949" i="3"/>
  <c r="Y1949" i="3" s="1"/>
  <c r="Z1949" i="3" s="1"/>
  <c r="U2005" i="3"/>
  <c r="Y2005" i="3" s="1"/>
  <c r="Z2005" i="3" s="1"/>
  <c r="U2014" i="3"/>
  <c r="Y2014" i="3" s="1"/>
  <c r="Z2014" i="3" s="1"/>
  <c r="U2059" i="3"/>
  <c r="Y2059" i="3" s="1"/>
  <c r="Z2059" i="3" s="1"/>
  <c r="U2086" i="3"/>
  <c r="Y2086" i="3" s="1"/>
  <c r="Z2086" i="3" s="1"/>
  <c r="U2143" i="3"/>
  <c r="Y2143" i="3" s="1"/>
  <c r="Z2143" i="3" s="1"/>
  <c r="U2214" i="3"/>
  <c r="Y2214" i="3" s="1"/>
  <c r="Z2214" i="3" s="1"/>
  <c r="U2277" i="3"/>
  <c r="Y2277" i="3" s="1"/>
  <c r="Z2277" i="3" s="1"/>
  <c r="U2286" i="3"/>
  <c r="Y2286" i="3" s="1"/>
  <c r="Z2286" i="3" s="1"/>
  <c r="U2351" i="3"/>
  <c r="U2359" i="3"/>
  <c r="Y2359" i="3" s="1"/>
  <c r="Z2359" i="3" s="1"/>
  <c r="U2382" i="3"/>
  <c r="Y2382" i="3" s="1"/>
  <c r="Z2382" i="3" s="1"/>
  <c r="U2411" i="3"/>
  <c r="Y2411" i="3" s="1"/>
  <c r="Z2411" i="3" s="1"/>
  <c r="U2475" i="3"/>
  <c r="Y2475" i="3" s="1"/>
  <c r="Z2475" i="3" s="1"/>
  <c r="U2508" i="3"/>
  <c r="Y2508" i="3" s="1"/>
  <c r="Z2508" i="3" s="1"/>
  <c r="U2566" i="3"/>
  <c r="Y2566" i="3" s="1"/>
  <c r="Z2566" i="3" s="1"/>
  <c r="U2579" i="3"/>
  <c r="Y2579" i="3" s="1"/>
  <c r="Z2579" i="3" s="1"/>
  <c r="U325" i="3"/>
  <c r="U362" i="3"/>
  <c r="Y362" i="3" s="1"/>
  <c r="Z362" i="3" s="1"/>
  <c r="U385" i="3"/>
  <c r="Y385" i="3" s="1"/>
  <c r="Z385" i="3" s="1"/>
  <c r="U669" i="3"/>
  <c r="Y669" i="3" s="1"/>
  <c r="Z669" i="3" s="1"/>
  <c r="U687" i="3"/>
  <c r="Y687" i="3" s="1"/>
  <c r="Z687" i="3" s="1"/>
  <c r="U785" i="3"/>
  <c r="Y785" i="3" s="1"/>
  <c r="Z785" i="3" s="1"/>
  <c r="U949" i="3"/>
  <c r="Y949" i="3" s="1"/>
  <c r="Z949" i="3" s="1"/>
  <c r="U959" i="3"/>
  <c r="Y959" i="3" s="1"/>
  <c r="Z959" i="3" s="1"/>
  <c r="U984" i="3"/>
  <c r="Y984" i="3" s="1"/>
  <c r="Z984" i="3" s="1"/>
  <c r="U1009" i="3"/>
  <c r="Y1009" i="3" s="1"/>
  <c r="Z1009" i="3" s="1"/>
  <c r="U1013" i="3"/>
  <c r="Y1013" i="3" s="1"/>
  <c r="Z1013" i="3" s="1"/>
  <c r="U1034" i="3"/>
  <c r="Y1034" i="3" s="1"/>
  <c r="Z1034" i="3" s="1"/>
  <c r="U1068" i="3"/>
  <c r="Y1068" i="3" s="1"/>
  <c r="Z1068" i="3" s="1"/>
  <c r="U1316" i="3"/>
  <c r="Y1316" i="3" s="1"/>
  <c r="Z1316" i="3" s="1"/>
  <c r="U1514" i="3"/>
  <c r="Y1514" i="3" s="1"/>
  <c r="Z1514" i="3" s="1"/>
  <c r="U1526" i="3"/>
  <c r="Y1526" i="3" s="1"/>
  <c r="Z1526" i="3" s="1"/>
  <c r="U1590" i="3"/>
  <c r="Y1590" i="3" s="1"/>
  <c r="Z1590" i="3" s="1"/>
  <c r="U1688" i="3"/>
  <c r="Y1688" i="3" s="1"/>
  <c r="Z1688" i="3" s="1"/>
  <c r="U1853" i="3"/>
  <c r="Y1853" i="3" s="1"/>
  <c r="Z1853" i="3" s="1"/>
  <c r="U1867" i="3"/>
  <c r="Y1867" i="3" s="1"/>
  <c r="Z1867" i="3" s="1"/>
  <c r="U1874" i="3"/>
  <c r="Y1874" i="3" s="1"/>
  <c r="Z1874" i="3" s="1"/>
  <c r="U1910" i="3"/>
  <c r="U2148" i="3"/>
  <c r="Y2148" i="3" s="1"/>
  <c r="Z2148" i="3" s="1"/>
  <c r="U2169" i="3"/>
  <c r="Y2169" i="3" s="1"/>
  <c r="Z2169" i="3" s="1"/>
  <c r="U2495" i="3"/>
  <c r="Y2495" i="3" s="1"/>
  <c r="Z2495" i="3" s="1"/>
  <c r="U2531" i="3"/>
  <c r="Y2531" i="3" s="1"/>
  <c r="Z2531" i="3" s="1"/>
  <c r="U2576" i="3"/>
  <c r="Y2576" i="3" s="1"/>
  <c r="Z2576" i="3" s="1"/>
  <c r="U392" i="3"/>
  <c r="Y392" i="3" s="1"/>
  <c r="Z392" i="3" s="1"/>
  <c r="U479" i="3"/>
  <c r="Y479" i="3" s="1"/>
  <c r="Z479" i="3" s="1"/>
  <c r="U855" i="3"/>
  <c r="Y855" i="3" s="1"/>
  <c r="Z855" i="3" s="1"/>
  <c r="U912" i="3"/>
  <c r="Y912" i="3" s="1"/>
  <c r="Z912" i="3" s="1"/>
  <c r="U1095" i="3"/>
  <c r="Y1095" i="3" s="1"/>
  <c r="Z1095" i="3" s="1"/>
  <c r="U1240" i="3"/>
  <c r="Y1240" i="3" s="1"/>
  <c r="Z1240" i="3" s="1"/>
  <c r="U1337" i="3"/>
  <c r="Y1337" i="3" s="1"/>
  <c r="Z1337" i="3" s="1"/>
  <c r="U1398" i="3"/>
  <c r="Y1398" i="3" s="1"/>
  <c r="Z1398" i="3" s="1"/>
  <c r="U1465" i="3"/>
  <c r="Y1465" i="3" s="1"/>
  <c r="Z1465" i="3" s="1"/>
  <c r="U1490" i="3"/>
  <c r="Y1490" i="3" s="1"/>
  <c r="Z1490" i="3" s="1"/>
  <c r="U1554" i="3"/>
  <c r="Y1554" i="3" s="1"/>
  <c r="Z1554" i="3" s="1"/>
  <c r="U2077" i="3"/>
  <c r="Y2077" i="3" s="1"/>
  <c r="Z2077" i="3" s="1"/>
  <c r="U2097" i="3"/>
  <c r="Y2097" i="3" s="1"/>
  <c r="Z2097" i="3" s="1"/>
  <c r="U2204" i="3"/>
  <c r="Y2204" i="3" s="1"/>
  <c r="Z2204" i="3" s="1"/>
  <c r="U2224" i="3"/>
  <c r="Y2224" i="3" s="1"/>
  <c r="Z2224" i="3" s="1"/>
  <c r="U2257" i="3"/>
  <c r="Y2257" i="3" s="1"/>
  <c r="Z2257" i="3" s="1"/>
  <c r="U2313" i="3"/>
  <c r="Y2313" i="3" s="1"/>
  <c r="Z2313" i="3" s="1"/>
  <c r="U2436" i="3"/>
  <c r="Y2436" i="3" s="1"/>
  <c r="Z2436" i="3" s="1"/>
  <c r="U2939" i="3"/>
  <c r="Y2939" i="3" s="1"/>
  <c r="Z2939" i="3" s="1"/>
  <c r="U368" i="3"/>
  <c r="U398" i="3"/>
  <c r="Y398" i="3" s="1"/>
  <c r="Z398" i="3" s="1"/>
  <c r="U483" i="3"/>
  <c r="Y483" i="3" s="1"/>
  <c r="Z483" i="3" s="1"/>
  <c r="U589" i="3"/>
  <c r="Y589" i="3" s="1"/>
  <c r="Z589" i="3" s="1"/>
  <c r="U686" i="3"/>
  <c r="Y686" i="3" s="1"/>
  <c r="Z686" i="3" s="1"/>
  <c r="U741" i="3"/>
  <c r="Y741" i="3" s="1"/>
  <c r="Z741" i="3" s="1"/>
  <c r="U848" i="3"/>
  <c r="Y848" i="3" s="1"/>
  <c r="Z848" i="3" s="1"/>
  <c r="U858" i="3"/>
  <c r="Y858" i="3" s="1"/>
  <c r="Z858" i="3" s="1"/>
  <c r="U890" i="3"/>
  <c r="U1129" i="3"/>
  <c r="Y1129" i="3" s="1"/>
  <c r="Z1129" i="3" s="1"/>
  <c r="U1214" i="3"/>
  <c r="Y1214" i="3" s="1"/>
  <c r="Z1214" i="3" s="1"/>
  <c r="U1329" i="3"/>
  <c r="Y1329" i="3" s="1"/>
  <c r="Z1329" i="3" s="1"/>
  <c r="U1387" i="3"/>
  <c r="Y1387" i="3" s="1"/>
  <c r="Z1387" i="3" s="1"/>
  <c r="U1416" i="3"/>
  <c r="Y1416" i="3" s="1"/>
  <c r="Z1416" i="3" s="1"/>
  <c r="U1547" i="3"/>
  <c r="Y1547" i="3" s="1"/>
  <c r="Z1547" i="3" s="1"/>
  <c r="U1667" i="3"/>
  <c r="Y1667" i="3" s="1"/>
  <c r="Z1667" i="3" s="1"/>
  <c r="U1739" i="3"/>
  <c r="Y1739" i="3" s="1"/>
  <c r="Z1739" i="3" s="1"/>
  <c r="U1843" i="3"/>
  <c r="Y1843" i="3" s="1"/>
  <c r="Z1843" i="3" s="1"/>
  <c r="U1884" i="3"/>
  <c r="Y1884" i="3" s="1"/>
  <c r="Z1884" i="3" s="1"/>
  <c r="U1934" i="3"/>
  <c r="Y1934" i="3" s="1"/>
  <c r="Z1934" i="3" s="1"/>
  <c r="U2128" i="3"/>
  <c r="U2195" i="3"/>
  <c r="Y2195" i="3" s="1"/>
  <c r="Z2195" i="3" s="1"/>
  <c r="U2330" i="3"/>
  <c r="Y2330" i="3" s="1"/>
  <c r="Z2330" i="3" s="1"/>
  <c r="U2387" i="3"/>
  <c r="Y2387" i="3" s="1"/>
  <c r="Z2387" i="3" s="1"/>
  <c r="U2390" i="3"/>
  <c r="Y2390" i="3" s="1"/>
  <c r="Z2390" i="3" s="1"/>
  <c r="U2543" i="3"/>
  <c r="Y2543" i="3" s="1"/>
  <c r="Z2543" i="3" s="1"/>
  <c r="U2589" i="3"/>
  <c r="Y2589" i="3" s="1"/>
  <c r="Z2589" i="3" s="1"/>
  <c r="U2788" i="3"/>
  <c r="U2842" i="3"/>
  <c r="Y2842" i="3" s="1"/>
  <c r="Z2842" i="3" s="1"/>
  <c r="U2915" i="3"/>
  <c r="Y2915" i="3" s="1"/>
  <c r="Z2915" i="3" s="1"/>
  <c r="U332" i="3"/>
  <c r="U489" i="3"/>
  <c r="U506" i="3"/>
  <c r="Y506" i="3" s="1"/>
  <c r="Z506" i="3" s="1"/>
  <c r="U548" i="3"/>
  <c r="Y548" i="3" s="1"/>
  <c r="Z548" i="3" s="1"/>
  <c r="U640" i="3"/>
  <c r="Y640" i="3" s="1"/>
  <c r="Z640" i="3" s="1"/>
  <c r="U694" i="3"/>
  <c r="Y694" i="3" s="1"/>
  <c r="Z694" i="3" s="1"/>
  <c r="U718" i="3"/>
  <c r="Y718" i="3" s="1"/>
  <c r="Z718" i="3" s="1"/>
  <c r="U738" i="3"/>
  <c r="U901" i="3"/>
  <c r="Y901" i="3" s="1"/>
  <c r="Z901" i="3" s="1"/>
  <c r="U1040" i="3"/>
  <c r="Y1040" i="3" s="1"/>
  <c r="Z1040" i="3" s="1"/>
  <c r="U1070" i="3"/>
  <c r="Y1070" i="3" s="1"/>
  <c r="Z1070" i="3" s="1"/>
  <c r="U1322" i="3"/>
  <c r="Y1322" i="3" s="1"/>
  <c r="Z1322" i="3" s="1"/>
  <c r="U1353" i="3"/>
  <c r="Y1353" i="3" s="1"/>
  <c r="Z1353" i="3" s="1"/>
  <c r="U1383" i="3"/>
  <c r="Y1383" i="3" s="1"/>
  <c r="Z1383" i="3" s="1"/>
  <c r="U1565" i="3"/>
  <c r="Y1565" i="3" s="1"/>
  <c r="Z1565" i="3" s="1"/>
  <c r="U1603" i="3"/>
  <c r="Y1603" i="3" s="1"/>
  <c r="Z1603" i="3" s="1"/>
  <c r="U1646" i="3"/>
  <c r="Y1646" i="3" s="1"/>
  <c r="Z1646" i="3" s="1"/>
  <c r="U1785" i="3"/>
  <c r="Y1785" i="3" s="1"/>
  <c r="Z1785" i="3" s="1"/>
  <c r="U1786" i="3"/>
  <c r="Y1786" i="3" s="1"/>
  <c r="Z1786" i="3" s="1"/>
  <c r="U1806" i="3"/>
  <c r="Y1806" i="3" s="1"/>
  <c r="Z1806" i="3" s="1"/>
  <c r="U1823" i="3"/>
  <c r="Y1823" i="3" s="1"/>
  <c r="Z1823" i="3" s="1"/>
  <c r="U1883" i="3"/>
  <c r="Y1883" i="3" s="1"/>
  <c r="Z1883" i="3" s="1"/>
  <c r="U1903" i="3"/>
  <c r="Y1903" i="3" s="1"/>
  <c r="Z1903" i="3" s="1"/>
  <c r="U2023" i="3"/>
  <c r="Y2023" i="3" s="1"/>
  <c r="Z2023" i="3" s="1"/>
  <c r="U2085" i="3"/>
  <c r="Y2085" i="3" s="1"/>
  <c r="Z2085" i="3" s="1"/>
  <c r="U2172" i="3"/>
  <c r="Y2172" i="3" s="1"/>
  <c r="Z2172" i="3" s="1"/>
  <c r="U2207" i="3"/>
  <c r="Y2207" i="3" s="1"/>
  <c r="Z2207" i="3" s="1"/>
  <c r="U2215" i="3"/>
  <c r="Y2215" i="3" s="1"/>
  <c r="Z2215" i="3" s="1"/>
  <c r="U2270" i="3"/>
  <c r="Y2270" i="3" s="1"/>
  <c r="Z2270" i="3" s="1"/>
  <c r="U2333" i="3"/>
  <c r="Y2333" i="3" s="1"/>
  <c r="Z2333" i="3" s="1"/>
  <c r="U2528" i="3"/>
  <c r="U2530" i="3"/>
  <c r="Y2530" i="3" s="1"/>
  <c r="Z2530" i="3" s="1"/>
  <c r="U2561" i="3"/>
  <c r="Y2561" i="3" s="1"/>
  <c r="Z2561" i="3" s="1"/>
  <c r="U2659" i="3"/>
  <c r="Y2659" i="3" s="1"/>
  <c r="Z2659" i="3" s="1"/>
  <c r="U2670" i="3"/>
  <c r="Y2670" i="3" s="1"/>
  <c r="Z2670" i="3" s="1"/>
  <c r="U2735" i="3"/>
  <c r="Y2735" i="3" s="1"/>
  <c r="Z2735" i="3" s="1"/>
  <c r="U2904" i="3"/>
  <c r="Y2904" i="3" s="1"/>
  <c r="Z2904" i="3" s="1"/>
  <c r="U2949" i="3"/>
  <c r="Y2949" i="3" s="1"/>
  <c r="Z2949" i="3" s="1"/>
  <c r="U3067" i="3"/>
  <c r="U335" i="3"/>
  <c r="Y335" i="3" s="1"/>
  <c r="Z335" i="3" s="1"/>
  <c r="U437" i="3"/>
  <c r="U478" i="3"/>
  <c r="Y478" i="3" s="1"/>
  <c r="Z478" i="3" s="1"/>
  <c r="U553" i="3"/>
  <c r="Y553" i="3" s="1"/>
  <c r="Z553" i="3" s="1"/>
  <c r="U624" i="3"/>
  <c r="Y624" i="3" s="1"/>
  <c r="Z624" i="3" s="1"/>
  <c r="U725" i="3"/>
  <c r="Y725" i="3" s="1"/>
  <c r="Z725" i="3" s="1"/>
  <c r="U806" i="3"/>
  <c r="Y806" i="3" s="1"/>
  <c r="Z806" i="3" s="1"/>
  <c r="U841" i="3"/>
  <c r="Y841" i="3" s="1"/>
  <c r="Z841" i="3" s="1"/>
  <c r="U917" i="3"/>
  <c r="Y917" i="3" s="1"/>
  <c r="Z917" i="3" s="1"/>
  <c r="U1204" i="3"/>
  <c r="Y1204" i="3" s="1"/>
  <c r="Z1204" i="3" s="1"/>
  <c r="U1211" i="3"/>
  <c r="Y1211" i="3" s="1"/>
  <c r="Z1211" i="3" s="1"/>
  <c r="U1473" i="3"/>
  <c r="Y1473" i="3" s="1"/>
  <c r="Z1473" i="3" s="1"/>
  <c r="U1523" i="3"/>
  <c r="Y1523" i="3" s="1"/>
  <c r="Z1523" i="3" s="1"/>
  <c r="U1723" i="3"/>
  <c r="Y1723" i="3" s="1"/>
  <c r="Z1723" i="3" s="1"/>
  <c r="U1765" i="3"/>
  <c r="Y1765" i="3" s="1"/>
  <c r="Z1765" i="3" s="1"/>
  <c r="U1809" i="3"/>
  <c r="Y1809" i="3" s="1"/>
  <c r="Z1809" i="3" s="1"/>
  <c r="U1881" i="3"/>
  <c r="Y1881" i="3" s="1"/>
  <c r="Z1881" i="3" s="1"/>
  <c r="U1919" i="3"/>
  <c r="Y1919" i="3" s="1"/>
  <c r="Z1919" i="3" s="1"/>
  <c r="U1972" i="3"/>
  <c r="Y1972" i="3" s="1"/>
  <c r="Z1972" i="3" s="1"/>
  <c r="U2208" i="3"/>
  <c r="Y2208" i="3" s="1"/>
  <c r="Z2208" i="3" s="1"/>
  <c r="U2373" i="3"/>
  <c r="Y2373" i="3" s="1"/>
  <c r="Z2373" i="3" s="1"/>
  <c r="U2536" i="3"/>
  <c r="Y2536" i="3" s="1"/>
  <c r="Z2536" i="3" s="1"/>
  <c r="U2681" i="3"/>
  <c r="Y2681" i="3" s="1"/>
  <c r="Z2681" i="3" s="1"/>
  <c r="U2733" i="3"/>
  <c r="Y2733" i="3" s="1"/>
  <c r="Z2733" i="3" s="1"/>
  <c r="U3077" i="3"/>
  <c r="Y3077" i="3" s="1"/>
  <c r="Z3077" i="3" s="1"/>
  <c r="U3079" i="3"/>
  <c r="Y3079" i="3" s="1"/>
  <c r="Z3079" i="3" s="1"/>
  <c r="U3109" i="3"/>
  <c r="Y3109" i="3" s="1"/>
  <c r="Z3109" i="3" s="1"/>
  <c r="U3149" i="3"/>
  <c r="U1392" i="3"/>
  <c r="U1499" i="3"/>
  <c r="Y1499" i="3" s="1"/>
  <c r="Z1499" i="3" s="1"/>
  <c r="U2255" i="3"/>
  <c r="Y2255" i="3" s="1"/>
  <c r="Z2255" i="3" s="1"/>
  <c r="U2878" i="3"/>
  <c r="Y2878" i="3" s="1"/>
  <c r="Z2878" i="3" s="1"/>
  <c r="U3157" i="3"/>
  <c r="Y3157" i="3" s="1"/>
  <c r="Z3157" i="3" s="1"/>
  <c r="U147" i="3"/>
  <c r="U241" i="3"/>
  <c r="U366" i="3"/>
  <c r="Y366" i="3" s="1"/>
  <c r="Z366" i="3" s="1"/>
  <c r="U377" i="3"/>
  <c r="U177" i="3"/>
  <c r="U233" i="3"/>
  <c r="U259" i="3"/>
  <c r="U319" i="3"/>
  <c r="U333" i="3"/>
  <c r="Y333" i="3" s="1"/>
  <c r="Z333" i="3" s="1"/>
  <c r="U350" i="3"/>
  <c r="U419" i="3"/>
  <c r="Y419" i="3" s="1"/>
  <c r="Z419" i="3" s="1"/>
  <c r="U449" i="3"/>
  <c r="U516" i="3"/>
  <c r="U560" i="3"/>
  <c r="Y560" i="3" s="1"/>
  <c r="Z560" i="3" s="1"/>
  <c r="U625" i="3"/>
  <c r="Y625" i="3" s="1"/>
  <c r="Z625" i="3" s="1"/>
  <c r="U323" i="3"/>
  <c r="Y323" i="3" s="1"/>
  <c r="Z323" i="3" s="1"/>
  <c r="U280" i="3"/>
  <c r="U331" i="3"/>
  <c r="U497" i="3"/>
  <c r="Y497" i="3" s="1"/>
  <c r="Z497" i="3" s="1"/>
  <c r="U520" i="3"/>
  <c r="Y520" i="3" s="1"/>
  <c r="Z520" i="3" s="1"/>
  <c r="U653" i="3"/>
  <c r="Y653" i="3" s="1"/>
  <c r="Z653" i="3" s="1"/>
  <c r="U702" i="3"/>
  <c r="Y702" i="3" s="1"/>
  <c r="Z702" i="3" s="1"/>
  <c r="U812" i="3"/>
  <c r="Y812" i="3" s="1"/>
  <c r="Z812" i="3" s="1"/>
  <c r="U382" i="3"/>
  <c r="Y382" i="3" s="1"/>
  <c r="Z382" i="3" s="1"/>
  <c r="U525" i="3"/>
  <c r="Y525" i="3" s="1"/>
  <c r="Z525" i="3" s="1"/>
  <c r="U536" i="3"/>
  <c r="Y536" i="3" s="1"/>
  <c r="Z536" i="3" s="1"/>
  <c r="U615" i="3"/>
  <c r="Y615" i="3" s="1"/>
  <c r="Z615" i="3" s="1"/>
  <c r="U745" i="3"/>
  <c r="Y745" i="3" s="1"/>
  <c r="Z745" i="3" s="1"/>
  <c r="U799" i="3"/>
  <c r="Y799" i="3" s="1"/>
  <c r="Z799" i="3" s="1"/>
  <c r="U817" i="3"/>
  <c r="Y817" i="3" s="1"/>
  <c r="Z817" i="3" s="1"/>
  <c r="U294" i="3"/>
  <c r="U408" i="3"/>
  <c r="Y408" i="3" s="1"/>
  <c r="Z408" i="3" s="1"/>
  <c r="U474" i="3"/>
  <c r="Y474" i="3" s="1"/>
  <c r="Z474" i="3" s="1"/>
  <c r="U488" i="3"/>
  <c r="Y488" i="3" s="1"/>
  <c r="Z488" i="3" s="1"/>
  <c r="U493" i="3"/>
  <c r="Y493" i="3" s="1"/>
  <c r="Z493" i="3" s="1"/>
  <c r="U556" i="3"/>
  <c r="Y556" i="3" s="1"/>
  <c r="Z556" i="3" s="1"/>
  <c r="U574" i="3"/>
  <c r="Y574" i="3" s="1"/>
  <c r="Z574" i="3" s="1"/>
  <c r="U579" i="3"/>
  <c r="U629" i="3"/>
  <c r="Y629" i="3" s="1"/>
  <c r="Z629" i="3" s="1"/>
  <c r="U674" i="3"/>
  <c r="Y674" i="3" s="1"/>
  <c r="Z674" i="3" s="1"/>
  <c r="U779" i="3"/>
  <c r="Y779" i="3" s="1"/>
  <c r="Z779" i="3" s="1"/>
  <c r="U826" i="3"/>
  <c r="Y826" i="3" s="1"/>
  <c r="Z826" i="3" s="1"/>
  <c r="U899" i="3"/>
  <c r="Y899" i="3" s="1"/>
  <c r="Z899" i="3" s="1"/>
  <c r="U930" i="3"/>
  <c r="Y930" i="3" s="1"/>
  <c r="Z930" i="3" s="1"/>
  <c r="U947" i="3"/>
  <c r="Y947" i="3" s="1"/>
  <c r="Z947" i="3" s="1"/>
  <c r="U956" i="3"/>
  <c r="Y956" i="3" s="1"/>
  <c r="Z956" i="3" s="1"/>
  <c r="U971" i="3"/>
  <c r="Y971" i="3" s="1"/>
  <c r="Z971" i="3" s="1"/>
  <c r="U982" i="3"/>
  <c r="Y982" i="3" s="1"/>
  <c r="Z982" i="3" s="1"/>
  <c r="U424" i="3"/>
  <c r="Y424" i="3" s="1"/>
  <c r="Z424" i="3" s="1"/>
  <c r="U522" i="3"/>
  <c r="Y522" i="3" s="1"/>
  <c r="Z522" i="3" s="1"/>
  <c r="U572" i="3"/>
  <c r="Y572" i="3" s="1"/>
  <c r="Z572" i="3" s="1"/>
  <c r="U601" i="3"/>
  <c r="Y601" i="3" s="1"/>
  <c r="Z601" i="3" s="1"/>
  <c r="U618" i="3"/>
  <c r="Y618" i="3" s="1"/>
  <c r="Z618" i="3" s="1"/>
  <c r="U671" i="3"/>
  <c r="Y671" i="3" s="1"/>
  <c r="Z671" i="3" s="1"/>
  <c r="U695" i="3"/>
  <c r="Y695" i="3" s="1"/>
  <c r="Z695" i="3" s="1"/>
  <c r="U767" i="3"/>
  <c r="Y767" i="3" s="1"/>
  <c r="Z767" i="3" s="1"/>
  <c r="U824" i="3"/>
  <c r="Y824" i="3" s="1"/>
  <c r="Z824" i="3" s="1"/>
  <c r="U865" i="3"/>
  <c r="Y865" i="3" s="1"/>
  <c r="Z865" i="3" s="1"/>
  <c r="U944" i="3"/>
  <c r="Y944" i="3" s="1"/>
  <c r="Z944" i="3" s="1"/>
  <c r="U994" i="3"/>
  <c r="Y994" i="3" s="1"/>
  <c r="Z994" i="3" s="1"/>
  <c r="U1027" i="3"/>
  <c r="Y1027" i="3" s="1"/>
  <c r="Z1027" i="3" s="1"/>
  <c r="U1141" i="3"/>
  <c r="Y1141" i="3" s="1"/>
  <c r="Z1141" i="3" s="1"/>
  <c r="U1144" i="3"/>
  <c r="Y1144" i="3" s="1"/>
  <c r="Z1144" i="3" s="1"/>
  <c r="U1158" i="3"/>
  <c r="Y1158" i="3" s="1"/>
  <c r="Z1158" i="3" s="1"/>
  <c r="U458" i="3"/>
  <c r="Y458" i="3" s="1"/>
  <c r="Z458" i="3" s="1"/>
  <c r="U533" i="3"/>
  <c r="Y533" i="3" s="1"/>
  <c r="Z533" i="3" s="1"/>
  <c r="U758" i="3"/>
  <c r="Y758" i="3" s="1"/>
  <c r="Z758" i="3" s="1"/>
  <c r="U792" i="3"/>
  <c r="Y792" i="3" s="1"/>
  <c r="Z792" i="3" s="1"/>
  <c r="U891" i="3"/>
  <c r="Y891" i="3" s="1"/>
  <c r="Z891" i="3" s="1"/>
  <c r="U1036" i="3"/>
  <c r="Y1036" i="3" s="1"/>
  <c r="Z1036" i="3" s="1"/>
  <c r="U1163" i="3"/>
  <c r="Y1163" i="3" s="1"/>
  <c r="Z1163" i="3" s="1"/>
  <c r="U1303" i="3"/>
  <c r="Y1303" i="3" s="1"/>
  <c r="Z1303" i="3" s="1"/>
  <c r="U492" i="3"/>
  <c r="Y492" i="3" s="1"/>
  <c r="Z492" i="3" s="1"/>
  <c r="U530" i="3"/>
  <c r="Y530" i="3" s="1"/>
  <c r="Z530" i="3" s="1"/>
  <c r="U588" i="3"/>
  <c r="Y588" i="3" s="1"/>
  <c r="Z588" i="3" s="1"/>
  <c r="U659" i="3"/>
  <c r="Y659" i="3" s="1"/>
  <c r="Z659" i="3" s="1"/>
  <c r="U690" i="3"/>
  <c r="Y690" i="3" s="1"/>
  <c r="Z690" i="3" s="1"/>
  <c r="U777" i="3"/>
  <c r="Y777" i="3" s="1"/>
  <c r="Z777" i="3" s="1"/>
  <c r="U843" i="3"/>
  <c r="Y843" i="3" s="1"/>
  <c r="Z843" i="3" s="1"/>
  <c r="U900" i="3"/>
  <c r="Y900" i="3" s="1"/>
  <c r="Z900" i="3" s="1"/>
  <c r="U909" i="3"/>
  <c r="Y909" i="3" s="1"/>
  <c r="Z909" i="3" s="1"/>
  <c r="U938" i="3"/>
  <c r="Y938" i="3" s="1"/>
  <c r="Z938" i="3" s="1"/>
  <c r="U990" i="3"/>
  <c r="Y990" i="3" s="1"/>
  <c r="Z990" i="3" s="1"/>
  <c r="U1016" i="3"/>
  <c r="Y1016" i="3" s="1"/>
  <c r="Z1016" i="3" s="1"/>
  <c r="U1060" i="3"/>
  <c r="Y1060" i="3" s="1"/>
  <c r="Z1060" i="3" s="1"/>
  <c r="U1094" i="3"/>
  <c r="Y1094" i="3" s="1"/>
  <c r="Z1094" i="3" s="1"/>
  <c r="U606" i="3"/>
  <c r="Y606" i="3" s="1"/>
  <c r="Z606" i="3" s="1"/>
  <c r="U633" i="3"/>
  <c r="Y633" i="3" s="1"/>
  <c r="Z633" i="3" s="1"/>
  <c r="U654" i="3"/>
  <c r="Y654" i="3" s="1"/>
  <c r="Z654" i="3" s="1"/>
  <c r="U698" i="3"/>
  <c r="Y698" i="3" s="1"/>
  <c r="Z698" i="3" s="1"/>
  <c r="U730" i="3"/>
  <c r="Y730" i="3" s="1"/>
  <c r="Z730" i="3" s="1"/>
  <c r="U798" i="3"/>
  <c r="Y798" i="3" s="1"/>
  <c r="Z798" i="3" s="1"/>
  <c r="U838" i="3"/>
  <c r="Y838" i="3" s="1"/>
  <c r="Z838" i="3" s="1"/>
  <c r="U1011" i="3"/>
  <c r="Y1011" i="3" s="1"/>
  <c r="Z1011" i="3" s="1"/>
  <c r="U1149" i="3"/>
  <c r="Y1149" i="3" s="1"/>
  <c r="Z1149" i="3" s="1"/>
  <c r="U1429" i="3"/>
  <c r="Y1429" i="3" s="1"/>
  <c r="Z1429" i="3" s="1"/>
  <c r="U864" i="3"/>
  <c r="Y864" i="3" s="1"/>
  <c r="Z864" i="3" s="1"/>
  <c r="U885" i="3"/>
  <c r="U1238" i="3"/>
  <c r="Y1238" i="3" s="1"/>
  <c r="Z1238" i="3" s="1"/>
  <c r="U1295" i="3"/>
  <c r="Y1295" i="3" s="1"/>
  <c r="Z1295" i="3" s="1"/>
  <c r="U1318" i="3"/>
  <c r="Y1318" i="3" s="1"/>
  <c r="Z1318" i="3" s="1"/>
  <c r="U1491" i="3"/>
  <c r="Y1491" i="3" s="1"/>
  <c r="Z1491" i="3" s="1"/>
  <c r="U1576" i="3"/>
  <c r="Y1576" i="3" s="1"/>
  <c r="Z1576" i="3" s="1"/>
  <c r="U652" i="3"/>
  <c r="Y652" i="3" s="1"/>
  <c r="Z652" i="3" s="1"/>
  <c r="U867" i="3"/>
  <c r="Y867" i="3" s="1"/>
  <c r="Z867" i="3" s="1"/>
  <c r="U879" i="3"/>
  <c r="Y879" i="3" s="1"/>
  <c r="Z879" i="3" s="1"/>
  <c r="U1046" i="3"/>
  <c r="Y1046" i="3" s="1"/>
  <c r="Z1046" i="3" s="1"/>
  <c r="U1253" i="3"/>
  <c r="Y1253" i="3" s="1"/>
  <c r="Z1253" i="3" s="1"/>
  <c r="U1330" i="3"/>
  <c r="Y1330" i="3" s="1"/>
  <c r="Z1330" i="3" s="1"/>
  <c r="U1368" i="3"/>
  <c r="Y1368" i="3" s="1"/>
  <c r="Z1368" i="3" s="1"/>
  <c r="U1450" i="3"/>
  <c r="Y1450" i="3" s="1"/>
  <c r="Z1450" i="3" s="1"/>
  <c r="U1598" i="3"/>
  <c r="Y1598" i="3" s="1"/>
  <c r="Z1598" i="3" s="1"/>
  <c r="U866" i="3"/>
  <c r="Y866" i="3" s="1"/>
  <c r="Z866" i="3" s="1"/>
  <c r="U935" i="3"/>
  <c r="Y935" i="3" s="1"/>
  <c r="Z935" i="3" s="1"/>
  <c r="U950" i="3"/>
  <c r="Y950" i="3" s="1"/>
  <c r="Z950" i="3" s="1"/>
  <c r="U975" i="3"/>
  <c r="Y975" i="3" s="1"/>
  <c r="Z975" i="3" s="1"/>
  <c r="U1160" i="3"/>
  <c r="Y1160" i="3" s="1"/>
  <c r="Z1160" i="3" s="1"/>
  <c r="U1583" i="3"/>
  <c r="Y1583" i="3" s="1"/>
  <c r="Z1583" i="3" s="1"/>
  <c r="U1662" i="3"/>
  <c r="Y1662" i="3" s="1"/>
  <c r="Z1662" i="3" s="1"/>
  <c r="U743" i="3"/>
  <c r="Y743" i="3" s="1"/>
  <c r="Z743" i="3" s="1"/>
  <c r="U1038" i="3"/>
  <c r="Y1038" i="3" s="1"/>
  <c r="Z1038" i="3" s="1"/>
  <c r="U1074" i="3"/>
  <c r="Y1074" i="3" s="1"/>
  <c r="Z1074" i="3" s="1"/>
  <c r="U1132" i="3"/>
  <c r="Y1132" i="3" s="1"/>
  <c r="Z1132" i="3" s="1"/>
  <c r="U1272" i="3"/>
  <c r="Y1272" i="3" s="1"/>
  <c r="Z1272" i="3" s="1"/>
  <c r="U1313" i="3"/>
  <c r="Y1313" i="3" s="1"/>
  <c r="Z1313" i="3" s="1"/>
  <c r="U1365" i="3"/>
  <c r="Y1365" i="3" s="1"/>
  <c r="Z1365" i="3" s="1"/>
  <c r="U1485" i="3"/>
  <c r="Y1485" i="3" s="1"/>
  <c r="Z1485" i="3" s="1"/>
  <c r="U1645" i="3"/>
  <c r="Y1645" i="3" s="1"/>
  <c r="Z1645" i="3" s="1"/>
  <c r="U1795" i="3"/>
  <c r="Y1795" i="3" s="1"/>
  <c r="Z1795" i="3" s="1"/>
  <c r="U936" i="3"/>
  <c r="Y936" i="3" s="1"/>
  <c r="Z936" i="3" s="1"/>
  <c r="U1100" i="3"/>
  <c r="Y1100" i="3" s="1"/>
  <c r="Z1100" i="3" s="1"/>
  <c r="U1199" i="3"/>
  <c r="Y1199" i="3" s="1"/>
  <c r="Z1199" i="3" s="1"/>
  <c r="U1277" i="3"/>
  <c r="Y1277" i="3" s="1"/>
  <c r="Z1277" i="3" s="1"/>
  <c r="U1449" i="3"/>
  <c r="Y1449" i="3" s="1"/>
  <c r="Z1449" i="3" s="1"/>
  <c r="U1480" i="3"/>
  <c r="Y1480" i="3" s="1"/>
  <c r="Z1480" i="3" s="1"/>
  <c r="U1527" i="3"/>
  <c r="Y1527" i="3" s="1"/>
  <c r="Z1527" i="3" s="1"/>
  <c r="U1587" i="3"/>
  <c r="Y1587" i="3" s="1"/>
  <c r="Z1587" i="3" s="1"/>
  <c r="U1672" i="3"/>
  <c r="Y1672" i="3" s="1"/>
  <c r="Z1672" i="3" s="1"/>
  <c r="U1797" i="3"/>
  <c r="Y1797" i="3" s="1"/>
  <c r="Z1797" i="3" s="1"/>
  <c r="U1824" i="3"/>
  <c r="Y1824" i="3" s="1"/>
  <c r="Z1824" i="3" s="1"/>
  <c r="U893" i="3"/>
  <c r="Y893" i="3" s="1"/>
  <c r="Z893" i="3" s="1"/>
  <c r="U985" i="3"/>
  <c r="Y985" i="3" s="1"/>
  <c r="Z985" i="3" s="1"/>
  <c r="U1014" i="3"/>
  <c r="Y1014" i="3" s="1"/>
  <c r="Z1014" i="3" s="1"/>
  <c r="U1181" i="3"/>
  <c r="Y1181" i="3" s="1"/>
  <c r="Z1181" i="3" s="1"/>
  <c r="U1222" i="3"/>
  <c r="Y1222" i="3" s="1"/>
  <c r="Z1222" i="3" s="1"/>
  <c r="U1293" i="3"/>
  <c r="Y1293" i="3" s="1"/>
  <c r="Z1293" i="3" s="1"/>
  <c r="U1413" i="3"/>
  <c r="Y1413" i="3" s="1"/>
  <c r="Z1413" i="3" s="1"/>
  <c r="U1512" i="3"/>
  <c r="Y1512" i="3" s="1"/>
  <c r="Z1512" i="3" s="1"/>
  <c r="U1729" i="3"/>
  <c r="Y1729" i="3" s="1"/>
  <c r="Z1729" i="3" s="1"/>
  <c r="U1745" i="3"/>
  <c r="Y1745" i="3" s="1"/>
  <c r="Z1745" i="3" s="1"/>
  <c r="U1886" i="3"/>
  <c r="Y1886" i="3" s="1"/>
  <c r="Z1886" i="3" s="1"/>
  <c r="U1962" i="3"/>
  <c r="Y1962" i="3" s="1"/>
  <c r="Z1962" i="3" s="1"/>
  <c r="U1015" i="3"/>
  <c r="Y1015" i="3" s="1"/>
  <c r="Z1015" i="3" s="1"/>
  <c r="U1226" i="3"/>
  <c r="Y1226" i="3" s="1"/>
  <c r="Z1226" i="3" s="1"/>
  <c r="U1418" i="3"/>
  <c r="Y1418" i="3" s="1"/>
  <c r="Z1418" i="3" s="1"/>
  <c r="U1478" i="3"/>
  <c r="Y1478" i="3" s="1"/>
  <c r="Z1478" i="3" s="1"/>
  <c r="U1613" i="3"/>
  <c r="Y1613" i="3" s="1"/>
  <c r="Z1613" i="3" s="1"/>
  <c r="U1722" i="3"/>
  <c r="Y1722" i="3" s="1"/>
  <c r="Z1722" i="3" s="1"/>
  <c r="U1958" i="3"/>
  <c r="Y1958" i="3" s="1"/>
  <c r="Z1958" i="3" s="1"/>
  <c r="U1084" i="3"/>
  <c r="Y1084" i="3" s="1"/>
  <c r="Z1084" i="3" s="1"/>
  <c r="U1232" i="3"/>
  <c r="Y1232" i="3" s="1"/>
  <c r="Z1232" i="3" s="1"/>
  <c r="U1271" i="3"/>
  <c r="Y1271" i="3" s="1"/>
  <c r="Z1271" i="3" s="1"/>
  <c r="U1495" i="3"/>
  <c r="Y1495" i="3" s="1"/>
  <c r="Z1495" i="3" s="1"/>
  <c r="U1546" i="3"/>
  <c r="Y1546" i="3" s="1"/>
  <c r="Z1546" i="3" s="1"/>
  <c r="U1670" i="3"/>
  <c r="Y1670" i="3" s="1"/>
  <c r="Z1670" i="3" s="1"/>
  <c r="U1822" i="3"/>
  <c r="Y1822" i="3" s="1"/>
  <c r="Z1822" i="3" s="1"/>
  <c r="U1887" i="3"/>
  <c r="Y1887" i="3" s="1"/>
  <c r="Z1887" i="3" s="1"/>
  <c r="U1133" i="3"/>
  <c r="Y1133" i="3" s="1"/>
  <c r="Z1133" i="3" s="1"/>
  <c r="U1143" i="3"/>
  <c r="Y1143" i="3" s="1"/>
  <c r="Z1143" i="3" s="1"/>
  <c r="U1236" i="3"/>
  <c r="Y1236" i="3" s="1"/>
  <c r="Z1236" i="3" s="1"/>
  <c r="U1320" i="3"/>
  <c r="Y1320" i="3" s="1"/>
  <c r="Z1320" i="3" s="1"/>
  <c r="U1650" i="3"/>
  <c r="Y1650" i="3" s="1"/>
  <c r="Z1650" i="3" s="1"/>
  <c r="U1725" i="3"/>
  <c r="Y1725" i="3" s="1"/>
  <c r="Z1725" i="3" s="1"/>
  <c r="U1815" i="3"/>
  <c r="Y1815" i="3" s="1"/>
  <c r="Z1815" i="3" s="1"/>
  <c r="U1854" i="3"/>
  <c r="Y1854" i="3" s="1"/>
  <c r="Z1854" i="3" s="1"/>
  <c r="U1898" i="3"/>
  <c r="Y1898" i="3" s="1"/>
  <c r="Z1898" i="3" s="1"/>
  <c r="U2103" i="3"/>
  <c r="Y2103" i="3" s="1"/>
  <c r="Z2103" i="3" s="1"/>
  <c r="U2157" i="3"/>
  <c r="Y2157" i="3" s="1"/>
  <c r="Z2157" i="3" s="1"/>
  <c r="U1206" i="3"/>
  <c r="Y1206" i="3" s="1"/>
  <c r="Z1206" i="3" s="1"/>
  <c r="U1217" i="3"/>
  <c r="Y1217" i="3" s="1"/>
  <c r="Z1217" i="3" s="1"/>
  <c r="U1294" i="3"/>
  <c r="Y1294" i="3" s="1"/>
  <c r="Z1294" i="3" s="1"/>
  <c r="U1401" i="3"/>
  <c r="Y1401" i="3" s="1"/>
  <c r="Z1401" i="3" s="1"/>
  <c r="U1467" i="3"/>
  <c r="Y1467" i="3" s="1"/>
  <c r="Z1467" i="3" s="1"/>
  <c r="U1482" i="3"/>
  <c r="Y1482" i="3" s="1"/>
  <c r="Z1482" i="3" s="1"/>
  <c r="U1496" i="3"/>
  <c r="Y1496" i="3" s="1"/>
  <c r="Z1496" i="3" s="1"/>
  <c r="U1541" i="3"/>
  <c r="Y1541" i="3" s="1"/>
  <c r="Z1541" i="3" s="1"/>
  <c r="U1596" i="3"/>
  <c r="Y1596" i="3" s="1"/>
  <c r="Z1596" i="3" s="1"/>
  <c r="U1715" i="3"/>
  <c r="Y1715" i="3" s="1"/>
  <c r="Z1715" i="3" s="1"/>
  <c r="U1743" i="3"/>
  <c r="Y1743" i="3" s="1"/>
  <c r="Z1743" i="3" s="1"/>
  <c r="U1811" i="3"/>
  <c r="Y1811" i="3" s="1"/>
  <c r="Z1811" i="3" s="1"/>
  <c r="U1892" i="3"/>
  <c r="Y1892" i="3" s="1"/>
  <c r="Z1892" i="3" s="1"/>
  <c r="U1896" i="3"/>
  <c r="Y1896" i="3" s="1"/>
  <c r="Z1896" i="3" s="1"/>
  <c r="U1965" i="3"/>
  <c r="Y1965" i="3" s="1"/>
  <c r="Z1965" i="3" s="1"/>
  <c r="U2001" i="3"/>
  <c r="Y2001" i="3" s="1"/>
  <c r="Z2001" i="3" s="1"/>
  <c r="U2081" i="3"/>
  <c r="Y2081" i="3" s="1"/>
  <c r="Z2081" i="3" s="1"/>
  <c r="U2158" i="3"/>
  <c r="Y2158" i="3" s="1"/>
  <c r="Z2158" i="3" s="1"/>
  <c r="U2183" i="3"/>
  <c r="Y2183" i="3" s="1"/>
  <c r="Z2183" i="3" s="1"/>
  <c r="U2219" i="3"/>
  <c r="Y2219" i="3" s="1"/>
  <c r="Z2219" i="3" s="1"/>
  <c r="U1386" i="3"/>
  <c r="Y1386" i="3" s="1"/>
  <c r="Z1386" i="3" s="1"/>
  <c r="U1414" i="3"/>
  <c r="Y1414" i="3" s="1"/>
  <c r="Z1414" i="3" s="1"/>
  <c r="U1464" i="3"/>
  <c r="Y1464" i="3" s="1"/>
  <c r="Z1464" i="3" s="1"/>
  <c r="U1497" i="3"/>
  <c r="Y1497" i="3" s="1"/>
  <c r="Z1497" i="3" s="1"/>
  <c r="U1525" i="3"/>
  <c r="Y1525" i="3" s="1"/>
  <c r="Z1525" i="3" s="1"/>
  <c r="U1567" i="3"/>
  <c r="Y1567" i="3" s="1"/>
  <c r="Z1567" i="3" s="1"/>
  <c r="U1623" i="3"/>
  <c r="Y1623" i="3" s="1"/>
  <c r="Z1623" i="3" s="1"/>
  <c r="U1687" i="3"/>
  <c r="Y1687" i="3" s="1"/>
  <c r="Z1687" i="3" s="1"/>
  <c r="U1716" i="3"/>
  <c r="Y1716" i="3" s="1"/>
  <c r="Z1716" i="3" s="1"/>
  <c r="U1747" i="3"/>
  <c r="Y1747" i="3" s="1"/>
  <c r="Z1747" i="3" s="1"/>
  <c r="U1808" i="3"/>
  <c r="Y1808" i="3" s="1"/>
  <c r="Z1808" i="3" s="1"/>
  <c r="U1855" i="3"/>
  <c r="Y1855" i="3" s="1"/>
  <c r="Z1855" i="3" s="1"/>
  <c r="U1940" i="3"/>
  <c r="Y1940" i="3" s="1"/>
  <c r="Z1940" i="3" s="1"/>
  <c r="U1952" i="3"/>
  <c r="Y1952" i="3" s="1"/>
  <c r="Z1952" i="3" s="1"/>
  <c r="U1957" i="3"/>
  <c r="Y1957" i="3" s="1"/>
  <c r="Z1957" i="3" s="1"/>
  <c r="U2036" i="3"/>
  <c r="Y2036" i="3" s="1"/>
  <c r="Z2036" i="3" s="1"/>
  <c r="U2058" i="3"/>
  <c r="Y2058" i="3" s="1"/>
  <c r="Z2058" i="3" s="1"/>
  <c r="U2080" i="3"/>
  <c r="Y2080" i="3" s="1"/>
  <c r="Z2080" i="3" s="1"/>
  <c r="U2134" i="3"/>
  <c r="Y2134" i="3" s="1"/>
  <c r="Z2134" i="3" s="1"/>
  <c r="U2246" i="3"/>
  <c r="Y2246" i="3" s="1"/>
  <c r="Z2246" i="3" s="1"/>
  <c r="U2309" i="3"/>
  <c r="Y2309" i="3" s="1"/>
  <c r="Z2309" i="3" s="1"/>
  <c r="U2352" i="3"/>
  <c r="Y2352" i="3" s="1"/>
  <c r="Z2352" i="3" s="1"/>
  <c r="U1626" i="3"/>
  <c r="Y1626" i="3" s="1"/>
  <c r="Z1626" i="3" s="1"/>
  <c r="U1669" i="3"/>
  <c r="Y1669" i="3" s="1"/>
  <c r="Z1669" i="3" s="1"/>
  <c r="U1775" i="3"/>
  <c r="Y1775" i="3" s="1"/>
  <c r="Z1775" i="3" s="1"/>
  <c r="U1779" i="3"/>
  <c r="Y1779" i="3" s="1"/>
  <c r="Z1779" i="3" s="1"/>
  <c r="U1841" i="3"/>
  <c r="Y1841" i="3" s="1"/>
  <c r="Z1841" i="3" s="1"/>
  <c r="U1852" i="3"/>
  <c r="Y1852" i="3" s="1"/>
  <c r="Z1852" i="3" s="1"/>
  <c r="U1983" i="3"/>
  <c r="Y1983" i="3" s="1"/>
  <c r="Z1983" i="3" s="1"/>
  <c r="U1994" i="3"/>
  <c r="Y1994" i="3" s="1"/>
  <c r="Z1994" i="3" s="1"/>
  <c r="U2075" i="3"/>
  <c r="Y2075" i="3" s="1"/>
  <c r="Z2075" i="3" s="1"/>
  <c r="U2201" i="3"/>
  <c r="Y2201" i="3" s="1"/>
  <c r="Z2201" i="3" s="1"/>
  <c r="U2331" i="3"/>
  <c r="Y2331" i="3" s="1"/>
  <c r="Z2331" i="3" s="1"/>
  <c r="U2363" i="3"/>
  <c r="Y2363" i="3" s="1"/>
  <c r="Z2363" i="3" s="1"/>
  <c r="U2388" i="3"/>
  <c r="Y2388" i="3" s="1"/>
  <c r="Z2388" i="3" s="1"/>
  <c r="U2408" i="3"/>
  <c r="Y2408" i="3" s="1"/>
  <c r="Z2408" i="3" s="1"/>
  <c r="U2449" i="3"/>
  <c r="Y2449" i="3" s="1"/>
  <c r="Z2449" i="3" s="1"/>
  <c r="U2466" i="3"/>
  <c r="Y2466" i="3" s="1"/>
  <c r="Z2466" i="3" s="1"/>
  <c r="U1760" i="3"/>
  <c r="Y1760" i="3" s="1"/>
  <c r="Z1760" i="3" s="1"/>
  <c r="U1836" i="3"/>
  <c r="Y1836" i="3" s="1"/>
  <c r="Z1836" i="3" s="1"/>
  <c r="U1930" i="3"/>
  <c r="Y1930" i="3" s="1"/>
  <c r="Z1930" i="3" s="1"/>
  <c r="U1982" i="3"/>
  <c r="Y1982" i="3" s="1"/>
  <c r="Z1982" i="3" s="1"/>
  <c r="U2078" i="3"/>
  <c r="Y2078" i="3" s="1"/>
  <c r="Z2078" i="3" s="1"/>
  <c r="U2213" i="3"/>
  <c r="Y2213" i="3" s="1"/>
  <c r="Z2213" i="3" s="1"/>
  <c r="U2519" i="3"/>
  <c r="U2541" i="3"/>
  <c r="Y2541" i="3" s="1"/>
  <c r="Z2541" i="3" s="1"/>
  <c r="U2178" i="3"/>
  <c r="Y2178" i="3" s="1"/>
  <c r="Z2178" i="3" s="1"/>
  <c r="U2314" i="3"/>
  <c r="Y2314" i="3" s="1"/>
  <c r="Z2314" i="3" s="1"/>
  <c r="U2372" i="3"/>
  <c r="Y2372" i="3" s="1"/>
  <c r="Z2372" i="3" s="1"/>
  <c r="U2567" i="3"/>
  <c r="Y2567" i="3" s="1"/>
  <c r="Z2567" i="3" s="1"/>
  <c r="U1831" i="3"/>
  <c r="Y1831" i="3" s="1"/>
  <c r="Z1831" i="3" s="1"/>
  <c r="U1873" i="3"/>
  <c r="Y1873" i="3" s="1"/>
  <c r="Z1873" i="3" s="1"/>
  <c r="U1885" i="3"/>
  <c r="Y1885" i="3" s="1"/>
  <c r="Z1885" i="3" s="1"/>
  <c r="U2060" i="3"/>
  <c r="Y2060" i="3" s="1"/>
  <c r="Z2060" i="3" s="1"/>
  <c r="U2151" i="3"/>
  <c r="Y2151" i="3" s="1"/>
  <c r="Z2151" i="3" s="1"/>
  <c r="U2285" i="3"/>
  <c r="Y2285" i="3" s="1"/>
  <c r="Z2285" i="3" s="1"/>
  <c r="U2715" i="3"/>
  <c r="Y2715" i="3" s="1"/>
  <c r="Z2715" i="3" s="1"/>
  <c r="U1969" i="3"/>
  <c r="Y1969" i="3" s="1"/>
  <c r="Z1969" i="3" s="1"/>
  <c r="U2022" i="3"/>
  <c r="Y2022" i="3" s="1"/>
  <c r="Z2022" i="3" s="1"/>
  <c r="U2154" i="3"/>
  <c r="Y2154" i="3" s="1"/>
  <c r="Z2154" i="3" s="1"/>
  <c r="U2289" i="3"/>
  <c r="Y2289" i="3" s="1"/>
  <c r="Z2289" i="3" s="1"/>
  <c r="U2462" i="3"/>
  <c r="Y2462" i="3" s="1"/>
  <c r="Z2462" i="3" s="1"/>
  <c r="U2549" i="3"/>
  <c r="Y2549" i="3" s="1"/>
  <c r="Z2549" i="3" s="1"/>
  <c r="U2598" i="3"/>
  <c r="Y2598" i="3" s="1"/>
  <c r="Z2598" i="3" s="1"/>
  <c r="U2682" i="3"/>
  <c r="Y2682" i="3" s="1"/>
  <c r="Z2682" i="3" s="1"/>
  <c r="U2775" i="3"/>
  <c r="Y2775" i="3" s="1"/>
  <c r="Z2775" i="3" s="1"/>
  <c r="U2045" i="3"/>
  <c r="Y2045" i="3" s="1"/>
  <c r="Z2045" i="3" s="1"/>
  <c r="U2140" i="3"/>
  <c r="Y2140" i="3" s="1"/>
  <c r="Z2140" i="3" s="1"/>
  <c r="U2218" i="3"/>
  <c r="Y2218" i="3" s="1"/>
  <c r="Z2218" i="3" s="1"/>
  <c r="U2264" i="3"/>
  <c r="Y2264" i="3" s="1"/>
  <c r="Z2264" i="3" s="1"/>
  <c r="U2305" i="3"/>
  <c r="Y2305" i="3" s="1"/>
  <c r="Z2305" i="3" s="1"/>
  <c r="U2364" i="3"/>
  <c r="Y2364" i="3" s="1"/>
  <c r="Z2364" i="3" s="1"/>
  <c r="U2501" i="3"/>
  <c r="Y2501" i="3" s="1"/>
  <c r="Z2501" i="3" s="1"/>
  <c r="U2600" i="3"/>
  <c r="Y2600" i="3" s="1"/>
  <c r="Z2600" i="3" s="1"/>
  <c r="U2635" i="3"/>
  <c r="Y2635" i="3" s="1"/>
  <c r="Z2635" i="3" s="1"/>
  <c r="U2807" i="3"/>
  <c r="Y2807" i="3" s="1"/>
  <c r="Z2807" i="3" s="1"/>
  <c r="U2907" i="3"/>
  <c r="Y2907" i="3" s="1"/>
  <c r="Z2907" i="3" s="1"/>
  <c r="U2199" i="3"/>
  <c r="Y2199" i="3" s="1"/>
  <c r="Z2199" i="3" s="1"/>
  <c r="U2241" i="3"/>
  <c r="Y2241" i="3" s="1"/>
  <c r="Z2241" i="3" s="1"/>
  <c r="U2322" i="3"/>
  <c r="Y2322" i="3" s="1"/>
  <c r="Z2322" i="3" s="1"/>
  <c r="U2334" i="3"/>
  <c r="Y2334" i="3" s="1"/>
  <c r="Z2334" i="3" s="1"/>
  <c r="U2348" i="3"/>
  <c r="U2402" i="3"/>
  <c r="Y2402" i="3" s="1"/>
  <c r="Z2402" i="3" s="1"/>
  <c r="U2557" i="3"/>
  <c r="Y2557" i="3" s="1"/>
  <c r="Z2557" i="3" s="1"/>
  <c r="U2599" i="3"/>
  <c r="Y2599" i="3" s="1"/>
  <c r="Z2599" i="3" s="1"/>
  <c r="U2714" i="3"/>
  <c r="Y2714" i="3" s="1"/>
  <c r="Z2714" i="3" s="1"/>
  <c r="U2833" i="3"/>
  <c r="Y2833" i="3" s="1"/>
  <c r="Z2833" i="3" s="1"/>
  <c r="U2852" i="3"/>
  <c r="Y2852" i="3" s="1"/>
  <c r="Z2852" i="3" s="1"/>
  <c r="U3001" i="3"/>
  <c r="Y3001" i="3" s="1"/>
  <c r="Z3001" i="3" s="1"/>
  <c r="U3046" i="3"/>
  <c r="Y3046" i="3" s="1"/>
  <c r="Z3046" i="3" s="1"/>
  <c r="U2470" i="3"/>
  <c r="Y2470" i="3" s="1"/>
  <c r="Z2470" i="3" s="1"/>
  <c r="U2532" i="3"/>
  <c r="Y2532" i="3" s="1"/>
  <c r="Z2532" i="3" s="1"/>
  <c r="U2677" i="3"/>
  <c r="Y2677" i="3" s="1"/>
  <c r="Z2677" i="3" s="1"/>
  <c r="U2742" i="3"/>
  <c r="Y2742" i="3" s="1"/>
  <c r="Z2742" i="3" s="1"/>
  <c r="U2767" i="3"/>
  <c r="Y2767" i="3" s="1"/>
  <c r="Z2767" i="3" s="1"/>
  <c r="U2768" i="3"/>
  <c r="Y2768" i="3" s="1"/>
  <c r="Z2768" i="3" s="1"/>
  <c r="U2883" i="3"/>
  <c r="Y2883" i="3" s="1"/>
  <c r="Z2883" i="3" s="1"/>
  <c r="U2926" i="3"/>
  <c r="Y2926" i="3" s="1"/>
  <c r="Z2926" i="3" s="1"/>
  <c r="U3092" i="3"/>
  <c r="Y3092" i="3" s="1"/>
  <c r="Z3092" i="3" s="1"/>
  <c r="U3165" i="3"/>
  <c r="Y3165" i="3" s="1"/>
  <c r="Z3165" i="3" s="1"/>
  <c r="U2627" i="3"/>
  <c r="Y2627" i="3" s="1"/>
  <c r="Z2627" i="3" s="1"/>
  <c r="U2639" i="3"/>
  <c r="Y2639" i="3" s="1"/>
  <c r="Z2639" i="3" s="1"/>
  <c r="U2924" i="3"/>
  <c r="Y2924" i="3" s="1"/>
  <c r="Z2924" i="3" s="1"/>
  <c r="U2929" i="3"/>
  <c r="Y2929" i="3" s="1"/>
  <c r="Z2929" i="3" s="1"/>
  <c r="U2958" i="3"/>
  <c r="Y2958" i="3" s="1"/>
  <c r="Z2958" i="3" s="1"/>
  <c r="U3010" i="3"/>
  <c r="Y3010" i="3" s="1"/>
  <c r="Z3010" i="3" s="1"/>
  <c r="U3088" i="3"/>
  <c r="Y3088" i="3" s="1"/>
  <c r="Z3088" i="3" s="1"/>
  <c r="U3148" i="3"/>
  <c r="Y3148" i="3" s="1"/>
  <c r="Z3148" i="3" s="1"/>
  <c r="U3152" i="3"/>
  <c r="Y3152" i="3" s="1"/>
  <c r="Z3152" i="3" s="1"/>
  <c r="U3176" i="3"/>
  <c r="Y3176" i="3" s="1"/>
  <c r="Z3176" i="3" s="1"/>
  <c r="U3230" i="3"/>
  <c r="Y3230" i="3" s="1"/>
  <c r="Z3230" i="3" s="1"/>
  <c r="U3302" i="3"/>
  <c r="Y3302" i="3" s="1"/>
  <c r="Z3302" i="3" s="1"/>
  <c r="U2724" i="3"/>
  <c r="Y2724" i="3" s="1"/>
  <c r="Z2724" i="3" s="1"/>
  <c r="U2766" i="3"/>
  <c r="Y2766" i="3" s="1"/>
  <c r="Z2766" i="3" s="1"/>
  <c r="U2847" i="3"/>
  <c r="Y2847" i="3" s="1"/>
  <c r="Z2847" i="3" s="1"/>
  <c r="U2969" i="3"/>
  <c r="Y2969" i="3" s="1"/>
  <c r="Z2969" i="3" s="1"/>
  <c r="U3009" i="3"/>
  <c r="Y3009" i="3" s="1"/>
  <c r="Z3009" i="3" s="1"/>
  <c r="U3228" i="3"/>
  <c r="Y3228" i="3" s="1"/>
  <c r="Z3228" i="3" s="1"/>
  <c r="U3335" i="3"/>
  <c r="Y3335" i="3" s="1"/>
  <c r="Z3335" i="3" s="1"/>
  <c r="U2804" i="3"/>
  <c r="Y2804" i="3" s="1"/>
  <c r="Z2804" i="3" s="1"/>
  <c r="U2875" i="3"/>
  <c r="Y2875" i="3" s="1"/>
  <c r="Z2875" i="3" s="1"/>
  <c r="U2932" i="3"/>
  <c r="Y2932" i="3" s="1"/>
  <c r="Z2932" i="3" s="1"/>
  <c r="U3011" i="3"/>
  <c r="Y3011" i="3" s="1"/>
  <c r="Z3011" i="3" s="1"/>
  <c r="U3091" i="3"/>
  <c r="Y3091" i="3" s="1"/>
  <c r="Z3091" i="3" s="1"/>
  <c r="U3386" i="3"/>
  <c r="Y3386" i="3" s="1"/>
  <c r="Z3386" i="3" s="1"/>
  <c r="U3534" i="3"/>
  <c r="Y3534" i="3" s="1"/>
  <c r="Z3534" i="3" s="1"/>
  <c r="U3553" i="3"/>
  <c r="Y3553" i="3" s="1"/>
  <c r="Z3553" i="3" s="1"/>
  <c r="U3191" i="3"/>
  <c r="Y3191" i="3" s="1"/>
  <c r="Z3191" i="3" s="1"/>
  <c r="U3311" i="3"/>
  <c r="Y3311" i="3" s="1"/>
  <c r="Z3311" i="3" s="1"/>
  <c r="U3519" i="3"/>
  <c r="Y3519" i="3" s="1"/>
  <c r="Z3519" i="3" s="1"/>
  <c r="U3186" i="3"/>
  <c r="Y3186" i="3" s="1"/>
  <c r="Z3186" i="3" s="1"/>
  <c r="U3259" i="3"/>
  <c r="Y3259" i="3" s="1"/>
  <c r="Z3259" i="3" s="1"/>
  <c r="U3350" i="3"/>
  <c r="U3417" i="3"/>
  <c r="Y3417" i="3" s="1"/>
  <c r="Z3417" i="3" s="1"/>
  <c r="U3547" i="3"/>
  <c r="U3419" i="3"/>
  <c r="Y3419" i="3" s="1"/>
  <c r="Z3419" i="3" s="1"/>
  <c r="U3536" i="3"/>
  <c r="Y3536" i="3" s="1"/>
  <c r="Z3536" i="3" s="1"/>
  <c r="U3622" i="3"/>
  <c r="Y3622" i="3" s="1"/>
  <c r="Z3622" i="3" s="1"/>
  <c r="U3717" i="3"/>
  <c r="Y3717" i="3" s="1"/>
  <c r="Z3717" i="3" s="1"/>
  <c r="U3581" i="3"/>
  <c r="Y3581" i="3" s="1"/>
  <c r="Z3581" i="3" s="1"/>
  <c r="U90" i="3"/>
  <c r="Y90" i="3" s="1"/>
  <c r="Z90" i="3" s="1"/>
  <c r="U123" i="3"/>
  <c r="Y123" i="3" s="1"/>
  <c r="Z123" i="3" s="1"/>
  <c r="U105" i="3"/>
  <c r="Y105" i="3" s="1"/>
  <c r="Z105" i="3" s="1"/>
  <c r="U107" i="3"/>
  <c r="Y107" i="3" s="1"/>
  <c r="Z107" i="3" s="1"/>
  <c r="U198" i="3"/>
  <c r="Y198" i="3" s="1"/>
  <c r="Z198" i="3" s="1"/>
  <c r="U153" i="3"/>
  <c r="Y153" i="3" s="1"/>
  <c r="Z153" i="3" s="1"/>
  <c r="U200" i="3"/>
  <c r="Y200" i="3" s="1"/>
  <c r="Z200" i="3" s="1"/>
  <c r="U189" i="3"/>
  <c r="U255" i="3"/>
  <c r="Y255" i="3" s="1"/>
  <c r="Z255" i="3" s="1"/>
  <c r="U116" i="3"/>
  <c r="Y116" i="3" s="1"/>
  <c r="Z116" i="3" s="1"/>
  <c r="U145" i="3"/>
  <c r="Y145" i="3" s="1"/>
  <c r="Z145" i="3" s="1"/>
  <c r="U193" i="3"/>
  <c r="Y193" i="3" s="1"/>
  <c r="Z193" i="3" s="1"/>
  <c r="U149" i="3"/>
  <c r="Y149" i="3" s="1"/>
  <c r="Z149" i="3" s="1"/>
  <c r="U185" i="3"/>
  <c r="Y185" i="3" s="1"/>
  <c r="Z185" i="3" s="1"/>
  <c r="U225" i="3"/>
  <c r="Y225" i="3" s="1"/>
  <c r="Z225" i="3" s="1"/>
  <c r="U228" i="3"/>
  <c r="Y228" i="3" s="1"/>
  <c r="Z228" i="3" s="1"/>
  <c r="U229" i="3"/>
  <c r="Y229" i="3" s="1"/>
  <c r="Z229" i="3" s="1"/>
  <c r="U239" i="3"/>
  <c r="Y239" i="3" s="1"/>
  <c r="Z239" i="3" s="1"/>
  <c r="U254" i="3"/>
  <c r="Y254" i="3" s="1"/>
  <c r="Z254" i="3" s="1"/>
  <c r="U281" i="3"/>
  <c r="Y281" i="3" s="1"/>
  <c r="Z281" i="3" s="1"/>
  <c r="U321" i="3"/>
  <c r="Y321" i="3" s="1"/>
  <c r="Z321" i="3" s="1"/>
  <c r="U353" i="3"/>
  <c r="Y353" i="3" s="1"/>
  <c r="Z353" i="3" s="1"/>
  <c r="U157" i="3"/>
  <c r="Y157" i="3" s="1"/>
  <c r="Z157" i="3" s="1"/>
  <c r="U195" i="3"/>
  <c r="Y195" i="3" s="1"/>
  <c r="Z195" i="3" s="1"/>
  <c r="U203" i="3"/>
  <c r="Y203" i="3" s="1"/>
  <c r="Z203" i="3" s="1"/>
  <c r="U299" i="3"/>
  <c r="Y299" i="3" s="1"/>
  <c r="Z299" i="3" s="1"/>
  <c r="U374" i="3"/>
  <c r="Y374" i="3" s="1"/>
  <c r="Z374" i="3" s="1"/>
  <c r="U391" i="3"/>
  <c r="Y391" i="3" s="1"/>
  <c r="Z391" i="3" s="1"/>
  <c r="U401" i="3"/>
  <c r="Y401" i="3" s="1"/>
  <c r="Z401" i="3" s="1"/>
  <c r="U214" i="3"/>
  <c r="Y214" i="3" s="1"/>
  <c r="Z214" i="3" s="1"/>
  <c r="U246" i="3"/>
  <c r="Y246" i="3" s="1"/>
  <c r="Z246" i="3" s="1"/>
  <c r="U301" i="3"/>
  <c r="Y301" i="3" s="1"/>
  <c r="Z301" i="3" s="1"/>
  <c r="U328" i="3"/>
  <c r="Y328" i="3" s="1"/>
  <c r="Z328" i="3" s="1"/>
  <c r="U336" i="3"/>
  <c r="Y336" i="3" s="1"/>
  <c r="Z336" i="3" s="1"/>
  <c r="U383" i="3"/>
  <c r="Y383" i="3" s="1"/>
  <c r="Z383" i="3" s="1"/>
  <c r="U400" i="3"/>
  <c r="Y400" i="3" s="1"/>
  <c r="Z400" i="3" s="1"/>
  <c r="U423" i="3"/>
  <c r="Y423" i="3" s="1"/>
  <c r="Z423" i="3" s="1"/>
  <c r="U501" i="3"/>
  <c r="Y501" i="3" s="1"/>
  <c r="Z501" i="3" s="1"/>
  <c r="U535" i="3"/>
  <c r="Y535" i="3" s="1"/>
  <c r="Z535" i="3" s="1"/>
  <c r="U577" i="3"/>
  <c r="U627" i="3"/>
  <c r="Y627" i="3" s="1"/>
  <c r="Z627" i="3" s="1"/>
  <c r="U526" i="3"/>
  <c r="Y526" i="3" s="1"/>
  <c r="Z526" i="3" s="1"/>
  <c r="U235" i="3"/>
  <c r="Y235" i="3" s="1"/>
  <c r="Z235" i="3" s="1"/>
  <c r="U289" i="3"/>
  <c r="Y289" i="3" s="1"/>
  <c r="Z289" i="3" s="1"/>
  <c r="U351" i="3"/>
  <c r="Y351" i="3" s="1"/>
  <c r="Z351" i="3" s="1"/>
  <c r="U505" i="3"/>
  <c r="Y505" i="3" s="1"/>
  <c r="Z505" i="3" s="1"/>
  <c r="U521" i="3"/>
  <c r="Y521" i="3" s="1"/>
  <c r="Z521" i="3" s="1"/>
  <c r="U673" i="3"/>
  <c r="Y673" i="3" s="1"/>
  <c r="Z673" i="3" s="1"/>
  <c r="U696" i="3"/>
  <c r="Y696" i="3" s="1"/>
  <c r="Z696" i="3" s="1"/>
  <c r="U387" i="3"/>
  <c r="Y387" i="3" s="1"/>
  <c r="Z387" i="3" s="1"/>
  <c r="U534" i="3"/>
  <c r="Y534" i="3" s="1"/>
  <c r="Z534" i="3" s="1"/>
  <c r="U583" i="3"/>
  <c r="Y583" i="3" s="1"/>
  <c r="Z583" i="3" s="1"/>
  <c r="U722" i="3"/>
  <c r="Y722" i="3" s="1"/>
  <c r="Z722" i="3" s="1"/>
  <c r="U787" i="3"/>
  <c r="Y787" i="3" s="1"/>
  <c r="Z787" i="3" s="1"/>
  <c r="U832" i="3"/>
  <c r="Y832" i="3" s="1"/>
  <c r="Z832" i="3" s="1"/>
  <c r="U394" i="3"/>
  <c r="Y394" i="3" s="1"/>
  <c r="Z394" i="3" s="1"/>
  <c r="U454" i="3"/>
  <c r="Y454" i="3" s="1"/>
  <c r="Z454" i="3" s="1"/>
  <c r="U485" i="3"/>
  <c r="Y485" i="3" s="1"/>
  <c r="Z485" i="3" s="1"/>
  <c r="U490" i="3"/>
  <c r="Y490" i="3" s="1"/>
  <c r="Z490" i="3" s="1"/>
  <c r="U544" i="3"/>
  <c r="Y544" i="3" s="1"/>
  <c r="Z544" i="3" s="1"/>
  <c r="U571" i="3"/>
  <c r="Y571" i="3" s="1"/>
  <c r="Z571" i="3" s="1"/>
  <c r="U576" i="3"/>
  <c r="Y576" i="3" s="1"/>
  <c r="Z576" i="3" s="1"/>
  <c r="U608" i="3"/>
  <c r="Y608" i="3" s="1"/>
  <c r="Z608" i="3" s="1"/>
  <c r="U650" i="3"/>
  <c r="Y650" i="3" s="1"/>
  <c r="Z650" i="3" s="1"/>
  <c r="U677" i="3"/>
  <c r="Y677" i="3" s="1"/>
  <c r="Z677" i="3" s="1"/>
  <c r="U796" i="3"/>
  <c r="Y796" i="3" s="1"/>
  <c r="Z796" i="3" s="1"/>
  <c r="U847" i="3"/>
  <c r="Y847" i="3" s="1"/>
  <c r="Z847" i="3" s="1"/>
  <c r="U869" i="3"/>
  <c r="Y869" i="3" s="1"/>
  <c r="Z869" i="3" s="1"/>
  <c r="U926" i="3"/>
  <c r="Y926" i="3" s="1"/>
  <c r="Z926" i="3" s="1"/>
  <c r="U942" i="3"/>
  <c r="Y942" i="3" s="1"/>
  <c r="Z942" i="3" s="1"/>
  <c r="U953" i="3"/>
  <c r="Y953" i="3" s="1"/>
  <c r="Z953" i="3" s="1"/>
  <c r="U967" i="3"/>
  <c r="Y967" i="3" s="1"/>
  <c r="Z967" i="3" s="1"/>
  <c r="U991" i="3"/>
  <c r="Y991" i="3" s="1"/>
  <c r="Z991" i="3" s="1"/>
  <c r="U507" i="3"/>
  <c r="Y507" i="3" s="1"/>
  <c r="Z507" i="3" s="1"/>
  <c r="U557" i="3"/>
  <c r="Y557" i="3" s="1"/>
  <c r="Z557" i="3" s="1"/>
  <c r="U600" i="3"/>
  <c r="Y600" i="3" s="1"/>
  <c r="Z600" i="3" s="1"/>
  <c r="U610" i="3"/>
  <c r="Y610" i="3" s="1"/>
  <c r="Z610" i="3" s="1"/>
  <c r="U635" i="3"/>
  <c r="Y635" i="3" s="1"/>
  <c r="Z635" i="3" s="1"/>
  <c r="U691" i="3"/>
  <c r="Y691" i="3" s="1"/>
  <c r="Z691" i="3" s="1"/>
  <c r="U748" i="3"/>
  <c r="Y748" i="3" s="1"/>
  <c r="Z748" i="3" s="1"/>
  <c r="U775" i="3"/>
  <c r="Y775" i="3" s="1"/>
  <c r="Z775" i="3" s="1"/>
  <c r="U856" i="3"/>
  <c r="Y856" i="3" s="1"/>
  <c r="Z856" i="3" s="1"/>
  <c r="U921" i="3"/>
  <c r="Y921" i="3" s="1"/>
  <c r="Z921" i="3" s="1"/>
  <c r="U970" i="3"/>
  <c r="Y970" i="3" s="1"/>
  <c r="Z970" i="3" s="1"/>
  <c r="U1008" i="3"/>
  <c r="Y1008" i="3" s="1"/>
  <c r="Z1008" i="3" s="1"/>
  <c r="U1122" i="3"/>
  <c r="Y1122" i="3" s="1"/>
  <c r="Z1122" i="3" s="1"/>
  <c r="U518" i="3"/>
  <c r="Y518" i="3" s="1"/>
  <c r="Z518" i="3" s="1"/>
  <c r="U679" i="3"/>
  <c r="Y679" i="3" s="1"/>
  <c r="Z679" i="3" s="1"/>
  <c r="U768" i="3"/>
  <c r="Y768" i="3" s="1"/>
  <c r="Z768" i="3" s="1"/>
  <c r="U863" i="3"/>
  <c r="Y863" i="3" s="1"/>
  <c r="Z863" i="3" s="1"/>
  <c r="U880" i="3"/>
  <c r="Y880" i="3" s="1"/>
  <c r="Z880" i="3" s="1"/>
  <c r="U1024" i="3"/>
  <c r="Y1024" i="3" s="1"/>
  <c r="Z1024" i="3" s="1"/>
  <c r="U1156" i="3"/>
  <c r="Y1156" i="3" s="1"/>
  <c r="Z1156" i="3" s="1"/>
  <c r="U1239" i="3"/>
  <c r="Y1239" i="3" s="1"/>
  <c r="Z1239" i="3" s="1"/>
  <c r="U480" i="3"/>
  <c r="Y480" i="3" s="1"/>
  <c r="Z480" i="3" s="1"/>
  <c r="U513" i="3"/>
  <c r="Y513" i="3" s="1"/>
  <c r="Z513" i="3" s="1"/>
  <c r="U570" i="3"/>
  <c r="Y570" i="3" s="1"/>
  <c r="Z570" i="3" s="1"/>
  <c r="U649" i="3"/>
  <c r="Y649" i="3" s="1"/>
  <c r="Z649" i="3" s="1"/>
  <c r="U667" i="3"/>
  <c r="Y667" i="3" s="1"/>
  <c r="Z667" i="3" s="1"/>
  <c r="U705" i="3"/>
  <c r="Y705" i="3" s="1"/>
  <c r="Z705" i="3" s="1"/>
  <c r="U882" i="3"/>
  <c r="Y882" i="3" s="1"/>
  <c r="Z882" i="3" s="1"/>
  <c r="U902" i="3"/>
  <c r="Y902" i="3" s="1"/>
  <c r="Z902" i="3" s="1"/>
  <c r="U933" i="3"/>
  <c r="Y933" i="3" s="1"/>
  <c r="Z933" i="3" s="1"/>
  <c r="U945" i="3"/>
  <c r="Y945" i="3" s="1"/>
  <c r="Z945" i="3" s="1"/>
  <c r="U980" i="3"/>
  <c r="Y980" i="3" s="1"/>
  <c r="Z980" i="3" s="1"/>
  <c r="U1002" i="3"/>
  <c r="Y1002" i="3" s="1"/>
  <c r="Z1002" i="3" s="1"/>
  <c r="U1026" i="3"/>
  <c r="Y1026" i="3" s="1"/>
  <c r="Z1026" i="3" s="1"/>
  <c r="U1076" i="3"/>
  <c r="Y1076" i="3" s="1"/>
  <c r="Z1076" i="3" s="1"/>
  <c r="U1139" i="3"/>
  <c r="Y1139" i="3" s="1"/>
  <c r="Z1139" i="3" s="1"/>
  <c r="U1184" i="3"/>
  <c r="Y1184" i="3" s="1"/>
  <c r="Z1184" i="3" s="1"/>
  <c r="U1273" i="3"/>
  <c r="Y1273" i="3" s="1"/>
  <c r="Z1273" i="3" s="1"/>
  <c r="U1379" i="3"/>
  <c r="Y1379" i="3" s="1"/>
  <c r="Z1379" i="3" s="1"/>
  <c r="U613" i="3"/>
  <c r="Y613" i="3" s="1"/>
  <c r="Z613" i="3" s="1"/>
  <c r="U634" i="3"/>
  <c r="Y634" i="3" s="1"/>
  <c r="Z634" i="3" s="1"/>
  <c r="U672" i="3"/>
  <c r="Y672" i="3" s="1"/>
  <c r="Z672" i="3" s="1"/>
  <c r="U712" i="3"/>
  <c r="Y712" i="3" s="1"/>
  <c r="Z712" i="3" s="1"/>
  <c r="U726" i="3"/>
  <c r="Y726" i="3" s="1"/>
  <c r="Z726" i="3" s="1"/>
  <c r="U766" i="3"/>
  <c r="Y766" i="3" s="1"/>
  <c r="Z766" i="3" s="1"/>
  <c r="U804" i="3"/>
  <c r="Y804" i="3" s="1"/>
  <c r="Z804" i="3" s="1"/>
  <c r="U840" i="3"/>
  <c r="Y840" i="3" s="1"/>
  <c r="Z840" i="3" s="1"/>
  <c r="U1350" i="3"/>
  <c r="Y1350" i="3" s="1"/>
  <c r="Z1350" i="3" s="1"/>
  <c r="U711" i="3"/>
  <c r="Y711" i="3" s="1"/>
  <c r="Z711" i="3" s="1"/>
  <c r="U873" i="3"/>
  <c r="Y873" i="3" s="1"/>
  <c r="Z873" i="3" s="1"/>
  <c r="U1172" i="3"/>
  <c r="Y1172" i="3" s="1"/>
  <c r="Z1172" i="3" s="1"/>
  <c r="U1274" i="3"/>
  <c r="Y1274" i="3" s="1"/>
  <c r="Z1274" i="3" s="1"/>
  <c r="U1310" i="3"/>
  <c r="Y1310" i="3" s="1"/>
  <c r="Z1310" i="3" s="1"/>
  <c r="U1336" i="3"/>
  <c r="Y1336" i="3" s="1"/>
  <c r="Z1336" i="3" s="1"/>
  <c r="U1558" i="3"/>
  <c r="Y1558" i="3" s="1"/>
  <c r="Z1558" i="3" s="1"/>
  <c r="U646" i="3"/>
  <c r="Y646" i="3" s="1"/>
  <c r="Z646" i="3" s="1"/>
  <c r="U771" i="3"/>
  <c r="Y771" i="3" s="1"/>
  <c r="Z771" i="3" s="1"/>
  <c r="U995" i="3"/>
  <c r="Y995" i="3" s="1"/>
  <c r="Z995" i="3" s="1"/>
  <c r="U1123" i="3"/>
  <c r="Y1123" i="3" s="1"/>
  <c r="Z1123" i="3" s="1"/>
  <c r="U1137" i="3"/>
  <c r="Y1137" i="3" s="1"/>
  <c r="Z1137" i="3" s="1"/>
  <c r="U1306" i="3"/>
  <c r="Y1306" i="3" s="1"/>
  <c r="Z1306" i="3" s="1"/>
  <c r="U1345" i="3"/>
  <c r="Y1345" i="3" s="1"/>
  <c r="Z1345" i="3" s="1"/>
  <c r="U1397" i="3"/>
  <c r="Y1397" i="3" s="1"/>
  <c r="Z1397" i="3" s="1"/>
  <c r="U1515" i="3"/>
  <c r="Y1515" i="3" s="1"/>
  <c r="Z1515" i="3" s="1"/>
  <c r="U735" i="3"/>
  <c r="Y735" i="3" s="1"/>
  <c r="Z735" i="3" s="1"/>
  <c r="U897" i="3"/>
  <c r="Y897" i="3" s="1"/>
  <c r="Z897" i="3" s="1"/>
  <c r="U940" i="3"/>
  <c r="Y940" i="3" s="1"/>
  <c r="Z940" i="3" s="1"/>
  <c r="U966" i="3"/>
  <c r="Y966" i="3" s="1"/>
  <c r="Z966" i="3" s="1"/>
  <c r="U1079" i="3"/>
  <c r="Y1079" i="3" s="1"/>
  <c r="Z1079" i="3" s="1"/>
  <c r="U1351" i="3"/>
  <c r="Y1351" i="3" s="1"/>
  <c r="Z1351" i="3" s="1"/>
  <c r="U1630" i="3"/>
  <c r="Y1630" i="3" s="1"/>
  <c r="Z1630" i="3" s="1"/>
  <c r="U1663" i="3"/>
  <c r="Y1663" i="3" s="1"/>
  <c r="Z1663" i="3" s="1"/>
  <c r="U929" i="3"/>
  <c r="Y929" i="3" s="1"/>
  <c r="Z929" i="3" s="1"/>
  <c r="U1048" i="3"/>
  <c r="Y1048" i="3" s="1"/>
  <c r="Z1048" i="3" s="1"/>
  <c r="U1126" i="3"/>
  <c r="Y1126" i="3" s="1"/>
  <c r="Z1126" i="3" s="1"/>
  <c r="U1229" i="3"/>
  <c r="Y1229" i="3" s="1"/>
  <c r="Z1229" i="3" s="1"/>
  <c r="U1300" i="3"/>
  <c r="Y1300" i="3" s="1"/>
  <c r="Z1300" i="3" s="1"/>
  <c r="U1335" i="3"/>
  <c r="Y1335" i="3" s="1"/>
  <c r="Z1335" i="3" s="1"/>
  <c r="U1382" i="3"/>
  <c r="Y1382" i="3" s="1"/>
  <c r="Z1382" i="3" s="1"/>
  <c r="U1624" i="3"/>
  <c r="Y1624" i="3" s="1"/>
  <c r="Z1624" i="3" s="1"/>
  <c r="U1683" i="3"/>
  <c r="Y1683" i="3" s="1"/>
  <c r="Z1683" i="3" s="1"/>
  <c r="U839" i="3"/>
  <c r="Y839" i="3" s="1"/>
  <c r="Z839" i="3" s="1"/>
  <c r="U974" i="3"/>
  <c r="Y974" i="3" s="1"/>
  <c r="Z974" i="3" s="1"/>
  <c r="U1165" i="3"/>
  <c r="Y1165" i="3" s="1"/>
  <c r="Z1165" i="3" s="1"/>
  <c r="U1209" i="3"/>
  <c r="Y1209" i="3" s="1"/>
  <c r="Z1209" i="3" s="1"/>
  <c r="U1377" i="3"/>
  <c r="Y1377" i="3" s="1"/>
  <c r="Z1377" i="3" s="1"/>
  <c r="U1469" i="3"/>
  <c r="Y1469" i="3" s="1"/>
  <c r="Z1469" i="3" s="1"/>
  <c r="U1489" i="3"/>
  <c r="Y1489" i="3" s="1"/>
  <c r="Z1489" i="3" s="1"/>
  <c r="U1537" i="3"/>
  <c r="Y1537" i="3" s="1"/>
  <c r="Z1537" i="3" s="1"/>
  <c r="U1597" i="3"/>
  <c r="Y1597" i="3" s="1"/>
  <c r="Z1597" i="3" s="1"/>
  <c r="U1737" i="3"/>
  <c r="Y1737" i="3" s="1"/>
  <c r="Z1737" i="3" s="1"/>
  <c r="U1818" i="3"/>
  <c r="Y1818" i="3" s="1"/>
  <c r="Z1818" i="3" s="1"/>
  <c r="U1849" i="3"/>
  <c r="Y1849" i="3" s="1"/>
  <c r="Z1849" i="3" s="1"/>
  <c r="U888" i="3"/>
  <c r="Y888" i="3" s="1"/>
  <c r="Z888" i="3" s="1"/>
  <c r="U922" i="3"/>
  <c r="Y922" i="3" s="1"/>
  <c r="Z922" i="3" s="1"/>
  <c r="U996" i="3"/>
  <c r="Y996" i="3" s="1"/>
  <c r="Z996" i="3" s="1"/>
  <c r="U1208" i="3"/>
  <c r="Y1208" i="3" s="1"/>
  <c r="Z1208" i="3" s="1"/>
  <c r="U1276" i="3"/>
  <c r="Y1276" i="3" s="1"/>
  <c r="Z1276" i="3" s="1"/>
  <c r="U1555" i="3"/>
  <c r="Y1555" i="3" s="1"/>
  <c r="Z1555" i="3" s="1"/>
  <c r="U1741" i="3"/>
  <c r="Y1741" i="3" s="1"/>
  <c r="Z1741" i="3" s="1"/>
  <c r="U1761" i="3"/>
  <c r="Y1761" i="3" s="1"/>
  <c r="Z1761" i="3" s="1"/>
  <c r="U1916" i="3"/>
  <c r="Y1916" i="3" s="1"/>
  <c r="Z1916" i="3" s="1"/>
  <c r="U1108" i="3"/>
  <c r="Y1108" i="3" s="1"/>
  <c r="Z1108" i="3" s="1"/>
  <c r="U1419" i="3"/>
  <c r="Y1419" i="3" s="1"/>
  <c r="Z1419" i="3" s="1"/>
  <c r="U1606" i="3"/>
  <c r="Y1606" i="3" s="1"/>
  <c r="Z1606" i="3" s="1"/>
  <c r="U1718" i="3"/>
  <c r="Y1718" i="3" s="1"/>
  <c r="Z1718" i="3" s="1"/>
  <c r="U1908" i="3"/>
  <c r="Y1908" i="3" s="1"/>
  <c r="Z1908" i="3" s="1"/>
  <c r="U1170" i="3"/>
  <c r="Y1170" i="3" s="1"/>
  <c r="Z1170" i="3" s="1"/>
  <c r="U1242" i="3"/>
  <c r="Y1242" i="3" s="1"/>
  <c r="Z1242" i="3" s="1"/>
  <c r="U1328" i="3"/>
  <c r="Y1328" i="3" s="1"/>
  <c r="Z1328" i="3" s="1"/>
  <c r="U1502" i="3"/>
  <c r="Y1502" i="3" s="1"/>
  <c r="Z1502" i="3" s="1"/>
  <c r="U1604" i="3"/>
  <c r="Y1604" i="3" s="1"/>
  <c r="Z1604" i="3" s="1"/>
  <c r="U1701" i="3"/>
  <c r="Y1701" i="3" s="1"/>
  <c r="Z1701" i="3" s="1"/>
  <c r="U1864" i="3"/>
  <c r="Y1864" i="3" s="1"/>
  <c r="Z1864" i="3" s="1"/>
  <c r="U1131" i="3"/>
  <c r="Y1131" i="3" s="1"/>
  <c r="Z1131" i="3" s="1"/>
  <c r="U1148" i="3"/>
  <c r="Y1148" i="3" s="1"/>
  <c r="Z1148" i="3" s="1"/>
  <c r="U1309" i="3"/>
  <c r="Y1309" i="3" s="1"/>
  <c r="Z1309" i="3" s="1"/>
  <c r="U1323" i="3"/>
  <c r="Y1323" i="3" s="1"/>
  <c r="Z1323" i="3" s="1"/>
  <c r="U1417" i="3"/>
  <c r="Y1417" i="3" s="1"/>
  <c r="Z1417" i="3" s="1"/>
  <c r="U1438" i="3"/>
  <c r="Y1438" i="3" s="1"/>
  <c r="Z1438" i="3" s="1"/>
  <c r="U1483" i="3"/>
  <c r="Y1483" i="3" s="1"/>
  <c r="Z1483" i="3" s="1"/>
  <c r="U1652" i="3"/>
  <c r="Y1652" i="3" s="1"/>
  <c r="Z1652" i="3" s="1"/>
  <c r="U1796" i="3"/>
  <c r="Y1796" i="3" s="1"/>
  <c r="Z1796" i="3" s="1"/>
  <c r="U1827" i="3"/>
  <c r="Y1827" i="3" s="1"/>
  <c r="Z1827" i="3" s="1"/>
  <c r="U1891" i="3"/>
  <c r="Y1891" i="3" s="1"/>
  <c r="Z1891" i="3" s="1"/>
  <c r="U1929" i="3"/>
  <c r="Y1929" i="3" s="1"/>
  <c r="Z1929" i="3" s="1"/>
  <c r="U2117" i="3"/>
  <c r="Y2117" i="3" s="1"/>
  <c r="Z2117" i="3" s="1"/>
  <c r="U1216" i="3"/>
  <c r="Y1216" i="3" s="1"/>
  <c r="Z1216" i="3" s="1"/>
  <c r="U1291" i="3"/>
  <c r="Y1291" i="3" s="1"/>
  <c r="Z1291" i="3" s="1"/>
  <c r="U1371" i="3"/>
  <c r="Y1371" i="3" s="1"/>
  <c r="Z1371" i="3" s="1"/>
  <c r="U1402" i="3"/>
  <c r="Y1402" i="3" s="1"/>
  <c r="Z1402" i="3" s="1"/>
  <c r="U1472" i="3"/>
  <c r="Y1472" i="3" s="1"/>
  <c r="Z1472" i="3" s="1"/>
  <c r="U1488" i="3"/>
  <c r="Y1488" i="3" s="1"/>
  <c r="Z1488" i="3" s="1"/>
  <c r="U1505" i="3"/>
  <c r="Y1505" i="3" s="1"/>
  <c r="Z1505" i="3" s="1"/>
  <c r="U1562" i="3"/>
  <c r="Y1562" i="3" s="1"/>
  <c r="Z1562" i="3" s="1"/>
  <c r="U1709" i="3"/>
  <c r="Y1709" i="3" s="1"/>
  <c r="Z1709" i="3" s="1"/>
  <c r="U1728" i="3"/>
  <c r="Y1728" i="3" s="1"/>
  <c r="Z1728" i="3" s="1"/>
  <c r="U1776" i="3"/>
  <c r="Y1776" i="3" s="1"/>
  <c r="Z1776" i="3" s="1"/>
  <c r="U1882" i="3"/>
  <c r="Y1882" i="3" s="1"/>
  <c r="Z1882" i="3" s="1"/>
  <c r="U1894" i="3"/>
  <c r="Y1894" i="3" s="1"/>
  <c r="Z1894" i="3" s="1"/>
  <c r="U1938" i="3"/>
  <c r="Y1938" i="3" s="1"/>
  <c r="Z1938" i="3" s="1"/>
  <c r="U1975" i="3"/>
  <c r="Y1975" i="3" s="1"/>
  <c r="Z1975" i="3" s="1"/>
  <c r="U2055" i="3"/>
  <c r="Y2055" i="3" s="1"/>
  <c r="Z2055" i="3" s="1"/>
  <c r="U2153" i="3"/>
  <c r="Y2153" i="3" s="1"/>
  <c r="Z2153" i="3" s="1"/>
  <c r="U2175" i="3"/>
  <c r="Y2175" i="3" s="1"/>
  <c r="Z2175" i="3" s="1"/>
  <c r="U2187" i="3"/>
  <c r="Y2187" i="3" s="1"/>
  <c r="Z2187" i="3" s="1"/>
  <c r="U1374" i="3"/>
  <c r="Y1374" i="3" s="1"/>
  <c r="Z1374" i="3" s="1"/>
  <c r="U1404" i="3"/>
  <c r="Y1404" i="3" s="1"/>
  <c r="Z1404" i="3" s="1"/>
  <c r="U1432" i="3"/>
  <c r="Y1432" i="3" s="1"/>
  <c r="Z1432" i="3" s="1"/>
  <c r="U1476" i="3"/>
  <c r="Y1476" i="3" s="1"/>
  <c r="Z1476" i="3" s="1"/>
  <c r="U1503" i="3"/>
  <c r="Y1503" i="3" s="1"/>
  <c r="Z1503" i="3" s="1"/>
  <c r="U1612" i="3"/>
  <c r="Y1612" i="3" s="1"/>
  <c r="Z1612" i="3" s="1"/>
  <c r="U1653" i="3"/>
  <c r="Y1653" i="3" s="1"/>
  <c r="Z1653" i="3" s="1"/>
  <c r="U1699" i="3"/>
  <c r="Y1699" i="3" s="1"/>
  <c r="Z1699" i="3" s="1"/>
  <c r="U1720" i="3"/>
  <c r="Y1720" i="3" s="1"/>
  <c r="Z1720" i="3" s="1"/>
  <c r="U1756" i="3"/>
  <c r="Y1756" i="3" s="1"/>
  <c r="Z1756" i="3" s="1"/>
  <c r="U1817" i="3"/>
  <c r="Y1817" i="3" s="1"/>
  <c r="Z1817" i="3" s="1"/>
  <c r="U1918" i="3"/>
  <c r="Y1918" i="3" s="1"/>
  <c r="Z1918" i="3" s="1"/>
  <c r="U1944" i="3"/>
  <c r="Y1944" i="3" s="1"/>
  <c r="Z1944" i="3" s="1"/>
  <c r="U1955" i="3"/>
  <c r="Y1955" i="3" s="1"/>
  <c r="Z1955" i="3" s="1"/>
  <c r="U1993" i="3"/>
  <c r="Y1993" i="3" s="1"/>
  <c r="Z1993" i="3" s="1"/>
  <c r="U2053" i="3"/>
  <c r="Y2053" i="3" s="1"/>
  <c r="Z2053" i="3" s="1"/>
  <c r="U2070" i="3"/>
  <c r="Y2070" i="3" s="1"/>
  <c r="Z2070" i="3" s="1"/>
  <c r="U2083" i="3"/>
  <c r="Y2083" i="3" s="1"/>
  <c r="Z2083" i="3" s="1"/>
  <c r="U2147" i="3"/>
  <c r="Y2147" i="3" s="1"/>
  <c r="Z2147" i="3" s="1"/>
  <c r="U2279" i="3"/>
  <c r="Y2279" i="3" s="1"/>
  <c r="Z2279" i="3" s="1"/>
  <c r="U2395" i="3"/>
  <c r="Y2395" i="3" s="1"/>
  <c r="Z2395" i="3" s="1"/>
  <c r="U1625" i="3"/>
  <c r="Y1625" i="3" s="1"/>
  <c r="Z1625" i="3" s="1"/>
  <c r="U1628" i="3"/>
  <c r="Y1628" i="3" s="1"/>
  <c r="Z1628" i="3" s="1"/>
  <c r="U1673" i="3"/>
  <c r="Y1673" i="3" s="1"/>
  <c r="Z1673" i="3" s="1"/>
  <c r="U1778" i="3"/>
  <c r="Y1778" i="3" s="1"/>
  <c r="Z1778" i="3" s="1"/>
  <c r="U1816" i="3"/>
  <c r="Y1816" i="3" s="1"/>
  <c r="Z1816" i="3" s="1"/>
  <c r="U1844" i="3"/>
  <c r="Y1844" i="3" s="1"/>
  <c r="Z1844" i="3" s="1"/>
  <c r="U1914" i="3"/>
  <c r="Y1914" i="3" s="1"/>
  <c r="Z1914" i="3" s="1"/>
  <c r="U1990" i="3"/>
  <c r="Y1990" i="3" s="1"/>
  <c r="Z1990" i="3" s="1"/>
  <c r="U2047" i="3"/>
  <c r="Y2047" i="3" s="1"/>
  <c r="Z2047" i="3" s="1"/>
  <c r="U2164" i="3"/>
  <c r="Y2164" i="3" s="1"/>
  <c r="Z2164" i="3" s="1"/>
  <c r="U2284" i="3"/>
  <c r="Y2284" i="3" s="1"/>
  <c r="Z2284" i="3" s="1"/>
  <c r="U2362" i="3"/>
  <c r="Y2362" i="3" s="1"/>
  <c r="Z2362" i="3" s="1"/>
  <c r="U2365" i="3"/>
  <c r="Y2365" i="3" s="1"/>
  <c r="Z2365" i="3" s="1"/>
  <c r="U2401" i="3"/>
  <c r="Y2401" i="3" s="1"/>
  <c r="Z2401" i="3" s="1"/>
  <c r="U2415" i="3"/>
  <c r="Y2415" i="3" s="1"/>
  <c r="Z2415" i="3" s="1"/>
  <c r="U2455" i="3"/>
  <c r="Y2455" i="3" s="1"/>
  <c r="Z2455" i="3" s="1"/>
  <c r="U1686" i="3"/>
  <c r="Y1686" i="3" s="1"/>
  <c r="Z1686" i="3" s="1"/>
  <c r="U1770" i="3"/>
  <c r="Y1770" i="3" s="1"/>
  <c r="Z1770" i="3" s="1"/>
  <c r="U1840" i="3"/>
  <c r="Y1840" i="3" s="1"/>
  <c r="Z1840" i="3" s="1"/>
  <c r="U1941" i="3"/>
  <c r="Y1941" i="3" s="1"/>
  <c r="Z1941" i="3" s="1"/>
  <c r="U2020" i="3"/>
  <c r="Y2020" i="3" s="1"/>
  <c r="Z2020" i="3" s="1"/>
  <c r="U2131" i="3"/>
  <c r="Y2131" i="3" s="1"/>
  <c r="Z2131" i="3" s="1"/>
  <c r="U2512" i="3"/>
  <c r="Y2512" i="3" s="1"/>
  <c r="Z2512" i="3" s="1"/>
  <c r="U2533" i="3"/>
  <c r="Y2533" i="3" s="1"/>
  <c r="Z2533" i="3" s="1"/>
  <c r="U2559" i="3"/>
  <c r="Y2559" i="3" s="1"/>
  <c r="Z2559" i="3" s="1"/>
  <c r="U1798" i="3"/>
  <c r="Y1798" i="3" s="1"/>
  <c r="Z1798" i="3" s="1"/>
  <c r="U2237" i="3"/>
  <c r="Y2237" i="3" s="1"/>
  <c r="Z2237" i="3" s="1"/>
  <c r="U2339" i="3"/>
  <c r="Y2339" i="3" s="1"/>
  <c r="Z2339" i="3" s="1"/>
  <c r="U2439" i="3"/>
  <c r="Y2439" i="3" s="1"/>
  <c r="Z2439" i="3" s="1"/>
  <c r="U2629" i="3"/>
  <c r="Y2629" i="3" s="1"/>
  <c r="Z2629" i="3" s="1"/>
  <c r="U1866" i="3"/>
  <c r="Y1866" i="3" s="1"/>
  <c r="Z1866" i="3" s="1"/>
  <c r="U1879" i="3"/>
  <c r="Y1879" i="3" s="1"/>
  <c r="Z1879" i="3" s="1"/>
  <c r="U1889" i="3"/>
  <c r="Y1889" i="3" s="1"/>
  <c r="Z1889" i="3" s="1"/>
  <c r="U2090" i="3"/>
  <c r="Y2090" i="3" s="1"/>
  <c r="Z2090" i="3" s="1"/>
  <c r="U2200" i="3"/>
  <c r="Y2200" i="3" s="1"/>
  <c r="Z2200" i="3" s="1"/>
  <c r="U2676" i="3"/>
  <c r="Y2676" i="3" s="1"/>
  <c r="Z2676" i="3" s="1"/>
  <c r="U2732" i="3"/>
  <c r="Y2732" i="3" s="1"/>
  <c r="Z2732" i="3" s="1"/>
  <c r="U1900" i="3"/>
  <c r="Y1900" i="3" s="1"/>
  <c r="Z1900" i="3" s="1"/>
  <c r="U2008" i="3"/>
  <c r="Y2008" i="3" s="1"/>
  <c r="Z2008" i="3" s="1"/>
  <c r="U2087" i="3"/>
  <c r="Y2087" i="3" s="1"/>
  <c r="Z2087" i="3" s="1"/>
  <c r="U2245" i="3"/>
  <c r="Y2245" i="3" s="1"/>
  <c r="Z2245" i="3" s="1"/>
  <c r="U2367" i="3"/>
  <c r="Y2367" i="3" s="1"/>
  <c r="Z2367" i="3" s="1"/>
  <c r="U2497" i="3"/>
  <c r="Y2497" i="3" s="1"/>
  <c r="Z2497" i="3" s="1"/>
  <c r="U2595" i="3"/>
  <c r="Y2595" i="3" s="1"/>
  <c r="Z2595" i="3" s="1"/>
  <c r="U2617" i="3"/>
  <c r="Y2617" i="3" s="1"/>
  <c r="Z2617" i="3" s="1"/>
  <c r="U2771" i="3"/>
  <c r="Y2771" i="3" s="1"/>
  <c r="Z2771" i="3" s="1"/>
  <c r="U2801" i="3"/>
  <c r="Y2801" i="3" s="1"/>
  <c r="Z2801" i="3" s="1"/>
  <c r="U2106" i="3"/>
  <c r="Y2106" i="3" s="1"/>
  <c r="Z2106" i="3" s="1"/>
  <c r="U2203" i="3"/>
  <c r="Y2203" i="3" s="1"/>
  <c r="Z2203" i="3" s="1"/>
  <c r="U2232" i="3"/>
  <c r="Y2232" i="3" s="1"/>
  <c r="Z2232" i="3" s="1"/>
  <c r="U2269" i="3"/>
  <c r="Y2269" i="3" s="1"/>
  <c r="Z2269" i="3" s="1"/>
  <c r="U2338" i="3"/>
  <c r="Y2338" i="3" s="1"/>
  <c r="Z2338" i="3" s="1"/>
  <c r="U2383" i="3"/>
  <c r="Y2383" i="3" s="1"/>
  <c r="Z2383" i="3" s="1"/>
  <c r="U2520" i="3"/>
  <c r="Y2520" i="3" s="1"/>
  <c r="Z2520" i="3" s="1"/>
  <c r="U2630" i="3"/>
  <c r="Y2630" i="3" s="1"/>
  <c r="Z2630" i="3" s="1"/>
  <c r="U2741" i="3"/>
  <c r="Y2741" i="3" s="1"/>
  <c r="Z2741" i="3" s="1"/>
  <c r="U2884" i="3"/>
  <c r="Y2884" i="3" s="1"/>
  <c r="Z2884" i="3" s="1"/>
  <c r="U2914" i="3"/>
  <c r="Y2914" i="3" s="1"/>
  <c r="Z2914" i="3" s="1"/>
  <c r="U2190" i="3"/>
  <c r="Y2190" i="3" s="1"/>
  <c r="Z2190" i="3" s="1"/>
  <c r="U2235" i="3"/>
  <c r="Y2235" i="3" s="1"/>
  <c r="Z2235" i="3" s="1"/>
  <c r="U2253" i="3"/>
  <c r="Y2253" i="3" s="1"/>
  <c r="Z2253" i="3" s="1"/>
  <c r="U2327" i="3"/>
  <c r="Y2327" i="3" s="1"/>
  <c r="Z2327" i="3" s="1"/>
  <c r="U2337" i="3"/>
  <c r="Y2337" i="3" s="1"/>
  <c r="Z2337" i="3" s="1"/>
  <c r="U2374" i="3"/>
  <c r="Y2374" i="3" s="1"/>
  <c r="Z2374" i="3" s="1"/>
  <c r="U2456" i="3"/>
  <c r="Y2456" i="3" s="1"/>
  <c r="Z2456" i="3" s="1"/>
  <c r="U2570" i="3"/>
  <c r="Y2570" i="3" s="1"/>
  <c r="Z2570" i="3" s="1"/>
  <c r="U2706" i="3"/>
  <c r="Y2706" i="3" s="1"/>
  <c r="Z2706" i="3" s="1"/>
  <c r="U2845" i="3"/>
  <c r="Y2845" i="3" s="1"/>
  <c r="Z2845" i="3" s="1"/>
  <c r="U2944" i="3"/>
  <c r="Y2944" i="3" s="1"/>
  <c r="Z2944" i="3" s="1"/>
  <c r="U3030" i="3"/>
  <c r="Y3030" i="3" s="1"/>
  <c r="Z3030" i="3" s="1"/>
  <c r="U3053" i="3"/>
  <c r="Y3053" i="3" s="1"/>
  <c r="Z3053" i="3" s="1"/>
  <c r="U2525" i="3"/>
  <c r="Y2525" i="3" s="1"/>
  <c r="Z2525" i="3" s="1"/>
  <c r="U2674" i="3"/>
  <c r="Y2674" i="3" s="1"/>
  <c r="Z2674" i="3" s="1"/>
  <c r="U2703" i="3"/>
  <c r="Y2703" i="3" s="1"/>
  <c r="Z2703" i="3" s="1"/>
  <c r="U2757" i="3"/>
  <c r="Y2757" i="3" s="1"/>
  <c r="Z2757" i="3" s="1"/>
  <c r="U2870" i="3"/>
  <c r="Y2870" i="3" s="1"/>
  <c r="Z2870" i="3" s="1"/>
  <c r="U2903" i="3"/>
  <c r="Y2903" i="3" s="1"/>
  <c r="Z2903" i="3" s="1"/>
  <c r="U2934" i="3"/>
  <c r="Y2934" i="3" s="1"/>
  <c r="Z2934" i="3" s="1"/>
  <c r="U3137" i="3"/>
  <c r="Y3137" i="3" s="1"/>
  <c r="Z3137" i="3" s="1"/>
  <c r="U3183" i="3"/>
  <c r="Y3183" i="3" s="1"/>
  <c r="Z3183" i="3" s="1"/>
  <c r="U2601" i="3"/>
  <c r="Y2601" i="3" s="1"/>
  <c r="Z2601" i="3" s="1"/>
  <c r="U2632" i="3"/>
  <c r="Y2632" i="3" s="1"/>
  <c r="Z2632" i="3" s="1"/>
  <c r="U2746" i="3"/>
  <c r="Y2746" i="3" s="1"/>
  <c r="Z2746" i="3" s="1"/>
  <c r="U2925" i="3"/>
  <c r="Y2925" i="3" s="1"/>
  <c r="Z2925" i="3" s="1"/>
  <c r="U2957" i="3"/>
  <c r="Y2957" i="3" s="1"/>
  <c r="Z2957" i="3" s="1"/>
  <c r="U2966" i="3"/>
  <c r="Y2966" i="3" s="1"/>
  <c r="Z2966" i="3" s="1"/>
  <c r="U3052" i="3"/>
  <c r="Y3052" i="3" s="1"/>
  <c r="Z3052" i="3" s="1"/>
  <c r="U3143" i="3"/>
  <c r="Y3143" i="3" s="1"/>
  <c r="Z3143" i="3" s="1"/>
  <c r="U3146" i="3"/>
  <c r="Y3146" i="3" s="1"/>
  <c r="Z3146" i="3" s="1"/>
  <c r="U3151" i="3"/>
  <c r="Y3151" i="3" s="1"/>
  <c r="Z3151" i="3" s="1"/>
  <c r="U3153" i="3"/>
  <c r="Y3153" i="3" s="1"/>
  <c r="Z3153" i="3" s="1"/>
  <c r="U3216" i="3"/>
  <c r="Y3216" i="3" s="1"/>
  <c r="Z3216" i="3" s="1"/>
  <c r="U3279" i="3"/>
  <c r="Y3279" i="3" s="1"/>
  <c r="Z3279" i="3" s="1"/>
  <c r="U3352" i="3"/>
  <c r="Y3352" i="3" s="1"/>
  <c r="Z3352" i="3" s="1"/>
  <c r="U2754" i="3"/>
  <c r="Y2754" i="3" s="1"/>
  <c r="Z2754" i="3" s="1"/>
  <c r="U2953" i="3"/>
  <c r="Y2953" i="3" s="1"/>
  <c r="Z2953" i="3" s="1"/>
  <c r="U2971" i="3"/>
  <c r="Y2971" i="3" s="1"/>
  <c r="Z2971" i="3" s="1"/>
  <c r="U3203" i="3"/>
  <c r="Y3203" i="3" s="1"/>
  <c r="Z3203" i="3" s="1"/>
  <c r="U3256" i="3"/>
  <c r="Y3256" i="3" s="1"/>
  <c r="Z3256" i="3" s="1"/>
  <c r="U2835" i="3"/>
  <c r="Y2835" i="3" s="1"/>
  <c r="Z2835" i="3" s="1"/>
  <c r="U2917" i="3"/>
  <c r="Y2917" i="3" s="1"/>
  <c r="Z2917" i="3" s="1"/>
  <c r="U3014" i="3"/>
  <c r="Y3014" i="3" s="1"/>
  <c r="Z3014" i="3" s="1"/>
  <c r="U3295" i="3"/>
  <c r="Y3295" i="3" s="1"/>
  <c r="Z3295" i="3" s="1"/>
  <c r="U3382" i="3"/>
  <c r="Y3382" i="3" s="1"/>
  <c r="Z3382" i="3" s="1"/>
  <c r="U3120" i="3"/>
  <c r="Y3120" i="3" s="1"/>
  <c r="Z3120" i="3" s="1"/>
  <c r="U3197" i="3"/>
  <c r="Y3197" i="3" s="1"/>
  <c r="Z3197" i="3" s="1"/>
  <c r="U3266" i="3"/>
  <c r="Y3266" i="3" s="1"/>
  <c r="Z3266" i="3" s="1"/>
  <c r="U3379" i="3"/>
  <c r="Y3379" i="3" s="1"/>
  <c r="Z3379" i="3" s="1"/>
  <c r="U3508" i="3"/>
  <c r="Y3508" i="3" s="1"/>
  <c r="Z3508" i="3" s="1"/>
  <c r="U3700" i="3"/>
  <c r="Y3700" i="3" s="1"/>
  <c r="Z3700" i="3" s="1"/>
  <c r="U3527" i="3"/>
  <c r="Y3527" i="3" s="1"/>
  <c r="Z3527" i="3" s="1"/>
  <c r="U3573" i="3"/>
  <c r="Y3573" i="3" s="1"/>
  <c r="Z3573" i="3" s="1"/>
  <c r="U3701" i="3"/>
  <c r="Y3701" i="3" s="1"/>
  <c r="Z3701" i="3" s="1"/>
  <c r="U3727" i="3"/>
  <c r="Y3727" i="3" s="1"/>
  <c r="Z3727" i="3" s="1"/>
  <c r="U3787" i="3"/>
  <c r="Y3787" i="3" s="1"/>
  <c r="Z3787" i="3" s="1"/>
  <c r="U3857" i="3"/>
  <c r="Y3857" i="3" s="1"/>
  <c r="Z3857" i="3" s="1"/>
  <c r="U3870" i="3"/>
  <c r="Y3870" i="3" s="1"/>
  <c r="Z3870" i="3" s="1"/>
  <c r="U3916" i="3"/>
  <c r="Y3916" i="3" s="1"/>
  <c r="Z3916" i="3" s="1"/>
  <c r="U3924" i="3"/>
  <c r="Y3924" i="3" s="1"/>
  <c r="Z3924" i="3" s="1"/>
  <c r="U3942" i="3"/>
  <c r="Y3942" i="3" s="1"/>
  <c r="Z3942" i="3" s="1"/>
  <c r="U3969" i="3"/>
  <c r="Y3969" i="3" s="1"/>
  <c r="Z3969" i="3" s="1"/>
  <c r="U3982" i="3"/>
  <c r="Y3982" i="3" s="1"/>
  <c r="Z3982" i="3" s="1"/>
  <c r="U4003" i="3"/>
  <c r="Y4003" i="3" s="1"/>
  <c r="Z4003" i="3" s="1"/>
  <c r="U4027" i="3"/>
  <c r="Y4027" i="3" s="1"/>
  <c r="Z4027" i="3" s="1"/>
  <c r="U4030" i="3"/>
  <c r="Y4030" i="3" s="1"/>
  <c r="Z4030" i="3" s="1"/>
  <c r="U4042" i="3"/>
  <c r="Y4042" i="3" s="1"/>
  <c r="Z4042" i="3" s="1"/>
  <c r="U4098" i="3"/>
  <c r="Y4098" i="3" s="1"/>
  <c r="Z4098" i="3" s="1"/>
  <c r="U4104" i="3"/>
  <c r="Y4104" i="3" s="1"/>
  <c r="Z4104" i="3" s="1"/>
  <c r="U4106" i="3"/>
  <c r="Y4106" i="3" s="1"/>
  <c r="Z4106" i="3" s="1"/>
  <c r="U4114" i="3"/>
  <c r="Y4114" i="3" s="1"/>
  <c r="Z4114" i="3" s="1"/>
  <c r="U4117" i="3"/>
  <c r="Y4117" i="3" s="1"/>
  <c r="Z4117" i="3" s="1"/>
  <c r="U4149" i="3"/>
  <c r="Y4149" i="3" s="1"/>
  <c r="Z4149" i="3" s="1"/>
  <c r="U4150" i="3"/>
  <c r="Y4150" i="3" s="1"/>
  <c r="Z4150" i="3" s="1"/>
  <c r="U4152" i="3"/>
  <c r="Y4152" i="3" s="1"/>
  <c r="Z4152" i="3" s="1"/>
  <c r="U4298" i="3"/>
  <c r="Y4298" i="3" s="1"/>
  <c r="Z4298" i="3" s="1"/>
  <c r="U4308" i="3"/>
  <c r="Y4308" i="3" s="1"/>
  <c r="Z4308" i="3" s="1"/>
  <c r="U4321" i="3"/>
  <c r="Y4321" i="3" s="1"/>
  <c r="Z4321" i="3" s="1"/>
  <c r="U4390" i="3"/>
  <c r="Y4390" i="3" s="1"/>
  <c r="Z4390" i="3" s="1"/>
  <c r="U4403" i="3"/>
  <c r="Y4403" i="3" s="1"/>
  <c r="Z4403" i="3" s="1"/>
  <c r="U4520" i="3"/>
  <c r="Y4520" i="3" s="1"/>
  <c r="Z4520" i="3" s="1"/>
  <c r="U4531" i="3"/>
  <c r="Y4531" i="3" s="1"/>
  <c r="Z4531" i="3" s="1"/>
  <c r="U4643" i="3"/>
  <c r="Y4643" i="3" s="1"/>
  <c r="Z4643" i="3" s="1"/>
  <c r="U4717" i="3"/>
  <c r="Y4717" i="3" s="1"/>
  <c r="Z4717" i="3" s="1"/>
  <c r="U4751" i="3"/>
  <c r="Y4751" i="3" s="1"/>
  <c r="Z4751" i="3" s="1"/>
  <c r="U4772" i="3"/>
  <c r="Y4772" i="3" s="1"/>
  <c r="Z4772" i="3" s="1"/>
  <c r="U4779" i="3"/>
  <c r="Y4779" i="3" s="1"/>
  <c r="Z4779" i="3" s="1"/>
  <c r="U4796" i="3"/>
  <c r="Y4796" i="3" s="1"/>
  <c r="Z4796" i="3" s="1"/>
  <c r="U4820" i="3"/>
  <c r="Y4820" i="3" s="1"/>
  <c r="Z4820" i="3" s="1"/>
  <c r="U133" i="3"/>
  <c r="Y133" i="3" s="1"/>
  <c r="Z133" i="3" s="1"/>
  <c r="U141" i="3"/>
  <c r="Y141" i="3" s="1"/>
  <c r="Z141" i="3" s="1"/>
  <c r="U143" i="3"/>
  <c r="Y143" i="3" s="1"/>
  <c r="Z143" i="3" s="1"/>
  <c r="U288" i="3"/>
  <c r="Y288" i="3" s="1"/>
  <c r="Z288" i="3" s="1"/>
  <c r="U291" i="3"/>
  <c r="Y291" i="3" s="1"/>
  <c r="Z291" i="3" s="1"/>
  <c r="U375" i="3"/>
  <c r="Y375" i="3" s="1"/>
  <c r="Z375" i="3" s="1"/>
  <c r="U524" i="3"/>
  <c r="Y524" i="3" s="1"/>
  <c r="Z524" i="3" s="1"/>
  <c r="U527" i="3"/>
  <c r="Y527" i="3" s="1"/>
  <c r="Z527" i="3" s="1"/>
  <c r="U528" i="3"/>
  <c r="Y528" i="3" s="1"/>
  <c r="Z528" i="3" s="1"/>
  <c r="U657" i="3"/>
  <c r="Y657" i="3" s="1"/>
  <c r="Z657" i="3" s="1"/>
  <c r="U688" i="3"/>
  <c r="Y688" i="3" s="1"/>
  <c r="Z688" i="3" s="1"/>
  <c r="U715" i="3"/>
  <c r="Y715" i="3" s="1"/>
  <c r="Z715" i="3" s="1"/>
  <c r="U740" i="3"/>
  <c r="Y740" i="3" s="1"/>
  <c r="Z740" i="3" s="1"/>
  <c r="U801" i="3"/>
  <c r="Y801" i="3" s="1"/>
  <c r="Z801" i="3" s="1"/>
  <c r="U853" i="3"/>
  <c r="Y853" i="3" s="1"/>
  <c r="Z853" i="3" s="1"/>
  <c r="U946" i="3"/>
  <c r="Y946" i="3" s="1"/>
  <c r="Z946" i="3" s="1"/>
  <c r="U955" i="3"/>
  <c r="Y955" i="3" s="1"/>
  <c r="Z955" i="3" s="1"/>
  <c r="U1020" i="3"/>
  <c r="Y1020" i="3" s="1"/>
  <c r="Z1020" i="3" s="1"/>
  <c r="U1039" i="3"/>
  <c r="Y1039" i="3" s="1"/>
  <c r="Z1039" i="3" s="1"/>
  <c r="U1067" i="3"/>
  <c r="Y1067" i="3" s="1"/>
  <c r="Z1067" i="3" s="1"/>
  <c r="U1107" i="3"/>
  <c r="Y1107" i="3" s="1"/>
  <c r="Z1107" i="3" s="1"/>
  <c r="U1138" i="3"/>
  <c r="Y1138" i="3" s="1"/>
  <c r="Z1138" i="3" s="1"/>
  <c r="U1140" i="3"/>
  <c r="Y1140" i="3" s="1"/>
  <c r="Z1140" i="3" s="1"/>
  <c r="U1147" i="3"/>
  <c r="Y1147" i="3" s="1"/>
  <c r="Z1147" i="3" s="1"/>
  <c r="U1256" i="3"/>
  <c r="Y1256" i="3" s="1"/>
  <c r="Z1256" i="3" s="1"/>
  <c r="U1257" i="3"/>
  <c r="Y1257" i="3" s="1"/>
  <c r="Z1257" i="3" s="1"/>
  <c r="U1264" i="3"/>
  <c r="Y1264" i="3" s="1"/>
  <c r="Z1264" i="3" s="1"/>
  <c r="U1298" i="3"/>
  <c r="Y1298" i="3" s="1"/>
  <c r="Z1298" i="3" s="1"/>
  <c r="U1312" i="3"/>
  <c r="Y1312" i="3" s="1"/>
  <c r="Z1312" i="3" s="1"/>
  <c r="U1441" i="3"/>
  <c r="Y1441" i="3" s="1"/>
  <c r="Z1441" i="3" s="1"/>
  <c r="U1568" i="3"/>
  <c r="Y1568" i="3" s="1"/>
  <c r="Z1568" i="3" s="1"/>
  <c r="U1648" i="3"/>
  <c r="Y1648" i="3" s="1"/>
  <c r="Z1648" i="3" s="1"/>
  <c r="U1651" i="3"/>
  <c r="Y1651" i="3" s="1"/>
  <c r="Z1651" i="3" s="1"/>
  <c r="U1689" i="3"/>
  <c r="Y1689" i="3" s="1"/>
  <c r="Z1689" i="3" s="1"/>
  <c r="U1696" i="3"/>
  <c r="Y1696" i="3" s="1"/>
  <c r="Z1696" i="3" s="1"/>
  <c r="U1697" i="3"/>
  <c r="Y1697" i="3" s="1"/>
  <c r="Z1697" i="3" s="1"/>
  <c r="U1780" i="3"/>
  <c r="Y1780" i="3" s="1"/>
  <c r="Z1780" i="3" s="1"/>
  <c r="U1920" i="3"/>
  <c r="Y1920" i="3" s="1"/>
  <c r="Z1920" i="3" s="1"/>
  <c r="U1947" i="3"/>
  <c r="Y1947" i="3" s="1"/>
  <c r="Z1947" i="3" s="1"/>
  <c r="U1996" i="3"/>
  <c r="Y1996" i="3" s="1"/>
  <c r="Z1996" i="3" s="1"/>
  <c r="U2105" i="3"/>
  <c r="Y2105" i="3" s="1"/>
  <c r="Z2105" i="3" s="1"/>
  <c r="U2127" i="3"/>
  <c r="Y2127" i="3" s="1"/>
  <c r="Z2127" i="3" s="1"/>
  <c r="U2193" i="3"/>
  <c r="Y2193" i="3" s="1"/>
  <c r="Z2193" i="3" s="1"/>
  <c r="U2242" i="3"/>
  <c r="Y2242" i="3" s="1"/>
  <c r="Z2242" i="3" s="1"/>
  <c r="U2258" i="3"/>
  <c r="Y2258" i="3" s="1"/>
  <c r="Z2258" i="3" s="1"/>
  <c r="U2274" i="3"/>
  <c r="Y2274" i="3" s="1"/>
  <c r="Z2274" i="3" s="1"/>
  <c r="U2353" i="3"/>
  <c r="Y2353" i="3" s="1"/>
  <c r="Z2353" i="3" s="1"/>
  <c r="U2375" i="3"/>
  <c r="Y2375" i="3" s="1"/>
  <c r="Z2375" i="3" s="1"/>
  <c r="U2384" i="3"/>
  <c r="Y2384" i="3" s="1"/>
  <c r="Z2384" i="3" s="1"/>
  <c r="U2396" i="3"/>
  <c r="Y2396" i="3" s="1"/>
  <c r="Z2396" i="3" s="1"/>
  <c r="U2575" i="3"/>
  <c r="Y2575" i="3" s="1"/>
  <c r="Z2575" i="3" s="1"/>
  <c r="U2588" i="3"/>
  <c r="Y2588" i="3" s="1"/>
  <c r="Z2588" i="3" s="1"/>
  <c r="U2618" i="3"/>
  <c r="Y2618" i="3" s="1"/>
  <c r="Z2618" i="3" s="1"/>
  <c r="U2761" i="3"/>
  <c r="Y2761" i="3" s="1"/>
  <c r="Z2761" i="3" s="1"/>
  <c r="U2830" i="3"/>
  <c r="Y2830" i="3" s="1"/>
  <c r="Z2830" i="3" s="1"/>
  <c r="U2897" i="3"/>
  <c r="Y2897" i="3" s="1"/>
  <c r="Z2897" i="3" s="1"/>
  <c r="U3094" i="3"/>
  <c r="Y3094" i="3" s="1"/>
  <c r="Z3094" i="3" s="1"/>
  <c r="U3111" i="3"/>
  <c r="Y3111" i="3" s="1"/>
  <c r="Z3111" i="3" s="1"/>
  <c r="U3156" i="3"/>
  <c r="Y3156" i="3" s="1"/>
  <c r="Z3156" i="3" s="1"/>
  <c r="U3187" i="3"/>
  <c r="Y3187" i="3" s="1"/>
  <c r="Z3187" i="3" s="1"/>
  <c r="U3269" i="3"/>
  <c r="Y3269" i="3" s="1"/>
  <c r="Z3269" i="3" s="1"/>
  <c r="U3282" i="3"/>
  <c r="Y3282" i="3" s="1"/>
  <c r="Z3282" i="3" s="1"/>
  <c r="U3285" i="3"/>
  <c r="Y3285" i="3" s="1"/>
  <c r="Z3285" i="3" s="1"/>
  <c r="U3288" i="3"/>
  <c r="Y3288" i="3" s="1"/>
  <c r="Z3288" i="3" s="1"/>
  <c r="U3363" i="3"/>
  <c r="Y3363" i="3" s="1"/>
  <c r="Z3363" i="3" s="1"/>
  <c r="U3364" i="3"/>
  <c r="Y3364" i="3" s="1"/>
  <c r="Z3364" i="3" s="1"/>
  <c r="U3374" i="3"/>
  <c r="Y3374" i="3" s="1"/>
  <c r="Z3374" i="3" s="1"/>
  <c r="U3424" i="3"/>
  <c r="Y3424" i="3" s="1"/>
  <c r="Z3424" i="3" s="1"/>
  <c r="U3452" i="3"/>
  <c r="Y3452" i="3" s="1"/>
  <c r="Z3452" i="3" s="1"/>
  <c r="U3474" i="3"/>
  <c r="Y3474" i="3" s="1"/>
  <c r="Z3474" i="3" s="1"/>
  <c r="U3514" i="3"/>
  <c r="Y3514" i="3" s="1"/>
  <c r="Z3514" i="3" s="1"/>
  <c r="U3691" i="3"/>
  <c r="Y3691" i="3" s="1"/>
  <c r="Z3691" i="3" s="1"/>
  <c r="U3751" i="3"/>
  <c r="Y3751" i="3" s="1"/>
  <c r="Z3751" i="3" s="1"/>
  <c r="U3757" i="3"/>
  <c r="Y3757" i="3" s="1"/>
  <c r="Z3757" i="3" s="1"/>
  <c r="U3758" i="3"/>
  <c r="Y3758" i="3" s="1"/>
  <c r="Z3758" i="3" s="1"/>
  <c r="U3913" i="3"/>
  <c r="Y3913" i="3" s="1"/>
  <c r="Z3913" i="3" s="1"/>
  <c r="U3931" i="3"/>
  <c r="Y3931" i="3" s="1"/>
  <c r="Z3931" i="3" s="1"/>
  <c r="U3968" i="3"/>
  <c r="Y3968" i="3" s="1"/>
  <c r="Z3968" i="3" s="1"/>
  <c r="U3980" i="3"/>
  <c r="Y3980" i="3" s="1"/>
  <c r="Z3980" i="3" s="1"/>
  <c r="U4039" i="3"/>
  <c r="Y4039" i="3" s="1"/>
  <c r="Z4039" i="3" s="1"/>
  <c r="U4103" i="3"/>
  <c r="Y4103" i="3" s="1"/>
  <c r="Z4103" i="3" s="1"/>
  <c r="U4108" i="3"/>
  <c r="Y4108" i="3" s="1"/>
  <c r="Z4108" i="3" s="1"/>
  <c r="U4113" i="3"/>
  <c r="Y4113" i="3" s="1"/>
  <c r="Z4113" i="3" s="1"/>
  <c r="U4195" i="3"/>
  <c r="Y4195" i="3" s="1"/>
  <c r="Z4195" i="3" s="1"/>
  <c r="U4252" i="3"/>
  <c r="Y4252" i="3" s="1"/>
  <c r="Z4252" i="3" s="1"/>
  <c r="U4397" i="3"/>
  <c r="Y4397" i="3" s="1"/>
  <c r="Z4397" i="3" s="1"/>
  <c r="U4517" i="3"/>
  <c r="Y4517" i="3" s="1"/>
  <c r="Z4517" i="3" s="1"/>
  <c r="U4609" i="3"/>
  <c r="Y4609" i="3" s="1"/>
  <c r="Z4609" i="3" s="1"/>
  <c r="U4696" i="3"/>
  <c r="Y4696" i="3" s="1"/>
  <c r="Z4696" i="3" s="1"/>
  <c r="U4834" i="3"/>
  <c r="Y4834" i="3" s="1"/>
  <c r="Z4834" i="3" s="1"/>
  <c r="U152" i="3"/>
  <c r="Y152" i="3" s="1"/>
  <c r="Z152" i="3" s="1"/>
  <c r="U182" i="3"/>
  <c r="Y182" i="3" s="1"/>
  <c r="Z182" i="3" s="1"/>
  <c r="U244" i="3"/>
  <c r="Y244" i="3" s="1"/>
  <c r="Z244" i="3" s="1"/>
  <c r="U429" i="3"/>
  <c r="Y429" i="3" s="1"/>
  <c r="Z429" i="3" s="1"/>
  <c r="U512" i="3"/>
  <c r="Y512" i="3" s="1"/>
  <c r="Z512" i="3" s="1"/>
  <c r="U607" i="3"/>
  <c r="Y607" i="3" s="1"/>
  <c r="Z607" i="3" s="1"/>
  <c r="U636" i="3"/>
  <c r="Y636" i="3" s="1"/>
  <c r="Z636" i="3" s="1"/>
  <c r="U717" i="3"/>
  <c r="Y717" i="3" s="1"/>
  <c r="Z717" i="3" s="1"/>
  <c r="U720" i="3"/>
  <c r="Y720" i="3" s="1"/>
  <c r="Z720" i="3" s="1"/>
  <c r="U739" i="3"/>
  <c r="Y739" i="3" s="1"/>
  <c r="Z739" i="3" s="1"/>
  <c r="U747" i="3"/>
  <c r="Y747" i="3" s="1"/>
  <c r="Z747" i="3" s="1"/>
  <c r="U923" i="3"/>
  <c r="Y923" i="3" s="1"/>
  <c r="Z923" i="3" s="1"/>
  <c r="U931" i="3"/>
  <c r="Y931" i="3" s="1"/>
  <c r="Z931" i="3" s="1"/>
  <c r="U993" i="3"/>
  <c r="Y993" i="3" s="1"/>
  <c r="Z993" i="3" s="1"/>
  <c r="U1019" i="3"/>
  <c r="Y1019" i="3" s="1"/>
  <c r="Z1019" i="3" s="1"/>
  <c r="U1159" i="3"/>
  <c r="Y1159" i="3" s="1"/>
  <c r="Z1159" i="3" s="1"/>
  <c r="U1162" i="3"/>
  <c r="Y1162" i="3" s="1"/>
  <c r="Z1162" i="3" s="1"/>
  <c r="U1319" i="3"/>
  <c r="Y1319" i="3" s="1"/>
  <c r="Z1319" i="3" s="1"/>
  <c r="U1341" i="3"/>
  <c r="Y1341" i="3" s="1"/>
  <c r="Z1341" i="3" s="1"/>
  <c r="U1354" i="3"/>
  <c r="Y1354" i="3" s="1"/>
  <c r="Z1354" i="3" s="1"/>
  <c r="U1358" i="3"/>
  <c r="Y1358" i="3" s="1"/>
  <c r="Z1358" i="3" s="1"/>
  <c r="U1376" i="3"/>
  <c r="Y1376" i="3" s="1"/>
  <c r="Z1376" i="3" s="1"/>
  <c r="U1445" i="3"/>
  <c r="Y1445" i="3" s="1"/>
  <c r="Z1445" i="3" s="1"/>
  <c r="U1533" i="3"/>
  <c r="Y1533" i="3" s="1"/>
  <c r="Z1533" i="3" s="1"/>
  <c r="U1539" i="3"/>
  <c r="Y1539" i="3" s="1"/>
  <c r="Z1539" i="3" s="1"/>
  <c r="U1561" i="3"/>
  <c r="Y1561" i="3" s="1"/>
  <c r="Z1561" i="3" s="1"/>
  <c r="U1615" i="3"/>
  <c r="Y1615" i="3" s="1"/>
  <c r="Z1615" i="3" s="1"/>
  <c r="U1834" i="3"/>
  <c r="Y1834" i="3" s="1"/>
  <c r="Z1834" i="3" s="1"/>
  <c r="U1859" i="3"/>
  <c r="Y1859" i="3" s="1"/>
  <c r="Z1859" i="3" s="1"/>
  <c r="U1927" i="3"/>
  <c r="Y1927" i="3" s="1"/>
  <c r="Z1927" i="3" s="1"/>
  <c r="U1939" i="3"/>
  <c r="Y1939" i="3" s="1"/>
  <c r="Z1939" i="3" s="1"/>
  <c r="U1945" i="3"/>
  <c r="Y1945" i="3" s="1"/>
  <c r="Z1945" i="3" s="1"/>
  <c r="U2027" i="3"/>
  <c r="Y2027" i="3" s="1"/>
  <c r="Z2027" i="3" s="1"/>
  <c r="U2089" i="3"/>
  <c r="Y2089" i="3" s="1"/>
  <c r="Z2089" i="3" s="1"/>
  <c r="U2108" i="3"/>
  <c r="Y2108" i="3" s="1"/>
  <c r="Z2108" i="3" s="1"/>
  <c r="U2159" i="3"/>
  <c r="Y2159" i="3" s="1"/>
  <c r="Z2159" i="3" s="1"/>
  <c r="U2163" i="3"/>
  <c r="Y2163" i="3" s="1"/>
  <c r="Z2163" i="3" s="1"/>
  <c r="U2171" i="3"/>
  <c r="Y2171" i="3" s="1"/>
  <c r="Z2171" i="3" s="1"/>
  <c r="U2250" i="3"/>
  <c r="Y2250" i="3" s="1"/>
  <c r="Z2250" i="3" s="1"/>
  <c r="U2472" i="3"/>
  <c r="Y2472" i="3" s="1"/>
  <c r="Z2472" i="3" s="1"/>
  <c r="U2518" i="3"/>
  <c r="Y2518" i="3" s="1"/>
  <c r="Z2518" i="3" s="1"/>
  <c r="U2614" i="3"/>
  <c r="Y2614" i="3" s="1"/>
  <c r="Z2614" i="3" s="1"/>
  <c r="U2640" i="3"/>
  <c r="Y2640" i="3" s="1"/>
  <c r="Z2640" i="3" s="1"/>
  <c r="U2651" i="3"/>
  <c r="Y2651" i="3" s="1"/>
  <c r="Z2651" i="3" s="1"/>
  <c r="U2717" i="3"/>
  <c r="Y2717" i="3" s="1"/>
  <c r="Z2717" i="3" s="1"/>
  <c r="U2723" i="3"/>
  <c r="Y2723" i="3" s="1"/>
  <c r="Z2723" i="3" s="1"/>
  <c r="U2863" i="3"/>
  <c r="Y2863" i="3" s="1"/>
  <c r="Z2863" i="3" s="1"/>
  <c r="U2868" i="3"/>
  <c r="Y2868" i="3" s="1"/>
  <c r="Z2868" i="3" s="1"/>
  <c r="U2950" i="3"/>
  <c r="Y2950" i="3" s="1"/>
  <c r="Z2950" i="3" s="1"/>
  <c r="U2992" i="3"/>
  <c r="Y2992" i="3" s="1"/>
  <c r="Z2992" i="3" s="1"/>
  <c r="U2997" i="3"/>
  <c r="Y2997" i="3" s="1"/>
  <c r="Z2997" i="3" s="1"/>
  <c r="U3061" i="3"/>
  <c r="Y3061" i="3" s="1"/>
  <c r="Z3061" i="3" s="1"/>
  <c r="U3064" i="3"/>
  <c r="Y3064" i="3" s="1"/>
  <c r="Z3064" i="3" s="1"/>
  <c r="U3075" i="3"/>
  <c r="Y3075" i="3" s="1"/>
  <c r="Z3075" i="3" s="1"/>
  <c r="U3102" i="3"/>
  <c r="Y3102" i="3" s="1"/>
  <c r="Z3102" i="3" s="1"/>
  <c r="U3119" i="3"/>
  <c r="Y3119" i="3" s="1"/>
  <c r="Z3119" i="3" s="1"/>
  <c r="U3133" i="3"/>
  <c r="Y3133" i="3" s="1"/>
  <c r="Z3133" i="3" s="1"/>
  <c r="U3208" i="3"/>
  <c r="Y3208" i="3" s="1"/>
  <c r="Z3208" i="3" s="1"/>
  <c r="U3214" i="3"/>
  <c r="Y3214" i="3" s="1"/>
  <c r="Z3214" i="3" s="1"/>
  <c r="U3321" i="3"/>
  <c r="Y3321" i="3" s="1"/>
  <c r="Z3321" i="3" s="1"/>
  <c r="U3397" i="3"/>
  <c r="Y3397" i="3" s="1"/>
  <c r="Z3397" i="3" s="1"/>
  <c r="U3590" i="3"/>
  <c r="Y3590" i="3" s="1"/>
  <c r="Z3590" i="3" s="1"/>
  <c r="U3687" i="3"/>
  <c r="Y3687" i="3" s="1"/>
  <c r="Z3687" i="3" s="1"/>
  <c r="U3698" i="3"/>
  <c r="Y3698" i="3" s="1"/>
  <c r="Z3698" i="3" s="1"/>
  <c r="U3726" i="3"/>
  <c r="Y3726" i="3" s="1"/>
  <c r="Z3726" i="3" s="1"/>
  <c r="U3738" i="3"/>
  <c r="Y3738" i="3" s="1"/>
  <c r="Z3738" i="3" s="1"/>
  <c r="U3762" i="3"/>
  <c r="Y3762" i="3" s="1"/>
  <c r="Z3762" i="3" s="1"/>
  <c r="U3800" i="3"/>
  <c r="Y3800" i="3" s="1"/>
  <c r="Z3800" i="3" s="1"/>
  <c r="U3858" i="3"/>
  <c r="Y3858" i="3" s="1"/>
  <c r="Z3858" i="3" s="1"/>
  <c r="U3914" i="3"/>
  <c r="Y3914" i="3" s="1"/>
  <c r="Z3914" i="3" s="1"/>
  <c r="U4019" i="3"/>
  <c r="Y4019" i="3" s="1"/>
  <c r="Z4019" i="3" s="1"/>
  <c r="U4105" i="3"/>
  <c r="Y4105" i="3" s="1"/>
  <c r="Z4105" i="3" s="1"/>
  <c r="U4192" i="3"/>
  <c r="Y4192" i="3" s="1"/>
  <c r="Z4192" i="3" s="1"/>
  <c r="U4229" i="3"/>
  <c r="Y4229" i="3" s="1"/>
  <c r="Z4229" i="3" s="1"/>
  <c r="U4262" i="3"/>
  <c r="Y4262" i="3" s="1"/>
  <c r="Z4262" i="3" s="1"/>
  <c r="U4303" i="3"/>
  <c r="Y4303" i="3" s="1"/>
  <c r="Z4303" i="3" s="1"/>
  <c r="U4393" i="3"/>
  <c r="Y4393" i="3" s="1"/>
  <c r="Z4393" i="3" s="1"/>
  <c r="U4440" i="3"/>
  <c r="Y4440" i="3" s="1"/>
  <c r="Z4440" i="3" s="1"/>
  <c r="U4727" i="3"/>
  <c r="Y4727" i="3" s="1"/>
  <c r="Z4727" i="3" s="1"/>
  <c r="U428" i="3"/>
  <c r="Y428" i="3" s="1"/>
  <c r="Z428" i="3" s="1"/>
  <c r="U1029" i="3"/>
  <c r="Y1029" i="3" s="1"/>
  <c r="Z1029" i="3" s="1"/>
  <c r="U1157" i="3"/>
  <c r="Y1157" i="3" s="1"/>
  <c r="Z1157" i="3" s="1"/>
  <c r="U1307" i="3"/>
  <c r="Y1307" i="3" s="1"/>
  <c r="Z1307" i="3" s="1"/>
  <c r="U1421" i="3"/>
  <c r="Y1421" i="3" s="1"/>
  <c r="Z1421" i="3" s="1"/>
  <c r="U1484" i="3"/>
  <c r="Y1484" i="3" s="1"/>
  <c r="Z1484" i="3" s="1"/>
  <c r="U1575" i="3"/>
  <c r="Y1575" i="3" s="1"/>
  <c r="Z1575" i="3" s="1"/>
  <c r="U1803" i="3"/>
  <c r="Y1803" i="3" s="1"/>
  <c r="Z1803" i="3" s="1"/>
  <c r="U1832" i="3"/>
  <c r="Y1832" i="3" s="1"/>
  <c r="Z1832" i="3" s="1"/>
  <c r="U1931" i="3"/>
  <c r="Y1931" i="3" s="1"/>
  <c r="Z1931" i="3" s="1"/>
  <c r="U1968" i="3"/>
  <c r="Y1968" i="3" s="1"/>
  <c r="Z1968" i="3" s="1"/>
  <c r="U1989" i="3"/>
  <c r="Y1989" i="3" s="1"/>
  <c r="Z1989" i="3" s="1"/>
  <c r="U2091" i="3"/>
  <c r="Y2091" i="3" s="1"/>
  <c r="Z2091" i="3" s="1"/>
  <c r="U2104" i="3"/>
  <c r="Y2104" i="3" s="1"/>
  <c r="Z2104" i="3" s="1"/>
  <c r="U2111" i="3"/>
  <c r="Y2111" i="3" s="1"/>
  <c r="Z2111" i="3" s="1"/>
  <c r="U2307" i="3"/>
  <c r="Y2307" i="3" s="1"/>
  <c r="Z2307" i="3" s="1"/>
  <c r="U2321" i="3"/>
  <c r="Y2321" i="3" s="1"/>
  <c r="Z2321" i="3" s="1"/>
  <c r="U2517" i="3"/>
  <c r="Y2517" i="3" s="1"/>
  <c r="Z2517" i="3" s="1"/>
  <c r="U2534" i="3"/>
  <c r="Y2534" i="3" s="1"/>
  <c r="Z2534" i="3" s="1"/>
  <c r="U2620" i="3"/>
  <c r="Y2620" i="3" s="1"/>
  <c r="Z2620" i="3" s="1"/>
  <c r="U2726" i="3"/>
  <c r="Y2726" i="3" s="1"/>
  <c r="Z2726" i="3" s="1"/>
  <c r="U2820" i="3"/>
  <c r="Y2820" i="3" s="1"/>
  <c r="Z2820" i="3" s="1"/>
  <c r="U2859" i="3"/>
  <c r="Y2859" i="3" s="1"/>
  <c r="Z2859" i="3" s="1"/>
  <c r="U2918" i="3"/>
  <c r="Y2918" i="3" s="1"/>
  <c r="Z2918" i="3" s="1"/>
  <c r="U2964" i="3"/>
  <c r="Y2964" i="3" s="1"/>
  <c r="Z2964" i="3" s="1"/>
  <c r="U3063" i="3"/>
  <c r="Y3063" i="3" s="1"/>
  <c r="Z3063" i="3" s="1"/>
  <c r="U3117" i="3"/>
  <c r="Y3117" i="3" s="1"/>
  <c r="Z3117" i="3" s="1"/>
  <c r="U3220" i="3"/>
  <c r="Y3220" i="3" s="1"/>
  <c r="Z3220" i="3" s="1"/>
  <c r="U3299" i="3"/>
  <c r="Y3299" i="3" s="1"/>
  <c r="Z3299" i="3" s="1"/>
  <c r="U3342" i="3"/>
  <c r="U3384" i="3"/>
  <c r="Y3384" i="3" s="1"/>
  <c r="Z3384" i="3" s="1"/>
  <c r="U3407" i="3"/>
  <c r="Y3407" i="3" s="1"/>
  <c r="Z3407" i="3" s="1"/>
  <c r="U3466" i="3"/>
  <c r="Y3466" i="3" s="1"/>
  <c r="Z3466" i="3" s="1"/>
  <c r="U3501" i="3"/>
  <c r="Y3501" i="3" s="1"/>
  <c r="Z3501" i="3" s="1"/>
  <c r="U3526" i="3"/>
  <c r="Y3526" i="3" s="1"/>
  <c r="Z3526" i="3" s="1"/>
  <c r="U3554" i="3"/>
  <c r="Y3554" i="3" s="1"/>
  <c r="Z3554" i="3" s="1"/>
  <c r="U3579" i="3"/>
  <c r="Y3579" i="3" s="1"/>
  <c r="Z3579" i="3" s="1"/>
  <c r="U3693" i="3"/>
  <c r="Y3693" i="3" s="1"/>
  <c r="Z3693" i="3" s="1"/>
  <c r="U3840" i="3"/>
  <c r="Y3840" i="3" s="1"/>
  <c r="Z3840" i="3" s="1"/>
  <c r="U3946" i="3"/>
  <c r="Y3946" i="3" s="1"/>
  <c r="Z3946" i="3" s="1"/>
  <c r="U4255" i="3"/>
  <c r="Y4255" i="3" s="1"/>
  <c r="Z4255" i="3" s="1"/>
  <c r="U4420" i="3"/>
  <c r="Y4420" i="3" s="1"/>
  <c r="Z4420" i="3" s="1"/>
  <c r="U4433" i="3"/>
  <c r="Y4433" i="3" s="1"/>
  <c r="Z4433" i="3" s="1"/>
  <c r="U4634" i="3"/>
  <c r="U393" i="3"/>
  <c r="Y393" i="3" s="1"/>
  <c r="Z393" i="3" s="1"/>
  <c r="U397" i="3"/>
  <c r="Y397" i="3" s="1"/>
  <c r="Z397" i="3" s="1"/>
  <c r="U465" i="3"/>
  <c r="Y465" i="3" s="1"/>
  <c r="Z465" i="3" s="1"/>
  <c r="U499" i="3"/>
  <c r="Y499" i="3" s="1"/>
  <c r="Z499" i="3" s="1"/>
  <c r="U622" i="3"/>
  <c r="Y622" i="3" s="1"/>
  <c r="Z622" i="3" s="1"/>
  <c r="U752" i="3"/>
  <c r="Y752" i="3" s="1"/>
  <c r="Z752" i="3" s="1"/>
  <c r="U830" i="3"/>
  <c r="Y830" i="3" s="1"/>
  <c r="Z830" i="3" s="1"/>
  <c r="U884" i="3"/>
  <c r="Y884" i="3" s="1"/>
  <c r="Z884" i="3" s="1"/>
  <c r="U943" i="3"/>
  <c r="Y943" i="3" s="1"/>
  <c r="Z943" i="3" s="1"/>
  <c r="U1054" i="3"/>
  <c r="Y1054" i="3" s="1"/>
  <c r="Z1054" i="3" s="1"/>
  <c r="U1145" i="3"/>
  <c r="Y1145" i="3" s="1"/>
  <c r="Z1145" i="3" s="1"/>
  <c r="U1479" i="3"/>
  <c r="Y1479" i="3" s="1"/>
  <c r="Z1479" i="3" s="1"/>
  <c r="U1544" i="3"/>
  <c r="Y1544" i="3" s="1"/>
  <c r="Z1544" i="3" s="1"/>
  <c r="U1573" i="3"/>
  <c r="Y1573" i="3" s="1"/>
  <c r="Z1573" i="3" s="1"/>
  <c r="U1700" i="3"/>
  <c r="Y1700" i="3" s="1"/>
  <c r="Z1700" i="3" s="1"/>
  <c r="U1810" i="3"/>
  <c r="Y1810" i="3" s="1"/>
  <c r="Z1810" i="3" s="1"/>
  <c r="U2067" i="3"/>
  <c r="Y2067" i="3" s="1"/>
  <c r="Z2067" i="3" s="1"/>
  <c r="U2113" i="3"/>
  <c r="Y2113" i="3" s="1"/>
  <c r="Z2113" i="3" s="1"/>
  <c r="U2292" i="3"/>
  <c r="Y2292" i="3" s="1"/>
  <c r="Z2292" i="3" s="1"/>
  <c r="U2605" i="3"/>
  <c r="Y2605" i="3" s="1"/>
  <c r="Z2605" i="3" s="1"/>
  <c r="U2657" i="3"/>
  <c r="Y2657" i="3" s="1"/>
  <c r="Z2657" i="3" s="1"/>
  <c r="U2664" i="3"/>
  <c r="Y2664" i="3" s="1"/>
  <c r="Z2664" i="3" s="1"/>
  <c r="U2693" i="3"/>
  <c r="Y2693" i="3" s="1"/>
  <c r="Z2693" i="3" s="1"/>
  <c r="U2977" i="3"/>
  <c r="Y2977" i="3" s="1"/>
  <c r="Z2977" i="3" s="1"/>
  <c r="U3019" i="3"/>
  <c r="Y3019" i="3" s="1"/>
  <c r="Z3019" i="3" s="1"/>
  <c r="U3023" i="3"/>
  <c r="Y3023" i="3" s="1"/>
  <c r="Z3023" i="3" s="1"/>
  <c r="U3356" i="3"/>
  <c r="Y3356" i="3" s="1"/>
  <c r="Z3356" i="3" s="1"/>
  <c r="U3378" i="3"/>
  <c r="Y3378" i="3" s="1"/>
  <c r="Z3378" i="3" s="1"/>
  <c r="U3448" i="3"/>
  <c r="Y3448" i="3" s="1"/>
  <c r="Z3448" i="3" s="1"/>
  <c r="U3681" i="3"/>
  <c r="Y3681" i="3" s="1"/>
  <c r="Z3681" i="3" s="1"/>
  <c r="U3779" i="3"/>
  <c r="Y3779" i="3" s="1"/>
  <c r="Z3779" i="3" s="1"/>
  <c r="U3862" i="3"/>
  <c r="Y3862" i="3" s="1"/>
  <c r="Z3862" i="3" s="1"/>
  <c r="U3894" i="3"/>
  <c r="Y3894" i="3" s="1"/>
  <c r="Z3894" i="3" s="1"/>
  <c r="U3912" i="3"/>
  <c r="Y3912" i="3" s="1"/>
  <c r="Z3912" i="3" s="1"/>
  <c r="U3927" i="3"/>
  <c r="Y3927" i="3" s="1"/>
  <c r="Z3927" i="3" s="1"/>
  <c r="U3993" i="3"/>
  <c r="Y3993" i="3" s="1"/>
  <c r="Z3993" i="3" s="1"/>
  <c r="U4000" i="3"/>
  <c r="Y4000" i="3" s="1"/>
  <c r="Z4000" i="3" s="1"/>
  <c r="U4080" i="3"/>
  <c r="Y4080" i="3" s="1"/>
  <c r="Z4080" i="3" s="1"/>
  <c r="U4374" i="3"/>
  <c r="Y4374" i="3" s="1"/>
  <c r="Z4374" i="3" s="1"/>
  <c r="U4378" i="3"/>
  <c r="Y4378" i="3" s="1"/>
  <c r="Z4378" i="3" s="1"/>
  <c r="U4389" i="3"/>
  <c r="Y4389" i="3" s="1"/>
  <c r="Z4389" i="3" s="1"/>
  <c r="U4436" i="3"/>
  <c r="Y4436" i="3" s="1"/>
  <c r="Z4436" i="3" s="1"/>
  <c r="U4496" i="3"/>
  <c r="Y4496" i="3" s="1"/>
  <c r="Z4496" i="3" s="1"/>
  <c r="U4684" i="3"/>
  <c r="Y4684" i="3" s="1"/>
  <c r="Z4684" i="3" s="1"/>
  <c r="U4811" i="3"/>
  <c r="Y4811" i="3" s="1"/>
  <c r="Z4811" i="3" s="1"/>
  <c r="U373" i="3"/>
  <c r="Y373" i="3" s="1"/>
  <c r="Z373" i="3" s="1"/>
  <c r="U410" i="3"/>
  <c r="Y410" i="3" s="1"/>
  <c r="Z410" i="3" s="1"/>
  <c r="U550" i="3"/>
  <c r="Y550" i="3" s="1"/>
  <c r="Z550" i="3" s="1"/>
  <c r="U823" i="3"/>
  <c r="Y823" i="3" s="1"/>
  <c r="Z823" i="3" s="1"/>
  <c r="U846" i="3"/>
  <c r="Y846" i="3" s="1"/>
  <c r="Z846" i="3" s="1"/>
  <c r="U963" i="3"/>
  <c r="Y963" i="3" s="1"/>
  <c r="Z963" i="3" s="1"/>
  <c r="U969" i="3"/>
  <c r="Y969" i="3" s="1"/>
  <c r="Z969" i="3" s="1"/>
  <c r="U1033" i="3"/>
  <c r="Y1033" i="3" s="1"/>
  <c r="Z1033" i="3" s="1"/>
  <c r="U1203" i="3"/>
  <c r="Y1203" i="3" s="1"/>
  <c r="Z1203" i="3" s="1"/>
  <c r="U1333" i="3"/>
  <c r="Y1333" i="3" s="1"/>
  <c r="Z1333" i="3" s="1"/>
  <c r="U1440" i="3"/>
  <c r="Y1440" i="3" s="1"/>
  <c r="Z1440" i="3" s="1"/>
  <c r="U1609" i="3"/>
  <c r="Y1609" i="3" s="1"/>
  <c r="Z1609" i="3" s="1"/>
  <c r="U1706" i="3"/>
  <c r="Y1706" i="3" s="1"/>
  <c r="Z1706" i="3" s="1"/>
  <c r="U1762" i="3"/>
  <c r="Y1762" i="3" s="1"/>
  <c r="Z1762" i="3" s="1"/>
  <c r="U1890" i="3"/>
  <c r="Y1890" i="3" s="1"/>
  <c r="Z1890" i="3" s="1"/>
  <c r="U1895" i="3"/>
  <c r="Y1895" i="3" s="1"/>
  <c r="Z1895" i="3" s="1"/>
  <c r="U2096" i="3"/>
  <c r="Y2096" i="3" s="1"/>
  <c r="Z2096" i="3" s="1"/>
  <c r="U2124" i="3"/>
  <c r="Y2124" i="3" s="1"/>
  <c r="Z2124" i="3" s="1"/>
  <c r="U2137" i="3"/>
  <c r="Y2137" i="3" s="1"/>
  <c r="Z2137" i="3" s="1"/>
  <c r="U2228" i="3"/>
  <c r="Y2228" i="3" s="1"/>
  <c r="Z2228" i="3" s="1"/>
  <c r="U2263" i="3"/>
  <c r="Y2263" i="3" s="1"/>
  <c r="Z2263" i="3" s="1"/>
  <c r="U2275" i="3"/>
  <c r="Y2275" i="3" s="1"/>
  <c r="Z2275" i="3" s="1"/>
  <c r="U2308" i="3"/>
  <c r="Y2308" i="3" s="1"/>
  <c r="Z2308" i="3" s="1"/>
  <c r="U2358" i="3"/>
  <c r="Y2358" i="3" s="1"/>
  <c r="Z2358" i="3" s="1"/>
  <c r="U2378" i="3"/>
  <c r="Y2378" i="3" s="1"/>
  <c r="Z2378" i="3" s="1"/>
  <c r="U2442" i="3"/>
  <c r="Y2442" i="3" s="1"/>
  <c r="Z2442" i="3" s="1"/>
  <c r="U2527" i="3"/>
  <c r="Y2527" i="3" s="1"/>
  <c r="Z2527" i="3" s="1"/>
  <c r="U2663" i="3"/>
  <c r="Y2663" i="3" s="1"/>
  <c r="Z2663" i="3" s="1"/>
  <c r="U2739" i="3"/>
  <c r="Y2739" i="3" s="1"/>
  <c r="Z2739" i="3" s="1"/>
  <c r="U2759" i="3"/>
  <c r="Y2759" i="3" s="1"/>
  <c r="Z2759" i="3" s="1"/>
  <c r="U2793" i="3"/>
  <c r="Y2793" i="3" s="1"/>
  <c r="Z2793" i="3" s="1"/>
  <c r="U2811" i="3"/>
  <c r="Y2811" i="3" s="1"/>
  <c r="Z2811" i="3" s="1"/>
  <c r="U2850" i="3"/>
  <c r="Y2850" i="3" s="1"/>
  <c r="Z2850" i="3" s="1"/>
  <c r="U2965" i="3"/>
  <c r="Y2965" i="3" s="1"/>
  <c r="Z2965" i="3" s="1"/>
  <c r="U3045" i="3"/>
  <c r="Y3045" i="3" s="1"/>
  <c r="Z3045" i="3" s="1"/>
  <c r="U3110" i="3"/>
  <c r="Y3110" i="3" s="1"/>
  <c r="Z3110" i="3" s="1"/>
  <c r="U3118" i="3"/>
  <c r="Y3118" i="3" s="1"/>
  <c r="Z3118" i="3" s="1"/>
  <c r="U3192" i="3"/>
  <c r="Y3192" i="3" s="1"/>
  <c r="Z3192" i="3" s="1"/>
  <c r="U3371" i="3"/>
  <c r="Y3371" i="3" s="1"/>
  <c r="Z3371" i="3" s="1"/>
  <c r="U3402" i="3"/>
  <c r="Y3402" i="3" s="1"/>
  <c r="Z3402" i="3" s="1"/>
  <c r="U3446" i="3"/>
  <c r="Y3446" i="3" s="1"/>
  <c r="Z3446" i="3" s="1"/>
  <c r="U3565" i="3"/>
  <c r="Y3565" i="3" s="1"/>
  <c r="Z3565" i="3" s="1"/>
  <c r="U3651" i="3"/>
  <c r="Y3651" i="3" s="1"/>
  <c r="Z3651" i="3" s="1"/>
  <c r="U3724" i="3"/>
  <c r="Y3724" i="3" s="1"/>
  <c r="Z3724" i="3" s="1"/>
  <c r="U3890" i="3"/>
  <c r="Y3890" i="3" s="1"/>
  <c r="Z3890" i="3" s="1"/>
  <c r="U3910" i="3"/>
  <c r="Y3910" i="3" s="1"/>
  <c r="Z3910" i="3" s="1"/>
  <c r="U4028" i="3"/>
  <c r="Y4028" i="3" s="1"/>
  <c r="Z4028" i="3" s="1"/>
  <c r="U4034" i="3"/>
  <c r="Y4034" i="3" s="1"/>
  <c r="Z4034" i="3" s="1"/>
  <c r="U4177" i="3"/>
  <c r="Y4177" i="3" s="1"/>
  <c r="Z4177" i="3" s="1"/>
  <c r="U4184" i="3"/>
  <c r="Y4184" i="3" s="1"/>
  <c r="Z4184" i="3" s="1"/>
  <c r="U4340" i="3"/>
  <c r="Y4340" i="3" s="1"/>
  <c r="Z4340" i="3" s="1"/>
  <c r="U4388" i="3"/>
  <c r="Y4388" i="3" s="1"/>
  <c r="Z4388" i="3" s="1"/>
  <c r="U4463" i="3"/>
  <c r="Y4463" i="3" s="1"/>
  <c r="Z4463" i="3" s="1"/>
  <c r="U4479" i="3"/>
  <c r="Y4479" i="3" s="1"/>
  <c r="Z4479" i="3" s="1"/>
  <c r="U4572" i="3"/>
  <c r="Y4572" i="3" s="1"/>
  <c r="Z4572" i="3" s="1"/>
  <c r="U4598" i="3"/>
  <c r="Y4598" i="3" s="1"/>
  <c r="Z4598" i="3" s="1"/>
  <c r="U4633" i="3"/>
  <c r="Y4633" i="3" s="1"/>
  <c r="Z4633" i="3" s="1"/>
  <c r="U4640" i="3"/>
  <c r="Y4640" i="3" s="1"/>
  <c r="Z4640" i="3" s="1"/>
  <c r="U4661" i="3"/>
  <c r="Y4661" i="3" s="1"/>
  <c r="Z4661" i="3" s="1"/>
  <c r="U4720" i="3"/>
  <c r="Y4720" i="3" s="1"/>
  <c r="Z4720" i="3" s="1"/>
  <c r="U4780" i="3"/>
  <c r="Y4780" i="3" s="1"/>
  <c r="Z4780" i="3" s="1"/>
  <c r="U4809" i="3"/>
  <c r="Y4809" i="3" s="1"/>
  <c r="Z4809" i="3" s="1"/>
  <c r="U384" i="3"/>
  <c r="Y384" i="3" s="1"/>
  <c r="Z384" i="3" s="1"/>
  <c r="U402" i="3"/>
  <c r="Y402" i="3" s="1"/>
  <c r="Z402" i="3" s="1"/>
  <c r="U447" i="3"/>
  <c r="Y447" i="3" s="1"/>
  <c r="Z447" i="3" s="1"/>
  <c r="U482" i="3"/>
  <c r="Y482" i="3" s="1"/>
  <c r="Z482" i="3" s="1"/>
  <c r="U495" i="3"/>
  <c r="Y495" i="3" s="1"/>
  <c r="Z495" i="3" s="1"/>
  <c r="U549" i="3"/>
  <c r="Y549" i="3" s="1"/>
  <c r="Z549" i="3" s="1"/>
  <c r="U558" i="3"/>
  <c r="Y558" i="3" s="1"/>
  <c r="Z558" i="3" s="1"/>
  <c r="U644" i="3"/>
  <c r="Y644" i="3" s="1"/>
  <c r="Z644" i="3" s="1"/>
  <c r="U682" i="3"/>
  <c r="Y682" i="3" s="1"/>
  <c r="Z682" i="3" s="1"/>
  <c r="U781" i="3"/>
  <c r="Y781" i="3" s="1"/>
  <c r="Z781" i="3" s="1"/>
  <c r="U795" i="3"/>
  <c r="Y795" i="3" s="1"/>
  <c r="Z795" i="3" s="1"/>
  <c r="U903" i="3"/>
  <c r="Y903" i="3" s="1"/>
  <c r="Z903" i="3" s="1"/>
  <c r="U919" i="3"/>
  <c r="Y919" i="3" s="1"/>
  <c r="Z919" i="3" s="1"/>
  <c r="U1004" i="3"/>
  <c r="Y1004" i="3" s="1"/>
  <c r="Z1004" i="3" s="1"/>
  <c r="U1073" i="3"/>
  <c r="Y1073" i="3" s="1"/>
  <c r="Z1073" i="3" s="1"/>
  <c r="U1124" i="3"/>
  <c r="Y1124" i="3" s="1"/>
  <c r="Z1124" i="3" s="1"/>
  <c r="U1185" i="3"/>
  <c r="Y1185" i="3" s="1"/>
  <c r="Z1185" i="3" s="1"/>
  <c r="U1230" i="3"/>
  <c r="Y1230" i="3" s="1"/>
  <c r="Z1230" i="3" s="1"/>
  <c r="U1259" i="3"/>
  <c r="Y1259" i="3" s="1"/>
  <c r="Z1259" i="3" s="1"/>
  <c r="U1311" i="3"/>
  <c r="Y1311" i="3" s="1"/>
  <c r="Z1311" i="3" s="1"/>
  <c r="U1342" i="3"/>
  <c r="Y1342" i="3" s="1"/>
  <c r="Z1342" i="3" s="1"/>
  <c r="U1344" i="3"/>
  <c r="Y1344" i="3" s="1"/>
  <c r="Z1344" i="3" s="1"/>
  <c r="U1378" i="3"/>
  <c r="Y1378" i="3" s="1"/>
  <c r="Z1378" i="3" s="1"/>
  <c r="U1447" i="3"/>
  <c r="Y1447" i="3" s="1"/>
  <c r="Z1447" i="3" s="1"/>
  <c r="U1486" i="3"/>
  <c r="Y1486" i="3" s="1"/>
  <c r="Z1486" i="3" s="1"/>
  <c r="U1551" i="3"/>
  <c r="Y1551" i="3" s="1"/>
  <c r="Z1551" i="3" s="1"/>
  <c r="U1618" i="3"/>
  <c r="Y1618" i="3" s="1"/>
  <c r="Z1618" i="3" s="1"/>
  <c r="U1644" i="3"/>
  <c r="Y1644" i="3" s="1"/>
  <c r="Z1644" i="3" s="1"/>
  <c r="U1828" i="3"/>
  <c r="Y1828" i="3" s="1"/>
  <c r="Z1828" i="3" s="1"/>
  <c r="U1905" i="3"/>
  <c r="Y1905" i="3" s="1"/>
  <c r="Z1905" i="3" s="1"/>
  <c r="U1971" i="3"/>
  <c r="Y1971" i="3" s="1"/>
  <c r="Z1971" i="3" s="1"/>
  <c r="U2073" i="3"/>
  <c r="Y2073" i="3" s="1"/>
  <c r="Z2073" i="3" s="1"/>
  <c r="U2142" i="3"/>
  <c r="Y2142" i="3" s="1"/>
  <c r="Z2142" i="3" s="1"/>
  <c r="U2167" i="3"/>
  <c r="Y2167" i="3" s="1"/>
  <c r="Z2167" i="3" s="1"/>
  <c r="U2280" i="3"/>
  <c r="Y2280" i="3" s="1"/>
  <c r="Z2280" i="3" s="1"/>
  <c r="U2316" i="3"/>
  <c r="Y2316" i="3" s="1"/>
  <c r="Z2316" i="3" s="1"/>
  <c r="U2459" i="3"/>
  <c r="Y2459" i="3" s="1"/>
  <c r="Z2459" i="3" s="1"/>
  <c r="U2492" i="3"/>
  <c r="Y2492" i="3" s="1"/>
  <c r="Z2492" i="3" s="1"/>
  <c r="U2607" i="3"/>
  <c r="Y2607" i="3" s="1"/>
  <c r="Z2607" i="3" s="1"/>
  <c r="U2616" i="3"/>
  <c r="Y2616" i="3" s="1"/>
  <c r="Z2616" i="3" s="1"/>
  <c r="U2662" i="3"/>
  <c r="Y2662" i="3" s="1"/>
  <c r="Z2662" i="3" s="1"/>
  <c r="U2796" i="3"/>
  <c r="Y2796" i="3" s="1"/>
  <c r="Z2796" i="3" s="1"/>
  <c r="U2800" i="3"/>
  <c r="Y2800" i="3" s="1"/>
  <c r="Z2800" i="3" s="1"/>
  <c r="U2894" i="3"/>
  <c r="Y2894" i="3" s="1"/>
  <c r="Z2894" i="3" s="1"/>
  <c r="U2959" i="3"/>
  <c r="Y2959" i="3" s="1"/>
  <c r="Z2959" i="3" s="1"/>
  <c r="U2962" i="3"/>
  <c r="Y2962" i="3" s="1"/>
  <c r="Z2962" i="3" s="1"/>
  <c r="U2968" i="3"/>
  <c r="Y2968" i="3" s="1"/>
  <c r="Z2968" i="3" s="1"/>
  <c r="U3047" i="3"/>
  <c r="Y3047" i="3" s="1"/>
  <c r="Z3047" i="3" s="1"/>
  <c r="U3068" i="3"/>
  <c r="Y3068" i="3" s="1"/>
  <c r="Z3068" i="3" s="1"/>
  <c r="U3320" i="3"/>
  <c r="Y3320" i="3" s="1"/>
  <c r="Z3320" i="3" s="1"/>
  <c r="U3349" i="3"/>
  <c r="Y3349" i="3" s="1"/>
  <c r="Z3349" i="3" s="1"/>
  <c r="U3462" i="3"/>
  <c r="Y3462" i="3" s="1"/>
  <c r="Z3462" i="3" s="1"/>
  <c r="U3516" i="3"/>
  <c r="Y3516" i="3" s="1"/>
  <c r="Z3516" i="3" s="1"/>
  <c r="U3578" i="3"/>
  <c r="Y3578" i="3" s="1"/>
  <c r="Z3578" i="3" s="1"/>
  <c r="U3616" i="3"/>
  <c r="Y3616" i="3" s="1"/>
  <c r="Z3616" i="3" s="1"/>
  <c r="U3647" i="3"/>
  <c r="Y3647" i="3" s="1"/>
  <c r="Z3647" i="3" s="1"/>
  <c r="U3659" i="3"/>
  <c r="Y3659" i="3" s="1"/>
  <c r="Z3659" i="3" s="1"/>
  <c r="U3716" i="3"/>
  <c r="Y3716" i="3" s="1"/>
  <c r="Z3716" i="3" s="1"/>
  <c r="U3740" i="3"/>
  <c r="Y3740" i="3" s="1"/>
  <c r="Z3740" i="3" s="1"/>
  <c r="U3797" i="3"/>
  <c r="Y3797" i="3" s="1"/>
  <c r="Z3797" i="3" s="1"/>
  <c r="U3801" i="3"/>
  <c r="Y3801" i="3" s="1"/>
  <c r="Z3801" i="3" s="1"/>
  <c r="U3847" i="3"/>
  <c r="Y3847" i="3" s="1"/>
  <c r="Z3847" i="3" s="1"/>
  <c r="U4166" i="3"/>
  <c r="Y4166" i="3" s="1"/>
  <c r="Z4166" i="3" s="1"/>
  <c r="U4266" i="3"/>
  <c r="Y4266" i="3" s="1"/>
  <c r="Z4266" i="3" s="1"/>
  <c r="U4289" i="3"/>
  <c r="Y4289" i="3" s="1"/>
  <c r="Z4289" i="3" s="1"/>
  <c r="U4325" i="3"/>
  <c r="Y4325" i="3" s="1"/>
  <c r="Z4325" i="3" s="1"/>
  <c r="U4453" i="3"/>
  <c r="Y4453" i="3" s="1"/>
  <c r="Z4453" i="3" s="1"/>
  <c r="U4553" i="3"/>
  <c r="Y4553" i="3" s="1"/>
  <c r="Z4553" i="3" s="1"/>
  <c r="U4619" i="3"/>
  <c r="Y4619" i="3" s="1"/>
  <c r="Z4619" i="3" s="1"/>
  <c r="U4707" i="3"/>
  <c r="Y4707" i="3" s="1"/>
  <c r="Z4707" i="3" s="1"/>
  <c r="U4744" i="3"/>
  <c r="Y4744" i="3" s="1"/>
  <c r="Z4744" i="3" s="1"/>
  <c r="U4749" i="3"/>
  <c r="Y4749" i="3" s="1"/>
  <c r="Z4749" i="3" s="1"/>
  <c r="U4791" i="3"/>
  <c r="Y4791" i="3" s="1"/>
  <c r="Z4791" i="3" s="1"/>
  <c r="U346" i="3"/>
  <c r="Y346" i="3" s="1"/>
  <c r="Z346" i="3" s="1"/>
  <c r="U357" i="3"/>
  <c r="Y357" i="3" s="1"/>
  <c r="Z357" i="3" s="1"/>
  <c r="U472" i="3"/>
  <c r="Y472" i="3" s="1"/>
  <c r="Z472" i="3" s="1"/>
  <c r="U573" i="3"/>
  <c r="Y573" i="3" s="1"/>
  <c r="Z573" i="3" s="1"/>
  <c r="U620" i="3"/>
  <c r="Y620" i="3" s="1"/>
  <c r="Z620" i="3" s="1"/>
  <c r="U700" i="3"/>
  <c r="Y700" i="3" s="1"/>
  <c r="Z700" i="3" s="1"/>
  <c r="U791" i="3"/>
  <c r="Y791" i="3" s="1"/>
  <c r="Z791" i="3" s="1"/>
  <c r="U834" i="3"/>
  <c r="Y834" i="3" s="1"/>
  <c r="Z834" i="3" s="1"/>
  <c r="U962" i="3"/>
  <c r="Y962" i="3" s="1"/>
  <c r="Z962" i="3" s="1"/>
  <c r="U973" i="3"/>
  <c r="Y973" i="3" s="1"/>
  <c r="Z973" i="3" s="1"/>
  <c r="U1003" i="3"/>
  <c r="Y1003" i="3" s="1"/>
  <c r="Z1003" i="3" s="1"/>
  <c r="U1022" i="3"/>
  <c r="Y1022" i="3" s="1"/>
  <c r="Z1022" i="3" s="1"/>
  <c r="U1050" i="3"/>
  <c r="Y1050" i="3" s="1"/>
  <c r="Z1050" i="3" s="1"/>
  <c r="U1114" i="3"/>
  <c r="Y1114" i="3" s="1"/>
  <c r="Z1114" i="3" s="1"/>
  <c r="U1188" i="3"/>
  <c r="Y1188" i="3" s="1"/>
  <c r="Z1188" i="3" s="1"/>
  <c r="U1190" i="3"/>
  <c r="Y1190" i="3" s="1"/>
  <c r="Z1190" i="3" s="1"/>
  <c r="U1196" i="3"/>
  <c r="Y1196" i="3" s="1"/>
  <c r="Z1196" i="3" s="1"/>
  <c r="U1248" i="3"/>
  <c r="Y1248" i="3" s="1"/>
  <c r="Z1248" i="3" s="1"/>
  <c r="U1270" i="3"/>
  <c r="Y1270" i="3" s="1"/>
  <c r="Z1270" i="3" s="1"/>
  <c r="U1280" i="3"/>
  <c r="Y1280" i="3" s="1"/>
  <c r="Z1280" i="3" s="1"/>
  <c r="U1321" i="3"/>
  <c r="Y1321" i="3" s="1"/>
  <c r="Z1321" i="3" s="1"/>
  <c r="U1332" i="3"/>
  <c r="Y1332" i="3" s="1"/>
  <c r="Z1332" i="3" s="1"/>
  <c r="U1338" i="3"/>
  <c r="Y1338" i="3" s="1"/>
  <c r="Z1338" i="3" s="1"/>
  <c r="U1602" i="3"/>
  <c r="Y1602" i="3" s="1"/>
  <c r="Z1602" i="3" s="1"/>
  <c r="U1656" i="3"/>
  <c r="Y1656" i="3" s="1"/>
  <c r="Z1656" i="3" s="1"/>
  <c r="U1665" i="3"/>
  <c r="Y1665" i="3" s="1"/>
  <c r="Z1665" i="3" s="1"/>
  <c r="U1858" i="3"/>
  <c r="Y1858" i="3" s="1"/>
  <c r="Z1858" i="3" s="1"/>
  <c r="U1888" i="3"/>
  <c r="Y1888" i="3" s="1"/>
  <c r="Z1888" i="3" s="1"/>
  <c r="U1913" i="3"/>
  <c r="Y1913" i="3" s="1"/>
  <c r="Z1913" i="3" s="1"/>
  <c r="U1959" i="3"/>
  <c r="Y1959" i="3" s="1"/>
  <c r="Z1959" i="3" s="1"/>
  <c r="U1960" i="3"/>
  <c r="Y1960" i="3" s="1"/>
  <c r="Z1960" i="3" s="1"/>
  <c r="U1999" i="3"/>
  <c r="Y1999" i="3" s="1"/>
  <c r="Z1999" i="3" s="1"/>
  <c r="U2031" i="3"/>
  <c r="Y2031" i="3" s="1"/>
  <c r="Z2031" i="3" s="1"/>
  <c r="U2146" i="3"/>
  <c r="Y2146" i="3" s="1"/>
  <c r="Z2146" i="3" s="1"/>
  <c r="U2236" i="3"/>
  <c r="Y2236" i="3" s="1"/>
  <c r="Z2236" i="3" s="1"/>
  <c r="U2268" i="3"/>
  <c r="Y2268" i="3" s="1"/>
  <c r="Z2268" i="3" s="1"/>
  <c r="U2304" i="3"/>
  <c r="Y2304" i="3" s="1"/>
  <c r="Z2304" i="3" s="1"/>
  <c r="U2311" i="3"/>
  <c r="Y2311" i="3" s="1"/>
  <c r="Z2311" i="3" s="1"/>
  <c r="U2326" i="3"/>
  <c r="Y2326" i="3" s="1"/>
  <c r="Z2326" i="3" s="1"/>
  <c r="U2385" i="3"/>
  <c r="Y2385" i="3" s="1"/>
  <c r="Z2385" i="3" s="1"/>
  <c r="U2417" i="3"/>
  <c r="Y2417" i="3" s="1"/>
  <c r="Z2417" i="3" s="1"/>
  <c r="U2493" i="3"/>
  <c r="Y2493" i="3" s="1"/>
  <c r="Z2493" i="3" s="1"/>
  <c r="U2504" i="3"/>
  <c r="Y2504" i="3" s="1"/>
  <c r="Z2504" i="3" s="1"/>
  <c r="U2604" i="3"/>
  <c r="Y2604" i="3" s="1"/>
  <c r="Z2604" i="3" s="1"/>
  <c r="U2708" i="3"/>
  <c r="Y2708" i="3" s="1"/>
  <c r="Z2708" i="3" s="1"/>
  <c r="U2756" i="3"/>
  <c r="Y2756" i="3" s="1"/>
  <c r="Z2756" i="3" s="1"/>
  <c r="U2773" i="3"/>
  <c r="Y2773" i="3" s="1"/>
  <c r="Z2773" i="3" s="1"/>
  <c r="U2819" i="3"/>
  <c r="Y2819" i="3" s="1"/>
  <c r="Z2819" i="3" s="1"/>
  <c r="U2851" i="3"/>
  <c r="Y2851" i="3" s="1"/>
  <c r="Z2851" i="3" s="1"/>
  <c r="U2967" i="3"/>
  <c r="Y2967" i="3" s="1"/>
  <c r="Z2967" i="3" s="1"/>
  <c r="U3013" i="3"/>
  <c r="Y3013" i="3" s="1"/>
  <c r="Z3013" i="3" s="1"/>
  <c r="U3036" i="3"/>
  <c r="Y3036" i="3" s="1"/>
  <c r="Z3036" i="3" s="1"/>
  <c r="U3055" i="3"/>
  <c r="Y3055" i="3" s="1"/>
  <c r="Z3055" i="3" s="1"/>
  <c r="U3103" i="3"/>
  <c r="Y3103" i="3" s="1"/>
  <c r="Z3103" i="3" s="1"/>
  <c r="U3122" i="3"/>
  <c r="Y3122" i="3" s="1"/>
  <c r="Z3122" i="3" s="1"/>
  <c r="U3207" i="3"/>
  <c r="Y3207" i="3" s="1"/>
  <c r="Z3207" i="3" s="1"/>
  <c r="U3226" i="3"/>
  <c r="Y3226" i="3" s="1"/>
  <c r="Z3226" i="3" s="1"/>
  <c r="U3281" i="3"/>
  <c r="Y3281" i="3" s="1"/>
  <c r="Z3281" i="3" s="1"/>
  <c r="U3294" i="3"/>
  <c r="Y3294" i="3" s="1"/>
  <c r="Z3294" i="3" s="1"/>
  <c r="U3346" i="3"/>
  <c r="Y3346" i="3" s="1"/>
  <c r="Z3346" i="3" s="1"/>
  <c r="U3359" i="3"/>
  <c r="Y3359" i="3" s="1"/>
  <c r="Z3359" i="3" s="1"/>
  <c r="U3408" i="3"/>
  <c r="Y3408" i="3" s="1"/>
  <c r="Z3408" i="3" s="1"/>
  <c r="U3415" i="3"/>
  <c r="Y3415" i="3" s="1"/>
  <c r="Z3415" i="3" s="1"/>
  <c r="U3507" i="3"/>
  <c r="Y3507" i="3" s="1"/>
  <c r="Z3507" i="3" s="1"/>
  <c r="U3521" i="3"/>
  <c r="Y3521" i="3" s="1"/>
  <c r="Z3521" i="3" s="1"/>
  <c r="U3559" i="3"/>
  <c r="Y3559" i="3" s="1"/>
  <c r="Z3559" i="3" s="1"/>
  <c r="U3617" i="3"/>
  <c r="Y3617" i="3" s="1"/>
  <c r="Z3617" i="3" s="1"/>
  <c r="U3661" i="3"/>
  <c r="Y3661" i="3" s="1"/>
  <c r="Z3661" i="3" s="1"/>
  <c r="U3756" i="3"/>
  <c r="Y3756" i="3" s="1"/>
  <c r="Z3756" i="3" s="1"/>
  <c r="U3766" i="3"/>
  <c r="Y3766" i="3" s="1"/>
  <c r="Z3766" i="3" s="1"/>
  <c r="U3778" i="3"/>
  <c r="Y3778" i="3" s="1"/>
  <c r="Z3778" i="3" s="1"/>
  <c r="U3837" i="3"/>
  <c r="Y3837" i="3" s="1"/>
  <c r="Z3837" i="3" s="1"/>
  <c r="U3851" i="3"/>
  <c r="Y3851" i="3" s="1"/>
  <c r="Z3851" i="3" s="1"/>
  <c r="U4116" i="3"/>
  <c r="Y4116" i="3" s="1"/>
  <c r="Z4116" i="3" s="1"/>
  <c r="U4258" i="3"/>
  <c r="Y4258" i="3" s="1"/>
  <c r="Z4258" i="3" s="1"/>
  <c r="U4335" i="3"/>
  <c r="Y4335" i="3" s="1"/>
  <c r="Z4335" i="3" s="1"/>
  <c r="U4338" i="3"/>
  <c r="Y4338" i="3" s="1"/>
  <c r="Z4338" i="3" s="1"/>
  <c r="U4410" i="3"/>
  <c r="Y4410" i="3" s="1"/>
  <c r="Z4410" i="3" s="1"/>
  <c r="U4415" i="3"/>
  <c r="Y4415" i="3" s="1"/>
  <c r="Z4415" i="3" s="1"/>
  <c r="U4638" i="3"/>
  <c r="Y4638" i="3" s="1"/>
  <c r="Z4638" i="3" s="1"/>
  <c r="U4645" i="3"/>
  <c r="Y4645" i="3" s="1"/>
  <c r="Z4645" i="3" s="1"/>
  <c r="U4646" i="3"/>
  <c r="Y4646" i="3" s="1"/>
  <c r="Z4646" i="3" s="1"/>
  <c r="U4672" i="3"/>
  <c r="Y4672" i="3" s="1"/>
  <c r="Z4672" i="3" s="1"/>
  <c r="U4778" i="3"/>
  <c r="Y4778" i="3" s="1"/>
  <c r="Z4778" i="3" s="1"/>
  <c r="U418" i="3"/>
  <c r="Y418" i="3" s="1"/>
  <c r="Z418" i="3" s="1"/>
  <c r="U617" i="3"/>
  <c r="Y617" i="3" s="1"/>
  <c r="Z617" i="3" s="1"/>
  <c r="U658" i="3"/>
  <c r="Y658" i="3" s="1"/>
  <c r="Z658" i="3" s="1"/>
  <c r="U663" i="3"/>
  <c r="Y663" i="3" s="1"/>
  <c r="Z663" i="3" s="1"/>
  <c r="U693" i="3"/>
  <c r="Y693" i="3" s="1"/>
  <c r="Z693" i="3" s="1"/>
  <c r="U753" i="3"/>
  <c r="Y753" i="3" s="1"/>
  <c r="Z753" i="3" s="1"/>
  <c r="U755" i="3"/>
  <c r="Y755" i="3" s="1"/>
  <c r="Z755" i="3" s="1"/>
  <c r="U871" i="3"/>
  <c r="Y871" i="3" s="1"/>
  <c r="Z871" i="3" s="1"/>
  <c r="U913" i="3"/>
  <c r="Y913" i="3" s="1"/>
  <c r="Z913" i="3" s="1"/>
  <c r="U918" i="3"/>
  <c r="Y918" i="3" s="1"/>
  <c r="Z918" i="3" s="1"/>
  <c r="U960" i="3"/>
  <c r="Y960" i="3" s="1"/>
  <c r="Z960" i="3" s="1"/>
  <c r="U964" i="3"/>
  <c r="Y964" i="3" s="1"/>
  <c r="Z964" i="3" s="1"/>
  <c r="U972" i="3"/>
  <c r="Y972" i="3" s="1"/>
  <c r="Z972" i="3" s="1"/>
  <c r="U1152" i="3"/>
  <c r="Y1152" i="3" s="1"/>
  <c r="Z1152" i="3" s="1"/>
  <c r="U1183" i="3"/>
  <c r="Y1183" i="3" s="1"/>
  <c r="Z1183" i="3" s="1"/>
  <c r="U1187" i="3"/>
  <c r="Y1187" i="3" s="1"/>
  <c r="Z1187" i="3" s="1"/>
  <c r="U1197" i="3"/>
  <c r="Y1197" i="3" s="1"/>
  <c r="Z1197" i="3" s="1"/>
  <c r="U1237" i="3"/>
  <c r="Y1237" i="3" s="1"/>
  <c r="Z1237" i="3" s="1"/>
  <c r="U1283" i="3"/>
  <c r="Y1283" i="3" s="1"/>
  <c r="Z1283" i="3" s="1"/>
  <c r="U1286" i="3"/>
  <c r="Y1286" i="3" s="1"/>
  <c r="Z1286" i="3" s="1"/>
  <c r="U1290" i="3"/>
  <c r="Y1290" i="3" s="1"/>
  <c r="Z1290" i="3" s="1"/>
  <c r="U1305" i="3"/>
  <c r="Y1305" i="3" s="1"/>
  <c r="Z1305" i="3" s="1"/>
  <c r="U1384" i="3"/>
  <c r="Y1384" i="3" s="1"/>
  <c r="Z1384" i="3" s="1"/>
  <c r="U1390" i="3"/>
  <c r="Y1390" i="3" s="1"/>
  <c r="Z1390" i="3" s="1"/>
  <c r="U1458" i="3"/>
  <c r="Y1458" i="3" s="1"/>
  <c r="Z1458" i="3" s="1"/>
  <c r="U1459" i="3"/>
  <c r="Y1459" i="3" s="1"/>
  <c r="Z1459" i="3" s="1"/>
  <c r="U1530" i="3"/>
  <c r="Y1530" i="3" s="1"/>
  <c r="Z1530" i="3" s="1"/>
  <c r="U1543" i="3"/>
  <c r="Y1543" i="3" s="1"/>
  <c r="Z1543" i="3" s="1"/>
  <c r="U1631" i="3"/>
  <c r="Y1631" i="3" s="1"/>
  <c r="Z1631" i="3" s="1"/>
  <c r="U1633" i="3"/>
  <c r="Y1633" i="3" s="1"/>
  <c r="Z1633" i="3" s="1"/>
  <c r="U1643" i="3"/>
  <c r="Y1643" i="3" s="1"/>
  <c r="Z1643" i="3" s="1"/>
  <c r="U1660" i="3"/>
  <c r="Y1660" i="3" s="1"/>
  <c r="Z1660" i="3" s="1"/>
  <c r="U1677" i="3"/>
  <c r="Y1677" i="3" s="1"/>
  <c r="Z1677" i="3" s="1"/>
  <c r="U1868" i="3"/>
  <c r="Y1868" i="3" s="1"/>
  <c r="Z1868" i="3" s="1"/>
  <c r="U1869" i="3"/>
  <c r="Y1869" i="3" s="1"/>
  <c r="Z1869" i="3" s="1"/>
  <c r="U2007" i="3"/>
  <c r="Y2007" i="3" s="1"/>
  <c r="Z2007" i="3" s="1"/>
  <c r="U2015" i="3"/>
  <c r="Y2015" i="3" s="1"/>
  <c r="Z2015" i="3" s="1"/>
  <c r="U2041" i="3"/>
  <c r="Y2041" i="3" s="1"/>
  <c r="Z2041" i="3" s="1"/>
  <c r="U2139" i="3"/>
  <c r="Y2139" i="3" s="1"/>
  <c r="Z2139" i="3" s="1"/>
  <c r="U2155" i="3"/>
  <c r="Y2155" i="3" s="1"/>
  <c r="Z2155" i="3" s="1"/>
  <c r="U2231" i="3"/>
  <c r="Y2231" i="3" s="1"/>
  <c r="Z2231" i="3" s="1"/>
  <c r="U2247" i="3"/>
  <c r="Y2247" i="3" s="1"/>
  <c r="Z2247" i="3" s="1"/>
  <c r="U2251" i="3"/>
  <c r="Y2251" i="3" s="1"/>
  <c r="Z2251" i="3" s="1"/>
  <c r="U2371" i="3"/>
  <c r="Y2371" i="3" s="1"/>
  <c r="Z2371" i="3" s="1"/>
  <c r="U2403" i="3"/>
  <c r="Y2403" i="3" s="1"/>
  <c r="Z2403" i="3" s="1"/>
  <c r="U2529" i="3"/>
  <c r="Y2529" i="3" s="1"/>
  <c r="Z2529" i="3" s="1"/>
  <c r="U2631" i="3"/>
  <c r="Y2631" i="3" s="1"/>
  <c r="Z2631" i="3" s="1"/>
  <c r="U2645" i="3"/>
  <c r="Y2645" i="3" s="1"/>
  <c r="Z2645" i="3" s="1"/>
  <c r="U2648" i="3"/>
  <c r="Y2648" i="3" s="1"/>
  <c r="Z2648" i="3" s="1"/>
  <c r="U2671" i="3"/>
  <c r="Y2671" i="3" s="1"/>
  <c r="Z2671" i="3" s="1"/>
  <c r="U2689" i="3"/>
  <c r="Y2689" i="3" s="1"/>
  <c r="Z2689" i="3" s="1"/>
  <c r="U2731" i="3"/>
  <c r="Y2731" i="3" s="1"/>
  <c r="Z2731" i="3" s="1"/>
  <c r="U2753" i="3"/>
  <c r="Y2753" i="3" s="1"/>
  <c r="Z2753" i="3" s="1"/>
  <c r="U2769" i="3"/>
  <c r="Y2769" i="3" s="1"/>
  <c r="Z2769" i="3" s="1"/>
  <c r="U2787" i="3"/>
  <c r="Y2787" i="3" s="1"/>
  <c r="Z2787" i="3" s="1"/>
  <c r="U2791" i="3"/>
  <c r="Y2791" i="3" s="1"/>
  <c r="Z2791" i="3" s="1"/>
  <c r="U2808" i="3"/>
  <c r="Y2808" i="3" s="1"/>
  <c r="Z2808" i="3" s="1"/>
  <c r="U2818" i="3"/>
  <c r="Y2818" i="3" s="1"/>
  <c r="Z2818" i="3" s="1"/>
  <c r="U2828" i="3"/>
  <c r="Y2828" i="3" s="1"/>
  <c r="Z2828" i="3" s="1"/>
  <c r="U2849" i="3"/>
  <c r="Y2849" i="3" s="1"/>
  <c r="Z2849" i="3" s="1"/>
  <c r="U2890" i="3"/>
  <c r="Y2890" i="3" s="1"/>
  <c r="Z2890" i="3" s="1"/>
  <c r="U2961" i="3"/>
  <c r="Y2961" i="3" s="1"/>
  <c r="Z2961" i="3" s="1"/>
  <c r="U2972" i="3"/>
  <c r="Y2972" i="3" s="1"/>
  <c r="Z2972" i="3" s="1"/>
  <c r="U3015" i="3"/>
  <c r="Y3015" i="3" s="1"/>
  <c r="Z3015" i="3" s="1"/>
  <c r="U3031" i="3"/>
  <c r="Y3031" i="3" s="1"/>
  <c r="Z3031" i="3" s="1"/>
  <c r="U3051" i="3"/>
  <c r="Y3051" i="3" s="1"/>
  <c r="Z3051" i="3" s="1"/>
  <c r="U3080" i="3"/>
  <c r="Y3080" i="3" s="1"/>
  <c r="Z3080" i="3" s="1"/>
  <c r="U3181" i="3"/>
  <c r="Y3181" i="3" s="1"/>
  <c r="Z3181" i="3" s="1"/>
  <c r="U3272" i="3"/>
  <c r="Y3272" i="3" s="1"/>
  <c r="Z3272" i="3" s="1"/>
  <c r="U3283" i="3"/>
  <c r="Y3283" i="3" s="1"/>
  <c r="Z3283" i="3" s="1"/>
  <c r="U3297" i="3"/>
  <c r="Y3297" i="3" s="1"/>
  <c r="Z3297" i="3" s="1"/>
  <c r="U3305" i="3"/>
  <c r="Y3305" i="3" s="1"/>
  <c r="Z3305" i="3" s="1"/>
  <c r="U3309" i="3"/>
  <c r="Y3309" i="3" s="1"/>
  <c r="Z3309" i="3" s="1"/>
  <c r="U3453" i="3"/>
  <c r="Y3453" i="3" s="1"/>
  <c r="Z3453" i="3" s="1"/>
  <c r="U3493" i="3"/>
  <c r="Y3493" i="3" s="1"/>
  <c r="Z3493" i="3" s="1"/>
  <c r="U3497" i="3"/>
  <c r="Y3497" i="3" s="1"/>
  <c r="Z3497" i="3" s="1"/>
  <c r="U3531" i="3"/>
  <c r="Y3531" i="3" s="1"/>
  <c r="Z3531" i="3" s="1"/>
  <c r="U3550" i="3"/>
  <c r="Y3550" i="3" s="1"/>
  <c r="Z3550" i="3" s="1"/>
  <c r="U3557" i="3"/>
  <c r="Y3557" i="3" s="1"/>
  <c r="Z3557" i="3" s="1"/>
  <c r="U3577" i="3"/>
  <c r="Y3577" i="3" s="1"/>
  <c r="Z3577" i="3" s="1"/>
  <c r="U3588" i="3"/>
  <c r="Y3588" i="3" s="1"/>
  <c r="Z3588" i="3" s="1"/>
  <c r="U3598" i="3"/>
  <c r="Y3598" i="3" s="1"/>
  <c r="Z3598" i="3" s="1"/>
  <c r="U3718" i="3"/>
  <c r="Y3718" i="3" s="1"/>
  <c r="Z3718" i="3" s="1"/>
  <c r="U3729" i="3"/>
  <c r="Y3729" i="3" s="1"/>
  <c r="Z3729" i="3" s="1"/>
  <c r="U3812" i="3"/>
  <c r="Y3812" i="3" s="1"/>
  <c r="Z3812" i="3" s="1"/>
  <c r="U3903" i="3"/>
  <c r="Y3903" i="3" s="1"/>
  <c r="Z3903" i="3" s="1"/>
  <c r="U3979" i="3"/>
  <c r="Y3979" i="3" s="1"/>
  <c r="Z3979" i="3" s="1"/>
  <c r="U4146" i="3"/>
  <c r="Y4146" i="3" s="1"/>
  <c r="Z4146" i="3" s="1"/>
  <c r="U4183" i="3"/>
  <c r="Y4183" i="3" s="1"/>
  <c r="Z4183" i="3" s="1"/>
  <c r="U4196" i="3"/>
  <c r="Y4196" i="3" s="1"/>
  <c r="Z4196" i="3" s="1"/>
  <c r="U4206" i="3"/>
  <c r="Y4206" i="3" s="1"/>
  <c r="Z4206" i="3" s="1"/>
  <c r="U4247" i="3"/>
  <c r="Y4247" i="3" s="1"/>
  <c r="Z4247" i="3" s="1"/>
  <c r="U4277" i="3"/>
  <c r="Y4277" i="3" s="1"/>
  <c r="Z4277" i="3" s="1"/>
  <c r="U4284" i="3"/>
  <c r="Y4284" i="3" s="1"/>
  <c r="Z4284" i="3" s="1"/>
  <c r="U4295" i="3"/>
  <c r="Y4295" i="3" s="1"/>
  <c r="Z4295" i="3" s="1"/>
  <c r="U4361" i="3"/>
  <c r="Y4361" i="3" s="1"/>
  <c r="Z4361" i="3" s="1"/>
  <c r="U4419" i="3"/>
  <c r="Y4419" i="3" s="1"/>
  <c r="Z4419" i="3" s="1"/>
  <c r="U4476" i="3"/>
  <c r="Y4476" i="3" s="1"/>
  <c r="Z4476" i="3" s="1"/>
  <c r="U4482" i="3"/>
  <c r="Y4482" i="3" s="1"/>
  <c r="Z4482" i="3" s="1"/>
  <c r="U4490" i="3"/>
  <c r="Y4490" i="3" s="1"/>
  <c r="Z4490" i="3" s="1"/>
  <c r="U4526" i="3"/>
  <c r="Y4526" i="3" s="1"/>
  <c r="Z4526" i="3" s="1"/>
  <c r="U4612" i="3"/>
  <c r="Y4612" i="3" s="1"/>
  <c r="Z4612" i="3" s="1"/>
  <c r="U4621" i="3"/>
  <c r="Y4621" i="3" s="1"/>
  <c r="Z4621" i="3" s="1"/>
  <c r="U4630" i="3"/>
  <c r="Y4630" i="3" s="1"/>
  <c r="Z4630" i="3" s="1"/>
  <c r="U4666" i="3"/>
  <c r="Y4666" i="3" s="1"/>
  <c r="Z4666" i="3" s="1"/>
  <c r="U4683" i="3"/>
  <c r="Y4683" i="3" s="1"/>
  <c r="Z4683" i="3" s="1"/>
  <c r="U4741" i="3"/>
  <c r="Y4741" i="3" s="1"/>
  <c r="Z4741" i="3" s="1"/>
  <c r="U4775" i="3"/>
  <c r="Y4775" i="3" s="1"/>
  <c r="Z4775" i="3" s="1"/>
  <c r="U4813" i="3"/>
  <c r="Y4813" i="3" s="1"/>
  <c r="Z4813" i="3" s="1"/>
  <c r="U476" i="3"/>
  <c r="Y476" i="3" s="1"/>
  <c r="Z476" i="3" s="1"/>
  <c r="U487" i="3"/>
  <c r="Y487" i="3" s="1"/>
  <c r="Z487" i="3" s="1"/>
  <c r="U515" i="3"/>
  <c r="Y515" i="3" s="1"/>
  <c r="Z515" i="3" s="1"/>
  <c r="U584" i="3"/>
  <c r="Y584" i="3" s="1"/>
  <c r="Z584" i="3" s="1"/>
  <c r="U643" i="3"/>
  <c r="Y643" i="3" s="1"/>
  <c r="Z643" i="3" s="1"/>
  <c r="U708" i="3"/>
  <c r="Y708" i="3" s="1"/>
  <c r="Z708" i="3" s="1"/>
  <c r="U773" i="3"/>
  <c r="Y773" i="3" s="1"/>
  <c r="Z773" i="3" s="1"/>
  <c r="U849" i="3"/>
  <c r="Y849" i="3" s="1"/>
  <c r="Z849" i="3" s="1"/>
  <c r="U881" i="3"/>
  <c r="Y881" i="3" s="1"/>
  <c r="Z881" i="3" s="1"/>
  <c r="U889" i="3"/>
  <c r="Y889" i="3" s="1"/>
  <c r="Z889" i="3" s="1"/>
  <c r="U894" i="3"/>
  <c r="Y894" i="3" s="1"/>
  <c r="Z894" i="3" s="1"/>
  <c r="U895" i="3"/>
  <c r="Y895" i="3" s="1"/>
  <c r="Z895" i="3" s="1"/>
  <c r="U904" i="3"/>
  <c r="Y904" i="3" s="1"/>
  <c r="Z904" i="3" s="1"/>
  <c r="U957" i="3"/>
  <c r="Y957" i="3" s="1"/>
  <c r="Z957" i="3" s="1"/>
  <c r="U1012" i="3"/>
  <c r="Y1012" i="3" s="1"/>
  <c r="Z1012" i="3" s="1"/>
  <c r="U1071" i="3"/>
  <c r="Y1071" i="3" s="1"/>
  <c r="Z1071" i="3" s="1"/>
  <c r="U1099" i="3"/>
  <c r="Y1099" i="3" s="1"/>
  <c r="Z1099" i="3" s="1"/>
  <c r="U1110" i="3"/>
  <c r="Y1110" i="3" s="1"/>
  <c r="Z1110" i="3" s="1"/>
  <c r="U1153" i="3"/>
  <c r="Y1153" i="3" s="1"/>
  <c r="Z1153" i="3" s="1"/>
  <c r="U1168" i="3"/>
  <c r="Y1168" i="3" s="1"/>
  <c r="Z1168" i="3" s="1"/>
  <c r="U1169" i="3"/>
  <c r="Y1169" i="3" s="1"/>
  <c r="Z1169" i="3" s="1"/>
  <c r="U1189" i="3"/>
  <c r="Y1189" i="3" s="1"/>
  <c r="Z1189" i="3" s="1"/>
  <c r="U1200" i="3"/>
  <c r="Y1200" i="3" s="1"/>
  <c r="Z1200" i="3" s="1"/>
  <c r="U1205" i="3"/>
  <c r="Y1205" i="3" s="1"/>
  <c r="Z1205" i="3" s="1"/>
  <c r="U1218" i="3"/>
  <c r="Y1218" i="3" s="1"/>
  <c r="Z1218" i="3" s="1"/>
  <c r="U1221" i="3"/>
  <c r="Y1221" i="3" s="1"/>
  <c r="Z1221" i="3" s="1"/>
  <c r="U1223" i="3"/>
  <c r="Y1223" i="3" s="1"/>
  <c r="Z1223" i="3" s="1"/>
  <c r="U1246" i="3"/>
  <c r="Y1246" i="3" s="1"/>
  <c r="Z1246" i="3" s="1"/>
  <c r="U1255" i="3"/>
  <c r="Y1255" i="3" s="1"/>
  <c r="Z1255" i="3" s="1"/>
  <c r="U1381" i="3"/>
  <c r="Y1381" i="3" s="1"/>
  <c r="Z1381" i="3" s="1"/>
  <c r="U1391" i="3"/>
  <c r="Y1391" i="3" s="1"/>
  <c r="Z1391" i="3" s="1"/>
  <c r="U1442" i="3"/>
  <c r="Y1442" i="3" s="1"/>
  <c r="Z1442" i="3" s="1"/>
  <c r="U1475" i="3"/>
  <c r="Y1475" i="3" s="1"/>
  <c r="Z1475" i="3" s="1"/>
  <c r="U1501" i="3"/>
  <c r="Y1501" i="3" s="1"/>
  <c r="Z1501" i="3" s="1"/>
  <c r="U1519" i="3"/>
  <c r="Y1519" i="3" s="1"/>
  <c r="Z1519" i="3" s="1"/>
  <c r="U1529" i="3"/>
  <c r="Y1529" i="3" s="1"/>
  <c r="Z1529" i="3" s="1"/>
  <c r="U1534" i="3"/>
  <c r="Y1534" i="3" s="1"/>
  <c r="Z1534" i="3" s="1"/>
  <c r="U1542" i="3"/>
  <c r="Y1542" i="3" s="1"/>
  <c r="Z1542" i="3" s="1"/>
  <c r="U1552" i="3"/>
  <c r="Y1552" i="3" s="1"/>
  <c r="Z1552" i="3" s="1"/>
  <c r="U1640" i="3"/>
  <c r="Y1640" i="3" s="1"/>
  <c r="Z1640" i="3" s="1"/>
  <c r="U1658" i="3"/>
  <c r="Y1658" i="3" s="1"/>
  <c r="Z1658" i="3" s="1"/>
  <c r="U1766" i="3"/>
  <c r="Y1766" i="3" s="1"/>
  <c r="Z1766" i="3" s="1"/>
  <c r="U1783" i="3"/>
  <c r="Y1783" i="3" s="1"/>
  <c r="Z1783" i="3" s="1"/>
  <c r="U1801" i="3"/>
  <c r="Y1801" i="3" s="1"/>
  <c r="Z1801" i="3" s="1"/>
  <c r="U1830" i="3"/>
  <c r="Y1830" i="3" s="1"/>
  <c r="Z1830" i="3" s="1"/>
  <c r="U1833" i="3"/>
  <c r="Y1833" i="3" s="1"/>
  <c r="Z1833" i="3" s="1"/>
  <c r="U1902" i="3"/>
  <c r="Y1902" i="3" s="1"/>
  <c r="Z1902" i="3" s="1"/>
  <c r="U1904" i="3"/>
  <c r="Y1904" i="3" s="1"/>
  <c r="Z1904" i="3" s="1"/>
  <c r="U1921" i="3"/>
  <c r="Y1921" i="3" s="1"/>
  <c r="Z1921" i="3" s="1"/>
  <c r="U2026" i="3"/>
  <c r="Y2026" i="3" s="1"/>
  <c r="Z2026" i="3" s="1"/>
  <c r="U2141" i="3"/>
  <c r="Y2141" i="3" s="1"/>
  <c r="Z2141" i="3" s="1"/>
  <c r="U2152" i="3"/>
  <c r="Y2152" i="3" s="1"/>
  <c r="Z2152" i="3" s="1"/>
  <c r="U2173" i="3"/>
  <c r="Y2173" i="3" s="1"/>
  <c r="Z2173" i="3" s="1"/>
  <c r="U2180" i="3"/>
  <c r="Y2180" i="3" s="1"/>
  <c r="Z2180" i="3" s="1"/>
  <c r="U2198" i="3"/>
  <c r="Y2198" i="3" s="1"/>
  <c r="Z2198" i="3" s="1"/>
  <c r="U2249" i="3"/>
  <c r="Y2249" i="3" s="1"/>
  <c r="Z2249" i="3" s="1"/>
  <c r="U2256" i="3"/>
  <c r="Y2256" i="3" s="1"/>
  <c r="Z2256" i="3" s="1"/>
  <c r="U2259" i="3"/>
  <c r="Y2259" i="3" s="1"/>
  <c r="Z2259" i="3" s="1"/>
  <c r="U2267" i="3"/>
  <c r="Y2267" i="3" s="1"/>
  <c r="Z2267" i="3" s="1"/>
  <c r="U2299" i="3"/>
  <c r="Y2299" i="3" s="1"/>
  <c r="Z2299" i="3" s="1"/>
  <c r="U2325" i="3"/>
  <c r="Y2325" i="3" s="1"/>
  <c r="Z2325" i="3" s="1"/>
  <c r="U2347" i="3"/>
  <c r="Y2347" i="3" s="1"/>
  <c r="Z2347" i="3" s="1"/>
  <c r="U2357" i="3"/>
  <c r="Y2357" i="3" s="1"/>
  <c r="Z2357" i="3" s="1"/>
  <c r="U2368" i="3"/>
  <c r="Y2368" i="3" s="1"/>
  <c r="Z2368" i="3" s="1"/>
  <c r="U2460" i="3"/>
  <c r="Y2460" i="3" s="1"/>
  <c r="Z2460" i="3" s="1"/>
  <c r="U2465" i="3"/>
  <c r="Y2465" i="3" s="1"/>
  <c r="Z2465" i="3" s="1"/>
  <c r="U2476" i="3"/>
  <c r="Y2476" i="3" s="1"/>
  <c r="Z2476" i="3" s="1"/>
  <c r="U2485" i="3"/>
  <c r="Y2485" i="3" s="1"/>
  <c r="Z2485" i="3" s="1"/>
  <c r="U2522" i="3"/>
  <c r="Y2522" i="3" s="1"/>
  <c r="Z2522" i="3" s="1"/>
  <c r="U2553" i="3"/>
  <c r="Y2553" i="3" s="1"/>
  <c r="Z2553" i="3" s="1"/>
  <c r="U2560" i="3"/>
  <c r="Y2560" i="3" s="1"/>
  <c r="Z2560" i="3" s="1"/>
  <c r="U2562" i="3"/>
  <c r="Y2562" i="3" s="1"/>
  <c r="Z2562" i="3" s="1"/>
  <c r="U2563" i="3"/>
  <c r="Y2563" i="3" s="1"/>
  <c r="Z2563" i="3" s="1"/>
  <c r="U2587" i="3"/>
  <c r="Y2587" i="3" s="1"/>
  <c r="Z2587" i="3" s="1"/>
  <c r="U2633" i="3"/>
  <c r="Y2633" i="3" s="1"/>
  <c r="Z2633" i="3" s="1"/>
  <c r="U2686" i="3"/>
  <c r="Y2686" i="3" s="1"/>
  <c r="Z2686" i="3" s="1"/>
  <c r="U2725" i="3"/>
  <c r="Y2725" i="3" s="1"/>
  <c r="Z2725" i="3" s="1"/>
  <c r="U2750" i="3"/>
  <c r="Y2750" i="3" s="1"/>
  <c r="Z2750" i="3" s="1"/>
  <c r="U2776" i="3"/>
  <c r="Y2776" i="3" s="1"/>
  <c r="Z2776" i="3" s="1"/>
  <c r="U2815" i="3"/>
  <c r="Y2815" i="3" s="1"/>
  <c r="Z2815" i="3" s="1"/>
  <c r="U2905" i="3"/>
  <c r="Y2905" i="3" s="1"/>
  <c r="Z2905" i="3" s="1"/>
  <c r="U2909" i="3"/>
  <c r="Y2909" i="3" s="1"/>
  <c r="Z2909" i="3" s="1"/>
  <c r="U2983" i="3"/>
  <c r="Y2983" i="3" s="1"/>
  <c r="Z2983" i="3" s="1"/>
  <c r="U2987" i="3"/>
  <c r="Y2987" i="3" s="1"/>
  <c r="Z2987" i="3" s="1"/>
  <c r="U2990" i="3"/>
  <c r="Y2990" i="3" s="1"/>
  <c r="Z2990" i="3" s="1"/>
  <c r="U3048" i="3"/>
  <c r="Y3048" i="3" s="1"/>
  <c r="Z3048" i="3" s="1"/>
  <c r="U3071" i="3"/>
  <c r="Y3071" i="3" s="1"/>
  <c r="Z3071" i="3" s="1"/>
  <c r="U3158" i="3"/>
  <c r="Y3158" i="3" s="1"/>
  <c r="Z3158" i="3" s="1"/>
  <c r="U3182" i="3"/>
  <c r="Y3182" i="3" s="1"/>
  <c r="Z3182" i="3" s="1"/>
  <c r="U3238" i="3"/>
  <c r="Y3238" i="3" s="1"/>
  <c r="Z3238" i="3" s="1"/>
  <c r="U3261" i="3"/>
  <c r="Y3261" i="3" s="1"/>
  <c r="Z3261" i="3" s="1"/>
  <c r="U3275" i="3"/>
  <c r="Y3275" i="3" s="1"/>
  <c r="Z3275" i="3" s="1"/>
  <c r="U3317" i="3"/>
  <c r="Y3317" i="3" s="1"/>
  <c r="Z3317" i="3" s="1"/>
  <c r="U3329" i="3"/>
  <c r="Y3329" i="3" s="1"/>
  <c r="Z3329" i="3" s="1"/>
  <c r="U3331" i="3"/>
  <c r="Y3331" i="3" s="1"/>
  <c r="Z3331" i="3" s="1"/>
  <c r="U3336" i="3"/>
  <c r="Y3336" i="3" s="1"/>
  <c r="Z3336" i="3" s="1"/>
  <c r="U3389" i="3"/>
  <c r="Y3389" i="3" s="1"/>
  <c r="Z3389" i="3" s="1"/>
  <c r="U3413" i="3"/>
  <c r="Y3413" i="3" s="1"/>
  <c r="Z3413" i="3" s="1"/>
  <c r="U3489" i="3"/>
  <c r="Y3489" i="3" s="1"/>
  <c r="Z3489" i="3" s="1"/>
  <c r="U3523" i="3"/>
  <c r="Y3523" i="3" s="1"/>
  <c r="Z3523" i="3" s="1"/>
  <c r="U3560" i="3"/>
  <c r="Y3560" i="3" s="1"/>
  <c r="Z3560" i="3" s="1"/>
  <c r="U3603" i="3"/>
  <c r="Y3603" i="3" s="1"/>
  <c r="Z3603" i="3" s="1"/>
  <c r="U3615" i="3"/>
  <c r="Y3615" i="3" s="1"/>
  <c r="Z3615" i="3" s="1"/>
  <c r="U3618" i="3"/>
  <c r="Y3618" i="3" s="1"/>
  <c r="Z3618" i="3" s="1"/>
  <c r="U3713" i="3"/>
  <c r="Y3713" i="3" s="1"/>
  <c r="Z3713" i="3" s="1"/>
  <c r="U3760" i="3"/>
  <c r="Y3760" i="3" s="1"/>
  <c r="Z3760" i="3" s="1"/>
  <c r="U3803" i="3"/>
  <c r="Y3803" i="3" s="1"/>
  <c r="Z3803" i="3" s="1"/>
  <c r="U3817" i="3"/>
  <c r="Y3817" i="3" s="1"/>
  <c r="Z3817" i="3" s="1"/>
  <c r="U3887" i="3"/>
  <c r="Y3887" i="3" s="1"/>
  <c r="Z3887" i="3" s="1"/>
  <c r="U3944" i="3"/>
  <c r="Y3944" i="3" s="1"/>
  <c r="Z3944" i="3" s="1"/>
  <c r="U3958" i="3"/>
  <c r="Y3958" i="3" s="1"/>
  <c r="Z3958" i="3" s="1"/>
  <c r="U3978" i="3"/>
  <c r="Y3978" i="3" s="1"/>
  <c r="Z3978" i="3" s="1"/>
  <c r="U3997" i="3"/>
  <c r="Y3997" i="3" s="1"/>
  <c r="Z3997" i="3" s="1"/>
  <c r="U4038" i="3"/>
  <c r="Y4038" i="3" s="1"/>
  <c r="Z4038" i="3" s="1"/>
  <c r="U4056" i="3"/>
  <c r="Y4056" i="3" s="1"/>
  <c r="Z4056" i="3" s="1"/>
  <c r="U4137" i="3"/>
  <c r="Y4137" i="3" s="1"/>
  <c r="Z4137" i="3" s="1"/>
  <c r="U4148" i="3"/>
  <c r="Y4148" i="3" s="1"/>
  <c r="Z4148" i="3" s="1"/>
  <c r="U4204" i="3"/>
  <c r="Y4204" i="3" s="1"/>
  <c r="Z4204" i="3" s="1"/>
  <c r="U4259" i="3"/>
  <c r="Y4259" i="3" s="1"/>
  <c r="Z4259" i="3" s="1"/>
  <c r="U4260" i="3"/>
  <c r="Y4260" i="3" s="1"/>
  <c r="Z4260" i="3" s="1"/>
  <c r="U4351" i="3"/>
  <c r="Y4351" i="3" s="1"/>
  <c r="Z4351" i="3" s="1"/>
  <c r="U4383" i="3"/>
  <c r="Y4383" i="3" s="1"/>
  <c r="Z4383" i="3" s="1"/>
  <c r="U4391" i="3"/>
  <c r="Y4391" i="3" s="1"/>
  <c r="Z4391" i="3" s="1"/>
  <c r="U4417" i="3"/>
  <c r="Y4417" i="3" s="1"/>
  <c r="Z4417" i="3" s="1"/>
  <c r="U4428" i="3"/>
  <c r="Y4428" i="3" s="1"/>
  <c r="Z4428" i="3" s="1"/>
  <c r="U4431" i="3"/>
  <c r="Y4431" i="3" s="1"/>
  <c r="Z4431" i="3" s="1"/>
  <c r="U4454" i="3"/>
  <c r="Y4454" i="3" s="1"/>
  <c r="Z4454" i="3" s="1"/>
  <c r="U4468" i="3"/>
  <c r="Y4468" i="3" s="1"/>
  <c r="Z4468" i="3" s="1"/>
  <c r="U4471" i="3"/>
  <c r="Y4471" i="3" s="1"/>
  <c r="Z4471" i="3" s="1"/>
  <c r="U4528" i="3"/>
  <c r="Y4528" i="3" s="1"/>
  <c r="Z4528" i="3" s="1"/>
  <c r="U4540" i="3"/>
  <c r="Y4540" i="3" s="1"/>
  <c r="Z4540" i="3" s="1"/>
  <c r="U4545" i="3"/>
  <c r="Y4545" i="3" s="1"/>
  <c r="Z4545" i="3" s="1"/>
  <c r="U4624" i="3"/>
  <c r="Y4624" i="3" s="1"/>
  <c r="Z4624" i="3" s="1"/>
  <c r="U4648" i="3"/>
  <c r="Y4648" i="3" s="1"/>
  <c r="Z4648" i="3" s="1"/>
  <c r="U4685" i="3"/>
  <c r="Y4685" i="3" s="1"/>
  <c r="Z4685" i="3" s="1"/>
  <c r="U4698" i="3"/>
  <c r="Y4698" i="3" s="1"/>
  <c r="Z4698" i="3" s="1"/>
  <c r="U4714" i="3"/>
  <c r="Y4714" i="3" s="1"/>
  <c r="Z4714" i="3" s="1"/>
  <c r="U4725" i="3"/>
  <c r="Y4725" i="3" s="1"/>
  <c r="Z4725" i="3" s="1"/>
  <c r="U630" i="3"/>
  <c r="Y630" i="3" s="1"/>
  <c r="Z630" i="3" s="1"/>
  <c r="U637" i="3"/>
  <c r="Y637" i="3" s="1"/>
  <c r="Z637" i="3" s="1"/>
  <c r="U638" i="3"/>
  <c r="Y638" i="3" s="1"/>
  <c r="Z638" i="3" s="1"/>
  <c r="U645" i="3"/>
  <c r="Y645" i="3" s="1"/>
  <c r="Z645" i="3" s="1"/>
  <c r="U678" i="3"/>
  <c r="Y678" i="3" s="1"/>
  <c r="Z678" i="3" s="1"/>
  <c r="U736" i="3"/>
  <c r="Y736" i="3" s="1"/>
  <c r="Z736" i="3" s="1"/>
  <c r="U749" i="3"/>
  <c r="Y749" i="3" s="1"/>
  <c r="Z749" i="3" s="1"/>
  <c r="U886" i="3"/>
  <c r="Y886" i="3" s="1"/>
  <c r="Z886" i="3" s="1"/>
  <c r="U976" i="3"/>
  <c r="Y976" i="3" s="1"/>
  <c r="Z976" i="3" s="1"/>
  <c r="U1058" i="3"/>
  <c r="Y1058" i="3" s="1"/>
  <c r="Z1058" i="3" s="1"/>
  <c r="U1120" i="3"/>
  <c r="Y1120" i="3" s="1"/>
  <c r="Z1120" i="3" s="1"/>
  <c r="U1130" i="3"/>
  <c r="Y1130" i="3" s="1"/>
  <c r="Z1130" i="3" s="1"/>
  <c r="U1186" i="3"/>
  <c r="Y1186" i="3" s="1"/>
  <c r="Z1186" i="3" s="1"/>
  <c r="U1212" i="3"/>
  <c r="Y1212" i="3" s="1"/>
  <c r="Z1212" i="3" s="1"/>
  <c r="U1261" i="3"/>
  <c r="Y1261" i="3" s="1"/>
  <c r="Z1261" i="3" s="1"/>
  <c r="U1403" i="3"/>
  <c r="Y1403" i="3" s="1"/>
  <c r="Z1403" i="3" s="1"/>
  <c r="U1460" i="3"/>
  <c r="Y1460" i="3" s="1"/>
  <c r="Z1460" i="3" s="1"/>
  <c r="U1471" i="3"/>
  <c r="Y1471" i="3" s="1"/>
  <c r="Z1471" i="3" s="1"/>
  <c r="U1545" i="3"/>
  <c r="Y1545" i="3" s="1"/>
  <c r="Z1545" i="3" s="1"/>
  <c r="U1548" i="3"/>
  <c r="Y1548" i="3" s="1"/>
  <c r="Z1548" i="3" s="1"/>
  <c r="U1572" i="3"/>
  <c r="Y1572" i="3" s="1"/>
  <c r="Z1572" i="3" s="1"/>
  <c r="U1591" i="3"/>
  <c r="Y1591" i="3" s="1"/>
  <c r="Z1591" i="3" s="1"/>
  <c r="U1600" i="3"/>
  <c r="Y1600" i="3" s="1"/>
  <c r="Z1600" i="3" s="1"/>
  <c r="U1611" i="3"/>
  <c r="Y1611" i="3" s="1"/>
  <c r="Z1611" i="3" s="1"/>
  <c r="U1671" i="3"/>
  <c r="Y1671" i="3" s="1"/>
  <c r="Z1671" i="3" s="1"/>
  <c r="U1742" i="3"/>
  <c r="Y1742" i="3" s="1"/>
  <c r="Z1742" i="3" s="1"/>
  <c r="U1769" i="3"/>
  <c r="Y1769" i="3" s="1"/>
  <c r="Z1769" i="3" s="1"/>
  <c r="U1839" i="3"/>
  <c r="Y1839" i="3" s="1"/>
  <c r="Z1839" i="3" s="1"/>
  <c r="U1877" i="3"/>
  <c r="U1912" i="3"/>
  <c r="Y1912" i="3" s="1"/>
  <c r="Z1912" i="3" s="1"/>
  <c r="U1980" i="3"/>
  <c r="U1986" i="3"/>
  <c r="Y1986" i="3" s="1"/>
  <c r="Z1986" i="3" s="1"/>
  <c r="U1988" i="3"/>
  <c r="Y1988" i="3" s="1"/>
  <c r="Z1988" i="3" s="1"/>
  <c r="U2099" i="3"/>
  <c r="Y2099" i="3" s="1"/>
  <c r="Z2099" i="3" s="1"/>
  <c r="U2129" i="3"/>
  <c r="U2150" i="3"/>
  <c r="U2177" i="3"/>
  <c r="Y2177" i="3" s="1"/>
  <c r="Z2177" i="3" s="1"/>
  <c r="U2350" i="3"/>
  <c r="U2480" i="3"/>
  <c r="Y2480" i="3" s="1"/>
  <c r="Z2480" i="3" s="1"/>
  <c r="U2551" i="3"/>
  <c r="Y2551" i="3" s="1"/>
  <c r="Z2551" i="3" s="1"/>
  <c r="U2612" i="3"/>
  <c r="Y2612" i="3" s="1"/>
  <c r="Z2612" i="3" s="1"/>
  <c r="U2718" i="3"/>
  <c r="U2810" i="3"/>
  <c r="Y2810" i="3" s="1"/>
  <c r="Z2810" i="3" s="1"/>
  <c r="U2947" i="3"/>
  <c r="Y2947" i="3" s="1"/>
  <c r="Z2947" i="3" s="1"/>
  <c r="U2980" i="3"/>
  <c r="Y2980" i="3" s="1"/>
  <c r="Z2980" i="3" s="1"/>
  <c r="U2984" i="3"/>
  <c r="Y2984" i="3" s="1"/>
  <c r="Z2984" i="3" s="1"/>
  <c r="U2986" i="3"/>
  <c r="Y2986" i="3" s="1"/>
  <c r="Z2986" i="3" s="1"/>
  <c r="U2989" i="3"/>
  <c r="Y2989" i="3" s="1"/>
  <c r="Z2989" i="3" s="1"/>
  <c r="U3163" i="3"/>
  <c r="Y3163" i="3" s="1"/>
  <c r="Z3163" i="3" s="1"/>
  <c r="U3170" i="3"/>
  <c r="Y3170" i="3" s="1"/>
  <c r="Z3170" i="3" s="1"/>
  <c r="U3201" i="3"/>
  <c r="U3303" i="3"/>
  <c r="U3306" i="3"/>
  <c r="Y3306" i="3" s="1"/>
  <c r="Z3306" i="3" s="1"/>
  <c r="U3433" i="3"/>
  <c r="Y3433" i="3" s="1"/>
  <c r="Z3433" i="3" s="1"/>
  <c r="U3473" i="3"/>
  <c r="Y3473" i="3" s="1"/>
  <c r="Z3473" i="3" s="1"/>
  <c r="U3491" i="3"/>
  <c r="Y3491" i="3" s="1"/>
  <c r="Z3491" i="3" s="1"/>
  <c r="U3529" i="3"/>
  <c r="U3543" i="3"/>
  <c r="Y3543" i="3" s="1"/>
  <c r="Z3543" i="3" s="1"/>
  <c r="U3650" i="3"/>
  <c r="Y3650" i="3" s="1"/>
  <c r="Z3650" i="3" s="1"/>
  <c r="U3679" i="3"/>
  <c r="Y3679" i="3" s="1"/>
  <c r="Z3679" i="3" s="1"/>
  <c r="U3750" i="3"/>
  <c r="Y3750" i="3" s="1"/>
  <c r="Z3750" i="3" s="1"/>
  <c r="U3808" i="3"/>
  <c r="Y3808" i="3" s="1"/>
  <c r="Z3808" i="3" s="1"/>
  <c r="U3834" i="3"/>
  <c r="Y3834" i="3" s="1"/>
  <c r="Z3834" i="3" s="1"/>
  <c r="U3915" i="3"/>
  <c r="U4205" i="3"/>
  <c r="Y4205" i="3" s="1"/>
  <c r="Z4205" i="3" s="1"/>
  <c r="U4231" i="3"/>
  <c r="U4380" i="3"/>
  <c r="Y4380" i="3" s="1"/>
  <c r="Z4380" i="3" s="1"/>
  <c r="U4406" i="3"/>
  <c r="Y4406" i="3" s="1"/>
  <c r="Z4406" i="3" s="1"/>
  <c r="U4466" i="3"/>
  <c r="U4693" i="3"/>
  <c r="U4705" i="3"/>
  <c r="U4748" i="3"/>
  <c r="Y4748" i="3" s="1"/>
  <c r="Z4748" i="3" s="1"/>
  <c r="U4804" i="3"/>
  <c r="Y4804" i="3" s="1"/>
  <c r="Z4804" i="3" s="1"/>
  <c r="U676" i="3"/>
  <c r="Y676" i="3" s="1"/>
  <c r="Z676" i="3" s="1"/>
  <c r="U719" i="3"/>
  <c r="Y719" i="3" s="1"/>
  <c r="Z719" i="3" s="1"/>
  <c r="U742" i="3"/>
  <c r="U744" i="3"/>
  <c r="Y744" i="3" s="1"/>
  <c r="Z744" i="3" s="1"/>
  <c r="U751" i="3"/>
  <c r="Y751" i="3" s="1"/>
  <c r="Z751" i="3" s="1"/>
  <c r="U754" i="3"/>
  <c r="U756" i="3"/>
  <c r="Y756" i="3" s="1"/>
  <c r="Z756" i="3" s="1"/>
  <c r="U786" i="3"/>
  <c r="Y786" i="3" s="1"/>
  <c r="Z786" i="3" s="1"/>
  <c r="U789" i="3"/>
  <c r="Y789" i="3" s="1"/>
  <c r="Z789" i="3" s="1"/>
  <c r="U810" i="3"/>
  <c r="U813" i="3"/>
  <c r="Y813" i="3" s="1"/>
  <c r="Z813" i="3" s="1"/>
  <c r="U814" i="3"/>
  <c r="Y814" i="3" s="1"/>
  <c r="Z814" i="3" s="1"/>
  <c r="U842" i="3"/>
  <c r="Y842" i="3" s="1"/>
  <c r="Z842" i="3" s="1"/>
  <c r="U872" i="3"/>
  <c r="Y872" i="3" s="1"/>
  <c r="Z872" i="3" s="1"/>
  <c r="U887" i="3"/>
  <c r="U924" i="3"/>
  <c r="Y924" i="3" s="1"/>
  <c r="Z924" i="3" s="1"/>
  <c r="U925" i="3"/>
  <c r="Y925" i="3" s="1"/>
  <c r="Z925" i="3" s="1"/>
  <c r="U934" i="3"/>
  <c r="Y934" i="3" s="1"/>
  <c r="Z934" i="3" s="1"/>
  <c r="U981" i="3"/>
  <c r="Y981" i="3" s="1"/>
  <c r="Z981" i="3" s="1"/>
  <c r="U1018" i="3"/>
  <c r="Y1018" i="3" s="1"/>
  <c r="Z1018" i="3" s="1"/>
  <c r="U1059" i="3"/>
  <c r="Y1059" i="3" s="1"/>
  <c r="Z1059" i="3" s="1"/>
  <c r="U1075" i="3"/>
  <c r="U1082" i="3"/>
  <c r="Y1082" i="3" s="1"/>
  <c r="Z1082" i="3" s="1"/>
  <c r="U1085" i="3"/>
  <c r="Y1085" i="3" s="1"/>
  <c r="Z1085" i="3" s="1"/>
  <c r="U1087" i="3"/>
  <c r="Y1087" i="3" s="1"/>
  <c r="Z1087" i="3" s="1"/>
  <c r="U1091" i="3"/>
  <c r="Y1091" i="3" s="1"/>
  <c r="Z1091" i="3" s="1"/>
  <c r="U1104" i="3"/>
  <c r="Y1104" i="3" s="1"/>
  <c r="Z1104" i="3" s="1"/>
  <c r="U1109" i="3"/>
  <c r="Y1109" i="3" s="1"/>
  <c r="Z1109" i="3" s="1"/>
  <c r="U1151" i="3"/>
  <c r="Y1151" i="3" s="1"/>
  <c r="Z1151" i="3" s="1"/>
  <c r="U1174" i="3"/>
  <c r="Y1174" i="3" s="1"/>
  <c r="Z1174" i="3" s="1"/>
  <c r="U1195" i="3"/>
  <c r="Y1195" i="3" s="1"/>
  <c r="Z1195" i="3" s="1"/>
  <c r="U1225" i="3"/>
  <c r="Y1225" i="3" s="1"/>
  <c r="Z1225" i="3" s="1"/>
  <c r="U1268" i="3"/>
  <c r="U1331" i="3"/>
  <c r="Y1331" i="3" s="1"/>
  <c r="Z1331" i="3" s="1"/>
  <c r="U1334" i="3"/>
  <c r="Y1334" i="3" s="1"/>
  <c r="Z1334" i="3" s="1"/>
  <c r="U1373" i="3"/>
  <c r="Y1373" i="3" s="1"/>
  <c r="Z1373" i="3" s="1"/>
  <c r="U1406" i="3"/>
  <c r="U1407" i="3"/>
  <c r="Y1407" i="3" s="1"/>
  <c r="Z1407" i="3" s="1"/>
  <c r="U1446" i="3"/>
  <c r="U1463" i="3"/>
  <c r="U1509" i="3"/>
  <c r="Y1509" i="3" s="1"/>
  <c r="Z1509" i="3" s="1"/>
  <c r="U1579" i="3"/>
  <c r="Y1579" i="3" s="1"/>
  <c r="Z1579" i="3" s="1"/>
  <c r="U1616" i="3"/>
  <c r="Y1616" i="3" s="1"/>
  <c r="Z1616" i="3" s="1"/>
  <c r="U1636" i="3"/>
  <c r="Y1636" i="3" s="1"/>
  <c r="Z1636" i="3" s="1"/>
  <c r="U1666" i="3"/>
  <c r="Y1666" i="3" s="1"/>
  <c r="Z1666" i="3" s="1"/>
  <c r="U1675" i="3"/>
  <c r="Y1675" i="3" s="1"/>
  <c r="Z1675" i="3" s="1"/>
  <c r="U1692" i="3"/>
  <c r="Y1692" i="3" s="1"/>
  <c r="Z1692" i="3" s="1"/>
  <c r="U1731" i="3"/>
  <c r="Y1731" i="3" s="1"/>
  <c r="Z1731" i="3" s="1"/>
  <c r="U1749" i="3"/>
  <c r="Y1749" i="3" s="1"/>
  <c r="Z1749" i="3" s="1"/>
  <c r="U1814" i="3"/>
  <c r="Y1814" i="3" s="1"/>
  <c r="Z1814" i="3" s="1"/>
  <c r="U1829" i="3"/>
  <c r="Y1829" i="3" s="1"/>
  <c r="Z1829" i="3" s="1"/>
  <c r="U1992" i="3"/>
  <c r="Y1992" i="3" s="1"/>
  <c r="Z1992" i="3" s="1"/>
  <c r="U2016" i="3"/>
  <c r="Y2016" i="3" s="1"/>
  <c r="Z2016" i="3" s="1"/>
  <c r="U2046" i="3"/>
  <c r="U2050" i="3"/>
  <c r="Y2050" i="3" s="1"/>
  <c r="Z2050" i="3" s="1"/>
  <c r="U2116" i="3"/>
  <c r="Y2116" i="3" s="1"/>
  <c r="Z2116" i="3" s="1"/>
  <c r="U2121" i="3"/>
  <c r="Y2121" i="3" s="1"/>
  <c r="Z2121" i="3" s="1"/>
  <c r="U2162" i="3"/>
  <c r="Y2162" i="3" s="1"/>
  <c r="Z2162" i="3" s="1"/>
  <c r="U2191" i="3"/>
  <c r="Y2191" i="3" s="1"/>
  <c r="Z2191" i="3" s="1"/>
  <c r="U2212" i="3"/>
  <c r="Y2212" i="3" s="1"/>
  <c r="Z2212" i="3" s="1"/>
  <c r="U2220" i="3"/>
  <c r="U2300" i="3"/>
  <c r="Y2300" i="3" s="1"/>
  <c r="Z2300" i="3" s="1"/>
  <c r="U2369" i="3"/>
  <c r="Y2369" i="3" s="1"/>
  <c r="Z2369" i="3" s="1"/>
  <c r="U2377" i="3"/>
  <c r="U2406" i="3"/>
  <c r="Y2406" i="3" s="1"/>
  <c r="Z2406" i="3" s="1"/>
  <c r="U2438" i="3"/>
  <c r="Y2438" i="3" s="1"/>
  <c r="Z2438" i="3" s="1"/>
  <c r="U2441" i="3"/>
  <c r="Y2441" i="3" s="1"/>
  <c r="Z2441" i="3" s="1"/>
  <c r="U2477" i="3"/>
  <c r="Y2477" i="3" s="1"/>
  <c r="Z2477" i="3" s="1"/>
  <c r="U2554" i="3"/>
  <c r="Y2554" i="3" s="1"/>
  <c r="Z2554" i="3" s="1"/>
  <c r="U2558" i="3"/>
  <c r="Y2558" i="3" s="1"/>
  <c r="Z2558" i="3" s="1"/>
  <c r="U2577" i="3"/>
  <c r="Y2577" i="3" s="1"/>
  <c r="Z2577" i="3" s="1"/>
  <c r="U2622" i="3"/>
  <c r="Y2622" i="3" s="1"/>
  <c r="Z2622" i="3" s="1"/>
  <c r="U2661" i="3"/>
  <c r="Y2661" i="3" s="1"/>
  <c r="Z2661" i="3" s="1"/>
  <c r="U2673" i="3"/>
  <c r="U2683" i="3"/>
  <c r="Y2683" i="3" s="1"/>
  <c r="Z2683" i="3" s="1"/>
  <c r="U2704" i="3"/>
  <c r="Y2704" i="3" s="1"/>
  <c r="Z2704" i="3" s="1"/>
  <c r="U2747" i="3"/>
  <c r="Y2747" i="3" s="1"/>
  <c r="Z2747" i="3" s="1"/>
  <c r="U2794" i="3"/>
  <c r="Y2794" i="3" s="1"/>
  <c r="Z2794" i="3" s="1"/>
  <c r="U2821" i="3"/>
  <c r="Y2821" i="3" s="1"/>
  <c r="Z2821" i="3" s="1"/>
  <c r="U2841" i="3"/>
  <c r="Y2841" i="3" s="1"/>
  <c r="Z2841" i="3" s="1"/>
  <c r="U2877" i="3"/>
  <c r="Y2877" i="3" s="1"/>
  <c r="Z2877" i="3" s="1"/>
  <c r="U2879" i="3"/>
  <c r="Y2879" i="3" s="1"/>
  <c r="Z2879" i="3" s="1"/>
  <c r="U2888" i="3"/>
  <c r="U2889" i="3"/>
  <c r="U2891" i="3"/>
  <c r="Y2891" i="3" s="1"/>
  <c r="Z2891" i="3" s="1"/>
  <c r="U2912" i="3"/>
  <c r="Y2912" i="3" s="1"/>
  <c r="Z2912" i="3" s="1"/>
  <c r="U2933" i="3"/>
  <c r="U2937" i="3"/>
  <c r="Y2937" i="3" s="1"/>
  <c r="Z2937" i="3" s="1"/>
  <c r="U2952" i="3"/>
  <c r="Y2952" i="3" s="1"/>
  <c r="Z2952" i="3" s="1"/>
  <c r="U2996" i="3"/>
  <c r="U3003" i="3"/>
  <c r="Y3003" i="3" s="1"/>
  <c r="Z3003" i="3" s="1"/>
  <c r="U3016" i="3"/>
  <c r="Y3016" i="3" s="1"/>
  <c r="Z3016" i="3" s="1"/>
  <c r="U3017" i="3"/>
  <c r="Y3017" i="3" s="1"/>
  <c r="Z3017" i="3" s="1"/>
  <c r="U3040" i="3"/>
  <c r="Y3040" i="3" s="1"/>
  <c r="Z3040" i="3" s="1"/>
  <c r="U3043" i="3"/>
  <c r="Y3043" i="3" s="1"/>
  <c r="Z3043" i="3" s="1"/>
  <c r="U3059" i="3"/>
  <c r="Y3059" i="3" s="1"/>
  <c r="Z3059" i="3" s="1"/>
  <c r="U3099" i="3"/>
  <c r="U3142" i="3"/>
  <c r="Y3142" i="3" s="1"/>
  <c r="Z3142" i="3" s="1"/>
  <c r="U3233" i="3"/>
  <c r="Y3233" i="3" s="1"/>
  <c r="Z3233" i="3" s="1"/>
  <c r="U3235" i="3"/>
  <c r="Y3235" i="3" s="1"/>
  <c r="Z3235" i="3" s="1"/>
  <c r="U3237" i="3"/>
  <c r="Y3237" i="3" s="1"/>
  <c r="Z3237" i="3" s="1"/>
  <c r="U3240" i="3"/>
  <c r="U3271" i="3"/>
  <c r="Y3271" i="3" s="1"/>
  <c r="Z3271" i="3" s="1"/>
  <c r="U3337" i="3"/>
  <c r="Y3337" i="3" s="1"/>
  <c r="Z3337" i="3" s="1"/>
  <c r="U3340" i="3"/>
  <c r="Y3340" i="3" s="1"/>
  <c r="Z3340" i="3" s="1"/>
  <c r="U3385" i="3"/>
  <c r="U3441" i="3"/>
  <c r="Y3441" i="3" s="1"/>
  <c r="Z3441" i="3" s="1"/>
  <c r="U3459" i="3"/>
  <c r="Y3459" i="3" s="1"/>
  <c r="Z3459" i="3" s="1"/>
  <c r="U3461" i="3"/>
  <c r="U3485" i="3"/>
  <c r="Y3485" i="3" s="1"/>
  <c r="Z3485" i="3" s="1"/>
  <c r="U3517" i="3"/>
  <c r="Y3517" i="3" s="1"/>
  <c r="Z3517" i="3" s="1"/>
  <c r="U3541" i="3"/>
  <c r="U3563" i="3"/>
  <c r="Y3563" i="3" s="1"/>
  <c r="Z3563" i="3" s="1"/>
  <c r="U3568" i="3"/>
  <c r="Y3568" i="3" s="1"/>
  <c r="Z3568" i="3" s="1"/>
  <c r="U3610" i="3"/>
  <c r="Y3610" i="3" s="1"/>
  <c r="Z3610" i="3" s="1"/>
  <c r="U3619" i="3"/>
  <c r="Y3619" i="3" s="1"/>
  <c r="Z3619" i="3" s="1"/>
  <c r="U3634" i="3"/>
  <c r="Y3634" i="3" s="1"/>
  <c r="Z3634" i="3" s="1"/>
  <c r="U3663" i="3"/>
  <c r="Y3663" i="3" s="1"/>
  <c r="Z3663" i="3" s="1"/>
  <c r="U3680" i="3"/>
  <c r="Y3680" i="3" s="1"/>
  <c r="Z3680" i="3" s="1"/>
  <c r="U3689" i="3"/>
  <c r="U3822" i="3"/>
  <c r="Y3822" i="3" s="1"/>
  <c r="Z3822" i="3" s="1"/>
  <c r="U3829" i="3"/>
  <c r="Y3829" i="3" s="1"/>
  <c r="Z3829" i="3" s="1"/>
  <c r="U3845" i="3"/>
  <c r="Y3845" i="3" s="1"/>
  <c r="Z3845" i="3" s="1"/>
  <c r="U3859" i="3"/>
  <c r="U3861" i="3"/>
  <c r="Y3861" i="3" s="1"/>
  <c r="Z3861" i="3" s="1"/>
  <c r="U3921" i="3"/>
  <c r="U3936" i="3"/>
  <c r="U3937" i="3"/>
  <c r="Y3937" i="3" s="1"/>
  <c r="Z3937" i="3" s="1"/>
  <c r="U3947" i="3"/>
  <c r="Y3947" i="3" s="1"/>
  <c r="Z3947" i="3" s="1"/>
  <c r="U3959" i="3"/>
  <c r="Y3959" i="3" s="1"/>
  <c r="Z3959" i="3" s="1"/>
  <c r="U4128" i="3"/>
  <c r="Y4128" i="3" s="1"/>
  <c r="Z4128" i="3" s="1"/>
  <c r="U4172" i="3"/>
  <c r="Y4172" i="3" s="1"/>
  <c r="Z4172" i="3" s="1"/>
  <c r="U4193" i="3"/>
  <c r="Y4193" i="3" s="1"/>
  <c r="Z4193" i="3" s="1"/>
  <c r="U4213" i="3"/>
  <c r="U4282" i="3"/>
  <c r="Y4282" i="3" s="1"/>
  <c r="Z4282" i="3" s="1"/>
  <c r="U4379" i="3"/>
  <c r="Y4379" i="3" s="1"/>
  <c r="Z4379" i="3" s="1"/>
  <c r="U4472" i="3"/>
  <c r="Y4472" i="3" s="1"/>
  <c r="Z4472" i="3" s="1"/>
  <c r="U4525" i="3"/>
  <c r="Y4525" i="3" s="1"/>
  <c r="Z4525" i="3" s="1"/>
  <c r="U4562" i="3"/>
  <c r="Y4562" i="3" s="1"/>
  <c r="Z4562" i="3" s="1"/>
  <c r="U4573" i="3"/>
  <c r="Y4573" i="3" s="1"/>
  <c r="Z4573" i="3" s="1"/>
  <c r="U4625" i="3"/>
  <c r="Y4625" i="3" s="1"/>
  <c r="Z4625" i="3" s="1"/>
  <c r="U4651" i="3"/>
  <c r="Y4651" i="3" s="1"/>
  <c r="Z4651" i="3" s="1"/>
  <c r="U4697" i="3"/>
  <c r="Y4697" i="3" s="1"/>
  <c r="Z4697" i="3" s="1"/>
  <c r="U4729" i="3"/>
  <c r="U4736" i="3"/>
  <c r="U4798" i="3"/>
  <c r="Y4798" i="3" s="1"/>
  <c r="Z4798" i="3" s="1"/>
  <c r="U4830" i="3"/>
  <c r="Y4830" i="3" s="1"/>
  <c r="Z4830" i="3" s="1"/>
  <c r="U1423" i="3"/>
  <c r="Y1423" i="3" s="1"/>
  <c r="Z1423" i="3" s="1"/>
  <c r="U2166" i="3"/>
  <c r="Y2166" i="3" s="1"/>
  <c r="Z2166" i="3" s="1"/>
  <c r="U2186" i="3"/>
  <c r="Y2186" i="3" s="1"/>
  <c r="Z2186" i="3" s="1"/>
  <c r="U2344" i="3"/>
  <c r="Y2344" i="3" s="1"/>
  <c r="Z2344" i="3" s="1"/>
  <c r="U2799" i="3"/>
  <c r="Y2799" i="3" s="1"/>
  <c r="Z2799" i="3" s="1"/>
  <c r="U2931" i="3"/>
  <c r="U3058" i="3"/>
  <c r="Y3058" i="3" s="1"/>
  <c r="Z3058" i="3" s="1"/>
  <c r="U3710" i="3"/>
  <c r="Y3710" i="3" s="1"/>
  <c r="Z3710" i="3" s="1"/>
  <c r="U4134" i="3"/>
  <c r="U4167" i="3"/>
  <c r="Y4167" i="3" s="1"/>
  <c r="Z4167" i="3" s="1"/>
  <c r="U4208" i="3"/>
  <c r="Y4208" i="3" s="1"/>
  <c r="Z4208" i="3" s="1"/>
  <c r="U4682" i="3"/>
  <c r="Y4682" i="3" s="1"/>
  <c r="Z4682" i="3" s="1"/>
  <c r="U1315" i="3"/>
  <c r="Y1315" i="3" s="1"/>
  <c r="Z1315" i="3" s="1"/>
  <c r="U2210" i="3"/>
  <c r="Y2210" i="3" s="1"/>
  <c r="Z2210" i="3" s="1"/>
  <c r="U2222" i="3"/>
  <c r="Y2222" i="3" s="1"/>
  <c r="Z2222" i="3" s="1"/>
  <c r="U2394" i="3"/>
  <c r="Y2394" i="3" s="1"/>
  <c r="Z2394" i="3" s="1"/>
  <c r="U2418" i="3"/>
  <c r="Y2418" i="3" s="1"/>
  <c r="Z2418" i="3" s="1"/>
  <c r="U3469" i="3"/>
  <c r="Y3469" i="3" s="1"/>
  <c r="Z3469" i="3" s="1"/>
  <c r="U3824" i="3"/>
  <c r="Y3824" i="3" s="1"/>
  <c r="Z3824" i="3" s="1"/>
  <c r="U4484" i="3"/>
  <c r="U4733" i="3"/>
  <c r="Y4733" i="3" s="1"/>
  <c r="Z4733" i="3" s="1"/>
  <c r="U4825" i="3"/>
  <c r="Y4825" i="3" s="1"/>
  <c r="Z4825" i="3" s="1"/>
  <c r="U829" i="3"/>
  <c r="Y829" i="3" s="1"/>
  <c r="Z829" i="3" s="1"/>
  <c r="U965" i="3"/>
  <c r="U978" i="3"/>
  <c r="Y978" i="3" s="1"/>
  <c r="Z978" i="3" s="1"/>
  <c r="U1045" i="3"/>
  <c r="Y1045" i="3" s="1"/>
  <c r="Z1045" i="3" s="1"/>
  <c r="U1064" i="3"/>
  <c r="Y1064" i="3" s="1"/>
  <c r="Z1064" i="3" s="1"/>
  <c r="U1118" i="3"/>
  <c r="Y1118" i="3" s="1"/>
  <c r="Z1118" i="3" s="1"/>
  <c r="U1249" i="3"/>
  <c r="Y1249" i="3" s="1"/>
  <c r="Z1249" i="3" s="1"/>
  <c r="U1325" i="3"/>
  <c r="Y1325" i="3" s="1"/>
  <c r="Z1325" i="3" s="1"/>
  <c r="U1363" i="3"/>
  <c r="Y1363" i="3" s="1"/>
  <c r="Z1363" i="3" s="1"/>
  <c r="U1493" i="3"/>
  <c r="Y1493" i="3" s="1"/>
  <c r="Z1493" i="3" s="1"/>
  <c r="U1504" i="3"/>
  <c r="U1517" i="3"/>
  <c r="U1532" i="3"/>
  <c r="U1607" i="3"/>
  <c r="Y1607" i="3" s="1"/>
  <c r="Z1607" i="3" s="1"/>
  <c r="U1707" i="3"/>
  <c r="Y1707" i="3" s="1"/>
  <c r="Z1707" i="3" s="1"/>
  <c r="U1757" i="3"/>
  <c r="Y1757" i="3" s="1"/>
  <c r="Z1757" i="3" s="1"/>
  <c r="U1805" i="3"/>
  <c r="Y1805" i="3" s="1"/>
  <c r="Z1805" i="3" s="1"/>
  <c r="U2003" i="3"/>
  <c r="Y2003" i="3" s="1"/>
  <c r="Z2003" i="3" s="1"/>
  <c r="U2043" i="3"/>
  <c r="Y2043" i="3" s="1"/>
  <c r="Z2043" i="3" s="1"/>
  <c r="U2095" i="3"/>
  <c r="Y2095" i="3" s="1"/>
  <c r="Z2095" i="3" s="1"/>
  <c r="U2271" i="3"/>
  <c r="Y2271" i="3" s="1"/>
  <c r="Z2271" i="3" s="1"/>
  <c r="U2290" i="3"/>
  <c r="Y2290" i="3" s="1"/>
  <c r="Z2290" i="3" s="1"/>
  <c r="U2340" i="3"/>
  <c r="Y2340" i="3" s="1"/>
  <c r="Z2340" i="3" s="1"/>
  <c r="U2341" i="3"/>
  <c r="Y2341" i="3" s="1"/>
  <c r="Z2341" i="3" s="1"/>
  <c r="U2423" i="3"/>
  <c r="Y2423" i="3" s="1"/>
  <c r="Z2423" i="3" s="1"/>
  <c r="U2484" i="3"/>
  <c r="Y2484" i="3" s="1"/>
  <c r="Z2484" i="3" s="1"/>
  <c r="U2506" i="3"/>
  <c r="Y2506" i="3" s="1"/>
  <c r="Z2506" i="3" s="1"/>
  <c r="U2544" i="3"/>
  <c r="Y2544" i="3" s="1"/>
  <c r="Z2544" i="3" s="1"/>
  <c r="U2572" i="3"/>
  <c r="Y2572" i="3" s="1"/>
  <c r="Z2572" i="3" s="1"/>
  <c r="U2603" i="3"/>
  <c r="Y2603" i="3" s="1"/>
  <c r="Z2603" i="3" s="1"/>
  <c r="U2638" i="3"/>
  <c r="Y2638" i="3" s="1"/>
  <c r="Z2638" i="3" s="1"/>
  <c r="U2716" i="3"/>
  <c r="Y2716" i="3" s="1"/>
  <c r="Z2716" i="3" s="1"/>
  <c r="U2744" i="3"/>
  <c r="Y2744" i="3" s="1"/>
  <c r="Z2744" i="3" s="1"/>
  <c r="U2836" i="3"/>
  <c r="Y2836" i="3" s="1"/>
  <c r="Z2836" i="3" s="1"/>
  <c r="U2919" i="3"/>
  <c r="Y2919" i="3" s="1"/>
  <c r="Z2919" i="3" s="1"/>
  <c r="U2927" i="3"/>
  <c r="Y2927" i="3" s="1"/>
  <c r="Z2927" i="3" s="1"/>
  <c r="U2928" i="3"/>
  <c r="Y2928" i="3" s="1"/>
  <c r="Z2928" i="3" s="1"/>
  <c r="U2994" i="3"/>
  <c r="Y2994" i="3" s="1"/>
  <c r="Z2994" i="3" s="1"/>
  <c r="U3041" i="3"/>
  <c r="Y3041" i="3" s="1"/>
  <c r="Z3041" i="3" s="1"/>
  <c r="U3096" i="3"/>
  <c r="Y3096" i="3" s="1"/>
  <c r="Z3096" i="3" s="1"/>
  <c r="U3104" i="3"/>
  <c r="Y3104" i="3" s="1"/>
  <c r="Z3104" i="3" s="1"/>
  <c r="U3108" i="3"/>
  <c r="Y3108" i="3" s="1"/>
  <c r="Z3108" i="3" s="1"/>
  <c r="U3123" i="3"/>
  <c r="Y3123" i="3" s="1"/>
  <c r="Z3123" i="3" s="1"/>
  <c r="U3126" i="3"/>
  <c r="Y3126" i="3" s="1"/>
  <c r="Z3126" i="3" s="1"/>
  <c r="U3167" i="3"/>
  <c r="Y3167" i="3" s="1"/>
  <c r="Z3167" i="3" s="1"/>
  <c r="U3179" i="3"/>
  <c r="Y3179" i="3" s="1"/>
  <c r="Z3179" i="3" s="1"/>
  <c r="U3292" i="3"/>
  <c r="Y3292" i="3" s="1"/>
  <c r="Z3292" i="3" s="1"/>
  <c r="U3333" i="3"/>
  <c r="Y3333" i="3" s="1"/>
  <c r="Z3333" i="3" s="1"/>
  <c r="U3344" i="3"/>
  <c r="Y3344" i="3" s="1"/>
  <c r="U3393" i="3"/>
  <c r="Y3393" i="3" s="1"/>
  <c r="Z3393" i="3" s="1"/>
  <c r="U3399" i="3"/>
  <c r="Y3399" i="3" s="1"/>
  <c r="Z3399" i="3" s="1"/>
  <c r="U3435" i="3"/>
  <c r="Y3435" i="3" s="1"/>
  <c r="Z3435" i="3" s="1"/>
  <c r="U3530" i="3"/>
  <c r="Y3530" i="3" s="1"/>
  <c r="Z3530" i="3" s="1"/>
  <c r="U3558" i="3"/>
  <c r="Y3558" i="3" s="1"/>
  <c r="Z3558" i="3" s="1"/>
  <c r="U3564" i="3"/>
  <c r="Y3564" i="3" s="1"/>
  <c r="Z3564" i="3" s="1"/>
  <c r="U3678" i="3"/>
  <c r="Y3678" i="3" s="1"/>
  <c r="Z3678" i="3" s="1"/>
  <c r="U3720" i="3"/>
  <c r="Y3720" i="3" s="1"/>
  <c r="Z3720" i="3" s="1"/>
  <c r="U3723" i="3"/>
  <c r="Y3723" i="3" s="1"/>
  <c r="Z3723" i="3" s="1"/>
  <c r="U3725" i="3"/>
  <c r="Y3725" i="3" s="1"/>
  <c r="Z3725" i="3" s="1"/>
  <c r="U3736" i="3"/>
  <c r="Y3736" i="3" s="1"/>
  <c r="Z3736" i="3" s="1"/>
  <c r="U3811" i="3"/>
  <c r="Y3811" i="3" s="1"/>
  <c r="Z3811" i="3" s="1"/>
  <c r="U3821" i="3"/>
  <c r="Y3821" i="3" s="1"/>
  <c r="Z3821" i="3" s="1"/>
  <c r="U3869" i="3"/>
  <c r="Y3869" i="3" s="1"/>
  <c r="Z3869" i="3" s="1"/>
  <c r="U3966" i="3"/>
  <c r="Y3966" i="3" s="1"/>
  <c r="Z3966" i="3" s="1"/>
  <c r="U4033" i="3"/>
  <c r="Y4033" i="3" s="1"/>
  <c r="Z4033" i="3" s="1"/>
  <c r="U4141" i="3"/>
  <c r="Y4141" i="3" s="1"/>
  <c r="Z4141" i="3" s="1"/>
  <c r="U4157" i="3"/>
  <c r="Y4157" i="3" s="1"/>
  <c r="Z4157" i="3" s="1"/>
  <c r="U4165" i="3"/>
  <c r="Y4165" i="3" s="1"/>
  <c r="Z4165" i="3" s="1"/>
  <c r="U4198" i="3"/>
  <c r="Y4198" i="3" s="1"/>
  <c r="Z4198" i="3" s="1"/>
  <c r="U4202" i="3"/>
  <c r="Y4202" i="3" s="1"/>
  <c r="Z4202" i="3" s="1"/>
  <c r="U4309" i="3"/>
  <c r="Y4309" i="3" s="1"/>
  <c r="Z4309" i="3" s="1"/>
  <c r="U4319" i="3"/>
  <c r="Y4319" i="3" s="1"/>
  <c r="Z4319" i="3" s="1"/>
  <c r="U4339" i="3"/>
  <c r="Y4339" i="3" s="1"/>
  <c r="Z4339" i="3" s="1"/>
  <c r="U4421" i="3"/>
  <c r="Y4421" i="3" s="1"/>
  <c r="Z4421" i="3" s="1"/>
  <c r="U4443" i="3"/>
  <c r="Y4443" i="3" s="1"/>
  <c r="Z4443" i="3" s="1"/>
  <c r="U4558" i="3"/>
  <c r="Y4558" i="3" s="1"/>
  <c r="Z4558" i="3" s="1"/>
  <c r="U4708" i="3"/>
  <c r="Y4708" i="3" s="1"/>
  <c r="Z4708" i="3" s="1"/>
  <c r="U4709" i="3"/>
  <c r="Y4709" i="3" s="1"/>
  <c r="Z4709" i="3" s="1"/>
  <c r="U4759" i="3"/>
  <c r="Y4759" i="3" s="1"/>
  <c r="Z4759" i="3" s="1"/>
  <c r="U4766" i="3"/>
  <c r="Y4766" i="3" s="1"/>
  <c r="Z4766" i="3" s="1"/>
  <c r="U4784" i="3"/>
  <c r="Y4784" i="3" s="1"/>
  <c r="Z4784" i="3" s="1"/>
  <c r="U1001" i="3"/>
  <c r="Y1001" i="3" s="1"/>
  <c r="Z1001" i="3" s="1"/>
  <c r="U1021" i="3"/>
  <c r="Y1021" i="3" s="1"/>
  <c r="Z1021" i="3" s="1"/>
  <c r="U1049" i="3"/>
  <c r="Y1049" i="3" s="1"/>
  <c r="Z1049" i="3" s="1"/>
  <c r="U1083" i="3"/>
  <c r="Y1083" i="3" s="1"/>
  <c r="Z1083" i="3" s="1"/>
  <c r="U1191" i="3"/>
  <c r="Y1191" i="3" s="1"/>
  <c r="Z1191" i="3" s="1"/>
  <c r="U1243" i="3"/>
  <c r="Y1243" i="3" s="1"/>
  <c r="Z1243" i="3" s="1"/>
  <c r="U1260" i="3"/>
  <c r="Y1260" i="3" s="1"/>
  <c r="Z1260" i="3" s="1"/>
  <c r="U1287" i="3"/>
  <c r="Y1287" i="3" s="1"/>
  <c r="Z1287" i="3" s="1"/>
  <c r="U1292" i="3"/>
  <c r="Y1292" i="3" s="1"/>
  <c r="Z1292" i="3" s="1"/>
  <c r="U1299" i="3"/>
  <c r="Y1299" i="3" s="1"/>
  <c r="Z1299" i="3" s="1"/>
  <c r="U1302" i="3"/>
  <c r="Y1302" i="3" s="1"/>
  <c r="Z1302" i="3" s="1"/>
  <c r="U1304" i="3"/>
  <c r="Y1304" i="3" s="1"/>
  <c r="Z1304" i="3" s="1"/>
  <c r="U1327" i="3"/>
  <c r="Y1327" i="3" s="1"/>
  <c r="Z1327" i="3" s="1"/>
  <c r="U1448" i="3"/>
  <c r="Y1448" i="3" s="1"/>
  <c r="Z1448" i="3" s="1"/>
  <c r="U1455" i="3"/>
  <c r="Y1455" i="3" s="1"/>
  <c r="Z1455" i="3" s="1"/>
  <c r="U1487" i="3"/>
  <c r="Y1487" i="3" s="1"/>
  <c r="Z1487" i="3" s="1"/>
  <c r="U1510" i="3"/>
  <c r="Y1510" i="3" s="1"/>
  <c r="Z1510" i="3" s="1"/>
  <c r="U1553" i="3"/>
  <c r="Y1553" i="3" s="1"/>
  <c r="Z1553" i="3" s="1"/>
  <c r="U1559" i="3"/>
  <c r="Y1559" i="3" s="1"/>
  <c r="Z1559" i="3" s="1"/>
  <c r="U1570" i="3"/>
  <c r="Y1570" i="3" s="1"/>
  <c r="Z1570" i="3" s="1"/>
  <c r="U1601" i="3"/>
  <c r="Y1601" i="3" s="1"/>
  <c r="Z1601" i="3" s="1"/>
  <c r="U1632" i="3"/>
  <c r="Y1632" i="3" s="1"/>
  <c r="Z1632" i="3" s="1"/>
  <c r="U1638" i="3"/>
  <c r="Y1638" i="3" s="1"/>
  <c r="Z1638" i="3" s="1"/>
  <c r="U1751" i="3"/>
  <c r="Y1751" i="3" s="1"/>
  <c r="Z1751" i="3" s="1"/>
  <c r="U1754" i="3"/>
  <c r="Y1754" i="3" s="1"/>
  <c r="Z1754" i="3" s="1"/>
  <c r="U1755" i="3"/>
  <c r="Y1755" i="3" s="1"/>
  <c r="Z1755" i="3" s="1"/>
  <c r="U1923" i="3"/>
  <c r="Y1923" i="3" s="1"/>
  <c r="Z1923" i="3" s="1"/>
  <c r="U2018" i="3"/>
  <c r="Y2018" i="3" s="1"/>
  <c r="Z2018" i="3" s="1"/>
  <c r="U2025" i="3"/>
  <c r="Y2025" i="3" s="1"/>
  <c r="Z2025" i="3" s="1"/>
  <c r="U2033" i="3"/>
  <c r="Y2033" i="3" s="1"/>
  <c r="Z2033" i="3" s="1"/>
  <c r="U2119" i="3"/>
  <c r="Y2119" i="3" s="1"/>
  <c r="Z2119" i="3" s="1"/>
  <c r="U2156" i="3"/>
  <c r="Y2156" i="3" s="1"/>
  <c r="Z2156" i="3" s="1"/>
  <c r="U2165" i="3"/>
  <c r="Y2165" i="3" s="1"/>
  <c r="Z2165" i="3" s="1"/>
  <c r="U2184" i="3"/>
  <c r="Y2184" i="3" s="1"/>
  <c r="Z2184" i="3" s="1"/>
  <c r="U2188" i="3"/>
  <c r="Y2188" i="3" s="1"/>
  <c r="Z2188" i="3" s="1"/>
  <c r="U2217" i="3"/>
  <c r="Y2217" i="3" s="1"/>
  <c r="Z2217" i="3" s="1"/>
  <c r="U2238" i="3"/>
  <c r="Y2238" i="3" s="1"/>
  <c r="Z2238" i="3" s="1"/>
  <c r="U2318" i="3"/>
  <c r="Y2318" i="3" s="1"/>
  <c r="Z2318" i="3" s="1"/>
  <c r="U2324" i="3"/>
  <c r="Y2324" i="3" s="1"/>
  <c r="Z2324" i="3" s="1"/>
  <c r="U2431" i="3"/>
  <c r="Y2431" i="3" s="1"/>
  <c r="Z2431" i="3" s="1"/>
  <c r="U2432" i="3"/>
  <c r="Y2432" i="3" s="1"/>
  <c r="Z2432" i="3" s="1"/>
  <c r="U2448" i="3"/>
  <c r="Y2448" i="3" s="1"/>
  <c r="Z2448" i="3" s="1"/>
  <c r="U2458" i="3"/>
  <c r="Y2458" i="3" s="1"/>
  <c r="Z2458" i="3" s="1"/>
  <c r="U2509" i="3"/>
  <c r="Y2509" i="3" s="1"/>
  <c r="Z2509" i="3" s="1"/>
  <c r="U2523" i="3"/>
  <c r="Y2523" i="3" s="1"/>
  <c r="Z2523" i="3" s="1"/>
  <c r="U2540" i="3"/>
  <c r="Y2540" i="3" s="1"/>
  <c r="Z2540" i="3" s="1"/>
  <c r="U2571" i="3"/>
  <c r="Y2571" i="3" s="1"/>
  <c r="Z2571" i="3" s="1"/>
  <c r="U2647" i="3"/>
  <c r="Y2647" i="3" s="1"/>
  <c r="Z2647" i="3" s="1"/>
  <c r="U2655" i="3"/>
  <c r="Y2655" i="3" s="1"/>
  <c r="Z2655" i="3" s="1"/>
  <c r="U2695" i="3"/>
  <c r="Y2695" i="3" s="1"/>
  <c r="Z2695" i="3" s="1"/>
  <c r="U2864" i="3"/>
  <c r="Y2864" i="3" s="1"/>
  <c r="Z2864" i="3" s="1"/>
  <c r="U2874" i="3"/>
  <c r="Y2874" i="3" s="1"/>
  <c r="Z2874" i="3" s="1"/>
  <c r="U2881" i="3"/>
  <c r="Y2881" i="3" s="1"/>
  <c r="Z2881" i="3" s="1"/>
  <c r="U2893" i="3"/>
  <c r="Y2893" i="3" s="1"/>
  <c r="Z2893" i="3" s="1"/>
  <c r="U2899" i="3"/>
  <c r="Y2899" i="3" s="1"/>
  <c r="Z2899" i="3" s="1"/>
  <c r="U2930" i="3"/>
  <c r="Y2930" i="3" s="1"/>
  <c r="Z2930" i="3" s="1"/>
  <c r="U2999" i="3"/>
  <c r="Y2999" i="3" s="1"/>
  <c r="Z2999" i="3" s="1"/>
  <c r="U3021" i="3"/>
  <c r="Y3021" i="3" s="1"/>
  <c r="Z3021" i="3" s="1"/>
  <c r="U3078" i="3"/>
  <c r="Y3078" i="3" s="1"/>
  <c r="Z3078" i="3" s="1"/>
  <c r="U3135" i="3"/>
  <c r="Y3135" i="3" s="1"/>
  <c r="Z3135" i="3" s="1"/>
  <c r="U3213" i="3"/>
  <c r="Y3213" i="3" s="1"/>
  <c r="Z3213" i="3" s="1"/>
  <c r="U3273" i="3"/>
  <c r="Y3273" i="3" s="1"/>
  <c r="Z3273" i="3" s="1"/>
  <c r="U3286" i="3"/>
  <c r="Y3286" i="3" s="1"/>
  <c r="Z3286" i="3" s="1"/>
  <c r="U3310" i="3"/>
  <c r="Y3310" i="3" s="1"/>
  <c r="Z3310" i="3" s="1"/>
  <c r="U3327" i="3"/>
  <c r="Y3327" i="3" s="1"/>
  <c r="Z3327" i="3" s="1"/>
  <c r="U3347" i="3"/>
  <c r="Y3347" i="3" s="1"/>
  <c r="Z3347" i="3" s="1"/>
  <c r="U3439" i="3"/>
  <c r="Y3439" i="3" s="1"/>
  <c r="Z3439" i="3" s="1"/>
  <c r="U3511" i="3"/>
  <c r="Y3511" i="3" s="1"/>
  <c r="Z3511" i="3" s="1"/>
  <c r="U3613" i="3"/>
  <c r="Y3613" i="3" s="1"/>
  <c r="Z3613" i="3" s="1"/>
  <c r="U3614" i="3"/>
  <c r="Y3614" i="3" s="1"/>
  <c r="Z3614" i="3" s="1"/>
  <c r="U3669" i="3"/>
  <c r="Y3669" i="3" s="1"/>
  <c r="Z3669" i="3" s="1"/>
  <c r="U3784" i="3"/>
  <c r="Y3784" i="3" s="1"/>
  <c r="Z3784" i="3" s="1"/>
  <c r="U3809" i="3"/>
  <c r="Y3809" i="3" s="1"/>
  <c r="Z3809" i="3" s="1"/>
  <c r="U3866" i="3"/>
  <c r="Y3866" i="3" s="1"/>
  <c r="Z3866" i="3" s="1"/>
  <c r="U3923" i="3"/>
  <c r="Y3923" i="3" s="1"/>
  <c r="Z3923" i="3" s="1"/>
  <c r="U3999" i="3"/>
  <c r="Y3999" i="3" s="1"/>
  <c r="Z3999" i="3" s="1"/>
  <c r="U4022" i="3"/>
  <c r="Y4022" i="3" s="1"/>
  <c r="Z4022" i="3" s="1"/>
  <c r="U4032" i="3"/>
  <c r="U4135" i="3"/>
  <c r="Y4135" i="3" s="1"/>
  <c r="Z4135" i="3" s="1"/>
  <c r="U4140" i="3"/>
  <c r="Y4140" i="3" s="1"/>
  <c r="Z4140" i="3" s="1"/>
  <c r="U4145" i="3"/>
  <c r="U4158" i="3"/>
  <c r="U4194" i="3"/>
  <c r="Y4194" i="3" s="1"/>
  <c r="Z4194" i="3" s="1"/>
  <c r="U4210" i="3"/>
  <c r="Y4210" i="3" s="1"/>
  <c r="Z4210" i="3" s="1"/>
  <c r="U4211" i="3"/>
  <c r="Y4211" i="3" s="1"/>
  <c r="Z4211" i="3" s="1"/>
  <c r="U4223" i="3"/>
  <c r="Y4223" i="3" s="1"/>
  <c r="Z4223" i="3" s="1"/>
  <c r="U4302" i="3"/>
  <c r="U4375" i="3"/>
  <c r="Y4375" i="3" s="1"/>
  <c r="Z4375" i="3" s="1"/>
  <c r="U4376" i="3"/>
  <c r="Y4376" i="3" s="1"/>
  <c r="Z4376" i="3" s="1"/>
  <c r="U4416" i="3"/>
  <c r="Y4416" i="3" s="1"/>
  <c r="Z4416" i="3" s="1"/>
  <c r="U4670" i="3"/>
  <c r="Y4670" i="3" s="1"/>
  <c r="Z4670" i="3" s="1"/>
  <c r="U4675" i="3"/>
  <c r="Y4675" i="3" s="1"/>
  <c r="Z4675" i="3" s="1"/>
  <c r="U4726" i="3"/>
  <c r="Y4726" i="3" s="1"/>
  <c r="Z4726" i="3" s="1"/>
  <c r="U4815" i="3"/>
  <c r="Y4815" i="3" s="1"/>
  <c r="Z4815" i="3" s="1"/>
  <c r="U1031" i="3"/>
  <c r="Y1031" i="3" s="1"/>
  <c r="Z1031" i="3" s="1"/>
  <c r="U1037" i="3"/>
  <c r="Y1037" i="3" s="1"/>
  <c r="Z1037" i="3" s="1"/>
  <c r="U1042" i="3"/>
  <c r="Y1042" i="3" s="1"/>
  <c r="Z1042" i="3" s="1"/>
  <c r="U1063" i="3"/>
  <c r="Y1063" i="3" s="1"/>
  <c r="Z1063" i="3" s="1"/>
  <c r="U1105" i="3"/>
  <c r="Y1105" i="3" s="1"/>
  <c r="Z1105" i="3" s="1"/>
  <c r="U1119" i="3"/>
  <c r="Y1119" i="3" s="1"/>
  <c r="Z1119" i="3" s="1"/>
  <c r="U1134" i="3"/>
  <c r="Y1134" i="3" s="1"/>
  <c r="Z1134" i="3" s="1"/>
  <c r="U1177" i="3"/>
  <c r="Y1177" i="3" s="1"/>
  <c r="Z1177" i="3" s="1"/>
  <c r="U1192" i="3"/>
  <c r="Y1192" i="3" s="1"/>
  <c r="Z1192" i="3" s="1"/>
  <c r="U1194" i="3"/>
  <c r="Y1194" i="3" s="1"/>
  <c r="Z1194" i="3" s="1"/>
  <c r="U1219" i="3"/>
  <c r="Y1219" i="3" s="1"/>
  <c r="Z1219" i="3" s="1"/>
  <c r="U1285" i="3"/>
  <c r="Y1285" i="3" s="1"/>
  <c r="Z1285" i="3" s="1"/>
  <c r="U1314" i="3"/>
  <c r="Y1314" i="3" s="1"/>
  <c r="Z1314" i="3" s="1"/>
  <c r="U1355" i="3"/>
  <c r="Y1355" i="3" s="1"/>
  <c r="Z1355" i="3" s="1"/>
  <c r="U1415" i="3"/>
  <c r="Y1415" i="3" s="1"/>
  <c r="Z1415" i="3" s="1"/>
  <c r="U1435" i="3"/>
  <c r="Y1435" i="3" s="1"/>
  <c r="Z1435" i="3" s="1"/>
  <c r="U1436" i="3"/>
  <c r="Y1436" i="3" s="1"/>
  <c r="Z1436" i="3" s="1"/>
  <c r="U1466" i="3"/>
  <c r="Y1466" i="3" s="1"/>
  <c r="Z1466" i="3" s="1"/>
  <c r="U1498" i="3"/>
  <c r="Y1498" i="3" s="1"/>
  <c r="Z1498" i="3" s="1"/>
  <c r="U1508" i="3"/>
  <c r="Y1508" i="3" s="1"/>
  <c r="Z1508" i="3" s="1"/>
  <c r="U1511" i="3"/>
  <c r="Y1511" i="3" s="1"/>
  <c r="Z1511" i="3" s="1"/>
  <c r="U1566" i="3"/>
  <c r="Y1566" i="3" s="1"/>
  <c r="Z1566" i="3" s="1"/>
  <c r="U1574" i="3"/>
  <c r="Y1574" i="3" s="1"/>
  <c r="Z1574" i="3" s="1"/>
  <c r="U1580" i="3"/>
  <c r="Y1580" i="3" s="1"/>
  <c r="Z1580" i="3" s="1"/>
  <c r="U1589" i="3"/>
  <c r="Y1589" i="3" s="1"/>
  <c r="Z1589" i="3" s="1"/>
  <c r="U1642" i="3"/>
  <c r="Y1642" i="3" s="1"/>
  <c r="Z1642" i="3" s="1"/>
  <c r="U1655" i="3"/>
  <c r="Y1655" i="3" s="1"/>
  <c r="Z1655" i="3" s="1"/>
  <c r="U1682" i="3"/>
  <c r="Y1682" i="3" s="1"/>
  <c r="Z1682" i="3" s="1"/>
  <c r="U1685" i="3"/>
  <c r="Y1685" i="3" s="1"/>
  <c r="Z1685" i="3" s="1"/>
  <c r="U1694" i="3"/>
  <c r="Y1694" i="3" s="1"/>
  <c r="Z1694" i="3" s="1"/>
  <c r="U1710" i="3"/>
  <c r="Y1710" i="3" s="1"/>
  <c r="Z1710" i="3" s="1"/>
  <c r="U1714" i="3"/>
  <c r="Y1714" i="3" s="1"/>
  <c r="Z1714" i="3" s="1"/>
  <c r="U1726" i="3"/>
  <c r="Y1726" i="3" s="1"/>
  <c r="Z1726" i="3" s="1"/>
  <c r="U1727" i="3"/>
  <c r="Y1727" i="3" s="1"/>
  <c r="Z1727" i="3" s="1"/>
  <c r="U1732" i="3"/>
  <c r="Y1732" i="3" s="1"/>
  <c r="Z1732" i="3" s="1"/>
  <c r="U1768" i="3"/>
  <c r="Y1768" i="3" s="1"/>
  <c r="Z1768" i="3" s="1"/>
  <c r="U1825" i="3"/>
  <c r="Y1825" i="3" s="1"/>
  <c r="Z1825" i="3" s="1"/>
  <c r="U1915" i="3"/>
  <c r="Y1915" i="3" s="1"/>
  <c r="Z1915" i="3" s="1"/>
  <c r="U1933" i="3"/>
  <c r="Y1933" i="3" s="1"/>
  <c r="Z1933" i="3" s="1"/>
  <c r="U1954" i="3"/>
  <c r="Y1954" i="3" s="1"/>
  <c r="Z1954" i="3" s="1"/>
  <c r="U1956" i="3"/>
  <c r="Y1956" i="3" s="1"/>
  <c r="Z1956" i="3" s="1"/>
  <c r="U1970" i="3"/>
  <c r="Y1970" i="3" s="1"/>
  <c r="Z1970" i="3" s="1"/>
  <c r="U1977" i="3"/>
  <c r="Y1977" i="3" s="1"/>
  <c r="Z1977" i="3" s="1"/>
  <c r="U1985" i="3"/>
  <c r="Y1985" i="3" s="1"/>
  <c r="Z1985" i="3" s="1"/>
  <c r="U2028" i="3"/>
  <c r="Y2028" i="3" s="1"/>
  <c r="Z2028" i="3" s="1"/>
  <c r="U2029" i="3"/>
  <c r="Y2029" i="3" s="1"/>
  <c r="Z2029" i="3" s="1"/>
  <c r="U2038" i="3"/>
  <c r="Y2038" i="3" s="1"/>
  <c r="Z2038" i="3" s="1"/>
  <c r="U2052" i="3"/>
  <c r="Y2052" i="3" s="1"/>
  <c r="Z2052" i="3" s="1"/>
  <c r="U2063" i="3"/>
  <c r="Y2063" i="3" s="1"/>
  <c r="Z2063" i="3" s="1"/>
  <c r="U2072" i="3"/>
  <c r="Y2072" i="3" s="1"/>
  <c r="Z2072" i="3" s="1"/>
  <c r="U2107" i="3"/>
  <c r="Y2107" i="3" s="1"/>
  <c r="Z2107" i="3" s="1"/>
  <c r="U2181" i="3"/>
  <c r="Y2181" i="3" s="1"/>
  <c r="Z2181" i="3" s="1"/>
  <c r="U2226" i="3"/>
  <c r="Y2226" i="3" s="1"/>
  <c r="Z2226" i="3" s="1"/>
  <c r="U2239" i="3"/>
  <c r="Y2239" i="3" s="1"/>
  <c r="Z2239" i="3" s="1"/>
  <c r="U2302" i="3"/>
  <c r="Y2302" i="3" s="1"/>
  <c r="Z2302" i="3" s="1"/>
  <c r="U2310" i="3"/>
  <c r="Y2310" i="3" s="1"/>
  <c r="Z2310" i="3" s="1"/>
  <c r="U2392" i="3"/>
  <c r="Y2392" i="3" s="1"/>
  <c r="Z2392" i="3" s="1"/>
  <c r="U2414" i="3"/>
  <c r="Y2414" i="3" s="1"/>
  <c r="Z2414" i="3" s="1"/>
  <c r="U2443" i="3"/>
  <c r="Y2443" i="3" s="1"/>
  <c r="Z2443" i="3" s="1"/>
  <c r="U2467" i="3"/>
  <c r="Y2467" i="3" s="1"/>
  <c r="Z2467" i="3" s="1"/>
  <c r="U2486" i="3"/>
  <c r="Y2486" i="3" s="1"/>
  <c r="Z2486" i="3" s="1"/>
  <c r="U2494" i="3"/>
  <c r="Y2494" i="3" s="1"/>
  <c r="Z2494" i="3" s="1"/>
  <c r="U2496" i="3"/>
  <c r="Y2496" i="3" s="1"/>
  <c r="Z2496" i="3" s="1"/>
  <c r="U2502" i="3"/>
  <c r="Y2502" i="3" s="1"/>
  <c r="Z2502" i="3" s="1"/>
  <c r="U2552" i="3"/>
  <c r="Y2552" i="3" s="1"/>
  <c r="Z2552" i="3" s="1"/>
  <c r="U2564" i="3"/>
  <c r="Y2564" i="3" s="1"/>
  <c r="Z2564" i="3" s="1"/>
  <c r="U2578" i="3"/>
  <c r="Y2578" i="3" s="1"/>
  <c r="Z2578" i="3" s="1"/>
  <c r="U2584" i="3"/>
  <c r="Y2584" i="3" s="1"/>
  <c r="Z2584" i="3" s="1"/>
  <c r="U2585" i="3"/>
  <c r="Y2585" i="3" s="1"/>
  <c r="Z2585" i="3" s="1"/>
  <c r="U2606" i="3"/>
  <c r="Y2606" i="3" s="1"/>
  <c r="Z2606" i="3" s="1"/>
  <c r="U2609" i="3"/>
  <c r="Y2609" i="3" s="1"/>
  <c r="Z2609" i="3" s="1"/>
  <c r="U2698" i="3"/>
  <c r="Y2698" i="3" s="1"/>
  <c r="Z2698" i="3" s="1"/>
  <c r="U2699" i="3"/>
  <c r="Y2699" i="3" s="1"/>
  <c r="Z2699" i="3" s="1"/>
  <c r="U2758" i="3"/>
  <c r="Y2758" i="3" s="1"/>
  <c r="Z2758" i="3" s="1"/>
  <c r="U2805" i="3"/>
  <c r="Y2805" i="3" s="1"/>
  <c r="Z2805" i="3" s="1"/>
  <c r="U2824" i="3"/>
  <c r="Y2824" i="3" s="1"/>
  <c r="Z2824" i="3" s="1"/>
  <c r="U2826" i="3"/>
  <c r="Y2826" i="3" s="1"/>
  <c r="Z2826" i="3" s="1"/>
  <c r="U2840" i="3"/>
  <c r="Y2840" i="3" s="1"/>
  <c r="Z2840" i="3" s="1"/>
  <c r="U2857" i="3"/>
  <c r="Y2857" i="3" s="1"/>
  <c r="Z2857" i="3" s="1"/>
  <c r="U2866" i="3"/>
  <c r="Y2866" i="3" s="1"/>
  <c r="Z2866" i="3" s="1"/>
  <c r="U2908" i="3"/>
  <c r="Y2908" i="3" s="1"/>
  <c r="Z2908" i="3" s="1"/>
  <c r="U3008" i="3"/>
  <c r="Y3008" i="3" s="1"/>
  <c r="Z3008" i="3" s="1"/>
  <c r="U3012" i="3"/>
  <c r="Y3012" i="3" s="1"/>
  <c r="Z3012" i="3" s="1"/>
  <c r="U3028" i="3"/>
  <c r="Y3028" i="3" s="1"/>
  <c r="Z3028" i="3" s="1"/>
  <c r="U3056" i="3"/>
  <c r="Y3056" i="3" s="1"/>
  <c r="Z3056" i="3" s="1"/>
  <c r="U3128" i="3"/>
  <c r="Y3128" i="3" s="1"/>
  <c r="Z3128" i="3" s="1"/>
  <c r="U3145" i="3"/>
  <c r="Y3145" i="3" s="1"/>
  <c r="Z3145" i="3" s="1"/>
  <c r="U3147" i="3"/>
  <c r="Y3147" i="3" s="1"/>
  <c r="Z3147" i="3" s="1"/>
  <c r="U3162" i="3"/>
  <c r="Y3162" i="3" s="1"/>
  <c r="Z3162" i="3" s="1"/>
  <c r="U3268" i="3"/>
  <c r="Y3268" i="3" s="1"/>
  <c r="Z3268" i="3" s="1"/>
  <c r="U3280" i="3"/>
  <c r="Y3280" i="3" s="1"/>
  <c r="Z3280" i="3" s="1"/>
  <c r="U3324" i="3"/>
  <c r="Y3324" i="3" s="1"/>
  <c r="Z3324" i="3" s="1"/>
  <c r="U3362" i="3"/>
  <c r="Y3362" i="3" s="1"/>
  <c r="Z3362" i="3" s="1"/>
  <c r="U3366" i="3"/>
  <c r="Y3366" i="3" s="1"/>
  <c r="Z3366" i="3" s="1"/>
  <c r="U3432" i="3"/>
  <c r="Y3432" i="3" s="1"/>
  <c r="Z3432" i="3" s="1"/>
  <c r="U3440" i="3"/>
  <c r="Y3440" i="3" s="1"/>
  <c r="Z3440" i="3" s="1"/>
  <c r="U3444" i="3"/>
  <c r="Y3444" i="3" s="1"/>
  <c r="Z3444" i="3" s="1"/>
  <c r="U3451" i="3"/>
  <c r="Y3451" i="3" s="1"/>
  <c r="Z3451" i="3" s="1"/>
  <c r="U3484" i="3"/>
  <c r="Y3484" i="3" s="1"/>
  <c r="Z3484" i="3" s="1"/>
  <c r="U3512" i="3"/>
  <c r="Y3512" i="3" s="1"/>
  <c r="Z3512" i="3" s="1"/>
  <c r="U3589" i="3"/>
  <c r="Y3589" i="3" s="1"/>
  <c r="Z3589" i="3" s="1"/>
  <c r="U3599" i="3"/>
  <c r="Y3599" i="3" s="1"/>
  <c r="Z3599" i="3" s="1"/>
  <c r="U3601" i="3"/>
  <c r="Y3601" i="3" s="1"/>
  <c r="Z3601" i="3" s="1"/>
  <c r="U3629" i="3"/>
  <c r="Y3629" i="3" s="1"/>
  <c r="Z3629" i="3" s="1"/>
  <c r="U3666" i="3"/>
  <c r="Y3666" i="3" s="1"/>
  <c r="Z3666" i="3" s="1"/>
  <c r="U3671" i="3"/>
  <c r="Y3671" i="3" s="1"/>
  <c r="Z3671" i="3" s="1"/>
  <c r="U3674" i="3"/>
  <c r="Y3674" i="3" s="1"/>
  <c r="Z3674" i="3" s="1"/>
  <c r="U3682" i="3"/>
  <c r="Y3682" i="3" s="1"/>
  <c r="Z3682" i="3" s="1"/>
  <c r="U3761" i="3"/>
  <c r="Y3761" i="3" s="1"/>
  <c r="Z3761" i="3" s="1"/>
  <c r="U3768" i="3"/>
  <c r="Y3768" i="3" s="1"/>
  <c r="Z3768" i="3" s="1"/>
  <c r="U3793" i="3"/>
  <c r="Y3793" i="3" s="1"/>
  <c r="Z3793" i="3" s="1"/>
  <c r="U3874" i="3"/>
  <c r="Y3874" i="3" s="1"/>
  <c r="Z3874" i="3" s="1"/>
  <c r="U3920" i="3"/>
  <c r="Y3920" i="3" s="1"/>
  <c r="Z3920" i="3" s="1"/>
  <c r="U3922" i="3"/>
  <c r="Y3922" i="3" s="1"/>
  <c r="Z3922" i="3" s="1"/>
  <c r="U3963" i="3"/>
  <c r="Y3963" i="3" s="1"/>
  <c r="Z3963" i="3" s="1"/>
  <c r="U3987" i="3"/>
  <c r="Y3987" i="3" s="1"/>
  <c r="Z3987" i="3" s="1"/>
  <c r="U4133" i="3"/>
  <c r="Y4133" i="3" s="1"/>
  <c r="Z4133" i="3" s="1"/>
  <c r="U4142" i="3"/>
  <c r="Y4142" i="3" s="1"/>
  <c r="Z4142" i="3" s="1"/>
  <c r="U4154" i="3"/>
  <c r="Y4154" i="3" s="1"/>
  <c r="Z4154" i="3" s="1"/>
  <c r="U4169" i="3"/>
  <c r="Y4169" i="3" s="1"/>
  <c r="Z4169" i="3" s="1"/>
  <c r="U4187" i="3"/>
  <c r="Y4187" i="3" s="1"/>
  <c r="Z4187" i="3" s="1"/>
  <c r="U4191" i="3"/>
  <c r="Y4191" i="3" s="1"/>
  <c r="Z4191" i="3" s="1"/>
  <c r="U4215" i="3"/>
  <c r="Y4215" i="3" s="1"/>
  <c r="Z4215" i="3" s="1"/>
  <c r="U4235" i="3"/>
  <c r="Y4235" i="3" s="1"/>
  <c r="Z4235" i="3" s="1"/>
  <c r="U4248" i="3"/>
  <c r="Y4248" i="3" s="1"/>
  <c r="Z4248" i="3" s="1"/>
  <c r="U4377" i="3"/>
  <c r="Y4377" i="3" s="1"/>
  <c r="Z4377" i="3" s="1"/>
  <c r="U4529" i="3"/>
  <c r="Y4529" i="3" s="1"/>
  <c r="Z4529" i="3" s="1"/>
  <c r="U4587" i="3"/>
  <c r="Y4587" i="3" s="1"/>
  <c r="Z4587" i="3" s="1"/>
  <c r="U4591" i="3"/>
  <c r="Y4591" i="3" s="1"/>
  <c r="Z4591" i="3" s="1"/>
  <c r="U4606" i="3"/>
  <c r="Y4606" i="3" s="1"/>
  <c r="Z4606" i="3" s="1"/>
  <c r="U4615" i="3"/>
  <c r="Y4615" i="3" s="1"/>
  <c r="Z4615" i="3" s="1"/>
  <c r="U4626" i="3"/>
  <c r="Y4626" i="3" s="1"/>
  <c r="Z4626" i="3" s="1"/>
  <c r="U4628" i="3"/>
  <c r="Y4628" i="3" s="1"/>
  <c r="Z4628" i="3" s="1"/>
  <c r="U4632" i="3"/>
  <c r="Y4632" i="3" s="1"/>
  <c r="Z4632" i="3" s="1"/>
  <c r="U4747" i="3"/>
  <c r="Y4747" i="3" s="1"/>
  <c r="Z4747" i="3" s="1"/>
  <c r="U4792" i="3"/>
  <c r="Y4792" i="3" s="1"/>
  <c r="Z4792" i="3" s="1"/>
  <c r="U4814" i="3"/>
  <c r="Y4814" i="3" s="1"/>
  <c r="Z4814" i="3" s="1"/>
  <c r="U4832" i="3"/>
  <c r="Y4832" i="3" s="1"/>
  <c r="Z4832" i="3" s="1"/>
  <c r="U1227" i="3"/>
  <c r="Y1227" i="3" s="1"/>
  <c r="Z1227" i="3" s="1"/>
  <c r="U1228" i="3"/>
  <c r="Y1228" i="3" s="1"/>
  <c r="Z1228" i="3" s="1"/>
  <c r="U1233" i="3"/>
  <c r="Y1233" i="3" s="1"/>
  <c r="Z1233" i="3" s="1"/>
  <c r="U1235" i="3"/>
  <c r="Y1235" i="3" s="1"/>
  <c r="Z1235" i="3" s="1"/>
  <c r="U1247" i="3"/>
  <c r="Y1247" i="3" s="1"/>
  <c r="Z1247" i="3" s="1"/>
  <c r="U1250" i="3"/>
  <c r="Y1250" i="3" s="1"/>
  <c r="Z1250" i="3" s="1"/>
  <c r="U1262" i="3"/>
  <c r="Y1262" i="3" s="1"/>
  <c r="Z1262" i="3" s="1"/>
  <c r="U1367" i="3"/>
  <c r="Y1367" i="3" s="1"/>
  <c r="Z1367" i="3" s="1"/>
  <c r="U1372" i="3"/>
  <c r="Y1372" i="3" s="1"/>
  <c r="Z1372" i="3" s="1"/>
  <c r="U1389" i="3"/>
  <c r="Y1389" i="3" s="1"/>
  <c r="Z1389" i="3" s="1"/>
  <c r="U1422" i="3"/>
  <c r="Y1422" i="3" s="1"/>
  <c r="Z1422" i="3" s="1"/>
  <c r="U1452" i="3"/>
  <c r="Y1452" i="3" s="1"/>
  <c r="Z1452" i="3" s="1"/>
  <c r="U1494" i="3"/>
  <c r="Y1494" i="3" s="1"/>
  <c r="Z1494" i="3" s="1"/>
  <c r="U1584" i="3"/>
  <c r="Y1584" i="3" s="1"/>
  <c r="Z1584" i="3" s="1"/>
  <c r="U1595" i="3"/>
  <c r="Y1595" i="3" s="1"/>
  <c r="Z1595" i="3" s="1"/>
  <c r="U1614" i="3"/>
  <c r="Y1614" i="3" s="1"/>
  <c r="Z1614" i="3" s="1"/>
  <c r="U1620" i="3"/>
  <c r="Y1620" i="3" s="1"/>
  <c r="Z1620" i="3" s="1"/>
  <c r="U1647" i="3"/>
  <c r="Y1647" i="3" s="1"/>
  <c r="Z1647" i="3" s="1"/>
  <c r="U1649" i="3"/>
  <c r="Y1649" i="3" s="1"/>
  <c r="Z1649" i="3" s="1"/>
  <c r="U1759" i="3"/>
  <c r="Y1759" i="3" s="1"/>
  <c r="Z1759" i="3" s="1"/>
  <c r="U1767" i="3"/>
  <c r="Y1767" i="3" s="1"/>
  <c r="Z1767" i="3" s="1"/>
  <c r="U1837" i="3"/>
  <c r="Y1837" i="3" s="1"/>
  <c r="Z1837" i="3" s="1"/>
  <c r="U1847" i="3"/>
  <c r="Y1847" i="3" s="1"/>
  <c r="Z1847" i="3" s="1"/>
  <c r="U1870" i="3"/>
  <c r="Y1870" i="3" s="1"/>
  <c r="Z1870" i="3" s="1"/>
  <c r="U1946" i="3"/>
  <c r="Y1946" i="3" s="1"/>
  <c r="Z1946" i="3" s="1"/>
  <c r="U1951" i="3"/>
  <c r="Y1951" i="3" s="1"/>
  <c r="Z1951" i="3" s="1"/>
  <c r="U1979" i="3"/>
  <c r="Y1979" i="3" s="1"/>
  <c r="Z1979" i="3" s="1"/>
  <c r="U2010" i="3"/>
  <c r="Y2010" i="3" s="1"/>
  <c r="Z2010" i="3" s="1"/>
  <c r="U2032" i="3"/>
  <c r="Y2032" i="3" s="1"/>
  <c r="Z2032" i="3" s="1"/>
  <c r="U2071" i="3"/>
  <c r="Y2071" i="3" s="1"/>
  <c r="Z2071" i="3" s="1"/>
  <c r="U2100" i="3"/>
  <c r="Y2100" i="3" s="1"/>
  <c r="Z2100" i="3" s="1"/>
  <c r="U2110" i="3"/>
  <c r="Y2110" i="3" s="1"/>
  <c r="Z2110" i="3" s="1"/>
  <c r="U2114" i="3"/>
  <c r="Y2114" i="3" s="1"/>
  <c r="Z2114" i="3" s="1"/>
  <c r="U2211" i="3"/>
  <c r="Y2211" i="3" s="1"/>
  <c r="Z2211" i="3" s="1"/>
  <c r="U2248" i="3"/>
  <c r="Y2248" i="3" s="1"/>
  <c r="Z2248" i="3" s="1"/>
  <c r="U2254" i="3"/>
  <c r="Y2254" i="3" s="1"/>
  <c r="Z2254" i="3" s="1"/>
  <c r="U2301" i="3"/>
  <c r="Y2301" i="3" s="1"/>
  <c r="Z2301" i="3" s="1"/>
  <c r="U2370" i="3"/>
  <c r="Y2370" i="3" s="1"/>
  <c r="Z2370" i="3" s="1"/>
  <c r="U2397" i="3"/>
  <c r="Y2397" i="3" s="1"/>
  <c r="Z2397" i="3" s="1"/>
  <c r="U2405" i="3"/>
  <c r="Y2405" i="3" s="1"/>
  <c r="Z2405" i="3" s="1"/>
  <c r="U2416" i="3"/>
  <c r="Y2416" i="3" s="1"/>
  <c r="Z2416" i="3" s="1"/>
  <c r="U2445" i="3"/>
  <c r="Y2445" i="3" s="1"/>
  <c r="Z2445" i="3" s="1"/>
  <c r="U2473" i="3"/>
  <c r="Y2473" i="3" s="1"/>
  <c r="Z2473" i="3" s="1"/>
  <c r="U2537" i="3"/>
  <c r="Y2537" i="3" s="1"/>
  <c r="Z2537" i="3" s="1"/>
  <c r="U2539" i="3"/>
  <c r="Y2539" i="3" s="1"/>
  <c r="Z2539" i="3" s="1"/>
  <c r="U2556" i="3"/>
  <c r="Y2556" i="3" s="1"/>
  <c r="Z2556" i="3" s="1"/>
  <c r="U2580" i="3"/>
  <c r="Y2580" i="3" s="1"/>
  <c r="Z2580" i="3" s="1"/>
  <c r="U2678" i="3"/>
  <c r="Y2678" i="3" s="1"/>
  <c r="Z2678" i="3" s="1"/>
  <c r="U2679" i="3"/>
  <c r="Y2679" i="3" s="1"/>
  <c r="Z2679" i="3" s="1"/>
  <c r="U2696" i="3"/>
  <c r="Y2696" i="3" s="1"/>
  <c r="Z2696" i="3" s="1"/>
  <c r="U2712" i="3"/>
  <c r="Y2712" i="3" s="1"/>
  <c r="Z2712" i="3" s="1"/>
  <c r="U2748" i="3"/>
  <c r="Y2748" i="3" s="1"/>
  <c r="Z2748" i="3" s="1"/>
  <c r="U2785" i="3"/>
  <c r="Y2785" i="3" s="1"/>
  <c r="Z2785" i="3" s="1"/>
  <c r="U2837" i="3"/>
  <c r="Y2837" i="3" s="1"/>
  <c r="Z2837" i="3" s="1"/>
  <c r="U2858" i="3"/>
  <c r="Y2858" i="3" s="1"/>
  <c r="Z2858" i="3" s="1"/>
  <c r="U2902" i="3"/>
  <c r="Y2902" i="3" s="1"/>
  <c r="Z2902" i="3" s="1"/>
  <c r="U2922" i="3"/>
  <c r="Y2922" i="3" s="1"/>
  <c r="Z2922" i="3" s="1"/>
  <c r="U2951" i="3"/>
  <c r="Y2951" i="3" s="1"/>
  <c r="Z2951" i="3" s="1"/>
  <c r="U3038" i="3"/>
  <c r="Y3038" i="3" s="1"/>
  <c r="Z3038" i="3" s="1"/>
  <c r="U3060" i="3"/>
  <c r="Y3060" i="3" s="1"/>
  <c r="Z3060" i="3" s="1"/>
  <c r="U3074" i="3"/>
  <c r="Y3074" i="3" s="1"/>
  <c r="Z3074" i="3" s="1"/>
  <c r="U3083" i="3"/>
  <c r="Y3083" i="3" s="1"/>
  <c r="Z3083" i="3" s="1"/>
  <c r="U3085" i="3"/>
  <c r="Y3085" i="3" s="1"/>
  <c r="Z3085" i="3" s="1"/>
  <c r="U3086" i="3"/>
  <c r="Y3086" i="3" s="1"/>
  <c r="Z3086" i="3" s="1"/>
  <c r="U3150" i="3"/>
  <c r="Y3150" i="3" s="1"/>
  <c r="Z3150" i="3" s="1"/>
  <c r="U3166" i="3"/>
  <c r="Y3166" i="3" s="1"/>
  <c r="Z3166" i="3" s="1"/>
  <c r="U3229" i="3"/>
  <c r="Y3229" i="3" s="1"/>
  <c r="Z3229" i="3" s="1"/>
  <c r="U3232" i="3"/>
  <c r="Y3232" i="3" s="1"/>
  <c r="Z3232" i="3" s="1"/>
  <c r="U3241" i="3"/>
  <c r="Y3241" i="3" s="1"/>
  <c r="Z3241" i="3" s="1"/>
  <c r="U3246" i="3"/>
  <c r="Y3246" i="3" s="1"/>
  <c r="Z3246" i="3" s="1"/>
  <c r="U3263" i="3"/>
  <c r="Y3263" i="3" s="1"/>
  <c r="Z3263" i="3" s="1"/>
  <c r="U3277" i="3"/>
  <c r="Y3277" i="3" s="1"/>
  <c r="Z3277" i="3" s="1"/>
  <c r="U3287" i="3"/>
  <c r="Y3287" i="3" s="1"/>
  <c r="Z3287" i="3" s="1"/>
  <c r="U3289" i="3"/>
  <c r="Y3289" i="3" s="1"/>
  <c r="Z3289" i="3" s="1"/>
  <c r="U3318" i="3"/>
  <c r="Y3318" i="3" s="1"/>
  <c r="Z3318" i="3" s="1"/>
  <c r="U3323" i="3"/>
  <c r="Y3323" i="3" s="1"/>
  <c r="Z3323" i="3" s="1"/>
  <c r="U3357" i="3"/>
  <c r="Y3357" i="3" s="1"/>
  <c r="Z3357" i="3" s="1"/>
  <c r="U3403" i="3"/>
  <c r="Y3403" i="3" s="1"/>
  <c r="Z3403" i="3" s="1"/>
  <c r="U3406" i="3"/>
  <c r="Y3406" i="3" s="1"/>
  <c r="Z3406" i="3" s="1"/>
  <c r="U3422" i="3"/>
  <c r="Y3422" i="3" s="1"/>
  <c r="Z3422" i="3" s="1"/>
  <c r="U3437" i="3"/>
  <c r="Y3437" i="3" s="1"/>
  <c r="Z3437" i="3" s="1"/>
  <c r="U3478" i="3"/>
  <c r="Y3478" i="3" s="1"/>
  <c r="Z3478" i="3" s="1"/>
  <c r="U3479" i="3"/>
  <c r="Y3479" i="3" s="1"/>
  <c r="Z3479" i="3" s="1"/>
  <c r="U3552" i="3"/>
  <c r="Y3552" i="3" s="1"/>
  <c r="Z3552" i="3" s="1"/>
  <c r="U3556" i="3"/>
  <c r="Y3556" i="3" s="1"/>
  <c r="Z3556" i="3" s="1"/>
  <c r="U3600" i="3"/>
  <c r="Y3600" i="3" s="1"/>
  <c r="Z3600" i="3" s="1"/>
  <c r="U3633" i="3"/>
  <c r="Y3633" i="3" s="1"/>
  <c r="Z3633" i="3" s="1"/>
  <c r="U3677" i="3"/>
  <c r="Y3677" i="3" s="1"/>
  <c r="Z3677" i="3" s="1"/>
  <c r="U3730" i="3"/>
  <c r="Y3730" i="3" s="1"/>
  <c r="Z3730" i="3" s="1"/>
  <c r="U3733" i="3"/>
  <c r="Y3733" i="3" s="1"/>
  <c r="Z3733" i="3" s="1"/>
  <c r="U3749" i="3"/>
  <c r="Y3749" i="3" s="1"/>
  <c r="Z3749" i="3" s="1"/>
  <c r="U3765" i="3"/>
  <c r="Y3765" i="3" s="1"/>
  <c r="Z3765" i="3" s="1"/>
  <c r="U3770" i="3"/>
  <c r="Y3770" i="3" s="1"/>
  <c r="Z3770" i="3" s="1"/>
  <c r="U3775" i="3"/>
  <c r="Y3775" i="3" s="1"/>
  <c r="Z3775" i="3" s="1"/>
  <c r="U3789" i="3"/>
  <c r="Y3789" i="3" s="1"/>
  <c r="Z3789" i="3" s="1"/>
  <c r="U3794" i="3"/>
  <c r="Y3794" i="3" s="1"/>
  <c r="Z3794" i="3" s="1"/>
  <c r="U3882" i="3"/>
  <c r="Y3882" i="3" s="1"/>
  <c r="Z3882" i="3" s="1"/>
  <c r="U3889" i="3"/>
  <c r="Y3889" i="3" s="1"/>
  <c r="Z3889" i="3" s="1"/>
  <c r="U3908" i="3"/>
  <c r="Y3908" i="3" s="1"/>
  <c r="Z3908" i="3" s="1"/>
  <c r="U3925" i="3"/>
  <c r="Y3925" i="3" s="1"/>
  <c r="Z3925" i="3" s="1"/>
  <c r="U3929" i="3"/>
  <c r="Y3929" i="3" s="1"/>
  <c r="Z3929" i="3" s="1"/>
  <c r="U3981" i="3"/>
  <c r="Y3981" i="3" s="1"/>
  <c r="Z3981" i="3" s="1"/>
  <c r="U3983" i="3"/>
  <c r="Y3983" i="3" s="1"/>
  <c r="Z3983" i="3" s="1"/>
  <c r="U4015" i="3"/>
  <c r="Y4015" i="3" s="1"/>
  <c r="Z4015" i="3" s="1"/>
  <c r="U4061" i="3"/>
  <c r="Y4061" i="3" s="1"/>
  <c r="Z4061" i="3" s="1"/>
  <c r="U4111" i="3"/>
  <c r="Y4111" i="3" s="1"/>
  <c r="Z4111" i="3" s="1"/>
  <c r="U4176" i="3"/>
  <c r="Y4176" i="3" s="1"/>
  <c r="Z4176" i="3" s="1"/>
  <c r="U4181" i="3"/>
  <c r="Y4181" i="3" s="1"/>
  <c r="Z4181" i="3" s="1"/>
  <c r="U4222" i="3"/>
  <c r="Y4222" i="3" s="1"/>
  <c r="Z4222" i="3" s="1"/>
  <c r="U4224" i="3"/>
  <c r="Y4224" i="3" s="1"/>
  <c r="Z4224" i="3" s="1"/>
  <c r="U4241" i="3"/>
  <c r="Y4241" i="3" s="1"/>
  <c r="Z4241" i="3" s="1"/>
  <c r="U4251" i="3"/>
  <c r="Y4251" i="3" s="1"/>
  <c r="Z4251" i="3" s="1"/>
  <c r="U4311" i="3"/>
  <c r="Y4311" i="3" s="1"/>
  <c r="Z4311" i="3" s="1"/>
  <c r="U4395" i="3"/>
  <c r="Y4395" i="3" s="1"/>
  <c r="Z4395" i="3" s="1"/>
  <c r="U4398" i="3"/>
  <c r="Y4398" i="3" s="1"/>
  <c r="Z4398" i="3" s="1"/>
  <c r="U4511" i="3"/>
  <c r="Y4511" i="3" s="1"/>
  <c r="Z4511" i="3" s="1"/>
  <c r="U4596" i="3"/>
  <c r="Y4596" i="3" s="1"/>
  <c r="Z4596" i="3" s="1"/>
  <c r="U4636" i="3"/>
  <c r="Y4636" i="3" s="1"/>
  <c r="Z4636" i="3" s="1"/>
  <c r="U4667" i="3"/>
  <c r="Y4667" i="3" s="1"/>
  <c r="Z4667" i="3" s="1"/>
  <c r="U4668" i="3"/>
  <c r="Y4668" i="3" s="1"/>
  <c r="Z4668" i="3" s="1"/>
  <c r="U4679" i="3"/>
  <c r="Y4679" i="3" s="1"/>
  <c r="Z4679" i="3" s="1"/>
  <c r="U4686" i="3"/>
  <c r="Y4686" i="3" s="1"/>
  <c r="Z4686" i="3" s="1"/>
  <c r="U4687" i="3"/>
  <c r="Y4687" i="3" s="1"/>
  <c r="Z4687" i="3" s="1"/>
  <c r="U4701" i="3"/>
  <c r="Y4701" i="3" s="1"/>
  <c r="Z4701" i="3" s="1"/>
  <c r="U4716" i="3"/>
  <c r="Y4716" i="3" s="1"/>
  <c r="Z4716" i="3" s="1"/>
  <c r="U4756" i="3"/>
  <c r="Y4756" i="3" s="1"/>
  <c r="Z4756" i="3" s="1"/>
  <c r="U4761" i="3"/>
  <c r="Y4761" i="3" s="1"/>
  <c r="Z4761" i="3" s="1"/>
  <c r="U4781" i="3"/>
  <c r="Y4781" i="3" s="1"/>
  <c r="Z4781" i="3" s="1"/>
  <c r="U4786" i="3"/>
  <c r="Y4786" i="3" s="1"/>
  <c r="Z4786" i="3" s="1"/>
  <c r="U1364" i="3"/>
  <c r="Y1364" i="3" s="1"/>
  <c r="Z1364" i="3" s="1"/>
  <c r="U1408" i="3"/>
  <c r="Y1408" i="3" s="1"/>
  <c r="Z1408" i="3" s="1"/>
  <c r="U1428" i="3"/>
  <c r="Y1428" i="3" s="1"/>
  <c r="Z1428" i="3" s="1"/>
  <c r="U1708" i="3"/>
  <c r="Y1708" i="3" s="1"/>
  <c r="Z1708" i="3" s="1"/>
  <c r="U1906" i="3"/>
  <c r="Y1906" i="3" s="1"/>
  <c r="Z1906" i="3" s="1"/>
  <c r="U1950" i="3"/>
  <c r="Y1950" i="3" s="1"/>
  <c r="Z1950" i="3" s="1"/>
  <c r="U2051" i="3"/>
  <c r="Y2051" i="3" s="1"/>
  <c r="Z2051" i="3" s="1"/>
  <c r="U2065" i="3"/>
  <c r="Y2065" i="3" s="1"/>
  <c r="Z2065" i="3" s="1"/>
  <c r="U2098" i="3"/>
  <c r="Y2098" i="3" s="1"/>
  <c r="Z2098" i="3" s="1"/>
  <c r="U2329" i="3"/>
  <c r="Y2329" i="3" s="1"/>
  <c r="Z2329" i="3" s="1"/>
  <c r="U2413" i="3"/>
  <c r="Y2413" i="3" s="1"/>
  <c r="Z2413" i="3" s="1"/>
  <c r="U2433" i="3"/>
  <c r="Y2433" i="3" s="1"/>
  <c r="Z2433" i="3" s="1"/>
  <c r="U2490" i="3"/>
  <c r="Y2490" i="3" s="1"/>
  <c r="Z2490" i="3" s="1"/>
  <c r="U2602" i="3"/>
  <c r="Y2602" i="3" s="1"/>
  <c r="Z2602" i="3" s="1"/>
  <c r="U2642" i="3"/>
  <c r="Y2642" i="3" s="1"/>
  <c r="Z2642" i="3" s="1"/>
  <c r="U2688" i="3"/>
  <c r="Y2688" i="3" s="1"/>
  <c r="Z2688" i="3" s="1"/>
  <c r="U2854" i="3"/>
  <c r="Y2854" i="3" s="1"/>
  <c r="Z2854" i="3" s="1"/>
  <c r="U2920" i="3"/>
  <c r="Y2920" i="3" s="1"/>
  <c r="Z2920" i="3" s="1"/>
  <c r="U2935" i="3"/>
  <c r="Y2935" i="3" s="1"/>
  <c r="Z2935" i="3" s="1"/>
  <c r="U3026" i="3"/>
  <c r="Y3026" i="3" s="1"/>
  <c r="Z3026" i="3" s="1"/>
  <c r="U3244" i="3"/>
  <c r="Y3244" i="3" s="1"/>
  <c r="Z3244" i="3" s="1"/>
  <c r="U3251" i="3"/>
  <c r="Y3251" i="3" s="1"/>
  <c r="Z3251" i="3" s="1"/>
  <c r="U3260" i="3"/>
  <c r="Y3260" i="3" s="1"/>
  <c r="Z3260" i="3" s="1"/>
  <c r="U3319" i="3"/>
  <c r="Y3319" i="3" s="1"/>
  <c r="Z3319" i="3" s="1"/>
  <c r="U3360" i="3"/>
  <c r="Y3360" i="3" s="1"/>
  <c r="Z3360" i="3" s="1"/>
  <c r="U3392" i="3"/>
  <c r="Y3392" i="3" s="1"/>
  <c r="Z3392" i="3" s="1"/>
  <c r="U3464" i="3"/>
  <c r="Y3464" i="3" s="1"/>
  <c r="Z3464" i="3" s="1"/>
  <c r="U3503" i="3"/>
  <c r="Y3503" i="3" s="1"/>
  <c r="Z3503" i="3" s="1"/>
  <c r="U3542" i="3"/>
  <c r="Y3542" i="3" s="1"/>
  <c r="Z3542" i="3" s="1"/>
  <c r="U3545" i="3"/>
  <c r="Y3545" i="3" s="1"/>
  <c r="Z3545" i="3" s="1"/>
  <c r="U3548" i="3"/>
  <c r="Y3548" i="3" s="1"/>
  <c r="Z3548" i="3" s="1"/>
  <c r="U3645" i="3"/>
  <c r="Y3645" i="3" s="1"/>
  <c r="Z3645" i="3" s="1"/>
  <c r="U3670" i="3"/>
  <c r="Y3670" i="3" s="1"/>
  <c r="Z3670" i="3" s="1"/>
  <c r="U3699" i="3"/>
  <c r="Y3699" i="3" s="1"/>
  <c r="Z3699" i="3" s="1"/>
  <c r="U3795" i="3"/>
  <c r="Y3795" i="3" s="1"/>
  <c r="Z3795" i="3" s="1"/>
  <c r="U3893" i="3"/>
  <c r="Y3893" i="3" s="1"/>
  <c r="Z3893" i="3" s="1"/>
  <c r="U3938" i="3"/>
  <c r="Y3938" i="3" s="1"/>
  <c r="Z3938" i="3" s="1"/>
  <c r="U3972" i="3"/>
  <c r="Y3972" i="3" s="1"/>
  <c r="Z3972" i="3" s="1"/>
  <c r="U4041" i="3"/>
  <c r="Y4041" i="3" s="1"/>
  <c r="Z4041" i="3" s="1"/>
  <c r="U4125" i="3"/>
  <c r="Y4125" i="3" s="1"/>
  <c r="Z4125" i="3" s="1"/>
  <c r="U4209" i="3"/>
  <c r="Y4209" i="3" s="1"/>
  <c r="Z4209" i="3" s="1"/>
  <c r="U4334" i="3"/>
  <c r="Y4334" i="3" s="1"/>
  <c r="Z4334" i="3" s="1"/>
  <c r="U4470" i="3"/>
  <c r="Y4470" i="3" s="1"/>
  <c r="Z4470" i="3" s="1"/>
  <c r="U4513" i="3"/>
  <c r="Y4513" i="3" s="1"/>
  <c r="Z4513" i="3" s="1"/>
  <c r="U4578" i="3"/>
  <c r="Y4578" i="3" s="1"/>
  <c r="Z4578" i="3" s="1"/>
  <c r="U4579" i="3"/>
  <c r="Y4579" i="3" s="1"/>
  <c r="Z4579" i="3" s="1"/>
  <c r="U4681" i="3"/>
  <c r="Y4681" i="3" s="1"/>
  <c r="Z4681" i="3" s="1"/>
  <c r="U4757" i="3"/>
  <c r="Y4757" i="3" s="1"/>
  <c r="Z4757" i="3" s="1"/>
  <c r="U4769" i="3"/>
  <c r="Y4769" i="3" s="1"/>
  <c r="Z4769" i="3" s="1"/>
  <c r="U1400" i="3"/>
  <c r="Y1400" i="3" s="1"/>
  <c r="Z1400" i="3" s="1"/>
  <c r="U1409" i="3"/>
  <c r="Y1409" i="3" s="1"/>
  <c r="Z1409" i="3" s="1"/>
  <c r="U1434" i="3"/>
  <c r="Y1434" i="3" s="1"/>
  <c r="Z1434" i="3" s="1"/>
  <c r="U1470" i="3"/>
  <c r="Y1470" i="3" s="1"/>
  <c r="Z1470" i="3" s="1"/>
  <c r="U1617" i="3"/>
  <c r="Y1617" i="3" s="1"/>
  <c r="Z1617" i="3" s="1"/>
  <c r="U1637" i="3"/>
  <c r="Y1637" i="3" s="1"/>
  <c r="Z1637" i="3" s="1"/>
  <c r="U1721" i="3"/>
  <c r="Y1721" i="3" s="1"/>
  <c r="Z1721" i="3" s="1"/>
  <c r="U1763" i="3"/>
  <c r="Y1763" i="3" s="1"/>
  <c r="Z1763" i="3" s="1"/>
  <c r="U1791" i="3"/>
  <c r="Y1791" i="3" s="1"/>
  <c r="Z1791" i="3" s="1"/>
  <c r="U1800" i="3"/>
  <c r="Y1800" i="3" s="1"/>
  <c r="Z1800" i="3" s="1"/>
  <c r="U1917" i="3"/>
  <c r="Y1917" i="3" s="1"/>
  <c r="Z1917" i="3" s="1"/>
  <c r="U1922" i="3"/>
  <c r="Y1922" i="3" s="1"/>
  <c r="Z1922" i="3" s="1"/>
  <c r="U1926" i="3"/>
  <c r="Y1926" i="3" s="1"/>
  <c r="Z1926" i="3" s="1"/>
  <c r="U2034" i="3"/>
  <c r="Y2034" i="3" s="1"/>
  <c r="Z2034" i="3" s="1"/>
  <c r="U2035" i="3"/>
  <c r="Y2035" i="3" s="1"/>
  <c r="Z2035" i="3" s="1"/>
  <c r="U2161" i="3"/>
  <c r="Y2161" i="3" s="1"/>
  <c r="Z2161" i="3" s="1"/>
  <c r="U2223" i="3"/>
  <c r="Y2223" i="3" s="1"/>
  <c r="Z2223" i="3" s="1"/>
  <c r="U2225" i="3"/>
  <c r="Y2225" i="3" s="1"/>
  <c r="Z2225" i="3" s="1"/>
  <c r="U2291" i="3"/>
  <c r="Y2291" i="3" s="1"/>
  <c r="Z2291" i="3" s="1"/>
  <c r="U2293" i="3"/>
  <c r="Y2293" i="3" s="1"/>
  <c r="Z2293" i="3" s="1"/>
  <c r="U2306" i="3"/>
  <c r="Y2306" i="3" s="1"/>
  <c r="Z2306" i="3" s="1"/>
  <c r="U2317" i="3"/>
  <c r="Y2317" i="3" s="1"/>
  <c r="Z2317" i="3" s="1"/>
  <c r="U2336" i="3"/>
  <c r="Y2336" i="3" s="1"/>
  <c r="Z2336" i="3" s="1"/>
  <c r="U2366" i="3"/>
  <c r="Y2366" i="3" s="1"/>
  <c r="Z2366" i="3" s="1"/>
  <c r="U2399" i="3"/>
  <c r="Y2399" i="3" s="1"/>
  <c r="Z2399" i="3" s="1"/>
  <c r="U2407" i="3"/>
  <c r="Y2407" i="3" s="1"/>
  <c r="Z2407" i="3" s="1"/>
  <c r="U2447" i="3"/>
  <c r="Y2447" i="3" s="1"/>
  <c r="Z2447" i="3" s="1"/>
  <c r="U2451" i="3"/>
  <c r="Y2451" i="3" s="1"/>
  <c r="Z2451" i="3" s="1"/>
  <c r="U2482" i="3"/>
  <c r="Y2482" i="3" s="1"/>
  <c r="Z2482" i="3" s="1"/>
  <c r="U2489" i="3"/>
  <c r="Y2489" i="3" s="1"/>
  <c r="Z2489" i="3" s="1"/>
  <c r="U2511" i="3"/>
  <c r="Y2511" i="3" s="1"/>
  <c r="Z2511" i="3" s="1"/>
  <c r="U2515" i="3"/>
  <c r="Y2515" i="3" s="1"/>
  <c r="Z2515" i="3" s="1"/>
  <c r="U2610" i="3"/>
  <c r="Y2610" i="3" s="1"/>
  <c r="Z2610" i="3" s="1"/>
  <c r="U2636" i="3"/>
  <c r="Y2636" i="3" s="1"/>
  <c r="Z2636" i="3" s="1"/>
  <c r="U2643" i="3"/>
  <c r="Y2643" i="3" s="1"/>
  <c r="Z2643" i="3" s="1"/>
  <c r="U2650" i="3"/>
  <c r="Y2650" i="3" s="1"/>
  <c r="Z2650" i="3" s="1"/>
  <c r="U2710" i="3"/>
  <c r="Y2710" i="3" s="1"/>
  <c r="Z2710" i="3" s="1"/>
  <c r="U2774" i="3"/>
  <c r="Y2774" i="3" s="1"/>
  <c r="Z2774" i="3" s="1"/>
  <c r="U2839" i="3"/>
  <c r="Y2839" i="3" s="1"/>
  <c r="Z2839" i="3" s="1"/>
  <c r="U2867" i="3"/>
  <c r="Y2867" i="3" s="1"/>
  <c r="Z2867" i="3" s="1"/>
  <c r="U2886" i="3"/>
  <c r="Y2886" i="3" s="1"/>
  <c r="Z2886" i="3" s="1"/>
  <c r="U2895" i="3"/>
  <c r="Y2895" i="3" s="1"/>
  <c r="Z2895" i="3" s="1"/>
  <c r="U2898" i="3"/>
  <c r="Y2898" i="3" s="1"/>
  <c r="Z2898" i="3" s="1"/>
  <c r="U2942" i="3"/>
  <c r="Y2942" i="3" s="1"/>
  <c r="Z2942" i="3" s="1"/>
  <c r="U2956" i="3"/>
  <c r="Y2956" i="3" s="1"/>
  <c r="Z2956" i="3" s="1"/>
  <c r="U2960" i="3"/>
  <c r="Y2960" i="3" s="1"/>
  <c r="Z2960" i="3" s="1"/>
  <c r="U3005" i="3"/>
  <c r="Y3005" i="3" s="1"/>
  <c r="Z3005" i="3" s="1"/>
  <c r="U3054" i="3"/>
  <c r="Y3054" i="3" s="1"/>
  <c r="Z3054" i="3" s="1"/>
  <c r="U3076" i="3"/>
  <c r="Y3076" i="3" s="1"/>
  <c r="Z3076" i="3" s="1"/>
  <c r="U3095" i="3"/>
  <c r="Y3095" i="3" s="1"/>
  <c r="Z3095" i="3" s="1"/>
  <c r="U3113" i="3"/>
  <c r="Y3113" i="3" s="1"/>
  <c r="Z3113" i="3" s="1"/>
  <c r="U3159" i="3"/>
  <c r="Y3159" i="3" s="1"/>
  <c r="Z3159" i="3" s="1"/>
  <c r="U3168" i="3"/>
  <c r="Y3168" i="3" s="1"/>
  <c r="Z3168" i="3" s="1"/>
  <c r="U3215" i="3"/>
  <c r="Y3215" i="3" s="1"/>
  <c r="Z3215" i="3" s="1"/>
  <c r="U3222" i="3"/>
  <c r="Y3222" i="3" s="1"/>
  <c r="Z3222" i="3" s="1"/>
  <c r="U3248" i="3"/>
  <c r="Y3248" i="3" s="1"/>
  <c r="Z3248" i="3" s="1"/>
  <c r="U3307" i="3"/>
  <c r="Y3307" i="3" s="1"/>
  <c r="Z3307" i="3" s="1"/>
  <c r="U3353" i="3"/>
  <c r="Y3353" i="3" s="1"/>
  <c r="Z3353" i="3" s="1"/>
  <c r="U3370" i="3"/>
  <c r="Y3370" i="3" s="1"/>
  <c r="Z3370" i="3" s="1"/>
  <c r="U3394" i="3"/>
  <c r="Y3394" i="3" s="1"/>
  <c r="Z3394" i="3" s="1"/>
  <c r="U3423" i="3"/>
  <c r="Y3423" i="3" s="1"/>
  <c r="Z3423" i="3" s="1"/>
  <c r="U3425" i="3"/>
  <c r="Y3425" i="3" s="1"/>
  <c r="Z3425" i="3" s="1"/>
  <c r="U3465" i="3"/>
  <c r="Y3465" i="3" s="1"/>
  <c r="Z3465" i="3" s="1"/>
  <c r="U3510" i="3"/>
  <c r="Y3510" i="3" s="1"/>
  <c r="Z3510" i="3" s="1"/>
  <c r="U3539" i="3"/>
  <c r="Y3539" i="3" s="1"/>
  <c r="Z3539" i="3" s="1"/>
  <c r="U3584" i="3"/>
  <c r="Y3584" i="3" s="1"/>
  <c r="Z3584" i="3" s="1"/>
  <c r="U3587" i="3"/>
  <c r="Y3587" i="3" s="1"/>
  <c r="Z3587" i="3" s="1"/>
  <c r="U3591" i="3"/>
  <c r="Y3591" i="3" s="1"/>
  <c r="Z3591" i="3" s="1"/>
  <c r="U3630" i="3"/>
  <c r="Y3630" i="3" s="1"/>
  <c r="Z3630" i="3" s="1"/>
  <c r="U3644" i="3"/>
  <c r="Y3644" i="3" s="1"/>
  <c r="Z3644" i="3" s="1"/>
  <c r="U3654" i="3"/>
  <c r="Y3654" i="3" s="1"/>
  <c r="Z3654" i="3" s="1"/>
  <c r="U3676" i="3"/>
  <c r="Y3676" i="3" s="1"/>
  <c r="Z3676" i="3" s="1"/>
  <c r="U3776" i="3"/>
  <c r="Y3776" i="3" s="1"/>
  <c r="Z3776" i="3" s="1"/>
  <c r="U3804" i="3"/>
  <c r="Y3804" i="3" s="1"/>
  <c r="Z3804" i="3" s="1"/>
  <c r="U3831" i="3"/>
  <c r="Y3831" i="3" s="1"/>
  <c r="Z3831" i="3" s="1"/>
  <c r="U3962" i="3"/>
  <c r="Y3962" i="3" s="1"/>
  <c r="Z3962" i="3" s="1"/>
  <c r="U4051" i="3"/>
  <c r="Y4051" i="3" s="1"/>
  <c r="Z4051" i="3" s="1"/>
  <c r="U4052" i="3"/>
  <c r="Y4052" i="3" s="1"/>
  <c r="Z4052" i="3" s="1"/>
  <c r="U4062" i="3"/>
  <c r="Y4062" i="3" s="1"/>
  <c r="Z4062" i="3" s="1"/>
  <c r="U4075" i="3"/>
  <c r="Y4075" i="3" s="1"/>
  <c r="Z4075" i="3" s="1"/>
  <c r="U4085" i="3"/>
  <c r="Y4085" i="3" s="1"/>
  <c r="Z4085" i="3" s="1"/>
  <c r="U4095" i="3"/>
  <c r="Y4095" i="3" s="1"/>
  <c r="Z4095" i="3" s="1"/>
  <c r="U4159" i="3"/>
  <c r="Y4159" i="3" s="1"/>
  <c r="Z4159" i="3" s="1"/>
  <c r="U4160" i="3"/>
  <c r="Y4160" i="3" s="1"/>
  <c r="Z4160" i="3" s="1"/>
  <c r="U4170" i="3"/>
  <c r="Y4170" i="3" s="1"/>
  <c r="Z4170" i="3" s="1"/>
  <c r="U4264" i="3"/>
  <c r="Y4264" i="3" s="1"/>
  <c r="Z4264" i="3" s="1"/>
  <c r="U4271" i="3"/>
  <c r="Y4271" i="3" s="1"/>
  <c r="Z4271" i="3" s="1"/>
  <c r="U4427" i="3"/>
  <c r="Y4427" i="3" s="1"/>
  <c r="Z4427" i="3" s="1"/>
  <c r="U4435" i="3"/>
  <c r="Y4435" i="3" s="1"/>
  <c r="Z4435" i="3" s="1"/>
  <c r="U4450" i="3"/>
  <c r="Y4450" i="3" s="1"/>
  <c r="Z4450" i="3" s="1"/>
  <c r="U4451" i="3"/>
  <c r="Y4451" i="3" s="1"/>
  <c r="Z4451" i="3" s="1"/>
  <c r="U4547" i="3"/>
  <c r="Y4547" i="3" s="1"/>
  <c r="Z4547" i="3" s="1"/>
  <c r="U4567" i="3"/>
  <c r="Y4567" i="3" s="1"/>
  <c r="Z4567" i="3" s="1"/>
  <c r="U4580" i="3"/>
  <c r="Y4580" i="3" s="1"/>
  <c r="Z4580" i="3" s="1"/>
  <c r="U4641" i="3"/>
  <c r="Y4641" i="3" s="1"/>
  <c r="Z4641" i="3" s="1"/>
  <c r="U4745" i="3"/>
  <c r="Y4745" i="3" s="1"/>
  <c r="Z4745" i="3" s="1"/>
  <c r="U4764" i="3"/>
  <c r="Y4764" i="3" s="1"/>
  <c r="Z4764" i="3" s="1"/>
  <c r="U4790" i="3"/>
  <c r="Y4790" i="3" s="1"/>
  <c r="Z4790" i="3" s="1"/>
  <c r="U4808" i="3"/>
  <c r="Y4808" i="3" s="1"/>
  <c r="Z4808" i="3" s="1"/>
  <c r="U4817" i="3"/>
  <c r="Y4817" i="3" s="1"/>
  <c r="Z4817" i="3" s="1"/>
  <c r="U1522" i="3"/>
  <c r="Y1522" i="3" s="1"/>
  <c r="Z1522" i="3" s="1"/>
  <c r="U1549" i="3"/>
  <c r="Y1549" i="3" s="1"/>
  <c r="Z1549" i="3" s="1"/>
  <c r="U1746" i="3"/>
  <c r="Y1746" i="3" s="1"/>
  <c r="Z1746" i="3" s="1"/>
  <c r="U1948" i="3"/>
  <c r="Y1948" i="3" s="1"/>
  <c r="Z1948" i="3" s="1"/>
  <c r="U1991" i="3"/>
  <c r="Y1991" i="3" s="1"/>
  <c r="Z1991" i="3" s="1"/>
  <c r="U2048" i="3"/>
  <c r="Y2048" i="3" s="1"/>
  <c r="Z2048" i="3" s="1"/>
  <c r="U2170" i="3"/>
  <c r="Y2170" i="3" s="1"/>
  <c r="Z2170" i="3" s="1"/>
  <c r="U2197" i="3"/>
  <c r="Y2197" i="3" s="1"/>
  <c r="Z2197" i="3" s="1"/>
  <c r="U2278" i="3"/>
  <c r="Y2278" i="3" s="1"/>
  <c r="Z2278" i="3" s="1"/>
  <c r="U2328" i="3"/>
  <c r="Y2328" i="3" s="1"/>
  <c r="Z2328" i="3" s="1"/>
  <c r="U2386" i="3"/>
  <c r="Y2386" i="3" s="1"/>
  <c r="Z2386" i="3" s="1"/>
  <c r="U2410" i="3"/>
  <c r="Y2410" i="3" s="1"/>
  <c r="Z2410" i="3" s="1"/>
  <c r="U2450" i="3"/>
  <c r="Y2450" i="3" s="1"/>
  <c r="Z2450" i="3" s="1"/>
  <c r="U2547" i="3"/>
  <c r="Y2547" i="3" s="1"/>
  <c r="Z2547" i="3" s="1"/>
  <c r="U2626" i="3"/>
  <c r="Y2626" i="3" s="1"/>
  <c r="Z2626" i="3" s="1"/>
  <c r="U2656" i="3"/>
  <c r="Y2656" i="3" s="1"/>
  <c r="Z2656" i="3" s="1"/>
  <c r="U2701" i="3"/>
  <c r="Y2701" i="3" s="1"/>
  <c r="Z2701" i="3" s="1"/>
  <c r="U2711" i="3"/>
  <c r="Y2711" i="3" s="1"/>
  <c r="Z2711" i="3" s="1"/>
  <c r="U2777" i="3"/>
  <c r="Y2777" i="3" s="1"/>
  <c r="Z2777" i="3" s="1"/>
  <c r="U2782" i="3"/>
  <c r="Y2782" i="3" s="1"/>
  <c r="Z2782" i="3" s="1"/>
  <c r="U2789" i="3"/>
  <c r="Y2789" i="3" s="1"/>
  <c r="Z2789" i="3" s="1"/>
  <c r="U2809" i="3"/>
  <c r="Y2809" i="3" s="1"/>
  <c r="Z2809" i="3" s="1"/>
  <c r="U2838" i="3"/>
  <c r="Y2838" i="3" s="1"/>
  <c r="Z2838" i="3" s="1"/>
  <c r="U2873" i="3"/>
  <c r="Y2873" i="3" s="1"/>
  <c r="Z2873" i="3" s="1"/>
  <c r="U2880" i="3"/>
  <c r="Y2880" i="3" s="1"/>
  <c r="Z2880" i="3" s="1"/>
  <c r="U2901" i="3"/>
  <c r="Y2901" i="3" s="1"/>
  <c r="Z2901" i="3" s="1"/>
  <c r="U2946" i="3"/>
  <c r="Y2946" i="3" s="1"/>
  <c r="Z2946" i="3" s="1"/>
  <c r="U2954" i="3"/>
  <c r="Y2954" i="3" s="1"/>
  <c r="Z2954" i="3" s="1"/>
  <c r="U2976" i="3"/>
  <c r="Y2976" i="3" s="1"/>
  <c r="Z2976" i="3" s="1"/>
  <c r="U3049" i="3"/>
  <c r="Y3049" i="3" s="1"/>
  <c r="Z3049" i="3" s="1"/>
  <c r="U3169" i="3"/>
  <c r="Y3169" i="3" s="1"/>
  <c r="Z3169" i="3" s="1"/>
  <c r="U3242" i="3"/>
  <c r="Y3242" i="3" s="1"/>
  <c r="Z3242" i="3" s="1"/>
  <c r="U3308" i="3"/>
  <c r="Y3308" i="3" s="1"/>
  <c r="Z3308" i="3" s="1"/>
  <c r="U3315" i="3"/>
  <c r="Y3315" i="3" s="1"/>
  <c r="Z3315" i="3" s="1"/>
  <c r="U3355" i="3"/>
  <c r="Y3355" i="3" s="1"/>
  <c r="Z3355" i="3" s="1"/>
  <c r="U3400" i="3"/>
  <c r="Y3400" i="3" s="1"/>
  <c r="Z3400" i="3" s="1"/>
  <c r="U3456" i="3"/>
  <c r="Y3456" i="3" s="1"/>
  <c r="Z3456" i="3" s="1"/>
  <c r="U3524" i="3"/>
  <c r="Y3524" i="3" s="1"/>
  <c r="Z3524" i="3" s="1"/>
  <c r="U3561" i="3"/>
  <c r="Y3561" i="3" s="1"/>
  <c r="Z3561" i="3" s="1"/>
  <c r="U3569" i="3"/>
  <c r="Y3569" i="3" s="1"/>
  <c r="Z3569" i="3" s="1"/>
  <c r="U3641" i="3"/>
  <c r="Y3641" i="3" s="1"/>
  <c r="Z3641" i="3" s="1"/>
  <c r="U3652" i="3"/>
  <c r="Y3652" i="3" s="1"/>
  <c r="Z3652" i="3" s="1"/>
  <c r="U3783" i="3"/>
  <c r="Y3783" i="3" s="1"/>
  <c r="Z3783" i="3" s="1"/>
  <c r="U3825" i="3"/>
  <c r="Y3825" i="3" s="1"/>
  <c r="Z3825" i="3" s="1"/>
  <c r="U3852" i="3"/>
  <c r="Y3852" i="3" s="1"/>
  <c r="Z3852" i="3" s="1"/>
  <c r="U3873" i="3"/>
  <c r="Y3873" i="3" s="1"/>
  <c r="Z3873" i="3" s="1"/>
  <c r="U3895" i="3"/>
  <c r="Y3895" i="3" s="1"/>
  <c r="Z3895" i="3" s="1"/>
  <c r="U3919" i="3"/>
  <c r="Y3919" i="3" s="1"/>
  <c r="Z3919" i="3" s="1"/>
  <c r="U3928" i="3"/>
  <c r="Y3928" i="3" s="1"/>
  <c r="Z3928" i="3" s="1"/>
  <c r="U3939" i="3"/>
  <c r="Y3939" i="3" s="1"/>
  <c r="Z3939" i="3" s="1"/>
  <c r="U3941" i="3"/>
  <c r="Y3941" i="3" s="1"/>
  <c r="Z3941" i="3" s="1"/>
  <c r="U3956" i="3"/>
  <c r="Y3956" i="3" s="1"/>
  <c r="Z3956" i="3" s="1"/>
  <c r="U4044" i="3"/>
  <c r="Y4044" i="3" s="1"/>
  <c r="Z4044" i="3" s="1"/>
  <c r="U4053" i="3"/>
  <c r="Y4053" i="3" s="1"/>
  <c r="Z4053" i="3" s="1"/>
  <c r="U4083" i="3"/>
  <c r="Y4083" i="3" s="1"/>
  <c r="Z4083" i="3" s="1"/>
  <c r="U4091" i="3"/>
  <c r="Y4091" i="3" s="1"/>
  <c r="Z4091" i="3" s="1"/>
  <c r="U4119" i="3"/>
  <c r="Y4119" i="3" s="1"/>
  <c r="Z4119" i="3" s="1"/>
  <c r="U4138" i="3"/>
  <c r="Y4138" i="3" s="1"/>
  <c r="Z4138" i="3" s="1"/>
  <c r="U4143" i="3"/>
  <c r="Y4143" i="3" s="1"/>
  <c r="Z4143" i="3" s="1"/>
  <c r="U4276" i="3"/>
  <c r="Y4276" i="3" s="1"/>
  <c r="Z4276" i="3" s="1"/>
  <c r="U4294" i="3"/>
  <c r="Y4294" i="3" s="1"/>
  <c r="Z4294" i="3" s="1"/>
  <c r="U4439" i="3"/>
  <c r="Y4439" i="3" s="1"/>
  <c r="Z4439" i="3" s="1"/>
  <c r="U4497" i="3"/>
  <c r="Y4497" i="3" s="1"/>
  <c r="Z4497" i="3" s="1"/>
  <c r="U4544" i="3"/>
  <c r="Y4544" i="3" s="1"/>
  <c r="Z4544" i="3" s="1"/>
  <c r="U4560" i="3"/>
  <c r="Y4560" i="3" s="1"/>
  <c r="Z4560" i="3" s="1"/>
  <c r="U4566" i="3"/>
  <c r="Y4566" i="3" s="1"/>
  <c r="Z4566" i="3" s="1"/>
  <c r="U4570" i="3"/>
  <c r="Y4570" i="3" s="1"/>
  <c r="Z4570" i="3" s="1"/>
  <c r="U4613" i="3"/>
  <c r="Y4613" i="3" s="1"/>
  <c r="Z4613" i="3" s="1"/>
  <c r="U4631" i="3"/>
  <c r="Y4631" i="3" s="1"/>
  <c r="Z4631" i="3" s="1"/>
  <c r="U4642" i="3"/>
  <c r="Y4642" i="3" s="1"/>
  <c r="Z4642" i="3" s="1"/>
  <c r="U4691" i="3"/>
  <c r="Y4691" i="3" s="1"/>
  <c r="Z4691" i="3" s="1"/>
  <c r="U4742" i="3"/>
  <c r="Y4742" i="3" s="1"/>
  <c r="Z4742" i="3" s="1"/>
  <c r="U4763" i="3"/>
  <c r="Y4763" i="3" s="1"/>
  <c r="Z4763" i="3" s="1"/>
  <c r="U4774" i="3"/>
  <c r="Y4774" i="3" s="1"/>
  <c r="Z4774" i="3" s="1"/>
  <c r="U4801" i="3"/>
  <c r="Y4801" i="3" s="1"/>
  <c r="Z4801" i="3" s="1"/>
  <c r="U1622" i="3"/>
  <c r="Y1622" i="3" s="1"/>
  <c r="Z1622" i="3" s="1"/>
  <c r="U1744" i="3"/>
  <c r="Y1744" i="3" s="1"/>
  <c r="Z1744" i="3" s="1"/>
  <c r="U1790" i="3"/>
  <c r="Y1790" i="3" s="1"/>
  <c r="Z1790" i="3" s="1"/>
  <c r="U1819" i="3"/>
  <c r="Y1819" i="3" s="1"/>
  <c r="Z1819" i="3" s="1"/>
  <c r="U1846" i="3"/>
  <c r="Y1846" i="3" s="1"/>
  <c r="Z1846" i="3" s="1"/>
  <c r="U1862" i="3"/>
  <c r="Y1862" i="3" s="1"/>
  <c r="Z1862" i="3" s="1"/>
  <c r="U1880" i="3"/>
  <c r="Y1880" i="3" s="1"/>
  <c r="Z1880" i="3" s="1"/>
  <c r="U1907" i="3"/>
  <c r="Y1907" i="3" s="1"/>
  <c r="Z1907" i="3" s="1"/>
  <c r="U1911" i="3"/>
  <c r="Y1911" i="3" s="1"/>
  <c r="Z1911" i="3" s="1"/>
  <c r="U1928" i="3"/>
  <c r="Y1928" i="3" s="1"/>
  <c r="Z1928" i="3" s="1"/>
  <c r="U1961" i="3"/>
  <c r="Y1961" i="3" s="1"/>
  <c r="Z1961" i="3" s="1"/>
  <c r="U2011" i="3"/>
  <c r="Y2011" i="3" s="1"/>
  <c r="Z2011" i="3" s="1"/>
  <c r="U2042" i="3"/>
  <c r="Y2042" i="3" s="1"/>
  <c r="Z2042" i="3" s="1"/>
  <c r="U2074" i="3"/>
  <c r="Y2074" i="3" s="1"/>
  <c r="Z2074" i="3" s="1"/>
  <c r="U2205" i="3"/>
  <c r="Y2205" i="3" s="1"/>
  <c r="Z2205" i="3" s="1"/>
  <c r="U2287" i="3"/>
  <c r="Y2287" i="3" s="1"/>
  <c r="Z2287" i="3" s="1"/>
  <c r="U2297" i="3"/>
  <c r="Y2297" i="3" s="1"/>
  <c r="Z2297" i="3" s="1"/>
  <c r="U2400" i="3"/>
  <c r="Y2400" i="3" s="1"/>
  <c r="Z2400" i="3" s="1"/>
  <c r="U2428" i="3"/>
  <c r="Y2428" i="3" s="1"/>
  <c r="Z2428" i="3" s="1"/>
  <c r="U2430" i="3"/>
  <c r="Y2430" i="3" s="1"/>
  <c r="Z2430" i="3" s="1"/>
  <c r="U2488" i="3"/>
  <c r="Y2488" i="3" s="1"/>
  <c r="Z2488" i="3" s="1"/>
  <c r="U2555" i="3"/>
  <c r="Y2555" i="3" s="1"/>
  <c r="Z2555" i="3" s="1"/>
  <c r="U2592" i="3"/>
  <c r="Y2592" i="3" s="1"/>
  <c r="Z2592" i="3" s="1"/>
  <c r="U2806" i="3"/>
  <c r="Y2806" i="3" s="1"/>
  <c r="Z2806" i="3" s="1"/>
  <c r="U2814" i="3"/>
  <c r="Y2814" i="3" s="1"/>
  <c r="Z2814" i="3" s="1"/>
  <c r="U2887" i="3"/>
  <c r="Y2887" i="3" s="1"/>
  <c r="Z2887" i="3" s="1"/>
  <c r="U2910" i="3"/>
  <c r="Y2910" i="3" s="1"/>
  <c r="Z2910" i="3" s="1"/>
  <c r="U2916" i="3"/>
  <c r="Y2916" i="3" s="1"/>
  <c r="Z2916" i="3" s="1"/>
  <c r="U3257" i="3"/>
  <c r="Y3257" i="3" s="1"/>
  <c r="Z3257" i="3" s="1"/>
  <c r="U3326" i="3"/>
  <c r="Y3326" i="3" s="1"/>
  <c r="Z3326" i="3" s="1"/>
  <c r="U3391" i="3"/>
  <c r="Y3391" i="3" s="1"/>
  <c r="Z3391" i="3" s="1"/>
  <c r="U3442" i="3"/>
  <c r="Y3442" i="3" s="1"/>
  <c r="Z3442" i="3" s="1"/>
  <c r="U3449" i="3"/>
  <c r="Y3449" i="3" s="1"/>
  <c r="Z3449" i="3" s="1"/>
  <c r="U3475" i="3"/>
  <c r="Y3475" i="3" s="1"/>
  <c r="Z3475" i="3" s="1"/>
  <c r="U3567" i="3"/>
  <c r="Y3567" i="3" s="1"/>
  <c r="Z3567" i="3" s="1"/>
  <c r="U3576" i="3"/>
  <c r="Y3576" i="3" s="1"/>
  <c r="Z3576" i="3" s="1"/>
  <c r="U3582" i="3"/>
  <c r="Y3582" i="3" s="1"/>
  <c r="Z3582" i="3" s="1"/>
  <c r="U3602" i="3"/>
  <c r="Y3602" i="3" s="1"/>
  <c r="Z3602" i="3" s="1"/>
  <c r="U3649" i="3"/>
  <c r="Y3649" i="3" s="1"/>
  <c r="Z3649" i="3" s="1"/>
  <c r="U3660" i="3"/>
  <c r="Y3660" i="3" s="1"/>
  <c r="Z3660" i="3" s="1"/>
  <c r="U3665" i="3"/>
  <c r="Y3665" i="3" s="1"/>
  <c r="Z3665" i="3" s="1"/>
  <c r="U3688" i="3"/>
  <c r="Y3688" i="3" s="1"/>
  <c r="Z3688" i="3" s="1"/>
  <c r="U3867" i="3"/>
  <c r="Y3867" i="3" s="1"/>
  <c r="Z3867" i="3" s="1"/>
  <c r="U3926" i="3"/>
  <c r="Y3926" i="3" s="1"/>
  <c r="Z3926" i="3" s="1"/>
  <c r="U3976" i="3"/>
  <c r="Y3976" i="3" s="1"/>
  <c r="Z3976" i="3" s="1"/>
  <c r="U3977" i="3"/>
  <c r="Y3977" i="3" s="1"/>
  <c r="Z3977" i="3" s="1"/>
  <c r="U4007" i="3"/>
  <c r="Y4007" i="3" s="1"/>
  <c r="Z4007" i="3" s="1"/>
  <c r="U4021" i="3"/>
  <c r="Y4021" i="3" s="1"/>
  <c r="Z4021" i="3" s="1"/>
  <c r="U4287" i="3"/>
  <c r="Y4287" i="3" s="1"/>
  <c r="Z4287" i="3" s="1"/>
  <c r="U4401" i="3"/>
  <c r="Y4401" i="3" s="1"/>
  <c r="Z4401" i="3" s="1"/>
  <c r="U4449" i="3"/>
  <c r="Y4449" i="3" s="1"/>
  <c r="Z4449" i="3" s="1"/>
  <c r="U4514" i="3"/>
  <c r="Y4514" i="3" s="1"/>
  <c r="Z4514" i="3" s="1"/>
  <c r="U4516" i="3"/>
  <c r="Y4516" i="3" s="1"/>
  <c r="Z4516" i="3" s="1"/>
  <c r="U4593" i="3"/>
  <c r="Y4593" i="3" s="1"/>
  <c r="Z4593" i="3" s="1"/>
  <c r="U4595" i="3"/>
  <c r="Y4595" i="3" s="1"/>
  <c r="Z4595" i="3" s="1"/>
  <c r="U4762" i="3"/>
  <c r="Y4762" i="3" s="1"/>
  <c r="Z4762" i="3" s="1"/>
  <c r="U4794" i="3"/>
  <c r="Y4794" i="3" s="1"/>
  <c r="Z4794" i="3" s="1"/>
  <c r="U1705" i="3"/>
  <c r="Y1705" i="3" s="1"/>
  <c r="Z1705" i="3" s="1"/>
  <c r="U1753" i="3"/>
  <c r="Y1753" i="3" s="1"/>
  <c r="Z1753" i="3" s="1"/>
  <c r="U1771" i="3"/>
  <c r="Y1771" i="3" s="1"/>
  <c r="Z1771" i="3" s="1"/>
  <c r="U1826" i="3"/>
  <c r="Y1826" i="3" s="1"/>
  <c r="Z1826" i="3" s="1"/>
  <c r="U1997" i="3"/>
  <c r="Y1997" i="3" s="1"/>
  <c r="Z1997" i="3" s="1"/>
  <c r="U2006" i="3"/>
  <c r="Y2006" i="3" s="1"/>
  <c r="Z2006" i="3" s="1"/>
  <c r="U2009" i="3"/>
  <c r="Y2009" i="3" s="1"/>
  <c r="Z2009" i="3" s="1"/>
  <c r="U2017" i="3"/>
  <c r="Y2017" i="3" s="1"/>
  <c r="Z2017" i="3" s="1"/>
  <c r="U2037" i="3"/>
  <c r="Y2037" i="3" s="1"/>
  <c r="Z2037" i="3" s="1"/>
  <c r="U2069" i="3"/>
  <c r="Y2069" i="3" s="1"/>
  <c r="Z2069" i="3" s="1"/>
  <c r="U2132" i="3"/>
  <c r="Y2132" i="3" s="1"/>
  <c r="Z2132" i="3" s="1"/>
  <c r="U2135" i="3"/>
  <c r="Y2135" i="3" s="1"/>
  <c r="Z2135" i="3" s="1"/>
  <c r="U2244" i="3"/>
  <c r="Y2244" i="3" s="1"/>
  <c r="Z2244" i="3" s="1"/>
  <c r="U2283" i="3"/>
  <c r="Y2283" i="3" s="1"/>
  <c r="Z2283" i="3" s="1"/>
  <c r="U2379" i="3"/>
  <c r="Y2379" i="3" s="1"/>
  <c r="Z2379" i="3" s="1"/>
  <c r="U2444" i="3"/>
  <c r="Y2444" i="3" s="1"/>
  <c r="Z2444" i="3" s="1"/>
  <c r="U2619" i="3"/>
  <c r="Y2619" i="3" s="1"/>
  <c r="Z2619" i="3" s="1"/>
  <c r="U2692" i="3"/>
  <c r="Y2692" i="3" s="1"/>
  <c r="Z2692" i="3" s="1"/>
  <c r="U2697" i="3"/>
  <c r="Y2697" i="3" s="1"/>
  <c r="Z2697" i="3" s="1"/>
  <c r="U2713" i="3"/>
  <c r="Y2713" i="3" s="1"/>
  <c r="Z2713" i="3" s="1"/>
  <c r="U2827" i="3"/>
  <c r="Y2827" i="3" s="1"/>
  <c r="Z2827" i="3" s="1"/>
  <c r="U2906" i="3"/>
  <c r="Y2906" i="3" s="1"/>
  <c r="Z2906" i="3" s="1"/>
  <c r="U3027" i="3"/>
  <c r="Y3027" i="3" s="1"/>
  <c r="Z3027" i="3" s="1"/>
  <c r="U3081" i="3"/>
  <c r="Y3081" i="3" s="1"/>
  <c r="Z3081" i="3" s="1"/>
  <c r="U3082" i="3"/>
  <c r="Y3082" i="3" s="1"/>
  <c r="Z3082" i="3" s="1"/>
  <c r="U3127" i="3"/>
  <c r="Y3127" i="3" s="1"/>
  <c r="Z3127" i="3" s="1"/>
  <c r="U3210" i="3"/>
  <c r="Y3210" i="3" s="1"/>
  <c r="Z3210" i="3" s="1"/>
  <c r="U3212" i="3"/>
  <c r="Y3212" i="3" s="1"/>
  <c r="Z3212" i="3" s="1"/>
  <c r="U3338" i="3"/>
  <c r="Y3338" i="3" s="1"/>
  <c r="Z3338" i="3" s="1"/>
  <c r="U3368" i="3"/>
  <c r="Y3368" i="3" s="1"/>
  <c r="Z3368" i="3" s="1"/>
  <c r="U3398" i="3"/>
  <c r="Y3398" i="3" s="1"/>
  <c r="Z3398" i="3" s="1"/>
  <c r="U3443" i="3"/>
  <c r="Y3443" i="3" s="1"/>
  <c r="Z3443" i="3" s="1"/>
  <c r="U3463" i="3"/>
  <c r="Y3463" i="3" s="1"/>
  <c r="Z3463" i="3" s="1"/>
  <c r="U3487" i="3"/>
  <c r="Y3487" i="3" s="1"/>
  <c r="Z3487" i="3" s="1"/>
  <c r="U3522" i="3"/>
  <c r="Y3522" i="3" s="1"/>
  <c r="Z3522" i="3" s="1"/>
  <c r="U3580" i="3"/>
  <c r="Y3580" i="3" s="1"/>
  <c r="Z3580" i="3" s="1"/>
  <c r="U3596" i="3"/>
  <c r="Y3596" i="3" s="1"/>
  <c r="Z3596" i="3" s="1"/>
  <c r="U3609" i="3"/>
  <c r="Y3609" i="3" s="1"/>
  <c r="Z3609" i="3" s="1"/>
  <c r="U3823" i="3"/>
  <c r="Y3823" i="3" s="1"/>
  <c r="Z3823" i="3" s="1"/>
  <c r="U3842" i="3"/>
  <c r="Y3842" i="3" s="1"/>
  <c r="Z3842" i="3" s="1"/>
  <c r="U3930" i="3"/>
  <c r="Y3930" i="3" s="1"/>
  <c r="Z3930" i="3" s="1"/>
  <c r="U4087" i="3"/>
  <c r="Y4087" i="3" s="1"/>
  <c r="Z4087" i="3" s="1"/>
  <c r="U4124" i="3"/>
  <c r="Y4124" i="3" s="1"/>
  <c r="Z4124" i="3" s="1"/>
  <c r="U4320" i="3"/>
  <c r="Y4320" i="3" s="1"/>
  <c r="Z4320" i="3" s="1"/>
  <c r="U4342" i="3"/>
  <c r="Y4342" i="3" s="1"/>
  <c r="Z4342" i="3" s="1"/>
  <c r="U4494" i="3"/>
  <c r="Y4494" i="3" s="1"/>
  <c r="Z4494" i="3" s="1"/>
  <c r="U4660" i="3"/>
  <c r="Y4660" i="3" s="1"/>
  <c r="Z4660" i="3" s="1"/>
  <c r="U4805" i="3"/>
  <c r="Y4805" i="3" s="1"/>
  <c r="Z4805" i="3" s="1"/>
  <c r="U2658" i="3"/>
  <c r="Y2658" i="3" s="1"/>
  <c r="Z2658" i="3" s="1"/>
  <c r="U2988" i="3"/>
  <c r="Y2988" i="3" s="1"/>
  <c r="Z2988" i="3" s="1"/>
  <c r="U3115" i="3"/>
  <c r="Y3115" i="3" s="1"/>
  <c r="Z3115" i="3" s="1"/>
  <c r="U3586" i="3"/>
  <c r="Y3586" i="3" s="1"/>
  <c r="Z3586" i="3" s="1"/>
  <c r="U4023" i="3"/>
  <c r="Y4023" i="3" s="1"/>
  <c r="Z4023" i="3" s="1"/>
  <c r="U4600" i="3"/>
  <c r="Y4600" i="3" s="1"/>
  <c r="Z4600" i="3" s="1"/>
  <c r="U1773" i="3"/>
  <c r="Y1773" i="3" s="1"/>
  <c r="Z1773" i="3" s="1"/>
  <c r="U1787" i="3"/>
  <c r="Y1787" i="3" s="1"/>
  <c r="Z1787" i="3" s="1"/>
  <c r="U1842" i="3"/>
  <c r="Y1842" i="3" s="1"/>
  <c r="Z1842" i="3" s="1"/>
  <c r="U1865" i="3"/>
  <c r="Y1865" i="3" s="1"/>
  <c r="Z1865" i="3" s="1"/>
  <c r="U2092" i="3"/>
  <c r="Y2092" i="3" s="1"/>
  <c r="Z2092" i="3" s="1"/>
  <c r="U2138" i="3"/>
  <c r="Y2138" i="3" s="1"/>
  <c r="Z2138" i="3" s="1"/>
  <c r="U2176" i="3"/>
  <c r="Y2176" i="3" s="1"/>
  <c r="Z2176" i="3" s="1"/>
  <c r="U2196" i="3"/>
  <c r="Y2196" i="3" s="1"/>
  <c r="Z2196" i="3" s="1"/>
  <c r="U2221" i="3"/>
  <c r="Y2221" i="3" s="1"/>
  <c r="Z2221" i="3" s="1"/>
  <c r="U2229" i="3"/>
  <c r="Y2229" i="3" s="1"/>
  <c r="Z2229" i="3" s="1"/>
  <c r="U2276" i="3"/>
  <c r="Y2276" i="3" s="1"/>
  <c r="Z2276" i="3" s="1"/>
  <c r="U2312" i="3"/>
  <c r="Y2312" i="3" s="1"/>
  <c r="Z2312" i="3" s="1"/>
  <c r="U2412" i="3"/>
  <c r="Y2412" i="3" s="1"/>
  <c r="Z2412" i="3" s="1"/>
  <c r="U2424" i="3"/>
  <c r="Y2424" i="3" s="1"/>
  <c r="Z2424" i="3" s="1"/>
  <c r="U2474" i="3"/>
  <c r="Y2474" i="3" s="1"/>
  <c r="Z2474" i="3" s="1"/>
  <c r="U2503" i="3"/>
  <c r="Y2503" i="3" s="1"/>
  <c r="Z2503" i="3" s="1"/>
  <c r="U2593" i="3"/>
  <c r="Y2593" i="3" s="1"/>
  <c r="Z2593" i="3" s="1"/>
  <c r="U2596" i="3"/>
  <c r="Y2596" i="3" s="1"/>
  <c r="Z2596" i="3" s="1"/>
  <c r="U2628" i="3"/>
  <c r="Y2628" i="3" s="1"/>
  <c r="Z2628" i="3" s="1"/>
  <c r="U2654" i="3"/>
  <c r="Y2654" i="3" s="1"/>
  <c r="Z2654" i="3" s="1"/>
  <c r="U2792" i="3"/>
  <c r="Y2792" i="3" s="1"/>
  <c r="Z2792" i="3" s="1"/>
  <c r="U2823" i="3"/>
  <c r="Y2823" i="3" s="1"/>
  <c r="Z2823" i="3" s="1"/>
  <c r="U2825" i="3"/>
  <c r="Y2825" i="3" s="1"/>
  <c r="Z2825" i="3" s="1"/>
  <c r="U2856" i="3"/>
  <c r="Y2856" i="3" s="1"/>
  <c r="Z2856" i="3" s="1"/>
  <c r="U2871" i="3"/>
  <c r="Y2871" i="3" s="1"/>
  <c r="Z2871" i="3" s="1"/>
  <c r="U2921" i="3"/>
  <c r="Y2921" i="3" s="1"/>
  <c r="Z2921" i="3" s="1"/>
  <c r="U2941" i="3"/>
  <c r="Y2941" i="3" s="1"/>
  <c r="Z2941" i="3" s="1"/>
  <c r="U3020" i="3"/>
  <c r="Y3020" i="3" s="1"/>
  <c r="Z3020" i="3" s="1"/>
  <c r="U3044" i="3"/>
  <c r="Y3044" i="3" s="1"/>
  <c r="Z3044" i="3" s="1"/>
  <c r="U3073" i="3"/>
  <c r="Y3073" i="3" s="1"/>
  <c r="Z3073" i="3" s="1"/>
  <c r="U3112" i="3"/>
  <c r="Y3112" i="3" s="1"/>
  <c r="Z3112" i="3" s="1"/>
  <c r="U3154" i="3"/>
  <c r="Y3154" i="3" s="1"/>
  <c r="Z3154" i="3" s="1"/>
  <c r="U3188" i="3"/>
  <c r="Y3188" i="3" s="1"/>
  <c r="Z3188" i="3" s="1"/>
  <c r="U3211" i="3"/>
  <c r="Y3211" i="3" s="1"/>
  <c r="Z3211" i="3" s="1"/>
  <c r="U3219" i="3"/>
  <c r="Y3219" i="3" s="1"/>
  <c r="Z3219" i="3" s="1"/>
  <c r="U3252" i="3"/>
  <c r="Y3252" i="3" s="1"/>
  <c r="Z3252" i="3" s="1"/>
  <c r="U3265" i="3"/>
  <c r="Y3265" i="3" s="1"/>
  <c r="Z3265" i="3" s="1"/>
  <c r="U3325" i="3"/>
  <c r="Y3325" i="3" s="1"/>
  <c r="Z3325" i="3" s="1"/>
  <c r="U3367" i="3"/>
  <c r="Y3367" i="3" s="1"/>
  <c r="Z3367" i="3" s="1"/>
  <c r="U3372" i="3"/>
  <c r="Y3372" i="3" s="1"/>
  <c r="Z3372" i="3" s="1"/>
  <c r="U3381" i="3"/>
  <c r="Y3381" i="3" s="1"/>
  <c r="Z3381" i="3" s="1"/>
  <c r="U3405" i="3"/>
  <c r="Y3405" i="3" s="1"/>
  <c r="Z3405" i="3" s="1"/>
  <c r="U3631" i="3"/>
  <c r="Y3631" i="3" s="1"/>
  <c r="Z3631" i="3" s="1"/>
  <c r="U3648" i="3"/>
  <c r="Y3648" i="3" s="1"/>
  <c r="Z3648" i="3" s="1"/>
  <c r="U3655" i="3"/>
  <c r="Y3655" i="3" s="1"/>
  <c r="Z3655" i="3" s="1"/>
  <c r="U3668" i="3"/>
  <c r="Y3668" i="3" s="1"/>
  <c r="Z3668" i="3" s="1"/>
  <c r="U3692" i="3"/>
  <c r="Y3692" i="3" s="1"/>
  <c r="Z3692" i="3" s="1"/>
  <c r="U3745" i="3"/>
  <c r="Y3745" i="3" s="1"/>
  <c r="Z3745" i="3" s="1"/>
  <c r="U3773" i="3"/>
  <c r="U3865" i="3"/>
  <c r="Y3865" i="3" s="1"/>
  <c r="Z3865" i="3" s="1"/>
  <c r="U3950" i="3"/>
  <c r="Y3950" i="3" s="1"/>
  <c r="Z3950" i="3" s="1"/>
  <c r="U4008" i="3"/>
  <c r="Y4008" i="3" s="1"/>
  <c r="Z4008" i="3" s="1"/>
  <c r="U4059" i="3"/>
  <c r="Y4059" i="3" s="1"/>
  <c r="Z4059" i="3" s="1"/>
  <c r="U4065" i="3"/>
  <c r="Y4065" i="3" s="1"/>
  <c r="Z4065" i="3" s="1"/>
  <c r="U4107" i="3"/>
  <c r="Y4107" i="3" s="1"/>
  <c r="Z4107" i="3" s="1"/>
  <c r="U4217" i="3"/>
  <c r="Y4217" i="3" s="1"/>
  <c r="Z4217" i="3" s="1"/>
  <c r="U4246" i="3"/>
  <c r="Y4246" i="3" s="1"/>
  <c r="Z4246" i="3" s="1"/>
  <c r="U4278" i="3"/>
  <c r="Y4278" i="3" s="1"/>
  <c r="Z4278" i="3" s="1"/>
  <c r="U4333" i="3"/>
  <c r="Y4333" i="3" s="1"/>
  <c r="Z4333" i="3" s="1"/>
  <c r="U4363" i="3"/>
  <c r="Y4363" i="3" s="1"/>
  <c r="Z4363" i="3" s="1"/>
  <c r="U4430" i="3"/>
  <c r="Y4430" i="3" s="1"/>
  <c r="Z4430" i="3" s="1"/>
  <c r="U4461" i="3"/>
  <c r="Y4461" i="3" s="1"/>
  <c r="Z4461" i="3" s="1"/>
  <c r="U4554" i="3"/>
  <c r="Y4554" i="3" s="1"/>
  <c r="Z4554" i="3" s="1"/>
  <c r="U4565" i="3"/>
  <c r="Y4565" i="3" s="1"/>
  <c r="Z4565" i="3" s="1"/>
  <c r="U4622" i="3"/>
  <c r="Y4622" i="3" s="1"/>
  <c r="Z4622" i="3" s="1"/>
  <c r="U4639" i="3"/>
  <c r="Y4639" i="3" s="1"/>
  <c r="Z4639" i="3" s="1"/>
  <c r="U4663" i="3"/>
  <c r="Y4663" i="3" s="1"/>
  <c r="Z4663" i="3" s="1"/>
  <c r="U4688" i="3"/>
  <c r="Y4688" i="3" s="1"/>
  <c r="Z4688" i="3" s="1"/>
  <c r="U4690" i="3"/>
  <c r="Y4690" i="3" s="1"/>
  <c r="Z4690" i="3" s="1"/>
  <c r="U4806" i="3"/>
  <c r="Y4806" i="3" s="1"/>
  <c r="Z4806" i="3" s="1"/>
  <c r="U4826" i="3"/>
  <c r="Y4826" i="3" s="1"/>
  <c r="Z4826" i="3" s="1"/>
  <c r="U1848" i="3"/>
  <c r="Y1848" i="3" s="1"/>
  <c r="Z1848" i="3" s="1"/>
  <c r="U1861" i="3"/>
  <c r="Y1861" i="3" s="1"/>
  <c r="Z1861" i="3" s="1"/>
  <c r="U1878" i="3"/>
  <c r="Y1878" i="3" s="1"/>
  <c r="Z1878" i="3" s="1"/>
  <c r="U1937" i="3"/>
  <c r="Y1937" i="3" s="1"/>
  <c r="Z1937" i="3" s="1"/>
  <c r="U1966" i="3"/>
  <c r="Y1966" i="3" s="1"/>
  <c r="Z1966" i="3" s="1"/>
  <c r="U2019" i="3"/>
  <c r="Y2019" i="3" s="1"/>
  <c r="Z2019" i="3" s="1"/>
  <c r="U2112" i="3"/>
  <c r="Y2112" i="3" s="1"/>
  <c r="Z2112" i="3" s="1"/>
  <c r="U2145" i="3"/>
  <c r="Y2145" i="3" s="1"/>
  <c r="Z2145" i="3" s="1"/>
  <c r="U2240" i="3"/>
  <c r="Y2240" i="3" s="1"/>
  <c r="Z2240" i="3" s="1"/>
  <c r="U2281" i="3"/>
  <c r="Y2281" i="3" s="1"/>
  <c r="Z2281" i="3" s="1"/>
  <c r="U2419" i="3"/>
  <c r="Y2419" i="3" s="1"/>
  <c r="Z2419" i="3" s="1"/>
  <c r="U2615" i="3"/>
  <c r="Y2615" i="3" s="1"/>
  <c r="Z2615" i="3" s="1"/>
  <c r="U2685" i="3"/>
  <c r="Y2685" i="3" s="1"/>
  <c r="Z2685" i="3" s="1"/>
  <c r="U2707" i="3"/>
  <c r="Y2707" i="3" s="1"/>
  <c r="Z2707" i="3" s="1"/>
  <c r="U2749" i="3"/>
  <c r="Y2749" i="3" s="1"/>
  <c r="Z2749" i="3" s="1"/>
  <c r="U2832" i="3"/>
  <c r="Y2832" i="3" s="1"/>
  <c r="Z2832" i="3" s="1"/>
  <c r="U2900" i="3"/>
  <c r="Y2900" i="3" s="1"/>
  <c r="Z2900" i="3" s="1"/>
  <c r="U3032" i="3"/>
  <c r="Y3032" i="3" s="1"/>
  <c r="Z3032" i="3" s="1"/>
  <c r="U3034" i="3"/>
  <c r="Y3034" i="3" s="1"/>
  <c r="Z3034" i="3" s="1"/>
  <c r="U3070" i="3"/>
  <c r="Y3070" i="3" s="1"/>
  <c r="Z3070" i="3" s="1"/>
  <c r="U3217" i="3"/>
  <c r="Y3217" i="3" s="1"/>
  <c r="Z3217" i="3" s="1"/>
  <c r="U3224" i="3"/>
  <c r="Y3224" i="3" s="1"/>
  <c r="Z3224" i="3" s="1"/>
  <c r="U3457" i="3"/>
  <c r="Y3457" i="3" s="1"/>
  <c r="Z3457" i="3" s="1"/>
  <c r="U3481" i="3"/>
  <c r="Y3481" i="3" s="1"/>
  <c r="Z3481" i="3" s="1"/>
  <c r="U3482" i="3"/>
  <c r="Y3482" i="3" s="1"/>
  <c r="Z3482" i="3" s="1"/>
  <c r="U3664" i="3"/>
  <c r="Y3664" i="3" s="1"/>
  <c r="Z3664" i="3" s="1"/>
  <c r="U3807" i="3"/>
  <c r="Y3807" i="3" s="1"/>
  <c r="Z3807" i="3" s="1"/>
  <c r="U3900" i="3"/>
  <c r="Y3900" i="3" s="1"/>
  <c r="Z3900" i="3" s="1"/>
  <c r="U3934" i="3"/>
  <c r="Y3934" i="3" s="1"/>
  <c r="Z3934" i="3" s="1"/>
  <c r="U3985" i="3"/>
  <c r="Y3985" i="3" s="1"/>
  <c r="Z3985" i="3" s="1"/>
  <c r="U4077" i="3"/>
  <c r="Y4077" i="3" s="1"/>
  <c r="Z4077" i="3" s="1"/>
  <c r="U4126" i="3"/>
  <c r="Y4126" i="3" s="1"/>
  <c r="Z4126" i="3" s="1"/>
  <c r="U4178" i="3"/>
  <c r="Y4178" i="3" s="1"/>
  <c r="Z4178" i="3" s="1"/>
  <c r="U4197" i="3"/>
  <c r="Y4197" i="3" s="1"/>
  <c r="Z4197" i="3" s="1"/>
  <c r="U4207" i="3"/>
  <c r="Y4207" i="3" s="1"/>
  <c r="Z4207" i="3" s="1"/>
  <c r="U4239" i="3"/>
  <c r="Y4239" i="3" s="1"/>
  <c r="Z4239" i="3" s="1"/>
  <c r="U4245" i="3"/>
  <c r="Y4245" i="3" s="1"/>
  <c r="Z4245" i="3" s="1"/>
  <c r="U4313" i="3"/>
  <c r="Y4313" i="3" s="1"/>
  <c r="Z4313" i="3" s="1"/>
  <c r="U4458" i="3"/>
  <c r="Y4458" i="3" s="1"/>
  <c r="Z4458" i="3" s="1"/>
  <c r="U4495" i="3"/>
  <c r="Y4495" i="3" s="1"/>
  <c r="Z4495" i="3" s="1"/>
  <c r="U4585" i="3"/>
  <c r="Y4585" i="3" s="1"/>
  <c r="Z4585" i="3" s="1"/>
  <c r="U4590" i="3"/>
  <c r="Y4590" i="3" s="1"/>
  <c r="Z4590" i="3" s="1"/>
  <c r="U4607" i="3"/>
  <c r="Y4607" i="3" s="1"/>
  <c r="Z4607" i="3" s="1"/>
  <c r="U4637" i="3"/>
  <c r="Y4637" i="3" s="1"/>
  <c r="Z4637" i="3" s="1"/>
  <c r="U4680" i="3"/>
  <c r="Y4680" i="3" s="1"/>
  <c r="Z4680" i="3" s="1"/>
  <c r="U4699" i="3"/>
  <c r="Y4699" i="3" s="1"/>
  <c r="Z4699" i="3" s="1"/>
  <c r="U4712" i="3"/>
  <c r="Y4712" i="3" s="1"/>
  <c r="Z4712" i="3" s="1"/>
  <c r="U4713" i="3"/>
  <c r="Y4713" i="3" s="1"/>
  <c r="Z4713" i="3" s="1"/>
  <c r="U4760" i="3"/>
  <c r="Y4760" i="3" s="1"/>
  <c r="Z4760" i="3" s="1"/>
  <c r="U4787" i="3"/>
  <c r="Y4787" i="3" s="1"/>
  <c r="Z4787" i="3" s="1"/>
  <c r="U1909" i="3"/>
  <c r="Y1909" i="3" s="1"/>
  <c r="Z1909" i="3" s="1"/>
  <c r="U1935" i="3"/>
  <c r="Y1935" i="3" s="1"/>
  <c r="Z1935" i="3" s="1"/>
  <c r="U1943" i="3"/>
  <c r="Y1943" i="3" s="1"/>
  <c r="Z1943" i="3" s="1"/>
  <c r="U1974" i="3"/>
  <c r="Y1974" i="3" s="1"/>
  <c r="Z1974" i="3" s="1"/>
  <c r="U2012" i="3"/>
  <c r="Y2012" i="3" s="1"/>
  <c r="Z2012" i="3" s="1"/>
  <c r="U2094" i="3"/>
  <c r="Y2094" i="3" s="1"/>
  <c r="Z2094" i="3" s="1"/>
  <c r="U2120" i="3"/>
  <c r="Y2120" i="3" s="1"/>
  <c r="Z2120" i="3" s="1"/>
  <c r="U2189" i="3"/>
  <c r="Y2189" i="3" s="1"/>
  <c r="Z2189" i="3" s="1"/>
  <c r="U2354" i="3"/>
  <c r="Y2354" i="3" s="1"/>
  <c r="Z2354" i="3" s="1"/>
  <c r="U2381" i="3"/>
  <c r="Y2381" i="3" s="1"/>
  <c r="Z2381" i="3" s="1"/>
  <c r="U2453" i="3"/>
  <c r="Y2453" i="3" s="1"/>
  <c r="Z2453" i="3" s="1"/>
  <c r="U2454" i="3"/>
  <c r="Y2454" i="3" s="1"/>
  <c r="Z2454" i="3" s="1"/>
  <c r="U2457" i="3"/>
  <c r="Y2457" i="3" s="1"/>
  <c r="Z2457" i="3" s="1"/>
  <c r="U2481" i="3"/>
  <c r="Y2481" i="3" s="1"/>
  <c r="Z2481" i="3" s="1"/>
  <c r="U2487" i="3"/>
  <c r="Y2487" i="3" s="1"/>
  <c r="Z2487" i="3" s="1"/>
  <c r="U2505" i="3"/>
  <c r="Y2505" i="3" s="1"/>
  <c r="Z2505" i="3" s="1"/>
  <c r="U2514" i="3"/>
  <c r="Y2514" i="3" s="1"/>
  <c r="Z2514" i="3" s="1"/>
  <c r="U2521" i="3"/>
  <c r="Y2521" i="3" s="1"/>
  <c r="Z2521" i="3" s="1"/>
  <c r="U2538" i="3"/>
  <c r="Y2538" i="3" s="1"/>
  <c r="Z2538" i="3" s="1"/>
  <c r="U2590" i="3"/>
  <c r="Y2590" i="3" s="1"/>
  <c r="Z2590" i="3" s="1"/>
  <c r="U2611" i="3"/>
  <c r="Y2611" i="3" s="1"/>
  <c r="Z2611" i="3" s="1"/>
  <c r="U2660" i="3"/>
  <c r="Y2660" i="3" s="1"/>
  <c r="Z2660" i="3" s="1"/>
  <c r="U2784" i="3"/>
  <c r="Y2784" i="3" s="1"/>
  <c r="Z2784" i="3" s="1"/>
  <c r="U2970" i="3"/>
  <c r="Y2970" i="3" s="1"/>
  <c r="Z2970" i="3" s="1"/>
  <c r="U3093" i="3"/>
  <c r="Y3093" i="3" s="1"/>
  <c r="Z3093" i="3" s="1"/>
  <c r="U3138" i="3"/>
  <c r="Y3138" i="3" s="1"/>
  <c r="Z3138" i="3" s="1"/>
  <c r="U3161" i="3"/>
  <c r="Y3161" i="3" s="1"/>
  <c r="Z3161" i="3" s="1"/>
  <c r="U3180" i="3"/>
  <c r="Y3180" i="3" s="1"/>
  <c r="Z3180" i="3" s="1"/>
  <c r="U3196" i="3"/>
  <c r="Y3196" i="3" s="1"/>
  <c r="Z3196" i="3" s="1"/>
  <c r="U3198" i="3"/>
  <c r="Y3198" i="3" s="1"/>
  <c r="Z3198" i="3" s="1"/>
  <c r="U3254" i="3"/>
  <c r="Y3254" i="3" s="1"/>
  <c r="Z3254" i="3" s="1"/>
  <c r="U3322" i="3"/>
  <c r="Y3322" i="3" s="1"/>
  <c r="Z3322" i="3" s="1"/>
  <c r="U3354" i="3"/>
  <c r="Y3354" i="3" s="1"/>
  <c r="Z3354" i="3" s="1"/>
  <c r="U3358" i="3"/>
  <c r="Y3358" i="3" s="1"/>
  <c r="Z3358" i="3" s="1"/>
  <c r="U3387" i="3"/>
  <c r="Y3387" i="3" s="1"/>
  <c r="Z3387" i="3" s="1"/>
  <c r="U3409" i="3"/>
  <c r="Y3409" i="3" s="1"/>
  <c r="Z3409" i="3" s="1"/>
  <c r="U3414" i="3"/>
  <c r="Y3414" i="3" s="1"/>
  <c r="Z3414" i="3" s="1"/>
  <c r="U3428" i="3"/>
  <c r="Y3428" i="3" s="1"/>
  <c r="Z3428" i="3" s="1"/>
  <c r="U3551" i="3"/>
  <c r="Y3551" i="3" s="1"/>
  <c r="Z3551" i="3" s="1"/>
  <c r="U3571" i="3"/>
  <c r="Y3571" i="3" s="1"/>
  <c r="Z3571" i="3" s="1"/>
  <c r="U3597" i="3"/>
  <c r="Y3597" i="3" s="1"/>
  <c r="Z3597" i="3" s="1"/>
  <c r="U3704" i="3"/>
  <c r="Y3704" i="3" s="1"/>
  <c r="Z3704" i="3" s="1"/>
  <c r="U3798" i="3"/>
  <c r="Y3798" i="3" s="1"/>
  <c r="Z3798" i="3" s="1"/>
  <c r="U3836" i="3"/>
  <c r="Y3836" i="3" s="1"/>
  <c r="Z3836" i="3" s="1"/>
  <c r="U3878" i="3"/>
  <c r="Y3878" i="3" s="1"/>
  <c r="Z3878" i="3" s="1"/>
  <c r="U3905" i="3"/>
  <c r="Y3905" i="3" s="1"/>
  <c r="Z3905" i="3" s="1"/>
  <c r="U4089" i="3"/>
  <c r="Y4089" i="3" s="1"/>
  <c r="Z4089" i="3" s="1"/>
  <c r="U4130" i="3"/>
  <c r="Y4130" i="3" s="1"/>
  <c r="Z4130" i="3" s="1"/>
  <c r="U4344" i="3"/>
  <c r="Y4344" i="3" s="1"/>
  <c r="Z4344" i="3" s="1"/>
  <c r="U4360" i="3"/>
  <c r="Y4360" i="3" s="1"/>
  <c r="Z4360" i="3" s="1"/>
  <c r="U4457" i="3"/>
  <c r="Y4457" i="3" s="1"/>
  <c r="Z4457" i="3" s="1"/>
  <c r="U4722" i="3"/>
  <c r="Y4722" i="3" s="1"/>
  <c r="Z4722" i="3" s="1"/>
  <c r="U4782" i="3"/>
  <c r="Y4782" i="3" s="1"/>
  <c r="Z4782" i="3" s="1"/>
  <c r="U4789" i="3"/>
  <c r="Y4789" i="3" s="1"/>
  <c r="Z4789" i="3" s="1"/>
  <c r="U4802" i="3"/>
  <c r="Y4802" i="3" s="1"/>
  <c r="Z4802" i="3" s="1"/>
  <c r="U2024" i="3"/>
  <c r="Y2024" i="3" s="1"/>
  <c r="Z2024" i="3" s="1"/>
  <c r="U2202" i="3"/>
  <c r="Y2202" i="3" s="1"/>
  <c r="Z2202" i="3" s="1"/>
  <c r="U2230" i="3"/>
  <c r="Y2230" i="3" s="1"/>
  <c r="Z2230" i="3" s="1"/>
  <c r="U2294" i="3"/>
  <c r="Y2294" i="3" s="1"/>
  <c r="Z2294" i="3" s="1"/>
  <c r="U2425" i="3"/>
  <c r="Y2425" i="3" s="1"/>
  <c r="Z2425" i="3" s="1"/>
  <c r="U2434" i="3"/>
  <c r="Y2434" i="3" s="1"/>
  <c r="Z2434" i="3" s="1"/>
  <c r="U2510" i="3"/>
  <c r="Y2510" i="3" s="1"/>
  <c r="Z2510" i="3" s="1"/>
  <c r="U2545" i="3"/>
  <c r="Y2545" i="3" s="1"/>
  <c r="Z2545" i="3" s="1"/>
  <c r="U2594" i="3"/>
  <c r="Y2594" i="3" s="1"/>
  <c r="Z2594" i="3" s="1"/>
  <c r="U2613" i="3"/>
  <c r="Y2613" i="3" s="1"/>
  <c r="Z2613" i="3" s="1"/>
  <c r="U2621" i="3"/>
  <c r="Y2621" i="3" s="1"/>
  <c r="Z2621" i="3" s="1"/>
  <c r="U2764" i="3"/>
  <c r="Y2764" i="3" s="1"/>
  <c r="Z2764" i="3" s="1"/>
  <c r="U2795" i="3"/>
  <c r="Y2795" i="3" s="1"/>
  <c r="Z2795" i="3" s="1"/>
  <c r="U2936" i="3"/>
  <c r="Y2936" i="3" s="1"/>
  <c r="Z2936" i="3" s="1"/>
  <c r="U2982" i="3"/>
  <c r="Y2982" i="3" s="1"/>
  <c r="Z2982" i="3" s="1"/>
  <c r="U2991" i="3"/>
  <c r="Y2991" i="3" s="1"/>
  <c r="Z2991" i="3" s="1"/>
  <c r="U3006" i="3"/>
  <c r="Y3006" i="3" s="1"/>
  <c r="Z3006" i="3" s="1"/>
  <c r="U3134" i="3"/>
  <c r="Y3134" i="3" s="1"/>
  <c r="Z3134" i="3" s="1"/>
  <c r="U3174" i="3"/>
  <c r="Y3174" i="3" s="1"/>
  <c r="Z3174" i="3" s="1"/>
  <c r="U3390" i="3"/>
  <c r="Y3390" i="3" s="1"/>
  <c r="Z3390" i="3" s="1"/>
  <c r="U3421" i="3"/>
  <c r="Y3421" i="3" s="1"/>
  <c r="Z3421" i="3" s="1"/>
  <c r="U3467" i="3"/>
  <c r="Y3467" i="3" s="1"/>
  <c r="Z3467" i="3" s="1"/>
  <c r="U3471" i="3"/>
  <c r="Y3471" i="3" s="1"/>
  <c r="Z3471" i="3" s="1"/>
  <c r="U3518" i="3"/>
  <c r="Y3518" i="3" s="1"/>
  <c r="Z3518" i="3" s="1"/>
  <c r="U3575" i="3"/>
  <c r="Y3575" i="3" s="1"/>
  <c r="Z3575" i="3" s="1"/>
  <c r="U3732" i="3"/>
  <c r="Y3732" i="3" s="1"/>
  <c r="Z3732" i="3" s="1"/>
  <c r="U3827" i="3"/>
  <c r="Y3827" i="3" s="1"/>
  <c r="Z3827" i="3" s="1"/>
  <c r="U3906" i="3"/>
  <c r="Y3906" i="3" s="1"/>
  <c r="Z3906" i="3" s="1"/>
  <c r="U3986" i="3"/>
  <c r="Y3986" i="3" s="1"/>
  <c r="Z3986" i="3" s="1"/>
  <c r="U4010" i="3"/>
  <c r="Y4010" i="3" s="1"/>
  <c r="Z4010" i="3" s="1"/>
  <c r="U4049" i="3"/>
  <c r="Y4049" i="3" s="1"/>
  <c r="Z4049" i="3" s="1"/>
  <c r="U4329" i="3"/>
  <c r="Y4329" i="3" s="1"/>
  <c r="Z4329" i="3" s="1"/>
  <c r="U4346" i="3"/>
  <c r="Y4346" i="3" s="1"/>
  <c r="Z4346" i="3" s="1"/>
  <c r="U4364" i="3"/>
  <c r="Y4364" i="3" s="1"/>
  <c r="Z4364" i="3" s="1"/>
  <c r="U4498" i="3"/>
  <c r="Y4498" i="3" s="1"/>
  <c r="Z4498" i="3" s="1"/>
  <c r="U4506" i="3"/>
  <c r="Y4506" i="3" s="1"/>
  <c r="Z4506" i="3" s="1"/>
  <c r="U4765" i="3"/>
  <c r="Y4765" i="3" s="1"/>
  <c r="Z4765" i="3" s="1"/>
  <c r="U4771" i="3"/>
  <c r="Y4771" i="3" s="1"/>
  <c r="Z4771" i="3" s="1"/>
  <c r="U4833" i="3"/>
  <c r="Y4833" i="3" s="1"/>
  <c r="Z4833" i="3" s="1"/>
  <c r="U2056" i="3"/>
  <c r="Y2056" i="3" s="1"/>
  <c r="Z2056" i="3" s="1"/>
  <c r="U2109" i="3"/>
  <c r="Y2109" i="3" s="1"/>
  <c r="Z2109" i="3" s="1"/>
  <c r="U2216" i="3"/>
  <c r="Y2216" i="3" s="1"/>
  <c r="Z2216" i="3" s="1"/>
  <c r="U2260" i="3"/>
  <c r="Y2260" i="3" s="1"/>
  <c r="Z2260" i="3" s="1"/>
  <c r="U2315" i="3"/>
  <c r="Y2315" i="3" s="1"/>
  <c r="Z2315" i="3" s="1"/>
  <c r="U2335" i="3"/>
  <c r="Y2335" i="3" s="1"/>
  <c r="Z2335" i="3" s="1"/>
  <c r="U2422" i="3"/>
  <c r="Y2422" i="3" s="1"/>
  <c r="Z2422" i="3" s="1"/>
  <c r="U2437" i="3"/>
  <c r="Y2437" i="3" s="1"/>
  <c r="Z2437" i="3" s="1"/>
  <c r="U2452" i="3"/>
  <c r="Y2452" i="3" s="1"/>
  <c r="Z2452" i="3" s="1"/>
  <c r="U2499" i="3"/>
  <c r="Y2499" i="3" s="1"/>
  <c r="Z2499" i="3" s="1"/>
  <c r="U2524" i="3"/>
  <c r="Y2524" i="3" s="1"/>
  <c r="Z2524" i="3" s="1"/>
  <c r="U2581" i="3"/>
  <c r="Y2581" i="3" s="1"/>
  <c r="Z2581" i="3" s="1"/>
  <c r="U2591" i="3"/>
  <c r="Y2591" i="3" s="1"/>
  <c r="Z2591" i="3" s="1"/>
  <c r="U2675" i="3"/>
  <c r="Y2675" i="3" s="1"/>
  <c r="Z2675" i="3" s="1"/>
  <c r="U3039" i="3"/>
  <c r="Y3039" i="3" s="1"/>
  <c r="Z3039" i="3" s="1"/>
  <c r="U3087" i="3"/>
  <c r="Y3087" i="3" s="1"/>
  <c r="Z3087" i="3" s="1"/>
  <c r="U3125" i="3"/>
  <c r="Y3125" i="3" s="1"/>
  <c r="Z3125" i="3" s="1"/>
  <c r="U3175" i="3"/>
  <c r="Y3175" i="3" s="1"/>
  <c r="Z3175" i="3" s="1"/>
  <c r="U3200" i="3"/>
  <c r="Y3200" i="3" s="1"/>
  <c r="Z3200" i="3" s="1"/>
  <c r="U3223" i="3"/>
  <c r="Y3223" i="3" s="1"/>
  <c r="Z3223" i="3" s="1"/>
  <c r="U3284" i="3"/>
  <c r="Y3284" i="3" s="1"/>
  <c r="Z3284" i="3" s="1"/>
  <c r="U3455" i="3"/>
  <c r="Y3455" i="3" s="1"/>
  <c r="Z3455" i="3" s="1"/>
  <c r="U3608" i="3"/>
  <c r="Y3608" i="3" s="1"/>
  <c r="Z3608" i="3" s="1"/>
  <c r="U3643" i="3"/>
  <c r="Y3643" i="3" s="1"/>
  <c r="Z3643" i="3" s="1"/>
  <c r="U3694" i="3"/>
  <c r="Y3694" i="3" s="1"/>
  <c r="Z3694" i="3" s="1"/>
  <c r="U3702" i="3"/>
  <c r="Y3702" i="3" s="1"/>
  <c r="Z3702" i="3" s="1"/>
  <c r="U3880" i="3"/>
  <c r="Y3880" i="3" s="1"/>
  <c r="Z3880" i="3" s="1"/>
  <c r="U3904" i="3"/>
  <c r="Y3904" i="3" s="1"/>
  <c r="Z3904" i="3" s="1"/>
  <c r="U3909" i="3"/>
  <c r="Y3909" i="3" s="1"/>
  <c r="Z3909" i="3" s="1"/>
  <c r="U3917" i="3"/>
  <c r="Y3917" i="3" s="1"/>
  <c r="Z3917" i="3" s="1"/>
  <c r="U3951" i="3"/>
  <c r="Y3951" i="3" s="1"/>
  <c r="Z3951" i="3" s="1"/>
  <c r="U3954" i="3"/>
  <c r="Y3954" i="3" s="1"/>
  <c r="Z3954" i="3" s="1"/>
  <c r="U4392" i="3"/>
  <c r="Y4392" i="3" s="1"/>
  <c r="Z4392" i="3" s="1"/>
  <c r="U4629" i="3"/>
  <c r="Y4629" i="3" s="1"/>
  <c r="Z4629" i="3" s="1"/>
  <c r="U4671" i="3"/>
  <c r="Y4671" i="3" s="1"/>
  <c r="Z4671" i="3" s="1"/>
  <c r="U4677" i="3"/>
  <c r="Y4677" i="3" s="1"/>
  <c r="Z4677" i="3" s="1"/>
  <c r="U4737" i="3"/>
  <c r="Y4737" i="3" s="1"/>
  <c r="Z4737" i="3" s="1"/>
  <c r="U4739" i="3"/>
  <c r="Y4739" i="3" s="1"/>
  <c r="Z4739" i="3" s="1"/>
  <c r="U4740" i="3"/>
  <c r="Y4740" i="3" s="1"/>
  <c r="Z4740" i="3" s="1"/>
  <c r="U4795" i="3"/>
  <c r="Y4795" i="3" s="1"/>
  <c r="Z4795" i="3" s="1"/>
  <c r="U2206" i="3"/>
  <c r="Y2206" i="3" s="1"/>
  <c r="Z2206" i="3" s="1"/>
  <c r="U2295" i="3"/>
  <c r="Y2295" i="3" s="1"/>
  <c r="Z2295" i="3" s="1"/>
  <c r="U2355" i="3"/>
  <c r="Y2355" i="3" s="1"/>
  <c r="Z2355" i="3" s="1"/>
  <c r="U2548" i="3"/>
  <c r="Y2548" i="3" s="1"/>
  <c r="Z2548" i="3" s="1"/>
  <c r="U2597" i="3"/>
  <c r="Y2597" i="3" s="1"/>
  <c r="Z2597" i="3" s="1"/>
  <c r="U2751" i="3"/>
  <c r="Y2751" i="3" s="1"/>
  <c r="Z2751" i="3" s="1"/>
  <c r="U2803" i="3"/>
  <c r="Y2803" i="3" s="1"/>
  <c r="Z2803" i="3" s="1"/>
  <c r="U2855" i="3"/>
  <c r="Y2855" i="3" s="1"/>
  <c r="Z2855" i="3" s="1"/>
  <c r="U2860" i="3"/>
  <c r="Y2860" i="3" s="1"/>
  <c r="Z2860" i="3" s="1"/>
  <c r="U2885" i="3"/>
  <c r="Y2885" i="3" s="1"/>
  <c r="Z2885" i="3" s="1"/>
  <c r="U2940" i="3"/>
  <c r="Y2940" i="3" s="1"/>
  <c r="Z2940" i="3" s="1"/>
  <c r="U2979" i="3"/>
  <c r="Y2979" i="3" s="1"/>
  <c r="Z2979" i="3" s="1"/>
  <c r="U3062" i="3"/>
  <c r="Y3062" i="3" s="1"/>
  <c r="Z3062" i="3" s="1"/>
  <c r="U3132" i="3"/>
  <c r="Y3132" i="3" s="1"/>
  <c r="Z3132" i="3" s="1"/>
  <c r="U3204" i="3"/>
  <c r="Y3204" i="3" s="1"/>
  <c r="Z3204" i="3" s="1"/>
  <c r="U3313" i="3"/>
  <c r="Y3313" i="3" s="1"/>
  <c r="Z3313" i="3" s="1"/>
  <c r="U3314" i="3"/>
  <c r="Y3314" i="3" s="1"/>
  <c r="Z3314" i="3" s="1"/>
  <c r="U3376" i="3"/>
  <c r="Y3376" i="3" s="1"/>
  <c r="Z3376" i="3" s="1"/>
  <c r="U3450" i="3"/>
  <c r="Y3450" i="3" s="1"/>
  <c r="Z3450" i="3" s="1"/>
  <c r="U3498" i="3"/>
  <c r="Y3498" i="3" s="1"/>
  <c r="Z3498" i="3" s="1"/>
  <c r="U3506" i="3"/>
  <c r="Y3506" i="3" s="1"/>
  <c r="Z3506" i="3" s="1"/>
  <c r="U3528" i="3"/>
  <c r="Y3528" i="3" s="1"/>
  <c r="Z3528" i="3" s="1"/>
  <c r="U3549" i="3"/>
  <c r="Y3549" i="3" s="1"/>
  <c r="Z3549" i="3" s="1"/>
  <c r="U3555" i="3"/>
  <c r="Y3555" i="3" s="1"/>
  <c r="Z3555" i="3" s="1"/>
  <c r="U3593" i="3"/>
  <c r="Y3593" i="3" s="1"/>
  <c r="Z3593" i="3" s="1"/>
  <c r="U3748" i="3"/>
  <c r="Y3748" i="3" s="1"/>
  <c r="Z3748" i="3" s="1"/>
  <c r="U3848" i="3"/>
  <c r="Y3848" i="3" s="1"/>
  <c r="Z3848" i="3" s="1"/>
  <c r="U3868" i="3"/>
  <c r="Y3868" i="3" s="1"/>
  <c r="Z3868" i="3" s="1"/>
  <c r="U3901" i="3"/>
  <c r="Y3901" i="3" s="1"/>
  <c r="Z3901" i="3" s="1"/>
  <c r="U3965" i="3"/>
  <c r="Y3965" i="3" s="1"/>
  <c r="Z3965" i="3" s="1"/>
  <c r="U4096" i="3"/>
  <c r="Y4096" i="3" s="1"/>
  <c r="Z4096" i="3" s="1"/>
  <c r="U4242" i="3"/>
  <c r="Y4242" i="3" s="1"/>
  <c r="Z4242" i="3" s="1"/>
  <c r="U4366" i="3"/>
  <c r="Y4366" i="3" s="1"/>
  <c r="Z4366" i="3" s="1"/>
  <c r="U4455" i="3"/>
  <c r="Y4455" i="3" s="1"/>
  <c r="Z4455" i="3" s="1"/>
  <c r="U4486" i="3"/>
  <c r="Y4486" i="3" s="1"/>
  <c r="Z4486" i="3" s="1"/>
  <c r="U4611" i="3"/>
  <c r="Y4611" i="3" s="1"/>
  <c r="Z4611" i="3" s="1"/>
  <c r="U4620" i="3"/>
  <c r="Y4620" i="3" s="1"/>
  <c r="Z4620" i="3" s="1"/>
  <c r="U4689" i="3"/>
  <c r="Y4689" i="3" s="1"/>
  <c r="Z4689" i="3" s="1"/>
  <c r="U4758" i="3"/>
  <c r="Y4758" i="3" s="1"/>
  <c r="Z4758" i="3" s="1"/>
  <c r="U2192" i="3"/>
  <c r="Y2192" i="3" s="1"/>
  <c r="Z2192" i="3" s="1"/>
  <c r="U2288" i="3"/>
  <c r="Y2288" i="3" s="1"/>
  <c r="Z2288" i="3" s="1"/>
  <c r="U2343" i="3"/>
  <c r="Y2343" i="3" s="1"/>
  <c r="Z2343" i="3" s="1"/>
  <c r="U2391" i="3"/>
  <c r="Y2391" i="3" s="1"/>
  <c r="Z2391" i="3" s="1"/>
  <c r="U2463" i="3"/>
  <c r="Y2463" i="3" s="1"/>
  <c r="Z2463" i="3" s="1"/>
  <c r="U2478" i="3"/>
  <c r="Y2478" i="3" s="1"/>
  <c r="Z2478" i="3" s="1"/>
  <c r="U2498" i="3"/>
  <c r="Y2498" i="3" s="1"/>
  <c r="Z2498" i="3" s="1"/>
  <c r="U2507" i="3"/>
  <c r="Y2507" i="3" s="1"/>
  <c r="Z2507" i="3" s="1"/>
  <c r="U2513" i="3"/>
  <c r="Y2513" i="3" s="1"/>
  <c r="Z2513" i="3" s="1"/>
  <c r="U2690" i="3"/>
  <c r="Y2690" i="3" s="1"/>
  <c r="Z2690" i="3" s="1"/>
  <c r="U2719" i="3"/>
  <c r="Y2719" i="3" s="1"/>
  <c r="Z2719" i="3" s="1"/>
  <c r="U2736" i="3"/>
  <c r="Y2736" i="3" s="1"/>
  <c r="Z2736" i="3" s="1"/>
  <c r="U2745" i="3"/>
  <c r="Y2745" i="3" s="1"/>
  <c r="Z2745" i="3" s="1"/>
  <c r="U2780" i="3"/>
  <c r="Y2780" i="3" s="1"/>
  <c r="Z2780" i="3" s="1"/>
  <c r="U2846" i="3"/>
  <c r="Y2846" i="3" s="1"/>
  <c r="Z2846" i="3" s="1"/>
  <c r="U3065" i="3"/>
  <c r="Y3065" i="3" s="1"/>
  <c r="Z3065" i="3" s="1"/>
  <c r="U3341" i="3"/>
  <c r="Y3341" i="3" s="1"/>
  <c r="Z3341" i="3" s="1"/>
  <c r="U3544" i="3"/>
  <c r="Y3544" i="3" s="1"/>
  <c r="Z3544" i="3" s="1"/>
  <c r="U3605" i="3"/>
  <c r="Y3605" i="3" s="1"/>
  <c r="Z3605" i="3" s="1"/>
  <c r="U3657" i="3"/>
  <c r="Y3657" i="3" s="1"/>
  <c r="Z3657" i="3" s="1"/>
  <c r="U3658" i="3"/>
  <c r="Y3658" i="3" s="1"/>
  <c r="Z3658" i="3" s="1"/>
  <c r="U3673" i="3"/>
  <c r="Y3673" i="3" s="1"/>
  <c r="Z3673" i="3" s="1"/>
  <c r="U3737" i="3"/>
  <c r="Y3737" i="3" s="1"/>
  <c r="Z3737" i="3" s="1"/>
  <c r="U3763" i="3"/>
  <c r="Y3763" i="3" s="1"/>
  <c r="Z3763" i="3" s="1"/>
  <c r="U3792" i="3"/>
  <c r="Y3792" i="3" s="1"/>
  <c r="Z3792" i="3" s="1"/>
  <c r="U3815" i="3"/>
  <c r="Y3815" i="3" s="1"/>
  <c r="Z3815" i="3" s="1"/>
  <c r="U3935" i="3"/>
  <c r="Y3935" i="3" s="1"/>
  <c r="Z3935" i="3" s="1"/>
  <c r="U3943" i="3"/>
  <c r="Y3943" i="3" s="1"/>
  <c r="Z3943" i="3" s="1"/>
  <c r="U4012" i="3"/>
  <c r="Y4012" i="3" s="1"/>
  <c r="Z4012" i="3" s="1"/>
  <c r="U4013" i="3"/>
  <c r="Y4013" i="3" s="1"/>
  <c r="Z4013" i="3" s="1"/>
  <c r="U4016" i="3"/>
  <c r="Y4016" i="3" s="1"/>
  <c r="Z4016" i="3" s="1"/>
  <c r="U4018" i="3"/>
  <c r="Y4018" i="3" s="1"/>
  <c r="Z4018" i="3" s="1"/>
  <c r="U4037" i="3"/>
  <c r="Y4037" i="3" s="1"/>
  <c r="Z4037" i="3" s="1"/>
  <c r="U4045" i="3"/>
  <c r="Y4045" i="3" s="1"/>
  <c r="Z4045" i="3" s="1"/>
  <c r="U4102" i="3"/>
  <c r="Y4102" i="3" s="1"/>
  <c r="Z4102" i="3" s="1"/>
  <c r="U4220" i="3"/>
  <c r="Y4220" i="3" s="1"/>
  <c r="Z4220" i="3" s="1"/>
  <c r="U4232" i="3"/>
  <c r="Y4232" i="3" s="1"/>
  <c r="Z4232" i="3" s="1"/>
  <c r="U4250" i="3"/>
  <c r="Y4250" i="3" s="1"/>
  <c r="Z4250" i="3" s="1"/>
  <c r="U4253" i="3"/>
  <c r="Y4253" i="3" s="1"/>
  <c r="Z4253" i="3" s="1"/>
  <c r="U4254" i="3"/>
  <c r="Y4254" i="3" s="1"/>
  <c r="Z4254" i="3" s="1"/>
  <c r="U4286" i="3"/>
  <c r="Y4286" i="3" s="1"/>
  <c r="Z4286" i="3" s="1"/>
  <c r="U4292" i="3"/>
  <c r="Y4292" i="3" s="1"/>
  <c r="Z4292" i="3" s="1"/>
  <c r="U4293" i="3"/>
  <c r="Y4293" i="3" s="1"/>
  <c r="Z4293" i="3" s="1"/>
  <c r="U4305" i="3"/>
  <c r="Y4305" i="3" s="1"/>
  <c r="Z4305" i="3" s="1"/>
  <c r="U4352" i="3"/>
  <c r="Y4352" i="3" s="1"/>
  <c r="Z4352" i="3" s="1"/>
  <c r="U4353" i="3"/>
  <c r="Y4353" i="3" s="1"/>
  <c r="Z4353" i="3" s="1"/>
  <c r="U4408" i="3"/>
  <c r="Y4408" i="3" s="1"/>
  <c r="Z4408" i="3" s="1"/>
  <c r="U4444" i="3"/>
  <c r="Y4444" i="3" s="1"/>
  <c r="Z4444" i="3" s="1"/>
  <c r="U4473" i="3"/>
  <c r="Y4473" i="3" s="1"/>
  <c r="Z4473" i="3" s="1"/>
  <c r="U4546" i="3"/>
  <c r="Y4546" i="3" s="1"/>
  <c r="Z4546" i="3" s="1"/>
  <c r="U4561" i="3"/>
  <c r="Y4561" i="3" s="1"/>
  <c r="Z4561" i="3" s="1"/>
  <c r="U4569" i="3"/>
  <c r="Y4569" i="3" s="1"/>
  <c r="Z4569" i="3" s="1"/>
  <c r="U4584" i="3"/>
  <c r="Y4584" i="3" s="1"/>
  <c r="Z4584" i="3" s="1"/>
  <c r="U4602" i="3"/>
  <c r="Y4602" i="3" s="1"/>
  <c r="Z4602" i="3" s="1"/>
  <c r="U4617" i="3"/>
  <c r="Y4617" i="3" s="1"/>
  <c r="Z4617" i="3" s="1"/>
  <c r="U4635" i="3"/>
  <c r="U4695" i="3"/>
  <c r="Y4695" i="3" s="1"/>
  <c r="Z4695" i="3" s="1"/>
  <c r="U4767" i="3"/>
  <c r="Y4767" i="3" s="1"/>
  <c r="Z4767" i="3" s="1"/>
  <c r="U4777" i="3"/>
  <c r="Y4777" i="3" s="1"/>
  <c r="Z4777" i="3" s="1"/>
  <c r="U4824" i="3"/>
  <c r="Y4824" i="3" s="1"/>
  <c r="Z4824" i="3" s="1"/>
  <c r="U2345" i="3"/>
  <c r="Y2345" i="3" s="1"/>
  <c r="Z2345" i="3" s="1"/>
  <c r="U2349" i="3"/>
  <c r="Y2349" i="3" s="1"/>
  <c r="Z2349" i="3" s="1"/>
  <c r="U2389" i="3"/>
  <c r="Y2389" i="3" s="1"/>
  <c r="Z2389" i="3" s="1"/>
  <c r="U2409" i="3"/>
  <c r="Y2409" i="3" s="1"/>
  <c r="Z2409" i="3" s="1"/>
  <c r="U2440" i="3"/>
  <c r="Y2440" i="3" s="1"/>
  <c r="Z2440" i="3" s="1"/>
  <c r="U2446" i="3"/>
  <c r="Y2446" i="3" s="1"/>
  <c r="Z2446" i="3" s="1"/>
  <c r="U2469" i="3"/>
  <c r="Y2469" i="3" s="1"/>
  <c r="Z2469" i="3" s="1"/>
  <c r="U2471" i="3"/>
  <c r="Y2471" i="3" s="1"/>
  <c r="Z2471" i="3" s="1"/>
  <c r="U2500" i="3"/>
  <c r="Y2500" i="3" s="1"/>
  <c r="Z2500" i="3" s="1"/>
  <c r="U2583" i="3"/>
  <c r="Y2583" i="3" s="1"/>
  <c r="Z2583" i="3" s="1"/>
  <c r="U2623" i="3"/>
  <c r="Y2623" i="3" s="1"/>
  <c r="Z2623" i="3" s="1"/>
  <c r="U2649" i="3"/>
  <c r="Y2649" i="3" s="1"/>
  <c r="Z2649" i="3" s="1"/>
  <c r="U2672" i="3"/>
  <c r="Y2672" i="3" s="1"/>
  <c r="Z2672" i="3" s="1"/>
  <c r="U2684" i="3"/>
  <c r="Y2684" i="3" s="1"/>
  <c r="Z2684" i="3" s="1"/>
  <c r="U2700" i="3"/>
  <c r="Y2700" i="3" s="1"/>
  <c r="Z2700" i="3" s="1"/>
  <c r="U2709" i="3"/>
  <c r="Y2709" i="3" s="1"/>
  <c r="Z2709" i="3" s="1"/>
  <c r="U2848" i="3"/>
  <c r="Y2848" i="3" s="1"/>
  <c r="Z2848" i="3" s="1"/>
  <c r="U2853" i="3"/>
  <c r="Y2853" i="3" s="1"/>
  <c r="Z2853" i="3" s="1"/>
  <c r="U2995" i="3"/>
  <c r="Y2995" i="3" s="1"/>
  <c r="Z2995" i="3" s="1"/>
  <c r="U3029" i="3"/>
  <c r="Y3029" i="3" s="1"/>
  <c r="Z3029" i="3" s="1"/>
  <c r="U3069" i="3"/>
  <c r="Y3069" i="3" s="1"/>
  <c r="Z3069" i="3" s="1"/>
  <c r="U3100" i="3"/>
  <c r="Y3100" i="3" s="1"/>
  <c r="Z3100" i="3" s="1"/>
  <c r="U3199" i="3"/>
  <c r="Y3199" i="3" s="1"/>
  <c r="Z3199" i="3" s="1"/>
  <c r="U3249" i="3"/>
  <c r="Y3249" i="3" s="1"/>
  <c r="Z3249" i="3" s="1"/>
  <c r="U3258" i="3"/>
  <c r="Y3258" i="3" s="1"/>
  <c r="Z3258" i="3" s="1"/>
  <c r="U3270" i="3"/>
  <c r="Y3270" i="3" s="1"/>
  <c r="Z3270" i="3" s="1"/>
  <c r="U3300" i="3"/>
  <c r="Y3300" i="3" s="1"/>
  <c r="Z3300" i="3" s="1"/>
  <c r="U3395" i="3"/>
  <c r="Y3395" i="3" s="1"/>
  <c r="Z3395" i="3" s="1"/>
  <c r="U3445" i="3"/>
  <c r="Y3445" i="3" s="1"/>
  <c r="Z3445" i="3" s="1"/>
  <c r="U3525" i="3"/>
  <c r="Y3525" i="3" s="1"/>
  <c r="Z3525" i="3" s="1"/>
  <c r="U3636" i="3"/>
  <c r="Y3636" i="3" s="1"/>
  <c r="Z3636" i="3" s="1"/>
  <c r="U3697" i="3"/>
  <c r="Y3697" i="3" s="1"/>
  <c r="Z3697" i="3" s="1"/>
  <c r="U3714" i="3"/>
  <c r="Y3714" i="3" s="1"/>
  <c r="Z3714" i="3" s="1"/>
  <c r="U3764" i="3"/>
  <c r="Y3764" i="3" s="1"/>
  <c r="Z3764" i="3" s="1"/>
  <c r="U3819" i="3"/>
  <c r="Y3819" i="3" s="1"/>
  <c r="Z3819" i="3" s="1"/>
  <c r="U3843" i="3"/>
  <c r="Y3843" i="3" s="1"/>
  <c r="Z3843" i="3" s="1"/>
  <c r="U3850" i="3"/>
  <c r="Y3850" i="3" s="1"/>
  <c r="Z3850" i="3" s="1"/>
  <c r="U3853" i="3"/>
  <c r="Y3853" i="3" s="1"/>
  <c r="Z3853" i="3" s="1"/>
  <c r="U3855" i="3"/>
  <c r="Y3855" i="3" s="1"/>
  <c r="Z3855" i="3" s="1"/>
  <c r="U3864" i="3"/>
  <c r="Y3864" i="3" s="1"/>
  <c r="Z3864" i="3" s="1"/>
  <c r="U3883" i="3"/>
  <c r="Y3883" i="3" s="1"/>
  <c r="Z3883" i="3" s="1"/>
  <c r="U3885" i="3"/>
  <c r="Y3885" i="3" s="1"/>
  <c r="Z3885" i="3" s="1"/>
  <c r="U3964" i="3"/>
  <c r="Y3964" i="3" s="1"/>
  <c r="Z3964" i="3" s="1"/>
  <c r="U3975" i="3"/>
  <c r="Y3975" i="3" s="1"/>
  <c r="Z3975" i="3" s="1"/>
  <c r="U3995" i="3"/>
  <c r="Y3995" i="3" s="1"/>
  <c r="Z3995" i="3" s="1"/>
  <c r="U4026" i="3"/>
  <c r="Y4026" i="3" s="1"/>
  <c r="Z4026" i="3" s="1"/>
  <c r="U4035" i="3"/>
  <c r="Y4035" i="3" s="1"/>
  <c r="Z4035" i="3" s="1"/>
  <c r="U4127" i="3"/>
  <c r="Y4127" i="3" s="1"/>
  <c r="Z4127" i="3" s="1"/>
  <c r="U4164" i="3"/>
  <c r="Y4164" i="3" s="1"/>
  <c r="Z4164" i="3" s="1"/>
  <c r="U4182" i="3"/>
  <c r="Y4182" i="3" s="1"/>
  <c r="Z4182" i="3" s="1"/>
  <c r="U4230" i="3"/>
  <c r="Y4230" i="3" s="1"/>
  <c r="Z4230" i="3" s="1"/>
  <c r="U4365" i="3"/>
  <c r="Y4365" i="3" s="1"/>
  <c r="Z4365" i="3" s="1"/>
  <c r="U4413" i="3"/>
  <c r="Y4413" i="3" s="1"/>
  <c r="Z4413" i="3" s="1"/>
  <c r="U4503" i="3"/>
  <c r="Y4503" i="3" s="1"/>
  <c r="Z4503" i="3" s="1"/>
  <c r="U4599" i="3"/>
  <c r="Y4599" i="3" s="1"/>
  <c r="Z4599" i="3" s="1"/>
  <c r="U4608" i="3"/>
  <c r="Y4608" i="3" s="1"/>
  <c r="Z4608" i="3" s="1"/>
  <c r="U4650" i="3"/>
  <c r="Y4650" i="3" s="1"/>
  <c r="Z4650" i="3" s="1"/>
  <c r="U4662" i="3"/>
  <c r="Y4662" i="3" s="1"/>
  <c r="Z4662" i="3" s="1"/>
  <c r="U4827" i="3"/>
  <c r="Y4827" i="3" s="1"/>
  <c r="Z4827" i="3" s="1"/>
  <c r="U2435" i="3"/>
  <c r="Y2435" i="3" s="1"/>
  <c r="Z2435" i="3" s="1"/>
  <c r="U2464" i="3"/>
  <c r="Y2464" i="3" s="1"/>
  <c r="Z2464" i="3" s="1"/>
  <c r="U2479" i="3"/>
  <c r="Y2479" i="3" s="1"/>
  <c r="Z2479" i="3" s="1"/>
  <c r="U2516" i="3"/>
  <c r="Y2516" i="3" s="1"/>
  <c r="Z2516" i="3" s="1"/>
  <c r="U2550" i="3"/>
  <c r="Y2550" i="3" s="1"/>
  <c r="Z2550" i="3" s="1"/>
  <c r="U2646" i="3"/>
  <c r="Y2646" i="3" s="1"/>
  <c r="Z2646" i="3" s="1"/>
  <c r="U2652" i="3"/>
  <c r="Y2652" i="3" s="1"/>
  <c r="Z2652" i="3" s="1"/>
  <c r="U2668" i="3"/>
  <c r="Y2668" i="3" s="1"/>
  <c r="Z2668" i="3" s="1"/>
  <c r="U2734" i="3"/>
  <c r="Y2734" i="3" s="1"/>
  <c r="Z2734" i="3" s="1"/>
  <c r="U2763" i="3"/>
  <c r="Y2763" i="3" s="1"/>
  <c r="Z2763" i="3" s="1"/>
  <c r="U2778" i="3"/>
  <c r="Y2778" i="3" s="1"/>
  <c r="Z2778" i="3" s="1"/>
  <c r="U2817" i="3"/>
  <c r="Y2817" i="3" s="1"/>
  <c r="Z2817" i="3" s="1"/>
  <c r="U2822" i="3"/>
  <c r="Y2822" i="3" s="1"/>
  <c r="Z2822" i="3" s="1"/>
  <c r="U2865" i="3"/>
  <c r="Y2865" i="3" s="1"/>
  <c r="Z2865" i="3" s="1"/>
  <c r="U2911" i="3"/>
  <c r="Y2911" i="3" s="1"/>
  <c r="Z2911" i="3" s="1"/>
  <c r="U2938" i="3"/>
  <c r="Y2938" i="3" s="1"/>
  <c r="Z2938" i="3" s="1"/>
  <c r="U2963" i="3"/>
  <c r="Y2963" i="3" s="1"/>
  <c r="Z2963" i="3" s="1"/>
  <c r="U2985" i="3"/>
  <c r="Y2985" i="3" s="1"/>
  <c r="Z2985" i="3" s="1"/>
  <c r="U3004" i="3"/>
  <c r="Y3004" i="3" s="1"/>
  <c r="Z3004" i="3" s="1"/>
  <c r="U3007" i="3"/>
  <c r="Y3007" i="3" s="1"/>
  <c r="Z3007" i="3" s="1"/>
  <c r="U3131" i="3"/>
  <c r="Y3131" i="3" s="1"/>
  <c r="Z3131" i="3" s="1"/>
  <c r="U3160" i="3"/>
  <c r="Y3160" i="3" s="1"/>
  <c r="Z3160" i="3" s="1"/>
  <c r="U3164" i="3"/>
  <c r="Y3164" i="3" s="1"/>
  <c r="Z3164" i="3" s="1"/>
  <c r="U3173" i="3"/>
  <c r="Y3173" i="3" s="1"/>
  <c r="Z3173" i="3" s="1"/>
  <c r="U3227" i="3"/>
  <c r="Y3227" i="3" s="1"/>
  <c r="Z3227" i="3" s="1"/>
  <c r="U3262" i="3"/>
  <c r="Y3262" i="3" s="1"/>
  <c r="Z3262" i="3" s="1"/>
  <c r="U3301" i="3"/>
  <c r="Y3301" i="3" s="1"/>
  <c r="Z3301" i="3" s="1"/>
  <c r="U3304" i="3"/>
  <c r="Y3304" i="3" s="1"/>
  <c r="Z3304" i="3" s="1"/>
  <c r="U3332" i="3"/>
  <c r="Y3332" i="3" s="1"/>
  <c r="Z3332" i="3" s="1"/>
  <c r="U3365" i="3"/>
  <c r="Y3365" i="3" s="1"/>
  <c r="Z3365" i="3" s="1"/>
  <c r="U3388" i="3"/>
  <c r="Y3388" i="3" s="1"/>
  <c r="Z3388" i="3" s="1"/>
  <c r="U3426" i="3"/>
  <c r="Y3426" i="3" s="1"/>
  <c r="Z3426" i="3" s="1"/>
  <c r="U3513" i="3"/>
  <c r="Y3513" i="3" s="1"/>
  <c r="Z3513" i="3" s="1"/>
  <c r="U3532" i="3"/>
  <c r="Y3532" i="3" s="1"/>
  <c r="Z3532" i="3" s="1"/>
  <c r="U3583" i="3"/>
  <c r="Y3583" i="3" s="1"/>
  <c r="Z3583" i="3" s="1"/>
  <c r="U3585" i="3"/>
  <c r="Y3585" i="3" s="1"/>
  <c r="Z3585" i="3" s="1"/>
  <c r="U3595" i="3"/>
  <c r="Y3595" i="3" s="1"/>
  <c r="Z3595" i="3" s="1"/>
  <c r="U3662" i="3"/>
  <c r="Y3662" i="3" s="1"/>
  <c r="Z3662" i="3" s="1"/>
  <c r="U3683" i="3"/>
  <c r="Y3683" i="3" s="1"/>
  <c r="Z3683" i="3" s="1"/>
  <c r="U3712" i="3"/>
  <c r="Y3712" i="3" s="1"/>
  <c r="Z3712" i="3" s="1"/>
  <c r="U3719" i="3"/>
  <c r="Y3719" i="3" s="1"/>
  <c r="Z3719" i="3" s="1"/>
  <c r="U3839" i="3"/>
  <c r="Y3839" i="3" s="1"/>
  <c r="Z3839" i="3" s="1"/>
  <c r="U3971" i="3"/>
  <c r="Y3971" i="3" s="1"/>
  <c r="Z3971" i="3" s="1"/>
  <c r="U3994" i="3"/>
  <c r="Y3994" i="3" s="1"/>
  <c r="Z3994" i="3" s="1"/>
  <c r="U4046" i="3"/>
  <c r="Y4046" i="3" s="1"/>
  <c r="Z4046" i="3" s="1"/>
  <c r="U4055" i="3"/>
  <c r="Y4055" i="3" s="1"/>
  <c r="Z4055" i="3" s="1"/>
  <c r="U4058" i="3"/>
  <c r="Y4058" i="3" s="1"/>
  <c r="Z4058" i="3" s="1"/>
  <c r="U4060" i="3"/>
  <c r="Y4060" i="3" s="1"/>
  <c r="Z4060" i="3" s="1"/>
  <c r="U4072" i="3"/>
  <c r="Y4072" i="3" s="1"/>
  <c r="Z4072" i="3" s="1"/>
  <c r="U4082" i="3"/>
  <c r="Y4082" i="3" s="1"/>
  <c r="Z4082" i="3" s="1"/>
  <c r="U4086" i="3"/>
  <c r="Y4086" i="3" s="1"/>
  <c r="Z4086" i="3" s="1"/>
  <c r="U4101" i="3"/>
  <c r="Y4101" i="3" s="1"/>
  <c r="Z4101" i="3" s="1"/>
  <c r="U4109" i="3"/>
  <c r="Y4109" i="3" s="1"/>
  <c r="Z4109" i="3" s="1"/>
  <c r="U4118" i="3"/>
  <c r="Y4118" i="3" s="1"/>
  <c r="Z4118" i="3" s="1"/>
  <c r="U4161" i="3"/>
  <c r="Y4161" i="3" s="1"/>
  <c r="Z4161" i="3" s="1"/>
  <c r="U4201" i="3"/>
  <c r="Y4201" i="3" s="1"/>
  <c r="Z4201" i="3" s="1"/>
  <c r="U4214" i="3"/>
  <c r="Y4214" i="3" s="1"/>
  <c r="Z4214" i="3" s="1"/>
  <c r="U4216" i="3"/>
  <c r="Y4216" i="3" s="1"/>
  <c r="Z4216" i="3" s="1"/>
  <c r="U4225" i="3"/>
  <c r="Y4225" i="3" s="1"/>
  <c r="Z4225" i="3" s="1"/>
  <c r="U4234" i="3"/>
  <c r="Y4234" i="3" s="1"/>
  <c r="Z4234" i="3" s="1"/>
  <c r="U4249" i="3"/>
  <c r="Y4249" i="3" s="1"/>
  <c r="Z4249" i="3" s="1"/>
  <c r="U4263" i="3"/>
  <c r="Y4263" i="3" s="1"/>
  <c r="Z4263" i="3" s="1"/>
  <c r="U4283" i="3"/>
  <c r="Y4283" i="3" s="1"/>
  <c r="Z4283" i="3" s="1"/>
  <c r="U4290" i="3"/>
  <c r="Y4290" i="3" s="1"/>
  <c r="Z4290" i="3" s="1"/>
  <c r="U4327" i="3"/>
  <c r="Y4327" i="3" s="1"/>
  <c r="Z4327" i="3" s="1"/>
  <c r="U4371" i="3"/>
  <c r="Y4371" i="3" s="1"/>
  <c r="Z4371" i="3" s="1"/>
  <c r="U4442" i="3"/>
  <c r="Y4442" i="3" s="1"/>
  <c r="Z4442" i="3" s="1"/>
  <c r="U4445" i="3"/>
  <c r="Y4445" i="3" s="1"/>
  <c r="Z4445" i="3" s="1"/>
  <c r="U4460" i="3"/>
  <c r="Y4460" i="3" s="1"/>
  <c r="Z4460" i="3" s="1"/>
  <c r="U4464" i="3"/>
  <c r="Y4464" i="3" s="1"/>
  <c r="Z4464" i="3" s="1"/>
  <c r="U4481" i="3"/>
  <c r="Y4481" i="3" s="1"/>
  <c r="Z4481" i="3" s="1"/>
  <c r="U4499" i="3"/>
  <c r="Y4499" i="3" s="1"/>
  <c r="Z4499" i="3" s="1"/>
  <c r="U4500" i="3"/>
  <c r="Y4500" i="3" s="1"/>
  <c r="Z4500" i="3" s="1"/>
  <c r="U4532" i="3"/>
  <c r="Y4532" i="3" s="1"/>
  <c r="Z4532" i="3" s="1"/>
  <c r="U4536" i="3"/>
  <c r="Y4536" i="3" s="1"/>
  <c r="Z4536" i="3" s="1"/>
  <c r="U4542" i="3"/>
  <c r="Y4542" i="3" s="1"/>
  <c r="Z4542" i="3" s="1"/>
  <c r="U4549" i="3"/>
  <c r="Y4549" i="3" s="1"/>
  <c r="Z4549" i="3" s="1"/>
  <c r="U4582" i="3"/>
  <c r="Y4582" i="3" s="1"/>
  <c r="Z4582" i="3" s="1"/>
  <c r="U4589" i="3"/>
  <c r="Y4589" i="3" s="1"/>
  <c r="Z4589" i="3" s="1"/>
  <c r="U4601" i="3"/>
  <c r="Y4601" i="3" s="1"/>
  <c r="Z4601" i="3" s="1"/>
  <c r="U4610" i="3"/>
  <c r="Y4610" i="3" s="1"/>
  <c r="Z4610" i="3" s="1"/>
  <c r="U4627" i="3"/>
  <c r="Y4627" i="3" s="1"/>
  <c r="Z4627" i="3" s="1"/>
  <c r="U4649" i="3"/>
  <c r="Y4649" i="3" s="1"/>
  <c r="Z4649" i="3" s="1"/>
  <c r="U4655" i="3"/>
  <c r="Y4655" i="3" s="1"/>
  <c r="Z4655" i="3" s="1"/>
  <c r="U4673" i="3"/>
  <c r="Y4673" i="3" s="1"/>
  <c r="Z4673" i="3" s="1"/>
  <c r="U4704" i="3"/>
  <c r="Y4704" i="3" s="1"/>
  <c r="Z4704" i="3" s="1"/>
  <c r="U4719" i="3"/>
  <c r="Y4719" i="3" s="1"/>
  <c r="Z4719" i="3" s="1"/>
  <c r="U4773" i="3"/>
  <c r="Y4773" i="3" s="1"/>
  <c r="Z4773" i="3" s="1"/>
  <c r="U4783" i="3"/>
  <c r="Y4783" i="3" s="1"/>
  <c r="Z4783" i="3" s="1"/>
  <c r="U2569" i="3"/>
  <c r="Y2569" i="3" s="1"/>
  <c r="Z2569" i="3" s="1"/>
  <c r="U2574" i="3"/>
  <c r="Y2574" i="3" s="1"/>
  <c r="Z2574" i="3" s="1"/>
  <c r="U2582" i="3"/>
  <c r="Y2582" i="3" s="1"/>
  <c r="Z2582" i="3" s="1"/>
  <c r="U2624" i="3"/>
  <c r="Y2624" i="3" s="1"/>
  <c r="Z2624" i="3" s="1"/>
  <c r="U2637" i="3"/>
  <c r="Y2637" i="3" s="1"/>
  <c r="Z2637" i="3" s="1"/>
  <c r="U2740" i="3"/>
  <c r="Y2740" i="3" s="1"/>
  <c r="Z2740" i="3" s="1"/>
  <c r="U2760" i="3"/>
  <c r="Y2760" i="3" s="1"/>
  <c r="Z2760" i="3" s="1"/>
  <c r="U2762" i="3"/>
  <c r="Y2762" i="3" s="1"/>
  <c r="Z2762" i="3" s="1"/>
  <c r="U2861" i="3"/>
  <c r="Y2861" i="3" s="1"/>
  <c r="Z2861" i="3" s="1"/>
  <c r="U2913" i="3"/>
  <c r="Y2913" i="3" s="1"/>
  <c r="Z2913" i="3" s="1"/>
  <c r="U2923" i="3"/>
  <c r="Y2923" i="3" s="1"/>
  <c r="Z2923" i="3" s="1"/>
  <c r="U2973" i="3"/>
  <c r="Y2973" i="3" s="1"/>
  <c r="Z2973" i="3" s="1"/>
  <c r="U3035" i="3"/>
  <c r="Y3035" i="3" s="1"/>
  <c r="Z3035" i="3" s="1"/>
  <c r="U3066" i="3"/>
  <c r="Y3066" i="3" s="1"/>
  <c r="Z3066" i="3" s="1"/>
  <c r="U3084" i="3"/>
  <c r="Y3084" i="3" s="1"/>
  <c r="Z3084" i="3" s="1"/>
  <c r="U3097" i="3"/>
  <c r="Y3097" i="3" s="1"/>
  <c r="Z3097" i="3" s="1"/>
  <c r="U3185" i="3"/>
  <c r="Y3185" i="3" s="1"/>
  <c r="Z3185" i="3" s="1"/>
  <c r="U3225" i="3"/>
  <c r="Y3225" i="3" s="1"/>
  <c r="Z3225" i="3" s="1"/>
  <c r="U3243" i="3"/>
  <c r="Y3243" i="3" s="1"/>
  <c r="Z3243" i="3" s="1"/>
  <c r="U3274" i="3"/>
  <c r="Y3274" i="3" s="1"/>
  <c r="Z3274" i="3" s="1"/>
  <c r="U3278" i="3"/>
  <c r="Y3278" i="3" s="1"/>
  <c r="Z3278" i="3" s="1"/>
  <c r="U3348" i="3"/>
  <c r="Y3348" i="3" s="1"/>
  <c r="Z3348" i="3" s="1"/>
  <c r="U3351" i="3"/>
  <c r="Y3351" i="3" s="1"/>
  <c r="Z3351" i="3" s="1"/>
  <c r="U3436" i="3"/>
  <c r="Y3436" i="3" s="1"/>
  <c r="Z3436" i="3" s="1"/>
  <c r="U3470" i="3"/>
  <c r="Y3470" i="3" s="1"/>
  <c r="Z3470" i="3" s="1"/>
  <c r="U3504" i="3"/>
  <c r="Y3504" i="3" s="1"/>
  <c r="Z3504" i="3" s="1"/>
  <c r="U3566" i="3"/>
  <c r="Y3566" i="3" s="1"/>
  <c r="Z3566" i="3" s="1"/>
  <c r="U3570" i="3"/>
  <c r="Y3570" i="3" s="1"/>
  <c r="Z3570" i="3" s="1"/>
  <c r="U3813" i="3"/>
  <c r="Y3813" i="3" s="1"/>
  <c r="Z3813" i="3" s="1"/>
  <c r="U3820" i="3"/>
  <c r="Y3820" i="3" s="1"/>
  <c r="Z3820" i="3" s="1"/>
  <c r="U3872" i="3"/>
  <c r="Y3872" i="3" s="1"/>
  <c r="Z3872" i="3" s="1"/>
  <c r="U3970" i="3"/>
  <c r="Y3970" i="3" s="1"/>
  <c r="Z3970" i="3" s="1"/>
  <c r="U4043" i="3"/>
  <c r="Y4043" i="3" s="1"/>
  <c r="Z4043" i="3" s="1"/>
  <c r="U4064" i="3"/>
  <c r="Y4064" i="3" s="1"/>
  <c r="Z4064" i="3" s="1"/>
  <c r="U4071" i="3"/>
  <c r="Y4071" i="3" s="1"/>
  <c r="Z4071" i="3" s="1"/>
  <c r="U4100" i="3"/>
  <c r="Y4100" i="3" s="1"/>
  <c r="Z4100" i="3" s="1"/>
  <c r="U4136" i="3"/>
  <c r="Y4136" i="3" s="1"/>
  <c r="Z4136" i="3" s="1"/>
  <c r="U4168" i="3"/>
  <c r="Y4168" i="3" s="1"/>
  <c r="Z4168" i="3" s="1"/>
  <c r="U4203" i="3"/>
  <c r="Y4203" i="3" s="1"/>
  <c r="Z4203" i="3" s="1"/>
  <c r="U4299" i="3"/>
  <c r="Y4299" i="3" s="1"/>
  <c r="Z4299" i="3" s="1"/>
  <c r="U4409" i="3"/>
  <c r="Y4409" i="3" s="1"/>
  <c r="Z4409" i="3" s="1"/>
  <c r="U4465" i="3"/>
  <c r="Y4465" i="3" s="1"/>
  <c r="Z4465" i="3" s="1"/>
  <c r="U4507" i="3"/>
  <c r="Y4507" i="3" s="1"/>
  <c r="Z4507" i="3" s="1"/>
  <c r="U4521" i="3"/>
  <c r="Y4521" i="3" s="1"/>
  <c r="Z4521" i="3" s="1"/>
  <c r="U4557" i="3"/>
  <c r="Y4557" i="3" s="1"/>
  <c r="Z4557" i="3" s="1"/>
  <c r="U4586" i="3"/>
  <c r="Y4586" i="3" s="1"/>
  <c r="Z4586" i="3" s="1"/>
  <c r="U4647" i="3"/>
  <c r="Y4647" i="3" s="1"/>
  <c r="Z4647" i="3" s="1"/>
  <c r="U4653" i="3"/>
  <c r="Y4653" i="3" s="1"/>
  <c r="Z4653" i="3" s="1"/>
  <c r="U4678" i="3"/>
  <c r="Y4678" i="3" s="1"/>
  <c r="Z4678" i="3" s="1"/>
  <c r="U4700" i="3"/>
  <c r="Y4700" i="3" s="1"/>
  <c r="Z4700" i="3" s="1"/>
  <c r="U4731" i="3"/>
  <c r="Y4731" i="3" s="1"/>
  <c r="Z4731" i="3" s="1"/>
  <c r="U4776" i="3"/>
  <c r="Y4776" i="3" s="1"/>
  <c r="Z4776" i="3" s="1"/>
  <c r="U4797" i="3"/>
  <c r="Y4797" i="3" s="1"/>
  <c r="Z4797" i="3" s="1"/>
  <c r="U2669" i="3"/>
  <c r="Y2669" i="3" s="1"/>
  <c r="Z2669" i="3" s="1"/>
  <c r="U2844" i="3"/>
  <c r="Y2844" i="3" s="1"/>
  <c r="Z2844" i="3" s="1"/>
  <c r="U2862" i="3"/>
  <c r="Y2862" i="3" s="1"/>
  <c r="Z2862" i="3" s="1"/>
  <c r="U2882" i="3"/>
  <c r="Y2882" i="3" s="1"/>
  <c r="Z2882" i="3" s="1"/>
  <c r="U3050" i="3"/>
  <c r="Y3050" i="3" s="1"/>
  <c r="Z3050" i="3" s="1"/>
  <c r="U3116" i="3"/>
  <c r="Y3116" i="3" s="1"/>
  <c r="Z3116" i="3" s="1"/>
  <c r="U3178" i="3"/>
  <c r="Y3178" i="3" s="1"/>
  <c r="Z3178" i="3" s="1"/>
  <c r="U3255" i="3"/>
  <c r="Y3255" i="3" s="1"/>
  <c r="Z3255" i="3" s="1"/>
  <c r="U3339" i="3"/>
  <c r="Y3339" i="3" s="1"/>
  <c r="Z3339" i="3" s="1"/>
  <c r="U3377" i="3"/>
  <c r="Y3377" i="3" s="1"/>
  <c r="Z3377" i="3" s="1"/>
  <c r="U3383" i="3"/>
  <c r="Y3383" i="3" s="1"/>
  <c r="Z3383" i="3" s="1"/>
  <c r="U3410" i="3"/>
  <c r="Y3410" i="3" s="1"/>
  <c r="Z3410" i="3" s="1"/>
  <c r="U3468" i="3"/>
  <c r="Y3468" i="3" s="1"/>
  <c r="Z3468" i="3" s="1"/>
  <c r="U3499" i="3"/>
  <c r="Y3499" i="3" s="1"/>
  <c r="Z3499" i="3" s="1"/>
  <c r="U3520" i="3"/>
  <c r="Y3520" i="3" s="1"/>
  <c r="Z3520" i="3" s="1"/>
  <c r="U3624" i="3"/>
  <c r="Y3624" i="3" s="1"/>
  <c r="Z3624" i="3" s="1"/>
  <c r="U3656" i="3"/>
  <c r="Y3656" i="3" s="1"/>
  <c r="Z3656" i="3" s="1"/>
  <c r="U3672" i="3"/>
  <c r="Y3672" i="3" s="1"/>
  <c r="Z3672" i="3" s="1"/>
  <c r="U3703" i="3"/>
  <c r="Y3703" i="3" s="1"/>
  <c r="Z3703" i="3" s="1"/>
  <c r="U3860" i="3"/>
  <c r="Y3860" i="3" s="1"/>
  <c r="Z3860" i="3" s="1"/>
  <c r="U3957" i="3"/>
  <c r="Y3957" i="3" s="1"/>
  <c r="Z3957" i="3" s="1"/>
  <c r="U4005" i="3"/>
  <c r="Y4005" i="3" s="1"/>
  <c r="Z4005" i="3" s="1"/>
  <c r="U4040" i="3"/>
  <c r="Y4040" i="3" s="1"/>
  <c r="Z4040" i="3" s="1"/>
  <c r="U4047" i="3"/>
  <c r="Y4047" i="3" s="1"/>
  <c r="Z4047" i="3" s="1"/>
  <c r="U4063" i="3"/>
  <c r="Y4063" i="3" s="1"/>
  <c r="Z4063" i="3" s="1"/>
  <c r="U4084" i="3"/>
  <c r="Y4084" i="3" s="1"/>
  <c r="Z4084" i="3" s="1"/>
  <c r="U4112" i="3"/>
  <c r="Y4112" i="3" s="1"/>
  <c r="Z4112" i="3" s="1"/>
  <c r="U4121" i="3"/>
  <c r="Y4121" i="3" s="1"/>
  <c r="Z4121" i="3" s="1"/>
  <c r="U4281" i="3"/>
  <c r="Y4281" i="3" s="1"/>
  <c r="Z4281" i="3" s="1"/>
  <c r="U4291" i="3"/>
  <c r="Y4291" i="3" s="1"/>
  <c r="Z4291" i="3" s="1"/>
  <c r="U4310" i="3"/>
  <c r="Y4310" i="3" s="1"/>
  <c r="Z4310" i="3" s="1"/>
  <c r="U4354" i="3"/>
  <c r="Y4354" i="3" s="1"/>
  <c r="Z4354" i="3" s="1"/>
  <c r="U4489" i="3"/>
  <c r="Y4489" i="3" s="1"/>
  <c r="Z4489" i="3" s="1"/>
  <c r="U4556" i="3"/>
  <c r="Y4556" i="3" s="1"/>
  <c r="Z4556" i="3" s="1"/>
  <c r="U4571" i="3"/>
  <c r="Y4571" i="3" s="1"/>
  <c r="Z4571" i="3" s="1"/>
  <c r="U4576" i="3"/>
  <c r="Y4576" i="3" s="1"/>
  <c r="Z4576" i="3" s="1"/>
  <c r="U4715" i="3"/>
  <c r="Y4715" i="3" s="1"/>
  <c r="Z4715" i="3" s="1"/>
  <c r="U4743" i="3"/>
  <c r="Y4743" i="3" s="1"/>
  <c r="Z4743" i="3" s="1"/>
  <c r="U4752" i="3"/>
  <c r="Y4752" i="3" s="1"/>
  <c r="Z4752" i="3" s="1"/>
  <c r="U2702" i="3"/>
  <c r="Y2702" i="3" s="1"/>
  <c r="Z2702" i="3" s="1"/>
  <c r="U2770" i="3"/>
  <c r="Y2770" i="3" s="1"/>
  <c r="Z2770" i="3" s="1"/>
  <c r="U2790" i="3"/>
  <c r="Y2790" i="3" s="1"/>
  <c r="Z2790" i="3" s="1"/>
  <c r="U3000" i="3"/>
  <c r="Y3000" i="3" s="1"/>
  <c r="Z3000" i="3" s="1"/>
  <c r="U3018" i="3"/>
  <c r="Y3018" i="3" s="1"/>
  <c r="Z3018" i="3" s="1"/>
  <c r="U3024" i="3"/>
  <c r="Y3024" i="3" s="1"/>
  <c r="Z3024" i="3" s="1"/>
  <c r="U3090" i="3"/>
  <c r="Y3090" i="3" s="1"/>
  <c r="Z3090" i="3" s="1"/>
  <c r="U3172" i="3"/>
  <c r="Y3172" i="3" s="1"/>
  <c r="Z3172" i="3" s="1"/>
  <c r="U3375" i="3"/>
  <c r="Y3375" i="3" s="1"/>
  <c r="Z3375" i="3" s="1"/>
  <c r="U3447" i="3"/>
  <c r="Y3447" i="3" s="1"/>
  <c r="Z3447" i="3" s="1"/>
  <c r="U3505" i="3"/>
  <c r="Y3505" i="3" s="1"/>
  <c r="Z3505" i="3" s="1"/>
  <c r="U3628" i="3"/>
  <c r="Y3628" i="3" s="1"/>
  <c r="Z3628" i="3" s="1"/>
  <c r="U3715" i="3"/>
  <c r="Y3715" i="3" s="1"/>
  <c r="Z3715" i="3" s="1"/>
  <c r="U3728" i="3"/>
  <c r="Y3728" i="3" s="1"/>
  <c r="Z3728" i="3" s="1"/>
  <c r="U3735" i="3"/>
  <c r="Y3735" i="3" s="1"/>
  <c r="Z3735" i="3" s="1"/>
  <c r="U3790" i="3"/>
  <c r="Y3790" i="3" s="1"/>
  <c r="Z3790" i="3" s="1"/>
  <c r="U3907" i="3"/>
  <c r="Y3907" i="3" s="1"/>
  <c r="Z3907" i="3" s="1"/>
  <c r="U3952" i="3"/>
  <c r="Y3952" i="3" s="1"/>
  <c r="Z3952" i="3" s="1"/>
  <c r="U3998" i="3"/>
  <c r="Y3998" i="3" s="1"/>
  <c r="Z3998" i="3" s="1"/>
  <c r="U4074" i="3"/>
  <c r="Y4074" i="3" s="1"/>
  <c r="Z4074" i="3" s="1"/>
  <c r="U4200" i="3"/>
  <c r="Y4200" i="3" s="1"/>
  <c r="Z4200" i="3" s="1"/>
  <c r="U4227" i="3"/>
  <c r="Y4227" i="3" s="1"/>
  <c r="Z4227" i="3" s="1"/>
  <c r="U4244" i="3"/>
  <c r="Y4244" i="3" s="1"/>
  <c r="Z4244" i="3" s="1"/>
  <c r="U4297" i="3"/>
  <c r="Y4297" i="3" s="1"/>
  <c r="Z4297" i="3" s="1"/>
  <c r="U4314" i="3"/>
  <c r="Y4314" i="3" s="1"/>
  <c r="Z4314" i="3" s="1"/>
  <c r="U4322" i="3"/>
  <c r="Y4322" i="3" s="1"/>
  <c r="Z4322" i="3" s="1"/>
  <c r="U4331" i="3"/>
  <c r="Y4331" i="3" s="1"/>
  <c r="Z4331" i="3" s="1"/>
  <c r="U4418" i="3"/>
  <c r="Y4418" i="3" s="1"/>
  <c r="Z4418" i="3" s="1"/>
  <c r="U4505" i="3"/>
  <c r="Y4505" i="3" s="1"/>
  <c r="Z4505" i="3" s="1"/>
  <c r="U4564" i="3"/>
  <c r="Y4564" i="3" s="1"/>
  <c r="Z4564" i="3" s="1"/>
  <c r="U4568" i="3"/>
  <c r="Y4568" i="3" s="1"/>
  <c r="Z4568" i="3" s="1"/>
  <c r="U4711" i="3"/>
  <c r="Y4711" i="3" s="1"/>
  <c r="Z4711" i="3" s="1"/>
  <c r="U4753" i="3"/>
  <c r="Y4753" i="3" s="1"/>
  <c r="Z4753" i="3" s="1"/>
  <c r="U2993" i="3"/>
  <c r="Y2993" i="3" s="1"/>
  <c r="Z2993" i="3" s="1"/>
  <c r="U3155" i="3"/>
  <c r="Y3155" i="3" s="1"/>
  <c r="Z3155" i="3" s="1"/>
  <c r="U4437" i="3"/>
  <c r="Y4437" i="3" s="1"/>
  <c r="Z4437" i="3" s="1"/>
  <c r="U2786" i="3"/>
  <c r="Y2786" i="3" s="1"/>
  <c r="Z2786" i="3" s="1"/>
  <c r="U2802" i="3"/>
  <c r="Y2802" i="3" s="1"/>
  <c r="Z2802" i="3" s="1"/>
  <c r="U2872" i="3"/>
  <c r="Y2872" i="3" s="1"/>
  <c r="Z2872" i="3" s="1"/>
  <c r="U3037" i="3"/>
  <c r="Y3037" i="3" s="1"/>
  <c r="Z3037" i="3" s="1"/>
  <c r="U3177" i="3"/>
  <c r="Y3177" i="3" s="1"/>
  <c r="Z3177" i="3" s="1"/>
  <c r="U3234" i="3"/>
  <c r="Y3234" i="3" s="1"/>
  <c r="Z3234" i="3" s="1"/>
  <c r="U3290" i="3"/>
  <c r="Y3290" i="3" s="1"/>
  <c r="Z3290" i="3" s="1"/>
  <c r="U3293" i="3"/>
  <c r="Y3293" i="3" s="1"/>
  <c r="Z3293" i="3" s="1"/>
  <c r="U3420" i="3"/>
  <c r="Y3420" i="3" s="1"/>
  <c r="Z3420" i="3" s="1"/>
  <c r="U3429" i="3"/>
  <c r="Y3429" i="3" s="1"/>
  <c r="Z3429" i="3" s="1"/>
  <c r="U3434" i="3"/>
  <c r="Y3434" i="3" s="1"/>
  <c r="Z3434" i="3" s="1"/>
  <c r="U3685" i="3"/>
  <c r="Y3685" i="3" s="1"/>
  <c r="Z3685" i="3" s="1"/>
  <c r="U3709" i="3"/>
  <c r="Y3709" i="3" s="1"/>
  <c r="Z3709" i="3" s="1"/>
  <c r="U3744" i="3"/>
  <c r="Y3744" i="3" s="1"/>
  <c r="Z3744" i="3" s="1"/>
  <c r="U3838" i="3"/>
  <c r="Y3838" i="3" s="1"/>
  <c r="Z3838" i="3" s="1"/>
  <c r="U3876" i="3"/>
  <c r="Y3876" i="3" s="1"/>
  <c r="Z3876" i="3" s="1"/>
  <c r="U3881" i="3"/>
  <c r="Y3881" i="3" s="1"/>
  <c r="Z3881" i="3" s="1"/>
  <c r="U3896" i="3"/>
  <c r="Y3896" i="3" s="1"/>
  <c r="Z3896" i="3" s="1"/>
  <c r="U4050" i="3"/>
  <c r="Y4050" i="3" s="1"/>
  <c r="Z4050" i="3" s="1"/>
  <c r="U4097" i="3"/>
  <c r="Y4097" i="3" s="1"/>
  <c r="Z4097" i="3" s="1"/>
  <c r="U4163" i="3"/>
  <c r="Y4163" i="3" s="1"/>
  <c r="Z4163" i="3" s="1"/>
  <c r="U4175" i="3"/>
  <c r="Y4175" i="3" s="1"/>
  <c r="Z4175" i="3" s="1"/>
  <c r="U4273" i="3"/>
  <c r="Y4273" i="3" s="1"/>
  <c r="Z4273" i="3" s="1"/>
  <c r="U4307" i="3"/>
  <c r="Y4307" i="3" s="1"/>
  <c r="Z4307" i="3" s="1"/>
  <c r="U4404" i="3"/>
  <c r="Y4404" i="3" s="1"/>
  <c r="Z4404" i="3" s="1"/>
  <c r="U4423" i="3"/>
  <c r="Y4423" i="3" s="1"/>
  <c r="Z4423" i="3" s="1"/>
  <c r="U4432" i="3"/>
  <c r="Y4432" i="3" s="1"/>
  <c r="Z4432" i="3" s="1"/>
  <c r="U4493" i="3"/>
  <c r="Y4493" i="3" s="1"/>
  <c r="Z4493" i="3" s="1"/>
  <c r="U4559" i="3"/>
  <c r="Y4559" i="3" s="1"/>
  <c r="Z4559" i="3" s="1"/>
  <c r="U4588" i="3"/>
  <c r="Y4588" i="3" s="1"/>
  <c r="Z4588" i="3" s="1"/>
  <c r="U4692" i="3"/>
  <c r="Y4692" i="3" s="1"/>
  <c r="Z4692" i="3" s="1"/>
  <c r="U4724" i="3"/>
  <c r="Y4724" i="3" s="1"/>
  <c r="Z4724" i="3" s="1"/>
  <c r="U4730" i="3"/>
  <c r="Y4730" i="3" s="1"/>
  <c r="Z4730" i="3" s="1"/>
  <c r="U4732" i="3"/>
  <c r="Y4732" i="3" s="1"/>
  <c r="Z4732" i="3" s="1"/>
  <c r="U2981" i="3"/>
  <c r="Y2981" i="3" s="1"/>
  <c r="Z2981" i="3" s="1"/>
  <c r="U3101" i="3"/>
  <c r="Y3101" i="3" s="1"/>
  <c r="Z3101" i="3" s="1"/>
  <c r="U3107" i="3"/>
  <c r="Y3107" i="3" s="1"/>
  <c r="Z3107" i="3" s="1"/>
  <c r="U3129" i="3"/>
  <c r="Y3129" i="3" s="1"/>
  <c r="Z3129" i="3" s="1"/>
  <c r="U3139" i="3"/>
  <c r="Y3139" i="3" s="1"/>
  <c r="Z3139" i="3" s="1"/>
  <c r="U3141" i="3"/>
  <c r="Y3141" i="3" s="1"/>
  <c r="Z3141" i="3" s="1"/>
  <c r="U3209" i="3"/>
  <c r="Y3209" i="3" s="1"/>
  <c r="Z3209" i="3" s="1"/>
  <c r="U3245" i="3"/>
  <c r="Y3245" i="3" s="1"/>
  <c r="Z3245" i="3" s="1"/>
  <c r="U3296" i="3"/>
  <c r="Y3296" i="3" s="1"/>
  <c r="Z3296" i="3" s="1"/>
  <c r="U3623" i="3"/>
  <c r="Y3623" i="3" s="1"/>
  <c r="Z3623" i="3" s="1"/>
  <c r="U3706" i="3"/>
  <c r="Y3706" i="3" s="1"/>
  <c r="Z3706" i="3" s="1"/>
  <c r="U3780" i="3"/>
  <c r="Y3780" i="3" s="1"/>
  <c r="Z3780" i="3" s="1"/>
  <c r="U3856" i="3"/>
  <c r="Y3856" i="3" s="1"/>
  <c r="Z3856" i="3" s="1"/>
  <c r="U3953" i="3"/>
  <c r="Y3953" i="3" s="1"/>
  <c r="Z3953" i="3" s="1"/>
  <c r="U4025" i="3"/>
  <c r="Y4025" i="3" s="1"/>
  <c r="Z4025" i="3" s="1"/>
  <c r="U4070" i="3"/>
  <c r="Y4070" i="3" s="1"/>
  <c r="Z4070" i="3" s="1"/>
  <c r="U4162" i="3"/>
  <c r="Y4162" i="3" s="1"/>
  <c r="Z4162" i="3" s="1"/>
  <c r="U4179" i="3"/>
  <c r="Y4179" i="3" s="1"/>
  <c r="Z4179" i="3" s="1"/>
  <c r="U4236" i="3"/>
  <c r="Y4236" i="3" s="1"/>
  <c r="Z4236" i="3" s="1"/>
  <c r="U4272" i="3"/>
  <c r="Y4272" i="3" s="1"/>
  <c r="Z4272" i="3" s="1"/>
  <c r="U4412" i="3"/>
  <c r="Y4412" i="3" s="1"/>
  <c r="Z4412" i="3" s="1"/>
  <c r="U4475" i="3"/>
  <c r="Y4475" i="3" s="1"/>
  <c r="Z4475" i="3" s="1"/>
  <c r="U4501" i="3"/>
  <c r="Y4501" i="3" s="1"/>
  <c r="Z4501" i="3" s="1"/>
  <c r="U4541" i="3"/>
  <c r="Y4541" i="3" s="1"/>
  <c r="Z4541" i="3" s="1"/>
  <c r="U4574" i="3"/>
  <c r="Y4574" i="3" s="1"/>
  <c r="Z4574" i="3" s="1"/>
  <c r="U4702" i="3"/>
  <c r="Y4702" i="3" s="1"/>
  <c r="Z4702" i="3" s="1"/>
  <c r="U4750" i="3"/>
  <c r="Y4750" i="3" s="1"/>
  <c r="Z4750" i="3" s="1"/>
  <c r="U4800" i="3"/>
  <c r="Y4800" i="3" s="1"/>
  <c r="Z4800" i="3" s="1"/>
  <c r="U2975" i="3"/>
  <c r="Y2975" i="3" s="1"/>
  <c r="Z2975" i="3" s="1"/>
  <c r="U3042" i="3"/>
  <c r="Y3042" i="3" s="1"/>
  <c r="Z3042" i="3" s="1"/>
  <c r="U3114" i="3"/>
  <c r="Y3114" i="3" s="1"/>
  <c r="Z3114" i="3" s="1"/>
  <c r="U3130" i="3"/>
  <c r="Y3130" i="3" s="1"/>
  <c r="Z3130" i="3" s="1"/>
  <c r="U3144" i="3"/>
  <c r="Y3144" i="3" s="1"/>
  <c r="Z3144" i="3" s="1"/>
  <c r="U3171" i="3"/>
  <c r="Y3171" i="3" s="1"/>
  <c r="Z3171" i="3" s="1"/>
  <c r="U3184" i="3"/>
  <c r="Y3184" i="3" s="1"/>
  <c r="Z3184" i="3" s="1"/>
  <c r="U3190" i="3"/>
  <c r="Y3190" i="3" s="1"/>
  <c r="Z3190" i="3" s="1"/>
  <c r="U3218" i="3"/>
  <c r="Y3218" i="3" s="1"/>
  <c r="Z3218" i="3" s="1"/>
  <c r="U3231" i="3"/>
  <c r="Y3231" i="3" s="1"/>
  <c r="Z3231" i="3" s="1"/>
  <c r="U3239" i="3"/>
  <c r="Y3239" i="3" s="1"/>
  <c r="Z3239" i="3" s="1"/>
  <c r="U3276" i="3"/>
  <c r="Y3276" i="3" s="1"/>
  <c r="Z3276" i="3" s="1"/>
  <c r="U3345" i="3"/>
  <c r="Y3345" i="3" s="1"/>
  <c r="Z3345" i="3" s="1"/>
  <c r="U3361" i="3"/>
  <c r="Y3361" i="3" s="1"/>
  <c r="Z3361" i="3" s="1"/>
  <c r="U3401" i="3"/>
  <c r="Y3401" i="3" s="1"/>
  <c r="Z3401" i="3" s="1"/>
  <c r="U3411" i="3"/>
  <c r="Y3411" i="3" s="1"/>
  <c r="Z3411" i="3" s="1"/>
  <c r="U3500" i="3"/>
  <c r="Y3500" i="3" s="1"/>
  <c r="Z3500" i="3" s="1"/>
  <c r="U3546" i="3"/>
  <c r="Y3546" i="3" s="1"/>
  <c r="Z3546" i="3" s="1"/>
  <c r="U3562" i="3"/>
  <c r="Y3562" i="3" s="1"/>
  <c r="Z3562" i="3" s="1"/>
  <c r="U3572" i="3"/>
  <c r="Y3572" i="3" s="1"/>
  <c r="Z3572" i="3" s="1"/>
  <c r="U3612" i="3"/>
  <c r="Y3612" i="3" s="1"/>
  <c r="Z3612" i="3" s="1"/>
  <c r="U3627" i="3"/>
  <c r="Y3627" i="3" s="1"/>
  <c r="Z3627" i="3" s="1"/>
  <c r="U3632" i="3"/>
  <c r="Y3632" i="3" s="1"/>
  <c r="Z3632" i="3" s="1"/>
  <c r="U3721" i="3"/>
  <c r="Y3721" i="3" s="1"/>
  <c r="Z3721" i="3" s="1"/>
  <c r="U3731" i="3"/>
  <c r="Y3731" i="3" s="1"/>
  <c r="Z3731" i="3" s="1"/>
  <c r="U3746" i="3"/>
  <c r="Y3746" i="3" s="1"/>
  <c r="Z3746" i="3" s="1"/>
  <c r="U3754" i="3"/>
  <c r="Y3754" i="3" s="1"/>
  <c r="Z3754" i="3" s="1"/>
  <c r="U3774" i="3"/>
  <c r="Y3774" i="3" s="1"/>
  <c r="Z3774" i="3" s="1"/>
  <c r="U3877" i="3"/>
  <c r="Y3877" i="3" s="1"/>
  <c r="Z3877" i="3" s="1"/>
  <c r="U3879" i="3"/>
  <c r="Y3879" i="3" s="1"/>
  <c r="Z3879" i="3" s="1"/>
  <c r="U3949" i="3"/>
  <c r="Y3949" i="3" s="1"/>
  <c r="Z3949" i="3" s="1"/>
  <c r="U3989" i="3"/>
  <c r="Y3989" i="3" s="1"/>
  <c r="Z3989" i="3" s="1"/>
  <c r="U3990" i="3"/>
  <c r="Y3990" i="3" s="1"/>
  <c r="Z3990" i="3" s="1"/>
  <c r="U3992" i="3"/>
  <c r="Y3992" i="3" s="1"/>
  <c r="Z3992" i="3" s="1"/>
  <c r="U4001" i="3"/>
  <c r="Y4001" i="3" s="1"/>
  <c r="Z4001" i="3" s="1"/>
  <c r="U4002" i="3"/>
  <c r="Y4002" i="3" s="1"/>
  <c r="Z4002" i="3" s="1"/>
  <c r="U4014" i="3"/>
  <c r="Y4014" i="3" s="1"/>
  <c r="Z4014" i="3" s="1"/>
  <c r="U4029" i="3"/>
  <c r="Y4029" i="3" s="1"/>
  <c r="Z4029" i="3" s="1"/>
  <c r="U4048" i="3"/>
  <c r="Y4048" i="3" s="1"/>
  <c r="Z4048" i="3" s="1"/>
  <c r="U4173" i="3"/>
  <c r="Y4173" i="3" s="1"/>
  <c r="Z4173" i="3" s="1"/>
  <c r="U4185" i="3"/>
  <c r="Y4185" i="3" s="1"/>
  <c r="Z4185" i="3" s="1"/>
  <c r="U4350" i="3"/>
  <c r="Y4350" i="3" s="1"/>
  <c r="Z4350" i="3" s="1"/>
  <c r="U4359" i="3"/>
  <c r="Y4359" i="3" s="1"/>
  <c r="Z4359" i="3" s="1"/>
  <c r="U4362" i="3"/>
  <c r="Y4362" i="3" s="1"/>
  <c r="Z4362" i="3" s="1"/>
  <c r="U4367" i="3"/>
  <c r="Y4367" i="3" s="1"/>
  <c r="Z4367" i="3" s="1"/>
  <c r="U4399" i="3"/>
  <c r="Y4399" i="3" s="1"/>
  <c r="Z4399" i="3" s="1"/>
  <c r="U4400" i="3"/>
  <c r="Y4400" i="3" s="1"/>
  <c r="Z4400" i="3" s="1"/>
  <c r="U4424" i="3"/>
  <c r="Y4424" i="3" s="1"/>
  <c r="Z4424" i="3" s="1"/>
  <c r="U4438" i="3"/>
  <c r="Y4438" i="3" s="1"/>
  <c r="Z4438" i="3" s="1"/>
  <c r="U4446" i="3"/>
  <c r="Y4446" i="3" s="1"/>
  <c r="Z4446" i="3" s="1"/>
  <c r="U4467" i="3"/>
  <c r="Y4467" i="3" s="1"/>
  <c r="Z4467" i="3" s="1"/>
  <c r="U4474" i="3"/>
  <c r="Y4474" i="3" s="1"/>
  <c r="Z4474" i="3" s="1"/>
  <c r="U4480" i="3"/>
  <c r="Y4480" i="3" s="1"/>
  <c r="Z4480" i="3" s="1"/>
  <c r="U4483" i="3"/>
  <c r="Y4483" i="3" s="1"/>
  <c r="Z4483" i="3" s="1"/>
  <c r="U4485" i="3"/>
  <c r="Y4485" i="3" s="1"/>
  <c r="Z4485" i="3" s="1"/>
  <c r="U4487" i="3"/>
  <c r="Y4487" i="3" s="1"/>
  <c r="Z4487" i="3" s="1"/>
  <c r="U4504" i="3"/>
  <c r="Y4504" i="3" s="1"/>
  <c r="Z4504" i="3" s="1"/>
  <c r="U4509" i="3"/>
  <c r="Y4509" i="3" s="1"/>
  <c r="Z4509" i="3" s="1"/>
  <c r="U4512" i="3"/>
  <c r="Y4512" i="3" s="1"/>
  <c r="Z4512" i="3" s="1"/>
  <c r="U4515" i="3"/>
  <c r="Y4515" i="3" s="1"/>
  <c r="Z4515" i="3" s="1"/>
  <c r="U4523" i="3"/>
  <c r="Y4523" i="3" s="1"/>
  <c r="Z4523" i="3" s="1"/>
  <c r="U4533" i="3"/>
  <c r="Y4533" i="3" s="1"/>
  <c r="Z4533" i="3" s="1"/>
  <c r="U4535" i="3"/>
  <c r="Y4535" i="3" s="1"/>
  <c r="Z4535" i="3" s="1"/>
  <c r="U4552" i="3"/>
  <c r="Y4552" i="3" s="1"/>
  <c r="Z4552" i="3" s="1"/>
  <c r="U4592" i="3"/>
  <c r="Y4592" i="3" s="1"/>
  <c r="Z4592" i="3" s="1"/>
  <c r="U4594" i="3"/>
  <c r="Y4594" i="3" s="1"/>
  <c r="Z4594" i="3" s="1"/>
  <c r="U4644" i="3"/>
  <c r="Y4644" i="3" s="1"/>
  <c r="Z4644" i="3" s="1"/>
  <c r="U4654" i="3"/>
  <c r="Y4654" i="3" s="1"/>
  <c r="Z4654" i="3" s="1"/>
  <c r="U4657" i="3"/>
  <c r="Y4657" i="3" s="1"/>
  <c r="Z4657" i="3" s="1"/>
  <c r="U4768" i="3"/>
  <c r="Y4768" i="3" s="1"/>
  <c r="Z4768" i="3" s="1"/>
  <c r="U4818" i="3"/>
  <c r="Y4818" i="3" s="1"/>
  <c r="Z4818" i="3" s="1"/>
  <c r="U3098" i="3"/>
  <c r="Y3098" i="3" s="1"/>
  <c r="Z3098" i="3" s="1"/>
  <c r="U3194" i="3"/>
  <c r="Y3194" i="3" s="1"/>
  <c r="Z3194" i="3" s="1"/>
  <c r="U3205" i="3"/>
  <c r="Y3205" i="3" s="1"/>
  <c r="Z3205" i="3" s="1"/>
  <c r="U3206" i="3"/>
  <c r="Y3206" i="3" s="1"/>
  <c r="Z3206" i="3" s="1"/>
  <c r="U3253" i="3"/>
  <c r="Y3253" i="3" s="1"/>
  <c r="Z3253" i="3" s="1"/>
  <c r="U3264" i="3"/>
  <c r="Y3264" i="3" s="1"/>
  <c r="Z3264" i="3" s="1"/>
  <c r="U3291" i="3"/>
  <c r="Y3291" i="3" s="1"/>
  <c r="Z3291" i="3" s="1"/>
  <c r="U3316" i="3"/>
  <c r="Y3316" i="3" s="1"/>
  <c r="Z3316" i="3" s="1"/>
  <c r="U3328" i="3"/>
  <c r="Y3328" i="3" s="1"/>
  <c r="Z3328" i="3" s="1"/>
  <c r="U3334" i="3"/>
  <c r="Y3334" i="3" s="1"/>
  <c r="Z3334" i="3" s="1"/>
  <c r="U3343" i="3"/>
  <c r="Y3343" i="3" s="1"/>
  <c r="Z3343" i="3" s="1"/>
  <c r="U3373" i="3"/>
  <c r="Y3373" i="3" s="1"/>
  <c r="Z3373" i="3" s="1"/>
  <c r="U3396" i="3"/>
  <c r="Y3396" i="3" s="1"/>
  <c r="Z3396" i="3" s="1"/>
  <c r="U3418" i="3"/>
  <c r="Y3418" i="3" s="1"/>
  <c r="Z3418" i="3" s="1"/>
  <c r="U3458" i="3"/>
  <c r="Y3458" i="3" s="1"/>
  <c r="Z3458" i="3" s="1"/>
  <c r="U3483" i="3"/>
  <c r="Y3483" i="3" s="1"/>
  <c r="Z3483" i="3" s="1"/>
  <c r="U3496" i="3"/>
  <c r="Y3496" i="3" s="1"/>
  <c r="Z3496" i="3" s="1"/>
  <c r="U3515" i="3"/>
  <c r="Y3515" i="3" s="1"/>
  <c r="Z3515" i="3" s="1"/>
  <c r="U3540" i="3"/>
  <c r="Y3540" i="3" s="1"/>
  <c r="Z3540" i="3" s="1"/>
  <c r="U3690" i="3"/>
  <c r="Y3690" i="3" s="1"/>
  <c r="Z3690" i="3" s="1"/>
  <c r="U3705" i="3"/>
  <c r="Y3705" i="3" s="1"/>
  <c r="Z3705" i="3" s="1"/>
  <c r="U3707" i="3"/>
  <c r="Y3707" i="3" s="1"/>
  <c r="Z3707" i="3" s="1"/>
  <c r="U3734" i="3"/>
  <c r="Y3734" i="3" s="1"/>
  <c r="Z3734" i="3" s="1"/>
  <c r="U3743" i="3"/>
  <c r="Y3743" i="3" s="1"/>
  <c r="Z3743" i="3" s="1"/>
  <c r="U3771" i="3"/>
  <c r="Y3771" i="3" s="1"/>
  <c r="Z3771" i="3" s="1"/>
  <c r="U3777" i="3"/>
  <c r="Y3777" i="3" s="1"/>
  <c r="Z3777" i="3" s="1"/>
  <c r="U3844" i="3"/>
  <c r="Y3844" i="3" s="1"/>
  <c r="Z3844" i="3" s="1"/>
  <c r="U3875" i="3"/>
  <c r="Y3875" i="3" s="1"/>
  <c r="Z3875" i="3" s="1"/>
  <c r="U3891" i="3"/>
  <c r="Y3891" i="3" s="1"/>
  <c r="Z3891" i="3" s="1"/>
  <c r="U3945" i="3"/>
  <c r="Y3945" i="3" s="1"/>
  <c r="Z3945" i="3" s="1"/>
  <c r="U3974" i="3"/>
  <c r="Y3974" i="3" s="1"/>
  <c r="Z3974" i="3" s="1"/>
  <c r="U4020" i="3"/>
  <c r="Y4020" i="3" s="1"/>
  <c r="Z4020" i="3" s="1"/>
  <c r="U4036" i="3"/>
  <c r="Y4036" i="3" s="1"/>
  <c r="Z4036" i="3" s="1"/>
  <c r="U4078" i="3"/>
  <c r="Y4078" i="3" s="1"/>
  <c r="Z4078" i="3" s="1"/>
  <c r="U4110" i="3"/>
  <c r="Y4110" i="3" s="1"/>
  <c r="Z4110" i="3" s="1"/>
  <c r="U4155" i="3"/>
  <c r="Y4155" i="3" s="1"/>
  <c r="Z4155" i="3" s="1"/>
  <c r="U4174" i="3"/>
  <c r="Y4174" i="3" s="1"/>
  <c r="Z4174" i="3" s="1"/>
  <c r="U4240" i="3"/>
  <c r="Y4240" i="3" s="1"/>
  <c r="Z4240" i="3" s="1"/>
  <c r="U4256" i="3"/>
  <c r="Y4256" i="3" s="1"/>
  <c r="Z4256" i="3" s="1"/>
  <c r="U4257" i="3"/>
  <c r="Y4257" i="3" s="1"/>
  <c r="Z4257" i="3" s="1"/>
  <c r="U4267" i="3"/>
  <c r="Y4267" i="3" s="1"/>
  <c r="Z4267" i="3" s="1"/>
  <c r="U4285" i="3"/>
  <c r="Y4285" i="3" s="1"/>
  <c r="Z4285" i="3" s="1"/>
  <c r="U4296" i="3"/>
  <c r="Y4296" i="3" s="1"/>
  <c r="Z4296" i="3" s="1"/>
  <c r="U4349" i="3"/>
  <c r="Y4349" i="3" s="1"/>
  <c r="Z4349" i="3" s="1"/>
  <c r="U4368" i="3"/>
  <c r="Y4368" i="3" s="1"/>
  <c r="Z4368" i="3" s="1"/>
  <c r="U4373" i="3"/>
  <c r="Y4373" i="3" s="1"/>
  <c r="Z4373" i="3" s="1"/>
  <c r="U4382" i="3"/>
  <c r="Y4382" i="3" s="1"/>
  <c r="Z4382" i="3" s="1"/>
  <c r="U4394" i="3"/>
  <c r="Y4394" i="3" s="1"/>
  <c r="Z4394" i="3" s="1"/>
  <c r="U4491" i="3"/>
  <c r="Y4491" i="3" s="1"/>
  <c r="Z4491" i="3" s="1"/>
  <c r="U4519" i="3"/>
  <c r="Y4519" i="3" s="1"/>
  <c r="Z4519" i="3" s="1"/>
  <c r="U4522" i="3"/>
  <c r="Y4522" i="3" s="1"/>
  <c r="Z4522" i="3" s="1"/>
  <c r="U4550" i="3"/>
  <c r="Y4550" i="3" s="1"/>
  <c r="Z4550" i="3" s="1"/>
  <c r="U4575" i="3"/>
  <c r="Y4575" i="3" s="1"/>
  <c r="Z4575" i="3" s="1"/>
  <c r="U4581" i="3"/>
  <c r="Y4581" i="3" s="1"/>
  <c r="Z4581" i="3" s="1"/>
  <c r="U4676" i="3"/>
  <c r="Y4676" i="3" s="1"/>
  <c r="Z4676" i="3" s="1"/>
  <c r="U4694" i="3"/>
  <c r="Y4694" i="3" s="1"/>
  <c r="Z4694" i="3" s="1"/>
  <c r="U4734" i="3"/>
  <c r="Y4734" i="3" s="1"/>
  <c r="Z4734" i="3" s="1"/>
  <c r="U4816" i="3"/>
  <c r="Y4816" i="3" s="1"/>
  <c r="Z4816" i="3" s="1"/>
  <c r="U4821" i="3"/>
  <c r="Y4821" i="3" s="1"/>
  <c r="Z4821" i="3" s="1"/>
  <c r="U4823" i="3"/>
  <c r="Y4823" i="3" s="1"/>
  <c r="Z4823" i="3" s="1"/>
  <c r="U3202" i="3"/>
  <c r="Y3202" i="3" s="1"/>
  <c r="Z3202" i="3" s="1"/>
  <c r="U3221" i="3"/>
  <c r="Y3221" i="3" s="1"/>
  <c r="Z3221" i="3" s="1"/>
  <c r="U3250" i="3"/>
  <c r="Y3250" i="3" s="1"/>
  <c r="Z3250" i="3" s="1"/>
  <c r="U3298" i="3"/>
  <c r="Y3298" i="3" s="1"/>
  <c r="Z3298" i="3" s="1"/>
  <c r="U3312" i="3"/>
  <c r="Y3312" i="3" s="1"/>
  <c r="Z3312" i="3" s="1"/>
  <c r="U3330" i="3"/>
  <c r="Y3330" i="3" s="1"/>
  <c r="Z3330" i="3" s="1"/>
  <c r="U3369" i="3"/>
  <c r="Y3369" i="3" s="1"/>
  <c r="Z3369" i="3" s="1"/>
  <c r="U3412" i="3"/>
  <c r="Y3412" i="3" s="1"/>
  <c r="Z3412" i="3" s="1"/>
  <c r="U3430" i="3"/>
  <c r="Y3430" i="3" s="1"/>
  <c r="Z3430" i="3" s="1"/>
  <c r="U3476" i="3"/>
  <c r="Y3476" i="3" s="1"/>
  <c r="Z3476" i="3" s="1"/>
  <c r="U3477" i="3"/>
  <c r="Y3477" i="3" s="1"/>
  <c r="Z3477" i="3" s="1"/>
  <c r="U3492" i="3"/>
  <c r="Y3492" i="3" s="1"/>
  <c r="Z3492" i="3" s="1"/>
  <c r="U3538" i="3"/>
  <c r="Y3538" i="3" s="1"/>
  <c r="Z3538" i="3" s="1"/>
  <c r="U3574" i="3"/>
  <c r="Y3574" i="3" s="1"/>
  <c r="Z3574" i="3" s="1"/>
  <c r="U3606" i="3"/>
  <c r="Y3606" i="3" s="1"/>
  <c r="Z3606" i="3" s="1"/>
  <c r="U3607" i="3"/>
  <c r="Y3607" i="3" s="1"/>
  <c r="Z3607" i="3" s="1"/>
  <c r="U3611" i="3"/>
  <c r="Y3611" i="3" s="1"/>
  <c r="Z3611" i="3" s="1"/>
  <c r="U3640" i="3"/>
  <c r="Y3640" i="3" s="1"/>
  <c r="Z3640" i="3" s="1"/>
  <c r="U3686" i="3"/>
  <c r="Y3686" i="3" s="1"/>
  <c r="Z3686" i="3" s="1"/>
  <c r="U3708" i="3"/>
  <c r="Y3708" i="3" s="1"/>
  <c r="Z3708" i="3" s="1"/>
  <c r="U3752" i="3"/>
  <c r="Y3752" i="3" s="1"/>
  <c r="Z3752" i="3" s="1"/>
  <c r="U3753" i="3"/>
  <c r="Y3753" i="3" s="1"/>
  <c r="Z3753" i="3" s="1"/>
  <c r="U3767" i="3"/>
  <c r="Y3767" i="3" s="1"/>
  <c r="Z3767" i="3" s="1"/>
  <c r="U3781" i="3"/>
  <c r="Y3781" i="3" s="1"/>
  <c r="Z3781" i="3" s="1"/>
  <c r="U3785" i="3"/>
  <c r="Y3785" i="3" s="1"/>
  <c r="Z3785" i="3" s="1"/>
  <c r="U3786" i="3"/>
  <c r="Y3786" i="3" s="1"/>
  <c r="Z3786" i="3" s="1"/>
  <c r="U3888" i="3"/>
  <c r="Y3888" i="3" s="1"/>
  <c r="Z3888" i="3" s="1"/>
  <c r="U3984" i="3"/>
  <c r="Y3984" i="3" s="1"/>
  <c r="Z3984" i="3" s="1"/>
  <c r="U4031" i="3"/>
  <c r="Y4031" i="3" s="1"/>
  <c r="Z4031" i="3" s="1"/>
  <c r="U4093" i="3"/>
  <c r="Y4093" i="3" s="1"/>
  <c r="Z4093" i="3" s="1"/>
  <c r="U4123" i="3"/>
  <c r="Y4123" i="3" s="1"/>
  <c r="Z4123" i="3" s="1"/>
  <c r="U4131" i="3"/>
  <c r="Y4131" i="3" s="1"/>
  <c r="Z4131" i="3" s="1"/>
  <c r="U4186" i="3"/>
  <c r="Y4186" i="3" s="1"/>
  <c r="Z4186" i="3" s="1"/>
  <c r="U4212" i="3"/>
  <c r="Y4212" i="3" s="1"/>
  <c r="Z4212" i="3" s="1"/>
  <c r="U4233" i="3"/>
  <c r="Y4233" i="3" s="1"/>
  <c r="Z4233" i="3" s="1"/>
  <c r="U4243" i="3"/>
  <c r="Y4243" i="3" s="1"/>
  <c r="Z4243" i="3" s="1"/>
  <c r="U4268" i="3"/>
  <c r="Y4268" i="3" s="1"/>
  <c r="Z4268" i="3" s="1"/>
  <c r="U4275" i="3"/>
  <c r="Y4275" i="3" s="1"/>
  <c r="Z4275" i="3" s="1"/>
  <c r="U4279" i="3"/>
  <c r="Y4279" i="3" s="1"/>
  <c r="Z4279" i="3" s="1"/>
  <c r="U4316" i="3"/>
  <c r="Y4316" i="3" s="1"/>
  <c r="Z4316" i="3" s="1"/>
  <c r="U4328" i="3"/>
  <c r="Y4328" i="3" s="1"/>
  <c r="Z4328" i="3" s="1"/>
  <c r="U4332" i="3"/>
  <c r="Y4332" i="3" s="1"/>
  <c r="Z4332" i="3" s="1"/>
  <c r="U4337" i="3"/>
  <c r="Y4337" i="3" s="1"/>
  <c r="Z4337" i="3" s="1"/>
  <c r="U4347" i="3"/>
  <c r="Y4347" i="3" s="1"/>
  <c r="Z4347" i="3" s="1"/>
  <c r="U4348" i="3"/>
  <c r="Y4348" i="3" s="1"/>
  <c r="Z4348" i="3" s="1"/>
  <c r="U4355" i="3"/>
  <c r="Y4355" i="3" s="1"/>
  <c r="Z4355" i="3" s="1"/>
  <c r="U4358" i="3"/>
  <c r="Y4358" i="3" s="1"/>
  <c r="Z4358" i="3" s="1"/>
  <c r="U4387" i="3"/>
  <c r="Y4387" i="3" s="1"/>
  <c r="Z4387" i="3" s="1"/>
  <c r="U4414" i="3"/>
  <c r="Y4414" i="3" s="1"/>
  <c r="Z4414" i="3" s="1"/>
  <c r="U4434" i="3"/>
  <c r="Y4434" i="3" s="1"/>
  <c r="Z4434" i="3" s="1"/>
  <c r="U4456" i="3"/>
  <c r="Y4456" i="3" s="1"/>
  <c r="Z4456" i="3" s="1"/>
  <c r="U4459" i="3"/>
  <c r="Y4459" i="3" s="1"/>
  <c r="Z4459" i="3" s="1"/>
  <c r="U4502" i="3"/>
  <c r="Y4502" i="3" s="1"/>
  <c r="Z4502" i="3" s="1"/>
  <c r="U4524" i="3"/>
  <c r="Y4524" i="3" s="1"/>
  <c r="Z4524" i="3" s="1"/>
  <c r="U4548" i="3"/>
  <c r="Y4548" i="3" s="1"/>
  <c r="Z4548" i="3" s="1"/>
  <c r="U4551" i="3"/>
  <c r="Y4551" i="3" s="1"/>
  <c r="Z4551" i="3" s="1"/>
  <c r="U4614" i="3"/>
  <c r="Y4614" i="3" s="1"/>
  <c r="Z4614" i="3" s="1"/>
  <c r="U4623" i="3"/>
  <c r="Y4623" i="3" s="1"/>
  <c r="Z4623" i="3" s="1"/>
  <c r="U4674" i="3"/>
  <c r="Y4674" i="3" s="1"/>
  <c r="Z4674" i="3" s="1"/>
  <c r="U4723" i="3"/>
  <c r="Y4723" i="3" s="1"/>
  <c r="Z4723" i="3" s="1"/>
  <c r="U4755" i="3"/>
  <c r="Y4755" i="3" s="1"/>
  <c r="Z4755" i="3" s="1"/>
  <c r="U4770" i="3"/>
  <c r="Y4770" i="3" s="1"/>
  <c r="Z4770" i="3" s="1"/>
  <c r="U4785" i="3"/>
  <c r="Y4785" i="3" s="1"/>
  <c r="Z4785" i="3" s="1"/>
  <c r="U3454" i="3"/>
  <c r="Y3454" i="3" s="1"/>
  <c r="Z3454" i="3" s="1"/>
  <c r="U3486" i="3"/>
  <c r="Y3486" i="3" s="1"/>
  <c r="Z3486" i="3" s="1"/>
  <c r="U3488" i="3"/>
  <c r="Y3488" i="3" s="1"/>
  <c r="Z3488" i="3" s="1"/>
  <c r="U3495" i="3"/>
  <c r="Y3495" i="3" s="1"/>
  <c r="Z3495" i="3" s="1"/>
  <c r="U3509" i="3"/>
  <c r="Y3509" i="3" s="1"/>
  <c r="Z3509" i="3" s="1"/>
  <c r="U3537" i="3"/>
  <c r="U3594" i="3"/>
  <c r="Y3594" i="3" s="1"/>
  <c r="Z3594" i="3" s="1"/>
  <c r="U3626" i="3"/>
  <c r="Y3626" i="3" s="1"/>
  <c r="Z3626" i="3" s="1"/>
  <c r="U3772" i="3"/>
  <c r="Y3772" i="3" s="1"/>
  <c r="Z3772" i="3" s="1"/>
  <c r="U3782" i="3"/>
  <c r="Y3782" i="3" s="1"/>
  <c r="Z3782" i="3" s="1"/>
  <c r="U3805" i="3"/>
  <c r="Y3805" i="3" s="1"/>
  <c r="Z3805" i="3" s="1"/>
  <c r="U3818" i="3"/>
  <c r="Y3818" i="3" s="1"/>
  <c r="Z3818" i="3" s="1"/>
  <c r="U3886" i="3"/>
  <c r="Y3886" i="3" s="1"/>
  <c r="Z3886" i="3" s="1"/>
  <c r="U3898" i="3"/>
  <c r="Y3898" i="3" s="1"/>
  <c r="Z3898" i="3" s="1"/>
  <c r="U3960" i="3"/>
  <c r="Y3960" i="3" s="1"/>
  <c r="Z3960" i="3" s="1"/>
  <c r="U4009" i="3"/>
  <c r="Y4009" i="3" s="1"/>
  <c r="Z4009" i="3" s="1"/>
  <c r="U4024" i="3"/>
  <c r="Y4024" i="3" s="1"/>
  <c r="Z4024" i="3" s="1"/>
  <c r="U4068" i="3"/>
  <c r="Y4068" i="3" s="1"/>
  <c r="Z4068" i="3" s="1"/>
  <c r="U4069" i="3"/>
  <c r="Y4069" i="3" s="1"/>
  <c r="Z4069" i="3" s="1"/>
  <c r="U4073" i="3"/>
  <c r="Y4073" i="3" s="1"/>
  <c r="Z4073" i="3" s="1"/>
  <c r="U4079" i="3"/>
  <c r="Y4079" i="3" s="1"/>
  <c r="Z4079" i="3" s="1"/>
  <c r="U4081" i="3"/>
  <c r="Y4081" i="3" s="1"/>
  <c r="Z4081" i="3" s="1"/>
  <c r="U4094" i="3"/>
  <c r="Y4094" i="3" s="1"/>
  <c r="Z4094" i="3" s="1"/>
  <c r="U4115" i="3"/>
  <c r="Y4115" i="3" s="1"/>
  <c r="Z4115" i="3" s="1"/>
  <c r="U4122" i="3"/>
  <c r="Y4122" i="3" s="1"/>
  <c r="Z4122" i="3" s="1"/>
  <c r="U4156" i="3"/>
  <c r="Y4156" i="3" s="1"/>
  <c r="Z4156" i="3" s="1"/>
  <c r="U4218" i="3"/>
  <c r="Y4218" i="3" s="1"/>
  <c r="Z4218" i="3" s="1"/>
  <c r="U4261" i="3"/>
  <c r="Y4261" i="3" s="1"/>
  <c r="Z4261" i="3" s="1"/>
  <c r="U4269" i="3"/>
  <c r="Y4269" i="3" s="1"/>
  <c r="Z4269" i="3" s="1"/>
  <c r="U4270" i="3"/>
  <c r="Y4270" i="3" s="1"/>
  <c r="Z4270" i="3" s="1"/>
  <c r="U4280" i="3"/>
  <c r="Y4280" i="3" s="1"/>
  <c r="Z4280" i="3" s="1"/>
  <c r="U4288" i="3"/>
  <c r="Y4288" i="3" s="1"/>
  <c r="Z4288" i="3" s="1"/>
  <c r="U4341" i="3"/>
  <c r="Y4341" i="3" s="1"/>
  <c r="Z4341" i="3" s="1"/>
  <c r="U4441" i="3"/>
  <c r="Y4441" i="3" s="1"/>
  <c r="Z4441" i="3" s="1"/>
  <c r="U4543" i="3"/>
  <c r="Y4543" i="3" s="1"/>
  <c r="Z4543" i="3" s="1"/>
  <c r="U4555" i="3"/>
  <c r="Y4555" i="3" s="1"/>
  <c r="Z4555" i="3" s="1"/>
  <c r="U4577" i="3"/>
  <c r="Y4577" i="3" s="1"/>
  <c r="Z4577" i="3" s="1"/>
  <c r="U4604" i="3"/>
  <c r="Y4604" i="3" s="1"/>
  <c r="Z4604" i="3" s="1"/>
  <c r="U4754" i="3"/>
  <c r="Y4754" i="3" s="1"/>
  <c r="Z4754" i="3" s="1"/>
  <c r="U4788" i="3"/>
  <c r="Y4788" i="3" s="1"/>
  <c r="Z4788" i="3" s="1"/>
  <c r="U4799" i="3"/>
  <c r="Y4799" i="3" s="1"/>
  <c r="Z4799" i="3" s="1"/>
  <c r="U4803" i="3"/>
  <c r="Y4803" i="3" s="1"/>
  <c r="Z4803" i="3" s="1"/>
  <c r="U4828" i="3"/>
  <c r="Y4828" i="3" s="1"/>
  <c r="Z4828" i="3" s="1"/>
  <c r="U4829" i="3"/>
  <c r="Y4829" i="3" s="1"/>
  <c r="Z4829" i="3" s="1"/>
  <c r="U3592" i="3"/>
  <c r="Y3592" i="3" s="1"/>
  <c r="Z3592" i="3" s="1"/>
  <c r="U3899" i="3"/>
  <c r="Y3899" i="3" s="1"/>
  <c r="Z3899" i="3" s="1"/>
  <c r="U3918" i="3"/>
  <c r="Y3918" i="3" s="1"/>
  <c r="Z3918" i="3" s="1"/>
  <c r="U3948" i="3"/>
  <c r="Y3948" i="3" s="1"/>
  <c r="Z3948" i="3" s="1"/>
  <c r="U3991" i="3"/>
  <c r="Y3991" i="3" s="1"/>
  <c r="Z3991" i="3" s="1"/>
  <c r="U4004" i="3"/>
  <c r="Y4004" i="3" s="1"/>
  <c r="Z4004" i="3" s="1"/>
  <c r="U4017" i="3"/>
  <c r="Y4017" i="3" s="1"/>
  <c r="Z4017" i="3" s="1"/>
  <c r="U4067" i="3"/>
  <c r="Y4067" i="3" s="1"/>
  <c r="Z4067" i="3" s="1"/>
  <c r="U4120" i="3"/>
  <c r="Y4120" i="3" s="1"/>
  <c r="Z4120" i="3" s="1"/>
  <c r="U4129" i="3"/>
  <c r="Y4129" i="3" s="1"/>
  <c r="Z4129" i="3" s="1"/>
  <c r="U4190" i="3"/>
  <c r="Y4190" i="3" s="1"/>
  <c r="Z4190" i="3" s="1"/>
  <c r="U4238" i="3"/>
  <c r="Y4238" i="3" s="1"/>
  <c r="Z4238" i="3" s="1"/>
  <c r="U4304" i="3"/>
  <c r="U4324" i="3"/>
  <c r="Y4324" i="3" s="1"/>
  <c r="Z4324" i="3" s="1"/>
  <c r="U4326" i="3"/>
  <c r="Y4326" i="3" s="1"/>
  <c r="Z4326" i="3" s="1"/>
  <c r="U4345" i="3"/>
  <c r="Y4345" i="3" s="1"/>
  <c r="Z4345" i="3" s="1"/>
  <c r="U4357" i="3"/>
  <c r="Y4357" i="3" s="1"/>
  <c r="Z4357" i="3" s="1"/>
  <c r="U4396" i="3"/>
  <c r="Y4396" i="3" s="1"/>
  <c r="Z4396" i="3" s="1"/>
  <c r="U4402" i="3"/>
  <c r="Y4402" i="3" s="1"/>
  <c r="Z4402" i="3" s="1"/>
  <c r="U4405" i="3"/>
  <c r="Y4405" i="3" s="1"/>
  <c r="Z4405" i="3" s="1"/>
  <c r="U4452" i="3"/>
  <c r="Y4452" i="3" s="1"/>
  <c r="Z4452" i="3" s="1"/>
  <c r="U4510" i="3"/>
  <c r="Y4510" i="3" s="1"/>
  <c r="Z4510" i="3" s="1"/>
  <c r="U4538" i="3"/>
  <c r="Y4538" i="3" s="1"/>
  <c r="Z4538" i="3" s="1"/>
  <c r="U4652" i="3"/>
  <c r="Y4652" i="3" s="1"/>
  <c r="Z4652" i="3" s="1"/>
  <c r="U4718" i="3"/>
  <c r="Y4718" i="3" s="1"/>
  <c r="Z4718" i="3" s="1"/>
  <c r="U4746" i="3"/>
  <c r="Y4746" i="3" s="1"/>
  <c r="Z4746" i="3" s="1"/>
  <c r="U4812" i="3"/>
  <c r="Y4812" i="3" s="1"/>
  <c r="Z4812" i="3" s="1"/>
  <c r="U3637" i="3"/>
  <c r="Y3637" i="3" s="1"/>
  <c r="Z3637" i="3" s="1"/>
  <c r="U3639" i="3"/>
  <c r="Y3639" i="3" s="1"/>
  <c r="Z3639" i="3" s="1"/>
  <c r="U3642" i="3"/>
  <c r="Y3642" i="3" s="1"/>
  <c r="Z3642" i="3" s="1"/>
  <c r="U3646" i="3"/>
  <c r="Y3646" i="3" s="1"/>
  <c r="Z3646" i="3" s="1"/>
  <c r="U3741" i="3"/>
  <c r="Y3741" i="3" s="1"/>
  <c r="Z3741" i="3" s="1"/>
  <c r="U3826" i="3"/>
  <c r="Y3826" i="3" s="1"/>
  <c r="Z3826" i="3" s="1"/>
  <c r="U3835" i="3"/>
  <c r="Y3835" i="3" s="1"/>
  <c r="Z3835" i="3" s="1"/>
  <c r="U3884" i="3"/>
  <c r="Y3884" i="3" s="1"/>
  <c r="Z3884" i="3" s="1"/>
  <c r="U3996" i="3"/>
  <c r="Y3996" i="3" s="1"/>
  <c r="Z3996" i="3" s="1"/>
  <c r="U4011" i="3"/>
  <c r="Y4011" i="3" s="1"/>
  <c r="Z4011" i="3" s="1"/>
  <c r="U4076" i="3"/>
  <c r="Y4076" i="3" s="1"/>
  <c r="Z4076" i="3" s="1"/>
  <c r="U4132" i="3"/>
  <c r="Y4132" i="3" s="1"/>
  <c r="Z4132" i="3" s="1"/>
  <c r="U4139" i="3"/>
  <c r="Y4139" i="3" s="1"/>
  <c r="Z4139" i="3" s="1"/>
  <c r="U4180" i="3"/>
  <c r="Y4180" i="3" s="1"/>
  <c r="Z4180" i="3" s="1"/>
  <c r="U4274" i="3"/>
  <c r="Y4274" i="3" s="1"/>
  <c r="Z4274" i="3" s="1"/>
  <c r="U4315" i="3"/>
  <c r="Y4315" i="3" s="1"/>
  <c r="Z4315" i="3" s="1"/>
  <c r="U4370" i="3"/>
  <c r="Y4370" i="3" s="1"/>
  <c r="Z4370" i="3" s="1"/>
  <c r="U4384" i="3"/>
  <c r="Y4384" i="3" s="1"/>
  <c r="Z4384" i="3" s="1"/>
  <c r="U4426" i="3"/>
  <c r="Y4426" i="3" s="1"/>
  <c r="Z4426" i="3" s="1"/>
  <c r="U4462" i="3"/>
  <c r="Y4462" i="3" s="1"/>
  <c r="Z4462" i="3" s="1"/>
  <c r="U4508" i="3"/>
  <c r="Y4508" i="3" s="1"/>
  <c r="Z4508" i="3" s="1"/>
  <c r="U4518" i="3"/>
  <c r="Y4518" i="3" s="1"/>
  <c r="Z4518" i="3" s="1"/>
  <c r="U4530" i="3"/>
  <c r="Y4530" i="3" s="1"/>
  <c r="Z4530" i="3" s="1"/>
  <c r="U4534" i="3"/>
  <c r="Y4534" i="3" s="1"/>
  <c r="Z4534" i="3" s="1"/>
  <c r="U4597" i="3"/>
  <c r="Y4597" i="3" s="1"/>
  <c r="Z4597" i="3" s="1"/>
  <c r="U4659" i="3"/>
  <c r="Y4659" i="3" s="1"/>
  <c r="Z4659" i="3" s="1"/>
  <c r="U4665" i="3"/>
  <c r="Y4665" i="3" s="1"/>
  <c r="Z4665" i="3" s="1"/>
  <c r="U4728" i="3"/>
  <c r="Y4728" i="3" s="1"/>
  <c r="Z4728" i="3" s="1"/>
  <c r="U3635" i="3"/>
  <c r="Y3635" i="3" s="1"/>
  <c r="Z3635" i="3" s="1"/>
  <c r="U3696" i="3"/>
  <c r="Y3696" i="3" s="1"/>
  <c r="Z3696" i="3" s="1"/>
  <c r="U3799" i="3"/>
  <c r="Y3799" i="3" s="1"/>
  <c r="Z3799" i="3" s="1"/>
  <c r="U3816" i="3"/>
  <c r="Y3816" i="3" s="1"/>
  <c r="Z3816" i="3" s="1"/>
  <c r="U3832" i="3"/>
  <c r="Y3832" i="3" s="1"/>
  <c r="Z3832" i="3" s="1"/>
  <c r="U3846" i="3"/>
  <c r="Y3846" i="3" s="1"/>
  <c r="Z3846" i="3" s="1"/>
  <c r="U3854" i="3"/>
  <c r="Y3854" i="3" s="1"/>
  <c r="Z3854" i="3" s="1"/>
  <c r="U3892" i="3"/>
  <c r="Y3892" i="3" s="1"/>
  <c r="Z3892" i="3" s="1"/>
  <c r="U3933" i="3"/>
  <c r="Y3933" i="3" s="1"/>
  <c r="Z3933" i="3" s="1"/>
  <c r="U3955" i="3"/>
  <c r="Y3955" i="3" s="1"/>
  <c r="Z3955" i="3" s="1"/>
  <c r="U4057" i="3"/>
  <c r="Y4057" i="3" s="1"/>
  <c r="Z4057" i="3" s="1"/>
  <c r="U4151" i="3"/>
  <c r="Y4151" i="3" s="1"/>
  <c r="Z4151" i="3" s="1"/>
  <c r="U4171" i="3"/>
  <c r="Y4171" i="3" s="1"/>
  <c r="Z4171" i="3" s="1"/>
  <c r="U4221" i="3"/>
  <c r="Y4221" i="3" s="1"/>
  <c r="Z4221" i="3" s="1"/>
  <c r="U4226" i="3"/>
  <c r="Y4226" i="3" s="1"/>
  <c r="Z4226" i="3" s="1"/>
  <c r="U4318" i="3"/>
  <c r="Y4318" i="3" s="1"/>
  <c r="Z4318" i="3" s="1"/>
  <c r="U4492" i="3"/>
  <c r="Y4492" i="3" s="1"/>
  <c r="Z4492" i="3" s="1"/>
  <c r="U4583" i="3"/>
  <c r="Y4583" i="3" s="1"/>
  <c r="Z4583" i="3" s="1"/>
  <c r="U4618" i="3"/>
  <c r="Y4618" i="3" s="1"/>
  <c r="Z4618" i="3" s="1"/>
  <c r="U4807" i="3"/>
  <c r="Y4807" i="3" s="1"/>
  <c r="Z4807" i="3" s="1"/>
  <c r="U4822" i="3"/>
  <c r="Y4822" i="3" s="1"/>
  <c r="Z4822" i="3" s="1"/>
  <c r="U3722" i="3"/>
  <c r="Y3722" i="3" s="1"/>
  <c r="Z3722" i="3" s="1"/>
  <c r="U3759" i="3"/>
  <c r="Y3759" i="3" s="1"/>
  <c r="Z3759" i="3" s="1"/>
  <c r="U3791" i="3"/>
  <c r="Y3791" i="3" s="1"/>
  <c r="Z3791" i="3" s="1"/>
  <c r="U3828" i="3"/>
  <c r="Y3828" i="3" s="1"/>
  <c r="Z3828" i="3" s="1"/>
  <c r="U3967" i="3"/>
  <c r="Y3967" i="3" s="1"/>
  <c r="Z3967" i="3" s="1"/>
  <c r="U4006" i="3"/>
  <c r="Y4006" i="3" s="1"/>
  <c r="Z4006" i="3" s="1"/>
  <c r="U4066" i="3"/>
  <c r="Y4066" i="3" s="1"/>
  <c r="Z4066" i="3" s="1"/>
  <c r="U4090" i="3"/>
  <c r="Y4090" i="3" s="1"/>
  <c r="Z4090" i="3" s="1"/>
  <c r="U4099" i="3"/>
  <c r="Y4099" i="3" s="1"/>
  <c r="Z4099" i="3" s="1"/>
  <c r="U4199" i="3"/>
  <c r="Y4199" i="3" s="1"/>
  <c r="Z4199" i="3" s="1"/>
  <c r="U4323" i="3"/>
  <c r="Y4323" i="3" s="1"/>
  <c r="Z4323" i="3" s="1"/>
  <c r="U4336" i="3"/>
  <c r="Y4336" i="3" s="1"/>
  <c r="Z4336" i="3" s="1"/>
  <c r="U4343" i="3"/>
  <c r="Y4343" i="3" s="1"/>
  <c r="Z4343" i="3" s="1"/>
  <c r="U4369" i="3"/>
  <c r="Y4369" i="3" s="1"/>
  <c r="Z4369" i="3" s="1"/>
  <c r="U4386" i="3"/>
  <c r="Y4386" i="3" s="1"/>
  <c r="Z4386" i="3" s="1"/>
  <c r="U4527" i="3"/>
  <c r="Y4527" i="3" s="1"/>
  <c r="Z4527" i="3" s="1"/>
  <c r="U4664" i="3"/>
  <c r="Y4664" i="3" s="1"/>
  <c r="Z4664" i="3" s="1"/>
  <c r="U4703" i="3"/>
  <c r="Y4703" i="3" s="1"/>
  <c r="Z4703" i="3" s="1"/>
  <c r="U4706" i="3"/>
  <c r="Y4706" i="3" s="1"/>
  <c r="Z4706" i="3" s="1"/>
  <c r="U4710" i="3"/>
  <c r="Y4710" i="3" s="1"/>
  <c r="Z4710" i="3" s="1"/>
  <c r="U4721" i="3"/>
  <c r="Y4721" i="3" s="1"/>
  <c r="Z4721" i="3" s="1"/>
  <c r="U3788" i="3"/>
  <c r="Y3788" i="3" s="1"/>
  <c r="Z3788" i="3" s="1"/>
  <c r="U3830" i="3"/>
  <c r="Y3830" i="3" s="1"/>
  <c r="Z3830" i="3" s="1"/>
  <c r="U3863" i="3"/>
  <c r="Y3863" i="3" s="1"/>
  <c r="Z3863" i="3" s="1"/>
  <c r="U3902" i="3"/>
  <c r="Y3902" i="3" s="1"/>
  <c r="Z3902" i="3" s="1"/>
  <c r="U3911" i="3"/>
  <c r="Y3911" i="3" s="1"/>
  <c r="Z3911" i="3" s="1"/>
  <c r="U3940" i="3"/>
  <c r="Y3940" i="3" s="1"/>
  <c r="Z3940" i="3" s="1"/>
  <c r="U4054" i="3"/>
  <c r="Y4054" i="3" s="1"/>
  <c r="Z4054" i="3" s="1"/>
  <c r="U4144" i="3"/>
  <c r="Y4144" i="3" s="1"/>
  <c r="Z4144" i="3" s="1"/>
  <c r="U4147" i="3"/>
  <c r="Y4147" i="3" s="1"/>
  <c r="Z4147" i="3" s="1"/>
  <c r="U4189" i="3"/>
  <c r="Y4189" i="3" s="1"/>
  <c r="Z4189" i="3" s="1"/>
  <c r="U4228" i="3"/>
  <c r="Y4228" i="3" s="1"/>
  <c r="Z4228" i="3" s="1"/>
  <c r="U4265" i="3"/>
  <c r="Y4265" i="3" s="1"/>
  <c r="Z4265" i="3" s="1"/>
  <c r="U4300" i="3"/>
  <c r="Y4300" i="3" s="1"/>
  <c r="Z4300" i="3" s="1"/>
  <c r="U4306" i="3"/>
  <c r="Y4306" i="3" s="1"/>
  <c r="Z4306" i="3" s="1"/>
  <c r="U4312" i="3"/>
  <c r="Y4312" i="3" s="1"/>
  <c r="Z4312" i="3" s="1"/>
  <c r="U4317" i="3"/>
  <c r="Y4317" i="3" s="1"/>
  <c r="Z4317" i="3" s="1"/>
  <c r="U4330" i="3"/>
  <c r="Y4330" i="3" s="1"/>
  <c r="Z4330" i="3" s="1"/>
  <c r="U4372" i="3"/>
  <c r="Y4372" i="3" s="1"/>
  <c r="Z4372" i="3" s="1"/>
  <c r="U4381" i="3"/>
  <c r="Y4381" i="3" s="1"/>
  <c r="Z4381" i="3" s="1"/>
  <c r="U4469" i="3"/>
  <c r="Y4469" i="3" s="1"/>
  <c r="Z4469" i="3" s="1"/>
  <c r="U4478" i="3"/>
  <c r="Y4478" i="3" s="1"/>
  <c r="Z4478" i="3" s="1"/>
  <c r="U4603" i="3"/>
  <c r="Y4603" i="3" s="1"/>
  <c r="Z4603" i="3" s="1"/>
  <c r="U4605" i="3"/>
  <c r="Y4605" i="3" s="1"/>
  <c r="Z4605" i="3" s="1"/>
  <c r="U4656" i="3"/>
  <c r="Y4656" i="3" s="1"/>
  <c r="Z4656" i="3" s="1"/>
  <c r="U3897" i="3"/>
  <c r="Y3897" i="3" s="1"/>
  <c r="Z3897" i="3" s="1"/>
  <c r="U3932" i="3"/>
  <c r="Y3932" i="3" s="1"/>
  <c r="Z3932" i="3" s="1"/>
  <c r="U4219" i="3"/>
  <c r="Y4219" i="3" s="1"/>
  <c r="Z4219" i="3" s="1"/>
  <c r="U4301" i="3"/>
  <c r="Y4301" i="3" s="1"/>
  <c r="Z4301" i="3" s="1"/>
  <c r="U4477" i="3"/>
  <c r="Y4477" i="3" s="1"/>
  <c r="Z4477" i="3" s="1"/>
  <c r="U4539" i="3"/>
  <c r="Y4539" i="3" s="1"/>
  <c r="Z4539" i="3" s="1"/>
  <c r="U4831" i="3"/>
  <c r="Y4831" i="3" s="1"/>
  <c r="Z4831" i="3" s="1"/>
  <c r="Y1877" i="3"/>
  <c r="Z1877" i="3" s="1"/>
  <c r="Y1980" i="3"/>
  <c r="Z1980" i="3" s="1"/>
  <c r="Y2129" i="3"/>
  <c r="Z2129" i="3" s="1"/>
  <c r="Y2150" i="3"/>
  <c r="Z2150" i="3" s="1"/>
  <c r="Y2350" i="3"/>
  <c r="Z2350" i="3" s="1"/>
  <c r="Y2718" i="3"/>
  <c r="Z2718" i="3" s="1"/>
  <c r="Y3201" i="3"/>
  <c r="Z3201" i="3" s="1"/>
  <c r="Y3303" i="3"/>
  <c r="Z3303" i="3" s="1"/>
  <c r="Y3529" i="3"/>
  <c r="Z3529" i="3" s="1"/>
  <c r="Y3915" i="3"/>
  <c r="Z3915" i="3" s="1"/>
  <c r="Y4231" i="3"/>
  <c r="Z4231" i="3" s="1"/>
  <c r="Y4466" i="3"/>
  <c r="Z4466" i="3" s="1"/>
  <c r="Y4693" i="3"/>
  <c r="Z4693" i="3" s="1"/>
  <c r="Y4705" i="3"/>
  <c r="Z4705" i="3" s="1"/>
  <c r="Y2" i="3"/>
  <c r="Y22" i="3"/>
  <c r="Z22" i="3" s="1"/>
  <c r="Y26" i="3"/>
  <c r="Z26" i="3" s="1"/>
  <c r="Y38" i="3"/>
  <c r="Z38" i="3" s="1"/>
  <c r="Y58" i="3"/>
  <c r="Z58" i="3" s="1"/>
  <c r="Y92" i="3"/>
  <c r="Z92" i="3" s="1"/>
  <c r="Y137" i="3"/>
  <c r="Z137" i="3" s="1"/>
  <c r="Y155" i="3"/>
  <c r="Z155" i="3" s="1"/>
  <c r="Y162" i="3"/>
  <c r="Z162" i="3" s="1"/>
  <c r="Y171" i="3"/>
  <c r="Z171" i="3" s="1"/>
  <c r="Y742" i="3"/>
  <c r="Z742" i="3" s="1"/>
  <c r="Y754" i="3"/>
  <c r="Z754" i="3" s="1"/>
  <c r="Y810" i="3"/>
  <c r="Z810" i="3" s="1"/>
  <c r="Y887" i="3"/>
  <c r="Z887" i="3" s="1"/>
  <c r="Y1075" i="3"/>
  <c r="Z1075" i="3" s="1"/>
  <c r="Y1268" i="3"/>
  <c r="Z1268" i="3" s="1"/>
  <c r="Y1406" i="3"/>
  <c r="Z1406" i="3" s="1"/>
  <c r="Y1446" i="3"/>
  <c r="Z1446" i="3" s="1"/>
  <c r="Y1463" i="3"/>
  <c r="Z1463" i="3" s="1"/>
  <c r="Y2046" i="3"/>
  <c r="Z2046" i="3" s="1"/>
  <c r="Y2220" i="3"/>
  <c r="Z2220" i="3" s="1"/>
  <c r="Y2377" i="3"/>
  <c r="Z2377" i="3" s="1"/>
  <c r="Y2673" i="3"/>
  <c r="Z2673" i="3" s="1"/>
  <c r="Y2888" i="3"/>
  <c r="Z2888" i="3" s="1"/>
  <c r="Y2889" i="3"/>
  <c r="Z2889" i="3" s="1"/>
  <c r="Y2933" i="3"/>
  <c r="Z2933" i="3" s="1"/>
  <c r="Y2996" i="3"/>
  <c r="Y3099" i="3"/>
  <c r="Z3099" i="3" s="1"/>
  <c r="Y3240" i="3"/>
  <c r="Z3240" i="3" s="1"/>
  <c r="Y3385" i="3"/>
  <c r="Z3385" i="3" s="1"/>
  <c r="Y3461" i="3"/>
  <c r="Z3461" i="3" s="1"/>
  <c r="Y3541" i="3"/>
  <c r="Y3689" i="3"/>
  <c r="Z3689" i="3" s="1"/>
  <c r="Y3859" i="3"/>
  <c r="Z3859" i="3" s="1"/>
  <c r="Y3921" i="3"/>
  <c r="Z3921" i="3" s="1"/>
  <c r="Y3936" i="3"/>
  <c r="Z3936" i="3" s="1"/>
  <c r="Y4213" i="3"/>
  <c r="Z4213" i="3" s="1"/>
  <c r="Y4729" i="3"/>
  <c r="Z4729" i="3" s="1"/>
  <c r="Y4736" i="3"/>
  <c r="Z4736" i="3" s="1"/>
  <c r="Y2931" i="3"/>
  <c r="Z2931" i="3" s="1"/>
  <c r="Y4134" i="3"/>
  <c r="Z4134" i="3" s="1"/>
  <c r="Y4484" i="3"/>
  <c r="Z4484" i="3" s="1"/>
  <c r="Y86" i="3"/>
  <c r="Z86" i="3" s="1"/>
  <c r="Y965" i="3"/>
  <c r="Z965" i="3" s="1"/>
  <c r="Y1504" i="3"/>
  <c r="Z1504" i="3" s="1"/>
  <c r="Y1517" i="3"/>
  <c r="Z1517" i="3" s="1"/>
  <c r="Y1532" i="3"/>
  <c r="Z1532" i="3" s="1"/>
  <c r="Y62" i="3"/>
  <c r="Z62" i="3" s="1"/>
  <c r="Y66" i="3"/>
  <c r="Z66" i="3" s="1"/>
  <c r="Y113" i="3"/>
  <c r="Z113" i="3" s="1"/>
  <c r="Y164" i="3"/>
  <c r="Z164" i="3" s="1"/>
  <c r="Y169" i="3"/>
  <c r="Z169" i="3" s="1"/>
  <c r="Y213" i="3"/>
  <c r="Z213" i="3" s="1"/>
  <c r="Y231" i="3"/>
  <c r="Z231" i="3" s="1"/>
  <c r="Y4032" i="3"/>
  <c r="Y4145" i="3"/>
  <c r="Z4145" i="3" s="1"/>
  <c r="Y4158" i="3"/>
  <c r="Z4158" i="3" s="1"/>
  <c r="Y4302" i="3"/>
  <c r="Y14" i="3"/>
  <c r="Z14" i="3" s="1"/>
  <c r="Y65" i="3"/>
  <c r="Z65" i="3" s="1"/>
  <c r="Y67" i="3"/>
  <c r="Z67" i="3" s="1"/>
  <c r="Y75" i="3"/>
  <c r="Z75" i="3" s="1"/>
  <c r="Y82" i="3"/>
  <c r="Z82" i="3" s="1"/>
  <c r="Y115" i="3"/>
  <c r="Z115" i="3" s="1"/>
  <c r="Y118" i="3"/>
  <c r="Z118" i="3" s="1"/>
  <c r="Y148" i="3"/>
  <c r="Z148" i="3" s="1"/>
  <c r="Y151" i="3"/>
  <c r="Z151" i="3" s="1"/>
  <c r="Y175" i="3"/>
  <c r="Z175" i="3" s="1"/>
  <c r="Y178" i="3"/>
  <c r="Z178" i="3" s="1"/>
  <c r="Y181" i="3"/>
  <c r="Z181" i="3" s="1"/>
  <c r="Y204" i="3"/>
  <c r="Z204" i="3" s="1"/>
  <c r="Y41" i="3"/>
  <c r="Z41" i="3" s="1"/>
  <c r="Y29" i="3"/>
  <c r="Z29" i="3" s="1"/>
  <c r="Y50" i="3"/>
  <c r="Z50" i="3" s="1"/>
  <c r="Y11" i="3"/>
  <c r="Z11" i="3" s="1"/>
  <c r="Y12" i="3"/>
  <c r="Z12" i="3" s="1"/>
  <c r="Y30" i="3"/>
  <c r="Z30" i="3" s="1"/>
  <c r="Y168" i="3"/>
  <c r="Z168" i="3" s="1"/>
  <c r="Y170" i="3"/>
  <c r="Z170" i="3" s="1"/>
  <c r="Y172" i="3"/>
  <c r="Z172" i="3" s="1"/>
  <c r="Y236" i="3"/>
  <c r="Z236" i="3" s="1"/>
  <c r="Y257" i="3"/>
  <c r="Z257" i="3" s="1"/>
  <c r="Y305" i="3"/>
  <c r="Z305" i="3" s="1"/>
  <c r="Y308" i="3"/>
  <c r="Z308" i="3" s="1"/>
  <c r="Y70" i="3"/>
  <c r="Z70" i="3" s="1"/>
  <c r="Y73" i="3"/>
  <c r="Z73" i="3" s="1"/>
  <c r="Y180" i="3"/>
  <c r="Z180" i="3" s="1"/>
  <c r="Y216" i="3"/>
  <c r="Z216" i="3" s="1"/>
  <c r="Y222" i="3"/>
  <c r="Z222" i="3" s="1"/>
  <c r="Y296" i="3"/>
  <c r="Z296" i="3" s="1"/>
  <c r="Y300" i="3"/>
  <c r="Z300" i="3" s="1"/>
  <c r="Y15" i="3"/>
  <c r="Z15" i="3" s="1"/>
  <c r="Y42" i="3"/>
  <c r="Z42" i="3" s="1"/>
  <c r="Y45" i="3"/>
  <c r="Z45" i="3" s="1"/>
  <c r="Y220" i="3"/>
  <c r="Z220" i="3" s="1"/>
  <c r="Y221" i="3"/>
  <c r="Z221" i="3" s="1"/>
  <c r="Y224" i="3"/>
  <c r="Z224" i="3" s="1"/>
  <c r="Y275" i="3"/>
  <c r="Z275" i="3" s="1"/>
  <c r="Y290" i="3"/>
  <c r="Z290" i="3" s="1"/>
  <c r="Y315" i="3"/>
  <c r="Z315" i="3" s="1"/>
  <c r="Y420" i="3"/>
  <c r="Z420" i="3" s="1"/>
  <c r="Y3" i="3"/>
  <c r="Y61" i="3"/>
  <c r="Z61" i="3" s="1"/>
  <c r="Y135" i="3"/>
  <c r="Z135" i="3" s="1"/>
  <c r="Y190" i="3"/>
  <c r="Z190" i="3" s="1"/>
  <c r="Y261" i="3"/>
  <c r="Z261" i="3" s="1"/>
  <c r="Y264" i="3"/>
  <c r="Z264" i="3" s="1"/>
  <c r="Y426" i="3"/>
  <c r="Z426" i="3" s="1"/>
  <c r="Y6" i="3"/>
  <c r="Z6" i="3" s="1"/>
  <c r="Y21" i="3"/>
  <c r="Z21" i="3" s="1"/>
  <c r="Y87" i="3"/>
  <c r="Z87" i="3" s="1"/>
  <c r="Y103" i="3"/>
  <c r="Z103" i="3" s="1"/>
  <c r="Y112" i="3"/>
  <c r="Z112" i="3" s="1"/>
  <c r="Y201" i="3"/>
  <c r="Z201" i="3" s="1"/>
  <c r="Y206" i="3"/>
  <c r="Z206" i="3" s="1"/>
  <c r="Y219" i="3"/>
  <c r="Z219" i="3" s="1"/>
  <c r="Y273" i="3"/>
  <c r="Z273" i="3" s="1"/>
  <c r="Y312" i="3"/>
  <c r="Z312" i="3" s="1"/>
  <c r="Y508" i="3"/>
  <c r="Z508" i="3" s="1"/>
  <c r="Y33" i="3"/>
  <c r="Z33" i="3" s="1"/>
  <c r="Y111" i="3"/>
  <c r="Z111" i="3" s="1"/>
  <c r="Y212" i="3"/>
  <c r="Z212" i="3" s="1"/>
  <c r="Y217" i="3"/>
  <c r="Z217" i="3" s="1"/>
  <c r="Y247" i="3"/>
  <c r="Z247" i="3" s="1"/>
  <c r="Y298" i="3"/>
  <c r="Z298" i="3" s="1"/>
  <c r="Y352" i="3"/>
  <c r="Z352" i="3" s="1"/>
  <c r="Y51" i="3"/>
  <c r="Z51" i="3" s="1"/>
  <c r="Y104" i="3"/>
  <c r="Z104" i="3" s="1"/>
  <c r="Y110" i="3"/>
  <c r="Z110" i="3" s="1"/>
  <c r="Y226" i="3"/>
  <c r="Z226" i="3" s="1"/>
  <c r="Y248" i="3"/>
  <c r="Z248" i="3" s="1"/>
  <c r="Y286" i="3"/>
  <c r="Z286" i="3" s="1"/>
  <c r="Y320" i="3"/>
  <c r="Z320" i="3" s="1"/>
  <c r="Y448" i="3"/>
  <c r="Z448" i="3" s="1"/>
  <c r="Y547" i="3"/>
  <c r="Z547" i="3" s="1"/>
  <c r="Y119" i="3"/>
  <c r="Z119" i="3" s="1"/>
  <c r="Y159" i="3"/>
  <c r="Z159" i="3" s="1"/>
  <c r="Y166" i="3"/>
  <c r="Z166" i="3" s="1"/>
  <c r="Y188" i="3"/>
  <c r="Z188" i="3" s="1"/>
  <c r="Y260" i="3"/>
  <c r="Z260" i="3" s="1"/>
  <c r="Y395" i="3"/>
  <c r="Z395" i="3" s="1"/>
  <c r="Y511" i="3"/>
  <c r="Z511" i="3" s="1"/>
  <c r="Y587" i="3"/>
  <c r="Z587" i="3" s="1"/>
  <c r="Y655" i="3"/>
  <c r="Z655" i="3" s="1"/>
  <c r="Y52" i="3"/>
  <c r="Z52" i="3" s="1"/>
  <c r="Y76" i="3"/>
  <c r="Z76" i="3" s="1"/>
  <c r="Y91" i="3"/>
  <c r="Z91" i="3" s="1"/>
  <c r="Y126" i="3"/>
  <c r="Z126" i="3" s="1"/>
  <c r="Y146" i="3"/>
  <c r="Z146" i="3" s="1"/>
  <c r="Y196" i="3"/>
  <c r="Z196" i="3" s="1"/>
  <c r="Y208" i="3"/>
  <c r="Z208" i="3" s="1"/>
  <c r="Y209" i="3"/>
  <c r="Z209" i="3" s="1"/>
  <c r="Y230" i="3"/>
  <c r="Z230" i="3" s="1"/>
  <c r="Y251" i="3"/>
  <c r="Z251" i="3" s="1"/>
  <c r="Y302" i="3"/>
  <c r="Z302" i="3" s="1"/>
  <c r="Y314" i="3"/>
  <c r="Z314" i="3" s="1"/>
  <c r="Y386" i="3"/>
  <c r="Z386" i="3" s="1"/>
  <c r="Y388" i="3"/>
  <c r="Z388" i="3" s="1"/>
  <c r="Y661" i="3"/>
  <c r="Z661" i="3" s="1"/>
  <c r="Y737" i="3"/>
  <c r="Z737" i="3" s="1"/>
  <c r="Y158" i="3"/>
  <c r="Z158" i="3" s="1"/>
  <c r="Y165" i="3"/>
  <c r="Z165" i="3" s="1"/>
  <c r="Y192" i="3"/>
  <c r="Z192" i="3" s="1"/>
  <c r="Y262" i="3"/>
  <c r="Z262" i="3" s="1"/>
  <c r="Y293" i="3"/>
  <c r="Y295" i="3"/>
  <c r="Z295" i="3" s="1"/>
  <c r="Y84" i="3"/>
  <c r="Z84" i="3" s="1"/>
  <c r="Y136" i="3"/>
  <c r="Z136" i="3" s="1"/>
  <c r="Y167" i="3"/>
  <c r="Z167" i="3" s="1"/>
  <c r="Y243" i="3"/>
  <c r="Z243" i="3" s="1"/>
  <c r="Y951" i="3"/>
  <c r="Z951" i="3" s="1"/>
  <c r="Y954" i="3"/>
  <c r="Z954" i="3" s="1"/>
  <c r="Y17" i="3"/>
  <c r="Z17" i="3" s="1"/>
  <c r="Y68" i="3"/>
  <c r="Z68" i="3" s="1"/>
  <c r="Y94" i="3"/>
  <c r="Z94" i="3" s="1"/>
  <c r="Y120" i="3"/>
  <c r="Z120" i="3" s="1"/>
  <c r="Y176" i="3"/>
  <c r="Z176" i="3" s="1"/>
  <c r="Y433" i="3"/>
  <c r="Z433" i="3" s="1"/>
  <c r="Y442" i="3"/>
  <c r="Z442" i="3" s="1"/>
  <c r="Y811" i="3"/>
  <c r="Z811" i="3" s="1"/>
  <c r="Y860" i="3"/>
  <c r="Z860" i="3" s="1"/>
  <c r="Y911" i="3"/>
  <c r="Z911" i="3" s="1"/>
  <c r="Y4" i="3"/>
  <c r="Z4" i="3" s="1"/>
  <c r="Y5" i="3"/>
  <c r="Z5" i="3" s="1"/>
  <c r="Y13" i="3"/>
  <c r="Z13" i="3" s="1"/>
  <c r="Y25" i="3"/>
  <c r="Z25" i="3" s="1"/>
  <c r="Y44" i="3"/>
  <c r="Z44" i="3" s="1"/>
  <c r="Y55" i="3"/>
  <c r="Z55" i="3" s="1"/>
  <c r="Y124" i="3"/>
  <c r="Z124" i="3" s="1"/>
  <c r="Y142" i="3"/>
  <c r="Z142" i="3" s="1"/>
  <c r="Y227" i="3"/>
  <c r="Z227" i="3" s="1"/>
  <c r="Y415" i="3"/>
  <c r="Z415" i="3" s="1"/>
  <c r="Y431" i="3"/>
  <c r="Y462" i="3"/>
  <c r="Z462" i="3" s="1"/>
  <c r="Y569" i="3"/>
  <c r="Z569" i="3" s="1"/>
  <c r="Y750" i="3"/>
  <c r="Z750" i="3" s="1"/>
  <c r="Y778" i="3"/>
  <c r="Z778" i="3" s="1"/>
  <c r="Y857" i="3"/>
  <c r="Z857" i="3" s="1"/>
  <c r="Y983" i="3"/>
  <c r="Z983" i="3" s="1"/>
  <c r="Y1056" i="3"/>
  <c r="Z1056" i="3" s="1"/>
  <c r="Y34" i="3"/>
  <c r="Z34" i="3" s="1"/>
  <c r="Y154" i="3"/>
  <c r="Z154" i="3" s="1"/>
  <c r="Y197" i="3"/>
  <c r="Z197" i="3" s="1"/>
  <c r="Y240" i="3"/>
  <c r="Z240" i="3" s="1"/>
  <c r="Y268" i="3"/>
  <c r="Z268" i="3" s="1"/>
  <c r="Y309" i="3"/>
  <c r="Z309" i="3" s="1"/>
  <c r="Y538" i="3"/>
  <c r="Z538" i="3" s="1"/>
  <c r="Y567" i="3"/>
  <c r="Z567" i="3" s="1"/>
  <c r="Y685" i="3"/>
  <c r="Z685" i="3" s="1"/>
  <c r="Y1005" i="3"/>
  <c r="Z1005" i="3" s="1"/>
  <c r="Y1017" i="3"/>
  <c r="Z1017" i="3" s="1"/>
  <c r="Y32" i="3"/>
  <c r="Z32" i="3" s="1"/>
  <c r="Y35" i="3"/>
  <c r="Z35" i="3" s="1"/>
  <c r="Y37" i="3"/>
  <c r="Z37" i="3" s="1"/>
  <c r="Y88" i="3"/>
  <c r="Z88" i="3" s="1"/>
  <c r="Y108" i="3"/>
  <c r="Z108" i="3" s="1"/>
  <c r="Y122" i="3"/>
  <c r="Z122" i="3" s="1"/>
  <c r="Y184" i="3"/>
  <c r="Z184" i="3" s="1"/>
  <c r="Y211" i="3"/>
  <c r="Z211" i="3" s="1"/>
  <c r="Y223" i="3"/>
  <c r="Z223" i="3" s="1"/>
  <c r="Y272" i="3"/>
  <c r="Z272" i="3" s="1"/>
  <c r="Y283" i="3"/>
  <c r="Z283" i="3" s="1"/>
  <c r="Y287" i="3"/>
  <c r="Z287" i="3" s="1"/>
  <c r="Y304" i="3"/>
  <c r="Z304" i="3" s="1"/>
  <c r="Y340" i="3"/>
  <c r="Z340" i="3" s="1"/>
  <c r="Y689" i="3"/>
  <c r="Z689" i="3" s="1"/>
  <c r="Y805" i="3"/>
  <c r="Z805" i="3" s="1"/>
  <c r="Y1078" i="3"/>
  <c r="Z1078" i="3" s="1"/>
  <c r="Y1080" i="3"/>
  <c r="Z1080" i="3" s="1"/>
  <c r="Y1102" i="3"/>
  <c r="Z1102" i="3" s="1"/>
  <c r="Y1176" i="3"/>
  <c r="Z1176" i="3" s="1"/>
  <c r="Y1339" i="3"/>
  <c r="Z1339" i="3" s="1"/>
  <c r="Y1352" i="3"/>
  <c r="Z1352" i="3" s="1"/>
  <c r="Y40" i="3"/>
  <c r="Z40" i="3" s="1"/>
  <c r="Y49" i="3"/>
  <c r="Z49" i="3" s="1"/>
  <c r="Y79" i="3"/>
  <c r="Z79" i="3" s="1"/>
  <c r="Y85" i="3"/>
  <c r="Z85" i="3" s="1"/>
  <c r="Y96" i="3"/>
  <c r="Z96" i="3" s="1"/>
  <c r="Y210" i="3"/>
  <c r="Z210" i="3" s="1"/>
  <c r="Y267" i="3"/>
  <c r="Z267" i="3" s="1"/>
  <c r="Y306" i="3"/>
  <c r="Z306" i="3" s="1"/>
  <c r="Y471" i="3"/>
  <c r="Z471" i="3" s="1"/>
  <c r="Y596" i="3"/>
  <c r="Z596" i="3" s="1"/>
  <c r="Y664" i="3"/>
  <c r="Z664" i="3" s="1"/>
  <c r="Y714" i="3"/>
  <c r="Z714" i="3" s="1"/>
  <c r="Y734" i="3"/>
  <c r="Z734" i="3" s="1"/>
  <c r="Y822" i="3"/>
  <c r="Z822" i="3" s="1"/>
  <c r="Y906" i="3"/>
  <c r="Z906" i="3" s="1"/>
  <c r="Y998" i="3"/>
  <c r="Z998" i="3" s="1"/>
  <c r="Y1117" i="3"/>
  <c r="Z1117" i="3" s="1"/>
  <c r="Y1125" i="3"/>
  <c r="Z1125" i="3" s="1"/>
  <c r="Y1150" i="3"/>
  <c r="Z1150" i="3" s="1"/>
  <c r="Y1258" i="3"/>
  <c r="Z1258" i="3" s="1"/>
  <c r="Y1348" i="3"/>
  <c r="Z1348" i="3" s="1"/>
  <c r="Y1388" i="3"/>
  <c r="Z1388" i="3" s="1"/>
  <c r="Y1468" i="3"/>
  <c r="Z1468" i="3" s="1"/>
  <c r="Y9" i="3"/>
  <c r="Z9" i="3" s="1"/>
  <c r="Y125" i="3"/>
  <c r="Z125" i="3" s="1"/>
  <c r="Y140" i="3"/>
  <c r="Z140" i="3" s="1"/>
  <c r="Y413" i="3"/>
  <c r="Z413" i="3" s="1"/>
  <c r="Y769" i="3"/>
  <c r="Z769" i="3" s="1"/>
  <c r="Y852" i="3"/>
  <c r="Z852" i="3" s="1"/>
  <c r="Y977" i="3"/>
  <c r="Z977" i="3" s="1"/>
  <c r="Y1164" i="3"/>
  <c r="Z1164" i="3" s="1"/>
  <c r="Y1173" i="3"/>
  <c r="Z1173" i="3" s="1"/>
  <c r="Y1366" i="3"/>
  <c r="Z1366" i="3" s="1"/>
  <c r="Y1385" i="3"/>
  <c r="Z1385" i="3" s="1"/>
  <c r="Y109" i="3"/>
  <c r="Z109" i="3" s="1"/>
  <c r="Y161" i="3"/>
  <c r="Z161" i="3" s="1"/>
  <c r="Y186" i="3"/>
  <c r="Y435" i="3"/>
  <c r="Z435" i="3" s="1"/>
  <c r="Y455" i="3"/>
  <c r="Z455" i="3" s="1"/>
  <c r="Y477" i="3"/>
  <c r="Z477" i="3" s="1"/>
  <c r="Y554" i="3"/>
  <c r="Z554" i="3" s="1"/>
  <c r="Y639" i="3"/>
  <c r="Z639" i="3" s="1"/>
  <c r="Y1252" i="3"/>
  <c r="Z1252" i="3" s="1"/>
  <c r="Y1474" i="3"/>
  <c r="Z1474" i="3" s="1"/>
  <c r="Y20" i="3"/>
  <c r="Z20" i="3" s="1"/>
  <c r="Y101" i="3"/>
  <c r="Z101" i="3" s="1"/>
  <c r="Y160" i="3"/>
  <c r="Z160" i="3" s="1"/>
  <c r="Y274" i="3"/>
  <c r="Z274" i="3" s="1"/>
  <c r="Y380" i="3"/>
  <c r="Z380" i="3" s="1"/>
  <c r="Y440" i="3"/>
  <c r="Z440" i="3" s="1"/>
  <c r="Y870" i="3"/>
  <c r="Z870" i="3" s="1"/>
  <c r="Y948" i="3"/>
  <c r="Z948" i="3" s="1"/>
  <c r="Y1215" i="3"/>
  <c r="Z1215" i="3" s="1"/>
  <c r="Y1297" i="3"/>
  <c r="Z1297" i="3" s="1"/>
  <c r="Y1370" i="3"/>
  <c r="Z1370" i="3" s="1"/>
  <c r="Y1586" i="3"/>
  <c r="Z1586" i="3" s="1"/>
  <c r="Y1679" i="3"/>
  <c r="Z1679" i="3" s="1"/>
  <c r="Y93" i="3"/>
  <c r="Z93" i="3" s="1"/>
  <c r="Y100" i="3"/>
  <c r="Z100" i="3" s="1"/>
  <c r="Y121" i="3"/>
  <c r="Z121" i="3" s="1"/>
  <c r="Y127" i="3"/>
  <c r="Z127" i="3" s="1"/>
  <c r="Y252" i="3"/>
  <c r="Z252" i="3" s="1"/>
  <c r="Y316" i="3"/>
  <c r="Z316" i="3" s="1"/>
  <c r="Y541" i="3"/>
  <c r="Z541" i="3" s="1"/>
  <c r="Y611" i="3"/>
  <c r="Z611" i="3" s="1"/>
  <c r="Y989" i="3"/>
  <c r="Z989" i="3" s="1"/>
  <c r="Y1069" i="3"/>
  <c r="Z1069" i="3" s="1"/>
  <c r="Y1207" i="3"/>
  <c r="Z1207" i="3" s="1"/>
  <c r="Y1777" i="3"/>
  <c r="Z1777" i="3" s="1"/>
  <c r="Y77" i="3"/>
  <c r="Z77" i="3" s="1"/>
  <c r="Y97" i="3"/>
  <c r="Z97" i="3" s="1"/>
  <c r="Y102" i="3"/>
  <c r="Z102" i="3" s="1"/>
  <c r="Y128" i="3"/>
  <c r="Z128" i="3" s="1"/>
  <c r="Y132" i="3"/>
  <c r="Z132" i="3" s="1"/>
  <c r="Y134" i="3"/>
  <c r="Z134" i="3" s="1"/>
  <c r="Y238" i="3"/>
  <c r="Z238" i="3" s="1"/>
  <c r="Y271" i="3"/>
  <c r="Z271" i="3" s="1"/>
  <c r="Y307" i="3"/>
  <c r="Z307" i="3" s="1"/>
  <c r="Y326" i="3"/>
  <c r="Z326" i="3" s="1"/>
  <c r="Y347" i="3"/>
  <c r="Z347" i="3" s="1"/>
  <c r="Y438" i="3"/>
  <c r="Z438" i="3" s="1"/>
  <c r="Y519" i="3"/>
  <c r="Z519" i="3" s="1"/>
  <c r="Y564" i="3"/>
  <c r="Z564" i="3" s="1"/>
  <c r="Y616" i="3"/>
  <c r="Z616" i="3" s="1"/>
  <c r="Y628" i="3"/>
  <c r="Z628" i="3" s="1"/>
  <c r="Y968" i="3"/>
  <c r="Z968" i="3" s="1"/>
  <c r="Y1023" i="3"/>
  <c r="Z1023" i="3" s="1"/>
  <c r="Y1127" i="3"/>
  <c r="Z1127" i="3" s="1"/>
  <c r="Y1657" i="3"/>
  <c r="Z1657" i="3" s="1"/>
  <c r="Y1674" i="3"/>
  <c r="Z1674" i="3" s="1"/>
  <c r="Y1734" i="3"/>
  <c r="Z1734" i="3" s="1"/>
  <c r="Y1799" i="3"/>
  <c r="Z1799" i="3" s="1"/>
  <c r="Y1976" i="3"/>
  <c r="Z1976" i="3" s="1"/>
  <c r="Y2002" i="3"/>
  <c r="Z2002" i="3" s="1"/>
  <c r="Y78" i="3"/>
  <c r="Z78" i="3" s="1"/>
  <c r="Y242" i="3"/>
  <c r="Z242" i="3" s="1"/>
  <c r="Y265" i="3"/>
  <c r="Z265" i="3" s="1"/>
  <c r="Y277" i="3"/>
  <c r="Z277" i="3" s="1"/>
  <c r="Y279" i="3"/>
  <c r="Z279" i="3" s="1"/>
  <c r="Y292" i="3"/>
  <c r="Z292" i="3" s="1"/>
  <c r="Y297" i="3"/>
  <c r="Z297" i="3" s="1"/>
  <c r="Y363" i="3"/>
  <c r="Z363" i="3" s="1"/>
  <c r="Y445" i="3"/>
  <c r="Z445" i="3" s="1"/>
  <c r="Y450" i="3"/>
  <c r="Z450" i="3" s="1"/>
  <c r="Y468" i="3"/>
  <c r="Z468" i="3" s="1"/>
  <c r="Y609" i="3"/>
  <c r="Z609" i="3" s="1"/>
  <c r="Y631" i="3"/>
  <c r="Z631" i="3" s="1"/>
  <c r="Y642" i="3"/>
  <c r="Z642" i="3" s="1"/>
  <c r="Y648" i="3"/>
  <c r="Z648" i="3" s="1"/>
  <c r="Y709" i="3"/>
  <c r="Z709" i="3" s="1"/>
  <c r="Y784" i="3"/>
  <c r="Z784" i="3" s="1"/>
  <c r="Y833" i="3"/>
  <c r="Z833" i="3" s="1"/>
  <c r="Y837" i="3"/>
  <c r="Z837" i="3" s="1"/>
  <c r="Y1035" i="3"/>
  <c r="Z1035" i="3" s="1"/>
  <c r="Y1439" i="3"/>
  <c r="Z1439" i="3" s="1"/>
  <c r="Y1477" i="3"/>
  <c r="Z1477" i="3" s="1"/>
  <c r="Y1531" i="3"/>
  <c r="Z1531" i="3" s="1"/>
  <c r="Y1695" i="3"/>
  <c r="Z1695" i="3" s="1"/>
  <c r="Y1730" i="3"/>
  <c r="Z1730" i="3" s="1"/>
  <c r="Y1802" i="3"/>
  <c r="Z1802" i="3" s="1"/>
  <c r="Y1851" i="3"/>
  <c r="Z1851" i="3" s="1"/>
  <c r="Y1857" i="3"/>
  <c r="Z1857" i="3" s="1"/>
  <c r="Y1876" i="3"/>
  <c r="Z1876" i="3" s="1"/>
  <c r="Y2066" i="3"/>
  <c r="Z2066" i="3" s="1"/>
  <c r="Y2115" i="3"/>
  <c r="Z2115" i="3" s="1"/>
  <c r="Y2130" i="3"/>
  <c r="Z2130" i="3" s="1"/>
  <c r="Y28" i="3"/>
  <c r="Z28" i="3" s="1"/>
  <c r="Y46" i="3"/>
  <c r="Z46" i="3" s="1"/>
  <c r="Y71" i="3"/>
  <c r="Z71" i="3" s="1"/>
  <c r="Y80" i="3"/>
  <c r="Z80" i="3" s="1"/>
  <c r="Y150" i="3"/>
  <c r="Z150" i="3" s="1"/>
  <c r="Y194" i="3"/>
  <c r="Z194" i="3" s="1"/>
  <c r="Y199" i="3"/>
  <c r="Z199" i="3" s="1"/>
  <c r="Y245" i="3"/>
  <c r="Z245" i="3" s="1"/>
  <c r="Y253" i="3"/>
  <c r="Z253" i="3" s="1"/>
  <c r="Y256" i="3"/>
  <c r="Z256" i="3" s="1"/>
  <c r="Y276" i="3"/>
  <c r="Z276" i="3" s="1"/>
  <c r="Y313" i="3"/>
  <c r="Z313" i="3" s="1"/>
  <c r="Y355" i="3"/>
  <c r="Z355" i="3" s="1"/>
  <c r="Y372" i="3"/>
  <c r="Z372" i="3" s="1"/>
  <c r="Y602" i="3"/>
  <c r="Z602" i="3" s="1"/>
  <c r="Y623" i="3"/>
  <c r="Z623" i="3" s="1"/>
  <c r="Y723" i="3"/>
  <c r="Z723" i="3" s="1"/>
  <c r="Y939" i="3"/>
  <c r="Z939" i="3" s="1"/>
  <c r="Y1112" i="3"/>
  <c r="Z1112" i="3" s="1"/>
  <c r="Y1267" i="3"/>
  <c r="Z1267" i="3" s="1"/>
  <c r="Y1394" i="3"/>
  <c r="Z1394" i="3" s="1"/>
  <c r="Y1513" i="3"/>
  <c r="Z1513" i="3" s="1"/>
  <c r="Y1564" i="3"/>
  <c r="Z1564" i="3" s="1"/>
  <c r="Y1698" i="3"/>
  <c r="Z1698" i="3" s="1"/>
  <c r="Y1740" i="3"/>
  <c r="Z1740" i="3" s="1"/>
  <c r="Y1845" i="3"/>
  <c r="Z1845" i="3" s="1"/>
  <c r="Y1967" i="3"/>
  <c r="Z1967" i="3" s="1"/>
  <c r="Y2040" i="3"/>
  <c r="Z2040" i="3" s="1"/>
  <c r="Y2064" i="3"/>
  <c r="Z2064" i="3" s="1"/>
  <c r="Y2136" i="3"/>
  <c r="Z2136" i="3" s="1"/>
  <c r="Y2144" i="3"/>
  <c r="Z2144" i="3" s="1"/>
  <c r="Y2194" i="3"/>
  <c r="Z2194" i="3" s="1"/>
  <c r="Y2346" i="3"/>
  <c r="Y39" i="3"/>
  <c r="Z39" i="3" s="1"/>
  <c r="Y54" i="3"/>
  <c r="Z54" i="3" s="1"/>
  <c r="Y59" i="3"/>
  <c r="Z59" i="3" s="1"/>
  <c r="Y60" i="3"/>
  <c r="Z60" i="3" s="1"/>
  <c r="Y63" i="3"/>
  <c r="Z63" i="3" s="1"/>
  <c r="Y72" i="3"/>
  <c r="Z72" i="3" s="1"/>
  <c r="Y83" i="3"/>
  <c r="Z83" i="3" s="1"/>
  <c r="Y99" i="3"/>
  <c r="Z99" i="3" s="1"/>
  <c r="Y106" i="3"/>
  <c r="Z106" i="3" s="1"/>
  <c r="Y114" i="3"/>
  <c r="Z114" i="3" s="1"/>
  <c r="Y163" i="3"/>
  <c r="Z163" i="3" s="1"/>
  <c r="Y218" i="3"/>
  <c r="Z218" i="3" s="1"/>
  <c r="Y234" i="3"/>
  <c r="Z234" i="3" s="1"/>
  <c r="Y258" i="3"/>
  <c r="Z258" i="3" s="1"/>
  <c r="Y266" i="3"/>
  <c r="Z266" i="3" s="1"/>
  <c r="Y269" i="3"/>
  <c r="Z269" i="3" s="1"/>
  <c r="Y270" i="3"/>
  <c r="Z270" i="3" s="1"/>
  <c r="Y317" i="3"/>
  <c r="Z317" i="3" s="1"/>
  <c r="Y369" i="3"/>
  <c r="Z369" i="3" s="1"/>
  <c r="Y422" i="3"/>
  <c r="Z422" i="3" s="1"/>
  <c r="Y670" i="3"/>
  <c r="Z670" i="3" s="1"/>
  <c r="Y808" i="3"/>
  <c r="Z808" i="3" s="1"/>
  <c r="Y820" i="3"/>
  <c r="Z820" i="3" s="1"/>
  <c r="Y1032" i="3"/>
  <c r="Z1032" i="3" s="1"/>
  <c r="Y1065" i="3"/>
  <c r="Z1065" i="3" s="1"/>
  <c r="Y1161" i="3"/>
  <c r="Z1161" i="3" s="1"/>
  <c r="Y1182" i="3"/>
  <c r="Z1182" i="3" s="1"/>
  <c r="Y1278" i="3"/>
  <c r="Z1278" i="3" s="1"/>
  <c r="Y1356" i="3"/>
  <c r="Z1356" i="3" s="1"/>
  <c r="Y1430" i="3"/>
  <c r="Z1430" i="3" s="1"/>
  <c r="Y1608" i="3"/>
  <c r="Z1608" i="3" s="1"/>
  <c r="Y1704" i="3"/>
  <c r="Z1704" i="3" s="1"/>
  <c r="Y1901" i="3"/>
  <c r="Z1901" i="3" s="1"/>
  <c r="Y1964" i="3"/>
  <c r="Z1964" i="3" s="1"/>
  <c r="Y1981" i="3"/>
  <c r="Z1981" i="3" s="1"/>
  <c r="Y2021" i="3"/>
  <c r="Z2021" i="3" s="1"/>
  <c r="Y2076" i="3"/>
  <c r="Z2076" i="3" s="1"/>
  <c r="Y2079" i="3"/>
  <c r="Z2079" i="3" s="1"/>
  <c r="Y2084" i="3"/>
  <c r="Z2084" i="3" s="1"/>
  <c r="Y2243" i="3"/>
  <c r="Z2243" i="3" s="1"/>
  <c r="Y2272" i="3"/>
  <c r="Z2272" i="3" s="1"/>
  <c r="Y2342" i="3"/>
  <c r="Z2342" i="3" s="1"/>
  <c r="Y2361" i="3"/>
  <c r="Z2361" i="3" s="1"/>
  <c r="Y2421" i="3"/>
  <c r="Z2421" i="3" s="1"/>
  <c r="Y2429" i="3"/>
  <c r="Z2429" i="3" s="1"/>
  <c r="Y2542" i="3"/>
  <c r="Z2542" i="3" s="1"/>
  <c r="Y23" i="3"/>
  <c r="Z23" i="3" s="1"/>
  <c r="Y130" i="3"/>
  <c r="Z130" i="3" s="1"/>
  <c r="Y232" i="3"/>
  <c r="Z232" i="3" s="1"/>
  <c r="Y249" i="3"/>
  <c r="Z249" i="3" s="1"/>
  <c r="Y334" i="3"/>
  <c r="Z334" i="3" s="1"/>
  <c r="Y552" i="3"/>
  <c r="Z552" i="3" s="1"/>
  <c r="Y828" i="3"/>
  <c r="Z828" i="3" s="1"/>
  <c r="Y845" i="3"/>
  <c r="Z845" i="3" s="1"/>
  <c r="Y916" i="3"/>
  <c r="Z916" i="3" s="1"/>
  <c r="Y1288" i="3"/>
  <c r="Z1288" i="3" s="1"/>
  <c r="Y1668" i="3"/>
  <c r="Z1668" i="3" s="1"/>
  <c r="Y1752" i="3"/>
  <c r="Z1752" i="3" s="1"/>
  <c r="Y2185" i="3"/>
  <c r="Z2185" i="3" s="1"/>
  <c r="Y19" i="3"/>
  <c r="Z19" i="3" s="1"/>
  <c r="Y69" i="3"/>
  <c r="Z69" i="3" s="1"/>
  <c r="Y74" i="3"/>
  <c r="Z74" i="3" s="1"/>
  <c r="Y139" i="3"/>
  <c r="Z139" i="3" s="1"/>
  <c r="Y605" i="3"/>
  <c r="Z605" i="3" s="1"/>
  <c r="Y703" i="3"/>
  <c r="Z703" i="3" s="1"/>
  <c r="Y1244" i="3"/>
  <c r="Z1244" i="3" s="1"/>
  <c r="Y1528" i="3"/>
  <c r="Z1528" i="3" s="1"/>
  <c r="Y1712" i="3"/>
  <c r="Z1712" i="3" s="1"/>
  <c r="Y1724" i="3"/>
  <c r="Z1724" i="3" s="1"/>
  <c r="Y2057" i="3"/>
  <c r="Z2057" i="3" s="1"/>
  <c r="Y2118" i="3"/>
  <c r="Z2118" i="3" s="1"/>
  <c r="Y2125" i="3"/>
  <c r="Z2125" i="3" s="1"/>
  <c r="Y18" i="3"/>
  <c r="Z18" i="3" s="1"/>
  <c r="Y36" i="3"/>
  <c r="Z36" i="3" s="1"/>
  <c r="Y89" i="3"/>
  <c r="Z89" i="3" s="1"/>
  <c r="Y138" i="3"/>
  <c r="Z138" i="3" s="1"/>
  <c r="Y173" i="3"/>
  <c r="Z173" i="3" s="1"/>
  <c r="Y303" i="3"/>
  <c r="Z303" i="3" s="1"/>
  <c r="Y453" i="3"/>
  <c r="Z453" i="3" s="1"/>
  <c r="Y697" i="3"/>
  <c r="Z697" i="3" s="1"/>
  <c r="Y1507" i="3"/>
  <c r="Z1507" i="3" s="1"/>
  <c r="Y1592" i="3"/>
  <c r="Z1592" i="3" s="1"/>
  <c r="Y1793" i="3"/>
  <c r="Z1793" i="3" s="1"/>
  <c r="Y2182" i="3"/>
  <c r="Z2182" i="3" s="1"/>
  <c r="Y2209" i="3"/>
  <c r="Z2209" i="3" s="1"/>
  <c r="Y2468" i="3"/>
  <c r="Z2468" i="3" s="1"/>
  <c r="Y2483" i="3"/>
  <c r="Z2483" i="3" s="1"/>
  <c r="Y2568" i="3"/>
  <c r="Z2568" i="3" s="1"/>
  <c r="Y2781" i="3"/>
  <c r="Z2781" i="3" s="1"/>
  <c r="Y2892" i="3"/>
  <c r="Z2892" i="3" s="1"/>
  <c r="Y2943" i="3"/>
  <c r="Z2943" i="3" s="1"/>
  <c r="Y8" i="3"/>
  <c r="Z8" i="3" s="1"/>
  <c r="Y47" i="3"/>
  <c r="Z47" i="3" s="1"/>
  <c r="Y98" i="3"/>
  <c r="Z98" i="3" s="1"/>
  <c r="Y187" i="3"/>
  <c r="Z187" i="3" s="1"/>
  <c r="Y205" i="3"/>
  <c r="Z205" i="3" s="1"/>
  <c r="Y263" i="3"/>
  <c r="Z263" i="3" s="1"/>
  <c r="Y417" i="3"/>
  <c r="Z417" i="3" s="1"/>
  <c r="Y444" i="3"/>
  <c r="Z444" i="3" s="1"/>
  <c r="Y706" i="3"/>
  <c r="Z706" i="3" s="1"/>
  <c r="Y875" i="3"/>
  <c r="Z875" i="3" s="1"/>
  <c r="Y1096" i="3"/>
  <c r="Z1096" i="3" s="1"/>
  <c r="Y1121" i="3"/>
  <c r="Z1121" i="3" s="1"/>
  <c r="Y1179" i="3"/>
  <c r="Z1179" i="3" s="1"/>
  <c r="Y1317" i="3"/>
  <c r="Z1317" i="3" s="1"/>
  <c r="Y1540" i="3"/>
  <c r="Z1540" i="3" s="1"/>
  <c r="Y1582" i="3"/>
  <c r="Z1582" i="3" s="1"/>
  <c r="Y2404" i="3"/>
  <c r="Z2404" i="3" s="1"/>
  <c r="Y2526" i="3"/>
  <c r="Z2526" i="3" s="1"/>
  <c r="Y2634" i="3"/>
  <c r="Z2634" i="3" s="1"/>
  <c r="Y2665" i="3"/>
  <c r="Z2665" i="3" s="1"/>
  <c r="Y2728" i="3"/>
  <c r="Z2728" i="3" s="1"/>
  <c r="Y2743" i="3"/>
  <c r="Z2743" i="3" s="1"/>
  <c r="Y2783" i="3"/>
  <c r="Z2783" i="3" s="1"/>
  <c r="Y2843" i="3"/>
  <c r="Z2843" i="3" s="1"/>
  <c r="Y2978" i="3"/>
  <c r="Z2978" i="3" s="1"/>
  <c r="Y3033" i="3"/>
  <c r="Z3033" i="3" s="1"/>
  <c r="Y117" i="3"/>
  <c r="Z117" i="3" s="1"/>
  <c r="Y191" i="3"/>
  <c r="Z191" i="3" s="1"/>
  <c r="Y318" i="3"/>
  <c r="Z318" i="3" s="1"/>
  <c r="Y562" i="3"/>
  <c r="Z562" i="3" s="1"/>
  <c r="Y763" i="3"/>
  <c r="Z763" i="3" s="1"/>
  <c r="Y986" i="3"/>
  <c r="Z986" i="3" s="1"/>
  <c r="Y1086" i="3"/>
  <c r="Z1086" i="3" s="1"/>
  <c r="Y1241" i="3"/>
  <c r="Z1241" i="3" s="1"/>
  <c r="Y1281" i="3"/>
  <c r="Z1281" i="3" s="1"/>
  <c r="Y1461" i="3"/>
  <c r="Z1461" i="3" s="1"/>
  <c r="Y1516" i="3"/>
  <c r="Z1516" i="3" s="1"/>
  <c r="Y1987" i="3"/>
  <c r="Z1987" i="3" s="1"/>
  <c r="Y2049" i="3"/>
  <c r="Z2049" i="3" s="1"/>
  <c r="Y2174" i="3"/>
  <c r="Z2174" i="3" s="1"/>
  <c r="Y2398" i="3"/>
  <c r="Z2398" i="3" s="1"/>
  <c r="Y2491" i="3"/>
  <c r="Z2491" i="3" s="1"/>
  <c r="Y2535" i="3"/>
  <c r="Z2535" i="3" s="1"/>
  <c r="Y2752" i="3"/>
  <c r="Z2752" i="3" s="1"/>
  <c r="Y2812" i="3"/>
  <c r="Z2812" i="3" s="1"/>
  <c r="Y3002" i="3"/>
  <c r="Z3002" i="3" s="1"/>
  <c r="Y3022" i="3"/>
  <c r="Z3022" i="3" s="1"/>
  <c r="Y131" i="3"/>
  <c r="Z131" i="3" s="1"/>
  <c r="Y411" i="3"/>
  <c r="Z411" i="3" s="1"/>
  <c r="Y759" i="3"/>
  <c r="Z759" i="3" s="1"/>
  <c r="Y1863" i="3"/>
  <c r="Z1863" i="3" s="1"/>
  <c r="Y2262" i="3"/>
  <c r="Z2262" i="3" s="1"/>
  <c r="Y2755" i="3"/>
  <c r="Z2755" i="3" s="1"/>
  <c r="Y53" i="3"/>
  <c r="Z53" i="3" s="1"/>
  <c r="U16" i="3"/>
  <c r="U43" i="3"/>
  <c r="Y43" i="3" s="1"/>
  <c r="Z43" i="3" s="1"/>
  <c r="U56" i="3"/>
  <c r="Y56" i="3" s="1"/>
  <c r="Z56" i="3" s="1"/>
  <c r="U129" i="3"/>
  <c r="Y129" i="3" s="1"/>
  <c r="Z129" i="3" s="1"/>
  <c r="U174" i="3"/>
  <c r="Y174" i="3" s="1"/>
  <c r="Z174" i="3" s="1"/>
  <c r="U183" i="3"/>
  <c r="Y183" i="3" s="1"/>
  <c r="Z183" i="3" s="1"/>
  <c r="U202" i="3"/>
  <c r="Y202" i="3" s="1"/>
  <c r="Z202" i="3" s="1"/>
  <c r="U207" i="3"/>
  <c r="Y207" i="3" s="1"/>
  <c r="Z207" i="3" s="1"/>
  <c r="U215" i="3"/>
  <c r="Y215" i="3" s="1"/>
  <c r="Z215" i="3" s="1"/>
  <c r="U237" i="3"/>
  <c r="Y237" i="3" s="1"/>
  <c r="Z237" i="3" s="1"/>
  <c r="U250" i="3"/>
  <c r="Y250" i="3" s="1"/>
  <c r="Z250" i="3" s="1"/>
  <c r="U278" i="3"/>
  <c r="Y278" i="3" s="1"/>
  <c r="Z278" i="3" s="1"/>
  <c r="U285" i="3"/>
  <c r="Y285" i="3" s="1"/>
  <c r="Z285" i="3" s="1"/>
  <c r="U337" i="3"/>
  <c r="Y337" i="3" s="1"/>
  <c r="Z337" i="3" s="1"/>
  <c r="U343" i="3"/>
  <c r="Y343" i="3" s="1"/>
  <c r="Z343" i="3" s="1"/>
  <c r="U358" i="3"/>
  <c r="Y358" i="3" s="1"/>
  <c r="Z358" i="3" s="1"/>
  <c r="U389" i="3"/>
  <c r="Y389" i="3" s="1"/>
  <c r="Z389" i="3" s="1"/>
  <c r="U409" i="3"/>
  <c r="Y409" i="3" s="1"/>
  <c r="Z409" i="3" s="1"/>
  <c r="U491" i="3"/>
  <c r="Y491" i="3" s="1"/>
  <c r="Z491" i="3" s="1"/>
  <c r="U494" i="3"/>
  <c r="Y494" i="3" s="1"/>
  <c r="Z494" i="3" s="1"/>
  <c r="U500" i="3"/>
  <c r="Y500" i="3" s="1"/>
  <c r="Z500" i="3" s="1"/>
  <c r="U529" i="3"/>
  <c r="Y529" i="3" s="1"/>
  <c r="Z529" i="3" s="1"/>
  <c r="U531" i="3"/>
  <c r="Y531" i="3" s="1"/>
  <c r="Z531" i="3" s="1"/>
  <c r="U581" i="3"/>
  <c r="Y581" i="3" s="1"/>
  <c r="Z581" i="3" s="1"/>
  <c r="U593" i="3"/>
  <c r="Y593" i="3" s="1"/>
  <c r="Z593" i="3" s="1"/>
  <c r="U772" i="3"/>
  <c r="Y772" i="3" s="1"/>
  <c r="Z772" i="3" s="1"/>
  <c r="U794" i="3"/>
  <c r="Y794" i="3" s="1"/>
  <c r="Z794" i="3" s="1"/>
  <c r="U797" i="3"/>
  <c r="Y797" i="3" s="1"/>
  <c r="Z797" i="3" s="1"/>
  <c r="U803" i="3"/>
  <c r="Y803" i="3" s="1"/>
  <c r="Z803" i="3" s="1"/>
  <c r="U807" i="3"/>
  <c r="Y807" i="3" s="1"/>
  <c r="Z807" i="3" s="1"/>
  <c r="U821" i="3"/>
  <c r="Y821" i="3" s="1"/>
  <c r="Z821" i="3" s="1"/>
  <c r="U854" i="3"/>
  <c r="Y854" i="3" s="1"/>
  <c r="Z854" i="3" s="1"/>
  <c r="U877" i="3"/>
  <c r="Y877" i="3" s="1"/>
  <c r="Z877" i="3" s="1"/>
  <c r="U892" i="3"/>
  <c r="Y892" i="3" s="1"/>
  <c r="Z892" i="3" s="1"/>
  <c r="U905" i="3"/>
  <c r="Y905" i="3" s="1"/>
  <c r="Z905" i="3" s="1"/>
  <c r="U910" i="3"/>
  <c r="Y910" i="3" s="1"/>
  <c r="Z910" i="3" s="1"/>
  <c r="U920" i="3"/>
  <c r="Y920" i="3" s="1"/>
  <c r="Z920" i="3" s="1"/>
  <c r="U927" i="3"/>
  <c r="Y927" i="3" s="1"/>
  <c r="Z927" i="3" s="1"/>
  <c r="U928" i="3"/>
  <c r="Y928" i="3" s="1"/>
  <c r="Z928" i="3" s="1"/>
  <c r="U941" i="3"/>
  <c r="Y941" i="3" s="1"/>
  <c r="Z941" i="3" s="1"/>
  <c r="U992" i="3"/>
  <c r="Y992" i="3" s="1"/>
  <c r="Z992" i="3" s="1"/>
  <c r="U1010" i="3"/>
  <c r="Y1010" i="3" s="1"/>
  <c r="Z1010" i="3" s="1"/>
  <c r="U1052" i="3"/>
  <c r="Y1052" i="3" s="1"/>
  <c r="Z1052" i="3" s="1"/>
  <c r="U1053" i="3"/>
  <c r="Y1053" i="3" s="1"/>
  <c r="Z1053" i="3" s="1"/>
  <c r="U1093" i="3"/>
  <c r="Y1093" i="3" s="1"/>
  <c r="Z1093" i="3" s="1"/>
  <c r="U1101" i="3"/>
  <c r="Y1101" i="3" s="1"/>
  <c r="Z1101" i="3" s="1"/>
  <c r="U1128" i="3"/>
  <c r="Y1128" i="3" s="1"/>
  <c r="Z1128" i="3" s="1"/>
  <c r="U1135" i="3"/>
  <c r="Y1135" i="3" s="1"/>
  <c r="Z1135" i="3" s="1"/>
  <c r="U1245" i="3"/>
  <c r="Y1245" i="3" s="1"/>
  <c r="Z1245" i="3" s="1"/>
  <c r="U1301" i="3"/>
  <c r="Y1301" i="3" s="1"/>
  <c r="Z1301" i="3" s="1"/>
  <c r="U1324" i="3"/>
  <c r="Y1324" i="3" s="1"/>
  <c r="Z1324" i="3" s="1"/>
  <c r="U1349" i="3"/>
  <c r="Y1349" i="3" s="1"/>
  <c r="Z1349" i="3" s="1"/>
  <c r="U1362" i="3"/>
  <c r="Y1362" i="3" s="1"/>
  <c r="Z1362" i="3" s="1"/>
  <c r="U1411" i="3"/>
  <c r="Y1411" i="3" s="1"/>
  <c r="Z1411" i="3" s="1"/>
  <c r="U1425" i="3"/>
  <c r="Y1425" i="3" s="1"/>
  <c r="Z1425" i="3" s="1"/>
  <c r="U1426" i="3"/>
  <c r="Y1426" i="3" s="1"/>
  <c r="Z1426" i="3" s="1"/>
  <c r="U1433" i="3"/>
  <c r="Y1433" i="3" s="1"/>
  <c r="Z1433" i="3" s="1"/>
  <c r="U1444" i="3"/>
  <c r="Y1444" i="3" s="1"/>
  <c r="Z1444" i="3" s="1"/>
  <c r="U1556" i="3"/>
  <c r="Y1556" i="3" s="1"/>
  <c r="Z1556" i="3" s="1"/>
  <c r="U1569" i="3"/>
  <c r="Y1569" i="3" s="1"/>
  <c r="Z1569" i="3" s="1"/>
  <c r="U1629" i="3"/>
  <c r="Y1629" i="3" s="1"/>
  <c r="Z1629" i="3" s="1"/>
  <c r="U1639" i="3"/>
  <c r="Y1639" i="3" s="1"/>
  <c r="Z1639" i="3" s="1"/>
  <c r="U1664" i="3"/>
  <c r="Y1664" i="3" s="1"/>
  <c r="Z1664" i="3" s="1"/>
  <c r="U1713" i="3"/>
  <c r="Y1713" i="3" s="1"/>
  <c r="Z1713" i="3" s="1"/>
  <c r="U1748" i="3"/>
  <c r="Y1748" i="3" s="1"/>
  <c r="Z1748" i="3" s="1"/>
  <c r="U1774" i="3"/>
  <c r="Y1774" i="3" s="1"/>
  <c r="Z1774" i="3" s="1"/>
  <c r="U1784" i="3"/>
  <c r="Y1784" i="3" s="1"/>
  <c r="Z1784" i="3" s="1"/>
  <c r="U1813" i="3"/>
  <c r="Y1813" i="3" s="1"/>
  <c r="Z1813" i="3" s="1"/>
  <c r="U1820" i="3"/>
  <c r="Y1820" i="3" s="1"/>
  <c r="Z1820" i="3" s="1"/>
  <c r="U1838" i="3"/>
  <c r="Y1838" i="3" s="1"/>
  <c r="Z1838" i="3" s="1"/>
  <c r="U1963" i="3"/>
  <c r="Y1963" i="3" s="1"/>
  <c r="Z1963" i="3" s="1"/>
  <c r="U1973" i="3"/>
  <c r="Y1973" i="3" s="1"/>
  <c r="Z1973" i="3" s="1"/>
  <c r="U2000" i="3"/>
  <c r="Y2000" i="3" s="1"/>
  <c r="Z2000" i="3" s="1"/>
  <c r="U2054" i="3"/>
  <c r="Y2054" i="3" s="1"/>
  <c r="Z2054" i="3" s="1"/>
  <c r="U2068" i="3"/>
  <c r="Y2068" i="3" s="1"/>
  <c r="Z2068" i="3" s="1"/>
  <c r="U2101" i="3"/>
  <c r="Y2101" i="3" s="1"/>
  <c r="Z2101" i="3" s="1"/>
  <c r="U2122" i="3"/>
  <c r="Y2122" i="3" s="1"/>
  <c r="Z2122" i="3" s="1"/>
  <c r="U2160" i="3"/>
  <c r="Y2160" i="3" s="1"/>
  <c r="Z2160" i="3" s="1"/>
  <c r="U2233" i="3"/>
  <c r="Y2233" i="3" s="1"/>
  <c r="Z2233" i="3" s="1"/>
  <c r="U2234" i="3"/>
  <c r="Y2234" i="3" s="1"/>
  <c r="Z2234" i="3" s="1"/>
  <c r="U2298" i="3"/>
  <c r="Y2298" i="3" s="1"/>
  <c r="Z2298" i="3" s="1"/>
  <c r="U2332" i="3"/>
  <c r="Y2332" i="3" s="1"/>
  <c r="Z2332" i="3" s="1"/>
  <c r="U2427" i="3"/>
  <c r="Y2427" i="3" s="1"/>
  <c r="Z2427" i="3" s="1"/>
  <c r="U2565" i="3"/>
  <c r="Y2565" i="3" s="1"/>
  <c r="Z2565" i="3" s="1"/>
  <c r="U2586" i="3"/>
  <c r="Y2586" i="3" s="1"/>
  <c r="Z2586" i="3" s="1"/>
  <c r="U2608" i="3"/>
  <c r="Y2608" i="3" s="1"/>
  <c r="Z2608" i="3" s="1"/>
  <c r="U2625" i="3"/>
  <c r="Y2625" i="3" s="1"/>
  <c r="Z2625" i="3" s="1"/>
  <c r="U2641" i="3"/>
  <c r="Y2641" i="3" s="1"/>
  <c r="Z2641" i="3" s="1"/>
  <c r="U2666" i="3"/>
  <c r="Y2666" i="3" s="1"/>
  <c r="Z2666" i="3" s="1"/>
  <c r="U2667" i="3"/>
  <c r="Y2667" i="3" s="1"/>
  <c r="Z2667" i="3" s="1"/>
  <c r="U2691" i="3"/>
  <c r="Y2691" i="3" s="1"/>
  <c r="Z2691" i="3" s="1"/>
  <c r="U2694" i="3"/>
  <c r="Y2694" i="3" s="1"/>
  <c r="Z2694" i="3" s="1"/>
  <c r="U2705" i="3"/>
  <c r="Y2705" i="3" s="1"/>
  <c r="Z2705" i="3" s="1"/>
  <c r="U2720" i="3"/>
  <c r="Y2720" i="3" s="1"/>
  <c r="Z2720" i="3" s="1"/>
  <c r="U2729" i="3"/>
  <c r="Y2729" i="3" s="1"/>
  <c r="Z2729" i="3" s="1"/>
  <c r="U2737" i="3"/>
  <c r="U2738" i="3"/>
  <c r="Y2738" i="3" s="1"/>
  <c r="Z2738" i="3" s="1"/>
  <c r="U2765" i="3"/>
  <c r="Y2765" i="3" s="1"/>
  <c r="Z2765" i="3" s="1"/>
  <c r="U2772" i="3"/>
  <c r="Y2772" i="3" s="1"/>
  <c r="Z2772" i="3" s="1"/>
  <c r="U2779" i="3"/>
  <c r="Y2779" i="3" s="1"/>
  <c r="Z2779" i="3" s="1"/>
  <c r="U2797" i="3"/>
  <c r="Y2797" i="3" s="1"/>
  <c r="Z2797" i="3" s="1"/>
  <c r="U2829" i="3"/>
  <c r="Y2829" i="3" s="1"/>
  <c r="Z2829" i="3" s="1"/>
  <c r="U2834" i="3"/>
  <c r="Y2834" i="3" s="1"/>
  <c r="Z2834" i="3" s="1"/>
  <c r="U2869" i="3"/>
  <c r="Y2869" i="3" s="1"/>
  <c r="Z2869" i="3" s="1"/>
  <c r="U2876" i="3"/>
  <c r="Y2876" i="3" s="1"/>
  <c r="Z2876" i="3" s="1"/>
  <c r="U2896" i="3"/>
  <c r="Y2896" i="3" s="1"/>
  <c r="Z2896" i="3" s="1"/>
  <c r="U2945" i="3"/>
  <c r="Y2945" i="3" s="1"/>
  <c r="Z2945" i="3" s="1"/>
  <c r="U2955" i="3"/>
  <c r="Y2955" i="3" s="1"/>
  <c r="Z2955" i="3" s="1"/>
  <c r="U2998" i="3"/>
  <c r="U3025" i="3"/>
  <c r="Y3025" i="3" s="1"/>
  <c r="Z3025" i="3" s="1"/>
  <c r="U3057" i="3"/>
  <c r="Y3057" i="3" s="1"/>
  <c r="Z3057" i="3" s="1"/>
  <c r="U3089" i="3"/>
  <c r="Y3089" i="3" s="1"/>
  <c r="Z3089" i="3" s="1"/>
  <c r="U3106" i="3"/>
  <c r="Y3106" i="3" s="1"/>
  <c r="Z3106" i="3" s="1"/>
  <c r="U3136" i="3"/>
  <c r="Y3136" i="3" s="1"/>
  <c r="Z3136" i="3" s="1"/>
  <c r="U3189" i="3"/>
  <c r="Y3189" i="3" s="1"/>
  <c r="Z3189" i="3" s="1"/>
  <c r="U3195" i="3"/>
  <c r="Y3195" i="3" s="1"/>
  <c r="Z3195" i="3" s="1"/>
  <c r="U3236" i="3"/>
  <c r="Y3236" i="3" s="1"/>
  <c r="Z3236" i="3" s="1"/>
  <c r="U3267" i="3"/>
  <c r="Y3267" i="3" s="1"/>
  <c r="Z3267" i="3" s="1"/>
  <c r="U3427" i="3"/>
  <c r="Y3427" i="3" s="1"/>
  <c r="Z3427" i="3" s="1"/>
  <c r="U3431" i="3"/>
  <c r="Y3431" i="3" s="1"/>
  <c r="Z3431" i="3" s="1"/>
  <c r="U3460" i="3"/>
  <c r="Y3460" i="3" s="1"/>
  <c r="Z3460" i="3" s="1"/>
  <c r="U3472" i="3"/>
  <c r="Y3472" i="3" s="1"/>
  <c r="Z3472" i="3" s="1"/>
  <c r="U3494" i="3"/>
  <c r="Y3494" i="3" s="1"/>
  <c r="Z3494" i="3" s="1"/>
  <c r="U3502" i="3"/>
  <c r="Y3502" i="3" s="1"/>
  <c r="Z3502" i="3" s="1"/>
  <c r="U3621" i="3"/>
  <c r="Y3621" i="3" s="1"/>
  <c r="Z3621" i="3" s="1"/>
  <c r="U3625" i="3"/>
  <c r="Y3625" i="3" s="1"/>
  <c r="Z3625" i="3" s="1"/>
  <c r="U3638" i="3"/>
  <c r="Y3638" i="3" s="1"/>
  <c r="Z3638" i="3" s="1"/>
  <c r="U3653" i="3"/>
  <c r="Y3653" i="3" s="1"/>
  <c r="Z3653" i="3" s="1"/>
  <c r="U3675" i="3"/>
  <c r="Y3675" i="3" s="1"/>
  <c r="Z3675" i="3" s="1"/>
  <c r="U3695" i="3"/>
  <c r="Y3695" i="3" s="1"/>
  <c r="Z3695" i="3" s="1"/>
  <c r="U3711" i="3"/>
  <c r="Y3711" i="3" s="1"/>
  <c r="Z3711" i="3" s="1"/>
  <c r="U3747" i="3"/>
  <c r="Y3747" i="3" s="1"/>
  <c r="Z3747" i="3" s="1"/>
  <c r="U3796" i="3"/>
  <c r="U3814" i="3"/>
  <c r="Y3814" i="3" s="1"/>
  <c r="Z3814" i="3" s="1"/>
  <c r="U3833" i="3"/>
  <c r="Y3833" i="3" s="1"/>
  <c r="Z3833" i="3" s="1"/>
  <c r="U3841" i="3"/>
  <c r="Y3841" i="3" s="1"/>
  <c r="Z3841" i="3" s="1"/>
  <c r="U3849" i="3"/>
  <c r="Y3849" i="3" s="1"/>
  <c r="Z3849" i="3" s="1"/>
  <c r="U3871" i="3"/>
  <c r="Y3871" i="3" s="1"/>
  <c r="Z3871" i="3" s="1"/>
  <c r="U3961" i="3"/>
  <c r="Y3961" i="3" s="1"/>
  <c r="Z3961" i="3" s="1"/>
  <c r="U3973" i="3"/>
  <c r="Y3973" i="3" s="1"/>
  <c r="Z3973" i="3" s="1"/>
  <c r="U3988" i="3"/>
  <c r="Y3988" i="3" s="1"/>
  <c r="Z3988" i="3" s="1"/>
  <c r="U4088" i="3"/>
  <c r="U4092" i="3"/>
  <c r="Y4092" i="3" s="1"/>
  <c r="Z4092" i="3" s="1"/>
  <c r="U4153" i="3"/>
  <c r="Y4153" i="3" s="1"/>
  <c r="Z4153" i="3" s="1"/>
  <c r="U4188" i="3"/>
  <c r="Y4188" i="3" s="1"/>
  <c r="Z4188" i="3" s="1"/>
  <c r="U4237" i="3"/>
  <c r="Y4237" i="3" s="1"/>
  <c r="Z4237" i="3" s="1"/>
  <c r="U4356" i="3"/>
  <c r="U4385" i="3"/>
  <c r="Y4385" i="3" s="1"/>
  <c r="Z4385" i="3" s="1"/>
  <c r="U4407" i="3"/>
  <c r="Y4407" i="3" s="1"/>
  <c r="Z4407" i="3" s="1"/>
  <c r="U4411" i="3"/>
  <c r="Y4411" i="3" s="1"/>
  <c r="Z4411" i="3" s="1"/>
  <c r="U4422" i="3"/>
  <c r="Y4422" i="3" s="1"/>
  <c r="Z4422" i="3" s="1"/>
  <c r="U4425" i="3"/>
  <c r="Y4425" i="3" s="1"/>
  <c r="Z4425" i="3" s="1"/>
  <c r="U4429" i="3"/>
  <c r="Y4429" i="3" s="1"/>
  <c r="Z4429" i="3" s="1"/>
  <c r="U4447" i="3"/>
  <c r="Y4447" i="3" s="1"/>
  <c r="Z4447" i="3" s="1"/>
  <c r="U4448" i="3"/>
  <c r="Y4448" i="3" s="1"/>
  <c r="Z4448" i="3" s="1"/>
  <c r="U4488" i="3"/>
  <c r="Y4488" i="3" s="1"/>
  <c r="Z4488" i="3" s="1"/>
  <c r="U4537" i="3"/>
  <c r="Y4537" i="3" s="1"/>
  <c r="Z4537" i="3" s="1"/>
  <c r="U4563" i="3"/>
  <c r="Y4563" i="3" s="1"/>
  <c r="Z4563" i="3" s="1"/>
  <c r="U4616" i="3"/>
  <c r="Y4616" i="3" s="1"/>
  <c r="Z4616" i="3" s="1"/>
  <c r="U4658" i="3"/>
  <c r="Y4658" i="3" s="1"/>
  <c r="U4669" i="3"/>
  <c r="Y4669" i="3" s="1"/>
  <c r="Z4669" i="3" s="1"/>
  <c r="U4735" i="3"/>
  <c r="Y4735" i="3" s="1"/>
  <c r="Z4735" i="3" s="1"/>
  <c r="U4738" i="3"/>
  <c r="Y4738" i="3" s="1"/>
  <c r="Z4738" i="3" s="1"/>
  <c r="U4793" i="3"/>
  <c r="Y4793" i="3" s="1"/>
  <c r="Z4793" i="3" s="1"/>
  <c r="U4810" i="3"/>
  <c r="Y4810" i="3" s="1"/>
  <c r="Z4810" i="3" s="1"/>
  <c r="U4819" i="3"/>
  <c r="Y4819" i="3" s="1"/>
  <c r="Z4819" i="3" s="1"/>
  <c r="U27" i="3"/>
  <c r="Y27" i="3" s="1"/>
  <c r="Z27" i="3" s="1"/>
  <c r="U31" i="3"/>
  <c r="Y31" i="3" s="1"/>
  <c r="Z31" i="3" s="1"/>
  <c r="U144" i="3"/>
  <c r="Y144" i="3" s="1"/>
  <c r="Z144" i="3" s="1"/>
  <c r="U156" i="3"/>
  <c r="Y156" i="3" s="1"/>
  <c r="Z156" i="3" s="1"/>
  <c r="U179" i="3"/>
  <c r="Y179" i="3" s="1"/>
  <c r="Z179" i="3" s="1"/>
  <c r="U282" i="3"/>
  <c r="Y282" i="3" s="1"/>
  <c r="Z282" i="3" s="1"/>
  <c r="U284" i="3"/>
  <c r="Y284" i="3" s="1"/>
  <c r="Z284" i="3" s="1"/>
  <c r="U341" i="3"/>
  <c r="Y341" i="3" s="1"/>
  <c r="Z341" i="3" s="1"/>
  <c r="U344" i="3"/>
  <c r="Y344" i="3" s="1"/>
  <c r="Z344" i="3" s="1"/>
  <c r="U360" i="3"/>
  <c r="Y360" i="3" s="1"/>
  <c r="Z360" i="3" s="1"/>
  <c r="U406" i="3"/>
  <c r="Y406" i="3" s="1"/>
  <c r="Z406" i="3" s="1"/>
  <c r="U432" i="3"/>
  <c r="U439" i="3"/>
  <c r="Y439" i="3" s="1"/>
  <c r="Z439" i="3" s="1"/>
  <c r="U441" i="3"/>
  <c r="Y441" i="3" s="1"/>
  <c r="Z441" i="3" s="1"/>
  <c r="U456" i="3"/>
  <c r="Y456" i="3" s="1"/>
  <c r="Z456" i="3" s="1"/>
  <c r="U498" i="3"/>
  <c r="Y498" i="3" s="1"/>
  <c r="Z498" i="3" s="1"/>
  <c r="U502" i="3"/>
  <c r="Y502" i="3" s="1"/>
  <c r="Z502" i="3" s="1"/>
  <c r="U514" i="3"/>
  <c r="Y514" i="3" s="1"/>
  <c r="Z514" i="3" s="1"/>
  <c r="U590" i="3"/>
  <c r="Y590" i="3" s="1"/>
  <c r="Z590" i="3" s="1"/>
  <c r="U599" i="3"/>
  <c r="Y599" i="3" s="1"/>
  <c r="Z599" i="3" s="1"/>
  <c r="U619" i="3"/>
  <c r="Y619" i="3" s="1"/>
  <c r="Z619" i="3" s="1"/>
  <c r="U621" i="3"/>
  <c r="Y621" i="3" s="1"/>
  <c r="Z621" i="3" s="1"/>
  <c r="U681" i="3"/>
  <c r="Y681" i="3" s="1"/>
  <c r="Z681" i="3" s="1"/>
  <c r="U692" i="3"/>
  <c r="Y692" i="3" s="1"/>
  <c r="Z692" i="3" s="1"/>
  <c r="U727" i="3"/>
  <c r="Y727" i="3" s="1"/>
  <c r="Z727" i="3" s="1"/>
  <c r="U731" i="3"/>
  <c r="Y731" i="3" s="1"/>
  <c r="Z731" i="3" s="1"/>
  <c r="U732" i="3"/>
  <c r="U733" i="3"/>
  <c r="Y733" i="3" s="1"/>
  <c r="Z733" i="3" s="1"/>
  <c r="U783" i="3"/>
  <c r="Y783" i="3" s="1"/>
  <c r="Z783" i="3" s="1"/>
  <c r="U800" i="3"/>
  <c r="Y800" i="3" s="1"/>
  <c r="Z800" i="3" s="1"/>
  <c r="U862" i="3"/>
  <c r="Y862" i="3" s="1"/>
  <c r="Z862" i="3" s="1"/>
  <c r="U878" i="3"/>
  <c r="Y878" i="3" s="1"/>
  <c r="Z878" i="3" s="1"/>
  <c r="U898" i="3"/>
  <c r="Y898" i="3" s="1"/>
  <c r="Z898" i="3" s="1"/>
  <c r="U999" i="3"/>
  <c r="Y999" i="3" s="1"/>
  <c r="Z999" i="3" s="1"/>
  <c r="U1028" i="3"/>
  <c r="Y1028" i="3" s="1"/>
  <c r="Z1028" i="3" s="1"/>
  <c r="U1041" i="3"/>
  <c r="Y1041" i="3" s="1"/>
  <c r="Z1041" i="3" s="1"/>
  <c r="U1072" i="3"/>
  <c r="Y1072" i="3" s="1"/>
  <c r="Z1072" i="3" s="1"/>
  <c r="U1113" i="3"/>
  <c r="Y1113" i="3" s="1"/>
  <c r="Z1113" i="3" s="1"/>
  <c r="U1167" i="3"/>
  <c r="Y1167" i="3" s="1"/>
  <c r="Z1167" i="3" s="1"/>
  <c r="U1171" i="3"/>
  <c r="Y1171" i="3" s="1"/>
  <c r="Z1171" i="3" s="1"/>
  <c r="U1180" i="3"/>
  <c r="Y1180" i="3" s="1"/>
  <c r="Z1180" i="3" s="1"/>
  <c r="U1224" i="3"/>
  <c r="Y1224" i="3" s="1"/>
  <c r="Z1224" i="3" s="1"/>
  <c r="U1265" i="3"/>
  <c r="Y1265" i="3" s="1"/>
  <c r="Z1265" i="3" s="1"/>
  <c r="U1275" i="3"/>
  <c r="Y1275" i="3" s="1"/>
  <c r="Z1275" i="3" s="1"/>
  <c r="U1346" i="3"/>
  <c r="Y1346" i="3" s="1"/>
  <c r="Z1346" i="3" s="1"/>
  <c r="U1360" i="3"/>
  <c r="Y1360" i="3" s="1"/>
  <c r="Z1360" i="3" s="1"/>
  <c r="U1369" i="3"/>
  <c r="Y1369" i="3" s="1"/>
  <c r="Z1369" i="3" s="1"/>
  <c r="U1420" i="3"/>
  <c r="Y1420" i="3" s="1"/>
  <c r="Z1420" i="3" s="1"/>
  <c r="U1481" i="3"/>
  <c r="Y1481" i="3" s="1"/>
  <c r="Z1481" i="3" s="1"/>
  <c r="U1492" i="3"/>
  <c r="Y1492" i="3" s="1"/>
  <c r="Z1492" i="3" s="1"/>
  <c r="U1678" i="3"/>
  <c r="Y1678" i="3" s="1"/>
  <c r="Z1678" i="3" s="1"/>
  <c r="U1717" i="3"/>
  <c r="Y1717" i="3" s="1"/>
  <c r="Z1717" i="3" s="1"/>
  <c r="U1719" i="3"/>
  <c r="Y1719" i="3" s="1"/>
  <c r="Z1719" i="3" s="1"/>
  <c r="U1733" i="3"/>
  <c r="Y1733" i="3" s="1"/>
  <c r="Z1733" i="3" s="1"/>
  <c r="U1736" i="3"/>
  <c r="Y1736" i="3" s="1"/>
  <c r="Z1736" i="3" s="1"/>
  <c r="U1750" i="3"/>
  <c r="Y1750" i="3" s="1"/>
  <c r="Z1750" i="3" s="1"/>
  <c r="U1764" i="3"/>
  <c r="Y1764" i="3" s="1"/>
  <c r="Z1764" i="3" s="1"/>
  <c r="U1893" i="3"/>
  <c r="Y1893" i="3" s="1"/>
  <c r="Z1893" i="3" s="1"/>
  <c r="U1942" i="3"/>
  <c r="Y1942" i="3" s="1"/>
  <c r="Z1942" i="3" s="1"/>
  <c r="U1984" i="3"/>
  <c r="Y1984" i="3" s="1"/>
  <c r="Z1984" i="3" s="1"/>
  <c r="U1998" i="3"/>
  <c r="Y1998" i="3" s="1"/>
  <c r="Z1998" i="3" s="1"/>
  <c r="U2061" i="3"/>
  <c r="Y2061" i="3" s="1"/>
  <c r="Z2061" i="3" s="1"/>
  <c r="U2102" i="3"/>
  <c r="Y2102" i="3" s="1"/>
  <c r="Z2102" i="3" s="1"/>
  <c r="U2123" i="3"/>
  <c r="Y2123" i="3" s="1"/>
  <c r="Z2123" i="3" s="1"/>
  <c r="U2133" i="3"/>
  <c r="Y2133" i="3" s="1"/>
  <c r="Z2133" i="3" s="1"/>
  <c r="U2168" i="3"/>
  <c r="Y2168" i="3" s="1"/>
  <c r="Z2168" i="3" s="1"/>
  <c r="U2179" i="3"/>
  <c r="Y2179" i="3" s="1"/>
  <c r="Z2179" i="3" s="1"/>
  <c r="U2227" i="3"/>
  <c r="Y2227" i="3" s="1"/>
  <c r="Z2227" i="3" s="1"/>
  <c r="U2252" i="3"/>
  <c r="Y2252" i="3" s="1"/>
  <c r="Z2252" i="3" s="1"/>
  <c r="U2261" i="3"/>
  <c r="Y2261" i="3" s="1"/>
  <c r="Z2261" i="3" s="1"/>
  <c r="U2265" i="3"/>
  <c r="Y2265" i="3" s="1"/>
  <c r="Z2265" i="3" s="1"/>
  <c r="U2282" i="3"/>
  <c r="Y2282" i="3" s="1"/>
  <c r="Z2282" i="3" s="1"/>
  <c r="U2296" i="3"/>
  <c r="Y2296" i="3" s="1"/>
  <c r="Z2296" i="3" s="1"/>
  <c r="U2303" i="3"/>
  <c r="Y2303" i="3" s="1"/>
  <c r="Z2303" i="3" s="1"/>
  <c r="U2320" i="3"/>
  <c r="Y2320" i="3" s="1"/>
  <c r="Z2320" i="3" s="1"/>
  <c r="U2323" i="3"/>
  <c r="Y2323" i="3" s="1"/>
  <c r="Z2323" i="3" s="1"/>
  <c r="U2360" i="3"/>
  <c r="Y2360" i="3" s="1"/>
  <c r="Z2360" i="3" s="1"/>
  <c r="U2393" i="3"/>
  <c r="Y2393" i="3" s="1"/>
  <c r="Z2393" i="3" s="1"/>
  <c r="U2420" i="3"/>
  <c r="Y2420" i="3" s="1"/>
  <c r="Z2420" i="3" s="1"/>
  <c r="U2426" i="3"/>
  <c r="Y2426" i="3" s="1"/>
  <c r="Z2426" i="3" s="1"/>
  <c r="U2461" i="3"/>
  <c r="Y2461" i="3" s="1"/>
  <c r="Z2461" i="3" s="1"/>
  <c r="U2546" i="3"/>
  <c r="Y2546" i="3" s="1"/>
  <c r="Z2546" i="3" s="1"/>
  <c r="U2573" i="3"/>
  <c r="Y2573" i="3" s="1"/>
  <c r="Z2573" i="3" s="1"/>
  <c r="U2644" i="3"/>
  <c r="Y2644" i="3" s="1"/>
  <c r="Z2644" i="3" s="1"/>
  <c r="U2653" i="3"/>
  <c r="Y2653" i="3" s="1"/>
  <c r="Z2653" i="3" s="1"/>
  <c r="U2680" i="3"/>
  <c r="Y2680" i="3" s="1"/>
  <c r="Z2680" i="3" s="1"/>
  <c r="U2687" i="3"/>
  <c r="Y2687" i="3" s="1"/>
  <c r="Z2687" i="3" s="1"/>
  <c r="U2721" i="3"/>
  <c r="Y2721" i="3" s="1"/>
  <c r="Z2721" i="3" s="1"/>
  <c r="U2722" i="3"/>
  <c r="Y2722" i="3" s="1"/>
  <c r="Z2722" i="3" s="1"/>
  <c r="U2727" i="3"/>
  <c r="Y2727" i="3" s="1"/>
  <c r="Z2727" i="3" s="1"/>
  <c r="U2730" i="3"/>
  <c r="Y2730" i="3" s="1"/>
  <c r="Z2730" i="3" s="1"/>
  <c r="U2798" i="3"/>
  <c r="Y2798" i="3" s="1"/>
  <c r="Z2798" i="3" s="1"/>
  <c r="U2813" i="3"/>
  <c r="Y2813" i="3" s="1"/>
  <c r="Z2813" i="3" s="1"/>
  <c r="U2816" i="3"/>
  <c r="Y2816" i="3" s="1"/>
  <c r="Z2816" i="3" s="1"/>
  <c r="U2831" i="3"/>
  <c r="Y2831" i="3" s="1"/>
  <c r="Z2831" i="3" s="1"/>
  <c r="U2948" i="3"/>
  <c r="Y2948" i="3" s="1"/>
  <c r="Z2948" i="3" s="1"/>
  <c r="U2974" i="3"/>
  <c r="Y2974" i="3" s="1"/>
  <c r="Z2974" i="3" s="1"/>
  <c r="U3072" i="3"/>
  <c r="Y3072" i="3" s="1"/>
  <c r="Z3072" i="3" s="1"/>
  <c r="U3105" i="3"/>
  <c r="Y3105" i="3" s="1"/>
  <c r="Z3105" i="3" s="1"/>
  <c r="U3121" i="3"/>
  <c r="Y3121" i="3" s="1"/>
  <c r="Z3121" i="3" s="1"/>
  <c r="U3124" i="3"/>
  <c r="Y3124" i="3" s="1"/>
  <c r="Z3124" i="3" s="1"/>
  <c r="U3140" i="3"/>
  <c r="U3193" i="3"/>
  <c r="Y3193" i="3" s="1"/>
  <c r="Z3193" i="3" s="1"/>
  <c r="U3247" i="3"/>
  <c r="Y3247" i="3" s="1"/>
  <c r="Z3247" i="3" s="1"/>
  <c r="U3380" i="3"/>
  <c r="Y3380" i="3" s="1"/>
  <c r="Z3380" i="3" s="1"/>
  <c r="U3404" i="3"/>
  <c r="Y3404" i="3" s="1"/>
  <c r="Z3404" i="3" s="1"/>
  <c r="U3416" i="3"/>
  <c r="Y3416" i="3" s="1"/>
  <c r="Z3416" i="3" s="1"/>
  <c r="U3438" i="3"/>
  <c r="Y3438" i="3" s="1"/>
  <c r="Z3438" i="3" s="1"/>
  <c r="U3480" i="3"/>
  <c r="Y3480" i="3" s="1"/>
  <c r="Z3480" i="3" s="1"/>
  <c r="U3490" i="3"/>
  <c r="Y3490" i="3" s="1"/>
  <c r="Z3490" i="3" s="1"/>
  <c r="U3533" i="3"/>
  <c r="Y3533" i="3" s="1"/>
  <c r="Z3533" i="3" s="1"/>
  <c r="U3535" i="3"/>
  <c r="Y3535" i="3" s="1"/>
  <c r="Z3535" i="3" s="1"/>
  <c r="U3604" i="3"/>
  <c r="Y3604" i="3" s="1"/>
  <c r="Z3604" i="3" s="1"/>
  <c r="U3620" i="3"/>
  <c r="Y3620" i="3" s="1"/>
  <c r="Z3620" i="3" s="1"/>
  <c r="U3667" i="3"/>
  <c r="Y3667" i="3" s="1"/>
  <c r="Z3667" i="3" s="1"/>
  <c r="U3684" i="3"/>
  <c r="Y3684" i="3" s="1"/>
  <c r="Z3684" i="3" s="1"/>
  <c r="U3739" i="3"/>
  <c r="Y3739" i="3" s="1"/>
  <c r="Z3739" i="3" s="1"/>
  <c r="U3742" i="3"/>
  <c r="Y3742" i="3" s="1"/>
  <c r="Z3742" i="3" s="1"/>
  <c r="U3755" i="3"/>
  <c r="Y3755" i="3" s="1"/>
  <c r="Z3755" i="3" s="1"/>
  <c r="U3769" i="3"/>
  <c r="Y3769" i="3" s="1"/>
  <c r="Z3769" i="3" s="1"/>
  <c r="U3802" i="3"/>
  <c r="Y3802" i="3" s="1"/>
  <c r="Z3802" i="3" s="1"/>
  <c r="U3806" i="3"/>
  <c r="Y3806" i="3" s="1"/>
  <c r="Z3806" i="3" s="1"/>
  <c r="U3810" i="3"/>
  <c r="Y3810" i="3" s="1"/>
  <c r="Z3810" i="3" s="1"/>
  <c r="Y64" i="3"/>
  <c r="Z64" i="3" s="1"/>
  <c r="B61" i="7" l="1"/>
  <c r="D61" i="7" s="1"/>
  <c r="B63" i="7"/>
  <c r="C62" i="7"/>
  <c r="Y3342" i="3"/>
  <c r="Z3342" i="3" s="1"/>
  <c r="C59" i="7"/>
  <c r="Y3773" i="3"/>
  <c r="Z3773" i="3" s="1"/>
  <c r="C61" i="7"/>
  <c r="Y4635" i="3"/>
  <c r="Z4635" i="3" s="1"/>
  <c r="C64" i="7"/>
  <c r="Y3537" i="3"/>
  <c r="Z3537" i="3" s="1"/>
  <c r="C60" i="7"/>
  <c r="E15" i="7"/>
  <c r="E17" i="7"/>
  <c r="Q10" i="13" s="1"/>
  <c r="E21" i="7"/>
  <c r="E19" i="7"/>
  <c r="W10" i="13" s="1"/>
  <c r="D183" i="7"/>
  <c r="F184" i="7"/>
  <c r="H170" i="7"/>
  <c r="J165" i="7"/>
  <c r="K97" i="7"/>
  <c r="M105" i="13" s="1"/>
  <c r="M96" i="7"/>
  <c r="O104" i="13" s="1"/>
  <c r="I96" i="7"/>
  <c r="K104" i="13" s="1"/>
  <c r="B102" i="7"/>
  <c r="D110" i="13" s="1"/>
  <c r="M102" i="7"/>
  <c r="O110" i="13" s="1"/>
  <c r="G102" i="7"/>
  <c r="I110" i="13" s="1"/>
  <c r="I101" i="7"/>
  <c r="K109" i="13" s="1"/>
  <c r="I100" i="7"/>
  <c r="K108" i="13" s="1"/>
  <c r="H99" i="7"/>
  <c r="J107" i="13" s="1"/>
  <c r="L99" i="7"/>
  <c r="N107" i="13" s="1"/>
  <c r="I98" i="7"/>
  <c r="K106" i="13" s="1"/>
  <c r="L100" i="7"/>
  <c r="N108" i="13" s="1"/>
  <c r="G101" i="7"/>
  <c r="I109" i="13" s="1"/>
  <c r="L101" i="7"/>
  <c r="N109" i="13" s="1"/>
  <c r="H102" i="7"/>
  <c r="J110" i="13" s="1"/>
  <c r="B97" i="7"/>
  <c r="D105" i="13" s="1"/>
  <c r="F182" i="7"/>
  <c r="J96" i="7"/>
  <c r="L104" i="13" s="1"/>
  <c r="J97" i="7"/>
  <c r="L105" i="13" s="1"/>
  <c r="F162" i="7"/>
  <c r="G169" i="7"/>
  <c r="H171" i="7"/>
  <c r="B110" i="7"/>
  <c r="F177" i="7"/>
  <c r="J163" i="7"/>
  <c r="I163" i="7" s="1"/>
  <c r="I165" i="7"/>
  <c r="G171" i="7"/>
  <c r="G175" i="7"/>
  <c r="J179" i="7"/>
  <c r="G184" i="7"/>
  <c r="C109" i="7"/>
  <c r="H159" i="7"/>
  <c r="J162" i="7"/>
  <c r="I162" i="7" s="1"/>
  <c r="G165" i="7"/>
  <c r="J186" i="7"/>
  <c r="F172" i="7"/>
  <c r="J178" i="7"/>
  <c r="I178" i="7" s="1"/>
  <c r="J184" i="7"/>
  <c r="I184" i="7" s="1"/>
  <c r="F166" i="7"/>
  <c r="D110" i="7"/>
  <c r="H161" i="7"/>
  <c r="G167" i="7"/>
  <c r="G164" i="7"/>
  <c r="J167" i="7"/>
  <c r="I167" i="7" s="1"/>
  <c r="H173" i="7"/>
  <c r="F160" i="7"/>
  <c r="J180" i="7"/>
  <c r="I180" i="7" s="1"/>
  <c r="B113" i="7"/>
  <c r="D113" i="7" s="1"/>
  <c r="B109" i="7"/>
  <c r="D109" i="7" s="1"/>
  <c r="F161" i="7"/>
  <c r="B91" i="7"/>
  <c r="E92" i="7"/>
  <c r="H183" i="7"/>
  <c r="E81" i="7"/>
  <c r="F81" i="7" s="1"/>
  <c r="U105" i="13" s="1"/>
  <c r="F176" i="7"/>
  <c r="I83" i="7"/>
  <c r="W107" i="13" s="1"/>
  <c r="E80" i="7"/>
  <c r="F80" i="7" s="1"/>
  <c r="U104" i="13" s="1"/>
  <c r="G75" i="7"/>
  <c r="E74" i="7"/>
  <c r="F74" i="7" s="1"/>
  <c r="F180" i="7"/>
  <c r="G174" i="7"/>
  <c r="J161" i="7"/>
  <c r="F168" i="7"/>
  <c r="H177" i="7"/>
  <c r="F170" i="7"/>
  <c r="B107" i="7"/>
  <c r="D107" i="7" s="1"/>
  <c r="G159" i="7"/>
  <c r="C110" i="7"/>
  <c r="G186" i="7"/>
  <c r="G179" i="7"/>
  <c r="H164" i="7"/>
  <c r="B101" i="7"/>
  <c r="D109" i="13" s="1"/>
  <c r="I97" i="7"/>
  <c r="K105" i="13" s="1"/>
  <c r="M100" i="7"/>
  <c r="O108" i="13" s="1"/>
  <c r="H96" i="7"/>
  <c r="J104" i="13" s="1"/>
  <c r="C96" i="7"/>
  <c r="E104" i="13" s="1"/>
  <c r="L102" i="7"/>
  <c r="N110" i="13" s="1"/>
  <c r="K101" i="7"/>
  <c r="M109" i="13" s="1"/>
  <c r="J100" i="7"/>
  <c r="L108" i="13" s="1"/>
  <c r="G98" i="7"/>
  <c r="I106" i="13" s="1"/>
  <c r="M98" i="7"/>
  <c r="O106" i="13" s="1"/>
  <c r="G99" i="7"/>
  <c r="I107" i="13" s="1"/>
  <c r="M99" i="7"/>
  <c r="O107" i="13" s="1"/>
  <c r="H100" i="7"/>
  <c r="J108" i="13" s="1"/>
  <c r="C100" i="7"/>
  <c r="E108" i="13" s="1"/>
  <c r="H101" i="7"/>
  <c r="J109" i="13" s="1"/>
  <c r="M101" i="7"/>
  <c r="O109" i="13" s="1"/>
  <c r="I102" i="7"/>
  <c r="K110" i="13" s="1"/>
  <c r="B98" i="7"/>
  <c r="D106" i="13" s="1"/>
  <c r="F173" i="7"/>
  <c r="G96" i="7"/>
  <c r="I104" i="13" s="1"/>
  <c r="E90" i="7"/>
  <c r="K96" i="7"/>
  <c r="M104" i="13" s="1"/>
  <c r="J99" i="7"/>
  <c r="L107" i="13" s="1"/>
  <c r="L97" i="7"/>
  <c r="N105" i="13" s="1"/>
  <c r="G161" i="7"/>
  <c r="H167" i="7"/>
  <c r="J177" i="7"/>
  <c r="I177" i="7" s="1"/>
  <c r="H181" i="7"/>
  <c r="J187" i="7"/>
  <c r="I187" i="7" s="1"/>
  <c r="K98" i="7"/>
  <c r="M106" i="13" s="1"/>
  <c r="J173" i="7"/>
  <c r="I173" i="7" s="1"/>
  <c r="F174" i="7"/>
  <c r="F165" i="7"/>
  <c r="C183" i="7"/>
  <c r="F186" i="7"/>
  <c r="B111" i="7"/>
  <c r="D111" i="7" s="1"/>
  <c r="C117" i="7"/>
  <c r="B112" i="7"/>
  <c r="D112" i="7" s="1"/>
  <c r="G162" i="7"/>
  <c r="H168" i="7"/>
  <c r="F169" i="7"/>
  <c r="G176" i="7"/>
  <c r="G181" i="7"/>
  <c r="J158" i="7"/>
  <c r="C107" i="7"/>
  <c r="C118" i="7"/>
  <c r="H178" i="7"/>
  <c r="C111" i="7"/>
  <c r="F90" i="7"/>
  <c r="F91" i="7"/>
  <c r="B90" i="7"/>
  <c r="C90" i="7"/>
  <c r="D91" i="7"/>
  <c r="C92" i="7"/>
  <c r="D89" i="7"/>
  <c r="I81" i="7"/>
  <c r="W105" i="13" s="1"/>
  <c r="G83" i="7"/>
  <c r="V107" i="13" s="1"/>
  <c r="G80" i="7"/>
  <c r="V104" i="13" s="1"/>
  <c r="G73" i="7"/>
  <c r="E70" i="7"/>
  <c r="F70" i="7" s="1"/>
  <c r="E69" i="7"/>
  <c r="F69" i="7" s="1"/>
  <c r="G182" i="7"/>
  <c r="G166" i="7"/>
  <c r="G172" i="7"/>
  <c r="F175" i="7"/>
  <c r="F181" i="7"/>
  <c r="H158" i="7"/>
  <c r="B108" i="7"/>
  <c r="D108" i="7" s="1"/>
  <c r="B106" i="7"/>
  <c r="D106" i="7" s="1"/>
  <c r="H176" i="7"/>
  <c r="F167" i="7"/>
  <c r="J171" i="7"/>
  <c r="I171" i="7" s="1"/>
  <c r="F159" i="7"/>
  <c r="H187" i="7"/>
  <c r="E72" i="7"/>
  <c r="F72" i="7" s="1"/>
  <c r="G72" i="7"/>
  <c r="I80" i="7"/>
  <c r="W104" i="13" s="1"/>
  <c r="I82" i="7"/>
  <c r="W106" i="13" s="1"/>
  <c r="J175" i="7"/>
  <c r="I175" i="7" s="1"/>
  <c r="C106" i="7"/>
  <c r="G187" i="7"/>
  <c r="J181" i="7"/>
  <c r="I181" i="7" s="1"/>
  <c r="J176" i="7"/>
  <c r="I176" i="7" s="1"/>
  <c r="G158" i="7"/>
  <c r="G173" i="7"/>
  <c r="H169" i="7"/>
  <c r="J98" i="7"/>
  <c r="L106" i="13" s="1"/>
  <c r="H160" i="7"/>
  <c r="K99" i="7"/>
  <c r="M107" i="13" s="1"/>
  <c r="K100" i="7"/>
  <c r="M108" i="13" s="1"/>
  <c r="F101" i="7"/>
  <c r="H109" i="13" s="1"/>
  <c r="C102" i="7"/>
  <c r="E110" i="13" s="1"/>
  <c r="J102" i="7"/>
  <c r="L110" i="13" s="1"/>
  <c r="B117" i="7"/>
  <c r="D117" i="7" s="1"/>
  <c r="H97" i="7"/>
  <c r="J105" i="13" s="1"/>
  <c r="G183" i="7"/>
  <c r="G160" i="7"/>
  <c r="J168" i="7"/>
  <c r="H98" i="7"/>
  <c r="J106" i="13" s="1"/>
  <c r="L98" i="7"/>
  <c r="N106" i="13" s="1"/>
  <c r="I99" i="7"/>
  <c r="K107" i="13" s="1"/>
  <c r="G100" i="7"/>
  <c r="I108" i="13" s="1"/>
  <c r="C101" i="7"/>
  <c r="E109" i="13" s="1"/>
  <c r="J101" i="7"/>
  <c r="L109" i="13" s="1"/>
  <c r="K102" i="7"/>
  <c r="M110" i="13" s="1"/>
  <c r="B100" i="7"/>
  <c r="D108" i="13" s="1"/>
  <c r="L96" i="7"/>
  <c r="N104" i="13" s="1"/>
  <c r="G97" i="7"/>
  <c r="I105" i="13" s="1"/>
  <c r="M97" i="7"/>
  <c r="O105" i="13" s="1"/>
  <c r="H163" i="7"/>
  <c r="G178" i="7"/>
  <c r="H185" i="7"/>
  <c r="H175" i="7"/>
  <c r="H180" i="7"/>
  <c r="G185" i="7"/>
  <c r="B116" i="7"/>
  <c r="D116" i="7" s="1"/>
  <c r="J159" i="7"/>
  <c r="I159" i="7" s="1"/>
  <c r="H166" i="7"/>
  <c r="H174" i="7"/>
  <c r="F179" i="7"/>
  <c r="D92" i="7"/>
  <c r="E89" i="7"/>
  <c r="E82" i="7"/>
  <c r="F82" i="7" s="1"/>
  <c r="U106" i="13" s="1"/>
  <c r="G84" i="7"/>
  <c r="V108" i="13" s="1"/>
  <c r="G70" i="7"/>
  <c r="G69" i="7"/>
  <c r="B92" i="7"/>
  <c r="F178" i="7"/>
  <c r="H162" i="7"/>
  <c r="F171" i="7"/>
  <c r="H179" i="7"/>
  <c r="J185" i="7"/>
  <c r="J169" i="7"/>
  <c r="I169" i="7" s="1"/>
  <c r="G163" i="7"/>
  <c r="E71" i="7"/>
  <c r="F71" i="7" s="1"/>
  <c r="G71" i="7"/>
  <c r="I84" i="7"/>
  <c r="W108" i="13" s="1"/>
  <c r="E83" i="7"/>
  <c r="F83" i="7" s="1"/>
  <c r="U107" i="13" s="1"/>
  <c r="G81" i="7"/>
  <c r="V105" i="13" s="1"/>
  <c r="C89" i="7"/>
  <c r="E91" i="7"/>
  <c r="D90" i="7"/>
  <c r="F92" i="7"/>
  <c r="F89" i="7"/>
  <c r="C108" i="7"/>
  <c r="F187" i="7"/>
  <c r="G177" i="7"/>
  <c r="F185" i="7"/>
  <c r="G168" i="7"/>
  <c r="J160" i="7"/>
  <c r="C112" i="7"/>
  <c r="F183" i="7"/>
  <c r="J170" i="7"/>
  <c r="I170" i="7" s="1"/>
  <c r="F164" i="7"/>
  <c r="E73" i="7"/>
  <c r="F73" i="7" s="1"/>
  <c r="G74" i="7"/>
  <c r="E84" i="7"/>
  <c r="F84" i="7" s="1"/>
  <c r="U108" i="13" s="1"/>
  <c r="G82" i="7"/>
  <c r="V106" i="13" s="1"/>
  <c r="B89" i="7"/>
  <c r="C91" i="7"/>
  <c r="J182" i="7"/>
  <c r="I182" i="7" s="1"/>
  <c r="J183" i="7"/>
  <c r="I183" i="7" s="1"/>
  <c r="J174" i="7"/>
  <c r="I174" i="7" s="1"/>
  <c r="F163" i="7"/>
  <c r="H182" i="7"/>
  <c r="J172" i="7"/>
  <c r="I172" i="7" s="1"/>
  <c r="J166" i="7"/>
  <c r="I166" i="7" s="1"/>
  <c r="I160" i="7"/>
  <c r="C113" i="7"/>
  <c r="C116" i="7"/>
  <c r="B118" i="7"/>
  <c r="D118" i="7" s="1"/>
  <c r="F158" i="7"/>
  <c r="H184" i="7"/>
  <c r="G170" i="7"/>
  <c r="J164" i="7"/>
  <c r="H186" i="7"/>
  <c r="G180" i="7"/>
  <c r="M180" i="7" s="1"/>
  <c r="H172" i="7"/>
  <c r="H165" i="7"/>
  <c r="E75" i="7"/>
  <c r="F75" i="7" s="1"/>
  <c r="C18" i="7"/>
  <c r="E14" i="7"/>
  <c r="K10" i="13" s="1"/>
  <c r="Z24" i="3"/>
  <c r="Z95" i="3"/>
  <c r="Z7" i="3"/>
  <c r="Z10" i="3"/>
  <c r="Z57" i="3"/>
  <c r="Z81" i="3"/>
  <c r="Z48" i="3"/>
  <c r="Y324" i="3"/>
  <c r="D96" i="7"/>
  <c r="F104" i="13" s="1"/>
  <c r="C162" i="7"/>
  <c r="K162" i="7" s="1"/>
  <c r="B82" i="7"/>
  <c r="R106" i="13" s="1"/>
  <c r="Y330" i="3"/>
  <c r="D142" i="7"/>
  <c r="C172" i="7"/>
  <c r="K172" i="7" s="1"/>
  <c r="Y338" i="3"/>
  <c r="Y461" i="3"/>
  <c r="E99" i="7"/>
  <c r="G107" i="13" s="1"/>
  <c r="D101" i="7"/>
  <c r="F109" i="13" s="1"/>
  <c r="Y310" i="3"/>
  <c r="C182" i="7"/>
  <c r="K182" i="7" s="1"/>
  <c r="B74" i="7"/>
  <c r="C161" i="7"/>
  <c r="K161" i="7" s="1"/>
  <c r="Y361" i="3"/>
  <c r="Y463" i="3"/>
  <c r="C159" i="7"/>
  <c r="K159" i="7" s="1"/>
  <c r="Y371" i="3"/>
  <c r="C167" i="7"/>
  <c r="K167" i="7" s="1"/>
  <c r="Y327" i="3"/>
  <c r="Z327" i="3" s="1"/>
  <c r="C173" i="7"/>
  <c r="K173" i="7" s="1"/>
  <c r="C170" i="7"/>
  <c r="K170" i="7" s="1"/>
  <c r="Y342" i="3"/>
  <c r="Y349" i="3"/>
  <c r="C178" i="7"/>
  <c r="K178" i="7" s="1"/>
  <c r="D123" i="7"/>
  <c r="B73" i="7"/>
  <c r="D100" i="7"/>
  <c r="F108" i="13" s="1"/>
  <c r="F100" i="7"/>
  <c r="H108" i="13" s="1"/>
  <c r="Y580" i="3"/>
  <c r="Z580" i="3" s="1"/>
  <c r="Y329" i="3"/>
  <c r="D138" i="7"/>
  <c r="Y354" i="3"/>
  <c r="C171" i="7"/>
  <c r="K171" i="7" s="1"/>
  <c r="Y430" i="3"/>
  <c r="D140" i="7"/>
  <c r="C185" i="7"/>
  <c r="K185" i="7" s="1"/>
  <c r="Y460" i="3"/>
  <c r="D130" i="7"/>
  <c r="Y464" i="3"/>
  <c r="Y586" i="3"/>
  <c r="Z586" i="3" s="1"/>
  <c r="F96" i="7"/>
  <c r="H104" i="13" s="1"/>
  <c r="Y322" i="3"/>
  <c r="C181" i="7"/>
  <c r="K181" i="7" s="1"/>
  <c r="D132" i="7"/>
  <c r="Y436" i="3"/>
  <c r="E100" i="7"/>
  <c r="G108" i="13" s="1"/>
  <c r="D143" i="7"/>
  <c r="B57" i="7"/>
  <c r="F98" i="7"/>
  <c r="H106" i="13" s="1"/>
  <c r="Y578" i="3"/>
  <c r="Z578" i="3" s="1"/>
  <c r="B60" i="7"/>
  <c r="D60" i="7" s="1"/>
  <c r="Y1057" i="3"/>
  <c r="D97" i="7"/>
  <c r="F105" i="13" s="1"/>
  <c r="Y364" i="3"/>
  <c r="Z364" i="3" s="1"/>
  <c r="Y451" i="3"/>
  <c r="Z451" i="3" s="1"/>
  <c r="E97" i="7"/>
  <c r="G105" i="13" s="1"/>
  <c r="C176" i="7"/>
  <c r="K176" i="7" s="1"/>
  <c r="Y399" i="3"/>
  <c r="Y443" i="3"/>
  <c r="Z443" i="3" s="1"/>
  <c r="D139" i="7"/>
  <c r="F102" i="7"/>
  <c r="H110" i="13" s="1"/>
  <c r="Y582" i="3"/>
  <c r="Z582" i="3" s="1"/>
  <c r="Y339" i="3"/>
  <c r="D122" i="7"/>
  <c r="Y376" i="3"/>
  <c r="C166" i="7"/>
  <c r="K166" i="7" s="1"/>
  <c r="Y446" i="3"/>
  <c r="Z446" i="3" s="1"/>
  <c r="E96" i="7"/>
  <c r="G104" i="13" s="1"/>
  <c r="Y592" i="3"/>
  <c r="D135" i="7"/>
  <c r="F97" i="7"/>
  <c r="H105" i="13" s="1"/>
  <c r="D141" i="7"/>
  <c r="Y348" i="3"/>
  <c r="Z348" i="3" s="1"/>
  <c r="D129" i="7"/>
  <c r="Y365" i="3"/>
  <c r="C187" i="7"/>
  <c r="K187" i="7" s="1"/>
  <c r="Y378" i="3"/>
  <c r="C177" i="7"/>
  <c r="K177" i="7" s="1"/>
  <c r="Y427" i="3"/>
  <c r="E98" i="7"/>
  <c r="G106" i="13" s="1"/>
  <c r="Y434" i="3"/>
  <c r="Z434" i="3" s="1"/>
  <c r="B56" i="7"/>
  <c r="C54" i="7"/>
  <c r="Y2351" i="3"/>
  <c r="Z2351" i="3" s="1"/>
  <c r="B75" i="7"/>
  <c r="Y325" i="3"/>
  <c r="Z325" i="3" s="1"/>
  <c r="D102" i="7"/>
  <c r="F110" i="13" s="1"/>
  <c r="C184" i="7"/>
  <c r="K184" i="7" s="1"/>
  <c r="Y1910" i="3"/>
  <c r="B64" i="7"/>
  <c r="D64" i="7" s="1"/>
  <c r="Y368" i="3"/>
  <c r="C186" i="7"/>
  <c r="K186" i="7" s="1"/>
  <c r="B59" i="7"/>
  <c r="D59" i="7" s="1"/>
  <c r="Y890" i="3"/>
  <c r="Z890" i="3" s="1"/>
  <c r="C53" i="7"/>
  <c r="Y2128" i="3"/>
  <c r="Y2788" i="3"/>
  <c r="Z2788" i="3" s="1"/>
  <c r="C56" i="7"/>
  <c r="D126" i="7"/>
  <c r="Y332" i="3"/>
  <c r="C180" i="7"/>
  <c r="K180" i="7" s="1"/>
  <c r="E101" i="7"/>
  <c r="G109" i="13" s="1"/>
  <c r="Y489" i="3"/>
  <c r="B58" i="7"/>
  <c r="Y738" i="3"/>
  <c r="Z738" i="3" s="1"/>
  <c r="C55" i="7"/>
  <c r="Y2528" i="3"/>
  <c r="Z2528" i="3" s="1"/>
  <c r="C57" i="7"/>
  <c r="Y3067" i="3"/>
  <c r="Z3067" i="3" s="1"/>
  <c r="C179" i="7"/>
  <c r="K179" i="7" s="1"/>
  <c r="Y437" i="3"/>
  <c r="C58" i="7"/>
  <c r="Y3149" i="3"/>
  <c r="Z3149" i="3" s="1"/>
  <c r="Y1392" i="3"/>
  <c r="B62" i="7"/>
  <c r="D62" i="7" s="1"/>
  <c r="Y147" i="3"/>
  <c r="B83" i="7"/>
  <c r="R107" i="13" s="1"/>
  <c r="B72" i="7"/>
  <c r="B99" i="7"/>
  <c r="D107" i="13" s="1"/>
  <c r="D144" i="7"/>
  <c r="C174" i="7"/>
  <c r="K174" i="7" s="1"/>
  <c r="B53" i="7"/>
  <c r="Y241" i="3"/>
  <c r="B70" i="7"/>
  <c r="B84" i="7"/>
  <c r="R108" i="13" s="1"/>
  <c r="C163" i="7"/>
  <c r="K163" i="7" s="1"/>
  <c r="D137" i="7"/>
  <c r="C97" i="7"/>
  <c r="E105" i="13" s="1"/>
  <c r="Y377" i="3"/>
  <c r="C165" i="7"/>
  <c r="K165" i="7" s="1"/>
  <c r="Y177" i="3"/>
  <c r="D131" i="7"/>
  <c r="B69" i="7"/>
  <c r="B81" i="7"/>
  <c r="R105" i="13" s="1"/>
  <c r="C160" i="7"/>
  <c r="K160" i="7" s="1"/>
  <c r="B96" i="7"/>
  <c r="D104" i="13" s="1"/>
  <c r="Y233" i="3"/>
  <c r="C98" i="7"/>
  <c r="E106" i="13" s="1"/>
  <c r="B71" i="7"/>
  <c r="B54" i="7"/>
  <c r="D54" i="7" s="1"/>
  <c r="D128" i="7"/>
  <c r="C168" i="7"/>
  <c r="K168" i="7" s="1"/>
  <c r="B80" i="7"/>
  <c r="R104" i="13" s="1"/>
  <c r="Y259" i="3"/>
  <c r="D133" i="7"/>
  <c r="C164" i="7"/>
  <c r="K164" i="7" s="1"/>
  <c r="Y319" i="3"/>
  <c r="Z319" i="3" s="1"/>
  <c r="D99" i="7"/>
  <c r="F107" i="13" s="1"/>
  <c r="Y350" i="3"/>
  <c r="D158" i="7" s="1"/>
  <c r="C158" i="7"/>
  <c r="K158" i="7" s="1"/>
  <c r="D124" i="7"/>
  <c r="Y449" i="3"/>
  <c r="Z449" i="3" s="1"/>
  <c r="E102" i="7"/>
  <c r="G110" i="13" s="1"/>
  <c r="Y516" i="3"/>
  <c r="D134" i="7"/>
  <c r="Y280" i="3"/>
  <c r="D127" i="7"/>
  <c r="C175" i="7"/>
  <c r="K175" i="7" s="1"/>
  <c r="C99" i="7"/>
  <c r="E107" i="13" s="1"/>
  <c r="Y331" i="3"/>
  <c r="D125" i="7"/>
  <c r="D136" i="7"/>
  <c r="D98" i="7"/>
  <c r="F106" i="13" s="1"/>
  <c r="C169" i="7"/>
  <c r="K169" i="7" s="1"/>
  <c r="B55" i="7"/>
  <c r="D55" i="7" s="1"/>
  <c r="Y579" i="3"/>
  <c r="F99" i="7"/>
  <c r="H107" i="13" s="1"/>
  <c r="Y4304" i="3"/>
  <c r="Z4304" i="3" s="1"/>
  <c r="C63" i="7"/>
  <c r="B3" i="13"/>
  <c r="K8" i="13"/>
  <c r="B18" i="7"/>
  <c r="T8" i="13" s="1"/>
  <c r="I30" i="7"/>
  <c r="H30" i="7"/>
  <c r="G30" i="7"/>
  <c r="J30" i="7"/>
  <c r="I31" i="7"/>
  <c r="H31" i="7"/>
  <c r="G31" i="7"/>
  <c r="J31" i="7"/>
  <c r="I32" i="7"/>
  <c r="J32" i="7"/>
  <c r="G32" i="7"/>
  <c r="H32" i="7"/>
  <c r="B33" i="7"/>
  <c r="B37" i="7"/>
  <c r="B35" i="7"/>
  <c r="D18" i="7"/>
  <c r="Y1201" i="3"/>
  <c r="B34" i="7"/>
  <c r="Y1676" i="3"/>
  <c r="B36" i="7"/>
  <c r="B38" i="7"/>
  <c r="D11" i="7"/>
  <c r="Y294" i="3"/>
  <c r="B28" i="7"/>
  <c r="Y885" i="3"/>
  <c r="B32" i="7"/>
  <c r="Y2519" i="3"/>
  <c r="B40" i="7"/>
  <c r="Y2348" i="3"/>
  <c r="Z2348" i="3" s="1"/>
  <c r="B39" i="7"/>
  <c r="Y3350" i="3"/>
  <c r="Z3350" i="3" s="1"/>
  <c r="B44" i="7"/>
  <c r="Y3547" i="3"/>
  <c r="Z3547" i="3" s="1"/>
  <c r="B45" i="7"/>
  <c r="Y189" i="3"/>
  <c r="B27" i="7"/>
  <c r="Y577" i="3"/>
  <c r="B30" i="7"/>
  <c r="Y4634" i="3"/>
  <c r="Z4634" i="3" s="1"/>
  <c r="B49" i="7"/>
  <c r="Z2" i="3"/>
  <c r="Z2996" i="3"/>
  <c r="Z3541" i="3"/>
  <c r="C45" i="7"/>
  <c r="Z3344" i="3"/>
  <c r="C44" i="7"/>
  <c r="Z4032" i="3"/>
  <c r="Z4302" i="3"/>
  <c r="Z3" i="3"/>
  <c r="Z293" i="3"/>
  <c r="Z431" i="3"/>
  <c r="Z1057" i="3"/>
  <c r="C33" i="7"/>
  <c r="Z186" i="3"/>
  <c r="Z2346" i="3"/>
  <c r="C39" i="7"/>
  <c r="Z1910" i="3"/>
  <c r="C37" i="7"/>
  <c r="Z1392" i="3"/>
  <c r="C35" i="7"/>
  <c r="Y16" i="3"/>
  <c r="B26" i="7"/>
  <c r="C11" i="7"/>
  <c r="B11" i="7"/>
  <c r="Y2737" i="3"/>
  <c r="B41" i="7"/>
  <c r="Y2998" i="3"/>
  <c r="B42" i="7"/>
  <c r="Y3796" i="3"/>
  <c r="B46" i="7"/>
  <c r="Y4088" i="3"/>
  <c r="B47" i="7"/>
  <c r="Y4356" i="3"/>
  <c r="B48" i="7"/>
  <c r="Z4658" i="3"/>
  <c r="C49" i="7"/>
  <c r="Y432" i="3"/>
  <c r="B29" i="7"/>
  <c r="Y732" i="3"/>
  <c r="B31" i="7"/>
  <c r="Y3140" i="3"/>
  <c r="B43" i="7"/>
  <c r="C75" i="7" l="1"/>
  <c r="D63" i="7"/>
  <c r="Z463" i="3"/>
  <c r="D159" i="7"/>
  <c r="D178" i="7"/>
  <c r="C73" i="7"/>
  <c r="D73" i="7" s="1"/>
  <c r="Z430" i="3"/>
  <c r="E140" i="7"/>
  <c r="Z339" i="3"/>
  <c r="E122" i="7"/>
  <c r="Z592" i="3"/>
  <c r="E135" i="7"/>
  <c r="Z368" i="3"/>
  <c r="D186" i="7"/>
  <c r="Z2128" i="3"/>
  <c r="C38" i="7"/>
  <c r="D38" i="7" s="1"/>
  <c r="C70" i="7"/>
  <c r="D70" i="7" s="1"/>
  <c r="C84" i="7"/>
  <c r="Z377" i="3"/>
  <c r="D165" i="7"/>
  <c r="E133" i="7"/>
  <c r="C27" i="7"/>
  <c r="D27" i="7" s="1"/>
  <c r="Z579" i="3"/>
  <c r="D174" i="7"/>
  <c r="E174" i="7" s="1"/>
  <c r="N174" i="7" s="1"/>
  <c r="E165" i="7"/>
  <c r="D57" i="7"/>
  <c r="E178" i="7"/>
  <c r="N178" i="7" s="1"/>
  <c r="E158" i="7"/>
  <c r="D56" i="7"/>
  <c r="D84" i="7"/>
  <c r="T108" i="13" s="1"/>
  <c r="E186" i="7"/>
  <c r="N186" i="7" s="1"/>
  <c r="E159" i="7"/>
  <c r="B133" i="13"/>
  <c r="D53" i="7"/>
  <c r="E11" i="7"/>
  <c r="E18" i="7"/>
  <c r="T10" i="13" s="1"/>
  <c r="M165" i="7"/>
  <c r="N165" i="7"/>
  <c r="M184" i="7"/>
  <c r="M177" i="7"/>
  <c r="M187" i="7"/>
  <c r="M173" i="7"/>
  <c r="M175" i="7"/>
  <c r="M181" i="7"/>
  <c r="M159" i="7"/>
  <c r="N159" i="7"/>
  <c r="M169" i="7"/>
  <c r="M170" i="7"/>
  <c r="M174" i="7"/>
  <c r="E142" i="7"/>
  <c r="Z330" i="3"/>
  <c r="M142" i="7"/>
  <c r="K142" i="7"/>
  <c r="G56" i="13"/>
  <c r="D172" i="7"/>
  <c r="E172" i="7" s="1"/>
  <c r="N172" i="7" s="1"/>
  <c r="Z338" i="3"/>
  <c r="D182" i="7"/>
  <c r="E182" i="7" s="1"/>
  <c r="N182" i="7" s="1"/>
  <c r="C74" i="7"/>
  <c r="D74" i="7" s="1"/>
  <c r="Z310" i="3"/>
  <c r="D161" i="7"/>
  <c r="E161" i="7" s="1"/>
  <c r="N161" i="7" s="1"/>
  <c r="Z361" i="3"/>
  <c r="D167" i="7"/>
  <c r="E167" i="7" s="1"/>
  <c r="N167" i="7" s="1"/>
  <c r="Z371" i="3"/>
  <c r="D170" i="7"/>
  <c r="E170" i="7" s="1"/>
  <c r="N170" i="7" s="1"/>
  <c r="Z342" i="3"/>
  <c r="E123" i="7"/>
  <c r="Z349" i="3"/>
  <c r="K123" i="7"/>
  <c r="M123" i="7"/>
  <c r="F52" i="13"/>
  <c r="E138" i="7"/>
  <c r="Z329" i="3"/>
  <c r="M138" i="7"/>
  <c r="K138" i="7"/>
  <c r="F55" i="13"/>
  <c r="D171" i="7"/>
  <c r="E171" i="7" s="1"/>
  <c r="N171" i="7" s="1"/>
  <c r="Z354" i="3"/>
  <c r="M140" i="7"/>
  <c r="K140" i="7"/>
  <c r="E56" i="13"/>
  <c r="D185" i="7"/>
  <c r="E185" i="7" s="1"/>
  <c r="N185" i="7" s="1"/>
  <c r="Z460" i="3"/>
  <c r="M130" i="7"/>
  <c r="K130" i="7"/>
  <c r="I53" i="13"/>
  <c r="E130" i="7"/>
  <c r="Z464" i="3"/>
  <c r="D181" i="7"/>
  <c r="E181" i="7" s="1"/>
  <c r="N181" i="7" s="1"/>
  <c r="E132" i="7"/>
  <c r="Z322" i="3"/>
  <c r="M132" i="7"/>
  <c r="K132" i="7"/>
  <c r="D54" i="13"/>
  <c r="E143" i="7"/>
  <c r="Z436" i="3"/>
  <c r="M143" i="7"/>
  <c r="K143" i="7"/>
  <c r="F57" i="13"/>
  <c r="D176" i="7"/>
  <c r="E176" i="7" s="1"/>
  <c r="N176" i="7" s="1"/>
  <c r="Z399" i="3"/>
  <c r="K139" i="7"/>
  <c r="M139" i="7"/>
  <c r="H55" i="13"/>
  <c r="D166" i="7"/>
  <c r="E166" i="7" s="1"/>
  <c r="N166" i="7" s="1"/>
  <c r="Z376" i="3"/>
  <c r="M135" i="7"/>
  <c r="K135" i="7"/>
  <c r="H54" i="13"/>
  <c r="K141" i="7"/>
  <c r="M141" i="7"/>
  <c r="F56" i="13"/>
  <c r="M129" i="7"/>
  <c r="K129" i="7"/>
  <c r="H53" i="13"/>
  <c r="E129" i="7"/>
  <c r="Z365" i="3"/>
  <c r="D187" i="7"/>
  <c r="E187" i="7" s="1"/>
  <c r="N187" i="7" s="1"/>
  <c r="Z378" i="3"/>
  <c r="D177" i="7"/>
  <c r="E177" i="7" s="1"/>
  <c r="N177" i="7" s="1"/>
  <c r="Z427" i="3"/>
  <c r="M126" i="7"/>
  <c r="K126" i="7"/>
  <c r="E53" i="13"/>
  <c r="E126" i="7"/>
  <c r="Z332" i="3"/>
  <c r="D180" i="7"/>
  <c r="E180" i="7" s="1"/>
  <c r="N180" i="7" s="1"/>
  <c r="Z489" i="3"/>
  <c r="D179" i="7"/>
  <c r="E179" i="7" s="1"/>
  <c r="N179" i="7" s="1"/>
  <c r="Z437" i="3"/>
  <c r="E144" i="7"/>
  <c r="Z147" i="3"/>
  <c r="K144" i="7"/>
  <c r="M144" i="7"/>
  <c r="G57" i="13"/>
  <c r="D163" i="7"/>
  <c r="E163" i="7" s="1"/>
  <c r="N163" i="7" s="1"/>
  <c r="E137" i="7"/>
  <c r="Z241" i="3"/>
  <c r="M137" i="7"/>
  <c r="K137" i="7"/>
  <c r="E55" i="13"/>
  <c r="C81" i="7"/>
  <c r="D81" i="7" s="1"/>
  <c r="T105" i="13" s="1"/>
  <c r="D160" i="7"/>
  <c r="E160" i="7" s="1"/>
  <c r="N160" i="7" s="1"/>
  <c r="E131" i="7"/>
  <c r="Z177" i="3"/>
  <c r="M131" i="7"/>
  <c r="K131" i="7"/>
  <c r="K53" i="13"/>
  <c r="D168" i="7"/>
  <c r="E168" i="7" s="1"/>
  <c r="N168" i="7" s="1"/>
  <c r="C71" i="7"/>
  <c r="D71" i="7" s="1"/>
  <c r="E128" i="7"/>
  <c r="Z233" i="3"/>
  <c r="M128" i="7"/>
  <c r="K128" i="7"/>
  <c r="G53" i="13"/>
  <c r="D164" i="7"/>
  <c r="E164" i="7" s="1"/>
  <c r="N164" i="7" s="1"/>
  <c r="Z259" i="3"/>
  <c r="M133" i="7"/>
  <c r="K133" i="7"/>
  <c r="F54" i="13"/>
  <c r="E124" i="7"/>
  <c r="Z350" i="3"/>
  <c r="M124" i="7"/>
  <c r="K124" i="7"/>
  <c r="G52" i="13"/>
  <c r="E134" i="7"/>
  <c r="Z516" i="3"/>
  <c r="M134" i="7"/>
  <c r="K134" i="7"/>
  <c r="G54" i="13"/>
  <c r="D175" i="7"/>
  <c r="E175" i="7" s="1"/>
  <c r="N175" i="7" s="1"/>
  <c r="E127" i="7"/>
  <c r="Z280" i="3"/>
  <c r="K127" i="7"/>
  <c r="M127" i="7"/>
  <c r="F53" i="13"/>
  <c r="E125" i="7"/>
  <c r="Z331" i="3"/>
  <c r="K125" i="7"/>
  <c r="M125" i="7"/>
  <c r="H52" i="13"/>
  <c r="M136" i="7"/>
  <c r="K136" i="7"/>
  <c r="I54" i="13"/>
  <c r="M163" i="7"/>
  <c r="M171" i="7"/>
  <c r="M176" i="7"/>
  <c r="M160" i="7"/>
  <c r="M182" i="7"/>
  <c r="M183" i="7"/>
  <c r="M172" i="7"/>
  <c r="M166" i="7"/>
  <c r="M162" i="7"/>
  <c r="M178" i="7"/>
  <c r="D58" i="7"/>
  <c r="M167" i="7"/>
  <c r="M179" i="7"/>
  <c r="I179" i="7"/>
  <c r="M186" i="7"/>
  <c r="I186" i="7"/>
  <c r="M161" i="7"/>
  <c r="I161" i="7"/>
  <c r="K183" i="7"/>
  <c r="E183" i="7"/>
  <c r="N183" i="7" s="1"/>
  <c r="I158" i="7"/>
  <c r="M158" i="7"/>
  <c r="N158" i="7"/>
  <c r="M168" i="7"/>
  <c r="I168" i="7"/>
  <c r="M185" i="7"/>
  <c r="I185" i="7"/>
  <c r="M164" i="7"/>
  <c r="I164" i="7"/>
  <c r="Z324" i="3"/>
  <c r="E136" i="7"/>
  <c r="C82" i="7"/>
  <c r="D82" i="7" s="1"/>
  <c r="T106" i="13" s="1"/>
  <c r="D162" i="7"/>
  <c r="E162" i="7" s="1"/>
  <c r="N162" i="7" s="1"/>
  <c r="C69" i="7"/>
  <c r="D69" i="7" s="1"/>
  <c r="Z461" i="3"/>
  <c r="E141" i="7"/>
  <c r="C80" i="7"/>
  <c r="D80" i="7" s="1"/>
  <c r="T104" i="13" s="1"/>
  <c r="C28" i="7"/>
  <c r="D28" i="7" s="1"/>
  <c r="B150" i="7"/>
  <c r="M122" i="7"/>
  <c r="Z294" i="3"/>
  <c r="D169" i="7"/>
  <c r="E169" i="7" s="1"/>
  <c r="N169" i="7" s="1"/>
  <c r="Z189" i="3"/>
  <c r="D184" i="7"/>
  <c r="E184" i="7" s="1"/>
  <c r="N184" i="7" s="1"/>
  <c r="C83" i="7"/>
  <c r="D83" i="7" s="1"/>
  <c r="T107" i="13" s="1"/>
  <c r="C72" i="7"/>
  <c r="D72" i="7" s="1"/>
  <c r="D173" i="7"/>
  <c r="E173" i="7" s="1"/>
  <c r="N173" i="7" s="1"/>
  <c r="E139" i="7"/>
  <c r="B20" i="7"/>
  <c r="B135" i="13" s="1"/>
  <c r="B8" i="13"/>
  <c r="H81" i="7"/>
  <c r="S105" i="13" s="1"/>
  <c r="H70" i="7"/>
  <c r="H83" i="7"/>
  <c r="S107" i="13" s="1"/>
  <c r="H84" i="7"/>
  <c r="S108" i="13" s="1"/>
  <c r="H74" i="7"/>
  <c r="H73" i="7"/>
  <c r="H82" i="7"/>
  <c r="S106" i="13" s="1"/>
  <c r="H69" i="7"/>
  <c r="H71" i="7"/>
  <c r="H75" i="7"/>
  <c r="H80" i="7"/>
  <c r="S104" i="13" s="1"/>
  <c r="H72" i="7"/>
  <c r="D12" i="7"/>
  <c r="Z16" i="3"/>
  <c r="B12" i="7"/>
  <c r="C26" i="7"/>
  <c r="D26" i="7" s="1"/>
  <c r="C12" i="7"/>
  <c r="Z2998" i="3"/>
  <c r="C42" i="7"/>
  <c r="D42" i="7" s="1"/>
  <c r="Z4088" i="3"/>
  <c r="C47" i="7"/>
  <c r="D47" i="7" s="1"/>
  <c r="Z4356" i="3"/>
  <c r="C48" i="7"/>
  <c r="D48" i="7" s="1"/>
  <c r="Z432" i="3"/>
  <c r="C29" i="7"/>
  <c r="D29" i="7" s="1"/>
  <c r="C34" i="7"/>
  <c r="D34" i="7" s="1"/>
  <c r="Z1201" i="3"/>
  <c r="C36" i="7"/>
  <c r="D36" i="7" s="1"/>
  <c r="Z1676" i="3"/>
  <c r="D20" i="7"/>
  <c r="D16" i="7"/>
  <c r="B10" i="13"/>
  <c r="C32" i="7"/>
  <c r="D32" i="7" s="1"/>
  <c r="Z885" i="3"/>
  <c r="C40" i="7"/>
  <c r="D40" i="7" s="1"/>
  <c r="Z2519" i="3"/>
  <c r="C30" i="7"/>
  <c r="D30" i="7" s="1"/>
  <c r="Z577" i="3"/>
  <c r="C20" i="7"/>
  <c r="C16" i="7"/>
  <c r="E16" i="7" s="1"/>
  <c r="C41" i="7"/>
  <c r="D41" i="7" s="1"/>
  <c r="Z2737" i="3"/>
  <c r="C46" i="7"/>
  <c r="D46" i="7" s="1"/>
  <c r="Z3796" i="3"/>
  <c r="C31" i="7"/>
  <c r="D31" i="7" s="1"/>
  <c r="Z732" i="3"/>
  <c r="C43" i="7"/>
  <c r="D43" i="7" s="1"/>
  <c r="Z3140" i="3"/>
  <c r="B16" i="7"/>
  <c r="N8" i="13" s="1"/>
  <c r="F46" i="7"/>
  <c r="D75" i="7"/>
  <c r="F47" i="7"/>
  <c r="F30" i="7"/>
  <c r="F32" i="7"/>
  <c r="D35" i="7"/>
  <c r="F35" i="7"/>
  <c r="F41" i="7"/>
  <c r="F31" i="7"/>
  <c r="F34" i="7"/>
  <c r="F36" i="7"/>
  <c r="F38" i="7"/>
  <c r="F43" i="7"/>
  <c r="F48" i="7"/>
  <c r="D49" i="7"/>
  <c r="F49" i="7"/>
  <c r="D33" i="7"/>
  <c r="F33" i="7"/>
  <c r="D37" i="7"/>
  <c r="F37" i="7"/>
  <c r="D39" i="7"/>
  <c r="F39" i="7"/>
  <c r="D44" i="7"/>
  <c r="F44" i="7"/>
  <c r="F40" i="7"/>
  <c r="F42" i="7"/>
  <c r="D45" i="7"/>
  <c r="F45" i="7"/>
  <c r="F26" i="7"/>
  <c r="K122" i="7"/>
  <c r="F27" i="7"/>
  <c r="F28" i="7"/>
  <c r="F29" i="7"/>
  <c r="N99" i="7"/>
  <c r="N97" i="7"/>
  <c r="N101" i="7"/>
  <c r="N96" i="7"/>
  <c r="N100" i="7"/>
  <c r="N98" i="7"/>
  <c r="N102" i="7"/>
  <c r="L183" i="7" l="1"/>
  <c r="L162" i="7"/>
  <c r="L172" i="7"/>
  <c r="L185" i="7"/>
  <c r="L176" i="7"/>
  <c r="L187" i="7"/>
  <c r="L177" i="7"/>
  <c r="L179" i="7"/>
  <c r="L174" i="7"/>
  <c r="L165" i="7"/>
  <c r="L160" i="7"/>
  <c r="L168" i="7"/>
  <c r="L171" i="7"/>
  <c r="L166" i="7"/>
  <c r="L163" i="7"/>
  <c r="L164" i="7"/>
  <c r="L186" i="7"/>
  <c r="L161" i="7"/>
  <c r="L173" i="7"/>
  <c r="L169" i="7"/>
  <c r="L167" i="7"/>
  <c r="L159" i="7"/>
  <c r="L184" i="7"/>
  <c r="L182" i="7"/>
  <c r="L180" i="7"/>
  <c r="L170" i="7"/>
  <c r="L178" i="7"/>
  <c r="L175" i="7"/>
  <c r="L158" i="7"/>
  <c r="L181" i="7"/>
  <c r="B191" i="7" a="1"/>
  <c r="B191" i="7" s="1"/>
  <c r="B190" i="7" a="1"/>
  <c r="B190" i="7" s="1"/>
  <c r="C58" i="13"/>
  <c r="G51" i="13"/>
  <c r="E12" i="7"/>
  <c r="E10" i="13" s="1"/>
  <c r="C13" i="7"/>
  <c r="M58" i="13"/>
  <c r="B132" i="13"/>
  <c r="E20" i="7"/>
  <c r="B13" i="7"/>
  <c r="E8" i="13"/>
  <c r="D13" i="7"/>
  <c r="N10" i="13"/>
  <c r="E13" i="7" l="1"/>
  <c r="H10" i="13"/>
  <c r="H8" i="13"/>
  <c r="B130" i="13"/>
  <c r="E207" i="7"/>
  <c r="D207" i="7"/>
  <c r="K207" i="7" s="1"/>
  <c r="G207" i="7"/>
  <c r="C207" i="7"/>
  <c r="I207" i="7"/>
  <c r="F207" i="7"/>
  <c r="B207" i="7"/>
  <c r="H207" i="7"/>
  <c r="H198" i="7"/>
  <c r="E203" i="7"/>
  <c r="D196" i="7"/>
  <c r="K196" i="7" s="1"/>
  <c r="H201" i="7"/>
  <c r="I199" i="7"/>
  <c r="B203" i="7"/>
  <c r="F200" i="7"/>
  <c r="F198" i="7"/>
  <c r="D195" i="7"/>
  <c r="D199" i="7"/>
  <c r="K199" i="7" s="1"/>
  <c r="G202" i="7"/>
  <c r="D204" i="7"/>
  <c r="K204" i="7" s="1"/>
  <c r="I204" i="7"/>
  <c r="E205" i="7"/>
  <c r="B206" i="7"/>
  <c r="H206" i="7"/>
  <c r="C208" i="7"/>
  <c r="F208" i="7"/>
  <c r="B209" i="7"/>
  <c r="E209" i="7"/>
  <c r="H209" i="7"/>
  <c r="H197" i="7"/>
  <c r="H199" i="7"/>
  <c r="G195" i="7"/>
  <c r="D202" i="7"/>
  <c r="K202" i="7" s="1"/>
  <c r="D198" i="7"/>
  <c r="K198" i="7" s="1"/>
  <c r="F197" i="7"/>
  <c r="G201" i="7"/>
  <c r="D197" i="7"/>
  <c r="K197" i="7" s="1"/>
  <c r="C197" i="7"/>
  <c r="D203" i="7"/>
  <c r="K203" i="7" s="1"/>
  <c r="D200" i="7"/>
  <c r="K200" i="7" s="1"/>
  <c r="H203" i="7"/>
  <c r="F204" i="7"/>
  <c r="G205" i="7"/>
  <c r="E206" i="7"/>
  <c r="H196" i="7"/>
  <c r="C201" i="7"/>
  <c r="E197" i="7"/>
  <c r="H202" i="7"/>
  <c r="I197" i="7"/>
  <c r="F196" i="7"/>
  <c r="B201" i="7"/>
  <c r="I196" i="7"/>
  <c r="C195" i="7"/>
  <c r="C200" i="7"/>
  <c r="G197" i="7"/>
  <c r="I200" i="7"/>
  <c r="I202" i="7"/>
  <c r="E204" i="7"/>
  <c r="F205" i="7"/>
  <c r="D206" i="7"/>
  <c r="K206" i="7" s="1"/>
  <c r="I206" i="7"/>
  <c r="B208" i="7"/>
  <c r="D208" i="7"/>
  <c r="K208" i="7" s="1"/>
  <c r="G208" i="7"/>
  <c r="I208" i="7"/>
  <c r="D209" i="7"/>
  <c r="K209" i="7" s="1"/>
  <c r="G209" i="7"/>
  <c r="H195" i="7"/>
  <c r="E200" i="7"/>
  <c r="E198" i="7"/>
  <c r="E195" i="7"/>
  <c r="F203" i="7"/>
  <c r="H200" i="7"/>
  <c r="F195" i="7"/>
  <c r="C203" i="7"/>
  <c r="C199" i="7"/>
  <c r="G196" i="7"/>
  <c r="D201" i="7"/>
  <c r="K201" i="7" s="1"/>
  <c r="I203" i="7"/>
  <c r="G204" i="7"/>
  <c r="B205" i="7"/>
  <c r="H205" i="7"/>
  <c r="F206" i="7"/>
  <c r="B195" i="7"/>
  <c r="B202" i="7"/>
  <c r="E199" i="7"/>
  <c r="I198" i="7"/>
  <c r="B200" i="7"/>
  <c r="B196" i="7"/>
  <c r="I195" i="7"/>
  <c r="E201" i="7"/>
  <c r="B198" i="7"/>
  <c r="I201" i="7"/>
  <c r="B204" i="7"/>
  <c r="H204" i="7"/>
  <c r="C205" i="7"/>
  <c r="I205" i="7"/>
  <c r="G206" i="7"/>
  <c r="B197" i="7"/>
  <c r="E208" i="7"/>
  <c r="H208" i="7"/>
  <c r="C209" i="7"/>
  <c r="F209" i="7"/>
  <c r="I209" i="7"/>
  <c r="C198" i="7"/>
  <c r="F201" i="7"/>
  <c r="C196" i="7"/>
  <c r="G200" i="7"/>
  <c r="G203" i="7"/>
  <c r="F199" i="7"/>
  <c r="B199" i="7"/>
  <c r="E202" i="7"/>
  <c r="G199" i="7"/>
  <c r="E196" i="7"/>
  <c r="C202" i="7"/>
  <c r="G198" i="7"/>
  <c r="F202" i="7"/>
  <c r="C204" i="7"/>
  <c r="D205" i="7"/>
  <c r="K205" i="7" s="1"/>
  <c r="C206" i="7"/>
  <c r="O207" i="7" l="1"/>
  <c r="M207" i="7"/>
  <c r="L207" i="7"/>
  <c r="N207" i="7"/>
  <c r="P207" i="7"/>
  <c r="L203" i="7"/>
  <c r="O203" i="7"/>
  <c r="M203" i="7"/>
  <c r="P203" i="7"/>
  <c r="N203" i="7"/>
  <c r="O206" i="7"/>
  <c r="AM206" i="7" s="1"/>
  <c r="M206" i="7"/>
  <c r="AK206" i="7" s="1"/>
  <c r="P206" i="7"/>
  <c r="AN206" i="7" s="1"/>
  <c r="N206" i="7"/>
  <c r="AL206" i="7" s="1"/>
  <c r="L206" i="7"/>
  <c r="AJ206" i="7" s="1"/>
  <c r="L209" i="7"/>
  <c r="P209" i="7"/>
  <c r="AN209" i="7" s="1"/>
  <c r="N209" i="7"/>
  <c r="M209" i="7"/>
  <c r="AK209" i="7" s="1"/>
  <c r="O209" i="7"/>
  <c r="AM209" i="7" s="1"/>
  <c r="M201" i="7"/>
  <c r="N201" i="7"/>
  <c r="P201" i="7"/>
  <c r="L201" i="7"/>
  <c r="O201" i="7"/>
  <c r="L208" i="7"/>
  <c r="AJ208" i="7" s="1"/>
  <c r="N208" i="7"/>
  <c r="AL208" i="7" s="1"/>
  <c r="M208" i="7"/>
  <c r="AK208" i="7" s="1"/>
  <c r="P208" i="7"/>
  <c r="AN208" i="7" s="1"/>
  <c r="O208" i="7"/>
  <c r="AM208" i="7" s="1"/>
  <c r="N205" i="7"/>
  <c r="AL205" i="7" s="1"/>
  <c r="P205" i="7"/>
  <c r="AN205" i="7" s="1"/>
  <c r="L205" i="7"/>
  <c r="AJ205" i="7" s="1"/>
  <c r="M205" i="7"/>
  <c r="AK205" i="7" s="1"/>
  <c r="O205" i="7"/>
  <c r="AM205" i="7" s="1"/>
  <c r="B131" i="13"/>
  <c r="O195" i="7"/>
  <c r="N195" i="7"/>
  <c r="P195" i="7"/>
  <c r="L195" i="7"/>
  <c r="M195" i="7"/>
  <c r="O202" i="7"/>
  <c r="AM202" i="7" s="1"/>
  <c r="M202" i="7"/>
  <c r="AK202" i="7" s="1"/>
  <c r="L202" i="7"/>
  <c r="AJ202" i="7" s="1"/>
  <c r="N202" i="7"/>
  <c r="AL202" i="7" s="1"/>
  <c r="P202" i="7"/>
  <c r="AN202" i="7" s="1"/>
  <c r="M200" i="7"/>
  <c r="AK200" i="7" s="1"/>
  <c r="O200" i="7"/>
  <c r="AM200" i="7" s="1"/>
  <c r="L200" i="7"/>
  <c r="AJ200" i="7" s="1"/>
  <c r="P200" i="7"/>
  <c r="AN200" i="7" s="1"/>
  <c r="N200" i="7"/>
  <c r="AL200" i="7" s="1"/>
  <c r="P196" i="7"/>
  <c r="AN196" i="7" s="1"/>
  <c r="N196" i="7"/>
  <c r="AL196" i="7" s="1"/>
  <c r="M196" i="7"/>
  <c r="AK196" i="7" s="1"/>
  <c r="L196" i="7"/>
  <c r="AJ196" i="7" s="1"/>
  <c r="O196" i="7"/>
  <c r="AM196" i="7" s="1"/>
  <c r="M198" i="7"/>
  <c r="AK198" i="7" s="1"/>
  <c r="O198" i="7"/>
  <c r="AM198" i="7" s="1"/>
  <c r="P198" i="7"/>
  <c r="AN198" i="7" s="1"/>
  <c r="N198" i="7"/>
  <c r="AL198" i="7" s="1"/>
  <c r="L198" i="7"/>
  <c r="N204" i="7"/>
  <c r="AL204" i="7" s="1"/>
  <c r="P204" i="7"/>
  <c r="AN204" i="7" s="1"/>
  <c r="O204" i="7"/>
  <c r="AM204" i="7" s="1"/>
  <c r="M204" i="7"/>
  <c r="AK204" i="7" s="1"/>
  <c r="L204" i="7"/>
  <c r="AJ204" i="7" s="1"/>
  <c r="M197" i="7"/>
  <c r="AK197" i="7" s="1"/>
  <c r="O197" i="7"/>
  <c r="AM197" i="7" s="1"/>
  <c r="P197" i="7"/>
  <c r="AN197" i="7" s="1"/>
  <c r="N197" i="7"/>
  <c r="AL197" i="7" s="1"/>
  <c r="L197" i="7"/>
  <c r="AJ197" i="7" s="1"/>
  <c r="M199" i="7"/>
  <c r="AK199" i="7" s="1"/>
  <c r="O199" i="7"/>
  <c r="AM199" i="7" s="1"/>
  <c r="P199" i="7"/>
  <c r="AN199" i="7" s="1"/>
  <c r="N199" i="7"/>
  <c r="AL199" i="7" s="1"/>
  <c r="L199" i="7"/>
  <c r="AJ199" i="7" s="1"/>
  <c r="W207" i="7"/>
  <c r="AU207" i="7" s="1"/>
  <c r="V207" i="7"/>
  <c r="AT207" i="7" s="1"/>
  <c r="U207" i="7"/>
  <c r="AS207" i="7" s="1"/>
  <c r="T207" i="7"/>
  <c r="AR207" i="7" s="1"/>
  <c r="S207" i="7"/>
  <c r="AQ207" i="7" s="1"/>
  <c r="R207" i="7"/>
  <c r="AP207" i="7" s="1"/>
  <c r="Q207" i="7"/>
  <c r="AO207" i="7" s="1"/>
  <c r="AN207" i="7"/>
  <c r="AM207" i="7"/>
  <c r="AL207" i="7"/>
  <c r="AK207" i="7"/>
  <c r="AJ207" i="7"/>
  <c r="AI207" i="7"/>
  <c r="BG207" i="7" s="1"/>
  <c r="X207" i="7"/>
  <c r="AV207" i="7" s="1"/>
  <c r="Y207" i="7"/>
  <c r="AW207" i="7" s="1"/>
  <c r="Z207" i="7"/>
  <c r="AX207" i="7" s="1"/>
  <c r="AA207" i="7"/>
  <c r="AY207" i="7" s="1"/>
  <c r="AB207" i="7"/>
  <c r="AZ207" i="7" s="1"/>
  <c r="AC207" i="7"/>
  <c r="BA207" i="7" s="1"/>
  <c r="AD207" i="7"/>
  <c r="BB207" i="7" s="1"/>
  <c r="AE207" i="7"/>
  <c r="BC207" i="7" s="1"/>
  <c r="AF207" i="7"/>
  <c r="BD207" i="7" s="1"/>
  <c r="AG207" i="7"/>
  <c r="BE207" i="7" s="1"/>
  <c r="AH207" i="7"/>
  <c r="BF207" i="7" s="1"/>
  <c r="AI203" i="7"/>
  <c r="BG203" i="7" s="1"/>
  <c r="V203" i="7"/>
  <c r="AT203" i="7" s="1"/>
  <c r="AH203" i="7"/>
  <c r="BF203" i="7" s="1"/>
  <c r="AG203" i="7"/>
  <c r="BE203" i="7" s="1"/>
  <c r="AF203" i="7"/>
  <c r="BD203" i="7" s="1"/>
  <c r="AE203" i="7"/>
  <c r="BC203" i="7" s="1"/>
  <c r="AD203" i="7"/>
  <c r="BB203" i="7" s="1"/>
  <c r="AC203" i="7"/>
  <c r="BA203" i="7" s="1"/>
  <c r="AB203" i="7"/>
  <c r="AZ203" i="7" s="1"/>
  <c r="AA203" i="7"/>
  <c r="AY203" i="7" s="1"/>
  <c r="Z203" i="7"/>
  <c r="AX203" i="7" s="1"/>
  <c r="Y203" i="7"/>
  <c r="AW203" i="7" s="1"/>
  <c r="X203" i="7"/>
  <c r="AV203" i="7" s="1"/>
  <c r="AJ203" i="7"/>
  <c r="AK203" i="7"/>
  <c r="AL203" i="7"/>
  <c r="W203" i="7"/>
  <c r="AU203" i="7" s="1"/>
  <c r="AM203" i="7"/>
  <c r="AN203" i="7"/>
  <c r="Q203" i="7"/>
  <c r="AO203" i="7" s="1"/>
  <c r="R203" i="7"/>
  <c r="AP203" i="7" s="1"/>
  <c r="S203" i="7"/>
  <c r="AQ203" i="7" s="1"/>
  <c r="T203" i="7"/>
  <c r="AR203" i="7" s="1"/>
  <c r="U203" i="7"/>
  <c r="AS203" i="7" s="1"/>
  <c r="AH206" i="7"/>
  <c r="BF206" i="7" s="1"/>
  <c r="W206" i="7"/>
  <c r="AU206" i="7" s="1"/>
  <c r="V206" i="7"/>
  <c r="AT206" i="7" s="1"/>
  <c r="U206" i="7"/>
  <c r="AS206" i="7" s="1"/>
  <c r="T206" i="7"/>
  <c r="AR206" i="7" s="1"/>
  <c r="S206" i="7"/>
  <c r="AQ206" i="7" s="1"/>
  <c r="R206" i="7"/>
  <c r="AP206" i="7" s="1"/>
  <c r="Q206" i="7"/>
  <c r="AO206" i="7" s="1"/>
  <c r="AB206" i="7"/>
  <c r="AZ206" i="7" s="1"/>
  <c r="AI206" i="7"/>
  <c r="BG206" i="7" s="1"/>
  <c r="X206" i="7"/>
  <c r="AV206" i="7" s="1"/>
  <c r="Y206" i="7"/>
  <c r="AW206" i="7" s="1"/>
  <c r="Z206" i="7"/>
  <c r="AX206" i="7" s="1"/>
  <c r="AA206" i="7"/>
  <c r="AY206" i="7" s="1"/>
  <c r="AC206" i="7"/>
  <c r="BA206" i="7" s="1"/>
  <c r="AD206" i="7"/>
  <c r="BB206" i="7" s="1"/>
  <c r="AE206" i="7"/>
  <c r="BC206" i="7" s="1"/>
  <c r="AF206" i="7"/>
  <c r="BD206" i="7" s="1"/>
  <c r="AG206" i="7"/>
  <c r="BE206" i="7" s="1"/>
  <c r="X209" i="7"/>
  <c r="AV209" i="7" s="1"/>
  <c r="W209" i="7"/>
  <c r="AU209" i="7" s="1"/>
  <c r="V209" i="7"/>
  <c r="AT209" i="7" s="1"/>
  <c r="U209" i="7"/>
  <c r="AS209" i="7" s="1"/>
  <c r="T209" i="7"/>
  <c r="AR209" i="7" s="1"/>
  <c r="S209" i="7"/>
  <c r="AQ209" i="7" s="1"/>
  <c r="R209" i="7"/>
  <c r="AP209" i="7" s="1"/>
  <c r="Q209" i="7"/>
  <c r="AO209" i="7" s="1"/>
  <c r="AI209" i="7"/>
  <c r="BG209" i="7" s="1"/>
  <c r="AH209" i="7"/>
  <c r="BF209" i="7" s="1"/>
  <c r="AG209" i="7"/>
  <c r="BE209" i="7" s="1"/>
  <c r="AF209" i="7"/>
  <c r="BD209" i="7" s="1"/>
  <c r="AE209" i="7"/>
  <c r="BC209" i="7" s="1"/>
  <c r="AD209" i="7"/>
  <c r="BB209" i="7" s="1"/>
  <c r="Y209" i="7"/>
  <c r="AW209" i="7" s="1"/>
  <c r="AC209" i="7"/>
  <c r="BA209" i="7" s="1"/>
  <c r="AB209" i="7"/>
  <c r="AZ209" i="7" s="1"/>
  <c r="AA209" i="7"/>
  <c r="AY209" i="7" s="1"/>
  <c r="Z209" i="7"/>
  <c r="AX209" i="7" s="1"/>
  <c r="AL209" i="7"/>
  <c r="AJ209" i="7"/>
  <c r="X201" i="7"/>
  <c r="AV201" i="7" s="1"/>
  <c r="Y201" i="7"/>
  <c r="AW201" i="7" s="1"/>
  <c r="Z201" i="7"/>
  <c r="AX201" i="7" s="1"/>
  <c r="AB201" i="7"/>
  <c r="AZ201" i="7" s="1"/>
  <c r="AC201" i="7"/>
  <c r="BA201" i="7" s="1"/>
  <c r="AD201" i="7"/>
  <c r="BB201" i="7" s="1"/>
  <c r="AE201" i="7"/>
  <c r="BC201" i="7" s="1"/>
  <c r="AF201" i="7"/>
  <c r="BD201" i="7" s="1"/>
  <c r="AG201" i="7"/>
  <c r="BE201" i="7" s="1"/>
  <c r="AH201" i="7"/>
  <c r="BF201" i="7" s="1"/>
  <c r="AI201" i="7"/>
  <c r="BG201" i="7" s="1"/>
  <c r="AA201" i="7"/>
  <c r="AY201" i="7" s="1"/>
  <c r="AJ201" i="7"/>
  <c r="AK201" i="7"/>
  <c r="AL201" i="7"/>
  <c r="AM201" i="7"/>
  <c r="AN201" i="7"/>
  <c r="Q201" i="7"/>
  <c r="AO201" i="7" s="1"/>
  <c r="R201" i="7"/>
  <c r="AP201" i="7" s="1"/>
  <c r="S201" i="7"/>
  <c r="AQ201" i="7" s="1"/>
  <c r="T201" i="7"/>
  <c r="AR201" i="7" s="1"/>
  <c r="U201" i="7"/>
  <c r="AS201" i="7" s="1"/>
  <c r="V201" i="7"/>
  <c r="AT201" i="7" s="1"/>
  <c r="W201" i="7"/>
  <c r="AU201" i="7" s="1"/>
  <c r="Q208" i="7"/>
  <c r="AO208" i="7" s="1"/>
  <c r="R208" i="7"/>
  <c r="AP208" i="7" s="1"/>
  <c r="S208" i="7"/>
  <c r="AQ208" i="7" s="1"/>
  <c r="T208" i="7"/>
  <c r="AR208" i="7" s="1"/>
  <c r="U208" i="7"/>
  <c r="AS208" i="7" s="1"/>
  <c r="V208" i="7"/>
  <c r="AT208" i="7" s="1"/>
  <c r="X208" i="7"/>
  <c r="AV208" i="7" s="1"/>
  <c r="W208" i="7"/>
  <c r="AU208" i="7" s="1"/>
  <c r="AI208" i="7"/>
  <c r="BG208" i="7" s="1"/>
  <c r="Y208" i="7"/>
  <c r="AW208" i="7" s="1"/>
  <c r="Z208" i="7"/>
  <c r="AX208" i="7" s="1"/>
  <c r="AA208" i="7"/>
  <c r="AY208" i="7" s="1"/>
  <c r="AB208" i="7"/>
  <c r="AZ208" i="7" s="1"/>
  <c r="AC208" i="7"/>
  <c r="BA208" i="7" s="1"/>
  <c r="AD208" i="7"/>
  <c r="BB208" i="7" s="1"/>
  <c r="AE208" i="7"/>
  <c r="BC208" i="7" s="1"/>
  <c r="AF208" i="7"/>
  <c r="BD208" i="7" s="1"/>
  <c r="AG208" i="7"/>
  <c r="BE208" i="7" s="1"/>
  <c r="AH208" i="7"/>
  <c r="BF208" i="7" s="1"/>
  <c r="V205" i="7"/>
  <c r="AT205" i="7" s="1"/>
  <c r="Q205" i="7"/>
  <c r="AO205" i="7" s="1"/>
  <c r="R205" i="7"/>
  <c r="AP205" i="7" s="1"/>
  <c r="S205" i="7"/>
  <c r="AQ205" i="7" s="1"/>
  <c r="T205" i="7"/>
  <c r="AR205" i="7" s="1"/>
  <c r="U205" i="7"/>
  <c r="AS205" i="7" s="1"/>
  <c r="W205" i="7"/>
  <c r="AU205" i="7" s="1"/>
  <c r="X205" i="7"/>
  <c r="AV205" i="7" s="1"/>
  <c r="Y205" i="7"/>
  <c r="AW205" i="7" s="1"/>
  <c r="Z205" i="7"/>
  <c r="AX205" i="7" s="1"/>
  <c r="AA205" i="7"/>
  <c r="AY205" i="7" s="1"/>
  <c r="AB205" i="7"/>
  <c r="AZ205" i="7" s="1"/>
  <c r="AC205" i="7"/>
  <c r="BA205" i="7" s="1"/>
  <c r="AD205" i="7"/>
  <c r="BB205" i="7" s="1"/>
  <c r="AE205" i="7"/>
  <c r="BC205" i="7" s="1"/>
  <c r="AF205" i="7"/>
  <c r="BD205" i="7" s="1"/>
  <c r="AI205" i="7"/>
  <c r="BG205" i="7" s="1"/>
  <c r="AH205" i="7"/>
  <c r="BF205" i="7" s="1"/>
  <c r="AG205" i="7"/>
  <c r="BE205" i="7" s="1"/>
  <c r="X195" i="7"/>
  <c r="U195" i="7"/>
  <c r="V195" i="7"/>
  <c r="W195" i="7"/>
  <c r="AC195" i="7"/>
  <c r="Y195" i="7"/>
  <c r="Z195" i="7"/>
  <c r="AA195" i="7"/>
  <c r="AG195" i="7"/>
  <c r="AF195" i="7"/>
  <c r="AH195" i="7"/>
  <c r="S195" i="7"/>
  <c r="AB195" i="7"/>
  <c r="AI195" i="7"/>
  <c r="R195" i="7"/>
  <c r="AD195" i="7"/>
  <c r="T195" i="7"/>
  <c r="Q195" i="7"/>
  <c r="AE195" i="7"/>
  <c r="AC202" i="7"/>
  <c r="BA202" i="7" s="1"/>
  <c r="W202" i="7"/>
  <c r="AU202" i="7" s="1"/>
  <c r="AI202" i="7"/>
  <c r="BG202" i="7" s="1"/>
  <c r="AH202" i="7"/>
  <c r="BF202" i="7" s="1"/>
  <c r="AG202" i="7"/>
  <c r="BE202" i="7" s="1"/>
  <c r="X202" i="7"/>
  <c r="AV202" i="7" s="1"/>
  <c r="AF202" i="7"/>
  <c r="BD202" i="7" s="1"/>
  <c r="AE202" i="7"/>
  <c r="BC202" i="7" s="1"/>
  <c r="AD202" i="7"/>
  <c r="BB202" i="7" s="1"/>
  <c r="AB202" i="7"/>
  <c r="AZ202" i="7" s="1"/>
  <c r="AA202" i="7"/>
  <c r="AY202" i="7" s="1"/>
  <c r="Z202" i="7"/>
  <c r="AX202" i="7" s="1"/>
  <c r="Q202" i="7"/>
  <c r="AO202" i="7" s="1"/>
  <c r="R202" i="7"/>
  <c r="AP202" i="7" s="1"/>
  <c r="Y202" i="7"/>
  <c r="AW202" i="7" s="1"/>
  <c r="S202" i="7"/>
  <c r="AQ202" i="7" s="1"/>
  <c r="T202" i="7"/>
  <c r="AR202" i="7" s="1"/>
  <c r="U202" i="7"/>
  <c r="AS202" i="7" s="1"/>
  <c r="V202" i="7"/>
  <c r="AT202" i="7" s="1"/>
  <c r="S200" i="7"/>
  <c r="AQ200" i="7" s="1"/>
  <c r="AI200" i="7"/>
  <c r="BG200" i="7" s="1"/>
  <c r="AH200" i="7"/>
  <c r="BF200" i="7" s="1"/>
  <c r="AG200" i="7"/>
  <c r="BE200" i="7" s="1"/>
  <c r="AF200" i="7"/>
  <c r="BD200" i="7" s="1"/>
  <c r="AE200" i="7"/>
  <c r="BC200" i="7" s="1"/>
  <c r="AD200" i="7"/>
  <c r="BB200" i="7" s="1"/>
  <c r="AC200" i="7"/>
  <c r="BA200" i="7" s="1"/>
  <c r="AB200" i="7"/>
  <c r="AZ200" i="7" s="1"/>
  <c r="AA200" i="7"/>
  <c r="AY200" i="7" s="1"/>
  <c r="Z200" i="7"/>
  <c r="AX200" i="7" s="1"/>
  <c r="Y200" i="7"/>
  <c r="AW200" i="7" s="1"/>
  <c r="X200" i="7"/>
  <c r="AV200" i="7" s="1"/>
  <c r="W200" i="7"/>
  <c r="AU200" i="7" s="1"/>
  <c r="V200" i="7"/>
  <c r="AT200" i="7" s="1"/>
  <c r="U200" i="7"/>
  <c r="AS200" i="7" s="1"/>
  <c r="T200" i="7"/>
  <c r="AR200" i="7" s="1"/>
  <c r="R200" i="7"/>
  <c r="AP200" i="7" s="1"/>
  <c r="Q200" i="7"/>
  <c r="AO200" i="7" s="1"/>
  <c r="Q196" i="7"/>
  <c r="AO196" i="7" s="1"/>
  <c r="R196" i="7"/>
  <c r="AP196" i="7" s="1"/>
  <c r="S196" i="7"/>
  <c r="AQ196" i="7" s="1"/>
  <c r="T196" i="7"/>
  <c r="AR196" i="7" s="1"/>
  <c r="U196" i="7"/>
  <c r="AS196" i="7" s="1"/>
  <c r="V196" i="7"/>
  <c r="AT196" i="7" s="1"/>
  <c r="W196" i="7"/>
  <c r="AU196" i="7" s="1"/>
  <c r="X196" i="7"/>
  <c r="AV196" i="7" s="1"/>
  <c r="Y196" i="7"/>
  <c r="AW196" i="7" s="1"/>
  <c r="Z196" i="7"/>
  <c r="AX196" i="7" s="1"/>
  <c r="AA196" i="7"/>
  <c r="AY196" i="7" s="1"/>
  <c r="AB196" i="7"/>
  <c r="AZ196" i="7" s="1"/>
  <c r="AC196" i="7"/>
  <c r="BA196" i="7" s="1"/>
  <c r="AD196" i="7"/>
  <c r="BB196" i="7" s="1"/>
  <c r="AE196" i="7"/>
  <c r="BC196" i="7" s="1"/>
  <c r="AF196" i="7"/>
  <c r="BD196" i="7" s="1"/>
  <c r="AG196" i="7"/>
  <c r="BE196" i="7" s="1"/>
  <c r="AH196" i="7"/>
  <c r="BF196" i="7" s="1"/>
  <c r="AI196" i="7"/>
  <c r="BG196" i="7" s="1"/>
  <c r="AJ198" i="7"/>
  <c r="AI198" i="7"/>
  <c r="BG198" i="7" s="1"/>
  <c r="AH198" i="7"/>
  <c r="BF198" i="7" s="1"/>
  <c r="AG198" i="7"/>
  <c r="BE198" i="7" s="1"/>
  <c r="AF198" i="7"/>
  <c r="BD198" i="7" s="1"/>
  <c r="W198" i="7"/>
  <c r="AU198" i="7" s="1"/>
  <c r="AD198" i="7"/>
  <c r="BB198" i="7" s="1"/>
  <c r="AC198" i="7"/>
  <c r="BA198" i="7" s="1"/>
  <c r="AB198" i="7"/>
  <c r="AZ198" i="7" s="1"/>
  <c r="AA198" i="7"/>
  <c r="AY198" i="7" s="1"/>
  <c r="Z198" i="7"/>
  <c r="AX198" i="7" s="1"/>
  <c r="Y198" i="7"/>
  <c r="AW198" i="7" s="1"/>
  <c r="AE198" i="7"/>
  <c r="BC198" i="7" s="1"/>
  <c r="V198" i="7"/>
  <c r="AT198" i="7" s="1"/>
  <c r="U198" i="7"/>
  <c r="AS198" i="7" s="1"/>
  <c r="T198" i="7"/>
  <c r="AR198" i="7" s="1"/>
  <c r="S198" i="7"/>
  <c r="AQ198" i="7" s="1"/>
  <c r="R198" i="7"/>
  <c r="AP198" i="7" s="1"/>
  <c r="Q198" i="7"/>
  <c r="AO198" i="7" s="1"/>
  <c r="X198" i="7"/>
  <c r="AV198" i="7" s="1"/>
  <c r="W204" i="7"/>
  <c r="AU204" i="7" s="1"/>
  <c r="AI204" i="7"/>
  <c r="BG204" i="7" s="1"/>
  <c r="AH204" i="7"/>
  <c r="BF204" i="7" s="1"/>
  <c r="AG204" i="7"/>
  <c r="BE204" i="7" s="1"/>
  <c r="AF204" i="7"/>
  <c r="BD204" i="7" s="1"/>
  <c r="AD204" i="7"/>
  <c r="BB204" i="7" s="1"/>
  <c r="AE204" i="7"/>
  <c r="BC204" i="7" s="1"/>
  <c r="AC204" i="7"/>
  <c r="BA204" i="7" s="1"/>
  <c r="AB204" i="7"/>
  <c r="AZ204" i="7" s="1"/>
  <c r="AA204" i="7"/>
  <c r="AY204" i="7" s="1"/>
  <c r="Z204" i="7"/>
  <c r="AX204" i="7" s="1"/>
  <c r="Y204" i="7"/>
  <c r="AW204" i="7" s="1"/>
  <c r="X204" i="7"/>
  <c r="AV204" i="7" s="1"/>
  <c r="V204" i="7"/>
  <c r="AT204" i="7" s="1"/>
  <c r="U204" i="7"/>
  <c r="AS204" i="7" s="1"/>
  <c r="T204" i="7"/>
  <c r="AR204" i="7" s="1"/>
  <c r="S204" i="7"/>
  <c r="AQ204" i="7" s="1"/>
  <c r="R204" i="7"/>
  <c r="AP204" i="7" s="1"/>
  <c r="Q204" i="7"/>
  <c r="AO204" i="7" s="1"/>
  <c r="X197" i="7"/>
  <c r="AV197" i="7" s="1"/>
  <c r="W197" i="7"/>
  <c r="AU197" i="7" s="1"/>
  <c r="V197" i="7"/>
  <c r="AT197" i="7" s="1"/>
  <c r="T197" i="7"/>
  <c r="AR197" i="7" s="1"/>
  <c r="S197" i="7"/>
  <c r="AQ197" i="7" s="1"/>
  <c r="R197" i="7"/>
  <c r="AP197" i="7" s="1"/>
  <c r="AA197" i="7"/>
  <c r="AY197" i="7" s="1"/>
  <c r="U197" i="7"/>
  <c r="AS197" i="7" s="1"/>
  <c r="Q197" i="7"/>
  <c r="AO197" i="7" s="1"/>
  <c r="AI197" i="7"/>
  <c r="BG197" i="7" s="1"/>
  <c r="AH197" i="7"/>
  <c r="BF197" i="7" s="1"/>
  <c r="AG197" i="7"/>
  <c r="BE197" i="7" s="1"/>
  <c r="AE197" i="7"/>
  <c r="BC197" i="7" s="1"/>
  <c r="AD197" i="7"/>
  <c r="BB197" i="7" s="1"/>
  <c r="AC197" i="7"/>
  <c r="BA197" i="7" s="1"/>
  <c r="AB197" i="7"/>
  <c r="AZ197" i="7" s="1"/>
  <c r="AF197" i="7"/>
  <c r="BD197" i="7" s="1"/>
  <c r="Z197" i="7"/>
  <c r="AX197" i="7" s="1"/>
  <c r="Y197" i="7"/>
  <c r="AW197" i="7" s="1"/>
  <c r="AI199" i="7"/>
  <c r="BG199" i="7" s="1"/>
  <c r="AH199" i="7"/>
  <c r="BF199" i="7" s="1"/>
  <c r="AG199" i="7"/>
  <c r="BE199" i="7" s="1"/>
  <c r="AF199" i="7"/>
  <c r="BD199" i="7" s="1"/>
  <c r="AE199" i="7"/>
  <c r="BC199" i="7" s="1"/>
  <c r="AD199" i="7"/>
  <c r="BB199" i="7" s="1"/>
  <c r="AC199" i="7"/>
  <c r="BA199" i="7" s="1"/>
  <c r="AB199" i="7"/>
  <c r="AZ199" i="7" s="1"/>
  <c r="Z199" i="7"/>
  <c r="AX199" i="7" s="1"/>
  <c r="Y199" i="7"/>
  <c r="AW199" i="7" s="1"/>
  <c r="X199" i="7"/>
  <c r="AV199" i="7" s="1"/>
  <c r="W199" i="7"/>
  <c r="AU199" i="7" s="1"/>
  <c r="V199" i="7"/>
  <c r="AT199" i="7" s="1"/>
  <c r="AA199" i="7"/>
  <c r="AY199" i="7" s="1"/>
  <c r="U199" i="7"/>
  <c r="AS199" i="7" s="1"/>
  <c r="T199" i="7"/>
  <c r="AR199" i="7" s="1"/>
  <c r="S199" i="7"/>
  <c r="AQ199" i="7" s="1"/>
  <c r="R199" i="7"/>
  <c r="AP199" i="7" s="1"/>
  <c r="Q199" i="7"/>
  <c r="AO199" i="7" s="1"/>
  <c r="B126" i="13"/>
  <c r="F126" i="13"/>
  <c r="C126" i="13"/>
  <c r="K126" i="13"/>
  <c r="N126" i="13"/>
  <c r="M126" i="13"/>
  <c r="L126" i="13"/>
  <c r="J126" i="13"/>
  <c r="H126" i="13"/>
  <c r="J115" i="13"/>
  <c r="K115" i="13"/>
  <c r="L115" i="13"/>
  <c r="M115" i="13"/>
  <c r="N115" i="13"/>
  <c r="B115" i="13"/>
  <c r="F115" i="13"/>
  <c r="H115" i="13"/>
  <c r="C115" i="13"/>
  <c r="B118" i="13"/>
  <c r="F118" i="13"/>
  <c r="H118" i="13"/>
  <c r="J118" i="13"/>
  <c r="K118" i="13"/>
  <c r="L118" i="13"/>
  <c r="M118" i="13"/>
  <c r="N118" i="13"/>
  <c r="C118" i="13"/>
  <c r="F123" i="13"/>
  <c r="H123" i="13"/>
  <c r="B123" i="13"/>
  <c r="C123" i="13"/>
  <c r="J123" i="13"/>
  <c r="K123" i="13"/>
  <c r="L123" i="13"/>
  <c r="M123" i="13"/>
  <c r="N123" i="13"/>
  <c r="H121" i="13"/>
  <c r="N121" i="13"/>
  <c r="L121" i="13"/>
  <c r="J121" i="13"/>
  <c r="K121" i="13"/>
  <c r="F121" i="13"/>
  <c r="M121" i="13"/>
  <c r="C121" i="13"/>
  <c r="B121" i="13"/>
  <c r="L117" i="13"/>
  <c r="B117" i="13"/>
  <c r="J117" i="13"/>
  <c r="M117" i="13"/>
  <c r="N117" i="13"/>
  <c r="F117" i="13"/>
  <c r="H117" i="13"/>
  <c r="C117" i="13"/>
  <c r="K117" i="13"/>
  <c r="K116" i="13"/>
  <c r="L116" i="13"/>
  <c r="M116" i="13"/>
  <c r="N116" i="13"/>
  <c r="J116" i="13"/>
  <c r="B116" i="13"/>
  <c r="H116" i="13"/>
  <c r="C116" i="13"/>
  <c r="F116" i="13"/>
  <c r="K122" i="13"/>
  <c r="L122" i="13"/>
  <c r="M122" i="13"/>
  <c r="B122" i="13"/>
  <c r="J122" i="13"/>
  <c r="H122" i="13"/>
  <c r="F122" i="13"/>
  <c r="C122" i="13"/>
  <c r="N122" i="13"/>
  <c r="J119" i="13"/>
  <c r="K119" i="13"/>
  <c r="L119" i="13"/>
  <c r="M119" i="13"/>
  <c r="H119" i="13"/>
  <c r="F119" i="13"/>
  <c r="B119" i="13"/>
  <c r="N119" i="13"/>
  <c r="C119" i="13"/>
  <c r="F125" i="13"/>
  <c r="N125" i="13"/>
  <c r="M125" i="13"/>
  <c r="L125" i="13"/>
  <c r="H125" i="13"/>
  <c r="K125" i="13"/>
  <c r="J125" i="13"/>
  <c r="C125" i="13"/>
  <c r="B125" i="13"/>
  <c r="M127" i="13"/>
  <c r="F127" i="13"/>
  <c r="N127" i="13"/>
  <c r="H127" i="13"/>
  <c r="J127" i="13"/>
  <c r="B127" i="13"/>
  <c r="K127" i="13"/>
  <c r="L127" i="13"/>
  <c r="C127" i="13"/>
  <c r="J128" i="13"/>
  <c r="H128" i="13"/>
  <c r="K128" i="13"/>
  <c r="L128" i="13"/>
  <c r="M128" i="13"/>
  <c r="N128" i="13"/>
  <c r="B128" i="13"/>
  <c r="F128" i="13"/>
  <c r="C128" i="13"/>
  <c r="K120" i="13"/>
  <c r="J120" i="13"/>
  <c r="B120" i="13"/>
  <c r="F120" i="13"/>
  <c r="C120" i="13"/>
  <c r="N120" i="13"/>
  <c r="H120" i="13"/>
  <c r="M120" i="13"/>
  <c r="L120" i="13"/>
  <c r="M124" i="13"/>
  <c r="H124" i="13"/>
  <c r="B124" i="13"/>
  <c r="N124" i="13"/>
  <c r="L124" i="13"/>
  <c r="K124" i="13"/>
  <c r="J124" i="13"/>
  <c r="F124" i="13"/>
  <c r="C124" i="13"/>
  <c r="B225" i="7"/>
  <c r="B224" i="7"/>
  <c r="B226" i="7"/>
  <c r="B227" i="7"/>
  <c r="B223" i="7"/>
  <c r="A225" i="7"/>
  <c r="A224" i="7"/>
  <c r="A226" i="7"/>
  <c r="A227" i="7"/>
  <c r="A223" i="7"/>
  <c r="A214" i="7"/>
  <c r="B214" i="7"/>
  <c r="A217" i="7"/>
  <c r="B217" i="7"/>
  <c r="A222" i="7"/>
  <c r="B222" i="7"/>
  <c r="A220" i="7"/>
  <c r="B220" i="7"/>
  <c r="A216" i="7"/>
  <c r="B216" i="7"/>
  <c r="A215" i="7"/>
  <c r="B215" i="7"/>
  <c r="A221" i="7"/>
  <c r="B221" i="7"/>
  <c r="A218" i="7"/>
  <c r="B218" i="7"/>
  <c r="A219" i="7"/>
  <c r="B219" i="7"/>
  <c r="J195" i="7"/>
  <c r="J203" i="7"/>
  <c r="C221" i="7" s="1"/>
  <c r="J204" i="7"/>
  <c r="C222" i="7" s="1"/>
  <c r="J205" i="7"/>
  <c r="C223" i="7" s="1"/>
  <c r="J206" i="7"/>
  <c r="C224" i="7" s="1"/>
  <c r="J207" i="7"/>
  <c r="C225" i="7" s="1"/>
  <c r="J208" i="7"/>
  <c r="C226" i="7" s="1"/>
  <c r="J209" i="7"/>
  <c r="J196" i="7"/>
  <c r="C214" i="7" s="1"/>
  <c r="J202" i="7"/>
  <c r="C220" i="7" s="1"/>
  <c r="K195" i="7"/>
  <c r="J198" i="7"/>
  <c r="C216" i="7" s="1"/>
  <c r="J197" i="7"/>
  <c r="C215" i="7" s="1"/>
  <c r="J201" i="7"/>
  <c r="C219" i="7" s="1"/>
  <c r="J199" i="7"/>
  <c r="C217" i="7" s="1"/>
  <c r="J200" i="7"/>
  <c r="C218" i="7" s="1"/>
  <c r="C227" i="7" l="1"/>
  <c r="AK195" i="7"/>
  <c r="AL195" i="7"/>
  <c r="AM195" i="7"/>
  <c r="AN195" i="7"/>
  <c r="AO195" i="7"/>
  <c r="AP195" i="7"/>
  <c r="AQ195" i="7"/>
  <c r="AR195" i="7"/>
  <c r="AS195" i="7"/>
  <c r="AT195" i="7"/>
  <c r="AU195" i="7"/>
  <c r="AV195" i="7"/>
  <c r="AW195" i="7"/>
  <c r="AX195" i="7"/>
  <c r="AY195" i="7"/>
  <c r="AZ195" i="7"/>
  <c r="BA195" i="7"/>
  <c r="BB195" i="7"/>
  <c r="BC195" i="7"/>
  <c r="BD195" i="7"/>
  <c r="BE195" i="7"/>
  <c r="BF195" i="7"/>
  <c r="BG195" i="7"/>
  <c r="AJ195" i="7"/>
  <c r="K114" i="13"/>
  <c r="L114" i="13"/>
  <c r="M114" i="13"/>
  <c r="N114" i="13"/>
  <c r="J114" i="13"/>
  <c r="H114" i="13"/>
  <c r="F114" i="13"/>
  <c r="B114" i="13"/>
  <c r="C114" i="13"/>
  <c r="C213" i="7"/>
  <c r="B213" i="7"/>
  <c r="A213" i="7"/>
  <c r="B101" i="13"/>
  <c r="B13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9E9B57-A69C-4D1A-8F22-DA4B02561368}" keepAlive="1" name="ModelConnection_ExternalData_1" description="Data Model" type="5" refreshedVersion="8" minRefreshableVersion="5" saveData="1">
    <dbPr connection="Data Model Connection" command="Orders_Export" commandType="3"/>
    <extLst>
      <ext xmlns:x15="http://schemas.microsoft.com/office/spreadsheetml/2010/11/main" uri="{DE250136-89BD-433C-8126-D09CA5730AF9}">
        <x15:connection id="" model="1"/>
      </ext>
    </extLst>
  </connection>
  <connection id="2" xr16:uid="{389F9DE3-E206-492A-9633-94E6E41C693A}" keepAlive="1" name="ModelConnection_ExternalData_1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23154AA2-29D4-4E01-909B-DBBDA3BB0AA5}" keepAlive="1" name="ModelConnection_ExternalData_12" description="Data Model" type="5" refreshedVersion="8" minRefreshableVersion="5" saveData="1">
    <dbPr connection="Data Model Connection" command="State_Region" commandType="3"/>
    <extLst>
      <ext xmlns:x15="http://schemas.microsoft.com/office/spreadsheetml/2010/11/main" uri="{DE250136-89BD-433C-8126-D09CA5730AF9}">
        <x15:connection id="" model="1"/>
      </ext>
    </extLst>
  </connection>
  <connection id="4" xr16:uid="{C3675B95-6181-4138-84AB-5CB99CEEEFFA}" name="Query - Marketing_Spend" description="Connection to the 'Marketing_Spend' query in the workbook." type="100" refreshedVersion="8" minRefreshableVersion="5">
    <extLst>
      <ext xmlns:x15="http://schemas.microsoft.com/office/spreadsheetml/2010/11/main" uri="{DE250136-89BD-433C-8126-D09CA5730AF9}">
        <x15:connection id="2fd57e81-c7d9-4cbe-a9fe-759f05cb3551"/>
      </ext>
    </extLst>
  </connection>
  <connection id="5" xr16:uid="{638ECB6D-5071-4501-81F4-A2A712205140}" name="Query - Orders_Export" description="Connection to the 'Orders_Export' query in the workbook." type="100" refreshedVersion="8" minRefreshableVersion="5">
    <extLst>
      <ext xmlns:x15="http://schemas.microsoft.com/office/spreadsheetml/2010/11/main" uri="{DE250136-89BD-433C-8126-D09CA5730AF9}">
        <x15:connection id="0a2a4a59-ddd9-4fdc-a26b-e57e8b181309"/>
      </ext>
    </extLst>
  </connection>
  <connection id="6" xr16:uid="{47BA01D5-3AE7-423E-B3E0-0711584154E2}" name="Query - Products" description="Connection to the 'Products' query in the workbook." type="100" refreshedVersion="8" minRefreshableVersion="5">
    <extLst>
      <ext xmlns:x15="http://schemas.microsoft.com/office/spreadsheetml/2010/11/main" uri="{DE250136-89BD-433C-8126-D09CA5730AF9}">
        <x15:connection id="af9e8acf-f367-40ca-9868-c630faa091ef"/>
      </ext>
    </extLst>
  </connection>
  <connection id="7" xr16:uid="{A060BD89-7C86-4031-9628-52CB1F116D33}" name="Query - State_Region" description="Connection to the 'State_Region' query in the workbook." type="100" refreshedVersion="8" minRefreshableVersion="5">
    <extLst>
      <ext xmlns:x15="http://schemas.microsoft.com/office/spreadsheetml/2010/11/main" uri="{DE250136-89BD-433C-8126-D09CA5730AF9}">
        <x15:connection id="f15dd76f-0821-471a-9fb7-8322c1e70437"/>
      </ext>
    </extLst>
  </connection>
  <connection id="8" xr16:uid="{F840F885-0D34-42C0-A70E-90A03A269A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<sst xmlns="http://schemas.openxmlformats.org/spreadsheetml/2006/main" count="40793" uniqueCount="7411">
  <si>
    <t>Order ID</t>
  </si>
  <si>
    <t>Order Date</t>
  </si>
  <si>
    <t>Customer ID</t>
  </si>
  <si>
    <t>State</t>
  </si>
  <si>
    <t>City</t>
  </si>
  <si>
    <t>Sales Channel</t>
  </si>
  <si>
    <t>Product ID</t>
  </si>
  <si>
    <t>Quantity</t>
  </si>
  <si>
    <t>Unit Price</t>
  </si>
  <si>
    <t>Payment Method</t>
  </si>
  <si>
    <t>Delivery Date</t>
  </si>
  <si>
    <t>Customer Rating</t>
  </si>
  <si>
    <t>ORD-100015</t>
  </si>
  <si>
    <t>CUST-00711</t>
  </si>
  <si>
    <t>Odisha</t>
  </si>
  <si>
    <t>Bhubaneswar</t>
  </si>
  <si>
    <t>Myntra</t>
  </si>
  <si>
    <t>P402</t>
  </si>
  <si>
    <t>UPI</t>
  </si>
  <si>
    <t>ORD-100042</t>
  </si>
  <si>
    <t>CUST-02851</t>
  </si>
  <si>
    <t>Punjab</t>
  </si>
  <si>
    <t>Amritsar</t>
  </si>
  <si>
    <t>Flipkart</t>
  </si>
  <si>
    <t>P503</t>
  </si>
  <si>
    <t>ORD-100055</t>
  </si>
  <si>
    <t>CUST-01011</t>
  </si>
  <si>
    <t>West Bengal</t>
  </si>
  <si>
    <t>Kolkata</t>
  </si>
  <si>
    <t>P303</t>
  </si>
  <si>
    <t>ORD-100128</t>
  </si>
  <si>
    <t>CUST-00457</t>
  </si>
  <si>
    <t>Bihar</t>
  </si>
  <si>
    <t>Patna</t>
  </si>
  <si>
    <t>P404</t>
  </si>
  <si>
    <t>ORD-100173</t>
  </si>
  <si>
    <t>CUST-00380</t>
  </si>
  <si>
    <t>Gujarat</t>
  </si>
  <si>
    <t>Ahmedabad</t>
  </si>
  <si>
    <t>Website</t>
  </si>
  <si>
    <t>P701</t>
  </si>
  <si>
    <t>ORD-100182</t>
  </si>
  <si>
    <t>CUST-01092</t>
  </si>
  <si>
    <t>Madhya Pradesh</t>
  </si>
  <si>
    <t>Indore</t>
  </si>
  <si>
    <t>P202</t>
  </si>
  <si>
    <t>ORD-100201</t>
  </si>
  <si>
    <t>CUST-00876</t>
  </si>
  <si>
    <t>Haryana</t>
  </si>
  <si>
    <t>Faridabad</t>
  </si>
  <si>
    <t>Nykaa</t>
  </si>
  <si>
    <t>P204</t>
  </si>
  <si>
    <t>ORD-100206</t>
  </si>
  <si>
    <t>CUST-00808</t>
  </si>
  <si>
    <t>Rajasthan</t>
  </si>
  <si>
    <t>Udaipur</t>
  </si>
  <si>
    <t>P101</t>
  </si>
  <si>
    <t>ORD-100214</t>
  </si>
  <si>
    <t>CUST-01189</t>
  </si>
  <si>
    <t>Tamil Nadu</t>
  </si>
  <si>
    <t>Chennai</t>
  </si>
  <si>
    <t>P704</t>
  </si>
  <si>
    <t>ORD-100236</t>
  </si>
  <si>
    <t>CUST-00672</t>
  </si>
  <si>
    <t>Coimbatore</t>
  </si>
  <si>
    <t>Amazon</t>
  </si>
  <si>
    <t>P102</t>
  </si>
  <si>
    <t>ORD-100249</t>
  </si>
  <si>
    <t>CUST-01995</t>
  </si>
  <si>
    <t>ORD-100277</t>
  </si>
  <si>
    <t>CUST-01757</t>
  </si>
  <si>
    <t>Maharashtra</t>
  </si>
  <si>
    <t>Nagpur</t>
  </si>
  <si>
    <t>P104</t>
  </si>
  <si>
    <t>ORD-100284</t>
  </si>
  <si>
    <t>CUST-00772</t>
  </si>
  <si>
    <t>Uttar Pradesh</t>
  </si>
  <si>
    <t>Kanpur</t>
  </si>
  <si>
    <t>P105</t>
  </si>
  <si>
    <t>ORD-100336</t>
  </si>
  <si>
    <t>CUST-00505</t>
  </si>
  <si>
    <t>Pune</t>
  </si>
  <si>
    <t>ORD-100342</t>
  </si>
  <si>
    <t>CUST-01675</t>
  </si>
  <si>
    <t>P504</t>
  </si>
  <si>
    <t>ORD-100357</t>
  </si>
  <si>
    <t>CUST-00001</t>
  </si>
  <si>
    <t>P302</t>
  </si>
  <si>
    <t>ORD-100388</t>
  </si>
  <si>
    <t>CUST-01125</t>
  </si>
  <si>
    <t>Goa</t>
  </si>
  <si>
    <t>Panaji</t>
  </si>
  <si>
    <t>P403</t>
  </si>
  <si>
    <t>ORD-100408</t>
  </si>
  <si>
    <t>CUST-00355</t>
  </si>
  <si>
    <t>Telangana</t>
  </si>
  <si>
    <t>Hyderabad</t>
  </si>
  <si>
    <t>ORD-100490</t>
  </si>
  <si>
    <t>CUST-01585</t>
  </si>
  <si>
    <t>ORD-100493</t>
  </si>
  <si>
    <t>ORD-100499</t>
  </si>
  <si>
    <t>CUST-00973</t>
  </si>
  <si>
    <t>Mumbai</t>
  </si>
  <si>
    <t>ORD-100528</t>
  </si>
  <si>
    <t>CUST-02162</t>
  </si>
  <si>
    <t>Noida</t>
  </si>
  <si>
    <t>P203</t>
  </si>
  <si>
    <t>ORD-100530</t>
  </si>
  <si>
    <t>CUST-01778</t>
  </si>
  <si>
    <t>P201</t>
  </si>
  <si>
    <t>ORD-100580</t>
  </si>
  <si>
    <t>CUST-00243</t>
  </si>
  <si>
    <t>ORD-100592</t>
  </si>
  <si>
    <t>CUST-02183</t>
  </si>
  <si>
    <t>ORD-100771</t>
  </si>
  <si>
    <t>CUST-00465</t>
  </si>
  <si>
    <t>ORD-100793</t>
  </si>
  <si>
    <t>CUST-01040</t>
  </si>
  <si>
    <t>Lucknow</t>
  </si>
  <si>
    <t>ORD-100796</t>
  </si>
  <si>
    <t>CUST-00625</t>
  </si>
  <si>
    <t>ORD-100802</t>
  </si>
  <si>
    <t>CUST-02343</t>
  </si>
  <si>
    <t>Jharkhand</t>
  </si>
  <si>
    <t>Ranchi</t>
  </si>
  <si>
    <t>P501</t>
  </si>
  <si>
    <t>ORD-100806</t>
  </si>
  <si>
    <t>CUST-02584</t>
  </si>
  <si>
    <t>Delhi</t>
  </si>
  <si>
    <t>New Delhi</t>
  </si>
  <si>
    <t>ORD-100820</t>
  </si>
  <si>
    <t>CUST-01823</t>
  </si>
  <si>
    <t>Assam</t>
  </si>
  <si>
    <t>Guwahati</t>
  </si>
  <si>
    <t>ORD-100853</t>
  </si>
  <si>
    <t>CUST-00310</t>
  </si>
  <si>
    <t>ORD-100876</t>
  </si>
  <si>
    <t>CUST-01141</t>
  </si>
  <si>
    <t>ORD-100891</t>
  </si>
  <si>
    <t>CUST-01237</t>
  </si>
  <si>
    <t>ORD-100904</t>
  </si>
  <si>
    <t>CUST-01021</t>
  </si>
  <si>
    <t>ORD-100909</t>
  </si>
  <si>
    <t>CUST-00842</t>
  </si>
  <si>
    <t>ORD-100919</t>
  </si>
  <si>
    <t>CUST-00811</t>
  </si>
  <si>
    <t>ORD-100926</t>
  </si>
  <si>
    <t>CUST-01489</t>
  </si>
  <si>
    <t>P603</t>
  </si>
  <si>
    <t>ORD-100927</t>
  </si>
  <si>
    <t>CUST-01530</t>
  </si>
  <si>
    <t>Gurugram</t>
  </si>
  <si>
    <t>P703</t>
  </si>
  <si>
    <t>ORD-100940</t>
  </si>
  <si>
    <t>CUST-02275</t>
  </si>
  <si>
    <t>ORD-100991</t>
  </si>
  <si>
    <t>ORD-101009</t>
  </si>
  <si>
    <t>CUST-01069</t>
  </si>
  <si>
    <t>Himachal Pradesh</t>
  </si>
  <si>
    <t>Shimla</t>
  </si>
  <si>
    <t>P103</t>
  </si>
  <si>
    <t>ORD-101051</t>
  </si>
  <si>
    <t>CUST-02904</t>
  </si>
  <si>
    <t>ORD-101052</t>
  </si>
  <si>
    <t>CUST-00906</t>
  </si>
  <si>
    <t>ORD-101092</t>
  </si>
  <si>
    <t>CUST-02974</t>
  </si>
  <si>
    <t>Karnataka</t>
  </si>
  <si>
    <t>Bengaluru</t>
  </si>
  <si>
    <t>ORD-101100</t>
  </si>
  <si>
    <t>CUST-00412</t>
  </si>
  <si>
    <t>ORD-101127</t>
  </si>
  <si>
    <t>CUST-02394</t>
  </si>
  <si>
    <t>P601</t>
  </si>
  <si>
    <t>ORD-101134</t>
  </si>
  <si>
    <t>CUST-00963</t>
  </si>
  <si>
    <t>P304</t>
  </si>
  <si>
    <t>ORD-101244</t>
  </si>
  <si>
    <t>CUST-00129</t>
  </si>
  <si>
    <t>P702</t>
  </si>
  <si>
    <t>ORD-101300</t>
  </si>
  <si>
    <t>CUST-00583</t>
  </si>
  <si>
    <t>ORD-101323</t>
  </si>
  <si>
    <t>CUST-01144</t>
  </si>
  <si>
    <t>Uttarakhand</t>
  </si>
  <si>
    <t>Dehradun</t>
  </si>
  <si>
    <t>ORD-101348</t>
  </si>
  <si>
    <t>CUST-02687</t>
  </si>
  <si>
    <t>ORD-101361</t>
  </si>
  <si>
    <t>CUST-00137</t>
  </si>
  <si>
    <t>Mysuru</t>
  </si>
  <si>
    <t>ORD-101410</t>
  </si>
  <si>
    <t>CUST-02996</t>
  </si>
  <si>
    <t>ORD-101424</t>
  </si>
  <si>
    <t>CUST-00325</t>
  </si>
  <si>
    <t>ORD-101425</t>
  </si>
  <si>
    <t>CUST-02953</t>
  </si>
  <si>
    <t>ORD-101432</t>
  </si>
  <si>
    <t>CUST-02168</t>
  </si>
  <si>
    <t>ORD-101443</t>
  </si>
  <si>
    <t>CUST-00817</t>
  </si>
  <si>
    <t>ORD-101555</t>
  </si>
  <si>
    <t>CUST-00623</t>
  </si>
  <si>
    <t>ORD-101568</t>
  </si>
  <si>
    <t>CUST-00806</t>
  </si>
  <si>
    <t>P401</t>
  </si>
  <si>
    <t>ORD-101628</t>
  </si>
  <si>
    <t>CUST-03119</t>
  </si>
  <si>
    <t>ORD-101638</t>
  </si>
  <si>
    <t>CUST-00307</t>
  </si>
  <si>
    <t>Jammu &amp; Kashmir</t>
  </si>
  <si>
    <t>Srinagar</t>
  </si>
  <si>
    <t>ORD-101663</t>
  </si>
  <si>
    <t>CUST-00872</t>
  </si>
  <si>
    <t>ORD-101712</t>
  </si>
  <si>
    <t>CUST-03163</t>
  </si>
  <si>
    <t>ORD-101747</t>
  </si>
  <si>
    <t>CUST-00322</t>
  </si>
  <si>
    <t>ORD-101773</t>
  </si>
  <si>
    <t>ORD-101783</t>
  </si>
  <si>
    <t>CUST-00792</t>
  </si>
  <si>
    <t>ORD-101812</t>
  </si>
  <si>
    <t>CUST-01039</t>
  </si>
  <si>
    <t>ORD-101819</t>
  </si>
  <si>
    <t>CUST-00297</t>
  </si>
  <si>
    <t>ORD-101837</t>
  </si>
  <si>
    <t>CUST-03141</t>
  </si>
  <si>
    <t>Jaipur</t>
  </si>
  <si>
    <t>P602</t>
  </si>
  <si>
    <t>ORD-101962</t>
  </si>
  <si>
    <t>CUST-00041</t>
  </si>
  <si>
    <t>ORD-101972</t>
  </si>
  <si>
    <t>CUST-03116</t>
  </si>
  <si>
    <t>ORD-101999</t>
  </si>
  <si>
    <t>CUST-00416</t>
  </si>
  <si>
    <t>ORD-102053</t>
  </si>
  <si>
    <t>CUST-02397</t>
  </si>
  <si>
    <t>ORD-102067</t>
  </si>
  <si>
    <t>CUST-00693</t>
  </si>
  <si>
    <t>ORD-102100</t>
  </si>
  <si>
    <t>CUST-00066</t>
  </si>
  <si>
    <t>ORD-102121</t>
  </si>
  <si>
    <t>CUST-01296</t>
  </si>
  <si>
    <t>ORD-102159</t>
  </si>
  <si>
    <t>CUST-00952</t>
  </si>
  <si>
    <t>ORD-102232</t>
  </si>
  <si>
    <t>CUST-01899</t>
  </si>
  <si>
    <t>Surat</t>
  </si>
  <si>
    <t>ORD-102233</t>
  </si>
  <si>
    <t>CUST-02833</t>
  </si>
  <si>
    <t>Bhopal</t>
  </si>
  <si>
    <t>ORD-102297</t>
  </si>
  <si>
    <t>CUST-02908</t>
  </si>
  <si>
    <t>ORD-102331</t>
  </si>
  <si>
    <t>CUST-00333</t>
  </si>
  <si>
    <t>P301</t>
  </si>
  <si>
    <t>ORD-102426</t>
  </si>
  <si>
    <t>CUST-02644</t>
  </si>
  <si>
    <t>ORD-102564</t>
  </si>
  <si>
    <t>CUST-02041</t>
  </si>
  <si>
    <t>Ludhiana</t>
  </si>
  <si>
    <t>ORD-102585</t>
  </si>
  <si>
    <t>CUST-00561</t>
  </si>
  <si>
    <t>ORD-102607</t>
  </si>
  <si>
    <t>CUST-00586</t>
  </si>
  <si>
    <t>ORD-102624</t>
  </si>
  <si>
    <t>CUST-01164</t>
  </si>
  <si>
    <t>ORD-102640</t>
  </si>
  <si>
    <t>CUST-00509</t>
  </si>
  <si>
    <t>ORD-102665</t>
  </si>
  <si>
    <t>CUST-00756</t>
  </si>
  <si>
    <t>ORD-102666</t>
  </si>
  <si>
    <t>CUST-00055</t>
  </si>
  <si>
    <t>ORD-102690</t>
  </si>
  <si>
    <t>CUST-00654</t>
  </si>
  <si>
    <t>Andhra Pradesh</t>
  </si>
  <si>
    <t>Visakhapatnam</t>
  </si>
  <si>
    <t>ORD-102693</t>
  </si>
  <si>
    <t>CUST-02258</t>
  </si>
  <si>
    <t>ORD-102704</t>
  </si>
  <si>
    <t>CUST-00781</t>
  </si>
  <si>
    <t>ORD-102719</t>
  </si>
  <si>
    <t>CUST-00366</t>
  </si>
  <si>
    <t>ORD-102728</t>
  </si>
  <si>
    <t>CUST-00112</t>
  </si>
  <si>
    <t>ORD-102736</t>
  </si>
  <si>
    <t>CUST-02618</t>
  </si>
  <si>
    <t>ORD-102737</t>
  </si>
  <si>
    <t>CUST-00020</t>
  </si>
  <si>
    <t>ORD-102764</t>
  </si>
  <si>
    <t>CUST-01085</t>
  </si>
  <si>
    <t>ORD-102771</t>
  </si>
  <si>
    <t>CUST-03143</t>
  </si>
  <si>
    <t>ORD-102778</t>
  </si>
  <si>
    <t>CUST-00881</t>
  </si>
  <si>
    <t>ORD-102796</t>
  </si>
  <si>
    <t>ORD-102828</t>
  </si>
  <si>
    <t>CUST-00976</t>
  </si>
  <si>
    <t>ORD-102833</t>
  </si>
  <si>
    <t>CUST-02014</t>
  </si>
  <si>
    <t>ORD-102868</t>
  </si>
  <si>
    <t>CUST-00337</t>
  </si>
  <si>
    <t>ORD-102875</t>
  </si>
  <si>
    <t>CUST-00604</t>
  </si>
  <si>
    <t>ORD-102895</t>
  </si>
  <si>
    <t>CUST-00680</t>
  </si>
  <si>
    <t>ORD-102944</t>
  </si>
  <si>
    <t>CUST-00899</t>
  </si>
  <si>
    <t>ORD-102954</t>
  </si>
  <si>
    <t>CUST-00488</t>
  </si>
  <si>
    <t>ORD-102997</t>
  </si>
  <si>
    <t>CUST-01129</t>
  </si>
  <si>
    <t>ORD-103024</t>
  </si>
  <si>
    <t>CUST-00278</t>
  </si>
  <si>
    <t>ORD-103056</t>
  </si>
  <si>
    <t>CUST-00665</t>
  </si>
  <si>
    <t>Kerala</t>
  </si>
  <si>
    <t>Thiruvananthapuram</t>
  </si>
  <si>
    <t>ORD-103088</t>
  </si>
  <si>
    <t>CUST-00447</t>
  </si>
  <si>
    <t>ORD-103105</t>
  </si>
  <si>
    <t>CUST-00442</t>
  </si>
  <si>
    <t>ORD-103135</t>
  </si>
  <si>
    <t>CUST-00081</t>
  </si>
  <si>
    <t>ORD-103188</t>
  </si>
  <si>
    <t>CUST-00576</t>
  </si>
  <si>
    <t>ORD-103194</t>
  </si>
  <si>
    <t>CUST-01787</t>
  </si>
  <si>
    <t>ORD-103235</t>
  </si>
  <si>
    <t>CUST-02558</t>
  </si>
  <si>
    <t>ORD-103266</t>
  </si>
  <si>
    <t>CUST-00863</t>
  </si>
  <si>
    <t>ORD-103426</t>
  </si>
  <si>
    <t>CUST-01047</t>
  </si>
  <si>
    <t>ORD-103430</t>
  </si>
  <si>
    <t>CUST-00371</t>
  </si>
  <si>
    <t>ORD-103459</t>
  </si>
  <si>
    <t>CUST-00612</t>
  </si>
  <si>
    <t>Kochi</t>
  </si>
  <si>
    <t>ORD-103471</t>
  </si>
  <si>
    <t>CUST-01025</t>
  </si>
  <si>
    <t>ORD-103493</t>
  </si>
  <si>
    <t>CUST-01743</t>
  </si>
  <si>
    <t>ORD-103501</t>
  </si>
  <si>
    <t>CUST-01431</t>
  </si>
  <si>
    <t>ORD-103620</t>
  </si>
  <si>
    <t>CUST-01186</t>
  </si>
  <si>
    <t>ORD-103624</t>
  </si>
  <si>
    <t>CUST-00511</t>
  </si>
  <si>
    <t>ORD-103637</t>
  </si>
  <si>
    <t>CUST-03194</t>
  </si>
  <si>
    <t>ORD-103652</t>
  </si>
  <si>
    <t>CUST-00974</t>
  </si>
  <si>
    <t>ORD-103674</t>
  </si>
  <si>
    <t>CUST-00823</t>
  </si>
  <si>
    <t>ORD-103694</t>
  </si>
  <si>
    <t>CUST-01035</t>
  </si>
  <si>
    <t>ORD-103710</t>
  </si>
  <si>
    <t>CUST-00316</t>
  </si>
  <si>
    <t>ORD-103746</t>
  </si>
  <si>
    <t>CUST-02388</t>
  </si>
  <si>
    <t>ORD-103795</t>
  </si>
  <si>
    <t>CUST-02888</t>
  </si>
  <si>
    <t>ORD-103813</t>
  </si>
  <si>
    <t>CUST-00314</t>
  </si>
  <si>
    <t>ORD-103832</t>
  </si>
  <si>
    <t>CUST-00715</t>
  </si>
  <si>
    <t>ORD-103840</t>
  </si>
  <si>
    <t>CUST-02814</t>
  </si>
  <si>
    <t>ORD-103848</t>
  </si>
  <si>
    <t>CUST-02316</t>
  </si>
  <si>
    <t>ORD-103870</t>
  </si>
  <si>
    <t>CUST-00153</t>
  </si>
  <si>
    <t>ORD-103960</t>
  </si>
  <si>
    <t>CUST-00008</t>
  </si>
  <si>
    <t>ORD-103972</t>
  </si>
  <si>
    <t>CUST-01094</t>
  </si>
  <si>
    <t>ORD-103987</t>
  </si>
  <si>
    <t>CUST-02543</t>
  </si>
  <si>
    <t>ORD-104087</t>
  </si>
  <si>
    <t>CUST-00487</t>
  </si>
  <si>
    <t>ORD-104091</t>
  </si>
  <si>
    <t>CUST-00911</t>
  </si>
  <si>
    <t>ORD-104152</t>
  </si>
  <si>
    <t>CUST-00063</t>
  </si>
  <si>
    <t>ORD-104187</t>
  </si>
  <si>
    <t>CUST-02326</t>
  </si>
  <si>
    <t>ORD-104236</t>
  </si>
  <si>
    <t>CUST-00082</t>
  </si>
  <si>
    <t>ORD-104355</t>
  </si>
  <si>
    <t>CUST-00058</t>
  </si>
  <si>
    <t>ORD-104384</t>
  </si>
  <si>
    <t>CUST-00485</t>
  </si>
  <si>
    <t>ORD-104406</t>
  </si>
  <si>
    <t>CUST-00053</t>
  </si>
  <si>
    <t>ORD-104410</t>
  </si>
  <si>
    <t>ORD-104421</t>
  </si>
  <si>
    <t>CUST-00486</t>
  </si>
  <si>
    <t>ORD-104424</t>
  </si>
  <si>
    <t>CUST-01127</t>
  </si>
  <si>
    <t>ORD-104428</t>
  </si>
  <si>
    <t>CUST-01495</t>
  </si>
  <si>
    <t>ORD-104446</t>
  </si>
  <si>
    <t>CUST-00296</t>
  </si>
  <si>
    <t>ORD-104447</t>
  </si>
  <si>
    <t>CUST-00943</t>
  </si>
  <si>
    <t>ORD-104487</t>
  </si>
  <si>
    <t>CUST-00269</t>
  </si>
  <si>
    <t>ORD-104536</t>
  </si>
  <si>
    <t>CUST-01384</t>
  </si>
  <si>
    <t>ORD-104562</t>
  </si>
  <si>
    <t>CUST-01667</t>
  </si>
  <si>
    <t>ORD-104615</t>
  </si>
  <si>
    <t>ORD-104657</t>
  </si>
  <si>
    <t>CUST-01887</t>
  </si>
  <si>
    <t>Jammu</t>
  </si>
  <si>
    <t>ORD-104668</t>
  </si>
  <si>
    <t>CUST-01892</t>
  </si>
  <si>
    <t>ORD-104734</t>
  </si>
  <si>
    <t>CUST-00026</t>
  </si>
  <si>
    <t>ORD-104737</t>
  </si>
  <si>
    <t>ORD-104792</t>
  </si>
  <si>
    <t>CUST-01688</t>
  </si>
  <si>
    <t>P604</t>
  </si>
  <si>
    <t>ORD-104809</t>
  </si>
  <si>
    <t>CUST-00795</t>
  </si>
  <si>
    <t>ORD-104818</t>
  </si>
  <si>
    <t>CUST-00400</t>
  </si>
  <si>
    <t>ORD-100026</t>
  </si>
  <si>
    <t>CUST-00248</t>
  </si>
  <si>
    <t>ORD-100030</t>
  </si>
  <si>
    <t>CUST-00444</t>
  </si>
  <si>
    <t>ORD-100143</t>
  </si>
  <si>
    <t>CUST-00276</t>
  </si>
  <si>
    <t>ORD-100155</t>
  </si>
  <si>
    <t>CUST-00189</t>
  </si>
  <si>
    <t>ORD-100178</t>
  </si>
  <si>
    <t>ORD-100281</t>
  </si>
  <si>
    <t>CUST-03030</t>
  </si>
  <si>
    <t>ORD-100283</t>
  </si>
  <si>
    <t>CUST-00991</t>
  </si>
  <si>
    <t>ORD-100340</t>
  </si>
  <si>
    <t>CUST-00456</t>
  </si>
  <si>
    <t>ORD-100343</t>
  </si>
  <si>
    <t>CUST-00283</t>
  </si>
  <si>
    <t>ORD-100359</t>
  </si>
  <si>
    <t>CUST-00050</t>
  </si>
  <si>
    <t>ORD-100405</t>
  </si>
  <si>
    <t>CUST-01350</t>
  </si>
  <si>
    <t>ORD-100431</t>
  </si>
  <si>
    <t>ORD-100438</t>
  </si>
  <si>
    <t>CUST-01370</t>
  </si>
  <si>
    <t>ORD-100440</t>
  </si>
  <si>
    <t>CUST-02852</t>
  </si>
  <si>
    <t>ORD-100455</t>
  </si>
  <si>
    <t>ORD-100497</t>
  </si>
  <si>
    <t>CUST-00318</t>
  </si>
  <si>
    <t>ORD-100501</t>
  </si>
  <si>
    <t>CUST-00468</t>
  </si>
  <si>
    <t>ORD-100513</t>
  </si>
  <si>
    <t>CUST-01134</t>
  </si>
  <si>
    <t>ORD-100589</t>
  </si>
  <si>
    <t>CUST-02828</t>
  </si>
  <si>
    <t>ORD-100598</t>
  </si>
  <si>
    <t>CUST-00092</t>
  </si>
  <si>
    <t>ORD-100618</t>
  </si>
  <si>
    <t>CUST-00947</t>
  </si>
  <si>
    <t>ORD-100620</t>
  </si>
  <si>
    <t>CUST-00514</t>
  </si>
  <si>
    <t>ORD-100680</t>
  </si>
  <si>
    <t>CUST-01438</t>
  </si>
  <si>
    <t>ORD-100691</t>
  </si>
  <si>
    <t>ORD-100726</t>
  </si>
  <si>
    <t>CUST-00225</t>
  </si>
  <si>
    <t>ORD-100730</t>
  </si>
  <si>
    <t>CUST-01012</t>
  </si>
  <si>
    <t>ORD-100731</t>
  </si>
  <si>
    <t>CUST-01423</t>
  </si>
  <si>
    <t>ORD-100732</t>
  </si>
  <si>
    <t>CUST-00324</t>
  </si>
  <si>
    <t>ORD-100782</t>
  </si>
  <si>
    <t>CUST-02782</t>
  </si>
  <si>
    <t>Chhattisgarh</t>
  </si>
  <si>
    <t>Raipur</t>
  </si>
  <si>
    <t>ORD-100799</t>
  </si>
  <si>
    <t>CUST-01623</t>
  </si>
  <si>
    <t>ORD-100861</t>
  </si>
  <si>
    <t>CUST-00953</t>
  </si>
  <si>
    <t>ORD-100877</t>
  </si>
  <si>
    <t>CUST-00471</t>
  </si>
  <si>
    <t>ORD-100897</t>
  </si>
  <si>
    <t>Vijayawada</t>
  </si>
  <si>
    <t>ORD-100998</t>
  </si>
  <si>
    <t>CUST-00972</t>
  </si>
  <si>
    <t>ORD-101027</t>
  </si>
  <si>
    <t>CUST-00558</t>
  </si>
  <si>
    <t>ORD-101040</t>
  </si>
  <si>
    <t>CUST-03182</t>
  </si>
  <si>
    <t>ORD-101071</t>
  </si>
  <si>
    <t>CUST-02689</t>
  </si>
  <si>
    <t>ORD-101112</t>
  </si>
  <si>
    <t>CUST-01760</t>
  </si>
  <si>
    <t>ORD-101166</t>
  </si>
  <si>
    <t>CUST-00483</t>
  </si>
  <si>
    <t>ORD-101170</t>
  </si>
  <si>
    <t>ORD-101179</t>
  </si>
  <si>
    <t>CUST-01004</t>
  </si>
  <si>
    <t>ORD-101223</t>
  </si>
  <si>
    <t>CUST-00964</t>
  </si>
  <si>
    <t>ORD-101264</t>
  </si>
  <si>
    <t>CUST-00300</t>
  </si>
  <si>
    <t>ORD-101274</t>
  </si>
  <si>
    <t>CUST-01194</t>
  </si>
  <si>
    <t>ORD-101345</t>
  </si>
  <si>
    <t>CUST-00139</t>
  </si>
  <si>
    <t>ORD-101359</t>
  </si>
  <si>
    <t>CUST-02104</t>
  </si>
  <si>
    <t>ORD-101368</t>
  </si>
  <si>
    <t>CUST-02671</t>
  </si>
  <si>
    <t>ORD-101419</t>
  </si>
  <si>
    <t>ORD-101480</t>
  </si>
  <si>
    <t>CUST-00385</t>
  </si>
  <si>
    <t>ORD-101491</t>
  </si>
  <si>
    <t>CUST-02358</t>
  </si>
  <si>
    <t>ORD-101677</t>
  </si>
  <si>
    <t>CUST-00575</t>
  </si>
  <si>
    <t>ORD-101716</t>
  </si>
  <si>
    <t>ORD-101718</t>
  </si>
  <si>
    <t>CUST-00149</t>
  </si>
  <si>
    <t>ORD-101732</t>
  </si>
  <si>
    <t>CUST-01111</t>
  </si>
  <si>
    <t>ORD-101735</t>
  </si>
  <si>
    <t>CUST-00409</t>
  </si>
  <si>
    <t>ORD-101749</t>
  </si>
  <si>
    <t>CUST-02196</t>
  </si>
  <si>
    <t>ORD-101763</t>
  </si>
  <si>
    <t>CUST-03171</t>
  </si>
  <si>
    <t>ORD-101892</t>
  </si>
  <si>
    <t>ORD-101941</t>
  </si>
  <si>
    <t>CUST-00662</t>
  </si>
  <si>
    <t>ORD-101983</t>
  </si>
  <si>
    <t>CUST-00678</t>
  </si>
  <si>
    <t>ORD-101997</t>
  </si>
  <si>
    <t>CUST-02549</t>
  </si>
  <si>
    <t>ORD-102060</t>
  </si>
  <si>
    <t>CUST-01797</t>
  </si>
  <si>
    <t>ORD-102101</t>
  </si>
  <si>
    <t>CUST-02256</t>
  </si>
  <si>
    <t>ORD-102122</t>
  </si>
  <si>
    <t>CUST-00228</t>
  </si>
  <si>
    <t>ORD-102132</t>
  </si>
  <si>
    <t>CUST-00548</t>
  </si>
  <si>
    <t>ORD-102167</t>
  </si>
  <si>
    <t>CUST-01198</t>
  </si>
  <si>
    <t>ORD-102178</t>
  </si>
  <si>
    <t>CUST-01155</t>
  </si>
  <si>
    <t>ORD-102226</t>
  </si>
  <si>
    <t>ORD-102251</t>
  </si>
  <si>
    <t>CUST-00306</t>
  </si>
  <si>
    <t>ORD-102260</t>
  </si>
  <si>
    <t>CUST-00467</t>
  </si>
  <si>
    <t>ORD-102264</t>
  </si>
  <si>
    <t>CUST-00705</t>
  </si>
  <si>
    <t>ORD-102281</t>
  </si>
  <si>
    <t>CUST-00387</t>
  </si>
  <si>
    <t>P502</t>
  </si>
  <si>
    <t>ORD-102295</t>
  </si>
  <si>
    <t>CUST-02717</t>
  </si>
  <si>
    <t>ORD-102302</t>
  </si>
  <si>
    <t>CUST-03146</t>
  </si>
  <si>
    <t>ORD-102319</t>
  </si>
  <si>
    <t>CUST-02956</t>
  </si>
  <si>
    <t>ORD-102322</t>
  </si>
  <si>
    <t>CUST-00312</t>
  </si>
  <si>
    <t>ORD-102359</t>
  </si>
  <si>
    <t>CUST-00574</t>
  </si>
  <si>
    <t>P305</t>
  </si>
  <si>
    <t>ORD-102392</t>
  </si>
  <si>
    <t>CUST-00599</t>
  </si>
  <si>
    <t>ORD-102419</t>
  </si>
  <si>
    <t>CUST-00769</t>
  </si>
  <si>
    <t>ORD-102425</t>
  </si>
  <si>
    <t>CUST-02713</t>
  </si>
  <si>
    <t>ORD-102460</t>
  </si>
  <si>
    <t>CUST-01575</t>
  </si>
  <si>
    <t>ORD-102545</t>
  </si>
  <si>
    <t>CUST-02166</t>
  </si>
  <si>
    <t>ORD-102572</t>
  </si>
  <si>
    <t>CUST-00934</t>
  </si>
  <si>
    <t>ORD-102643</t>
  </si>
  <si>
    <t>CUST-02819</t>
  </si>
  <si>
    <t>ORD-102652</t>
  </si>
  <si>
    <t>ORD-102679</t>
  </si>
  <si>
    <t>CUST-00909</t>
  </si>
  <si>
    <t>ORD-102686</t>
  </si>
  <si>
    <t>ORD-102720</t>
  </si>
  <si>
    <t>CUST-00122</t>
  </si>
  <si>
    <t>ORD-102721</t>
  </si>
  <si>
    <t>CUST-01957</t>
  </si>
  <si>
    <t>ORD-102726</t>
  </si>
  <si>
    <t>CUST-02403</t>
  </si>
  <si>
    <t>ORD-102729</t>
  </si>
  <si>
    <t>ORD-102797</t>
  </si>
  <si>
    <t>CUST-01160</t>
  </si>
  <si>
    <t>ORD-102812</t>
  </si>
  <si>
    <t>CUST-02808</t>
  </si>
  <si>
    <t>ORD-102815</t>
  </si>
  <si>
    <t>CUST-01146</t>
  </si>
  <si>
    <t>ORD-102830</t>
  </si>
  <si>
    <t>CUST-00962</t>
  </si>
  <si>
    <t>ORD-102947</t>
  </si>
  <si>
    <t>CUST-00028</t>
  </si>
  <si>
    <t>ORD-102973</t>
  </si>
  <si>
    <t>CUST-00546</t>
  </si>
  <si>
    <t>ORD-103071</t>
  </si>
  <si>
    <t>CUST-00618</t>
  </si>
  <si>
    <t>ORD-103104</t>
  </si>
  <si>
    <t>CUST-02632</t>
  </si>
  <si>
    <t>ORD-103120</t>
  </si>
  <si>
    <t>CUST-01668</t>
  </si>
  <si>
    <t>ORD-103123</t>
  </si>
  <si>
    <t>CUST-00617</t>
  </si>
  <si>
    <t>ORD-103139</t>
  </si>
  <si>
    <t>CUST-00460</t>
  </si>
  <si>
    <t>ORD-103192</t>
  </si>
  <si>
    <t>CUST-01433</t>
  </si>
  <si>
    <t>ORD-103246</t>
  </si>
  <si>
    <t>CUST-01093</t>
  </si>
  <si>
    <t>ORD-103379</t>
  </si>
  <si>
    <t>CUST-00327</t>
  </si>
  <si>
    <t>ORD-103403</t>
  </si>
  <si>
    <t>CUST-00329</t>
  </si>
  <si>
    <t>ORD-103415</t>
  </si>
  <si>
    <t>CUST-00263</t>
  </si>
  <si>
    <t>ORD-103437</t>
  </si>
  <si>
    <t>CUST-00428</t>
  </si>
  <si>
    <t>ORD-103479</t>
  </si>
  <si>
    <t>CUST-00491</t>
  </si>
  <si>
    <t>ORD-103489</t>
  </si>
  <si>
    <t>CUST-00359</t>
  </si>
  <si>
    <t>ORD-103532</t>
  </si>
  <si>
    <t>CUST-00315</t>
  </si>
  <si>
    <t>ORD-103534</t>
  </si>
  <si>
    <t>CUST-00764</t>
  </si>
  <si>
    <t>ORD-103603</t>
  </si>
  <si>
    <t>CUST-00646</t>
  </si>
  <si>
    <t>ORD-103619</t>
  </si>
  <si>
    <t>ORD-103666</t>
  </si>
  <si>
    <t>CUST-00541</t>
  </si>
  <si>
    <t>ORD-103683</t>
  </si>
  <si>
    <t>CUST-00408</t>
  </si>
  <si>
    <t>ORD-103738</t>
  </si>
  <si>
    <t>CUST-00726</t>
  </si>
  <si>
    <t>ORD-103741</t>
  </si>
  <si>
    <t>CUST-00920</t>
  </si>
  <si>
    <t>ORD-103754</t>
  </si>
  <si>
    <t>CUST-01980</t>
  </si>
  <si>
    <t>ORD-103768</t>
  </si>
  <si>
    <t>CUST-02988</t>
  </si>
  <si>
    <t>ORD-103801</t>
  </si>
  <si>
    <t>CUST-02578</t>
  </si>
  <si>
    <t>ORD-103805</t>
  </si>
  <si>
    <t>CUST-01449</t>
  </si>
  <si>
    <t>ORD-103809</t>
  </si>
  <si>
    <t>CUST-00396</t>
  </si>
  <si>
    <t>ORD-103856</t>
  </si>
  <si>
    <t>CUST-02247</t>
  </si>
  <si>
    <t>ORD-103869</t>
  </si>
  <si>
    <t>CUST-00520</t>
  </si>
  <si>
    <t>ORD-103915</t>
  </si>
  <si>
    <t>ORD-103923</t>
  </si>
  <si>
    <t>CUST-01161</t>
  </si>
  <si>
    <t>ORD-103941</t>
  </si>
  <si>
    <t>CUST-01378</t>
  </si>
  <si>
    <t>ORD-103968</t>
  </si>
  <si>
    <t>ORD-103981</t>
  </si>
  <si>
    <t>CUST-00425</t>
  </si>
  <si>
    <t>ORD-104002</t>
  </si>
  <si>
    <t>CUST-00504</t>
  </si>
  <si>
    <t>ORD-104026</t>
  </si>
  <si>
    <t>CUST-01230</t>
  </si>
  <si>
    <t>ORD-104029</t>
  </si>
  <si>
    <t>CUST-01344</t>
  </si>
  <si>
    <t>ORD-104041</t>
  </si>
  <si>
    <t>CUST-00694</t>
  </si>
  <si>
    <t>ORD-104097</t>
  </si>
  <si>
    <t>CUST-00990</t>
  </si>
  <si>
    <t>ORD-104103</t>
  </si>
  <si>
    <t>ORD-104105</t>
  </si>
  <si>
    <t>ORD-104113</t>
  </si>
  <si>
    <t>CUST-00916</t>
  </si>
  <si>
    <t>ORD-104116</t>
  </si>
  <si>
    <t>CUST-01618</t>
  </si>
  <si>
    <t>ORD-104148</t>
  </si>
  <si>
    <t>CUST-02544</t>
  </si>
  <si>
    <t>ORD-104149</t>
  </si>
  <si>
    <t>CUST-01013</t>
  </si>
  <si>
    <t>ORD-104151</t>
  </si>
  <si>
    <t>CUST-01856</t>
  </si>
  <si>
    <t>ORD-104297</t>
  </si>
  <si>
    <t>ORD-104307</t>
  </si>
  <si>
    <t>CUST-00175</t>
  </si>
  <si>
    <t>ORD-104320</t>
  </si>
  <si>
    <t>CUST-00674</t>
  </si>
  <si>
    <t>ORD-104389</t>
  </si>
  <si>
    <t>ORD-104402</t>
  </si>
  <si>
    <t>ORD-104519</t>
  </si>
  <si>
    <t>CUST-00341</t>
  </si>
  <si>
    <t>ORD-104530</t>
  </si>
  <si>
    <t>ORD-104642</t>
  </si>
  <si>
    <t>CUST-00432</t>
  </si>
  <si>
    <t>ORD-104716</t>
  </si>
  <si>
    <t>ORD-104750</t>
  </si>
  <si>
    <t>CUST-02144</t>
  </si>
  <si>
    <t>ORD-104771</t>
  </si>
  <si>
    <t>CUST-00148</t>
  </si>
  <si>
    <t>ORD-104778</t>
  </si>
  <si>
    <t>CUST-00420</t>
  </si>
  <si>
    <t>ORD-104795</t>
  </si>
  <si>
    <t>CUST-00979</t>
  </si>
  <si>
    <t>ORD-104819</t>
  </si>
  <si>
    <t>CUST-01360</t>
  </si>
  <si>
    <t>ORD-100132</t>
  </si>
  <si>
    <t>CUST-01048</t>
  </si>
  <si>
    <t>ORD-100140</t>
  </si>
  <si>
    <t>CUST-00870</t>
  </si>
  <si>
    <t>ORD-100142</t>
  </si>
  <si>
    <t>CUST-00929</t>
  </si>
  <si>
    <t>ORD-100287</t>
  </si>
  <si>
    <t>CUST-00567</t>
  </si>
  <si>
    <t>ORD-100290</t>
  </si>
  <si>
    <t>ORD-100374</t>
  </si>
  <si>
    <t>ORD-100523</t>
  </si>
  <si>
    <t>CUST-00163</t>
  </si>
  <si>
    <t>ORD-100526</t>
  </si>
  <si>
    <t>CUST-02736</t>
  </si>
  <si>
    <t>ORD-100527</t>
  </si>
  <si>
    <t>CUST-01023</t>
  </si>
  <si>
    <t>ORD-100656</t>
  </si>
  <si>
    <t>CUST-00803</t>
  </si>
  <si>
    <t>ORD-100687</t>
  </si>
  <si>
    <t>ORD-100714</t>
  </si>
  <si>
    <t>CUST-00434</t>
  </si>
  <si>
    <t>ORD-100739</t>
  </si>
  <si>
    <t>ORD-100800</t>
  </si>
  <si>
    <t>CUST-00956</t>
  </si>
  <si>
    <t>ORD-100852</t>
  </si>
  <si>
    <t>CUST-01043</t>
  </si>
  <si>
    <t>ORD-100945</t>
  </si>
  <si>
    <t>ORD-100954</t>
  </si>
  <si>
    <t>CUST-00763</t>
  </si>
  <si>
    <t>ORD-101019</t>
  </si>
  <si>
    <t>CUST-00299</t>
  </si>
  <si>
    <t>ORD-101038</t>
  </si>
  <si>
    <t>CUST-00131</t>
  </si>
  <si>
    <t>ORD-101066</t>
  </si>
  <si>
    <t>CUST-02126</t>
  </si>
  <si>
    <t>ORD-101106</t>
  </si>
  <si>
    <t>ORD-101137</t>
  </si>
  <si>
    <t>CUST-02223</t>
  </si>
  <si>
    <t>ORD-101139</t>
  </si>
  <si>
    <t>CUST-00717</t>
  </si>
  <si>
    <t>ORD-101146</t>
  </si>
  <si>
    <t>CUST-00292</t>
  </si>
  <si>
    <t>ORD-101255</t>
  </si>
  <si>
    <t>CUST-01071</t>
  </si>
  <si>
    <t>ORD-101256</t>
  </si>
  <si>
    <t>CUST-00689</t>
  </si>
  <si>
    <t>ORD-101263</t>
  </si>
  <si>
    <t>ORD-101297</t>
  </si>
  <si>
    <t>CUST-00550</t>
  </si>
  <si>
    <t>ORD-101311</t>
  </si>
  <si>
    <t>CUST-00234</t>
  </si>
  <si>
    <t>ORD-101440</t>
  </si>
  <si>
    <t>CUST-01174</t>
  </si>
  <si>
    <t>ORD-101567</t>
  </si>
  <si>
    <t>CUST-00188</t>
  </si>
  <si>
    <t>ORD-101647</t>
  </si>
  <si>
    <t>ORD-101650</t>
  </si>
  <si>
    <t>CUST-01319</t>
  </si>
  <si>
    <t>ORD-101688</t>
  </si>
  <si>
    <t>CUST-00562</t>
  </si>
  <si>
    <t>ORD-101695</t>
  </si>
  <si>
    <t>CUST-00102</t>
  </si>
  <si>
    <t>ORD-101696</t>
  </si>
  <si>
    <t>ORD-101779</t>
  </si>
  <si>
    <t>CUST-02133</t>
  </si>
  <si>
    <t>ORD-101919</t>
  </si>
  <si>
    <t>CUST-00675</t>
  </si>
  <si>
    <t>ORD-101946</t>
  </si>
  <si>
    <t>CUST-01036</t>
  </si>
  <si>
    <t>ORD-101995</t>
  </si>
  <si>
    <t>CUST-01428</t>
  </si>
  <si>
    <t>ORD-102104</t>
  </si>
  <si>
    <t>CUST-01139</t>
  </si>
  <si>
    <t>ORD-102126</t>
  </si>
  <si>
    <t>CUST-01457</t>
  </si>
  <si>
    <t>ORD-102192</t>
  </si>
  <si>
    <t>CUST-00967</t>
  </si>
  <si>
    <t>ORD-102241</t>
  </si>
  <si>
    <t>CUST-02607</t>
  </si>
  <si>
    <t>ORD-102257</t>
  </si>
  <si>
    <t>CUST-02289</t>
  </si>
  <si>
    <t>ORD-102273</t>
  </si>
  <si>
    <t>CUST-01104</t>
  </si>
  <si>
    <t>ORD-102352</t>
  </si>
  <si>
    <t>CUST-01051</t>
  </si>
  <si>
    <t>ORD-102374</t>
  </si>
  <si>
    <t>ORD-102383</t>
  </si>
  <si>
    <t>CUST-00375</t>
  </si>
  <si>
    <t>ORD-102395</t>
  </si>
  <si>
    <t>CUST-00660</t>
  </si>
  <si>
    <t>ORD-102574</t>
  </si>
  <si>
    <t>CUST-00878</t>
  </si>
  <si>
    <t>ORD-102587</t>
  </si>
  <si>
    <t>CUST-01454</t>
  </si>
  <si>
    <t>ORD-102617</t>
  </si>
  <si>
    <t>CUST-00993</t>
  </si>
  <si>
    <t>ORD-102760</t>
  </si>
  <si>
    <t>CUST-00224</t>
  </si>
  <si>
    <t>ORD-102829</t>
  </si>
  <si>
    <t>CUST-00908</t>
  </si>
  <si>
    <t>ORD-102896</t>
  </si>
  <si>
    <t>CUST-01064</t>
  </si>
  <si>
    <t>ORD-103093</t>
  </si>
  <si>
    <t>CUST-00700</t>
  </si>
  <si>
    <t>ORD-103110</t>
  </si>
  <si>
    <t>CUST-01440</t>
  </si>
  <si>
    <t>ORD-103155</t>
  </si>
  <si>
    <t>CUST-02874</t>
  </si>
  <si>
    <t>ORD-103186</t>
  </si>
  <si>
    <t>CUST-03118</t>
  </si>
  <si>
    <t>ORD-103268</t>
  </si>
  <si>
    <t>CUST-02179</t>
  </si>
  <si>
    <t>ORD-103281</t>
  </si>
  <si>
    <t>CUST-02056</t>
  </si>
  <si>
    <t>ORD-103284</t>
  </si>
  <si>
    <t>CUST-00714</t>
  </si>
  <si>
    <t>ORD-103287</t>
  </si>
  <si>
    <t>CUST-00591</t>
  </si>
  <si>
    <t>ORD-103362</t>
  </si>
  <si>
    <t>CUST-01376</t>
  </si>
  <si>
    <t>ORD-103363</t>
  </si>
  <si>
    <t>CUST-01031</t>
  </si>
  <si>
    <t>ORD-103373</t>
  </si>
  <si>
    <t>CUST-03014</t>
  </si>
  <si>
    <t>ORD-103423</t>
  </si>
  <si>
    <t>CUST-02840</t>
  </si>
  <si>
    <t>ORD-103451</t>
  </si>
  <si>
    <t>ORD-103473</t>
  </si>
  <si>
    <t>CUST-01646</t>
  </si>
  <si>
    <t>ORD-103513</t>
  </si>
  <si>
    <t>CUST-02963</t>
  </si>
  <si>
    <t>ORD-103690</t>
  </si>
  <si>
    <t>CUST-00077</t>
  </si>
  <si>
    <t>ORD-103750</t>
  </si>
  <si>
    <t>CUST-01247</t>
  </si>
  <si>
    <t>ORD-103756</t>
  </si>
  <si>
    <t>CUST-00338</t>
  </si>
  <si>
    <t>ORD-103757</t>
  </si>
  <si>
    <t>CUST-02565</t>
  </si>
  <si>
    <t>ORD-103912</t>
  </si>
  <si>
    <t>CUST-00351</t>
  </si>
  <si>
    <t>ORD-103930</t>
  </si>
  <si>
    <t>CUST-00958</t>
  </si>
  <si>
    <t>ORD-103967</t>
  </si>
  <si>
    <t>CUST-00679</t>
  </si>
  <si>
    <t>ORD-103979</t>
  </si>
  <si>
    <t>CUST-00145</t>
  </si>
  <si>
    <t>ORD-104038</t>
  </si>
  <si>
    <t>CUST-01914</t>
  </si>
  <si>
    <t>ORD-104102</t>
  </si>
  <si>
    <t>ORD-104107</t>
  </si>
  <si>
    <t>ORD-104112</t>
  </si>
  <si>
    <t>CUST-02594</t>
  </si>
  <si>
    <t>ORD-104194</t>
  </si>
  <si>
    <t>ORD-104251</t>
  </si>
  <si>
    <t>CUST-02883</t>
  </si>
  <si>
    <t>ORD-104396</t>
  </si>
  <si>
    <t>CUST-00211</t>
  </si>
  <si>
    <t>ORD-104516</t>
  </si>
  <si>
    <t>CUST-01002</t>
  </si>
  <si>
    <t>ORD-104608</t>
  </si>
  <si>
    <t>CUST-00798</t>
  </si>
  <si>
    <t>ORD-104695</t>
  </si>
  <si>
    <t>CUST-02228</t>
  </si>
  <si>
    <t>ORD-104833</t>
  </si>
  <si>
    <t>CUST-00190</t>
  </si>
  <si>
    <t>ORD-100052</t>
  </si>
  <si>
    <t>CUST-00778</t>
  </si>
  <si>
    <t>ORD-100089</t>
  </si>
  <si>
    <t>CUST-01084</t>
  </si>
  <si>
    <t>ORD-100122</t>
  </si>
  <si>
    <t>CUST-00677</t>
  </si>
  <si>
    <t>ORD-100151</t>
  </si>
  <si>
    <t>CUST-02383</t>
  </si>
  <si>
    <t>ORD-100181</t>
  </si>
  <si>
    <t>CUST-00257</t>
  </si>
  <si>
    <t>ORD-100243</t>
  </si>
  <si>
    <t>CUST-01785</t>
  </si>
  <si>
    <t>ORD-100428</t>
  </si>
  <si>
    <t>CUST-00030</t>
  </si>
  <si>
    <t>ORD-100511</t>
  </si>
  <si>
    <t>CUST-02664</t>
  </si>
  <si>
    <t>ORD-100606</t>
  </si>
  <si>
    <t>CUST-01030</t>
  </si>
  <si>
    <t>ORD-100635</t>
  </si>
  <si>
    <t>CUST-00790</t>
  </si>
  <si>
    <t>ORD-100716</t>
  </si>
  <si>
    <t>CUST-01840</t>
  </si>
  <si>
    <t>ORD-100719</t>
  </si>
  <si>
    <t>CUST-01893</t>
  </si>
  <si>
    <t>ORD-100738</t>
  </si>
  <si>
    <t>CUST-02659</t>
  </si>
  <si>
    <t>ORD-100746</t>
  </si>
  <si>
    <t>CUST-00174</t>
  </si>
  <si>
    <t>ORD-100922</t>
  </si>
  <si>
    <t>CUST-01740</t>
  </si>
  <si>
    <t>ORD-100930</t>
  </si>
  <si>
    <t>CUST-00335</t>
  </si>
  <si>
    <t>ORD-100992</t>
  </si>
  <si>
    <t>CUST-00634</t>
  </si>
  <si>
    <t>ORD-101018</t>
  </si>
  <si>
    <t>CUST-00594</t>
  </si>
  <si>
    <t>ORD-101158</t>
  </si>
  <si>
    <t>CUST-01742</t>
  </si>
  <si>
    <t>ORD-101161</t>
  </si>
  <si>
    <t>CUST-01437</t>
  </si>
  <si>
    <t>ORD-101318</t>
  </si>
  <si>
    <t>CUST-00217</t>
  </si>
  <si>
    <t>ORD-101340</t>
  </si>
  <si>
    <t>CUST-03132</t>
  </si>
  <si>
    <t>ORD-101353</t>
  </si>
  <si>
    <t>CUST-02652</t>
  </si>
  <si>
    <t>ORD-101357</t>
  </si>
  <si>
    <t>CUST-01053</t>
  </si>
  <si>
    <t>ORD-101375</t>
  </si>
  <si>
    <t>ORD-101444</t>
  </si>
  <si>
    <t>CUST-00635</t>
  </si>
  <si>
    <t>ORD-101532</t>
  </si>
  <si>
    <t>ORD-101538</t>
  </si>
  <si>
    <t>CUST-02942</t>
  </si>
  <si>
    <t>ORD-101560</t>
  </si>
  <si>
    <t>ORD-101614</t>
  </si>
  <si>
    <t>CUST-01549</t>
  </si>
  <si>
    <t>ORD-101833</t>
  </si>
  <si>
    <t>ORD-101858</t>
  </si>
  <si>
    <t>CUST-00924</t>
  </si>
  <si>
    <t>ORD-101926</t>
  </si>
  <si>
    <t>CUST-02542</t>
  </si>
  <si>
    <t>ORD-101938</t>
  </si>
  <si>
    <t>CUST-02027</t>
  </si>
  <si>
    <t>ORD-101944</t>
  </si>
  <si>
    <t>CUST-00308</t>
  </si>
  <si>
    <t>ORD-102026</t>
  </si>
  <si>
    <t>CUST-00810</t>
  </si>
  <si>
    <t>ORD-102088</t>
  </si>
  <si>
    <t>CUST-00868</t>
  </si>
  <si>
    <t>ORD-102107</t>
  </si>
  <si>
    <t>CUST-00563</t>
  </si>
  <si>
    <t>ORD-102158</t>
  </si>
  <si>
    <t>CUST-02480</t>
  </si>
  <si>
    <t>ORD-102162</t>
  </si>
  <si>
    <t>CUST-00200</t>
  </si>
  <si>
    <t>ORD-102170</t>
  </si>
  <si>
    <t>ORD-102249</t>
  </si>
  <si>
    <t>CUST-03082</t>
  </si>
  <si>
    <t>ORD-102471</t>
  </si>
  <si>
    <t>CUST-00349</t>
  </si>
  <si>
    <t>ORD-102517</t>
  </si>
  <si>
    <t>CUST-01032</t>
  </si>
  <si>
    <t>ORD-102613</t>
  </si>
  <si>
    <t>CUST-00393</t>
  </si>
  <si>
    <t>ORD-102639</t>
  </si>
  <si>
    <t>CUST-00376</t>
  </si>
  <si>
    <t>ORD-102650</t>
  </si>
  <si>
    <t>CUST-00532</t>
  </si>
  <si>
    <t>ORD-102716</t>
  </si>
  <si>
    <t>ORD-102722</t>
  </si>
  <si>
    <t>ORD-102862</t>
  </si>
  <si>
    <t>CUST-01571</t>
  </si>
  <si>
    <t>ORD-102867</t>
  </si>
  <si>
    <t>CUST-00056</t>
  </si>
  <si>
    <t>ORD-102949</t>
  </si>
  <si>
    <t>CUST-00581</t>
  </si>
  <si>
    <t>ORD-102991</t>
  </si>
  <si>
    <t>ORD-102996</t>
  </si>
  <si>
    <t>CUST-01019</t>
  </si>
  <si>
    <t>ORD-103060</t>
  </si>
  <si>
    <t>ORD-103063</t>
  </si>
  <si>
    <t>ORD-103074</t>
  </si>
  <si>
    <t>CUST-00107</t>
  </si>
  <si>
    <t>ORD-103101</t>
  </si>
  <si>
    <t>CUST-02846</t>
  </si>
  <si>
    <t>ORD-103118</t>
  </si>
  <si>
    <t>CUST-03107</t>
  </si>
  <si>
    <t>ORD-103132</t>
  </si>
  <si>
    <t>CUST-01853</t>
  </si>
  <si>
    <t>ORD-103207</t>
  </si>
  <si>
    <t>CUST-00734</t>
  </si>
  <si>
    <t>ORD-103213</t>
  </si>
  <si>
    <t>ORD-103320</t>
  </si>
  <si>
    <t>CUST-00642</t>
  </si>
  <si>
    <t>ORD-103396</t>
  </si>
  <si>
    <t>ORD-103589</t>
  </si>
  <si>
    <t>CUST-00524</t>
  </si>
  <si>
    <t>ORD-103686</t>
  </si>
  <si>
    <t>CUST-00345</t>
  </si>
  <si>
    <t>ORD-103697</t>
  </si>
  <si>
    <t>CUST-00855</t>
  </si>
  <si>
    <t>ORD-103725</t>
  </si>
  <si>
    <t>CUST-00294</t>
  </si>
  <si>
    <t>ORD-103737</t>
  </si>
  <si>
    <t>ORD-103761</t>
  </si>
  <si>
    <t>CUST-00631</t>
  </si>
  <si>
    <t>ORD-103799</t>
  </si>
  <si>
    <t>ORD-103857</t>
  </si>
  <si>
    <t>CUST-01806</t>
  </si>
  <si>
    <t>ORD-103913</t>
  </si>
  <si>
    <t>CUST-00080</t>
  </si>
  <si>
    <t>ORD-104018</t>
  </si>
  <si>
    <t>CUST-00381</t>
  </si>
  <si>
    <t>ORD-104104</t>
  </si>
  <si>
    <t>CUST-00883</t>
  </si>
  <si>
    <t>ORD-104191</t>
  </si>
  <si>
    <t>CUST-00099</t>
  </si>
  <si>
    <t>ORD-104228</t>
  </si>
  <si>
    <t>CUST-02794</t>
  </si>
  <si>
    <t>ORD-104261</t>
  </si>
  <si>
    <t>CUST-00736</t>
  </si>
  <si>
    <t>ORD-104302</t>
  </si>
  <si>
    <t>CUST-01900</t>
  </si>
  <si>
    <t>ORD-104392</t>
  </si>
  <si>
    <t>CUST-00429</t>
  </si>
  <si>
    <t>ORD-104439</t>
  </si>
  <si>
    <t>CUST-00466</t>
  </si>
  <si>
    <t>ORD-104726</t>
  </si>
  <si>
    <t>CUST-00627</t>
  </si>
  <si>
    <t>ORD-100040</t>
  </si>
  <si>
    <t>ORD-100104</t>
  </si>
  <si>
    <t>CUST-01752</t>
  </si>
  <si>
    <t>ORD-100106</t>
  </si>
  <si>
    <t>CUST-01600</t>
  </si>
  <si>
    <t>ORD-100427</t>
  </si>
  <si>
    <t>CUST-02501</t>
  </si>
  <si>
    <t>ORD-101028</t>
  </si>
  <si>
    <t>CUST-00386</t>
  </si>
  <si>
    <t>ORD-101156</t>
  </si>
  <si>
    <t>ORD-101306</t>
  </si>
  <si>
    <t>ORD-101420</t>
  </si>
  <si>
    <t>CUST-00570</t>
  </si>
  <si>
    <t>ORD-101483</t>
  </si>
  <si>
    <t>CUST-00289</t>
  </si>
  <si>
    <t>ORD-101574</t>
  </si>
  <si>
    <t>CUST-00787</t>
  </si>
  <si>
    <t>ORD-101802</t>
  </si>
  <si>
    <t>CUST-01487</t>
  </si>
  <si>
    <t>ORD-101831</t>
  </si>
  <si>
    <t>CUST-00699</t>
  </si>
  <si>
    <t>ORD-101930</t>
  </si>
  <si>
    <t>CUST-00413</t>
  </si>
  <si>
    <t>ORD-101967</t>
  </si>
  <si>
    <t>CUST-00859</t>
  </si>
  <si>
    <t>ORD-101988</t>
  </si>
  <si>
    <t>CUST-00926</t>
  </si>
  <si>
    <t>ORD-102090</t>
  </si>
  <si>
    <t>CUST-01497</t>
  </si>
  <si>
    <t>ORD-102103</t>
  </si>
  <si>
    <t>CUST-03088</t>
  </si>
  <si>
    <t>ORD-102110</t>
  </si>
  <si>
    <t>ORD-102306</t>
  </si>
  <si>
    <t>CUST-00182</t>
  </si>
  <si>
    <t>ORD-102320</t>
  </si>
  <si>
    <t>CUST-00971</t>
  </si>
  <si>
    <t>ORD-102516</t>
  </si>
  <si>
    <t>CUST-02028</t>
  </si>
  <si>
    <t>ORD-102533</t>
  </si>
  <si>
    <t>CUST-00453</t>
  </si>
  <si>
    <t>ORD-102619</t>
  </si>
  <si>
    <t>CUST-00998</t>
  </si>
  <si>
    <t>ORD-102725</t>
  </si>
  <si>
    <t>CUST-00793</t>
  </si>
  <si>
    <t>ORD-102819</t>
  </si>
  <si>
    <t>CUST-01132</t>
  </si>
  <si>
    <t>ORD-102858</t>
  </si>
  <si>
    <t>CUST-00512</t>
  </si>
  <si>
    <t>ORD-102917</t>
  </si>
  <si>
    <t>CUST-02494</t>
  </si>
  <si>
    <t>ORD-102963</t>
  </si>
  <si>
    <t>CUST-00021</t>
  </si>
  <si>
    <t>ORD-103062</t>
  </si>
  <si>
    <t>CUST-00858</t>
  </si>
  <si>
    <t>ORD-103116</t>
  </si>
  <si>
    <t>CUST-01969</t>
  </si>
  <si>
    <t>ORD-103219</t>
  </si>
  <si>
    <t>CUST-00479</t>
  </si>
  <si>
    <t>ORD-103298</t>
  </si>
  <si>
    <t>CUST-00912</t>
  </si>
  <si>
    <t>ORD-103341</t>
  </si>
  <si>
    <t>ORD-103383</t>
  </si>
  <si>
    <t>CUST-00996</t>
  </si>
  <si>
    <t>ORD-103406</t>
  </si>
  <si>
    <t>CUST-00452</t>
  </si>
  <si>
    <t>ORD-103465</t>
  </si>
  <si>
    <t>CUST-00892</t>
  </si>
  <si>
    <t>ORD-103500</t>
  </si>
  <si>
    <t>CUST-02804</t>
  </si>
  <si>
    <t>ORD-103525</t>
  </si>
  <si>
    <t>CUST-00070</t>
  </si>
  <si>
    <t>ORD-103553</t>
  </si>
  <si>
    <t>CUST-02465</t>
  </si>
  <si>
    <t>ORD-103578</t>
  </si>
  <si>
    <t>CUST-00889</t>
  </si>
  <si>
    <t>ORD-103692</t>
  </si>
  <si>
    <t>ORD-103839</t>
  </si>
  <si>
    <t>CUST-00018</t>
  </si>
  <si>
    <t>ORD-103945</t>
  </si>
  <si>
    <t>CUST-02191</t>
  </si>
  <si>
    <t>ORD-104254</t>
  </si>
  <si>
    <t>CUST-00670</t>
  </si>
  <si>
    <t>ORD-104419</t>
  </si>
  <si>
    <t>CUST-02886</t>
  </si>
  <si>
    <t>ORD-104432</t>
  </si>
  <si>
    <t>CUST-02351</t>
  </si>
  <si>
    <t>ORD-104633</t>
  </si>
  <si>
    <t>CUST-02862</t>
  </si>
  <si>
    <t>ORD-100197</t>
  </si>
  <si>
    <t>CUST-00472</t>
  </si>
  <si>
    <t>ORD-100392</t>
  </si>
  <si>
    <t>CUST-00569</t>
  </si>
  <si>
    <t>ORD-100396</t>
  </si>
  <si>
    <t>CUST-00127</t>
  </si>
  <si>
    <t>ORD-100464</t>
  </si>
  <si>
    <t>CUST-01516</t>
  </si>
  <si>
    <t>ORD-100498</t>
  </si>
  <si>
    <t>CUST-00199</t>
  </si>
  <si>
    <t>ORD-100621</t>
  </si>
  <si>
    <t>CUST-00242</t>
  </si>
  <si>
    <t>ORD-100751</t>
  </si>
  <si>
    <t>CUST-01828</t>
  </si>
  <si>
    <t>ORD-100829</t>
  </si>
  <si>
    <t>CUST-00641</t>
  </si>
  <si>
    <t>ORD-100883</t>
  </si>
  <si>
    <t>ORD-100942</t>
  </si>
  <si>
    <t>CUST-00037</t>
  </si>
  <si>
    <t>ORD-101053</t>
  </si>
  <si>
    <t>CUST-01503</t>
  </si>
  <si>
    <t>ORD-101144</t>
  </si>
  <si>
    <t>CUST-01098</t>
  </si>
  <si>
    <t>ORD-101478</t>
  </si>
  <si>
    <t>CUST-00598</t>
  </si>
  <si>
    <t>ORD-101543</t>
  </si>
  <si>
    <t>CUST-01150</t>
  </si>
  <si>
    <t>ORD-101572</t>
  </si>
  <si>
    <t>CUST-00201</t>
  </si>
  <si>
    <t>ORD-101699</t>
  </si>
  <si>
    <t>ORD-101809</t>
  </si>
  <si>
    <t>CUST-02060</t>
  </si>
  <si>
    <t>ORD-102066</t>
  </si>
  <si>
    <t>CUST-00841</t>
  </si>
  <si>
    <t>ORD-102112</t>
  </si>
  <si>
    <t>CUST-00123</t>
  </si>
  <si>
    <t>ORD-102291</t>
  </si>
  <si>
    <t>CUST-00340</t>
  </si>
  <si>
    <t>ORD-102604</t>
  </si>
  <si>
    <t>ORD-102656</t>
  </si>
  <si>
    <t>CUST-00374</t>
  </si>
  <si>
    <t>ORD-102663</t>
  </si>
  <si>
    <t>CUST-00526</t>
  </si>
  <si>
    <t>ORD-102692</t>
  </si>
  <si>
    <t>ORD-102976</t>
  </si>
  <si>
    <t>CUST-01082</t>
  </si>
  <si>
    <t>ORD-103018</t>
  </si>
  <si>
    <t>ORD-103022</t>
  </si>
  <si>
    <t>CUST-01835</t>
  </si>
  <si>
    <t>ORD-103355</t>
  </si>
  <si>
    <t>CUST-01113</t>
  </si>
  <si>
    <t>ORD-103377</t>
  </si>
  <si>
    <t>ORD-103447</t>
  </si>
  <si>
    <t>CUST-00360</t>
  </si>
  <si>
    <t>ORD-103680</t>
  </si>
  <si>
    <t>CUST-00707</t>
  </si>
  <si>
    <t>ORD-103778</t>
  </si>
  <si>
    <t>CUST-00451</t>
  </si>
  <si>
    <t>ORD-103861</t>
  </si>
  <si>
    <t>ORD-103893</t>
  </si>
  <si>
    <t>CUST-00753</t>
  </si>
  <si>
    <t>ORD-103911</t>
  </si>
  <si>
    <t>CUST-02745</t>
  </si>
  <si>
    <t>ORD-103926</t>
  </si>
  <si>
    <t>CUST-00727</t>
  </si>
  <si>
    <t>ORD-103992</t>
  </si>
  <si>
    <t>CUST-00083</t>
  </si>
  <si>
    <t>ORD-103999</t>
  </si>
  <si>
    <t>CUST-01649</t>
  </si>
  <si>
    <t>ORD-104079</t>
  </si>
  <si>
    <t>CUST-00435</t>
  </si>
  <si>
    <t>ORD-104373</t>
  </si>
  <si>
    <t>CUST-01613</t>
  </si>
  <si>
    <t>ORD-104377</t>
  </si>
  <si>
    <t>CUST-00844</t>
  </si>
  <si>
    <t>ORD-104388</t>
  </si>
  <si>
    <t>CUST-02181</t>
  </si>
  <si>
    <t>ORD-104435</t>
  </si>
  <si>
    <t>CUST-01988</t>
  </si>
  <si>
    <t>ORD-104495</t>
  </si>
  <si>
    <t>CUST-00415</t>
  </si>
  <si>
    <t>ORD-104683</t>
  </si>
  <si>
    <t>CUST-00871</t>
  </si>
  <si>
    <t>ORD-104810</t>
  </si>
  <si>
    <t>CUST-00184</t>
  </si>
  <si>
    <t>ORD-100063</t>
  </si>
  <si>
    <t>CUST-01761</t>
  </si>
  <si>
    <t>ORD-100152</t>
  </si>
  <si>
    <t>CUST-01062</t>
  </si>
  <si>
    <t>ORD-100199</t>
  </si>
  <si>
    <t>CUST-00860</t>
  </si>
  <si>
    <t>ORD-100372</t>
  </si>
  <si>
    <t>CUST-00975</t>
  </si>
  <si>
    <t>ORD-100409</t>
  </si>
  <si>
    <t>CUST-02699</t>
  </si>
  <si>
    <t>ORD-100549</t>
  </si>
  <si>
    <t>CUST-00668</t>
  </si>
  <si>
    <t>ORD-100822</t>
  </si>
  <si>
    <t>ORD-100845</t>
  </si>
  <si>
    <t>ORD-100962</t>
  </si>
  <si>
    <t>CUST-00113</t>
  </si>
  <si>
    <t>ORD-100968</t>
  </si>
  <si>
    <t>CUST-02408</t>
  </si>
  <si>
    <t>ORD-101032</t>
  </si>
  <si>
    <t>CUST-00100</t>
  </si>
  <si>
    <t>ORD-101202</t>
  </si>
  <si>
    <t>CUST-00861</t>
  </si>
  <si>
    <t>ORD-101332</t>
  </si>
  <si>
    <t>ORD-101439</t>
  </si>
  <si>
    <t>CUST-00850</t>
  </si>
  <si>
    <t>ORD-101608</t>
  </si>
  <si>
    <t>CUST-00399</t>
  </si>
  <si>
    <t>ORD-101705</t>
  </si>
  <si>
    <t>CUST-01532</t>
  </si>
  <si>
    <t>ORD-101761</t>
  </si>
  <si>
    <t>CUST-00948</t>
  </si>
  <si>
    <t>ORD-101889</t>
  </si>
  <si>
    <t>CUST-01996</t>
  </si>
  <si>
    <t>ORD-101894</t>
  </si>
  <si>
    <t>CUST-01131</t>
  </si>
  <si>
    <t>ORD-102095</t>
  </si>
  <si>
    <t>ORD-102123</t>
  </si>
  <si>
    <t>CUST-02771</t>
  </si>
  <si>
    <t>ORD-102136</t>
  </si>
  <si>
    <t>ORD-102227</t>
  </si>
  <si>
    <t>CUST-01715</t>
  </si>
  <si>
    <t>ORD-102262</t>
  </si>
  <si>
    <t>CUST-03170</t>
  </si>
  <si>
    <t>ORD-102274</t>
  </si>
  <si>
    <t>CUST-01200</t>
  </si>
  <si>
    <t>ORD-102307</t>
  </si>
  <si>
    <t>CUST-02567</t>
  </si>
  <si>
    <t>ORD-102357</t>
  </si>
  <si>
    <t>ORD-102377</t>
  </si>
  <si>
    <t>CUST-00999</t>
  </si>
  <si>
    <t>ORD-102441</t>
  </si>
  <si>
    <t>CUST-00038</t>
  </si>
  <si>
    <t>ORD-102526</t>
  </si>
  <si>
    <t>CUST-01621</t>
  </si>
  <si>
    <t>ORD-102662</t>
  </si>
  <si>
    <t>ORD-102738</t>
  </si>
  <si>
    <t>CUST-01827</t>
  </si>
  <si>
    <t>ORD-102758</t>
  </si>
  <si>
    <t>CUST-00213</t>
  </si>
  <si>
    <t>ORD-102792</t>
  </si>
  <si>
    <t>CUST-00961</t>
  </si>
  <si>
    <t>ORD-102810</t>
  </si>
  <si>
    <t>CUST-00191</t>
  </si>
  <si>
    <t>ORD-102849</t>
  </si>
  <si>
    <t>CUST-00254</t>
  </si>
  <si>
    <t>ORD-102964</t>
  </si>
  <si>
    <t>CUST-02374</t>
  </si>
  <si>
    <t>ORD-103044</t>
  </si>
  <si>
    <t>CUST-01115</t>
  </si>
  <si>
    <t>ORD-103109</t>
  </si>
  <si>
    <t>CUST-01106</t>
  </si>
  <si>
    <t>ORD-103117</t>
  </si>
  <si>
    <t>CUST-01205</t>
  </si>
  <si>
    <t>ORD-103191</t>
  </si>
  <si>
    <t>CUST-02401</t>
  </si>
  <si>
    <t>ORD-103370</t>
  </si>
  <si>
    <t>CUST-02269</t>
  </si>
  <si>
    <t>ORD-103401</t>
  </si>
  <si>
    <t>CUST-01224</t>
  </si>
  <si>
    <t>ORD-103445</t>
  </si>
  <si>
    <t>CUST-01974</t>
  </si>
  <si>
    <t>ORD-103564</t>
  </si>
  <si>
    <t>CUST-00857</t>
  </si>
  <si>
    <t>ORD-103650</t>
  </si>
  <si>
    <t>CUST-01110</t>
  </si>
  <si>
    <t>ORD-103723</t>
  </si>
  <si>
    <t>CUST-00364</t>
  </si>
  <si>
    <t>ORD-103889</t>
  </si>
  <si>
    <t>ORD-103909</t>
  </si>
  <si>
    <t>ORD-104027</t>
  </si>
  <si>
    <t>CUST-00620</t>
  </si>
  <si>
    <t>ORD-104033</t>
  </si>
  <si>
    <t>CUST-01810</t>
  </si>
  <si>
    <t>ORD-104176</t>
  </si>
  <si>
    <t>CUST-01526</t>
  </si>
  <si>
    <t>ORD-104183</t>
  </si>
  <si>
    <t>CUST-01101</t>
  </si>
  <si>
    <t>ORD-104339</t>
  </si>
  <si>
    <t>ORD-104387</t>
  </si>
  <si>
    <t>CUST-00160</t>
  </si>
  <si>
    <t>ORD-104462</t>
  </si>
  <si>
    <t>ORD-104478</t>
  </si>
  <si>
    <t>CUST-00035</t>
  </si>
  <si>
    <t>ORD-104571</t>
  </si>
  <si>
    <t>CUST-02900</t>
  </si>
  <si>
    <t>ORD-104597</t>
  </si>
  <si>
    <t>CUST-00838</t>
  </si>
  <si>
    <t>ORD-104632</t>
  </si>
  <si>
    <t>ORD-104639</t>
  </si>
  <si>
    <t>CUST-00887</t>
  </si>
  <si>
    <t>ORD-104660</t>
  </si>
  <si>
    <t>CUST-01185</t>
  </si>
  <si>
    <t>ORD-104719</t>
  </si>
  <si>
    <t>CUST-01807</t>
  </si>
  <si>
    <t>ORD-104779</t>
  </si>
  <si>
    <t>CUST-01342</t>
  </si>
  <si>
    <t>ORD-104808</t>
  </si>
  <si>
    <t>CUST-00141</t>
  </si>
  <si>
    <t>ORD-100188</t>
  </si>
  <si>
    <t>CUST-02705</t>
  </si>
  <si>
    <t>ORD-100254</t>
  </si>
  <si>
    <t>CUST-00667</t>
  </si>
  <si>
    <t>ORD-100383</t>
  </si>
  <si>
    <t>CUST-03084</t>
  </si>
  <si>
    <t>ORD-100401</t>
  </si>
  <si>
    <t>CUST-00367</t>
  </si>
  <si>
    <t>ORD-100446</t>
  </si>
  <si>
    <t>ORD-100481</t>
  </si>
  <si>
    <t>ORD-100494</t>
  </si>
  <si>
    <t>ORD-100548</t>
  </si>
  <si>
    <t>CUST-01154</t>
  </si>
  <si>
    <t>ORD-100557</t>
  </si>
  <si>
    <t>CUST-00649</t>
  </si>
  <si>
    <t>ORD-100643</t>
  </si>
  <si>
    <t>CUST-01245</t>
  </si>
  <si>
    <t>ORD-100681</t>
  </si>
  <si>
    <t>ORD-100780</t>
  </si>
  <si>
    <t>CUST-02140</t>
  </si>
  <si>
    <t>ORD-100794</t>
  </si>
  <si>
    <t>ORD-100902</t>
  </si>
  <si>
    <t>ORD-100918</t>
  </si>
  <si>
    <t>CUST-01080</t>
  </si>
  <si>
    <t>ORD-101003</t>
  </si>
  <si>
    <t>CUST-03097</t>
  </si>
  <si>
    <t>ORD-101072</t>
  </si>
  <si>
    <t>CUST-00566</t>
  </si>
  <si>
    <t>ORD-101123</t>
  </si>
  <si>
    <t>ORD-101184</t>
  </si>
  <si>
    <t>CUST-00046</t>
  </si>
  <si>
    <t>ORD-101229</t>
  </si>
  <si>
    <t>CUST-01265</t>
  </si>
  <si>
    <t>ORD-101258</t>
  </si>
  <si>
    <t>CUST-00069</t>
  </si>
  <si>
    <t>ORD-101310</t>
  </si>
  <si>
    <t>CUST-00086</t>
  </si>
  <si>
    <t>ORD-101341</t>
  </si>
  <si>
    <t>ORD-101343</t>
  </si>
  <si>
    <t>CUST-00890</t>
  </si>
  <si>
    <t>ORD-101377</t>
  </si>
  <si>
    <t>CUST-02515</t>
  </si>
  <si>
    <t>ORD-101446</t>
  </si>
  <si>
    <t>CUST-01958</t>
  </si>
  <si>
    <t>ORD-101485</t>
  </si>
  <si>
    <t>CUST-00502</t>
  </si>
  <si>
    <t>ORD-101550</t>
  </si>
  <si>
    <t>CUST-01193</t>
  </si>
  <si>
    <t>ORD-101617</t>
  </si>
  <si>
    <t>CUST-01935</t>
  </si>
  <si>
    <t>ORD-101643</t>
  </si>
  <si>
    <t>CUST-01231</t>
  </si>
  <si>
    <t>ORD-101827</t>
  </si>
  <si>
    <t>CUST-01089</t>
  </si>
  <si>
    <t>ORD-101904</t>
  </si>
  <si>
    <t>CUST-01570</t>
  </si>
  <si>
    <t>ORD-101970</t>
  </si>
  <si>
    <t>CUST-00897</t>
  </si>
  <si>
    <t>ORD-102072</t>
  </si>
  <si>
    <t>CUST-02214</t>
  </si>
  <si>
    <t>ORD-102141</t>
  </si>
  <si>
    <t>ORD-102166</t>
  </si>
  <si>
    <t>CUST-00096</t>
  </si>
  <si>
    <t>ORD-102279</t>
  </si>
  <si>
    <t>CUST-02798</t>
  </si>
  <si>
    <t>ORD-102315</t>
  </si>
  <si>
    <t>ORD-102458</t>
  </si>
  <si>
    <t>CUST-00995</t>
  </si>
  <si>
    <t>ORD-102491</t>
  </si>
  <si>
    <t>CUST-02524</t>
  </si>
  <si>
    <t>ORD-102606</t>
  </si>
  <si>
    <t>CUST-02628</t>
  </si>
  <si>
    <t>ORD-102615</t>
  </si>
  <si>
    <t>CUST-01157</t>
  </si>
  <si>
    <t>ORD-102661</t>
  </si>
  <si>
    <t>CUST-02729</t>
  </si>
  <si>
    <t>ORD-102795</t>
  </si>
  <si>
    <t>CUST-01148</t>
  </si>
  <si>
    <t>ORD-102799</t>
  </si>
  <si>
    <t>CUST-00207</t>
  </si>
  <si>
    <t>ORD-102893</t>
  </si>
  <si>
    <t>CUST-02686</t>
  </si>
  <si>
    <t>ORD-102958</t>
  </si>
  <si>
    <t>CUST-00760</t>
  </si>
  <si>
    <t>ORD-102961</t>
  </si>
  <si>
    <t>CUST-00624</t>
  </si>
  <si>
    <t>ORD-102967</t>
  </si>
  <si>
    <t>CUST-01077</t>
  </si>
  <si>
    <t>ORD-103046</t>
  </si>
  <si>
    <t>CUST-02609</t>
  </si>
  <si>
    <t>ORD-103067</t>
  </si>
  <si>
    <t>CUST-02023</t>
  </si>
  <si>
    <t>ORD-103319</t>
  </si>
  <si>
    <t>CUST-00771</t>
  </si>
  <si>
    <t>ORD-103348</t>
  </si>
  <si>
    <t>CUST-02461</t>
  </si>
  <si>
    <t>ORD-103461</t>
  </si>
  <si>
    <t>ORD-103515</t>
  </si>
  <si>
    <t>CUST-00515</t>
  </si>
  <si>
    <t>ORD-103577</t>
  </si>
  <si>
    <t>CUST-00800</t>
  </si>
  <si>
    <t>ORD-103615</t>
  </si>
  <si>
    <t>CUST-01784</t>
  </si>
  <si>
    <t>ORD-103646</t>
  </si>
  <si>
    <t>ORD-103658</t>
  </si>
  <si>
    <t>CUST-01168</t>
  </si>
  <si>
    <t>ORD-103715</t>
  </si>
  <si>
    <t>ORD-103739</t>
  </si>
  <si>
    <t>CUST-01294</t>
  </si>
  <si>
    <t>ORD-103796</t>
  </si>
  <si>
    <t>ORD-103800</t>
  </si>
  <si>
    <t>ORD-103846</t>
  </si>
  <si>
    <t>CUST-02460</t>
  </si>
  <si>
    <t>ORD-104165</t>
  </si>
  <si>
    <t>CUST-02697</t>
  </si>
  <si>
    <t>ORD-104265</t>
  </si>
  <si>
    <t>CUST-02239</t>
  </si>
  <si>
    <t>ORD-104288</t>
  </si>
  <si>
    <t>CUST-03197</t>
  </si>
  <si>
    <t>ORD-104324</t>
  </si>
  <si>
    <t>ORD-104452</t>
  </si>
  <si>
    <t>CUST-02264</t>
  </si>
  <si>
    <t>ORD-104552</t>
  </si>
  <si>
    <t>CUST-00980</t>
  </si>
  <si>
    <t>ORD-104618</t>
  </si>
  <si>
    <t>CUST-00597</t>
  </si>
  <si>
    <t>ORD-104706</t>
  </si>
  <si>
    <t>CUST-02319</t>
  </si>
  <si>
    <t>ORD-104743</t>
  </si>
  <si>
    <t>CUST-00475</t>
  </si>
  <si>
    <t>ORD-104748</t>
  </si>
  <si>
    <t>CUST-00423</t>
  </si>
  <si>
    <t>ORD-104790</t>
  </si>
  <si>
    <t>ORD-100028</t>
  </si>
  <si>
    <t>ORD-100049</t>
  </si>
  <si>
    <t>ORD-100115</t>
  </si>
  <si>
    <t>CUST-00799</t>
  </si>
  <si>
    <t>ORD-100144</t>
  </si>
  <si>
    <t>ORD-100192</t>
  </si>
  <si>
    <t>CUST-00128</t>
  </si>
  <si>
    <t>ORD-100345</t>
  </si>
  <si>
    <t>CUST-00703</t>
  </si>
  <si>
    <t>ORD-100356</t>
  </si>
  <si>
    <t>CUST-02787</t>
  </si>
  <si>
    <t>ORD-100471</t>
  </si>
  <si>
    <t>CUST-00326</t>
  </si>
  <si>
    <t>ORD-100572</t>
  </si>
  <si>
    <t>ORD-100619</t>
  </si>
  <si>
    <t>CUST-02352</t>
  </si>
  <si>
    <t>ORD-100699</t>
  </si>
  <si>
    <t>CUST-00602</t>
  </si>
  <si>
    <t>ORD-100790</t>
  </si>
  <si>
    <t>ORD-100833</t>
  </si>
  <si>
    <t>ORD-100961</t>
  </si>
  <si>
    <t>ORD-100972</t>
  </si>
  <si>
    <t>CUST-01961</t>
  </si>
  <si>
    <t>ORD-101002</t>
  </si>
  <si>
    <t>CUST-01196</t>
  </si>
  <si>
    <t>ORD-101021</t>
  </si>
  <si>
    <t>CUST-00062</t>
  </si>
  <si>
    <t>ORD-101049</t>
  </si>
  <si>
    <t>CUST-00601</t>
  </si>
  <si>
    <t>ORD-101113</t>
  </si>
  <si>
    <t>CUST-00450</t>
  </si>
  <si>
    <t>ORD-101187</t>
  </si>
  <si>
    <t>CUST-00913</t>
  </si>
  <si>
    <t>ORD-101189</t>
  </si>
  <si>
    <t>ORD-101195</t>
  </si>
  <si>
    <t>CUST-01156</t>
  </si>
  <si>
    <t>ORD-101247</t>
  </si>
  <si>
    <t>CUST-00862</t>
  </si>
  <si>
    <t>ORD-101269</t>
  </si>
  <si>
    <t>CUST-00194</t>
  </si>
  <si>
    <t>ORD-101279</t>
  </si>
  <si>
    <t>CUST-00187</t>
  </si>
  <si>
    <t>ORD-101320</t>
  </si>
  <si>
    <t>CUST-01277</t>
  </si>
  <si>
    <t>ORD-101331</t>
  </si>
  <si>
    <t>ORD-101337</t>
  </si>
  <si>
    <t>CUST-00923</t>
  </si>
  <si>
    <t>ORD-101601</t>
  </si>
  <si>
    <t>CUST-00783</t>
  </si>
  <si>
    <t>ORD-101655</t>
  </si>
  <si>
    <t>CUST-00032</t>
  </si>
  <si>
    <t>ORD-101664</t>
  </si>
  <si>
    <t>CUST-01566</t>
  </si>
  <si>
    <t>ORD-101857</t>
  </si>
  <si>
    <t>CUST-01249</t>
  </si>
  <si>
    <t>ORD-101887</t>
  </si>
  <si>
    <t>CUST-02876</t>
  </si>
  <si>
    <t>ORD-101912</t>
  </si>
  <si>
    <t>ORD-101958</t>
  </si>
  <si>
    <t>CUST-02788</t>
  </si>
  <si>
    <t>ORD-101959</t>
  </si>
  <si>
    <t>CUST-01800</t>
  </si>
  <si>
    <t>ORD-101998</t>
  </si>
  <si>
    <t>CUST-00205</t>
  </si>
  <si>
    <t>ORD-102030</t>
  </si>
  <si>
    <t>CUST-02080</t>
  </si>
  <si>
    <t>ORD-102145</t>
  </si>
  <si>
    <t>ORD-102235</t>
  </si>
  <si>
    <t>CUST-00039</t>
  </si>
  <si>
    <t>ORD-102267</t>
  </si>
  <si>
    <t>CUST-01572</t>
  </si>
  <si>
    <t>ORD-102303</t>
  </si>
  <si>
    <t>ORD-102310</t>
  </si>
  <si>
    <t>CUST-00503</t>
  </si>
  <si>
    <t>ORD-102325</t>
  </si>
  <si>
    <t>CUST-00543</t>
  </si>
  <si>
    <t>ORD-102384</t>
  </si>
  <si>
    <t>CUST-02224</t>
  </si>
  <si>
    <t>ORD-102416</t>
  </si>
  <si>
    <t>CUST-00025</t>
  </si>
  <si>
    <t>ORD-102492</t>
  </si>
  <si>
    <t>CUST-01059</t>
  </si>
  <si>
    <t>ORD-102503</t>
  </si>
  <si>
    <t>ORD-102603</t>
  </si>
  <si>
    <t>CUST-00165</t>
  </si>
  <si>
    <t>ORD-102707</t>
  </si>
  <si>
    <t>CUST-02061</t>
  </si>
  <si>
    <t>ORD-102755</t>
  </si>
  <si>
    <t>CUST-00547</t>
  </si>
  <si>
    <t>ORD-102772</t>
  </si>
  <si>
    <t>ORD-102818</t>
  </si>
  <si>
    <t>CUST-01858</t>
  </si>
  <si>
    <t>ORD-102850</t>
  </si>
  <si>
    <t>CUST-00747</t>
  </si>
  <si>
    <t>ORD-102966</t>
  </si>
  <si>
    <t>CUST-01176</t>
  </si>
  <si>
    <t>ORD-103012</t>
  </si>
  <si>
    <t>ORD-103035</t>
  </si>
  <si>
    <t>CUST-01020</t>
  </si>
  <si>
    <t>ORD-103054</t>
  </si>
  <si>
    <t>ORD-103102</t>
  </si>
  <si>
    <t>CUST-01610</t>
  </si>
  <si>
    <t>ORD-103121</t>
  </si>
  <si>
    <t>CUST-00888</t>
  </si>
  <si>
    <t>ORD-103206</t>
  </si>
  <si>
    <t>ORD-103225</t>
  </si>
  <si>
    <t>CUST-02482</t>
  </si>
  <si>
    <t>ORD-103280</t>
  </si>
  <si>
    <t>ORD-103293</t>
  </si>
  <si>
    <t>CUST-00937</t>
  </si>
  <si>
    <t>ORD-103345</t>
  </si>
  <si>
    <t>CUST-02197</t>
  </si>
  <si>
    <t>ORD-103358</t>
  </si>
  <si>
    <t>ORD-103407</t>
  </si>
  <si>
    <t>CUST-00994</t>
  </si>
  <si>
    <t>ORD-103414</t>
  </si>
  <si>
    <t>ORD-103506</t>
  </si>
  <si>
    <t>ORD-103520</t>
  </si>
  <si>
    <t>CUST-00749</t>
  </si>
  <si>
    <t>ORD-103558</t>
  </si>
  <si>
    <t>CUST-02930</t>
  </si>
  <si>
    <t>ORD-103616</t>
  </si>
  <si>
    <t>CUST-01972</t>
  </si>
  <si>
    <t>ORD-103660</t>
  </si>
  <si>
    <t>CUST-00549</t>
  </si>
  <si>
    <t>ORD-103755</t>
  </si>
  <si>
    <t>CUST-01151</t>
  </si>
  <si>
    <t>ORD-103765</t>
  </si>
  <si>
    <t>CUST-02574</t>
  </si>
  <si>
    <t>ORD-103777</t>
  </si>
  <si>
    <t>ORD-103836</t>
  </si>
  <si>
    <t>CUST-02021</t>
  </si>
  <si>
    <t>ORD-103850</t>
  </si>
  <si>
    <t>ORD-104115</t>
  </si>
  <si>
    <t>CUST-00192</t>
  </si>
  <si>
    <t>ORD-104257</t>
  </si>
  <si>
    <t>CUST-00463</t>
  </si>
  <si>
    <t>ORD-104334</t>
  </si>
  <si>
    <t>CUST-02488</t>
  </si>
  <si>
    <t>ORD-104337</t>
  </si>
  <si>
    <t>CUST-02675</t>
  </si>
  <si>
    <t>ORD-104409</t>
  </si>
  <si>
    <t>CUST-00766</t>
  </si>
  <si>
    <t>ORD-104414</t>
  </si>
  <si>
    <t>CUST-01524</t>
  </si>
  <si>
    <t>ORD-104637</t>
  </si>
  <si>
    <t>CUST-00535</t>
  </si>
  <si>
    <t>ORD-104644</t>
  </si>
  <si>
    <t>ORD-104645</t>
  </si>
  <si>
    <t>CUST-00033</t>
  </si>
  <si>
    <t>ORD-104671</t>
  </si>
  <si>
    <t>CUST-01780</t>
  </si>
  <si>
    <t>ORD-104777</t>
  </si>
  <si>
    <t>CUST-00762</t>
  </si>
  <si>
    <t>ORD-100023</t>
  </si>
  <si>
    <t>CUST-01390</t>
  </si>
  <si>
    <t>ORD-100094</t>
  </si>
  <si>
    <t>ORD-100148</t>
  </si>
  <si>
    <t>CUST-00339</t>
  </si>
  <si>
    <t>ORD-100184</t>
  </si>
  <si>
    <t>CUST-00181</t>
  </si>
  <si>
    <t>ORD-100224</t>
  </si>
  <si>
    <t>CUST-00250</t>
  </si>
  <si>
    <t>ORD-100227</t>
  </si>
  <si>
    <t>CUST-00960</t>
  </si>
  <si>
    <t>ORD-100228</t>
  </si>
  <si>
    <t>ORD-100238</t>
  </si>
  <si>
    <t>CUST-00022</t>
  </si>
  <si>
    <t>ORD-100253</t>
  </si>
  <si>
    <t>CUST-02225</t>
  </si>
  <si>
    <t>ORD-100280</t>
  </si>
  <si>
    <t>CUST-02414</t>
  </si>
  <si>
    <t>ORD-100320</t>
  </si>
  <si>
    <t>ORD-100352</t>
  </si>
  <si>
    <t>CUST-00094</t>
  </si>
  <si>
    <t>ORD-100417</t>
  </si>
  <si>
    <t>ORD-100616</t>
  </si>
  <si>
    <t>CUST-03021</t>
  </si>
  <si>
    <t>ORD-100657</t>
  </si>
  <si>
    <t>CUST-00350</t>
  </si>
  <si>
    <t>ORD-100662</t>
  </si>
  <si>
    <t>CUST-02004</t>
  </si>
  <si>
    <t>ORD-100692</t>
  </si>
  <si>
    <t>ORD-100752</t>
  </si>
  <si>
    <t>ORD-100754</t>
  </si>
  <si>
    <t>CUST-02336</t>
  </si>
  <si>
    <t>ORD-100870</t>
  </si>
  <si>
    <t>CUST-01078</t>
  </si>
  <si>
    <t>ORD-100912</t>
  </si>
  <si>
    <t>CUST-02806</t>
  </si>
  <si>
    <t>ORD-100917</t>
  </si>
  <si>
    <t>CUST-01063</t>
  </si>
  <si>
    <t>ORD-100959</t>
  </si>
  <si>
    <t>CUST-01037</t>
  </si>
  <si>
    <t>ORD-100963</t>
  </si>
  <si>
    <t>CUST-02167</t>
  </si>
  <si>
    <t>ORD-100971</t>
  </si>
  <si>
    <t>CUST-01509</t>
  </si>
  <si>
    <t>ORD-101151</t>
  </si>
  <si>
    <t>ORD-101182</t>
  </si>
  <si>
    <t>CUST-00305</t>
  </si>
  <si>
    <t>ORD-101186</t>
  </si>
  <si>
    <t>CUST-00804</t>
  </si>
  <si>
    <t>ORD-101196</t>
  </si>
  <si>
    <t>CUST-00614</t>
  </si>
  <si>
    <t>ORD-101236</t>
  </si>
  <si>
    <t>ORD-101282</t>
  </si>
  <si>
    <t>CUST-00321</t>
  </si>
  <si>
    <t>ORD-101285</t>
  </si>
  <si>
    <t>CUST-00373</t>
  </si>
  <si>
    <t>ORD-101289</t>
  </si>
  <si>
    <t>CUST-00645</t>
  </si>
  <si>
    <t>ORD-101304</t>
  </si>
  <si>
    <t>CUST-02385</t>
  </si>
  <si>
    <t>ORD-101383</t>
  </si>
  <si>
    <t>CUST-01904</t>
  </si>
  <si>
    <t>ORD-101389</t>
  </si>
  <si>
    <t>ORD-101457</t>
  </si>
  <si>
    <t>CUST-02987</t>
  </si>
  <si>
    <t>ORD-101458</t>
  </si>
  <si>
    <t>CUST-00628</t>
  </si>
  <si>
    <t>ORD-101529</t>
  </si>
  <si>
    <t>CUST-01250</t>
  </si>
  <si>
    <t>ORD-101542</t>
  </si>
  <si>
    <t>CUST-00873</t>
  </si>
  <si>
    <t>ORD-101630</t>
  </si>
  <si>
    <t>ORD-101632</t>
  </si>
  <si>
    <t>CUST-00116</t>
  </si>
  <si>
    <t>ORD-101642</t>
  </si>
  <si>
    <t>ORD-101659</t>
  </si>
  <si>
    <t>CUST-01079</t>
  </si>
  <si>
    <t>ORD-101676</t>
  </si>
  <si>
    <t>CUST-00363</t>
  </si>
  <si>
    <t>ORD-101867</t>
  </si>
  <si>
    <t>CUST-00266</t>
  </si>
  <si>
    <t>ORD-101868</t>
  </si>
  <si>
    <t>ORD-102006</t>
  </si>
  <si>
    <t>ORD-102014</t>
  </si>
  <si>
    <t>ORD-102040</t>
  </si>
  <si>
    <t>ORD-102138</t>
  </si>
  <si>
    <t>CUST-01060</t>
  </si>
  <si>
    <t>ORD-102154</t>
  </si>
  <si>
    <t>CUST-02631</t>
  </si>
  <si>
    <t>ORD-102230</t>
  </si>
  <si>
    <t>ORD-102246</t>
  </si>
  <si>
    <t>ORD-102250</t>
  </si>
  <si>
    <t>CUST-01289</t>
  </si>
  <si>
    <t>ORD-102370</t>
  </si>
  <si>
    <t>ORD-102402</t>
  </si>
  <si>
    <t>ORD-102528</t>
  </si>
  <si>
    <t>ORD-102630</t>
  </si>
  <si>
    <t>CUST-00252</t>
  </si>
  <si>
    <t>ORD-102644</t>
  </si>
  <si>
    <t>CUST-02433</t>
  </si>
  <si>
    <t>ORD-102647</t>
  </si>
  <si>
    <t>CUST-01052</t>
  </si>
  <si>
    <t>ORD-102670</t>
  </si>
  <si>
    <t>ORD-102688</t>
  </si>
  <si>
    <t>CUST-03113</t>
  </si>
  <si>
    <t>ORD-102730</t>
  </si>
  <si>
    <t>ORD-102752</t>
  </si>
  <si>
    <t>CUST-01794</t>
  </si>
  <si>
    <t>ORD-102768</t>
  </si>
  <si>
    <t>CUST-02085</t>
  </si>
  <si>
    <t>ORD-102786</t>
  </si>
  <si>
    <t>CUST-01523</t>
  </si>
  <si>
    <t>ORD-102790</t>
  </si>
  <si>
    <t>CUST-00407</t>
  </si>
  <si>
    <t>ORD-102807</t>
  </si>
  <si>
    <t>CUST-03058</t>
  </si>
  <si>
    <t>ORD-102817</t>
  </si>
  <si>
    <t>CUST-02657</t>
  </si>
  <si>
    <t>ORD-102827</t>
  </si>
  <si>
    <t>CUST-00031</t>
  </si>
  <si>
    <t>ORD-102848</t>
  </si>
  <si>
    <t>CUST-02070</t>
  </si>
  <si>
    <t>ORD-102889</t>
  </si>
  <si>
    <t>CUST-00202</t>
  </si>
  <si>
    <t>ORD-102960</t>
  </si>
  <si>
    <t>ORD-102971</t>
  </si>
  <si>
    <t>CUST-00290</t>
  </si>
  <si>
    <t>ORD-103014</t>
  </si>
  <si>
    <t>CUST-01563</t>
  </si>
  <si>
    <t>ORD-103030</t>
  </si>
  <si>
    <t>ORD-103050</t>
  </si>
  <si>
    <t>CUST-00206</t>
  </si>
  <si>
    <t>ORD-103079</t>
  </si>
  <si>
    <t>ORD-103180</t>
  </si>
  <si>
    <t>CUST-00358</t>
  </si>
  <si>
    <t>ORD-103271</t>
  </si>
  <si>
    <t>CUST-00506</t>
  </si>
  <si>
    <t>ORD-103282</t>
  </si>
  <si>
    <t>CUST-02726</t>
  </si>
  <si>
    <t>ORD-103296</t>
  </si>
  <si>
    <t>ORD-103304</t>
  </si>
  <si>
    <t>ORD-103308</t>
  </si>
  <si>
    <t>ORD-103452</t>
  </si>
  <si>
    <t>ORD-103492</t>
  </si>
  <si>
    <t>CUST-01170</t>
  </si>
  <si>
    <t>ORD-103496</t>
  </si>
  <si>
    <t>CUST-00152</t>
  </si>
  <si>
    <t>ORD-103530</t>
  </si>
  <si>
    <t>CUST-00303</t>
  </si>
  <si>
    <t>ORD-103549</t>
  </si>
  <si>
    <t>CUST-02934</t>
  </si>
  <si>
    <t>ORD-103556</t>
  </si>
  <si>
    <t>CUST-00255</t>
  </si>
  <si>
    <t>ORD-103576</t>
  </si>
  <si>
    <t>CUST-00743</t>
  </si>
  <si>
    <t>ORD-103587</t>
  </si>
  <si>
    <t>CUST-00497</t>
  </si>
  <si>
    <t>ORD-103597</t>
  </si>
  <si>
    <t>CUST-00218</t>
  </si>
  <si>
    <t>ORD-103717</t>
  </si>
  <si>
    <t>CUST-02185</t>
  </si>
  <si>
    <t>ORD-103728</t>
  </si>
  <si>
    <t>CUST-02809</t>
  </si>
  <si>
    <t>ORD-103811</t>
  </si>
  <si>
    <t>ORD-103902</t>
  </si>
  <si>
    <t>CUST-01825</t>
  </si>
  <si>
    <t>ORD-103978</t>
  </si>
  <si>
    <t>CUST-01875</t>
  </si>
  <si>
    <t>ORD-104145</t>
  </si>
  <si>
    <t>CUST-00918</t>
  </si>
  <si>
    <t>ORD-104182</t>
  </si>
  <si>
    <t>CUST-02990</t>
  </si>
  <si>
    <t>ORD-104195</t>
  </si>
  <si>
    <t>CUST-00328</t>
  </si>
  <si>
    <t>ORD-104205</t>
  </si>
  <si>
    <t>CUST-00577</t>
  </si>
  <si>
    <t>ORD-104246</t>
  </si>
  <si>
    <t>CUST-00731</t>
  </si>
  <si>
    <t>ORD-104276</t>
  </si>
  <si>
    <t>ORD-104283</t>
  </si>
  <si>
    <t>CUST-00904</t>
  </si>
  <si>
    <t>ORD-104294</t>
  </si>
  <si>
    <t>ORD-104360</t>
  </si>
  <si>
    <t>CUST-00538</t>
  </si>
  <si>
    <t>ORD-104418</t>
  </si>
  <si>
    <t>CUST-01054</t>
  </si>
  <si>
    <t>ORD-104475</t>
  </si>
  <si>
    <t>ORD-104481</t>
  </si>
  <si>
    <t>CUST-01180</t>
  </si>
  <si>
    <t>ORD-104489</t>
  </si>
  <si>
    <t>CUST-03185</t>
  </si>
  <si>
    <t>ORD-104525</t>
  </si>
  <si>
    <t>CUST-00404</t>
  </si>
  <si>
    <t>ORD-104611</t>
  </si>
  <si>
    <t>ORD-104620</t>
  </si>
  <si>
    <t>CUST-00752</t>
  </si>
  <si>
    <t>ORD-104629</t>
  </si>
  <si>
    <t>CUST-00615</t>
  </si>
  <si>
    <t>ORD-104665</t>
  </si>
  <si>
    <t>CUST-02605</t>
  </si>
  <si>
    <t>ORD-104682</t>
  </si>
  <si>
    <t>CUST-00533</t>
  </si>
  <si>
    <t>ORD-104740</t>
  </si>
  <si>
    <t>CUST-02357</t>
  </si>
  <si>
    <t>ORD-104774</t>
  </si>
  <si>
    <t>CUST-02742</t>
  </si>
  <si>
    <t>ORD-104812</t>
  </si>
  <si>
    <t>ORD-100006</t>
  </si>
  <si>
    <t>CUST-00741</t>
  </si>
  <si>
    <t>ORD-100009</t>
  </si>
  <si>
    <t>ORD-100056</t>
  </si>
  <si>
    <t>CUST-00695</t>
  </si>
  <si>
    <t>ORD-100080</t>
  </si>
  <si>
    <t>CUST-02793</t>
  </si>
  <si>
    <t>ORD-100146</t>
  </si>
  <si>
    <t>ORD-100156</t>
  </si>
  <si>
    <t>CUST-00879</t>
  </si>
  <si>
    <t>ORD-100194</t>
  </si>
  <si>
    <t>ORD-100202</t>
  </si>
  <si>
    <t>CUST-01402</t>
  </si>
  <si>
    <t>ORD-100240</t>
  </si>
  <si>
    <t>CUST-01081</t>
  </si>
  <si>
    <t>ORD-100298</t>
  </si>
  <si>
    <t>CUST-00530</t>
  </si>
  <si>
    <t>ORD-100365</t>
  </si>
  <si>
    <t>ORD-100373</t>
  </si>
  <si>
    <t>CUST-02259</t>
  </si>
  <si>
    <t>ORD-100376</t>
  </si>
  <si>
    <t>CUST-01248</t>
  </si>
  <si>
    <t>ORD-100390</t>
  </si>
  <si>
    <t>CUST-00249</t>
  </si>
  <si>
    <t>ORD-100475</t>
  </si>
  <si>
    <t>CUST-00671</t>
  </si>
  <si>
    <t>ORD-100486</t>
  </si>
  <si>
    <t>ORD-100514</t>
  </si>
  <si>
    <t>CUST-02577</t>
  </si>
  <si>
    <t>ORD-100583</t>
  </si>
  <si>
    <t>ORD-100642</t>
  </si>
  <si>
    <t>CUST-00445</t>
  </si>
  <si>
    <t>ORD-100707</t>
  </si>
  <si>
    <t>CUST-02980</t>
  </si>
  <si>
    <t>ORD-100772</t>
  </si>
  <si>
    <t>ORD-100848</t>
  </si>
  <si>
    <t>CUST-02566</t>
  </si>
  <si>
    <t>ORD-100880</t>
  </si>
  <si>
    <t>CUST-00849</t>
  </si>
  <si>
    <t>ORD-100888</t>
  </si>
  <si>
    <t>ORD-100893</t>
  </si>
  <si>
    <t>CUST-02039</t>
  </si>
  <si>
    <t>ORD-100894</t>
  </si>
  <si>
    <t>CUST-00121</t>
  </si>
  <si>
    <t>ORD-100903</t>
  </si>
  <si>
    <t>CUST-03108</t>
  </si>
  <si>
    <t>ORD-100956</t>
  </si>
  <si>
    <t>CUST-00922</t>
  </si>
  <si>
    <t>ORD-101011</t>
  </si>
  <si>
    <t>CUST-02533</t>
  </si>
  <si>
    <t>ORD-101070</t>
  </si>
  <si>
    <t>CUST-00156</t>
  </si>
  <si>
    <t>ORD-101098</t>
  </si>
  <si>
    <t>ORD-101109</t>
  </si>
  <si>
    <t>ORD-101152</t>
  </si>
  <si>
    <t>CUST-01041</t>
  </si>
  <si>
    <t>ORD-101167</t>
  </si>
  <si>
    <t>CUST-01462</t>
  </si>
  <si>
    <t>ORD-101168</t>
  </si>
  <si>
    <t>ORD-101188</t>
  </si>
  <si>
    <t>CUST-02957</t>
  </si>
  <si>
    <t>ORD-101199</t>
  </si>
  <si>
    <t>CUST-03049</t>
  </si>
  <si>
    <t>ORD-101204</t>
  </si>
  <si>
    <t>CUST-01466</t>
  </si>
  <si>
    <t>ORD-101217</t>
  </si>
  <si>
    <t>CUST-01625</t>
  </si>
  <si>
    <t>ORD-101220</t>
  </si>
  <si>
    <t>CUST-00902</t>
  </si>
  <si>
    <t>ORD-101222</t>
  </si>
  <si>
    <t>CUST-00544</t>
  </si>
  <si>
    <t>ORD-101245</t>
  </si>
  <si>
    <t>ORD-101254</t>
  </si>
  <si>
    <t>CUST-03155</t>
  </si>
  <si>
    <t>ORD-101380</t>
  </si>
  <si>
    <t>CUST-01480</t>
  </si>
  <si>
    <t>ORD-101390</t>
  </si>
  <si>
    <t>CUST-02009</t>
  </si>
  <si>
    <t>ORD-101441</t>
  </si>
  <si>
    <t>CUST-00560</t>
  </si>
  <si>
    <t>ORD-101474</t>
  </si>
  <si>
    <t>CUST-00198</t>
  </si>
  <si>
    <t>ORD-101500</t>
  </si>
  <si>
    <t>CUST-01821</t>
  </si>
  <si>
    <t>ORD-101518</t>
  </si>
  <si>
    <t>CUST-02546</t>
  </si>
  <si>
    <t>ORD-101528</t>
  </si>
  <si>
    <t>ORD-101533</t>
  </si>
  <si>
    <t>CUST-00051</t>
  </si>
  <si>
    <t>ORD-101541</t>
  </si>
  <si>
    <t>CUST-02107</t>
  </si>
  <si>
    <t>ORD-101551</t>
  </si>
  <si>
    <t>CUST-01963</t>
  </si>
  <si>
    <t>ORD-101639</t>
  </si>
  <si>
    <t>CUST-00167</t>
  </si>
  <si>
    <t>ORD-101657</t>
  </si>
  <si>
    <t>CUST-00241</t>
  </si>
  <si>
    <t>ORD-101765</t>
  </si>
  <si>
    <t>CUST-00235</t>
  </si>
  <si>
    <t>ORD-101782</t>
  </si>
  <si>
    <t>CUST-01005</t>
  </si>
  <si>
    <t>ORD-101800</t>
  </si>
  <si>
    <t>ORD-101829</t>
  </si>
  <si>
    <t>CUST-01771</t>
  </si>
  <si>
    <t>ORD-101832</t>
  </si>
  <si>
    <t>ORD-101901</t>
  </si>
  <si>
    <t>CUST-00657</t>
  </si>
  <si>
    <t>ORD-101903</t>
  </si>
  <si>
    <t>ORD-101920</t>
  </si>
  <si>
    <t>ORD-102025</t>
  </si>
  <si>
    <t>CUST-01629</t>
  </si>
  <si>
    <t>ORD-102140</t>
  </si>
  <si>
    <t>ORD-102151</t>
  </si>
  <si>
    <t>ORD-102172</t>
  </si>
  <si>
    <t>CUST-00647</t>
  </si>
  <si>
    <t>ORD-102179</t>
  </si>
  <si>
    <t>CUST-00691</t>
  </si>
  <si>
    <t>ORD-102197</t>
  </si>
  <si>
    <t>ORD-102248</t>
  </si>
  <si>
    <t>CUST-00391</t>
  </si>
  <si>
    <t>ORD-102255</t>
  </si>
  <si>
    <t>CUST-00650</t>
  </si>
  <si>
    <t>ORD-102258</t>
  </si>
  <si>
    <t>CUST-03131</t>
  </si>
  <si>
    <t>ORD-102266</t>
  </si>
  <si>
    <t>CUST-01357</t>
  </si>
  <si>
    <t>ORD-102298</t>
  </si>
  <si>
    <t>ORD-102324</t>
  </si>
  <si>
    <t>ORD-102346</t>
  </si>
  <si>
    <t>ORD-102356</t>
  </si>
  <si>
    <t>CUST-02291</t>
  </si>
  <si>
    <t>ORD-102367</t>
  </si>
  <si>
    <t>ORD-102459</t>
  </si>
  <si>
    <t>ORD-102464</t>
  </si>
  <si>
    <t>CUST-01672</t>
  </si>
  <si>
    <t>ORD-102475</t>
  </si>
  <si>
    <t>CUST-01090</t>
  </si>
  <si>
    <t>ORD-102484</t>
  </si>
  <si>
    <t>CUST-01478</t>
  </si>
  <si>
    <t>ORD-102521</t>
  </si>
  <si>
    <t>CUST-00265</t>
  </si>
  <si>
    <t>ORD-102552</t>
  </si>
  <si>
    <t>CUST-00882</t>
  </si>
  <si>
    <t>ORD-102559</t>
  </si>
  <si>
    <t>ORD-102561</t>
  </si>
  <si>
    <t>ORD-102562</t>
  </si>
  <si>
    <t>ORD-102586</t>
  </si>
  <si>
    <t>ORD-102632</t>
  </si>
  <si>
    <t>CUST-00394</t>
  </si>
  <si>
    <t>ORD-102685</t>
  </si>
  <si>
    <t>ORD-102724</t>
  </si>
  <si>
    <t>CUST-01044</t>
  </si>
  <si>
    <t>ORD-102749</t>
  </si>
  <si>
    <t>CUST-02477</t>
  </si>
  <si>
    <t>ORD-102775</t>
  </si>
  <si>
    <t>CUST-00754</t>
  </si>
  <si>
    <t>ORD-102814</t>
  </si>
  <si>
    <t>CUST-02744</t>
  </si>
  <si>
    <t>ORD-102904</t>
  </si>
  <si>
    <t>ORD-102908</t>
  </si>
  <si>
    <t>ORD-102982</t>
  </si>
  <si>
    <t>CUST-00227</t>
  </si>
  <si>
    <t>ORD-102986</t>
  </si>
  <si>
    <t>CUST-02043</t>
  </si>
  <si>
    <t>ORD-102989</t>
  </si>
  <si>
    <t>CUST-00784</t>
  </si>
  <si>
    <t>ORD-103047</t>
  </si>
  <si>
    <t>CUST-02120</t>
  </si>
  <si>
    <t>ORD-103070</t>
  </si>
  <si>
    <t>ORD-103157</t>
  </si>
  <si>
    <t>CUST-01204</t>
  </si>
  <si>
    <t>ORD-103181</t>
  </si>
  <si>
    <t>CUST-01917</t>
  </si>
  <si>
    <t>ORD-103237</t>
  </si>
  <si>
    <t>CUST-02274</t>
  </si>
  <si>
    <t>ORD-103260</t>
  </si>
  <si>
    <t>ORD-103274</t>
  </si>
  <si>
    <t>CUST-00474</t>
  </si>
  <si>
    <t>ORD-103316</t>
  </si>
  <si>
    <t>ORD-103328</t>
  </si>
  <si>
    <t>CUST-00596</t>
  </si>
  <si>
    <t>ORD-103330</t>
  </si>
  <si>
    <t>CUST-00093</t>
  </si>
  <si>
    <t>ORD-103335</t>
  </si>
  <si>
    <t>ORD-103388</t>
  </si>
  <si>
    <t>ORD-103412</t>
  </si>
  <si>
    <t>ORD-103488</t>
  </si>
  <si>
    <t>CUST-00498</t>
  </si>
  <si>
    <t>ORD-103522</t>
  </si>
  <si>
    <t>CUST-01169</t>
  </si>
  <si>
    <t>ORD-103559</t>
  </si>
  <si>
    <t>CUST-00336</t>
  </si>
  <si>
    <t>ORD-103602</t>
  </si>
  <si>
    <t>CUST-02557</t>
  </si>
  <si>
    <t>ORD-103614</t>
  </si>
  <si>
    <t>ORD-103617</t>
  </si>
  <si>
    <t>ORD-103712</t>
  </si>
  <si>
    <t>CUST-02208</t>
  </si>
  <si>
    <t>ORD-103759</t>
  </si>
  <si>
    <t>ORD-103802</t>
  </si>
  <si>
    <t>ORD-103816</t>
  </si>
  <si>
    <t>ORD-103886</t>
  </si>
  <si>
    <t>ORD-103943</t>
  </si>
  <si>
    <t>CUST-02830</t>
  </si>
  <si>
    <t>ORD-103957</t>
  </si>
  <si>
    <t>ORD-103977</t>
  </si>
  <si>
    <t>ORD-103996</t>
  </si>
  <si>
    <t>ORD-104037</t>
  </si>
  <si>
    <t>ORD-104055</t>
  </si>
  <si>
    <t>ORD-104136</t>
  </si>
  <si>
    <t>ORD-104147</t>
  </si>
  <si>
    <t>CUST-03128</t>
  </si>
  <si>
    <t>ORD-104203</t>
  </si>
  <si>
    <t>CUST-03196</t>
  </si>
  <si>
    <t>ORD-104258</t>
  </si>
  <si>
    <t>CUST-02589</t>
  </si>
  <si>
    <t>ORD-104259</t>
  </si>
  <si>
    <t>CUST-00655</t>
  </si>
  <si>
    <t>ORD-104350</t>
  </si>
  <si>
    <t>ORD-104382</t>
  </si>
  <si>
    <t>CUST-01372</t>
  </si>
  <si>
    <t>ORD-104390</t>
  </si>
  <si>
    <t>ORD-104416</t>
  </si>
  <si>
    <t>CUST-02596</t>
  </si>
  <si>
    <t>ORD-104427</t>
  </si>
  <si>
    <t>ORD-104430</t>
  </si>
  <si>
    <t>CUST-00988</t>
  </si>
  <si>
    <t>ORD-104453</t>
  </si>
  <si>
    <t>CUST-01424</t>
  </si>
  <si>
    <t>ORD-104467</t>
  </si>
  <si>
    <t>ORD-104470</t>
  </si>
  <si>
    <t>CUST-02475</t>
  </si>
  <si>
    <t>ORD-104527</t>
  </si>
  <si>
    <t>CUST-01912</t>
  </si>
  <si>
    <t>ORD-104539</t>
  </si>
  <si>
    <t>CUST-00813</t>
  </si>
  <si>
    <t>ORD-104544</t>
  </si>
  <si>
    <t>ORD-104623</t>
  </si>
  <si>
    <t>ORD-104647</t>
  </si>
  <si>
    <t>CUST-00490</t>
  </si>
  <si>
    <t>ORD-104684</t>
  </si>
  <si>
    <t>CUST-01758</t>
  </si>
  <si>
    <t>ORD-104697</t>
  </si>
  <si>
    <t>ORD-104713</t>
  </si>
  <si>
    <t>ORD-104724</t>
  </si>
  <si>
    <t>CUST-00853</t>
  </si>
  <si>
    <t>ORD-100047</t>
  </si>
  <si>
    <t>CUST-02962</t>
  </si>
  <si>
    <t>ORD-100400</t>
  </si>
  <si>
    <t>ORD-100629</t>
  </si>
  <si>
    <t>CUST-02384</t>
  </si>
  <si>
    <t>ORD-100636</t>
  </si>
  <si>
    <t>CUST-00827</t>
  </si>
  <si>
    <t>ORD-100637</t>
  </si>
  <si>
    <t>CUST-00516</t>
  </si>
  <si>
    <t>ORD-100644</t>
  </si>
  <si>
    <t>CUST-00108</t>
  </si>
  <si>
    <t>ORD-100677</t>
  </si>
  <si>
    <t>ORD-100735</t>
  </si>
  <si>
    <t>ORD-100748</t>
  </si>
  <si>
    <t>CUST-02621</t>
  </si>
  <si>
    <t>ORD-100885</t>
  </si>
  <si>
    <t>CUST-01324</t>
  </si>
  <si>
    <t>ORD-100975</t>
  </si>
  <si>
    <t>ORD-101057</t>
  </si>
  <si>
    <t>CUST-00788</t>
  </si>
  <si>
    <t>ORD-101119</t>
  </si>
  <si>
    <t>CUST-00043</t>
  </si>
  <si>
    <t>ORD-101129</t>
  </si>
  <si>
    <t>CUST-02067</t>
  </si>
  <si>
    <t>ORD-101185</t>
  </si>
  <si>
    <t>CUST-00117</t>
  </si>
  <si>
    <t>ORD-101211</t>
  </si>
  <si>
    <t>CUST-01270</t>
  </si>
  <si>
    <t>ORD-101260</t>
  </si>
  <si>
    <t>CUST-01494</t>
  </si>
  <si>
    <t>ORD-101402</t>
  </si>
  <si>
    <t>CUST-00462</t>
  </si>
  <si>
    <t>ORD-101459</t>
  </si>
  <si>
    <t>ORD-101470</t>
  </si>
  <si>
    <t>CUST-00143</t>
  </si>
  <si>
    <t>ORD-101544</t>
  </si>
  <si>
    <t>ORD-101547</t>
  </si>
  <si>
    <t>ORD-101571</t>
  </si>
  <si>
    <t>ORD-101590</t>
  </si>
  <si>
    <t>ORD-101599</t>
  </si>
  <si>
    <t>ORD-101610</t>
  </si>
  <si>
    <t>ORD-101670</t>
  </si>
  <si>
    <t>CUST-01951</t>
  </si>
  <si>
    <t>ORD-101741</t>
  </si>
  <si>
    <t>CUST-02838</t>
  </si>
  <si>
    <t>ORD-101768</t>
  </si>
  <si>
    <t>CUST-00539</t>
  </si>
  <si>
    <t>ORD-101838</t>
  </si>
  <si>
    <t>ORD-101876</t>
  </si>
  <si>
    <t>CUST-00104</t>
  </si>
  <si>
    <t>ORD-101911</t>
  </si>
  <si>
    <t>CUST-02829</t>
  </si>
  <si>
    <t>ORD-101979</t>
  </si>
  <si>
    <t>CUST-00426</t>
  </si>
  <si>
    <t>ORD-101985</t>
  </si>
  <si>
    <t>CUST-00410</t>
  </si>
  <si>
    <t>ORD-101987</t>
  </si>
  <si>
    <t>CUST-01117</t>
  </si>
  <si>
    <t>ORD-102098</t>
  </si>
  <si>
    <t>ORD-102128</t>
  </si>
  <si>
    <t>CUST-01075</t>
  </si>
  <si>
    <t>ORD-102149</t>
  </si>
  <si>
    <t>CUST-02467</t>
  </si>
  <si>
    <t>ORD-102176</t>
  </si>
  <si>
    <t>CUST-00774</t>
  </si>
  <si>
    <t>ORD-102349</t>
  </si>
  <si>
    <t>CUST-02912</t>
  </si>
  <si>
    <t>ORD-102479</t>
  </si>
  <si>
    <t>CUST-01654</t>
  </si>
  <si>
    <t>ORD-102550</t>
  </si>
  <si>
    <t>ORD-102611</t>
  </si>
  <si>
    <t>CUST-01894</t>
  </si>
  <si>
    <t>ORD-102717</t>
  </si>
  <si>
    <t>CUST-00185</t>
  </si>
  <si>
    <t>ORD-102809</t>
  </si>
  <si>
    <t>ORD-102946</t>
  </si>
  <si>
    <t>ORD-102979</t>
  </si>
  <si>
    <t>CUST-01993</t>
  </si>
  <si>
    <t>ORD-102983</t>
  </si>
  <si>
    <t>CUST-00109</t>
  </si>
  <si>
    <t>ORD-102985</t>
  </si>
  <si>
    <t>CUST-03145</t>
  </si>
  <si>
    <t>ORD-102988</t>
  </si>
  <si>
    <t>CUST-00825</t>
  </si>
  <si>
    <t>ORD-103162</t>
  </si>
  <si>
    <t>CUST-02387</t>
  </si>
  <si>
    <t>ORD-103169</t>
  </si>
  <si>
    <t>ORD-103200</t>
  </si>
  <si>
    <t>CUST-01197</t>
  </si>
  <si>
    <t>ORD-103302</t>
  </si>
  <si>
    <t>ORD-103305</t>
  </si>
  <si>
    <t>ORD-103432</t>
  </si>
  <si>
    <t>CUST-02098</t>
  </si>
  <si>
    <t>ORD-103472</t>
  </si>
  <si>
    <t>ORD-103490</t>
  </si>
  <si>
    <t>CUST-00302</t>
  </si>
  <si>
    <t>ORD-103528</t>
  </si>
  <si>
    <t>CUST-00559</t>
  </si>
  <si>
    <t>ORD-103542</t>
  </si>
  <si>
    <t>CUST-00118</t>
  </si>
  <si>
    <t>ORD-103649</t>
  </si>
  <si>
    <t>ORD-103678</t>
  </si>
  <si>
    <t>CUST-00885</t>
  </si>
  <si>
    <t>ORD-103749</t>
  </si>
  <si>
    <t>CUST-03172</t>
  </si>
  <si>
    <t>ORD-103807</t>
  </si>
  <si>
    <t>CUST-02226</t>
  </si>
  <si>
    <t>ORD-103833</t>
  </si>
  <si>
    <t>CUST-01520</t>
  </si>
  <si>
    <t>ORD-103914</t>
  </si>
  <si>
    <t>ORD-104204</t>
  </si>
  <si>
    <t>ORD-104230</t>
  </si>
  <si>
    <t>CUST-01552</t>
  </si>
  <si>
    <t>ORD-104379</t>
  </si>
  <si>
    <t>CUST-02755</t>
  </si>
  <si>
    <t>ORD-104405</t>
  </si>
  <si>
    <t>ORD-104465</t>
  </si>
  <si>
    <t>CUST-00332</t>
  </si>
  <si>
    <t>ORD-104692</t>
  </si>
  <si>
    <t>ORD-104704</t>
  </si>
  <si>
    <t>CUST-03140</t>
  </si>
  <si>
    <t>ORD-104747</t>
  </si>
  <si>
    <t>CUST-00664</t>
  </si>
  <si>
    <t>ORD-104803</t>
  </si>
  <si>
    <t>ORD-100001</t>
  </si>
  <si>
    <t>ORD-100021</t>
  </si>
  <si>
    <t>CUST-00348</t>
  </si>
  <si>
    <t>ORD-100025</t>
  </si>
  <si>
    <t>CUST-00405</t>
  </si>
  <si>
    <t>ORD-100037</t>
  </si>
  <si>
    <t>CUST-01832</t>
  </si>
  <si>
    <t>ORD-100057</t>
  </si>
  <si>
    <t>CUST-00492</t>
  </si>
  <si>
    <t>ORD-100091</t>
  </si>
  <si>
    <t>CUST-01057</t>
  </si>
  <si>
    <t>ORD-100136</t>
  </si>
  <si>
    <t>CUST-00821</t>
  </si>
  <si>
    <t>ORD-100154</t>
  </si>
  <si>
    <t>CUST-01348</t>
  </si>
  <si>
    <t>ORD-100161</t>
  </si>
  <si>
    <t>CUST-00712</t>
  </si>
  <si>
    <t>ORD-100170</t>
  </si>
  <si>
    <t>CUST-01207</t>
  </si>
  <si>
    <t>ORD-100176</t>
  </si>
  <si>
    <t>CUST-01619</t>
  </si>
  <si>
    <t>ORD-100213</t>
  </si>
  <si>
    <t>CUST-00718</t>
  </si>
  <si>
    <t>ORD-100232</t>
  </si>
  <si>
    <t>CUST-00262</t>
  </si>
  <si>
    <t>ORD-100245</t>
  </si>
  <si>
    <t>CUST-01809</t>
  </si>
  <si>
    <t>ORD-100258</t>
  </si>
  <si>
    <t>CUST-01219</t>
  </si>
  <si>
    <t>ORD-100300</t>
  </si>
  <si>
    <t>ORD-100318</t>
  </si>
  <si>
    <t>CUST-02389</t>
  </si>
  <si>
    <t>ORD-100327</t>
  </si>
  <si>
    <t>CUST-03160</t>
  </si>
  <si>
    <t>ORD-100332</t>
  </si>
  <si>
    <t>CUST-00136</t>
  </si>
  <si>
    <t>ORD-100335</t>
  </si>
  <si>
    <t>ORD-100349</t>
  </si>
  <si>
    <t>CUST-01026</t>
  </si>
  <si>
    <t>ORD-100382</t>
  </si>
  <si>
    <t>CUST-01239</t>
  </si>
  <si>
    <t>ORD-100399</t>
  </si>
  <si>
    <t>CUST-01298</t>
  </si>
  <si>
    <t>ORD-100418</t>
  </si>
  <si>
    <t>ORD-100422</t>
  </si>
  <si>
    <t>CUST-00029</t>
  </si>
  <si>
    <t>ORD-100448</t>
  </si>
  <si>
    <t>CUST-01723</t>
  </si>
  <si>
    <t>ORD-100500</t>
  </si>
  <si>
    <t>CUST-00840</t>
  </si>
  <si>
    <t>ORD-100515</t>
  </si>
  <si>
    <t>CUST-03124</t>
  </si>
  <si>
    <t>ORD-100534</t>
  </si>
  <si>
    <t>CUST-01434</t>
  </si>
  <si>
    <t>ORD-100559</t>
  </si>
  <si>
    <t>CUST-01105</t>
  </si>
  <si>
    <t>ORD-100576</t>
  </si>
  <si>
    <t>CUST-01826</t>
  </si>
  <si>
    <t>ORD-100624</t>
  </si>
  <si>
    <t>ORD-100626</t>
  </si>
  <si>
    <t>CUST-02791</t>
  </si>
  <si>
    <t>ORD-100675</t>
  </si>
  <si>
    <t>ORD-100718</t>
  </si>
  <si>
    <t>CUST-02290</t>
  </si>
  <si>
    <t>ORD-100741</t>
  </si>
  <si>
    <t>ORD-100743</t>
  </si>
  <si>
    <t>ORD-100750</t>
  </si>
  <si>
    <t>CUST-00103</t>
  </si>
  <si>
    <t>ORD-100753</t>
  </si>
  <si>
    <t>CUST-02966</t>
  </si>
  <si>
    <t>ORD-100755</t>
  </si>
  <si>
    <t>CUST-02411</t>
  </si>
  <si>
    <t>ORD-100785</t>
  </si>
  <si>
    <t>CUST-01843</t>
  </si>
  <si>
    <t>ORD-100788</t>
  </si>
  <si>
    <t>CUST-02519</t>
  </si>
  <si>
    <t>ORD-100809</t>
  </si>
  <si>
    <t>CUST-02492</t>
  </si>
  <si>
    <t>ORD-100812</t>
  </si>
  <si>
    <t>ORD-100813</t>
  </si>
  <si>
    <t>CUST-02017</t>
  </si>
  <si>
    <t>ORD-100841</t>
  </si>
  <si>
    <t>CUST-02753</t>
  </si>
  <si>
    <t>ORD-100871</t>
  </si>
  <si>
    <t>CUST-01006</t>
  </si>
  <si>
    <t>ORD-100886</t>
  </si>
  <si>
    <t>CUST-00690</t>
  </si>
  <si>
    <t>ORD-100923</t>
  </si>
  <si>
    <t>CUST-01322</t>
  </si>
  <si>
    <t>ORD-100924</t>
  </si>
  <si>
    <t>CUST-00809</t>
  </si>
  <si>
    <t>ORD-100933</t>
  </si>
  <si>
    <t>ORD-100980</t>
  </si>
  <si>
    <t>ORD-101017</t>
  </si>
  <si>
    <t>ORD-101058</t>
  </si>
  <si>
    <t>ORD-101074</t>
  </si>
  <si>
    <t>ORD-101081</t>
  </si>
  <si>
    <t>CUST-00088</t>
  </si>
  <si>
    <t>ORD-101084</t>
  </si>
  <si>
    <t>CUST-00940</t>
  </si>
  <si>
    <t>ORD-101086</t>
  </si>
  <si>
    <t>CUST-00608</t>
  </si>
  <si>
    <t>ORD-101090</t>
  </si>
  <si>
    <t>CUST-00681</t>
  </si>
  <si>
    <t>ORD-101103</t>
  </si>
  <si>
    <t>CUST-01303</t>
  </si>
  <si>
    <t>ORD-101108</t>
  </si>
  <si>
    <t>ORD-101150</t>
  </si>
  <si>
    <t>ORD-101173</t>
  </si>
  <si>
    <t>CUST-01179</t>
  </si>
  <si>
    <t>ORD-101194</t>
  </si>
  <si>
    <t>CUST-00015</t>
  </si>
  <si>
    <t>ORD-101224</t>
  </si>
  <si>
    <t>CUST-02801</t>
  </si>
  <si>
    <t>ORD-101267</t>
  </si>
  <si>
    <t>CUST-01034</t>
  </si>
  <si>
    <t>ORD-101330</t>
  </si>
  <si>
    <t>ORD-101333</t>
  </si>
  <si>
    <t>CUST-00761</t>
  </si>
  <si>
    <t>ORD-101372</t>
  </si>
  <si>
    <t>CUST-00356</t>
  </si>
  <si>
    <t>ORD-101405</t>
  </si>
  <si>
    <t>ORD-101406</t>
  </si>
  <si>
    <t>CUST-01997</t>
  </si>
  <si>
    <t>ORD-101445</t>
  </si>
  <si>
    <t>CUST-02073</t>
  </si>
  <si>
    <t>ORD-101462</t>
  </si>
  <si>
    <t>ORD-101508</t>
  </si>
  <si>
    <t>ORD-101578</t>
  </si>
  <si>
    <t>ORD-101615</t>
  </si>
  <si>
    <t>CUST-00372</t>
  </si>
  <si>
    <t>ORD-101635</t>
  </si>
  <si>
    <t>CUST-01258</t>
  </si>
  <si>
    <t>ORD-101665</t>
  </si>
  <si>
    <t>CUST-02899</t>
  </si>
  <si>
    <t>ORD-101674</t>
  </si>
  <si>
    <t>ORD-101691</t>
  </si>
  <si>
    <t>CUST-02235</t>
  </si>
  <si>
    <t>ORD-101730</t>
  </si>
  <si>
    <t>CUST-00745</t>
  </si>
  <si>
    <t>ORD-101748</t>
  </si>
  <si>
    <t>ORD-101813</t>
  </si>
  <si>
    <t>CUST-00552</t>
  </si>
  <si>
    <t>ORD-101828</t>
  </si>
  <si>
    <t>ORD-101991</t>
  </si>
  <si>
    <t>CUST-00865</t>
  </si>
  <si>
    <t>ORD-102015</t>
  </si>
  <si>
    <t>CUST-00616</t>
  </si>
  <si>
    <t>ORD-102045</t>
  </si>
  <si>
    <t>CUST-01166</t>
  </si>
  <si>
    <t>ORD-102049</t>
  </si>
  <si>
    <t>CUST-02051</t>
  </si>
  <si>
    <t>ORD-102115</t>
  </si>
  <si>
    <t>ORD-102120</t>
  </si>
  <si>
    <t>ORD-102161</t>
  </si>
  <si>
    <t>ORD-102190</t>
  </si>
  <si>
    <t>CUST-00090</t>
  </si>
  <si>
    <t>ORD-102211</t>
  </si>
  <si>
    <t>CUST-00740</t>
  </si>
  <si>
    <t>ORD-102219</t>
  </si>
  <si>
    <t>CUST-02363</t>
  </si>
  <si>
    <t>ORD-102299</t>
  </si>
  <si>
    <t>CUST-01320</t>
  </si>
  <si>
    <t>ORD-102368</t>
  </si>
  <si>
    <t>CUST-00230</t>
  </si>
  <si>
    <t>ORD-102376</t>
  </si>
  <si>
    <t>CUST-03007</t>
  </si>
  <si>
    <t>ORD-102405</t>
  </si>
  <si>
    <t>ORD-102437</t>
  </si>
  <si>
    <t>CUST-00342</t>
  </si>
  <si>
    <t>ORD-102440</t>
  </si>
  <si>
    <t>CUST-01143</t>
  </si>
  <si>
    <t>ORD-102476</t>
  </si>
  <si>
    <t>CUST-00059</t>
  </si>
  <si>
    <t>ORD-102553</t>
  </si>
  <si>
    <t>CUST-02536</t>
  </si>
  <si>
    <t>ORD-102557</t>
  </si>
  <si>
    <t>ORD-102576</t>
  </si>
  <si>
    <t>CUST-00557</t>
  </si>
  <si>
    <t>ORD-102621</t>
  </si>
  <si>
    <t>CUST-01070</t>
  </si>
  <si>
    <t>ORD-102660</t>
  </si>
  <si>
    <t>CUST-01175</t>
  </si>
  <si>
    <t>ORD-102672</t>
  </si>
  <si>
    <t>ORD-102682</t>
  </si>
  <si>
    <t>CUST-00173</t>
  </si>
  <si>
    <t>ORD-102703</t>
  </si>
  <si>
    <t>CUST-01325</t>
  </si>
  <si>
    <t>ORD-102746</t>
  </si>
  <si>
    <t>CUST-00448</t>
  </si>
  <si>
    <t>ORD-102793</t>
  </si>
  <si>
    <t>CUST-00590</t>
  </si>
  <si>
    <t>ORD-102820</t>
  </si>
  <si>
    <t>ORD-102840</t>
  </si>
  <si>
    <t>CUST-02999</t>
  </si>
  <si>
    <t>ORD-102876</t>
  </si>
  <si>
    <t>ORD-102878</t>
  </si>
  <si>
    <t>ORD-102887</t>
  </si>
  <si>
    <t>ORD-102888</t>
  </si>
  <si>
    <t>ORD-102890</t>
  </si>
  <si>
    <t>ORD-102911</t>
  </si>
  <si>
    <t>CUST-01190</t>
  </si>
  <si>
    <t>ORD-102932</t>
  </si>
  <si>
    <t>ORD-102936</t>
  </si>
  <si>
    <t>ORD-102951</t>
  </si>
  <si>
    <t>ORD-102995</t>
  </si>
  <si>
    <t>CUST-01436</t>
  </si>
  <si>
    <t>ORD-103002</t>
  </si>
  <si>
    <t>CUST-00698</t>
  </si>
  <si>
    <t>ORD-103015</t>
  </si>
  <si>
    <t>CUST-01977</t>
  </si>
  <si>
    <t>ORD-103016</t>
  </si>
  <si>
    <t>ORD-103039</t>
  </si>
  <si>
    <t>CUST-00812</t>
  </si>
  <si>
    <t>ORD-103042</t>
  </si>
  <si>
    <t>CUST-02760</t>
  </si>
  <si>
    <t>ORD-103058</t>
  </si>
  <si>
    <t>ORD-103098</t>
  </si>
  <si>
    <t>ORD-103141</t>
  </si>
  <si>
    <t>CUST-01943</t>
  </si>
  <si>
    <t>ORD-103232</t>
  </si>
  <si>
    <t>CUST-00044</t>
  </si>
  <si>
    <t>ORD-103234</t>
  </si>
  <si>
    <t>CUST-01135</t>
  </si>
  <si>
    <t>ORD-103236</t>
  </si>
  <si>
    <t>CUST-00785</t>
  </si>
  <si>
    <t>ORD-103239</t>
  </si>
  <si>
    <t>ORD-103270</t>
  </si>
  <si>
    <t>ORD-103336</t>
  </si>
  <si>
    <t>ORD-103339</t>
  </si>
  <si>
    <t>CUST-00580</t>
  </si>
  <si>
    <t>ORD-103384</t>
  </si>
  <si>
    <t>ORD-103440</t>
  </si>
  <si>
    <t>CUST-00146</t>
  </si>
  <si>
    <t>ORD-103458</t>
  </si>
  <si>
    <t>CUST-00737</t>
  </si>
  <si>
    <t>ORD-103460</t>
  </si>
  <si>
    <t>CUST-01218</t>
  </si>
  <si>
    <t>ORD-103484</t>
  </si>
  <si>
    <t>ORD-103516</t>
  </si>
  <si>
    <t>CUST-00886</t>
  </si>
  <si>
    <t>ORD-103540</t>
  </si>
  <si>
    <t>CUST-00951</t>
  </si>
  <si>
    <t>ORD-103562</t>
  </si>
  <si>
    <t>CUST-01499</t>
  </si>
  <si>
    <t>ORD-103567</t>
  </si>
  <si>
    <t>CUST-01182</t>
  </si>
  <si>
    <t>ORD-103609</t>
  </si>
  <si>
    <t>ORD-103618</t>
  </si>
  <si>
    <t>CUST-01463</t>
  </si>
  <si>
    <t>ORD-103633</t>
  </si>
  <si>
    <t>CUST-01636</t>
  </si>
  <si>
    <t>ORD-103662</t>
  </si>
  <si>
    <t>CUST-03093</t>
  </si>
  <si>
    <t>ORD-103679</t>
  </si>
  <si>
    <t>ORD-103688</t>
  </si>
  <si>
    <t>ORD-103821</t>
  </si>
  <si>
    <t>CUST-00071</t>
  </si>
  <si>
    <t>ORD-103828</t>
  </si>
  <si>
    <t>CUST-01759</t>
  </si>
  <si>
    <t>ORD-103844</t>
  </si>
  <si>
    <t>ORD-103858</t>
  </si>
  <si>
    <t>ORD-103860</t>
  </si>
  <si>
    <t>CUST-00954</t>
  </si>
  <si>
    <t>ORD-103920</t>
  </si>
  <si>
    <t>ORD-103935</t>
  </si>
  <si>
    <t>CUST-01611</t>
  </si>
  <si>
    <t>ORD-103936</t>
  </si>
  <si>
    <t>ORD-103946</t>
  </si>
  <si>
    <t>ORD-103958</t>
  </si>
  <si>
    <t>CUST-00965</t>
  </si>
  <si>
    <t>ORD-104127</t>
  </si>
  <si>
    <t>CUST-02068</t>
  </si>
  <si>
    <t>ORD-104171</t>
  </si>
  <si>
    <t>CUST-01130</t>
  </si>
  <si>
    <t>ORD-104192</t>
  </si>
  <si>
    <t>CUST-00682</t>
  </si>
  <si>
    <t>ORD-104212</t>
  </si>
  <si>
    <t>CUST-00232</t>
  </si>
  <si>
    <t>ORD-104281</t>
  </si>
  <si>
    <t>CUST-00500</t>
  </si>
  <si>
    <t>ORD-104378</t>
  </si>
  <si>
    <t>ORD-104471</t>
  </si>
  <si>
    <t>CUST-02529</t>
  </si>
  <si>
    <t>ORD-104524</t>
  </si>
  <si>
    <t>CUST-02442</t>
  </si>
  <si>
    <t>ORD-104561</t>
  </si>
  <si>
    <t>CUST-02094</t>
  </si>
  <si>
    <t>ORD-104572</t>
  </si>
  <si>
    <t>CUST-00925</t>
  </si>
  <si>
    <t>ORD-104624</t>
  </si>
  <si>
    <t>CUST-02541</t>
  </si>
  <si>
    <t>ORD-104650</t>
  </si>
  <si>
    <t>CUST-00959</t>
  </si>
  <si>
    <t>ORD-104696</t>
  </si>
  <si>
    <t>CUST-00867</t>
  </si>
  <si>
    <t>ORD-104728</t>
  </si>
  <si>
    <t>ORD-104735</t>
  </si>
  <si>
    <t>CUST-01925</t>
  </si>
  <si>
    <t>ORD-104797</t>
  </si>
  <si>
    <t>ORD-104829</t>
  </si>
  <si>
    <t>CUST-00424</t>
  </si>
  <si>
    <t>ORD-100322</t>
  </si>
  <si>
    <t>CUST-00687</t>
  </si>
  <si>
    <t>ORD-100525</t>
  </si>
  <si>
    <t>ORD-101422</t>
  </si>
  <si>
    <t>CUST-00688</t>
  </si>
  <si>
    <t>ORD-102165</t>
  </si>
  <si>
    <t>CUST-02950</t>
  </si>
  <si>
    <t>ORD-102185</t>
  </si>
  <si>
    <t>CUST-00085</t>
  </si>
  <si>
    <t>ORD-102343</t>
  </si>
  <si>
    <t>CUST-01133</t>
  </si>
  <si>
    <t>ORD-102798</t>
  </si>
  <si>
    <t>CUST-01874</t>
  </si>
  <si>
    <t>ORD-102930</t>
  </si>
  <si>
    <t>CUST-01328</t>
  </si>
  <si>
    <t>ORD-103057</t>
  </si>
  <si>
    <t>CUST-01614</t>
  </si>
  <si>
    <t>ORD-103709</t>
  </si>
  <si>
    <t>CUST-00048</t>
  </si>
  <si>
    <t>ORD-104133</t>
  </si>
  <si>
    <t>CUST-03139</t>
  </si>
  <si>
    <t>ORD-104166</t>
  </si>
  <si>
    <t>ORD-104207</t>
  </si>
  <si>
    <t>ORD-104681</t>
  </si>
  <si>
    <t>CUST-01498</t>
  </si>
  <si>
    <t>ORD-101314</t>
  </si>
  <si>
    <t>CUST-02154</t>
  </si>
  <si>
    <t>COD</t>
  </si>
  <si>
    <t>ORD-102209</t>
  </si>
  <si>
    <t>CUST-02248</t>
  </si>
  <si>
    <t>ORD-102221</t>
  </si>
  <si>
    <t>ORD-102393</t>
  </si>
  <si>
    <t>ORD-102417</t>
  </si>
  <si>
    <t>ORD-103468</t>
  </si>
  <si>
    <t>CUST-03070</t>
  </si>
  <si>
    <t>ORD-103823</t>
  </si>
  <si>
    <t>CUST-00877</t>
  </si>
  <si>
    <t>ORD-104483</t>
  </si>
  <si>
    <t>CUST-00125</t>
  </si>
  <si>
    <t>ORD-104732</t>
  </si>
  <si>
    <t>ORD-104824</t>
  </si>
  <si>
    <t>CUST-01100</t>
  </si>
  <si>
    <t>ORD-100085</t>
  </si>
  <si>
    <t>CUST-00907</t>
  </si>
  <si>
    <t>ORD-100234</t>
  </si>
  <si>
    <t>CUST-00446</t>
  </si>
  <si>
    <t>ORD-100279</t>
  </si>
  <si>
    <t>CUST-00320</t>
  </si>
  <si>
    <t>ORD-100288</t>
  </si>
  <si>
    <t>CUST-02150</t>
  </si>
  <si>
    <t>ORD-100330</t>
  </si>
  <si>
    <t>CUST-00124</t>
  </si>
  <si>
    <t>ORD-100350</t>
  </si>
  <si>
    <t>CUST-00231</t>
  </si>
  <si>
    <t>ORD-100496</t>
  </si>
  <si>
    <t>CUST-00595</t>
  </si>
  <si>
    <t>ORD-100504</t>
  </si>
  <si>
    <t>ORD-100519</t>
  </si>
  <si>
    <t>ORD-100520</t>
  </si>
  <si>
    <t>CUST-00256</t>
  </si>
  <si>
    <t>ORD-100652</t>
  </si>
  <si>
    <t>CUST-00197</t>
  </si>
  <si>
    <t>ORD-100672</t>
  </si>
  <si>
    <t>ORD-100695</t>
  </si>
  <si>
    <t>ORD-100701</t>
  </si>
  <si>
    <t>ORD-100811</t>
  </si>
  <si>
    <t>CUST-02087</t>
  </si>
  <si>
    <t>ORD-100828</t>
  </si>
  <si>
    <t>CUST-01733</t>
  </si>
  <si>
    <t>ORD-100964</t>
  </si>
  <si>
    <t>ORD-100977</t>
  </si>
  <si>
    <t>ORD-101044</t>
  </si>
  <si>
    <t>CUST-00609</t>
  </si>
  <si>
    <t>ORD-101063</t>
  </si>
  <si>
    <t>ORD-101117</t>
  </si>
  <si>
    <t>ORD-101248</t>
  </si>
  <si>
    <t>CUST-01720</t>
  </si>
  <si>
    <t>ORD-101324</t>
  </si>
  <si>
    <t>CUST-00898</t>
  </si>
  <si>
    <t>ORD-101362</t>
  </si>
  <si>
    <t>CUST-00683</t>
  </si>
  <si>
    <t>ORD-101492</t>
  </si>
  <si>
    <t>CUST-03183</t>
  </si>
  <si>
    <t>ORD-101503</t>
  </si>
  <si>
    <t>CUST-00652</t>
  </si>
  <si>
    <t>ORD-101516</t>
  </si>
  <si>
    <t>ORD-101531</t>
  </si>
  <si>
    <t>CUST-03066</t>
  </si>
  <si>
    <t>ORD-101606</t>
  </si>
  <si>
    <t>CUST-00203</t>
  </si>
  <si>
    <t>ORD-101706</t>
  </si>
  <si>
    <t>ORD-101756</t>
  </si>
  <si>
    <t>CUST-01903</t>
  </si>
  <si>
    <t>ORD-101804</t>
  </si>
  <si>
    <t>CUST-00002</t>
  </si>
  <si>
    <t>ORD-102002</t>
  </si>
  <si>
    <t>CUST-00767</t>
  </si>
  <si>
    <t>ORD-102042</t>
  </si>
  <si>
    <t>ORD-102094</t>
  </si>
  <si>
    <t>CUST-00927</t>
  </si>
  <si>
    <t>ORD-102270</t>
  </si>
  <si>
    <t>ORD-102289</t>
  </si>
  <si>
    <t>CUST-03169</t>
  </si>
  <si>
    <t>ORD-102339</t>
  </si>
  <si>
    <t>ORD-102340</t>
  </si>
  <si>
    <t>ORD-102422</t>
  </si>
  <si>
    <t>ORD-102483</t>
  </si>
  <si>
    <t>ORD-102505</t>
  </si>
  <si>
    <t>CUST-02090</t>
  </si>
  <si>
    <t>ORD-102543</t>
  </si>
  <si>
    <t>CUST-00537</t>
  </si>
  <si>
    <t>ORD-102571</t>
  </si>
  <si>
    <t>ORD-102602</t>
  </si>
  <si>
    <t>ORD-102637</t>
  </si>
  <si>
    <t>ORD-102715</t>
  </si>
  <si>
    <t>ORD-102743</t>
  </si>
  <si>
    <t>ORD-102835</t>
  </si>
  <si>
    <t>CUST-02145</t>
  </si>
  <si>
    <t>ORD-102918</t>
  </si>
  <si>
    <t>CUST-01067</t>
  </si>
  <si>
    <t>ORD-102926</t>
  </si>
  <si>
    <t>ORD-102927</t>
  </si>
  <si>
    <t>CUST-02975</t>
  </si>
  <si>
    <t>ORD-102993</t>
  </si>
  <si>
    <t>CUST-02369</t>
  </si>
  <si>
    <t>ORD-103040</t>
  </si>
  <si>
    <t>CUST-00830</t>
  </si>
  <si>
    <t>ORD-103095</t>
  </si>
  <si>
    <t>CUST-02297</t>
  </si>
  <si>
    <t>ORD-103103</t>
  </si>
  <si>
    <t>CUST-01072</t>
  </si>
  <si>
    <t>ORD-103107</t>
  </si>
  <si>
    <t>ORD-103122</t>
  </si>
  <si>
    <t>CUST-01238</t>
  </si>
  <si>
    <t>ORD-103125</t>
  </si>
  <si>
    <t>CUST-01306</t>
  </si>
  <si>
    <t>ORD-103166</t>
  </si>
  <si>
    <t>CUST-00696</t>
  </si>
  <si>
    <t>ORD-103178</t>
  </si>
  <si>
    <t>ORD-103291</t>
  </si>
  <si>
    <t>ORD-103332</t>
  </si>
  <si>
    <t>CUST-02182</t>
  </si>
  <si>
    <t>ORD-103343</t>
  </si>
  <si>
    <t>ORD-103392</t>
  </si>
  <si>
    <t>CUST-01009</t>
  </si>
  <si>
    <t>ORD-103398</t>
  </si>
  <si>
    <t>ORD-103434</t>
  </si>
  <si>
    <t>CUST-02841</t>
  </si>
  <si>
    <t>ORD-103529</t>
  </si>
  <si>
    <t>ORD-103557</t>
  </si>
  <si>
    <t>ORD-103563</t>
  </si>
  <si>
    <t>ORD-103677</t>
  </si>
  <si>
    <t>ORD-103719</t>
  </si>
  <si>
    <t>CUST-02832</t>
  </si>
  <si>
    <t>ORD-103722</t>
  </si>
  <si>
    <t>ORD-103724</t>
  </si>
  <si>
    <t>CUST-02514</t>
  </si>
  <si>
    <t>ORD-103735</t>
  </si>
  <si>
    <t>CUST-02192</t>
  </si>
  <si>
    <t>ORD-103810</t>
  </si>
  <si>
    <t>CUST-02608</t>
  </si>
  <si>
    <t>ORD-103820</t>
  </si>
  <si>
    <t>ORD-103868</t>
  </si>
  <si>
    <t>CUST-00162</t>
  </si>
  <si>
    <t>ORD-103965</t>
  </si>
  <si>
    <t>ORD-104032</t>
  </si>
  <si>
    <t>ORD-104140</t>
  </si>
  <si>
    <t>CUST-01990</t>
  </si>
  <si>
    <t>ORD-104156</t>
  </si>
  <si>
    <t>ORD-104164</t>
  </si>
  <si>
    <t>ORD-104197</t>
  </si>
  <si>
    <t>CUST-02118</t>
  </si>
  <si>
    <t>ORD-104201</t>
  </si>
  <si>
    <t>ORD-104308</t>
  </si>
  <si>
    <t>CUST-00157</t>
  </si>
  <si>
    <t>ORD-104318</t>
  </si>
  <si>
    <t>ORD-104338</t>
  </si>
  <si>
    <t>ORD-104420</t>
  </si>
  <si>
    <t>ORD-104442</t>
  </si>
  <si>
    <t>CUST-00896</t>
  </si>
  <si>
    <t>ORD-104557</t>
  </si>
  <si>
    <t>CUST-02091</t>
  </si>
  <si>
    <t>ORD-104707</t>
  </si>
  <si>
    <t>CUST-02610</t>
  </si>
  <si>
    <t>ORD-104708</t>
  </si>
  <si>
    <t>CUST-00384</t>
  </si>
  <si>
    <t>ORD-104758</t>
  </si>
  <si>
    <t>CUST-03138</t>
  </si>
  <si>
    <t>ORD-104765</t>
  </si>
  <si>
    <t>ORD-104783</t>
  </si>
  <si>
    <t>CUST-00166</t>
  </si>
  <si>
    <t>ORD-100061</t>
  </si>
  <si>
    <t>ORD-100065</t>
  </si>
  <si>
    <t>CUST-01838</t>
  </si>
  <si>
    <t>ORD-100112</t>
  </si>
  <si>
    <t>CUST-00725</t>
  </si>
  <si>
    <t>ORD-100163</t>
  </si>
  <si>
    <t>CUST-00573</t>
  </si>
  <si>
    <t>ORD-100168</t>
  </si>
  <si>
    <t>CUST-01354</t>
  </si>
  <si>
    <t>ORD-100212</t>
  </si>
  <si>
    <t>ORD-100230</t>
  </si>
  <si>
    <t>CUST-00115</t>
  </si>
  <si>
    <t>ORD-100381</t>
  </si>
  <si>
    <t>ORD-100386</t>
  </si>
  <si>
    <t>ORD-100524</t>
  </si>
  <si>
    <t>ORD-100533</t>
  </si>
  <si>
    <t>CUST-00013</t>
  </si>
  <si>
    <t>ORD-100535</t>
  </si>
  <si>
    <t>CUST-01226</t>
  </si>
  <si>
    <t>ORD-100582</t>
  </si>
  <si>
    <t>CUST-00893</t>
  </si>
  <si>
    <t>ORD-100614</t>
  </si>
  <si>
    <t>CUST-00011</t>
  </si>
  <si>
    <t>ORD-100721</t>
  </si>
  <si>
    <t>ORD-100744</t>
  </si>
  <si>
    <t>ORD-100786</t>
  </si>
  <si>
    <t>ORD-100798</t>
  </si>
  <si>
    <t>CUST-00216</t>
  </si>
  <si>
    <t>ORD-100816</t>
  </si>
  <si>
    <t>CUST-00142</t>
  </si>
  <si>
    <t>ORD-100831</t>
  </si>
  <si>
    <t>CUST-02062</t>
  </si>
  <si>
    <t>ORD-101000</t>
  </si>
  <si>
    <t>CUST-00455</t>
  </si>
  <si>
    <t>ORD-101020</t>
  </si>
  <si>
    <t>ORD-101048</t>
  </si>
  <si>
    <t>ORD-101082</t>
  </si>
  <si>
    <t>CUST-03037</t>
  </si>
  <si>
    <t>ORD-101190</t>
  </si>
  <si>
    <t>ORD-101242</t>
  </si>
  <si>
    <t>CUST-01569</t>
  </si>
  <si>
    <t>ORD-101259</t>
  </si>
  <si>
    <t>CUST-01876</t>
  </si>
  <si>
    <t>ORD-101286</t>
  </si>
  <si>
    <t>CUST-01486</t>
  </si>
  <si>
    <t>ORD-101291</t>
  </si>
  <si>
    <t>CUST-00272</t>
  </si>
  <si>
    <t>ORD-101298</t>
  </si>
  <si>
    <t>CUST-01906</t>
  </si>
  <si>
    <t>ORD-101301</t>
  </si>
  <si>
    <t>ORD-101303</t>
  </si>
  <si>
    <t>ORD-101326</t>
  </si>
  <si>
    <t>CUST-00834</t>
  </si>
  <si>
    <t>ORD-101447</t>
  </si>
  <si>
    <t>CUST-01099</t>
  </si>
  <si>
    <t>ORD-101454</t>
  </si>
  <si>
    <t>CUST-01152</t>
  </si>
  <si>
    <t>ORD-101486</t>
  </si>
  <si>
    <t>CUST-00851</t>
  </si>
  <si>
    <t>ORD-101509</t>
  </si>
  <si>
    <t>CUST-03195</t>
  </si>
  <si>
    <t>ORD-101552</t>
  </si>
  <si>
    <t>ORD-101558</t>
  </si>
  <si>
    <t>ORD-101569</t>
  </si>
  <si>
    <t>ORD-101600</t>
  </si>
  <si>
    <t>ORD-101631</t>
  </si>
  <si>
    <t>CUST-01678</t>
  </si>
  <si>
    <t>ORD-101637</t>
  </si>
  <si>
    <t>CUST-01183</t>
  </si>
  <si>
    <t>ORD-101750</t>
  </si>
  <si>
    <t>ORD-101753</t>
  </si>
  <si>
    <t>CUST-02676</t>
  </si>
  <si>
    <t>ORD-101754</t>
  </si>
  <si>
    <t>ORD-101922</t>
  </si>
  <si>
    <t>CUST-01849</t>
  </si>
  <si>
    <t>ORD-102017</t>
  </si>
  <si>
    <t>ORD-102024</t>
  </si>
  <si>
    <t>CUST-00848</t>
  </si>
  <si>
    <t>ORD-102032</t>
  </si>
  <si>
    <t>CUST-00215</t>
  </si>
  <si>
    <t>ORD-102118</t>
  </si>
  <si>
    <t>CUST-01124</t>
  </si>
  <si>
    <t>ORD-102155</t>
  </si>
  <si>
    <t>CUST-00949</t>
  </si>
  <si>
    <t>ORD-102164</t>
  </si>
  <si>
    <t>CUST-01737</t>
  </si>
  <si>
    <t>ORD-102183</t>
  </si>
  <si>
    <t>CUST-02781</t>
  </si>
  <si>
    <t>ORD-102187</t>
  </si>
  <si>
    <t>CUST-00658</t>
  </si>
  <si>
    <t>ORD-102216</t>
  </si>
  <si>
    <t>CUST-00578</t>
  </si>
  <si>
    <t>ORD-102237</t>
  </si>
  <si>
    <t>CUST-00697</t>
  </si>
  <si>
    <t>ORD-102317</t>
  </si>
  <si>
    <t>CUST-00379</t>
  </si>
  <si>
    <t>ORD-102323</t>
  </si>
  <si>
    <t>ORD-102430</t>
  </si>
  <si>
    <t>ORD-102431</t>
  </si>
  <si>
    <t>CUST-02116</t>
  </si>
  <si>
    <t>ORD-102447</t>
  </si>
  <si>
    <t>CUST-00935</t>
  </si>
  <si>
    <t>ORD-102457</t>
  </si>
  <si>
    <t>CUST-01922</t>
  </si>
  <si>
    <t>ORD-102508</t>
  </si>
  <si>
    <t>CUST-00178</t>
  </si>
  <si>
    <t>ORD-102522</t>
  </si>
  <si>
    <t>ORD-102539</t>
  </si>
  <si>
    <t>CUST-01001</t>
  </si>
  <si>
    <t>ORD-102570</t>
  </si>
  <si>
    <t>ORD-102646</t>
  </si>
  <si>
    <t>ORD-102654</t>
  </si>
  <si>
    <t>ORD-102694</t>
  </si>
  <si>
    <t>ORD-102863</t>
  </si>
  <si>
    <t>CUST-00536</t>
  </si>
  <si>
    <t>ORD-102873</t>
  </si>
  <si>
    <t>ORD-102880</t>
  </si>
  <si>
    <t>CUST-00704</t>
  </si>
  <si>
    <t>ORD-102892</t>
  </si>
  <si>
    <t>ORD-102898</t>
  </si>
  <si>
    <t>ORD-102929</t>
  </si>
  <si>
    <t>ORD-102998</t>
  </si>
  <si>
    <t>ORD-103020</t>
  </si>
  <si>
    <t>ORD-103077</t>
  </si>
  <si>
    <t>ORD-103134</t>
  </si>
  <si>
    <t>CUST-00101</t>
  </si>
  <si>
    <t>ORD-103212</t>
  </si>
  <si>
    <t>CUST-01606</t>
  </si>
  <si>
    <t>ORD-103272</t>
  </si>
  <si>
    <t>ORD-103285</t>
  </si>
  <si>
    <t>CUST-00052</t>
  </si>
  <si>
    <t>ORD-103309</t>
  </si>
  <si>
    <t>CUST-02317</t>
  </si>
  <si>
    <t>ORD-103326</t>
  </si>
  <si>
    <t>ORD-103346</t>
  </si>
  <si>
    <t>CUST-00978</t>
  </si>
  <si>
    <t>ORD-103438</t>
  </si>
  <si>
    <t>ORD-103510</t>
  </si>
  <si>
    <t>CUST-01108</t>
  </si>
  <si>
    <t>ORD-103612</t>
  </si>
  <si>
    <t>CUST-01096</t>
  </si>
  <si>
    <t>ORD-103613</t>
  </si>
  <si>
    <t>ORD-103668</t>
  </si>
  <si>
    <t>ORD-103783</t>
  </si>
  <si>
    <t>CUST-02455</t>
  </si>
  <si>
    <t>ORD-103808</t>
  </si>
  <si>
    <t>CUST-02601</t>
  </si>
  <si>
    <t>ORD-103865</t>
  </si>
  <si>
    <t>ORD-103922</t>
  </si>
  <si>
    <t>ORD-103998</t>
  </si>
  <si>
    <t>CUST-00507</t>
  </si>
  <si>
    <t>ORD-104021</t>
  </si>
  <si>
    <t>ORD-104031</t>
  </si>
  <si>
    <t>ORD-104134</t>
  </si>
  <si>
    <t>CUST-00739</t>
  </si>
  <si>
    <t>ORD-104139</t>
  </si>
  <si>
    <t>CUST-00633</t>
  </si>
  <si>
    <t>ORD-104144</t>
  </si>
  <si>
    <t>CUST-02994</t>
  </si>
  <si>
    <t>ORD-104157</t>
  </si>
  <si>
    <t>ORD-104193</t>
  </si>
  <si>
    <t>ORD-104209</t>
  </si>
  <si>
    <t>ORD-104210</t>
  </si>
  <si>
    <t>CUST-00223</t>
  </si>
  <si>
    <t>ORD-104222</t>
  </si>
  <si>
    <t>CUST-00522</t>
  </si>
  <si>
    <t>ORD-104301</t>
  </si>
  <si>
    <t>CUST-02355</t>
  </si>
  <si>
    <t>ORD-104374</t>
  </si>
  <si>
    <t>ORD-104375</t>
  </si>
  <si>
    <t>CUST-02976</t>
  </si>
  <si>
    <t>ORD-104415</t>
  </si>
  <si>
    <t>ORD-104669</t>
  </si>
  <si>
    <t>CUST-02948</t>
  </si>
  <si>
    <t>ORD-104674</t>
  </si>
  <si>
    <t>ORD-104725</t>
  </si>
  <si>
    <t>ORD-104814</t>
  </si>
  <si>
    <t>ORD-100013</t>
  </si>
  <si>
    <t>ORD-100064</t>
  </si>
  <si>
    <t>ORD-100066</t>
  </si>
  <si>
    <t>ORD-100074</t>
  </si>
  <si>
    <t>ORD-100081</t>
  </si>
  <si>
    <t>ORD-100114</t>
  </si>
  <si>
    <t>ORD-100117</t>
  </si>
  <si>
    <t>ORD-100147</t>
  </si>
  <si>
    <t>ORD-100150</t>
  </si>
  <si>
    <t>CUST-01304</t>
  </si>
  <si>
    <t>ORD-100174</t>
  </si>
  <si>
    <t>CUST-00716</t>
  </si>
  <si>
    <t>ORD-100177</t>
  </si>
  <si>
    <t>ORD-100180</t>
  </si>
  <si>
    <t>ORD-100203</t>
  </si>
  <si>
    <t>CUST-02928</t>
  </si>
  <si>
    <t>ORD-100293</t>
  </si>
  <si>
    <t>ORD-100393</t>
  </si>
  <si>
    <t>ORD-100407</t>
  </si>
  <si>
    <t>CUST-01578</t>
  </si>
  <si>
    <t>ORD-100453</t>
  </si>
  <si>
    <t>CUST-00414</t>
  </si>
  <si>
    <t>ORD-100473</t>
  </si>
  <si>
    <t>ORD-100484</t>
  </si>
  <si>
    <t>CUST-00588</t>
  </si>
  <si>
    <t>ORD-100487</t>
  </si>
  <si>
    <t>CUST-02148</t>
  </si>
  <si>
    <t>ORD-100489</t>
  </si>
  <si>
    <t>CUST-00663</t>
  </si>
  <si>
    <t>ORD-100492</t>
  </si>
  <si>
    <t>ORD-100543</t>
  </si>
  <si>
    <t>CUST-00900</t>
  </si>
  <si>
    <t>ORD-100555</t>
  </si>
  <si>
    <t>CUST-01137</t>
  </si>
  <si>
    <t>ORD-100570</t>
  </si>
  <si>
    <t>ORD-100573</t>
  </si>
  <si>
    <t>ORD-100575</t>
  </si>
  <si>
    <t>CUST-01830</t>
  </si>
  <si>
    <t>ORD-100578</t>
  </si>
  <si>
    <t>CUST-02114</t>
  </si>
  <si>
    <t>ORD-100607</t>
  </si>
  <si>
    <t>ORD-100628</t>
  </si>
  <si>
    <t>ORD-100649</t>
  </si>
  <si>
    <t>CUST-02390</t>
  </si>
  <si>
    <t>ORD-100673</t>
  </si>
  <si>
    <t>CUST-02508</t>
  </si>
  <si>
    <t>ORD-100676</t>
  </si>
  <si>
    <t>ORD-100778</t>
  </si>
  <si>
    <t>ORD-100795</t>
  </si>
  <si>
    <t>CUST-00632</t>
  </si>
  <si>
    <t>ORD-100825</t>
  </si>
  <si>
    <t>CUST-01103</t>
  </si>
  <si>
    <t>ORD-100846</t>
  </si>
  <si>
    <t>CUST-01702</t>
  </si>
  <si>
    <t>ORD-100868</t>
  </si>
  <si>
    <t>ORD-100898</t>
  </si>
  <si>
    <t>ORD-100925</t>
  </si>
  <si>
    <t>CUST-00744</t>
  </si>
  <si>
    <t>ORD-100929</t>
  </si>
  <si>
    <t>ORD-100941</t>
  </si>
  <si>
    <t>ORD-100946</t>
  </si>
  <si>
    <t>CUST-02714</t>
  </si>
  <si>
    <t>ORD-100952</t>
  </si>
  <si>
    <t>CUST-00154</t>
  </si>
  <si>
    <t>ORD-100955</t>
  </si>
  <si>
    <t>CUST-01121</t>
  </si>
  <si>
    <t>ORD-100966</t>
  </si>
  <si>
    <t>ORD-100970</t>
  </si>
  <si>
    <t>ORD-100981</t>
  </si>
  <si>
    <t>ORD-100990</t>
  </si>
  <si>
    <t>ORD-101030</t>
  </si>
  <si>
    <t>ORD-101036</t>
  </si>
  <si>
    <t>ORD-101041</t>
  </si>
  <si>
    <t>CUST-03151</t>
  </si>
  <si>
    <t>ORD-101062</t>
  </si>
  <si>
    <t>CUST-00931</t>
  </si>
  <si>
    <t>ORD-101104</t>
  </si>
  <si>
    <t>ORD-101118</t>
  </si>
  <si>
    <t>ORD-101133</t>
  </si>
  <si>
    <t>CUST-01107</t>
  </si>
  <si>
    <t>ORD-101176</t>
  </si>
  <si>
    <t>ORD-101191</t>
  </si>
  <si>
    <t>ORD-101193</t>
  </si>
  <si>
    <t>ORD-101218</t>
  </si>
  <si>
    <t>CUST-02559</t>
  </si>
  <si>
    <t>ORD-101284</t>
  </si>
  <si>
    <t>ORD-101313</t>
  </si>
  <si>
    <t>CUST-02532</t>
  </si>
  <si>
    <t>ORD-101354</t>
  </si>
  <si>
    <t>CUST-00286</t>
  </si>
  <si>
    <t>ORD-101414</t>
  </si>
  <si>
    <t>ORD-101434</t>
  </si>
  <si>
    <t>CUST-00369</t>
  </si>
  <si>
    <t>ORD-101435</t>
  </si>
  <si>
    <t>CUST-00268</t>
  </si>
  <si>
    <t>ORD-101465</t>
  </si>
  <si>
    <t>ORD-101497</t>
  </si>
  <si>
    <t>CUST-02034</t>
  </si>
  <si>
    <t>ORD-101507</t>
  </si>
  <si>
    <t>ORD-101510</t>
  </si>
  <si>
    <t>ORD-101565</t>
  </si>
  <si>
    <t>CUST-03137</t>
  </si>
  <si>
    <t>ORD-101573</t>
  </si>
  <si>
    <t>ORD-101579</t>
  </si>
  <si>
    <t>CUST-01383</t>
  </si>
  <si>
    <t>ORD-101588</t>
  </si>
  <si>
    <t>CUST-01097</t>
  </si>
  <si>
    <t>ORD-101641</t>
  </si>
  <si>
    <t>CUST-03122</t>
  </si>
  <si>
    <t>ORD-101654</t>
  </si>
  <si>
    <t>CUST-02101</t>
  </si>
  <si>
    <t>ORD-101681</t>
  </si>
  <si>
    <t>CUST-00285</t>
  </si>
  <si>
    <t>ORD-101684</t>
  </si>
  <si>
    <t>ORD-101693</t>
  </si>
  <si>
    <t>CUST-00006</t>
  </si>
  <si>
    <t>ORD-101709</t>
  </si>
  <si>
    <t>ORD-101713</t>
  </si>
  <si>
    <t>CUST-00917</t>
  </si>
  <si>
    <t>ORD-101725</t>
  </si>
  <si>
    <t>ORD-101726</t>
  </si>
  <si>
    <t>CUST-00365</t>
  </si>
  <si>
    <t>ORD-101731</t>
  </si>
  <si>
    <t>CUST-00287</t>
  </si>
  <si>
    <t>ORD-101767</t>
  </si>
  <si>
    <t>CUST-01087</t>
  </si>
  <si>
    <t>ORD-101824</t>
  </si>
  <si>
    <t>ORD-101914</t>
  </si>
  <si>
    <t>ORD-101932</t>
  </si>
  <si>
    <t>ORD-101953</t>
  </si>
  <si>
    <t>ORD-101955</t>
  </si>
  <si>
    <t>CUST-02758</t>
  </si>
  <si>
    <t>ORD-101969</t>
  </si>
  <si>
    <t>CUST-02173</t>
  </si>
  <si>
    <t>ORD-101976</t>
  </si>
  <si>
    <t>ORD-101984</t>
  </si>
  <si>
    <t>ORD-102027</t>
  </si>
  <si>
    <t>ORD-102028</t>
  </si>
  <si>
    <t>ORD-102037</t>
  </si>
  <si>
    <t>CUST-00361</t>
  </si>
  <si>
    <t>ORD-102051</t>
  </si>
  <si>
    <t>CUST-02213</t>
  </si>
  <si>
    <t>ORD-102062</t>
  </si>
  <si>
    <t>CUST-01018</t>
  </si>
  <si>
    <t>ORD-102071</t>
  </si>
  <si>
    <t>ORD-102106</t>
  </si>
  <si>
    <t>ORD-102180</t>
  </si>
  <si>
    <t>ORD-102225</t>
  </si>
  <si>
    <t>CUST-00629</t>
  </si>
  <si>
    <t>ORD-102238</t>
  </si>
  <si>
    <t>CUST-01145</t>
  </si>
  <si>
    <t>ORD-102301</t>
  </si>
  <si>
    <t>ORD-102309</t>
  </si>
  <si>
    <t>ORD-102391</t>
  </si>
  <si>
    <t>ORD-102413</t>
  </si>
  <si>
    <t>CUST-00245</t>
  </si>
  <si>
    <t>ORD-102442</t>
  </si>
  <si>
    <t>CUST-01762</t>
  </si>
  <si>
    <t>ORD-102466</t>
  </si>
  <si>
    <t>CUST-01888</t>
  </si>
  <si>
    <t>ORD-102485</t>
  </si>
  <si>
    <t>ORD-102493</t>
  </si>
  <si>
    <t>CUST-00983</t>
  </si>
  <si>
    <t>ORD-102495</t>
  </si>
  <si>
    <t>CUST-02127</t>
  </si>
  <si>
    <t>ORD-102501</t>
  </si>
  <si>
    <t>CUST-02359</t>
  </si>
  <si>
    <t>ORD-102551</t>
  </si>
  <si>
    <t>CUST-03184</t>
  </si>
  <si>
    <t>ORD-102563</t>
  </si>
  <si>
    <t>CUST-00619</t>
  </si>
  <si>
    <t>ORD-102577</t>
  </si>
  <si>
    <t>CUST-02754</t>
  </si>
  <si>
    <t>ORD-102583</t>
  </si>
  <si>
    <t>CUST-01181</t>
  </si>
  <si>
    <t>ORD-102584</t>
  </si>
  <si>
    <t>CUST-01199</t>
  </si>
  <si>
    <t>ORD-102605</t>
  </si>
  <si>
    <t>CUST-00545</t>
  </si>
  <si>
    <t>ORD-102608</t>
  </si>
  <si>
    <t>CUST-01859</t>
  </si>
  <si>
    <t>ORD-102697</t>
  </si>
  <si>
    <t>ORD-102698</t>
  </si>
  <si>
    <t>CUST-02835</t>
  </si>
  <si>
    <t>ORD-102757</t>
  </si>
  <si>
    <t>ORD-102804</t>
  </si>
  <si>
    <t>CUST-00288</t>
  </si>
  <si>
    <t>ORD-102823</t>
  </si>
  <si>
    <t>ORD-102825</t>
  </si>
  <si>
    <t>ORD-102839</t>
  </si>
  <si>
    <t>CUST-00354</t>
  </si>
  <si>
    <t>ORD-102856</t>
  </si>
  <si>
    <t>ORD-102865</t>
  </si>
  <si>
    <t>ORD-102907</t>
  </si>
  <si>
    <t>CUST-00140</t>
  </si>
  <si>
    <t>ORD-103007</t>
  </si>
  <si>
    <t>ORD-103011</t>
  </si>
  <si>
    <t>ORD-103027</t>
  </si>
  <si>
    <t>ORD-103055</t>
  </si>
  <si>
    <t>ORD-103127</t>
  </si>
  <si>
    <t>CUST-02530</t>
  </si>
  <si>
    <t>ORD-103144</t>
  </si>
  <si>
    <t>ORD-103146</t>
  </si>
  <si>
    <t>ORD-103161</t>
  </si>
  <si>
    <t>ORD-103267</t>
  </si>
  <si>
    <t>CUST-00057</t>
  </si>
  <si>
    <t>ORD-103279</t>
  </si>
  <si>
    <t>ORD-103323</t>
  </si>
  <si>
    <t>CUST-01953</t>
  </si>
  <si>
    <t>ORD-103361</t>
  </si>
  <si>
    <t>CUST-00758</t>
  </si>
  <si>
    <t>ORD-103365</t>
  </si>
  <si>
    <t>CUST-00179</t>
  </si>
  <si>
    <t>ORD-103431</t>
  </si>
  <si>
    <t>ORD-103439</t>
  </si>
  <si>
    <t>CUST-01696</t>
  </si>
  <si>
    <t>ORD-103443</t>
  </si>
  <si>
    <t>CUST-00637</t>
  </si>
  <si>
    <t>ORD-103450</t>
  </si>
  <si>
    <t>ORD-103483</t>
  </si>
  <si>
    <t>CUST-01691</t>
  </si>
  <si>
    <t>ORD-103511</t>
  </si>
  <si>
    <t>ORD-103588</t>
  </si>
  <si>
    <t>CUST-00074</t>
  </si>
  <si>
    <t>ORD-103598</t>
  </si>
  <si>
    <t>CUST-01475</t>
  </si>
  <si>
    <t>ORD-103600</t>
  </si>
  <si>
    <t>ORD-103628</t>
  </si>
  <si>
    <t>ORD-103665</t>
  </si>
  <si>
    <t>CUST-02932</t>
  </si>
  <si>
    <t>ORD-103670</t>
  </si>
  <si>
    <t>CUST-00565</t>
  </si>
  <si>
    <t>ORD-103673</t>
  </si>
  <si>
    <t>ORD-103681</t>
  </si>
  <si>
    <t>CUST-02940</t>
  </si>
  <si>
    <t>ORD-103760</t>
  </si>
  <si>
    <t>CUST-01799</t>
  </si>
  <si>
    <t>ORD-103767</t>
  </si>
  <si>
    <t>ORD-103792</t>
  </si>
  <si>
    <t>ORD-103873</t>
  </si>
  <si>
    <t>CUST-01028</t>
  </si>
  <si>
    <t>ORD-103919</t>
  </si>
  <si>
    <t>ORD-103921</t>
  </si>
  <si>
    <t>CUST-00176</t>
  </si>
  <si>
    <t>ORD-103962</t>
  </si>
  <si>
    <t>ORD-103986</t>
  </si>
  <si>
    <t>CUST-02008</t>
  </si>
  <si>
    <t>ORD-104132</t>
  </si>
  <si>
    <t>CUST-00528</t>
  </si>
  <si>
    <t>ORD-104141</t>
  </si>
  <si>
    <t>ORD-104153</t>
  </si>
  <si>
    <t>CUST-02371</t>
  </si>
  <si>
    <t>ORD-104168</t>
  </si>
  <si>
    <t>ORD-104186</t>
  </si>
  <si>
    <t>CUST-00390</t>
  </si>
  <si>
    <t>ORD-104190</t>
  </si>
  <si>
    <t>CUST-01153</t>
  </si>
  <si>
    <t>ORD-104214</t>
  </si>
  <si>
    <t>ORD-104234</t>
  </si>
  <si>
    <t>ORD-104247</t>
  </si>
  <si>
    <t>ORD-104376</t>
  </si>
  <si>
    <t>ORD-104528</t>
  </si>
  <si>
    <t>ORD-104586</t>
  </si>
  <si>
    <t>CUST-00613</t>
  </si>
  <si>
    <t>ORD-104590</t>
  </si>
  <si>
    <t>ORD-104605</t>
  </si>
  <si>
    <t>CUST-00797</t>
  </si>
  <si>
    <t>ORD-104614</t>
  </si>
  <si>
    <t>CUST-00193</t>
  </si>
  <si>
    <t>ORD-104625</t>
  </si>
  <si>
    <t>ORD-104627</t>
  </si>
  <si>
    <t>CUST-00067</t>
  </si>
  <si>
    <t>ORD-104631</t>
  </si>
  <si>
    <t>ORD-104746</t>
  </si>
  <si>
    <t>CUST-02074</t>
  </si>
  <si>
    <t>ORD-104791</t>
  </si>
  <si>
    <t>ORD-104813</t>
  </si>
  <si>
    <t>ORD-104831</t>
  </si>
  <si>
    <t>ORD-100010</t>
  </si>
  <si>
    <t>CUST-01268</t>
  </si>
  <si>
    <t>ORD-100011</t>
  </si>
  <si>
    <t>ORD-100029</t>
  </si>
  <si>
    <t>ORD-100167</t>
  </si>
  <si>
    <t>ORD-100169</t>
  </si>
  <si>
    <t>ORD-100171</t>
  </si>
  <si>
    <t>CUST-01076</t>
  </si>
  <si>
    <t>ORD-100235</t>
  </si>
  <si>
    <t>CUST-00281</t>
  </si>
  <si>
    <t>ORD-100256</t>
  </si>
  <si>
    <t>CUST-01027</t>
  </si>
  <si>
    <t>ORD-100304</t>
  </si>
  <si>
    <t>CUST-00728</t>
  </si>
  <si>
    <t>ORD-100307</t>
  </si>
  <si>
    <t>ORD-100323</t>
  </si>
  <si>
    <t>CUST-01664</t>
  </si>
  <si>
    <t>ORD-100423</t>
  </si>
  <si>
    <t>CUST-00847</t>
  </si>
  <si>
    <t>ORD-100506</t>
  </si>
  <si>
    <t>ORD-100521</t>
  </si>
  <si>
    <t>CUST-01924</t>
  </si>
  <si>
    <t>ORD-100556</t>
  </si>
  <si>
    <t>CUST-02177</t>
  </si>
  <si>
    <t>ORD-100571</t>
  </si>
  <si>
    <t>ORD-100599</t>
  </si>
  <si>
    <t>CUST-02396</t>
  </si>
  <si>
    <t>ORD-100600</t>
  </si>
  <si>
    <t>ORD-100609</t>
  </si>
  <si>
    <t>ORD-100617</t>
  </si>
  <si>
    <t>ORD-100634</t>
  </si>
  <si>
    <t>ORD-100670</t>
  </si>
  <si>
    <t>ORD-100690</t>
  </si>
  <si>
    <t>ORD-100694</t>
  </si>
  <si>
    <t>ORD-100747</t>
  </si>
  <si>
    <t>ORD-100766</t>
  </si>
  <si>
    <t>CUST-01116</t>
  </si>
  <si>
    <t>ORD-100774</t>
  </si>
  <si>
    <t>ORD-100823</t>
  </si>
  <si>
    <t>ORD-100855</t>
  </si>
  <si>
    <t>CUST-00765</t>
  </si>
  <si>
    <t>ORD-100864</t>
  </si>
  <si>
    <t>CUST-01203</t>
  </si>
  <si>
    <t>ORD-100920</t>
  </si>
  <si>
    <t>ORD-100943</t>
  </si>
  <si>
    <t>CUST-00023</t>
  </si>
  <si>
    <t>ORD-100969</t>
  </si>
  <si>
    <t>CUST-02612</t>
  </si>
  <si>
    <t>ORD-100993</t>
  </si>
  <si>
    <t>ORD-101007</t>
  </si>
  <si>
    <t>ORD-101026</t>
  </si>
  <si>
    <t>ORD-101121</t>
  </si>
  <si>
    <t>ORD-101140</t>
  </si>
  <si>
    <t>ORD-101143</t>
  </si>
  <si>
    <t>CUST-00626</t>
  </si>
  <si>
    <t>ORD-101157</t>
  </si>
  <si>
    <t>ORD-101226</t>
  </si>
  <si>
    <t>CUST-00607</t>
  </si>
  <si>
    <t>ORD-101227</t>
  </si>
  <si>
    <t>CUST-00171</t>
  </si>
  <si>
    <t>ORD-101232</t>
  </si>
  <si>
    <t>ORD-101234</t>
  </si>
  <si>
    <t>ORD-101246</t>
  </si>
  <si>
    <t>CUST-00519</t>
  </si>
  <si>
    <t>ORD-101249</t>
  </si>
  <si>
    <t>CUST-02955</t>
  </si>
  <si>
    <t>ORD-101261</t>
  </si>
  <si>
    <t>CUST-01445</t>
  </si>
  <si>
    <t>ORD-101366</t>
  </si>
  <si>
    <t>ORD-101371</t>
  </si>
  <si>
    <t>CUST-00773</t>
  </si>
  <si>
    <t>ORD-101388</t>
  </si>
  <si>
    <t>ORD-101421</t>
  </si>
  <si>
    <t>CUST-01693</t>
  </si>
  <si>
    <t>ORD-101451</t>
  </si>
  <si>
    <t>CUST-00903</t>
  </si>
  <si>
    <t>ORD-101493</t>
  </si>
  <si>
    <t>ORD-101583</t>
  </si>
  <si>
    <t>CUST-00968</t>
  </si>
  <si>
    <t>ORD-101594</t>
  </si>
  <si>
    <t>ORD-101613</t>
  </si>
  <si>
    <t>ORD-101619</t>
  </si>
  <si>
    <t>CUST-00724</t>
  </si>
  <si>
    <t>ORD-101646</t>
  </si>
  <si>
    <t>CUST-00353</t>
  </si>
  <si>
    <t>ORD-101648</t>
  </si>
  <si>
    <t>CUST-02708</t>
  </si>
  <si>
    <t>ORD-101758</t>
  </si>
  <si>
    <t>ORD-101766</t>
  </si>
  <si>
    <t>ORD-101836</t>
  </si>
  <si>
    <t>ORD-101846</t>
  </si>
  <si>
    <t>ORD-101869</t>
  </si>
  <si>
    <t>ORD-101945</t>
  </si>
  <si>
    <t>CUST-02694</t>
  </si>
  <si>
    <t>ORD-101950</t>
  </si>
  <si>
    <t>CUST-00914</t>
  </si>
  <si>
    <t>ORD-101978</t>
  </si>
  <si>
    <t>CUST-01529</t>
  </si>
  <si>
    <t>ORD-102009</t>
  </si>
  <si>
    <t>ORD-102031</t>
  </si>
  <si>
    <t>ORD-102070</t>
  </si>
  <si>
    <t>ORD-102099</t>
  </si>
  <si>
    <t>ORD-102109</t>
  </si>
  <si>
    <t>CUST-00644</t>
  </si>
  <si>
    <t>ORD-102113</t>
  </si>
  <si>
    <t>ORD-102210</t>
  </si>
  <si>
    <t>ORD-102247</t>
  </si>
  <si>
    <t>ORD-102253</t>
  </si>
  <si>
    <t>CUST-01812</t>
  </si>
  <si>
    <t>ORD-102300</t>
  </si>
  <si>
    <t>CUST-00219</t>
  </si>
  <si>
    <t>ORD-102369</t>
  </si>
  <si>
    <t>ORD-102396</t>
  </si>
  <si>
    <t>ORD-102404</t>
  </si>
  <si>
    <t>ORD-102415</t>
  </si>
  <si>
    <t>CUST-00017</t>
  </si>
  <si>
    <t>ORD-102444</t>
  </si>
  <si>
    <t>ORD-102472</t>
  </si>
  <si>
    <t>ORD-102536</t>
  </si>
  <si>
    <t>CUST-00782</t>
  </si>
  <si>
    <t>ORD-102538</t>
  </si>
  <si>
    <t>CUST-02774</t>
  </si>
  <si>
    <t>ORD-102555</t>
  </si>
  <si>
    <t>ORD-102579</t>
  </si>
  <si>
    <t>ORD-102677</t>
  </si>
  <si>
    <t>ORD-102678</t>
  </si>
  <si>
    <t>CUST-02790</t>
  </si>
  <si>
    <t>ORD-102695</t>
  </si>
  <si>
    <t>ORD-102711</t>
  </si>
  <si>
    <t>ORD-102747</t>
  </si>
  <si>
    <t>ORD-102784</t>
  </si>
  <si>
    <t>CUST-00529</t>
  </si>
  <si>
    <t>ORD-102836</t>
  </si>
  <si>
    <t>ORD-102857</t>
  </si>
  <si>
    <t>ORD-102901</t>
  </si>
  <si>
    <t>CUST-02361</t>
  </si>
  <si>
    <t>ORD-102921</t>
  </si>
  <si>
    <t>CUST-01091</t>
  </si>
  <si>
    <t>ORD-102950</t>
  </si>
  <si>
    <t>CUST-00382</t>
  </si>
  <si>
    <t>ORD-103037</t>
  </si>
  <si>
    <t>ORD-103059</t>
  </si>
  <si>
    <t>CUST-02064</t>
  </si>
  <si>
    <t>ORD-103073</t>
  </si>
  <si>
    <t>CUST-00209</t>
  </si>
  <si>
    <t>ORD-103082</t>
  </si>
  <si>
    <t>ORD-103084</t>
  </si>
  <si>
    <t>ORD-103085</t>
  </si>
  <si>
    <t>ORD-103149</t>
  </si>
  <si>
    <t>CUST-01535</t>
  </si>
  <si>
    <t>ORD-103165</t>
  </si>
  <si>
    <t>ORD-103228</t>
  </si>
  <si>
    <t>ORD-103231</t>
  </si>
  <si>
    <t>CUST-01587</t>
  </si>
  <si>
    <t>ORD-103240</t>
  </si>
  <si>
    <t>CUST-02084</t>
  </si>
  <si>
    <t>ORD-103245</t>
  </si>
  <si>
    <t>ORD-103262</t>
  </si>
  <si>
    <t>ORD-103276</t>
  </si>
  <si>
    <t>CUST-02925</t>
  </si>
  <si>
    <t>ORD-103286</t>
  </si>
  <si>
    <t>ORD-103288</t>
  </si>
  <si>
    <t>CUST-01341</t>
  </si>
  <si>
    <t>ORD-103317</t>
  </si>
  <si>
    <t>CUST-00802</t>
  </si>
  <si>
    <t>ORD-103322</t>
  </si>
  <si>
    <t>CUST-01521</t>
  </si>
  <si>
    <t>ORD-103356</t>
  </si>
  <si>
    <t>CUST-01805</t>
  </si>
  <si>
    <t>ORD-103402</t>
  </si>
  <si>
    <t>CUST-01860</t>
  </si>
  <si>
    <t>ORD-103405</t>
  </si>
  <si>
    <t>CUST-00079</t>
  </si>
  <si>
    <t>ORD-103421</t>
  </si>
  <si>
    <t>ORD-103436</t>
  </si>
  <si>
    <t>CUST-01446</t>
  </si>
  <si>
    <t>ORD-103477</t>
  </si>
  <si>
    <t>ORD-103478</t>
  </si>
  <si>
    <t>CUST-00751</t>
  </si>
  <si>
    <t>ORD-103551</t>
  </si>
  <si>
    <t>CUST-02478</t>
  </si>
  <si>
    <t>ORD-103555</t>
  </si>
  <si>
    <t>ORD-103599</t>
  </si>
  <si>
    <t>ORD-103632</t>
  </si>
  <si>
    <t>ORD-103676</t>
  </si>
  <si>
    <t>ORD-103729</t>
  </si>
  <si>
    <t>ORD-103732</t>
  </si>
  <si>
    <t>ORD-103748</t>
  </si>
  <si>
    <t>CUST-01356</t>
  </si>
  <si>
    <t>ORD-103764</t>
  </si>
  <si>
    <t>ORD-103769</t>
  </si>
  <si>
    <t>CUST-00430</t>
  </si>
  <si>
    <t>ORD-103774</t>
  </si>
  <si>
    <t>ORD-103788</t>
  </si>
  <si>
    <t>ORD-103793</t>
  </si>
  <si>
    <t>CUST-00957</t>
  </si>
  <si>
    <t>ORD-103881</t>
  </si>
  <si>
    <t>CUST-00723</t>
  </si>
  <si>
    <t>ORD-103888</t>
  </si>
  <si>
    <t>ORD-103907</t>
  </si>
  <si>
    <t>ORD-103924</t>
  </si>
  <si>
    <t>ORD-103928</t>
  </si>
  <si>
    <t>CUST-00815</t>
  </si>
  <si>
    <t>ORD-103980</t>
  </si>
  <si>
    <t>CUST-01038</t>
  </si>
  <si>
    <t>ORD-103982</t>
  </si>
  <si>
    <t>CUST-01008</t>
  </si>
  <si>
    <t>ORD-104014</t>
  </si>
  <si>
    <t>CUST-03123</t>
  </si>
  <si>
    <t>ORD-104060</t>
  </si>
  <si>
    <t>CUST-02139</t>
  </si>
  <si>
    <t>ORD-104110</t>
  </si>
  <si>
    <t>CUST-02897</t>
  </si>
  <si>
    <t>ORD-104175</t>
  </si>
  <si>
    <t>ORD-104180</t>
  </si>
  <si>
    <t>CUST-00258</t>
  </si>
  <si>
    <t>ORD-104221</t>
  </si>
  <si>
    <t>ORD-104223</t>
  </si>
  <si>
    <t>ORD-104240</t>
  </si>
  <si>
    <t>CUST-02772</t>
  </si>
  <si>
    <t>ORD-104250</t>
  </si>
  <si>
    <t>CUST-00078</t>
  </si>
  <si>
    <t>ORD-104310</t>
  </si>
  <si>
    <t>ORD-104394</t>
  </si>
  <si>
    <t>ORD-104397</t>
  </si>
  <si>
    <t>ORD-104510</t>
  </si>
  <si>
    <t>CUST-02233</t>
  </si>
  <si>
    <t>ORD-104595</t>
  </si>
  <si>
    <t>CUST-03072</t>
  </si>
  <si>
    <t>ORD-104635</t>
  </si>
  <si>
    <t>CUST-02328</t>
  </si>
  <si>
    <t>ORD-104666</t>
  </si>
  <si>
    <t>CUST-02936</t>
  </si>
  <si>
    <t>ORD-104667</t>
  </si>
  <si>
    <t>ORD-104678</t>
  </si>
  <si>
    <t>ORD-104685</t>
  </si>
  <si>
    <t>CUST-00378</t>
  </si>
  <si>
    <t>ORD-104686</t>
  </si>
  <si>
    <t>ORD-104700</t>
  </si>
  <si>
    <t>CUST-00969</t>
  </si>
  <si>
    <t>ORD-104715</t>
  </si>
  <si>
    <t>ORD-104755</t>
  </si>
  <si>
    <t>CUST-00864</t>
  </si>
  <si>
    <t>ORD-104760</t>
  </si>
  <si>
    <t>CUST-02251</t>
  </si>
  <si>
    <t>ORD-104780</t>
  </si>
  <si>
    <t>ORD-104785</t>
  </si>
  <si>
    <t>ORD-100069</t>
  </si>
  <si>
    <t>CUST-02622</t>
  </si>
  <si>
    <t>ORD-100072</t>
  </si>
  <si>
    <t>ORD-100179</t>
  </si>
  <si>
    <t>ORD-100215</t>
  </si>
  <si>
    <t>ORD-100221</t>
  </si>
  <si>
    <t>CUST-00910</t>
  </si>
  <si>
    <t>ORD-100295</t>
  </si>
  <si>
    <t>ORD-100299</t>
  </si>
  <si>
    <t>CUST-01058</t>
  </si>
  <si>
    <t>ORD-100329</t>
  </si>
  <si>
    <t>CUST-02065</t>
  </si>
  <si>
    <t>ORD-100337</t>
  </si>
  <si>
    <t>ORD-100457</t>
  </si>
  <si>
    <t>ORD-100517</t>
  </si>
  <si>
    <t>ORD-100532</t>
  </si>
  <si>
    <t>ORD-100678</t>
  </si>
  <si>
    <t>ORD-100757</t>
  </si>
  <si>
    <t>ORD-100767</t>
  </si>
  <si>
    <t>ORD-100791</t>
  </si>
  <si>
    <t>CUST-00106</t>
  </si>
  <si>
    <t>ORD-100862</t>
  </si>
  <si>
    <t>CUST-02973</t>
  </si>
  <si>
    <t>ORD-100879</t>
  </si>
  <si>
    <t>ORD-100890</t>
  </si>
  <si>
    <t>ORD-101023</t>
  </si>
  <si>
    <t>ORD-101035</t>
  </si>
  <si>
    <t>ORD-101155</t>
  </si>
  <si>
    <t>CUST-00133</t>
  </si>
  <si>
    <t>ORD-101162</t>
  </si>
  <si>
    <t>ORD-101238</t>
  </si>
  <si>
    <t>CUST-00277</t>
  </si>
  <si>
    <t>ORD-101302</t>
  </si>
  <si>
    <t>CUST-01727</t>
  </si>
  <si>
    <t>ORD-101363</t>
  </si>
  <si>
    <t>ORD-101407</t>
  </si>
  <si>
    <t>ORD-101427</t>
  </si>
  <si>
    <t>ORD-101707</t>
  </si>
  <si>
    <t>CUST-00459</t>
  </si>
  <si>
    <t>ORD-101905</t>
  </si>
  <si>
    <t>CUST-01240</t>
  </si>
  <si>
    <t>ORD-101949</t>
  </si>
  <si>
    <t>CUST-01581</t>
  </si>
  <si>
    <t>ORD-102050</t>
  </si>
  <si>
    <t>ORD-102064</t>
  </si>
  <si>
    <t>ORD-102097</t>
  </si>
  <si>
    <t>ORD-102328</t>
  </si>
  <si>
    <t>CUST-02849</t>
  </si>
  <si>
    <t>ORD-102412</t>
  </si>
  <si>
    <t>CUST-00438</t>
  </si>
  <si>
    <t>ORD-102432</t>
  </si>
  <si>
    <t>ORD-102489</t>
  </si>
  <si>
    <t>CUST-01397</t>
  </si>
  <si>
    <t>ORD-102601</t>
  </si>
  <si>
    <t>ORD-102641</t>
  </si>
  <si>
    <t>ORD-102687</t>
  </si>
  <si>
    <t>ORD-102853</t>
  </si>
  <si>
    <t>CUST-02020</t>
  </si>
  <si>
    <t>ORD-102919</t>
  </si>
  <si>
    <t>ORD-102934</t>
  </si>
  <si>
    <t>ORD-103025</t>
  </si>
  <si>
    <t>ORD-103243</t>
  </si>
  <si>
    <t>ORD-103250</t>
  </si>
  <si>
    <t>ORD-103259</t>
  </si>
  <si>
    <t>CUST-02305</t>
  </si>
  <si>
    <t>ORD-103318</t>
  </si>
  <si>
    <t>CUST-01119</t>
  </si>
  <si>
    <t>ORD-103359</t>
  </si>
  <si>
    <t>CUST-00260</t>
  </si>
  <si>
    <t>ORD-103391</t>
  </si>
  <si>
    <t>ORD-103463</t>
  </si>
  <si>
    <t>CUST-02279</t>
  </si>
  <si>
    <t>ORD-103502</t>
  </si>
  <si>
    <t>ORD-103541</t>
  </si>
  <si>
    <t>ORD-103544</t>
  </si>
  <si>
    <t>CUST-00933</t>
  </si>
  <si>
    <t>ORD-103547</t>
  </si>
  <si>
    <t>ORD-103644</t>
  </si>
  <si>
    <t>ORD-103669</t>
  </si>
  <si>
    <t>CUST-00214</t>
  </si>
  <si>
    <t>ORD-103698</t>
  </si>
  <si>
    <t>CUST-00568</t>
  </si>
  <si>
    <t>ORD-103794</t>
  </si>
  <si>
    <t>ORD-103892</t>
  </si>
  <si>
    <t>ORD-103937</t>
  </si>
  <si>
    <t>CUST-01945</t>
  </si>
  <si>
    <t>ORD-103971</t>
  </si>
  <si>
    <t>CUST-00280</t>
  </si>
  <si>
    <t>ORD-104040</t>
  </si>
  <si>
    <t>CUST-00284</t>
  </si>
  <si>
    <t>ORD-104124</t>
  </si>
  <si>
    <t>CUST-02003</t>
  </si>
  <si>
    <t>ORD-104208</t>
  </si>
  <si>
    <t>CUST-00317</t>
  </si>
  <si>
    <t>ORD-104333</t>
  </si>
  <si>
    <t>CUST-02591</t>
  </si>
  <si>
    <t>ORD-104469</t>
  </si>
  <si>
    <t>CUST-00114</t>
  </si>
  <si>
    <t>ORD-104512</t>
  </si>
  <si>
    <t>ORD-104577</t>
  </si>
  <si>
    <t>CUST-01102</t>
  </si>
  <si>
    <t>ORD-104578</t>
  </si>
  <si>
    <t>ORD-104680</t>
  </si>
  <si>
    <t>ORD-104756</t>
  </si>
  <si>
    <t>ORD-104768</t>
  </si>
  <si>
    <t>CUST-02562</t>
  </si>
  <si>
    <t>ORD-100014</t>
  </si>
  <si>
    <t>Credit Card</t>
  </si>
  <si>
    <t>ORD-100041</t>
  </si>
  <si>
    <t>CUST-02682</t>
  </si>
  <si>
    <t>ORD-100044</t>
  </si>
  <si>
    <t>ORD-100219</t>
  </si>
  <si>
    <t>CUST-00869</t>
  </si>
  <si>
    <t>ORD-100220</t>
  </si>
  <si>
    <t>CUST-00159</t>
  </si>
  <si>
    <t>ORD-100223</t>
  </si>
  <si>
    <t>CUST-01713</t>
  </si>
  <si>
    <t>ORD-100274</t>
  </si>
  <si>
    <t>CUST-01271</t>
  </si>
  <si>
    <t>ORD-100289</t>
  </si>
  <si>
    <t>ORD-100314</t>
  </si>
  <si>
    <t>ORD-100404</t>
  </si>
  <si>
    <t>CUST-02907</t>
  </si>
  <si>
    <t>ORD-100419</t>
  </si>
  <si>
    <t>ORD-100420</t>
  </si>
  <si>
    <t>CUST-01365</t>
  </si>
  <si>
    <t>ORD-100460</t>
  </si>
  <si>
    <t>CUST-02586</t>
  </si>
  <si>
    <t>ORD-100465</t>
  </si>
  <si>
    <t>ORD-100479</t>
  </si>
  <si>
    <t>CUST-02539</t>
  </si>
  <si>
    <t>ORD-100491</t>
  </si>
  <si>
    <t>CUST-00553</t>
  </si>
  <si>
    <t>ORD-100512</t>
  </si>
  <si>
    <t>ORD-100529</t>
  </si>
  <si>
    <t>ORD-100569</t>
  </si>
  <si>
    <t>CUST-01327</t>
  </si>
  <si>
    <t>ORD-100587</t>
  </si>
  <si>
    <t>ORD-100648</t>
  </si>
  <si>
    <t>ORD-100658</t>
  </si>
  <si>
    <t>CUST-00656</t>
  </si>
  <si>
    <t>ORD-100666</t>
  </si>
  <si>
    <t>CUST-02495</t>
  </si>
  <si>
    <t>ORD-100689</t>
  </si>
  <si>
    <t>CUST-01396</t>
  </si>
  <si>
    <t>ORD-100704</t>
  </si>
  <si>
    <t>ORD-100776</t>
  </si>
  <si>
    <t>CUST-02046</t>
  </si>
  <si>
    <t>ORD-100842</t>
  </si>
  <si>
    <t>CUST-00239</t>
  </si>
  <si>
    <t>ORD-100881</t>
  </si>
  <si>
    <t>CUST-01290</t>
  </si>
  <si>
    <t>ORD-100899</t>
  </si>
  <si>
    <t>CUST-00816</t>
  </si>
  <si>
    <t>ORD-100901</t>
  </si>
  <si>
    <t>ORD-100908</t>
  </si>
  <si>
    <t>ORD-100932</t>
  </si>
  <si>
    <t>CUST-00606</t>
  </si>
  <si>
    <t>ORD-100937</t>
  </si>
  <si>
    <t>ORD-100944</t>
  </si>
  <si>
    <t>ORD-100979</t>
  </si>
  <si>
    <t>ORD-100989</t>
  </si>
  <si>
    <t>ORD-101001</t>
  </si>
  <si>
    <t>ORD-101015</t>
  </si>
  <si>
    <t>CUST-02286</t>
  </si>
  <si>
    <t>ORD-101025</t>
  </si>
  <si>
    <t>ORD-101059</t>
  </si>
  <si>
    <t>ORD-101075</t>
  </si>
  <si>
    <t>ORD-101093</t>
  </si>
  <si>
    <t>CUST-00482</t>
  </si>
  <si>
    <t>ORD-101138</t>
  </si>
  <si>
    <t>ORD-101183</t>
  </si>
  <si>
    <t>ORD-101272</t>
  </si>
  <si>
    <t>ORD-101378</t>
  </si>
  <si>
    <t>ORD-101399</t>
  </si>
  <si>
    <t>CUST-02484</t>
  </si>
  <si>
    <t>ORD-101408</t>
  </si>
  <si>
    <t>ORD-101433</t>
  </si>
  <si>
    <t>ORD-101469</t>
  </si>
  <si>
    <t>ORD-101616</t>
  </si>
  <si>
    <t>ORD-101636</t>
  </si>
  <si>
    <t>CUST-00334</t>
  </si>
  <si>
    <t>ORD-101720</t>
  </si>
  <si>
    <t>CUST-00155</t>
  </si>
  <si>
    <t>ORD-101762</t>
  </si>
  <si>
    <t>CUST-00279</t>
  </si>
  <si>
    <t>ORD-101790</t>
  </si>
  <si>
    <t>ORD-101799</t>
  </si>
  <si>
    <t>ORD-101916</t>
  </si>
  <si>
    <t>ORD-101921</t>
  </si>
  <si>
    <t>ORD-101925</t>
  </si>
  <si>
    <t>ORD-102033</t>
  </si>
  <si>
    <t>ORD-102034</t>
  </si>
  <si>
    <t>ORD-102160</t>
  </si>
  <si>
    <t>CUST-01162</t>
  </si>
  <si>
    <t>ORD-102222</t>
  </si>
  <si>
    <t>CUST-01557</t>
  </si>
  <si>
    <t>ORD-102224</t>
  </si>
  <si>
    <t>CUST-00832</t>
  </si>
  <si>
    <t>ORD-102290</t>
  </si>
  <si>
    <t>ORD-102292</t>
  </si>
  <si>
    <t>ORD-102305</t>
  </si>
  <si>
    <t>CUST-02117</t>
  </si>
  <si>
    <t>ORD-102316</t>
  </si>
  <si>
    <t>CUST-02204</t>
  </si>
  <si>
    <t>ORD-102335</t>
  </si>
  <si>
    <t>CUST-02777</t>
  </si>
  <si>
    <t>ORD-102365</t>
  </si>
  <si>
    <t>CUST-01886</t>
  </si>
  <si>
    <t>ORD-102398</t>
  </si>
  <si>
    <t>ORD-102406</t>
  </si>
  <si>
    <t>CUST-03121</t>
  </si>
  <si>
    <t>ORD-102446</t>
  </si>
  <si>
    <t>ORD-102450</t>
  </si>
  <si>
    <t>ORD-102481</t>
  </si>
  <si>
    <t>ORD-102488</t>
  </si>
  <si>
    <t>CUST-02626</t>
  </si>
  <si>
    <t>ORD-102510</t>
  </si>
  <si>
    <t>CUST-00501</t>
  </si>
  <si>
    <t>ORD-102514</t>
  </si>
  <si>
    <t>CUST-00247</t>
  </si>
  <si>
    <t>ORD-102609</t>
  </si>
  <si>
    <t>ORD-102635</t>
  </si>
  <si>
    <t>CUST-01266</t>
  </si>
  <si>
    <t>ORD-102642</t>
  </si>
  <si>
    <t>ORD-102649</t>
  </si>
  <si>
    <t>CUST-02969</t>
  </si>
  <si>
    <t>ORD-102709</t>
  </si>
  <si>
    <t>ORD-102773</t>
  </si>
  <si>
    <t>ORD-102838</t>
  </si>
  <si>
    <t>ORD-102866</t>
  </si>
  <si>
    <t>ORD-102885</t>
  </si>
  <si>
    <t>ORD-102894</t>
  </si>
  <si>
    <t>ORD-102897</t>
  </si>
  <si>
    <t>CUST-01704</t>
  </si>
  <si>
    <t>ORD-102941</t>
  </si>
  <si>
    <t>CUST-03164</t>
  </si>
  <si>
    <t>ORD-102955</t>
  </si>
  <si>
    <t>CUST-01565</t>
  </si>
  <si>
    <t>ORD-102959</t>
  </si>
  <si>
    <t>CUST-00735</t>
  </si>
  <si>
    <t>ORD-103004</t>
  </si>
  <si>
    <t>CUST-01768</t>
  </si>
  <si>
    <t>ORD-103053</t>
  </si>
  <si>
    <t>ORD-103075</t>
  </si>
  <si>
    <t>ORD-103094</t>
  </si>
  <si>
    <t>ORD-103112</t>
  </si>
  <si>
    <t>ORD-103158</t>
  </si>
  <si>
    <t>ORD-103167</t>
  </si>
  <si>
    <t>CUST-00267</t>
  </si>
  <si>
    <t>ORD-103214</t>
  </si>
  <si>
    <t>ORD-103221</t>
  </si>
  <si>
    <t>ORD-103247</t>
  </si>
  <si>
    <t>ORD-103306</t>
  </si>
  <si>
    <t>ORD-103352</t>
  </si>
  <si>
    <t>ORD-103369</t>
  </si>
  <si>
    <t>CUST-01447</t>
  </si>
  <si>
    <t>ORD-103393</t>
  </si>
  <si>
    <t>ORD-103422</t>
  </si>
  <si>
    <t>CUST-00919</t>
  </si>
  <si>
    <t>ORD-103424</t>
  </si>
  <si>
    <t>ORD-103464</t>
  </si>
  <si>
    <t>CUST-00730</t>
  </si>
  <si>
    <t>ORD-103509</t>
  </si>
  <si>
    <t>CUST-01312</t>
  </si>
  <si>
    <t>ORD-103538</t>
  </si>
  <si>
    <t>CUST-01795</t>
  </si>
  <si>
    <t>ORD-103583</t>
  </si>
  <si>
    <t>ORD-103586</t>
  </si>
  <si>
    <t>ORD-103590</t>
  </si>
  <si>
    <t>CUST-00164</t>
  </si>
  <si>
    <t>ORD-103629</t>
  </si>
  <si>
    <t>CUST-01073</t>
  </si>
  <si>
    <t>ORD-103643</t>
  </si>
  <si>
    <t>ORD-103653</t>
  </si>
  <si>
    <t>CUST-01016</t>
  </si>
  <si>
    <t>ORD-103675</t>
  </si>
  <si>
    <t>CUST-00584</t>
  </si>
  <si>
    <t>ORD-103775</t>
  </si>
  <si>
    <t>ORD-103803</t>
  </si>
  <si>
    <t>ORD-103830</t>
  </si>
  <si>
    <t>ORD-103961</t>
  </si>
  <si>
    <t>ORD-104050</t>
  </si>
  <si>
    <t>ORD-104051</t>
  </si>
  <si>
    <t>ORD-104061</t>
  </si>
  <si>
    <t>ORD-104074</t>
  </si>
  <si>
    <t>ORD-104084</t>
  </si>
  <si>
    <t>ORD-104094</t>
  </si>
  <si>
    <t>ORD-104158</t>
  </si>
  <si>
    <t>CUST-00271</t>
  </si>
  <si>
    <t>ORD-104159</t>
  </si>
  <si>
    <t>ORD-104169</t>
  </si>
  <si>
    <t>ORD-104263</t>
  </si>
  <si>
    <t>ORD-104270</t>
  </si>
  <si>
    <t>CUST-00592</t>
  </si>
  <si>
    <t>ORD-104426</t>
  </si>
  <si>
    <t>ORD-104434</t>
  </si>
  <si>
    <t>CUST-01260</t>
  </si>
  <si>
    <t>ORD-104449</t>
  </si>
  <si>
    <t>ORD-104450</t>
  </si>
  <si>
    <t>CUST-00666</t>
  </si>
  <si>
    <t>ORD-104546</t>
  </si>
  <si>
    <t>CUST-03101</t>
  </si>
  <si>
    <t>ORD-104566</t>
  </si>
  <si>
    <t>CUST-01852</t>
  </si>
  <si>
    <t>ORD-104579</t>
  </si>
  <si>
    <t>CUST-01191</t>
  </si>
  <si>
    <t>ORD-104640</t>
  </si>
  <si>
    <t>ORD-104744</t>
  </si>
  <si>
    <t>ORD-104763</t>
  </si>
  <si>
    <t>ORD-104789</t>
  </si>
  <si>
    <t>ORD-104807</t>
  </si>
  <si>
    <t>CUST-02243</t>
  </si>
  <si>
    <t>ORD-104816</t>
  </si>
  <si>
    <t>ORD-100002</t>
  </si>
  <si>
    <t>ORD-100060</t>
  </si>
  <si>
    <t>ORD-100134</t>
  </si>
  <si>
    <t>CUST-00831</t>
  </si>
  <si>
    <t>ORD-100189</t>
  </si>
  <si>
    <t>CUST-00738</t>
  </si>
  <si>
    <t>ORD-100260</t>
  </si>
  <si>
    <t>ORD-100263</t>
  </si>
  <si>
    <t>ORD-100425</t>
  </si>
  <si>
    <t>ORD-100485</t>
  </si>
  <si>
    <t>ORD-100536</t>
  </si>
  <si>
    <t>ORD-100541</t>
  </si>
  <si>
    <t>CUST-02881</t>
  </si>
  <si>
    <t>ORD-100605</t>
  </si>
  <si>
    <t>ORD-100612</t>
  </si>
  <si>
    <t>CUST-00874</t>
  </si>
  <si>
    <t>ORD-100632</t>
  </si>
  <si>
    <t>ORD-100633</t>
  </si>
  <si>
    <t>ORD-100653</t>
  </si>
  <si>
    <t>ORD-100671</t>
  </si>
  <si>
    <t>CUST-01721</t>
  </si>
  <si>
    <t>ORD-100697</t>
  </si>
  <si>
    <t>ORD-100711</t>
  </si>
  <si>
    <t>CUST-02448</t>
  </si>
  <si>
    <t>ORD-100725</t>
  </si>
  <si>
    <t>ORD-100729</t>
  </si>
  <si>
    <t>ORD-100765</t>
  </si>
  <si>
    <t>ORD-100797</t>
  </si>
  <si>
    <t>ORD-100803</t>
  </si>
  <si>
    <t>ORD-100837</t>
  </si>
  <si>
    <t>ORD-100839</t>
  </si>
  <si>
    <t>ORD-101010</t>
  </si>
  <si>
    <t>ORD-101148</t>
  </si>
  <si>
    <t>CUST-00719</t>
  </si>
  <si>
    <t>ORD-101349</t>
  </si>
  <si>
    <t>ORD-101428</t>
  </si>
  <si>
    <t>ORD-101521</t>
  </si>
  <si>
    <t>CUST-01777</t>
  </si>
  <si>
    <t>ORD-101548</t>
  </si>
  <si>
    <t>ORD-101745</t>
  </si>
  <si>
    <t>ORD-101947</t>
  </si>
  <si>
    <t>CUST-01257</t>
  </si>
  <si>
    <t>ORD-101990</t>
  </si>
  <si>
    <t>ORD-102047</t>
  </si>
  <si>
    <t>CUST-02523</t>
  </si>
  <si>
    <t>ORD-102169</t>
  </si>
  <si>
    <t>ORD-102196</t>
  </si>
  <si>
    <t>ORD-102277</t>
  </si>
  <si>
    <t>CUST-00089</t>
  </si>
  <si>
    <t>ORD-102327</t>
  </si>
  <si>
    <t>ORD-102385</t>
  </si>
  <si>
    <t>ORD-102409</t>
  </si>
  <si>
    <t>CUST-00383</t>
  </si>
  <si>
    <t>ORD-102449</t>
  </si>
  <si>
    <t>ORD-102546</t>
  </si>
  <si>
    <t>ORD-102625</t>
  </si>
  <si>
    <t>ORD-102655</t>
  </si>
  <si>
    <t>CUST-00240</t>
  </si>
  <si>
    <t>ORD-102700</t>
  </si>
  <si>
    <t>CUST-00251</t>
  </si>
  <si>
    <t>ORD-102710</t>
  </si>
  <si>
    <t>ORD-102776</t>
  </si>
  <si>
    <t>ORD-102781</t>
  </si>
  <si>
    <t>CUST-02252</t>
  </si>
  <si>
    <t>ORD-102788</t>
  </si>
  <si>
    <t>ORD-102808</t>
  </si>
  <si>
    <t>ORD-102837</t>
  </si>
  <si>
    <t>ORD-102872</t>
  </si>
  <si>
    <t>CUST-00134</t>
  </si>
  <si>
    <t>ORD-102879</t>
  </si>
  <si>
    <t>ORD-102900</t>
  </si>
  <si>
    <t>ORD-102945</t>
  </si>
  <si>
    <t>CUST-00005</t>
  </si>
  <si>
    <t>ORD-102953</t>
  </si>
  <si>
    <t>ORD-102975</t>
  </si>
  <si>
    <t>ORD-103048</t>
  </si>
  <si>
    <t>CUST-00454</t>
  </si>
  <si>
    <t>ORD-103168</t>
  </si>
  <si>
    <t>ORD-103241</t>
  </si>
  <si>
    <t>CUST-01519</t>
  </si>
  <si>
    <t>ORD-103307</t>
  </si>
  <si>
    <t>CUST-01774</t>
  </si>
  <si>
    <t>ORD-103314</t>
  </si>
  <si>
    <t>ORD-103354</t>
  </si>
  <si>
    <t>ORD-103399</t>
  </si>
  <si>
    <t>ORD-103455</t>
  </si>
  <si>
    <t>CUST-02423</t>
  </si>
  <si>
    <t>ORD-103523</t>
  </si>
  <si>
    <t>ORD-103560</t>
  </si>
  <si>
    <t>ORD-103568</t>
  </si>
  <si>
    <t>ORD-103640</t>
  </si>
  <si>
    <t>ORD-103651</t>
  </si>
  <si>
    <t>ORD-103782</t>
  </si>
  <si>
    <t>CUST-00702</t>
  </si>
  <si>
    <t>ORD-103824</t>
  </si>
  <si>
    <t>ORD-103851</t>
  </si>
  <si>
    <t>ORD-103872</t>
  </si>
  <si>
    <t>ORD-103894</t>
  </si>
  <si>
    <t>ORD-103918</t>
  </si>
  <si>
    <t>ORD-103927</t>
  </si>
  <si>
    <t>CUST-01915</t>
  </si>
  <si>
    <t>ORD-103938</t>
  </si>
  <si>
    <t>CUST-00621</t>
  </si>
  <si>
    <t>ORD-103940</t>
  </si>
  <si>
    <t>CUST-01819</t>
  </si>
  <si>
    <t>ORD-103955</t>
  </si>
  <si>
    <t>ORD-104043</t>
  </si>
  <si>
    <t>CUST-00042</t>
  </si>
  <si>
    <t>ORD-104052</t>
  </si>
  <si>
    <t>ORD-104082</t>
  </si>
  <si>
    <t>ORD-104090</t>
  </si>
  <si>
    <t>ORD-104118</t>
  </si>
  <si>
    <t>ORD-104137</t>
  </si>
  <si>
    <t>ORD-104142</t>
  </si>
  <si>
    <t>CUST-02816</t>
  </si>
  <si>
    <t>ORD-104275</t>
  </si>
  <si>
    <t>CUST-01003</t>
  </si>
  <si>
    <t>ORD-104293</t>
  </si>
  <si>
    <t>ORD-104438</t>
  </si>
  <si>
    <t>CUST-00775</t>
  </si>
  <si>
    <t>ORD-104496</t>
  </si>
  <si>
    <t>ORD-104543</t>
  </si>
  <si>
    <t>ORD-104559</t>
  </si>
  <si>
    <t>CUST-02766</t>
  </si>
  <si>
    <t>ORD-104565</t>
  </si>
  <si>
    <t>CUST-02474</t>
  </si>
  <si>
    <t>ORD-104569</t>
  </si>
  <si>
    <t>ORD-104612</t>
  </si>
  <si>
    <t>ORD-104630</t>
  </si>
  <si>
    <t>ORD-104641</t>
  </si>
  <si>
    <t>ORD-104690</t>
  </si>
  <si>
    <t>CUST-01551</t>
  </si>
  <si>
    <t>ORD-104741</t>
  </si>
  <si>
    <t>ORD-104762</t>
  </si>
  <si>
    <t>ORD-104773</t>
  </si>
  <si>
    <t>ORD-104800</t>
  </si>
  <si>
    <t>ORD-100005</t>
  </si>
  <si>
    <t>CUST-01769</t>
  </si>
  <si>
    <t>ORD-100020</t>
  </si>
  <si>
    <t>ORD-100086</t>
  </si>
  <si>
    <t>CUST-01407</t>
  </si>
  <si>
    <t>ORD-100102</t>
  </si>
  <si>
    <t>CUST-00007</t>
  </si>
  <si>
    <t>ORD-100111</t>
  </si>
  <si>
    <t>ORD-100200</t>
  </si>
  <si>
    <t>ORD-100205</t>
  </si>
  <si>
    <t>ORD-100218</t>
  </si>
  <si>
    <t>ORD-100272</t>
  </si>
  <si>
    <t>ORD-100309</t>
  </si>
  <si>
    <t>ORD-100311</t>
  </si>
  <si>
    <t>CUST-03156</t>
  </si>
  <si>
    <t>ORD-100344</t>
  </si>
  <si>
    <t>CUST-02373</t>
  </si>
  <si>
    <t>ORD-100360</t>
  </si>
  <si>
    <t>ORD-100507</t>
  </si>
  <si>
    <t>ORD-100565</t>
  </si>
  <si>
    <t>ORD-100710</t>
  </si>
  <si>
    <t>ORD-100863</t>
  </si>
  <si>
    <t>ORD-100872</t>
  </si>
  <si>
    <t>ORD-100884</t>
  </si>
  <si>
    <t>ORD-101171</t>
  </si>
  <si>
    <t>ORD-101237</t>
  </si>
  <si>
    <t>ORD-101273</t>
  </si>
  <si>
    <t>CUST-00172</t>
  </si>
  <si>
    <t>ORD-101294</t>
  </si>
  <si>
    <t>CUST-01634</t>
  </si>
  <si>
    <t>ORD-101309</t>
  </si>
  <si>
    <t>CUST-00555</t>
  </si>
  <si>
    <t>ORD-101317</t>
  </si>
  <si>
    <t>ORD-101335</t>
  </si>
  <si>
    <t>ORD-101490</t>
  </si>
  <si>
    <t>ORD-101557</t>
  </si>
  <si>
    <t>ORD-101575</t>
  </si>
  <si>
    <t>ORD-101621</t>
  </si>
  <si>
    <t>CUST-00436</t>
  </si>
  <si>
    <t>ORD-101743</t>
  </si>
  <si>
    <t>CUST-00439</t>
  </si>
  <si>
    <t>ORD-101789</t>
  </si>
  <si>
    <t>CUST-00392</t>
  </si>
  <si>
    <t>ORD-101818</t>
  </si>
  <si>
    <t>ORD-101845</t>
  </si>
  <si>
    <t>ORD-101861</t>
  </si>
  <si>
    <t>ORD-101879</t>
  </si>
  <si>
    <t>ORD-101906</t>
  </si>
  <si>
    <t>ORD-101910</t>
  </si>
  <si>
    <t>ORD-101927</t>
  </si>
  <si>
    <t>ORD-101960</t>
  </si>
  <si>
    <t>ORD-102010</t>
  </si>
  <si>
    <t>ORD-102041</t>
  </si>
  <si>
    <t>ORD-102073</t>
  </si>
  <si>
    <t>ORD-102204</t>
  </si>
  <si>
    <t>CUST-02779</t>
  </si>
  <si>
    <t>ORD-102286</t>
  </si>
  <si>
    <t>ORD-102296</t>
  </si>
  <si>
    <t>ORD-102399</t>
  </si>
  <si>
    <t>ORD-102427</t>
  </si>
  <si>
    <t>ORD-102429</t>
  </si>
  <si>
    <t>ORD-102487</t>
  </si>
  <si>
    <t>ORD-102554</t>
  </si>
  <si>
    <t>CUST-00643</t>
  </si>
  <si>
    <t>ORD-102591</t>
  </si>
  <si>
    <t>ORD-102805</t>
  </si>
  <si>
    <t>ORD-102813</t>
  </si>
  <si>
    <t>ORD-102886</t>
  </si>
  <si>
    <t>ORD-102909</t>
  </si>
  <si>
    <t>ORD-102915</t>
  </si>
  <si>
    <t>ORD-103256</t>
  </si>
  <si>
    <t>CUST-02776</t>
  </si>
  <si>
    <t>ORD-103325</t>
  </si>
  <si>
    <t>ORD-103390</t>
  </si>
  <si>
    <t>ORD-103441</t>
  </si>
  <si>
    <t>ORD-103448</t>
  </si>
  <si>
    <t>ORD-103474</t>
  </si>
  <si>
    <t>CUST-01083</t>
  </si>
  <si>
    <t>ORD-103566</t>
  </si>
  <si>
    <t>CUST-02380</t>
  </si>
  <si>
    <t>ORD-103575</t>
  </si>
  <si>
    <t>ORD-103581</t>
  </si>
  <si>
    <t>ORD-103601</t>
  </si>
  <si>
    <t>ORD-103648</t>
  </si>
  <si>
    <t>CUST-02767</t>
  </si>
  <si>
    <t>ORD-103659</t>
  </si>
  <si>
    <t>ORD-103664</t>
  </si>
  <si>
    <t>ORD-103687</t>
  </si>
  <si>
    <t>ORD-103866</t>
  </si>
  <si>
    <t>CUST-01393</t>
  </si>
  <si>
    <t>ORD-103925</t>
  </si>
  <si>
    <t>CUST-02364</t>
  </si>
  <si>
    <t>ORD-103975</t>
  </si>
  <si>
    <t>CUST-00779</t>
  </si>
  <si>
    <t>ORD-103976</t>
  </si>
  <si>
    <t>CUST-00072</t>
  </si>
  <si>
    <t>ORD-104006</t>
  </si>
  <si>
    <t>ORD-104020</t>
  </si>
  <si>
    <t>ORD-104286</t>
  </si>
  <si>
    <t>ORD-104400</t>
  </si>
  <si>
    <t>ORD-104448</t>
  </si>
  <si>
    <t>ORD-104513</t>
  </si>
  <si>
    <t>ORD-104515</t>
  </si>
  <si>
    <t>ORD-104592</t>
  </si>
  <si>
    <t>CUST-01831</t>
  </si>
  <si>
    <t>ORD-104594</t>
  </si>
  <si>
    <t>CUST-00946</t>
  </si>
  <si>
    <t>ORD-104761</t>
  </si>
  <si>
    <t>CUST-01050</t>
  </si>
  <si>
    <t>ORD-104793</t>
  </si>
  <si>
    <t>CUST-02972</t>
  </si>
  <si>
    <t>ORD-100032</t>
  </si>
  <si>
    <t>ORD-100110</t>
  </si>
  <si>
    <t>ORD-100211</t>
  </si>
  <si>
    <t>CUST-02748</t>
  </si>
  <si>
    <t>ORD-100216</t>
  </si>
  <si>
    <t>CUST-01971</t>
  </si>
  <si>
    <t>ORD-100246</t>
  </si>
  <si>
    <t>CUST-01138</t>
  </si>
  <si>
    <t>ORD-100297</t>
  </si>
  <si>
    <t>ORD-100351</t>
  </si>
  <si>
    <t>ORD-100395</t>
  </si>
  <si>
    <t>ORD-100462</t>
  </si>
  <si>
    <t>CUST-00478</t>
  </si>
  <si>
    <t>ORD-100508</t>
  </si>
  <si>
    <t>ORD-100554</t>
  </si>
  <si>
    <t>ORD-100562</t>
  </si>
  <si>
    <t>CUST-00091</t>
  </si>
  <si>
    <t>ORD-100584</t>
  </si>
  <si>
    <t>CUST-00564</t>
  </si>
  <si>
    <t>ORD-100593</t>
  </si>
  <si>
    <t>CUST-01612</t>
  </si>
  <si>
    <t>ORD-100611</t>
  </si>
  <si>
    <t>ORD-100645</t>
  </si>
  <si>
    <t>ORD-100651</t>
  </si>
  <si>
    <t>CUST-00517</t>
  </si>
  <si>
    <t>ORD-100770</t>
  </si>
  <si>
    <t>CUST-00489</t>
  </si>
  <si>
    <t>ORD-100866</t>
  </si>
  <si>
    <t>ORD-100878</t>
  </si>
  <si>
    <t>ORD-100994</t>
  </si>
  <si>
    <t>CUST-00111</t>
  </si>
  <si>
    <t>ORD-101045</t>
  </si>
  <si>
    <t>ORD-101122</t>
  </si>
  <si>
    <t>ORD-101136</t>
  </si>
  <si>
    <t>CUST-00443</t>
  </si>
  <si>
    <t>ORD-101252</t>
  </si>
  <si>
    <t>CUST-00986</t>
  </si>
  <si>
    <t>ORD-101305</t>
  </si>
  <si>
    <t>ORD-101329</t>
  </si>
  <si>
    <t>ORD-101344</t>
  </si>
  <si>
    <t>CUST-02656</t>
  </si>
  <si>
    <t>ORD-101367</t>
  </si>
  <si>
    <t>CUST-02879</t>
  </si>
  <si>
    <t>ORD-101396</t>
  </si>
  <si>
    <t>ORD-101449</t>
  </si>
  <si>
    <t>ORD-101704</t>
  </si>
  <si>
    <t>ORD-101752</t>
  </si>
  <si>
    <t>ORD-101770</t>
  </si>
  <si>
    <t>CUST-01738</t>
  </si>
  <si>
    <t>ORD-101825</t>
  </si>
  <si>
    <t>CUST-01055</t>
  </si>
  <si>
    <t>ORD-101996</t>
  </si>
  <si>
    <t>CUST-01377</t>
  </si>
  <si>
    <t>ORD-102005</t>
  </si>
  <si>
    <t>ORD-102008</t>
  </si>
  <si>
    <t>CUST-00220</t>
  </si>
  <si>
    <t>ORD-102016</t>
  </si>
  <si>
    <t>ORD-102036</t>
  </si>
  <si>
    <t>ORD-102068</t>
  </si>
  <si>
    <t>CUST-01492</t>
  </si>
  <si>
    <t>ORD-102131</t>
  </si>
  <si>
    <t>ORD-102134</t>
  </si>
  <si>
    <t>CUST-01605</t>
  </si>
  <si>
    <t>ORD-102243</t>
  </si>
  <si>
    <t>ORD-102282</t>
  </si>
  <si>
    <t>CUST-01411</t>
  </si>
  <si>
    <t>ORD-102378</t>
  </si>
  <si>
    <t>CUST-00828</t>
  </si>
  <si>
    <t>ORD-102443</t>
  </si>
  <si>
    <t>ORD-102618</t>
  </si>
  <si>
    <t>CUST-00639</t>
  </si>
  <si>
    <t>ORD-102691</t>
  </si>
  <si>
    <t>ORD-102696</t>
  </si>
  <si>
    <t>CUST-00721</t>
  </si>
  <si>
    <t>ORD-102712</t>
  </si>
  <si>
    <t>ORD-102826</t>
  </si>
  <si>
    <t>ORD-102905</t>
  </si>
  <si>
    <t>CUST-01222</t>
  </si>
  <si>
    <t>ORD-103026</t>
  </si>
  <si>
    <t>ORD-103080</t>
  </si>
  <si>
    <t>CUST-02635</t>
  </si>
  <si>
    <t>ORD-103081</t>
  </si>
  <si>
    <t>CUST-00406</t>
  </si>
  <si>
    <t>ORD-103126</t>
  </si>
  <si>
    <t>ORD-103209</t>
  </si>
  <si>
    <t>ORD-103211</t>
  </si>
  <si>
    <t>CUST-01706</t>
  </si>
  <si>
    <t>ORD-103337</t>
  </si>
  <si>
    <t>ORD-103367</t>
  </si>
  <si>
    <t>ORD-103397</t>
  </si>
  <si>
    <t>CUST-02438</t>
  </si>
  <si>
    <t>ORD-103442</t>
  </si>
  <si>
    <t>ORD-103462</t>
  </si>
  <si>
    <t>ORD-103486</t>
  </si>
  <si>
    <t>ORD-103521</t>
  </si>
  <si>
    <t>ORD-103579</t>
  </si>
  <si>
    <t>ORD-103595</t>
  </si>
  <si>
    <t>ORD-103608</t>
  </si>
  <si>
    <t>ORD-103822</t>
  </si>
  <si>
    <t>ORD-103841</t>
  </si>
  <si>
    <t>CUST-00801</t>
  </si>
  <si>
    <t>ORD-103929</t>
  </si>
  <si>
    <t>CUST-03028</t>
  </si>
  <si>
    <t>ORD-104086</t>
  </si>
  <si>
    <t>ORD-104123</t>
  </si>
  <si>
    <t>CUST-02615</t>
  </si>
  <si>
    <t>ORD-104319</t>
  </si>
  <si>
    <t>CUST-01686</t>
  </si>
  <si>
    <t>ORD-104341</t>
  </si>
  <si>
    <t>ORD-104493</t>
  </si>
  <si>
    <t>CUST-02740</t>
  </si>
  <si>
    <t>ORD-104659</t>
  </si>
  <si>
    <t>ORD-104804</t>
  </si>
  <si>
    <t>ORD-101514</t>
  </si>
  <si>
    <t>ORD-101597</t>
  </si>
  <si>
    <t>ORD-102657</t>
  </si>
  <si>
    <t>ORD-102987</t>
  </si>
  <si>
    <t>ORD-103114</t>
  </si>
  <si>
    <t>ORD-103585</t>
  </si>
  <si>
    <t>CUST-03019</t>
  </si>
  <si>
    <t>ORD-104022</t>
  </si>
  <si>
    <t>CUST-00819</t>
  </si>
  <si>
    <t>ORD-104599</t>
  </si>
  <si>
    <t>ORD-100050</t>
  </si>
  <si>
    <t>CUST-02723</t>
  </si>
  <si>
    <t>Debit Card</t>
  </si>
  <si>
    <t>ORD-100103</t>
  </si>
  <si>
    <t>CUST-02944</t>
  </si>
  <si>
    <t>ORD-100109</t>
  </si>
  <si>
    <t>ORD-100225</t>
  </si>
  <si>
    <t>ORD-100247</t>
  </si>
  <si>
    <t>ORD-100285</t>
  </si>
  <si>
    <t>ORD-100319</t>
  </si>
  <si>
    <t>ORD-100370</t>
  </si>
  <si>
    <t>CUST-00955</t>
  </si>
  <si>
    <t>ORD-100447</t>
  </si>
  <si>
    <t>CUST-02576</t>
  </si>
  <si>
    <t>ORD-100546</t>
  </si>
  <si>
    <t>CUST-00323</t>
  </si>
  <si>
    <t>ORD-100646</t>
  </si>
  <si>
    <t>ORD-100734</t>
  </si>
  <si>
    <t>ORD-100865</t>
  </si>
  <si>
    <t>ORD-100896</t>
  </si>
  <si>
    <t>ORD-100934</t>
  </si>
  <si>
    <t>CUST-02124</t>
  </si>
  <si>
    <t>ORD-100939</t>
  </si>
  <si>
    <t>CUST-00237</t>
  </si>
  <si>
    <t>ORD-100949</t>
  </si>
  <si>
    <t>CUST-00301</t>
  </si>
  <si>
    <t>ORD-100965</t>
  </si>
  <si>
    <t>ORD-100974</t>
  </si>
  <si>
    <t>ORD-101078</t>
  </si>
  <si>
    <t>CUST-00208</t>
  </si>
  <si>
    <t>ORD-101159</t>
  </si>
  <si>
    <t>ORD-101350</t>
  </si>
  <si>
    <t>ORD-101582</t>
  </si>
  <si>
    <t>ORD-101629</t>
  </si>
  <si>
    <t>ORD-101661</t>
  </si>
  <si>
    <t>CUST-01772</t>
  </si>
  <si>
    <t>ORD-101662</t>
  </si>
  <si>
    <t>ORD-101772</t>
  </si>
  <si>
    <t>CUST-01708</t>
  </si>
  <si>
    <t>ORD-101786</t>
  </si>
  <si>
    <t>ORD-101841</t>
  </si>
  <si>
    <t>ORD-101864</t>
  </si>
  <si>
    <t>ORD-102091</t>
  </si>
  <si>
    <t>ORD-102137</t>
  </si>
  <si>
    <t>ORD-102175</t>
  </si>
  <si>
    <t>CUST-02246</t>
  </si>
  <si>
    <t>ORD-102195</t>
  </si>
  <si>
    <t>ORD-102220</t>
  </si>
  <si>
    <t>CUST-00183</t>
  </si>
  <si>
    <t>ORD-102228</t>
  </si>
  <si>
    <t>ORD-102275</t>
  </si>
  <si>
    <t>CUST-01813</t>
  </si>
  <si>
    <t>ORD-102311</t>
  </si>
  <si>
    <t>ORD-102411</t>
  </si>
  <si>
    <t>ORD-102423</t>
  </si>
  <si>
    <t>CUST-01789</t>
  </si>
  <si>
    <t>ORD-102473</t>
  </si>
  <si>
    <t>ORD-102502</t>
  </si>
  <si>
    <t>ORD-102592</t>
  </si>
  <si>
    <t>ORD-102595</t>
  </si>
  <si>
    <t>CUST-00722</t>
  </si>
  <si>
    <t>ORD-102627</t>
  </si>
  <si>
    <t>CUST-01228</t>
  </si>
  <si>
    <t>ORD-102653</t>
  </si>
  <si>
    <t>ORD-102791</t>
  </si>
  <si>
    <t>CUST-01967</t>
  </si>
  <si>
    <t>ORD-102822</t>
  </si>
  <si>
    <t>ORD-102824</t>
  </si>
  <si>
    <t>ORD-102855</t>
  </si>
  <si>
    <t>CUST-00027</t>
  </si>
  <si>
    <t>ORD-102870</t>
  </si>
  <si>
    <t>CUST-01890</t>
  </si>
  <si>
    <t>ORD-102920</t>
  </si>
  <si>
    <t>CUST-00295</t>
  </si>
  <si>
    <t>ORD-102940</t>
  </si>
  <si>
    <t>ORD-103019</t>
  </si>
  <si>
    <t>CUST-03077</t>
  </si>
  <si>
    <t>ORD-103043</t>
  </si>
  <si>
    <t>ORD-103072</t>
  </si>
  <si>
    <t>CUST-00921</t>
  </si>
  <si>
    <t>ORD-103111</t>
  </si>
  <si>
    <t>ORD-103153</t>
  </si>
  <si>
    <t>ORD-103187</t>
  </si>
  <si>
    <t>ORD-103210</t>
  </si>
  <si>
    <t>ORD-103218</t>
  </si>
  <si>
    <t>ORD-103251</t>
  </si>
  <si>
    <t>CUST-03173</t>
  </si>
  <si>
    <t>ORD-103264</t>
  </si>
  <si>
    <t>ORD-103324</t>
  </si>
  <si>
    <t>CUST-03020</t>
  </si>
  <si>
    <t>ORD-103366</t>
  </si>
  <si>
    <t>ORD-103371</t>
  </si>
  <si>
    <t>CUST-02071</t>
  </si>
  <si>
    <t>ORD-103380</t>
  </si>
  <si>
    <t>ORD-103404</t>
  </si>
  <si>
    <t>ORD-103630</t>
  </si>
  <si>
    <t>CUST-01159</t>
  </si>
  <si>
    <t>ORD-103647</t>
  </si>
  <si>
    <t>CUST-02497</t>
  </si>
  <si>
    <t>ORD-103654</t>
  </si>
  <si>
    <t>ORD-103667</t>
  </si>
  <si>
    <t>ORD-103691</t>
  </si>
  <si>
    <t>ORD-103744</t>
  </si>
  <si>
    <t>ORD-103772</t>
  </si>
  <si>
    <t>ORD-103864</t>
  </si>
  <si>
    <t>CUST-02404</t>
  </si>
  <si>
    <t>ORD-103949</t>
  </si>
  <si>
    <t>CUST-02429</t>
  </si>
  <si>
    <t>ORD-104007</t>
  </si>
  <si>
    <t>CUST-01873</t>
  </si>
  <si>
    <t>ORD-104058</t>
  </si>
  <si>
    <t>CUST-00611</t>
  </si>
  <si>
    <t>ORD-104064</t>
  </si>
  <si>
    <t>CUST-02599</t>
  </si>
  <si>
    <t>ORD-104106</t>
  </si>
  <si>
    <t>CUST-02468</t>
  </si>
  <si>
    <t>ORD-104216</t>
  </si>
  <si>
    <t>ORD-104245</t>
  </si>
  <si>
    <t>CUST-00097</t>
  </si>
  <si>
    <t>ORD-104277</t>
  </si>
  <si>
    <t>ORD-104332</t>
  </si>
  <si>
    <t>CUST-01717</t>
  </si>
  <si>
    <t>ORD-104362</t>
  </si>
  <si>
    <t>ORD-104429</t>
  </si>
  <si>
    <t>ORD-104460</t>
  </si>
  <si>
    <t>CUST-00273</t>
  </si>
  <si>
    <t>ORD-104553</t>
  </si>
  <si>
    <t>ORD-104564</t>
  </si>
  <si>
    <t>ORD-104621</t>
  </si>
  <si>
    <t>CUST-00989</t>
  </si>
  <si>
    <t>ORD-104638</t>
  </si>
  <si>
    <t>ORD-104662</t>
  </si>
  <si>
    <t>CUST-00377</t>
  </si>
  <si>
    <t>ORD-104687</t>
  </si>
  <si>
    <t>ORD-104689</t>
  </si>
  <si>
    <t>ORD-104805</t>
  </si>
  <si>
    <t>CUST-01944</t>
  </si>
  <si>
    <t>ORD-104825</t>
  </si>
  <si>
    <t>ORD-100118</t>
  </si>
  <si>
    <t>ORD-100158</t>
  </si>
  <si>
    <t>ORD-100165</t>
  </si>
  <si>
    <t>ORD-100187</t>
  </si>
  <si>
    <t>ORD-100259</t>
  </si>
  <si>
    <t>ORD-100389</t>
  </si>
  <si>
    <t>CUST-00421</t>
  </si>
  <si>
    <t>ORD-100394</t>
  </si>
  <si>
    <t>ORD-100472</t>
  </si>
  <si>
    <t>ORD-100510</t>
  </si>
  <si>
    <t>CUST-02837</t>
  </si>
  <si>
    <t>ORD-100516</t>
  </si>
  <si>
    <t>ORD-100586</t>
  </si>
  <si>
    <t>CUST-03042</t>
  </si>
  <si>
    <t>ORD-100654</t>
  </si>
  <si>
    <t>CUST-01178</t>
  </si>
  <si>
    <t>ORD-100661</t>
  </si>
  <si>
    <t>ORD-100723</t>
  </si>
  <si>
    <t>ORD-100742</t>
  </si>
  <si>
    <t>CUST-03134</t>
  </si>
  <si>
    <t>ORD-100928</t>
  </si>
  <si>
    <t>ORD-101037</t>
  </si>
  <si>
    <t>CUST-02568</t>
  </si>
  <si>
    <t>ORD-101047</t>
  </si>
  <si>
    <t>ORD-101073</t>
  </si>
  <si>
    <t>ORD-101125</t>
  </si>
  <si>
    <t>CUST-02134</t>
  </si>
  <si>
    <t>ORD-101131</t>
  </si>
  <si>
    <t>ORD-101228</t>
  </si>
  <si>
    <t>ORD-101271</t>
  </si>
  <si>
    <t>CUST-00593</t>
  </si>
  <si>
    <t>ORD-101299</t>
  </si>
  <si>
    <t>ORD-101312</t>
  </si>
  <si>
    <t>ORD-101334</t>
  </si>
  <si>
    <t>CUST-00261</t>
  </si>
  <si>
    <t>ORD-101364</t>
  </si>
  <si>
    <t>ORD-101381</t>
  </si>
  <si>
    <t>ORD-101484</t>
  </si>
  <si>
    <t>ORD-101623</t>
  </si>
  <si>
    <t>ORD-101644</t>
  </si>
  <si>
    <t>CUST-02831</t>
  </si>
  <si>
    <t>ORD-101682</t>
  </si>
  <si>
    <t>CUST-02440</t>
  </si>
  <si>
    <t>ORD-101794</t>
  </si>
  <si>
    <t>CUST-00151</t>
  </si>
  <si>
    <t>ORD-101847</t>
  </si>
  <si>
    <t>CUST-01939</t>
  </si>
  <si>
    <t>ORD-101860</t>
  </si>
  <si>
    <t>CUST-02193</t>
  </si>
  <si>
    <t>ORD-101877</t>
  </si>
  <si>
    <t>ORD-101936</t>
  </si>
  <si>
    <t>ORD-101965</t>
  </si>
  <si>
    <t>CUST-00064</t>
  </si>
  <si>
    <t>ORD-102018</t>
  </si>
  <si>
    <t>ORD-102111</t>
  </si>
  <si>
    <t>CUST-02011</t>
  </si>
  <si>
    <t>ORD-102144</t>
  </si>
  <si>
    <t>ORD-102239</t>
  </si>
  <si>
    <t>CUST-02458</t>
  </si>
  <si>
    <t>ORD-102280</t>
  </si>
  <si>
    <t>CUST-00638</t>
  </si>
  <si>
    <t>ORD-102418</t>
  </si>
  <si>
    <t>ORD-102614</t>
  </si>
  <si>
    <t>ORD-102684</t>
  </si>
  <si>
    <t>ORD-102706</t>
  </si>
  <si>
    <t>ORD-102748</t>
  </si>
  <si>
    <t>CUST-01142</t>
  </si>
  <si>
    <t>ORD-102831</t>
  </si>
  <si>
    <t>ORD-102899</t>
  </si>
  <si>
    <t>CUST-00622</t>
  </si>
  <si>
    <t>ORD-103031</t>
  </si>
  <si>
    <t>ORD-103033</t>
  </si>
  <si>
    <t>ORD-103069</t>
  </si>
  <si>
    <t>ORD-103216</t>
  </si>
  <si>
    <t>CUST-02993</t>
  </si>
  <si>
    <t>ORD-103223</t>
  </si>
  <si>
    <t>ORD-103456</t>
  </si>
  <si>
    <t>ORD-103480</t>
  </si>
  <si>
    <t>ORD-103481</t>
  </si>
  <si>
    <t>ORD-103663</t>
  </si>
  <si>
    <t>ORD-103806</t>
  </si>
  <si>
    <t>ORD-103899</t>
  </si>
  <si>
    <t>ORD-103933</t>
  </si>
  <si>
    <t>ORD-103984</t>
  </si>
  <si>
    <t>ORD-104076</t>
  </si>
  <si>
    <t>ORD-104125</t>
  </si>
  <si>
    <t>ORD-104177</t>
  </si>
  <si>
    <t>ORD-104196</t>
  </si>
  <si>
    <t>ORD-104206</t>
  </si>
  <si>
    <t>CUST-02164</t>
  </si>
  <si>
    <t>ORD-104238</t>
  </si>
  <si>
    <t>CUST-02439</t>
  </si>
  <si>
    <t>ORD-104244</t>
  </si>
  <si>
    <t>ORD-104312</t>
  </si>
  <si>
    <t>ORD-104457</t>
  </si>
  <si>
    <t>ORD-104494</t>
  </si>
  <si>
    <t>ORD-104584</t>
  </si>
  <si>
    <t>CUST-02024</t>
  </si>
  <si>
    <t>ORD-104589</t>
  </si>
  <si>
    <t>ORD-104606</t>
  </si>
  <si>
    <t>ORD-104636</t>
  </si>
  <si>
    <t>ORD-104679</t>
  </si>
  <si>
    <t>ORD-104698</t>
  </si>
  <si>
    <t>CUST-01010</t>
  </si>
  <si>
    <t>ORD-104711</t>
  </si>
  <si>
    <t>CUST-01147</t>
  </si>
  <si>
    <t>ORD-104712</t>
  </si>
  <si>
    <t>CUST-02827</t>
  </si>
  <si>
    <t>ORD-104759</t>
  </si>
  <si>
    <t>ORD-104786</t>
  </si>
  <si>
    <t>ORD-100051</t>
  </si>
  <si>
    <t>ORD-100075</t>
  </si>
  <si>
    <t>ORD-100090</t>
  </si>
  <si>
    <t>ORD-100125</t>
  </si>
  <si>
    <t>CUST-01905</t>
  </si>
  <si>
    <t>ORD-100145</t>
  </si>
  <si>
    <t>CUST-01538</t>
  </si>
  <si>
    <t>ORD-100195</t>
  </si>
  <si>
    <t>CUST-03100</t>
  </si>
  <si>
    <t>ORD-100207</t>
  </si>
  <si>
    <t>ORD-100208</t>
  </si>
  <si>
    <t>CUST-02878</t>
  </si>
  <si>
    <t>ORD-100229</t>
  </si>
  <si>
    <t>ORD-100250</t>
  </si>
  <si>
    <t>ORD-100301</t>
  </si>
  <si>
    <t>ORD-100313</t>
  </si>
  <si>
    <t>ORD-100326</t>
  </si>
  <si>
    <t>ORD-100385</t>
  </si>
  <si>
    <t>CUST-00437</t>
  </si>
  <si>
    <t>ORD-100387</t>
  </si>
  <si>
    <t>ORD-100458</t>
  </si>
  <si>
    <t>ORD-100660</t>
  </si>
  <si>
    <t>ORD-100736</t>
  </si>
  <si>
    <t>ORD-100760</t>
  </si>
  <si>
    <t>CUST-00833</t>
  </si>
  <si>
    <t>ORD-100787</t>
  </si>
  <si>
    <t>CUST-00419</t>
  </si>
  <si>
    <t>ORD-100838</t>
  </si>
  <si>
    <t>ORD-100935</t>
  </si>
  <si>
    <t>ORD-100973</t>
  </si>
  <si>
    <t>CUST-01340</t>
  </si>
  <si>
    <t>ORD-101099</t>
  </si>
  <si>
    <t>CUST-01171</t>
  </si>
  <si>
    <t>ORD-101164</t>
  </si>
  <si>
    <t>ORD-101198</t>
  </si>
  <si>
    <t>ORD-101208</t>
  </si>
  <si>
    <t>CUST-02778</t>
  </si>
  <si>
    <t>ORD-101276</t>
  </si>
  <si>
    <t>ORD-101376</t>
  </si>
  <si>
    <t>CUST-03094</t>
  </si>
  <si>
    <t>ORD-101448</t>
  </si>
  <si>
    <t>ORD-101468</t>
  </si>
  <si>
    <t>ORD-101479</t>
  </si>
  <si>
    <t>CUST-00422</t>
  </si>
  <si>
    <t>ORD-101488</t>
  </si>
  <si>
    <t>ORD-101526</t>
  </si>
  <si>
    <t>ORD-101536</t>
  </si>
  <si>
    <t>ORD-101586</t>
  </si>
  <si>
    <t>ORD-101596</t>
  </si>
  <si>
    <t>ORD-101671</t>
  </si>
  <si>
    <t>CUST-03068</t>
  </si>
  <si>
    <t>ORD-101736</t>
  </si>
  <si>
    <t>ORD-101796</t>
  </si>
  <si>
    <t>ORD-101817</t>
  </si>
  <si>
    <t>ORD-101823</t>
  </si>
  <si>
    <t>ORD-101848</t>
  </si>
  <si>
    <t>CUST-00936</t>
  </si>
  <si>
    <t>ORD-101908</t>
  </si>
  <si>
    <t>ORD-101934</t>
  </si>
  <si>
    <t>ORD-101942</t>
  </si>
  <si>
    <t>ORD-101973</t>
  </si>
  <si>
    <t>CUST-00036</t>
  </si>
  <si>
    <t>ORD-102011</t>
  </si>
  <si>
    <t>CUST-01663</t>
  </si>
  <si>
    <t>ORD-102093</t>
  </si>
  <si>
    <t>ORD-102119</t>
  </si>
  <si>
    <t>ORD-102188</t>
  </si>
  <si>
    <t>ORD-102353</t>
  </si>
  <si>
    <t>ORD-102380</t>
  </si>
  <si>
    <t>ORD-102452</t>
  </si>
  <si>
    <t>ORD-102453</t>
  </si>
  <si>
    <t>CUST-01374</t>
  </si>
  <si>
    <t>ORD-102456</t>
  </si>
  <si>
    <t>CUST-00330</t>
  </si>
  <si>
    <t>ORD-102480</t>
  </si>
  <si>
    <t>ORD-102486</t>
  </si>
  <si>
    <t>CUST-00582</t>
  </si>
  <si>
    <t>ORD-102504</t>
  </si>
  <si>
    <t>ORD-102513</t>
  </si>
  <si>
    <t>CUST-00513</t>
  </si>
  <si>
    <t>ORD-102520</t>
  </si>
  <si>
    <t>ORD-102537</t>
  </si>
  <si>
    <t>CUST-00950</t>
  </si>
  <si>
    <t>ORD-102589</t>
  </si>
  <si>
    <t>ORD-102610</t>
  </si>
  <si>
    <t>ORD-102659</t>
  </si>
  <si>
    <t>CUST-02719</t>
  </si>
  <si>
    <t>ORD-102783</t>
  </si>
  <si>
    <t>ORD-102969</t>
  </si>
  <si>
    <t>ORD-103092</t>
  </si>
  <si>
    <t>CUST-00636</t>
  </si>
  <si>
    <t>ORD-103137</t>
  </si>
  <si>
    <t>ORD-103160</t>
  </si>
  <si>
    <t>ORD-103179</t>
  </si>
  <si>
    <t>ORD-103195</t>
  </si>
  <si>
    <t>ORD-103197</t>
  </si>
  <si>
    <t>ORD-103253</t>
  </si>
  <si>
    <t>ORD-103321</t>
  </si>
  <si>
    <t>ORD-103353</t>
  </si>
  <si>
    <t>CUST-01049</t>
  </si>
  <si>
    <t>ORD-103357</t>
  </si>
  <si>
    <t>ORD-103386</t>
  </si>
  <si>
    <t>CUST-02510</t>
  </si>
  <si>
    <t>ORD-103408</t>
  </si>
  <si>
    <t>ORD-103413</t>
  </si>
  <si>
    <t>CUST-00720</t>
  </si>
  <si>
    <t>ORD-103427</t>
  </si>
  <si>
    <t>ORD-103550</t>
  </si>
  <si>
    <t>ORD-103570</t>
  </si>
  <si>
    <t>ORD-103596</t>
  </si>
  <si>
    <t>CUST-00401</t>
  </si>
  <si>
    <t>ORD-103703</t>
  </si>
  <si>
    <t>CUST-00449</t>
  </si>
  <si>
    <t>ORD-103797</t>
  </si>
  <si>
    <t>CUST-02853</t>
  </si>
  <si>
    <t>ORD-103835</t>
  </si>
  <si>
    <t>ORD-103877</t>
  </si>
  <si>
    <t>ORD-103904</t>
  </si>
  <si>
    <t>ORD-104088</t>
  </si>
  <si>
    <t>ORD-104129</t>
  </si>
  <si>
    <t>ORD-104343</t>
  </si>
  <si>
    <t>ORD-104359</t>
  </si>
  <si>
    <t>ORD-104456</t>
  </si>
  <si>
    <t>CUST-02175</t>
  </si>
  <si>
    <t>ORD-104721</t>
  </si>
  <si>
    <t>ORD-104781</t>
  </si>
  <si>
    <t>ORD-104788</t>
  </si>
  <si>
    <t>ORD-104801</t>
  </si>
  <si>
    <t>ORD-100157</t>
  </si>
  <si>
    <t>CUST-00525</t>
  </si>
  <si>
    <t>Wallet</t>
  </si>
  <si>
    <t>ORD-100164</t>
  </si>
  <si>
    <t>ORD-100191</t>
  </si>
  <si>
    <t>ORD-100261</t>
  </si>
  <si>
    <t>CUST-01965</t>
  </si>
  <si>
    <t>ORD-100292</t>
  </si>
  <si>
    <t>CUST-03067</t>
  </si>
  <si>
    <t>ORD-100294</t>
  </si>
  <si>
    <t>ORD-100341</t>
  </si>
  <si>
    <t>CUST-02749</t>
  </si>
  <si>
    <t>ORD-100369</t>
  </si>
  <si>
    <t>ORD-100542</t>
  </si>
  <si>
    <t>ORD-100564</t>
  </si>
  <si>
    <t>CUST-00034</t>
  </si>
  <si>
    <t>ORD-100659</t>
  </si>
  <si>
    <t>ORD-100745</t>
  </si>
  <si>
    <t>CUST-00253</t>
  </si>
  <si>
    <t>ORD-100815</t>
  </si>
  <si>
    <t>CUST-02970</t>
  </si>
  <si>
    <t>ORD-100887</t>
  </si>
  <si>
    <t>ORD-100892</t>
  </si>
  <si>
    <t>ORD-100921</t>
  </si>
  <si>
    <t>CUST-01313</t>
  </si>
  <si>
    <t>ORD-100984</t>
  </si>
  <si>
    <t>ORD-100995</t>
  </si>
  <si>
    <t>CUST-01456</t>
  </si>
  <si>
    <t>ORD-101013</t>
  </si>
  <si>
    <t>ORD-101180</t>
  </si>
  <si>
    <t>ORD-101207</t>
  </si>
  <si>
    <t>ORD-101221</t>
  </si>
  <si>
    <t>ORD-101275</t>
  </si>
  <si>
    <t>CUST-02301</t>
  </si>
  <si>
    <t>ORD-101292</t>
  </si>
  <si>
    <t>ORD-101412</t>
  </si>
  <si>
    <t>ORD-101511</t>
  </si>
  <si>
    <t>ORD-101554</t>
  </si>
  <si>
    <t>CUST-03078</t>
  </si>
  <si>
    <t>ORD-101728</t>
  </si>
  <si>
    <t>ORD-101740</t>
  </si>
  <si>
    <t>ORD-101744</t>
  </si>
  <si>
    <t>ORD-101760</t>
  </si>
  <si>
    <t>ORD-101885</t>
  </si>
  <si>
    <t>CUST-01791</t>
  </si>
  <si>
    <t>ORD-101915</t>
  </si>
  <si>
    <t>CUST-02335</t>
  </si>
  <si>
    <t>ORD-101961</t>
  </si>
  <si>
    <t>CUST-00309</t>
  </si>
  <si>
    <t>ORD-102023</t>
  </si>
  <si>
    <t>CUST-01711</t>
  </si>
  <si>
    <t>ORD-102201</t>
  </si>
  <si>
    <t>CUST-01604</t>
  </si>
  <si>
    <t>ORD-102229</t>
  </si>
  <si>
    <t>CUST-01352</t>
  </si>
  <si>
    <t>ORD-102293</t>
  </si>
  <si>
    <t>ORD-102424</t>
  </si>
  <si>
    <t>CUST-00045</t>
  </si>
  <si>
    <t>ORD-102433</t>
  </si>
  <si>
    <t>CUST-02537</t>
  </si>
  <si>
    <t>ORD-102509</t>
  </si>
  <si>
    <t>CUST-01947</t>
  </si>
  <si>
    <t>ORD-102544</t>
  </si>
  <si>
    <t>ORD-102593</t>
  </si>
  <si>
    <t>CUST-00019</t>
  </si>
  <si>
    <t>ORD-102612</t>
  </si>
  <si>
    <t>ORD-102620</t>
  </si>
  <si>
    <t>CUST-02201</t>
  </si>
  <si>
    <t>ORD-102763</t>
  </si>
  <si>
    <t>ORD-102794</t>
  </si>
  <si>
    <t>ORD-102935</t>
  </si>
  <si>
    <t>CUST-02059</t>
  </si>
  <si>
    <t>ORD-102981</t>
  </si>
  <si>
    <t>ORD-102990</t>
  </si>
  <si>
    <t>ORD-103005</t>
  </si>
  <si>
    <t>ORD-103133</t>
  </si>
  <si>
    <t>CUST-00895</t>
  </si>
  <si>
    <t>ORD-103173</t>
  </si>
  <si>
    <t>ORD-103389</t>
  </si>
  <si>
    <t>CUST-00291</t>
  </si>
  <si>
    <t>ORD-103420</t>
  </si>
  <si>
    <t>ORD-103466</t>
  </si>
  <si>
    <t>ORD-103470</t>
  </si>
  <si>
    <t>CUST-03073</t>
  </si>
  <si>
    <t>ORD-103517</t>
  </si>
  <si>
    <t>ORD-103574</t>
  </si>
  <si>
    <t>ORD-103731</t>
  </si>
  <si>
    <t>CUST-02174</t>
  </si>
  <si>
    <t>ORD-103826</t>
  </si>
  <si>
    <t>ORD-103905</t>
  </si>
  <si>
    <t>ORD-103985</t>
  </si>
  <si>
    <t>ORD-104009</t>
  </si>
  <si>
    <t>ORD-104048</t>
  </si>
  <si>
    <t>CUST-00732</t>
  </si>
  <si>
    <t>ORD-104328</t>
  </si>
  <si>
    <t>CUST-02187</t>
  </si>
  <si>
    <t>ORD-104345</t>
  </si>
  <si>
    <t>ORD-104363</t>
  </si>
  <si>
    <t>ORD-104497</t>
  </si>
  <si>
    <t>ORD-104505</t>
  </si>
  <si>
    <t>CUST-00499</t>
  </si>
  <si>
    <t>ORD-104764</t>
  </si>
  <si>
    <t>CUST-02870</t>
  </si>
  <si>
    <t>ORD-104770</t>
  </si>
  <si>
    <t>ORD-104832</t>
  </si>
  <si>
    <t>ORD-100083</t>
  </si>
  <si>
    <t>ORD-100135</t>
  </si>
  <si>
    <t>ORD-100166</t>
  </si>
  <si>
    <t>CUST-02757</t>
  </si>
  <si>
    <t>ORD-100242</t>
  </si>
  <si>
    <t>ORD-100402</t>
  </si>
  <si>
    <t>ORD-100403</t>
  </si>
  <si>
    <t>ORD-100411</t>
  </si>
  <si>
    <t>CUST-02872</t>
  </si>
  <si>
    <t>ORD-100466</t>
  </si>
  <si>
    <t>ORD-100625</t>
  </si>
  <si>
    <t>ORD-100665</t>
  </si>
  <si>
    <t>CUST-02929</t>
  </si>
  <si>
    <t>ORD-100700</t>
  </si>
  <si>
    <t>CUST-01559</t>
  </si>
  <si>
    <t>ORD-100950</t>
  </si>
  <si>
    <t>ORD-100953</t>
  </si>
  <si>
    <t>CUST-01404</t>
  </si>
  <si>
    <t>ORD-101014</t>
  </si>
  <si>
    <t>CUST-01589</t>
  </si>
  <si>
    <t>ORD-101107</t>
  </si>
  <si>
    <t>ORD-101225</t>
  </si>
  <si>
    <t>CUST-02855</t>
  </si>
  <si>
    <t>ORD-101417</t>
  </si>
  <si>
    <t>ORD-101418</t>
  </si>
  <si>
    <t>ORD-101477</t>
  </si>
  <si>
    <t>ORD-101605</t>
  </si>
  <si>
    <t>ORD-101612</t>
  </si>
  <si>
    <t>ORD-101717</t>
  </si>
  <si>
    <t>CUST-00003</t>
  </si>
  <si>
    <t>ORD-101721</t>
  </si>
  <si>
    <t>CUST-02600</t>
  </si>
  <si>
    <t>ORD-101907</t>
  </si>
  <si>
    <t>CUST-01046</t>
  </si>
  <si>
    <t>ORD-101957</t>
  </si>
  <si>
    <t>ORD-102055</t>
  </si>
  <si>
    <t>CUST-02240</t>
  </si>
  <si>
    <t>ORD-102108</t>
  </si>
  <si>
    <t>CUST-01112</t>
  </si>
  <si>
    <t>ORD-102215</t>
  </si>
  <si>
    <t>CUST-01165</t>
  </si>
  <si>
    <t>ORD-102259</t>
  </si>
  <si>
    <t>ORD-102314</t>
  </si>
  <si>
    <t>ORD-102334</t>
  </si>
  <si>
    <t>ORD-102421</t>
  </si>
  <si>
    <t>ORD-102436</t>
  </si>
  <si>
    <t>CUST-01483</t>
  </si>
  <si>
    <t>ORD-102451</t>
  </si>
  <si>
    <t>ORD-102498</t>
  </si>
  <si>
    <t>CUST-00054</t>
  </si>
  <si>
    <t>ORD-102523</t>
  </si>
  <si>
    <t>ORD-102580</t>
  </si>
  <si>
    <t>ORD-102590</t>
  </si>
  <si>
    <t>CUST-02238</t>
  </si>
  <si>
    <t>ORD-102674</t>
  </si>
  <si>
    <t>ORD-103038</t>
  </si>
  <si>
    <t>ORD-103086</t>
  </si>
  <si>
    <t>ORD-103124</t>
  </si>
  <si>
    <t>CUST-01275</t>
  </si>
  <si>
    <t>ORD-103174</t>
  </si>
  <si>
    <t>ORD-103199</t>
  </si>
  <si>
    <t>CUST-03168</t>
  </si>
  <si>
    <t>ORD-103222</t>
  </si>
  <si>
    <t>CUST-01528</t>
  </si>
  <si>
    <t>ORD-103283</t>
  </si>
  <si>
    <t>ORD-103454</t>
  </si>
  <si>
    <t>ORD-103607</t>
  </si>
  <si>
    <t>ORD-103642</t>
  </si>
  <si>
    <t>CUST-00150</t>
  </si>
  <si>
    <t>ORD-103693</t>
  </si>
  <si>
    <t>ORD-103701</t>
  </si>
  <si>
    <t>ORD-103879</t>
  </si>
  <si>
    <t>CUST-01192</t>
  </si>
  <si>
    <t>ORD-103903</t>
  </si>
  <si>
    <t>CUST-02151</t>
  </si>
  <si>
    <t>ORD-103908</t>
  </si>
  <si>
    <t>ORD-103916</t>
  </si>
  <si>
    <t>ORD-103950</t>
  </si>
  <si>
    <t>CUST-01346</t>
  </si>
  <si>
    <t>ORD-103953</t>
  </si>
  <si>
    <t>CUST-02325</t>
  </si>
  <si>
    <t>ORD-104391</t>
  </si>
  <si>
    <t>ORD-104628</t>
  </si>
  <si>
    <t>ORD-104670</t>
  </si>
  <si>
    <t>CUST-01867</t>
  </si>
  <si>
    <t>ORD-104676</t>
  </si>
  <si>
    <t>ORD-104736</t>
  </si>
  <si>
    <t>CUST-03006</t>
  </si>
  <si>
    <t>ORD-104738</t>
  </si>
  <si>
    <t>ORD-104739</t>
  </si>
  <si>
    <t>ORD-104794</t>
  </si>
  <si>
    <t>ORD-100016</t>
  </si>
  <si>
    <t>CUST-02099</t>
  </si>
  <si>
    <t>ORD-100067</t>
  </si>
  <si>
    <t>ORD-100093</t>
  </si>
  <si>
    <t>CUST-02410</t>
  </si>
  <si>
    <t>ORD-100119</t>
  </si>
  <si>
    <t>CUST-00985</t>
  </si>
  <si>
    <t>ORD-100175</t>
  </si>
  <si>
    <t>ORD-100366</t>
  </si>
  <si>
    <t>ORD-100432</t>
  </si>
  <si>
    <t>CUST-02747</t>
  </si>
  <si>
    <t>ORD-100441</t>
  </si>
  <si>
    <t>ORD-100531</t>
  </si>
  <si>
    <t>CUST-02563</t>
  </si>
  <si>
    <t>ORD-100567</t>
  </si>
  <si>
    <t>ORD-100590</t>
  </si>
  <si>
    <t>CUST-03120</t>
  </si>
  <si>
    <t>ORD-100706</t>
  </si>
  <si>
    <t>ORD-100810</t>
  </si>
  <si>
    <t>CUST-01866</t>
  </si>
  <si>
    <t>ORD-100850</t>
  </si>
  <si>
    <t>ORD-100859</t>
  </si>
  <si>
    <t>CUST-00610</t>
  </si>
  <si>
    <t>ORD-100907</t>
  </si>
  <si>
    <t>CUST-00493</t>
  </si>
  <si>
    <t>ORD-100910</t>
  </si>
  <si>
    <t>ORD-101083</t>
  </si>
  <si>
    <t>ORD-101169</t>
  </si>
  <si>
    <t>ORD-101231</t>
  </si>
  <si>
    <t>CUST-00992</t>
  </si>
  <si>
    <t>ORD-101241</t>
  </si>
  <si>
    <t>ORD-101270</t>
  </si>
  <si>
    <t>ORD-101327</t>
  </si>
  <si>
    <t>ORD-101494</t>
  </si>
  <si>
    <t>CUST-02858</t>
  </si>
  <si>
    <t>ORD-101501</t>
  </si>
  <si>
    <t>CUST-01882</t>
  </si>
  <si>
    <t>ORD-101545</t>
  </si>
  <si>
    <t>ORD-101603</t>
  </si>
  <si>
    <t>ORD-101669</t>
  </si>
  <si>
    <t>ORD-101700</t>
  </si>
  <si>
    <t>CUST-01461</t>
  </si>
  <si>
    <t>ORD-101821</t>
  </si>
  <si>
    <t>ORD-101863</t>
  </si>
  <si>
    <t>ORD-101886</t>
  </si>
  <si>
    <t>ORD-102205</t>
  </si>
  <si>
    <t>ORD-102294</t>
  </si>
  <si>
    <t>ORD-102354</t>
  </si>
  <si>
    <t>CUST-01798</t>
  </si>
  <si>
    <t>ORD-102547</t>
  </si>
  <si>
    <t>ORD-102596</t>
  </si>
  <si>
    <t>CUST-01126</t>
  </si>
  <si>
    <t>ORD-102750</t>
  </si>
  <si>
    <t>ORD-102802</t>
  </si>
  <si>
    <t>ORD-102854</t>
  </si>
  <si>
    <t>ORD-102859</t>
  </si>
  <si>
    <t>ORD-102884</t>
  </si>
  <si>
    <t>ORD-102939</t>
  </si>
  <si>
    <t>ORD-102978</t>
  </si>
  <si>
    <t>ORD-103061</t>
  </si>
  <si>
    <t>ORD-103131</t>
  </si>
  <si>
    <t>ORD-103203</t>
  </si>
  <si>
    <t>ORD-103312</t>
  </si>
  <si>
    <t>CUST-01412</t>
  </si>
  <si>
    <t>ORD-103313</t>
  </si>
  <si>
    <t>CUST-02048</t>
  </si>
  <si>
    <t>ORD-103375</t>
  </si>
  <si>
    <t>ORD-103449</t>
  </si>
  <si>
    <t>CUST-00010</t>
  </si>
  <si>
    <t>ORD-103497</t>
  </si>
  <si>
    <t>ORD-103505</t>
  </si>
  <si>
    <t>ORD-103527</t>
  </si>
  <si>
    <t>ORD-103548</t>
  </si>
  <si>
    <t>CUST-02473</t>
  </si>
  <si>
    <t>ORD-103554</t>
  </si>
  <si>
    <t>CUST-01749</t>
  </si>
  <si>
    <t>ORD-103592</t>
  </si>
  <si>
    <t>ORD-103747</t>
  </si>
  <si>
    <t>ORD-103847</t>
  </si>
  <si>
    <t>ORD-103867</t>
  </si>
  <si>
    <t>CUST-01705</t>
  </si>
  <si>
    <t>ORD-103900</t>
  </si>
  <si>
    <t>ORD-103964</t>
  </si>
  <si>
    <t>ORD-104095</t>
  </si>
  <si>
    <t>CUST-02598</t>
  </si>
  <si>
    <t>ORD-104241</t>
  </si>
  <si>
    <t>ORD-104365</t>
  </si>
  <si>
    <t>CUST-01281</t>
  </si>
  <si>
    <t>ORD-104454</t>
  </si>
  <si>
    <t>ORD-104485</t>
  </si>
  <si>
    <t>ORD-104610</t>
  </si>
  <si>
    <t>ORD-104619</t>
  </si>
  <si>
    <t>ORD-104688</t>
  </si>
  <si>
    <t>ORD-104757</t>
  </si>
  <si>
    <t>CUST-02704</t>
  </si>
  <si>
    <t>ORD-100003</t>
  </si>
  <si>
    <t>ORD-100004</t>
  </si>
  <si>
    <t>ORD-100012</t>
  </si>
  <si>
    <t>ORD-100024</t>
  </si>
  <si>
    <t>CUST-02276</t>
  </si>
  <si>
    <t>ORD-100043</t>
  </si>
  <si>
    <t>CUST-03192</t>
  </si>
  <si>
    <t>ORD-100054</t>
  </si>
  <si>
    <t>CUST-01088</t>
  </si>
  <si>
    <t>ORD-100123</t>
  </si>
  <si>
    <t>ORD-100141</t>
  </si>
  <si>
    <t>ORD-100226</t>
  </si>
  <si>
    <t>ORD-100348</t>
  </si>
  <si>
    <t>ORD-100414</t>
  </si>
  <si>
    <t>CUST-00170</t>
  </si>
  <si>
    <t>ORD-100430</t>
  </si>
  <si>
    <t>ORD-100461</t>
  </si>
  <si>
    <t>CUST-03110</t>
  </si>
  <si>
    <t>ORD-100469</t>
  </si>
  <si>
    <t>ORD-100539</t>
  </si>
  <si>
    <t>CUST-03162</t>
  </si>
  <si>
    <t>ORD-100568</t>
  </si>
  <si>
    <t>ORD-100579</t>
  </si>
  <si>
    <t>ORD-100603</t>
  </si>
  <si>
    <t>CUST-00780</t>
  </si>
  <si>
    <t>ORD-100720</t>
  </si>
  <si>
    <t>CUST-01033</t>
  </si>
  <si>
    <t>ORD-100749</t>
  </si>
  <si>
    <t>ORD-100777</t>
  </si>
  <si>
    <t>CUST-01259</t>
  </si>
  <si>
    <t>ORD-100779</t>
  </si>
  <si>
    <t>CUST-01029</t>
  </si>
  <si>
    <t>ORD-100792</t>
  </si>
  <si>
    <t>CUST-01574</t>
  </si>
  <si>
    <t>ORD-100801</t>
  </si>
  <si>
    <t>ORD-100818</t>
  </si>
  <si>
    <t>CUST-00403</t>
  </si>
  <si>
    <t>ORD-100856</t>
  </si>
  <si>
    <t>ORD-100867</t>
  </si>
  <si>
    <t>CUST-00685</t>
  </si>
  <si>
    <t>ORD-100914</t>
  </si>
  <si>
    <t>CUST-00473</t>
  </si>
  <si>
    <t>ORD-100982</t>
  </si>
  <si>
    <t>ORD-101005</t>
  </si>
  <si>
    <t>ORD-101043</t>
  </si>
  <si>
    <t>ORD-101055</t>
  </si>
  <si>
    <t>CUST-01235</t>
  </si>
  <si>
    <t>ORD-101130</t>
  </si>
  <si>
    <t>ORD-101132</t>
  </si>
  <si>
    <t>CUST-00204</t>
  </si>
  <si>
    <t>ORD-101142</t>
  </si>
  <si>
    <t>ORD-101147</t>
  </si>
  <si>
    <t>ORD-101235</t>
  </si>
  <si>
    <t>ORD-101308</t>
  </si>
  <si>
    <t>CUST-00905</t>
  </si>
  <si>
    <t>ORD-101319</t>
  </si>
  <si>
    <t>ORD-101322</t>
  </si>
  <si>
    <t>ORD-101416</t>
  </si>
  <si>
    <t>ORD-101437</t>
  </si>
  <si>
    <t>CUST-03104</t>
  </si>
  <si>
    <t>ORD-101482</t>
  </si>
  <si>
    <t>ORD-101649</t>
  </si>
  <si>
    <t>ORD-101651</t>
  </si>
  <si>
    <t>CUST-01243</t>
  </si>
  <si>
    <t>ORD-101724</t>
  </si>
  <si>
    <t>CUST-02417</t>
  </si>
  <si>
    <t>ORD-101795</t>
  </si>
  <si>
    <t>ORD-101814</t>
  </si>
  <si>
    <t>ORD-101826</t>
  </si>
  <si>
    <t>CUST-02190</t>
  </si>
  <si>
    <t>ORD-101853</t>
  </si>
  <si>
    <t>ORD-101890</t>
  </si>
  <si>
    <t>ORD-101897</t>
  </si>
  <si>
    <t>CUST-02005</t>
  </si>
  <si>
    <t>ORD-101928</t>
  </si>
  <si>
    <t>ORD-102102</t>
  </si>
  <si>
    <t>CUST-00331</t>
  </si>
  <si>
    <t>ORD-102116</t>
  </si>
  <si>
    <t>CUST-01482</t>
  </si>
  <si>
    <t>ORD-102156</t>
  </si>
  <si>
    <t>ORD-102191</t>
  </si>
  <si>
    <t>ORD-102287</t>
  </si>
  <si>
    <t>CUST-01896</t>
  </si>
  <si>
    <t>ORD-102342</t>
  </si>
  <si>
    <t>ORD-102390</t>
  </si>
  <si>
    <t>CUST-01000</t>
  </si>
  <si>
    <t>ORD-102462</t>
  </si>
  <si>
    <t>CUST-00692</t>
  </si>
  <si>
    <t>ORD-102477</t>
  </si>
  <si>
    <t>ORD-102497</t>
  </si>
  <si>
    <t>CUST-02761</t>
  </si>
  <si>
    <t>ORD-102506</t>
  </si>
  <si>
    <t>ORD-102512</t>
  </si>
  <si>
    <t>ORD-102689</t>
  </si>
  <si>
    <t>CUST-02623</t>
  </si>
  <si>
    <t>ORD-102718</t>
  </si>
  <si>
    <t>ORD-102735</t>
  </si>
  <si>
    <t>ORD-102744</t>
  </si>
  <si>
    <t>ORD-102779</t>
  </si>
  <si>
    <t>ORD-102845</t>
  </si>
  <si>
    <t>ORD-103064</t>
  </si>
  <si>
    <t>ORD-103340</t>
  </si>
  <si>
    <t>ORD-103543</t>
  </si>
  <si>
    <t>ORD-103604</t>
  </si>
  <si>
    <t>CUST-03047</t>
  </si>
  <si>
    <t>ORD-103656</t>
  </si>
  <si>
    <t>ORD-103657</t>
  </si>
  <si>
    <t>ORD-103672</t>
  </si>
  <si>
    <t>CUST-01750</t>
  </si>
  <si>
    <t>ORD-103736</t>
  </si>
  <si>
    <t>ORD-103762</t>
  </si>
  <si>
    <t>ORD-103791</t>
  </si>
  <si>
    <t>ORD-103814</t>
  </si>
  <si>
    <t>CUST-02113</t>
  </si>
  <si>
    <t>ORD-103934</t>
  </si>
  <si>
    <t>CUST-01405</t>
  </si>
  <si>
    <t>ORD-103942</t>
  </si>
  <si>
    <t>ORD-104011</t>
  </si>
  <si>
    <t>ORD-104012</t>
  </si>
  <si>
    <t>ORD-104015</t>
  </si>
  <si>
    <t>CUST-01286</t>
  </si>
  <si>
    <t>ORD-104017</t>
  </si>
  <si>
    <t>ORD-104036</t>
  </si>
  <si>
    <t>CUST-00389</t>
  </si>
  <si>
    <t>ORD-104044</t>
  </si>
  <si>
    <t>ORD-104101</t>
  </si>
  <si>
    <t>CUST-00313</t>
  </si>
  <si>
    <t>ORD-104219</t>
  </si>
  <si>
    <t>CUST-01061</t>
  </si>
  <si>
    <t>ORD-104231</t>
  </si>
  <si>
    <t>CUST-00587</t>
  </si>
  <si>
    <t>ORD-104249</t>
  </si>
  <si>
    <t>CUST-02391</t>
  </si>
  <si>
    <t>ORD-104252</t>
  </si>
  <si>
    <t>ORD-104253</t>
  </si>
  <si>
    <t>ORD-104285</t>
  </si>
  <si>
    <t>ORD-104291</t>
  </si>
  <si>
    <t>ORD-104292</t>
  </si>
  <si>
    <t>ORD-104304</t>
  </si>
  <si>
    <t>ORD-104351</t>
  </si>
  <si>
    <t>ORD-104352</t>
  </si>
  <si>
    <t>CUST-00186</t>
  </si>
  <si>
    <t>ORD-104407</t>
  </si>
  <si>
    <t>ORD-104443</t>
  </si>
  <si>
    <t>ORD-104472</t>
  </si>
  <si>
    <t>ORD-104545</t>
  </si>
  <si>
    <t>ORD-104560</t>
  </si>
  <si>
    <t>CUST-00814</t>
  </si>
  <si>
    <t>ORD-104568</t>
  </si>
  <si>
    <t>ORD-104583</t>
  </si>
  <si>
    <t>ORD-104601</t>
  </si>
  <si>
    <t>ORD-104616</t>
  </si>
  <si>
    <t>ORD-104634</t>
  </si>
  <si>
    <t>ORD-104694</t>
  </si>
  <si>
    <t>ORD-104766</t>
  </si>
  <si>
    <t>CUST-00012</t>
  </si>
  <si>
    <t>ORD-104776</t>
  </si>
  <si>
    <t>ORD-104823</t>
  </si>
  <si>
    <t>ORD-100033</t>
  </si>
  <si>
    <t>ORD-100153</t>
  </si>
  <si>
    <t>CUST-02419</t>
  </si>
  <si>
    <t>ORD-100196</t>
  </si>
  <si>
    <t>CUST-02457</t>
  </si>
  <si>
    <t>ORD-100239</t>
  </si>
  <si>
    <t>ORD-100267</t>
  </si>
  <si>
    <t>ORD-100308</t>
  </si>
  <si>
    <t>CUST-02052</t>
  </si>
  <si>
    <t>ORD-100537</t>
  </si>
  <si>
    <t>ORD-100550</t>
  </si>
  <si>
    <t>ORD-100566</t>
  </si>
  <si>
    <t>ORD-100684</t>
  </si>
  <si>
    <t>ORD-100759</t>
  </si>
  <si>
    <t>CUST-01513</t>
  </si>
  <si>
    <t>ORD-100763</t>
  </si>
  <si>
    <t>CUST-01363</t>
  </si>
  <si>
    <t>ORD-100769</t>
  </si>
  <si>
    <t>ORD-100875</t>
  </si>
  <si>
    <t>ORD-100987</t>
  </si>
  <si>
    <t>ORD-101004</t>
  </si>
  <si>
    <t>ORD-101016</t>
  </si>
  <si>
    <t>ORD-101024</t>
  </si>
  <si>
    <t>ORD-101054</t>
  </si>
  <si>
    <t>ORD-101060</t>
  </si>
  <si>
    <t>ORD-101192</t>
  </si>
  <si>
    <t>ORD-101205</t>
  </si>
  <si>
    <t>ORD-101215</t>
  </si>
  <si>
    <t>CUST-03069</t>
  </si>
  <si>
    <t>ORD-101216</t>
  </si>
  <si>
    <t>ORD-101290</t>
  </si>
  <si>
    <t>ORD-101293</t>
  </si>
  <si>
    <t>ORD-101370</t>
  </si>
  <si>
    <t>CUST-00729</t>
  </si>
  <si>
    <t>ORD-101400</t>
  </si>
  <si>
    <t>ORD-101401</t>
  </si>
  <si>
    <t>ORD-101466</t>
  </si>
  <si>
    <t>ORD-101471</t>
  </si>
  <si>
    <t>CUST-01432</t>
  </si>
  <si>
    <t>ORD-101481</t>
  </si>
  <si>
    <t>ORD-101487</t>
  </si>
  <si>
    <t>ORD-101495</t>
  </si>
  <si>
    <t>ORD-101504</t>
  </si>
  <si>
    <t>ORD-101540</t>
  </si>
  <si>
    <t>ORD-101561</t>
  </si>
  <si>
    <t>CUST-00060</t>
  </si>
  <si>
    <t>ORD-101595</t>
  </si>
  <si>
    <t>CUST-02436</t>
  </si>
  <si>
    <t>ORD-101708</t>
  </si>
  <si>
    <t>CUST-01395</t>
  </si>
  <si>
    <t>ORD-101714</t>
  </si>
  <si>
    <t>ORD-101727</t>
  </si>
  <si>
    <t>ORD-101742</t>
  </si>
  <si>
    <t>ORD-101775</t>
  </si>
  <si>
    <t>ORD-101810</t>
  </si>
  <si>
    <t>ORD-101881</t>
  </si>
  <si>
    <t>ORD-101891</t>
  </si>
  <si>
    <t>CUST-01399</t>
  </si>
  <si>
    <t>ORD-101893</t>
  </si>
  <si>
    <t>CUST-01783</t>
  </si>
  <si>
    <t>ORD-101895</t>
  </si>
  <si>
    <t>CUST-02415</t>
  </si>
  <si>
    <t>ORD-101937</t>
  </si>
  <si>
    <t>ORD-101964</t>
  </si>
  <si>
    <t>ORD-101974</t>
  </si>
  <si>
    <t>ORD-102000</t>
  </si>
  <si>
    <t>CUST-00556</t>
  </si>
  <si>
    <t>ORD-102054</t>
  </si>
  <si>
    <t>ORD-102080</t>
  </si>
  <si>
    <t>ORD-102152</t>
  </si>
  <si>
    <t>ORD-102157</t>
  </si>
  <si>
    <t>CUST-01857</t>
  </si>
  <si>
    <t>ORD-102174</t>
  </si>
  <si>
    <t>CUST-01362</t>
  </si>
  <si>
    <t>ORD-102182</t>
  </si>
  <si>
    <t>CUST-00856</t>
  </si>
  <si>
    <t>ORD-102186</t>
  </si>
  <si>
    <t>CUST-03008</t>
  </si>
  <si>
    <t>ORD-102218</t>
  </si>
  <si>
    <t>CUST-00836</t>
  </si>
  <si>
    <t>ORD-102344</t>
  </si>
  <si>
    <t>ORD-102348</t>
  </si>
  <si>
    <t>ORD-102388</t>
  </si>
  <si>
    <t>ORD-102408</t>
  </si>
  <si>
    <t>ORD-102439</t>
  </si>
  <si>
    <t>ORD-102445</t>
  </si>
  <si>
    <t>ORD-102468</t>
  </si>
  <si>
    <t>ORD-102470</t>
  </si>
  <si>
    <t>CUST-02800</t>
  </si>
  <si>
    <t>ORD-102499</t>
  </si>
  <si>
    <t>ORD-102582</t>
  </si>
  <si>
    <t>CUST-01095</t>
  </si>
  <si>
    <t>ORD-102622</t>
  </si>
  <si>
    <t>ORD-102648</t>
  </si>
  <si>
    <t>ORD-102671</t>
  </si>
  <si>
    <t>ORD-102683</t>
  </si>
  <si>
    <t>ORD-102699</t>
  </si>
  <si>
    <t>ORD-102708</t>
  </si>
  <si>
    <t>ORD-102847</t>
  </si>
  <si>
    <t>ORD-102852</t>
  </si>
  <si>
    <t>ORD-102994</t>
  </si>
  <si>
    <t>ORD-103028</t>
  </si>
  <si>
    <t>ORD-103068</t>
  </si>
  <si>
    <t>ORD-103099</t>
  </si>
  <si>
    <t>ORD-103198</t>
  </si>
  <si>
    <t>ORD-103248</t>
  </si>
  <si>
    <t>ORD-103257</t>
  </si>
  <si>
    <t>CUST-01118</t>
  </si>
  <si>
    <t>ORD-103269</t>
  </si>
  <si>
    <t>CUST-00397</t>
  </si>
  <si>
    <t>ORD-103299</t>
  </si>
  <si>
    <t>ORD-103394</t>
  </si>
  <si>
    <t>CUST-02696</t>
  </si>
  <si>
    <t>ORD-103444</t>
  </si>
  <si>
    <t>ORD-103524</t>
  </si>
  <si>
    <t>CUST-02178</t>
  </si>
  <si>
    <t>ORD-103635</t>
  </si>
  <si>
    <t>ORD-103696</t>
  </si>
  <si>
    <t>CUST-02025</t>
  </si>
  <si>
    <t>ORD-103713</t>
  </si>
  <si>
    <t>ORD-103763</t>
  </si>
  <si>
    <t>CUST-00796</t>
  </si>
  <si>
    <t>ORD-103818</t>
  </si>
  <si>
    <t>CUST-02459</t>
  </si>
  <si>
    <t>ORD-103842</t>
  </si>
  <si>
    <t>CUST-03031</t>
  </si>
  <si>
    <t>ORD-103849</t>
  </si>
  <si>
    <t>ORD-103852</t>
  </si>
  <si>
    <t>CUST-01136</t>
  </si>
  <si>
    <t>ORD-103854</t>
  </si>
  <si>
    <t>CUST-01908</t>
  </si>
  <si>
    <t>ORD-103863</t>
  </si>
  <si>
    <t>ORD-103882</t>
  </si>
  <si>
    <t>ORD-103884</t>
  </si>
  <si>
    <t>CUST-02160</t>
  </si>
  <si>
    <t>ORD-103963</t>
  </si>
  <si>
    <t>CUST-01015</t>
  </si>
  <si>
    <t>ORD-103974</t>
  </si>
  <si>
    <t>CUST-01811</t>
  </si>
  <si>
    <t>ORD-103994</t>
  </si>
  <si>
    <t>CUST-00496</t>
  </si>
  <si>
    <t>ORD-104025</t>
  </si>
  <si>
    <t>CUST-01781</t>
  </si>
  <si>
    <t>ORD-104034</t>
  </si>
  <si>
    <t>ORD-104126</t>
  </si>
  <si>
    <t>ORD-104163</t>
  </si>
  <si>
    <t>ORD-104181</t>
  </si>
  <si>
    <t>ORD-104229</t>
  </si>
  <si>
    <t>ORD-104364</t>
  </si>
  <si>
    <t>ORD-104412</t>
  </si>
  <si>
    <t>CUST-01074</t>
  </si>
  <si>
    <t>ORD-104502</t>
  </si>
  <si>
    <t>ORD-104598</t>
  </si>
  <si>
    <t>CUST-02712</t>
  </si>
  <si>
    <t>ORD-104607</t>
  </si>
  <si>
    <t>ORD-104649</t>
  </si>
  <si>
    <t>CUST-02678</t>
  </si>
  <si>
    <t>ORD-104661</t>
  </si>
  <si>
    <t>CUST-00477</t>
  </si>
  <si>
    <t>ORD-104826</t>
  </si>
  <si>
    <t>ORD-100031</t>
  </si>
  <si>
    <t>ORD-100034</t>
  </si>
  <si>
    <t>CUST-00970</t>
  </si>
  <si>
    <t>ORD-100036</t>
  </si>
  <si>
    <t>ORD-100087</t>
  </si>
  <si>
    <t>ORD-100107</t>
  </si>
  <si>
    <t>ORD-100121</t>
  </si>
  <si>
    <t>ORD-100183</t>
  </si>
  <si>
    <t>ORD-100210</t>
  </si>
  <si>
    <t>CUST-01184</t>
  </si>
  <si>
    <t>ORD-100222</t>
  </si>
  <si>
    <t>ORD-100271</t>
  </si>
  <si>
    <t>ORD-100282</t>
  </si>
  <si>
    <t>CUST-00579</t>
  </si>
  <si>
    <t>ORD-100286</t>
  </si>
  <si>
    <t>ORD-100303</t>
  </si>
  <si>
    <t>ORD-100328</t>
  </si>
  <si>
    <t>ORD-100339</t>
  </si>
  <si>
    <t>CUST-01317</t>
  </si>
  <si>
    <t>ORD-100353</t>
  </si>
  <si>
    <t>ORD-100413</t>
  </si>
  <si>
    <t>ORD-100424</t>
  </si>
  <si>
    <t>CUST-01601</t>
  </si>
  <si>
    <t>ORD-100429</t>
  </si>
  <si>
    <t>ORD-100459</t>
  </si>
  <si>
    <t>ORD-100463</t>
  </si>
  <si>
    <t>CUST-02483</t>
  </si>
  <si>
    <t>ORD-100468</t>
  </si>
  <si>
    <t>ORD-100483</t>
  </si>
  <si>
    <t>ORD-100574</t>
  </si>
  <si>
    <t>ORD-100585</t>
  </si>
  <si>
    <t>ORD-100597</t>
  </si>
  <si>
    <t>ORD-100688</t>
  </si>
  <si>
    <t>ORD-100728</t>
  </si>
  <si>
    <t>ORD-100804</t>
  </si>
  <si>
    <t>ORD-100873</t>
  </si>
  <si>
    <t>ORD-101077</t>
  </si>
  <si>
    <t>ORD-101079</t>
  </si>
  <si>
    <t>CUST-02952</t>
  </si>
  <si>
    <t>ORD-101080</t>
  </si>
  <si>
    <t>CUST-00210</t>
  </si>
  <si>
    <t>ORD-101091</t>
  </si>
  <si>
    <t>CUST-01017</t>
  </si>
  <si>
    <t>ORD-101101</t>
  </si>
  <si>
    <t>CUST-02692</t>
  </si>
  <si>
    <t>ORD-101102</t>
  </si>
  <si>
    <t>CUST-01628</t>
  </si>
  <si>
    <t>ORD-101114</t>
  </si>
  <si>
    <t>ORD-101175</t>
  </si>
  <si>
    <t>ORD-101307</t>
  </si>
  <si>
    <t>CUST-02499</t>
  </si>
  <si>
    <t>ORD-101338</t>
  </si>
  <si>
    <t>ORD-101339</t>
  </si>
  <si>
    <t>ORD-101351</t>
  </si>
  <si>
    <t>CUST-01369</t>
  </si>
  <si>
    <t>ORD-101373</t>
  </si>
  <si>
    <t>CUST-00826</t>
  </si>
  <si>
    <t>ORD-101385</t>
  </si>
  <si>
    <t>CUST-00673</t>
  </si>
  <si>
    <t>ORD-101403</t>
  </si>
  <si>
    <t>CUST-01748</t>
  </si>
  <si>
    <t>ORD-101413</t>
  </si>
  <si>
    <t>ORD-101431</t>
  </si>
  <si>
    <t>ORD-101463</t>
  </si>
  <si>
    <t>CUST-02658</t>
  </si>
  <si>
    <t>ORD-101475</t>
  </si>
  <si>
    <t>ORD-101496</t>
  </si>
  <si>
    <t>ORD-101502</t>
  </si>
  <si>
    <t>ORD-101524</t>
  </si>
  <si>
    <t>ORD-101566</t>
  </si>
  <si>
    <t>CUST-00075</t>
  </si>
  <si>
    <t>ORD-101611</t>
  </si>
  <si>
    <t>ORD-101622</t>
  </si>
  <si>
    <t>CUST-01214</t>
  </si>
  <si>
    <t>ORD-101652</t>
  </si>
  <si>
    <t>ORD-101686</t>
  </si>
  <si>
    <t>ORD-101698</t>
  </si>
  <si>
    <t>CUST-01511</t>
  </si>
  <si>
    <t>ORD-101715</t>
  </si>
  <si>
    <t>ORD-101719</t>
  </si>
  <si>
    <t>CUST-01253</t>
  </si>
  <si>
    <t>ORD-101746</t>
  </si>
  <si>
    <t>ORD-101755</t>
  </si>
  <si>
    <t>CUST-01816</t>
  </si>
  <si>
    <t>ORD-101807</t>
  </si>
  <si>
    <t>CUST-01391</t>
  </si>
  <si>
    <t>ORD-101816</t>
  </si>
  <si>
    <t>CUST-00915</t>
  </si>
  <si>
    <t>ORD-101854</t>
  </si>
  <si>
    <t>ORD-101917</t>
  </si>
  <si>
    <t>ORD-101939</t>
  </si>
  <si>
    <t>CUST-00630</t>
  </si>
  <si>
    <t>ORD-101943</t>
  </si>
  <si>
    <t>CUST-01329</t>
  </si>
  <si>
    <t>ORD-101951</t>
  </si>
  <si>
    <t>CUST-01855</t>
  </si>
  <si>
    <t>ORD-101954</t>
  </si>
  <si>
    <t>CUST-01379</t>
  </si>
  <si>
    <t>ORD-101956</t>
  </si>
  <si>
    <t>ORD-101992</t>
  </si>
  <si>
    <t>ORD-102035</t>
  </si>
  <si>
    <t>ORD-102052</t>
  </si>
  <si>
    <t>ORD-102057</t>
  </si>
  <si>
    <t>ORD-102069</t>
  </si>
  <si>
    <t>ORD-102079</t>
  </si>
  <si>
    <t>ORD-102082</t>
  </si>
  <si>
    <t>ORD-102133</t>
  </si>
  <si>
    <t>ORD-102146</t>
  </si>
  <si>
    <t>ORD-102245</t>
  </si>
  <si>
    <t>CUST-02743</t>
  </si>
  <si>
    <t>ORD-102278</t>
  </si>
  <si>
    <t>ORD-102308</t>
  </si>
  <si>
    <t>ORD-102351</t>
  </si>
  <si>
    <t>ORD-102394</t>
  </si>
  <si>
    <t>ORD-102434</t>
  </si>
  <si>
    <t>ORD-102463</t>
  </si>
  <si>
    <t>ORD-102478</t>
  </si>
  <si>
    <t>CUST-00843</t>
  </si>
  <si>
    <t>ORD-102515</t>
  </si>
  <si>
    <t>CUST-01158</t>
  </si>
  <si>
    <t>ORD-102549</t>
  </si>
  <si>
    <t>ORD-102645</t>
  </si>
  <si>
    <t>ORD-102651</t>
  </si>
  <si>
    <t>ORD-102667</t>
  </si>
  <si>
    <t>ORD-102733</t>
  </si>
  <si>
    <t>ORD-102762</t>
  </si>
  <si>
    <t>ORD-102777</t>
  </si>
  <si>
    <t>ORD-102816</t>
  </si>
  <si>
    <t>ORD-102821</t>
  </si>
  <si>
    <t>ORD-102864</t>
  </si>
  <si>
    <t>ORD-102910</t>
  </si>
  <si>
    <t>CUST-00132</t>
  </si>
  <si>
    <t>ORD-102937</t>
  </si>
  <si>
    <t>CUST-00684</t>
  </si>
  <si>
    <t>ORD-102962</t>
  </si>
  <si>
    <t>CUST-00196</t>
  </si>
  <si>
    <t>ORD-102984</t>
  </si>
  <si>
    <t>ORD-103003</t>
  </si>
  <si>
    <t>CUST-00807</t>
  </si>
  <si>
    <t>ORD-103006</t>
  </si>
  <si>
    <t>ORD-103130</t>
  </si>
  <si>
    <t>ORD-103159</t>
  </si>
  <si>
    <t>ORD-103163</t>
  </si>
  <si>
    <t>ORD-103172</t>
  </si>
  <si>
    <t>CUST-02347</t>
  </si>
  <si>
    <t>ORD-103226</t>
  </si>
  <si>
    <t>ORD-103261</t>
  </si>
  <si>
    <t>ORD-103300</t>
  </si>
  <si>
    <t>ORD-103303</t>
  </si>
  <si>
    <t>ORD-103331</t>
  </si>
  <si>
    <t>ORD-103364</t>
  </si>
  <si>
    <t>CUST-01188</t>
  </si>
  <si>
    <t>ORD-103387</t>
  </si>
  <si>
    <t>CUST-01779</t>
  </si>
  <si>
    <t>ORD-103425</t>
  </si>
  <si>
    <t>ORD-103512</t>
  </si>
  <si>
    <t>ORD-103531</t>
  </si>
  <si>
    <t>CUST-01441</t>
  </si>
  <si>
    <t>ORD-103582</t>
  </si>
  <si>
    <t>ORD-103584</t>
  </si>
  <si>
    <t>CUST-00270</t>
  </si>
  <si>
    <t>ORD-103594</t>
  </si>
  <si>
    <t>CUST-02783</t>
  </si>
  <si>
    <t>ORD-103661</t>
  </si>
  <si>
    <t>ORD-103682</t>
  </si>
  <si>
    <t>ORD-103711</t>
  </si>
  <si>
    <t>CUST-01215</t>
  </si>
  <si>
    <t>ORD-103718</t>
  </si>
  <si>
    <t>ORD-103838</t>
  </si>
  <si>
    <t>ORD-103970</t>
  </si>
  <si>
    <t>CUST-01960</t>
  </si>
  <si>
    <t>ORD-103993</t>
  </si>
  <si>
    <t>ORD-104045</t>
  </si>
  <si>
    <t>CUST-00852</t>
  </si>
  <si>
    <t>ORD-104054</t>
  </si>
  <si>
    <t>ORD-104057</t>
  </si>
  <si>
    <t>CUST-02854</t>
  </si>
  <si>
    <t>ORD-104059</t>
  </si>
  <si>
    <t>CUST-02538</t>
  </si>
  <si>
    <t>ORD-104071</t>
  </si>
  <si>
    <t>CUST-00585</t>
  </si>
  <si>
    <t>ORD-104081</t>
  </si>
  <si>
    <t>CUST-02220</t>
  </si>
  <si>
    <t>ORD-104085</t>
  </si>
  <si>
    <t>CUST-02234</t>
  </si>
  <si>
    <t>ORD-104100</t>
  </si>
  <si>
    <t>ORD-104108</t>
  </si>
  <si>
    <t>ORD-104117</t>
  </si>
  <si>
    <t>ORD-104160</t>
  </si>
  <si>
    <t>ORD-104200</t>
  </si>
  <si>
    <t>CUST-01225</t>
  </si>
  <si>
    <t>ORD-104213</t>
  </si>
  <si>
    <t>ORD-104215</t>
  </si>
  <si>
    <t>CUST-01252</t>
  </si>
  <si>
    <t>ORD-104224</t>
  </si>
  <si>
    <t>CUST-01066</t>
  </si>
  <si>
    <t>ORD-104233</t>
  </si>
  <si>
    <t>ORD-104248</t>
  </si>
  <si>
    <t>ORD-104262</t>
  </si>
  <si>
    <t>ORD-104282</t>
  </si>
  <si>
    <t>ORD-104289</t>
  </si>
  <si>
    <t>ORD-104326</t>
  </si>
  <si>
    <t>CUST-00126</t>
  </si>
  <si>
    <t>ORD-104370</t>
  </si>
  <si>
    <t>ORD-104441</t>
  </si>
  <si>
    <t>CUST-02685</t>
  </si>
  <si>
    <t>ORD-104444</t>
  </si>
  <si>
    <t>CUST-01425</t>
  </si>
  <si>
    <t>ORD-104459</t>
  </si>
  <si>
    <t>ORD-104463</t>
  </si>
  <si>
    <t>ORD-104480</t>
  </si>
  <si>
    <t>CUST-01173</t>
  </si>
  <si>
    <t>ORD-104498</t>
  </si>
  <si>
    <t>ORD-104499</t>
  </si>
  <si>
    <t>ORD-104531</t>
  </si>
  <si>
    <t>CUST-00661</t>
  </si>
  <si>
    <t>ORD-104535</t>
  </si>
  <si>
    <t>ORD-104541</t>
  </si>
  <si>
    <t>CUST-00135</t>
  </si>
  <si>
    <t>ORD-104548</t>
  </si>
  <si>
    <t>ORD-104581</t>
  </si>
  <si>
    <t>ORD-104588</t>
  </si>
  <si>
    <t>ORD-104600</t>
  </si>
  <si>
    <t>CUST-01579</t>
  </si>
  <si>
    <t>ORD-104609</t>
  </si>
  <si>
    <t>ORD-104626</t>
  </si>
  <si>
    <t>CUST-00120</t>
  </si>
  <si>
    <t>ORD-104648</t>
  </si>
  <si>
    <t>ORD-104654</t>
  </si>
  <si>
    <t>ORD-104672</t>
  </si>
  <si>
    <t>ORD-104703</t>
  </si>
  <si>
    <t>CUST-03039</t>
  </si>
  <si>
    <t>ORD-104718</t>
  </si>
  <si>
    <t>ORD-104772</t>
  </si>
  <si>
    <t>ORD-104782</t>
  </si>
  <si>
    <t>ORD-100039</t>
  </si>
  <si>
    <t>CUST-02680</t>
  </si>
  <si>
    <t>ORD-100048</t>
  </si>
  <si>
    <t>ORD-100078</t>
  </si>
  <si>
    <t>CUST-00110</t>
  </si>
  <si>
    <t>ORD-100084</t>
  </si>
  <si>
    <t>CUST-00776</t>
  </si>
  <si>
    <t>ORD-100095</t>
  </si>
  <si>
    <t>CUST-02375</t>
  </si>
  <si>
    <t>ORD-100209</t>
  </si>
  <si>
    <t>ORD-100266</t>
  </si>
  <si>
    <t>ORD-100305</t>
  </si>
  <si>
    <t>ORD-100310</t>
  </si>
  <si>
    <t>ORD-100321</t>
  </si>
  <si>
    <t>ORD-100355</t>
  </si>
  <si>
    <t>CUST-02170</t>
  </si>
  <si>
    <t>ORD-100380</t>
  </si>
  <si>
    <t>ORD-100435</t>
  </si>
  <si>
    <t>ORD-100470</t>
  </si>
  <si>
    <t>ORD-100474</t>
  </si>
  <si>
    <t>ORD-100480</t>
  </si>
  <si>
    <t>ORD-100577</t>
  </si>
  <si>
    <t>CUST-02630</t>
  </si>
  <si>
    <t>ORD-100595</t>
  </si>
  <si>
    <t>CUST-02603</t>
  </si>
  <si>
    <t>ORD-100663</t>
  </si>
  <si>
    <t>ORD-100667</t>
  </si>
  <si>
    <t>CUST-02826</t>
  </si>
  <si>
    <t>ORD-100682</t>
  </si>
  <si>
    <t>ORD-100713</t>
  </si>
  <si>
    <t>CUST-02895</t>
  </si>
  <si>
    <t>ORD-100727</t>
  </si>
  <si>
    <t>CUST-02531</t>
  </si>
  <si>
    <t>ORD-100733</t>
  </si>
  <si>
    <t>CUST-02399</t>
  </si>
  <si>
    <t>ORD-100756</t>
  </si>
  <si>
    <t>ORD-100821</t>
  </si>
  <si>
    <t>CUST-01730</t>
  </si>
  <si>
    <t>ORD-100905</t>
  </si>
  <si>
    <t>ORD-100978</t>
  </si>
  <si>
    <t>CUST-02367</t>
  </si>
  <si>
    <t>ORD-100997</t>
  </si>
  <si>
    <t>ORD-101056</t>
  </si>
  <si>
    <t>ORD-101115</t>
  </si>
  <si>
    <t>ORD-101116</t>
  </si>
  <si>
    <t>ORD-101124</t>
  </si>
  <si>
    <t>ORD-101149</t>
  </si>
  <si>
    <t>CUST-01120</t>
  </si>
  <si>
    <t>ORD-101165</t>
  </si>
  <si>
    <t>ORD-101197</t>
  </si>
  <si>
    <t>ORD-101250</t>
  </si>
  <si>
    <t>ORD-101257</t>
  </si>
  <si>
    <t>CUST-01140</t>
  </si>
  <si>
    <t>ORD-101347</t>
  </si>
  <si>
    <t>CUST-00004</t>
  </si>
  <si>
    <t>ORD-101387</t>
  </si>
  <si>
    <t>CUST-02661</t>
  </si>
  <si>
    <t>ORD-101409</t>
  </si>
  <si>
    <t>ORD-101436</t>
  </si>
  <si>
    <t>ORD-101442</t>
  </si>
  <si>
    <t>CUST-02156</t>
  </si>
  <si>
    <t>ORD-101467</t>
  </si>
  <si>
    <t>CUST-00362</t>
  </si>
  <si>
    <t>ORD-101520</t>
  </si>
  <si>
    <t>ORD-101624</t>
  </si>
  <si>
    <t>CUST-01515</t>
  </si>
  <si>
    <t>ORD-101625</t>
  </si>
  <si>
    <t>ORD-101627</t>
  </si>
  <si>
    <t>CUST-03106</t>
  </si>
  <si>
    <t>ORD-101668</t>
  </si>
  <si>
    <t>ORD-101672</t>
  </si>
  <si>
    <t>CUST-01639</t>
  </si>
  <si>
    <t>ORD-101774</t>
  </si>
  <si>
    <t>ORD-101777</t>
  </si>
  <si>
    <t>CUST-00640</t>
  </si>
  <si>
    <t>ORD-101778</t>
  </si>
  <si>
    <t>ORD-101815</t>
  </si>
  <si>
    <t>CUST-00829</t>
  </si>
  <si>
    <t>ORD-101840</t>
  </si>
  <si>
    <t>ORD-101843</t>
  </si>
  <si>
    <t>ORD-101851</t>
  </si>
  <si>
    <t>ORD-101913</t>
  </si>
  <si>
    <t>ORD-101982</t>
  </si>
  <si>
    <t>CUST-03133</t>
  </si>
  <si>
    <t>ORD-101989</t>
  </si>
  <si>
    <t>ORD-101993</t>
  </si>
  <si>
    <t>ORD-102046</t>
  </si>
  <si>
    <t>ORD-102074</t>
  </si>
  <si>
    <t>ORD-102163</t>
  </si>
  <si>
    <t>ORD-102200</t>
  </si>
  <si>
    <t>ORD-102283</t>
  </si>
  <si>
    <t>ORD-102330</t>
  </si>
  <si>
    <t>ORD-102361</t>
  </si>
  <si>
    <t>CUST-01681</t>
  </si>
  <si>
    <t>ORD-102362</t>
  </si>
  <si>
    <t>CUST-00229</t>
  </si>
  <si>
    <t>ORD-102364</t>
  </si>
  <si>
    <t>ORD-102387</t>
  </si>
  <si>
    <t>ORD-102400</t>
  </si>
  <si>
    <t>ORD-102407</t>
  </si>
  <si>
    <t>CUST-00458</t>
  </si>
  <si>
    <t>ORD-102414</t>
  </si>
  <si>
    <t>ORD-102448</t>
  </si>
  <si>
    <t>ORD-102454</t>
  </si>
  <si>
    <t>ORD-102465</t>
  </si>
  <si>
    <t>CUST-00177</t>
  </si>
  <si>
    <t>ORD-102568</t>
  </si>
  <si>
    <t>ORD-102573</t>
  </si>
  <si>
    <t>ORD-102581</t>
  </si>
  <si>
    <t>CUST-01042</t>
  </si>
  <si>
    <t>ORD-102623</t>
  </si>
  <si>
    <t>ORD-102636</t>
  </si>
  <si>
    <t>CUST-01536</t>
  </si>
  <si>
    <t>ORD-102739</t>
  </si>
  <si>
    <t>ORD-102759</t>
  </si>
  <si>
    <t>ORD-102761</t>
  </si>
  <si>
    <t>CUST-01986</t>
  </si>
  <si>
    <t>ORD-102860</t>
  </si>
  <si>
    <t>ORD-102912</t>
  </si>
  <si>
    <t>ORD-102922</t>
  </si>
  <si>
    <t>CUST-01861</t>
  </si>
  <si>
    <t>ORD-102972</t>
  </si>
  <si>
    <t>CUST-00572</t>
  </si>
  <si>
    <t>ORD-103034</t>
  </si>
  <si>
    <t>ORD-103065</t>
  </si>
  <si>
    <t>ORD-103083</t>
  </si>
  <si>
    <t>ORD-103096</t>
  </si>
  <si>
    <t>CUST-02938</t>
  </si>
  <si>
    <t>ORD-103184</t>
  </si>
  <si>
    <t>CUST-00417</t>
  </si>
  <si>
    <t>ORD-103224</t>
  </si>
  <si>
    <t>ORD-103242</t>
  </si>
  <si>
    <t>ORD-103273</t>
  </si>
  <si>
    <t>ORD-103277</t>
  </si>
  <si>
    <t>CUST-02142</t>
  </si>
  <si>
    <t>ORD-103347</t>
  </si>
  <si>
    <t>ORD-103350</t>
  </si>
  <si>
    <t>ORD-103435</t>
  </si>
  <si>
    <t>CUST-02115</t>
  </si>
  <si>
    <t>ORD-103469</t>
  </si>
  <si>
    <t>ORD-103503</t>
  </si>
  <si>
    <t>ORD-103565</t>
  </si>
  <si>
    <t>ORD-103569</t>
  </si>
  <si>
    <t>ORD-103812</t>
  </si>
  <si>
    <t>ORD-103819</t>
  </si>
  <si>
    <t>CUST-02937</t>
  </si>
  <si>
    <t>ORD-103871</t>
  </si>
  <si>
    <t>ORD-103969</t>
  </si>
  <si>
    <t>CUST-02230</t>
  </si>
  <si>
    <t>ORD-104042</t>
  </si>
  <si>
    <t>ORD-104063</t>
  </si>
  <si>
    <t>ORD-104070</t>
  </si>
  <si>
    <t>CUST-02655</t>
  </si>
  <si>
    <t>ORD-104099</t>
  </si>
  <si>
    <t>CUST-02590</t>
  </si>
  <si>
    <t>ORD-104135</t>
  </si>
  <si>
    <t>ORD-104167</t>
  </si>
  <si>
    <t>ORD-104202</t>
  </si>
  <si>
    <t>CUST-01394</t>
  </si>
  <si>
    <t>ORD-104298</t>
  </si>
  <si>
    <t>CUST-00822</t>
  </si>
  <si>
    <t>ORD-104408</t>
  </si>
  <si>
    <t>ORD-104464</t>
  </si>
  <si>
    <t>ORD-104506</t>
  </si>
  <si>
    <t>ORD-104520</t>
  </si>
  <si>
    <t>ORD-104556</t>
  </si>
  <si>
    <t>CUST-02844</t>
  </si>
  <si>
    <t>ORD-104585</t>
  </si>
  <si>
    <t>ORD-104646</t>
  </si>
  <si>
    <t>ORD-104652</t>
  </si>
  <si>
    <t>ORD-104677</t>
  </si>
  <si>
    <t>ORD-104699</t>
  </si>
  <si>
    <t>ORD-104730</t>
  </si>
  <si>
    <t>ORD-104775</t>
  </si>
  <si>
    <t>CUST-02965</t>
  </si>
  <si>
    <t>ORD-104796</t>
  </si>
  <si>
    <t>CUST-00014</t>
  </si>
  <si>
    <t>ORD-100008</t>
  </si>
  <si>
    <t>ORD-100124</t>
  </si>
  <si>
    <t>ORD-100139</t>
  </si>
  <si>
    <t>CUST-02811</t>
  </si>
  <si>
    <t>ORD-100363</t>
  </si>
  <si>
    <t>ORD-100412</t>
  </si>
  <si>
    <t>CUST-03074</t>
  </si>
  <si>
    <t>ORD-100495</t>
  </si>
  <si>
    <t>CUST-00589</t>
  </si>
  <si>
    <t>ORD-100768</t>
  </si>
  <si>
    <t>ORD-100835</t>
  </si>
  <si>
    <t>ORD-100851</t>
  </si>
  <si>
    <t>ORD-100882</t>
  </si>
  <si>
    <t>ORD-100976</t>
  </si>
  <si>
    <t>ORD-101089</t>
  </si>
  <si>
    <t>CUST-01567</t>
  </si>
  <si>
    <t>ORD-101163</t>
  </si>
  <si>
    <t>ORD-101172</t>
  </si>
  <si>
    <t>ORD-101200</t>
  </si>
  <si>
    <t>ORD-101288</t>
  </si>
  <si>
    <t>ORD-101325</t>
  </si>
  <si>
    <t>ORD-101365</t>
  </si>
  <si>
    <t>ORD-101384</t>
  </si>
  <si>
    <t>ORD-101587</t>
  </si>
  <si>
    <t>ORD-101618</t>
  </si>
  <si>
    <t>ORD-101633</t>
  </si>
  <si>
    <t>ORD-101685</t>
  </si>
  <si>
    <t>ORD-101759</t>
  </si>
  <si>
    <t>ORD-101769</t>
  </si>
  <si>
    <t>CUST-01539</t>
  </si>
  <si>
    <t>ORD-101835</t>
  </si>
  <si>
    <t>CUST-00540</t>
  </si>
  <si>
    <t>ORD-101839</t>
  </si>
  <si>
    <t>ORD-101929</t>
  </si>
  <si>
    <t>ORD-101940</t>
  </si>
  <si>
    <t>ORD-101981</t>
  </si>
  <si>
    <t>ORD-102019</t>
  </si>
  <si>
    <t>CUST-00571</t>
  </si>
  <si>
    <t>ORD-102077</t>
  </si>
  <si>
    <t>ORD-102130</t>
  </si>
  <si>
    <t>ORD-102212</t>
  </si>
  <si>
    <t>CUST-01933</t>
  </si>
  <si>
    <t>ORD-102511</t>
  </si>
  <si>
    <t>ORD-102518</t>
  </si>
  <si>
    <t>ORD-102532</t>
  </si>
  <si>
    <t>CUST-02866</t>
  </si>
  <si>
    <t>ORD-102540</t>
  </si>
  <si>
    <t>ORD-102558</t>
  </si>
  <si>
    <t>ORD-102668</t>
  </si>
  <si>
    <t>ORD-102843</t>
  </si>
  <si>
    <t>ORD-102861</t>
  </si>
  <si>
    <t>ORD-102881</t>
  </si>
  <si>
    <t>ORD-103049</t>
  </si>
  <si>
    <t>ORD-103115</t>
  </si>
  <si>
    <t>CUST-02186</t>
  </si>
  <si>
    <t>ORD-103177</t>
  </si>
  <si>
    <t>ORD-103254</t>
  </si>
  <si>
    <t>ORD-103338</t>
  </si>
  <si>
    <t>ORD-103376</t>
  </si>
  <si>
    <t>CUST-03157</t>
  </si>
  <si>
    <t>ORD-103382</t>
  </si>
  <si>
    <t>ORD-103409</t>
  </si>
  <si>
    <t>ORD-103467</t>
  </si>
  <si>
    <t>CUST-02773</t>
  </si>
  <si>
    <t>ORD-103498</t>
  </si>
  <si>
    <t>ORD-103519</t>
  </si>
  <si>
    <t>CUST-00942</t>
  </si>
  <si>
    <t>ORD-103623</t>
  </si>
  <si>
    <t>ORD-103655</t>
  </si>
  <si>
    <t>ORD-103671</t>
  </si>
  <si>
    <t>ORD-103702</t>
  </si>
  <si>
    <t>ORD-103859</t>
  </si>
  <si>
    <t>ORD-103956</t>
  </si>
  <si>
    <t>ORD-104004</t>
  </si>
  <si>
    <t>ORD-104039</t>
  </si>
  <si>
    <t>ORD-104046</t>
  </si>
  <si>
    <t>CUST-00603</t>
  </si>
  <si>
    <t>ORD-104062</t>
  </si>
  <si>
    <t>ORD-104083</t>
  </si>
  <si>
    <t>ORD-104111</t>
  </si>
  <si>
    <t>ORD-104120</t>
  </si>
  <si>
    <t>ORD-104280</t>
  </si>
  <si>
    <t>CUST-02894</t>
  </si>
  <si>
    <t>ORD-104290</t>
  </si>
  <si>
    <t>ORD-104309</t>
  </si>
  <si>
    <t>ORD-104353</t>
  </si>
  <si>
    <t>ORD-104488</t>
  </si>
  <si>
    <t>CUST-01865</t>
  </si>
  <si>
    <t>ORD-104555</t>
  </si>
  <si>
    <t>ORD-104570</t>
  </si>
  <si>
    <t>ORD-104575</t>
  </si>
  <si>
    <t>ORD-104714</t>
  </si>
  <si>
    <t>ORD-104742</t>
  </si>
  <si>
    <t>ORD-104751</t>
  </si>
  <si>
    <t>ORD-100108</t>
  </si>
  <si>
    <t>ORD-100160</t>
  </si>
  <si>
    <t>ORD-100185</t>
  </si>
  <si>
    <t>CUST-03147</t>
  </si>
  <si>
    <t>ORD-100434</t>
  </si>
  <si>
    <t>CUST-01337</t>
  </si>
  <si>
    <t>ORD-100454</t>
  </si>
  <si>
    <t>ORD-100456</t>
  </si>
  <si>
    <t>CUST-01527</t>
  </si>
  <si>
    <t>ORD-100476</t>
  </si>
  <si>
    <t>ORD-100502</t>
  </si>
  <si>
    <t>ORD-100553</t>
  </si>
  <si>
    <t>ORD-100602</t>
  </si>
  <si>
    <t>ORD-100638</t>
  </si>
  <si>
    <t>CUST-02588</t>
  </si>
  <si>
    <t>ORD-100664</t>
  </si>
  <si>
    <t>CUST-01658</t>
  </si>
  <si>
    <t>ORD-100775</t>
  </si>
  <si>
    <t>ORD-100957</t>
  </si>
  <si>
    <t>ORD-101061</t>
  </si>
  <si>
    <t>ORD-101135</t>
  </si>
  <si>
    <t>ORD-101251</t>
  </si>
  <si>
    <t>ORD-101262</t>
  </si>
  <si>
    <t>ORD-101268</t>
  </si>
  <si>
    <t>CUST-00709</t>
  </si>
  <si>
    <t>ORD-101395</t>
  </si>
  <si>
    <t>ORD-101473</t>
  </si>
  <si>
    <t>ORD-101584</t>
  </si>
  <si>
    <t>ORD-101620</t>
  </si>
  <si>
    <t>ORD-101675</t>
  </si>
  <si>
    <t>ORD-101692</t>
  </si>
  <si>
    <t>ORD-101701</t>
  </si>
  <si>
    <t>CUST-03059</t>
  </si>
  <si>
    <t>ORD-101710</t>
  </si>
  <si>
    <t>ORD-101797</t>
  </si>
  <si>
    <t>ORD-102177</t>
  </si>
  <si>
    <t>ORD-102236</t>
  </si>
  <si>
    <t>ORD-102313</t>
  </si>
  <si>
    <t>ORD-102338</t>
  </si>
  <si>
    <t>CUST-02407</t>
  </si>
  <si>
    <t>ORD-102371</t>
  </si>
  <si>
    <t>ORD-102438</t>
  </si>
  <si>
    <t>ORD-102566</t>
  </si>
  <si>
    <t>ORD-102628</t>
  </si>
  <si>
    <t>CUST-01261</t>
  </si>
  <si>
    <t>ORD-102701</t>
  </si>
  <si>
    <t>ORD-102769</t>
  </si>
  <si>
    <t>CUST-00461</t>
  </si>
  <si>
    <t>ORD-102789</t>
  </si>
  <si>
    <t>ORD-102999</t>
  </si>
  <si>
    <t>ORD-103017</t>
  </si>
  <si>
    <t>ORD-103023</t>
  </si>
  <si>
    <t>ORD-103089</t>
  </si>
  <si>
    <t>ORD-103171</t>
  </si>
  <si>
    <t>CUST-00759</t>
  </si>
  <si>
    <t>ORD-103374</t>
  </si>
  <si>
    <t>ORD-103446</t>
  </si>
  <si>
    <t>ORD-103504</t>
  </si>
  <si>
    <t>ORD-103627</t>
  </si>
  <si>
    <t>ORD-103714</t>
  </si>
  <si>
    <t>ORD-103727</t>
  </si>
  <si>
    <t>ORD-103734</t>
  </si>
  <si>
    <t>ORD-103789</t>
  </si>
  <si>
    <t>ORD-103906</t>
  </si>
  <si>
    <t>ORD-103951</t>
  </si>
  <si>
    <t>ORD-103997</t>
  </si>
  <si>
    <t>ORD-104073</t>
  </si>
  <si>
    <t>ORD-104199</t>
  </si>
  <si>
    <t>ORD-104226</t>
  </si>
  <si>
    <t>ORD-104243</t>
  </si>
  <si>
    <t>ORD-104296</t>
  </si>
  <si>
    <t>CUST-02295</t>
  </si>
  <si>
    <t>ORD-104313</t>
  </si>
  <si>
    <t>CUST-02911</t>
  </si>
  <si>
    <t>ORD-104321</t>
  </si>
  <si>
    <t>ORD-104330</t>
  </si>
  <si>
    <t>CUST-03127</t>
  </si>
  <si>
    <t>ORD-104417</t>
  </si>
  <si>
    <t>CUST-01716</t>
  </si>
  <si>
    <t>ORD-104504</t>
  </si>
  <si>
    <t>ORD-104563</t>
  </si>
  <si>
    <t>ORD-104567</t>
  </si>
  <si>
    <t>ORD-104710</t>
  </si>
  <si>
    <t>ORD-104752</t>
  </si>
  <si>
    <t>CUST-02360</t>
  </si>
  <si>
    <t>ORD-100764</t>
  </si>
  <si>
    <t>ORD-101505</t>
  </si>
  <si>
    <t>ORD-102992</t>
  </si>
  <si>
    <t>ORD-103154</t>
  </si>
  <si>
    <t>ORD-104436</t>
  </si>
  <si>
    <t>ORD-100019</t>
  </si>
  <si>
    <t>ORD-100100</t>
  </si>
  <si>
    <t>ORD-100159</t>
  </si>
  <si>
    <t>ORD-100273</t>
  </si>
  <si>
    <t>CUST-01987</t>
  </si>
  <si>
    <t>ORD-100358</t>
  </si>
  <si>
    <t>ORD-100379</t>
  </si>
  <si>
    <t>ORD-100439</t>
  </si>
  <si>
    <t>CUST-02078</t>
  </si>
  <si>
    <t>ORD-100450</t>
  </si>
  <si>
    <t>ORD-100558</t>
  </si>
  <si>
    <t>ORD-100674</t>
  </si>
  <si>
    <t>ORD-100869</t>
  </si>
  <si>
    <t>CUST-02926</t>
  </si>
  <si>
    <t>ORD-100913</t>
  </si>
  <si>
    <t>ORD-100947</t>
  </si>
  <si>
    <t>ORD-101088</t>
  </si>
  <si>
    <t>ORD-101141</t>
  </si>
  <si>
    <t>ORD-101212</t>
  </si>
  <si>
    <t>CUST-02896</t>
  </si>
  <si>
    <t>ORD-101214</t>
  </si>
  <si>
    <t>CUST-02086</t>
  </si>
  <si>
    <t>ORD-101296</t>
  </si>
  <si>
    <t>ORD-101360</t>
  </si>
  <si>
    <t>ORD-101369</t>
  </si>
  <si>
    <t>ORD-101398</t>
  </si>
  <si>
    <t>ORD-101455</t>
  </si>
  <si>
    <t>CUST-01460</t>
  </si>
  <si>
    <t>ORD-101562</t>
  </si>
  <si>
    <t>ORD-101585</t>
  </si>
  <si>
    <t>CUST-00346</t>
  </si>
  <si>
    <t>ORD-101660</t>
  </si>
  <si>
    <t>ORD-101678</t>
  </si>
  <si>
    <t>ORD-101683</t>
  </si>
  <si>
    <t>ORD-101757</t>
  </si>
  <si>
    <t>ORD-101830</t>
  </si>
  <si>
    <t>ORD-101865</t>
  </si>
  <si>
    <t>ORD-101872</t>
  </si>
  <si>
    <t>ORD-101878</t>
  </si>
  <si>
    <t>CUST-01929</t>
  </si>
  <si>
    <t>ORD-101884</t>
  </si>
  <si>
    <t>ORD-101888</t>
  </si>
  <si>
    <t>ORD-102059</t>
  </si>
  <si>
    <t>ORD-102089</t>
  </si>
  <si>
    <t>CUST-02278</t>
  </si>
  <si>
    <t>ORD-102150</t>
  </si>
  <si>
    <t>ORD-102199</t>
  </si>
  <si>
    <t>ORD-102284</t>
  </si>
  <si>
    <t>CUST-02889</t>
  </si>
  <si>
    <t>ORD-102675</t>
  </si>
  <si>
    <t>ORD-102714</t>
  </si>
  <si>
    <t>CUST-03001</t>
  </si>
  <si>
    <t>ORD-102731</t>
  </si>
  <si>
    <t>CUST-02824</t>
  </si>
  <si>
    <t>ORD-102785</t>
  </si>
  <si>
    <t>ORD-102801</t>
  </si>
  <si>
    <t>CUST-03000</t>
  </si>
  <si>
    <t>ORD-102871</t>
  </si>
  <si>
    <t>ORD-103036</t>
  </si>
  <si>
    <t>ORD-103176</t>
  </si>
  <si>
    <t>ORD-103233</t>
  </si>
  <si>
    <t>ORD-103289</t>
  </si>
  <si>
    <t>ORD-103292</t>
  </si>
  <si>
    <t>ORD-103419</t>
  </si>
  <si>
    <t>ORD-103428</t>
  </si>
  <si>
    <t>ORD-103433</t>
  </si>
  <si>
    <t>ORD-103684</t>
  </si>
  <si>
    <t>ORD-103708</t>
  </si>
  <si>
    <t>ORD-103743</t>
  </si>
  <si>
    <t>ORD-103837</t>
  </si>
  <si>
    <t>CUST-02245</t>
  </si>
  <si>
    <t>ORD-103875</t>
  </si>
  <si>
    <t>ORD-103880</t>
  </si>
  <si>
    <t>CUST-01959</t>
  </si>
  <si>
    <t>ORD-103895</t>
  </si>
  <si>
    <t>ORD-104049</t>
  </si>
  <si>
    <t>ORD-104096</t>
  </si>
  <si>
    <t>ORD-104162</t>
  </si>
  <si>
    <t>ORD-104174</t>
  </si>
  <si>
    <t>ORD-104272</t>
  </si>
  <si>
    <t>ORD-104306</t>
  </si>
  <si>
    <t>CUST-00748</t>
  </si>
  <si>
    <t>ORD-104403</t>
  </si>
  <si>
    <t>ORD-104422</t>
  </si>
  <si>
    <t>CUST-02921</t>
  </si>
  <si>
    <t>ORD-104431</t>
  </si>
  <si>
    <t>ORD-104492</t>
  </si>
  <si>
    <t>ORD-104558</t>
  </si>
  <si>
    <t>ORD-104587</t>
  </si>
  <si>
    <t>CUST-02102</t>
  </si>
  <si>
    <t>ORD-104691</t>
  </si>
  <si>
    <t>CUST-03189</t>
  </si>
  <si>
    <t>ORD-104723</t>
  </si>
  <si>
    <t>ORD-104729</t>
  </si>
  <si>
    <t>ORD-104731</t>
  </si>
  <si>
    <t>CUST-01656</t>
  </si>
  <si>
    <t>ORD-100092</t>
  </si>
  <si>
    <t>ORD-100099</t>
  </si>
  <si>
    <t>ORD-100120</t>
  </si>
  <si>
    <t>ORD-100126</t>
  </si>
  <si>
    <t>CUST-01846</t>
  </si>
  <si>
    <t>ORD-100251</t>
  </si>
  <si>
    <t>ORD-100315</t>
  </si>
  <si>
    <t>ORD-100540</t>
  </si>
  <si>
    <t>ORD-100610</t>
  </si>
  <si>
    <t>ORD-100613</t>
  </si>
  <si>
    <t>CUST-00347</t>
  </si>
  <si>
    <t>ORD-100655</t>
  </si>
  <si>
    <t>CUST-03009</t>
  </si>
  <si>
    <t>ORD-100895</t>
  </si>
  <si>
    <t>CUST-01726</t>
  </si>
  <si>
    <t>ORD-100906</t>
  </si>
  <si>
    <t>CUST-00494</t>
  </si>
  <si>
    <t>ORD-100951</t>
  </si>
  <si>
    <t>CUST-01323</t>
  </si>
  <si>
    <t>ORD-100988</t>
  </si>
  <si>
    <t>ORD-101065</t>
  </si>
  <si>
    <t>ORD-101068</t>
  </si>
  <si>
    <t>ORD-101110</t>
  </si>
  <si>
    <t>ORD-101154</t>
  </si>
  <si>
    <t>ORD-101206</t>
  </si>
  <si>
    <t>ORD-101295</t>
  </si>
  <si>
    <t>ORD-101342</t>
  </si>
  <si>
    <t>ORD-101346</t>
  </si>
  <si>
    <t>ORD-101356</t>
  </si>
  <si>
    <t>ORD-101404</t>
  </si>
  <si>
    <t>ORD-101423</t>
  </si>
  <si>
    <t>CUST-00275</t>
  </si>
  <si>
    <t>ORD-101523</t>
  </si>
  <si>
    <t>ORD-101577</t>
  </si>
  <si>
    <t>ORD-101592</t>
  </si>
  <si>
    <t>CUST-02112</t>
  </si>
  <si>
    <t>ORD-101609</t>
  </si>
  <si>
    <t>ORD-101776</t>
  </si>
  <si>
    <t>ORD-101781</t>
  </si>
  <si>
    <t>ORD-101793</t>
  </si>
  <si>
    <t>CUST-00866</t>
  </si>
  <si>
    <t>ORD-101874</t>
  </si>
  <si>
    <t>ORD-101899</t>
  </si>
  <si>
    <t>ORD-101968</t>
  </si>
  <si>
    <t>ORD-102007</t>
  </si>
  <si>
    <t>ORD-102021</t>
  </si>
  <si>
    <t>ORD-102086</t>
  </si>
  <si>
    <t>ORD-102153</t>
  </si>
  <si>
    <t>ORD-102244</t>
  </si>
  <si>
    <t>ORD-102288</t>
  </si>
  <si>
    <t>ORD-102366</t>
  </si>
  <si>
    <t>CUST-02636</t>
  </si>
  <si>
    <t>ORD-102461</t>
  </si>
  <si>
    <t>ORD-102496</t>
  </si>
  <si>
    <t>ORD-102548</t>
  </si>
  <si>
    <t>ORD-102594</t>
  </si>
  <si>
    <t>ORD-102597</t>
  </si>
  <si>
    <t>ORD-102616</t>
  </si>
  <si>
    <t>CUST-02153</t>
  </si>
  <si>
    <t>ORD-102681</t>
  </si>
  <si>
    <t>ORD-102770</t>
  </si>
  <si>
    <t>ORD-102774</t>
  </si>
  <si>
    <t>ORD-102800</t>
  </si>
  <si>
    <t>CUST-02128</t>
  </si>
  <si>
    <t>ORD-102980</t>
  </si>
  <si>
    <t>ORD-103100</t>
  </si>
  <si>
    <t>ORD-103106</t>
  </si>
  <si>
    <t>CUST-00087</t>
  </si>
  <si>
    <t>ORD-103128</t>
  </si>
  <si>
    <t>ORD-103138</t>
  </si>
  <si>
    <t>ORD-103140</t>
  </si>
  <si>
    <t>ORD-103208</t>
  </si>
  <si>
    <t>ORD-103244</t>
  </si>
  <si>
    <t>CUST-01671</t>
  </si>
  <si>
    <t>ORD-103295</t>
  </si>
  <si>
    <t>ORD-103622</t>
  </si>
  <si>
    <t>ORD-103705</t>
  </si>
  <si>
    <t>ORD-103779</t>
  </si>
  <si>
    <t>ORD-103855</t>
  </si>
  <si>
    <t>ORD-103952</t>
  </si>
  <si>
    <t>ORD-104024</t>
  </si>
  <si>
    <t>ORD-104069</t>
  </si>
  <si>
    <t>CUST-01590</t>
  </si>
  <si>
    <t>ORD-104161</t>
  </si>
  <si>
    <t>ORD-104178</t>
  </si>
  <si>
    <t>ORD-104235</t>
  </si>
  <si>
    <t>ORD-104271</t>
  </si>
  <si>
    <t>ORD-104411</t>
  </si>
  <si>
    <t>CUST-01885</t>
  </si>
  <si>
    <t>ORD-104474</t>
  </si>
  <si>
    <t>ORD-104500</t>
  </si>
  <si>
    <t>ORD-104540</t>
  </si>
  <si>
    <t>ORD-104573</t>
  </si>
  <si>
    <t>ORD-104701</t>
  </si>
  <si>
    <t>ORD-104749</t>
  </si>
  <si>
    <t>ORD-104799</t>
  </si>
  <si>
    <t>CUST-03136</t>
  </si>
  <si>
    <t>ORD-100076</t>
  </si>
  <si>
    <t>ORD-100096</t>
  </si>
  <si>
    <t>ORD-100101</t>
  </si>
  <si>
    <t>ORD-100127</t>
  </si>
  <si>
    <t>CUST-00431</t>
  </si>
  <si>
    <t>ORD-100131</t>
  </si>
  <si>
    <t>ORD-100133</t>
  </si>
  <si>
    <t>ORD-100237</t>
  </si>
  <si>
    <t>ORD-100270</t>
  </si>
  <si>
    <t>CUST-00304</t>
  </si>
  <si>
    <t>ORD-100306</t>
  </si>
  <si>
    <t>ORD-100325</t>
  </si>
  <si>
    <t>ORD-100346</t>
  </si>
  <si>
    <t>ORD-100398</t>
  </si>
  <si>
    <t>ORD-100406</t>
  </si>
  <si>
    <t>ORD-100437</t>
  </si>
  <si>
    <t>CUST-00061</t>
  </si>
  <si>
    <t>ORD-100509</t>
  </si>
  <si>
    <t>ORD-100518</t>
  </si>
  <si>
    <t>ORD-100563</t>
  </si>
  <si>
    <t>ORD-100615</t>
  </si>
  <si>
    <t>ORD-100627</t>
  </si>
  <si>
    <t>CUST-02321</t>
  </si>
  <si>
    <t>ORD-100817</t>
  </si>
  <si>
    <t>ORD-100824</t>
  </si>
  <si>
    <t>CUST-03052</t>
  </si>
  <si>
    <t>ORD-100826</t>
  </si>
  <si>
    <t>ORD-100858</t>
  </si>
  <si>
    <t>ORD-100967</t>
  </si>
  <si>
    <t>ORD-101022</t>
  </si>
  <si>
    <t>CUST-02916</t>
  </si>
  <si>
    <t>ORD-101097</t>
  </si>
  <si>
    <t>ORD-101126</t>
  </si>
  <si>
    <t>ORD-101145</t>
  </si>
  <si>
    <t>CUST-02517</t>
  </si>
  <si>
    <t>ORD-101153</t>
  </si>
  <si>
    <t>ORD-101209</t>
  </si>
  <si>
    <t>ORD-101219</t>
  </si>
  <si>
    <t>CUST-03022</t>
  </si>
  <si>
    <t>ORD-101230</t>
  </si>
  <si>
    <t>CUST-02688</t>
  </si>
  <si>
    <t>ORD-101233</t>
  </si>
  <si>
    <t>CUST-00938</t>
  </si>
  <si>
    <t>ORD-101283</t>
  </si>
  <si>
    <t>CUST-00130</t>
  </si>
  <si>
    <t>ORD-101394</t>
  </si>
  <si>
    <t>ORD-101430</t>
  </si>
  <si>
    <t>ORD-101450</t>
  </si>
  <si>
    <t>CUST-02935</t>
  </si>
  <si>
    <t>ORD-101537</t>
  </si>
  <si>
    <t>ORD-101593</t>
  </si>
  <si>
    <t>ORD-101604</t>
  </si>
  <si>
    <t>ORD-101640</t>
  </si>
  <si>
    <t>ORD-101653</t>
  </si>
  <si>
    <t>CUST-02136</t>
  </si>
  <si>
    <t>ORD-101656</t>
  </si>
  <si>
    <t>ORD-101658</t>
  </si>
  <si>
    <t>ORD-101673</t>
  </si>
  <si>
    <t>ORD-101679</t>
  </si>
  <si>
    <t>ORD-101733</t>
  </si>
  <si>
    <t>CUST-00791</t>
  </si>
  <si>
    <t>ORD-101780</t>
  </si>
  <si>
    <t>ORD-101798</t>
  </si>
  <si>
    <t>ORD-101811</t>
  </si>
  <si>
    <t>CUST-01632</t>
  </si>
  <si>
    <t>ORD-101834</t>
  </si>
  <si>
    <t>CUST-00319</t>
  </si>
  <si>
    <t>ORD-101870</t>
  </si>
  <si>
    <t>CUST-01481</t>
  </si>
  <si>
    <t>ORD-101896</t>
  </si>
  <si>
    <t>ORD-101975</t>
  </si>
  <si>
    <t>ORD-101977</t>
  </si>
  <si>
    <t>ORD-102001</t>
  </si>
  <si>
    <t>ORD-102044</t>
  </si>
  <si>
    <t>ORD-102105</t>
  </si>
  <si>
    <t>ORD-102139</t>
  </si>
  <si>
    <t>CUST-00837</t>
  </si>
  <si>
    <t>ORD-102202</t>
  </si>
  <si>
    <t>CUST-00119</t>
  </si>
  <si>
    <t>ORD-102217</t>
  </si>
  <si>
    <t>ORD-102231</t>
  </si>
  <si>
    <t>ORD-102263</t>
  </si>
  <si>
    <t>ORD-102268</t>
  </si>
  <si>
    <t>ORD-102304</t>
  </si>
  <si>
    <t>ORD-102337</t>
  </si>
  <si>
    <t>CUST-02825</t>
  </si>
  <si>
    <t>ORD-102363</t>
  </si>
  <si>
    <t>CUST-02001</t>
  </si>
  <si>
    <t>ORD-102382</t>
  </si>
  <si>
    <t>ORD-102500</t>
  </si>
  <si>
    <t>ORD-102519</t>
  </si>
  <si>
    <t>ORD-102599</t>
  </si>
  <si>
    <t>ORD-102629</t>
  </si>
  <si>
    <t>ORD-102634</t>
  </si>
  <si>
    <t>ORD-102740</t>
  </si>
  <si>
    <t>ORD-102806</t>
  </si>
  <si>
    <t>ORD-102883</t>
  </si>
  <si>
    <t>CUST-00073</t>
  </si>
  <si>
    <t>ORD-102906</t>
  </si>
  <si>
    <t>ORD-102913</t>
  </si>
  <si>
    <t>ORD-102974</t>
  </si>
  <si>
    <t>ORD-103041</t>
  </si>
  <si>
    <t>ORD-103113</t>
  </si>
  <si>
    <t>ORD-103129</t>
  </si>
  <si>
    <t>ORD-103143</t>
  </si>
  <si>
    <t>ORD-103170</t>
  </si>
  <si>
    <t>ORD-103183</t>
  </si>
  <si>
    <t>CUST-01472</t>
  </si>
  <si>
    <t>ORD-103189</t>
  </si>
  <si>
    <t>ORD-103217</t>
  </si>
  <si>
    <t>ORD-103230</t>
  </si>
  <si>
    <t>ORD-103238</t>
  </si>
  <si>
    <t>ORD-103275</t>
  </si>
  <si>
    <t>CUST-00794</t>
  </si>
  <si>
    <t>ORD-103344</t>
  </si>
  <si>
    <t>CUST-01637</t>
  </si>
  <si>
    <t>ORD-103360</t>
  </si>
  <si>
    <t>ORD-103400</t>
  </si>
  <si>
    <t>ORD-103410</t>
  </si>
  <si>
    <t>ORD-103499</t>
  </si>
  <si>
    <t>ORD-103545</t>
  </si>
  <si>
    <t>ORD-103561</t>
  </si>
  <si>
    <t>CUST-02298</t>
  </si>
  <si>
    <t>ORD-103571</t>
  </si>
  <si>
    <t>ORD-103611</t>
  </si>
  <si>
    <t>ORD-103626</t>
  </si>
  <si>
    <t>CUST-02266</t>
  </si>
  <si>
    <t>ORD-103631</t>
  </si>
  <si>
    <t>ORD-103720</t>
  </si>
  <si>
    <t>ORD-103730</t>
  </si>
  <si>
    <t>ORD-103745</t>
  </si>
  <si>
    <t>ORD-103753</t>
  </si>
  <si>
    <t>ORD-103773</t>
  </si>
  <si>
    <t>ORD-103876</t>
  </si>
  <si>
    <t>ORD-103878</t>
  </si>
  <si>
    <t>ORD-103948</t>
  </si>
  <si>
    <t>CUST-00147</t>
  </si>
  <si>
    <t>ORD-103988</t>
  </si>
  <si>
    <t>ORD-103989</t>
  </si>
  <si>
    <t>ORD-103991</t>
  </si>
  <si>
    <t>ORD-104000</t>
  </si>
  <si>
    <t>ORD-104001</t>
  </si>
  <si>
    <t>ORD-104013</t>
  </si>
  <si>
    <t>ORD-104028</t>
  </si>
  <si>
    <t>CUST-03142</t>
  </si>
  <si>
    <t>ORD-104047</t>
  </si>
  <si>
    <t>CUST-01416</t>
  </si>
  <si>
    <t>ORD-104172</t>
  </si>
  <si>
    <t>ORD-104184</t>
  </si>
  <si>
    <t>CUST-02834</t>
  </si>
  <si>
    <t>ORD-104349</t>
  </si>
  <si>
    <t>ORD-104358</t>
  </si>
  <si>
    <t>ORD-104361</t>
  </si>
  <si>
    <t>CUST-01729</t>
  </si>
  <si>
    <t>ORD-104366</t>
  </si>
  <si>
    <t>ORD-104398</t>
  </si>
  <si>
    <t>ORD-104399</t>
  </si>
  <si>
    <t>CUST-02007</t>
  </si>
  <si>
    <t>ORD-104423</t>
  </si>
  <si>
    <t>ORD-104437</t>
  </si>
  <si>
    <t>ORD-104445</t>
  </si>
  <si>
    <t>CUST-01576</t>
  </si>
  <si>
    <t>ORD-104466</t>
  </si>
  <si>
    <t>CUST-03085</t>
  </si>
  <si>
    <t>ORD-104473</t>
  </si>
  <si>
    <t>ORD-104479</t>
  </si>
  <si>
    <t>ORD-104482</t>
  </si>
  <si>
    <t>CUST-00777</t>
  </si>
  <si>
    <t>ORD-104484</t>
  </si>
  <si>
    <t>ORD-104486</t>
  </si>
  <si>
    <t>CUST-01401</t>
  </si>
  <si>
    <t>ORD-104503</t>
  </si>
  <si>
    <t>ORD-104508</t>
  </si>
  <si>
    <t>ORD-104511</t>
  </si>
  <si>
    <t>CUST-01448</t>
  </si>
  <si>
    <t>ORD-104514</t>
  </si>
  <si>
    <t>CUST-03179</t>
  </si>
  <si>
    <t>ORD-104522</t>
  </si>
  <si>
    <t>ORD-104532</t>
  </si>
  <si>
    <t>ORD-104534</t>
  </si>
  <si>
    <t>ORD-104551</t>
  </si>
  <si>
    <t>CUST-01942</t>
  </si>
  <si>
    <t>ORD-104591</t>
  </si>
  <si>
    <t>ORD-104593</t>
  </si>
  <si>
    <t>ORD-104643</t>
  </si>
  <si>
    <t>CUST-02307</t>
  </si>
  <si>
    <t>ORD-104653</t>
  </si>
  <si>
    <t>ORD-104656</t>
  </si>
  <si>
    <t>CUST-02634</t>
  </si>
  <si>
    <t>ORD-104767</t>
  </si>
  <si>
    <t>ORD-104817</t>
  </si>
  <si>
    <t>ORD-100077</t>
  </si>
  <si>
    <t>ORD-100241</t>
  </si>
  <si>
    <t>ORD-100264</t>
  </si>
  <si>
    <t>ORD-100276</t>
  </si>
  <si>
    <t>ORD-100278</t>
  </si>
  <si>
    <t>CUST-01262</t>
  </si>
  <si>
    <t>ORD-100291</t>
  </si>
  <si>
    <t>ORD-100296</t>
  </si>
  <si>
    <t>ORD-100362</t>
  </si>
  <si>
    <t>ORD-100442</t>
  </si>
  <si>
    <t>ORD-100444</t>
  </si>
  <si>
    <t>CUST-01525</t>
  </si>
  <si>
    <t>ORD-100449</t>
  </si>
  <si>
    <t>ORD-100467</t>
  </si>
  <si>
    <t>ORD-100581</t>
  </si>
  <si>
    <t>CUST-00246</t>
  </si>
  <si>
    <t>ORD-100596</t>
  </si>
  <si>
    <t>ORD-100608</t>
  </si>
  <si>
    <t>ORD-100630</t>
  </si>
  <si>
    <t>CUST-01210</t>
  </si>
  <si>
    <t>ORD-100631</t>
  </si>
  <si>
    <t>CUST-02848</t>
  </si>
  <si>
    <t>ORD-100641</t>
  </si>
  <si>
    <t>ORD-100647</t>
  </si>
  <si>
    <t>ORD-100708</t>
  </si>
  <si>
    <t>ORD-100761</t>
  </si>
  <si>
    <t>ORD-100781</t>
  </si>
  <si>
    <t>CUST-02803</t>
  </si>
  <si>
    <t>ORD-100783</t>
  </si>
  <si>
    <t>ORD-100832</t>
  </si>
  <si>
    <t>ORD-100836</t>
  </si>
  <si>
    <t>ORD-100843</t>
  </si>
  <si>
    <t>ORD-100931</t>
  </si>
  <si>
    <t>ORD-100936</t>
  </si>
  <si>
    <t>CUST-02679</t>
  </si>
  <si>
    <t>ORD-101006</t>
  </si>
  <si>
    <t>CUST-03080</t>
  </si>
  <si>
    <t>ORD-101029</t>
  </si>
  <si>
    <t>ORD-101034</t>
  </si>
  <si>
    <t>CUST-01602</t>
  </si>
  <si>
    <t>ORD-101042</t>
  </si>
  <si>
    <t>ORD-101076</t>
  </si>
  <si>
    <t>ORD-101087</t>
  </si>
  <si>
    <t>CUST-03050</t>
  </si>
  <si>
    <t>ORD-101174</t>
  </si>
  <si>
    <t>ORD-101201</t>
  </si>
  <si>
    <t>ORD-101253</t>
  </si>
  <si>
    <t>ORD-101265</t>
  </si>
  <si>
    <t>ORD-101281</t>
  </si>
  <si>
    <t>CUST-02681</t>
  </si>
  <si>
    <t>ORD-101411</t>
  </si>
  <si>
    <t>ORD-101426</t>
  </si>
  <si>
    <t>ORD-101438</t>
  </si>
  <si>
    <t>CUST-01024</t>
  </si>
  <si>
    <t>ORD-101456</t>
  </si>
  <si>
    <t>CUST-01234</t>
  </si>
  <si>
    <t>ORD-101461</t>
  </si>
  <si>
    <t>ORD-101476</t>
  </si>
  <si>
    <t>CUST-00746</t>
  </si>
  <si>
    <t>ORD-101499</t>
  </si>
  <si>
    <t>ORD-101517</t>
  </si>
  <si>
    <t>ORD-101519</t>
  </si>
  <si>
    <t>ORD-101530</t>
  </si>
  <si>
    <t>CUST-00470</t>
  </si>
  <si>
    <t>ORD-101549</t>
  </si>
  <si>
    <t>ORD-101559</t>
  </si>
  <si>
    <t>ORD-101634</t>
  </si>
  <si>
    <t>CUST-01609</t>
  </si>
  <si>
    <t>ORD-101680</t>
  </si>
  <si>
    <t>ORD-101694</t>
  </si>
  <si>
    <t>ORD-101729</t>
  </si>
  <si>
    <t>CUST-01358</t>
  </si>
  <si>
    <t>ORD-101771</t>
  </si>
  <si>
    <t>ORD-101801</t>
  </si>
  <si>
    <t>ORD-101806</t>
  </si>
  <si>
    <t>CUST-02518</t>
  </si>
  <si>
    <t>ORD-101820</t>
  </si>
  <si>
    <t>CUST-00233</t>
  </si>
  <si>
    <t>ORD-101850</t>
  </si>
  <si>
    <t>ORD-101855</t>
  </si>
  <si>
    <t>CUST-02284</t>
  </si>
  <si>
    <t>ORD-101856</t>
  </si>
  <si>
    <t>ORD-101871</t>
  </si>
  <si>
    <t>ORD-101875</t>
  </si>
  <si>
    <t>ORD-101898</t>
  </si>
  <si>
    <t>ORD-101923</t>
  </si>
  <si>
    <t>ORD-101952</t>
  </si>
  <si>
    <t>CUST-01415</t>
  </si>
  <si>
    <t>ORD-101994</t>
  </si>
  <si>
    <t>CUST-01659</t>
  </si>
  <si>
    <t>ORD-102003</t>
  </si>
  <si>
    <t>ORD-102038</t>
  </si>
  <si>
    <t>ORD-102061</t>
  </si>
  <si>
    <t>CUST-01841</t>
  </si>
  <si>
    <t>ORD-102065</t>
  </si>
  <si>
    <t>CUST-00648</t>
  </si>
  <si>
    <t>ORD-102087</t>
  </si>
  <si>
    <t>ORD-102114</t>
  </si>
  <si>
    <t>CUST-02299</t>
  </si>
  <si>
    <t>ORD-102129</t>
  </si>
  <si>
    <t>ORD-102189</t>
  </si>
  <si>
    <t>ORD-102198</t>
  </si>
  <si>
    <t>ORD-102234</t>
  </si>
  <si>
    <t>ORD-102240</t>
  </si>
  <si>
    <t>CUST-01264</t>
  </si>
  <si>
    <t>ORD-102252</t>
  </si>
  <si>
    <t>ORD-102321</t>
  </si>
  <si>
    <t>ORD-102326</t>
  </si>
  <si>
    <t>ORD-102333</t>
  </si>
  <si>
    <t>ORD-102336</t>
  </si>
  <si>
    <t>CUST-02992</t>
  </si>
  <si>
    <t>ORD-102347</t>
  </si>
  <si>
    <t>ORD-102373</t>
  </si>
  <si>
    <t>CUST-00238</t>
  </si>
  <si>
    <t>ORD-102401</t>
  </si>
  <si>
    <t>CUST-03015</t>
  </si>
  <si>
    <t>ORD-102455</t>
  </si>
  <si>
    <t>ORD-102556</t>
  </si>
  <si>
    <t>ORD-102569</t>
  </si>
  <si>
    <t>ORD-102598</t>
  </si>
  <si>
    <t>ORD-102705</t>
  </si>
  <si>
    <t>ORD-102713</t>
  </si>
  <si>
    <t>ORD-102832</t>
  </si>
  <si>
    <t>CUST-02693</t>
  </si>
  <si>
    <t>ORD-102844</t>
  </si>
  <si>
    <t>ORD-102851</t>
  </si>
  <si>
    <t>ORD-102943</t>
  </si>
  <si>
    <t>CUST-03002</t>
  </si>
  <si>
    <t>ORD-103000</t>
  </si>
  <si>
    <t>ORD-103029</t>
  </si>
  <si>
    <t>ORD-103045</t>
  </si>
  <si>
    <t>CUST-01280</t>
  </si>
  <si>
    <t>ORD-103052</t>
  </si>
  <si>
    <t>ORD-103097</t>
  </si>
  <si>
    <t>ORD-103193</t>
  </si>
  <si>
    <t>ORD-103204</t>
  </si>
  <si>
    <t>ORD-103205</t>
  </si>
  <si>
    <t>ORD-103252</t>
  </si>
  <si>
    <t>ORD-103263</t>
  </si>
  <si>
    <t>ORD-103290</t>
  </si>
  <si>
    <t>ORD-103315</t>
  </si>
  <si>
    <t>ORD-103327</t>
  </si>
  <si>
    <t>ORD-103333</t>
  </si>
  <si>
    <t>ORD-103342</t>
  </si>
  <si>
    <t>CUST-01547</t>
  </si>
  <si>
    <t>ORD-103372</t>
  </si>
  <si>
    <t>CUST-01554</t>
  </si>
  <si>
    <t>ORD-103395</t>
  </si>
  <si>
    <t>ORD-103417</t>
  </si>
  <si>
    <t>ORD-103457</t>
  </si>
  <si>
    <t>ORD-103482</t>
  </si>
  <si>
    <t>ORD-103495</t>
  </si>
  <si>
    <t>CUST-00016</t>
  </si>
  <si>
    <t>ORD-103514</t>
  </si>
  <si>
    <t>ORD-103539</t>
  </si>
  <si>
    <t>ORD-103689</t>
  </si>
  <si>
    <t>ORD-103704</t>
  </si>
  <si>
    <t>ORD-103706</t>
  </si>
  <si>
    <t>ORD-103733</t>
  </si>
  <si>
    <t>ORD-103742</t>
  </si>
  <si>
    <t>ORD-103770</t>
  </si>
  <si>
    <t>ORD-103776</t>
  </si>
  <si>
    <t>CUST-02509</t>
  </si>
  <si>
    <t>ORD-103843</t>
  </si>
  <si>
    <t>CUST-00755</t>
  </si>
  <si>
    <t>ORD-103874</t>
  </si>
  <si>
    <t>ORD-103890</t>
  </si>
  <si>
    <t>ORD-103944</t>
  </si>
  <si>
    <t>ORD-103973</t>
  </si>
  <si>
    <t>CUST-01966</t>
  </si>
  <si>
    <t>ORD-104019</t>
  </si>
  <si>
    <t>ORD-104035</t>
  </si>
  <si>
    <t>ORD-104077</t>
  </si>
  <si>
    <t>ORD-104109</t>
  </si>
  <si>
    <t>CUST-03126</t>
  </si>
  <si>
    <t>ORD-104154</t>
  </si>
  <si>
    <t>CUST-01714</t>
  </si>
  <si>
    <t>ORD-104173</t>
  </si>
  <si>
    <t>CUST-02066</t>
  </si>
  <si>
    <t>ORD-104239</t>
  </si>
  <si>
    <t>ORD-104255</t>
  </si>
  <si>
    <t>CUST-02818</t>
  </si>
  <si>
    <t>ORD-104256</t>
  </si>
  <si>
    <t>ORD-104266</t>
  </si>
  <si>
    <t>CUST-01701</t>
  </si>
  <si>
    <t>ORD-104284</t>
  </si>
  <si>
    <t>ORD-104295</t>
  </si>
  <si>
    <t>ORD-104348</t>
  </si>
  <si>
    <t>ORD-104367</t>
  </si>
  <si>
    <t>ORD-104372</t>
  </si>
  <si>
    <t>ORD-104381</t>
  </si>
  <si>
    <t>CUST-00180</t>
  </si>
  <si>
    <t>ORD-104393</t>
  </si>
  <si>
    <t>ORD-104490</t>
  </si>
  <si>
    <t>ORD-104518</t>
  </si>
  <si>
    <t>ORD-104521</t>
  </si>
  <si>
    <t>ORD-104549</t>
  </si>
  <si>
    <t>ORD-104574</t>
  </si>
  <si>
    <t>ORD-104580</t>
  </si>
  <si>
    <t>CUST-02954</t>
  </si>
  <si>
    <t>ORD-104675</t>
  </si>
  <si>
    <t>ORD-104693</t>
  </si>
  <si>
    <t>CUST-01756</t>
  </si>
  <si>
    <t>ORD-104733</t>
  </si>
  <si>
    <t>ORD-104815</t>
  </si>
  <si>
    <t>ORD-104820</t>
  </si>
  <si>
    <t>CUST-02746</t>
  </si>
  <si>
    <t>ORD-104822</t>
  </si>
  <si>
    <t>ORD-100027</t>
  </si>
  <si>
    <t>CUST-00984</t>
  </si>
  <si>
    <t>ORD-100045</t>
  </si>
  <si>
    <t>ORD-100070</t>
  </si>
  <si>
    <t>CUST-00846</t>
  </si>
  <si>
    <t>ORD-100079</t>
  </si>
  <si>
    <t>ORD-100149</t>
  </si>
  <si>
    <t>ORD-100193</t>
  </si>
  <si>
    <t>ORD-100198</t>
  </si>
  <si>
    <t>ORD-100244</t>
  </si>
  <si>
    <t>ORD-100252</t>
  </si>
  <si>
    <t>ORD-100255</t>
  </si>
  <si>
    <t>ORD-100275</t>
  </si>
  <si>
    <t>ORD-100312</t>
  </si>
  <si>
    <t>ORD-100338</t>
  </si>
  <si>
    <t>ORD-100354</t>
  </si>
  <si>
    <t>CUST-01765</t>
  </si>
  <si>
    <t>ORD-100371</t>
  </si>
  <si>
    <t>ORD-100375</t>
  </si>
  <si>
    <t>CUST-00701</t>
  </si>
  <si>
    <t>ORD-100445</t>
  </si>
  <si>
    <t>CUST-01474</t>
  </si>
  <si>
    <t>ORD-100451</t>
  </si>
  <si>
    <t>ORD-100503</t>
  </si>
  <si>
    <t>ORD-100538</t>
  </si>
  <si>
    <t>ORD-100544</t>
  </si>
  <si>
    <t>CUST-02030</t>
  </si>
  <si>
    <t>ORD-100560</t>
  </si>
  <si>
    <t>ORD-100591</t>
  </si>
  <si>
    <t>CUST-01392</t>
  </si>
  <si>
    <t>ORD-100601</t>
  </si>
  <si>
    <t>ORD-100622</t>
  </si>
  <si>
    <t>ORD-100683</t>
  </si>
  <si>
    <t>ORD-100703</t>
  </si>
  <si>
    <t>CUST-01804</t>
  </si>
  <si>
    <t>ORD-100712</t>
  </si>
  <si>
    <t>ORD-100722</t>
  </si>
  <si>
    <t>ORD-100789</t>
  </si>
  <si>
    <t>CUST-01114</t>
  </si>
  <si>
    <t>ORD-100814</t>
  </si>
  <si>
    <t>ORD-100849</t>
  </si>
  <si>
    <t>CUST-00966</t>
  </si>
  <si>
    <t>ORD-100860</t>
  </si>
  <si>
    <t>CUST-01305</t>
  </si>
  <si>
    <t>ORD-100938</t>
  </si>
  <si>
    <t>ORD-100986</t>
  </si>
  <si>
    <t>ORD-100999</t>
  </si>
  <si>
    <t>ORD-101050</t>
  </si>
  <si>
    <t>ORD-101096</t>
  </si>
  <si>
    <t>ORD-101105</t>
  </si>
  <si>
    <t>ORD-101111</t>
  </si>
  <si>
    <t>CUST-00653</t>
  </si>
  <si>
    <t>ORD-101177</t>
  </si>
  <si>
    <t>ORD-101266</t>
  </si>
  <si>
    <t>CUST-01109</t>
  </si>
  <si>
    <t>ORD-101278</t>
  </si>
  <si>
    <t>ORD-101358</t>
  </si>
  <si>
    <t>ORD-101374</t>
  </si>
  <si>
    <t>CUST-00939</t>
  </si>
  <si>
    <t>ORD-101392</t>
  </si>
  <si>
    <t>ORD-101393</t>
  </si>
  <si>
    <t>CUST-01149</t>
  </si>
  <si>
    <t>ORD-101452</t>
  </si>
  <si>
    <t>ORD-101453</t>
  </si>
  <si>
    <t>CUST-00941</t>
  </si>
  <si>
    <t>ORD-101512</t>
  </si>
  <si>
    <t>ORD-101534</t>
  </si>
  <si>
    <t>ORD-101556</t>
  </si>
  <si>
    <t>ORD-101563</t>
  </si>
  <si>
    <t>ORD-101570</t>
  </si>
  <si>
    <t>ORD-101576</t>
  </si>
  <si>
    <t>ORD-101598</t>
  </si>
  <si>
    <t>ORD-101690</t>
  </si>
  <si>
    <t>ORD-101697</t>
  </si>
  <si>
    <t>ORD-101737</t>
  </si>
  <si>
    <t>ORD-101739</t>
  </si>
  <si>
    <t>ORD-101844</t>
  </si>
  <si>
    <t>ORD-101924</t>
  </si>
  <si>
    <t>CUST-02991</t>
  </si>
  <si>
    <t>ORD-101935</t>
  </si>
  <si>
    <t>ORD-101966</t>
  </si>
  <si>
    <t>ORD-102012</t>
  </si>
  <si>
    <t>ORD-102029</t>
  </si>
  <si>
    <t>ORD-102039</t>
  </si>
  <si>
    <t>ORD-102043</t>
  </si>
  <si>
    <t>ORD-102063</t>
  </si>
  <si>
    <t>ORD-102081</t>
  </si>
  <si>
    <t>CUST-01533</t>
  </si>
  <si>
    <t>ORD-102092</t>
  </si>
  <si>
    <t>ORD-102125</t>
  </si>
  <si>
    <t>CUST-01410</t>
  </si>
  <si>
    <t>ORD-102135</t>
  </si>
  <si>
    <t>CUST-03103</t>
  </si>
  <si>
    <t>ORD-102143</t>
  </si>
  <si>
    <t>ORD-102148</t>
  </si>
  <si>
    <t>ORD-102193</t>
  </si>
  <si>
    <t>ORD-102265</t>
  </si>
  <si>
    <t>ORD-102272</t>
  </si>
  <si>
    <t>ORD-102318</t>
  </si>
  <si>
    <t>CUST-00982</t>
  </si>
  <si>
    <t>ORD-102345</t>
  </si>
  <si>
    <t>ORD-102355</t>
  </si>
  <si>
    <t>ORD-102375</t>
  </si>
  <si>
    <t>ORD-102379</t>
  </si>
  <si>
    <t>ORD-102469</t>
  </si>
  <si>
    <t>ORD-102524</t>
  </si>
  <si>
    <t>ORD-102531</t>
  </si>
  <si>
    <t>ORD-102673</t>
  </si>
  <si>
    <t>ORD-102676</t>
  </si>
  <si>
    <t>ORD-102702</t>
  </si>
  <si>
    <t>ORD-102741</t>
  </si>
  <si>
    <t>ORD-102756</t>
  </si>
  <si>
    <t>ORD-102766</t>
  </si>
  <si>
    <t>CUST-02511</t>
  </si>
  <si>
    <t>ORD-102767</t>
  </si>
  <si>
    <t>ORD-102869</t>
  </si>
  <si>
    <t>ORD-102882</t>
  </si>
  <si>
    <t>ORD-102902</t>
  </si>
  <si>
    <t>CUST-00669</t>
  </si>
  <si>
    <t>ORD-102925</t>
  </si>
  <si>
    <t>CUST-02614</t>
  </si>
  <si>
    <t>ORD-102933</t>
  </si>
  <si>
    <t>ORD-103091</t>
  </si>
  <si>
    <t>ORD-103136</t>
  </si>
  <si>
    <t>CUST-00274</t>
  </si>
  <si>
    <t>ORD-103164</t>
  </si>
  <si>
    <t>CUST-01505</t>
  </si>
  <si>
    <t>ORD-103182</t>
  </si>
  <si>
    <t>ORD-103201</t>
  </si>
  <si>
    <t>ORD-103220</t>
  </si>
  <si>
    <t>ORD-103249</t>
  </si>
  <si>
    <t>ORD-103297</t>
  </si>
  <si>
    <t>CUST-03176</t>
  </si>
  <si>
    <t>ORD-103311</t>
  </si>
  <si>
    <t>CUST-01690</t>
  </si>
  <si>
    <t>ORD-103329</t>
  </si>
  <si>
    <t>ORD-103368</t>
  </si>
  <si>
    <t>ORD-103411</t>
  </si>
  <si>
    <t>ORD-103429</t>
  </si>
  <si>
    <t>ORD-103475</t>
  </si>
  <si>
    <t>ORD-103476</t>
  </si>
  <si>
    <t>ORD-103491</t>
  </si>
  <si>
    <t>ORD-103537</t>
  </si>
  <si>
    <t>ORD-103573</t>
  </si>
  <si>
    <t>ORD-103605</t>
  </si>
  <si>
    <t>ORD-103606</t>
  </si>
  <si>
    <t>ORD-103610</t>
  </si>
  <si>
    <t>ORD-103639</t>
  </si>
  <si>
    <t>ORD-103685</t>
  </si>
  <si>
    <t>ORD-103707</t>
  </si>
  <si>
    <t>ORD-103751</t>
  </si>
  <si>
    <t>ORD-103752</t>
  </si>
  <si>
    <t>ORD-103766</t>
  </si>
  <si>
    <t>CUST-01388</t>
  </si>
  <si>
    <t>ORD-103780</t>
  </si>
  <si>
    <t>ORD-103784</t>
  </si>
  <si>
    <t>CUST-01653</t>
  </si>
  <si>
    <t>ORD-103785</t>
  </si>
  <si>
    <t>CUST-02535</t>
  </si>
  <si>
    <t>ORD-103887</t>
  </si>
  <si>
    <t>ORD-103983</t>
  </si>
  <si>
    <t>CUST-02083</t>
  </si>
  <si>
    <t>ORD-104030</t>
  </si>
  <si>
    <t>ORD-104092</t>
  </si>
  <si>
    <t>CUST-01056</t>
  </si>
  <si>
    <t>ORD-104122</t>
  </si>
  <si>
    <t>ORD-104130</t>
  </si>
  <si>
    <t>ORD-104185</t>
  </si>
  <si>
    <t>ORD-104211</t>
  </si>
  <si>
    <t>ORD-104232</t>
  </si>
  <si>
    <t>ORD-104242</t>
  </si>
  <si>
    <t>ORD-104267</t>
  </si>
  <si>
    <t>ORD-104274</t>
  </si>
  <si>
    <t>CUST-01883</t>
  </si>
  <si>
    <t>ORD-104278</t>
  </si>
  <si>
    <t>ORD-104315</t>
  </si>
  <si>
    <t>ORD-104327</t>
  </si>
  <si>
    <t>ORD-104331</t>
  </si>
  <si>
    <t>CUST-02382</t>
  </si>
  <si>
    <t>ORD-104336</t>
  </si>
  <si>
    <t>ORD-104346</t>
  </si>
  <si>
    <t>CUST-01829</t>
  </si>
  <si>
    <t>ORD-104347</t>
  </si>
  <si>
    <t>ORD-104354</t>
  </si>
  <si>
    <t>ORD-104357</t>
  </si>
  <si>
    <t>ORD-104386</t>
  </si>
  <si>
    <t>ORD-104413</t>
  </si>
  <si>
    <t>CUST-01022</t>
  </si>
  <si>
    <t>ORD-104433</t>
  </si>
  <si>
    <t>CUST-02089</t>
  </si>
  <si>
    <t>ORD-104455</t>
  </si>
  <si>
    <t>ORD-104458</t>
  </si>
  <si>
    <t>ORD-104501</t>
  </si>
  <si>
    <t>CUST-01506</t>
  </si>
  <si>
    <t>ORD-104523</t>
  </si>
  <si>
    <t>ORD-104547</t>
  </si>
  <si>
    <t>ORD-104550</t>
  </si>
  <si>
    <t>ORD-104613</t>
  </si>
  <si>
    <t>ORD-104622</t>
  </si>
  <si>
    <t>CUST-00418</t>
  </si>
  <si>
    <t>ORD-104673</t>
  </si>
  <si>
    <t>ORD-104722</t>
  </si>
  <si>
    <t>ORD-104754</t>
  </si>
  <si>
    <t>ORD-104769</t>
  </si>
  <si>
    <t>ORD-104784</t>
  </si>
  <si>
    <t>ORD-100038</t>
  </si>
  <si>
    <t>ORD-100053</t>
  </si>
  <si>
    <t>ORD-100058</t>
  </si>
  <si>
    <t>ORD-100059</t>
  </si>
  <si>
    <t>ORD-100062</t>
  </si>
  <si>
    <t>ORD-100071</t>
  </si>
  <si>
    <t>ORD-100082</t>
  </si>
  <si>
    <t>ORD-100098</t>
  </si>
  <si>
    <t>ORD-100105</t>
  </si>
  <si>
    <t>ORD-100113</t>
  </si>
  <si>
    <t>ORD-100162</t>
  </si>
  <si>
    <t>ORD-100217</t>
  </si>
  <si>
    <t>CUST-02392</t>
  </si>
  <si>
    <t>ORD-100233</t>
  </si>
  <si>
    <t>CUST-02402</t>
  </si>
  <si>
    <t>ORD-100257</t>
  </si>
  <si>
    <t>CUST-00534</t>
  </si>
  <si>
    <t>ORD-100265</t>
  </si>
  <si>
    <t>ORD-100268</t>
  </si>
  <si>
    <t>ORD-100269</t>
  </si>
  <si>
    <t>ORD-100316</t>
  </si>
  <si>
    <t>ORD-100347</t>
  </si>
  <si>
    <t>ORD-100364</t>
  </si>
  <si>
    <t>ORD-100368</t>
  </si>
  <si>
    <t>ORD-100377</t>
  </si>
  <si>
    <t>ORD-100378</t>
  </si>
  <si>
    <t>CUST-02611</t>
  </si>
  <si>
    <t>ORD-100415</t>
  </si>
  <si>
    <t>ORD-100421</t>
  </si>
  <si>
    <t>ORD-100426</t>
  </si>
  <si>
    <t>ORD-100433</t>
  </si>
  <si>
    <t>ORD-100522</t>
  </si>
  <si>
    <t>ORD-100545</t>
  </si>
  <si>
    <t>ORD-100594</t>
  </si>
  <si>
    <t>ORD-100640</t>
  </si>
  <si>
    <t>ORD-100650</t>
  </si>
  <si>
    <t>ORD-100669</t>
  </si>
  <si>
    <t>ORD-100679</t>
  </si>
  <si>
    <t>ORD-100698</t>
  </si>
  <si>
    <t>CUST-00095</t>
  </si>
  <si>
    <t>ORD-100709</t>
  </si>
  <si>
    <t>ORD-100715</t>
  </si>
  <si>
    <t>ORD-100773</t>
  </si>
  <si>
    <t>CUST-01408</t>
  </si>
  <si>
    <t>ORD-100807</t>
  </si>
  <si>
    <t>ORD-100808</t>
  </si>
  <si>
    <t>ORD-100819</t>
  </si>
  <si>
    <t>CUST-01242</t>
  </si>
  <si>
    <t>ORD-100830</t>
  </si>
  <si>
    <t>ORD-100834</t>
  </si>
  <si>
    <t>CUST-00789</t>
  </si>
  <si>
    <t>ORD-100960</t>
  </si>
  <si>
    <t>ORD-100996</t>
  </si>
  <si>
    <t>ORD-101031</t>
  </si>
  <si>
    <t>ORD-101046</t>
  </si>
  <si>
    <t>ORD-101064</t>
  </si>
  <si>
    <t>CUST-02526</t>
  </si>
  <si>
    <t>ORD-101160</t>
  </si>
  <si>
    <t>ORD-101181</t>
  </si>
  <si>
    <t>CUST-02650</t>
  </si>
  <si>
    <t>ORD-101277</t>
  </si>
  <si>
    <t>ORD-101355</t>
  </si>
  <si>
    <t>ORD-101379</t>
  </si>
  <si>
    <t>ORD-101429</t>
  </si>
  <si>
    <t>CUST-03011</t>
  </si>
  <si>
    <t>ORD-101535</t>
  </si>
  <si>
    <t>ORD-101580</t>
  </si>
  <si>
    <t>ORD-101607</t>
  </si>
  <si>
    <t>CUST-01221</t>
  </si>
  <si>
    <t>ORD-101626</t>
  </si>
  <si>
    <t>ORD-101689</t>
  </si>
  <si>
    <t>CUST-01642</t>
  </si>
  <si>
    <t>ORD-101702</t>
  </si>
  <si>
    <t>ORD-101703</t>
  </si>
  <si>
    <t>ORD-101734</t>
  </si>
  <si>
    <t>CUST-01439</t>
  </si>
  <si>
    <t>ORD-101787</t>
  </si>
  <si>
    <t>ORD-101788</t>
  </si>
  <si>
    <t>ORD-101791</t>
  </si>
  <si>
    <t>CUST-01938</t>
  </si>
  <si>
    <t>ORD-101803</t>
  </si>
  <si>
    <t>CUST-01622</t>
  </si>
  <si>
    <t>ORD-101849</t>
  </si>
  <si>
    <t>CUST-00600</t>
  </si>
  <si>
    <t>ORD-101859</t>
  </si>
  <si>
    <t>ORD-101900</t>
  </si>
  <si>
    <t>ORD-101931</t>
  </si>
  <si>
    <t>CUST-00144</t>
  </si>
  <si>
    <t>ORD-101948</t>
  </si>
  <si>
    <t>ORD-101963</t>
  </si>
  <si>
    <t>ORD-101980</t>
  </si>
  <si>
    <t>ORD-102004</t>
  </si>
  <si>
    <t>CUST-01288</t>
  </si>
  <si>
    <t>ORD-102013</t>
  </si>
  <si>
    <t>ORD-102020</t>
  </si>
  <si>
    <t>ORD-102058</t>
  </si>
  <si>
    <t>ORD-102075</t>
  </si>
  <si>
    <t>ORD-102078</t>
  </si>
  <si>
    <t>ORD-102083</t>
  </si>
  <si>
    <t>ORD-102085</t>
  </si>
  <si>
    <t>ORD-102142</t>
  </si>
  <si>
    <t>CUST-01989</t>
  </si>
  <si>
    <t>ORD-102213</t>
  </si>
  <si>
    <t>ORD-102242</t>
  </si>
  <si>
    <t>ORD-102271</t>
  </si>
  <si>
    <t>ORD-102276</t>
  </si>
  <si>
    <t>CUST-01683</t>
  </si>
  <si>
    <t>ORD-102285</t>
  </si>
  <si>
    <t>ORD-102341</t>
  </si>
  <si>
    <t>ORD-102350</t>
  </si>
  <si>
    <t>ORD-102358</t>
  </si>
  <si>
    <t>ORD-102360</t>
  </si>
  <si>
    <t>ORD-102381</t>
  </si>
  <si>
    <t>ORD-102410</t>
  </si>
  <si>
    <t>ORD-102420</t>
  </si>
  <si>
    <t>CUST-01014</t>
  </si>
  <si>
    <t>ORD-102428</t>
  </si>
  <si>
    <t>ORD-102474</t>
  </si>
  <si>
    <t>ORD-102507</t>
  </si>
  <si>
    <t>ORD-102541</t>
  </si>
  <si>
    <t>CUST-02257</t>
  </si>
  <si>
    <t>ORD-102565</t>
  </si>
  <si>
    <t>ORD-102578</t>
  </si>
  <si>
    <t>CUST-01065</t>
  </si>
  <si>
    <t>ORD-102600</t>
  </si>
  <si>
    <t>CUST-02445</t>
  </si>
  <si>
    <t>ORD-102626</t>
  </si>
  <si>
    <t>ORD-102631</t>
  </si>
  <si>
    <t>ORD-102638</t>
  </si>
  <si>
    <t>ORD-102745</t>
  </si>
  <si>
    <t>ORD-102923</t>
  </si>
  <si>
    <t>ORD-102924</t>
  </si>
  <si>
    <t>ORD-102928</t>
  </si>
  <si>
    <t>ORD-102956</t>
  </si>
  <si>
    <t>ORD-102957</t>
  </si>
  <si>
    <t>ORD-102965</t>
  </si>
  <si>
    <t>ORD-103009</t>
  </si>
  <si>
    <t>CUST-00009</t>
  </si>
  <si>
    <t>ORD-103051</t>
  </si>
  <si>
    <t>ORD-103087</t>
  </si>
  <si>
    <t>ORD-103142</t>
  </si>
  <si>
    <t>ORD-103145</t>
  </si>
  <si>
    <t>CUST-02920</t>
  </si>
  <si>
    <t>ORD-103147</t>
  </si>
  <si>
    <t>ORD-103150</t>
  </si>
  <si>
    <t>ORD-103151</t>
  </si>
  <si>
    <t>ORD-103152</t>
  </si>
  <si>
    <t>ORD-103175</t>
  </si>
  <si>
    <t>ORD-103215</t>
  </si>
  <si>
    <t>CUST-02684</t>
  </si>
  <si>
    <t>ORD-103229</t>
  </si>
  <si>
    <t>ORD-103278</t>
  </si>
  <si>
    <t>ORD-103301</t>
  </si>
  <si>
    <t>ORD-103351</t>
  </si>
  <si>
    <t>ORD-103453</t>
  </si>
  <si>
    <t>ORD-103485</t>
  </si>
  <si>
    <t>ORD-103487</t>
  </si>
  <si>
    <t>ORD-103494</t>
  </si>
  <si>
    <t>ORD-103508</t>
  </si>
  <si>
    <t>ORD-103536</t>
  </si>
  <si>
    <t>ORD-103593</t>
  </si>
  <si>
    <t>CUST-02215</t>
  </si>
  <si>
    <t>ORD-103625</t>
  </si>
  <si>
    <t>ORD-103771</t>
  </si>
  <si>
    <t>ORD-103781</t>
  </si>
  <si>
    <t>ORD-103804</t>
  </si>
  <si>
    <t>ORD-103817</t>
  </si>
  <si>
    <t>ORD-103885</t>
  </si>
  <si>
    <t>ORD-103897</t>
  </si>
  <si>
    <t>ORD-103959</t>
  </si>
  <si>
    <t>CUST-01542</t>
  </si>
  <si>
    <t>ORD-104008</t>
  </si>
  <si>
    <t>ORD-104023</t>
  </si>
  <si>
    <t>ORD-104067</t>
  </si>
  <si>
    <t>ORD-104068</t>
  </si>
  <si>
    <t>ORD-104072</t>
  </si>
  <si>
    <t>ORD-104078</t>
  </si>
  <si>
    <t>CUST-02210</t>
  </si>
  <si>
    <t>ORD-104080</t>
  </si>
  <si>
    <t>ORD-104093</t>
  </si>
  <si>
    <t>CUST-02451</t>
  </si>
  <si>
    <t>ORD-104114</t>
  </si>
  <si>
    <t>ORD-104121</t>
  </si>
  <si>
    <t>ORD-104155</t>
  </si>
  <si>
    <t>ORD-104217</t>
  </si>
  <si>
    <t>CUST-02241</t>
  </si>
  <si>
    <t>ORD-104260</t>
  </si>
  <si>
    <t>ORD-104268</t>
  </si>
  <si>
    <t>CUST-01788</t>
  </si>
  <si>
    <t>ORD-104269</t>
  </si>
  <si>
    <t>ORD-104279</t>
  </si>
  <si>
    <t>ORD-104287</t>
  </si>
  <si>
    <t>CUST-02147</t>
  </si>
  <si>
    <t>ORD-104340</t>
  </si>
  <si>
    <t>ORD-104440</t>
  </si>
  <si>
    <t>CUST-03027</t>
  </si>
  <si>
    <t>ORD-104542</t>
  </si>
  <si>
    <t>ORD-104554</t>
  </si>
  <si>
    <t>ORD-104576</t>
  </si>
  <si>
    <t>ORD-104603</t>
  </si>
  <si>
    <t>ORD-104753</t>
  </si>
  <si>
    <t>ORD-104787</t>
  </si>
  <si>
    <t>CUST-03062</t>
  </si>
  <si>
    <t>ORD-104798</t>
  </si>
  <si>
    <t>ORD-104802</t>
  </si>
  <si>
    <t>ORD-104827</t>
  </si>
  <si>
    <t>CUST-02047</t>
  </si>
  <si>
    <t>ORD-104828</t>
  </si>
  <si>
    <t>CUST-01920</t>
  </si>
  <si>
    <t>ORD-100022</t>
  </si>
  <si>
    <t>ORD-100129</t>
  </si>
  <si>
    <t>ORD-100231</t>
  </si>
  <si>
    <t>ORD-100248</t>
  </si>
  <si>
    <t>ORD-100324</t>
  </si>
  <si>
    <t>ORD-100333</t>
  </si>
  <si>
    <t>ORD-100361</t>
  </si>
  <si>
    <t>ORD-100384</t>
  </si>
  <si>
    <t>ORD-100551</t>
  </si>
  <si>
    <t>CUST-02443</t>
  </si>
  <si>
    <t>ORD-100668</t>
  </si>
  <si>
    <t>ORD-100686</t>
  </si>
  <si>
    <t>CUST-00531</t>
  </si>
  <si>
    <t>ORD-100784</t>
  </si>
  <si>
    <t>ORD-100827</t>
  </si>
  <si>
    <t>ORD-100844</t>
  </si>
  <si>
    <t>ORD-100915</t>
  </si>
  <si>
    <t>ORD-100948</t>
  </si>
  <si>
    <t>ORD-100958</t>
  </si>
  <si>
    <t>CUST-02338</t>
  </si>
  <si>
    <t>ORD-100983</t>
  </si>
  <si>
    <t>CUST-00440</t>
  </si>
  <si>
    <t>ORD-101008</t>
  </si>
  <si>
    <t>CUST-01796</t>
  </si>
  <si>
    <t>ORD-101012</t>
  </si>
  <si>
    <t>CUST-00222</t>
  </si>
  <si>
    <t>ORD-101033</t>
  </si>
  <si>
    <t>ORD-101067</t>
  </si>
  <si>
    <t>ORD-101287</t>
  </si>
  <si>
    <t>ORD-101315</t>
  </si>
  <si>
    <t>CUST-00221</t>
  </si>
  <si>
    <t>ORD-101513</t>
  </si>
  <si>
    <t>ORD-101525</t>
  </si>
  <si>
    <t>ORD-101589</t>
  </si>
  <si>
    <t>ORD-101667</t>
  </si>
  <si>
    <t>ORD-101687</t>
  </si>
  <si>
    <t>ORD-101751</t>
  </si>
  <si>
    <t>ORD-101852</t>
  </si>
  <si>
    <t>ORD-101866</t>
  </si>
  <si>
    <t>CUST-01870</t>
  </si>
  <si>
    <t>ORD-101873</t>
  </si>
  <si>
    <t>CUST-02733</t>
  </si>
  <si>
    <t>ORD-101909</t>
  </si>
  <si>
    <t>ORD-102147</t>
  </si>
  <si>
    <t>CUST-02446</t>
  </si>
  <si>
    <t>ORD-102168</t>
  </si>
  <si>
    <t>ORD-102184</t>
  </si>
  <si>
    <t>CUST-00244</t>
  </si>
  <si>
    <t>ORD-102494</t>
  </si>
  <si>
    <t>ORD-102530</t>
  </si>
  <si>
    <t>ORD-102575</t>
  </si>
  <si>
    <t>ORD-102723</t>
  </si>
  <si>
    <t>ORD-102753</t>
  </si>
  <si>
    <t>ORD-102765</t>
  </si>
  <si>
    <t>CUST-00551</t>
  </si>
  <si>
    <t>ORD-102846</t>
  </si>
  <si>
    <t>ORD-102952</t>
  </si>
  <si>
    <t>ORD-102968</t>
  </si>
  <si>
    <t>ORD-102970</t>
  </si>
  <si>
    <t>CUST-02561</t>
  </si>
  <si>
    <t>ORD-103008</t>
  </si>
  <si>
    <t>ORD-103202</t>
  </si>
  <si>
    <t>ORD-103227</t>
  </si>
  <si>
    <t>ORD-103255</t>
  </si>
  <si>
    <t>ORD-103334</t>
  </si>
  <si>
    <t>ORD-103591</t>
  </si>
  <si>
    <t>ORD-103898</t>
  </si>
  <si>
    <t>ORD-103917</t>
  </si>
  <si>
    <t>ORD-103947</t>
  </si>
  <si>
    <t>ORD-103990</t>
  </si>
  <si>
    <t>ORD-104003</t>
  </si>
  <si>
    <t>CUST-02109</t>
  </si>
  <si>
    <t>ORD-104016</t>
  </si>
  <si>
    <t>ORD-104066</t>
  </si>
  <si>
    <t>ORD-104119</t>
  </si>
  <si>
    <t>ORD-104128</t>
  </si>
  <si>
    <t>ORD-104189</t>
  </si>
  <si>
    <t>ORD-104237</t>
  </si>
  <si>
    <t>ORD-104303</t>
  </si>
  <si>
    <t>ORD-104323</t>
  </si>
  <si>
    <t>ORD-104325</t>
  </si>
  <si>
    <t>CUST-01491</t>
  </si>
  <si>
    <t>ORD-104344</t>
  </si>
  <si>
    <t>CUST-00427</t>
  </si>
  <si>
    <t>ORD-104356</t>
  </si>
  <si>
    <t>ORD-104395</t>
  </si>
  <si>
    <t>ORD-104401</t>
  </si>
  <si>
    <t>ORD-104404</t>
  </si>
  <si>
    <t>ORD-104451</t>
  </si>
  <si>
    <t>ORD-104509</t>
  </si>
  <si>
    <t>ORD-104537</t>
  </si>
  <si>
    <t>ORD-104651</t>
  </si>
  <si>
    <t>ORD-104717</t>
  </si>
  <si>
    <t>ORD-104745</t>
  </si>
  <si>
    <t>ORD-104811</t>
  </si>
  <si>
    <t>CUST-01045</t>
  </si>
  <si>
    <t>ORD-100018</t>
  </si>
  <si>
    <t>ORD-100068</t>
  </si>
  <si>
    <t>ORD-100073</t>
  </si>
  <si>
    <t>ORD-100138</t>
  </si>
  <si>
    <t>CUST-02579</t>
  </si>
  <si>
    <t>ORD-100391</t>
  </si>
  <si>
    <t>ORD-100478</t>
  </si>
  <si>
    <t>CUST-02469</t>
  </si>
  <si>
    <t>ORD-100604</t>
  </si>
  <si>
    <t>ORD-100702</t>
  </si>
  <si>
    <t>ORD-100854</t>
  </si>
  <si>
    <t>CUST-01167</t>
  </si>
  <si>
    <t>ORD-100911</t>
  </si>
  <si>
    <t>ORD-101094</t>
  </si>
  <si>
    <t>ORD-101239</t>
  </si>
  <si>
    <t>ORD-101243</t>
  </si>
  <si>
    <t>ORD-101336</t>
  </si>
  <si>
    <t>ORD-101397</t>
  </si>
  <si>
    <t>ORD-101464</t>
  </si>
  <si>
    <t>ORD-101489</t>
  </si>
  <si>
    <t>CUST-02331</t>
  </si>
  <si>
    <t>ORD-101527</t>
  </si>
  <si>
    <t>ORD-101553</t>
  </si>
  <si>
    <t>ORD-101711</t>
  </si>
  <si>
    <t>ORD-101723</t>
  </si>
  <si>
    <t>ORD-102056</t>
  </si>
  <si>
    <t>ORD-102076</t>
  </si>
  <si>
    <t>CUST-00311</t>
  </si>
  <si>
    <t>ORD-102096</t>
  </si>
  <si>
    <t>ORD-102117</t>
  </si>
  <si>
    <t>ORD-102124</t>
  </si>
  <si>
    <t>ORD-102203</t>
  </si>
  <si>
    <t>ORD-102223</t>
  </si>
  <si>
    <t>CUST-00484</t>
  </si>
  <si>
    <t>ORD-102256</t>
  </si>
  <si>
    <t>CUST-02100</t>
  </si>
  <si>
    <t>ORD-102312</t>
  </si>
  <si>
    <t>ORD-102435</t>
  </si>
  <si>
    <t>ORD-102803</t>
  </si>
  <si>
    <t>ORD-102834</t>
  </si>
  <si>
    <t>ORD-102874</t>
  </si>
  <si>
    <t>ORD-102916</t>
  </si>
  <si>
    <t>ORD-102931</t>
  </si>
  <si>
    <t>ORD-102938</t>
  </si>
  <si>
    <t>ORD-103010</t>
  </si>
  <si>
    <t>ORD-103090</t>
  </si>
  <si>
    <t>ORD-103385</t>
  </si>
  <si>
    <t>ORD-103533</t>
  </si>
  <si>
    <t>ORD-103552</t>
  </si>
  <si>
    <t>ORD-103636</t>
  </si>
  <si>
    <t>ORD-103638</t>
  </si>
  <si>
    <t>ORD-103641</t>
  </si>
  <si>
    <t>ORD-103645</t>
  </si>
  <si>
    <t>ORD-103740</t>
  </si>
  <si>
    <t>ORD-103825</t>
  </si>
  <si>
    <t>CUST-00065</t>
  </si>
  <si>
    <t>ORD-103834</t>
  </si>
  <si>
    <t>ORD-103883</t>
  </si>
  <si>
    <t>ORD-103995</t>
  </si>
  <si>
    <t>ORD-104010</t>
  </si>
  <si>
    <t>ORD-104075</t>
  </si>
  <si>
    <t>ORD-104131</t>
  </si>
  <si>
    <t>ORD-104138</t>
  </si>
  <si>
    <t>CUST-00845</t>
  </si>
  <si>
    <t>ORD-104179</t>
  </si>
  <si>
    <t>ORD-104273</t>
  </si>
  <si>
    <t>ORD-104314</t>
  </si>
  <si>
    <t>CUST-03004</t>
  </si>
  <si>
    <t>ORD-104369</t>
  </si>
  <si>
    <t>ORD-104383</t>
  </si>
  <si>
    <t>CUST-01901</t>
  </si>
  <si>
    <t>ORD-104425</t>
  </si>
  <si>
    <t>ORD-104461</t>
  </si>
  <si>
    <t>ORD-104507</t>
  </si>
  <si>
    <t>ORD-104517</t>
  </si>
  <si>
    <t>CUST-01985</t>
  </si>
  <si>
    <t>ORD-104529</t>
  </si>
  <si>
    <t>ORD-104533</t>
  </si>
  <si>
    <t>ORD-104596</t>
  </si>
  <si>
    <t>ORD-104658</t>
  </si>
  <si>
    <t>ORD-104664</t>
  </si>
  <si>
    <t>ORD-104727</t>
  </si>
  <si>
    <t>ORD-100017</t>
  </si>
  <si>
    <t>ORD-100035</t>
  </si>
  <si>
    <t>CUST-00818</t>
  </si>
  <si>
    <t>ORD-100088</t>
  </si>
  <si>
    <t>ORD-100137</t>
  </si>
  <si>
    <t>CUST-01871</t>
  </si>
  <si>
    <t>ORD-100172</t>
  </si>
  <si>
    <t>CUST-03167</t>
  </si>
  <si>
    <t>ORD-100302</t>
  </si>
  <si>
    <t>CUST-02092</t>
  </si>
  <si>
    <t>ORD-100367</t>
  </si>
  <si>
    <t>CUST-01694</t>
  </si>
  <si>
    <t>ORD-100397</t>
  </si>
  <si>
    <t>ORD-100452</t>
  </si>
  <si>
    <t>ORD-100482</t>
  </si>
  <si>
    <t>ORD-100588</t>
  </si>
  <si>
    <t>ORD-100685</t>
  </si>
  <si>
    <t>ORD-100696</t>
  </si>
  <si>
    <t>ORD-100740</t>
  </si>
  <si>
    <t>ORD-100847</t>
  </si>
  <si>
    <t>ORD-100857</t>
  </si>
  <si>
    <t>CUST-03150</t>
  </si>
  <si>
    <t>ORD-100889</t>
  </si>
  <si>
    <t>ORD-101128</t>
  </si>
  <si>
    <t>ORD-101213</t>
  </si>
  <si>
    <t>ORD-101328</t>
  </si>
  <si>
    <t>CUST-01770</t>
  </si>
  <si>
    <t>ORD-101386</t>
  </si>
  <si>
    <t>CUST-02642</t>
  </si>
  <si>
    <t>ORD-101415</t>
  </si>
  <si>
    <t>ORD-101506</t>
  </si>
  <si>
    <t>ORD-101546</t>
  </si>
  <si>
    <t>ORD-101591</t>
  </si>
  <si>
    <t>CUST-01643</t>
  </si>
  <si>
    <t>ORD-101666</t>
  </si>
  <si>
    <t>ORD-101738</t>
  </si>
  <si>
    <t>ORD-101792</t>
  </si>
  <si>
    <t>CUST-02795</t>
  </si>
  <si>
    <t>ORD-101842</t>
  </si>
  <si>
    <t>ORD-101883</t>
  </si>
  <si>
    <t>ORD-101933</t>
  </si>
  <si>
    <t>ORD-102127</t>
  </si>
  <si>
    <t>ORD-102181</t>
  </si>
  <si>
    <t>CUST-01430</t>
  </si>
  <si>
    <t>ORD-102194</t>
  </si>
  <si>
    <t>ORD-102208</t>
  </si>
  <si>
    <t>ORD-102329</t>
  </si>
  <si>
    <t>ORD-102386</t>
  </si>
  <si>
    <t>ORD-102389</t>
  </si>
  <si>
    <t>ORD-102467</t>
  </si>
  <si>
    <t>ORD-102482</t>
  </si>
  <si>
    <t>ORD-102542</t>
  </si>
  <si>
    <t>CUST-01588</t>
  </si>
  <si>
    <t>ORD-102567</t>
  </si>
  <si>
    <t>CUST-01534</t>
  </si>
  <si>
    <t>ORD-102588</t>
  </si>
  <si>
    <t>ORD-102780</t>
  </si>
  <si>
    <t>CUST-02427</t>
  </si>
  <si>
    <t>ORD-102787</t>
  </si>
  <si>
    <t>CUST-01660</t>
  </si>
  <si>
    <t>ORD-102841</t>
  </si>
  <si>
    <t>ORD-102891</t>
  </si>
  <si>
    <t>ORD-102914</t>
  </si>
  <si>
    <t>ORD-102942</t>
  </si>
  <si>
    <t>ORD-103013</t>
  </si>
  <si>
    <t>ORD-103190</t>
  </si>
  <si>
    <t>ORD-103294</t>
  </si>
  <si>
    <t>CUST-02919</t>
  </si>
  <si>
    <t>ORD-103310</t>
  </si>
  <si>
    <t>ORD-103381</t>
  </si>
  <si>
    <t>ORD-103518</t>
  </si>
  <si>
    <t>ORD-103634</t>
  </si>
  <si>
    <t>ORD-103695</t>
  </si>
  <si>
    <t>ORD-103798</t>
  </si>
  <si>
    <t>ORD-103815</t>
  </si>
  <si>
    <t>CUST-01937</t>
  </si>
  <si>
    <t>ORD-103831</t>
  </si>
  <si>
    <t>ORD-103845</t>
  </si>
  <si>
    <t>ORD-103853</t>
  </si>
  <si>
    <t>ORD-103891</t>
  </si>
  <si>
    <t>ORD-103932</t>
  </si>
  <si>
    <t>ORD-103954</t>
  </si>
  <si>
    <t>ORD-104056</t>
  </si>
  <si>
    <t>CUST-02270</t>
  </si>
  <si>
    <t>ORD-104150</t>
  </si>
  <si>
    <t>ORD-104170</t>
  </si>
  <si>
    <t>ORD-104220</t>
  </si>
  <si>
    <t>ORD-104225</t>
  </si>
  <si>
    <t>CUST-01786</t>
  </si>
  <si>
    <t>ORD-104317</t>
  </si>
  <si>
    <t>CUST-01624</t>
  </si>
  <si>
    <t>ORD-104491</t>
  </si>
  <si>
    <t>ORD-104582</t>
  </si>
  <si>
    <t>CUST-01493</t>
  </si>
  <si>
    <t>ORD-104617</t>
  </si>
  <si>
    <t>CUST-00024</t>
  </si>
  <si>
    <t>ORD-104806</t>
  </si>
  <si>
    <t>ORD-104821</t>
  </si>
  <si>
    <t>ORD-100007</t>
  </si>
  <si>
    <t>CUST-02807</t>
  </si>
  <si>
    <t>ORD-100046</t>
  </si>
  <si>
    <t>ORD-100097</t>
  </si>
  <si>
    <t>ORD-100186</t>
  </si>
  <si>
    <t>ORD-100204</t>
  </si>
  <si>
    <t>ORD-100262</t>
  </si>
  <si>
    <t>ORD-100331</t>
  </si>
  <si>
    <t>ORD-100416</t>
  </si>
  <si>
    <t>ORD-100443</t>
  </si>
  <si>
    <t>ORD-100488</t>
  </si>
  <si>
    <t>ORD-100505</t>
  </si>
  <si>
    <t>ORD-100547</t>
  </si>
  <si>
    <t>ORD-100639</t>
  </si>
  <si>
    <t>ORD-100693</t>
  </si>
  <si>
    <t>ORD-100705</t>
  </si>
  <si>
    <t>ORD-100717</t>
  </si>
  <si>
    <t>CUST-01712</t>
  </si>
  <si>
    <t>ORD-100737</t>
  </si>
  <si>
    <t>ORD-100874</t>
  </si>
  <si>
    <t>ORD-100900</t>
  </si>
  <si>
    <t>ORD-101039</t>
  </si>
  <si>
    <t>CUST-02759</t>
  </si>
  <si>
    <t>ORD-101069</t>
  </si>
  <si>
    <t>CUST-00987</t>
  </si>
  <si>
    <t>ORD-101095</t>
  </si>
  <si>
    <t>CUST-02121</t>
  </si>
  <si>
    <t>ORD-101120</t>
  </si>
  <si>
    <t>ORD-101178</t>
  </si>
  <si>
    <t>ORD-101316</t>
  </si>
  <si>
    <t>ORD-101321</t>
  </si>
  <si>
    <t>CUST-02308</t>
  </si>
  <si>
    <t>ORD-101352</t>
  </si>
  <si>
    <t>CUST-01471</t>
  </si>
  <si>
    <t>ORD-101382</t>
  </si>
  <si>
    <t>ORD-101539</t>
  </si>
  <si>
    <t>ORD-101564</t>
  </si>
  <si>
    <t>CUST-00768</t>
  </si>
  <si>
    <t>ORD-101581</t>
  </si>
  <si>
    <t>ORD-101602</t>
  </si>
  <si>
    <t>ORD-101645</t>
  </si>
  <si>
    <t>ORD-101784</t>
  </si>
  <si>
    <t>ORD-101785</t>
  </si>
  <si>
    <t>ORD-101805</t>
  </si>
  <si>
    <t>ORD-101822</t>
  </si>
  <si>
    <t>ORD-101882</t>
  </si>
  <si>
    <t>ORD-101902</t>
  </si>
  <si>
    <t>ORD-102022</t>
  </si>
  <si>
    <t>ORD-102084</t>
  </si>
  <si>
    <t>ORD-102171</t>
  </si>
  <si>
    <t>ORD-102206</t>
  </si>
  <si>
    <t>ORD-102214</t>
  </si>
  <si>
    <t>ORD-102269</t>
  </si>
  <si>
    <t>ORD-102332</t>
  </si>
  <si>
    <t>ORD-102403</t>
  </si>
  <si>
    <t>ORD-102525</t>
  </si>
  <si>
    <t>ORD-102527</t>
  </si>
  <si>
    <t>ORD-102529</t>
  </si>
  <si>
    <t>ORD-102560</t>
  </si>
  <si>
    <t>ORD-102633</t>
  </si>
  <si>
    <t>ORD-102658</t>
  </si>
  <si>
    <t>ORD-102664</t>
  </si>
  <si>
    <t>CUST-02624</t>
  </si>
  <si>
    <t>ORD-102669</t>
  </si>
  <si>
    <t>ORD-102727</t>
  </si>
  <si>
    <t>ORD-102734</t>
  </si>
  <si>
    <t>ORD-102742</t>
  </si>
  <si>
    <t>ORD-102782</t>
  </si>
  <si>
    <t>ORD-102842</t>
  </si>
  <si>
    <t>ORD-102903</t>
  </si>
  <si>
    <t>ORD-102948</t>
  </si>
  <si>
    <t>ORD-102977</t>
  </si>
  <si>
    <t>ORD-103032</t>
  </si>
  <si>
    <t>CUST-00686</t>
  </si>
  <si>
    <t>ORD-103066</t>
  </si>
  <si>
    <t>ORD-103119</t>
  </si>
  <si>
    <t>ORD-103185</t>
  </si>
  <si>
    <t>ORD-103196</t>
  </si>
  <si>
    <t>ORD-103258</t>
  </si>
  <si>
    <t>CUST-03181</t>
  </si>
  <si>
    <t>ORD-103265</t>
  </si>
  <si>
    <t>ORD-103349</t>
  </si>
  <si>
    <t>ORD-103378</t>
  </si>
  <si>
    <t>ORD-103416</t>
  </si>
  <si>
    <t>ORD-103507</t>
  </si>
  <si>
    <t>ORD-103546</t>
  </si>
  <si>
    <t>ORD-103699</t>
  </si>
  <si>
    <t>ORD-103721</t>
  </si>
  <si>
    <t>ORD-103758</t>
  </si>
  <si>
    <t>ORD-103790</t>
  </si>
  <si>
    <t>ORD-103827</t>
  </si>
  <si>
    <t>ORD-103966</t>
  </si>
  <si>
    <t>ORD-104005</t>
  </si>
  <si>
    <t>ORD-104065</t>
  </si>
  <si>
    <t>ORD-104089</t>
  </si>
  <si>
    <t>ORD-104098</t>
  </si>
  <si>
    <t>CUST-01673</t>
  </si>
  <si>
    <t>ORD-104198</t>
  </si>
  <si>
    <t>ORD-104322</t>
  </si>
  <si>
    <t>ORD-104335</t>
  </si>
  <si>
    <t>ORD-104342</t>
  </si>
  <si>
    <t>CUST-01703</t>
  </si>
  <si>
    <t>ORD-104368</t>
  </si>
  <si>
    <t>ORD-104385</t>
  </si>
  <si>
    <t>ORD-104526</t>
  </si>
  <si>
    <t>ORD-104663</t>
  </si>
  <si>
    <t>ORD-104702</t>
  </si>
  <si>
    <t>ORD-104705</t>
  </si>
  <si>
    <t>ORD-104709</t>
  </si>
  <si>
    <t>ORD-104720</t>
  </si>
  <si>
    <t>ORD-100116</t>
  </si>
  <si>
    <t>CUST-00298</t>
  </si>
  <si>
    <t>ORD-100190</t>
  </si>
  <si>
    <t>ORD-100317</t>
  </si>
  <si>
    <t>ORD-100334</t>
  </si>
  <si>
    <t>ORD-100436</t>
  </si>
  <si>
    <t>ORD-100477</t>
  </si>
  <si>
    <t>CUST-01556</t>
  </si>
  <si>
    <t>ORD-100552</t>
  </si>
  <si>
    <t>ORD-100561</t>
  </si>
  <si>
    <t>ORD-100623</t>
  </si>
  <si>
    <t>ORD-100724</t>
  </si>
  <si>
    <t>ORD-100762</t>
  </si>
  <si>
    <t>ORD-100805</t>
  </si>
  <si>
    <t>ORD-100840</t>
  </si>
  <si>
    <t>CUST-00195</t>
  </si>
  <si>
    <t>ORD-100916</t>
  </si>
  <si>
    <t>ORD-100985</t>
  </si>
  <si>
    <t>ORD-101085</t>
  </si>
  <si>
    <t>ORD-101203</t>
  </si>
  <si>
    <t>ORD-101210</t>
  </si>
  <si>
    <t>ORD-101240</t>
  </si>
  <si>
    <t>ORD-101280</t>
  </si>
  <si>
    <t>ORD-101460</t>
  </si>
  <si>
    <t>CUST-00839</t>
  </si>
  <si>
    <t>ORD-101472</t>
  </si>
  <si>
    <t>ORD-101515</t>
  </si>
  <si>
    <t>ORD-101522</t>
  </si>
  <si>
    <t>ORD-101722</t>
  </si>
  <si>
    <t>ORD-101764</t>
  </si>
  <si>
    <t>ORD-101808</t>
  </si>
  <si>
    <t>ORD-101880</t>
  </si>
  <si>
    <t>ORD-101918</t>
  </si>
  <si>
    <t>ORD-101971</t>
  </si>
  <si>
    <t>ORD-101986</t>
  </si>
  <si>
    <t>ORD-102048</t>
  </si>
  <si>
    <t>CUST-02432</t>
  </si>
  <si>
    <t>ORD-102173</t>
  </si>
  <si>
    <t>ORD-102207</t>
  </si>
  <si>
    <t>ORD-102372</t>
  </si>
  <si>
    <t>ORD-102397</t>
  </si>
  <si>
    <t>ORD-102490</t>
  </si>
  <si>
    <t>ORD-102534</t>
  </si>
  <si>
    <t>ORD-102535</t>
  </si>
  <si>
    <t>ORD-102680</t>
  </si>
  <si>
    <t>ORD-102732</t>
  </si>
  <si>
    <t>CUST-01608</t>
  </si>
  <si>
    <t>ORD-102751</t>
  </si>
  <si>
    <t>ORD-102811</t>
  </si>
  <si>
    <t>CUST-01122</t>
  </si>
  <si>
    <t>ORD-103001</t>
  </si>
  <si>
    <t>ORD-103021</t>
  </si>
  <si>
    <t>ORD-103076</t>
  </si>
  <si>
    <t>ORD-103078</t>
  </si>
  <si>
    <t>ORD-103108</t>
  </si>
  <si>
    <t>ORD-103148</t>
  </si>
  <si>
    <t>ORD-103418</t>
  </si>
  <si>
    <t>ORD-103526</t>
  </si>
  <si>
    <t>ORD-103535</t>
  </si>
  <si>
    <t>ORD-103572</t>
  </si>
  <si>
    <t>ORD-103621</t>
  </si>
  <si>
    <t>CUST-02985</t>
  </si>
  <si>
    <t>ORD-103700</t>
  </si>
  <si>
    <t>CUST-00464</t>
  </si>
  <si>
    <t>ORD-103716</t>
  </si>
  <si>
    <t>ORD-103726</t>
  </si>
  <si>
    <t>ORD-103787</t>
  </si>
  <si>
    <t>CUST-02165</t>
  </si>
  <si>
    <t>ORD-103829</t>
  </si>
  <si>
    <t>ORD-103862</t>
  </si>
  <si>
    <t>ORD-103901</t>
  </si>
  <si>
    <t>ORD-103910</t>
  </si>
  <si>
    <t>ORD-103939</t>
  </si>
  <si>
    <t>ORD-104053</t>
  </si>
  <si>
    <t>ORD-104143</t>
  </si>
  <si>
    <t>CUST-00480</t>
  </si>
  <si>
    <t>ORD-104146</t>
  </si>
  <si>
    <t>ORD-104188</t>
  </si>
  <si>
    <t>ORD-104227</t>
  </si>
  <si>
    <t>ORD-104264</t>
  </si>
  <si>
    <t>ORD-104299</t>
  </si>
  <si>
    <t>ORD-104305</t>
  </si>
  <si>
    <t>ORD-104311</t>
  </si>
  <si>
    <t>CUST-02821</t>
  </si>
  <si>
    <t>ORD-104316</t>
  </si>
  <si>
    <t>ORD-104329</t>
  </si>
  <si>
    <t>CUST-00395</t>
  </si>
  <si>
    <t>ORD-104371</t>
  </si>
  <si>
    <t>ORD-104380</t>
  </si>
  <si>
    <t>ORD-104468</t>
  </si>
  <si>
    <t>CUST-02189</t>
  </si>
  <si>
    <t>ORD-104477</t>
  </si>
  <si>
    <t>CUST-00469</t>
  </si>
  <si>
    <t>ORD-104602</t>
  </si>
  <si>
    <t>CUST-00981</t>
  </si>
  <si>
    <t>ORD-104604</t>
  </si>
  <si>
    <t>ORD-104655</t>
  </si>
  <si>
    <t>ORD-100130</t>
  </si>
  <si>
    <t>CUST-01916</t>
  </si>
  <si>
    <t>ORD-100410</t>
  </si>
  <si>
    <t>ORD-100758</t>
  </si>
  <si>
    <t>ORD-101391</t>
  </si>
  <si>
    <t>CUST-02450</t>
  </si>
  <si>
    <t>ORD-101498</t>
  </si>
  <si>
    <t>ORD-101862</t>
  </si>
  <si>
    <t>CUST-02702</t>
  </si>
  <si>
    <t>ORD-102254</t>
  </si>
  <si>
    <t>ORD-102261</t>
  </si>
  <si>
    <t>ORD-102754</t>
  </si>
  <si>
    <t>CUST-01930</t>
  </si>
  <si>
    <t>ORD-102877</t>
  </si>
  <si>
    <t>ORD-103156</t>
  </si>
  <si>
    <t>ORD-103580</t>
  </si>
  <si>
    <t>ORD-103786</t>
  </si>
  <si>
    <t>ORD-103896</t>
  </si>
  <si>
    <t>ORD-103931</t>
  </si>
  <si>
    <t>ORD-104218</t>
  </si>
  <si>
    <t>CUST-02265</t>
  </si>
  <si>
    <t>ORD-104300</t>
  </si>
  <si>
    <t>ORD-104476</t>
  </si>
  <si>
    <t>ORD-104538</t>
  </si>
  <si>
    <t>CUST-02437</t>
  </si>
  <si>
    <t>ORD-104830</t>
  </si>
  <si>
    <t>Product Name</t>
  </si>
  <si>
    <t>Category</t>
  </si>
  <si>
    <t>MRP (₹)</t>
  </si>
  <si>
    <t>Unit Cost (₹)</t>
  </si>
  <si>
    <t>Vitamin C Face Serum</t>
  </si>
  <si>
    <t>Skincare</t>
  </si>
  <si>
    <t>Sunscreen SPF 50</t>
  </si>
  <si>
    <t>Niacinamide Toner</t>
  </si>
  <si>
    <t>Hydrating Face Wash</t>
  </si>
  <si>
    <t>Retinol Night Cream</t>
  </si>
  <si>
    <t>Onion Hair Oil</t>
  </si>
  <si>
    <t>Haircare</t>
  </si>
  <si>
    <t>Argan Shampoo</t>
  </si>
  <si>
    <t>Keratin Hair Mask</t>
  </si>
  <si>
    <t>Anti-Dandruff Conditioner</t>
  </si>
  <si>
    <t>Cotton Oversized T-Shirt</t>
  </si>
  <si>
    <t>Apparel</t>
  </si>
  <si>
    <t>Linen Kurta</t>
  </si>
  <si>
    <t>Joggers</t>
  </si>
  <si>
    <t>Denim Jacket</t>
  </si>
  <si>
    <t>Printed Saree</t>
  </si>
  <si>
    <t>Running Shoes</t>
  </si>
  <si>
    <t>Footwear</t>
  </si>
  <si>
    <t>Casual Sneakers</t>
  </si>
  <si>
    <t>Kolhapuri Sandals</t>
  </si>
  <si>
    <t>Flip Flops</t>
  </si>
  <si>
    <t>Copper Water Bottle</t>
  </si>
  <si>
    <t>Home &amp; Kitchen</t>
  </si>
  <si>
    <t>Ceramic Dinner Set</t>
  </si>
  <si>
    <t>Scented Candle Set</t>
  </si>
  <si>
    <t>Cotton Bedsheet</t>
  </si>
  <si>
    <t>Wireless Earbuds</t>
  </si>
  <si>
    <t>Electronics</t>
  </si>
  <si>
    <t>Fast Charger 33W</t>
  </si>
  <si>
    <t>Smartwatch Strap</t>
  </si>
  <si>
    <t>Power Bank 20000mAh</t>
  </si>
  <si>
    <t>Ashwagandha Capsules</t>
  </si>
  <si>
    <t>Wellness</t>
  </si>
  <si>
    <t>Whey Protein 1kg</t>
  </si>
  <si>
    <t>Green Tea (100 bags)</t>
  </si>
  <si>
    <t>Multivitamin Gummies</t>
  </si>
  <si>
    <t>State Code</t>
  </si>
  <si>
    <t>Region</t>
  </si>
  <si>
    <t>JK</t>
  </si>
  <si>
    <t>North</t>
  </si>
  <si>
    <t>PB</t>
  </si>
  <si>
    <t>HP</t>
  </si>
  <si>
    <t>UK</t>
  </si>
  <si>
    <t>RJ</t>
  </si>
  <si>
    <t>HR</t>
  </si>
  <si>
    <t>DL</t>
  </si>
  <si>
    <t>UP</t>
  </si>
  <si>
    <t>BR</t>
  </si>
  <si>
    <t>East</t>
  </si>
  <si>
    <t>AS</t>
  </si>
  <si>
    <t>GJ</t>
  </si>
  <si>
    <t>West</t>
  </si>
  <si>
    <t>MP</t>
  </si>
  <si>
    <t>CG</t>
  </si>
  <si>
    <t>JH</t>
  </si>
  <si>
    <t>WB</t>
  </si>
  <si>
    <t>MH</t>
  </si>
  <si>
    <t>TG</t>
  </si>
  <si>
    <t>South</t>
  </si>
  <si>
    <t>OD</t>
  </si>
  <si>
    <t>GA</t>
  </si>
  <si>
    <t>KA</t>
  </si>
  <si>
    <t>AP</t>
  </si>
  <si>
    <t>KL</t>
  </si>
  <si>
    <t>TN</t>
  </si>
  <si>
    <t>Month</t>
  </si>
  <si>
    <t>Ad Spend (₹)</t>
  </si>
  <si>
    <t>Month No</t>
  </si>
  <si>
    <t>Year</t>
  </si>
  <si>
    <t>Unit Cost</t>
  </si>
  <si>
    <t>Gross Sale</t>
  </si>
  <si>
    <t>Discount Amount</t>
  </si>
  <si>
    <t>Net Revenue</t>
  </si>
  <si>
    <t>COGS</t>
  </si>
  <si>
    <t>Shipping Cost</t>
  </si>
  <si>
    <t>Profit</t>
  </si>
  <si>
    <t>Margin %</t>
  </si>
  <si>
    <t>Channel</t>
  </si>
  <si>
    <t>Map Metric</t>
  </si>
  <si>
    <t>Top N</t>
  </si>
  <si>
    <t>Assumption</t>
  </si>
  <si>
    <t>Value</t>
  </si>
  <si>
    <t>All</t>
  </si>
  <si>
    <t>Revenue (₹ lakh)</t>
  </si>
  <si>
    <t>Shipping cost per order (₹, doubled if returned)</t>
  </si>
  <si>
    <t>Profit (₹ lakh)</t>
  </si>
  <si>
    <t>Orders</t>
  </si>
  <si>
    <t>Avg Rating</t>
  </si>
  <si>
    <t>Return Rate %</t>
  </si>
  <si>
    <t>Avg Delivery Days</t>
  </si>
  <si>
    <t>ROAS (₹ per ₹1 ad)</t>
  </si>
  <si>
    <t>Delivery Days</t>
  </si>
  <si>
    <t>Delivery Speed</t>
  </si>
  <si>
    <t>Total</t>
  </si>
  <si>
    <t>ANALYSIS ENGINE</t>
  </si>
  <si>
    <t>Filter criteria</t>
  </si>
  <si>
    <t>cYear</t>
  </si>
  <si>
    <t>cRegion</t>
  </si>
  <si>
    <t>cChannel</t>
  </si>
  <si>
    <t>cCat</t>
  </si>
  <si>
    <t>KPIs</t>
  </si>
  <si>
    <t>KPI</t>
  </si>
  <si>
    <t>Selected</t>
  </si>
  <si>
    <t>2024</t>
  </si>
  <si>
    <t>2025</t>
  </si>
  <si>
    <t>YoY %</t>
  </si>
  <si>
    <t>Revenue</t>
  </si>
  <si>
    <t>Units</t>
  </si>
  <si>
    <t>Avg Order Value</t>
  </si>
  <si>
    <t>Return Rate</t>
  </si>
  <si>
    <t>Avg Discount %</t>
  </si>
  <si>
    <t>Ad Spend</t>
  </si>
  <si>
    <t>2024 Revenue</t>
  </si>
  <si>
    <t>2025 Revenue</t>
  </si>
  <si>
    <t>Growth %</t>
  </si>
  <si>
    <t>Jan</t>
  </si>
  <si>
    <t>Feb</t>
  </si>
  <si>
    <t>Mar</t>
  </si>
  <si>
    <t>Apr</t>
  </si>
  <si>
    <t>May</t>
  </si>
  <si>
    <t>Jun</t>
  </si>
  <si>
    <t>Jul</t>
  </si>
  <si>
    <t>Aug</t>
  </si>
  <si>
    <t>Sep</t>
  </si>
  <si>
    <t>Oct</t>
  </si>
  <si>
    <t>Nov</t>
  </si>
  <si>
    <t>Dec</t>
  </si>
  <si>
    <t>Share %</t>
  </si>
  <si>
    <t>1 day</t>
  </si>
  <si>
    <t>2 days</t>
  </si>
  <si>
    <t>3 days</t>
  </si>
  <si>
    <t>4 days</t>
  </si>
  <si>
    <t>5 days</t>
  </si>
  <si>
    <t>6 days</t>
  </si>
  <si>
    <t>7 days</t>
  </si>
  <si>
    <t>8+ days</t>
  </si>
  <si>
    <t>Express (≤2d)</t>
  </si>
  <si>
    <t>Standard (3-4d)</t>
  </si>
  <si>
    <t>Delayed (5d+)</t>
  </si>
  <si>
    <t>Code</t>
  </si>
  <si>
    <t>ROAS</t>
  </si>
  <si>
    <t>Map Value</t>
  </si>
  <si>
    <t>Ad Spend (₹ lakh)</t>
  </si>
  <si>
    <t>Regression: Revenue = a + b × Ad Spend</t>
  </si>
  <si>
    <t>Slope b (₹ revenue per ₹1 ad)</t>
  </si>
  <si>
    <t>Intercept a</t>
  </si>
  <si>
    <t>R² (goodness of fit)</t>
  </si>
  <si>
    <t>Correlation r</t>
  </si>
  <si>
    <t>Product</t>
  </si>
  <si>
    <t>Rank Key</t>
  </si>
  <si>
    <t>Rank</t>
  </si>
  <si>
    <t>Scatter X (Disc)</t>
  </si>
  <si>
    <t>Scatter Y (Margin)</t>
  </si>
  <si>
    <t>Regression: Margin % = a + b × Discount %</t>
  </si>
  <si>
    <t>Slope (margin pts per 1 pt discount)</t>
  </si>
  <si>
    <t>R²</t>
  </si>
  <si>
    <t>Monthly revenue →</t>
  </si>
  <si>
    <t>Cumulative %</t>
  </si>
  <si>
    <t>Show?</t>
  </si>
  <si>
    <t>Discount %</t>
  </si>
  <si>
    <t>Returned</t>
  </si>
  <si>
    <t>Customer Type</t>
  </si>
  <si>
    <t>Profit Margin</t>
  </si>
  <si>
    <t>Grand Total</t>
  </si>
  <si>
    <t>Sum of Net Revenue</t>
  </si>
  <si>
    <t>New</t>
  </si>
  <si>
    <t>Repeat</t>
  </si>
  <si>
    <t>Count of Order ID</t>
  </si>
  <si>
    <t>Details for Revenue by Region and Year - State: Odisha, Region: East, Year: 2024</t>
  </si>
  <si>
    <t>Details for Sum of Net Revenue - Months (Order Date): Mar, Quarters (Order Date): Qtr1, Years (Order Date): 2024</t>
  </si>
  <si>
    <t>Year / Month</t>
  </si>
  <si>
    <t>Discount</t>
  </si>
  <si>
    <t>Discount_Clean</t>
  </si>
  <si>
    <t>Returned?</t>
  </si>
  <si>
    <t>Returned_Flag</t>
  </si>
  <si>
    <t>No</t>
  </si>
  <si>
    <t>N</t>
  </si>
  <si>
    <t>0</t>
  </si>
  <si>
    <t>TRUE</t>
  </si>
  <si>
    <t>Y</t>
  </si>
  <si>
    <t>Yes</t>
  </si>
  <si>
    <t>1</t>
  </si>
  <si>
    <t>Delivery Date2</t>
  </si>
  <si>
    <t>Discount_Clean2</t>
  </si>
  <si>
    <t>SHOPKART D2C  |  E-COMMERCE SALES &amp; CUSTOMER ANALYTICS DASHBOARD (2024–2025)</t>
  </si>
  <si>
    <t>▼SALES CHANNEL</t>
  </si>
  <si>
    <t>Repeat Customer Revenue %</t>
  </si>
  <si>
    <t xml:space="preserve">Monthly trend </t>
  </si>
  <si>
    <t>Ad Year</t>
  </si>
  <si>
    <t>Ad Region</t>
  </si>
  <si>
    <t>Ad State Code</t>
  </si>
  <si>
    <t>Ad State</t>
  </si>
  <si>
    <t>Ad Month</t>
  </si>
  <si>
    <t>2024 vs 2025</t>
  </si>
  <si>
    <t>By Category</t>
  </si>
  <si>
    <t xml:space="preserve">By Channel </t>
  </si>
  <si>
    <t>Payment mode by Region</t>
  </si>
  <si>
    <t>Revenue by Category &amp; Month</t>
  </si>
  <si>
    <t>Delivery days distribution</t>
  </si>
  <si>
    <t>By State (Year/Channel/Category)</t>
  </si>
  <si>
    <t>By Product</t>
  </si>
  <si>
    <t>AVG RATING ★</t>
  </si>
  <si>
    <t>RETURN RATE</t>
  </si>
  <si>
    <t>AVG DELIVERY (DAYS)</t>
  </si>
  <si>
    <t>REVENUE</t>
  </si>
  <si>
    <t>PROFIT</t>
  </si>
  <si>
    <t>PROFIT MARGIN</t>
  </si>
  <si>
    <t>ORDERS</t>
  </si>
  <si>
    <t>AVG ORDER VALUE</t>
  </si>
  <si>
    <t>▲▼ = 2025 vs 2024 for the same Region/Channel/Category</t>
  </si>
  <si>
    <t>SALES TREND</t>
  </si>
  <si>
    <t>PRODUCT &amp; CHANNEL MIX</t>
  </si>
  <si>
    <t xml:space="preserve">Product </t>
  </si>
  <si>
    <t xml:space="preserve">Top 15 products sorted by revenue </t>
  </si>
  <si>
    <t xml:space="preserve">Top N products </t>
  </si>
  <si>
    <t>GEOGRAPHY – INDIA TILE MAP &amp; MARKETING EFFICIENCY</t>
  </si>
  <si>
    <t>CUSTOMER EXPERIENCE – DELIVERY, RATINGS &amp; RETURNS</t>
  </si>
  <si>
    <t>PROFITABILITY – DISCOUNTS &amp; PAYMENT BEHAVIOUR</t>
  </si>
  <si>
    <t>CATEGORY - MONTH &amp; CHANNEL SCORECARD</t>
  </si>
  <si>
    <t>Return %</t>
  </si>
  <si>
    <t>Avg Disc %</t>
  </si>
  <si>
    <t>Rating</t>
  </si>
  <si>
    <t>#</t>
  </si>
  <si>
    <t>24-Month Revenue Trend</t>
  </si>
  <si>
    <t>Monthly revenue</t>
  </si>
  <si>
    <t>KEY INSIGHTS</t>
  </si>
  <si>
    <t>Revenue by Region &amp; Year</t>
  </si>
  <si>
    <t>State by Region</t>
  </si>
  <si>
    <t>Payment Mode</t>
  </si>
  <si>
    <t xml:space="preserve">Returned Rate </t>
  </si>
  <si>
    <t>Product Category</t>
  </si>
  <si>
    <t>Profit each Channel</t>
  </si>
  <si>
    <t>▼ YEAR</t>
  </si>
  <si>
    <t>▼REGION</t>
  </si>
  <si>
    <t>▼CATEGORY</t>
  </si>
  <si>
    <t>▼MAP METRIC</t>
  </si>
  <si>
    <t>▼TOP N PRODUCTS</t>
  </si>
  <si>
    <t>TOP PRODUCTS PERFORMANCE &amp; LEADERBOARD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</si>
</sst>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4" formatCode="_ &quot;₹&quot;\ * #,##0.00_ ;_ &quot;₹&quot;\ * \-#,##0.00_ ;_ &quot;₹&quot;\ * &quot;-&quot;??_ ;_ @_ "/>
    <numFmt numFmtId="164" formatCode="mmm/yyyy"/>
    <numFmt numFmtId="165" formatCode="&quot;₹&quot;\ #,##0.00"/>
    <numFmt numFmtId="166" formatCode="&quot;₹&quot;\ #,##0"/>
    <numFmt numFmtId="167" formatCode="0.0%"/>
    <numFmt numFmtId="168" formatCode="\₹#,##0"/>
    <numFmt numFmtId="169" formatCode="0.0"/>
    <numFmt numFmtId="170" formatCode="dd\-mmm\-yy"/>
    <numFmt numFmtId="171" formatCode="[&gt;=10000000]\₹##\,##\,##\,##0;[&gt;=100000]\₹##\,##\,##0;\₹##,##0"/>
    <numFmt numFmtId="172" formatCode="&quot;▲ &quot;0.0%&quot; vs 2024&quot;;&quot;▼ &quot;0.0%&quot; vs 2024&quot;;&quot;● no change&quot;"/>
    <numFmt numFmtId="173" formatCode="&quot;▲ &quot;0.0%&quot; pts vs 2024&quot;;&quot;▼ &quot;0.0%&quot; pts vs 2024&quot;;&quot;● no change&quot;"/>
    <numFmt numFmtId="174" formatCode="&quot;▲ &quot;0.00&quot; vs 2024&quot;;&quot;▼ &quot;0.00&quot; vs 2024&quot;;&quot;● no change&quot;"/>
    <numFmt numFmtId="175" formatCode="&quot;JK &quot;0.0"/>
    <numFmt numFmtId="176" formatCode="&quot;PB &quot;0.0"/>
    <numFmt numFmtId="177" formatCode="&quot;HP &quot;0.0"/>
    <numFmt numFmtId="178" formatCode="&quot;UK &quot;0.0"/>
    <numFmt numFmtId="179" formatCode="&quot;RJ &quot;0.0"/>
    <numFmt numFmtId="180" formatCode="&quot;HR &quot;0.0"/>
    <numFmt numFmtId="181" formatCode="&quot;DL &quot;0.0"/>
    <numFmt numFmtId="182" formatCode="&quot;UP &quot;0.0"/>
    <numFmt numFmtId="183" formatCode="&quot;BR &quot;0.0"/>
    <numFmt numFmtId="184" formatCode="&quot;AS &quot;0.0"/>
    <numFmt numFmtId="185" formatCode="&quot;GJ &quot;0.0"/>
    <numFmt numFmtId="186" formatCode="&quot;MP &quot;0.0"/>
    <numFmt numFmtId="187" formatCode="&quot;CG &quot;0.0"/>
    <numFmt numFmtId="188" formatCode="&quot;JH &quot;0.0"/>
    <numFmt numFmtId="189" formatCode="&quot;WB &quot;0.0"/>
    <numFmt numFmtId="190" formatCode="&quot;MH &quot;0.0"/>
    <numFmt numFmtId="191" formatCode="&quot;TG &quot;0.0"/>
    <numFmt numFmtId="192" formatCode="&quot;OD &quot;0.0"/>
    <numFmt numFmtId="193" formatCode="&quot;GA &quot;0.0"/>
    <numFmt numFmtId="194" formatCode="&quot;KA &quot;0.0"/>
    <numFmt numFmtId="195" formatCode="&quot;AP &quot;0.0"/>
    <numFmt numFmtId="196" formatCode="&quot;KL &quot;0.0"/>
    <numFmt numFmtId="197" formatCode="&quot;TN &quot;0.0"/>
    <numFmt numFmtId="198" formatCode="#,##0,&quot;K&quot;"/>
  </numFmts>
  <fonts count="40" x14ac:knownFonts="1">
    <font>
      <sz val="11"/>
      <color theme="1"/>
      <name val="Calibri"/>
      <family val="2"/>
      <scheme val="minor"/>
    </font>
    <font>
      <sz val="10"/>
      <color theme="1"/>
      <name val="Arial Unicode MS"/>
      <family val="2"/>
    </font>
    <font>
      <sz val="11"/>
      <color theme="1"/>
      <name val="Calibri"/>
      <family val="2"/>
      <scheme val="minor"/>
    </font>
    <font>
      <b/>
      <sz val="11"/>
      <color theme="1"/>
      <name val="Calibri"/>
      <family val="2"/>
      <scheme val="minor"/>
    </font>
    <font>
      <sz val="8"/>
      <name val="Calibri"/>
      <family val="2"/>
      <scheme val="minor"/>
    </font>
    <font>
      <b/>
      <sz val="10"/>
      <color rgb="FF000000"/>
      <name val="Arial"/>
      <family val="2"/>
    </font>
    <font>
      <sz val="10"/>
      <color rgb="FF0000FF"/>
      <name val="Arial"/>
      <family val="2"/>
    </font>
    <font>
      <b/>
      <sz val="24"/>
      <color theme="4" tint="-0.249977111117893"/>
      <name val="Calibri"/>
      <family val="2"/>
      <scheme val="minor"/>
    </font>
    <font>
      <b/>
      <sz val="11"/>
      <color rgb="FF1F3864"/>
      <name val="Arial"/>
      <family val="2"/>
    </font>
    <font>
      <b/>
      <sz val="10"/>
      <color rgb="FFFFFFFF"/>
      <name val="Arial"/>
      <family val="2"/>
    </font>
    <font>
      <i/>
      <sz val="8"/>
      <color rgb="FF7F7F7F"/>
      <name val="Arial"/>
      <family val="2"/>
    </font>
    <font>
      <b/>
      <sz val="11"/>
      <color rgb="FF2E75B6"/>
      <name val="Arial"/>
      <family val="2"/>
    </font>
    <font>
      <b/>
      <sz val="10"/>
      <name val="Arial"/>
      <family val="2"/>
    </font>
    <font>
      <sz val="11"/>
      <name val="Calibri"/>
      <family val="2"/>
      <scheme val="minor"/>
    </font>
    <font>
      <b/>
      <sz val="9"/>
      <color rgb="FFFFFFFF"/>
      <name val="Arial"/>
      <family val="2"/>
    </font>
    <font>
      <b/>
      <sz val="20"/>
      <color rgb="FF2E75B6"/>
      <name val="Arial"/>
      <family val="2"/>
    </font>
    <font>
      <b/>
      <sz val="20"/>
      <color rgb="FF70AD47"/>
      <name val="Arial"/>
      <family val="2"/>
    </font>
    <font>
      <b/>
      <sz val="20"/>
      <color rgb="FF548235"/>
      <name val="Arial"/>
      <family val="2"/>
    </font>
    <font>
      <b/>
      <sz val="20"/>
      <color rgb="FF7030A0"/>
      <name val="Arial"/>
      <family val="2"/>
    </font>
    <font>
      <b/>
      <sz val="20"/>
      <color rgb="FF2F5597"/>
      <name val="Arial"/>
      <family val="2"/>
    </font>
    <font>
      <b/>
      <sz val="20"/>
      <color rgb="FFBF8F00"/>
      <name val="Arial"/>
      <family val="2"/>
    </font>
    <font>
      <b/>
      <sz val="20"/>
      <color rgb="FFC00000"/>
      <name val="Arial"/>
      <family val="2"/>
    </font>
    <font>
      <b/>
      <sz val="20"/>
      <color rgb="FF404040"/>
      <name val="Arial"/>
      <family val="2"/>
    </font>
    <font>
      <b/>
      <sz val="9"/>
      <color rgb="FF7F7F7F"/>
      <name val="Arial"/>
      <family val="2"/>
    </font>
    <font>
      <i/>
      <sz val="9"/>
      <color rgb="FF7F7F7F"/>
      <name val="Arial"/>
      <family val="2"/>
    </font>
    <font>
      <b/>
      <sz val="13"/>
      <color theme="0"/>
      <name val="Calibri"/>
      <family val="2"/>
      <scheme val="minor"/>
    </font>
    <font>
      <sz val="12"/>
      <color theme="1"/>
      <name val="Aptos Display"/>
      <family val="2"/>
    </font>
    <font>
      <b/>
      <sz val="9"/>
      <color rgb="FF1F3864"/>
      <name val="Arial"/>
    </font>
    <font>
      <b/>
      <sz val="10"/>
      <color rgb="FF1F3864"/>
      <name val="Arial"/>
      <family val="2"/>
    </font>
    <font>
      <sz val="10"/>
      <color theme="1"/>
      <name val="Calibri"/>
      <family val="2"/>
      <scheme val="minor"/>
    </font>
    <font>
      <sz val="12"/>
      <color theme="1"/>
      <name val="Calibri"/>
      <family val="2"/>
      <scheme val="minor"/>
    </font>
    <font>
      <b/>
      <sz val="10"/>
      <color rgb="FFFFFFFF"/>
      <name val="Arial"/>
    </font>
    <font>
      <b/>
      <sz val="9"/>
      <color rgb="FF000000"/>
      <name val="Arial"/>
    </font>
    <font>
      <sz val="9"/>
      <color rgb="FF000000"/>
      <name val="Arial"/>
    </font>
    <font>
      <b/>
      <sz val="9"/>
      <color rgb="FFFFFFFF"/>
      <name val="Arial"/>
    </font>
    <font>
      <b/>
      <sz val="11"/>
      <color rgb="FFFFFFFF"/>
      <name val="Arial"/>
      <family val="2"/>
    </font>
    <font>
      <b/>
      <sz val="12"/>
      <color theme="1"/>
      <name val="Calibri"/>
      <family val="2"/>
      <scheme val="minor"/>
    </font>
    <font>
      <sz val="13"/>
      <color theme="1" tint="4.9989318521683403E-2"/>
      <name val="Calibri"/>
      <family val="2"/>
      <scheme val="minor"/>
    </font>
    <font>
      <b/>
      <sz val="13"/>
      <color theme="1" tint="4.9989318521683403E-2"/>
      <name val="Calibri"/>
      <family val="2"/>
      <scheme val="minor"/>
    </font>
    <font>
      <b/>
      <sz val="22"/>
      <color theme="0"/>
      <name val="Arial"/>
      <family val="2"/>
    </font>
  </fonts>
  <fills count="18">
    <fill>
      <patternFill patternType="none"/>
    </fill>
    <fill>
      <patternFill patternType="gray125"/>
    </fill>
    <fill>
      <patternFill patternType="solid">
        <fgColor rgb="FFFFF2CC"/>
      </patternFill>
    </fill>
    <fill>
      <patternFill patternType="solid">
        <fgColor rgb="FF1F3864"/>
      </patternFill>
    </fill>
    <fill>
      <patternFill patternType="solid">
        <fgColor rgb="FFF3F6FA"/>
      </patternFill>
    </fill>
    <fill>
      <patternFill patternType="solid">
        <fgColor rgb="FF2F5597"/>
      </patternFill>
    </fill>
    <fill>
      <patternFill patternType="solid">
        <fgColor rgb="FFBF8F00"/>
      </patternFill>
    </fill>
    <fill>
      <patternFill patternType="solid">
        <fgColor rgb="FFC00000"/>
      </patternFill>
    </fill>
    <fill>
      <patternFill patternType="solid">
        <fgColor rgb="FF404040"/>
      </patternFill>
    </fill>
    <fill>
      <patternFill patternType="solid">
        <fgColor rgb="FF2E75B6"/>
      </patternFill>
    </fill>
    <fill>
      <patternFill patternType="solid">
        <fgColor rgb="FF70AD47"/>
      </patternFill>
    </fill>
    <fill>
      <patternFill patternType="solid">
        <fgColor rgb="FF548235"/>
      </patternFill>
    </fill>
    <fill>
      <patternFill patternType="solid">
        <fgColor rgb="FF7030A0"/>
      </patternFill>
    </fill>
    <fill>
      <patternFill patternType="solid">
        <fgColor rgb="FFFFFFFF"/>
      </patternFill>
    </fill>
    <fill>
      <patternFill patternType="solid">
        <fgColor rgb="FF0070C0"/>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8" tint="-0.499984740745262"/>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D9D9D9"/>
      </left>
      <right style="thin">
        <color rgb="FFD9D9D9"/>
      </right>
      <top/>
      <bottom/>
      <diagonal/>
    </border>
    <border>
      <left style="thin">
        <color theme="0"/>
      </left>
      <right style="thin">
        <color theme="0"/>
      </right>
      <top style="thin">
        <color theme="0"/>
      </top>
      <bottom/>
      <diagonal/>
    </border>
    <border>
      <left style="thin">
        <color rgb="FFFFFFFF"/>
      </left>
      <right style="thin">
        <color rgb="FFFFFFFF"/>
      </right>
      <top style="thin">
        <color rgb="FFFFFFFF"/>
      </top>
      <bottom style="thin">
        <color rgb="FFFFFFFF"/>
      </bottom>
      <diagonal/>
    </border>
    <border>
      <left/>
      <right/>
      <top/>
      <bottom style="thin">
        <color rgb="FFE7E6E6"/>
      </bottom>
      <diagonal/>
    </border>
    <border>
      <left style="thin">
        <color rgb="FFD9D9D9"/>
      </left>
      <right/>
      <top/>
      <bottom/>
      <diagonal/>
    </border>
    <border>
      <left/>
      <right style="thin">
        <color rgb="FFD9D9D9"/>
      </right>
      <top/>
      <bottom/>
      <diagonal/>
    </border>
    <border>
      <left/>
      <right style="thin">
        <color rgb="FFFFFFFF"/>
      </right>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style="thin">
        <color theme="1" tint="0.34998626667073579"/>
      </left>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02">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2" applyFont="1"/>
    <xf numFmtId="166" fontId="0" fillId="0" borderId="0" xfId="0" applyNumberFormat="1"/>
    <xf numFmtId="0" fontId="5" fillId="0" borderId="0" xfId="0" applyFont="1"/>
    <xf numFmtId="0" fontId="6" fillId="2" borderId="0" xfId="0" applyFont="1" applyFill="1"/>
    <xf numFmtId="167" fontId="1" fillId="0" borderId="0" xfId="2" applyNumberFormat="1" applyFont="1"/>
    <xf numFmtId="167" fontId="0" fillId="0" borderId="0" xfId="2" applyNumberFormat="1" applyFont="1"/>
    <xf numFmtId="15" fontId="0" fillId="0" borderId="0" xfId="0" applyNumberFormat="1"/>
    <xf numFmtId="167" fontId="2" fillId="0" borderId="0" xfId="0" applyNumberFormat="1"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167" fontId="0" fillId="0" borderId="0" xfId="0" applyNumberFormat="1"/>
    <xf numFmtId="3" fontId="0" fillId="0" borderId="0" xfId="0" applyNumberFormat="1"/>
    <xf numFmtId="168" fontId="0" fillId="0" borderId="0" xfId="0" applyNumberFormat="1"/>
    <xf numFmtId="2" fontId="0" fillId="0" borderId="0" xfId="0" applyNumberFormat="1"/>
    <xf numFmtId="169" fontId="0" fillId="0" borderId="0" xfId="0" applyNumberFormat="1"/>
    <xf numFmtId="0" fontId="10" fillId="0" borderId="0" xfId="0" applyFont="1"/>
    <xf numFmtId="17" fontId="0" fillId="0" borderId="0" xfId="0" applyNumberFormat="1"/>
    <xf numFmtId="166" fontId="2" fillId="0" borderId="0" xfId="0" applyNumberFormat="1" applyFont="1"/>
    <xf numFmtId="0" fontId="0" fillId="0" borderId="0" xfId="0" applyAlignment="1">
      <alignment horizontal="left"/>
    </xf>
    <xf numFmtId="0" fontId="0" fillId="0" borderId="0" xfId="0" applyAlignment="1">
      <alignment horizontal="left" indent="1"/>
    </xf>
    <xf numFmtId="0" fontId="3" fillId="0" borderId="0" xfId="0" applyFont="1"/>
    <xf numFmtId="0" fontId="0" fillId="4" borderId="0" xfId="0" applyFill="1"/>
    <xf numFmtId="0" fontId="12" fillId="0" borderId="1" xfId="0" applyFont="1" applyBorder="1" applyAlignment="1">
      <alignment horizontal="center" vertical="center" wrapText="1"/>
    </xf>
    <xf numFmtId="0" fontId="13" fillId="0" borderId="0" xfId="0" applyFont="1"/>
    <xf numFmtId="1" fontId="0" fillId="0" borderId="0" xfId="0" applyNumberFormat="1"/>
    <xf numFmtId="17" fontId="1" fillId="0" borderId="0" xfId="0" applyNumberFormat="1" applyFont="1" applyAlignment="1">
      <alignment vertical="center"/>
    </xf>
    <xf numFmtId="0" fontId="24" fillId="4" borderId="0" xfId="0" applyFont="1" applyFill="1"/>
    <xf numFmtId="0" fontId="0" fillId="14" borderId="0" xfId="0" applyFill="1"/>
    <xf numFmtId="0" fontId="25" fillId="14" borderId="0" xfId="0" applyFont="1" applyFill="1"/>
    <xf numFmtId="0" fontId="26" fillId="4" borderId="0" xfId="0" applyFont="1" applyFill="1"/>
    <xf numFmtId="0" fontId="9" fillId="3" borderId="7" xfId="0" applyFont="1" applyFill="1" applyBorder="1" applyAlignment="1">
      <alignment horizontal="center" vertical="center" wrapText="1"/>
    </xf>
    <xf numFmtId="0" fontId="27" fillId="4" borderId="0" xfId="0" applyFont="1" applyFill="1"/>
    <xf numFmtId="175" fontId="0" fillId="4" borderId="0" xfId="0" applyNumberFormat="1" applyFill="1"/>
    <xf numFmtId="176" fontId="0" fillId="4" borderId="0" xfId="0" applyNumberFormat="1" applyFill="1"/>
    <xf numFmtId="177" fontId="0" fillId="4" borderId="0" xfId="0" applyNumberFormat="1" applyFill="1"/>
    <xf numFmtId="178" fontId="0" fillId="4" borderId="0" xfId="0" applyNumberFormat="1" applyFill="1"/>
    <xf numFmtId="179" fontId="0" fillId="4" borderId="0" xfId="0" applyNumberFormat="1" applyFill="1"/>
    <xf numFmtId="180" fontId="0" fillId="4" borderId="0" xfId="0" applyNumberFormat="1" applyFill="1"/>
    <xf numFmtId="181" fontId="0" fillId="4" borderId="0" xfId="0" applyNumberFormat="1" applyFill="1"/>
    <xf numFmtId="182" fontId="0" fillId="4" borderId="0" xfId="0" applyNumberFormat="1" applyFill="1"/>
    <xf numFmtId="183" fontId="0" fillId="4" borderId="0" xfId="0" applyNumberFormat="1" applyFill="1"/>
    <xf numFmtId="184" fontId="0" fillId="4" borderId="0" xfId="0" applyNumberFormat="1" applyFill="1"/>
    <xf numFmtId="185" fontId="0" fillId="4" borderId="0" xfId="0" applyNumberFormat="1" applyFill="1"/>
    <xf numFmtId="186" fontId="0" fillId="4" borderId="0" xfId="0" applyNumberFormat="1" applyFill="1"/>
    <xf numFmtId="187" fontId="0" fillId="4" borderId="0" xfId="0" applyNumberFormat="1" applyFill="1"/>
    <xf numFmtId="188" fontId="0" fillId="4" borderId="0" xfId="0" applyNumberFormat="1" applyFill="1"/>
    <xf numFmtId="189" fontId="0" fillId="4" borderId="0" xfId="0" applyNumberFormat="1" applyFill="1"/>
    <xf numFmtId="190" fontId="0" fillId="4" borderId="0" xfId="0" applyNumberFormat="1" applyFill="1"/>
    <xf numFmtId="191" fontId="0" fillId="4" borderId="0" xfId="0" applyNumberFormat="1" applyFill="1"/>
    <xf numFmtId="192" fontId="0" fillId="4" borderId="0" xfId="0" applyNumberFormat="1" applyFill="1"/>
    <xf numFmtId="193" fontId="0" fillId="4" borderId="0" xfId="0" applyNumberFormat="1" applyFill="1"/>
    <xf numFmtId="194" fontId="0" fillId="4" borderId="0" xfId="0" applyNumberFormat="1" applyFill="1"/>
    <xf numFmtId="195" fontId="0" fillId="4" borderId="0" xfId="0" applyNumberFormat="1" applyFill="1"/>
    <xf numFmtId="196" fontId="0" fillId="4" borderId="0" xfId="0" applyNumberFormat="1" applyFill="1"/>
    <xf numFmtId="197" fontId="0" fillId="4" borderId="0" xfId="0" applyNumberFormat="1" applyFill="1"/>
    <xf numFmtId="0" fontId="8" fillId="4" borderId="0" xfId="0" applyFont="1" applyFill="1"/>
    <xf numFmtId="0" fontId="28" fillId="4" borderId="0" xfId="0" applyFont="1" applyFill="1"/>
    <xf numFmtId="0" fontId="29" fillId="4" borderId="0" xfId="0" applyFont="1" applyFill="1"/>
    <xf numFmtId="0" fontId="29" fillId="0" borderId="0" xfId="0" applyFont="1"/>
    <xf numFmtId="0" fontId="31" fillId="3" borderId="8" xfId="0" applyFont="1" applyFill="1" applyBorder="1" applyAlignment="1">
      <alignment horizontal="center" vertical="center" wrapText="1"/>
    </xf>
    <xf numFmtId="49" fontId="32" fillId="13" borderId="1" xfId="0" applyNumberFormat="1" applyFont="1" applyFill="1" applyBorder="1" applyAlignment="1">
      <alignment horizontal="left"/>
    </xf>
    <xf numFmtId="168" fontId="33" fillId="13" borderId="1" xfId="0" applyNumberFormat="1" applyFont="1" applyFill="1" applyBorder="1" applyAlignment="1">
      <alignment horizontal="center"/>
    </xf>
    <xf numFmtId="9" fontId="33" fillId="13" borderId="1" xfId="0" applyNumberFormat="1" applyFont="1" applyFill="1" applyBorder="1" applyAlignment="1">
      <alignment horizontal="center"/>
    </xf>
    <xf numFmtId="167" fontId="33" fillId="13" borderId="1" xfId="0" applyNumberFormat="1" applyFont="1" applyFill="1" applyBorder="1" applyAlignment="1">
      <alignment horizontal="center"/>
    </xf>
    <xf numFmtId="2" fontId="33" fillId="13" borderId="1" xfId="0" applyNumberFormat="1" applyFont="1" applyFill="1" applyBorder="1" applyAlignment="1">
      <alignment horizontal="center"/>
    </xf>
    <xf numFmtId="198" fontId="33" fillId="4" borderId="9" xfId="0" applyNumberFormat="1" applyFont="1" applyFill="1" applyBorder="1" applyAlignment="1">
      <alignment horizontal="center"/>
    </xf>
    <xf numFmtId="0" fontId="34" fillId="3" borderId="0" xfId="0" applyFont="1" applyFill="1" applyAlignment="1">
      <alignment horizontal="center" vertical="center"/>
    </xf>
    <xf numFmtId="1" fontId="1" fillId="0" borderId="0" xfId="0" applyNumberFormat="1" applyFont="1" applyAlignment="1">
      <alignment vertical="center"/>
    </xf>
    <xf numFmtId="0" fontId="0" fillId="15" borderId="0" xfId="0" applyFill="1"/>
    <xf numFmtId="9" fontId="0" fillId="0" borderId="0" xfId="2" applyFont="1" applyFill="1"/>
    <xf numFmtId="166" fontId="0" fillId="0" borderId="0" xfId="1" applyNumberFormat="1" applyFont="1" applyFill="1"/>
    <xf numFmtId="166" fontId="1" fillId="0" borderId="0" xfId="0" applyNumberFormat="1" applyFont="1"/>
    <xf numFmtId="165" fontId="1" fillId="0" borderId="0" xfId="0" applyNumberFormat="1" applyFont="1"/>
    <xf numFmtId="167" fontId="1" fillId="0" borderId="0" xfId="2" applyNumberFormat="1" applyFont="1" applyFill="1"/>
    <xf numFmtId="170" fontId="0" fillId="0" borderId="0" xfId="0" applyNumberFormat="1"/>
    <xf numFmtId="0" fontId="1" fillId="0" borderId="0" xfId="0" applyFont="1" applyAlignment="1">
      <alignment vertical="center"/>
    </xf>
    <xf numFmtId="164" fontId="1" fillId="0" borderId="0" xfId="0" applyNumberFormat="1" applyFont="1"/>
    <xf numFmtId="0" fontId="1" fillId="0" borderId="0" xfId="0" applyFont="1"/>
    <xf numFmtId="167" fontId="0" fillId="0" borderId="0" xfId="2" applyNumberFormat="1" applyFont="1" applyFill="1"/>
    <xf numFmtId="0" fontId="0" fillId="0" borderId="0" xfId="0" pivotButton="1" applyAlignment="1">
      <alignment horizontal="center"/>
    </xf>
    <xf numFmtId="0" fontId="0" fillId="0" borderId="0" xfId="0" pivotButton="1" applyAlignment="1">
      <alignment horizontal="left"/>
    </xf>
    <xf numFmtId="166" fontId="0" fillId="0" borderId="0" xfId="0" applyNumberFormat="1" applyAlignment="1">
      <alignment horizontal="left"/>
    </xf>
    <xf numFmtId="0" fontId="0" fillId="0" borderId="0" xfId="0" applyAlignment="1">
      <alignment horizontal="right"/>
    </xf>
    <xf numFmtId="166" fontId="0" fillId="0" borderId="0" xfId="0" applyNumberFormat="1" applyAlignment="1">
      <alignment horizontal="right"/>
    </xf>
    <xf numFmtId="0" fontId="25" fillId="14" borderId="14" xfId="0" applyFont="1" applyFill="1" applyBorder="1"/>
    <xf numFmtId="1" fontId="33" fillId="13" borderId="14" xfId="0" applyNumberFormat="1" applyFont="1" applyFill="1" applyBorder="1" applyAlignment="1">
      <alignment horizontal="center" vertical="center"/>
    </xf>
    <xf numFmtId="168" fontId="33" fillId="13" borderId="14" xfId="0" applyNumberFormat="1" applyFont="1" applyFill="1" applyBorder="1" applyAlignment="1">
      <alignment horizontal="center" vertical="center"/>
    </xf>
    <xf numFmtId="167" fontId="33" fillId="13" borderId="14" xfId="0" applyNumberFormat="1" applyFont="1" applyFill="1" applyBorder="1" applyAlignment="1">
      <alignment horizontal="center" vertical="center"/>
    </xf>
    <xf numFmtId="3" fontId="33" fillId="13" borderId="14" xfId="0" applyNumberFormat="1" applyFont="1" applyFill="1" applyBorder="1" applyAlignment="1">
      <alignment horizontal="center" vertical="center"/>
    </xf>
    <xf numFmtId="2" fontId="33" fillId="13" borderId="14" xfId="0" applyNumberFormat="1" applyFont="1" applyFill="1" applyBorder="1" applyAlignment="1">
      <alignment horizontal="center" vertical="center"/>
    </xf>
    <xf numFmtId="1" fontId="33" fillId="13" borderId="15" xfId="0" applyNumberFormat="1" applyFont="1" applyFill="1" applyBorder="1" applyAlignment="1">
      <alignment horizontal="center" vertical="center"/>
    </xf>
    <xf numFmtId="168" fontId="33" fillId="13" borderId="15" xfId="0" applyNumberFormat="1" applyFont="1" applyFill="1" applyBorder="1" applyAlignment="1">
      <alignment horizontal="center" vertical="center"/>
    </xf>
    <xf numFmtId="167" fontId="33" fillId="13" borderId="15" xfId="0" applyNumberFormat="1" applyFont="1" applyFill="1" applyBorder="1" applyAlignment="1">
      <alignment horizontal="center" vertical="center"/>
    </xf>
    <xf numFmtId="3" fontId="33" fillId="13" borderId="15" xfId="0" applyNumberFormat="1" applyFont="1" applyFill="1" applyBorder="1" applyAlignment="1">
      <alignment horizontal="center" vertical="center"/>
    </xf>
    <xf numFmtId="2" fontId="33" fillId="13" borderId="15" xfId="0" applyNumberFormat="1" applyFont="1" applyFill="1" applyBorder="1" applyAlignment="1">
      <alignment horizontal="center" vertical="center"/>
    </xf>
    <xf numFmtId="1" fontId="33" fillId="0" borderId="10" xfId="0" applyNumberFormat="1" applyFont="1" applyBorder="1" applyAlignment="1">
      <alignment horizontal="center" vertical="center"/>
    </xf>
    <xf numFmtId="168" fontId="33" fillId="0" borderId="10" xfId="0" applyNumberFormat="1" applyFont="1" applyBorder="1" applyAlignment="1">
      <alignment horizontal="center" vertical="center"/>
    </xf>
    <xf numFmtId="167" fontId="33" fillId="0" borderId="10" xfId="0" applyNumberFormat="1" applyFont="1" applyBorder="1" applyAlignment="1">
      <alignment horizontal="center" vertical="center"/>
    </xf>
    <xf numFmtId="3" fontId="33" fillId="0" borderId="10" xfId="0" applyNumberFormat="1" applyFont="1" applyBorder="1" applyAlignment="1">
      <alignment horizontal="center" vertical="center"/>
    </xf>
    <xf numFmtId="2" fontId="33" fillId="0" borderId="10" xfId="0" applyNumberFormat="1" applyFont="1" applyBorder="1" applyAlignment="1">
      <alignment horizontal="center" vertical="center"/>
    </xf>
    <xf numFmtId="0" fontId="0" fillId="16" borderId="0" xfId="0" applyFill="1"/>
    <xf numFmtId="0" fontId="36" fillId="16" borderId="0" xfId="0" applyFont="1" applyFill="1" applyAlignment="1">
      <alignment horizontal="left"/>
    </xf>
    <xf numFmtId="0" fontId="30" fillId="16" borderId="0" xfId="0" applyFont="1" applyFill="1"/>
    <xf numFmtId="0" fontId="30" fillId="16" borderId="0" xfId="0" applyFont="1" applyFill="1" applyAlignment="1">
      <alignment horizontal="left"/>
    </xf>
    <xf numFmtId="0" fontId="36" fillId="16" borderId="0" xfId="0" applyFont="1" applyFill="1"/>
    <xf numFmtId="0" fontId="37" fillId="16" borderId="0" xfId="0" applyFont="1" applyFill="1" applyAlignment="1">
      <alignment horizontal="center" vertical="center"/>
    </xf>
    <xf numFmtId="2" fontId="20" fillId="13" borderId="2" xfId="0" applyNumberFormat="1" applyFont="1" applyFill="1" applyBorder="1" applyAlignment="1">
      <alignment horizontal="center" vertical="center"/>
    </xf>
    <xf numFmtId="2" fontId="20" fillId="13" borderId="0" xfId="0" applyNumberFormat="1" applyFont="1" applyFill="1" applyAlignment="1">
      <alignment horizontal="center" vertical="center"/>
    </xf>
    <xf numFmtId="2" fontId="20" fillId="13" borderId="3" xfId="0" applyNumberFormat="1" applyFont="1" applyFill="1" applyBorder="1" applyAlignment="1">
      <alignment horizontal="center" vertical="center"/>
    </xf>
    <xf numFmtId="167" fontId="21" fillId="13" borderId="2" xfId="0" applyNumberFormat="1" applyFont="1" applyFill="1" applyBorder="1" applyAlignment="1">
      <alignment horizontal="center" vertical="center"/>
    </xf>
    <xf numFmtId="167" fontId="21" fillId="13" borderId="0" xfId="0" applyNumberFormat="1" applyFont="1" applyFill="1" applyAlignment="1">
      <alignment horizontal="center" vertical="center"/>
    </xf>
    <xf numFmtId="167" fontId="21" fillId="13" borderId="3" xfId="0" applyNumberFormat="1" applyFont="1" applyFill="1" applyBorder="1" applyAlignment="1">
      <alignment horizontal="center" vertical="center"/>
    </xf>
    <xf numFmtId="169" fontId="22" fillId="13" borderId="2" xfId="0" applyNumberFormat="1" applyFont="1" applyFill="1" applyBorder="1" applyAlignment="1">
      <alignment horizontal="center" vertical="center"/>
    </xf>
    <xf numFmtId="169" fontId="22" fillId="13" borderId="0" xfId="0" applyNumberFormat="1" applyFont="1" applyFill="1" applyAlignment="1">
      <alignment horizontal="center" vertical="center"/>
    </xf>
    <xf numFmtId="169" fontId="22" fillId="13" borderId="3" xfId="0" applyNumberFormat="1" applyFont="1" applyFill="1" applyBorder="1" applyAlignment="1">
      <alignment horizontal="center" vertical="center"/>
    </xf>
    <xf numFmtId="172" fontId="23" fillId="13" borderId="2" xfId="0" applyNumberFormat="1" applyFont="1" applyFill="1" applyBorder="1" applyAlignment="1">
      <alignment horizontal="center"/>
    </xf>
    <xf numFmtId="172" fontId="23" fillId="13" borderId="0" xfId="0" applyNumberFormat="1" applyFont="1" applyFill="1" applyAlignment="1">
      <alignment horizontal="center"/>
    </xf>
    <xf numFmtId="172" fontId="23" fillId="13" borderId="3" xfId="0" applyNumberFormat="1" applyFont="1" applyFill="1" applyBorder="1" applyAlignment="1">
      <alignment horizontal="center"/>
    </xf>
    <xf numFmtId="171" fontId="15" fillId="13" borderId="2" xfId="0" applyNumberFormat="1" applyFont="1" applyFill="1" applyBorder="1" applyAlignment="1">
      <alignment horizontal="center" vertical="center"/>
    </xf>
    <xf numFmtId="171" fontId="15" fillId="13" borderId="0" xfId="0" applyNumberFormat="1" applyFont="1" applyFill="1" applyAlignment="1">
      <alignment horizontal="center" vertical="center"/>
    </xf>
    <xf numFmtId="171" fontId="15" fillId="13" borderId="3" xfId="0" applyNumberFormat="1" applyFont="1" applyFill="1" applyBorder="1" applyAlignment="1">
      <alignment horizontal="center" vertical="center"/>
    </xf>
    <xf numFmtId="171" fontId="16" fillId="13" borderId="2" xfId="0" applyNumberFormat="1" applyFont="1" applyFill="1" applyBorder="1" applyAlignment="1">
      <alignment horizontal="center" vertical="center"/>
    </xf>
    <xf numFmtId="171" fontId="16" fillId="13" borderId="0" xfId="0" applyNumberFormat="1" applyFont="1" applyFill="1" applyAlignment="1">
      <alignment horizontal="center" vertical="center"/>
    </xf>
    <xf numFmtId="171" fontId="16" fillId="13" borderId="3" xfId="0" applyNumberFormat="1" applyFont="1" applyFill="1" applyBorder="1" applyAlignment="1">
      <alignment horizontal="center" vertical="center"/>
    </xf>
    <xf numFmtId="167" fontId="17" fillId="13" borderId="2" xfId="0" applyNumberFormat="1" applyFont="1" applyFill="1" applyBorder="1" applyAlignment="1">
      <alignment horizontal="center" vertical="center"/>
    </xf>
    <xf numFmtId="167" fontId="17" fillId="13" borderId="0" xfId="0" applyNumberFormat="1" applyFont="1" applyFill="1" applyAlignment="1">
      <alignment horizontal="center" vertical="center"/>
    </xf>
    <xf numFmtId="167" fontId="17" fillId="13" borderId="3" xfId="0" applyNumberFormat="1" applyFont="1" applyFill="1" applyBorder="1" applyAlignment="1">
      <alignment horizontal="center" vertical="center"/>
    </xf>
    <xf numFmtId="3" fontId="18" fillId="13" borderId="2" xfId="0" applyNumberFormat="1" applyFont="1" applyFill="1" applyBorder="1" applyAlignment="1">
      <alignment horizontal="center" vertical="center"/>
    </xf>
    <xf numFmtId="3" fontId="18" fillId="13" borderId="0" xfId="0" applyNumberFormat="1" applyFont="1" applyFill="1" applyAlignment="1">
      <alignment horizontal="center" vertical="center"/>
    </xf>
    <xf numFmtId="3" fontId="18" fillId="13" borderId="3" xfId="0" applyNumberFormat="1" applyFont="1" applyFill="1" applyBorder="1" applyAlignment="1">
      <alignment horizontal="center" vertical="center"/>
    </xf>
    <xf numFmtId="168" fontId="19" fillId="13" borderId="2" xfId="0" applyNumberFormat="1" applyFont="1" applyFill="1" applyBorder="1" applyAlignment="1">
      <alignment horizontal="center" vertical="center"/>
    </xf>
    <xf numFmtId="168" fontId="19" fillId="13" borderId="0" xfId="0" applyNumberFormat="1" applyFont="1" applyFill="1" applyAlignment="1">
      <alignment horizontal="center" vertical="center"/>
    </xf>
    <xf numFmtId="168" fontId="19" fillId="13" borderId="3" xfId="0" applyNumberFormat="1" applyFont="1" applyFill="1" applyBorder="1" applyAlignment="1">
      <alignment horizontal="center" vertical="center"/>
    </xf>
    <xf numFmtId="0" fontId="0" fillId="16" borderId="0" xfId="0" applyFill="1" applyAlignment="1">
      <alignment horizontal="center"/>
    </xf>
    <xf numFmtId="0" fontId="11" fillId="16" borderId="0" xfId="0" applyFont="1" applyFill="1"/>
    <xf numFmtId="0" fontId="38" fillId="16" borderId="16" xfId="0" applyFont="1" applyFill="1" applyBorder="1" applyAlignment="1">
      <alignment horizontal="center" vertical="center"/>
    </xf>
    <xf numFmtId="0" fontId="38" fillId="16" borderId="17" xfId="0" applyFont="1" applyFill="1" applyBorder="1" applyAlignment="1">
      <alignment horizontal="center" vertical="center"/>
    </xf>
    <xf numFmtId="0" fontId="36" fillId="16" borderId="0" xfId="0" applyFont="1" applyFill="1" applyAlignment="1">
      <alignment horizontal="left"/>
    </xf>
    <xf numFmtId="0" fontId="14" fillId="6" borderId="2" xfId="0" applyFont="1" applyFill="1" applyBorder="1" applyAlignment="1">
      <alignment horizontal="center"/>
    </xf>
    <xf numFmtId="0" fontId="14" fillId="6" borderId="0" xfId="0" applyFont="1" applyFill="1" applyAlignment="1">
      <alignment horizontal="center"/>
    </xf>
    <xf numFmtId="0" fontId="14" fillId="6" borderId="3" xfId="0" applyFont="1" applyFill="1" applyBorder="1" applyAlignment="1">
      <alignment horizontal="center"/>
    </xf>
    <xf numFmtId="0" fontId="14" fillId="7" borderId="2" xfId="0" applyFont="1" applyFill="1" applyBorder="1" applyAlignment="1">
      <alignment horizontal="center"/>
    </xf>
    <xf numFmtId="0" fontId="14" fillId="7" borderId="0" xfId="0" applyFont="1" applyFill="1" applyAlignment="1">
      <alignment horizontal="center"/>
    </xf>
    <xf numFmtId="0" fontId="14" fillId="7" borderId="3" xfId="0" applyFont="1" applyFill="1" applyBorder="1" applyAlignment="1">
      <alignment horizontal="center"/>
    </xf>
    <xf numFmtId="0" fontId="14" fillId="8" borderId="2" xfId="0" applyFont="1" applyFill="1" applyBorder="1" applyAlignment="1">
      <alignment horizontal="center"/>
    </xf>
    <xf numFmtId="0" fontId="14" fillId="8" borderId="0" xfId="0" applyFont="1" applyFill="1" applyAlignment="1">
      <alignment horizontal="center"/>
    </xf>
    <xf numFmtId="0" fontId="14" fillId="8" borderId="3" xfId="0" applyFont="1" applyFill="1" applyBorder="1" applyAlignment="1">
      <alignment horizontal="center"/>
    </xf>
    <xf numFmtId="0" fontId="14" fillId="9" borderId="2" xfId="0" applyFont="1" applyFill="1" applyBorder="1" applyAlignment="1">
      <alignment horizontal="center"/>
    </xf>
    <xf numFmtId="0" fontId="14" fillId="9" borderId="0" xfId="0" applyFont="1" applyFill="1" applyAlignment="1">
      <alignment horizontal="center"/>
    </xf>
    <xf numFmtId="0" fontId="14" fillId="9" borderId="3" xfId="0" applyFont="1" applyFill="1" applyBorder="1" applyAlignment="1">
      <alignment horizontal="center"/>
    </xf>
    <xf numFmtId="0" fontId="14" fillId="10" borderId="2" xfId="0" applyFont="1" applyFill="1" applyBorder="1" applyAlignment="1">
      <alignment horizontal="center"/>
    </xf>
    <xf numFmtId="0" fontId="14" fillId="10" borderId="0" xfId="0" applyFont="1" applyFill="1" applyAlignment="1">
      <alignment horizontal="center"/>
    </xf>
    <xf numFmtId="0" fontId="14" fillId="10" borderId="3" xfId="0" applyFont="1" applyFill="1" applyBorder="1" applyAlignment="1">
      <alignment horizontal="center"/>
    </xf>
    <xf numFmtId="0" fontId="14" fillId="11" borderId="2" xfId="0" applyFont="1" applyFill="1" applyBorder="1" applyAlignment="1">
      <alignment horizontal="center"/>
    </xf>
    <xf numFmtId="0" fontId="14" fillId="11" borderId="0" xfId="0" applyFont="1" applyFill="1" applyAlignment="1">
      <alignment horizontal="center"/>
    </xf>
    <xf numFmtId="0" fontId="14" fillId="11" borderId="3" xfId="0" applyFont="1" applyFill="1" applyBorder="1" applyAlignment="1">
      <alignment horizontal="center"/>
    </xf>
    <xf numFmtId="0" fontId="14" fillId="12" borderId="2" xfId="0" applyFont="1" applyFill="1" applyBorder="1" applyAlignment="1">
      <alignment horizontal="center"/>
    </xf>
    <xf numFmtId="0" fontId="14" fillId="12" borderId="0" xfId="0" applyFont="1" applyFill="1" applyAlignment="1">
      <alignment horizontal="center"/>
    </xf>
    <xf numFmtId="0" fontId="14" fillId="12" borderId="3" xfId="0" applyFont="1" applyFill="1" applyBorder="1" applyAlignment="1">
      <alignment horizontal="center"/>
    </xf>
    <xf numFmtId="0" fontId="14" fillId="5" borderId="2" xfId="0" applyFont="1" applyFill="1" applyBorder="1" applyAlignment="1">
      <alignment horizontal="center"/>
    </xf>
    <xf numFmtId="0" fontId="14" fillId="5" borderId="0" xfId="0" applyFont="1" applyFill="1" applyAlignment="1">
      <alignment horizontal="center"/>
    </xf>
    <xf numFmtId="0" fontId="14" fillId="5" borderId="3" xfId="0" applyFont="1" applyFill="1" applyBorder="1" applyAlignment="1">
      <alignment horizontal="center"/>
    </xf>
    <xf numFmtId="0" fontId="39" fillId="17" borderId="0" xfId="0" applyFont="1" applyFill="1" applyAlignment="1">
      <alignment vertical="center" indent="1"/>
    </xf>
    <xf numFmtId="0" fontId="0" fillId="13" borderId="4" xfId="0" applyFill="1" applyBorder="1"/>
    <xf numFmtId="0" fontId="0" fillId="13" borderId="5" xfId="0" applyFill="1" applyBorder="1"/>
    <xf numFmtId="0" fontId="0" fillId="13" borderId="6" xfId="0" applyFill="1" applyBorder="1"/>
    <xf numFmtId="174" fontId="23" fillId="13" borderId="2" xfId="0" applyNumberFormat="1" applyFont="1" applyFill="1" applyBorder="1" applyAlignment="1">
      <alignment horizontal="center"/>
    </xf>
    <xf numFmtId="174" fontId="23" fillId="13" borderId="0" xfId="0" applyNumberFormat="1" applyFont="1" applyFill="1" applyAlignment="1">
      <alignment horizontal="center"/>
    </xf>
    <xf numFmtId="174" fontId="23" fillId="13" borderId="3" xfId="0" applyNumberFormat="1" applyFont="1" applyFill="1" applyBorder="1" applyAlignment="1">
      <alignment horizontal="center"/>
    </xf>
    <xf numFmtId="173" fontId="23" fillId="13" borderId="2" xfId="0" applyNumberFormat="1" applyFont="1" applyFill="1" applyBorder="1" applyAlignment="1">
      <alignment horizontal="center"/>
    </xf>
    <xf numFmtId="173" fontId="23" fillId="13" borderId="0" xfId="0" applyNumberFormat="1" applyFont="1" applyFill="1" applyAlignment="1">
      <alignment horizontal="center"/>
    </xf>
    <xf numFmtId="173" fontId="23" fillId="13" borderId="3" xfId="0" applyNumberFormat="1" applyFont="1"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35" fillId="3" borderId="11" xfId="0" applyFont="1" applyFill="1" applyBorder="1" applyAlignment="1">
      <alignment horizontal="left" vertical="center" wrapText="1"/>
    </xf>
    <xf numFmtId="0" fontId="35" fillId="3" borderId="12" xfId="0" applyFont="1" applyFill="1" applyBorder="1" applyAlignment="1">
      <alignment horizontal="left" vertical="center" wrapText="1"/>
    </xf>
    <xf numFmtId="0" fontId="3" fillId="0" borderId="0" xfId="0" applyFont="1" applyAlignment="1">
      <alignment horizontal="left"/>
    </xf>
    <xf numFmtId="0" fontId="3" fillId="0" borderId="13" xfId="0" applyFont="1" applyBorder="1" applyAlignment="1">
      <alignment horizontal="left"/>
    </xf>
    <xf numFmtId="0" fontId="34" fillId="3" borderId="0" xfId="0" applyFont="1" applyFill="1" applyAlignment="1">
      <alignment horizontal="center" vertical="center"/>
    </xf>
    <xf numFmtId="0" fontId="0" fillId="0" borderId="0" xfId="0"/>
    <xf numFmtId="168" fontId="33" fillId="13" borderId="14" xfId="0" applyNumberFormat="1" applyFont="1" applyFill="1" applyBorder="1" applyAlignment="1">
      <alignment horizontal="center" vertical="center"/>
    </xf>
    <xf numFmtId="0" fontId="0" fillId="13" borderId="14" xfId="0" applyFill="1" applyBorder="1"/>
    <xf numFmtId="168" fontId="33" fillId="13" borderId="15" xfId="0" applyNumberFormat="1" applyFont="1" applyFill="1" applyBorder="1" applyAlignment="1">
      <alignment horizontal="center" vertical="center"/>
    </xf>
    <xf numFmtId="0" fontId="0" fillId="13" borderId="15" xfId="0" applyFill="1" applyBorder="1"/>
    <xf numFmtId="168" fontId="33" fillId="0" borderId="10" xfId="0" applyNumberFormat="1" applyFont="1" applyBorder="1" applyAlignment="1">
      <alignment horizontal="center" vertical="center"/>
    </xf>
    <xf numFmtId="0" fontId="0" fillId="0" borderId="10" xfId="0" applyBorder="1"/>
    <xf numFmtId="49" fontId="32" fillId="0" borderId="10" xfId="0" applyNumberFormat="1" applyFont="1" applyBorder="1" applyAlignment="1">
      <alignment horizontal="left" vertical="center"/>
    </xf>
    <xf numFmtId="49" fontId="33" fillId="13" borderId="14" xfId="0" applyNumberFormat="1" applyFont="1" applyFill="1" applyBorder="1" applyAlignment="1">
      <alignment horizontal="left" vertical="center"/>
    </xf>
    <xf numFmtId="49" fontId="33" fillId="13" borderId="15" xfId="0" applyNumberFormat="1" applyFont="1" applyFill="1" applyBorder="1" applyAlignment="1">
      <alignment horizontal="left" vertical="center"/>
    </xf>
    <xf numFmtId="49" fontId="33" fillId="0" borderId="10" xfId="0" applyNumberFormat="1" applyFont="1" applyBorder="1" applyAlignment="1">
      <alignment horizontal="left" vertical="center"/>
    </xf>
    <xf numFmtId="49" fontId="32" fillId="13" borderId="14" xfId="0" applyNumberFormat="1" applyFont="1" applyFill="1" applyBorder="1" applyAlignment="1">
      <alignment horizontal="left" vertical="center"/>
    </xf>
    <xf numFmtId="49" fontId="32" fillId="13" borderId="15" xfId="0" applyNumberFormat="1" applyFont="1" applyFill="1" applyBorder="1" applyAlignment="1">
      <alignment horizontal="left" vertical="center"/>
    </xf>
    <xf numFmtId="0" fontId="30" fillId="4" borderId="0" xfId="0" applyFont="1" applyFill="1" applyAlignment="1">
      <alignment horizontal="left"/>
    </xf>
    <xf numFmtId="0" fontId="0" fillId="0" borderId="0" xfId="0" pivotButton="1" applyAlignment="1"/>
    <xf numFmtId="0" fontId="0" fillId="0" borderId="0" xfId="0" applyAlignment="1"/>
    <xf numFmtId="0" fontId="0" fillId="0" borderId="0" xfId="0" applyNumberFormat="1" applyAlignment="1">
      <alignment horizontal="right"/>
    </xf>
    <xf numFmtId="2" fontId="1" fillId="0" borderId="0" xfId="0" applyNumberFormat="1" applyFont="1" applyAlignment="1">
      <alignment vertical="center"/>
    </xf>
  </cellXfs>
  <cellStyles count="3">
    <cellStyle name="Currency" xfId="1" builtinId="4"/>
    <cellStyle name="Normal" xfId="0" builtinId="0"/>
    <cellStyle name="Percent" xfId="2" builtinId="5"/>
  </cellStyles>
  <dxfs count="382">
    <dxf>
      <numFmt numFmtId="0" formatCode="General"/>
      <fill>
        <patternFill patternType="none">
          <fgColor indexed="64"/>
          <bgColor auto="1"/>
        </patternFill>
      </fill>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general"/>
    </dxf>
    <dxf>
      <alignment horizontal="general"/>
    </dxf>
    <dxf>
      <alignment horizontal="general"/>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left"/>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general"/>
    </dxf>
    <dxf>
      <alignment horizontal="general"/>
    </dxf>
    <dxf>
      <alignment horizontal="general"/>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left"/>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general"/>
    </dxf>
    <dxf>
      <alignment horizontal="general"/>
    </dxf>
    <dxf>
      <alignment horizontal="general"/>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left"/>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general"/>
    </dxf>
    <dxf>
      <alignment horizontal="general"/>
    </dxf>
    <dxf>
      <alignment horizontal="general"/>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left"/>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general"/>
    </dxf>
    <dxf>
      <alignment horizontal="general"/>
    </dxf>
    <dxf>
      <alignment horizontal="general"/>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left"/>
    </dxf>
    <dxf>
      <alignment horizontal="left"/>
    </dxf>
    <dxf>
      <alignment horizontal="left"/>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center"/>
    </dxf>
    <dxf>
      <alignment horizontal="center"/>
    </dxf>
    <dxf>
      <numFmt numFmtId="0" formatCode="General"/>
      <fill>
        <patternFill patternType="none">
          <fgColor indexed="64"/>
          <bgColor auto="1"/>
        </patternFill>
      </fill>
    </dxf>
    <dxf>
      <font>
        <color rgb="FF9C0006"/>
      </font>
      <fill>
        <patternFill patternType="solid">
          <fgColor rgb="FFF8CBAD"/>
        </patternFill>
      </fill>
    </dxf>
    <dxf>
      <font>
        <color rgb="FF9C0006"/>
      </font>
      <fill>
        <patternFill patternType="solid">
          <fgColor rgb="FFF8CBAD"/>
        </patternFill>
      </fill>
    </dxf>
    <dxf>
      <font>
        <color rgb="FF9C0006"/>
      </font>
      <fill>
        <patternFill patternType="solid">
          <fgColor rgb="FFF8CBAD"/>
        </patternFill>
      </fill>
    </dxf>
    <dxf>
      <font>
        <color rgb="FF9C0006"/>
      </font>
      <fill>
        <patternFill patternType="solid">
          <fgColor rgb="FFF8CBAD"/>
        </patternFill>
      </fill>
    </dxf>
    <dxf>
      <font>
        <b/>
        <color rgb="FFC00000"/>
      </font>
      <fill>
        <patternFill patternType="solid">
          <fgColor rgb="FFFCE4D6"/>
        </patternFill>
      </fill>
    </dxf>
    <dxf>
      <font>
        <b/>
        <color rgb="FFC00000"/>
      </font>
    </dxf>
    <dxf>
      <font>
        <b/>
        <color rgb="FF00B050"/>
      </font>
    </dxf>
    <dxf>
      <font>
        <b/>
        <color rgb="FFC00000"/>
      </font>
    </dxf>
    <dxf>
      <font>
        <b/>
        <color rgb="FF00B050"/>
      </font>
    </dxf>
    <dxf>
      <font>
        <b/>
        <color rgb="FFC00000"/>
      </font>
    </dxf>
    <dxf>
      <font>
        <b/>
        <color rgb="FF00B050"/>
      </font>
    </dxf>
    <dxf>
      <font>
        <b/>
        <color rgb="FF9C0006"/>
      </font>
      <fill>
        <patternFill patternType="solid">
          <fgColor rgb="FFF8CBAD"/>
        </patternFill>
      </fill>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ill>
        <patternFill patternType="solid">
          <fgColor rgb="FFFFF2CC"/>
        </patternFill>
      </fill>
    </dxf>
    <dxf>
      <font>
        <b/>
        <color rgb="FFC00000"/>
      </font>
    </dxf>
    <dxf>
      <font>
        <b/>
        <color rgb="FF00B050"/>
      </font>
    </dxf>
    <dxf>
      <numFmt numFmtId="168" formatCode="\₹#,##0"/>
    </dxf>
    <dxf>
      <numFmt numFmtId="0" formatCode="General"/>
    </dxf>
    <dxf>
      <numFmt numFmtId="22" formatCode="mmm/yy"/>
    </dxf>
    <dxf>
      <border outline="0">
        <top style="thin">
          <color rgb="FFD9D9D9"/>
        </top>
      </border>
    </dxf>
    <dxf>
      <border outline="0">
        <bottom style="thin">
          <color rgb="FFD9D9D9"/>
        </bottom>
      </border>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fill>
        <patternFill patternType="solid">
          <fgColor indexed="64"/>
          <bgColor theme="4" tint="0.39997558519241921"/>
        </patternFill>
      </fill>
    </dxf>
    <dxf>
      <fill>
        <patternFill patternType="none">
          <fgColor indexed="64"/>
          <bgColor auto="1"/>
        </patternFill>
      </fill>
    </dxf>
    <dxf>
      <fill>
        <patternFill patternType="solid">
          <fgColor indexed="64"/>
          <bgColor theme="4" tint="0.39997558519241921"/>
        </patternFill>
      </fill>
    </dxf>
    <dxf>
      <fill>
        <patternFill patternType="none">
          <fgColor indexed="64"/>
          <bgColor auto="1"/>
        </patternFill>
      </fill>
    </dxf>
    <dxf>
      <fill>
        <patternFill patternType="solid">
          <fgColor indexed="64"/>
          <bgColor theme="4" tint="0.3999755851924192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170" formatCode="dd\-mmm\-yy"/>
      <fill>
        <patternFill patternType="none">
          <fgColor indexed="64"/>
          <bgColor auto="1"/>
        </patternFill>
      </fill>
    </dxf>
    <dxf>
      <font>
        <b val="0"/>
        <i val="0"/>
        <strike val="0"/>
        <condense val="0"/>
        <extend val="0"/>
        <outline val="0"/>
        <shadow val="0"/>
        <u val="none"/>
        <vertAlign val="baseline"/>
        <sz val="10"/>
        <color theme="1"/>
        <name val="Arial Unicode MS"/>
        <family val="2"/>
        <scheme val="none"/>
      </font>
      <numFmt numFmtId="167" formatCode="0.0%"/>
      <fill>
        <patternFill patternType="solid">
          <fgColor indexed="64"/>
          <bgColor theme="4" tint="0.39997558519241921"/>
        </patternFill>
      </fill>
    </dxf>
    <dxf>
      <font>
        <b val="0"/>
        <i val="0"/>
        <strike val="0"/>
        <condense val="0"/>
        <extend val="0"/>
        <outline val="0"/>
        <shadow val="0"/>
        <u val="none"/>
        <vertAlign val="baseline"/>
        <sz val="10"/>
        <color theme="1"/>
        <name val="Arial Unicode MS"/>
        <family val="2"/>
        <scheme val="none"/>
      </font>
      <numFmt numFmtId="167" formatCode="0.0%"/>
      <fill>
        <patternFill patternType="none">
          <fgColor indexed="64"/>
          <bgColor auto="1"/>
        </patternFill>
      </fill>
    </dxf>
    <dxf>
      <font>
        <b val="0"/>
        <i val="0"/>
        <strike val="0"/>
        <condense val="0"/>
        <extend val="0"/>
        <outline val="0"/>
        <shadow val="0"/>
        <u val="none"/>
        <vertAlign val="baseline"/>
        <sz val="10"/>
        <color theme="1"/>
        <name val="Arial Unicode MS"/>
        <family val="2"/>
        <scheme val="none"/>
      </font>
      <numFmt numFmtId="167" formatCode="0.0%"/>
      <fill>
        <patternFill patternType="solid">
          <fgColor indexed="64"/>
          <bgColor theme="4" tint="0.39997558519241921"/>
        </patternFill>
      </fill>
    </dxf>
    <dxf>
      <font>
        <b val="0"/>
        <i val="0"/>
        <strike val="0"/>
        <condense val="0"/>
        <extend val="0"/>
        <outline val="0"/>
        <shadow val="0"/>
        <u val="none"/>
        <vertAlign val="baseline"/>
        <sz val="10"/>
        <color theme="1"/>
        <name val="Arial Unicode MS"/>
        <family val="2"/>
        <scheme val="none"/>
      </font>
      <numFmt numFmtId="167" formatCode="0.0%"/>
      <fill>
        <patternFill patternType="none">
          <fgColor indexed="64"/>
          <bgColor auto="1"/>
        </patternFill>
      </fill>
    </dxf>
    <dxf>
      <numFmt numFmtId="165" formatCode="&quot;₹&quot;\ #,##0.00"/>
      <fill>
        <patternFill patternType="solid">
          <fgColor indexed="64"/>
          <bgColor theme="4" tint="0.39997558519241921"/>
        </patternFill>
      </fill>
    </dxf>
    <dxf>
      <font>
        <b val="0"/>
        <i val="0"/>
        <strike val="0"/>
        <condense val="0"/>
        <extend val="0"/>
        <outline val="0"/>
        <shadow val="0"/>
        <u val="none"/>
        <vertAlign val="baseline"/>
        <sz val="10"/>
        <color theme="1"/>
        <name val="Arial Unicode MS"/>
        <family val="2"/>
        <scheme val="none"/>
      </font>
      <numFmt numFmtId="166" formatCode="&quot;₹&quot;\ #,##0"/>
      <fill>
        <patternFill patternType="none">
          <fgColor indexed="64"/>
          <bgColor auto="1"/>
        </patternFill>
      </fill>
    </dxf>
    <dxf>
      <numFmt numFmtId="165" formatCode="&quot;₹&quot;\ #,##0.00"/>
      <fill>
        <patternFill patternType="solid">
          <fgColor indexed="64"/>
          <bgColor theme="4" tint="0.39997558519241921"/>
        </patternFill>
      </fill>
    </dxf>
    <dxf>
      <font>
        <b val="0"/>
        <i val="0"/>
        <strike val="0"/>
        <condense val="0"/>
        <extend val="0"/>
        <outline val="0"/>
        <shadow val="0"/>
        <u val="none"/>
        <vertAlign val="baseline"/>
        <sz val="10"/>
        <color theme="1"/>
        <name val="Arial Unicode MS"/>
        <family val="2"/>
        <scheme val="none"/>
      </font>
      <numFmt numFmtId="165" formatCode="&quot;₹&quot;\ #,##0.00"/>
      <fill>
        <patternFill patternType="none">
          <fgColor indexed="64"/>
          <bgColor auto="1"/>
        </patternFill>
      </fill>
    </dxf>
    <dxf>
      <numFmt numFmtId="165" formatCode="&quot;₹&quot;\ #,##0.00"/>
      <fill>
        <patternFill patternType="solid">
          <fgColor indexed="64"/>
          <bgColor theme="4" tint="0.39997558519241921"/>
        </patternFill>
      </fill>
    </dxf>
    <dxf>
      <font>
        <b val="0"/>
        <i val="0"/>
        <strike val="0"/>
        <condense val="0"/>
        <extend val="0"/>
        <outline val="0"/>
        <shadow val="0"/>
        <u val="none"/>
        <vertAlign val="baseline"/>
        <sz val="10"/>
        <color theme="1"/>
        <name val="Arial Unicode MS"/>
        <family val="2"/>
        <scheme val="none"/>
      </font>
      <numFmt numFmtId="165" formatCode="&quot;₹&quot;\ #,##0.00"/>
      <fill>
        <patternFill patternType="none">
          <fgColor indexed="64"/>
          <bgColor auto="1"/>
        </patternFill>
      </fill>
    </dxf>
    <dxf>
      <numFmt numFmtId="165" formatCode="&quot;₹&quot;\ #,##0.00"/>
      <fill>
        <patternFill patternType="solid">
          <fgColor indexed="64"/>
          <bgColor theme="4" tint="0.39997558519241921"/>
        </patternFill>
      </fill>
    </dxf>
    <dxf>
      <font>
        <sz val="10"/>
        <name val="Arial Unicode MS"/>
        <family val="2"/>
        <scheme val="none"/>
      </font>
      <numFmt numFmtId="165" formatCode="&quot;₹&quot;\ #,##0.00"/>
      <fill>
        <patternFill patternType="none">
          <fgColor indexed="64"/>
          <bgColor auto="1"/>
        </patternFill>
      </fill>
    </dxf>
    <dxf>
      <numFmt numFmtId="165" formatCode="&quot;₹&quot;\ #,##0.00"/>
      <fill>
        <patternFill patternType="solid">
          <fgColor indexed="64"/>
          <bgColor theme="4" tint="0.39997558519241921"/>
        </patternFill>
      </fill>
    </dxf>
    <dxf>
      <numFmt numFmtId="166" formatCode="&quot;₹&quot;\ #,##0"/>
      <fill>
        <patternFill patternType="none">
          <fgColor indexed="64"/>
          <bgColor auto="1"/>
        </patternFill>
      </fill>
    </dxf>
    <dxf>
      <numFmt numFmtId="165" formatCode="&quot;₹&quot;\ #,##0.00"/>
      <fill>
        <patternFill patternType="solid">
          <fgColor indexed="64"/>
          <bgColor theme="4" tint="0.39997558519241921"/>
        </patternFill>
      </fill>
    </dxf>
    <dxf>
      <numFmt numFmtId="166" formatCode="&quot;₹&quot;\ #,##0"/>
      <fill>
        <patternFill patternType="none">
          <fgColor indexed="64"/>
          <bgColor auto="1"/>
        </patternFill>
      </fill>
    </dxf>
    <dxf>
      <numFmt numFmtId="166" formatCode="&quot;₹&quot;\ #,##0"/>
      <fill>
        <patternFill patternType="solid">
          <fgColor indexed="64"/>
          <bgColor theme="4" tint="0.39997558519241921"/>
        </patternFill>
      </fill>
    </dxf>
    <dxf>
      <numFmt numFmtId="166" formatCode="&quot;₹&quot;\ #,##0"/>
      <fill>
        <patternFill patternType="none">
          <fgColor indexed="64"/>
          <bgColor auto="1"/>
        </patternFill>
      </fill>
    </dxf>
    <dxf>
      <numFmt numFmtId="165" formatCode="&quot;₹&quot;\ #,##0.00"/>
      <fill>
        <patternFill patternType="solid">
          <fgColor indexed="64"/>
          <bgColor theme="4" tint="0.39997558519241921"/>
        </patternFill>
      </fill>
    </dxf>
    <dxf>
      <fill>
        <patternFill patternType="none">
          <fgColor indexed="64"/>
          <bgColor auto="1"/>
        </patternFill>
      </fill>
    </dxf>
    <dxf>
      <numFmt numFmtId="166" formatCode="&quot;₹&quot;\ #,##0"/>
      <fill>
        <patternFill patternType="solid">
          <fgColor indexed="64"/>
          <bgColor theme="4" tint="0.39997558519241921"/>
        </patternFill>
      </fill>
    </dxf>
    <dxf>
      <numFmt numFmtId="166" formatCode="&quot;₹&quot;\ #,##0"/>
      <fill>
        <patternFill patternType="none">
          <fgColor indexed="64"/>
          <bgColor auto="1"/>
        </patternFill>
      </fill>
    </dxf>
    <dxf>
      <fill>
        <patternFill patternType="solid">
          <fgColor indexed="64"/>
          <bgColor theme="4" tint="0.39997558519241921"/>
        </patternFill>
      </fill>
    </dxf>
    <dxf>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164" formatCode="mmm/yyyy"/>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numFmt numFmtId="19" formatCode="dd/mm/yyyy"/>
      <fill>
        <patternFill patternType="none">
          <fgColor indexed="64"/>
          <bgColor auto="1"/>
        </patternFill>
      </fill>
    </dxf>
    <dxf>
      <fill>
        <patternFill patternType="solid">
          <fgColor indexed="64"/>
          <bgColor theme="4" tint="0.39997558519241921"/>
        </patternFill>
      </fill>
    </dxf>
    <dxf>
      <numFmt numFmtId="0" formatCode="General"/>
      <fill>
        <patternFill patternType="none">
          <fgColor indexed="64"/>
          <bgColor auto="1"/>
        </patternFill>
      </fill>
    </dxf>
    <dxf>
      <fill>
        <patternFill patternType="solid">
          <fgColor indexed="64"/>
          <bgColor theme="4" tint="0.39997558519241921"/>
        </patternFill>
      </fill>
    </dxf>
    <dxf>
      <fill>
        <patternFill patternType="none">
          <fgColor indexed="64"/>
          <bgColor auto="1"/>
        </patternFill>
      </fill>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horizontal="general"/>
    </dxf>
    <dxf>
      <alignment horizontal="general"/>
    </dxf>
    <dxf>
      <alignment horizontal="right"/>
    </dxf>
    <dxf>
      <alignment horizontal="left"/>
    </dxf>
    <dxf>
      <alignment horizontal="general"/>
    </dxf>
    <dxf>
      <alignment horizontal="general"/>
    </dxf>
    <dxf>
      <alignment horizontal="general"/>
    </dxf>
    <dxf>
      <alignment horizontal="general"/>
    </dxf>
    <dxf>
      <alignment horizontal="general"/>
    </dxf>
    <dxf>
      <alignment horizontal="right"/>
    </dxf>
    <dxf>
      <alignment horizontal="left"/>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914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&amp; Profit Margin %</a:t>
            </a:r>
          </a:p>
        </c:rich>
      </c:tx>
      <c:layout>
        <c:manualLayout>
          <c:xMode val="edge"/>
          <c:yMode val="edge"/>
          <c:x val="0.3467609489051095"/>
          <c:y val="2.0626735817314872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948804528995913E-2"/>
          <c:y val="4.5948203842940682E-2"/>
          <c:w val="0.8654298858171926"/>
          <c:h val="0.74677046948078862"/>
        </c:manualLayout>
      </c:layout>
      <c:barChart>
        <c:barDir val="col"/>
        <c:grouping val="clustered"/>
        <c:varyColors val="0"/>
        <c:ser>
          <c:idx val="0"/>
          <c:order val="0"/>
          <c:tx>
            <c:strRef>
              <c:f>Analysis!$B$25</c:f>
              <c:strCache>
                <c:ptCount val="1"/>
                <c:pt idx="0">
                  <c:v>Revenue</c:v>
                </c:pt>
              </c:strCache>
            </c:strRef>
          </c:tx>
          <c:spPr>
            <a:solidFill>
              <a:schemeClr val="accent1"/>
            </a:solidFill>
            <a:ln>
              <a:noFill/>
            </a:ln>
            <a:effectLst/>
          </c:spPr>
          <c:invertIfNegative val="0"/>
          <c:cat>
            <c:numRef>
              <c:f>Analysis!$A$26:$A$49</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Analysis!$B$26:$B$49</c:f>
              <c:numCache>
                <c:formatCode>\₹#,##0</c:formatCode>
                <c:ptCount val="24"/>
                <c:pt idx="0">
                  <c:v>219793.3</c:v>
                </c:pt>
                <c:pt idx="1">
                  <c:v>97871.10000000002</c:v>
                </c:pt>
                <c:pt idx="2">
                  <c:v>150200.35000000009</c:v>
                </c:pt>
                <c:pt idx="3">
                  <c:v>160817.20000000001</c:v>
                </c:pt>
                <c:pt idx="4">
                  <c:v>174244.50000000006</c:v>
                </c:pt>
                <c:pt idx="5">
                  <c:v>161054.00000000003</c:v>
                </c:pt>
                <c:pt idx="6">
                  <c:v>171014.2</c:v>
                </c:pt>
                <c:pt idx="7">
                  <c:v>154762.2000000001</c:v>
                </c:pt>
                <c:pt idx="8">
                  <c:v>210860.2500000002</c:v>
                </c:pt>
                <c:pt idx="9">
                  <c:v>274168.75</c:v>
                </c:pt>
                <c:pt idx="10">
                  <c:v>252007.25000000009</c:v>
                </c:pt>
                <c:pt idx="11">
                  <c:v>229843.40000000002</c:v>
                </c:pt>
                <c:pt idx="12">
                  <c:v>251689.1</c:v>
                </c:pt>
                <c:pt idx="13">
                  <c:v>190110</c:v>
                </c:pt>
                <c:pt idx="14">
                  <c:v>264242.34999999998</c:v>
                </c:pt>
                <c:pt idx="15">
                  <c:v>253045.19999999995</c:v>
                </c:pt>
                <c:pt idx="16">
                  <c:v>167565.09999999995</c:v>
                </c:pt>
                <c:pt idx="17">
                  <c:v>230474.25000000012</c:v>
                </c:pt>
                <c:pt idx="18">
                  <c:v>190477.15000000008</c:v>
                </c:pt>
                <c:pt idx="19">
                  <c:v>224313.95</c:v>
                </c:pt>
                <c:pt idx="20">
                  <c:v>224466.7</c:v>
                </c:pt>
                <c:pt idx="21">
                  <c:v>352690.50000000029</c:v>
                </c:pt>
                <c:pt idx="22">
                  <c:v>335940.85</c:v>
                </c:pt>
                <c:pt idx="23">
                  <c:v>214490.8000000001</c:v>
                </c:pt>
              </c:numCache>
            </c:numRef>
          </c:val>
          <c:extLst>
            <c:ext xmlns:c16="http://schemas.microsoft.com/office/drawing/2014/chart" uri="{C3380CC4-5D6E-409C-BE32-E72D297353CC}">
              <c16:uniqueId val="{00000000-356B-4400-A354-D7F8BAFFC1B9}"/>
            </c:ext>
          </c:extLst>
        </c:ser>
        <c:dLbls>
          <c:showLegendKey val="0"/>
          <c:showVal val="0"/>
          <c:showCatName val="0"/>
          <c:showSerName val="0"/>
          <c:showPercent val="0"/>
          <c:showBubbleSize val="0"/>
        </c:dLbls>
        <c:gapWidth val="50"/>
        <c:axId val="1944585248"/>
        <c:axId val="1031084496"/>
      </c:barChart>
      <c:lineChart>
        <c:grouping val="standard"/>
        <c:varyColors val="0"/>
        <c:ser>
          <c:idx val="1"/>
          <c:order val="1"/>
          <c:tx>
            <c:strRef>
              <c:f>Analysis!$D$25</c:f>
              <c:strCache>
                <c:ptCount val="1"/>
                <c:pt idx="0">
                  <c:v>Margin %</c:v>
                </c:pt>
              </c:strCache>
            </c:strRef>
          </c:tx>
          <c:spPr>
            <a:ln w="28575" cap="rnd">
              <a:solidFill>
                <a:schemeClr val="accent2"/>
              </a:solidFill>
              <a:round/>
            </a:ln>
            <a:effectLst/>
          </c:spPr>
          <c:marker>
            <c:symbol val="none"/>
          </c:marker>
          <c:cat>
            <c:numRef>
              <c:f>Analysis!$A$26:$A$49</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Analysis!$D$26:$D$49</c:f>
              <c:numCache>
                <c:formatCode>0.0%</c:formatCode>
                <c:ptCount val="24"/>
                <c:pt idx="0">
                  <c:v>0.44727614536020927</c:v>
                </c:pt>
                <c:pt idx="1">
                  <c:v>0.44184749124103018</c:v>
                </c:pt>
                <c:pt idx="2">
                  <c:v>0.43417575258646168</c:v>
                </c:pt>
                <c:pt idx="3">
                  <c:v>0.42080200376576637</c:v>
                </c:pt>
                <c:pt idx="4">
                  <c:v>0.42296026560379213</c:v>
                </c:pt>
                <c:pt idx="5">
                  <c:v>0.41903336769033989</c:v>
                </c:pt>
                <c:pt idx="6">
                  <c:v>0.4325208082135869</c:v>
                </c:pt>
                <c:pt idx="7">
                  <c:v>0.41408819466252056</c:v>
                </c:pt>
                <c:pt idx="8">
                  <c:v>0.41833987202424333</c:v>
                </c:pt>
                <c:pt idx="9">
                  <c:v>0.32540816559144692</c:v>
                </c:pt>
                <c:pt idx="10">
                  <c:v>0.31481733164422837</c:v>
                </c:pt>
                <c:pt idx="11">
                  <c:v>0.4270881826495781</c:v>
                </c:pt>
                <c:pt idx="12">
                  <c:v>0.42275211759269687</c:v>
                </c:pt>
                <c:pt idx="13">
                  <c:v>0.42833096628267836</c:v>
                </c:pt>
                <c:pt idx="14">
                  <c:v>0.43697140144265351</c:v>
                </c:pt>
                <c:pt idx="15">
                  <c:v>0.42554926945857913</c:v>
                </c:pt>
                <c:pt idx="16">
                  <c:v>0.41851853399067024</c:v>
                </c:pt>
                <c:pt idx="17">
                  <c:v>0.45046789391873454</c:v>
                </c:pt>
                <c:pt idx="18">
                  <c:v>0.42732763483703906</c:v>
                </c:pt>
                <c:pt idx="19">
                  <c:v>0.41656771680940929</c:v>
                </c:pt>
                <c:pt idx="20">
                  <c:v>0.44985158154862215</c:v>
                </c:pt>
                <c:pt idx="21">
                  <c:v>0.32478759705747623</c:v>
                </c:pt>
                <c:pt idx="22">
                  <c:v>0.32297307695685129</c:v>
                </c:pt>
                <c:pt idx="23">
                  <c:v>0.42358366885665943</c:v>
                </c:pt>
              </c:numCache>
            </c:numRef>
          </c:val>
          <c:smooth val="0"/>
          <c:extLst>
            <c:ext xmlns:c16="http://schemas.microsoft.com/office/drawing/2014/chart" uri="{C3380CC4-5D6E-409C-BE32-E72D297353CC}">
              <c16:uniqueId val="{00000001-356B-4400-A354-D7F8BAFFC1B9}"/>
            </c:ext>
          </c:extLst>
        </c:ser>
        <c:dLbls>
          <c:showLegendKey val="0"/>
          <c:showVal val="0"/>
          <c:showCatName val="0"/>
          <c:showSerName val="0"/>
          <c:showPercent val="0"/>
          <c:showBubbleSize val="0"/>
        </c:dLbls>
        <c:marker val="1"/>
        <c:smooth val="0"/>
        <c:axId val="117292239"/>
        <c:axId val="1898358768"/>
      </c:lineChart>
      <c:dateAx>
        <c:axId val="19445852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84496"/>
        <c:crosses val="autoZero"/>
        <c:auto val="1"/>
        <c:lblOffset val="100"/>
        <c:baseTimeUnit val="months"/>
      </c:dateAx>
      <c:valAx>
        <c:axId val="1031084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585248"/>
        <c:crosses val="autoZero"/>
        <c:crossBetween val="between"/>
      </c:valAx>
      <c:valAx>
        <c:axId val="189835876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92239"/>
        <c:crosses val="max"/>
        <c:crossBetween val="between"/>
      </c:valAx>
      <c:dateAx>
        <c:axId val="117292239"/>
        <c:scaling>
          <c:orientation val="minMax"/>
        </c:scaling>
        <c:delete val="1"/>
        <c:axPos val="b"/>
        <c:numFmt formatCode="mmm\-yy" sourceLinked="1"/>
        <c:majorTickMark val="out"/>
        <c:minorTickMark val="none"/>
        <c:tickLblPos val="nextTo"/>
        <c:crossAx val="1898358768"/>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2025 vs 2024 Revenue by Month</a:t>
            </a:r>
          </a:p>
        </c:rich>
      </c:tx>
      <c:layout>
        <c:manualLayout>
          <c:xMode val="edge"/>
          <c:yMode val="edge"/>
          <c:x val="0.35398095238095245"/>
          <c:y val="1.1545223513727451E-2"/>
        </c:manualLayout>
      </c:layout>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manualLayout>
          <c:layoutTarget val="inner"/>
          <c:xMode val="edge"/>
          <c:yMode val="edge"/>
          <c:x val="7.8109156355455567E-2"/>
          <c:y val="5.1728859979459092E-2"/>
          <c:w val="0.90512893888263968"/>
          <c:h val="0.7932091097308489"/>
        </c:manualLayout>
      </c:layout>
      <c:lineChart>
        <c:grouping val="standard"/>
        <c:varyColors val="0"/>
        <c:ser>
          <c:idx val="0"/>
          <c:order val="0"/>
          <c:tx>
            <c:strRef>
              <c:f>Analysis!$B$52</c:f>
              <c:strCache>
                <c:ptCount val="1"/>
                <c:pt idx="0">
                  <c:v>2024 Revenue</c:v>
                </c:pt>
              </c:strCache>
            </c:strRef>
          </c:tx>
          <c:spPr>
            <a:ln w="38100" cap="rnd" cmpd="sng">
              <a:solidFill>
                <a:schemeClr val="bg2">
                  <a:lumMod val="10000"/>
                  <a:alpha val="50000"/>
                </a:schemeClr>
              </a:solidFill>
              <a:prstDash val="lgDash"/>
              <a:round/>
            </a:ln>
            <a:effectLst/>
          </c:spPr>
          <c:marker>
            <c:symbol val="circle"/>
            <c:size val="5"/>
            <c:spPr>
              <a:solidFill>
                <a:schemeClr val="accent1"/>
              </a:solidFill>
              <a:ln w="9525">
                <a:solidFill>
                  <a:schemeClr val="accent1"/>
                </a:solidFill>
              </a:ln>
              <a:effectLst/>
            </c:spPr>
          </c:marker>
          <c:cat>
            <c:strRef>
              <c:f>Analysis!$A$53:$A$64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Analysis!$B$53:$B$64</c:f>
              <c:numCache>
                <c:formatCode>\₹#,##0</c:formatCode>
                <c:ptCount val="12"/>
                <c:pt idx="0">
                  <c:v>219793.3</c:v>
                </c:pt>
                <c:pt idx="1">
                  <c:v>97871.10000000002</c:v>
                </c:pt>
                <c:pt idx="2">
                  <c:v>150200.35000000009</c:v>
                </c:pt>
                <c:pt idx="3">
                  <c:v>160817.20000000001</c:v>
                </c:pt>
                <c:pt idx="4">
                  <c:v>174244.50000000006</c:v>
                </c:pt>
                <c:pt idx="5">
                  <c:v>161054.00000000003</c:v>
                </c:pt>
                <c:pt idx="6">
                  <c:v>171014.2</c:v>
                </c:pt>
                <c:pt idx="7">
                  <c:v>154762.2000000001</c:v>
                </c:pt>
                <c:pt idx="8">
                  <c:v>210860.2500000002</c:v>
                </c:pt>
                <c:pt idx="9">
                  <c:v>274168.75</c:v>
                </c:pt>
                <c:pt idx="10">
                  <c:v>252007.25000000009</c:v>
                </c:pt>
                <c:pt idx="11">
                  <c:v>229843.40000000002</c:v>
                </c:pt>
              </c:numCache>
            </c:numRef>
          </c:val>
          <c:smooth val="0"/>
          <c:extLst>
            <c:ext xmlns:c16="http://schemas.microsoft.com/office/drawing/2014/chart" uri="{C3380CC4-5D6E-409C-BE32-E72D297353CC}">
              <c16:uniqueId val="{00000000-4E02-463B-A49D-9D8AC06C850D}"/>
            </c:ext>
          </c:extLst>
        </c:ser>
        <c:ser>
          <c:idx val="1"/>
          <c:order val="1"/>
          <c:tx>
            <c:strRef>
              <c:f>Analysis!$C$52</c:f>
              <c:strCache>
                <c:ptCount val="1"/>
                <c:pt idx="0">
                  <c:v>2025 Revenue</c:v>
                </c:pt>
              </c:strCache>
            </c:strRef>
          </c:tx>
          <c:spPr>
            <a:ln w="38100" cap="rnd">
              <a:solidFill>
                <a:schemeClr val="accent2"/>
              </a:solidFill>
              <a:round/>
            </a:ln>
            <a:effectLst/>
          </c:spPr>
          <c:marker>
            <c:symbol val="circle"/>
            <c:size val="5"/>
            <c:spPr>
              <a:solidFill>
                <a:schemeClr val="accent2"/>
              </a:solidFill>
              <a:ln w="9525">
                <a:solidFill>
                  <a:schemeClr val="accent2"/>
                </a:solidFill>
              </a:ln>
              <a:effectLst/>
            </c:spPr>
          </c:marker>
          <c:cat>
            <c:strRef>
              <c:f>Analysis!$A$53:$A$64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Analysis!$C$53:$C$64</c:f>
              <c:numCache>
                <c:formatCode>\₹#,##0</c:formatCode>
                <c:ptCount val="12"/>
                <c:pt idx="0">
                  <c:v>251689.1</c:v>
                </c:pt>
                <c:pt idx="1">
                  <c:v>190110</c:v>
                </c:pt>
                <c:pt idx="2">
                  <c:v>264242.34999999998</c:v>
                </c:pt>
                <c:pt idx="3">
                  <c:v>253045.19999999995</c:v>
                </c:pt>
                <c:pt idx="4">
                  <c:v>167565.09999999995</c:v>
                </c:pt>
                <c:pt idx="5">
                  <c:v>230474.25000000012</c:v>
                </c:pt>
                <c:pt idx="6">
                  <c:v>190477.15000000008</c:v>
                </c:pt>
                <c:pt idx="7">
                  <c:v>224313.95</c:v>
                </c:pt>
                <c:pt idx="8">
                  <c:v>224466.7</c:v>
                </c:pt>
                <c:pt idx="9">
                  <c:v>352690.50000000029</c:v>
                </c:pt>
                <c:pt idx="10">
                  <c:v>335940.85</c:v>
                </c:pt>
                <c:pt idx="11">
                  <c:v>214490.8000000001</c:v>
                </c:pt>
              </c:numCache>
            </c:numRef>
          </c:val>
          <c:smooth val="0"/>
          <c:extLst>
            <c:ext xmlns:c16="http://schemas.microsoft.com/office/drawing/2014/chart" uri="{C3380CC4-5D6E-409C-BE32-E72D297353CC}">
              <c16:uniqueId val="{00000001-4E02-463B-A49D-9D8AC06C850D}"/>
            </c:ext>
          </c:extLst>
        </c:ser>
        <c:dLbls>
          <c:showLegendKey val="0"/>
          <c:showVal val="0"/>
          <c:showCatName val="0"/>
          <c:showSerName val="0"/>
          <c:showPercent val="0"/>
          <c:showBubbleSize val="0"/>
        </c:dLbls>
        <c:marker val="1"/>
        <c:smooth val="0"/>
        <c:axId val="2102218848"/>
        <c:axId val="1864680688"/>
      </c:lineChart>
      <c:catAx>
        <c:axId val="21022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680688"/>
        <c:crosses val="autoZero"/>
        <c:auto val="1"/>
        <c:lblAlgn val="ctr"/>
        <c:lblOffset val="100"/>
        <c:noMultiLvlLbl val="0"/>
      </c:catAx>
      <c:valAx>
        <c:axId val="18646806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1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Revenue share by Category</a:t>
            </a:r>
          </a:p>
        </c:rich>
      </c:tx>
      <c:layout>
        <c:manualLayout>
          <c:xMode val="edge"/>
          <c:yMode val="edge"/>
          <c:x val="1.7826334208224003E-2"/>
          <c:y val="4.6296296296296294E-3"/>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33031780402449695"/>
          <c:y val="3.1366048284212127E-4"/>
          <c:w val="0.66714238845144358"/>
          <c:h val="0.99141902927768699"/>
        </c:manualLayout>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1919-485E-AC4E-27D07DD08B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19-485E-AC4E-27D07DD08B9D}"/>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919-485E-AC4E-27D07DD08B9D}"/>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1919-485E-AC4E-27D07DD08B9D}"/>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1919-485E-AC4E-27D07DD08B9D}"/>
              </c:ext>
            </c:extLst>
          </c:dPt>
          <c:dPt>
            <c:idx val="5"/>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B-1919-485E-AC4E-27D07DD08B9D}"/>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1919-485E-AC4E-27D07DD08B9D}"/>
              </c:ext>
            </c:extLst>
          </c:dPt>
          <c:dLbls>
            <c:numFmt formatCode="0%" sourceLinked="0"/>
            <c:spPr>
              <a:noFill/>
              <a:ln>
                <a:noFill/>
              </a:ln>
              <a:effectLst/>
            </c:spPr>
            <c:txPr>
              <a:bodyPr rot="0" spcFirstLastPara="1" vertOverflow="clip" horzOverflow="clip" vert="horz" wrap="square" lIns="38100" tIns="19050" rIns="38100" bIns="19050" anchor="b"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Analysis!$A$69:$A$75</c:f>
              <c:strCache>
                <c:ptCount val="7"/>
                <c:pt idx="0">
                  <c:v>Skincare</c:v>
                </c:pt>
                <c:pt idx="1">
                  <c:v>Haircare</c:v>
                </c:pt>
                <c:pt idx="2">
                  <c:v>Apparel</c:v>
                </c:pt>
                <c:pt idx="3">
                  <c:v>Footwear</c:v>
                </c:pt>
                <c:pt idx="4">
                  <c:v>Home &amp; Kitchen</c:v>
                </c:pt>
                <c:pt idx="5">
                  <c:v>Electronics</c:v>
                </c:pt>
                <c:pt idx="6">
                  <c:v>Wellness</c:v>
                </c:pt>
              </c:strCache>
            </c:strRef>
          </c:cat>
          <c:val>
            <c:numRef>
              <c:f>Analysis!$B$69:$B$75</c:f>
              <c:numCache>
                <c:formatCode>\₹#,##0</c:formatCode>
                <c:ptCount val="7"/>
                <c:pt idx="0">
                  <c:v>635906.9</c:v>
                </c:pt>
                <c:pt idx="1">
                  <c:v>418120.70000000019</c:v>
                </c:pt>
                <c:pt idx="2">
                  <c:v>1433237.9500000011</c:v>
                </c:pt>
                <c:pt idx="3">
                  <c:v>968884.25000000012</c:v>
                </c:pt>
                <c:pt idx="4">
                  <c:v>603725.20000000007</c:v>
                </c:pt>
                <c:pt idx="5">
                  <c:v>455520.1999999999</c:v>
                </c:pt>
                <c:pt idx="6">
                  <c:v>640747.24999999942</c:v>
                </c:pt>
              </c:numCache>
            </c:numRef>
          </c:val>
          <c:extLst>
            <c:ext xmlns:c16="http://schemas.microsoft.com/office/drawing/2014/chart" uri="{C3380CC4-5D6E-409C-BE32-E72D297353CC}">
              <c16:uniqueId val="{0000000E-1919-485E-AC4E-27D07DD08B9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8.3333333333333332E-3"/>
          <c:y val="0.12428105929483273"/>
          <c:w val="0.33226902887139109"/>
          <c:h val="0.7972170351771044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Revenue &amp; Profit by Channel</a:t>
            </a:r>
          </a:p>
        </c:rich>
      </c:tx>
      <c:layout>
        <c:manualLayout>
          <c:xMode val="edge"/>
          <c:yMode val="edge"/>
          <c:x val="0.48578049431963966"/>
          <c:y val="1.6410131396114188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manualLayout>
          <c:layoutTarget val="inner"/>
          <c:xMode val="edge"/>
          <c:yMode val="edge"/>
          <c:x val="0.10995796518524811"/>
          <c:y val="8.5743589743589744E-3"/>
          <c:w val="0.86845832795490752"/>
          <c:h val="0.92219438724005653"/>
        </c:manualLayout>
      </c:layout>
      <c:barChart>
        <c:barDir val="bar"/>
        <c:grouping val="clustered"/>
        <c:varyColors val="0"/>
        <c:ser>
          <c:idx val="0"/>
          <c:order val="0"/>
          <c:tx>
            <c:strRef>
              <c:f>Analysis!$B$79</c:f>
              <c:strCache>
                <c:ptCount val="1"/>
                <c:pt idx="0">
                  <c:v>Revenue</c:v>
                </c:pt>
              </c:strCache>
            </c:strRef>
          </c:tx>
          <c:spPr>
            <a:solidFill>
              <a:schemeClr val="accent1"/>
            </a:solidFill>
            <a:ln>
              <a:noFill/>
            </a:ln>
            <a:effectLst/>
          </c:spPr>
          <c:invertIfNegative val="0"/>
          <c:cat>
            <c:strRef>
              <c:f>Analysis!$A$80:$A$84</c:f>
              <c:strCache>
                <c:ptCount val="5"/>
                <c:pt idx="0">
                  <c:v>Amazon</c:v>
                </c:pt>
                <c:pt idx="1">
                  <c:v>Flipkart</c:v>
                </c:pt>
                <c:pt idx="2">
                  <c:v>Website</c:v>
                </c:pt>
                <c:pt idx="3">
                  <c:v>Myntra</c:v>
                </c:pt>
                <c:pt idx="4">
                  <c:v>Nykaa</c:v>
                </c:pt>
              </c:strCache>
            </c:strRef>
          </c:cat>
          <c:val>
            <c:numRef>
              <c:f>Analysis!$B$80:$B$84</c:f>
              <c:numCache>
                <c:formatCode>"₹"\ #,##0</c:formatCode>
                <c:ptCount val="5"/>
                <c:pt idx="0">
                  <c:v>1447389.6999999993</c:v>
                </c:pt>
                <c:pt idx="1">
                  <c:v>1180727.3499999999</c:v>
                </c:pt>
                <c:pt idx="2">
                  <c:v>914734.4499999996</c:v>
                </c:pt>
                <c:pt idx="3">
                  <c:v>1162695.8500000008</c:v>
                </c:pt>
                <c:pt idx="4">
                  <c:v>450595.10000000033</c:v>
                </c:pt>
              </c:numCache>
            </c:numRef>
          </c:val>
          <c:extLst>
            <c:ext xmlns:c16="http://schemas.microsoft.com/office/drawing/2014/chart" uri="{C3380CC4-5D6E-409C-BE32-E72D297353CC}">
              <c16:uniqueId val="{00000000-4B37-49F4-86F3-12043AB45AF7}"/>
            </c:ext>
          </c:extLst>
        </c:ser>
        <c:ser>
          <c:idx val="1"/>
          <c:order val="1"/>
          <c:tx>
            <c:strRef>
              <c:f>Analysis!$C$79</c:f>
              <c:strCache>
                <c:ptCount val="1"/>
                <c:pt idx="0">
                  <c:v>Profit</c:v>
                </c:pt>
              </c:strCache>
            </c:strRef>
          </c:tx>
          <c:spPr>
            <a:solidFill>
              <a:srgbClr val="00B050"/>
            </a:solidFill>
            <a:ln>
              <a:noFill/>
            </a:ln>
            <a:effectLst/>
          </c:spPr>
          <c:invertIfNegative val="0"/>
          <c:dPt>
            <c:idx val="4"/>
            <c:invertIfNegative val="0"/>
            <c:bubble3D val="0"/>
            <c:spPr>
              <a:solidFill>
                <a:srgbClr val="00B050"/>
              </a:solidFill>
              <a:ln>
                <a:solidFill>
                  <a:schemeClr val="accent6"/>
                </a:solidFill>
              </a:ln>
              <a:effectLst/>
            </c:spPr>
            <c:extLst>
              <c:ext xmlns:c16="http://schemas.microsoft.com/office/drawing/2014/chart" uri="{C3380CC4-5D6E-409C-BE32-E72D297353CC}">
                <c16:uniqueId val="{00000002-4B37-49F4-86F3-12043AB45AF7}"/>
              </c:ext>
            </c:extLst>
          </c:dPt>
          <c:cat>
            <c:strRef>
              <c:f>Analysis!$A$80:$A$84</c:f>
              <c:strCache>
                <c:ptCount val="5"/>
                <c:pt idx="0">
                  <c:v>Amazon</c:v>
                </c:pt>
                <c:pt idx="1">
                  <c:v>Flipkart</c:v>
                </c:pt>
                <c:pt idx="2">
                  <c:v>Website</c:v>
                </c:pt>
                <c:pt idx="3">
                  <c:v>Myntra</c:v>
                </c:pt>
                <c:pt idx="4">
                  <c:v>Nykaa</c:v>
                </c:pt>
              </c:strCache>
            </c:strRef>
          </c:cat>
          <c:val>
            <c:numRef>
              <c:f>Analysis!$C$80:$C$84</c:f>
              <c:numCache>
                <c:formatCode>"₹"\ #,##0</c:formatCode>
                <c:ptCount val="5"/>
                <c:pt idx="0">
                  <c:v>551536.70000000019</c:v>
                </c:pt>
                <c:pt idx="1">
                  <c:v>460775.34999999905</c:v>
                </c:pt>
                <c:pt idx="2">
                  <c:v>387341.45</c:v>
                </c:pt>
                <c:pt idx="3">
                  <c:v>485389.84999999934</c:v>
                </c:pt>
                <c:pt idx="4">
                  <c:v>198211.10000000021</c:v>
                </c:pt>
              </c:numCache>
            </c:numRef>
          </c:val>
          <c:extLst>
            <c:ext xmlns:c16="http://schemas.microsoft.com/office/drawing/2014/chart" uri="{C3380CC4-5D6E-409C-BE32-E72D297353CC}">
              <c16:uniqueId val="{00000003-4B37-49F4-86F3-12043AB45AF7}"/>
            </c:ext>
          </c:extLst>
        </c:ser>
        <c:dLbls>
          <c:showLegendKey val="0"/>
          <c:showVal val="0"/>
          <c:showCatName val="0"/>
          <c:showSerName val="0"/>
          <c:showPercent val="0"/>
          <c:showBubbleSize val="0"/>
        </c:dLbls>
        <c:gapWidth val="182"/>
        <c:axId val="117312655"/>
        <c:axId val="1864669168"/>
      </c:barChart>
      <c:catAx>
        <c:axId val="11731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4669168"/>
        <c:crosses val="autoZero"/>
        <c:auto val="1"/>
        <c:lblAlgn val="ctr"/>
        <c:lblOffset val="100"/>
        <c:noMultiLvlLbl val="0"/>
      </c:catAx>
      <c:valAx>
        <c:axId val="1864669168"/>
        <c:scaling>
          <c:orientation val="minMax"/>
        </c:scaling>
        <c:delete val="1"/>
        <c:axPos val="b"/>
        <c:numFmt formatCode="&quot;₹&quot;\ #,##0" sourceLinked="1"/>
        <c:majorTickMark val="none"/>
        <c:minorTickMark val="none"/>
        <c:tickLblPos val="nextTo"/>
        <c:crossAx val="117312655"/>
        <c:crosses val="autoZero"/>
        <c:crossBetween val="between"/>
      </c:valAx>
      <c:spPr>
        <a:noFill/>
        <a:ln>
          <a:noFill/>
        </a:ln>
        <a:effectLst/>
      </c:spPr>
    </c:plotArea>
    <c:legend>
      <c:legendPos val="b"/>
      <c:layout>
        <c:manualLayout>
          <c:xMode val="edge"/>
          <c:yMode val="edge"/>
          <c:x val="0.3689025859472484"/>
          <c:y val="0.92171112457096704"/>
          <c:w val="0.27497544508225974"/>
          <c:h val="7.6684029880880286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Top Products by Revenue and Cumulative Share</a:t>
            </a:r>
          </a:p>
        </c:rich>
      </c:tx>
      <c:layout>
        <c:manualLayout>
          <c:xMode val="edge"/>
          <c:yMode val="edge"/>
          <c:x val="0.258661348433808"/>
          <c:y val="1.2338062924120914E-2"/>
        </c:manualLayout>
      </c:layout>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7.5643609064995926E-2"/>
          <c:y val="5.5015370785073896E-2"/>
          <c:w val="0.86986862529280617"/>
          <c:h val="0.62475346544984622"/>
        </c:manualLayout>
      </c:layout>
      <c:barChart>
        <c:barDir val="col"/>
        <c:grouping val="clustered"/>
        <c:varyColors val="0"/>
        <c:ser>
          <c:idx val="0"/>
          <c:order val="0"/>
          <c:tx>
            <c:strRef>
              <c:f>Analysis!$B$212</c:f>
              <c:strCache>
                <c:ptCount val="1"/>
                <c:pt idx="0">
                  <c:v>Revenue</c:v>
                </c:pt>
              </c:strCache>
            </c:strRef>
          </c:tx>
          <c:spPr>
            <a:solidFill>
              <a:schemeClr val="accent1"/>
            </a:solidFill>
            <a:ln>
              <a:noFill/>
            </a:ln>
            <a:effectLst/>
          </c:spPr>
          <c:invertIfNegative val="0"/>
          <c:cat>
            <c:strRef>
              <c:f>Analysis!$A$213:$A$227</c:f>
              <c:strCache>
                <c:ptCount val="15"/>
                <c:pt idx="0">
                  <c:v>Linen Kurta</c:v>
                </c:pt>
                <c:pt idx="1">
                  <c:v>Running Shoes</c:v>
                </c:pt>
                <c:pt idx="2">
                  <c:v>Denim Jacket</c:v>
                </c:pt>
                <c:pt idx="3">
                  <c:v>Joggers</c:v>
                </c:pt>
                <c:pt idx="4">
                  <c:v>Printed Saree</c:v>
                </c:pt>
                <c:pt idx="5">
                  <c:v>Kolhapuri Sandals</c:v>
                </c:pt>
                <c:pt idx="6">
                  <c:v>Casual Sneakers</c:v>
                </c:pt>
                <c:pt idx="7">
                  <c:v>Cotton Oversized T-Shirt</c:v>
                </c:pt>
                <c:pt idx="8">
                  <c:v>Whey Protein 1kg</c:v>
                </c:pt>
                <c:pt idx="9">
                  <c:v>Cotton Bedsheet</c:v>
                </c:pt>
                <c:pt idx="10">
                  <c:v>Multivitamin Gummies</c:v>
                </c:pt>
                <c:pt idx="11">
                  <c:v>Ashwagandha Capsules</c:v>
                </c:pt>
                <c:pt idx="12">
                  <c:v>Vitamin C Face Serum</c:v>
                </c:pt>
                <c:pt idx="13">
                  <c:v>Retinol Night Cream</c:v>
                </c:pt>
                <c:pt idx="14">
                  <c:v>Flip Flops</c:v>
                </c:pt>
              </c:strCache>
            </c:strRef>
          </c:cat>
          <c:val>
            <c:numRef>
              <c:f>Analysis!$B$213:$B$227</c:f>
              <c:numCache>
                <c:formatCode>General</c:formatCode>
                <c:ptCount val="15"/>
                <c:pt idx="0">
                  <c:v>361333.94999999995</c:v>
                </c:pt>
                <c:pt idx="1">
                  <c:v>346234.55000000005</c:v>
                </c:pt>
                <c:pt idx="2">
                  <c:v>310500.75000000012</c:v>
                </c:pt>
                <c:pt idx="3">
                  <c:v>301908.2</c:v>
                </c:pt>
                <c:pt idx="4">
                  <c:v>253073.39999999994</c:v>
                </c:pt>
                <c:pt idx="5">
                  <c:v>246453.29999999993</c:v>
                </c:pt>
                <c:pt idx="6">
                  <c:v>223858.20000000004</c:v>
                </c:pt>
                <c:pt idx="7">
                  <c:v>206421.65000000017</c:v>
                </c:pt>
                <c:pt idx="8">
                  <c:v>202426.95000000004</c:v>
                </c:pt>
                <c:pt idx="9">
                  <c:v>193291.19999999998</c:v>
                </c:pt>
                <c:pt idx="10">
                  <c:v>178314.9</c:v>
                </c:pt>
                <c:pt idx="11">
                  <c:v>163347.6500000002</c:v>
                </c:pt>
                <c:pt idx="12">
                  <c:v>158914.69999999984</c:v>
                </c:pt>
                <c:pt idx="13">
                  <c:v>154366.80000000005</c:v>
                </c:pt>
                <c:pt idx="14">
                  <c:v>152338.2000000001</c:v>
                </c:pt>
              </c:numCache>
            </c:numRef>
          </c:val>
          <c:extLst>
            <c:ext xmlns:c16="http://schemas.microsoft.com/office/drawing/2014/chart" uri="{C3380CC4-5D6E-409C-BE32-E72D297353CC}">
              <c16:uniqueId val="{00000000-951E-44C0-89B6-5BE5335DF677}"/>
            </c:ext>
          </c:extLst>
        </c:ser>
        <c:dLbls>
          <c:showLegendKey val="0"/>
          <c:showVal val="0"/>
          <c:showCatName val="0"/>
          <c:showSerName val="0"/>
          <c:showPercent val="0"/>
          <c:showBubbleSize val="0"/>
        </c:dLbls>
        <c:gapWidth val="150"/>
        <c:axId val="1015717952"/>
        <c:axId val="1015861360"/>
      </c:barChart>
      <c:lineChart>
        <c:grouping val="standard"/>
        <c:varyColors val="0"/>
        <c:ser>
          <c:idx val="1"/>
          <c:order val="1"/>
          <c:tx>
            <c:strRef>
              <c:f>Analysis!$C$212</c:f>
              <c:strCache>
                <c:ptCount val="1"/>
                <c:pt idx="0">
                  <c:v>Cumulative %</c:v>
                </c:pt>
              </c:strCache>
            </c:strRef>
          </c:tx>
          <c:spPr>
            <a:ln w="28575" cap="rnd">
              <a:solidFill>
                <a:schemeClr val="accent2"/>
              </a:solidFill>
              <a:round/>
            </a:ln>
            <a:effectLst/>
          </c:spPr>
          <c:marker>
            <c:symbol val="none"/>
          </c:marker>
          <c:cat>
            <c:strRef>
              <c:f>Analysis!$A$213:$A$227</c:f>
              <c:strCache>
                <c:ptCount val="15"/>
                <c:pt idx="0">
                  <c:v>Linen Kurta</c:v>
                </c:pt>
                <c:pt idx="1">
                  <c:v>Running Shoes</c:v>
                </c:pt>
                <c:pt idx="2">
                  <c:v>Denim Jacket</c:v>
                </c:pt>
                <c:pt idx="3">
                  <c:v>Joggers</c:v>
                </c:pt>
                <c:pt idx="4">
                  <c:v>Printed Saree</c:v>
                </c:pt>
                <c:pt idx="5">
                  <c:v>Kolhapuri Sandals</c:v>
                </c:pt>
                <c:pt idx="6">
                  <c:v>Casual Sneakers</c:v>
                </c:pt>
                <c:pt idx="7">
                  <c:v>Cotton Oversized T-Shirt</c:v>
                </c:pt>
                <c:pt idx="8">
                  <c:v>Whey Protein 1kg</c:v>
                </c:pt>
                <c:pt idx="9">
                  <c:v>Cotton Bedsheet</c:v>
                </c:pt>
                <c:pt idx="10">
                  <c:v>Multivitamin Gummies</c:v>
                </c:pt>
                <c:pt idx="11">
                  <c:v>Ashwagandha Capsules</c:v>
                </c:pt>
                <c:pt idx="12">
                  <c:v>Vitamin C Face Serum</c:v>
                </c:pt>
                <c:pt idx="13">
                  <c:v>Retinol Night Cream</c:v>
                </c:pt>
                <c:pt idx="14">
                  <c:v>Flip Flops</c:v>
                </c:pt>
              </c:strCache>
            </c:strRef>
          </c:cat>
          <c:val>
            <c:numRef>
              <c:f>Analysis!$C$213:$C$227</c:f>
              <c:numCache>
                <c:formatCode>0%</c:formatCode>
                <c:ptCount val="15"/>
                <c:pt idx="0">
                  <c:v>7.0078348979671801E-2</c:v>
                </c:pt>
                <c:pt idx="1">
                  <c:v>0.1372282683927788</c:v>
                </c:pt>
                <c:pt idx="2">
                  <c:v>0.19744785173652449</c:v>
                </c:pt>
                <c:pt idx="3">
                  <c:v>0.2560009663813691</c:v>
                </c:pt>
                <c:pt idx="4">
                  <c:v>0.30508289195927857</c:v>
                </c:pt>
                <c:pt idx="5">
                  <c:v>0.35288089257502958</c:v>
                </c:pt>
                <c:pt idx="6">
                  <c:v>0.39629672178665271</c:v>
                </c:pt>
                <c:pt idx="7">
                  <c:v>0.43633084652267506</c:v>
                </c:pt>
                <c:pt idx="8">
                  <c:v>0.47559022540193785</c:v>
                </c:pt>
                <c:pt idx="9">
                  <c:v>0.51307778550610061</c:v>
                </c:pt>
                <c:pt idx="10">
                  <c:v>0.54766079048106986</c:v>
                </c:pt>
                <c:pt idx="11">
                  <c:v>0.57934099551497076</c:v>
                </c:pt>
                <c:pt idx="12">
                  <c:v>0.61016145897986207</c:v>
                </c:pt>
                <c:pt idx="13">
                  <c:v>0.64009988707740217</c:v>
                </c:pt>
                <c:pt idx="14">
                  <c:v>0.66964488151408619</c:v>
                </c:pt>
              </c:numCache>
            </c:numRef>
          </c:val>
          <c:smooth val="0"/>
          <c:extLst>
            <c:ext xmlns:c16="http://schemas.microsoft.com/office/drawing/2014/chart" uri="{C3380CC4-5D6E-409C-BE32-E72D297353CC}">
              <c16:uniqueId val="{00000001-951E-44C0-89B6-5BE5335DF677}"/>
            </c:ext>
          </c:extLst>
        </c:ser>
        <c:dLbls>
          <c:showLegendKey val="0"/>
          <c:showVal val="0"/>
          <c:showCatName val="0"/>
          <c:showSerName val="0"/>
          <c:showPercent val="0"/>
          <c:showBubbleSize val="0"/>
        </c:dLbls>
        <c:marker val="1"/>
        <c:smooth val="0"/>
        <c:axId val="1015729552"/>
        <c:axId val="1015860880"/>
      </c:lineChart>
      <c:catAx>
        <c:axId val="10157179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61360"/>
        <c:crosses val="autoZero"/>
        <c:auto val="1"/>
        <c:lblAlgn val="ctr"/>
        <c:lblOffset val="100"/>
        <c:tickLblSkip val="1"/>
        <c:noMultiLvlLbl val="0"/>
      </c:catAx>
      <c:valAx>
        <c:axId val="1015861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717952"/>
        <c:crosses val="autoZero"/>
        <c:crossBetween val="between"/>
      </c:valAx>
      <c:valAx>
        <c:axId val="1015860880"/>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729552"/>
        <c:crosses val="max"/>
        <c:crossBetween val="between"/>
        <c:majorUnit val="0.2"/>
      </c:valAx>
      <c:catAx>
        <c:axId val="1015729552"/>
        <c:scaling>
          <c:orientation val="minMax"/>
        </c:scaling>
        <c:delete val="1"/>
        <c:axPos val="t"/>
        <c:numFmt formatCode="General" sourceLinked="1"/>
        <c:majorTickMark val="out"/>
        <c:minorTickMark val="none"/>
        <c:tickLblPos val="nextTo"/>
        <c:crossAx val="1015860880"/>
        <c:crosses val="max"/>
        <c:auto val="1"/>
        <c:lblAlgn val="ctr"/>
        <c:lblOffset val="100"/>
        <c:noMultiLvlLbl val="0"/>
      </c:catAx>
      <c:spPr>
        <a:noFill/>
        <a:ln>
          <a:noFill/>
        </a:ln>
        <a:effectLst/>
      </c:spPr>
    </c:plotArea>
    <c:legend>
      <c:legendPos val="t"/>
      <c:layout>
        <c:manualLayout>
          <c:xMode val="edge"/>
          <c:yMode val="edge"/>
          <c:x val="0.10239748257274292"/>
          <c:y val="0.92966360856269115"/>
          <c:w val="0.27110228074487436"/>
          <c:h val="6.99606183030876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Ad Spend vs Revenue by State</a:t>
            </a:r>
          </a:p>
        </c:rich>
      </c:tx>
      <c:layout>
        <c:manualLayout>
          <c:xMode val="edge"/>
          <c:yMode val="edge"/>
          <c:x val="0.31839774387317593"/>
          <c:y val="1.305358848840389E-2"/>
        </c:manualLayout>
      </c:layout>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513976855225678E-2"/>
          <c:y val="2.3899076722357516E-2"/>
          <c:w val="0.94841583829537413"/>
          <c:h val="0.8964315772624709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0B3A495E-34DA-4BB2-A50F-B4930503DD4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A64-4542-AA7B-2F0962CF8C6C}"/>
                </c:ext>
              </c:extLst>
            </c:dLbl>
            <c:dLbl>
              <c:idx val="1"/>
              <c:tx>
                <c:rich>
                  <a:bodyPr/>
                  <a:lstStyle/>
                  <a:p>
                    <a:fld id="{D74DB7FE-FF9A-4EAE-9193-0837E3AB7ED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A64-4542-AA7B-2F0962CF8C6C}"/>
                </c:ext>
              </c:extLst>
            </c:dLbl>
            <c:dLbl>
              <c:idx val="2"/>
              <c:tx>
                <c:rich>
                  <a:bodyPr/>
                  <a:lstStyle/>
                  <a:p>
                    <a:fld id="{9EB992C6-EC53-479F-B95C-8971AA540A7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A64-4542-AA7B-2F0962CF8C6C}"/>
                </c:ext>
              </c:extLst>
            </c:dLbl>
            <c:dLbl>
              <c:idx val="3"/>
              <c:tx>
                <c:rich>
                  <a:bodyPr/>
                  <a:lstStyle/>
                  <a:p>
                    <a:fld id="{C87F006C-62F3-440B-9610-A79C16B4E81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A64-4542-AA7B-2F0962CF8C6C}"/>
                </c:ext>
              </c:extLst>
            </c:dLbl>
            <c:dLbl>
              <c:idx val="4"/>
              <c:tx>
                <c:rich>
                  <a:bodyPr/>
                  <a:lstStyle/>
                  <a:p>
                    <a:fld id="{18BD295B-0D8A-4DA6-AD3B-E6879CB929D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A64-4542-AA7B-2F0962CF8C6C}"/>
                </c:ext>
              </c:extLst>
            </c:dLbl>
            <c:dLbl>
              <c:idx val="5"/>
              <c:tx>
                <c:rich>
                  <a:bodyPr/>
                  <a:lstStyle/>
                  <a:p>
                    <a:fld id="{14B970D3-5541-4B55-BD3C-4D64643CDE6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A64-4542-AA7B-2F0962CF8C6C}"/>
                </c:ext>
              </c:extLst>
            </c:dLbl>
            <c:dLbl>
              <c:idx val="6"/>
              <c:tx>
                <c:rich>
                  <a:bodyPr/>
                  <a:lstStyle/>
                  <a:p>
                    <a:fld id="{93D294E3-C9FE-4CEC-A51E-FE8B8D3B2E9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A64-4542-AA7B-2F0962CF8C6C}"/>
                </c:ext>
              </c:extLst>
            </c:dLbl>
            <c:dLbl>
              <c:idx val="7"/>
              <c:tx>
                <c:rich>
                  <a:bodyPr/>
                  <a:lstStyle/>
                  <a:p>
                    <a:fld id="{5F91AE9A-D62F-4171-BFBC-B3478D735FD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A64-4542-AA7B-2F0962CF8C6C}"/>
                </c:ext>
              </c:extLst>
            </c:dLbl>
            <c:dLbl>
              <c:idx val="8"/>
              <c:tx>
                <c:rich>
                  <a:bodyPr/>
                  <a:lstStyle/>
                  <a:p>
                    <a:fld id="{A75DEB49-7AD8-4A2D-ADF0-AFC8D9A6A04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A64-4542-AA7B-2F0962CF8C6C}"/>
                </c:ext>
              </c:extLst>
            </c:dLbl>
            <c:dLbl>
              <c:idx val="9"/>
              <c:tx>
                <c:rich>
                  <a:bodyPr/>
                  <a:lstStyle/>
                  <a:p>
                    <a:fld id="{66624C60-073B-444F-A22D-9E4E627E384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A64-4542-AA7B-2F0962CF8C6C}"/>
                </c:ext>
              </c:extLst>
            </c:dLbl>
            <c:dLbl>
              <c:idx val="10"/>
              <c:tx>
                <c:rich>
                  <a:bodyPr/>
                  <a:lstStyle/>
                  <a:p>
                    <a:fld id="{3B419F5D-D057-4505-A0A9-D42ABEBE9D7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A64-4542-AA7B-2F0962CF8C6C}"/>
                </c:ext>
              </c:extLst>
            </c:dLbl>
            <c:dLbl>
              <c:idx val="11"/>
              <c:tx>
                <c:rich>
                  <a:bodyPr/>
                  <a:lstStyle/>
                  <a:p>
                    <a:fld id="{BFCC33F8-2963-409F-A508-206BC07D076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A64-4542-AA7B-2F0962CF8C6C}"/>
                </c:ext>
              </c:extLst>
            </c:dLbl>
            <c:dLbl>
              <c:idx val="12"/>
              <c:tx>
                <c:rich>
                  <a:bodyPr/>
                  <a:lstStyle/>
                  <a:p>
                    <a:fld id="{E52A9BE5-9CEE-4D6E-9E84-BC2B35A0ACD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A64-4542-AA7B-2F0962CF8C6C}"/>
                </c:ext>
              </c:extLst>
            </c:dLbl>
            <c:dLbl>
              <c:idx val="13"/>
              <c:tx>
                <c:rich>
                  <a:bodyPr/>
                  <a:lstStyle/>
                  <a:p>
                    <a:fld id="{1F227B49-248D-4EE6-8297-E3E3C351572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A64-4542-AA7B-2F0962CF8C6C}"/>
                </c:ext>
              </c:extLst>
            </c:dLbl>
            <c:dLbl>
              <c:idx val="14"/>
              <c:tx>
                <c:rich>
                  <a:bodyPr/>
                  <a:lstStyle/>
                  <a:p>
                    <a:fld id="{782FEF1D-4FC4-4327-8230-D07A397BFD8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A64-4542-AA7B-2F0962CF8C6C}"/>
                </c:ext>
              </c:extLst>
            </c:dLbl>
            <c:dLbl>
              <c:idx val="15"/>
              <c:tx>
                <c:rich>
                  <a:bodyPr/>
                  <a:lstStyle/>
                  <a:p>
                    <a:fld id="{045A33F4-97F6-4EF8-AB44-2D880922B50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A64-4542-AA7B-2F0962CF8C6C}"/>
                </c:ext>
              </c:extLst>
            </c:dLbl>
            <c:dLbl>
              <c:idx val="16"/>
              <c:tx>
                <c:rich>
                  <a:bodyPr/>
                  <a:lstStyle/>
                  <a:p>
                    <a:fld id="{A72FF440-1081-4D80-A2A3-3609A3A9FDF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A64-4542-AA7B-2F0962CF8C6C}"/>
                </c:ext>
              </c:extLst>
            </c:dLbl>
            <c:dLbl>
              <c:idx val="17"/>
              <c:tx>
                <c:rich>
                  <a:bodyPr/>
                  <a:lstStyle/>
                  <a:p>
                    <a:fld id="{5BD5E1EB-4398-4F84-8E21-F3BF12B54DE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A64-4542-AA7B-2F0962CF8C6C}"/>
                </c:ext>
              </c:extLst>
            </c:dLbl>
            <c:dLbl>
              <c:idx val="18"/>
              <c:tx>
                <c:rich>
                  <a:bodyPr/>
                  <a:lstStyle/>
                  <a:p>
                    <a:fld id="{3FE7A7FC-4E54-45E0-8B54-88D2C76467C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A64-4542-AA7B-2F0962CF8C6C}"/>
                </c:ext>
              </c:extLst>
            </c:dLbl>
            <c:dLbl>
              <c:idx val="19"/>
              <c:tx>
                <c:rich>
                  <a:bodyPr/>
                  <a:lstStyle/>
                  <a:p>
                    <a:fld id="{E1E92D3A-572E-47AC-AA70-6D903CCB754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A64-4542-AA7B-2F0962CF8C6C}"/>
                </c:ext>
              </c:extLst>
            </c:dLbl>
            <c:dLbl>
              <c:idx val="20"/>
              <c:tx>
                <c:rich>
                  <a:bodyPr/>
                  <a:lstStyle/>
                  <a:p>
                    <a:fld id="{2FF6D5FF-2663-42BC-BD36-93A5C023D8A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A64-4542-AA7B-2F0962CF8C6C}"/>
                </c:ext>
              </c:extLst>
            </c:dLbl>
            <c:dLbl>
              <c:idx val="21"/>
              <c:tx>
                <c:rich>
                  <a:bodyPr/>
                  <a:lstStyle/>
                  <a:p>
                    <a:fld id="{71A25299-F1B2-4CE5-A7B5-B8028F0035C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A64-4542-AA7B-2F0962CF8C6C}"/>
                </c:ext>
              </c:extLst>
            </c:dLbl>
            <c:dLbl>
              <c:idx val="22"/>
              <c:tx>
                <c:rich>
                  <a:bodyPr/>
                  <a:lstStyle/>
                  <a:p>
                    <a:fld id="{A5EC3F36-0901-4FB8-B4FC-4DB9666FBDE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A64-4542-AA7B-2F0962CF8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0" cap="rnd" cmpd="sng">
                <a:solidFill>
                  <a:schemeClr val="bg1"/>
                </a:solidFill>
                <a:prstDash val="solid"/>
              </a:ln>
              <a:effectLst/>
            </c:spPr>
            <c:trendlineType val="linear"/>
            <c:dispRSqr val="1"/>
            <c:dispEq val="1"/>
            <c:trendlineLbl>
              <c:layout>
                <c:manualLayout>
                  <c:x val="-2.8346614491316709E-4"/>
                  <c:y val="-1.8522230326975121E-2"/>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900" b="0" i="0" u="none" strike="noStrike" kern="1200" baseline="0">
                        <a:solidFill>
                          <a:sysClr val="windowText" lastClr="000000">
                            <a:lumMod val="65000"/>
                            <a:lumOff val="35000"/>
                          </a:sysClr>
                        </a:solidFill>
                        <a:latin typeface="+mn-lt"/>
                        <a:ea typeface="+mn-ea"/>
                        <a:cs typeface="+mn-cs"/>
                      </a:defRPr>
                    </a:pPr>
                    <a:r>
                      <a:rPr lang="en-US" sz="900" b="0" i="0" u="none" strike="noStrike" kern="1200" baseline="0">
                        <a:solidFill>
                          <a:sysClr val="windowText" lastClr="000000">
                            <a:lumMod val="65000"/>
                            <a:lumOff val="35000"/>
                          </a:sysClr>
                        </a:solidFill>
                        <a:latin typeface="+mn-lt"/>
                        <a:ea typeface="+mn-ea"/>
                        <a:cs typeface="+mn-cs"/>
                      </a:rPr>
                      <a:t>y = 4.3757x + 0.2235</a:t>
                    </a:r>
                    <a:br>
                      <a:rPr lang="en-US" sz="900" b="0" i="0" u="none" strike="noStrike" kern="1200" baseline="0">
                        <a:solidFill>
                          <a:sysClr val="windowText" lastClr="000000">
                            <a:lumMod val="65000"/>
                            <a:lumOff val="35000"/>
                          </a:sysClr>
                        </a:solidFill>
                        <a:latin typeface="+mn-lt"/>
                        <a:ea typeface="+mn-ea"/>
                        <a:cs typeface="+mn-cs"/>
                      </a:rPr>
                    </a:br>
                    <a:r>
                      <a:rPr lang="en-US" sz="900" b="0" i="0" u="none" strike="noStrike" kern="1200" baseline="0">
                        <a:solidFill>
                          <a:sysClr val="windowText" lastClr="000000">
                            <a:lumMod val="65000"/>
                            <a:lumOff val="35000"/>
                          </a:sysClr>
                        </a:solidFill>
                        <a:latin typeface="+mn-lt"/>
                        <a:ea typeface="+mn-ea"/>
                        <a:cs typeface="+mn-cs"/>
                      </a:rPr>
                      <a:t>R² = 0.9739</a:t>
                    </a:r>
                  </a:p>
                </c:rich>
              </c:tx>
              <c:numFmt formatCode="General"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900" b="0" i="0" u="none" strike="noStrike" kern="1200" baseline="0">
                      <a:solidFill>
                        <a:sysClr val="windowText" lastClr="000000">
                          <a:lumMod val="65000"/>
                          <a:lumOff val="35000"/>
                        </a:sysClr>
                      </a:solidFill>
                      <a:latin typeface="+mn-lt"/>
                      <a:ea typeface="+mn-ea"/>
                      <a:cs typeface="+mn-cs"/>
                    </a:defRPr>
                  </a:pPr>
                  <a:endParaRPr lang="en-US"/>
                </a:p>
              </c:txPr>
            </c:trendlineLbl>
          </c:trendline>
          <c:xVal>
            <c:numRef>
              <c:f>Analysis!$N$122:$N$144</c:f>
              <c:numCache>
                <c:formatCode>0.0</c:formatCode>
                <c:ptCount val="23"/>
                <c:pt idx="0">
                  <c:v>0.1507</c:v>
                </c:pt>
                <c:pt idx="1">
                  <c:v>0.28070000000000001</c:v>
                </c:pt>
                <c:pt idx="2">
                  <c:v>0.1181</c:v>
                </c:pt>
                <c:pt idx="3">
                  <c:v>0.153</c:v>
                </c:pt>
                <c:pt idx="4">
                  <c:v>0.51590000000000003</c:v>
                </c:pt>
                <c:pt idx="5">
                  <c:v>0.3553</c:v>
                </c:pt>
                <c:pt idx="6">
                  <c:v>0.87680000000000002</c:v>
                </c:pt>
                <c:pt idx="7">
                  <c:v>0.75949999999999995</c:v>
                </c:pt>
                <c:pt idx="8">
                  <c:v>0.3286</c:v>
                </c:pt>
                <c:pt idx="9">
                  <c:v>0.1741</c:v>
                </c:pt>
                <c:pt idx="10">
                  <c:v>0.71499999999999997</c:v>
                </c:pt>
                <c:pt idx="11">
                  <c:v>0.42230000000000001</c:v>
                </c:pt>
                <c:pt idx="12">
                  <c:v>0.1686</c:v>
                </c:pt>
                <c:pt idx="13">
                  <c:v>0.1885</c:v>
                </c:pt>
                <c:pt idx="14">
                  <c:v>0.67149999999999999</c:v>
                </c:pt>
                <c:pt idx="15">
                  <c:v>1.1714</c:v>
                </c:pt>
                <c:pt idx="16">
                  <c:v>0.61160000000000003</c:v>
                </c:pt>
                <c:pt idx="17">
                  <c:v>0.21820000000000001</c:v>
                </c:pt>
                <c:pt idx="18">
                  <c:v>0.1215</c:v>
                </c:pt>
                <c:pt idx="19">
                  <c:v>0.99370000000000003</c:v>
                </c:pt>
                <c:pt idx="20">
                  <c:v>0.38629999999999998</c:v>
                </c:pt>
                <c:pt idx="21">
                  <c:v>0.39889999999999998</c:v>
                </c:pt>
                <c:pt idx="22">
                  <c:v>0.82830000000000004</c:v>
                </c:pt>
              </c:numCache>
            </c:numRef>
          </c:xVal>
          <c:yVal>
            <c:numRef>
              <c:f>Analysis!$M$122:$M$144</c:f>
              <c:numCache>
                <c:formatCode>0.0</c:formatCode>
                <c:ptCount val="23"/>
                <c:pt idx="0">
                  <c:v>0.78172750000000024</c:v>
                </c:pt>
                <c:pt idx="1">
                  <c:v>1.380949</c:v>
                </c:pt>
                <c:pt idx="2">
                  <c:v>0.57713900000000007</c:v>
                </c:pt>
                <c:pt idx="3">
                  <c:v>0.7623135000000002</c:v>
                </c:pt>
                <c:pt idx="4">
                  <c:v>2.6174545000000022</c:v>
                </c:pt>
                <c:pt idx="5">
                  <c:v>1.7150865</c:v>
                </c:pt>
                <c:pt idx="6">
                  <c:v>4.0260965000000022</c:v>
                </c:pt>
                <c:pt idx="7">
                  <c:v>3.8957774999999981</c:v>
                </c:pt>
                <c:pt idx="8">
                  <c:v>1.8008775000000004</c:v>
                </c:pt>
                <c:pt idx="9">
                  <c:v>0.77828750000000002</c:v>
                </c:pt>
                <c:pt idx="10">
                  <c:v>3.637781000000003</c:v>
                </c:pt>
                <c:pt idx="11">
                  <c:v>2.6144110000000005</c:v>
                </c:pt>
                <c:pt idx="12">
                  <c:v>0.75860149999999993</c:v>
                </c:pt>
                <c:pt idx="13">
                  <c:v>0.99597750000000029</c:v>
                </c:pt>
                <c:pt idx="14">
                  <c:v>3.2712814999999993</c:v>
                </c:pt>
                <c:pt idx="15">
                  <c:v>5.1314729999999953</c:v>
                </c:pt>
                <c:pt idx="16">
                  <c:v>2.8965815000000008</c:v>
                </c:pt>
                <c:pt idx="17">
                  <c:v>1.0802899999999995</c:v>
                </c:pt>
                <c:pt idx="18">
                  <c:v>0.75897549999999991</c:v>
                </c:pt>
                <c:pt idx="19">
                  <c:v>4.0460959999999977</c:v>
                </c:pt>
                <c:pt idx="20">
                  <c:v>2.1342125000000012</c:v>
                </c:pt>
                <c:pt idx="21">
                  <c:v>2.0504920000000006</c:v>
                </c:pt>
                <c:pt idx="22">
                  <c:v>3.8495424999999988</c:v>
                </c:pt>
              </c:numCache>
            </c:numRef>
          </c:yVal>
          <c:smooth val="0"/>
          <c:extLst>
            <c:ext xmlns:c15="http://schemas.microsoft.com/office/drawing/2012/chart" uri="{02D57815-91ED-43cb-92C2-25804820EDAC}">
              <c15:datalabelsRange>
                <c15:f>Analysis!$B$122:$B$144</c15:f>
                <c15:dlblRangeCache>
                  <c:ptCount val="23"/>
                  <c:pt idx="0">
                    <c:v>JK</c:v>
                  </c:pt>
                  <c:pt idx="1">
                    <c:v>PB</c:v>
                  </c:pt>
                  <c:pt idx="2">
                    <c:v>HP</c:v>
                  </c:pt>
                  <c:pt idx="3">
                    <c:v>UK</c:v>
                  </c:pt>
                  <c:pt idx="4">
                    <c:v>RJ</c:v>
                  </c:pt>
                  <c:pt idx="5">
                    <c:v>HR</c:v>
                  </c:pt>
                  <c:pt idx="6">
                    <c:v>DL</c:v>
                  </c:pt>
                  <c:pt idx="7">
                    <c:v>UP</c:v>
                  </c:pt>
                  <c:pt idx="8">
                    <c:v>BR</c:v>
                  </c:pt>
                  <c:pt idx="9">
                    <c:v>AS</c:v>
                  </c:pt>
                  <c:pt idx="10">
                    <c:v>GJ</c:v>
                  </c:pt>
                  <c:pt idx="11">
                    <c:v>MP</c:v>
                  </c:pt>
                  <c:pt idx="12">
                    <c:v>CG</c:v>
                  </c:pt>
                  <c:pt idx="13">
                    <c:v>JH</c:v>
                  </c:pt>
                  <c:pt idx="14">
                    <c:v>WB</c:v>
                  </c:pt>
                  <c:pt idx="15">
                    <c:v>MH</c:v>
                  </c:pt>
                  <c:pt idx="16">
                    <c:v>TG</c:v>
                  </c:pt>
                  <c:pt idx="17">
                    <c:v>OD</c:v>
                  </c:pt>
                  <c:pt idx="18">
                    <c:v>GA</c:v>
                  </c:pt>
                  <c:pt idx="19">
                    <c:v>KA</c:v>
                  </c:pt>
                  <c:pt idx="20">
                    <c:v>AP</c:v>
                  </c:pt>
                  <c:pt idx="21">
                    <c:v>KL</c:v>
                  </c:pt>
                  <c:pt idx="22">
                    <c:v>TN</c:v>
                  </c:pt>
                </c15:dlblRangeCache>
              </c15:datalabelsRange>
            </c:ext>
            <c:ext xmlns:c16="http://schemas.microsoft.com/office/drawing/2014/chart" uri="{C3380CC4-5D6E-409C-BE32-E72D297353CC}">
              <c16:uniqueId val="{00000000-0A64-4542-AA7B-2F0962CF8C6C}"/>
            </c:ext>
          </c:extLst>
        </c:ser>
        <c:dLbls>
          <c:showLegendKey val="0"/>
          <c:showVal val="1"/>
          <c:showCatName val="0"/>
          <c:showSerName val="0"/>
          <c:showPercent val="0"/>
          <c:showBubbleSize val="0"/>
        </c:dLbls>
        <c:axId val="1151261952"/>
        <c:axId val="1015896400"/>
      </c:scatterChart>
      <c:valAx>
        <c:axId val="1151261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rgbClr val="000000"/>
                    </a:solidFill>
                  </a:rPr>
                  <a:t>Ad spend (₹ lakh)</a:t>
                </a:r>
              </a:p>
            </c:rich>
          </c:tx>
          <c:layout>
            <c:manualLayout>
              <c:xMode val="edge"/>
              <c:yMode val="edge"/>
              <c:x val="0.48260065728115947"/>
              <c:y val="0.675599685377091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96400"/>
        <c:crosses val="autoZero"/>
        <c:crossBetween val="midCat"/>
      </c:valAx>
      <c:valAx>
        <c:axId val="1015896400"/>
        <c:scaling>
          <c:orientation val="minMax"/>
        </c:scaling>
        <c:delete val="0"/>
        <c:axPos val="l"/>
        <c:title>
          <c:tx>
            <c:rich>
              <a:bodyPr rot="-5400000" spcFirstLastPara="1" vertOverflow="ellipsis" vert="horz" wrap="square" anchor="ctr" anchorCtr="1"/>
              <a:lstStyle/>
              <a:p>
                <a:pPr>
                  <a:defRPr lang="en-IN" sz="900" b="0" i="0" u="none" strike="noStrike" kern="1200" baseline="0">
                    <a:solidFill>
                      <a:sysClr val="windowText" lastClr="000000">
                        <a:lumMod val="65000"/>
                        <a:lumOff val="35000"/>
                      </a:sysClr>
                    </a:solidFill>
                    <a:latin typeface="+mn-lt"/>
                    <a:ea typeface="+mn-ea"/>
                    <a:cs typeface="+mn-cs"/>
                  </a:defRPr>
                </a:pPr>
                <a:r>
                  <a:rPr lang="en-IN" sz="900" b="0" i="0" u="none" strike="noStrike" kern="1200" baseline="0">
                    <a:solidFill>
                      <a:sysClr val="windowText" lastClr="000000">
                        <a:lumMod val="65000"/>
                        <a:lumOff val="35000"/>
                      </a:sysClr>
                    </a:solidFill>
                    <a:latin typeface="+mn-lt"/>
                    <a:ea typeface="+mn-ea"/>
                    <a:cs typeface="+mn-cs"/>
                  </a:rPr>
                  <a:t>Revenue (₹ lakh)</a:t>
                </a:r>
              </a:p>
            </c:rich>
          </c:tx>
          <c:layout>
            <c:manualLayout>
              <c:xMode val="edge"/>
              <c:yMode val="edge"/>
              <c:x val="2.8394714536183557E-2"/>
              <c:y val="0.26662880176519288"/>
            </c:manualLayout>
          </c:layout>
          <c:overlay val="0"/>
          <c:spPr>
            <a:noFill/>
            <a:ln>
              <a:noFill/>
            </a:ln>
            <a:effectLst/>
          </c:spPr>
          <c:txPr>
            <a:bodyPr rot="-5400000" spcFirstLastPara="1" vertOverflow="ellipsis" vert="horz" wrap="square" anchor="ctr" anchorCtr="1"/>
            <a:lstStyle/>
            <a:p>
              <a:pPr>
                <a:defRPr lang="en-IN" sz="9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61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Orders by Delivery Days &amp; Avg Rating</a:t>
            </a:r>
          </a:p>
        </c:rich>
      </c:tx>
      <c:layout>
        <c:manualLayout>
          <c:xMode val="edge"/>
          <c:yMode val="edge"/>
          <c:x val="0.30553646080766822"/>
          <c:y val="6.7783095162928944E-3"/>
        </c:manualLayout>
      </c:layout>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5.6260677094097732E-2"/>
          <c:y val="3.7280702339610922E-2"/>
          <c:w val="0.89159560872388999"/>
          <c:h val="0.85671187407715599"/>
        </c:manualLayout>
      </c:layout>
      <c:barChart>
        <c:barDir val="col"/>
        <c:grouping val="clustered"/>
        <c:varyColors val="0"/>
        <c:ser>
          <c:idx val="0"/>
          <c:order val="0"/>
          <c:tx>
            <c:strRef>
              <c:f>Analysis!$B$105</c:f>
              <c:strCache>
                <c:ptCount val="1"/>
                <c:pt idx="0">
                  <c:v>Orders</c:v>
                </c:pt>
              </c:strCache>
            </c:strRef>
          </c:tx>
          <c:spPr>
            <a:solidFill>
              <a:schemeClr val="accent5"/>
            </a:solidFill>
            <a:ln w="12700">
              <a:solidFill>
                <a:schemeClr val="accent1">
                  <a:lumMod val="60000"/>
                  <a:lumOff val="40000"/>
                </a:schemeClr>
              </a:solidFill>
            </a:ln>
            <a:effectLst/>
          </c:spPr>
          <c:invertIfNegative val="0"/>
          <c:cat>
            <c:strRef>
              <c:f>Analysis!$A$106:$A$113</c:f>
              <c:strCache>
                <c:ptCount val="8"/>
                <c:pt idx="0">
                  <c:v>1 day</c:v>
                </c:pt>
                <c:pt idx="1">
                  <c:v>2 days</c:v>
                </c:pt>
                <c:pt idx="2">
                  <c:v>3 days</c:v>
                </c:pt>
                <c:pt idx="3">
                  <c:v>4 days</c:v>
                </c:pt>
                <c:pt idx="4">
                  <c:v>5 days</c:v>
                </c:pt>
                <c:pt idx="5">
                  <c:v>6 days</c:v>
                </c:pt>
                <c:pt idx="6">
                  <c:v>7 days</c:v>
                </c:pt>
                <c:pt idx="7">
                  <c:v>8+ days</c:v>
                </c:pt>
              </c:strCache>
            </c:strRef>
          </c:cat>
          <c:val>
            <c:numRef>
              <c:f>Analysis!$B$106:$B$113</c:f>
              <c:numCache>
                <c:formatCode>General</c:formatCode>
                <c:ptCount val="8"/>
                <c:pt idx="0">
                  <c:v>533</c:v>
                </c:pt>
                <c:pt idx="1">
                  <c:v>942</c:v>
                </c:pt>
                <c:pt idx="2">
                  <c:v>1250</c:v>
                </c:pt>
                <c:pt idx="3">
                  <c:v>1103</c:v>
                </c:pt>
                <c:pt idx="4">
                  <c:v>642</c:v>
                </c:pt>
                <c:pt idx="5">
                  <c:v>268</c:v>
                </c:pt>
                <c:pt idx="6">
                  <c:v>75</c:v>
                </c:pt>
                <c:pt idx="7">
                  <c:v>20</c:v>
                </c:pt>
              </c:numCache>
            </c:numRef>
          </c:val>
          <c:extLst>
            <c:ext xmlns:c16="http://schemas.microsoft.com/office/drawing/2014/chart" uri="{C3380CC4-5D6E-409C-BE32-E72D297353CC}">
              <c16:uniqueId val="{00000000-0896-4230-BC3D-70DB30053566}"/>
            </c:ext>
          </c:extLst>
        </c:ser>
        <c:dLbls>
          <c:showLegendKey val="0"/>
          <c:showVal val="0"/>
          <c:showCatName val="0"/>
          <c:showSerName val="0"/>
          <c:showPercent val="0"/>
          <c:showBubbleSize val="0"/>
        </c:dLbls>
        <c:gapWidth val="92"/>
        <c:overlap val="26"/>
        <c:axId val="375882127"/>
        <c:axId val="1015883920"/>
      </c:barChart>
      <c:lineChart>
        <c:grouping val="standard"/>
        <c:varyColors val="0"/>
        <c:ser>
          <c:idx val="1"/>
          <c:order val="1"/>
          <c:tx>
            <c:strRef>
              <c:f>Analysis!$C$105</c:f>
              <c:strCache>
                <c:ptCount val="1"/>
                <c:pt idx="0">
                  <c:v>Avg Rating</c:v>
                </c:pt>
              </c:strCache>
            </c:strRef>
          </c:tx>
          <c:spPr>
            <a:ln w="44450" cap="rnd">
              <a:solidFill>
                <a:schemeClr val="accent2"/>
              </a:solidFill>
              <a:round/>
            </a:ln>
            <a:effectLst/>
          </c:spPr>
          <c:marker>
            <c:symbol val="none"/>
          </c:marker>
          <c:cat>
            <c:strRef>
              <c:f>Analysis!$A$106:$A$113</c:f>
              <c:strCache>
                <c:ptCount val="8"/>
                <c:pt idx="0">
                  <c:v>1 day</c:v>
                </c:pt>
                <c:pt idx="1">
                  <c:v>2 days</c:v>
                </c:pt>
                <c:pt idx="2">
                  <c:v>3 days</c:v>
                </c:pt>
                <c:pt idx="3">
                  <c:v>4 days</c:v>
                </c:pt>
                <c:pt idx="4">
                  <c:v>5 days</c:v>
                </c:pt>
                <c:pt idx="5">
                  <c:v>6 days</c:v>
                </c:pt>
                <c:pt idx="6">
                  <c:v>7 days</c:v>
                </c:pt>
                <c:pt idx="7">
                  <c:v>8+ days</c:v>
                </c:pt>
              </c:strCache>
            </c:strRef>
          </c:cat>
          <c:val>
            <c:numRef>
              <c:f>Analysis!$C$106:$C$113</c:f>
              <c:numCache>
                <c:formatCode>0.00</c:formatCode>
                <c:ptCount val="8"/>
                <c:pt idx="0">
                  <c:v>4.4005167958656335</c:v>
                </c:pt>
                <c:pt idx="1">
                  <c:v>4.2204142011834316</c:v>
                </c:pt>
                <c:pt idx="2">
                  <c:v>3.9660633484162897</c:v>
                </c:pt>
                <c:pt idx="3">
                  <c:v>3.7713178294573644</c:v>
                </c:pt>
                <c:pt idx="4">
                  <c:v>3.534782608695652</c:v>
                </c:pt>
                <c:pt idx="5">
                  <c:v>3.4064171122994651</c:v>
                </c:pt>
                <c:pt idx="6">
                  <c:v>3.1346153846153846</c:v>
                </c:pt>
                <c:pt idx="7">
                  <c:v>2.7647058823529411</c:v>
                </c:pt>
              </c:numCache>
            </c:numRef>
          </c:val>
          <c:smooth val="0"/>
          <c:extLst>
            <c:ext xmlns:c16="http://schemas.microsoft.com/office/drawing/2014/chart" uri="{C3380CC4-5D6E-409C-BE32-E72D297353CC}">
              <c16:uniqueId val="{00000001-0896-4230-BC3D-70DB30053566}"/>
            </c:ext>
          </c:extLst>
        </c:ser>
        <c:dLbls>
          <c:showLegendKey val="0"/>
          <c:showVal val="0"/>
          <c:showCatName val="0"/>
          <c:showSerName val="0"/>
          <c:showPercent val="0"/>
          <c:showBubbleSize val="0"/>
        </c:dLbls>
        <c:marker val="1"/>
        <c:smooth val="0"/>
        <c:axId val="375883983"/>
        <c:axId val="1015885360"/>
      </c:lineChart>
      <c:catAx>
        <c:axId val="3758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83920"/>
        <c:crosses val="autoZero"/>
        <c:auto val="1"/>
        <c:lblAlgn val="ctr"/>
        <c:lblOffset val="100"/>
        <c:noMultiLvlLbl val="0"/>
      </c:catAx>
      <c:valAx>
        <c:axId val="1015883920"/>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a:t>Orders</a:t>
                </a:r>
              </a:p>
            </c:rich>
          </c:tx>
          <c:layout>
            <c:manualLayout>
              <c:xMode val="edge"/>
              <c:yMode val="edge"/>
              <c:x val="4.3147209558975497E-2"/>
              <c:y val="0.3430000744546596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82127"/>
        <c:crosses val="autoZero"/>
        <c:crossBetween val="between"/>
      </c:valAx>
      <c:valAx>
        <c:axId val="1015885360"/>
        <c:scaling>
          <c:orientation val="minMax"/>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a:t>Avg Rating</a:t>
                </a:r>
              </a:p>
            </c:rich>
          </c:tx>
          <c:layout>
            <c:manualLayout>
              <c:xMode val="edge"/>
              <c:yMode val="edge"/>
              <c:x val="0.92592156380889068"/>
              <c:y val="0.30910852687319518"/>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83983"/>
        <c:crosses val="max"/>
        <c:crossBetween val="between"/>
      </c:valAx>
      <c:catAx>
        <c:axId val="375883983"/>
        <c:scaling>
          <c:orientation val="minMax"/>
        </c:scaling>
        <c:delete val="1"/>
        <c:axPos val="b"/>
        <c:numFmt formatCode="General" sourceLinked="1"/>
        <c:majorTickMark val="none"/>
        <c:minorTickMark val="none"/>
        <c:tickLblPos val="nextTo"/>
        <c:crossAx val="1015885360"/>
        <c:crosses val="autoZero"/>
        <c:auto val="1"/>
        <c:lblAlgn val="ctr"/>
        <c:lblOffset val="100"/>
        <c:noMultiLvlLbl val="0"/>
      </c:catAx>
      <c:spPr>
        <a:noFill/>
        <a:ln>
          <a:noFill/>
        </a:ln>
        <a:effectLst/>
      </c:spPr>
    </c:plotArea>
    <c:legend>
      <c:legendPos val="b"/>
      <c:layout>
        <c:manualLayout>
          <c:xMode val="edge"/>
          <c:yMode val="edge"/>
          <c:x val="0.37945182093115304"/>
          <c:y val="0.93941845840426308"/>
          <c:w val="0.24109635813769395"/>
          <c:h val="5.7192386837590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Delivery days vs Rating by State </a:t>
            </a:r>
          </a:p>
        </c:rich>
      </c:tx>
      <c:layout>
        <c:manualLayout>
          <c:xMode val="edge"/>
          <c:yMode val="edge"/>
          <c:x val="0.37773446864048027"/>
          <c:y val="1.0143200155688804E-2"/>
        </c:manualLayout>
      </c:layout>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4.0625789356483352E-2"/>
          <c:y val="3.7191733904192281E-2"/>
          <c:w val="0.94394789997939366"/>
          <c:h val="0.89451657534680562"/>
        </c:manualLayout>
      </c:layout>
      <c:bubbleChart>
        <c:varyColors val="0"/>
        <c:ser>
          <c:idx val="0"/>
          <c:order val="0"/>
          <c:tx>
            <c:v>States</c:v>
          </c:tx>
          <c:spPr>
            <a:solidFill>
              <a:schemeClr val="accent5">
                <a:lumMod val="75000"/>
                <a:alpha val="45000"/>
              </a:schemeClr>
            </a:solidFill>
            <a:ln w="12700">
              <a:solidFill>
                <a:schemeClr val="accent5">
                  <a:lumMod val="60000"/>
                  <a:lumOff val="40000"/>
                </a:schemeClr>
              </a:solidFill>
            </a:ln>
            <a:effectLst/>
          </c:spPr>
          <c:invertIfNegative val="0"/>
          <c:xVal>
            <c:numRef>
              <c:f>Analysis!$I$122:$I$144</c:f>
              <c:numCache>
                <c:formatCode>0.0</c:formatCode>
                <c:ptCount val="23"/>
                <c:pt idx="0">
                  <c:v>5.84375</c:v>
                </c:pt>
                <c:pt idx="1">
                  <c:v>3.5378787878787881</c:v>
                </c:pt>
                <c:pt idx="2">
                  <c:v>4.6909090909090905</c:v>
                </c:pt>
                <c:pt idx="3">
                  <c:v>4.2424242424242422</c:v>
                </c:pt>
                <c:pt idx="4">
                  <c:v>4.0648854961832059</c:v>
                </c:pt>
                <c:pt idx="5">
                  <c:v>2.8333333333333335</c:v>
                </c:pt>
                <c:pt idx="6">
                  <c:v>2.1534246575342464</c:v>
                </c:pt>
                <c:pt idx="7">
                  <c:v>3.6834733893557421</c:v>
                </c:pt>
                <c:pt idx="8">
                  <c:v>4.8214285714285712</c:v>
                </c:pt>
                <c:pt idx="9">
                  <c:v>6.3246753246753249</c:v>
                </c:pt>
                <c:pt idx="10">
                  <c:v>3.1621621621621623</c:v>
                </c:pt>
                <c:pt idx="11">
                  <c:v>3.9338521400778208</c:v>
                </c:pt>
                <c:pt idx="12">
                  <c:v>4.6883116883116882</c:v>
                </c:pt>
                <c:pt idx="13">
                  <c:v>4.5679012345679011</c:v>
                </c:pt>
                <c:pt idx="14">
                  <c:v>3.572347266881029</c:v>
                </c:pt>
                <c:pt idx="15">
                  <c:v>2.3563218390804597</c:v>
                </c:pt>
                <c:pt idx="16">
                  <c:v>2.7193675889328062</c:v>
                </c:pt>
                <c:pt idx="17">
                  <c:v>4.4943820224719104</c:v>
                </c:pt>
                <c:pt idx="18">
                  <c:v>3.3793103448275863</c:v>
                </c:pt>
                <c:pt idx="19">
                  <c:v>2.3645569620253166</c:v>
                </c:pt>
                <c:pt idx="20">
                  <c:v>3.5735294117647061</c:v>
                </c:pt>
                <c:pt idx="21">
                  <c:v>3.7307692307692308</c:v>
                </c:pt>
                <c:pt idx="22">
                  <c:v>2.8119658119658117</c:v>
                </c:pt>
              </c:numCache>
            </c:numRef>
          </c:xVal>
          <c:yVal>
            <c:numRef>
              <c:f>Analysis!$G$122:$G$144</c:f>
              <c:numCache>
                <c:formatCode>0.00</c:formatCode>
                <c:ptCount val="23"/>
                <c:pt idx="0">
                  <c:v>3.2272727272727271</c:v>
                </c:pt>
                <c:pt idx="1">
                  <c:v>3.9555555555555557</c:v>
                </c:pt>
                <c:pt idx="2">
                  <c:v>3.6744186046511627</c:v>
                </c:pt>
                <c:pt idx="3">
                  <c:v>3.652173913043478</c:v>
                </c:pt>
                <c:pt idx="4">
                  <c:v>3.7407407407407409</c:v>
                </c:pt>
                <c:pt idx="5">
                  <c:v>4.016</c:v>
                </c:pt>
                <c:pt idx="6">
                  <c:v>4.1259541984732824</c:v>
                </c:pt>
                <c:pt idx="7">
                  <c:v>3.8532818532818531</c:v>
                </c:pt>
                <c:pt idx="8">
                  <c:v>3.6037735849056602</c:v>
                </c:pt>
                <c:pt idx="9">
                  <c:v>3.3157894736842106</c:v>
                </c:pt>
                <c:pt idx="10">
                  <c:v>3.8870292887029287</c:v>
                </c:pt>
                <c:pt idx="11">
                  <c:v>3.7362637362637363</c:v>
                </c:pt>
                <c:pt idx="12">
                  <c:v>3.7241379310344827</c:v>
                </c:pt>
                <c:pt idx="13">
                  <c:v>3.6274509803921569</c:v>
                </c:pt>
                <c:pt idx="14">
                  <c:v>3.8952380952380952</c:v>
                </c:pt>
                <c:pt idx="15">
                  <c:v>4.1653333333333338</c:v>
                </c:pt>
                <c:pt idx="16">
                  <c:v>4.0747126436781613</c:v>
                </c:pt>
                <c:pt idx="17">
                  <c:v>3.5833333333333335</c:v>
                </c:pt>
                <c:pt idx="18">
                  <c:v>3.8139534883720931</c:v>
                </c:pt>
                <c:pt idx="19">
                  <c:v>4.0945454545454547</c:v>
                </c:pt>
                <c:pt idx="20">
                  <c:v>3.8662420382165603</c:v>
                </c:pt>
                <c:pt idx="21">
                  <c:v>3.7716535433070866</c:v>
                </c:pt>
                <c:pt idx="22">
                  <c:v>4.0792452830188681</c:v>
                </c:pt>
              </c:numCache>
            </c:numRef>
          </c:yVal>
          <c:bubbleSize>
            <c:numRef>
              <c:f>Analysis!$D$122:$D$144</c:f>
              <c:numCache>
                <c:formatCode>\₹#,##0</c:formatCode>
                <c:ptCount val="23"/>
                <c:pt idx="0">
                  <c:v>78172.750000000029</c:v>
                </c:pt>
                <c:pt idx="1">
                  <c:v>138094.9</c:v>
                </c:pt>
                <c:pt idx="2">
                  <c:v>57713.9</c:v>
                </c:pt>
                <c:pt idx="3">
                  <c:v>76231.35000000002</c:v>
                </c:pt>
                <c:pt idx="4">
                  <c:v>261745.45000000022</c:v>
                </c:pt>
                <c:pt idx="5">
                  <c:v>171508.65</c:v>
                </c:pt>
                <c:pt idx="6">
                  <c:v>402609.6500000002</c:v>
                </c:pt>
                <c:pt idx="7">
                  <c:v>389577.74999999983</c:v>
                </c:pt>
                <c:pt idx="8">
                  <c:v>180087.75000000003</c:v>
                </c:pt>
                <c:pt idx="9">
                  <c:v>77828.75</c:v>
                </c:pt>
                <c:pt idx="10">
                  <c:v>363778.10000000033</c:v>
                </c:pt>
                <c:pt idx="11">
                  <c:v>261441.10000000003</c:v>
                </c:pt>
                <c:pt idx="12">
                  <c:v>75860.149999999994</c:v>
                </c:pt>
                <c:pt idx="13">
                  <c:v>99597.750000000029</c:v>
                </c:pt>
                <c:pt idx="14">
                  <c:v>327128.14999999991</c:v>
                </c:pt>
                <c:pt idx="15">
                  <c:v>513147.29999999952</c:v>
                </c:pt>
                <c:pt idx="16">
                  <c:v>289658.15000000008</c:v>
                </c:pt>
                <c:pt idx="17">
                  <c:v>108028.99999999996</c:v>
                </c:pt>
                <c:pt idx="18">
                  <c:v>75897.549999999988</c:v>
                </c:pt>
                <c:pt idx="19">
                  <c:v>404609.5999999998</c:v>
                </c:pt>
                <c:pt idx="20">
                  <c:v>213421.25000000012</c:v>
                </c:pt>
                <c:pt idx="21">
                  <c:v>205049.20000000007</c:v>
                </c:pt>
                <c:pt idx="22">
                  <c:v>384954.24999999988</c:v>
                </c:pt>
              </c:numCache>
            </c:numRef>
          </c:bubbleSize>
          <c:bubble3D val="0"/>
          <c:extLst>
            <c:ext xmlns:c16="http://schemas.microsoft.com/office/drawing/2014/chart" uri="{C3380CC4-5D6E-409C-BE32-E72D297353CC}">
              <c16:uniqueId val="{00000000-8BFE-4C3C-8700-46675250CF1F}"/>
            </c:ext>
          </c:extLst>
        </c:ser>
        <c:dLbls>
          <c:showLegendKey val="0"/>
          <c:showVal val="0"/>
          <c:showCatName val="0"/>
          <c:showSerName val="0"/>
          <c:showPercent val="0"/>
          <c:showBubbleSize val="0"/>
        </c:dLbls>
        <c:bubbleScale val="50"/>
        <c:showNegBubbles val="1"/>
        <c:sizeRepresents val="w"/>
        <c:axId val="375903935"/>
        <c:axId val="1015848400"/>
      </c:bubbleChart>
      <c:valAx>
        <c:axId val="375903935"/>
        <c:scaling>
          <c:orientation val="minMax"/>
          <c:max val="6.5"/>
          <c:min val="1.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Delivery Dates</a:t>
                </a:r>
              </a:p>
            </c:rich>
          </c:tx>
          <c:layout>
            <c:manualLayout>
              <c:xMode val="edge"/>
              <c:yMode val="edge"/>
              <c:x val="0.4267503149116918"/>
              <c:y val="0.877588346341566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48400"/>
        <c:crosses val="autoZero"/>
        <c:crossBetween val="midCat"/>
        <c:majorUnit val="0.5"/>
      </c:valAx>
      <c:valAx>
        <c:axId val="1015848400"/>
        <c:scaling>
          <c:orientation val="minMax"/>
          <c:min val="3"/>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Rating</a:t>
                </a:r>
              </a:p>
            </c:rich>
          </c:tx>
          <c:layout>
            <c:manualLayout>
              <c:xMode val="edge"/>
              <c:yMode val="edge"/>
              <c:x val="3.429546194803209E-2"/>
              <c:y val="0.409441056426276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03935"/>
        <c:crossesAt val="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Discount % &amp; Margin % by product</a:t>
            </a:r>
          </a:p>
        </c:rich>
      </c:tx>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8.4241834467587526E-2"/>
          <c:y val="3.8958337167815341E-2"/>
          <c:w val="0.88248895196990051"/>
          <c:h val="0.92033898494150124"/>
        </c:manualLayout>
      </c:layout>
      <c:scatterChart>
        <c:scatterStyle val="lineMarker"/>
        <c:varyColors val="0"/>
        <c:ser>
          <c:idx val="0"/>
          <c:order val="0"/>
          <c:tx>
            <c:v>Products</c:v>
          </c:tx>
          <c:spPr>
            <a:ln w="25400" cap="rnd">
              <a:noFill/>
              <a:round/>
            </a:ln>
            <a:effectLst/>
          </c:spPr>
          <c:marker>
            <c:symbol val="circle"/>
            <c:size val="5"/>
            <c:spPr>
              <a:solidFill>
                <a:schemeClr val="accent2"/>
              </a:solidFill>
              <a:ln w="47625">
                <a:solidFill>
                  <a:schemeClr val="accent2"/>
                </a:solidFill>
              </a:ln>
              <a:effectLst/>
            </c:spPr>
          </c:marker>
          <c:dPt>
            <c:idx val="29"/>
            <c:marker>
              <c:symbol val="circle"/>
              <c:size val="5"/>
              <c:spPr>
                <a:solidFill>
                  <a:schemeClr val="accent2"/>
                </a:solidFill>
                <a:ln w="47625">
                  <a:solidFill>
                    <a:schemeClr val="accent2"/>
                  </a:solidFill>
                </a:ln>
                <a:effectLst>
                  <a:outerShdw blurRad="50800" dist="50800" dir="5400000" sx="27000" sy="27000" algn="ctr" rotWithShape="0">
                    <a:srgbClr val="000000">
                      <a:alpha val="43137"/>
                    </a:srgbClr>
                  </a:outerShdw>
                </a:effectLst>
              </c:spPr>
            </c:marker>
            <c:bubble3D val="0"/>
            <c:spPr>
              <a:ln w="25400" cap="rnd">
                <a:noFill/>
                <a:round/>
              </a:ln>
              <a:effectLst>
                <a:outerShdw blurRad="50800" dist="50800" dir="5400000" sx="27000" sy="27000" algn="ctr" rotWithShape="0">
                  <a:srgbClr val="000000">
                    <a:alpha val="43137"/>
                  </a:srgbClr>
                </a:outerShdw>
              </a:effectLst>
            </c:spPr>
            <c:extLst>
              <c:ext xmlns:c16="http://schemas.microsoft.com/office/drawing/2014/chart" uri="{C3380CC4-5D6E-409C-BE32-E72D297353CC}">
                <c16:uniqueId val="{00000001-64DD-423F-800E-0EEE2520A7A3}"/>
              </c:ext>
            </c:extLst>
          </c:dPt>
          <c:trendline>
            <c:spPr>
              <a:ln w="19050" cap="rnd">
                <a:solidFill>
                  <a:schemeClr val="accent1"/>
                </a:solidFill>
                <a:prstDash val="sysDot"/>
              </a:ln>
              <a:effectLst>
                <a:outerShdw dist="50800" dir="5400000" sx="1000" sy="1000" algn="ctr" rotWithShape="0">
                  <a:schemeClr val="bg1"/>
                </a:outerShdw>
              </a:effectLst>
            </c:spPr>
            <c:trendlineType val="linear"/>
            <c:dispRSqr val="0"/>
            <c:dispEq val="0"/>
          </c:trendline>
          <c:trendline>
            <c:spPr>
              <a:ln w="19050" cap="rnd">
                <a:solidFill>
                  <a:schemeClr val="bg1"/>
                </a:solidFill>
                <a:prstDash val="sysDot"/>
              </a:ln>
              <a:effectLst>
                <a:outerShdw blurRad="50800" dist="50800" dir="5400000" algn="ctr" rotWithShape="0">
                  <a:schemeClr val="bg1"/>
                </a:outerShdw>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Analysis!$M$158:$M$187</c:f>
              <c:numCache>
                <c:formatCode>0.0%</c:formatCode>
                <c:ptCount val="30"/>
                <c:pt idx="0">
                  <c:v>0.20090361445783111</c:v>
                </c:pt>
                <c:pt idx="1">
                  <c:v>9.9695121951219504E-2</c:v>
                </c:pt>
                <c:pt idx="2">
                  <c:v>0.26088825214899702</c:v>
                </c:pt>
                <c:pt idx="3">
                  <c:v>5.4058441558441556E-2</c:v>
                </c:pt>
                <c:pt idx="4">
                  <c:v>0.10967741935483875</c:v>
                </c:pt>
                <c:pt idx="5">
                  <c:v>0.34668435013262627</c:v>
                </c:pt>
                <c:pt idx="6">
                  <c:v>9.3371212121212091E-2</c:v>
                </c:pt>
                <c:pt idx="7">
                  <c:v>0.19577702702702687</c:v>
                </c:pt>
                <c:pt idx="8">
                  <c:v>0.39897959183673487</c:v>
                </c:pt>
                <c:pt idx="9">
                  <c:v>6.0545454545454507E-2</c:v>
                </c:pt>
                <c:pt idx="10">
                  <c:v>0.35548128342245972</c:v>
                </c:pt>
                <c:pt idx="11">
                  <c:v>0.15218855218855218</c:v>
                </c:pt>
                <c:pt idx="12">
                  <c:v>6.5789473684210509E-2</c:v>
                </c:pt>
                <c:pt idx="13">
                  <c:v>9.5714285714285752E-2</c:v>
                </c:pt>
                <c:pt idx="14">
                  <c:v>0.24542483660130732</c:v>
                </c:pt>
                <c:pt idx="15">
                  <c:v>0.26231884057971022</c:v>
                </c:pt>
                <c:pt idx="16">
                  <c:v>9.3014705882352999E-2</c:v>
                </c:pt>
                <c:pt idx="17">
                  <c:v>0.1439461883408073</c:v>
                </c:pt>
                <c:pt idx="18">
                  <c:v>9.7426470588235364E-2</c:v>
                </c:pt>
                <c:pt idx="19">
                  <c:v>0.34130434782608693</c:v>
                </c:pt>
                <c:pt idx="20">
                  <c:v>0.25646853146853149</c:v>
                </c:pt>
                <c:pt idx="21">
                  <c:v>5.2229299363057306E-2</c:v>
                </c:pt>
                <c:pt idx="22">
                  <c:v>0.38285714285714295</c:v>
                </c:pt>
                <c:pt idx="23">
                  <c:v>0.11097560975609755</c:v>
                </c:pt>
                <c:pt idx="24">
                  <c:v>0.1442060085836909</c:v>
                </c:pt>
                <c:pt idx="25">
                  <c:v>0.39102564102564108</c:v>
                </c:pt>
                <c:pt idx="26">
                  <c:v>5.6628242074927893E-2</c:v>
                </c:pt>
                <c:pt idx="27">
                  <c:v>0.39275862068965522</c:v>
                </c:pt>
                <c:pt idx="28">
                  <c:v>0.37724935732647841</c:v>
                </c:pt>
                <c:pt idx="29">
                  <c:v>0.24526627218934929</c:v>
                </c:pt>
              </c:numCache>
            </c:numRef>
          </c:xVal>
          <c:yVal>
            <c:numRef>
              <c:f>Analysis!$N$158:$N$187</c:f>
              <c:numCache>
                <c:formatCode>0.0%</c:formatCode>
                <c:ptCount val="30"/>
                <c:pt idx="0">
                  <c:v>0.53144674470014441</c:v>
                </c:pt>
                <c:pt idx="1">
                  <c:v>0.53652508452768188</c:v>
                </c:pt>
                <c:pt idx="2">
                  <c:v>0.48730131201234395</c:v>
                </c:pt>
                <c:pt idx="3">
                  <c:v>0.51718243926181473</c:v>
                </c:pt>
                <c:pt idx="4">
                  <c:v>0.63572478019885104</c:v>
                </c:pt>
                <c:pt idx="5">
                  <c:v>0.38592603191998009</c:v>
                </c:pt>
                <c:pt idx="6">
                  <c:v>0.52700404724562555</c:v>
                </c:pt>
                <c:pt idx="7">
                  <c:v>0.51350319402216493</c:v>
                </c:pt>
                <c:pt idx="8">
                  <c:v>0.28543770291603388</c:v>
                </c:pt>
                <c:pt idx="9">
                  <c:v>0.50392800367597079</c:v>
                </c:pt>
                <c:pt idx="10">
                  <c:v>0.30906021977730025</c:v>
                </c:pt>
                <c:pt idx="11">
                  <c:v>0.47247540808762412</c:v>
                </c:pt>
                <c:pt idx="12">
                  <c:v>0.49531522870717704</c:v>
                </c:pt>
                <c:pt idx="13">
                  <c:v>0.48615698054398482</c:v>
                </c:pt>
                <c:pt idx="14">
                  <c:v>0.34183344787514686</c:v>
                </c:pt>
                <c:pt idx="15">
                  <c:v>0.33684805827975012</c:v>
                </c:pt>
                <c:pt idx="16">
                  <c:v>0.50375994153862069</c:v>
                </c:pt>
                <c:pt idx="17">
                  <c:v>0.40650473748541044</c:v>
                </c:pt>
                <c:pt idx="18">
                  <c:v>0.47977499326021894</c:v>
                </c:pt>
                <c:pt idx="19">
                  <c:v>0.2192256440530008</c:v>
                </c:pt>
                <c:pt idx="20">
                  <c:v>0.45634605480874046</c:v>
                </c:pt>
                <c:pt idx="21">
                  <c:v>0.48603454270034047</c:v>
                </c:pt>
                <c:pt idx="22">
                  <c:v>-3.1650084301409989E-2</c:v>
                </c:pt>
                <c:pt idx="23">
                  <c:v>0.32636628718695221</c:v>
                </c:pt>
                <c:pt idx="24">
                  <c:v>0.42673712520326462</c:v>
                </c:pt>
                <c:pt idx="25">
                  <c:v>-1.4856206664521192E-2</c:v>
                </c:pt>
                <c:pt idx="26">
                  <c:v>0.59136234895329032</c:v>
                </c:pt>
                <c:pt idx="27">
                  <c:v>2.1745869312361808E-2</c:v>
                </c:pt>
                <c:pt idx="28">
                  <c:v>0.35326448215481959</c:v>
                </c:pt>
                <c:pt idx="29">
                  <c:v>0.47080137442244019</c:v>
                </c:pt>
              </c:numCache>
            </c:numRef>
          </c:yVal>
          <c:smooth val="1"/>
          <c:extLst>
            <c:ext xmlns:c16="http://schemas.microsoft.com/office/drawing/2014/chart" uri="{C3380CC4-5D6E-409C-BE32-E72D297353CC}">
              <c16:uniqueId val="{00000000-64DD-423F-800E-0EEE2520A7A3}"/>
            </c:ext>
          </c:extLst>
        </c:ser>
        <c:dLbls>
          <c:showLegendKey val="0"/>
          <c:showVal val="0"/>
          <c:showCatName val="0"/>
          <c:showSerName val="0"/>
          <c:showPercent val="0"/>
          <c:showBubbleSize val="0"/>
        </c:dLbls>
        <c:axId val="2097647216"/>
        <c:axId val="1015868080"/>
      </c:scatterChart>
      <c:valAx>
        <c:axId val="209764721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Avg Discount %</a:t>
                </a:r>
              </a:p>
            </c:rich>
          </c:tx>
          <c:layout>
            <c:manualLayout>
              <c:xMode val="edge"/>
              <c:yMode val="edge"/>
              <c:x val="0.49372742912062184"/>
              <c:y val="0.9248988115057885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68080"/>
        <c:crosses val="autoZero"/>
        <c:crossBetween val="midCat"/>
      </c:valAx>
      <c:valAx>
        <c:axId val="1015868080"/>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Profit Margin</a:t>
                </a:r>
                <a:r>
                  <a:rPr lang="en-IN" sz="1050" b="1" baseline="0"/>
                  <a:t> %</a:t>
                </a:r>
                <a:endParaRPr lang="en-IN" sz="1050" b="1"/>
              </a:p>
            </c:rich>
          </c:tx>
          <c:layout>
            <c:manualLayout>
              <c:xMode val="edge"/>
              <c:yMode val="edge"/>
              <c:x val="1.0493828472058441E-2"/>
              <c:y val="0.39450238462949982"/>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647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[project.xlsx]Pivot_Analysis!PT_RegionYear</c:name>
    <c:fmtId val="7"/>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baseline="0"/>
              <a:t>Revenue by Region and State</a:t>
            </a:r>
          </a:p>
        </c:rich>
      </c:tx>
      <c:overlay val="1"/>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manualLayout>
          <c:layoutTarget val="inner"/>
          <c:xMode val="edge"/>
          <c:yMode val="edge"/>
          <c:x val="7.8866584518222677E-2"/>
          <c:y val="2.4391957472880362E-2"/>
          <c:w val="0.9092947177385291"/>
          <c:h val="0.63151319799390171"/>
        </c:manualLayout>
      </c:layout>
      <c:barChart>
        <c:barDir val="col"/>
        <c:grouping val="clustered"/>
        <c:varyColors val="0"/>
        <c:ser>
          <c:idx val="0"/>
          <c:order val="0"/>
          <c:tx>
            <c:strRef>
              <c:f>Pivot_Analysis!$B$10:$B$11</c:f>
              <c:strCache>
                <c:ptCount val="1"/>
                <c:pt idx="0">
                  <c:v>2024</c:v>
                </c:pt>
              </c:strCache>
            </c:strRef>
          </c:tx>
          <c:spPr>
            <a:solidFill>
              <a:schemeClr val="accent1"/>
            </a:solidFill>
            <a:ln>
              <a:noFill/>
            </a:ln>
            <a:effectLst/>
          </c:spPr>
          <c:invertIfNegative val="0"/>
          <c:cat>
            <c:multiLvlStrRef>
              <c:f>Pivot_Analysis!$A$12:$A$39</c:f>
              <c:multiLvlStrCache>
                <c:ptCount val="23"/>
                <c:lvl>
                  <c:pt idx="0">
                    <c:v>Assam</c:v>
                  </c:pt>
                  <c:pt idx="1">
                    <c:v>Bihar</c:v>
                  </c:pt>
                  <c:pt idx="2">
                    <c:v>Chhattisgarh</c:v>
                  </c:pt>
                  <c:pt idx="3">
                    <c:v>Jharkhand</c:v>
                  </c:pt>
                  <c:pt idx="4">
                    <c:v>Odisha</c:v>
                  </c:pt>
                  <c:pt idx="5">
                    <c:v>West Bengal</c:v>
                  </c:pt>
                  <c:pt idx="6">
                    <c:v>Delhi</c:v>
                  </c:pt>
                  <c:pt idx="7">
                    <c:v>Haryana</c:v>
                  </c:pt>
                  <c:pt idx="8">
                    <c:v>Himachal Pradesh</c:v>
                  </c:pt>
                  <c:pt idx="9">
                    <c:v>Jammu &amp; Kashmir</c:v>
                  </c:pt>
                  <c:pt idx="10">
                    <c:v>Punjab</c:v>
                  </c:pt>
                  <c:pt idx="11">
                    <c:v>Rajasthan</c:v>
                  </c:pt>
                  <c:pt idx="12">
                    <c:v>Uttar Pradesh</c:v>
                  </c:pt>
                  <c:pt idx="13">
                    <c:v>Uttarakhand</c:v>
                  </c:pt>
                  <c:pt idx="14">
                    <c:v>Andhra Pradesh</c:v>
                  </c:pt>
                  <c:pt idx="15">
                    <c:v>Karnataka</c:v>
                  </c:pt>
                  <c:pt idx="16">
                    <c:v>Kerala</c:v>
                  </c:pt>
                  <c:pt idx="17">
                    <c:v>Tamil Nadu</c:v>
                  </c:pt>
                  <c:pt idx="18">
                    <c:v>Telangana</c:v>
                  </c:pt>
                  <c:pt idx="19">
                    <c:v>Goa</c:v>
                  </c:pt>
                  <c:pt idx="20">
                    <c:v>Gujarat</c:v>
                  </c:pt>
                  <c:pt idx="21">
                    <c:v>Madhya Pradesh</c:v>
                  </c:pt>
                  <c:pt idx="22">
                    <c:v>Maharashtra</c:v>
                  </c:pt>
                </c:lvl>
                <c:lvl>
                  <c:pt idx="0">
                    <c:v>East</c:v>
                  </c:pt>
                  <c:pt idx="6">
                    <c:v>North</c:v>
                  </c:pt>
                  <c:pt idx="14">
                    <c:v>South</c:v>
                  </c:pt>
                  <c:pt idx="19">
                    <c:v>West</c:v>
                  </c:pt>
                </c:lvl>
              </c:multiLvlStrCache>
            </c:multiLvlStrRef>
          </c:cat>
          <c:val>
            <c:numRef>
              <c:f>Pivot_Analysis!$B$12:$B$39</c:f>
              <c:numCache>
                <c:formatCode>"₹"\ #,##0</c:formatCode>
                <c:ptCount val="23"/>
                <c:pt idx="0">
                  <c:v>38309.999999999993</c:v>
                </c:pt>
                <c:pt idx="1">
                  <c:v>76953.300000000017</c:v>
                </c:pt>
                <c:pt idx="2">
                  <c:v>31920.7</c:v>
                </c:pt>
                <c:pt idx="3">
                  <c:v>38098.600000000013</c:v>
                </c:pt>
                <c:pt idx="4">
                  <c:v>53784.950000000004</c:v>
                </c:pt>
                <c:pt idx="5">
                  <c:v>167686.05000000002</c:v>
                </c:pt>
                <c:pt idx="6">
                  <c:v>126759.50000000007</c:v>
                </c:pt>
                <c:pt idx="7">
                  <c:v>81540.649999999994</c:v>
                </c:pt>
                <c:pt idx="8">
                  <c:v>30547.350000000002</c:v>
                </c:pt>
                <c:pt idx="9">
                  <c:v>23446.1</c:v>
                </c:pt>
                <c:pt idx="10">
                  <c:v>51962.19999999999</c:v>
                </c:pt>
                <c:pt idx="11">
                  <c:v>128421.9</c:v>
                </c:pt>
                <c:pt idx="12">
                  <c:v>181546.25000000009</c:v>
                </c:pt>
                <c:pt idx="13">
                  <c:v>42105.100000000006</c:v>
                </c:pt>
                <c:pt idx="14">
                  <c:v>71368.549999999974</c:v>
                </c:pt>
                <c:pt idx="15">
                  <c:v>188827.70000000004</c:v>
                </c:pt>
                <c:pt idx="16">
                  <c:v>59706.749999999971</c:v>
                </c:pt>
                <c:pt idx="17">
                  <c:v>166882.05000000005</c:v>
                </c:pt>
                <c:pt idx="18">
                  <c:v>126451.45000000001</c:v>
                </c:pt>
                <c:pt idx="19">
                  <c:v>33272.250000000007</c:v>
                </c:pt>
                <c:pt idx="20">
                  <c:v>174041.80000000008</c:v>
                </c:pt>
                <c:pt idx="21">
                  <c:v>132072.95000000004</c:v>
                </c:pt>
                <c:pt idx="22">
                  <c:v>230930.35000000018</c:v>
                </c:pt>
              </c:numCache>
            </c:numRef>
          </c:val>
          <c:extLst>
            <c:ext xmlns:c16="http://schemas.microsoft.com/office/drawing/2014/chart" uri="{C3380CC4-5D6E-409C-BE32-E72D297353CC}">
              <c16:uniqueId val="{00000000-A1F7-4E80-9F72-77903C67C787}"/>
            </c:ext>
          </c:extLst>
        </c:ser>
        <c:ser>
          <c:idx val="1"/>
          <c:order val="1"/>
          <c:tx>
            <c:strRef>
              <c:f>Pivot_Analysis!$C$10:$C$11</c:f>
              <c:strCache>
                <c:ptCount val="1"/>
                <c:pt idx="0">
                  <c:v>2025</c:v>
                </c:pt>
              </c:strCache>
            </c:strRef>
          </c:tx>
          <c:spPr>
            <a:solidFill>
              <a:schemeClr val="accent2"/>
            </a:solidFill>
            <a:ln>
              <a:noFill/>
            </a:ln>
            <a:effectLst/>
          </c:spPr>
          <c:invertIfNegative val="0"/>
          <c:cat>
            <c:multiLvlStrRef>
              <c:f>Pivot_Analysis!$A$12:$A$39</c:f>
              <c:multiLvlStrCache>
                <c:ptCount val="23"/>
                <c:lvl>
                  <c:pt idx="0">
                    <c:v>Assam</c:v>
                  </c:pt>
                  <c:pt idx="1">
                    <c:v>Bihar</c:v>
                  </c:pt>
                  <c:pt idx="2">
                    <c:v>Chhattisgarh</c:v>
                  </c:pt>
                  <c:pt idx="3">
                    <c:v>Jharkhand</c:v>
                  </c:pt>
                  <c:pt idx="4">
                    <c:v>Odisha</c:v>
                  </c:pt>
                  <c:pt idx="5">
                    <c:v>West Bengal</c:v>
                  </c:pt>
                  <c:pt idx="6">
                    <c:v>Delhi</c:v>
                  </c:pt>
                  <c:pt idx="7">
                    <c:v>Haryana</c:v>
                  </c:pt>
                  <c:pt idx="8">
                    <c:v>Himachal Pradesh</c:v>
                  </c:pt>
                  <c:pt idx="9">
                    <c:v>Jammu &amp; Kashmir</c:v>
                  </c:pt>
                  <c:pt idx="10">
                    <c:v>Punjab</c:v>
                  </c:pt>
                  <c:pt idx="11">
                    <c:v>Rajasthan</c:v>
                  </c:pt>
                  <c:pt idx="12">
                    <c:v>Uttar Pradesh</c:v>
                  </c:pt>
                  <c:pt idx="13">
                    <c:v>Uttarakhand</c:v>
                  </c:pt>
                  <c:pt idx="14">
                    <c:v>Andhra Pradesh</c:v>
                  </c:pt>
                  <c:pt idx="15">
                    <c:v>Karnataka</c:v>
                  </c:pt>
                  <c:pt idx="16">
                    <c:v>Kerala</c:v>
                  </c:pt>
                  <c:pt idx="17">
                    <c:v>Tamil Nadu</c:v>
                  </c:pt>
                  <c:pt idx="18">
                    <c:v>Telangana</c:v>
                  </c:pt>
                  <c:pt idx="19">
                    <c:v>Goa</c:v>
                  </c:pt>
                  <c:pt idx="20">
                    <c:v>Gujarat</c:v>
                  </c:pt>
                  <c:pt idx="21">
                    <c:v>Madhya Pradesh</c:v>
                  </c:pt>
                  <c:pt idx="22">
                    <c:v>Maharashtra</c:v>
                  </c:pt>
                </c:lvl>
                <c:lvl>
                  <c:pt idx="0">
                    <c:v>East</c:v>
                  </c:pt>
                  <c:pt idx="6">
                    <c:v>North</c:v>
                  </c:pt>
                  <c:pt idx="14">
                    <c:v>South</c:v>
                  </c:pt>
                  <c:pt idx="19">
                    <c:v>West</c:v>
                  </c:pt>
                </c:lvl>
              </c:multiLvlStrCache>
            </c:multiLvlStrRef>
          </c:cat>
          <c:val>
            <c:numRef>
              <c:f>Pivot_Analysis!$C$12:$C$39</c:f>
              <c:numCache>
                <c:formatCode>"₹"\ #,##0</c:formatCode>
                <c:ptCount val="23"/>
                <c:pt idx="0">
                  <c:v>39518.749999999985</c:v>
                </c:pt>
                <c:pt idx="1">
                  <c:v>103134.44999999998</c:v>
                </c:pt>
                <c:pt idx="2">
                  <c:v>43939.450000000012</c:v>
                </c:pt>
                <c:pt idx="3">
                  <c:v>61499.150000000009</c:v>
                </c:pt>
                <c:pt idx="4">
                  <c:v>54244.050000000017</c:v>
                </c:pt>
                <c:pt idx="5">
                  <c:v>159442.10000000003</c:v>
                </c:pt>
                <c:pt idx="6">
                  <c:v>275850.14999999973</c:v>
                </c:pt>
                <c:pt idx="7">
                  <c:v>89967.999999999956</c:v>
                </c:pt>
                <c:pt idx="8">
                  <c:v>27166.55</c:v>
                </c:pt>
                <c:pt idx="9">
                  <c:v>54726.649999999987</c:v>
                </c:pt>
                <c:pt idx="10">
                  <c:v>86132.699999999968</c:v>
                </c:pt>
                <c:pt idx="11">
                  <c:v>133323.54999999999</c:v>
                </c:pt>
                <c:pt idx="12">
                  <c:v>208031.50000000006</c:v>
                </c:pt>
                <c:pt idx="13">
                  <c:v>34126.25</c:v>
                </c:pt>
                <c:pt idx="14">
                  <c:v>142052.70000000001</c:v>
                </c:pt>
                <c:pt idx="15">
                  <c:v>215781.90000000008</c:v>
                </c:pt>
                <c:pt idx="16">
                  <c:v>145342.45000000001</c:v>
                </c:pt>
                <c:pt idx="17">
                  <c:v>218072.20000000007</c:v>
                </c:pt>
                <c:pt idx="18">
                  <c:v>163206.70000000007</c:v>
                </c:pt>
                <c:pt idx="19">
                  <c:v>42625.3</c:v>
                </c:pt>
                <c:pt idx="20">
                  <c:v>189736.29999999996</c:v>
                </c:pt>
                <c:pt idx="21">
                  <c:v>129368.15000000004</c:v>
                </c:pt>
                <c:pt idx="22">
                  <c:v>282216.95000000013</c:v>
                </c:pt>
              </c:numCache>
            </c:numRef>
          </c:val>
          <c:extLst>
            <c:ext xmlns:c16="http://schemas.microsoft.com/office/drawing/2014/chart" uri="{C3380CC4-5D6E-409C-BE32-E72D297353CC}">
              <c16:uniqueId val="{00000002-A1F7-4E80-9F72-77903C67C787}"/>
            </c:ext>
          </c:extLst>
        </c:ser>
        <c:dLbls>
          <c:showLegendKey val="0"/>
          <c:showVal val="0"/>
          <c:showCatName val="0"/>
          <c:showSerName val="0"/>
          <c:showPercent val="0"/>
          <c:showBubbleSize val="0"/>
        </c:dLbls>
        <c:gapWidth val="219"/>
        <c:overlap val="-27"/>
        <c:axId val="1511222400"/>
        <c:axId val="1054456816"/>
      </c:barChart>
      <c:catAx>
        <c:axId val="1511222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54456816"/>
        <c:crosses val="autoZero"/>
        <c:auto val="1"/>
        <c:lblAlgn val="ctr"/>
        <c:lblOffset val="100"/>
        <c:noMultiLvlLbl val="0"/>
      </c:catAx>
      <c:valAx>
        <c:axId val="105445681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11222400"/>
        <c:crosses val="autoZero"/>
        <c:crossBetween val="between"/>
      </c:valAx>
      <c:spPr>
        <a:noFill/>
        <a:ln>
          <a:noFill/>
        </a:ln>
        <a:effectLst/>
      </c:spPr>
    </c:plotArea>
    <c:legend>
      <c:legendPos val="t"/>
      <c:layout>
        <c:manualLayout>
          <c:xMode val="edge"/>
          <c:yMode val="edge"/>
          <c:x val="0.71529062196859117"/>
          <c:y val="9.3586811311755693E-3"/>
          <c:w val="0.11770151394762836"/>
          <c:h val="0.11265094927473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130628</xdr:colOff>
      <xdr:row>13</xdr:row>
      <xdr:rowOff>15239</xdr:rowOff>
    </xdr:from>
    <xdr:to>
      <xdr:col>12</xdr:col>
      <xdr:colOff>598714</xdr:colOff>
      <xdr:row>29</xdr:row>
      <xdr:rowOff>152400</xdr:rowOff>
    </xdr:to>
    <xdr:graphicFrame macro="">
      <xdr:nvGraphicFramePr>
        <xdr:cNvPr id="2" name="Chart 1">
          <a:extLst>
            <a:ext uri="{FF2B5EF4-FFF2-40B4-BE49-F238E27FC236}">
              <a16:creationId xmlns:a16="http://schemas.microsoft.com/office/drawing/2014/main" id="{1462536E-047E-4A36-A9B2-0704C161F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133349</xdr:colOff>
      <xdr:row>12</xdr:row>
      <xdr:rowOff>217715</xdr:rowOff>
    </xdr:from>
    <xdr:to>
      <xdr:col>24</xdr:col>
      <xdr:colOff>696686</xdr:colOff>
      <xdr:row>30</xdr:row>
      <xdr:rowOff>0</xdr:rowOff>
    </xdr:to>
    <xdr:graphicFrame macro="">
      <xdr:nvGraphicFramePr>
        <xdr:cNvPr id="3" name="Chart 2">
          <a:extLst>
            <a:ext uri="{FF2B5EF4-FFF2-40B4-BE49-F238E27FC236}">
              <a16:creationId xmlns:a16="http://schemas.microsoft.com/office/drawing/2014/main" id="{357BE489-626A-4336-9F4A-FCCEBCD44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xdr:colOff>
      <xdr:row>30</xdr:row>
      <xdr:rowOff>266698</xdr:rowOff>
    </xdr:from>
    <xdr:to>
      <xdr:col>7</xdr:col>
      <xdr:colOff>85726</xdr:colOff>
      <xdr:row>48</xdr:row>
      <xdr:rowOff>7619</xdr:rowOff>
    </xdr:to>
    <xdr:graphicFrame macro="">
      <xdr:nvGraphicFramePr>
        <xdr:cNvPr id="4" name="Chart 3">
          <a:extLst>
            <a:ext uri="{FF2B5EF4-FFF2-40B4-BE49-F238E27FC236}">
              <a16:creationId xmlns:a16="http://schemas.microsoft.com/office/drawing/2014/main" id="{F7790226-8DFF-4270-85B8-BC524CB4C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409575</xdr:colOff>
      <xdr:row>31</xdr:row>
      <xdr:rowOff>0</xdr:rowOff>
    </xdr:from>
    <xdr:to>
      <xdr:col>14</xdr:col>
      <xdr:colOff>219074</xdr:colOff>
      <xdr:row>48</xdr:row>
      <xdr:rowOff>0</xdr:rowOff>
    </xdr:to>
    <xdr:graphicFrame macro="">
      <xdr:nvGraphicFramePr>
        <xdr:cNvPr id="5" name="Chart 4">
          <a:extLst>
            <a:ext uri="{FF2B5EF4-FFF2-40B4-BE49-F238E27FC236}">
              <a16:creationId xmlns:a16="http://schemas.microsoft.com/office/drawing/2014/main" id="{EB8A9A47-84B4-4C2E-AE7D-4E3670723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533400</xdr:colOff>
      <xdr:row>30</xdr:row>
      <xdr:rowOff>257174</xdr:rowOff>
    </xdr:from>
    <xdr:to>
      <xdr:col>25</xdr:col>
      <xdr:colOff>0</xdr:colOff>
      <xdr:row>47</xdr:row>
      <xdr:rowOff>182879</xdr:rowOff>
    </xdr:to>
    <xdr:graphicFrame macro="">
      <xdr:nvGraphicFramePr>
        <xdr:cNvPr id="6" name="Chart 5">
          <a:extLst>
            <a:ext uri="{FF2B5EF4-FFF2-40B4-BE49-F238E27FC236}">
              <a16:creationId xmlns:a16="http://schemas.microsoft.com/office/drawing/2014/main" id="{E4E04281-6032-4F06-AF90-57F5531E2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26896</xdr:colOff>
      <xdr:row>48</xdr:row>
      <xdr:rowOff>270249</xdr:rowOff>
    </xdr:from>
    <xdr:to>
      <xdr:col>25</xdr:col>
      <xdr:colOff>0</xdr:colOff>
      <xdr:row>56</xdr:row>
      <xdr:rowOff>403411</xdr:rowOff>
    </xdr:to>
    <xdr:graphicFrame macro="">
      <xdr:nvGraphicFramePr>
        <xdr:cNvPr id="7" name="Chart 6">
          <a:extLst>
            <a:ext uri="{FF2B5EF4-FFF2-40B4-BE49-F238E27FC236}">
              <a16:creationId xmlns:a16="http://schemas.microsoft.com/office/drawing/2014/main" id="{A3BE18D2-B9D8-41C8-A19B-C2E255BFC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59</xdr:row>
      <xdr:rowOff>0</xdr:rowOff>
    </xdr:from>
    <xdr:to>
      <xdr:col>10</xdr:col>
      <xdr:colOff>690282</xdr:colOff>
      <xdr:row>79</xdr:row>
      <xdr:rowOff>161364</xdr:rowOff>
    </xdr:to>
    <xdr:graphicFrame macro="">
      <xdr:nvGraphicFramePr>
        <xdr:cNvPr id="9" name="Chart 8">
          <a:extLst>
            <a:ext uri="{FF2B5EF4-FFF2-40B4-BE49-F238E27FC236}">
              <a16:creationId xmlns:a16="http://schemas.microsoft.com/office/drawing/2014/main" id="{1F72CC43-BE9B-4CA9-9017-330CE5876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277904</xdr:colOff>
      <xdr:row>59</xdr:row>
      <xdr:rowOff>8965</xdr:rowOff>
    </xdr:from>
    <xdr:to>
      <xdr:col>24</xdr:col>
      <xdr:colOff>699247</xdr:colOff>
      <xdr:row>79</xdr:row>
      <xdr:rowOff>161363</xdr:rowOff>
    </xdr:to>
    <xdr:graphicFrame macro="">
      <xdr:nvGraphicFramePr>
        <xdr:cNvPr id="10" name="Chart 9">
          <a:extLst>
            <a:ext uri="{FF2B5EF4-FFF2-40B4-BE49-F238E27FC236}">
              <a16:creationId xmlns:a16="http://schemas.microsoft.com/office/drawing/2014/main" id="{550BBCDF-40FB-4C5E-AF08-1F7239974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81</xdr:row>
      <xdr:rowOff>1</xdr:rowOff>
    </xdr:from>
    <xdr:to>
      <xdr:col>13</xdr:col>
      <xdr:colOff>108857</xdr:colOff>
      <xdr:row>99</xdr:row>
      <xdr:rowOff>170329</xdr:rowOff>
    </xdr:to>
    <xdr:graphicFrame macro="">
      <xdr:nvGraphicFramePr>
        <xdr:cNvPr id="12" name="Chart 11">
          <a:extLst>
            <a:ext uri="{FF2B5EF4-FFF2-40B4-BE49-F238E27FC236}">
              <a16:creationId xmlns:a16="http://schemas.microsoft.com/office/drawing/2014/main" id="{43AF2943-0C49-4B44-B3F0-D31A7638B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342899</xdr:colOff>
      <xdr:row>80</xdr:row>
      <xdr:rowOff>276225</xdr:rowOff>
    </xdr:from>
    <xdr:to>
      <xdr:col>24</xdr:col>
      <xdr:colOff>685800</xdr:colOff>
      <xdr:row>100</xdr:row>
      <xdr:rowOff>228599</xdr:rowOff>
    </xdr:to>
    <xdr:graphicFrame macro="">
      <xdr:nvGraphicFramePr>
        <xdr:cNvPr id="8" name="Chart 7">
          <a:extLst>
            <a:ext uri="{FF2B5EF4-FFF2-40B4-BE49-F238E27FC236}">
              <a16:creationId xmlns:a16="http://schemas.microsoft.com/office/drawing/2014/main" id="{D5D94ABD-DF13-41FC-AFEA-240368148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220980</xdr:colOff>
      <xdr:row>8</xdr:row>
      <xdr:rowOff>182880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15734C9-5735-4D6C-B919-5A2382C3D3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0"/>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220980</xdr:colOff>
      <xdr:row>0</xdr:row>
      <xdr:rowOff>0</xdr:rowOff>
    </xdr:from>
    <xdr:to>
      <xdr:col>3</xdr:col>
      <xdr:colOff>601980</xdr:colOff>
      <xdr:row>8</xdr:row>
      <xdr:rowOff>175259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559CBF4-B99C-4053-8976-3EF2553134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8800" y="0"/>
              <a:ext cx="182880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601980</xdr:colOff>
      <xdr:row>0</xdr:row>
      <xdr:rowOff>7621</xdr:rowOff>
    </xdr:from>
    <xdr:to>
      <xdr:col>6</xdr:col>
      <xdr:colOff>472440</xdr:colOff>
      <xdr:row>8</xdr:row>
      <xdr:rowOff>175261</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FEF12CCA-D5BE-4295-9B08-ECFEBB6BFF8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657600" y="762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9.45086261574" createdVersion="8" refreshedVersion="8" minRefreshableVersion="3" recordCount="4833" xr:uid="{3E5FC1A4-CF66-4E06-92E5-43DF188B75F6}">
  <cacheSource type="worksheet">
    <worksheetSource name="OrdersTable"/>
  </cacheSource>
  <cacheFields count="35">
    <cacheField name="Order ID" numFmtId="0">
      <sharedItems/>
    </cacheField>
    <cacheField name="Order Date" numFmtId="14">
      <sharedItems containsSemiMixedTypes="0" containsNonDate="0" containsDate="1" containsString="0" minDate="2024-01-01T00:00:00" maxDate="2026-01-01T00:00:00" count="72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3T00:00:00"/>
        <d v="2025-12-24T00:00:00"/>
        <d v="2025-12-25T00:00:00"/>
        <d v="2025-12-26T00:00:00"/>
        <d v="2025-12-27T00:00:00"/>
        <d v="2025-12-28T00:00:00"/>
        <d v="2025-12-29T00:00:00"/>
        <d v="2025-12-30T00:00:00"/>
        <d v="2025-12-31T00:00:00"/>
      </sharedItems>
      <fieldGroup par="34"/>
    </cacheField>
    <cacheField name="Year" numFmtId="0">
      <sharedItems containsSemiMixedTypes="0" containsString="0" containsNumber="1" containsInteger="1" minValue="2024" maxValue="2025" count="2">
        <n v="2024"/>
        <n v="2025"/>
      </sharedItems>
    </cacheField>
    <cacheField name="Month" numFmtId="164">
      <sharedItems containsSemiMixedTypes="0" containsNonDate="0" containsDate="1" containsString="0" minDate="2024-01-01T00:00:00" maxDate="2025-12-02T00:00:00"/>
    </cacheField>
    <cacheField name="Month No" numFmtId="0">
      <sharedItems containsSemiMixedTypes="0" containsString="0" containsNumber="1" containsInteger="1" minValue="1" maxValue="12"/>
    </cacheField>
    <cacheField name="Customer ID" numFmtId="0">
      <sharedItems/>
    </cacheField>
    <cacheField name="Customer Type" numFmtId="0">
      <sharedItems count="2">
        <s v="New"/>
        <s v="Repeat"/>
      </sharedItems>
    </cacheField>
    <cacheField name="State" numFmtId="0">
      <sharedItems count="23">
        <s v="Rajasthan"/>
        <s v="Gujarat"/>
        <s v="Maharashtra"/>
        <s v="Odisha"/>
        <s v="Jammu &amp; Kashmir"/>
        <s v="Himachal Pradesh"/>
        <s v="Delhi"/>
        <s v="Jharkhand"/>
        <s v="Andhra Pradesh"/>
        <s v="Uttarakhand"/>
        <s v="Chhattisgarh"/>
        <s v="Karnataka"/>
        <s v="Bihar"/>
        <s v="Madhya Pradesh"/>
        <s v="Kerala"/>
        <s v="Haryana"/>
        <s v="Uttar Pradesh"/>
        <s v="Tamil Nadu"/>
        <s v="West Bengal"/>
        <s v="Punjab"/>
        <s v="Goa"/>
        <s v="Telangana"/>
        <s v="Assam"/>
      </sharedItems>
    </cacheField>
    <cacheField name="State Code" numFmtId="0">
      <sharedItems/>
    </cacheField>
    <cacheField name="Region" numFmtId="0">
      <sharedItems count="4">
        <s v="North"/>
        <s v="West"/>
        <s v="East"/>
        <s v="South"/>
      </sharedItems>
    </cacheField>
    <cacheField name="City" numFmtId="0">
      <sharedItems/>
    </cacheField>
    <cacheField name="Sales Channel" numFmtId="0">
      <sharedItems count="5">
        <s v="Amazon"/>
        <s v="Myntra"/>
        <s v="Website"/>
        <s v="Nykaa"/>
        <s v="Flipkart"/>
      </sharedItems>
    </cacheField>
    <cacheField name="Product ID" numFmtId="0">
      <sharedItems/>
    </cacheField>
    <cacheField name="Product Name" numFmtId="0">
      <sharedItems/>
    </cacheField>
    <cacheField name="Category" numFmtId="0">
      <sharedItems count="7">
        <s v="Wellness"/>
        <s v="Apparel"/>
        <s v="Electronics"/>
        <s v="Skincare"/>
        <s v="Home &amp; Kitchen"/>
        <s v="Footwear"/>
        <s v="Haircare"/>
      </sharedItems>
    </cacheField>
    <cacheField name="Quantity" numFmtId="0">
      <sharedItems containsSemiMixedTypes="0" containsString="0" containsNumber="1" containsInteger="1" minValue="1" maxValue="5"/>
    </cacheField>
    <cacheField name="Unit Price" numFmtId="166">
      <sharedItems containsSemiMixedTypes="0" containsString="0" containsNumber="1" containsInteger="1" minValue="299" maxValue="2999"/>
    </cacheField>
    <cacheField name="Discount_Clean2" numFmtId="9">
      <sharedItems containsSemiMixedTypes="0" containsString="0" containsNumber="1" minValue="0" maxValue="0.6"/>
    </cacheField>
    <cacheField name="Gross Sale" numFmtId="166">
      <sharedItems containsSemiMixedTypes="0" containsString="0" containsNumber="1" containsInteger="1" minValue="299" maxValue="11996"/>
    </cacheField>
    <cacheField name="Discount Amount" numFmtId="166">
      <sharedItems containsSemiMixedTypes="0" containsString="0" containsNumber="1" minValue="0" maxValue="5398.2"/>
    </cacheField>
    <cacheField name="Net Revenue" numFmtId="166">
      <sharedItems containsSemiMixedTypes="0" containsString="0" containsNumber="1" minValue="139.6" maxValue="9996"/>
    </cacheField>
    <cacheField name="Unit Cost" numFmtId="165">
      <sharedItems containsSemiMixedTypes="0" containsString="0" containsNumber="1" containsInteger="1" minValue="90" maxValue="1440"/>
    </cacheField>
    <cacheField name="COGS" numFmtId="165">
      <sharedItems containsSemiMixedTypes="0" containsString="0" containsNumber="1" containsInteger="1" minValue="90" maxValue="6665"/>
    </cacheField>
    <cacheField name="Shipping Cost" numFmtId="165">
      <sharedItems containsSemiMixedTypes="0" containsString="0" containsNumber="1" containsInteger="1" minValue="60" maxValue="120"/>
    </cacheField>
    <cacheField name="Profit" numFmtId="166">
      <sharedItems containsSemiMixedTypes="0" containsString="0" containsNumber="1" minValue="-1497.5999999999995" maxValue="5436"/>
    </cacheField>
    <cacheField name="Margin %" numFmtId="167">
      <sharedItems containsSemiMixedTypes="0" containsString="0" containsNumber="1" minValue="-0.62456228114057" maxValue="0.71088861076345433"/>
    </cacheField>
    <cacheField name="Payment Method" numFmtId="0">
      <sharedItems count="5">
        <s v="UPI"/>
        <s v="Credit Card"/>
        <s v="Wallet"/>
        <s v="COD"/>
        <s v="Debit Card"/>
      </sharedItems>
    </cacheField>
    <cacheField name="Delivery Date" numFmtId="170">
      <sharedItems containsSemiMixedTypes="0" containsNonDate="0" containsDate="1" containsString="0" minDate="2024-01-03T00:00:00" maxDate="2026-01-09T00:00:00"/>
    </cacheField>
    <cacheField name="Delivery Days" numFmtId="0">
      <sharedItems containsSemiMixedTypes="0" containsString="0" containsNumber="1" containsInteger="1" minValue="1" maxValue="9"/>
    </cacheField>
    <cacheField name="Delivery Speed" numFmtId="0">
      <sharedItems count="3">
        <s v="Standard (3-4d)"/>
        <s v="Express (≤2d)"/>
        <s v="Delayed (5d+)"/>
      </sharedItems>
    </cacheField>
    <cacheField name="Customer Rating" numFmtId="0">
      <sharedItems containsString="0" containsBlank="1" containsNumber="1" containsInteger="1" minValue="2" maxValue="5"/>
    </cacheField>
    <cacheField name="Returned" numFmtId="0">
      <sharedItems containsSemiMixedTypes="0" containsString="0" containsNumber="1" containsInteger="1" minValue="0" maxValue="1"/>
    </cacheField>
    <cacheField name="Months (Order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1">
        <rangePr groupBy="quarters" startDate="2024-01-01T00:00:00" endDate="2026-01-01T00:00:00"/>
        <groupItems count="6">
          <s v="&lt;01-01-2024"/>
          <s v="Qtr1"/>
          <s v="Qtr2"/>
          <s v="Qtr3"/>
          <s v="Qtr4"/>
          <s v="&gt;01-01-2026"/>
        </groupItems>
      </fieldGroup>
    </cacheField>
    <cacheField name="Years (Order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525450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3">
  <r>
    <s v="ORD-100001"/>
    <x v="0"/>
    <x v="0"/>
    <d v="2024-01-01T00:00:00"/>
    <n v="1"/>
    <s v="CUST-03155"/>
    <x v="0"/>
    <x v="0"/>
    <s v="RJ"/>
    <x v="0"/>
    <s v="Jaipur"/>
    <x v="0"/>
    <s v="P703"/>
    <s v="Green Tea (100 bags)"/>
    <x v="0"/>
    <n v="1"/>
    <n v="399"/>
    <n v="0.4"/>
    <n v="399"/>
    <n v="159.60000000000002"/>
    <n v="239.39999999999998"/>
    <n v="128"/>
    <n v="128"/>
    <n v="60"/>
    <n v="51.399999999999977"/>
    <n v="0.21470342522974095"/>
    <x v="0"/>
    <d v="2024-01-04T00:00:00"/>
    <n v="3"/>
    <x v="0"/>
    <n v="5"/>
    <n v="0"/>
  </r>
  <r>
    <s v="ORD-100002"/>
    <x v="0"/>
    <x v="0"/>
    <d v="2024-01-01T00:00:00"/>
    <n v="1"/>
    <s v="CUST-02589"/>
    <x v="0"/>
    <x v="1"/>
    <s v="GJ"/>
    <x v="1"/>
    <s v="Surat"/>
    <x v="1"/>
    <s v="P304"/>
    <s v="Denim Jacket"/>
    <x v="1"/>
    <n v="1"/>
    <n v="2499"/>
    <n v="0"/>
    <n v="2499"/>
    <n v="0"/>
    <n v="2499"/>
    <n v="1125"/>
    <n v="1125"/>
    <n v="120"/>
    <n v="1254"/>
    <n v="0.50180072028811529"/>
    <x v="1"/>
    <d v="2024-01-05T00:00:00"/>
    <n v="4"/>
    <x v="0"/>
    <m/>
    <n v="1"/>
  </r>
  <r>
    <s v="ORD-100003"/>
    <x v="0"/>
    <x v="0"/>
    <d v="2024-01-01T00:00:00"/>
    <n v="1"/>
    <s v="CUST-01116"/>
    <x v="0"/>
    <x v="2"/>
    <s v="MH"/>
    <x v="1"/>
    <s v="Nagpur"/>
    <x v="2"/>
    <s v="P302"/>
    <s v="Linen Kurta"/>
    <x v="1"/>
    <n v="2"/>
    <n v="1499"/>
    <n v="0.25"/>
    <n v="2998"/>
    <n v="749.5"/>
    <n v="2248.5"/>
    <n v="630"/>
    <n v="1260"/>
    <n v="60"/>
    <n v="928.5"/>
    <n v="0.41294196130753835"/>
    <x v="2"/>
    <d v="2024-01-03T00:00:00"/>
    <n v="2"/>
    <x v="1"/>
    <n v="4"/>
    <n v="0"/>
  </r>
  <r>
    <s v="ORD-100004"/>
    <x v="0"/>
    <x v="0"/>
    <d v="2024-01-01T00:00:00"/>
    <n v="1"/>
    <s v="CUST-00620"/>
    <x v="0"/>
    <x v="2"/>
    <s v="MH"/>
    <x v="1"/>
    <s v="Pune"/>
    <x v="0"/>
    <s v="P603"/>
    <s v="Smartwatch Strap"/>
    <x v="2"/>
    <n v="2"/>
    <n v="499"/>
    <n v="0.05"/>
    <n v="998"/>
    <n v="49.900000000000006"/>
    <n v="948.1"/>
    <n v="200"/>
    <n v="400"/>
    <n v="60"/>
    <n v="488.1"/>
    <n v="0.51481911190802654"/>
    <x v="2"/>
    <d v="2024-01-03T00:00:00"/>
    <n v="2"/>
    <x v="1"/>
    <n v="5"/>
    <n v="0"/>
  </r>
  <r>
    <s v="ORD-100005"/>
    <x v="0"/>
    <x v="0"/>
    <d v="2024-01-01T00:00:00"/>
    <n v="1"/>
    <s v="CUST-01769"/>
    <x v="0"/>
    <x v="3"/>
    <s v="OD"/>
    <x v="2"/>
    <s v="Bhubaneswar"/>
    <x v="2"/>
    <s v="P303"/>
    <s v="Joggers"/>
    <x v="1"/>
    <n v="1"/>
    <n v="1199"/>
    <n v="0.15"/>
    <n v="1199"/>
    <n v="179.85"/>
    <n v="1019.15"/>
    <n v="492"/>
    <n v="492"/>
    <n v="60"/>
    <n v="467.15"/>
    <n v="0.45837217288917231"/>
    <x v="1"/>
    <d v="2024-01-07T00:00:00"/>
    <n v="6"/>
    <x v="2"/>
    <n v="3"/>
    <n v="0"/>
  </r>
  <r>
    <s v="ORD-100006"/>
    <x v="1"/>
    <x v="0"/>
    <d v="2024-01-01T00:00:00"/>
    <n v="1"/>
    <s v="CUST-00741"/>
    <x v="0"/>
    <x v="4"/>
    <s v="JK"/>
    <x v="0"/>
    <s v="Srinagar"/>
    <x v="3"/>
    <s v="P101"/>
    <s v="Vitamin C Face Serum"/>
    <x v="3"/>
    <n v="1"/>
    <n v="599"/>
    <n v="0.15"/>
    <n v="599"/>
    <n v="89.85"/>
    <n v="509.15"/>
    <n v="180"/>
    <n v="180"/>
    <n v="60"/>
    <n v="269.14999999999998"/>
    <n v="0.52862614160856325"/>
    <x v="0"/>
    <d v="2024-01-07T00:00:00"/>
    <n v="5"/>
    <x v="2"/>
    <n v="3"/>
    <n v="0"/>
  </r>
  <r>
    <s v="ORD-100007"/>
    <x v="1"/>
    <x v="0"/>
    <d v="2024-01-01T00:00:00"/>
    <n v="1"/>
    <s v="CUST-02807"/>
    <x v="0"/>
    <x v="5"/>
    <s v="HP"/>
    <x v="0"/>
    <s v="Shimla"/>
    <x v="0"/>
    <s v="P702"/>
    <s v="Whey Protein 1kg"/>
    <x v="0"/>
    <n v="4"/>
    <n v="2299"/>
    <n v="0.35"/>
    <n v="9196"/>
    <n v="3218.6"/>
    <n v="5977.4"/>
    <n v="1333"/>
    <n v="5332"/>
    <n v="60"/>
    <n v="585.39999999999964"/>
    <n v="9.7935557265700746E-2"/>
    <x v="3"/>
    <d v="2024-01-07T00:00:00"/>
    <n v="5"/>
    <x v="2"/>
    <n v="4"/>
    <n v="0"/>
  </r>
  <r>
    <s v="ORD-100008"/>
    <x v="1"/>
    <x v="0"/>
    <d v="2024-01-01T00:00:00"/>
    <n v="1"/>
    <s v="CUST-00100"/>
    <x v="0"/>
    <x v="6"/>
    <s v="DL"/>
    <x v="0"/>
    <s v="New Delhi"/>
    <x v="2"/>
    <s v="P304"/>
    <s v="Denim Jacket"/>
    <x v="1"/>
    <n v="2"/>
    <n v="2499"/>
    <n v="0.05"/>
    <n v="4998"/>
    <n v="249.9"/>
    <n v="4748.1000000000004"/>
    <n v="1125"/>
    <n v="2250"/>
    <n v="60"/>
    <n v="2438.1000000000004"/>
    <n v="0.51348960636886343"/>
    <x v="3"/>
    <d v="2024-01-04T00:00:00"/>
    <n v="2"/>
    <x v="1"/>
    <n v="4"/>
    <n v="0"/>
  </r>
  <r>
    <s v="ORD-100009"/>
    <x v="1"/>
    <x v="0"/>
    <d v="2024-01-01T00:00:00"/>
    <n v="1"/>
    <s v="CUST-00904"/>
    <x v="0"/>
    <x v="7"/>
    <s v="JH"/>
    <x v="2"/>
    <s v="Ranchi"/>
    <x v="0"/>
    <s v="P703"/>
    <s v="Green Tea (100 bags)"/>
    <x v="0"/>
    <n v="1"/>
    <n v="399"/>
    <n v="0.35"/>
    <n v="399"/>
    <n v="139.64999999999998"/>
    <n v="259.35000000000002"/>
    <n v="128"/>
    <n v="128"/>
    <n v="60"/>
    <n v="71.350000000000023"/>
    <n v="0.27511085405822255"/>
    <x v="0"/>
    <d v="2024-01-07T00:00:00"/>
    <n v="5"/>
    <x v="2"/>
    <n v="3"/>
    <n v="0"/>
  </r>
  <r>
    <s v="ORD-100010"/>
    <x v="1"/>
    <x v="0"/>
    <d v="2024-01-01T00:00:00"/>
    <n v="1"/>
    <s v="CUST-01268"/>
    <x v="0"/>
    <x v="2"/>
    <s v="MH"/>
    <x v="1"/>
    <s v="Mumbai"/>
    <x v="4"/>
    <s v="P101"/>
    <s v="Vitamin C Face Serum"/>
    <x v="3"/>
    <n v="1"/>
    <n v="599"/>
    <n v="0.15"/>
    <n v="599"/>
    <n v="89.85"/>
    <n v="509.15"/>
    <n v="180"/>
    <n v="180"/>
    <n v="60"/>
    <n v="269.14999999999998"/>
    <n v="0.52862614160856325"/>
    <x v="3"/>
    <d v="2024-01-05T00:00:00"/>
    <n v="3"/>
    <x v="0"/>
    <n v="4"/>
    <n v="0"/>
  </r>
  <r>
    <s v="ORD-100011"/>
    <x v="1"/>
    <x v="0"/>
    <d v="2024-01-01T00:00:00"/>
    <n v="1"/>
    <s v="CUST-01757"/>
    <x v="0"/>
    <x v="8"/>
    <s v="AP"/>
    <x v="3"/>
    <s v="Visakhapatnam"/>
    <x v="4"/>
    <s v="P504"/>
    <s v="Cotton Bedsheet"/>
    <x v="4"/>
    <n v="1"/>
    <n v="1299"/>
    <n v="0.05"/>
    <n v="1299"/>
    <n v="64.95"/>
    <n v="1234.05"/>
    <n v="585"/>
    <n v="585"/>
    <n v="120"/>
    <n v="529.04999999999995"/>
    <n v="0.42871034398930347"/>
    <x v="3"/>
    <d v="2024-01-05T00:00:00"/>
    <n v="3"/>
    <x v="0"/>
    <n v="4"/>
    <n v="1"/>
  </r>
  <r>
    <s v="ORD-100012"/>
    <x v="2"/>
    <x v="0"/>
    <d v="2024-01-01T00:00:00"/>
    <n v="1"/>
    <s v="CUST-00044"/>
    <x v="0"/>
    <x v="5"/>
    <s v="HP"/>
    <x v="0"/>
    <s v="Shimla"/>
    <x v="1"/>
    <s v="P303"/>
    <s v="Joggers"/>
    <x v="1"/>
    <n v="2"/>
    <n v="1199"/>
    <n v="0.2"/>
    <n v="2398"/>
    <n v="479.6"/>
    <n v="1918.4"/>
    <n v="492"/>
    <n v="984"/>
    <n v="60"/>
    <n v="874.40000000000009"/>
    <n v="0.45579649708090075"/>
    <x v="2"/>
    <d v="2024-01-09T00:00:00"/>
    <n v="6"/>
    <x v="2"/>
    <n v="3"/>
    <n v="0"/>
  </r>
  <r>
    <s v="ORD-100013"/>
    <x v="2"/>
    <x v="0"/>
    <d v="2024-01-01T00:00:00"/>
    <n v="1"/>
    <s v="CUST-01059"/>
    <x v="0"/>
    <x v="9"/>
    <s v="UK"/>
    <x v="0"/>
    <s v="Dehradun"/>
    <x v="2"/>
    <s v="P603"/>
    <s v="Smartwatch Strap"/>
    <x v="2"/>
    <n v="1"/>
    <n v="499"/>
    <n v="0.15"/>
    <n v="499"/>
    <n v="74.849999999999994"/>
    <n v="424.15"/>
    <n v="200"/>
    <n v="200"/>
    <n v="60"/>
    <n v="164.14999999999998"/>
    <n v="0.38700931274313327"/>
    <x v="3"/>
    <d v="2024-01-07T00:00:00"/>
    <n v="4"/>
    <x v="0"/>
    <m/>
    <n v="0"/>
  </r>
  <r>
    <s v="ORD-100014"/>
    <x v="2"/>
    <x v="0"/>
    <d v="2024-01-01T00:00:00"/>
    <n v="1"/>
    <s v="CUST-00990"/>
    <x v="0"/>
    <x v="10"/>
    <s v="CG"/>
    <x v="2"/>
    <s v="Raipur"/>
    <x v="4"/>
    <s v="P401"/>
    <s v="Running Shoes"/>
    <x v="5"/>
    <n v="1"/>
    <n v="2999"/>
    <n v="0.25"/>
    <n v="2999"/>
    <n v="749.75"/>
    <n v="2249.25"/>
    <n v="1440"/>
    <n v="1440"/>
    <n v="60"/>
    <n v="749.25"/>
    <n v="0.33311103701233746"/>
    <x v="1"/>
    <d v="2024-01-07T00:00:00"/>
    <n v="4"/>
    <x v="0"/>
    <n v="4"/>
    <n v="0"/>
  </r>
  <r>
    <s v="ORD-100015"/>
    <x v="2"/>
    <x v="0"/>
    <d v="2024-01-01T00:00:00"/>
    <n v="1"/>
    <s v="CUST-00711"/>
    <x v="0"/>
    <x v="3"/>
    <s v="OD"/>
    <x v="2"/>
    <s v="Bhubaneswar"/>
    <x v="1"/>
    <s v="P402"/>
    <s v="Casual Sneakers"/>
    <x v="5"/>
    <n v="1"/>
    <n v="2199"/>
    <n v="0.25"/>
    <n v="2199"/>
    <n v="549.75"/>
    <n v="1649.25"/>
    <n v="1034"/>
    <n v="1034"/>
    <n v="60"/>
    <n v="555.25"/>
    <n v="0.33666818250720026"/>
    <x v="0"/>
    <d v="2024-01-09T00:00:00"/>
    <n v="6"/>
    <x v="2"/>
    <n v="4"/>
    <n v="0"/>
  </r>
  <r>
    <s v="ORD-100016"/>
    <x v="2"/>
    <x v="0"/>
    <d v="2024-01-01T00:00:00"/>
    <n v="1"/>
    <s v="CUST-02099"/>
    <x v="0"/>
    <x v="11"/>
    <s v="KA"/>
    <x v="3"/>
    <s v="Mysuru"/>
    <x v="2"/>
    <s v="P503"/>
    <s v="Scented Candle Set"/>
    <x v="4"/>
    <n v="1"/>
    <n v="699"/>
    <n v="0.1"/>
    <n v="699"/>
    <n v="69.900000000000006"/>
    <n v="629.1"/>
    <n v="245"/>
    <n v="245"/>
    <n v="60"/>
    <n v="324.10000000000002"/>
    <n v="0.51518041646797008"/>
    <x v="2"/>
    <d v="2024-01-05T00:00:00"/>
    <n v="2"/>
    <x v="1"/>
    <n v="3"/>
    <n v="0"/>
  </r>
  <r>
    <s v="ORD-100017"/>
    <x v="3"/>
    <x v="0"/>
    <d v="2024-01-01T00:00:00"/>
    <n v="1"/>
    <s v="CUST-00320"/>
    <x v="0"/>
    <x v="6"/>
    <s v="DL"/>
    <x v="0"/>
    <s v="New Delhi"/>
    <x v="0"/>
    <s v="P302"/>
    <s v="Linen Kurta"/>
    <x v="1"/>
    <n v="3"/>
    <n v="1499"/>
    <n v="0.4"/>
    <n v="4497"/>
    <n v="1798.8000000000002"/>
    <n v="2698.2"/>
    <n v="630"/>
    <n v="1890"/>
    <n v="60"/>
    <n v="748.19999999999982"/>
    <n v="0.27729597509450737"/>
    <x v="4"/>
    <d v="2024-01-05T00:00:00"/>
    <n v="1"/>
    <x v="1"/>
    <n v="4"/>
    <n v="0"/>
  </r>
  <r>
    <s v="ORD-100018"/>
    <x v="3"/>
    <x v="0"/>
    <d v="2024-01-01T00:00:00"/>
    <n v="1"/>
    <s v="CUST-00794"/>
    <x v="0"/>
    <x v="12"/>
    <s v="BR"/>
    <x v="2"/>
    <s v="Patna"/>
    <x v="4"/>
    <s v="P403"/>
    <s v="Kolhapuri Sandals"/>
    <x v="5"/>
    <n v="3"/>
    <n v="999"/>
    <n v="0.1"/>
    <n v="2997"/>
    <n v="299.7"/>
    <n v="2697.3"/>
    <n v="400"/>
    <n v="1200"/>
    <n v="120"/>
    <n v="1377.3000000000002"/>
    <n v="0.51062173284395507"/>
    <x v="1"/>
    <d v="2024-01-09T00:00:00"/>
    <n v="5"/>
    <x v="2"/>
    <n v="4"/>
    <n v="1"/>
  </r>
  <r>
    <s v="ORD-100019"/>
    <x v="3"/>
    <x v="0"/>
    <d v="2024-01-01T00:00:00"/>
    <n v="1"/>
    <s v="CUST-00310"/>
    <x v="0"/>
    <x v="12"/>
    <s v="BR"/>
    <x v="2"/>
    <s v="Patna"/>
    <x v="3"/>
    <s v="P203"/>
    <s v="Keratin Hair Mask"/>
    <x v="6"/>
    <n v="2"/>
    <n v="549"/>
    <n v="0.2"/>
    <n v="1098"/>
    <n v="219.60000000000002"/>
    <n v="878.4"/>
    <n v="170"/>
    <n v="340"/>
    <n v="60"/>
    <n v="478.4"/>
    <n v="0.54462659380692169"/>
    <x v="0"/>
    <d v="2024-01-09T00:00:00"/>
    <n v="5"/>
    <x v="2"/>
    <n v="3"/>
    <n v="0"/>
  </r>
  <r>
    <s v="ORD-100020"/>
    <x v="3"/>
    <x v="0"/>
    <d v="2024-01-01T00:00:00"/>
    <n v="1"/>
    <s v="CUST-00627"/>
    <x v="0"/>
    <x v="13"/>
    <s v="MP"/>
    <x v="1"/>
    <s v="Bhopal"/>
    <x v="2"/>
    <s v="P501"/>
    <s v="Copper Water Bottle"/>
    <x v="4"/>
    <n v="1"/>
    <n v="899"/>
    <n v="0.1"/>
    <n v="899"/>
    <n v="89.9"/>
    <n v="809.1"/>
    <n v="378"/>
    <n v="378"/>
    <n v="60"/>
    <n v="371.1"/>
    <n v="0.45865776789024842"/>
    <x v="1"/>
    <d v="2024-01-07T00:00:00"/>
    <n v="3"/>
    <x v="0"/>
    <n v="3"/>
    <n v="0"/>
  </r>
  <r>
    <s v="ORD-100021"/>
    <x v="3"/>
    <x v="0"/>
    <d v="2024-01-01T00:00:00"/>
    <n v="1"/>
    <s v="CUST-00348"/>
    <x v="0"/>
    <x v="3"/>
    <s v="OD"/>
    <x v="2"/>
    <s v="Bhubaneswar"/>
    <x v="0"/>
    <s v="P703"/>
    <s v="Green Tea (100 bags)"/>
    <x v="0"/>
    <n v="1"/>
    <n v="399"/>
    <n v="0.3"/>
    <n v="399"/>
    <n v="119.69999999999999"/>
    <n v="279.3"/>
    <n v="128"/>
    <n v="128"/>
    <n v="60"/>
    <n v="91.300000000000011"/>
    <n v="0.32688865019692093"/>
    <x v="0"/>
    <d v="2024-01-07T00:00:00"/>
    <n v="3"/>
    <x v="0"/>
    <n v="5"/>
    <n v="0"/>
  </r>
  <r>
    <s v="ORD-100022"/>
    <x v="3"/>
    <x v="0"/>
    <d v="2024-01-01T00:00:00"/>
    <n v="1"/>
    <s v="CUST-00028"/>
    <x v="0"/>
    <x v="11"/>
    <s v="KA"/>
    <x v="3"/>
    <s v="Mysuru"/>
    <x v="2"/>
    <s v="P305"/>
    <s v="Printed Saree"/>
    <x v="1"/>
    <n v="3"/>
    <n v="1999"/>
    <n v="0.1"/>
    <n v="5997"/>
    <n v="599.70000000000005"/>
    <n v="5397.3"/>
    <n v="880"/>
    <n v="2640"/>
    <n v="60"/>
    <n v="2697.3"/>
    <n v="0.49974987493746875"/>
    <x v="3"/>
    <d v="2024-01-07T00:00:00"/>
    <n v="3"/>
    <x v="0"/>
    <n v="4"/>
    <n v="0"/>
  </r>
  <r>
    <s v="ORD-100023"/>
    <x v="3"/>
    <x v="0"/>
    <d v="2024-01-01T00:00:00"/>
    <n v="1"/>
    <s v="CUST-01390"/>
    <x v="0"/>
    <x v="11"/>
    <s v="KA"/>
    <x v="3"/>
    <s v="Mysuru"/>
    <x v="0"/>
    <s v="P203"/>
    <s v="Keratin Hair Mask"/>
    <x v="6"/>
    <n v="1"/>
    <n v="549"/>
    <n v="0.25"/>
    <n v="549"/>
    <n v="137.25"/>
    <n v="411.75"/>
    <n v="170"/>
    <n v="170"/>
    <n v="60"/>
    <n v="181.75"/>
    <n v="0.44140862173649059"/>
    <x v="0"/>
    <d v="2024-01-06T00:00:00"/>
    <n v="2"/>
    <x v="1"/>
    <m/>
    <n v="0"/>
  </r>
  <r>
    <s v="ORD-100024"/>
    <x v="3"/>
    <x v="0"/>
    <d v="2024-01-01T00:00:00"/>
    <n v="1"/>
    <s v="CUST-02276"/>
    <x v="0"/>
    <x v="14"/>
    <s v="KL"/>
    <x v="3"/>
    <s v="Thiruvananthapuram"/>
    <x v="4"/>
    <s v="P102"/>
    <s v="Sunscreen SPF 50"/>
    <x v="3"/>
    <n v="2"/>
    <n v="449"/>
    <n v="0.05"/>
    <n v="898"/>
    <n v="44.900000000000006"/>
    <n v="853.1"/>
    <n v="144"/>
    <n v="288"/>
    <n v="60"/>
    <n v="505.1"/>
    <n v="0.59207595826983939"/>
    <x v="2"/>
    <d v="2024-01-06T00:00:00"/>
    <n v="2"/>
    <x v="1"/>
    <n v="3"/>
    <n v="0"/>
  </r>
  <r>
    <s v="ORD-100025"/>
    <x v="4"/>
    <x v="0"/>
    <d v="2024-01-01T00:00:00"/>
    <n v="1"/>
    <s v="CUST-00405"/>
    <x v="0"/>
    <x v="0"/>
    <s v="RJ"/>
    <x v="0"/>
    <s v="Udaipur"/>
    <x v="4"/>
    <s v="P402"/>
    <s v="Casual Sneakers"/>
    <x v="5"/>
    <n v="1"/>
    <n v="2199"/>
    <n v="0.15"/>
    <n v="2199"/>
    <n v="329.84999999999997"/>
    <n v="1869.15"/>
    <n v="1034"/>
    <n v="1034"/>
    <n v="60"/>
    <n v="775.15000000000009"/>
    <n v="0.41470721985929437"/>
    <x v="0"/>
    <d v="2024-01-06T00:00:00"/>
    <n v="1"/>
    <x v="1"/>
    <n v="5"/>
    <n v="0"/>
  </r>
  <r>
    <s v="ORD-100026"/>
    <x v="4"/>
    <x v="0"/>
    <d v="2024-01-01T00:00:00"/>
    <n v="1"/>
    <s v="CUST-00248"/>
    <x v="0"/>
    <x v="15"/>
    <s v="HR"/>
    <x v="0"/>
    <s v="Gurugram"/>
    <x v="3"/>
    <s v="P202"/>
    <s v="Argan Shampoo"/>
    <x v="6"/>
    <n v="1"/>
    <n v="449"/>
    <n v="0"/>
    <n v="449"/>
    <n v="0"/>
    <n v="449"/>
    <n v="148"/>
    <n v="148"/>
    <n v="60"/>
    <n v="241"/>
    <n v="0.53674832962138086"/>
    <x v="0"/>
    <d v="2024-01-09T00:00:00"/>
    <n v="4"/>
    <x v="0"/>
    <n v="4"/>
    <n v="0"/>
  </r>
  <r>
    <s v="ORD-100027"/>
    <x v="4"/>
    <x v="0"/>
    <d v="2024-01-01T00:00:00"/>
    <n v="1"/>
    <s v="CUST-00984"/>
    <x v="0"/>
    <x v="16"/>
    <s v="UP"/>
    <x v="0"/>
    <s v="Noida"/>
    <x v="2"/>
    <s v="P703"/>
    <s v="Green Tea (100 bags)"/>
    <x v="0"/>
    <n v="2"/>
    <n v="399"/>
    <n v="0.3"/>
    <n v="798"/>
    <n v="239.39999999999998"/>
    <n v="558.6"/>
    <n v="128"/>
    <n v="256"/>
    <n v="60"/>
    <n v="242.60000000000002"/>
    <n v="0.43430003580379523"/>
    <x v="0"/>
    <d v="2024-01-10T00:00:00"/>
    <n v="5"/>
    <x v="2"/>
    <n v="3"/>
    <n v="0"/>
  </r>
  <r>
    <s v="ORD-100028"/>
    <x v="4"/>
    <x v="0"/>
    <d v="2024-01-01T00:00:00"/>
    <n v="1"/>
    <s v="CUST-00810"/>
    <x v="0"/>
    <x v="2"/>
    <s v="MH"/>
    <x v="1"/>
    <s v="Pune"/>
    <x v="2"/>
    <s v="P105"/>
    <s v="Retinol Night Cream"/>
    <x v="3"/>
    <n v="1"/>
    <n v="799"/>
    <n v="0"/>
    <n v="799"/>
    <n v="0"/>
    <n v="799"/>
    <n v="216"/>
    <n v="216"/>
    <n v="60"/>
    <n v="523"/>
    <n v="0.65456821026282852"/>
    <x v="0"/>
    <d v="2024-01-08T00:00:00"/>
    <n v="3"/>
    <x v="0"/>
    <m/>
    <n v="0"/>
  </r>
  <r>
    <s v="ORD-100029"/>
    <x v="4"/>
    <x v="0"/>
    <d v="2024-01-01T00:00:00"/>
    <n v="1"/>
    <s v="CUST-00187"/>
    <x v="0"/>
    <x v="2"/>
    <s v="MH"/>
    <x v="1"/>
    <s v="Nagpur"/>
    <x v="4"/>
    <s v="P303"/>
    <s v="Joggers"/>
    <x v="1"/>
    <n v="1"/>
    <n v="1199"/>
    <n v="0.1"/>
    <n v="1199"/>
    <n v="119.9"/>
    <n v="1079.0999999999999"/>
    <n v="492"/>
    <n v="492"/>
    <n v="60"/>
    <n v="527.09999999999991"/>
    <n v="0.48846260772866273"/>
    <x v="3"/>
    <d v="2024-01-06T00:00:00"/>
    <n v="1"/>
    <x v="1"/>
    <n v="4"/>
    <n v="0"/>
  </r>
  <r>
    <s v="ORD-100030"/>
    <x v="4"/>
    <x v="0"/>
    <d v="2024-01-01T00:00:00"/>
    <n v="1"/>
    <s v="CUST-00444"/>
    <x v="0"/>
    <x v="11"/>
    <s v="KA"/>
    <x v="3"/>
    <s v="Bengaluru"/>
    <x v="4"/>
    <s v="P203"/>
    <s v="Keratin Hair Mask"/>
    <x v="6"/>
    <n v="1"/>
    <n v="549"/>
    <n v="0.1"/>
    <n v="549"/>
    <n v="54.900000000000006"/>
    <n v="494.1"/>
    <n v="170"/>
    <n v="170"/>
    <n v="60"/>
    <n v="264.10000000000002"/>
    <n v="0.53450718478040882"/>
    <x v="0"/>
    <d v="2024-01-06T00:00:00"/>
    <n v="1"/>
    <x v="1"/>
    <n v="4"/>
    <n v="0"/>
  </r>
  <r>
    <s v="ORD-100031"/>
    <x v="4"/>
    <x v="0"/>
    <d v="2024-01-01T00:00:00"/>
    <n v="1"/>
    <s v="CUST-00284"/>
    <x v="0"/>
    <x v="11"/>
    <s v="KA"/>
    <x v="3"/>
    <s v="Bengaluru"/>
    <x v="4"/>
    <s v="P703"/>
    <s v="Green Tea (100 bags)"/>
    <x v="0"/>
    <n v="2"/>
    <n v="399"/>
    <n v="0.3"/>
    <n v="798"/>
    <n v="239.39999999999998"/>
    <n v="558.6"/>
    <n v="128"/>
    <n v="256"/>
    <n v="60"/>
    <n v="242.60000000000002"/>
    <n v="0.43430003580379523"/>
    <x v="1"/>
    <d v="2024-01-06T00:00:00"/>
    <n v="1"/>
    <x v="1"/>
    <m/>
    <n v="0"/>
  </r>
  <r>
    <s v="ORD-100032"/>
    <x v="4"/>
    <x v="0"/>
    <d v="2024-01-01T00:00:00"/>
    <n v="1"/>
    <s v="CUST-00793"/>
    <x v="0"/>
    <x v="17"/>
    <s v="TN"/>
    <x v="3"/>
    <s v="Chennai"/>
    <x v="2"/>
    <s v="P504"/>
    <s v="Cotton Bedsheet"/>
    <x v="4"/>
    <n v="1"/>
    <n v="1299"/>
    <n v="0"/>
    <n v="1299"/>
    <n v="0"/>
    <n v="1299"/>
    <n v="585"/>
    <n v="585"/>
    <n v="60"/>
    <n v="654"/>
    <n v="0.50346420323325636"/>
    <x v="1"/>
    <d v="2024-01-07T00:00:00"/>
    <n v="2"/>
    <x v="1"/>
    <n v="5"/>
    <n v="0"/>
  </r>
  <r>
    <s v="ORD-100033"/>
    <x v="5"/>
    <x v="0"/>
    <d v="2024-01-01T00:00:00"/>
    <n v="1"/>
    <s v="CUST-00489"/>
    <x v="0"/>
    <x v="0"/>
    <s v="RJ"/>
    <x v="0"/>
    <s v="Jaipur"/>
    <x v="4"/>
    <s v="P102"/>
    <s v="Sunscreen SPF 50"/>
    <x v="3"/>
    <n v="2"/>
    <n v="449"/>
    <n v="0"/>
    <n v="898"/>
    <n v="0"/>
    <n v="898"/>
    <n v="144"/>
    <n v="288"/>
    <n v="60"/>
    <n v="550"/>
    <n v="0.61247216035634744"/>
    <x v="4"/>
    <d v="2024-01-10T00:00:00"/>
    <n v="4"/>
    <x v="0"/>
    <n v="4"/>
    <n v="0"/>
  </r>
  <r>
    <s v="ORD-100034"/>
    <x v="5"/>
    <x v="0"/>
    <d v="2024-01-01T00:00:00"/>
    <n v="1"/>
    <s v="CUST-00970"/>
    <x v="0"/>
    <x v="12"/>
    <s v="BR"/>
    <x v="2"/>
    <s v="Patna"/>
    <x v="1"/>
    <s v="P401"/>
    <s v="Running Shoes"/>
    <x v="5"/>
    <n v="2"/>
    <n v="2999"/>
    <n v="0.15"/>
    <n v="5998"/>
    <n v="899.69999999999993"/>
    <n v="5098.3"/>
    <n v="1440"/>
    <n v="2880"/>
    <n v="60"/>
    <n v="2158.3000000000002"/>
    <n v="0.42333719082831534"/>
    <x v="1"/>
    <d v="2024-01-10T00:00:00"/>
    <n v="4"/>
    <x v="0"/>
    <n v="3"/>
    <n v="0"/>
  </r>
  <r>
    <s v="ORD-100035"/>
    <x v="5"/>
    <x v="0"/>
    <d v="2024-01-01T00:00:00"/>
    <n v="1"/>
    <s v="CUST-00818"/>
    <x v="0"/>
    <x v="18"/>
    <s v="WB"/>
    <x v="2"/>
    <s v="Kolkata"/>
    <x v="0"/>
    <s v="P101"/>
    <s v="Vitamin C Face Serum"/>
    <x v="3"/>
    <n v="3"/>
    <n v="599"/>
    <n v="0.15"/>
    <n v="1797"/>
    <n v="269.55"/>
    <n v="1527.45"/>
    <n v="180"/>
    <n v="540"/>
    <n v="60"/>
    <n v="927.45"/>
    <n v="0.60718845134046939"/>
    <x v="4"/>
    <d v="2024-01-10T00:00:00"/>
    <n v="4"/>
    <x v="0"/>
    <n v="3"/>
    <n v="0"/>
  </r>
  <r>
    <s v="ORD-100036"/>
    <x v="5"/>
    <x v="0"/>
    <d v="2024-01-01T00:00:00"/>
    <n v="1"/>
    <s v="CUST-00456"/>
    <x v="0"/>
    <x v="2"/>
    <s v="MH"/>
    <x v="1"/>
    <s v="Pune"/>
    <x v="0"/>
    <s v="P503"/>
    <s v="Scented Candle Set"/>
    <x v="4"/>
    <n v="2"/>
    <n v="699"/>
    <n v="0.2"/>
    <n v="1398"/>
    <n v="279.60000000000002"/>
    <n v="1118.4000000000001"/>
    <n v="245"/>
    <n v="490"/>
    <n v="60"/>
    <n v="568.40000000000009"/>
    <n v="0.50822603719599435"/>
    <x v="1"/>
    <d v="2024-01-08T00:00:00"/>
    <n v="2"/>
    <x v="1"/>
    <m/>
    <n v="0"/>
  </r>
  <r>
    <s v="ORD-100037"/>
    <x v="5"/>
    <x v="0"/>
    <d v="2024-01-01T00:00:00"/>
    <n v="1"/>
    <s v="CUST-01832"/>
    <x v="0"/>
    <x v="2"/>
    <s v="MH"/>
    <x v="1"/>
    <s v="Nagpur"/>
    <x v="0"/>
    <s v="P103"/>
    <s v="Niacinamide Toner"/>
    <x v="3"/>
    <n v="1"/>
    <n v="399"/>
    <n v="0.2"/>
    <n v="399"/>
    <n v="79.800000000000011"/>
    <n v="319.2"/>
    <n v="112"/>
    <n v="112"/>
    <n v="60"/>
    <n v="147.19999999999999"/>
    <n v="0.46115288220551376"/>
    <x v="0"/>
    <d v="2024-01-07T00:00:00"/>
    <n v="1"/>
    <x v="1"/>
    <n v="5"/>
    <n v="0"/>
  </r>
  <r>
    <s v="ORD-100038"/>
    <x v="5"/>
    <x v="0"/>
    <d v="2024-01-01T00:00:00"/>
    <n v="1"/>
    <s v="CUST-01446"/>
    <x v="0"/>
    <x v="11"/>
    <s v="KA"/>
    <x v="3"/>
    <s v="Bengaluru"/>
    <x v="2"/>
    <s v="P404"/>
    <s v="Flip Flops"/>
    <x v="5"/>
    <n v="3"/>
    <n v="399"/>
    <n v="0.15"/>
    <n v="1197"/>
    <n v="179.54999999999998"/>
    <n v="1017.45"/>
    <n v="152"/>
    <n v="456"/>
    <n v="60"/>
    <n v="501.45000000000005"/>
    <n v="0.49284977148754239"/>
    <x v="0"/>
    <d v="2024-01-11T00:00:00"/>
    <n v="5"/>
    <x v="2"/>
    <m/>
    <n v="0"/>
  </r>
  <r>
    <s v="ORD-100039"/>
    <x v="5"/>
    <x v="0"/>
    <d v="2024-01-01T00:00:00"/>
    <n v="1"/>
    <s v="CUST-02680"/>
    <x v="0"/>
    <x v="8"/>
    <s v="AP"/>
    <x v="3"/>
    <s v="Visakhapatnam"/>
    <x v="4"/>
    <s v="P401"/>
    <s v="Running Shoes"/>
    <x v="5"/>
    <n v="2"/>
    <n v="2999"/>
    <n v="0.15"/>
    <n v="5998"/>
    <n v="899.69999999999993"/>
    <n v="5098.3"/>
    <n v="1440"/>
    <n v="2880"/>
    <n v="60"/>
    <n v="2158.3000000000002"/>
    <n v="0.42333719082831534"/>
    <x v="3"/>
    <d v="2024-01-10T00:00:00"/>
    <n v="4"/>
    <x v="0"/>
    <m/>
    <n v="0"/>
  </r>
  <r>
    <s v="ORD-100040"/>
    <x v="5"/>
    <x v="0"/>
    <d v="2024-01-01T00:00:00"/>
    <n v="1"/>
    <s v="CUST-00974"/>
    <x v="0"/>
    <x v="17"/>
    <s v="TN"/>
    <x v="3"/>
    <s v="Chennai"/>
    <x v="4"/>
    <s v="P102"/>
    <s v="Sunscreen SPF 50"/>
    <x v="3"/>
    <n v="1"/>
    <n v="449"/>
    <n v="0.05"/>
    <n v="449"/>
    <n v="22.450000000000003"/>
    <n v="426.55"/>
    <n v="144"/>
    <n v="144"/>
    <n v="120"/>
    <n v="162.55000000000001"/>
    <n v="0.38108076427148052"/>
    <x v="0"/>
    <d v="2024-01-07T00:00:00"/>
    <n v="1"/>
    <x v="1"/>
    <n v="4"/>
    <n v="1"/>
  </r>
  <r>
    <s v="ORD-100041"/>
    <x v="5"/>
    <x v="0"/>
    <d v="2024-01-01T00:00:00"/>
    <n v="1"/>
    <s v="CUST-02682"/>
    <x v="0"/>
    <x v="17"/>
    <s v="TN"/>
    <x v="3"/>
    <s v="Chennai"/>
    <x v="1"/>
    <s v="P305"/>
    <s v="Printed Saree"/>
    <x v="1"/>
    <n v="1"/>
    <n v="1999"/>
    <n v="0.1"/>
    <n v="1999"/>
    <n v="199.9"/>
    <n v="1799.1"/>
    <n v="880"/>
    <n v="880"/>
    <n v="60"/>
    <n v="859.09999999999991"/>
    <n v="0.47751653604580063"/>
    <x v="1"/>
    <d v="2024-01-09T00:00:00"/>
    <n v="3"/>
    <x v="0"/>
    <n v="4"/>
    <n v="0"/>
  </r>
  <r>
    <s v="ORD-100042"/>
    <x v="6"/>
    <x v="0"/>
    <d v="2024-01-01T00:00:00"/>
    <n v="1"/>
    <s v="CUST-02851"/>
    <x v="0"/>
    <x v="19"/>
    <s v="PB"/>
    <x v="0"/>
    <s v="Amritsar"/>
    <x v="4"/>
    <s v="P503"/>
    <s v="Scented Candle Set"/>
    <x v="4"/>
    <n v="1"/>
    <n v="699"/>
    <n v="0.25"/>
    <n v="699"/>
    <n v="174.75"/>
    <n v="524.25"/>
    <n v="245"/>
    <n v="245"/>
    <n v="60"/>
    <n v="219.25"/>
    <n v="0.41821649976156416"/>
    <x v="0"/>
    <d v="2024-01-11T00:00:00"/>
    <n v="4"/>
    <x v="0"/>
    <n v="4"/>
    <n v="0"/>
  </r>
  <r>
    <s v="ORD-100043"/>
    <x v="6"/>
    <x v="0"/>
    <d v="2024-01-01T00:00:00"/>
    <n v="1"/>
    <s v="CUST-03192"/>
    <x v="0"/>
    <x v="0"/>
    <s v="RJ"/>
    <x v="0"/>
    <s v="Udaipur"/>
    <x v="0"/>
    <s v="P201"/>
    <s v="Onion Hair Oil"/>
    <x v="6"/>
    <n v="2"/>
    <n v="349"/>
    <n v="0.3"/>
    <n v="698"/>
    <n v="209.4"/>
    <n v="488.6"/>
    <n v="105"/>
    <n v="210"/>
    <n v="60"/>
    <n v="218.60000000000002"/>
    <n v="0.44740073679901765"/>
    <x v="2"/>
    <d v="2024-01-12T00:00:00"/>
    <n v="5"/>
    <x v="2"/>
    <n v="4"/>
    <n v="0"/>
  </r>
  <r>
    <s v="ORD-100044"/>
    <x v="6"/>
    <x v="0"/>
    <d v="2024-01-01T00:00:00"/>
    <n v="1"/>
    <s v="CUST-02214"/>
    <x v="0"/>
    <x v="15"/>
    <s v="HR"/>
    <x v="0"/>
    <s v="Gurugram"/>
    <x v="1"/>
    <s v="P403"/>
    <s v="Kolhapuri Sandals"/>
    <x v="5"/>
    <n v="1"/>
    <n v="999"/>
    <n v="0.05"/>
    <n v="999"/>
    <n v="49.95"/>
    <n v="949.05"/>
    <n v="400"/>
    <n v="400"/>
    <n v="60"/>
    <n v="489.04999999999995"/>
    <n v="0.5153047784626732"/>
    <x v="1"/>
    <d v="2024-01-10T00:00:00"/>
    <n v="3"/>
    <x v="0"/>
    <n v="4"/>
    <n v="0"/>
  </r>
  <r>
    <s v="ORD-100045"/>
    <x v="6"/>
    <x v="0"/>
    <d v="2024-01-01T00:00:00"/>
    <n v="1"/>
    <s v="CUST-01126"/>
    <x v="0"/>
    <x v="6"/>
    <s v="DL"/>
    <x v="0"/>
    <s v="New Delhi"/>
    <x v="3"/>
    <s v="P703"/>
    <s v="Green Tea (100 bags)"/>
    <x v="0"/>
    <n v="2"/>
    <n v="399"/>
    <n v="0.45"/>
    <n v="798"/>
    <n v="359.1"/>
    <n v="438.9"/>
    <n v="128"/>
    <n v="256"/>
    <n v="60"/>
    <n v="122.89999999999998"/>
    <n v="0.28001822738664839"/>
    <x v="0"/>
    <d v="2024-01-08T00:00:00"/>
    <n v="1"/>
    <x v="1"/>
    <n v="4"/>
    <n v="0"/>
  </r>
  <r>
    <s v="ORD-100046"/>
    <x v="6"/>
    <x v="0"/>
    <d v="2024-01-01T00:00:00"/>
    <n v="1"/>
    <s v="CUST-00802"/>
    <x v="0"/>
    <x v="6"/>
    <s v="DL"/>
    <x v="0"/>
    <s v="New Delhi"/>
    <x v="4"/>
    <s v="P101"/>
    <s v="Vitamin C Face Serum"/>
    <x v="3"/>
    <n v="4"/>
    <n v="599"/>
    <n v="0.1"/>
    <n v="2396"/>
    <n v="239.60000000000002"/>
    <n v="2156.4"/>
    <n v="180"/>
    <n v="720"/>
    <n v="60"/>
    <n v="1376.4"/>
    <n v="0.63828603227601555"/>
    <x v="3"/>
    <d v="2024-01-13T00:00:00"/>
    <n v="6"/>
    <x v="2"/>
    <n v="3"/>
    <n v="0"/>
  </r>
  <r>
    <s v="ORD-100047"/>
    <x v="6"/>
    <x v="0"/>
    <d v="2024-01-01T00:00:00"/>
    <n v="1"/>
    <s v="CUST-02962"/>
    <x v="0"/>
    <x v="13"/>
    <s v="MP"/>
    <x v="1"/>
    <s v="Bhopal"/>
    <x v="0"/>
    <s v="P403"/>
    <s v="Kolhapuri Sandals"/>
    <x v="5"/>
    <n v="1"/>
    <n v="999"/>
    <n v="0"/>
    <n v="999"/>
    <n v="0"/>
    <n v="999"/>
    <n v="400"/>
    <n v="400"/>
    <n v="60"/>
    <n v="539"/>
    <n v="0.53953953953953959"/>
    <x v="0"/>
    <d v="2024-01-11T00:00:00"/>
    <n v="4"/>
    <x v="0"/>
    <n v="3"/>
    <n v="0"/>
  </r>
  <r>
    <s v="ORD-100048"/>
    <x v="7"/>
    <x v="0"/>
    <d v="2024-01-01T00:00:00"/>
    <n v="1"/>
    <s v="CUST-00809"/>
    <x v="0"/>
    <x v="0"/>
    <s v="RJ"/>
    <x v="0"/>
    <s v="Udaipur"/>
    <x v="0"/>
    <s v="P303"/>
    <s v="Joggers"/>
    <x v="1"/>
    <n v="2"/>
    <n v="1199"/>
    <n v="0.1"/>
    <n v="2398"/>
    <n v="239.8"/>
    <n v="2158.1999999999998"/>
    <n v="492"/>
    <n v="984"/>
    <n v="60"/>
    <n v="1114.1999999999998"/>
    <n v="0.51626355296080062"/>
    <x v="3"/>
    <d v="2024-01-11T00:00:00"/>
    <n v="3"/>
    <x v="0"/>
    <m/>
    <n v="0"/>
  </r>
  <r>
    <s v="ORD-100049"/>
    <x v="7"/>
    <x v="0"/>
    <d v="2024-01-01T00:00:00"/>
    <n v="1"/>
    <s v="CUST-01011"/>
    <x v="0"/>
    <x v="1"/>
    <s v="GJ"/>
    <x v="1"/>
    <s v="Surat"/>
    <x v="2"/>
    <s v="P504"/>
    <s v="Cotton Bedsheet"/>
    <x v="4"/>
    <n v="1"/>
    <n v="1299"/>
    <n v="0.05"/>
    <n v="1299"/>
    <n v="64.95"/>
    <n v="1234.05"/>
    <n v="585"/>
    <n v="585"/>
    <n v="120"/>
    <n v="529.04999999999995"/>
    <n v="0.42871034398930347"/>
    <x v="0"/>
    <d v="2024-01-13T00:00:00"/>
    <n v="5"/>
    <x v="2"/>
    <m/>
    <n v="1"/>
  </r>
  <r>
    <s v="ORD-100050"/>
    <x v="7"/>
    <x v="0"/>
    <d v="2024-01-01T00:00:00"/>
    <n v="1"/>
    <s v="CUST-02723"/>
    <x v="0"/>
    <x v="2"/>
    <s v="MH"/>
    <x v="1"/>
    <s v="Pune"/>
    <x v="1"/>
    <s v="P404"/>
    <s v="Flip Flops"/>
    <x v="5"/>
    <n v="1"/>
    <n v="399"/>
    <n v="0.1"/>
    <n v="399"/>
    <n v="39.900000000000006"/>
    <n v="359.1"/>
    <n v="152"/>
    <n v="152"/>
    <n v="60"/>
    <n v="147.10000000000002"/>
    <n v="0.40963519910888335"/>
    <x v="4"/>
    <d v="2024-01-10T00:00:00"/>
    <n v="2"/>
    <x v="1"/>
    <n v="5"/>
    <n v="0"/>
  </r>
  <r>
    <s v="ORD-100051"/>
    <x v="8"/>
    <x v="0"/>
    <d v="2024-01-01T00:00:00"/>
    <n v="1"/>
    <s v="CUST-02758"/>
    <x v="0"/>
    <x v="15"/>
    <s v="HR"/>
    <x v="0"/>
    <s v="Gurugram"/>
    <x v="1"/>
    <s v="P402"/>
    <s v="Casual Sneakers"/>
    <x v="5"/>
    <n v="1"/>
    <n v="2199"/>
    <n v="0.2"/>
    <n v="2199"/>
    <n v="439.8"/>
    <n v="1759.2"/>
    <n v="1034"/>
    <n v="1034"/>
    <n v="60"/>
    <n v="665.2"/>
    <n v="0.37812642110050027"/>
    <x v="4"/>
    <d v="2024-01-12T00:00:00"/>
    <n v="3"/>
    <x v="0"/>
    <n v="4"/>
    <n v="0"/>
  </r>
  <r>
    <s v="ORD-100052"/>
    <x v="8"/>
    <x v="0"/>
    <d v="2024-01-01T00:00:00"/>
    <n v="1"/>
    <s v="CUST-00778"/>
    <x v="0"/>
    <x v="1"/>
    <s v="GJ"/>
    <x v="1"/>
    <s v="Ahmedabad"/>
    <x v="1"/>
    <s v="P403"/>
    <s v="Kolhapuri Sandals"/>
    <x v="5"/>
    <n v="1"/>
    <n v="999"/>
    <n v="0.15"/>
    <n v="999"/>
    <n v="149.85"/>
    <n v="849.15"/>
    <n v="400"/>
    <n v="400"/>
    <n v="60"/>
    <n v="389.15"/>
    <n v="0.45828181122298767"/>
    <x v="0"/>
    <d v="2024-01-11T00:00:00"/>
    <n v="2"/>
    <x v="1"/>
    <n v="4"/>
    <n v="0"/>
  </r>
  <r>
    <s v="ORD-100053"/>
    <x v="8"/>
    <x v="0"/>
    <d v="2024-01-01T00:00:00"/>
    <n v="1"/>
    <s v="CUST-02950"/>
    <x v="0"/>
    <x v="13"/>
    <s v="MP"/>
    <x v="1"/>
    <s v="Bhopal"/>
    <x v="4"/>
    <s v="P305"/>
    <s v="Printed Saree"/>
    <x v="1"/>
    <n v="3"/>
    <n v="1999"/>
    <n v="0.1"/>
    <n v="5997"/>
    <n v="599.70000000000005"/>
    <n v="5397.3"/>
    <n v="880"/>
    <n v="2640"/>
    <n v="60"/>
    <n v="2697.3"/>
    <n v="0.49974987493746875"/>
    <x v="0"/>
    <d v="2024-01-13T00:00:00"/>
    <n v="4"/>
    <x v="0"/>
    <n v="3"/>
    <n v="0"/>
  </r>
  <r>
    <s v="ORD-100054"/>
    <x v="8"/>
    <x v="0"/>
    <d v="2024-01-01T00:00:00"/>
    <n v="1"/>
    <s v="CUST-01088"/>
    <x v="0"/>
    <x v="13"/>
    <s v="MP"/>
    <x v="1"/>
    <s v="Indore"/>
    <x v="3"/>
    <s v="P201"/>
    <s v="Onion Hair Oil"/>
    <x v="6"/>
    <n v="2"/>
    <n v="349"/>
    <n v="0.3"/>
    <n v="698"/>
    <n v="209.4"/>
    <n v="488.6"/>
    <n v="105"/>
    <n v="210"/>
    <n v="60"/>
    <n v="218.60000000000002"/>
    <n v="0.44740073679901765"/>
    <x v="2"/>
    <d v="2024-01-13T00:00:00"/>
    <n v="4"/>
    <x v="0"/>
    <n v="4"/>
    <n v="0"/>
  </r>
  <r>
    <s v="ORD-100055"/>
    <x v="8"/>
    <x v="0"/>
    <d v="2024-01-01T00:00:00"/>
    <n v="1"/>
    <s v="CUST-01011"/>
    <x v="1"/>
    <x v="18"/>
    <s v="WB"/>
    <x v="2"/>
    <s v="Kolkata"/>
    <x v="1"/>
    <s v="P303"/>
    <s v="Joggers"/>
    <x v="1"/>
    <n v="1"/>
    <n v="1199"/>
    <n v="0.15"/>
    <n v="1199"/>
    <n v="179.85"/>
    <n v="1019.15"/>
    <n v="492"/>
    <n v="492"/>
    <n v="60"/>
    <n v="467.15"/>
    <n v="0.45837217288917231"/>
    <x v="0"/>
    <d v="2024-01-12T00:00:00"/>
    <n v="3"/>
    <x v="0"/>
    <n v="4"/>
    <n v="0"/>
  </r>
  <r>
    <s v="ORD-100056"/>
    <x v="8"/>
    <x v="0"/>
    <d v="2024-01-01T00:00:00"/>
    <n v="1"/>
    <s v="CUST-00695"/>
    <x v="0"/>
    <x v="20"/>
    <s v="GA"/>
    <x v="1"/>
    <s v="Panaji"/>
    <x v="0"/>
    <s v="P105"/>
    <s v="Retinol Night Cream"/>
    <x v="3"/>
    <n v="1"/>
    <n v="799"/>
    <n v="0.1"/>
    <n v="799"/>
    <n v="79.900000000000006"/>
    <n v="719.1"/>
    <n v="216"/>
    <n v="216"/>
    <n v="60"/>
    <n v="443.1"/>
    <n v="0.61618690029203171"/>
    <x v="0"/>
    <d v="2024-01-13T00:00:00"/>
    <n v="4"/>
    <x v="0"/>
    <n v="3"/>
    <n v="0"/>
  </r>
  <r>
    <s v="ORD-100057"/>
    <x v="8"/>
    <x v="0"/>
    <d v="2024-01-01T00:00:00"/>
    <n v="1"/>
    <s v="CUST-00492"/>
    <x v="0"/>
    <x v="11"/>
    <s v="KA"/>
    <x v="3"/>
    <s v="Mysuru"/>
    <x v="0"/>
    <s v="P102"/>
    <s v="Sunscreen SPF 50"/>
    <x v="3"/>
    <n v="1"/>
    <n v="449"/>
    <n v="0.05"/>
    <n v="449"/>
    <n v="22.450000000000003"/>
    <n v="426.55"/>
    <n v="144"/>
    <n v="144"/>
    <n v="60"/>
    <n v="222.55"/>
    <n v="0.52174422693705313"/>
    <x v="0"/>
    <d v="2024-01-10T00:00:00"/>
    <n v="1"/>
    <x v="1"/>
    <n v="5"/>
    <n v="0"/>
  </r>
  <r>
    <s v="ORD-100058"/>
    <x v="8"/>
    <x v="0"/>
    <d v="2024-01-01T00:00:00"/>
    <n v="1"/>
    <s v="CUST-00297"/>
    <x v="0"/>
    <x v="8"/>
    <s v="AP"/>
    <x v="3"/>
    <s v="Visakhapatnam"/>
    <x v="4"/>
    <s v="P503"/>
    <s v="Scented Candle Set"/>
    <x v="4"/>
    <n v="3"/>
    <n v="699"/>
    <n v="0.2"/>
    <n v="2097"/>
    <n v="419.40000000000003"/>
    <n v="1677.6"/>
    <n v="245"/>
    <n v="735"/>
    <n v="60"/>
    <n v="882.59999999999991"/>
    <n v="0.52610872675250353"/>
    <x v="0"/>
    <d v="2024-01-13T00:00:00"/>
    <n v="4"/>
    <x v="0"/>
    <n v="4"/>
    <n v="0"/>
  </r>
  <r>
    <s v="ORD-100059"/>
    <x v="8"/>
    <x v="0"/>
    <d v="2024-01-01T00:00:00"/>
    <n v="1"/>
    <s v="CUST-02699"/>
    <x v="0"/>
    <x v="17"/>
    <s v="TN"/>
    <x v="3"/>
    <s v="Chennai"/>
    <x v="1"/>
    <s v="P304"/>
    <s v="Denim Jacket"/>
    <x v="1"/>
    <n v="3"/>
    <n v="2499"/>
    <n v="0"/>
    <n v="7497"/>
    <n v="0"/>
    <n v="7497"/>
    <n v="1125"/>
    <n v="3375"/>
    <n v="60"/>
    <n v="4062"/>
    <n v="0.54181672669067626"/>
    <x v="0"/>
    <d v="2024-01-10T00:00:00"/>
    <n v="1"/>
    <x v="1"/>
    <n v="5"/>
    <n v="0"/>
  </r>
  <r>
    <s v="ORD-100060"/>
    <x v="8"/>
    <x v="0"/>
    <d v="2024-01-01T00:00:00"/>
    <n v="1"/>
    <s v="CUST-00697"/>
    <x v="0"/>
    <x v="17"/>
    <s v="TN"/>
    <x v="3"/>
    <s v="Chennai"/>
    <x v="2"/>
    <s v="P404"/>
    <s v="Flip Flops"/>
    <x v="5"/>
    <n v="1"/>
    <n v="399"/>
    <n v="0.05"/>
    <n v="399"/>
    <n v="19.950000000000003"/>
    <n v="379.05"/>
    <n v="152"/>
    <n v="152"/>
    <n v="60"/>
    <n v="167.05"/>
    <n v="0.44070703073473161"/>
    <x v="1"/>
    <d v="2024-01-13T00:00:00"/>
    <n v="4"/>
    <x v="0"/>
    <m/>
    <n v="0"/>
  </r>
  <r>
    <s v="ORD-100061"/>
    <x v="9"/>
    <x v="0"/>
    <d v="2024-01-01T00:00:00"/>
    <n v="1"/>
    <s v="CUST-00504"/>
    <x v="0"/>
    <x v="0"/>
    <s v="RJ"/>
    <x v="0"/>
    <s v="Jaipur"/>
    <x v="4"/>
    <s v="P103"/>
    <s v="Niacinamide Toner"/>
    <x v="3"/>
    <n v="1"/>
    <n v="399"/>
    <n v="0.3"/>
    <n v="399"/>
    <n v="119.69999999999999"/>
    <n v="279.3"/>
    <n v="112"/>
    <n v="112"/>
    <n v="60"/>
    <n v="107.30000000000001"/>
    <n v="0.38417472252058721"/>
    <x v="3"/>
    <d v="2024-01-14T00:00:00"/>
    <n v="4"/>
    <x v="0"/>
    <n v="3"/>
    <n v="0"/>
  </r>
  <r>
    <s v="ORD-100062"/>
    <x v="9"/>
    <x v="0"/>
    <d v="2024-01-01T00:00:00"/>
    <n v="1"/>
    <s v="CUST-00545"/>
    <x v="0"/>
    <x v="18"/>
    <s v="WB"/>
    <x v="2"/>
    <s v="Kolkata"/>
    <x v="4"/>
    <s v="P701"/>
    <s v="Ashwagandha Capsules"/>
    <x v="0"/>
    <n v="3"/>
    <n v="499"/>
    <n v="0.05"/>
    <n v="1497"/>
    <n v="74.850000000000009"/>
    <n v="1422.15"/>
    <n v="150"/>
    <n v="450"/>
    <n v="60"/>
    <n v="912.15000000000009"/>
    <n v="0.64138803923636745"/>
    <x v="0"/>
    <d v="2024-01-12T00:00:00"/>
    <n v="2"/>
    <x v="1"/>
    <n v="4"/>
    <n v="0"/>
  </r>
  <r>
    <s v="ORD-100063"/>
    <x v="9"/>
    <x v="0"/>
    <d v="2024-01-01T00:00:00"/>
    <n v="1"/>
    <s v="CUST-01761"/>
    <x v="0"/>
    <x v="2"/>
    <s v="MH"/>
    <x v="1"/>
    <s v="Pune"/>
    <x v="1"/>
    <s v="P302"/>
    <s v="Linen Kurta"/>
    <x v="1"/>
    <n v="1"/>
    <n v="1499"/>
    <n v="0.4"/>
    <n v="1499"/>
    <n v="599.6"/>
    <n v="899.4"/>
    <n v="630"/>
    <n v="630"/>
    <n v="60"/>
    <n v="209.39999999999998"/>
    <n v="0.23282188125416942"/>
    <x v="0"/>
    <d v="2024-01-12T00:00:00"/>
    <n v="2"/>
    <x v="1"/>
    <m/>
    <n v="0"/>
  </r>
  <r>
    <s v="ORD-100064"/>
    <x v="9"/>
    <x v="0"/>
    <d v="2024-01-01T00:00:00"/>
    <n v="1"/>
    <s v="CUST-01021"/>
    <x v="0"/>
    <x v="2"/>
    <s v="MH"/>
    <x v="1"/>
    <s v="Pune"/>
    <x v="4"/>
    <s v="P404"/>
    <s v="Flip Flops"/>
    <x v="5"/>
    <n v="1"/>
    <n v="399"/>
    <n v="0.15"/>
    <n v="399"/>
    <n v="59.849999999999994"/>
    <n v="339.15"/>
    <n v="152"/>
    <n v="152"/>
    <n v="60"/>
    <n v="127.14999999999998"/>
    <n v="0.37490785787999409"/>
    <x v="3"/>
    <d v="2024-01-13T00:00:00"/>
    <n v="3"/>
    <x v="0"/>
    <m/>
    <n v="0"/>
  </r>
  <r>
    <s v="ORD-100065"/>
    <x v="9"/>
    <x v="0"/>
    <d v="2024-01-01T00:00:00"/>
    <n v="1"/>
    <s v="CUST-01838"/>
    <x v="0"/>
    <x v="11"/>
    <s v="KA"/>
    <x v="3"/>
    <s v="Bengaluru"/>
    <x v="4"/>
    <s v="P703"/>
    <s v="Green Tea (100 bags)"/>
    <x v="0"/>
    <n v="1"/>
    <n v="399"/>
    <n v="0.3"/>
    <n v="399"/>
    <n v="119.69999999999999"/>
    <n v="279.3"/>
    <n v="128"/>
    <n v="128"/>
    <n v="60"/>
    <n v="91.300000000000011"/>
    <n v="0.32688865019692093"/>
    <x v="3"/>
    <d v="2024-01-12T00:00:00"/>
    <n v="2"/>
    <x v="1"/>
    <n v="3"/>
    <n v="0"/>
  </r>
  <r>
    <s v="ORD-100066"/>
    <x v="9"/>
    <x v="0"/>
    <d v="2024-01-01T00:00:00"/>
    <n v="1"/>
    <s v="CUST-00689"/>
    <x v="0"/>
    <x v="14"/>
    <s v="KL"/>
    <x v="3"/>
    <s v="Thiruvananthapuram"/>
    <x v="0"/>
    <s v="P301"/>
    <s v="Cotton Oversized T-Shirt"/>
    <x v="1"/>
    <n v="1"/>
    <n v="799"/>
    <n v="0.05"/>
    <n v="799"/>
    <n v="39.950000000000003"/>
    <n v="759.05"/>
    <n v="320"/>
    <n v="320"/>
    <n v="120"/>
    <n v="319.04999999999995"/>
    <n v="0.42032804163098608"/>
    <x v="3"/>
    <d v="2024-01-13T00:00:00"/>
    <n v="3"/>
    <x v="0"/>
    <m/>
    <n v="1"/>
  </r>
  <r>
    <s v="ORD-100067"/>
    <x v="10"/>
    <x v="0"/>
    <d v="2024-01-01T00:00:00"/>
    <n v="1"/>
    <s v="CUST-00375"/>
    <x v="0"/>
    <x v="12"/>
    <s v="BR"/>
    <x v="2"/>
    <s v="Patna"/>
    <x v="3"/>
    <s v="P104"/>
    <s v="Hydrating Face Wash"/>
    <x v="3"/>
    <n v="1"/>
    <n v="299"/>
    <n v="0"/>
    <n v="299"/>
    <n v="0"/>
    <n v="299"/>
    <n v="90"/>
    <n v="90"/>
    <n v="60"/>
    <n v="149"/>
    <n v="0.49832775919732442"/>
    <x v="2"/>
    <d v="2024-01-16T00:00:00"/>
    <n v="5"/>
    <x v="2"/>
    <n v="3"/>
    <n v="0"/>
  </r>
  <r>
    <s v="ORD-100068"/>
    <x v="10"/>
    <x v="0"/>
    <d v="2024-01-01T00:00:00"/>
    <n v="1"/>
    <s v="CUST-00221"/>
    <x v="0"/>
    <x v="1"/>
    <s v="GJ"/>
    <x v="1"/>
    <s v="Ahmedabad"/>
    <x v="4"/>
    <s v="P601"/>
    <s v="Wireless Earbuds"/>
    <x v="2"/>
    <n v="3"/>
    <n v="1999"/>
    <n v="0.3"/>
    <n v="5997"/>
    <n v="1799.1"/>
    <n v="4197.8999999999996"/>
    <n v="1239"/>
    <n v="3717"/>
    <n v="60"/>
    <n v="420.89999999999964"/>
    <n v="0.10026441792324726"/>
    <x v="1"/>
    <d v="2024-01-14T00:00:00"/>
    <n v="3"/>
    <x v="0"/>
    <n v="4"/>
    <n v="0"/>
  </r>
  <r>
    <s v="ORD-100069"/>
    <x v="10"/>
    <x v="0"/>
    <d v="2024-01-01T00:00:00"/>
    <n v="1"/>
    <s v="CUST-02622"/>
    <x v="0"/>
    <x v="1"/>
    <s v="GJ"/>
    <x v="1"/>
    <s v="Surat"/>
    <x v="0"/>
    <s v="P302"/>
    <s v="Linen Kurta"/>
    <x v="1"/>
    <n v="1"/>
    <n v="1499"/>
    <n v="0.25"/>
    <n v="1499"/>
    <n v="374.75"/>
    <n v="1124.25"/>
    <n v="630"/>
    <n v="630"/>
    <n v="120"/>
    <n v="374.25"/>
    <n v="0.33288859239492996"/>
    <x v="3"/>
    <d v="2024-01-14T00:00:00"/>
    <n v="3"/>
    <x v="0"/>
    <n v="4"/>
    <n v="1"/>
  </r>
  <r>
    <s v="ORD-100070"/>
    <x v="10"/>
    <x v="0"/>
    <d v="2024-01-01T00:00:00"/>
    <n v="1"/>
    <s v="CUST-00846"/>
    <x v="0"/>
    <x v="21"/>
    <s v="TG"/>
    <x v="3"/>
    <s v="Hyderabad"/>
    <x v="3"/>
    <s v="P103"/>
    <s v="Niacinamide Toner"/>
    <x v="3"/>
    <n v="2"/>
    <n v="399"/>
    <n v="0.25"/>
    <n v="798"/>
    <n v="199.5"/>
    <n v="598.5"/>
    <n v="112"/>
    <n v="224"/>
    <n v="60"/>
    <n v="314.5"/>
    <n v="0.52548036758563077"/>
    <x v="0"/>
    <d v="2024-01-15T00:00:00"/>
    <n v="4"/>
    <x v="0"/>
    <n v="4"/>
    <n v="0"/>
  </r>
  <r>
    <s v="ORD-100071"/>
    <x v="10"/>
    <x v="0"/>
    <d v="2024-01-01T00:00:00"/>
    <n v="1"/>
    <s v="CUST-02632"/>
    <x v="0"/>
    <x v="3"/>
    <s v="OD"/>
    <x v="2"/>
    <s v="Bhubaneswar"/>
    <x v="4"/>
    <s v="P704"/>
    <s v="Multivitamin Gummies"/>
    <x v="0"/>
    <n v="3"/>
    <n v="699"/>
    <n v="0.3"/>
    <n v="2097"/>
    <n v="629.1"/>
    <n v="1467.9"/>
    <n v="238"/>
    <n v="714"/>
    <n v="60"/>
    <n v="693.90000000000009"/>
    <n v="0.47271612507664013"/>
    <x v="0"/>
    <d v="2024-01-16T00:00:00"/>
    <n v="5"/>
    <x v="2"/>
    <n v="2"/>
    <n v="0"/>
  </r>
  <r>
    <s v="ORD-100072"/>
    <x v="10"/>
    <x v="0"/>
    <d v="2024-01-01T00:00:00"/>
    <n v="1"/>
    <s v="CUST-00378"/>
    <x v="0"/>
    <x v="11"/>
    <s v="KA"/>
    <x v="3"/>
    <s v="Mysuru"/>
    <x v="0"/>
    <s v="P503"/>
    <s v="Scented Candle Set"/>
    <x v="4"/>
    <n v="1"/>
    <n v="699"/>
    <n v="0.25"/>
    <n v="699"/>
    <n v="174.75"/>
    <n v="524.25"/>
    <n v="245"/>
    <n v="245"/>
    <n v="120"/>
    <n v="159.25"/>
    <n v="0.30376728659990465"/>
    <x v="3"/>
    <d v="2024-01-14T00:00:00"/>
    <n v="3"/>
    <x v="0"/>
    <n v="4"/>
    <n v="1"/>
  </r>
  <r>
    <s v="ORD-100073"/>
    <x v="11"/>
    <x v="0"/>
    <d v="2024-01-01T00:00:00"/>
    <n v="1"/>
    <s v="CUST-01017"/>
    <x v="0"/>
    <x v="16"/>
    <s v="UP"/>
    <x v="0"/>
    <s v="Kanpur"/>
    <x v="4"/>
    <s v="P104"/>
    <s v="Hydrating Face Wash"/>
    <x v="3"/>
    <n v="3"/>
    <n v="299"/>
    <n v="0"/>
    <n v="897"/>
    <n v="0"/>
    <n v="897"/>
    <n v="90"/>
    <n v="270"/>
    <n v="60"/>
    <n v="567"/>
    <n v="0.63210702341137126"/>
    <x v="1"/>
    <d v="2024-01-15T00:00:00"/>
    <n v="3"/>
    <x v="0"/>
    <n v="3"/>
    <n v="0"/>
  </r>
  <r>
    <s v="ORD-100074"/>
    <x v="11"/>
    <x v="0"/>
    <d v="2024-01-01T00:00:00"/>
    <n v="1"/>
    <s v="CUST-00360"/>
    <x v="0"/>
    <x v="2"/>
    <s v="MH"/>
    <x v="1"/>
    <s v="Nagpur"/>
    <x v="2"/>
    <s v="P404"/>
    <s v="Flip Flops"/>
    <x v="5"/>
    <n v="1"/>
    <n v="399"/>
    <n v="0"/>
    <n v="399"/>
    <n v="0"/>
    <n v="399"/>
    <n v="152"/>
    <n v="152"/>
    <n v="60"/>
    <n v="187"/>
    <n v="0.46867167919799496"/>
    <x v="3"/>
    <d v="2024-01-13T00:00:00"/>
    <n v="1"/>
    <x v="1"/>
    <m/>
    <n v="0"/>
  </r>
  <r>
    <s v="ORD-100075"/>
    <x v="11"/>
    <x v="0"/>
    <d v="2024-01-01T00:00:00"/>
    <n v="1"/>
    <s v="CUST-00154"/>
    <x v="0"/>
    <x v="3"/>
    <s v="OD"/>
    <x v="2"/>
    <s v="Bhubaneswar"/>
    <x v="0"/>
    <s v="P603"/>
    <s v="Smartwatch Strap"/>
    <x v="2"/>
    <n v="1"/>
    <n v="499"/>
    <n v="0.1"/>
    <n v="499"/>
    <n v="49.900000000000006"/>
    <n v="449.1"/>
    <n v="200"/>
    <n v="200"/>
    <n v="60"/>
    <n v="189.10000000000002"/>
    <n v="0.42106435092407041"/>
    <x v="4"/>
    <d v="2024-01-17T00:00:00"/>
    <n v="5"/>
    <x v="2"/>
    <n v="4"/>
    <n v="0"/>
  </r>
  <r>
    <s v="ORD-100076"/>
    <x v="11"/>
    <x v="0"/>
    <d v="2024-01-01T00:00:00"/>
    <n v="1"/>
    <s v="CUST-02748"/>
    <x v="0"/>
    <x v="17"/>
    <s v="TN"/>
    <x v="3"/>
    <s v="Coimbatore"/>
    <x v="2"/>
    <s v="P101"/>
    <s v="Vitamin C Face Serum"/>
    <x v="3"/>
    <n v="2"/>
    <n v="599"/>
    <n v="0.15"/>
    <n v="1198"/>
    <n v="179.7"/>
    <n v="1018.3"/>
    <n v="180"/>
    <n v="360"/>
    <n v="60"/>
    <n v="598.29999999999995"/>
    <n v="0.58754787390749286"/>
    <x v="0"/>
    <d v="2024-01-16T00:00:00"/>
    <n v="4"/>
    <x v="0"/>
    <m/>
    <n v="0"/>
  </r>
  <r>
    <s v="ORD-100077"/>
    <x v="12"/>
    <x v="0"/>
    <d v="2024-01-01T00:00:00"/>
    <n v="1"/>
    <s v="CUST-00660"/>
    <x v="0"/>
    <x v="5"/>
    <s v="HP"/>
    <x v="0"/>
    <s v="Shimla"/>
    <x v="1"/>
    <s v="P403"/>
    <s v="Kolhapuri Sandals"/>
    <x v="5"/>
    <n v="2"/>
    <n v="999"/>
    <n v="0.05"/>
    <n v="1998"/>
    <n v="99.9"/>
    <n v="1898.1"/>
    <n v="400"/>
    <n v="800"/>
    <n v="60"/>
    <n v="1038.0999999999999"/>
    <n v="0.54691533638902057"/>
    <x v="0"/>
    <d v="2024-01-16T00:00:00"/>
    <n v="3"/>
    <x v="0"/>
    <n v="4"/>
    <n v="0"/>
  </r>
  <r>
    <s v="ORD-100078"/>
    <x v="12"/>
    <x v="0"/>
    <d v="2024-01-01T00:00:00"/>
    <n v="1"/>
    <s v="CUST-00110"/>
    <x v="0"/>
    <x v="0"/>
    <s v="RJ"/>
    <x v="0"/>
    <s v="Udaipur"/>
    <x v="4"/>
    <s v="P704"/>
    <s v="Multivitamin Gummies"/>
    <x v="0"/>
    <n v="2"/>
    <n v="699"/>
    <n v="0.2"/>
    <n v="1398"/>
    <n v="279.60000000000002"/>
    <n v="1118.4000000000001"/>
    <n v="238"/>
    <n v="476"/>
    <n v="60"/>
    <n v="582.40000000000009"/>
    <n v="0.5207439198855508"/>
    <x v="3"/>
    <d v="2024-01-16T00:00:00"/>
    <n v="3"/>
    <x v="0"/>
    <n v="3"/>
    <n v="0"/>
  </r>
  <r>
    <s v="ORD-100079"/>
    <x v="12"/>
    <x v="0"/>
    <d v="2024-01-01T00:00:00"/>
    <n v="1"/>
    <s v="CUST-00289"/>
    <x v="0"/>
    <x v="1"/>
    <s v="GJ"/>
    <x v="1"/>
    <s v="Surat"/>
    <x v="0"/>
    <s v="P204"/>
    <s v="Anti-Dandruff Conditioner"/>
    <x v="6"/>
    <n v="2"/>
    <n v="399"/>
    <n v="0.45"/>
    <n v="798"/>
    <n v="359.1"/>
    <n v="438.9"/>
    <n v="136"/>
    <n v="272"/>
    <n v="60"/>
    <n v="106.89999999999998"/>
    <n v="0.24356345408976984"/>
    <x v="0"/>
    <d v="2024-01-14T00:00:00"/>
    <n v="1"/>
    <x v="1"/>
    <n v="4"/>
    <n v="0"/>
  </r>
  <r>
    <s v="ORD-100080"/>
    <x v="12"/>
    <x v="0"/>
    <d v="2024-01-01T00:00:00"/>
    <n v="1"/>
    <s v="CUST-02793"/>
    <x v="0"/>
    <x v="18"/>
    <s v="WB"/>
    <x v="2"/>
    <s v="Kolkata"/>
    <x v="2"/>
    <s v="P102"/>
    <s v="Sunscreen SPF 50"/>
    <x v="3"/>
    <n v="1"/>
    <n v="449"/>
    <n v="0"/>
    <n v="449"/>
    <n v="0"/>
    <n v="449"/>
    <n v="144"/>
    <n v="144"/>
    <n v="60"/>
    <n v="245"/>
    <n v="0.54565701559020041"/>
    <x v="0"/>
    <d v="2024-01-17T00:00:00"/>
    <n v="4"/>
    <x v="0"/>
    <n v="3"/>
    <n v="0"/>
  </r>
  <r>
    <s v="ORD-100081"/>
    <x v="12"/>
    <x v="0"/>
    <d v="2024-01-01T00:00:00"/>
    <n v="1"/>
    <s v="CUST-00420"/>
    <x v="0"/>
    <x v="18"/>
    <s v="WB"/>
    <x v="2"/>
    <s v="Kolkata"/>
    <x v="4"/>
    <s v="P203"/>
    <s v="Keratin Hair Mask"/>
    <x v="6"/>
    <n v="1"/>
    <n v="549"/>
    <n v="0.25"/>
    <n v="549"/>
    <n v="137.25"/>
    <n v="411.75"/>
    <n v="170"/>
    <n v="170"/>
    <n v="60"/>
    <n v="181.75"/>
    <n v="0.44140862173649059"/>
    <x v="3"/>
    <d v="2024-01-16T00:00:00"/>
    <n v="3"/>
    <x v="0"/>
    <m/>
    <n v="0"/>
  </r>
  <r>
    <s v="ORD-100082"/>
    <x v="12"/>
    <x v="0"/>
    <d v="2024-01-01T00:00:00"/>
    <n v="1"/>
    <s v="CUST-00078"/>
    <x v="0"/>
    <x v="11"/>
    <s v="KA"/>
    <x v="3"/>
    <s v="Mysuru"/>
    <x v="2"/>
    <s v="P501"/>
    <s v="Copper Water Bottle"/>
    <x v="4"/>
    <n v="3"/>
    <n v="899"/>
    <n v="0.1"/>
    <n v="2697"/>
    <n v="269.7"/>
    <n v="2427.3000000000002"/>
    <n v="378"/>
    <n v="1134"/>
    <n v="60"/>
    <n v="1233.3000000000002"/>
    <n v="0.50809541465826236"/>
    <x v="0"/>
    <d v="2024-01-17T00:00:00"/>
    <n v="4"/>
    <x v="0"/>
    <m/>
    <n v="0"/>
  </r>
  <r>
    <s v="ORD-100083"/>
    <x v="13"/>
    <x v="0"/>
    <d v="2024-01-01T00:00:00"/>
    <n v="1"/>
    <s v="CUST-00517"/>
    <x v="0"/>
    <x v="0"/>
    <s v="RJ"/>
    <x v="0"/>
    <s v="Jaipur"/>
    <x v="0"/>
    <s v="P501"/>
    <s v="Copper Water Bottle"/>
    <x v="4"/>
    <n v="1"/>
    <n v="899"/>
    <n v="0.15"/>
    <n v="899"/>
    <n v="134.85"/>
    <n v="764.15"/>
    <n v="378"/>
    <n v="378"/>
    <n v="60"/>
    <n v="326.14999999999998"/>
    <n v="0.42681410717791007"/>
    <x v="2"/>
    <d v="2024-01-18T00:00:00"/>
    <n v="4"/>
    <x v="0"/>
    <m/>
    <n v="0"/>
  </r>
  <r>
    <s v="ORD-100084"/>
    <x v="13"/>
    <x v="0"/>
    <d v="2024-01-01T00:00:00"/>
    <n v="1"/>
    <s v="CUST-00776"/>
    <x v="0"/>
    <x v="6"/>
    <s v="DL"/>
    <x v="0"/>
    <s v="New Delhi"/>
    <x v="4"/>
    <s v="P403"/>
    <s v="Kolhapuri Sandals"/>
    <x v="5"/>
    <n v="2"/>
    <n v="999"/>
    <n v="0.1"/>
    <n v="1998"/>
    <n v="199.8"/>
    <n v="1798.2"/>
    <n v="400"/>
    <n v="800"/>
    <n v="60"/>
    <n v="938.2"/>
    <n v="0.52174396618841068"/>
    <x v="3"/>
    <d v="2024-01-16T00:00:00"/>
    <n v="2"/>
    <x v="1"/>
    <n v="5"/>
    <n v="0"/>
  </r>
  <r>
    <s v="ORD-100085"/>
    <x v="13"/>
    <x v="0"/>
    <d v="2024-01-01T00:00:00"/>
    <n v="1"/>
    <s v="CUST-00907"/>
    <x v="0"/>
    <x v="21"/>
    <s v="TG"/>
    <x v="3"/>
    <s v="Hyderabad"/>
    <x v="4"/>
    <s v="P102"/>
    <s v="Sunscreen SPF 50"/>
    <x v="3"/>
    <n v="1"/>
    <n v="449"/>
    <n v="0"/>
    <n v="449"/>
    <n v="0"/>
    <n v="449"/>
    <n v="144"/>
    <n v="144"/>
    <n v="120"/>
    <n v="185"/>
    <n v="0.41202672605790647"/>
    <x v="3"/>
    <d v="2024-01-16T00:00:00"/>
    <n v="2"/>
    <x v="1"/>
    <n v="5"/>
    <n v="1"/>
  </r>
  <r>
    <s v="ORD-100086"/>
    <x v="14"/>
    <x v="0"/>
    <d v="2024-01-01T00:00:00"/>
    <n v="1"/>
    <s v="CUST-01407"/>
    <x v="0"/>
    <x v="4"/>
    <s v="JK"/>
    <x v="0"/>
    <s v="Jammu"/>
    <x v="4"/>
    <s v="P302"/>
    <s v="Linen Kurta"/>
    <x v="1"/>
    <n v="1"/>
    <n v="1499"/>
    <n v="0.3"/>
    <n v="1499"/>
    <n v="449.7"/>
    <n v="1049.3"/>
    <n v="630"/>
    <n v="630"/>
    <n v="60"/>
    <n v="359.29999999999995"/>
    <n v="0.34241875536071664"/>
    <x v="1"/>
    <d v="2024-01-20T00:00:00"/>
    <n v="5"/>
    <x v="2"/>
    <n v="3"/>
    <n v="0"/>
  </r>
  <r>
    <s v="ORD-100087"/>
    <x v="14"/>
    <x v="0"/>
    <d v="2024-01-01T00:00:00"/>
    <n v="1"/>
    <s v="CUST-01094"/>
    <x v="0"/>
    <x v="12"/>
    <s v="BR"/>
    <x v="2"/>
    <s v="Patna"/>
    <x v="0"/>
    <s v="P501"/>
    <s v="Copper Water Bottle"/>
    <x v="4"/>
    <n v="2"/>
    <n v="899"/>
    <n v="0.05"/>
    <n v="1798"/>
    <n v="89.9"/>
    <n v="1708.1"/>
    <n v="378"/>
    <n v="756"/>
    <n v="60"/>
    <n v="892.09999999999991"/>
    <n v="0.52227621333645569"/>
    <x v="1"/>
    <d v="2024-01-18T00:00:00"/>
    <n v="3"/>
    <x v="0"/>
    <n v="4"/>
    <n v="0"/>
  </r>
  <r>
    <s v="ORD-100088"/>
    <x v="14"/>
    <x v="0"/>
    <d v="2024-01-01T00:00:00"/>
    <n v="1"/>
    <s v="CUST-00965"/>
    <x v="0"/>
    <x v="1"/>
    <s v="GJ"/>
    <x v="1"/>
    <s v="Ahmedabad"/>
    <x v="0"/>
    <s v="P404"/>
    <s v="Flip Flops"/>
    <x v="5"/>
    <n v="3"/>
    <n v="399"/>
    <n v="0.15"/>
    <n v="1197"/>
    <n v="179.54999999999998"/>
    <n v="1017.45"/>
    <n v="152"/>
    <n v="456"/>
    <n v="60"/>
    <n v="501.45000000000005"/>
    <n v="0.49284977148754239"/>
    <x v="2"/>
    <d v="2024-01-18T00:00:00"/>
    <n v="3"/>
    <x v="0"/>
    <n v="5"/>
    <n v="0"/>
  </r>
  <r>
    <s v="ORD-100089"/>
    <x v="14"/>
    <x v="0"/>
    <d v="2024-01-01T00:00:00"/>
    <n v="1"/>
    <s v="CUST-01084"/>
    <x v="0"/>
    <x v="2"/>
    <s v="MH"/>
    <x v="1"/>
    <s v="Nagpur"/>
    <x v="4"/>
    <s v="P104"/>
    <s v="Hydrating Face Wash"/>
    <x v="3"/>
    <n v="1"/>
    <n v="299"/>
    <n v="0"/>
    <n v="299"/>
    <n v="0"/>
    <n v="299"/>
    <n v="90"/>
    <n v="90"/>
    <n v="60"/>
    <n v="149"/>
    <n v="0.49832775919732442"/>
    <x v="0"/>
    <d v="2024-01-18T00:00:00"/>
    <n v="3"/>
    <x v="0"/>
    <n v="4"/>
    <n v="0"/>
  </r>
  <r>
    <s v="ORD-100090"/>
    <x v="14"/>
    <x v="0"/>
    <d v="2024-01-01T00:00:00"/>
    <n v="1"/>
    <s v="CUST-01492"/>
    <x v="0"/>
    <x v="2"/>
    <s v="MH"/>
    <x v="1"/>
    <s v="Nagpur"/>
    <x v="2"/>
    <s v="P101"/>
    <s v="Vitamin C Face Serum"/>
    <x v="3"/>
    <n v="1"/>
    <n v="599"/>
    <n v="0.15"/>
    <n v="599"/>
    <n v="89.85"/>
    <n v="509.15"/>
    <n v="180"/>
    <n v="180"/>
    <n v="60"/>
    <n v="269.14999999999998"/>
    <n v="0.52862614160856325"/>
    <x v="4"/>
    <d v="2024-01-19T00:00:00"/>
    <n v="4"/>
    <x v="0"/>
    <n v="4"/>
    <n v="0"/>
  </r>
  <r>
    <s v="ORD-100091"/>
    <x v="14"/>
    <x v="0"/>
    <d v="2024-01-01T00:00:00"/>
    <n v="1"/>
    <s v="CUST-01057"/>
    <x v="0"/>
    <x v="2"/>
    <s v="MH"/>
    <x v="1"/>
    <s v="Pune"/>
    <x v="1"/>
    <s v="P404"/>
    <s v="Flip Flops"/>
    <x v="5"/>
    <n v="1"/>
    <n v="399"/>
    <n v="0.05"/>
    <n v="399"/>
    <n v="19.950000000000003"/>
    <n v="379.05"/>
    <n v="152"/>
    <n v="152"/>
    <n v="60"/>
    <n v="167.05"/>
    <n v="0.44070703073473161"/>
    <x v="0"/>
    <d v="2024-01-16T00:00:00"/>
    <n v="1"/>
    <x v="1"/>
    <n v="5"/>
    <n v="0"/>
  </r>
  <r>
    <s v="ORD-100092"/>
    <x v="14"/>
    <x v="0"/>
    <d v="2024-01-01T00:00:00"/>
    <n v="1"/>
    <s v="CUST-00066"/>
    <x v="0"/>
    <x v="11"/>
    <s v="KA"/>
    <x v="3"/>
    <s v="Mysuru"/>
    <x v="1"/>
    <s v="P403"/>
    <s v="Kolhapuri Sandals"/>
    <x v="5"/>
    <n v="2"/>
    <n v="999"/>
    <n v="0.05"/>
    <n v="1998"/>
    <n v="99.9"/>
    <n v="1898.1"/>
    <n v="400"/>
    <n v="800"/>
    <n v="60"/>
    <n v="1038.0999999999999"/>
    <n v="0.54691533638902057"/>
    <x v="0"/>
    <d v="2024-01-18T00:00:00"/>
    <n v="3"/>
    <x v="0"/>
    <n v="5"/>
    <n v="0"/>
  </r>
  <r>
    <s v="ORD-100093"/>
    <x v="15"/>
    <x v="0"/>
    <d v="2024-01-01T00:00:00"/>
    <n v="1"/>
    <s v="CUST-02410"/>
    <x v="0"/>
    <x v="9"/>
    <s v="UK"/>
    <x v="0"/>
    <s v="Dehradun"/>
    <x v="2"/>
    <s v="P603"/>
    <s v="Smartwatch Strap"/>
    <x v="2"/>
    <n v="1"/>
    <n v="499"/>
    <n v="0.05"/>
    <n v="499"/>
    <n v="24.950000000000003"/>
    <n v="474.05"/>
    <n v="200"/>
    <n v="200"/>
    <n v="60"/>
    <n v="214.05"/>
    <n v="0.45153464824385614"/>
    <x v="2"/>
    <d v="2024-01-19T00:00:00"/>
    <n v="3"/>
    <x v="0"/>
    <n v="5"/>
    <n v="0"/>
  </r>
  <r>
    <s v="ORD-100094"/>
    <x v="15"/>
    <x v="0"/>
    <d v="2024-01-01T00:00:00"/>
    <n v="1"/>
    <s v="CUST-00617"/>
    <x v="0"/>
    <x v="18"/>
    <s v="WB"/>
    <x v="2"/>
    <s v="Kolkata"/>
    <x v="0"/>
    <s v="P503"/>
    <s v="Scented Candle Set"/>
    <x v="4"/>
    <n v="1"/>
    <n v="699"/>
    <n v="0.15"/>
    <n v="699"/>
    <n v="104.85"/>
    <n v="594.15"/>
    <n v="245"/>
    <n v="245"/>
    <n v="60"/>
    <n v="289.14999999999998"/>
    <n v="0.48666161743667424"/>
    <x v="0"/>
    <d v="2024-01-21T00:00:00"/>
    <n v="5"/>
    <x v="2"/>
    <m/>
    <n v="0"/>
  </r>
  <r>
    <s v="ORD-100095"/>
    <x v="15"/>
    <x v="0"/>
    <d v="2024-01-01T00:00:00"/>
    <n v="1"/>
    <s v="CUST-02375"/>
    <x v="0"/>
    <x v="2"/>
    <s v="MH"/>
    <x v="1"/>
    <s v="Pune"/>
    <x v="0"/>
    <s v="P301"/>
    <s v="Cotton Oversized T-Shirt"/>
    <x v="1"/>
    <n v="2"/>
    <n v="799"/>
    <n v="0.1"/>
    <n v="1598"/>
    <n v="159.80000000000001"/>
    <n v="1438.2"/>
    <n v="320"/>
    <n v="640"/>
    <n v="60"/>
    <n v="738.2"/>
    <n v="0.51328048950076488"/>
    <x v="3"/>
    <d v="2024-01-19T00:00:00"/>
    <n v="3"/>
    <x v="0"/>
    <m/>
    <n v="0"/>
  </r>
  <r>
    <s v="ORD-100096"/>
    <x v="15"/>
    <x v="0"/>
    <d v="2024-01-01T00:00:00"/>
    <n v="1"/>
    <s v="CUST-02021"/>
    <x v="0"/>
    <x v="11"/>
    <s v="KA"/>
    <x v="3"/>
    <s v="Bengaluru"/>
    <x v="0"/>
    <s v="P102"/>
    <s v="Sunscreen SPF 50"/>
    <x v="3"/>
    <n v="2"/>
    <n v="449"/>
    <n v="0.1"/>
    <n v="898"/>
    <n v="89.800000000000011"/>
    <n v="808.2"/>
    <n v="144"/>
    <n v="288"/>
    <n v="60"/>
    <n v="460.20000000000005"/>
    <n v="0.56941351150705277"/>
    <x v="0"/>
    <d v="2024-01-17T00:00:00"/>
    <n v="1"/>
    <x v="1"/>
    <m/>
    <n v="0"/>
  </r>
  <r>
    <s v="ORD-100097"/>
    <x v="16"/>
    <x v="0"/>
    <d v="2024-01-01T00:00:00"/>
    <n v="1"/>
    <s v="CUST-00899"/>
    <x v="0"/>
    <x v="2"/>
    <s v="MH"/>
    <x v="1"/>
    <s v="Pune"/>
    <x v="2"/>
    <s v="P303"/>
    <s v="Joggers"/>
    <x v="1"/>
    <n v="4"/>
    <n v="1199"/>
    <n v="0.05"/>
    <n v="4796"/>
    <n v="239.8"/>
    <n v="4556.2"/>
    <n v="492"/>
    <n v="1968"/>
    <n v="60"/>
    <n v="2528.1999999999998"/>
    <n v="0.55489223475703431"/>
    <x v="1"/>
    <d v="2024-01-21T00:00:00"/>
    <n v="4"/>
    <x v="0"/>
    <m/>
    <n v="0"/>
  </r>
  <r>
    <s v="ORD-100098"/>
    <x v="17"/>
    <x v="0"/>
    <d v="2024-01-01T00:00:00"/>
    <n v="1"/>
    <s v="CUST-00130"/>
    <x v="0"/>
    <x v="9"/>
    <s v="UK"/>
    <x v="0"/>
    <s v="Dehradun"/>
    <x v="3"/>
    <s v="P701"/>
    <s v="Ashwagandha Capsules"/>
    <x v="0"/>
    <n v="3"/>
    <n v="499"/>
    <n v="0"/>
    <n v="1497"/>
    <n v="0"/>
    <n v="1497"/>
    <n v="150"/>
    <n v="450"/>
    <n v="60"/>
    <n v="987"/>
    <n v="0.65931863727454909"/>
    <x v="0"/>
    <d v="2024-01-24T00:00:00"/>
    <n v="6"/>
    <x v="2"/>
    <n v="4"/>
    <n v="0"/>
  </r>
  <r>
    <s v="ORD-100099"/>
    <x v="17"/>
    <x v="0"/>
    <d v="2024-01-01T00:00:00"/>
    <n v="1"/>
    <s v="CUST-00337"/>
    <x v="0"/>
    <x v="6"/>
    <s v="DL"/>
    <x v="0"/>
    <s v="New Delhi"/>
    <x v="4"/>
    <s v="P402"/>
    <s v="Casual Sneakers"/>
    <x v="5"/>
    <n v="2"/>
    <n v="2199"/>
    <n v="0.2"/>
    <n v="4398"/>
    <n v="879.6"/>
    <n v="3518.4"/>
    <n v="1034"/>
    <n v="2068"/>
    <n v="60"/>
    <n v="1390.4"/>
    <n v="0.39517962710322874"/>
    <x v="0"/>
    <d v="2024-01-20T00:00:00"/>
    <n v="2"/>
    <x v="1"/>
    <n v="5"/>
    <n v="0"/>
  </r>
  <r>
    <s v="ORD-100100"/>
    <x v="17"/>
    <x v="0"/>
    <d v="2024-01-01T00:00:00"/>
    <n v="1"/>
    <s v="CUST-01827"/>
    <x v="0"/>
    <x v="7"/>
    <s v="JH"/>
    <x v="2"/>
    <s v="Ranchi"/>
    <x v="0"/>
    <s v="P401"/>
    <s v="Running Shoes"/>
    <x v="5"/>
    <n v="2"/>
    <n v="2999"/>
    <n v="0.25"/>
    <n v="5998"/>
    <n v="1499.5"/>
    <n v="4498.5"/>
    <n v="1440"/>
    <n v="2880"/>
    <n v="60"/>
    <n v="1558.5"/>
    <n v="0.34644881627209068"/>
    <x v="0"/>
    <d v="2024-01-23T00:00:00"/>
    <n v="5"/>
    <x v="2"/>
    <n v="3"/>
    <n v="0"/>
  </r>
  <r>
    <s v="ORD-100101"/>
    <x v="17"/>
    <x v="0"/>
    <d v="2024-01-01T00:00:00"/>
    <n v="1"/>
    <s v="CUST-00905"/>
    <x v="0"/>
    <x v="3"/>
    <s v="OD"/>
    <x v="2"/>
    <s v="Bhubaneswar"/>
    <x v="0"/>
    <s v="P105"/>
    <s v="Retinol Night Cream"/>
    <x v="3"/>
    <n v="2"/>
    <n v="799"/>
    <n v="0.15"/>
    <n v="1598"/>
    <n v="239.7"/>
    <n v="1358.3"/>
    <n v="216"/>
    <n v="432"/>
    <n v="60"/>
    <n v="866.3"/>
    <n v="0.63778252227048515"/>
    <x v="0"/>
    <d v="2024-01-24T00:00:00"/>
    <n v="6"/>
    <x v="2"/>
    <m/>
    <n v="0"/>
  </r>
  <r>
    <s v="ORD-100102"/>
    <x v="17"/>
    <x v="0"/>
    <d v="2024-01-01T00:00:00"/>
    <n v="1"/>
    <s v="CUST-00007"/>
    <x v="0"/>
    <x v="3"/>
    <s v="OD"/>
    <x v="2"/>
    <s v="Bhubaneswar"/>
    <x v="4"/>
    <s v="P103"/>
    <s v="Niacinamide Toner"/>
    <x v="3"/>
    <n v="1"/>
    <n v="399"/>
    <n v="0.2"/>
    <n v="399"/>
    <n v="79.800000000000011"/>
    <n v="319.2"/>
    <n v="112"/>
    <n v="112"/>
    <n v="120"/>
    <n v="87.199999999999989"/>
    <n v="0.27318295739348369"/>
    <x v="1"/>
    <d v="2024-01-21T00:00:00"/>
    <n v="3"/>
    <x v="0"/>
    <n v="3"/>
    <n v="1"/>
  </r>
  <r>
    <s v="ORD-100103"/>
    <x v="17"/>
    <x v="0"/>
    <d v="2024-01-01T00:00:00"/>
    <n v="1"/>
    <s v="CUST-02944"/>
    <x v="0"/>
    <x v="11"/>
    <s v="KA"/>
    <x v="3"/>
    <s v="Mysuru"/>
    <x v="0"/>
    <s v="P701"/>
    <s v="Ashwagandha Capsules"/>
    <x v="0"/>
    <n v="1"/>
    <n v="499"/>
    <n v="0"/>
    <n v="499"/>
    <n v="0"/>
    <n v="499"/>
    <n v="150"/>
    <n v="150"/>
    <n v="60"/>
    <n v="289"/>
    <n v="0.57915831663326656"/>
    <x v="4"/>
    <d v="2024-01-19T00:00:00"/>
    <n v="1"/>
    <x v="1"/>
    <n v="5"/>
    <n v="0"/>
  </r>
  <r>
    <s v="ORD-100104"/>
    <x v="18"/>
    <x v="0"/>
    <d v="2024-01-01T00:00:00"/>
    <n v="1"/>
    <s v="CUST-01752"/>
    <x v="0"/>
    <x v="4"/>
    <s v="JK"/>
    <x v="0"/>
    <s v="Jammu"/>
    <x v="4"/>
    <s v="P105"/>
    <s v="Retinol Night Cream"/>
    <x v="3"/>
    <n v="1"/>
    <n v="799"/>
    <n v="0"/>
    <n v="799"/>
    <n v="0"/>
    <n v="799"/>
    <n v="216"/>
    <n v="216"/>
    <n v="120"/>
    <n v="463"/>
    <n v="0.57947434292866085"/>
    <x v="0"/>
    <d v="2024-01-25T00:00:00"/>
    <n v="6"/>
    <x v="2"/>
    <n v="4"/>
    <n v="1"/>
  </r>
  <r>
    <s v="ORD-100105"/>
    <x v="18"/>
    <x v="0"/>
    <d v="2024-01-01T00:00:00"/>
    <n v="1"/>
    <s v="CUST-01009"/>
    <x v="0"/>
    <x v="16"/>
    <s v="UP"/>
    <x v="0"/>
    <s v="Noida"/>
    <x v="1"/>
    <s v="P403"/>
    <s v="Kolhapuri Sandals"/>
    <x v="5"/>
    <n v="3"/>
    <n v="999"/>
    <n v="0.15"/>
    <n v="2997"/>
    <n v="449.55"/>
    <n v="2547.4499999999998"/>
    <n v="400"/>
    <n v="1200"/>
    <n v="60"/>
    <n v="1287.4499999999998"/>
    <n v="0.50538774068185832"/>
    <x v="0"/>
    <d v="2024-01-20T00:00:00"/>
    <n v="1"/>
    <x v="1"/>
    <n v="5"/>
    <n v="0"/>
  </r>
  <r>
    <s v="ORD-100106"/>
    <x v="18"/>
    <x v="0"/>
    <d v="2024-01-01T00:00:00"/>
    <n v="1"/>
    <s v="CUST-01600"/>
    <x v="0"/>
    <x v="16"/>
    <s v="UP"/>
    <x v="0"/>
    <s v="Noida"/>
    <x v="0"/>
    <s v="P101"/>
    <s v="Vitamin C Face Serum"/>
    <x v="3"/>
    <n v="1"/>
    <n v="599"/>
    <n v="0.25"/>
    <n v="599"/>
    <n v="149.75"/>
    <n v="449.25"/>
    <n v="180"/>
    <n v="180"/>
    <n v="120"/>
    <n v="149.25"/>
    <n v="0.332220367278798"/>
    <x v="0"/>
    <d v="2024-01-23T00:00:00"/>
    <n v="4"/>
    <x v="0"/>
    <n v="4"/>
    <n v="1"/>
  </r>
  <r>
    <s v="ORD-100107"/>
    <x v="18"/>
    <x v="0"/>
    <d v="2024-01-01T00:00:00"/>
    <n v="1"/>
    <s v="CUST-01667"/>
    <x v="0"/>
    <x v="2"/>
    <s v="MH"/>
    <x v="1"/>
    <s v="Mumbai"/>
    <x v="4"/>
    <s v="P703"/>
    <s v="Green Tea (100 bags)"/>
    <x v="0"/>
    <n v="2"/>
    <n v="399"/>
    <n v="0.35"/>
    <n v="798"/>
    <n v="279.29999999999995"/>
    <n v="518.70000000000005"/>
    <n v="128"/>
    <n v="256"/>
    <n v="60"/>
    <n v="202.70000000000005"/>
    <n v="0.39078465394254874"/>
    <x v="1"/>
    <d v="2024-01-21T00:00:00"/>
    <n v="2"/>
    <x v="1"/>
    <n v="4"/>
    <n v="0"/>
  </r>
  <r>
    <s v="ORD-100108"/>
    <x v="18"/>
    <x v="0"/>
    <d v="2024-01-01T00:00:00"/>
    <n v="1"/>
    <s v="CUST-00240"/>
    <x v="0"/>
    <x v="11"/>
    <s v="KA"/>
    <x v="3"/>
    <s v="Bengaluru"/>
    <x v="3"/>
    <s v="P204"/>
    <s v="Anti-Dandruff Conditioner"/>
    <x v="6"/>
    <n v="2"/>
    <n v="399"/>
    <n v="0.3"/>
    <n v="798"/>
    <n v="239.39999999999998"/>
    <n v="558.6"/>
    <n v="136"/>
    <n v="272"/>
    <n v="60"/>
    <n v="226.60000000000002"/>
    <n v="0.40565699964196206"/>
    <x v="3"/>
    <d v="2024-01-22T00:00:00"/>
    <n v="3"/>
    <x v="0"/>
    <n v="5"/>
    <n v="0"/>
  </r>
  <r>
    <s v="ORD-100109"/>
    <x v="18"/>
    <x v="0"/>
    <d v="2024-01-01T00:00:00"/>
    <n v="1"/>
    <s v="CUST-00745"/>
    <x v="0"/>
    <x v="11"/>
    <s v="KA"/>
    <x v="3"/>
    <s v="Bengaluru"/>
    <x v="3"/>
    <s v="P102"/>
    <s v="Sunscreen SPF 50"/>
    <x v="3"/>
    <n v="1"/>
    <n v="449"/>
    <n v="0.05"/>
    <n v="449"/>
    <n v="22.450000000000003"/>
    <n v="426.55"/>
    <n v="144"/>
    <n v="144"/>
    <n v="60"/>
    <n v="222.55"/>
    <n v="0.52174422693705313"/>
    <x v="4"/>
    <d v="2024-01-21T00:00:00"/>
    <n v="2"/>
    <x v="1"/>
    <n v="3"/>
    <n v="0"/>
  </r>
  <r>
    <s v="ORD-100110"/>
    <x v="18"/>
    <x v="0"/>
    <d v="2024-01-01T00:00:00"/>
    <n v="1"/>
    <s v="CUST-00400"/>
    <x v="0"/>
    <x v="8"/>
    <s v="AP"/>
    <x v="3"/>
    <s v="Visakhapatnam"/>
    <x v="0"/>
    <s v="P404"/>
    <s v="Flip Flops"/>
    <x v="5"/>
    <n v="1"/>
    <n v="399"/>
    <n v="0.1"/>
    <n v="399"/>
    <n v="39.900000000000006"/>
    <n v="359.1"/>
    <n v="152"/>
    <n v="152"/>
    <n v="60"/>
    <n v="147.10000000000002"/>
    <n v="0.40963519910888335"/>
    <x v="1"/>
    <d v="2024-01-21T00:00:00"/>
    <n v="2"/>
    <x v="1"/>
    <n v="5"/>
    <n v="0"/>
  </r>
  <r>
    <s v="ORD-100111"/>
    <x v="19"/>
    <x v="0"/>
    <d v="2024-01-01T00:00:00"/>
    <n v="1"/>
    <s v="CUST-01892"/>
    <x v="0"/>
    <x v="0"/>
    <s v="RJ"/>
    <x v="0"/>
    <s v="Jaipur"/>
    <x v="0"/>
    <s v="P103"/>
    <s v="Niacinamide Toner"/>
    <x v="3"/>
    <n v="1"/>
    <n v="399"/>
    <n v="0.2"/>
    <n v="399"/>
    <n v="79.800000000000011"/>
    <n v="319.2"/>
    <n v="112"/>
    <n v="112"/>
    <n v="60"/>
    <n v="147.19999999999999"/>
    <n v="0.46115288220551376"/>
    <x v="1"/>
    <d v="2024-01-26T00:00:00"/>
    <n v="6"/>
    <x v="2"/>
    <n v="3"/>
    <n v="0"/>
  </r>
  <r>
    <s v="ORD-100112"/>
    <x v="19"/>
    <x v="0"/>
    <d v="2024-01-01T00:00:00"/>
    <n v="1"/>
    <s v="CUST-00725"/>
    <x v="0"/>
    <x v="0"/>
    <s v="RJ"/>
    <x v="0"/>
    <s v="Udaipur"/>
    <x v="2"/>
    <s v="P103"/>
    <s v="Niacinamide Toner"/>
    <x v="3"/>
    <n v="1"/>
    <n v="399"/>
    <n v="0.2"/>
    <n v="399"/>
    <n v="79.800000000000011"/>
    <n v="319.2"/>
    <n v="112"/>
    <n v="112"/>
    <n v="60"/>
    <n v="147.19999999999999"/>
    <n v="0.46115288220551376"/>
    <x v="3"/>
    <d v="2024-01-25T00:00:00"/>
    <n v="5"/>
    <x v="2"/>
    <n v="3"/>
    <n v="0"/>
  </r>
  <r>
    <s v="ORD-100113"/>
    <x v="19"/>
    <x v="0"/>
    <d v="2024-01-01T00:00:00"/>
    <n v="1"/>
    <s v="CUST-02897"/>
    <x v="0"/>
    <x v="16"/>
    <s v="UP"/>
    <x v="0"/>
    <s v="Noida"/>
    <x v="2"/>
    <s v="P703"/>
    <s v="Green Tea (100 bags)"/>
    <x v="0"/>
    <n v="3"/>
    <n v="399"/>
    <n v="0.4"/>
    <n v="1197"/>
    <n v="478.8"/>
    <n v="718.2"/>
    <n v="128"/>
    <n v="384"/>
    <n v="60"/>
    <n v="274.20000000000005"/>
    <n v="0.38178780284043445"/>
    <x v="0"/>
    <d v="2024-01-24T00:00:00"/>
    <n v="4"/>
    <x v="0"/>
    <n v="4"/>
    <n v="0"/>
  </r>
  <r>
    <s v="ORD-100114"/>
    <x v="19"/>
    <x v="0"/>
    <d v="2024-01-01T00:00:00"/>
    <n v="1"/>
    <s v="CUST-00763"/>
    <x v="0"/>
    <x v="11"/>
    <s v="KA"/>
    <x v="3"/>
    <s v="Mysuru"/>
    <x v="1"/>
    <s v="P404"/>
    <s v="Flip Flops"/>
    <x v="5"/>
    <n v="1"/>
    <n v="399"/>
    <n v="0.1"/>
    <n v="399"/>
    <n v="39.900000000000006"/>
    <n v="359.1"/>
    <n v="152"/>
    <n v="152"/>
    <n v="60"/>
    <n v="147.10000000000002"/>
    <n v="0.40963519910888335"/>
    <x v="3"/>
    <d v="2024-01-22T00:00:00"/>
    <n v="2"/>
    <x v="1"/>
    <m/>
    <n v="0"/>
  </r>
  <r>
    <s v="ORD-100115"/>
    <x v="19"/>
    <x v="0"/>
    <d v="2024-01-01T00:00:00"/>
    <n v="1"/>
    <s v="CUST-00799"/>
    <x v="0"/>
    <x v="11"/>
    <s v="KA"/>
    <x v="3"/>
    <s v="Bengaluru"/>
    <x v="2"/>
    <s v="P703"/>
    <s v="Green Tea (100 bags)"/>
    <x v="0"/>
    <n v="1"/>
    <n v="399"/>
    <n v="0.35"/>
    <n v="399"/>
    <n v="139.64999999999998"/>
    <n v="259.35000000000002"/>
    <n v="128"/>
    <n v="128"/>
    <n v="60"/>
    <n v="71.350000000000023"/>
    <n v="0.27511085405822255"/>
    <x v="0"/>
    <d v="2024-01-23T00:00:00"/>
    <n v="3"/>
    <x v="0"/>
    <m/>
    <n v="0"/>
  </r>
  <r>
    <s v="ORD-100116"/>
    <x v="20"/>
    <x v="0"/>
    <d v="2024-01-01T00:00:00"/>
    <n v="1"/>
    <s v="CUST-00298"/>
    <x v="0"/>
    <x v="15"/>
    <s v="HR"/>
    <x v="0"/>
    <s v="Faridabad"/>
    <x v="4"/>
    <s v="P603"/>
    <s v="Smartwatch Strap"/>
    <x v="2"/>
    <n v="4"/>
    <n v="499"/>
    <n v="0.1"/>
    <n v="1996"/>
    <n v="199.60000000000002"/>
    <n v="1796.4"/>
    <n v="200"/>
    <n v="800"/>
    <n v="60"/>
    <n v="936.40000000000009"/>
    <n v="0.52126475172567355"/>
    <x v="0"/>
    <d v="2024-01-25T00:00:00"/>
    <n v="4"/>
    <x v="0"/>
    <n v="4"/>
    <n v="0"/>
  </r>
  <r>
    <s v="ORD-100117"/>
    <x v="20"/>
    <x v="0"/>
    <d v="2024-01-01T00:00:00"/>
    <n v="1"/>
    <s v="CUST-00173"/>
    <x v="0"/>
    <x v="6"/>
    <s v="DL"/>
    <x v="0"/>
    <s v="New Delhi"/>
    <x v="3"/>
    <s v="P102"/>
    <s v="Sunscreen SPF 50"/>
    <x v="3"/>
    <n v="1"/>
    <n v="449"/>
    <n v="0.15"/>
    <n v="449"/>
    <n v="67.349999999999994"/>
    <n v="381.65"/>
    <n v="144"/>
    <n v="144"/>
    <n v="120"/>
    <n v="117.64999999999998"/>
    <n v="0.30826673653871345"/>
    <x v="3"/>
    <d v="2024-01-22T00:00:00"/>
    <n v="1"/>
    <x v="1"/>
    <m/>
    <n v="1"/>
  </r>
  <r>
    <s v="ORD-100118"/>
    <x v="20"/>
    <x v="0"/>
    <d v="2024-01-01T00:00:00"/>
    <n v="1"/>
    <s v="CUST-00423"/>
    <x v="0"/>
    <x v="22"/>
    <s v="AS"/>
    <x v="2"/>
    <s v="Guwahati"/>
    <x v="0"/>
    <s v="P101"/>
    <s v="Vitamin C Face Serum"/>
    <x v="3"/>
    <n v="1"/>
    <n v="599"/>
    <n v="0.15"/>
    <n v="599"/>
    <n v="89.85"/>
    <n v="509.15"/>
    <n v="180"/>
    <n v="180"/>
    <n v="60"/>
    <n v="269.14999999999998"/>
    <n v="0.52862614160856325"/>
    <x v="4"/>
    <d v="2024-01-27T00:00:00"/>
    <n v="6"/>
    <x v="2"/>
    <m/>
    <n v="0"/>
  </r>
  <r>
    <s v="ORD-100119"/>
    <x v="20"/>
    <x v="0"/>
    <d v="2024-01-01T00:00:00"/>
    <n v="1"/>
    <s v="CUST-00985"/>
    <x v="0"/>
    <x v="13"/>
    <s v="MP"/>
    <x v="1"/>
    <s v="Indore"/>
    <x v="3"/>
    <s v="P701"/>
    <s v="Ashwagandha Capsules"/>
    <x v="0"/>
    <n v="1"/>
    <n v="499"/>
    <n v="0.1"/>
    <n v="499"/>
    <n v="49.900000000000006"/>
    <n v="449.1"/>
    <n v="150"/>
    <n v="150"/>
    <n v="60"/>
    <n v="239.10000000000002"/>
    <n v="0.53239812959251842"/>
    <x v="2"/>
    <d v="2024-01-26T00:00:00"/>
    <n v="5"/>
    <x v="2"/>
    <n v="3"/>
    <n v="0"/>
  </r>
  <r>
    <s v="ORD-100120"/>
    <x v="20"/>
    <x v="0"/>
    <d v="2024-01-01T00:00:00"/>
    <n v="1"/>
    <s v="CUST-00721"/>
    <x v="0"/>
    <x v="13"/>
    <s v="MP"/>
    <x v="1"/>
    <s v="Bhopal"/>
    <x v="3"/>
    <s v="P704"/>
    <s v="Multivitamin Gummies"/>
    <x v="0"/>
    <n v="2"/>
    <n v="699"/>
    <n v="0.2"/>
    <n v="1398"/>
    <n v="279.60000000000002"/>
    <n v="1118.4000000000001"/>
    <n v="238"/>
    <n v="476"/>
    <n v="60"/>
    <n v="582.40000000000009"/>
    <n v="0.5207439198855508"/>
    <x v="0"/>
    <d v="2024-01-23T00:00:00"/>
    <n v="2"/>
    <x v="1"/>
    <n v="5"/>
    <n v="0"/>
  </r>
  <r>
    <s v="ORD-100121"/>
    <x v="20"/>
    <x v="0"/>
    <d v="2024-01-01T00:00:00"/>
    <n v="1"/>
    <s v="CUST-00739"/>
    <x v="0"/>
    <x v="13"/>
    <s v="MP"/>
    <x v="1"/>
    <s v="Bhopal"/>
    <x v="4"/>
    <s v="P204"/>
    <s v="Anti-Dandruff Conditioner"/>
    <x v="6"/>
    <n v="2"/>
    <n v="399"/>
    <n v="0.3"/>
    <n v="798"/>
    <n v="239.39999999999998"/>
    <n v="558.6"/>
    <n v="136"/>
    <n v="272"/>
    <n v="60"/>
    <n v="226.60000000000002"/>
    <n v="0.40565699964196206"/>
    <x v="1"/>
    <d v="2024-01-24T00:00:00"/>
    <n v="3"/>
    <x v="0"/>
    <n v="4"/>
    <n v="0"/>
  </r>
  <r>
    <s v="ORD-100122"/>
    <x v="20"/>
    <x v="0"/>
    <d v="2024-01-01T00:00:00"/>
    <n v="1"/>
    <s v="CUST-00677"/>
    <x v="0"/>
    <x v="18"/>
    <s v="WB"/>
    <x v="2"/>
    <s v="Kolkata"/>
    <x v="4"/>
    <s v="P101"/>
    <s v="Vitamin C Face Serum"/>
    <x v="3"/>
    <n v="1"/>
    <n v="599"/>
    <n v="0.15"/>
    <n v="599"/>
    <n v="89.85"/>
    <n v="509.15"/>
    <n v="180"/>
    <n v="180"/>
    <n v="60"/>
    <n v="269.14999999999998"/>
    <n v="0.52862614160856325"/>
    <x v="0"/>
    <d v="2024-01-26T00:00:00"/>
    <n v="5"/>
    <x v="2"/>
    <n v="4"/>
    <n v="0"/>
  </r>
  <r>
    <s v="ORD-100123"/>
    <x v="20"/>
    <x v="0"/>
    <d v="2024-01-01T00:00:00"/>
    <n v="1"/>
    <s v="CUST-00341"/>
    <x v="0"/>
    <x v="2"/>
    <s v="MH"/>
    <x v="1"/>
    <s v="Nagpur"/>
    <x v="0"/>
    <s v="P202"/>
    <s v="Argan Shampoo"/>
    <x v="6"/>
    <n v="2"/>
    <n v="449"/>
    <n v="0"/>
    <n v="898"/>
    <n v="0"/>
    <n v="898"/>
    <n v="148"/>
    <n v="296"/>
    <n v="60"/>
    <n v="542"/>
    <n v="0.60356347438752789"/>
    <x v="2"/>
    <d v="2024-01-23T00:00:00"/>
    <n v="2"/>
    <x v="1"/>
    <n v="3"/>
    <n v="0"/>
  </r>
  <r>
    <s v="ORD-100124"/>
    <x v="20"/>
    <x v="0"/>
    <d v="2024-01-01T00:00:00"/>
    <n v="1"/>
    <s v="CUST-00022"/>
    <x v="0"/>
    <x v="17"/>
    <s v="TN"/>
    <x v="3"/>
    <s v="Coimbatore"/>
    <x v="4"/>
    <s v="P701"/>
    <s v="Ashwagandha Capsules"/>
    <x v="0"/>
    <n v="2"/>
    <n v="499"/>
    <n v="0.1"/>
    <n v="998"/>
    <n v="99.800000000000011"/>
    <n v="898.2"/>
    <n v="150"/>
    <n v="300"/>
    <n v="60"/>
    <n v="538.20000000000005"/>
    <n v="0.59919839679358722"/>
    <x v="3"/>
    <d v="2024-01-24T00:00:00"/>
    <n v="3"/>
    <x v="0"/>
    <n v="4"/>
    <n v="0"/>
  </r>
  <r>
    <s v="ORD-100125"/>
    <x v="20"/>
    <x v="0"/>
    <d v="2024-01-01T00:00:00"/>
    <n v="1"/>
    <s v="CUST-01905"/>
    <x v="0"/>
    <x v="17"/>
    <s v="TN"/>
    <x v="3"/>
    <s v="Coimbatore"/>
    <x v="3"/>
    <s v="P704"/>
    <s v="Multivitamin Gummies"/>
    <x v="0"/>
    <n v="1"/>
    <n v="699"/>
    <n v="0.15"/>
    <n v="699"/>
    <n v="104.85"/>
    <n v="594.15"/>
    <n v="238"/>
    <n v="238"/>
    <n v="60"/>
    <n v="296.14999999999998"/>
    <n v="0.49844315408566858"/>
    <x v="4"/>
    <d v="2024-01-25T00:00:00"/>
    <n v="4"/>
    <x v="0"/>
    <n v="4"/>
    <n v="0"/>
  </r>
  <r>
    <s v="ORD-100126"/>
    <x v="21"/>
    <x v="0"/>
    <d v="2024-01-01T00:00:00"/>
    <n v="1"/>
    <s v="CUST-01846"/>
    <x v="0"/>
    <x v="16"/>
    <s v="UP"/>
    <x v="0"/>
    <s v="Noida"/>
    <x v="4"/>
    <s v="P603"/>
    <s v="Smartwatch Strap"/>
    <x v="2"/>
    <n v="2"/>
    <n v="499"/>
    <n v="0.1"/>
    <n v="998"/>
    <n v="99.800000000000011"/>
    <n v="898.2"/>
    <n v="200"/>
    <n v="400"/>
    <n v="60"/>
    <n v="438.20000000000005"/>
    <n v="0.4878646181251392"/>
    <x v="0"/>
    <d v="2024-01-24T00:00:00"/>
    <n v="2"/>
    <x v="1"/>
    <n v="5"/>
    <n v="0"/>
  </r>
  <r>
    <s v="ORD-100127"/>
    <x v="21"/>
    <x v="0"/>
    <d v="2024-01-01T00:00:00"/>
    <n v="1"/>
    <s v="CUST-00431"/>
    <x v="0"/>
    <x v="16"/>
    <s v="UP"/>
    <x v="0"/>
    <s v="Kanpur"/>
    <x v="1"/>
    <s v="P302"/>
    <s v="Linen Kurta"/>
    <x v="1"/>
    <n v="2"/>
    <n v="1499"/>
    <n v="0.25"/>
    <n v="2998"/>
    <n v="749.5"/>
    <n v="2248.5"/>
    <n v="630"/>
    <n v="1260"/>
    <n v="60"/>
    <n v="928.5"/>
    <n v="0.41294196130753835"/>
    <x v="0"/>
    <d v="2024-01-25T00:00:00"/>
    <n v="3"/>
    <x v="0"/>
    <m/>
    <n v="0"/>
  </r>
  <r>
    <s v="ORD-100128"/>
    <x v="21"/>
    <x v="0"/>
    <d v="2024-01-01T00:00:00"/>
    <n v="1"/>
    <s v="CUST-00457"/>
    <x v="0"/>
    <x v="12"/>
    <s v="BR"/>
    <x v="2"/>
    <s v="Patna"/>
    <x v="1"/>
    <s v="P404"/>
    <s v="Flip Flops"/>
    <x v="5"/>
    <n v="1"/>
    <n v="399"/>
    <n v="0.15"/>
    <n v="399"/>
    <n v="59.849999999999994"/>
    <n v="339.15"/>
    <n v="152"/>
    <n v="152"/>
    <n v="60"/>
    <n v="127.14999999999998"/>
    <n v="0.37490785787999409"/>
    <x v="0"/>
    <d v="2024-01-28T00:00:00"/>
    <n v="6"/>
    <x v="2"/>
    <n v="4"/>
    <n v="0"/>
  </r>
  <r>
    <s v="ORD-100129"/>
    <x v="21"/>
    <x v="0"/>
    <d v="2024-01-01T00:00:00"/>
    <n v="1"/>
    <s v="CUST-00660"/>
    <x v="1"/>
    <x v="13"/>
    <s v="MP"/>
    <x v="1"/>
    <s v="Indore"/>
    <x v="0"/>
    <s v="P701"/>
    <s v="Ashwagandha Capsules"/>
    <x v="0"/>
    <n v="3"/>
    <n v="499"/>
    <n v="0.1"/>
    <n v="1497"/>
    <n v="149.70000000000002"/>
    <n v="1347.3"/>
    <n v="150"/>
    <n v="450"/>
    <n v="60"/>
    <n v="837.3"/>
    <n v="0.62146515252727674"/>
    <x v="3"/>
    <d v="2024-01-24T00:00:00"/>
    <n v="2"/>
    <x v="1"/>
    <n v="5"/>
    <n v="0"/>
  </r>
  <r>
    <s v="ORD-100130"/>
    <x v="21"/>
    <x v="0"/>
    <d v="2024-01-01T00:00:00"/>
    <n v="1"/>
    <s v="CUST-01916"/>
    <x v="0"/>
    <x v="13"/>
    <s v="MP"/>
    <x v="1"/>
    <s v="Bhopal"/>
    <x v="2"/>
    <s v="P204"/>
    <s v="Anti-Dandruff Conditioner"/>
    <x v="6"/>
    <n v="5"/>
    <n v="399"/>
    <n v="0.3"/>
    <n v="1995"/>
    <n v="598.5"/>
    <n v="1396.5"/>
    <n v="136"/>
    <n v="680"/>
    <n v="60"/>
    <n v="656.5"/>
    <n v="0.47010383100608666"/>
    <x v="0"/>
    <d v="2024-01-27T00:00:00"/>
    <n v="5"/>
    <x v="2"/>
    <m/>
    <n v="0"/>
  </r>
  <r>
    <s v="ORD-100131"/>
    <x v="21"/>
    <x v="0"/>
    <d v="2024-01-01T00:00:00"/>
    <n v="1"/>
    <s v="CUST-00240"/>
    <x v="1"/>
    <x v="7"/>
    <s v="JH"/>
    <x v="2"/>
    <s v="Ranchi"/>
    <x v="0"/>
    <s v="P504"/>
    <s v="Cotton Bedsheet"/>
    <x v="4"/>
    <n v="2"/>
    <n v="1299"/>
    <n v="0"/>
    <n v="2598"/>
    <n v="0"/>
    <n v="2598"/>
    <n v="585"/>
    <n v="1170"/>
    <n v="120"/>
    <n v="1308"/>
    <n v="0.50346420323325636"/>
    <x v="0"/>
    <d v="2024-01-26T00:00:00"/>
    <n v="4"/>
    <x v="0"/>
    <m/>
    <n v="1"/>
  </r>
  <r>
    <s v="ORD-100132"/>
    <x v="21"/>
    <x v="0"/>
    <d v="2024-01-01T00:00:00"/>
    <n v="1"/>
    <s v="CUST-01048"/>
    <x v="0"/>
    <x v="2"/>
    <s v="MH"/>
    <x v="1"/>
    <s v="Nagpur"/>
    <x v="0"/>
    <s v="P701"/>
    <s v="Ashwagandha Capsules"/>
    <x v="0"/>
    <n v="1"/>
    <n v="499"/>
    <n v="0.05"/>
    <n v="499"/>
    <n v="24.950000000000003"/>
    <n v="474.05"/>
    <n v="150"/>
    <n v="150"/>
    <n v="60"/>
    <n v="264.05"/>
    <n v="0.55700875435080688"/>
    <x v="0"/>
    <d v="2024-01-25T00:00:00"/>
    <n v="3"/>
    <x v="0"/>
    <n v="4"/>
    <n v="0"/>
  </r>
  <r>
    <s v="ORD-100133"/>
    <x v="21"/>
    <x v="0"/>
    <d v="2024-01-01T00:00:00"/>
    <n v="1"/>
    <s v="CUST-00625"/>
    <x v="0"/>
    <x v="8"/>
    <s v="AP"/>
    <x v="3"/>
    <s v="Visakhapatnam"/>
    <x v="2"/>
    <s v="P101"/>
    <s v="Vitamin C Face Serum"/>
    <x v="3"/>
    <n v="2"/>
    <n v="599"/>
    <n v="0.05"/>
    <n v="1198"/>
    <n v="59.900000000000006"/>
    <n v="1138.0999999999999"/>
    <n v="180"/>
    <n v="360"/>
    <n v="60"/>
    <n v="718.09999999999991"/>
    <n v="0.63096388718038832"/>
    <x v="0"/>
    <d v="2024-01-24T00:00:00"/>
    <n v="2"/>
    <x v="1"/>
    <m/>
    <n v="0"/>
  </r>
  <r>
    <s v="ORD-100134"/>
    <x v="21"/>
    <x v="0"/>
    <d v="2024-01-01T00:00:00"/>
    <n v="1"/>
    <s v="CUST-00831"/>
    <x v="0"/>
    <x v="17"/>
    <s v="TN"/>
    <x v="3"/>
    <s v="Coimbatore"/>
    <x v="0"/>
    <s v="P504"/>
    <s v="Cotton Bedsheet"/>
    <x v="4"/>
    <n v="1"/>
    <n v="1299"/>
    <n v="0"/>
    <n v="1299"/>
    <n v="0"/>
    <n v="1299"/>
    <n v="585"/>
    <n v="585"/>
    <n v="60"/>
    <n v="654"/>
    <n v="0.50346420323325636"/>
    <x v="1"/>
    <d v="2024-01-25T00:00:00"/>
    <n v="3"/>
    <x v="0"/>
    <m/>
    <n v="0"/>
  </r>
  <r>
    <s v="ORD-100135"/>
    <x v="21"/>
    <x v="0"/>
    <d v="2024-01-01T00:00:00"/>
    <n v="1"/>
    <s v="CUST-00712"/>
    <x v="0"/>
    <x v="17"/>
    <s v="TN"/>
    <x v="3"/>
    <s v="Coimbatore"/>
    <x v="4"/>
    <s v="P103"/>
    <s v="Niacinamide Toner"/>
    <x v="3"/>
    <n v="1"/>
    <n v="399"/>
    <n v="0.15"/>
    <n v="399"/>
    <n v="59.849999999999994"/>
    <n v="339.15"/>
    <n v="112"/>
    <n v="112"/>
    <n v="120"/>
    <n v="107.14999999999998"/>
    <n v="0.31593690107621991"/>
    <x v="2"/>
    <d v="2024-01-25T00:00:00"/>
    <n v="3"/>
    <x v="0"/>
    <m/>
    <n v="1"/>
  </r>
  <r>
    <s v="ORD-100136"/>
    <x v="22"/>
    <x v="0"/>
    <d v="2024-01-01T00:00:00"/>
    <n v="1"/>
    <s v="CUST-00821"/>
    <x v="0"/>
    <x v="19"/>
    <s v="PB"/>
    <x v="0"/>
    <s v="Amritsar"/>
    <x v="0"/>
    <s v="P503"/>
    <s v="Scented Candle Set"/>
    <x v="4"/>
    <n v="1"/>
    <n v="699"/>
    <n v="0.2"/>
    <n v="699"/>
    <n v="139.80000000000001"/>
    <n v="559.20000000000005"/>
    <n v="245"/>
    <n v="245"/>
    <n v="60"/>
    <n v="254.20000000000005"/>
    <n v="0.45457796852646642"/>
    <x v="0"/>
    <d v="2024-01-25T00:00:00"/>
    <n v="2"/>
    <x v="1"/>
    <n v="5"/>
    <n v="0"/>
  </r>
  <r>
    <s v="ORD-100137"/>
    <x v="22"/>
    <x v="0"/>
    <d v="2024-01-01T00:00:00"/>
    <n v="1"/>
    <s v="CUST-01871"/>
    <x v="0"/>
    <x v="1"/>
    <s v="GJ"/>
    <x v="1"/>
    <s v="Surat"/>
    <x v="4"/>
    <s v="P105"/>
    <s v="Retinol Night Cream"/>
    <x v="3"/>
    <n v="3"/>
    <n v="799"/>
    <n v="0.1"/>
    <n v="2397"/>
    <n v="239.70000000000002"/>
    <n v="2157.3000000000002"/>
    <n v="216"/>
    <n v="648"/>
    <n v="60"/>
    <n v="1449.3000000000002"/>
    <n v="0.67181198720623003"/>
    <x v="2"/>
    <d v="2024-01-27T00:00:00"/>
    <n v="4"/>
    <x v="0"/>
    <m/>
    <n v="0"/>
  </r>
  <r>
    <s v="ORD-100138"/>
    <x v="22"/>
    <x v="0"/>
    <d v="2024-01-01T00:00:00"/>
    <n v="1"/>
    <s v="CUST-02579"/>
    <x v="0"/>
    <x v="13"/>
    <s v="MP"/>
    <x v="1"/>
    <s v="Indore"/>
    <x v="1"/>
    <s v="P404"/>
    <s v="Flip Flops"/>
    <x v="5"/>
    <n v="3"/>
    <n v="399"/>
    <n v="0.2"/>
    <n v="1197"/>
    <n v="239.4"/>
    <n v="957.6"/>
    <n v="152"/>
    <n v="456"/>
    <n v="60"/>
    <n v="441.6"/>
    <n v="0.46115288220551381"/>
    <x v="1"/>
    <d v="2024-01-27T00:00:00"/>
    <n v="4"/>
    <x v="0"/>
    <n v="3"/>
    <n v="0"/>
  </r>
  <r>
    <s v="ORD-100139"/>
    <x v="22"/>
    <x v="0"/>
    <d v="2024-01-01T00:00:00"/>
    <n v="1"/>
    <s v="CUST-02811"/>
    <x v="0"/>
    <x v="17"/>
    <s v="TN"/>
    <x v="3"/>
    <s v="Coimbatore"/>
    <x v="3"/>
    <s v="P105"/>
    <s v="Retinol Night Cream"/>
    <x v="3"/>
    <n v="2"/>
    <n v="799"/>
    <n v="0.1"/>
    <n v="1598"/>
    <n v="159.80000000000001"/>
    <n v="1438.2"/>
    <n v="216"/>
    <n v="432"/>
    <n v="60"/>
    <n v="946.2"/>
    <n v="0.6579057154776804"/>
    <x v="3"/>
    <d v="2024-01-27T00:00:00"/>
    <n v="4"/>
    <x v="0"/>
    <n v="4"/>
    <n v="0"/>
  </r>
  <r>
    <s v="ORD-100140"/>
    <x v="22"/>
    <x v="0"/>
    <d v="2024-01-01T00:00:00"/>
    <n v="1"/>
    <s v="CUST-00870"/>
    <x v="0"/>
    <x v="17"/>
    <s v="TN"/>
    <x v="3"/>
    <s v="Coimbatore"/>
    <x v="1"/>
    <s v="P302"/>
    <s v="Linen Kurta"/>
    <x v="1"/>
    <n v="1"/>
    <n v="1499"/>
    <n v="0.4"/>
    <n v="1499"/>
    <n v="599.6"/>
    <n v="899.4"/>
    <n v="630"/>
    <n v="630"/>
    <n v="60"/>
    <n v="209.39999999999998"/>
    <n v="0.23282188125416942"/>
    <x v="0"/>
    <d v="2024-01-26T00:00:00"/>
    <n v="3"/>
    <x v="0"/>
    <n v="4"/>
    <n v="0"/>
  </r>
  <r>
    <s v="ORD-100141"/>
    <x v="23"/>
    <x v="0"/>
    <d v="2024-01-01T00:00:00"/>
    <n v="1"/>
    <s v="CUST-01180"/>
    <x v="0"/>
    <x v="2"/>
    <s v="MH"/>
    <x v="1"/>
    <s v="Pune"/>
    <x v="1"/>
    <s v="P304"/>
    <s v="Denim Jacket"/>
    <x v="1"/>
    <n v="2"/>
    <n v="2499"/>
    <n v="0.05"/>
    <n v="4998"/>
    <n v="249.9"/>
    <n v="4748.1000000000004"/>
    <n v="1125"/>
    <n v="2250"/>
    <n v="60"/>
    <n v="2438.1000000000004"/>
    <n v="0.51348960636886343"/>
    <x v="2"/>
    <d v="2024-01-27T00:00:00"/>
    <n v="3"/>
    <x v="0"/>
    <n v="4"/>
    <n v="0"/>
  </r>
  <r>
    <s v="ORD-100142"/>
    <x v="23"/>
    <x v="0"/>
    <d v="2024-01-01T00:00:00"/>
    <n v="1"/>
    <s v="CUST-00929"/>
    <x v="0"/>
    <x v="2"/>
    <s v="MH"/>
    <x v="1"/>
    <s v="Pune"/>
    <x v="0"/>
    <s v="P701"/>
    <s v="Ashwagandha Capsules"/>
    <x v="0"/>
    <n v="1"/>
    <n v="499"/>
    <n v="0"/>
    <n v="499"/>
    <n v="0"/>
    <n v="499"/>
    <n v="150"/>
    <n v="150"/>
    <n v="60"/>
    <n v="289"/>
    <n v="0.57915831663326656"/>
    <x v="0"/>
    <d v="2024-01-26T00:00:00"/>
    <n v="2"/>
    <x v="1"/>
    <n v="4"/>
    <n v="0"/>
  </r>
  <r>
    <s v="ORD-100143"/>
    <x v="23"/>
    <x v="0"/>
    <d v="2024-01-01T00:00:00"/>
    <n v="1"/>
    <s v="CUST-00276"/>
    <x v="0"/>
    <x v="2"/>
    <s v="MH"/>
    <x v="1"/>
    <s v="Pune"/>
    <x v="0"/>
    <s v="P702"/>
    <s v="Whey Protein 1kg"/>
    <x v="0"/>
    <n v="1"/>
    <n v="2299"/>
    <n v="0.4"/>
    <n v="2299"/>
    <n v="919.6"/>
    <n v="1379.4"/>
    <n v="1333"/>
    <n v="1333"/>
    <n v="60"/>
    <n v="-13.599999999999909"/>
    <n v="-9.8593591416557252E-3"/>
    <x v="0"/>
    <d v="2024-01-27T00:00:00"/>
    <n v="3"/>
    <x v="0"/>
    <n v="4"/>
    <n v="0"/>
  </r>
  <r>
    <s v="ORD-100144"/>
    <x v="23"/>
    <x v="0"/>
    <d v="2024-01-01T00:00:00"/>
    <n v="1"/>
    <s v="CUST-02632"/>
    <x v="1"/>
    <x v="11"/>
    <s v="KA"/>
    <x v="3"/>
    <s v="Bengaluru"/>
    <x v="2"/>
    <s v="P101"/>
    <s v="Vitamin C Face Serum"/>
    <x v="3"/>
    <n v="1"/>
    <n v="599"/>
    <n v="0.1"/>
    <n v="599"/>
    <n v="59.900000000000006"/>
    <n v="539.1"/>
    <n v="180"/>
    <n v="180"/>
    <n v="60"/>
    <n v="299.10000000000002"/>
    <n v="0.5548135781858653"/>
    <x v="0"/>
    <d v="2024-01-26T00:00:00"/>
    <n v="2"/>
    <x v="1"/>
    <m/>
    <n v="0"/>
  </r>
  <r>
    <s v="ORD-100145"/>
    <x v="23"/>
    <x v="0"/>
    <d v="2024-01-01T00:00:00"/>
    <n v="1"/>
    <s v="CUST-01538"/>
    <x v="0"/>
    <x v="17"/>
    <s v="TN"/>
    <x v="3"/>
    <s v="Coimbatore"/>
    <x v="1"/>
    <s v="P301"/>
    <s v="Cotton Oversized T-Shirt"/>
    <x v="1"/>
    <n v="1"/>
    <n v="799"/>
    <n v="0.1"/>
    <n v="799"/>
    <n v="79.900000000000006"/>
    <n v="719.1"/>
    <n v="320"/>
    <n v="320"/>
    <n v="60"/>
    <n v="339.1"/>
    <n v="0.47156167431511614"/>
    <x v="4"/>
    <d v="2024-01-28T00:00:00"/>
    <n v="4"/>
    <x v="0"/>
    <n v="4"/>
    <n v="0"/>
  </r>
  <r>
    <s v="ORD-100146"/>
    <x v="23"/>
    <x v="0"/>
    <d v="2024-01-01T00:00:00"/>
    <n v="1"/>
    <s v="CUST-00206"/>
    <x v="0"/>
    <x v="17"/>
    <s v="TN"/>
    <x v="3"/>
    <s v="Coimbatore"/>
    <x v="1"/>
    <s v="P403"/>
    <s v="Kolhapuri Sandals"/>
    <x v="5"/>
    <n v="1"/>
    <n v="999"/>
    <n v="0.05"/>
    <n v="999"/>
    <n v="49.95"/>
    <n v="949.05"/>
    <n v="400"/>
    <n v="400"/>
    <n v="120"/>
    <n v="429.04999999999995"/>
    <n v="0.4520836626099784"/>
    <x v="0"/>
    <d v="2024-01-27T00:00:00"/>
    <n v="3"/>
    <x v="0"/>
    <n v="3"/>
    <n v="1"/>
  </r>
  <r>
    <s v="ORD-100147"/>
    <x v="24"/>
    <x v="0"/>
    <d v="2024-01-01T00:00:00"/>
    <n v="1"/>
    <s v="CUST-00435"/>
    <x v="0"/>
    <x v="1"/>
    <s v="GJ"/>
    <x v="1"/>
    <s v="Ahmedabad"/>
    <x v="0"/>
    <s v="P202"/>
    <s v="Argan Shampoo"/>
    <x v="6"/>
    <n v="1"/>
    <n v="449"/>
    <n v="0.05"/>
    <n v="449"/>
    <n v="22.450000000000003"/>
    <n v="426.55"/>
    <n v="148"/>
    <n v="148"/>
    <n v="60"/>
    <n v="218.55"/>
    <n v="0.51236666275934828"/>
    <x v="3"/>
    <d v="2024-01-29T00:00:00"/>
    <n v="4"/>
    <x v="0"/>
    <m/>
    <n v="0"/>
  </r>
  <r>
    <s v="ORD-100148"/>
    <x v="24"/>
    <x v="0"/>
    <d v="2024-01-01T00:00:00"/>
    <n v="1"/>
    <s v="CUST-00339"/>
    <x v="0"/>
    <x v="2"/>
    <s v="MH"/>
    <x v="1"/>
    <s v="Pune"/>
    <x v="0"/>
    <s v="P104"/>
    <s v="Hydrating Face Wash"/>
    <x v="3"/>
    <n v="1"/>
    <n v="299"/>
    <n v="0"/>
    <n v="299"/>
    <n v="0"/>
    <n v="299"/>
    <n v="90"/>
    <n v="90"/>
    <n v="60"/>
    <n v="149"/>
    <n v="0.49832775919732442"/>
    <x v="0"/>
    <d v="2024-01-28T00:00:00"/>
    <n v="3"/>
    <x v="0"/>
    <m/>
    <n v="0"/>
  </r>
  <r>
    <s v="ORD-100149"/>
    <x v="24"/>
    <x v="0"/>
    <d v="2024-01-01T00:00:00"/>
    <n v="1"/>
    <s v="CUST-01601"/>
    <x v="0"/>
    <x v="2"/>
    <s v="MH"/>
    <x v="1"/>
    <s v="Pune"/>
    <x v="4"/>
    <s v="P703"/>
    <s v="Green Tea (100 bags)"/>
    <x v="0"/>
    <n v="2"/>
    <n v="399"/>
    <n v="0.4"/>
    <n v="798"/>
    <n v="319.20000000000005"/>
    <n v="478.79999999999995"/>
    <n v="128"/>
    <n v="256"/>
    <n v="60"/>
    <n v="162.79999999999995"/>
    <n v="0.34001670843776099"/>
    <x v="0"/>
    <d v="2024-01-26T00:00:00"/>
    <n v="1"/>
    <x v="1"/>
    <m/>
    <n v="0"/>
  </r>
  <r>
    <s v="ORD-100150"/>
    <x v="24"/>
    <x v="0"/>
    <d v="2024-01-01T00:00:00"/>
    <n v="1"/>
    <s v="CUST-01304"/>
    <x v="0"/>
    <x v="2"/>
    <s v="MH"/>
    <x v="1"/>
    <s v="Pune"/>
    <x v="1"/>
    <s v="P402"/>
    <s v="Casual Sneakers"/>
    <x v="5"/>
    <n v="1"/>
    <n v="2199"/>
    <n v="0.15"/>
    <n v="2199"/>
    <n v="329.84999999999997"/>
    <n v="1869.15"/>
    <n v="1034"/>
    <n v="1034"/>
    <n v="60"/>
    <n v="775.15000000000009"/>
    <n v="0.41470721985929437"/>
    <x v="3"/>
    <d v="2024-01-26T00:00:00"/>
    <n v="1"/>
    <x v="1"/>
    <m/>
    <n v="0"/>
  </r>
  <r>
    <s v="ORD-100151"/>
    <x v="25"/>
    <x v="0"/>
    <d v="2024-01-01T00:00:00"/>
    <n v="1"/>
    <s v="CUST-02383"/>
    <x v="0"/>
    <x v="5"/>
    <s v="HP"/>
    <x v="0"/>
    <s v="Shimla"/>
    <x v="1"/>
    <s v="P404"/>
    <s v="Flip Flops"/>
    <x v="5"/>
    <n v="1"/>
    <n v="399"/>
    <n v="0.15"/>
    <n v="399"/>
    <n v="59.849999999999994"/>
    <n v="339.15"/>
    <n v="152"/>
    <n v="152"/>
    <n v="60"/>
    <n v="127.14999999999998"/>
    <n v="0.37490785787999409"/>
    <x v="0"/>
    <d v="2024-01-31T00:00:00"/>
    <n v="5"/>
    <x v="2"/>
    <n v="4"/>
    <n v="0"/>
  </r>
  <r>
    <s v="ORD-100152"/>
    <x v="25"/>
    <x v="0"/>
    <d v="2024-01-01T00:00:00"/>
    <n v="1"/>
    <s v="CUST-01062"/>
    <x v="0"/>
    <x v="0"/>
    <s v="RJ"/>
    <x v="0"/>
    <s v="Jaipur"/>
    <x v="1"/>
    <s v="P401"/>
    <s v="Running Shoes"/>
    <x v="5"/>
    <n v="1"/>
    <n v="2999"/>
    <n v="0.2"/>
    <n v="2999"/>
    <n v="599.80000000000007"/>
    <n v="2399.1999999999998"/>
    <n v="1440"/>
    <n v="1440"/>
    <n v="60"/>
    <n v="899.19999999999982"/>
    <n v="0.3747915971990663"/>
    <x v="0"/>
    <d v="2024-01-30T00:00:00"/>
    <n v="4"/>
    <x v="0"/>
    <m/>
    <n v="0"/>
  </r>
  <r>
    <s v="ORD-100153"/>
    <x v="25"/>
    <x v="0"/>
    <d v="2024-01-01T00:00:00"/>
    <n v="1"/>
    <s v="CUST-02419"/>
    <x v="0"/>
    <x v="0"/>
    <s v="RJ"/>
    <x v="0"/>
    <s v="Jaipur"/>
    <x v="3"/>
    <s v="P204"/>
    <s v="Anti-Dandruff Conditioner"/>
    <x v="6"/>
    <n v="2"/>
    <n v="399"/>
    <n v="0.4"/>
    <n v="798"/>
    <n v="319.20000000000005"/>
    <n v="478.79999999999995"/>
    <n v="136"/>
    <n v="272"/>
    <n v="60"/>
    <n v="146.79999999999995"/>
    <n v="0.30659983291562232"/>
    <x v="4"/>
    <d v="2024-02-01T00:00:00"/>
    <n v="6"/>
    <x v="2"/>
    <m/>
    <n v="0"/>
  </r>
  <r>
    <s v="ORD-100154"/>
    <x v="25"/>
    <x v="0"/>
    <d v="2024-01-01T00:00:00"/>
    <n v="1"/>
    <s v="CUST-01348"/>
    <x v="0"/>
    <x v="16"/>
    <s v="UP"/>
    <x v="0"/>
    <s v="Kanpur"/>
    <x v="0"/>
    <s v="P602"/>
    <s v="Fast Charger 33W"/>
    <x v="2"/>
    <n v="1"/>
    <n v="899"/>
    <n v="0.1"/>
    <n v="899"/>
    <n v="89.9"/>
    <n v="809.1"/>
    <n v="494"/>
    <n v="494"/>
    <n v="60"/>
    <n v="255.10000000000002"/>
    <n v="0.31528859226300832"/>
    <x v="0"/>
    <d v="2024-01-30T00:00:00"/>
    <n v="4"/>
    <x v="0"/>
    <n v="5"/>
    <n v="0"/>
  </r>
  <r>
    <s v="ORD-100155"/>
    <x v="25"/>
    <x v="0"/>
    <d v="2024-01-01T00:00:00"/>
    <n v="1"/>
    <s v="CUST-00189"/>
    <x v="0"/>
    <x v="13"/>
    <s v="MP"/>
    <x v="1"/>
    <s v="Indore"/>
    <x v="0"/>
    <s v="P302"/>
    <s v="Linen Kurta"/>
    <x v="1"/>
    <n v="1"/>
    <n v="1499"/>
    <n v="0.3"/>
    <n v="1499"/>
    <n v="449.7"/>
    <n v="1049.3"/>
    <n v="630"/>
    <n v="630"/>
    <n v="60"/>
    <n v="359.29999999999995"/>
    <n v="0.34241875536071664"/>
    <x v="0"/>
    <d v="2024-01-28T00:00:00"/>
    <n v="2"/>
    <x v="1"/>
    <n v="4"/>
    <n v="0"/>
  </r>
  <r>
    <s v="ORD-100156"/>
    <x v="25"/>
    <x v="0"/>
    <d v="2024-01-01T00:00:00"/>
    <n v="1"/>
    <s v="CUST-00879"/>
    <x v="0"/>
    <x v="7"/>
    <s v="JH"/>
    <x v="2"/>
    <s v="Ranchi"/>
    <x v="4"/>
    <s v="P602"/>
    <s v="Fast Charger 33W"/>
    <x v="2"/>
    <n v="1"/>
    <n v="899"/>
    <n v="0.05"/>
    <n v="899"/>
    <n v="44.95"/>
    <n v="854.05"/>
    <n v="494"/>
    <n v="494"/>
    <n v="60"/>
    <n v="300.04999999999995"/>
    <n v="0.35132603477548152"/>
    <x v="0"/>
    <d v="2024-01-30T00:00:00"/>
    <n v="4"/>
    <x v="0"/>
    <n v="3"/>
    <n v="0"/>
  </r>
  <r>
    <s v="ORD-100157"/>
    <x v="25"/>
    <x v="0"/>
    <d v="2024-01-01T00:00:00"/>
    <n v="1"/>
    <s v="CUST-00525"/>
    <x v="0"/>
    <x v="2"/>
    <s v="MH"/>
    <x v="1"/>
    <s v="Nagpur"/>
    <x v="0"/>
    <s v="P701"/>
    <s v="Ashwagandha Capsules"/>
    <x v="0"/>
    <n v="1"/>
    <n v="499"/>
    <n v="0.1"/>
    <n v="499"/>
    <n v="49.900000000000006"/>
    <n v="449.1"/>
    <n v="150"/>
    <n v="150"/>
    <n v="60"/>
    <n v="239.10000000000002"/>
    <n v="0.53239812959251842"/>
    <x v="2"/>
    <d v="2024-01-28T00:00:00"/>
    <n v="2"/>
    <x v="1"/>
    <n v="4"/>
    <n v="0"/>
  </r>
  <r>
    <s v="ORD-100158"/>
    <x v="25"/>
    <x v="0"/>
    <d v="2024-01-01T00:00:00"/>
    <n v="1"/>
    <s v="CUST-00666"/>
    <x v="0"/>
    <x v="3"/>
    <s v="OD"/>
    <x v="2"/>
    <s v="Bhubaneswar"/>
    <x v="0"/>
    <s v="P403"/>
    <s v="Kolhapuri Sandals"/>
    <x v="5"/>
    <n v="1"/>
    <n v="999"/>
    <n v="0"/>
    <n v="999"/>
    <n v="0"/>
    <n v="999"/>
    <n v="400"/>
    <n v="400"/>
    <n v="120"/>
    <n v="479"/>
    <n v="0.4794794794794795"/>
    <x v="4"/>
    <d v="2024-01-31T00:00:00"/>
    <n v="5"/>
    <x v="2"/>
    <m/>
    <n v="1"/>
  </r>
  <r>
    <s v="ORD-100159"/>
    <x v="25"/>
    <x v="0"/>
    <d v="2024-01-01T00:00:00"/>
    <n v="1"/>
    <s v="CUST-02448"/>
    <x v="0"/>
    <x v="11"/>
    <s v="KA"/>
    <x v="3"/>
    <s v="Bengaluru"/>
    <x v="4"/>
    <s v="P105"/>
    <s v="Retinol Night Cream"/>
    <x v="3"/>
    <n v="2"/>
    <n v="799"/>
    <n v="0.1"/>
    <n v="1598"/>
    <n v="159.80000000000001"/>
    <n v="1438.2"/>
    <n v="216"/>
    <n v="432"/>
    <n v="60"/>
    <n v="946.2"/>
    <n v="0.6579057154776804"/>
    <x v="0"/>
    <d v="2024-01-29T00:00:00"/>
    <n v="3"/>
    <x v="0"/>
    <n v="3"/>
    <n v="0"/>
  </r>
  <r>
    <s v="ORD-100160"/>
    <x v="26"/>
    <x v="0"/>
    <d v="2024-01-01T00:00:00"/>
    <n v="1"/>
    <s v="CUST-00616"/>
    <x v="0"/>
    <x v="0"/>
    <s v="RJ"/>
    <x v="0"/>
    <s v="Udaipur"/>
    <x v="0"/>
    <s v="P703"/>
    <s v="Green Tea (100 bags)"/>
    <x v="0"/>
    <n v="2"/>
    <n v="399"/>
    <n v="0.35"/>
    <n v="798"/>
    <n v="279.29999999999995"/>
    <n v="518.70000000000005"/>
    <n v="128"/>
    <n v="256"/>
    <n v="60"/>
    <n v="202.70000000000005"/>
    <n v="0.39078465394254874"/>
    <x v="3"/>
    <d v="2024-02-01T00:00:00"/>
    <n v="5"/>
    <x v="2"/>
    <n v="4"/>
    <n v="0"/>
  </r>
  <r>
    <s v="ORD-100161"/>
    <x v="26"/>
    <x v="0"/>
    <d v="2024-01-01T00:00:00"/>
    <n v="1"/>
    <s v="CUST-00712"/>
    <x v="1"/>
    <x v="6"/>
    <s v="DL"/>
    <x v="0"/>
    <s v="New Delhi"/>
    <x v="3"/>
    <s v="P101"/>
    <s v="Vitamin C Face Serum"/>
    <x v="3"/>
    <n v="1"/>
    <n v="599"/>
    <n v="0.1"/>
    <n v="599"/>
    <n v="59.900000000000006"/>
    <n v="539.1"/>
    <n v="180"/>
    <n v="180"/>
    <n v="60"/>
    <n v="299.10000000000002"/>
    <n v="0.5548135781858653"/>
    <x v="0"/>
    <d v="2024-01-28T00:00:00"/>
    <n v="1"/>
    <x v="1"/>
    <n v="5"/>
    <n v="0"/>
  </r>
  <r>
    <s v="ORD-100162"/>
    <x v="26"/>
    <x v="0"/>
    <d v="2024-01-01T00:00:00"/>
    <n v="1"/>
    <s v="CUST-00117"/>
    <x v="0"/>
    <x v="1"/>
    <s v="GJ"/>
    <x v="1"/>
    <s v="Ahmedabad"/>
    <x v="0"/>
    <s v="P603"/>
    <s v="Smartwatch Strap"/>
    <x v="2"/>
    <n v="3"/>
    <n v="499"/>
    <n v="0.1"/>
    <n v="1497"/>
    <n v="149.70000000000002"/>
    <n v="1347.3"/>
    <n v="200"/>
    <n v="600"/>
    <n v="60"/>
    <n v="687.3"/>
    <n v="0.51013137385882878"/>
    <x v="0"/>
    <d v="2024-01-28T00:00:00"/>
    <n v="1"/>
    <x v="1"/>
    <n v="3"/>
    <n v="0"/>
  </r>
  <r>
    <s v="ORD-100163"/>
    <x v="27"/>
    <x v="0"/>
    <d v="2024-01-01T00:00:00"/>
    <n v="1"/>
    <s v="CUST-00573"/>
    <x v="0"/>
    <x v="5"/>
    <s v="HP"/>
    <x v="0"/>
    <s v="Shimla"/>
    <x v="2"/>
    <s v="P301"/>
    <s v="Cotton Oversized T-Shirt"/>
    <x v="1"/>
    <n v="1"/>
    <n v="799"/>
    <n v="0.05"/>
    <n v="799"/>
    <n v="39.950000000000003"/>
    <n v="759.05"/>
    <n v="320"/>
    <n v="320"/>
    <n v="60"/>
    <n v="379.04999999999995"/>
    <n v="0.49937421777221525"/>
    <x v="3"/>
    <d v="2024-02-03T00:00:00"/>
    <n v="6"/>
    <x v="2"/>
    <n v="3"/>
    <n v="0"/>
  </r>
  <r>
    <s v="ORD-100164"/>
    <x v="27"/>
    <x v="0"/>
    <d v="2024-01-01T00:00:00"/>
    <n v="1"/>
    <s v="CUST-00182"/>
    <x v="0"/>
    <x v="1"/>
    <s v="GJ"/>
    <x v="1"/>
    <s v="Ahmedabad"/>
    <x v="0"/>
    <s v="P603"/>
    <s v="Smartwatch Strap"/>
    <x v="2"/>
    <n v="1"/>
    <n v="499"/>
    <n v="0.05"/>
    <n v="499"/>
    <n v="24.950000000000003"/>
    <n v="474.05"/>
    <n v="200"/>
    <n v="200"/>
    <n v="60"/>
    <n v="214.05"/>
    <n v="0.45153464824385614"/>
    <x v="2"/>
    <d v="2024-01-31T00:00:00"/>
    <n v="3"/>
    <x v="0"/>
    <n v="4"/>
    <n v="0"/>
  </r>
  <r>
    <s v="ORD-100165"/>
    <x v="27"/>
    <x v="0"/>
    <d v="2024-01-01T00:00:00"/>
    <n v="1"/>
    <s v="CUST-00963"/>
    <x v="0"/>
    <x v="13"/>
    <s v="MP"/>
    <x v="1"/>
    <s v="Bhopal"/>
    <x v="3"/>
    <s v="P704"/>
    <s v="Multivitamin Gummies"/>
    <x v="0"/>
    <n v="1"/>
    <n v="699"/>
    <n v="0.25"/>
    <n v="699"/>
    <n v="174.75"/>
    <n v="524.25"/>
    <n v="238"/>
    <n v="238"/>
    <n v="120"/>
    <n v="166.25"/>
    <n v="0.31711969480209823"/>
    <x v="4"/>
    <d v="2024-02-02T00:00:00"/>
    <n v="5"/>
    <x v="2"/>
    <m/>
    <n v="1"/>
  </r>
  <r>
    <s v="ORD-100166"/>
    <x v="27"/>
    <x v="0"/>
    <d v="2024-01-01T00:00:00"/>
    <n v="1"/>
    <s v="CUST-02757"/>
    <x v="0"/>
    <x v="2"/>
    <s v="MH"/>
    <x v="1"/>
    <s v="Pune"/>
    <x v="0"/>
    <s v="P301"/>
    <s v="Cotton Oversized T-Shirt"/>
    <x v="1"/>
    <n v="1"/>
    <n v="799"/>
    <n v="0"/>
    <n v="799"/>
    <n v="0"/>
    <n v="799"/>
    <n v="320"/>
    <n v="320"/>
    <n v="60"/>
    <n v="419"/>
    <n v="0.52440550688360454"/>
    <x v="2"/>
    <d v="2024-01-31T00:00:00"/>
    <n v="3"/>
    <x v="0"/>
    <m/>
    <n v="0"/>
  </r>
  <r>
    <s v="ORD-100167"/>
    <x v="27"/>
    <x v="0"/>
    <d v="2024-01-01T00:00:00"/>
    <n v="1"/>
    <s v="CUST-00121"/>
    <x v="0"/>
    <x v="2"/>
    <s v="MH"/>
    <x v="1"/>
    <s v="Pune"/>
    <x v="1"/>
    <s v="P404"/>
    <s v="Flip Flops"/>
    <x v="5"/>
    <n v="1"/>
    <n v="399"/>
    <n v="0.05"/>
    <n v="399"/>
    <n v="19.950000000000003"/>
    <n v="379.05"/>
    <n v="152"/>
    <n v="152"/>
    <n v="120"/>
    <n v="107.05000000000001"/>
    <n v="0.2824165677351273"/>
    <x v="3"/>
    <d v="2024-01-31T00:00:00"/>
    <n v="3"/>
    <x v="0"/>
    <n v="4"/>
    <n v="1"/>
  </r>
  <r>
    <s v="ORD-100168"/>
    <x v="27"/>
    <x v="0"/>
    <d v="2024-01-01T00:00:00"/>
    <n v="1"/>
    <s v="CUST-01354"/>
    <x v="0"/>
    <x v="2"/>
    <s v="MH"/>
    <x v="1"/>
    <s v="Pune"/>
    <x v="2"/>
    <s v="P203"/>
    <s v="Keratin Hair Mask"/>
    <x v="6"/>
    <n v="1"/>
    <n v="549"/>
    <n v="0.1"/>
    <n v="549"/>
    <n v="54.900000000000006"/>
    <n v="494.1"/>
    <n v="170"/>
    <n v="170"/>
    <n v="60"/>
    <n v="264.10000000000002"/>
    <n v="0.53450718478040882"/>
    <x v="3"/>
    <d v="2024-01-31T00:00:00"/>
    <n v="3"/>
    <x v="0"/>
    <n v="3"/>
    <n v="0"/>
  </r>
  <r>
    <s v="ORD-100169"/>
    <x v="27"/>
    <x v="0"/>
    <d v="2024-01-01T00:00:00"/>
    <n v="1"/>
    <s v="CUST-00312"/>
    <x v="0"/>
    <x v="3"/>
    <s v="OD"/>
    <x v="2"/>
    <s v="Bhubaneswar"/>
    <x v="1"/>
    <s v="P301"/>
    <s v="Cotton Oversized T-Shirt"/>
    <x v="1"/>
    <n v="1"/>
    <n v="799"/>
    <n v="0.1"/>
    <n v="799"/>
    <n v="79.900000000000006"/>
    <n v="719.1"/>
    <n v="320"/>
    <n v="320"/>
    <n v="120"/>
    <n v="279.10000000000002"/>
    <n v="0.38812404394381866"/>
    <x v="3"/>
    <d v="2024-02-01T00:00:00"/>
    <n v="4"/>
    <x v="0"/>
    <n v="4"/>
    <n v="1"/>
  </r>
  <r>
    <s v="ORD-100170"/>
    <x v="27"/>
    <x v="0"/>
    <d v="2024-01-01T00:00:00"/>
    <n v="1"/>
    <s v="CUST-01207"/>
    <x v="0"/>
    <x v="17"/>
    <s v="TN"/>
    <x v="3"/>
    <s v="Coimbatore"/>
    <x v="1"/>
    <s v="P301"/>
    <s v="Cotton Oversized T-Shirt"/>
    <x v="1"/>
    <n v="1"/>
    <n v="799"/>
    <n v="0.1"/>
    <n v="799"/>
    <n v="79.900000000000006"/>
    <n v="719.1"/>
    <n v="320"/>
    <n v="320"/>
    <n v="60"/>
    <n v="339.1"/>
    <n v="0.47156167431511614"/>
    <x v="0"/>
    <d v="2024-02-01T00:00:00"/>
    <n v="4"/>
    <x v="0"/>
    <n v="5"/>
    <n v="0"/>
  </r>
  <r>
    <s v="ORD-100171"/>
    <x v="27"/>
    <x v="0"/>
    <d v="2024-01-01T00:00:00"/>
    <n v="1"/>
    <s v="CUST-01076"/>
    <x v="0"/>
    <x v="17"/>
    <s v="TN"/>
    <x v="3"/>
    <s v="Coimbatore"/>
    <x v="1"/>
    <s v="P403"/>
    <s v="Kolhapuri Sandals"/>
    <x v="5"/>
    <n v="1"/>
    <n v="999"/>
    <n v="0.05"/>
    <n v="999"/>
    <n v="49.95"/>
    <n v="949.05"/>
    <n v="400"/>
    <n v="400"/>
    <n v="60"/>
    <n v="489.04999999999995"/>
    <n v="0.5153047784626732"/>
    <x v="3"/>
    <d v="2024-01-30T00:00:00"/>
    <n v="2"/>
    <x v="1"/>
    <n v="4"/>
    <n v="0"/>
  </r>
  <r>
    <s v="ORD-100172"/>
    <x v="28"/>
    <x v="0"/>
    <d v="2024-01-01T00:00:00"/>
    <n v="1"/>
    <s v="CUST-03167"/>
    <x v="0"/>
    <x v="15"/>
    <s v="HR"/>
    <x v="0"/>
    <s v="Faridabad"/>
    <x v="3"/>
    <s v="P702"/>
    <s v="Whey Protein 1kg"/>
    <x v="0"/>
    <n v="3"/>
    <n v="2299"/>
    <n v="0.35"/>
    <n v="6897"/>
    <n v="2413.9499999999998"/>
    <n v="4483.05"/>
    <n v="1333"/>
    <n v="3999"/>
    <n v="60"/>
    <n v="424.05000000000018"/>
    <n v="9.4589620905410413E-2"/>
    <x v="4"/>
    <d v="2024-02-02T00:00:00"/>
    <n v="4"/>
    <x v="0"/>
    <n v="4"/>
    <n v="0"/>
  </r>
  <r>
    <s v="ORD-100173"/>
    <x v="28"/>
    <x v="0"/>
    <d v="2024-01-01T00:00:00"/>
    <n v="1"/>
    <s v="CUST-00380"/>
    <x v="0"/>
    <x v="1"/>
    <s v="GJ"/>
    <x v="1"/>
    <s v="Ahmedabad"/>
    <x v="2"/>
    <s v="P701"/>
    <s v="Ashwagandha Capsules"/>
    <x v="0"/>
    <n v="1"/>
    <n v="499"/>
    <n v="0"/>
    <n v="499"/>
    <n v="0"/>
    <n v="499"/>
    <n v="150"/>
    <n v="150"/>
    <n v="60"/>
    <n v="289"/>
    <n v="0.57915831663326656"/>
    <x v="0"/>
    <d v="2024-02-02T00:00:00"/>
    <n v="4"/>
    <x v="0"/>
    <n v="4"/>
    <n v="0"/>
  </r>
  <r>
    <s v="ORD-100174"/>
    <x v="29"/>
    <x v="0"/>
    <d v="2024-01-01T00:00:00"/>
    <n v="1"/>
    <s v="CUST-00716"/>
    <x v="0"/>
    <x v="0"/>
    <s v="RJ"/>
    <x v="0"/>
    <s v="Jaipur"/>
    <x v="2"/>
    <s v="P404"/>
    <s v="Flip Flops"/>
    <x v="5"/>
    <n v="1"/>
    <n v="399"/>
    <n v="0"/>
    <n v="399"/>
    <n v="0"/>
    <n v="399"/>
    <n v="152"/>
    <n v="152"/>
    <n v="60"/>
    <n v="187"/>
    <n v="0.46867167919799496"/>
    <x v="3"/>
    <d v="2024-02-05T00:00:00"/>
    <n v="6"/>
    <x v="2"/>
    <m/>
    <n v="0"/>
  </r>
  <r>
    <s v="ORD-100175"/>
    <x v="29"/>
    <x v="0"/>
    <d v="2024-01-01T00:00:00"/>
    <n v="1"/>
    <s v="CUST-00683"/>
    <x v="0"/>
    <x v="12"/>
    <s v="BR"/>
    <x v="2"/>
    <s v="Patna"/>
    <x v="0"/>
    <s v="P204"/>
    <s v="Anti-Dandruff Conditioner"/>
    <x v="6"/>
    <n v="1"/>
    <n v="399"/>
    <n v="0.35"/>
    <n v="399"/>
    <n v="139.64999999999998"/>
    <n v="259.35000000000002"/>
    <n v="136"/>
    <n v="136"/>
    <n v="60"/>
    <n v="63.350000000000023"/>
    <n v="0.24426450742240222"/>
    <x v="2"/>
    <d v="2024-02-03T00:00:00"/>
    <n v="4"/>
    <x v="0"/>
    <n v="5"/>
    <n v="0"/>
  </r>
  <r>
    <s v="ORD-100176"/>
    <x v="29"/>
    <x v="0"/>
    <d v="2024-01-01T00:00:00"/>
    <n v="1"/>
    <s v="CUST-01619"/>
    <x v="0"/>
    <x v="22"/>
    <s v="AS"/>
    <x v="2"/>
    <s v="Guwahati"/>
    <x v="4"/>
    <s v="P103"/>
    <s v="Niacinamide Toner"/>
    <x v="3"/>
    <n v="1"/>
    <n v="399"/>
    <n v="0.2"/>
    <n v="399"/>
    <n v="79.800000000000011"/>
    <n v="319.2"/>
    <n v="112"/>
    <n v="112"/>
    <n v="60"/>
    <n v="147.19999999999999"/>
    <n v="0.46115288220551376"/>
    <x v="0"/>
    <d v="2024-02-05T00:00:00"/>
    <n v="6"/>
    <x v="2"/>
    <n v="5"/>
    <n v="0"/>
  </r>
  <r>
    <s v="ORD-100177"/>
    <x v="29"/>
    <x v="0"/>
    <d v="2024-01-01T00:00:00"/>
    <n v="1"/>
    <s v="CUST-02467"/>
    <x v="0"/>
    <x v="2"/>
    <s v="MH"/>
    <x v="1"/>
    <s v="Pune"/>
    <x v="3"/>
    <s v="P104"/>
    <s v="Hydrating Face Wash"/>
    <x v="3"/>
    <n v="1"/>
    <n v="299"/>
    <n v="0.1"/>
    <n v="299"/>
    <n v="29.900000000000002"/>
    <n v="269.10000000000002"/>
    <n v="90"/>
    <n v="90"/>
    <n v="60"/>
    <n v="119.10000000000002"/>
    <n v="0.4425863991081383"/>
    <x v="3"/>
    <d v="2024-01-31T00:00:00"/>
    <n v="1"/>
    <x v="1"/>
    <m/>
    <n v="0"/>
  </r>
  <r>
    <s v="ORD-100178"/>
    <x v="29"/>
    <x v="0"/>
    <d v="2024-01-01T00:00:00"/>
    <n v="1"/>
    <s v="CUST-00001"/>
    <x v="0"/>
    <x v="3"/>
    <s v="OD"/>
    <x v="2"/>
    <s v="Bhubaneswar"/>
    <x v="0"/>
    <s v="P202"/>
    <s v="Argan Shampoo"/>
    <x v="6"/>
    <n v="1"/>
    <n v="449"/>
    <n v="0.05"/>
    <n v="449"/>
    <n v="22.450000000000003"/>
    <n v="426.55"/>
    <n v="148"/>
    <n v="148"/>
    <n v="60"/>
    <n v="218.55"/>
    <n v="0.51236666275934828"/>
    <x v="0"/>
    <d v="2024-02-02T00:00:00"/>
    <n v="3"/>
    <x v="0"/>
    <n v="4"/>
    <n v="0"/>
  </r>
  <r>
    <s v="ORD-100179"/>
    <x v="30"/>
    <x v="0"/>
    <d v="2024-01-01T00:00:00"/>
    <n v="1"/>
    <s v="CUST-00227"/>
    <x v="0"/>
    <x v="19"/>
    <s v="PB"/>
    <x v="0"/>
    <s v="Ludhiana"/>
    <x v="0"/>
    <s v="P604"/>
    <s v="Power Bank 20000mAh"/>
    <x v="2"/>
    <n v="1"/>
    <n v="1799"/>
    <n v="0.35"/>
    <n v="1799"/>
    <n v="629.65"/>
    <n v="1169.3499999999999"/>
    <n v="1079"/>
    <n v="1079"/>
    <n v="120"/>
    <n v="-29.650000000000091"/>
    <n v="-2.5355966990208315E-2"/>
    <x v="3"/>
    <d v="2024-02-03T00:00:00"/>
    <n v="3"/>
    <x v="0"/>
    <n v="4"/>
    <n v="1"/>
  </r>
  <r>
    <s v="ORD-100180"/>
    <x v="30"/>
    <x v="0"/>
    <d v="2024-01-01T00:00:00"/>
    <n v="1"/>
    <s v="CUST-00840"/>
    <x v="0"/>
    <x v="16"/>
    <s v="UP"/>
    <x v="0"/>
    <s v="Noida"/>
    <x v="4"/>
    <s v="P603"/>
    <s v="Smartwatch Strap"/>
    <x v="2"/>
    <n v="1"/>
    <n v="499"/>
    <n v="0.1"/>
    <n v="499"/>
    <n v="49.900000000000006"/>
    <n v="449.1"/>
    <n v="200"/>
    <n v="200"/>
    <n v="60"/>
    <n v="189.10000000000002"/>
    <n v="0.42106435092407041"/>
    <x v="3"/>
    <d v="2024-02-03T00:00:00"/>
    <n v="3"/>
    <x v="0"/>
    <m/>
    <n v="0"/>
  </r>
  <r>
    <s v="ORD-100181"/>
    <x v="30"/>
    <x v="0"/>
    <d v="2024-01-01T00:00:00"/>
    <n v="1"/>
    <s v="CUST-00257"/>
    <x v="0"/>
    <x v="16"/>
    <s v="UP"/>
    <x v="0"/>
    <s v="Noida"/>
    <x v="4"/>
    <s v="P101"/>
    <s v="Vitamin C Face Serum"/>
    <x v="3"/>
    <n v="1"/>
    <n v="599"/>
    <n v="0.2"/>
    <n v="599"/>
    <n v="119.80000000000001"/>
    <n v="479.2"/>
    <n v="180"/>
    <n v="180"/>
    <n v="60"/>
    <n v="239.2"/>
    <n v="0.4991652754590985"/>
    <x v="0"/>
    <d v="2024-02-04T00:00:00"/>
    <n v="4"/>
    <x v="0"/>
    <n v="4"/>
    <n v="0"/>
  </r>
  <r>
    <s v="ORD-100182"/>
    <x v="30"/>
    <x v="0"/>
    <d v="2024-01-01T00:00:00"/>
    <n v="1"/>
    <s v="CUST-01092"/>
    <x v="0"/>
    <x v="13"/>
    <s v="MP"/>
    <x v="1"/>
    <s v="Indore"/>
    <x v="4"/>
    <s v="P202"/>
    <s v="Argan Shampoo"/>
    <x v="6"/>
    <n v="1"/>
    <n v="449"/>
    <n v="0.05"/>
    <n v="449"/>
    <n v="22.450000000000003"/>
    <n v="426.55"/>
    <n v="148"/>
    <n v="148"/>
    <n v="60"/>
    <n v="218.55"/>
    <n v="0.51236666275934828"/>
    <x v="0"/>
    <d v="2024-02-02T00:00:00"/>
    <n v="2"/>
    <x v="1"/>
    <n v="4"/>
    <n v="0"/>
  </r>
  <r>
    <s v="ORD-100183"/>
    <x v="30"/>
    <x v="0"/>
    <d v="2024-01-01T00:00:00"/>
    <n v="1"/>
    <s v="CUST-00471"/>
    <x v="0"/>
    <x v="17"/>
    <s v="TN"/>
    <x v="3"/>
    <s v="Chennai"/>
    <x v="4"/>
    <s v="P602"/>
    <s v="Fast Charger 33W"/>
    <x v="2"/>
    <n v="2"/>
    <n v="899"/>
    <n v="0.15"/>
    <n v="1798"/>
    <n v="269.7"/>
    <n v="1528.3"/>
    <n v="494"/>
    <n v="988"/>
    <n v="60"/>
    <n v="480.29999999999995"/>
    <n v="0.3142707583589609"/>
    <x v="1"/>
    <d v="2024-02-04T00:00:00"/>
    <n v="4"/>
    <x v="0"/>
    <n v="3"/>
    <n v="0"/>
  </r>
  <r>
    <s v="ORD-100184"/>
    <x v="30"/>
    <x v="0"/>
    <d v="2024-01-01T00:00:00"/>
    <n v="1"/>
    <s v="CUST-00181"/>
    <x v="0"/>
    <x v="17"/>
    <s v="TN"/>
    <x v="3"/>
    <s v="Chennai"/>
    <x v="0"/>
    <s v="P503"/>
    <s v="Scented Candle Set"/>
    <x v="4"/>
    <n v="1"/>
    <n v="699"/>
    <n v="0.2"/>
    <n v="699"/>
    <n v="139.80000000000001"/>
    <n v="559.20000000000005"/>
    <n v="245"/>
    <n v="245"/>
    <n v="60"/>
    <n v="254.20000000000005"/>
    <n v="0.45457796852646642"/>
    <x v="0"/>
    <d v="2024-02-03T00:00:00"/>
    <n v="3"/>
    <x v="0"/>
    <m/>
    <n v="0"/>
  </r>
  <r>
    <s v="ORD-100185"/>
    <x v="31"/>
    <x v="0"/>
    <d v="2024-02-01T00:00:00"/>
    <n v="2"/>
    <s v="CUST-03147"/>
    <x v="0"/>
    <x v="12"/>
    <s v="BR"/>
    <x v="2"/>
    <s v="Patna"/>
    <x v="4"/>
    <s v="P204"/>
    <s v="Anti-Dandruff Conditioner"/>
    <x v="6"/>
    <n v="2"/>
    <n v="399"/>
    <n v="0.35"/>
    <n v="798"/>
    <n v="279.29999999999995"/>
    <n v="518.70000000000005"/>
    <n v="136"/>
    <n v="272"/>
    <n v="60"/>
    <n v="186.70000000000005"/>
    <n v="0.35993830730672843"/>
    <x v="3"/>
    <d v="2024-02-05T00:00:00"/>
    <n v="4"/>
    <x v="0"/>
    <n v="5"/>
    <n v="0"/>
  </r>
  <r>
    <s v="ORD-100186"/>
    <x v="31"/>
    <x v="0"/>
    <d v="2024-02-01T00:00:00"/>
    <n v="2"/>
    <s v="CUST-01494"/>
    <x v="0"/>
    <x v="18"/>
    <s v="WB"/>
    <x v="2"/>
    <s v="Kolkata"/>
    <x v="2"/>
    <s v="P102"/>
    <s v="Sunscreen SPF 50"/>
    <x v="3"/>
    <n v="4"/>
    <n v="449"/>
    <n v="0.05"/>
    <n v="1796"/>
    <n v="89.800000000000011"/>
    <n v="1706.2"/>
    <n v="144"/>
    <n v="576"/>
    <n v="60"/>
    <n v="1070.2"/>
    <n v="0.62724182393623262"/>
    <x v="1"/>
    <d v="2024-02-06T00:00:00"/>
    <n v="5"/>
    <x v="2"/>
    <n v="3"/>
    <n v="0"/>
  </r>
  <r>
    <s v="ORD-100187"/>
    <x v="31"/>
    <x v="0"/>
    <d v="2024-02-01T00:00:00"/>
    <n v="2"/>
    <s v="CUST-00994"/>
    <x v="0"/>
    <x v="18"/>
    <s v="WB"/>
    <x v="2"/>
    <s v="Kolkata"/>
    <x v="3"/>
    <s v="P704"/>
    <s v="Multivitamin Gummies"/>
    <x v="0"/>
    <n v="1"/>
    <n v="699"/>
    <n v="0.2"/>
    <n v="699"/>
    <n v="139.80000000000001"/>
    <n v="559.20000000000005"/>
    <n v="238"/>
    <n v="238"/>
    <n v="60"/>
    <n v="261.20000000000005"/>
    <n v="0.46709585121602293"/>
    <x v="4"/>
    <d v="2024-02-04T00:00:00"/>
    <n v="3"/>
    <x v="0"/>
    <m/>
    <n v="0"/>
  </r>
  <r>
    <s v="ORD-100188"/>
    <x v="31"/>
    <x v="0"/>
    <d v="2024-02-01T00:00:00"/>
    <n v="2"/>
    <s v="CUST-02705"/>
    <x v="0"/>
    <x v="3"/>
    <s v="OD"/>
    <x v="2"/>
    <s v="Bhubaneswar"/>
    <x v="4"/>
    <s v="P701"/>
    <s v="Ashwagandha Capsules"/>
    <x v="0"/>
    <n v="1"/>
    <n v="499"/>
    <n v="0.05"/>
    <n v="499"/>
    <n v="24.950000000000003"/>
    <n v="474.05"/>
    <n v="150"/>
    <n v="150"/>
    <n v="60"/>
    <n v="264.05"/>
    <n v="0.55700875435080688"/>
    <x v="0"/>
    <d v="2024-02-06T00:00:00"/>
    <n v="5"/>
    <x v="2"/>
    <m/>
    <n v="0"/>
  </r>
  <r>
    <s v="ORD-100189"/>
    <x v="32"/>
    <x v="0"/>
    <d v="2024-02-01T00:00:00"/>
    <n v="2"/>
    <s v="CUST-00738"/>
    <x v="0"/>
    <x v="6"/>
    <s v="DL"/>
    <x v="0"/>
    <s v="New Delhi"/>
    <x v="3"/>
    <s v="P103"/>
    <s v="Niacinamide Toner"/>
    <x v="3"/>
    <n v="1"/>
    <n v="399"/>
    <n v="0.2"/>
    <n v="399"/>
    <n v="79.800000000000011"/>
    <n v="319.2"/>
    <n v="112"/>
    <n v="112"/>
    <n v="60"/>
    <n v="147.19999999999999"/>
    <n v="0.46115288220551376"/>
    <x v="1"/>
    <d v="2024-02-03T00:00:00"/>
    <n v="1"/>
    <x v="1"/>
    <m/>
    <n v="0"/>
  </r>
  <r>
    <s v="ORD-100190"/>
    <x v="32"/>
    <x v="0"/>
    <d v="2024-02-01T00:00:00"/>
    <n v="2"/>
    <s v="CUST-00537"/>
    <x v="0"/>
    <x v="13"/>
    <s v="MP"/>
    <x v="1"/>
    <s v="Bhopal"/>
    <x v="2"/>
    <s v="P305"/>
    <s v="Printed Saree"/>
    <x v="1"/>
    <n v="4"/>
    <n v="1999"/>
    <n v="0.05"/>
    <n v="7996"/>
    <n v="399.8"/>
    <n v="7596.2"/>
    <n v="880"/>
    <n v="3520"/>
    <n v="60"/>
    <n v="4016.2"/>
    <n v="0.52871172428319424"/>
    <x v="0"/>
    <d v="2024-02-05T00:00:00"/>
    <n v="3"/>
    <x v="0"/>
    <n v="3"/>
    <n v="0"/>
  </r>
  <r>
    <s v="ORD-100191"/>
    <x v="32"/>
    <x v="0"/>
    <d v="2024-02-01T00:00:00"/>
    <n v="2"/>
    <s v="CUST-00401"/>
    <x v="0"/>
    <x v="2"/>
    <s v="MH"/>
    <x v="1"/>
    <s v="Pune"/>
    <x v="4"/>
    <s v="P303"/>
    <s v="Joggers"/>
    <x v="1"/>
    <n v="1"/>
    <n v="1199"/>
    <n v="0.15"/>
    <n v="1199"/>
    <n v="179.85"/>
    <n v="1019.15"/>
    <n v="492"/>
    <n v="492"/>
    <n v="60"/>
    <n v="467.15"/>
    <n v="0.45837217288917231"/>
    <x v="2"/>
    <d v="2024-02-05T00:00:00"/>
    <n v="3"/>
    <x v="0"/>
    <n v="4"/>
    <n v="0"/>
  </r>
  <r>
    <s v="ORD-100192"/>
    <x v="33"/>
    <x v="0"/>
    <d v="2024-02-01T00:00:00"/>
    <n v="2"/>
    <s v="CUST-00128"/>
    <x v="0"/>
    <x v="13"/>
    <s v="MP"/>
    <x v="1"/>
    <s v="Bhopal"/>
    <x v="2"/>
    <s v="P102"/>
    <s v="Sunscreen SPF 50"/>
    <x v="3"/>
    <n v="1"/>
    <n v="449"/>
    <n v="0"/>
    <n v="449"/>
    <n v="0"/>
    <n v="449"/>
    <n v="144"/>
    <n v="144"/>
    <n v="60"/>
    <n v="245"/>
    <n v="0.54565701559020041"/>
    <x v="0"/>
    <d v="2024-02-07T00:00:00"/>
    <n v="4"/>
    <x v="0"/>
    <m/>
    <n v="0"/>
  </r>
  <r>
    <s v="ORD-100193"/>
    <x v="33"/>
    <x v="0"/>
    <d v="2024-02-01T00:00:00"/>
    <n v="2"/>
    <s v="CUST-00387"/>
    <x v="0"/>
    <x v="2"/>
    <s v="MH"/>
    <x v="1"/>
    <s v="Nagpur"/>
    <x v="0"/>
    <s v="P404"/>
    <s v="Flip Flops"/>
    <x v="5"/>
    <n v="2"/>
    <n v="399"/>
    <n v="0.05"/>
    <n v="798"/>
    <n v="39.900000000000006"/>
    <n v="758.1"/>
    <n v="152"/>
    <n v="304"/>
    <n v="120"/>
    <n v="334.1"/>
    <n v="0.44070703073473161"/>
    <x v="0"/>
    <d v="2024-02-05T00:00:00"/>
    <n v="2"/>
    <x v="1"/>
    <n v="4"/>
    <n v="1"/>
  </r>
  <r>
    <s v="ORD-100194"/>
    <x v="33"/>
    <x v="0"/>
    <d v="2024-02-01T00:00:00"/>
    <n v="2"/>
    <s v="CUST-02930"/>
    <x v="0"/>
    <x v="8"/>
    <s v="AP"/>
    <x v="3"/>
    <s v="Vijayawada"/>
    <x v="0"/>
    <s v="P201"/>
    <s v="Onion Hair Oil"/>
    <x v="6"/>
    <n v="1"/>
    <n v="349"/>
    <n v="0.25"/>
    <n v="349"/>
    <n v="87.25"/>
    <n v="261.75"/>
    <n v="105"/>
    <n v="105"/>
    <n v="60"/>
    <n v="96.75"/>
    <n v="0.36962750716332377"/>
    <x v="0"/>
    <d v="2024-02-09T00:00:00"/>
    <n v="6"/>
    <x v="2"/>
    <n v="3"/>
    <n v="0"/>
  </r>
  <r>
    <s v="ORD-100195"/>
    <x v="33"/>
    <x v="0"/>
    <d v="2024-02-01T00:00:00"/>
    <n v="2"/>
    <s v="CUST-03100"/>
    <x v="0"/>
    <x v="17"/>
    <s v="TN"/>
    <x v="3"/>
    <s v="Chennai"/>
    <x v="1"/>
    <s v="P303"/>
    <s v="Joggers"/>
    <x v="1"/>
    <n v="1"/>
    <n v="1199"/>
    <n v="0.15"/>
    <n v="1199"/>
    <n v="179.85"/>
    <n v="1019.15"/>
    <n v="492"/>
    <n v="492"/>
    <n v="60"/>
    <n v="467.15"/>
    <n v="0.45837217288917231"/>
    <x v="4"/>
    <d v="2024-02-06T00:00:00"/>
    <n v="3"/>
    <x v="0"/>
    <n v="4"/>
    <n v="0"/>
  </r>
  <r>
    <s v="ORD-100196"/>
    <x v="34"/>
    <x v="0"/>
    <d v="2024-02-01T00:00:00"/>
    <n v="2"/>
    <s v="CUST-02457"/>
    <x v="0"/>
    <x v="2"/>
    <s v="MH"/>
    <x v="1"/>
    <s v="Mumbai"/>
    <x v="4"/>
    <s v="P201"/>
    <s v="Onion Hair Oil"/>
    <x v="6"/>
    <n v="2"/>
    <n v="349"/>
    <n v="0.4"/>
    <n v="698"/>
    <n v="279.2"/>
    <n v="418.8"/>
    <n v="105"/>
    <n v="210"/>
    <n v="60"/>
    <n v="148.80000000000001"/>
    <n v="0.35530085959885388"/>
    <x v="4"/>
    <d v="2024-02-07T00:00:00"/>
    <n v="3"/>
    <x v="0"/>
    <n v="4"/>
    <n v="0"/>
  </r>
  <r>
    <s v="ORD-100197"/>
    <x v="34"/>
    <x v="0"/>
    <d v="2024-02-01T00:00:00"/>
    <n v="2"/>
    <s v="CUST-00472"/>
    <x v="0"/>
    <x v="8"/>
    <s v="AP"/>
    <x v="3"/>
    <s v="Vijayawada"/>
    <x v="3"/>
    <s v="P701"/>
    <s v="Ashwagandha Capsules"/>
    <x v="0"/>
    <n v="1"/>
    <n v="499"/>
    <n v="0"/>
    <n v="499"/>
    <n v="0"/>
    <n v="499"/>
    <n v="150"/>
    <n v="150"/>
    <n v="60"/>
    <n v="289"/>
    <n v="0.57915831663326656"/>
    <x v="0"/>
    <d v="2024-02-06T00:00:00"/>
    <n v="2"/>
    <x v="1"/>
    <m/>
    <n v="0"/>
  </r>
  <r>
    <s v="ORD-100198"/>
    <x v="35"/>
    <x v="0"/>
    <d v="2024-02-01T00:00:00"/>
    <n v="2"/>
    <s v="CUST-02589"/>
    <x v="1"/>
    <x v="0"/>
    <s v="RJ"/>
    <x v="0"/>
    <s v="Udaipur"/>
    <x v="3"/>
    <s v="P703"/>
    <s v="Green Tea (100 bags)"/>
    <x v="0"/>
    <n v="2"/>
    <n v="399"/>
    <n v="0.4"/>
    <n v="798"/>
    <n v="319.20000000000005"/>
    <n v="478.79999999999995"/>
    <n v="128"/>
    <n v="256"/>
    <n v="60"/>
    <n v="162.79999999999995"/>
    <n v="0.34001670843776099"/>
    <x v="0"/>
    <d v="2024-02-07T00:00:00"/>
    <n v="2"/>
    <x v="1"/>
    <n v="3"/>
    <n v="0"/>
  </r>
  <r>
    <s v="ORD-100199"/>
    <x v="35"/>
    <x v="0"/>
    <d v="2024-02-01T00:00:00"/>
    <n v="2"/>
    <s v="CUST-00860"/>
    <x v="0"/>
    <x v="6"/>
    <s v="DL"/>
    <x v="0"/>
    <s v="New Delhi"/>
    <x v="1"/>
    <s v="P302"/>
    <s v="Linen Kurta"/>
    <x v="1"/>
    <n v="1"/>
    <n v="1499"/>
    <n v="0.3"/>
    <n v="1499"/>
    <n v="449.7"/>
    <n v="1049.3"/>
    <n v="630"/>
    <n v="630"/>
    <n v="60"/>
    <n v="359.29999999999995"/>
    <n v="0.34241875536071664"/>
    <x v="0"/>
    <d v="2024-02-08T00:00:00"/>
    <n v="3"/>
    <x v="0"/>
    <m/>
    <n v="0"/>
  </r>
  <r>
    <s v="ORD-100200"/>
    <x v="35"/>
    <x v="0"/>
    <d v="2024-02-01T00:00:00"/>
    <n v="2"/>
    <s v="CUST-00322"/>
    <x v="0"/>
    <x v="10"/>
    <s v="CG"/>
    <x v="2"/>
    <s v="Raipur"/>
    <x v="0"/>
    <s v="P104"/>
    <s v="Hydrating Face Wash"/>
    <x v="3"/>
    <n v="1"/>
    <n v="299"/>
    <n v="0.1"/>
    <n v="299"/>
    <n v="29.900000000000002"/>
    <n v="269.10000000000002"/>
    <n v="90"/>
    <n v="90"/>
    <n v="60"/>
    <n v="119.10000000000002"/>
    <n v="0.4425863991081383"/>
    <x v="1"/>
    <d v="2024-02-09T00:00:00"/>
    <n v="4"/>
    <x v="0"/>
    <n v="3"/>
    <n v="0"/>
  </r>
  <r>
    <s v="ORD-100201"/>
    <x v="36"/>
    <x v="0"/>
    <d v="2024-02-01T00:00:00"/>
    <n v="2"/>
    <s v="CUST-00876"/>
    <x v="0"/>
    <x v="15"/>
    <s v="HR"/>
    <x v="0"/>
    <s v="Faridabad"/>
    <x v="3"/>
    <s v="P204"/>
    <s v="Anti-Dandruff Conditioner"/>
    <x v="6"/>
    <n v="1"/>
    <n v="399"/>
    <n v="0.3"/>
    <n v="399"/>
    <n v="119.69999999999999"/>
    <n v="279.3"/>
    <n v="136"/>
    <n v="136"/>
    <n v="60"/>
    <n v="83.300000000000011"/>
    <n v="0.29824561403508776"/>
    <x v="0"/>
    <d v="2024-02-08T00:00:00"/>
    <n v="2"/>
    <x v="1"/>
    <n v="4"/>
    <n v="0"/>
  </r>
  <r>
    <s v="ORD-100202"/>
    <x v="36"/>
    <x v="0"/>
    <d v="2024-02-01T00:00:00"/>
    <n v="2"/>
    <s v="CUST-01402"/>
    <x v="0"/>
    <x v="22"/>
    <s v="AS"/>
    <x v="2"/>
    <s v="Guwahati"/>
    <x v="0"/>
    <s v="P404"/>
    <s v="Flip Flops"/>
    <x v="5"/>
    <n v="1"/>
    <n v="399"/>
    <n v="0.1"/>
    <n v="399"/>
    <n v="39.900000000000006"/>
    <n v="359.1"/>
    <n v="152"/>
    <n v="152"/>
    <n v="60"/>
    <n v="147.10000000000002"/>
    <n v="0.40963519910888335"/>
    <x v="0"/>
    <d v="2024-02-12T00:00:00"/>
    <n v="6"/>
    <x v="2"/>
    <n v="3"/>
    <n v="0"/>
  </r>
  <r>
    <s v="ORD-100203"/>
    <x v="36"/>
    <x v="0"/>
    <d v="2024-02-01T00:00:00"/>
    <n v="2"/>
    <s v="CUST-02928"/>
    <x v="0"/>
    <x v="2"/>
    <s v="MH"/>
    <x v="1"/>
    <s v="Pune"/>
    <x v="3"/>
    <s v="P101"/>
    <s v="Vitamin C Face Serum"/>
    <x v="3"/>
    <n v="1"/>
    <n v="599"/>
    <n v="0.2"/>
    <n v="599"/>
    <n v="119.80000000000001"/>
    <n v="479.2"/>
    <n v="180"/>
    <n v="180"/>
    <n v="120"/>
    <n v="179.2"/>
    <n v="0.37395659432387313"/>
    <x v="3"/>
    <d v="2024-02-08T00:00:00"/>
    <n v="2"/>
    <x v="1"/>
    <m/>
    <n v="1"/>
  </r>
  <r>
    <s v="ORD-100204"/>
    <x v="36"/>
    <x v="0"/>
    <d v="2024-02-01T00:00:00"/>
    <n v="2"/>
    <s v="CUST-00162"/>
    <x v="0"/>
    <x v="2"/>
    <s v="MH"/>
    <x v="1"/>
    <s v="Nagpur"/>
    <x v="3"/>
    <s v="P103"/>
    <s v="Niacinamide Toner"/>
    <x v="3"/>
    <n v="4"/>
    <n v="399"/>
    <n v="0.25"/>
    <n v="1596"/>
    <n v="399"/>
    <n v="1197"/>
    <n v="112"/>
    <n v="448"/>
    <n v="60"/>
    <n v="689"/>
    <n v="0.57560568086883879"/>
    <x v="1"/>
    <d v="2024-02-09T00:00:00"/>
    <n v="3"/>
    <x v="0"/>
    <n v="3"/>
    <n v="0"/>
  </r>
  <r>
    <s v="ORD-100205"/>
    <x v="36"/>
    <x v="0"/>
    <d v="2024-02-01T00:00:00"/>
    <n v="2"/>
    <s v="CUST-00189"/>
    <x v="1"/>
    <x v="8"/>
    <s v="AP"/>
    <x v="3"/>
    <s v="Visakhapatnam"/>
    <x v="3"/>
    <s v="P104"/>
    <s v="Hydrating Face Wash"/>
    <x v="3"/>
    <n v="1"/>
    <n v="299"/>
    <n v="0.05"/>
    <n v="299"/>
    <n v="14.950000000000001"/>
    <n v="284.05"/>
    <n v="90"/>
    <n v="90"/>
    <n v="60"/>
    <n v="134.05000000000001"/>
    <n v="0.47192395704981521"/>
    <x v="1"/>
    <d v="2024-02-08T00:00:00"/>
    <n v="2"/>
    <x v="1"/>
    <n v="3"/>
    <n v="0"/>
  </r>
  <r>
    <s v="ORD-100206"/>
    <x v="37"/>
    <x v="0"/>
    <d v="2024-02-01T00:00:00"/>
    <n v="2"/>
    <s v="CUST-00808"/>
    <x v="0"/>
    <x v="0"/>
    <s v="RJ"/>
    <x v="0"/>
    <s v="Udaipur"/>
    <x v="4"/>
    <s v="P101"/>
    <s v="Vitamin C Face Serum"/>
    <x v="3"/>
    <n v="1"/>
    <n v="599"/>
    <n v="0.15"/>
    <n v="599"/>
    <n v="89.85"/>
    <n v="509.15"/>
    <n v="180"/>
    <n v="180"/>
    <n v="60"/>
    <n v="269.14999999999998"/>
    <n v="0.52862614160856325"/>
    <x v="0"/>
    <d v="2024-02-12T00:00:00"/>
    <n v="5"/>
    <x v="2"/>
    <n v="4"/>
    <n v="0"/>
  </r>
  <r>
    <s v="ORD-100207"/>
    <x v="37"/>
    <x v="0"/>
    <d v="2024-02-01T00:00:00"/>
    <n v="2"/>
    <s v="CUST-00993"/>
    <x v="0"/>
    <x v="2"/>
    <s v="MH"/>
    <x v="1"/>
    <s v="Mumbai"/>
    <x v="4"/>
    <s v="P602"/>
    <s v="Fast Charger 33W"/>
    <x v="2"/>
    <n v="1"/>
    <n v="899"/>
    <n v="0.05"/>
    <n v="899"/>
    <n v="44.95"/>
    <n v="854.05"/>
    <n v="494"/>
    <n v="494"/>
    <n v="60"/>
    <n v="300.04999999999995"/>
    <n v="0.35132603477548152"/>
    <x v="4"/>
    <d v="2024-02-11T00:00:00"/>
    <n v="4"/>
    <x v="0"/>
    <n v="4"/>
    <n v="0"/>
  </r>
  <r>
    <s v="ORD-100208"/>
    <x v="37"/>
    <x v="0"/>
    <d v="2024-02-01T00:00:00"/>
    <n v="2"/>
    <s v="CUST-02878"/>
    <x v="0"/>
    <x v="21"/>
    <s v="TG"/>
    <x v="3"/>
    <s v="Hyderabad"/>
    <x v="1"/>
    <s v="P305"/>
    <s v="Printed Saree"/>
    <x v="1"/>
    <n v="1"/>
    <n v="1999"/>
    <n v="0.05"/>
    <n v="1999"/>
    <n v="99.95"/>
    <n v="1899.05"/>
    <n v="880"/>
    <n v="880"/>
    <n v="120"/>
    <n v="899.05"/>
    <n v="0.47342092098680916"/>
    <x v="4"/>
    <d v="2024-02-09T00:00:00"/>
    <n v="2"/>
    <x v="1"/>
    <n v="4"/>
    <n v="1"/>
  </r>
  <r>
    <s v="ORD-100209"/>
    <x v="38"/>
    <x v="0"/>
    <d v="2024-02-01T00:00:00"/>
    <n v="2"/>
    <s v="CUST-02729"/>
    <x v="0"/>
    <x v="0"/>
    <s v="RJ"/>
    <x v="0"/>
    <s v="Udaipur"/>
    <x v="0"/>
    <s v="P603"/>
    <s v="Smartwatch Strap"/>
    <x v="2"/>
    <n v="2"/>
    <n v="499"/>
    <n v="0.1"/>
    <n v="998"/>
    <n v="99.800000000000011"/>
    <n v="898.2"/>
    <n v="200"/>
    <n v="400"/>
    <n v="60"/>
    <n v="438.20000000000005"/>
    <n v="0.4878646181251392"/>
    <x v="3"/>
    <d v="2024-02-12T00:00:00"/>
    <n v="4"/>
    <x v="0"/>
    <m/>
    <n v="0"/>
  </r>
  <r>
    <s v="ORD-100210"/>
    <x v="38"/>
    <x v="0"/>
    <d v="2024-02-01T00:00:00"/>
    <n v="2"/>
    <s v="CUST-01184"/>
    <x v="0"/>
    <x v="6"/>
    <s v="DL"/>
    <x v="0"/>
    <s v="New Delhi"/>
    <x v="3"/>
    <s v="P201"/>
    <s v="Onion Hair Oil"/>
    <x v="6"/>
    <n v="2"/>
    <n v="349"/>
    <n v="0.35"/>
    <n v="698"/>
    <n v="244.29999999999998"/>
    <n v="453.70000000000005"/>
    <n v="105"/>
    <n v="210"/>
    <n v="60"/>
    <n v="183.70000000000005"/>
    <n v="0.40489310116817284"/>
    <x v="1"/>
    <d v="2024-02-09T00:00:00"/>
    <n v="1"/>
    <x v="1"/>
    <n v="4"/>
    <n v="0"/>
  </r>
  <r>
    <s v="ORD-100211"/>
    <x v="38"/>
    <x v="0"/>
    <d v="2024-02-01T00:00:00"/>
    <n v="2"/>
    <s v="CUST-02748"/>
    <x v="1"/>
    <x v="2"/>
    <s v="MH"/>
    <x v="1"/>
    <s v="Pune"/>
    <x v="0"/>
    <s v="P704"/>
    <s v="Multivitamin Gummies"/>
    <x v="0"/>
    <n v="1"/>
    <n v="699"/>
    <n v="0.2"/>
    <n v="699"/>
    <n v="139.80000000000001"/>
    <n v="559.20000000000005"/>
    <n v="238"/>
    <n v="238"/>
    <n v="60"/>
    <n v="261.20000000000005"/>
    <n v="0.46709585121602293"/>
    <x v="1"/>
    <d v="2024-02-11T00:00:00"/>
    <n v="3"/>
    <x v="0"/>
    <n v="5"/>
    <n v="0"/>
  </r>
  <r>
    <s v="ORD-100212"/>
    <x v="38"/>
    <x v="0"/>
    <d v="2024-02-01T00:00:00"/>
    <n v="2"/>
    <s v="CUST-00462"/>
    <x v="0"/>
    <x v="17"/>
    <s v="TN"/>
    <x v="3"/>
    <s v="Coimbatore"/>
    <x v="2"/>
    <s v="P604"/>
    <s v="Power Bank 20000mAh"/>
    <x v="2"/>
    <n v="1"/>
    <n v="1799"/>
    <n v="0.25"/>
    <n v="1799"/>
    <n v="449.75"/>
    <n v="1349.25"/>
    <n v="1079"/>
    <n v="1079"/>
    <n v="60"/>
    <n v="210.25"/>
    <n v="0.15582731146933482"/>
    <x v="3"/>
    <d v="2024-02-13T00:00:00"/>
    <n v="5"/>
    <x v="2"/>
    <n v="3"/>
    <n v="0"/>
  </r>
  <r>
    <s v="ORD-100213"/>
    <x v="38"/>
    <x v="0"/>
    <d v="2024-02-01T00:00:00"/>
    <n v="2"/>
    <s v="CUST-00718"/>
    <x v="0"/>
    <x v="17"/>
    <s v="TN"/>
    <x v="3"/>
    <s v="Chennai"/>
    <x v="4"/>
    <s v="P201"/>
    <s v="Onion Hair Oil"/>
    <x v="6"/>
    <n v="1"/>
    <n v="349"/>
    <n v="0.3"/>
    <n v="349"/>
    <n v="104.7"/>
    <n v="244.3"/>
    <n v="105"/>
    <n v="105"/>
    <n v="60"/>
    <n v="79.300000000000011"/>
    <n v="0.32460090053213264"/>
    <x v="0"/>
    <d v="2024-02-09T00:00:00"/>
    <n v="1"/>
    <x v="1"/>
    <n v="5"/>
    <n v="0"/>
  </r>
  <r>
    <s v="ORD-100214"/>
    <x v="38"/>
    <x v="0"/>
    <d v="2024-02-01T00:00:00"/>
    <n v="2"/>
    <s v="CUST-01189"/>
    <x v="0"/>
    <x v="17"/>
    <s v="TN"/>
    <x v="3"/>
    <s v="Chennai"/>
    <x v="4"/>
    <s v="P704"/>
    <s v="Multivitamin Gummies"/>
    <x v="0"/>
    <n v="1"/>
    <n v="699"/>
    <n v="0.15"/>
    <n v="699"/>
    <n v="104.85"/>
    <n v="594.15"/>
    <n v="238"/>
    <n v="238"/>
    <n v="60"/>
    <n v="296.14999999999998"/>
    <n v="0.49844315408566858"/>
    <x v="0"/>
    <d v="2024-02-11T00:00:00"/>
    <n v="3"/>
    <x v="0"/>
    <n v="4"/>
    <n v="0"/>
  </r>
  <r>
    <s v="ORD-100215"/>
    <x v="39"/>
    <x v="0"/>
    <d v="2024-02-01T00:00:00"/>
    <n v="2"/>
    <s v="CUST-02297"/>
    <x v="0"/>
    <x v="9"/>
    <s v="UK"/>
    <x v="0"/>
    <s v="Dehradun"/>
    <x v="0"/>
    <s v="P102"/>
    <s v="Sunscreen SPF 50"/>
    <x v="3"/>
    <n v="1"/>
    <n v="449"/>
    <n v="0.05"/>
    <n v="449"/>
    <n v="22.450000000000003"/>
    <n v="426.55"/>
    <n v="144"/>
    <n v="144"/>
    <n v="60"/>
    <n v="222.55"/>
    <n v="0.52174422693705313"/>
    <x v="3"/>
    <d v="2024-02-14T00:00:00"/>
    <n v="5"/>
    <x v="2"/>
    <n v="4"/>
    <n v="0"/>
  </r>
  <r>
    <s v="ORD-100216"/>
    <x v="39"/>
    <x v="0"/>
    <d v="2024-02-01T00:00:00"/>
    <n v="2"/>
    <s v="CUST-01971"/>
    <x v="0"/>
    <x v="15"/>
    <s v="HR"/>
    <x v="0"/>
    <s v="Faridabad"/>
    <x v="4"/>
    <s v="P301"/>
    <s v="Cotton Oversized T-Shirt"/>
    <x v="1"/>
    <n v="1"/>
    <n v="799"/>
    <n v="0"/>
    <n v="799"/>
    <n v="0"/>
    <n v="799"/>
    <n v="320"/>
    <n v="320"/>
    <n v="60"/>
    <n v="419"/>
    <n v="0.52440550688360454"/>
    <x v="1"/>
    <d v="2024-02-13T00:00:00"/>
    <n v="4"/>
    <x v="0"/>
    <n v="5"/>
    <n v="0"/>
  </r>
  <r>
    <s v="ORD-100217"/>
    <x v="39"/>
    <x v="0"/>
    <d v="2024-02-01T00:00:00"/>
    <n v="2"/>
    <s v="CUST-02392"/>
    <x v="0"/>
    <x v="6"/>
    <s v="DL"/>
    <x v="0"/>
    <s v="New Delhi"/>
    <x v="4"/>
    <s v="P102"/>
    <s v="Sunscreen SPF 50"/>
    <x v="3"/>
    <n v="3"/>
    <n v="449"/>
    <n v="0"/>
    <n v="1347"/>
    <n v="0"/>
    <n v="1347"/>
    <n v="144"/>
    <n v="432"/>
    <n v="60"/>
    <n v="855"/>
    <n v="0.63474387527839649"/>
    <x v="0"/>
    <d v="2024-02-10T00:00:00"/>
    <n v="1"/>
    <x v="1"/>
    <n v="3"/>
    <n v="0"/>
  </r>
  <r>
    <s v="ORD-100218"/>
    <x v="39"/>
    <x v="0"/>
    <d v="2024-02-01T00:00:00"/>
    <n v="2"/>
    <s v="CUST-00022"/>
    <x v="1"/>
    <x v="14"/>
    <s v="KL"/>
    <x v="3"/>
    <s v="Thiruvananthapuram"/>
    <x v="1"/>
    <s v="P404"/>
    <s v="Flip Flops"/>
    <x v="5"/>
    <n v="1"/>
    <n v="399"/>
    <n v="0.15"/>
    <n v="399"/>
    <n v="59.849999999999994"/>
    <n v="339.15"/>
    <n v="152"/>
    <n v="152"/>
    <n v="60"/>
    <n v="127.14999999999998"/>
    <n v="0.37490785787999409"/>
    <x v="1"/>
    <d v="2024-02-13T00:00:00"/>
    <n v="4"/>
    <x v="0"/>
    <n v="3"/>
    <n v="0"/>
  </r>
  <r>
    <s v="ORD-100219"/>
    <x v="39"/>
    <x v="0"/>
    <d v="2024-02-01T00:00:00"/>
    <n v="2"/>
    <s v="CUST-00869"/>
    <x v="0"/>
    <x v="17"/>
    <s v="TN"/>
    <x v="3"/>
    <s v="Chennai"/>
    <x v="3"/>
    <s v="P704"/>
    <s v="Multivitamin Gummies"/>
    <x v="0"/>
    <n v="1"/>
    <n v="699"/>
    <n v="0.3"/>
    <n v="699"/>
    <n v="209.7"/>
    <n v="489.3"/>
    <n v="238"/>
    <n v="238"/>
    <n v="60"/>
    <n v="191.3"/>
    <n v="0.39096668710402616"/>
    <x v="1"/>
    <d v="2024-02-10T00:00:00"/>
    <n v="1"/>
    <x v="1"/>
    <n v="4"/>
    <n v="0"/>
  </r>
  <r>
    <s v="ORD-100220"/>
    <x v="40"/>
    <x v="0"/>
    <d v="2024-02-01T00:00:00"/>
    <n v="2"/>
    <s v="CUST-00159"/>
    <x v="0"/>
    <x v="4"/>
    <s v="JK"/>
    <x v="0"/>
    <s v="Jammu"/>
    <x v="4"/>
    <s v="P102"/>
    <s v="Sunscreen SPF 50"/>
    <x v="3"/>
    <n v="1"/>
    <n v="449"/>
    <n v="0.15"/>
    <n v="449"/>
    <n v="67.349999999999994"/>
    <n v="381.65"/>
    <n v="144"/>
    <n v="144"/>
    <n v="60"/>
    <n v="177.64999999999998"/>
    <n v="0.465478841870824"/>
    <x v="1"/>
    <d v="2024-02-16T00:00:00"/>
    <n v="6"/>
    <x v="2"/>
    <n v="4"/>
    <n v="0"/>
  </r>
  <r>
    <s v="ORD-100221"/>
    <x v="40"/>
    <x v="0"/>
    <d v="2024-02-01T00:00:00"/>
    <n v="2"/>
    <s v="CUST-00910"/>
    <x v="0"/>
    <x v="15"/>
    <s v="HR"/>
    <x v="0"/>
    <s v="Faridabad"/>
    <x v="0"/>
    <s v="P701"/>
    <s v="Ashwagandha Capsules"/>
    <x v="0"/>
    <n v="1"/>
    <n v="499"/>
    <n v="0.05"/>
    <n v="499"/>
    <n v="24.950000000000003"/>
    <n v="474.05"/>
    <n v="150"/>
    <n v="150"/>
    <n v="120"/>
    <n v="204.05"/>
    <n v="0.43043982702246597"/>
    <x v="3"/>
    <d v="2024-02-12T00:00:00"/>
    <n v="2"/>
    <x v="1"/>
    <n v="4"/>
    <n v="1"/>
  </r>
  <r>
    <s v="ORD-100222"/>
    <x v="40"/>
    <x v="0"/>
    <d v="2024-02-01T00:00:00"/>
    <n v="2"/>
    <s v="CUST-00315"/>
    <x v="0"/>
    <x v="2"/>
    <s v="MH"/>
    <x v="1"/>
    <s v="Mumbai"/>
    <x v="4"/>
    <s v="P102"/>
    <s v="Sunscreen SPF 50"/>
    <x v="3"/>
    <n v="2"/>
    <n v="449"/>
    <n v="0.05"/>
    <n v="898"/>
    <n v="44.900000000000006"/>
    <n v="853.1"/>
    <n v="144"/>
    <n v="288"/>
    <n v="60"/>
    <n v="505.1"/>
    <n v="0.59207595826983939"/>
    <x v="1"/>
    <d v="2024-02-13T00:00:00"/>
    <n v="3"/>
    <x v="0"/>
    <n v="5"/>
    <n v="0"/>
  </r>
  <r>
    <s v="ORD-100223"/>
    <x v="40"/>
    <x v="0"/>
    <d v="2024-02-01T00:00:00"/>
    <n v="2"/>
    <s v="CUST-01713"/>
    <x v="0"/>
    <x v="2"/>
    <s v="MH"/>
    <x v="1"/>
    <s v="Mumbai"/>
    <x v="1"/>
    <s v="P303"/>
    <s v="Joggers"/>
    <x v="1"/>
    <n v="1"/>
    <n v="1199"/>
    <n v="0.2"/>
    <n v="1199"/>
    <n v="239.8"/>
    <n v="959.2"/>
    <n v="492"/>
    <n v="492"/>
    <n v="60"/>
    <n v="407.20000000000005"/>
    <n v="0.42452043369474562"/>
    <x v="1"/>
    <d v="2024-02-13T00:00:00"/>
    <n v="3"/>
    <x v="0"/>
    <n v="4"/>
    <n v="0"/>
  </r>
  <r>
    <s v="ORD-100224"/>
    <x v="40"/>
    <x v="0"/>
    <d v="2024-02-01T00:00:00"/>
    <n v="2"/>
    <s v="CUST-00250"/>
    <x v="0"/>
    <x v="14"/>
    <s v="KL"/>
    <x v="3"/>
    <s v="Kochi"/>
    <x v="0"/>
    <s v="P102"/>
    <s v="Sunscreen SPF 50"/>
    <x v="3"/>
    <n v="1"/>
    <n v="449"/>
    <n v="0.1"/>
    <n v="449"/>
    <n v="44.900000000000006"/>
    <n v="404.1"/>
    <n v="144"/>
    <n v="144"/>
    <n v="60"/>
    <n v="200.10000000000002"/>
    <n v="0.4951744617668894"/>
    <x v="0"/>
    <d v="2024-02-13T00:00:00"/>
    <n v="3"/>
    <x v="0"/>
    <m/>
    <n v="0"/>
  </r>
  <r>
    <s v="ORD-100225"/>
    <x v="41"/>
    <x v="0"/>
    <d v="2024-02-01T00:00:00"/>
    <n v="2"/>
    <s v="CUST-00723"/>
    <x v="0"/>
    <x v="13"/>
    <s v="MP"/>
    <x v="1"/>
    <s v="Indore"/>
    <x v="1"/>
    <s v="P404"/>
    <s v="Flip Flops"/>
    <x v="5"/>
    <n v="1"/>
    <n v="399"/>
    <n v="0.05"/>
    <n v="399"/>
    <n v="19.950000000000003"/>
    <n v="379.05"/>
    <n v="152"/>
    <n v="152"/>
    <n v="60"/>
    <n v="167.05"/>
    <n v="0.44070703073473161"/>
    <x v="4"/>
    <d v="2024-02-15T00:00:00"/>
    <n v="4"/>
    <x v="0"/>
    <n v="5"/>
    <n v="0"/>
  </r>
  <r>
    <s v="ORD-100226"/>
    <x v="41"/>
    <x v="0"/>
    <d v="2024-02-01T00:00:00"/>
    <n v="2"/>
    <s v="CUST-00363"/>
    <x v="0"/>
    <x v="8"/>
    <s v="AP"/>
    <x v="3"/>
    <s v="Vijayawada"/>
    <x v="2"/>
    <s v="P704"/>
    <s v="Multivitamin Gummies"/>
    <x v="0"/>
    <n v="2"/>
    <n v="699"/>
    <n v="0.2"/>
    <n v="1398"/>
    <n v="279.60000000000002"/>
    <n v="1118.4000000000001"/>
    <n v="238"/>
    <n v="476"/>
    <n v="60"/>
    <n v="582.40000000000009"/>
    <n v="0.5207439198855508"/>
    <x v="2"/>
    <d v="2024-02-15T00:00:00"/>
    <n v="4"/>
    <x v="0"/>
    <n v="3"/>
    <n v="0"/>
  </r>
  <r>
    <s v="ORD-100227"/>
    <x v="42"/>
    <x v="0"/>
    <d v="2024-02-01T00:00:00"/>
    <n v="2"/>
    <s v="CUST-00960"/>
    <x v="0"/>
    <x v="9"/>
    <s v="UK"/>
    <x v="0"/>
    <s v="Dehradun"/>
    <x v="0"/>
    <s v="P201"/>
    <s v="Onion Hair Oil"/>
    <x v="6"/>
    <n v="1"/>
    <n v="349"/>
    <n v="0.3"/>
    <n v="349"/>
    <n v="104.7"/>
    <n v="244.3"/>
    <n v="105"/>
    <n v="105"/>
    <n v="60"/>
    <n v="79.300000000000011"/>
    <n v="0.32460090053213264"/>
    <x v="0"/>
    <d v="2024-02-17T00:00:00"/>
    <n v="5"/>
    <x v="2"/>
    <m/>
    <n v="0"/>
  </r>
  <r>
    <s v="ORD-100228"/>
    <x v="42"/>
    <x v="0"/>
    <d v="2024-02-01T00:00:00"/>
    <n v="2"/>
    <s v="CUST-00299"/>
    <x v="0"/>
    <x v="9"/>
    <s v="UK"/>
    <x v="0"/>
    <s v="Dehradun"/>
    <x v="0"/>
    <s v="P203"/>
    <s v="Keratin Hair Mask"/>
    <x v="6"/>
    <n v="1"/>
    <n v="549"/>
    <n v="0.2"/>
    <n v="549"/>
    <n v="109.80000000000001"/>
    <n v="439.2"/>
    <n v="170"/>
    <n v="170"/>
    <n v="60"/>
    <n v="209.2"/>
    <n v="0.47632058287795992"/>
    <x v="0"/>
    <d v="2024-02-17T00:00:00"/>
    <n v="5"/>
    <x v="2"/>
    <m/>
    <n v="0"/>
  </r>
  <r>
    <s v="ORD-100229"/>
    <x v="42"/>
    <x v="0"/>
    <d v="2024-02-01T00:00:00"/>
    <n v="2"/>
    <s v="CUST-00828"/>
    <x v="0"/>
    <x v="6"/>
    <s v="DL"/>
    <x v="0"/>
    <s v="New Delhi"/>
    <x v="0"/>
    <s v="P404"/>
    <s v="Flip Flops"/>
    <x v="5"/>
    <n v="1"/>
    <n v="399"/>
    <n v="0.2"/>
    <n v="399"/>
    <n v="79.800000000000011"/>
    <n v="319.2"/>
    <n v="152"/>
    <n v="152"/>
    <n v="60"/>
    <n v="107.19999999999999"/>
    <n v="0.33583959899749372"/>
    <x v="4"/>
    <d v="2024-02-14T00:00:00"/>
    <n v="2"/>
    <x v="1"/>
    <n v="4"/>
    <n v="0"/>
  </r>
  <r>
    <s v="ORD-100230"/>
    <x v="42"/>
    <x v="0"/>
    <d v="2024-02-01T00:00:00"/>
    <n v="2"/>
    <s v="CUST-00115"/>
    <x v="0"/>
    <x v="10"/>
    <s v="CG"/>
    <x v="2"/>
    <s v="Raipur"/>
    <x v="0"/>
    <s v="P203"/>
    <s v="Keratin Hair Mask"/>
    <x v="6"/>
    <n v="1"/>
    <n v="549"/>
    <n v="0.1"/>
    <n v="549"/>
    <n v="54.900000000000006"/>
    <n v="494.1"/>
    <n v="170"/>
    <n v="170"/>
    <n v="60"/>
    <n v="264.10000000000002"/>
    <n v="0.53450718478040882"/>
    <x v="3"/>
    <d v="2024-02-17T00:00:00"/>
    <n v="5"/>
    <x v="2"/>
    <n v="3"/>
    <n v="0"/>
  </r>
  <r>
    <s v="ORD-100231"/>
    <x v="42"/>
    <x v="0"/>
    <d v="2024-02-01T00:00:00"/>
    <n v="2"/>
    <s v="CUST-01153"/>
    <x v="0"/>
    <x v="8"/>
    <s v="AP"/>
    <x v="3"/>
    <s v="Vijayawada"/>
    <x v="4"/>
    <s v="P202"/>
    <s v="Argan Shampoo"/>
    <x v="6"/>
    <n v="3"/>
    <n v="449"/>
    <n v="0.05"/>
    <n v="1347"/>
    <n v="67.350000000000009"/>
    <n v="1279.6500000000001"/>
    <n v="148"/>
    <n v="444"/>
    <n v="60"/>
    <n v="775.65000000000009"/>
    <n v="0.60614230453639673"/>
    <x v="3"/>
    <d v="2024-02-13T00:00:00"/>
    <n v="1"/>
    <x v="1"/>
    <m/>
    <n v="0"/>
  </r>
  <r>
    <s v="ORD-100232"/>
    <x v="43"/>
    <x v="0"/>
    <d v="2024-02-01T00:00:00"/>
    <n v="2"/>
    <s v="CUST-00262"/>
    <x v="0"/>
    <x v="6"/>
    <s v="DL"/>
    <x v="0"/>
    <s v="New Delhi"/>
    <x v="0"/>
    <s v="P302"/>
    <s v="Linen Kurta"/>
    <x v="1"/>
    <n v="1"/>
    <n v="1499"/>
    <n v="0.4"/>
    <n v="1499"/>
    <n v="599.6"/>
    <n v="899.4"/>
    <n v="630"/>
    <n v="630"/>
    <n v="120"/>
    <n v="149.39999999999998"/>
    <n v="0.16611074049366242"/>
    <x v="0"/>
    <d v="2024-02-15T00:00:00"/>
    <n v="2"/>
    <x v="1"/>
    <n v="5"/>
    <n v="1"/>
  </r>
  <r>
    <s v="ORD-100233"/>
    <x v="43"/>
    <x v="0"/>
    <d v="2024-02-01T00:00:00"/>
    <n v="2"/>
    <s v="CUST-02402"/>
    <x v="0"/>
    <x v="13"/>
    <s v="MP"/>
    <x v="1"/>
    <s v="Indore"/>
    <x v="2"/>
    <s v="P602"/>
    <s v="Fast Charger 33W"/>
    <x v="2"/>
    <n v="3"/>
    <n v="899"/>
    <n v="0"/>
    <n v="2697"/>
    <n v="0"/>
    <n v="2697"/>
    <n v="494"/>
    <n v="1482"/>
    <n v="60"/>
    <n v="1155"/>
    <n v="0.42825361512791993"/>
    <x v="0"/>
    <d v="2024-02-17T00:00:00"/>
    <n v="4"/>
    <x v="0"/>
    <n v="3"/>
    <n v="0"/>
  </r>
  <r>
    <s v="ORD-100234"/>
    <x v="43"/>
    <x v="0"/>
    <d v="2024-02-01T00:00:00"/>
    <n v="2"/>
    <s v="CUST-00446"/>
    <x v="0"/>
    <x v="10"/>
    <s v="CG"/>
    <x v="2"/>
    <s v="Raipur"/>
    <x v="4"/>
    <s v="P105"/>
    <s v="Retinol Night Cream"/>
    <x v="3"/>
    <n v="1"/>
    <n v="799"/>
    <n v="0.05"/>
    <n v="799"/>
    <n v="39.950000000000003"/>
    <n v="759.05"/>
    <n v="216"/>
    <n v="216"/>
    <n v="120"/>
    <n v="423.04999999999995"/>
    <n v="0.5573414136091166"/>
    <x v="3"/>
    <d v="2024-02-18T00:00:00"/>
    <n v="5"/>
    <x v="2"/>
    <n v="5"/>
    <n v="1"/>
  </r>
  <r>
    <s v="ORD-100235"/>
    <x v="43"/>
    <x v="0"/>
    <d v="2024-02-01T00:00:00"/>
    <n v="2"/>
    <s v="CUST-00281"/>
    <x v="0"/>
    <x v="17"/>
    <s v="TN"/>
    <x v="3"/>
    <s v="Chennai"/>
    <x v="1"/>
    <s v="P401"/>
    <s v="Running Shoes"/>
    <x v="5"/>
    <n v="1"/>
    <n v="2999"/>
    <n v="0.15"/>
    <n v="2999"/>
    <n v="449.84999999999997"/>
    <n v="2549.15"/>
    <n v="1440"/>
    <n v="1440"/>
    <n v="60"/>
    <n v="1049.1500000000001"/>
    <n v="0.41156856206970954"/>
    <x v="3"/>
    <d v="2024-02-14T00:00:00"/>
    <n v="1"/>
    <x v="1"/>
    <n v="4"/>
    <n v="0"/>
  </r>
  <r>
    <s v="ORD-100236"/>
    <x v="43"/>
    <x v="0"/>
    <d v="2024-02-01T00:00:00"/>
    <n v="2"/>
    <s v="CUST-00672"/>
    <x v="0"/>
    <x v="17"/>
    <s v="TN"/>
    <x v="3"/>
    <s v="Coimbatore"/>
    <x v="0"/>
    <s v="P102"/>
    <s v="Sunscreen SPF 50"/>
    <x v="3"/>
    <n v="1"/>
    <n v="449"/>
    <n v="0.1"/>
    <n v="449"/>
    <n v="44.900000000000006"/>
    <n v="404.1"/>
    <n v="144"/>
    <n v="144"/>
    <n v="60"/>
    <n v="200.10000000000002"/>
    <n v="0.4951744617668894"/>
    <x v="0"/>
    <d v="2024-02-16T00:00:00"/>
    <n v="3"/>
    <x v="0"/>
    <n v="4"/>
    <n v="0"/>
  </r>
  <r>
    <s v="ORD-100237"/>
    <x v="44"/>
    <x v="0"/>
    <d v="2024-02-01T00:00:00"/>
    <n v="2"/>
    <s v="CUST-02508"/>
    <x v="0"/>
    <x v="15"/>
    <s v="HR"/>
    <x v="0"/>
    <s v="Gurugram"/>
    <x v="4"/>
    <s v="P202"/>
    <s v="Argan Shampoo"/>
    <x v="6"/>
    <n v="2"/>
    <n v="449"/>
    <n v="0.1"/>
    <n v="898"/>
    <n v="89.800000000000011"/>
    <n v="808.2"/>
    <n v="148"/>
    <n v="296"/>
    <n v="60"/>
    <n v="452.20000000000005"/>
    <n v="0.5595149715416976"/>
    <x v="0"/>
    <d v="2024-02-17T00:00:00"/>
    <n v="3"/>
    <x v="0"/>
    <m/>
    <n v="0"/>
  </r>
  <r>
    <s v="ORD-100238"/>
    <x v="44"/>
    <x v="0"/>
    <d v="2024-02-01T00:00:00"/>
    <n v="2"/>
    <s v="CUST-00022"/>
    <x v="1"/>
    <x v="1"/>
    <s v="GJ"/>
    <x v="1"/>
    <s v="Surat"/>
    <x v="0"/>
    <s v="P304"/>
    <s v="Denim Jacket"/>
    <x v="1"/>
    <n v="1"/>
    <n v="2499"/>
    <n v="0"/>
    <n v="2499"/>
    <n v="0"/>
    <n v="2499"/>
    <n v="1125"/>
    <n v="1125"/>
    <n v="120"/>
    <n v="1254"/>
    <n v="0.50180072028811529"/>
    <x v="0"/>
    <d v="2024-02-18T00:00:00"/>
    <n v="4"/>
    <x v="0"/>
    <m/>
    <n v="1"/>
  </r>
  <r>
    <s v="ORD-100239"/>
    <x v="44"/>
    <x v="0"/>
    <d v="2024-02-01T00:00:00"/>
    <n v="2"/>
    <s v="CUST-01061"/>
    <x v="0"/>
    <x v="2"/>
    <s v="MH"/>
    <x v="1"/>
    <s v="Mumbai"/>
    <x v="0"/>
    <s v="P601"/>
    <s v="Wireless Earbuds"/>
    <x v="2"/>
    <n v="2"/>
    <n v="1999"/>
    <n v="0.35"/>
    <n v="3998"/>
    <n v="1399.3"/>
    <n v="2598.6999999999998"/>
    <n v="1239"/>
    <n v="2478"/>
    <n v="60"/>
    <n v="60.699999999999818"/>
    <n v="2.3357832762535044E-2"/>
    <x v="4"/>
    <d v="2024-02-18T00:00:00"/>
    <n v="4"/>
    <x v="0"/>
    <n v="4"/>
    <n v="0"/>
  </r>
  <r>
    <s v="ORD-100240"/>
    <x v="44"/>
    <x v="0"/>
    <d v="2024-02-01T00:00:00"/>
    <n v="2"/>
    <s v="CUST-01081"/>
    <x v="0"/>
    <x v="2"/>
    <s v="MH"/>
    <x v="1"/>
    <s v="Nagpur"/>
    <x v="3"/>
    <s v="P201"/>
    <s v="Onion Hair Oil"/>
    <x v="6"/>
    <n v="1"/>
    <n v="349"/>
    <n v="0.4"/>
    <n v="349"/>
    <n v="139.6"/>
    <n v="209.4"/>
    <n v="105"/>
    <n v="105"/>
    <n v="60"/>
    <n v="44.400000000000006"/>
    <n v="0.21203438395415475"/>
    <x v="0"/>
    <d v="2024-02-18T00:00:00"/>
    <n v="4"/>
    <x v="0"/>
    <n v="3"/>
    <n v="0"/>
  </r>
  <r>
    <s v="ORD-100241"/>
    <x v="44"/>
    <x v="0"/>
    <d v="2024-02-01T00:00:00"/>
    <n v="2"/>
    <s v="CUST-00030"/>
    <x v="0"/>
    <x v="17"/>
    <s v="TN"/>
    <x v="3"/>
    <s v="Coimbatore"/>
    <x v="0"/>
    <s v="P102"/>
    <s v="Sunscreen SPF 50"/>
    <x v="3"/>
    <n v="2"/>
    <n v="449"/>
    <n v="0.05"/>
    <n v="898"/>
    <n v="44.900000000000006"/>
    <n v="853.1"/>
    <n v="144"/>
    <n v="288"/>
    <n v="60"/>
    <n v="505.1"/>
    <n v="0.59207595826983939"/>
    <x v="0"/>
    <d v="2024-02-16T00:00:00"/>
    <n v="2"/>
    <x v="1"/>
    <n v="4"/>
    <n v="0"/>
  </r>
  <r>
    <s v="ORD-100242"/>
    <x v="45"/>
    <x v="0"/>
    <d v="2024-02-01T00:00:00"/>
    <n v="2"/>
    <s v="CUST-00258"/>
    <x v="0"/>
    <x v="15"/>
    <s v="HR"/>
    <x v="0"/>
    <s v="Gurugram"/>
    <x v="2"/>
    <s v="P204"/>
    <s v="Anti-Dandruff Conditioner"/>
    <x v="6"/>
    <n v="1"/>
    <n v="399"/>
    <n v="0.3"/>
    <n v="399"/>
    <n v="119.69999999999999"/>
    <n v="279.3"/>
    <n v="136"/>
    <n v="136"/>
    <n v="120"/>
    <n v="23.300000000000011"/>
    <n v="8.3422842821339105E-2"/>
    <x v="2"/>
    <d v="2024-02-19T00:00:00"/>
    <n v="4"/>
    <x v="0"/>
    <m/>
    <n v="1"/>
  </r>
  <r>
    <s v="ORD-100243"/>
    <x v="45"/>
    <x v="0"/>
    <d v="2024-02-01T00:00:00"/>
    <n v="2"/>
    <s v="CUST-01785"/>
    <x v="0"/>
    <x v="15"/>
    <s v="HR"/>
    <x v="0"/>
    <s v="Faridabad"/>
    <x v="4"/>
    <s v="P701"/>
    <s v="Ashwagandha Capsules"/>
    <x v="0"/>
    <n v="1"/>
    <n v="499"/>
    <n v="0.05"/>
    <n v="499"/>
    <n v="24.950000000000003"/>
    <n v="474.05"/>
    <n v="150"/>
    <n v="150"/>
    <n v="60"/>
    <n v="264.05"/>
    <n v="0.55700875435080688"/>
    <x v="0"/>
    <d v="2024-02-19T00:00:00"/>
    <n v="4"/>
    <x v="0"/>
    <n v="4"/>
    <n v="0"/>
  </r>
  <r>
    <s v="ORD-100244"/>
    <x v="45"/>
    <x v="0"/>
    <d v="2024-02-01T00:00:00"/>
    <n v="2"/>
    <s v="CUST-00148"/>
    <x v="0"/>
    <x v="1"/>
    <s v="GJ"/>
    <x v="1"/>
    <s v="Ahmedabad"/>
    <x v="1"/>
    <s v="P404"/>
    <s v="Flip Flops"/>
    <x v="5"/>
    <n v="2"/>
    <n v="399"/>
    <n v="0.2"/>
    <n v="798"/>
    <n v="159.60000000000002"/>
    <n v="638.4"/>
    <n v="152"/>
    <n v="304"/>
    <n v="120"/>
    <n v="214.39999999999998"/>
    <n v="0.33583959899749372"/>
    <x v="0"/>
    <d v="2024-02-17T00:00:00"/>
    <n v="2"/>
    <x v="1"/>
    <n v="3"/>
    <n v="1"/>
  </r>
  <r>
    <s v="ORD-100245"/>
    <x v="45"/>
    <x v="0"/>
    <d v="2024-02-01T00:00:00"/>
    <n v="2"/>
    <s v="CUST-01809"/>
    <x v="0"/>
    <x v="2"/>
    <s v="MH"/>
    <x v="1"/>
    <s v="Mumbai"/>
    <x v="1"/>
    <s v="P404"/>
    <s v="Flip Flops"/>
    <x v="5"/>
    <n v="1"/>
    <n v="399"/>
    <n v="0.05"/>
    <n v="399"/>
    <n v="19.950000000000003"/>
    <n v="379.05"/>
    <n v="152"/>
    <n v="152"/>
    <n v="120"/>
    <n v="107.05000000000001"/>
    <n v="0.2824165677351273"/>
    <x v="0"/>
    <d v="2024-02-18T00:00:00"/>
    <n v="3"/>
    <x v="0"/>
    <n v="5"/>
    <n v="1"/>
  </r>
  <r>
    <s v="ORD-100246"/>
    <x v="45"/>
    <x v="0"/>
    <d v="2024-02-01T00:00:00"/>
    <n v="2"/>
    <s v="CUST-01138"/>
    <x v="0"/>
    <x v="2"/>
    <s v="MH"/>
    <x v="1"/>
    <s v="Pune"/>
    <x v="4"/>
    <s v="P602"/>
    <s v="Fast Charger 33W"/>
    <x v="2"/>
    <n v="1"/>
    <n v="899"/>
    <n v="0.15"/>
    <n v="899"/>
    <n v="134.85"/>
    <n v="764.15"/>
    <n v="494"/>
    <n v="494"/>
    <n v="60"/>
    <n v="210.14999999999998"/>
    <n v="0.27501145063142052"/>
    <x v="1"/>
    <d v="2024-02-16T00:00:00"/>
    <n v="1"/>
    <x v="1"/>
    <n v="5"/>
    <n v="0"/>
  </r>
  <r>
    <s v="ORD-100247"/>
    <x v="46"/>
    <x v="0"/>
    <d v="2024-02-01T00:00:00"/>
    <n v="2"/>
    <s v="CUST-00360"/>
    <x v="1"/>
    <x v="0"/>
    <s v="RJ"/>
    <x v="0"/>
    <s v="Jaipur"/>
    <x v="0"/>
    <s v="P701"/>
    <s v="Ashwagandha Capsules"/>
    <x v="0"/>
    <n v="1"/>
    <n v="499"/>
    <n v="0.1"/>
    <n v="499"/>
    <n v="49.900000000000006"/>
    <n v="449.1"/>
    <n v="150"/>
    <n v="150"/>
    <n v="60"/>
    <n v="239.10000000000002"/>
    <n v="0.53239812959251842"/>
    <x v="4"/>
    <d v="2024-02-19T00:00:00"/>
    <n v="3"/>
    <x v="0"/>
    <n v="5"/>
    <n v="0"/>
  </r>
  <r>
    <s v="ORD-100248"/>
    <x v="46"/>
    <x v="0"/>
    <d v="2024-02-01T00:00:00"/>
    <n v="2"/>
    <s v="CUST-00359"/>
    <x v="0"/>
    <x v="12"/>
    <s v="BR"/>
    <x v="2"/>
    <s v="Patna"/>
    <x v="0"/>
    <s v="P701"/>
    <s v="Ashwagandha Capsules"/>
    <x v="0"/>
    <n v="3"/>
    <n v="499"/>
    <n v="0"/>
    <n v="1497"/>
    <n v="0"/>
    <n v="1497"/>
    <n v="150"/>
    <n v="450"/>
    <n v="60"/>
    <n v="987"/>
    <n v="0.65931863727454909"/>
    <x v="3"/>
    <d v="2024-02-19T00:00:00"/>
    <n v="3"/>
    <x v="0"/>
    <m/>
    <n v="0"/>
  </r>
  <r>
    <s v="ORD-100249"/>
    <x v="46"/>
    <x v="0"/>
    <d v="2024-02-01T00:00:00"/>
    <n v="2"/>
    <s v="CUST-01995"/>
    <x v="0"/>
    <x v="13"/>
    <s v="MP"/>
    <x v="1"/>
    <s v="Indore"/>
    <x v="0"/>
    <s v="P204"/>
    <s v="Anti-Dandruff Conditioner"/>
    <x v="6"/>
    <n v="1"/>
    <n v="399"/>
    <n v="0.35"/>
    <n v="399"/>
    <n v="139.64999999999998"/>
    <n v="259.35000000000002"/>
    <n v="136"/>
    <n v="136"/>
    <n v="60"/>
    <n v="63.350000000000023"/>
    <n v="0.24426450742240222"/>
    <x v="0"/>
    <d v="2024-02-20T00:00:00"/>
    <n v="4"/>
    <x v="0"/>
    <n v="4"/>
    <n v="0"/>
  </r>
  <r>
    <s v="ORD-100250"/>
    <x v="47"/>
    <x v="0"/>
    <d v="2024-02-01T00:00:00"/>
    <n v="2"/>
    <s v="CUST-00642"/>
    <x v="0"/>
    <x v="1"/>
    <s v="GJ"/>
    <x v="1"/>
    <s v="Surat"/>
    <x v="4"/>
    <s v="P604"/>
    <s v="Power Bank 20000mAh"/>
    <x v="2"/>
    <n v="1"/>
    <n v="1799"/>
    <n v="0.35"/>
    <n v="1799"/>
    <n v="629.65"/>
    <n v="1169.3499999999999"/>
    <n v="1079"/>
    <n v="1079"/>
    <n v="60"/>
    <n v="30.349999999999909"/>
    <n v="2.5954590156924712E-2"/>
    <x v="4"/>
    <d v="2024-02-19T00:00:00"/>
    <n v="2"/>
    <x v="1"/>
    <n v="4"/>
    <n v="0"/>
  </r>
  <r>
    <s v="ORD-100251"/>
    <x v="47"/>
    <x v="0"/>
    <d v="2024-02-01T00:00:00"/>
    <n v="2"/>
    <s v="CUST-00506"/>
    <x v="0"/>
    <x v="13"/>
    <s v="MP"/>
    <x v="1"/>
    <s v="Bhopal"/>
    <x v="4"/>
    <s v="P202"/>
    <s v="Argan Shampoo"/>
    <x v="6"/>
    <n v="2"/>
    <n v="449"/>
    <n v="0.05"/>
    <n v="898"/>
    <n v="44.900000000000006"/>
    <n v="853.1"/>
    <n v="148"/>
    <n v="296"/>
    <n v="60"/>
    <n v="497.1"/>
    <n v="0.58269839409213453"/>
    <x v="0"/>
    <d v="2024-02-21T00:00:00"/>
    <n v="4"/>
    <x v="0"/>
    <n v="5"/>
    <n v="0"/>
  </r>
  <r>
    <s v="ORD-100252"/>
    <x v="47"/>
    <x v="0"/>
    <d v="2024-02-01T00:00:00"/>
    <n v="2"/>
    <s v="CUST-00869"/>
    <x v="1"/>
    <x v="17"/>
    <s v="TN"/>
    <x v="3"/>
    <s v="Coimbatore"/>
    <x v="2"/>
    <s v="P404"/>
    <s v="Flip Flops"/>
    <x v="5"/>
    <n v="2"/>
    <n v="399"/>
    <n v="0"/>
    <n v="798"/>
    <n v="0"/>
    <n v="798"/>
    <n v="152"/>
    <n v="304"/>
    <n v="120"/>
    <n v="374"/>
    <n v="0.46867167919799496"/>
    <x v="0"/>
    <d v="2024-02-22T00:00:00"/>
    <n v="5"/>
    <x v="2"/>
    <m/>
    <n v="1"/>
  </r>
  <r>
    <s v="ORD-100253"/>
    <x v="48"/>
    <x v="0"/>
    <d v="2024-02-01T00:00:00"/>
    <n v="2"/>
    <s v="CUST-02225"/>
    <x v="0"/>
    <x v="6"/>
    <s v="DL"/>
    <x v="0"/>
    <s v="New Delhi"/>
    <x v="0"/>
    <s v="P105"/>
    <s v="Retinol Night Cream"/>
    <x v="3"/>
    <n v="1"/>
    <n v="799"/>
    <n v="0.05"/>
    <n v="799"/>
    <n v="39.950000000000003"/>
    <n v="759.05"/>
    <n v="216"/>
    <n v="216"/>
    <n v="60"/>
    <n v="483.04999999999995"/>
    <n v="0.63638758975034582"/>
    <x v="0"/>
    <d v="2024-02-19T00:00:00"/>
    <n v="1"/>
    <x v="1"/>
    <m/>
    <n v="0"/>
  </r>
  <r>
    <s v="ORD-100254"/>
    <x v="48"/>
    <x v="0"/>
    <d v="2024-02-01T00:00:00"/>
    <n v="2"/>
    <s v="CUST-00667"/>
    <x v="0"/>
    <x v="10"/>
    <s v="CG"/>
    <x v="2"/>
    <s v="Raipur"/>
    <x v="4"/>
    <s v="P203"/>
    <s v="Keratin Hair Mask"/>
    <x v="6"/>
    <n v="1"/>
    <n v="549"/>
    <n v="0.25"/>
    <n v="549"/>
    <n v="137.25"/>
    <n v="411.75"/>
    <n v="170"/>
    <n v="170"/>
    <n v="120"/>
    <n v="121.75"/>
    <n v="0.29568913175470551"/>
    <x v="0"/>
    <d v="2024-02-24T00:00:00"/>
    <n v="6"/>
    <x v="2"/>
    <m/>
    <n v="1"/>
  </r>
  <r>
    <s v="ORD-100255"/>
    <x v="48"/>
    <x v="0"/>
    <d v="2024-02-01T00:00:00"/>
    <n v="2"/>
    <s v="CUST-03009"/>
    <x v="0"/>
    <x v="14"/>
    <s v="KL"/>
    <x v="3"/>
    <s v="Kochi"/>
    <x v="0"/>
    <s v="P204"/>
    <s v="Anti-Dandruff Conditioner"/>
    <x v="6"/>
    <n v="2"/>
    <n v="399"/>
    <n v="0.35"/>
    <n v="798"/>
    <n v="279.29999999999995"/>
    <n v="518.70000000000005"/>
    <n v="136"/>
    <n v="272"/>
    <n v="60"/>
    <n v="186.70000000000005"/>
    <n v="0.35993830730672843"/>
    <x v="0"/>
    <d v="2024-02-20T00:00:00"/>
    <n v="2"/>
    <x v="1"/>
    <n v="5"/>
    <n v="0"/>
  </r>
  <r>
    <s v="ORD-100256"/>
    <x v="48"/>
    <x v="0"/>
    <d v="2024-02-01T00:00:00"/>
    <n v="2"/>
    <s v="CUST-01027"/>
    <x v="0"/>
    <x v="17"/>
    <s v="TN"/>
    <x v="3"/>
    <s v="Chennai"/>
    <x v="2"/>
    <s v="P305"/>
    <s v="Printed Saree"/>
    <x v="1"/>
    <n v="1"/>
    <n v="1999"/>
    <n v="0"/>
    <n v="1999"/>
    <n v="0"/>
    <n v="1999"/>
    <n v="880"/>
    <n v="880"/>
    <n v="120"/>
    <n v="999"/>
    <n v="0.49974987493746875"/>
    <x v="3"/>
    <d v="2024-02-21T00:00:00"/>
    <n v="3"/>
    <x v="0"/>
    <n v="4"/>
    <n v="1"/>
  </r>
  <r>
    <s v="ORD-100257"/>
    <x v="49"/>
    <x v="0"/>
    <d v="2024-02-01T00:00:00"/>
    <n v="2"/>
    <s v="CUST-00534"/>
    <x v="0"/>
    <x v="1"/>
    <s v="GJ"/>
    <x v="1"/>
    <s v="Ahmedabad"/>
    <x v="3"/>
    <s v="P201"/>
    <s v="Onion Hair Oil"/>
    <x v="6"/>
    <n v="3"/>
    <n v="349"/>
    <n v="0.3"/>
    <n v="1047"/>
    <n v="314.09999999999997"/>
    <n v="732.90000000000009"/>
    <n v="105"/>
    <n v="315"/>
    <n v="60"/>
    <n v="357.90000000000009"/>
    <n v="0.48833401555464601"/>
    <x v="0"/>
    <d v="2024-02-20T00:00:00"/>
    <n v="1"/>
    <x v="1"/>
    <n v="4"/>
    <n v="0"/>
  </r>
  <r>
    <s v="ORD-100258"/>
    <x v="50"/>
    <x v="0"/>
    <d v="2024-02-01T00:00:00"/>
    <n v="2"/>
    <s v="CUST-01219"/>
    <x v="0"/>
    <x v="13"/>
    <s v="MP"/>
    <x v="1"/>
    <s v="Bhopal"/>
    <x v="3"/>
    <s v="P202"/>
    <s v="Argan Shampoo"/>
    <x v="6"/>
    <n v="1"/>
    <n v="449"/>
    <n v="0.05"/>
    <n v="449"/>
    <n v="22.450000000000003"/>
    <n v="426.55"/>
    <n v="148"/>
    <n v="148"/>
    <n v="60"/>
    <n v="218.55"/>
    <n v="0.51236666275934828"/>
    <x v="0"/>
    <d v="2024-02-24T00:00:00"/>
    <n v="4"/>
    <x v="0"/>
    <n v="5"/>
    <n v="0"/>
  </r>
  <r>
    <s v="ORD-100259"/>
    <x v="50"/>
    <x v="0"/>
    <d v="2024-02-01T00:00:00"/>
    <n v="2"/>
    <s v="CUST-00355"/>
    <x v="0"/>
    <x v="2"/>
    <s v="MH"/>
    <x v="1"/>
    <s v="Mumbai"/>
    <x v="0"/>
    <s v="P104"/>
    <s v="Hydrating Face Wash"/>
    <x v="3"/>
    <n v="1"/>
    <n v="299"/>
    <n v="0"/>
    <n v="299"/>
    <n v="0"/>
    <n v="299"/>
    <n v="90"/>
    <n v="90"/>
    <n v="60"/>
    <n v="149"/>
    <n v="0.49832775919732442"/>
    <x v="4"/>
    <d v="2024-02-22T00:00:00"/>
    <n v="2"/>
    <x v="1"/>
    <m/>
    <n v="0"/>
  </r>
  <r>
    <s v="ORD-100260"/>
    <x v="50"/>
    <x v="0"/>
    <d v="2024-02-01T00:00:00"/>
    <n v="2"/>
    <s v="CUST-00737"/>
    <x v="0"/>
    <x v="8"/>
    <s v="AP"/>
    <x v="3"/>
    <s v="Visakhapatnam"/>
    <x v="4"/>
    <s v="P603"/>
    <s v="Smartwatch Strap"/>
    <x v="2"/>
    <n v="1"/>
    <n v="499"/>
    <n v="0.1"/>
    <n v="499"/>
    <n v="49.900000000000006"/>
    <n v="449.1"/>
    <n v="200"/>
    <n v="200"/>
    <n v="60"/>
    <n v="189.10000000000002"/>
    <n v="0.42106435092407041"/>
    <x v="1"/>
    <d v="2024-02-22T00:00:00"/>
    <n v="2"/>
    <x v="1"/>
    <m/>
    <n v="0"/>
  </r>
  <r>
    <s v="ORD-100261"/>
    <x v="50"/>
    <x v="0"/>
    <d v="2024-02-01T00:00:00"/>
    <n v="2"/>
    <s v="CUST-01965"/>
    <x v="0"/>
    <x v="17"/>
    <s v="TN"/>
    <x v="3"/>
    <s v="Chennai"/>
    <x v="3"/>
    <s v="P703"/>
    <s v="Green Tea (100 bags)"/>
    <x v="0"/>
    <n v="1"/>
    <n v="399"/>
    <n v="0.4"/>
    <n v="399"/>
    <n v="159.60000000000002"/>
    <n v="239.39999999999998"/>
    <n v="128"/>
    <n v="128"/>
    <n v="60"/>
    <n v="51.399999999999977"/>
    <n v="0.21470342522974095"/>
    <x v="2"/>
    <d v="2024-02-24T00:00:00"/>
    <n v="4"/>
    <x v="0"/>
    <n v="4"/>
    <n v="0"/>
  </r>
  <r>
    <s v="ORD-100262"/>
    <x v="50"/>
    <x v="0"/>
    <d v="2024-02-01T00:00:00"/>
    <n v="2"/>
    <s v="CUST-00346"/>
    <x v="0"/>
    <x v="17"/>
    <s v="TN"/>
    <x v="3"/>
    <s v="Chennai"/>
    <x v="1"/>
    <s v="P404"/>
    <s v="Flip Flops"/>
    <x v="5"/>
    <n v="4"/>
    <n v="399"/>
    <n v="0.1"/>
    <n v="1596"/>
    <n v="159.60000000000002"/>
    <n v="1436.4"/>
    <n v="152"/>
    <n v="608"/>
    <n v="60"/>
    <n v="768.40000000000009"/>
    <n v="0.5349484823169034"/>
    <x v="3"/>
    <d v="2024-02-23T00:00:00"/>
    <n v="3"/>
    <x v="0"/>
    <m/>
    <n v="0"/>
  </r>
  <r>
    <s v="ORD-100263"/>
    <x v="51"/>
    <x v="0"/>
    <d v="2024-02-01T00:00:00"/>
    <n v="2"/>
    <s v="CUST-00698"/>
    <x v="0"/>
    <x v="10"/>
    <s v="CG"/>
    <x v="2"/>
    <s v="Raipur"/>
    <x v="2"/>
    <s v="P203"/>
    <s v="Keratin Hair Mask"/>
    <x v="6"/>
    <n v="1"/>
    <n v="549"/>
    <n v="0.05"/>
    <n v="549"/>
    <n v="27.450000000000003"/>
    <n v="521.54999999999995"/>
    <n v="170"/>
    <n v="170"/>
    <n v="60"/>
    <n v="291.54999999999995"/>
    <n v="0.55900680663407143"/>
    <x v="1"/>
    <d v="2024-02-26T00:00:00"/>
    <n v="5"/>
    <x v="2"/>
    <m/>
    <n v="0"/>
  </r>
  <r>
    <s v="ORD-100264"/>
    <x v="51"/>
    <x v="0"/>
    <d v="2024-02-01T00:00:00"/>
    <n v="2"/>
    <s v="CUST-02488"/>
    <x v="0"/>
    <x v="2"/>
    <s v="MH"/>
    <x v="1"/>
    <s v="Nagpur"/>
    <x v="0"/>
    <s v="P403"/>
    <s v="Kolhapuri Sandals"/>
    <x v="5"/>
    <n v="2"/>
    <n v="999"/>
    <n v="0.05"/>
    <n v="1998"/>
    <n v="99.9"/>
    <n v="1898.1"/>
    <n v="400"/>
    <n v="800"/>
    <n v="60"/>
    <n v="1038.0999999999999"/>
    <n v="0.54691533638902057"/>
    <x v="0"/>
    <d v="2024-02-23T00:00:00"/>
    <n v="2"/>
    <x v="1"/>
    <n v="4"/>
    <n v="0"/>
  </r>
  <r>
    <s v="ORD-100265"/>
    <x v="52"/>
    <x v="0"/>
    <d v="2024-02-01T00:00:00"/>
    <n v="2"/>
    <s v="CUST-00400"/>
    <x v="1"/>
    <x v="1"/>
    <s v="GJ"/>
    <x v="1"/>
    <s v="Ahmedabad"/>
    <x v="0"/>
    <s v="P302"/>
    <s v="Linen Kurta"/>
    <x v="1"/>
    <n v="3"/>
    <n v="1499"/>
    <n v="0.4"/>
    <n v="4497"/>
    <n v="1798.8000000000002"/>
    <n v="2698.2"/>
    <n v="630"/>
    <n v="1890"/>
    <n v="60"/>
    <n v="748.19999999999982"/>
    <n v="0.27729597509450737"/>
    <x v="0"/>
    <d v="2024-02-25T00:00:00"/>
    <n v="3"/>
    <x v="0"/>
    <m/>
    <n v="0"/>
  </r>
  <r>
    <s v="ORD-100266"/>
    <x v="52"/>
    <x v="0"/>
    <d v="2024-02-01T00:00:00"/>
    <n v="2"/>
    <s v="CUST-00202"/>
    <x v="0"/>
    <x v="1"/>
    <s v="GJ"/>
    <x v="1"/>
    <s v="Surat"/>
    <x v="1"/>
    <s v="P302"/>
    <s v="Linen Kurta"/>
    <x v="1"/>
    <n v="2"/>
    <n v="1499"/>
    <n v="0.4"/>
    <n v="2998"/>
    <n v="1199.2"/>
    <n v="1798.8"/>
    <n v="630"/>
    <n v="1260"/>
    <n v="60"/>
    <n v="478.79999999999995"/>
    <n v="0.26617745163442291"/>
    <x v="3"/>
    <d v="2024-02-24T00:00:00"/>
    <n v="2"/>
    <x v="1"/>
    <n v="3"/>
    <n v="0"/>
  </r>
  <r>
    <s v="ORD-100267"/>
    <x v="52"/>
    <x v="0"/>
    <d v="2024-02-01T00:00:00"/>
    <n v="2"/>
    <s v="CUST-00597"/>
    <x v="0"/>
    <x v="18"/>
    <s v="WB"/>
    <x v="2"/>
    <s v="Kolkata"/>
    <x v="3"/>
    <s v="P101"/>
    <s v="Vitamin C Face Serum"/>
    <x v="3"/>
    <n v="2"/>
    <n v="599"/>
    <n v="0.15"/>
    <n v="1198"/>
    <n v="179.7"/>
    <n v="1018.3"/>
    <n v="180"/>
    <n v="360"/>
    <n v="60"/>
    <n v="598.29999999999995"/>
    <n v="0.58754787390749286"/>
    <x v="4"/>
    <d v="2024-02-23T00:00:00"/>
    <n v="1"/>
    <x v="1"/>
    <n v="5"/>
    <n v="0"/>
  </r>
  <r>
    <s v="ORD-100268"/>
    <x v="53"/>
    <x v="0"/>
    <d v="2024-02-01T00:00:00"/>
    <n v="2"/>
    <s v="CUST-02403"/>
    <x v="0"/>
    <x v="6"/>
    <s v="DL"/>
    <x v="0"/>
    <s v="New Delhi"/>
    <x v="4"/>
    <s v="P102"/>
    <s v="Sunscreen SPF 50"/>
    <x v="3"/>
    <n v="3"/>
    <n v="449"/>
    <n v="0.1"/>
    <n v="1347"/>
    <n v="134.70000000000002"/>
    <n v="1212.3"/>
    <n v="144"/>
    <n v="432"/>
    <n v="60"/>
    <n v="720.3"/>
    <n v="0.59415986142044042"/>
    <x v="0"/>
    <d v="2024-02-25T00:00:00"/>
    <n v="2"/>
    <x v="1"/>
    <n v="5"/>
    <n v="0"/>
  </r>
  <r>
    <s v="ORD-100269"/>
    <x v="53"/>
    <x v="0"/>
    <d v="2024-02-01T00:00:00"/>
    <n v="2"/>
    <s v="CUST-00015"/>
    <x v="0"/>
    <x v="18"/>
    <s v="WB"/>
    <x v="2"/>
    <s v="Kolkata"/>
    <x v="0"/>
    <s v="P104"/>
    <s v="Hydrating Face Wash"/>
    <x v="3"/>
    <n v="3"/>
    <n v="299"/>
    <n v="0"/>
    <n v="897"/>
    <n v="0"/>
    <n v="897"/>
    <n v="90"/>
    <n v="270"/>
    <n v="60"/>
    <n v="567"/>
    <n v="0.63210702341137126"/>
    <x v="0"/>
    <d v="2024-02-25T00:00:00"/>
    <n v="2"/>
    <x v="1"/>
    <n v="5"/>
    <n v="0"/>
  </r>
  <r>
    <s v="ORD-100270"/>
    <x v="53"/>
    <x v="0"/>
    <d v="2024-02-01T00:00:00"/>
    <n v="2"/>
    <s v="CUST-00304"/>
    <x v="0"/>
    <x v="8"/>
    <s v="AP"/>
    <x v="3"/>
    <s v="Visakhapatnam"/>
    <x v="0"/>
    <s v="P301"/>
    <s v="Cotton Oversized T-Shirt"/>
    <x v="1"/>
    <n v="2"/>
    <n v="799"/>
    <n v="0.1"/>
    <n v="1598"/>
    <n v="159.80000000000001"/>
    <n v="1438.2"/>
    <n v="320"/>
    <n v="640"/>
    <n v="60"/>
    <n v="738.2"/>
    <n v="0.51328048950076488"/>
    <x v="0"/>
    <d v="2024-02-25T00:00:00"/>
    <n v="2"/>
    <x v="1"/>
    <m/>
    <n v="0"/>
  </r>
  <r>
    <s v="ORD-100271"/>
    <x v="53"/>
    <x v="0"/>
    <d v="2024-02-01T00:00:00"/>
    <n v="2"/>
    <s v="CUST-00355"/>
    <x v="1"/>
    <x v="17"/>
    <s v="TN"/>
    <x v="3"/>
    <s v="Coimbatore"/>
    <x v="4"/>
    <s v="P404"/>
    <s v="Flip Flops"/>
    <x v="5"/>
    <n v="2"/>
    <n v="399"/>
    <n v="0.1"/>
    <n v="798"/>
    <n v="79.800000000000011"/>
    <n v="718.2"/>
    <n v="152"/>
    <n v="304"/>
    <n v="60"/>
    <n v="354.20000000000005"/>
    <n v="0.49317738791423005"/>
    <x v="1"/>
    <d v="2024-02-26T00:00:00"/>
    <n v="3"/>
    <x v="0"/>
    <n v="4"/>
    <n v="0"/>
  </r>
  <r>
    <s v="ORD-100272"/>
    <x v="54"/>
    <x v="0"/>
    <d v="2024-02-01T00:00:00"/>
    <n v="2"/>
    <s v="CUST-00990"/>
    <x v="1"/>
    <x v="18"/>
    <s v="WB"/>
    <x v="2"/>
    <s v="Kolkata"/>
    <x v="4"/>
    <s v="P304"/>
    <s v="Denim Jacket"/>
    <x v="1"/>
    <n v="1"/>
    <n v="2499"/>
    <n v="0"/>
    <n v="2499"/>
    <n v="0"/>
    <n v="2499"/>
    <n v="1125"/>
    <n v="1125"/>
    <n v="60"/>
    <n v="1314"/>
    <n v="0.5258103241296519"/>
    <x v="1"/>
    <d v="2024-02-29T00:00:00"/>
    <n v="5"/>
    <x v="2"/>
    <n v="3"/>
    <n v="0"/>
  </r>
  <r>
    <s v="ORD-100273"/>
    <x v="55"/>
    <x v="0"/>
    <d v="2024-02-01T00:00:00"/>
    <n v="2"/>
    <s v="CUST-01987"/>
    <x v="0"/>
    <x v="19"/>
    <s v="PB"/>
    <x v="0"/>
    <s v="Amritsar"/>
    <x v="1"/>
    <s v="P302"/>
    <s v="Linen Kurta"/>
    <x v="1"/>
    <n v="2"/>
    <n v="1499"/>
    <n v="0.3"/>
    <n v="2998"/>
    <n v="899.4"/>
    <n v="2098.6"/>
    <n v="630"/>
    <n v="1260"/>
    <n v="60"/>
    <n v="778.59999999999991"/>
    <n v="0.3710092442580768"/>
    <x v="0"/>
    <d v="2024-02-28T00:00:00"/>
    <n v="3"/>
    <x v="0"/>
    <n v="3"/>
    <n v="0"/>
  </r>
  <r>
    <s v="ORD-100274"/>
    <x v="55"/>
    <x v="0"/>
    <d v="2024-02-01T00:00:00"/>
    <n v="2"/>
    <s v="CUST-01271"/>
    <x v="0"/>
    <x v="15"/>
    <s v="HR"/>
    <x v="0"/>
    <s v="Faridabad"/>
    <x v="2"/>
    <s v="P704"/>
    <s v="Multivitamin Gummies"/>
    <x v="0"/>
    <n v="1"/>
    <n v="699"/>
    <n v="0.15"/>
    <n v="699"/>
    <n v="104.85"/>
    <n v="594.15"/>
    <n v="238"/>
    <n v="238"/>
    <n v="60"/>
    <n v="296.14999999999998"/>
    <n v="0.49844315408566858"/>
    <x v="1"/>
    <d v="2024-02-28T00:00:00"/>
    <n v="3"/>
    <x v="0"/>
    <n v="4"/>
    <n v="0"/>
  </r>
  <r>
    <s v="ORD-100275"/>
    <x v="56"/>
    <x v="0"/>
    <d v="2024-02-01T00:00:00"/>
    <n v="2"/>
    <s v="CUST-00667"/>
    <x v="1"/>
    <x v="15"/>
    <s v="HR"/>
    <x v="0"/>
    <s v="Faridabad"/>
    <x v="0"/>
    <s v="P204"/>
    <s v="Anti-Dandruff Conditioner"/>
    <x v="6"/>
    <n v="2"/>
    <n v="399"/>
    <n v="0.35"/>
    <n v="798"/>
    <n v="279.29999999999995"/>
    <n v="518.70000000000005"/>
    <n v="136"/>
    <n v="272"/>
    <n v="60"/>
    <n v="186.70000000000005"/>
    <n v="0.35993830730672843"/>
    <x v="0"/>
    <d v="2024-02-29T00:00:00"/>
    <n v="3"/>
    <x v="0"/>
    <m/>
    <n v="0"/>
  </r>
  <r>
    <s v="ORD-100276"/>
    <x v="56"/>
    <x v="0"/>
    <d v="2024-02-01T00:00:00"/>
    <n v="2"/>
    <s v="CUST-00697"/>
    <x v="1"/>
    <x v="16"/>
    <s v="UP"/>
    <x v="0"/>
    <s v="Kanpur"/>
    <x v="3"/>
    <s v="P701"/>
    <s v="Ashwagandha Capsules"/>
    <x v="0"/>
    <n v="2"/>
    <n v="499"/>
    <n v="0"/>
    <n v="998"/>
    <n v="0"/>
    <n v="998"/>
    <n v="150"/>
    <n v="300"/>
    <n v="60"/>
    <n v="638"/>
    <n v="0.63927855711422843"/>
    <x v="0"/>
    <d v="2024-03-01T00:00:00"/>
    <n v="4"/>
    <x v="0"/>
    <n v="4"/>
    <n v="0"/>
  </r>
  <r>
    <s v="ORD-100277"/>
    <x v="56"/>
    <x v="0"/>
    <d v="2024-02-01T00:00:00"/>
    <n v="2"/>
    <s v="CUST-01757"/>
    <x v="1"/>
    <x v="2"/>
    <s v="MH"/>
    <x v="1"/>
    <s v="Nagpur"/>
    <x v="4"/>
    <s v="P104"/>
    <s v="Hydrating Face Wash"/>
    <x v="3"/>
    <n v="1"/>
    <n v="299"/>
    <n v="0"/>
    <n v="299"/>
    <n v="0"/>
    <n v="299"/>
    <n v="90"/>
    <n v="90"/>
    <n v="60"/>
    <n v="149"/>
    <n v="0.49832775919732442"/>
    <x v="0"/>
    <d v="2024-02-28T00:00:00"/>
    <n v="2"/>
    <x v="1"/>
    <n v="4"/>
    <n v="0"/>
  </r>
  <r>
    <s v="ORD-100278"/>
    <x v="56"/>
    <x v="0"/>
    <d v="2024-02-01T00:00:00"/>
    <n v="2"/>
    <s v="CUST-01262"/>
    <x v="0"/>
    <x v="2"/>
    <s v="MH"/>
    <x v="1"/>
    <s v="Mumbai"/>
    <x v="4"/>
    <s v="P704"/>
    <s v="Multivitamin Gummies"/>
    <x v="0"/>
    <n v="2"/>
    <n v="699"/>
    <n v="0.15"/>
    <n v="1398"/>
    <n v="209.7"/>
    <n v="1188.3"/>
    <n v="238"/>
    <n v="476"/>
    <n v="60"/>
    <n v="652.29999999999995"/>
    <n v="0.54893545400993016"/>
    <x v="0"/>
    <d v="2024-02-28T00:00:00"/>
    <n v="2"/>
    <x v="1"/>
    <n v="4"/>
    <n v="0"/>
  </r>
  <r>
    <s v="ORD-100279"/>
    <x v="57"/>
    <x v="0"/>
    <d v="2024-02-01T00:00:00"/>
    <n v="2"/>
    <s v="CUST-00320"/>
    <x v="1"/>
    <x v="15"/>
    <s v="HR"/>
    <x v="0"/>
    <s v="Faridabad"/>
    <x v="1"/>
    <s v="P404"/>
    <s v="Flip Flops"/>
    <x v="5"/>
    <n v="1"/>
    <n v="399"/>
    <n v="0.15"/>
    <n v="399"/>
    <n v="59.849999999999994"/>
    <n v="339.15"/>
    <n v="152"/>
    <n v="152"/>
    <n v="60"/>
    <n v="127.14999999999998"/>
    <n v="0.37490785787999409"/>
    <x v="3"/>
    <d v="2024-03-01T00:00:00"/>
    <n v="3"/>
    <x v="0"/>
    <n v="5"/>
    <n v="0"/>
  </r>
  <r>
    <s v="ORD-100280"/>
    <x v="57"/>
    <x v="0"/>
    <d v="2024-02-01T00:00:00"/>
    <n v="2"/>
    <s v="CUST-02414"/>
    <x v="0"/>
    <x v="12"/>
    <s v="BR"/>
    <x v="2"/>
    <s v="Patna"/>
    <x v="0"/>
    <s v="P101"/>
    <s v="Vitamin C Face Serum"/>
    <x v="3"/>
    <n v="1"/>
    <n v="599"/>
    <n v="0.25"/>
    <n v="599"/>
    <n v="149.75"/>
    <n v="449.25"/>
    <n v="180"/>
    <n v="180"/>
    <n v="60"/>
    <n v="209.25"/>
    <n v="0.46577629382303842"/>
    <x v="0"/>
    <d v="2024-03-02T00:00:00"/>
    <n v="4"/>
    <x v="0"/>
    <m/>
    <n v="0"/>
  </r>
  <r>
    <s v="ORD-100281"/>
    <x v="57"/>
    <x v="0"/>
    <d v="2024-02-01T00:00:00"/>
    <n v="2"/>
    <s v="CUST-03030"/>
    <x v="0"/>
    <x v="2"/>
    <s v="MH"/>
    <x v="1"/>
    <s v="Mumbai"/>
    <x v="0"/>
    <s v="P102"/>
    <s v="Sunscreen SPF 50"/>
    <x v="3"/>
    <n v="1"/>
    <n v="449"/>
    <n v="0.05"/>
    <n v="449"/>
    <n v="22.450000000000003"/>
    <n v="426.55"/>
    <n v="144"/>
    <n v="144"/>
    <n v="60"/>
    <n v="222.55"/>
    <n v="0.52174422693705313"/>
    <x v="0"/>
    <d v="2024-02-28T00:00:00"/>
    <n v="1"/>
    <x v="1"/>
    <n v="4"/>
    <n v="0"/>
  </r>
  <r>
    <s v="ORD-100282"/>
    <x v="58"/>
    <x v="0"/>
    <d v="2024-02-01T00:00:00"/>
    <n v="2"/>
    <s v="CUST-00579"/>
    <x v="0"/>
    <x v="9"/>
    <s v="UK"/>
    <x v="0"/>
    <s v="Dehradun"/>
    <x v="0"/>
    <s v="P302"/>
    <s v="Linen Kurta"/>
    <x v="1"/>
    <n v="2"/>
    <n v="1499"/>
    <n v="0.4"/>
    <n v="2998"/>
    <n v="1199.2"/>
    <n v="1798.8"/>
    <n v="630"/>
    <n v="1260"/>
    <n v="60"/>
    <n v="478.79999999999995"/>
    <n v="0.26617745163442291"/>
    <x v="1"/>
    <d v="2024-03-05T00:00:00"/>
    <n v="6"/>
    <x v="2"/>
    <n v="3"/>
    <n v="0"/>
  </r>
  <r>
    <s v="ORD-100283"/>
    <x v="58"/>
    <x v="0"/>
    <d v="2024-02-01T00:00:00"/>
    <n v="2"/>
    <s v="CUST-00991"/>
    <x v="0"/>
    <x v="0"/>
    <s v="RJ"/>
    <x v="0"/>
    <s v="Jaipur"/>
    <x v="0"/>
    <s v="P101"/>
    <s v="Vitamin C Face Serum"/>
    <x v="3"/>
    <n v="1"/>
    <n v="599"/>
    <n v="0.15"/>
    <n v="599"/>
    <n v="89.85"/>
    <n v="509.15"/>
    <n v="180"/>
    <n v="180"/>
    <n v="60"/>
    <n v="269.14999999999998"/>
    <n v="0.52862614160856325"/>
    <x v="0"/>
    <d v="2024-03-03T00:00:00"/>
    <n v="4"/>
    <x v="0"/>
    <n v="4"/>
    <n v="0"/>
  </r>
  <r>
    <s v="ORD-100284"/>
    <x v="58"/>
    <x v="0"/>
    <d v="2024-02-01T00:00:00"/>
    <n v="2"/>
    <s v="CUST-00772"/>
    <x v="0"/>
    <x v="16"/>
    <s v="UP"/>
    <x v="0"/>
    <s v="Kanpur"/>
    <x v="0"/>
    <s v="P105"/>
    <s v="Retinol Night Cream"/>
    <x v="3"/>
    <n v="1"/>
    <n v="799"/>
    <n v="0.15"/>
    <n v="799"/>
    <n v="119.85"/>
    <n v="679.15"/>
    <n v="216"/>
    <n v="216"/>
    <n v="60"/>
    <n v="403.15"/>
    <n v="0.59360965913273944"/>
    <x v="0"/>
    <d v="2024-03-01T00:00:00"/>
    <n v="2"/>
    <x v="1"/>
    <n v="4"/>
    <n v="0"/>
  </r>
  <r>
    <s v="ORD-100285"/>
    <x v="58"/>
    <x v="0"/>
    <d v="2024-02-01T00:00:00"/>
    <n v="2"/>
    <s v="CUST-02908"/>
    <x v="0"/>
    <x v="1"/>
    <s v="GJ"/>
    <x v="1"/>
    <s v="Ahmedabad"/>
    <x v="1"/>
    <s v="P404"/>
    <s v="Flip Flops"/>
    <x v="5"/>
    <n v="1"/>
    <n v="399"/>
    <n v="0.1"/>
    <n v="399"/>
    <n v="39.900000000000006"/>
    <n v="359.1"/>
    <n v="152"/>
    <n v="152"/>
    <n v="60"/>
    <n v="147.10000000000002"/>
    <n v="0.40963519910888335"/>
    <x v="4"/>
    <d v="2024-02-29T00:00:00"/>
    <n v="1"/>
    <x v="1"/>
    <n v="5"/>
    <n v="0"/>
  </r>
  <r>
    <s v="ORD-100286"/>
    <x v="58"/>
    <x v="0"/>
    <d v="2024-02-01T00:00:00"/>
    <n v="2"/>
    <s v="CUST-00313"/>
    <x v="0"/>
    <x v="2"/>
    <s v="MH"/>
    <x v="1"/>
    <s v="Pune"/>
    <x v="0"/>
    <s v="P502"/>
    <s v="Ceramic Dinner Set"/>
    <x v="4"/>
    <n v="2"/>
    <n v="2499"/>
    <n v="0.4"/>
    <n v="4998"/>
    <n v="1999.2"/>
    <n v="2998.8"/>
    <n v="1250"/>
    <n v="2500"/>
    <n v="60"/>
    <n v="438.80000000000018"/>
    <n v="0.14632519674536487"/>
    <x v="1"/>
    <d v="2024-03-02T00:00:00"/>
    <n v="3"/>
    <x v="0"/>
    <m/>
    <n v="0"/>
  </r>
  <r>
    <s v="ORD-100287"/>
    <x v="58"/>
    <x v="0"/>
    <d v="2024-02-01T00:00:00"/>
    <n v="2"/>
    <s v="CUST-00567"/>
    <x v="0"/>
    <x v="2"/>
    <s v="MH"/>
    <x v="1"/>
    <s v="Nagpur"/>
    <x v="2"/>
    <s v="P101"/>
    <s v="Vitamin C Face Serum"/>
    <x v="3"/>
    <n v="1"/>
    <n v="599"/>
    <n v="0.1"/>
    <n v="599"/>
    <n v="59.900000000000006"/>
    <n v="539.1"/>
    <n v="180"/>
    <n v="180"/>
    <n v="60"/>
    <n v="299.10000000000002"/>
    <n v="0.5548135781858653"/>
    <x v="0"/>
    <d v="2024-03-01T00:00:00"/>
    <n v="2"/>
    <x v="1"/>
    <n v="4"/>
    <n v="0"/>
  </r>
  <r>
    <s v="ORD-100288"/>
    <x v="58"/>
    <x v="0"/>
    <d v="2024-02-01T00:00:00"/>
    <n v="2"/>
    <s v="CUST-02150"/>
    <x v="0"/>
    <x v="11"/>
    <s v="KA"/>
    <x v="3"/>
    <s v="Bengaluru"/>
    <x v="0"/>
    <s v="P203"/>
    <s v="Keratin Hair Mask"/>
    <x v="6"/>
    <n v="1"/>
    <n v="549"/>
    <n v="0.15"/>
    <n v="549"/>
    <n v="82.35"/>
    <n v="466.65"/>
    <n v="170"/>
    <n v="170"/>
    <n v="60"/>
    <n v="236.64999999999998"/>
    <n v="0.50712525447337398"/>
    <x v="3"/>
    <d v="2024-03-01T00:00:00"/>
    <n v="2"/>
    <x v="1"/>
    <n v="5"/>
    <n v="0"/>
  </r>
  <r>
    <s v="ORD-100289"/>
    <x v="59"/>
    <x v="0"/>
    <d v="2024-02-01T00:00:00"/>
    <n v="2"/>
    <s v="CUST-00339"/>
    <x v="1"/>
    <x v="2"/>
    <s v="MH"/>
    <x v="1"/>
    <s v="Pune"/>
    <x v="4"/>
    <s v="P603"/>
    <s v="Smartwatch Strap"/>
    <x v="2"/>
    <n v="1"/>
    <n v="499"/>
    <n v="0.1"/>
    <n v="499"/>
    <n v="49.900000000000006"/>
    <n v="449.1"/>
    <n v="200"/>
    <n v="200"/>
    <n v="60"/>
    <n v="189.10000000000002"/>
    <n v="0.42106435092407041"/>
    <x v="1"/>
    <d v="2024-03-04T00:00:00"/>
    <n v="4"/>
    <x v="0"/>
    <n v="4"/>
    <n v="0"/>
  </r>
  <r>
    <s v="ORD-100290"/>
    <x v="59"/>
    <x v="0"/>
    <d v="2024-02-01T00:00:00"/>
    <n v="2"/>
    <s v="CUST-02833"/>
    <x v="0"/>
    <x v="2"/>
    <s v="MH"/>
    <x v="1"/>
    <s v="Mumbai"/>
    <x v="0"/>
    <s v="P104"/>
    <s v="Hydrating Face Wash"/>
    <x v="3"/>
    <n v="1"/>
    <n v="299"/>
    <n v="0.1"/>
    <n v="299"/>
    <n v="29.900000000000002"/>
    <n v="269.10000000000002"/>
    <n v="90"/>
    <n v="90"/>
    <n v="60"/>
    <n v="119.10000000000002"/>
    <n v="0.4425863991081383"/>
    <x v="0"/>
    <d v="2024-03-01T00:00:00"/>
    <n v="1"/>
    <x v="1"/>
    <n v="4"/>
    <n v="0"/>
  </r>
  <r>
    <s v="ORD-100291"/>
    <x v="59"/>
    <x v="0"/>
    <d v="2024-02-01T00:00:00"/>
    <n v="2"/>
    <s v="CUST-00955"/>
    <x v="0"/>
    <x v="11"/>
    <s v="KA"/>
    <x v="3"/>
    <s v="Mysuru"/>
    <x v="4"/>
    <s v="P503"/>
    <s v="Scented Candle Set"/>
    <x v="4"/>
    <n v="2"/>
    <n v="699"/>
    <n v="0.3"/>
    <n v="1398"/>
    <n v="419.4"/>
    <n v="978.6"/>
    <n v="245"/>
    <n v="490"/>
    <n v="60"/>
    <n v="428.6"/>
    <n v="0.43797261393827919"/>
    <x v="0"/>
    <d v="2024-03-03T00:00:00"/>
    <n v="3"/>
    <x v="0"/>
    <n v="4"/>
    <n v="0"/>
  </r>
  <r>
    <s v="ORD-100292"/>
    <x v="60"/>
    <x v="0"/>
    <d v="2024-03-01T00:00:00"/>
    <n v="3"/>
    <s v="CUST-03067"/>
    <x v="0"/>
    <x v="13"/>
    <s v="MP"/>
    <x v="1"/>
    <s v="Bhopal"/>
    <x v="2"/>
    <s v="P702"/>
    <s v="Whey Protein 1kg"/>
    <x v="0"/>
    <n v="1"/>
    <n v="2299"/>
    <n v="0.25"/>
    <n v="2299"/>
    <n v="574.75"/>
    <n v="1724.25"/>
    <n v="1333"/>
    <n v="1333"/>
    <n v="60"/>
    <n v="331.25"/>
    <n v="0.19211251268667537"/>
    <x v="2"/>
    <d v="2024-03-05T00:00:00"/>
    <n v="4"/>
    <x v="0"/>
    <n v="4"/>
    <n v="0"/>
  </r>
  <r>
    <s v="ORD-100293"/>
    <x v="60"/>
    <x v="0"/>
    <d v="2024-03-01T00:00:00"/>
    <n v="3"/>
    <s v="CUST-01052"/>
    <x v="0"/>
    <x v="18"/>
    <s v="WB"/>
    <x v="2"/>
    <s v="Kolkata"/>
    <x v="4"/>
    <s v="P303"/>
    <s v="Joggers"/>
    <x v="1"/>
    <n v="1"/>
    <n v="1199"/>
    <n v="0.05"/>
    <n v="1199"/>
    <n v="59.95"/>
    <n v="1139.05"/>
    <n v="492"/>
    <n v="492"/>
    <n v="120"/>
    <n v="527.04999999999995"/>
    <n v="0.46271015319784026"/>
    <x v="3"/>
    <d v="2024-03-02T00:00:00"/>
    <n v="1"/>
    <x v="1"/>
    <m/>
    <n v="1"/>
  </r>
  <r>
    <s v="ORD-100294"/>
    <x v="60"/>
    <x v="0"/>
    <d v="2024-03-01T00:00:00"/>
    <n v="3"/>
    <s v="CUST-01990"/>
    <x v="0"/>
    <x v="2"/>
    <s v="MH"/>
    <x v="1"/>
    <s v="Mumbai"/>
    <x v="1"/>
    <s v="P301"/>
    <s v="Cotton Oversized T-Shirt"/>
    <x v="1"/>
    <n v="1"/>
    <n v="799"/>
    <n v="0.1"/>
    <n v="799"/>
    <n v="79.900000000000006"/>
    <n v="719.1"/>
    <n v="320"/>
    <n v="320"/>
    <n v="60"/>
    <n v="339.1"/>
    <n v="0.47156167431511614"/>
    <x v="2"/>
    <d v="2024-03-02T00:00:00"/>
    <n v="1"/>
    <x v="1"/>
    <n v="4"/>
    <n v="0"/>
  </r>
  <r>
    <s v="ORD-100295"/>
    <x v="60"/>
    <x v="0"/>
    <d v="2024-03-01T00:00:00"/>
    <n v="3"/>
    <s v="CUST-01121"/>
    <x v="0"/>
    <x v="21"/>
    <s v="TG"/>
    <x v="3"/>
    <s v="Hyderabad"/>
    <x v="0"/>
    <s v="P203"/>
    <s v="Keratin Hair Mask"/>
    <x v="6"/>
    <n v="1"/>
    <n v="549"/>
    <n v="0.2"/>
    <n v="549"/>
    <n v="109.80000000000001"/>
    <n v="439.2"/>
    <n v="170"/>
    <n v="170"/>
    <n v="60"/>
    <n v="209.2"/>
    <n v="0.47632058287795992"/>
    <x v="3"/>
    <d v="2024-03-03T00:00:00"/>
    <n v="2"/>
    <x v="1"/>
    <n v="4"/>
    <n v="0"/>
  </r>
  <r>
    <s v="ORD-100296"/>
    <x v="60"/>
    <x v="0"/>
    <d v="2024-03-01T00:00:00"/>
    <n v="3"/>
    <s v="CUST-00103"/>
    <x v="0"/>
    <x v="3"/>
    <s v="OD"/>
    <x v="2"/>
    <s v="Bhubaneswar"/>
    <x v="0"/>
    <s v="P101"/>
    <s v="Vitamin C Face Serum"/>
    <x v="3"/>
    <n v="2"/>
    <n v="599"/>
    <n v="0.2"/>
    <n v="1198"/>
    <n v="239.60000000000002"/>
    <n v="958.4"/>
    <n v="180"/>
    <n v="360"/>
    <n v="60"/>
    <n v="538.4"/>
    <n v="0.56176961602671116"/>
    <x v="0"/>
    <d v="2024-03-04T00:00:00"/>
    <n v="3"/>
    <x v="0"/>
    <n v="4"/>
    <n v="0"/>
  </r>
  <r>
    <s v="ORD-100297"/>
    <x v="60"/>
    <x v="0"/>
    <d v="2024-03-01T00:00:00"/>
    <n v="3"/>
    <s v="CUST-00404"/>
    <x v="0"/>
    <x v="11"/>
    <s v="KA"/>
    <x v="3"/>
    <s v="Mysuru"/>
    <x v="4"/>
    <s v="P404"/>
    <s v="Flip Flops"/>
    <x v="5"/>
    <n v="1"/>
    <n v="399"/>
    <n v="0.05"/>
    <n v="399"/>
    <n v="19.950000000000003"/>
    <n v="379.05"/>
    <n v="152"/>
    <n v="152"/>
    <n v="60"/>
    <n v="167.05"/>
    <n v="0.44070703073473161"/>
    <x v="1"/>
    <d v="2024-03-04T00:00:00"/>
    <n v="3"/>
    <x v="0"/>
    <n v="5"/>
    <n v="0"/>
  </r>
  <r>
    <s v="ORD-100298"/>
    <x v="61"/>
    <x v="0"/>
    <d v="2024-03-01T00:00:00"/>
    <n v="3"/>
    <s v="CUST-00530"/>
    <x v="0"/>
    <x v="2"/>
    <s v="MH"/>
    <x v="1"/>
    <s v="Pune"/>
    <x v="4"/>
    <s v="P303"/>
    <s v="Joggers"/>
    <x v="1"/>
    <n v="1"/>
    <n v="1199"/>
    <n v="0.2"/>
    <n v="1199"/>
    <n v="239.8"/>
    <n v="959.2"/>
    <n v="492"/>
    <n v="492"/>
    <n v="60"/>
    <n v="407.20000000000005"/>
    <n v="0.42452043369474562"/>
    <x v="0"/>
    <d v="2024-03-04T00:00:00"/>
    <n v="2"/>
    <x v="1"/>
    <n v="3"/>
    <n v="0"/>
  </r>
  <r>
    <s v="ORD-100299"/>
    <x v="61"/>
    <x v="0"/>
    <d v="2024-03-01T00:00:00"/>
    <n v="3"/>
    <s v="CUST-01058"/>
    <x v="0"/>
    <x v="14"/>
    <s v="KL"/>
    <x v="3"/>
    <s v="Thiruvananthapuram"/>
    <x v="0"/>
    <s v="P501"/>
    <s v="Copper Water Bottle"/>
    <x v="4"/>
    <n v="1"/>
    <n v="899"/>
    <n v="0.05"/>
    <n v="899"/>
    <n v="44.95"/>
    <n v="854.05"/>
    <n v="378"/>
    <n v="378"/>
    <n v="120"/>
    <n v="356.04999999999995"/>
    <n v="0.41689596627832093"/>
    <x v="3"/>
    <d v="2024-03-06T00:00:00"/>
    <n v="4"/>
    <x v="0"/>
    <n v="4"/>
    <n v="1"/>
  </r>
  <r>
    <s v="ORD-100300"/>
    <x v="61"/>
    <x v="0"/>
    <d v="2024-03-01T00:00:00"/>
    <n v="3"/>
    <s v="CUST-00943"/>
    <x v="0"/>
    <x v="17"/>
    <s v="TN"/>
    <x v="3"/>
    <s v="Chennai"/>
    <x v="1"/>
    <s v="P404"/>
    <s v="Flip Flops"/>
    <x v="5"/>
    <n v="1"/>
    <n v="399"/>
    <n v="0.15"/>
    <n v="399"/>
    <n v="59.849999999999994"/>
    <n v="339.15"/>
    <n v="152"/>
    <n v="152"/>
    <n v="60"/>
    <n v="127.14999999999998"/>
    <n v="0.37490785787999409"/>
    <x v="0"/>
    <d v="2024-03-04T00:00:00"/>
    <n v="2"/>
    <x v="1"/>
    <n v="5"/>
    <n v="0"/>
  </r>
  <r>
    <s v="ORD-100301"/>
    <x v="62"/>
    <x v="0"/>
    <d v="2024-03-01T00:00:00"/>
    <n v="3"/>
    <s v="CUST-00832"/>
    <x v="0"/>
    <x v="6"/>
    <s v="DL"/>
    <x v="0"/>
    <s v="New Delhi"/>
    <x v="1"/>
    <s v="P401"/>
    <s v="Running Shoes"/>
    <x v="5"/>
    <n v="1"/>
    <n v="2999"/>
    <n v="0.2"/>
    <n v="2999"/>
    <n v="599.80000000000007"/>
    <n v="2399.1999999999998"/>
    <n v="1440"/>
    <n v="1440"/>
    <n v="60"/>
    <n v="899.19999999999982"/>
    <n v="0.3747915971990663"/>
    <x v="4"/>
    <d v="2024-03-05T00:00:00"/>
    <n v="2"/>
    <x v="1"/>
    <n v="4"/>
    <n v="0"/>
  </r>
  <r>
    <s v="ORD-100302"/>
    <x v="62"/>
    <x v="0"/>
    <d v="2024-03-01T00:00:00"/>
    <n v="3"/>
    <s v="CUST-02092"/>
    <x v="0"/>
    <x v="18"/>
    <s v="WB"/>
    <x v="2"/>
    <s v="Kolkata"/>
    <x v="0"/>
    <s v="P303"/>
    <s v="Joggers"/>
    <x v="1"/>
    <n v="3"/>
    <n v="1199"/>
    <n v="0.2"/>
    <n v="3597"/>
    <n v="719.40000000000009"/>
    <n v="2877.6"/>
    <n v="492"/>
    <n v="1476"/>
    <n v="120"/>
    <n v="1281.5999999999999"/>
    <n v="0.44537114261884903"/>
    <x v="4"/>
    <d v="2024-03-05T00:00:00"/>
    <n v="2"/>
    <x v="1"/>
    <m/>
    <n v="1"/>
  </r>
  <r>
    <s v="ORD-100303"/>
    <x v="62"/>
    <x v="0"/>
    <d v="2024-03-01T00:00:00"/>
    <n v="3"/>
    <s v="CUST-00295"/>
    <x v="0"/>
    <x v="2"/>
    <s v="MH"/>
    <x v="1"/>
    <s v="Pune"/>
    <x v="1"/>
    <s v="P303"/>
    <s v="Joggers"/>
    <x v="1"/>
    <n v="2"/>
    <n v="1199"/>
    <n v="0.15"/>
    <n v="2398"/>
    <n v="359.7"/>
    <n v="2038.3"/>
    <n v="492"/>
    <n v="984"/>
    <n v="60"/>
    <n v="994.3"/>
    <n v="0.48780846784084775"/>
    <x v="1"/>
    <d v="2024-03-06T00:00:00"/>
    <n v="3"/>
    <x v="0"/>
    <n v="4"/>
    <n v="0"/>
  </r>
  <r>
    <s v="ORD-100304"/>
    <x v="62"/>
    <x v="0"/>
    <d v="2024-03-01T00:00:00"/>
    <n v="3"/>
    <s v="CUST-00728"/>
    <x v="0"/>
    <x v="11"/>
    <s v="KA"/>
    <x v="3"/>
    <s v="Bengaluru"/>
    <x v="3"/>
    <s v="P701"/>
    <s v="Ashwagandha Capsules"/>
    <x v="0"/>
    <n v="1"/>
    <n v="499"/>
    <n v="0"/>
    <n v="499"/>
    <n v="0"/>
    <n v="499"/>
    <n v="150"/>
    <n v="150"/>
    <n v="60"/>
    <n v="289"/>
    <n v="0.57915831663326656"/>
    <x v="3"/>
    <d v="2024-03-06T00:00:00"/>
    <n v="3"/>
    <x v="0"/>
    <n v="4"/>
    <n v="0"/>
  </r>
  <r>
    <s v="ORD-100305"/>
    <x v="63"/>
    <x v="0"/>
    <d v="2024-03-01T00:00:00"/>
    <n v="3"/>
    <s v="CUST-01098"/>
    <x v="0"/>
    <x v="0"/>
    <s v="RJ"/>
    <x v="0"/>
    <s v="Udaipur"/>
    <x v="0"/>
    <s v="P702"/>
    <s v="Whey Protein 1kg"/>
    <x v="0"/>
    <n v="2"/>
    <n v="2299"/>
    <n v="0.4"/>
    <n v="4598"/>
    <n v="1839.2"/>
    <n v="2758.8"/>
    <n v="1333"/>
    <n v="2666"/>
    <n v="60"/>
    <n v="32.800000000000182"/>
    <n v="1.188922720023205E-2"/>
    <x v="3"/>
    <d v="2024-03-09T00:00:00"/>
    <n v="5"/>
    <x v="2"/>
    <n v="3"/>
    <n v="0"/>
  </r>
  <r>
    <s v="ORD-100306"/>
    <x v="63"/>
    <x v="0"/>
    <d v="2024-03-01T00:00:00"/>
    <n v="3"/>
    <s v="CUST-00831"/>
    <x v="1"/>
    <x v="16"/>
    <s v="UP"/>
    <x v="0"/>
    <s v="Lucknow"/>
    <x v="0"/>
    <s v="P501"/>
    <s v="Copper Water Bottle"/>
    <x v="4"/>
    <n v="2"/>
    <n v="899"/>
    <n v="0.05"/>
    <n v="1798"/>
    <n v="89.9"/>
    <n v="1708.1"/>
    <n v="378"/>
    <n v="756"/>
    <n v="120"/>
    <n v="832.09999999999991"/>
    <n v="0.48714946431707745"/>
    <x v="0"/>
    <d v="2024-03-08T00:00:00"/>
    <n v="4"/>
    <x v="0"/>
    <m/>
    <n v="1"/>
  </r>
  <r>
    <s v="ORD-100307"/>
    <x v="63"/>
    <x v="0"/>
    <d v="2024-03-01T00:00:00"/>
    <n v="3"/>
    <s v="CUST-00021"/>
    <x v="0"/>
    <x v="10"/>
    <s v="CG"/>
    <x v="2"/>
    <s v="Raipur"/>
    <x v="2"/>
    <s v="P602"/>
    <s v="Fast Charger 33W"/>
    <x v="2"/>
    <n v="1"/>
    <n v="899"/>
    <n v="0"/>
    <n v="899"/>
    <n v="0"/>
    <n v="899"/>
    <n v="494"/>
    <n v="494"/>
    <n v="60"/>
    <n v="345"/>
    <n v="0.38375973303670746"/>
    <x v="3"/>
    <d v="2024-03-08T00:00:00"/>
    <n v="4"/>
    <x v="0"/>
    <n v="4"/>
    <n v="0"/>
  </r>
  <r>
    <s v="ORD-100308"/>
    <x v="63"/>
    <x v="0"/>
    <d v="2024-03-01T00:00:00"/>
    <n v="3"/>
    <s v="CUST-02052"/>
    <x v="0"/>
    <x v="18"/>
    <s v="WB"/>
    <x v="2"/>
    <s v="Kolkata"/>
    <x v="1"/>
    <s v="P302"/>
    <s v="Linen Kurta"/>
    <x v="1"/>
    <n v="2"/>
    <n v="1499"/>
    <n v="0.4"/>
    <n v="2998"/>
    <n v="1199.2"/>
    <n v="1798.8"/>
    <n v="630"/>
    <n v="1260"/>
    <n v="60"/>
    <n v="478.79999999999995"/>
    <n v="0.26617745163442291"/>
    <x v="4"/>
    <d v="2024-03-08T00:00:00"/>
    <n v="4"/>
    <x v="0"/>
    <n v="3"/>
    <n v="0"/>
  </r>
  <r>
    <s v="ORD-100309"/>
    <x v="64"/>
    <x v="0"/>
    <d v="2024-03-01T00:00:00"/>
    <n v="3"/>
    <s v="CUST-01054"/>
    <x v="0"/>
    <x v="6"/>
    <s v="DL"/>
    <x v="0"/>
    <s v="New Delhi"/>
    <x v="0"/>
    <s v="P603"/>
    <s v="Smartwatch Strap"/>
    <x v="2"/>
    <n v="1"/>
    <n v="499"/>
    <n v="0.05"/>
    <n v="499"/>
    <n v="24.950000000000003"/>
    <n v="474.05"/>
    <n v="200"/>
    <n v="200"/>
    <n v="60"/>
    <n v="214.05"/>
    <n v="0.45153464824385614"/>
    <x v="1"/>
    <d v="2024-03-08T00:00:00"/>
    <n v="3"/>
    <x v="0"/>
    <n v="3"/>
    <n v="0"/>
  </r>
  <r>
    <s v="ORD-100310"/>
    <x v="64"/>
    <x v="0"/>
    <d v="2024-03-01T00:00:00"/>
    <n v="3"/>
    <s v="CUST-00628"/>
    <x v="0"/>
    <x v="13"/>
    <s v="MP"/>
    <x v="1"/>
    <s v="Indore"/>
    <x v="1"/>
    <s v="P302"/>
    <s v="Linen Kurta"/>
    <x v="1"/>
    <n v="2"/>
    <n v="1499"/>
    <n v="0.4"/>
    <n v="2998"/>
    <n v="1199.2"/>
    <n v="1798.8"/>
    <n v="630"/>
    <n v="1260"/>
    <n v="60"/>
    <n v="478.79999999999995"/>
    <n v="0.26617745163442291"/>
    <x v="3"/>
    <d v="2024-03-08T00:00:00"/>
    <n v="3"/>
    <x v="0"/>
    <m/>
    <n v="0"/>
  </r>
  <r>
    <s v="ORD-100311"/>
    <x v="64"/>
    <x v="0"/>
    <d v="2024-03-01T00:00:00"/>
    <n v="3"/>
    <s v="CUST-03156"/>
    <x v="0"/>
    <x v="18"/>
    <s v="WB"/>
    <x v="2"/>
    <s v="Kolkata"/>
    <x v="4"/>
    <s v="P404"/>
    <s v="Flip Flops"/>
    <x v="5"/>
    <n v="1"/>
    <n v="399"/>
    <n v="0.1"/>
    <n v="399"/>
    <n v="39.900000000000006"/>
    <n v="359.1"/>
    <n v="152"/>
    <n v="152"/>
    <n v="60"/>
    <n v="147.10000000000002"/>
    <n v="0.40963519910888335"/>
    <x v="1"/>
    <d v="2024-03-10T00:00:00"/>
    <n v="5"/>
    <x v="2"/>
    <n v="3"/>
    <n v="0"/>
  </r>
  <r>
    <s v="ORD-100312"/>
    <x v="65"/>
    <x v="0"/>
    <d v="2024-03-01T00:00:00"/>
    <n v="3"/>
    <s v="CUST-02085"/>
    <x v="0"/>
    <x v="5"/>
    <s v="HP"/>
    <x v="0"/>
    <s v="Shimla"/>
    <x v="0"/>
    <s v="P204"/>
    <s v="Anti-Dandruff Conditioner"/>
    <x v="6"/>
    <n v="2"/>
    <n v="399"/>
    <n v="0.3"/>
    <n v="798"/>
    <n v="239.39999999999998"/>
    <n v="558.6"/>
    <n v="136"/>
    <n v="272"/>
    <n v="60"/>
    <n v="226.60000000000002"/>
    <n v="0.40565699964196206"/>
    <x v="0"/>
    <d v="2024-03-09T00:00:00"/>
    <n v="3"/>
    <x v="0"/>
    <n v="4"/>
    <n v="0"/>
  </r>
  <r>
    <s v="ORD-100313"/>
    <x v="65"/>
    <x v="0"/>
    <d v="2024-03-01T00:00:00"/>
    <n v="3"/>
    <s v="CUST-00182"/>
    <x v="1"/>
    <x v="6"/>
    <s v="DL"/>
    <x v="0"/>
    <s v="New Delhi"/>
    <x v="4"/>
    <s v="P105"/>
    <s v="Retinol Night Cream"/>
    <x v="3"/>
    <n v="1"/>
    <n v="799"/>
    <n v="0.1"/>
    <n v="799"/>
    <n v="79.900000000000006"/>
    <n v="719.1"/>
    <n v="216"/>
    <n v="216"/>
    <n v="60"/>
    <n v="443.1"/>
    <n v="0.61618690029203171"/>
    <x v="4"/>
    <d v="2024-03-07T00:00:00"/>
    <n v="1"/>
    <x v="1"/>
    <n v="4"/>
    <n v="0"/>
  </r>
  <r>
    <s v="ORD-100314"/>
    <x v="65"/>
    <x v="0"/>
    <d v="2024-03-01T00:00:00"/>
    <n v="3"/>
    <s v="CUST-00141"/>
    <x v="0"/>
    <x v="16"/>
    <s v="UP"/>
    <x v="0"/>
    <s v="Kanpur"/>
    <x v="2"/>
    <s v="P103"/>
    <s v="Niacinamide Toner"/>
    <x v="3"/>
    <n v="1"/>
    <n v="399"/>
    <n v="0.15"/>
    <n v="399"/>
    <n v="59.849999999999994"/>
    <n v="339.15"/>
    <n v="112"/>
    <n v="112"/>
    <n v="60"/>
    <n v="167.14999999999998"/>
    <n v="0.49284977148754233"/>
    <x v="1"/>
    <d v="2024-03-11T00:00:00"/>
    <n v="5"/>
    <x v="2"/>
    <n v="4"/>
    <n v="0"/>
  </r>
  <r>
    <s v="ORD-100315"/>
    <x v="65"/>
    <x v="0"/>
    <d v="2024-03-01T00:00:00"/>
    <n v="3"/>
    <s v="CUST-00390"/>
    <x v="0"/>
    <x v="18"/>
    <s v="WB"/>
    <x v="2"/>
    <s v="Kolkata"/>
    <x v="3"/>
    <s v="P701"/>
    <s v="Ashwagandha Capsules"/>
    <x v="0"/>
    <n v="2"/>
    <n v="499"/>
    <n v="0.05"/>
    <n v="998"/>
    <n v="49.900000000000006"/>
    <n v="948.1"/>
    <n v="150"/>
    <n v="300"/>
    <n v="60"/>
    <n v="588.1"/>
    <n v="0.62029321801497728"/>
    <x v="0"/>
    <d v="2024-03-09T00:00:00"/>
    <n v="3"/>
    <x v="0"/>
    <n v="5"/>
    <n v="0"/>
  </r>
  <r>
    <s v="ORD-100316"/>
    <x v="65"/>
    <x v="0"/>
    <d v="2024-03-01T00:00:00"/>
    <n v="3"/>
    <s v="CUST-02384"/>
    <x v="0"/>
    <x v="2"/>
    <s v="MH"/>
    <x v="1"/>
    <s v="Nagpur"/>
    <x v="0"/>
    <s v="P104"/>
    <s v="Hydrating Face Wash"/>
    <x v="3"/>
    <n v="3"/>
    <n v="299"/>
    <n v="0"/>
    <n v="897"/>
    <n v="0"/>
    <n v="897"/>
    <n v="90"/>
    <n v="270"/>
    <n v="60"/>
    <n v="567"/>
    <n v="0.63210702341137126"/>
    <x v="0"/>
    <d v="2024-03-07T00:00:00"/>
    <n v="1"/>
    <x v="1"/>
    <n v="5"/>
    <n v="0"/>
  </r>
  <r>
    <s v="ORD-100317"/>
    <x v="66"/>
    <x v="0"/>
    <d v="2024-03-01T00:00:00"/>
    <n v="3"/>
    <s v="CUST-00991"/>
    <x v="1"/>
    <x v="0"/>
    <s v="RJ"/>
    <x v="0"/>
    <s v="Udaipur"/>
    <x v="4"/>
    <s v="P404"/>
    <s v="Flip Flops"/>
    <x v="5"/>
    <n v="4"/>
    <n v="399"/>
    <n v="0.05"/>
    <n v="1596"/>
    <n v="79.800000000000011"/>
    <n v="1516.2"/>
    <n v="152"/>
    <n v="608"/>
    <n v="60"/>
    <n v="848.2"/>
    <n v="0.55942487798443474"/>
    <x v="0"/>
    <d v="2024-03-11T00:00:00"/>
    <n v="4"/>
    <x v="0"/>
    <m/>
    <n v="0"/>
  </r>
  <r>
    <s v="ORD-100318"/>
    <x v="66"/>
    <x v="0"/>
    <d v="2024-03-01T00:00:00"/>
    <n v="3"/>
    <s v="CUST-02389"/>
    <x v="0"/>
    <x v="15"/>
    <s v="HR"/>
    <x v="0"/>
    <s v="Faridabad"/>
    <x v="0"/>
    <s v="P404"/>
    <s v="Flip Flops"/>
    <x v="5"/>
    <n v="1"/>
    <n v="399"/>
    <n v="0.15"/>
    <n v="399"/>
    <n v="59.849999999999994"/>
    <n v="339.15"/>
    <n v="152"/>
    <n v="152"/>
    <n v="120"/>
    <n v="67.149999999999977"/>
    <n v="0.19799498746867161"/>
    <x v="0"/>
    <d v="2024-03-09T00:00:00"/>
    <n v="2"/>
    <x v="1"/>
    <n v="5"/>
    <n v="1"/>
  </r>
  <r>
    <s v="ORD-100319"/>
    <x v="66"/>
    <x v="0"/>
    <d v="2024-03-01T00:00:00"/>
    <n v="3"/>
    <s v="CUST-01047"/>
    <x v="0"/>
    <x v="6"/>
    <s v="DL"/>
    <x v="0"/>
    <s v="New Delhi"/>
    <x v="3"/>
    <s v="P102"/>
    <s v="Sunscreen SPF 50"/>
    <x v="3"/>
    <n v="1"/>
    <n v="449"/>
    <n v="0.05"/>
    <n v="449"/>
    <n v="22.450000000000003"/>
    <n v="426.55"/>
    <n v="144"/>
    <n v="144"/>
    <n v="60"/>
    <n v="222.55"/>
    <n v="0.52174422693705313"/>
    <x v="4"/>
    <d v="2024-03-08T00:00:00"/>
    <n v="1"/>
    <x v="1"/>
    <n v="5"/>
    <n v="0"/>
  </r>
  <r>
    <s v="ORD-100320"/>
    <x v="66"/>
    <x v="0"/>
    <d v="2024-03-01T00:00:00"/>
    <n v="3"/>
    <s v="CUST-00297"/>
    <x v="1"/>
    <x v="6"/>
    <s v="DL"/>
    <x v="0"/>
    <s v="New Delhi"/>
    <x v="0"/>
    <s v="P102"/>
    <s v="Sunscreen SPF 50"/>
    <x v="3"/>
    <n v="1"/>
    <n v="449"/>
    <n v="0.1"/>
    <n v="449"/>
    <n v="44.900000000000006"/>
    <n v="404.1"/>
    <n v="144"/>
    <n v="144"/>
    <n v="60"/>
    <n v="200.10000000000002"/>
    <n v="0.4951744617668894"/>
    <x v="0"/>
    <d v="2024-03-08T00:00:00"/>
    <n v="1"/>
    <x v="1"/>
    <m/>
    <n v="0"/>
  </r>
  <r>
    <s v="ORD-100321"/>
    <x v="66"/>
    <x v="0"/>
    <d v="2024-03-01T00:00:00"/>
    <n v="3"/>
    <s v="CUST-00602"/>
    <x v="0"/>
    <x v="1"/>
    <s v="GJ"/>
    <x v="1"/>
    <s v="Surat"/>
    <x v="4"/>
    <s v="P602"/>
    <s v="Fast Charger 33W"/>
    <x v="2"/>
    <n v="2"/>
    <n v="899"/>
    <n v="0.05"/>
    <n v="1798"/>
    <n v="89.9"/>
    <n v="1708.1"/>
    <n v="494"/>
    <n v="988"/>
    <n v="60"/>
    <n v="660.09999999999991"/>
    <n v="0.38645278379485976"/>
    <x v="3"/>
    <d v="2024-03-10T00:00:00"/>
    <n v="3"/>
    <x v="0"/>
    <n v="5"/>
    <n v="0"/>
  </r>
  <r>
    <s v="ORD-100322"/>
    <x v="67"/>
    <x v="0"/>
    <d v="2024-03-01T00:00:00"/>
    <n v="3"/>
    <s v="CUST-00687"/>
    <x v="0"/>
    <x v="22"/>
    <s v="AS"/>
    <x v="2"/>
    <s v="Guwahati"/>
    <x v="1"/>
    <s v="P302"/>
    <s v="Linen Kurta"/>
    <x v="1"/>
    <n v="1"/>
    <n v="1499"/>
    <n v="0.4"/>
    <n v="1499"/>
    <n v="599.6"/>
    <n v="899.4"/>
    <n v="630"/>
    <n v="630"/>
    <n v="60"/>
    <n v="209.39999999999998"/>
    <n v="0.23282188125416942"/>
    <x v="0"/>
    <d v="2024-03-13T00:00:00"/>
    <n v="5"/>
    <x v="2"/>
    <n v="2"/>
    <n v="0"/>
  </r>
  <r>
    <s v="ORD-100323"/>
    <x v="67"/>
    <x v="0"/>
    <d v="2024-03-01T00:00:00"/>
    <n v="3"/>
    <s v="CUST-01664"/>
    <x v="0"/>
    <x v="18"/>
    <s v="WB"/>
    <x v="2"/>
    <s v="Kolkata"/>
    <x v="2"/>
    <s v="P105"/>
    <s v="Retinol Night Cream"/>
    <x v="3"/>
    <n v="1"/>
    <n v="799"/>
    <n v="0"/>
    <n v="799"/>
    <n v="0"/>
    <n v="799"/>
    <n v="216"/>
    <n v="216"/>
    <n v="60"/>
    <n v="523"/>
    <n v="0.65456821026282852"/>
    <x v="3"/>
    <d v="2024-03-10T00:00:00"/>
    <n v="2"/>
    <x v="1"/>
    <n v="4"/>
    <n v="0"/>
  </r>
  <r>
    <s v="ORD-100324"/>
    <x v="67"/>
    <x v="0"/>
    <d v="2024-03-01T00:00:00"/>
    <n v="3"/>
    <s v="CUST-00170"/>
    <x v="0"/>
    <x v="18"/>
    <s v="WB"/>
    <x v="2"/>
    <s v="Kolkata"/>
    <x v="3"/>
    <s v="P701"/>
    <s v="Ashwagandha Capsules"/>
    <x v="0"/>
    <n v="3"/>
    <n v="499"/>
    <n v="0.1"/>
    <n v="1497"/>
    <n v="149.70000000000002"/>
    <n v="1347.3"/>
    <n v="150"/>
    <n v="450"/>
    <n v="60"/>
    <n v="837.3"/>
    <n v="0.62146515252727674"/>
    <x v="3"/>
    <d v="2024-03-11T00:00:00"/>
    <n v="3"/>
    <x v="0"/>
    <n v="4"/>
    <n v="0"/>
  </r>
  <r>
    <s v="ORD-100325"/>
    <x v="67"/>
    <x v="0"/>
    <d v="2024-03-01T00:00:00"/>
    <n v="3"/>
    <s v="CUST-01148"/>
    <x v="0"/>
    <x v="21"/>
    <s v="TG"/>
    <x v="3"/>
    <s v="Hyderabad"/>
    <x v="2"/>
    <s v="P704"/>
    <s v="Multivitamin Gummies"/>
    <x v="0"/>
    <n v="2"/>
    <n v="699"/>
    <n v="0.15"/>
    <n v="1398"/>
    <n v="209.7"/>
    <n v="1188.3"/>
    <n v="238"/>
    <n v="476"/>
    <n v="60"/>
    <n v="652.29999999999995"/>
    <n v="0.54893545400993016"/>
    <x v="0"/>
    <d v="2024-03-12T00:00:00"/>
    <n v="4"/>
    <x v="0"/>
    <m/>
    <n v="0"/>
  </r>
  <r>
    <s v="ORD-100326"/>
    <x v="68"/>
    <x v="0"/>
    <d v="2024-03-01T00:00:00"/>
    <n v="3"/>
    <s v="CUST-02599"/>
    <x v="0"/>
    <x v="6"/>
    <s v="DL"/>
    <x v="0"/>
    <s v="New Delhi"/>
    <x v="0"/>
    <s v="P402"/>
    <s v="Casual Sneakers"/>
    <x v="5"/>
    <n v="1"/>
    <n v="2199"/>
    <n v="0.2"/>
    <n v="2199"/>
    <n v="439.8"/>
    <n v="1759.2"/>
    <n v="1034"/>
    <n v="1034"/>
    <n v="60"/>
    <n v="665.2"/>
    <n v="0.37812642110050027"/>
    <x v="4"/>
    <d v="2024-03-12T00:00:00"/>
    <n v="3"/>
    <x v="0"/>
    <n v="4"/>
    <n v="0"/>
  </r>
  <r>
    <s v="ORD-100327"/>
    <x v="68"/>
    <x v="0"/>
    <d v="2024-03-01T00:00:00"/>
    <n v="3"/>
    <s v="CUST-03160"/>
    <x v="0"/>
    <x v="18"/>
    <s v="WB"/>
    <x v="2"/>
    <s v="Kolkata"/>
    <x v="1"/>
    <s v="P301"/>
    <s v="Cotton Oversized T-Shirt"/>
    <x v="1"/>
    <n v="1"/>
    <n v="799"/>
    <n v="0"/>
    <n v="799"/>
    <n v="0"/>
    <n v="799"/>
    <n v="320"/>
    <n v="320"/>
    <n v="60"/>
    <n v="419"/>
    <n v="0.52440550688360454"/>
    <x v="0"/>
    <d v="2024-03-10T00:00:00"/>
    <n v="1"/>
    <x v="1"/>
    <n v="5"/>
    <n v="0"/>
  </r>
  <r>
    <s v="ORD-100328"/>
    <x v="68"/>
    <x v="0"/>
    <d v="2024-03-01T00:00:00"/>
    <n v="3"/>
    <s v="CUST-02148"/>
    <x v="0"/>
    <x v="21"/>
    <s v="TG"/>
    <x v="3"/>
    <s v="Hyderabad"/>
    <x v="0"/>
    <s v="P302"/>
    <s v="Linen Kurta"/>
    <x v="1"/>
    <n v="2"/>
    <n v="1499"/>
    <n v="0.4"/>
    <n v="2998"/>
    <n v="1199.2"/>
    <n v="1798.8"/>
    <n v="630"/>
    <n v="1260"/>
    <n v="60"/>
    <n v="478.79999999999995"/>
    <n v="0.26617745163442291"/>
    <x v="1"/>
    <d v="2024-03-10T00:00:00"/>
    <n v="1"/>
    <x v="1"/>
    <n v="5"/>
    <n v="0"/>
  </r>
  <r>
    <s v="ORD-100329"/>
    <x v="68"/>
    <x v="0"/>
    <d v="2024-03-01T00:00:00"/>
    <n v="3"/>
    <s v="CUST-02065"/>
    <x v="0"/>
    <x v="8"/>
    <s v="AP"/>
    <x v="3"/>
    <s v="Visakhapatnam"/>
    <x v="0"/>
    <s v="P701"/>
    <s v="Ashwagandha Capsules"/>
    <x v="0"/>
    <n v="1"/>
    <n v="499"/>
    <n v="0"/>
    <n v="499"/>
    <n v="0"/>
    <n v="499"/>
    <n v="150"/>
    <n v="150"/>
    <n v="120"/>
    <n v="229"/>
    <n v="0.4589178356713427"/>
    <x v="3"/>
    <d v="2024-03-14T00:00:00"/>
    <n v="5"/>
    <x v="2"/>
    <n v="4"/>
    <n v="1"/>
  </r>
  <r>
    <s v="ORD-100330"/>
    <x v="69"/>
    <x v="0"/>
    <d v="2024-03-01T00:00:00"/>
    <n v="3"/>
    <s v="CUST-00124"/>
    <x v="0"/>
    <x v="9"/>
    <s v="UK"/>
    <x v="0"/>
    <s v="Dehradun"/>
    <x v="3"/>
    <s v="P105"/>
    <s v="Retinol Night Cream"/>
    <x v="3"/>
    <n v="1"/>
    <n v="799"/>
    <n v="0.05"/>
    <n v="799"/>
    <n v="39.950000000000003"/>
    <n v="759.05"/>
    <n v="216"/>
    <n v="216"/>
    <n v="60"/>
    <n v="483.04999999999995"/>
    <n v="0.63638758975034582"/>
    <x v="3"/>
    <d v="2024-03-13T00:00:00"/>
    <n v="3"/>
    <x v="0"/>
    <n v="5"/>
    <n v="0"/>
  </r>
  <r>
    <s v="ORD-100331"/>
    <x v="69"/>
    <x v="0"/>
    <d v="2024-03-01T00:00:00"/>
    <n v="3"/>
    <s v="CUST-01116"/>
    <x v="1"/>
    <x v="0"/>
    <s v="RJ"/>
    <x v="0"/>
    <s v="Udaipur"/>
    <x v="1"/>
    <s v="P302"/>
    <s v="Linen Kurta"/>
    <x v="1"/>
    <n v="4"/>
    <n v="1499"/>
    <n v="0.3"/>
    <n v="5996"/>
    <n v="1798.8"/>
    <n v="4197.2"/>
    <n v="630"/>
    <n v="2520"/>
    <n v="60"/>
    <n v="1617.1999999999998"/>
    <n v="0.38530448870675688"/>
    <x v="2"/>
    <d v="2024-03-11T00:00:00"/>
    <n v="1"/>
    <x v="1"/>
    <n v="4"/>
    <n v="0"/>
  </r>
  <r>
    <s v="ORD-100332"/>
    <x v="69"/>
    <x v="0"/>
    <d v="2024-03-01T00:00:00"/>
    <n v="3"/>
    <s v="CUST-00136"/>
    <x v="0"/>
    <x v="15"/>
    <s v="HR"/>
    <x v="0"/>
    <s v="Gurugram"/>
    <x v="1"/>
    <s v="P404"/>
    <s v="Flip Flops"/>
    <x v="5"/>
    <n v="1"/>
    <n v="399"/>
    <n v="0.1"/>
    <n v="399"/>
    <n v="39.900000000000006"/>
    <n v="359.1"/>
    <n v="152"/>
    <n v="152"/>
    <n v="60"/>
    <n v="147.10000000000002"/>
    <n v="0.40963519910888335"/>
    <x v="0"/>
    <d v="2024-03-11T00:00:00"/>
    <n v="1"/>
    <x v="1"/>
    <n v="5"/>
    <n v="0"/>
  </r>
  <r>
    <s v="ORD-100333"/>
    <x v="69"/>
    <x v="0"/>
    <d v="2024-03-01T00:00:00"/>
    <n v="3"/>
    <s v="CUST-00618"/>
    <x v="0"/>
    <x v="6"/>
    <s v="DL"/>
    <x v="0"/>
    <s v="New Delhi"/>
    <x v="4"/>
    <s v="P701"/>
    <s v="Ashwagandha Capsules"/>
    <x v="0"/>
    <n v="3"/>
    <n v="499"/>
    <n v="0"/>
    <n v="1497"/>
    <n v="0"/>
    <n v="1497"/>
    <n v="150"/>
    <n v="450"/>
    <n v="60"/>
    <n v="987"/>
    <n v="0.65931863727454909"/>
    <x v="3"/>
    <d v="2024-03-12T00:00:00"/>
    <n v="2"/>
    <x v="1"/>
    <n v="5"/>
    <n v="0"/>
  </r>
  <r>
    <s v="ORD-100334"/>
    <x v="69"/>
    <x v="0"/>
    <d v="2024-03-01T00:00:00"/>
    <n v="3"/>
    <s v="CUST-00555"/>
    <x v="0"/>
    <x v="22"/>
    <s v="AS"/>
    <x v="2"/>
    <s v="Guwahati"/>
    <x v="3"/>
    <s v="P103"/>
    <s v="Niacinamide Toner"/>
    <x v="3"/>
    <n v="4"/>
    <n v="399"/>
    <n v="0.2"/>
    <n v="1596"/>
    <n v="319.20000000000005"/>
    <n v="1276.8"/>
    <n v="112"/>
    <n v="448"/>
    <n v="60"/>
    <n v="768.8"/>
    <n v="0.60213032581453629"/>
    <x v="0"/>
    <d v="2024-03-16T00:00:00"/>
    <n v="6"/>
    <x v="2"/>
    <n v="3"/>
    <n v="0"/>
  </r>
  <r>
    <s v="ORD-100335"/>
    <x v="69"/>
    <x v="0"/>
    <d v="2024-03-01T00:00:00"/>
    <n v="3"/>
    <s v="CUST-00399"/>
    <x v="0"/>
    <x v="2"/>
    <s v="MH"/>
    <x v="1"/>
    <s v="Mumbai"/>
    <x v="1"/>
    <s v="P303"/>
    <s v="Joggers"/>
    <x v="1"/>
    <n v="1"/>
    <n v="1199"/>
    <n v="0.15"/>
    <n v="1199"/>
    <n v="179.85"/>
    <n v="1019.15"/>
    <n v="492"/>
    <n v="492"/>
    <n v="120"/>
    <n v="407.15"/>
    <n v="0.3994995829858215"/>
    <x v="0"/>
    <d v="2024-03-11T00:00:00"/>
    <n v="1"/>
    <x v="1"/>
    <n v="5"/>
    <n v="1"/>
  </r>
  <r>
    <s v="ORD-100336"/>
    <x v="69"/>
    <x v="0"/>
    <d v="2024-03-01T00:00:00"/>
    <n v="3"/>
    <s v="CUST-00505"/>
    <x v="0"/>
    <x v="2"/>
    <s v="MH"/>
    <x v="1"/>
    <s v="Pune"/>
    <x v="2"/>
    <s v="P404"/>
    <s v="Flip Flops"/>
    <x v="5"/>
    <n v="1"/>
    <n v="399"/>
    <n v="0.1"/>
    <n v="399"/>
    <n v="39.900000000000006"/>
    <n v="359.1"/>
    <n v="152"/>
    <n v="152"/>
    <n v="60"/>
    <n v="147.10000000000002"/>
    <n v="0.40963519910888335"/>
    <x v="0"/>
    <d v="2024-03-15T00:00:00"/>
    <n v="5"/>
    <x v="2"/>
    <n v="4"/>
    <n v="0"/>
  </r>
  <r>
    <s v="ORD-100337"/>
    <x v="69"/>
    <x v="0"/>
    <d v="2024-03-01T00:00:00"/>
    <n v="3"/>
    <s v="CUST-00404"/>
    <x v="1"/>
    <x v="17"/>
    <s v="TN"/>
    <x v="3"/>
    <s v="Chennai"/>
    <x v="0"/>
    <s v="P401"/>
    <s v="Running Shoes"/>
    <x v="5"/>
    <n v="1"/>
    <n v="2999"/>
    <n v="0.15"/>
    <n v="2999"/>
    <n v="449.84999999999997"/>
    <n v="2549.15"/>
    <n v="1440"/>
    <n v="1440"/>
    <n v="120"/>
    <n v="989.15000000000009"/>
    <n v="0.3880313045524979"/>
    <x v="3"/>
    <d v="2024-03-11T00:00:00"/>
    <n v="1"/>
    <x v="1"/>
    <n v="4"/>
    <n v="1"/>
  </r>
  <r>
    <s v="ORD-100338"/>
    <x v="70"/>
    <x v="0"/>
    <d v="2024-03-01T00:00:00"/>
    <n v="3"/>
    <s v="CUST-00267"/>
    <x v="0"/>
    <x v="4"/>
    <s v="JK"/>
    <x v="0"/>
    <s v="Srinagar"/>
    <x v="4"/>
    <s v="P404"/>
    <s v="Flip Flops"/>
    <x v="5"/>
    <n v="2"/>
    <n v="399"/>
    <n v="0.2"/>
    <n v="798"/>
    <n v="159.60000000000002"/>
    <n v="638.4"/>
    <n v="152"/>
    <n v="304"/>
    <n v="120"/>
    <n v="214.39999999999998"/>
    <n v="0.33583959899749372"/>
    <x v="0"/>
    <d v="2024-03-17T00:00:00"/>
    <n v="6"/>
    <x v="2"/>
    <n v="4"/>
    <n v="1"/>
  </r>
  <r>
    <s v="ORD-100339"/>
    <x v="70"/>
    <x v="0"/>
    <d v="2024-03-01T00:00:00"/>
    <n v="3"/>
    <s v="CUST-01317"/>
    <x v="0"/>
    <x v="22"/>
    <s v="AS"/>
    <x v="2"/>
    <s v="Guwahati"/>
    <x v="4"/>
    <s v="P103"/>
    <s v="Niacinamide Toner"/>
    <x v="3"/>
    <n v="2"/>
    <n v="399"/>
    <n v="0.3"/>
    <n v="798"/>
    <n v="239.39999999999998"/>
    <n v="558.6"/>
    <n v="112"/>
    <n v="224"/>
    <n v="60"/>
    <n v="274.60000000000002"/>
    <n v="0.49158610812746151"/>
    <x v="1"/>
    <d v="2024-03-17T00:00:00"/>
    <n v="6"/>
    <x v="2"/>
    <n v="3"/>
    <n v="0"/>
  </r>
  <r>
    <s v="ORD-100340"/>
    <x v="70"/>
    <x v="0"/>
    <d v="2024-03-01T00:00:00"/>
    <n v="3"/>
    <s v="CUST-00456"/>
    <x v="1"/>
    <x v="13"/>
    <s v="MP"/>
    <x v="1"/>
    <s v="Bhopal"/>
    <x v="0"/>
    <s v="P301"/>
    <s v="Cotton Oversized T-Shirt"/>
    <x v="1"/>
    <n v="1"/>
    <n v="799"/>
    <n v="0"/>
    <n v="799"/>
    <n v="0"/>
    <n v="799"/>
    <n v="320"/>
    <n v="320"/>
    <n v="60"/>
    <n v="419"/>
    <n v="0.52440550688360454"/>
    <x v="0"/>
    <d v="2024-03-15T00:00:00"/>
    <n v="4"/>
    <x v="0"/>
    <n v="4"/>
    <n v="0"/>
  </r>
  <r>
    <s v="ORD-100341"/>
    <x v="70"/>
    <x v="0"/>
    <d v="2024-03-01T00:00:00"/>
    <n v="3"/>
    <s v="CUST-02749"/>
    <x v="0"/>
    <x v="18"/>
    <s v="WB"/>
    <x v="2"/>
    <s v="Kolkata"/>
    <x v="1"/>
    <s v="P304"/>
    <s v="Denim Jacket"/>
    <x v="1"/>
    <n v="1"/>
    <n v="2499"/>
    <n v="0"/>
    <n v="2499"/>
    <n v="0"/>
    <n v="2499"/>
    <n v="1125"/>
    <n v="1125"/>
    <n v="60"/>
    <n v="1314"/>
    <n v="0.5258103241296519"/>
    <x v="2"/>
    <d v="2024-03-13T00:00:00"/>
    <n v="2"/>
    <x v="1"/>
    <n v="4"/>
    <n v="0"/>
  </r>
  <r>
    <s v="ORD-100342"/>
    <x v="70"/>
    <x v="0"/>
    <d v="2024-03-01T00:00:00"/>
    <n v="3"/>
    <s v="CUST-01675"/>
    <x v="0"/>
    <x v="17"/>
    <s v="TN"/>
    <x v="3"/>
    <s v="Coimbatore"/>
    <x v="2"/>
    <s v="P504"/>
    <s v="Cotton Bedsheet"/>
    <x v="4"/>
    <n v="1"/>
    <n v="1299"/>
    <n v="0"/>
    <n v="1299"/>
    <n v="0"/>
    <n v="1299"/>
    <n v="585"/>
    <n v="585"/>
    <n v="60"/>
    <n v="654"/>
    <n v="0.50346420323325636"/>
    <x v="0"/>
    <d v="2024-03-14T00:00:00"/>
    <n v="3"/>
    <x v="0"/>
    <n v="4"/>
    <n v="0"/>
  </r>
  <r>
    <s v="ORD-100343"/>
    <x v="70"/>
    <x v="0"/>
    <d v="2024-03-01T00:00:00"/>
    <n v="3"/>
    <s v="CUST-00283"/>
    <x v="0"/>
    <x v="17"/>
    <s v="TN"/>
    <x v="3"/>
    <s v="Coimbatore"/>
    <x v="4"/>
    <s v="P105"/>
    <s v="Retinol Night Cream"/>
    <x v="3"/>
    <n v="1"/>
    <n v="799"/>
    <n v="0.1"/>
    <n v="799"/>
    <n v="79.900000000000006"/>
    <n v="719.1"/>
    <n v="216"/>
    <n v="216"/>
    <n v="60"/>
    <n v="443.1"/>
    <n v="0.61618690029203171"/>
    <x v="0"/>
    <d v="2024-03-13T00:00:00"/>
    <n v="2"/>
    <x v="1"/>
    <n v="4"/>
    <n v="0"/>
  </r>
  <r>
    <s v="ORD-100344"/>
    <x v="71"/>
    <x v="0"/>
    <d v="2024-03-01T00:00:00"/>
    <n v="3"/>
    <s v="CUST-02373"/>
    <x v="0"/>
    <x v="22"/>
    <s v="AS"/>
    <x v="2"/>
    <s v="Guwahati"/>
    <x v="0"/>
    <s v="P603"/>
    <s v="Smartwatch Strap"/>
    <x v="2"/>
    <n v="1"/>
    <n v="499"/>
    <n v="0.15"/>
    <n v="499"/>
    <n v="74.849999999999994"/>
    <n v="424.15"/>
    <n v="200"/>
    <n v="200"/>
    <n v="60"/>
    <n v="164.14999999999998"/>
    <n v="0.38700931274313327"/>
    <x v="1"/>
    <d v="2024-03-19T00:00:00"/>
    <n v="7"/>
    <x v="2"/>
    <n v="3"/>
    <n v="0"/>
  </r>
  <r>
    <s v="ORD-100345"/>
    <x v="71"/>
    <x v="0"/>
    <d v="2024-03-01T00:00:00"/>
    <n v="3"/>
    <s v="CUST-00703"/>
    <x v="0"/>
    <x v="1"/>
    <s v="GJ"/>
    <x v="1"/>
    <s v="Surat"/>
    <x v="2"/>
    <s v="P704"/>
    <s v="Multivitamin Gummies"/>
    <x v="0"/>
    <n v="1"/>
    <n v="699"/>
    <n v="0.2"/>
    <n v="699"/>
    <n v="139.80000000000001"/>
    <n v="559.20000000000005"/>
    <n v="238"/>
    <n v="238"/>
    <n v="60"/>
    <n v="261.20000000000005"/>
    <n v="0.46709585121602293"/>
    <x v="0"/>
    <d v="2024-03-15T00:00:00"/>
    <n v="3"/>
    <x v="0"/>
    <m/>
    <n v="0"/>
  </r>
  <r>
    <s v="ORD-100346"/>
    <x v="71"/>
    <x v="0"/>
    <d v="2024-03-01T00:00:00"/>
    <n v="3"/>
    <s v="CUST-00677"/>
    <x v="1"/>
    <x v="21"/>
    <s v="TG"/>
    <x v="3"/>
    <s v="Hyderabad"/>
    <x v="4"/>
    <s v="P603"/>
    <s v="Smartwatch Strap"/>
    <x v="2"/>
    <n v="2"/>
    <n v="499"/>
    <n v="0.15"/>
    <n v="998"/>
    <n v="149.69999999999999"/>
    <n v="848.3"/>
    <n v="200"/>
    <n v="400"/>
    <n v="60"/>
    <n v="388.29999999999995"/>
    <n v="0.45773900742661794"/>
    <x v="0"/>
    <d v="2024-03-16T00:00:00"/>
    <n v="4"/>
    <x v="0"/>
    <m/>
    <n v="0"/>
  </r>
  <r>
    <s v="ORD-100347"/>
    <x v="71"/>
    <x v="0"/>
    <d v="2024-03-01T00:00:00"/>
    <n v="3"/>
    <s v="CUST-00927"/>
    <x v="0"/>
    <x v="11"/>
    <s v="KA"/>
    <x v="3"/>
    <s v="Bengaluru"/>
    <x v="2"/>
    <s v="P103"/>
    <s v="Niacinamide Toner"/>
    <x v="3"/>
    <n v="3"/>
    <n v="399"/>
    <n v="0.25"/>
    <n v="1197"/>
    <n v="299.25"/>
    <n v="897.75"/>
    <n v="112"/>
    <n v="336"/>
    <n v="60"/>
    <n v="501.75"/>
    <n v="0.55889724310776945"/>
    <x v="0"/>
    <d v="2024-03-15T00:00:00"/>
    <n v="3"/>
    <x v="0"/>
    <m/>
    <n v="0"/>
  </r>
  <r>
    <s v="ORD-100348"/>
    <x v="72"/>
    <x v="0"/>
    <d v="2024-03-01T00:00:00"/>
    <n v="3"/>
    <s v="CUST-01075"/>
    <x v="0"/>
    <x v="19"/>
    <s v="PB"/>
    <x v="0"/>
    <s v="Amritsar"/>
    <x v="0"/>
    <s v="P503"/>
    <s v="Scented Candle Set"/>
    <x v="4"/>
    <n v="2"/>
    <n v="699"/>
    <n v="0.2"/>
    <n v="1398"/>
    <n v="279.60000000000002"/>
    <n v="1118.4000000000001"/>
    <n v="245"/>
    <n v="490"/>
    <n v="60"/>
    <n v="568.40000000000009"/>
    <n v="0.50822603719599435"/>
    <x v="2"/>
    <d v="2024-03-16T00:00:00"/>
    <n v="3"/>
    <x v="0"/>
    <n v="4"/>
    <n v="0"/>
  </r>
  <r>
    <s v="ORD-100349"/>
    <x v="72"/>
    <x v="0"/>
    <d v="2024-03-01T00:00:00"/>
    <n v="3"/>
    <s v="CUST-01026"/>
    <x v="0"/>
    <x v="5"/>
    <s v="HP"/>
    <x v="0"/>
    <s v="Shimla"/>
    <x v="0"/>
    <s v="P101"/>
    <s v="Vitamin C Face Serum"/>
    <x v="3"/>
    <n v="1"/>
    <n v="599"/>
    <n v="0.15"/>
    <n v="599"/>
    <n v="89.85"/>
    <n v="509.15"/>
    <n v="180"/>
    <n v="180"/>
    <n v="60"/>
    <n v="269.14999999999998"/>
    <n v="0.52862614160856325"/>
    <x v="0"/>
    <d v="2024-03-17T00:00:00"/>
    <n v="4"/>
    <x v="0"/>
    <n v="5"/>
    <n v="0"/>
  </r>
  <r>
    <s v="ORD-100350"/>
    <x v="72"/>
    <x v="0"/>
    <d v="2024-03-01T00:00:00"/>
    <n v="3"/>
    <s v="CUST-00231"/>
    <x v="0"/>
    <x v="15"/>
    <s v="HR"/>
    <x v="0"/>
    <s v="Faridabad"/>
    <x v="0"/>
    <s v="P304"/>
    <s v="Denim Jacket"/>
    <x v="1"/>
    <n v="1"/>
    <n v="2499"/>
    <n v="0.05"/>
    <n v="2499"/>
    <n v="124.95"/>
    <n v="2374.0500000000002"/>
    <n v="1125"/>
    <n v="1125"/>
    <n v="60"/>
    <n v="1189.0500000000002"/>
    <n v="0.50085297276805463"/>
    <x v="3"/>
    <d v="2024-03-14T00:00:00"/>
    <n v="1"/>
    <x v="1"/>
    <n v="5"/>
    <n v="0"/>
  </r>
  <r>
    <s v="ORD-100351"/>
    <x v="72"/>
    <x v="0"/>
    <d v="2024-03-01T00:00:00"/>
    <n v="3"/>
    <s v="CUST-00017"/>
    <x v="0"/>
    <x v="8"/>
    <s v="AP"/>
    <x v="3"/>
    <s v="Visakhapatnam"/>
    <x v="3"/>
    <s v="P202"/>
    <s v="Argan Shampoo"/>
    <x v="6"/>
    <n v="1"/>
    <n v="449"/>
    <n v="0.15"/>
    <n v="449"/>
    <n v="67.349999999999994"/>
    <n v="381.65"/>
    <n v="148"/>
    <n v="148"/>
    <n v="60"/>
    <n v="173.64999999999998"/>
    <n v="0.45499803484868334"/>
    <x v="1"/>
    <d v="2024-03-16T00:00:00"/>
    <n v="3"/>
    <x v="0"/>
    <n v="5"/>
    <n v="0"/>
  </r>
  <r>
    <s v="ORD-100352"/>
    <x v="73"/>
    <x v="0"/>
    <d v="2024-03-01T00:00:00"/>
    <n v="3"/>
    <s v="CUST-00094"/>
    <x v="0"/>
    <x v="14"/>
    <s v="KL"/>
    <x v="3"/>
    <s v="Thiruvananthapuram"/>
    <x v="0"/>
    <s v="P101"/>
    <s v="Vitamin C Face Serum"/>
    <x v="3"/>
    <n v="1"/>
    <n v="599"/>
    <n v="0.25"/>
    <n v="599"/>
    <n v="149.75"/>
    <n v="449.25"/>
    <n v="180"/>
    <n v="180"/>
    <n v="60"/>
    <n v="209.25"/>
    <n v="0.46577629382303842"/>
    <x v="0"/>
    <d v="2024-03-17T00:00:00"/>
    <n v="3"/>
    <x v="0"/>
    <m/>
    <n v="0"/>
  </r>
  <r>
    <s v="ORD-100353"/>
    <x v="74"/>
    <x v="0"/>
    <d v="2024-03-01T00:00:00"/>
    <n v="3"/>
    <s v="CUST-00556"/>
    <x v="0"/>
    <x v="0"/>
    <s v="RJ"/>
    <x v="0"/>
    <s v="Jaipur"/>
    <x v="0"/>
    <s v="P305"/>
    <s v="Printed Saree"/>
    <x v="1"/>
    <n v="2"/>
    <n v="1999"/>
    <n v="0.05"/>
    <n v="3998"/>
    <n v="199.9"/>
    <n v="3798.1"/>
    <n v="880"/>
    <n v="1760"/>
    <n v="120"/>
    <n v="1918.1"/>
    <n v="0.50501566572760059"/>
    <x v="1"/>
    <d v="2024-03-20T00:00:00"/>
    <n v="5"/>
    <x v="2"/>
    <n v="4"/>
    <n v="1"/>
  </r>
  <r>
    <s v="ORD-100354"/>
    <x v="74"/>
    <x v="0"/>
    <d v="2024-03-01T00:00:00"/>
    <n v="3"/>
    <s v="CUST-01765"/>
    <x v="0"/>
    <x v="7"/>
    <s v="JH"/>
    <x v="2"/>
    <s v="Ranchi"/>
    <x v="0"/>
    <s v="P404"/>
    <s v="Flip Flops"/>
    <x v="5"/>
    <n v="2"/>
    <n v="399"/>
    <n v="0.1"/>
    <n v="798"/>
    <n v="79.800000000000011"/>
    <n v="718.2"/>
    <n v="152"/>
    <n v="304"/>
    <n v="120"/>
    <n v="294.20000000000005"/>
    <n v="0.40963519910888335"/>
    <x v="0"/>
    <d v="2024-03-19T00:00:00"/>
    <n v="4"/>
    <x v="0"/>
    <n v="4"/>
    <n v="1"/>
  </r>
  <r>
    <s v="ORD-100355"/>
    <x v="74"/>
    <x v="0"/>
    <d v="2024-03-01T00:00:00"/>
    <n v="3"/>
    <s v="CUST-02170"/>
    <x v="0"/>
    <x v="21"/>
    <s v="TG"/>
    <x v="3"/>
    <s v="Hyderabad"/>
    <x v="0"/>
    <s v="P701"/>
    <s v="Ashwagandha Capsules"/>
    <x v="0"/>
    <n v="2"/>
    <n v="499"/>
    <n v="0.1"/>
    <n v="998"/>
    <n v="99.800000000000011"/>
    <n v="898.2"/>
    <n v="150"/>
    <n v="300"/>
    <n v="60"/>
    <n v="538.20000000000005"/>
    <n v="0.59919839679358722"/>
    <x v="3"/>
    <d v="2024-03-18T00:00:00"/>
    <n v="3"/>
    <x v="0"/>
    <n v="3"/>
    <n v="0"/>
  </r>
  <r>
    <s v="ORD-100356"/>
    <x v="74"/>
    <x v="0"/>
    <d v="2024-03-01T00:00:00"/>
    <n v="3"/>
    <s v="CUST-02787"/>
    <x v="0"/>
    <x v="14"/>
    <s v="KL"/>
    <x v="3"/>
    <s v="Kochi"/>
    <x v="2"/>
    <s v="P203"/>
    <s v="Keratin Hair Mask"/>
    <x v="6"/>
    <n v="1"/>
    <n v="549"/>
    <n v="0.1"/>
    <n v="549"/>
    <n v="54.900000000000006"/>
    <n v="494.1"/>
    <n v="170"/>
    <n v="170"/>
    <n v="120"/>
    <n v="204.10000000000002"/>
    <n v="0.41307427646225464"/>
    <x v="0"/>
    <d v="2024-03-20T00:00:00"/>
    <n v="5"/>
    <x v="2"/>
    <m/>
    <n v="1"/>
  </r>
  <r>
    <s v="ORD-100357"/>
    <x v="74"/>
    <x v="0"/>
    <d v="2024-03-01T00:00:00"/>
    <n v="3"/>
    <s v="CUST-00001"/>
    <x v="1"/>
    <x v="17"/>
    <s v="TN"/>
    <x v="3"/>
    <s v="Chennai"/>
    <x v="1"/>
    <s v="P302"/>
    <s v="Linen Kurta"/>
    <x v="1"/>
    <n v="1"/>
    <n v="1499"/>
    <n v="0.25"/>
    <n v="1499"/>
    <n v="374.75"/>
    <n v="1124.25"/>
    <n v="630"/>
    <n v="630"/>
    <n v="60"/>
    <n v="434.25"/>
    <n v="0.38625750500333556"/>
    <x v="0"/>
    <d v="2024-03-16T00:00:00"/>
    <n v="1"/>
    <x v="1"/>
    <n v="4"/>
    <n v="0"/>
  </r>
  <r>
    <s v="ORD-100358"/>
    <x v="75"/>
    <x v="0"/>
    <d v="2024-03-01T00:00:00"/>
    <n v="3"/>
    <s v="CUST-00823"/>
    <x v="0"/>
    <x v="4"/>
    <s v="JK"/>
    <x v="0"/>
    <s v="Jammu"/>
    <x v="2"/>
    <s v="P602"/>
    <s v="Fast Charger 33W"/>
    <x v="2"/>
    <n v="2"/>
    <n v="899"/>
    <n v="0"/>
    <n v="1798"/>
    <n v="0"/>
    <n v="1798"/>
    <n v="494"/>
    <n v="988"/>
    <n v="60"/>
    <n v="750"/>
    <n v="0.41713014460511677"/>
    <x v="0"/>
    <d v="2024-03-23T00:00:00"/>
    <n v="7"/>
    <x v="2"/>
    <n v="3"/>
    <n v="0"/>
  </r>
  <r>
    <s v="ORD-100359"/>
    <x v="75"/>
    <x v="0"/>
    <d v="2024-03-01T00:00:00"/>
    <n v="3"/>
    <s v="CUST-00050"/>
    <x v="0"/>
    <x v="6"/>
    <s v="DL"/>
    <x v="0"/>
    <s v="New Delhi"/>
    <x v="3"/>
    <s v="P703"/>
    <s v="Green Tea (100 bags)"/>
    <x v="0"/>
    <n v="1"/>
    <n v="399"/>
    <n v="0.45"/>
    <n v="399"/>
    <n v="179.55"/>
    <n v="219.45"/>
    <n v="128"/>
    <n v="128"/>
    <n v="60"/>
    <n v="31.449999999999989"/>
    <n v="0.14331282752335381"/>
    <x v="0"/>
    <d v="2024-03-17T00:00:00"/>
    <n v="1"/>
    <x v="1"/>
    <n v="4"/>
    <n v="0"/>
  </r>
  <r>
    <s v="ORD-100360"/>
    <x v="75"/>
    <x v="0"/>
    <d v="2024-03-01T00:00:00"/>
    <n v="3"/>
    <s v="CUST-00864"/>
    <x v="0"/>
    <x v="13"/>
    <s v="MP"/>
    <x v="1"/>
    <s v="Bhopal"/>
    <x v="0"/>
    <s v="P104"/>
    <s v="Hydrating Face Wash"/>
    <x v="3"/>
    <n v="1"/>
    <n v="299"/>
    <n v="0.1"/>
    <n v="299"/>
    <n v="29.900000000000002"/>
    <n v="269.10000000000002"/>
    <n v="90"/>
    <n v="90"/>
    <n v="60"/>
    <n v="119.10000000000002"/>
    <n v="0.4425863991081383"/>
    <x v="1"/>
    <d v="2024-03-20T00:00:00"/>
    <n v="4"/>
    <x v="0"/>
    <n v="3"/>
    <n v="0"/>
  </r>
  <r>
    <s v="ORD-100361"/>
    <x v="75"/>
    <x v="0"/>
    <d v="2024-03-01T00:00:00"/>
    <n v="3"/>
    <s v="CUST-00243"/>
    <x v="0"/>
    <x v="8"/>
    <s v="AP"/>
    <x v="3"/>
    <s v="Vijayawada"/>
    <x v="4"/>
    <s v="P103"/>
    <s v="Niacinamide Toner"/>
    <x v="3"/>
    <n v="3"/>
    <n v="399"/>
    <n v="0.3"/>
    <n v="1197"/>
    <n v="359.09999999999997"/>
    <n v="837.90000000000009"/>
    <n v="112"/>
    <n v="336"/>
    <n v="60"/>
    <n v="441.90000000000009"/>
    <n v="0.527389903329753"/>
    <x v="3"/>
    <d v="2024-03-18T00:00:00"/>
    <n v="2"/>
    <x v="1"/>
    <n v="4"/>
    <n v="0"/>
  </r>
  <r>
    <s v="ORD-100362"/>
    <x v="75"/>
    <x v="0"/>
    <d v="2024-03-01T00:00:00"/>
    <n v="3"/>
    <s v="CUST-00324"/>
    <x v="0"/>
    <x v="14"/>
    <s v="KL"/>
    <x v="3"/>
    <s v="Kochi"/>
    <x v="2"/>
    <s v="P201"/>
    <s v="Onion Hair Oil"/>
    <x v="6"/>
    <n v="2"/>
    <n v="349"/>
    <n v="0.35"/>
    <n v="698"/>
    <n v="244.29999999999998"/>
    <n v="453.70000000000005"/>
    <n v="105"/>
    <n v="210"/>
    <n v="60"/>
    <n v="183.70000000000005"/>
    <n v="0.40489310116817284"/>
    <x v="0"/>
    <d v="2024-03-20T00:00:00"/>
    <n v="4"/>
    <x v="0"/>
    <n v="4"/>
    <n v="0"/>
  </r>
  <r>
    <s v="ORD-100363"/>
    <x v="76"/>
    <x v="0"/>
    <d v="2024-03-01T00:00:00"/>
    <n v="3"/>
    <s v="CUST-00281"/>
    <x v="1"/>
    <x v="6"/>
    <s v="DL"/>
    <x v="0"/>
    <s v="New Delhi"/>
    <x v="0"/>
    <s v="P202"/>
    <s v="Argan Shampoo"/>
    <x v="6"/>
    <n v="2"/>
    <n v="449"/>
    <n v="0.1"/>
    <n v="898"/>
    <n v="89.800000000000011"/>
    <n v="808.2"/>
    <n v="148"/>
    <n v="296"/>
    <n v="60"/>
    <n v="452.20000000000005"/>
    <n v="0.5595149715416976"/>
    <x v="3"/>
    <d v="2024-03-18T00:00:00"/>
    <n v="1"/>
    <x v="1"/>
    <n v="4"/>
    <n v="0"/>
  </r>
  <r>
    <s v="ORD-100364"/>
    <x v="76"/>
    <x v="0"/>
    <d v="2024-03-01T00:00:00"/>
    <n v="3"/>
    <s v="CUST-01052"/>
    <x v="1"/>
    <x v="16"/>
    <s v="UP"/>
    <x v="0"/>
    <s v="Noida"/>
    <x v="4"/>
    <s v="P303"/>
    <s v="Joggers"/>
    <x v="1"/>
    <n v="3"/>
    <n v="1199"/>
    <n v="0.05"/>
    <n v="3597"/>
    <n v="179.85000000000002"/>
    <n v="3417.15"/>
    <n v="492"/>
    <n v="1476"/>
    <n v="60"/>
    <n v="1881.15"/>
    <n v="0.55050261182564419"/>
    <x v="0"/>
    <d v="2024-03-20T00:00:00"/>
    <n v="3"/>
    <x v="0"/>
    <n v="4"/>
    <n v="0"/>
  </r>
  <r>
    <s v="ORD-100365"/>
    <x v="76"/>
    <x v="0"/>
    <d v="2024-03-01T00:00:00"/>
    <n v="3"/>
    <s v="CUST-00806"/>
    <x v="0"/>
    <x v="16"/>
    <s v="UP"/>
    <x v="0"/>
    <s v="Lucknow"/>
    <x v="0"/>
    <s v="P503"/>
    <s v="Scented Candle Set"/>
    <x v="4"/>
    <n v="1"/>
    <n v="699"/>
    <n v="0.25"/>
    <n v="699"/>
    <n v="174.75"/>
    <n v="524.25"/>
    <n v="245"/>
    <n v="245"/>
    <n v="60"/>
    <n v="219.25"/>
    <n v="0.41821649976156416"/>
    <x v="0"/>
    <d v="2024-03-23T00:00:00"/>
    <n v="6"/>
    <x v="2"/>
    <n v="3"/>
    <n v="0"/>
  </r>
  <r>
    <s v="ORD-100366"/>
    <x v="76"/>
    <x v="0"/>
    <d v="2024-03-01T00:00:00"/>
    <n v="3"/>
    <s v="CUST-01031"/>
    <x v="0"/>
    <x v="22"/>
    <s v="AS"/>
    <x v="2"/>
    <s v="Guwahati"/>
    <x v="3"/>
    <s v="P202"/>
    <s v="Argan Shampoo"/>
    <x v="6"/>
    <n v="1"/>
    <n v="449"/>
    <n v="0.05"/>
    <n v="449"/>
    <n v="22.450000000000003"/>
    <n v="426.55"/>
    <n v="148"/>
    <n v="148"/>
    <n v="60"/>
    <n v="218.55"/>
    <n v="0.51236666275934828"/>
    <x v="2"/>
    <d v="2024-03-22T00:00:00"/>
    <n v="5"/>
    <x v="2"/>
    <n v="3"/>
    <n v="0"/>
  </r>
  <r>
    <s v="ORD-100367"/>
    <x v="76"/>
    <x v="0"/>
    <d v="2024-03-01T00:00:00"/>
    <n v="3"/>
    <s v="CUST-01694"/>
    <x v="0"/>
    <x v="8"/>
    <s v="AP"/>
    <x v="3"/>
    <s v="Vijayawada"/>
    <x v="0"/>
    <s v="P703"/>
    <s v="Green Tea (100 bags)"/>
    <x v="0"/>
    <n v="3"/>
    <n v="399"/>
    <n v="0.35"/>
    <n v="1197"/>
    <n v="418.95"/>
    <n v="778.05"/>
    <n v="128"/>
    <n v="384"/>
    <n v="60"/>
    <n v="334.04999999999995"/>
    <n v="0.42934258723732405"/>
    <x v="2"/>
    <d v="2024-03-20T00:00:00"/>
    <n v="3"/>
    <x v="0"/>
    <m/>
    <n v="0"/>
  </r>
  <r>
    <s v="ORD-100368"/>
    <x v="76"/>
    <x v="0"/>
    <d v="2024-03-01T00:00:00"/>
    <n v="3"/>
    <s v="CUST-00004"/>
    <x v="0"/>
    <x v="17"/>
    <s v="TN"/>
    <x v="3"/>
    <s v="Chennai"/>
    <x v="4"/>
    <s v="P701"/>
    <s v="Ashwagandha Capsules"/>
    <x v="0"/>
    <n v="3"/>
    <n v="499"/>
    <n v="0"/>
    <n v="1497"/>
    <n v="0"/>
    <n v="1497"/>
    <n v="150"/>
    <n v="450"/>
    <n v="60"/>
    <n v="987"/>
    <n v="0.65931863727454909"/>
    <x v="0"/>
    <d v="2024-03-19T00:00:00"/>
    <n v="2"/>
    <x v="1"/>
    <m/>
    <n v="0"/>
  </r>
  <r>
    <s v="ORD-100369"/>
    <x v="76"/>
    <x v="0"/>
    <d v="2024-03-01T00:00:00"/>
    <n v="3"/>
    <s v="CUST-00738"/>
    <x v="1"/>
    <x v="17"/>
    <s v="TN"/>
    <x v="3"/>
    <s v="Coimbatore"/>
    <x v="2"/>
    <s v="P202"/>
    <s v="Argan Shampoo"/>
    <x v="6"/>
    <n v="1"/>
    <n v="449"/>
    <n v="0.1"/>
    <n v="449"/>
    <n v="44.900000000000006"/>
    <n v="404.1"/>
    <n v="148"/>
    <n v="148"/>
    <n v="60"/>
    <n v="196.10000000000002"/>
    <n v="0.48527592180153428"/>
    <x v="2"/>
    <d v="2024-03-21T00:00:00"/>
    <n v="4"/>
    <x v="0"/>
    <n v="4"/>
    <n v="0"/>
  </r>
  <r>
    <s v="ORD-100370"/>
    <x v="77"/>
    <x v="0"/>
    <d v="2024-03-01T00:00:00"/>
    <n v="3"/>
    <s v="CUST-00955"/>
    <x v="1"/>
    <x v="6"/>
    <s v="DL"/>
    <x v="0"/>
    <s v="New Delhi"/>
    <x v="1"/>
    <s v="P301"/>
    <s v="Cotton Oversized T-Shirt"/>
    <x v="1"/>
    <n v="1"/>
    <n v="799"/>
    <n v="0.1"/>
    <n v="799"/>
    <n v="79.900000000000006"/>
    <n v="719.1"/>
    <n v="320"/>
    <n v="320"/>
    <n v="60"/>
    <n v="339.1"/>
    <n v="0.47156167431511614"/>
    <x v="4"/>
    <d v="2024-03-19T00:00:00"/>
    <n v="1"/>
    <x v="1"/>
    <n v="5"/>
    <n v="0"/>
  </r>
  <r>
    <s v="ORD-100371"/>
    <x v="77"/>
    <x v="0"/>
    <d v="2024-03-01T00:00:00"/>
    <n v="3"/>
    <s v="CUST-00278"/>
    <x v="0"/>
    <x v="7"/>
    <s v="JH"/>
    <x v="2"/>
    <s v="Ranchi"/>
    <x v="4"/>
    <s v="P703"/>
    <s v="Green Tea (100 bags)"/>
    <x v="0"/>
    <n v="2"/>
    <n v="399"/>
    <n v="0.4"/>
    <n v="798"/>
    <n v="319.20000000000005"/>
    <n v="478.79999999999995"/>
    <n v="128"/>
    <n v="256"/>
    <n v="60"/>
    <n v="162.79999999999995"/>
    <n v="0.34001670843776099"/>
    <x v="0"/>
    <d v="2024-03-21T00:00:00"/>
    <n v="3"/>
    <x v="0"/>
    <n v="4"/>
    <n v="0"/>
  </r>
  <r>
    <s v="ORD-100372"/>
    <x v="77"/>
    <x v="0"/>
    <d v="2024-03-01T00:00:00"/>
    <n v="3"/>
    <s v="CUST-00975"/>
    <x v="0"/>
    <x v="18"/>
    <s v="WB"/>
    <x v="2"/>
    <s v="Kolkata"/>
    <x v="1"/>
    <s v="P401"/>
    <s v="Running Shoes"/>
    <x v="5"/>
    <n v="1"/>
    <n v="2999"/>
    <n v="0.25"/>
    <n v="2999"/>
    <n v="749.75"/>
    <n v="2249.25"/>
    <n v="1440"/>
    <n v="1440"/>
    <n v="120"/>
    <n v="689.25"/>
    <n v="0.30643547849283093"/>
    <x v="0"/>
    <d v="2024-03-20T00:00:00"/>
    <n v="2"/>
    <x v="1"/>
    <m/>
    <n v="1"/>
  </r>
  <r>
    <s v="ORD-100373"/>
    <x v="77"/>
    <x v="0"/>
    <d v="2024-03-01T00:00:00"/>
    <n v="3"/>
    <s v="CUST-02259"/>
    <x v="0"/>
    <x v="2"/>
    <s v="MH"/>
    <x v="1"/>
    <s v="Mumbai"/>
    <x v="2"/>
    <s v="P102"/>
    <s v="Sunscreen SPF 50"/>
    <x v="3"/>
    <n v="1"/>
    <n v="449"/>
    <n v="0"/>
    <n v="449"/>
    <n v="0"/>
    <n v="449"/>
    <n v="144"/>
    <n v="144"/>
    <n v="60"/>
    <n v="245"/>
    <n v="0.54565701559020041"/>
    <x v="0"/>
    <d v="2024-03-23T00:00:00"/>
    <n v="5"/>
    <x v="2"/>
    <n v="3"/>
    <n v="0"/>
  </r>
  <r>
    <s v="ORD-100374"/>
    <x v="77"/>
    <x v="0"/>
    <d v="2024-03-01T00:00:00"/>
    <n v="3"/>
    <s v="CUST-00371"/>
    <x v="0"/>
    <x v="11"/>
    <s v="KA"/>
    <x v="3"/>
    <s v="Mysuru"/>
    <x v="3"/>
    <s v="P704"/>
    <s v="Multivitamin Gummies"/>
    <x v="0"/>
    <n v="1"/>
    <n v="699"/>
    <n v="0.3"/>
    <n v="699"/>
    <n v="209.7"/>
    <n v="489.3"/>
    <n v="238"/>
    <n v="238"/>
    <n v="60"/>
    <n v="191.3"/>
    <n v="0.39096668710402616"/>
    <x v="0"/>
    <d v="2024-03-19T00:00:00"/>
    <n v="1"/>
    <x v="1"/>
    <n v="4"/>
    <n v="0"/>
  </r>
  <r>
    <s v="ORD-100375"/>
    <x v="77"/>
    <x v="0"/>
    <d v="2024-03-01T00:00:00"/>
    <n v="3"/>
    <s v="CUST-00701"/>
    <x v="0"/>
    <x v="11"/>
    <s v="KA"/>
    <x v="3"/>
    <s v="Bengaluru"/>
    <x v="4"/>
    <s v="P204"/>
    <s v="Anti-Dandruff Conditioner"/>
    <x v="6"/>
    <n v="2"/>
    <n v="399"/>
    <n v="0.45"/>
    <n v="798"/>
    <n v="359.1"/>
    <n v="438.9"/>
    <n v="136"/>
    <n v="272"/>
    <n v="60"/>
    <n v="106.89999999999998"/>
    <n v="0.24356345408976984"/>
    <x v="0"/>
    <d v="2024-03-20T00:00:00"/>
    <n v="2"/>
    <x v="1"/>
    <n v="4"/>
    <n v="0"/>
  </r>
  <r>
    <s v="ORD-100376"/>
    <x v="78"/>
    <x v="0"/>
    <d v="2024-03-01T00:00:00"/>
    <n v="3"/>
    <s v="CUST-01248"/>
    <x v="0"/>
    <x v="5"/>
    <s v="HP"/>
    <x v="0"/>
    <s v="Shimla"/>
    <x v="3"/>
    <s v="P203"/>
    <s v="Keratin Hair Mask"/>
    <x v="6"/>
    <n v="1"/>
    <n v="549"/>
    <n v="0.1"/>
    <n v="549"/>
    <n v="54.900000000000006"/>
    <n v="494.1"/>
    <n v="170"/>
    <n v="170"/>
    <n v="120"/>
    <n v="204.10000000000002"/>
    <n v="0.41307427646225464"/>
    <x v="0"/>
    <d v="2024-03-24T00:00:00"/>
    <n v="5"/>
    <x v="2"/>
    <n v="3"/>
    <n v="1"/>
  </r>
  <r>
    <s v="ORD-100377"/>
    <x v="78"/>
    <x v="0"/>
    <d v="2024-03-01T00:00:00"/>
    <n v="3"/>
    <s v="CUST-00224"/>
    <x v="0"/>
    <x v="1"/>
    <s v="GJ"/>
    <x v="1"/>
    <s v="Surat"/>
    <x v="2"/>
    <s v="P704"/>
    <s v="Multivitamin Gummies"/>
    <x v="0"/>
    <n v="3"/>
    <n v="699"/>
    <n v="0.15"/>
    <n v="2097"/>
    <n v="314.55"/>
    <n v="1782.45"/>
    <n v="238"/>
    <n v="714"/>
    <n v="60"/>
    <n v="1008.45"/>
    <n v="0.56576622065135063"/>
    <x v="0"/>
    <d v="2024-03-22T00:00:00"/>
    <n v="3"/>
    <x v="0"/>
    <m/>
    <n v="0"/>
  </r>
  <r>
    <s v="ORD-100378"/>
    <x v="78"/>
    <x v="0"/>
    <d v="2024-03-01T00:00:00"/>
    <n v="3"/>
    <s v="CUST-02611"/>
    <x v="0"/>
    <x v="13"/>
    <s v="MP"/>
    <x v="1"/>
    <s v="Indore"/>
    <x v="4"/>
    <s v="P104"/>
    <s v="Hydrating Face Wash"/>
    <x v="3"/>
    <n v="3"/>
    <n v="299"/>
    <n v="0"/>
    <n v="897"/>
    <n v="0"/>
    <n v="897"/>
    <n v="90"/>
    <n v="270"/>
    <n v="60"/>
    <n v="567"/>
    <n v="0.63210702341137126"/>
    <x v="0"/>
    <d v="2024-03-23T00:00:00"/>
    <n v="4"/>
    <x v="0"/>
    <n v="3"/>
    <n v="0"/>
  </r>
  <r>
    <s v="ORD-100379"/>
    <x v="78"/>
    <x v="0"/>
    <d v="2024-03-01T00:00:00"/>
    <n v="3"/>
    <s v="CUST-00414"/>
    <x v="0"/>
    <x v="3"/>
    <s v="OD"/>
    <x v="2"/>
    <s v="Bhubaneswar"/>
    <x v="1"/>
    <s v="P301"/>
    <s v="Cotton Oversized T-Shirt"/>
    <x v="1"/>
    <n v="2"/>
    <n v="799"/>
    <n v="0.1"/>
    <n v="1598"/>
    <n v="159.80000000000001"/>
    <n v="1438.2"/>
    <n v="320"/>
    <n v="640"/>
    <n v="60"/>
    <n v="738.2"/>
    <n v="0.51328048950076488"/>
    <x v="0"/>
    <d v="2024-03-24T00:00:00"/>
    <n v="5"/>
    <x v="2"/>
    <n v="3"/>
    <n v="0"/>
  </r>
  <r>
    <s v="ORD-100380"/>
    <x v="79"/>
    <x v="0"/>
    <d v="2024-03-01T00:00:00"/>
    <n v="3"/>
    <s v="CUST-01407"/>
    <x v="1"/>
    <x v="1"/>
    <s v="GJ"/>
    <x v="1"/>
    <s v="Surat"/>
    <x v="4"/>
    <s v="P701"/>
    <s v="Ashwagandha Capsules"/>
    <x v="0"/>
    <n v="2"/>
    <n v="499"/>
    <n v="0"/>
    <n v="998"/>
    <n v="0"/>
    <n v="998"/>
    <n v="150"/>
    <n v="300"/>
    <n v="60"/>
    <n v="638"/>
    <n v="0.63927855711422843"/>
    <x v="3"/>
    <d v="2024-03-23T00:00:00"/>
    <n v="3"/>
    <x v="0"/>
    <m/>
    <n v="0"/>
  </r>
  <r>
    <s v="ORD-100381"/>
    <x v="79"/>
    <x v="0"/>
    <d v="2024-03-01T00:00:00"/>
    <n v="3"/>
    <s v="CUST-00015"/>
    <x v="1"/>
    <x v="13"/>
    <s v="MP"/>
    <x v="1"/>
    <s v="Indore"/>
    <x v="3"/>
    <s v="P103"/>
    <s v="Niacinamide Toner"/>
    <x v="3"/>
    <n v="1"/>
    <n v="399"/>
    <n v="0.2"/>
    <n v="399"/>
    <n v="79.800000000000011"/>
    <n v="319.2"/>
    <n v="112"/>
    <n v="112"/>
    <n v="60"/>
    <n v="147.19999999999999"/>
    <n v="0.46115288220551376"/>
    <x v="3"/>
    <d v="2024-03-22T00:00:00"/>
    <n v="2"/>
    <x v="1"/>
    <n v="3"/>
    <n v="0"/>
  </r>
  <r>
    <s v="ORD-100382"/>
    <x v="79"/>
    <x v="0"/>
    <d v="2024-03-01T00:00:00"/>
    <n v="3"/>
    <s v="CUST-01239"/>
    <x v="0"/>
    <x v="21"/>
    <s v="TG"/>
    <x v="3"/>
    <s v="Hyderabad"/>
    <x v="0"/>
    <s v="P201"/>
    <s v="Onion Hair Oil"/>
    <x v="6"/>
    <n v="1"/>
    <n v="349"/>
    <n v="0.3"/>
    <n v="349"/>
    <n v="104.7"/>
    <n v="244.3"/>
    <n v="105"/>
    <n v="105"/>
    <n v="60"/>
    <n v="79.300000000000011"/>
    <n v="0.32460090053213264"/>
    <x v="0"/>
    <d v="2024-03-22T00:00:00"/>
    <n v="2"/>
    <x v="1"/>
    <n v="5"/>
    <n v="0"/>
  </r>
  <r>
    <s v="ORD-100383"/>
    <x v="79"/>
    <x v="0"/>
    <d v="2024-03-01T00:00:00"/>
    <n v="3"/>
    <s v="CUST-03084"/>
    <x v="0"/>
    <x v="17"/>
    <s v="TN"/>
    <x v="3"/>
    <s v="Chennai"/>
    <x v="4"/>
    <s v="P602"/>
    <s v="Fast Charger 33W"/>
    <x v="2"/>
    <n v="1"/>
    <n v="899"/>
    <n v="0.05"/>
    <n v="899"/>
    <n v="44.95"/>
    <n v="854.05"/>
    <n v="494"/>
    <n v="494"/>
    <n v="60"/>
    <n v="300.04999999999995"/>
    <n v="0.35132603477548152"/>
    <x v="0"/>
    <d v="2024-03-24T00:00:00"/>
    <n v="4"/>
    <x v="0"/>
    <m/>
    <n v="0"/>
  </r>
  <r>
    <s v="ORD-100384"/>
    <x v="80"/>
    <x v="0"/>
    <d v="2024-03-01T00:00:00"/>
    <n v="3"/>
    <s v="CUST-01407"/>
    <x v="1"/>
    <x v="5"/>
    <s v="HP"/>
    <x v="0"/>
    <s v="Shimla"/>
    <x v="4"/>
    <s v="P403"/>
    <s v="Kolhapuri Sandals"/>
    <x v="5"/>
    <n v="3"/>
    <n v="999"/>
    <n v="0.05"/>
    <n v="2997"/>
    <n v="149.85"/>
    <n v="2847.15"/>
    <n v="400"/>
    <n v="1200"/>
    <n v="60"/>
    <n v="1587.15"/>
    <n v="0.55745218903113647"/>
    <x v="3"/>
    <d v="2024-03-23T00:00:00"/>
    <n v="2"/>
    <x v="1"/>
    <n v="3"/>
    <n v="0"/>
  </r>
  <r>
    <s v="ORD-100385"/>
    <x v="80"/>
    <x v="0"/>
    <d v="2024-03-01T00:00:00"/>
    <n v="3"/>
    <s v="CUST-00437"/>
    <x v="0"/>
    <x v="5"/>
    <s v="HP"/>
    <x v="0"/>
    <s v="Shimla"/>
    <x v="2"/>
    <s v="P202"/>
    <s v="Argan Shampoo"/>
    <x v="6"/>
    <n v="1"/>
    <n v="449"/>
    <n v="0.1"/>
    <n v="449"/>
    <n v="44.900000000000006"/>
    <n v="404.1"/>
    <n v="148"/>
    <n v="148"/>
    <n v="60"/>
    <n v="196.10000000000002"/>
    <n v="0.48527592180153428"/>
    <x v="4"/>
    <d v="2024-03-24T00:00:00"/>
    <n v="3"/>
    <x v="0"/>
    <n v="4"/>
    <n v="0"/>
  </r>
  <r>
    <s v="ORD-100386"/>
    <x v="80"/>
    <x v="0"/>
    <d v="2024-03-01T00:00:00"/>
    <n v="3"/>
    <s v="CUST-02584"/>
    <x v="0"/>
    <x v="13"/>
    <s v="MP"/>
    <x v="1"/>
    <s v="Indore"/>
    <x v="2"/>
    <s v="P402"/>
    <s v="Casual Sneakers"/>
    <x v="5"/>
    <n v="1"/>
    <n v="2199"/>
    <n v="0.15"/>
    <n v="2199"/>
    <n v="329.84999999999997"/>
    <n v="1869.15"/>
    <n v="1034"/>
    <n v="1034"/>
    <n v="60"/>
    <n v="775.15000000000009"/>
    <n v="0.41470721985929437"/>
    <x v="3"/>
    <d v="2024-03-27T00:00:00"/>
    <n v="6"/>
    <x v="2"/>
    <n v="3"/>
    <n v="0"/>
  </r>
  <r>
    <s v="ORD-100387"/>
    <x v="80"/>
    <x v="0"/>
    <d v="2024-03-01T00:00:00"/>
    <n v="3"/>
    <s v="CUST-01031"/>
    <x v="1"/>
    <x v="3"/>
    <s v="OD"/>
    <x v="2"/>
    <s v="Bhubaneswar"/>
    <x v="0"/>
    <s v="P403"/>
    <s v="Kolhapuri Sandals"/>
    <x v="5"/>
    <n v="1"/>
    <n v="999"/>
    <n v="0.1"/>
    <n v="999"/>
    <n v="99.9"/>
    <n v="899.1"/>
    <n v="400"/>
    <n v="400"/>
    <n v="60"/>
    <n v="439.1"/>
    <n v="0.48837726615504395"/>
    <x v="4"/>
    <d v="2024-03-27T00:00:00"/>
    <n v="6"/>
    <x v="2"/>
    <n v="4"/>
    <n v="0"/>
  </r>
  <r>
    <s v="ORD-100388"/>
    <x v="80"/>
    <x v="0"/>
    <d v="2024-03-01T00:00:00"/>
    <n v="3"/>
    <s v="CUST-01125"/>
    <x v="0"/>
    <x v="20"/>
    <s v="GA"/>
    <x v="1"/>
    <s v="Panaji"/>
    <x v="1"/>
    <s v="P403"/>
    <s v="Kolhapuri Sandals"/>
    <x v="5"/>
    <n v="1"/>
    <n v="999"/>
    <n v="0.1"/>
    <n v="999"/>
    <n v="99.9"/>
    <n v="899.1"/>
    <n v="400"/>
    <n v="400"/>
    <n v="60"/>
    <n v="439.1"/>
    <n v="0.48837726615504395"/>
    <x v="0"/>
    <d v="2024-03-23T00:00:00"/>
    <n v="2"/>
    <x v="1"/>
    <n v="4"/>
    <n v="0"/>
  </r>
  <r>
    <s v="ORD-100389"/>
    <x v="81"/>
    <x v="0"/>
    <d v="2024-03-01T00:00:00"/>
    <n v="3"/>
    <s v="CUST-00421"/>
    <x v="0"/>
    <x v="9"/>
    <s v="UK"/>
    <x v="0"/>
    <s v="Dehradun"/>
    <x v="0"/>
    <s v="P704"/>
    <s v="Multivitamin Gummies"/>
    <x v="0"/>
    <n v="1"/>
    <n v="699"/>
    <n v="0.25"/>
    <n v="699"/>
    <n v="174.75"/>
    <n v="524.25"/>
    <n v="238"/>
    <n v="238"/>
    <n v="60"/>
    <n v="226.25"/>
    <n v="0.43156890796375774"/>
    <x v="4"/>
    <d v="2024-03-27T00:00:00"/>
    <n v="5"/>
    <x v="2"/>
    <m/>
    <n v="0"/>
  </r>
  <r>
    <s v="ORD-100390"/>
    <x v="81"/>
    <x v="0"/>
    <d v="2024-03-01T00:00:00"/>
    <n v="3"/>
    <s v="CUST-00249"/>
    <x v="0"/>
    <x v="0"/>
    <s v="RJ"/>
    <x v="0"/>
    <s v="Udaipur"/>
    <x v="4"/>
    <s v="P503"/>
    <s v="Scented Candle Set"/>
    <x v="4"/>
    <n v="1"/>
    <n v="699"/>
    <n v="0.15"/>
    <n v="699"/>
    <n v="104.85"/>
    <n v="594.15"/>
    <n v="245"/>
    <n v="245"/>
    <n v="60"/>
    <n v="289.14999999999998"/>
    <n v="0.48666161743667424"/>
    <x v="0"/>
    <d v="2024-03-26T00:00:00"/>
    <n v="4"/>
    <x v="0"/>
    <n v="3"/>
    <n v="0"/>
  </r>
  <r>
    <s v="ORD-100391"/>
    <x v="81"/>
    <x v="0"/>
    <d v="2024-03-01T00:00:00"/>
    <n v="3"/>
    <s v="CUST-02681"/>
    <x v="0"/>
    <x v="15"/>
    <s v="HR"/>
    <x v="0"/>
    <s v="Faridabad"/>
    <x v="0"/>
    <s v="P103"/>
    <s v="Niacinamide Toner"/>
    <x v="3"/>
    <n v="3"/>
    <n v="399"/>
    <n v="0.2"/>
    <n v="1197"/>
    <n v="239.4"/>
    <n v="957.6"/>
    <n v="112"/>
    <n v="336"/>
    <n v="60"/>
    <n v="561.6"/>
    <n v="0.5864661654135338"/>
    <x v="1"/>
    <d v="2024-03-23T00:00:00"/>
    <n v="1"/>
    <x v="1"/>
    <n v="3"/>
    <n v="0"/>
  </r>
  <r>
    <s v="ORD-100392"/>
    <x v="81"/>
    <x v="0"/>
    <d v="2024-03-01T00:00:00"/>
    <n v="3"/>
    <s v="CUST-00569"/>
    <x v="0"/>
    <x v="13"/>
    <s v="MP"/>
    <x v="1"/>
    <s v="Bhopal"/>
    <x v="3"/>
    <s v="P102"/>
    <s v="Sunscreen SPF 50"/>
    <x v="3"/>
    <n v="1"/>
    <n v="449"/>
    <n v="0.1"/>
    <n v="449"/>
    <n v="44.900000000000006"/>
    <n v="404.1"/>
    <n v="144"/>
    <n v="144"/>
    <n v="60"/>
    <n v="200.10000000000002"/>
    <n v="0.4951744617668894"/>
    <x v="0"/>
    <d v="2024-03-25T00:00:00"/>
    <n v="3"/>
    <x v="0"/>
    <m/>
    <n v="0"/>
  </r>
  <r>
    <s v="ORD-100393"/>
    <x v="81"/>
    <x v="0"/>
    <d v="2024-03-01T00:00:00"/>
    <n v="3"/>
    <s v="CUST-01005"/>
    <x v="0"/>
    <x v="21"/>
    <s v="TG"/>
    <x v="3"/>
    <s v="Hyderabad"/>
    <x v="3"/>
    <s v="P201"/>
    <s v="Onion Hair Oil"/>
    <x v="6"/>
    <n v="1"/>
    <n v="349"/>
    <n v="0.3"/>
    <n v="349"/>
    <n v="104.7"/>
    <n v="244.3"/>
    <n v="105"/>
    <n v="105"/>
    <n v="60"/>
    <n v="79.300000000000011"/>
    <n v="0.32460090053213264"/>
    <x v="3"/>
    <d v="2024-03-24T00:00:00"/>
    <n v="2"/>
    <x v="1"/>
    <m/>
    <n v="0"/>
  </r>
  <r>
    <s v="ORD-100394"/>
    <x v="81"/>
    <x v="0"/>
    <d v="2024-03-01T00:00:00"/>
    <n v="3"/>
    <s v="CUST-00142"/>
    <x v="0"/>
    <x v="14"/>
    <s v="KL"/>
    <x v="3"/>
    <s v="Thiruvananthapuram"/>
    <x v="0"/>
    <s v="P204"/>
    <s v="Anti-Dandruff Conditioner"/>
    <x v="6"/>
    <n v="1"/>
    <n v="399"/>
    <n v="0.45"/>
    <n v="399"/>
    <n v="179.55"/>
    <n v="219.45"/>
    <n v="136"/>
    <n v="136"/>
    <n v="60"/>
    <n v="23.449999999999989"/>
    <n v="0.10685805422647524"/>
    <x v="4"/>
    <d v="2024-03-25T00:00:00"/>
    <n v="3"/>
    <x v="0"/>
    <m/>
    <n v="0"/>
  </r>
  <r>
    <s v="ORD-100395"/>
    <x v="81"/>
    <x v="0"/>
    <d v="2024-03-01T00:00:00"/>
    <n v="3"/>
    <s v="CUST-00457"/>
    <x v="1"/>
    <x v="17"/>
    <s v="TN"/>
    <x v="3"/>
    <s v="Chennai"/>
    <x v="4"/>
    <s v="P402"/>
    <s v="Casual Sneakers"/>
    <x v="5"/>
    <n v="1"/>
    <n v="2199"/>
    <n v="0.3"/>
    <n v="2199"/>
    <n v="659.69999999999993"/>
    <n v="1539.3000000000002"/>
    <n v="1034"/>
    <n v="1034"/>
    <n v="60"/>
    <n v="445.30000000000018"/>
    <n v="0.28928733840057175"/>
    <x v="1"/>
    <d v="2024-03-25T00:00:00"/>
    <n v="3"/>
    <x v="0"/>
    <n v="5"/>
    <n v="0"/>
  </r>
  <r>
    <s v="ORD-100396"/>
    <x v="82"/>
    <x v="0"/>
    <d v="2024-03-01T00:00:00"/>
    <n v="3"/>
    <s v="CUST-00127"/>
    <x v="0"/>
    <x v="0"/>
    <s v="RJ"/>
    <x v="0"/>
    <s v="Jaipur"/>
    <x v="3"/>
    <s v="P104"/>
    <s v="Hydrating Face Wash"/>
    <x v="3"/>
    <n v="1"/>
    <n v="299"/>
    <n v="0.1"/>
    <n v="299"/>
    <n v="29.900000000000002"/>
    <n v="269.10000000000002"/>
    <n v="90"/>
    <n v="90"/>
    <n v="60"/>
    <n v="119.10000000000002"/>
    <n v="0.4425863991081383"/>
    <x v="0"/>
    <d v="2024-03-28T00:00:00"/>
    <n v="5"/>
    <x v="2"/>
    <m/>
    <n v="0"/>
  </r>
  <r>
    <s v="ORD-100397"/>
    <x v="82"/>
    <x v="0"/>
    <d v="2024-03-01T00:00:00"/>
    <n v="3"/>
    <s v="CUST-02658"/>
    <x v="0"/>
    <x v="16"/>
    <s v="UP"/>
    <x v="0"/>
    <s v="Lucknow"/>
    <x v="0"/>
    <s v="P103"/>
    <s v="Niacinamide Toner"/>
    <x v="3"/>
    <n v="3"/>
    <n v="399"/>
    <n v="0.25"/>
    <n v="1197"/>
    <n v="299.25"/>
    <n v="897.75"/>
    <n v="112"/>
    <n v="336"/>
    <n v="60"/>
    <n v="501.75"/>
    <n v="0.55889724310776945"/>
    <x v="2"/>
    <d v="2024-03-27T00:00:00"/>
    <n v="4"/>
    <x v="0"/>
    <n v="4"/>
    <n v="0"/>
  </r>
  <r>
    <s v="ORD-100398"/>
    <x v="82"/>
    <x v="0"/>
    <d v="2024-03-01T00:00:00"/>
    <n v="3"/>
    <s v="CUST-00817"/>
    <x v="0"/>
    <x v="22"/>
    <s v="AS"/>
    <x v="2"/>
    <s v="Guwahati"/>
    <x v="2"/>
    <s v="P501"/>
    <s v="Copper Water Bottle"/>
    <x v="4"/>
    <n v="2"/>
    <n v="899"/>
    <n v="0"/>
    <n v="1798"/>
    <n v="0"/>
    <n v="1798"/>
    <n v="378"/>
    <n v="756"/>
    <n v="60"/>
    <n v="982"/>
    <n v="0.5461624026696329"/>
    <x v="0"/>
    <d v="2024-03-29T00:00:00"/>
    <n v="6"/>
    <x v="2"/>
    <m/>
    <n v="0"/>
  </r>
  <r>
    <s v="ORD-100399"/>
    <x v="82"/>
    <x v="0"/>
    <d v="2024-03-01T00:00:00"/>
    <n v="3"/>
    <s v="CUST-01298"/>
    <x v="0"/>
    <x v="21"/>
    <s v="TG"/>
    <x v="3"/>
    <s v="Hyderabad"/>
    <x v="3"/>
    <s v="P203"/>
    <s v="Keratin Hair Mask"/>
    <x v="6"/>
    <n v="1"/>
    <n v="549"/>
    <n v="0.15"/>
    <n v="549"/>
    <n v="82.35"/>
    <n v="466.65"/>
    <n v="170"/>
    <n v="170"/>
    <n v="60"/>
    <n v="236.64999999999998"/>
    <n v="0.50712525447337398"/>
    <x v="0"/>
    <d v="2024-03-25T00:00:00"/>
    <n v="2"/>
    <x v="1"/>
    <n v="5"/>
    <n v="0"/>
  </r>
  <r>
    <s v="ORD-100400"/>
    <x v="83"/>
    <x v="0"/>
    <d v="2024-03-01T00:00:00"/>
    <n v="3"/>
    <s v="CUST-00689"/>
    <x v="1"/>
    <x v="4"/>
    <s v="JK"/>
    <x v="0"/>
    <s v="Srinagar"/>
    <x v="4"/>
    <s v="P501"/>
    <s v="Copper Water Bottle"/>
    <x v="4"/>
    <n v="1"/>
    <n v="899"/>
    <n v="0.1"/>
    <n v="899"/>
    <n v="89.9"/>
    <n v="809.1"/>
    <n v="378"/>
    <n v="378"/>
    <n v="60"/>
    <n v="371.1"/>
    <n v="0.45865776789024842"/>
    <x v="0"/>
    <d v="2024-03-29T00:00:00"/>
    <n v="5"/>
    <x v="2"/>
    <n v="3"/>
    <n v="0"/>
  </r>
  <r>
    <s v="ORD-100401"/>
    <x v="83"/>
    <x v="0"/>
    <d v="2024-03-01T00:00:00"/>
    <n v="3"/>
    <s v="CUST-00367"/>
    <x v="0"/>
    <x v="12"/>
    <s v="BR"/>
    <x v="2"/>
    <s v="Patna"/>
    <x v="4"/>
    <s v="P303"/>
    <s v="Joggers"/>
    <x v="1"/>
    <n v="1"/>
    <n v="1199"/>
    <n v="0.2"/>
    <n v="1199"/>
    <n v="239.8"/>
    <n v="959.2"/>
    <n v="492"/>
    <n v="492"/>
    <n v="60"/>
    <n v="407.20000000000005"/>
    <n v="0.42452043369474562"/>
    <x v="0"/>
    <d v="2024-03-29T00:00:00"/>
    <n v="5"/>
    <x v="2"/>
    <m/>
    <n v="0"/>
  </r>
  <r>
    <s v="ORD-100402"/>
    <x v="83"/>
    <x v="0"/>
    <d v="2024-03-01T00:00:00"/>
    <n v="3"/>
    <s v="CUST-01717"/>
    <x v="0"/>
    <x v="2"/>
    <s v="MH"/>
    <x v="1"/>
    <s v="Mumbai"/>
    <x v="0"/>
    <s v="P101"/>
    <s v="Vitamin C Face Serum"/>
    <x v="3"/>
    <n v="1"/>
    <n v="599"/>
    <n v="0.1"/>
    <n v="599"/>
    <n v="59.900000000000006"/>
    <n v="539.1"/>
    <n v="180"/>
    <n v="180"/>
    <n v="60"/>
    <n v="299.10000000000002"/>
    <n v="0.5548135781858653"/>
    <x v="2"/>
    <d v="2024-03-26T00:00:00"/>
    <n v="2"/>
    <x v="1"/>
    <m/>
    <n v="0"/>
  </r>
  <r>
    <s v="ORD-100403"/>
    <x v="83"/>
    <x v="0"/>
    <d v="2024-03-01T00:00:00"/>
    <n v="3"/>
    <s v="CUST-01563"/>
    <x v="0"/>
    <x v="17"/>
    <s v="TN"/>
    <x v="3"/>
    <s v="Chennai"/>
    <x v="0"/>
    <s v="P104"/>
    <s v="Hydrating Face Wash"/>
    <x v="3"/>
    <n v="1"/>
    <n v="299"/>
    <n v="0"/>
    <n v="299"/>
    <n v="0"/>
    <n v="299"/>
    <n v="90"/>
    <n v="90"/>
    <n v="60"/>
    <n v="149"/>
    <n v="0.49832775919732442"/>
    <x v="2"/>
    <d v="2024-03-25T00:00:00"/>
    <n v="1"/>
    <x v="1"/>
    <m/>
    <n v="0"/>
  </r>
  <r>
    <s v="ORD-100404"/>
    <x v="84"/>
    <x v="0"/>
    <d v="2024-03-01T00:00:00"/>
    <n v="3"/>
    <s v="CUST-02907"/>
    <x v="0"/>
    <x v="0"/>
    <s v="RJ"/>
    <x v="0"/>
    <s v="Udaipur"/>
    <x v="4"/>
    <s v="P301"/>
    <s v="Cotton Oversized T-Shirt"/>
    <x v="1"/>
    <n v="1"/>
    <n v="799"/>
    <n v="0.05"/>
    <n v="799"/>
    <n v="39.950000000000003"/>
    <n v="759.05"/>
    <n v="320"/>
    <n v="320"/>
    <n v="60"/>
    <n v="379.04999999999995"/>
    <n v="0.49937421777221525"/>
    <x v="1"/>
    <d v="2024-03-29T00:00:00"/>
    <n v="4"/>
    <x v="0"/>
    <n v="4"/>
    <n v="0"/>
  </r>
  <r>
    <s v="ORD-100405"/>
    <x v="84"/>
    <x v="0"/>
    <d v="2024-03-01T00:00:00"/>
    <n v="3"/>
    <s v="CUST-01350"/>
    <x v="0"/>
    <x v="15"/>
    <s v="HR"/>
    <x v="0"/>
    <s v="Faridabad"/>
    <x v="3"/>
    <s v="P201"/>
    <s v="Onion Hair Oil"/>
    <x v="6"/>
    <n v="1"/>
    <n v="349"/>
    <n v="0.3"/>
    <n v="349"/>
    <n v="104.7"/>
    <n v="244.3"/>
    <n v="105"/>
    <n v="105"/>
    <n v="60"/>
    <n v="79.300000000000011"/>
    <n v="0.32460090053213264"/>
    <x v="0"/>
    <d v="2024-03-28T00:00:00"/>
    <n v="3"/>
    <x v="0"/>
    <n v="4"/>
    <n v="0"/>
  </r>
  <r>
    <s v="ORD-100406"/>
    <x v="84"/>
    <x v="0"/>
    <d v="2024-03-01T00:00:00"/>
    <n v="3"/>
    <s v="CUST-00598"/>
    <x v="0"/>
    <x v="1"/>
    <s v="GJ"/>
    <x v="1"/>
    <s v="Surat"/>
    <x v="3"/>
    <s v="P203"/>
    <s v="Keratin Hair Mask"/>
    <x v="6"/>
    <n v="2"/>
    <n v="549"/>
    <n v="0.15"/>
    <n v="1098"/>
    <n v="164.7"/>
    <n v="933.3"/>
    <n v="170"/>
    <n v="340"/>
    <n v="60"/>
    <n v="533.29999999999995"/>
    <n v="0.57141326475945564"/>
    <x v="0"/>
    <d v="2024-03-26T00:00:00"/>
    <n v="1"/>
    <x v="1"/>
    <m/>
    <n v="0"/>
  </r>
  <r>
    <s v="ORD-100407"/>
    <x v="84"/>
    <x v="0"/>
    <d v="2024-03-01T00:00:00"/>
    <n v="3"/>
    <s v="CUST-01578"/>
    <x v="0"/>
    <x v="2"/>
    <s v="MH"/>
    <x v="1"/>
    <s v="Nagpur"/>
    <x v="2"/>
    <s v="P303"/>
    <s v="Joggers"/>
    <x v="1"/>
    <n v="1"/>
    <n v="1199"/>
    <n v="0.05"/>
    <n v="1199"/>
    <n v="59.95"/>
    <n v="1139.05"/>
    <n v="492"/>
    <n v="492"/>
    <n v="120"/>
    <n v="527.04999999999995"/>
    <n v="0.46271015319784026"/>
    <x v="3"/>
    <d v="2024-03-29T00:00:00"/>
    <n v="4"/>
    <x v="0"/>
    <m/>
    <n v="1"/>
  </r>
  <r>
    <s v="ORD-100408"/>
    <x v="84"/>
    <x v="0"/>
    <d v="2024-03-01T00:00:00"/>
    <n v="3"/>
    <s v="CUST-00355"/>
    <x v="1"/>
    <x v="21"/>
    <s v="TG"/>
    <x v="3"/>
    <s v="Hyderabad"/>
    <x v="2"/>
    <s v="P102"/>
    <s v="Sunscreen SPF 50"/>
    <x v="3"/>
    <n v="1"/>
    <n v="449"/>
    <n v="0"/>
    <n v="449"/>
    <n v="0"/>
    <n v="449"/>
    <n v="144"/>
    <n v="144"/>
    <n v="60"/>
    <n v="245"/>
    <n v="0.54565701559020041"/>
    <x v="0"/>
    <d v="2024-03-28T00:00:00"/>
    <n v="3"/>
    <x v="0"/>
    <n v="4"/>
    <n v="0"/>
  </r>
  <r>
    <s v="ORD-100409"/>
    <x v="84"/>
    <x v="0"/>
    <d v="2024-03-01T00:00:00"/>
    <n v="3"/>
    <s v="CUST-02699"/>
    <x v="1"/>
    <x v="14"/>
    <s v="KL"/>
    <x v="3"/>
    <s v="Thiruvananthapuram"/>
    <x v="1"/>
    <s v="P302"/>
    <s v="Linen Kurta"/>
    <x v="1"/>
    <n v="1"/>
    <n v="1499"/>
    <n v="0.35"/>
    <n v="1499"/>
    <n v="524.65"/>
    <n v="974.35"/>
    <n v="630"/>
    <n v="630"/>
    <n v="60"/>
    <n v="284.35000000000002"/>
    <n v="0.29183558269615645"/>
    <x v="0"/>
    <d v="2024-03-28T00:00:00"/>
    <n v="3"/>
    <x v="0"/>
    <m/>
    <n v="0"/>
  </r>
  <r>
    <s v="ORD-100410"/>
    <x v="85"/>
    <x v="0"/>
    <d v="2024-03-01T00:00:00"/>
    <n v="3"/>
    <s v="CUST-00251"/>
    <x v="0"/>
    <x v="18"/>
    <s v="WB"/>
    <x v="2"/>
    <s v="Kolkata"/>
    <x v="1"/>
    <s v="P402"/>
    <s v="Casual Sneakers"/>
    <x v="5"/>
    <n v="5"/>
    <n v="2199"/>
    <n v="0.3"/>
    <n v="10995"/>
    <n v="3298.5"/>
    <n v="7696.5"/>
    <n v="1034"/>
    <n v="5170"/>
    <n v="60"/>
    <n v="2466.5"/>
    <n v="0.32047034366270383"/>
    <x v="1"/>
    <d v="2024-04-01T00:00:00"/>
    <n v="5"/>
    <x v="2"/>
    <m/>
    <n v="0"/>
  </r>
  <r>
    <s v="ORD-100411"/>
    <x v="86"/>
    <x v="0"/>
    <d v="2024-03-01T00:00:00"/>
    <n v="3"/>
    <s v="CUST-02872"/>
    <x v="0"/>
    <x v="18"/>
    <s v="WB"/>
    <x v="2"/>
    <s v="Kolkata"/>
    <x v="2"/>
    <s v="P301"/>
    <s v="Cotton Oversized T-Shirt"/>
    <x v="1"/>
    <n v="1"/>
    <n v="799"/>
    <n v="0"/>
    <n v="799"/>
    <n v="0"/>
    <n v="799"/>
    <n v="320"/>
    <n v="320"/>
    <n v="60"/>
    <n v="419"/>
    <n v="0.52440550688360454"/>
    <x v="2"/>
    <d v="2024-04-02T00:00:00"/>
    <n v="5"/>
    <x v="2"/>
    <m/>
    <n v="0"/>
  </r>
  <r>
    <s v="ORD-100412"/>
    <x v="86"/>
    <x v="0"/>
    <d v="2024-03-01T00:00:00"/>
    <n v="3"/>
    <s v="CUST-03074"/>
    <x v="0"/>
    <x v="21"/>
    <s v="TG"/>
    <x v="3"/>
    <s v="Hyderabad"/>
    <x v="2"/>
    <s v="P502"/>
    <s v="Ceramic Dinner Set"/>
    <x v="4"/>
    <n v="2"/>
    <n v="2499"/>
    <n v="0.3"/>
    <n v="4998"/>
    <n v="1499.3999999999999"/>
    <n v="3498.6000000000004"/>
    <n v="1250"/>
    <n v="2500"/>
    <n v="60"/>
    <n v="938.60000000000036"/>
    <n v="0.26827874006745561"/>
    <x v="3"/>
    <d v="2024-03-30T00:00:00"/>
    <n v="2"/>
    <x v="1"/>
    <n v="4"/>
    <n v="0"/>
  </r>
  <r>
    <s v="ORD-100413"/>
    <x v="86"/>
    <x v="0"/>
    <d v="2024-03-01T00:00:00"/>
    <n v="3"/>
    <s v="CUST-00034"/>
    <x v="0"/>
    <x v="17"/>
    <s v="TN"/>
    <x v="3"/>
    <s v="Coimbatore"/>
    <x v="2"/>
    <s v="P404"/>
    <s v="Flip Flops"/>
    <x v="5"/>
    <n v="2"/>
    <n v="399"/>
    <n v="0.15"/>
    <n v="798"/>
    <n v="119.69999999999999"/>
    <n v="678.3"/>
    <n v="152"/>
    <n v="304"/>
    <n v="120"/>
    <n v="254.29999999999995"/>
    <n v="0.37490785787999409"/>
    <x v="1"/>
    <d v="2024-03-31T00:00:00"/>
    <n v="3"/>
    <x v="0"/>
    <n v="4"/>
    <n v="1"/>
  </r>
  <r>
    <s v="ORD-100414"/>
    <x v="87"/>
    <x v="0"/>
    <d v="2024-03-01T00:00:00"/>
    <n v="3"/>
    <s v="CUST-00170"/>
    <x v="1"/>
    <x v="4"/>
    <s v="JK"/>
    <x v="0"/>
    <s v="Srinagar"/>
    <x v="2"/>
    <s v="P302"/>
    <s v="Linen Kurta"/>
    <x v="1"/>
    <n v="2"/>
    <n v="1499"/>
    <n v="0.35"/>
    <n v="2998"/>
    <n v="1049.3"/>
    <n v="1948.7"/>
    <n v="630"/>
    <n v="1260"/>
    <n v="60"/>
    <n v="628.70000000000005"/>
    <n v="0.32262533997023657"/>
    <x v="2"/>
    <d v="2024-04-04T00:00:00"/>
    <n v="6"/>
    <x v="2"/>
    <n v="4"/>
    <n v="0"/>
  </r>
  <r>
    <s v="ORD-100415"/>
    <x v="87"/>
    <x v="0"/>
    <d v="2024-03-01T00:00:00"/>
    <n v="3"/>
    <s v="CUST-00968"/>
    <x v="0"/>
    <x v="0"/>
    <s v="RJ"/>
    <x v="0"/>
    <s v="Udaipur"/>
    <x v="3"/>
    <s v="P103"/>
    <s v="Niacinamide Toner"/>
    <x v="3"/>
    <n v="3"/>
    <n v="399"/>
    <n v="0.2"/>
    <n v="1197"/>
    <n v="239.4"/>
    <n v="957.6"/>
    <n v="112"/>
    <n v="336"/>
    <n v="60"/>
    <n v="561.6"/>
    <n v="0.5864661654135338"/>
    <x v="0"/>
    <d v="2024-04-03T00:00:00"/>
    <n v="5"/>
    <x v="2"/>
    <n v="5"/>
    <n v="0"/>
  </r>
  <r>
    <s v="ORD-100416"/>
    <x v="87"/>
    <x v="0"/>
    <d v="2024-03-01T00:00:00"/>
    <n v="3"/>
    <s v="CUST-00267"/>
    <x v="1"/>
    <x v="1"/>
    <s v="GJ"/>
    <x v="1"/>
    <s v="Ahmedabad"/>
    <x v="4"/>
    <s v="P204"/>
    <s v="Anti-Dandruff Conditioner"/>
    <x v="6"/>
    <n v="4"/>
    <n v="399"/>
    <n v="0.4"/>
    <n v="1596"/>
    <n v="638.40000000000009"/>
    <n v="957.59999999999991"/>
    <n v="136"/>
    <n v="544"/>
    <n v="60"/>
    <n v="353.59999999999991"/>
    <n v="0.36925647451963234"/>
    <x v="3"/>
    <d v="2024-03-31T00:00:00"/>
    <n v="2"/>
    <x v="1"/>
    <m/>
    <n v="0"/>
  </r>
  <r>
    <s v="ORD-100417"/>
    <x v="87"/>
    <x v="0"/>
    <d v="2024-03-01T00:00:00"/>
    <n v="3"/>
    <s v="CUST-00345"/>
    <x v="0"/>
    <x v="18"/>
    <s v="WB"/>
    <x v="2"/>
    <s v="Kolkata"/>
    <x v="0"/>
    <s v="P101"/>
    <s v="Vitamin C Face Serum"/>
    <x v="3"/>
    <n v="1"/>
    <n v="599"/>
    <n v="0.25"/>
    <n v="599"/>
    <n v="149.75"/>
    <n v="449.25"/>
    <n v="180"/>
    <n v="180"/>
    <n v="60"/>
    <n v="209.25"/>
    <n v="0.46577629382303842"/>
    <x v="0"/>
    <d v="2024-04-01T00:00:00"/>
    <n v="3"/>
    <x v="0"/>
    <m/>
    <n v="0"/>
  </r>
  <r>
    <s v="ORD-100418"/>
    <x v="87"/>
    <x v="0"/>
    <d v="2024-03-01T00:00:00"/>
    <n v="3"/>
    <s v="CUST-01077"/>
    <x v="0"/>
    <x v="8"/>
    <s v="AP"/>
    <x v="3"/>
    <s v="Vijayawada"/>
    <x v="0"/>
    <s v="P103"/>
    <s v="Niacinamide Toner"/>
    <x v="3"/>
    <n v="1"/>
    <n v="399"/>
    <n v="0.25"/>
    <n v="399"/>
    <n v="99.75"/>
    <n v="299.25"/>
    <n v="112"/>
    <n v="112"/>
    <n v="60"/>
    <n v="127.25"/>
    <n v="0.42522974101921468"/>
    <x v="0"/>
    <d v="2024-03-30T00:00:00"/>
    <n v="1"/>
    <x v="1"/>
    <n v="5"/>
    <n v="0"/>
  </r>
  <r>
    <s v="ORD-100419"/>
    <x v="87"/>
    <x v="0"/>
    <d v="2024-03-01T00:00:00"/>
    <n v="3"/>
    <s v="CUST-01062"/>
    <x v="1"/>
    <x v="8"/>
    <s v="AP"/>
    <x v="3"/>
    <s v="Vijayawada"/>
    <x v="4"/>
    <s v="P101"/>
    <s v="Vitamin C Face Serum"/>
    <x v="3"/>
    <n v="1"/>
    <n v="599"/>
    <n v="0.2"/>
    <n v="599"/>
    <n v="119.80000000000001"/>
    <n v="479.2"/>
    <n v="180"/>
    <n v="180"/>
    <n v="60"/>
    <n v="239.2"/>
    <n v="0.4991652754590985"/>
    <x v="1"/>
    <d v="2024-04-01T00:00:00"/>
    <n v="3"/>
    <x v="0"/>
    <n v="4"/>
    <n v="0"/>
  </r>
  <r>
    <s v="ORD-100420"/>
    <x v="87"/>
    <x v="0"/>
    <d v="2024-03-01T00:00:00"/>
    <n v="3"/>
    <s v="CUST-01365"/>
    <x v="0"/>
    <x v="8"/>
    <s v="AP"/>
    <x v="3"/>
    <s v="Vijayawada"/>
    <x v="2"/>
    <s v="P203"/>
    <s v="Keratin Hair Mask"/>
    <x v="6"/>
    <n v="1"/>
    <n v="549"/>
    <n v="0.2"/>
    <n v="549"/>
    <n v="109.80000000000001"/>
    <n v="439.2"/>
    <n v="170"/>
    <n v="170"/>
    <n v="60"/>
    <n v="209.2"/>
    <n v="0.47632058287795992"/>
    <x v="1"/>
    <d v="2024-04-02T00:00:00"/>
    <n v="4"/>
    <x v="0"/>
    <n v="4"/>
    <n v="0"/>
  </r>
  <r>
    <s v="ORD-100421"/>
    <x v="88"/>
    <x v="0"/>
    <d v="2024-03-01T00:00:00"/>
    <n v="3"/>
    <s v="CUST-00124"/>
    <x v="1"/>
    <x v="19"/>
    <s v="PB"/>
    <x v="0"/>
    <s v="Ludhiana"/>
    <x v="4"/>
    <s v="P703"/>
    <s v="Green Tea (100 bags)"/>
    <x v="0"/>
    <n v="3"/>
    <n v="399"/>
    <n v="0.35"/>
    <n v="1197"/>
    <n v="418.95"/>
    <n v="778.05"/>
    <n v="128"/>
    <n v="384"/>
    <n v="60"/>
    <n v="334.04999999999995"/>
    <n v="0.42934258723732405"/>
    <x v="0"/>
    <d v="2024-04-03T00:00:00"/>
    <n v="4"/>
    <x v="0"/>
    <n v="4"/>
    <n v="0"/>
  </r>
  <r>
    <s v="ORD-100422"/>
    <x v="88"/>
    <x v="0"/>
    <d v="2024-03-01T00:00:00"/>
    <n v="3"/>
    <s v="CUST-00029"/>
    <x v="0"/>
    <x v="6"/>
    <s v="DL"/>
    <x v="0"/>
    <s v="New Delhi"/>
    <x v="3"/>
    <s v="P101"/>
    <s v="Vitamin C Face Serum"/>
    <x v="3"/>
    <n v="1"/>
    <n v="599"/>
    <n v="0.15"/>
    <n v="599"/>
    <n v="89.85"/>
    <n v="509.15"/>
    <n v="180"/>
    <n v="180"/>
    <n v="60"/>
    <n v="269.14999999999998"/>
    <n v="0.52862614160856325"/>
    <x v="0"/>
    <d v="2024-04-01T00:00:00"/>
    <n v="2"/>
    <x v="1"/>
    <n v="5"/>
    <n v="0"/>
  </r>
  <r>
    <s v="ORD-100423"/>
    <x v="88"/>
    <x v="0"/>
    <d v="2024-03-01T00:00:00"/>
    <n v="3"/>
    <s v="CUST-00847"/>
    <x v="0"/>
    <x v="16"/>
    <s v="UP"/>
    <x v="0"/>
    <s v="Lucknow"/>
    <x v="4"/>
    <s v="P404"/>
    <s v="Flip Flops"/>
    <x v="5"/>
    <n v="1"/>
    <n v="399"/>
    <n v="0.2"/>
    <n v="399"/>
    <n v="79.800000000000011"/>
    <n v="319.2"/>
    <n v="152"/>
    <n v="152"/>
    <n v="120"/>
    <n v="47.199999999999989"/>
    <n v="0.14786967418546362"/>
    <x v="3"/>
    <d v="2024-04-01T00:00:00"/>
    <n v="2"/>
    <x v="1"/>
    <n v="4"/>
    <n v="1"/>
  </r>
  <r>
    <s v="ORD-100424"/>
    <x v="88"/>
    <x v="0"/>
    <d v="2024-03-01T00:00:00"/>
    <n v="3"/>
    <s v="CUST-01601"/>
    <x v="1"/>
    <x v="11"/>
    <s v="KA"/>
    <x v="3"/>
    <s v="Mysuru"/>
    <x v="0"/>
    <s v="P701"/>
    <s v="Ashwagandha Capsules"/>
    <x v="0"/>
    <n v="2"/>
    <n v="499"/>
    <n v="0.05"/>
    <n v="998"/>
    <n v="49.900000000000006"/>
    <n v="948.1"/>
    <n v="150"/>
    <n v="300"/>
    <n v="60"/>
    <n v="588.1"/>
    <n v="0.62029321801497728"/>
    <x v="1"/>
    <d v="2024-04-02T00:00:00"/>
    <n v="3"/>
    <x v="0"/>
    <n v="5"/>
    <n v="0"/>
  </r>
  <r>
    <s v="ORD-100425"/>
    <x v="89"/>
    <x v="0"/>
    <d v="2024-03-01T00:00:00"/>
    <n v="3"/>
    <s v="CUST-00488"/>
    <x v="0"/>
    <x v="0"/>
    <s v="RJ"/>
    <x v="0"/>
    <s v="Udaipur"/>
    <x v="4"/>
    <s v="P503"/>
    <s v="Scented Candle Set"/>
    <x v="4"/>
    <n v="1"/>
    <n v="699"/>
    <n v="0.25"/>
    <n v="699"/>
    <n v="174.75"/>
    <n v="524.25"/>
    <n v="245"/>
    <n v="245"/>
    <n v="120"/>
    <n v="159.25"/>
    <n v="0.30376728659990465"/>
    <x v="1"/>
    <d v="2024-04-02T00:00:00"/>
    <n v="2"/>
    <x v="1"/>
    <m/>
    <n v="1"/>
  </r>
  <r>
    <s v="ORD-100426"/>
    <x v="89"/>
    <x v="0"/>
    <d v="2024-03-01T00:00:00"/>
    <n v="3"/>
    <s v="CUST-00663"/>
    <x v="0"/>
    <x v="22"/>
    <s v="AS"/>
    <x v="2"/>
    <s v="Guwahati"/>
    <x v="4"/>
    <s v="P502"/>
    <s v="Ceramic Dinner Set"/>
    <x v="4"/>
    <n v="3"/>
    <n v="2499"/>
    <n v="0.4"/>
    <n v="7497"/>
    <n v="2998.8"/>
    <n v="4498.2"/>
    <n v="1250"/>
    <n v="3750"/>
    <n v="60"/>
    <n v="688.19999999999982"/>
    <n v="0.15299453114579162"/>
    <x v="0"/>
    <d v="2024-04-04T00:00:00"/>
    <n v="4"/>
    <x v="0"/>
    <n v="3"/>
    <n v="0"/>
  </r>
  <r>
    <s v="ORD-100427"/>
    <x v="89"/>
    <x v="0"/>
    <d v="2024-03-01T00:00:00"/>
    <n v="3"/>
    <s v="CUST-02501"/>
    <x v="0"/>
    <x v="1"/>
    <s v="GJ"/>
    <x v="1"/>
    <s v="Surat"/>
    <x v="0"/>
    <s v="P102"/>
    <s v="Sunscreen SPF 50"/>
    <x v="3"/>
    <n v="1"/>
    <n v="449"/>
    <n v="0.05"/>
    <n v="449"/>
    <n v="22.450000000000003"/>
    <n v="426.55"/>
    <n v="144"/>
    <n v="144"/>
    <n v="120"/>
    <n v="162.55000000000001"/>
    <n v="0.38108076427148052"/>
    <x v="0"/>
    <d v="2024-04-03T00:00:00"/>
    <n v="3"/>
    <x v="0"/>
    <n v="4"/>
    <n v="1"/>
  </r>
  <r>
    <s v="ORD-100428"/>
    <x v="89"/>
    <x v="0"/>
    <d v="2024-03-01T00:00:00"/>
    <n v="3"/>
    <s v="CUST-00030"/>
    <x v="1"/>
    <x v="21"/>
    <s v="TG"/>
    <x v="3"/>
    <s v="Hyderabad"/>
    <x v="0"/>
    <s v="P304"/>
    <s v="Denim Jacket"/>
    <x v="1"/>
    <n v="1"/>
    <n v="2499"/>
    <n v="0"/>
    <n v="2499"/>
    <n v="0"/>
    <n v="2499"/>
    <n v="1125"/>
    <n v="1125"/>
    <n v="60"/>
    <n v="1314"/>
    <n v="0.5258103241296519"/>
    <x v="0"/>
    <d v="2024-04-03T00:00:00"/>
    <n v="3"/>
    <x v="0"/>
    <n v="4"/>
    <n v="0"/>
  </r>
  <r>
    <s v="ORD-100429"/>
    <x v="89"/>
    <x v="0"/>
    <d v="2024-03-01T00:00:00"/>
    <n v="3"/>
    <s v="CUST-00971"/>
    <x v="0"/>
    <x v="20"/>
    <s v="GA"/>
    <x v="1"/>
    <s v="Panaji"/>
    <x v="3"/>
    <s v="P101"/>
    <s v="Vitamin C Face Serum"/>
    <x v="3"/>
    <n v="2"/>
    <n v="599"/>
    <n v="0.1"/>
    <n v="1198"/>
    <n v="119.80000000000001"/>
    <n v="1078.2"/>
    <n v="180"/>
    <n v="360"/>
    <n v="60"/>
    <n v="658.2"/>
    <n v="0.6104618809126322"/>
    <x v="1"/>
    <d v="2024-04-05T00:00:00"/>
    <n v="5"/>
    <x v="2"/>
    <n v="5"/>
    <n v="0"/>
  </r>
  <r>
    <s v="ORD-100430"/>
    <x v="90"/>
    <x v="0"/>
    <d v="2024-04-01T00:00:00"/>
    <n v="4"/>
    <s v="CUST-01041"/>
    <x v="0"/>
    <x v="16"/>
    <s v="UP"/>
    <x v="0"/>
    <s v="Noida"/>
    <x v="4"/>
    <s v="P103"/>
    <s v="Niacinamide Toner"/>
    <x v="3"/>
    <n v="2"/>
    <n v="399"/>
    <n v="0.2"/>
    <n v="798"/>
    <n v="159.60000000000002"/>
    <n v="638.4"/>
    <n v="112"/>
    <n v="224"/>
    <n v="60"/>
    <n v="354.4"/>
    <n v="0.55513784461152882"/>
    <x v="2"/>
    <d v="2024-04-04T00:00:00"/>
    <n v="3"/>
    <x v="0"/>
    <m/>
    <n v="0"/>
  </r>
  <r>
    <s v="ORD-100431"/>
    <x v="90"/>
    <x v="0"/>
    <d v="2024-04-01T00:00:00"/>
    <n v="4"/>
    <s v="CUST-01667"/>
    <x v="1"/>
    <x v="1"/>
    <s v="GJ"/>
    <x v="1"/>
    <s v="Surat"/>
    <x v="1"/>
    <s v="P304"/>
    <s v="Denim Jacket"/>
    <x v="1"/>
    <n v="1"/>
    <n v="2499"/>
    <n v="0.05"/>
    <n v="2499"/>
    <n v="124.95"/>
    <n v="2374.0500000000002"/>
    <n v="1125"/>
    <n v="1125"/>
    <n v="60"/>
    <n v="1189.0500000000002"/>
    <n v="0.50085297276805463"/>
    <x v="0"/>
    <d v="2024-04-04T00:00:00"/>
    <n v="3"/>
    <x v="0"/>
    <n v="4"/>
    <n v="0"/>
  </r>
  <r>
    <s v="ORD-100432"/>
    <x v="90"/>
    <x v="0"/>
    <d v="2024-04-01T00:00:00"/>
    <n v="4"/>
    <s v="CUST-02747"/>
    <x v="0"/>
    <x v="1"/>
    <s v="GJ"/>
    <x v="1"/>
    <s v="Ahmedabad"/>
    <x v="4"/>
    <s v="P101"/>
    <s v="Vitamin C Face Serum"/>
    <x v="3"/>
    <n v="1"/>
    <n v="599"/>
    <n v="0.1"/>
    <n v="599"/>
    <n v="59.900000000000006"/>
    <n v="539.1"/>
    <n v="180"/>
    <n v="180"/>
    <n v="60"/>
    <n v="299.10000000000002"/>
    <n v="0.5548135781858653"/>
    <x v="2"/>
    <d v="2024-04-06T00:00:00"/>
    <n v="5"/>
    <x v="2"/>
    <n v="3"/>
    <n v="0"/>
  </r>
  <r>
    <s v="ORD-100433"/>
    <x v="90"/>
    <x v="0"/>
    <d v="2024-04-01T00:00:00"/>
    <n v="4"/>
    <s v="CUST-00628"/>
    <x v="1"/>
    <x v="13"/>
    <s v="MP"/>
    <x v="1"/>
    <s v="Indore"/>
    <x v="1"/>
    <s v="P305"/>
    <s v="Printed Saree"/>
    <x v="1"/>
    <n v="3"/>
    <n v="1999"/>
    <n v="0.05"/>
    <n v="5997"/>
    <n v="299.85000000000002"/>
    <n v="5697.15"/>
    <n v="880"/>
    <n v="2640"/>
    <n v="60"/>
    <n v="2997.1499999999996"/>
    <n v="0.52607882888812829"/>
    <x v="0"/>
    <d v="2024-04-04T00:00:00"/>
    <n v="3"/>
    <x v="0"/>
    <m/>
    <n v="0"/>
  </r>
  <r>
    <s v="ORD-100434"/>
    <x v="90"/>
    <x v="0"/>
    <d v="2024-04-01T00:00:00"/>
    <n v="4"/>
    <s v="CUST-01337"/>
    <x v="0"/>
    <x v="10"/>
    <s v="CG"/>
    <x v="2"/>
    <s v="Raipur"/>
    <x v="1"/>
    <s v="P404"/>
    <s v="Flip Flops"/>
    <x v="5"/>
    <n v="2"/>
    <n v="399"/>
    <n v="0.15"/>
    <n v="798"/>
    <n v="119.69999999999999"/>
    <n v="678.3"/>
    <n v="152"/>
    <n v="304"/>
    <n v="60"/>
    <n v="314.29999999999995"/>
    <n v="0.4633642930856553"/>
    <x v="3"/>
    <d v="2024-04-05T00:00:00"/>
    <n v="4"/>
    <x v="0"/>
    <n v="4"/>
    <n v="0"/>
  </r>
  <r>
    <s v="ORD-100435"/>
    <x v="90"/>
    <x v="0"/>
    <d v="2024-04-01T00:00:00"/>
    <n v="4"/>
    <s v="CUST-00704"/>
    <x v="0"/>
    <x v="14"/>
    <s v="KL"/>
    <x v="3"/>
    <s v="Kochi"/>
    <x v="0"/>
    <s v="P501"/>
    <s v="Copper Water Bottle"/>
    <x v="4"/>
    <n v="2"/>
    <n v="899"/>
    <n v="0.1"/>
    <n v="1798"/>
    <n v="179.8"/>
    <n v="1618.2"/>
    <n v="378"/>
    <n v="756"/>
    <n v="60"/>
    <n v="802.2"/>
    <n v="0.4957360029662588"/>
    <x v="3"/>
    <d v="2024-04-07T00:00:00"/>
    <n v="6"/>
    <x v="2"/>
    <n v="3"/>
    <n v="0"/>
  </r>
  <r>
    <s v="ORD-100436"/>
    <x v="91"/>
    <x v="0"/>
    <d v="2024-04-01T00:00:00"/>
    <n v="4"/>
    <s v="CUST-00861"/>
    <x v="0"/>
    <x v="19"/>
    <s v="PB"/>
    <x v="0"/>
    <s v="Ludhiana"/>
    <x v="0"/>
    <s v="P504"/>
    <s v="Cotton Bedsheet"/>
    <x v="4"/>
    <n v="4"/>
    <n v="1299"/>
    <n v="0"/>
    <n v="5196"/>
    <n v="0"/>
    <n v="5196"/>
    <n v="585"/>
    <n v="2340"/>
    <n v="60"/>
    <n v="2796"/>
    <n v="0.53810623556581982"/>
    <x v="0"/>
    <d v="2024-04-05T00:00:00"/>
    <n v="3"/>
    <x v="0"/>
    <n v="4"/>
    <n v="0"/>
  </r>
  <r>
    <s v="ORD-100437"/>
    <x v="91"/>
    <x v="0"/>
    <d v="2024-04-01T00:00:00"/>
    <n v="4"/>
    <s v="CUST-00061"/>
    <x v="0"/>
    <x v="2"/>
    <s v="MH"/>
    <x v="1"/>
    <s v="Mumbai"/>
    <x v="0"/>
    <s v="P503"/>
    <s v="Scented Candle Set"/>
    <x v="4"/>
    <n v="2"/>
    <n v="699"/>
    <n v="0.3"/>
    <n v="1398"/>
    <n v="419.4"/>
    <n v="978.6"/>
    <n v="245"/>
    <n v="490"/>
    <n v="60"/>
    <n v="428.6"/>
    <n v="0.43797261393827919"/>
    <x v="0"/>
    <d v="2024-04-07T00:00:00"/>
    <n v="5"/>
    <x v="2"/>
    <m/>
    <n v="0"/>
  </r>
  <r>
    <s v="ORD-100438"/>
    <x v="91"/>
    <x v="0"/>
    <d v="2024-04-01T00:00:00"/>
    <n v="4"/>
    <s v="CUST-01370"/>
    <x v="0"/>
    <x v="2"/>
    <s v="MH"/>
    <x v="1"/>
    <s v="Mumbai"/>
    <x v="0"/>
    <s v="P301"/>
    <s v="Cotton Oversized T-Shirt"/>
    <x v="1"/>
    <n v="1"/>
    <n v="799"/>
    <n v="0"/>
    <n v="799"/>
    <n v="0"/>
    <n v="799"/>
    <n v="320"/>
    <n v="320"/>
    <n v="60"/>
    <n v="419"/>
    <n v="0.52440550688360454"/>
    <x v="0"/>
    <d v="2024-04-05T00:00:00"/>
    <n v="3"/>
    <x v="0"/>
    <n v="4"/>
    <n v="0"/>
  </r>
  <r>
    <s v="ORD-100439"/>
    <x v="91"/>
    <x v="0"/>
    <d v="2024-04-01T00:00:00"/>
    <n v="4"/>
    <s v="CUST-02078"/>
    <x v="0"/>
    <x v="2"/>
    <s v="MH"/>
    <x v="1"/>
    <s v="Nagpur"/>
    <x v="0"/>
    <s v="P502"/>
    <s v="Ceramic Dinner Set"/>
    <x v="4"/>
    <n v="2"/>
    <n v="2499"/>
    <n v="0.35"/>
    <n v="4998"/>
    <n v="1749.3"/>
    <n v="3248.7"/>
    <n v="1250"/>
    <n v="2500"/>
    <n v="60"/>
    <n v="688.69999999999982"/>
    <n v="0.21199248930341363"/>
    <x v="0"/>
    <d v="2024-04-03T00:00:00"/>
    <n v="1"/>
    <x v="1"/>
    <n v="3"/>
    <n v="0"/>
  </r>
  <r>
    <s v="ORD-100440"/>
    <x v="91"/>
    <x v="0"/>
    <d v="2024-04-01T00:00:00"/>
    <n v="4"/>
    <s v="CUST-02852"/>
    <x v="0"/>
    <x v="17"/>
    <s v="TN"/>
    <x v="3"/>
    <s v="Coimbatore"/>
    <x v="3"/>
    <s v="P701"/>
    <s v="Ashwagandha Capsules"/>
    <x v="0"/>
    <n v="1"/>
    <n v="499"/>
    <n v="0.1"/>
    <n v="499"/>
    <n v="49.900000000000006"/>
    <n v="449.1"/>
    <n v="150"/>
    <n v="150"/>
    <n v="60"/>
    <n v="239.10000000000002"/>
    <n v="0.53239812959251842"/>
    <x v="0"/>
    <d v="2024-04-04T00:00:00"/>
    <n v="2"/>
    <x v="1"/>
    <n v="4"/>
    <n v="0"/>
  </r>
  <r>
    <s v="ORD-100441"/>
    <x v="92"/>
    <x v="0"/>
    <d v="2024-04-01T00:00:00"/>
    <n v="4"/>
    <s v="CUST-00416"/>
    <x v="0"/>
    <x v="2"/>
    <s v="MH"/>
    <x v="1"/>
    <s v="Pune"/>
    <x v="1"/>
    <s v="P403"/>
    <s v="Kolhapuri Sandals"/>
    <x v="5"/>
    <n v="1"/>
    <n v="999"/>
    <n v="0.05"/>
    <n v="999"/>
    <n v="49.95"/>
    <n v="949.05"/>
    <n v="400"/>
    <n v="400"/>
    <n v="60"/>
    <n v="489.04999999999995"/>
    <n v="0.5153047784626732"/>
    <x v="2"/>
    <d v="2024-04-04T00:00:00"/>
    <n v="1"/>
    <x v="1"/>
    <n v="5"/>
    <n v="0"/>
  </r>
  <r>
    <s v="ORD-100442"/>
    <x v="92"/>
    <x v="0"/>
    <d v="2024-04-01T00:00:00"/>
    <n v="4"/>
    <s v="CUST-00798"/>
    <x v="0"/>
    <x v="3"/>
    <s v="OD"/>
    <x v="2"/>
    <s v="Bhubaneswar"/>
    <x v="0"/>
    <s v="P503"/>
    <s v="Scented Candle Set"/>
    <x v="4"/>
    <n v="2"/>
    <n v="699"/>
    <n v="0.2"/>
    <n v="1398"/>
    <n v="279.60000000000002"/>
    <n v="1118.4000000000001"/>
    <n v="245"/>
    <n v="490"/>
    <n v="60"/>
    <n v="568.40000000000009"/>
    <n v="0.50822603719599435"/>
    <x v="0"/>
    <d v="2024-04-06T00:00:00"/>
    <n v="3"/>
    <x v="0"/>
    <n v="4"/>
    <n v="0"/>
  </r>
  <r>
    <s v="ORD-100443"/>
    <x v="92"/>
    <x v="0"/>
    <d v="2024-04-01T00:00:00"/>
    <n v="4"/>
    <s v="CUST-00953"/>
    <x v="0"/>
    <x v="3"/>
    <s v="OD"/>
    <x v="2"/>
    <s v="Bhubaneswar"/>
    <x v="4"/>
    <s v="P702"/>
    <s v="Whey Protein 1kg"/>
    <x v="0"/>
    <n v="4"/>
    <n v="2299"/>
    <n v="0.4"/>
    <n v="9196"/>
    <n v="3678.4"/>
    <n v="5517.6"/>
    <n v="1333"/>
    <n v="5332"/>
    <n v="60"/>
    <n v="125.60000000000036"/>
    <n v="2.276352037117594E-2"/>
    <x v="3"/>
    <d v="2024-04-07T00:00:00"/>
    <n v="4"/>
    <x v="0"/>
    <n v="4"/>
    <n v="0"/>
  </r>
  <r>
    <s v="ORD-100444"/>
    <x v="93"/>
    <x v="0"/>
    <d v="2024-04-01T00:00:00"/>
    <n v="4"/>
    <s v="CUST-01525"/>
    <x v="0"/>
    <x v="2"/>
    <s v="MH"/>
    <x v="1"/>
    <s v="Nagpur"/>
    <x v="3"/>
    <s v="P202"/>
    <s v="Argan Shampoo"/>
    <x v="6"/>
    <n v="2"/>
    <n v="449"/>
    <n v="0"/>
    <n v="898"/>
    <n v="0"/>
    <n v="898"/>
    <n v="148"/>
    <n v="296"/>
    <n v="60"/>
    <n v="542"/>
    <n v="0.60356347438752789"/>
    <x v="0"/>
    <d v="2024-04-07T00:00:00"/>
    <n v="3"/>
    <x v="0"/>
    <n v="4"/>
    <n v="0"/>
  </r>
  <r>
    <s v="ORD-100445"/>
    <x v="93"/>
    <x v="0"/>
    <d v="2024-04-01T00:00:00"/>
    <n v="4"/>
    <s v="CUST-01474"/>
    <x v="0"/>
    <x v="2"/>
    <s v="MH"/>
    <x v="1"/>
    <s v="Mumbai"/>
    <x v="3"/>
    <s v="P103"/>
    <s v="Niacinamide Toner"/>
    <x v="3"/>
    <n v="2"/>
    <n v="399"/>
    <n v="0.2"/>
    <n v="798"/>
    <n v="159.60000000000002"/>
    <n v="638.4"/>
    <n v="112"/>
    <n v="224"/>
    <n v="60"/>
    <n v="354.4"/>
    <n v="0.55513784461152882"/>
    <x v="0"/>
    <d v="2024-04-06T00:00:00"/>
    <n v="2"/>
    <x v="1"/>
    <n v="3"/>
    <n v="0"/>
  </r>
  <r>
    <s v="ORD-100446"/>
    <x v="93"/>
    <x v="0"/>
    <d v="2024-04-01T00:00:00"/>
    <n v="4"/>
    <s v="CUST-00008"/>
    <x v="0"/>
    <x v="2"/>
    <s v="MH"/>
    <x v="1"/>
    <s v="Pune"/>
    <x v="4"/>
    <s v="P101"/>
    <s v="Vitamin C Face Serum"/>
    <x v="3"/>
    <n v="1"/>
    <n v="599"/>
    <n v="0.1"/>
    <n v="599"/>
    <n v="59.900000000000006"/>
    <n v="539.1"/>
    <n v="180"/>
    <n v="180"/>
    <n v="60"/>
    <n v="299.10000000000002"/>
    <n v="0.5548135781858653"/>
    <x v="0"/>
    <d v="2024-04-06T00:00:00"/>
    <n v="2"/>
    <x v="1"/>
    <m/>
    <n v="0"/>
  </r>
  <r>
    <s v="ORD-100447"/>
    <x v="93"/>
    <x v="0"/>
    <d v="2024-04-01T00:00:00"/>
    <n v="4"/>
    <s v="CUST-02576"/>
    <x v="0"/>
    <x v="21"/>
    <s v="TG"/>
    <x v="3"/>
    <s v="Hyderabad"/>
    <x v="2"/>
    <s v="P404"/>
    <s v="Flip Flops"/>
    <x v="5"/>
    <n v="1"/>
    <n v="399"/>
    <n v="0.1"/>
    <n v="399"/>
    <n v="39.900000000000006"/>
    <n v="359.1"/>
    <n v="152"/>
    <n v="152"/>
    <n v="60"/>
    <n v="147.10000000000002"/>
    <n v="0.40963519910888335"/>
    <x v="4"/>
    <d v="2024-04-07T00:00:00"/>
    <n v="3"/>
    <x v="0"/>
    <n v="3"/>
    <n v="0"/>
  </r>
  <r>
    <s v="ORD-100448"/>
    <x v="93"/>
    <x v="0"/>
    <d v="2024-04-01T00:00:00"/>
    <n v="4"/>
    <s v="CUST-01723"/>
    <x v="0"/>
    <x v="17"/>
    <s v="TN"/>
    <x v="3"/>
    <s v="Chennai"/>
    <x v="0"/>
    <s v="P704"/>
    <s v="Multivitamin Gummies"/>
    <x v="0"/>
    <n v="1"/>
    <n v="699"/>
    <n v="0.3"/>
    <n v="699"/>
    <n v="209.7"/>
    <n v="489.3"/>
    <n v="238"/>
    <n v="238"/>
    <n v="60"/>
    <n v="191.3"/>
    <n v="0.39096668710402616"/>
    <x v="0"/>
    <d v="2024-04-06T00:00:00"/>
    <n v="2"/>
    <x v="1"/>
    <n v="5"/>
    <n v="0"/>
  </r>
  <r>
    <s v="ORD-100449"/>
    <x v="93"/>
    <x v="0"/>
    <d v="2024-04-01T00:00:00"/>
    <n v="4"/>
    <s v="CUST-02074"/>
    <x v="0"/>
    <x v="17"/>
    <s v="TN"/>
    <x v="3"/>
    <s v="Chennai"/>
    <x v="3"/>
    <s v="P701"/>
    <s v="Ashwagandha Capsules"/>
    <x v="0"/>
    <n v="2"/>
    <n v="499"/>
    <n v="0.1"/>
    <n v="998"/>
    <n v="99.800000000000011"/>
    <n v="898.2"/>
    <n v="150"/>
    <n v="300"/>
    <n v="60"/>
    <n v="538.20000000000005"/>
    <n v="0.59919839679358722"/>
    <x v="0"/>
    <d v="2024-04-06T00:00:00"/>
    <n v="2"/>
    <x v="1"/>
    <n v="4"/>
    <n v="0"/>
  </r>
  <r>
    <s v="ORD-100450"/>
    <x v="94"/>
    <x v="0"/>
    <d v="2024-04-01T00:00:00"/>
    <n v="4"/>
    <s v="CUST-01160"/>
    <x v="0"/>
    <x v="4"/>
    <s v="JK"/>
    <x v="0"/>
    <s v="Jammu"/>
    <x v="0"/>
    <s v="P201"/>
    <s v="Onion Hair Oil"/>
    <x v="6"/>
    <n v="2"/>
    <n v="349"/>
    <n v="0.35"/>
    <n v="698"/>
    <n v="244.29999999999998"/>
    <n v="453.70000000000005"/>
    <n v="105"/>
    <n v="210"/>
    <n v="120"/>
    <n v="123.70000000000005"/>
    <n v="0.27264712364998905"/>
    <x v="0"/>
    <d v="2024-04-11T00:00:00"/>
    <n v="6"/>
    <x v="2"/>
    <n v="3"/>
    <n v="1"/>
  </r>
  <r>
    <s v="ORD-100451"/>
    <x v="94"/>
    <x v="0"/>
    <d v="2024-04-01T00:00:00"/>
    <n v="4"/>
    <s v="CUST-00593"/>
    <x v="0"/>
    <x v="17"/>
    <s v="TN"/>
    <x v="3"/>
    <s v="Coimbatore"/>
    <x v="3"/>
    <s v="P703"/>
    <s v="Green Tea (100 bags)"/>
    <x v="0"/>
    <n v="2"/>
    <n v="399"/>
    <n v="0.45"/>
    <n v="798"/>
    <n v="359.1"/>
    <n v="438.9"/>
    <n v="128"/>
    <n v="256"/>
    <n v="60"/>
    <n v="122.89999999999998"/>
    <n v="0.28001822738664839"/>
    <x v="0"/>
    <d v="2024-04-09T00:00:00"/>
    <n v="4"/>
    <x v="0"/>
    <n v="5"/>
    <n v="0"/>
  </r>
  <r>
    <s v="ORD-100452"/>
    <x v="95"/>
    <x v="0"/>
    <d v="2024-04-01T00:00:00"/>
    <n v="4"/>
    <s v="CUST-01609"/>
    <x v="0"/>
    <x v="15"/>
    <s v="HR"/>
    <x v="0"/>
    <s v="Gurugram"/>
    <x v="0"/>
    <s v="P104"/>
    <s v="Hydrating Face Wash"/>
    <x v="3"/>
    <n v="3"/>
    <n v="299"/>
    <n v="0.05"/>
    <n v="897"/>
    <n v="44.85"/>
    <n v="852.15"/>
    <n v="90"/>
    <n v="270"/>
    <n v="60"/>
    <n v="522.15"/>
    <n v="0.61274423516986443"/>
    <x v="4"/>
    <d v="2024-04-07T00:00:00"/>
    <n v="1"/>
    <x v="1"/>
    <n v="5"/>
    <n v="0"/>
  </r>
  <r>
    <s v="ORD-100453"/>
    <x v="95"/>
    <x v="0"/>
    <d v="2024-04-01T00:00:00"/>
    <n v="4"/>
    <s v="CUST-00414"/>
    <x v="1"/>
    <x v="16"/>
    <s v="UP"/>
    <x v="0"/>
    <s v="Noida"/>
    <x v="2"/>
    <s v="P202"/>
    <s v="Argan Shampoo"/>
    <x v="6"/>
    <n v="1"/>
    <n v="449"/>
    <n v="0"/>
    <n v="449"/>
    <n v="0"/>
    <n v="449"/>
    <n v="148"/>
    <n v="148"/>
    <n v="60"/>
    <n v="241"/>
    <n v="0.53674832962138086"/>
    <x v="3"/>
    <d v="2024-04-10T00:00:00"/>
    <n v="4"/>
    <x v="0"/>
    <m/>
    <n v="0"/>
  </r>
  <r>
    <s v="ORD-100454"/>
    <x v="95"/>
    <x v="0"/>
    <d v="2024-04-01T00:00:00"/>
    <n v="4"/>
    <s v="CUST-00606"/>
    <x v="0"/>
    <x v="10"/>
    <s v="CG"/>
    <x v="2"/>
    <s v="Raipur"/>
    <x v="2"/>
    <s v="P404"/>
    <s v="Flip Flops"/>
    <x v="5"/>
    <n v="2"/>
    <n v="399"/>
    <n v="0.15"/>
    <n v="798"/>
    <n v="119.69999999999999"/>
    <n v="678.3"/>
    <n v="152"/>
    <n v="304"/>
    <n v="120"/>
    <n v="254.29999999999995"/>
    <n v="0.37490785787999409"/>
    <x v="3"/>
    <d v="2024-04-11T00:00:00"/>
    <n v="5"/>
    <x v="2"/>
    <n v="4"/>
    <n v="1"/>
  </r>
  <r>
    <s v="ORD-100455"/>
    <x v="95"/>
    <x v="0"/>
    <d v="2024-04-01T00:00:00"/>
    <n v="4"/>
    <s v="CUST-02888"/>
    <x v="0"/>
    <x v="2"/>
    <s v="MH"/>
    <x v="1"/>
    <s v="Nagpur"/>
    <x v="3"/>
    <s v="P105"/>
    <s v="Retinol Night Cream"/>
    <x v="3"/>
    <n v="1"/>
    <n v="799"/>
    <n v="0.05"/>
    <n v="799"/>
    <n v="39.950000000000003"/>
    <n v="759.05"/>
    <n v="216"/>
    <n v="216"/>
    <n v="60"/>
    <n v="483.04999999999995"/>
    <n v="0.63638758975034582"/>
    <x v="0"/>
    <d v="2024-04-08T00:00:00"/>
    <n v="2"/>
    <x v="1"/>
    <n v="4"/>
    <n v="0"/>
  </r>
  <r>
    <s v="ORD-100456"/>
    <x v="95"/>
    <x v="0"/>
    <d v="2024-04-01T00:00:00"/>
    <n v="4"/>
    <s v="CUST-01527"/>
    <x v="0"/>
    <x v="3"/>
    <s v="OD"/>
    <x v="2"/>
    <s v="Bhubaneswar"/>
    <x v="0"/>
    <s v="P703"/>
    <s v="Green Tea (100 bags)"/>
    <x v="0"/>
    <n v="2"/>
    <n v="399"/>
    <n v="0.45"/>
    <n v="798"/>
    <n v="359.1"/>
    <n v="438.9"/>
    <n v="128"/>
    <n v="256"/>
    <n v="60"/>
    <n v="122.89999999999998"/>
    <n v="0.28001822738664839"/>
    <x v="3"/>
    <d v="2024-04-13T00:00:00"/>
    <n v="7"/>
    <x v="2"/>
    <n v="4"/>
    <n v="0"/>
  </r>
  <r>
    <s v="ORD-100457"/>
    <x v="96"/>
    <x v="0"/>
    <d v="2024-04-01T00:00:00"/>
    <n v="4"/>
    <s v="CUST-00020"/>
    <x v="0"/>
    <x v="15"/>
    <s v="HR"/>
    <x v="0"/>
    <s v="Faridabad"/>
    <x v="0"/>
    <s v="P204"/>
    <s v="Anti-Dandruff Conditioner"/>
    <x v="6"/>
    <n v="1"/>
    <n v="399"/>
    <n v="0.35"/>
    <n v="399"/>
    <n v="139.64999999999998"/>
    <n v="259.35000000000002"/>
    <n v="136"/>
    <n v="136"/>
    <n v="60"/>
    <n v="63.350000000000023"/>
    <n v="0.24426450742240222"/>
    <x v="3"/>
    <d v="2024-04-09T00:00:00"/>
    <n v="2"/>
    <x v="1"/>
    <n v="4"/>
    <n v="0"/>
  </r>
  <r>
    <s v="ORD-100458"/>
    <x v="96"/>
    <x v="0"/>
    <d v="2024-04-01T00:00:00"/>
    <n v="4"/>
    <s v="CUST-00214"/>
    <x v="0"/>
    <x v="2"/>
    <s v="MH"/>
    <x v="1"/>
    <s v="Nagpur"/>
    <x v="0"/>
    <s v="P104"/>
    <s v="Hydrating Face Wash"/>
    <x v="3"/>
    <n v="1"/>
    <n v="299"/>
    <n v="0"/>
    <n v="299"/>
    <n v="0"/>
    <n v="299"/>
    <n v="90"/>
    <n v="90"/>
    <n v="120"/>
    <n v="89"/>
    <n v="0.2976588628762542"/>
    <x v="4"/>
    <d v="2024-04-09T00:00:00"/>
    <n v="2"/>
    <x v="1"/>
    <n v="4"/>
    <n v="1"/>
  </r>
  <r>
    <s v="ORD-100459"/>
    <x v="96"/>
    <x v="0"/>
    <d v="2024-04-01T00:00:00"/>
    <n v="4"/>
    <s v="CUST-00353"/>
    <x v="0"/>
    <x v="11"/>
    <s v="KA"/>
    <x v="3"/>
    <s v="Bengaluru"/>
    <x v="3"/>
    <s v="P702"/>
    <s v="Whey Protein 1kg"/>
    <x v="0"/>
    <n v="2"/>
    <n v="2299"/>
    <n v="0.3"/>
    <n v="4598"/>
    <n v="1379.3999999999999"/>
    <n v="3218.6000000000004"/>
    <n v="1333"/>
    <n v="2666"/>
    <n v="60"/>
    <n v="492.60000000000036"/>
    <n v="0.15304790902877036"/>
    <x v="1"/>
    <d v="2024-04-10T00:00:00"/>
    <n v="3"/>
    <x v="0"/>
    <m/>
    <n v="0"/>
  </r>
  <r>
    <s v="ORD-100460"/>
    <x v="96"/>
    <x v="0"/>
    <d v="2024-04-01T00:00:00"/>
    <n v="4"/>
    <s v="CUST-02586"/>
    <x v="0"/>
    <x v="11"/>
    <s v="KA"/>
    <x v="3"/>
    <s v="Bengaluru"/>
    <x v="2"/>
    <s v="P404"/>
    <s v="Flip Flops"/>
    <x v="5"/>
    <n v="1"/>
    <n v="399"/>
    <n v="0.05"/>
    <n v="399"/>
    <n v="19.950000000000003"/>
    <n v="379.05"/>
    <n v="152"/>
    <n v="152"/>
    <n v="60"/>
    <n v="167.05"/>
    <n v="0.44070703073473161"/>
    <x v="1"/>
    <d v="2024-04-10T00:00:00"/>
    <n v="3"/>
    <x v="0"/>
    <n v="4"/>
    <n v="0"/>
  </r>
  <r>
    <s v="ORD-100461"/>
    <x v="96"/>
    <x v="0"/>
    <d v="2024-04-01T00:00:00"/>
    <n v="4"/>
    <s v="CUST-03110"/>
    <x v="0"/>
    <x v="14"/>
    <s v="KL"/>
    <x v="3"/>
    <s v="Thiruvananthapuram"/>
    <x v="2"/>
    <s v="P203"/>
    <s v="Keratin Hair Mask"/>
    <x v="6"/>
    <n v="2"/>
    <n v="549"/>
    <n v="0.15"/>
    <n v="1098"/>
    <n v="164.7"/>
    <n v="933.3"/>
    <n v="170"/>
    <n v="340"/>
    <n v="60"/>
    <n v="533.29999999999995"/>
    <n v="0.57141326475945564"/>
    <x v="2"/>
    <d v="2024-04-11T00:00:00"/>
    <n v="4"/>
    <x v="0"/>
    <n v="4"/>
    <n v="0"/>
  </r>
  <r>
    <s v="ORD-100462"/>
    <x v="97"/>
    <x v="0"/>
    <d v="2024-04-01T00:00:00"/>
    <n v="4"/>
    <s v="CUST-00478"/>
    <x v="0"/>
    <x v="15"/>
    <s v="HR"/>
    <x v="0"/>
    <s v="Faridabad"/>
    <x v="2"/>
    <s v="P102"/>
    <s v="Sunscreen SPF 50"/>
    <x v="3"/>
    <n v="1"/>
    <n v="449"/>
    <n v="0"/>
    <n v="449"/>
    <n v="0"/>
    <n v="449"/>
    <n v="144"/>
    <n v="144"/>
    <n v="60"/>
    <n v="245"/>
    <n v="0.54565701559020041"/>
    <x v="1"/>
    <d v="2024-04-11T00:00:00"/>
    <n v="3"/>
    <x v="0"/>
    <n v="5"/>
    <n v="0"/>
  </r>
  <r>
    <s v="ORD-100463"/>
    <x v="97"/>
    <x v="0"/>
    <d v="2024-04-01T00:00:00"/>
    <n v="4"/>
    <s v="CUST-02483"/>
    <x v="0"/>
    <x v="12"/>
    <s v="BR"/>
    <x v="2"/>
    <s v="Patna"/>
    <x v="4"/>
    <s v="P702"/>
    <s v="Whey Protein 1kg"/>
    <x v="0"/>
    <n v="2"/>
    <n v="2299"/>
    <n v="0.35"/>
    <n v="4598"/>
    <n v="1609.3"/>
    <n v="2988.7"/>
    <n v="1333"/>
    <n v="2666"/>
    <n v="60"/>
    <n v="262.69999999999982"/>
    <n v="8.7897748184829469E-2"/>
    <x v="1"/>
    <d v="2024-04-14T00:00:00"/>
    <n v="6"/>
    <x v="2"/>
    <n v="4"/>
    <n v="0"/>
  </r>
  <r>
    <s v="ORD-100464"/>
    <x v="97"/>
    <x v="0"/>
    <d v="2024-04-01T00:00:00"/>
    <n v="4"/>
    <s v="CUST-01516"/>
    <x v="0"/>
    <x v="7"/>
    <s v="JH"/>
    <x v="2"/>
    <s v="Ranchi"/>
    <x v="3"/>
    <s v="P101"/>
    <s v="Vitamin C Face Serum"/>
    <x v="3"/>
    <n v="1"/>
    <n v="599"/>
    <n v="0.15"/>
    <n v="599"/>
    <n v="89.85"/>
    <n v="509.15"/>
    <n v="180"/>
    <n v="180"/>
    <n v="60"/>
    <n v="269.14999999999998"/>
    <n v="0.52862614160856325"/>
    <x v="0"/>
    <d v="2024-04-11T00:00:00"/>
    <n v="3"/>
    <x v="0"/>
    <m/>
    <n v="0"/>
  </r>
  <r>
    <s v="ORD-100465"/>
    <x v="97"/>
    <x v="0"/>
    <d v="2024-04-01T00:00:00"/>
    <n v="4"/>
    <s v="CUST-00597"/>
    <x v="1"/>
    <x v="3"/>
    <s v="OD"/>
    <x v="2"/>
    <s v="Bhubaneswar"/>
    <x v="4"/>
    <s v="P501"/>
    <s v="Copper Water Bottle"/>
    <x v="4"/>
    <n v="1"/>
    <n v="899"/>
    <n v="0"/>
    <n v="899"/>
    <n v="0"/>
    <n v="899"/>
    <n v="378"/>
    <n v="378"/>
    <n v="60"/>
    <n v="461"/>
    <n v="0.51279199110122353"/>
    <x v="1"/>
    <d v="2024-04-13T00:00:00"/>
    <n v="5"/>
    <x v="2"/>
    <n v="4"/>
    <n v="0"/>
  </r>
  <r>
    <s v="ORD-100466"/>
    <x v="97"/>
    <x v="0"/>
    <d v="2024-04-01T00:00:00"/>
    <n v="4"/>
    <s v="CUST-00815"/>
    <x v="0"/>
    <x v="11"/>
    <s v="KA"/>
    <x v="3"/>
    <s v="Mysuru"/>
    <x v="0"/>
    <s v="P101"/>
    <s v="Vitamin C Face Serum"/>
    <x v="3"/>
    <n v="1"/>
    <n v="599"/>
    <n v="0.25"/>
    <n v="599"/>
    <n v="149.75"/>
    <n v="449.25"/>
    <n v="180"/>
    <n v="180"/>
    <n v="60"/>
    <n v="209.25"/>
    <n v="0.46577629382303842"/>
    <x v="2"/>
    <d v="2024-04-10T00:00:00"/>
    <n v="2"/>
    <x v="1"/>
    <m/>
    <n v="0"/>
  </r>
  <r>
    <s v="ORD-100467"/>
    <x v="97"/>
    <x v="0"/>
    <d v="2024-04-01T00:00:00"/>
    <n v="4"/>
    <s v="CUST-00297"/>
    <x v="1"/>
    <x v="17"/>
    <s v="TN"/>
    <x v="3"/>
    <s v="Coimbatore"/>
    <x v="4"/>
    <s v="P504"/>
    <s v="Cotton Bedsheet"/>
    <x v="4"/>
    <n v="2"/>
    <n v="1299"/>
    <n v="0"/>
    <n v="2598"/>
    <n v="0"/>
    <n v="2598"/>
    <n v="585"/>
    <n v="1170"/>
    <n v="60"/>
    <n v="1368"/>
    <n v="0.52655889145496537"/>
    <x v="0"/>
    <d v="2024-04-10T00:00:00"/>
    <n v="2"/>
    <x v="1"/>
    <n v="4"/>
    <n v="0"/>
  </r>
  <r>
    <s v="ORD-100468"/>
    <x v="98"/>
    <x v="0"/>
    <d v="2024-04-01T00:00:00"/>
    <n v="4"/>
    <s v="CUST-01523"/>
    <x v="0"/>
    <x v="6"/>
    <s v="DL"/>
    <x v="0"/>
    <s v="New Delhi"/>
    <x v="0"/>
    <s v="P104"/>
    <s v="Hydrating Face Wash"/>
    <x v="3"/>
    <n v="2"/>
    <n v="299"/>
    <n v="0"/>
    <n v="598"/>
    <n v="0"/>
    <n v="598"/>
    <n v="90"/>
    <n v="180"/>
    <n v="60"/>
    <n v="358"/>
    <n v="0.59866220735785958"/>
    <x v="1"/>
    <d v="2024-04-10T00:00:00"/>
    <n v="1"/>
    <x v="1"/>
    <n v="5"/>
    <n v="0"/>
  </r>
  <r>
    <s v="ORD-100469"/>
    <x v="98"/>
    <x v="0"/>
    <d v="2024-04-01T00:00:00"/>
    <n v="4"/>
    <s v="CUST-00230"/>
    <x v="0"/>
    <x v="12"/>
    <s v="BR"/>
    <x v="2"/>
    <s v="Patna"/>
    <x v="2"/>
    <s v="P703"/>
    <s v="Green Tea (100 bags)"/>
    <x v="0"/>
    <n v="2"/>
    <n v="399"/>
    <n v="0.3"/>
    <n v="798"/>
    <n v="239.39999999999998"/>
    <n v="558.6"/>
    <n v="128"/>
    <n v="256"/>
    <n v="60"/>
    <n v="242.60000000000002"/>
    <n v="0.43430003580379523"/>
    <x v="2"/>
    <d v="2024-04-13T00:00:00"/>
    <n v="4"/>
    <x v="0"/>
    <n v="4"/>
    <n v="0"/>
  </r>
  <r>
    <s v="ORD-100470"/>
    <x v="98"/>
    <x v="0"/>
    <d v="2024-04-01T00:00:00"/>
    <n v="4"/>
    <s v="CUST-00536"/>
    <x v="0"/>
    <x v="14"/>
    <s v="KL"/>
    <x v="3"/>
    <s v="Thiruvananthapuram"/>
    <x v="4"/>
    <s v="P704"/>
    <s v="Multivitamin Gummies"/>
    <x v="0"/>
    <n v="2"/>
    <n v="699"/>
    <n v="0.2"/>
    <n v="1398"/>
    <n v="279.60000000000002"/>
    <n v="1118.4000000000001"/>
    <n v="238"/>
    <n v="476"/>
    <n v="60"/>
    <n v="582.40000000000009"/>
    <n v="0.5207439198855508"/>
    <x v="3"/>
    <d v="2024-04-13T00:00:00"/>
    <n v="4"/>
    <x v="0"/>
    <n v="5"/>
    <n v="0"/>
  </r>
  <r>
    <s v="ORD-100471"/>
    <x v="98"/>
    <x v="0"/>
    <d v="2024-04-01T00:00:00"/>
    <n v="4"/>
    <s v="CUST-00326"/>
    <x v="0"/>
    <x v="14"/>
    <s v="KL"/>
    <x v="3"/>
    <s v="Kochi"/>
    <x v="2"/>
    <s v="P503"/>
    <s v="Scented Candle Set"/>
    <x v="4"/>
    <n v="1"/>
    <n v="699"/>
    <n v="0.2"/>
    <n v="699"/>
    <n v="139.80000000000001"/>
    <n v="559.20000000000005"/>
    <n v="245"/>
    <n v="245"/>
    <n v="60"/>
    <n v="254.20000000000005"/>
    <n v="0.45457796852646642"/>
    <x v="0"/>
    <d v="2024-04-14T00:00:00"/>
    <n v="5"/>
    <x v="2"/>
    <m/>
    <n v="0"/>
  </r>
  <r>
    <s v="ORD-100472"/>
    <x v="98"/>
    <x v="0"/>
    <d v="2024-04-01T00:00:00"/>
    <n v="4"/>
    <s v="CUST-00555"/>
    <x v="1"/>
    <x v="14"/>
    <s v="KL"/>
    <x v="3"/>
    <s v="Kochi"/>
    <x v="0"/>
    <s v="P504"/>
    <s v="Cotton Bedsheet"/>
    <x v="4"/>
    <n v="1"/>
    <n v="1299"/>
    <n v="0"/>
    <n v="1299"/>
    <n v="0"/>
    <n v="1299"/>
    <n v="585"/>
    <n v="585"/>
    <n v="60"/>
    <n v="654"/>
    <n v="0.50346420323325636"/>
    <x v="4"/>
    <d v="2024-04-11T00:00:00"/>
    <n v="2"/>
    <x v="1"/>
    <m/>
    <n v="0"/>
  </r>
  <r>
    <s v="ORD-100473"/>
    <x v="99"/>
    <x v="0"/>
    <d v="2024-04-01T00:00:00"/>
    <n v="4"/>
    <s v="CUST-00445"/>
    <x v="0"/>
    <x v="12"/>
    <s v="BR"/>
    <x v="2"/>
    <s v="Patna"/>
    <x v="0"/>
    <s v="P502"/>
    <s v="Ceramic Dinner Set"/>
    <x v="4"/>
    <n v="1"/>
    <n v="2499"/>
    <n v="0.25"/>
    <n v="2499"/>
    <n v="624.75"/>
    <n v="1874.25"/>
    <n v="1250"/>
    <n v="1250"/>
    <n v="60"/>
    <n v="564.25"/>
    <n v="0.30105375483526742"/>
    <x v="3"/>
    <d v="2024-04-15T00:00:00"/>
    <n v="5"/>
    <x v="2"/>
    <m/>
    <n v="0"/>
  </r>
  <r>
    <s v="ORD-100474"/>
    <x v="100"/>
    <x v="0"/>
    <d v="2024-04-01T00:00:00"/>
    <n v="4"/>
    <s v="CUST-00482"/>
    <x v="0"/>
    <x v="16"/>
    <s v="UP"/>
    <x v="0"/>
    <s v="Lucknow"/>
    <x v="2"/>
    <s v="P701"/>
    <s v="Ashwagandha Capsules"/>
    <x v="0"/>
    <n v="2"/>
    <n v="499"/>
    <n v="0"/>
    <n v="998"/>
    <n v="0"/>
    <n v="998"/>
    <n v="150"/>
    <n v="300"/>
    <n v="60"/>
    <n v="638"/>
    <n v="0.63927855711422843"/>
    <x v="3"/>
    <d v="2024-04-14T00:00:00"/>
    <n v="3"/>
    <x v="0"/>
    <m/>
    <n v="0"/>
  </r>
  <r>
    <s v="ORD-100475"/>
    <x v="100"/>
    <x v="0"/>
    <d v="2024-04-01T00:00:00"/>
    <n v="4"/>
    <s v="CUST-00671"/>
    <x v="0"/>
    <x v="18"/>
    <s v="WB"/>
    <x v="2"/>
    <s v="Kolkata"/>
    <x v="2"/>
    <s v="P201"/>
    <s v="Onion Hair Oil"/>
    <x v="6"/>
    <n v="1"/>
    <n v="349"/>
    <n v="0.25"/>
    <n v="349"/>
    <n v="87.25"/>
    <n v="261.75"/>
    <n v="105"/>
    <n v="105"/>
    <n v="60"/>
    <n v="96.75"/>
    <n v="0.36962750716332377"/>
    <x v="0"/>
    <d v="2024-04-16T00:00:00"/>
    <n v="5"/>
    <x v="2"/>
    <n v="3"/>
    <n v="0"/>
  </r>
  <r>
    <s v="ORD-100476"/>
    <x v="100"/>
    <x v="0"/>
    <d v="2024-04-01T00:00:00"/>
    <n v="4"/>
    <s v="CUST-00083"/>
    <x v="0"/>
    <x v="14"/>
    <s v="KL"/>
    <x v="3"/>
    <s v="Kochi"/>
    <x v="0"/>
    <s v="P204"/>
    <s v="Anti-Dandruff Conditioner"/>
    <x v="6"/>
    <n v="2"/>
    <n v="399"/>
    <n v="0.4"/>
    <n v="798"/>
    <n v="319.20000000000005"/>
    <n v="478.79999999999995"/>
    <n v="136"/>
    <n v="272"/>
    <n v="60"/>
    <n v="146.79999999999995"/>
    <n v="0.30659983291562232"/>
    <x v="3"/>
    <d v="2024-04-15T00:00:00"/>
    <n v="4"/>
    <x v="0"/>
    <n v="4"/>
    <n v="0"/>
  </r>
  <r>
    <s v="ORD-100477"/>
    <x v="100"/>
    <x v="0"/>
    <d v="2024-04-01T00:00:00"/>
    <n v="4"/>
    <s v="CUST-01556"/>
    <x v="0"/>
    <x v="14"/>
    <s v="KL"/>
    <x v="3"/>
    <s v="Thiruvananthapuram"/>
    <x v="0"/>
    <s v="P101"/>
    <s v="Vitamin C Face Serum"/>
    <x v="3"/>
    <n v="4"/>
    <n v="599"/>
    <n v="0.15"/>
    <n v="2396"/>
    <n v="359.4"/>
    <n v="2036.6"/>
    <n v="180"/>
    <n v="720"/>
    <n v="60"/>
    <n v="1256.5999999999999"/>
    <n v="0.61700874005695761"/>
    <x v="0"/>
    <d v="2024-04-13T00:00:00"/>
    <n v="2"/>
    <x v="1"/>
    <n v="5"/>
    <n v="0"/>
  </r>
  <r>
    <s v="ORD-100478"/>
    <x v="101"/>
    <x v="0"/>
    <d v="2024-04-01T00:00:00"/>
    <n v="4"/>
    <s v="CUST-02469"/>
    <x v="0"/>
    <x v="16"/>
    <s v="UP"/>
    <x v="0"/>
    <s v="Kanpur"/>
    <x v="0"/>
    <s v="P104"/>
    <s v="Hydrating Face Wash"/>
    <x v="3"/>
    <n v="3"/>
    <n v="299"/>
    <n v="0"/>
    <n v="897"/>
    <n v="0"/>
    <n v="897"/>
    <n v="90"/>
    <n v="270"/>
    <n v="60"/>
    <n v="567"/>
    <n v="0.63210702341137126"/>
    <x v="1"/>
    <d v="2024-04-15T00:00:00"/>
    <n v="3"/>
    <x v="0"/>
    <n v="5"/>
    <n v="0"/>
  </r>
  <r>
    <s v="ORD-100479"/>
    <x v="101"/>
    <x v="0"/>
    <d v="2024-04-01T00:00:00"/>
    <n v="4"/>
    <s v="CUST-02539"/>
    <x v="0"/>
    <x v="1"/>
    <s v="GJ"/>
    <x v="1"/>
    <s v="Surat"/>
    <x v="2"/>
    <s v="P602"/>
    <s v="Fast Charger 33W"/>
    <x v="2"/>
    <n v="1"/>
    <n v="899"/>
    <n v="0.05"/>
    <n v="899"/>
    <n v="44.95"/>
    <n v="854.05"/>
    <n v="494"/>
    <n v="494"/>
    <n v="60"/>
    <n v="300.04999999999995"/>
    <n v="0.35132603477548152"/>
    <x v="1"/>
    <d v="2024-04-14T00:00:00"/>
    <n v="2"/>
    <x v="1"/>
    <n v="4"/>
    <n v="0"/>
  </r>
  <r>
    <s v="ORD-100480"/>
    <x v="101"/>
    <x v="0"/>
    <d v="2024-04-01T00:00:00"/>
    <n v="4"/>
    <s v="CUST-01969"/>
    <x v="0"/>
    <x v="18"/>
    <s v="WB"/>
    <x v="2"/>
    <s v="Kolkata"/>
    <x v="4"/>
    <s v="P301"/>
    <s v="Cotton Oversized T-Shirt"/>
    <x v="1"/>
    <n v="2"/>
    <n v="799"/>
    <n v="0"/>
    <n v="1598"/>
    <n v="0"/>
    <n v="1598"/>
    <n v="320"/>
    <n v="640"/>
    <n v="60"/>
    <n v="898"/>
    <n v="0.56195244055068838"/>
    <x v="3"/>
    <d v="2024-04-14T00:00:00"/>
    <n v="2"/>
    <x v="1"/>
    <n v="5"/>
    <n v="0"/>
  </r>
  <r>
    <s v="ORD-100481"/>
    <x v="101"/>
    <x v="0"/>
    <d v="2024-04-01T00:00:00"/>
    <n v="4"/>
    <s v="CUST-00200"/>
    <x v="0"/>
    <x v="2"/>
    <s v="MH"/>
    <x v="1"/>
    <s v="Mumbai"/>
    <x v="4"/>
    <s v="P204"/>
    <s v="Anti-Dandruff Conditioner"/>
    <x v="6"/>
    <n v="1"/>
    <n v="399"/>
    <n v="0.4"/>
    <n v="399"/>
    <n v="159.60000000000002"/>
    <n v="239.39999999999998"/>
    <n v="136"/>
    <n v="136"/>
    <n v="60"/>
    <n v="43.399999999999977"/>
    <n v="0.18128654970760227"/>
    <x v="0"/>
    <d v="2024-04-14T00:00:00"/>
    <n v="2"/>
    <x v="1"/>
    <m/>
    <n v="0"/>
  </r>
  <r>
    <s v="ORD-100482"/>
    <x v="101"/>
    <x v="0"/>
    <d v="2024-04-01T00:00:00"/>
    <n v="4"/>
    <s v="CUST-00537"/>
    <x v="1"/>
    <x v="20"/>
    <s v="GA"/>
    <x v="1"/>
    <s v="Panaji"/>
    <x v="4"/>
    <s v="P503"/>
    <s v="Scented Candle Set"/>
    <x v="4"/>
    <n v="3"/>
    <n v="699"/>
    <n v="0.2"/>
    <n v="2097"/>
    <n v="419.40000000000003"/>
    <n v="1677.6"/>
    <n v="245"/>
    <n v="735"/>
    <n v="60"/>
    <n v="882.59999999999991"/>
    <n v="0.52610872675250353"/>
    <x v="2"/>
    <d v="2024-04-14T00:00:00"/>
    <n v="2"/>
    <x v="1"/>
    <m/>
    <n v="0"/>
  </r>
  <r>
    <s v="ORD-100483"/>
    <x v="101"/>
    <x v="0"/>
    <d v="2024-04-01T00:00:00"/>
    <n v="4"/>
    <s v="CUST-01499"/>
    <x v="0"/>
    <x v="8"/>
    <s v="AP"/>
    <x v="3"/>
    <s v="Visakhapatnam"/>
    <x v="3"/>
    <s v="P204"/>
    <s v="Anti-Dandruff Conditioner"/>
    <x v="6"/>
    <n v="2"/>
    <n v="399"/>
    <n v="0.35"/>
    <n v="798"/>
    <n v="279.29999999999995"/>
    <n v="518.70000000000005"/>
    <n v="136"/>
    <n v="272"/>
    <n v="60"/>
    <n v="186.70000000000005"/>
    <n v="0.35993830730672843"/>
    <x v="1"/>
    <d v="2024-04-16T00:00:00"/>
    <n v="4"/>
    <x v="0"/>
    <n v="3"/>
    <n v="0"/>
  </r>
  <r>
    <s v="ORD-100484"/>
    <x v="102"/>
    <x v="0"/>
    <d v="2024-04-01T00:00:00"/>
    <n v="4"/>
    <s v="CUST-00588"/>
    <x v="0"/>
    <x v="0"/>
    <s v="RJ"/>
    <x v="0"/>
    <s v="Udaipur"/>
    <x v="1"/>
    <s v="P403"/>
    <s v="Kolhapuri Sandals"/>
    <x v="5"/>
    <n v="1"/>
    <n v="999"/>
    <n v="0.05"/>
    <n v="999"/>
    <n v="49.95"/>
    <n v="949.05"/>
    <n v="400"/>
    <n v="400"/>
    <n v="60"/>
    <n v="489.04999999999995"/>
    <n v="0.5153047784626732"/>
    <x v="3"/>
    <d v="2024-04-15T00:00:00"/>
    <n v="2"/>
    <x v="1"/>
    <m/>
    <n v="0"/>
  </r>
  <r>
    <s v="ORD-100485"/>
    <x v="102"/>
    <x v="0"/>
    <d v="2024-04-01T00:00:00"/>
    <n v="4"/>
    <s v="CUST-00103"/>
    <x v="1"/>
    <x v="1"/>
    <s v="GJ"/>
    <x v="1"/>
    <s v="Surat"/>
    <x v="1"/>
    <s v="P304"/>
    <s v="Denim Jacket"/>
    <x v="1"/>
    <n v="1"/>
    <n v="2499"/>
    <n v="0.1"/>
    <n v="2499"/>
    <n v="249.9"/>
    <n v="2249.1"/>
    <n v="1125"/>
    <n v="1125"/>
    <n v="60"/>
    <n v="1064.0999999999999"/>
    <n v="0.4731225823662798"/>
    <x v="1"/>
    <d v="2024-04-18T00:00:00"/>
    <n v="5"/>
    <x v="2"/>
    <m/>
    <n v="0"/>
  </r>
  <r>
    <s v="ORD-100486"/>
    <x v="102"/>
    <x v="0"/>
    <d v="2024-04-01T00:00:00"/>
    <n v="4"/>
    <s v="CUST-00731"/>
    <x v="0"/>
    <x v="13"/>
    <s v="MP"/>
    <x v="1"/>
    <s v="Bhopal"/>
    <x v="0"/>
    <s v="P404"/>
    <s v="Flip Flops"/>
    <x v="5"/>
    <n v="1"/>
    <n v="399"/>
    <n v="0.15"/>
    <n v="399"/>
    <n v="59.849999999999994"/>
    <n v="339.15"/>
    <n v="152"/>
    <n v="152"/>
    <n v="60"/>
    <n v="127.14999999999998"/>
    <n v="0.37490785787999409"/>
    <x v="0"/>
    <d v="2024-04-17T00:00:00"/>
    <n v="4"/>
    <x v="0"/>
    <n v="3"/>
    <n v="0"/>
  </r>
  <r>
    <s v="ORD-100487"/>
    <x v="102"/>
    <x v="0"/>
    <d v="2024-04-01T00:00:00"/>
    <n v="4"/>
    <s v="CUST-02148"/>
    <x v="1"/>
    <x v="2"/>
    <s v="MH"/>
    <x v="1"/>
    <s v="Mumbai"/>
    <x v="0"/>
    <s v="P102"/>
    <s v="Sunscreen SPF 50"/>
    <x v="3"/>
    <n v="1"/>
    <n v="449"/>
    <n v="0.1"/>
    <n v="449"/>
    <n v="44.900000000000006"/>
    <n v="404.1"/>
    <n v="144"/>
    <n v="144"/>
    <n v="60"/>
    <n v="200.10000000000002"/>
    <n v="0.4951744617668894"/>
    <x v="3"/>
    <d v="2024-04-14T00:00:00"/>
    <n v="1"/>
    <x v="1"/>
    <m/>
    <n v="0"/>
  </r>
  <r>
    <s v="ORD-100488"/>
    <x v="102"/>
    <x v="0"/>
    <d v="2024-04-01T00:00:00"/>
    <n v="4"/>
    <s v="CUST-01189"/>
    <x v="1"/>
    <x v="3"/>
    <s v="OD"/>
    <x v="2"/>
    <s v="Bhubaneswar"/>
    <x v="2"/>
    <s v="P601"/>
    <s v="Wireless Earbuds"/>
    <x v="2"/>
    <n v="4"/>
    <n v="1999"/>
    <n v="0.25"/>
    <n v="7996"/>
    <n v="1999"/>
    <n v="5997"/>
    <n v="1239"/>
    <n v="4956"/>
    <n v="60"/>
    <n v="981"/>
    <n v="0.16358179089544772"/>
    <x v="1"/>
    <d v="2024-04-19T00:00:00"/>
    <n v="6"/>
    <x v="2"/>
    <n v="3"/>
    <n v="0"/>
  </r>
  <r>
    <s v="ORD-100489"/>
    <x v="103"/>
    <x v="0"/>
    <d v="2024-04-01T00:00:00"/>
    <n v="4"/>
    <s v="CUST-00663"/>
    <x v="1"/>
    <x v="12"/>
    <s v="BR"/>
    <x v="2"/>
    <s v="Patna"/>
    <x v="0"/>
    <s v="P304"/>
    <s v="Denim Jacket"/>
    <x v="1"/>
    <n v="1"/>
    <n v="2499"/>
    <n v="0"/>
    <n v="2499"/>
    <n v="0"/>
    <n v="2499"/>
    <n v="1125"/>
    <n v="1125"/>
    <n v="60"/>
    <n v="1314"/>
    <n v="0.5258103241296519"/>
    <x v="3"/>
    <d v="2024-04-18T00:00:00"/>
    <n v="4"/>
    <x v="0"/>
    <m/>
    <n v="0"/>
  </r>
  <r>
    <s v="ORD-100490"/>
    <x v="103"/>
    <x v="0"/>
    <d v="2024-04-01T00:00:00"/>
    <n v="4"/>
    <s v="CUST-01585"/>
    <x v="0"/>
    <x v="18"/>
    <s v="WB"/>
    <x v="2"/>
    <s v="Kolkata"/>
    <x v="3"/>
    <s v="P101"/>
    <s v="Vitamin C Face Serum"/>
    <x v="3"/>
    <n v="1"/>
    <n v="599"/>
    <n v="0.15"/>
    <n v="599"/>
    <n v="89.85"/>
    <n v="509.15"/>
    <n v="180"/>
    <n v="180"/>
    <n v="60"/>
    <n v="269.14999999999998"/>
    <n v="0.52862614160856325"/>
    <x v="0"/>
    <d v="2024-04-18T00:00:00"/>
    <n v="4"/>
    <x v="0"/>
    <n v="4"/>
    <n v="0"/>
  </r>
  <r>
    <s v="ORD-100491"/>
    <x v="103"/>
    <x v="0"/>
    <d v="2024-04-01T00:00:00"/>
    <n v="4"/>
    <s v="CUST-00553"/>
    <x v="0"/>
    <x v="21"/>
    <s v="TG"/>
    <x v="3"/>
    <s v="Hyderabad"/>
    <x v="4"/>
    <s v="P404"/>
    <s v="Flip Flops"/>
    <x v="5"/>
    <n v="1"/>
    <n v="399"/>
    <n v="0.05"/>
    <n v="399"/>
    <n v="19.950000000000003"/>
    <n v="379.05"/>
    <n v="152"/>
    <n v="152"/>
    <n v="60"/>
    <n v="167.05"/>
    <n v="0.44070703073473161"/>
    <x v="1"/>
    <d v="2024-04-17T00:00:00"/>
    <n v="3"/>
    <x v="0"/>
    <n v="4"/>
    <n v="0"/>
  </r>
  <r>
    <s v="ORD-100492"/>
    <x v="104"/>
    <x v="0"/>
    <d v="2024-04-01T00:00:00"/>
    <n v="4"/>
    <s v="CUST-02247"/>
    <x v="0"/>
    <x v="0"/>
    <s v="RJ"/>
    <x v="0"/>
    <s v="Jaipur"/>
    <x v="1"/>
    <s v="P301"/>
    <s v="Cotton Oversized T-Shirt"/>
    <x v="1"/>
    <n v="1"/>
    <n v="799"/>
    <n v="0.1"/>
    <n v="799"/>
    <n v="79.900000000000006"/>
    <n v="719.1"/>
    <n v="320"/>
    <n v="320"/>
    <n v="60"/>
    <n v="339.1"/>
    <n v="0.47156167431511614"/>
    <x v="3"/>
    <d v="2024-04-21T00:00:00"/>
    <n v="6"/>
    <x v="2"/>
    <m/>
    <n v="0"/>
  </r>
  <r>
    <s v="ORD-100493"/>
    <x v="104"/>
    <x v="0"/>
    <d v="2024-04-01T00:00:00"/>
    <n v="4"/>
    <s v="CUST-01585"/>
    <x v="1"/>
    <x v="17"/>
    <s v="TN"/>
    <x v="3"/>
    <s v="Coimbatore"/>
    <x v="2"/>
    <s v="P504"/>
    <s v="Cotton Bedsheet"/>
    <x v="4"/>
    <n v="1"/>
    <n v="1299"/>
    <n v="0.05"/>
    <n v="1299"/>
    <n v="64.95"/>
    <n v="1234.05"/>
    <n v="585"/>
    <n v="585"/>
    <n v="60"/>
    <n v="589.04999999999995"/>
    <n v="0.47733074024553296"/>
    <x v="0"/>
    <d v="2024-04-19T00:00:00"/>
    <n v="4"/>
    <x v="0"/>
    <n v="4"/>
    <n v="0"/>
  </r>
  <r>
    <s v="ORD-100494"/>
    <x v="105"/>
    <x v="0"/>
    <d v="2024-04-01T00:00:00"/>
    <n v="4"/>
    <s v="CUST-00228"/>
    <x v="0"/>
    <x v="6"/>
    <s v="DL"/>
    <x v="0"/>
    <s v="New Delhi"/>
    <x v="4"/>
    <s v="P202"/>
    <s v="Argan Shampoo"/>
    <x v="6"/>
    <n v="1"/>
    <n v="449"/>
    <n v="0.15"/>
    <n v="449"/>
    <n v="67.349999999999994"/>
    <n v="381.65"/>
    <n v="148"/>
    <n v="148"/>
    <n v="60"/>
    <n v="173.64999999999998"/>
    <n v="0.45499803484868334"/>
    <x v="0"/>
    <d v="2024-04-20T00:00:00"/>
    <n v="4"/>
    <x v="0"/>
    <m/>
    <n v="0"/>
  </r>
  <r>
    <s v="ORD-100495"/>
    <x v="105"/>
    <x v="0"/>
    <d v="2024-04-01T00:00:00"/>
    <n v="4"/>
    <s v="CUST-00589"/>
    <x v="0"/>
    <x v="2"/>
    <s v="MH"/>
    <x v="1"/>
    <s v="Pune"/>
    <x v="4"/>
    <s v="P502"/>
    <s v="Ceramic Dinner Set"/>
    <x v="4"/>
    <n v="2"/>
    <n v="2499"/>
    <n v="0.3"/>
    <n v="4998"/>
    <n v="1499.3999999999999"/>
    <n v="3498.6000000000004"/>
    <n v="1250"/>
    <n v="2500"/>
    <n v="120"/>
    <n v="878.60000000000036"/>
    <n v="0.25112902303778661"/>
    <x v="3"/>
    <d v="2024-04-18T00:00:00"/>
    <n v="2"/>
    <x v="1"/>
    <n v="4"/>
    <n v="1"/>
  </r>
  <r>
    <s v="ORD-100496"/>
    <x v="105"/>
    <x v="0"/>
    <d v="2024-04-01T00:00:00"/>
    <n v="4"/>
    <s v="CUST-00595"/>
    <x v="0"/>
    <x v="8"/>
    <s v="AP"/>
    <x v="3"/>
    <s v="Visakhapatnam"/>
    <x v="1"/>
    <s v="P401"/>
    <s v="Running Shoes"/>
    <x v="5"/>
    <n v="1"/>
    <n v="2999"/>
    <n v="0.2"/>
    <n v="2999"/>
    <n v="599.80000000000007"/>
    <n v="2399.1999999999998"/>
    <n v="1440"/>
    <n v="1440"/>
    <n v="60"/>
    <n v="899.19999999999982"/>
    <n v="0.3747915971990663"/>
    <x v="3"/>
    <d v="2024-04-18T00:00:00"/>
    <n v="2"/>
    <x v="1"/>
    <n v="5"/>
    <n v="0"/>
  </r>
  <r>
    <s v="ORD-100497"/>
    <x v="106"/>
    <x v="0"/>
    <d v="2024-04-01T00:00:00"/>
    <n v="4"/>
    <s v="CUST-00318"/>
    <x v="0"/>
    <x v="6"/>
    <s v="DL"/>
    <x v="0"/>
    <s v="New Delhi"/>
    <x v="4"/>
    <s v="P104"/>
    <s v="Hydrating Face Wash"/>
    <x v="3"/>
    <n v="1"/>
    <n v="299"/>
    <n v="0.1"/>
    <n v="299"/>
    <n v="29.900000000000002"/>
    <n v="269.10000000000002"/>
    <n v="90"/>
    <n v="90"/>
    <n v="60"/>
    <n v="119.10000000000002"/>
    <n v="0.4425863991081383"/>
    <x v="0"/>
    <d v="2024-04-19T00:00:00"/>
    <n v="2"/>
    <x v="1"/>
    <n v="4"/>
    <n v="0"/>
  </r>
  <r>
    <s v="ORD-100498"/>
    <x v="106"/>
    <x v="0"/>
    <d v="2024-04-01T00:00:00"/>
    <n v="4"/>
    <s v="CUST-00199"/>
    <x v="0"/>
    <x v="12"/>
    <s v="BR"/>
    <x v="2"/>
    <s v="Patna"/>
    <x v="3"/>
    <s v="P104"/>
    <s v="Hydrating Face Wash"/>
    <x v="3"/>
    <n v="1"/>
    <n v="299"/>
    <n v="0"/>
    <n v="299"/>
    <n v="0"/>
    <n v="299"/>
    <n v="90"/>
    <n v="90"/>
    <n v="60"/>
    <n v="149"/>
    <n v="0.49832775919732442"/>
    <x v="0"/>
    <d v="2024-04-21T00:00:00"/>
    <n v="4"/>
    <x v="0"/>
    <m/>
    <n v="0"/>
  </r>
  <r>
    <s v="ORD-100499"/>
    <x v="106"/>
    <x v="0"/>
    <d v="2024-04-01T00:00:00"/>
    <n v="4"/>
    <s v="CUST-00973"/>
    <x v="0"/>
    <x v="2"/>
    <s v="MH"/>
    <x v="1"/>
    <s v="Mumbai"/>
    <x v="1"/>
    <s v="P402"/>
    <s v="Casual Sneakers"/>
    <x v="5"/>
    <n v="1"/>
    <n v="2199"/>
    <n v="0.2"/>
    <n v="2199"/>
    <n v="439.8"/>
    <n v="1759.2"/>
    <n v="1034"/>
    <n v="1034"/>
    <n v="60"/>
    <n v="665.2"/>
    <n v="0.37812642110050027"/>
    <x v="0"/>
    <d v="2024-04-18T00:00:00"/>
    <n v="1"/>
    <x v="1"/>
    <n v="4"/>
    <n v="0"/>
  </r>
  <r>
    <s v="ORD-100500"/>
    <x v="106"/>
    <x v="0"/>
    <d v="2024-04-01T00:00:00"/>
    <n v="4"/>
    <s v="CUST-00840"/>
    <x v="1"/>
    <x v="2"/>
    <s v="MH"/>
    <x v="1"/>
    <s v="Pune"/>
    <x v="1"/>
    <s v="P404"/>
    <s v="Flip Flops"/>
    <x v="5"/>
    <n v="1"/>
    <n v="399"/>
    <n v="0.15"/>
    <n v="399"/>
    <n v="59.849999999999994"/>
    <n v="339.15"/>
    <n v="152"/>
    <n v="152"/>
    <n v="60"/>
    <n v="127.14999999999998"/>
    <n v="0.37490785787999409"/>
    <x v="0"/>
    <d v="2024-04-18T00:00:00"/>
    <n v="1"/>
    <x v="1"/>
    <n v="5"/>
    <n v="0"/>
  </r>
  <r>
    <s v="ORD-100501"/>
    <x v="106"/>
    <x v="0"/>
    <d v="2024-04-01T00:00:00"/>
    <n v="4"/>
    <s v="CUST-00468"/>
    <x v="0"/>
    <x v="2"/>
    <s v="MH"/>
    <x v="1"/>
    <s v="Pune"/>
    <x v="3"/>
    <s v="P204"/>
    <s v="Anti-Dandruff Conditioner"/>
    <x v="6"/>
    <n v="1"/>
    <n v="399"/>
    <n v="0.4"/>
    <n v="399"/>
    <n v="159.60000000000002"/>
    <n v="239.39999999999998"/>
    <n v="136"/>
    <n v="136"/>
    <n v="60"/>
    <n v="43.399999999999977"/>
    <n v="0.18128654970760227"/>
    <x v="0"/>
    <d v="2024-04-20T00:00:00"/>
    <n v="3"/>
    <x v="0"/>
    <n v="4"/>
    <n v="0"/>
  </r>
  <r>
    <s v="ORD-100502"/>
    <x v="106"/>
    <x v="0"/>
    <d v="2024-04-01T00:00:00"/>
    <n v="4"/>
    <s v="CUST-00689"/>
    <x v="1"/>
    <x v="2"/>
    <s v="MH"/>
    <x v="1"/>
    <s v="Nagpur"/>
    <x v="0"/>
    <s v="P404"/>
    <s v="Flip Flops"/>
    <x v="5"/>
    <n v="2"/>
    <n v="399"/>
    <n v="0.1"/>
    <n v="798"/>
    <n v="79.800000000000011"/>
    <n v="718.2"/>
    <n v="152"/>
    <n v="304"/>
    <n v="120"/>
    <n v="294.20000000000005"/>
    <n v="0.40963519910888335"/>
    <x v="3"/>
    <d v="2024-04-21T00:00:00"/>
    <n v="4"/>
    <x v="0"/>
    <n v="5"/>
    <n v="1"/>
  </r>
  <r>
    <s v="ORD-100503"/>
    <x v="107"/>
    <x v="0"/>
    <d v="2024-04-01T00:00:00"/>
    <n v="4"/>
    <s v="CUST-00802"/>
    <x v="1"/>
    <x v="19"/>
    <s v="PB"/>
    <x v="0"/>
    <s v="Amritsar"/>
    <x v="3"/>
    <s v="P103"/>
    <s v="Niacinamide Toner"/>
    <x v="3"/>
    <n v="2"/>
    <n v="399"/>
    <n v="0.2"/>
    <n v="798"/>
    <n v="159.60000000000002"/>
    <n v="638.4"/>
    <n v="112"/>
    <n v="224"/>
    <n v="60"/>
    <n v="354.4"/>
    <n v="0.55513784461152882"/>
    <x v="0"/>
    <d v="2024-04-20T00:00:00"/>
    <n v="2"/>
    <x v="1"/>
    <n v="5"/>
    <n v="0"/>
  </r>
  <r>
    <s v="ORD-100504"/>
    <x v="107"/>
    <x v="0"/>
    <d v="2024-04-01T00:00:00"/>
    <n v="4"/>
    <s v="CUST-01129"/>
    <x v="0"/>
    <x v="13"/>
    <s v="MP"/>
    <x v="1"/>
    <s v="Bhopal"/>
    <x v="4"/>
    <s v="P404"/>
    <s v="Flip Flops"/>
    <x v="5"/>
    <n v="1"/>
    <n v="399"/>
    <n v="0.1"/>
    <n v="399"/>
    <n v="39.900000000000006"/>
    <n v="359.1"/>
    <n v="152"/>
    <n v="152"/>
    <n v="60"/>
    <n v="147.10000000000002"/>
    <n v="0.40963519910888335"/>
    <x v="3"/>
    <d v="2024-04-22T00:00:00"/>
    <n v="4"/>
    <x v="0"/>
    <n v="5"/>
    <n v="0"/>
  </r>
  <r>
    <s v="ORD-100505"/>
    <x v="107"/>
    <x v="0"/>
    <d v="2024-04-01T00:00:00"/>
    <n v="4"/>
    <s v="CUST-03088"/>
    <x v="0"/>
    <x v="8"/>
    <s v="AP"/>
    <x v="3"/>
    <s v="Visakhapatnam"/>
    <x v="0"/>
    <s v="P701"/>
    <s v="Ashwagandha Capsules"/>
    <x v="0"/>
    <n v="4"/>
    <n v="499"/>
    <n v="0.1"/>
    <n v="1996"/>
    <n v="199.60000000000002"/>
    <n v="1796.4"/>
    <n v="150"/>
    <n v="600"/>
    <n v="60"/>
    <n v="1136.4000000000001"/>
    <n v="0.63259853039412162"/>
    <x v="2"/>
    <d v="2024-04-20T00:00:00"/>
    <n v="2"/>
    <x v="1"/>
    <m/>
    <n v="0"/>
  </r>
  <r>
    <s v="ORD-100506"/>
    <x v="107"/>
    <x v="0"/>
    <d v="2024-04-01T00:00:00"/>
    <n v="4"/>
    <s v="CUST-00535"/>
    <x v="0"/>
    <x v="14"/>
    <s v="KL"/>
    <x v="3"/>
    <s v="Kochi"/>
    <x v="2"/>
    <s v="P201"/>
    <s v="Onion Hair Oil"/>
    <x v="6"/>
    <n v="1"/>
    <n v="349"/>
    <n v="0.25"/>
    <n v="349"/>
    <n v="87.25"/>
    <n v="261.75"/>
    <n v="105"/>
    <n v="105"/>
    <n v="60"/>
    <n v="96.75"/>
    <n v="0.36962750716332377"/>
    <x v="3"/>
    <d v="2024-04-24T00:00:00"/>
    <n v="6"/>
    <x v="2"/>
    <n v="4"/>
    <n v="0"/>
  </r>
  <r>
    <s v="ORD-100507"/>
    <x v="107"/>
    <x v="0"/>
    <d v="2024-04-01T00:00:00"/>
    <n v="4"/>
    <s v="CUST-00482"/>
    <x v="1"/>
    <x v="17"/>
    <s v="TN"/>
    <x v="3"/>
    <s v="Coimbatore"/>
    <x v="1"/>
    <s v="P304"/>
    <s v="Denim Jacket"/>
    <x v="1"/>
    <n v="1"/>
    <n v="2499"/>
    <n v="0"/>
    <n v="2499"/>
    <n v="0"/>
    <n v="2499"/>
    <n v="1125"/>
    <n v="1125"/>
    <n v="60"/>
    <n v="1314"/>
    <n v="0.5258103241296519"/>
    <x v="1"/>
    <d v="2024-04-21T00:00:00"/>
    <n v="3"/>
    <x v="0"/>
    <n v="3"/>
    <n v="0"/>
  </r>
  <r>
    <s v="ORD-100508"/>
    <x v="108"/>
    <x v="0"/>
    <d v="2024-04-01T00:00:00"/>
    <n v="4"/>
    <s v="CUST-01071"/>
    <x v="0"/>
    <x v="5"/>
    <s v="HP"/>
    <x v="0"/>
    <s v="Shimla"/>
    <x v="0"/>
    <s v="P404"/>
    <s v="Flip Flops"/>
    <x v="5"/>
    <n v="1"/>
    <n v="399"/>
    <n v="0.1"/>
    <n v="399"/>
    <n v="39.900000000000006"/>
    <n v="359.1"/>
    <n v="152"/>
    <n v="152"/>
    <n v="120"/>
    <n v="87.100000000000023"/>
    <n v="0.24255082149818996"/>
    <x v="1"/>
    <d v="2024-04-23T00:00:00"/>
    <n v="4"/>
    <x v="0"/>
    <n v="5"/>
    <n v="1"/>
  </r>
  <r>
    <s v="ORD-100509"/>
    <x v="108"/>
    <x v="0"/>
    <d v="2024-04-01T00:00:00"/>
    <n v="4"/>
    <s v="CUST-01158"/>
    <x v="0"/>
    <x v="0"/>
    <s v="RJ"/>
    <x v="0"/>
    <s v="Jaipur"/>
    <x v="0"/>
    <s v="P201"/>
    <s v="Onion Hair Oil"/>
    <x v="6"/>
    <n v="2"/>
    <n v="349"/>
    <n v="0.3"/>
    <n v="698"/>
    <n v="209.4"/>
    <n v="488.6"/>
    <n v="105"/>
    <n v="210"/>
    <n v="60"/>
    <n v="218.60000000000002"/>
    <n v="0.44740073679901765"/>
    <x v="0"/>
    <d v="2024-04-23T00:00:00"/>
    <n v="4"/>
    <x v="0"/>
    <m/>
    <n v="0"/>
  </r>
  <r>
    <s v="ORD-100510"/>
    <x v="108"/>
    <x v="0"/>
    <d v="2024-04-01T00:00:00"/>
    <n v="4"/>
    <s v="CUST-02837"/>
    <x v="0"/>
    <x v="15"/>
    <s v="HR"/>
    <x v="0"/>
    <s v="Faridabad"/>
    <x v="0"/>
    <s v="P503"/>
    <s v="Scented Candle Set"/>
    <x v="4"/>
    <n v="1"/>
    <n v="699"/>
    <n v="0.25"/>
    <n v="699"/>
    <n v="174.75"/>
    <n v="524.25"/>
    <n v="245"/>
    <n v="245"/>
    <n v="60"/>
    <n v="219.25"/>
    <n v="0.41821649976156416"/>
    <x v="4"/>
    <d v="2024-04-23T00:00:00"/>
    <n v="4"/>
    <x v="0"/>
    <m/>
    <n v="0"/>
  </r>
  <r>
    <s v="ORD-100511"/>
    <x v="108"/>
    <x v="0"/>
    <d v="2024-04-01T00:00:00"/>
    <n v="4"/>
    <s v="CUST-02664"/>
    <x v="0"/>
    <x v="1"/>
    <s v="GJ"/>
    <x v="1"/>
    <s v="Surat"/>
    <x v="0"/>
    <s v="P404"/>
    <s v="Flip Flops"/>
    <x v="5"/>
    <n v="1"/>
    <n v="399"/>
    <n v="0.15"/>
    <n v="399"/>
    <n v="59.849999999999994"/>
    <n v="339.15"/>
    <n v="152"/>
    <n v="152"/>
    <n v="60"/>
    <n v="127.14999999999998"/>
    <n v="0.37490785787999409"/>
    <x v="0"/>
    <d v="2024-04-22T00:00:00"/>
    <n v="3"/>
    <x v="0"/>
    <n v="4"/>
    <n v="0"/>
  </r>
  <r>
    <s v="ORD-100512"/>
    <x v="108"/>
    <x v="0"/>
    <d v="2024-04-01T00:00:00"/>
    <n v="4"/>
    <s v="CUST-01087"/>
    <x v="0"/>
    <x v="21"/>
    <s v="TG"/>
    <x v="3"/>
    <s v="Hyderabad"/>
    <x v="0"/>
    <s v="P401"/>
    <s v="Running Shoes"/>
    <x v="5"/>
    <n v="1"/>
    <n v="2999"/>
    <n v="0.2"/>
    <n v="2999"/>
    <n v="599.80000000000007"/>
    <n v="2399.1999999999998"/>
    <n v="1440"/>
    <n v="1440"/>
    <n v="120"/>
    <n v="839.19999999999982"/>
    <n v="0.34978326108702895"/>
    <x v="1"/>
    <d v="2024-04-22T00:00:00"/>
    <n v="3"/>
    <x v="0"/>
    <n v="4"/>
    <n v="1"/>
  </r>
  <r>
    <s v="ORD-100513"/>
    <x v="108"/>
    <x v="0"/>
    <d v="2024-04-01T00:00:00"/>
    <n v="4"/>
    <s v="CUST-01134"/>
    <x v="0"/>
    <x v="17"/>
    <s v="TN"/>
    <x v="3"/>
    <s v="Chennai"/>
    <x v="1"/>
    <s v="P301"/>
    <s v="Cotton Oversized T-Shirt"/>
    <x v="1"/>
    <n v="1"/>
    <n v="799"/>
    <n v="0"/>
    <n v="799"/>
    <n v="0"/>
    <n v="799"/>
    <n v="320"/>
    <n v="320"/>
    <n v="60"/>
    <n v="419"/>
    <n v="0.52440550688360454"/>
    <x v="0"/>
    <d v="2024-04-22T00:00:00"/>
    <n v="3"/>
    <x v="0"/>
    <n v="4"/>
    <n v="0"/>
  </r>
  <r>
    <s v="ORD-100514"/>
    <x v="109"/>
    <x v="0"/>
    <d v="2024-04-01T00:00:00"/>
    <n v="4"/>
    <s v="CUST-02577"/>
    <x v="0"/>
    <x v="1"/>
    <s v="GJ"/>
    <x v="1"/>
    <s v="Ahmedabad"/>
    <x v="4"/>
    <s v="P101"/>
    <s v="Vitamin C Face Serum"/>
    <x v="3"/>
    <n v="1"/>
    <n v="599"/>
    <n v="0.15"/>
    <n v="599"/>
    <n v="89.85"/>
    <n v="509.15"/>
    <n v="180"/>
    <n v="180"/>
    <n v="60"/>
    <n v="269.14999999999998"/>
    <n v="0.52862614160856325"/>
    <x v="0"/>
    <d v="2024-04-24T00:00:00"/>
    <n v="4"/>
    <x v="0"/>
    <n v="3"/>
    <n v="0"/>
  </r>
  <r>
    <s v="ORD-100515"/>
    <x v="109"/>
    <x v="0"/>
    <d v="2024-04-01T00:00:00"/>
    <n v="4"/>
    <s v="CUST-03124"/>
    <x v="0"/>
    <x v="10"/>
    <s v="CG"/>
    <x v="2"/>
    <s v="Raipur"/>
    <x v="2"/>
    <s v="P503"/>
    <s v="Scented Candle Set"/>
    <x v="4"/>
    <n v="1"/>
    <n v="699"/>
    <n v="0.2"/>
    <n v="699"/>
    <n v="139.80000000000001"/>
    <n v="559.20000000000005"/>
    <n v="245"/>
    <n v="245"/>
    <n v="60"/>
    <n v="254.20000000000005"/>
    <n v="0.45457796852646642"/>
    <x v="0"/>
    <d v="2024-04-26T00:00:00"/>
    <n v="6"/>
    <x v="2"/>
    <n v="5"/>
    <n v="0"/>
  </r>
  <r>
    <s v="ORD-100516"/>
    <x v="109"/>
    <x v="0"/>
    <d v="2024-04-01T00:00:00"/>
    <n v="4"/>
    <s v="CUST-00964"/>
    <x v="0"/>
    <x v="10"/>
    <s v="CG"/>
    <x v="2"/>
    <s v="Raipur"/>
    <x v="1"/>
    <s v="P305"/>
    <s v="Printed Saree"/>
    <x v="1"/>
    <n v="1"/>
    <n v="1999"/>
    <n v="0.05"/>
    <n v="1999"/>
    <n v="99.95"/>
    <n v="1899.05"/>
    <n v="880"/>
    <n v="880"/>
    <n v="60"/>
    <n v="959.05"/>
    <n v="0.50501566572760059"/>
    <x v="4"/>
    <d v="2024-04-24T00:00:00"/>
    <n v="4"/>
    <x v="0"/>
    <m/>
    <n v="0"/>
  </r>
  <r>
    <s v="ORD-100517"/>
    <x v="109"/>
    <x v="0"/>
    <d v="2024-04-01T00:00:00"/>
    <n v="4"/>
    <s v="CUST-00191"/>
    <x v="0"/>
    <x v="2"/>
    <s v="MH"/>
    <x v="1"/>
    <s v="Nagpur"/>
    <x v="0"/>
    <s v="P103"/>
    <s v="Niacinamide Toner"/>
    <x v="3"/>
    <n v="1"/>
    <n v="399"/>
    <n v="0.25"/>
    <n v="399"/>
    <n v="99.75"/>
    <n v="299.25"/>
    <n v="112"/>
    <n v="112"/>
    <n v="60"/>
    <n v="127.25"/>
    <n v="0.42522974101921468"/>
    <x v="3"/>
    <d v="2024-04-23T00:00:00"/>
    <n v="3"/>
    <x v="0"/>
    <n v="4"/>
    <n v="0"/>
  </r>
  <r>
    <s v="ORD-100518"/>
    <x v="109"/>
    <x v="0"/>
    <d v="2024-04-01T00:00:00"/>
    <n v="4"/>
    <s v="CUST-00921"/>
    <x v="0"/>
    <x v="20"/>
    <s v="GA"/>
    <x v="1"/>
    <s v="Panaji"/>
    <x v="1"/>
    <s v="P303"/>
    <s v="Joggers"/>
    <x v="1"/>
    <n v="2"/>
    <n v="1199"/>
    <n v="0.05"/>
    <n v="2398"/>
    <n v="119.9"/>
    <n v="2278.1"/>
    <n v="492"/>
    <n v="984"/>
    <n v="60"/>
    <n v="1234.0999999999999"/>
    <n v="0.54172336596286375"/>
    <x v="0"/>
    <d v="2024-04-22T00:00:00"/>
    <n v="2"/>
    <x v="1"/>
    <m/>
    <n v="0"/>
  </r>
  <r>
    <s v="ORD-100519"/>
    <x v="109"/>
    <x v="0"/>
    <d v="2024-04-01T00:00:00"/>
    <n v="4"/>
    <s v="CUST-00432"/>
    <x v="0"/>
    <x v="11"/>
    <s v="KA"/>
    <x v="3"/>
    <s v="Bengaluru"/>
    <x v="1"/>
    <s v="P303"/>
    <s v="Joggers"/>
    <x v="1"/>
    <n v="1"/>
    <n v="1199"/>
    <n v="0.2"/>
    <n v="1199"/>
    <n v="239.8"/>
    <n v="959.2"/>
    <n v="492"/>
    <n v="492"/>
    <n v="60"/>
    <n v="407.20000000000005"/>
    <n v="0.42452043369474562"/>
    <x v="3"/>
    <d v="2024-04-21T00:00:00"/>
    <n v="1"/>
    <x v="1"/>
    <n v="5"/>
    <n v="0"/>
  </r>
  <r>
    <s v="ORD-100520"/>
    <x v="109"/>
    <x v="0"/>
    <d v="2024-04-01T00:00:00"/>
    <n v="4"/>
    <s v="CUST-00256"/>
    <x v="0"/>
    <x v="14"/>
    <s v="KL"/>
    <x v="3"/>
    <s v="Kochi"/>
    <x v="1"/>
    <s v="P403"/>
    <s v="Kolhapuri Sandals"/>
    <x v="5"/>
    <n v="1"/>
    <n v="999"/>
    <n v="0.05"/>
    <n v="999"/>
    <n v="49.95"/>
    <n v="949.05"/>
    <n v="400"/>
    <n v="400"/>
    <n v="60"/>
    <n v="489.04999999999995"/>
    <n v="0.5153047784626732"/>
    <x v="3"/>
    <d v="2024-04-24T00:00:00"/>
    <n v="4"/>
    <x v="0"/>
    <n v="5"/>
    <n v="0"/>
  </r>
  <r>
    <s v="ORD-100521"/>
    <x v="110"/>
    <x v="0"/>
    <d v="2024-04-01T00:00:00"/>
    <n v="4"/>
    <s v="CUST-01924"/>
    <x v="0"/>
    <x v="15"/>
    <s v="HR"/>
    <x v="0"/>
    <s v="Gurugram"/>
    <x v="1"/>
    <s v="P303"/>
    <s v="Joggers"/>
    <x v="1"/>
    <n v="1"/>
    <n v="1199"/>
    <n v="0.1"/>
    <n v="1199"/>
    <n v="119.9"/>
    <n v="1079.0999999999999"/>
    <n v="492"/>
    <n v="492"/>
    <n v="60"/>
    <n v="527.09999999999991"/>
    <n v="0.48846260772866273"/>
    <x v="3"/>
    <d v="2024-04-23T00:00:00"/>
    <n v="2"/>
    <x v="1"/>
    <n v="4"/>
    <n v="0"/>
  </r>
  <r>
    <s v="ORD-100522"/>
    <x v="110"/>
    <x v="0"/>
    <d v="2024-04-01T00:00:00"/>
    <n v="4"/>
    <s v="CUST-01119"/>
    <x v="0"/>
    <x v="10"/>
    <s v="CG"/>
    <x v="2"/>
    <s v="Raipur"/>
    <x v="1"/>
    <s v="P404"/>
    <s v="Flip Flops"/>
    <x v="5"/>
    <n v="3"/>
    <n v="399"/>
    <n v="0.1"/>
    <n v="1197"/>
    <n v="119.7"/>
    <n v="1077.3"/>
    <n v="152"/>
    <n v="456"/>
    <n v="60"/>
    <n v="561.29999999999995"/>
    <n v="0.52102478418267895"/>
    <x v="0"/>
    <d v="2024-04-25T00:00:00"/>
    <n v="4"/>
    <x v="0"/>
    <n v="4"/>
    <n v="0"/>
  </r>
  <r>
    <s v="ORD-100523"/>
    <x v="110"/>
    <x v="0"/>
    <d v="2024-04-01T00:00:00"/>
    <n v="4"/>
    <s v="CUST-00163"/>
    <x v="0"/>
    <x v="18"/>
    <s v="WB"/>
    <x v="2"/>
    <s v="Kolkata"/>
    <x v="2"/>
    <s v="P303"/>
    <s v="Joggers"/>
    <x v="1"/>
    <n v="1"/>
    <n v="1199"/>
    <n v="0.05"/>
    <n v="1199"/>
    <n v="59.95"/>
    <n v="1139.05"/>
    <n v="492"/>
    <n v="492"/>
    <n v="60"/>
    <n v="587.04999999999995"/>
    <n v="0.51538562837452262"/>
    <x v="0"/>
    <d v="2024-04-24T00:00:00"/>
    <n v="3"/>
    <x v="0"/>
    <n v="4"/>
    <n v="0"/>
  </r>
  <r>
    <s v="ORD-100524"/>
    <x v="110"/>
    <x v="0"/>
    <d v="2024-04-01T00:00:00"/>
    <n v="4"/>
    <s v="CUST-00070"/>
    <x v="0"/>
    <x v="11"/>
    <s v="KA"/>
    <x v="3"/>
    <s v="Bengaluru"/>
    <x v="2"/>
    <s v="P404"/>
    <s v="Flip Flops"/>
    <x v="5"/>
    <n v="1"/>
    <n v="399"/>
    <n v="0"/>
    <n v="399"/>
    <n v="0"/>
    <n v="399"/>
    <n v="152"/>
    <n v="152"/>
    <n v="60"/>
    <n v="187"/>
    <n v="0.46867167919799496"/>
    <x v="3"/>
    <d v="2024-04-23T00:00:00"/>
    <n v="2"/>
    <x v="1"/>
    <n v="3"/>
    <n v="0"/>
  </r>
  <r>
    <s v="ORD-100525"/>
    <x v="110"/>
    <x v="0"/>
    <d v="2024-04-01T00:00:00"/>
    <n v="4"/>
    <s v="CUST-00333"/>
    <x v="0"/>
    <x v="8"/>
    <s v="AP"/>
    <x v="3"/>
    <s v="Visakhapatnam"/>
    <x v="2"/>
    <s v="P703"/>
    <s v="Green Tea (100 bags)"/>
    <x v="0"/>
    <n v="1"/>
    <n v="399"/>
    <n v="0.3"/>
    <n v="399"/>
    <n v="119.69999999999999"/>
    <n v="279.3"/>
    <n v="128"/>
    <n v="128"/>
    <n v="60"/>
    <n v="91.300000000000011"/>
    <n v="0.32688865019692093"/>
    <x v="0"/>
    <d v="2024-04-25T00:00:00"/>
    <n v="4"/>
    <x v="0"/>
    <n v="2"/>
    <n v="0"/>
  </r>
  <r>
    <s v="ORD-100526"/>
    <x v="111"/>
    <x v="0"/>
    <d v="2024-04-01T00:00:00"/>
    <n v="4"/>
    <s v="CUST-02736"/>
    <x v="0"/>
    <x v="0"/>
    <s v="RJ"/>
    <x v="0"/>
    <s v="Jaipur"/>
    <x v="3"/>
    <s v="P104"/>
    <s v="Hydrating Face Wash"/>
    <x v="3"/>
    <n v="1"/>
    <n v="299"/>
    <n v="0"/>
    <n v="299"/>
    <n v="0"/>
    <n v="299"/>
    <n v="90"/>
    <n v="90"/>
    <n v="60"/>
    <n v="149"/>
    <n v="0.49832775919732442"/>
    <x v="0"/>
    <d v="2024-04-25T00:00:00"/>
    <n v="3"/>
    <x v="0"/>
    <n v="4"/>
    <n v="0"/>
  </r>
  <r>
    <s v="ORD-100527"/>
    <x v="111"/>
    <x v="0"/>
    <d v="2024-04-01T00:00:00"/>
    <n v="4"/>
    <s v="CUST-01023"/>
    <x v="0"/>
    <x v="6"/>
    <s v="DL"/>
    <x v="0"/>
    <s v="New Delhi"/>
    <x v="3"/>
    <s v="P202"/>
    <s v="Argan Shampoo"/>
    <x v="6"/>
    <n v="1"/>
    <n v="449"/>
    <n v="0"/>
    <n v="449"/>
    <n v="0"/>
    <n v="449"/>
    <n v="148"/>
    <n v="148"/>
    <n v="60"/>
    <n v="241"/>
    <n v="0.53674832962138086"/>
    <x v="0"/>
    <d v="2024-04-25T00:00:00"/>
    <n v="3"/>
    <x v="0"/>
    <n v="4"/>
    <n v="0"/>
  </r>
  <r>
    <s v="ORD-100528"/>
    <x v="111"/>
    <x v="0"/>
    <d v="2024-04-01T00:00:00"/>
    <n v="4"/>
    <s v="CUST-02162"/>
    <x v="0"/>
    <x v="16"/>
    <s v="UP"/>
    <x v="0"/>
    <s v="Noida"/>
    <x v="4"/>
    <s v="P203"/>
    <s v="Keratin Hair Mask"/>
    <x v="6"/>
    <n v="1"/>
    <n v="549"/>
    <n v="0.25"/>
    <n v="549"/>
    <n v="137.25"/>
    <n v="411.75"/>
    <n v="170"/>
    <n v="170"/>
    <n v="60"/>
    <n v="181.75"/>
    <n v="0.44140862173649059"/>
    <x v="0"/>
    <d v="2024-04-25T00:00:00"/>
    <n v="3"/>
    <x v="0"/>
    <n v="4"/>
    <n v="0"/>
  </r>
  <r>
    <s v="ORD-100529"/>
    <x v="111"/>
    <x v="0"/>
    <d v="2024-04-01T00:00:00"/>
    <n v="4"/>
    <s v="CUST-01825"/>
    <x v="0"/>
    <x v="22"/>
    <s v="AS"/>
    <x v="2"/>
    <s v="Guwahati"/>
    <x v="1"/>
    <s v="P301"/>
    <s v="Cotton Oversized T-Shirt"/>
    <x v="1"/>
    <n v="1"/>
    <n v="799"/>
    <n v="0.05"/>
    <n v="799"/>
    <n v="39.950000000000003"/>
    <n v="759.05"/>
    <n v="320"/>
    <n v="320"/>
    <n v="60"/>
    <n v="379.04999999999995"/>
    <n v="0.49937421777221525"/>
    <x v="1"/>
    <d v="2024-04-27T00:00:00"/>
    <n v="5"/>
    <x v="2"/>
    <n v="4"/>
    <n v="0"/>
  </r>
  <r>
    <s v="ORD-100530"/>
    <x v="111"/>
    <x v="0"/>
    <d v="2024-04-01T00:00:00"/>
    <n v="4"/>
    <s v="CUST-01778"/>
    <x v="0"/>
    <x v="2"/>
    <s v="MH"/>
    <x v="1"/>
    <s v="Pune"/>
    <x v="3"/>
    <s v="P201"/>
    <s v="Onion Hair Oil"/>
    <x v="6"/>
    <n v="1"/>
    <n v="349"/>
    <n v="0.3"/>
    <n v="349"/>
    <n v="104.7"/>
    <n v="244.3"/>
    <n v="105"/>
    <n v="105"/>
    <n v="60"/>
    <n v="79.300000000000011"/>
    <n v="0.32460090053213264"/>
    <x v="0"/>
    <d v="2024-04-24T00:00:00"/>
    <n v="2"/>
    <x v="1"/>
    <n v="4"/>
    <n v="0"/>
  </r>
  <r>
    <s v="ORD-100531"/>
    <x v="111"/>
    <x v="0"/>
    <d v="2024-04-01T00:00:00"/>
    <n v="4"/>
    <s v="CUST-02563"/>
    <x v="0"/>
    <x v="2"/>
    <s v="MH"/>
    <x v="1"/>
    <s v="Nagpur"/>
    <x v="0"/>
    <s v="P403"/>
    <s v="Kolhapuri Sandals"/>
    <x v="5"/>
    <n v="1"/>
    <n v="999"/>
    <n v="0.1"/>
    <n v="999"/>
    <n v="99.9"/>
    <n v="899.1"/>
    <n v="400"/>
    <n v="400"/>
    <n v="60"/>
    <n v="439.1"/>
    <n v="0.48837726615504395"/>
    <x v="2"/>
    <d v="2024-04-23T00:00:00"/>
    <n v="1"/>
    <x v="1"/>
    <n v="5"/>
    <n v="0"/>
  </r>
  <r>
    <s v="ORD-100532"/>
    <x v="111"/>
    <x v="0"/>
    <d v="2024-04-01T00:00:00"/>
    <n v="4"/>
    <s v="CUST-00847"/>
    <x v="1"/>
    <x v="2"/>
    <s v="MH"/>
    <x v="1"/>
    <s v="Mumbai"/>
    <x v="0"/>
    <s v="P203"/>
    <s v="Keratin Hair Mask"/>
    <x v="6"/>
    <n v="1"/>
    <n v="549"/>
    <n v="0.2"/>
    <n v="549"/>
    <n v="109.80000000000001"/>
    <n v="439.2"/>
    <n v="170"/>
    <n v="170"/>
    <n v="120"/>
    <n v="149.19999999999999"/>
    <n v="0.33970856102003644"/>
    <x v="3"/>
    <d v="2024-04-25T00:00:00"/>
    <n v="3"/>
    <x v="0"/>
    <n v="4"/>
    <n v="1"/>
  </r>
  <r>
    <s v="ORD-100533"/>
    <x v="111"/>
    <x v="0"/>
    <d v="2024-04-01T00:00:00"/>
    <n v="4"/>
    <s v="CUST-00013"/>
    <x v="0"/>
    <x v="8"/>
    <s v="AP"/>
    <x v="3"/>
    <s v="Visakhapatnam"/>
    <x v="4"/>
    <s v="P403"/>
    <s v="Kolhapuri Sandals"/>
    <x v="5"/>
    <n v="1"/>
    <n v="999"/>
    <n v="0.15"/>
    <n v="999"/>
    <n v="149.85"/>
    <n v="849.15"/>
    <n v="400"/>
    <n v="400"/>
    <n v="60"/>
    <n v="389.15"/>
    <n v="0.45828181122298767"/>
    <x v="3"/>
    <d v="2024-04-26T00:00:00"/>
    <n v="4"/>
    <x v="0"/>
    <n v="3"/>
    <n v="0"/>
  </r>
  <r>
    <s v="ORD-100534"/>
    <x v="112"/>
    <x v="0"/>
    <d v="2024-04-01T00:00:00"/>
    <n v="4"/>
    <s v="CUST-01434"/>
    <x v="0"/>
    <x v="15"/>
    <s v="HR"/>
    <x v="0"/>
    <s v="Faridabad"/>
    <x v="1"/>
    <s v="P403"/>
    <s v="Kolhapuri Sandals"/>
    <x v="5"/>
    <n v="1"/>
    <n v="999"/>
    <n v="0.05"/>
    <n v="999"/>
    <n v="49.95"/>
    <n v="949.05"/>
    <n v="400"/>
    <n v="400"/>
    <n v="60"/>
    <n v="489.04999999999995"/>
    <n v="0.5153047784626732"/>
    <x v="0"/>
    <d v="2024-04-25T00:00:00"/>
    <n v="2"/>
    <x v="1"/>
    <n v="5"/>
    <n v="0"/>
  </r>
  <r>
    <s v="ORD-100535"/>
    <x v="112"/>
    <x v="0"/>
    <d v="2024-04-01T00:00:00"/>
    <n v="4"/>
    <s v="CUST-01226"/>
    <x v="0"/>
    <x v="16"/>
    <s v="UP"/>
    <x v="0"/>
    <s v="Lucknow"/>
    <x v="1"/>
    <s v="P403"/>
    <s v="Kolhapuri Sandals"/>
    <x v="5"/>
    <n v="1"/>
    <n v="999"/>
    <n v="0.15"/>
    <n v="999"/>
    <n v="149.85"/>
    <n v="849.15"/>
    <n v="400"/>
    <n v="400"/>
    <n v="60"/>
    <n v="389.15"/>
    <n v="0.45828181122298767"/>
    <x v="3"/>
    <d v="2024-04-28T00:00:00"/>
    <n v="5"/>
    <x v="2"/>
    <n v="3"/>
    <n v="0"/>
  </r>
  <r>
    <s v="ORD-100536"/>
    <x v="112"/>
    <x v="0"/>
    <d v="2024-04-01T00:00:00"/>
    <n v="4"/>
    <s v="CUST-00619"/>
    <x v="0"/>
    <x v="20"/>
    <s v="GA"/>
    <x v="1"/>
    <s v="Panaji"/>
    <x v="0"/>
    <s v="P703"/>
    <s v="Green Tea (100 bags)"/>
    <x v="0"/>
    <n v="1"/>
    <n v="399"/>
    <n v="0.45"/>
    <n v="399"/>
    <n v="179.55"/>
    <n v="219.45"/>
    <n v="128"/>
    <n v="128"/>
    <n v="120"/>
    <n v="-28.550000000000011"/>
    <n v="-0.13009797220323541"/>
    <x v="1"/>
    <d v="2024-04-26T00:00:00"/>
    <n v="3"/>
    <x v="0"/>
    <m/>
    <n v="1"/>
  </r>
  <r>
    <s v="ORD-100537"/>
    <x v="112"/>
    <x v="0"/>
    <d v="2024-04-01T00:00:00"/>
    <n v="4"/>
    <s v="CUST-00851"/>
    <x v="0"/>
    <x v="8"/>
    <s v="AP"/>
    <x v="3"/>
    <s v="Vijayawada"/>
    <x v="4"/>
    <s v="P503"/>
    <s v="Scented Candle Set"/>
    <x v="4"/>
    <n v="2"/>
    <n v="699"/>
    <n v="0.2"/>
    <n v="1398"/>
    <n v="279.60000000000002"/>
    <n v="1118.4000000000001"/>
    <n v="245"/>
    <n v="490"/>
    <n v="60"/>
    <n v="568.40000000000009"/>
    <n v="0.50822603719599435"/>
    <x v="4"/>
    <d v="2024-04-26T00:00:00"/>
    <n v="3"/>
    <x v="0"/>
    <n v="4"/>
    <n v="0"/>
  </r>
  <r>
    <s v="ORD-100538"/>
    <x v="112"/>
    <x v="0"/>
    <d v="2024-04-01T00:00:00"/>
    <n v="4"/>
    <s v="CUST-00985"/>
    <x v="1"/>
    <x v="17"/>
    <s v="TN"/>
    <x v="3"/>
    <s v="Chennai"/>
    <x v="4"/>
    <s v="P703"/>
    <s v="Green Tea (100 bags)"/>
    <x v="0"/>
    <n v="2"/>
    <n v="399"/>
    <n v="0.4"/>
    <n v="798"/>
    <n v="319.20000000000005"/>
    <n v="478.79999999999995"/>
    <n v="128"/>
    <n v="256"/>
    <n v="60"/>
    <n v="162.79999999999995"/>
    <n v="0.34001670843776099"/>
    <x v="0"/>
    <d v="2024-04-27T00:00:00"/>
    <n v="4"/>
    <x v="0"/>
    <n v="3"/>
    <n v="0"/>
  </r>
  <r>
    <s v="ORD-100539"/>
    <x v="112"/>
    <x v="0"/>
    <d v="2024-04-01T00:00:00"/>
    <n v="4"/>
    <s v="CUST-03162"/>
    <x v="0"/>
    <x v="17"/>
    <s v="TN"/>
    <x v="3"/>
    <s v="Chennai"/>
    <x v="0"/>
    <s v="P204"/>
    <s v="Anti-Dandruff Conditioner"/>
    <x v="6"/>
    <n v="2"/>
    <n v="399"/>
    <n v="0.3"/>
    <n v="798"/>
    <n v="239.39999999999998"/>
    <n v="558.6"/>
    <n v="136"/>
    <n v="272"/>
    <n v="60"/>
    <n v="226.60000000000002"/>
    <n v="0.40565699964196206"/>
    <x v="2"/>
    <d v="2024-04-26T00:00:00"/>
    <n v="3"/>
    <x v="0"/>
    <n v="4"/>
    <n v="0"/>
  </r>
  <r>
    <s v="ORD-100540"/>
    <x v="113"/>
    <x v="0"/>
    <d v="2024-04-01T00:00:00"/>
    <n v="4"/>
    <s v="CUST-01127"/>
    <x v="0"/>
    <x v="0"/>
    <s v="RJ"/>
    <x v="0"/>
    <s v="Jaipur"/>
    <x v="3"/>
    <s v="P704"/>
    <s v="Multivitamin Gummies"/>
    <x v="0"/>
    <n v="2"/>
    <n v="699"/>
    <n v="0.25"/>
    <n v="1398"/>
    <n v="349.5"/>
    <n v="1048.5"/>
    <n v="238"/>
    <n v="476"/>
    <n v="60"/>
    <n v="512.5"/>
    <n v="0.48879351454458753"/>
    <x v="0"/>
    <d v="2024-04-27T00:00:00"/>
    <n v="3"/>
    <x v="0"/>
    <n v="5"/>
    <n v="0"/>
  </r>
  <r>
    <s v="ORD-100541"/>
    <x v="113"/>
    <x v="0"/>
    <d v="2024-04-01T00:00:00"/>
    <n v="4"/>
    <s v="CUST-02881"/>
    <x v="0"/>
    <x v="6"/>
    <s v="DL"/>
    <x v="0"/>
    <s v="New Delhi"/>
    <x v="3"/>
    <s v="P701"/>
    <s v="Ashwagandha Capsules"/>
    <x v="0"/>
    <n v="1"/>
    <n v="499"/>
    <n v="0"/>
    <n v="499"/>
    <n v="0"/>
    <n v="499"/>
    <n v="150"/>
    <n v="150"/>
    <n v="60"/>
    <n v="289"/>
    <n v="0.57915831663326656"/>
    <x v="1"/>
    <d v="2024-04-25T00:00:00"/>
    <n v="1"/>
    <x v="1"/>
    <m/>
    <n v="0"/>
  </r>
  <r>
    <s v="ORD-100542"/>
    <x v="113"/>
    <x v="0"/>
    <d v="2024-04-01T00:00:00"/>
    <n v="4"/>
    <s v="CUST-00565"/>
    <x v="0"/>
    <x v="6"/>
    <s v="DL"/>
    <x v="0"/>
    <s v="New Delhi"/>
    <x v="4"/>
    <s v="P704"/>
    <s v="Multivitamin Gummies"/>
    <x v="0"/>
    <n v="1"/>
    <n v="699"/>
    <n v="0.3"/>
    <n v="699"/>
    <n v="209.7"/>
    <n v="489.3"/>
    <n v="238"/>
    <n v="238"/>
    <n v="60"/>
    <n v="191.3"/>
    <n v="0.39096668710402616"/>
    <x v="2"/>
    <d v="2024-04-27T00:00:00"/>
    <n v="3"/>
    <x v="0"/>
    <n v="4"/>
    <n v="0"/>
  </r>
  <r>
    <s v="ORD-100543"/>
    <x v="113"/>
    <x v="0"/>
    <d v="2024-04-01T00:00:00"/>
    <n v="4"/>
    <s v="CUST-00900"/>
    <x v="0"/>
    <x v="1"/>
    <s v="GJ"/>
    <x v="1"/>
    <s v="Surat"/>
    <x v="4"/>
    <s v="P101"/>
    <s v="Vitamin C Face Serum"/>
    <x v="3"/>
    <n v="1"/>
    <n v="599"/>
    <n v="0.15"/>
    <n v="599"/>
    <n v="89.85"/>
    <n v="509.15"/>
    <n v="180"/>
    <n v="180"/>
    <n v="60"/>
    <n v="269.14999999999998"/>
    <n v="0.52862614160856325"/>
    <x v="3"/>
    <d v="2024-04-29T00:00:00"/>
    <n v="5"/>
    <x v="2"/>
    <m/>
    <n v="0"/>
  </r>
  <r>
    <s v="ORD-100544"/>
    <x v="113"/>
    <x v="0"/>
    <d v="2024-04-01T00:00:00"/>
    <n v="4"/>
    <s v="CUST-02030"/>
    <x v="0"/>
    <x v="8"/>
    <s v="AP"/>
    <x v="3"/>
    <s v="Visakhapatnam"/>
    <x v="4"/>
    <s v="P204"/>
    <s v="Anti-Dandruff Conditioner"/>
    <x v="6"/>
    <n v="2"/>
    <n v="399"/>
    <n v="0.3"/>
    <n v="798"/>
    <n v="239.39999999999998"/>
    <n v="558.6"/>
    <n v="136"/>
    <n v="272"/>
    <n v="60"/>
    <n v="226.60000000000002"/>
    <n v="0.40565699964196206"/>
    <x v="0"/>
    <d v="2024-04-26T00:00:00"/>
    <n v="2"/>
    <x v="1"/>
    <n v="4"/>
    <n v="0"/>
  </r>
  <r>
    <s v="ORD-100545"/>
    <x v="114"/>
    <x v="0"/>
    <d v="2024-04-01T00:00:00"/>
    <n v="4"/>
    <s v="CUST-00483"/>
    <x v="0"/>
    <x v="0"/>
    <s v="RJ"/>
    <x v="0"/>
    <s v="Udaipur"/>
    <x v="4"/>
    <s v="P603"/>
    <s v="Smartwatch Strap"/>
    <x v="2"/>
    <n v="3"/>
    <n v="499"/>
    <n v="0.05"/>
    <n v="1497"/>
    <n v="74.850000000000009"/>
    <n v="1422.15"/>
    <n v="200"/>
    <n v="600"/>
    <n v="60"/>
    <n v="762.15000000000009"/>
    <n v="0.53591393312941671"/>
    <x v="0"/>
    <d v="2024-04-28T00:00:00"/>
    <n v="3"/>
    <x v="0"/>
    <m/>
    <n v="0"/>
  </r>
  <r>
    <s v="ORD-100546"/>
    <x v="114"/>
    <x v="0"/>
    <d v="2024-04-01T00:00:00"/>
    <n v="4"/>
    <s v="CUST-00323"/>
    <x v="0"/>
    <x v="0"/>
    <s v="RJ"/>
    <x v="0"/>
    <s v="Udaipur"/>
    <x v="4"/>
    <s v="P603"/>
    <s v="Smartwatch Strap"/>
    <x v="2"/>
    <n v="1"/>
    <n v="499"/>
    <n v="0.1"/>
    <n v="499"/>
    <n v="49.900000000000006"/>
    <n v="449.1"/>
    <n v="200"/>
    <n v="200"/>
    <n v="60"/>
    <n v="189.10000000000002"/>
    <n v="0.42106435092407041"/>
    <x v="4"/>
    <d v="2024-04-29T00:00:00"/>
    <n v="4"/>
    <x v="0"/>
    <n v="3"/>
    <n v="0"/>
  </r>
  <r>
    <s v="ORD-100547"/>
    <x v="114"/>
    <x v="0"/>
    <d v="2024-04-01T00:00:00"/>
    <n v="4"/>
    <s v="CUST-01797"/>
    <x v="0"/>
    <x v="22"/>
    <s v="AS"/>
    <x v="2"/>
    <s v="Guwahati"/>
    <x v="3"/>
    <s v="P102"/>
    <s v="Sunscreen SPF 50"/>
    <x v="3"/>
    <n v="4"/>
    <n v="449"/>
    <n v="0.15"/>
    <n v="1796"/>
    <n v="269.39999999999998"/>
    <n v="1526.6"/>
    <n v="144"/>
    <n v="576"/>
    <n v="60"/>
    <n v="890.59999999999991"/>
    <n v="0.58338792086990698"/>
    <x v="3"/>
    <d v="2024-05-01T00:00:00"/>
    <n v="6"/>
    <x v="2"/>
    <m/>
    <n v="0"/>
  </r>
  <r>
    <s v="ORD-100548"/>
    <x v="114"/>
    <x v="0"/>
    <d v="2024-04-01T00:00:00"/>
    <n v="4"/>
    <s v="CUST-01154"/>
    <x v="0"/>
    <x v="2"/>
    <s v="MH"/>
    <x v="1"/>
    <s v="Pune"/>
    <x v="4"/>
    <s v="P601"/>
    <s v="Wireless Earbuds"/>
    <x v="2"/>
    <n v="1"/>
    <n v="1999"/>
    <n v="0.35"/>
    <n v="1999"/>
    <n v="699.65"/>
    <n v="1299.3499999999999"/>
    <n v="1239"/>
    <n v="1239"/>
    <n v="60"/>
    <n v="0.34999999999990905"/>
    <n v="2.6936545195667763E-4"/>
    <x v="0"/>
    <d v="2024-04-26T00:00:00"/>
    <n v="1"/>
    <x v="1"/>
    <m/>
    <n v="0"/>
  </r>
  <r>
    <s v="ORD-100549"/>
    <x v="114"/>
    <x v="0"/>
    <d v="2024-04-01T00:00:00"/>
    <n v="4"/>
    <s v="CUST-00668"/>
    <x v="0"/>
    <x v="3"/>
    <s v="OD"/>
    <x v="2"/>
    <s v="Bhubaneswar"/>
    <x v="1"/>
    <s v="P302"/>
    <s v="Linen Kurta"/>
    <x v="1"/>
    <n v="1"/>
    <n v="1499"/>
    <n v="0.25"/>
    <n v="1499"/>
    <n v="374.75"/>
    <n v="1124.25"/>
    <n v="630"/>
    <n v="630"/>
    <n v="60"/>
    <n v="434.25"/>
    <n v="0.38625750500333556"/>
    <x v="0"/>
    <d v="2024-04-28T00:00:00"/>
    <n v="3"/>
    <x v="0"/>
    <m/>
    <n v="0"/>
  </r>
  <r>
    <s v="ORD-100550"/>
    <x v="115"/>
    <x v="0"/>
    <d v="2024-04-01T00:00:00"/>
    <n v="4"/>
    <s v="CUST-00847"/>
    <x v="1"/>
    <x v="18"/>
    <s v="WB"/>
    <x v="2"/>
    <s v="Kolkata"/>
    <x v="3"/>
    <s v="P703"/>
    <s v="Green Tea (100 bags)"/>
    <x v="0"/>
    <n v="2"/>
    <n v="399"/>
    <n v="0.35"/>
    <n v="798"/>
    <n v="279.29999999999995"/>
    <n v="518.70000000000005"/>
    <n v="128"/>
    <n v="256"/>
    <n v="60"/>
    <n v="202.70000000000005"/>
    <n v="0.39078465394254874"/>
    <x v="4"/>
    <d v="2024-04-30T00:00:00"/>
    <n v="4"/>
    <x v="0"/>
    <m/>
    <n v="0"/>
  </r>
  <r>
    <s v="ORD-100551"/>
    <x v="115"/>
    <x v="0"/>
    <d v="2024-04-01T00:00:00"/>
    <n v="4"/>
    <s v="CUST-02443"/>
    <x v="0"/>
    <x v="2"/>
    <s v="MH"/>
    <x v="1"/>
    <s v="Nagpur"/>
    <x v="4"/>
    <s v="P601"/>
    <s v="Wireless Earbuds"/>
    <x v="2"/>
    <n v="3"/>
    <n v="1999"/>
    <n v="0.35"/>
    <n v="5997"/>
    <n v="2098.9499999999998"/>
    <n v="3898.05"/>
    <n v="1239"/>
    <n v="3717"/>
    <n v="60"/>
    <n v="121.05000000000018"/>
    <n v="3.1053988532727946E-2"/>
    <x v="3"/>
    <d v="2024-04-30T00:00:00"/>
    <n v="4"/>
    <x v="0"/>
    <n v="4"/>
    <n v="0"/>
  </r>
  <r>
    <s v="ORD-100552"/>
    <x v="115"/>
    <x v="0"/>
    <d v="2024-04-01T00:00:00"/>
    <n v="4"/>
    <s v="CUST-02562"/>
    <x v="0"/>
    <x v="21"/>
    <s v="TG"/>
    <x v="3"/>
    <s v="Hyderabad"/>
    <x v="0"/>
    <s v="P403"/>
    <s v="Kolhapuri Sandals"/>
    <x v="5"/>
    <n v="4"/>
    <n v="999"/>
    <n v="0.05"/>
    <n v="3996"/>
    <n v="199.8"/>
    <n v="3796.2"/>
    <n v="400"/>
    <n v="1600"/>
    <n v="60"/>
    <n v="2136.1999999999998"/>
    <n v="0.56272061535219431"/>
    <x v="0"/>
    <d v="2024-04-29T00:00:00"/>
    <n v="3"/>
    <x v="0"/>
    <n v="4"/>
    <n v="0"/>
  </r>
  <r>
    <s v="ORD-100553"/>
    <x v="115"/>
    <x v="0"/>
    <d v="2024-04-01T00:00:00"/>
    <n v="4"/>
    <s v="CUST-02952"/>
    <x v="0"/>
    <x v="20"/>
    <s v="GA"/>
    <x v="1"/>
    <s v="Panaji"/>
    <x v="0"/>
    <s v="P204"/>
    <s v="Anti-Dandruff Conditioner"/>
    <x v="6"/>
    <n v="2"/>
    <n v="399"/>
    <n v="0.4"/>
    <n v="798"/>
    <n v="319.20000000000005"/>
    <n v="478.79999999999995"/>
    <n v="136"/>
    <n v="272"/>
    <n v="60"/>
    <n v="146.79999999999995"/>
    <n v="0.30659983291562232"/>
    <x v="3"/>
    <d v="2024-04-29T00:00:00"/>
    <n v="3"/>
    <x v="0"/>
    <m/>
    <n v="0"/>
  </r>
  <r>
    <s v="ORD-100554"/>
    <x v="115"/>
    <x v="0"/>
    <d v="2024-04-01T00:00:00"/>
    <n v="4"/>
    <s v="CUST-00956"/>
    <x v="0"/>
    <x v="17"/>
    <s v="TN"/>
    <x v="3"/>
    <s v="Coimbatore"/>
    <x v="4"/>
    <s v="P304"/>
    <s v="Denim Jacket"/>
    <x v="1"/>
    <n v="1"/>
    <n v="2499"/>
    <n v="0.1"/>
    <n v="2499"/>
    <n v="249.9"/>
    <n v="2249.1"/>
    <n v="1125"/>
    <n v="1125"/>
    <n v="120"/>
    <n v="1004.0999999999999"/>
    <n v="0.44644524476457248"/>
    <x v="1"/>
    <d v="2024-04-27T00:00:00"/>
    <n v="1"/>
    <x v="1"/>
    <n v="5"/>
    <n v="1"/>
  </r>
  <r>
    <s v="ORD-100555"/>
    <x v="115"/>
    <x v="0"/>
    <d v="2024-04-01T00:00:00"/>
    <n v="4"/>
    <s v="CUST-01137"/>
    <x v="0"/>
    <x v="17"/>
    <s v="TN"/>
    <x v="3"/>
    <s v="Chennai"/>
    <x v="0"/>
    <s v="P503"/>
    <s v="Scented Candle Set"/>
    <x v="4"/>
    <n v="1"/>
    <n v="699"/>
    <n v="0.15"/>
    <n v="699"/>
    <n v="104.85"/>
    <n v="594.15"/>
    <n v="245"/>
    <n v="245"/>
    <n v="120"/>
    <n v="229.14999999999998"/>
    <n v="0.38567701758815109"/>
    <x v="3"/>
    <d v="2024-04-30T00:00:00"/>
    <n v="4"/>
    <x v="0"/>
    <m/>
    <n v="1"/>
  </r>
  <r>
    <s v="ORD-100556"/>
    <x v="116"/>
    <x v="0"/>
    <d v="2024-04-01T00:00:00"/>
    <n v="4"/>
    <s v="CUST-02177"/>
    <x v="0"/>
    <x v="5"/>
    <s v="HP"/>
    <x v="0"/>
    <s v="Shimla"/>
    <x v="2"/>
    <s v="P101"/>
    <s v="Vitamin C Face Serum"/>
    <x v="3"/>
    <n v="1"/>
    <n v="599"/>
    <n v="0.05"/>
    <n v="599"/>
    <n v="29.950000000000003"/>
    <n v="569.04999999999995"/>
    <n v="180"/>
    <n v="180"/>
    <n v="60"/>
    <n v="329.04999999999995"/>
    <n v="0.57824444249187235"/>
    <x v="3"/>
    <d v="2024-05-02T00:00:00"/>
    <n v="5"/>
    <x v="2"/>
    <n v="4"/>
    <n v="0"/>
  </r>
  <r>
    <s v="ORD-100557"/>
    <x v="116"/>
    <x v="0"/>
    <d v="2024-04-01T00:00:00"/>
    <n v="4"/>
    <s v="CUST-00649"/>
    <x v="0"/>
    <x v="12"/>
    <s v="BR"/>
    <x v="2"/>
    <s v="Patna"/>
    <x v="4"/>
    <s v="P101"/>
    <s v="Vitamin C Face Serum"/>
    <x v="3"/>
    <n v="1"/>
    <n v="599"/>
    <n v="0.15"/>
    <n v="599"/>
    <n v="89.85"/>
    <n v="509.15"/>
    <n v="180"/>
    <n v="180"/>
    <n v="60"/>
    <n v="269.14999999999998"/>
    <n v="0.52862614160856325"/>
    <x v="0"/>
    <d v="2024-05-02T00:00:00"/>
    <n v="5"/>
    <x v="2"/>
    <m/>
    <n v="0"/>
  </r>
  <r>
    <s v="ORD-100558"/>
    <x v="116"/>
    <x v="0"/>
    <d v="2024-04-01T00:00:00"/>
    <n v="4"/>
    <s v="CUST-00124"/>
    <x v="1"/>
    <x v="1"/>
    <s v="GJ"/>
    <x v="1"/>
    <s v="Surat"/>
    <x v="3"/>
    <s v="P704"/>
    <s v="Multivitamin Gummies"/>
    <x v="0"/>
    <n v="2"/>
    <n v="699"/>
    <n v="0.15"/>
    <n v="1398"/>
    <n v="209.7"/>
    <n v="1188.3"/>
    <n v="238"/>
    <n v="476"/>
    <n v="60"/>
    <n v="652.29999999999995"/>
    <n v="0.54893545400993016"/>
    <x v="0"/>
    <d v="2024-04-29T00:00:00"/>
    <n v="2"/>
    <x v="1"/>
    <n v="3"/>
    <n v="0"/>
  </r>
  <r>
    <s v="ORD-100559"/>
    <x v="116"/>
    <x v="0"/>
    <d v="2024-04-01T00:00:00"/>
    <n v="4"/>
    <s v="CUST-01105"/>
    <x v="0"/>
    <x v="2"/>
    <s v="MH"/>
    <x v="1"/>
    <s v="Pune"/>
    <x v="0"/>
    <s v="P303"/>
    <s v="Joggers"/>
    <x v="1"/>
    <n v="1"/>
    <n v="1199"/>
    <n v="0.1"/>
    <n v="1199"/>
    <n v="119.9"/>
    <n v="1079.0999999999999"/>
    <n v="492"/>
    <n v="492"/>
    <n v="60"/>
    <n v="527.09999999999991"/>
    <n v="0.48846260772866273"/>
    <x v="0"/>
    <d v="2024-04-29T00:00:00"/>
    <n v="2"/>
    <x v="1"/>
    <n v="5"/>
    <n v="0"/>
  </r>
  <r>
    <s v="ORD-100560"/>
    <x v="116"/>
    <x v="0"/>
    <d v="2024-04-01T00:00:00"/>
    <n v="4"/>
    <s v="CUST-00499"/>
    <x v="0"/>
    <x v="8"/>
    <s v="AP"/>
    <x v="3"/>
    <s v="Visakhapatnam"/>
    <x v="0"/>
    <s v="P103"/>
    <s v="Niacinamide Toner"/>
    <x v="3"/>
    <n v="2"/>
    <n v="399"/>
    <n v="0.2"/>
    <n v="798"/>
    <n v="159.60000000000002"/>
    <n v="638.4"/>
    <n v="112"/>
    <n v="224"/>
    <n v="60"/>
    <n v="354.4"/>
    <n v="0.55513784461152882"/>
    <x v="0"/>
    <d v="2024-04-30T00:00:00"/>
    <n v="3"/>
    <x v="0"/>
    <n v="3"/>
    <n v="0"/>
  </r>
  <r>
    <s v="ORD-100561"/>
    <x v="117"/>
    <x v="0"/>
    <d v="2024-04-01T00:00:00"/>
    <n v="4"/>
    <s v="CUST-00936"/>
    <x v="0"/>
    <x v="12"/>
    <s v="BR"/>
    <x v="2"/>
    <s v="Patna"/>
    <x v="3"/>
    <s v="P201"/>
    <s v="Onion Hair Oil"/>
    <x v="6"/>
    <n v="4"/>
    <n v="349"/>
    <n v="0.3"/>
    <n v="1396"/>
    <n v="418.8"/>
    <n v="977.2"/>
    <n v="105"/>
    <n v="420"/>
    <n v="60"/>
    <n v="497.20000000000005"/>
    <n v="0.50880065493246007"/>
    <x v="0"/>
    <d v="2024-04-30T00:00:00"/>
    <n v="2"/>
    <x v="1"/>
    <n v="4"/>
    <n v="0"/>
  </r>
  <r>
    <s v="ORD-100562"/>
    <x v="117"/>
    <x v="0"/>
    <d v="2024-04-01T00:00:00"/>
    <n v="4"/>
    <s v="CUST-00091"/>
    <x v="0"/>
    <x v="12"/>
    <s v="BR"/>
    <x v="2"/>
    <s v="Patna"/>
    <x v="0"/>
    <s v="P704"/>
    <s v="Multivitamin Gummies"/>
    <x v="0"/>
    <n v="1"/>
    <n v="699"/>
    <n v="0.25"/>
    <n v="699"/>
    <n v="174.75"/>
    <n v="524.25"/>
    <n v="238"/>
    <n v="238"/>
    <n v="60"/>
    <n v="226.25"/>
    <n v="0.43156890796375774"/>
    <x v="1"/>
    <d v="2024-05-01T00:00:00"/>
    <n v="3"/>
    <x v="0"/>
    <n v="5"/>
    <n v="0"/>
  </r>
  <r>
    <s v="ORD-100563"/>
    <x v="117"/>
    <x v="0"/>
    <d v="2024-04-01T00:00:00"/>
    <n v="4"/>
    <s v="CUST-02687"/>
    <x v="0"/>
    <x v="7"/>
    <s v="JH"/>
    <x v="2"/>
    <s v="Ranchi"/>
    <x v="0"/>
    <s v="P301"/>
    <s v="Cotton Oversized T-Shirt"/>
    <x v="1"/>
    <n v="2"/>
    <n v="799"/>
    <n v="0.1"/>
    <n v="1598"/>
    <n v="159.80000000000001"/>
    <n v="1438.2"/>
    <n v="320"/>
    <n v="640"/>
    <n v="60"/>
    <n v="738.2"/>
    <n v="0.51328048950076488"/>
    <x v="0"/>
    <d v="2024-05-03T00:00:00"/>
    <n v="5"/>
    <x v="2"/>
    <m/>
    <n v="0"/>
  </r>
  <r>
    <s v="ORD-100564"/>
    <x v="117"/>
    <x v="0"/>
    <d v="2024-04-01T00:00:00"/>
    <n v="4"/>
    <s v="CUST-00034"/>
    <x v="1"/>
    <x v="2"/>
    <s v="MH"/>
    <x v="1"/>
    <s v="Pune"/>
    <x v="0"/>
    <s v="P304"/>
    <s v="Denim Jacket"/>
    <x v="1"/>
    <n v="1"/>
    <n v="2499"/>
    <n v="0"/>
    <n v="2499"/>
    <n v="0"/>
    <n v="2499"/>
    <n v="1125"/>
    <n v="1125"/>
    <n v="60"/>
    <n v="1314"/>
    <n v="0.5258103241296519"/>
    <x v="2"/>
    <d v="2024-04-30T00:00:00"/>
    <n v="2"/>
    <x v="1"/>
    <n v="4"/>
    <n v="0"/>
  </r>
  <r>
    <s v="ORD-100565"/>
    <x v="117"/>
    <x v="0"/>
    <d v="2024-04-01T00:00:00"/>
    <n v="4"/>
    <s v="CUST-02790"/>
    <x v="0"/>
    <x v="21"/>
    <s v="TG"/>
    <x v="3"/>
    <s v="Hyderabad"/>
    <x v="1"/>
    <s v="P304"/>
    <s v="Denim Jacket"/>
    <x v="1"/>
    <n v="1"/>
    <n v="2499"/>
    <n v="0.1"/>
    <n v="2499"/>
    <n v="249.9"/>
    <n v="2249.1"/>
    <n v="1125"/>
    <n v="1125"/>
    <n v="60"/>
    <n v="1064.0999999999999"/>
    <n v="0.4731225823662798"/>
    <x v="1"/>
    <d v="2024-05-02T00:00:00"/>
    <n v="4"/>
    <x v="0"/>
    <n v="3"/>
    <n v="0"/>
  </r>
  <r>
    <s v="ORD-100566"/>
    <x v="117"/>
    <x v="0"/>
    <d v="2024-04-01T00:00:00"/>
    <n v="4"/>
    <s v="CUST-01777"/>
    <x v="0"/>
    <x v="21"/>
    <s v="TG"/>
    <x v="3"/>
    <s v="Hyderabad"/>
    <x v="0"/>
    <s v="P404"/>
    <s v="Flip Flops"/>
    <x v="5"/>
    <n v="2"/>
    <n v="399"/>
    <n v="0.15"/>
    <n v="798"/>
    <n v="119.69999999999999"/>
    <n v="678.3"/>
    <n v="152"/>
    <n v="304"/>
    <n v="120"/>
    <n v="254.29999999999995"/>
    <n v="0.37490785787999409"/>
    <x v="4"/>
    <d v="2024-04-30T00:00:00"/>
    <n v="2"/>
    <x v="1"/>
    <m/>
    <n v="1"/>
  </r>
  <r>
    <s v="ORD-100567"/>
    <x v="117"/>
    <x v="0"/>
    <d v="2024-04-01T00:00:00"/>
    <n v="4"/>
    <s v="CUST-00948"/>
    <x v="0"/>
    <x v="11"/>
    <s v="KA"/>
    <x v="3"/>
    <s v="Mysuru"/>
    <x v="4"/>
    <s v="P503"/>
    <s v="Scented Candle Set"/>
    <x v="4"/>
    <n v="1"/>
    <n v="699"/>
    <n v="0.25"/>
    <n v="699"/>
    <n v="174.75"/>
    <n v="524.25"/>
    <n v="245"/>
    <n v="245"/>
    <n v="60"/>
    <n v="219.25"/>
    <n v="0.41821649976156416"/>
    <x v="2"/>
    <d v="2024-04-30T00:00:00"/>
    <n v="2"/>
    <x v="1"/>
    <n v="5"/>
    <n v="0"/>
  </r>
  <r>
    <s v="ORD-100568"/>
    <x v="117"/>
    <x v="0"/>
    <d v="2024-04-01T00:00:00"/>
    <n v="4"/>
    <s v="CUST-00006"/>
    <x v="0"/>
    <x v="14"/>
    <s v="KL"/>
    <x v="3"/>
    <s v="Kochi"/>
    <x v="0"/>
    <s v="P203"/>
    <s v="Keratin Hair Mask"/>
    <x v="6"/>
    <n v="2"/>
    <n v="549"/>
    <n v="0.15"/>
    <n v="1098"/>
    <n v="164.7"/>
    <n v="933.3"/>
    <n v="170"/>
    <n v="340"/>
    <n v="120"/>
    <n v="473.29999999999995"/>
    <n v="0.50712525447337398"/>
    <x v="2"/>
    <d v="2024-05-01T00:00:00"/>
    <n v="3"/>
    <x v="0"/>
    <n v="4"/>
    <n v="1"/>
  </r>
  <r>
    <s v="ORD-100569"/>
    <x v="118"/>
    <x v="0"/>
    <d v="2024-04-01T00:00:00"/>
    <n v="4"/>
    <s v="CUST-01327"/>
    <x v="0"/>
    <x v="6"/>
    <s v="DL"/>
    <x v="0"/>
    <s v="New Delhi"/>
    <x v="2"/>
    <s v="P603"/>
    <s v="Smartwatch Strap"/>
    <x v="2"/>
    <n v="1"/>
    <n v="499"/>
    <n v="0.05"/>
    <n v="499"/>
    <n v="24.950000000000003"/>
    <n v="474.05"/>
    <n v="200"/>
    <n v="200"/>
    <n v="60"/>
    <n v="214.05"/>
    <n v="0.45153464824385614"/>
    <x v="1"/>
    <d v="2024-05-03T00:00:00"/>
    <n v="4"/>
    <x v="0"/>
    <n v="4"/>
    <n v="0"/>
  </r>
  <r>
    <s v="ORD-100570"/>
    <x v="118"/>
    <x v="0"/>
    <d v="2024-04-01T00:00:00"/>
    <n v="4"/>
    <s v="CUST-00909"/>
    <x v="0"/>
    <x v="16"/>
    <s v="UP"/>
    <x v="0"/>
    <s v="Kanpur"/>
    <x v="1"/>
    <s v="P303"/>
    <s v="Joggers"/>
    <x v="1"/>
    <n v="1"/>
    <n v="1199"/>
    <n v="0.1"/>
    <n v="1199"/>
    <n v="119.9"/>
    <n v="1079.0999999999999"/>
    <n v="492"/>
    <n v="492"/>
    <n v="60"/>
    <n v="527.09999999999991"/>
    <n v="0.48846260772866273"/>
    <x v="3"/>
    <d v="2024-05-03T00:00:00"/>
    <n v="4"/>
    <x v="0"/>
    <m/>
    <n v="0"/>
  </r>
  <r>
    <s v="ORD-100571"/>
    <x v="118"/>
    <x v="0"/>
    <d v="2024-04-01T00:00:00"/>
    <n v="4"/>
    <s v="CUST-00063"/>
    <x v="0"/>
    <x v="2"/>
    <s v="MH"/>
    <x v="1"/>
    <s v="Nagpur"/>
    <x v="2"/>
    <s v="P603"/>
    <s v="Smartwatch Strap"/>
    <x v="2"/>
    <n v="1"/>
    <n v="499"/>
    <n v="0.15"/>
    <n v="499"/>
    <n v="74.849999999999994"/>
    <n v="424.15"/>
    <n v="200"/>
    <n v="200"/>
    <n v="60"/>
    <n v="164.14999999999998"/>
    <n v="0.38700931274313327"/>
    <x v="3"/>
    <d v="2024-05-02T00:00:00"/>
    <n v="3"/>
    <x v="0"/>
    <n v="4"/>
    <n v="0"/>
  </r>
  <r>
    <s v="ORD-100572"/>
    <x v="118"/>
    <x v="0"/>
    <d v="2024-04-01T00:00:00"/>
    <n v="4"/>
    <s v="CUST-00472"/>
    <x v="1"/>
    <x v="2"/>
    <s v="MH"/>
    <x v="1"/>
    <s v="Nagpur"/>
    <x v="2"/>
    <s v="P105"/>
    <s v="Retinol Night Cream"/>
    <x v="3"/>
    <n v="1"/>
    <n v="799"/>
    <n v="0"/>
    <n v="799"/>
    <n v="0"/>
    <n v="799"/>
    <n v="216"/>
    <n v="216"/>
    <n v="60"/>
    <n v="523"/>
    <n v="0.65456821026282852"/>
    <x v="0"/>
    <d v="2024-05-02T00:00:00"/>
    <n v="3"/>
    <x v="0"/>
    <m/>
    <n v="0"/>
  </r>
  <r>
    <s v="ORD-100573"/>
    <x v="119"/>
    <x v="0"/>
    <d v="2024-04-01T00:00:00"/>
    <n v="4"/>
    <s v="CUST-03014"/>
    <x v="0"/>
    <x v="1"/>
    <s v="GJ"/>
    <x v="1"/>
    <s v="Ahmedabad"/>
    <x v="0"/>
    <s v="P503"/>
    <s v="Scented Candle Set"/>
    <x v="4"/>
    <n v="1"/>
    <n v="699"/>
    <n v="0.15"/>
    <n v="699"/>
    <n v="104.85"/>
    <n v="594.15"/>
    <n v="245"/>
    <n v="245"/>
    <n v="60"/>
    <n v="289.14999999999998"/>
    <n v="0.48666161743667424"/>
    <x v="3"/>
    <d v="2024-05-03T00:00:00"/>
    <n v="3"/>
    <x v="0"/>
    <m/>
    <n v="0"/>
  </r>
  <r>
    <s v="ORD-100574"/>
    <x v="119"/>
    <x v="0"/>
    <d v="2024-04-01T00:00:00"/>
    <n v="4"/>
    <s v="CUST-01038"/>
    <x v="0"/>
    <x v="2"/>
    <s v="MH"/>
    <x v="1"/>
    <s v="Pune"/>
    <x v="3"/>
    <s v="P704"/>
    <s v="Multivitamin Gummies"/>
    <x v="0"/>
    <n v="2"/>
    <n v="699"/>
    <n v="0.3"/>
    <n v="1398"/>
    <n v="419.4"/>
    <n v="978.6"/>
    <n v="238"/>
    <n v="476"/>
    <n v="60"/>
    <n v="442.6"/>
    <n v="0.45227876558348662"/>
    <x v="1"/>
    <d v="2024-05-02T00:00:00"/>
    <n v="2"/>
    <x v="1"/>
    <n v="3"/>
    <n v="0"/>
  </r>
  <r>
    <s v="ORD-100575"/>
    <x v="119"/>
    <x v="0"/>
    <d v="2024-04-01T00:00:00"/>
    <n v="4"/>
    <s v="CUST-01830"/>
    <x v="0"/>
    <x v="14"/>
    <s v="KL"/>
    <x v="3"/>
    <s v="Thiruvananthapuram"/>
    <x v="0"/>
    <s v="P404"/>
    <s v="Flip Flops"/>
    <x v="5"/>
    <n v="1"/>
    <n v="399"/>
    <n v="0.1"/>
    <n v="399"/>
    <n v="39.900000000000006"/>
    <n v="359.1"/>
    <n v="152"/>
    <n v="152"/>
    <n v="60"/>
    <n v="147.10000000000002"/>
    <n v="0.40963519910888335"/>
    <x v="3"/>
    <d v="2024-05-04T00:00:00"/>
    <n v="4"/>
    <x v="0"/>
    <m/>
    <n v="0"/>
  </r>
  <r>
    <s v="ORD-100576"/>
    <x v="120"/>
    <x v="0"/>
    <d v="2024-05-01T00:00:00"/>
    <n v="5"/>
    <s v="CUST-01826"/>
    <x v="0"/>
    <x v="0"/>
    <s v="RJ"/>
    <x v="0"/>
    <s v="Jaipur"/>
    <x v="4"/>
    <s v="P102"/>
    <s v="Sunscreen SPF 50"/>
    <x v="3"/>
    <n v="1"/>
    <n v="449"/>
    <n v="0.05"/>
    <n v="449"/>
    <n v="22.450000000000003"/>
    <n v="426.55"/>
    <n v="144"/>
    <n v="144"/>
    <n v="60"/>
    <n v="222.55"/>
    <n v="0.52174422693705313"/>
    <x v="0"/>
    <d v="2024-05-04T00:00:00"/>
    <n v="3"/>
    <x v="0"/>
    <n v="5"/>
    <n v="0"/>
  </r>
  <r>
    <s v="ORD-100577"/>
    <x v="120"/>
    <x v="0"/>
    <d v="2024-05-01T00:00:00"/>
    <n v="5"/>
    <s v="CUST-02630"/>
    <x v="0"/>
    <x v="16"/>
    <s v="UP"/>
    <x v="0"/>
    <s v="Kanpur"/>
    <x v="1"/>
    <s v="P301"/>
    <s v="Cotton Oversized T-Shirt"/>
    <x v="1"/>
    <n v="2"/>
    <n v="799"/>
    <n v="0.1"/>
    <n v="1598"/>
    <n v="159.80000000000001"/>
    <n v="1438.2"/>
    <n v="320"/>
    <n v="640"/>
    <n v="120"/>
    <n v="678.2"/>
    <n v="0.47156167431511614"/>
    <x v="3"/>
    <d v="2024-05-05T00:00:00"/>
    <n v="4"/>
    <x v="0"/>
    <m/>
    <n v="1"/>
  </r>
  <r>
    <s v="ORD-100578"/>
    <x v="120"/>
    <x v="0"/>
    <d v="2024-05-01T00:00:00"/>
    <n v="5"/>
    <s v="CUST-02114"/>
    <x v="0"/>
    <x v="12"/>
    <s v="BR"/>
    <x v="2"/>
    <s v="Patna"/>
    <x v="2"/>
    <s v="P403"/>
    <s v="Kolhapuri Sandals"/>
    <x v="5"/>
    <n v="1"/>
    <n v="999"/>
    <n v="0.05"/>
    <n v="999"/>
    <n v="49.95"/>
    <n v="949.05"/>
    <n v="400"/>
    <n v="400"/>
    <n v="60"/>
    <n v="489.04999999999995"/>
    <n v="0.5153047784626732"/>
    <x v="3"/>
    <d v="2024-05-05T00:00:00"/>
    <n v="4"/>
    <x v="0"/>
    <m/>
    <n v="0"/>
  </r>
  <r>
    <s v="ORD-100579"/>
    <x v="120"/>
    <x v="0"/>
    <d v="2024-05-01T00:00:00"/>
    <n v="5"/>
    <s v="CUST-00488"/>
    <x v="1"/>
    <x v="1"/>
    <s v="GJ"/>
    <x v="1"/>
    <s v="Surat"/>
    <x v="0"/>
    <s v="P503"/>
    <s v="Scented Candle Set"/>
    <x v="4"/>
    <n v="2"/>
    <n v="699"/>
    <n v="0.3"/>
    <n v="1398"/>
    <n v="419.4"/>
    <n v="978.6"/>
    <n v="245"/>
    <n v="490"/>
    <n v="60"/>
    <n v="428.6"/>
    <n v="0.43797261393827919"/>
    <x v="2"/>
    <d v="2024-05-04T00:00:00"/>
    <n v="3"/>
    <x v="0"/>
    <n v="4"/>
    <n v="0"/>
  </r>
  <r>
    <s v="ORD-100580"/>
    <x v="120"/>
    <x v="0"/>
    <d v="2024-05-01T00:00:00"/>
    <n v="5"/>
    <s v="CUST-00243"/>
    <x v="1"/>
    <x v="3"/>
    <s v="OD"/>
    <x v="2"/>
    <s v="Bhubaneswar"/>
    <x v="3"/>
    <s v="P104"/>
    <s v="Hydrating Face Wash"/>
    <x v="3"/>
    <n v="1"/>
    <n v="299"/>
    <n v="0.05"/>
    <n v="299"/>
    <n v="14.950000000000001"/>
    <n v="284.05"/>
    <n v="90"/>
    <n v="90"/>
    <n v="60"/>
    <n v="134.05000000000001"/>
    <n v="0.47192395704981521"/>
    <x v="0"/>
    <d v="2024-05-05T00:00:00"/>
    <n v="4"/>
    <x v="0"/>
    <n v="4"/>
    <n v="0"/>
  </r>
  <r>
    <s v="ORD-100581"/>
    <x v="120"/>
    <x v="0"/>
    <d v="2024-05-01T00:00:00"/>
    <n v="5"/>
    <s v="CUST-00246"/>
    <x v="0"/>
    <x v="8"/>
    <s v="AP"/>
    <x v="3"/>
    <s v="Visakhapatnam"/>
    <x v="2"/>
    <s v="P704"/>
    <s v="Multivitamin Gummies"/>
    <x v="0"/>
    <n v="2"/>
    <n v="699"/>
    <n v="0.1"/>
    <n v="1398"/>
    <n v="139.80000000000001"/>
    <n v="1258.2"/>
    <n v="238"/>
    <n v="476"/>
    <n v="60"/>
    <n v="722.2"/>
    <n v="0.57399459545382292"/>
    <x v="0"/>
    <d v="2024-05-04T00:00:00"/>
    <n v="3"/>
    <x v="0"/>
    <n v="4"/>
    <n v="0"/>
  </r>
  <r>
    <s v="ORD-100582"/>
    <x v="121"/>
    <x v="0"/>
    <d v="2024-05-01T00:00:00"/>
    <n v="5"/>
    <s v="CUST-00893"/>
    <x v="0"/>
    <x v="0"/>
    <s v="RJ"/>
    <x v="0"/>
    <s v="Jaipur"/>
    <x v="4"/>
    <s v="P303"/>
    <s v="Joggers"/>
    <x v="1"/>
    <n v="1"/>
    <n v="1199"/>
    <n v="0.15"/>
    <n v="1199"/>
    <n v="179.85"/>
    <n v="1019.15"/>
    <n v="492"/>
    <n v="492"/>
    <n v="60"/>
    <n v="467.15"/>
    <n v="0.45837217288917231"/>
    <x v="3"/>
    <d v="2024-05-08T00:00:00"/>
    <n v="6"/>
    <x v="2"/>
    <n v="3"/>
    <n v="0"/>
  </r>
  <r>
    <s v="ORD-100583"/>
    <x v="121"/>
    <x v="0"/>
    <d v="2024-05-01T00:00:00"/>
    <n v="5"/>
    <s v="CUST-01571"/>
    <x v="0"/>
    <x v="12"/>
    <s v="BR"/>
    <x v="2"/>
    <s v="Patna"/>
    <x v="2"/>
    <s v="P501"/>
    <s v="Copper Water Bottle"/>
    <x v="4"/>
    <n v="1"/>
    <n v="899"/>
    <n v="0.05"/>
    <n v="899"/>
    <n v="44.95"/>
    <n v="854.05"/>
    <n v="378"/>
    <n v="378"/>
    <n v="60"/>
    <n v="416.04999999999995"/>
    <n v="0.48714946431707745"/>
    <x v="0"/>
    <d v="2024-05-08T00:00:00"/>
    <n v="6"/>
    <x v="2"/>
    <n v="3"/>
    <n v="0"/>
  </r>
  <r>
    <s v="ORD-100584"/>
    <x v="121"/>
    <x v="0"/>
    <d v="2024-05-01T00:00:00"/>
    <n v="5"/>
    <s v="CUST-00564"/>
    <x v="0"/>
    <x v="1"/>
    <s v="GJ"/>
    <x v="1"/>
    <s v="Surat"/>
    <x v="2"/>
    <s v="P404"/>
    <s v="Flip Flops"/>
    <x v="5"/>
    <n v="1"/>
    <n v="399"/>
    <n v="0.05"/>
    <n v="399"/>
    <n v="19.950000000000003"/>
    <n v="379.05"/>
    <n v="152"/>
    <n v="152"/>
    <n v="60"/>
    <n v="167.05"/>
    <n v="0.44070703073473161"/>
    <x v="1"/>
    <d v="2024-05-05T00:00:00"/>
    <n v="3"/>
    <x v="0"/>
    <n v="5"/>
    <n v="0"/>
  </r>
  <r>
    <s v="ORD-100585"/>
    <x v="121"/>
    <x v="0"/>
    <d v="2024-05-01T00:00:00"/>
    <n v="5"/>
    <s v="CUST-00819"/>
    <x v="0"/>
    <x v="13"/>
    <s v="MP"/>
    <x v="1"/>
    <s v="Bhopal"/>
    <x v="4"/>
    <s v="P103"/>
    <s v="Niacinamide Toner"/>
    <x v="3"/>
    <n v="2"/>
    <n v="399"/>
    <n v="0.15"/>
    <n v="798"/>
    <n v="119.69999999999999"/>
    <n v="678.3"/>
    <n v="112"/>
    <n v="224"/>
    <n v="60"/>
    <n v="394.29999999999995"/>
    <n v="0.58130620669320354"/>
    <x v="1"/>
    <d v="2024-05-05T00:00:00"/>
    <n v="3"/>
    <x v="0"/>
    <m/>
    <n v="0"/>
  </r>
  <r>
    <s v="ORD-100586"/>
    <x v="121"/>
    <x v="0"/>
    <d v="2024-05-01T00:00:00"/>
    <n v="5"/>
    <s v="CUST-03042"/>
    <x v="0"/>
    <x v="18"/>
    <s v="WB"/>
    <x v="2"/>
    <s v="Kolkata"/>
    <x v="1"/>
    <s v="P303"/>
    <s v="Joggers"/>
    <x v="1"/>
    <n v="1"/>
    <n v="1199"/>
    <n v="0.1"/>
    <n v="1199"/>
    <n v="119.9"/>
    <n v="1079.0999999999999"/>
    <n v="492"/>
    <n v="492"/>
    <n v="120"/>
    <n v="467.09999999999991"/>
    <n v="0.43286071726438696"/>
    <x v="4"/>
    <d v="2024-05-07T00:00:00"/>
    <n v="5"/>
    <x v="2"/>
    <m/>
    <n v="1"/>
  </r>
  <r>
    <s v="ORD-100587"/>
    <x v="121"/>
    <x v="0"/>
    <d v="2024-05-01T00:00:00"/>
    <n v="5"/>
    <s v="CUST-00943"/>
    <x v="1"/>
    <x v="18"/>
    <s v="WB"/>
    <x v="2"/>
    <s v="Kolkata"/>
    <x v="4"/>
    <s v="P403"/>
    <s v="Kolhapuri Sandals"/>
    <x v="5"/>
    <n v="1"/>
    <n v="999"/>
    <n v="0"/>
    <n v="999"/>
    <n v="0"/>
    <n v="999"/>
    <n v="400"/>
    <n v="400"/>
    <n v="60"/>
    <n v="539"/>
    <n v="0.53953953953953959"/>
    <x v="1"/>
    <d v="2024-05-05T00:00:00"/>
    <n v="3"/>
    <x v="0"/>
    <n v="4"/>
    <n v="0"/>
  </r>
  <r>
    <s v="ORD-100588"/>
    <x v="121"/>
    <x v="0"/>
    <d v="2024-05-01T00:00:00"/>
    <n v="5"/>
    <s v="CUST-00955"/>
    <x v="1"/>
    <x v="8"/>
    <s v="AP"/>
    <x v="3"/>
    <s v="Vijayawada"/>
    <x v="2"/>
    <s v="P503"/>
    <s v="Scented Candle Set"/>
    <x v="4"/>
    <n v="3"/>
    <n v="699"/>
    <n v="0.2"/>
    <n v="2097"/>
    <n v="419.40000000000003"/>
    <n v="1677.6"/>
    <n v="245"/>
    <n v="735"/>
    <n v="60"/>
    <n v="882.59999999999991"/>
    <n v="0.52610872675250353"/>
    <x v="2"/>
    <d v="2024-05-07T00:00:00"/>
    <n v="5"/>
    <x v="2"/>
    <n v="4"/>
    <n v="0"/>
  </r>
  <r>
    <s v="ORD-100589"/>
    <x v="122"/>
    <x v="0"/>
    <d v="2024-05-01T00:00:00"/>
    <n v="5"/>
    <s v="CUST-02828"/>
    <x v="0"/>
    <x v="9"/>
    <s v="UK"/>
    <x v="0"/>
    <s v="Dehradun"/>
    <x v="3"/>
    <s v="P203"/>
    <s v="Keratin Hair Mask"/>
    <x v="6"/>
    <n v="1"/>
    <n v="549"/>
    <n v="0.1"/>
    <n v="549"/>
    <n v="54.900000000000006"/>
    <n v="494.1"/>
    <n v="170"/>
    <n v="170"/>
    <n v="60"/>
    <n v="264.10000000000002"/>
    <n v="0.53450718478040882"/>
    <x v="0"/>
    <d v="2024-05-05T00:00:00"/>
    <n v="2"/>
    <x v="1"/>
    <n v="4"/>
    <n v="0"/>
  </r>
  <r>
    <s v="ORD-100590"/>
    <x v="122"/>
    <x v="0"/>
    <d v="2024-05-01T00:00:00"/>
    <n v="5"/>
    <s v="CUST-03120"/>
    <x v="0"/>
    <x v="1"/>
    <s v="GJ"/>
    <x v="1"/>
    <s v="Ahmedabad"/>
    <x v="0"/>
    <s v="P701"/>
    <s v="Ashwagandha Capsules"/>
    <x v="0"/>
    <n v="1"/>
    <n v="499"/>
    <n v="0.1"/>
    <n v="499"/>
    <n v="49.900000000000006"/>
    <n v="449.1"/>
    <n v="150"/>
    <n v="150"/>
    <n v="60"/>
    <n v="239.10000000000002"/>
    <n v="0.53239812959251842"/>
    <x v="2"/>
    <d v="2024-05-05T00:00:00"/>
    <n v="2"/>
    <x v="1"/>
    <n v="5"/>
    <n v="0"/>
  </r>
  <r>
    <s v="ORD-100591"/>
    <x v="122"/>
    <x v="0"/>
    <d v="2024-05-01T00:00:00"/>
    <n v="5"/>
    <s v="CUST-01392"/>
    <x v="0"/>
    <x v="7"/>
    <s v="JH"/>
    <x v="2"/>
    <s v="Ranchi"/>
    <x v="0"/>
    <s v="P204"/>
    <s v="Anti-Dandruff Conditioner"/>
    <x v="6"/>
    <n v="2"/>
    <n v="399"/>
    <n v="0.35"/>
    <n v="798"/>
    <n v="279.29999999999995"/>
    <n v="518.70000000000005"/>
    <n v="136"/>
    <n v="272"/>
    <n v="60"/>
    <n v="186.70000000000005"/>
    <n v="0.35993830730672843"/>
    <x v="0"/>
    <d v="2024-05-08T00:00:00"/>
    <n v="5"/>
    <x v="2"/>
    <n v="3"/>
    <n v="0"/>
  </r>
  <r>
    <s v="ORD-100592"/>
    <x v="122"/>
    <x v="0"/>
    <d v="2024-05-01T00:00:00"/>
    <n v="5"/>
    <s v="CUST-02183"/>
    <x v="0"/>
    <x v="18"/>
    <s v="WB"/>
    <x v="2"/>
    <s v="Kolkata"/>
    <x v="2"/>
    <s v="P701"/>
    <s v="Ashwagandha Capsules"/>
    <x v="0"/>
    <n v="1"/>
    <n v="499"/>
    <n v="0"/>
    <n v="499"/>
    <n v="0"/>
    <n v="499"/>
    <n v="150"/>
    <n v="150"/>
    <n v="60"/>
    <n v="289"/>
    <n v="0.57915831663326656"/>
    <x v="0"/>
    <d v="2024-05-08T00:00:00"/>
    <n v="5"/>
    <x v="2"/>
    <n v="4"/>
    <n v="0"/>
  </r>
  <r>
    <s v="ORD-100593"/>
    <x v="122"/>
    <x v="0"/>
    <d v="2024-05-01T00:00:00"/>
    <n v="5"/>
    <s v="CUST-01612"/>
    <x v="0"/>
    <x v="2"/>
    <s v="MH"/>
    <x v="1"/>
    <s v="Pune"/>
    <x v="2"/>
    <s v="P704"/>
    <s v="Multivitamin Gummies"/>
    <x v="0"/>
    <n v="1"/>
    <n v="699"/>
    <n v="0.1"/>
    <n v="699"/>
    <n v="69.900000000000006"/>
    <n v="629.1"/>
    <n v="238"/>
    <n v="238"/>
    <n v="60"/>
    <n v="331.1"/>
    <n v="0.52630742330313152"/>
    <x v="1"/>
    <d v="2024-05-06T00:00:00"/>
    <n v="3"/>
    <x v="0"/>
    <n v="5"/>
    <n v="0"/>
  </r>
  <r>
    <s v="ORD-100594"/>
    <x v="123"/>
    <x v="0"/>
    <d v="2024-05-01T00:00:00"/>
    <n v="5"/>
    <s v="CUST-01821"/>
    <x v="0"/>
    <x v="6"/>
    <s v="DL"/>
    <x v="0"/>
    <s v="New Delhi"/>
    <x v="0"/>
    <s v="P202"/>
    <s v="Argan Shampoo"/>
    <x v="6"/>
    <n v="3"/>
    <n v="449"/>
    <n v="0.15"/>
    <n v="1347"/>
    <n v="202.04999999999998"/>
    <n v="1144.95"/>
    <n v="148"/>
    <n v="444"/>
    <n v="60"/>
    <n v="640.95000000000005"/>
    <n v="0.55980610507009043"/>
    <x v="0"/>
    <d v="2024-05-05T00:00:00"/>
    <n v="1"/>
    <x v="1"/>
    <m/>
    <n v="0"/>
  </r>
  <r>
    <s v="ORD-100595"/>
    <x v="123"/>
    <x v="0"/>
    <d v="2024-05-01T00:00:00"/>
    <n v="5"/>
    <s v="CUST-02603"/>
    <x v="0"/>
    <x v="7"/>
    <s v="JH"/>
    <x v="2"/>
    <s v="Ranchi"/>
    <x v="2"/>
    <s v="P702"/>
    <s v="Whey Protein 1kg"/>
    <x v="0"/>
    <n v="2"/>
    <n v="2299"/>
    <n v="0.4"/>
    <n v="4598"/>
    <n v="1839.2"/>
    <n v="2758.8"/>
    <n v="1333"/>
    <n v="2666"/>
    <n v="60"/>
    <n v="32.800000000000182"/>
    <n v="1.188922720023205E-2"/>
    <x v="3"/>
    <d v="2024-05-10T00:00:00"/>
    <n v="6"/>
    <x v="2"/>
    <m/>
    <n v="0"/>
  </r>
  <r>
    <s v="ORD-100596"/>
    <x v="123"/>
    <x v="0"/>
    <d v="2024-05-01T00:00:00"/>
    <n v="5"/>
    <s v="CUST-00141"/>
    <x v="1"/>
    <x v="2"/>
    <s v="MH"/>
    <x v="1"/>
    <s v="Nagpur"/>
    <x v="3"/>
    <s v="P202"/>
    <s v="Argan Shampoo"/>
    <x v="6"/>
    <n v="2"/>
    <n v="449"/>
    <n v="0"/>
    <n v="898"/>
    <n v="0"/>
    <n v="898"/>
    <n v="148"/>
    <n v="296"/>
    <n v="60"/>
    <n v="542"/>
    <n v="0.60356347438752789"/>
    <x v="0"/>
    <d v="2024-05-05T00:00:00"/>
    <n v="1"/>
    <x v="1"/>
    <n v="4"/>
    <n v="0"/>
  </r>
  <r>
    <s v="ORD-100597"/>
    <x v="123"/>
    <x v="0"/>
    <d v="2024-05-01T00:00:00"/>
    <n v="5"/>
    <s v="CUST-00307"/>
    <x v="0"/>
    <x v="2"/>
    <s v="MH"/>
    <x v="1"/>
    <s v="Pune"/>
    <x v="1"/>
    <s v="P305"/>
    <s v="Printed Saree"/>
    <x v="1"/>
    <n v="2"/>
    <n v="1999"/>
    <n v="0.05"/>
    <n v="3998"/>
    <n v="199.9"/>
    <n v="3798.1"/>
    <n v="880"/>
    <n v="1760"/>
    <n v="60"/>
    <n v="1978.1"/>
    <n v="0.52081303809799639"/>
    <x v="1"/>
    <d v="2024-05-06T00:00:00"/>
    <n v="2"/>
    <x v="1"/>
    <n v="5"/>
    <n v="0"/>
  </r>
  <r>
    <s v="ORD-100598"/>
    <x v="124"/>
    <x v="0"/>
    <d v="2024-05-01T00:00:00"/>
    <n v="5"/>
    <s v="CUST-00092"/>
    <x v="0"/>
    <x v="6"/>
    <s v="DL"/>
    <x v="0"/>
    <s v="New Delhi"/>
    <x v="1"/>
    <s v="P404"/>
    <s v="Flip Flops"/>
    <x v="5"/>
    <n v="1"/>
    <n v="399"/>
    <n v="0.15"/>
    <n v="399"/>
    <n v="59.849999999999994"/>
    <n v="339.15"/>
    <n v="152"/>
    <n v="152"/>
    <n v="60"/>
    <n v="127.14999999999998"/>
    <n v="0.37490785787999409"/>
    <x v="0"/>
    <d v="2024-05-08T00:00:00"/>
    <n v="3"/>
    <x v="0"/>
    <n v="4"/>
    <n v="0"/>
  </r>
  <r>
    <s v="ORD-100599"/>
    <x v="124"/>
    <x v="0"/>
    <d v="2024-05-01T00:00:00"/>
    <n v="5"/>
    <s v="CUST-02396"/>
    <x v="0"/>
    <x v="1"/>
    <s v="GJ"/>
    <x v="1"/>
    <s v="Ahmedabad"/>
    <x v="3"/>
    <s v="P101"/>
    <s v="Vitamin C Face Serum"/>
    <x v="3"/>
    <n v="1"/>
    <n v="599"/>
    <n v="0.2"/>
    <n v="599"/>
    <n v="119.80000000000001"/>
    <n v="479.2"/>
    <n v="180"/>
    <n v="180"/>
    <n v="60"/>
    <n v="239.2"/>
    <n v="0.4991652754590985"/>
    <x v="3"/>
    <d v="2024-05-09T00:00:00"/>
    <n v="4"/>
    <x v="0"/>
    <n v="4"/>
    <n v="0"/>
  </r>
  <r>
    <s v="ORD-100600"/>
    <x v="124"/>
    <x v="0"/>
    <d v="2024-05-01T00:00:00"/>
    <n v="5"/>
    <s v="CUST-00117"/>
    <x v="1"/>
    <x v="1"/>
    <s v="GJ"/>
    <x v="1"/>
    <s v="Surat"/>
    <x v="4"/>
    <s v="P102"/>
    <s v="Sunscreen SPF 50"/>
    <x v="3"/>
    <n v="1"/>
    <n v="449"/>
    <n v="0.05"/>
    <n v="449"/>
    <n v="22.450000000000003"/>
    <n v="426.55"/>
    <n v="144"/>
    <n v="144"/>
    <n v="60"/>
    <n v="222.55"/>
    <n v="0.52174422693705313"/>
    <x v="3"/>
    <d v="2024-05-08T00:00:00"/>
    <n v="3"/>
    <x v="0"/>
    <n v="4"/>
    <n v="0"/>
  </r>
  <r>
    <s v="ORD-100601"/>
    <x v="124"/>
    <x v="0"/>
    <d v="2024-05-01T00:00:00"/>
    <n v="5"/>
    <s v="CUST-00459"/>
    <x v="0"/>
    <x v="1"/>
    <s v="GJ"/>
    <x v="1"/>
    <s v="Surat"/>
    <x v="4"/>
    <s v="P204"/>
    <s v="Anti-Dandruff Conditioner"/>
    <x v="6"/>
    <n v="2"/>
    <n v="399"/>
    <n v="0.35"/>
    <n v="798"/>
    <n v="279.29999999999995"/>
    <n v="518.70000000000005"/>
    <n v="136"/>
    <n v="272"/>
    <n v="60"/>
    <n v="186.70000000000005"/>
    <n v="0.35993830730672843"/>
    <x v="0"/>
    <d v="2024-05-06T00:00:00"/>
    <n v="1"/>
    <x v="1"/>
    <n v="4"/>
    <n v="0"/>
  </r>
  <r>
    <s v="ORD-100602"/>
    <x v="124"/>
    <x v="0"/>
    <d v="2024-05-01T00:00:00"/>
    <n v="5"/>
    <s v="CUST-02164"/>
    <x v="0"/>
    <x v="14"/>
    <s v="KL"/>
    <x v="3"/>
    <s v="Thiruvananthapuram"/>
    <x v="0"/>
    <s v="P103"/>
    <s v="Niacinamide Toner"/>
    <x v="3"/>
    <n v="2"/>
    <n v="399"/>
    <n v="0.3"/>
    <n v="798"/>
    <n v="239.39999999999998"/>
    <n v="558.6"/>
    <n v="112"/>
    <n v="224"/>
    <n v="60"/>
    <n v="274.60000000000002"/>
    <n v="0.49158610812746151"/>
    <x v="3"/>
    <d v="2024-05-09T00:00:00"/>
    <n v="4"/>
    <x v="0"/>
    <n v="4"/>
    <n v="0"/>
  </r>
  <r>
    <s v="ORD-100603"/>
    <x v="125"/>
    <x v="0"/>
    <d v="2024-05-01T00:00:00"/>
    <n v="5"/>
    <s v="CUST-00780"/>
    <x v="0"/>
    <x v="16"/>
    <s v="UP"/>
    <x v="0"/>
    <s v="Kanpur"/>
    <x v="4"/>
    <s v="P504"/>
    <s v="Cotton Bedsheet"/>
    <x v="4"/>
    <n v="2"/>
    <n v="1299"/>
    <n v="0"/>
    <n v="2598"/>
    <n v="0"/>
    <n v="2598"/>
    <n v="585"/>
    <n v="1170"/>
    <n v="60"/>
    <n v="1368"/>
    <n v="0.52655889145496537"/>
    <x v="2"/>
    <d v="2024-05-09T00:00:00"/>
    <n v="3"/>
    <x v="0"/>
    <m/>
    <n v="0"/>
  </r>
  <r>
    <s v="ORD-100604"/>
    <x v="125"/>
    <x v="0"/>
    <d v="2024-05-01T00:00:00"/>
    <n v="5"/>
    <s v="CUST-00026"/>
    <x v="0"/>
    <x v="18"/>
    <s v="WB"/>
    <x v="2"/>
    <s v="Kolkata"/>
    <x v="3"/>
    <s v="P703"/>
    <s v="Green Tea (100 bags)"/>
    <x v="0"/>
    <n v="3"/>
    <n v="399"/>
    <n v="0.35"/>
    <n v="1197"/>
    <n v="418.95"/>
    <n v="778.05"/>
    <n v="128"/>
    <n v="384"/>
    <n v="60"/>
    <n v="334.04999999999995"/>
    <n v="0.42934258723732405"/>
    <x v="1"/>
    <d v="2024-05-09T00:00:00"/>
    <n v="3"/>
    <x v="0"/>
    <n v="5"/>
    <n v="0"/>
  </r>
  <r>
    <s v="ORD-100605"/>
    <x v="126"/>
    <x v="0"/>
    <d v="2024-05-01T00:00:00"/>
    <n v="5"/>
    <s v="CUST-00405"/>
    <x v="1"/>
    <x v="0"/>
    <s v="RJ"/>
    <x v="0"/>
    <s v="Jaipur"/>
    <x v="0"/>
    <s v="P105"/>
    <s v="Retinol Night Cream"/>
    <x v="3"/>
    <n v="1"/>
    <n v="799"/>
    <n v="0.1"/>
    <n v="799"/>
    <n v="79.900000000000006"/>
    <n v="719.1"/>
    <n v="216"/>
    <n v="216"/>
    <n v="60"/>
    <n v="443.1"/>
    <n v="0.61618690029203171"/>
    <x v="1"/>
    <d v="2024-05-12T00:00:00"/>
    <n v="5"/>
    <x v="2"/>
    <m/>
    <n v="0"/>
  </r>
  <r>
    <s v="ORD-100606"/>
    <x v="126"/>
    <x v="0"/>
    <d v="2024-05-01T00:00:00"/>
    <n v="5"/>
    <s v="CUST-01030"/>
    <x v="0"/>
    <x v="16"/>
    <s v="UP"/>
    <x v="0"/>
    <s v="Lucknow"/>
    <x v="0"/>
    <s v="P303"/>
    <s v="Joggers"/>
    <x v="1"/>
    <n v="1"/>
    <n v="1199"/>
    <n v="0.05"/>
    <n v="1199"/>
    <n v="59.95"/>
    <n v="1139.05"/>
    <n v="492"/>
    <n v="492"/>
    <n v="60"/>
    <n v="587.04999999999995"/>
    <n v="0.51538562837452262"/>
    <x v="0"/>
    <d v="2024-05-09T00:00:00"/>
    <n v="2"/>
    <x v="1"/>
    <n v="4"/>
    <n v="0"/>
  </r>
  <r>
    <s v="ORD-100607"/>
    <x v="126"/>
    <x v="0"/>
    <d v="2024-05-01T00:00:00"/>
    <n v="5"/>
    <s v="CUST-00635"/>
    <x v="0"/>
    <x v="13"/>
    <s v="MP"/>
    <x v="1"/>
    <s v="Indore"/>
    <x v="0"/>
    <s v="P201"/>
    <s v="Onion Hair Oil"/>
    <x v="6"/>
    <n v="1"/>
    <n v="349"/>
    <n v="0.3"/>
    <n v="349"/>
    <n v="104.7"/>
    <n v="244.3"/>
    <n v="105"/>
    <n v="105"/>
    <n v="120"/>
    <n v="19.300000000000011"/>
    <n v="7.9001227998362705E-2"/>
    <x v="3"/>
    <d v="2024-05-10T00:00:00"/>
    <n v="3"/>
    <x v="0"/>
    <m/>
    <n v="1"/>
  </r>
  <r>
    <s v="ORD-100608"/>
    <x v="126"/>
    <x v="0"/>
    <d v="2024-05-01T00:00:00"/>
    <n v="5"/>
    <s v="CUST-00847"/>
    <x v="1"/>
    <x v="2"/>
    <s v="MH"/>
    <x v="1"/>
    <s v="Pune"/>
    <x v="3"/>
    <s v="P104"/>
    <s v="Hydrating Face Wash"/>
    <x v="3"/>
    <n v="2"/>
    <n v="299"/>
    <n v="0"/>
    <n v="598"/>
    <n v="0"/>
    <n v="598"/>
    <n v="90"/>
    <n v="180"/>
    <n v="120"/>
    <n v="298"/>
    <n v="0.49832775919732442"/>
    <x v="0"/>
    <d v="2024-05-08T00:00:00"/>
    <n v="1"/>
    <x v="1"/>
    <n v="4"/>
    <n v="1"/>
  </r>
  <r>
    <s v="ORD-100609"/>
    <x v="126"/>
    <x v="0"/>
    <d v="2024-05-01T00:00:00"/>
    <n v="5"/>
    <s v="CUST-00408"/>
    <x v="0"/>
    <x v="2"/>
    <s v="MH"/>
    <x v="1"/>
    <s v="Pune"/>
    <x v="2"/>
    <s v="P703"/>
    <s v="Green Tea (100 bags)"/>
    <x v="0"/>
    <n v="1"/>
    <n v="399"/>
    <n v="0.25"/>
    <n v="399"/>
    <n v="99.75"/>
    <n v="299.25"/>
    <n v="128"/>
    <n v="128"/>
    <n v="60"/>
    <n v="111.25"/>
    <n v="0.37176274018379279"/>
    <x v="3"/>
    <d v="2024-05-11T00:00:00"/>
    <n v="4"/>
    <x v="0"/>
    <n v="4"/>
    <n v="0"/>
  </r>
  <r>
    <s v="ORD-100610"/>
    <x v="126"/>
    <x v="0"/>
    <d v="2024-05-01T00:00:00"/>
    <n v="5"/>
    <s v="CUST-00961"/>
    <x v="0"/>
    <x v="21"/>
    <s v="TG"/>
    <x v="3"/>
    <s v="Hyderabad"/>
    <x v="1"/>
    <s v="P302"/>
    <s v="Linen Kurta"/>
    <x v="1"/>
    <n v="2"/>
    <n v="1499"/>
    <n v="0.35"/>
    <n v="2998"/>
    <n v="1049.3"/>
    <n v="1948.7"/>
    <n v="630"/>
    <n v="1260"/>
    <n v="60"/>
    <n v="628.70000000000005"/>
    <n v="0.32262533997023657"/>
    <x v="0"/>
    <d v="2024-05-08T00:00:00"/>
    <n v="1"/>
    <x v="1"/>
    <n v="5"/>
    <n v="0"/>
  </r>
  <r>
    <s v="ORD-100611"/>
    <x v="126"/>
    <x v="0"/>
    <d v="2024-05-01T00:00:00"/>
    <n v="5"/>
    <s v="CUST-00203"/>
    <x v="0"/>
    <x v="17"/>
    <s v="TN"/>
    <x v="3"/>
    <s v="Coimbatore"/>
    <x v="0"/>
    <s v="P703"/>
    <s v="Green Tea (100 bags)"/>
    <x v="0"/>
    <n v="1"/>
    <n v="399"/>
    <n v="0.35"/>
    <n v="399"/>
    <n v="139.64999999999998"/>
    <n v="259.35000000000002"/>
    <n v="128"/>
    <n v="128"/>
    <n v="60"/>
    <n v="71.350000000000023"/>
    <n v="0.27511085405822255"/>
    <x v="1"/>
    <d v="2024-05-08T00:00:00"/>
    <n v="1"/>
    <x v="1"/>
    <n v="5"/>
    <n v="0"/>
  </r>
  <r>
    <s v="ORD-100612"/>
    <x v="127"/>
    <x v="0"/>
    <d v="2024-05-01T00:00:00"/>
    <n v="5"/>
    <s v="CUST-00874"/>
    <x v="0"/>
    <x v="16"/>
    <s v="UP"/>
    <x v="0"/>
    <s v="Kanpur"/>
    <x v="4"/>
    <s v="P304"/>
    <s v="Denim Jacket"/>
    <x v="1"/>
    <n v="1"/>
    <n v="2499"/>
    <n v="0"/>
    <n v="2499"/>
    <n v="0"/>
    <n v="2499"/>
    <n v="1125"/>
    <n v="1125"/>
    <n v="60"/>
    <n v="1314"/>
    <n v="0.5258103241296519"/>
    <x v="1"/>
    <d v="2024-05-12T00:00:00"/>
    <n v="4"/>
    <x v="0"/>
    <m/>
    <n v="0"/>
  </r>
  <r>
    <s v="ORD-100613"/>
    <x v="127"/>
    <x v="0"/>
    <d v="2024-05-01T00:00:00"/>
    <n v="5"/>
    <s v="CUST-00347"/>
    <x v="0"/>
    <x v="16"/>
    <s v="UP"/>
    <x v="0"/>
    <s v="Kanpur"/>
    <x v="0"/>
    <s v="P704"/>
    <s v="Multivitamin Gummies"/>
    <x v="0"/>
    <n v="2"/>
    <n v="699"/>
    <n v="0.3"/>
    <n v="1398"/>
    <n v="419.4"/>
    <n v="978.6"/>
    <n v="238"/>
    <n v="476"/>
    <n v="60"/>
    <n v="442.6"/>
    <n v="0.45227876558348662"/>
    <x v="0"/>
    <d v="2024-05-10T00:00:00"/>
    <n v="2"/>
    <x v="1"/>
    <n v="5"/>
    <n v="0"/>
  </r>
  <r>
    <s v="ORD-100614"/>
    <x v="127"/>
    <x v="0"/>
    <d v="2024-05-01T00:00:00"/>
    <n v="5"/>
    <s v="CUST-00011"/>
    <x v="0"/>
    <x v="1"/>
    <s v="GJ"/>
    <x v="1"/>
    <s v="Ahmedabad"/>
    <x v="2"/>
    <s v="P103"/>
    <s v="Niacinamide Toner"/>
    <x v="3"/>
    <n v="1"/>
    <n v="399"/>
    <n v="0.15"/>
    <n v="399"/>
    <n v="59.849999999999994"/>
    <n v="339.15"/>
    <n v="112"/>
    <n v="112"/>
    <n v="60"/>
    <n v="167.14999999999998"/>
    <n v="0.49284977148754233"/>
    <x v="3"/>
    <d v="2024-05-11T00:00:00"/>
    <n v="3"/>
    <x v="0"/>
    <n v="3"/>
    <n v="0"/>
  </r>
  <r>
    <s v="ORD-100615"/>
    <x v="127"/>
    <x v="0"/>
    <d v="2024-05-01T00:00:00"/>
    <n v="5"/>
    <s v="CUST-00494"/>
    <x v="0"/>
    <x v="7"/>
    <s v="JH"/>
    <x v="2"/>
    <s v="Ranchi"/>
    <x v="3"/>
    <s v="P201"/>
    <s v="Onion Hair Oil"/>
    <x v="6"/>
    <n v="2"/>
    <n v="349"/>
    <n v="0.35"/>
    <n v="698"/>
    <n v="244.29999999999998"/>
    <n v="453.70000000000005"/>
    <n v="105"/>
    <n v="210"/>
    <n v="60"/>
    <n v="183.70000000000005"/>
    <n v="0.40489310116817284"/>
    <x v="0"/>
    <d v="2024-05-12T00:00:00"/>
    <n v="4"/>
    <x v="0"/>
    <m/>
    <n v="0"/>
  </r>
  <r>
    <s v="ORD-100616"/>
    <x v="127"/>
    <x v="0"/>
    <d v="2024-05-01T00:00:00"/>
    <n v="5"/>
    <s v="CUST-03021"/>
    <x v="0"/>
    <x v="21"/>
    <s v="TG"/>
    <x v="3"/>
    <s v="Hyderabad"/>
    <x v="0"/>
    <s v="P701"/>
    <s v="Ashwagandha Capsules"/>
    <x v="0"/>
    <n v="1"/>
    <n v="499"/>
    <n v="0.1"/>
    <n v="499"/>
    <n v="49.900000000000006"/>
    <n v="449.1"/>
    <n v="150"/>
    <n v="150"/>
    <n v="60"/>
    <n v="239.10000000000002"/>
    <n v="0.53239812959251842"/>
    <x v="0"/>
    <d v="2024-05-11T00:00:00"/>
    <n v="3"/>
    <x v="0"/>
    <m/>
    <n v="0"/>
  </r>
  <r>
    <s v="ORD-100617"/>
    <x v="128"/>
    <x v="0"/>
    <d v="2024-05-01T00:00:00"/>
    <n v="5"/>
    <s v="CUST-00898"/>
    <x v="0"/>
    <x v="12"/>
    <s v="BR"/>
    <x v="2"/>
    <s v="Patna"/>
    <x v="3"/>
    <s v="P702"/>
    <s v="Whey Protein 1kg"/>
    <x v="0"/>
    <n v="1"/>
    <n v="2299"/>
    <n v="0.3"/>
    <n v="2299"/>
    <n v="689.69999999999993"/>
    <n v="1609.3000000000002"/>
    <n v="1333"/>
    <n v="1333"/>
    <n v="60"/>
    <n v="216.30000000000018"/>
    <n v="0.13440626359286656"/>
    <x v="3"/>
    <d v="2024-05-14T00:00:00"/>
    <n v="5"/>
    <x v="2"/>
    <n v="4"/>
    <n v="0"/>
  </r>
  <r>
    <s v="ORD-100618"/>
    <x v="128"/>
    <x v="0"/>
    <d v="2024-05-01T00:00:00"/>
    <n v="5"/>
    <s v="CUST-00947"/>
    <x v="0"/>
    <x v="18"/>
    <s v="WB"/>
    <x v="2"/>
    <s v="Kolkata"/>
    <x v="4"/>
    <s v="P404"/>
    <s v="Flip Flops"/>
    <x v="5"/>
    <n v="1"/>
    <n v="399"/>
    <n v="0.15"/>
    <n v="399"/>
    <n v="59.849999999999994"/>
    <n v="339.15"/>
    <n v="152"/>
    <n v="152"/>
    <n v="60"/>
    <n v="127.14999999999998"/>
    <n v="0.37490785787999409"/>
    <x v="0"/>
    <d v="2024-05-12T00:00:00"/>
    <n v="3"/>
    <x v="0"/>
    <n v="4"/>
    <n v="0"/>
  </r>
  <r>
    <s v="ORD-100619"/>
    <x v="128"/>
    <x v="0"/>
    <d v="2024-05-01T00:00:00"/>
    <n v="5"/>
    <s v="CUST-02352"/>
    <x v="0"/>
    <x v="2"/>
    <s v="MH"/>
    <x v="1"/>
    <s v="Mumbai"/>
    <x v="2"/>
    <s v="P704"/>
    <s v="Multivitamin Gummies"/>
    <x v="0"/>
    <n v="1"/>
    <n v="699"/>
    <n v="0.25"/>
    <n v="699"/>
    <n v="174.75"/>
    <n v="524.25"/>
    <n v="238"/>
    <n v="238"/>
    <n v="60"/>
    <n v="226.25"/>
    <n v="0.43156890796375774"/>
    <x v="0"/>
    <d v="2024-05-11T00:00:00"/>
    <n v="2"/>
    <x v="1"/>
    <m/>
    <n v="0"/>
  </r>
  <r>
    <s v="ORD-100620"/>
    <x v="128"/>
    <x v="0"/>
    <d v="2024-05-01T00:00:00"/>
    <n v="5"/>
    <s v="CUST-00514"/>
    <x v="0"/>
    <x v="11"/>
    <s v="KA"/>
    <x v="3"/>
    <s v="Mysuru"/>
    <x v="3"/>
    <s v="P202"/>
    <s v="Argan Shampoo"/>
    <x v="6"/>
    <n v="1"/>
    <n v="449"/>
    <n v="0.1"/>
    <n v="449"/>
    <n v="44.900000000000006"/>
    <n v="404.1"/>
    <n v="148"/>
    <n v="148"/>
    <n v="60"/>
    <n v="196.10000000000002"/>
    <n v="0.48527592180153428"/>
    <x v="0"/>
    <d v="2024-05-10T00:00:00"/>
    <n v="1"/>
    <x v="1"/>
    <n v="4"/>
    <n v="0"/>
  </r>
  <r>
    <s v="ORD-100621"/>
    <x v="128"/>
    <x v="0"/>
    <d v="2024-05-01T00:00:00"/>
    <n v="5"/>
    <s v="CUST-00242"/>
    <x v="0"/>
    <x v="14"/>
    <s v="KL"/>
    <x v="3"/>
    <s v="Thiruvananthapuram"/>
    <x v="3"/>
    <s v="P201"/>
    <s v="Onion Hair Oil"/>
    <x v="6"/>
    <n v="1"/>
    <n v="349"/>
    <n v="0.35"/>
    <n v="349"/>
    <n v="122.14999999999999"/>
    <n v="226.85000000000002"/>
    <n v="105"/>
    <n v="105"/>
    <n v="60"/>
    <n v="61.850000000000023"/>
    <n v="0.27264712364998905"/>
    <x v="0"/>
    <d v="2024-05-11T00:00:00"/>
    <n v="2"/>
    <x v="1"/>
    <m/>
    <n v="0"/>
  </r>
  <r>
    <s v="ORD-100622"/>
    <x v="129"/>
    <x v="0"/>
    <d v="2024-05-01T00:00:00"/>
    <n v="5"/>
    <s v="CUST-00767"/>
    <x v="0"/>
    <x v="0"/>
    <s v="RJ"/>
    <x v="0"/>
    <s v="Jaipur"/>
    <x v="1"/>
    <s v="P404"/>
    <s v="Flip Flops"/>
    <x v="5"/>
    <n v="2"/>
    <n v="399"/>
    <n v="0.2"/>
    <n v="798"/>
    <n v="159.60000000000002"/>
    <n v="638.4"/>
    <n v="152"/>
    <n v="304"/>
    <n v="60"/>
    <n v="274.39999999999998"/>
    <n v="0.42982456140350878"/>
    <x v="0"/>
    <d v="2024-05-13T00:00:00"/>
    <n v="3"/>
    <x v="0"/>
    <m/>
    <n v="0"/>
  </r>
  <r>
    <s v="ORD-100623"/>
    <x v="129"/>
    <x v="0"/>
    <d v="2024-05-01T00:00:00"/>
    <n v="5"/>
    <s v="CUST-00792"/>
    <x v="0"/>
    <x v="15"/>
    <s v="HR"/>
    <x v="0"/>
    <s v="Gurugram"/>
    <x v="4"/>
    <s v="P404"/>
    <s v="Flip Flops"/>
    <x v="5"/>
    <n v="4"/>
    <n v="399"/>
    <n v="0.1"/>
    <n v="1596"/>
    <n v="159.60000000000002"/>
    <n v="1436.4"/>
    <n v="152"/>
    <n v="608"/>
    <n v="120"/>
    <n v="708.40000000000009"/>
    <n v="0.49317738791423005"/>
    <x v="0"/>
    <d v="2024-05-12T00:00:00"/>
    <n v="2"/>
    <x v="1"/>
    <n v="4"/>
    <n v="1"/>
  </r>
  <r>
    <s v="ORD-100624"/>
    <x v="129"/>
    <x v="0"/>
    <d v="2024-05-01T00:00:00"/>
    <n v="5"/>
    <s v="CUST-01098"/>
    <x v="1"/>
    <x v="6"/>
    <s v="DL"/>
    <x v="0"/>
    <s v="New Delhi"/>
    <x v="0"/>
    <s v="P105"/>
    <s v="Retinol Night Cream"/>
    <x v="3"/>
    <n v="1"/>
    <n v="799"/>
    <n v="0"/>
    <n v="799"/>
    <n v="0"/>
    <n v="799"/>
    <n v="216"/>
    <n v="216"/>
    <n v="60"/>
    <n v="523"/>
    <n v="0.65456821026282852"/>
    <x v="0"/>
    <d v="2024-05-11T00:00:00"/>
    <n v="1"/>
    <x v="1"/>
    <n v="5"/>
    <n v="0"/>
  </r>
  <r>
    <s v="ORD-100625"/>
    <x v="129"/>
    <x v="0"/>
    <d v="2024-05-01T00:00:00"/>
    <n v="5"/>
    <s v="CUST-03123"/>
    <x v="0"/>
    <x v="6"/>
    <s v="DL"/>
    <x v="0"/>
    <s v="New Delhi"/>
    <x v="0"/>
    <s v="P102"/>
    <s v="Sunscreen SPF 50"/>
    <x v="3"/>
    <n v="1"/>
    <n v="449"/>
    <n v="0.05"/>
    <n v="449"/>
    <n v="22.450000000000003"/>
    <n v="426.55"/>
    <n v="144"/>
    <n v="144"/>
    <n v="60"/>
    <n v="222.55"/>
    <n v="0.52174422693705313"/>
    <x v="2"/>
    <d v="2024-05-12T00:00:00"/>
    <n v="2"/>
    <x v="1"/>
    <m/>
    <n v="0"/>
  </r>
  <r>
    <s v="ORD-100626"/>
    <x v="129"/>
    <x v="0"/>
    <d v="2024-05-01T00:00:00"/>
    <n v="5"/>
    <s v="CUST-02791"/>
    <x v="0"/>
    <x v="16"/>
    <s v="UP"/>
    <x v="0"/>
    <s v="Lucknow"/>
    <x v="3"/>
    <s v="P103"/>
    <s v="Niacinamide Toner"/>
    <x v="3"/>
    <n v="1"/>
    <n v="399"/>
    <n v="0.2"/>
    <n v="399"/>
    <n v="79.800000000000011"/>
    <n v="319.2"/>
    <n v="112"/>
    <n v="112"/>
    <n v="60"/>
    <n v="147.19999999999999"/>
    <n v="0.46115288220551376"/>
    <x v="0"/>
    <d v="2024-05-12T00:00:00"/>
    <n v="2"/>
    <x v="1"/>
    <n v="5"/>
    <n v="0"/>
  </r>
  <r>
    <s v="ORD-100627"/>
    <x v="129"/>
    <x v="0"/>
    <d v="2024-05-01T00:00:00"/>
    <n v="5"/>
    <s v="CUST-02321"/>
    <x v="0"/>
    <x v="1"/>
    <s v="GJ"/>
    <x v="1"/>
    <s v="Ahmedabad"/>
    <x v="0"/>
    <s v="P202"/>
    <s v="Argan Shampoo"/>
    <x v="6"/>
    <n v="2"/>
    <n v="449"/>
    <n v="0.15"/>
    <n v="898"/>
    <n v="134.69999999999999"/>
    <n v="763.3"/>
    <n v="148"/>
    <n v="296"/>
    <n v="60"/>
    <n v="407.29999999999995"/>
    <n v="0.53360408751473865"/>
    <x v="0"/>
    <d v="2024-05-15T00:00:00"/>
    <n v="5"/>
    <x v="2"/>
    <m/>
    <n v="0"/>
  </r>
  <r>
    <s v="ORD-100628"/>
    <x v="129"/>
    <x v="0"/>
    <d v="2024-05-01T00:00:00"/>
    <n v="5"/>
    <s v="CUST-00731"/>
    <x v="1"/>
    <x v="1"/>
    <s v="GJ"/>
    <x v="1"/>
    <s v="Ahmedabad"/>
    <x v="3"/>
    <s v="P101"/>
    <s v="Vitamin C Face Serum"/>
    <x v="3"/>
    <n v="1"/>
    <n v="599"/>
    <n v="0.2"/>
    <n v="599"/>
    <n v="119.80000000000001"/>
    <n v="479.2"/>
    <n v="180"/>
    <n v="180"/>
    <n v="60"/>
    <n v="239.2"/>
    <n v="0.4991652754590985"/>
    <x v="3"/>
    <d v="2024-05-15T00:00:00"/>
    <n v="5"/>
    <x v="2"/>
    <m/>
    <n v="0"/>
  </r>
  <r>
    <s v="ORD-100629"/>
    <x v="129"/>
    <x v="0"/>
    <d v="2024-05-01T00:00:00"/>
    <n v="5"/>
    <s v="CUST-02384"/>
    <x v="1"/>
    <x v="1"/>
    <s v="GJ"/>
    <x v="1"/>
    <s v="Ahmedabad"/>
    <x v="2"/>
    <s v="P103"/>
    <s v="Niacinamide Toner"/>
    <x v="3"/>
    <n v="1"/>
    <n v="399"/>
    <n v="0.15"/>
    <n v="399"/>
    <n v="59.849999999999994"/>
    <n v="339.15"/>
    <n v="112"/>
    <n v="112"/>
    <n v="60"/>
    <n v="167.14999999999998"/>
    <n v="0.49284977148754233"/>
    <x v="0"/>
    <d v="2024-05-13T00:00:00"/>
    <n v="3"/>
    <x v="0"/>
    <n v="3"/>
    <n v="0"/>
  </r>
  <r>
    <s v="ORD-100630"/>
    <x v="129"/>
    <x v="0"/>
    <d v="2024-05-01T00:00:00"/>
    <n v="5"/>
    <s v="CUST-01210"/>
    <x v="0"/>
    <x v="1"/>
    <s v="GJ"/>
    <x v="1"/>
    <s v="Surat"/>
    <x v="1"/>
    <s v="P401"/>
    <s v="Running Shoes"/>
    <x v="5"/>
    <n v="2"/>
    <n v="2999"/>
    <n v="0.2"/>
    <n v="5998"/>
    <n v="1199.6000000000001"/>
    <n v="4798.3999999999996"/>
    <n v="1440"/>
    <n v="2880"/>
    <n v="60"/>
    <n v="1858.3999999999996"/>
    <n v="0.38729576525508497"/>
    <x v="0"/>
    <d v="2024-05-13T00:00:00"/>
    <n v="3"/>
    <x v="0"/>
    <n v="4"/>
    <n v="0"/>
  </r>
  <r>
    <s v="ORD-100631"/>
    <x v="129"/>
    <x v="0"/>
    <d v="2024-05-01T00:00:00"/>
    <n v="5"/>
    <s v="CUST-02848"/>
    <x v="0"/>
    <x v="18"/>
    <s v="WB"/>
    <x v="2"/>
    <s v="Kolkata"/>
    <x v="0"/>
    <s v="P303"/>
    <s v="Joggers"/>
    <x v="1"/>
    <n v="2"/>
    <n v="1199"/>
    <n v="0.1"/>
    <n v="2398"/>
    <n v="239.8"/>
    <n v="2158.1999999999998"/>
    <n v="492"/>
    <n v="984"/>
    <n v="60"/>
    <n v="1114.1999999999998"/>
    <n v="0.51626355296080062"/>
    <x v="0"/>
    <d v="2024-05-14T00:00:00"/>
    <n v="4"/>
    <x v="0"/>
    <n v="4"/>
    <n v="0"/>
  </r>
  <r>
    <s v="ORD-100632"/>
    <x v="129"/>
    <x v="0"/>
    <d v="2024-05-01T00:00:00"/>
    <n v="5"/>
    <s v="CUST-01169"/>
    <x v="0"/>
    <x v="14"/>
    <s v="KL"/>
    <x v="3"/>
    <s v="Thiruvananthapuram"/>
    <x v="1"/>
    <s v="P305"/>
    <s v="Printed Saree"/>
    <x v="1"/>
    <n v="1"/>
    <n v="1999"/>
    <n v="0"/>
    <n v="1999"/>
    <n v="0"/>
    <n v="1999"/>
    <n v="880"/>
    <n v="880"/>
    <n v="60"/>
    <n v="1059"/>
    <n v="0.52976488244122066"/>
    <x v="1"/>
    <d v="2024-05-14T00:00:00"/>
    <n v="4"/>
    <x v="0"/>
    <m/>
    <n v="0"/>
  </r>
  <r>
    <s v="ORD-100633"/>
    <x v="130"/>
    <x v="0"/>
    <d v="2024-05-01T00:00:00"/>
    <n v="5"/>
    <s v="CUST-02557"/>
    <x v="0"/>
    <x v="15"/>
    <s v="HR"/>
    <x v="0"/>
    <s v="Gurugram"/>
    <x v="0"/>
    <s v="P101"/>
    <s v="Vitamin C Face Serum"/>
    <x v="3"/>
    <n v="1"/>
    <n v="599"/>
    <n v="0.15"/>
    <n v="599"/>
    <n v="89.85"/>
    <n v="509.15"/>
    <n v="180"/>
    <n v="180"/>
    <n v="60"/>
    <n v="269.14999999999998"/>
    <n v="0.52862614160856325"/>
    <x v="1"/>
    <d v="2024-05-14T00:00:00"/>
    <n v="3"/>
    <x v="0"/>
    <m/>
    <n v="0"/>
  </r>
  <r>
    <s v="ORD-100634"/>
    <x v="130"/>
    <x v="0"/>
    <d v="2024-05-01T00:00:00"/>
    <n v="5"/>
    <s v="CUST-01005"/>
    <x v="1"/>
    <x v="1"/>
    <s v="GJ"/>
    <x v="1"/>
    <s v="Ahmedabad"/>
    <x v="4"/>
    <s v="P401"/>
    <s v="Running Shoes"/>
    <x v="5"/>
    <n v="1"/>
    <n v="2999"/>
    <n v="0.15"/>
    <n v="2999"/>
    <n v="449.84999999999997"/>
    <n v="2549.15"/>
    <n v="1440"/>
    <n v="1440"/>
    <n v="60"/>
    <n v="1049.1500000000001"/>
    <n v="0.41156856206970954"/>
    <x v="3"/>
    <d v="2024-05-13T00:00:00"/>
    <n v="2"/>
    <x v="1"/>
    <n v="4"/>
    <n v="0"/>
  </r>
  <r>
    <s v="ORD-100635"/>
    <x v="130"/>
    <x v="0"/>
    <d v="2024-05-01T00:00:00"/>
    <n v="5"/>
    <s v="CUST-00790"/>
    <x v="0"/>
    <x v="1"/>
    <s v="GJ"/>
    <x v="1"/>
    <s v="Surat"/>
    <x v="4"/>
    <s v="P104"/>
    <s v="Hydrating Face Wash"/>
    <x v="3"/>
    <n v="1"/>
    <n v="299"/>
    <n v="0"/>
    <n v="299"/>
    <n v="0"/>
    <n v="299"/>
    <n v="90"/>
    <n v="90"/>
    <n v="60"/>
    <n v="149"/>
    <n v="0.49832775919732442"/>
    <x v="0"/>
    <d v="2024-05-15T00:00:00"/>
    <n v="4"/>
    <x v="0"/>
    <n v="4"/>
    <n v="0"/>
  </r>
  <r>
    <s v="ORD-100636"/>
    <x v="130"/>
    <x v="0"/>
    <d v="2024-05-01T00:00:00"/>
    <n v="5"/>
    <s v="CUST-00827"/>
    <x v="0"/>
    <x v="2"/>
    <s v="MH"/>
    <x v="1"/>
    <s v="Mumbai"/>
    <x v="4"/>
    <s v="P102"/>
    <s v="Sunscreen SPF 50"/>
    <x v="3"/>
    <n v="1"/>
    <n v="449"/>
    <n v="0.15"/>
    <n v="449"/>
    <n v="67.349999999999994"/>
    <n v="381.65"/>
    <n v="144"/>
    <n v="144"/>
    <n v="60"/>
    <n v="177.64999999999998"/>
    <n v="0.465478841870824"/>
    <x v="0"/>
    <d v="2024-05-14T00:00:00"/>
    <n v="3"/>
    <x v="0"/>
    <n v="3"/>
    <n v="0"/>
  </r>
  <r>
    <s v="ORD-100637"/>
    <x v="130"/>
    <x v="0"/>
    <d v="2024-05-01T00:00:00"/>
    <n v="5"/>
    <s v="CUST-00516"/>
    <x v="0"/>
    <x v="21"/>
    <s v="TG"/>
    <x v="3"/>
    <s v="Hyderabad"/>
    <x v="2"/>
    <s v="P704"/>
    <s v="Multivitamin Gummies"/>
    <x v="0"/>
    <n v="1"/>
    <n v="699"/>
    <n v="0.1"/>
    <n v="699"/>
    <n v="69.900000000000006"/>
    <n v="629.1"/>
    <n v="238"/>
    <n v="238"/>
    <n v="60"/>
    <n v="331.1"/>
    <n v="0.52630742330313152"/>
    <x v="0"/>
    <d v="2024-05-16T00:00:00"/>
    <n v="5"/>
    <x v="2"/>
    <n v="3"/>
    <n v="0"/>
  </r>
  <r>
    <s v="ORD-100638"/>
    <x v="130"/>
    <x v="0"/>
    <d v="2024-05-01T00:00:00"/>
    <n v="5"/>
    <s v="CUST-02588"/>
    <x v="0"/>
    <x v="11"/>
    <s v="KA"/>
    <x v="3"/>
    <s v="Mysuru"/>
    <x v="3"/>
    <s v="P703"/>
    <s v="Green Tea (100 bags)"/>
    <x v="0"/>
    <n v="2"/>
    <n v="399"/>
    <n v="0.35"/>
    <n v="798"/>
    <n v="279.29999999999995"/>
    <n v="518.70000000000005"/>
    <n v="128"/>
    <n v="256"/>
    <n v="60"/>
    <n v="202.70000000000005"/>
    <n v="0.39078465394254874"/>
    <x v="3"/>
    <d v="2024-05-14T00:00:00"/>
    <n v="3"/>
    <x v="0"/>
    <m/>
    <n v="0"/>
  </r>
  <r>
    <s v="ORD-100639"/>
    <x v="131"/>
    <x v="0"/>
    <d v="2024-05-01T00:00:00"/>
    <n v="5"/>
    <s v="CUST-01552"/>
    <x v="0"/>
    <x v="16"/>
    <s v="UP"/>
    <x v="0"/>
    <s v="Noida"/>
    <x v="2"/>
    <s v="P601"/>
    <s v="Wireless Earbuds"/>
    <x v="2"/>
    <n v="4"/>
    <n v="1999"/>
    <n v="0.4"/>
    <n v="7996"/>
    <n v="3198.4"/>
    <n v="4797.6000000000004"/>
    <n v="1239"/>
    <n v="4956"/>
    <n v="60"/>
    <n v="-218.39999999999964"/>
    <n v="-4.5522761380690266E-2"/>
    <x v="4"/>
    <d v="2024-05-15T00:00:00"/>
    <n v="3"/>
    <x v="0"/>
    <n v="3"/>
    <n v="0"/>
  </r>
  <r>
    <s v="ORD-100640"/>
    <x v="131"/>
    <x v="0"/>
    <d v="2024-05-01T00:00:00"/>
    <n v="5"/>
    <s v="CUST-01166"/>
    <x v="0"/>
    <x v="18"/>
    <s v="WB"/>
    <x v="2"/>
    <s v="Kolkata"/>
    <x v="0"/>
    <s v="P202"/>
    <s v="Argan Shampoo"/>
    <x v="6"/>
    <n v="3"/>
    <n v="449"/>
    <n v="0.05"/>
    <n v="1347"/>
    <n v="67.350000000000009"/>
    <n v="1279.6500000000001"/>
    <n v="148"/>
    <n v="444"/>
    <n v="60"/>
    <n v="775.65000000000009"/>
    <n v="0.60614230453639673"/>
    <x v="0"/>
    <d v="2024-05-16T00:00:00"/>
    <n v="4"/>
    <x v="0"/>
    <n v="4"/>
    <n v="0"/>
  </r>
  <r>
    <s v="ORD-100641"/>
    <x v="131"/>
    <x v="0"/>
    <d v="2024-05-01T00:00:00"/>
    <n v="5"/>
    <s v="CUST-00973"/>
    <x v="1"/>
    <x v="20"/>
    <s v="GA"/>
    <x v="1"/>
    <s v="Panaji"/>
    <x v="2"/>
    <s v="P601"/>
    <s v="Wireless Earbuds"/>
    <x v="2"/>
    <n v="2"/>
    <n v="1999"/>
    <n v="0.4"/>
    <n v="3998"/>
    <n v="1599.2"/>
    <n v="2398.8000000000002"/>
    <n v="1239"/>
    <n v="2478"/>
    <n v="60"/>
    <n v="-139.19999999999982"/>
    <n v="-5.8029014507253548E-2"/>
    <x v="0"/>
    <d v="2024-05-16T00:00:00"/>
    <n v="4"/>
    <x v="0"/>
    <n v="4"/>
    <n v="0"/>
  </r>
  <r>
    <s v="ORD-100642"/>
    <x v="131"/>
    <x v="0"/>
    <d v="2024-05-01T00:00:00"/>
    <n v="5"/>
    <s v="CUST-00445"/>
    <x v="1"/>
    <x v="11"/>
    <s v="KA"/>
    <x v="3"/>
    <s v="Mysuru"/>
    <x v="3"/>
    <s v="P203"/>
    <s v="Keratin Hair Mask"/>
    <x v="6"/>
    <n v="1"/>
    <n v="549"/>
    <n v="0.15"/>
    <n v="549"/>
    <n v="82.35"/>
    <n v="466.65"/>
    <n v="170"/>
    <n v="170"/>
    <n v="60"/>
    <n v="236.64999999999998"/>
    <n v="0.50712525447337398"/>
    <x v="0"/>
    <d v="2024-05-14T00:00:00"/>
    <n v="2"/>
    <x v="1"/>
    <n v="3"/>
    <n v="0"/>
  </r>
  <r>
    <s v="ORD-100643"/>
    <x v="131"/>
    <x v="0"/>
    <d v="2024-05-01T00:00:00"/>
    <n v="5"/>
    <s v="CUST-01245"/>
    <x v="0"/>
    <x v="17"/>
    <s v="TN"/>
    <x v="3"/>
    <s v="Coimbatore"/>
    <x v="4"/>
    <s v="P703"/>
    <s v="Green Tea (100 bags)"/>
    <x v="0"/>
    <n v="1"/>
    <n v="399"/>
    <n v="0.35"/>
    <n v="399"/>
    <n v="139.64999999999998"/>
    <n v="259.35000000000002"/>
    <n v="128"/>
    <n v="128"/>
    <n v="60"/>
    <n v="71.350000000000023"/>
    <n v="0.27511085405822255"/>
    <x v="0"/>
    <d v="2024-05-15T00:00:00"/>
    <n v="3"/>
    <x v="0"/>
    <m/>
    <n v="0"/>
  </r>
  <r>
    <s v="ORD-100644"/>
    <x v="132"/>
    <x v="0"/>
    <d v="2024-05-01T00:00:00"/>
    <n v="5"/>
    <s v="CUST-00108"/>
    <x v="0"/>
    <x v="4"/>
    <s v="JK"/>
    <x v="0"/>
    <s v="Srinagar"/>
    <x v="0"/>
    <s v="P103"/>
    <s v="Niacinamide Toner"/>
    <x v="3"/>
    <n v="1"/>
    <n v="399"/>
    <n v="0.25"/>
    <n v="399"/>
    <n v="99.75"/>
    <n v="299.25"/>
    <n v="112"/>
    <n v="112"/>
    <n v="60"/>
    <n v="127.25"/>
    <n v="0.42522974101921468"/>
    <x v="0"/>
    <d v="2024-05-20T00:00:00"/>
    <n v="7"/>
    <x v="2"/>
    <n v="3"/>
    <n v="0"/>
  </r>
  <r>
    <s v="ORD-100645"/>
    <x v="132"/>
    <x v="0"/>
    <d v="2024-05-01T00:00:00"/>
    <n v="5"/>
    <s v="CUST-00090"/>
    <x v="0"/>
    <x v="19"/>
    <s v="PB"/>
    <x v="0"/>
    <s v="Amritsar"/>
    <x v="2"/>
    <s v="P102"/>
    <s v="Sunscreen SPF 50"/>
    <x v="3"/>
    <n v="1"/>
    <n v="449"/>
    <n v="0"/>
    <n v="449"/>
    <n v="0"/>
    <n v="449"/>
    <n v="144"/>
    <n v="144"/>
    <n v="60"/>
    <n v="245"/>
    <n v="0.54565701559020041"/>
    <x v="1"/>
    <d v="2024-05-16T00:00:00"/>
    <n v="3"/>
    <x v="0"/>
    <n v="5"/>
    <n v="0"/>
  </r>
  <r>
    <s v="ORD-100646"/>
    <x v="132"/>
    <x v="0"/>
    <d v="2024-05-01T00:00:00"/>
    <n v="5"/>
    <s v="CUST-02126"/>
    <x v="0"/>
    <x v="18"/>
    <s v="WB"/>
    <x v="2"/>
    <s v="Kolkata"/>
    <x v="2"/>
    <s v="P603"/>
    <s v="Smartwatch Strap"/>
    <x v="2"/>
    <n v="1"/>
    <n v="499"/>
    <n v="0.05"/>
    <n v="499"/>
    <n v="24.950000000000003"/>
    <n v="474.05"/>
    <n v="200"/>
    <n v="200"/>
    <n v="60"/>
    <n v="214.05"/>
    <n v="0.45153464824385614"/>
    <x v="4"/>
    <d v="2024-05-16T00:00:00"/>
    <n v="3"/>
    <x v="0"/>
    <n v="5"/>
    <n v="0"/>
  </r>
  <r>
    <s v="ORD-100647"/>
    <x v="132"/>
    <x v="0"/>
    <d v="2024-05-01T00:00:00"/>
    <n v="5"/>
    <s v="CUST-00205"/>
    <x v="0"/>
    <x v="2"/>
    <s v="MH"/>
    <x v="1"/>
    <s v="Pune"/>
    <x v="0"/>
    <s v="P302"/>
    <s v="Linen Kurta"/>
    <x v="1"/>
    <n v="2"/>
    <n v="1499"/>
    <n v="0.35"/>
    <n v="2998"/>
    <n v="1049.3"/>
    <n v="1948.7"/>
    <n v="630"/>
    <n v="1260"/>
    <n v="60"/>
    <n v="628.70000000000005"/>
    <n v="0.32262533997023657"/>
    <x v="0"/>
    <d v="2024-05-14T00:00:00"/>
    <n v="1"/>
    <x v="1"/>
    <n v="4"/>
    <n v="0"/>
  </r>
  <r>
    <s v="ORD-100648"/>
    <x v="132"/>
    <x v="0"/>
    <d v="2024-05-01T00:00:00"/>
    <n v="5"/>
    <s v="CUST-00205"/>
    <x v="1"/>
    <x v="21"/>
    <s v="TG"/>
    <x v="3"/>
    <s v="Hyderabad"/>
    <x v="0"/>
    <s v="P701"/>
    <s v="Ashwagandha Capsules"/>
    <x v="0"/>
    <n v="1"/>
    <n v="499"/>
    <n v="0.1"/>
    <n v="499"/>
    <n v="49.900000000000006"/>
    <n v="449.1"/>
    <n v="150"/>
    <n v="150"/>
    <n v="60"/>
    <n v="239.10000000000002"/>
    <n v="0.53239812959251842"/>
    <x v="1"/>
    <d v="2024-05-17T00:00:00"/>
    <n v="4"/>
    <x v="0"/>
    <n v="4"/>
    <n v="0"/>
  </r>
  <r>
    <s v="ORD-100649"/>
    <x v="132"/>
    <x v="0"/>
    <d v="2024-05-01T00:00:00"/>
    <n v="5"/>
    <s v="CUST-02390"/>
    <x v="0"/>
    <x v="11"/>
    <s v="KA"/>
    <x v="3"/>
    <s v="Mysuru"/>
    <x v="4"/>
    <s v="P402"/>
    <s v="Casual Sneakers"/>
    <x v="5"/>
    <n v="1"/>
    <n v="2199"/>
    <n v="0.3"/>
    <n v="2199"/>
    <n v="659.69999999999993"/>
    <n v="1539.3000000000002"/>
    <n v="1034"/>
    <n v="1034"/>
    <n v="60"/>
    <n v="445.30000000000018"/>
    <n v="0.28928733840057175"/>
    <x v="3"/>
    <d v="2024-05-16T00:00:00"/>
    <n v="3"/>
    <x v="0"/>
    <m/>
    <n v="0"/>
  </r>
  <r>
    <s v="ORD-100650"/>
    <x v="133"/>
    <x v="0"/>
    <d v="2024-05-01T00:00:00"/>
    <n v="5"/>
    <s v="CUST-01016"/>
    <x v="0"/>
    <x v="2"/>
    <s v="MH"/>
    <x v="1"/>
    <s v="Pune"/>
    <x v="4"/>
    <s v="P201"/>
    <s v="Onion Hair Oil"/>
    <x v="6"/>
    <n v="3"/>
    <n v="349"/>
    <n v="0.35"/>
    <n v="1047"/>
    <n v="366.45"/>
    <n v="680.55"/>
    <n v="105"/>
    <n v="315"/>
    <n v="60"/>
    <n v="305.54999999999995"/>
    <n v="0.44897509367423405"/>
    <x v="0"/>
    <d v="2024-05-16T00:00:00"/>
    <n v="2"/>
    <x v="1"/>
    <n v="4"/>
    <n v="0"/>
  </r>
  <r>
    <s v="ORD-100651"/>
    <x v="133"/>
    <x v="0"/>
    <d v="2024-05-01T00:00:00"/>
    <n v="5"/>
    <s v="CUST-00517"/>
    <x v="1"/>
    <x v="21"/>
    <s v="TG"/>
    <x v="3"/>
    <s v="Hyderabad"/>
    <x v="2"/>
    <s v="P401"/>
    <s v="Running Shoes"/>
    <x v="5"/>
    <n v="1"/>
    <n v="2999"/>
    <n v="0.25"/>
    <n v="2999"/>
    <n v="749.75"/>
    <n v="2249.25"/>
    <n v="1440"/>
    <n v="1440"/>
    <n v="60"/>
    <n v="749.25"/>
    <n v="0.33311103701233746"/>
    <x v="1"/>
    <d v="2024-05-16T00:00:00"/>
    <n v="2"/>
    <x v="1"/>
    <n v="5"/>
    <n v="0"/>
  </r>
  <r>
    <s v="ORD-100652"/>
    <x v="133"/>
    <x v="0"/>
    <d v="2024-05-01T00:00:00"/>
    <n v="5"/>
    <s v="CUST-00197"/>
    <x v="0"/>
    <x v="17"/>
    <s v="TN"/>
    <x v="3"/>
    <s v="Chennai"/>
    <x v="4"/>
    <s v="P102"/>
    <s v="Sunscreen SPF 50"/>
    <x v="3"/>
    <n v="1"/>
    <n v="449"/>
    <n v="0.05"/>
    <n v="449"/>
    <n v="22.450000000000003"/>
    <n v="426.55"/>
    <n v="144"/>
    <n v="144"/>
    <n v="60"/>
    <n v="222.55"/>
    <n v="0.52174422693705313"/>
    <x v="3"/>
    <d v="2024-05-15T00:00:00"/>
    <n v="1"/>
    <x v="1"/>
    <n v="5"/>
    <n v="0"/>
  </r>
  <r>
    <s v="ORD-100653"/>
    <x v="134"/>
    <x v="0"/>
    <d v="2024-05-01T00:00:00"/>
    <n v="5"/>
    <s v="CUST-00214"/>
    <x v="1"/>
    <x v="6"/>
    <s v="DL"/>
    <x v="0"/>
    <s v="New Delhi"/>
    <x v="4"/>
    <s v="P202"/>
    <s v="Argan Shampoo"/>
    <x v="6"/>
    <n v="1"/>
    <n v="449"/>
    <n v="0.05"/>
    <n v="449"/>
    <n v="22.450000000000003"/>
    <n v="426.55"/>
    <n v="148"/>
    <n v="148"/>
    <n v="60"/>
    <n v="218.55"/>
    <n v="0.51236666275934828"/>
    <x v="1"/>
    <d v="2024-05-17T00:00:00"/>
    <n v="2"/>
    <x v="1"/>
    <m/>
    <n v="0"/>
  </r>
  <r>
    <s v="ORD-100654"/>
    <x v="134"/>
    <x v="0"/>
    <d v="2024-05-01T00:00:00"/>
    <n v="5"/>
    <s v="CUST-01178"/>
    <x v="0"/>
    <x v="16"/>
    <s v="UP"/>
    <x v="0"/>
    <s v="Lucknow"/>
    <x v="2"/>
    <s v="P404"/>
    <s v="Flip Flops"/>
    <x v="5"/>
    <n v="1"/>
    <n v="399"/>
    <n v="0.05"/>
    <n v="399"/>
    <n v="19.950000000000003"/>
    <n v="379.05"/>
    <n v="152"/>
    <n v="152"/>
    <n v="60"/>
    <n v="167.05"/>
    <n v="0.44070703073473161"/>
    <x v="4"/>
    <d v="2024-05-19T00:00:00"/>
    <n v="4"/>
    <x v="0"/>
    <m/>
    <n v="0"/>
  </r>
  <r>
    <s v="ORD-100655"/>
    <x v="134"/>
    <x v="0"/>
    <d v="2024-05-01T00:00:00"/>
    <n v="5"/>
    <s v="CUST-03009"/>
    <x v="1"/>
    <x v="14"/>
    <s v="KL"/>
    <x v="3"/>
    <s v="Kochi"/>
    <x v="1"/>
    <s v="P302"/>
    <s v="Linen Kurta"/>
    <x v="1"/>
    <n v="2"/>
    <n v="1499"/>
    <n v="0.35"/>
    <n v="2998"/>
    <n v="1049.3"/>
    <n v="1948.7"/>
    <n v="630"/>
    <n v="1260"/>
    <n v="60"/>
    <n v="628.70000000000005"/>
    <n v="0.32262533997023657"/>
    <x v="0"/>
    <d v="2024-05-18T00:00:00"/>
    <n v="3"/>
    <x v="0"/>
    <n v="5"/>
    <n v="0"/>
  </r>
  <r>
    <s v="ORD-100656"/>
    <x v="135"/>
    <x v="0"/>
    <d v="2024-05-01T00:00:00"/>
    <n v="5"/>
    <s v="CUST-00803"/>
    <x v="0"/>
    <x v="10"/>
    <s v="CG"/>
    <x v="2"/>
    <s v="Raipur"/>
    <x v="4"/>
    <s v="P302"/>
    <s v="Linen Kurta"/>
    <x v="1"/>
    <n v="1"/>
    <n v="1499"/>
    <n v="0.3"/>
    <n v="1499"/>
    <n v="449.7"/>
    <n v="1049.3"/>
    <n v="630"/>
    <n v="630"/>
    <n v="60"/>
    <n v="359.29999999999995"/>
    <n v="0.34241875536071664"/>
    <x v="0"/>
    <d v="2024-05-21T00:00:00"/>
    <n v="5"/>
    <x v="2"/>
    <n v="4"/>
    <n v="0"/>
  </r>
  <r>
    <s v="ORD-100657"/>
    <x v="135"/>
    <x v="0"/>
    <d v="2024-05-01T00:00:00"/>
    <n v="5"/>
    <s v="CUST-00350"/>
    <x v="0"/>
    <x v="7"/>
    <s v="JH"/>
    <x v="2"/>
    <s v="Ranchi"/>
    <x v="0"/>
    <s v="P401"/>
    <s v="Running Shoes"/>
    <x v="5"/>
    <n v="1"/>
    <n v="2999"/>
    <n v="0.2"/>
    <n v="2999"/>
    <n v="599.80000000000007"/>
    <n v="2399.1999999999998"/>
    <n v="1440"/>
    <n v="1440"/>
    <n v="60"/>
    <n v="899.19999999999982"/>
    <n v="0.3747915971990663"/>
    <x v="0"/>
    <d v="2024-05-21T00:00:00"/>
    <n v="5"/>
    <x v="2"/>
    <m/>
    <n v="0"/>
  </r>
  <r>
    <s v="ORD-100658"/>
    <x v="135"/>
    <x v="0"/>
    <d v="2024-05-01T00:00:00"/>
    <n v="5"/>
    <s v="CUST-00656"/>
    <x v="0"/>
    <x v="2"/>
    <s v="MH"/>
    <x v="1"/>
    <s v="Pune"/>
    <x v="1"/>
    <s v="P303"/>
    <s v="Joggers"/>
    <x v="1"/>
    <n v="1"/>
    <n v="1199"/>
    <n v="0.2"/>
    <n v="1199"/>
    <n v="239.8"/>
    <n v="959.2"/>
    <n v="492"/>
    <n v="492"/>
    <n v="60"/>
    <n v="407.20000000000005"/>
    <n v="0.42452043369474562"/>
    <x v="1"/>
    <d v="2024-05-21T00:00:00"/>
    <n v="5"/>
    <x v="2"/>
    <n v="4"/>
    <n v="0"/>
  </r>
  <r>
    <s v="ORD-100659"/>
    <x v="135"/>
    <x v="0"/>
    <d v="2024-05-01T00:00:00"/>
    <n v="5"/>
    <s v="CUST-02495"/>
    <x v="0"/>
    <x v="11"/>
    <s v="KA"/>
    <x v="3"/>
    <s v="Mysuru"/>
    <x v="4"/>
    <s v="P203"/>
    <s v="Keratin Hair Mask"/>
    <x v="6"/>
    <n v="1"/>
    <n v="549"/>
    <n v="0.25"/>
    <n v="549"/>
    <n v="137.25"/>
    <n v="411.75"/>
    <n v="170"/>
    <n v="170"/>
    <n v="60"/>
    <n v="181.75"/>
    <n v="0.44140862173649059"/>
    <x v="2"/>
    <d v="2024-05-17T00:00:00"/>
    <n v="1"/>
    <x v="1"/>
    <n v="4"/>
    <n v="0"/>
  </r>
  <r>
    <s v="ORD-100660"/>
    <x v="135"/>
    <x v="0"/>
    <d v="2024-05-01T00:00:00"/>
    <n v="5"/>
    <s v="CUST-01437"/>
    <x v="0"/>
    <x v="11"/>
    <s v="KA"/>
    <x v="3"/>
    <s v="Mysuru"/>
    <x v="2"/>
    <s v="P103"/>
    <s v="Niacinamide Toner"/>
    <x v="3"/>
    <n v="1"/>
    <n v="399"/>
    <n v="0.1"/>
    <n v="399"/>
    <n v="39.900000000000006"/>
    <n v="359.1"/>
    <n v="112"/>
    <n v="112"/>
    <n v="60"/>
    <n v="187.10000000000002"/>
    <n v="0.52102478418267895"/>
    <x v="4"/>
    <d v="2024-05-20T00:00:00"/>
    <n v="4"/>
    <x v="0"/>
    <n v="4"/>
    <n v="0"/>
  </r>
  <r>
    <s v="ORD-100661"/>
    <x v="136"/>
    <x v="0"/>
    <d v="2024-05-01T00:00:00"/>
    <n v="5"/>
    <s v="CUST-00492"/>
    <x v="1"/>
    <x v="6"/>
    <s v="DL"/>
    <x v="0"/>
    <s v="New Delhi"/>
    <x v="3"/>
    <s v="P104"/>
    <s v="Hydrating Face Wash"/>
    <x v="3"/>
    <n v="1"/>
    <n v="299"/>
    <n v="0"/>
    <n v="299"/>
    <n v="0"/>
    <n v="299"/>
    <n v="90"/>
    <n v="90"/>
    <n v="60"/>
    <n v="149"/>
    <n v="0.49832775919732442"/>
    <x v="4"/>
    <d v="2024-05-19T00:00:00"/>
    <n v="2"/>
    <x v="1"/>
    <m/>
    <n v="0"/>
  </r>
  <r>
    <s v="ORD-100662"/>
    <x v="136"/>
    <x v="0"/>
    <d v="2024-05-01T00:00:00"/>
    <n v="5"/>
    <s v="CUST-02004"/>
    <x v="0"/>
    <x v="18"/>
    <s v="WB"/>
    <x v="2"/>
    <s v="Kolkata"/>
    <x v="0"/>
    <s v="P204"/>
    <s v="Anti-Dandruff Conditioner"/>
    <x v="6"/>
    <n v="1"/>
    <n v="399"/>
    <n v="0.35"/>
    <n v="399"/>
    <n v="139.64999999999998"/>
    <n v="259.35000000000002"/>
    <n v="136"/>
    <n v="136"/>
    <n v="60"/>
    <n v="63.350000000000023"/>
    <n v="0.24426450742240222"/>
    <x v="0"/>
    <d v="2024-05-20T00:00:00"/>
    <n v="3"/>
    <x v="0"/>
    <m/>
    <n v="0"/>
  </r>
  <r>
    <s v="ORD-100663"/>
    <x v="136"/>
    <x v="0"/>
    <d v="2024-05-01T00:00:00"/>
    <n v="5"/>
    <s v="CUST-00247"/>
    <x v="0"/>
    <x v="17"/>
    <s v="TN"/>
    <x v="3"/>
    <s v="Coimbatore"/>
    <x v="0"/>
    <s v="P303"/>
    <s v="Joggers"/>
    <x v="1"/>
    <n v="2"/>
    <n v="1199"/>
    <n v="0.1"/>
    <n v="2398"/>
    <n v="239.8"/>
    <n v="2158.1999999999998"/>
    <n v="492"/>
    <n v="984"/>
    <n v="120"/>
    <n v="1054.1999999999998"/>
    <n v="0.48846260772866273"/>
    <x v="3"/>
    <d v="2024-05-21T00:00:00"/>
    <n v="4"/>
    <x v="0"/>
    <m/>
    <n v="1"/>
  </r>
  <r>
    <s v="ORD-100664"/>
    <x v="137"/>
    <x v="0"/>
    <d v="2024-05-01T00:00:00"/>
    <n v="5"/>
    <s v="CUST-01658"/>
    <x v="0"/>
    <x v="19"/>
    <s v="PB"/>
    <x v="0"/>
    <s v="Ludhiana"/>
    <x v="3"/>
    <s v="P103"/>
    <s v="Niacinamide Toner"/>
    <x v="3"/>
    <n v="2"/>
    <n v="399"/>
    <n v="0.2"/>
    <n v="798"/>
    <n v="159.60000000000002"/>
    <n v="638.4"/>
    <n v="112"/>
    <n v="224"/>
    <n v="60"/>
    <n v="354.4"/>
    <n v="0.55513784461152882"/>
    <x v="3"/>
    <d v="2024-05-21T00:00:00"/>
    <n v="3"/>
    <x v="0"/>
    <n v="4"/>
    <n v="0"/>
  </r>
  <r>
    <s v="ORD-100665"/>
    <x v="137"/>
    <x v="0"/>
    <d v="2024-05-01T00:00:00"/>
    <n v="5"/>
    <s v="CUST-02929"/>
    <x v="0"/>
    <x v="1"/>
    <s v="GJ"/>
    <x v="1"/>
    <s v="Surat"/>
    <x v="3"/>
    <s v="P101"/>
    <s v="Vitamin C Face Serum"/>
    <x v="3"/>
    <n v="1"/>
    <n v="599"/>
    <n v="0.15"/>
    <n v="599"/>
    <n v="89.85"/>
    <n v="509.15"/>
    <n v="180"/>
    <n v="180"/>
    <n v="60"/>
    <n v="269.14999999999998"/>
    <n v="0.52862614160856325"/>
    <x v="2"/>
    <d v="2024-05-20T00:00:00"/>
    <n v="2"/>
    <x v="1"/>
    <m/>
    <n v="0"/>
  </r>
  <r>
    <s v="ORD-100666"/>
    <x v="137"/>
    <x v="0"/>
    <d v="2024-05-01T00:00:00"/>
    <n v="5"/>
    <s v="CUST-02495"/>
    <x v="1"/>
    <x v="13"/>
    <s v="MP"/>
    <x v="1"/>
    <s v="Indore"/>
    <x v="3"/>
    <s v="P104"/>
    <s v="Hydrating Face Wash"/>
    <x v="3"/>
    <n v="1"/>
    <n v="299"/>
    <n v="0.1"/>
    <n v="299"/>
    <n v="29.900000000000002"/>
    <n v="269.10000000000002"/>
    <n v="90"/>
    <n v="90"/>
    <n v="60"/>
    <n v="119.10000000000002"/>
    <n v="0.4425863991081383"/>
    <x v="1"/>
    <d v="2024-05-22T00:00:00"/>
    <n v="4"/>
    <x v="0"/>
    <n v="4"/>
    <n v="0"/>
  </r>
  <r>
    <s v="ORD-100667"/>
    <x v="137"/>
    <x v="0"/>
    <d v="2024-05-01T00:00:00"/>
    <n v="5"/>
    <s v="CUST-02826"/>
    <x v="0"/>
    <x v="18"/>
    <s v="WB"/>
    <x v="2"/>
    <s v="Kolkata"/>
    <x v="2"/>
    <s v="P701"/>
    <s v="Ashwagandha Capsules"/>
    <x v="0"/>
    <n v="2"/>
    <n v="499"/>
    <n v="0"/>
    <n v="998"/>
    <n v="0"/>
    <n v="998"/>
    <n v="150"/>
    <n v="300"/>
    <n v="60"/>
    <n v="638"/>
    <n v="0.63927855711422843"/>
    <x v="3"/>
    <d v="2024-05-22T00:00:00"/>
    <n v="4"/>
    <x v="0"/>
    <n v="5"/>
    <n v="0"/>
  </r>
  <r>
    <s v="ORD-100668"/>
    <x v="137"/>
    <x v="0"/>
    <d v="2024-05-01T00:00:00"/>
    <n v="5"/>
    <s v="CUST-00233"/>
    <x v="0"/>
    <x v="2"/>
    <s v="MH"/>
    <x v="1"/>
    <s v="Nagpur"/>
    <x v="0"/>
    <s v="P604"/>
    <s v="Power Bank 20000mAh"/>
    <x v="2"/>
    <n v="3"/>
    <n v="1799"/>
    <n v="0.4"/>
    <n v="5397"/>
    <n v="2158.8000000000002"/>
    <n v="3238.2"/>
    <n v="1079"/>
    <n v="3237"/>
    <n v="60"/>
    <n v="-58.800000000000182"/>
    <n v="-1.8158236057068799E-2"/>
    <x v="3"/>
    <d v="2024-05-22T00:00:00"/>
    <n v="4"/>
    <x v="0"/>
    <m/>
    <n v="0"/>
  </r>
  <r>
    <s v="ORD-100669"/>
    <x v="137"/>
    <x v="0"/>
    <d v="2024-05-01T00:00:00"/>
    <n v="5"/>
    <s v="CUST-03110"/>
    <x v="1"/>
    <x v="3"/>
    <s v="OD"/>
    <x v="2"/>
    <s v="Bhubaneswar"/>
    <x v="3"/>
    <s v="P102"/>
    <s v="Sunscreen SPF 50"/>
    <x v="3"/>
    <n v="3"/>
    <n v="449"/>
    <n v="0.15"/>
    <n v="1347"/>
    <n v="202.04999999999998"/>
    <n v="1144.95"/>
    <n v="144"/>
    <n v="432"/>
    <n v="60"/>
    <n v="652.95000000000005"/>
    <n v="0.57028691209223115"/>
    <x v="0"/>
    <d v="2024-05-20T00:00:00"/>
    <n v="2"/>
    <x v="1"/>
    <m/>
    <n v="0"/>
  </r>
  <r>
    <s v="ORD-100670"/>
    <x v="137"/>
    <x v="0"/>
    <d v="2024-05-01T00:00:00"/>
    <n v="5"/>
    <s v="CUST-01013"/>
    <x v="0"/>
    <x v="11"/>
    <s v="KA"/>
    <x v="3"/>
    <s v="Bengaluru"/>
    <x v="2"/>
    <s v="P101"/>
    <s v="Vitamin C Face Serum"/>
    <x v="3"/>
    <n v="1"/>
    <n v="599"/>
    <n v="0.15"/>
    <n v="599"/>
    <n v="89.85"/>
    <n v="509.15"/>
    <n v="180"/>
    <n v="180"/>
    <n v="60"/>
    <n v="269.14999999999998"/>
    <n v="0.52862614160856325"/>
    <x v="3"/>
    <d v="2024-05-22T00:00:00"/>
    <n v="4"/>
    <x v="0"/>
    <n v="4"/>
    <n v="0"/>
  </r>
  <r>
    <s v="ORD-100671"/>
    <x v="138"/>
    <x v="0"/>
    <d v="2024-05-01T00:00:00"/>
    <n v="5"/>
    <s v="CUST-01721"/>
    <x v="0"/>
    <x v="12"/>
    <s v="BR"/>
    <x v="2"/>
    <s v="Patna"/>
    <x v="4"/>
    <s v="P101"/>
    <s v="Vitamin C Face Serum"/>
    <x v="3"/>
    <n v="1"/>
    <n v="599"/>
    <n v="0.15"/>
    <n v="599"/>
    <n v="89.85"/>
    <n v="509.15"/>
    <n v="180"/>
    <n v="180"/>
    <n v="60"/>
    <n v="269.14999999999998"/>
    <n v="0.52862614160856325"/>
    <x v="1"/>
    <d v="2024-05-22T00:00:00"/>
    <n v="3"/>
    <x v="0"/>
    <m/>
    <n v="0"/>
  </r>
  <r>
    <s v="ORD-100672"/>
    <x v="138"/>
    <x v="0"/>
    <d v="2024-05-01T00:00:00"/>
    <n v="5"/>
    <s v="CUST-01133"/>
    <x v="0"/>
    <x v="1"/>
    <s v="GJ"/>
    <x v="1"/>
    <s v="Ahmedabad"/>
    <x v="1"/>
    <s v="P303"/>
    <s v="Joggers"/>
    <x v="1"/>
    <n v="1"/>
    <n v="1199"/>
    <n v="0.1"/>
    <n v="1199"/>
    <n v="119.9"/>
    <n v="1079.0999999999999"/>
    <n v="492"/>
    <n v="492"/>
    <n v="60"/>
    <n v="527.09999999999991"/>
    <n v="0.48846260772866273"/>
    <x v="3"/>
    <d v="2024-05-20T00:00:00"/>
    <n v="1"/>
    <x v="1"/>
    <n v="5"/>
    <n v="0"/>
  </r>
  <r>
    <s v="ORD-100673"/>
    <x v="138"/>
    <x v="0"/>
    <d v="2024-05-01T00:00:00"/>
    <n v="5"/>
    <s v="CUST-02508"/>
    <x v="1"/>
    <x v="18"/>
    <s v="WB"/>
    <x v="2"/>
    <s v="Kolkata"/>
    <x v="4"/>
    <s v="P604"/>
    <s v="Power Bank 20000mAh"/>
    <x v="2"/>
    <n v="1"/>
    <n v="1799"/>
    <n v="0.35"/>
    <n v="1799"/>
    <n v="629.65"/>
    <n v="1169.3499999999999"/>
    <n v="1079"/>
    <n v="1079"/>
    <n v="60"/>
    <n v="30.349999999999909"/>
    <n v="2.5954590156924712E-2"/>
    <x v="3"/>
    <d v="2024-05-23T00:00:00"/>
    <n v="4"/>
    <x v="0"/>
    <m/>
    <n v="0"/>
  </r>
  <r>
    <s v="ORD-100674"/>
    <x v="138"/>
    <x v="0"/>
    <d v="2024-05-01T00:00:00"/>
    <n v="5"/>
    <s v="CUST-00762"/>
    <x v="0"/>
    <x v="18"/>
    <s v="WB"/>
    <x v="2"/>
    <s v="Kolkata"/>
    <x v="3"/>
    <s v="P101"/>
    <s v="Vitamin C Face Serum"/>
    <x v="3"/>
    <n v="2"/>
    <n v="599"/>
    <n v="0.1"/>
    <n v="1198"/>
    <n v="119.80000000000001"/>
    <n v="1078.2"/>
    <n v="180"/>
    <n v="360"/>
    <n v="60"/>
    <n v="658.2"/>
    <n v="0.6104618809126322"/>
    <x v="0"/>
    <d v="2024-05-25T00:00:00"/>
    <n v="6"/>
    <x v="2"/>
    <n v="3"/>
    <n v="0"/>
  </r>
  <r>
    <s v="ORD-100675"/>
    <x v="138"/>
    <x v="0"/>
    <d v="2024-05-01T00:00:00"/>
    <n v="5"/>
    <s v="CUST-02557"/>
    <x v="1"/>
    <x v="11"/>
    <s v="KA"/>
    <x v="3"/>
    <s v="Bengaluru"/>
    <x v="3"/>
    <s v="P102"/>
    <s v="Sunscreen SPF 50"/>
    <x v="3"/>
    <n v="1"/>
    <n v="449"/>
    <n v="0.05"/>
    <n v="449"/>
    <n v="22.450000000000003"/>
    <n v="426.55"/>
    <n v="144"/>
    <n v="144"/>
    <n v="60"/>
    <n v="222.55"/>
    <n v="0.52174422693705313"/>
    <x v="0"/>
    <d v="2024-05-22T00:00:00"/>
    <n v="3"/>
    <x v="0"/>
    <n v="5"/>
    <n v="0"/>
  </r>
  <r>
    <s v="ORD-100676"/>
    <x v="138"/>
    <x v="0"/>
    <d v="2024-05-01T00:00:00"/>
    <n v="5"/>
    <s v="CUST-01176"/>
    <x v="0"/>
    <x v="11"/>
    <s v="KA"/>
    <x v="3"/>
    <s v="Mysuru"/>
    <x v="0"/>
    <s v="P601"/>
    <s v="Wireless Earbuds"/>
    <x v="2"/>
    <n v="1"/>
    <n v="1999"/>
    <n v="0.45"/>
    <n v="1999"/>
    <n v="899.55000000000007"/>
    <n v="1099.4499999999998"/>
    <n v="1239"/>
    <n v="1239"/>
    <n v="60"/>
    <n v="-199.55000000000018"/>
    <n v="-0.18149984082950585"/>
    <x v="3"/>
    <d v="2024-05-21T00:00:00"/>
    <n v="2"/>
    <x v="1"/>
    <m/>
    <n v="0"/>
  </r>
  <r>
    <s v="ORD-100677"/>
    <x v="138"/>
    <x v="0"/>
    <d v="2024-05-01T00:00:00"/>
    <n v="5"/>
    <s v="CUST-00862"/>
    <x v="0"/>
    <x v="14"/>
    <s v="KL"/>
    <x v="3"/>
    <s v="Thiruvananthapuram"/>
    <x v="3"/>
    <s v="P701"/>
    <s v="Ashwagandha Capsules"/>
    <x v="0"/>
    <n v="1"/>
    <n v="499"/>
    <n v="0"/>
    <n v="499"/>
    <n v="0"/>
    <n v="499"/>
    <n v="150"/>
    <n v="150"/>
    <n v="60"/>
    <n v="289"/>
    <n v="0.57915831663326656"/>
    <x v="0"/>
    <d v="2024-05-22T00:00:00"/>
    <n v="3"/>
    <x v="0"/>
    <n v="3"/>
    <n v="0"/>
  </r>
  <r>
    <s v="ORD-100678"/>
    <x v="139"/>
    <x v="0"/>
    <d v="2024-05-01T00:00:00"/>
    <n v="5"/>
    <s v="CUST-00448"/>
    <x v="0"/>
    <x v="16"/>
    <s v="UP"/>
    <x v="0"/>
    <s v="Noida"/>
    <x v="0"/>
    <s v="P202"/>
    <s v="Argan Shampoo"/>
    <x v="6"/>
    <n v="1"/>
    <n v="449"/>
    <n v="0.05"/>
    <n v="449"/>
    <n v="22.450000000000003"/>
    <n v="426.55"/>
    <n v="148"/>
    <n v="148"/>
    <n v="60"/>
    <n v="218.55"/>
    <n v="0.51236666275934828"/>
    <x v="3"/>
    <d v="2024-05-24T00:00:00"/>
    <n v="4"/>
    <x v="0"/>
    <n v="4"/>
    <n v="0"/>
  </r>
  <r>
    <s v="ORD-100679"/>
    <x v="139"/>
    <x v="0"/>
    <d v="2024-05-01T00:00:00"/>
    <n v="5"/>
    <s v="CUST-00914"/>
    <x v="0"/>
    <x v="16"/>
    <s v="UP"/>
    <x v="0"/>
    <s v="Lucknow"/>
    <x v="0"/>
    <s v="P303"/>
    <s v="Joggers"/>
    <x v="1"/>
    <n v="3"/>
    <n v="1199"/>
    <n v="0.2"/>
    <n v="3597"/>
    <n v="719.40000000000009"/>
    <n v="2877.6"/>
    <n v="492"/>
    <n v="1476"/>
    <n v="60"/>
    <n v="1341.6"/>
    <n v="0.46622185154295243"/>
    <x v="0"/>
    <d v="2024-05-22T00:00:00"/>
    <n v="2"/>
    <x v="1"/>
    <m/>
    <n v="0"/>
  </r>
  <r>
    <s v="ORD-100680"/>
    <x v="139"/>
    <x v="0"/>
    <d v="2024-05-01T00:00:00"/>
    <n v="5"/>
    <s v="CUST-01438"/>
    <x v="0"/>
    <x v="1"/>
    <s v="GJ"/>
    <x v="1"/>
    <s v="Ahmedabad"/>
    <x v="0"/>
    <s v="P401"/>
    <s v="Running Shoes"/>
    <x v="5"/>
    <n v="1"/>
    <n v="2999"/>
    <n v="0.2"/>
    <n v="2999"/>
    <n v="599.80000000000007"/>
    <n v="2399.1999999999998"/>
    <n v="1440"/>
    <n v="1440"/>
    <n v="60"/>
    <n v="899.19999999999982"/>
    <n v="0.3747915971990663"/>
    <x v="0"/>
    <d v="2024-05-24T00:00:00"/>
    <n v="4"/>
    <x v="0"/>
    <n v="4"/>
    <n v="0"/>
  </r>
  <r>
    <s v="ORD-100681"/>
    <x v="140"/>
    <x v="0"/>
    <d v="2024-05-01T00:00:00"/>
    <n v="5"/>
    <s v="CUST-00887"/>
    <x v="0"/>
    <x v="1"/>
    <s v="GJ"/>
    <x v="1"/>
    <s v="Surat"/>
    <x v="4"/>
    <s v="P105"/>
    <s v="Retinol Night Cream"/>
    <x v="3"/>
    <n v="1"/>
    <n v="799"/>
    <n v="0.1"/>
    <n v="799"/>
    <n v="79.900000000000006"/>
    <n v="719.1"/>
    <n v="216"/>
    <n v="216"/>
    <n v="60"/>
    <n v="443.1"/>
    <n v="0.61618690029203171"/>
    <x v="0"/>
    <d v="2024-05-25T00:00:00"/>
    <n v="4"/>
    <x v="0"/>
    <m/>
    <n v="0"/>
  </r>
  <r>
    <s v="ORD-100682"/>
    <x v="140"/>
    <x v="0"/>
    <d v="2024-05-01T00:00:00"/>
    <n v="5"/>
    <s v="CUST-00865"/>
    <x v="0"/>
    <x v="11"/>
    <s v="KA"/>
    <x v="3"/>
    <s v="Bengaluru"/>
    <x v="4"/>
    <s v="P202"/>
    <s v="Argan Shampoo"/>
    <x v="6"/>
    <n v="2"/>
    <n v="449"/>
    <n v="0"/>
    <n v="898"/>
    <n v="0"/>
    <n v="898"/>
    <n v="148"/>
    <n v="296"/>
    <n v="60"/>
    <n v="542"/>
    <n v="0.60356347438752789"/>
    <x v="3"/>
    <d v="2024-05-23T00:00:00"/>
    <n v="2"/>
    <x v="1"/>
    <m/>
    <n v="0"/>
  </r>
  <r>
    <s v="ORD-100683"/>
    <x v="140"/>
    <x v="0"/>
    <d v="2024-05-01T00:00:00"/>
    <n v="5"/>
    <s v="CUST-00163"/>
    <x v="1"/>
    <x v="11"/>
    <s v="KA"/>
    <x v="3"/>
    <s v="Bengaluru"/>
    <x v="3"/>
    <s v="P703"/>
    <s v="Green Tea (100 bags)"/>
    <x v="0"/>
    <n v="2"/>
    <n v="399"/>
    <n v="0.35"/>
    <n v="798"/>
    <n v="279.29999999999995"/>
    <n v="518.70000000000005"/>
    <n v="128"/>
    <n v="256"/>
    <n v="60"/>
    <n v="202.70000000000005"/>
    <n v="0.39078465394254874"/>
    <x v="0"/>
    <d v="2024-05-24T00:00:00"/>
    <n v="3"/>
    <x v="0"/>
    <m/>
    <n v="0"/>
  </r>
  <r>
    <s v="ORD-100684"/>
    <x v="140"/>
    <x v="0"/>
    <d v="2024-05-01T00:00:00"/>
    <n v="5"/>
    <s v="CUST-00192"/>
    <x v="0"/>
    <x v="17"/>
    <s v="TN"/>
    <x v="3"/>
    <s v="Coimbatore"/>
    <x v="1"/>
    <s v="P404"/>
    <s v="Flip Flops"/>
    <x v="5"/>
    <n v="2"/>
    <n v="399"/>
    <n v="0.15"/>
    <n v="798"/>
    <n v="119.69999999999999"/>
    <n v="678.3"/>
    <n v="152"/>
    <n v="304"/>
    <n v="60"/>
    <n v="314.29999999999995"/>
    <n v="0.4633642930856553"/>
    <x v="4"/>
    <d v="2024-05-22T00:00:00"/>
    <n v="1"/>
    <x v="1"/>
    <m/>
    <n v="0"/>
  </r>
  <r>
    <s v="ORD-100685"/>
    <x v="141"/>
    <x v="0"/>
    <d v="2024-05-01T00:00:00"/>
    <n v="5"/>
    <s v="CUST-01460"/>
    <x v="0"/>
    <x v="6"/>
    <s v="DL"/>
    <x v="0"/>
    <s v="New Delhi"/>
    <x v="3"/>
    <s v="P701"/>
    <s v="Ashwagandha Capsules"/>
    <x v="0"/>
    <n v="3"/>
    <n v="499"/>
    <n v="0.1"/>
    <n v="1497"/>
    <n v="149.70000000000002"/>
    <n v="1347.3"/>
    <n v="150"/>
    <n v="450"/>
    <n v="60"/>
    <n v="837.3"/>
    <n v="0.62146515252727674"/>
    <x v="4"/>
    <d v="2024-05-25T00:00:00"/>
    <n v="3"/>
    <x v="0"/>
    <n v="4"/>
    <n v="0"/>
  </r>
  <r>
    <s v="ORD-100686"/>
    <x v="141"/>
    <x v="0"/>
    <d v="2024-05-01T00:00:00"/>
    <n v="5"/>
    <s v="CUST-00531"/>
    <x v="0"/>
    <x v="16"/>
    <s v="UP"/>
    <x v="0"/>
    <s v="Kanpur"/>
    <x v="0"/>
    <s v="P401"/>
    <s v="Running Shoes"/>
    <x v="5"/>
    <n v="3"/>
    <n v="2999"/>
    <n v="0.2"/>
    <n v="8997"/>
    <n v="1799.4"/>
    <n v="7197.6"/>
    <n v="1440"/>
    <n v="4320"/>
    <n v="60"/>
    <n v="2817.6000000000004"/>
    <n v="0.39146382127375795"/>
    <x v="3"/>
    <d v="2024-05-25T00:00:00"/>
    <n v="3"/>
    <x v="0"/>
    <n v="4"/>
    <n v="0"/>
  </r>
  <r>
    <s v="ORD-100687"/>
    <x v="141"/>
    <x v="0"/>
    <d v="2024-05-01T00:00:00"/>
    <n v="5"/>
    <s v="CUST-00468"/>
    <x v="1"/>
    <x v="1"/>
    <s v="GJ"/>
    <x v="1"/>
    <s v="Ahmedabad"/>
    <x v="2"/>
    <s v="P301"/>
    <s v="Cotton Oversized T-Shirt"/>
    <x v="1"/>
    <n v="1"/>
    <n v="799"/>
    <n v="0"/>
    <n v="799"/>
    <n v="0"/>
    <n v="799"/>
    <n v="320"/>
    <n v="320"/>
    <n v="60"/>
    <n v="419"/>
    <n v="0.52440550688360454"/>
    <x v="0"/>
    <d v="2024-05-26T00:00:00"/>
    <n v="4"/>
    <x v="0"/>
    <n v="4"/>
    <n v="0"/>
  </r>
  <r>
    <s v="ORD-100688"/>
    <x v="141"/>
    <x v="0"/>
    <d v="2024-05-01T00:00:00"/>
    <n v="5"/>
    <s v="CUST-01116"/>
    <x v="1"/>
    <x v="7"/>
    <s v="JH"/>
    <x v="2"/>
    <s v="Ranchi"/>
    <x v="4"/>
    <s v="P204"/>
    <s v="Anti-Dandruff Conditioner"/>
    <x v="6"/>
    <n v="2"/>
    <n v="399"/>
    <n v="0.35"/>
    <n v="798"/>
    <n v="279.29999999999995"/>
    <n v="518.70000000000005"/>
    <n v="136"/>
    <n v="272"/>
    <n v="60"/>
    <n v="186.70000000000005"/>
    <n v="0.35993830730672843"/>
    <x v="1"/>
    <d v="2024-05-25T00:00:00"/>
    <n v="3"/>
    <x v="0"/>
    <n v="4"/>
    <n v="0"/>
  </r>
  <r>
    <s v="ORD-100689"/>
    <x v="141"/>
    <x v="0"/>
    <d v="2024-05-01T00:00:00"/>
    <n v="5"/>
    <s v="CUST-01396"/>
    <x v="0"/>
    <x v="7"/>
    <s v="JH"/>
    <x v="2"/>
    <s v="Ranchi"/>
    <x v="0"/>
    <s v="P305"/>
    <s v="Printed Saree"/>
    <x v="1"/>
    <n v="1"/>
    <n v="1999"/>
    <n v="0.1"/>
    <n v="1999"/>
    <n v="199.9"/>
    <n v="1799.1"/>
    <n v="880"/>
    <n v="880"/>
    <n v="60"/>
    <n v="859.09999999999991"/>
    <n v="0.47751653604580063"/>
    <x v="1"/>
    <d v="2024-05-26T00:00:00"/>
    <n v="4"/>
    <x v="0"/>
    <n v="4"/>
    <n v="0"/>
  </r>
  <r>
    <s v="ORD-100690"/>
    <x v="141"/>
    <x v="0"/>
    <d v="2024-05-01T00:00:00"/>
    <n v="5"/>
    <s v="CUST-00165"/>
    <x v="0"/>
    <x v="21"/>
    <s v="TG"/>
    <x v="3"/>
    <s v="Hyderabad"/>
    <x v="3"/>
    <s v="P203"/>
    <s v="Keratin Hair Mask"/>
    <x v="6"/>
    <n v="1"/>
    <n v="549"/>
    <n v="0.15"/>
    <n v="549"/>
    <n v="82.35"/>
    <n v="466.65"/>
    <n v="170"/>
    <n v="170"/>
    <n v="60"/>
    <n v="236.64999999999998"/>
    <n v="0.50712525447337398"/>
    <x v="3"/>
    <d v="2024-05-25T00:00:00"/>
    <n v="3"/>
    <x v="0"/>
    <n v="4"/>
    <n v="0"/>
  </r>
  <r>
    <s v="ORD-100691"/>
    <x v="141"/>
    <x v="0"/>
    <d v="2024-05-01T00:00:00"/>
    <n v="5"/>
    <s v="CUST-00444"/>
    <x v="1"/>
    <x v="11"/>
    <s v="KA"/>
    <x v="3"/>
    <s v="Bengaluru"/>
    <x v="0"/>
    <s v="P103"/>
    <s v="Niacinamide Toner"/>
    <x v="3"/>
    <n v="1"/>
    <n v="399"/>
    <n v="0.25"/>
    <n v="399"/>
    <n v="99.75"/>
    <n v="299.25"/>
    <n v="112"/>
    <n v="112"/>
    <n v="60"/>
    <n v="127.25"/>
    <n v="0.42522974101921468"/>
    <x v="0"/>
    <d v="2024-05-25T00:00:00"/>
    <n v="3"/>
    <x v="0"/>
    <n v="4"/>
    <n v="0"/>
  </r>
  <r>
    <s v="ORD-100692"/>
    <x v="141"/>
    <x v="0"/>
    <d v="2024-05-01T00:00:00"/>
    <n v="5"/>
    <s v="CUST-00086"/>
    <x v="0"/>
    <x v="11"/>
    <s v="KA"/>
    <x v="3"/>
    <s v="Bengaluru"/>
    <x v="0"/>
    <s v="P504"/>
    <s v="Cotton Bedsheet"/>
    <x v="4"/>
    <n v="1"/>
    <n v="1299"/>
    <n v="0.05"/>
    <n v="1299"/>
    <n v="64.95"/>
    <n v="1234.05"/>
    <n v="585"/>
    <n v="585"/>
    <n v="60"/>
    <n v="589.04999999999995"/>
    <n v="0.47733074024553296"/>
    <x v="0"/>
    <d v="2024-05-25T00:00:00"/>
    <n v="3"/>
    <x v="0"/>
    <m/>
    <n v="0"/>
  </r>
  <r>
    <s v="ORD-100693"/>
    <x v="142"/>
    <x v="0"/>
    <d v="2024-05-01T00:00:00"/>
    <n v="5"/>
    <s v="CUST-00151"/>
    <x v="0"/>
    <x v="1"/>
    <s v="GJ"/>
    <x v="1"/>
    <s v="Ahmedabad"/>
    <x v="2"/>
    <s v="P501"/>
    <s v="Copper Water Bottle"/>
    <x v="4"/>
    <n v="4"/>
    <n v="899"/>
    <n v="0"/>
    <n v="3596"/>
    <n v="0"/>
    <n v="3596"/>
    <n v="378"/>
    <n v="1512"/>
    <n v="120"/>
    <n v="1964"/>
    <n v="0.5461624026696329"/>
    <x v="3"/>
    <d v="2024-05-27T00:00:00"/>
    <n v="4"/>
    <x v="0"/>
    <n v="4"/>
    <n v="1"/>
  </r>
  <r>
    <s v="ORD-100694"/>
    <x v="142"/>
    <x v="0"/>
    <d v="2024-05-01T00:00:00"/>
    <n v="5"/>
    <s v="CUST-00541"/>
    <x v="0"/>
    <x v="1"/>
    <s v="GJ"/>
    <x v="1"/>
    <s v="Surat"/>
    <x v="1"/>
    <s v="P404"/>
    <s v="Flip Flops"/>
    <x v="5"/>
    <n v="1"/>
    <n v="399"/>
    <n v="0.2"/>
    <n v="399"/>
    <n v="79.800000000000011"/>
    <n v="319.2"/>
    <n v="152"/>
    <n v="152"/>
    <n v="60"/>
    <n v="107.19999999999999"/>
    <n v="0.33583959899749372"/>
    <x v="3"/>
    <d v="2024-05-25T00:00:00"/>
    <n v="2"/>
    <x v="1"/>
    <n v="4"/>
    <n v="0"/>
  </r>
  <r>
    <s v="ORD-100695"/>
    <x v="142"/>
    <x v="0"/>
    <d v="2024-05-01T00:00:00"/>
    <n v="5"/>
    <s v="CUST-03128"/>
    <x v="0"/>
    <x v="1"/>
    <s v="GJ"/>
    <x v="1"/>
    <s v="Surat"/>
    <x v="0"/>
    <s v="P105"/>
    <s v="Retinol Night Cream"/>
    <x v="3"/>
    <n v="1"/>
    <n v="799"/>
    <n v="0"/>
    <n v="799"/>
    <n v="0"/>
    <n v="799"/>
    <n v="216"/>
    <n v="216"/>
    <n v="60"/>
    <n v="523"/>
    <n v="0.65456821026282852"/>
    <x v="3"/>
    <d v="2024-05-25T00:00:00"/>
    <n v="2"/>
    <x v="1"/>
    <n v="5"/>
    <n v="0"/>
  </r>
  <r>
    <s v="ORD-100696"/>
    <x v="142"/>
    <x v="0"/>
    <d v="2024-05-01T00:00:00"/>
    <n v="5"/>
    <s v="CUST-00897"/>
    <x v="0"/>
    <x v="21"/>
    <s v="TG"/>
    <x v="3"/>
    <s v="Hyderabad"/>
    <x v="4"/>
    <s v="P203"/>
    <s v="Keratin Hair Mask"/>
    <x v="6"/>
    <n v="3"/>
    <n v="549"/>
    <n v="0.15"/>
    <n v="1647"/>
    <n v="247.04999999999998"/>
    <n v="1399.95"/>
    <n v="170"/>
    <n v="510"/>
    <n v="60"/>
    <n v="829.95"/>
    <n v="0.59284260152148294"/>
    <x v="2"/>
    <d v="2024-05-26T00:00:00"/>
    <n v="3"/>
    <x v="0"/>
    <n v="3"/>
    <n v="0"/>
  </r>
  <r>
    <s v="ORD-100697"/>
    <x v="143"/>
    <x v="0"/>
    <d v="2024-05-01T00:00:00"/>
    <n v="5"/>
    <s v="CUST-00268"/>
    <x v="0"/>
    <x v="19"/>
    <s v="PB"/>
    <x v="0"/>
    <s v="Ludhiana"/>
    <x v="4"/>
    <s v="P203"/>
    <s v="Keratin Hair Mask"/>
    <x v="6"/>
    <n v="1"/>
    <n v="549"/>
    <n v="0.15"/>
    <n v="549"/>
    <n v="82.35"/>
    <n v="466.65"/>
    <n v="170"/>
    <n v="170"/>
    <n v="60"/>
    <n v="236.64999999999998"/>
    <n v="0.50712525447337398"/>
    <x v="1"/>
    <d v="2024-05-28T00:00:00"/>
    <n v="4"/>
    <x v="0"/>
    <m/>
    <n v="0"/>
  </r>
  <r>
    <s v="ORD-100698"/>
    <x v="143"/>
    <x v="0"/>
    <d v="2024-05-01T00:00:00"/>
    <n v="5"/>
    <s v="CUST-00095"/>
    <x v="0"/>
    <x v="1"/>
    <s v="GJ"/>
    <x v="1"/>
    <s v="Ahmedabad"/>
    <x v="0"/>
    <s v="P701"/>
    <s v="Ashwagandha Capsules"/>
    <x v="0"/>
    <n v="3"/>
    <n v="499"/>
    <n v="0.1"/>
    <n v="1497"/>
    <n v="149.70000000000002"/>
    <n v="1347.3"/>
    <n v="150"/>
    <n v="450"/>
    <n v="60"/>
    <n v="837.3"/>
    <n v="0.62146515252727674"/>
    <x v="0"/>
    <d v="2024-05-26T00:00:00"/>
    <n v="2"/>
    <x v="1"/>
    <n v="4"/>
    <n v="0"/>
  </r>
  <r>
    <s v="ORD-100699"/>
    <x v="143"/>
    <x v="0"/>
    <d v="2024-05-01T00:00:00"/>
    <n v="5"/>
    <s v="CUST-00602"/>
    <x v="1"/>
    <x v="2"/>
    <s v="MH"/>
    <x v="1"/>
    <s v="Nagpur"/>
    <x v="2"/>
    <s v="P501"/>
    <s v="Copper Water Bottle"/>
    <x v="4"/>
    <n v="1"/>
    <n v="899"/>
    <n v="0"/>
    <n v="899"/>
    <n v="0"/>
    <n v="899"/>
    <n v="378"/>
    <n v="378"/>
    <n v="60"/>
    <n v="461"/>
    <n v="0.51279199110122353"/>
    <x v="0"/>
    <d v="2024-05-25T00:00:00"/>
    <n v="1"/>
    <x v="1"/>
    <m/>
    <n v="0"/>
  </r>
  <r>
    <s v="ORD-100700"/>
    <x v="143"/>
    <x v="0"/>
    <d v="2024-05-01T00:00:00"/>
    <n v="5"/>
    <s v="CUST-01559"/>
    <x v="0"/>
    <x v="21"/>
    <s v="TG"/>
    <x v="3"/>
    <s v="Hyderabad"/>
    <x v="2"/>
    <s v="P104"/>
    <s v="Hydrating Face Wash"/>
    <x v="3"/>
    <n v="1"/>
    <n v="299"/>
    <n v="0"/>
    <n v="299"/>
    <n v="0"/>
    <n v="299"/>
    <n v="90"/>
    <n v="90"/>
    <n v="60"/>
    <n v="149"/>
    <n v="0.49832775919732442"/>
    <x v="2"/>
    <d v="2024-05-27T00:00:00"/>
    <n v="3"/>
    <x v="0"/>
    <m/>
    <n v="0"/>
  </r>
  <r>
    <s v="ORD-100701"/>
    <x v="143"/>
    <x v="0"/>
    <d v="2024-05-01T00:00:00"/>
    <n v="5"/>
    <s v="CUST-00514"/>
    <x v="1"/>
    <x v="11"/>
    <s v="KA"/>
    <x v="3"/>
    <s v="Bengaluru"/>
    <x v="0"/>
    <s v="P204"/>
    <s v="Anti-Dandruff Conditioner"/>
    <x v="6"/>
    <n v="1"/>
    <n v="399"/>
    <n v="0.45"/>
    <n v="399"/>
    <n v="179.55"/>
    <n v="219.45"/>
    <n v="136"/>
    <n v="136"/>
    <n v="60"/>
    <n v="23.449999999999989"/>
    <n v="0.10685805422647524"/>
    <x v="3"/>
    <d v="2024-05-27T00:00:00"/>
    <n v="3"/>
    <x v="0"/>
    <n v="5"/>
    <n v="0"/>
  </r>
  <r>
    <s v="ORD-100702"/>
    <x v="144"/>
    <x v="0"/>
    <d v="2024-05-01T00:00:00"/>
    <n v="5"/>
    <s v="CUST-00697"/>
    <x v="1"/>
    <x v="6"/>
    <s v="DL"/>
    <x v="0"/>
    <s v="New Delhi"/>
    <x v="4"/>
    <s v="P203"/>
    <s v="Keratin Hair Mask"/>
    <x v="6"/>
    <n v="3"/>
    <n v="549"/>
    <n v="0.25"/>
    <n v="1647"/>
    <n v="411.75"/>
    <n v="1235.25"/>
    <n v="170"/>
    <n v="510"/>
    <n v="120"/>
    <n v="605.25"/>
    <n v="0.48998178506375228"/>
    <x v="1"/>
    <d v="2024-05-27T00:00:00"/>
    <n v="2"/>
    <x v="1"/>
    <n v="4"/>
    <n v="1"/>
  </r>
  <r>
    <s v="ORD-100703"/>
    <x v="144"/>
    <x v="0"/>
    <d v="2024-05-01T00:00:00"/>
    <n v="5"/>
    <s v="CUST-01804"/>
    <x v="0"/>
    <x v="16"/>
    <s v="UP"/>
    <x v="0"/>
    <s v="Noida"/>
    <x v="0"/>
    <s v="P103"/>
    <s v="Niacinamide Toner"/>
    <x v="3"/>
    <n v="2"/>
    <n v="399"/>
    <n v="0.15"/>
    <n v="798"/>
    <n v="119.69999999999999"/>
    <n v="678.3"/>
    <n v="112"/>
    <n v="224"/>
    <n v="60"/>
    <n v="394.29999999999995"/>
    <n v="0.58130620669320354"/>
    <x v="0"/>
    <d v="2024-05-29T00:00:00"/>
    <n v="4"/>
    <x v="0"/>
    <n v="4"/>
    <n v="0"/>
  </r>
  <r>
    <s v="ORD-100704"/>
    <x v="144"/>
    <x v="0"/>
    <d v="2024-05-01T00:00:00"/>
    <n v="5"/>
    <s v="CUST-00219"/>
    <x v="0"/>
    <x v="2"/>
    <s v="MH"/>
    <x v="1"/>
    <s v="Mumbai"/>
    <x v="1"/>
    <s v="P404"/>
    <s v="Flip Flops"/>
    <x v="5"/>
    <n v="1"/>
    <n v="399"/>
    <n v="0.05"/>
    <n v="399"/>
    <n v="19.950000000000003"/>
    <n v="379.05"/>
    <n v="152"/>
    <n v="152"/>
    <n v="60"/>
    <n v="167.05"/>
    <n v="0.44070703073473161"/>
    <x v="1"/>
    <d v="2024-05-26T00:00:00"/>
    <n v="1"/>
    <x v="1"/>
    <n v="4"/>
    <n v="0"/>
  </r>
  <r>
    <s v="ORD-100705"/>
    <x v="145"/>
    <x v="0"/>
    <d v="2024-05-01T00:00:00"/>
    <n v="5"/>
    <s v="CUST-00193"/>
    <x v="0"/>
    <x v="12"/>
    <s v="BR"/>
    <x v="2"/>
    <s v="Patna"/>
    <x v="0"/>
    <s v="P703"/>
    <s v="Green Tea (100 bags)"/>
    <x v="0"/>
    <n v="4"/>
    <n v="399"/>
    <n v="0.35"/>
    <n v="1596"/>
    <n v="558.59999999999991"/>
    <n v="1037.4000000000001"/>
    <n v="128"/>
    <n v="512"/>
    <n v="60"/>
    <n v="465.40000000000009"/>
    <n v="0.44862155388471181"/>
    <x v="3"/>
    <d v="2024-05-31T00:00:00"/>
    <n v="5"/>
    <x v="2"/>
    <m/>
    <n v="0"/>
  </r>
  <r>
    <s v="ORD-100706"/>
    <x v="145"/>
    <x v="0"/>
    <d v="2024-05-01T00:00:00"/>
    <n v="5"/>
    <s v="CUST-00724"/>
    <x v="0"/>
    <x v="18"/>
    <s v="WB"/>
    <x v="2"/>
    <s v="Kolkata"/>
    <x v="4"/>
    <s v="P404"/>
    <s v="Flip Flops"/>
    <x v="5"/>
    <n v="1"/>
    <n v="399"/>
    <n v="0.05"/>
    <n v="399"/>
    <n v="19.950000000000003"/>
    <n v="379.05"/>
    <n v="152"/>
    <n v="152"/>
    <n v="60"/>
    <n v="167.05"/>
    <n v="0.44070703073473161"/>
    <x v="2"/>
    <d v="2024-05-29T00:00:00"/>
    <n v="3"/>
    <x v="0"/>
    <n v="5"/>
    <n v="0"/>
  </r>
  <r>
    <s v="ORD-100707"/>
    <x v="145"/>
    <x v="0"/>
    <d v="2024-05-01T00:00:00"/>
    <n v="5"/>
    <s v="CUST-02980"/>
    <x v="0"/>
    <x v="2"/>
    <s v="MH"/>
    <x v="1"/>
    <s v="Mumbai"/>
    <x v="2"/>
    <s v="P305"/>
    <s v="Printed Saree"/>
    <x v="1"/>
    <n v="1"/>
    <n v="1999"/>
    <n v="0.1"/>
    <n v="1999"/>
    <n v="199.9"/>
    <n v="1799.1"/>
    <n v="880"/>
    <n v="880"/>
    <n v="60"/>
    <n v="859.09999999999991"/>
    <n v="0.47751653604580063"/>
    <x v="0"/>
    <d v="2024-05-29T00:00:00"/>
    <n v="3"/>
    <x v="0"/>
    <n v="3"/>
    <n v="0"/>
  </r>
  <r>
    <s v="ORD-100708"/>
    <x v="145"/>
    <x v="0"/>
    <d v="2024-05-01T00:00:00"/>
    <n v="5"/>
    <s v="CUST-00562"/>
    <x v="0"/>
    <x v="11"/>
    <s v="KA"/>
    <x v="3"/>
    <s v="Mysuru"/>
    <x v="2"/>
    <s v="P303"/>
    <s v="Joggers"/>
    <x v="1"/>
    <n v="2"/>
    <n v="1199"/>
    <n v="0"/>
    <n v="2398"/>
    <n v="0"/>
    <n v="2398"/>
    <n v="492"/>
    <n v="984"/>
    <n v="60"/>
    <n v="1354"/>
    <n v="0.56463719766472065"/>
    <x v="0"/>
    <d v="2024-05-31T00:00:00"/>
    <n v="5"/>
    <x v="2"/>
    <n v="4"/>
    <n v="0"/>
  </r>
  <r>
    <s v="ORD-100709"/>
    <x v="146"/>
    <x v="0"/>
    <d v="2024-05-01T00:00:00"/>
    <n v="5"/>
    <s v="CUST-02034"/>
    <x v="0"/>
    <x v="19"/>
    <s v="PB"/>
    <x v="0"/>
    <s v="Ludhiana"/>
    <x v="0"/>
    <s v="P303"/>
    <s v="Joggers"/>
    <x v="1"/>
    <n v="3"/>
    <n v="1199"/>
    <n v="0.15"/>
    <n v="3597"/>
    <n v="539.54999999999995"/>
    <n v="3057.45"/>
    <n v="492"/>
    <n v="1476"/>
    <n v="120"/>
    <n v="1461.4499999999998"/>
    <n v="0.47799636952362262"/>
    <x v="0"/>
    <d v="2024-06-01T00:00:00"/>
    <n v="5"/>
    <x v="2"/>
    <n v="2"/>
    <n v="1"/>
  </r>
  <r>
    <s v="ORD-100710"/>
    <x v="146"/>
    <x v="0"/>
    <d v="2024-05-01T00:00:00"/>
    <n v="5"/>
    <s v="CUST-00565"/>
    <x v="1"/>
    <x v="5"/>
    <s v="HP"/>
    <x v="0"/>
    <s v="Shimla"/>
    <x v="0"/>
    <s v="P302"/>
    <s v="Linen Kurta"/>
    <x v="1"/>
    <n v="1"/>
    <n v="1499"/>
    <n v="0.25"/>
    <n v="1499"/>
    <n v="374.75"/>
    <n v="1124.25"/>
    <n v="630"/>
    <n v="630"/>
    <n v="60"/>
    <n v="434.25"/>
    <n v="0.38625750500333556"/>
    <x v="1"/>
    <d v="2024-06-01T00:00:00"/>
    <n v="5"/>
    <x v="2"/>
    <n v="3"/>
    <n v="0"/>
  </r>
  <r>
    <s v="ORD-100711"/>
    <x v="146"/>
    <x v="0"/>
    <d v="2024-05-01T00:00:00"/>
    <n v="5"/>
    <s v="CUST-02448"/>
    <x v="1"/>
    <x v="6"/>
    <s v="DL"/>
    <x v="0"/>
    <s v="New Delhi"/>
    <x v="2"/>
    <s v="P203"/>
    <s v="Keratin Hair Mask"/>
    <x v="6"/>
    <n v="1"/>
    <n v="549"/>
    <n v="0.05"/>
    <n v="549"/>
    <n v="27.450000000000003"/>
    <n v="521.54999999999995"/>
    <n v="170"/>
    <n v="170"/>
    <n v="60"/>
    <n v="291.54999999999995"/>
    <n v="0.55900680663407143"/>
    <x v="1"/>
    <d v="2024-05-28T00:00:00"/>
    <n v="1"/>
    <x v="1"/>
    <m/>
    <n v="0"/>
  </r>
  <r>
    <s v="ORD-100712"/>
    <x v="146"/>
    <x v="0"/>
    <d v="2024-05-01T00:00:00"/>
    <n v="5"/>
    <s v="CUST-00096"/>
    <x v="0"/>
    <x v="6"/>
    <s v="DL"/>
    <x v="0"/>
    <s v="New Delhi"/>
    <x v="0"/>
    <s v="P404"/>
    <s v="Flip Flops"/>
    <x v="5"/>
    <n v="2"/>
    <n v="399"/>
    <n v="0.05"/>
    <n v="798"/>
    <n v="39.900000000000006"/>
    <n v="758.1"/>
    <n v="152"/>
    <n v="304"/>
    <n v="120"/>
    <n v="334.1"/>
    <n v="0.44070703073473161"/>
    <x v="0"/>
    <d v="2024-05-29T00:00:00"/>
    <n v="2"/>
    <x v="1"/>
    <m/>
    <n v="1"/>
  </r>
  <r>
    <s v="ORD-100713"/>
    <x v="146"/>
    <x v="0"/>
    <d v="2024-05-01T00:00:00"/>
    <n v="5"/>
    <s v="CUST-02895"/>
    <x v="0"/>
    <x v="16"/>
    <s v="UP"/>
    <x v="0"/>
    <s v="Kanpur"/>
    <x v="0"/>
    <s v="P403"/>
    <s v="Kolhapuri Sandals"/>
    <x v="5"/>
    <n v="2"/>
    <n v="999"/>
    <n v="0.1"/>
    <n v="1998"/>
    <n v="199.8"/>
    <n v="1798.2"/>
    <n v="400"/>
    <n v="800"/>
    <n v="60"/>
    <n v="938.2"/>
    <n v="0.52174396618841068"/>
    <x v="3"/>
    <d v="2024-05-30T00:00:00"/>
    <n v="3"/>
    <x v="0"/>
    <m/>
    <n v="0"/>
  </r>
  <r>
    <s v="ORD-100714"/>
    <x v="146"/>
    <x v="0"/>
    <d v="2024-05-01T00:00:00"/>
    <n v="5"/>
    <s v="CUST-00434"/>
    <x v="0"/>
    <x v="1"/>
    <s v="GJ"/>
    <x v="1"/>
    <s v="Ahmedabad"/>
    <x v="2"/>
    <s v="P603"/>
    <s v="Smartwatch Strap"/>
    <x v="2"/>
    <n v="1"/>
    <n v="499"/>
    <n v="0.05"/>
    <n v="499"/>
    <n v="24.950000000000003"/>
    <n v="474.05"/>
    <n v="200"/>
    <n v="200"/>
    <n v="60"/>
    <n v="214.05"/>
    <n v="0.45153464824385614"/>
    <x v="0"/>
    <d v="2024-05-30T00:00:00"/>
    <n v="3"/>
    <x v="0"/>
    <n v="4"/>
    <n v="0"/>
  </r>
  <r>
    <s v="ORD-100715"/>
    <x v="146"/>
    <x v="0"/>
    <d v="2024-05-01T00:00:00"/>
    <n v="5"/>
    <s v="CUST-01828"/>
    <x v="0"/>
    <x v="11"/>
    <s v="KA"/>
    <x v="3"/>
    <s v="Mysuru"/>
    <x v="4"/>
    <s v="P101"/>
    <s v="Vitamin C Face Serum"/>
    <x v="3"/>
    <n v="3"/>
    <n v="599"/>
    <n v="0.15"/>
    <n v="1797"/>
    <n v="269.55"/>
    <n v="1527.45"/>
    <n v="180"/>
    <n v="540"/>
    <n v="60"/>
    <n v="927.45"/>
    <n v="0.60718845134046939"/>
    <x v="0"/>
    <d v="2024-05-28T00:00:00"/>
    <n v="1"/>
    <x v="1"/>
    <m/>
    <n v="0"/>
  </r>
  <r>
    <s v="ORD-100716"/>
    <x v="147"/>
    <x v="0"/>
    <d v="2024-05-01T00:00:00"/>
    <n v="5"/>
    <s v="CUST-01840"/>
    <x v="0"/>
    <x v="16"/>
    <s v="UP"/>
    <x v="0"/>
    <s v="Noida"/>
    <x v="4"/>
    <s v="P102"/>
    <s v="Sunscreen SPF 50"/>
    <x v="3"/>
    <n v="1"/>
    <n v="449"/>
    <n v="0"/>
    <n v="449"/>
    <n v="0"/>
    <n v="449"/>
    <n v="144"/>
    <n v="144"/>
    <n v="60"/>
    <n v="245"/>
    <n v="0.54565701559020041"/>
    <x v="0"/>
    <d v="2024-06-02T00:00:00"/>
    <n v="5"/>
    <x v="2"/>
    <n v="4"/>
    <n v="0"/>
  </r>
  <r>
    <s v="ORD-100717"/>
    <x v="147"/>
    <x v="0"/>
    <d v="2024-05-01T00:00:00"/>
    <n v="5"/>
    <s v="CUST-01712"/>
    <x v="0"/>
    <x v="16"/>
    <s v="UP"/>
    <x v="0"/>
    <s v="Kanpur"/>
    <x v="4"/>
    <s v="P602"/>
    <s v="Fast Charger 33W"/>
    <x v="2"/>
    <n v="4"/>
    <n v="899"/>
    <n v="0.15"/>
    <n v="3596"/>
    <n v="539.4"/>
    <n v="3056.6"/>
    <n v="494"/>
    <n v="1976"/>
    <n v="120"/>
    <n v="960.59999999999991"/>
    <n v="0.3142707583589609"/>
    <x v="3"/>
    <d v="2024-06-01T00:00:00"/>
    <n v="4"/>
    <x v="0"/>
    <m/>
    <n v="1"/>
  </r>
  <r>
    <s v="ORD-100718"/>
    <x v="147"/>
    <x v="0"/>
    <d v="2024-05-01T00:00:00"/>
    <n v="5"/>
    <s v="CUST-02290"/>
    <x v="0"/>
    <x v="12"/>
    <s v="BR"/>
    <x v="2"/>
    <s v="Patna"/>
    <x v="0"/>
    <s v="P603"/>
    <s v="Smartwatch Strap"/>
    <x v="2"/>
    <n v="1"/>
    <n v="499"/>
    <n v="0.1"/>
    <n v="499"/>
    <n v="49.900000000000006"/>
    <n v="449.1"/>
    <n v="200"/>
    <n v="200"/>
    <n v="60"/>
    <n v="189.10000000000002"/>
    <n v="0.42106435092407041"/>
    <x v="0"/>
    <d v="2024-05-30T00:00:00"/>
    <n v="2"/>
    <x v="1"/>
    <n v="5"/>
    <n v="0"/>
  </r>
  <r>
    <s v="ORD-100719"/>
    <x v="147"/>
    <x v="0"/>
    <d v="2024-05-01T00:00:00"/>
    <n v="5"/>
    <s v="CUST-01893"/>
    <x v="0"/>
    <x v="11"/>
    <s v="KA"/>
    <x v="3"/>
    <s v="Bengaluru"/>
    <x v="4"/>
    <s v="P101"/>
    <s v="Vitamin C Face Serum"/>
    <x v="3"/>
    <n v="1"/>
    <n v="599"/>
    <n v="0.15"/>
    <n v="599"/>
    <n v="89.85"/>
    <n v="509.15"/>
    <n v="180"/>
    <n v="180"/>
    <n v="60"/>
    <n v="269.14999999999998"/>
    <n v="0.52862614160856325"/>
    <x v="0"/>
    <d v="2024-05-31T00:00:00"/>
    <n v="3"/>
    <x v="0"/>
    <n v="4"/>
    <n v="0"/>
  </r>
  <r>
    <s v="ORD-100720"/>
    <x v="148"/>
    <x v="0"/>
    <d v="2024-05-01T00:00:00"/>
    <n v="5"/>
    <s v="CUST-01033"/>
    <x v="0"/>
    <x v="9"/>
    <s v="UK"/>
    <x v="0"/>
    <s v="Dehradun"/>
    <x v="3"/>
    <s v="P201"/>
    <s v="Onion Hair Oil"/>
    <x v="6"/>
    <n v="2"/>
    <n v="349"/>
    <n v="0.35"/>
    <n v="698"/>
    <n v="244.29999999999998"/>
    <n v="453.70000000000005"/>
    <n v="105"/>
    <n v="210"/>
    <n v="60"/>
    <n v="183.70000000000005"/>
    <n v="0.40489310116817284"/>
    <x v="2"/>
    <d v="2024-06-02T00:00:00"/>
    <n v="4"/>
    <x v="0"/>
    <n v="4"/>
    <n v="0"/>
  </r>
  <r>
    <s v="ORD-100721"/>
    <x v="148"/>
    <x v="0"/>
    <d v="2024-05-01T00:00:00"/>
    <n v="5"/>
    <s v="CUST-00695"/>
    <x v="1"/>
    <x v="16"/>
    <s v="UP"/>
    <x v="0"/>
    <s v="Lucknow"/>
    <x v="0"/>
    <s v="P101"/>
    <s v="Vitamin C Face Serum"/>
    <x v="3"/>
    <n v="1"/>
    <n v="599"/>
    <n v="0.2"/>
    <n v="599"/>
    <n v="119.80000000000001"/>
    <n v="479.2"/>
    <n v="180"/>
    <n v="180"/>
    <n v="60"/>
    <n v="239.2"/>
    <n v="0.4991652754590985"/>
    <x v="3"/>
    <d v="2024-06-02T00:00:00"/>
    <n v="4"/>
    <x v="0"/>
    <n v="3"/>
    <n v="0"/>
  </r>
  <r>
    <s v="ORD-100722"/>
    <x v="148"/>
    <x v="0"/>
    <d v="2024-05-01T00:00:00"/>
    <n v="5"/>
    <s v="CUST-00725"/>
    <x v="1"/>
    <x v="11"/>
    <s v="KA"/>
    <x v="3"/>
    <s v="Mysuru"/>
    <x v="4"/>
    <s v="P103"/>
    <s v="Niacinamide Toner"/>
    <x v="3"/>
    <n v="2"/>
    <n v="399"/>
    <n v="0.25"/>
    <n v="798"/>
    <n v="199.5"/>
    <n v="598.5"/>
    <n v="112"/>
    <n v="224"/>
    <n v="60"/>
    <n v="314.5"/>
    <n v="0.52548036758563077"/>
    <x v="0"/>
    <d v="2024-05-30T00:00:00"/>
    <n v="1"/>
    <x v="1"/>
    <n v="5"/>
    <n v="0"/>
  </r>
  <r>
    <s v="ORD-100723"/>
    <x v="149"/>
    <x v="0"/>
    <d v="2024-05-01T00:00:00"/>
    <n v="5"/>
    <s v="CUST-00486"/>
    <x v="0"/>
    <x v="2"/>
    <s v="MH"/>
    <x v="1"/>
    <s v="Mumbai"/>
    <x v="4"/>
    <s v="P301"/>
    <s v="Cotton Oversized T-Shirt"/>
    <x v="1"/>
    <n v="1"/>
    <n v="799"/>
    <n v="0"/>
    <n v="799"/>
    <n v="0"/>
    <n v="799"/>
    <n v="320"/>
    <n v="320"/>
    <n v="60"/>
    <n v="419"/>
    <n v="0.52440550688360454"/>
    <x v="4"/>
    <d v="2024-06-02T00:00:00"/>
    <n v="3"/>
    <x v="0"/>
    <m/>
    <n v="0"/>
  </r>
  <r>
    <s v="ORD-100724"/>
    <x v="149"/>
    <x v="0"/>
    <d v="2024-05-01T00:00:00"/>
    <n v="5"/>
    <s v="CUST-02826"/>
    <x v="1"/>
    <x v="21"/>
    <s v="TG"/>
    <x v="3"/>
    <s v="Hyderabad"/>
    <x v="2"/>
    <s v="P304"/>
    <s v="Denim Jacket"/>
    <x v="1"/>
    <n v="4"/>
    <n v="2499"/>
    <n v="0.05"/>
    <n v="9996"/>
    <n v="499.8"/>
    <n v="9496.2000000000007"/>
    <n v="1125"/>
    <n v="4500"/>
    <n v="60"/>
    <n v="4936.2000000000007"/>
    <n v="0.51980792316926772"/>
    <x v="0"/>
    <d v="2024-05-31T00:00:00"/>
    <n v="1"/>
    <x v="1"/>
    <m/>
    <n v="0"/>
  </r>
  <r>
    <s v="ORD-100725"/>
    <x v="150"/>
    <x v="0"/>
    <d v="2024-05-01T00:00:00"/>
    <n v="5"/>
    <s v="CUST-02788"/>
    <x v="0"/>
    <x v="4"/>
    <s v="JK"/>
    <x v="0"/>
    <s v="Jammu"/>
    <x v="2"/>
    <s v="P701"/>
    <s v="Ashwagandha Capsules"/>
    <x v="0"/>
    <n v="1"/>
    <n v="499"/>
    <n v="0.05"/>
    <n v="499"/>
    <n v="24.950000000000003"/>
    <n v="474.05"/>
    <n v="150"/>
    <n v="150"/>
    <n v="60"/>
    <n v="264.05"/>
    <n v="0.55700875435080688"/>
    <x v="1"/>
    <d v="2024-06-07T00:00:00"/>
    <n v="7"/>
    <x v="2"/>
    <m/>
    <n v="0"/>
  </r>
  <r>
    <s v="ORD-100726"/>
    <x v="150"/>
    <x v="0"/>
    <d v="2024-05-01T00:00:00"/>
    <n v="5"/>
    <s v="CUST-00225"/>
    <x v="0"/>
    <x v="0"/>
    <s v="RJ"/>
    <x v="0"/>
    <s v="Udaipur"/>
    <x v="4"/>
    <s v="P504"/>
    <s v="Cotton Bedsheet"/>
    <x v="4"/>
    <n v="1"/>
    <n v="1299"/>
    <n v="0.1"/>
    <n v="1299"/>
    <n v="129.9"/>
    <n v="1169.0999999999999"/>
    <n v="585"/>
    <n v="585"/>
    <n v="60"/>
    <n v="524.09999999999991"/>
    <n v="0.44829355914806257"/>
    <x v="0"/>
    <d v="2024-06-03T00:00:00"/>
    <n v="3"/>
    <x v="0"/>
    <n v="4"/>
    <n v="0"/>
  </r>
  <r>
    <s v="ORD-100727"/>
    <x v="150"/>
    <x v="0"/>
    <d v="2024-05-01T00:00:00"/>
    <n v="5"/>
    <s v="CUST-02531"/>
    <x v="0"/>
    <x v="0"/>
    <s v="RJ"/>
    <x v="0"/>
    <s v="Udaipur"/>
    <x v="4"/>
    <s v="P502"/>
    <s v="Ceramic Dinner Set"/>
    <x v="4"/>
    <n v="2"/>
    <n v="2499"/>
    <n v="0.3"/>
    <n v="4998"/>
    <n v="1499.3999999999999"/>
    <n v="3498.6000000000004"/>
    <n v="1250"/>
    <n v="2500"/>
    <n v="60"/>
    <n v="938.60000000000036"/>
    <n v="0.26827874006745561"/>
    <x v="3"/>
    <d v="2024-06-02T00:00:00"/>
    <n v="2"/>
    <x v="1"/>
    <m/>
    <n v="0"/>
  </r>
  <r>
    <s v="ORD-100728"/>
    <x v="150"/>
    <x v="0"/>
    <d v="2024-05-01T00:00:00"/>
    <n v="5"/>
    <s v="CUST-01686"/>
    <x v="0"/>
    <x v="10"/>
    <s v="CG"/>
    <x v="2"/>
    <s v="Raipur"/>
    <x v="0"/>
    <s v="P703"/>
    <s v="Green Tea (100 bags)"/>
    <x v="0"/>
    <n v="2"/>
    <n v="399"/>
    <n v="0.3"/>
    <n v="798"/>
    <n v="239.39999999999998"/>
    <n v="558.6"/>
    <n v="128"/>
    <n v="256"/>
    <n v="120"/>
    <n v="182.60000000000002"/>
    <n v="0.32688865019692093"/>
    <x v="1"/>
    <d v="2024-06-05T00:00:00"/>
    <n v="5"/>
    <x v="2"/>
    <n v="3"/>
    <n v="1"/>
  </r>
  <r>
    <s v="ORD-100729"/>
    <x v="150"/>
    <x v="0"/>
    <d v="2024-05-01T00:00:00"/>
    <n v="5"/>
    <s v="CUST-00303"/>
    <x v="0"/>
    <x v="18"/>
    <s v="WB"/>
    <x v="2"/>
    <s v="Kolkata"/>
    <x v="0"/>
    <s v="P101"/>
    <s v="Vitamin C Face Serum"/>
    <x v="3"/>
    <n v="1"/>
    <n v="599"/>
    <n v="0.25"/>
    <n v="599"/>
    <n v="149.75"/>
    <n v="449.25"/>
    <n v="180"/>
    <n v="180"/>
    <n v="60"/>
    <n v="209.25"/>
    <n v="0.46577629382303842"/>
    <x v="1"/>
    <d v="2024-06-05T00:00:00"/>
    <n v="5"/>
    <x v="2"/>
    <m/>
    <n v="0"/>
  </r>
  <r>
    <s v="ORD-100730"/>
    <x v="150"/>
    <x v="0"/>
    <d v="2024-05-01T00:00:00"/>
    <n v="5"/>
    <s v="CUST-01012"/>
    <x v="0"/>
    <x v="11"/>
    <s v="KA"/>
    <x v="3"/>
    <s v="Bengaluru"/>
    <x v="2"/>
    <s v="P503"/>
    <s v="Scented Candle Set"/>
    <x v="4"/>
    <n v="1"/>
    <n v="699"/>
    <n v="0.15"/>
    <n v="699"/>
    <n v="104.85"/>
    <n v="594.15"/>
    <n v="245"/>
    <n v="245"/>
    <n v="60"/>
    <n v="289.14999999999998"/>
    <n v="0.48666161743667424"/>
    <x v="0"/>
    <d v="2024-06-03T00:00:00"/>
    <n v="3"/>
    <x v="0"/>
    <n v="4"/>
    <n v="0"/>
  </r>
  <r>
    <s v="ORD-100731"/>
    <x v="151"/>
    <x v="0"/>
    <d v="2024-06-01T00:00:00"/>
    <n v="6"/>
    <s v="CUST-01423"/>
    <x v="0"/>
    <x v="4"/>
    <s v="JK"/>
    <x v="0"/>
    <s v="Jammu"/>
    <x v="4"/>
    <s v="P402"/>
    <s v="Casual Sneakers"/>
    <x v="5"/>
    <n v="1"/>
    <n v="2199"/>
    <n v="0.2"/>
    <n v="2199"/>
    <n v="439.8"/>
    <n v="1759.2"/>
    <n v="1034"/>
    <n v="1034"/>
    <n v="60"/>
    <n v="665.2"/>
    <n v="0.37812642110050027"/>
    <x v="0"/>
    <d v="2024-06-07T00:00:00"/>
    <n v="6"/>
    <x v="2"/>
    <n v="4"/>
    <n v="0"/>
  </r>
  <r>
    <s v="ORD-100732"/>
    <x v="151"/>
    <x v="0"/>
    <d v="2024-06-01T00:00:00"/>
    <n v="6"/>
    <s v="CUST-00324"/>
    <x v="1"/>
    <x v="19"/>
    <s v="PB"/>
    <x v="0"/>
    <s v="Ludhiana"/>
    <x v="1"/>
    <s v="P403"/>
    <s v="Kolhapuri Sandals"/>
    <x v="5"/>
    <n v="1"/>
    <n v="999"/>
    <n v="0.05"/>
    <n v="999"/>
    <n v="49.95"/>
    <n v="949.05"/>
    <n v="400"/>
    <n v="400"/>
    <n v="60"/>
    <n v="489.04999999999995"/>
    <n v="0.5153047784626732"/>
    <x v="0"/>
    <d v="2024-06-05T00:00:00"/>
    <n v="4"/>
    <x v="0"/>
    <n v="4"/>
    <n v="0"/>
  </r>
  <r>
    <s v="ORD-100733"/>
    <x v="151"/>
    <x v="0"/>
    <d v="2024-06-01T00:00:00"/>
    <n v="6"/>
    <s v="CUST-02399"/>
    <x v="0"/>
    <x v="0"/>
    <s v="RJ"/>
    <x v="0"/>
    <s v="Udaipur"/>
    <x v="0"/>
    <s v="P702"/>
    <s v="Whey Protein 1kg"/>
    <x v="0"/>
    <n v="2"/>
    <n v="2299"/>
    <n v="0.4"/>
    <n v="4598"/>
    <n v="1839.2"/>
    <n v="2758.8"/>
    <n v="1333"/>
    <n v="2666"/>
    <n v="120"/>
    <n v="-27.199999999999818"/>
    <n v="-9.8593591416557252E-3"/>
    <x v="3"/>
    <d v="2024-06-05T00:00:00"/>
    <n v="4"/>
    <x v="0"/>
    <n v="3"/>
    <n v="1"/>
  </r>
  <r>
    <s v="ORD-100734"/>
    <x v="151"/>
    <x v="0"/>
    <d v="2024-06-01T00:00:00"/>
    <n v="6"/>
    <s v="CUST-00753"/>
    <x v="0"/>
    <x v="15"/>
    <s v="HR"/>
    <x v="0"/>
    <s v="Faridabad"/>
    <x v="1"/>
    <s v="P402"/>
    <s v="Casual Sneakers"/>
    <x v="5"/>
    <n v="1"/>
    <n v="2199"/>
    <n v="0.2"/>
    <n v="2199"/>
    <n v="439.8"/>
    <n v="1759.2"/>
    <n v="1034"/>
    <n v="1034"/>
    <n v="60"/>
    <n v="665.2"/>
    <n v="0.37812642110050027"/>
    <x v="4"/>
    <d v="2024-06-04T00:00:00"/>
    <n v="3"/>
    <x v="0"/>
    <n v="3"/>
    <n v="0"/>
  </r>
  <r>
    <s v="ORD-100735"/>
    <x v="151"/>
    <x v="0"/>
    <d v="2024-06-01T00:00:00"/>
    <n v="6"/>
    <s v="CUST-00137"/>
    <x v="0"/>
    <x v="12"/>
    <s v="BR"/>
    <x v="2"/>
    <s v="Patna"/>
    <x v="0"/>
    <s v="P502"/>
    <s v="Ceramic Dinner Set"/>
    <x v="4"/>
    <n v="1"/>
    <n v="2499"/>
    <n v="0.4"/>
    <n v="2499"/>
    <n v="999.6"/>
    <n v="1499.4"/>
    <n v="1250"/>
    <n v="1250"/>
    <n v="60"/>
    <n v="189.40000000000009"/>
    <n v="0.12631719354408436"/>
    <x v="0"/>
    <d v="2024-06-06T00:00:00"/>
    <n v="5"/>
    <x v="2"/>
    <n v="3"/>
    <n v="0"/>
  </r>
  <r>
    <s v="ORD-100736"/>
    <x v="151"/>
    <x v="0"/>
    <d v="2024-06-01T00:00:00"/>
    <n v="6"/>
    <s v="CUST-00900"/>
    <x v="1"/>
    <x v="1"/>
    <s v="GJ"/>
    <x v="1"/>
    <s v="Ahmedabad"/>
    <x v="1"/>
    <s v="P404"/>
    <s v="Flip Flops"/>
    <x v="5"/>
    <n v="1"/>
    <n v="399"/>
    <n v="0.2"/>
    <n v="399"/>
    <n v="79.800000000000011"/>
    <n v="319.2"/>
    <n v="152"/>
    <n v="152"/>
    <n v="120"/>
    <n v="47.199999999999989"/>
    <n v="0.14786967418546362"/>
    <x v="4"/>
    <d v="2024-06-02T00:00:00"/>
    <n v="1"/>
    <x v="1"/>
    <n v="4"/>
    <n v="1"/>
  </r>
  <r>
    <s v="ORD-100737"/>
    <x v="151"/>
    <x v="0"/>
    <d v="2024-06-01T00:00:00"/>
    <n v="6"/>
    <s v="CUST-00597"/>
    <x v="1"/>
    <x v="1"/>
    <s v="GJ"/>
    <x v="1"/>
    <s v="Surat"/>
    <x v="3"/>
    <s v="P101"/>
    <s v="Vitamin C Face Serum"/>
    <x v="3"/>
    <n v="4"/>
    <n v="599"/>
    <n v="0.25"/>
    <n v="2396"/>
    <n v="599"/>
    <n v="1797"/>
    <n v="180"/>
    <n v="720"/>
    <n v="60"/>
    <n v="1017"/>
    <n v="0.56594323873121866"/>
    <x v="3"/>
    <d v="2024-06-04T00:00:00"/>
    <n v="3"/>
    <x v="0"/>
    <m/>
    <n v="0"/>
  </r>
  <r>
    <s v="ORD-100738"/>
    <x v="151"/>
    <x v="0"/>
    <d v="2024-06-01T00:00:00"/>
    <n v="6"/>
    <s v="CUST-02659"/>
    <x v="0"/>
    <x v="2"/>
    <s v="MH"/>
    <x v="1"/>
    <s v="Mumbai"/>
    <x v="4"/>
    <s v="P603"/>
    <s v="Smartwatch Strap"/>
    <x v="2"/>
    <n v="1"/>
    <n v="499"/>
    <n v="0.05"/>
    <n v="499"/>
    <n v="24.950000000000003"/>
    <n v="474.05"/>
    <n v="200"/>
    <n v="200"/>
    <n v="60"/>
    <n v="214.05"/>
    <n v="0.45153464824385614"/>
    <x v="0"/>
    <d v="2024-06-02T00:00:00"/>
    <n v="1"/>
    <x v="1"/>
    <n v="4"/>
    <n v="0"/>
  </r>
  <r>
    <s v="ORD-100739"/>
    <x v="151"/>
    <x v="0"/>
    <d v="2024-06-01T00:00:00"/>
    <n v="6"/>
    <s v="CUST-00654"/>
    <x v="0"/>
    <x v="21"/>
    <s v="TG"/>
    <x v="3"/>
    <s v="Hyderabad"/>
    <x v="0"/>
    <s v="P403"/>
    <s v="Kolhapuri Sandals"/>
    <x v="5"/>
    <n v="1"/>
    <n v="999"/>
    <n v="0"/>
    <n v="999"/>
    <n v="0"/>
    <n v="999"/>
    <n v="400"/>
    <n v="400"/>
    <n v="60"/>
    <n v="539"/>
    <n v="0.53953953953953959"/>
    <x v="0"/>
    <d v="2024-06-03T00:00:00"/>
    <n v="2"/>
    <x v="1"/>
    <n v="4"/>
    <n v="0"/>
  </r>
  <r>
    <s v="ORD-100740"/>
    <x v="151"/>
    <x v="0"/>
    <d v="2024-06-01T00:00:00"/>
    <n v="6"/>
    <s v="CUST-02685"/>
    <x v="0"/>
    <x v="11"/>
    <s v="KA"/>
    <x v="3"/>
    <s v="Mysuru"/>
    <x v="0"/>
    <s v="P204"/>
    <s v="Anti-Dandruff Conditioner"/>
    <x v="6"/>
    <n v="3"/>
    <n v="399"/>
    <n v="0.45"/>
    <n v="1197"/>
    <n v="538.65"/>
    <n v="658.35"/>
    <n v="136"/>
    <n v="408"/>
    <n v="60"/>
    <n v="190.35000000000002"/>
    <n v="0.28913192071086813"/>
    <x v="4"/>
    <d v="2024-06-04T00:00:00"/>
    <n v="3"/>
    <x v="0"/>
    <n v="3"/>
    <n v="0"/>
  </r>
  <r>
    <s v="ORD-100741"/>
    <x v="151"/>
    <x v="0"/>
    <d v="2024-06-01T00:00:00"/>
    <n v="6"/>
    <s v="CUST-00425"/>
    <x v="0"/>
    <x v="11"/>
    <s v="KA"/>
    <x v="3"/>
    <s v="Mysuru"/>
    <x v="0"/>
    <s v="P704"/>
    <s v="Multivitamin Gummies"/>
    <x v="0"/>
    <n v="1"/>
    <n v="699"/>
    <n v="0.2"/>
    <n v="699"/>
    <n v="139.80000000000001"/>
    <n v="559.20000000000005"/>
    <n v="238"/>
    <n v="238"/>
    <n v="60"/>
    <n v="261.20000000000005"/>
    <n v="0.46709585121602293"/>
    <x v="0"/>
    <d v="2024-06-03T00:00:00"/>
    <n v="2"/>
    <x v="1"/>
    <n v="5"/>
    <n v="0"/>
  </r>
  <r>
    <s v="ORD-100742"/>
    <x v="151"/>
    <x v="0"/>
    <d v="2024-06-01T00:00:00"/>
    <n v="6"/>
    <s v="CUST-03134"/>
    <x v="0"/>
    <x v="14"/>
    <s v="KL"/>
    <x v="3"/>
    <s v="Thiruvananthapuram"/>
    <x v="2"/>
    <s v="P704"/>
    <s v="Multivitamin Gummies"/>
    <x v="0"/>
    <n v="1"/>
    <n v="699"/>
    <n v="0.2"/>
    <n v="699"/>
    <n v="139.80000000000001"/>
    <n v="559.20000000000005"/>
    <n v="238"/>
    <n v="238"/>
    <n v="60"/>
    <n v="261.20000000000005"/>
    <n v="0.46709585121602293"/>
    <x v="4"/>
    <d v="2024-06-08T00:00:00"/>
    <n v="7"/>
    <x v="2"/>
    <m/>
    <n v="0"/>
  </r>
  <r>
    <s v="ORD-100743"/>
    <x v="152"/>
    <x v="0"/>
    <d v="2024-06-01T00:00:00"/>
    <n v="6"/>
    <s v="CUST-02387"/>
    <x v="0"/>
    <x v="5"/>
    <s v="HP"/>
    <x v="0"/>
    <s v="Shimla"/>
    <x v="0"/>
    <s v="P103"/>
    <s v="Niacinamide Toner"/>
    <x v="3"/>
    <n v="1"/>
    <n v="399"/>
    <n v="0.3"/>
    <n v="399"/>
    <n v="119.69999999999999"/>
    <n v="279.3"/>
    <n v="112"/>
    <n v="112"/>
    <n v="60"/>
    <n v="107.30000000000001"/>
    <n v="0.38417472252058721"/>
    <x v="0"/>
    <d v="2024-06-04T00:00:00"/>
    <n v="2"/>
    <x v="1"/>
    <n v="5"/>
    <n v="0"/>
  </r>
  <r>
    <s v="ORD-100744"/>
    <x v="152"/>
    <x v="0"/>
    <d v="2024-06-01T00:00:00"/>
    <n v="6"/>
    <s v="CUST-00445"/>
    <x v="1"/>
    <x v="6"/>
    <s v="DL"/>
    <x v="0"/>
    <s v="New Delhi"/>
    <x v="0"/>
    <s v="P404"/>
    <s v="Flip Flops"/>
    <x v="5"/>
    <n v="1"/>
    <n v="399"/>
    <n v="0.2"/>
    <n v="399"/>
    <n v="79.800000000000011"/>
    <n v="319.2"/>
    <n v="152"/>
    <n v="152"/>
    <n v="60"/>
    <n v="107.19999999999999"/>
    <n v="0.33583959899749372"/>
    <x v="3"/>
    <d v="2024-06-05T00:00:00"/>
    <n v="3"/>
    <x v="0"/>
    <n v="3"/>
    <n v="0"/>
  </r>
  <r>
    <s v="ORD-100745"/>
    <x v="152"/>
    <x v="0"/>
    <d v="2024-06-01T00:00:00"/>
    <n v="6"/>
    <s v="CUST-00253"/>
    <x v="0"/>
    <x v="16"/>
    <s v="UP"/>
    <x v="0"/>
    <s v="Noida"/>
    <x v="0"/>
    <s v="P103"/>
    <s v="Niacinamide Toner"/>
    <x v="3"/>
    <n v="1"/>
    <n v="399"/>
    <n v="0.2"/>
    <n v="399"/>
    <n v="79.800000000000011"/>
    <n v="319.2"/>
    <n v="112"/>
    <n v="112"/>
    <n v="60"/>
    <n v="147.19999999999999"/>
    <n v="0.46115288220551376"/>
    <x v="2"/>
    <d v="2024-06-07T00:00:00"/>
    <n v="5"/>
    <x v="2"/>
    <n v="4"/>
    <n v="0"/>
  </r>
  <r>
    <s v="ORD-100746"/>
    <x v="152"/>
    <x v="0"/>
    <d v="2024-06-01T00:00:00"/>
    <n v="6"/>
    <s v="CUST-00174"/>
    <x v="0"/>
    <x v="7"/>
    <s v="JH"/>
    <x v="2"/>
    <s v="Ranchi"/>
    <x v="2"/>
    <s v="P103"/>
    <s v="Niacinamide Toner"/>
    <x v="3"/>
    <n v="1"/>
    <n v="399"/>
    <n v="0.15"/>
    <n v="399"/>
    <n v="59.849999999999994"/>
    <n v="339.15"/>
    <n v="112"/>
    <n v="112"/>
    <n v="60"/>
    <n v="167.14999999999998"/>
    <n v="0.49284977148754233"/>
    <x v="0"/>
    <d v="2024-06-07T00:00:00"/>
    <n v="5"/>
    <x v="2"/>
    <n v="4"/>
    <n v="0"/>
  </r>
  <r>
    <s v="ORD-100747"/>
    <x v="152"/>
    <x v="0"/>
    <d v="2024-06-01T00:00:00"/>
    <n v="6"/>
    <s v="CUST-00451"/>
    <x v="0"/>
    <x v="11"/>
    <s v="KA"/>
    <x v="3"/>
    <s v="Mysuru"/>
    <x v="2"/>
    <s v="P602"/>
    <s v="Fast Charger 33W"/>
    <x v="2"/>
    <n v="1"/>
    <n v="899"/>
    <n v="0.05"/>
    <n v="899"/>
    <n v="44.95"/>
    <n v="854.05"/>
    <n v="494"/>
    <n v="494"/>
    <n v="60"/>
    <n v="300.04999999999995"/>
    <n v="0.35132603477548152"/>
    <x v="3"/>
    <d v="2024-06-04T00:00:00"/>
    <n v="2"/>
    <x v="1"/>
    <n v="4"/>
    <n v="0"/>
  </r>
  <r>
    <s v="ORD-100748"/>
    <x v="153"/>
    <x v="0"/>
    <d v="2024-06-01T00:00:00"/>
    <n v="6"/>
    <s v="CUST-02621"/>
    <x v="0"/>
    <x v="9"/>
    <s v="UK"/>
    <x v="0"/>
    <s v="Dehradun"/>
    <x v="2"/>
    <s v="P603"/>
    <s v="Smartwatch Strap"/>
    <x v="2"/>
    <n v="1"/>
    <n v="499"/>
    <n v="0.15"/>
    <n v="499"/>
    <n v="74.849999999999994"/>
    <n v="424.15"/>
    <n v="200"/>
    <n v="200"/>
    <n v="60"/>
    <n v="164.14999999999998"/>
    <n v="0.38700931274313327"/>
    <x v="0"/>
    <d v="2024-06-08T00:00:00"/>
    <n v="5"/>
    <x v="2"/>
    <n v="3"/>
    <n v="0"/>
  </r>
  <r>
    <s v="ORD-100749"/>
    <x v="153"/>
    <x v="0"/>
    <d v="2024-06-01T00:00:00"/>
    <n v="6"/>
    <s v="CUST-00797"/>
    <x v="0"/>
    <x v="0"/>
    <s v="RJ"/>
    <x v="0"/>
    <s v="Jaipur"/>
    <x v="3"/>
    <s v="P701"/>
    <s v="Ashwagandha Capsules"/>
    <x v="0"/>
    <n v="2"/>
    <n v="499"/>
    <n v="0.05"/>
    <n v="998"/>
    <n v="49.900000000000006"/>
    <n v="948.1"/>
    <n v="150"/>
    <n v="300"/>
    <n v="60"/>
    <n v="588.1"/>
    <n v="0.62029321801497728"/>
    <x v="2"/>
    <d v="2024-06-06T00:00:00"/>
    <n v="3"/>
    <x v="0"/>
    <n v="4"/>
    <n v="0"/>
  </r>
  <r>
    <s v="ORD-100750"/>
    <x v="153"/>
    <x v="0"/>
    <d v="2024-06-01T00:00:00"/>
    <n v="6"/>
    <s v="CUST-00103"/>
    <x v="1"/>
    <x v="1"/>
    <s v="GJ"/>
    <x v="1"/>
    <s v="Ahmedabad"/>
    <x v="0"/>
    <s v="P203"/>
    <s v="Keratin Hair Mask"/>
    <x v="6"/>
    <n v="1"/>
    <n v="549"/>
    <n v="0.25"/>
    <n v="549"/>
    <n v="137.25"/>
    <n v="411.75"/>
    <n v="170"/>
    <n v="170"/>
    <n v="60"/>
    <n v="181.75"/>
    <n v="0.44140862173649059"/>
    <x v="0"/>
    <d v="2024-06-05T00:00:00"/>
    <n v="2"/>
    <x v="1"/>
    <n v="5"/>
    <n v="0"/>
  </r>
  <r>
    <s v="ORD-100751"/>
    <x v="153"/>
    <x v="0"/>
    <d v="2024-06-01T00:00:00"/>
    <n v="6"/>
    <s v="CUST-01828"/>
    <x v="1"/>
    <x v="17"/>
    <s v="TN"/>
    <x v="3"/>
    <s v="Coimbatore"/>
    <x v="3"/>
    <s v="P201"/>
    <s v="Onion Hair Oil"/>
    <x v="6"/>
    <n v="1"/>
    <n v="349"/>
    <n v="0.35"/>
    <n v="349"/>
    <n v="122.14999999999999"/>
    <n v="226.85000000000002"/>
    <n v="105"/>
    <n v="105"/>
    <n v="60"/>
    <n v="61.850000000000023"/>
    <n v="0.27264712364998905"/>
    <x v="0"/>
    <d v="2024-06-04T00:00:00"/>
    <n v="1"/>
    <x v="1"/>
    <m/>
    <n v="0"/>
  </r>
  <r>
    <s v="ORD-100752"/>
    <x v="154"/>
    <x v="0"/>
    <d v="2024-06-01T00:00:00"/>
    <n v="6"/>
    <s v="CUST-00502"/>
    <x v="0"/>
    <x v="5"/>
    <s v="HP"/>
    <x v="0"/>
    <s v="Shimla"/>
    <x v="0"/>
    <s v="P701"/>
    <s v="Ashwagandha Capsules"/>
    <x v="0"/>
    <n v="1"/>
    <n v="499"/>
    <n v="0"/>
    <n v="499"/>
    <n v="0"/>
    <n v="499"/>
    <n v="150"/>
    <n v="150"/>
    <n v="60"/>
    <n v="289"/>
    <n v="0.57915831663326656"/>
    <x v="0"/>
    <d v="2024-06-08T00:00:00"/>
    <n v="4"/>
    <x v="0"/>
    <m/>
    <n v="0"/>
  </r>
  <r>
    <s v="ORD-100753"/>
    <x v="154"/>
    <x v="0"/>
    <d v="2024-06-01T00:00:00"/>
    <n v="6"/>
    <s v="CUST-02966"/>
    <x v="0"/>
    <x v="15"/>
    <s v="HR"/>
    <x v="0"/>
    <s v="Gurugram"/>
    <x v="4"/>
    <s v="P302"/>
    <s v="Linen Kurta"/>
    <x v="1"/>
    <n v="1"/>
    <n v="1499"/>
    <n v="0.25"/>
    <n v="1499"/>
    <n v="374.75"/>
    <n v="1124.25"/>
    <n v="630"/>
    <n v="630"/>
    <n v="60"/>
    <n v="434.25"/>
    <n v="0.38625750500333556"/>
    <x v="0"/>
    <d v="2024-06-06T00:00:00"/>
    <n v="2"/>
    <x v="1"/>
    <n v="5"/>
    <n v="0"/>
  </r>
  <r>
    <s v="ORD-100754"/>
    <x v="154"/>
    <x v="0"/>
    <d v="2024-06-01T00:00:00"/>
    <n v="6"/>
    <s v="CUST-02336"/>
    <x v="0"/>
    <x v="22"/>
    <s v="AS"/>
    <x v="2"/>
    <s v="Guwahati"/>
    <x v="0"/>
    <s v="P303"/>
    <s v="Joggers"/>
    <x v="1"/>
    <n v="1"/>
    <n v="1199"/>
    <n v="0.15"/>
    <n v="1199"/>
    <n v="179.85"/>
    <n v="1019.15"/>
    <n v="492"/>
    <n v="492"/>
    <n v="120"/>
    <n v="407.15"/>
    <n v="0.3994995829858215"/>
    <x v="0"/>
    <d v="2024-06-11T00:00:00"/>
    <n v="7"/>
    <x v="2"/>
    <m/>
    <n v="1"/>
  </r>
  <r>
    <s v="ORD-100755"/>
    <x v="154"/>
    <x v="0"/>
    <d v="2024-06-01T00:00:00"/>
    <n v="6"/>
    <s v="CUST-02411"/>
    <x v="0"/>
    <x v="1"/>
    <s v="GJ"/>
    <x v="1"/>
    <s v="Ahmedabad"/>
    <x v="4"/>
    <s v="P202"/>
    <s v="Argan Shampoo"/>
    <x v="6"/>
    <n v="1"/>
    <n v="449"/>
    <n v="0.05"/>
    <n v="449"/>
    <n v="22.450000000000003"/>
    <n v="426.55"/>
    <n v="148"/>
    <n v="148"/>
    <n v="60"/>
    <n v="218.55"/>
    <n v="0.51236666275934828"/>
    <x v="0"/>
    <d v="2024-06-07T00:00:00"/>
    <n v="3"/>
    <x v="0"/>
    <n v="5"/>
    <n v="0"/>
  </r>
  <r>
    <s v="ORD-100756"/>
    <x v="155"/>
    <x v="0"/>
    <d v="2024-06-01T00:00:00"/>
    <n v="6"/>
    <s v="CUST-00670"/>
    <x v="0"/>
    <x v="16"/>
    <s v="UP"/>
    <x v="0"/>
    <s v="Noida"/>
    <x v="4"/>
    <s v="P403"/>
    <s v="Kolhapuri Sandals"/>
    <x v="5"/>
    <n v="2"/>
    <n v="999"/>
    <n v="0.05"/>
    <n v="1998"/>
    <n v="99.9"/>
    <n v="1898.1"/>
    <n v="400"/>
    <n v="800"/>
    <n v="120"/>
    <n v="978.09999999999991"/>
    <n v="0.5153047784626732"/>
    <x v="3"/>
    <d v="2024-06-10T00:00:00"/>
    <n v="5"/>
    <x v="2"/>
    <n v="3"/>
    <n v="1"/>
  </r>
  <r>
    <s v="ORD-100757"/>
    <x v="155"/>
    <x v="0"/>
    <d v="2024-06-01T00:00:00"/>
    <n v="6"/>
    <s v="CUST-00660"/>
    <x v="1"/>
    <x v="16"/>
    <s v="UP"/>
    <x v="0"/>
    <s v="Kanpur"/>
    <x v="0"/>
    <s v="P303"/>
    <s v="Joggers"/>
    <x v="1"/>
    <n v="1"/>
    <n v="1199"/>
    <n v="0.15"/>
    <n v="1199"/>
    <n v="179.85"/>
    <n v="1019.15"/>
    <n v="492"/>
    <n v="492"/>
    <n v="60"/>
    <n v="467.15"/>
    <n v="0.45837217288917231"/>
    <x v="3"/>
    <d v="2024-06-09T00:00:00"/>
    <n v="4"/>
    <x v="0"/>
    <n v="4"/>
    <n v="0"/>
  </r>
  <r>
    <s v="ORD-100758"/>
    <x v="155"/>
    <x v="0"/>
    <d v="2024-06-01T00:00:00"/>
    <n v="6"/>
    <s v="CUST-00020"/>
    <x v="1"/>
    <x v="1"/>
    <s v="GJ"/>
    <x v="1"/>
    <s v="Ahmedabad"/>
    <x v="3"/>
    <s v="P703"/>
    <s v="Green Tea (100 bags)"/>
    <x v="0"/>
    <n v="5"/>
    <n v="399"/>
    <n v="0.35"/>
    <n v="1995"/>
    <n v="698.25"/>
    <n v="1296.75"/>
    <n v="128"/>
    <n v="640"/>
    <n v="120"/>
    <n v="536.75"/>
    <n v="0.41391941391941389"/>
    <x v="0"/>
    <d v="2024-06-07T00:00:00"/>
    <n v="2"/>
    <x v="1"/>
    <n v="4"/>
    <n v="1"/>
  </r>
  <r>
    <s v="ORD-100759"/>
    <x v="155"/>
    <x v="0"/>
    <d v="2024-06-01T00:00:00"/>
    <n v="6"/>
    <s v="CUST-01513"/>
    <x v="0"/>
    <x v="2"/>
    <s v="MH"/>
    <x v="1"/>
    <s v="Pune"/>
    <x v="4"/>
    <s v="P201"/>
    <s v="Onion Hair Oil"/>
    <x v="6"/>
    <n v="2"/>
    <n v="349"/>
    <n v="0.3"/>
    <n v="698"/>
    <n v="209.4"/>
    <n v="488.6"/>
    <n v="105"/>
    <n v="210"/>
    <n v="60"/>
    <n v="218.60000000000002"/>
    <n v="0.44740073679901765"/>
    <x v="4"/>
    <d v="2024-06-08T00:00:00"/>
    <n v="3"/>
    <x v="0"/>
    <n v="5"/>
    <n v="0"/>
  </r>
  <r>
    <s v="ORD-100760"/>
    <x v="155"/>
    <x v="0"/>
    <d v="2024-06-01T00:00:00"/>
    <n v="6"/>
    <s v="CUST-00833"/>
    <x v="0"/>
    <x v="21"/>
    <s v="TG"/>
    <x v="3"/>
    <s v="Hyderabad"/>
    <x v="0"/>
    <s v="P203"/>
    <s v="Keratin Hair Mask"/>
    <x v="6"/>
    <n v="1"/>
    <n v="549"/>
    <n v="0.2"/>
    <n v="549"/>
    <n v="109.80000000000001"/>
    <n v="439.2"/>
    <n v="170"/>
    <n v="170"/>
    <n v="60"/>
    <n v="209.2"/>
    <n v="0.47632058287795992"/>
    <x v="4"/>
    <d v="2024-06-09T00:00:00"/>
    <n v="4"/>
    <x v="0"/>
    <n v="4"/>
    <n v="0"/>
  </r>
  <r>
    <s v="ORD-100761"/>
    <x v="156"/>
    <x v="0"/>
    <d v="2024-06-01T00:00:00"/>
    <n v="6"/>
    <s v="CUST-01107"/>
    <x v="0"/>
    <x v="15"/>
    <s v="HR"/>
    <x v="0"/>
    <s v="Faridabad"/>
    <x v="0"/>
    <s v="P202"/>
    <s v="Argan Shampoo"/>
    <x v="6"/>
    <n v="2"/>
    <n v="449"/>
    <n v="0.05"/>
    <n v="898"/>
    <n v="44.900000000000006"/>
    <n v="853.1"/>
    <n v="148"/>
    <n v="296"/>
    <n v="60"/>
    <n v="497.1"/>
    <n v="0.58269839409213453"/>
    <x v="0"/>
    <d v="2024-06-10T00:00:00"/>
    <n v="4"/>
    <x v="0"/>
    <n v="4"/>
    <n v="0"/>
  </r>
  <r>
    <s v="ORD-100762"/>
    <x v="156"/>
    <x v="0"/>
    <d v="2024-06-01T00:00:00"/>
    <n v="6"/>
    <s v="CUST-00645"/>
    <x v="0"/>
    <x v="16"/>
    <s v="UP"/>
    <x v="0"/>
    <s v="Noida"/>
    <x v="4"/>
    <s v="P701"/>
    <s v="Ashwagandha Capsules"/>
    <x v="0"/>
    <n v="4"/>
    <n v="499"/>
    <n v="0.05"/>
    <n v="1996"/>
    <n v="99.800000000000011"/>
    <n v="1896.2"/>
    <n v="150"/>
    <n v="600"/>
    <n v="60"/>
    <n v="1236.2"/>
    <n v="0.65193544984706253"/>
    <x v="0"/>
    <d v="2024-06-09T00:00:00"/>
    <n v="3"/>
    <x v="0"/>
    <n v="3"/>
    <n v="0"/>
  </r>
  <r>
    <s v="ORD-100763"/>
    <x v="156"/>
    <x v="0"/>
    <d v="2024-06-01T00:00:00"/>
    <n v="6"/>
    <s v="CUST-01363"/>
    <x v="0"/>
    <x v="16"/>
    <s v="UP"/>
    <x v="0"/>
    <s v="Kanpur"/>
    <x v="4"/>
    <s v="P201"/>
    <s v="Onion Hair Oil"/>
    <x v="6"/>
    <n v="2"/>
    <n v="349"/>
    <n v="0.3"/>
    <n v="698"/>
    <n v="209.4"/>
    <n v="488.6"/>
    <n v="105"/>
    <n v="210"/>
    <n v="60"/>
    <n v="218.60000000000002"/>
    <n v="0.44740073679901765"/>
    <x v="4"/>
    <d v="2024-06-09T00:00:00"/>
    <n v="3"/>
    <x v="0"/>
    <n v="4"/>
    <n v="0"/>
  </r>
  <r>
    <s v="ORD-100764"/>
    <x v="156"/>
    <x v="0"/>
    <d v="2024-06-01T00:00:00"/>
    <n v="6"/>
    <s v="CUST-01478"/>
    <x v="0"/>
    <x v="22"/>
    <s v="AS"/>
    <x v="2"/>
    <s v="Guwahati"/>
    <x v="1"/>
    <s v="P302"/>
    <s v="Linen Kurta"/>
    <x v="1"/>
    <n v="2"/>
    <n v="1499"/>
    <n v="0.4"/>
    <n v="2998"/>
    <n v="1199.2"/>
    <n v="1798.8"/>
    <n v="630"/>
    <n v="1260"/>
    <n v="60"/>
    <n v="478.79999999999995"/>
    <n v="0.26617745163442291"/>
    <x v="0"/>
    <d v="2024-06-13T00:00:00"/>
    <n v="7"/>
    <x v="2"/>
    <n v="2"/>
    <n v="0"/>
  </r>
  <r>
    <s v="ORD-100765"/>
    <x v="156"/>
    <x v="0"/>
    <d v="2024-06-01T00:00:00"/>
    <n v="6"/>
    <s v="CUST-00867"/>
    <x v="0"/>
    <x v="13"/>
    <s v="MP"/>
    <x v="1"/>
    <s v="Bhopal"/>
    <x v="2"/>
    <s v="P305"/>
    <s v="Printed Saree"/>
    <x v="1"/>
    <n v="1"/>
    <n v="1999"/>
    <n v="0.05"/>
    <n v="1999"/>
    <n v="99.95"/>
    <n v="1899.05"/>
    <n v="880"/>
    <n v="880"/>
    <n v="60"/>
    <n v="959.05"/>
    <n v="0.50501566572760059"/>
    <x v="1"/>
    <d v="2024-06-11T00:00:00"/>
    <n v="5"/>
    <x v="2"/>
    <m/>
    <n v="0"/>
  </r>
  <r>
    <s v="ORD-100766"/>
    <x v="156"/>
    <x v="0"/>
    <d v="2024-06-01T00:00:00"/>
    <n v="6"/>
    <s v="CUST-01116"/>
    <x v="1"/>
    <x v="3"/>
    <s v="OD"/>
    <x v="2"/>
    <s v="Bhubaneswar"/>
    <x v="3"/>
    <s v="P701"/>
    <s v="Ashwagandha Capsules"/>
    <x v="0"/>
    <n v="1"/>
    <n v="499"/>
    <n v="0"/>
    <n v="499"/>
    <n v="0"/>
    <n v="499"/>
    <n v="150"/>
    <n v="150"/>
    <n v="60"/>
    <n v="289"/>
    <n v="0.57915831663326656"/>
    <x v="3"/>
    <d v="2024-06-11T00:00:00"/>
    <n v="5"/>
    <x v="2"/>
    <n v="4"/>
    <n v="0"/>
  </r>
  <r>
    <s v="ORD-100767"/>
    <x v="157"/>
    <x v="0"/>
    <d v="2024-06-01T00:00:00"/>
    <n v="6"/>
    <s v="CUST-00380"/>
    <x v="1"/>
    <x v="5"/>
    <s v="HP"/>
    <x v="0"/>
    <s v="Shimla"/>
    <x v="0"/>
    <s v="P203"/>
    <s v="Keratin Hair Mask"/>
    <x v="6"/>
    <n v="1"/>
    <n v="549"/>
    <n v="0.2"/>
    <n v="549"/>
    <n v="109.80000000000001"/>
    <n v="439.2"/>
    <n v="170"/>
    <n v="170"/>
    <n v="60"/>
    <n v="209.2"/>
    <n v="0.47632058287795992"/>
    <x v="3"/>
    <d v="2024-06-10T00:00:00"/>
    <n v="3"/>
    <x v="0"/>
    <n v="4"/>
    <n v="0"/>
  </r>
  <r>
    <s v="ORD-100768"/>
    <x v="157"/>
    <x v="0"/>
    <d v="2024-06-01T00:00:00"/>
    <n v="6"/>
    <s v="CUST-00216"/>
    <x v="0"/>
    <x v="0"/>
    <s v="RJ"/>
    <x v="0"/>
    <s v="Jaipur"/>
    <x v="0"/>
    <s v="P604"/>
    <s v="Power Bank 20000mAh"/>
    <x v="2"/>
    <n v="2"/>
    <n v="1799"/>
    <n v="0.45"/>
    <n v="3598"/>
    <n v="1619.1000000000001"/>
    <n v="1978.8999999999999"/>
    <n v="1079"/>
    <n v="2158"/>
    <n v="60"/>
    <n v="-239.10000000000014"/>
    <n v="-0.12082470059123764"/>
    <x v="3"/>
    <d v="2024-06-11T00:00:00"/>
    <n v="4"/>
    <x v="0"/>
    <n v="4"/>
    <n v="0"/>
  </r>
  <r>
    <s v="ORD-100769"/>
    <x v="158"/>
    <x v="0"/>
    <d v="2024-06-01T00:00:00"/>
    <n v="6"/>
    <s v="CUST-00529"/>
    <x v="0"/>
    <x v="9"/>
    <s v="UK"/>
    <x v="0"/>
    <s v="Dehradun"/>
    <x v="4"/>
    <s v="P201"/>
    <s v="Onion Hair Oil"/>
    <x v="6"/>
    <n v="2"/>
    <n v="349"/>
    <n v="0.35"/>
    <n v="698"/>
    <n v="244.29999999999998"/>
    <n v="453.70000000000005"/>
    <n v="105"/>
    <n v="210"/>
    <n v="60"/>
    <n v="183.70000000000005"/>
    <n v="0.40489310116817284"/>
    <x v="4"/>
    <d v="2024-06-11T00:00:00"/>
    <n v="3"/>
    <x v="0"/>
    <n v="4"/>
    <n v="0"/>
  </r>
  <r>
    <s v="ORD-100770"/>
    <x v="158"/>
    <x v="0"/>
    <d v="2024-06-01T00:00:00"/>
    <n v="6"/>
    <s v="CUST-00489"/>
    <x v="1"/>
    <x v="18"/>
    <s v="WB"/>
    <x v="2"/>
    <s v="Kolkata"/>
    <x v="1"/>
    <s v="P305"/>
    <s v="Printed Saree"/>
    <x v="1"/>
    <n v="1"/>
    <n v="1999"/>
    <n v="0.15"/>
    <n v="1999"/>
    <n v="299.84999999999997"/>
    <n v="1699.15"/>
    <n v="880"/>
    <n v="880"/>
    <n v="60"/>
    <n v="759.15000000000009"/>
    <n v="0.44678221463673018"/>
    <x v="1"/>
    <d v="2024-06-12T00:00:00"/>
    <n v="4"/>
    <x v="0"/>
    <n v="5"/>
    <n v="0"/>
  </r>
  <r>
    <s v="ORD-100771"/>
    <x v="158"/>
    <x v="0"/>
    <d v="2024-06-01T00:00:00"/>
    <n v="6"/>
    <s v="CUST-00465"/>
    <x v="0"/>
    <x v="18"/>
    <s v="WB"/>
    <x v="2"/>
    <s v="Kolkata"/>
    <x v="0"/>
    <s v="P105"/>
    <s v="Retinol Night Cream"/>
    <x v="3"/>
    <n v="1"/>
    <n v="799"/>
    <n v="0.15"/>
    <n v="799"/>
    <n v="119.85"/>
    <n v="679.15"/>
    <n v="216"/>
    <n v="216"/>
    <n v="60"/>
    <n v="403.15"/>
    <n v="0.59360965913273944"/>
    <x v="0"/>
    <d v="2024-06-09T00:00:00"/>
    <n v="1"/>
    <x v="1"/>
    <n v="4"/>
    <n v="0"/>
  </r>
  <r>
    <s v="ORD-100772"/>
    <x v="158"/>
    <x v="0"/>
    <d v="2024-06-01T00:00:00"/>
    <n v="6"/>
    <s v="CUST-01040"/>
    <x v="0"/>
    <x v="21"/>
    <s v="TG"/>
    <x v="3"/>
    <s v="Hyderabad"/>
    <x v="4"/>
    <s v="P404"/>
    <s v="Flip Flops"/>
    <x v="5"/>
    <n v="1"/>
    <n v="399"/>
    <n v="0.05"/>
    <n v="399"/>
    <n v="19.950000000000003"/>
    <n v="379.05"/>
    <n v="152"/>
    <n v="152"/>
    <n v="120"/>
    <n v="107.05000000000001"/>
    <n v="0.2824165677351273"/>
    <x v="0"/>
    <d v="2024-06-12T00:00:00"/>
    <n v="4"/>
    <x v="0"/>
    <n v="3"/>
    <n v="1"/>
  </r>
  <r>
    <s v="ORD-100773"/>
    <x v="158"/>
    <x v="0"/>
    <d v="2024-06-01T00:00:00"/>
    <n v="6"/>
    <s v="CUST-01408"/>
    <x v="0"/>
    <x v="11"/>
    <s v="KA"/>
    <x v="3"/>
    <s v="Bengaluru"/>
    <x v="4"/>
    <s v="P703"/>
    <s v="Green Tea (100 bags)"/>
    <x v="0"/>
    <n v="3"/>
    <n v="399"/>
    <n v="0.3"/>
    <n v="1197"/>
    <n v="359.09999999999997"/>
    <n v="837.90000000000009"/>
    <n v="128"/>
    <n v="384"/>
    <n v="60"/>
    <n v="393.90000000000009"/>
    <n v="0.47010383100608671"/>
    <x v="0"/>
    <d v="2024-06-10T00:00:00"/>
    <n v="2"/>
    <x v="1"/>
    <n v="4"/>
    <n v="0"/>
  </r>
  <r>
    <s v="ORD-100774"/>
    <x v="158"/>
    <x v="0"/>
    <d v="2024-06-01T00:00:00"/>
    <n v="6"/>
    <s v="CUST-00767"/>
    <x v="1"/>
    <x v="17"/>
    <s v="TN"/>
    <x v="3"/>
    <s v="Chennai"/>
    <x v="2"/>
    <s v="P303"/>
    <s v="Joggers"/>
    <x v="1"/>
    <n v="1"/>
    <n v="1199"/>
    <n v="0.15"/>
    <n v="1199"/>
    <n v="179.85"/>
    <n v="1019.15"/>
    <n v="492"/>
    <n v="492"/>
    <n v="60"/>
    <n v="467.15"/>
    <n v="0.45837217288917231"/>
    <x v="3"/>
    <d v="2024-06-13T00:00:00"/>
    <n v="5"/>
    <x v="2"/>
    <n v="4"/>
    <n v="0"/>
  </r>
  <r>
    <s v="ORD-100775"/>
    <x v="158"/>
    <x v="0"/>
    <d v="2024-06-01T00:00:00"/>
    <n v="6"/>
    <s v="CUST-00309"/>
    <x v="0"/>
    <x v="17"/>
    <s v="TN"/>
    <x v="3"/>
    <s v="Coimbatore"/>
    <x v="3"/>
    <s v="P703"/>
    <s v="Green Tea (100 bags)"/>
    <x v="0"/>
    <n v="2"/>
    <n v="399"/>
    <n v="0.4"/>
    <n v="798"/>
    <n v="319.20000000000005"/>
    <n v="478.79999999999995"/>
    <n v="128"/>
    <n v="256"/>
    <n v="60"/>
    <n v="162.79999999999995"/>
    <n v="0.34001670843776099"/>
    <x v="3"/>
    <d v="2024-06-10T00:00:00"/>
    <n v="2"/>
    <x v="1"/>
    <n v="4"/>
    <n v="0"/>
  </r>
  <r>
    <s v="ORD-100776"/>
    <x v="159"/>
    <x v="0"/>
    <d v="2024-06-01T00:00:00"/>
    <n v="6"/>
    <s v="CUST-02046"/>
    <x v="0"/>
    <x v="2"/>
    <s v="MH"/>
    <x v="1"/>
    <s v="Nagpur"/>
    <x v="1"/>
    <s v="P404"/>
    <s v="Flip Flops"/>
    <x v="5"/>
    <n v="1"/>
    <n v="399"/>
    <n v="0.05"/>
    <n v="399"/>
    <n v="19.950000000000003"/>
    <n v="379.05"/>
    <n v="152"/>
    <n v="152"/>
    <n v="60"/>
    <n v="167.05"/>
    <n v="0.44070703073473161"/>
    <x v="1"/>
    <d v="2024-06-10T00:00:00"/>
    <n v="1"/>
    <x v="1"/>
    <n v="4"/>
    <n v="0"/>
  </r>
  <r>
    <s v="ORD-100777"/>
    <x v="159"/>
    <x v="0"/>
    <d v="2024-06-01T00:00:00"/>
    <n v="6"/>
    <s v="CUST-01259"/>
    <x v="0"/>
    <x v="21"/>
    <s v="TG"/>
    <x v="3"/>
    <s v="Hyderabad"/>
    <x v="0"/>
    <s v="P201"/>
    <s v="Onion Hair Oil"/>
    <x v="6"/>
    <n v="2"/>
    <n v="349"/>
    <n v="0.3"/>
    <n v="698"/>
    <n v="209.4"/>
    <n v="488.6"/>
    <n v="105"/>
    <n v="210"/>
    <n v="60"/>
    <n v="218.60000000000002"/>
    <n v="0.44740073679901765"/>
    <x v="2"/>
    <d v="2024-06-10T00:00:00"/>
    <n v="1"/>
    <x v="1"/>
    <m/>
    <n v="0"/>
  </r>
  <r>
    <s v="ORD-100778"/>
    <x v="159"/>
    <x v="0"/>
    <d v="2024-06-01T00:00:00"/>
    <n v="6"/>
    <s v="CUST-00063"/>
    <x v="1"/>
    <x v="11"/>
    <s v="KA"/>
    <x v="3"/>
    <s v="Mysuru"/>
    <x v="0"/>
    <s v="P103"/>
    <s v="Niacinamide Toner"/>
    <x v="3"/>
    <n v="1"/>
    <n v="399"/>
    <n v="0.25"/>
    <n v="399"/>
    <n v="99.75"/>
    <n v="299.25"/>
    <n v="112"/>
    <n v="112"/>
    <n v="60"/>
    <n v="127.25"/>
    <n v="0.42522974101921468"/>
    <x v="3"/>
    <d v="2024-06-11T00:00:00"/>
    <n v="2"/>
    <x v="1"/>
    <m/>
    <n v="0"/>
  </r>
  <r>
    <s v="ORD-100779"/>
    <x v="159"/>
    <x v="0"/>
    <d v="2024-06-01T00:00:00"/>
    <n v="6"/>
    <s v="CUST-01029"/>
    <x v="0"/>
    <x v="11"/>
    <s v="KA"/>
    <x v="3"/>
    <s v="Mysuru"/>
    <x v="0"/>
    <s v="P104"/>
    <s v="Hydrating Face Wash"/>
    <x v="3"/>
    <n v="2"/>
    <n v="299"/>
    <n v="0"/>
    <n v="598"/>
    <n v="0"/>
    <n v="598"/>
    <n v="90"/>
    <n v="180"/>
    <n v="120"/>
    <n v="298"/>
    <n v="0.49832775919732442"/>
    <x v="2"/>
    <d v="2024-06-12T00:00:00"/>
    <n v="3"/>
    <x v="0"/>
    <n v="4"/>
    <n v="1"/>
  </r>
  <r>
    <s v="ORD-100780"/>
    <x v="159"/>
    <x v="0"/>
    <d v="2024-06-01T00:00:00"/>
    <n v="6"/>
    <s v="CUST-02140"/>
    <x v="0"/>
    <x v="17"/>
    <s v="TN"/>
    <x v="3"/>
    <s v="Coimbatore"/>
    <x v="4"/>
    <s v="P404"/>
    <s v="Flip Flops"/>
    <x v="5"/>
    <n v="1"/>
    <n v="399"/>
    <n v="0.1"/>
    <n v="399"/>
    <n v="39.900000000000006"/>
    <n v="359.1"/>
    <n v="152"/>
    <n v="152"/>
    <n v="120"/>
    <n v="87.100000000000023"/>
    <n v="0.24255082149818996"/>
    <x v="0"/>
    <d v="2024-06-10T00:00:00"/>
    <n v="1"/>
    <x v="1"/>
    <m/>
    <n v="1"/>
  </r>
  <r>
    <s v="ORD-100781"/>
    <x v="160"/>
    <x v="0"/>
    <d v="2024-06-01T00:00:00"/>
    <n v="6"/>
    <s v="CUST-02803"/>
    <x v="0"/>
    <x v="13"/>
    <s v="MP"/>
    <x v="1"/>
    <s v="Indore"/>
    <x v="4"/>
    <s v="P101"/>
    <s v="Vitamin C Face Serum"/>
    <x v="3"/>
    <n v="2"/>
    <n v="599"/>
    <n v="0.1"/>
    <n v="1198"/>
    <n v="119.80000000000001"/>
    <n v="1078.2"/>
    <n v="180"/>
    <n v="360"/>
    <n v="60"/>
    <n v="658.2"/>
    <n v="0.6104618809126322"/>
    <x v="0"/>
    <d v="2024-06-13T00:00:00"/>
    <n v="3"/>
    <x v="0"/>
    <n v="4"/>
    <n v="0"/>
  </r>
  <r>
    <s v="ORD-100782"/>
    <x v="160"/>
    <x v="0"/>
    <d v="2024-06-01T00:00:00"/>
    <n v="6"/>
    <s v="CUST-02782"/>
    <x v="0"/>
    <x v="10"/>
    <s v="CG"/>
    <x v="2"/>
    <s v="Raipur"/>
    <x v="3"/>
    <s v="P103"/>
    <s v="Niacinamide Toner"/>
    <x v="3"/>
    <n v="1"/>
    <n v="399"/>
    <n v="0.2"/>
    <n v="399"/>
    <n v="79.800000000000011"/>
    <n v="319.2"/>
    <n v="112"/>
    <n v="112"/>
    <n v="60"/>
    <n v="147.19999999999999"/>
    <n v="0.46115288220551376"/>
    <x v="0"/>
    <d v="2024-06-13T00:00:00"/>
    <n v="3"/>
    <x v="0"/>
    <n v="4"/>
    <n v="0"/>
  </r>
  <r>
    <s v="ORD-100783"/>
    <x v="160"/>
    <x v="0"/>
    <d v="2024-06-01T00:00:00"/>
    <n v="6"/>
    <s v="CUST-00075"/>
    <x v="0"/>
    <x v="21"/>
    <s v="TG"/>
    <x v="3"/>
    <s v="Hyderabad"/>
    <x v="4"/>
    <s v="P604"/>
    <s v="Power Bank 20000mAh"/>
    <x v="2"/>
    <n v="2"/>
    <n v="1799"/>
    <n v="0.3"/>
    <n v="3598"/>
    <n v="1079.3999999999999"/>
    <n v="2518.6000000000004"/>
    <n v="1079"/>
    <n v="2158"/>
    <n v="60"/>
    <n v="300.60000000000036"/>
    <n v="0.11935202096402776"/>
    <x v="0"/>
    <d v="2024-06-12T00:00:00"/>
    <n v="2"/>
    <x v="1"/>
    <n v="4"/>
    <n v="0"/>
  </r>
  <r>
    <s v="ORD-100784"/>
    <x v="160"/>
    <x v="0"/>
    <d v="2024-06-01T00:00:00"/>
    <n v="6"/>
    <s v="CUST-01726"/>
    <x v="0"/>
    <x v="20"/>
    <s v="GA"/>
    <x v="1"/>
    <s v="Panaji"/>
    <x v="4"/>
    <s v="P403"/>
    <s v="Kolhapuri Sandals"/>
    <x v="5"/>
    <n v="3"/>
    <n v="999"/>
    <n v="0.05"/>
    <n v="2997"/>
    <n v="149.85"/>
    <n v="2847.15"/>
    <n v="400"/>
    <n v="1200"/>
    <n v="60"/>
    <n v="1587.15"/>
    <n v="0.55745218903113647"/>
    <x v="3"/>
    <d v="2024-06-14T00:00:00"/>
    <n v="4"/>
    <x v="0"/>
    <n v="3"/>
    <n v="0"/>
  </r>
  <r>
    <s v="ORD-100785"/>
    <x v="160"/>
    <x v="0"/>
    <d v="2024-06-01T00:00:00"/>
    <n v="6"/>
    <s v="CUST-01843"/>
    <x v="0"/>
    <x v="17"/>
    <s v="TN"/>
    <x v="3"/>
    <s v="Coimbatore"/>
    <x v="4"/>
    <s v="P703"/>
    <s v="Green Tea (100 bags)"/>
    <x v="0"/>
    <n v="1"/>
    <n v="399"/>
    <n v="0.3"/>
    <n v="399"/>
    <n v="119.69999999999999"/>
    <n v="279.3"/>
    <n v="128"/>
    <n v="128"/>
    <n v="60"/>
    <n v="91.300000000000011"/>
    <n v="0.32688865019692093"/>
    <x v="0"/>
    <d v="2024-06-11T00:00:00"/>
    <n v="1"/>
    <x v="1"/>
    <n v="5"/>
    <n v="0"/>
  </r>
  <r>
    <s v="ORD-100786"/>
    <x v="161"/>
    <x v="0"/>
    <d v="2024-06-01T00:00:00"/>
    <n v="6"/>
    <s v="CUST-02492"/>
    <x v="0"/>
    <x v="15"/>
    <s v="HR"/>
    <x v="0"/>
    <s v="Gurugram"/>
    <x v="0"/>
    <s v="P501"/>
    <s v="Copper Water Bottle"/>
    <x v="4"/>
    <n v="1"/>
    <n v="899"/>
    <n v="0.05"/>
    <n v="899"/>
    <n v="44.95"/>
    <n v="854.05"/>
    <n v="378"/>
    <n v="378"/>
    <n v="60"/>
    <n v="416.04999999999995"/>
    <n v="0.48714946431707745"/>
    <x v="3"/>
    <d v="2024-06-12T00:00:00"/>
    <n v="1"/>
    <x v="1"/>
    <n v="3"/>
    <n v="0"/>
  </r>
  <r>
    <s v="ORD-100787"/>
    <x v="161"/>
    <x v="0"/>
    <d v="2024-06-01T00:00:00"/>
    <n v="6"/>
    <s v="CUST-00419"/>
    <x v="0"/>
    <x v="16"/>
    <s v="UP"/>
    <x v="0"/>
    <s v="Kanpur"/>
    <x v="4"/>
    <s v="P105"/>
    <s v="Retinol Night Cream"/>
    <x v="3"/>
    <n v="1"/>
    <n v="799"/>
    <n v="0"/>
    <n v="799"/>
    <n v="0"/>
    <n v="799"/>
    <n v="216"/>
    <n v="216"/>
    <n v="60"/>
    <n v="523"/>
    <n v="0.65456821026282852"/>
    <x v="4"/>
    <d v="2024-06-14T00:00:00"/>
    <n v="3"/>
    <x v="0"/>
    <n v="4"/>
    <n v="0"/>
  </r>
  <r>
    <s v="ORD-100788"/>
    <x v="161"/>
    <x v="0"/>
    <d v="2024-06-01T00:00:00"/>
    <n v="6"/>
    <s v="CUST-02519"/>
    <x v="0"/>
    <x v="16"/>
    <s v="UP"/>
    <x v="0"/>
    <s v="Kanpur"/>
    <x v="1"/>
    <s v="P403"/>
    <s v="Kolhapuri Sandals"/>
    <x v="5"/>
    <n v="1"/>
    <n v="999"/>
    <n v="0"/>
    <n v="999"/>
    <n v="0"/>
    <n v="999"/>
    <n v="400"/>
    <n v="400"/>
    <n v="60"/>
    <n v="539"/>
    <n v="0.53953953953953959"/>
    <x v="0"/>
    <d v="2024-06-14T00:00:00"/>
    <n v="3"/>
    <x v="0"/>
    <n v="5"/>
    <n v="0"/>
  </r>
  <r>
    <s v="ORD-100789"/>
    <x v="161"/>
    <x v="0"/>
    <d v="2024-06-01T00:00:00"/>
    <n v="6"/>
    <s v="CUST-01114"/>
    <x v="0"/>
    <x v="12"/>
    <s v="BR"/>
    <x v="2"/>
    <s v="Patna"/>
    <x v="2"/>
    <s v="P204"/>
    <s v="Anti-Dandruff Conditioner"/>
    <x v="6"/>
    <n v="2"/>
    <n v="399"/>
    <n v="0.3"/>
    <n v="798"/>
    <n v="239.39999999999998"/>
    <n v="558.6"/>
    <n v="136"/>
    <n v="272"/>
    <n v="60"/>
    <n v="226.60000000000002"/>
    <n v="0.40565699964196206"/>
    <x v="0"/>
    <d v="2024-06-17T00:00:00"/>
    <n v="6"/>
    <x v="2"/>
    <n v="2"/>
    <n v="0"/>
  </r>
  <r>
    <s v="ORD-100790"/>
    <x v="161"/>
    <x v="0"/>
    <d v="2024-06-01T00:00:00"/>
    <n v="6"/>
    <s v="CUST-00211"/>
    <x v="0"/>
    <x v="13"/>
    <s v="MP"/>
    <x v="1"/>
    <s v="Indore"/>
    <x v="2"/>
    <s v="P503"/>
    <s v="Scented Candle Set"/>
    <x v="4"/>
    <n v="1"/>
    <n v="699"/>
    <n v="0.15"/>
    <n v="699"/>
    <n v="104.85"/>
    <n v="594.15"/>
    <n v="245"/>
    <n v="245"/>
    <n v="60"/>
    <n v="289.14999999999998"/>
    <n v="0.48666161743667424"/>
    <x v="0"/>
    <d v="2024-06-13T00:00:00"/>
    <n v="2"/>
    <x v="1"/>
    <m/>
    <n v="0"/>
  </r>
  <r>
    <s v="ORD-100791"/>
    <x v="161"/>
    <x v="0"/>
    <d v="2024-06-01T00:00:00"/>
    <n v="6"/>
    <s v="CUST-00106"/>
    <x v="0"/>
    <x v="11"/>
    <s v="KA"/>
    <x v="3"/>
    <s v="Bengaluru"/>
    <x v="0"/>
    <s v="P105"/>
    <s v="Retinol Night Cream"/>
    <x v="3"/>
    <n v="1"/>
    <n v="799"/>
    <n v="0.05"/>
    <n v="799"/>
    <n v="39.950000000000003"/>
    <n v="759.05"/>
    <n v="216"/>
    <n v="216"/>
    <n v="60"/>
    <n v="483.04999999999995"/>
    <n v="0.63638758975034582"/>
    <x v="3"/>
    <d v="2024-06-12T00:00:00"/>
    <n v="1"/>
    <x v="1"/>
    <n v="4"/>
    <n v="0"/>
  </r>
  <r>
    <s v="ORD-100792"/>
    <x v="162"/>
    <x v="0"/>
    <d v="2024-06-01T00:00:00"/>
    <n v="6"/>
    <s v="CUST-01574"/>
    <x v="0"/>
    <x v="0"/>
    <s v="RJ"/>
    <x v="0"/>
    <s v="Jaipur"/>
    <x v="0"/>
    <s v="P101"/>
    <s v="Vitamin C Face Serum"/>
    <x v="3"/>
    <n v="2"/>
    <n v="599"/>
    <n v="0.15"/>
    <n v="1198"/>
    <n v="179.7"/>
    <n v="1018.3"/>
    <n v="180"/>
    <n v="360"/>
    <n v="60"/>
    <n v="598.29999999999995"/>
    <n v="0.58754787390749286"/>
    <x v="2"/>
    <d v="2024-06-18T00:00:00"/>
    <n v="6"/>
    <x v="2"/>
    <n v="4"/>
    <n v="0"/>
  </r>
  <r>
    <s v="ORD-100793"/>
    <x v="162"/>
    <x v="0"/>
    <d v="2024-06-01T00:00:00"/>
    <n v="6"/>
    <s v="CUST-01040"/>
    <x v="1"/>
    <x v="16"/>
    <s v="UP"/>
    <x v="0"/>
    <s v="Lucknow"/>
    <x v="0"/>
    <s v="P503"/>
    <s v="Scented Candle Set"/>
    <x v="4"/>
    <n v="1"/>
    <n v="699"/>
    <n v="0.15"/>
    <n v="699"/>
    <n v="104.85"/>
    <n v="594.15"/>
    <n v="245"/>
    <n v="245"/>
    <n v="60"/>
    <n v="289.14999999999998"/>
    <n v="0.48666161743667424"/>
    <x v="0"/>
    <d v="2024-06-15T00:00:00"/>
    <n v="3"/>
    <x v="0"/>
    <n v="4"/>
    <n v="0"/>
  </r>
  <r>
    <s v="ORD-100794"/>
    <x v="162"/>
    <x v="0"/>
    <d v="2024-06-01T00:00:00"/>
    <n v="6"/>
    <s v="CUST-00211"/>
    <x v="1"/>
    <x v="22"/>
    <s v="AS"/>
    <x v="2"/>
    <s v="Guwahati"/>
    <x v="4"/>
    <s v="P504"/>
    <s v="Cotton Bedsheet"/>
    <x v="4"/>
    <n v="1"/>
    <n v="1299"/>
    <n v="0.05"/>
    <n v="1299"/>
    <n v="64.95"/>
    <n v="1234.05"/>
    <n v="585"/>
    <n v="585"/>
    <n v="60"/>
    <n v="589.04999999999995"/>
    <n v="0.47733074024553296"/>
    <x v="0"/>
    <d v="2024-06-17T00:00:00"/>
    <n v="5"/>
    <x v="2"/>
    <m/>
    <n v="0"/>
  </r>
  <r>
    <s v="ORD-100795"/>
    <x v="162"/>
    <x v="0"/>
    <d v="2024-06-01T00:00:00"/>
    <n v="6"/>
    <s v="CUST-00632"/>
    <x v="0"/>
    <x v="2"/>
    <s v="MH"/>
    <x v="1"/>
    <s v="Nagpur"/>
    <x v="3"/>
    <s v="P101"/>
    <s v="Vitamin C Face Serum"/>
    <x v="3"/>
    <n v="1"/>
    <n v="599"/>
    <n v="0.25"/>
    <n v="599"/>
    <n v="149.75"/>
    <n v="449.25"/>
    <n v="180"/>
    <n v="180"/>
    <n v="120"/>
    <n v="149.25"/>
    <n v="0.332220367278798"/>
    <x v="3"/>
    <d v="2024-06-14T00:00:00"/>
    <n v="2"/>
    <x v="1"/>
    <m/>
    <n v="1"/>
  </r>
  <r>
    <s v="ORD-100796"/>
    <x v="162"/>
    <x v="0"/>
    <d v="2024-06-01T00:00:00"/>
    <n v="6"/>
    <s v="CUST-00625"/>
    <x v="1"/>
    <x v="21"/>
    <s v="TG"/>
    <x v="3"/>
    <s v="Hyderabad"/>
    <x v="0"/>
    <s v="P704"/>
    <s v="Multivitamin Gummies"/>
    <x v="0"/>
    <n v="1"/>
    <n v="699"/>
    <n v="0.25"/>
    <n v="699"/>
    <n v="174.75"/>
    <n v="524.25"/>
    <n v="238"/>
    <n v="238"/>
    <n v="60"/>
    <n v="226.25"/>
    <n v="0.43156890796375774"/>
    <x v="0"/>
    <d v="2024-06-14T00:00:00"/>
    <n v="2"/>
    <x v="1"/>
    <n v="4"/>
    <n v="0"/>
  </r>
  <r>
    <s v="ORD-100797"/>
    <x v="162"/>
    <x v="0"/>
    <d v="2024-06-01T00:00:00"/>
    <n v="6"/>
    <s v="CUST-01032"/>
    <x v="0"/>
    <x v="11"/>
    <s v="KA"/>
    <x v="3"/>
    <s v="Mysuru"/>
    <x v="1"/>
    <s v="P402"/>
    <s v="Casual Sneakers"/>
    <x v="5"/>
    <n v="1"/>
    <n v="2199"/>
    <n v="0.2"/>
    <n v="2199"/>
    <n v="439.8"/>
    <n v="1759.2"/>
    <n v="1034"/>
    <n v="1034"/>
    <n v="60"/>
    <n v="665.2"/>
    <n v="0.37812642110050027"/>
    <x v="1"/>
    <d v="2024-06-14T00:00:00"/>
    <n v="2"/>
    <x v="1"/>
    <m/>
    <n v="0"/>
  </r>
  <r>
    <s v="ORD-100798"/>
    <x v="163"/>
    <x v="0"/>
    <d v="2024-06-01T00:00:00"/>
    <n v="6"/>
    <s v="CUST-00216"/>
    <x v="1"/>
    <x v="19"/>
    <s v="PB"/>
    <x v="0"/>
    <s v="Ludhiana"/>
    <x v="1"/>
    <s v="P302"/>
    <s v="Linen Kurta"/>
    <x v="1"/>
    <n v="1"/>
    <n v="1499"/>
    <n v="0.25"/>
    <n v="1499"/>
    <n v="374.75"/>
    <n v="1124.25"/>
    <n v="630"/>
    <n v="630"/>
    <n v="60"/>
    <n v="434.25"/>
    <n v="0.38625750500333556"/>
    <x v="3"/>
    <d v="2024-06-15T00:00:00"/>
    <n v="2"/>
    <x v="1"/>
    <n v="3"/>
    <n v="0"/>
  </r>
  <r>
    <s v="ORD-100799"/>
    <x v="163"/>
    <x v="0"/>
    <d v="2024-06-01T00:00:00"/>
    <n v="6"/>
    <s v="CUST-01623"/>
    <x v="0"/>
    <x v="5"/>
    <s v="HP"/>
    <x v="0"/>
    <s v="Shimla"/>
    <x v="3"/>
    <s v="P202"/>
    <s v="Argan Shampoo"/>
    <x v="6"/>
    <n v="1"/>
    <n v="449"/>
    <n v="0.05"/>
    <n v="449"/>
    <n v="22.450000000000003"/>
    <n v="426.55"/>
    <n v="148"/>
    <n v="148"/>
    <n v="60"/>
    <n v="218.55"/>
    <n v="0.51236666275934828"/>
    <x v="0"/>
    <d v="2024-06-18T00:00:00"/>
    <n v="5"/>
    <x v="2"/>
    <n v="4"/>
    <n v="0"/>
  </r>
  <r>
    <s v="ORD-100800"/>
    <x v="163"/>
    <x v="0"/>
    <d v="2024-06-01T00:00:00"/>
    <n v="6"/>
    <s v="CUST-00956"/>
    <x v="1"/>
    <x v="0"/>
    <s v="RJ"/>
    <x v="0"/>
    <s v="Jaipur"/>
    <x v="4"/>
    <s v="P601"/>
    <s v="Wireless Earbuds"/>
    <x v="2"/>
    <n v="1"/>
    <n v="1999"/>
    <n v="0.35"/>
    <n v="1999"/>
    <n v="699.65"/>
    <n v="1299.3499999999999"/>
    <n v="1239"/>
    <n v="1239"/>
    <n v="60"/>
    <n v="0.34999999999990905"/>
    <n v="2.6936545195667763E-4"/>
    <x v="0"/>
    <d v="2024-06-16T00:00:00"/>
    <n v="3"/>
    <x v="0"/>
    <n v="4"/>
    <n v="0"/>
  </r>
  <r>
    <s v="ORD-100801"/>
    <x v="163"/>
    <x v="0"/>
    <d v="2024-06-01T00:00:00"/>
    <n v="6"/>
    <s v="CUST-00315"/>
    <x v="1"/>
    <x v="0"/>
    <s v="RJ"/>
    <x v="0"/>
    <s v="Udaipur"/>
    <x v="0"/>
    <s v="P703"/>
    <s v="Green Tea (100 bags)"/>
    <x v="0"/>
    <n v="2"/>
    <n v="399"/>
    <n v="0.35"/>
    <n v="798"/>
    <n v="279.29999999999995"/>
    <n v="518.70000000000005"/>
    <n v="128"/>
    <n v="256"/>
    <n v="60"/>
    <n v="202.70000000000005"/>
    <n v="0.39078465394254874"/>
    <x v="2"/>
    <d v="2024-06-17T00:00:00"/>
    <n v="4"/>
    <x v="0"/>
    <m/>
    <n v="0"/>
  </r>
  <r>
    <s v="ORD-100802"/>
    <x v="163"/>
    <x v="0"/>
    <d v="2024-06-01T00:00:00"/>
    <n v="6"/>
    <s v="CUST-02343"/>
    <x v="0"/>
    <x v="7"/>
    <s v="JH"/>
    <x v="2"/>
    <s v="Ranchi"/>
    <x v="0"/>
    <s v="P501"/>
    <s v="Copper Water Bottle"/>
    <x v="4"/>
    <n v="1"/>
    <n v="899"/>
    <n v="0.05"/>
    <n v="899"/>
    <n v="44.95"/>
    <n v="854.05"/>
    <n v="378"/>
    <n v="378"/>
    <n v="60"/>
    <n v="416.04999999999995"/>
    <n v="0.48714946431707745"/>
    <x v="0"/>
    <d v="2024-06-14T00:00:00"/>
    <n v="1"/>
    <x v="1"/>
    <n v="4"/>
    <n v="0"/>
  </r>
  <r>
    <s v="ORD-100803"/>
    <x v="163"/>
    <x v="0"/>
    <d v="2024-06-01T00:00:00"/>
    <n v="6"/>
    <s v="CUST-00191"/>
    <x v="1"/>
    <x v="2"/>
    <s v="MH"/>
    <x v="1"/>
    <s v="Nagpur"/>
    <x v="2"/>
    <s v="P203"/>
    <s v="Keratin Hair Mask"/>
    <x v="6"/>
    <n v="1"/>
    <n v="549"/>
    <n v="0.1"/>
    <n v="549"/>
    <n v="54.900000000000006"/>
    <n v="494.1"/>
    <n v="170"/>
    <n v="170"/>
    <n v="60"/>
    <n v="264.10000000000002"/>
    <n v="0.53450718478040882"/>
    <x v="1"/>
    <d v="2024-06-15T00:00:00"/>
    <n v="2"/>
    <x v="1"/>
    <m/>
    <n v="0"/>
  </r>
  <r>
    <s v="ORD-100804"/>
    <x v="163"/>
    <x v="0"/>
    <d v="2024-06-01T00:00:00"/>
    <n v="6"/>
    <s v="CUST-00533"/>
    <x v="0"/>
    <x v="20"/>
    <s v="GA"/>
    <x v="1"/>
    <s v="Panaji"/>
    <x v="4"/>
    <s v="P302"/>
    <s v="Linen Kurta"/>
    <x v="1"/>
    <n v="2"/>
    <n v="1499"/>
    <n v="0.4"/>
    <n v="2998"/>
    <n v="1199.2"/>
    <n v="1798.8"/>
    <n v="630"/>
    <n v="1260"/>
    <n v="60"/>
    <n v="478.79999999999995"/>
    <n v="0.26617745163442291"/>
    <x v="1"/>
    <d v="2024-06-15T00:00:00"/>
    <n v="2"/>
    <x v="1"/>
    <m/>
    <n v="0"/>
  </r>
  <r>
    <s v="ORD-100805"/>
    <x v="164"/>
    <x v="0"/>
    <d v="2024-06-01T00:00:00"/>
    <n v="6"/>
    <s v="CUST-01694"/>
    <x v="1"/>
    <x v="5"/>
    <s v="HP"/>
    <x v="0"/>
    <s v="Shimla"/>
    <x v="4"/>
    <s v="P704"/>
    <s v="Multivitamin Gummies"/>
    <x v="0"/>
    <n v="4"/>
    <n v="699"/>
    <n v="0.25"/>
    <n v="2796"/>
    <n v="699"/>
    <n v="2097"/>
    <n v="238"/>
    <n v="952"/>
    <n v="60"/>
    <n v="1085"/>
    <n v="0.51740581783500239"/>
    <x v="0"/>
    <d v="2024-06-19T00:00:00"/>
    <n v="5"/>
    <x v="2"/>
    <n v="3"/>
    <n v="0"/>
  </r>
  <r>
    <s v="ORD-100806"/>
    <x v="164"/>
    <x v="0"/>
    <d v="2024-06-01T00:00:00"/>
    <n v="6"/>
    <s v="CUST-02584"/>
    <x v="1"/>
    <x v="6"/>
    <s v="DL"/>
    <x v="0"/>
    <s v="New Delhi"/>
    <x v="4"/>
    <s v="P104"/>
    <s v="Hydrating Face Wash"/>
    <x v="3"/>
    <n v="1"/>
    <n v="299"/>
    <n v="0"/>
    <n v="299"/>
    <n v="0"/>
    <n v="299"/>
    <n v="90"/>
    <n v="90"/>
    <n v="60"/>
    <n v="149"/>
    <n v="0.49832775919732442"/>
    <x v="0"/>
    <d v="2024-06-15T00:00:00"/>
    <n v="1"/>
    <x v="1"/>
    <n v="4"/>
    <n v="0"/>
  </r>
  <r>
    <s v="ORD-100807"/>
    <x v="164"/>
    <x v="0"/>
    <d v="2024-06-01T00:00:00"/>
    <n v="6"/>
    <s v="CUST-00581"/>
    <x v="0"/>
    <x v="21"/>
    <s v="TG"/>
    <x v="3"/>
    <s v="Hyderabad"/>
    <x v="3"/>
    <s v="P101"/>
    <s v="Vitamin C Face Serum"/>
    <x v="3"/>
    <n v="3"/>
    <n v="599"/>
    <n v="0.15"/>
    <n v="1797"/>
    <n v="269.55"/>
    <n v="1527.45"/>
    <n v="180"/>
    <n v="540"/>
    <n v="60"/>
    <n v="927.45"/>
    <n v="0.60718845134046939"/>
    <x v="0"/>
    <d v="2024-06-16T00:00:00"/>
    <n v="2"/>
    <x v="1"/>
    <m/>
    <n v="0"/>
  </r>
  <r>
    <s v="ORD-100808"/>
    <x v="164"/>
    <x v="0"/>
    <d v="2024-06-01T00:00:00"/>
    <n v="6"/>
    <s v="CUST-01100"/>
    <x v="0"/>
    <x v="3"/>
    <s v="OD"/>
    <x v="2"/>
    <s v="Bhubaneswar"/>
    <x v="0"/>
    <s v="P103"/>
    <s v="Niacinamide Toner"/>
    <x v="3"/>
    <n v="3"/>
    <n v="399"/>
    <n v="0.15"/>
    <n v="1197"/>
    <n v="179.54999999999998"/>
    <n v="1017.45"/>
    <n v="112"/>
    <n v="336"/>
    <n v="60"/>
    <n v="621.45000000000005"/>
    <n v="0.61079168509509063"/>
    <x v="0"/>
    <d v="2024-06-20T00:00:00"/>
    <n v="6"/>
    <x v="2"/>
    <n v="3"/>
    <n v="0"/>
  </r>
  <r>
    <s v="ORD-100809"/>
    <x v="164"/>
    <x v="0"/>
    <d v="2024-06-01T00:00:00"/>
    <n v="6"/>
    <s v="CUST-02492"/>
    <x v="1"/>
    <x v="11"/>
    <s v="KA"/>
    <x v="3"/>
    <s v="Mysuru"/>
    <x v="1"/>
    <s v="P404"/>
    <s v="Flip Flops"/>
    <x v="5"/>
    <n v="1"/>
    <n v="399"/>
    <n v="0.1"/>
    <n v="399"/>
    <n v="39.900000000000006"/>
    <n v="359.1"/>
    <n v="152"/>
    <n v="152"/>
    <n v="60"/>
    <n v="147.10000000000002"/>
    <n v="0.40963519910888335"/>
    <x v="0"/>
    <d v="2024-06-16T00:00:00"/>
    <n v="2"/>
    <x v="1"/>
    <n v="5"/>
    <n v="0"/>
  </r>
  <r>
    <s v="ORD-100810"/>
    <x v="165"/>
    <x v="0"/>
    <d v="2024-06-01T00:00:00"/>
    <n v="6"/>
    <s v="CUST-01866"/>
    <x v="0"/>
    <x v="5"/>
    <s v="HP"/>
    <x v="0"/>
    <s v="Shimla"/>
    <x v="2"/>
    <s v="P201"/>
    <s v="Onion Hair Oil"/>
    <x v="6"/>
    <n v="1"/>
    <n v="349"/>
    <n v="0.25"/>
    <n v="349"/>
    <n v="87.25"/>
    <n v="261.75"/>
    <n v="105"/>
    <n v="105"/>
    <n v="60"/>
    <n v="96.75"/>
    <n v="0.36962750716332377"/>
    <x v="2"/>
    <d v="2024-06-21T00:00:00"/>
    <n v="6"/>
    <x v="2"/>
    <n v="2"/>
    <n v="0"/>
  </r>
  <r>
    <s v="ORD-100811"/>
    <x v="165"/>
    <x v="0"/>
    <d v="2024-06-01T00:00:00"/>
    <n v="6"/>
    <s v="CUST-02087"/>
    <x v="0"/>
    <x v="6"/>
    <s v="DL"/>
    <x v="0"/>
    <s v="New Delhi"/>
    <x v="2"/>
    <s v="P401"/>
    <s v="Running Shoes"/>
    <x v="5"/>
    <n v="1"/>
    <n v="2999"/>
    <n v="0.15"/>
    <n v="2999"/>
    <n v="449.84999999999997"/>
    <n v="2549.15"/>
    <n v="1440"/>
    <n v="1440"/>
    <n v="60"/>
    <n v="1049.1500000000001"/>
    <n v="0.41156856206970954"/>
    <x v="3"/>
    <d v="2024-06-17T00:00:00"/>
    <n v="2"/>
    <x v="1"/>
    <n v="5"/>
    <n v="0"/>
  </r>
  <r>
    <s v="ORD-100812"/>
    <x v="165"/>
    <x v="0"/>
    <d v="2024-06-01T00:00:00"/>
    <n v="6"/>
    <s v="CUST-02544"/>
    <x v="0"/>
    <x v="2"/>
    <s v="MH"/>
    <x v="1"/>
    <s v="Pune"/>
    <x v="4"/>
    <s v="P201"/>
    <s v="Onion Hair Oil"/>
    <x v="6"/>
    <n v="1"/>
    <n v="349"/>
    <n v="0.4"/>
    <n v="349"/>
    <n v="139.6"/>
    <n v="209.4"/>
    <n v="105"/>
    <n v="105"/>
    <n v="120"/>
    <n v="-15.599999999999994"/>
    <n v="-7.4498567335243529E-2"/>
    <x v="0"/>
    <d v="2024-06-16T00:00:00"/>
    <n v="1"/>
    <x v="1"/>
    <n v="5"/>
    <n v="1"/>
  </r>
  <r>
    <s v="ORD-100813"/>
    <x v="165"/>
    <x v="0"/>
    <d v="2024-06-01T00:00:00"/>
    <n v="6"/>
    <s v="CUST-02017"/>
    <x v="0"/>
    <x v="11"/>
    <s v="KA"/>
    <x v="3"/>
    <s v="Bengaluru"/>
    <x v="0"/>
    <s v="P403"/>
    <s v="Kolhapuri Sandals"/>
    <x v="5"/>
    <n v="1"/>
    <n v="999"/>
    <n v="0.05"/>
    <n v="999"/>
    <n v="49.95"/>
    <n v="949.05"/>
    <n v="400"/>
    <n v="400"/>
    <n v="60"/>
    <n v="489.04999999999995"/>
    <n v="0.5153047784626732"/>
    <x v="0"/>
    <d v="2024-06-16T00:00:00"/>
    <n v="1"/>
    <x v="1"/>
    <n v="5"/>
    <n v="0"/>
  </r>
  <r>
    <s v="ORD-100814"/>
    <x v="166"/>
    <x v="0"/>
    <d v="2024-06-01T00:00:00"/>
    <n v="6"/>
    <s v="CUST-00358"/>
    <x v="0"/>
    <x v="16"/>
    <s v="UP"/>
    <x v="0"/>
    <s v="Kanpur"/>
    <x v="2"/>
    <s v="P703"/>
    <s v="Green Tea (100 bags)"/>
    <x v="0"/>
    <n v="2"/>
    <n v="399"/>
    <n v="0.35"/>
    <n v="798"/>
    <n v="279.29999999999995"/>
    <n v="518.70000000000005"/>
    <n v="128"/>
    <n v="256"/>
    <n v="60"/>
    <n v="202.70000000000005"/>
    <n v="0.39078465394254874"/>
    <x v="0"/>
    <d v="2024-06-20T00:00:00"/>
    <n v="4"/>
    <x v="0"/>
    <m/>
    <n v="0"/>
  </r>
  <r>
    <s v="ORD-100815"/>
    <x v="166"/>
    <x v="0"/>
    <d v="2024-06-01T00:00:00"/>
    <n v="6"/>
    <s v="CUST-02970"/>
    <x v="0"/>
    <x v="16"/>
    <s v="UP"/>
    <x v="0"/>
    <s v="Kanpur"/>
    <x v="4"/>
    <s v="P704"/>
    <s v="Multivitamin Gummies"/>
    <x v="0"/>
    <n v="1"/>
    <n v="699"/>
    <n v="0.15"/>
    <n v="699"/>
    <n v="104.85"/>
    <n v="594.15"/>
    <n v="238"/>
    <n v="238"/>
    <n v="60"/>
    <n v="296.14999999999998"/>
    <n v="0.49844315408566858"/>
    <x v="2"/>
    <d v="2024-06-18T00:00:00"/>
    <n v="2"/>
    <x v="1"/>
    <n v="4"/>
    <n v="0"/>
  </r>
  <r>
    <s v="ORD-100816"/>
    <x v="166"/>
    <x v="0"/>
    <d v="2024-06-01T00:00:00"/>
    <n v="6"/>
    <s v="CUST-00142"/>
    <x v="1"/>
    <x v="22"/>
    <s v="AS"/>
    <x v="2"/>
    <s v="Guwahati"/>
    <x v="0"/>
    <s v="P602"/>
    <s v="Fast Charger 33W"/>
    <x v="2"/>
    <n v="1"/>
    <n v="899"/>
    <n v="0.1"/>
    <n v="899"/>
    <n v="89.9"/>
    <n v="809.1"/>
    <n v="494"/>
    <n v="494"/>
    <n v="60"/>
    <n v="255.10000000000002"/>
    <n v="0.31528859226300832"/>
    <x v="3"/>
    <d v="2024-06-23T00:00:00"/>
    <n v="7"/>
    <x v="2"/>
    <n v="3"/>
    <n v="0"/>
  </r>
  <r>
    <s v="ORD-100817"/>
    <x v="166"/>
    <x v="0"/>
    <d v="2024-06-01T00:00:00"/>
    <n v="6"/>
    <s v="CUST-02800"/>
    <x v="0"/>
    <x v="1"/>
    <s v="GJ"/>
    <x v="1"/>
    <s v="Ahmedabad"/>
    <x v="1"/>
    <s v="P403"/>
    <s v="Kolhapuri Sandals"/>
    <x v="5"/>
    <n v="2"/>
    <n v="999"/>
    <n v="0.15"/>
    <n v="1998"/>
    <n v="299.7"/>
    <n v="1698.3"/>
    <n v="400"/>
    <n v="800"/>
    <n v="60"/>
    <n v="838.3"/>
    <n v="0.49361125831714064"/>
    <x v="0"/>
    <d v="2024-06-20T00:00:00"/>
    <n v="4"/>
    <x v="0"/>
    <m/>
    <n v="0"/>
  </r>
  <r>
    <s v="ORD-100818"/>
    <x v="166"/>
    <x v="0"/>
    <d v="2024-06-01T00:00:00"/>
    <n v="6"/>
    <s v="CUST-00403"/>
    <x v="0"/>
    <x v="18"/>
    <s v="WB"/>
    <x v="2"/>
    <s v="Kolkata"/>
    <x v="0"/>
    <s v="P704"/>
    <s v="Multivitamin Gummies"/>
    <x v="0"/>
    <n v="2"/>
    <n v="699"/>
    <n v="0.25"/>
    <n v="1398"/>
    <n v="349.5"/>
    <n v="1048.5"/>
    <n v="238"/>
    <n v="476"/>
    <n v="60"/>
    <n v="512.5"/>
    <n v="0.48879351454458753"/>
    <x v="2"/>
    <d v="2024-06-19T00:00:00"/>
    <n v="3"/>
    <x v="0"/>
    <n v="3"/>
    <n v="0"/>
  </r>
  <r>
    <s v="ORD-100819"/>
    <x v="166"/>
    <x v="0"/>
    <d v="2024-06-01T00:00:00"/>
    <n v="6"/>
    <s v="CUST-01242"/>
    <x v="0"/>
    <x v="21"/>
    <s v="TG"/>
    <x v="3"/>
    <s v="Hyderabad"/>
    <x v="2"/>
    <s v="P403"/>
    <s v="Kolhapuri Sandals"/>
    <x v="5"/>
    <n v="3"/>
    <n v="999"/>
    <n v="0"/>
    <n v="2997"/>
    <n v="0"/>
    <n v="2997"/>
    <n v="400"/>
    <n v="1200"/>
    <n v="60"/>
    <n v="1737"/>
    <n v="0.57957957957957962"/>
    <x v="0"/>
    <d v="2024-06-20T00:00:00"/>
    <n v="4"/>
    <x v="0"/>
    <n v="5"/>
    <n v="0"/>
  </r>
  <r>
    <s v="ORD-100820"/>
    <x v="167"/>
    <x v="0"/>
    <d v="2024-06-01T00:00:00"/>
    <n v="6"/>
    <s v="CUST-01823"/>
    <x v="0"/>
    <x v="22"/>
    <s v="AS"/>
    <x v="2"/>
    <s v="Guwahati"/>
    <x v="2"/>
    <s v="P203"/>
    <s v="Keratin Hair Mask"/>
    <x v="6"/>
    <n v="1"/>
    <n v="549"/>
    <n v="0.05"/>
    <n v="549"/>
    <n v="27.450000000000003"/>
    <n v="521.54999999999995"/>
    <n v="170"/>
    <n v="170"/>
    <n v="60"/>
    <n v="291.54999999999995"/>
    <n v="0.55900680663407143"/>
    <x v="0"/>
    <d v="2024-06-24T00:00:00"/>
    <n v="7"/>
    <x v="2"/>
    <n v="4"/>
    <n v="0"/>
  </r>
  <r>
    <s v="ORD-100821"/>
    <x v="167"/>
    <x v="0"/>
    <d v="2024-06-01T00:00:00"/>
    <n v="6"/>
    <s v="CUST-01730"/>
    <x v="0"/>
    <x v="1"/>
    <s v="GJ"/>
    <x v="1"/>
    <s v="Ahmedabad"/>
    <x v="0"/>
    <s v="P504"/>
    <s v="Cotton Bedsheet"/>
    <x v="4"/>
    <n v="2"/>
    <n v="1299"/>
    <n v="0.1"/>
    <n v="2598"/>
    <n v="259.8"/>
    <n v="2338.1999999999998"/>
    <n v="585"/>
    <n v="1170"/>
    <n v="120"/>
    <n v="1048.1999999999998"/>
    <n v="0.44829355914806257"/>
    <x v="3"/>
    <d v="2024-06-21T00:00:00"/>
    <n v="4"/>
    <x v="0"/>
    <n v="3"/>
    <n v="1"/>
  </r>
  <r>
    <s v="ORD-100822"/>
    <x v="167"/>
    <x v="0"/>
    <d v="2024-06-01T00:00:00"/>
    <n v="6"/>
    <s v="CUST-01828"/>
    <x v="1"/>
    <x v="10"/>
    <s v="CG"/>
    <x v="2"/>
    <s v="Raipur"/>
    <x v="1"/>
    <s v="P404"/>
    <s v="Flip Flops"/>
    <x v="5"/>
    <n v="1"/>
    <n v="399"/>
    <n v="0.05"/>
    <n v="399"/>
    <n v="19.950000000000003"/>
    <n v="379.05"/>
    <n v="152"/>
    <n v="152"/>
    <n v="60"/>
    <n v="167.05"/>
    <n v="0.44070703073473161"/>
    <x v="0"/>
    <d v="2024-06-21T00:00:00"/>
    <n v="4"/>
    <x v="0"/>
    <m/>
    <n v="0"/>
  </r>
  <r>
    <s v="ORD-100823"/>
    <x v="167"/>
    <x v="0"/>
    <d v="2024-06-01T00:00:00"/>
    <n v="6"/>
    <s v="CUST-01995"/>
    <x v="1"/>
    <x v="2"/>
    <s v="MH"/>
    <x v="1"/>
    <s v="Mumbai"/>
    <x v="4"/>
    <s v="P104"/>
    <s v="Hydrating Face Wash"/>
    <x v="3"/>
    <n v="1"/>
    <n v="299"/>
    <n v="0"/>
    <n v="299"/>
    <n v="0"/>
    <n v="299"/>
    <n v="90"/>
    <n v="90"/>
    <n v="60"/>
    <n v="149"/>
    <n v="0.49832775919732442"/>
    <x v="3"/>
    <d v="2024-06-18T00:00:00"/>
    <n v="1"/>
    <x v="1"/>
    <n v="4"/>
    <n v="0"/>
  </r>
  <r>
    <s v="ORD-100824"/>
    <x v="167"/>
    <x v="0"/>
    <d v="2024-06-01T00:00:00"/>
    <n v="6"/>
    <s v="CUST-03052"/>
    <x v="0"/>
    <x v="11"/>
    <s v="KA"/>
    <x v="3"/>
    <s v="Mysuru"/>
    <x v="0"/>
    <s v="P503"/>
    <s v="Scented Candle Set"/>
    <x v="4"/>
    <n v="2"/>
    <n v="699"/>
    <n v="0.15"/>
    <n v="1398"/>
    <n v="209.7"/>
    <n v="1188.3"/>
    <n v="245"/>
    <n v="490"/>
    <n v="60"/>
    <n v="638.29999999999995"/>
    <n v="0.53715391736093576"/>
    <x v="0"/>
    <d v="2024-06-20T00:00:00"/>
    <n v="3"/>
    <x v="0"/>
    <m/>
    <n v="0"/>
  </r>
  <r>
    <s v="ORD-100825"/>
    <x v="168"/>
    <x v="0"/>
    <d v="2024-06-01T00:00:00"/>
    <n v="6"/>
    <s v="CUST-01103"/>
    <x v="0"/>
    <x v="16"/>
    <s v="UP"/>
    <x v="0"/>
    <s v="Kanpur"/>
    <x v="3"/>
    <s v="P701"/>
    <s v="Ashwagandha Capsules"/>
    <x v="0"/>
    <n v="1"/>
    <n v="499"/>
    <n v="0"/>
    <n v="499"/>
    <n v="0"/>
    <n v="499"/>
    <n v="150"/>
    <n v="150"/>
    <n v="120"/>
    <n v="229"/>
    <n v="0.4589178356713427"/>
    <x v="3"/>
    <d v="2024-06-22T00:00:00"/>
    <n v="4"/>
    <x v="0"/>
    <m/>
    <n v="1"/>
  </r>
  <r>
    <s v="ORD-100826"/>
    <x v="168"/>
    <x v="0"/>
    <d v="2024-06-01T00:00:00"/>
    <n v="6"/>
    <s v="CUST-02404"/>
    <x v="0"/>
    <x v="13"/>
    <s v="MP"/>
    <x v="1"/>
    <s v="Bhopal"/>
    <x v="3"/>
    <s v="P704"/>
    <s v="Multivitamin Gummies"/>
    <x v="0"/>
    <n v="2"/>
    <n v="699"/>
    <n v="0.15"/>
    <n v="1398"/>
    <n v="209.7"/>
    <n v="1188.3"/>
    <n v="238"/>
    <n v="476"/>
    <n v="60"/>
    <n v="652.29999999999995"/>
    <n v="0.54893545400993016"/>
    <x v="0"/>
    <d v="2024-06-22T00:00:00"/>
    <n v="4"/>
    <x v="0"/>
    <m/>
    <n v="0"/>
  </r>
  <r>
    <s v="ORD-100827"/>
    <x v="168"/>
    <x v="0"/>
    <d v="2024-06-01T00:00:00"/>
    <n v="6"/>
    <s v="CUST-01706"/>
    <x v="0"/>
    <x v="2"/>
    <s v="MH"/>
    <x v="1"/>
    <s v="Pune"/>
    <x v="3"/>
    <s v="P101"/>
    <s v="Vitamin C Face Serum"/>
    <x v="3"/>
    <n v="3"/>
    <n v="599"/>
    <n v="0.15"/>
    <n v="1797"/>
    <n v="269.55"/>
    <n v="1527.45"/>
    <n v="180"/>
    <n v="540"/>
    <n v="120"/>
    <n v="867.45"/>
    <n v="0.56790729647451632"/>
    <x v="3"/>
    <d v="2024-06-19T00:00:00"/>
    <n v="1"/>
    <x v="1"/>
    <m/>
    <n v="1"/>
  </r>
  <r>
    <s v="ORD-100828"/>
    <x v="168"/>
    <x v="0"/>
    <d v="2024-06-01T00:00:00"/>
    <n v="6"/>
    <s v="CUST-01733"/>
    <x v="0"/>
    <x v="21"/>
    <s v="TG"/>
    <x v="3"/>
    <s v="Hyderabad"/>
    <x v="2"/>
    <s v="P202"/>
    <s v="Argan Shampoo"/>
    <x v="6"/>
    <n v="1"/>
    <n v="449"/>
    <n v="0.05"/>
    <n v="449"/>
    <n v="22.450000000000003"/>
    <n v="426.55"/>
    <n v="148"/>
    <n v="148"/>
    <n v="60"/>
    <n v="218.55"/>
    <n v="0.51236666275934828"/>
    <x v="3"/>
    <d v="2024-06-20T00:00:00"/>
    <n v="2"/>
    <x v="1"/>
    <n v="5"/>
    <n v="0"/>
  </r>
  <r>
    <s v="ORD-100829"/>
    <x v="168"/>
    <x v="0"/>
    <d v="2024-06-01T00:00:00"/>
    <n v="6"/>
    <s v="CUST-00641"/>
    <x v="0"/>
    <x v="17"/>
    <s v="TN"/>
    <x v="3"/>
    <s v="Coimbatore"/>
    <x v="3"/>
    <s v="P202"/>
    <s v="Argan Shampoo"/>
    <x v="6"/>
    <n v="1"/>
    <n v="449"/>
    <n v="0.1"/>
    <n v="449"/>
    <n v="44.900000000000006"/>
    <n v="404.1"/>
    <n v="148"/>
    <n v="148"/>
    <n v="60"/>
    <n v="196.10000000000002"/>
    <n v="0.48527592180153428"/>
    <x v="0"/>
    <d v="2024-06-22T00:00:00"/>
    <n v="4"/>
    <x v="0"/>
    <m/>
    <n v="0"/>
  </r>
  <r>
    <s v="ORD-100830"/>
    <x v="169"/>
    <x v="0"/>
    <d v="2024-06-01T00:00:00"/>
    <n v="6"/>
    <s v="CUST-00573"/>
    <x v="1"/>
    <x v="13"/>
    <s v="MP"/>
    <x v="1"/>
    <s v="Bhopal"/>
    <x v="0"/>
    <s v="P604"/>
    <s v="Power Bank 20000mAh"/>
    <x v="2"/>
    <n v="3"/>
    <n v="1799"/>
    <n v="0.35"/>
    <n v="5397"/>
    <n v="1888.9499999999998"/>
    <n v="3508.05"/>
    <n v="1079"/>
    <n v="3237"/>
    <n v="60"/>
    <n v="211.05000000000018"/>
    <n v="6.0161628255013519E-2"/>
    <x v="0"/>
    <d v="2024-06-24T00:00:00"/>
    <n v="5"/>
    <x v="2"/>
    <n v="3"/>
    <n v="0"/>
  </r>
  <r>
    <s v="ORD-100831"/>
    <x v="169"/>
    <x v="0"/>
    <d v="2024-06-01T00:00:00"/>
    <n v="6"/>
    <s v="CUST-02062"/>
    <x v="0"/>
    <x v="13"/>
    <s v="MP"/>
    <x v="1"/>
    <s v="Bhopal"/>
    <x v="2"/>
    <s v="P404"/>
    <s v="Flip Flops"/>
    <x v="5"/>
    <n v="1"/>
    <n v="399"/>
    <n v="0"/>
    <n v="399"/>
    <n v="0"/>
    <n v="399"/>
    <n v="152"/>
    <n v="152"/>
    <n v="60"/>
    <n v="187"/>
    <n v="0.46867167919799496"/>
    <x v="3"/>
    <d v="2024-06-24T00:00:00"/>
    <n v="5"/>
    <x v="2"/>
    <n v="3"/>
    <n v="0"/>
  </r>
  <r>
    <s v="ORD-100832"/>
    <x v="169"/>
    <x v="0"/>
    <d v="2024-06-01T00:00:00"/>
    <n v="6"/>
    <s v="CUST-00050"/>
    <x v="1"/>
    <x v="18"/>
    <s v="WB"/>
    <x v="2"/>
    <s v="Kolkata"/>
    <x v="4"/>
    <s v="P302"/>
    <s v="Linen Kurta"/>
    <x v="1"/>
    <n v="2"/>
    <n v="1499"/>
    <n v="0.3"/>
    <n v="2998"/>
    <n v="899.4"/>
    <n v="2098.6"/>
    <n v="630"/>
    <n v="1260"/>
    <n v="60"/>
    <n v="778.59999999999991"/>
    <n v="0.3710092442580768"/>
    <x v="0"/>
    <d v="2024-06-24T00:00:00"/>
    <n v="5"/>
    <x v="2"/>
    <n v="4"/>
    <n v="0"/>
  </r>
  <r>
    <s v="ORD-100833"/>
    <x v="169"/>
    <x v="0"/>
    <d v="2024-06-01T00:00:00"/>
    <n v="6"/>
    <s v="CUST-01198"/>
    <x v="0"/>
    <x v="2"/>
    <s v="MH"/>
    <x v="1"/>
    <s v="Nagpur"/>
    <x v="2"/>
    <s v="P503"/>
    <s v="Scented Candle Set"/>
    <x v="4"/>
    <n v="1"/>
    <n v="699"/>
    <n v="0.15"/>
    <n v="699"/>
    <n v="104.85"/>
    <n v="594.15"/>
    <n v="245"/>
    <n v="245"/>
    <n v="60"/>
    <n v="289.14999999999998"/>
    <n v="0.48666161743667424"/>
    <x v="0"/>
    <d v="2024-06-22T00:00:00"/>
    <n v="3"/>
    <x v="0"/>
    <m/>
    <n v="0"/>
  </r>
  <r>
    <s v="ORD-100834"/>
    <x v="169"/>
    <x v="0"/>
    <d v="2024-06-01T00:00:00"/>
    <n v="6"/>
    <s v="CUST-00789"/>
    <x v="0"/>
    <x v="11"/>
    <s v="KA"/>
    <x v="3"/>
    <s v="Mysuru"/>
    <x v="2"/>
    <s v="P604"/>
    <s v="Power Bank 20000mAh"/>
    <x v="2"/>
    <n v="3"/>
    <n v="1799"/>
    <n v="0.35"/>
    <n v="5397"/>
    <n v="1888.9499999999998"/>
    <n v="3508.05"/>
    <n v="1079"/>
    <n v="3237"/>
    <n v="60"/>
    <n v="211.05000000000018"/>
    <n v="6.0161628255013519E-2"/>
    <x v="0"/>
    <d v="2024-06-23T00:00:00"/>
    <n v="4"/>
    <x v="0"/>
    <m/>
    <n v="0"/>
  </r>
  <r>
    <s v="ORD-100835"/>
    <x v="170"/>
    <x v="0"/>
    <d v="2024-06-01T00:00:00"/>
    <n v="6"/>
    <s v="CUST-00559"/>
    <x v="0"/>
    <x v="13"/>
    <s v="MP"/>
    <x v="1"/>
    <s v="Bhopal"/>
    <x v="4"/>
    <s v="P704"/>
    <s v="Multivitamin Gummies"/>
    <x v="0"/>
    <n v="2"/>
    <n v="699"/>
    <n v="0.3"/>
    <n v="1398"/>
    <n v="419.4"/>
    <n v="978.6"/>
    <n v="238"/>
    <n v="476"/>
    <n v="60"/>
    <n v="442.6"/>
    <n v="0.45227876558348662"/>
    <x v="3"/>
    <d v="2024-06-25T00:00:00"/>
    <n v="4"/>
    <x v="0"/>
    <n v="4"/>
    <n v="0"/>
  </r>
  <r>
    <s v="ORD-100836"/>
    <x v="170"/>
    <x v="0"/>
    <d v="2024-06-01T00:00:00"/>
    <n v="6"/>
    <s v="CUST-00883"/>
    <x v="0"/>
    <x v="21"/>
    <s v="TG"/>
    <x v="3"/>
    <s v="Hyderabad"/>
    <x v="0"/>
    <s v="P302"/>
    <s v="Linen Kurta"/>
    <x v="1"/>
    <n v="2"/>
    <n v="1499"/>
    <n v="0.35"/>
    <n v="2998"/>
    <n v="1049.3"/>
    <n v="1948.7"/>
    <n v="630"/>
    <n v="1260"/>
    <n v="120"/>
    <n v="568.70000000000005"/>
    <n v="0.29183558269615645"/>
    <x v="0"/>
    <d v="2024-06-23T00:00:00"/>
    <n v="2"/>
    <x v="1"/>
    <n v="4"/>
    <n v="1"/>
  </r>
  <r>
    <s v="ORD-100837"/>
    <x v="170"/>
    <x v="0"/>
    <d v="2024-06-01T00:00:00"/>
    <n v="6"/>
    <s v="CUST-00201"/>
    <x v="0"/>
    <x v="11"/>
    <s v="KA"/>
    <x v="3"/>
    <s v="Mysuru"/>
    <x v="2"/>
    <s v="P303"/>
    <s v="Joggers"/>
    <x v="1"/>
    <n v="1"/>
    <n v="1199"/>
    <n v="0.15"/>
    <n v="1199"/>
    <n v="179.85"/>
    <n v="1019.15"/>
    <n v="492"/>
    <n v="492"/>
    <n v="60"/>
    <n v="467.15"/>
    <n v="0.45837217288917231"/>
    <x v="1"/>
    <d v="2024-06-24T00:00:00"/>
    <n v="3"/>
    <x v="0"/>
    <m/>
    <n v="0"/>
  </r>
  <r>
    <s v="ORD-100838"/>
    <x v="170"/>
    <x v="0"/>
    <d v="2024-06-01T00:00:00"/>
    <n v="6"/>
    <s v="CUST-00573"/>
    <x v="1"/>
    <x v="11"/>
    <s v="KA"/>
    <x v="3"/>
    <s v="Bengaluru"/>
    <x v="4"/>
    <s v="P105"/>
    <s v="Retinol Night Cream"/>
    <x v="3"/>
    <n v="1"/>
    <n v="799"/>
    <n v="0.05"/>
    <n v="799"/>
    <n v="39.950000000000003"/>
    <n v="759.05"/>
    <n v="216"/>
    <n v="216"/>
    <n v="60"/>
    <n v="483.04999999999995"/>
    <n v="0.63638758975034582"/>
    <x v="4"/>
    <d v="2024-06-22T00:00:00"/>
    <n v="1"/>
    <x v="1"/>
    <n v="4"/>
    <n v="0"/>
  </r>
  <r>
    <s v="ORD-100839"/>
    <x v="170"/>
    <x v="0"/>
    <d v="2024-06-01T00:00:00"/>
    <n v="6"/>
    <s v="CUST-01199"/>
    <x v="0"/>
    <x v="11"/>
    <s v="KA"/>
    <x v="3"/>
    <s v="Bengaluru"/>
    <x v="1"/>
    <s v="P304"/>
    <s v="Denim Jacket"/>
    <x v="1"/>
    <n v="1"/>
    <n v="2499"/>
    <n v="0.05"/>
    <n v="2499"/>
    <n v="124.95"/>
    <n v="2374.0500000000002"/>
    <n v="1125"/>
    <n v="1125"/>
    <n v="60"/>
    <n v="1189.0500000000002"/>
    <n v="0.50085297276805463"/>
    <x v="1"/>
    <d v="2024-06-24T00:00:00"/>
    <n v="3"/>
    <x v="0"/>
    <m/>
    <n v="0"/>
  </r>
  <r>
    <s v="ORD-100840"/>
    <x v="171"/>
    <x v="0"/>
    <d v="2024-06-01T00:00:00"/>
    <n v="6"/>
    <s v="CUST-00195"/>
    <x v="0"/>
    <x v="16"/>
    <s v="UP"/>
    <x v="0"/>
    <s v="Lucknow"/>
    <x v="0"/>
    <s v="P105"/>
    <s v="Retinol Night Cream"/>
    <x v="3"/>
    <n v="4"/>
    <n v="799"/>
    <n v="0.05"/>
    <n v="3196"/>
    <n v="159.80000000000001"/>
    <n v="3036.2"/>
    <n v="216"/>
    <n v="864"/>
    <n v="60"/>
    <n v="2112.1999999999998"/>
    <n v="0.69567222185626765"/>
    <x v="0"/>
    <d v="2024-06-27T00:00:00"/>
    <n v="5"/>
    <x v="2"/>
    <n v="4"/>
    <n v="0"/>
  </r>
  <r>
    <s v="ORD-100841"/>
    <x v="171"/>
    <x v="0"/>
    <d v="2024-06-01T00:00:00"/>
    <n v="6"/>
    <s v="CUST-02753"/>
    <x v="0"/>
    <x v="13"/>
    <s v="MP"/>
    <x v="1"/>
    <s v="Bhopal"/>
    <x v="4"/>
    <s v="P602"/>
    <s v="Fast Charger 33W"/>
    <x v="2"/>
    <n v="1"/>
    <n v="899"/>
    <n v="0.05"/>
    <n v="899"/>
    <n v="44.95"/>
    <n v="854.05"/>
    <n v="494"/>
    <n v="494"/>
    <n v="120"/>
    <n v="240.04999999999995"/>
    <n v="0.281072536736725"/>
    <x v="0"/>
    <d v="2024-06-25T00:00:00"/>
    <n v="3"/>
    <x v="0"/>
    <n v="5"/>
    <n v="1"/>
  </r>
  <r>
    <s v="ORD-100842"/>
    <x v="171"/>
    <x v="0"/>
    <d v="2024-06-01T00:00:00"/>
    <n v="6"/>
    <s v="CUST-00239"/>
    <x v="0"/>
    <x v="2"/>
    <s v="MH"/>
    <x v="1"/>
    <s v="Nagpur"/>
    <x v="1"/>
    <s v="P301"/>
    <s v="Cotton Oversized T-Shirt"/>
    <x v="1"/>
    <n v="1"/>
    <n v="799"/>
    <n v="0.1"/>
    <n v="799"/>
    <n v="79.900000000000006"/>
    <n v="719.1"/>
    <n v="320"/>
    <n v="320"/>
    <n v="60"/>
    <n v="339.1"/>
    <n v="0.47156167431511614"/>
    <x v="1"/>
    <d v="2024-06-24T00:00:00"/>
    <n v="2"/>
    <x v="1"/>
    <n v="4"/>
    <n v="0"/>
  </r>
  <r>
    <s v="ORD-100843"/>
    <x v="171"/>
    <x v="0"/>
    <d v="2024-06-01T00:00:00"/>
    <n v="6"/>
    <s v="CUST-00172"/>
    <x v="0"/>
    <x v="21"/>
    <s v="TG"/>
    <x v="3"/>
    <s v="Hyderabad"/>
    <x v="2"/>
    <s v="P604"/>
    <s v="Power Bank 20000mAh"/>
    <x v="2"/>
    <n v="2"/>
    <n v="1799"/>
    <n v="0.3"/>
    <n v="3598"/>
    <n v="1079.3999999999999"/>
    <n v="2518.6000000000004"/>
    <n v="1079"/>
    <n v="2158"/>
    <n v="60"/>
    <n v="300.60000000000036"/>
    <n v="0.11935202096402776"/>
    <x v="0"/>
    <d v="2024-06-25T00:00:00"/>
    <n v="3"/>
    <x v="0"/>
    <n v="4"/>
    <n v="0"/>
  </r>
  <r>
    <s v="ORD-100844"/>
    <x v="172"/>
    <x v="0"/>
    <d v="2024-06-01T00:00:00"/>
    <n v="6"/>
    <s v="CUST-00937"/>
    <x v="0"/>
    <x v="0"/>
    <s v="RJ"/>
    <x v="0"/>
    <s v="Jaipur"/>
    <x v="3"/>
    <s v="P203"/>
    <s v="Keratin Hair Mask"/>
    <x v="6"/>
    <n v="3"/>
    <n v="549"/>
    <n v="0.1"/>
    <n v="1647"/>
    <n v="164.70000000000002"/>
    <n v="1482.3"/>
    <n v="170"/>
    <n v="510"/>
    <n v="120"/>
    <n v="852.3"/>
    <n v="0.57498482088646019"/>
    <x v="3"/>
    <d v="2024-06-28T00:00:00"/>
    <n v="5"/>
    <x v="2"/>
    <n v="4"/>
    <n v="1"/>
  </r>
  <r>
    <s v="ORD-100845"/>
    <x v="172"/>
    <x v="0"/>
    <d v="2024-06-01T00:00:00"/>
    <n v="6"/>
    <s v="CUST-00415"/>
    <x v="0"/>
    <x v="18"/>
    <s v="WB"/>
    <x v="2"/>
    <s v="Kolkata"/>
    <x v="1"/>
    <s v="P305"/>
    <s v="Printed Saree"/>
    <x v="1"/>
    <n v="1"/>
    <n v="1999"/>
    <n v="0.1"/>
    <n v="1999"/>
    <n v="199.9"/>
    <n v="1799.1"/>
    <n v="880"/>
    <n v="880"/>
    <n v="60"/>
    <n v="859.09999999999991"/>
    <n v="0.47751653604580063"/>
    <x v="0"/>
    <d v="2024-06-27T00:00:00"/>
    <n v="4"/>
    <x v="0"/>
    <m/>
    <n v="0"/>
  </r>
  <r>
    <s v="ORD-100846"/>
    <x v="172"/>
    <x v="0"/>
    <d v="2024-06-01T00:00:00"/>
    <n v="6"/>
    <s v="CUST-01702"/>
    <x v="0"/>
    <x v="21"/>
    <s v="TG"/>
    <x v="3"/>
    <s v="Hyderabad"/>
    <x v="3"/>
    <s v="P701"/>
    <s v="Ashwagandha Capsules"/>
    <x v="0"/>
    <n v="1"/>
    <n v="499"/>
    <n v="0"/>
    <n v="499"/>
    <n v="0"/>
    <n v="499"/>
    <n v="150"/>
    <n v="150"/>
    <n v="60"/>
    <n v="289"/>
    <n v="0.57915831663326656"/>
    <x v="3"/>
    <d v="2024-06-26T00:00:00"/>
    <n v="3"/>
    <x v="0"/>
    <m/>
    <n v="0"/>
  </r>
  <r>
    <s v="ORD-100847"/>
    <x v="172"/>
    <x v="0"/>
    <d v="2024-06-01T00:00:00"/>
    <n v="6"/>
    <s v="CUST-00096"/>
    <x v="1"/>
    <x v="11"/>
    <s v="KA"/>
    <x v="3"/>
    <s v="Bengaluru"/>
    <x v="3"/>
    <s v="P703"/>
    <s v="Green Tea (100 bags)"/>
    <x v="0"/>
    <n v="3"/>
    <n v="399"/>
    <n v="0.35"/>
    <n v="1197"/>
    <n v="418.95"/>
    <n v="778.05"/>
    <n v="128"/>
    <n v="384"/>
    <n v="60"/>
    <n v="334.04999999999995"/>
    <n v="0.42934258723732405"/>
    <x v="4"/>
    <d v="2024-06-24T00:00:00"/>
    <n v="1"/>
    <x v="1"/>
    <m/>
    <n v="0"/>
  </r>
  <r>
    <s v="ORD-100848"/>
    <x v="173"/>
    <x v="0"/>
    <d v="2024-06-01T00:00:00"/>
    <n v="6"/>
    <s v="CUST-02566"/>
    <x v="0"/>
    <x v="9"/>
    <s v="UK"/>
    <x v="0"/>
    <s v="Dehradun"/>
    <x v="1"/>
    <s v="P301"/>
    <s v="Cotton Oversized T-Shirt"/>
    <x v="1"/>
    <n v="1"/>
    <n v="799"/>
    <n v="0.05"/>
    <n v="799"/>
    <n v="39.950000000000003"/>
    <n v="759.05"/>
    <n v="320"/>
    <n v="320"/>
    <n v="60"/>
    <n v="379.04999999999995"/>
    <n v="0.49937421777221525"/>
    <x v="0"/>
    <d v="2024-06-28T00:00:00"/>
    <n v="4"/>
    <x v="0"/>
    <n v="3"/>
    <n v="0"/>
  </r>
  <r>
    <s v="ORD-100849"/>
    <x v="173"/>
    <x v="0"/>
    <d v="2024-06-01T00:00:00"/>
    <n v="6"/>
    <s v="CUST-00966"/>
    <x v="0"/>
    <x v="0"/>
    <s v="RJ"/>
    <x v="0"/>
    <s v="Udaipur"/>
    <x v="2"/>
    <s v="P204"/>
    <s v="Anti-Dandruff Conditioner"/>
    <x v="6"/>
    <n v="2"/>
    <n v="399"/>
    <n v="0.25"/>
    <n v="798"/>
    <n v="199.5"/>
    <n v="598.5"/>
    <n v="136"/>
    <n v="272"/>
    <n v="60"/>
    <n v="266.5"/>
    <n v="0.44527986633249789"/>
    <x v="0"/>
    <d v="2024-06-28T00:00:00"/>
    <n v="4"/>
    <x v="0"/>
    <n v="4"/>
    <n v="0"/>
  </r>
  <r>
    <s v="ORD-100850"/>
    <x v="173"/>
    <x v="0"/>
    <d v="2024-06-01T00:00:00"/>
    <n v="6"/>
    <s v="CUST-01146"/>
    <x v="0"/>
    <x v="12"/>
    <s v="BR"/>
    <x v="2"/>
    <s v="Patna"/>
    <x v="2"/>
    <s v="P201"/>
    <s v="Onion Hair Oil"/>
    <x v="6"/>
    <n v="1"/>
    <n v="349"/>
    <n v="0.25"/>
    <n v="349"/>
    <n v="87.25"/>
    <n v="261.75"/>
    <n v="105"/>
    <n v="105"/>
    <n v="60"/>
    <n v="96.75"/>
    <n v="0.36962750716332377"/>
    <x v="2"/>
    <d v="2024-06-29T00:00:00"/>
    <n v="5"/>
    <x v="2"/>
    <n v="3"/>
    <n v="0"/>
  </r>
  <r>
    <s v="ORD-100851"/>
    <x v="173"/>
    <x v="0"/>
    <d v="2024-06-01T00:00:00"/>
    <n v="6"/>
    <s v="CUST-00151"/>
    <x v="1"/>
    <x v="18"/>
    <s v="WB"/>
    <x v="2"/>
    <s v="Kolkata"/>
    <x v="3"/>
    <s v="P201"/>
    <s v="Onion Hair Oil"/>
    <x v="6"/>
    <n v="2"/>
    <n v="349"/>
    <n v="0.3"/>
    <n v="698"/>
    <n v="209.4"/>
    <n v="488.6"/>
    <n v="105"/>
    <n v="210"/>
    <n v="60"/>
    <n v="218.60000000000002"/>
    <n v="0.44740073679901765"/>
    <x v="3"/>
    <d v="2024-06-28T00:00:00"/>
    <n v="4"/>
    <x v="0"/>
    <n v="4"/>
    <n v="0"/>
  </r>
  <r>
    <s v="ORD-100852"/>
    <x v="173"/>
    <x v="0"/>
    <d v="2024-06-01T00:00:00"/>
    <n v="6"/>
    <s v="CUST-01043"/>
    <x v="0"/>
    <x v="2"/>
    <s v="MH"/>
    <x v="1"/>
    <s v="Mumbai"/>
    <x v="3"/>
    <s v="P704"/>
    <s v="Multivitamin Gummies"/>
    <x v="0"/>
    <n v="1"/>
    <n v="699"/>
    <n v="0.25"/>
    <n v="699"/>
    <n v="174.75"/>
    <n v="524.25"/>
    <n v="238"/>
    <n v="238"/>
    <n v="60"/>
    <n v="226.25"/>
    <n v="0.43156890796375774"/>
    <x v="0"/>
    <d v="2024-06-27T00:00:00"/>
    <n v="3"/>
    <x v="0"/>
    <n v="4"/>
    <n v="0"/>
  </r>
  <r>
    <s v="ORD-100853"/>
    <x v="173"/>
    <x v="0"/>
    <d v="2024-06-01T00:00:00"/>
    <n v="6"/>
    <s v="CUST-00310"/>
    <x v="1"/>
    <x v="21"/>
    <s v="TG"/>
    <x v="3"/>
    <s v="Hyderabad"/>
    <x v="1"/>
    <s v="P403"/>
    <s v="Kolhapuri Sandals"/>
    <x v="5"/>
    <n v="1"/>
    <n v="999"/>
    <n v="0.1"/>
    <n v="999"/>
    <n v="99.9"/>
    <n v="899.1"/>
    <n v="400"/>
    <n v="400"/>
    <n v="60"/>
    <n v="439.1"/>
    <n v="0.48837726615504395"/>
    <x v="0"/>
    <d v="2024-06-28T00:00:00"/>
    <n v="4"/>
    <x v="0"/>
    <n v="4"/>
    <n v="0"/>
  </r>
  <r>
    <s v="ORD-100854"/>
    <x v="173"/>
    <x v="0"/>
    <d v="2024-06-01T00:00:00"/>
    <n v="6"/>
    <s v="CUST-01167"/>
    <x v="0"/>
    <x v="21"/>
    <s v="TG"/>
    <x v="3"/>
    <s v="Hyderabad"/>
    <x v="0"/>
    <s v="P402"/>
    <s v="Casual Sneakers"/>
    <x v="5"/>
    <n v="3"/>
    <n v="2199"/>
    <n v="0.15"/>
    <n v="6597"/>
    <n v="989.55"/>
    <n v="5607.45"/>
    <n v="1034"/>
    <n v="3102"/>
    <n v="60"/>
    <n v="2445.4499999999998"/>
    <n v="0.43610732150977716"/>
    <x v="1"/>
    <d v="2024-06-27T00:00:00"/>
    <n v="3"/>
    <x v="0"/>
    <m/>
    <n v="0"/>
  </r>
  <r>
    <s v="ORD-100855"/>
    <x v="173"/>
    <x v="0"/>
    <d v="2024-06-01T00:00:00"/>
    <n v="6"/>
    <s v="CUST-00765"/>
    <x v="0"/>
    <x v="11"/>
    <s v="KA"/>
    <x v="3"/>
    <s v="Mysuru"/>
    <x v="1"/>
    <s v="P301"/>
    <s v="Cotton Oversized T-Shirt"/>
    <x v="1"/>
    <n v="1"/>
    <n v="799"/>
    <n v="0.1"/>
    <n v="799"/>
    <n v="79.900000000000006"/>
    <n v="719.1"/>
    <n v="320"/>
    <n v="320"/>
    <n v="60"/>
    <n v="339.1"/>
    <n v="0.47156167431511614"/>
    <x v="3"/>
    <d v="2024-06-25T00:00:00"/>
    <n v="1"/>
    <x v="1"/>
    <n v="4"/>
    <n v="0"/>
  </r>
  <r>
    <s v="ORD-100856"/>
    <x v="174"/>
    <x v="0"/>
    <d v="2024-06-01T00:00:00"/>
    <n v="6"/>
    <s v="CUST-00257"/>
    <x v="1"/>
    <x v="0"/>
    <s v="RJ"/>
    <x v="0"/>
    <s v="Udaipur"/>
    <x v="0"/>
    <s v="P403"/>
    <s v="Kolhapuri Sandals"/>
    <x v="5"/>
    <n v="2"/>
    <n v="999"/>
    <n v="0.05"/>
    <n v="1998"/>
    <n v="99.9"/>
    <n v="1898.1"/>
    <n v="400"/>
    <n v="800"/>
    <n v="60"/>
    <n v="1038.0999999999999"/>
    <n v="0.54691533638902057"/>
    <x v="2"/>
    <d v="2024-06-30T00:00:00"/>
    <n v="5"/>
    <x v="2"/>
    <m/>
    <n v="0"/>
  </r>
  <r>
    <s v="ORD-100857"/>
    <x v="174"/>
    <x v="0"/>
    <d v="2024-06-01T00:00:00"/>
    <n v="6"/>
    <s v="CUST-03150"/>
    <x v="0"/>
    <x v="0"/>
    <s v="RJ"/>
    <x v="0"/>
    <s v="Jaipur"/>
    <x v="2"/>
    <s v="P701"/>
    <s v="Ashwagandha Capsules"/>
    <x v="0"/>
    <n v="3"/>
    <n v="499"/>
    <n v="0.05"/>
    <n v="1497"/>
    <n v="74.850000000000009"/>
    <n v="1422.15"/>
    <n v="150"/>
    <n v="450"/>
    <n v="60"/>
    <n v="912.15000000000009"/>
    <n v="0.64138803923636745"/>
    <x v="4"/>
    <d v="2024-06-29T00:00:00"/>
    <n v="4"/>
    <x v="0"/>
    <n v="4"/>
    <n v="0"/>
  </r>
  <r>
    <s v="ORD-100858"/>
    <x v="174"/>
    <x v="0"/>
    <d v="2024-06-01T00:00:00"/>
    <n v="6"/>
    <s v="CUST-02937"/>
    <x v="0"/>
    <x v="0"/>
    <s v="RJ"/>
    <x v="0"/>
    <s v="Udaipur"/>
    <x v="2"/>
    <s v="P504"/>
    <s v="Cotton Bedsheet"/>
    <x v="4"/>
    <n v="2"/>
    <n v="1299"/>
    <n v="0"/>
    <n v="2598"/>
    <n v="0"/>
    <n v="2598"/>
    <n v="585"/>
    <n v="1170"/>
    <n v="60"/>
    <n v="1368"/>
    <n v="0.52655889145496537"/>
    <x v="0"/>
    <d v="2024-07-01T00:00:00"/>
    <n v="6"/>
    <x v="2"/>
    <m/>
    <n v="0"/>
  </r>
  <r>
    <s v="ORD-100859"/>
    <x v="174"/>
    <x v="0"/>
    <d v="2024-06-01T00:00:00"/>
    <n v="6"/>
    <s v="CUST-00610"/>
    <x v="0"/>
    <x v="16"/>
    <s v="UP"/>
    <x v="0"/>
    <s v="Kanpur"/>
    <x v="1"/>
    <s v="P402"/>
    <s v="Casual Sneakers"/>
    <x v="5"/>
    <n v="1"/>
    <n v="2199"/>
    <n v="0.2"/>
    <n v="2199"/>
    <n v="439.8"/>
    <n v="1759.2"/>
    <n v="1034"/>
    <n v="1034"/>
    <n v="60"/>
    <n v="665.2"/>
    <n v="0.37812642110050027"/>
    <x v="2"/>
    <d v="2024-06-29T00:00:00"/>
    <n v="4"/>
    <x v="0"/>
    <n v="3"/>
    <n v="0"/>
  </r>
  <r>
    <s v="ORD-100860"/>
    <x v="174"/>
    <x v="0"/>
    <d v="2024-06-01T00:00:00"/>
    <n v="6"/>
    <s v="CUST-01305"/>
    <x v="0"/>
    <x v="16"/>
    <s v="UP"/>
    <x v="0"/>
    <s v="Noida"/>
    <x v="0"/>
    <s v="P103"/>
    <s v="Niacinamide Toner"/>
    <x v="3"/>
    <n v="2"/>
    <n v="399"/>
    <n v="0.3"/>
    <n v="798"/>
    <n v="239.39999999999998"/>
    <n v="558.6"/>
    <n v="112"/>
    <n v="224"/>
    <n v="60"/>
    <n v="274.60000000000002"/>
    <n v="0.49158610812746151"/>
    <x v="0"/>
    <d v="2024-06-27T00:00:00"/>
    <n v="2"/>
    <x v="1"/>
    <n v="3"/>
    <n v="0"/>
  </r>
  <r>
    <s v="ORD-100861"/>
    <x v="174"/>
    <x v="0"/>
    <d v="2024-06-01T00:00:00"/>
    <n v="6"/>
    <s v="CUST-00953"/>
    <x v="1"/>
    <x v="12"/>
    <s v="BR"/>
    <x v="2"/>
    <s v="Patna"/>
    <x v="3"/>
    <s v="P204"/>
    <s v="Anti-Dandruff Conditioner"/>
    <x v="6"/>
    <n v="1"/>
    <n v="399"/>
    <n v="0.45"/>
    <n v="399"/>
    <n v="179.55"/>
    <n v="219.45"/>
    <n v="136"/>
    <n v="136"/>
    <n v="60"/>
    <n v="23.449999999999989"/>
    <n v="0.10685805422647524"/>
    <x v="0"/>
    <d v="2024-07-01T00:00:00"/>
    <n v="6"/>
    <x v="2"/>
    <n v="4"/>
    <n v="0"/>
  </r>
  <r>
    <s v="ORD-100862"/>
    <x v="174"/>
    <x v="0"/>
    <d v="2024-06-01T00:00:00"/>
    <n v="6"/>
    <s v="CUST-02973"/>
    <x v="0"/>
    <x v="22"/>
    <s v="AS"/>
    <x v="2"/>
    <s v="Guwahati"/>
    <x v="0"/>
    <s v="P701"/>
    <s v="Ashwagandha Capsules"/>
    <x v="0"/>
    <n v="1"/>
    <n v="499"/>
    <n v="0"/>
    <n v="499"/>
    <n v="0"/>
    <n v="499"/>
    <n v="150"/>
    <n v="150"/>
    <n v="120"/>
    <n v="229"/>
    <n v="0.4589178356713427"/>
    <x v="3"/>
    <d v="2024-06-28T00:00:00"/>
    <n v="3"/>
    <x v="0"/>
    <n v="4"/>
    <n v="1"/>
  </r>
  <r>
    <s v="ORD-100863"/>
    <x v="175"/>
    <x v="0"/>
    <d v="2024-06-01T00:00:00"/>
    <n v="6"/>
    <s v="CUST-00353"/>
    <x v="1"/>
    <x v="0"/>
    <s v="RJ"/>
    <x v="0"/>
    <s v="Udaipur"/>
    <x v="3"/>
    <s v="P201"/>
    <s v="Onion Hair Oil"/>
    <x v="6"/>
    <n v="1"/>
    <n v="349"/>
    <n v="0.3"/>
    <n v="349"/>
    <n v="104.7"/>
    <n v="244.3"/>
    <n v="105"/>
    <n v="105"/>
    <n v="60"/>
    <n v="79.300000000000011"/>
    <n v="0.32460090053213264"/>
    <x v="1"/>
    <d v="2024-07-01T00:00:00"/>
    <n v="5"/>
    <x v="2"/>
    <n v="3"/>
    <n v="0"/>
  </r>
  <r>
    <s v="ORD-100864"/>
    <x v="175"/>
    <x v="0"/>
    <d v="2024-06-01T00:00:00"/>
    <n v="6"/>
    <s v="CUST-01203"/>
    <x v="0"/>
    <x v="14"/>
    <s v="KL"/>
    <x v="3"/>
    <s v="Kochi"/>
    <x v="2"/>
    <s v="P103"/>
    <s v="Niacinamide Toner"/>
    <x v="3"/>
    <n v="1"/>
    <n v="399"/>
    <n v="0.2"/>
    <n v="399"/>
    <n v="79.800000000000011"/>
    <n v="319.2"/>
    <n v="112"/>
    <n v="112"/>
    <n v="60"/>
    <n v="147.19999999999999"/>
    <n v="0.46115288220551376"/>
    <x v="3"/>
    <d v="2024-07-01T00:00:00"/>
    <n v="5"/>
    <x v="2"/>
    <n v="4"/>
    <n v="0"/>
  </r>
  <r>
    <s v="ORD-100865"/>
    <x v="175"/>
    <x v="0"/>
    <d v="2024-06-01T00:00:00"/>
    <n v="6"/>
    <s v="CUST-00107"/>
    <x v="0"/>
    <x v="17"/>
    <s v="TN"/>
    <x v="3"/>
    <s v="Chennai"/>
    <x v="4"/>
    <s v="P303"/>
    <s v="Joggers"/>
    <x v="1"/>
    <n v="1"/>
    <n v="1199"/>
    <n v="0.05"/>
    <n v="1199"/>
    <n v="59.95"/>
    <n v="1139.05"/>
    <n v="492"/>
    <n v="492"/>
    <n v="60"/>
    <n v="587.04999999999995"/>
    <n v="0.51538562837452262"/>
    <x v="4"/>
    <d v="2024-06-27T00:00:00"/>
    <n v="1"/>
    <x v="1"/>
    <n v="5"/>
    <n v="0"/>
  </r>
  <r>
    <s v="ORD-100866"/>
    <x v="176"/>
    <x v="0"/>
    <d v="2024-06-01T00:00:00"/>
    <n v="6"/>
    <s v="CUST-00775"/>
    <x v="0"/>
    <x v="16"/>
    <s v="UP"/>
    <x v="0"/>
    <s v="Lucknow"/>
    <x v="4"/>
    <s v="P603"/>
    <s v="Smartwatch Strap"/>
    <x v="2"/>
    <n v="1"/>
    <n v="499"/>
    <n v="0.1"/>
    <n v="499"/>
    <n v="49.900000000000006"/>
    <n v="449.1"/>
    <n v="200"/>
    <n v="200"/>
    <n v="60"/>
    <n v="189.10000000000002"/>
    <n v="0.42106435092407041"/>
    <x v="1"/>
    <d v="2024-06-28T00:00:00"/>
    <n v="1"/>
    <x v="1"/>
    <n v="5"/>
    <n v="0"/>
  </r>
  <r>
    <s v="ORD-100867"/>
    <x v="176"/>
    <x v="0"/>
    <d v="2024-06-01T00:00:00"/>
    <n v="6"/>
    <s v="CUST-00685"/>
    <x v="0"/>
    <x v="11"/>
    <s v="KA"/>
    <x v="3"/>
    <s v="Bengaluru"/>
    <x v="4"/>
    <s v="P602"/>
    <s v="Fast Charger 33W"/>
    <x v="2"/>
    <n v="2"/>
    <n v="899"/>
    <n v="0"/>
    <n v="1798"/>
    <n v="0"/>
    <n v="1798"/>
    <n v="494"/>
    <n v="988"/>
    <n v="60"/>
    <n v="750"/>
    <n v="0.41713014460511677"/>
    <x v="2"/>
    <d v="2024-06-29T00:00:00"/>
    <n v="2"/>
    <x v="1"/>
    <n v="3"/>
    <n v="0"/>
  </r>
  <r>
    <s v="ORD-100868"/>
    <x v="176"/>
    <x v="0"/>
    <d v="2024-06-01T00:00:00"/>
    <n v="6"/>
    <s v="CUST-00935"/>
    <x v="0"/>
    <x v="11"/>
    <s v="KA"/>
    <x v="3"/>
    <s v="Bengaluru"/>
    <x v="0"/>
    <s v="P202"/>
    <s v="Argan Shampoo"/>
    <x v="6"/>
    <n v="1"/>
    <n v="449"/>
    <n v="0.05"/>
    <n v="449"/>
    <n v="22.450000000000003"/>
    <n v="426.55"/>
    <n v="148"/>
    <n v="148"/>
    <n v="60"/>
    <n v="218.55"/>
    <n v="0.51236666275934828"/>
    <x v="3"/>
    <d v="2024-06-28T00:00:00"/>
    <n v="1"/>
    <x v="1"/>
    <m/>
    <n v="0"/>
  </r>
  <r>
    <s v="ORD-100869"/>
    <x v="177"/>
    <x v="0"/>
    <d v="2024-06-01T00:00:00"/>
    <n v="6"/>
    <s v="CUST-02926"/>
    <x v="0"/>
    <x v="7"/>
    <s v="JH"/>
    <x v="2"/>
    <s v="Ranchi"/>
    <x v="4"/>
    <s v="P603"/>
    <s v="Smartwatch Strap"/>
    <x v="2"/>
    <n v="2"/>
    <n v="499"/>
    <n v="0.1"/>
    <n v="998"/>
    <n v="99.800000000000011"/>
    <n v="898.2"/>
    <n v="200"/>
    <n v="400"/>
    <n v="60"/>
    <n v="438.20000000000005"/>
    <n v="0.4878646181251392"/>
    <x v="0"/>
    <d v="2024-07-02T00:00:00"/>
    <n v="4"/>
    <x v="0"/>
    <n v="3"/>
    <n v="0"/>
  </r>
  <r>
    <s v="ORD-100870"/>
    <x v="178"/>
    <x v="0"/>
    <d v="2024-06-01T00:00:00"/>
    <n v="6"/>
    <s v="CUST-01078"/>
    <x v="0"/>
    <x v="15"/>
    <s v="HR"/>
    <x v="0"/>
    <s v="Faridabad"/>
    <x v="0"/>
    <s v="P601"/>
    <s v="Wireless Earbuds"/>
    <x v="2"/>
    <n v="1"/>
    <n v="1999"/>
    <n v="0.45"/>
    <n v="1999"/>
    <n v="899.55000000000007"/>
    <n v="1099.4499999999998"/>
    <n v="1239"/>
    <n v="1239"/>
    <n v="60"/>
    <n v="-199.55000000000018"/>
    <n v="-0.18149984082950585"/>
    <x v="0"/>
    <d v="2024-06-30T00:00:00"/>
    <n v="1"/>
    <x v="1"/>
    <m/>
    <n v="0"/>
  </r>
  <r>
    <s v="ORD-100871"/>
    <x v="178"/>
    <x v="0"/>
    <d v="2024-06-01T00:00:00"/>
    <n v="6"/>
    <s v="CUST-01006"/>
    <x v="0"/>
    <x v="6"/>
    <s v="DL"/>
    <x v="0"/>
    <s v="New Delhi"/>
    <x v="2"/>
    <s v="P101"/>
    <s v="Vitamin C Face Serum"/>
    <x v="3"/>
    <n v="1"/>
    <n v="599"/>
    <n v="0.05"/>
    <n v="599"/>
    <n v="29.950000000000003"/>
    <n v="569.04999999999995"/>
    <n v="180"/>
    <n v="180"/>
    <n v="60"/>
    <n v="329.04999999999995"/>
    <n v="0.57824444249187235"/>
    <x v="0"/>
    <d v="2024-07-01T00:00:00"/>
    <n v="2"/>
    <x v="1"/>
    <n v="5"/>
    <n v="0"/>
  </r>
  <r>
    <s v="ORD-100872"/>
    <x v="178"/>
    <x v="0"/>
    <d v="2024-06-01T00:00:00"/>
    <n v="6"/>
    <s v="CUST-02782"/>
    <x v="1"/>
    <x v="22"/>
    <s v="AS"/>
    <x v="2"/>
    <s v="Guwahati"/>
    <x v="4"/>
    <s v="P501"/>
    <s v="Copper Water Bottle"/>
    <x v="4"/>
    <n v="1"/>
    <n v="899"/>
    <n v="0.05"/>
    <n v="899"/>
    <n v="44.95"/>
    <n v="854.05"/>
    <n v="378"/>
    <n v="378"/>
    <n v="60"/>
    <n v="416.04999999999995"/>
    <n v="0.48714946431707745"/>
    <x v="1"/>
    <d v="2024-07-06T00:00:00"/>
    <n v="7"/>
    <x v="2"/>
    <n v="3"/>
    <n v="0"/>
  </r>
  <r>
    <s v="ORD-100873"/>
    <x v="178"/>
    <x v="0"/>
    <d v="2024-06-01T00:00:00"/>
    <n v="6"/>
    <s v="CUST-00539"/>
    <x v="0"/>
    <x v="1"/>
    <s v="GJ"/>
    <x v="1"/>
    <s v="Ahmedabad"/>
    <x v="3"/>
    <s v="P202"/>
    <s v="Argan Shampoo"/>
    <x v="6"/>
    <n v="2"/>
    <n v="449"/>
    <n v="0.05"/>
    <n v="898"/>
    <n v="44.900000000000006"/>
    <n v="853.1"/>
    <n v="148"/>
    <n v="296"/>
    <n v="60"/>
    <n v="497.1"/>
    <n v="0.58269839409213453"/>
    <x v="1"/>
    <d v="2024-07-01T00:00:00"/>
    <n v="2"/>
    <x v="1"/>
    <m/>
    <n v="0"/>
  </r>
  <r>
    <s v="ORD-100874"/>
    <x v="178"/>
    <x v="0"/>
    <d v="2024-06-01T00:00:00"/>
    <n v="6"/>
    <s v="CUST-00610"/>
    <x v="1"/>
    <x v="1"/>
    <s v="GJ"/>
    <x v="1"/>
    <s v="Ahmedabad"/>
    <x v="3"/>
    <s v="P704"/>
    <s v="Multivitamin Gummies"/>
    <x v="0"/>
    <n v="4"/>
    <n v="699"/>
    <n v="0.2"/>
    <n v="2796"/>
    <n v="559.20000000000005"/>
    <n v="2236.8000000000002"/>
    <n v="238"/>
    <n v="952"/>
    <n v="60"/>
    <n v="1224.8000000000002"/>
    <n v="0.54756795422031479"/>
    <x v="2"/>
    <d v="2024-07-01T00:00:00"/>
    <n v="2"/>
    <x v="1"/>
    <m/>
    <n v="0"/>
  </r>
  <r>
    <s v="ORD-100875"/>
    <x v="178"/>
    <x v="0"/>
    <d v="2024-06-01T00:00:00"/>
    <n v="6"/>
    <s v="CUST-01004"/>
    <x v="0"/>
    <x v="18"/>
    <s v="WB"/>
    <x v="2"/>
    <s v="Kolkata"/>
    <x v="4"/>
    <s v="P203"/>
    <s v="Keratin Hair Mask"/>
    <x v="6"/>
    <n v="2"/>
    <n v="549"/>
    <n v="0.2"/>
    <n v="1098"/>
    <n v="219.60000000000002"/>
    <n v="878.4"/>
    <n v="170"/>
    <n v="340"/>
    <n v="60"/>
    <n v="478.4"/>
    <n v="0.54462659380692169"/>
    <x v="4"/>
    <d v="2024-07-04T00:00:00"/>
    <n v="5"/>
    <x v="2"/>
    <n v="3"/>
    <n v="0"/>
  </r>
  <r>
    <s v="ORD-100876"/>
    <x v="178"/>
    <x v="0"/>
    <d v="2024-06-01T00:00:00"/>
    <n v="6"/>
    <s v="CUST-01141"/>
    <x v="0"/>
    <x v="2"/>
    <s v="MH"/>
    <x v="1"/>
    <s v="Pune"/>
    <x v="0"/>
    <s v="P403"/>
    <s v="Kolhapuri Sandals"/>
    <x v="5"/>
    <n v="1"/>
    <n v="999"/>
    <n v="0.05"/>
    <n v="999"/>
    <n v="49.95"/>
    <n v="949.05"/>
    <n v="400"/>
    <n v="400"/>
    <n v="60"/>
    <n v="489.04999999999995"/>
    <n v="0.5153047784626732"/>
    <x v="0"/>
    <d v="2024-07-01T00:00:00"/>
    <n v="2"/>
    <x v="1"/>
    <n v="4"/>
    <n v="0"/>
  </r>
  <r>
    <s v="ORD-100877"/>
    <x v="178"/>
    <x v="0"/>
    <d v="2024-06-01T00:00:00"/>
    <n v="6"/>
    <s v="CUST-00471"/>
    <x v="1"/>
    <x v="21"/>
    <s v="TG"/>
    <x v="3"/>
    <s v="Hyderabad"/>
    <x v="1"/>
    <s v="P404"/>
    <s v="Flip Flops"/>
    <x v="5"/>
    <n v="1"/>
    <n v="399"/>
    <n v="0.05"/>
    <n v="399"/>
    <n v="19.950000000000003"/>
    <n v="379.05"/>
    <n v="152"/>
    <n v="152"/>
    <n v="60"/>
    <n v="167.05"/>
    <n v="0.44070703073473161"/>
    <x v="0"/>
    <d v="2024-07-01T00:00:00"/>
    <n v="2"/>
    <x v="1"/>
    <n v="4"/>
    <n v="0"/>
  </r>
  <r>
    <s v="ORD-100878"/>
    <x v="178"/>
    <x v="0"/>
    <d v="2024-06-01T00:00:00"/>
    <n v="6"/>
    <s v="CUST-00504"/>
    <x v="1"/>
    <x v="11"/>
    <s v="KA"/>
    <x v="3"/>
    <s v="Mysuru"/>
    <x v="4"/>
    <s v="P102"/>
    <s v="Sunscreen SPF 50"/>
    <x v="3"/>
    <n v="1"/>
    <n v="449"/>
    <n v="0"/>
    <n v="449"/>
    <n v="0"/>
    <n v="449"/>
    <n v="144"/>
    <n v="144"/>
    <n v="60"/>
    <n v="245"/>
    <n v="0.54565701559020041"/>
    <x v="1"/>
    <d v="2024-07-01T00:00:00"/>
    <n v="2"/>
    <x v="1"/>
    <n v="5"/>
    <n v="0"/>
  </r>
  <r>
    <s v="ORD-100879"/>
    <x v="178"/>
    <x v="0"/>
    <d v="2024-06-01T00:00:00"/>
    <n v="6"/>
    <s v="CUST-00090"/>
    <x v="1"/>
    <x v="17"/>
    <s v="TN"/>
    <x v="3"/>
    <s v="Chennai"/>
    <x v="0"/>
    <s v="P504"/>
    <s v="Cotton Bedsheet"/>
    <x v="4"/>
    <n v="1"/>
    <n v="1299"/>
    <n v="0.05"/>
    <n v="1299"/>
    <n v="64.95"/>
    <n v="1234.05"/>
    <n v="585"/>
    <n v="585"/>
    <n v="60"/>
    <n v="589.04999999999995"/>
    <n v="0.47733074024553296"/>
    <x v="3"/>
    <d v="2024-07-02T00:00:00"/>
    <n v="3"/>
    <x v="0"/>
    <n v="4"/>
    <n v="0"/>
  </r>
  <r>
    <s v="ORD-100880"/>
    <x v="179"/>
    <x v="0"/>
    <d v="2024-06-01T00:00:00"/>
    <n v="6"/>
    <s v="CUST-00849"/>
    <x v="0"/>
    <x v="9"/>
    <s v="UK"/>
    <x v="0"/>
    <s v="Dehradun"/>
    <x v="2"/>
    <s v="P203"/>
    <s v="Keratin Hair Mask"/>
    <x v="6"/>
    <n v="1"/>
    <n v="549"/>
    <n v="0.05"/>
    <n v="549"/>
    <n v="27.450000000000003"/>
    <n v="521.54999999999995"/>
    <n v="170"/>
    <n v="170"/>
    <n v="60"/>
    <n v="291.54999999999995"/>
    <n v="0.55900680663407143"/>
    <x v="0"/>
    <d v="2024-07-04T00:00:00"/>
    <n v="4"/>
    <x v="0"/>
    <n v="3"/>
    <n v="0"/>
  </r>
  <r>
    <s v="ORD-100881"/>
    <x v="179"/>
    <x v="0"/>
    <d v="2024-06-01T00:00:00"/>
    <n v="6"/>
    <s v="CUST-01290"/>
    <x v="0"/>
    <x v="13"/>
    <s v="MP"/>
    <x v="1"/>
    <s v="Indore"/>
    <x v="3"/>
    <s v="P203"/>
    <s v="Keratin Hair Mask"/>
    <x v="6"/>
    <n v="1"/>
    <n v="549"/>
    <n v="0.15"/>
    <n v="549"/>
    <n v="82.35"/>
    <n v="466.65"/>
    <n v="170"/>
    <n v="170"/>
    <n v="60"/>
    <n v="236.64999999999998"/>
    <n v="0.50712525447337398"/>
    <x v="1"/>
    <d v="2024-07-02T00:00:00"/>
    <n v="2"/>
    <x v="1"/>
    <n v="4"/>
    <n v="0"/>
  </r>
  <r>
    <s v="ORD-100882"/>
    <x v="179"/>
    <x v="0"/>
    <d v="2024-06-01T00:00:00"/>
    <n v="6"/>
    <s v="CUST-02177"/>
    <x v="1"/>
    <x v="2"/>
    <s v="MH"/>
    <x v="1"/>
    <s v="Pune"/>
    <x v="2"/>
    <s v="P502"/>
    <s v="Ceramic Dinner Set"/>
    <x v="4"/>
    <n v="2"/>
    <n v="2499"/>
    <n v="0.25"/>
    <n v="4998"/>
    <n v="1249.5"/>
    <n v="3748.5"/>
    <n v="1250"/>
    <n v="2500"/>
    <n v="60"/>
    <n v="1188.5"/>
    <n v="0.31706015739629184"/>
    <x v="3"/>
    <d v="2024-07-03T00:00:00"/>
    <n v="3"/>
    <x v="0"/>
    <n v="4"/>
    <n v="0"/>
  </r>
  <r>
    <s v="ORD-100883"/>
    <x v="179"/>
    <x v="0"/>
    <d v="2024-06-01T00:00:00"/>
    <n v="6"/>
    <s v="CUST-01012"/>
    <x v="1"/>
    <x v="11"/>
    <s v="KA"/>
    <x v="3"/>
    <s v="Bengaluru"/>
    <x v="3"/>
    <s v="P701"/>
    <s v="Ashwagandha Capsules"/>
    <x v="0"/>
    <n v="1"/>
    <n v="499"/>
    <n v="0"/>
    <n v="499"/>
    <n v="0"/>
    <n v="499"/>
    <n v="150"/>
    <n v="150"/>
    <n v="60"/>
    <n v="289"/>
    <n v="0.57915831663326656"/>
    <x v="0"/>
    <d v="2024-07-03T00:00:00"/>
    <n v="3"/>
    <x v="0"/>
    <m/>
    <n v="0"/>
  </r>
  <r>
    <s v="ORD-100884"/>
    <x v="180"/>
    <x v="0"/>
    <d v="2024-07-01T00:00:00"/>
    <n v="7"/>
    <s v="CUST-00782"/>
    <x v="0"/>
    <x v="0"/>
    <s v="RJ"/>
    <x v="0"/>
    <s v="Jaipur"/>
    <x v="0"/>
    <s v="P704"/>
    <s v="Multivitamin Gummies"/>
    <x v="0"/>
    <n v="1"/>
    <n v="699"/>
    <n v="0.15"/>
    <n v="699"/>
    <n v="104.85"/>
    <n v="594.15"/>
    <n v="238"/>
    <n v="238"/>
    <n v="60"/>
    <n v="296.14999999999998"/>
    <n v="0.49844315408566858"/>
    <x v="1"/>
    <d v="2024-07-05T00:00:00"/>
    <n v="4"/>
    <x v="0"/>
    <n v="3"/>
    <n v="0"/>
  </r>
  <r>
    <s v="ORD-100885"/>
    <x v="180"/>
    <x v="0"/>
    <d v="2024-07-01T00:00:00"/>
    <n v="7"/>
    <s v="CUST-01324"/>
    <x v="0"/>
    <x v="13"/>
    <s v="MP"/>
    <x v="1"/>
    <s v="Bhopal"/>
    <x v="0"/>
    <s v="P102"/>
    <s v="Sunscreen SPF 50"/>
    <x v="3"/>
    <n v="1"/>
    <n v="449"/>
    <n v="0"/>
    <n v="449"/>
    <n v="0"/>
    <n v="449"/>
    <n v="144"/>
    <n v="144"/>
    <n v="60"/>
    <n v="245"/>
    <n v="0.54565701559020041"/>
    <x v="0"/>
    <d v="2024-07-06T00:00:00"/>
    <n v="5"/>
    <x v="2"/>
    <n v="3"/>
    <n v="0"/>
  </r>
  <r>
    <s v="ORD-100886"/>
    <x v="180"/>
    <x v="0"/>
    <d v="2024-07-01T00:00:00"/>
    <n v="7"/>
    <s v="CUST-00690"/>
    <x v="0"/>
    <x v="2"/>
    <s v="MH"/>
    <x v="1"/>
    <s v="Nagpur"/>
    <x v="1"/>
    <s v="P403"/>
    <s v="Kolhapuri Sandals"/>
    <x v="5"/>
    <n v="1"/>
    <n v="999"/>
    <n v="0.1"/>
    <n v="999"/>
    <n v="99.9"/>
    <n v="899.1"/>
    <n v="400"/>
    <n v="400"/>
    <n v="60"/>
    <n v="439.1"/>
    <n v="0.48837726615504395"/>
    <x v="0"/>
    <d v="2024-07-03T00:00:00"/>
    <n v="2"/>
    <x v="1"/>
    <n v="5"/>
    <n v="0"/>
  </r>
  <r>
    <s v="ORD-100887"/>
    <x v="180"/>
    <x v="0"/>
    <d v="2024-07-01T00:00:00"/>
    <n v="7"/>
    <s v="CUST-00798"/>
    <x v="1"/>
    <x v="11"/>
    <s v="KA"/>
    <x v="3"/>
    <s v="Mysuru"/>
    <x v="3"/>
    <s v="P204"/>
    <s v="Anti-Dandruff Conditioner"/>
    <x v="6"/>
    <n v="1"/>
    <n v="399"/>
    <n v="0.35"/>
    <n v="399"/>
    <n v="139.64999999999998"/>
    <n v="259.35000000000002"/>
    <n v="136"/>
    <n v="136"/>
    <n v="120"/>
    <n v="3.3500000000000227"/>
    <n v="1.2916907653749846E-2"/>
    <x v="2"/>
    <d v="2024-07-05T00:00:00"/>
    <n v="4"/>
    <x v="0"/>
    <n v="4"/>
    <n v="1"/>
  </r>
  <r>
    <s v="ORD-100888"/>
    <x v="180"/>
    <x v="0"/>
    <d v="2024-07-01T00:00:00"/>
    <n v="7"/>
    <s v="CUST-00141"/>
    <x v="1"/>
    <x v="8"/>
    <s v="AP"/>
    <x v="3"/>
    <s v="Vijayawada"/>
    <x v="2"/>
    <s v="P301"/>
    <s v="Cotton Oversized T-Shirt"/>
    <x v="1"/>
    <n v="1"/>
    <n v="799"/>
    <n v="0"/>
    <n v="799"/>
    <n v="0"/>
    <n v="799"/>
    <n v="320"/>
    <n v="320"/>
    <n v="120"/>
    <n v="359"/>
    <n v="0.44931163954943681"/>
    <x v="0"/>
    <d v="2024-07-05T00:00:00"/>
    <n v="4"/>
    <x v="0"/>
    <n v="3"/>
    <n v="1"/>
  </r>
  <r>
    <s v="ORD-100889"/>
    <x v="180"/>
    <x v="0"/>
    <d v="2024-07-01T00:00:00"/>
    <n v="7"/>
    <s v="CUST-02559"/>
    <x v="0"/>
    <x v="8"/>
    <s v="AP"/>
    <x v="3"/>
    <s v="Vijayawada"/>
    <x v="3"/>
    <s v="P703"/>
    <s v="Green Tea (100 bags)"/>
    <x v="0"/>
    <n v="3"/>
    <n v="399"/>
    <n v="0.3"/>
    <n v="1197"/>
    <n v="359.09999999999997"/>
    <n v="837.90000000000009"/>
    <n v="128"/>
    <n v="384"/>
    <n v="60"/>
    <n v="393.90000000000009"/>
    <n v="0.47010383100608671"/>
    <x v="2"/>
    <d v="2024-07-04T00:00:00"/>
    <n v="3"/>
    <x v="0"/>
    <n v="4"/>
    <n v="0"/>
  </r>
  <r>
    <s v="ORD-100890"/>
    <x v="180"/>
    <x v="0"/>
    <d v="2024-07-01T00:00:00"/>
    <n v="7"/>
    <s v="CUST-01075"/>
    <x v="1"/>
    <x v="17"/>
    <s v="TN"/>
    <x v="3"/>
    <s v="Chennai"/>
    <x v="0"/>
    <s v="P602"/>
    <s v="Fast Charger 33W"/>
    <x v="2"/>
    <n v="1"/>
    <n v="899"/>
    <n v="0.05"/>
    <n v="899"/>
    <n v="44.95"/>
    <n v="854.05"/>
    <n v="494"/>
    <n v="494"/>
    <n v="60"/>
    <n v="300.04999999999995"/>
    <n v="0.35132603477548152"/>
    <x v="3"/>
    <d v="2024-07-02T00:00:00"/>
    <n v="1"/>
    <x v="1"/>
    <n v="4"/>
    <n v="0"/>
  </r>
  <r>
    <s v="ORD-100891"/>
    <x v="181"/>
    <x v="0"/>
    <d v="2024-07-01T00:00:00"/>
    <n v="7"/>
    <s v="CUST-01237"/>
    <x v="0"/>
    <x v="6"/>
    <s v="DL"/>
    <x v="0"/>
    <s v="New Delhi"/>
    <x v="3"/>
    <s v="P701"/>
    <s v="Ashwagandha Capsules"/>
    <x v="0"/>
    <n v="1"/>
    <n v="499"/>
    <n v="0"/>
    <n v="499"/>
    <n v="0"/>
    <n v="499"/>
    <n v="150"/>
    <n v="150"/>
    <n v="60"/>
    <n v="289"/>
    <n v="0.57915831663326656"/>
    <x v="0"/>
    <d v="2024-07-05T00:00:00"/>
    <n v="3"/>
    <x v="0"/>
    <n v="4"/>
    <n v="0"/>
  </r>
  <r>
    <s v="ORD-100892"/>
    <x v="181"/>
    <x v="0"/>
    <d v="2024-07-01T00:00:00"/>
    <n v="7"/>
    <s v="CUST-00269"/>
    <x v="0"/>
    <x v="16"/>
    <s v="UP"/>
    <x v="0"/>
    <s v="Noida"/>
    <x v="0"/>
    <s v="P104"/>
    <s v="Hydrating Face Wash"/>
    <x v="3"/>
    <n v="1"/>
    <n v="299"/>
    <n v="0.05"/>
    <n v="299"/>
    <n v="14.950000000000001"/>
    <n v="284.05"/>
    <n v="90"/>
    <n v="90"/>
    <n v="60"/>
    <n v="134.05000000000001"/>
    <n v="0.47192395704981521"/>
    <x v="2"/>
    <d v="2024-07-05T00:00:00"/>
    <n v="3"/>
    <x v="0"/>
    <n v="4"/>
    <n v="0"/>
  </r>
  <r>
    <s v="ORD-100893"/>
    <x v="181"/>
    <x v="0"/>
    <d v="2024-07-01T00:00:00"/>
    <n v="7"/>
    <s v="CUST-02039"/>
    <x v="0"/>
    <x v="12"/>
    <s v="BR"/>
    <x v="2"/>
    <s v="Patna"/>
    <x v="4"/>
    <s v="P503"/>
    <s v="Scented Candle Set"/>
    <x v="4"/>
    <n v="1"/>
    <n v="699"/>
    <n v="0.3"/>
    <n v="699"/>
    <n v="209.7"/>
    <n v="489.3"/>
    <n v="245"/>
    <n v="245"/>
    <n v="60"/>
    <n v="184.3"/>
    <n v="0.37666053545881872"/>
    <x v="0"/>
    <d v="2024-07-08T00:00:00"/>
    <n v="6"/>
    <x v="2"/>
    <n v="3"/>
    <n v="0"/>
  </r>
  <r>
    <s v="ORD-100894"/>
    <x v="181"/>
    <x v="0"/>
    <d v="2024-07-01T00:00:00"/>
    <n v="7"/>
    <s v="CUST-00121"/>
    <x v="1"/>
    <x v="1"/>
    <s v="GJ"/>
    <x v="1"/>
    <s v="Surat"/>
    <x v="4"/>
    <s v="P704"/>
    <s v="Multivitamin Gummies"/>
    <x v="0"/>
    <n v="1"/>
    <n v="699"/>
    <n v="0.15"/>
    <n v="699"/>
    <n v="104.85"/>
    <n v="594.15"/>
    <n v="238"/>
    <n v="238"/>
    <n v="60"/>
    <n v="296.14999999999998"/>
    <n v="0.49844315408566858"/>
    <x v="0"/>
    <d v="2024-07-05T00:00:00"/>
    <n v="3"/>
    <x v="0"/>
    <n v="3"/>
    <n v="0"/>
  </r>
  <r>
    <s v="ORD-100895"/>
    <x v="181"/>
    <x v="0"/>
    <d v="2024-07-01T00:00:00"/>
    <n v="7"/>
    <s v="CUST-01726"/>
    <x v="1"/>
    <x v="1"/>
    <s v="GJ"/>
    <x v="1"/>
    <s v="Surat"/>
    <x v="3"/>
    <s v="P202"/>
    <s v="Argan Shampoo"/>
    <x v="6"/>
    <n v="2"/>
    <n v="449"/>
    <n v="0"/>
    <n v="898"/>
    <n v="0"/>
    <n v="898"/>
    <n v="148"/>
    <n v="296"/>
    <n v="60"/>
    <n v="542"/>
    <n v="0.60356347438752789"/>
    <x v="0"/>
    <d v="2024-07-03T00:00:00"/>
    <n v="1"/>
    <x v="1"/>
    <n v="5"/>
    <n v="0"/>
  </r>
  <r>
    <s v="ORD-100896"/>
    <x v="181"/>
    <x v="0"/>
    <d v="2024-07-01T00:00:00"/>
    <n v="7"/>
    <s v="CUST-00779"/>
    <x v="0"/>
    <x v="2"/>
    <s v="MH"/>
    <x v="1"/>
    <s v="Mumbai"/>
    <x v="0"/>
    <s v="P203"/>
    <s v="Keratin Hair Mask"/>
    <x v="6"/>
    <n v="1"/>
    <n v="549"/>
    <n v="0.1"/>
    <n v="549"/>
    <n v="54.900000000000006"/>
    <n v="494.1"/>
    <n v="170"/>
    <n v="170"/>
    <n v="60"/>
    <n v="264.10000000000002"/>
    <n v="0.53450718478040882"/>
    <x v="4"/>
    <d v="2024-07-03T00:00:00"/>
    <n v="1"/>
    <x v="1"/>
    <n v="5"/>
    <n v="0"/>
  </r>
  <r>
    <s v="ORD-100897"/>
    <x v="181"/>
    <x v="0"/>
    <d v="2024-07-01T00:00:00"/>
    <n v="7"/>
    <s v="CUST-00278"/>
    <x v="1"/>
    <x v="8"/>
    <s v="AP"/>
    <x v="3"/>
    <s v="Vijayawada"/>
    <x v="4"/>
    <s v="P301"/>
    <s v="Cotton Oversized T-Shirt"/>
    <x v="1"/>
    <n v="1"/>
    <n v="799"/>
    <n v="0"/>
    <n v="799"/>
    <n v="0"/>
    <n v="799"/>
    <n v="320"/>
    <n v="320"/>
    <n v="60"/>
    <n v="419"/>
    <n v="0.52440550688360454"/>
    <x v="0"/>
    <d v="2024-07-06T00:00:00"/>
    <n v="4"/>
    <x v="0"/>
    <n v="4"/>
    <n v="0"/>
  </r>
  <r>
    <s v="ORD-100898"/>
    <x v="182"/>
    <x v="0"/>
    <d v="2024-07-01T00:00:00"/>
    <n v="7"/>
    <s v="CUST-00112"/>
    <x v="0"/>
    <x v="0"/>
    <s v="RJ"/>
    <x v="0"/>
    <s v="Udaipur"/>
    <x v="1"/>
    <s v="P401"/>
    <s v="Running Shoes"/>
    <x v="5"/>
    <n v="1"/>
    <n v="2999"/>
    <n v="0.15"/>
    <n v="2999"/>
    <n v="449.84999999999997"/>
    <n v="2549.15"/>
    <n v="1440"/>
    <n v="1440"/>
    <n v="60"/>
    <n v="1049.1500000000001"/>
    <n v="0.41156856206970954"/>
    <x v="3"/>
    <d v="2024-07-07T00:00:00"/>
    <n v="4"/>
    <x v="0"/>
    <m/>
    <n v="0"/>
  </r>
  <r>
    <s v="ORD-100899"/>
    <x v="182"/>
    <x v="0"/>
    <d v="2024-07-01T00:00:00"/>
    <n v="7"/>
    <s v="CUST-00816"/>
    <x v="0"/>
    <x v="15"/>
    <s v="HR"/>
    <x v="0"/>
    <s v="Gurugram"/>
    <x v="3"/>
    <s v="P105"/>
    <s v="Retinol Night Cream"/>
    <x v="3"/>
    <n v="1"/>
    <n v="799"/>
    <n v="0.1"/>
    <n v="799"/>
    <n v="79.900000000000006"/>
    <n v="719.1"/>
    <n v="216"/>
    <n v="216"/>
    <n v="120"/>
    <n v="383.1"/>
    <n v="0.53274926992073424"/>
    <x v="1"/>
    <d v="2024-07-04T00:00:00"/>
    <n v="1"/>
    <x v="1"/>
    <n v="4"/>
    <n v="1"/>
  </r>
  <r>
    <s v="ORD-100900"/>
    <x v="182"/>
    <x v="0"/>
    <d v="2024-07-01T00:00:00"/>
    <n v="7"/>
    <s v="CUST-00365"/>
    <x v="0"/>
    <x v="12"/>
    <s v="BR"/>
    <x v="2"/>
    <s v="Patna"/>
    <x v="4"/>
    <s v="P601"/>
    <s v="Wireless Earbuds"/>
    <x v="2"/>
    <n v="4"/>
    <n v="1999"/>
    <n v="0.35"/>
    <n v="7996"/>
    <n v="2798.6"/>
    <n v="5197.3999999999996"/>
    <n v="1239"/>
    <n v="4956"/>
    <n v="60"/>
    <n v="181.39999999999964"/>
    <n v="3.4902066417824229E-2"/>
    <x v="3"/>
    <d v="2024-07-11T00:00:00"/>
    <n v="8"/>
    <x v="2"/>
    <n v="3"/>
    <n v="0"/>
  </r>
  <r>
    <s v="ORD-100901"/>
    <x v="182"/>
    <x v="0"/>
    <d v="2024-07-01T00:00:00"/>
    <n v="7"/>
    <s v="CUST-00442"/>
    <x v="0"/>
    <x v="21"/>
    <s v="TG"/>
    <x v="3"/>
    <s v="Hyderabad"/>
    <x v="2"/>
    <s v="P103"/>
    <s v="Niacinamide Toner"/>
    <x v="3"/>
    <n v="1"/>
    <n v="399"/>
    <n v="0.15"/>
    <n v="399"/>
    <n v="59.849999999999994"/>
    <n v="339.15"/>
    <n v="112"/>
    <n v="112"/>
    <n v="60"/>
    <n v="167.14999999999998"/>
    <n v="0.49284977148754233"/>
    <x v="1"/>
    <d v="2024-07-08T00:00:00"/>
    <n v="5"/>
    <x v="2"/>
    <n v="4"/>
    <n v="0"/>
  </r>
  <r>
    <s v="ORD-100902"/>
    <x v="183"/>
    <x v="0"/>
    <d v="2024-07-01T00:00:00"/>
    <n v="7"/>
    <s v="CUST-00416"/>
    <x v="1"/>
    <x v="0"/>
    <s v="RJ"/>
    <x v="0"/>
    <s v="Jaipur"/>
    <x v="4"/>
    <s v="P102"/>
    <s v="Sunscreen SPF 50"/>
    <x v="3"/>
    <n v="1"/>
    <n v="449"/>
    <n v="0.15"/>
    <n v="449"/>
    <n v="67.349999999999994"/>
    <n v="381.65"/>
    <n v="144"/>
    <n v="144"/>
    <n v="60"/>
    <n v="177.64999999999998"/>
    <n v="0.465478841870824"/>
    <x v="0"/>
    <d v="2024-07-09T00:00:00"/>
    <n v="5"/>
    <x v="2"/>
    <m/>
    <n v="0"/>
  </r>
  <r>
    <s v="ORD-100903"/>
    <x v="183"/>
    <x v="0"/>
    <d v="2024-07-01T00:00:00"/>
    <n v="7"/>
    <s v="CUST-03108"/>
    <x v="0"/>
    <x v="0"/>
    <s v="RJ"/>
    <x v="0"/>
    <s v="Jaipur"/>
    <x v="4"/>
    <s v="P602"/>
    <s v="Fast Charger 33W"/>
    <x v="2"/>
    <n v="1"/>
    <n v="899"/>
    <n v="0.05"/>
    <n v="899"/>
    <n v="44.95"/>
    <n v="854.05"/>
    <n v="494"/>
    <n v="494"/>
    <n v="60"/>
    <n v="300.04999999999995"/>
    <n v="0.35132603477548152"/>
    <x v="0"/>
    <d v="2024-07-09T00:00:00"/>
    <n v="5"/>
    <x v="2"/>
    <n v="3"/>
    <n v="0"/>
  </r>
  <r>
    <s v="ORD-100904"/>
    <x v="183"/>
    <x v="0"/>
    <d v="2024-07-01T00:00:00"/>
    <n v="7"/>
    <s v="CUST-01021"/>
    <x v="1"/>
    <x v="2"/>
    <s v="MH"/>
    <x v="1"/>
    <s v="Nagpur"/>
    <x v="2"/>
    <s v="P503"/>
    <s v="Scented Candle Set"/>
    <x v="4"/>
    <n v="1"/>
    <n v="699"/>
    <n v="0.2"/>
    <n v="699"/>
    <n v="139.80000000000001"/>
    <n v="559.20000000000005"/>
    <n v="245"/>
    <n v="245"/>
    <n v="60"/>
    <n v="254.20000000000005"/>
    <n v="0.45457796852646642"/>
    <x v="0"/>
    <d v="2024-07-07T00:00:00"/>
    <n v="3"/>
    <x v="0"/>
    <n v="4"/>
    <n v="0"/>
  </r>
  <r>
    <s v="ORD-100905"/>
    <x v="183"/>
    <x v="0"/>
    <d v="2024-07-01T00:00:00"/>
    <n v="7"/>
    <s v="CUST-01538"/>
    <x v="1"/>
    <x v="11"/>
    <s v="KA"/>
    <x v="3"/>
    <s v="Mysuru"/>
    <x v="0"/>
    <s v="P503"/>
    <s v="Scented Candle Set"/>
    <x v="4"/>
    <n v="2"/>
    <n v="699"/>
    <n v="0.2"/>
    <n v="1398"/>
    <n v="279.60000000000002"/>
    <n v="1118.4000000000001"/>
    <n v="245"/>
    <n v="490"/>
    <n v="60"/>
    <n v="568.40000000000009"/>
    <n v="0.50822603719599435"/>
    <x v="3"/>
    <d v="2024-07-07T00:00:00"/>
    <n v="3"/>
    <x v="0"/>
    <n v="5"/>
    <n v="0"/>
  </r>
  <r>
    <s v="ORD-100906"/>
    <x v="183"/>
    <x v="0"/>
    <d v="2024-07-01T00:00:00"/>
    <n v="7"/>
    <s v="CUST-00494"/>
    <x v="1"/>
    <x v="8"/>
    <s v="AP"/>
    <x v="3"/>
    <s v="Visakhapatnam"/>
    <x v="0"/>
    <s v="P102"/>
    <s v="Sunscreen SPF 50"/>
    <x v="3"/>
    <n v="2"/>
    <n v="449"/>
    <n v="0.1"/>
    <n v="898"/>
    <n v="89.800000000000011"/>
    <n v="808.2"/>
    <n v="144"/>
    <n v="288"/>
    <n v="60"/>
    <n v="460.20000000000005"/>
    <n v="0.56941351150705277"/>
    <x v="0"/>
    <d v="2024-07-08T00:00:00"/>
    <n v="4"/>
    <x v="0"/>
    <n v="5"/>
    <n v="0"/>
  </r>
  <r>
    <s v="ORD-100907"/>
    <x v="184"/>
    <x v="0"/>
    <d v="2024-07-01T00:00:00"/>
    <n v="7"/>
    <s v="CUST-00493"/>
    <x v="0"/>
    <x v="13"/>
    <s v="MP"/>
    <x v="1"/>
    <s v="Bhopal"/>
    <x v="0"/>
    <s v="P403"/>
    <s v="Kolhapuri Sandals"/>
    <x v="5"/>
    <n v="1"/>
    <n v="999"/>
    <n v="0.05"/>
    <n v="999"/>
    <n v="49.95"/>
    <n v="949.05"/>
    <n v="400"/>
    <n v="400"/>
    <n v="60"/>
    <n v="489.04999999999995"/>
    <n v="0.5153047784626732"/>
    <x v="2"/>
    <d v="2024-07-09T00:00:00"/>
    <n v="4"/>
    <x v="0"/>
    <n v="3"/>
    <n v="0"/>
  </r>
  <r>
    <s v="ORD-100908"/>
    <x v="184"/>
    <x v="0"/>
    <d v="2024-07-01T00:00:00"/>
    <n v="7"/>
    <s v="CUST-00667"/>
    <x v="1"/>
    <x v="11"/>
    <s v="KA"/>
    <x v="3"/>
    <s v="Mysuru"/>
    <x v="0"/>
    <s v="P602"/>
    <s v="Fast Charger 33W"/>
    <x v="2"/>
    <n v="1"/>
    <n v="899"/>
    <n v="0.05"/>
    <n v="899"/>
    <n v="44.95"/>
    <n v="854.05"/>
    <n v="494"/>
    <n v="494"/>
    <n v="60"/>
    <n v="300.04999999999995"/>
    <n v="0.35132603477548152"/>
    <x v="1"/>
    <d v="2024-07-08T00:00:00"/>
    <n v="3"/>
    <x v="0"/>
    <n v="4"/>
    <n v="0"/>
  </r>
  <r>
    <s v="ORD-100909"/>
    <x v="185"/>
    <x v="0"/>
    <d v="2024-07-01T00:00:00"/>
    <n v="7"/>
    <s v="CUST-00842"/>
    <x v="0"/>
    <x v="6"/>
    <s v="DL"/>
    <x v="0"/>
    <s v="New Delhi"/>
    <x v="3"/>
    <s v="P102"/>
    <s v="Sunscreen SPF 50"/>
    <x v="3"/>
    <n v="1"/>
    <n v="449"/>
    <n v="0"/>
    <n v="449"/>
    <n v="0"/>
    <n v="449"/>
    <n v="144"/>
    <n v="144"/>
    <n v="60"/>
    <n v="245"/>
    <n v="0.54565701559020041"/>
    <x v="0"/>
    <d v="2024-07-08T00:00:00"/>
    <n v="2"/>
    <x v="1"/>
    <n v="4"/>
    <n v="0"/>
  </r>
  <r>
    <s v="ORD-100910"/>
    <x v="185"/>
    <x v="0"/>
    <d v="2024-07-01T00:00:00"/>
    <n v="7"/>
    <s v="CUST-01678"/>
    <x v="0"/>
    <x v="12"/>
    <s v="BR"/>
    <x v="2"/>
    <s v="Patna"/>
    <x v="2"/>
    <s v="P402"/>
    <s v="Casual Sneakers"/>
    <x v="5"/>
    <n v="1"/>
    <n v="2199"/>
    <n v="0.1"/>
    <n v="2199"/>
    <n v="219.9"/>
    <n v="1979.1"/>
    <n v="1034"/>
    <n v="1034"/>
    <n v="120"/>
    <n v="825.09999999999991"/>
    <n v="0.41690667475114951"/>
    <x v="2"/>
    <d v="2024-07-12T00:00:00"/>
    <n v="6"/>
    <x v="2"/>
    <n v="2"/>
    <n v="1"/>
  </r>
  <r>
    <s v="ORD-100911"/>
    <x v="185"/>
    <x v="0"/>
    <d v="2024-07-01T00:00:00"/>
    <n v="7"/>
    <s v="CUST-01585"/>
    <x v="1"/>
    <x v="1"/>
    <s v="GJ"/>
    <x v="1"/>
    <s v="Surat"/>
    <x v="3"/>
    <s v="P104"/>
    <s v="Hydrating Face Wash"/>
    <x v="3"/>
    <n v="3"/>
    <n v="299"/>
    <n v="0"/>
    <n v="897"/>
    <n v="0"/>
    <n v="897"/>
    <n v="90"/>
    <n v="270"/>
    <n v="60"/>
    <n v="567"/>
    <n v="0.63210702341137126"/>
    <x v="1"/>
    <d v="2024-07-07T00:00:00"/>
    <n v="1"/>
    <x v="1"/>
    <n v="4"/>
    <n v="0"/>
  </r>
  <r>
    <s v="ORD-100912"/>
    <x v="185"/>
    <x v="0"/>
    <d v="2024-07-01T00:00:00"/>
    <n v="7"/>
    <s v="CUST-02806"/>
    <x v="0"/>
    <x v="2"/>
    <s v="MH"/>
    <x v="1"/>
    <s v="Nagpur"/>
    <x v="0"/>
    <s v="P501"/>
    <s v="Copper Water Bottle"/>
    <x v="4"/>
    <n v="1"/>
    <n v="899"/>
    <n v="0.05"/>
    <n v="899"/>
    <n v="44.95"/>
    <n v="854.05"/>
    <n v="378"/>
    <n v="378"/>
    <n v="60"/>
    <n v="416.04999999999995"/>
    <n v="0.48714946431707745"/>
    <x v="0"/>
    <d v="2024-07-09T00:00:00"/>
    <n v="3"/>
    <x v="0"/>
    <m/>
    <n v="0"/>
  </r>
  <r>
    <s v="ORD-100913"/>
    <x v="185"/>
    <x v="0"/>
    <d v="2024-07-01T00:00:00"/>
    <n v="7"/>
    <s v="CUST-00580"/>
    <x v="0"/>
    <x v="3"/>
    <s v="OD"/>
    <x v="2"/>
    <s v="Bhubaneswar"/>
    <x v="2"/>
    <s v="P602"/>
    <s v="Fast Charger 33W"/>
    <x v="2"/>
    <n v="2"/>
    <n v="899"/>
    <n v="0"/>
    <n v="1798"/>
    <n v="0"/>
    <n v="1798"/>
    <n v="494"/>
    <n v="988"/>
    <n v="60"/>
    <n v="750"/>
    <n v="0.41713014460511677"/>
    <x v="0"/>
    <d v="2024-07-11T00:00:00"/>
    <n v="5"/>
    <x v="2"/>
    <n v="3"/>
    <n v="0"/>
  </r>
  <r>
    <s v="ORD-100914"/>
    <x v="185"/>
    <x v="0"/>
    <d v="2024-07-01T00:00:00"/>
    <n v="7"/>
    <s v="CUST-00473"/>
    <x v="0"/>
    <x v="11"/>
    <s v="KA"/>
    <x v="3"/>
    <s v="Mysuru"/>
    <x v="0"/>
    <s v="P304"/>
    <s v="Denim Jacket"/>
    <x v="1"/>
    <n v="2"/>
    <n v="2499"/>
    <n v="0.1"/>
    <n v="4998"/>
    <n v="499.8"/>
    <n v="4498.2"/>
    <n v="1125"/>
    <n v="2250"/>
    <n v="60"/>
    <n v="2188.1999999999998"/>
    <n v="0.48646125116713351"/>
    <x v="2"/>
    <d v="2024-07-08T00:00:00"/>
    <n v="2"/>
    <x v="1"/>
    <n v="5"/>
    <n v="0"/>
  </r>
  <r>
    <s v="ORD-100915"/>
    <x v="185"/>
    <x v="0"/>
    <d v="2024-07-01T00:00:00"/>
    <n v="7"/>
    <s v="CUST-03058"/>
    <x v="0"/>
    <x v="8"/>
    <s v="AP"/>
    <x v="3"/>
    <s v="Visakhapatnam"/>
    <x v="3"/>
    <s v="P202"/>
    <s v="Argan Shampoo"/>
    <x v="6"/>
    <n v="3"/>
    <n v="449"/>
    <n v="0"/>
    <n v="1347"/>
    <n v="0"/>
    <n v="1347"/>
    <n v="148"/>
    <n v="444"/>
    <n v="60"/>
    <n v="843"/>
    <n v="0.62583518930957682"/>
    <x v="3"/>
    <d v="2024-07-09T00:00:00"/>
    <n v="3"/>
    <x v="0"/>
    <m/>
    <n v="0"/>
  </r>
  <r>
    <s v="ORD-100916"/>
    <x v="186"/>
    <x v="0"/>
    <d v="2024-07-01T00:00:00"/>
    <n v="7"/>
    <s v="CUST-00995"/>
    <x v="0"/>
    <x v="15"/>
    <s v="HR"/>
    <x v="0"/>
    <s v="Gurugram"/>
    <x v="4"/>
    <s v="P201"/>
    <s v="Onion Hair Oil"/>
    <x v="6"/>
    <n v="4"/>
    <n v="349"/>
    <n v="0.4"/>
    <n v="1396"/>
    <n v="558.4"/>
    <n v="837.6"/>
    <n v="105"/>
    <n v="420"/>
    <n v="60"/>
    <n v="357.6"/>
    <n v="0.42693409742120347"/>
    <x v="0"/>
    <d v="2024-07-11T00:00:00"/>
    <n v="4"/>
    <x v="0"/>
    <n v="3"/>
    <n v="0"/>
  </r>
  <r>
    <s v="ORD-100917"/>
    <x v="186"/>
    <x v="0"/>
    <d v="2024-07-01T00:00:00"/>
    <n v="7"/>
    <s v="CUST-01063"/>
    <x v="0"/>
    <x v="6"/>
    <s v="DL"/>
    <x v="0"/>
    <s v="New Delhi"/>
    <x v="0"/>
    <s v="P303"/>
    <s v="Joggers"/>
    <x v="1"/>
    <n v="1"/>
    <n v="1199"/>
    <n v="0.1"/>
    <n v="1199"/>
    <n v="119.9"/>
    <n v="1079.0999999999999"/>
    <n v="492"/>
    <n v="492"/>
    <n v="60"/>
    <n v="527.09999999999991"/>
    <n v="0.48846260772866273"/>
    <x v="0"/>
    <d v="2024-07-09T00:00:00"/>
    <n v="2"/>
    <x v="1"/>
    <m/>
    <n v="0"/>
  </r>
  <r>
    <s v="ORD-100918"/>
    <x v="186"/>
    <x v="0"/>
    <d v="2024-07-01T00:00:00"/>
    <n v="7"/>
    <s v="CUST-01080"/>
    <x v="0"/>
    <x v="13"/>
    <s v="MP"/>
    <x v="1"/>
    <s v="Indore"/>
    <x v="4"/>
    <s v="P703"/>
    <s v="Green Tea (100 bags)"/>
    <x v="0"/>
    <n v="1"/>
    <n v="399"/>
    <n v="0.35"/>
    <n v="399"/>
    <n v="139.64999999999998"/>
    <n v="259.35000000000002"/>
    <n v="128"/>
    <n v="128"/>
    <n v="60"/>
    <n v="71.350000000000023"/>
    <n v="0.27511085405822255"/>
    <x v="0"/>
    <d v="2024-07-10T00:00:00"/>
    <n v="3"/>
    <x v="0"/>
    <m/>
    <n v="0"/>
  </r>
  <r>
    <s v="ORD-100919"/>
    <x v="186"/>
    <x v="0"/>
    <d v="2024-07-01T00:00:00"/>
    <n v="7"/>
    <s v="CUST-00811"/>
    <x v="0"/>
    <x v="13"/>
    <s v="MP"/>
    <x v="1"/>
    <s v="Indore"/>
    <x v="0"/>
    <s v="P102"/>
    <s v="Sunscreen SPF 50"/>
    <x v="3"/>
    <n v="1"/>
    <n v="449"/>
    <n v="0.05"/>
    <n v="449"/>
    <n v="22.450000000000003"/>
    <n v="426.55"/>
    <n v="144"/>
    <n v="144"/>
    <n v="60"/>
    <n v="222.55"/>
    <n v="0.52174422693705313"/>
    <x v="0"/>
    <d v="2024-07-10T00:00:00"/>
    <n v="3"/>
    <x v="0"/>
    <n v="4"/>
    <n v="0"/>
  </r>
  <r>
    <s v="ORD-100920"/>
    <x v="186"/>
    <x v="0"/>
    <d v="2024-07-01T00:00:00"/>
    <n v="7"/>
    <s v="CUST-01030"/>
    <x v="1"/>
    <x v="18"/>
    <s v="WB"/>
    <x v="2"/>
    <s v="Kolkata"/>
    <x v="4"/>
    <s v="P203"/>
    <s v="Keratin Hair Mask"/>
    <x v="6"/>
    <n v="1"/>
    <n v="549"/>
    <n v="0.2"/>
    <n v="549"/>
    <n v="109.80000000000001"/>
    <n v="439.2"/>
    <n v="170"/>
    <n v="170"/>
    <n v="60"/>
    <n v="209.2"/>
    <n v="0.47632058287795992"/>
    <x v="3"/>
    <d v="2024-07-11T00:00:00"/>
    <n v="4"/>
    <x v="0"/>
    <n v="4"/>
    <n v="0"/>
  </r>
  <r>
    <s v="ORD-100921"/>
    <x v="186"/>
    <x v="0"/>
    <d v="2024-07-01T00:00:00"/>
    <n v="7"/>
    <s v="CUST-01313"/>
    <x v="0"/>
    <x v="18"/>
    <s v="WB"/>
    <x v="2"/>
    <s v="Kolkata"/>
    <x v="3"/>
    <s v="P202"/>
    <s v="Argan Shampoo"/>
    <x v="6"/>
    <n v="1"/>
    <n v="449"/>
    <n v="0.1"/>
    <n v="449"/>
    <n v="44.900000000000006"/>
    <n v="404.1"/>
    <n v="148"/>
    <n v="148"/>
    <n v="60"/>
    <n v="196.10000000000002"/>
    <n v="0.48527592180153428"/>
    <x v="2"/>
    <d v="2024-07-10T00:00:00"/>
    <n v="3"/>
    <x v="0"/>
    <n v="4"/>
    <n v="0"/>
  </r>
  <r>
    <s v="ORD-100922"/>
    <x v="186"/>
    <x v="0"/>
    <d v="2024-07-01T00:00:00"/>
    <n v="7"/>
    <s v="CUST-01740"/>
    <x v="0"/>
    <x v="2"/>
    <s v="MH"/>
    <x v="1"/>
    <s v="Mumbai"/>
    <x v="4"/>
    <s v="P701"/>
    <s v="Ashwagandha Capsules"/>
    <x v="0"/>
    <n v="1"/>
    <n v="499"/>
    <n v="0"/>
    <n v="499"/>
    <n v="0"/>
    <n v="499"/>
    <n v="150"/>
    <n v="150"/>
    <n v="60"/>
    <n v="289"/>
    <n v="0.57915831663326656"/>
    <x v="0"/>
    <d v="2024-07-08T00:00:00"/>
    <n v="1"/>
    <x v="1"/>
    <n v="4"/>
    <n v="0"/>
  </r>
  <r>
    <s v="ORD-100923"/>
    <x v="186"/>
    <x v="0"/>
    <d v="2024-07-01T00:00:00"/>
    <n v="7"/>
    <s v="CUST-01322"/>
    <x v="0"/>
    <x v="21"/>
    <s v="TG"/>
    <x v="3"/>
    <s v="Hyderabad"/>
    <x v="4"/>
    <s v="P301"/>
    <s v="Cotton Oversized T-Shirt"/>
    <x v="1"/>
    <n v="1"/>
    <n v="799"/>
    <n v="0.05"/>
    <n v="799"/>
    <n v="39.950000000000003"/>
    <n v="759.05"/>
    <n v="320"/>
    <n v="320"/>
    <n v="60"/>
    <n v="379.04999999999995"/>
    <n v="0.49937421777221525"/>
    <x v="0"/>
    <d v="2024-07-09T00:00:00"/>
    <n v="2"/>
    <x v="1"/>
    <n v="5"/>
    <n v="0"/>
  </r>
  <r>
    <s v="ORD-100924"/>
    <x v="186"/>
    <x v="0"/>
    <d v="2024-07-01T00:00:00"/>
    <n v="7"/>
    <s v="CUST-00809"/>
    <x v="1"/>
    <x v="3"/>
    <s v="OD"/>
    <x v="2"/>
    <s v="Bhubaneswar"/>
    <x v="3"/>
    <s v="P104"/>
    <s v="Hydrating Face Wash"/>
    <x v="3"/>
    <n v="1"/>
    <n v="299"/>
    <n v="0"/>
    <n v="299"/>
    <n v="0"/>
    <n v="299"/>
    <n v="90"/>
    <n v="90"/>
    <n v="60"/>
    <n v="149"/>
    <n v="0.49832775919732442"/>
    <x v="0"/>
    <d v="2024-07-12T00:00:00"/>
    <n v="5"/>
    <x v="2"/>
    <n v="5"/>
    <n v="0"/>
  </r>
  <r>
    <s v="ORD-100925"/>
    <x v="186"/>
    <x v="0"/>
    <d v="2024-07-01T00:00:00"/>
    <n v="7"/>
    <s v="CUST-00744"/>
    <x v="0"/>
    <x v="14"/>
    <s v="KL"/>
    <x v="3"/>
    <s v="Thiruvananthapuram"/>
    <x v="4"/>
    <s v="P202"/>
    <s v="Argan Shampoo"/>
    <x v="6"/>
    <n v="1"/>
    <n v="449"/>
    <n v="0.05"/>
    <n v="449"/>
    <n v="22.450000000000003"/>
    <n v="426.55"/>
    <n v="148"/>
    <n v="148"/>
    <n v="60"/>
    <n v="218.55"/>
    <n v="0.51236666275934828"/>
    <x v="3"/>
    <d v="2024-07-13T00:00:00"/>
    <n v="6"/>
    <x v="2"/>
    <m/>
    <n v="0"/>
  </r>
  <r>
    <s v="ORD-100926"/>
    <x v="186"/>
    <x v="0"/>
    <d v="2024-07-01T00:00:00"/>
    <n v="7"/>
    <s v="CUST-01489"/>
    <x v="0"/>
    <x v="17"/>
    <s v="TN"/>
    <x v="3"/>
    <s v="Chennai"/>
    <x v="0"/>
    <s v="P603"/>
    <s v="Smartwatch Strap"/>
    <x v="2"/>
    <n v="1"/>
    <n v="499"/>
    <n v="0.1"/>
    <n v="499"/>
    <n v="49.900000000000006"/>
    <n v="449.1"/>
    <n v="200"/>
    <n v="200"/>
    <n v="60"/>
    <n v="189.10000000000002"/>
    <n v="0.42106435092407041"/>
    <x v="0"/>
    <d v="2024-07-10T00:00:00"/>
    <n v="3"/>
    <x v="0"/>
    <n v="4"/>
    <n v="0"/>
  </r>
  <r>
    <s v="ORD-100927"/>
    <x v="187"/>
    <x v="0"/>
    <d v="2024-07-01T00:00:00"/>
    <n v="7"/>
    <s v="CUST-01530"/>
    <x v="0"/>
    <x v="15"/>
    <s v="HR"/>
    <x v="0"/>
    <s v="Gurugram"/>
    <x v="3"/>
    <s v="P703"/>
    <s v="Green Tea (100 bags)"/>
    <x v="0"/>
    <n v="1"/>
    <n v="399"/>
    <n v="0.3"/>
    <n v="399"/>
    <n v="119.69999999999999"/>
    <n v="279.3"/>
    <n v="128"/>
    <n v="128"/>
    <n v="60"/>
    <n v="91.300000000000011"/>
    <n v="0.32688865019692093"/>
    <x v="0"/>
    <d v="2024-07-11T00:00:00"/>
    <n v="3"/>
    <x v="0"/>
    <n v="4"/>
    <n v="0"/>
  </r>
  <r>
    <s v="ORD-100928"/>
    <x v="187"/>
    <x v="0"/>
    <d v="2024-07-01T00:00:00"/>
    <n v="7"/>
    <s v="CUST-00541"/>
    <x v="1"/>
    <x v="6"/>
    <s v="DL"/>
    <x v="0"/>
    <s v="New Delhi"/>
    <x v="0"/>
    <s v="P101"/>
    <s v="Vitamin C Face Serum"/>
    <x v="3"/>
    <n v="1"/>
    <n v="599"/>
    <n v="0.15"/>
    <n v="599"/>
    <n v="89.85"/>
    <n v="509.15"/>
    <n v="180"/>
    <n v="180"/>
    <n v="60"/>
    <n v="269.14999999999998"/>
    <n v="0.52862614160856325"/>
    <x v="4"/>
    <d v="2024-07-10T00:00:00"/>
    <n v="2"/>
    <x v="1"/>
    <m/>
    <n v="0"/>
  </r>
  <r>
    <s v="ORD-100929"/>
    <x v="187"/>
    <x v="0"/>
    <d v="2024-07-01T00:00:00"/>
    <n v="7"/>
    <s v="CUST-01089"/>
    <x v="0"/>
    <x v="12"/>
    <s v="BR"/>
    <x v="2"/>
    <s v="Patna"/>
    <x v="3"/>
    <s v="P104"/>
    <s v="Hydrating Face Wash"/>
    <x v="3"/>
    <n v="1"/>
    <n v="299"/>
    <n v="0"/>
    <n v="299"/>
    <n v="0"/>
    <n v="299"/>
    <n v="90"/>
    <n v="90"/>
    <n v="120"/>
    <n v="89"/>
    <n v="0.2976588628762542"/>
    <x v="3"/>
    <d v="2024-07-12T00:00:00"/>
    <n v="4"/>
    <x v="0"/>
    <m/>
    <n v="1"/>
  </r>
  <r>
    <s v="ORD-100930"/>
    <x v="187"/>
    <x v="0"/>
    <d v="2024-07-01T00:00:00"/>
    <n v="7"/>
    <s v="CUST-00335"/>
    <x v="0"/>
    <x v="1"/>
    <s v="GJ"/>
    <x v="1"/>
    <s v="Surat"/>
    <x v="4"/>
    <s v="P704"/>
    <s v="Multivitamin Gummies"/>
    <x v="0"/>
    <n v="1"/>
    <n v="699"/>
    <n v="0.25"/>
    <n v="699"/>
    <n v="174.75"/>
    <n v="524.25"/>
    <n v="238"/>
    <n v="238"/>
    <n v="60"/>
    <n v="226.25"/>
    <n v="0.43156890796375774"/>
    <x v="0"/>
    <d v="2024-07-11T00:00:00"/>
    <n v="3"/>
    <x v="0"/>
    <n v="4"/>
    <n v="0"/>
  </r>
  <r>
    <s v="ORD-100931"/>
    <x v="187"/>
    <x v="0"/>
    <d v="2024-07-01T00:00:00"/>
    <n v="7"/>
    <s v="CUST-00152"/>
    <x v="0"/>
    <x v="18"/>
    <s v="WB"/>
    <x v="2"/>
    <s v="Kolkata"/>
    <x v="4"/>
    <s v="P102"/>
    <s v="Sunscreen SPF 50"/>
    <x v="3"/>
    <n v="2"/>
    <n v="449"/>
    <n v="0.05"/>
    <n v="898"/>
    <n v="44.900000000000006"/>
    <n v="853.1"/>
    <n v="144"/>
    <n v="288"/>
    <n v="60"/>
    <n v="505.1"/>
    <n v="0.59207595826983939"/>
    <x v="0"/>
    <d v="2024-07-12T00:00:00"/>
    <n v="4"/>
    <x v="0"/>
    <n v="4"/>
    <n v="0"/>
  </r>
  <r>
    <s v="ORD-100932"/>
    <x v="187"/>
    <x v="0"/>
    <d v="2024-07-01T00:00:00"/>
    <n v="7"/>
    <s v="CUST-00606"/>
    <x v="1"/>
    <x v="2"/>
    <s v="MH"/>
    <x v="1"/>
    <s v="Nagpur"/>
    <x v="3"/>
    <s v="P105"/>
    <s v="Retinol Night Cream"/>
    <x v="3"/>
    <n v="1"/>
    <n v="799"/>
    <n v="0.1"/>
    <n v="799"/>
    <n v="79.900000000000006"/>
    <n v="719.1"/>
    <n v="216"/>
    <n v="216"/>
    <n v="60"/>
    <n v="443.1"/>
    <n v="0.61618690029203171"/>
    <x v="1"/>
    <d v="2024-07-10T00:00:00"/>
    <n v="2"/>
    <x v="1"/>
    <n v="4"/>
    <n v="0"/>
  </r>
  <r>
    <s v="ORD-100933"/>
    <x v="187"/>
    <x v="0"/>
    <d v="2024-07-01T00:00:00"/>
    <n v="7"/>
    <s v="CUST-00432"/>
    <x v="1"/>
    <x v="21"/>
    <s v="TG"/>
    <x v="3"/>
    <s v="Hyderabad"/>
    <x v="0"/>
    <s v="P302"/>
    <s v="Linen Kurta"/>
    <x v="1"/>
    <n v="1"/>
    <n v="1499"/>
    <n v="0.3"/>
    <n v="1499"/>
    <n v="449.7"/>
    <n v="1049.3"/>
    <n v="630"/>
    <n v="630"/>
    <n v="60"/>
    <n v="359.29999999999995"/>
    <n v="0.34241875536071664"/>
    <x v="0"/>
    <d v="2024-07-09T00:00:00"/>
    <n v="1"/>
    <x v="1"/>
    <n v="5"/>
    <n v="0"/>
  </r>
  <r>
    <s v="ORD-100934"/>
    <x v="187"/>
    <x v="0"/>
    <d v="2024-07-01T00:00:00"/>
    <n v="7"/>
    <s v="CUST-02124"/>
    <x v="0"/>
    <x v="17"/>
    <s v="TN"/>
    <x v="3"/>
    <s v="Chennai"/>
    <x v="0"/>
    <s v="P103"/>
    <s v="Niacinamide Toner"/>
    <x v="3"/>
    <n v="1"/>
    <n v="399"/>
    <n v="0.3"/>
    <n v="399"/>
    <n v="119.69999999999999"/>
    <n v="279.3"/>
    <n v="112"/>
    <n v="112"/>
    <n v="60"/>
    <n v="107.30000000000001"/>
    <n v="0.38417472252058721"/>
    <x v="4"/>
    <d v="2024-07-09T00:00:00"/>
    <n v="1"/>
    <x v="1"/>
    <n v="3"/>
    <n v="0"/>
  </r>
  <r>
    <s v="ORD-100935"/>
    <x v="188"/>
    <x v="0"/>
    <d v="2024-07-01T00:00:00"/>
    <n v="7"/>
    <s v="CUST-00830"/>
    <x v="0"/>
    <x v="5"/>
    <s v="HP"/>
    <x v="0"/>
    <s v="Shimla"/>
    <x v="4"/>
    <s v="P602"/>
    <s v="Fast Charger 33W"/>
    <x v="2"/>
    <n v="1"/>
    <n v="899"/>
    <n v="0.15"/>
    <n v="899"/>
    <n v="134.85"/>
    <n v="764.15"/>
    <n v="494"/>
    <n v="494"/>
    <n v="60"/>
    <n v="210.14999999999998"/>
    <n v="0.27501145063142052"/>
    <x v="4"/>
    <d v="2024-07-13T00:00:00"/>
    <n v="4"/>
    <x v="0"/>
    <n v="4"/>
    <n v="0"/>
  </r>
  <r>
    <s v="ORD-100936"/>
    <x v="188"/>
    <x v="0"/>
    <d v="2024-07-01T00:00:00"/>
    <n v="7"/>
    <s v="CUST-02679"/>
    <x v="0"/>
    <x v="0"/>
    <s v="RJ"/>
    <x v="0"/>
    <s v="Udaipur"/>
    <x v="4"/>
    <s v="P201"/>
    <s v="Onion Hair Oil"/>
    <x v="6"/>
    <n v="2"/>
    <n v="349"/>
    <n v="0.3"/>
    <n v="698"/>
    <n v="209.4"/>
    <n v="488.6"/>
    <n v="105"/>
    <n v="210"/>
    <n v="60"/>
    <n v="218.60000000000002"/>
    <n v="0.44740073679901765"/>
    <x v="0"/>
    <d v="2024-07-12T00:00:00"/>
    <n v="3"/>
    <x v="0"/>
    <n v="4"/>
    <n v="0"/>
  </r>
  <r>
    <s v="ORD-100937"/>
    <x v="188"/>
    <x v="0"/>
    <d v="2024-07-01T00:00:00"/>
    <n v="7"/>
    <s v="CUST-01103"/>
    <x v="1"/>
    <x v="6"/>
    <s v="DL"/>
    <x v="0"/>
    <s v="New Delhi"/>
    <x v="4"/>
    <s v="P603"/>
    <s v="Smartwatch Strap"/>
    <x v="2"/>
    <n v="1"/>
    <n v="499"/>
    <n v="0.05"/>
    <n v="499"/>
    <n v="24.950000000000003"/>
    <n v="474.05"/>
    <n v="200"/>
    <n v="200"/>
    <n v="120"/>
    <n v="154.05000000000001"/>
    <n v="0.32496572091551523"/>
    <x v="1"/>
    <d v="2024-07-11T00:00:00"/>
    <n v="2"/>
    <x v="1"/>
    <n v="4"/>
    <n v="1"/>
  </r>
  <r>
    <s v="ORD-100938"/>
    <x v="188"/>
    <x v="0"/>
    <d v="2024-07-01T00:00:00"/>
    <n v="7"/>
    <s v="CUST-00960"/>
    <x v="1"/>
    <x v="18"/>
    <s v="WB"/>
    <x v="2"/>
    <s v="Kolkata"/>
    <x v="0"/>
    <s v="P703"/>
    <s v="Green Tea (100 bags)"/>
    <x v="0"/>
    <n v="2"/>
    <n v="399"/>
    <n v="0.35"/>
    <n v="798"/>
    <n v="279.29999999999995"/>
    <n v="518.70000000000005"/>
    <n v="128"/>
    <n v="256"/>
    <n v="60"/>
    <n v="202.70000000000005"/>
    <n v="0.39078465394254874"/>
    <x v="0"/>
    <d v="2024-07-12T00:00:00"/>
    <n v="3"/>
    <x v="0"/>
    <n v="3"/>
    <n v="0"/>
  </r>
  <r>
    <s v="ORD-100939"/>
    <x v="188"/>
    <x v="0"/>
    <d v="2024-07-01T00:00:00"/>
    <n v="7"/>
    <s v="CUST-00237"/>
    <x v="0"/>
    <x v="11"/>
    <s v="KA"/>
    <x v="3"/>
    <s v="Bengaluru"/>
    <x v="1"/>
    <s v="P404"/>
    <s v="Flip Flops"/>
    <x v="5"/>
    <n v="1"/>
    <n v="399"/>
    <n v="0.1"/>
    <n v="399"/>
    <n v="39.900000000000006"/>
    <n v="359.1"/>
    <n v="152"/>
    <n v="152"/>
    <n v="60"/>
    <n v="147.10000000000002"/>
    <n v="0.40963519910888335"/>
    <x v="4"/>
    <d v="2024-07-10T00:00:00"/>
    <n v="1"/>
    <x v="1"/>
    <n v="3"/>
    <n v="0"/>
  </r>
  <r>
    <s v="ORD-100940"/>
    <x v="188"/>
    <x v="0"/>
    <d v="2024-07-01T00:00:00"/>
    <n v="7"/>
    <s v="CUST-02275"/>
    <x v="0"/>
    <x v="17"/>
    <s v="TN"/>
    <x v="3"/>
    <s v="Coimbatore"/>
    <x v="3"/>
    <s v="P704"/>
    <s v="Multivitamin Gummies"/>
    <x v="0"/>
    <n v="1"/>
    <n v="699"/>
    <n v="0.15"/>
    <n v="699"/>
    <n v="104.85"/>
    <n v="594.15"/>
    <n v="238"/>
    <n v="238"/>
    <n v="60"/>
    <n v="296.14999999999998"/>
    <n v="0.49844315408566858"/>
    <x v="0"/>
    <d v="2024-07-11T00:00:00"/>
    <n v="2"/>
    <x v="1"/>
    <n v="4"/>
    <n v="0"/>
  </r>
  <r>
    <s v="ORD-100941"/>
    <x v="189"/>
    <x v="0"/>
    <d v="2024-07-01T00:00:00"/>
    <n v="7"/>
    <s v="CUST-00624"/>
    <x v="0"/>
    <x v="16"/>
    <s v="UP"/>
    <x v="0"/>
    <s v="Kanpur"/>
    <x v="3"/>
    <s v="P101"/>
    <s v="Vitamin C Face Serum"/>
    <x v="3"/>
    <n v="1"/>
    <n v="599"/>
    <n v="0.2"/>
    <n v="599"/>
    <n v="119.80000000000001"/>
    <n v="479.2"/>
    <n v="180"/>
    <n v="180"/>
    <n v="60"/>
    <n v="239.2"/>
    <n v="0.4991652754590985"/>
    <x v="3"/>
    <d v="2024-07-14T00:00:00"/>
    <n v="4"/>
    <x v="0"/>
    <m/>
    <n v="0"/>
  </r>
  <r>
    <s v="ORD-100942"/>
    <x v="189"/>
    <x v="0"/>
    <d v="2024-07-01T00:00:00"/>
    <n v="7"/>
    <s v="CUST-00037"/>
    <x v="0"/>
    <x v="12"/>
    <s v="BR"/>
    <x v="2"/>
    <s v="Patna"/>
    <x v="3"/>
    <s v="P201"/>
    <s v="Onion Hair Oil"/>
    <x v="6"/>
    <n v="1"/>
    <n v="349"/>
    <n v="0.3"/>
    <n v="349"/>
    <n v="104.7"/>
    <n v="244.3"/>
    <n v="105"/>
    <n v="105"/>
    <n v="60"/>
    <n v="79.300000000000011"/>
    <n v="0.32460090053213264"/>
    <x v="0"/>
    <d v="2024-07-13T00:00:00"/>
    <n v="3"/>
    <x v="0"/>
    <m/>
    <n v="0"/>
  </r>
  <r>
    <s v="ORD-100943"/>
    <x v="189"/>
    <x v="0"/>
    <d v="2024-07-01T00:00:00"/>
    <n v="7"/>
    <s v="CUST-00023"/>
    <x v="0"/>
    <x v="18"/>
    <s v="WB"/>
    <x v="2"/>
    <s v="Kolkata"/>
    <x v="2"/>
    <s v="P401"/>
    <s v="Running Shoes"/>
    <x v="5"/>
    <n v="1"/>
    <n v="2999"/>
    <n v="0.15"/>
    <n v="2999"/>
    <n v="449.84999999999997"/>
    <n v="2549.15"/>
    <n v="1440"/>
    <n v="1440"/>
    <n v="60"/>
    <n v="1049.1500000000001"/>
    <n v="0.41156856206970954"/>
    <x v="3"/>
    <d v="2024-07-13T00:00:00"/>
    <n v="3"/>
    <x v="0"/>
    <n v="4"/>
    <n v="0"/>
  </r>
  <r>
    <s v="ORD-100944"/>
    <x v="189"/>
    <x v="0"/>
    <d v="2024-07-01T00:00:00"/>
    <n v="7"/>
    <s v="CUST-00190"/>
    <x v="0"/>
    <x v="14"/>
    <s v="KL"/>
    <x v="3"/>
    <s v="Kochi"/>
    <x v="0"/>
    <s v="P303"/>
    <s v="Joggers"/>
    <x v="1"/>
    <n v="1"/>
    <n v="1199"/>
    <n v="0.05"/>
    <n v="1199"/>
    <n v="59.95"/>
    <n v="1139.05"/>
    <n v="492"/>
    <n v="492"/>
    <n v="60"/>
    <n v="587.04999999999995"/>
    <n v="0.51538562837452262"/>
    <x v="1"/>
    <d v="2024-07-13T00:00:00"/>
    <n v="3"/>
    <x v="0"/>
    <n v="4"/>
    <n v="0"/>
  </r>
  <r>
    <s v="ORD-100945"/>
    <x v="189"/>
    <x v="0"/>
    <d v="2024-07-01T00:00:00"/>
    <n v="7"/>
    <s v="CUST-01023"/>
    <x v="1"/>
    <x v="14"/>
    <s v="KL"/>
    <x v="3"/>
    <s v="Thiruvananthapuram"/>
    <x v="2"/>
    <s v="P203"/>
    <s v="Keratin Hair Mask"/>
    <x v="6"/>
    <n v="1"/>
    <n v="549"/>
    <n v="0.05"/>
    <n v="549"/>
    <n v="27.450000000000003"/>
    <n v="521.54999999999995"/>
    <n v="170"/>
    <n v="170"/>
    <n v="60"/>
    <n v="291.54999999999995"/>
    <n v="0.55900680663407143"/>
    <x v="0"/>
    <d v="2024-07-15T00:00:00"/>
    <n v="5"/>
    <x v="2"/>
    <n v="4"/>
    <n v="0"/>
  </r>
  <r>
    <s v="ORD-100946"/>
    <x v="190"/>
    <x v="0"/>
    <d v="2024-07-01T00:00:00"/>
    <n v="7"/>
    <s v="CUST-02714"/>
    <x v="0"/>
    <x v="12"/>
    <s v="BR"/>
    <x v="2"/>
    <s v="Patna"/>
    <x v="3"/>
    <s v="P102"/>
    <s v="Sunscreen SPF 50"/>
    <x v="3"/>
    <n v="1"/>
    <n v="449"/>
    <n v="0.1"/>
    <n v="449"/>
    <n v="44.900000000000006"/>
    <n v="404.1"/>
    <n v="144"/>
    <n v="144"/>
    <n v="60"/>
    <n v="200.10000000000002"/>
    <n v="0.4951744617668894"/>
    <x v="3"/>
    <d v="2024-07-14T00:00:00"/>
    <n v="3"/>
    <x v="0"/>
    <m/>
    <n v="0"/>
  </r>
  <r>
    <s v="ORD-100947"/>
    <x v="190"/>
    <x v="0"/>
    <d v="2024-07-01T00:00:00"/>
    <n v="7"/>
    <s v="CUST-00687"/>
    <x v="1"/>
    <x v="7"/>
    <s v="JH"/>
    <x v="2"/>
    <s v="Ranchi"/>
    <x v="4"/>
    <s v="P105"/>
    <s v="Retinol Night Cream"/>
    <x v="3"/>
    <n v="2"/>
    <n v="799"/>
    <n v="0.1"/>
    <n v="1598"/>
    <n v="159.80000000000001"/>
    <n v="1438.2"/>
    <n v="216"/>
    <n v="432"/>
    <n v="60"/>
    <n v="946.2"/>
    <n v="0.6579057154776804"/>
    <x v="0"/>
    <d v="2024-07-15T00:00:00"/>
    <n v="4"/>
    <x v="0"/>
    <n v="3"/>
    <n v="0"/>
  </r>
  <r>
    <s v="ORD-100948"/>
    <x v="190"/>
    <x v="0"/>
    <d v="2024-07-01T00:00:00"/>
    <n v="7"/>
    <s v="CUST-01082"/>
    <x v="0"/>
    <x v="18"/>
    <s v="WB"/>
    <x v="2"/>
    <s v="Kolkata"/>
    <x v="1"/>
    <s v="P303"/>
    <s v="Joggers"/>
    <x v="1"/>
    <n v="3"/>
    <n v="1199"/>
    <n v="0.1"/>
    <n v="3597"/>
    <n v="359.70000000000005"/>
    <n v="3237.3"/>
    <n v="492"/>
    <n v="1476"/>
    <n v="60"/>
    <n v="1701.3000000000002"/>
    <n v="0.52553053470484667"/>
    <x v="3"/>
    <d v="2024-07-15T00:00:00"/>
    <n v="4"/>
    <x v="0"/>
    <m/>
    <n v="0"/>
  </r>
  <r>
    <s v="ORD-100949"/>
    <x v="190"/>
    <x v="0"/>
    <d v="2024-07-01T00:00:00"/>
    <n v="7"/>
    <s v="CUST-00301"/>
    <x v="0"/>
    <x v="2"/>
    <s v="MH"/>
    <x v="1"/>
    <s v="Pune"/>
    <x v="3"/>
    <s v="P104"/>
    <s v="Hydrating Face Wash"/>
    <x v="3"/>
    <n v="1"/>
    <n v="299"/>
    <n v="0"/>
    <n v="299"/>
    <n v="0"/>
    <n v="299"/>
    <n v="90"/>
    <n v="90"/>
    <n v="60"/>
    <n v="149"/>
    <n v="0.49832775919732442"/>
    <x v="4"/>
    <d v="2024-07-15T00:00:00"/>
    <n v="4"/>
    <x v="0"/>
    <n v="3"/>
    <n v="0"/>
  </r>
  <r>
    <s v="ORD-100950"/>
    <x v="190"/>
    <x v="0"/>
    <d v="2024-07-01T00:00:00"/>
    <n v="7"/>
    <s v="CUST-00537"/>
    <x v="1"/>
    <x v="14"/>
    <s v="KL"/>
    <x v="3"/>
    <s v="Kochi"/>
    <x v="4"/>
    <s v="P305"/>
    <s v="Printed Saree"/>
    <x v="1"/>
    <n v="1"/>
    <n v="1999"/>
    <n v="0"/>
    <n v="1999"/>
    <n v="0"/>
    <n v="1999"/>
    <n v="880"/>
    <n v="880"/>
    <n v="60"/>
    <n v="1059"/>
    <n v="0.52976488244122066"/>
    <x v="2"/>
    <d v="2024-07-13T00:00:00"/>
    <n v="2"/>
    <x v="1"/>
    <m/>
    <n v="0"/>
  </r>
  <r>
    <s v="ORD-100951"/>
    <x v="190"/>
    <x v="0"/>
    <d v="2024-07-01T00:00:00"/>
    <n v="7"/>
    <s v="CUST-01323"/>
    <x v="0"/>
    <x v="17"/>
    <s v="TN"/>
    <x v="3"/>
    <s v="Chennai"/>
    <x v="4"/>
    <s v="P102"/>
    <s v="Sunscreen SPF 50"/>
    <x v="3"/>
    <n v="2"/>
    <n v="449"/>
    <n v="0.15"/>
    <n v="898"/>
    <n v="134.69999999999999"/>
    <n v="763.3"/>
    <n v="144"/>
    <n v="288"/>
    <n v="60"/>
    <n v="415.29999999999995"/>
    <n v="0.54408489453687936"/>
    <x v="0"/>
    <d v="2024-07-14T00:00:00"/>
    <n v="3"/>
    <x v="0"/>
    <n v="5"/>
    <n v="0"/>
  </r>
  <r>
    <s v="ORD-100952"/>
    <x v="191"/>
    <x v="0"/>
    <d v="2024-07-01T00:00:00"/>
    <n v="7"/>
    <s v="CUST-00154"/>
    <x v="1"/>
    <x v="0"/>
    <s v="RJ"/>
    <x v="0"/>
    <s v="Jaipur"/>
    <x v="0"/>
    <s v="P203"/>
    <s v="Keratin Hair Mask"/>
    <x v="6"/>
    <n v="1"/>
    <n v="549"/>
    <n v="0.15"/>
    <n v="549"/>
    <n v="82.35"/>
    <n v="466.65"/>
    <n v="170"/>
    <n v="170"/>
    <n v="60"/>
    <n v="236.64999999999998"/>
    <n v="0.50712525447337398"/>
    <x v="3"/>
    <d v="2024-07-14T00:00:00"/>
    <n v="2"/>
    <x v="1"/>
    <m/>
    <n v="0"/>
  </r>
  <r>
    <s v="ORD-100953"/>
    <x v="191"/>
    <x v="0"/>
    <d v="2024-07-01T00:00:00"/>
    <n v="7"/>
    <s v="CUST-01404"/>
    <x v="0"/>
    <x v="15"/>
    <s v="HR"/>
    <x v="0"/>
    <s v="Faridabad"/>
    <x v="4"/>
    <s v="P301"/>
    <s v="Cotton Oversized T-Shirt"/>
    <x v="1"/>
    <n v="1"/>
    <n v="799"/>
    <n v="0.1"/>
    <n v="799"/>
    <n v="79.900000000000006"/>
    <n v="719.1"/>
    <n v="320"/>
    <n v="320"/>
    <n v="60"/>
    <n v="339.1"/>
    <n v="0.47156167431511614"/>
    <x v="2"/>
    <d v="2024-07-13T00:00:00"/>
    <n v="1"/>
    <x v="1"/>
    <m/>
    <n v="0"/>
  </r>
  <r>
    <s v="ORD-100954"/>
    <x v="191"/>
    <x v="0"/>
    <d v="2024-07-01T00:00:00"/>
    <n v="7"/>
    <s v="CUST-00763"/>
    <x v="1"/>
    <x v="22"/>
    <s v="AS"/>
    <x v="2"/>
    <s v="Guwahati"/>
    <x v="1"/>
    <s v="P304"/>
    <s v="Denim Jacket"/>
    <x v="1"/>
    <n v="1"/>
    <n v="2499"/>
    <n v="0"/>
    <n v="2499"/>
    <n v="0"/>
    <n v="2499"/>
    <n v="1125"/>
    <n v="1125"/>
    <n v="60"/>
    <n v="1314"/>
    <n v="0.5258103241296519"/>
    <x v="0"/>
    <d v="2024-07-16T00:00:00"/>
    <n v="4"/>
    <x v="0"/>
    <n v="4"/>
    <n v="0"/>
  </r>
  <r>
    <s v="ORD-100955"/>
    <x v="191"/>
    <x v="0"/>
    <d v="2024-07-01T00:00:00"/>
    <n v="7"/>
    <s v="CUST-01121"/>
    <x v="1"/>
    <x v="1"/>
    <s v="GJ"/>
    <x v="1"/>
    <s v="Ahmedabad"/>
    <x v="2"/>
    <s v="P501"/>
    <s v="Copper Water Bottle"/>
    <x v="4"/>
    <n v="1"/>
    <n v="899"/>
    <n v="0"/>
    <n v="899"/>
    <n v="0"/>
    <n v="899"/>
    <n v="378"/>
    <n v="378"/>
    <n v="60"/>
    <n v="461"/>
    <n v="0.51279199110122353"/>
    <x v="3"/>
    <d v="2024-07-16T00:00:00"/>
    <n v="4"/>
    <x v="0"/>
    <m/>
    <n v="0"/>
  </r>
  <r>
    <s v="ORD-100956"/>
    <x v="191"/>
    <x v="0"/>
    <d v="2024-07-01T00:00:00"/>
    <n v="7"/>
    <s v="CUST-00922"/>
    <x v="0"/>
    <x v="7"/>
    <s v="JH"/>
    <x v="2"/>
    <s v="Ranchi"/>
    <x v="3"/>
    <s v="P103"/>
    <s v="Niacinamide Toner"/>
    <x v="3"/>
    <n v="1"/>
    <n v="399"/>
    <n v="0.2"/>
    <n v="399"/>
    <n v="79.800000000000011"/>
    <n v="319.2"/>
    <n v="112"/>
    <n v="112"/>
    <n v="60"/>
    <n v="147.19999999999999"/>
    <n v="0.46115288220551376"/>
    <x v="0"/>
    <d v="2024-07-17T00:00:00"/>
    <n v="5"/>
    <x v="2"/>
    <n v="3"/>
    <n v="0"/>
  </r>
  <r>
    <s v="ORD-100957"/>
    <x v="191"/>
    <x v="0"/>
    <d v="2024-07-01T00:00:00"/>
    <n v="7"/>
    <s v="CUST-01115"/>
    <x v="0"/>
    <x v="17"/>
    <s v="TN"/>
    <x v="3"/>
    <s v="Coimbatore"/>
    <x v="0"/>
    <s v="P103"/>
    <s v="Niacinamide Toner"/>
    <x v="3"/>
    <n v="2"/>
    <n v="399"/>
    <n v="0.25"/>
    <n v="798"/>
    <n v="199.5"/>
    <n v="598.5"/>
    <n v="112"/>
    <n v="224"/>
    <n v="60"/>
    <n v="314.5"/>
    <n v="0.52548036758563077"/>
    <x v="3"/>
    <d v="2024-07-14T00:00:00"/>
    <n v="2"/>
    <x v="1"/>
    <n v="5"/>
    <n v="0"/>
  </r>
  <r>
    <s v="ORD-100958"/>
    <x v="192"/>
    <x v="0"/>
    <d v="2024-07-01T00:00:00"/>
    <n v="7"/>
    <s v="CUST-02338"/>
    <x v="0"/>
    <x v="1"/>
    <s v="GJ"/>
    <x v="1"/>
    <s v="Ahmedabad"/>
    <x v="4"/>
    <s v="P102"/>
    <s v="Sunscreen SPF 50"/>
    <x v="3"/>
    <n v="3"/>
    <n v="449"/>
    <n v="0.05"/>
    <n v="1347"/>
    <n v="67.350000000000009"/>
    <n v="1279.6500000000001"/>
    <n v="144"/>
    <n v="432"/>
    <n v="60"/>
    <n v="787.65000000000009"/>
    <n v="0.61551986871410158"/>
    <x v="3"/>
    <d v="2024-07-16T00:00:00"/>
    <n v="3"/>
    <x v="0"/>
    <n v="4"/>
    <n v="0"/>
  </r>
  <r>
    <s v="ORD-100959"/>
    <x v="192"/>
    <x v="0"/>
    <d v="2024-07-01T00:00:00"/>
    <n v="7"/>
    <s v="CUST-01037"/>
    <x v="0"/>
    <x v="2"/>
    <s v="MH"/>
    <x v="1"/>
    <s v="Pune"/>
    <x v="0"/>
    <s v="P701"/>
    <s v="Ashwagandha Capsules"/>
    <x v="0"/>
    <n v="1"/>
    <n v="499"/>
    <n v="0.1"/>
    <n v="499"/>
    <n v="49.900000000000006"/>
    <n v="449.1"/>
    <n v="150"/>
    <n v="150"/>
    <n v="60"/>
    <n v="239.10000000000002"/>
    <n v="0.53239812959251842"/>
    <x v="0"/>
    <d v="2024-07-16T00:00:00"/>
    <n v="3"/>
    <x v="0"/>
    <m/>
    <n v="0"/>
  </r>
  <r>
    <s v="ORD-100960"/>
    <x v="192"/>
    <x v="0"/>
    <d v="2024-07-01T00:00:00"/>
    <n v="7"/>
    <s v="CUST-00227"/>
    <x v="1"/>
    <x v="21"/>
    <s v="TG"/>
    <x v="3"/>
    <s v="Hyderabad"/>
    <x v="4"/>
    <s v="P702"/>
    <s v="Whey Protein 1kg"/>
    <x v="0"/>
    <n v="3"/>
    <n v="2299"/>
    <n v="0.35"/>
    <n v="6897"/>
    <n v="2413.9499999999998"/>
    <n v="4483.05"/>
    <n v="1333"/>
    <n v="3999"/>
    <n v="120"/>
    <n v="364.05000000000018"/>
    <n v="8.1205875464248706E-2"/>
    <x v="0"/>
    <d v="2024-07-14T00:00:00"/>
    <n v="1"/>
    <x v="1"/>
    <m/>
    <n v="1"/>
  </r>
  <r>
    <s v="ORD-100961"/>
    <x v="192"/>
    <x v="0"/>
    <d v="2024-07-01T00:00:00"/>
    <n v="7"/>
    <s v="CUST-00070"/>
    <x v="1"/>
    <x v="3"/>
    <s v="OD"/>
    <x v="2"/>
    <s v="Bhubaneswar"/>
    <x v="2"/>
    <s v="P604"/>
    <s v="Power Bank 20000mAh"/>
    <x v="2"/>
    <n v="1"/>
    <n v="1799"/>
    <n v="0.35"/>
    <n v="1799"/>
    <n v="629.65"/>
    <n v="1169.3499999999999"/>
    <n v="1079"/>
    <n v="1079"/>
    <n v="60"/>
    <n v="30.349999999999909"/>
    <n v="2.5954590156924712E-2"/>
    <x v="0"/>
    <d v="2024-07-18T00:00:00"/>
    <n v="5"/>
    <x v="2"/>
    <m/>
    <n v="0"/>
  </r>
  <r>
    <s v="ORD-100962"/>
    <x v="193"/>
    <x v="0"/>
    <d v="2024-07-01T00:00:00"/>
    <n v="7"/>
    <s v="CUST-00113"/>
    <x v="0"/>
    <x v="1"/>
    <s v="GJ"/>
    <x v="1"/>
    <s v="Ahmedabad"/>
    <x v="1"/>
    <s v="P305"/>
    <s v="Printed Saree"/>
    <x v="1"/>
    <n v="1"/>
    <n v="1999"/>
    <n v="0.05"/>
    <n v="1999"/>
    <n v="99.95"/>
    <n v="1899.05"/>
    <n v="880"/>
    <n v="880"/>
    <n v="60"/>
    <n v="959.05"/>
    <n v="0.50501566572760059"/>
    <x v="0"/>
    <d v="2024-07-18T00:00:00"/>
    <n v="4"/>
    <x v="0"/>
    <m/>
    <n v="0"/>
  </r>
  <r>
    <s v="ORD-100963"/>
    <x v="193"/>
    <x v="0"/>
    <d v="2024-07-01T00:00:00"/>
    <n v="7"/>
    <s v="CUST-02167"/>
    <x v="0"/>
    <x v="7"/>
    <s v="JH"/>
    <x v="2"/>
    <s v="Ranchi"/>
    <x v="0"/>
    <s v="P603"/>
    <s v="Smartwatch Strap"/>
    <x v="2"/>
    <n v="1"/>
    <n v="499"/>
    <n v="0.15"/>
    <n v="499"/>
    <n v="74.849999999999994"/>
    <n v="424.15"/>
    <n v="200"/>
    <n v="200"/>
    <n v="60"/>
    <n v="164.14999999999998"/>
    <n v="0.38700931274313327"/>
    <x v="0"/>
    <d v="2024-07-19T00:00:00"/>
    <n v="5"/>
    <x v="2"/>
    <m/>
    <n v="0"/>
  </r>
  <r>
    <s v="ORD-100964"/>
    <x v="193"/>
    <x v="0"/>
    <d v="2024-07-01T00:00:00"/>
    <n v="7"/>
    <s v="CUST-02886"/>
    <x v="0"/>
    <x v="2"/>
    <s v="MH"/>
    <x v="1"/>
    <s v="Mumbai"/>
    <x v="4"/>
    <s v="P301"/>
    <s v="Cotton Oversized T-Shirt"/>
    <x v="1"/>
    <n v="1"/>
    <n v="799"/>
    <n v="0.1"/>
    <n v="799"/>
    <n v="79.900000000000006"/>
    <n v="719.1"/>
    <n v="320"/>
    <n v="320"/>
    <n v="60"/>
    <n v="339.1"/>
    <n v="0.47156167431511614"/>
    <x v="3"/>
    <d v="2024-07-17T00:00:00"/>
    <n v="3"/>
    <x v="0"/>
    <n v="5"/>
    <n v="0"/>
  </r>
  <r>
    <s v="ORD-100965"/>
    <x v="194"/>
    <x v="0"/>
    <d v="2024-07-01T00:00:00"/>
    <n v="7"/>
    <s v="CUST-00425"/>
    <x v="1"/>
    <x v="0"/>
    <s v="RJ"/>
    <x v="0"/>
    <s v="Udaipur"/>
    <x v="0"/>
    <s v="P101"/>
    <s v="Vitamin C Face Serum"/>
    <x v="3"/>
    <n v="1"/>
    <n v="599"/>
    <n v="0.15"/>
    <n v="599"/>
    <n v="89.85"/>
    <n v="509.15"/>
    <n v="180"/>
    <n v="180"/>
    <n v="60"/>
    <n v="269.14999999999998"/>
    <n v="0.52862614160856325"/>
    <x v="4"/>
    <d v="2024-07-18T00:00:00"/>
    <n v="3"/>
    <x v="0"/>
    <n v="3"/>
    <n v="0"/>
  </r>
  <r>
    <s v="ORD-100966"/>
    <x v="194"/>
    <x v="0"/>
    <d v="2024-07-01T00:00:00"/>
    <n v="7"/>
    <s v="CUST-00769"/>
    <x v="0"/>
    <x v="6"/>
    <s v="DL"/>
    <x v="0"/>
    <s v="New Delhi"/>
    <x v="3"/>
    <s v="P701"/>
    <s v="Ashwagandha Capsules"/>
    <x v="0"/>
    <n v="1"/>
    <n v="499"/>
    <n v="0"/>
    <n v="499"/>
    <n v="0"/>
    <n v="499"/>
    <n v="150"/>
    <n v="150"/>
    <n v="60"/>
    <n v="289"/>
    <n v="0.57915831663326656"/>
    <x v="3"/>
    <d v="2024-07-18T00:00:00"/>
    <n v="3"/>
    <x v="0"/>
    <m/>
    <n v="0"/>
  </r>
  <r>
    <s v="ORD-100967"/>
    <x v="194"/>
    <x v="0"/>
    <d v="2024-07-01T00:00:00"/>
    <n v="7"/>
    <s v="CUST-00354"/>
    <x v="0"/>
    <x v="12"/>
    <s v="BR"/>
    <x v="2"/>
    <s v="Patna"/>
    <x v="0"/>
    <s v="P702"/>
    <s v="Whey Protein 1kg"/>
    <x v="0"/>
    <n v="2"/>
    <n v="2299"/>
    <n v="0.35"/>
    <n v="4598"/>
    <n v="1609.3"/>
    <n v="2988.7"/>
    <n v="1333"/>
    <n v="2666"/>
    <n v="60"/>
    <n v="262.69999999999982"/>
    <n v="8.7897748184829469E-2"/>
    <x v="0"/>
    <d v="2024-07-21T00:00:00"/>
    <n v="6"/>
    <x v="2"/>
    <m/>
    <n v="0"/>
  </r>
  <r>
    <s v="ORD-100968"/>
    <x v="194"/>
    <x v="0"/>
    <d v="2024-07-01T00:00:00"/>
    <n v="7"/>
    <s v="CUST-02408"/>
    <x v="0"/>
    <x v="12"/>
    <s v="BR"/>
    <x v="2"/>
    <s v="Patna"/>
    <x v="1"/>
    <s v="P301"/>
    <s v="Cotton Oversized T-Shirt"/>
    <x v="1"/>
    <n v="1"/>
    <n v="799"/>
    <n v="0"/>
    <n v="799"/>
    <n v="0"/>
    <n v="799"/>
    <n v="320"/>
    <n v="320"/>
    <n v="60"/>
    <n v="419"/>
    <n v="0.52440550688360454"/>
    <x v="0"/>
    <d v="2024-07-22T00:00:00"/>
    <n v="7"/>
    <x v="2"/>
    <m/>
    <n v="0"/>
  </r>
  <r>
    <s v="ORD-100969"/>
    <x v="194"/>
    <x v="0"/>
    <d v="2024-07-01T00:00:00"/>
    <n v="7"/>
    <s v="CUST-02612"/>
    <x v="0"/>
    <x v="1"/>
    <s v="GJ"/>
    <x v="1"/>
    <s v="Surat"/>
    <x v="2"/>
    <s v="P504"/>
    <s v="Cotton Bedsheet"/>
    <x v="4"/>
    <n v="1"/>
    <n v="1299"/>
    <n v="0.05"/>
    <n v="1299"/>
    <n v="64.95"/>
    <n v="1234.05"/>
    <n v="585"/>
    <n v="585"/>
    <n v="120"/>
    <n v="529.04999999999995"/>
    <n v="0.42871034398930347"/>
    <x v="3"/>
    <d v="2024-07-20T00:00:00"/>
    <n v="5"/>
    <x v="2"/>
    <n v="4"/>
    <n v="1"/>
  </r>
  <r>
    <s v="ORD-100970"/>
    <x v="194"/>
    <x v="0"/>
    <d v="2024-07-01T00:00:00"/>
    <n v="7"/>
    <s v="CUST-00674"/>
    <x v="0"/>
    <x v="13"/>
    <s v="MP"/>
    <x v="1"/>
    <s v="Bhopal"/>
    <x v="2"/>
    <s v="P201"/>
    <s v="Onion Hair Oil"/>
    <x v="6"/>
    <n v="1"/>
    <n v="349"/>
    <n v="0.3"/>
    <n v="349"/>
    <n v="104.7"/>
    <n v="244.3"/>
    <n v="105"/>
    <n v="105"/>
    <n v="60"/>
    <n v="79.300000000000011"/>
    <n v="0.32460090053213264"/>
    <x v="3"/>
    <d v="2024-07-20T00:00:00"/>
    <n v="5"/>
    <x v="2"/>
    <m/>
    <n v="0"/>
  </r>
  <r>
    <s v="ORD-100971"/>
    <x v="194"/>
    <x v="0"/>
    <d v="2024-07-01T00:00:00"/>
    <n v="7"/>
    <s v="CUST-01509"/>
    <x v="0"/>
    <x v="17"/>
    <s v="TN"/>
    <x v="3"/>
    <s v="Coimbatore"/>
    <x v="0"/>
    <s v="P404"/>
    <s v="Flip Flops"/>
    <x v="5"/>
    <n v="1"/>
    <n v="399"/>
    <n v="0.15"/>
    <n v="399"/>
    <n v="59.849999999999994"/>
    <n v="339.15"/>
    <n v="152"/>
    <n v="152"/>
    <n v="60"/>
    <n v="127.14999999999998"/>
    <n v="0.37490785787999409"/>
    <x v="0"/>
    <d v="2024-07-19T00:00:00"/>
    <n v="4"/>
    <x v="0"/>
    <m/>
    <n v="0"/>
  </r>
  <r>
    <s v="ORD-100972"/>
    <x v="195"/>
    <x v="0"/>
    <d v="2024-07-01T00:00:00"/>
    <n v="7"/>
    <s v="CUST-01961"/>
    <x v="0"/>
    <x v="4"/>
    <s v="JK"/>
    <x v="0"/>
    <s v="Srinagar"/>
    <x v="2"/>
    <s v="P701"/>
    <s v="Ashwagandha Capsules"/>
    <x v="0"/>
    <n v="1"/>
    <n v="499"/>
    <n v="0"/>
    <n v="499"/>
    <n v="0"/>
    <n v="499"/>
    <n v="150"/>
    <n v="150"/>
    <n v="60"/>
    <n v="289"/>
    <n v="0.57915831663326656"/>
    <x v="0"/>
    <d v="2024-07-22T00:00:00"/>
    <n v="6"/>
    <x v="2"/>
    <m/>
    <n v="0"/>
  </r>
  <r>
    <s v="ORD-100973"/>
    <x v="195"/>
    <x v="0"/>
    <d v="2024-07-01T00:00:00"/>
    <n v="7"/>
    <s v="CUST-01340"/>
    <x v="0"/>
    <x v="12"/>
    <s v="BR"/>
    <x v="2"/>
    <s v="Patna"/>
    <x v="1"/>
    <s v="P403"/>
    <s v="Kolhapuri Sandals"/>
    <x v="5"/>
    <n v="1"/>
    <n v="999"/>
    <n v="0"/>
    <n v="999"/>
    <n v="0"/>
    <n v="999"/>
    <n v="400"/>
    <n v="400"/>
    <n v="60"/>
    <n v="539"/>
    <n v="0.53953953953953959"/>
    <x v="4"/>
    <d v="2024-07-20T00:00:00"/>
    <n v="4"/>
    <x v="0"/>
    <n v="4"/>
    <n v="0"/>
  </r>
  <r>
    <s v="ORD-100974"/>
    <x v="195"/>
    <x v="0"/>
    <d v="2024-07-01T00:00:00"/>
    <n v="7"/>
    <s v="CUST-01145"/>
    <x v="0"/>
    <x v="1"/>
    <s v="GJ"/>
    <x v="1"/>
    <s v="Ahmedabad"/>
    <x v="3"/>
    <s v="P704"/>
    <s v="Multivitamin Gummies"/>
    <x v="0"/>
    <n v="1"/>
    <n v="699"/>
    <n v="0.15"/>
    <n v="699"/>
    <n v="104.85"/>
    <n v="594.15"/>
    <n v="238"/>
    <n v="238"/>
    <n v="60"/>
    <n v="296.14999999999998"/>
    <n v="0.49844315408566858"/>
    <x v="4"/>
    <d v="2024-07-19T00:00:00"/>
    <n v="3"/>
    <x v="0"/>
    <n v="3"/>
    <n v="0"/>
  </r>
  <r>
    <s v="ORD-100975"/>
    <x v="195"/>
    <x v="0"/>
    <d v="2024-07-01T00:00:00"/>
    <n v="7"/>
    <s v="CUST-02533"/>
    <x v="0"/>
    <x v="2"/>
    <s v="MH"/>
    <x v="1"/>
    <s v="Mumbai"/>
    <x v="0"/>
    <s v="P302"/>
    <s v="Linen Kurta"/>
    <x v="1"/>
    <n v="1"/>
    <n v="1499"/>
    <n v="0.3"/>
    <n v="1499"/>
    <n v="449.7"/>
    <n v="1049.3"/>
    <n v="630"/>
    <n v="630"/>
    <n v="60"/>
    <n v="359.29999999999995"/>
    <n v="0.34241875536071664"/>
    <x v="0"/>
    <d v="2024-07-19T00:00:00"/>
    <n v="3"/>
    <x v="0"/>
    <n v="3"/>
    <n v="0"/>
  </r>
  <r>
    <s v="ORD-100976"/>
    <x v="195"/>
    <x v="0"/>
    <d v="2024-07-01T00:00:00"/>
    <n v="7"/>
    <s v="CUST-00765"/>
    <x v="1"/>
    <x v="20"/>
    <s v="GA"/>
    <x v="1"/>
    <s v="Panaji"/>
    <x v="2"/>
    <s v="P701"/>
    <s v="Ashwagandha Capsules"/>
    <x v="0"/>
    <n v="2"/>
    <n v="499"/>
    <n v="0"/>
    <n v="998"/>
    <n v="0"/>
    <n v="998"/>
    <n v="150"/>
    <n v="300"/>
    <n v="60"/>
    <n v="638"/>
    <n v="0.63927855711422843"/>
    <x v="3"/>
    <d v="2024-07-20T00:00:00"/>
    <n v="4"/>
    <x v="0"/>
    <n v="4"/>
    <n v="0"/>
  </r>
  <r>
    <s v="ORD-100977"/>
    <x v="195"/>
    <x v="0"/>
    <d v="2024-07-01T00:00:00"/>
    <n v="7"/>
    <s v="CUST-00943"/>
    <x v="1"/>
    <x v="8"/>
    <s v="AP"/>
    <x v="3"/>
    <s v="Visakhapatnam"/>
    <x v="0"/>
    <s v="P101"/>
    <s v="Vitamin C Face Serum"/>
    <x v="3"/>
    <n v="1"/>
    <n v="599"/>
    <n v="0.2"/>
    <n v="599"/>
    <n v="119.80000000000001"/>
    <n v="479.2"/>
    <n v="180"/>
    <n v="180"/>
    <n v="60"/>
    <n v="239.2"/>
    <n v="0.4991652754590985"/>
    <x v="3"/>
    <d v="2024-07-17T00:00:00"/>
    <n v="1"/>
    <x v="1"/>
    <n v="5"/>
    <n v="0"/>
  </r>
  <r>
    <s v="ORD-100978"/>
    <x v="195"/>
    <x v="0"/>
    <d v="2024-07-01T00:00:00"/>
    <n v="7"/>
    <s v="CUST-02367"/>
    <x v="0"/>
    <x v="14"/>
    <s v="KL"/>
    <x v="3"/>
    <s v="Thiruvananthapuram"/>
    <x v="0"/>
    <s v="P101"/>
    <s v="Vitamin C Face Serum"/>
    <x v="3"/>
    <n v="2"/>
    <n v="599"/>
    <n v="0.15"/>
    <n v="1198"/>
    <n v="179.7"/>
    <n v="1018.3"/>
    <n v="180"/>
    <n v="360"/>
    <n v="60"/>
    <n v="598.29999999999995"/>
    <n v="0.58754787390749286"/>
    <x v="3"/>
    <d v="2024-07-20T00:00:00"/>
    <n v="4"/>
    <x v="0"/>
    <n v="3"/>
    <n v="0"/>
  </r>
  <r>
    <s v="ORD-100979"/>
    <x v="196"/>
    <x v="0"/>
    <d v="2024-07-01T00:00:00"/>
    <n v="7"/>
    <s v="CUST-00535"/>
    <x v="1"/>
    <x v="4"/>
    <s v="JK"/>
    <x v="0"/>
    <s v="Jammu"/>
    <x v="2"/>
    <s v="P703"/>
    <s v="Green Tea (100 bags)"/>
    <x v="0"/>
    <n v="1"/>
    <n v="399"/>
    <n v="0.4"/>
    <n v="399"/>
    <n v="159.60000000000002"/>
    <n v="239.39999999999998"/>
    <n v="128"/>
    <n v="128"/>
    <n v="60"/>
    <n v="51.399999999999977"/>
    <n v="0.21470342522974095"/>
    <x v="1"/>
    <d v="2024-07-22T00:00:00"/>
    <n v="5"/>
    <x v="2"/>
    <n v="4"/>
    <n v="0"/>
  </r>
  <r>
    <s v="ORD-100980"/>
    <x v="196"/>
    <x v="0"/>
    <d v="2024-07-01T00:00:00"/>
    <n v="7"/>
    <s v="CUST-01370"/>
    <x v="1"/>
    <x v="15"/>
    <s v="HR"/>
    <x v="0"/>
    <s v="Faridabad"/>
    <x v="4"/>
    <s v="P104"/>
    <s v="Hydrating Face Wash"/>
    <x v="3"/>
    <n v="1"/>
    <n v="299"/>
    <n v="0"/>
    <n v="299"/>
    <n v="0"/>
    <n v="299"/>
    <n v="90"/>
    <n v="90"/>
    <n v="60"/>
    <n v="149"/>
    <n v="0.49832775919732442"/>
    <x v="0"/>
    <d v="2024-07-18T00:00:00"/>
    <n v="1"/>
    <x v="1"/>
    <n v="5"/>
    <n v="0"/>
  </r>
  <r>
    <s v="ORD-100981"/>
    <x v="196"/>
    <x v="0"/>
    <d v="2024-07-01T00:00:00"/>
    <n v="7"/>
    <s v="CUST-01037"/>
    <x v="1"/>
    <x v="15"/>
    <s v="HR"/>
    <x v="0"/>
    <s v="Faridabad"/>
    <x v="4"/>
    <s v="P504"/>
    <s v="Cotton Bedsheet"/>
    <x v="4"/>
    <n v="1"/>
    <n v="1299"/>
    <n v="0.1"/>
    <n v="1299"/>
    <n v="129.9"/>
    <n v="1169.0999999999999"/>
    <n v="585"/>
    <n v="585"/>
    <n v="60"/>
    <n v="524.09999999999991"/>
    <n v="0.44829355914806257"/>
    <x v="3"/>
    <d v="2024-07-22T00:00:00"/>
    <n v="5"/>
    <x v="2"/>
    <m/>
    <n v="0"/>
  </r>
  <r>
    <s v="ORD-100982"/>
    <x v="196"/>
    <x v="0"/>
    <d v="2024-07-01T00:00:00"/>
    <n v="7"/>
    <s v="CUST-00438"/>
    <x v="0"/>
    <x v="1"/>
    <s v="GJ"/>
    <x v="1"/>
    <s v="Surat"/>
    <x v="1"/>
    <s v="P401"/>
    <s v="Running Shoes"/>
    <x v="5"/>
    <n v="2"/>
    <n v="2999"/>
    <n v="0.3"/>
    <n v="5998"/>
    <n v="1799.3999999999999"/>
    <n v="4198.6000000000004"/>
    <n v="1440"/>
    <n v="2880"/>
    <n v="60"/>
    <n v="1258.6000000000004"/>
    <n v="0.29976658886295438"/>
    <x v="2"/>
    <d v="2024-07-21T00:00:00"/>
    <n v="4"/>
    <x v="0"/>
    <n v="4"/>
    <n v="0"/>
  </r>
  <r>
    <s v="ORD-100983"/>
    <x v="196"/>
    <x v="0"/>
    <d v="2024-07-01T00:00:00"/>
    <n v="7"/>
    <s v="CUST-00440"/>
    <x v="0"/>
    <x v="2"/>
    <s v="MH"/>
    <x v="1"/>
    <s v="Pune"/>
    <x v="0"/>
    <s v="P202"/>
    <s v="Argan Shampoo"/>
    <x v="6"/>
    <n v="3"/>
    <n v="449"/>
    <n v="0.15"/>
    <n v="1347"/>
    <n v="202.04999999999998"/>
    <n v="1144.95"/>
    <n v="148"/>
    <n v="444"/>
    <n v="60"/>
    <n v="640.95000000000005"/>
    <n v="0.55980610507009043"/>
    <x v="3"/>
    <d v="2024-07-21T00:00:00"/>
    <n v="4"/>
    <x v="0"/>
    <m/>
    <n v="0"/>
  </r>
  <r>
    <s v="ORD-100984"/>
    <x v="196"/>
    <x v="0"/>
    <d v="2024-07-01T00:00:00"/>
    <n v="7"/>
    <s v="CUST-00643"/>
    <x v="0"/>
    <x v="21"/>
    <s v="TG"/>
    <x v="3"/>
    <s v="Hyderabad"/>
    <x v="2"/>
    <s v="P102"/>
    <s v="Sunscreen SPF 50"/>
    <x v="3"/>
    <n v="1"/>
    <n v="449"/>
    <n v="0"/>
    <n v="449"/>
    <n v="0"/>
    <n v="449"/>
    <n v="144"/>
    <n v="144"/>
    <n v="60"/>
    <n v="245"/>
    <n v="0.54565701559020041"/>
    <x v="2"/>
    <d v="2024-07-19T00:00:00"/>
    <n v="2"/>
    <x v="1"/>
    <n v="4"/>
    <n v="0"/>
  </r>
  <r>
    <s v="ORD-100985"/>
    <x v="196"/>
    <x v="0"/>
    <d v="2024-07-01T00:00:00"/>
    <n v="7"/>
    <s v="CUST-00709"/>
    <x v="0"/>
    <x v="3"/>
    <s v="OD"/>
    <x v="2"/>
    <s v="Bhubaneswar"/>
    <x v="1"/>
    <s v="P302"/>
    <s v="Linen Kurta"/>
    <x v="1"/>
    <n v="4"/>
    <n v="1499"/>
    <n v="0.4"/>
    <n v="5996"/>
    <n v="2398.4"/>
    <n v="3597.6"/>
    <n v="630"/>
    <n v="2520"/>
    <n v="60"/>
    <n v="1017.5999999999999"/>
    <n v="0.28285523682454966"/>
    <x v="0"/>
    <d v="2024-07-21T00:00:00"/>
    <n v="4"/>
    <x v="0"/>
    <n v="3"/>
    <n v="0"/>
  </r>
  <r>
    <s v="ORD-100986"/>
    <x v="196"/>
    <x v="0"/>
    <d v="2024-07-01T00:00:00"/>
    <n v="7"/>
    <s v="CUST-00407"/>
    <x v="0"/>
    <x v="3"/>
    <s v="OD"/>
    <x v="2"/>
    <s v="Bhubaneswar"/>
    <x v="3"/>
    <s v="P204"/>
    <s v="Anti-Dandruff Conditioner"/>
    <x v="6"/>
    <n v="2"/>
    <n v="399"/>
    <n v="0.35"/>
    <n v="798"/>
    <n v="279.29999999999995"/>
    <n v="518.70000000000005"/>
    <n v="136"/>
    <n v="272"/>
    <n v="60"/>
    <n v="186.70000000000005"/>
    <n v="0.35993830730672843"/>
    <x v="0"/>
    <d v="2024-07-20T00:00:00"/>
    <n v="3"/>
    <x v="0"/>
    <n v="3"/>
    <n v="0"/>
  </r>
  <r>
    <s v="ORD-100987"/>
    <x v="196"/>
    <x v="0"/>
    <d v="2024-07-01T00:00:00"/>
    <n v="7"/>
    <s v="CUST-00239"/>
    <x v="1"/>
    <x v="11"/>
    <s v="KA"/>
    <x v="3"/>
    <s v="Bengaluru"/>
    <x v="1"/>
    <s v="P404"/>
    <s v="Flip Flops"/>
    <x v="5"/>
    <n v="2"/>
    <n v="399"/>
    <n v="0.1"/>
    <n v="798"/>
    <n v="79.800000000000011"/>
    <n v="718.2"/>
    <n v="152"/>
    <n v="304"/>
    <n v="60"/>
    <n v="354.20000000000005"/>
    <n v="0.49317738791423005"/>
    <x v="4"/>
    <d v="2024-07-20T00:00:00"/>
    <n v="3"/>
    <x v="0"/>
    <m/>
    <n v="0"/>
  </r>
  <r>
    <s v="ORD-100988"/>
    <x v="196"/>
    <x v="0"/>
    <d v="2024-07-01T00:00:00"/>
    <n v="7"/>
    <s v="CUST-00976"/>
    <x v="0"/>
    <x v="14"/>
    <s v="KL"/>
    <x v="3"/>
    <s v="Kochi"/>
    <x v="0"/>
    <s v="P104"/>
    <s v="Hydrating Face Wash"/>
    <x v="3"/>
    <n v="2"/>
    <n v="299"/>
    <n v="0"/>
    <n v="598"/>
    <n v="0"/>
    <n v="598"/>
    <n v="90"/>
    <n v="180"/>
    <n v="60"/>
    <n v="358"/>
    <n v="0.59866220735785958"/>
    <x v="0"/>
    <d v="2024-07-20T00:00:00"/>
    <n v="3"/>
    <x v="0"/>
    <n v="5"/>
    <n v="0"/>
  </r>
  <r>
    <s v="ORD-100989"/>
    <x v="197"/>
    <x v="0"/>
    <d v="2024-07-01T00:00:00"/>
    <n v="7"/>
    <s v="CUST-00156"/>
    <x v="0"/>
    <x v="12"/>
    <s v="BR"/>
    <x v="2"/>
    <s v="Patna"/>
    <x v="0"/>
    <s v="P104"/>
    <s v="Hydrating Face Wash"/>
    <x v="3"/>
    <n v="1"/>
    <n v="299"/>
    <n v="0"/>
    <n v="299"/>
    <n v="0"/>
    <n v="299"/>
    <n v="90"/>
    <n v="90"/>
    <n v="60"/>
    <n v="149"/>
    <n v="0.49832775919732442"/>
    <x v="1"/>
    <d v="2024-07-23T00:00:00"/>
    <n v="5"/>
    <x v="2"/>
    <n v="4"/>
    <n v="0"/>
  </r>
  <r>
    <s v="ORD-100990"/>
    <x v="197"/>
    <x v="0"/>
    <d v="2024-07-01T00:00:00"/>
    <n v="7"/>
    <s v="CUST-00322"/>
    <x v="1"/>
    <x v="22"/>
    <s v="AS"/>
    <x v="2"/>
    <s v="Guwahati"/>
    <x v="0"/>
    <s v="P101"/>
    <s v="Vitamin C Face Serum"/>
    <x v="3"/>
    <n v="1"/>
    <n v="599"/>
    <n v="0.25"/>
    <n v="599"/>
    <n v="149.75"/>
    <n v="449.25"/>
    <n v="180"/>
    <n v="180"/>
    <n v="60"/>
    <n v="209.25"/>
    <n v="0.46577629382303842"/>
    <x v="3"/>
    <d v="2024-07-24T00:00:00"/>
    <n v="6"/>
    <x v="2"/>
    <m/>
    <n v="0"/>
  </r>
  <r>
    <s v="ORD-100991"/>
    <x v="197"/>
    <x v="0"/>
    <d v="2024-07-01T00:00:00"/>
    <n v="7"/>
    <s v="CUST-00355"/>
    <x v="1"/>
    <x v="1"/>
    <s v="GJ"/>
    <x v="1"/>
    <s v="Ahmedabad"/>
    <x v="4"/>
    <s v="P105"/>
    <s v="Retinol Night Cream"/>
    <x v="3"/>
    <n v="1"/>
    <n v="799"/>
    <n v="0.15"/>
    <n v="799"/>
    <n v="119.85"/>
    <n v="679.15"/>
    <n v="216"/>
    <n v="216"/>
    <n v="60"/>
    <n v="403.15"/>
    <n v="0.59360965913273944"/>
    <x v="0"/>
    <d v="2024-07-20T00:00:00"/>
    <n v="2"/>
    <x v="1"/>
    <n v="4"/>
    <n v="0"/>
  </r>
  <r>
    <s v="ORD-100992"/>
    <x v="197"/>
    <x v="0"/>
    <d v="2024-07-01T00:00:00"/>
    <n v="7"/>
    <s v="CUST-00634"/>
    <x v="0"/>
    <x v="2"/>
    <s v="MH"/>
    <x v="1"/>
    <s v="Mumbai"/>
    <x v="0"/>
    <s v="P102"/>
    <s v="Sunscreen SPF 50"/>
    <x v="3"/>
    <n v="1"/>
    <n v="449"/>
    <n v="0.15"/>
    <n v="449"/>
    <n v="67.349999999999994"/>
    <n v="381.65"/>
    <n v="144"/>
    <n v="144"/>
    <n v="60"/>
    <n v="177.64999999999998"/>
    <n v="0.465478841870824"/>
    <x v="0"/>
    <d v="2024-07-19T00:00:00"/>
    <n v="1"/>
    <x v="1"/>
    <n v="4"/>
    <n v="0"/>
  </r>
  <r>
    <s v="ORD-100993"/>
    <x v="197"/>
    <x v="0"/>
    <d v="2024-07-01T00:00:00"/>
    <n v="7"/>
    <s v="CUST-00658"/>
    <x v="0"/>
    <x v="21"/>
    <s v="TG"/>
    <x v="3"/>
    <s v="Hyderabad"/>
    <x v="2"/>
    <s v="P402"/>
    <s v="Casual Sneakers"/>
    <x v="5"/>
    <n v="1"/>
    <n v="2199"/>
    <n v="0.25"/>
    <n v="2199"/>
    <n v="549.75"/>
    <n v="1649.25"/>
    <n v="1034"/>
    <n v="1034"/>
    <n v="60"/>
    <n v="555.25"/>
    <n v="0.33666818250720026"/>
    <x v="3"/>
    <d v="2024-07-19T00:00:00"/>
    <n v="1"/>
    <x v="1"/>
    <n v="4"/>
    <n v="0"/>
  </r>
  <r>
    <s v="ORD-100994"/>
    <x v="197"/>
    <x v="0"/>
    <d v="2024-07-01T00:00:00"/>
    <n v="7"/>
    <s v="CUST-00111"/>
    <x v="0"/>
    <x v="17"/>
    <s v="TN"/>
    <x v="3"/>
    <s v="Coimbatore"/>
    <x v="0"/>
    <s v="P602"/>
    <s v="Fast Charger 33W"/>
    <x v="2"/>
    <n v="1"/>
    <n v="899"/>
    <n v="0"/>
    <n v="899"/>
    <n v="0"/>
    <n v="899"/>
    <n v="494"/>
    <n v="494"/>
    <n v="60"/>
    <n v="345"/>
    <n v="0.38375973303670746"/>
    <x v="1"/>
    <d v="2024-07-20T00:00:00"/>
    <n v="2"/>
    <x v="1"/>
    <n v="5"/>
    <n v="0"/>
  </r>
  <r>
    <s v="ORD-100995"/>
    <x v="198"/>
    <x v="0"/>
    <d v="2024-07-01T00:00:00"/>
    <n v="7"/>
    <s v="CUST-01456"/>
    <x v="0"/>
    <x v="21"/>
    <s v="TG"/>
    <x v="3"/>
    <s v="Hyderabad"/>
    <x v="4"/>
    <s v="P403"/>
    <s v="Kolhapuri Sandals"/>
    <x v="5"/>
    <n v="1"/>
    <n v="999"/>
    <n v="0.05"/>
    <n v="999"/>
    <n v="49.95"/>
    <n v="949.05"/>
    <n v="400"/>
    <n v="400"/>
    <n v="60"/>
    <n v="489.04999999999995"/>
    <n v="0.5153047784626732"/>
    <x v="2"/>
    <d v="2024-07-21T00:00:00"/>
    <n v="2"/>
    <x v="1"/>
    <n v="4"/>
    <n v="0"/>
  </r>
  <r>
    <s v="ORD-100996"/>
    <x v="198"/>
    <x v="0"/>
    <d v="2024-07-01T00:00:00"/>
    <n v="7"/>
    <s v="CUST-01819"/>
    <x v="0"/>
    <x v="11"/>
    <s v="KA"/>
    <x v="3"/>
    <s v="Bengaluru"/>
    <x v="0"/>
    <s v="P703"/>
    <s v="Green Tea (100 bags)"/>
    <x v="0"/>
    <n v="3"/>
    <n v="399"/>
    <n v="0.4"/>
    <n v="1197"/>
    <n v="478.8"/>
    <n v="718.2"/>
    <n v="128"/>
    <n v="384"/>
    <n v="60"/>
    <n v="274.20000000000005"/>
    <n v="0.38178780284043445"/>
    <x v="0"/>
    <d v="2024-07-21T00:00:00"/>
    <n v="2"/>
    <x v="1"/>
    <n v="3"/>
    <n v="0"/>
  </r>
  <r>
    <s v="ORD-100997"/>
    <x v="198"/>
    <x v="0"/>
    <d v="2024-07-01T00:00:00"/>
    <n v="7"/>
    <s v="CUST-00191"/>
    <x v="1"/>
    <x v="8"/>
    <s v="AP"/>
    <x v="3"/>
    <s v="Vijayawada"/>
    <x v="4"/>
    <s v="P701"/>
    <s v="Ashwagandha Capsules"/>
    <x v="0"/>
    <n v="2"/>
    <n v="499"/>
    <n v="0"/>
    <n v="998"/>
    <n v="0"/>
    <n v="998"/>
    <n v="150"/>
    <n v="300"/>
    <n v="60"/>
    <n v="638"/>
    <n v="0.63927855711422843"/>
    <x v="3"/>
    <d v="2024-07-24T00:00:00"/>
    <n v="5"/>
    <x v="2"/>
    <n v="3"/>
    <n v="0"/>
  </r>
  <r>
    <s v="ORD-100998"/>
    <x v="199"/>
    <x v="0"/>
    <d v="2024-07-01T00:00:00"/>
    <n v="7"/>
    <s v="CUST-00972"/>
    <x v="0"/>
    <x v="12"/>
    <s v="BR"/>
    <x v="2"/>
    <s v="Patna"/>
    <x v="0"/>
    <s v="P301"/>
    <s v="Cotton Oversized T-Shirt"/>
    <x v="1"/>
    <n v="1"/>
    <n v="799"/>
    <n v="0"/>
    <n v="799"/>
    <n v="0"/>
    <n v="799"/>
    <n v="320"/>
    <n v="320"/>
    <n v="60"/>
    <n v="419"/>
    <n v="0.52440550688360454"/>
    <x v="0"/>
    <d v="2024-07-24T00:00:00"/>
    <n v="4"/>
    <x v="0"/>
    <n v="4"/>
    <n v="0"/>
  </r>
  <r>
    <s v="ORD-100999"/>
    <x v="199"/>
    <x v="0"/>
    <d v="2024-07-01T00:00:00"/>
    <n v="7"/>
    <s v="CUST-02238"/>
    <x v="0"/>
    <x v="13"/>
    <s v="MP"/>
    <x v="1"/>
    <s v="Indore"/>
    <x v="1"/>
    <s v="P404"/>
    <s v="Flip Flops"/>
    <x v="5"/>
    <n v="2"/>
    <n v="399"/>
    <n v="0.2"/>
    <n v="798"/>
    <n v="159.60000000000002"/>
    <n v="638.4"/>
    <n v="152"/>
    <n v="304"/>
    <n v="60"/>
    <n v="274.39999999999998"/>
    <n v="0.42982456140350878"/>
    <x v="0"/>
    <d v="2024-07-25T00:00:00"/>
    <n v="5"/>
    <x v="2"/>
    <n v="3"/>
    <n v="0"/>
  </r>
  <r>
    <s v="ORD-101000"/>
    <x v="199"/>
    <x v="0"/>
    <d v="2024-07-01T00:00:00"/>
    <n v="7"/>
    <s v="CUST-00455"/>
    <x v="0"/>
    <x v="10"/>
    <s v="CG"/>
    <x v="2"/>
    <s v="Raipur"/>
    <x v="4"/>
    <s v="P404"/>
    <s v="Flip Flops"/>
    <x v="5"/>
    <n v="1"/>
    <n v="399"/>
    <n v="0.2"/>
    <n v="399"/>
    <n v="79.800000000000011"/>
    <n v="319.2"/>
    <n v="152"/>
    <n v="152"/>
    <n v="120"/>
    <n v="47.199999999999989"/>
    <n v="0.14786967418546362"/>
    <x v="3"/>
    <d v="2024-07-27T00:00:00"/>
    <n v="7"/>
    <x v="2"/>
    <n v="3"/>
    <n v="1"/>
  </r>
  <r>
    <s v="ORD-101001"/>
    <x v="199"/>
    <x v="0"/>
    <d v="2024-07-01T00:00:00"/>
    <n v="7"/>
    <s v="CUST-00784"/>
    <x v="0"/>
    <x v="18"/>
    <s v="WB"/>
    <x v="2"/>
    <s v="Kolkata"/>
    <x v="2"/>
    <s v="P101"/>
    <s v="Vitamin C Face Serum"/>
    <x v="3"/>
    <n v="1"/>
    <n v="599"/>
    <n v="0.2"/>
    <n v="599"/>
    <n v="119.80000000000001"/>
    <n v="479.2"/>
    <n v="180"/>
    <n v="180"/>
    <n v="60"/>
    <n v="239.2"/>
    <n v="0.4991652754590985"/>
    <x v="1"/>
    <d v="2024-07-24T00:00:00"/>
    <n v="4"/>
    <x v="0"/>
    <n v="4"/>
    <n v="0"/>
  </r>
  <r>
    <s v="ORD-101002"/>
    <x v="199"/>
    <x v="0"/>
    <d v="2024-07-01T00:00:00"/>
    <n v="7"/>
    <s v="CUST-01196"/>
    <x v="0"/>
    <x v="18"/>
    <s v="WB"/>
    <x v="2"/>
    <s v="Kolkata"/>
    <x v="2"/>
    <s v="P403"/>
    <s v="Kolhapuri Sandals"/>
    <x v="5"/>
    <n v="1"/>
    <n v="999"/>
    <n v="0"/>
    <n v="999"/>
    <n v="0"/>
    <n v="999"/>
    <n v="400"/>
    <n v="400"/>
    <n v="60"/>
    <n v="539"/>
    <n v="0.53953953953953959"/>
    <x v="0"/>
    <d v="2024-07-26T00:00:00"/>
    <n v="6"/>
    <x v="2"/>
    <m/>
    <n v="0"/>
  </r>
  <r>
    <s v="ORD-101003"/>
    <x v="199"/>
    <x v="0"/>
    <d v="2024-07-01T00:00:00"/>
    <n v="7"/>
    <s v="CUST-03097"/>
    <x v="0"/>
    <x v="2"/>
    <s v="MH"/>
    <x v="1"/>
    <s v="Mumbai"/>
    <x v="4"/>
    <s v="P202"/>
    <s v="Argan Shampoo"/>
    <x v="6"/>
    <n v="1"/>
    <n v="449"/>
    <n v="0.05"/>
    <n v="449"/>
    <n v="22.450000000000003"/>
    <n v="426.55"/>
    <n v="148"/>
    <n v="148"/>
    <n v="60"/>
    <n v="218.55"/>
    <n v="0.51236666275934828"/>
    <x v="0"/>
    <d v="2024-07-22T00:00:00"/>
    <n v="2"/>
    <x v="1"/>
    <m/>
    <n v="0"/>
  </r>
  <r>
    <s v="ORD-101004"/>
    <x v="199"/>
    <x v="0"/>
    <d v="2024-07-01T00:00:00"/>
    <n v="7"/>
    <s v="CUST-00361"/>
    <x v="0"/>
    <x v="2"/>
    <s v="MH"/>
    <x v="1"/>
    <s v="Nagpur"/>
    <x v="0"/>
    <s v="P701"/>
    <s v="Ashwagandha Capsules"/>
    <x v="0"/>
    <n v="2"/>
    <n v="499"/>
    <n v="0"/>
    <n v="998"/>
    <n v="0"/>
    <n v="998"/>
    <n v="150"/>
    <n v="300"/>
    <n v="60"/>
    <n v="638"/>
    <n v="0.63927855711422843"/>
    <x v="4"/>
    <d v="2024-07-22T00:00:00"/>
    <n v="2"/>
    <x v="1"/>
    <n v="4"/>
    <n v="0"/>
  </r>
  <r>
    <s v="ORD-101005"/>
    <x v="199"/>
    <x v="0"/>
    <d v="2024-07-01T00:00:00"/>
    <n v="7"/>
    <s v="CUST-01115"/>
    <x v="1"/>
    <x v="21"/>
    <s v="TG"/>
    <x v="3"/>
    <s v="Hyderabad"/>
    <x v="3"/>
    <s v="P701"/>
    <s v="Ashwagandha Capsules"/>
    <x v="0"/>
    <n v="2"/>
    <n v="499"/>
    <n v="0.1"/>
    <n v="998"/>
    <n v="99.800000000000011"/>
    <n v="898.2"/>
    <n v="150"/>
    <n v="300"/>
    <n v="60"/>
    <n v="538.20000000000005"/>
    <n v="0.59919839679358722"/>
    <x v="2"/>
    <d v="2024-07-23T00:00:00"/>
    <n v="3"/>
    <x v="0"/>
    <n v="3"/>
    <n v="0"/>
  </r>
  <r>
    <s v="ORD-101006"/>
    <x v="199"/>
    <x v="0"/>
    <d v="2024-07-01T00:00:00"/>
    <n v="7"/>
    <s v="CUST-03080"/>
    <x v="0"/>
    <x v="21"/>
    <s v="TG"/>
    <x v="3"/>
    <s v="Hyderabad"/>
    <x v="4"/>
    <s v="P202"/>
    <s v="Argan Shampoo"/>
    <x v="6"/>
    <n v="2"/>
    <n v="449"/>
    <n v="0.05"/>
    <n v="898"/>
    <n v="44.900000000000006"/>
    <n v="853.1"/>
    <n v="148"/>
    <n v="296"/>
    <n v="120"/>
    <n v="437.1"/>
    <n v="0.51236666275934828"/>
    <x v="0"/>
    <d v="2024-07-23T00:00:00"/>
    <n v="3"/>
    <x v="0"/>
    <n v="4"/>
    <n v="1"/>
  </r>
  <r>
    <s v="ORD-101007"/>
    <x v="199"/>
    <x v="0"/>
    <d v="2024-07-01T00:00:00"/>
    <n v="7"/>
    <s v="CUST-01084"/>
    <x v="1"/>
    <x v="3"/>
    <s v="OD"/>
    <x v="2"/>
    <s v="Bhubaneswar"/>
    <x v="1"/>
    <s v="P403"/>
    <s v="Kolhapuri Sandals"/>
    <x v="5"/>
    <n v="1"/>
    <n v="999"/>
    <n v="0.05"/>
    <n v="999"/>
    <n v="49.95"/>
    <n v="949.05"/>
    <n v="400"/>
    <n v="400"/>
    <n v="60"/>
    <n v="489.04999999999995"/>
    <n v="0.5153047784626732"/>
    <x v="3"/>
    <d v="2024-07-23T00:00:00"/>
    <n v="3"/>
    <x v="0"/>
    <n v="4"/>
    <n v="0"/>
  </r>
  <r>
    <s v="ORD-101008"/>
    <x v="199"/>
    <x v="0"/>
    <d v="2024-07-01T00:00:00"/>
    <n v="7"/>
    <s v="CUST-01796"/>
    <x v="0"/>
    <x v="17"/>
    <s v="TN"/>
    <x v="3"/>
    <s v="Chennai"/>
    <x v="0"/>
    <s v="P403"/>
    <s v="Kolhapuri Sandals"/>
    <x v="5"/>
    <n v="3"/>
    <n v="999"/>
    <n v="0.05"/>
    <n v="2997"/>
    <n v="149.85"/>
    <n v="2847.15"/>
    <n v="400"/>
    <n v="1200"/>
    <n v="120"/>
    <n v="1527.15"/>
    <n v="0.53637848374690478"/>
    <x v="3"/>
    <d v="2024-07-23T00:00:00"/>
    <n v="3"/>
    <x v="0"/>
    <m/>
    <n v="1"/>
  </r>
  <r>
    <s v="ORD-101009"/>
    <x v="200"/>
    <x v="0"/>
    <d v="2024-07-01T00:00:00"/>
    <n v="7"/>
    <s v="CUST-01069"/>
    <x v="0"/>
    <x v="5"/>
    <s v="HP"/>
    <x v="0"/>
    <s v="Shimla"/>
    <x v="3"/>
    <s v="P103"/>
    <s v="Niacinamide Toner"/>
    <x v="3"/>
    <n v="1"/>
    <n v="399"/>
    <n v="0.25"/>
    <n v="399"/>
    <n v="99.75"/>
    <n v="299.25"/>
    <n v="112"/>
    <n v="112"/>
    <n v="60"/>
    <n v="127.25"/>
    <n v="0.42522974101921468"/>
    <x v="0"/>
    <d v="2024-07-24T00:00:00"/>
    <n v="3"/>
    <x v="0"/>
    <n v="4"/>
    <n v="0"/>
  </r>
  <r>
    <s v="ORD-101010"/>
    <x v="200"/>
    <x v="0"/>
    <d v="2024-07-01T00:00:00"/>
    <n v="7"/>
    <s v="CUST-00206"/>
    <x v="1"/>
    <x v="13"/>
    <s v="MP"/>
    <x v="1"/>
    <s v="Indore"/>
    <x v="3"/>
    <s v="P103"/>
    <s v="Niacinamide Toner"/>
    <x v="3"/>
    <n v="1"/>
    <n v="399"/>
    <n v="0.2"/>
    <n v="399"/>
    <n v="79.800000000000011"/>
    <n v="319.2"/>
    <n v="112"/>
    <n v="112"/>
    <n v="60"/>
    <n v="147.19999999999999"/>
    <n v="0.46115288220551376"/>
    <x v="1"/>
    <d v="2024-07-23T00:00:00"/>
    <n v="2"/>
    <x v="1"/>
    <m/>
    <n v="0"/>
  </r>
  <r>
    <s v="ORD-101011"/>
    <x v="200"/>
    <x v="0"/>
    <d v="2024-07-01T00:00:00"/>
    <n v="7"/>
    <s v="CUST-02533"/>
    <x v="1"/>
    <x v="10"/>
    <s v="CG"/>
    <x v="2"/>
    <s v="Raipur"/>
    <x v="4"/>
    <s v="P603"/>
    <s v="Smartwatch Strap"/>
    <x v="2"/>
    <n v="1"/>
    <n v="499"/>
    <n v="0.1"/>
    <n v="499"/>
    <n v="49.900000000000006"/>
    <n v="449.1"/>
    <n v="200"/>
    <n v="200"/>
    <n v="60"/>
    <n v="189.10000000000002"/>
    <n v="0.42106435092407041"/>
    <x v="0"/>
    <d v="2024-07-27T00:00:00"/>
    <n v="6"/>
    <x v="2"/>
    <n v="3"/>
    <n v="0"/>
  </r>
  <r>
    <s v="ORD-101012"/>
    <x v="201"/>
    <x v="0"/>
    <d v="2024-07-01T00:00:00"/>
    <n v="7"/>
    <s v="CUST-00222"/>
    <x v="0"/>
    <x v="12"/>
    <s v="BR"/>
    <x v="2"/>
    <s v="Patna"/>
    <x v="4"/>
    <s v="P503"/>
    <s v="Scented Candle Set"/>
    <x v="4"/>
    <n v="3"/>
    <n v="699"/>
    <n v="0.2"/>
    <n v="2097"/>
    <n v="419.40000000000003"/>
    <n v="1677.6"/>
    <n v="245"/>
    <n v="735"/>
    <n v="60"/>
    <n v="882.59999999999991"/>
    <n v="0.52610872675250353"/>
    <x v="3"/>
    <d v="2024-07-27T00:00:00"/>
    <n v="5"/>
    <x v="2"/>
    <n v="3"/>
    <n v="0"/>
  </r>
  <r>
    <s v="ORD-101013"/>
    <x v="201"/>
    <x v="0"/>
    <d v="2024-07-01T00:00:00"/>
    <n v="7"/>
    <s v="CUST-00103"/>
    <x v="1"/>
    <x v="13"/>
    <s v="MP"/>
    <x v="1"/>
    <s v="Bhopal"/>
    <x v="0"/>
    <s v="P603"/>
    <s v="Smartwatch Strap"/>
    <x v="2"/>
    <n v="1"/>
    <n v="499"/>
    <n v="0.2"/>
    <n v="499"/>
    <n v="99.800000000000011"/>
    <n v="399.2"/>
    <n v="200"/>
    <n v="200"/>
    <n v="60"/>
    <n v="139.19999999999999"/>
    <n v="0.34869739478957912"/>
    <x v="2"/>
    <d v="2024-07-23T00:00:00"/>
    <n v="1"/>
    <x v="1"/>
    <n v="4"/>
    <n v="0"/>
  </r>
  <r>
    <s v="ORD-101014"/>
    <x v="201"/>
    <x v="0"/>
    <d v="2024-07-01T00:00:00"/>
    <n v="7"/>
    <s v="CUST-01589"/>
    <x v="0"/>
    <x v="7"/>
    <s v="JH"/>
    <x v="2"/>
    <s v="Ranchi"/>
    <x v="1"/>
    <s v="P301"/>
    <s v="Cotton Oversized T-Shirt"/>
    <x v="1"/>
    <n v="1"/>
    <n v="799"/>
    <n v="0.1"/>
    <n v="799"/>
    <n v="79.900000000000006"/>
    <n v="719.1"/>
    <n v="320"/>
    <n v="320"/>
    <n v="60"/>
    <n v="339.1"/>
    <n v="0.47156167431511614"/>
    <x v="2"/>
    <d v="2024-07-27T00:00:00"/>
    <n v="5"/>
    <x v="2"/>
    <m/>
    <n v="0"/>
  </r>
  <r>
    <s v="ORD-101015"/>
    <x v="201"/>
    <x v="0"/>
    <d v="2024-07-01T00:00:00"/>
    <n v="7"/>
    <s v="CUST-02286"/>
    <x v="0"/>
    <x v="21"/>
    <s v="TG"/>
    <x v="3"/>
    <s v="Hyderabad"/>
    <x v="0"/>
    <s v="P102"/>
    <s v="Sunscreen SPF 50"/>
    <x v="3"/>
    <n v="1"/>
    <n v="449"/>
    <n v="0.05"/>
    <n v="449"/>
    <n v="22.450000000000003"/>
    <n v="426.55"/>
    <n v="144"/>
    <n v="144"/>
    <n v="60"/>
    <n v="222.55"/>
    <n v="0.52174422693705313"/>
    <x v="1"/>
    <d v="2024-07-23T00:00:00"/>
    <n v="1"/>
    <x v="1"/>
    <n v="4"/>
    <n v="0"/>
  </r>
  <r>
    <s v="ORD-101016"/>
    <x v="201"/>
    <x v="0"/>
    <d v="2024-07-01T00:00:00"/>
    <n v="7"/>
    <s v="CUST-00979"/>
    <x v="0"/>
    <x v="11"/>
    <s v="KA"/>
    <x v="3"/>
    <s v="Bengaluru"/>
    <x v="0"/>
    <s v="P204"/>
    <s v="Anti-Dandruff Conditioner"/>
    <x v="6"/>
    <n v="2"/>
    <n v="399"/>
    <n v="0.45"/>
    <n v="798"/>
    <n v="359.1"/>
    <n v="438.9"/>
    <n v="136"/>
    <n v="272"/>
    <n v="60"/>
    <n v="106.89999999999998"/>
    <n v="0.24356345408976984"/>
    <x v="4"/>
    <d v="2024-07-24T00:00:00"/>
    <n v="2"/>
    <x v="1"/>
    <n v="5"/>
    <n v="0"/>
  </r>
  <r>
    <s v="ORD-101017"/>
    <x v="202"/>
    <x v="0"/>
    <d v="2024-07-01T00:00:00"/>
    <n v="7"/>
    <s v="CUST-02963"/>
    <x v="0"/>
    <x v="15"/>
    <s v="HR"/>
    <x v="0"/>
    <s v="Faridabad"/>
    <x v="1"/>
    <s v="P403"/>
    <s v="Kolhapuri Sandals"/>
    <x v="5"/>
    <n v="1"/>
    <n v="999"/>
    <n v="0.05"/>
    <n v="999"/>
    <n v="49.95"/>
    <n v="949.05"/>
    <n v="400"/>
    <n v="400"/>
    <n v="60"/>
    <n v="489.04999999999995"/>
    <n v="0.5153047784626732"/>
    <x v="0"/>
    <d v="2024-07-28T00:00:00"/>
    <n v="5"/>
    <x v="2"/>
    <n v="5"/>
    <n v="0"/>
  </r>
  <r>
    <s v="ORD-101018"/>
    <x v="202"/>
    <x v="0"/>
    <d v="2024-07-01T00:00:00"/>
    <n v="7"/>
    <s v="CUST-00594"/>
    <x v="0"/>
    <x v="6"/>
    <s v="DL"/>
    <x v="0"/>
    <s v="New Delhi"/>
    <x v="0"/>
    <s v="P101"/>
    <s v="Vitamin C Face Serum"/>
    <x v="3"/>
    <n v="1"/>
    <n v="599"/>
    <n v="0.1"/>
    <n v="599"/>
    <n v="59.900000000000006"/>
    <n v="539.1"/>
    <n v="180"/>
    <n v="180"/>
    <n v="60"/>
    <n v="299.10000000000002"/>
    <n v="0.5548135781858653"/>
    <x v="0"/>
    <d v="2024-07-24T00:00:00"/>
    <n v="1"/>
    <x v="1"/>
    <n v="4"/>
    <n v="0"/>
  </r>
  <r>
    <s v="ORD-101019"/>
    <x v="202"/>
    <x v="0"/>
    <d v="2024-07-01T00:00:00"/>
    <n v="7"/>
    <s v="CUST-00299"/>
    <x v="1"/>
    <x v="1"/>
    <s v="GJ"/>
    <x v="1"/>
    <s v="Surat"/>
    <x v="0"/>
    <s v="P303"/>
    <s v="Joggers"/>
    <x v="1"/>
    <n v="1"/>
    <n v="1199"/>
    <n v="0.2"/>
    <n v="1199"/>
    <n v="239.8"/>
    <n v="959.2"/>
    <n v="492"/>
    <n v="492"/>
    <n v="60"/>
    <n v="407.20000000000005"/>
    <n v="0.42452043369474562"/>
    <x v="0"/>
    <d v="2024-07-25T00:00:00"/>
    <n v="2"/>
    <x v="1"/>
    <n v="4"/>
    <n v="0"/>
  </r>
  <r>
    <s v="ORD-101020"/>
    <x v="202"/>
    <x v="0"/>
    <d v="2024-07-01T00:00:00"/>
    <n v="7"/>
    <s v="CUST-00882"/>
    <x v="0"/>
    <x v="1"/>
    <s v="GJ"/>
    <x v="1"/>
    <s v="Surat"/>
    <x v="4"/>
    <s v="P304"/>
    <s v="Denim Jacket"/>
    <x v="1"/>
    <n v="1"/>
    <n v="2499"/>
    <n v="0.1"/>
    <n v="2499"/>
    <n v="249.9"/>
    <n v="2249.1"/>
    <n v="1125"/>
    <n v="1125"/>
    <n v="120"/>
    <n v="1004.0999999999999"/>
    <n v="0.44644524476457248"/>
    <x v="3"/>
    <d v="2024-07-26T00:00:00"/>
    <n v="3"/>
    <x v="0"/>
    <n v="3"/>
    <n v="1"/>
  </r>
  <r>
    <s v="ORD-101021"/>
    <x v="202"/>
    <x v="0"/>
    <d v="2024-07-01T00:00:00"/>
    <n v="7"/>
    <s v="CUST-00062"/>
    <x v="0"/>
    <x v="7"/>
    <s v="JH"/>
    <x v="2"/>
    <s v="Ranchi"/>
    <x v="2"/>
    <s v="P202"/>
    <s v="Argan Shampoo"/>
    <x v="6"/>
    <n v="1"/>
    <n v="449"/>
    <n v="0"/>
    <n v="449"/>
    <n v="0"/>
    <n v="449"/>
    <n v="148"/>
    <n v="148"/>
    <n v="60"/>
    <n v="241"/>
    <n v="0.53674832962138086"/>
    <x v="0"/>
    <d v="2024-07-29T00:00:00"/>
    <n v="6"/>
    <x v="2"/>
    <m/>
    <n v="0"/>
  </r>
  <r>
    <s v="ORD-101022"/>
    <x v="202"/>
    <x v="0"/>
    <d v="2024-07-01T00:00:00"/>
    <n v="7"/>
    <s v="CUST-02916"/>
    <x v="0"/>
    <x v="2"/>
    <s v="MH"/>
    <x v="1"/>
    <s v="Nagpur"/>
    <x v="0"/>
    <s v="P503"/>
    <s v="Scented Candle Set"/>
    <x v="4"/>
    <n v="2"/>
    <n v="699"/>
    <n v="0.25"/>
    <n v="1398"/>
    <n v="349.5"/>
    <n v="1048.5"/>
    <n v="245"/>
    <n v="490"/>
    <n v="60"/>
    <n v="498.5"/>
    <n v="0.47544110634239389"/>
    <x v="0"/>
    <d v="2024-07-25T00:00:00"/>
    <n v="2"/>
    <x v="1"/>
    <m/>
    <n v="0"/>
  </r>
  <r>
    <s v="ORD-101023"/>
    <x v="202"/>
    <x v="0"/>
    <d v="2024-07-01T00:00:00"/>
    <n v="7"/>
    <s v="CUST-00971"/>
    <x v="1"/>
    <x v="2"/>
    <s v="MH"/>
    <x v="1"/>
    <s v="Mumbai"/>
    <x v="0"/>
    <s v="P502"/>
    <s v="Ceramic Dinner Set"/>
    <x v="4"/>
    <n v="1"/>
    <n v="2499"/>
    <n v="0.35"/>
    <n v="2499"/>
    <n v="874.65"/>
    <n v="1624.35"/>
    <n v="1250"/>
    <n v="1250"/>
    <n v="60"/>
    <n v="314.34999999999991"/>
    <n v="0.19352356327146239"/>
    <x v="3"/>
    <d v="2024-07-24T00:00:00"/>
    <n v="1"/>
    <x v="1"/>
    <n v="4"/>
    <n v="0"/>
  </r>
  <r>
    <s v="ORD-101024"/>
    <x v="202"/>
    <x v="0"/>
    <d v="2024-07-01T00:00:00"/>
    <n v="7"/>
    <s v="CUST-00513"/>
    <x v="0"/>
    <x v="21"/>
    <s v="TG"/>
    <x v="3"/>
    <s v="Hyderabad"/>
    <x v="3"/>
    <s v="P704"/>
    <s v="Multivitamin Gummies"/>
    <x v="0"/>
    <n v="2"/>
    <n v="699"/>
    <n v="0.2"/>
    <n v="1398"/>
    <n v="279.60000000000002"/>
    <n v="1118.4000000000001"/>
    <n v="238"/>
    <n v="476"/>
    <n v="60"/>
    <n v="582.40000000000009"/>
    <n v="0.5207439198855508"/>
    <x v="4"/>
    <d v="2024-07-26T00:00:00"/>
    <n v="3"/>
    <x v="0"/>
    <n v="4"/>
    <n v="0"/>
  </r>
  <r>
    <s v="ORD-101025"/>
    <x v="202"/>
    <x v="0"/>
    <d v="2024-07-01T00:00:00"/>
    <n v="7"/>
    <s v="CUST-00596"/>
    <x v="0"/>
    <x v="8"/>
    <s v="AP"/>
    <x v="3"/>
    <s v="Visakhapatnam"/>
    <x v="4"/>
    <s v="P101"/>
    <s v="Vitamin C Face Serum"/>
    <x v="3"/>
    <n v="1"/>
    <n v="599"/>
    <n v="0.1"/>
    <n v="599"/>
    <n v="59.900000000000006"/>
    <n v="539.1"/>
    <n v="180"/>
    <n v="180"/>
    <n v="60"/>
    <n v="299.10000000000002"/>
    <n v="0.5548135781858653"/>
    <x v="1"/>
    <d v="2024-07-26T00:00:00"/>
    <n v="3"/>
    <x v="0"/>
    <n v="4"/>
    <n v="0"/>
  </r>
  <r>
    <s v="ORD-101026"/>
    <x v="203"/>
    <x v="0"/>
    <d v="2024-07-01T00:00:00"/>
    <n v="7"/>
    <s v="CUST-00329"/>
    <x v="0"/>
    <x v="13"/>
    <s v="MP"/>
    <x v="1"/>
    <s v="Bhopal"/>
    <x v="3"/>
    <s v="P202"/>
    <s v="Argan Shampoo"/>
    <x v="6"/>
    <n v="1"/>
    <n v="449"/>
    <n v="0.1"/>
    <n v="449"/>
    <n v="44.900000000000006"/>
    <n v="404.1"/>
    <n v="148"/>
    <n v="148"/>
    <n v="60"/>
    <n v="196.10000000000002"/>
    <n v="0.48527592180153428"/>
    <x v="3"/>
    <d v="2024-07-27T00:00:00"/>
    <n v="3"/>
    <x v="0"/>
    <n v="4"/>
    <n v="0"/>
  </r>
  <r>
    <s v="ORD-101027"/>
    <x v="203"/>
    <x v="0"/>
    <d v="2024-07-01T00:00:00"/>
    <n v="7"/>
    <s v="CUST-00558"/>
    <x v="0"/>
    <x v="17"/>
    <s v="TN"/>
    <x v="3"/>
    <s v="Coimbatore"/>
    <x v="3"/>
    <s v="P104"/>
    <s v="Hydrating Face Wash"/>
    <x v="3"/>
    <n v="1"/>
    <n v="299"/>
    <n v="0.05"/>
    <n v="299"/>
    <n v="14.950000000000001"/>
    <n v="284.05"/>
    <n v="90"/>
    <n v="90"/>
    <n v="60"/>
    <n v="134.05000000000001"/>
    <n v="0.47192395704981521"/>
    <x v="0"/>
    <d v="2024-07-27T00:00:00"/>
    <n v="3"/>
    <x v="0"/>
    <n v="4"/>
    <n v="0"/>
  </r>
  <r>
    <s v="ORD-101028"/>
    <x v="204"/>
    <x v="0"/>
    <d v="2024-07-01T00:00:00"/>
    <n v="7"/>
    <s v="CUST-00386"/>
    <x v="0"/>
    <x v="6"/>
    <s v="DL"/>
    <x v="0"/>
    <s v="New Delhi"/>
    <x v="3"/>
    <s v="P701"/>
    <s v="Ashwagandha Capsules"/>
    <x v="0"/>
    <n v="1"/>
    <n v="499"/>
    <n v="0"/>
    <n v="499"/>
    <n v="0"/>
    <n v="499"/>
    <n v="150"/>
    <n v="150"/>
    <n v="120"/>
    <n v="229"/>
    <n v="0.4589178356713427"/>
    <x v="0"/>
    <d v="2024-07-26T00:00:00"/>
    <n v="1"/>
    <x v="1"/>
    <n v="4"/>
    <n v="1"/>
  </r>
  <r>
    <s v="ORD-101029"/>
    <x v="204"/>
    <x v="0"/>
    <d v="2024-07-01T00:00:00"/>
    <n v="7"/>
    <s v="CUST-00034"/>
    <x v="1"/>
    <x v="1"/>
    <s v="GJ"/>
    <x v="1"/>
    <s v="Surat"/>
    <x v="0"/>
    <s v="P303"/>
    <s v="Joggers"/>
    <x v="1"/>
    <n v="2"/>
    <n v="1199"/>
    <n v="0.1"/>
    <n v="2398"/>
    <n v="239.8"/>
    <n v="2158.1999999999998"/>
    <n v="492"/>
    <n v="984"/>
    <n v="60"/>
    <n v="1114.1999999999998"/>
    <n v="0.51626355296080062"/>
    <x v="0"/>
    <d v="2024-07-29T00:00:00"/>
    <n v="4"/>
    <x v="0"/>
    <n v="4"/>
    <n v="0"/>
  </r>
  <r>
    <s v="ORD-101030"/>
    <x v="204"/>
    <x v="0"/>
    <d v="2024-07-01T00:00:00"/>
    <n v="7"/>
    <s v="CUST-00426"/>
    <x v="0"/>
    <x v="18"/>
    <s v="WB"/>
    <x v="2"/>
    <s v="Kolkata"/>
    <x v="2"/>
    <s v="P305"/>
    <s v="Printed Saree"/>
    <x v="1"/>
    <n v="1"/>
    <n v="1999"/>
    <n v="0.1"/>
    <n v="1999"/>
    <n v="199.9"/>
    <n v="1799.1"/>
    <n v="880"/>
    <n v="880"/>
    <n v="60"/>
    <n v="859.09999999999991"/>
    <n v="0.47751653604580063"/>
    <x v="3"/>
    <d v="2024-07-30T00:00:00"/>
    <n v="5"/>
    <x v="2"/>
    <m/>
    <n v="0"/>
  </r>
  <r>
    <s v="ORD-101031"/>
    <x v="204"/>
    <x v="0"/>
    <d v="2024-07-01T00:00:00"/>
    <n v="7"/>
    <s v="CUST-00214"/>
    <x v="1"/>
    <x v="11"/>
    <s v="KA"/>
    <x v="3"/>
    <s v="Mysuru"/>
    <x v="4"/>
    <s v="P404"/>
    <s v="Flip Flops"/>
    <x v="5"/>
    <n v="3"/>
    <n v="399"/>
    <n v="0.1"/>
    <n v="1197"/>
    <n v="119.7"/>
    <n v="1077.3"/>
    <n v="152"/>
    <n v="456"/>
    <n v="60"/>
    <n v="561.29999999999995"/>
    <n v="0.52102478418267895"/>
    <x v="0"/>
    <d v="2024-07-26T00:00:00"/>
    <n v="1"/>
    <x v="1"/>
    <m/>
    <n v="0"/>
  </r>
  <r>
    <s v="ORD-101032"/>
    <x v="204"/>
    <x v="0"/>
    <d v="2024-07-01T00:00:00"/>
    <n v="7"/>
    <s v="CUST-00100"/>
    <x v="1"/>
    <x v="11"/>
    <s v="KA"/>
    <x v="3"/>
    <s v="Bengaluru"/>
    <x v="1"/>
    <s v="P301"/>
    <s v="Cotton Oversized T-Shirt"/>
    <x v="1"/>
    <n v="1"/>
    <n v="799"/>
    <n v="0.05"/>
    <n v="799"/>
    <n v="39.950000000000003"/>
    <n v="759.05"/>
    <n v="320"/>
    <n v="320"/>
    <n v="60"/>
    <n v="379.04999999999995"/>
    <n v="0.49937421777221525"/>
    <x v="0"/>
    <d v="2024-07-26T00:00:00"/>
    <n v="1"/>
    <x v="1"/>
    <m/>
    <n v="0"/>
  </r>
  <r>
    <s v="ORD-101033"/>
    <x v="204"/>
    <x v="0"/>
    <d v="2024-07-01T00:00:00"/>
    <n v="7"/>
    <s v="CUST-00920"/>
    <x v="0"/>
    <x v="17"/>
    <s v="TN"/>
    <x v="3"/>
    <s v="Coimbatore"/>
    <x v="2"/>
    <s v="P302"/>
    <s v="Linen Kurta"/>
    <x v="1"/>
    <n v="3"/>
    <n v="1499"/>
    <n v="0.35"/>
    <n v="4497"/>
    <n v="1573.9499999999998"/>
    <n v="2923.05"/>
    <n v="630"/>
    <n v="1890"/>
    <n v="60"/>
    <n v="973.05000000000018"/>
    <n v="0.33288859239493002"/>
    <x v="3"/>
    <d v="2024-07-28T00:00:00"/>
    <n v="3"/>
    <x v="0"/>
    <n v="4"/>
    <n v="0"/>
  </r>
  <r>
    <s v="ORD-101034"/>
    <x v="205"/>
    <x v="0"/>
    <d v="2024-07-01T00:00:00"/>
    <n v="7"/>
    <s v="CUST-01602"/>
    <x v="0"/>
    <x v="6"/>
    <s v="DL"/>
    <x v="0"/>
    <s v="New Delhi"/>
    <x v="1"/>
    <s v="P403"/>
    <s v="Kolhapuri Sandals"/>
    <x v="5"/>
    <n v="2"/>
    <n v="999"/>
    <n v="0.1"/>
    <n v="1998"/>
    <n v="199.8"/>
    <n v="1798.2"/>
    <n v="400"/>
    <n v="800"/>
    <n v="60"/>
    <n v="938.2"/>
    <n v="0.52174396618841068"/>
    <x v="0"/>
    <d v="2024-07-27T00:00:00"/>
    <n v="1"/>
    <x v="1"/>
    <n v="4"/>
    <n v="0"/>
  </r>
  <r>
    <s v="ORD-101035"/>
    <x v="205"/>
    <x v="0"/>
    <d v="2024-07-01T00:00:00"/>
    <n v="7"/>
    <s v="CUST-01077"/>
    <x v="1"/>
    <x v="1"/>
    <s v="GJ"/>
    <x v="1"/>
    <s v="Ahmedabad"/>
    <x v="0"/>
    <s v="P701"/>
    <s v="Ashwagandha Capsules"/>
    <x v="0"/>
    <n v="1"/>
    <n v="499"/>
    <n v="0.05"/>
    <n v="499"/>
    <n v="24.950000000000003"/>
    <n v="474.05"/>
    <n v="150"/>
    <n v="150"/>
    <n v="60"/>
    <n v="264.05"/>
    <n v="0.55700875435080688"/>
    <x v="3"/>
    <d v="2024-07-28T00:00:00"/>
    <n v="2"/>
    <x v="1"/>
    <n v="4"/>
    <n v="0"/>
  </r>
  <r>
    <s v="ORD-101036"/>
    <x v="205"/>
    <x v="0"/>
    <d v="2024-07-01T00:00:00"/>
    <n v="7"/>
    <s v="CUST-01078"/>
    <x v="1"/>
    <x v="13"/>
    <s v="MP"/>
    <x v="1"/>
    <s v="Bhopal"/>
    <x v="4"/>
    <s v="P203"/>
    <s v="Keratin Hair Mask"/>
    <x v="6"/>
    <n v="1"/>
    <n v="549"/>
    <n v="0.15"/>
    <n v="549"/>
    <n v="82.35"/>
    <n v="466.65"/>
    <n v="170"/>
    <n v="170"/>
    <n v="120"/>
    <n v="176.64999999999998"/>
    <n v="0.3785492339012107"/>
    <x v="3"/>
    <d v="2024-07-30T00:00:00"/>
    <n v="4"/>
    <x v="0"/>
    <m/>
    <n v="1"/>
  </r>
  <r>
    <s v="ORD-101037"/>
    <x v="205"/>
    <x v="0"/>
    <d v="2024-07-01T00:00:00"/>
    <n v="7"/>
    <s v="CUST-02568"/>
    <x v="0"/>
    <x v="7"/>
    <s v="JH"/>
    <x v="2"/>
    <s v="Ranchi"/>
    <x v="1"/>
    <s v="P301"/>
    <s v="Cotton Oversized T-Shirt"/>
    <x v="1"/>
    <n v="1"/>
    <n v="799"/>
    <n v="0"/>
    <n v="799"/>
    <n v="0"/>
    <n v="799"/>
    <n v="320"/>
    <n v="320"/>
    <n v="60"/>
    <n v="419"/>
    <n v="0.52440550688360454"/>
    <x v="4"/>
    <d v="2024-07-29T00:00:00"/>
    <n v="3"/>
    <x v="0"/>
    <m/>
    <n v="0"/>
  </r>
  <r>
    <s v="ORD-101038"/>
    <x v="206"/>
    <x v="0"/>
    <d v="2024-07-01T00:00:00"/>
    <n v="7"/>
    <s v="CUST-00131"/>
    <x v="0"/>
    <x v="15"/>
    <s v="HR"/>
    <x v="0"/>
    <s v="Gurugram"/>
    <x v="4"/>
    <s v="P101"/>
    <s v="Vitamin C Face Serum"/>
    <x v="3"/>
    <n v="1"/>
    <n v="599"/>
    <n v="0.2"/>
    <n v="599"/>
    <n v="119.80000000000001"/>
    <n v="479.2"/>
    <n v="180"/>
    <n v="180"/>
    <n v="60"/>
    <n v="239.2"/>
    <n v="0.4991652754590985"/>
    <x v="0"/>
    <d v="2024-07-29T00:00:00"/>
    <n v="2"/>
    <x v="1"/>
    <n v="4"/>
    <n v="0"/>
  </r>
  <r>
    <s v="ORD-101039"/>
    <x v="206"/>
    <x v="0"/>
    <d v="2024-07-01T00:00:00"/>
    <n v="7"/>
    <s v="CUST-02759"/>
    <x v="0"/>
    <x v="1"/>
    <s v="GJ"/>
    <x v="1"/>
    <s v="Surat"/>
    <x v="2"/>
    <s v="P204"/>
    <s v="Anti-Dandruff Conditioner"/>
    <x v="6"/>
    <n v="4"/>
    <n v="399"/>
    <n v="0.35"/>
    <n v="1596"/>
    <n v="558.59999999999991"/>
    <n v="1037.4000000000001"/>
    <n v="136"/>
    <n v="544"/>
    <n v="60"/>
    <n v="433.40000000000009"/>
    <n v="0.4177752072488915"/>
    <x v="2"/>
    <d v="2024-07-30T00:00:00"/>
    <n v="3"/>
    <x v="0"/>
    <n v="4"/>
    <n v="0"/>
  </r>
  <r>
    <s v="ORD-101040"/>
    <x v="206"/>
    <x v="0"/>
    <d v="2024-07-01T00:00:00"/>
    <n v="7"/>
    <s v="CUST-03182"/>
    <x v="0"/>
    <x v="13"/>
    <s v="MP"/>
    <x v="1"/>
    <s v="Indore"/>
    <x v="4"/>
    <s v="P701"/>
    <s v="Ashwagandha Capsules"/>
    <x v="0"/>
    <n v="1"/>
    <n v="499"/>
    <n v="0.05"/>
    <n v="499"/>
    <n v="24.950000000000003"/>
    <n v="474.05"/>
    <n v="150"/>
    <n v="150"/>
    <n v="60"/>
    <n v="264.05"/>
    <n v="0.55700875435080688"/>
    <x v="0"/>
    <d v="2024-07-30T00:00:00"/>
    <n v="3"/>
    <x v="0"/>
    <n v="4"/>
    <n v="0"/>
  </r>
  <r>
    <s v="ORD-101041"/>
    <x v="206"/>
    <x v="0"/>
    <d v="2024-07-01T00:00:00"/>
    <n v="7"/>
    <s v="CUST-03151"/>
    <x v="0"/>
    <x v="21"/>
    <s v="TG"/>
    <x v="3"/>
    <s v="Hyderabad"/>
    <x v="0"/>
    <s v="P404"/>
    <s v="Flip Flops"/>
    <x v="5"/>
    <n v="1"/>
    <n v="399"/>
    <n v="0.15"/>
    <n v="399"/>
    <n v="59.849999999999994"/>
    <n v="339.15"/>
    <n v="152"/>
    <n v="152"/>
    <n v="120"/>
    <n v="67.149999999999977"/>
    <n v="0.19799498746867161"/>
    <x v="3"/>
    <d v="2024-07-28T00:00:00"/>
    <n v="1"/>
    <x v="1"/>
    <m/>
    <n v="1"/>
  </r>
  <r>
    <s v="ORD-101042"/>
    <x v="207"/>
    <x v="0"/>
    <d v="2024-07-01T00:00:00"/>
    <n v="7"/>
    <s v="CUST-00815"/>
    <x v="1"/>
    <x v="6"/>
    <s v="DL"/>
    <x v="0"/>
    <s v="New Delhi"/>
    <x v="1"/>
    <s v="P401"/>
    <s v="Running Shoes"/>
    <x v="5"/>
    <n v="2"/>
    <n v="2999"/>
    <n v="0.2"/>
    <n v="5998"/>
    <n v="1199.6000000000001"/>
    <n v="4798.3999999999996"/>
    <n v="1440"/>
    <n v="2880"/>
    <n v="60"/>
    <n v="1858.3999999999996"/>
    <n v="0.38729576525508497"/>
    <x v="0"/>
    <d v="2024-07-30T00:00:00"/>
    <n v="2"/>
    <x v="1"/>
    <n v="4"/>
    <n v="0"/>
  </r>
  <r>
    <s v="ORD-101043"/>
    <x v="207"/>
    <x v="0"/>
    <d v="2024-07-01T00:00:00"/>
    <n v="7"/>
    <s v="CUST-00714"/>
    <x v="0"/>
    <x v="16"/>
    <s v="UP"/>
    <x v="0"/>
    <s v="Lucknow"/>
    <x v="0"/>
    <s v="P305"/>
    <s v="Printed Saree"/>
    <x v="1"/>
    <n v="2"/>
    <n v="1999"/>
    <n v="0.05"/>
    <n v="3998"/>
    <n v="199.9"/>
    <n v="3798.1"/>
    <n v="880"/>
    <n v="1760"/>
    <n v="60"/>
    <n v="1978.1"/>
    <n v="0.52081303809799639"/>
    <x v="2"/>
    <d v="2024-07-31T00:00:00"/>
    <n v="3"/>
    <x v="0"/>
    <m/>
    <n v="0"/>
  </r>
  <r>
    <s v="ORD-101044"/>
    <x v="207"/>
    <x v="0"/>
    <d v="2024-07-01T00:00:00"/>
    <n v="7"/>
    <s v="CUST-00609"/>
    <x v="0"/>
    <x v="1"/>
    <s v="GJ"/>
    <x v="1"/>
    <s v="Surat"/>
    <x v="2"/>
    <s v="P503"/>
    <s v="Scented Candle Set"/>
    <x v="4"/>
    <n v="1"/>
    <n v="699"/>
    <n v="0.1"/>
    <n v="699"/>
    <n v="69.900000000000006"/>
    <n v="629.1"/>
    <n v="245"/>
    <n v="245"/>
    <n v="120"/>
    <n v="264.10000000000002"/>
    <n v="0.41980607216658722"/>
    <x v="3"/>
    <d v="2024-07-29T00:00:00"/>
    <n v="1"/>
    <x v="1"/>
    <n v="5"/>
    <n v="1"/>
  </r>
  <r>
    <s v="ORD-101045"/>
    <x v="207"/>
    <x v="0"/>
    <d v="2024-07-01T00:00:00"/>
    <n v="7"/>
    <s v="CUST-00143"/>
    <x v="0"/>
    <x v="18"/>
    <s v="WB"/>
    <x v="2"/>
    <s v="Kolkata"/>
    <x v="4"/>
    <s v="P601"/>
    <s v="Wireless Earbuds"/>
    <x v="2"/>
    <n v="1"/>
    <n v="1999"/>
    <n v="0.35"/>
    <n v="1999"/>
    <n v="699.65"/>
    <n v="1299.3499999999999"/>
    <n v="1239"/>
    <n v="1239"/>
    <n v="60"/>
    <n v="0.34999999999990905"/>
    <n v="2.6936545195667763E-4"/>
    <x v="1"/>
    <d v="2024-08-01T00:00:00"/>
    <n v="4"/>
    <x v="0"/>
    <n v="5"/>
    <n v="0"/>
  </r>
  <r>
    <s v="ORD-101046"/>
    <x v="208"/>
    <x v="0"/>
    <d v="2024-07-01T00:00:00"/>
    <n v="7"/>
    <s v="CUST-00571"/>
    <x v="0"/>
    <x v="12"/>
    <s v="BR"/>
    <x v="2"/>
    <s v="Patna"/>
    <x v="4"/>
    <s v="P305"/>
    <s v="Printed Saree"/>
    <x v="1"/>
    <n v="3"/>
    <n v="1999"/>
    <n v="0.05"/>
    <n v="5997"/>
    <n v="299.85000000000002"/>
    <n v="5697.15"/>
    <n v="880"/>
    <n v="2640"/>
    <n v="60"/>
    <n v="2997.1499999999996"/>
    <n v="0.52607882888812829"/>
    <x v="0"/>
    <d v="2024-08-03T00:00:00"/>
    <n v="5"/>
    <x v="2"/>
    <n v="4"/>
    <n v="0"/>
  </r>
  <r>
    <s v="ORD-101047"/>
    <x v="208"/>
    <x v="0"/>
    <d v="2024-07-01T00:00:00"/>
    <n v="7"/>
    <s v="CUST-02091"/>
    <x v="0"/>
    <x v="11"/>
    <s v="KA"/>
    <x v="3"/>
    <s v="Bengaluru"/>
    <x v="2"/>
    <s v="P404"/>
    <s v="Flip Flops"/>
    <x v="5"/>
    <n v="1"/>
    <n v="399"/>
    <n v="0"/>
    <n v="399"/>
    <n v="0"/>
    <n v="399"/>
    <n v="152"/>
    <n v="152"/>
    <n v="120"/>
    <n v="127"/>
    <n v="0.31829573934837091"/>
    <x v="4"/>
    <d v="2024-07-31T00:00:00"/>
    <n v="2"/>
    <x v="1"/>
    <m/>
    <n v="1"/>
  </r>
  <r>
    <s v="ORD-101048"/>
    <x v="209"/>
    <x v="0"/>
    <d v="2024-07-01T00:00:00"/>
    <n v="7"/>
    <s v="CUST-03107"/>
    <x v="0"/>
    <x v="4"/>
    <s v="JK"/>
    <x v="0"/>
    <s v="Srinagar"/>
    <x v="2"/>
    <s v="P602"/>
    <s v="Fast Charger 33W"/>
    <x v="2"/>
    <n v="1"/>
    <n v="899"/>
    <n v="0.1"/>
    <n v="899"/>
    <n v="89.9"/>
    <n v="809.1"/>
    <n v="494"/>
    <n v="494"/>
    <n v="60"/>
    <n v="255.10000000000002"/>
    <n v="0.31528859226300832"/>
    <x v="3"/>
    <d v="2024-08-07T00:00:00"/>
    <n v="8"/>
    <x v="2"/>
    <n v="3"/>
    <n v="0"/>
  </r>
  <r>
    <s v="ORD-101049"/>
    <x v="209"/>
    <x v="0"/>
    <d v="2024-07-01T00:00:00"/>
    <n v="7"/>
    <s v="CUST-00601"/>
    <x v="0"/>
    <x v="0"/>
    <s v="RJ"/>
    <x v="0"/>
    <s v="Udaipur"/>
    <x v="2"/>
    <s v="P102"/>
    <s v="Sunscreen SPF 50"/>
    <x v="3"/>
    <n v="1"/>
    <n v="449"/>
    <n v="0"/>
    <n v="449"/>
    <n v="0"/>
    <n v="449"/>
    <n v="144"/>
    <n v="144"/>
    <n v="60"/>
    <n v="245"/>
    <n v="0.54565701559020041"/>
    <x v="0"/>
    <d v="2024-08-03T00:00:00"/>
    <n v="4"/>
    <x v="0"/>
    <m/>
    <n v="0"/>
  </r>
  <r>
    <s v="ORD-101050"/>
    <x v="209"/>
    <x v="0"/>
    <d v="2024-07-01T00:00:00"/>
    <n v="7"/>
    <s v="CUST-00301"/>
    <x v="1"/>
    <x v="15"/>
    <s v="HR"/>
    <x v="0"/>
    <s v="Gurugram"/>
    <x v="2"/>
    <s v="P703"/>
    <s v="Green Tea (100 bags)"/>
    <x v="0"/>
    <n v="2"/>
    <n v="399"/>
    <n v="0.3"/>
    <n v="798"/>
    <n v="239.39999999999998"/>
    <n v="558.6"/>
    <n v="128"/>
    <n v="256"/>
    <n v="60"/>
    <n v="242.60000000000002"/>
    <n v="0.43430003580379523"/>
    <x v="0"/>
    <d v="2024-08-03T00:00:00"/>
    <n v="4"/>
    <x v="0"/>
    <m/>
    <n v="0"/>
  </r>
  <r>
    <s v="ORD-101051"/>
    <x v="209"/>
    <x v="0"/>
    <d v="2024-07-01T00:00:00"/>
    <n v="7"/>
    <s v="CUST-02904"/>
    <x v="0"/>
    <x v="1"/>
    <s v="GJ"/>
    <x v="1"/>
    <s v="Ahmedabad"/>
    <x v="4"/>
    <s v="P203"/>
    <s v="Keratin Hair Mask"/>
    <x v="6"/>
    <n v="1"/>
    <n v="549"/>
    <n v="0.25"/>
    <n v="549"/>
    <n v="137.25"/>
    <n v="411.75"/>
    <n v="170"/>
    <n v="170"/>
    <n v="60"/>
    <n v="181.75"/>
    <n v="0.44140862173649059"/>
    <x v="0"/>
    <d v="2024-08-03T00:00:00"/>
    <n v="4"/>
    <x v="0"/>
    <n v="4"/>
    <n v="0"/>
  </r>
  <r>
    <s v="ORD-101052"/>
    <x v="209"/>
    <x v="0"/>
    <d v="2024-07-01T00:00:00"/>
    <n v="7"/>
    <s v="CUST-00906"/>
    <x v="0"/>
    <x v="2"/>
    <s v="MH"/>
    <x v="1"/>
    <s v="Nagpur"/>
    <x v="4"/>
    <s v="P701"/>
    <s v="Ashwagandha Capsules"/>
    <x v="0"/>
    <n v="1"/>
    <n v="499"/>
    <n v="0"/>
    <n v="499"/>
    <n v="0"/>
    <n v="499"/>
    <n v="150"/>
    <n v="150"/>
    <n v="60"/>
    <n v="289"/>
    <n v="0.57915831663326656"/>
    <x v="0"/>
    <d v="2024-07-31T00:00:00"/>
    <n v="1"/>
    <x v="1"/>
    <n v="4"/>
    <n v="0"/>
  </r>
  <r>
    <s v="ORD-101053"/>
    <x v="210"/>
    <x v="0"/>
    <d v="2024-07-01T00:00:00"/>
    <n v="7"/>
    <s v="CUST-01503"/>
    <x v="0"/>
    <x v="1"/>
    <s v="GJ"/>
    <x v="1"/>
    <s v="Ahmedabad"/>
    <x v="3"/>
    <s v="P101"/>
    <s v="Vitamin C Face Serum"/>
    <x v="3"/>
    <n v="1"/>
    <n v="599"/>
    <n v="0.25"/>
    <n v="599"/>
    <n v="149.75"/>
    <n v="449.25"/>
    <n v="180"/>
    <n v="180"/>
    <n v="60"/>
    <n v="209.25"/>
    <n v="0.46577629382303842"/>
    <x v="0"/>
    <d v="2024-08-03T00:00:00"/>
    <n v="3"/>
    <x v="0"/>
    <m/>
    <n v="0"/>
  </r>
  <r>
    <s v="ORD-101054"/>
    <x v="210"/>
    <x v="0"/>
    <d v="2024-07-01T00:00:00"/>
    <n v="7"/>
    <s v="CUST-03164"/>
    <x v="0"/>
    <x v="10"/>
    <s v="CG"/>
    <x v="2"/>
    <s v="Raipur"/>
    <x v="3"/>
    <s v="P701"/>
    <s v="Ashwagandha Capsules"/>
    <x v="0"/>
    <n v="2"/>
    <n v="499"/>
    <n v="0.1"/>
    <n v="998"/>
    <n v="99.800000000000011"/>
    <n v="898.2"/>
    <n v="150"/>
    <n v="300"/>
    <n v="120"/>
    <n v="478.20000000000005"/>
    <n v="0.53239812959251842"/>
    <x v="4"/>
    <d v="2024-08-05T00:00:00"/>
    <n v="5"/>
    <x v="2"/>
    <n v="4"/>
    <n v="1"/>
  </r>
  <r>
    <s v="ORD-101055"/>
    <x v="210"/>
    <x v="0"/>
    <d v="2024-07-01T00:00:00"/>
    <n v="7"/>
    <s v="CUST-01235"/>
    <x v="0"/>
    <x v="11"/>
    <s v="KA"/>
    <x v="3"/>
    <s v="Bengaluru"/>
    <x v="3"/>
    <s v="P204"/>
    <s v="Anti-Dandruff Conditioner"/>
    <x v="6"/>
    <n v="2"/>
    <n v="399"/>
    <n v="0.45"/>
    <n v="798"/>
    <n v="359.1"/>
    <n v="438.9"/>
    <n v="136"/>
    <n v="272"/>
    <n v="60"/>
    <n v="106.89999999999998"/>
    <n v="0.24356345408976984"/>
    <x v="2"/>
    <d v="2024-08-03T00:00:00"/>
    <n v="3"/>
    <x v="0"/>
    <n v="5"/>
    <n v="0"/>
  </r>
  <r>
    <s v="ORD-101056"/>
    <x v="211"/>
    <x v="0"/>
    <d v="2024-08-01T00:00:00"/>
    <n v="8"/>
    <s v="CUST-00691"/>
    <x v="0"/>
    <x v="0"/>
    <s v="RJ"/>
    <x v="0"/>
    <s v="Udaipur"/>
    <x v="1"/>
    <s v="P403"/>
    <s v="Kolhapuri Sandals"/>
    <x v="5"/>
    <n v="2"/>
    <n v="999"/>
    <n v="0.05"/>
    <n v="1998"/>
    <n v="99.9"/>
    <n v="1898.1"/>
    <n v="400"/>
    <n v="800"/>
    <n v="120"/>
    <n v="978.09999999999991"/>
    <n v="0.5153047784626732"/>
    <x v="3"/>
    <d v="2024-08-05T00:00:00"/>
    <n v="4"/>
    <x v="0"/>
    <m/>
    <n v="1"/>
  </r>
  <r>
    <s v="ORD-101057"/>
    <x v="211"/>
    <x v="0"/>
    <d v="2024-08-01T00:00:00"/>
    <n v="8"/>
    <s v="CUST-00788"/>
    <x v="0"/>
    <x v="13"/>
    <s v="MP"/>
    <x v="1"/>
    <s v="Bhopal"/>
    <x v="2"/>
    <s v="P101"/>
    <s v="Vitamin C Face Serum"/>
    <x v="3"/>
    <n v="1"/>
    <n v="599"/>
    <n v="0.1"/>
    <n v="599"/>
    <n v="59.900000000000006"/>
    <n v="539.1"/>
    <n v="180"/>
    <n v="180"/>
    <n v="60"/>
    <n v="299.10000000000002"/>
    <n v="0.5548135781858653"/>
    <x v="0"/>
    <d v="2024-08-05T00:00:00"/>
    <n v="4"/>
    <x v="0"/>
    <n v="3"/>
    <n v="0"/>
  </r>
  <r>
    <s v="ORD-101058"/>
    <x v="211"/>
    <x v="0"/>
    <d v="2024-08-01T00:00:00"/>
    <n v="8"/>
    <s v="CUST-01090"/>
    <x v="0"/>
    <x v="21"/>
    <s v="TG"/>
    <x v="3"/>
    <s v="Hyderabad"/>
    <x v="1"/>
    <s v="P402"/>
    <s v="Casual Sneakers"/>
    <x v="5"/>
    <n v="1"/>
    <n v="2199"/>
    <n v="0.25"/>
    <n v="2199"/>
    <n v="549.75"/>
    <n v="1649.25"/>
    <n v="1034"/>
    <n v="1034"/>
    <n v="120"/>
    <n v="495.25"/>
    <n v="0.30028800970137942"/>
    <x v="0"/>
    <d v="2024-08-03T00:00:00"/>
    <n v="2"/>
    <x v="1"/>
    <n v="5"/>
    <n v="1"/>
  </r>
  <r>
    <s v="ORD-101059"/>
    <x v="211"/>
    <x v="0"/>
    <d v="2024-08-01T00:00:00"/>
    <n v="8"/>
    <s v="CUST-00522"/>
    <x v="0"/>
    <x v="3"/>
    <s v="OD"/>
    <x v="2"/>
    <s v="Bhubaneswar"/>
    <x v="1"/>
    <s v="P301"/>
    <s v="Cotton Oversized T-Shirt"/>
    <x v="1"/>
    <n v="1"/>
    <n v="799"/>
    <n v="0"/>
    <n v="799"/>
    <n v="0"/>
    <n v="799"/>
    <n v="320"/>
    <n v="320"/>
    <n v="60"/>
    <n v="419"/>
    <n v="0.52440550688360454"/>
    <x v="1"/>
    <d v="2024-08-05T00:00:00"/>
    <n v="4"/>
    <x v="0"/>
    <n v="4"/>
    <n v="0"/>
  </r>
  <r>
    <s v="ORD-101060"/>
    <x v="212"/>
    <x v="0"/>
    <d v="2024-08-01T00:00:00"/>
    <n v="8"/>
    <s v="CUST-00389"/>
    <x v="0"/>
    <x v="19"/>
    <s v="PB"/>
    <x v="0"/>
    <s v="Ludhiana"/>
    <x v="2"/>
    <s v="P303"/>
    <s v="Joggers"/>
    <x v="1"/>
    <n v="2"/>
    <n v="1199"/>
    <n v="0.05"/>
    <n v="2398"/>
    <n v="119.9"/>
    <n v="2278.1"/>
    <n v="492"/>
    <n v="984"/>
    <n v="120"/>
    <n v="1174.0999999999999"/>
    <n v="0.51538562837452262"/>
    <x v="4"/>
    <d v="2024-08-03T00:00:00"/>
    <n v="1"/>
    <x v="1"/>
    <n v="5"/>
    <n v="1"/>
  </r>
  <r>
    <s v="ORD-101061"/>
    <x v="212"/>
    <x v="0"/>
    <d v="2024-08-01T00:00:00"/>
    <n v="8"/>
    <s v="CUST-02060"/>
    <x v="0"/>
    <x v="16"/>
    <s v="UP"/>
    <x v="0"/>
    <s v="Noida"/>
    <x v="0"/>
    <s v="P204"/>
    <s v="Anti-Dandruff Conditioner"/>
    <x v="6"/>
    <n v="2"/>
    <n v="399"/>
    <n v="0.35"/>
    <n v="798"/>
    <n v="279.29999999999995"/>
    <n v="518.70000000000005"/>
    <n v="136"/>
    <n v="272"/>
    <n v="60"/>
    <n v="186.70000000000005"/>
    <n v="0.35993830730672843"/>
    <x v="3"/>
    <d v="2024-08-06T00:00:00"/>
    <n v="4"/>
    <x v="0"/>
    <n v="4"/>
    <n v="0"/>
  </r>
  <r>
    <s v="ORD-101062"/>
    <x v="212"/>
    <x v="0"/>
    <d v="2024-08-01T00:00:00"/>
    <n v="8"/>
    <s v="CUST-00931"/>
    <x v="0"/>
    <x v="1"/>
    <s v="GJ"/>
    <x v="1"/>
    <s v="Ahmedabad"/>
    <x v="2"/>
    <s v="P103"/>
    <s v="Niacinamide Toner"/>
    <x v="3"/>
    <n v="1"/>
    <n v="399"/>
    <n v="0.2"/>
    <n v="399"/>
    <n v="79.800000000000011"/>
    <n v="319.2"/>
    <n v="112"/>
    <n v="112"/>
    <n v="60"/>
    <n v="147.19999999999999"/>
    <n v="0.46115288220551376"/>
    <x v="3"/>
    <d v="2024-08-05T00:00:00"/>
    <n v="3"/>
    <x v="0"/>
    <m/>
    <n v="0"/>
  </r>
  <r>
    <s v="ORD-101063"/>
    <x v="212"/>
    <x v="0"/>
    <d v="2024-08-01T00:00:00"/>
    <n v="8"/>
    <s v="CUST-00265"/>
    <x v="0"/>
    <x v="10"/>
    <s v="CG"/>
    <x v="2"/>
    <s v="Raipur"/>
    <x v="2"/>
    <s v="P301"/>
    <s v="Cotton Oversized T-Shirt"/>
    <x v="1"/>
    <n v="1"/>
    <n v="799"/>
    <n v="0"/>
    <n v="799"/>
    <n v="0"/>
    <n v="799"/>
    <n v="320"/>
    <n v="320"/>
    <n v="60"/>
    <n v="419"/>
    <n v="0.52440550688360454"/>
    <x v="3"/>
    <d v="2024-08-06T00:00:00"/>
    <n v="4"/>
    <x v="0"/>
    <n v="5"/>
    <n v="0"/>
  </r>
  <r>
    <s v="ORD-101064"/>
    <x v="212"/>
    <x v="0"/>
    <d v="2024-08-01T00:00:00"/>
    <n v="8"/>
    <s v="CUST-02526"/>
    <x v="0"/>
    <x v="2"/>
    <s v="MH"/>
    <x v="1"/>
    <s v="Nagpur"/>
    <x v="0"/>
    <s v="P302"/>
    <s v="Linen Kurta"/>
    <x v="1"/>
    <n v="3"/>
    <n v="1499"/>
    <n v="0.3"/>
    <n v="4497"/>
    <n v="1349.1"/>
    <n v="3147.9"/>
    <n v="630"/>
    <n v="1890"/>
    <n v="120"/>
    <n v="1137.9000000000001"/>
    <n v="0.36147908129229012"/>
    <x v="0"/>
    <d v="2024-08-05T00:00:00"/>
    <n v="3"/>
    <x v="0"/>
    <n v="4"/>
    <n v="1"/>
  </r>
  <r>
    <s v="ORD-101065"/>
    <x v="212"/>
    <x v="0"/>
    <d v="2024-08-01T00:00:00"/>
    <n v="8"/>
    <s v="CUST-00376"/>
    <x v="0"/>
    <x v="17"/>
    <s v="TN"/>
    <x v="3"/>
    <s v="Coimbatore"/>
    <x v="0"/>
    <s v="P701"/>
    <s v="Ashwagandha Capsules"/>
    <x v="0"/>
    <n v="2"/>
    <n v="499"/>
    <n v="0.05"/>
    <n v="998"/>
    <n v="49.900000000000006"/>
    <n v="948.1"/>
    <n v="150"/>
    <n v="300"/>
    <n v="60"/>
    <n v="588.1"/>
    <n v="0.62029321801497728"/>
    <x v="0"/>
    <d v="2024-08-05T00:00:00"/>
    <n v="3"/>
    <x v="0"/>
    <n v="5"/>
    <n v="0"/>
  </r>
  <r>
    <s v="ORD-101066"/>
    <x v="213"/>
    <x v="0"/>
    <d v="2024-08-01T00:00:00"/>
    <n v="8"/>
    <s v="CUST-02126"/>
    <x v="1"/>
    <x v="0"/>
    <s v="RJ"/>
    <x v="0"/>
    <s v="Jaipur"/>
    <x v="4"/>
    <s v="P704"/>
    <s v="Multivitamin Gummies"/>
    <x v="0"/>
    <n v="1"/>
    <n v="699"/>
    <n v="0.2"/>
    <n v="699"/>
    <n v="139.80000000000001"/>
    <n v="559.20000000000005"/>
    <n v="238"/>
    <n v="238"/>
    <n v="60"/>
    <n v="261.20000000000005"/>
    <n v="0.46709585121602293"/>
    <x v="0"/>
    <d v="2024-08-07T00:00:00"/>
    <n v="4"/>
    <x v="0"/>
    <n v="4"/>
    <n v="0"/>
  </r>
  <r>
    <s v="ORD-101067"/>
    <x v="213"/>
    <x v="0"/>
    <d v="2024-08-01T00:00:00"/>
    <n v="8"/>
    <s v="CUST-01100"/>
    <x v="1"/>
    <x v="16"/>
    <s v="UP"/>
    <x v="0"/>
    <s v="Noida"/>
    <x v="4"/>
    <s v="P301"/>
    <s v="Cotton Oversized T-Shirt"/>
    <x v="1"/>
    <n v="3"/>
    <n v="799"/>
    <n v="0"/>
    <n v="2397"/>
    <n v="0"/>
    <n v="2397"/>
    <n v="320"/>
    <n v="960"/>
    <n v="120"/>
    <n v="1317"/>
    <n v="0.54943679599499373"/>
    <x v="3"/>
    <d v="2024-08-05T00:00:00"/>
    <n v="2"/>
    <x v="1"/>
    <n v="4"/>
    <n v="1"/>
  </r>
  <r>
    <s v="ORD-101068"/>
    <x v="213"/>
    <x v="0"/>
    <d v="2024-08-01T00:00:00"/>
    <n v="8"/>
    <s v="CUST-00114"/>
    <x v="0"/>
    <x v="2"/>
    <s v="MH"/>
    <x v="1"/>
    <s v="Nagpur"/>
    <x v="4"/>
    <s v="P601"/>
    <s v="Wireless Earbuds"/>
    <x v="2"/>
    <n v="2"/>
    <n v="1999"/>
    <n v="0.35"/>
    <n v="3998"/>
    <n v="1399.3"/>
    <n v="2598.6999999999998"/>
    <n v="1239"/>
    <n v="2478"/>
    <n v="60"/>
    <n v="60.699999999999818"/>
    <n v="2.3357832762535044E-2"/>
    <x v="0"/>
    <d v="2024-08-05T00:00:00"/>
    <n v="2"/>
    <x v="1"/>
    <n v="5"/>
    <n v="0"/>
  </r>
  <r>
    <s v="ORD-101069"/>
    <x v="213"/>
    <x v="0"/>
    <d v="2024-08-01T00:00:00"/>
    <n v="8"/>
    <s v="CUST-00987"/>
    <x v="0"/>
    <x v="11"/>
    <s v="KA"/>
    <x v="3"/>
    <s v="Mysuru"/>
    <x v="0"/>
    <s v="P602"/>
    <s v="Fast Charger 33W"/>
    <x v="2"/>
    <n v="4"/>
    <n v="899"/>
    <n v="0.15"/>
    <n v="3596"/>
    <n v="539.4"/>
    <n v="3056.6"/>
    <n v="494"/>
    <n v="1976"/>
    <n v="60"/>
    <n v="1020.5999999999999"/>
    <n v="0.33390041222273115"/>
    <x v="3"/>
    <d v="2024-08-06T00:00:00"/>
    <n v="3"/>
    <x v="0"/>
    <m/>
    <n v="0"/>
  </r>
  <r>
    <s v="ORD-101070"/>
    <x v="213"/>
    <x v="0"/>
    <d v="2024-08-01T00:00:00"/>
    <n v="8"/>
    <s v="CUST-00156"/>
    <x v="1"/>
    <x v="11"/>
    <s v="KA"/>
    <x v="3"/>
    <s v="Mysuru"/>
    <x v="4"/>
    <s v="P503"/>
    <s v="Scented Candle Set"/>
    <x v="4"/>
    <n v="1"/>
    <n v="699"/>
    <n v="0.15"/>
    <n v="699"/>
    <n v="104.85"/>
    <n v="594.15"/>
    <n v="245"/>
    <n v="245"/>
    <n v="60"/>
    <n v="289.14999999999998"/>
    <n v="0.48666161743667424"/>
    <x v="0"/>
    <d v="2024-08-05T00:00:00"/>
    <n v="2"/>
    <x v="1"/>
    <n v="3"/>
    <n v="0"/>
  </r>
  <r>
    <s v="ORD-101071"/>
    <x v="214"/>
    <x v="0"/>
    <d v="2024-08-01T00:00:00"/>
    <n v="8"/>
    <s v="CUST-02689"/>
    <x v="0"/>
    <x v="15"/>
    <s v="HR"/>
    <x v="0"/>
    <s v="Gurugram"/>
    <x v="2"/>
    <s v="P203"/>
    <s v="Keratin Hair Mask"/>
    <x v="6"/>
    <n v="1"/>
    <n v="549"/>
    <n v="0.1"/>
    <n v="549"/>
    <n v="54.900000000000006"/>
    <n v="494.1"/>
    <n v="170"/>
    <n v="170"/>
    <n v="60"/>
    <n v="264.10000000000002"/>
    <n v="0.53450718478040882"/>
    <x v="0"/>
    <d v="2024-08-08T00:00:00"/>
    <n v="3"/>
    <x v="0"/>
    <n v="4"/>
    <n v="0"/>
  </r>
  <r>
    <s v="ORD-101072"/>
    <x v="214"/>
    <x v="0"/>
    <d v="2024-08-01T00:00:00"/>
    <n v="8"/>
    <s v="CUST-00566"/>
    <x v="0"/>
    <x v="13"/>
    <s v="MP"/>
    <x v="1"/>
    <s v="Bhopal"/>
    <x v="4"/>
    <s v="P404"/>
    <s v="Flip Flops"/>
    <x v="5"/>
    <n v="1"/>
    <n v="399"/>
    <n v="0.2"/>
    <n v="399"/>
    <n v="79.800000000000011"/>
    <n v="319.2"/>
    <n v="152"/>
    <n v="152"/>
    <n v="60"/>
    <n v="107.19999999999999"/>
    <n v="0.33583959899749372"/>
    <x v="0"/>
    <d v="2024-08-09T00:00:00"/>
    <n v="4"/>
    <x v="0"/>
    <m/>
    <n v="0"/>
  </r>
  <r>
    <s v="ORD-101073"/>
    <x v="214"/>
    <x v="0"/>
    <d v="2024-08-01T00:00:00"/>
    <n v="8"/>
    <s v="CUST-00512"/>
    <x v="0"/>
    <x v="21"/>
    <s v="TG"/>
    <x v="3"/>
    <s v="Hyderabad"/>
    <x v="4"/>
    <s v="P601"/>
    <s v="Wireless Earbuds"/>
    <x v="2"/>
    <n v="1"/>
    <n v="1999"/>
    <n v="0.35"/>
    <n v="1999"/>
    <n v="699.65"/>
    <n v="1299.3499999999999"/>
    <n v="1239"/>
    <n v="1239"/>
    <n v="60"/>
    <n v="0.34999999999990905"/>
    <n v="2.6936545195667763E-4"/>
    <x v="4"/>
    <d v="2024-08-09T00:00:00"/>
    <n v="4"/>
    <x v="0"/>
    <m/>
    <n v="0"/>
  </r>
  <r>
    <s v="ORD-101074"/>
    <x v="214"/>
    <x v="0"/>
    <d v="2024-08-01T00:00:00"/>
    <n v="8"/>
    <s v="CUST-01376"/>
    <x v="0"/>
    <x v="11"/>
    <s v="KA"/>
    <x v="3"/>
    <s v="Bengaluru"/>
    <x v="4"/>
    <s v="P101"/>
    <s v="Vitamin C Face Serum"/>
    <x v="3"/>
    <n v="1"/>
    <n v="599"/>
    <n v="0.2"/>
    <n v="599"/>
    <n v="119.80000000000001"/>
    <n v="479.2"/>
    <n v="180"/>
    <n v="180"/>
    <n v="60"/>
    <n v="239.2"/>
    <n v="0.4991652754590985"/>
    <x v="0"/>
    <d v="2024-08-06T00:00:00"/>
    <n v="1"/>
    <x v="1"/>
    <n v="5"/>
    <n v="0"/>
  </r>
  <r>
    <s v="ORD-101075"/>
    <x v="214"/>
    <x v="0"/>
    <d v="2024-08-01T00:00:00"/>
    <n v="8"/>
    <s v="CUST-00354"/>
    <x v="1"/>
    <x v="11"/>
    <s v="KA"/>
    <x v="3"/>
    <s v="Mysuru"/>
    <x v="2"/>
    <s v="P202"/>
    <s v="Argan Shampoo"/>
    <x v="6"/>
    <n v="1"/>
    <n v="449"/>
    <n v="0"/>
    <n v="449"/>
    <n v="0"/>
    <n v="449"/>
    <n v="148"/>
    <n v="148"/>
    <n v="60"/>
    <n v="241"/>
    <n v="0.53674832962138086"/>
    <x v="1"/>
    <d v="2024-08-07T00:00:00"/>
    <n v="2"/>
    <x v="1"/>
    <n v="4"/>
    <n v="0"/>
  </r>
  <r>
    <s v="ORD-101076"/>
    <x v="215"/>
    <x v="0"/>
    <d v="2024-08-01T00:00:00"/>
    <n v="8"/>
    <s v="CUST-00257"/>
    <x v="1"/>
    <x v="16"/>
    <s v="UP"/>
    <x v="0"/>
    <s v="Kanpur"/>
    <x v="3"/>
    <s v="P102"/>
    <s v="Sunscreen SPF 50"/>
    <x v="3"/>
    <n v="2"/>
    <n v="449"/>
    <n v="0.1"/>
    <n v="898"/>
    <n v="89.800000000000011"/>
    <n v="808.2"/>
    <n v="144"/>
    <n v="288"/>
    <n v="60"/>
    <n v="460.20000000000005"/>
    <n v="0.56941351150705277"/>
    <x v="0"/>
    <d v="2024-08-09T00:00:00"/>
    <n v="3"/>
    <x v="0"/>
    <n v="4"/>
    <n v="0"/>
  </r>
  <r>
    <s v="ORD-101077"/>
    <x v="215"/>
    <x v="0"/>
    <d v="2024-08-01T00:00:00"/>
    <n v="8"/>
    <s v="CUST-00171"/>
    <x v="0"/>
    <x v="16"/>
    <s v="UP"/>
    <x v="0"/>
    <s v="Kanpur"/>
    <x v="0"/>
    <s v="P501"/>
    <s v="Copper Water Bottle"/>
    <x v="4"/>
    <n v="2"/>
    <n v="899"/>
    <n v="0.1"/>
    <n v="1798"/>
    <n v="179.8"/>
    <n v="1618.2"/>
    <n v="378"/>
    <n v="756"/>
    <n v="60"/>
    <n v="802.2"/>
    <n v="0.4957360029662588"/>
    <x v="1"/>
    <d v="2024-08-08T00:00:00"/>
    <n v="2"/>
    <x v="1"/>
    <m/>
    <n v="0"/>
  </r>
  <r>
    <s v="ORD-101078"/>
    <x v="215"/>
    <x v="0"/>
    <d v="2024-08-01T00:00:00"/>
    <n v="8"/>
    <s v="CUST-00208"/>
    <x v="0"/>
    <x v="1"/>
    <s v="GJ"/>
    <x v="1"/>
    <s v="Surat"/>
    <x v="0"/>
    <s v="P701"/>
    <s v="Ashwagandha Capsules"/>
    <x v="0"/>
    <n v="1"/>
    <n v="499"/>
    <n v="0.1"/>
    <n v="499"/>
    <n v="49.900000000000006"/>
    <n v="449.1"/>
    <n v="150"/>
    <n v="150"/>
    <n v="60"/>
    <n v="239.10000000000002"/>
    <n v="0.53239812959251842"/>
    <x v="4"/>
    <d v="2024-08-09T00:00:00"/>
    <n v="3"/>
    <x v="0"/>
    <n v="3"/>
    <n v="0"/>
  </r>
  <r>
    <s v="ORD-101079"/>
    <x v="215"/>
    <x v="0"/>
    <d v="2024-08-01T00:00:00"/>
    <n v="8"/>
    <s v="CUST-02952"/>
    <x v="1"/>
    <x v="13"/>
    <s v="MP"/>
    <x v="1"/>
    <s v="Indore"/>
    <x v="3"/>
    <s v="P103"/>
    <s v="Niacinamide Toner"/>
    <x v="3"/>
    <n v="2"/>
    <n v="399"/>
    <n v="0.3"/>
    <n v="798"/>
    <n v="239.39999999999998"/>
    <n v="558.6"/>
    <n v="112"/>
    <n v="224"/>
    <n v="60"/>
    <n v="274.60000000000002"/>
    <n v="0.49158610812746151"/>
    <x v="1"/>
    <d v="2024-08-10T00:00:00"/>
    <n v="4"/>
    <x v="0"/>
    <m/>
    <n v="0"/>
  </r>
  <r>
    <s v="ORD-101080"/>
    <x v="216"/>
    <x v="0"/>
    <d v="2024-08-01T00:00:00"/>
    <n v="8"/>
    <s v="CUST-00210"/>
    <x v="0"/>
    <x v="4"/>
    <s v="JK"/>
    <x v="0"/>
    <s v="Srinagar"/>
    <x v="4"/>
    <s v="P704"/>
    <s v="Multivitamin Gummies"/>
    <x v="0"/>
    <n v="2"/>
    <n v="699"/>
    <n v="0.25"/>
    <n v="1398"/>
    <n v="349.5"/>
    <n v="1048.5"/>
    <n v="238"/>
    <n v="476"/>
    <n v="60"/>
    <n v="512.5"/>
    <n v="0.48879351454458753"/>
    <x v="1"/>
    <d v="2024-08-13T00:00:00"/>
    <n v="6"/>
    <x v="2"/>
    <m/>
    <n v="0"/>
  </r>
  <r>
    <s v="ORD-101081"/>
    <x v="216"/>
    <x v="0"/>
    <d v="2024-08-01T00:00:00"/>
    <n v="8"/>
    <s v="CUST-00088"/>
    <x v="0"/>
    <x v="1"/>
    <s v="GJ"/>
    <x v="1"/>
    <s v="Surat"/>
    <x v="1"/>
    <s v="P301"/>
    <s v="Cotton Oversized T-Shirt"/>
    <x v="1"/>
    <n v="1"/>
    <n v="799"/>
    <n v="0.1"/>
    <n v="799"/>
    <n v="79.900000000000006"/>
    <n v="719.1"/>
    <n v="320"/>
    <n v="320"/>
    <n v="60"/>
    <n v="339.1"/>
    <n v="0.47156167431511614"/>
    <x v="0"/>
    <d v="2024-08-10T00:00:00"/>
    <n v="3"/>
    <x v="0"/>
    <n v="5"/>
    <n v="0"/>
  </r>
  <r>
    <s v="ORD-101082"/>
    <x v="216"/>
    <x v="0"/>
    <d v="2024-08-01T00:00:00"/>
    <n v="8"/>
    <s v="CUST-03037"/>
    <x v="0"/>
    <x v="13"/>
    <s v="MP"/>
    <x v="1"/>
    <s v="Bhopal"/>
    <x v="3"/>
    <s v="P202"/>
    <s v="Argan Shampoo"/>
    <x v="6"/>
    <n v="1"/>
    <n v="449"/>
    <n v="0"/>
    <n v="449"/>
    <n v="0"/>
    <n v="449"/>
    <n v="148"/>
    <n v="148"/>
    <n v="60"/>
    <n v="241"/>
    <n v="0.53674832962138086"/>
    <x v="3"/>
    <d v="2024-08-11T00:00:00"/>
    <n v="4"/>
    <x v="0"/>
    <n v="3"/>
    <n v="0"/>
  </r>
  <r>
    <s v="ORD-101083"/>
    <x v="216"/>
    <x v="0"/>
    <d v="2024-08-01T00:00:00"/>
    <n v="8"/>
    <s v="CUST-01192"/>
    <x v="0"/>
    <x v="13"/>
    <s v="MP"/>
    <x v="1"/>
    <s v="Bhopal"/>
    <x v="4"/>
    <s v="P402"/>
    <s v="Casual Sneakers"/>
    <x v="5"/>
    <n v="1"/>
    <n v="2199"/>
    <n v="0.2"/>
    <n v="2199"/>
    <n v="439.8"/>
    <n v="1759.2"/>
    <n v="1034"/>
    <n v="1034"/>
    <n v="60"/>
    <n v="665.2"/>
    <n v="0.37812642110050027"/>
    <x v="2"/>
    <d v="2024-08-08T00:00:00"/>
    <n v="1"/>
    <x v="1"/>
    <n v="5"/>
    <n v="0"/>
  </r>
  <r>
    <s v="ORD-101084"/>
    <x v="216"/>
    <x v="0"/>
    <d v="2024-08-01T00:00:00"/>
    <n v="8"/>
    <s v="CUST-00940"/>
    <x v="0"/>
    <x v="2"/>
    <s v="MH"/>
    <x v="1"/>
    <s v="Pune"/>
    <x v="3"/>
    <s v="P201"/>
    <s v="Onion Hair Oil"/>
    <x v="6"/>
    <n v="1"/>
    <n v="349"/>
    <n v="0.3"/>
    <n v="349"/>
    <n v="104.7"/>
    <n v="244.3"/>
    <n v="105"/>
    <n v="105"/>
    <n v="60"/>
    <n v="79.300000000000011"/>
    <n v="0.32460090053213264"/>
    <x v="0"/>
    <d v="2024-08-09T00:00:00"/>
    <n v="2"/>
    <x v="1"/>
    <n v="5"/>
    <n v="0"/>
  </r>
  <r>
    <s v="ORD-101085"/>
    <x v="216"/>
    <x v="0"/>
    <d v="2024-08-01T00:00:00"/>
    <n v="8"/>
    <s v="CUST-00630"/>
    <x v="0"/>
    <x v="21"/>
    <s v="TG"/>
    <x v="3"/>
    <s v="Hyderabad"/>
    <x v="4"/>
    <s v="P401"/>
    <s v="Running Shoes"/>
    <x v="5"/>
    <n v="4"/>
    <n v="2999"/>
    <n v="0.3"/>
    <n v="11996"/>
    <n v="3598.7999999999997"/>
    <n v="8397.2000000000007"/>
    <n v="1440"/>
    <n v="5760"/>
    <n v="60"/>
    <n v="2577.2000000000007"/>
    <n v="0.3069118277521079"/>
    <x v="0"/>
    <d v="2024-08-09T00:00:00"/>
    <n v="2"/>
    <x v="1"/>
    <n v="4"/>
    <n v="0"/>
  </r>
  <r>
    <s v="ORD-101086"/>
    <x v="216"/>
    <x v="0"/>
    <d v="2024-08-01T00:00:00"/>
    <n v="8"/>
    <s v="CUST-00608"/>
    <x v="0"/>
    <x v="21"/>
    <s v="TG"/>
    <x v="3"/>
    <s v="Hyderabad"/>
    <x v="2"/>
    <s v="P101"/>
    <s v="Vitamin C Face Serum"/>
    <x v="3"/>
    <n v="1"/>
    <n v="599"/>
    <n v="0.1"/>
    <n v="599"/>
    <n v="59.900000000000006"/>
    <n v="539.1"/>
    <n v="180"/>
    <n v="180"/>
    <n v="60"/>
    <n v="299.10000000000002"/>
    <n v="0.5548135781858653"/>
    <x v="0"/>
    <d v="2024-08-11T00:00:00"/>
    <n v="4"/>
    <x v="0"/>
    <n v="5"/>
    <n v="0"/>
  </r>
  <r>
    <s v="ORD-101087"/>
    <x v="217"/>
    <x v="0"/>
    <d v="2024-08-01T00:00:00"/>
    <n v="8"/>
    <s v="CUST-03050"/>
    <x v="0"/>
    <x v="6"/>
    <s v="DL"/>
    <x v="0"/>
    <s v="New Delhi"/>
    <x v="1"/>
    <s v="P403"/>
    <s v="Kolhapuri Sandals"/>
    <x v="5"/>
    <n v="2"/>
    <n v="999"/>
    <n v="0.05"/>
    <n v="1998"/>
    <n v="99.9"/>
    <n v="1898.1"/>
    <n v="400"/>
    <n v="800"/>
    <n v="60"/>
    <n v="1038.0999999999999"/>
    <n v="0.54691533638902057"/>
    <x v="0"/>
    <d v="2024-08-10T00:00:00"/>
    <n v="2"/>
    <x v="1"/>
    <n v="4"/>
    <n v="0"/>
  </r>
  <r>
    <s v="ORD-101088"/>
    <x v="217"/>
    <x v="0"/>
    <d v="2024-08-01T00:00:00"/>
    <n v="8"/>
    <s v="CUST-01017"/>
    <x v="1"/>
    <x v="13"/>
    <s v="MP"/>
    <x v="1"/>
    <s v="Indore"/>
    <x v="2"/>
    <s v="P102"/>
    <s v="Sunscreen SPF 50"/>
    <x v="3"/>
    <n v="2"/>
    <n v="449"/>
    <n v="0.1"/>
    <n v="898"/>
    <n v="89.800000000000011"/>
    <n v="808.2"/>
    <n v="144"/>
    <n v="288"/>
    <n v="60"/>
    <n v="460.20000000000005"/>
    <n v="0.56941351150705277"/>
    <x v="0"/>
    <d v="2024-08-12T00:00:00"/>
    <n v="4"/>
    <x v="0"/>
    <n v="3"/>
    <n v="0"/>
  </r>
  <r>
    <s v="ORD-101089"/>
    <x v="217"/>
    <x v="0"/>
    <d v="2024-08-01T00:00:00"/>
    <n v="8"/>
    <s v="CUST-01567"/>
    <x v="0"/>
    <x v="13"/>
    <s v="MP"/>
    <x v="1"/>
    <s v="Bhopal"/>
    <x v="2"/>
    <s v="P203"/>
    <s v="Keratin Hair Mask"/>
    <x v="6"/>
    <n v="2"/>
    <n v="549"/>
    <n v="0.15"/>
    <n v="1098"/>
    <n v="164.7"/>
    <n v="933.3"/>
    <n v="170"/>
    <n v="340"/>
    <n v="60"/>
    <n v="533.29999999999995"/>
    <n v="0.57141326475945564"/>
    <x v="3"/>
    <d v="2024-08-11T00:00:00"/>
    <n v="3"/>
    <x v="0"/>
    <n v="4"/>
    <n v="0"/>
  </r>
  <r>
    <s v="ORD-101090"/>
    <x v="217"/>
    <x v="0"/>
    <d v="2024-08-01T00:00:00"/>
    <n v="8"/>
    <s v="CUST-00681"/>
    <x v="0"/>
    <x v="21"/>
    <s v="TG"/>
    <x v="3"/>
    <s v="Hyderabad"/>
    <x v="4"/>
    <s v="P201"/>
    <s v="Onion Hair Oil"/>
    <x v="6"/>
    <n v="1"/>
    <n v="349"/>
    <n v="0.25"/>
    <n v="349"/>
    <n v="87.25"/>
    <n v="261.75"/>
    <n v="105"/>
    <n v="105"/>
    <n v="60"/>
    <n v="96.75"/>
    <n v="0.36962750716332377"/>
    <x v="0"/>
    <d v="2024-08-10T00:00:00"/>
    <n v="2"/>
    <x v="1"/>
    <n v="5"/>
    <n v="0"/>
  </r>
  <r>
    <s v="ORD-101091"/>
    <x v="217"/>
    <x v="0"/>
    <d v="2024-08-01T00:00:00"/>
    <n v="8"/>
    <s v="CUST-01017"/>
    <x v="1"/>
    <x v="21"/>
    <s v="TG"/>
    <x v="3"/>
    <s v="Hyderabad"/>
    <x v="2"/>
    <s v="P703"/>
    <s v="Green Tea (100 bags)"/>
    <x v="0"/>
    <n v="2"/>
    <n v="399"/>
    <n v="0.3"/>
    <n v="798"/>
    <n v="239.39999999999998"/>
    <n v="558.6"/>
    <n v="128"/>
    <n v="256"/>
    <n v="60"/>
    <n v="242.60000000000002"/>
    <n v="0.43430003580379523"/>
    <x v="1"/>
    <d v="2024-08-12T00:00:00"/>
    <n v="4"/>
    <x v="0"/>
    <n v="3"/>
    <n v="0"/>
  </r>
  <r>
    <s v="ORD-101092"/>
    <x v="217"/>
    <x v="0"/>
    <d v="2024-08-01T00:00:00"/>
    <n v="8"/>
    <s v="CUST-02974"/>
    <x v="0"/>
    <x v="11"/>
    <s v="KA"/>
    <x v="3"/>
    <s v="Bengaluru"/>
    <x v="0"/>
    <s v="P104"/>
    <s v="Hydrating Face Wash"/>
    <x v="3"/>
    <n v="1"/>
    <n v="299"/>
    <n v="0"/>
    <n v="299"/>
    <n v="0"/>
    <n v="299"/>
    <n v="90"/>
    <n v="90"/>
    <n v="60"/>
    <n v="149"/>
    <n v="0.49832775919732442"/>
    <x v="0"/>
    <d v="2024-08-11T00:00:00"/>
    <n v="3"/>
    <x v="0"/>
    <n v="4"/>
    <n v="0"/>
  </r>
  <r>
    <s v="ORD-101093"/>
    <x v="218"/>
    <x v="0"/>
    <d v="2024-08-01T00:00:00"/>
    <n v="8"/>
    <s v="CUST-00482"/>
    <x v="1"/>
    <x v="19"/>
    <s v="PB"/>
    <x v="0"/>
    <s v="Ludhiana"/>
    <x v="4"/>
    <s v="P105"/>
    <s v="Retinol Night Cream"/>
    <x v="3"/>
    <n v="1"/>
    <n v="799"/>
    <n v="0.1"/>
    <n v="799"/>
    <n v="79.900000000000006"/>
    <n v="719.1"/>
    <n v="216"/>
    <n v="216"/>
    <n v="60"/>
    <n v="443.1"/>
    <n v="0.61618690029203171"/>
    <x v="1"/>
    <d v="2024-08-11T00:00:00"/>
    <n v="2"/>
    <x v="1"/>
    <n v="4"/>
    <n v="0"/>
  </r>
  <r>
    <s v="ORD-101094"/>
    <x v="218"/>
    <x v="0"/>
    <d v="2024-08-01T00:00:00"/>
    <n v="8"/>
    <s v="CUST-00094"/>
    <x v="1"/>
    <x v="0"/>
    <s v="RJ"/>
    <x v="0"/>
    <s v="Jaipur"/>
    <x v="4"/>
    <s v="P604"/>
    <s v="Power Bank 20000mAh"/>
    <x v="2"/>
    <n v="3"/>
    <n v="1799"/>
    <n v="0.3"/>
    <n v="5397"/>
    <n v="1619.1"/>
    <n v="3777.9"/>
    <n v="1079"/>
    <n v="3237"/>
    <n v="60"/>
    <n v="480.90000000000009"/>
    <n v="0.12729294052251253"/>
    <x v="1"/>
    <d v="2024-08-12T00:00:00"/>
    <n v="3"/>
    <x v="0"/>
    <n v="4"/>
    <n v="0"/>
  </r>
  <r>
    <s v="ORD-101095"/>
    <x v="218"/>
    <x v="0"/>
    <d v="2024-08-01T00:00:00"/>
    <n v="8"/>
    <s v="CUST-02121"/>
    <x v="0"/>
    <x v="15"/>
    <s v="HR"/>
    <x v="0"/>
    <s v="Gurugram"/>
    <x v="0"/>
    <s v="P201"/>
    <s v="Onion Hair Oil"/>
    <x v="6"/>
    <n v="4"/>
    <n v="349"/>
    <n v="0.35"/>
    <n v="1396"/>
    <n v="488.59999999999997"/>
    <n v="907.40000000000009"/>
    <n v="105"/>
    <n v="420"/>
    <n v="60"/>
    <n v="427.40000000000009"/>
    <n v="0.47101608992726479"/>
    <x v="3"/>
    <d v="2024-08-10T00:00:00"/>
    <n v="1"/>
    <x v="1"/>
    <n v="3"/>
    <n v="0"/>
  </r>
  <r>
    <s v="ORD-101096"/>
    <x v="218"/>
    <x v="0"/>
    <d v="2024-08-01T00:00:00"/>
    <n v="8"/>
    <s v="CUST-00672"/>
    <x v="1"/>
    <x v="18"/>
    <s v="WB"/>
    <x v="2"/>
    <s v="Kolkata"/>
    <x v="4"/>
    <s v="P204"/>
    <s v="Anti-Dandruff Conditioner"/>
    <x v="6"/>
    <n v="2"/>
    <n v="399"/>
    <n v="0.4"/>
    <n v="798"/>
    <n v="319.20000000000005"/>
    <n v="478.79999999999995"/>
    <n v="136"/>
    <n v="272"/>
    <n v="60"/>
    <n v="146.79999999999995"/>
    <n v="0.30659983291562232"/>
    <x v="0"/>
    <d v="2024-08-13T00:00:00"/>
    <n v="4"/>
    <x v="0"/>
    <n v="3"/>
    <n v="0"/>
  </r>
  <r>
    <s v="ORD-101097"/>
    <x v="218"/>
    <x v="0"/>
    <d v="2024-08-01T00:00:00"/>
    <n v="8"/>
    <s v="CUST-00721"/>
    <x v="1"/>
    <x v="18"/>
    <s v="WB"/>
    <x v="2"/>
    <s v="Kolkata"/>
    <x v="1"/>
    <s v="P402"/>
    <s v="Casual Sneakers"/>
    <x v="5"/>
    <n v="2"/>
    <n v="2199"/>
    <n v="0.15"/>
    <n v="4398"/>
    <n v="659.69999999999993"/>
    <n v="3738.3"/>
    <n v="1034"/>
    <n v="2068"/>
    <n v="60"/>
    <n v="1610.3000000000002"/>
    <n v="0.43075729609715652"/>
    <x v="0"/>
    <d v="2024-08-13T00:00:00"/>
    <n v="4"/>
    <x v="0"/>
    <m/>
    <n v="0"/>
  </r>
  <r>
    <s v="ORD-101098"/>
    <x v="218"/>
    <x v="0"/>
    <d v="2024-08-01T00:00:00"/>
    <n v="8"/>
    <s v="CUST-00207"/>
    <x v="0"/>
    <x v="11"/>
    <s v="KA"/>
    <x v="3"/>
    <s v="Bengaluru"/>
    <x v="0"/>
    <s v="P504"/>
    <s v="Cotton Bedsheet"/>
    <x v="4"/>
    <n v="1"/>
    <n v="1299"/>
    <n v="0"/>
    <n v="1299"/>
    <n v="0"/>
    <n v="1299"/>
    <n v="585"/>
    <n v="585"/>
    <n v="120"/>
    <n v="594"/>
    <n v="0.45727482678983833"/>
    <x v="0"/>
    <d v="2024-08-11T00:00:00"/>
    <n v="2"/>
    <x v="1"/>
    <n v="3"/>
    <n v="1"/>
  </r>
  <r>
    <s v="ORD-101099"/>
    <x v="218"/>
    <x v="0"/>
    <d v="2024-08-01T00:00:00"/>
    <n v="8"/>
    <s v="CUST-01171"/>
    <x v="0"/>
    <x v="11"/>
    <s v="KA"/>
    <x v="3"/>
    <s v="Bengaluru"/>
    <x v="4"/>
    <s v="P101"/>
    <s v="Vitamin C Face Serum"/>
    <x v="3"/>
    <n v="1"/>
    <n v="599"/>
    <n v="0.15"/>
    <n v="599"/>
    <n v="89.85"/>
    <n v="509.15"/>
    <n v="180"/>
    <n v="180"/>
    <n v="60"/>
    <n v="269.14999999999998"/>
    <n v="0.52862614160856325"/>
    <x v="4"/>
    <d v="2024-08-12T00:00:00"/>
    <n v="3"/>
    <x v="0"/>
    <n v="4"/>
    <n v="0"/>
  </r>
  <r>
    <s v="ORD-101100"/>
    <x v="219"/>
    <x v="0"/>
    <d v="2024-08-01T00:00:00"/>
    <n v="8"/>
    <s v="CUST-00412"/>
    <x v="0"/>
    <x v="19"/>
    <s v="PB"/>
    <x v="0"/>
    <s v="Amritsar"/>
    <x v="3"/>
    <s v="P203"/>
    <s v="Keratin Hair Mask"/>
    <x v="6"/>
    <n v="1"/>
    <n v="549"/>
    <n v="0.15"/>
    <n v="549"/>
    <n v="82.35"/>
    <n v="466.65"/>
    <n v="170"/>
    <n v="170"/>
    <n v="60"/>
    <n v="236.64999999999998"/>
    <n v="0.50712525447337398"/>
    <x v="0"/>
    <d v="2024-08-13T00:00:00"/>
    <n v="3"/>
    <x v="0"/>
    <n v="4"/>
    <n v="0"/>
  </r>
  <r>
    <s v="ORD-101101"/>
    <x v="219"/>
    <x v="0"/>
    <d v="2024-08-01T00:00:00"/>
    <n v="8"/>
    <s v="CUST-02692"/>
    <x v="0"/>
    <x v="12"/>
    <s v="BR"/>
    <x v="2"/>
    <s v="Patna"/>
    <x v="3"/>
    <s v="P203"/>
    <s v="Keratin Hair Mask"/>
    <x v="6"/>
    <n v="2"/>
    <n v="549"/>
    <n v="0.25"/>
    <n v="1098"/>
    <n v="274.5"/>
    <n v="823.5"/>
    <n v="170"/>
    <n v="340"/>
    <n v="60"/>
    <n v="423.5"/>
    <n v="0.51426836672738307"/>
    <x v="1"/>
    <d v="2024-08-16T00:00:00"/>
    <n v="6"/>
    <x v="2"/>
    <m/>
    <n v="0"/>
  </r>
  <r>
    <s v="ORD-101102"/>
    <x v="219"/>
    <x v="0"/>
    <d v="2024-08-01T00:00:00"/>
    <n v="8"/>
    <s v="CUST-01628"/>
    <x v="0"/>
    <x v="1"/>
    <s v="GJ"/>
    <x v="1"/>
    <s v="Surat"/>
    <x v="1"/>
    <s v="P302"/>
    <s v="Linen Kurta"/>
    <x v="1"/>
    <n v="2"/>
    <n v="1499"/>
    <n v="0.3"/>
    <n v="2998"/>
    <n v="899.4"/>
    <n v="2098.6"/>
    <n v="630"/>
    <n v="1260"/>
    <n v="60"/>
    <n v="778.59999999999991"/>
    <n v="0.3710092442580768"/>
    <x v="1"/>
    <d v="2024-08-12T00:00:00"/>
    <n v="2"/>
    <x v="1"/>
    <n v="4"/>
    <n v="0"/>
  </r>
  <r>
    <s v="ORD-101103"/>
    <x v="219"/>
    <x v="0"/>
    <d v="2024-08-01T00:00:00"/>
    <n v="8"/>
    <s v="CUST-01303"/>
    <x v="0"/>
    <x v="2"/>
    <s v="MH"/>
    <x v="1"/>
    <s v="Mumbai"/>
    <x v="4"/>
    <s v="P201"/>
    <s v="Onion Hair Oil"/>
    <x v="6"/>
    <n v="1"/>
    <n v="349"/>
    <n v="0.3"/>
    <n v="349"/>
    <n v="104.7"/>
    <n v="244.3"/>
    <n v="105"/>
    <n v="105"/>
    <n v="60"/>
    <n v="79.300000000000011"/>
    <n v="0.32460090053213264"/>
    <x v="0"/>
    <d v="2024-08-11T00:00:00"/>
    <n v="1"/>
    <x v="1"/>
    <n v="5"/>
    <n v="0"/>
  </r>
  <r>
    <s v="ORD-101104"/>
    <x v="219"/>
    <x v="0"/>
    <d v="2024-08-01T00:00:00"/>
    <n v="8"/>
    <s v="CUST-00900"/>
    <x v="1"/>
    <x v="21"/>
    <s v="TG"/>
    <x v="3"/>
    <s v="Hyderabad"/>
    <x v="0"/>
    <s v="P204"/>
    <s v="Anti-Dandruff Conditioner"/>
    <x v="6"/>
    <n v="1"/>
    <n v="399"/>
    <n v="0.45"/>
    <n v="399"/>
    <n v="179.55"/>
    <n v="219.45"/>
    <n v="136"/>
    <n v="136"/>
    <n v="60"/>
    <n v="23.449999999999989"/>
    <n v="0.10685805422647524"/>
    <x v="3"/>
    <d v="2024-08-12T00:00:00"/>
    <n v="2"/>
    <x v="1"/>
    <m/>
    <n v="0"/>
  </r>
  <r>
    <s v="ORD-101105"/>
    <x v="220"/>
    <x v="0"/>
    <d v="2024-08-01T00:00:00"/>
    <n v="8"/>
    <s v="CUST-00365"/>
    <x v="1"/>
    <x v="16"/>
    <s v="UP"/>
    <x v="0"/>
    <s v="Lucknow"/>
    <x v="3"/>
    <s v="P703"/>
    <s v="Green Tea (100 bags)"/>
    <x v="0"/>
    <n v="2"/>
    <n v="399"/>
    <n v="0.3"/>
    <n v="798"/>
    <n v="239.39999999999998"/>
    <n v="558.6"/>
    <n v="128"/>
    <n v="256"/>
    <n v="60"/>
    <n v="242.60000000000002"/>
    <n v="0.43430003580379523"/>
    <x v="0"/>
    <d v="2024-08-15T00:00:00"/>
    <n v="4"/>
    <x v="0"/>
    <m/>
    <n v="0"/>
  </r>
  <r>
    <s v="ORD-101106"/>
    <x v="220"/>
    <x v="0"/>
    <d v="2024-08-01T00:00:00"/>
    <n v="8"/>
    <s v="CUST-00546"/>
    <x v="0"/>
    <x v="16"/>
    <s v="UP"/>
    <x v="0"/>
    <s v="Lucknow"/>
    <x v="2"/>
    <s v="P701"/>
    <s v="Ashwagandha Capsules"/>
    <x v="0"/>
    <n v="1"/>
    <n v="499"/>
    <n v="0.05"/>
    <n v="499"/>
    <n v="24.950000000000003"/>
    <n v="474.05"/>
    <n v="150"/>
    <n v="150"/>
    <n v="60"/>
    <n v="264.05"/>
    <n v="0.55700875435080688"/>
    <x v="0"/>
    <d v="2024-08-14T00:00:00"/>
    <n v="3"/>
    <x v="0"/>
    <n v="4"/>
    <n v="0"/>
  </r>
  <r>
    <s v="ORD-101107"/>
    <x v="220"/>
    <x v="0"/>
    <d v="2024-08-01T00:00:00"/>
    <n v="8"/>
    <s v="CUST-01062"/>
    <x v="1"/>
    <x v="13"/>
    <s v="MP"/>
    <x v="1"/>
    <s v="Indore"/>
    <x v="4"/>
    <s v="P701"/>
    <s v="Ashwagandha Capsules"/>
    <x v="0"/>
    <n v="1"/>
    <n v="499"/>
    <n v="0.1"/>
    <n v="499"/>
    <n v="49.900000000000006"/>
    <n v="449.1"/>
    <n v="150"/>
    <n v="150"/>
    <n v="60"/>
    <n v="239.10000000000002"/>
    <n v="0.53239812959251842"/>
    <x v="2"/>
    <d v="2024-08-14T00:00:00"/>
    <n v="3"/>
    <x v="0"/>
    <m/>
    <n v="0"/>
  </r>
  <r>
    <s v="ORD-101108"/>
    <x v="220"/>
    <x v="0"/>
    <d v="2024-08-01T00:00:00"/>
    <n v="8"/>
    <s v="CUST-01170"/>
    <x v="0"/>
    <x v="13"/>
    <s v="MP"/>
    <x v="1"/>
    <s v="Indore"/>
    <x v="4"/>
    <s v="P501"/>
    <s v="Copper Water Bottle"/>
    <x v="4"/>
    <n v="1"/>
    <n v="899"/>
    <n v="0.1"/>
    <n v="899"/>
    <n v="89.9"/>
    <n v="809.1"/>
    <n v="378"/>
    <n v="378"/>
    <n v="60"/>
    <n v="371.1"/>
    <n v="0.45865776789024842"/>
    <x v="0"/>
    <d v="2024-08-14T00:00:00"/>
    <n v="3"/>
    <x v="0"/>
    <n v="5"/>
    <n v="0"/>
  </r>
  <r>
    <s v="ORD-101109"/>
    <x v="221"/>
    <x v="0"/>
    <d v="2024-08-01T00:00:00"/>
    <n v="8"/>
    <s v="CUST-00904"/>
    <x v="1"/>
    <x v="16"/>
    <s v="UP"/>
    <x v="0"/>
    <s v="Noida"/>
    <x v="0"/>
    <s v="P602"/>
    <s v="Fast Charger 33W"/>
    <x v="2"/>
    <n v="1"/>
    <n v="899"/>
    <n v="0.05"/>
    <n v="899"/>
    <n v="44.95"/>
    <n v="854.05"/>
    <n v="494"/>
    <n v="494"/>
    <n v="60"/>
    <n v="300.04999999999995"/>
    <n v="0.35132603477548152"/>
    <x v="0"/>
    <d v="2024-08-16T00:00:00"/>
    <n v="4"/>
    <x v="0"/>
    <n v="3"/>
    <n v="0"/>
  </r>
  <r>
    <s v="ORD-101110"/>
    <x v="221"/>
    <x v="0"/>
    <d v="2024-08-01T00:00:00"/>
    <n v="8"/>
    <s v="CUST-01604"/>
    <x v="0"/>
    <x v="13"/>
    <s v="MP"/>
    <x v="1"/>
    <s v="Indore"/>
    <x v="1"/>
    <s v="P401"/>
    <s v="Running Shoes"/>
    <x v="5"/>
    <n v="2"/>
    <n v="2999"/>
    <n v="0.3"/>
    <n v="5998"/>
    <n v="1799.3999999999999"/>
    <n v="4198.6000000000004"/>
    <n v="1440"/>
    <n v="2880"/>
    <n v="120"/>
    <n v="1198.6000000000004"/>
    <n v="0.28547611108464732"/>
    <x v="0"/>
    <d v="2024-08-16T00:00:00"/>
    <n v="4"/>
    <x v="0"/>
    <n v="5"/>
    <n v="1"/>
  </r>
  <r>
    <s v="ORD-101111"/>
    <x v="221"/>
    <x v="0"/>
    <d v="2024-08-01T00:00:00"/>
    <n v="8"/>
    <s v="CUST-00653"/>
    <x v="0"/>
    <x v="13"/>
    <s v="MP"/>
    <x v="1"/>
    <s v="Indore"/>
    <x v="3"/>
    <s v="P204"/>
    <s v="Anti-Dandruff Conditioner"/>
    <x v="6"/>
    <n v="2"/>
    <n v="399"/>
    <n v="0.35"/>
    <n v="798"/>
    <n v="279.29999999999995"/>
    <n v="518.70000000000005"/>
    <n v="136"/>
    <n v="272"/>
    <n v="60"/>
    <n v="186.70000000000005"/>
    <n v="0.35993830730672843"/>
    <x v="0"/>
    <d v="2024-08-15T00:00:00"/>
    <n v="3"/>
    <x v="0"/>
    <n v="4"/>
    <n v="0"/>
  </r>
  <r>
    <s v="ORD-101112"/>
    <x v="221"/>
    <x v="0"/>
    <d v="2024-08-01T00:00:00"/>
    <n v="8"/>
    <s v="CUST-01760"/>
    <x v="0"/>
    <x v="18"/>
    <s v="WB"/>
    <x v="2"/>
    <s v="Kolkata"/>
    <x v="4"/>
    <s v="P105"/>
    <s v="Retinol Night Cream"/>
    <x v="3"/>
    <n v="1"/>
    <n v="799"/>
    <n v="0.05"/>
    <n v="799"/>
    <n v="39.950000000000003"/>
    <n v="759.05"/>
    <n v="216"/>
    <n v="216"/>
    <n v="60"/>
    <n v="483.04999999999995"/>
    <n v="0.63638758975034582"/>
    <x v="0"/>
    <d v="2024-08-17T00:00:00"/>
    <n v="5"/>
    <x v="2"/>
    <n v="4"/>
    <n v="0"/>
  </r>
  <r>
    <s v="ORD-101113"/>
    <x v="222"/>
    <x v="0"/>
    <d v="2024-08-01T00:00:00"/>
    <n v="8"/>
    <s v="CUST-00450"/>
    <x v="0"/>
    <x v="16"/>
    <s v="UP"/>
    <x v="0"/>
    <s v="Lucknow"/>
    <x v="2"/>
    <s v="P404"/>
    <s v="Flip Flops"/>
    <x v="5"/>
    <n v="1"/>
    <n v="399"/>
    <n v="0.05"/>
    <n v="399"/>
    <n v="19.950000000000003"/>
    <n v="379.05"/>
    <n v="152"/>
    <n v="152"/>
    <n v="120"/>
    <n v="107.05000000000001"/>
    <n v="0.2824165677351273"/>
    <x v="0"/>
    <d v="2024-08-19T00:00:00"/>
    <n v="6"/>
    <x v="2"/>
    <m/>
    <n v="1"/>
  </r>
  <r>
    <s v="ORD-101114"/>
    <x v="222"/>
    <x v="0"/>
    <d v="2024-08-01T00:00:00"/>
    <n v="8"/>
    <s v="CUST-00392"/>
    <x v="0"/>
    <x v="16"/>
    <s v="UP"/>
    <x v="0"/>
    <s v="Lucknow"/>
    <x v="0"/>
    <s v="P302"/>
    <s v="Linen Kurta"/>
    <x v="1"/>
    <n v="2"/>
    <n v="1499"/>
    <n v="0.4"/>
    <n v="2998"/>
    <n v="1199.2"/>
    <n v="1798.8"/>
    <n v="630"/>
    <n v="1260"/>
    <n v="120"/>
    <n v="418.79999999999995"/>
    <n v="0.23282188125416942"/>
    <x v="1"/>
    <d v="2024-08-18T00:00:00"/>
    <n v="5"/>
    <x v="2"/>
    <m/>
    <n v="1"/>
  </r>
  <r>
    <s v="ORD-101115"/>
    <x v="222"/>
    <x v="0"/>
    <d v="2024-08-01T00:00:00"/>
    <n v="8"/>
    <s v="CUST-00081"/>
    <x v="0"/>
    <x v="2"/>
    <s v="MH"/>
    <x v="1"/>
    <s v="Pune"/>
    <x v="0"/>
    <s v="P504"/>
    <s v="Cotton Bedsheet"/>
    <x v="4"/>
    <n v="2"/>
    <n v="1299"/>
    <n v="0.1"/>
    <n v="2598"/>
    <n v="259.8"/>
    <n v="2338.1999999999998"/>
    <n v="585"/>
    <n v="1170"/>
    <n v="60"/>
    <n v="1108.1999999999998"/>
    <n v="0.47395432383885033"/>
    <x v="3"/>
    <d v="2024-08-15T00:00:00"/>
    <n v="2"/>
    <x v="1"/>
    <n v="3"/>
    <n v="0"/>
  </r>
  <r>
    <s v="ORD-101116"/>
    <x v="223"/>
    <x v="0"/>
    <d v="2024-08-01T00:00:00"/>
    <n v="8"/>
    <s v="CUST-00322"/>
    <x v="1"/>
    <x v="16"/>
    <s v="UP"/>
    <x v="0"/>
    <s v="Noida"/>
    <x v="0"/>
    <s v="P701"/>
    <s v="Ashwagandha Capsules"/>
    <x v="0"/>
    <n v="2"/>
    <n v="499"/>
    <n v="0"/>
    <n v="998"/>
    <n v="0"/>
    <n v="998"/>
    <n v="150"/>
    <n v="300"/>
    <n v="60"/>
    <n v="638"/>
    <n v="0.63927855711422843"/>
    <x v="3"/>
    <d v="2024-08-17T00:00:00"/>
    <n v="3"/>
    <x v="0"/>
    <n v="5"/>
    <n v="0"/>
  </r>
  <r>
    <s v="ORD-101117"/>
    <x v="223"/>
    <x v="0"/>
    <d v="2024-08-01T00:00:00"/>
    <n v="8"/>
    <s v="CUST-00876"/>
    <x v="1"/>
    <x v="11"/>
    <s v="KA"/>
    <x v="3"/>
    <s v="Bengaluru"/>
    <x v="4"/>
    <s v="P103"/>
    <s v="Niacinamide Toner"/>
    <x v="3"/>
    <n v="1"/>
    <n v="399"/>
    <n v="0.2"/>
    <n v="399"/>
    <n v="79.800000000000011"/>
    <n v="319.2"/>
    <n v="112"/>
    <n v="112"/>
    <n v="60"/>
    <n v="147.19999999999999"/>
    <n v="0.46115288220551376"/>
    <x v="3"/>
    <d v="2024-08-15T00:00:00"/>
    <n v="1"/>
    <x v="1"/>
    <n v="5"/>
    <n v="0"/>
  </r>
  <r>
    <s v="ORD-101118"/>
    <x v="223"/>
    <x v="0"/>
    <d v="2024-08-01T00:00:00"/>
    <n v="8"/>
    <s v="CUST-01078"/>
    <x v="1"/>
    <x v="11"/>
    <s v="KA"/>
    <x v="3"/>
    <s v="Mysuru"/>
    <x v="3"/>
    <s v="P201"/>
    <s v="Onion Hair Oil"/>
    <x v="6"/>
    <n v="1"/>
    <n v="349"/>
    <n v="0.3"/>
    <n v="349"/>
    <n v="104.7"/>
    <n v="244.3"/>
    <n v="105"/>
    <n v="105"/>
    <n v="60"/>
    <n v="79.300000000000011"/>
    <n v="0.32460090053213264"/>
    <x v="3"/>
    <d v="2024-08-16T00:00:00"/>
    <n v="2"/>
    <x v="1"/>
    <m/>
    <n v="0"/>
  </r>
  <r>
    <s v="ORD-101119"/>
    <x v="224"/>
    <x v="0"/>
    <d v="2024-08-01T00:00:00"/>
    <n v="8"/>
    <s v="CUST-00043"/>
    <x v="0"/>
    <x v="18"/>
    <s v="WB"/>
    <x v="2"/>
    <s v="Kolkata"/>
    <x v="2"/>
    <s v="P704"/>
    <s v="Multivitamin Gummies"/>
    <x v="0"/>
    <n v="1"/>
    <n v="699"/>
    <n v="0.25"/>
    <n v="699"/>
    <n v="174.75"/>
    <n v="524.25"/>
    <n v="238"/>
    <n v="238"/>
    <n v="60"/>
    <n v="226.25"/>
    <n v="0.43156890796375774"/>
    <x v="0"/>
    <d v="2024-08-20T00:00:00"/>
    <n v="5"/>
    <x v="2"/>
    <n v="3"/>
    <n v="0"/>
  </r>
  <r>
    <s v="ORD-101120"/>
    <x v="225"/>
    <x v="0"/>
    <d v="2024-08-01T00:00:00"/>
    <n v="8"/>
    <s v="CUST-00174"/>
    <x v="1"/>
    <x v="4"/>
    <s v="JK"/>
    <x v="0"/>
    <s v="Srinagar"/>
    <x v="0"/>
    <s v="P105"/>
    <s v="Retinol Night Cream"/>
    <x v="3"/>
    <n v="4"/>
    <n v="799"/>
    <n v="0.15"/>
    <n v="3196"/>
    <n v="479.4"/>
    <n v="2716.6"/>
    <n v="216"/>
    <n v="864"/>
    <n v="120"/>
    <n v="1732.6"/>
    <n v="0.63778252227048515"/>
    <x v="3"/>
    <d v="2024-08-20T00:00:00"/>
    <n v="4"/>
    <x v="0"/>
    <m/>
    <n v="1"/>
  </r>
  <r>
    <s v="ORD-101121"/>
    <x v="225"/>
    <x v="0"/>
    <d v="2024-08-01T00:00:00"/>
    <n v="8"/>
    <s v="CUST-00539"/>
    <x v="1"/>
    <x v="15"/>
    <s v="HR"/>
    <x v="0"/>
    <s v="Faridabad"/>
    <x v="3"/>
    <s v="P703"/>
    <s v="Green Tea (100 bags)"/>
    <x v="0"/>
    <n v="1"/>
    <n v="399"/>
    <n v="0.3"/>
    <n v="399"/>
    <n v="119.69999999999999"/>
    <n v="279.3"/>
    <n v="128"/>
    <n v="128"/>
    <n v="60"/>
    <n v="91.300000000000011"/>
    <n v="0.32688865019692093"/>
    <x v="3"/>
    <d v="2024-08-20T00:00:00"/>
    <n v="4"/>
    <x v="0"/>
    <n v="4"/>
    <n v="0"/>
  </r>
  <r>
    <s v="ORD-101122"/>
    <x v="225"/>
    <x v="0"/>
    <d v="2024-08-01T00:00:00"/>
    <n v="8"/>
    <s v="CUST-01237"/>
    <x v="1"/>
    <x v="16"/>
    <s v="UP"/>
    <x v="0"/>
    <s v="Kanpur"/>
    <x v="2"/>
    <s v="P304"/>
    <s v="Denim Jacket"/>
    <x v="1"/>
    <n v="1"/>
    <n v="2499"/>
    <n v="0"/>
    <n v="2499"/>
    <n v="0"/>
    <n v="2499"/>
    <n v="1125"/>
    <n v="1125"/>
    <n v="60"/>
    <n v="1314"/>
    <n v="0.5258103241296519"/>
    <x v="1"/>
    <d v="2024-08-18T00:00:00"/>
    <n v="2"/>
    <x v="1"/>
    <n v="5"/>
    <n v="0"/>
  </r>
  <r>
    <s v="ORD-101123"/>
    <x v="225"/>
    <x v="0"/>
    <d v="2024-08-01T00:00:00"/>
    <n v="8"/>
    <s v="CUST-00911"/>
    <x v="0"/>
    <x v="16"/>
    <s v="UP"/>
    <x v="0"/>
    <s v="Kanpur"/>
    <x v="4"/>
    <s v="P101"/>
    <s v="Vitamin C Face Serum"/>
    <x v="3"/>
    <n v="1"/>
    <n v="599"/>
    <n v="0.1"/>
    <n v="599"/>
    <n v="59.900000000000006"/>
    <n v="539.1"/>
    <n v="180"/>
    <n v="180"/>
    <n v="60"/>
    <n v="299.10000000000002"/>
    <n v="0.5548135781858653"/>
    <x v="0"/>
    <d v="2024-08-20T00:00:00"/>
    <n v="4"/>
    <x v="0"/>
    <m/>
    <n v="0"/>
  </r>
  <r>
    <s v="ORD-101124"/>
    <x v="225"/>
    <x v="0"/>
    <d v="2024-08-01T00:00:00"/>
    <n v="8"/>
    <s v="CUST-00608"/>
    <x v="1"/>
    <x v="18"/>
    <s v="WB"/>
    <x v="2"/>
    <s v="Kolkata"/>
    <x v="0"/>
    <s v="P601"/>
    <s v="Wireless Earbuds"/>
    <x v="2"/>
    <n v="2"/>
    <n v="1999"/>
    <n v="0.4"/>
    <n v="3998"/>
    <n v="1599.2"/>
    <n v="2398.8000000000002"/>
    <n v="1239"/>
    <n v="2478"/>
    <n v="120"/>
    <n v="-199.19999999999982"/>
    <n v="-8.3041520760380114E-2"/>
    <x v="3"/>
    <d v="2024-08-18T00:00:00"/>
    <n v="2"/>
    <x v="1"/>
    <m/>
    <n v="1"/>
  </r>
  <r>
    <s v="ORD-101125"/>
    <x v="225"/>
    <x v="0"/>
    <d v="2024-08-01T00:00:00"/>
    <n v="8"/>
    <s v="CUST-02134"/>
    <x v="0"/>
    <x v="2"/>
    <s v="MH"/>
    <x v="1"/>
    <s v="Pune"/>
    <x v="1"/>
    <s v="P301"/>
    <s v="Cotton Oversized T-Shirt"/>
    <x v="1"/>
    <n v="1"/>
    <n v="799"/>
    <n v="0"/>
    <n v="799"/>
    <n v="0"/>
    <n v="799"/>
    <n v="320"/>
    <n v="320"/>
    <n v="60"/>
    <n v="419"/>
    <n v="0.52440550688360454"/>
    <x v="4"/>
    <d v="2024-08-18T00:00:00"/>
    <n v="2"/>
    <x v="1"/>
    <m/>
    <n v="0"/>
  </r>
  <r>
    <s v="ORD-101126"/>
    <x v="225"/>
    <x v="0"/>
    <d v="2024-08-01T00:00:00"/>
    <n v="8"/>
    <s v="CUST-00305"/>
    <x v="0"/>
    <x v="11"/>
    <s v="KA"/>
    <x v="3"/>
    <s v="Mysuru"/>
    <x v="0"/>
    <s v="P701"/>
    <s v="Ashwagandha Capsules"/>
    <x v="0"/>
    <n v="2"/>
    <n v="499"/>
    <n v="0"/>
    <n v="998"/>
    <n v="0"/>
    <n v="998"/>
    <n v="150"/>
    <n v="300"/>
    <n v="60"/>
    <n v="638"/>
    <n v="0.63927855711422843"/>
    <x v="0"/>
    <d v="2024-08-17T00:00:00"/>
    <n v="1"/>
    <x v="1"/>
    <m/>
    <n v="0"/>
  </r>
  <r>
    <s v="ORD-101127"/>
    <x v="225"/>
    <x v="0"/>
    <d v="2024-08-01T00:00:00"/>
    <n v="8"/>
    <s v="CUST-02394"/>
    <x v="0"/>
    <x v="11"/>
    <s v="KA"/>
    <x v="3"/>
    <s v="Bengaluru"/>
    <x v="4"/>
    <s v="P601"/>
    <s v="Wireless Earbuds"/>
    <x v="2"/>
    <n v="1"/>
    <n v="1999"/>
    <n v="0.4"/>
    <n v="1999"/>
    <n v="799.6"/>
    <n v="1199.4000000000001"/>
    <n v="1239"/>
    <n v="1239"/>
    <n v="60"/>
    <n v="-99.599999999999909"/>
    <n v="-8.3041520760380114E-2"/>
    <x v="0"/>
    <d v="2024-08-18T00:00:00"/>
    <n v="2"/>
    <x v="1"/>
    <n v="4"/>
    <n v="0"/>
  </r>
  <r>
    <s v="ORD-101128"/>
    <x v="225"/>
    <x v="0"/>
    <d v="2024-08-01T00:00:00"/>
    <n v="8"/>
    <s v="CUST-02657"/>
    <x v="0"/>
    <x v="14"/>
    <s v="KL"/>
    <x v="3"/>
    <s v="Kochi"/>
    <x v="0"/>
    <s v="P503"/>
    <s v="Scented Candle Set"/>
    <x v="4"/>
    <n v="3"/>
    <n v="699"/>
    <n v="0.3"/>
    <n v="2097"/>
    <n v="629.1"/>
    <n v="1467.9"/>
    <n v="245"/>
    <n v="735"/>
    <n v="60"/>
    <n v="672.90000000000009"/>
    <n v="0.45840997343143269"/>
    <x v="4"/>
    <d v="2024-08-20T00:00:00"/>
    <n v="4"/>
    <x v="0"/>
    <n v="4"/>
    <n v="0"/>
  </r>
  <r>
    <s v="ORD-101129"/>
    <x v="226"/>
    <x v="0"/>
    <d v="2024-08-01T00:00:00"/>
    <n v="8"/>
    <s v="CUST-02067"/>
    <x v="0"/>
    <x v="18"/>
    <s v="WB"/>
    <x v="2"/>
    <s v="Kolkata"/>
    <x v="0"/>
    <s v="P704"/>
    <s v="Multivitamin Gummies"/>
    <x v="0"/>
    <n v="1"/>
    <n v="699"/>
    <n v="0.2"/>
    <n v="699"/>
    <n v="139.80000000000001"/>
    <n v="559.20000000000005"/>
    <n v="238"/>
    <n v="238"/>
    <n v="60"/>
    <n v="261.20000000000005"/>
    <n v="0.46709585121602293"/>
    <x v="0"/>
    <d v="2024-08-20T00:00:00"/>
    <n v="3"/>
    <x v="0"/>
    <n v="3"/>
    <n v="0"/>
  </r>
  <r>
    <s v="ORD-101130"/>
    <x v="226"/>
    <x v="0"/>
    <d v="2024-08-01T00:00:00"/>
    <n v="8"/>
    <s v="CUST-00859"/>
    <x v="0"/>
    <x v="2"/>
    <s v="MH"/>
    <x v="1"/>
    <s v="Nagpur"/>
    <x v="4"/>
    <s v="P203"/>
    <s v="Keratin Hair Mask"/>
    <x v="6"/>
    <n v="2"/>
    <n v="549"/>
    <n v="0.15"/>
    <n v="1098"/>
    <n v="164.7"/>
    <n v="933.3"/>
    <n v="170"/>
    <n v="340"/>
    <n v="60"/>
    <n v="533.29999999999995"/>
    <n v="0.57141326475945564"/>
    <x v="2"/>
    <d v="2024-08-20T00:00:00"/>
    <n v="3"/>
    <x v="0"/>
    <n v="5"/>
    <n v="0"/>
  </r>
  <r>
    <s v="ORD-101131"/>
    <x v="226"/>
    <x v="0"/>
    <d v="2024-08-01T00:00:00"/>
    <n v="8"/>
    <s v="CUST-00726"/>
    <x v="0"/>
    <x v="21"/>
    <s v="TG"/>
    <x v="3"/>
    <s v="Hyderabad"/>
    <x v="0"/>
    <s v="P301"/>
    <s v="Cotton Oversized T-Shirt"/>
    <x v="1"/>
    <n v="1"/>
    <n v="799"/>
    <n v="0"/>
    <n v="799"/>
    <n v="0"/>
    <n v="799"/>
    <n v="320"/>
    <n v="320"/>
    <n v="120"/>
    <n v="359"/>
    <n v="0.44931163954943681"/>
    <x v="4"/>
    <d v="2024-08-21T00:00:00"/>
    <n v="4"/>
    <x v="0"/>
    <m/>
    <n v="1"/>
  </r>
  <r>
    <s v="ORD-101132"/>
    <x v="226"/>
    <x v="0"/>
    <d v="2024-08-01T00:00:00"/>
    <n v="8"/>
    <s v="CUST-00204"/>
    <x v="0"/>
    <x v="21"/>
    <s v="TG"/>
    <x v="3"/>
    <s v="Hyderabad"/>
    <x v="0"/>
    <s v="P102"/>
    <s v="Sunscreen SPF 50"/>
    <x v="3"/>
    <n v="2"/>
    <n v="449"/>
    <n v="0.05"/>
    <n v="898"/>
    <n v="44.900000000000006"/>
    <n v="853.1"/>
    <n v="144"/>
    <n v="288"/>
    <n v="60"/>
    <n v="505.1"/>
    <n v="0.59207595826983939"/>
    <x v="2"/>
    <d v="2024-08-20T00:00:00"/>
    <n v="3"/>
    <x v="0"/>
    <m/>
    <n v="0"/>
  </r>
  <r>
    <s v="ORD-101133"/>
    <x v="227"/>
    <x v="0"/>
    <d v="2024-08-01T00:00:00"/>
    <n v="8"/>
    <s v="CUST-01107"/>
    <x v="1"/>
    <x v="16"/>
    <s v="UP"/>
    <x v="0"/>
    <s v="Kanpur"/>
    <x v="1"/>
    <s v="P402"/>
    <s v="Casual Sneakers"/>
    <x v="5"/>
    <n v="1"/>
    <n v="2199"/>
    <n v="0.15"/>
    <n v="2199"/>
    <n v="329.84999999999997"/>
    <n v="1869.15"/>
    <n v="1034"/>
    <n v="1034"/>
    <n v="60"/>
    <n v="775.15000000000009"/>
    <n v="0.41470721985929437"/>
    <x v="3"/>
    <d v="2024-08-21T00:00:00"/>
    <n v="3"/>
    <x v="0"/>
    <m/>
    <n v="0"/>
  </r>
  <r>
    <s v="ORD-101134"/>
    <x v="227"/>
    <x v="0"/>
    <d v="2024-08-01T00:00:00"/>
    <n v="8"/>
    <s v="CUST-00963"/>
    <x v="1"/>
    <x v="18"/>
    <s v="WB"/>
    <x v="2"/>
    <s v="Kolkata"/>
    <x v="1"/>
    <s v="P304"/>
    <s v="Denim Jacket"/>
    <x v="1"/>
    <n v="1"/>
    <n v="2499"/>
    <n v="0"/>
    <n v="2499"/>
    <n v="0"/>
    <n v="2499"/>
    <n v="1125"/>
    <n v="1125"/>
    <n v="60"/>
    <n v="1314"/>
    <n v="0.5258103241296519"/>
    <x v="0"/>
    <d v="2024-08-21T00:00:00"/>
    <n v="3"/>
    <x v="0"/>
    <n v="4"/>
    <n v="0"/>
  </r>
  <r>
    <s v="ORD-101135"/>
    <x v="227"/>
    <x v="0"/>
    <d v="2024-08-01T00:00:00"/>
    <n v="8"/>
    <s v="CUST-00909"/>
    <x v="1"/>
    <x v="2"/>
    <s v="MH"/>
    <x v="1"/>
    <s v="Pune"/>
    <x v="1"/>
    <s v="P404"/>
    <s v="Flip Flops"/>
    <x v="5"/>
    <n v="2"/>
    <n v="399"/>
    <n v="0.15"/>
    <n v="798"/>
    <n v="119.69999999999999"/>
    <n v="678.3"/>
    <n v="152"/>
    <n v="304"/>
    <n v="60"/>
    <n v="314.29999999999995"/>
    <n v="0.4633642930856553"/>
    <x v="3"/>
    <d v="2024-08-19T00:00:00"/>
    <n v="1"/>
    <x v="1"/>
    <m/>
    <n v="0"/>
  </r>
  <r>
    <s v="ORD-101136"/>
    <x v="227"/>
    <x v="0"/>
    <d v="2024-08-01T00:00:00"/>
    <n v="8"/>
    <s v="CUST-00443"/>
    <x v="0"/>
    <x v="2"/>
    <s v="MH"/>
    <x v="1"/>
    <s v="Mumbai"/>
    <x v="0"/>
    <s v="P603"/>
    <s v="Smartwatch Strap"/>
    <x v="2"/>
    <n v="1"/>
    <n v="499"/>
    <n v="0.2"/>
    <n v="499"/>
    <n v="99.800000000000011"/>
    <n v="399.2"/>
    <n v="200"/>
    <n v="200"/>
    <n v="60"/>
    <n v="139.19999999999999"/>
    <n v="0.34869739478957912"/>
    <x v="1"/>
    <d v="2024-08-19T00:00:00"/>
    <n v="1"/>
    <x v="1"/>
    <n v="5"/>
    <n v="0"/>
  </r>
  <r>
    <s v="ORD-101137"/>
    <x v="228"/>
    <x v="0"/>
    <d v="2024-08-01T00:00:00"/>
    <n v="8"/>
    <s v="CUST-02223"/>
    <x v="0"/>
    <x v="5"/>
    <s v="HP"/>
    <x v="0"/>
    <s v="Shimla"/>
    <x v="3"/>
    <s v="P202"/>
    <s v="Argan Shampoo"/>
    <x v="6"/>
    <n v="1"/>
    <n v="449"/>
    <n v="0.1"/>
    <n v="449"/>
    <n v="44.900000000000006"/>
    <n v="404.1"/>
    <n v="148"/>
    <n v="148"/>
    <n v="60"/>
    <n v="196.10000000000002"/>
    <n v="0.48527592180153428"/>
    <x v="0"/>
    <d v="2024-08-25T00:00:00"/>
    <n v="6"/>
    <x v="2"/>
    <n v="4"/>
    <n v="0"/>
  </r>
  <r>
    <s v="ORD-101138"/>
    <x v="228"/>
    <x v="0"/>
    <d v="2024-08-01T00:00:00"/>
    <n v="8"/>
    <s v="CUST-00896"/>
    <x v="0"/>
    <x v="13"/>
    <s v="MP"/>
    <x v="1"/>
    <s v="Indore"/>
    <x v="1"/>
    <s v="P404"/>
    <s v="Flip Flops"/>
    <x v="5"/>
    <n v="1"/>
    <n v="399"/>
    <n v="0.15"/>
    <n v="399"/>
    <n v="59.849999999999994"/>
    <n v="339.15"/>
    <n v="152"/>
    <n v="152"/>
    <n v="60"/>
    <n v="127.14999999999998"/>
    <n v="0.37490785787999409"/>
    <x v="1"/>
    <d v="2024-08-23T00:00:00"/>
    <n v="4"/>
    <x v="0"/>
    <n v="4"/>
    <n v="0"/>
  </r>
  <r>
    <s v="ORD-101139"/>
    <x v="228"/>
    <x v="0"/>
    <d v="2024-08-01T00:00:00"/>
    <n v="8"/>
    <s v="CUST-00717"/>
    <x v="0"/>
    <x v="18"/>
    <s v="WB"/>
    <x v="2"/>
    <s v="Kolkata"/>
    <x v="1"/>
    <s v="P404"/>
    <s v="Flip Flops"/>
    <x v="5"/>
    <n v="1"/>
    <n v="399"/>
    <n v="0.1"/>
    <n v="399"/>
    <n v="39.900000000000006"/>
    <n v="359.1"/>
    <n v="152"/>
    <n v="152"/>
    <n v="60"/>
    <n v="147.10000000000002"/>
    <n v="0.40963519910888335"/>
    <x v="0"/>
    <d v="2024-08-22T00:00:00"/>
    <n v="3"/>
    <x v="0"/>
    <n v="4"/>
    <n v="0"/>
  </r>
  <r>
    <s v="ORD-101140"/>
    <x v="228"/>
    <x v="0"/>
    <d v="2024-08-01T00:00:00"/>
    <n v="8"/>
    <s v="CUST-00533"/>
    <x v="1"/>
    <x v="2"/>
    <s v="MH"/>
    <x v="1"/>
    <s v="Nagpur"/>
    <x v="2"/>
    <s v="P104"/>
    <s v="Hydrating Face Wash"/>
    <x v="3"/>
    <n v="1"/>
    <n v="299"/>
    <n v="0"/>
    <n v="299"/>
    <n v="0"/>
    <n v="299"/>
    <n v="90"/>
    <n v="90"/>
    <n v="60"/>
    <n v="149"/>
    <n v="0.49832775919732442"/>
    <x v="3"/>
    <d v="2024-08-23T00:00:00"/>
    <n v="4"/>
    <x v="0"/>
    <n v="4"/>
    <n v="0"/>
  </r>
  <r>
    <s v="ORD-101141"/>
    <x v="228"/>
    <x v="0"/>
    <d v="2024-08-01T00:00:00"/>
    <n v="8"/>
    <s v="CUST-01967"/>
    <x v="0"/>
    <x v="17"/>
    <s v="TN"/>
    <x v="3"/>
    <s v="Coimbatore"/>
    <x v="4"/>
    <s v="P504"/>
    <s v="Cotton Bedsheet"/>
    <x v="4"/>
    <n v="2"/>
    <n v="1299"/>
    <n v="0"/>
    <n v="2598"/>
    <n v="0"/>
    <n v="2598"/>
    <n v="585"/>
    <n v="1170"/>
    <n v="60"/>
    <n v="1368"/>
    <n v="0.52655889145496537"/>
    <x v="0"/>
    <d v="2024-08-22T00:00:00"/>
    <n v="3"/>
    <x v="0"/>
    <n v="3"/>
    <n v="0"/>
  </r>
  <r>
    <s v="ORD-101142"/>
    <x v="228"/>
    <x v="0"/>
    <d v="2024-08-01T00:00:00"/>
    <n v="8"/>
    <s v="CUST-01116"/>
    <x v="1"/>
    <x v="17"/>
    <s v="TN"/>
    <x v="3"/>
    <s v="Coimbatore"/>
    <x v="3"/>
    <s v="P201"/>
    <s v="Onion Hair Oil"/>
    <x v="6"/>
    <n v="2"/>
    <n v="349"/>
    <n v="0.25"/>
    <n v="698"/>
    <n v="174.5"/>
    <n v="523.5"/>
    <n v="105"/>
    <n v="210"/>
    <n v="60"/>
    <n v="253.5"/>
    <n v="0.48424068767908307"/>
    <x v="2"/>
    <d v="2024-08-21T00:00:00"/>
    <n v="2"/>
    <x v="1"/>
    <m/>
    <n v="0"/>
  </r>
  <r>
    <s v="ORD-101143"/>
    <x v="229"/>
    <x v="0"/>
    <d v="2024-08-01T00:00:00"/>
    <n v="8"/>
    <s v="CUST-00626"/>
    <x v="0"/>
    <x v="16"/>
    <s v="UP"/>
    <x v="0"/>
    <s v="Noida"/>
    <x v="1"/>
    <s v="P404"/>
    <s v="Flip Flops"/>
    <x v="5"/>
    <n v="1"/>
    <n v="399"/>
    <n v="0.2"/>
    <n v="399"/>
    <n v="79.800000000000011"/>
    <n v="319.2"/>
    <n v="152"/>
    <n v="152"/>
    <n v="60"/>
    <n v="107.19999999999999"/>
    <n v="0.33583959899749372"/>
    <x v="3"/>
    <d v="2024-08-24T00:00:00"/>
    <n v="4"/>
    <x v="0"/>
    <n v="4"/>
    <n v="0"/>
  </r>
  <r>
    <s v="ORD-101144"/>
    <x v="229"/>
    <x v="0"/>
    <d v="2024-08-01T00:00:00"/>
    <n v="8"/>
    <s v="CUST-01098"/>
    <x v="1"/>
    <x v="14"/>
    <s v="KL"/>
    <x v="3"/>
    <s v="Kochi"/>
    <x v="3"/>
    <s v="P102"/>
    <s v="Sunscreen SPF 50"/>
    <x v="3"/>
    <n v="1"/>
    <n v="449"/>
    <n v="0.05"/>
    <n v="449"/>
    <n v="22.450000000000003"/>
    <n v="426.55"/>
    <n v="144"/>
    <n v="144"/>
    <n v="60"/>
    <n v="222.55"/>
    <n v="0.52174422693705313"/>
    <x v="0"/>
    <d v="2024-08-23T00:00:00"/>
    <n v="3"/>
    <x v="0"/>
    <m/>
    <n v="0"/>
  </r>
  <r>
    <s v="ORD-101145"/>
    <x v="230"/>
    <x v="0"/>
    <d v="2024-08-01T00:00:00"/>
    <n v="8"/>
    <s v="CUST-02517"/>
    <x v="0"/>
    <x v="0"/>
    <s v="RJ"/>
    <x v="0"/>
    <s v="Jaipur"/>
    <x v="0"/>
    <s v="P202"/>
    <s v="Argan Shampoo"/>
    <x v="6"/>
    <n v="2"/>
    <n v="449"/>
    <n v="0"/>
    <n v="898"/>
    <n v="0"/>
    <n v="898"/>
    <n v="148"/>
    <n v="296"/>
    <n v="60"/>
    <n v="542"/>
    <n v="0.60356347438752789"/>
    <x v="0"/>
    <d v="2024-08-25T00:00:00"/>
    <n v="4"/>
    <x v="0"/>
    <m/>
    <n v="0"/>
  </r>
  <r>
    <s v="ORD-101146"/>
    <x v="230"/>
    <x v="0"/>
    <d v="2024-08-01T00:00:00"/>
    <n v="8"/>
    <s v="CUST-00292"/>
    <x v="0"/>
    <x v="0"/>
    <s v="RJ"/>
    <x v="0"/>
    <s v="Jaipur"/>
    <x v="2"/>
    <s v="P102"/>
    <s v="Sunscreen SPF 50"/>
    <x v="3"/>
    <n v="1"/>
    <n v="449"/>
    <n v="0.05"/>
    <n v="449"/>
    <n v="22.450000000000003"/>
    <n v="426.55"/>
    <n v="144"/>
    <n v="144"/>
    <n v="60"/>
    <n v="222.55"/>
    <n v="0.52174422693705313"/>
    <x v="0"/>
    <d v="2024-08-25T00:00:00"/>
    <n v="4"/>
    <x v="0"/>
    <n v="4"/>
    <n v="0"/>
  </r>
  <r>
    <s v="ORD-101147"/>
    <x v="230"/>
    <x v="0"/>
    <d v="2024-08-01T00:00:00"/>
    <n v="8"/>
    <s v="CUST-00808"/>
    <x v="1"/>
    <x v="6"/>
    <s v="DL"/>
    <x v="0"/>
    <s v="New Delhi"/>
    <x v="0"/>
    <s v="P704"/>
    <s v="Multivitamin Gummies"/>
    <x v="0"/>
    <n v="2"/>
    <n v="699"/>
    <n v="0.3"/>
    <n v="1398"/>
    <n v="419.4"/>
    <n v="978.6"/>
    <n v="238"/>
    <n v="476"/>
    <n v="60"/>
    <n v="442.6"/>
    <n v="0.45227876558348662"/>
    <x v="2"/>
    <d v="2024-08-24T00:00:00"/>
    <n v="3"/>
    <x v="0"/>
    <n v="4"/>
    <n v="0"/>
  </r>
  <r>
    <s v="ORD-101148"/>
    <x v="230"/>
    <x v="0"/>
    <d v="2024-08-01T00:00:00"/>
    <n v="8"/>
    <s v="CUST-00719"/>
    <x v="0"/>
    <x v="6"/>
    <s v="DL"/>
    <x v="0"/>
    <s v="New Delhi"/>
    <x v="3"/>
    <s v="P704"/>
    <s v="Multivitamin Gummies"/>
    <x v="0"/>
    <n v="1"/>
    <n v="699"/>
    <n v="0.2"/>
    <n v="699"/>
    <n v="139.80000000000001"/>
    <n v="559.20000000000005"/>
    <n v="238"/>
    <n v="238"/>
    <n v="60"/>
    <n v="261.20000000000005"/>
    <n v="0.46709585121602293"/>
    <x v="1"/>
    <d v="2024-08-23T00:00:00"/>
    <n v="2"/>
    <x v="1"/>
    <m/>
    <n v="0"/>
  </r>
  <r>
    <s v="ORD-101149"/>
    <x v="230"/>
    <x v="0"/>
    <d v="2024-08-01T00:00:00"/>
    <n v="8"/>
    <s v="CUST-01120"/>
    <x v="0"/>
    <x v="16"/>
    <s v="UP"/>
    <x v="0"/>
    <s v="Noida"/>
    <x v="0"/>
    <s v="P303"/>
    <s v="Joggers"/>
    <x v="1"/>
    <n v="2"/>
    <n v="1199"/>
    <n v="0.05"/>
    <n v="2398"/>
    <n v="119.9"/>
    <n v="2278.1"/>
    <n v="492"/>
    <n v="984"/>
    <n v="60"/>
    <n v="1234.0999999999999"/>
    <n v="0.54172336596286375"/>
    <x v="3"/>
    <d v="2024-08-23T00:00:00"/>
    <n v="2"/>
    <x v="1"/>
    <n v="5"/>
    <n v="0"/>
  </r>
  <r>
    <s v="ORD-101150"/>
    <x v="230"/>
    <x v="0"/>
    <d v="2024-08-01T00:00:00"/>
    <n v="8"/>
    <s v="CUST-00407"/>
    <x v="1"/>
    <x v="1"/>
    <s v="GJ"/>
    <x v="1"/>
    <s v="Surat"/>
    <x v="2"/>
    <s v="P403"/>
    <s v="Kolhapuri Sandals"/>
    <x v="5"/>
    <n v="1"/>
    <n v="999"/>
    <n v="0.05"/>
    <n v="999"/>
    <n v="49.95"/>
    <n v="949.05"/>
    <n v="400"/>
    <n v="400"/>
    <n v="60"/>
    <n v="489.04999999999995"/>
    <n v="0.5153047784626732"/>
    <x v="0"/>
    <d v="2024-08-25T00:00:00"/>
    <n v="4"/>
    <x v="0"/>
    <n v="5"/>
    <n v="0"/>
  </r>
  <r>
    <s v="ORD-101151"/>
    <x v="230"/>
    <x v="0"/>
    <d v="2024-08-01T00:00:00"/>
    <n v="8"/>
    <s v="CUST-00276"/>
    <x v="1"/>
    <x v="2"/>
    <s v="MH"/>
    <x v="1"/>
    <s v="Pune"/>
    <x v="0"/>
    <s v="P503"/>
    <s v="Scented Candle Set"/>
    <x v="4"/>
    <n v="1"/>
    <n v="699"/>
    <n v="0.15"/>
    <n v="699"/>
    <n v="104.85"/>
    <n v="594.15"/>
    <n v="245"/>
    <n v="245"/>
    <n v="60"/>
    <n v="289.14999999999998"/>
    <n v="0.48666161743667424"/>
    <x v="0"/>
    <d v="2024-08-22T00:00:00"/>
    <n v="1"/>
    <x v="1"/>
    <m/>
    <n v="0"/>
  </r>
  <r>
    <s v="ORD-101152"/>
    <x v="230"/>
    <x v="0"/>
    <d v="2024-08-01T00:00:00"/>
    <n v="8"/>
    <s v="CUST-01041"/>
    <x v="1"/>
    <x v="2"/>
    <s v="MH"/>
    <x v="1"/>
    <s v="Mumbai"/>
    <x v="2"/>
    <s v="P403"/>
    <s v="Kolhapuri Sandals"/>
    <x v="5"/>
    <n v="1"/>
    <n v="999"/>
    <n v="0.1"/>
    <n v="999"/>
    <n v="99.9"/>
    <n v="899.1"/>
    <n v="400"/>
    <n v="400"/>
    <n v="60"/>
    <n v="439.1"/>
    <n v="0.48837726615504395"/>
    <x v="0"/>
    <d v="2024-08-26T00:00:00"/>
    <n v="5"/>
    <x v="2"/>
    <n v="3"/>
    <n v="0"/>
  </r>
  <r>
    <s v="ORD-101153"/>
    <x v="230"/>
    <x v="0"/>
    <d v="2024-08-01T00:00:00"/>
    <n v="8"/>
    <s v="CUST-00844"/>
    <x v="0"/>
    <x v="8"/>
    <s v="AP"/>
    <x v="3"/>
    <s v="Visakhapatnam"/>
    <x v="1"/>
    <s v="P403"/>
    <s v="Kolhapuri Sandals"/>
    <x v="5"/>
    <n v="2"/>
    <n v="999"/>
    <n v="0"/>
    <n v="1998"/>
    <n v="0"/>
    <n v="1998"/>
    <n v="400"/>
    <n v="800"/>
    <n v="60"/>
    <n v="1138"/>
    <n v="0.56956956956956961"/>
    <x v="0"/>
    <d v="2024-08-24T00:00:00"/>
    <n v="3"/>
    <x v="0"/>
    <m/>
    <n v="0"/>
  </r>
  <r>
    <s v="ORD-101154"/>
    <x v="231"/>
    <x v="0"/>
    <d v="2024-08-01T00:00:00"/>
    <n v="8"/>
    <s v="CUST-00435"/>
    <x v="1"/>
    <x v="13"/>
    <s v="MP"/>
    <x v="1"/>
    <s v="Indore"/>
    <x v="1"/>
    <s v="P301"/>
    <s v="Cotton Oversized T-Shirt"/>
    <x v="1"/>
    <n v="2"/>
    <n v="799"/>
    <n v="0"/>
    <n v="1598"/>
    <n v="0"/>
    <n v="1598"/>
    <n v="320"/>
    <n v="640"/>
    <n v="60"/>
    <n v="898"/>
    <n v="0.56195244055068838"/>
    <x v="0"/>
    <d v="2024-08-26T00:00:00"/>
    <n v="4"/>
    <x v="0"/>
    <n v="5"/>
    <n v="0"/>
  </r>
  <r>
    <s v="ORD-101155"/>
    <x v="231"/>
    <x v="0"/>
    <d v="2024-08-01T00:00:00"/>
    <n v="8"/>
    <s v="CUST-00133"/>
    <x v="0"/>
    <x v="2"/>
    <s v="MH"/>
    <x v="1"/>
    <s v="Nagpur"/>
    <x v="0"/>
    <s v="P704"/>
    <s v="Multivitamin Gummies"/>
    <x v="0"/>
    <n v="1"/>
    <n v="699"/>
    <n v="0.2"/>
    <n v="699"/>
    <n v="139.80000000000001"/>
    <n v="559.20000000000005"/>
    <n v="238"/>
    <n v="238"/>
    <n v="60"/>
    <n v="261.20000000000005"/>
    <n v="0.46709585121602293"/>
    <x v="3"/>
    <d v="2024-08-25T00:00:00"/>
    <n v="3"/>
    <x v="0"/>
    <n v="4"/>
    <n v="0"/>
  </r>
  <r>
    <s v="ORD-101156"/>
    <x v="232"/>
    <x v="0"/>
    <d v="2024-08-01T00:00:00"/>
    <n v="8"/>
    <s v="CUST-00532"/>
    <x v="0"/>
    <x v="0"/>
    <s v="RJ"/>
    <x v="0"/>
    <s v="Jaipur"/>
    <x v="3"/>
    <s v="P104"/>
    <s v="Hydrating Face Wash"/>
    <x v="3"/>
    <n v="1"/>
    <n v="299"/>
    <n v="0.05"/>
    <n v="299"/>
    <n v="14.950000000000001"/>
    <n v="284.05"/>
    <n v="90"/>
    <n v="90"/>
    <n v="120"/>
    <n v="74.050000000000011"/>
    <n v="0.26069353986974125"/>
    <x v="0"/>
    <d v="2024-08-26T00:00:00"/>
    <n v="3"/>
    <x v="0"/>
    <n v="4"/>
    <n v="1"/>
  </r>
  <r>
    <s v="ORD-101157"/>
    <x v="232"/>
    <x v="0"/>
    <d v="2024-08-01T00:00:00"/>
    <n v="8"/>
    <s v="CUST-00366"/>
    <x v="0"/>
    <x v="6"/>
    <s v="DL"/>
    <x v="0"/>
    <s v="New Delhi"/>
    <x v="1"/>
    <s v="P403"/>
    <s v="Kolhapuri Sandals"/>
    <x v="5"/>
    <n v="1"/>
    <n v="999"/>
    <n v="0.15"/>
    <n v="999"/>
    <n v="149.85"/>
    <n v="849.15"/>
    <n v="400"/>
    <n v="400"/>
    <n v="60"/>
    <n v="389.15"/>
    <n v="0.45828181122298767"/>
    <x v="3"/>
    <d v="2024-08-25T00:00:00"/>
    <n v="2"/>
    <x v="1"/>
    <n v="4"/>
    <n v="0"/>
  </r>
  <r>
    <s v="ORD-101158"/>
    <x v="232"/>
    <x v="0"/>
    <d v="2024-08-01T00:00:00"/>
    <n v="8"/>
    <s v="CUST-01742"/>
    <x v="0"/>
    <x v="1"/>
    <s v="GJ"/>
    <x v="1"/>
    <s v="Surat"/>
    <x v="1"/>
    <s v="P404"/>
    <s v="Flip Flops"/>
    <x v="5"/>
    <n v="1"/>
    <n v="399"/>
    <n v="0.15"/>
    <n v="399"/>
    <n v="59.849999999999994"/>
    <n v="339.15"/>
    <n v="152"/>
    <n v="152"/>
    <n v="60"/>
    <n v="127.14999999999998"/>
    <n v="0.37490785787999409"/>
    <x v="0"/>
    <d v="2024-08-26T00:00:00"/>
    <n v="3"/>
    <x v="0"/>
    <n v="4"/>
    <n v="0"/>
  </r>
  <r>
    <s v="ORD-101159"/>
    <x v="232"/>
    <x v="0"/>
    <d v="2024-08-01T00:00:00"/>
    <n v="8"/>
    <s v="CUST-00380"/>
    <x v="1"/>
    <x v="21"/>
    <s v="TG"/>
    <x v="3"/>
    <s v="Hyderabad"/>
    <x v="4"/>
    <s v="P701"/>
    <s v="Ashwagandha Capsules"/>
    <x v="0"/>
    <n v="1"/>
    <n v="499"/>
    <n v="0"/>
    <n v="499"/>
    <n v="0"/>
    <n v="499"/>
    <n v="150"/>
    <n v="150"/>
    <n v="60"/>
    <n v="289"/>
    <n v="0.57915831663326656"/>
    <x v="4"/>
    <d v="2024-08-25T00:00:00"/>
    <n v="2"/>
    <x v="1"/>
    <n v="5"/>
    <n v="0"/>
  </r>
  <r>
    <s v="ORD-101160"/>
    <x v="233"/>
    <x v="0"/>
    <d v="2024-08-01T00:00:00"/>
    <n v="8"/>
    <s v="CUST-00355"/>
    <x v="1"/>
    <x v="0"/>
    <s v="RJ"/>
    <x v="0"/>
    <s v="Udaipur"/>
    <x v="4"/>
    <s v="P704"/>
    <s v="Multivitamin Gummies"/>
    <x v="0"/>
    <n v="3"/>
    <n v="699"/>
    <n v="0.2"/>
    <n v="2097"/>
    <n v="419.40000000000003"/>
    <n v="1677.6"/>
    <n v="238"/>
    <n v="714"/>
    <n v="60"/>
    <n v="903.59999999999991"/>
    <n v="0.53862660944206009"/>
    <x v="0"/>
    <d v="2024-08-27T00:00:00"/>
    <n v="3"/>
    <x v="0"/>
    <n v="4"/>
    <n v="0"/>
  </r>
  <r>
    <s v="ORD-101161"/>
    <x v="233"/>
    <x v="0"/>
    <d v="2024-08-01T00:00:00"/>
    <n v="8"/>
    <s v="CUST-01437"/>
    <x v="1"/>
    <x v="0"/>
    <s v="RJ"/>
    <x v="0"/>
    <s v="Udaipur"/>
    <x v="3"/>
    <s v="P703"/>
    <s v="Green Tea (100 bags)"/>
    <x v="0"/>
    <n v="1"/>
    <n v="399"/>
    <n v="0.4"/>
    <n v="399"/>
    <n v="159.60000000000002"/>
    <n v="239.39999999999998"/>
    <n v="128"/>
    <n v="128"/>
    <n v="60"/>
    <n v="51.399999999999977"/>
    <n v="0.21470342522974095"/>
    <x v="0"/>
    <d v="2024-08-27T00:00:00"/>
    <n v="3"/>
    <x v="0"/>
    <n v="4"/>
    <n v="0"/>
  </r>
  <r>
    <s v="ORD-101162"/>
    <x v="233"/>
    <x v="0"/>
    <d v="2024-08-01T00:00:00"/>
    <n v="8"/>
    <s v="CUST-00140"/>
    <x v="0"/>
    <x v="7"/>
    <s v="JH"/>
    <x v="2"/>
    <s v="Ranchi"/>
    <x v="0"/>
    <s v="P503"/>
    <s v="Scented Candle Set"/>
    <x v="4"/>
    <n v="1"/>
    <n v="699"/>
    <n v="0.15"/>
    <n v="699"/>
    <n v="104.85"/>
    <n v="594.15"/>
    <n v="245"/>
    <n v="245"/>
    <n v="120"/>
    <n v="229.14999999999998"/>
    <n v="0.38567701758815109"/>
    <x v="3"/>
    <d v="2024-08-29T00:00:00"/>
    <n v="5"/>
    <x v="2"/>
    <n v="4"/>
    <n v="1"/>
  </r>
  <r>
    <s v="ORD-101163"/>
    <x v="233"/>
    <x v="0"/>
    <d v="2024-08-01T00:00:00"/>
    <n v="8"/>
    <s v="CUST-00268"/>
    <x v="1"/>
    <x v="2"/>
    <s v="MH"/>
    <x v="1"/>
    <s v="Pune"/>
    <x v="4"/>
    <s v="P702"/>
    <s v="Whey Protein 1kg"/>
    <x v="0"/>
    <n v="2"/>
    <n v="2299"/>
    <n v="0.4"/>
    <n v="4598"/>
    <n v="1839.2"/>
    <n v="2758.8"/>
    <n v="1333"/>
    <n v="2666"/>
    <n v="60"/>
    <n v="32.800000000000182"/>
    <n v="1.188922720023205E-2"/>
    <x v="3"/>
    <d v="2024-08-25T00:00:00"/>
    <n v="1"/>
    <x v="1"/>
    <n v="4"/>
    <n v="0"/>
  </r>
  <r>
    <s v="ORD-101164"/>
    <x v="233"/>
    <x v="0"/>
    <d v="2024-08-01T00:00:00"/>
    <n v="8"/>
    <s v="CUST-00498"/>
    <x v="0"/>
    <x v="11"/>
    <s v="KA"/>
    <x v="3"/>
    <s v="Mysuru"/>
    <x v="3"/>
    <s v="P201"/>
    <s v="Onion Hair Oil"/>
    <x v="6"/>
    <n v="1"/>
    <n v="349"/>
    <n v="0.35"/>
    <n v="349"/>
    <n v="122.14999999999999"/>
    <n v="226.85000000000002"/>
    <n v="105"/>
    <n v="105"/>
    <n v="60"/>
    <n v="61.850000000000023"/>
    <n v="0.27264712364998905"/>
    <x v="4"/>
    <d v="2024-08-26T00:00:00"/>
    <n v="2"/>
    <x v="1"/>
    <n v="4"/>
    <n v="0"/>
  </r>
  <r>
    <s v="ORD-101165"/>
    <x v="233"/>
    <x v="0"/>
    <d v="2024-08-01T00:00:00"/>
    <n v="8"/>
    <s v="CUST-00426"/>
    <x v="1"/>
    <x v="14"/>
    <s v="KL"/>
    <x v="3"/>
    <s v="Kochi"/>
    <x v="3"/>
    <s v="P701"/>
    <s v="Ashwagandha Capsules"/>
    <x v="0"/>
    <n v="2"/>
    <n v="499"/>
    <n v="0.1"/>
    <n v="998"/>
    <n v="99.800000000000011"/>
    <n v="898.2"/>
    <n v="150"/>
    <n v="300"/>
    <n v="60"/>
    <n v="538.20000000000005"/>
    <n v="0.59919839679358722"/>
    <x v="3"/>
    <d v="2024-08-29T00:00:00"/>
    <n v="5"/>
    <x v="2"/>
    <m/>
    <n v="0"/>
  </r>
  <r>
    <s v="ORD-101166"/>
    <x v="234"/>
    <x v="0"/>
    <d v="2024-08-01T00:00:00"/>
    <n v="8"/>
    <s v="CUST-00483"/>
    <x v="1"/>
    <x v="19"/>
    <s v="PB"/>
    <x v="0"/>
    <s v="Ludhiana"/>
    <x v="1"/>
    <s v="P303"/>
    <s v="Joggers"/>
    <x v="1"/>
    <n v="1"/>
    <n v="1199"/>
    <n v="0.2"/>
    <n v="1199"/>
    <n v="239.8"/>
    <n v="959.2"/>
    <n v="492"/>
    <n v="492"/>
    <n v="60"/>
    <n v="407.20000000000005"/>
    <n v="0.42452043369474562"/>
    <x v="0"/>
    <d v="2024-08-28T00:00:00"/>
    <n v="3"/>
    <x v="0"/>
    <n v="4"/>
    <n v="0"/>
  </r>
  <r>
    <s v="ORD-101167"/>
    <x v="234"/>
    <x v="0"/>
    <d v="2024-08-01T00:00:00"/>
    <n v="8"/>
    <s v="CUST-01462"/>
    <x v="0"/>
    <x v="0"/>
    <s v="RJ"/>
    <x v="0"/>
    <s v="Udaipur"/>
    <x v="4"/>
    <s v="P601"/>
    <s v="Wireless Earbuds"/>
    <x v="2"/>
    <n v="1"/>
    <n v="1999"/>
    <n v="0.35"/>
    <n v="1999"/>
    <n v="699.65"/>
    <n v="1299.3499999999999"/>
    <n v="1239"/>
    <n v="1239"/>
    <n v="60"/>
    <n v="0.34999999999990905"/>
    <n v="2.6936545195667763E-4"/>
    <x v="0"/>
    <d v="2024-08-30T00:00:00"/>
    <n v="5"/>
    <x v="2"/>
    <n v="3"/>
    <n v="0"/>
  </r>
  <r>
    <s v="ORD-101168"/>
    <x v="234"/>
    <x v="0"/>
    <d v="2024-08-01T00:00:00"/>
    <n v="8"/>
    <s v="CUST-00623"/>
    <x v="0"/>
    <x v="6"/>
    <s v="DL"/>
    <x v="0"/>
    <s v="New Delhi"/>
    <x v="3"/>
    <s v="P201"/>
    <s v="Onion Hair Oil"/>
    <x v="6"/>
    <n v="1"/>
    <n v="349"/>
    <n v="0.4"/>
    <n v="349"/>
    <n v="139.6"/>
    <n v="209.4"/>
    <n v="105"/>
    <n v="105"/>
    <n v="60"/>
    <n v="44.400000000000006"/>
    <n v="0.21203438395415475"/>
    <x v="0"/>
    <d v="2024-08-27T00:00:00"/>
    <n v="2"/>
    <x v="1"/>
    <n v="3"/>
    <n v="0"/>
  </r>
  <r>
    <s v="ORD-101169"/>
    <x v="234"/>
    <x v="0"/>
    <d v="2024-08-01T00:00:00"/>
    <n v="8"/>
    <s v="CUST-00187"/>
    <x v="1"/>
    <x v="6"/>
    <s v="DL"/>
    <x v="0"/>
    <s v="New Delhi"/>
    <x v="4"/>
    <s v="P404"/>
    <s v="Flip Flops"/>
    <x v="5"/>
    <n v="1"/>
    <n v="399"/>
    <n v="0.2"/>
    <n v="399"/>
    <n v="79.800000000000011"/>
    <n v="319.2"/>
    <n v="152"/>
    <n v="152"/>
    <n v="60"/>
    <n v="107.19999999999999"/>
    <n v="0.33583959899749372"/>
    <x v="2"/>
    <d v="2024-08-29T00:00:00"/>
    <n v="4"/>
    <x v="0"/>
    <n v="3"/>
    <n v="0"/>
  </r>
  <r>
    <s v="ORD-101170"/>
    <x v="234"/>
    <x v="0"/>
    <d v="2024-08-01T00:00:00"/>
    <n v="8"/>
    <s v="CUST-00316"/>
    <x v="0"/>
    <x v="6"/>
    <s v="DL"/>
    <x v="0"/>
    <s v="New Delhi"/>
    <x v="2"/>
    <s v="P704"/>
    <s v="Multivitamin Gummies"/>
    <x v="0"/>
    <n v="1"/>
    <n v="699"/>
    <n v="0.15"/>
    <n v="699"/>
    <n v="104.85"/>
    <n v="594.15"/>
    <n v="238"/>
    <n v="238"/>
    <n v="60"/>
    <n v="296.14999999999998"/>
    <n v="0.49844315408566858"/>
    <x v="0"/>
    <d v="2024-08-29T00:00:00"/>
    <n v="4"/>
    <x v="0"/>
    <n v="4"/>
    <n v="0"/>
  </r>
  <r>
    <s v="ORD-101171"/>
    <x v="234"/>
    <x v="0"/>
    <d v="2024-08-01T00:00:00"/>
    <n v="8"/>
    <s v="CUST-02948"/>
    <x v="0"/>
    <x v="13"/>
    <s v="MP"/>
    <x v="1"/>
    <s v="Indore"/>
    <x v="0"/>
    <s v="P105"/>
    <s v="Retinol Night Cream"/>
    <x v="3"/>
    <n v="1"/>
    <n v="799"/>
    <n v="0.15"/>
    <n v="799"/>
    <n v="119.85"/>
    <n v="679.15"/>
    <n v="216"/>
    <n v="216"/>
    <n v="120"/>
    <n v="343.15"/>
    <n v="0.50526393285724802"/>
    <x v="1"/>
    <d v="2024-08-30T00:00:00"/>
    <n v="5"/>
    <x v="2"/>
    <n v="3"/>
    <n v="1"/>
  </r>
  <r>
    <s v="ORD-101172"/>
    <x v="234"/>
    <x v="0"/>
    <d v="2024-08-01T00:00:00"/>
    <n v="8"/>
    <s v="CUST-00437"/>
    <x v="1"/>
    <x v="2"/>
    <s v="MH"/>
    <x v="1"/>
    <s v="Nagpur"/>
    <x v="3"/>
    <s v="P104"/>
    <s v="Hydrating Face Wash"/>
    <x v="3"/>
    <n v="2"/>
    <n v="299"/>
    <n v="0"/>
    <n v="598"/>
    <n v="0"/>
    <n v="598"/>
    <n v="90"/>
    <n v="180"/>
    <n v="60"/>
    <n v="358"/>
    <n v="0.59866220735785958"/>
    <x v="3"/>
    <d v="2024-08-26T00:00:00"/>
    <n v="1"/>
    <x v="1"/>
    <n v="4"/>
    <n v="0"/>
  </r>
  <r>
    <s v="ORD-101173"/>
    <x v="234"/>
    <x v="0"/>
    <d v="2024-08-01T00:00:00"/>
    <n v="8"/>
    <s v="CUST-01179"/>
    <x v="0"/>
    <x v="11"/>
    <s v="KA"/>
    <x v="3"/>
    <s v="Bengaluru"/>
    <x v="3"/>
    <s v="P104"/>
    <s v="Hydrating Face Wash"/>
    <x v="3"/>
    <n v="1"/>
    <n v="299"/>
    <n v="0"/>
    <n v="299"/>
    <n v="0"/>
    <n v="299"/>
    <n v="90"/>
    <n v="90"/>
    <n v="60"/>
    <n v="149"/>
    <n v="0.49832775919732442"/>
    <x v="0"/>
    <d v="2024-08-27T00:00:00"/>
    <n v="2"/>
    <x v="1"/>
    <n v="5"/>
    <n v="0"/>
  </r>
  <r>
    <s v="ORD-101174"/>
    <x v="234"/>
    <x v="0"/>
    <d v="2024-08-01T00:00:00"/>
    <n v="8"/>
    <s v="CUST-00849"/>
    <x v="1"/>
    <x v="11"/>
    <s v="KA"/>
    <x v="3"/>
    <s v="Mysuru"/>
    <x v="1"/>
    <s v="P302"/>
    <s v="Linen Kurta"/>
    <x v="1"/>
    <n v="2"/>
    <n v="1499"/>
    <n v="0.4"/>
    <n v="2998"/>
    <n v="1199.2"/>
    <n v="1798.8"/>
    <n v="630"/>
    <n v="1260"/>
    <n v="60"/>
    <n v="478.79999999999995"/>
    <n v="0.26617745163442291"/>
    <x v="0"/>
    <d v="2024-08-27T00:00:00"/>
    <n v="2"/>
    <x v="1"/>
    <n v="4"/>
    <n v="0"/>
  </r>
  <r>
    <s v="ORD-101175"/>
    <x v="234"/>
    <x v="0"/>
    <d v="2024-08-01T00:00:00"/>
    <n v="8"/>
    <s v="CUST-00251"/>
    <x v="1"/>
    <x v="17"/>
    <s v="TN"/>
    <x v="3"/>
    <s v="Chennai"/>
    <x v="4"/>
    <s v="P102"/>
    <s v="Sunscreen SPF 50"/>
    <x v="3"/>
    <n v="2"/>
    <n v="449"/>
    <n v="0.05"/>
    <n v="898"/>
    <n v="44.900000000000006"/>
    <n v="853.1"/>
    <n v="144"/>
    <n v="288"/>
    <n v="60"/>
    <n v="505.1"/>
    <n v="0.59207595826983939"/>
    <x v="1"/>
    <d v="2024-08-26T00:00:00"/>
    <n v="1"/>
    <x v="1"/>
    <n v="5"/>
    <n v="0"/>
  </r>
  <r>
    <s v="ORD-101176"/>
    <x v="235"/>
    <x v="0"/>
    <d v="2024-08-01T00:00:00"/>
    <n v="8"/>
    <s v="CUST-01935"/>
    <x v="0"/>
    <x v="4"/>
    <s v="JK"/>
    <x v="0"/>
    <s v="Jammu"/>
    <x v="0"/>
    <s v="P301"/>
    <s v="Cotton Oversized T-Shirt"/>
    <x v="1"/>
    <n v="1"/>
    <n v="799"/>
    <n v="0"/>
    <n v="799"/>
    <n v="0"/>
    <n v="799"/>
    <n v="320"/>
    <n v="320"/>
    <n v="60"/>
    <n v="419"/>
    <n v="0.52440550688360454"/>
    <x v="3"/>
    <d v="2024-08-31T00:00:00"/>
    <n v="5"/>
    <x v="2"/>
    <m/>
    <n v="0"/>
  </r>
  <r>
    <s v="ORD-101177"/>
    <x v="235"/>
    <x v="0"/>
    <d v="2024-08-01T00:00:00"/>
    <n v="8"/>
    <s v="CUST-00465"/>
    <x v="1"/>
    <x v="16"/>
    <s v="UP"/>
    <x v="0"/>
    <s v="Noida"/>
    <x v="1"/>
    <s v="P404"/>
    <s v="Flip Flops"/>
    <x v="5"/>
    <n v="2"/>
    <n v="399"/>
    <n v="0.1"/>
    <n v="798"/>
    <n v="79.800000000000011"/>
    <n v="718.2"/>
    <n v="152"/>
    <n v="304"/>
    <n v="60"/>
    <n v="354.20000000000005"/>
    <n v="0.49317738791423005"/>
    <x v="0"/>
    <d v="2024-08-31T00:00:00"/>
    <n v="5"/>
    <x v="2"/>
    <n v="3"/>
    <n v="0"/>
  </r>
  <r>
    <s v="ORD-101178"/>
    <x v="235"/>
    <x v="0"/>
    <d v="2024-08-01T00:00:00"/>
    <n v="8"/>
    <s v="CUST-00940"/>
    <x v="1"/>
    <x v="3"/>
    <s v="OD"/>
    <x v="2"/>
    <s v="Bhubaneswar"/>
    <x v="4"/>
    <s v="P603"/>
    <s v="Smartwatch Strap"/>
    <x v="2"/>
    <n v="4"/>
    <n v="499"/>
    <n v="0.1"/>
    <n v="1996"/>
    <n v="199.60000000000002"/>
    <n v="1796.4"/>
    <n v="200"/>
    <n v="800"/>
    <n v="60"/>
    <n v="936.40000000000009"/>
    <n v="0.52126475172567355"/>
    <x v="1"/>
    <d v="2024-08-29T00:00:00"/>
    <n v="3"/>
    <x v="0"/>
    <m/>
    <n v="0"/>
  </r>
  <r>
    <s v="ORD-101179"/>
    <x v="236"/>
    <x v="0"/>
    <d v="2024-08-01T00:00:00"/>
    <n v="8"/>
    <s v="CUST-01004"/>
    <x v="1"/>
    <x v="16"/>
    <s v="UP"/>
    <x v="0"/>
    <s v="Kanpur"/>
    <x v="4"/>
    <s v="P603"/>
    <s v="Smartwatch Strap"/>
    <x v="2"/>
    <n v="1"/>
    <n v="499"/>
    <n v="0.1"/>
    <n v="499"/>
    <n v="49.900000000000006"/>
    <n v="449.1"/>
    <n v="200"/>
    <n v="200"/>
    <n v="60"/>
    <n v="189.10000000000002"/>
    <n v="0.42106435092407041"/>
    <x v="0"/>
    <d v="2024-08-31T00:00:00"/>
    <n v="4"/>
    <x v="0"/>
    <n v="4"/>
    <n v="0"/>
  </r>
  <r>
    <s v="ORD-101180"/>
    <x v="236"/>
    <x v="0"/>
    <d v="2024-08-01T00:00:00"/>
    <n v="8"/>
    <s v="CUST-00998"/>
    <x v="0"/>
    <x v="16"/>
    <s v="UP"/>
    <x v="0"/>
    <s v="Noida"/>
    <x v="4"/>
    <s v="P202"/>
    <s v="Argan Shampoo"/>
    <x v="6"/>
    <n v="1"/>
    <n v="449"/>
    <n v="0.05"/>
    <n v="449"/>
    <n v="22.450000000000003"/>
    <n v="426.55"/>
    <n v="148"/>
    <n v="148"/>
    <n v="60"/>
    <n v="218.55"/>
    <n v="0.51236666275934828"/>
    <x v="2"/>
    <d v="2024-08-30T00:00:00"/>
    <n v="3"/>
    <x v="0"/>
    <n v="4"/>
    <n v="0"/>
  </r>
  <r>
    <s v="ORD-101181"/>
    <x v="236"/>
    <x v="0"/>
    <d v="2024-08-01T00:00:00"/>
    <n v="8"/>
    <s v="CUST-02650"/>
    <x v="0"/>
    <x v="13"/>
    <s v="MP"/>
    <x v="1"/>
    <s v="Bhopal"/>
    <x v="0"/>
    <s v="P302"/>
    <s v="Linen Kurta"/>
    <x v="1"/>
    <n v="3"/>
    <n v="1499"/>
    <n v="0.3"/>
    <n v="4497"/>
    <n v="1349.1"/>
    <n v="3147.9"/>
    <n v="630"/>
    <n v="1890"/>
    <n v="60"/>
    <n v="1197.9000000000001"/>
    <n v="0.38053940722386354"/>
    <x v="0"/>
    <d v="2024-08-28T00:00:00"/>
    <n v="1"/>
    <x v="1"/>
    <m/>
    <n v="0"/>
  </r>
  <r>
    <s v="ORD-101182"/>
    <x v="236"/>
    <x v="0"/>
    <d v="2024-08-01T00:00:00"/>
    <n v="8"/>
    <s v="CUST-00305"/>
    <x v="1"/>
    <x v="2"/>
    <s v="MH"/>
    <x v="1"/>
    <s v="Pune"/>
    <x v="0"/>
    <s v="P603"/>
    <s v="Smartwatch Strap"/>
    <x v="2"/>
    <n v="1"/>
    <n v="499"/>
    <n v="0.1"/>
    <n v="499"/>
    <n v="49.900000000000006"/>
    <n v="449.1"/>
    <n v="200"/>
    <n v="200"/>
    <n v="60"/>
    <n v="189.10000000000002"/>
    <n v="0.42106435092407041"/>
    <x v="0"/>
    <d v="2024-08-28T00:00:00"/>
    <n v="1"/>
    <x v="1"/>
    <m/>
    <n v="0"/>
  </r>
  <r>
    <s v="ORD-101183"/>
    <x v="236"/>
    <x v="0"/>
    <d v="2024-08-01T00:00:00"/>
    <n v="8"/>
    <s v="CUST-00451"/>
    <x v="1"/>
    <x v="21"/>
    <s v="TG"/>
    <x v="3"/>
    <s v="Hyderabad"/>
    <x v="2"/>
    <s v="P203"/>
    <s v="Keratin Hair Mask"/>
    <x v="6"/>
    <n v="1"/>
    <n v="549"/>
    <n v="0.1"/>
    <n v="549"/>
    <n v="54.900000000000006"/>
    <n v="494.1"/>
    <n v="170"/>
    <n v="170"/>
    <n v="60"/>
    <n v="264.10000000000002"/>
    <n v="0.53450718478040882"/>
    <x v="1"/>
    <d v="2024-08-30T00:00:00"/>
    <n v="3"/>
    <x v="0"/>
    <n v="4"/>
    <n v="0"/>
  </r>
  <r>
    <s v="ORD-101184"/>
    <x v="237"/>
    <x v="0"/>
    <d v="2024-08-01T00:00:00"/>
    <n v="8"/>
    <s v="CUST-00046"/>
    <x v="0"/>
    <x v="2"/>
    <s v="MH"/>
    <x v="1"/>
    <s v="Pune"/>
    <x v="4"/>
    <s v="P504"/>
    <s v="Cotton Bedsheet"/>
    <x v="4"/>
    <n v="1"/>
    <n v="1299"/>
    <n v="0.1"/>
    <n v="1299"/>
    <n v="129.9"/>
    <n v="1169.0999999999999"/>
    <n v="585"/>
    <n v="585"/>
    <n v="60"/>
    <n v="524.09999999999991"/>
    <n v="0.44829355914806257"/>
    <x v="0"/>
    <d v="2024-08-31T00:00:00"/>
    <n v="3"/>
    <x v="0"/>
    <m/>
    <n v="0"/>
  </r>
  <r>
    <s v="ORD-101185"/>
    <x v="238"/>
    <x v="0"/>
    <d v="2024-08-01T00:00:00"/>
    <n v="8"/>
    <s v="CUST-00117"/>
    <x v="1"/>
    <x v="15"/>
    <s v="HR"/>
    <x v="0"/>
    <s v="Gurugram"/>
    <x v="4"/>
    <s v="P503"/>
    <s v="Scented Candle Set"/>
    <x v="4"/>
    <n v="1"/>
    <n v="699"/>
    <n v="0.2"/>
    <n v="699"/>
    <n v="139.80000000000001"/>
    <n v="559.20000000000005"/>
    <n v="245"/>
    <n v="245"/>
    <n v="60"/>
    <n v="254.20000000000005"/>
    <n v="0.45457796852646642"/>
    <x v="0"/>
    <d v="2024-08-31T00:00:00"/>
    <n v="2"/>
    <x v="1"/>
    <n v="3"/>
    <n v="0"/>
  </r>
  <r>
    <s v="ORD-101186"/>
    <x v="238"/>
    <x v="0"/>
    <d v="2024-08-01T00:00:00"/>
    <n v="8"/>
    <s v="CUST-00804"/>
    <x v="0"/>
    <x v="21"/>
    <s v="TG"/>
    <x v="3"/>
    <s v="Hyderabad"/>
    <x v="0"/>
    <s v="P203"/>
    <s v="Keratin Hair Mask"/>
    <x v="6"/>
    <n v="1"/>
    <n v="549"/>
    <n v="0.1"/>
    <n v="549"/>
    <n v="54.900000000000006"/>
    <n v="494.1"/>
    <n v="170"/>
    <n v="170"/>
    <n v="60"/>
    <n v="264.10000000000002"/>
    <n v="0.53450718478040882"/>
    <x v="0"/>
    <d v="2024-09-01T00:00:00"/>
    <n v="3"/>
    <x v="0"/>
    <m/>
    <n v="0"/>
  </r>
  <r>
    <s v="ORD-101187"/>
    <x v="238"/>
    <x v="0"/>
    <d v="2024-08-01T00:00:00"/>
    <n v="8"/>
    <s v="CUST-00913"/>
    <x v="0"/>
    <x v="11"/>
    <s v="KA"/>
    <x v="3"/>
    <s v="Bengaluru"/>
    <x v="2"/>
    <s v="P501"/>
    <s v="Copper Water Bottle"/>
    <x v="4"/>
    <n v="1"/>
    <n v="899"/>
    <n v="0"/>
    <n v="899"/>
    <n v="0"/>
    <n v="899"/>
    <n v="378"/>
    <n v="378"/>
    <n v="120"/>
    <n v="401"/>
    <n v="0.44605116796440492"/>
    <x v="0"/>
    <d v="2024-08-31T00:00:00"/>
    <n v="2"/>
    <x v="1"/>
    <m/>
    <n v="1"/>
  </r>
  <r>
    <s v="ORD-101188"/>
    <x v="239"/>
    <x v="0"/>
    <d v="2024-08-01T00:00:00"/>
    <n v="8"/>
    <s v="CUST-02957"/>
    <x v="0"/>
    <x v="4"/>
    <s v="JK"/>
    <x v="0"/>
    <s v="Jammu"/>
    <x v="0"/>
    <s v="P503"/>
    <s v="Scented Candle Set"/>
    <x v="4"/>
    <n v="1"/>
    <n v="699"/>
    <n v="0.2"/>
    <n v="699"/>
    <n v="139.80000000000001"/>
    <n v="559.20000000000005"/>
    <n v="245"/>
    <n v="245"/>
    <n v="60"/>
    <n v="254.20000000000005"/>
    <n v="0.45457796852646642"/>
    <x v="0"/>
    <d v="2024-09-04T00:00:00"/>
    <n v="5"/>
    <x v="2"/>
    <n v="3"/>
    <n v="0"/>
  </r>
  <r>
    <s v="ORD-101189"/>
    <x v="239"/>
    <x v="0"/>
    <d v="2024-08-01T00:00:00"/>
    <n v="8"/>
    <s v="CUST-00717"/>
    <x v="1"/>
    <x v="19"/>
    <s v="PB"/>
    <x v="0"/>
    <s v="Ludhiana"/>
    <x v="2"/>
    <s v="P305"/>
    <s v="Printed Saree"/>
    <x v="1"/>
    <n v="1"/>
    <n v="1999"/>
    <n v="0"/>
    <n v="1999"/>
    <n v="0"/>
    <n v="1999"/>
    <n v="880"/>
    <n v="880"/>
    <n v="60"/>
    <n v="1059"/>
    <n v="0.52976488244122066"/>
    <x v="0"/>
    <d v="2024-09-05T00:00:00"/>
    <n v="6"/>
    <x v="2"/>
    <m/>
    <n v="0"/>
  </r>
  <r>
    <s v="ORD-101190"/>
    <x v="239"/>
    <x v="0"/>
    <d v="2024-08-01T00:00:00"/>
    <n v="8"/>
    <s v="CUST-00929"/>
    <x v="1"/>
    <x v="16"/>
    <s v="UP"/>
    <x v="0"/>
    <s v="Noida"/>
    <x v="0"/>
    <s v="P101"/>
    <s v="Vitamin C Face Serum"/>
    <x v="3"/>
    <n v="1"/>
    <n v="599"/>
    <n v="0.2"/>
    <n v="599"/>
    <n v="119.80000000000001"/>
    <n v="479.2"/>
    <n v="180"/>
    <n v="180"/>
    <n v="60"/>
    <n v="239.2"/>
    <n v="0.4991652754590985"/>
    <x v="3"/>
    <d v="2024-09-05T00:00:00"/>
    <n v="6"/>
    <x v="2"/>
    <n v="3"/>
    <n v="0"/>
  </r>
  <r>
    <s v="ORD-101191"/>
    <x v="239"/>
    <x v="0"/>
    <d v="2024-08-01T00:00:00"/>
    <n v="8"/>
    <s v="CUST-00442"/>
    <x v="1"/>
    <x v="16"/>
    <s v="UP"/>
    <x v="0"/>
    <s v="Lucknow"/>
    <x v="2"/>
    <s v="P502"/>
    <s v="Ceramic Dinner Set"/>
    <x v="4"/>
    <n v="1"/>
    <n v="2499"/>
    <n v="0.2"/>
    <n v="2499"/>
    <n v="499.8"/>
    <n v="1999.2"/>
    <n v="1250"/>
    <n v="1250"/>
    <n v="60"/>
    <n v="689.2"/>
    <n v="0.34473789515806325"/>
    <x v="3"/>
    <d v="2024-09-02T00:00:00"/>
    <n v="3"/>
    <x v="0"/>
    <m/>
    <n v="0"/>
  </r>
  <r>
    <s v="ORD-101192"/>
    <x v="239"/>
    <x v="0"/>
    <d v="2024-08-01T00:00:00"/>
    <n v="8"/>
    <s v="CUST-00633"/>
    <x v="0"/>
    <x v="1"/>
    <s v="GJ"/>
    <x v="1"/>
    <s v="Surat"/>
    <x v="1"/>
    <s v="P403"/>
    <s v="Kolhapuri Sandals"/>
    <x v="5"/>
    <n v="2"/>
    <n v="999"/>
    <n v="0.05"/>
    <n v="1998"/>
    <n v="99.9"/>
    <n v="1898.1"/>
    <n v="400"/>
    <n v="800"/>
    <n v="60"/>
    <n v="1038.0999999999999"/>
    <n v="0.54691533638902057"/>
    <x v="4"/>
    <d v="2024-09-03T00:00:00"/>
    <n v="4"/>
    <x v="0"/>
    <n v="3"/>
    <n v="0"/>
  </r>
  <r>
    <s v="ORD-101193"/>
    <x v="239"/>
    <x v="0"/>
    <d v="2024-08-01T00:00:00"/>
    <n v="8"/>
    <s v="CUST-00292"/>
    <x v="1"/>
    <x v="13"/>
    <s v="MP"/>
    <x v="1"/>
    <s v="Bhopal"/>
    <x v="1"/>
    <s v="P404"/>
    <s v="Flip Flops"/>
    <x v="5"/>
    <n v="1"/>
    <n v="399"/>
    <n v="0.05"/>
    <n v="399"/>
    <n v="19.950000000000003"/>
    <n v="379.05"/>
    <n v="152"/>
    <n v="152"/>
    <n v="60"/>
    <n v="167.05"/>
    <n v="0.44070703073473161"/>
    <x v="3"/>
    <d v="2024-09-04T00:00:00"/>
    <n v="5"/>
    <x v="2"/>
    <m/>
    <n v="0"/>
  </r>
  <r>
    <s v="ORD-101194"/>
    <x v="239"/>
    <x v="0"/>
    <d v="2024-08-01T00:00:00"/>
    <n v="8"/>
    <s v="CUST-00015"/>
    <x v="1"/>
    <x v="18"/>
    <s v="WB"/>
    <x v="2"/>
    <s v="Kolkata"/>
    <x v="2"/>
    <s v="P103"/>
    <s v="Niacinamide Toner"/>
    <x v="3"/>
    <n v="1"/>
    <n v="399"/>
    <n v="0.25"/>
    <n v="399"/>
    <n v="99.75"/>
    <n v="299.25"/>
    <n v="112"/>
    <n v="112"/>
    <n v="60"/>
    <n v="127.25"/>
    <n v="0.42522974101921468"/>
    <x v="0"/>
    <d v="2024-09-02T00:00:00"/>
    <n v="3"/>
    <x v="0"/>
    <n v="5"/>
    <n v="0"/>
  </r>
  <r>
    <s v="ORD-101195"/>
    <x v="239"/>
    <x v="0"/>
    <d v="2024-08-01T00:00:00"/>
    <n v="8"/>
    <s v="CUST-01156"/>
    <x v="0"/>
    <x v="11"/>
    <s v="KA"/>
    <x v="3"/>
    <s v="Bengaluru"/>
    <x v="2"/>
    <s v="P103"/>
    <s v="Niacinamide Toner"/>
    <x v="3"/>
    <n v="1"/>
    <n v="399"/>
    <n v="0.2"/>
    <n v="399"/>
    <n v="79.800000000000011"/>
    <n v="319.2"/>
    <n v="112"/>
    <n v="112"/>
    <n v="60"/>
    <n v="147.19999999999999"/>
    <n v="0.46115288220551376"/>
    <x v="0"/>
    <d v="2024-09-04T00:00:00"/>
    <n v="5"/>
    <x v="2"/>
    <m/>
    <n v="0"/>
  </r>
  <r>
    <s v="ORD-101196"/>
    <x v="240"/>
    <x v="0"/>
    <d v="2024-08-01T00:00:00"/>
    <n v="8"/>
    <s v="CUST-00614"/>
    <x v="0"/>
    <x v="6"/>
    <s v="DL"/>
    <x v="0"/>
    <s v="New Delhi"/>
    <x v="0"/>
    <s v="P504"/>
    <s v="Cotton Bedsheet"/>
    <x v="4"/>
    <n v="1"/>
    <n v="1299"/>
    <n v="0"/>
    <n v="1299"/>
    <n v="0"/>
    <n v="1299"/>
    <n v="585"/>
    <n v="585"/>
    <n v="60"/>
    <n v="654"/>
    <n v="0.50346420323325636"/>
    <x v="0"/>
    <d v="2024-09-01T00:00:00"/>
    <n v="1"/>
    <x v="1"/>
    <m/>
    <n v="0"/>
  </r>
  <r>
    <s v="ORD-101197"/>
    <x v="240"/>
    <x v="0"/>
    <d v="2024-08-01T00:00:00"/>
    <n v="8"/>
    <s v="CUST-00404"/>
    <x v="1"/>
    <x v="16"/>
    <s v="UP"/>
    <x v="0"/>
    <s v="Kanpur"/>
    <x v="4"/>
    <s v="P704"/>
    <s v="Multivitamin Gummies"/>
    <x v="0"/>
    <n v="2"/>
    <n v="699"/>
    <n v="0.3"/>
    <n v="1398"/>
    <n v="419.4"/>
    <n v="978.6"/>
    <n v="238"/>
    <n v="476"/>
    <n v="120"/>
    <n v="382.6"/>
    <n v="0.39096668710402616"/>
    <x v="3"/>
    <d v="2024-09-03T00:00:00"/>
    <n v="3"/>
    <x v="0"/>
    <m/>
    <n v="1"/>
  </r>
  <r>
    <s v="ORD-101198"/>
    <x v="240"/>
    <x v="0"/>
    <d v="2024-08-01T00:00:00"/>
    <n v="8"/>
    <s v="CUST-01090"/>
    <x v="1"/>
    <x v="2"/>
    <s v="MH"/>
    <x v="1"/>
    <s v="Nagpur"/>
    <x v="0"/>
    <s v="P704"/>
    <s v="Multivitamin Gummies"/>
    <x v="0"/>
    <n v="1"/>
    <n v="699"/>
    <n v="0.2"/>
    <n v="699"/>
    <n v="139.80000000000001"/>
    <n v="559.20000000000005"/>
    <n v="238"/>
    <n v="238"/>
    <n v="60"/>
    <n v="261.20000000000005"/>
    <n v="0.46709585121602293"/>
    <x v="4"/>
    <d v="2024-09-01T00:00:00"/>
    <n v="1"/>
    <x v="1"/>
    <n v="4"/>
    <n v="0"/>
  </r>
  <r>
    <s v="ORD-101199"/>
    <x v="240"/>
    <x v="0"/>
    <d v="2024-08-01T00:00:00"/>
    <n v="8"/>
    <s v="CUST-03049"/>
    <x v="0"/>
    <x v="2"/>
    <s v="MH"/>
    <x v="1"/>
    <s v="Mumbai"/>
    <x v="0"/>
    <s v="P302"/>
    <s v="Linen Kurta"/>
    <x v="1"/>
    <n v="1"/>
    <n v="1499"/>
    <n v="0.25"/>
    <n v="1499"/>
    <n v="374.75"/>
    <n v="1124.25"/>
    <n v="630"/>
    <n v="630"/>
    <n v="60"/>
    <n v="434.25"/>
    <n v="0.38625750500333556"/>
    <x v="0"/>
    <d v="2024-09-01T00:00:00"/>
    <n v="1"/>
    <x v="1"/>
    <n v="3"/>
    <n v="0"/>
  </r>
  <r>
    <s v="ORD-101200"/>
    <x v="241"/>
    <x v="0"/>
    <d v="2024-09-01T00:00:00"/>
    <n v="9"/>
    <s v="CUST-00545"/>
    <x v="1"/>
    <x v="1"/>
    <s v="GJ"/>
    <x v="1"/>
    <s v="Surat"/>
    <x v="4"/>
    <s v="P303"/>
    <s v="Joggers"/>
    <x v="1"/>
    <n v="2"/>
    <n v="1199"/>
    <n v="0.1"/>
    <n v="2398"/>
    <n v="239.8"/>
    <n v="2158.1999999999998"/>
    <n v="492"/>
    <n v="984"/>
    <n v="60"/>
    <n v="1114.1999999999998"/>
    <n v="0.51626355296080062"/>
    <x v="3"/>
    <d v="2024-09-02T00:00:00"/>
    <n v="1"/>
    <x v="1"/>
    <n v="4"/>
    <n v="0"/>
  </r>
  <r>
    <s v="ORD-101201"/>
    <x v="241"/>
    <x v="0"/>
    <d v="2024-09-01T00:00:00"/>
    <n v="9"/>
    <s v="CUST-02966"/>
    <x v="1"/>
    <x v="10"/>
    <s v="CG"/>
    <x v="2"/>
    <s v="Raipur"/>
    <x v="0"/>
    <s v="P701"/>
    <s v="Ashwagandha Capsules"/>
    <x v="0"/>
    <n v="2"/>
    <n v="499"/>
    <n v="0"/>
    <n v="998"/>
    <n v="0"/>
    <n v="998"/>
    <n v="150"/>
    <n v="300"/>
    <n v="60"/>
    <n v="638"/>
    <n v="0.63927855711422843"/>
    <x v="0"/>
    <d v="2024-09-04T00:00:00"/>
    <n v="3"/>
    <x v="0"/>
    <n v="4"/>
    <n v="0"/>
  </r>
  <r>
    <s v="ORD-101202"/>
    <x v="241"/>
    <x v="0"/>
    <d v="2024-09-01T00:00:00"/>
    <n v="9"/>
    <s v="CUST-00861"/>
    <x v="1"/>
    <x v="11"/>
    <s v="KA"/>
    <x v="3"/>
    <s v="Mysuru"/>
    <x v="1"/>
    <s v="P403"/>
    <s v="Kolhapuri Sandals"/>
    <x v="5"/>
    <n v="1"/>
    <n v="999"/>
    <n v="0"/>
    <n v="999"/>
    <n v="0"/>
    <n v="999"/>
    <n v="400"/>
    <n v="400"/>
    <n v="60"/>
    <n v="539"/>
    <n v="0.53953953953953959"/>
    <x v="0"/>
    <d v="2024-09-03T00:00:00"/>
    <n v="2"/>
    <x v="1"/>
    <m/>
    <n v="0"/>
  </r>
  <r>
    <s v="ORD-101203"/>
    <x v="242"/>
    <x v="0"/>
    <d v="2024-09-01T00:00:00"/>
    <n v="9"/>
    <s v="CUST-01341"/>
    <x v="0"/>
    <x v="19"/>
    <s v="PB"/>
    <x v="0"/>
    <s v="Amritsar"/>
    <x v="0"/>
    <s v="P104"/>
    <s v="Hydrating Face Wash"/>
    <x v="3"/>
    <n v="4"/>
    <n v="299"/>
    <n v="0"/>
    <n v="1196"/>
    <n v="0"/>
    <n v="1196"/>
    <n v="90"/>
    <n v="360"/>
    <n v="60"/>
    <n v="776"/>
    <n v="0.6488294314381271"/>
    <x v="0"/>
    <d v="2024-09-06T00:00:00"/>
    <n v="4"/>
    <x v="0"/>
    <m/>
    <n v="0"/>
  </r>
  <r>
    <s v="ORD-101204"/>
    <x v="242"/>
    <x v="0"/>
    <d v="2024-09-01T00:00:00"/>
    <n v="9"/>
    <s v="CUST-01466"/>
    <x v="0"/>
    <x v="9"/>
    <s v="UK"/>
    <x v="0"/>
    <s v="Dehradun"/>
    <x v="0"/>
    <s v="P503"/>
    <s v="Scented Candle Set"/>
    <x v="4"/>
    <n v="1"/>
    <n v="699"/>
    <n v="0.2"/>
    <n v="699"/>
    <n v="139.80000000000001"/>
    <n v="559.20000000000005"/>
    <n v="245"/>
    <n v="245"/>
    <n v="60"/>
    <n v="254.20000000000005"/>
    <n v="0.45457796852646642"/>
    <x v="0"/>
    <d v="2024-09-08T00:00:00"/>
    <n v="6"/>
    <x v="2"/>
    <n v="3"/>
    <n v="0"/>
  </r>
  <r>
    <s v="ORD-101205"/>
    <x v="242"/>
    <x v="0"/>
    <d v="2024-09-01T00:00:00"/>
    <n v="9"/>
    <s v="CUST-00237"/>
    <x v="1"/>
    <x v="18"/>
    <s v="WB"/>
    <x v="2"/>
    <s v="Kolkata"/>
    <x v="4"/>
    <s v="P201"/>
    <s v="Onion Hair Oil"/>
    <x v="6"/>
    <n v="2"/>
    <n v="349"/>
    <n v="0.4"/>
    <n v="698"/>
    <n v="279.2"/>
    <n v="418.8"/>
    <n v="105"/>
    <n v="210"/>
    <n v="60"/>
    <n v="148.80000000000001"/>
    <n v="0.35530085959885388"/>
    <x v="4"/>
    <d v="2024-09-07T00:00:00"/>
    <n v="5"/>
    <x v="2"/>
    <m/>
    <n v="0"/>
  </r>
  <r>
    <s v="ORD-101206"/>
    <x v="242"/>
    <x v="0"/>
    <d v="2024-09-01T00:00:00"/>
    <n v="9"/>
    <s v="CUST-01720"/>
    <x v="0"/>
    <x v="20"/>
    <s v="GA"/>
    <x v="1"/>
    <s v="Panaji"/>
    <x v="0"/>
    <s v="P704"/>
    <s v="Multivitamin Gummies"/>
    <x v="0"/>
    <n v="2"/>
    <n v="699"/>
    <n v="0.3"/>
    <n v="1398"/>
    <n v="419.4"/>
    <n v="978.6"/>
    <n v="238"/>
    <n v="476"/>
    <n v="60"/>
    <n v="442.6"/>
    <n v="0.45227876558348662"/>
    <x v="0"/>
    <d v="2024-09-04T00:00:00"/>
    <n v="2"/>
    <x v="1"/>
    <n v="5"/>
    <n v="0"/>
  </r>
  <r>
    <s v="ORD-101207"/>
    <x v="242"/>
    <x v="0"/>
    <d v="2024-09-01T00:00:00"/>
    <n v="9"/>
    <s v="CUST-01020"/>
    <x v="0"/>
    <x v="11"/>
    <s v="KA"/>
    <x v="3"/>
    <s v="Bengaluru"/>
    <x v="4"/>
    <s v="P302"/>
    <s v="Linen Kurta"/>
    <x v="1"/>
    <n v="1"/>
    <n v="1499"/>
    <n v="0.3"/>
    <n v="1499"/>
    <n v="449.7"/>
    <n v="1049.3"/>
    <n v="630"/>
    <n v="630"/>
    <n v="60"/>
    <n v="359.29999999999995"/>
    <n v="0.34241875536071664"/>
    <x v="2"/>
    <d v="2024-09-04T00:00:00"/>
    <n v="2"/>
    <x v="1"/>
    <n v="4"/>
    <n v="0"/>
  </r>
  <r>
    <s v="ORD-101208"/>
    <x v="242"/>
    <x v="0"/>
    <d v="2024-09-01T00:00:00"/>
    <n v="9"/>
    <s v="CUST-02778"/>
    <x v="0"/>
    <x v="11"/>
    <s v="KA"/>
    <x v="3"/>
    <s v="Bengaluru"/>
    <x v="2"/>
    <s v="P204"/>
    <s v="Anti-Dandruff Conditioner"/>
    <x v="6"/>
    <n v="1"/>
    <n v="399"/>
    <n v="0.25"/>
    <n v="399"/>
    <n v="99.75"/>
    <n v="299.25"/>
    <n v="136"/>
    <n v="136"/>
    <n v="60"/>
    <n v="103.25"/>
    <n v="0.34502923976608185"/>
    <x v="4"/>
    <d v="2024-09-04T00:00:00"/>
    <n v="2"/>
    <x v="1"/>
    <n v="4"/>
    <n v="0"/>
  </r>
  <r>
    <s v="ORD-101209"/>
    <x v="242"/>
    <x v="0"/>
    <d v="2024-09-01T00:00:00"/>
    <n v="9"/>
    <s v="CUST-00908"/>
    <x v="0"/>
    <x v="11"/>
    <s v="KA"/>
    <x v="3"/>
    <s v="Bengaluru"/>
    <x v="0"/>
    <s v="P504"/>
    <s v="Cotton Bedsheet"/>
    <x v="4"/>
    <n v="2"/>
    <n v="1299"/>
    <n v="0.05"/>
    <n v="2598"/>
    <n v="129.9"/>
    <n v="2468.1"/>
    <n v="585"/>
    <n v="1170"/>
    <n v="60"/>
    <n v="1238.0999999999999"/>
    <n v="0.50164093837364776"/>
    <x v="0"/>
    <d v="2024-09-03T00:00:00"/>
    <n v="1"/>
    <x v="1"/>
    <m/>
    <n v="0"/>
  </r>
  <r>
    <s v="ORD-101210"/>
    <x v="243"/>
    <x v="0"/>
    <d v="2024-09-01T00:00:00"/>
    <n v="9"/>
    <s v="CUST-00649"/>
    <x v="1"/>
    <x v="9"/>
    <s v="UK"/>
    <x v="0"/>
    <s v="Dehradun"/>
    <x v="4"/>
    <s v="P203"/>
    <s v="Keratin Hair Mask"/>
    <x v="6"/>
    <n v="4"/>
    <n v="549"/>
    <n v="0.2"/>
    <n v="2196"/>
    <n v="439.20000000000005"/>
    <n v="1756.8"/>
    <n v="170"/>
    <n v="680"/>
    <n v="60"/>
    <n v="1016.8"/>
    <n v="0.57877959927140255"/>
    <x v="0"/>
    <d v="2024-09-08T00:00:00"/>
    <n v="5"/>
    <x v="2"/>
    <m/>
    <n v="0"/>
  </r>
  <r>
    <s v="ORD-101211"/>
    <x v="243"/>
    <x v="0"/>
    <d v="2024-09-01T00:00:00"/>
    <n v="9"/>
    <s v="CUST-01270"/>
    <x v="0"/>
    <x v="0"/>
    <s v="RJ"/>
    <x v="0"/>
    <s v="Udaipur"/>
    <x v="0"/>
    <s v="P305"/>
    <s v="Printed Saree"/>
    <x v="1"/>
    <n v="1"/>
    <n v="1999"/>
    <n v="0.1"/>
    <n v="1999"/>
    <n v="199.9"/>
    <n v="1799.1"/>
    <n v="880"/>
    <n v="880"/>
    <n v="60"/>
    <n v="859.09999999999991"/>
    <n v="0.47751653604580063"/>
    <x v="0"/>
    <d v="2024-09-07T00:00:00"/>
    <n v="4"/>
    <x v="0"/>
    <n v="3"/>
    <n v="0"/>
  </r>
  <r>
    <s v="ORD-101212"/>
    <x v="243"/>
    <x v="0"/>
    <d v="2024-09-01T00:00:00"/>
    <n v="9"/>
    <s v="CUST-02896"/>
    <x v="0"/>
    <x v="6"/>
    <s v="DL"/>
    <x v="0"/>
    <s v="New Delhi"/>
    <x v="2"/>
    <s v="P403"/>
    <s v="Kolhapuri Sandals"/>
    <x v="5"/>
    <n v="2"/>
    <n v="999"/>
    <n v="0"/>
    <n v="1998"/>
    <n v="0"/>
    <n v="1998"/>
    <n v="400"/>
    <n v="800"/>
    <n v="60"/>
    <n v="1138"/>
    <n v="0.56956956956956961"/>
    <x v="0"/>
    <d v="2024-09-07T00:00:00"/>
    <n v="4"/>
    <x v="0"/>
    <n v="3"/>
    <n v="0"/>
  </r>
  <r>
    <s v="ORD-101213"/>
    <x v="243"/>
    <x v="0"/>
    <d v="2024-09-01T00:00:00"/>
    <n v="9"/>
    <s v="CUST-01149"/>
    <x v="0"/>
    <x v="10"/>
    <s v="CG"/>
    <x v="2"/>
    <s v="Raipur"/>
    <x v="2"/>
    <s v="P303"/>
    <s v="Joggers"/>
    <x v="1"/>
    <n v="3"/>
    <n v="1199"/>
    <n v="0.1"/>
    <n v="3597"/>
    <n v="359.70000000000005"/>
    <n v="3237.3"/>
    <n v="492"/>
    <n v="1476"/>
    <n v="60"/>
    <n v="1701.3000000000002"/>
    <n v="0.52553053470484667"/>
    <x v="2"/>
    <d v="2024-09-08T00:00:00"/>
    <n v="5"/>
    <x v="2"/>
    <n v="4"/>
    <n v="0"/>
  </r>
  <r>
    <s v="ORD-101214"/>
    <x v="243"/>
    <x v="0"/>
    <d v="2024-09-01T00:00:00"/>
    <n v="9"/>
    <s v="CUST-02086"/>
    <x v="0"/>
    <x v="7"/>
    <s v="JH"/>
    <x v="2"/>
    <s v="Ranchi"/>
    <x v="4"/>
    <s v="P201"/>
    <s v="Onion Hair Oil"/>
    <x v="6"/>
    <n v="2"/>
    <n v="349"/>
    <n v="0.4"/>
    <n v="698"/>
    <n v="279.2"/>
    <n v="418.8"/>
    <n v="105"/>
    <n v="210"/>
    <n v="60"/>
    <n v="148.80000000000001"/>
    <n v="0.35530085959885388"/>
    <x v="0"/>
    <d v="2024-09-07T00:00:00"/>
    <n v="4"/>
    <x v="0"/>
    <n v="3"/>
    <n v="0"/>
  </r>
  <r>
    <s v="ORD-101215"/>
    <x v="243"/>
    <x v="0"/>
    <d v="2024-09-01T00:00:00"/>
    <n v="9"/>
    <s v="CUST-03069"/>
    <x v="0"/>
    <x v="11"/>
    <s v="KA"/>
    <x v="3"/>
    <s v="Mysuru"/>
    <x v="2"/>
    <s v="P105"/>
    <s v="Retinol Night Cream"/>
    <x v="3"/>
    <n v="2"/>
    <n v="799"/>
    <n v="0"/>
    <n v="1598"/>
    <n v="0"/>
    <n v="1598"/>
    <n v="216"/>
    <n v="432"/>
    <n v="60"/>
    <n v="1106"/>
    <n v="0.69211514392991236"/>
    <x v="4"/>
    <d v="2024-09-04T00:00:00"/>
    <n v="1"/>
    <x v="1"/>
    <n v="5"/>
    <n v="0"/>
  </r>
  <r>
    <s v="ORD-101216"/>
    <x v="243"/>
    <x v="0"/>
    <d v="2024-09-01T00:00:00"/>
    <n v="9"/>
    <s v="CUST-02558"/>
    <x v="0"/>
    <x v="17"/>
    <s v="TN"/>
    <x v="3"/>
    <s v="Chennai"/>
    <x v="1"/>
    <s v="P305"/>
    <s v="Printed Saree"/>
    <x v="1"/>
    <n v="2"/>
    <n v="1999"/>
    <n v="0.05"/>
    <n v="3998"/>
    <n v="199.9"/>
    <n v="3798.1"/>
    <n v="880"/>
    <n v="1760"/>
    <n v="120"/>
    <n v="1918.1"/>
    <n v="0.50501566572760059"/>
    <x v="4"/>
    <d v="2024-09-05T00:00:00"/>
    <n v="2"/>
    <x v="1"/>
    <n v="5"/>
    <n v="1"/>
  </r>
  <r>
    <s v="ORD-101217"/>
    <x v="244"/>
    <x v="0"/>
    <d v="2024-09-01T00:00:00"/>
    <n v="9"/>
    <s v="CUST-01625"/>
    <x v="0"/>
    <x v="19"/>
    <s v="PB"/>
    <x v="0"/>
    <s v="Ludhiana"/>
    <x v="1"/>
    <s v="P304"/>
    <s v="Denim Jacket"/>
    <x v="1"/>
    <n v="1"/>
    <n v="2499"/>
    <n v="0"/>
    <n v="2499"/>
    <n v="0"/>
    <n v="2499"/>
    <n v="1125"/>
    <n v="1125"/>
    <n v="120"/>
    <n v="1254"/>
    <n v="0.50180072028811529"/>
    <x v="0"/>
    <d v="2024-09-07T00:00:00"/>
    <n v="3"/>
    <x v="0"/>
    <n v="3"/>
    <n v="1"/>
  </r>
  <r>
    <s v="ORD-101218"/>
    <x v="244"/>
    <x v="0"/>
    <d v="2024-09-01T00:00:00"/>
    <n v="9"/>
    <s v="CUST-02559"/>
    <x v="1"/>
    <x v="9"/>
    <s v="UK"/>
    <x v="0"/>
    <s v="Dehradun"/>
    <x v="4"/>
    <s v="P602"/>
    <s v="Fast Charger 33W"/>
    <x v="2"/>
    <n v="1"/>
    <n v="899"/>
    <n v="0.05"/>
    <n v="899"/>
    <n v="44.95"/>
    <n v="854.05"/>
    <n v="494"/>
    <n v="494"/>
    <n v="60"/>
    <n v="300.04999999999995"/>
    <n v="0.35132603477548152"/>
    <x v="3"/>
    <d v="2024-09-09T00:00:00"/>
    <n v="5"/>
    <x v="2"/>
    <m/>
    <n v="0"/>
  </r>
  <r>
    <s v="ORD-101219"/>
    <x v="244"/>
    <x v="0"/>
    <d v="2024-09-01T00:00:00"/>
    <n v="9"/>
    <s v="CUST-03022"/>
    <x v="0"/>
    <x v="9"/>
    <s v="UK"/>
    <x v="0"/>
    <s v="Dehradun"/>
    <x v="2"/>
    <s v="P305"/>
    <s v="Printed Saree"/>
    <x v="1"/>
    <n v="2"/>
    <n v="1999"/>
    <n v="0.1"/>
    <n v="3998"/>
    <n v="399.8"/>
    <n v="3598.2"/>
    <n v="880"/>
    <n v="1760"/>
    <n v="60"/>
    <n v="1778.1999999999998"/>
    <n v="0.49419154021455169"/>
    <x v="0"/>
    <d v="2024-09-09T00:00:00"/>
    <n v="5"/>
    <x v="2"/>
    <m/>
    <n v="0"/>
  </r>
  <r>
    <s v="ORD-101220"/>
    <x v="244"/>
    <x v="0"/>
    <d v="2024-09-01T00:00:00"/>
    <n v="9"/>
    <s v="CUST-00902"/>
    <x v="0"/>
    <x v="0"/>
    <s v="RJ"/>
    <x v="0"/>
    <s v="Jaipur"/>
    <x v="2"/>
    <s v="P403"/>
    <s v="Kolhapuri Sandals"/>
    <x v="5"/>
    <n v="1"/>
    <n v="999"/>
    <n v="0.05"/>
    <n v="999"/>
    <n v="49.95"/>
    <n v="949.05"/>
    <n v="400"/>
    <n v="400"/>
    <n v="60"/>
    <n v="489.04999999999995"/>
    <n v="0.5153047784626732"/>
    <x v="0"/>
    <d v="2024-09-08T00:00:00"/>
    <n v="4"/>
    <x v="0"/>
    <n v="3"/>
    <n v="0"/>
  </r>
  <r>
    <s v="ORD-101221"/>
    <x v="244"/>
    <x v="0"/>
    <d v="2024-09-01T00:00:00"/>
    <n v="9"/>
    <s v="CUST-00443"/>
    <x v="1"/>
    <x v="0"/>
    <s v="RJ"/>
    <x v="0"/>
    <s v="Udaipur"/>
    <x v="0"/>
    <s v="P202"/>
    <s v="Argan Shampoo"/>
    <x v="6"/>
    <n v="1"/>
    <n v="449"/>
    <n v="0.1"/>
    <n v="449"/>
    <n v="44.900000000000006"/>
    <n v="404.1"/>
    <n v="148"/>
    <n v="148"/>
    <n v="60"/>
    <n v="196.10000000000002"/>
    <n v="0.48527592180153428"/>
    <x v="2"/>
    <d v="2024-09-07T00:00:00"/>
    <n v="3"/>
    <x v="0"/>
    <n v="4"/>
    <n v="0"/>
  </r>
  <r>
    <s v="ORD-101222"/>
    <x v="244"/>
    <x v="0"/>
    <d v="2024-09-01T00:00:00"/>
    <n v="9"/>
    <s v="CUST-00544"/>
    <x v="0"/>
    <x v="0"/>
    <s v="RJ"/>
    <x v="0"/>
    <s v="Udaipur"/>
    <x v="2"/>
    <s v="P302"/>
    <s v="Linen Kurta"/>
    <x v="1"/>
    <n v="1"/>
    <n v="1499"/>
    <n v="0.2"/>
    <n v="1499"/>
    <n v="299.8"/>
    <n v="1199.2"/>
    <n v="630"/>
    <n v="630"/>
    <n v="60"/>
    <n v="509.20000000000005"/>
    <n v="0.42461641094062713"/>
    <x v="0"/>
    <d v="2024-09-08T00:00:00"/>
    <n v="4"/>
    <x v="0"/>
    <n v="3"/>
    <n v="0"/>
  </r>
  <r>
    <s v="ORD-101223"/>
    <x v="244"/>
    <x v="0"/>
    <d v="2024-09-01T00:00:00"/>
    <n v="9"/>
    <s v="CUST-00964"/>
    <x v="1"/>
    <x v="0"/>
    <s v="RJ"/>
    <x v="0"/>
    <s v="Jaipur"/>
    <x v="4"/>
    <s v="P303"/>
    <s v="Joggers"/>
    <x v="1"/>
    <n v="1"/>
    <n v="1199"/>
    <n v="0.1"/>
    <n v="1199"/>
    <n v="119.9"/>
    <n v="1079.0999999999999"/>
    <n v="492"/>
    <n v="492"/>
    <n v="60"/>
    <n v="527.09999999999991"/>
    <n v="0.48846260772866273"/>
    <x v="0"/>
    <d v="2024-09-10T00:00:00"/>
    <n v="6"/>
    <x v="2"/>
    <n v="4"/>
    <n v="0"/>
  </r>
  <r>
    <s v="ORD-101224"/>
    <x v="244"/>
    <x v="0"/>
    <d v="2024-09-01T00:00:00"/>
    <n v="9"/>
    <s v="CUST-02801"/>
    <x v="0"/>
    <x v="15"/>
    <s v="HR"/>
    <x v="0"/>
    <s v="Faridabad"/>
    <x v="0"/>
    <s v="P105"/>
    <s v="Retinol Night Cream"/>
    <x v="3"/>
    <n v="1"/>
    <n v="799"/>
    <n v="0.05"/>
    <n v="799"/>
    <n v="39.950000000000003"/>
    <n v="759.05"/>
    <n v="216"/>
    <n v="216"/>
    <n v="60"/>
    <n v="483.04999999999995"/>
    <n v="0.63638758975034582"/>
    <x v="0"/>
    <d v="2024-09-06T00:00:00"/>
    <n v="2"/>
    <x v="1"/>
    <n v="5"/>
    <n v="0"/>
  </r>
  <r>
    <s v="ORD-101225"/>
    <x v="244"/>
    <x v="0"/>
    <d v="2024-09-01T00:00:00"/>
    <n v="9"/>
    <s v="CUST-02855"/>
    <x v="0"/>
    <x v="15"/>
    <s v="HR"/>
    <x v="0"/>
    <s v="Gurugram"/>
    <x v="1"/>
    <s v="P401"/>
    <s v="Running Shoes"/>
    <x v="5"/>
    <n v="1"/>
    <n v="2999"/>
    <n v="0.2"/>
    <n v="2999"/>
    <n v="599.80000000000007"/>
    <n v="2399.1999999999998"/>
    <n v="1440"/>
    <n v="1440"/>
    <n v="60"/>
    <n v="899.19999999999982"/>
    <n v="0.3747915971990663"/>
    <x v="2"/>
    <d v="2024-09-07T00:00:00"/>
    <n v="3"/>
    <x v="0"/>
    <m/>
    <n v="0"/>
  </r>
  <r>
    <s v="ORD-101226"/>
    <x v="244"/>
    <x v="0"/>
    <d v="2024-09-01T00:00:00"/>
    <n v="9"/>
    <s v="CUST-00607"/>
    <x v="0"/>
    <x v="16"/>
    <s v="UP"/>
    <x v="0"/>
    <s v="Kanpur"/>
    <x v="1"/>
    <s v="P302"/>
    <s v="Linen Kurta"/>
    <x v="1"/>
    <n v="1"/>
    <n v="1499"/>
    <n v="0.25"/>
    <n v="1499"/>
    <n v="374.75"/>
    <n v="1124.25"/>
    <n v="630"/>
    <n v="630"/>
    <n v="60"/>
    <n v="434.25"/>
    <n v="0.38625750500333556"/>
    <x v="3"/>
    <d v="2024-09-08T00:00:00"/>
    <n v="4"/>
    <x v="0"/>
    <n v="4"/>
    <n v="0"/>
  </r>
  <r>
    <s v="ORD-101227"/>
    <x v="244"/>
    <x v="0"/>
    <d v="2024-09-01T00:00:00"/>
    <n v="9"/>
    <s v="CUST-00171"/>
    <x v="1"/>
    <x v="10"/>
    <s v="CG"/>
    <x v="2"/>
    <s v="Raipur"/>
    <x v="1"/>
    <s v="P302"/>
    <s v="Linen Kurta"/>
    <x v="1"/>
    <n v="1"/>
    <n v="1499"/>
    <n v="0.3"/>
    <n v="1499"/>
    <n v="449.7"/>
    <n v="1049.3"/>
    <n v="630"/>
    <n v="630"/>
    <n v="60"/>
    <n v="359.29999999999995"/>
    <n v="0.34241875536071664"/>
    <x v="3"/>
    <d v="2024-09-09T00:00:00"/>
    <n v="5"/>
    <x v="2"/>
    <n v="4"/>
    <n v="0"/>
  </r>
  <r>
    <s v="ORD-101228"/>
    <x v="244"/>
    <x v="0"/>
    <d v="2024-09-01T00:00:00"/>
    <n v="9"/>
    <s v="CUST-00877"/>
    <x v="0"/>
    <x v="2"/>
    <s v="MH"/>
    <x v="1"/>
    <s v="Nagpur"/>
    <x v="1"/>
    <s v="P403"/>
    <s v="Kolhapuri Sandals"/>
    <x v="5"/>
    <n v="1"/>
    <n v="999"/>
    <n v="0"/>
    <n v="999"/>
    <n v="0"/>
    <n v="999"/>
    <n v="400"/>
    <n v="400"/>
    <n v="60"/>
    <n v="539"/>
    <n v="0.53953953953953959"/>
    <x v="4"/>
    <d v="2024-09-06T00:00:00"/>
    <n v="2"/>
    <x v="1"/>
    <m/>
    <n v="0"/>
  </r>
  <r>
    <s v="ORD-101229"/>
    <x v="244"/>
    <x v="0"/>
    <d v="2024-09-01T00:00:00"/>
    <n v="9"/>
    <s v="CUST-01265"/>
    <x v="0"/>
    <x v="11"/>
    <s v="KA"/>
    <x v="3"/>
    <s v="Bengaluru"/>
    <x v="4"/>
    <s v="P102"/>
    <s v="Sunscreen SPF 50"/>
    <x v="3"/>
    <n v="1"/>
    <n v="449"/>
    <n v="0.05"/>
    <n v="449"/>
    <n v="22.450000000000003"/>
    <n v="426.55"/>
    <n v="144"/>
    <n v="144"/>
    <n v="60"/>
    <n v="222.55"/>
    <n v="0.52174422693705313"/>
    <x v="0"/>
    <d v="2024-09-05T00:00:00"/>
    <n v="1"/>
    <x v="1"/>
    <m/>
    <n v="0"/>
  </r>
  <r>
    <s v="ORD-101230"/>
    <x v="244"/>
    <x v="0"/>
    <d v="2024-09-01T00:00:00"/>
    <n v="9"/>
    <s v="CUST-02688"/>
    <x v="0"/>
    <x v="14"/>
    <s v="KL"/>
    <x v="3"/>
    <s v="Kochi"/>
    <x v="2"/>
    <s v="P203"/>
    <s v="Keratin Hair Mask"/>
    <x v="6"/>
    <n v="2"/>
    <n v="549"/>
    <n v="0.1"/>
    <n v="1098"/>
    <n v="109.80000000000001"/>
    <n v="988.2"/>
    <n v="170"/>
    <n v="340"/>
    <n v="60"/>
    <n v="588.20000000000005"/>
    <n v="0.59522363893948593"/>
    <x v="0"/>
    <d v="2024-09-08T00:00:00"/>
    <n v="4"/>
    <x v="0"/>
    <m/>
    <n v="0"/>
  </r>
  <r>
    <s v="ORD-101231"/>
    <x v="245"/>
    <x v="0"/>
    <d v="2024-09-01T00:00:00"/>
    <n v="9"/>
    <s v="CUST-00992"/>
    <x v="0"/>
    <x v="0"/>
    <s v="RJ"/>
    <x v="0"/>
    <s v="Jaipur"/>
    <x v="1"/>
    <s v="P303"/>
    <s v="Joggers"/>
    <x v="1"/>
    <n v="1"/>
    <n v="1199"/>
    <n v="0.1"/>
    <n v="1199"/>
    <n v="119.9"/>
    <n v="1079.0999999999999"/>
    <n v="492"/>
    <n v="492"/>
    <n v="60"/>
    <n v="527.09999999999991"/>
    <n v="0.48846260772866273"/>
    <x v="2"/>
    <d v="2024-09-08T00:00:00"/>
    <n v="3"/>
    <x v="0"/>
    <n v="3"/>
    <n v="0"/>
  </r>
  <r>
    <s v="ORD-101232"/>
    <x v="245"/>
    <x v="0"/>
    <d v="2024-09-01T00:00:00"/>
    <n v="9"/>
    <s v="CUST-00375"/>
    <x v="1"/>
    <x v="15"/>
    <s v="HR"/>
    <x v="0"/>
    <s v="Gurugram"/>
    <x v="2"/>
    <s v="P203"/>
    <s v="Keratin Hair Mask"/>
    <x v="6"/>
    <n v="1"/>
    <n v="549"/>
    <n v="0.2"/>
    <n v="549"/>
    <n v="109.80000000000001"/>
    <n v="439.2"/>
    <n v="170"/>
    <n v="170"/>
    <n v="60"/>
    <n v="209.2"/>
    <n v="0.47632058287795992"/>
    <x v="3"/>
    <d v="2024-09-09T00:00:00"/>
    <n v="4"/>
    <x v="0"/>
    <n v="4"/>
    <n v="0"/>
  </r>
  <r>
    <s v="ORD-101233"/>
    <x v="245"/>
    <x v="0"/>
    <d v="2024-09-01T00:00:00"/>
    <n v="9"/>
    <s v="CUST-00938"/>
    <x v="0"/>
    <x v="12"/>
    <s v="BR"/>
    <x v="2"/>
    <s v="Patna"/>
    <x v="4"/>
    <s v="P502"/>
    <s v="Ceramic Dinner Set"/>
    <x v="4"/>
    <n v="2"/>
    <n v="2499"/>
    <n v="0.4"/>
    <n v="4998"/>
    <n v="1999.2"/>
    <n v="2998.8"/>
    <n v="1250"/>
    <n v="2500"/>
    <n v="60"/>
    <n v="438.80000000000018"/>
    <n v="0.14632519674536487"/>
    <x v="0"/>
    <d v="2024-09-09T00:00:00"/>
    <n v="4"/>
    <x v="0"/>
    <m/>
    <n v="0"/>
  </r>
  <r>
    <s v="ORD-101234"/>
    <x v="246"/>
    <x v="0"/>
    <d v="2024-09-01T00:00:00"/>
    <n v="9"/>
    <s v="CUST-00595"/>
    <x v="1"/>
    <x v="15"/>
    <s v="HR"/>
    <x v="0"/>
    <s v="Gurugram"/>
    <x v="1"/>
    <s v="P404"/>
    <s v="Flip Flops"/>
    <x v="5"/>
    <n v="1"/>
    <n v="399"/>
    <n v="0.1"/>
    <n v="399"/>
    <n v="39.900000000000006"/>
    <n v="359.1"/>
    <n v="152"/>
    <n v="152"/>
    <n v="60"/>
    <n v="147.10000000000002"/>
    <n v="0.40963519910888335"/>
    <x v="3"/>
    <d v="2024-09-08T00:00:00"/>
    <n v="2"/>
    <x v="1"/>
    <n v="4"/>
    <n v="0"/>
  </r>
  <r>
    <s v="ORD-101235"/>
    <x v="246"/>
    <x v="0"/>
    <d v="2024-09-01T00:00:00"/>
    <n v="9"/>
    <s v="CUST-00514"/>
    <x v="1"/>
    <x v="15"/>
    <s v="HR"/>
    <x v="0"/>
    <s v="Gurugram"/>
    <x v="0"/>
    <s v="P602"/>
    <s v="Fast Charger 33W"/>
    <x v="2"/>
    <n v="2"/>
    <n v="899"/>
    <n v="0.1"/>
    <n v="1798"/>
    <n v="179.8"/>
    <n v="1618.2"/>
    <n v="494"/>
    <n v="988"/>
    <n v="60"/>
    <n v="570.20000000000005"/>
    <n v="0.3523668273390187"/>
    <x v="2"/>
    <d v="2024-09-07T00:00:00"/>
    <n v="1"/>
    <x v="1"/>
    <n v="4"/>
    <n v="0"/>
  </r>
  <r>
    <s v="ORD-101236"/>
    <x v="246"/>
    <x v="0"/>
    <d v="2024-09-01T00:00:00"/>
    <n v="9"/>
    <s v="CUST-00276"/>
    <x v="1"/>
    <x v="6"/>
    <s v="DL"/>
    <x v="0"/>
    <s v="New Delhi"/>
    <x v="0"/>
    <s v="P703"/>
    <s v="Green Tea (100 bags)"/>
    <x v="0"/>
    <n v="1"/>
    <n v="399"/>
    <n v="0.3"/>
    <n v="399"/>
    <n v="119.69999999999999"/>
    <n v="279.3"/>
    <n v="128"/>
    <n v="128"/>
    <n v="60"/>
    <n v="91.300000000000011"/>
    <n v="0.32688865019692093"/>
    <x v="0"/>
    <d v="2024-09-10T00:00:00"/>
    <n v="4"/>
    <x v="0"/>
    <m/>
    <n v="0"/>
  </r>
  <r>
    <s v="ORD-101237"/>
    <x v="246"/>
    <x v="0"/>
    <d v="2024-09-01T00:00:00"/>
    <n v="9"/>
    <s v="CUST-00857"/>
    <x v="0"/>
    <x v="6"/>
    <s v="DL"/>
    <x v="0"/>
    <s v="New Delhi"/>
    <x v="3"/>
    <s v="P105"/>
    <s v="Retinol Night Cream"/>
    <x v="3"/>
    <n v="1"/>
    <n v="799"/>
    <n v="0.05"/>
    <n v="799"/>
    <n v="39.950000000000003"/>
    <n v="759.05"/>
    <n v="216"/>
    <n v="216"/>
    <n v="60"/>
    <n v="483.04999999999995"/>
    <n v="0.63638758975034582"/>
    <x v="1"/>
    <d v="2024-09-10T00:00:00"/>
    <n v="4"/>
    <x v="0"/>
    <n v="3"/>
    <n v="0"/>
  </r>
  <r>
    <s v="ORD-101238"/>
    <x v="246"/>
    <x v="0"/>
    <d v="2024-09-01T00:00:00"/>
    <n v="9"/>
    <s v="CUST-00277"/>
    <x v="0"/>
    <x v="1"/>
    <s v="GJ"/>
    <x v="1"/>
    <s v="Surat"/>
    <x v="0"/>
    <s v="P103"/>
    <s v="Niacinamide Toner"/>
    <x v="3"/>
    <n v="1"/>
    <n v="399"/>
    <n v="0.3"/>
    <n v="399"/>
    <n v="119.69999999999999"/>
    <n v="279.3"/>
    <n v="112"/>
    <n v="112"/>
    <n v="120"/>
    <n v="47.300000000000011"/>
    <n v="0.16935195130683856"/>
    <x v="3"/>
    <d v="2024-09-09T00:00:00"/>
    <n v="3"/>
    <x v="0"/>
    <n v="4"/>
    <n v="1"/>
  </r>
  <r>
    <s v="ORD-101239"/>
    <x v="246"/>
    <x v="0"/>
    <d v="2024-09-01T00:00:00"/>
    <n v="9"/>
    <s v="CUST-00001"/>
    <x v="1"/>
    <x v="1"/>
    <s v="GJ"/>
    <x v="1"/>
    <s v="Surat"/>
    <x v="1"/>
    <s v="P301"/>
    <s v="Cotton Oversized T-Shirt"/>
    <x v="1"/>
    <n v="3"/>
    <n v="799"/>
    <n v="0"/>
    <n v="2397"/>
    <n v="0"/>
    <n v="2397"/>
    <n v="320"/>
    <n v="960"/>
    <n v="60"/>
    <n v="1377"/>
    <n v="0.57446808510638303"/>
    <x v="1"/>
    <d v="2024-09-08T00:00:00"/>
    <n v="2"/>
    <x v="1"/>
    <m/>
    <n v="0"/>
  </r>
  <r>
    <s v="ORD-101240"/>
    <x v="246"/>
    <x v="0"/>
    <d v="2024-09-01T00:00:00"/>
    <n v="9"/>
    <s v="CUST-02317"/>
    <x v="0"/>
    <x v="17"/>
    <s v="TN"/>
    <x v="3"/>
    <s v="Chennai"/>
    <x v="0"/>
    <s v="P703"/>
    <s v="Green Tea (100 bags)"/>
    <x v="0"/>
    <n v="4"/>
    <n v="399"/>
    <n v="0.35"/>
    <n v="1596"/>
    <n v="558.59999999999991"/>
    <n v="1037.4000000000001"/>
    <n v="128"/>
    <n v="512"/>
    <n v="60"/>
    <n v="465.40000000000009"/>
    <n v="0.44862155388471181"/>
    <x v="0"/>
    <d v="2024-09-07T00:00:00"/>
    <n v="1"/>
    <x v="1"/>
    <n v="4"/>
    <n v="0"/>
  </r>
  <r>
    <s v="ORD-101241"/>
    <x v="247"/>
    <x v="0"/>
    <d v="2024-09-01T00:00:00"/>
    <n v="9"/>
    <s v="CUST-00756"/>
    <x v="0"/>
    <x v="16"/>
    <s v="UP"/>
    <x v="0"/>
    <s v="Kanpur"/>
    <x v="4"/>
    <s v="P501"/>
    <s v="Copper Water Bottle"/>
    <x v="4"/>
    <n v="1"/>
    <n v="899"/>
    <n v="0.1"/>
    <n v="899"/>
    <n v="89.9"/>
    <n v="809.1"/>
    <n v="378"/>
    <n v="378"/>
    <n v="60"/>
    <n v="371.1"/>
    <n v="0.45865776789024842"/>
    <x v="2"/>
    <d v="2024-09-12T00:00:00"/>
    <n v="5"/>
    <x v="2"/>
    <n v="5"/>
    <n v="0"/>
  </r>
  <r>
    <s v="ORD-101242"/>
    <x v="247"/>
    <x v="0"/>
    <d v="2024-09-01T00:00:00"/>
    <n v="9"/>
    <s v="CUST-01569"/>
    <x v="0"/>
    <x v="16"/>
    <s v="UP"/>
    <x v="0"/>
    <s v="Noida"/>
    <x v="1"/>
    <s v="P404"/>
    <s v="Flip Flops"/>
    <x v="5"/>
    <n v="1"/>
    <n v="399"/>
    <n v="0.15"/>
    <n v="399"/>
    <n v="59.849999999999994"/>
    <n v="339.15"/>
    <n v="152"/>
    <n v="152"/>
    <n v="60"/>
    <n v="127.14999999999998"/>
    <n v="0.37490785787999409"/>
    <x v="3"/>
    <d v="2024-09-10T00:00:00"/>
    <n v="3"/>
    <x v="0"/>
    <n v="3"/>
    <n v="0"/>
  </r>
  <r>
    <s v="ORD-101243"/>
    <x v="247"/>
    <x v="0"/>
    <d v="2024-09-01T00:00:00"/>
    <n v="9"/>
    <s v="CUST-00467"/>
    <x v="0"/>
    <x v="2"/>
    <s v="MH"/>
    <x v="1"/>
    <s v="Mumbai"/>
    <x v="0"/>
    <s v="P204"/>
    <s v="Anti-Dandruff Conditioner"/>
    <x v="6"/>
    <n v="3"/>
    <n v="399"/>
    <n v="0.3"/>
    <n v="1197"/>
    <n v="359.09999999999997"/>
    <n v="837.90000000000009"/>
    <n v="136"/>
    <n v="408"/>
    <n v="60"/>
    <n v="369.90000000000009"/>
    <n v="0.44146079484425355"/>
    <x v="1"/>
    <d v="2024-09-11T00:00:00"/>
    <n v="4"/>
    <x v="0"/>
    <m/>
    <n v="0"/>
  </r>
  <r>
    <s v="ORD-101244"/>
    <x v="247"/>
    <x v="0"/>
    <d v="2024-09-01T00:00:00"/>
    <n v="9"/>
    <s v="CUST-00129"/>
    <x v="0"/>
    <x v="11"/>
    <s v="KA"/>
    <x v="3"/>
    <s v="Bengaluru"/>
    <x v="0"/>
    <s v="P702"/>
    <s v="Whey Protein 1kg"/>
    <x v="0"/>
    <n v="1"/>
    <n v="2299"/>
    <n v="0.3"/>
    <n v="2299"/>
    <n v="689.69999999999993"/>
    <n v="1609.3000000000002"/>
    <n v="1333"/>
    <n v="1333"/>
    <n v="60"/>
    <n v="216.30000000000018"/>
    <n v="0.13440626359286656"/>
    <x v="0"/>
    <d v="2024-09-10T00:00:00"/>
    <n v="3"/>
    <x v="0"/>
    <n v="4"/>
    <n v="0"/>
  </r>
  <r>
    <s v="ORD-101245"/>
    <x v="247"/>
    <x v="0"/>
    <d v="2024-09-01T00:00:00"/>
    <n v="9"/>
    <s v="CUST-01012"/>
    <x v="1"/>
    <x v="17"/>
    <s v="TN"/>
    <x v="3"/>
    <s v="Coimbatore"/>
    <x v="0"/>
    <s v="P404"/>
    <s v="Flip Flops"/>
    <x v="5"/>
    <n v="1"/>
    <n v="399"/>
    <n v="0.2"/>
    <n v="399"/>
    <n v="79.800000000000011"/>
    <n v="319.2"/>
    <n v="152"/>
    <n v="152"/>
    <n v="60"/>
    <n v="107.19999999999999"/>
    <n v="0.33583959899749372"/>
    <x v="0"/>
    <d v="2024-09-10T00:00:00"/>
    <n v="3"/>
    <x v="0"/>
    <n v="3"/>
    <n v="0"/>
  </r>
  <r>
    <s v="ORD-101246"/>
    <x v="247"/>
    <x v="0"/>
    <d v="2024-09-01T00:00:00"/>
    <n v="9"/>
    <s v="CUST-00519"/>
    <x v="0"/>
    <x v="17"/>
    <s v="TN"/>
    <x v="3"/>
    <s v="Coimbatore"/>
    <x v="1"/>
    <s v="P304"/>
    <s v="Denim Jacket"/>
    <x v="1"/>
    <n v="1"/>
    <n v="2499"/>
    <n v="0"/>
    <n v="2499"/>
    <n v="0"/>
    <n v="2499"/>
    <n v="1125"/>
    <n v="1125"/>
    <n v="60"/>
    <n v="1314"/>
    <n v="0.5258103241296519"/>
    <x v="3"/>
    <d v="2024-09-10T00:00:00"/>
    <n v="3"/>
    <x v="0"/>
    <n v="4"/>
    <n v="0"/>
  </r>
  <r>
    <s v="ORD-101247"/>
    <x v="248"/>
    <x v="0"/>
    <d v="2024-09-01T00:00:00"/>
    <n v="9"/>
    <s v="CUST-00862"/>
    <x v="1"/>
    <x v="16"/>
    <s v="UP"/>
    <x v="0"/>
    <s v="Lucknow"/>
    <x v="2"/>
    <s v="P103"/>
    <s v="Niacinamide Toner"/>
    <x v="3"/>
    <n v="1"/>
    <n v="399"/>
    <n v="0.1"/>
    <n v="399"/>
    <n v="39.900000000000006"/>
    <n v="359.1"/>
    <n v="112"/>
    <n v="112"/>
    <n v="60"/>
    <n v="187.10000000000002"/>
    <n v="0.52102478418267895"/>
    <x v="0"/>
    <d v="2024-09-15T00:00:00"/>
    <n v="7"/>
    <x v="2"/>
    <m/>
    <n v="0"/>
  </r>
  <r>
    <s v="ORD-101248"/>
    <x v="248"/>
    <x v="0"/>
    <d v="2024-09-01T00:00:00"/>
    <n v="9"/>
    <s v="CUST-01720"/>
    <x v="1"/>
    <x v="16"/>
    <s v="UP"/>
    <x v="0"/>
    <s v="Lucknow"/>
    <x v="0"/>
    <s v="P501"/>
    <s v="Copper Water Bottle"/>
    <x v="4"/>
    <n v="1"/>
    <n v="899"/>
    <n v="0.05"/>
    <n v="899"/>
    <n v="44.95"/>
    <n v="854.05"/>
    <n v="378"/>
    <n v="378"/>
    <n v="60"/>
    <n v="416.04999999999995"/>
    <n v="0.48714946431707745"/>
    <x v="3"/>
    <d v="2024-09-11T00:00:00"/>
    <n v="3"/>
    <x v="0"/>
    <n v="5"/>
    <n v="0"/>
  </r>
  <r>
    <s v="ORD-101249"/>
    <x v="248"/>
    <x v="0"/>
    <d v="2024-09-01T00:00:00"/>
    <n v="9"/>
    <s v="CUST-02955"/>
    <x v="0"/>
    <x v="16"/>
    <s v="UP"/>
    <x v="0"/>
    <s v="Kanpur"/>
    <x v="3"/>
    <s v="P704"/>
    <s v="Multivitamin Gummies"/>
    <x v="0"/>
    <n v="1"/>
    <n v="699"/>
    <n v="0.15"/>
    <n v="699"/>
    <n v="104.85"/>
    <n v="594.15"/>
    <n v="238"/>
    <n v="238"/>
    <n v="60"/>
    <n v="296.14999999999998"/>
    <n v="0.49844315408566858"/>
    <x v="3"/>
    <d v="2024-09-12T00:00:00"/>
    <n v="4"/>
    <x v="0"/>
    <n v="4"/>
    <n v="0"/>
  </r>
  <r>
    <s v="ORD-101250"/>
    <x v="248"/>
    <x v="0"/>
    <d v="2024-09-01T00:00:00"/>
    <n v="9"/>
    <s v="CUST-00223"/>
    <x v="0"/>
    <x v="13"/>
    <s v="MP"/>
    <x v="1"/>
    <s v="Indore"/>
    <x v="4"/>
    <s v="P604"/>
    <s v="Power Bank 20000mAh"/>
    <x v="2"/>
    <n v="2"/>
    <n v="1799"/>
    <n v="0.35"/>
    <n v="3598"/>
    <n v="1259.3"/>
    <n v="2338.6999999999998"/>
    <n v="1079"/>
    <n v="2158"/>
    <n v="60"/>
    <n v="120.69999999999982"/>
    <n v="5.1609868730491226E-2"/>
    <x v="3"/>
    <d v="2024-09-13T00:00:00"/>
    <n v="5"/>
    <x v="2"/>
    <m/>
    <n v="0"/>
  </r>
  <r>
    <s v="ORD-101251"/>
    <x v="248"/>
    <x v="0"/>
    <d v="2024-09-01T00:00:00"/>
    <n v="9"/>
    <s v="CUST-00767"/>
    <x v="1"/>
    <x v="13"/>
    <s v="MP"/>
    <x v="1"/>
    <s v="Bhopal"/>
    <x v="3"/>
    <s v="P103"/>
    <s v="Niacinamide Toner"/>
    <x v="3"/>
    <n v="2"/>
    <n v="399"/>
    <n v="0.3"/>
    <n v="798"/>
    <n v="239.39999999999998"/>
    <n v="558.6"/>
    <n v="112"/>
    <n v="224"/>
    <n v="60"/>
    <n v="274.60000000000002"/>
    <n v="0.49158610812746151"/>
    <x v="3"/>
    <d v="2024-09-11T00:00:00"/>
    <n v="3"/>
    <x v="0"/>
    <n v="4"/>
    <n v="0"/>
  </r>
  <r>
    <s v="ORD-101252"/>
    <x v="248"/>
    <x v="0"/>
    <d v="2024-09-01T00:00:00"/>
    <n v="9"/>
    <s v="CUST-00986"/>
    <x v="0"/>
    <x v="2"/>
    <s v="MH"/>
    <x v="1"/>
    <s v="Nagpur"/>
    <x v="0"/>
    <s v="P404"/>
    <s v="Flip Flops"/>
    <x v="5"/>
    <n v="1"/>
    <n v="399"/>
    <n v="0.15"/>
    <n v="399"/>
    <n v="59.849999999999994"/>
    <n v="339.15"/>
    <n v="152"/>
    <n v="152"/>
    <n v="60"/>
    <n v="127.14999999999998"/>
    <n v="0.37490785787999409"/>
    <x v="1"/>
    <d v="2024-09-10T00:00:00"/>
    <n v="2"/>
    <x v="1"/>
    <n v="5"/>
    <n v="0"/>
  </r>
  <r>
    <s v="ORD-101253"/>
    <x v="248"/>
    <x v="0"/>
    <d v="2024-09-01T00:00:00"/>
    <n v="9"/>
    <s v="CUST-02134"/>
    <x v="1"/>
    <x v="17"/>
    <s v="TN"/>
    <x v="3"/>
    <s v="Chennai"/>
    <x v="4"/>
    <s v="P104"/>
    <s v="Hydrating Face Wash"/>
    <x v="3"/>
    <n v="2"/>
    <n v="299"/>
    <n v="0"/>
    <n v="598"/>
    <n v="0"/>
    <n v="598"/>
    <n v="90"/>
    <n v="180"/>
    <n v="120"/>
    <n v="298"/>
    <n v="0.49832775919732442"/>
    <x v="0"/>
    <d v="2024-09-12T00:00:00"/>
    <n v="4"/>
    <x v="0"/>
    <n v="4"/>
    <n v="1"/>
  </r>
  <r>
    <s v="ORD-101254"/>
    <x v="249"/>
    <x v="0"/>
    <d v="2024-09-01T00:00:00"/>
    <n v="9"/>
    <s v="CUST-03155"/>
    <x v="1"/>
    <x v="0"/>
    <s v="RJ"/>
    <x v="0"/>
    <s v="Jaipur"/>
    <x v="0"/>
    <s v="P704"/>
    <s v="Multivitamin Gummies"/>
    <x v="0"/>
    <n v="1"/>
    <n v="699"/>
    <n v="0.2"/>
    <n v="699"/>
    <n v="139.80000000000001"/>
    <n v="559.20000000000005"/>
    <n v="238"/>
    <n v="238"/>
    <n v="60"/>
    <n v="261.20000000000005"/>
    <n v="0.46709585121602293"/>
    <x v="0"/>
    <d v="2024-09-13T00:00:00"/>
    <n v="4"/>
    <x v="0"/>
    <n v="3"/>
    <n v="0"/>
  </r>
  <r>
    <s v="ORD-101255"/>
    <x v="249"/>
    <x v="0"/>
    <d v="2024-09-01T00:00:00"/>
    <n v="9"/>
    <s v="CUST-01071"/>
    <x v="1"/>
    <x v="2"/>
    <s v="MH"/>
    <x v="1"/>
    <s v="Mumbai"/>
    <x v="4"/>
    <s v="P103"/>
    <s v="Niacinamide Toner"/>
    <x v="3"/>
    <n v="1"/>
    <n v="399"/>
    <n v="0.2"/>
    <n v="399"/>
    <n v="79.800000000000011"/>
    <n v="319.2"/>
    <n v="112"/>
    <n v="112"/>
    <n v="60"/>
    <n v="147.19999999999999"/>
    <n v="0.46115288220551376"/>
    <x v="0"/>
    <d v="2024-09-11T00:00:00"/>
    <n v="2"/>
    <x v="1"/>
    <n v="4"/>
    <n v="0"/>
  </r>
  <r>
    <s v="ORD-101256"/>
    <x v="249"/>
    <x v="0"/>
    <d v="2024-09-01T00:00:00"/>
    <n v="9"/>
    <s v="CUST-00689"/>
    <x v="1"/>
    <x v="2"/>
    <s v="MH"/>
    <x v="1"/>
    <s v="Pune"/>
    <x v="1"/>
    <s v="P404"/>
    <s v="Flip Flops"/>
    <x v="5"/>
    <n v="1"/>
    <n v="399"/>
    <n v="0.1"/>
    <n v="399"/>
    <n v="39.900000000000006"/>
    <n v="359.1"/>
    <n v="152"/>
    <n v="152"/>
    <n v="60"/>
    <n v="147.10000000000002"/>
    <n v="0.40963519910888335"/>
    <x v="0"/>
    <d v="2024-09-13T00:00:00"/>
    <n v="4"/>
    <x v="0"/>
    <n v="4"/>
    <n v="0"/>
  </r>
  <r>
    <s v="ORD-101257"/>
    <x v="249"/>
    <x v="0"/>
    <d v="2024-09-01T00:00:00"/>
    <n v="9"/>
    <s v="CUST-01140"/>
    <x v="0"/>
    <x v="11"/>
    <s v="KA"/>
    <x v="3"/>
    <s v="Mysuru"/>
    <x v="0"/>
    <s v="P302"/>
    <s v="Linen Kurta"/>
    <x v="1"/>
    <n v="2"/>
    <n v="1499"/>
    <n v="0.4"/>
    <n v="2998"/>
    <n v="1199.2"/>
    <n v="1798.8"/>
    <n v="630"/>
    <n v="1260"/>
    <n v="60"/>
    <n v="478.79999999999995"/>
    <n v="0.26617745163442291"/>
    <x v="3"/>
    <d v="2024-09-10T00:00:00"/>
    <n v="1"/>
    <x v="1"/>
    <m/>
    <n v="0"/>
  </r>
  <r>
    <s v="ORD-101258"/>
    <x v="249"/>
    <x v="0"/>
    <d v="2024-09-01T00:00:00"/>
    <n v="9"/>
    <s v="CUST-00069"/>
    <x v="0"/>
    <x v="17"/>
    <s v="TN"/>
    <x v="3"/>
    <s v="Chennai"/>
    <x v="4"/>
    <s v="P301"/>
    <s v="Cotton Oversized T-Shirt"/>
    <x v="1"/>
    <n v="1"/>
    <n v="799"/>
    <n v="0.1"/>
    <n v="799"/>
    <n v="79.900000000000006"/>
    <n v="719.1"/>
    <n v="320"/>
    <n v="320"/>
    <n v="60"/>
    <n v="339.1"/>
    <n v="0.47156167431511614"/>
    <x v="0"/>
    <d v="2024-09-12T00:00:00"/>
    <n v="3"/>
    <x v="0"/>
    <m/>
    <n v="0"/>
  </r>
  <r>
    <s v="ORD-101259"/>
    <x v="250"/>
    <x v="0"/>
    <d v="2024-09-01T00:00:00"/>
    <n v="9"/>
    <s v="CUST-01876"/>
    <x v="0"/>
    <x v="16"/>
    <s v="UP"/>
    <x v="0"/>
    <s v="Noida"/>
    <x v="4"/>
    <s v="P402"/>
    <s v="Casual Sneakers"/>
    <x v="5"/>
    <n v="1"/>
    <n v="2199"/>
    <n v="0.2"/>
    <n v="2199"/>
    <n v="439.8"/>
    <n v="1759.2"/>
    <n v="1034"/>
    <n v="1034"/>
    <n v="60"/>
    <n v="665.2"/>
    <n v="0.37812642110050027"/>
    <x v="3"/>
    <d v="2024-09-14T00:00:00"/>
    <n v="4"/>
    <x v="0"/>
    <n v="3"/>
    <n v="0"/>
  </r>
  <r>
    <s v="ORD-101260"/>
    <x v="250"/>
    <x v="0"/>
    <d v="2024-09-01T00:00:00"/>
    <n v="9"/>
    <s v="CUST-01494"/>
    <x v="1"/>
    <x v="18"/>
    <s v="WB"/>
    <x v="2"/>
    <s v="Kolkata"/>
    <x v="4"/>
    <s v="P502"/>
    <s v="Ceramic Dinner Set"/>
    <x v="4"/>
    <n v="1"/>
    <n v="2499"/>
    <n v="0.25"/>
    <n v="2499"/>
    <n v="624.75"/>
    <n v="1874.25"/>
    <n v="1250"/>
    <n v="1250"/>
    <n v="60"/>
    <n v="564.25"/>
    <n v="0.30105375483526742"/>
    <x v="0"/>
    <d v="2024-09-14T00:00:00"/>
    <n v="4"/>
    <x v="0"/>
    <n v="3"/>
    <n v="0"/>
  </r>
  <r>
    <s v="ORD-101261"/>
    <x v="250"/>
    <x v="0"/>
    <d v="2024-09-01T00:00:00"/>
    <n v="9"/>
    <s v="CUST-01445"/>
    <x v="0"/>
    <x v="2"/>
    <s v="MH"/>
    <x v="1"/>
    <s v="Mumbai"/>
    <x v="3"/>
    <s v="P102"/>
    <s v="Sunscreen SPF 50"/>
    <x v="3"/>
    <n v="1"/>
    <n v="449"/>
    <n v="0.1"/>
    <n v="449"/>
    <n v="44.900000000000006"/>
    <n v="404.1"/>
    <n v="144"/>
    <n v="144"/>
    <n v="60"/>
    <n v="200.10000000000002"/>
    <n v="0.4951744617668894"/>
    <x v="3"/>
    <d v="2024-09-11T00:00:00"/>
    <n v="1"/>
    <x v="1"/>
    <n v="4"/>
    <n v="0"/>
  </r>
  <r>
    <s v="ORD-101262"/>
    <x v="250"/>
    <x v="0"/>
    <d v="2024-09-01T00:00:00"/>
    <n v="9"/>
    <s v="CUST-00968"/>
    <x v="1"/>
    <x v="2"/>
    <s v="MH"/>
    <x v="1"/>
    <s v="Nagpur"/>
    <x v="0"/>
    <s v="P204"/>
    <s v="Anti-Dandruff Conditioner"/>
    <x v="6"/>
    <n v="2"/>
    <n v="399"/>
    <n v="0.45"/>
    <n v="798"/>
    <n v="359.1"/>
    <n v="438.9"/>
    <n v="136"/>
    <n v="272"/>
    <n v="60"/>
    <n v="106.89999999999998"/>
    <n v="0.24356345408976984"/>
    <x v="3"/>
    <d v="2024-09-11T00:00:00"/>
    <n v="1"/>
    <x v="1"/>
    <m/>
    <n v="0"/>
  </r>
  <r>
    <s v="ORD-101263"/>
    <x v="250"/>
    <x v="0"/>
    <d v="2024-09-01T00:00:00"/>
    <n v="9"/>
    <s v="CUST-00803"/>
    <x v="1"/>
    <x v="21"/>
    <s v="TG"/>
    <x v="3"/>
    <s v="Hyderabad"/>
    <x v="2"/>
    <s v="P704"/>
    <s v="Multivitamin Gummies"/>
    <x v="0"/>
    <n v="1"/>
    <n v="699"/>
    <n v="0.25"/>
    <n v="699"/>
    <n v="174.75"/>
    <n v="524.25"/>
    <n v="238"/>
    <n v="238"/>
    <n v="60"/>
    <n v="226.25"/>
    <n v="0.43156890796375774"/>
    <x v="0"/>
    <d v="2024-09-13T00:00:00"/>
    <n v="3"/>
    <x v="0"/>
    <n v="4"/>
    <n v="0"/>
  </r>
  <r>
    <s v="ORD-101264"/>
    <x v="250"/>
    <x v="0"/>
    <d v="2024-09-01T00:00:00"/>
    <n v="9"/>
    <s v="CUST-00300"/>
    <x v="0"/>
    <x v="11"/>
    <s v="KA"/>
    <x v="3"/>
    <s v="Bengaluru"/>
    <x v="2"/>
    <s v="P301"/>
    <s v="Cotton Oversized T-Shirt"/>
    <x v="1"/>
    <n v="1"/>
    <n v="799"/>
    <n v="0.05"/>
    <n v="799"/>
    <n v="39.950000000000003"/>
    <n v="759.05"/>
    <n v="320"/>
    <n v="320"/>
    <n v="60"/>
    <n v="379.04999999999995"/>
    <n v="0.49937421777221525"/>
    <x v="0"/>
    <d v="2024-09-13T00:00:00"/>
    <n v="3"/>
    <x v="0"/>
    <n v="4"/>
    <n v="0"/>
  </r>
  <r>
    <s v="ORD-101265"/>
    <x v="250"/>
    <x v="0"/>
    <d v="2024-09-01T00:00:00"/>
    <n v="9"/>
    <s v="CUST-00432"/>
    <x v="1"/>
    <x v="17"/>
    <s v="TN"/>
    <x v="3"/>
    <s v="Chennai"/>
    <x v="4"/>
    <s v="P105"/>
    <s v="Retinol Night Cream"/>
    <x v="3"/>
    <n v="2"/>
    <n v="799"/>
    <n v="0"/>
    <n v="1598"/>
    <n v="0"/>
    <n v="1598"/>
    <n v="216"/>
    <n v="432"/>
    <n v="60"/>
    <n v="1106"/>
    <n v="0.69211514392991236"/>
    <x v="0"/>
    <d v="2024-09-12T00:00:00"/>
    <n v="2"/>
    <x v="1"/>
    <n v="4"/>
    <n v="0"/>
  </r>
  <r>
    <s v="ORD-101266"/>
    <x v="251"/>
    <x v="0"/>
    <d v="2024-09-01T00:00:00"/>
    <n v="9"/>
    <s v="CUST-01109"/>
    <x v="0"/>
    <x v="16"/>
    <s v="UP"/>
    <x v="0"/>
    <s v="Noida"/>
    <x v="3"/>
    <s v="P103"/>
    <s v="Niacinamide Toner"/>
    <x v="3"/>
    <n v="2"/>
    <n v="399"/>
    <n v="0.3"/>
    <n v="798"/>
    <n v="239.39999999999998"/>
    <n v="558.6"/>
    <n v="112"/>
    <n v="224"/>
    <n v="60"/>
    <n v="274.60000000000002"/>
    <n v="0.49158610812746151"/>
    <x v="0"/>
    <d v="2024-09-13T00:00:00"/>
    <n v="2"/>
    <x v="1"/>
    <n v="5"/>
    <n v="0"/>
  </r>
  <r>
    <s v="ORD-101267"/>
    <x v="251"/>
    <x v="0"/>
    <d v="2024-09-01T00:00:00"/>
    <n v="9"/>
    <s v="CUST-01034"/>
    <x v="0"/>
    <x v="13"/>
    <s v="MP"/>
    <x v="1"/>
    <s v="Indore"/>
    <x v="3"/>
    <s v="P103"/>
    <s v="Niacinamide Toner"/>
    <x v="3"/>
    <n v="1"/>
    <n v="399"/>
    <n v="0.15"/>
    <n v="399"/>
    <n v="59.849999999999994"/>
    <n v="339.15"/>
    <n v="112"/>
    <n v="112"/>
    <n v="60"/>
    <n v="167.14999999999998"/>
    <n v="0.49284977148754233"/>
    <x v="0"/>
    <d v="2024-09-14T00:00:00"/>
    <n v="3"/>
    <x v="0"/>
    <n v="5"/>
    <n v="0"/>
  </r>
  <r>
    <s v="ORD-101268"/>
    <x v="251"/>
    <x v="0"/>
    <d v="2024-09-01T00:00:00"/>
    <n v="9"/>
    <s v="CUST-00709"/>
    <x v="1"/>
    <x v="13"/>
    <s v="MP"/>
    <x v="1"/>
    <s v="Bhopal"/>
    <x v="0"/>
    <s v="P204"/>
    <s v="Anti-Dandruff Conditioner"/>
    <x v="6"/>
    <n v="2"/>
    <n v="399"/>
    <n v="0.35"/>
    <n v="798"/>
    <n v="279.29999999999995"/>
    <n v="518.70000000000005"/>
    <n v="136"/>
    <n v="272"/>
    <n v="120"/>
    <n v="126.70000000000005"/>
    <n v="0.24426450742240222"/>
    <x v="3"/>
    <d v="2024-09-14T00:00:00"/>
    <n v="3"/>
    <x v="0"/>
    <n v="3"/>
    <n v="1"/>
  </r>
  <r>
    <s v="ORD-101269"/>
    <x v="251"/>
    <x v="0"/>
    <d v="2024-09-01T00:00:00"/>
    <n v="9"/>
    <s v="CUST-00194"/>
    <x v="0"/>
    <x v="17"/>
    <s v="TN"/>
    <x v="3"/>
    <s v="Chennai"/>
    <x v="2"/>
    <s v="P703"/>
    <s v="Green Tea (100 bags)"/>
    <x v="0"/>
    <n v="1"/>
    <n v="399"/>
    <n v="0.35"/>
    <n v="399"/>
    <n v="139.64999999999998"/>
    <n v="259.35000000000002"/>
    <n v="128"/>
    <n v="128"/>
    <n v="60"/>
    <n v="71.350000000000023"/>
    <n v="0.27511085405822255"/>
    <x v="0"/>
    <d v="2024-09-15T00:00:00"/>
    <n v="4"/>
    <x v="0"/>
    <m/>
    <n v="0"/>
  </r>
  <r>
    <s v="ORD-101270"/>
    <x v="252"/>
    <x v="0"/>
    <d v="2024-09-01T00:00:00"/>
    <n v="9"/>
    <s v="CUST-00303"/>
    <x v="1"/>
    <x v="22"/>
    <s v="AS"/>
    <x v="2"/>
    <s v="Guwahati"/>
    <x v="1"/>
    <s v="P304"/>
    <s v="Denim Jacket"/>
    <x v="1"/>
    <n v="1"/>
    <n v="2499"/>
    <n v="0.1"/>
    <n v="2499"/>
    <n v="249.9"/>
    <n v="2249.1"/>
    <n v="1125"/>
    <n v="1125"/>
    <n v="60"/>
    <n v="1064.0999999999999"/>
    <n v="0.4731225823662798"/>
    <x v="2"/>
    <d v="2024-09-17T00:00:00"/>
    <n v="5"/>
    <x v="2"/>
    <n v="5"/>
    <n v="0"/>
  </r>
  <r>
    <s v="ORD-101271"/>
    <x v="252"/>
    <x v="0"/>
    <d v="2024-09-01T00:00:00"/>
    <n v="9"/>
    <s v="CUST-00593"/>
    <x v="1"/>
    <x v="1"/>
    <s v="GJ"/>
    <x v="1"/>
    <s v="Ahmedabad"/>
    <x v="3"/>
    <s v="P101"/>
    <s v="Vitamin C Face Serum"/>
    <x v="3"/>
    <n v="1"/>
    <n v="599"/>
    <n v="0.2"/>
    <n v="599"/>
    <n v="119.80000000000001"/>
    <n v="479.2"/>
    <n v="180"/>
    <n v="180"/>
    <n v="60"/>
    <n v="239.2"/>
    <n v="0.4991652754590985"/>
    <x v="4"/>
    <d v="2024-09-15T00:00:00"/>
    <n v="3"/>
    <x v="0"/>
    <m/>
    <n v="0"/>
  </r>
  <r>
    <s v="ORD-101272"/>
    <x v="252"/>
    <x v="0"/>
    <d v="2024-09-01T00:00:00"/>
    <n v="9"/>
    <s v="CUST-01151"/>
    <x v="0"/>
    <x v="13"/>
    <s v="MP"/>
    <x v="1"/>
    <s v="Bhopal"/>
    <x v="2"/>
    <s v="P204"/>
    <s v="Anti-Dandruff Conditioner"/>
    <x v="6"/>
    <n v="1"/>
    <n v="399"/>
    <n v="0.25"/>
    <n v="399"/>
    <n v="99.75"/>
    <n v="299.25"/>
    <n v="136"/>
    <n v="136"/>
    <n v="60"/>
    <n v="103.25"/>
    <n v="0.34502923976608185"/>
    <x v="1"/>
    <d v="2024-09-15T00:00:00"/>
    <n v="3"/>
    <x v="0"/>
    <n v="4"/>
    <n v="0"/>
  </r>
  <r>
    <s v="ORD-101273"/>
    <x v="252"/>
    <x v="0"/>
    <d v="2024-09-01T00:00:00"/>
    <n v="9"/>
    <s v="CUST-00172"/>
    <x v="1"/>
    <x v="13"/>
    <s v="MP"/>
    <x v="1"/>
    <s v="Bhopal"/>
    <x v="0"/>
    <s v="P403"/>
    <s v="Kolhapuri Sandals"/>
    <x v="5"/>
    <n v="1"/>
    <n v="999"/>
    <n v="0"/>
    <n v="999"/>
    <n v="0"/>
    <n v="999"/>
    <n v="400"/>
    <n v="400"/>
    <n v="60"/>
    <n v="539"/>
    <n v="0.53953953953953959"/>
    <x v="1"/>
    <d v="2024-09-17T00:00:00"/>
    <n v="5"/>
    <x v="2"/>
    <n v="3"/>
    <n v="0"/>
  </r>
  <r>
    <s v="ORD-101274"/>
    <x v="252"/>
    <x v="0"/>
    <d v="2024-09-01T00:00:00"/>
    <n v="9"/>
    <s v="CUST-01194"/>
    <x v="0"/>
    <x v="13"/>
    <s v="MP"/>
    <x v="1"/>
    <s v="Indore"/>
    <x v="1"/>
    <s v="P402"/>
    <s v="Casual Sneakers"/>
    <x v="5"/>
    <n v="1"/>
    <n v="2199"/>
    <n v="0.15"/>
    <n v="2199"/>
    <n v="329.84999999999997"/>
    <n v="1869.15"/>
    <n v="1034"/>
    <n v="1034"/>
    <n v="60"/>
    <n v="775.15000000000009"/>
    <n v="0.41470721985929437"/>
    <x v="0"/>
    <d v="2024-09-16T00:00:00"/>
    <n v="4"/>
    <x v="0"/>
    <n v="4"/>
    <n v="0"/>
  </r>
  <r>
    <s v="ORD-101275"/>
    <x v="252"/>
    <x v="0"/>
    <d v="2024-09-01T00:00:00"/>
    <n v="9"/>
    <s v="CUST-02301"/>
    <x v="0"/>
    <x v="18"/>
    <s v="WB"/>
    <x v="2"/>
    <s v="Kolkata"/>
    <x v="2"/>
    <s v="P305"/>
    <s v="Printed Saree"/>
    <x v="1"/>
    <n v="1"/>
    <n v="1999"/>
    <n v="0"/>
    <n v="1999"/>
    <n v="0"/>
    <n v="1999"/>
    <n v="880"/>
    <n v="880"/>
    <n v="60"/>
    <n v="1059"/>
    <n v="0.52976488244122066"/>
    <x v="2"/>
    <d v="2024-09-15T00:00:00"/>
    <n v="3"/>
    <x v="0"/>
    <n v="4"/>
    <n v="0"/>
  </r>
  <r>
    <s v="ORD-101276"/>
    <x v="252"/>
    <x v="0"/>
    <d v="2024-09-01T00:00:00"/>
    <n v="9"/>
    <s v="CUST-00099"/>
    <x v="0"/>
    <x v="11"/>
    <s v="KA"/>
    <x v="3"/>
    <s v="Mysuru"/>
    <x v="3"/>
    <s v="P203"/>
    <s v="Keratin Hair Mask"/>
    <x v="6"/>
    <n v="1"/>
    <n v="549"/>
    <n v="0.2"/>
    <n v="549"/>
    <n v="109.80000000000001"/>
    <n v="439.2"/>
    <n v="170"/>
    <n v="170"/>
    <n v="60"/>
    <n v="209.2"/>
    <n v="0.47632058287795992"/>
    <x v="4"/>
    <d v="2024-09-16T00:00:00"/>
    <n v="4"/>
    <x v="0"/>
    <n v="4"/>
    <n v="0"/>
  </r>
  <r>
    <s v="ORD-101277"/>
    <x v="252"/>
    <x v="0"/>
    <d v="2024-09-01T00:00:00"/>
    <n v="9"/>
    <s v="CUST-00528"/>
    <x v="0"/>
    <x v="17"/>
    <s v="TN"/>
    <x v="3"/>
    <s v="Chennai"/>
    <x v="0"/>
    <s v="P202"/>
    <s v="Argan Shampoo"/>
    <x v="6"/>
    <n v="3"/>
    <n v="449"/>
    <n v="0.05"/>
    <n v="1347"/>
    <n v="67.350000000000009"/>
    <n v="1279.6500000000001"/>
    <n v="148"/>
    <n v="444"/>
    <n v="60"/>
    <n v="775.65000000000009"/>
    <n v="0.60614230453639673"/>
    <x v="0"/>
    <d v="2024-09-17T00:00:00"/>
    <n v="5"/>
    <x v="2"/>
    <m/>
    <n v="0"/>
  </r>
  <r>
    <s v="ORD-101278"/>
    <x v="253"/>
    <x v="0"/>
    <d v="2024-09-01T00:00:00"/>
    <n v="9"/>
    <s v="CUST-03151"/>
    <x v="1"/>
    <x v="1"/>
    <s v="GJ"/>
    <x v="1"/>
    <s v="Surat"/>
    <x v="0"/>
    <s v="P204"/>
    <s v="Anti-Dandruff Conditioner"/>
    <x v="6"/>
    <n v="2"/>
    <n v="399"/>
    <n v="0.4"/>
    <n v="798"/>
    <n v="319.20000000000005"/>
    <n v="478.79999999999995"/>
    <n v="136"/>
    <n v="272"/>
    <n v="60"/>
    <n v="146.79999999999995"/>
    <n v="0.30659983291562232"/>
    <x v="0"/>
    <d v="2024-09-16T00:00:00"/>
    <n v="3"/>
    <x v="0"/>
    <m/>
    <n v="0"/>
  </r>
  <r>
    <s v="ORD-101279"/>
    <x v="253"/>
    <x v="0"/>
    <d v="2024-09-01T00:00:00"/>
    <n v="9"/>
    <s v="CUST-00187"/>
    <x v="1"/>
    <x v="13"/>
    <s v="MP"/>
    <x v="1"/>
    <s v="Bhopal"/>
    <x v="2"/>
    <s v="P701"/>
    <s v="Ashwagandha Capsules"/>
    <x v="0"/>
    <n v="1"/>
    <n v="499"/>
    <n v="0"/>
    <n v="499"/>
    <n v="0"/>
    <n v="499"/>
    <n v="150"/>
    <n v="150"/>
    <n v="60"/>
    <n v="289"/>
    <n v="0.57915831663326656"/>
    <x v="0"/>
    <d v="2024-09-19T00:00:00"/>
    <n v="6"/>
    <x v="2"/>
    <m/>
    <n v="0"/>
  </r>
  <r>
    <s v="ORD-101280"/>
    <x v="253"/>
    <x v="0"/>
    <d v="2024-09-01T00:00:00"/>
    <n v="9"/>
    <s v="CUST-02321"/>
    <x v="1"/>
    <x v="14"/>
    <s v="KL"/>
    <x v="3"/>
    <s v="Kochi"/>
    <x v="0"/>
    <s v="P701"/>
    <s v="Ashwagandha Capsules"/>
    <x v="0"/>
    <n v="4"/>
    <n v="499"/>
    <n v="0.1"/>
    <n v="1996"/>
    <n v="199.60000000000002"/>
    <n v="1796.4"/>
    <n v="150"/>
    <n v="600"/>
    <n v="60"/>
    <n v="1136.4000000000001"/>
    <n v="0.63259853039412162"/>
    <x v="0"/>
    <d v="2024-09-16T00:00:00"/>
    <n v="3"/>
    <x v="0"/>
    <n v="4"/>
    <n v="0"/>
  </r>
  <r>
    <s v="ORD-101281"/>
    <x v="253"/>
    <x v="0"/>
    <d v="2024-09-01T00:00:00"/>
    <n v="9"/>
    <s v="CUST-02681"/>
    <x v="1"/>
    <x v="17"/>
    <s v="TN"/>
    <x v="3"/>
    <s v="Chennai"/>
    <x v="3"/>
    <s v="P701"/>
    <s v="Ashwagandha Capsules"/>
    <x v="0"/>
    <n v="2"/>
    <n v="499"/>
    <n v="0"/>
    <n v="998"/>
    <n v="0"/>
    <n v="998"/>
    <n v="150"/>
    <n v="300"/>
    <n v="120"/>
    <n v="578"/>
    <n v="0.57915831663326656"/>
    <x v="0"/>
    <d v="2024-09-16T00:00:00"/>
    <n v="3"/>
    <x v="0"/>
    <n v="4"/>
    <n v="1"/>
  </r>
  <r>
    <s v="ORD-101282"/>
    <x v="254"/>
    <x v="0"/>
    <d v="2024-09-01T00:00:00"/>
    <n v="9"/>
    <s v="CUST-00321"/>
    <x v="0"/>
    <x v="19"/>
    <s v="PB"/>
    <x v="0"/>
    <s v="Amritsar"/>
    <x v="0"/>
    <s v="P701"/>
    <s v="Ashwagandha Capsules"/>
    <x v="0"/>
    <n v="1"/>
    <n v="499"/>
    <n v="0"/>
    <n v="499"/>
    <n v="0"/>
    <n v="499"/>
    <n v="150"/>
    <n v="150"/>
    <n v="60"/>
    <n v="289"/>
    <n v="0.57915831663326656"/>
    <x v="0"/>
    <d v="2024-09-18T00:00:00"/>
    <n v="4"/>
    <x v="0"/>
    <m/>
    <n v="0"/>
  </r>
  <r>
    <s v="ORD-101283"/>
    <x v="254"/>
    <x v="0"/>
    <d v="2024-09-01T00:00:00"/>
    <n v="9"/>
    <s v="CUST-00130"/>
    <x v="1"/>
    <x v="9"/>
    <s v="UK"/>
    <x v="0"/>
    <s v="Dehradun"/>
    <x v="0"/>
    <s v="P503"/>
    <s v="Scented Candle Set"/>
    <x v="4"/>
    <n v="2"/>
    <n v="699"/>
    <n v="0.3"/>
    <n v="1398"/>
    <n v="419.4"/>
    <n v="978.6"/>
    <n v="245"/>
    <n v="490"/>
    <n v="60"/>
    <n v="428.6"/>
    <n v="0.43797261393827919"/>
    <x v="0"/>
    <d v="2024-09-19T00:00:00"/>
    <n v="5"/>
    <x v="2"/>
    <m/>
    <n v="0"/>
  </r>
  <r>
    <s v="ORD-101284"/>
    <x v="254"/>
    <x v="0"/>
    <d v="2024-09-01T00:00:00"/>
    <n v="9"/>
    <s v="CUST-00409"/>
    <x v="0"/>
    <x v="15"/>
    <s v="HR"/>
    <x v="0"/>
    <s v="Gurugram"/>
    <x v="1"/>
    <s v="P301"/>
    <s v="Cotton Oversized T-Shirt"/>
    <x v="1"/>
    <n v="1"/>
    <n v="799"/>
    <n v="0.05"/>
    <n v="799"/>
    <n v="39.950000000000003"/>
    <n v="759.05"/>
    <n v="320"/>
    <n v="320"/>
    <n v="60"/>
    <n v="379.04999999999995"/>
    <n v="0.49937421777221525"/>
    <x v="3"/>
    <d v="2024-09-16T00:00:00"/>
    <n v="2"/>
    <x v="1"/>
    <m/>
    <n v="0"/>
  </r>
  <r>
    <s v="ORD-101285"/>
    <x v="254"/>
    <x v="0"/>
    <d v="2024-09-01T00:00:00"/>
    <n v="9"/>
    <s v="CUST-00373"/>
    <x v="0"/>
    <x v="15"/>
    <s v="HR"/>
    <x v="0"/>
    <s v="Faridabad"/>
    <x v="0"/>
    <s v="P305"/>
    <s v="Printed Saree"/>
    <x v="1"/>
    <n v="1"/>
    <n v="1999"/>
    <n v="0"/>
    <n v="1999"/>
    <n v="0"/>
    <n v="1999"/>
    <n v="880"/>
    <n v="880"/>
    <n v="60"/>
    <n v="1059"/>
    <n v="0.52976488244122066"/>
    <x v="0"/>
    <d v="2024-09-17T00:00:00"/>
    <n v="3"/>
    <x v="0"/>
    <m/>
    <n v="0"/>
  </r>
  <r>
    <s v="ORD-101286"/>
    <x v="254"/>
    <x v="0"/>
    <d v="2024-09-01T00:00:00"/>
    <n v="9"/>
    <s v="CUST-01486"/>
    <x v="0"/>
    <x v="16"/>
    <s v="UP"/>
    <x v="0"/>
    <s v="Kanpur"/>
    <x v="4"/>
    <s v="P202"/>
    <s v="Argan Shampoo"/>
    <x v="6"/>
    <n v="1"/>
    <n v="449"/>
    <n v="0.05"/>
    <n v="449"/>
    <n v="22.450000000000003"/>
    <n v="426.55"/>
    <n v="148"/>
    <n v="148"/>
    <n v="60"/>
    <n v="218.55"/>
    <n v="0.51236666275934828"/>
    <x v="3"/>
    <d v="2024-09-19T00:00:00"/>
    <n v="5"/>
    <x v="2"/>
    <n v="3"/>
    <n v="0"/>
  </r>
  <r>
    <s v="ORD-101287"/>
    <x v="254"/>
    <x v="0"/>
    <d v="2024-09-01T00:00:00"/>
    <n v="9"/>
    <s v="CUST-01064"/>
    <x v="0"/>
    <x v="7"/>
    <s v="JH"/>
    <x v="2"/>
    <s v="Ranchi"/>
    <x v="0"/>
    <s v="P201"/>
    <s v="Onion Hair Oil"/>
    <x v="6"/>
    <n v="3"/>
    <n v="349"/>
    <n v="0.3"/>
    <n v="1047"/>
    <n v="314.09999999999997"/>
    <n v="732.90000000000009"/>
    <n v="105"/>
    <n v="315"/>
    <n v="60"/>
    <n v="357.90000000000009"/>
    <n v="0.48833401555464601"/>
    <x v="3"/>
    <d v="2024-09-19T00:00:00"/>
    <n v="5"/>
    <x v="2"/>
    <n v="4"/>
    <n v="0"/>
  </r>
  <r>
    <s v="ORD-101288"/>
    <x v="254"/>
    <x v="0"/>
    <d v="2024-09-01T00:00:00"/>
    <n v="9"/>
    <s v="CUST-01135"/>
    <x v="0"/>
    <x v="21"/>
    <s v="TG"/>
    <x v="3"/>
    <s v="Hyderabad"/>
    <x v="0"/>
    <s v="P704"/>
    <s v="Multivitamin Gummies"/>
    <x v="0"/>
    <n v="2"/>
    <n v="699"/>
    <n v="0.3"/>
    <n v="1398"/>
    <n v="419.4"/>
    <n v="978.6"/>
    <n v="238"/>
    <n v="476"/>
    <n v="60"/>
    <n v="442.6"/>
    <n v="0.45227876558348662"/>
    <x v="3"/>
    <d v="2024-09-18T00:00:00"/>
    <n v="4"/>
    <x v="0"/>
    <n v="4"/>
    <n v="0"/>
  </r>
  <r>
    <s v="ORD-101289"/>
    <x v="254"/>
    <x v="0"/>
    <d v="2024-09-01T00:00:00"/>
    <n v="9"/>
    <s v="CUST-00645"/>
    <x v="1"/>
    <x v="21"/>
    <s v="TG"/>
    <x v="3"/>
    <s v="Hyderabad"/>
    <x v="0"/>
    <s v="P701"/>
    <s v="Ashwagandha Capsules"/>
    <x v="0"/>
    <n v="1"/>
    <n v="499"/>
    <n v="0.05"/>
    <n v="499"/>
    <n v="24.950000000000003"/>
    <n v="474.05"/>
    <n v="150"/>
    <n v="150"/>
    <n v="60"/>
    <n v="264.05"/>
    <n v="0.55700875435080688"/>
    <x v="0"/>
    <d v="2024-09-15T00:00:00"/>
    <n v="1"/>
    <x v="1"/>
    <m/>
    <n v="0"/>
  </r>
  <r>
    <s v="ORD-101290"/>
    <x v="254"/>
    <x v="0"/>
    <d v="2024-09-01T00:00:00"/>
    <n v="9"/>
    <s v="CUST-00286"/>
    <x v="0"/>
    <x v="11"/>
    <s v="KA"/>
    <x v="3"/>
    <s v="Bengaluru"/>
    <x v="3"/>
    <s v="P103"/>
    <s v="Niacinamide Toner"/>
    <x v="3"/>
    <n v="2"/>
    <n v="399"/>
    <n v="0.2"/>
    <n v="798"/>
    <n v="159.60000000000002"/>
    <n v="638.4"/>
    <n v="112"/>
    <n v="224"/>
    <n v="60"/>
    <n v="354.4"/>
    <n v="0.55513784461152882"/>
    <x v="4"/>
    <d v="2024-09-18T00:00:00"/>
    <n v="4"/>
    <x v="0"/>
    <n v="4"/>
    <n v="0"/>
  </r>
  <r>
    <s v="ORD-101291"/>
    <x v="254"/>
    <x v="0"/>
    <d v="2024-09-01T00:00:00"/>
    <n v="9"/>
    <s v="CUST-00272"/>
    <x v="0"/>
    <x v="11"/>
    <s v="KA"/>
    <x v="3"/>
    <s v="Bengaluru"/>
    <x v="2"/>
    <s v="P603"/>
    <s v="Smartwatch Strap"/>
    <x v="2"/>
    <n v="1"/>
    <n v="499"/>
    <n v="0.15"/>
    <n v="499"/>
    <n v="74.849999999999994"/>
    <n v="424.15"/>
    <n v="200"/>
    <n v="200"/>
    <n v="60"/>
    <n v="164.14999999999998"/>
    <n v="0.38700931274313327"/>
    <x v="3"/>
    <d v="2024-09-18T00:00:00"/>
    <n v="4"/>
    <x v="0"/>
    <n v="3"/>
    <n v="0"/>
  </r>
  <r>
    <s v="ORD-101292"/>
    <x v="254"/>
    <x v="0"/>
    <d v="2024-09-01T00:00:00"/>
    <n v="9"/>
    <s v="CUST-00897"/>
    <x v="1"/>
    <x v="11"/>
    <s v="KA"/>
    <x v="3"/>
    <s v="Mysuru"/>
    <x v="1"/>
    <s v="P303"/>
    <s v="Joggers"/>
    <x v="1"/>
    <n v="1"/>
    <n v="1199"/>
    <n v="0.15"/>
    <n v="1199"/>
    <n v="179.85"/>
    <n v="1019.15"/>
    <n v="492"/>
    <n v="492"/>
    <n v="60"/>
    <n v="467.15"/>
    <n v="0.45837217288917231"/>
    <x v="2"/>
    <d v="2024-09-16T00:00:00"/>
    <n v="2"/>
    <x v="1"/>
    <n v="4"/>
    <n v="0"/>
  </r>
  <r>
    <s v="ORD-101293"/>
    <x v="255"/>
    <x v="0"/>
    <d v="2024-09-01T00:00:00"/>
    <n v="9"/>
    <s v="CUST-00438"/>
    <x v="1"/>
    <x v="15"/>
    <s v="HR"/>
    <x v="0"/>
    <s v="Faridabad"/>
    <x v="1"/>
    <s v="P302"/>
    <s v="Linen Kurta"/>
    <x v="1"/>
    <n v="2"/>
    <n v="1499"/>
    <n v="0.3"/>
    <n v="2998"/>
    <n v="899.4"/>
    <n v="2098.6"/>
    <n v="630"/>
    <n v="1260"/>
    <n v="60"/>
    <n v="778.59999999999991"/>
    <n v="0.3710092442580768"/>
    <x v="4"/>
    <d v="2024-09-18T00:00:00"/>
    <n v="3"/>
    <x v="0"/>
    <n v="4"/>
    <n v="0"/>
  </r>
  <r>
    <s v="ORD-101294"/>
    <x v="255"/>
    <x v="0"/>
    <d v="2024-09-01T00:00:00"/>
    <n v="9"/>
    <s v="CUST-01634"/>
    <x v="0"/>
    <x v="16"/>
    <s v="UP"/>
    <x v="0"/>
    <s v="Lucknow"/>
    <x v="2"/>
    <s v="P101"/>
    <s v="Vitamin C Face Serum"/>
    <x v="3"/>
    <n v="1"/>
    <n v="599"/>
    <n v="0.2"/>
    <n v="599"/>
    <n v="119.80000000000001"/>
    <n v="479.2"/>
    <n v="180"/>
    <n v="180"/>
    <n v="60"/>
    <n v="239.2"/>
    <n v="0.4991652754590985"/>
    <x v="1"/>
    <d v="2024-09-20T00:00:00"/>
    <n v="5"/>
    <x v="2"/>
    <n v="3"/>
    <n v="0"/>
  </r>
  <r>
    <s v="ORD-101295"/>
    <x v="255"/>
    <x v="0"/>
    <d v="2024-09-01T00:00:00"/>
    <n v="9"/>
    <s v="CUST-00167"/>
    <x v="0"/>
    <x v="21"/>
    <s v="TG"/>
    <x v="3"/>
    <s v="Hyderabad"/>
    <x v="1"/>
    <s v="P302"/>
    <s v="Linen Kurta"/>
    <x v="1"/>
    <n v="2"/>
    <n v="1499"/>
    <n v="0.35"/>
    <n v="2998"/>
    <n v="1049.3"/>
    <n v="1948.7"/>
    <n v="630"/>
    <n v="1260"/>
    <n v="120"/>
    <n v="568.70000000000005"/>
    <n v="0.29183558269615645"/>
    <x v="0"/>
    <d v="2024-09-16T00:00:00"/>
    <n v="1"/>
    <x v="1"/>
    <n v="5"/>
    <n v="1"/>
  </r>
  <r>
    <s v="ORD-101296"/>
    <x v="255"/>
    <x v="0"/>
    <d v="2024-09-01T00:00:00"/>
    <n v="9"/>
    <s v="CUST-00156"/>
    <x v="1"/>
    <x v="11"/>
    <s v="KA"/>
    <x v="3"/>
    <s v="Mysuru"/>
    <x v="4"/>
    <s v="P303"/>
    <s v="Joggers"/>
    <x v="1"/>
    <n v="2"/>
    <n v="1199"/>
    <n v="0.2"/>
    <n v="2398"/>
    <n v="479.6"/>
    <n v="1918.4"/>
    <n v="492"/>
    <n v="984"/>
    <n v="60"/>
    <n v="874.40000000000009"/>
    <n v="0.45579649708090075"/>
    <x v="0"/>
    <d v="2024-09-18T00:00:00"/>
    <n v="3"/>
    <x v="0"/>
    <n v="3"/>
    <n v="0"/>
  </r>
  <r>
    <s v="ORD-101297"/>
    <x v="256"/>
    <x v="0"/>
    <d v="2024-09-01T00:00:00"/>
    <n v="9"/>
    <s v="CUST-00550"/>
    <x v="0"/>
    <x v="0"/>
    <s v="RJ"/>
    <x v="0"/>
    <s v="Jaipur"/>
    <x v="2"/>
    <s v="P704"/>
    <s v="Multivitamin Gummies"/>
    <x v="0"/>
    <n v="1"/>
    <n v="699"/>
    <n v="0.2"/>
    <n v="699"/>
    <n v="139.80000000000001"/>
    <n v="559.20000000000005"/>
    <n v="238"/>
    <n v="238"/>
    <n v="60"/>
    <n v="261.20000000000005"/>
    <n v="0.46709585121602293"/>
    <x v="0"/>
    <d v="2024-09-19T00:00:00"/>
    <n v="3"/>
    <x v="0"/>
    <n v="4"/>
    <n v="0"/>
  </r>
  <r>
    <s v="ORD-101298"/>
    <x v="256"/>
    <x v="0"/>
    <d v="2024-09-01T00:00:00"/>
    <n v="9"/>
    <s v="CUST-01906"/>
    <x v="0"/>
    <x v="15"/>
    <s v="HR"/>
    <x v="0"/>
    <s v="Faridabad"/>
    <x v="0"/>
    <s v="P404"/>
    <s v="Flip Flops"/>
    <x v="5"/>
    <n v="1"/>
    <n v="399"/>
    <n v="0.1"/>
    <n v="399"/>
    <n v="39.900000000000006"/>
    <n v="359.1"/>
    <n v="152"/>
    <n v="152"/>
    <n v="120"/>
    <n v="87.100000000000023"/>
    <n v="0.24255082149818996"/>
    <x v="3"/>
    <d v="2024-09-20T00:00:00"/>
    <n v="4"/>
    <x v="0"/>
    <n v="3"/>
    <n v="1"/>
  </r>
  <r>
    <s v="ORD-101299"/>
    <x v="256"/>
    <x v="0"/>
    <d v="2024-09-01T00:00:00"/>
    <n v="9"/>
    <s v="CUST-01111"/>
    <x v="0"/>
    <x v="6"/>
    <s v="DL"/>
    <x v="0"/>
    <s v="New Delhi"/>
    <x v="0"/>
    <s v="P403"/>
    <s v="Kolhapuri Sandals"/>
    <x v="5"/>
    <n v="1"/>
    <n v="999"/>
    <n v="0.05"/>
    <n v="999"/>
    <n v="49.95"/>
    <n v="949.05"/>
    <n v="400"/>
    <n v="400"/>
    <n v="60"/>
    <n v="489.04999999999995"/>
    <n v="0.5153047784626732"/>
    <x v="4"/>
    <d v="2024-09-20T00:00:00"/>
    <n v="4"/>
    <x v="0"/>
    <m/>
    <n v="0"/>
  </r>
  <r>
    <s v="ORD-101300"/>
    <x v="256"/>
    <x v="0"/>
    <d v="2024-09-01T00:00:00"/>
    <n v="9"/>
    <s v="CUST-00583"/>
    <x v="0"/>
    <x v="16"/>
    <s v="UP"/>
    <x v="0"/>
    <s v="Lucknow"/>
    <x v="2"/>
    <s v="P104"/>
    <s v="Hydrating Face Wash"/>
    <x v="3"/>
    <n v="1"/>
    <n v="299"/>
    <n v="0"/>
    <n v="299"/>
    <n v="0"/>
    <n v="299"/>
    <n v="90"/>
    <n v="90"/>
    <n v="60"/>
    <n v="149"/>
    <n v="0.49832775919732442"/>
    <x v="0"/>
    <d v="2024-09-20T00:00:00"/>
    <n v="4"/>
    <x v="0"/>
    <n v="4"/>
    <n v="0"/>
  </r>
  <r>
    <s v="ORD-101301"/>
    <x v="256"/>
    <x v="0"/>
    <d v="2024-09-01T00:00:00"/>
    <n v="9"/>
    <s v="CUST-00631"/>
    <x v="0"/>
    <x v="1"/>
    <s v="GJ"/>
    <x v="1"/>
    <s v="Ahmedabad"/>
    <x v="0"/>
    <s v="P703"/>
    <s v="Green Tea (100 bags)"/>
    <x v="0"/>
    <n v="1"/>
    <n v="399"/>
    <n v="0.35"/>
    <n v="399"/>
    <n v="139.64999999999998"/>
    <n v="259.35000000000002"/>
    <n v="128"/>
    <n v="128"/>
    <n v="120"/>
    <n v="11.350000000000023"/>
    <n v="4.3763254289570161E-2"/>
    <x v="3"/>
    <d v="2024-09-18T00:00:00"/>
    <n v="2"/>
    <x v="1"/>
    <n v="3"/>
    <n v="1"/>
  </r>
  <r>
    <s v="ORD-101302"/>
    <x v="256"/>
    <x v="0"/>
    <d v="2024-09-01T00:00:00"/>
    <n v="9"/>
    <s v="CUST-01727"/>
    <x v="0"/>
    <x v="1"/>
    <s v="GJ"/>
    <x v="1"/>
    <s v="Surat"/>
    <x v="0"/>
    <s v="P203"/>
    <s v="Keratin Hair Mask"/>
    <x v="6"/>
    <n v="1"/>
    <n v="549"/>
    <n v="0.15"/>
    <n v="549"/>
    <n v="82.35"/>
    <n v="466.65"/>
    <n v="170"/>
    <n v="170"/>
    <n v="60"/>
    <n v="236.64999999999998"/>
    <n v="0.50712525447337398"/>
    <x v="3"/>
    <d v="2024-09-19T00:00:00"/>
    <n v="3"/>
    <x v="0"/>
    <n v="4"/>
    <n v="0"/>
  </r>
  <r>
    <s v="ORD-101303"/>
    <x v="256"/>
    <x v="0"/>
    <d v="2024-09-01T00:00:00"/>
    <n v="9"/>
    <s v="CUST-00056"/>
    <x v="0"/>
    <x v="2"/>
    <s v="MH"/>
    <x v="1"/>
    <s v="Mumbai"/>
    <x v="0"/>
    <s v="P104"/>
    <s v="Hydrating Face Wash"/>
    <x v="3"/>
    <n v="1"/>
    <n v="299"/>
    <n v="0"/>
    <n v="299"/>
    <n v="0"/>
    <n v="299"/>
    <n v="90"/>
    <n v="90"/>
    <n v="60"/>
    <n v="149"/>
    <n v="0.49832775919732442"/>
    <x v="3"/>
    <d v="2024-09-19T00:00:00"/>
    <n v="3"/>
    <x v="0"/>
    <n v="3"/>
    <n v="0"/>
  </r>
  <r>
    <s v="ORD-101304"/>
    <x v="256"/>
    <x v="0"/>
    <d v="2024-09-01T00:00:00"/>
    <n v="9"/>
    <s v="CUST-02385"/>
    <x v="0"/>
    <x v="11"/>
    <s v="KA"/>
    <x v="3"/>
    <s v="Bengaluru"/>
    <x v="0"/>
    <s v="P404"/>
    <s v="Flip Flops"/>
    <x v="5"/>
    <n v="1"/>
    <n v="399"/>
    <n v="0.15"/>
    <n v="399"/>
    <n v="59.849999999999994"/>
    <n v="339.15"/>
    <n v="152"/>
    <n v="152"/>
    <n v="60"/>
    <n v="127.14999999999998"/>
    <n v="0.37490785787999409"/>
    <x v="0"/>
    <d v="2024-09-17T00:00:00"/>
    <n v="1"/>
    <x v="1"/>
    <m/>
    <n v="0"/>
  </r>
  <r>
    <s v="ORD-101305"/>
    <x v="256"/>
    <x v="0"/>
    <d v="2024-09-01T00:00:00"/>
    <n v="9"/>
    <s v="CUST-00341"/>
    <x v="1"/>
    <x v="17"/>
    <s v="TN"/>
    <x v="3"/>
    <s v="Coimbatore"/>
    <x v="2"/>
    <s v="P203"/>
    <s v="Keratin Hair Mask"/>
    <x v="6"/>
    <n v="1"/>
    <n v="549"/>
    <n v="0.1"/>
    <n v="549"/>
    <n v="54.900000000000006"/>
    <n v="494.1"/>
    <n v="170"/>
    <n v="170"/>
    <n v="60"/>
    <n v="264.10000000000002"/>
    <n v="0.53450718478040882"/>
    <x v="1"/>
    <d v="2024-09-19T00:00:00"/>
    <n v="3"/>
    <x v="0"/>
    <n v="5"/>
    <n v="0"/>
  </r>
  <r>
    <s v="ORD-101306"/>
    <x v="257"/>
    <x v="0"/>
    <d v="2024-09-01T00:00:00"/>
    <n v="9"/>
    <s v="CUST-00099"/>
    <x v="1"/>
    <x v="6"/>
    <s v="DL"/>
    <x v="0"/>
    <s v="New Delhi"/>
    <x v="0"/>
    <s v="P401"/>
    <s v="Running Shoes"/>
    <x v="5"/>
    <n v="1"/>
    <n v="2999"/>
    <n v="0.2"/>
    <n v="2999"/>
    <n v="599.80000000000007"/>
    <n v="2399.1999999999998"/>
    <n v="1440"/>
    <n v="1440"/>
    <n v="120"/>
    <n v="839.19999999999982"/>
    <n v="0.34978326108702895"/>
    <x v="0"/>
    <d v="2024-09-20T00:00:00"/>
    <n v="3"/>
    <x v="0"/>
    <n v="4"/>
    <n v="1"/>
  </r>
  <r>
    <s v="ORD-101307"/>
    <x v="257"/>
    <x v="0"/>
    <d v="2024-09-01T00:00:00"/>
    <n v="9"/>
    <s v="CUST-02499"/>
    <x v="0"/>
    <x v="18"/>
    <s v="WB"/>
    <x v="2"/>
    <s v="Kolkata"/>
    <x v="0"/>
    <s v="P604"/>
    <s v="Power Bank 20000mAh"/>
    <x v="2"/>
    <n v="2"/>
    <n v="1799"/>
    <n v="0.35"/>
    <n v="3598"/>
    <n v="1259.3"/>
    <n v="2338.6999999999998"/>
    <n v="1079"/>
    <n v="2158"/>
    <n v="60"/>
    <n v="120.69999999999982"/>
    <n v="5.1609868730491226E-2"/>
    <x v="1"/>
    <d v="2024-09-21T00:00:00"/>
    <n v="4"/>
    <x v="0"/>
    <n v="4"/>
    <n v="0"/>
  </r>
  <r>
    <s v="ORD-101308"/>
    <x v="257"/>
    <x v="0"/>
    <d v="2024-09-01T00:00:00"/>
    <n v="9"/>
    <s v="CUST-00905"/>
    <x v="1"/>
    <x v="2"/>
    <s v="MH"/>
    <x v="1"/>
    <s v="Nagpur"/>
    <x v="2"/>
    <s v="P204"/>
    <s v="Anti-Dandruff Conditioner"/>
    <x v="6"/>
    <n v="2"/>
    <n v="399"/>
    <n v="0.3"/>
    <n v="798"/>
    <n v="239.39999999999998"/>
    <n v="558.6"/>
    <n v="136"/>
    <n v="272"/>
    <n v="60"/>
    <n v="226.60000000000002"/>
    <n v="0.40565699964196206"/>
    <x v="2"/>
    <d v="2024-09-19T00:00:00"/>
    <n v="2"/>
    <x v="1"/>
    <n v="4"/>
    <n v="0"/>
  </r>
  <r>
    <s v="ORD-101309"/>
    <x v="257"/>
    <x v="0"/>
    <d v="2024-09-01T00:00:00"/>
    <n v="9"/>
    <s v="CUST-00555"/>
    <x v="1"/>
    <x v="14"/>
    <s v="KL"/>
    <x v="3"/>
    <s v="Kochi"/>
    <x v="1"/>
    <s v="P404"/>
    <s v="Flip Flops"/>
    <x v="5"/>
    <n v="1"/>
    <n v="399"/>
    <n v="0.2"/>
    <n v="399"/>
    <n v="79.800000000000011"/>
    <n v="319.2"/>
    <n v="152"/>
    <n v="152"/>
    <n v="60"/>
    <n v="107.19999999999999"/>
    <n v="0.33583959899749372"/>
    <x v="1"/>
    <d v="2024-09-19T00:00:00"/>
    <n v="2"/>
    <x v="1"/>
    <n v="3"/>
    <n v="0"/>
  </r>
  <r>
    <s v="ORD-101310"/>
    <x v="258"/>
    <x v="0"/>
    <d v="2024-09-01T00:00:00"/>
    <n v="9"/>
    <s v="CUST-00086"/>
    <x v="1"/>
    <x v="0"/>
    <s v="RJ"/>
    <x v="0"/>
    <s v="Udaipur"/>
    <x v="4"/>
    <s v="P602"/>
    <s v="Fast Charger 33W"/>
    <x v="2"/>
    <n v="1"/>
    <n v="899"/>
    <n v="0.15"/>
    <n v="899"/>
    <n v="134.85"/>
    <n v="764.15"/>
    <n v="494"/>
    <n v="494"/>
    <n v="60"/>
    <n v="210.14999999999998"/>
    <n v="0.27501145063142052"/>
    <x v="0"/>
    <d v="2024-09-20T00:00:00"/>
    <n v="2"/>
    <x v="1"/>
    <m/>
    <n v="0"/>
  </r>
  <r>
    <s v="ORD-101311"/>
    <x v="258"/>
    <x v="0"/>
    <d v="2024-09-01T00:00:00"/>
    <n v="9"/>
    <s v="CUST-00234"/>
    <x v="0"/>
    <x v="15"/>
    <s v="HR"/>
    <x v="0"/>
    <s v="Faridabad"/>
    <x v="4"/>
    <s v="P401"/>
    <s v="Running Shoes"/>
    <x v="5"/>
    <n v="1"/>
    <n v="2999"/>
    <n v="0.2"/>
    <n v="2999"/>
    <n v="599.80000000000007"/>
    <n v="2399.1999999999998"/>
    <n v="1440"/>
    <n v="1440"/>
    <n v="60"/>
    <n v="899.19999999999982"/>
    <n v="0.3747915971990663"/>
    <x v="0"/>
    <d v="2024-09-21T00:00:00"/>
    <n v="3"/>
    <x v="0"/>
    <n v="4"/>
    <n v="0"/>
  </r>
  <r>
    <s v="ORD-101312"/>
    <x v="258"/>
    <x v="0"/>
    <d v="2024-09-01T00:00:00"/>
    <n v="9"/>
    <s v="CUST-00772"/>
    <x v="1"/>
    <x v="7"/>
    <s v="JH"/>
    <x v="2"/>
    <s v="Ranchi"/>
    <x v="0"/>
    <s v="P201"/>
    <s v="Onion Hair Oil"/>
    <x v="6"/>
    <n v="1"/>
    <n v="349"/>
    <n v="0.25"/>
    <n v="349"/>
    <n v="87.25"/>
    <n v="261.75"/>
    <n v="105"/>
    <n v="105"/>
    <n v="60"/>
    <n v="96.75"/>
    <n v="0.36962750716332377"/>
    <x v="4"/>
    <d v="2024-09-23T00:00:00"/>
    <n v="5"/>
    <x v="2"/>
    <m/>
    <n v="0"/>
  </r>
  <r>
    <s v="ORD-101313"/>
    <x v="258"/>
    <x v="0"/>
    <d v="2024-09-01T00:00:00"/>
    <n v="9"/>
    <s v="CUST-02532"/>
    <x v="0"/>
    <x v="2"/>
    <s v="MH"/>
    <x v="1"/>
    <s v="Mumbai"/>
    <x v="0"/>
    <s v="P204"/>
    <s v="Anti-Dandruff Conditioner"/>
    <x v="6"/>
    <n v="1"/>
    <n v="399"/>
    <n v="0.3"/>
    <n v="399"/>
    <n v="119.69999999999999"/>
    <n v="279.3"/>
    <n v="136"/>
    <n v="136"/>
    <n v="120"/>
    <n v="23.300000000000011"/>
    <n v="8.3422842821339105E-2"/>
    <x v="3"/>
    <d v="2024-09-20T00:00:00"/>
    <n v="2"/>
    <x v="1"/>
    <m/>
    <n v="1"/>
  </r>
  <r>
    <s v="ORD-101314"/>
    <x v="258"/>
    <x v="0"/>
    <d v="2024-09-01T00:00:00"/>
    <n v="9"/>
    <s v="CUST-02154"/>
    <x v="0"/>
    <x v="2"/>
    <s v="MH"/>
    <x v="1"/>
    <s v="Pune"/>
    <x v="2"/>
    <s v="P204"/>
    <s v="Anti-Dandruff Conditioner"/>
    <x v="6"/>
    <n v="1"/>
    <n v="399"/>
    <n v="0.35"/>
    <n v="399"/>
    <n v="139.64999999999998"/>
    <n v="259.35000000000002"/>
    <n v="136"/>
    <n v="136"/>
    <n v="60"/>
    <n v="63.350000000000023"/>
    <n v="0.24426450742240222"/>
    <x v="3"/>
    <d v="2024-09-22T00:00:00"/>
    <n v="4"/>
    <x v="0"/>
    <n v="2"/>
    <n v="0"/>
  </r>
  <r>
    <s v="ORD-101315"/>
    <x v="259"/>
    <x v="0"/>
    <d v="2024-09-01T00:00:00"/>
    <n v="9"/>
    <s v="CUST-00221"/>
    <x v="1"/>
    <x v="16"/>
    <s v="UP"/>
    <x v="0"/>
    <s v="Lucknow"/>
    <x v="4"/>
    <s v="P701"/>
    <s v="Ashwagandha Capsules"/>
    <x v="0"/>
    <n v="3"/>
    <n v="499"/>
    <n v="0.1"/>
    <n v="1497"/>
    <n v="149.70000000000002"/>
    <n v="1347.3"/>
    <n v="150"/>
    <n v="450"/>
    <n v="60"/>
    <n v="837.3"/>
    <n v="0.62146515252727674"/>
    <x v="3"/>
    <d v="2024-09-21T00:00:00"/>
    <n v="2"/>
    <x v="1"/>
    <n v="5"/>
    <n v="0"/>
  </r>
  <r>
    <s v="ORD-101316"/>
    <x v="259"/>
    <x v="0"/>
    <d v="2024-09-01T00:00:00"/>
    <n v="9"/>
    <s v="CUST-01908"/>
    <x v="0"/>
    <x v="16"/>
    <s v="UP"/>
    <x v="0"/>
    <s v="Noida"/>
    <x v="2"/>
    <s v="P504"/>
    <s v="Cotton Bedsheet"/>
    <x v="4"/>
    <n v="4"/>
    <n v="1299"/>
    <n v="0"/>
    <n v="5196"/>
    <n v="0"/>
    <n v="5196"/>
    <n v="585"/>
    <n v="2340"/>
    <n v="60"/>
    <n v="2796"/>
    <n v="0.53810623556581982"/>
    <x v="3"/>
    <d v="2024-09-23T00:00:00"/>
    <n v="4"/>
    <x v="0"/>
    <n v="4"/>
    <n v="0"/>
  </r>
  <r>
    <s v="ORD-101317"/>
    <x v="259"/>
    <x v="0"/>
    <d v="2024-09-01T00:00:00"/>
    <n v="9"/>
    <s v="CUST-01557"/>
    <x v="0"/>
    <x v="17"/>
    <s v="TN"/>
    <x v="3"/>
    <s v="Chennai"/>
    <x v="3"/>
    <s v="P703"/>
    <s v="Green Tea (100 bags)"/>
    <x v="0"/>
    <n v="1"/>
    <n v="399"/>
    <n v="0.45"/>
    <n v="399"/>
    <n v="179.55"/>
    <n v="219.45"/>
    <n v="128"/>
    <n v="128"/>
    <n v="60"/>
    <n v="31.449999999999989"/>
    <n v="0.14331282752335381"/>
    <x v="1"/>
    <d v="2024-09-22T00:00:00"/>
    <n v="3"/>
    <x v="0"/>
    <n v="3"/>
    <n v="0"/>
  </r>
  <r>
    <s v="ORD-101318"/>
    <x v="260"/>
    <x v="0"/>
    <d v="2024-09-01T00:00:00"/>
    <n v="9"/>
    <s v="CUST-00217"/>
    <x v="0"/>
    <x v="6"/>
    <s v="DL"/>
    <x v="0"/>
    <s v="New Delhi"/>
    <x v="0"/>
    <s v="P503"/>
    <s v="Scented Candle Set"/>
    <x v="4"/>
    <n v="1"/>
    <n v="699"/>
    <n v="0.2"/>
    <n v="699"/>
    <n v="139.80000000000001"/>
    <n v="559.20000000000005"/>
    <n v="245"/>
    <n v="245"/>
    <n v="60"/>
    <n v="254.20000000000005"/>
    <n v="0.45457796852646642"/>
    <x v="0"/>
    <d v="2024-09-21T00:00:00"/>
    <n v="1"/>
    <x v="1"/>
    <n v="4"/>
    <n v="0"/>
  </r>
  <r>
    <s v="ORD-101319"/>
    <x v="260"/>
    <x v="0"/>
    <d v="2024-09-01T00:00:00"/>
    <n v="9"/>
    <s v="CUST-02907"/>
    <x v="1"/>
    <x v="6"/>
    <s v="DL"/>
    <x v="0"/>
    <s v="New Delhi"/>
    <x v="2"/>
    <s v="P102"/>
    <s v="Sunscreen SPF 50"/>
    <x v="3"/>
    <n v="2"/>
    <n v="449"/>
    <n v="0"/>
    <n v="898"/>
    <n v="0"/>
    <n v="898"/>
    <n v="144"/>
    <n v="288"/>
    <n v="60"/>
    <n v="550"/>
    <n v="0.61247216035634744"/>
    <x v="2"/>
    <d v="2024-09-22T00:00:00"/>
    <n v="2"/>
    <x v="1"/>
    <n v="3"/>
    <n v="0"/>
  </r>
  <r>
    <s v="ORD-101320"/>
    <x v="260"/>
    <x v="0"/>
    <d v="2024-09-01T00:00:00"/>
    <n v="9"/>
    <s v="CUST-01277"/>
    <x v="0"/>
    <x v="11"/>
    <s v="KA"/>
    <x v="3"/>
    <s v="Mysuru"/>
    <x v="2"/>
    <s v="P203"/>
    <s v="Keratin Hair Mask"/>
    <x v="6"/>
    <n v="1"/>
    <n v="549"/>
    <n v="0.15"/>
    <n v="549"/>
    <n v="82.35"/>
    <n v="466.65"/>
    <n v="170"/>
    <n v="170"/>
    <n v="60"/>
    <n v="236.64999999999998"/>
    <n v="0.50712525447337398"/>
    <x v="0"/>
    <d v="2024-09-23T00:00:00"/>
    <n v="3"/>
    <x v="0"/>
    <m/>
    <n v="0"/>
  </r>
  <r>
    <s v="ORD-101321"/>
    <x v="260"/>
    <x v="0"/>
    <d v="2024-09-01T00:00:00"/>
    <n v="9"/>
    <s v="CUST-02308"/>
    <x v="0"/>
    <x v="17"/>
    <s v="TN"/>
    <x v="3"/>
    <s v="Coimbatore"/>
    <x v="2"/>
    <s v="P602"/>
    <s v="Fast Charger 33W"/>
    <x v="2"/>
    <n v="4"/>
    <n v="899"/>
    <n v="0.1"/>
    <n v="3596"/>
    <n v="359.6"/>
    <n v="3236.4"/>
    <n v="494"/>
    <n v="1976"/>
    <n v="60"/>
    <n v="1200.4000000000001"/>
    <n v="0.37090594487702389"/>
    <x v="3"/>
    <d v="2024-09-24T00:00:00"/>
    <n v="4"/>
    <x v="0"/>
    <m/>
    <n v="0"/>
  </r>
  <r>
    <s v="ORD-101322"/>
    <x v="261"/>
    <x v="0"/>
    <d v="2024-09-01T00:00:00"/>
    <n v="9"/>
    <s v="CUST-01161"/>
    <x v="0"/>
    <x v="19"/>
    <s v="PB"/>
    <x v="0"/>
    <s v="Amritsar"/>
    <x v="4"/>
    <s v="P502"/>
    <s v="Ceramic Dinner Set"/>
    <x v="4"/>
    <n v="2"/>
    <n v="2499"/>
    <n v="0.35"/>
    <n v="4998"/>
    <n v="1749.3"/>
    <n v="3248.7"/>
    <n v="1250"/>
    <n v="2500"/>
    <n v="60"/>
    <n v="688.69999999999982"/>
    <n v="0.21199248930341363"/>
    <x v="2"/>
    <d v="2024-09-22T00:00:00"/>
    <n v="1"/>
    <x v="1"/>
    <n v="5"/>
    <n v="0"/>
  </r>
  <r>
    <s v="ORD-101323"/>
    <x v="261"/>
    <x v="0"/>
    <d v="2024-09-01T00:00:00"/>
    <n v="9"/>
    <s v="CUST-01144"/>
    <x v="0"/>
    <x v="9"/>
    <s v="UK"/>
    <x v="0"/>
    <s v="Dehradun"/>
    <x v="1"/>
    <s v="P404"/>
    <s v="Flip Flops"/>
    <x v="5"/>
    <n v="1"/>
    <n v="399"/>
    <n v="0.15"/>
    <n v="399"/>
    <n v="59.849999999999994"/>
    <n v="339.15"/>
    <n v="152"/>
    <n v="152"/>
    <n v="60"/>
    <n v="127.14999999999998"/>
    <n v="0.37490785787999409"/>
    <x v="0"/>
    <d v="2024-09-24T00:00:00"/>
    <n v="3"/>
    <x v="0"/>
    <n v="4"/>
    <n v="0"/>
  </r>
  <r>
    <s v="ORD-101324"/>
    <x v="261"/>
    <x v="0"/>
    <d v="2024-09-01T00:00:00"/>
    <n v="9"/>
    <s v="CUST-00898"/>
    <x v="1"/>
    <x v="0"/>
    <s v="RJ"/>
    <x v="0"/>
    <s v="Udaipur"/>
    <x v="3"/>
    <s v="P104"/>
    <s v="Hydrating Face Wash"/>
    <x v="3"/>
    <n v="1"/>
    <n v="299"/>
    <n v="0"/>
    <n v="299"/>
    <n v="0"/>
    <n v="299"/>
    <n v="90"/>
    <n v="90"/>
    <n v="60"/>
    <n v="149"/>
    <n v="0.49832775919732442"/>
    <x v="3"/>
    <d v="2024-09-25T00:00:00"/>
    <n v="4"/>
    <x v="0"/>
    <n v="5"/>
    <n v="0"/>
  </r>
  <r>
    <s v="ORD-101325"/>
    <x v="261"/>
    <x v="0"/>
    <d v="2024-09-01T00:00:00"/>
    <n v="9"/>
    <s v="CUST-00886"/>
    <x v="0"/>
    <x v="15"/>
    <s v="HR"/>
    <x v="0"/>
    <s v="Gurugram"/>
    <x v="0"/>
    <s v="P101"/>
    <s v="Vitamin C Face Serum"/>
    <x v="3"/>
    <n v="2"/>
    <n v="599"/>
    <n v="0.25"/>
    <n v="1198"/>
    <n v="299.5"/>
    <n v="898.5"/>
    <n v="180"/>
    <n v="360"/>
    <n v="60"/>
    <n v="478.5"/>
    <n v="0.53255425709515858"/>
    <x v="3"/>
    <d v="2024-09-23T00:00:00"/>
    <n v="2"/>
    <x v="1"/>
    <n v="4"/>
    <n v="0"/>
  </r>
  <r>
    <s v="ORD-101326"/>
    <x v="261"/>
    <x v="0"/>
    <d v="2024-09-01T00:00:00"/>
    <n v="9"/>
    <s v="CUST-00834"/>
    <x v="0"/>
    <x v="16"/>
    <s v="UP"/>
    <x v="0"/>
    <s v="Lucknow"/>
    <x v="2"/>
    <s v="P101"/>
    <s v="Vitamin C Face Serum"/>
    <x v="3"/>
    <n v="1"/>
    <n v="599"/>
    <n v="0.05"/>
    <n v="599"/>
    <n v="29.950000000000003"/>
    <n v="569.04999999999995"/>
    <n v="180"/>
    <n v="180"/>
    <n v="120"/>
    <n v="269.04999999999995"/>
    <n v="0.47280555311484046"/>
    <x v="3"/>
    <d v="2024-09-24T00:00:00"/>
    <n v="3"/>
    <x v="0"/>
    <n v="3"/>
    <n v="1"/>
  </r>
  <r>
    <s v="ORD-101327"/>
    <x v="261"/>
    <x v="0"/>
    <d v="2024-09-01T00:00:00"/>
    <n v="9"/>
    <s v="CUST-00665"/>
    <x v="0"/>
    <x v="2"/>
    <s v="MH"/>
    <x v="1"/>
    <s v="Mumbai"/>
    <x v="1"/>
    <s v="P404"/>
    <s v="Flip Flops"/>
    <x v="5"/>
    <n v="1"/>
    <n v="399"/>
    <n v="0.05"/>
    <n v="399"/>
    <n v="19.950000000000003"/>
    <n v="379.05"/>
    <n v="152"/>
    <n v="152"/>
    <n v="60"/>
    <n v="167.05"/>
    <n v="0.44070703073473161"/>
    <x v="2"/>
    <d v="2024-09-22T00:00:00"/>
    <n v="1"/>
    <x v="1"/>
    <n v="5"/>
    <n v="0"/>
  </r>
  <r>
    <s v="ORD-101328"/>
    <x v="261"/>
    <x v="0"/>
    <d v="2024-09-01T00:00:00"/>
    <n v="9"/>
    <s v="CUST-01770"/>
    <x v="0"/>
    <x v="3"/>
    <s v="OD"/>
    <x v="2"/>
    <s v="Bhubaneswar"/>
    <x v="2"/>
    <s v="P104"/>
    <s v="Hydrating Face Wash"/>
    <x v="3"/>
    <n v="3"/>
    <n v="299"/>
    <n v="0"/>
    <n v="897"/>
    <n v="0"/>
    <n v="897"/>
    <n v="90"/>
    <n v="270"/>
    <n v="60"/>
    <n v="567"/>
    <n v="0.63210702341137126"/>
    <x v="2"/>
    <d v="2024-09-24T00:00:00"/>
    <n v="3"/>
    <x v="0"/>
    <n v="3"/>
    <n v="0"/>
  </r>
  <r>
    <s v="ORD-101329"/>
    <x v="262"/>
    <x v="0"/>
    <d v="2024-09-01T00:00:00"/>
    <n v="9"/>
    <s v="CUST-00810"/>
    <x v="1"/>
    <x v="19"/>
    <s v="PB"/>
    <x v="0"/>
    <s v="Ludhiana"/>
    <x v="0"/>
    <s v="P404"/>
    <s v="Flip Flops"/>
    <x v="5"/>
    <n v="1"/>
    <n v="399"/>
    <n v="0.05"/>
    <n v="399"/>
    <n v="19.950000000000003"/>
    <n v="379.05"/>
    <n v="152"/>
    <n v="152"/>
    <n v="60"/>
    <n v="167.05"/>
    <n v="0.44070703073473161"/>
    <x v="1"/>
    <d v="2024-09-25T00:00:00"/>
    <n v="3"/>
    <x v="0"/>
    <n v="5"/>
    <n v="0"/>
  </r>
  <r>
    <s v="ORD-101330"/>
    <x v="262"/>
    <x v="0"/>
    <d v="2024-09-01T00:00:00"/>
    <n v="9"/>
    <s v="CUST-01169"/>
    <x v="1"/>
    <x v="0"/>
    <s v="RJ"/>
    <x v="0"/>
    <s v="Udaipur"/>
    <x v="3"/>
    <s v="P103"/>
    <s v="Niacinamide Toner"/>
    <x v="3"/>
    <n v="1"/>
    <n v="399"/>
    <n v="0.2"/>
    <n v="399"/>
    <n v="79.800000000000011"/>
    <n v="319.2"/>
    <n v="112"/>
    <n v="112"/>
    <n v="60"/>
    <n v="147.19999999999999"/>
    <n v="0.46115288220551376"/>
    <x v="0"/>
    <d v="2024-09-23T00:00:00"/>
    <n v="1"/>
    <x v="1"/>
    <n v="5"/>
    <n v="0"/>
  </r>
  <r>
    <s v="ORD-101331"/>
    <x v="262"/>
    <x v="0"/>
    <d v="2024-09-01T00:00:00"/>
    <n v="9"/>
    <s v="CUST-01094"/>
    <x v="1"/>
    <x v="16"/>
    <s v="UP"/>
    <x v="0"/>
    <s v="Kanpur"/>
    <x v="2"/>
    <s v="P602"/>
    <s v="Fast Charger 33W"/>
    <x v="2"/>
    <n v="1"/>
    <n v="899"/>
    <n v="0.1"/>
    <n v="899"/>
    <n v="89.9"/>
    <n v="809.1"/>
    <n v="494"/>
    <n v="494"/>
    <n v="60"/>
    <n v="255.10000000000002"/>
    <n v="0.31528859226300832"/>
    <x v="0"/>
    <d v="2024-09-25T00:00:00"/>
    <n v="3"/>
    <x v="0"/>
    <m/>
    <n v="0"/>
  </r>
  <r>
    <s v="ORD-101332"/>
    <x v="262"/>
    <x v="0"/>
    <d v="2024-09-01T00:00:00"/>
    <n v="9"/>
    <s v="CUST-01021"/>
    <x v="1"/>
    <x v="2"/>
    <s v="MH"/>
    <x v="1"/>
    <s v="Mumbai"/>
    <x v="1"/>
    <s v="P304"/>
    <s v="Denim Jacket"/>
    <x v="1"/>
    <n v="1"/>
    <n v="2499"/>
    <n v="0.05"/>
    <n v="2499"/>
    <n v="124.95"/>
    <n v="2374.0500000000002"/>
    <n v="1125"/>
    <n v="1125"/>
    <n v="60"/>
    <n v="1189.0500000000002"/>
    <n v="0.50085297276805463"/>
    <x v="0"/>
    <d v="2024-09-25T00:00:00"/>
    <n v="3"/>
    <x v="0"/>
    <m/>
    <n v="0"/>
  </r>
  <r>
    <s v="ORD-101333"/>
    <x v="262"/>
    <x v="0"/>
    <d v="2024-09-01T00:00:00"/>
    <n v="9"/>
    <s v="CUST-00761"/>
    <x v="0"/>
    <x v="2"/>
    <s v="MH"/>
    <x v="1"/>
    <s v="Pune"/>
    <x v="1"/>
    <s v="P402"/>
    <s v="Casual Sneakers"/>
    <x v="5"/>
    <n v="1"/>
    <n v="2199"/>
    <n v="0.2"/>
    <n v="2199"/>
    <n v="439.8"/>
    <n v="1759.2"/>
    <n v="1034"/>
    <n v="1034"/>
    <n v="60"/>
    <n v="665.2"/>
    <n v="0.37812642110050027"/>
    <x v="0"/>
    <d v="2024-09-25T00:00:00"/>
    <n v="3"/>
    <x v="0"/>
    <n v="5"/>
    <n v="0"/>
  </r>
  <r>
    <s v="ORD-101334"/>
    <x v="262"/>
    <x v="0"/>
    <d v="2024-09-01T00:00:00"/>
    <n v="9"/>
    <s v="CUST-00261"/>
    <x v="0"/>
    <x v="21"/>
    <s v="TG"/>
    <x v="3"/>
    <s v="Hyderabad"/>
    <x v="4"/>
    <s v="P403"/>
    <s v="Kolhapuri Sandals"/>
    <x v="5"/>
    <n v="1"/>
    <n v="999"/>
    <n v="0.15"/>
    <n v="999"/>
    <n v="149.85"/>
    <n v="849.15"/>
    <n v="400"/>
    <n v="400"/>
    <n v="60"/>
    <n v="389.15"/>
    <n v="0.45828181122298767"/>
    <x v="4"/>
    <d v="2024-09-24T00:00:00"/>
    <n v="2"/>
    <x v="1"/>
    <m/>
    <n v="0"/>
  </r>
  <r>
    <s v="ORD-101335"/>
    <x v="262"/>
    <x v="0"/>
    <d v="2024-09-01T00:00:00"/>
    <n v="9"/>
    <s v="CUST-01006"/>
    <x v="1"/>
    <x v="20"/>
    <s v="GA"/>
    <x v="1"/>
    <s v="Panaji"/>
    <x v="0"/>
    <s v="P103"/>
    <s v="Niacinamide Toner"/>
    <x v="3"/>
    <n v="1"/>
    <n v="399"/>
    <n v="0.2"/>
    <n v="399"/>
    <n v="79.800000000000011"/>
    <n v="319.2"/>
    <n v="112"/>
    <n v="112"/>
    <n v="60"/>
    <n v="147.19999999999999"/>
    <n v="0.46115288220551376"/>
    <x v="1"/>
    <d v="2024-09-27T00:00:00"/>
    <n v="5"/>
    <x v="2"/>
    <n v="3"/>
    <n v="0"/>
  </r>
  <r>
    <s v="ORD-101336"/>
    <x v="262"/>
    <x v="0"/>
    <d v="2024-09-01T00:00:00"/>
    <n v="9"/>
    <s v="CUST-01002"/>
    <x v="0"/>
    <x v="11"/>
    <s v="KA"/>
    <x v="3"/>
    <s v="Mysuru"/>
    <x v="1"/>
    <s v="P404"/>
    <s v="Flip Flops"/>
    <x v="5"/>
    <n v="3"/>
    <n v="399"/>
    <n v="0.15"/>
    <n v="1197"/>
    <n v="179.54999999999998"/>
    <n v="1017.45"/>
    <n v="152"/>
    <n v="456"/>
    <n v="60"/>
    <n v="501.45000000000005"/>
    <n v="0.49284977148754239"/>
    <x v="1"/>
    <d v="2024-09-23T00:00:00"/>
    <n v="1"/>
    <x v="1"/>
    <n v="5"/>
    <n v="0"/>
  </r>
  <r>
    <s v="ORD-101337"/>
    <x v="262"/>
    <x v="0"/>
    <d v="2024-09-01T00:00:00"/>
    <n v="9"/>
    <s v="CUST-00923"/>
    <x v="0"/>
    <x v="14"/>
    <s v="KL"/>
    <x v="3"/>
    <s v="Kochi"/>
    <x v="2"/>
    <s v="P302"/>
    <s v="Linen Kurta"/>
    <x v="1"/>
    <n v="1"/>
    <n v="1499"/>
    <n v="0.2"/>
    <n v="1499"/>
    <n v="299.8"/>
    <n v="1199.2"/>
    <n v="630"/>
    <n v="630"/>
    <n v="60"/>
    <n v="509.20000000000005"/>
    <n v="0.42461641094062713"/>
    <x v="0"/>
    <d v="2024-09-26T00:00:00"/>
    <n v="4"/>
    <x v="0"/>
    <m/>
    <n v="0"/>
  </r>
  <r>
    <s v="ORD-101338"/>
    <x v="262"/>
    <x v="0"/>
    <d v="2024-09-01T00:00:00"/>
    <n v="9"/>
    <s v="CUST-00639"/>
    <x v="0"/>
    <x v="17"/>
    <s v="TN"/>
    <x v="3"/>
    <s v="Coimbatore"/>
    <x v="4"/>
    <s v="P103"/>
    <s v="Niacinamide Toner"/>
    <x v="3"/>
    <n v="2"/>
    <n v="399"/>
    <n v="0.3"/>
    <n v="798"/>
    <n v="239.39999999999998"/>
    <n v="558.6"/>
    <n v="112"/>
    <n v="224"/>
    <n v="60"/>
    <n v="274.60000000000002"/>
    <n v="0.49158610812746151"/>
    <x v="1"/>
    <d v="2024-09-25T00:00:00"/>
    <n v="3"/>
    <x v="0"/>
    <n v="4"/>
    <n v="0"/>
  </r>
  <r>
    <s v="ORD-101339"/>
    <x v="263"/>
    <x v="0"/>
    <d v="2024-09-01T00:00:00"/>
    <n v="9"/>
    <s v="CUST-01008"/>
    <x v="0"/>
    <x v="2"/>
    <s v="MH"/>
    <x v="1"/>
    <s v="Mumbai"/>
    <x v="0"/>
    <s v="P404"/>
    <s v="Flip Flops"/>
    <x v="5"/>
    <n v="2"/>
    <n v="399"/>
    <n v="0.05"/>
    <n v="798"/>
    <n v="39.900000000000006"/>
    <n v="758.1"/>
    <n v="152"/>
    <n v="304"/>
    <n v="60"/>
    <n v="394.1"/>
    <n v="0.51985226223453374"/>
    <x v="1"/>
    <d v="2024-09-25T00:00:00"/>
    <n v="2"/>
    <x v="1"/>
    <n v="5"/>
    <n v="0"/>
  </r>
  <r>
    <s v="ORD-101340"/>
    <x v="263"/>
    <x v="0"/>
    <d v="2024-09-01T00:00:00"/>
    <n v="9"/>
    <s v="CUST-03132"/>
    <x v="0"/>
    <x v="2"/>
    <s v="MH"/>
    <x v="1"/>
    <s v="Pune"/>
    <x v="0"/>
    <s v="P503"/>
    <s v="Scented Candle Set"/>
    <x v="4"/>
    <n v="1"/>
    <n v="699"/>
    <n v="0.2"/>
    <n v="699"/>
    <n v="139.80000000000001"/>
    <n v="559.20000000000005"/>
    <n v="245"/>
    <n v="245"/>
    <n v="60"/>
    <n v="254.20000000000005"/>
    <n v="0.45457796852646642"/>
    <x v="0"/>
    <d v="2024-09-28T00:00:00"/>
    <n v="5"/>
    <x v="2"/>
    <n v="4"/>
    <n v="0"/>
  </r>
  <r>
    <s v="ORD-101341"/>
    <x v="263"/>
    <x v="0"/>
    <d v="2024-09-01T00:00:00"/>
    <n v="9"/>
    <s v="CUST-00306"/>
    <x v="0"/>
    <x v="21"/>
    <s v="TG"/>
    <x v="3"/>
    <s v="Hyderabad"/>
    <x v="4"/>
    <s v="P203"/>
    <s v="Keratin Hair Mask"/>
    <x v="6"/>
    <n v="1"/>
    <n v="549"/>
    <n v="0.2"/>
    <n v="549"/>
    <n v="109.80000000000001"/>
    <n v="439.2"/>
    <n v="170"/>
    <n v="170"/>
    <n v="60"/>
    <n v="209.2"/>
    <n v="0.47632058287795992"/>
    <x v="0"/>
    <d v="2024-09-26T00:00:00"/>
    <n v="3"/>
    <x v="0"/>
    <m/>
    <n v="0"/>
  </r>
  <r>
    <s v="ORD-101342"/>
    <x v="263"/>
    <x v="0"/>
    <d v="2024-09-01T00:00:00"/>
    <n v="9"/>
    <s v="CUST-00798"/>
    <x v="1"/>
    <x v="11"/>
    <s v="KA"/>
    <x v="3"/>
    <s v="Mysuru"/>
    <x v="4"/>
    <s v="P704"/>
    <s v="Multivitamin Gummies"/>
    <x v="0"/>
    <n v="2"/>
    <n v="699"/>
    <n v="0.2"/>
    <n v="1398"/>
    <n v="279.60000000000002"/>
    <n v="1118.4000000000001"/>
    <n v="238"/>
    <n v="476"/>
    <n v="60"/>
    <n v="582.40000000000009"/>
    <n v="0.5207439198855508"/>
    <x v="0"/>
    <d v="2024-09-24T00:00:00"/>
    <n v="1"/>
    <x v="1"/>
    <n v="5"/>
    <n v="0"/>
  </r>
  <r>
    <s v="ORD-101343"/>
    <x v="263"/>
    <x v="0"/>
    <d v="2024-09-01T00:00:00"/>
    <n v="9"/>
    <s v="CUST-00890"/>
    <x v="0"/>
    <x v="8"/>
    <s v="AP"/>
    <x v="3"/>
    <s v="Vijayawada"/>
    <x v="4"/>
    <s v="P203"/>
    <s v="Keratin Hair Mask"/>
    <x v="6"/>
    <n v="1"/>
    <n v="549"/>
    <n v="0.1"/>
    <n v="549"/>
    <n v="54.900000000000006"/>
    <n v="494.1"/>
    <n v="170"/>
    <n v="170"/>
    <n v="60"/>
    <n v="264.10000000000002"/>
    <n v="0.53450718478040882"/>
    <x v="0"/>
    <d v="2024-09-28T00:00:00"/>
    <n v="5"/>
    <x v="2"/>
    <m/>
    <n v="0"/>
  </r>
  <r>
    <s v="ORD-101344"/>
    <x v="264"/>
    <x v="0"/>
    <d v="2024-09-01T00:00:00"/>
    <n v="9"/>
    <s v="CUST-02656"/>
    <x v="0"/>
    <x v="15"/>
    <s v="HR"/>
    <x v="0"/>
    <s v="Gurugram"/>
    <x v="0"/>
    <s v="P103"/>
    <s v="Niacinamide Toner"/>
    <x v="3"/>
    <n v="1"/>
    <n v="399"/>
    <n v="0.2"/>
    <n v="399"/>
    <n v="79.800000000000011"/>
    <n v="319.2"/>
    <n v="112"/>
    <n v="112"/>
    <n v="60"/>
    <n v="147.19999999999999"/>
    <n v="0.46115288220551376"/>
    <x v="1"/>
    <d v="2024-09-27T00:00:00"/>
    <n v="3"/>
    <x v="0"/>
    <n v="5"/>
    <n v="0"/>
  </r>
  <r>
    <s v="ORD-101345"/>
    <x v="264"/>
    <x v="0"/>
    <d v="2024-09-01T00:00:00"/>
    <n v="9"/>
    <s v="CUST-00139"/>
    <x v="0"/>
    <x v="15"/>
    <s v="HR"/>
    <x v="0"/>
    <s v="Faridabad"/>
    <x v="3"/>
    <s v="P104"/>
    <s v="Hydrating Face Wash"/>
    <x v="3"/>
    <n v="1"/>
    <n v="299"/>
    <n v="0.1"/>
    <n v="299"/>
    <n v="29.900000000000002"/>
    <n v="269.10000000000002"/>
    <n v="90"/>
    <n v="90"/>
    <n v="60"/>
    <n v="119.10000000000002"/>
    <n v="0.4425863991081383"/>
    <x v="0"/>
    <d v="2024-09-29T00:00:00"/>
    <n v="5"/>
    <x v="2"/>
    <n v="4"/>
    <n v="0"/>
  </r>
  <r>
    <s v="ORD-101346"/>
    <x v="264"/>
    <x v="0"/>
    <d v="2024-09-01T00:00:00"/>
    <n v="9"/>
    <s v="CUST-00334"/>
    <x v="0"/>
    <x v="1"/>
    <s v="GJ"/>
    <x v="1"/>
    <s v="Ahmedabad"/>
    <x v="2"/>
    <s v="P301"/>
    <s v="Cotton Oversized T-Shirt"/>
    <x v="1"/>
    <n v="2"/>
    <n v="799"/>
    <n v="0"/>
    <n v="1598"/>
    <n v="0"/>
    <n v="1598"/>
    <n v="320"/>
    <n v="640"/>
    <n v="60"/>
    <n v="898"/>
    <n v="0.56195244055068838"/>
    <x v="0"/>
    <d v="2024-09-26T00:00:00"/>
    <n v="2"/>
    <x v="1"/>
    <n v="5"/>
    <n v="0"/>
  </r>
  <r>
    <s v="ORD-101347"/>
    <x v="264"/>
    <x v="0"/>
    <d v="2024-09-01T00:00:00"/>
    <n v="9"/>
    <s v="CUST-00004"/>
    <x v="1"/>
    <x v="18"/>
    <s v="WB"/>
    <x v="2"/>
    <s v="Kolkata"/>
    <x v="0"/>
    <s v="P203"/>
    <s v="Keratin Hair Mask"/>
    <x v="6"/>
    <n v="2"/>
    <n v="549"/>
    <n v="0.1"/>
    <n v="1098"/>
    <n v="109.80000000000001"/>
    <n v="988.2"/>
    <n v="170"/>
    <n v="340"/>
    <n v="120"/>
    <n v="528.20000000000005"/>
    <n v="0.53450718478040882"/>
    <x v="3"/>
    <d v="2024-09-29T00:00:00"/>
    <n v="5"/>
    <x v="2"/>
    <n v="3"/>
    <n v="1"/>
  </r>
  <r>
    <s v="ORD-101348"/>
    <x v="264"/>
    <x v="0"/>
    <d v="2024-09-01T00:00:00"/>
    <n v="9"/>
    <s v="CUST-02687"/>
    <x v="1"/>
    <x v="2"/>
    <s v="MH"/>
    <x v="1"/>
    <s v="Nagpur"/>
    <x v="2"/>
    <s v="P202"/>
    <s v="Argan Shampoo"/>
    <x v="6"/>
    <n v="1"/>
    <n v="449"/>
    <n v="0"/>
    <n v="449"/>
    <n v="0"/>
    <n v="449"/>
    <n v="148"/>
    <n v="148"/>
    <n v="60"/>
    <n v="241"/>
    <n v="0.53674832962138086"/>
    <x v="0"/>
    <d v="2024-09-28T00:00:00"/>
    <n v="4"/>
    <x v="0"/>
    <n v="4"/>
    <n v="0"/>
  </r>
  <r>
    <s v="ORD-101349"/>
    <x v="264"/>
    <x v="0"/>
    <d v="2024-09-01T00:00:00"/>
    <n v="9"/>
    <s v="CUST-02530"/>
    <x v="0"/>
    <x v="11"/>
    <s v="KA"/>
    <x v="3"/>
    <s v="Bengaluru"/>
    <x v="2"/>
    <s v="P301"/>
    <s v="Cotton Oversized T-Shirt"/>
    <x v="1"/>
    <n v="1"/>
    <n v="799"/>
    <n v="0"/>
    <n v="799"/>
    <n v="0"/>
    <n v="799"/>
    <n v="320"/>
    <n v="320"/>
    <n v="60"/>
    <n v="419"/>
    <n v="0.52440550688360454"/>
    <x v="1"/>
    <d v="2024-09-26T00:00:00"/>
    <n v="2"/>
    <x v="1"/>
    <m/>
    <n v="0"/>
  </r>
  <r>
    <s v="ORD-101350"/>
    <x v="264"/>
    <x v="0"/>
    <d v="2024-09-01T00:00:00"/>
    <n v="9"/>
    <s v="CUST-02774"/>
    <x v="0"/>
    <x v="17"/>
    <s v="TN"/>
    <x v="3"/>
    <s v="Coimbatore"/>
    <x v="0"/>
    <s v="P602"/>
    <s v="Fast Charger 33W"/>
    <x v="2"/>
    <n v="1"/>
    <n v="899"/>
    <n v="0.1"/>
    <n v="899"/>
    <n v="89.9"/>
    <n v="809.1"/>
    <n v="494"/>
    <n v="494"/>
    <n v="120"/>
    <n v="195.10000000000002"/>
    <n v="0.24113212211098753"/>
    <x v="4"/>
    <d v="2024-09-26T00:00:00"/>
    <n v="2"/>
    <x v="1"/>
    <n v="5"/>
    <n v="1"/>
  </r>
  <r>
    <s v="ORD-101351"/>
    <x v="265"/>
    <x v="0"/>
    <d v="2024-09-01T00:00:00"/>
    <n v="9"/>
    <s v="CUST-01369"/>
    <x v="0"/>
    <x v="15"/>
    <s v="HR"/>
    <x v="0"/>
    <s v="Gurugram"/>
    <x v="0"/>
    <s v="P601"/>
    <s v="Wireless Earbuds"/>
    <x v="2"/>
    <n v="2"/>
    <n v="1999"/>
    <n v="0.35"/>
    <n v="3998"/>
    <n v="1399.3"/>
    <n v="2598.6999999999998"/>
    <n v="1239"/>
    <n v="2478"/>
    <n v="60"/>
    <n v="60.699999999999818"/>
    <n v="2.3357832762535044E-2"/>
    <x v="1"/>
    <d v="2024-09-29T00:00:00"/>
    <n v="4"/>
    <x v="0"/>
    <n v="3"/>
    <n v="0"/>
  </r>
  <r>
    <s v="ORD-101352"/>
    <x v="265"/>
    <x v="0"/>
    <d v="2024-09-01T00:00:00"/>
    <n v="9"/>
    <s v="CUST-01471"/>
    <x v="0"/>
    <x v="1"/>
    <s v="GJ"/>
    <x v="1"/>
    <s v="Ahmedabad"/>
    <x v="2"/>
    <s v="P702"/>
    <s v="Whey Protein 1kg"/>
    <x v="0"/>
    <n v="4"/>
    <n v="2299"/>
    <n v="0.3"/>
    <n v="9196"/>
    <n v="2758.7999999999997"/>
    <n v="6437.2000000000007"/>
    <n v="1333"/>
    <n v="5332"/>
    <n v="120"/>
    <n v="985.20000000000073"/>
    <n v="0.15304790902877036"/>
    <x v="3"/>
    <d v="2024-09-29T00:00:00"/>
    <n v="4"/>
    <x v="0"/>
    <m/>
    <n v="1"/>
  </r>
  <r>
    <s v="ORD-101353"/>
    <x v="265"/>
    <x v="0"/>
    <d v="2024-09-01T00:00:00"/>
    <n v="9"/>
    <s v="CUST-02652"/>
    <x v="0"/>
    <x v="17"/>
    <s v="TN"/>
    <x v="3"/>
    <s v="Coimbatore"/>
    <x v="2"/>
    <s v="P105"/>
    <s v="Retinol Night Cream"/>
    <x v="3"/>
    <n v="1"/>
    <n v="799"/>
    <n v="0.1"/>
    <n v="799"/>
    <n v="79.900000000000006"/>
    <n v="719.1"/>
    <n v="216"/>
    <n v="216"/>
    <n v="60"/>
    <n v="443.1"/>
    <n v="0.61618690029203171"/>
    <x v="0"/>
    <d v="2024-09-27T00:00:00"/>
    <n v="2"/>
    <x v="1"/>
    <n v="4"/>
    <n v="0"/>
  </r>
  <r>
    <s v="ORD-101354"/>
    <x v="266"/>
    <x v="0"/>
    <d v="2024-09-01T00:00:00"/>
    <n v="9"/>
    <s v="CUST-00286"/>
    <x v="1"/>
    <x v="16"/>
    <s v="UP"/>
    <x v="0"/>
    <s v="Kanpur"/>
    <x v="0"/>
    <s v="P103"/>
    <s v="Niacinamide Toner"/>
    <x v="3"/>
    <n v="1"/>
    <n v="399"/>
    <n v="0.25"/>
    <n v="399"/>
    <n v="99.75"/>
    <n v="299.25"/>
    <n v="112"/>
    <n v="112"/>
    <n v="60"/>
    <n v="127.25"/>
    <n v="0.42522974101921468"/>
    <x v="3"/>
    <d v="2024-09-30T00:00:00"/>
    <n v="4"/>
    <x v="0"/>
    <m/>
    <n v="0"/>
  </r>
  <r>
    <s v="ORD-101355"/>
    <x v="267"/>
    <x v="0"/>
    <d v="2024-09-01T00:00:00"/>
    <n v="9"/>
    <s v="CUST-01162"/>
    <x v="0"/>
    <x v="6"/>
    <s v="DL"/>
    <x v="0"/>
    <s v="New Delhi"/>
    <x v="4"/>
    <s v="P601"/>
    <s v="Wireless Earbuds"/>
    <x v="2"/>
    <n v="3"/>
    <n v="1999"/>
    <n v="0.4"/>
    <n v="5997"/>
    <n v="2398.8000000000002"/>
    <n v="3598.2"/>
    <n v="1239"/>
    <n v="3717"/>
    <n v="60"/>
    <n v="-178.80000000000018"/>
    <n v="-4.9691512422878156E-2"/>
    <x v="0"/>
    <d v="2024-09-29T00:00:00"/>
    <n v="2"/>
    <x v="1"/>
    <n v="5"/>
    <n v="0"/>
  </r>
  <r>
    <s v="ORD-101356"/>
    <x v="267"/>
    <x v="0"/>
    <d v="2024-09-01T00:00:00"/>
    <n v="9"/>
    <s v="CUST-02816"/>
    <x v="0"/>
    <x v="6"/>
    <s v="DL"/>
    <x v="0"/>
    <s v="New Delhi"/>
    <x v="1"/>
    <s v="P301"/>
    <s v="Cotton Oversized T-Shirt"/>
    <x v="1"/>
    <n v="2"/>
    <n v="799"/>
    <n v="0"/>
    <n v="1598"/>
    <n v="0"/>
    <n v="1598"/>
    <n v="320"/>
    <n v="640"/>
    <n v="120"/>
    <n v="838"/>
    <n v="0.52440550688360454"/>
    <x v="0"/>
    <d v="2024-09-28T00:00:00"/>
    <n v="1"/>
    <x v="1"/>
    <n v="5"/>
    <n v="1"/>
  </r>
  <r>
    <s v="ORD-101357"/>
    <x v="267"/>
    <x v="0"/>
    <d v="2024-09-01T00:00:00"/>
    <n v="9"/>
    <s v="CUST-01053"/>
    <x v="0"/>
    <x v="16"/>
    <s v="UP"/>
    <x v="0"/>
    <s v="Noida"/>
    <x v="2"/>
    <s v="P501"/>
    <s v="Copper Water Bottle"/>
    <x v="4"/>
    <n v="1"/>
    <n v="899"/>
    <n v="0"/>
    <n v="899"/>
    <n v="0"/>
    <n v="899"/>
    <n v="378"/>
    <n v="378"/>
    <n v="60"/>
    <n v="461"/>
    <n v="0.51279199110122353"/>
    <x v="0"/>
    <d v="2024-10-02T00:00:00"/>
    <n v="5"/>
    <x v="2"/>
    <n v="4"/>
    <n v="0"/>
  </r>
  <r>
    <s v="ORD-101358"/>
    <x v="267"/>
    <x v="0"/>
    <d v="2024-09-01T00:00:00"/>
    <n v="9"/>
    <s v="CUST-00180"/>
    <x v="0"/>
    <x v="13"/>
    <s v="MP"/>
    <x v="1"/>
    <s v="Indore"/>
    <x v="4"/>
    <s v="P204"/>
    <s v="Anti-Dandruff Conditioner"/>
    <x v="6"/>
    <n v="2"/>
    <n v="399"/>
    <n v="0.4"/>
    <n v="798"/>
    <n v="319.20000000000005"/>
    <n v="478.79999999999995"/>
    <n v="136"/>
    <n v="272"/>
    <n v="60"/>
    <n v="146.79999999999995"/>
    <n v="0.30659983291562232"/>
    <x v="0"/>
    <d v="2024-09-30T00:00:00"/>
    <n v="3"/>
    <x v="0"/>
    <n v="3"/>
    <n v="0"/>
  </r>
  <r>
    <s v="ORD-101359"/>
    <x v="267"/>
    <x v="0"/>
    <d v="2024-09-01T00:00:00"/>
    <n v="9"/>
    <s v="CUST-02104"/>
    <x v="0"/>
    <x v="18"/>
    <s v="WB"/>
    <x v="2"/>
    <s v="Kolkata"/>
    <x v="4"/>
    <s v="P103"/>
    <s v="Niacinamide Toner"/>
    <x v="3"/>
    <n v="1"/>
    <n v="399"/>
    <n v="0.25"/>
    <n v="399"/>
    <n v="99.75"/>
    <n v="299.25"/>
    <n v="112"/>
    <n v="112"/>
    <n v="60"/>
    <n v="127.25"/>
    <n v="0.42522974101921468"/>
    <x v="0"/>
    <d v="2024-09-30T00:00:00"/>
    <n v="3"/>
    <x v="0"/>
    <n v="4"/>
    <n v="0"/>
  </r>
  <r>
    <s v="ORD-101360"/>
    <x v="267"/>
    <x v="0"/>
    <d v="2024-09-01T00:00:00"/>
    <n v="9"/>
    <s v="CUST-01104"/>
    <x v="0"/>
    <x v="3"/>
    <s v="OD"/>
    <x v="2"/>
    <s v="Bhubaneswar"/>
    <x v="0"/>
    <s v="P302"/>
    <s v="Linen Kurta"/>
    <x v="1"/>
    <n v="2"/>
    <n v="1499"/>
    <n v="0.3"/>
    <n v="2998"/>
    <n v="899.4"/>
    <n v="2098.6"/>
    <n v="630"/>
    <n v="1260"/>
    <n v="60"/>
    <n v="778.59999999999991"/>
    <n v="0.3710092442580768"/>
    <x v="0"/>
    <d v="2024-10-03T00:00:00"/>
    <n v="6"/>
    <x v="2"/>
    <n v="3"/>
    <n v="0"/>
  </r>
  <r>
    <s v="ORD-101361"/>
    <x v="267"/>
    <x v="0"/>
    <d v="2024-09-01T00:00:00"/>
    <n v="9"/>
    <s v="CUST-00137"/>
    <x v="1"/>
    <x v="11"/>
    <s v="KA"/>
    <x v="3"/>
    <s v="Mysuru"/>
    <x v="0"/>
    <s v="P103"/>
    <s v="Niacinamide Toner"/>
    <x v="3"/>
    <n v="1"/>
    <n v="399"/>
    <n v="0.25"/>
    <n v="399"/>
    <n v="99.75"/>
    <n v="299.25"/>
    <n v="112"/>
    <n v="112"/>
    <n v="60"/>
    <n v="127.25"/>
    <n v="0.42522974101921468"/>
    <x v="0"/>
    <d v="2024-09-29T00:00:00"/>
    <n v="2"/>
    <x v="1"/>
    <n v="4"/>
    <n v="0"/>
  </r>
  <r>
    <s v="ORD-101362"/>
    <x v="267"/>
    <x v="0"/>
    <d v="2024-09-01T00:00:00"/>
    <n v="9"/>
    <s v="CUST-00683"/>
    <x v="1"/>
    <x v="11"/>
    <s v="KA"/>
    <x v="3"/>
    <s v="Mysuru"/>
    <x v="2"/>
    <s v="P304"/>
    <s v="Denim Jacket"/>
    <x v="1"/>
    <n v="1"/>
    <n v="2499"/>
    <n v="0"/>
    <n v="2499"/>
    <n v="0"/>
    <n v="2499"/>
    <n v="1125"/>
    <n v="1125"/>
    <n v="60"/>
    <n v="1314"/>
    <n v="0.5258103241296519"/>
    <x v="3"/>
    <d v="2024-09-29T00:00:00"/>
    <n v="2"/>
    <x v="1"/>
    <n v="5"/>
    <n v="0"/>
  </r>
  <r>
    <s v="ORD-101363"/>
    <x v="267"/>
    <x v="0"/>
    <d v="2024-09-01T00:00:00"/>
    <n v="9"/>
    <s v="CUST-00530"/>
    <x v="1"/>
    <x v="11"/>
    <s v="KA"/>
    <x v="3"/>
    <s v="Mysuru"/>
    <x v="0"/>
    <s v="P303"/>
    <s v="Joggers"/>
    <x v="1"/>
    <n v="1"/>
    <n v="1199"/>
    <n v="0.2"/>
    <n v="1199"/>
    <n v="239.8"/>
    <n v="959.2"/>
    <n v="492"/>
    <n v="492"/>
    <n v="60"/>
    <n v="407.20000000000005"/>
    <n v="0.42452043369474562"/>
    <x v="3"/>
    <d v="2024-09-29T00:00:00"/>
    <n v="2"/>
    <x v="1"/>
    <n v="4"/>
    <n v="0"/>
  </r>
  <r>
    <s v="ORD-101364"/>
    <x v="268"/>
    <x v="0"/>
    <d v="2024-09-01T00:00:00"/>
    <n v="9"/>
    <s v="CUST-01008"/>
    <x v="1"/>
    <x v="1"/>
    <s v="GJ"/>
    <x v="1"/>
    <s v="Ahmedabad"/>
    <x v="3"/>
    <s v="P102"/>
    <s v="Sunscreen SPF 50"/>
    <x v="3"/>
    <n v="1"/>
    <n v="449"/>
    <n v="0.1"/>
    <n v="449"/>
    <n v="44.900000000000006"/>
    <n v="404.1"/>
    <n v="144"/>
    <n v="144"/>
    <n v="60"/>
    <n v="200.10000000000002"/>
    <n v="0.4951744617668894"/>
    <x v="4"/>
    <d v="2024-09-30T00:00:00"/>
    <n v="2"/>
    <x v="1"/>
    <m/>
    <n v="0"/>
  </r>
  <r>
    <s v="ORD-101365"/>
    <x v="268"/>
    <x v="0"/>
    <d v="2024-09-01T00:00:00"/>
    <n v="9"/>
    <s v="CUST-02975"/>
    <x v="0"/>
    <x v="13"/>
    <s v="MP"/>
    <x v="1"/>
    <s v="Indore"/>
    <x v="3"/>
    <s v="P701"/>
    <s v="Ashwagandha Capsules"/>
    <x v="0"/>
    <n v="2"/>
    <n v="499"/>
    <n v="0.1"/>
    <n v="998"/>
    <n v="99.800000000000011"/>
    <n v="898.2"/>
    <n v="150"/>
    <n v="300"/>
    <n v="120"/>
    <n v="478.20000000000005"/>
    <n v="0.53239812959251842"/>
    <x v="3"/>
    <d v="2024-10-01T00:00:00"/>
    <n v="3"/>
    <x v="0"/>
    <n v="4"/>
    <n v="1"/>
  </r>
  <r>
    <s v="ORD-101366"/>
    <x v="268"/>
    <x v="0"/>
    <d v="2024-09-01T00:00:00"/>
    <n v="9"/>
    <s v="CUST-00174"/>
    <x v="1"/>
    <x v="13"/>
    <s v="MP"/>
    <x v="1"/>
    <s v="Indore"/>
    <x v="1"/>
    <s v="P403"/>
    <s v="Kolhapuri Sandals"/>
    <x v="5"/>
    <n v="1"/>
    <n v="999"/>
    <n v="0.1"/>
    <n v="999"/>
    <n v="99.9"/>
    <n v="899.1"/>
    <n v="400"/>
    <n v="400"/>
    <n v="60"/>
    <n v="439.1"/>
    <n v="0.48837726615504395"/>
    <x v="3"/>
    <d v="2024-10-01T00:00:00"/>
    <n v="3"/>
    <x v="0"/>
    <n v="4"/>
    <n v="0"/>
  </r>
  <r>
    <s v="ORD-101367"/>
    <x v="268"/>
    <x v="0"/>
    <d v="2024-09-01T00:00:00"/>
    <n v="9"/>
    <s v="CUST-02879"/>
    <x v="0"/>
    <x v="18"/>
    <s v="WB"/>
    <x v="2"/>
    <s v="Kolkata"/>
    <x v="4"/>
    <s v="P102"/>
    <s v="Sunscreen SPF 50"/>
    <x v="3"/>
    <n v="1"/>
    <n v="449"/>
    <n v="0.15"/>
    <n v="449"/>
    <n v="67.349999999999994"/>
    <n v="381.65"/>
    <n v="144"/>
    <n v="144"/>
    <n v="60"/>
    <n v="177.64999999999998"/>
    <n v="0.465478841870824"/>
    <x v="1"/>
    <d v="2024-10-03T00:00:00"/>
    <n v="5"/>
    <x v="2"/>
    <n v="5"/>
    <n v="0"/>
  </r>
  <r>
    <s v="ORD-101368"/>
    <x v="268"/>
    <x v="0"/>
    <d v="2024-09-01T00:00:00"/>
    <n v="9"/>
    <s v="CUST-02671"/>
    <x v="0"/>
    <x v="18"/>
    <s v="WB"/>
    <x v="2"/>
    <s v="Kolkata"/>
    <x v="1"/>
    <s v="P303"/>
    <s v="Joggers"/>
    <x v="1"/>
    <n v="1"/>
    <n v="1199"/>
    <n v="0.1"/>
    <n v="1199"/>
    <n v="119.9"/>
    <n v="1079.0999999999999"/>
    <n v="492"/>
    <n v="492"/>
    <n v="60"/>
    <n v="527.09999999999991"/>
    <n v="0.48846260772866273"/>
    <x v="0"/>
    <d v="2024-10-01T00:00:00"/>
    <n v="3"/>
    <x v="0"/>
    <n v="4"/>
    <n v="0"/>
  </r>
  <r>
    <s v="ORD-101369"/>
    <x v="268"/>
    <x v="0"/>
    <d v="2024-09-01T00:00:00"/>
    <n v="9"/>
    <s v="CUST-00535"/>
    <x v="1"/>
    <x v="3"/>
    <s v="OD"/>
    <x v="2"/>
    <s v="Bhubaneswar"/>
    <x v="0"/>
    <s v="P105"/>
    <s v="Retinol Night Cream"/>
    <x v="3"/>
    <n v="2"/>
    <n v="799"/>
    <n v="0.05"/>
    <n v="1598"/>
    <n v="79.900000000000006"/>
    <n v="1518.1"/>
    <n v="216"/>
    <n v="432"/>
    <n v="60"/>
    <n v="1026.0999999999999"/>
    <n v="0.67591067782096037"/>
    <x v="0"/>
    <d v="2024-10-03T00:00:00"/>
    <n v="5"/>
    <x v="2"/>
    <n v="3"/>
    <n v="0"/>
  </r>
  <r>
    <s v="ORD-101370"/>
    <x v="268"/>
    <x v="0"/>
    <d v="2024-09-01T00:00:00"/>
    <n v="9"/>
    <s v="CUST-00729"/>
    <x v="0"/>
    <x v="11"/>
    <s v="KA"/>
    <x v="3"/>
    <s v="Mysuru"/>
    <x v="3"/>
    <s v="P105"/>
    <s v="Retinol Night Cream"/>
    <x v="3"/>
    <n v="2"/>
    <n v="799"/>
    <n v="0"/>
    <n v="1598"/>
    <n v="0"/>
    <n v="1598"/>
    <n v="216"/>
    <n v="432"/>
    <n v="60"/>
    <n v="1106"/>
    <n v="0.69211514392991236"/>
    <x v="4"/>
    <d v="2024-09-29T00:00:00"/>
    <n v="1"/>
    <x v="1"/>
    <n v="4"/>
    <n v="0"/>
  </r>
  <r>
    <s v="ORD-101371"/>
    <x v="268"/>
    <x v="0"/>
    <d v="2024-09-01T00:00:00"/>
    <n v="9"/>
    <s v="CUST-00773"/>
    <x v="0"/>
    <x v="11"/>
    <s v="KA"/>
    <x v="3"/>
    <s v="Bengaluru"/>
    <x v="2"/>
    <s v="P404"/>
    <s v="Flip Flops"/>
    <x v="5"/>
    <n v="1"/>
    <n v="399"/>
    <n v="0.1"/>
    <n v="399"/>
    <n v="39.900000000000006"/>
    <n v="359.1"/>
    <n v="152"/>
    <n v="152"/>
    <n v="120"/>
    <n v="87.100000000000023"/>
    <n v="0.24255082149818996"/>
    <x v="3"/>
    <d v="2024-10-01T00:00:00"/>
    <n v="3"/>
    <x v="0"/>
    <n v="4"/>
    <n v="1"/>
  </r>
  <r>
    <s v="ORD-101372"/>
    <x v="269"/>
    <x v="0"/>
    <d v="2024-09-01T00:00:00"/>
    <n v="9"/>
    <s v="CUST-00356"/>
    <x v="0"/>
    <x v="18"/>
    <s v="WB"/>
    <x v="2"/>
    <s v="Kolkata"/>
    <x v="1"/>
    <s v="P401"/>
    <s v="Running Shoes"/>
    <x v="5"/>
    <n v="1"/>
    <n v="2999"/>
    <n v="0.2"/>
    <n v="2999"/>
    <n v="599.80000000000007"/>
    <n v="2399.1999999999998"/>
    <n v="1440"/>
    <n v="1440"/>
    <n v="60"/>
    <n v="899.19999999999982"/>
    <n v="0.3747915971990663"/>
    <x v="0"/>
    <d v="2024-10-01T00:00:00"/>
    <n v="2"/>
    <x v="1"/>
    <n v="5"/>
    <n v="0"/>
  </r>
  <r>
    <s v="ORD-101373"/>
    <x v="269"/>
    <x v="0"/>
    <d v="2024-09-01T00:00:00"/>
    <n v="9"/>
    <s v="CUST-00826"/>
    <x v="0"/>
    <x v="2"/>
    <s v="MH"/>
    <x v="1"/>
    <s v="Mumbai"/>
    <x v="3"/>
    <s v="P204"/>
    <s v="Anti-Dandruff Conditioner"/>
    <x v="6"/>
    <n v="2"/>
    <n v="399"/>
    <n v="0.35"/>
    <n v="798"/>
    <n v="279.29999999999995"/>
    <n v="518.70000000000005"/>
    <n v="136"/>
    <n v="272"/>
    <n v="60"/>
    <n v="186.70000000000005"/>
    <n v="0.35993830730672843"/>
    <x v="1"/>
    <d v="2024-10-01T00:00:00"/>
    <n v="2"/>
    <x v="1"/>
    <m/>
    <n v="0"/>
  </r>
  <r>
    <s v="ORD-101374"/>
    <x v="269"/>
    <x v="0"/>
    <d v="2024-09-01T00:00:00"/>
    <n v="9"/>
    <s v="CUST-00939"/>
    <x v="0"/>
    <x v="21"/>
    <s v="TG"/>
    <x v="3"/>
    <s v="Hyderabad"/>
    <x v="2"/>
    <s v="P703"/>
    <s v="Green Tea (100 bags)"/>
    <x v="0"/>
    <n v="2"/>
    <n v="399"/>
    <n v="0.3"/>
    <n v="798"/>
    <n v="239.39999999999998"/>
    <n v="558.6"/>
    <n v="128"/>
    <n v="256"/>
    <n v="60"/>
    <n v="242.60000000000002"/>
    <n v="0.43430003580379523"/>
    <x v="0"/>
    <d v="2024-10-02T00:00:00"/>
    <n v="3"/>
    <x v="0"/>
    <m/>
    <n v="0"/>
  </r>
  <r>
    <s v="ORD-101375"/>
    <x v="269"/>
    <x v="0"/>
    <d v="2024-09-01T00:00:00"/>
    <n v="9"/>
    <s v="CUST-00574"/>
    <x v="0"/>
    <x v="14"/>
    <s v="KL"/>
    <x v="3"/>
    <s v="Thiruvananthapuram"/>
    <x v="0"/>
    <s v="P501"/>
    <s v="Copper Water Bottle"/>
    <x v="4"/>
    <n v="1"/>
    <n v="899"/>
    <n v="0.05"/>
    <n v="899"/>
    <n v="44.95"/>
    <n v="854.05"/>
    <n v="378"/>
    <n v="378"/>
    <n v="60"/>
    <n v="416.04999999999995"/>
    <n v="0.48714946431707745"/>
    <x v="0"/>
    <d v="2024-10-03T00:00:00"/>
    <n v="4"/>
    <x v="0"/>
    <n v="4"/>
    <n v="0"/>
  </r>
  <r>
    <s v="ORD-101376"/>
    <x v="269"/>
    <x v="0"/>
    <d v="2024-09-01T00:00:00"/>
    <n v="9"/>
    <s v="CUST-03094"/>
    <x v="0"/>
    <x v="14"/>
    <s v="KL"/>
    <x v="3"/>
    <s v="Kochi"/>
    <x v="4"/>
    <s v="P501"/>
    <s v="Copper Water Bottle"/>
    <x v="4"/>
    <n v="1"/>
    <n v="899"/>
    <n v="0.1"/>
    <n v="899"/>
    <n v="89.9"/>
    <n v="809.1"/>
    <n v="378"/>
    <n v="378"/>
    <n v="60"/>
    <n v="371.1"/>
    <n v="0.45865776789024842"/>
    <x v="4"/>
    <d v="2024-10-03T00:00:00"/>
    <n v="4"/>
    <x v="0"/>
    <n v="4"/>
    <n v="0"/>
  </r>
  <r>
    <s v="ORD-101377"/>
    <x v="269"/>
    <x v="0"/>
    <d v="2024-09-01T00:00:00"/>
    <n v="9"/>
    <s v="CUST-02515"/>
    <x v="0"/>
    <x v="17"/>
    <s v="TN"/>
    <x v="3"/>
    <s v="Chennai"/>
    <x v="4"/>
    <s v="P301"/>
    <s v="Cotton Oversized T-Shirt"/>
    <x v="1"/>
    <n v="1"/>
    <n v="799"/>
    <n v="0.05"/>
    <n v="799"/>
    <n v="39.950000000000003"/>
    <n v="759.05"/>
    <n v="320"/>
    <n v="320"/>
    <n v="60"/>
    <n v="379.04999999999995"/>
    <n v="0.49937421777221525"/>
    <x v="0"/>
    <d v="2024-10-05T00:00:00"/>
    <n v="6"/>
    <x v="2"/>
    <m/>
    <n v="0"/>
  </r>
  <r>
    <s v="ORD-101378"/>
    <x v="270"/>
    <x v="0"/>
    <d v="2024-09-01T00:00:00"/>
    <n v="9"/>
    <s v="CUST-00457"/>
    <x v="1"/>
    <x v="0"/>
    <s v="RJ"/>
    <x v="0"/>
    <s v="Jaipur"/>
    <x v="3"/>
    <s v="P105"/>
    <s v="Retinol Night Cream"/>
    <x v="3"/>
    <n v="1"/>
    <n v="799"/>
    <n v="0.05"/>
    <n v="799"/>
    <n v="39.950000000000003"/>
    <n v="759.05"/>
    <n v="216"/>
    <n v="216"/>
    <n v="60"/>
    <n v="483.04999999999995"/>
    <n v="0.63638758975034582"/>
    <x v="1"/>
    <d v="2024-10-03T00:00:00"/>
    <n v="3"/>
    <x v="0"/>
    <n v="4"/>
    <n v="0"/>
  </r>
  <r>
    <s v="ORD-101379"/>
    <x v="270"/>
    <x v="0"/>
    <d v="2024-09-01T00:00:00"/>
    <n v="9"/>
    <s v="CUST-01497"/>
    <x v="0"/>
    <x v="0"/>
    <s v="RJ"/>
    <x v="0"/>
    <s v="Jaipur"/>
    <x v="1"/>
    <s v="P303"/>
    <s v="Joggers"/>
    <x v="1"/>
    <n v="3"/>
    <n v="1199"/>
    <n v="0.15"/>
    <n v="3597"/>
    <n v="539.54999999999995"/>
    <n v="3057.45"/>
    <n v="492"/>
    <n v="1476"/>
    <n v="60"/>
    <n v="1521.4499999999998"/>
    <n v="0.49762056615807287"/>
    <x v="0"/>
    <d v="2024-10-05T00:00:00"/>
    <n v="5"/>
    <x v="2"/>
    <m/>
    <n v="0"/>
  </r>
  <r>
    <s v="ORD-101380"/>
    <x v="270"/>
    <x v="0"/>
    <d v="2024-09-01T00:00:00"/>
    <n v="9"/>
    <s v="CUST-01480"/>
    <x v="0"/>
    <x v="0"/>
    <s v="RJ"/>
    <x v="0"/>
    <s v="Jaipur"/>
    <x v="3"/>
    <s v="P701"/>
    <s v="Ashwagandha Capsules"/>
    <x v="0"/>
    <n v="1"/>
    <n v="499"/>
    <n v="0"/>
    <n v="499"/>
    <n v="0"/>
    <n v="499"/>
    <n v="150"/>
    <n v="150"/>
    <n v="60"/>
    <n v="289"/>
    <n v="0.57915831663326656"/>
    <x v="0"/>
    <d v="2024-10-04T00:00:00"/>
    <n v="4"/>
    <x v="0"/>
    <n v="3"/>
    <n v="0"/>
  </r>
  <r>
    <s v="ORD-101381"/>
    <x v="270"/>
    <x v="0"/>
    <d v="2024-09-01T00:00:00"/>
    <n v="9"/>
    <s v="CUST-00240"/>
    <x v="1"/>
    <x v="15"/>
    <s v="HR"/>
    <x v="0"/>
    <s v="Gurugram"/>
    <x v="2"/>
    <s v="P701"/>
    <s v="Ashwagandha Capsules"/>
    <x v="0"/>
    <n v="1"/>
    <n v="499"/>
    <n v="0"/>
    <n v="499"/>
    <n v="0"/>
    <n v="499"/>
    <n v="150"/>
    <n v="150"/>
    <n v="60"/>
    <n v="289"/>
    <n v="0.57915831663326656"/>
    <x v="4"/>
    <d v="2024-10-05T00:00:00"/>
    <n v="5"/>
    <x v="2"/>
    <m/>
    <n v="0"/>
  </r>
  <r>
    <s v="ORD-101382"/>
    <x v="270"/>
    <x v="0"/>
    <d v="2024-09-01T00:00:00"/>
    <n v="9"/>
    <s v="CUST-01888"/>
    <x v="0"/>
    <x v="15"/>
    <s v="HR"/>
    <x v="0"/>
    <s v="Gurugram"/>
    <x v="4"/>
    <s v="P503"/>
    <s v="Scented Candle Set"/>
    <x v="4"/>
    <n v="4"/>
    <n v="699"/>
    <n v="0.25"/>
    <n v="2796"/>
    <n v="699"/>
    <n v="2097"/>
    <n v="245"/>
    <n v="980"/>
    <n v="60"/>
    <n v="1057"/>
    <n v="0.50405340963280876"/>
    <x v="4"/>
    <d v="2024-10-03T00:00:00"/>
    <n v="3"/>
    <x v="0"/>
    <m/>
    <n v="0"/>
  </r>
  <r>
    <s v="ORD-101383"/>
    <x v="270"/>
    <x v="0"/>
    <d v="2024-09-01T00:00:00"/>
    <n v="9"/>
    <s v="CUST-01904"/>
    <x v="0"/>
    <x v="16"/>
    <s v="UP"/>
    <x v="0"/>
    <s v="Kanpur"/>
    <x v="0"/>
    <s v="P204"/>
    <s v="Anti-Dandruff Conditioner"/>
    <x v="6"/>
    <n v="1"/>
    <n v="399"/>
    <n v="0.35"/>
    <n v="399"/>
    <n v="139.64999999999998"/>
    <n v="259.35000000000002"/>
    <n v="136"/>
    <n v="136"/>
    <n v="60"/>
    <n v="63.350000000000023"/>
    <n v="0.24426450742240222"/>
    <x v="0"/>
    <d v="2024-10-04T00:00:00"/>
    <n v="4"/>
    <x v="0"/>
    <m/>
    <n v="0"/>
  </r>
  <r>
    <s v="ORD-101384"/>
    <x v="270"/>
    <x v="0"/>
    <d v="2024-09-01T00:00:00"/>
    <n v="9"/>
    <s v="CUST-00044"/>
    <x v="1"/>
    <x v="16"/>
    <s v="UP"/>
    <x v="0"/>
    <s v="Kanpur"/>
    <x v="0"/>
    <s v="P203"/>
    <s v="Keratin Hair Mask"/>
    <x v="6"/>
    <n v="2"/>
    <n v="549"/>
    <n v="0.15"/>
    <n v="1098"/>
    <n v="164.7"/>
    <n v="933.3"/>
    <n v="170"/>
    <n v="340"/>
    <n v="60"/>
    <n v="533.29999999999995"/>
    <n v="0.57141326475945564"/>
    <x v="3"/>
    <d v="2024-10-03T00:00:00"/>
    <n v="3"/>
    <x v="0"/>
    <n v="4"/>
    <n v="0"/>
  </r>
  <r>
    <s v="ORD-101385"/>
    <x v="270"/>
    <x v="0"/>
    <d v="2024-09-01T00:00:00"/>
    <n v="9"/>
    <s v="CUST-00673"/>
    <x v="0"/>
    <x v="2"/>
    <s v="MH"/>
    <x v="1"/>
    <s v="Mumbai"/>
    <x v="2"/>
    <s v="P604"/>
    <s v="Power Bank 20000mAh"/>
    <x v="2"/>
    <n v="2"/>
    <n v="1799"/>
    <n v="0.3"/>
    <n v="3598"/>
    <n v="1079.3999999999999"/>
    <n v="2518.6000000000004"/>
    <n v="1079"/>
    <n v="2158"/>
    <n v="60"/>
    <n v="300.60000000000036"/>
    <n v="0.11935202096402776"/>
    <x v="1"/>
    <d v="2024-10-04T00:00:00"/>
    <n v="4"/>
    <x v="0"/>
    <n v="3"/>
    <n v="0"/>
  </r>
  <r>
    <s v="ORD-101386"/>
    <x v="270"/>
    <x v="0"/>
    <d v="2024-09-01T00:00:00"/>
    <n v="9"/>
    <s v="CUST-02642"/>
    <x v="0"/>
    <x v="2"/>
    <s v="MH"/>
    <x v="1"/>
    <s v="Mumbai"/>
    <x v="0"/>
    <s v="P601"/>
    <s v="Wireless Earbuds"/>
    <x v="2"/>
    <n v="3"/>
    <n v="1999"/>
    <n v="0.4"/>
    <n v="5997"/>
    <n v="2398.8000000000002"/>
    <n v="3598.2"/>
    <n v="1239"/>
    <n v="3717"/>
    <n v="60"/>
    <n v="-178.80000000000018"/>
    <n v="-4.9691512422878156E-2"/>
    <x v="4"/>
    <d v="2024-10-01T00:00:00"/>
    <n v="1"/>
    <x v="1"/>
    <n v="5"/>
    <n v="0"/>
  </r>
  <r>
    <s v="ORD-101387"/>
    <x v="270"/>
    <x v="0"/>
    <d v="2024-09-01T00:00:00"/>
    <n v="9"/>
    <s v="CUST-02661"/>
    <x v="0"/>
    <x v="11"/>
    <s v="KA"/>
    <x v="3"/>
    <s v="Mysuru"/>
    <x v="0"/>
    <s v="P201"/>
    <s v="Onion Hair Oil"/>
    <x v="6"/>
    <n v="2"/>
    <n v="349"/>
    <n v="0.3"/>
    <n v="698"/>
    <n v="209.4"/>
    <n v="488.6"/>
    <n v="105"/>
    <n v="210"/>
    <n v="60"/>
    <n v="218.60000000000002"/>
    <n v="0.44740073679901765"/>
    <x v="3"/>
    <d v="2024-10-01T00:00:00"/>
    <n v="1"/>
    <x v="1"/>
    <m/>
    <n v="0"/>
  </r>
  <r>
    <s v="ORD-101388"/>
    <x v="270"/>
    <x v="0"/>
    <d v="2024-09-01T00:00:00"/>
    <n v="9"/>
    <s v="CUST-00479"/>
    <x v="0"/>
    <x v="17"/>
    <s v="TN"/>
    <x v="3"/>
    <s v="Coimbatore"/>
    <x v="1"/>
    <s v="P303"/>
    <s v="Joggers"/>
    <x v="1"/>
    <n v="1"/>
    <n v="1199"/>
    <n v="0.1"/>
    <n v="1199"/>
    <n v="119.9"/>
    <n v="1079.0999999999999"/>
    <n v="492"/>
    <n v="492"/>
    <n v="60"/>
    <n v="527.09999999999991"/>
    <n v="0.48846260772866273"/>
    <x v="3"/>
    <d v="2024-10-04T00:00:00"/>
    <n v="4"/>
    <x v="0"/>
    <n v="4"/>
    <n v="0"/>
  </r>
  <r>
    <s v="ORD-101389"/>
    <x v="271"/>
    <x v="0"/>
    <d v="2024-10-01T00:00:00"/>
    <n v="10"/>
    <s v="CUST-00601"/>
    <x v="1"/>
    <x v="1"/>
    <s v="GJ"/>
    <x v="1"/>
    <s v="Ahmedabad"/>
    <x v="0"/>
    <s v="P501"/>
    <s v="Copper Water Bottle"/>
    <x v="4"/>
    <n v="1"/>
    <n v="899"/>
    <n v="0.15"/>
    <n v="899"/>
    <n v="134.85"/>
    <n v="764.15"/>
    <n v="378"/>
    <n v="378"/>
    <n v="60"/>
    <n v="326.14999999999998"/>
    <n v="0.42681410717791007"/>
    <x v="0"/>
    <d v="2024-10-05T00:00:00"/>
    <n v="4"/>
    <x v="0"/>
    <m/>
    <n v="0"/>
  </r>
  <r>
    <s v="ORD-101390"/>
    <x v="271"/>
    <x v="0"/>
    <d v="2024-10-01T00:00:00"/>
    <n v="10"/>
    <s v="CUST-02009"/>
    <x v="0"/>
    <x v="13"/>
    <s v="MP"/>
    <x v="1"/>
    <s v="Indore"/>
    <x v="2"/>
    <s v="P404"/>
    <s v="Flip Flops"/>
    <x v="5"/>
    <n v="1"/>
    <n v="399"/>
    <n v="0.1"/>
    <n v="399"/>
    <n v="39.900000000000006"/>
    <n v="359.1"/>
    <n v="152"/>
    <n v="152"/>
    <n v="60"/>
    <n v="147.10000000000002"/>
    <n v="0.40963519910888335"/>
    <x v="0"/>
    <d v="2024-10-07T00:00:00"/>
    <n v="6"/>
    <x v="2"/>
    <n v="3"/>
    <n v="0"/>
  </r>
  <r>
    <s v="ORD-101391"/>
    <x v="271"/>
    <x v="0"/>
    <d v="2024-10-01T00:00:00"/>
    <n v="10"/>
    <s v="CUST-02450"/>
    <x v="0"/>
    <x v="18"/>
    <s v="WB"/>
    <x v="2"/>
    <s v="Kolkata"/>
    <x v="2"/>
    <s v="P704"/>
    <s v="Multivitamin Gummies"/>
    <x v="0"/>
    <n v="5"/>
    <n v="699"/>
    <n v="0.35"/>
    <n v="3495"/>
    <n v="1223.25"/>
    <n v="2271.75"/>
    <n v="238"/>
    <n v="1190"/>
    <n v="60"/>
    <n v="1021.75"/>
    <n v="0.44976339826125233"/>
    <x v="0"/>
    <d v="2024-10-07T00:00:00"/>
    <n v="6"/>
    <x v="2"/>
    <n v="4"/>
    <n v="0"/>
  </r>
  <r>
    <s v="ORD-101392"/>
    <x v="271"/>
    <x v="0"/>
    <d v="2024-10-01T00:00:00"/>
    <n v="10"/>
    <s v="CUST-00263"/>
    <x v="0"/>
    <x v="21"/>
    <s v="TG"/>
    <x v="3"/>
    <s v="Hyderabad"/>
    <x v="3"/>
    <s v="P204"/>
    <s v="Anti-Dandruff Conditioner"/>
    <x v="6"/>
    <n v="2"/>
    <n v="399"/>
    <n v="0.4"/>
    <n v="798"/>
    <n v="319.20000000000005"/>
    <n v="478.79999999999995"/>
    <n v="136"/>
    <n v="272"/>
    <n v="60"/>
    <n v="146.79999999999995"/>
    <n v="0.30659983291562232"/>
    <x v="0"/>
    <d v="2024-10-04T00:00:00"/>
    <n v="3"/>
    <x v="0"/>
    <m/>
    <n v="0"/>
  </r>
  <r>
    <s v="ORD-101393"/>
    <x v="271"/>
    <x v="0"/>
    <d v="2024-10-01T00:00:00"/>
    <n v="10"/>
    <s v="CUST-01149"/>
    <x v="1"/>
    <x v="20"/>
    <s v="GA"/>
    <x v="1"/>
    <s v="Panaji"/>
    <x v="3"/>
    <s v="P703"/>
    <s v="Green Tea (100 bags)"/>
    <x v="0"/>
    <n v="2"/>
    <n v="399"/>
    <n v="0.35"/>
    <n v="798"/>
    <n v="279.29999999999995"/>
    <n v="518.70000000000005"/>
    <n v="128"/>
    <n v="256"/>
    <n v="60"/>
    <n v="202.70000000000005"/>
    <n v="0.39078465394254874"/>
    <x v="0"/>
    <d v="2024-10-05T00:00:00"/>
    <n v="4"/>
    <x v="0"/>
    <n v="3"/>
    <n v="0"/>
  </r>
  <r>
    <s v="ORD-101394"/>
    <x v="271"/>
    <x v="0"/>
    <d v="2024-10-01T00:00:00"/>
    <n v="10"/>
    <s v="CUST-00124"/>
    <x v="1"/>
    <x v="11"/>
    <s v="KA"/>
    <x v="3"/>
    <s v="Mysuru"/>
    <x v="1"/>
    <s v="P303"/>
    <s v="Joggers"/>
    <x v="1"/>
    <n v="2"/>
    <n v="1199"/>
    <n v="0.3"/>
    <n v="2398"/>
    <n v="719.4"/>
    <n v="1678.6"/>
    <n v="492"/>
    <n v="984"/>
    <n v="60"/>
    <n v="634.59999999999991"/>
    <n v="0.37805313952102937"/>
    <x v="0"/>
    <d v="2024-10-04T00:00:00"/>
    <n v="3"/>
    <x v="0"/>
    <m/>
    <n v="0"/>
  </r>
  <r>
    <s v="ORD-101395"/>
    <x v="272"/>
    <x v="0"/>
    <d v="2024-10-01T00:00:00"/>
    <n v="10"/>
    <s v="CUST-01194"/>
    <x v="1"/>
    <x v="19"/>
    <s v="PB"/>
    <x v="0"/>
    <s v="Ludhiana"/>
    <x v="3"/>
    <s v="P703"/>
    <s v="Green Tea (100 bags)"/>
    <x v="0"/>
    <n v="2"/>
    <n v="399"/>
    <n v="0.45"/>
    <n v="798"/>
    <n v="359.1"/>
    <n v="438.9"/>
    <n v="128"/>
    <n v="256"/>
    <n v="60"/>
    <n v="122.89999999999998"/>
    <n v="0.28001822738664839"/>
    <x v="3"/>
    <d v="2024-10-06T00:00:00"/>
    <n v="4"/>
    <x v="0"/>
    <n v="3"/>
    <n v="0"/>
  </r>
  <r>
    <s v="ORD-101396"/>
    <x v="272"/>
    <x v="0"/>
    <d v="2024-10-01T00:00:00"/>
    <n v="10"/>
    <s v="CUST-00583"/>
    <x v="1"/>
    <x v="19"/>
    <s v="PB"/>
    <x v="0"/>
    <s v="Amritsar"/>
    <x v="4"/>
    <s v="P301"/>
    <s v="Cotton Oversized T-Shirt"/>
    <x v="1"/>
    <n v="1"/>
    <n v="799"/>
    <n v="0.1"/>
    <n v="799"/>
    <n v="79.900000000000006"/>
    <n v="719.1"/>
    <n v="320"/>
    <n v="320"/>
    <n v="120"/>
    <n v="279.10000000000002"/>
    <n v="0.38812404394381866"/>
    <x v="1"/>
    <d v="2024-10-06T00:00:00"/>
    <n v="4"/>
    <x v="0"/>
    <n v="5"/>
    <n v="1"/>
  </r>
  <r>
    <s v="ORD-101397"/>
    <x v="272"/>
    <x v="0"/>
    <d v="2024-10-01T00:00:00"/>
    <n v="10"/>
    <s v="CUST-00547"/>
    <x v="0"/>
    <x v="9"/>
    <s v="UK"/>
    <x v="0"/>
    <s v="Dehradun"/>
    <x v="1"/>
    <s v="P404"/>
    <s v="Flip Flops"/>
    <x v="5"/>
    <n v="3"/>
    <n v="399"/>
    <n v="0.3"/>
    <n v="1197"/>
    <n v="359.09999999999997"/>
    <n v="837.90000000000009"/>
    <n v="152"/>
    <n v="456"/>
    <n v="60"/>
    <n v="321.90000000000009"/>
    <n v="0.38417472252058726"/>
    <x v="1"/>
    <d v="2024-10-08T00:00:00"/>
    <n v="6"/>
    <x v="2"/>
    <n v="3"/>
    <n v="0"/>
  </r>
  <r>
    <s v="ORD-101398"/>
    <x v="272"/>
    <x v="0"/>
    <d v="2024-10-01T00:00:00"/>
    <n v="10"/>
    <s v="CUST-01823"/>
    <x v="1"/>
    <x v="16"/>
    <s v="UP"/>
    <x v="0"/>
    <s v="Kanpur"/>
    <x v="0"/>
    <s v="P504"/>
    <s v="Cotton Bedsheet"/>
    <x v="4"/>
    <n v="2"/>
    <n v="1299"/>
    <n v="0.2"/>
    <n v="2598"/>
    <n v="519.6"/>
    <n v="2078.4"/>
    <n v="585"/>
    <n v="1170"/>
    <n v="60"/>
    <n v="848.40000000000009"/>
    <n v="0.40819861431870674"/>
    <x v="0"/>
    <d v="2024-10-06T00:00:00"/>
    <n v="4"/>
    <x v="0"/>
    <n v="3"/>
    <n v="0"/>
  </r>
  <r>
    <s v="ORD-101399"/>
    <x v="272"/>
    <x v="0"/>
    <d v="2024-10-01T00:00:00"/>
    <n v="10"/>
    <s v="CUST-02484"/>
    <x v="0"/>
    <x v="16"/>
    <s v="UP"/>
    <x v="0"/>
    <s v="Lucknow"/>
    <x v="4"/>
    <s v="P201"/>
    <s v="Onion Hair Oil"/>
    <x v="6"/>
    <n v="1"/>
    <n v="349"/>
    <n v="0.45"/>
    <n v="349"/>
    <n v="157.05000000000001"/>
    <n v="191.95"/>
    <n v="105"/>
    <n v="105"/>
    <n v="60"/>
    <n v="26.949999999999989"/>
    <n v="0.1404011461318051"/>
    <x v="1"/>
    <d v="2024-10-05T00:00:00"/>
    <n v="3"/>
    <x v="0"/>
    <n v="4"/>
    <n v="0"/>
  </r>
  <r>
    <s v="ORD-101400"/>
    <x v="272"/>
    <x v="0"/>
    <d v="2024-10-01T00:00:00"/>
    <n v="10"/>
    <s v="CUST-00656"/>
    <x v="1"/>
    <x v="16"/>
    <s v="UP"/>
    <x v="0"/>
    <s v="Lucknow"/>
    <x v="0"/>
    <s v="P503"/>
    <s v="Scented Candle Set"/>
    <x v="4"/>
    <n v="2"/>
    <n v="699"/>
    <n v="0.25"/>
    <n v="1398"/>
    <n v="349.5"/>
    <n v="1048.5"/>
    <n v="245"/>
    <n v="490"/>
    <n v="60"/>
    <n v="498.5"/>
    <n v="0.47544110634239389"/>
    <x v="4"/>
    <d v="2024-10-06T00:00:00"/>
    <n v="4"/>
    <x v="0"/>
    <n v="4"/>
    <n v="0"/>
  </r>
  <r>
    <s v="ORD-101401"/>
    <x v="272"/>
    <x v="0"/>
    <d v="2024-10-01T00:00:00"/>
    <n v="10"/>
    <s v="CUST-02056"/>
    <x v="0"/>
    <x v="13"/>
    <s v="MP"/>
    <x v="1"/>
    <s v="Indore"/>
    <x v="2"/>
    <s v="P203"/>
    <s v="Keratin Hair Mask"/>
    <x v="6"/>
    <n v="2"/>
    <n v="549"/>
    <n v="0.3"/>
    <n v="1098"/>
    <n v="329.4"/>
    <n v="768.6"/>
    <n v="170"/>
    <n v="340"/>
    <n v="60"/>
    <n v="368.6"/>
    <n v="0.47957325006505336"/>
    <x v="4"/>
    <d v="2024-10-07T00:00:00"/>
    <n v="5"/>
    <x v="2"/>
    <n v="2"/>
    <n v="0"/>
  </r>
  <r>
    <s v="ORD-101402"/>
    <x v="272"/>
    <x v="0"/>
    <d v="2024-10-01T00:00:00"/>
    <n v="10"/>
    <s v="CUST-00462"/>
    <x v="1"/>
    <x v="18"/>
    <s v="WB"/>
    <x v="2"/>
    <s v="Kolkata"/>
    <x v="0"/>
    <s v="P503"/>
    <s v="Scented Candle Set"/>
    <x v="4"/>
    <n v="1"/>
    <n v="699"/>
    <n v="0.25"/>
    <n v="699"/>
    <n v="174.75"/>
    <n v="524.25"/>
    <n v="245"/>
    <n v="245"/>
    <n v="60"/>
    <n v="219.25"/>
    <n v="0.41821649976156416"/>
    <x v="0"/>
    <d v="2024-10-07T00:00:00"/>
    <n v="5"/>
    <x v="2"/>
    <n v="3"/>
    <n v="0"/>
  </r>
  <r>
    <s v="ORD-101403"/>
    <x v="272"/>
    <x v="0"/>
    <d v="2024-10-01T00:00:00"/>
    <n v="10"/>
    <s v="CUST-01748"/>
    <x v="0"/>
    <x v="2"/>
    <s v="MH"/>
    <x v="1"/>
    <s v="Nagpur"/>
    <x v="0"/>
    <s v="P603"/>
    <s v="Smartwatch Strap"/>
    <x v="2"/>
    <n v="2"/>
    <n v="499"/>
    <n v="0.3"/>
    <n v="998"/>
    <n v="299.39999999999998"/>
    <n v="698.6"/>
    <n v="200"/>
    <n v="400"/>
    <n v="60"/>
    <n v="238.60000000000002"/>
    <n v="0.34154022330375039"/>
    <x v="1"/>
    <d v="2024-10-04T00:00:00"/>
    <n v="2"/>
    <x v="1"/>
    <n v="4"/>
    <n v="0"/>
  </r>
  <r>
    <s v="ORD-101404"/>
    <x v="272"/>
    <x v="0"/>
    <d v="2024-10-01T00:00:00"/>
    <n v="10"/>
    <s v="CUST-00809"/>
    <x v="1"/>
    <x v="21"/>
    <s v="TG"/>
    <x v="3"/>
    <s v="Hyderabad"/>
    <x v="3"/>
    <s v="P203"/>
    <s v="Keratin Hair Mask"/>
    <x v="6"/>
    <n v="2"/>
    <n v="549"/>
    <n v="0.4"/>
    <n v="1098"/>
    <n v="439.20000000000005"/>
    <n v="658.8"/>
    <n v="170"/>
    <n v="340"/>
    <n v="60"/>
    <n v="258.79999999999995"/>
    <n v="0.39283545840922884"/>
    <x v="0"/>
    <d v="2024-10-04T00:00:00"/>
    <n v="2"/>
    <x v="1"/>
    <n v="5"/>
    <n v="0"/>
  </r>
  <r>
    <s v="ORD-101405"/>
    <x v="272"/>
    <x v="0"/>
    <d v="2024-10-01T00:00:00"/>
    <n v="10"/>
    <s v="CUST-00892"/>
    <x v="0"/>
    <x v="21"/>
    <s v="TG"/>
    <x v="3"/>
    <s v="Hyderabad"/>
    <x v="3"/>
    <s v="P702"/>
    <s v="Whey Protein 1kg"/>
    <x v="0"/>
    <n v="1"/>
    <n v="2299"/>
    <n v="0.5"/>
    <n v="2299"/>
    <n v="1149.5"/>
    <n v="1149.5"/>
    <n v="1333"/>
    <n v="1333"/>
    <n v="60"/>
    <n v="-243.5"/>
    <n v="-0.21183123096998696"/>
    <x v="0"/>
    <d v="2024-10-03T00:00:00"/>
    <n v="1"/>
    <x v="1"/>
    <n v="5"/>
    <n v="0"/>
  </r>
  <r>
    <s v="ORD-101406"/>
    <x v="272"/>
    <x v="0"/>
    <d v="2024-10-01T00:00:00"/>
    <n v="10"/>
    <s v="CUST-01997"/>
    <x v="0"/>
    <x v="11"/>
    <s v="KA"/>
    <x v="3"/>
    <s v="Bengaluru"/>
    <x v="4"/>
    <s v="P104"/>
    <s v="Hydrating Face Wash"/>
    <x v="3"/>
    <n v="1"/>
    <n v="299"/>
    <n v="0.05"/>
    <n v="299"/>
    <n v="14.950000000000001"/>
    <n v="284.05"/>
    <n v="90"/>
    <n v="90"/>
    <n v="60"/>
    <n v="134.05000000000001"/>
    <n v="0.47192395704981521"/>
    <x v="0"/>
    <d v="2024-10-05T00:00:00"/>
    <n v="3"/>
    <x v="0"/>
    <n v="5"/>
    <n v="0"/>
  </r>
  <r>
    <s v="ORD-101407"/>
    <x v="273"/>
    <x v="0"/>
    <d v="2024-10-01T00:00:00"/>
    <n v="10"/>
    <s v="CUST-00430"/>
    <x v="0"/>
    <x v="9"/>
    <s v="UK"/>
    <x v="0"/>
    <s v="Dehradun"/>
    <x v="0"/>
    <s v="P304"/>
    <s v="Denim Jacket"/>
    <x v="1"/>
    <n v="1"/>
    <n v="2499"/>
    <n v="0.1"/>
    <n v="2499"/>
    <n v="249.9"/>
    <n v="2249.1"/>
    <n v="1125"/>
    <n v="1125"/>
    <n v="60"/>
    <n v="1064.0999999999999"/>
    <n v="0.4731225823662798"/>
    <x v="3"/>
    <d v="2024-10-08T00:00:00"/>
    <n v="5"/>
    <x v="2"/>
    <n v="4"/>
    <n v="0"/>
  </r>
  <r>
    <s v="ORD-101408"/>
    <x v="273"/>
    <x v="0"/>
    <d v="2024-10-01T00:00:00"/>
    <n v="10"/>
    <s v="CUST-00569"/>
    <x v="1"/>
    <x v="7"/>
    <s v="JH"/>
    <x v="2"/>
    <s v="Ranchi"/>
    <x v="3"/>
    <s v="P202"/>
    <s v="Argan Shampoo"/>
    <x v="6"/>
    <n v="1"/>
    <n v="449"/>
    <n v="0.2"/>
    <n v="449"/>
    <n v="89.800000000000011"/>
    <n v="359.2"/>
    <n v="148"/>
    <n v="148"/>
    <n v="60"/>
    <n v="151.19999999999999"/>
    <n v="0.42093541202672602"/>
    <x v="1"/>
    <d v="2024-10-07T00:00:00"/>
    <n v="4"/>
    <x v="0"/>
    <n v="4"/>
    <n v="0"/>
  </r>
  <r>
    <s v="ORD-101409"/>
    <x v="273"/>
    <x v="0"/>
    <d v="2024-10-01T00:00:00"/>
    <n v="10"/>
    <s v="CUST-00405"/>
    <x v="1"/>
    <x v="8"/>
    <s v="AP"/>
    <x v="3"/>
    <s v="Vijayawada"/>
    <x v="4"/>
    <s v="P701"/>
    <s v="Ashwagandha Capsules"/>
    <x v="0"/>
    <n v="2"/>
    <n v="499"/>
    <n v="0.05"/>
    <n v="998"/>
    <n v="49.900000000000006"/>
    <n v="948.1"/>
    <n v="150"/>
    <n v="300"/>
    <n v="60"/>
    <n v="588.1"/>
    <n v="0.62029321801497728"/>
    <x v="3"/>
    <d v="2024-10-09T00:00:00"/>
    <n v="6"/>
    <x v="2"/>
    <m/>
    <n v="0"/>
  </r>
  <r>
    <s v="ORD-101410"/>
    <x v="274"/>
    <x v="0"/>
    <d v="2024-10-01T00:00:00"/>
    <n v="10"/>
    <s v="CUST-02996"/>
    <x v="0"/>
    <x v="22"/>
    <s v="AS"/>
    <x v="2"/>
    <s v="Guwahati"/>
    <x v="0"/>
    <s v="P403"/>
    <s v="Kolhapuri Sandals"/>
    <x v="5"/>
    <n v="1"/>
    <n v="999"/>
    <n v="0.2"/>
    <n v="999"/>
    <n v="199.8"/>
    <n v="799.2"/>
    <n v="400"/>
    <n v="400"/>
    <n v="60"/>
    <n v="339.20000000000005"/>
    <n v="0.42442442442442446"/>
    <x v="0"/>
    <d v="2024-10-13T00:00:00"/>
    <n v="9"/>
    <x v="2"/>
    <n v="4"/>
    <n v="0"/>
  </r>
  <r>
    <s v="ORD-101411"/>
    <x v="274"/>
    <x v="0"/>
    <d v="2024-10-01T00:00:00"/>
    <n v="10"/>
    <s v="CUST-00907"/>
    <x v="1"/>
    <x v="13"/>
    <s v="MP"/>
    <x v="1"/>
    <s v="Indore"/>
    <x v="1"/>
    <s v="P302"/>
    <s v="Linen Kurta"/>
    <x v="1"/>
    <n v="2"/>
    <n v="1499"/>
    <n v="0.4"/>
    <n v="2998"/>
    <n v="1199.2"/>
    <n v="1798.8"/>
    <n v="630"/>
    <n v="1260"/>
    <n v="60"/>
    <n v="478.79999999999995"/>
    <n v="0.26617745163442291"/>
    <x v="0"/>
    <d v="2024-10-07T00:00:00"/>
    <n v="3"/>
    <x v="0"/>
    <n v="4"/>
    <n v="0"/>
  </r>
  <r>
    <s v="ORD-101412"/>
    <x v="274"/>
    <x v="0"/>
    <d v="2024-10-01T00:00:00"/>
    <n v="10"/>
    <s v="CUST-00785"/>
    <x v="0"/>
    <x v="2"/>
    <s v="MH"/>
    <x v="1"/>
    <s v="Mumbai"/>
    <x v="0"/>
    <s v="P102"/>
    <s v="Sunscreen SPF 50"/>
    <x v="3"/>
    <n v="1"/>
    <n v="449"/>
    <n v="0.2"/>
    <n v="449"/>
    <n v="89.800000000000011"/>
    <n v="359.2"/>
    <n v="144"/>
    <n v="144"/>
    <n v="60"/>
    <n v="155.19999999999999"/>
    <n v="0.43207126948775054"/>
    <x v="2"/>
    <d v="2024-10-08T00:00:00"/>
    <n v="4"/>
    <x v="0"/>
    <n v="4"/>
    <n v="0"/>
  </r>
  <r>
    <s v="ORD-101413"/>
    <x v="274"/>
    <x v="0"/>
    <d v="2024-10-01T00:00:00"/>
    <n v="10"/>
    <s v="CUST-00445"/>
    <x v="1"/>
    <x v="8"/>
    <s v="AP"/>
    <x v="3"/>
    <s v="Vijayawada"/>
    <x v="2"/>
    <s v="P302"/>
    <s v="Linen Kurta"/>
    <x v="1"/>
    <n v="2"/>
    <n v="1499"/>
    <n v="0.35"/>
    <n v="2998"/>
    <n v="1049.3"/>
    <n v="1948.7"/>
    <n v="630"/>
    <n v="1260"/>
    <n v="60"/>
    <n v="628.70000000000005"/>
    <n v="0.32262533997023657"/>
    <x v="1"/>
    <d v="2024-10-06T00:00:00"/>
    <n v="2"/>
    <x v="1"/>
    <n v="4"/>
    <n v="0"/>
  </r>
  <r>
    <s v="ORD-101414"/>
    <x v="274"/>
    <x v="0"/>
    <d v="2024-10-01T00:00:00"/>
    <n v="10"/>
    <s v="CUST-00956"/>
    <x v="1"/>
    <x v="14"/>
    <s v="KL"/>
    <x v="3"/>
    <s v="Kochi"/>
    <x v="4"/>
    <s v="P603"/>
    <s v="Smartwatch Strap"/>
    <x v="2"/>
    <n v="1"/>
    <n v="499"/>
    <n v="0.25"/>
    <n v="499"/>
    <n v="124.75"/>
    <n v="374.25"/>
    <n v="200"/>
    <n v="200"/>
    <n v="60"/>
    <n v="114.25"/>
    <n v="0.30527722110888444"/>
    <x v="3"/>
    <d v="2024-10-06T00:00:00"/>
    <n v="2"/>
    <x v="1"/>
    <m/>
    <n v="0"/>
  </r>
  <r>
    <s v="ORD-101415"/>
    <x v="274"/>
    <x v="0"/>
    <d v="2024-10-01T00:00:00"/>
    <n v="10"/>
    <s v="CUST-01807"/>
    <x v="0"/>
    <x v="17"/>
    <s v="TN"/>
    <x v="3"/>
    <s v="Chennai"/>
    <x v="0"/>
    <s v="P702"/>
    <s v="Whey Protein 1kg"/>
    <x v="0"/>
    <n v="3"/>
    <n v="2299"/>
    <n v="0.4"/>
    <n v="6897"/>
    <n v="2758.8"/>
    <n v="4138.2"/>
    <n v="1333"/>
    <n v="3999"/>
    <n v="60"/>
    <n v="79.199999999999818"/>
    <n v="1.9138755980861202E-2"/>
    <x v="4"/>
    <d v="2024-10-07T00:00:00"/>
    <n v="3"/>
    <x v="0"/>
    <n v="3"/>
    <n v="0"/>
  </r>
  <r>
    <s v="ORD-101416"/>
    <x v="274"/>
    <x v="0"/>
    <d v="2024-10-01T00:00:00"/>
    <n v="10"/>
    <s v="CUST-01097"/>
    <x v="0"/>
    <x v="17"/>
    <s v="TN"/>
    <x v="3"/>
    <s v="Coimbatore"/>
    <x v="2"/>
    <s v="P303"/>
    <s v="Joggers"/>
    <x v="1"/>
    <n v="2"/>
    <n v="1199"/>
    <n v="0.3"/>
    <n v="2398"/>
    <n v="719.4"/>
    <n v="1678.6"/>
    <n v="492"/>
    <n v="984"/>
    <n v="60"/>
    <n v="634.59999999999991"/>
    <n v="0.37805313952102937"/>
    <x v="2"/>
    <d v="2024-10-06T00:00:00"/>
    <n v="2"/>
    <x v="1"/>
    <m/>
    <n v="0"/>
  </r>
  <r>
    <s v="ORD-101417"/>
    <x v="275"/>
    <x v="0"/>
    <d v="2024-10-01T00:00:00"/>
    <n v="10"/>
    <s v="CUST-00865"/>
    <x v="1"/>
    <x v="4"/>
    <s v="JK"/>
    <x v="0"/>
    <s v="Srinagar"/>
    <x v="4"/>
    <s v="P103"/>
    <s v="Niacinamide Toner"/>
    <x v="3"/>
    <n v="1"/>
    <n v="399"/>
    <n v="0.2"/>
    <n v="399"/>
    <n v="79.800000000000011"/>
    <n v="319.2"/>
    <n v="112"/>
    <n v="112"/>
    <n v="60"/>
    <n v="147.19999999999999"/>
    <n v="0.46115288220551376"/>
    <x v="2"/>
    <d v="2024-10-09T00:00:00"/>
    <n v="4"/>
    <x v="0"/>
    <m/>
    <n v="0"/>
  </r>
  <r>
    <s v="ORD-101418"/>
    <x v="275"/>
    <x v="0"/>
    <d v="2024-10-01T00:00:00"/>
    <n v="10"/>
    <s v="CUST-00657"/>
    <x v="0"/>
    <x v="19"/>
    <s v="PB"/>
    <x v="0"/>
    <s v="Ludhiana"/>
    <x v="1"/>
    <s v="P301"/>
    <s v="Cotton Oversized T-Shirt"/>
    <x v="1"/>
    <n v="1"/>
    <n v="799"/>
    <n v="0.2"/>
    <n v="799"/>
    <n v="159.80000000000001"/>
    <n v="639.20000000000005"/>
    <n v="320"/>
    <n v="320"/>
    <n v="60"/>
    <n v="259.20000000000005"/>
    <n v="0.40550688360450565"/>
    <x v="2"/>
    <d v="2024-10-12T00:00:00"/>
    <n v="7"/>
    <x v="2"/>
    <m/>
    <n v="0"/>
  </r>
  <r>
    <s v="ORD-101419"/>
    <x v="275"/>
    <x v="0"/>
    <d v="2024-10-01T00:00:00"/>
    <n v="10"/>
    <s v="CUST-01127"/>
    <x v="1"/>
    <x v="19"/>
    <s v="PB"/>
    <x v="0"/>
    <s v="Amritsar"/>
    <x v="3"/>
    <s v="P202"/>
    <s v="Argan Shampoo"/>
    <x v="6"/>
    <n v="1"/>
    <n v="449"/>
    <n v="0.15"/>
    <n v="449"/>
    <n v="67.349999999999994"/>
    <n v="381.65"/>
    <n v="148"/>
    <n v="148"/>
    <n v="60"/>
    <n v="173.64999999999998"/>
    <n v="0.45499803484868334"/>
    <x v="0"/>
    <d v="2024-10-10T00:00:00"/>
    <n v="5"/>
    <x v="2"/>
    <n v="4"/>
    <n v="0"/>
  </r>
  <r>
    <s v="ORD-101420"/>
    <x v="275"/>
    <x v="0"/>
    <d v="2024-10-01T00:00:00"/>
    <n v="10"/>
    <s v="CUST-00570"/>
    <x v="0"/>
    <x v="19"/>
    <s v="PB"/>
    <x v="0"/>
    <s v="Amritsar"/>
    <x v="0"/>
    <s v="P704"/>
    <s v="Multivitamin Gummies"/>
    <x v="0"/>
    <n v="1"/>
    <n v="699"/>
    <n v="0.35"/>
    <n v="699"/>
    <n v="244.64999999999998"/>
    <n v="454.35"/>
    <n v="238"/>
    <n v="238"/>
    <n v="120"/>
    <n v="96.350000000000023"/>
    <n v="0.21206118631011339"/>
    <x v="0"/>
    <d v="2024-10-10T00:00:00"/>
    <n v="5"/>
    <x v="2"/>
    <n v="4"/>
    <n v="1"/>
  </r>
  <r>
    <s v="ORD-101421"/>
    <x v="275"/>
    <x v="0"/>
    <d v="2024-10-01T00:00:00"/>
    <n v="10"/>
    <s v="CUST-01693"/>
    <x v="0"/>
    <x v="19"/>
    <s v="PB"/>
    <x v="0"/>
    <s v="Amritsar"/>
    <x v="4"/>
    <s v="P404"/>
    <s v="Flip Flops"/>
    <x v="5"/>
    <n v="1"/>
    <n v="399"/>
    <n v="0.1"/>
    <n v="399"/>
    <n v="39.900000000000006"/>
    <n v="359.1"/>
    <n v="152"/>
    <n v="152"/>
    <n v="60"/>
    <n v="147.10000000000002"/>
    <n v="0.40963519910888335"/>
    <x v="3"/>
    <d v="2024-10-08T00:00:00"/>
    <n v="3"/>
    <x v="0"/>
    <n v="4"/>
    <n v="0"/>
  </r>
  <r>
    <s v="ORD-101422"/>
    <x v="275"/>
    <x v="0"/>
    <d v="2024-10-01T00:00:00"/>
    <n v="10"/>
    <s v="CUST-00688"/>
    <x v="0"/>
    <x v="9"/>
    <s v="UK"/>
    <x v="0"/>
    <s v="Dehradun"/>
    <x v="4"/>
    <s v="P204"/>
    <s v="Anti-Dandruff Conditioner"/>
    <x v="6"/>
    <n v="1"/>
    <n v="399"/>
    <n v="0.55000000000000004"/>
    <n v="399"/>
    <n v="219.45000000000002"/>
    <n v="179.54999999999998"/>
    <n v="136"/>
    <n v="136"/>
    <n v="60"/>
    <n v="-16.450000000000017"/>
    <n v="-9.1617933723196987E-2"/>
    <x v="0"/>
    <d v="2024-10-09T00:00:00"/>
    <n v="4"/>
    <x v="0"/>
    <n v="2"/>
    <n v="0"/>
  </r>
  <r>
    <s v="ORD-101423"/>
    <x v="275"/>
    <x v="0"/>
    <d v="2024-10-01T00:00:00"/>
    <n v="10"/>
    <s v="CUST-00275"/>
    <x v="0"/>
    <x v="15"/>
    <s v="HR"/>
    <x v="0"/>
    <s v="Faridabad"/>
    <x v="0"/>
    <s v="P603"/>
    <s v="Smartwatch Strap"/>
    <x v="2"/>
    <n v="2"/>
    <n v="499"/>
    <n v="0.15"/>
    <n v="998"/>
    <n v="149.69999999999999"/>
    <n v="848.3"/>
    <n v="200"/>
    <n v="400"/>
    <n v="60"/>
    <n v="388.29999999999995"/>
    <n v="0.45773900742661794"/>
    <x v="0"/>
    <d v="2024-10-07T00:00:00"/>
    <n v="2"/>
    <x v="1"/>
    <n v="5"/>
    <n v="0"/>
  </r>
  <r>
    <s v="ORD-101424"/>
    <x v="275"/>
    <x v="0"/>
    <d v="2024-10-01T00:00:00"/>
    <n v="10"/>
    <s v="CUST-00325"/>
    <x v="0"/>
    <x v="16"/>
    <s v="UP"/>
    <x v="0"/>
    <s v="Kanpur"/>
    <x v="0"/>
    <s v="P104"/>
    <s v="Hydrating Face Wash"/>
    <x v="3"/>
    <n v="1"/>
    <n v="299"/>
    <n v="0.2"/>
    <n v="299"/>
    <n v="59.800000000000004"/>
    <n v="239.2"/>
    <n v="90"/>
    <n v="90"/>
    <n v="60"/>
    <n v="89.199999999999989"/>
    <n v="0.37290969899665549"/>
    <x v="0"/>
    <d v="2024-10-08T00:00:00"/>
    <n v="3"/>
    <x v="0"/>
    <n v="4"/>
    <n v="0"/>
  </r>
  <r>
    <s v="ORD-101425"/>
    <x v="275"/>
    <x v="0"/>
    <d v="2024-10-01T00:00:00"/>
    <n v="10"/>
    <s v="CUST-02953"/>
    <x v="0"/>
    <x v="1"/>
    <s v="GJ"/>
    <x v="1"/>
    <s v="Ahmedabad"/>
    <x v="0"/>
    <s v="P105"/>
    <s v="Retinol Night Cream"/>
    <x v="3"/>
    <n v="1"/>
    <n v="799"/>
    <n v="0.2"/>
    <n v="799"/>
    <n v="159.80000000000001"/>
    <n v="639.20000000000005"/>
    <n v="216"/>
    <n v="216"/>
    <n v="60"/>
    <n v="363.20000000000005"/>
    <n v="0.56821026282853571"/>
    <x v="0"/>
    <d v="2024-10-10T00:00:00"/>
    <n v="5"/>
    <x v="2"/>
    <n v="4"/>
    <n v="0"/>
  </r>
  <r>
    <s v="ORD-101426"/>
    <x v="275"/>
    <x v="0"/>
    <d v="2024-10-01T00:00:00"/>
    <n v="10"/>
    <s v="CUST-02208"/>
    <x v="0"/>
    <x v="1"/>
    <s v="GJ"/>
    <x v="1"/>
    <s v="Ahmedabad"/>
    <x v="2"/>
    <s v="P504"/>
    <s v="Cotton Bedsheet"/>
    <x v="4"/>
    <n v="2"/>
    <n v="1299"/>
    <n v="0.1"/>
    <n v="2598"/>
    <n v="259.8"/>
    <n v="2338.1999999999998"/>
    <n v="585"/>
    <n v="1170"/>
    <n v="60"/>
    <n v="1108.1999999999998"/>
    <n v="0.47395432383885033"/>
    <x v="0"/>
    <d v="2024-10-09T00:00:00"/>
    <n v="4"/>
    <x v="0"/>
    <n v="4"/>
    <n v="0"/>
  </r>
  <r>
    <s v="ORD-101427"/>
    <x v="275"/>
    <x v="0"/>
    <d v="2024-10-01T00:00:00"/>
    <n v="10"/>
    <s v="CUST-00772"/>
    <x v="1"/>
    <x v="13"/>
    <s v="MP"/>
    <x v="1"/>
    <s v="Indore"/>
    <x v="0"/>
    <s v="P404"/>
    <s v="Flip Flops"/>
    <x v="5"/>
    <n v="1"/>
    <n v="399"/>
    <n v="0.25"/>
    <n v="399"/>
    <n v="99.75"/>
    <n v="299.25"/>
    <n v="152"/>
    <n v="152"/>
    <n v="120"/>
    <n v="27.25"/>
    <n v="9.1060985797827898E-2"/>
    <x v="3"/>
    <d v="2024-10-08T00:00:00"/>
    <n v="3"/>
    <x v="0"/>
    <n v="4"/>
    <n v="1"/>
  </r>
  <r>
    <s v="ORD-101428"/>
    <x v="275"/>
    <x v="0"/>
    <d v="2024-10-01T00:00:00"/>
    <n v="10"/>
    <s v="CUST-00163"/>
    <x v="1"/>
    <x v="2"/>
    <s v="MH"/>
    <x v="1"/>
    <s v="Nagpur"/>
    <x v="2"/>
    <s v="P502"/>
    <s v="Ceramic Dinner Set"/>
    <x v="4"/>
    <n v="1"/>
    <n v="2499"/>
    <n v="0.25"/>
    <n v="2499"/>
    <n v="624.75"/>
    <n v="1874.25"/>
    <n v="1250"/>
    <n v="1250"/>
    <n v="60"/>
    <n v="564.25"/>
    <n v="0.30105375483526742"/>
    <x v="1"/>
    <d v="2024-10-10T00:00:00"/>
    <n v="5"/>
    <x v="2"/>
    <m/>
    <n v="0"/>
  </r>
  <r>
    <s v="ORD-101429"/>
    <x v="275"/>
    <x v="0"/>
    <d v="2024-10-01T00:00:00"/>
    <n v="10"/>
    <s v="CUST-03011"/>
    <x v="0"/>
    <x v="11"/>
    <s v="KA"/>
    <x v="3"/>
    <s v="Mysuru"/>
    <x v="1"/>
    <s v="P302"/>
    <s v="Linen Kurta"/>
    <x v="1"/>
    <n v="3"/>
    <n v="1499"/>
    <n v="0.5"/>
    <n v="4497"/>
    <n v="2248.5"/>
    <n v="2248.5"/>
    <n v="630"/>
    <n v="1890"/>
    <n v="60"/>
    <n v="298.5"/>
    <n v="0.13275517011340893"/>
    <x v="0"/>
    <d v="2024-10-08T00:00:00"/>
    <n v="3"/>
    <x v="0"/>
    <n v="4"/>
    <n v="0"/>
  </r>
  <r>
    <s v="ORD-101430"/>
    <x v="275"/>
    <x v="0"/>
    <d v="2024-10-01T00:00:00"/>
    <n v="10"/>
    <s v="CUST-00699"/>
    <x v="0"/>
    <x v="11"/>
    <s v="KA"/>
    <x v="3"/>
    <s v="Bengaluru"/>
    <x v="0"/>
    <s v="P702"/>
    <s v="Whey Protein 1kg"/>
    <x v="0"/>
    <n v="2"/>
    <n v="2299"/>
    <n v="0.6"/>
    <n v="4598"/>
    <n v="2758.7999999999997"/>
    <n v="1839.2000000000003"/>
    <n v="1333"/>
    <n v="2666"/>
    <n v="60"/>
    <n v="-886.79999999999973"/>
    <n v="-0.48216615919965178"/>
    <x v="0"/>
    <d v="2024-10-07T00:00:00"/>
    <n v="2"/>
    <x v="1"/>
    <m/>
    <n v="0"/>
  </r>
  <r>
    <s v="ORD-101431"/>
    <x v="275"/>
    <x v="0"/>
    <d v="2024-10-01T00:00:00"/>
    <n v="10"/>
    <s v="CUST-00409"/>
    <x v="1"/>
    <x v="14"/>
    <s v="KL"/>
    <x v="3"/>
    <s v="Thiruvananthapuram"/>
    <x v="2"/>
    <s v="P702"/>
    <s v="Whey Protein 1kg"/>
    <x v="0"/>
    <n v="2"/>
    <n v="2299"/>
    <n v="0.6"/>
    <n v="4598"/>
    <n v="2758.7999999999997"/>
    <n v="1839.2000000000003"/>
    <n v="1333"/>
    <n v="2666"/>
    <n v="60"/>
    <n v="-886.79999999999973"/>
    <n v="-0.48216615919965178"/>
    <x v="1"/>
    <d v="2024-10-12T00:00:00"/>
    <n v="7"/>
    <x v="2"/>
    <n v="3"/>
    <n v="0"/>
  </r>
  <r>
    <s v="ORD-101432"/>
    <x v="276"/>
    <x v="0"/>
    <d v="2024-10-01T00:00:00"/>
    <n v="10"/>
    <s v="CUST-02168"/>
    <x v="0"/>
    <x v="15"/>
    <s v="HR"/>
    <x v="0"/>
    <s v="Faridabad"/>
    <x v="0"/>
    <s v="P104"/>
    <s v="Hydrating Face Wash"/>
    <x v="3"/>
    <n v="1"/>
    <n v="299"/>
    <n v="0.2"/>
    <n v="299"/>
    <n v="59.800000000000004"/>
    <n v="239.2"/>
    <n v="90"/>
    <n v="90"/>
    <n v="60"/>
    <n v="89.199999999999989"/>
    <n v="0.37290969899665549"/>
    <x v="0"/>
    <d v="2024-10-09T00:00:00"/>
    <n v="3"/>
    <x v="0"/>
    <n v="4"/>
    <n v="0"/>
  </r>
  <r>
    <s v="ORD-101433"/>
    <x v="276"/>
    <x v="0"/>
    <d v="2024-10-01T00:00:00"/>
    <n v="10"/>
    <s v="CUST-00315"/>
    <x v="1"/>
    <x v="15"/>
    <s v="HR"/>
    <x v="0"/>
    <s v="Faridabad"/>
    <x v="4"/>
    <s v="P603"/>
    <s v="Smartwatch Strap"/>
    <x v="2"/>
    <n v="1"/>
    <n v="499"/>
    <n v="0.25"/>
    <n v="499"/>
    <n v="124.75"/>
    <n v="374.25"/>
    <n v="200"/>
    <n v="200"/>
    <n v="60"/>
    <n v="114.25"/>
    <n v="0.30527722110888444"/>
    <x v="1"/>
    <d v="2024-10-10T00:00:00"/>
    <n v="4"/>
    <x v="0"/>
    <n v="4"/>
    <n v="0"/>
  </r>
  <r>
    <s v="ORD-101434"/>
    <x v="276"/>
    <x v="0"/>
    <d v="2024-10-01T00:00:00"/>
    <n v="10"/>
    <s v="CUST-00369"/>
    <x v="0"/>
    <x v="16"/>
    <s v="UP"/>
    <x v="0"/>
    <s v="Kanpur"/>
    <x v="4"/>
    <s v="P101"/>
    <s v="Vitamin C Face Serum"/>
    <x v="3"/>
    <n v="1"/>
    <n v="599"/>
    <n v="0.2"/>
    <n v="599"/>
    <n v="119.80000000000001"/>
    <n v="479.2"/>
    <n v="180"/>
    <n v="180"/>
    <n v="60"/>
    <n v="239.2"/>
    <n v="0.4991652754590985"/>
    <x v="3"/>
    <d v="2024-10-10T00:00:00"/>
    <n v="4"/>
    <x v="0"/>
    <m/>
    <n v="0"/>
  </r>
  <r>
    <s v="ORD-101435"/>
    <x v="276"/>
    <x v="0"/>
    <d v="2024-10-01T00:00:00"/>
    <n v="10"/>
    <s v="CUST-00268"/>
    <x v="1"/>
    <x v="22"/>
    <s v="AS"/>
    <x v="2"/>
    <s v="Guwahati"/>
    <x v="2"/>
    <s v="P105"/>
    <s v="Retinol Night Cream"/>
    <x v="3"/>
    <n v="1"/>
    <n v="799"/>
    <n v="0.05"/>
    <n v="799"/>
    <n v="39.950000000000003"/>
    <n v="759.05"/>
    <n v="216"/>
    <n v="216"/>
    <n v="60"/>
    <n v="483.04999999999995"/>
    <n v="0.63638758975034582"/>
    <x v="3"/>
    <d v="2024-10-13T00:00:00"/>
    <n v="7"/>
    <x v="2"/>
    <m/>
    <n v="0"/>
  </r>
  <r>
    <s v="ORD-101436"/>
    <x v="276"/>
    <x v="0"/>
    <d v="2024-10-01T00:00:00"/>
    <n v="10"/>
    <s v="CUST-00752"/>
    <x v="0"/>
    <x v="1"/>
    <s v="GJ"/>
    <x v="1"/>
    <s v="Ahmedabad"/>
    <x v="0"/>
    <s v="P503"/>
    <s v="Scented Candle Set"/>
    <x v="4"/>
    <n v="2"/>
    <n v="699"/>
    <n v="0.35"/>
    <n v="1398"/>
    <n v="489.29999999999995"/>
    <n v="908.7"/>
    <n v="245"/>
    <n v="490"/>
    <n v="60"/>
    <n v="358.70000000000005"/>
    <n v="0.39473973808737761"/>
    <x v="3"/>
    <d v="2024-10-08T00:00:00"/>
    <n v="2"/>
    <x v="1"/>
    <n v="3"/>
    <n v="0"/>
  </r>
  <r>
    <s v="ORD-101437"/>
    <x v="276"/>
    <x v="0"/>
    <d v="2024-10-01T00:00:00"/>
    <n v="10"/>
    <s v="CUST-03104"/>
    <x v="0"/>
    <x v="13"/>
    <s v="MP"/>
    <x v="1"/>
    <s v="Indore"/>
    <x v="3"/>
    <s v="P704"/>
    <s v="Multivitamin Gummies"/>
    <x v="0"/>
    <n v="2"/>
    <n v="699"/>
    <n v="0.45"/>
    <n v="1398"/>
    <n v="629.1"/>
    <n v="768.9"/>
    <n v="238"/>
    <n v="476"/>
    <n v="120"/>
    <n v="172.89999999999998"/>
    <n v="0.22486669267785145"/>
    <x v="2"/>
    <d v="2024-10-10T00:00:00"/>
    <n v="4"/>
    <x v="0"/>
    <n v="4"/>
    <n v="1"/>
  </r>
  <r>
    <s v="ORD-101438"/>
    <x v="276"/>
    <x v="0"/>
    <d v="2024-10-01T00:00:00"/>
    <n v="10"/>
    <s v="CUST-01024"/>
    <x v="0"/>
    <x v="13"/>
    <s v="MP"/>
    <x v="1"/>
    <s v="Bhopal"/>
    <x v="2"/>
    <s v="P201"/>
    <s v="Onion Hair Oil"/>
    <x v="6"/>
    <n v="2"/>
    <n v="349"/>
    <n v="0.4"/>
    <n v="698"/>
    <n v="279.2"/>
    <n v="418.8"/>
    <n v="105"/>
    <n v="210"/>
    <n v="60"/>
    <n v="148.80000000000001"/>
    <n v="0.35530085959885388"/>
    <x v="0"/>
    <d v="2024-10-11T00:00:00"/>
    <n v="5"/>
    <x v="2"/>
    <n v="4"/>
    <n v="0"/>
  </r>
  <r>
    <s v="ORD-101439"/>
    <x v="276"/>
    <x v="0"/>
    <d v="2024-10-01T00:00:00"/>
    <n v="10"/>
    <s v="CUST-00850"/>
    <x v="0"/>
    <x v="18"/>
    <s v="WB"/>
    <x v="2"/>
    <s v="Kolkata"/>
    <x v="1"/>
    <s v="P403"/>
    <s v="Kolhapuri Sandals"/>
    <x v="5"/>
    <n v="1"/>
    <n v="999"/>
    <n v="0.05"/>
    <n v="999"/>
    <n v="49.95"/>
    <n v="949.05"/>
    <n v="400"/>
    <n v="400"/>
    <n v="60"/>
    <n v="489.04999999999995"/>
    <n v="0.5153047784626732"/>
    <x v="0"/>
    <d v="2024-10-10T00:00:00"/>
    <n v="4"/>
    <x v="0"/>
    <m/>
    <n v="0"/>
  </r>
  <r>
    <s v="ORD-101440"/>
    <x v="276"/>
    <x v="0"/>
    <d v="2024-10-01T00:00:00"/>
    <n v="10"/>
    <s v="CUST-01174"/>
    <x v="0"/>
    <x v="2"/>
    <s v="MH"/>
    <x v="1"/>
    <s v="Pune"/>
    <x v="3"/>
    <s v="P704"/>
    <s v="Multivitamin Gummies"/>
    <x v="0"/>
    <n v="1"/>
    <n v="699"/>
    <n v="0.3"/>
    <n v="699"/>
    <n v="209.7"/>
    <n v="489.3"/>
    <n v="238"/>
    <n v="238"/>
    <n v="60"/>
    <n v="191.3"/>
    <n v="0.39096668710402616"/>
    <x v="0"/>
    <d v="2024-10-10T00:00:00"/>
    <n v="4"/>
    <x v="0"/>
    <n v="4"/>
    <n v="0"/>
  </r>
  <r>
    <s v="ORD-101441"/>
    <x v="276"/>
    <x v="0"/>
    <d v="2024-10-01T00:00:00"/>
    <n v="10"/>
    <s v="CUST-00560"/>
    <x v="0"/>
    <x v="2"/>
    <s v="MH"/>
    <x v="1"/>
    <s v="Nagpur"/>
    <x v="1"/>
    <s v="P305"/>
    <s v="Printed Saree"/>
    <x v="1"/>
    <n v="1"/>
    <n v="1999"/>
    <n v="0.25"/>
    <n v="1999"/>
    <n v="499.75"/>
    <n v="1499.25"/>
    <n v="880"/>
    <n v="880"/>
    <n v="60"/>
    <n v="559.25"/>
    <n v="0.37301984325496079"/>
    <x v="0"/>
    <d v="2024-10-11T00:00:00"/>
    <n v="5"/>
    <x v="2"/>
    <n v="3"/>
    <n v="0"/>
  </r>
  <r>
    <s v="ORD-101442"/>
    <x v="276"/>
    <x v="0"/>
    <d v="2024-10-01T00:00:00"/>
    <n v="10"/>
    <s v="CUST-02156"/>
    <x v="0"/>
    <x v="21"/>
    <s v="TG"/>
    <x v="3"/>
    <s v="Hyderabad"/>
    <x v="4"/>
    <s v="P501"/>
    <s v="Copper Water Bottle"/>
    <x v="4"/>
    <n v="2"/>
    <n v="899"/>
    <n v="0.35"/>
    <n v="1798"/>
    <n v="629.29999999999995"/>
    <n v="1168.7"/>
    <n v="378"/>
    <n v="756"/>
    <n v="60"/>
    <n v="352.70000000000005"/>
    <n v="0.30178831179943527"/>
    <x v="3"/>
    <d v="2024-10-09T00:00:00"/>
    <n v="3"/>
    <x v="0"/>
    <m/>
    <n v="0"/>
  </r>
  <r>
    <s v="ORD-101443"/>
    <x v="276"/>
    <x v="0"/>
    <d v="2024-10-01T00:00:00"/>
    <n v="10"/>
    <s v="CUST-00817"/>
    <x v="1"/>
    <x v="21"/>
    <s v="TG"/>
    <x v="3"/>
    <s v="Hyderabad"/>
    <x v="4"/>
    <s v="P501"/>
    <s v="Copper Water Bottle"/>
    <x v="4"/>
    <n v="1"/>
    <n v="899"/>
    <n v="0.1"/>
    <n v="899"/>
    <n v="89.9"/>
    <n v="809.1"/>
    <n v="378"/>
    <n v="378"/>
    <n v="60"/>
    <n v="371.1"/>
    <n v="0.45865776789024842"/>
    <x v="0"/>
    <d v="2024-10-10T00:00:00"/>
    <n v="4"/>
    <x v="0"/>
    <n v="4"/>
    <n v="0"/>
  </r>
  <r>
    <s v="ORD-101444"/>
    <x v="276"/>
    <x v="0"/>
    <d v="2024-10-01T00:00:00"/>
    <n v="10"/>
    <s v="CUST-00635"/>
    <x v="1"/>
    <x v="11"/>
    <s v="KA"/>
    <x v="3"/>
    <s v="Mysuru"/>
    <x v="0"/>
    <s v="P603"/>
    <s v="Smartwatch Strap"/>
    <x v="2"/>
    <n v="1"/>
    <n v="499"/>
    <n v="0.35"/>
    <n v="499"/>
    <n v="174.64999999999998"/>
    <n v="324.35000000000002"/>
    <n v="200"/>
    <n v="200"/>
    <n v="60"/>
    <n v="64.350000000000023"/>
    <n v="0.19839679358717441"/>
    <x v="0"/>
    <d v="2024-10-09T00:00:00"/>
    <n v="3"/>
    <x v="0"/>
    <n v="4"/>
    <n v="0"/>
  </r>
  <r>
    <s v="ORD-101445"/>
    <x v="276"/>
    <x v="0"/>
    <d v="2024-10-01T00:00:00"/>
    <n v="10"/>
    <s v="CUST-02073"/>
    <x v="0"/>
    <x v="11"/>
    <s v="KA"/>
    <x v="3"/>
    <s v="Bengaluru"/>
    <x v="3"/>
    <s v="P203"/>
    <s v="Keratin Hair Mask"/>
    <x v="6"/>
    <n v="1"/>
    <n v="549"/>
    <n v="0.15"/>
    <n v="549"/>
    <n v="82.35"/>
    <n v="466.65"/>
    <n v="170"/>
    <n v="170"/>
    <n v="60"/>
    <n v="236.64999999999998"/>
    <n v="0.50712525447337398"/>
    <x v="0"/>
    <d v="2024-10-09T00:00:00"/>
    <n v="3"/>
    <x v="0"/>
    <n v="5"/>
    <n v="0"/>
  </r>
  <r>
    <s v="ORD-101446"/>
    <x v="277"/>
    <x v="0"/>
    <d v="2024-10-01T00:00:00"/>
    <n v="10"/>
    <s v="CUST-01958"/>
    <x v="0"/>
    <x v="19"/>
    <s v="PB"/>
    <x v="0"/>
    <s v="Ludhiana"/>
    <x v="4"/>
    <s v="P501"/>
    <s v="Copper Water Bottle"/>
    <x v="4"/>
    <n v="1"/>
    <n v="899"/>
    <n v="0.2"/>
    <n v="899"/>
    <n v="179.8"/>
    <n v="719.2"/>
    <n v="378"/>
    <n v="378"/>
    <n v="60"/>
    <n v="281.20000000000005"/>
    <n v="0.39098998887652953"/>
    <x v="0"/>
    <d v="2024-10-11T00:00:00"/>
    <n v="4"/>
    <x v="0"/>
    <m/>
    <n v="0"/>
  </r>
  <r>
    <s v="ORD-101447"/>
    <x v="277"/>
    <x v="0"/>
    <d v="2024-10-01T00:00:00"/>
    <n v="10"/>
    <s v="CUST-01099"/>
    <x v="0"/>
    <x v="16"/>
    <s v="UP"/>
    <x v="0"/>
    <s v="Kanpur"/>
    <x v="4"/>
    <s v="P404"/>
    <s v="Flip Flops"/>
    <x v="5"/>
    <n v="1"/>
    <n v="399"/>
    <n v="0.25"/>
    <n v="399"/>
    <n v="99.75"/>
    <n v="299.25"/>
    <n v="152"/>
    <n v="152"/>
    <n v="60"/>
    <n v="87.25"/>
    <n v="0.29156223893065997"/>
    <x v="3"/>
    <d v="2024-10-12T00:00:00"/>
    <n v="5"/>
    <x v="2"/>
    <n v="3"/>
    <n v="0"/>
  </r>
  <r>
    <s v="ORD-101448"/>
    <x v="277"/>
    <x v="0"/>
    <d v="2024-10-01T00:00:00"/>
    <n v="10"/>
    <s v="CUST-00731"/>
    <x v="1"/>
    <x v="2"/>
    <s v="MH"/>
    <x v="1"/>
    <s v="Pune"/>
    <x v="1"/>
    <s v="P404"/>
    <s v="Flip Flops"/>
    <x v="5"/>
    <n v="1"/>
    <n v="399"/>
    <n v="0.1"/>
    <n v="399"/>
    <n v="39.900000000000006"/>
    <n v="359.1"/>
    <n v="152"/>
    <n v="152"/>
    <n v="60"/>
    <n v="147.10000000000002"/>
    <n v="0.40963519910888335"/>
    <x v="4"/>
    <d v="2024-10-10T00:00:00"/>
    <n v="3"/>
    <x v="0"/>
    <n v="4"/>
    <n v="0"/>
  </r>
  <r>
    <s v="ORD-101449"/>
    <x v="277"/>
    <x v="0"/>
    <d v="2024-10-01T00:00:00"/>
    <n v="10"/>
    <s v="CUST-02492"/>
    <x v="1"/>
    <x v="2"/>
    <s v="MH"/>
    <x v="1"/>
    <s v="Mumbai"/>
    <x v="0"/>
    <s v="P503"/>
    <s v="Scented Candle Set"/>
    <x v="4"/>
    <n v="1"/>
    <n v="699"/>
    <n v="0.25"/>
    <n v="699"/>
    <n v="174.75"/>
    <n v="524.25"/>
    <n v="245"/>
    <n v="245"/>
    <n v="60"/>
    <n v="219.25"/>
    <n v="0.41821649976156416"/>
    <x v="1"/>
    <d v="2024-10-10T00:00:00"/>
    <n v="3"/>
    <x v="0"/>
    <n v="5"/>
    <n v="0"/>
  </r>
  <r>
    <s v="ORD-101450"/>
    <x v="277"/>
    <x v="0"/>
    <d v="2024-10-01T00:00:00"/>
    <n v="10"/>
    <s v="CUST-02935"/>
    <x v="0"/>
    <x v="3"/>
    <s v="OD"/>
    <x v="2"/>
    <s v="Bhubaneswar"/>
    <x v="4"/>
    <s v="P202"/>
    <s v="Argan Shampoo"/>
    <x v="6"/>
    <n v="2"/>
    <n v="449"/>
    <n v="0.3"/>
    <n v="898"/>
    <n v="269.39999999999998"/>
    <n v="628.6"/>
    <n v="148"/>
    <n v="296"/>
    <n v="60"/>
    <n v="272.60000000000002"/>
    <n v="0.43366210626789692"/>
    <x v="0"/>
    <d v="2024-10-11T00:00:00"/>
    <n v="4"/>
    <x v="0"/>
    <m/>
    <n v="0"/>
  </r>
  <r>
    <s v="ORD-101451"/>
    <x v="277"/>
    <x v="0"/>
    <d v="2024-10-01T00:00:00"/>
    <n v="10"/>
    <s v="CUST-00903"/>
    <x v="0"/>
    <x v="11"/>
    <s v="KA"/>
    <x v="3"/>
    <s v="Mysuru"/>
    <x v="4"/>
    <s v="P404"/>
    <s v="Flip Flops"/>
    <x v="5"/>
    <n v="1"/>
    <n v="399"/>
    <n v="0.35"/>
    <n v="399"/>
    <n v="139.64999999999998"/>
    <n v="259.35000000000002"/>
    <n v="152"/>
    <n v="152"/>
    <n v="60"/>
    <n v="47.350000000000023"/>
    <n v="0.1825718141507616"/>
    <x v="3"/>
    <d v="2024-10-09T00:00:00"/>
    <n v="2"/>
    <x v="1"/>
    <n v="4"/>
    <n v="0"/>
  </r>
  <r>
    <s v="ORD-101452"/>
    <x v="277"/>
    <x v="0"/>
    <d v="2024-10-01T00:00:00"/>
    <n v="10"/>
    <s v="CUST-00392"/>
    <x v="1"/>
    <x v="8"/>
    <s v="AP"/>
    <x v="3"/>
    <s v="Visakhapatnam"/>
    <x v="4"/>
    <s v="P103"/>
    <s v="Niacinamide Toner"/>
    <x v="3"/>
    <n v="2"/>
    <n v="399"/>
    <n v="0.35"/>
    <n v="798"/>
    <n v="279.29999999999995"/>
    <n v="518.70000000000005"/>
    <n v="112"/>
    <n v="224"/>
    <n v="60"/>
    <n v="234.70000000000005"/>
    <n v="0.45247734721418936"/>
    <x v="0"/>
    <d v="2024-10-11T00:00:00"/>
    <n v="4"/>
    <x v="0"/>
    <n v="4"/>
    <n v="0"/>
  </r>
  <r>
    <s v="ORD-101453"/>
    <x v="277"/>
    <x v="0"/>
    <d v="2024-10-01T00:00:00"/>
    <n v="10"/>
    <s v="CUST-00941"/>
    <x v="0"/>
    <x v="17"/>
    <s v="TN"/>
    <x v="3"/>
    <s v="Coimbatore"/>
    <x v="4"/>
    <s v="P204"/>
    <s v="Anti-Dandruff Conditioner"/>
    <x v="6"/>
    <n v="2"/>
    <n v="399"/>
    <n v="0.45"/>
    <n v="798"/>
    <n v="359.1"/>
    <n v="438.9"/>
    <n v="136"/>
    <n v="272"/>
    <n v="60"/>
    <n v="106.89999999999998"/>
    <n v="0.24356345408976984"/>
    <x v="0"/>
    <d v="2024-10-09T00:00:00"/>
    <n v="2"/>
    <x v="1"/>
    <m/>
    <n v="0"/>
  </r>
  <r>
    <s v="ORD-101454"/>
    <x v="278"/>
    <x v="0"/>
    <d v="2024-10-01T00:00:00"/>
    <n v="10"/>
    <s v="CUST-01152"/>
    <x v="0"/>
    <x v="0"/>
    <s v="RJ"/>
    <x v="0"/>
    <s v="Jaipur"/>
    <x v="1"/>
    <s v="P301"/>
    <s v="Cotton Oversized T-Shirt"/>
    <x v="1"/>
    <n v="1"/>
    <n v="799"/>
    <n v="0.25"/>
    <n v="799"/>
    <n v="199.75"/>
    <n v="599.25"/>
    <n v="320"/>
    <n v="320"/>
    <n v="60"/>
    <n v="219.25"/>
    <n v="0.36587400917813934"/>
    <x v="3"/>
    <d v="2024-10-13T00:00:00"/>
    <n v="5"/>
    <x v="2"/>
    <n v="3"/>
    <n v="0"/>
  </r>
  <r>
    <s v="ORD-101455"/>
    <x v="278"/>
    <x v="0"/>
    <d v="2024-10-01T00:00:00"/>
    <n v="10"/>
    <s v="CUST-01460"/>
    <x v="1"/>
    <x v="15"/>
    <s v="HR"/>
    <x v="0"/>
    <s v="Faridabad"/>
    <x v="4"/>
    <s v="P402"/>
    <s v="Casual Sneakers"/>
    <x v="5"/>
    <n v="2"/>
    <n v="2199"/>
    <n v="0.4"/>
    <n v="4398"/>
    <n v="1759.2"/>
    <n v="2638.8"/>
    <n v="1034"/>
    <n v="2068"/>
    <n v="60"/>
    <n v="510.80000000000018"/>
    <n v="0.19357283613763837"/>
    <x v="0"/>
    <d v="2024-10-11T00:00:00"/>
    <n v="3"/>
    <x v="0"/>
    <n v="3"/>
    <n v="0"/>
  </r>
  <r>
    <s v="ORD-101456"/>
    <x v="278"/>
    <x v="0"/>
    <d v="2024-10-01T00:00:00"/>
    <n v="10"/>
    <s v="CUST-01234"/>
    <x v="0"/>
    <x v="16"/>
    <s v="UP"/>
    <x v="0"/>
    <s v="Lucknow"/>
    <x v="2"/>
    <s v="P304"/>
    <s v="Denim Jacket"/>
    <x v="1"/>
    <n v="2"/>
    <n v="2499"/>
    <n v="0.05"/>
    <n v="4998"/>
    <n v="249.9"/>
    <n v="4748.1000000000004"/>
    <n v="1125"/>
    <n v="2250"/>
    <n v="60"/>
    <n v="2438.1000000000004"/>
    <n v="0.51348960636886343"/>
    <x v="0"/>
    <d v="2024-10-13T00:00:00"/>
    <n v="5"/>
    <x v="2"/>
    <n v="4"/>
    <n v="0"/>
  </r>
  <r>
    <s v="ORD-101457"/>
    <x v="278"/>
    <x v="0"/>
    <d v="2024-10-01T00:00:00"/>
    <n v="10"/>
    <s v="CUST-02987"/>
    <x v="0"/>
    <x v="12"/>
    <s v="BR"/>
    <x v="2"/>
    <s v="Patna"/>
    <x v="0"/>
    <s v="P703"/>
    <s v="Green Tea (100 bags)"/>
    <x v="0"/>
    <n v="1"/>
    <n v="399"/>
    <n v="0.4"/>
    <n v="399"/>
    <n v="159.60000000000002"/>
    <n v="239.39999999999998"/>
    <n v="128"/>
    <n v="128"/>
    <n v="60"/>
    <n v="51.399999999999977"/>
    <n v="0.21470342522974095"/>
    <x v="0"/>
    <d v="2024-10-13T00:00:00"/>
    <n v="5"/>
    <x v="2"/>
    <m/>
    <n v="0"/>
  </r>
  <r>
    <s v="ORD-101458"/>
    <x v="278"/>
    <x v="0"/>
    <d v="2024-10-01T00:00:00"/>
    <n v="10"/>
    <s v="CUST-00628"/>
    <x v="1"/>
    <x v="1"/>
    <s v="GJ"/>
    <x v="1"/>
    <s v="Ahmedabad"/>
    <x v="0"/>
    <s v="P602"/>
    <s v="Fast Charger 33W"/>
    <x v="2"/>
    <n v="1"/>
    <n v="899"/>
    <n v="0.15"/>
    <n v="899"/>
    <n v="134.85"/>
    <n v="764.15"/>
    <n v="494"/>
    <n v="494"/>
    <n v="60"/>
    <n v="210.14999999999998"/>
    <n v="0.27501145063142052"/>
    <x v="0"/>
    <d v="2024-10-11T00:00:00"/>
    <n v="3"/>
    <x v="0"/>
    <m/>
    <n v="0"/>
  </r>
  <r>
    <s v="ORD-101459"/>
    <x v="278"/>
    <x v="0"/>
    <d v="2024-10-01T00:00:00"/>
    <n v="10"/>
    <s v="CUST-00416"/>
    <x v="1"/>
    <x v="13"/>
    <s v="MP"/>
    <x v="1"/>
    <s v="Indore"/>
    <x v="4"/>
    <s v="P703"/>
    <s v="Green Tea (100 bags)"/>
    <x v="0"/>
    <n v="1"/>
    <n v="399"/>
    <n v="0.35"/>
    <n v="399"/>
    <n v="139.64999999999998"/>
    <n v="259.35000000000002"/>
    <n v="128"/>
    <n v="128"/>
    <n v="60"/>
    <n v="71.350000000000023"/>
    <n v="0.27511085405822255"/>
    <x v="0"/>
    <d v="2024-10-13T00:00:00"/>
    <n v="5"/>
    <x v="2"/>
    <n v="3"/>
    <n v="0"/>
  </r>
  <r>
    <s v="ORD-101460"/>
    <x v="278"/>
    <x v="0"/>
    <d v="2024-10-01T00:00:00"/>
    <n v="10"/>
    <s v="CUST-00839"/>
    <x v="0"/>
    <x v="18"/>
    <s v="WB"/>
    <x v="2"/>
    <s v="Kolkata"/>
    <x v="4"/>
    <s v="P702"/>
    <s v="Whey Protein 1kg"/>
    <x v="0"/>
    <n v="4"/>
    <n v="2299"/>
    <n v="0.35"/>
    <n v="9196"/>
    <n v="3218.6"/>
    <n v="5977.4"/>
    <n v="1333"/>
    <n v="5332"/>
    <n v="60"/>
    <n v="585.39999999999964"/>
    <n v="9.7935557265700746E-2"/>
    <x v="0"/>
    <d v="2024-10-10T00:00:00"/>
    <n v="2"/>
    <x v="1"/>
    <n v="4"/>
    <n v="0"/>
  </r>
  <r>
    <s v="ORD-101461"/>
    <x v="278"/>
    <x v="0"/>
    <d v="2024-10-01T00:00:00"/>
    <n v="10"/>
    <s v="CUST-00638"/>
    <x v="0"/>
    <x v="2"/>
    <s v="MH"/>
    <x v="1"/>
    <s v="Mumbai"/>
    <x v="0"/>
    <s v="P602"/>
    <s v="Fast Charger 33W"/>
    <x v="2"/>
    <n v="2"/>
    <n v="899"/>
    <n v="0.05"/>
    <n v="1798"/>
    <n v="89.9"/>
    <n v="1708.1"/>
    <n v="494"/>
    <n v="988"/>
    <n v="60"/>
    <n v="660.09999999999991"/>
    <n v="0.38645278379485976"/>
    <x v="0"/>
    <d v="2024-10-09T00:00:00"/>
    <n v="1"/>
    <x v="1"/>
    <n v="4"/>
    <n v="0"/>
  </r>
  <r>
    <s v="ORD-101462"/>
    <x v="278"/>
    <x v="0"/>
    <d v="2024-10-01T00:00:00"/>
    <n v="10"/>
    <s v="CUST-00909"/>
    <x v="1"/>
    <x v="21"/>
    <s v="TG"/>
    <x v="3"/>
    <s v="Hyderabad"/>
    <x v="0"/>
    <s v="P403"/>
    <s v="Kolhapuri Sandals"/>
    <x v="5"/>
    <n v="1"/>
    <n v="999"/>
    <n v="0.3"/>
    <n v="999"/>
    <n v="299.7"/>
    <n v="699.3"/>
    <n v="400"/>
    <n v="400"/>
    <n v="60"/>
    <n v="239.29999999999995"/>
    <n v="0.34219934219934217"/>
    <x v="0"/>
    <d v="2024-10-09T00:00:00"/>
    <n v="1"/>
    <x v="1"/>
    <n v="5"/>
    <n v="0"/>
  </r>
  <r>
    <s v="ORD-101463"/>
    <x v="278"/>
    <x v="0"/>
    <d v="2024-10-01T00:00:00"/>
    <n v="10"/>
    <s v="CUST-02658"/>
    <x v="1"/>
    <x v="20"/>
    <s v="GA"/>
    <x v="1"/>
    <s v="Panaji"/>
    <x v="4"/>
    <s v="P104"/>
    <s v="Hydrating Face Wash"/>
    <x v="3"/>
    <n v="2"/>
    <n v="299"/>
    <n v="0.1"/>
    <n v="598"/>
    <n v="59.800000000000004"/>
    <n v="538.20000000000005"/>
    <n v="90"/>
    <n v="180"/>
    <n v="60"/>
    <n v="298.20000000000005"/>
    <n v="0.55406911928651059"/>
    <x v="1"/>
    <d v="2024-10-12T00:00:00"/>
    <n v="4"/>
    <x v="0"/>
    <n v="4"/>
    <n v="0"/>
  </r>
  <r>
    <s v="ORD-101464"/>
    <x v="278"/>
    <x v="0"/>
    <d v="2024-10-01T00:00:00"/>
    <n v="10"/>
    <s v="CUST-00964"/>
    <x v="1"/>
    <x v="17"/>
    <s v="TN"/>
    <x v="3"/>
    <s v="Chennai"/>
    <x v="3"/>
    <s v="P204"/>
    <s v="Anti-Dandruff Conditioner"/>
    <x v="6"/>
    <n v="3"/>
    <n v="399"/>
    <n v="0.55000000000000004"/>
    <n v="1197"/>
    <n v="658.35"/>
    <n v="538.65"/>
    <n v="136"/>
    <n v="408"/>
    <n v="60"/>
    <n v="70.649999999999977"/>
    <n v="0.13116123642439428"/>
    <x v="1"/>
    <d v="2024-10-13T00:00:00"/>
    <n v="5"/>
    <x v="2"/>
    <n v="2"/>
    <n v="0"/>
  </r>
  <r>
    <s v="ORD-101465"/>
    <x v="278"/>
    <x v="0"/>
    <d v="2024-10-01T00:00:00"/>
    <n v="10"/>
    <s v="CUST-00711"/>
    <x v="1"/>
    <x v="17"/>
    <s v="TN"/>
    <x v="3"/>
    <s v="Coimbatore"/>
    <x v="0"/>
    <s v="P104"/>
    <s v="Hydrating Face Wash"/>
    <x v="3"/>
    <n v="1"/>
    <n v="299"/>
    <n v="0.2"/>
    <n v="299"/>
    <n v="59.800000000000004"/>
    <n v="239.2"/>
    <n v="90"/>
    <n v="90"/>
    <n v="60"/>
    <n v="89.199999999999989"/>
    <n v="0.37290969899665549"/>
    <x v="3"/>
    <d v="2024-10-13T00:00:00"/>
    <n v="5"/>
    <x v="2"/>
    <m/>
    <n v="0"/>
  </r>
  <r>
    <s v="ORD-101466"/>
    <x v="279"/>
    <x v="0"/>
    <d v="2024-10-01T00:00:00"/>
    <n v="10"/>
    <s v="CUST-02714"/>
    <x v="1"/>
    <x v="4"/>
    <s v="JK"/>
    <x v="0"/>
    <s v="Jammu"/>
    <x v="0"/>
    <s v="P305"/>
    <s v="Printed Saree"/>
    <x v="1"/>
    <n v="2"/>
    <n v="1999"/>
    <n v="0.3"/>
    <n v="3998"/>
    <n v="1199.3999999999999"/>
    <n v="2798.6000000000004"/>
    <n v="880"/>
    <n v="1760"/>
    <n v="120"/>
    <n v="918.60000000000036"/>
    <n v="0.32823554634460095"/>
    <x v="4"/>
    <d v="2024-10-15T00:00:00"/>
    <n v="6"/>
    <x v="2"/>
    <m/>
    <n v="1"/>
  </r>
  <r>
    <s v="ORD-101467"/>
    <x v="279"/>
    <x v="0"/>
    <d v="2024-10-01T00:00:00"/>
    <n v="10"/>
    <s v="CUST-00362"/>
    <x v="0"/>
    <x v="19"/>
    <s v="PB"/>
    <x v="0"/>
    <s v="Ludhiana"/>
    <x v="3"/>
    <s v="P203"/>
    <s v="Keratin Hair Mask"/>
    <x v="6"/>
    <n v="2"/>
    <n v="549"/>
    <n v="0.35"/>
    <n v="1098"/>
    <n v="384.29999999999995"/>
    <n v="713.7"/>
    <n v="170"/>
    <n v="340"/>
    <n v="60"/>
    <n v="313.70000000000005"/>
    <n v="0.43954042314698055"/>
    <x v="3"/>
    <d v="2024-10-11T00:00:00"/>
    <n v="2"/>
    <x v="1"/>
    <m/>
    <n v="0"/>
  </r>
  <r>
    <s v="ORD-101468"/>
    <x v="279"/>
    <x v="0"/>
    <d v="2024-10-01T00:00:00"/>
    <n v="10"/>
    <s v="CUST-01200"/>
    <x v="0"/>
    <x v="0"/>
    <s v="RJ"/>
    <x v="0"/>
    <s v="Udaipur"/>
    <x v="3"/>
    <s v="P102"/>
    <s v="Sunscreen SPF 50"/>
    <x v="3"/>
    <n v="1"/>
    <n v="449"/>
    <n v="0.15"/>
    <n v="449"/>
    <n v="67.349999999999994"/>
    <n v="381.65"/>
    <n v="144"/>
    <n v="144"/>
    <n v="120"/>
    <n v="117.64999999999998"/>
    <n v="0.30826673653871345"/>
    <x v="4"/>
    <d v="2024-10-14T00:00:00"/>
    <n v="5"/>
    <x v="2"/>
    <n v="4"/>
    <n v="1"/>
  </r>
  <r>
    <s v="ORD-101469"/>
    <x v="279"/>
    <x v="0"/>
    <d v="2024-10-01T00:00:00"/>
    <n v="10"/>
    <s v="CUST-00434"/>
    <x v="1"/>
    <x v="1"/>
    <s v="GJ"/>
    <x v="1"/>
    <s v="Surat"/>
    <x v="1"/>
    <s v="P304"/>
    <s v="Denim Jacket"/>
    <x v="1"/>
    <n v="1"/>
    <n v="2499"/>
    <n v="0.1"/>
    <n v="2499"/>
    <n v="249.9"/>
    <n v="2249.1"/>
    <n v="1125"/>
    <n v="1125"/>
    <n v="60"/>
    <n v="1064.0999999999999"/>
    <n v="0.4731225823662798"/>
    <x v="1"/>
    <d v="2024-10-10T00:00:00"/>
    <n v="1"/>
    <x v="1"/>
    <n v="4"/>
    <n v="0"/>
  </r>
  <r>
    <s v="ORD-101470"/>
    <x v="279"/>
    <x v="0"/>
    <d v="2024-10-01T00:00:00"/>
    <n v="10"/>
    <s v="CUST-00143"/>
    <x v="1"/>
    <x v="10"/>
    <s v="CG"/>
    <x v="2"/>
    <s v="Raipur"/>
    <x v="2"/>
    <s v="P305"/>
    <s v="Printed Saree"/>
    <x v="1"/>
    <n v="1"/>
    <n v="1999"/>
    <n v="0.15"/>
    <n v="1999"/>
    <n v="299.84999999999997"/>
    <n v="1699.15"/>
    <n v="880"/>
    <n v="880"/>
    <n v="60"/>
    <n v="759.15000000000009"/>
    <n v="0.44678221463673018"/>
    <x v="0"/>
    <d v="2024-10-14T00:00:00"/>
    <n v="5"/>
    <x v="2"/>
    <n v="3"/>
    <n v="0"/>
  </r>
  <r>
    <s v="ORD-101471"/>
    <x v="279"/>
    <x v="0"/>
    <d v="2024-10-01T00:00:00"/>
    <n v="10"/>
    <s v="CUST-01432"/>
    <x v="0"/>
    <x v="2"/>
    <s v="MH"/>
    <x v="1"/>
    <s v="Pune"/>
    <x v="3"/>
    <s v="P203"/>
    <s v="Keratin Hair Mask"/>
    <x v="6"/>
    <n v="2"/>
    <n v="549"/>
    <n v="0.3"/>
    <n v="1098"/>
    <n v="329.4"/>
    <n v="768.6"/>
    <n v="170"/>
    <n v="340"/>
    <n v="120"/>
    <n v="308.60000000000002"/>
    <n v="0.40150923757481138"/>
    <x v="4"/>
    <d v="2024-10-10T00:00:00"/>
    <n v="1"/>
    <x v="1"/>
    <m/>
    <n v="1"/>
  </r>
  <r>
    <s v="ORD-101472"/>
    <x v="279"/>
    <x v="0"/>
    <d v="2024-10-01T00:00:00"/>
    <n v="10"/>
    <s v="CUST-02204"/>
    <x v="0"/>
    <x v="11"/>
    <s v="KA"/>
    <x v="3"/>
    <s v="Mysuru"/>
    <x v="2"/>
    <s v="P102"/>
    <s v="Sunscreen SPF 50"/>
    <x v="3"/>
    <n v="4"/>
    <n v="449"/>
    <n v="0.25"/>
    <n v="1796"/>
    <n v="449"/>
    <n v="1347"/>
    <n v="144"/>
    <n v="576"/>
    <n v="60"/>
    <n v="711"/>
    <n v="0.5278396436525612"/>
    <x v="0"/>
    <d v="2024-10-14T00:00:00"/>
    <n v="5"/>
    <x v="2"/>
    <n v="3"/>
    <n v="0"/>
  </r>
  <r>
    <s v="ORD-101473"/>
    <x v="279"/>
    <x v="0"/>
    <d v="2024-10-01T00:00:00"/>
    <n v="10"/>
    <s v="CUST-00477"/>
    <x v="0"/>
    <x v="11"/>
    <s v="KA"/>
    <x v="3"/>
    <s v="Bengaluru"/>
    <x v="3"/>
    <s v="P703"/>
    <s v="Green Tea (100 bags)"/>
    <x v="0"/>
    <n v="2"/>
    <n v="399"/>
    <n v="0.55000000000000004"/>
    <n v="798"/>
    <n v="438.90000000000003"/>
    <n v="359.09999999999997"/>
    <n v="128"/>
    <n v="256"/>
    <n v="60"/>
    <n v="43.099999999999966"/>
    <n v="0.12002227791701467"/>
    <x v="3"/>
    <d v="2024-10-10T00:00:00"/>
    <n v="1"/>
    <x v="1"/>
    <m/>
    <n v="0"/>
  </r>
  <r>
    <s v="ORD-101474"/>
    <x v="279"/>
    <x v="0"/>
    <d v="2024-10-01T00:00:00"/>
    <n v="10"/>
    <s v="CUST-00198"/>
    <x v="0"/>
    <x v="11"/>
    <s v="KA"/>
    <x v="3"/>
    <s v="Bengaluru"/>
    <x v="2"/>
    <s v="P704"/>
    <s v="Multivitamin Gummies"/>
    <x v="0"/>
    <n v="1"/>
    <n v="699"/>
    <n v="0.45"/>
    <n v="699"/>
    <n v="314.55"/>
    <n v="384.45"/>
    <n v="238"/>
    <n v="238"/>
    <n v="60"/>
    <n v="86.449999999999989"/>
    <n v="0.22486669267785145"/>
    <x v="0"/>
    <d v="2024-10-11T00:00:00"/>
    <n v="2"/>
    <x v="1"/>
    <n v="3"/>
    <n v="0"/>
  </r>
  <r>
    <s v="ORD-101475"/>
    <x v="279"/>
    <x v="0"/>
    <d v="2024-10-01T00:00:00"/>
    <n v="10"/>
    <s v="CUST-00142"/>
    <x v="1"/>
    <x v="14"/>
    <s v="KL"/>
    <x v="3"/>
    <s v="Thiruvananthapuram"/>
    <x v="0"/>
    <s v="P105"/>
    <s v="Retinol Night Cream"/>
    <x v="3"/>
    <n v="2"/>
    <n v="799"/>
    <n v="0.35"/>
    <n v="1598"/>
    <n v="559.29999999999995"/>
    <n v="1038.7"/>
    <n v="216"/>
    <n v="432"/>
    <n v="60"/>
    <n v="546.70000000000005"/>
    <n v="0.52633099066140365"/>
    <x v="1"/>
    <d v="2024-10-12T00:00:00"/>
    <n v="3"/>
    <x v="0"/>
    <n v="5"/>
    <n v="0"/>
  </r>
  <r>
    <s v="ORD-101476"/>
    <x v="280"/>
    <x v="0"/>
    <d v="2024-10-01T00:00:00"/>
    <n v="10"/>
    <s v="CUST-00746"/>
    <x v="0"/>
    <x v="19"/>
    <s v="PB"/>
    <x v="0"/>
    <s v="Ludhiana"/>
    <x v="1"/>
    <s v="P302"/>
    <s v="Linen Kurta"/>
    <x v="1"/>
    <n v="2"/>
    <n v="1499"/>
    <n v="0.55000000000000004"/>
    <n v="2998"/>
    <n v="1648.9"/>
    <n v="1349.1"/>
    <n v="630"/>
    <n v="1260"/>
    <n v="60"/>
    <n v="29.099999999999909"/>
    <n v="2.1569935512563865E-2"/>
    <x v="0"/>
    <d v="2024-10-14T00:00:00"/>
    <n v="4"/>
    <x v="0"/>
    <n v="4"/>
    <n v="0"/>
  </r>
  <r>
    <s v="ORD-101477"/>
    <x v="280"/>
    <x v="0"/>
    <d v="2024-10-01T00:00:00"/>
    <n v="10"/>
    <s v="CUST-00615"/>
    <x v="0"/>
    <x v="9"/>
    <s v="UK"/>
    <x v="0"/>
    <s v="Dehradun"/>
    <x v="3"/>
    <s v="P202"/>
    <s v="Argan Shampoo"/>
    <x v="6"/>
    <n v="1"/>
    <n v="449"/>
    <n v="0.25"/>
    <n v="449"/>
    <n v="112.25"/>
    <n v="336.75"/>
    <n v="148"/>
    <n v="148"/>
    <n v="60"/>
    <n v="128.75"/>
    <n v="0.38233110616184113"/>
    <x v="2"/>
    <d v="2024-10-15T00:00:00"/>
    <n v="5"/>
    <x v="2"/>
    <m/>
    <n v="0"/>
  </r>
  <r>
    <s v="ORD-101478"/>
    <x v="280"/>
    <x v="0"/>
    <d v="2024-10-01T00:00:00"/>
    <n v="10"/>
    <s v="CUST-00598"/>
    <x v="1"/>
    <x v="16"/>
    <s v="UP"/>
    <x v="0"/>
    <s v="Kanpur"/>
    <x v="3"/>
    <s v="P202"/>
    <s v="Argan Shampoo"/>
    <x v="6"/>
    <n v="1"/>
    <n v="449"/>
    <n v="0.05"/>
    <n v="449"/>
    <n v="22.450000000000003"/>
    <n v="426.55"/>
    <n v="148"/>
    <n v="148"/>
    <n v="120"/>
    <n v="158.55000000000001"/>
    <n v="0.37170320009377567"/>
    <x v="0"/>
    <d v="2024-10-13T00:00:00"/>
    <n v="3"/>
    <x v="0"/>
    <m/>
    <n v="1"/>
  </r>
  <r>
    <s v="ORD-101479"/>
    <x v="280"/>
    <x v="0"/>
    <d v="2024-10-01T00:00:00"/>
    <n v="10"/>
    <s v="CUST-00422"/>
    <x v="0"/>
    <x v="7"/>
    <s v="JH"/>
    <x v="2"/>
    <s v="Ranchi"/>
    <x v="2"/>
    <s v="P101"/>
    <s v="Vitamin C Face Serum"/>
    <x v="3"/>
    <n v="1"/>
    <n v="599"/>
    <n v="0.2"/>
    <n v="599"/>
    <n v="119.80000000000001"/>
    <n v="479.2"/>
    <n v="180"/>
    <n v="180"/>
    <n v="60"/>
    <n v="239.2"/>
    <n v="0.4991652754590985"/>
    <x v="4"/>
    <d v="2024-10-15T00:00:00"/>
    <n v="5"/>
    <x v="2"/>
    <n v="4"/>
    <n v="0"/>
  </r>
  <r>
    <s v="ORD-101480"/>
    <x v="280"/>
    <x v="0"/>
    <d v="2024-10-01T00:00:00"/>
    <n v="10"/>
    <s v="CUST-00385"/>
    <x v="0"/>
    <x v="2"/>
    <s v="MH"/>
    <x v="1"/>
    <s v="Pune"/>
    <x v="3"/>
    <s v="P202"/>
    <s v="Argan Shampoo"/>
    <x v="6"/>
    <n v="1"/>
    <n v="449"/>
    <n v="0.1"/>
    <n v="449"/>
    <n v="44.900000000000006"/>
    <n v="404.1"/>
    <n v="148"/>
    <n v="148"/>
    <n v="60"/>
    <n v="196.10000000000002"/>
    <n v="0.48527592180153428"/>
    <x v="0"/>
    <d v="2024-10-13T00:00:00"/>
    <n v="3"/>
    <x v="0"/>
    <n v="4"/>
    <n v="0"/>
  </r>
  <r>
    <s v="ORD-101481"/>
    <x v="280"/>
    <x v="0"/>
    <d v="2024-10-01T00:00:00"/>
    <n v="10"/>
    <s v="CUST-02744"/>
    <x v="0"/>
    <x v="21"/>
    <s v="TG"/>
    <x v="3"/>
    <s v="Hyderabad"/>
    <x v="0"/>
    <s v="P104"/>
    <s v="Hydrating Face Wash"/>
    <x v="3"/>
    <n v="2"/>
    <n v="299"/>
    <n v="0.3"/>
    <n v="598"/>
    <n v="179.4"/>
    <n v="418.6"/>
    <n v="90"/>
    <n v="180"/>
    <n v="60"/>
    <n v="178.60000000000002"/>
    <n v="0.42666029622551366"/>
    <x v="4"/>
    <d v="2024-10-14T00:00:00"/>
    <n v="4"/>
    <x v="0"/>
    <n v="3"/>
    <n v="0"/>
  </r>
  <r>
    <s v="ORD-101482"/>
    <x v="280"/>
    <x v="0"/>
    <d v="2024-10-01T00:00:00"/>
    <n v="10"/>
    <s v="CUST-00998"/>
    <x v="1"/>
    <x v="11"/>
    <s v="KA"/>
    <x v="3"/>
    <s v="Mysuru"/>
    <x v="4"/>
    <s v="P103"/>
    <s v="Niacinamide Toner"/>
    <x v="3"/>
    <n v="2"/>
    <n v="399"/>
    <n v="0.3"/>
    <n v="798"/>
    <n v="239.39999999999998"/>
    <n v="558.6"/>
    <n v="112"/>
    <n v="224"/>
    <n v="60"/>
    <n v="274.60000000000002"/>
    <n v="0.49158610812746151"/>
    <x v="2"/>
    <d v="2024-10-12T00:00:00"/>
    <n v="2"/>
    <x v="1"/>
    <n v="5"/>
    <n v="0"/>
  </r>
  <r>
    <s v="ORD-101483"/>
    <x v="280"/>
    <x v="0"/>
    <d v="2024-10-01T00:00:00"/>
    <n v="10"/>
    <s v="CUST-00289"/>
    <x v="1"/>
    <x v="11"/>
    <s v="KA"/>
    <x v="3"/>
    <s v="Bengaluru"/>
    <x v="4"/>
    <s v="P602"/>
    <s v="Fast Charger 33W"/>
    <x v="2"/>
    <n v="1"/>
    <n v="899"/>
    <n v="0.35"/>
    <n v="899"/>
    <n v="314.64999999999998"/>
    <n v="584.35"/>
    <n v="494"/>
    <n v="494"/>
    <n v="120"/>
    <n v="-29.649999999999977"/>
    <n v="-5.0740138615555708E-2"/>
    <x v="0"/>
    <d v="2024-10-13T00:00:00"/>
    <n v="3"/>
    <x v="0"/>
    <n v="4"/>
    <n v="1"/>
  </r>
  <r>
    <s v="ORD-101484"/>
    <x v="280"/>
    <x v="0"/>
    <d v="2024-10-01T00:00:00"/>
    <n v="10"/>
    <s v="CUST-00563"/>
    <x v="0"/>
    <x v="11"/>
    <s v="KA"/>
    <x v="3"/>
    <s v="Mysuru"/>
    <x v="4"/>
    <s v="P304"/>
    <s v="Denim Jacket"/>
    <x v="1"/>
    <n v="1"/>
    <n v="2499"/>
    <n v="0.05"/>
    <n v="2499"/>
    <n v="124.95"/>
    <n v="2374.0500000000002"/>
    <n v="1125"/>
    <n v="1125"/>
    <n v="120"/>
    <n v="1129.0500000000002"/>
    <n v="0.47557970556643714"/>
    <x v="4"/>
    <d v="2024-10-13T00:00:00"/>
    <n v="3"/>
    <x v="0"/>
    <m/>
    <n v="1"/>
  </r>
  <r>
    <s v="ORD-101485"/>
    <x v="280"/>
    <x v="0"/>
    <d v="2024-10-01T00:00:00"/>
    <n v="10"/>
    <s v="CUST-00502"/>
    <x v="1"/>
    <x v="8"/>
    <s v="AP"/>
    <x v="3"/>
    <s v="Visakhapatnam"/>
    <x v="4"/>
    <s v="P104"/>
    <s v="Hydrating Face Wash"/>
    <x v="3"/>
    <n v="1"/>
    <n v="299"/>
    <n v="0.2"/>
    <n v="299"/>
    <n v="59.800000000000004"/>
    <n v="239.2"/>
    <n v="90"/>
    <n v="90"/>
    <n v="60"/>
    <n v="89.199999999999989"/>
    <n v="0.37290969899665549"/>
    <x v="0"/>
    <d v="2024-10-12T00:00:00"/>
    <n v="2"/>
    <x v="1"/>
    <m/>
    <n v="0"/>
  </r>
  <r>
    <s v="ORD-101486"/>
    <x v="280"/>
    <x v="0"/>
    <d v="2024-10-01T00:00:00"/>
    <n v="10"/>
    <s v="CUST-00851"/>
    <x v="1"/>
    <x v="14"/>
    <s v="KL"/>
    <x v="3"/>
    <s v="Thiruvananthapuram"/>
    <x v="1"/>
    <s v="P305"/>
    <s v="Printed Saree"/>
    <x v="1"/>
    <n v="1"/>
    <n v="1999"/>
    <n v="0.15"/>
    <n v="1999"/>
    <n v="299.84999999999997"/>
    <n v="1699.15"/>
    <n v="880"/>
    <n v="880"/>
    <n v="120"/>
    <n v="699.15000000000009"/>
    <n v="0.41147044110290443"/>
    <x v="3"/>
    <d v="2024-10-14T00:00:00"/>
    <n v="4"/>
    <x v="0"/>
    <n v="3"/>
    <n v="1"/>
  </r>
  <r>
    <s v="ORD-101487"/>
    <x v="281"/>
    <x v="0"/>
    <d v="2024-10-01T00:00:00"/>
    <n v="10"/>
    <s v="CUST-00771"/>
    <x v="0"/>
    <x v="9"/>
    <s v="UK"/>
    <x v="0"/>
    <s v="Dehradun"/>
    <x v="1"/>
    <s v="P301"/>
    <s v="Cotton Oversized T-Shirt"/>
    <x v="1"/>
    <n v="2"/>
    <n v="799"/>
    <n v="0.05"/>
    <n v="1598"/>
    <n v="79.900000000000006"/>
    <n v="1518.1"/>
    <n v="320"/>
    <n v="640"/>
    <n v="60"/>
    <n v="818.09999999999991"/>
    <n v="0.5388973058428298"/>
    <x v="4"/>
    <d v="2024-10-19T00:00:00"/>
    <n v="8"/>
    <x v="2"/>
    <n v="2"/>
    <n v="0"/>
  </r>
  <r>
    <s v="ORD-101488"/>
    <x v="281"/>
    <x v="0"/>
    <d v="2024-10-01T00:00:00"/>
    <n v="10"/>
    <s v="CUST-01010"/>
    <x v="0"/>
    <x v="6"/>
    <s v="DL"/>
    <x v="0"/>
    <s v="New Delhi"/>
    <x v="4"/>
    <s v="P203"/>
    <s v="Keratin Hair Mask"/>
    <x v="6"/>
    <n v="1"/>
    <n v="549"/>
    <n v="0.2"/>
    <n v="549"/>
    <n v="109.80000000000001"/>
    <n v="439.2"/>
    <n v="170"/>
    <n v="170"/>
    <n v="60"/>
    <n v="209.2"/>
    <n v="0.47632058287795992"/>
    <x v="4"/>
    <d v="2024-10-13T00:00:00"/>
    <n v="2"/>
    <x v="1"/>
    <n v="4"/>
    <n v="0"/>
  </r>
  <r>
    <s v="ORD-101489"/>
    <x v="281"/>
    <x v="0"/>
    <d v="2024-10-01T00:00:00"/>
    <n v="10"/>
    <s v="CUST-02331"/>
    <x v="0"/>
    <x v="16"/>
    <s v="UP"/>
    <x v="0"/>
    <s v="Noida"/>
    <x v="0"/>
    <s v="P603"/>
    <s v="Smartwatch Strap"/>
    <x v="2"/>
    <n v="3"/>
    <n v="499"/>
    <n v="0.4"/>
    <n v="1497"/>
    <n v="598.80000000000007"/>
    <n v="898.19999999999993"/>
    <n v="200"/>
    <n v="600"/>
    <n v="60"/>
    <n v="238.19999999999993"/>
    <n v="0.26519706078824312"/>
    <x v="1"/>
    <d v="2024-10-17T00:00:00"/>
    <n v="6"/>
    <x v="2"/>
    <n v="3"/>
    <n v="0"/>
  </r>
  <r>
    <s v="ORD-101490"/>
    <x v="281"/>
    <x v="0"/>
    <d v="2024-10-01T00:00:00"/>
    <n v="10"/>
    <s v="CUST-01030"/>
    <x v="1"/>
    <x v="12"/>
    <s v="BR"/>
    <x v="2"/>
    <s v="Patna"/>
    <x v="0"/>
    <s v="P701"/>
    <s v="Ashwagandha Capsules"/>
    <x v="0"/>
    <n v="1"/>
    <n v="499"/>
    <n v="0.05"/>
    <n v="499"/>
    <n v="24.950000000000003"/>
    <n v="474.05"/>
    <n v="150"/>
    <n v="150"/>
    <n v="60"/>
    <n v="264.05"/>
    <n v="0.55700875435080688"/>
    <x v="1"/>
    <d v="2024-10-17T00:00:00"/>
    <n v="6"/>
    <x v="2"/>
    <n v="3"/>
    <n v="0"/>
  </r>
  <r>
    <s v="ORD-101491"/>
    <x v="281"/>
    <x v="0"/>
    <d v="2024-10-01T00:00:00"/>
    <n v="10"/>
    <s v="CUST-02358"/>
    <x v="0"/>
    <x v="1"/>
    <s v="GJ"/>
    <x v="1"/>
    <s v="Surat"/>
    <x v="0"/>
    <s v="P101"/>
    <s v="Vitamin C Face Serum"/>
    <x v="3"/>
    <n v="1"/>
    <n v="599"/>
    <n v="0.3"/>
    <n v="599"/>
    <n v="179.7"/>
    <n v="419.3"/>
    <n v="180"/>
    <n v="180"/>
    <n v="60"/>
    <n v="179.3"/>
    <n v="0.42761745766754117"/>
    <x v="0"/>
    <d v="2024-10-15T00:00:00"/>
    <n v="4"/>
    <x v="0"/>
    <n v="4"/>
    <n v="0"/>
  </r>
  <r>
    <s v="ORD-101492"/>
    <x v="281"/>
    <x v="0"/>
    <d v="2024-10-01T00:00:00"/>
    <n v="10"/>
    <s v="CUST-03183"/>
    <x v="0"/>
    <x v="2"/>
    <s v="MH"/>
    <x v="1"/>
    <s v="Mumbai"/>
    <x v="4"/>
    <s v="P201"/>
    <s v="Onion Hair Oil"/>
    <x v="6"/>
    <n v="1"/>
    <n v="349"/>
    <n v="0.35"/>
    <n v="349"/>
    <n v="122.14999999999999"/>
    <n v="226.85000000000002"/>
    <n v="105"/>
    <n v="105"/>
    <n v="60"/>
    <n v="61.850000000000023"/>
    <n v="0.27264712364998905"/>
    <x v="3"/>
    <d v="2024-10-15T00:00:00"/>
    <n v="4"/>
    <x v="0"/>
    <n v="5"/>
    <n v="0"/>
  </r>
  <r>
    <s v="ORD-101493"/>
    <x v="281"/>
    <x v="0"/>
    <d v="2024-10-01T00:00:00"/>
    <n v="10"/>
    <s v="CUST-00242"/>
    <x v="1"/>
    <x v="17"/>
    <s v="TN"/>
    <x v="3"/>
    <s v="Chennai"/>
    <x v="2"/>
    <s v="P704"/>
    <s v="Multivitamin Gummies"/>
    <x v="0"/>
    <n v="1"/>
    <n v="699"/>
    <n v="0.25"/>
    <n v="699"/>
    <n v="174.75"/>
    <n v="524.25"/>
    <n v="238"/>
    <n v="238"/>
    <n v="60"/>
    <n v="226.25"/>
    <n v="0.43156890796375774"/>
    <x v="3"/>
    <d v="2024-10-15T00:00:00"/>
    <n v="4"/>
    <x v="0"/>
    <n v="4"/>
    <n v="0"/>
  </r>
  <r>
    <s v="ORD-101494"/>
    <x v="281"/>
    <x v="0"/>
    <d v="2024-10-01T00:00:00"/>
    <n v="10"/>
    <s v="CUST-02858"/>
    <x v="0"/>
    <x v="17"/>
    <s v="TN"/>
    <x v="3"/>
    <s v="Chennai"/>
    <x v="2"/>
    <s v="P404"/>
    <s v="Flip Flops"/>
    <x v="5"/>
    <n v="1"/>
    <n v="399"/>
    <n v="0.25"/>
    <n v="399"/>
    <n v="99.75"/>
    <n v="299.25"/>
    <n v="152"/>
    <n v="152"/>
    <n v="60"/>
    <n v="87.25"/>
    <n v="0.29156223893065997"/>
    <x v="2"/>
    <d v="2024-10-15T00:00:00"/>
    <n v="4"/>
    <x v="0"/>
    <n v="3"/>
    <n v="0"/>
  </r>
  <r>
    <s v="ORD-101495"/>
    <x v="282"/>
    <x v="0"/>
    <d v="2024-10-01T00:00:00"/>
    <n v="10"/>
    <s v="CUST-00685"/>
    <x v="1"/>
    <x v="16"/>
    <s v="UP"/>
    <x v="0"/>
    <s v="Kanpur"/>
    <x v="3"/>
    <s v="P204"/>
    <s v="Anti-Dandruff Conditioner"/>
    <x v="6"/>
    <n v="2"/>
    <n v="399"/>
    <n v="0.5"/>
    <n v="798"/>
    <n v="399"/>
    <n v="399"/>
    <n v="136"/>
    <n v="272"/>
    <n v="60"/>
    <n v="67"/>
    <n v="0.16791979949874686"/>
    <x v="4"/>
    <d v="2024-10-17T00:00:00"/>
    <n v="5"/>
    <x v="2"/>
    <n v="3"/>
    <n v="0"/>
  </r>
  <r>
    <s v="ORD-101496"/>
    <x v="282"/>
    <x v="0"/>
    <d v="2024-10-01T00:00:00"/>
    <n v="10"/>
    <s v="CUST-00940"/>
    <x v="1"/>
    <x v="16"/>
    <s v="UP"/>
    <x v="0"/>
    <s v="Noida"/>
    <x v="1"/>
    <s v="P305"/>
    <s v="Printed Saree"/>
    <x v="1"/>
    <n v="2"/>
    <n v="1999"/>
    <n v="0.25"/>
    <n v="3998"/>
    <n v="999.5"/>
    <n v="2998.5"/>
    <n v="880"/>
    <n v="1760"/>
    <n v="60"/>
    <n v="1178.5"/>
    <n v="0.39302984825746207"/>
    <x v="1"/>
    <d v="2024-10-16T00:00:00"/>
    <n v="4"/>
    <x v="0"/>
    <n v="4"/>
    <n v="0"/>
  </r>
  <r>
    <s v="ORD-101497"/>
    <x v="282"/>
    <x v="0"/>
    <d v="2024-10-01T00:00:00"/>
    <n v="10"/>
    <s v="CUST-02034"/>
    <x v="1"/>
    <x v="22"/>
    <s v="AS"/>
    <x v="2"/>
    <s v="Guwahati"/>
    <x v="4"/>
    <s v="P402"/>
    <s v="Casual Sneakers"/>
    <x v="5"/>
    <n v="1"/>
    <n v="2199"/>
    <n v="0.35"/>
    <n v="2199"/>
    <n v="769.65"/>
    <n v="1429.35"/>
    <n v="1034"/>
    <n v="1034"/>
    <n v="60"/>
    <n v="335.34999999999991"/>
    <n v="0.23461713366215409"/>
    <x v="3"/>
    <d v="2024-10-20T00:00:00"/>
    <n v="8"/>
    <x v="2"/>
    <m/>
    <n v="0"/>
  </r>
  <r>
    <s v="ORD-101498"/>
    <x v="282"/>
    <x v="0"/>
    <d v="2024-10-01T00:00:00"/>
    <n v="10"/>
    <s v="CUST-01097"/>
    <x v="1"/>
    <x v="22"/>
    <s v="AS"/>
    <x v="2"/>
    <s v="Guwahati"/>
    <x v="4"/>
    <s v="P204"/>
    <s v="Anti-Dandruff Conditioner"/>
    <x v="6"/>
    <n v="5"/>
    <n v="399"/>
    <n v="0.45"/>
    <n v="1995"/>
    <n v="897.75"/>
    <n v="1097.25"/>
    <n v="136"/>
    <n v="680"/>
    <n v="60"/>
    <n v="357.25"/>
    <n v="0.32558669400774665"/>
    <x v="0"/>
    <d v="2024-10-17T00:00:00"/>
    <n v="5"/>
    <x v="2"/>
    <n v="4"/>
    <n v="0"/>
  </r>
  <r>
    <s v="ORD-101499"/>
    <x v="282"/>
    <x v="0"/>
    <d v="2024-10-01T00:00:00"/>
    <n v="10"/>
    <s v="CUST-00217"/>
    <x v="1"/>
    <x v="1"/>
    <s v="GJ"/>
    <x v="1"/>
    <s v="Ahmedabad"/>
    <x v="2"/>
    <s v="P403"/>
    <s v="Kolhapuri Sandals"/>
    <x v="5"/>
    <n v="2"/>
    <n v="999"/>
    <n v="0.1"/>
    <n v="1998"/>
    <n v="199.8"/>
    <n v="1798.2"/>
    <n v="400"/>
    <n v="800"/>
    <n v="60"/>
    <n v="938.2"/>
    <n v="0.52174396618841068"/>
    <x v="0"/>
    <d v="2024-10-16T00:00:00"/>
    <n v="4"/>
    <x v="0"/>
    <n v="4"/>
    <n v="0"/>
  </r>
  <r>
    <s v="ORD-101500"/>
    <x v="282"/>
    <x v="0"/>
    <d v="2024-10-01T00:00:00"/>
    <n v="10"/>
    <s v="CUST-01821"/>
    <x v="1"/>
    <x v="7"/>
    <s v="JH"/>
    <x v="2"/>
    <s v="Ranchi"/>
    <x v="2"/>
    <s v="P403"/>
    <s v="Kolhapuri Sandals"/>
    <x v="5"/>
    <n v="1"/>
    <n v="999"/>
    <n v="0.15"/>
    <n v="999"/>
    <n v="149.85"/>
    <n v="849.15"/>
    <n v="400"/>
    <n v="400"/>
    <n v="60"/>
    <n v="389.15"/>
    <n v="0.45828181122298767"/>
    <x v="0"/>
    <d v="2024-10-18T00:00:00"/>
    <n v="6"/>
    <x v="2"/>
    <n v="3"/>
    <n v="0"/>
  </r>
  <r>
    <s v="ORD-101501"/>
    <x v="282"/>
    <x v="0"/>
    <d v="2024-10-01T00:00:00"/>
    <n v="10"/>
    <s v="CUST-01882"/>
    <x v="0"/>
    <x v="2"/>
    <s v="MH"/>
    <x v="1"/>
    <s v="Nagpur"/>
    <x v="2"/>
    <s v="P504"/>
    <s v="Cotton Bedsheet"/>
    <x v="4"/>
    <n v="1"/>
    <n v="1299"/>
    <n v="0.1"/>
    <n v="1299"/>
    <n v="129.9"/>
    <n v="1169.0999999999999"/>
    <n v="585"/>
    <n v="585"/>
    <n v="60"/>
    <n v="524.09999999999991"/>
    <n v="0.44829355914806257"/>
    <x v="2"/>
    <d v="2024-10-14T00:00:00"/>
    <n v="2"/>
    <x v="1"/>
    <n v="5"/>
    <n v="0"/>
  </r>
  <r>
    <s v="ORD-101502"/>
    <x v="282"/>
    <x v="0"/>
    <d v="2024-10-01T00:00:00"/>
    <n v="10"/>
    <s v="CUST-00085"/>
    <x v="0"/>
    <x v="8"/>
    <s v="AP"/>
    <x v="3"/>
    <s v="Vijayawada"/>
    <x v="2"/>
    <s v="P201"/>
    <s v="Onion Hair Oil"/>
    <x v="6"/>
    <n v="2"/>
    <n v="349"/>
    <n v="0.4"/>
    <n v="698"/>
    <n v="279.2"/>
    <n v="418.8"/>
    <n v="105"/>
    <n v="210"/>
    <n v="60"/>
    <n v="148.80000000000001"/>
    <n v="0.35530085959885388"/>
    <x v="1"/>
    <d v="2024-10-15T00:00:00"/>
    <n v="3"/>
    <x v="0"/>
    <m/>
    <n v="0"/>
  </r>
  <r>
    <s v="ORD-101503"/>
    <x v="283"/>
    <x v="0"/>
    <d v="2024-10-01T00:00:00"/>
    <n v="10"/>
    <s v="CUST-00652"/>
    <x v="0"/>
    <x v="18"/>
    <s v="WB"/>
    <x v="2"/>
    <s v="Kolkata"/>
    <x v="3"/>
    <s v="P701"/>
    <s v="Ashwagandha Capsules"/>
    <x v="0"/>
    <n v="1"/>
    <n v="499"/>
    <n v="0.1"/>
    <n v="499"/>
    <n v="49.900000000000006"/>
    <n v="449.1"/>
    <n v="150"/>
    <n v="150"/>
    <n v="120"/>
    <n v="179.10000000000002"/>
    <n v="0.39879759519038077"/>
    <x v="3"/>
    <d v="2024-10-15T00:00:00"/>
    <n v="2"/>
    <x v="1"/>
    <n v="5"/>
    <n v="1"/>
  </r>
  <r>
    <s v="ORD-101504"/>
    <x v="283"/>
    <x v="0"/>
    <d v="2024-10-01T00:00:00"/>
    <n v="10"/>
    <s v="CUST-01089"/>
    <x v="1"/>
    <x v="18"/>
    <s v="WB"/>
    <x v="2"/>
    <s v="Kolkata"/>
    <x v="1"/>
    <s v="P304"/>
    <s v="Denim Jacket"/>
    <x v="1"/>
    <n v="2"/>
    <n v="2499"/>
    <n v="0.15"/>
    <n v="4998"/>
    <n v="749.69999999999993"/>
    <n v="4248.3"/>
    <n v="1125"/>
    <n v="2250"/>
    <n v="60"/>
    <n v="1938.3000000000002"/>
    <n v="0.45625308947108256"/>
    <x v="4"/>
    <d v="2024-10-19T00:00:00"/>
    <n v="6"/>
    <x v="2"/>
    <n v="4"/>
    <n v="0"/>
  </r>
  <r>
    <s v="ORD-101505"/>
    <x v="283"/>
    <x v="0"/>
    <d v="2024-10-01T00:00:00"/>
    <n v="10"/>
    <s v="CUST-01140"/>
    <x v="1"/>
    <x v="2"/>
    <s v="MH"/>
    <x v="1"/>
    <s v="Nagpur"/>
    <x v="4"/>
    <s v="P302"/>
    <s v="Linen Kurta"/>
    <x v="1"/>
    <n v="2"/>
    <n v="1499"/>
    <n v="0.5"/>
    <n v="2998"/>
    <n v="1499"/>
    <n v="1499"/>
    <n v="630"/>
    <n v="1260"/>
    <n v="120"/>
    <n v="119"/>
    <n v="7.9386257505003333E-2"/>
    <x v="0"/>
    <d v="2024-10-16T00:00:00"/>
    <n v="3"/>
    <x v="0"/>
    <n v="2"/>
    <n v="1"/>
  </r>
  <r>
    <s v="ORD-101506"/>
    <x v="283"/>
    <x v="0"/>
    <d v="2024-10-01T00:00:00"/>
    <n v="10"/>
    <s v="CUST-00588"/>
    <x v="1"/>
    <x v="2"/>
    <s v="MH"/>
    <x v="1"/>
    <s v="Mumbai"/>
    <x v="2"/>
    <s v="P503"/>
    <s v="Scented Candle Set"/>
    <x v="4"/>
    <n v="3"/>
    <n v="699"/>
    <n v="0.3"/>
    <n v="2097"/>
    <n v="629.1"/>
    <n v="1467.9"/>
    <n v="245"/>
    <n v="735"/>
    <n v="120"/>
    <n v="612.90000000000009"/>
    <n v="0.41753525444512574"/>
    <x v="2"/>
    <d v="2024-10-16T00:00:00"/>
    <n v="3"/>
    <x v="0"/>
    <m/>
    <n v="1"/>
  </r>
  <r>
    <s v="ORD-101507"/>
    <x v="283"/>
    <x v="0"/>
    <d v="2024-10-01T00:00:00"/>
    <n v="10"/>
    <s v="CUST-00654"/>
    <x v="1"/>
    <x v="11"/>
    <s v="KA"/>
    <x v="3"/>
    <s v="Mysuru"/>
    <x v="4"/>
    <s v="P103"/>
    <s v="Niacinamide Toner"/>
    <x v="3"/>
    <n v="1"/>
    <n v="399"/>
    <n v="0.25"/>
    <n v="399"/>
    <n v="99.75"/>
    <n v="299.25"/>
    <n v="112"/>
    <n v="112"/>
    <n v="60"/>
    <n v="127.25"/>
    <n v="0.42522974101921468"/>
    <x v="3"/>
    <d v="2024-10-14T00:00:00"/>
    <n v="1"/>
    <x v="1"/>
    <m/>
    <n v="0"/>
  </r>
  <r>
    <s v="ORD-101508"/>
    <x v="283"/>
    <x v="0"/>
    <d v="2024-10-01T00:00:00"/>
    <n v="10"/>
    <s v="CUST-00312"/>
    <x v="1"/>
    <x v="11"/>
    <s v="KA"/>
    <x v="3"/>
    <s v="Mysuru"/>
    <x v="0"/>
    <s v="P105"/>
    <s v="Retinol Night Cream"/>
    <x v="3"/>
    <n v="1"/>
    <n v="799"/>
    <n v="0.25"/>
    <n v="799"/>
    <n v="199.75"/>
    <n v="599.25"/>
    <n v="216"/>
    <n v="216"/>
    <n v="60"/>
    <n v="323.25"/>
    <n v="0.5394242803504381"/>
    <x v="0"/>
    <d v="2024-10-14T00:00:00"/>
    <n v="1"/>
    <x v="1"/>
    <n v="5"/>
    <n v="0"/>
  </r>
  <r>
    <s v="ORD-101509"/>
    <x v="284"/>
    <x v="0"/>
    <d v="2024-10-01T00:00:00"/>
    <n v="10"/>
    <s v="CUST-03195"/>
    <x v="0"/>
    <x v="19"/>
    <s v="PB"/>
    <x v="0"/>
    <s v="Amritsar"/>
    <x v="0"/>
    <s v="P204"/>
    <s v="Anti-Dandruff Conditioner"/>
    <x v="6"/>
    <n v="1"/>
    <n v="399"/>
    <n v="0.6"/>
    <n v="399"/>
    <n v="239.39999999999998"/>
    <n v="159.60000000000002"/>
    <n v="136"/>
    <n v="136"/>
    <n v="60"/>
    <n v="-36.399999999999977"/>
    <n v="-0.22807017543859631"/>
    <x v="3"/>
    <d v="2024-10-17T00:00:00"/>
    <n v="3"/>
    <x v="0"/>
    <n v="3"/>
    <n v="0"/>
  </r>
  <r>
    <s v="ORD-101510"/>
    <x v="284"/>
    <x v="0"/>
    <d v="2024-10-01T00:00:00"/>
    <n v="10"/>
    <s v="CUST-00974"/>
    <x v="1"/>
    <x v="0"/>
    <s v="RJ"/>
    <x v="0"/>
    <s v="Udaipur"/>
    <x v="0"/>
    <s v="P401"/>
    <s v="Running Shoes"/>
    <x v="5"/>
    <n v="1"/>
    <n v="2999"/>
    <n v="0.2"/>
    <n v="2999"/>
    <n v="599.80000000000007"/>
    <n v="2399.1999999999998"/>
    <n v="1440"/>
    <n v="1440"/>
    <n v="60"/>
    <n v="899.19999999999982"/>
    <n v="0.3747915971990663"/>
    <x v="3"/>
    <d v="2024-10-18T00:00:00"/>
    <n v="4"/>
    <x v="0"/>
    <m/>
    <n v="0"/>
  </r>
  <r>
    <s v="ORD-101511"/>
    <x v="284"/>
    <x v="0"/>
    <d v="2024-10-01T00:00:00"/>
    <n v="10"/>
    <s v="CUST-00877"/>
    <x v="1"/>
    <x v="16"/>
    <s v="UP"/>
    <x v="0"/>
    <s v="Kanpur"/>
    <x v="1"/>
    <s v="P401"/>
    <s v="Running Shoes"/>
    <x v="5"/>
    <n v="1"/>
    <n v="2999"/>
    <n v="0.25"/>
    <n v="2999"/>
    <n v="749.75"/>
    <n v="2249.25"/>
    <n v="1440"/>
    <n v="1440"/>
    <n v="60"/>
    <n v="749.25"/>
    <n v="0.33311103701233746"/>
    <x v="2"/>
    <d v="2024-10-18T00:00:00"/>
    <n v="4"/>
    <x v="0"/>
    <n v="4"/>
    <n v="0"/>
  </r>
  <r>
    <s v="ORD-101512"/>
    <x v="284"/>
    <x v="0"/>
    <d v="2024-10-01T00:00:00"/>
    <n v="10"/>
    <s v="CUST-00137"/>
    <x v="1"/>
    <x v="22"/>
    <s v="AS"/>
    <x v="2"/>
    <s v="Guwahati"/>
    <x v="4"/>
    <s v="P703"/>
    <s v="Green Tea (100 bags)"/>
    <x v="0"/>
    <n v="2"/>
    <n v="399"/>
    <n v="0.55000000000000004"/>
    <n v="798"/>
    <n v="438.90000000000003"/>
    <n v="359.09999999999997"/>
    <n v="128"/>
    <n v="256"/>
    <n v="120"/>
    <n v="-16.900000000000034"/>
    <n v="-4.7062099693678743E-2"/>
    <x v="0"/>
    <d v="2024-10-19T00:00:00"/>
    <n v="5"/>
    <x v="2"/>
    <m/>
    <n v="1"/>
  </r>
  <r>
    <s v="ORD-101513"/>
    <x v="284"/>
    <x v="0"/>
    <d v="2024-10-01T00:00:00"/>
    <n v="10"/>
    <s v="CUST-00687"/>
    <x v="1"/>
    <x v="13"/>
    <s v="MP"/>
    <x v="1"/>
    <s v="Bhopal"/>
    <x v="3"/>
    <s v="P101"/>
    <s v="Vitamin C Face Serum"/>
    <x v="3"/>
    <n v="3"/>
    <n v="599"/>
    <n v="0.4"/>
    <n v="1797"/>
    <n v="718.80000000000007"/>
    <n v="1078.1999999999998"/>
    <n v="180"/>
    <n v="540"/>
    <n v="60"/>
    <n v="478.19999999999982"/>
    <n v="0.44351697273233159"/>
    <x v="3"/>
    <d v="2024-10-19T00:00:00"/>
    <n v="5"/>
    <x v="2"/>
    <m/>
    <n v="0"/>
  </r>
  <r>
    <s v="ORD-101514"/>
    <x v="284"/>
    <x v="0"/>
    <d v="2024-10-01T00:00:00"/>
    <n v="10"/>
    <s v="CUST-01969"/>
    <x v="1"/>
    <x v="10"/>
    <s v="CG"/>
    <x v="2"/>
    <s v="Raipur"/>
    <x v="4"/>
    <s v="P203"/>
    <s v="Keratin Hair Mask"/>
    <x v="6"/>
    <n v="1"/>
    <n v="549"/>
    <n v="0.45"/>
    <n v="549"/>
    <n v="247.05"/>
    <n v="301.95"/>
    <n v="170"/>
    <n v="170"/>
    <n v="60"/>
    <n v="71.949999999999989"/>
    <n v="0.2382844841861235"/>
    <x v="1"/>
    <d v="2024-10-21T00:00:00"/>
    <n v="7"/>
    <x v="2"/>
    <n v="2"/>
    <n v="0"/>
  </r>
  <r>
    <s v="ORD-101515"/>
    <x v="284"/>
    <x v="0"/>
    <d v="2024-10-01T00:00:00"/>
    <n v="10"/>
    <s v="CUST-01474"/>
    <x v="1"/>
    <x v="2"/>
    <s v="MH"/>
    <x v="1"/>
    <s v="Nagpur"/>
    <x v="0"/>
    <s v="P302"/>
    <s v="Linen Kurta"/>
    <x v="1"/>
    <n v="4"/>
    <n v="1499"/>
    <n v="0.45"/>
    <n v="5996"/>
    <n v="2698.2000000000003"/>
    <n v="3297.7999999999997"/>
    <n v="630"/>
    <n v="2520"/>
    <n v="60"/>
    <n v="717.79999999999973"/>
    <n v="0.21766025835405414"/>
    <x v="0"/>
    <d v="2024-10-16T00:00:00"/>
    <n v="2"/>
    <x v="1"/>
    <n v="4"/>
    <n v="0"/>
  </r>
  <r>
    <s v="ORD-101516"/>
    <x v="284"/>
    <x v="0"/>
    <d v="2024-10-01T00:00:00"/>
    <n v="10"/>
    <s v="CUST-00305"/>
    <x v="1"/>
    <x v="2"/>
    <s v="MH"/>
    <x v="1"/>
    <s v="Nagpur"/>
    <x v="1"/>
    <s v="P303"/>
    <s v="Joggers"/>
    <x v="1"/>
    <n v="1"/>
    <n v="1199"/>
    <n v="0.15"/>
    <n v="1199"/>
    <n v="179.85"/>
    <n v="1019.15"/>
    <n v="492"/>
    <n v="492"/>
    <n v="60"/>
    <n v="467.15"/>
    <n v="0.45837217288917231"/>
    <x v="3"/>
    <d v="2024-10-16T00:00:00"/>
    <n v="2"/>
    <x v="1"/>
    <n v="5"/>
    <n v="0"/>
  </r>
  <r>
    <s v="ORD-101517"/>
    <x v="284"/>
    <x v="0"/>
    <d v="2024-10-01T00:00:00"/>
    <n v="10"/>
    <s v="CUST-00121"/>
    <x v="1"/>
    <x v="3"/>
    <s v="OD"/>
    <x v="2"/>
    <s v="Bhubaneswar"/>
    <x v="2"/>
    <s v="P503"/>
    <s v="Scented Candle Set"/>
    <x v="4"/>
    <n v="2"/>
    <n v="699"/>
    <n v="0.25"/>
    <n v="1398"/>
    <n v="349.5"/>
    <n v="1048.5"/>
    <n v="245"/>
    <n v="490"/>
    <n v="60"/>
    <n v="498.5"/>
    <n v="0.47544110634239389"/>
    <x v="0"/>
    <d v="2024-10-17T00:00:00"/>
    <n v="3"/>
    <x v="0"/>
    <n v="4"/>
    <n v="0"/>
  </r>
  <r>
    <s v="ORD-101518"/>
    <x v="284"/>
    <x v="0"/>
    <d v="2024-10-01T00:00:00"/>
    <n v="10"/>
    <s v="CUST-02546"/>
    <x v="0"/>
    <x v="11"/>
    <s v="KA"/>
    <x v="3"/>
    <s v="Bengaluru"/>
    <x v="4"/>
    <s v="P403"/>
    <s v="Kolhapuri Sandals"/>
    <x v="5"/>
    <n v="1"/>
    <n v="999"/>
    <n v="0.2"/>
    <n v="999"/>
    <n v="199.8"/>
    <n v="799.2"/>
    <n v="400"/>
    <n v="400"/>
    <n v="60"/>
    <n v="339.20000000000005"/>
    <n v="0.42442442442442446"/>
    <x v="0"/>
    <d v="2024-10-17T00:00:00"/>
    <n v="3"/>
    <x v="0"/>
    <n v="3"/>
    <n v="0"/>
  </r>
  <r>
    <s v="ORD-101519"/>
    <x v="284"/>
    <x v="0"/>
    <d v="2024-10-01T00:00:00"/>
    <n v="10"/>
    <s v="CUST-00246"/>
    <x v="1"/>
    <x v="11"/>
    <s v="KA"/>
    <x v="3"/>
    <s v="Mysuru"/>
    <x v="0"/>
    <s v="P102"/>
    <s v="Sunscreen SPF 50"/>
    <x v="3"/>
    <n v="2"/>
    <n v="449"/>
    <n v="0.3"/>
    <n v="898"/>
    <n v="269.39999999999998"/>
    <n v="628.6"/>
    <n v="144"/>
    <n v="288"/>
    <n v="60"/>
    <n v="280.60000000000002"/>
    <n v="0.44638880050906776"/>
    <x v="0"/>
    <d v="2024-10-16T00:00:00"/>
    <n v="2"/>
    <x v="1"/>
    <n v="4"/>
    <n v="0"/>
  </r>
  <r>
    <s v="ORD-101520"/>
    <x v="284"/>
    <x v="0"/>
    <d v="2024-10-01T00:00:00"/>
    <n v="10"/>
    <s v="CUST-00862"/>
    <x v="1"/>
    <x v="11"/>
    <s v="KA"/>
    <x v="3"/>
    <s v="Bengaluru"/>
    <x v="0"/>
    <s v="P201"/>
    <s v="Onion Hair Oil"/>
    <x v="6"/>
    <n v="2"/>
    <n v="349"/>
    <n v="0.5"/>
    <n v="698"/>
    <n v="349"/>
    <n v="349"/>
    <n v="105"/>
    <n v="210"/>
    <n v="120"/>
    <n v="19"/>
    <n v="5.4441260744985676E-2"/>
    <x v="3"/>
    <d v="2024-10-16T00:00:00"/>
    <n v="2"/>
    <x v="1"/>
    <n v="5"/>
    <n v="1"/>
  </r>
  <r>
    <s v="ORD-101521"/>
    <x v="284"/>
    <x v="0"/>
    <d v="2024-10-01T00:00:00"/>
    <n v="10"/>
    <s v="CUST-01777"/>
    <x v="1"/>
    <x v="17"/>
    <s v="TN"/>
    <x v="3"/>
    <s v="Coimbatore"/>
    <x v="0"/>
    <s v="P503"/>
    <s v="Scented Candle Set"/>
    <x v="4"/>
    <n v="1"/>
    <n v="699"/>
    <n v="0.4"/>
    <n v="699"/>
    <n v="279.60000000000002"/>
    <n v="419.4"/>
    <n v="245"/>
    <n v="245"/>
    <n v="60"/>
    <n v="114.39999999999998"/>
    <n v="0.27277062470195512"/>
    <x v="1"/>
    <d v="2024-10-16T00:00:00"/>
    <n v="2"/>
    <x v="1"/>
    <m/>
    <n v="0"/>
  </r>
  <r>
    <s v="ORD-101522"/>
    <x v="285"/>
    <x v="0"/>
    <d v="2024-10-01T00:00:00"/>
    <n v="10"/>
    <s v="CUST-00972"/>
    <x v="1"/>
    <x v="4"/>
    <s v="JK"/>
    <x v="0"/>
    <s v="Jammu"/>
    <x v="0"/>
    <s v="P703"/>
    <s v="Green Tea (100 bags)"/>
    <x v="0"/>
    <n v="4"/>
    <n v="399"/>
    <n v="0.45"/>
    <n v="1596"/>
    <n v="718.2"/>
    <n v="877.8"/>
    <n v="128"/>
    <n v="512"/>
    <n v="60"/>
    <n v="305.79999999999995"/>
    <n v="0.34837092731829572"/>
    <x v="0"/>
    <d v="2024-10-22T00:00:00"/>
    <n v="7"/>
    <x v="2"/>
    <m/>
    <n v="0"/>
  </r>
  <r>
    <s v="ORD-101523"/>
    <x v="285"/>
    <x v="0"/>
    <d v="2024-10-01T00:00:00"/>
    <n v="10"/>
    <s v="CUST-00524"/>
    <x v="0"/>
    <x v="0"/>
    <s v="RJ"/>
    <x v="0"/>
    <s v="Jaipur"/>
    <x v="0"/>
    <s v="P502"/>
    <s v="Ceramic Dinner Set"/>
    <x v="4"/>
    <n v="2"/>
    <n v="2499"/>
    <n v="0.55000000000000004"/>
    <n v="4998"/>
    <n v="2748.9"/>
    <n v="2249.1"/>
    <n v="1250"/>
    <n v="2500"/>
    <n v="60"/>
    <n v="-310.90000000000009"/>
    <n v="-0.13823307100618029"/>
    <x v="0"/>
    <d v="2024-10-20T00:00:00"/>
    <n v="5"/>
    <x v="2"/>
    <n v="5"/>
    <n v="0"/>
  </r>
  <r>
    <s v="ORD-101524"/>
    <x v="285"/>
    <x v="0"/>
    <d v="2024-10-01T00:00:00"/>
    <n v="10"/>
    <s v="CUST-01654"/>
    <x v="0"/>
    <x v="15"/>
    <s v="HR"/>
    <x v="0"/>
    <s v="Faridabad"/>
    <x v="4"/>
    <s v="P101"/>
    <s v="Vitamin C Face Serum"/>
    <x v="3"/>
    <n v="2"/>
    <n v="599"/>
    <n v="0.3"/>
    <n v="1198"/>
    <n v="359.4"/>
    <n v="838.6"/>
    <n v="180"/>
    <n v="360"/>
    <n v="60"/>
    <n v="418.6"/>
    <n v="0.4991652754590985"/>
    <x v="1"/>
    <d v="2024-10-17T00:00:00"/>
    <n v="2"/>
    <x v="1"/>
    <n v="5"/>
    <n v="0"/>
  </r>
  <r>
    <s v="ORD-101525"/>
    <x v="285"/>
    <x v="0"/>
    <d v="2024-10-01T00:00:00"/>
    <n v="10"/>
    <s v="CUST-00431"/>
    <x v="1"/>
    <x v="7"/>
    <s v="JH"/>
    <x v="2"/>
    <s v="Ranchi"/>
    <x v="4"/>
    <s v="P102"/>
    <s v="Sunscreen SPF 50"/>
    <x v="3"/>
    <n v="3"/>
    <n v="449"/>
    <n v="0.3"/>
    <n v="1347"/>
    <n v="404.09999999999997"/>
    <n v="942.90000000000009"/>
    <n v="144"/>
    <n v="432"/>
    <n v="60"/>
    <n v="450.90000000000009"/>
    <n v="0.47820553611199496"/>
    <x v="3"/>
    <d v="2024-10-20T00:00:00"/>
    <n v="5"/>
    <x v="2"/>
    <m/>
    <n v="0"/>
  </r>
  <r>
    <s v="ORD-101526"/>
    <x v="285"/>
    <x v="0"/>
    <d v="2024-10-01T00:00:00"/>
    <n v="10"/>
    <s v="CUST-00090"/>
    <x v="1"/>
    <x v="11"/>
    <s v="KA"/>
    <x v="3"/>
    <s v="Bengaluru"/>
    <x v="1"/>
    <s v="P403"/>
    <s v="Kolhapuri Sandals"/>
    <x v="5"/>
    <n v="1"/>
    <n v="999"/>
    <n v="0.3"/>
    <n v="999"/>
    <n v="299.7"/>
    <n v="699.3"/>
    <n v="400"/>
    <n v="400"/>
    <n v="60"/>
    <n v="239.29999999999995"/>
    <n v="0.34219934219934217"/>
    <x v="4"/>
    <d v="2024-10-18T00:00:00"/>
    <n v="3"/>
    <x v="0"/>
    <n v="4"/>
    <n v="0"/>
  </r>
  <r>
    <s v="ORD-101527"/>
    <x v="285"/>
    <x v="0"/>
    <d v="2024-10-01T00:00:00"/>
    <n v="10"/>
    <s v="CUST-02652"/>
    <x v="1"/>
    <x v="11"/>
    <s v="KA"/>
    <x v="3"/>
    <s v="Bengaluru"/>
    <x v="0"/>
    <s v="P203"/>
    <s v="Keratin Hair Mask"/>
    <x v="6"/>
    <n v="3"/>
    <n v="549"/>
    <n v="0.3"/>
    <n v="1647"/>
    <n v="494.09999999999997"/>
    <n v="1152.9000000000001"/>
    <n v="170"/>
    <n v="510"/>
    <n v="60"/>
    <n v="582.90000000000009"/>
    <n v="0.50559458756180076"/>
    <x v="1"/>
    <d v="2024-10-17T00:00:00"/>
    <n v="2"/>
    <x v="1"/>
    <n v="4"/>
    <n v="0"/>
  </r>
  <r>
    <s v="ORD-101528"/>
    <x v="285"/>
    <x v="0"/>
    <d v="2024-10-01T00:00:00"/>
    <n v="10"/>
    <s v="CUST-00364"/>
    <x v="0"/>
    <x v="17"/>
    <s v="TN"/>
    <x v="3"/>
    <s v="Chennai"/>
    <x v="2"/>
    <s v="P102"/>
    <s v="Sunscreen SPF 50"/>
    <x v="3"/>
    <n v="1"/>
    <n v="449"/>
    <n v="0.25"/>
    <n v="449"/>
    <n v="112.25"/>
    <n v="336.75"/>
    <n v="144"/>
    <n v="144"/>
    <n v="60"/>
    <n v="132.75"/>
    <n v="0.39420935412026725"/>
    <x v="0"/>
    <d v="2024-10-20T00:00:00"/>
    <n v="5"/>
    <x v="2"/>
    <n v="3"/>
    <n v="0"/>
  </r>
  <r>
    <s v="ORD-101529"/>
    <x v="285"/>
    <x v="0"/>
    <d v="2024-10-01T00:00:00"/>
    <n v="10"/>
    <s v="CUST-01250"/>
    <x v="0"/>
    <x v="17"/>
    <s v="TN"/>
    <x v="3"/>
    <s v="Coimbatore"/>
    <x v="0"/>
    <s v="P604"/>
    <s v="Power Bank 20000mAh"/>
    <x v="2"/>
    <n v="1"/>
    <n v="1799"/>
    <n v="0.4"/>
    <n v="1799"/>
    <n v="719.6"/>
    <n v="1079.4000000000001"/>
    <n v="1079"/>
    <n v="1079"/>
    <n v="60"/>
    <n v="-59.599999999999909"/>
    <n v="-5.5215860663331388E-2"/>
    <x v="0"/>
    <d v="2024-10-21T00:00:00"/>
    <n v="6"/>
    <x v="2"/>
    <m/>
    <n v="0"/>
  </r>
  <r>
    <s v="ORD-101530"/>
    <x v="286"/>
    <x v="0"/>
    <d v="2024-10-01T00:00:00"/>
    <n v="10"/>
    <s v="CUST-00470"/>
    <x v="0"/>
    <x v="6"/>
    <s v="DL"/>
    <x v="0"/>
    <s v="New Delhi"/>
    <x v="1"/>
    <s v="P303"/>
    <s v="Joggers"/>
    <x v="1"/>
    <n v="2"/>
    <n v="1199"/>
    <n v="0.3"/>
    <n v="2398"/>
    <n v="719.4"/>
    <n v="1678.6"/>
    <n v="492"/>
    <n v="984"/>
    <n v="60"/>
    <n v="634.59999999999991"/>
    <n v="0.37805313952102937"/>
    <x v="0"/>
    <d v="2024-10-19T00:00:00"/>
    <n v="3"/>
    <x v="0"/>
    <n v="4"/>
    <n v="0"/>
  </r>
  <r>
    <s v="ORD-101531"/>
    <x v="286"/>
    <x v="0"/>
    <d v="2024-10-01T00:00:00"/>
    <n v="10"/>
    <s v="CUST-03066"/>
    <x v="0"/>
    <x v="6"/>
    <s v="DL"/>
    <x v="0"/>
    <s v="New Delhi"/>
    <x v="0"/>
    <s v="P704"/>
    <s v="Multivitamin Gummies"/>
    <x v="0"/>
    <n v="1"/>
    <n v="699"/>
    <n v="0.35"/>
    <n v="699"/>
    <n v="244.64999999999998"/>
    <n v="454.35"/>
    <n v="238"/>
    <n v="238"/>
    <n v="120"/>
    <n v="96.350000000000023"/>
    <n v="0.21206118631011339"/>
    <x v="3"/>
    <d v="2024-10-18T00:00:00"/>
    <n v="2"/>
    <x v="1"/>
    <n v="5"/>
    <n v="1"/>
  </r>
  <r>
    <s v="ORD-101532"/>
    <x v="286"/>
    <x v="0"/>
    <d v="2024-10-01T00:00:00"/>
    <n v="10"/>
    <s v="CUST-01134"/>
    <x v="1"/>
    <x v="1"/>
    <s v="GJ"/>
    <x v="1"/>
    <s v="Surat"/>
    <x v="4"/>
    <s v="P704"/>
    <s v="Multivitamin Gummies"/>
    <x v="0"/>
    <n v="1"/>
    <n v="699"/>
    <n v="0.25"/>
    <n v="699"/>
    <n v="174.75"/>
    <n v="524.25"/>
    <n v="238"/>
    <n v="238"/>
    <n v="60"/>
    <n v="226.25"/>
    <n v="0.43156890796375774"/>
    <x v="0"/>
    <d v="2024-10-19T00:00:00"/>
    <n v="3"/>
    <x v="0"/>
    <n v="4"/>
    <n v="0"/>
  </r>
  <r>
    <s v="ORD-101533"/>
    <x v="286"/>
    <x v="0"/>
    <d v="2024-10-01T00:00:00"/>
    <n v="10"/>
    <s v="CUST-00051"/>
    <x v="0"/>
    <x v="13"/>
    <s v="MP"/>
    <x v="1"/>
    <s v="Indore"/>
    <x v="4"/>
    <s v="P103"/>
    <s v="Niacinamide Toner"/>
    <x v="3"/>
    <n v="1"/>
    <n v="399"/>
    <n v="0.4"/>
    <n v="399"/>
    <n v="159.60000000000002"/>
    <n v="239.39999999999998"/>
    <n v="112"/>
    <n v="112"/>
    <n v="60"/>
    <n v="67.399999999999977"/>
    <n v="0.28153717627401831"/>
    <x v="0"/>
    <d v="2024-10-21T00:00:00"/>
    <n v="5"/>
    <x v="2"/>
    <n v="3"/>
    <n v="0"/>
  </r>
  <r>
    <s v="ORD-101534"/>
    <x v="286"/>
    <x v="0"/>
    <d v="2024-10-01T00:00:00"/>
    <n v="10"/>
    <s v="CUST-00165"/>
    <x v="1"/>
    <x v="2"/>
    <s v="MH"/>
    <x v="1"/>
    <s v="Mumbai"/>
    <x v="4"/>
    <s v="P404"/>
    <s v="Flip Flops"/>
    <x v="5"/>
    <n v="2"/>
    <n v="399"/>
    <n v="0.3"/>
    <n v="798"/>
    <n v="239.39999999999998"/>
    <n v="558.6"/>
    <n v="152"/>
    <n v="304"/>
    <n v="60"/>
    <n v="194.60000000000002"/>
    <n v="0.34837092731829578"/>
    <x v="0"/>
    <d v="2024-10-19T00:00:00"/>
    <n v="3"/>
    <x v="0"/>
    <n v="4"/>
    <n v="0"/>
  </r>
  <r>
    <s v="ORD-101535"/>
    <x v="286"/>
    <x v="0"/>
    <d v="2024-10-01T00:00:00"/>
    <n v="10"/>
    <s v="CUST-01811"/>
    <x v="0"/>
    <x v="11"/>
    <s v="KA"/>
    <x v="3"/>
    <s v="Bengaluru"/>
    <x v="0"/>
    <s v="P301"/>
    <s v="Cotton Oversized T-Shirt"/>
    <x v="1"/>
    <n v="3"/>
    <n v="799"/>
    <n v="0.15"/>
    <n v="2397"/>
    <n v="359.55"/>
    <n v="2037.45"/>
    <n v="320"/>
    <n v="960"/>
    <n v="120"/>
    <n v="957.45"/>
    <n v="0.46992564234705148"/>
    <x v="0"/>
    <d v="2024-10-20T00:00:00"/>
    <n v="4"/>
    <x v="0"/>
    <m/>
    <n v="1"/>
  </r>
  <r>
    <s v="ORD-101536"/>
    <x v="286"/>
    <x v="0"/>
    <d v="2024-10-01T00:00:00"/>
    <n v="10"/>
    <s v="CUST-00626"/>
    <x v="1"/>
    <x v="11"/>
    <s v="KA"/>
    <x v="3"/>
    <s v="Bengaluru"/>
    <x v="4"/>
    <s v="P301"/>
    <s v="Cotton Oversized T-Shirt"/>
    <x v="1"/>
    <n v="1"/>
    <n v="799"/>
    <n v="0.25"/>
    <n v="799"/>
    <n v="199.75"/>
    <n v="599.25"/>
    <n v="320"/>
    <n v="320"/>
    <n v="60"/>
    <n v="219.25"/>
    <n v="0.36587400917813934"/>
    <x v="4"/>
    <d v="2024-10-17T00:00:00"/>
    <n v="1"/>
    <x v="1"/>
    <n v="4"/>
    <n v="0"/>
  </r>
  <r>
    <s v="ORD-101537"/>
    <x v="286"/>
    <x v="0"/>
    <d v="2024-10-01T00:00:00"/>
    <n v="10"/>
    <s v="CUST-00462"/>
    <x v="1"/>
    <x v="17"/>
    <s v="TN"/>
    <x v="3"/>
    <s v="Chennai"/>
    <x v="3"/>
    <s v="P203"/>
    <s v="Keratin Hair Mask"/>
    <x v="6"/>
    <n v="2"/>
    <n v="549"/>
    <n v="0.35"/>
    <n v="1098"/>
    <n v="384.29999999999995"/>
    <n v="713.7"/>
    <n v="170"/>
    <n v="340"/>
    <n v="60"/>
    <n v="313.70000000000005"/>
    <n v="0.43954042314698055"/>
    <x v="0"/>
    <d v="2024-10-17T00:00:00"/>
    <n v="1"/>
    <x v="1"/>
    <m/>
    <n v="0"/>
  </r>
  <r>
    <s v="ORD-101538"/>
    <x v="286"/>
    <x v="0"/>
    <d v="2024-10-01T00:00:00"/>
    <n v="10"/>
    <s v="CUST-02942"/>
    <x v="0"/>
    <x v="17"/>
    <s v="TN"/>
    <x v="3"/>
    <s v="Chennai"/>
    <x v="3"/>
    <s v="P202"/>
    <s v="Argan Shampoo"/>
    <x v="6"/>
    <n v="1"/>
    <n v="449"/>
    <n v="0.35"/>
    <n v="449"/>
    <n v="157.14999999999998"/>
    <n v="291.85000000000002"/>
    <n v="148"/>
    <n v="148"/>
    <n v="60"/>
    <n v="83.850000000000023"/>
    <n v="0.28730512249443213"/>
    <x v="0"/>
    <d v="2024-10-19T00:00:00"/>
    <n v="3"/>
    <x v="0"/>
    <n v="4"/>
    <n v="0"/>
  </r>
  <r>
    <s v="ORD-101539"/>
    <x v="287"/>
    <x v="0"/>
    <d v="2024-10-01T00:00:00"/>
    <n v="10"/>
    <s v="CUST-01885"/>
    <x v="0"/>
    <x v="9"/>
    <s v="UK"/>
    <x v="0"/>
    <s v="Dehradun"/>
    <x v="2"/>
    <s v="P602"/>
    <s v="Fast Charger 33W"/>
    <x v="2"/>
    <n v="4"/>
    <n v="899"/>
    <n v="0.2"/>
    <n v="3596"/>
    <n v="719.2"/>
    <n v="2876.8"/>
    <n v="494"/>
    <n v="1976"/>
    <n v="60"/>
    <n v="840.80000000000018"/>
    <n v="0.29226918798665186"/>
    <x v="3"/>
    <d v="2024-10-22T00:00:00"/>
    <n v="5"/>
    <x v="2"/>
    <n v="4"/>
    <n v="0"/>
  </r>
  <r>
    <s v="ORD-101540"/>
    <x v="287"/>
    <x v="0"/>
    <d v="2024-10-01T00:00:00"/>
    <n v="10"/>
    <s v="CUST-00123"/>
    <x v="0"/>
    <x v="15"/>
    <s v="HR"/>
    <x v="0"/>
    <s v="Gurugram"/>
    <x v="4"/>
    <s v="P103"/>
    <s v="Niacinamide Toner"/>
    <x v="3"/>
    <n v="2"/>
    <n v="399"/>
    <n v="0.45"/>
    <n v="798"/>
    <n v="359.1"/>
    <n v="438.9"/>
    <n v="112"/>
    <n v="224"/>
    <n v="120"/>
    <n v="94.899999999999977"/>
    <n v="0.21622237411711093"/>
    <x v="4"/>
    <d v="2024-10-20T00:00:00"/>
    <n v="3"/>
    <x v="0"/>
    <n v="2"/>
    <n v="1"/>
  </r>
  <r>
    <s v="ORD-101541"/>
    <x v="287"/>
    <x v="0"/>
    <d v="2024-10-01T00:00:00"/>
    <n v="10"/>
    <s v="CUST-02107"/>
    <x v="0"/>
    <x v="16"/>
    <s v="UP"/>
    <x v="0"/>
    <s v="Kanpur"/>
    <x v="4"/>
    <s v="P704"/>
    <s v="Multivitamin Gummies"/>
    <x v="0"/>
    <n v="1"/>
    <n v="699"/>
    <n v="0.2"/>
    <n v="699"/>
    <n v="139.80000000000001"/>
    <n v="559.20000000000005"/>
    <n v="238"/>
    <n v="238"/>
    <n v="120"/>
    <n v="201.20000000000005"/>
    <n v="0.35979971387696713"/>
    <x v="0"/>
    <d v="2024-10-22T00:00:00"/>
    <n v="5"/>
    <x v="2"/>
    <n v="3"/>
    <n v="1"/>
  </r>
  <r>
    <s v="ORD-101542"/>
    <x v="287"/>
    <x v="0"/>
    <d v="2024-10-01T00:00:00"/>
    <n v="10"/>
    <s v="CUST-00873"/>
    <x v="0"/>
    <x v="18"/>
    <s v="WB"/>
    <x v="2"/>
    <s v="Kolkata"/>
    <x v="0"/>
    <s v="P305"/>
    <s v="Printed Saree"/>
    <x v="1"/>
    <n v="1"/>
    <n v="1999"/>
    <n v="0.05"/>
    <n v="1999"/>
    <n v="99.95"/>
    <n v="1899.05"/>
    <n v="880"/>
    <n v="880"/>
    <n v="60"/>
    <n v="959.05"/>
    <n v="0.50501566572760059"/>
    <x v="0"/>
    <d v="2024-10-21T00:00:00"/>
    <n v="4"/>
    <x v="0"/>
    <m/>
    <n v="0"/>
  </r>
  <r>
    <s v="ORD-101543"/>
    <x v="287"/>
    <x v="0"/>
    <d v="2024-10-01T00:00:00"/>
    <n v="10"/>
    <s v="CUST-01150"/>
    <x v="0"/>
    <x v="21"/>
    <s v="TG"/>
    <x v="3"/>
    <s v="Hyderabad"/>
    <x v="3"/>
    <s v="P103"/>
    <s v="Niacinamide Toner"/>
    <x v="3"/>
    <n v="1"/>
    <n v="399"/>
    <n v="0.25"/>
    <n v="399"/>
    <n v="99.75"/>
    <n v="299.25"/>
    <n v="112"/>
    <n v="112"/>
    <n v="60"/>
    <n v="127.25"/>
    <n v="0.42522974101921468"/>
    <x v="0"/>
    <d v="2024-10-20T00:00:00"/>
    <n v="3"/>
    <x v="0"/>
    <m/>
    <n v="0"/>
  </r>
  <r>
    <s v="ORD-101544"/>
    <x v="287"/>
    <x v="0"/>
    <d v="2024-10-01T00:00:00"/>
    <n v="10"/>
    <s v="CUST-00018"/>
    <x v="0"/>
    <x v="20"/>
    <s v="GA"/>
    <x v="1"/>
    <s v="Panaji"/>
    <x v="0"/>
    <s v="P102"/>
    <s v="Sunscreen SPF 50"/>
    <x v="3"/>
    <n v="1"/>
    <n v="449"/>
    <n v="0.15"/>
    <n v="449"/>
    <n v="67.349999999999994"/>
    <n v="381.65"/>
    <n v="144"/>
    <n v="144"/>
    <n v="60"/>
    <n v="177.64999999999998"/>
    <n v="0.465478841870824"/>
    <x v="0"/>
    <d v="2024-10-20T00:00:00"/>
    <n v="3"/>
    <x v="0"/>
    <n v="3"/>
    <n v="0"/>
  </r>
  <r>
    <s v="ORD-101545"/>
    <x v="287"/>
    <x v="0"/>
    <d v="2024-10-01T00:00:00"/>
    <n v="10"/>
    <s v="CUST-02009"/>
    <x v="1"/>
    <x v="11"/>
    <s v="KA"/>
    <x v="3"/>
    <s v="Bengaluru"/>
    <x v="1"/>
    <s v="P402"/>
    <s v="Casual Sneakers"/>
    <x v="5"/>
    <n v="1"/>
    <n v="2199"/>
    <n v="0.4"/>
    <n v="2199"/>
    <n v="879.6"/>
    <n v="1319.4"/>
    <n v="1034"/>
    <n v="1034"/>
    <n v="60"/>
    <n v="225.40000000000009"/>
    <n v="0.17083522813400037"/>
    <x v="2"/>
    <d v="2024-10-19T00:00:00"/>
    <n v="2"/>
    <x v="1"/>
    <n v="3"/>
    <n v="0"/>
  </r>
  <r>
    <s v="ORD-101546"/>
    <x v="287"/>
    <x v="0"/>
    <d v="2024-10-01T00:00:00"/>
    <n v="10"/>
    <s v="CUST-01042"/>
    <x v="0"/>
    <x v="8"/>
    <s v="AP"/>
    <x v="3"/>
    <s v="Visakhapatnam"/>
    <x v="1"/>
    <s v="P302"/>
    <s v="Linen Kurta"/>
    <x v="1"/>
    <n v="3"/>
    <n v="1499"/>
    <n v="0.4"/>
    <n v="4497"/>
    <n v="1798.8000000000002"/>
    <n v="2698.2"/>
    <n v="630"/>
    <n v="1890"/>
    <n v="60"/>
    <n v="748.19999999999982"/>
    <n v="0.27729597509450737"/>
    <x v="2"/>
    <d v="2024-10-21T00:00:00"/>
    <n v="4"/>
    <x v="0"/>
    <n v="3"/>
    <n v="0"/>
  </r>
  <r>
    <s v="ORD-101547"/>
    <x v="288"/>
    <x v="0"/>
    <d v="2024-10-01T00:00:00"/>
    <n v="10"/>
    <s v="CUST-00546"/>
    <x v="1"/>
    <x v="6"/>
    <s v="DL"/>
    <x v="0"/>
    <s v="New Delhi"/>
    <x v="4"/>
    <s v="P103"/>
    <s v="Niacinamide Toner"/>
    <x v="3"/>
    <n v="1"/>
    <n v="399"/>
    <n v="0.3"/>
    <n v="399"/>
    <n v="119.69999999999999"/>
    <n v="279.3"/>
    <n v="112"/>
    <n v="112"/>
    <n v="60"/>
    <n v="107.30000000000001"/>
    <n v="0.38417472252058721"/>
    <x v="0"/>
    <d v="2024-10-22T00:00:00"/>
    <n v="4"/>
    <x v="0"/>
    <n v="3"/>
    <n v="0"/>
  </r>
  <r>
    <s v="ORD-101548"/>
    <x v="288"/>
    <x v="0"/>
    <d v="2024-10-01T00:00:00"/>
    <n v="10"/>
    <s v="CUST-01089"/>
    <x v="1"/>
    <x v="12"/>
    <s v="BR"/>
    <x v="2"/>
    <s v="Patna"/>
    <x v="0"/>
    <s v="P502"/>
    <s v="Ceramic Dinner Set"/>
    <x v="4"/>
    <n v="1"/>
    <n v="2499"/>
    <n v="0.55000000000000004"/>
    <n v="2499"/>
    <n v="1374.45"/>
    <n v="1124.55"/>
    <n v="1250"/>
    <n v="1250"/>
    <n v="60"/>
    <n v="-185.45000000000005"/>
    <n v="-0.16491040860788764"/>
    <x v="1"/>
    <d v="2024-10-22T00:00:00"/>
    <n v="4"/>
    <x v="0"/>
    <m/>
    <n v="0"/>
  </r>
  <r>
    <s v="ORD-101549"/>
    <x v="288"/>
    <x v="0"/>
    <d v="2024-10-01T00:00:00"/>
    <n v="10"/>
    <s v="CUST-00670"/>
    <x v="1"/>
    <x v="12"/>
    <s v="BR"/>
    <x v="2"/>
    <s v="Patna"/>
    <x v="0"/>
    <s v="P501"/>
    <s v="Copper Water Bottle"/>
    <x v="4"/>
    <n v="2"/>
    <n v="899"/>
    <n v="0.2"/>
    <n v="1798"/>
    <n v="359.6"/>
    <n v="1438.4"/>
    <n v="378"/>
    <n v="756"/>
    <n v="60"/>
    <n v="622.40000000000009"/>
    <n v="0.4327030033370412"/>
    <x v="0"/>
    <d v="2024-10-25T00:00:00"/>
    <n v="7"/>
    <x v="2"/>
    <n v="4"/>
    <n v="0"/>
  </r>
  <r>
    <s v="ORD-101550"/>
    <x v="288"/>
    <x v="0"/>
    <d v="2024-10-01T00:00:00"/>
    <n v="10"/>
    <s v="CUST-01193"/>
    <x v="0"/>
    <x v="22"/>
    <s v="AS"/>
    <x v="2"/>
    <s v="Guwahati"/>
    <x v="4"/>
    <s v="P701"/>
    <s v="Ashwagandha Capsules"/>
    <x v="0"/>
    <n v="1"/>
    <n v="499"/>
    <n v="0.1"/>
    <n v="499"/>
    <n v="49.900000000000006"/>
    <n v="449.1"/>
    <n v="150"/>
    <n v="150"/>
    <n v="120"/>
    <n v="179.10000000000002"/>
    <n v="0.39879759519038077"/>
    <x v="0"/>
    <d v="2024-10-24T00:00:00"/>
    <n v="6"/>
    <x v="2"/>
    <m/>
    <n v="1"/>
  </r>
  <r>
    <s v="ORD-101551"/>
    <x v="288"/>
    <x v="0"/>
    <d v="2024-10-01T00:00:00"/>
    <n v="10"/>
    <s v="CUST-01963"/>
    <x v="0"/>
    <x v="1"/>
    <s v="GJ"/>
    <x v="1"/>
    <s v="Ahmedabad"/>
    <x v="3"/>
    <s v="P203"/>
    <s v="Keratin Hair Mask"/>
    <x v="6"/>
    <n v="1"/>
    <n v="549"/>
    <n v="0.35"/>
    <n v="549"/>
    <n v="192.14999999999998"/>
    <n v="356.85"/>
    <n v="170"/>
    <n v="170"/>
    <n v="60"/>
    <n v="126.85000000000002"/>
    <n v="0.35547148661902767"/>
    <x v="0"/>
    <d v="2024-10-23T00:00:00"/>
    <n v="5"/>
    <x v="2"/>
    <n v="3"/>
    <n v="0"/>
  </r>
  <r>
    <s v="ORD-101552"/>
    <x v="288"/>
    <x v="0"/>
    <d v="2024-10-01T00:00:00"/>
    <n v="10"/>
    <s v="CUST-00975"/>
    <x v="1"/>
    <x v="1"/>
    <s v="GJ"/>
    <x v="1"/>
    <s v="Surat"/>
    <x v="3"/>
    <s v="P105"/>
    <s v="Retinol Night Cream"/>
    <x v="3"/>
    <n v="1"/>
    <n v="799"/>
    <n v="0.25"/>
    <n v="799"/>
    <n v="199.75"/>
    <n v="599.25"/>
    <n v="216"/>
    <n v="216"/>
    <n v="120"/>
    <n v="263.25"/>
    <n v="0.43929912390488113"/>
    <x v="3"/>
    <d v="2024-10-21T00:00:00"/>
    <n v="3"/>
    <x v="0"/>
    <n v="3"/>
    <n v="1"/>
  </r>
  <r>
    <s v="ORD-101553"/>
    <x v="288"/>
    <x v="0"/>
    <d v="2024-10-01T00:00:00"/>
    <n v="10"/>
    <s v="CUST-00571"/>
    <x v="1"/>
    <x v="1"/>
    <s v="GJ"/>
    <x v="1"/>
    <s v="Surat"/>
    <x v="4"/>
    <s v="P402"/>
    <s v="Casual Sneakers"/>
    <x v="5"/>
    <n v="3"/>
    <n v="2199"/>
    <n v="0.25"/>
    <n v="6597"/>
    <n v="1649.25"/>
    <n v="4947.75"/>
    <n v="1034"/>
    <n v="3102"/>
    <n v="60"/>
    <n v="1785.75"/>
    <n v="0.3609216310444141"/>
    <x v="1"/>
    <d v="2024-10-22T00:00:00"/>
    <n v="4"/>
    <x v="0"/>
    <n v="3"/>
    <n v="0"/>
  </r>
  <r>
    <s v="ORD-101554"/>
    <x v="288"/>
    <x v="0"/>
    <d v="2024-10-01T00:00:00"/>
    <n v="10"/>
    <s v="CUST-03078"/>
    <x v="0"/>
    <x v="21"/>
    <s v="TG"/>
    <x v="3"/>
    <s v="Hyderabad"/>
    <x v="0"/>
    <s v="P404"/>
    <s v="Flip Flops"/>
    <x v="5"/>
    <n v="1"/>
    <n v="399"/>
    <n v="0.25"/>
    <n v="399"/>
    <n v="99.75"/>
    <n v="299.25"/>
    <n v="152"/>
    <n v="152"/>
    <n v="60"/>
    <n v="87.25"/>
    <n v="0.29156223893065997"/>
    <x v="2"/>
    <d v="2024-10-21T00:00:00"/>
    <n v="3"/>
    <x v="0"/>
    <n v="4"/>
    <n v="0"/>
  </r>
  <r>
    <s v="ORD-101555"/>
    <x v="288"/>
    <x v="0"/>
    <d v="2024-10-01T00:00:00"/>
    <n v="10"/>
    <s v="CUST-00623"/>
    <x v="1"/>
    <x v="11"/>
    <s v="KA"/>
    <x v="3"/>
    <s v="Mysuru"/>
    <x v="1"/>
    <s v="P302"/>
    <s v="Linen Kurta"/>
    <x v="1"/>
    <n v="1"/>
    <n v="1499"/>
    <n v="0.3"/>
    <n v="1499"/>
    <n v="449.7"/>
    <n v="1049.3"/>
    <n v="630"/>
    <n v="630"/>
    <n v="60"/>
    <n v="359.29999999999995"/>
    <n v="0.34241875536071664"/>
    <x v="0"/>
    <d v="2024-10-19T00:00:00"/>
    <n v="1"/>
    <x v="1"/>
    <n v="4"/>
    <n v="0"/>
  </r>
  <r>
    <s v="ORD-101556"/>
    <x v="289"/>
    <x v="0"/>
    <d v="2024-10-01T00:00:00"/>
    <n v="10"/>
    <s v="CUST-00405"/>
    <x v="1"/>
    <x v="19"/>
    <s v="PB"/>
    <x v="0"/>
    <s v="Amritsar"/>
    <x v="4"/>
    <s v="P204"/>
    <s v="Anti-Dandruff Conditioner"/>
    <x v="6"/>
    <n v="2"/>
    <n v="399"/>
    <n v="0.55000000000000004"/>
    <n v="798"/>
    <n v="438.90000000000003"/>
    <n v="359.09999999999997"/>
    <n v="136"/>
    <n v="272"/>
    <n v="60"/>
    <n v="27.099999999999966"/>
    <n v="7.5466443887496432E-2"/>
    <x v="0"/>
    <d v="2024-10-23T00:00:00"/>
    <n v="4"/>
    <x v="0"/>
    <n v="3"/>
    <n v="0"/>
  </r>
  <r>
    <s v="ORD-101557"/>
    <x v="289"/>
    <x v="0"/>
    <d v="2024-10-01T00:00:00"/>
    <n v="10"/>
    <s v="CUST-00553"/>
    <x v="1"/>
    <x v="19"/>
    <s v="PB"/>
    <x v="0"/>
    <s v="Amritsar"/>
    <x v="2"/>
    <s v="P204"/>
    <s v="Anti-Dandruff Conditioner"/>
    <x v="6"/>
    <n v="1"/>
    <n v="399"/>
    <n v="0.45"/>
    <n v="399"/>
    <n v="179.55"/>
    <n v="219.45"/>
    <n v="136"/>
    <n v="136"/>
    <n v="60"/>
    <n v="23.449999999999989"/>
    <n v="0.10685805422647524"/>
    <x v="1"/>
    <d v="2024-10-25T00:00:00"/>
    <n v="6"/>
    <x v="2"/>
    <n v="3"/>
    <n v="0"/>
  </r>
  <r>
    <s v="ORD-101558"/>
    <x v="289"/>
    <x v="0"/>
    <d v="2024-10-01T00:00:00"/>
    <n v="10"/>
    <s v="CUST-00198"/>
    <x v="1"/>
    <x v="9"/>
    <s v="UK"/>
    <x v="0"/>
    <s v="Dehradun"/>
    <x v="0"/>
    <s v="P603"/>
    <s v="Smartwatch Strap"/>
    <x v="2"/>
    <n v="1"/>
    <n v="499"/>
    <n v="0.1"/>
    <n v="499"/>
    <n v="49.900000000000006"/>
    <n v="449.1"/>
    <n v="200"/>
    <n v="200"/>
    <n v="60"/>
    <n v="189.10000000000002"/>
    <n v="0.42106435092407041"/>
    <x v="3"/>
    <d v="2024-10-22T00:00:00"/>
    <n v="3"/>
    <x v="0"/>
    <n v="3"/>
    <n v="0"/>
  </r>
  <r>
    <s v="ORD-101559"/>
    <x v="289"/>
    <x v="0"/>
    <d v="2024-10-01T00:00:00"/>
    <n v="10"/>
    <s v="CUST-00496"/>
    <x v="0"/>
    <x v="15"/>
    <s v="HR"/>
    <x v="0"/>
    <s v="Faridabad"/>
    <x v="0"/>
    <s v="P302"/>
    <s v="Linen Kurta"/>
    <x v="1"/>
    <n v="2"/>
    <n v="1499"/>
    <n v="0.4"/>
    <n v="2998"/>
    <n v="1199.2"/>
    <n v="1798.8"/>
    <n v="630"/>
    <n v="1260"/>
    <n v="60"/>
    <n v="478.79999999999995"/>
    <n v="0.26617745163442291"/>
    <x v="0"/>
    <d v="2024-10-21T00:00:00"/>
    <n v="2"/>
    <x v="1"/>
    <n v="4"/>
    <n v="0"/>
  </r>
  <r>
    <s v="ORD-101560"/>
    <x v="289"/>
    <x v="0"/>
    <d v="2024-10-01T00:00:00"/>
    <n v="10"/>
    <s v="CUST-00635"/>
    <x v="1"/>
    <x v="16"/>
    <s v="UP"/>
    <x v="0"/>
    <s v="Lucknow"/>
    <x v="3"/>
    <s v="P104"/>
    <s v="Hydrating Face Wash"/>
    <x v="3"/>
    <n v="1"/>
    <n v="299"/>
    <n v="0.25"/>
    <n v="299"/>
    <n v="74.75"/>
    <n v="224.25"/>
    <n v="90"/>
    <n v="90"/>
    <n v="60"/>
    <n v="74.25"/>
    <n v="0.33110367892976589"/>
    <x v="0"/>
    <d v="2024-10-23T00:00:00"/>
    <n v="4"/>
    <x v="0"/>
    <n v="4"/>
    <n v="0"/>
  </r>
  <r>
    <s v="ORD-101561"/>
    <x v="289"/>
    <x v="0"/>
    <d v="2024-10-01T00:00:00"/>
    <n v="10"/>
    <s v="CUST-00060"/>
    <x v="0"/>
    <x v="22"/>
    <s v="AS"/>
    <x v="2"/>
    <s v="Guwahati"/>
    <x v="3"/>
    <s v="P202"/>
    <s v="Argan Shampoo"/>
    <x v="6"/>
    <n v="2"/>
    <n v="449"/>
    <n v="0.15"/>
    <n v="898"/>
    <n v="134.69999999999999"/>
    <n v="763.3"/>
    <n v="148"/>
    <n v="296"/>
    <n v="60"/>
    <n v="407.29999999999995"/>
    <n v="0.53360408751473865"/>
    <x v="4"/>
    <d v="2024-10-27T00:00:00"/>
    <n v="8"/>
    <x v="2"/>
    <n v="3"/>
    <n v="0"/>
  </r>
  <r>
    <s v="ORD-101562"/>
    <x v="289"/>
    <x v="0"/>
    <d v="2024-10-01T00:00:00"/>
    <n v="10"/>
    <s v="CUST-00186"/>
    <x v="0"/>
    <x v="1"/>
    <s v="GJ"/>
    <x v="1"/>
    <s v="Ahmedabad"/>
    <x v="1"/>
    <s v="P401"/>
    <s v="Running Shoes"/>
    <x v="5"/>
    <n v="2"/>
    <n v="2999"/>
    <n v="0.45"/>
    <n v="5998"/>
    <n v="2699.1"/>
    <n v="3298.9"/>
    <n v="1440"/>
    <n v="2880"/>
    <n v="60"/>
    <n v="358.90000000000009"/>
    <n v="0.10879384037103279"/>
    <x v="0"/>
    <d v="2024-10-22T00:00:00"/>
    <n v="3"/>
    <x v="0"/>
    <n v="3"/>
    <n v="0"/>
  </r>
  <r>
    <s v="ORD-101563"/>
    <x v="289"/>
    <x v="0"/>
    <d v="2024-10-01T00:00:00"/>
    <n v="10"/>
    <s v="CUST-00836"/>
    <x v="0"/>
    <x v="13"/>
    <s v="MP"/>
    <x v="1"/>
    <s v="Bhopal"/>
    <x v="1"/>
    <s v="P404"/>
    <s v="Flip Flops"/>
    <x v="5"/>
    <n v="2"/>
    <n v="399"/>
    <n v="0.15"/>
    <n v="798"/>
    <n v="119.69999999999999"/>
    <n v="678.3"/>
    <n v="152"/>
    <n v="304"/>
    <n v="60"/>
    <n v="314.29999999999995"/>
    <n v="0.4633642930856553"/>
    <x v="0"/>
    <d v="2024-10-21T00:00:00"/>
    <n v="2"/>
    <x v="1"/>
    <m/>
    <n v="0"/>
  </r>
  <r>
    <s v="ORD-101564"/>
    <x v="289"/>
    <x v="0"/>
    <d v="2024-10-01T00:00:00"/>
    <n v="10"/>
    <s v="CUST-00768"/>
    <x v="0"/>
    <x v="13"/>
    <s v="MP"/>
    <x v="1"/>
    <s v="Bhopal"/>
    <x v="3"/>
    <s v="P704"/>
    <s v="Multivitamin Gummies"/>
    <x v="0"/>
    <n v="4"/>
    <n v="699"/>
    <n v="0.3"/>
    <n v="2796"/>
    <n v="838.8"/>
    <n v="1957.2"/>
    <n v="238"/>
    <n v="952"/>
    <n v="60"/>
    <n v="945.2"/>
    <n v="0.48293480482321688"/>
    <x v="2"/>
    <d v="2024-10-23T00:00:00"/>
    <n v="4"/>
    <x v="0"/>
    <n v="4"/>
    <n v="0"/>
  </r>
  <r>
    <s v="ORD-101565"/>
    <x v="289"/>
    <x v="0"/>
    <d v="2024-10-01T00:00:00"/>
    <n v="10"/>
    <s v="CUST-03137"/>
    <x v="0"/>
    <x v="18"/>
    <s v="WB"/>
    <x v="2"/>
    <s v="Kolkata"/>
    <x v="3"/>
    <s v="P701"/>
    <s v="Ashwagandha Capsules"/>
    <x v="0"/>
    <n v="1"/>
    <n v="499"/>
    <n v="0.2"/>
    <n v="499"/>
    <n v="99.800000000000011"/>
    <n v="399.2"/>
    <n v="150"/>
    <n v="150"/>
    <n v="60"/>
    <n v="189.2"/>
    <n v="0.47394789579158314"/>
    <x v="3"/>
    <d v="2024-10-21T00:00:00"/>
    <n v="2"/>
    <x v="1"/>
    <m/>
    <n v="0"/>
  </r>
  <r>
    <s v="ORD-101566"/>
    <x v="289"/>
    <x v="0"/>
    <d v="2024-10-01T00:00:00"/>
    <n v="10"/>
    <s v="CUST-00075"/>
    <x v="1"/>
    <x v="2"/>
    <s v="MH"/>
    <x v="1"/>
    <s v="Nagpur"/>
    <x v="1"/>
    <s v="P404"/>
    <s v="Flip Flops"/>
    <x v="5"/>
    <n v="2"/>
    <n v="399"/>
    <n v="0.2"/>
    <n v="798"/>
    <n v="159.60000000000002"/>
    <n v="638.4"/>
    <n v="152"/>
    <n v="304"/>
    <n v="60"/>
    <n v="274.39999999999998"/>
    <n v="0.42982456140350878"/>
    <x v="1"/>
    <d v="2024-10-21T00:00:00"/>
    <n v="2"/>
    <x v="1"/>
    <m/>
    <n v="0"/>
  </r>
  <r>
    <s v="ORD-101567"/>
    <x v="289"/>
    <x v="0"/>
    <d v="2024-10-01T00:00:00"/>
    <n v="10"/>
    <s v="CUST-00188"/>
    <x v="0"/>
    <x v="11"/>
    <s v="KA"/>
    <x v="3"/>
    <s v="Bengaluru"/>
    <x v="1"/>
    <s v="P301"/>
    <s v="Cotton Oversized T-Shirt"/>
    <x v="1"/>
    <n v="1"/>
    <n v="799"/>
    <n v="0.15"/>
    <n v="799"/>
    <n v="119.85"/>
    <n v="679.15"/>
    <n v="320"/>
    <n v="320"/>
    <n v="60"/>
    <n v="299.14999999999998"/>
    <n v="0.44047706692188765"/>
    <x v="0"/>
    <d v="2024-10-20T00:00:00"/>
    <n v="1"/>
    <x v="1"/>
    <n v="4"/>
    <n v="0"/>
  </r>
  <r>
    <s v="ORD-101568"/>
    <x v="289"/>
    <x v="0"/>
    <d v="2024-10-01T00:00:00"/>
    <n v="10"/>
    <s v="CUST-00806"/>
    <x v="1"/>
    <x v="11"/>
    <s v="KA"/>
    <x v="3"/>
    <s v="Mysuru"/>
    <x v="1"/>
    <s v="P401"/>
    <s v="Running Shoes"/>
    <x v="5"/>
    <n v="1"/>
    <n v="2999"/>
    <n v="0.35"/>
    <n v="2999"/>
    <n v="1049.6499999999999"/>
    <n v="1949.3500000000001"/>
    <n v="1440"/>
    <n v="1440"/>
    <n v="60"/>
    <n v="449.35000000000014"/>
    <n v="0.23051273501423558"/>
    <x v="0"/>
    <d v="2024-10-23T00:00:00"/>
    <n v="4"/>
    <x v="0"/>
    <n v="4"/>
    <n v="0"/>
  </r>
  <r>
    <s v="ORD-101569"/>
    <x v="289"/>
    <x v="0"/>
    <d v="2024-10-01T00:00:00"/>
    <n v="10"/>
    <s v="CUST-00952"/>
    <x v="0"/>
    <x v="8"/>
    <s v="AP"/>
    <x v="3"/>
    <s v="Visakhapatnam"/>
    <x v="4"/>
    <s v="P105"/>
    <s v="Retinol Night Cream"/>
    <x v="3"/>
    <n v="1"/>
    <n v="799"/>
    <n v="0.25"/>
    <n v="799"/>
    <n v="199.75"/>
    <n v="599.25"/>
    <n v="216"/>
    <n v="216"/>
    <n v="60"/>
    <n v="323.25"/>
    <n v="0.5394242803504381"/>
    <x v="3"/>
    <d v="2024-10-24T00:00:00"/>
    <n v="5"/>
    <x v="2"/>
    <n v="3"/>
    <n v="0"/>
  </r>
  <r>
    <s v="ORD-101570"/>
    <x v="289"/>
    <x v="0"/>
    <d v="2024-10-01T00:00:00"/>
    <n v="10"/>
    <s v="CUST-00940"/>
    <x v="1"/>
    <x v="14"/>
    <s v="KL"/>
    <x v="3"/>
    <s v="Kochi"/>
    <x v="2"/>
    <s v="P703"/>
    <s v="Green Tea (100 bags)"/>
    <x v="0"/>
    <n v="2"/>
    <n v="399"/>
    <n v="0.35"/>
    <n v="798"/>
    <n v="279.29999999999995"/>
    <n v="518.70000000000005"/>
    <n v="128"/>
    <n v="256"/>
    <n v="60"/>
    <n v="202.70000000000005"/>
    <n v="0.39078465394254874"/>
    <x v="0"/>
    <d v="2024-10-24T00:00:00"/>
    <n v="5"/>
    <x v="2"/>
    <m/>
    <n v="0"/>
  </r>
  <r>
    <s v="ORD-101571"/>
    <x v="290"/>
    <x v="0"/>
    <d v="2024-10-01T00:00:00"/>
    <n v="10"/>
    <s v="CUST-00506"/>
    <x v="1"/>
    <x v="19"/>
    <s v="PB"/>
    <x v="0"/>
    <s v="Ludhiana"/>
    <x v="0"/>
    <s v="P604"/>
    <s v="Power Bank 20000mAh"/>
    <x v="2"/>
    <n v="1"/>
    <n v="1799"/>
    <n v="0.5"/>
    <n v="1799"/>
    <n v="899.5"/>
    <n v="899.5"/>
    <n v="1079"/>
    <n v="1079"/>
    <n v="60"/>
    <n v="-239.5"/>
    <n v="-0.26625903279599777"/>
    <x v="0"/>
    <d v="2024-10-24T00:00:00"/>
    <n v="4"/>
    <x v="0"/>
    <n v="3"/>
    <n v="0"/>
  </r>
  <r>
    <s v="ORD-101572"/>
    <x v="290"/>
    <x v="0"/>
    <d v="2024-10-01T00:00:00"/>
    <n v="10"/>
    <s v="CUST-00201"/>
    <x v="1"/>
    <x v="15"/>
    <s v="HR"/>
    <x v="0"/>
    <s v="Gurugram"/>
    <x v="3"/>
    <s v="P703"/>
    <s v="Green Tea (100 bags)"/>
    <x v="0"/>
    <n v="1"/>
    <n v="399"/>
    <n v="0.35"/>
    <n v="399"/>
    <n v="139.64999999999998"/>
    <n v="259.35000000000002"/>
    <n v="128"/>
    <n v="128"/>
    <n v="60"/>
    <n v="71.350000000000023"/>
    <n v="0.27511085405822255"/>
    <x v="0"/>
    <d v="2024-10-21T00:00:00"/>
    <n v="1"/>
    <x v="1"/>
    <m/>
    <n v="0"/>
  </r>
  <r>
    <s v="ORD-101573"/>
    <x v="290"/>
    <x v="0"/>
    <d v="2024-10-01T00:00:00"/>
    <n v="10"/>
    <s v="CUST-02928"/>
    <x v="1"/>
    <x v="6"/>
    <s v="DL"/>
    <x v="0"/>
    <s v="New Delhi"/>
    <x v="0"/>
    <s v="P101"/>
    <s v="Vitamin C Face Serum"/>
    <x v="3"/>
    <n v="1"/>
    <n v="599"/>
    <n v="0.25"/>
    <n v="599"/>
    <n v="149.75"/>
    <n v="449.25"/>
    <n v="180"/>
    <n v="180"/>
    <n v="120"/>
    <n v="149.25"/>
    <n v="0.332220367278798"/>
    <x v="3"/>
    <d v="2024-10-22T00:00:00"/>
    <n v="2"/>
    <x v="1"/>
    <m/>
    <n v="1"/>
  </r>
  <r>
    <s v="ORD-101574"/>
    <x v="290"/>
    <x v="0"/>
    <d v="2024-10-01T00:00:00"/>
    <n v="10"/>
    <s v="CUST-00787"/>
    <x v="0"/>
    <x v="16"/>
    <s v="UP"/>
    <x v="0"/>
    <s v="Kanpur"/>
    <x v="1"/>
    <s v="P403"/>
    <s v="Kolhapuri Sandals"/>
    <x v="5"/>
    <n v="1"/>
    <n v="999"/>
    <n v="0.1"/>
    <n v="999"/>
    <n v="99.9"/>
    <n v="899.1"/>
    <n v="400"/>
    <n v="400"/>
    <n v="120"/>
    <n v="379.1"/>
    <n v="0.42164386608831056"/>
    <x v="0"/>
    <d v="2024-10-24T00:00:00"/>
    <n v="4"/>
    <x v="0"/>
    <n v="4"/>
    <n v="1"/>
  </r>
  <r>
    <s v="ORD-101575"/>
    <x v="290"/>
    <x v="0"/>
    <d v="2024-10-01T00:00:00"/>
    <n v="10"/>
    <s v="CUST-00940"/>
    <x v="1"/>
    <x v="13"/>
    <s v="MP"/>
    <x v="1"/>
    <s v="Bhopal"/>
    <x v="2"/>
    <s v="P303"/>
    <s v="Joggers"/>
    <x v="1"/>
    <n v="1"/>
    <n v="1199"/>
    <n v="0.3"/>
    <n v="1199"/>
    <n v="359.7"/>
    <n v="839.3"/>
    <n v="492"/>
    <n v="492"/>
    <n v="120"/>
    <n v="227.29999999999995"/>
    <n v="0.27082092219706894"/>
    <x v="1"/>
    <d v="2024-10-26T00:00:00"/>
    <n v="6"/>
    <x v="2"/>
    <n v="3"/>
    <n v="1"/>
  </r>
  <r>
    <s v="ORD-101576"/>
    <x v="290"/>
    <x v="0"/>
    <d v="2024-10-01T00:00:00"/>
    <n v="10"/>
    <s v="CUST-00892"/>
    <x v="1"/>
    <x v="10"/>
    <s v="CG"/>
    <x v="2"/>
    <s v="Raipur"/>
    <x v="3"/>
    <s v="P703"/>
    <s v="Green Tea (100 bags)"/>
    <x v="0"/>
    <n v="2"/>
    <n v="399"/>
    <n v="0.6"/>
    <n v="798"/>
    <n v="478.79999999999995"/>
    <n v="319.20000000000005"/>
    <n v="128"/>
    <n v="256"/>
    <n v="60"/>
    <n v="3.2000000000000455"/>
    <n v="1.0025062656641746E-2"/>
    <x v="0"/>
    <d v="2024-10-26T00:00:00"/>
    <n v="6"/>
    <x v="2"/>
    <m/>
    <n v="0"/>
  </r>
  <r>
    <s v="ORD-101577"/>
    <x v="290"/>
    <x v="0"/>
    <d v="2024-10-01T00:00:00"/>
    <n v="10"/>
    <s v="CUST-03084"/>
    <x v="1"/>
    <x v="18"/>
    <s v="WB"/>
    <x v="2"/>
    <s v="Kolkata"/>
    <x v="0"/>
    <s v="P603"/>
    <s v="Smartwatch Strap"/>
    <x v="2"/>
    <n v="2"/>
    <n v="499"/>
    <n v="0.2"/>
    <n v="998"/>
    <n v="199.60000000000002"/>
    <n v="798.4"/>
    <n v="200"/>
    <n v="400"/>
    <n v="60"/>
    <n v="338.4"/>
    <n v="0.42384769539078154"/>
    <x v="0"/>
    <d v="2024-10-23T00:00:00"/>
    <n v="3"/>
    <x v="0"/>
    <n v="5"/>
    <n v="0"/>
  </r>
  <r>
    <s v="ORD-101578"/>
    <x v="290"/>
    <x v="0"/>
    <d v="2024-10-01T00:00:00"/>
    <n v="10"/>
    <s v="CUST-00356"/>
    <x v="1"/>
    <x v="2"/>
    <s v="MH"/>
    <x v="1"/>
    <s v="Pune"/>
    <x v="0"/>
    <s v="P204"/>
    <s v="Anti-Dandruff Conditioner"/>
    <x v="6"/>
    <n v="1"/>
    <n v="399"/>
    <n v="0.4"/>
    <n v="399"/>
    <n v="159.60000000000002"/>
    <n v="239.39999999999998"/>
    <n v="136"/>
    <n v="136"/>
    <n v="120"/>
    <n v="-16.600000000000023"/>
    <n v="-6.9340016708437868E-2"/>
    <x v="0"/>
    <d v="2024-10-22T00:00:00"/>
    <n v="2"/>
    <x v="1"/>
    <n v="5"/>
    <n v="1"/>
  </r>
  <r>
    <s v="ORD-101579"/>
    <x v="290"/>
    <x v="0"/>
    <d v="2024-10-01T00:00:00"/>
    <n v="10"/>
    <s v="CUST-01383"/>
    <x v="0"/>
    <x v="2"/>
    <s v="MH"/>
    <x v="1"/>
    <s v="Mumbai"/>
    <x v="3"/>
    <s v="P202"/>
    <s v="Argan Shampoo"/>
    <x v="6"/>
    <n v="1"/>
    <n v="449"/>
    <n v="0.2"/>
    <n v="449"/>
    <n v="89.800000000000011"/>
    <n v="359.2"/>
    <n v="148"/>
    <n v="148"/>
    <n v="60"/>
    <n v="151.19999999999999"/>
    <n v="0.42093541202672602"/>
    <x v="3"/>
    <d v="2024-10-22T00:00:00"/>
    <n v="2"/>
    <x v="1"/>
    <m/>
    <n v="0"/>
  </r>
  <r>
    <s v="ORD-101580"/>
    <x v="290"/>
    <x v="0"/>
    <d v="2024-10-01T00:00:00"/>
    <n v="10"/>
    <s v="CUST-02127"/>
    <x v="0"/>
    <x v="21"/>
    <s v="TG"/>
    <x v="3"/>
    <s v="Hyderabad"/>
    <x v="3"/>
    <s v="P101"/>
    <s v="Vitamin C Face Serum"/>
    <x v="3"/>
    <n v="3"/>
    <n v="599"/>
    <n v="0.3"/>
    <n v="1797"/>
    <n v="539.1"/>
    <n v="1257.9000000000001"/>
    <n v="180"/>
    <n v="540"/>
    <n v="60"/>
    <n v="657.90000000000009"/>
    <n v="0.52301454805628433"/>
    <x v="0"/>
    <d v="2024-10-21T00:00:00"/>
    <n v="1"/>
    <x v="1"/>
    <m/>
    <n v="0"/>
  </r>
  <r>
    <s v="ORD-101581"/>
    <x v="290"/>
    <x v="0"/>
    <d v="2024-10-01T00:00:00"/>
    <n v="10"/>
    <s v="CUST-00415"/>
    <x v="1"/>
    <x v="11"/>
    <s v="KA"/>
    <x v="3"/>
    <s v="Mysuru"/>
    <x v="1"/>
    <s v="P402"/>
    <s v="Casual Sneakers"/>
    <x v="5"/>
    <n v="4"/>
    <n v="2199"/>
    <n v="0.3"/>
    <n v="8796"/>
    <n v="2638.7999999999997"/>
    <n v="6157.2000000000007"/>
    <n v="1034"/>
    <n v="4136"/>
    <n v="60"/>
    <n v="1961.2000000000007"/>
    <n v="0.31852140583382066"/>
    <x v="1"/>
    <d v="2024-10-23T00:00:00"/>
    <n v="3"/>
    <x v="0"/>
    <m/>
    <n v="0"/>
  </r>
  <r>
    <s v="ORD-101582"/>
    <x v="290"/>
    <x v="0"/>
    <d v="2024-10-01T00:00:00"/>
    <n v="10"/>
    <s v="CUST-00268"/>
    <x v="1"/>
    <x v="8"/>
    <s v="AP"/>
    <x v="3"/>
    <s v="Visakhapatnam"/>
    <x v="1"/>
    <s v="P301"/>
    <s v="Cotton Oversized T-Shirt"/>
    <x v="1"/>
    <n v="1"/>
    <n v="799"/>
    <n v="0.05"/>
    <n v="799"/>
    <n v="39.950000000000003"/>
    <n v="759.05"/>
    <n v="320"/>
    <n v="320"/>
    <n v="120"/>
    <n v="319.04999999999995"/>
    <n v="0.42032804163098608"/>
    <x v="4"/>
    <d v="2024-10-22T00:00:00"/>
    <n v="2"/>
    <x v="1"/>
    <n v="5"/>
    <n v="1"/>
  </r>
  <r>
    <s v="ORD-101583"/>
    <x v="290"/>
    <x v="0"/>
    <d v="2024-10-01T00:00:00"/>
    <n v="10"/>
    <s v="CUST-00968"/>
    <x v="1"/>
    <x v="17"/>
    <s v="TN"/>
    <x v="3"/>
    <s v="Chennai"/>
    <x v="1"/>
    <s v="P401"/>
    <s v="Running Shoes"/>
    <x v="5"/>
    <n v="1"/>
    <n v="2999"/>
    <n v="0.3"/>
    <n v="2999"/>
    <n v="899.69999999999993"/>
    <n v="2099.3000000000002"/>
    <n v="1440"/>
    <n v="1440"/>
    <n v="60"/>
    <n v="599.30000000000018"/>
    <n v="0.28547611108464732"/>
    <x v="3"/>
    <d v="2024-10-24T00:00:00"/>
    <n v="4"/>
    <x v="0"/>
    <n v="4"/>
    <n v="0"/>
  </r>
  <r>
    <s v="ORD-101584"/>
    <x v="291"/>
    <x v="0"/>
    <d v="2024-10-01T00:00:00"/>
    <n v="10"/>
    <s v="CUST-00225"/>
    <x v="1"/>
    <x v="19"/>
    <s v="PB"/>
    <x v="0"/>
    <s v="Ludhiana"/>
    <x v="2"/>
    <s v="P703"/>
    <s v="Green Tea (100 bags)"/>
    <x v="0"/>
    <n v="2"/>
    <n v="399"/>
    <n v="0.35"/>
    <n v="798"/>
    <n v="279.29999999999995"/>
    <n v="518.70000000000005"/>
    <n v="128"/>
    <n v="256"/>
    <n v="60"/>
    <n v="202.70000000000005"/>
    <n v="0.39078465394254874"/>
    <x v="3"/>
    <d v="2024-10-25T00:00:00"/>
    <n v="4"/>
    <x v="0"/>
    <n v="4"/>
    <n v="0"/>
  </r>
  <r>
    <s v="ORD-101585"/>
    <x v="291"/>
    <x v="0"/>
    <d v="2024-10-01T00:00:00"/>
    <n v="10"/>
    <s v="CUST-00346"/>
    <x v="1"/>
    <x v="16"/>
    <s v="UP"/>
    <x v="0"/>
    <s v="Noida"/>
    <x v="3"/>
    <s v="P101"/>
    <s v="Vitamin C Face Serum"/>
    <x v="3"/>
    <n v="2"/>
    <n v="599"/>
    <n v="0.2"/>
    <n v="1198"/>
    <n v="239.60000000000002"/>
    <n v="958.4"/>
    <n v="180"/>
    <n v="360"/>
    <n v="60"/>
    <n v="538.4"/>
    <n v="0.56176961602671116"/>
    <x v="0"/>
    <d v="2024-10-25T00:00:00"/>
    <n v="4"/>
    <x v="0"/>
    <n v="3"/>
    <n v="0"/>
  </r>
  <r>
    <s v="ORD-101586"/>
    <x v="291"/>
    <x v="0"/>
    <d v="2024-10-01T00:00:00"/>
    <n v="10"/>
    <s v="CUST-02364"/>
    <x v="0"/>
    <x v="16"/>
    <s v="UP"/>
    <x v="0"/>
    <s v="Noida"/>
    <x v="4"/>
    <s v="P701"/>
    <s v="Ashwagandha Capsules"/>
    <x v="0"/>
    <n v="1"/>
    <n v="499"/>
    <n v="0.15"/>
    <n v="499"/>
    <n v="74.849999999999994"/>
    <n v="424.15"/>
    <n v="150"/>
    <n v="150"/>
    <n v="60"/>
    <n v="214.14999999999998"/>
    <n v="0.50489213721560766"/>
    <x v="4"/>
    <d v="2024-10-25T00:00:00"/>
    <n v="4"/>
    <x v="0"/>
    <n v="4"/>
    <n v="0"/>
  </r>
  <r>
    <s v="ORD-101587"/>
    <x v="291"/>
    <x v="0"/>
    <d v="2024-10-01T00:00:00"/>
    <n v="10"/>
    <s v="CUST-00822"/>
    <x v="0"/>
    <x v="16"/>
    <s v="UP"/>
    <x v="0"/>
    <s v="Kanpur"/>
    <x v="3"/>
    <s v="P104"/>
    <s v="Hydrating Face Wash"/>
    <x v="3"/>
    <n v="2"/>
    <n v="299"/>
    <n v="0.1"/>
    <n v="598"/>
    <n v="59.800000000000004"/>
    <n v="538.20000000000005"/>
    <n v="90"/>
    <n v="180"/>
    <n v="60"/>
    <n v="298.20000000000005"/>
    <n v="0.55406911928651059"/>
    <x v="3"/>
    <d v="2024-10-24T00:00:00"/>
    <n v="3"/>
    <x v="0"/>
    <n v="4"/>
    <n v="0"/>
  </r>
  <r>
    <s v="ORD-101588"/>
    <x v="291"/>
    <x v="0"/>
    <d v="2024-10-01T00:00:00"/>
    <n v="10"/>
    <s v="CUST-01097"/>
    <x v="1"/>
    <x v="16"/>
    <s v="UP"/>
    <x v="0"/>
    <s v="Lucknow"/>
    <x v="2"/>
    <s v="P203"/>
    <s v="Keratin Hair Mask"/>
    <x v="6"/>
    <n v="1"/>
    <n v="549"/>
    <n v="0.2"/>
    <n v="549"/>
    <n v="109.80000000000001"/>
    <n v="439.2"/>
    <n v="170"/>
    <n v="170"/>
    <n v="60"/>
    <n v="209.2"/>
    <n v="0.47632058287795992"/>
    <x v="3"/>
    <d v="2024-10-24T00:00:00"/>
    <n v="3"/>
    <x v="0"/>
    <m/>
    <n v="0"/>
  </r>
  <r>
    <s v="ORD-101589"/>
    <x v="291"/>
    <x v="0"/>
    <d v="2024-10-01T00:00:00"/>
    <n v="10"/>
    <s v="CUST-00159"/>
    <x v="1"/>
    <x v="2"/>
    <s v="MH"/>
    <x v="1"/>
    <s v="Nagpur"/>
    <x v="1"/>
    <s v="P302"/>
    <s v="Linen Kurta"/>
    <x v="1"/>
    <n v="3"/>
    <n v="1499"/>
    <n v="0.35"/>
    <n v="4497"/>
    <n v="1573.9499999999998"/>
    <n v="2923.05"/>
    <n v="630"/>
    <n v="1890"/>
    <n v="60"/>
    <n v="973.05000000000018"/>
    <n v="0.33288859239493002"/>
    <x v="3"/>
    <d v="2024-10-25T00:00:00"/>
    <n v="4"/>
    <x v="0"/>
    <n v="3"/>
    <n v="0"/>
  </r>
  <r>
    <s v="ORD-101590"/>
    <x v="291"/>
    <x v="0"/>
    <d v="2024-10-01T00:00:00"/>
    <n v="10"/>
    <s v="CUST-01104"/>
    <x v="1"/>
    <x v="21"/>
    <s v="TG"/>
    <x v="3"/>
    <s v="Hyderabad"/>
    <x v="4"/>
    <s v="P102"/>
    <s v="Sunscreen SPF 50"/>
    <x v="3"/>
    <n v="1"/>
    <n v="449"/>
    <n v="0.15"/>
    <n v="449"/>
    <n v="67.349999999999994"/>
    <n v="381.65"/>
    <n v="144"/>
    <n v="144"/>
    <n v="60"/>
    <n v="177.64999999999998"/>
    <n v="0.465478841870824"/>
    <x v="0"/>
    <d v="2024-10-25T00:00:00"/>
    <n v="4"/>
    <x v="0"/>
    <n v="3"/>
    <n v="0"/>
  </r>
  <r>
    <s v="ORD-101591"/>
    <x v="292"/>
    <x v="0"/>
    <d v="2024-10-01T00:00:00"/>
    <n v="10"/>
    <s v="CUST-01643"/>
    <x v="0"/>
    <x v="0"/>
    <s v="RJ"/>
    <x v="0"/>
    <s v="Jaipur"/>
    <x v="1"/>
    <s v="P404"/>
    <s v="Flip Flops"/>
    <x v="5"/>
    <n v="3"/>
    <n v="399"/>
    <n v="0.3"/>
    <n v="1197"/>
    <n v="359.09999999999997"/>
    <n v="837.90000000000009"/>
    <n v="152"/>
    <n v="456"/>
    <n v="120"/>
    <n v="261.90000000000009"/>
    <n v="0.3125671321160044"/>
    <x v="2"/>
    <d v="2024-10-25T00:00:00"/>
    <n v="3"/>
    <x v="0"/>
    <m/>
    <n v="1"/>
  </r>
  <r>
    <s v="ORD-101592"/>
    <x v="292"/>
    <x v="0"/>
    <d v="2024-10-01T00:00:00"/>
    <n v="10"/>
    <s v="CUST-02112"/>
    <x v="0"/>
    <x v="16"/>
    <s v="UP"/>
    <x v="0"/>
    <s v="Noida"/>
    <x v="0"/>
    <s v="P603"/>
    <s v="Smartwatch Strap"/>
    <x v="2"/>
    <n v="2"/>
    <n v="499"/>
    <n v="0.15"/>
    <n v="998"/>
    <n v="149.69999999999999"/>
    <n v="848.3"/>
    <n v="200"/>
    <n v="400"/>
    <n v="60"/>
    <n v="388.29999999999995"/>
    <n v="0.45773900742661794"/>
    <x v="0"/>
    <d v="2024-10-26T00:00:00"/>
    <n v="4"/>
    <x v="0"/>
    <n v="5"/>
    <n v="0"/>
  </r>
  <r>
    <s v="ORD-101593"/>
    <x v="292"/>
    <x v="0"/>
    <d v="2024-10-01T00:00:00"/>
    <n v="10"/>
    <s v="CUST-00598"/>
    <x v="1"/>
    <x v="13"/>
    <s v="MP"/>
    <x v="1"/>
    <s v="Indore"/>
    <x v="0"/>
    <s v="P104"/>
    <s v="Hydrating Face Wash"/>
    <x v="3"/>
    <n v="2"/>
    <n v="299"/>
    <n v="0.05"/>
    <n v="598"/>
    <n v="29.900000000000002"/>
    <n v="568.1"/>
    <n v="90"/>
    <n v="180"/>
    <n v="120"/>
    <n v="268.10000000000002"/>
    <n v="0.47192395704981521"/>
    <x v="0"/>
    <d v="2024-10-27T00:00:00"/>
    <n v="5"/>
    <x v="2"/>
    <m/>
    <n v="1"/>
  </r>
  <r>
    <s v="ORD-101594"/>
    <x v="292"/>
    <x v="0"/>
    <d v="2024-10-01T00:00:00"/>
    <n v="10"/>
    <s v="CUST-00949"/>
    <x v="0"/>
    <x v="7"/>
    <s v="JH"/>
    <x v="2"/>
    <s v="Ranchi"/>
    <x v="2"/>
    <s v="P404"/>
    <s v="Flip Flops"/>
    <x v="5"/>
    <n v="1"/>
    <n v="399"/>
    <n v="0.15"/>
    <n v="399"/>
    <n v="59.849999999999994"/>
    <n v="339.15"/>
    <n v="152"/>
    <n v="152"/>
    <n v="120"/>
    <n v="67.149999999999977"/>
    <n v="0.19799498746867161"/>
    <x v="3"/>
    <d v="2024-10-26T00:00:00"/>
    <n v="4"/>
    <x v="0"/>
    <n v="4"/>
    <n v="1"/>
  </r>
  <r>
    <s v="ORD-101595"/>
    <x v="292"/>
    <x v="0"/>
    <d v="2024-10-01T00:00:00"/>
    <n v="10"/>
    <s v="CUST-02436"/>
    <x v="0"/>
    <x v="2"/>
    <s v="MH"/>
    <x v="1"/>
    <s v="Nagpur"/>
    <x v="0"/>
    <s v="P704"/>
    <s v="Multivitamin Gummies"/>
    <x v="0"/>
    <n v="2"/>
    <n v="699"/>
    <n v="0.4"/>
    <n v="1398"/>
    <n v="559.20000000000005"/>
    <n v="838.8"/>
    <n v="238"/>
    <n v="476"/>
    <n v="60"/>
    <n v="302.79999999999995"/>
    <n v="0.36099189318073432"/>
    <x v="4"/>
    <d v="2024-10-24T00:00:00"/>
    <n v="2"/>
    <x v="1"/>
    <n v="5"/>
    <n v="0"/>
  </r>
  <r>
    <s v="ORD-101596"/>
    <x v="292"/>
    <x v="0"/>
    <d v="2024-10-01T00:00:00"/>
    <n v="10"/>
    <s v="CUST-00273"/>
    <x v="0"/>
    <x v="11"/>
    <s v="KA"/>
    <x v="3"/>
    <s v="Bengaluru"/>
    <x v="2"/>
    <s v="P203"/>
    <s v="Keratin Hair Mask"/>
    <x v="6"/>
    <n v="1"/>
    <n v="549"/>
    <n v="0.25"/>
    <n v="549"/>
    <n v="137.25"/>
    <n v="411.75"/>
    <n v="170"/>
    <n v="170"/>
    <n v="60"/>
    <n v="181.75"/>
    <n v="0.44140862173649059"/>
    <x v="4"/>
    <d v="2024-10-27T00:00:00"/>
    <n v="5"/>
    <x v="2"/>
    <n v="4"/>
    <n v="0"/>
  </r>
  <r>
    <s v="ORD-101597"/>
    <x v="292"/>
    <x v="0"/>
    <d v="2024-10-01T00:00:00"/>
    <n v="10"/>
    <s v="CUST-00425"/>
    <x v="1"/>
    <x v="14"/>
    <s v="KL"/>
    <x v="3"/>
    <s v="Thiruvananthapuram"/>
    <x v="0"/>
    <s v="P604"/>
    <s v="Power Bank 20000mAh"/>
    <x v="2"/>
    <n v="1"/>
    <n v="1799"/>
    <n v="0.5"/>
    <n v="1799"/>
    <n v="899.5"/>
    <n v="899.5"/>
    <n v="1079"/>
    <n v="1079"/>
    <n v="60"/>
    <n v="-239.5"/>
    <n v="-0.26625903279599777"/>
    <x v="1"/>
    <d v="2024-10-28T00:00:00"/>
    <n v="6"/>
    <x v="2"/>
    <n v="2"/>
    <n v="0"/>
  </r>
  <r>
    <s v="ORD-101598"/>
    <x v="292"/>
    <x v="0"/>
    <d v="2024-10-01T00:00:00"/>
    <n v="10"/>
    <s v="CUST-03093"/>
    <x v="0"/>
    <x v="17"/>
    <s v="TN"/>
    <x v="3"/>
    <s v="Chennai"/>
    <x v="2"/>
    <s v="P703"/>
    <s v="Green Tea (100 bags)"/>
    <x v="0"/>
    <n v="2"/>
    <n v="399"/>
    <n v="0.55000000000000004"/>
    <n v="798"/>
    <n v="438.90000000000003"/>
    <n v="359.09999999999997"/>
    <n v="128"/>
    <n v="256"/>
    <n v="60"/>
    <n v="43.099999999999966"/>
    <n v="0.12002227791701467"/>
    <x v="0"/>
    <d v="2024-10-26T00:00:00"/>
    <n v="4"/>
    <x v="0"/>
    <n v="2"/>
    <n v="0"/>
  </r>
  <r>
    <s v="ORD-101599"/>
    <x v="292"/>
    <x v="0"/>
    <d v="2024-10-01T00:00:00"/>
    <n v="10"/>
    <s v="CUST-00505"/>
    <x v="1"/>
    <x v="17"/>
    <s v="TN"/>
    <x v="3"/>
    <s v="Coimbatore"/>
    <x v="0"/>
    <s v="P104"/>
    <s v="Hydrating Face Wash"/>
    <x v="3"/>
    <n v="1"/>
    <n v="299"/>
    <n v="0.15"/>
    <n v="299"/>
    <n v="44.85"/>
    <n v="254.15"/>
    <n v="90"/>
    <n v="90"/>
    <n v="60"/>
    <n v="104.15"/>
    <n v="0.40979736376155818"/>
    <x v="0"/>
    <d v="2024-10-25T00:00:00"/>
    <n v="3"/>
    <x v="0"/>
    <n v="3"/>
    <n v="0"/>
  </r>
  <r>
    <s v="ORD-101600"/>
    <x v="293"/>
    <x v="0"/>
    <d v="2024-10-01T00:00:00"/>
    <n v="10"/>
    <s v="CUST-01761"/>
    <x v="1"/>
    <x v="15"/>
    <s v="HR"/>
    <x v="0"/>
    <s v="Gurugram"/>
    <x v="1"/>
    <s v="P401"/>
    <s v="Running Shoes"/>
    <x v="5"/>
    <n v="1"/>
    <n v="2999"/>
    <n v="0.2"/>
    <n v="2999"/>
    <n v="599.80000000000007"/>
    <n v="2399.1999999999998"/>
    <n v="1440"/>
    <n v="1440"/>
    <n v="60"/>
    <n v="899.19999999999982"/>
    <n v="0.3747915971990663"/>
    <x v="3"/>
    <d v="2024-10-28T00:00:00"/>
    <n v="5"/>
    <x v="2"/>
    <n v="3"/>
    <n v="0"/>
  </r>
  <r>
    <s v="ORD-101601"/>
    <x v="293"/>
    <x v="0"/>
    <d v="2024-10-01T00:00:00"/>
    <n v="10"/>
    <s v="CUST-00783"/>
    <x v="0"/>
    <x v="15"/>
    <s v="HR"/>
    <x v="0"/>
    <s v="Faridabad"/>
    <x v="2"/>
    <s v="P105"/>
    <s v="Retinol Night Cream"/>
    <x v="3"/>
    <n v="1"/>
    <n v="799"/>
    <n v="0.25"/>
    <n v="799"/>
    <n v="199.75"/>
    <n v="599.25"/>
    <n v="216"/>
    <n v="216"/>
    <n v="60"/>
    <n v="323.25"/>
    <n v="0.5394242803504381"/>
    <x v="0"/>
    <d v="2024-10-28T00:00:00"/>
    <n v="5"/>
    <x v="2"/>
    <m/>
    <n v="0"/>
  </r>
  <r>
    <s v="ORD-101602"/>
    <x v="293"/>
    <x v="0"/>
    <d v="2024-10-01T00:00:00"/>
    <n v="10"/>
    <s v="CUST-00881"/>
    <x v="0"/>
    <x v="16"/>
    <s v="UP"/>
    <x v="0"/>
    <s v="Kanpur"/>
    <x v="2"/>
    <s v="P503"/>
    <s v="Scented Candle Set"/>
    <x v="4"/>
    <n v="4"/>
    <n v="699"/>
    <n v="0.3"/>
    <n v="2796"/>
    <n v="838.8"/>
    <n v="1957.2"/>
    <n v="245"/>
    <n v="980"/>
    <n v="60"/>
    <n v="917.2"/>
    <n v="0.46862865317800939"/>
    <x v="1"/>
    <d v="2024-10-26T00:00:00"/>
    <n v="3"/>
    <x v="0"/>
    <n v="4"/>
    <n v="0"/>
  </r>
  <r>
    <s v="ORD-101603"/>
    <x v="293"/>
    <x v="0"/>
    <d v="2024-10-01T00:00:00"/>
    <n v="10"/>
    <s v="CUST-00749"/>
    <x v="0"/>
    <x v="12"/>
    <s v="BR"/>
    <x v="2"/>
    <s v="Patna"/>
    <x v="1"/>
    <s v="P404"/>
    <s v="Flip Flops"/>
    <x v="5"/>
    <n v="1"/>
    <n v="399"/>
    <n v="0.25"/>
    <n v="399"/>
    <n v="99.75"/>
    <n v="299.25"/>
    <n v="152"/>
    <n v="152"/>
    <n v="60"/>
    <n v="87.25"/>
    <n v="0.29156223893065997"/>
    <x v="2"/>
    <d v="2024-10-28T00:00:00"/>
    <n v="5"/>
    <x v="2"/>
    <n v="3"/>
    <n v="0"/>
  </r>
  <r>
    <s v="ORD-101604"/>
    <x v="293"/>
    <x v="0"/>
    <d v="2024-10-01T00:00:00"/>
    <n v="10"/>
    <s v="CUST-02191"/>
    <x v="0"/>
    <x v="18"/>
    <s v="WB"/>
    <x v="2"/>
    <s v="Kolkata"/>
    <x v="0"/>
    <s v="P501"/>
    <s v="Copper Water Bottle"/>
    <x v="4"/>
    <n v="2"/>
    <n v="899"/>
    <n v="0.3"/>
    <n v="1798"/>
    <n v="539.4"/>
    <n v="1258.5999999999999"/>
    <n v="378"/>
    <n v="756"/>
    <n v="60"/>
    <n v="442.59999999999991"/>
    <n v="0.35166057524233268"/>
    <x v="0"/>
    <d v="2024-10-27T00:00:00"/>
    <n v="4"/>
    <x v="0"/>
    <m/>
    <n v="0"/>
  </r>
  <r>
    <s v="ORD-101605"/>
    <x v="293"/>
    <x v="0"/>
    <d v="2024-10-01T00:00:00"/>
    <n v="10"/>
    <s v="CUST-03171"/>
    <x v="0"/>
    <x v="18"/>
    <s v="WB"/>
    <x v="2"/>
    <s v="Kolkata"/>
    <x v="4"/>
    <s v="P503"/>
    <s v="Scented Candle Set"/>
    <x v="4"/>
    <n v="1"/>
    <n v="699"/>
    <n v="0.4"/>
    <n v="699"/>
    <n v="279.60000000000002"/>
    <n v="419.4"/>
    <n v="245"/>
    <n v="245"/>
    <n v="60"/>
    <n v="114.39999999999998"/>
    <n v="0.27277062470195512"/>
    <x v="2"/>
    <d v="2024-10-27T00:00:00"/>
    <n v="4"/>
    <x v="0"/>
    <m/>
    <n v="0"/>
  </r>
  <r>
    <s v="ORD-101606"/>
    <x v="293"/>
    <x v="0"/>
    <d v="2024-10-01T00:00:00"/>
    <n v="10"/>
    <s v="CUST-00203"/>
    <x v="1"/>
    <x v="11"/>
    <s v="KA"/>
    <x v="3"/>
    <s v="Bengaluru"/>
    <x v="4"/>
    <s v="P602"/>
    <s v="Fast Charger 33W"/>
    <x v="2"/>
    <n v="1"/>
    <n v="899"/>
    <n v="0.05"/>
    <n v="899"/>
    <n v="44.95"/>
    <n v="854.05"/>
    <n v="494"/>
    <n v="494"/>
    <n v="60"/>
    <n v="300.04999999999995"/>
    <n v="0.35132603477548152"/>
    <x v="3"/>
    <d v="2024-10-25T00:00:00"/>
    <n v="2"/>
    <x v="1"/>
    <n v="5"/>
    <n v="0"/>
  </r>
  <r>
    <s v="ORD-101607"/>
    <x v="293"/>
    <x v="0"/>
    <d v="2024-10-01T00:00:00"/>
    <n v="10"/>
    <s v="CUST-01221"/>
    <x v="0"/>
    <x v="11"/>
    <s v="KA"/>
    <x v="3"/>
    <s v="Mysuru"/>
    <x v="4"/>
    <s v="P204"/>
    <s v="Anti-Dandruff Conditioner"/>
    <x v="6"/>
    <n v="3"/>
    <n v="399"/>
    <n v="0.5"/>
    <n v="1197"/>
    <n v="598.5"/>
    <n v="598.5"/>
    <n v="136"/>
    <n v="408"/>
    <n v="60"/>
    <n v="130.5"/>
    <n v="0.21804511278195488"/>
    <x v="0"/>
    <d v="2024-10-25T00:00:00"/>
    <n v="2"/>
    <x v="1"/>
    <m/>
    <n v="0"/>
  </r>
  <r>
    <s v="ORD-101608"/>
    <x v="293"/>
    <x v="0"/>
    <d v="2024-10-01T00:00:00"/>
    <n v="10"/>
    <s v="CUST-00399"/>
    <x v="1"/>
    <x v="11"/>
    <s v="KA"/>
    <x v="3"/>
    <s v="Bengaluru"/>
    <x v="1"/>
    <s v="P403"/>
    <s v="Kolhapuri Sandals"/>
    <x v="5"/>
    <n v="1"/>
    <n v="999"/>
    <n v="0.25"/>
    <n v="999"/>
    <n v="249.75"/>
    <n v="749.25"/>
    <n v="400"/>
    <n v="400"/>
    <n v="60"/>
    <n v="289.25"/>
    <n v="0.38605271938605273"/>
    <x v="0"/>
    <d v="2024-10-26T00:00:00"/>
    <n v="3"/>
    <x v="0"/>
    <m/>
    <n v="0"/>
  </r>
  <r>
    <s v="ORD-101609"/>
    <x v="293"/>
    <x v="0"/>
    <d v="2024-10-01T00:00:00"/>
    <n v="10"/>
    <s v="CUST-01030"/>
    <x v="1"/>
    <x v="11"/>
    <s v="KA"/>
    <x v="3"/>
    <s v="Mysuru"/>
    <x v="0"/>
    <s v="P603"/>
    <s v="Smartwatch Strap"/>
    <x v="2"/>
    <n v="2"/>
    <n v="499"/>
    <n v="0.3"/>
    <n v="998"/>
    <n v="299.39999999999998"/>
    <n v="698.6"/>
    <n v="200"/>
    <n v="400"/>
    <n v="60"/>
    <n v="238.60000000000002"/>
    <n v="0.34154022330375039"/>
    <x v="0"/>
    <d v="2024-10-24T00:00:00"/>
    <n v="1"/>
    <x v="1"/>
    <n v="5"/>
    <n v="0"/>
  </r>
  <r>
    <s v="ORD-101610"/>
    <x v="293"/>
    <x v="0"/>
    <d v="2024-10-01T00:00:00"/>
    <n v="10"/>
    <s v="CUST-00152"/>
    <x v="1"/>
    <x v="11"/>
    <s v="KA"/>
    <x v="3"/>
    <s v="Mysuru"/>
    <x v="0"/>
    <s v="P104"/>
    <s v="Hydrating Face Wash"/>
    <x v="3"/>
    <n v="1"/>
    <n v="299"/>
    <n v="0.2"/>
    <n v="299"/>
    <n v="59.800000000000004"/>
    <n v="239.2"/>
    <n v="90"/>
    <n v="90"/>
    <n v="60"/>
    <n v="89.199999999999989"/>
    <n v="0.37290969899665549"/>
    <x v="0"/>
    <d v="2024-10-27T00:00:00"/>
    <n v="4"/>
    <x v="0"/>
    <n v="3"/>
    <n v="0"/>
  </r>
  <r>
    <s v="ORD-101611"/>
    <x v="294"/>
    <x v="0"/>
    <d v="2024-10-01T00:00:00"/>
    <n v="10"/>
    <s v="CUST-00386"/>
    <x v="1"/>
    <x v="5"/>
    <s v="HP"/>
    <x v="0"/>
    <s v="Shimla"/>
    <x v="1"/>
    <s v="P303"/>
    <s v="Joggers"/>
    <x v="1"/>
    <n v="2"/>
    <n v="1199"/>
    <n v="0.3"/>
    <n v="2398"/>
    <n v="719.4"/>
    <n v="1678.6"/>
    <n v="492"/>
    <n v="984"/>
    <n v="60"/>
    <n v="634.59999999999991"/>
    <n v="0.37805313952102937"/>
    <x v="1"/>
    <d v="2024-10-29T00:00:00"/>
    <n v="5"/>
    <x v="2"/>
    <m/>
    <n v="0"/>
  </r>
  <r>
    <s v="ORD-101612"/>
    <x v="294"/>
    <x v="0"/>
    <d v="2024-10-01T00:00:00"/>
    <n v="10"/>
    <s v="CUST-01663"/>
    <x v="0"/>
    <x v="18"/>
    <s v="WB"/>
    <x v="2"/>
    <s v="Kolkata"/>
    <x v="2"/>
    <s v="P104"/>
    <s v="Hydrating Face Wash"/>
    <x v="3"/>
    <n v="1"/>
    <n v="299"/>
    <n v="0.1"/>
    <n v="299"/>
    <n v="29.900000000000002"/>
    <n v="269.10000000000002"/>
    <n v="90"/>
    <n v="90"/>
    <n v="60"/>
    <n v="119.10000000000002"/>
    <n v="0.4425863991081383"/>
    <x v="2"/>
    <d v="2024-10-29T00:00:00"/>
    <n v="5"/>
    <x v="2"/>
    <m/>
    <n v="0"/>
  </r>
  <r>
    <s v="ORD-101613"/>
    <x v="294"/>
    <x v="0"/>
    <d v="2024-10-01T00:00:00"/>
    <n v="10"/>
    <s v="CUST-02932"/>
    <x v="0"/>
    <x v="11"/>
    <s v="KA"/>
    <x v="3"/>
    <s v="Bengaluru"/>
    <x v="4"/>
    <s v="P404"/>
    <s v="Flip Flops"/>
    <x v="5"/>
    <n v="1"/>
    <n v="399"/>
    <n v="0.25"/>
    <n v="399"/>
    <n v="99.75"/>
    <n v="299.25"/>
    <n v="152"/>
    <n v="152"/>
    <n v="60"/>
    <n v="87.25"/>
    <n v="0.29156223893065997"/>
    <x v="3"/>
    <d v="2024-10-27T00:00:00"/>
    <n v="3"/>
    <x v="0"/>
    <n v="4"/>
    <n v="0"/>
  </r>
  <r>
    <s v="ORD-101614"/>
    <x v="294"/>
    <x v="0"/>
    <d v="2024-10-01T00:00:00"/>
    <n v="10"/>
    <s v="CUST-01549"/>
    <x v="0"/>
    <x v="11"/>
    <s v="KA"/>
    <x v="3"/>
    <s v="Bengaluru"/>
    <x v="3"/>
    <s v="P704"/>
    <s v="Multivitamin Gummies"/>
    <x v="0"/>
    <n v="1"/>
    <n v="699"/>
    <n v="0.25"/>
    <n v="699"/>
    <n v="174.75"/>
    <n v="524.25"/>
    <n v="238"/>
    <n v="238"/>
    <n v="60"/>
    <n v="226.25"/>
    <n v="0.43156890796375774"/>
    <x v="0"/>
    <d v="2024-10-25T00:00:00"/>
    <n v="1"/>
    <x v="1"/>
    <n v="4"/>
    <n v="0"/>
  </r>
  <r>
    <s v="ORD-101615"/>
    <x v="294"/>
    <x v="0"/>
    <d v="2024-10-01T00:00:00"/>
    <n v="10"/>
    <s v="CUST-00372"/>
    <x v="0"/>
    <x v="8"/>
    <s v="AP"/>
    <x v="3"/>
    <s v="Visakhapatnam"/>
    <x v="1"/>
    <s v="P303"/>
    <s v="Joggers"/>
    <x v="1"/>
    <n v="1"/>
    <n v="1199"/>
    <n v="0.25"/>
    <n v="1199"/>
    <n v="299.75"/>
    <n v="899.25"/>
    <n v="492"/>
    <n v="492"/>
    <n v="60"/>
    <n v="347.25"/>
    <n v="0.38615512927439533"/>
    <x v="0"/>
    <d v="2024-10-28T00:00:00"/>
    <n v="4"/>
    <x v="0"/>
    <n v="5"/>
    <n v="0"/>
  </r>
  <r>
    <s v="ORD-101616"/>
    <x v="295"/>
    <x v="0"/>
    <d v="2024-10-01T00:00:00"/>
    <n v="10"/>
    <s v="CUST-00882"/>
    <x v="1"/>
    <x v="15"/>
    <s v="HR"/>
    <x v="0"/>
    <s v="Gurugram"/>
    <x v="4"/>
    <s v="P404"/>
    <s v="Flip Flops"/>
    <x v="5"/>
    <n v="1"/>
    <n v="399"/>
    <n v="0.3"/>
    <n v="399"/>
    <n v="119.69999999999999"/>
    <n v="279.3"/>
    <n v="152"/>
    <n v="152"/>
    <n v="60"/>
    <n v="67.300000000000011"/>
    <n v="0.24095954171142145"/>
    <x v="1"/>
    <d v="2024-10-29T00:00:00"/>
    <n v="4"/>
    <x v="0"/>
    <n v="4"/>
    <n v="0"/>
  </r>
  <r>
    <s v="ORD-101617"/>
    <x v="295"/>
    <x v="0"/>
    <d v="2024-10-01T00:00:00"/>
    <n v="10"/>
    <s v="CUST-01935"/>
    <x v="1"/>
    <x v="6"/>
    <s v="DL"/>
    <x v="0"/>
    <s v="New Delhi"/>
    <x v="4"/>
    <s v="P201"/>
    <s v="Onion Hair Oil"/>
    <x v="6"/>
    <n v="1"/>
    <n v="349"/>
    <n v="0.45"/>
    <n v="349"/>
    <n v="157.05000000000001"/>
    <n v="191.95"/>
    <n v="105"/>
    <n v="105"/>
    <n v="60"/>
    <n v="26.949999999999989"/>
    <n v="0.1404011461318051"/>
    <x v="0"/>
    <d v="2024-10-27T00:00:00"/>
    <n v="2"/>
    <x v="1"/>
    <m/>
    <n v="0"/>
  </r>
  <r>
    <s v="ORD-101618"/>
    <x v="295"/>
    <x v="0"/>
    <d v="2024-10-01T00:00:00"/>
    <n v="10"/>
    <s v="CUST-00157"/>
    <x v="0"/>
    <x v="16"/>
    <s v="UP"/>
    <x v="0"/>
    <s v="Noida"/>
    <x v="0"/>
    <s v="P701"/>
    <s v="Ashwagandha Capsules"/>
    <x v="0"/>
    <n v="2"/>
    <n v="499"/>
    <n v="0.1"/>
    <n v="998"/>
    <n v="99.800000000000011"/>
    <n v="898.2"/>
    <n v="150"/>
    <n v="300"/>
    <n v="60"/>
    <n v="538.20000000000005"/>
    <n v="0.59919839679358722"/>
    <x v="3"/>
    <d v="2024-10-30T00:00:00"/>
    <n v="5"/>
    <x v="2"/>
    <n v="4"/>
    <n v="0"/>
  </r>
  <r>
    <s v="ORD-101619"/>
    <x v="295"/>
    <x v="0"/>
    <d v="2024-10-01T00:00:00"/>
    <n v="10"/>
    <s v="CUST-00724"/>
    <x v="1"/>
    <x v="16"/>
    <s v="UP"/>
    <x v="0"/>
    <s v="Kanpur"/>
    <x v="3"/>
    <s v="P204"/>
    <s v="Anti-Dandruff Conditioner"/>
    <x v="6"/>
    <n v="1"/>
    <n v="399"/>
    <n v="0.6"/>
    <n v="399"/>
    <n v="239.39999999999998"/>
    <n v="159.60000000000002"/>
    <n v="136"/>
    <n v="136"/>
    <n v="60"/>
    <n v="-36.399999999999977"/>
    <n v="-0.22807017543859631"/>
    <x v="3"/>
    <d v="2024-10-30T00:00:00"/>
    <n v="5"/>
    <x v="2"/>
    <n v="4"/>
    <n v="0"/>
  </r>
  <r>
    <s v="ORD-101620"/>
    <x v="295"/>
    <x v="0"/>
    <d v="2024-10-01T00:00:00"/>
    <n v="10"/>
    <s v="CUST-01967"/>
    <x v="1"/>
    <x v="1"/>
    <s v="GJ"/>
    <x v="1"/>
    <s v="Ahmedabad"/>
    <x v="2"/>
    <s v="P703"/>
    <s v="Green Tea (100 bags)"/>
    <x v="0"/>
    <n v="2"/>
    <n v="399"/>
    <n v="0.45"/>
    <n v="798"/>
    <n v="359.1"/>
    <n v="438.9"/>
    <n v="128"/>
    <n v="256"/>
    <n v="60"/>
    <n v="122.89999999999998"/>
    <n v="0.28001822738664839"/>
    <x v="3"/>
    <d v="2024-10-30T00:00:00"/>
    <n v="5"/>
    <x v="2"/>
    <n v="3"/>
    <n v="0"/>
  </r>
  <r>
    <s v="ORD-101621"/>
    <x v="295"/>
    <x v="0"/>
    <d v="2024-10-01T00:00:00"/>
    <n v="10"/>
    <s v="CUST-00436"/>
    <x v="0"/>
    <x v="18"/>
    <s v="WB"/>
    <x v="2"/>
    <s v="Kolkata"/>
    <x v="0"/>
    <s v="P603"/>
    <s v="Smartwatch Strap"/>
    <x v="2"/>
    <n v="1"/>
    <n v="499"/>
    <n v="0.25"/>
    <n v="499"/>
    <n v="124.75"/>
    <n v="374.25"/>
    <n v="200"/>
    <n v="200"/>
    <n v="60"/>
    <n v="114.25"/>
    <n v="0.30527722110888444"/>
    <x v="1"/>
    <d v="2024-10-30T00:00:00"/>
    <n v="5"/>
    <x v="2"/>
    <n v="3"/>
    <n v="0"/>
  </r>
  <r>
    <s v="ORD-101622"/>
    <x v="295"/>
    <x v="0"/>
    <d v="2024-10-01T00:00:00"/>
    <n v="10"/>
    <s v="CUST-01214"/>
    <x v="0"/>
    <x v="2"/>
    <s v="MH"/>
    <x v="1"/>
    <s v="Nagpur"/>
    <x v="0"/>
    <s v="P302"/>
    <s v="Linen Kurta"/>
    <x v="1"/>
    <n v="2"/>
    <n v="1499"/>
    <n v="0.5"/>
    <n v="2998"/>
    <n v="1499"/>
    <n v="1499"/>
    <n v="630"/>
    <n v="1260"/>
    <n v="120"/>
    <n v="119"/>
    <n v="7.9386257505003333E-2"/>
    <x v="1"/>
    <d v="2024-10-27T00:00:00"/>
    <n v="2"/>
    <x v="1"/>
    <m/>
    <n v="1"/>
  </r>
  <r>
    <s v="ORD-101623"/>
    <x v="295"/>
    <x v="0"/>
    <d v="2024-10-01T00:00:00"/>
    <n v="10"/>
    <s v="CUST-01634"/>
    <x v="1"/>
    <x v="17"/>
    <s v="TN"/>
    <x v="3"/>
    <s v="Coimbatore"/>
    <x v="2"/>
    <s v="P302"/>
    <s v="Linen Kurta"/>
    <x v="1"/>
    <n v="1"/>
    <n v="1499"/>
    <n v="0.4"/>
    <n v="1499"/>
    <n v="599.6"/>
    <n v="899.4"/>
    <n v="630"/>
    <n v="630"/>
    <n v="120"/>
    <n v="149.39999999999998"/>
    <n v="0.16611074049366242"/>
    <x v="4"/>
    <d v="2024-10-27T00:00:00"/>
    <n v="2"/>
    <x v="1"/>
    <m/>
    <n v="1"/>
  </r>
  <r>
    <s v="ORD-101624"/>
    <x v="295"/>
    <x v="0"/>
    <d v="2024-10-01T00:00:00"/>
    <n v="10"/>
    <s v="CUST-01515"/>
    <x v="0"/>
    <x v="17"/>
    <s v="TN"/>
    <x v="3"/>
    <s v="Coimbatore"/>
    <x v="3"/>
    <s v="P704"/>
    <s v="Multivitamin Gummies"/>
    <x v="0"/>
    <n v="2"/>
    <n v="699"/>
    <n v="0.3"/>
    <n v="1398"/>
    <n v="419.4"/>
    <n v="978.6"/>
    <n v="238"/>
    <n v="476"/>
    <n v="60"/>
    <n v="442.6"/>
    <n v="0.45227876558348662"/>
    <x v="3"/>
    <d v="2024-10-29T00:00:00"/>
    <n v="4"/>
    <x v="0"/>
    <n v="3"/>
    <n v="0"/>
  </r>
  <r>
    <s v="ORD-101625"/>
    <x v="296"/>
    <x v="0"/>
    <d v="2024-10-01T00:00:00"/>
    <n v="10"/>
    <s v="CUST-00001"/>
    <x v="1"/>
    <x v="19"/>
    <s v="PB"/>
    <x v="0"/>
    <s v="Ludhiana"/>
    <x v="0"/>
    <s v="P101"/>
    <s v="Vitamin C Face Serum"/>
    <x v="3"/>
    <n v="2"/>
    <n v="599"/>
    <n v="0.4"/>
    <n v="1198"/>
    <n v="479.20000000000005"/>
    <n v="718.8"/>
    <n v="180"/>
    <n v="360"/>
    <n v="60"/>
    <n v="298.79999999999995"/>
    <n v="0.4156928213689482"/>
    <x v="3"/>
    <d v="2024-10-28T00:00:00"/>
    <n v="2"/>
    <x v="1"/>
    <n v="3"/>
    <n v="0"/>
  </r>
  <r>
    <s v="ORD-101626"/>
    <x v="296"/>
    <x v="0"/>
    <d v="2024-10-01T00:00:00"/>
    <n v="10"/>
    <s v="CUST-00214"/>
    <x v="1"/>
    <x v="0"/>
    <s v="RJ"/>
    <x v="0"/>
    <s v="Jaipur"/>
    <x v="0"/>
    <s v="P701"/>
    <s v="Ashwagandha Capsules"/>
    <x v="0"/>
    <n v="3"/>
    <n v="499"/>
    <n v="0.1"/>
    <n v="1497"/>
    <n v="149.70000000000002"/>
    <n v="1347.3"/>
    <n v="150"/>
    <n v="450"/>
    <n v="60"/>
    <n v="837.3"/>
    <n v="0.62146515252727674"/>
    <x v="0"/>
    <d v="2024-11-01T00:00:00"/>
    <n v="6"/>
    <x v="2"/>
    <n v="3"/>
    <n v="0"/>
  </r>
  <r>
    <s v="ORD-101627"/>
    <x v="296"/>
    <x v="0"/>
    <d v="2024-10-01T00:00:00"/>
    <n v="10"/>
    <s v="CUST-03106"/>
    <x v="0"/>
    <x v="16"/>
    <s v="UP"/>
    <x v="0"/>
    <s v="Lucknow"/>
    <x v="3"/>
    <s v="P701"/>
    <s v="Ashwagandha Capsules"/>
    <x v="0"/>
    <n v="2"/>
    <n v="499"/>
    <n v="0.05"/>
    <n v="998"/>
    <n v="49.900000000000006"/>
    <n v="948.1"/>
    <n v="150"/>
    <n v="300"/>
    <n v="60"/>
    <n v="588.1"/>
    <n v="0.62029321801497728"/>
    <x v="3"/>
    <d v="2024-10-30T00:00:00"/>
    <n v="4"/>
    <x v="0"/>
    <n v="3"/>
    <n v="0"/>
  </r>
  <r>
    <s v="ORD-101628"/>
    <x v="296"/>
    <x v="0"/>
    <d v="2024-10-01T00:00:00"/>
    <n v="10"/>
    <s v="CUST-03119"/>
    <x v="0"/>
    <x v="16"/>
    <s v="UP"/>
    <x v="0"/>
    <s v="Kanpur"/>
    <x v="1"/>
    <s v="P404"/>
    <s v="Flip Flops"/>
    <x v="5"/>
    <n v="1"/>
    <n v="399"/>
    <n v="0.25"/>
    <n v="399"/>
    <n v="99.75"/>
    <n v="299.25"/>
    <n v="152"/>
    <n v="152"/>
    <n v="60"/>
    <n v="87.25"/>
    <n v="0.29156223893065997"/>
    <x v="0"/>
    <d v="2024-10-29T00:00:00"/>
    <n v="3"/>
    <x v="0"/>
    <n v="4"/>
    <n v="0"/>
  </r>
  <r>
    <s v="ORD-101629"/>
    <x v="296"/>
    <x v="0"/>
    <d v="2024-10-01T00:00:00"/>
    <n v="10"/>
    <s v="CUST-00813"/>
    <x v="0"/>
    <x v="1"/>
    <s v="GJ"/>
    <x v="1"/>
    <s v="Ahmedabad"/>
    <x v="4"/>
    <s v="P203"/>
    <s v="Keratin Hair Mask"/>
    <x v="6"/>
    <n v="1"/>
    <n v="549"/>
    <n v="0.2"/>
    <n v="549"/>
    <n v="109.80000000000001"/>
    <n v="439.2"/>
    <n v="170"/>
    <n v="170"/>
    <n v="60"/>
    <n v="209.2"/>
    <n v="0.47632058287795992"/>
    <x v="4"/>
    <d v="2024-10-31T00:00:00"/>
    <n v="5"/>
    <x v="2"/>
    <n v="3"/>
    <n v="0"/>
  </r>
  <r>
    <s v="ORD-101630"/>
    <x v="296"/>
    <x v="0"/>
    <d v="2024-10-01T00:00:00"/>
    <n v="10"/>
    <s v="CUST-00412"/>
    <x v="1"/>
    <x v="13"/>
    <s v="MP"/>
    <x v="1"/>
    <s v="Bhopal"/>
    <x v="0"/>
    <s v="P503"/>
    <s v="Scented Candle Set"/>
    <x v="4"/>
    <n v="1"/>
    <n v="699"/>
    <n v="0.35"/>
    <n v="699"/>
    <n v="244.64999999999998"/>
    <n v="454.35"/>
    <n v="245"/>
    <n v="245"/>
    <n v="60"/>
    <n v="149.35000000000002"/>
    <n v="0.32871134587872791"/>
    <x v="0"/>
    <d v="2024-11-01T00:00:00"/>
    <n v="6"/>
    <x v="2"/>
    <m/>
    <n v="0"/>
  </r>
  <r>
    <s v="ORD-101631"/>
    <x v="296"/>
    <x v="0"/>
    <d v="2024-10-01T00:00:00"/>
    <n v="10"/>
    <s v="CUST-01678"/>
    <x v="1"/>
    <x v="18"/>
    <s v="WB"/>
    <x v="2"/>
    <s v="Kolkata"/>
    <x v="4"/>
    <s v="P101"/>
    <s v="Vitamin C Face Serum"/>
    <x v="3"/>
    <n v="1"/>
    <n v="599"/>
    <n v="0.2"/>
    <n v="599"/>
    <n v="119.80000000000001"/>
    <n v="479.2"/>
    <n v="180"/>
    <n v="180"/>
    <n v="60"/>
    <n v="239.2"/>
    <n v="0.4991652754590985"/>
    <x v="3"/>
    <d v="2024-10-29T00:00:00"/>
    <n v="3"/>
    <x v="0"/>
    <n v="3"/>
    <n v="0"/>
  </r>
  <r>
    <s v="ORD-101632"/>
    <x v="296"/>
    <x v="0"/>
    <d v="2024-10-01T00:00:00"/>
    <n v="10"/>
    <s v="CUST-00116"/>
    <x v="0"/>
    <x v="18"/>
    <s v="WB"/>
    <x v="2"/>
    <s v="Kolkata"/>
    <x v="0"/>
    <s v="P104"/>
    <s v="Hydrating Face Wash"/>
    <x v="3"/>
    <n v="1"/>
    <n v="299"/>
    <n v="0.15"/>
    <n v="299"/>
    <n v="44.85"/>
    <n v="254.15"/>
    <n v="90"/>
    <n v="90"/>
    <n v="60"/>
    <n v="104.15"/>
    <n v="0.40979736376155818"/>
    <x v="0"/>
    <d v="2024-10-28T00:00:00"/>
    <n v="2"/>
    <x v="1"/>
    <m/>
    <n v="0"/>
  </r>
  <r>
    <s v="ORD-101633"/>
    <x v="296"/>
    <x v="0"/>
    <d v="2024-10-01T00:00:00"/>
    <n v="10"/>
    <s v="CUST-00492"/>
    <x v="1"/>
    <x v="2"/>
    <s v="MH"/>
    <x v="1"/>
    <s v="Nagpur"/>
    <x v="0"/>
    <s v="P504"/>
    <s v="Cotton Bedsheet"/>
    <x v="4"/>
    <n v="2"/>
    <n v="1299"/>
    <n v="0.3"/>
    <n v="2598"/>
    <n v="779.4"/>
    <n v="1818.6"/>
    <n v="585"/>
    <n v="1170"/>
    <n v="60"/>
    <n v="588.59999999999991"/>
    <n v="0.32365555922137906"/>
    <x v="3"/>
    <d v="2024-10-28T00:00:00"/>
    <n v="2"/>
    <x v="1"/>
    <n v="4"/>
    <n v="0"/>
  </r>
  <r>
    <s v="ORD-101634"/>
    <x v="296"/>
    <x v="0"/>
    <d v="2024-10-01T00:00:00"/>
    <n v="10"/>
    <s v="CUST-01609"/>
    <x v="1"/>
    <x v="11"/>
    <s v="KA"/>
    <x v="3"/>
    <s v="Mysuru"/>
    <x v="2"/>
    <s v="P704"/>
    <s v="Multivitamin Gummies"/>
    <x v="0"/>
    <n v="2"/>
    <n v="699"/>
    <n v="0.25"/>
    <n v="1398"/>
    <n v="349.5"/>
    <n v="1048.5"/>
    <n v="238"/>
    <n v="476"/>
    <n v="60"/>
    <n v="512.5"/>
    <n v="0.48879351454458753"/>
    <x v="0"/>
    <d v="2024-10-30T00:00:00"/>
    <n v="4"/>
    <x v="0"/>
    <n v="4"/>
    <n v="0"/>
  </r>
  <r>
    <s v="ORD-101635"/>
    <x v="296"/>
    <x v="0"/>
    <d v="2024-10-01T00:00:00"/>
    <n v="10"/>
    <s v="CUST-01258"/>
    <x v="0"/>
    <x v="11"/>
    <s v="KA"/>
    <x v="3"/>
    <s v="Bengaluru"/>
    <x v="0"/>
    <s v="P105"/>
    <s v="Retinol Night Cream"/>
    <x v="3"/>
    <n v="1"/>
    <n v="799"/>
    <n v="0.2"/>
    <n v="799"/>
    <n v="159.80000000000001"/>
    <n v="639.20000000000005"/>
    <n v="216"/>
    <n v="216"/>
    <n v="60"/>
    <n v="363.20000000000005"/>
    <n v="0.56821026282853571"/>
    <x v="0"/>
    <d v="2024-10-28T00:00:00"/>
    <n v="2"/>
    <x v="1"/>
    <n v="5"/>
    <n v="0"/>
  </r>
  <r>
    <s v="ORD-101636"/>
    <x v="296"/>
    <x v="0"/>
    <d v="2024-10-01T00:00:00"/>
    <n v="10"/>
    <s v="CUST-00334"/>
    <x v="1"/>
    <x v="17"/>
    <s v="TN"/>
    <x v="3"/>
    <s v="Chennai"/>
    <x v="1"/>
    <s v="P404"/>
    <s v="Flip Flops"/>
    <x v="5"/>
    <n v="1"/>
    <n v="399"/>
    <n v="0.25"/>
    <n v="399"/>
    <n v="99.75"/>
    <n v="299.25"/>
    <n v="152"/>
    <n v="152"/>
    <n v="60"/>
    <n v="87.25"/>
    <n v="0.29156223893065997"/>
    <x v="1"/>
    <d v="2024-10-29T00:00:00"/>
    <n v="3"/>
    <x v="0"/>
    <n v="4"/>
    <n v="0"/>
  </r>
  <r>
    <s v="ORD-101637"/>
    <x v="296"/>
    <x v="0"/>
    <d v="2024-10-01T00:00:00"/>
    <n v="10"/>
    <s v="CUST-01183"/>
    <x v="0"/>
    <x v="17"/>
    <s v="TN"/>
    <x v="3"/>
    <s v="Chennai"/>
    <x v="4"/>
    <s v="P105"/>
    <s v="Retinol Night Cream"/>
    <x v="3"/>
    <n v="1"/>
    <n v="799"/>
    <n v="0.2"/>
    <n v="799"/>
    <n v="159.80000000000001"/>
    <n v="639.20000000000005"/>
    <n v="216"/>
    <n v="216"/>
    <n v="60"/>
    <n v="363.20000000000005"/>
    <n v="0.56821026282853571"/>
    <x v="3"/>
    <d v="2024-10-29T00:00:00"/>
    <n v="3"/>
    <x v="0"/>
    <n v="3"/>
    <n v="0"/>
  </r>
  <r>
    <s v="ORD-101638"/>
    <x v="297"/>
    <x v="0"/>
    <d v="2024-10-01T00:00:00"/>
    <n v="10"/>
    <s v="CUST-00307"/>
    <x v="1"/>
    <x v="4"/>
    <s v="JK"/>
    <x v="0"/>
    <s v="Srinagar"/>
    <x v="3"/>
    <s v="P202"/>
    <s v="Argan Shampoo"/>
    <x v="6"/>
    <n v="1"/>
    <n v="449"/>
    <n v="0.25"/>
    <n v="449"/>
    <n v="112.25"/>
    <n v="336.75"/>
    <n v="148"/>
    <n v="148"/>
    <n v="60"/>
    <n v="128.75"/>
    <n v="0.38233110616184113"/>
    <x v="0"/>
    <d v="2024-11-02T00:00:00"/>
    <n v="6"/>
    <x v="2"/>
    <n v="4"/>
    <n v="0"/>
  </r>
  <r>
    <s v="ORD-101639"/>
    <x v="297"/>
    <x v="0"/>
    <d v="2024-10-01T00:00:00"/>
    <n v="10"/>
    <s v="CUST-00167"/>
    <x v="1"/>
    <x v="19"/>
    <s v="PB"/>
    <x v="0"/>
    <s v="Ludhiana"/>
    <x v="2"/>
    <s v="P303"/>
    <s v="Joggers"/>
    <x v="1"/>
    <n v="1"/>
    <n v="1199"/>
    <n v="0.05"/>
    <n v="1199"/>
    <n v="59.95"/>
    <n v="1139.05"/>
    <n v="492"/>
    <n v="492"/>
    <n v="120"/>
    <n v="527.04999999999995"/>
    <n v="0.46271015319784026"/>
    <x v="0"/>
    <d v="2024-11-01T00:00:00"/>
    <n v="5"/>
    <x v="2"/>
    <n v="3"/>
    <n v="1"/>
  </r>
  <r>
    <s v="ORD-101640"/>
    <x v="297"/>
    <x v="0"/>
    <d v="2024-10-01T00:00:00"/>
    <n v="10"/>
    <s v="CUST-00449"/>
    <x v="0"/>
    <x v="11"/>
    <s v="KA"/>
    <x v="3"/>
    <s v="Bengaluru"/>
    <x v="0"/>
    <s v="P601"/>
    <s v="Wireless Earbuds"/>
    <x v="2"/>
    <n v="2"/>
    <n v="1999"/>
    <n v="0.4"/>
    <n v="3998"/>
    <n v="1599.2"/>
    <n v="2398.8000000000002"/>
    <n v="1239"/>
    <n v="2478"/>
    <n v="60"/>
    <n v="-139.19999999999982"/>
    <n v="-5.8029014507253548E-2"/>
    <x v="0"/>
    <d v="2024-10-28T00:00:00"/>
    <n v="1"/>
    <x v="1"/>
    <m/>
    <n v="0"/>
  </r>
  <r>
    <s v="ORD-101641"/>
    <x v="298"/>
    <x v="0"/>
    <d v="2024-10-01T00:00:00"/>
    <n v="10"/>
    <s v="CUST-03122"/>
    <x v="0"/>
    <x v="6"/>
    <s v="DL"/>
    <x v="0"/>
    <s v="New Delhi"/>
    <x v="3"/>
    <s v="P105"/>
    <s v="Retinol Night Cream"/>
    <x v="3"/>
    <n v="1"/>
    <n v="799"/>
    <n v="0.25"/>
    <n v="799"/>
    <n v="199.75"/>
    <n v="599.25"/>
    <n v="216"/>
    <n v="216"/>
    <n v="60"/>
    <n v="323.25"/>
    <n v="0.5394242803504381"/>
    <x v="3"/>
    <d v="2024-10-30T00:00:00"/>
    <n v="2"/>
    <x v="1"/>
    <m/>
    <n v="0"/>
  </r>
  <r>
    <s v="ORD-101642"/>
    <x v="298"/>
    <x v="0"/>
    <d v="2024-10-01T00:00:00"/>
    <n v="10"/>
    <s v="CUST-02385"/>
    <x v="1"/>
    <x v="6"/>
    <s v="DL"/>
    <x v="0"/>
    <s v="New Delhi"/>
    <x v="0"/>
    <s v="P102"/>
    <s v="Sunscreen SPF 50"/>
    <x v="3"/>
    <n v="1"/>
    <n v="449"/>
    <n v="0.3"/>
    <n v="449"/>
    <n v="134.69999999999999"/>
    <n v="314.3"/>
    <n v="144"/>
    <n v="144"/>
    <n v="60"/>
    <n v="110.30000000000001"/>
    <n v="0.35093859370028635"/>
    <x v="0"/>
    <d v="2024-10-31T00:00:00"/>
    <n v="3"/>
    <x v="0"/>
    <m/>
    <n v="0"/>
  </r>
  <r>
    <s v="ORD-101643"/>
    <x v="298"/>
    <x v="0"/>
    <d v="2024-10-01T00:00:00"/>
    <n v="10"/>
    <s v="CUST-01231"/>
    <x v="0"/>
    <x v="16"/>
    <s v="UP"/>
    <x v="0"/>
    <s v="Kanpur"/>
    <x v="4"/>
    <s v="P504"/>
    <s v="Cotton Bedsheet"/>
    <x v="4"/>
    <n v="1"/>
    <n v="1299"/>
    <n v="0.25"/>
    <n v="1299"/>
    <n v="324.75"/>
    <n v="974.25"/>
    <n v="585"/>
    <n v="585"/>
    <n v="60"/>
    <n v="329.25"/>
    <n v="0.33795227097767516"/>
    <x v="0"/>
    <d v="2024-11-01T00:00:00"/>
    <n v="4"/>
    <x v="0"/>
    <m/>
    <n v="0"/>
  </r>
  <r>
    <s v="ORD-101644"/>
    <x v="298"/>
    <x v="0"/>
    <d v="2024-10-01T00:00:00"/>
    <n v="10"/>
    <s v="CUST-02831"/>
    <x v="0"/>
    <x v="12"/>
    <s v="BR"/>
    <x v="2"/>
    <s v="Patna"/>
    <x v="0"/>
    <s v="P104"/>
    <s v="Hydrating Face Wash"/>
    <x v="3"/>
    <n v="1"/>
    <n v="299"/>
    <n v="0.2"/>
    <n v="299"/>
    <n v="59.800000000000004"/>
    <n v="239.2"/>
    <n v="90"/>
    <n v="90"/>
    <n v="60"/>
    <n v="89.199999999999989"/>
    <n v="0.37290969899665549"/>
    <x v="4"/>
    <d v="2024-11-03T00:00:00"/>
    <n v="6"/>
    <x v="2"/>
    <m/>
    <n v="0"/>
  </r>
  <r>
    <s v="ORD-101645"/>
    <x v="298"/>
    <x v="0"/>
    <d v="2024-10-01T00:00:00"/>
    <n v="10"/>
    <s v="CUST-00753"/>
    <x v="1"/>
    <x v="22"/>
    <s v="AS"/>
    <x v="2"/>
    <s v="Guwahati"/>
    <x v="3"/>
    <s v="P101"/>
    <s v="Vitamin C Face Serum"/>
    <x v="3"/>
    <n v="4"/>
    <n v="599"/>
    <n v="0.45"/>
    <n v="2396"/>
    <n v="1078.2"/>
    <n v="1317.8"/>
    <n v="180"/>
    <n v="720"/>
    <n v="60"/>
    <n v="537.79999999999995"/>
    <n v="0.40810441645166184"/>
    <x v="3"/>
    <d v="2024-11-04T00:00:00"/>
    <n v="7"/>
    <x v="2"/>
    <n v="4"/>
    <n v="0"/>
  </r>
  <r>
    <s v="ORD-101646"/>
    <x v="298"/>
    <x v="0"/>
    <d v="2024-10-01T00:00:00"/>
    <n v="10"/>
    <s v="CUST-00353"/>
    <x v="1"/>
    <x v="1"/>
    <s v="GJ"/>
    <x v="1"/>
    <s v="Surat"/>
    <x v="4"/>
    <s v="P403"/>
    <s v="Kolhapuri Sandals"/>
    <x v="5"/>
    <n v="1"/>
    <n v="999"/>
    <n v="0.15"/>
    <n v="999"/>
    <n v="149.85"/>
    <n v="849.15"/>
    <n v="400"/>
    <n v="400"/>
    <n v="60"/>
    <n v="389.15"/>
    <n v="0.45828181122298767"/>
    <x v="3"/>
    <d v="2024-10-31T00:00:00"/>
    <n v="3"/>
    <x v="0"/>
    <n v="4"/>
    <n v="0"/>
  </r>
  <r>
    <s v="ORD-101647"/>
    <x v="298"/>
    <x v="0"/>
    <d v="2024-10-01T00:00:00"/>
    <n v="10"/>
    <s v="CUST-00316"/>
    <x v="1"/>
    <x v="13"/>
    <s v="MP"/>
    <x v="1"/>
    <s v="Bhopal"/>
    <x v="0"/>
    <s v="P701"/>
    <s v="Ashwagandha Capsules"/>
    <x v="0"/>
    <n v="1"/>
    <n v="499"/>
    <n v="0.15"/>
    <n v="499"/>
    <n v="74.849999999999994"/>
    <n v="424.15"/>
    <n v="150"/>
    <n v="150"/>
    <n v="60"/>
    <n v="214.14999999999998"/>
    <n v="0.50489213721560766"/>
    <x v="0"/>
    <d v="2024-11-01T00:00:00"/>
    <n v="4"/>
    <x v="0"/>
    <n v="4"/>
    <n v="0"/>
  </r>
  <r>
    <s v="ORD-101648"/>
    <x v="298"/>
    <x v="0"/>
    <d v="2024-10-01T00:00:00"/>
    <n v="10"/>
    <s v="CUST-02708"/>
    <x v="0"/>
    <x v="18"/>
    <s v="WB"/>
    <x v="2"/>
    <s v="Kolkata"/>
    <x v="3"/>
    <s v="P704"/>
    <s v="Multivitamin Gummies"/>
    <x v="0"/>
    <n v="1"/>
    <n v="699"/>
    <n v="0.45"/>
    <n v="699"/>
    <n v="314.55"/>
    <n v="384.45"/>
    <n v="238"/>
    <n v="238"/>
    <n v="60"/>
    <n v="86.449999999999989"/>
    <n v="0.22486669267785145"/>
    <x v="3"/>
    <d v="2024-10-30T00:00:00"/>
    <n v="2"/>
    <x v="1"/>
    <n v="4"/>
    <n v="0"/>
  </r>
  <r>
    <s v="ORD-101649"/>
    <x v="298"/>
    <x v="0"/>
    <d v="2024-10-01T00:00:00"/>
    <n v="10"/>
    <s v="CUST-00670"/>
    <x v="1"/>
    <x v="18"/>
    <s v="WB"/>
    <x v="2"/>
    <s v="Kolkata"/>
    <x v="4"/>
    <s v="P403"/>
    <s v="Kolhapuri Sandals"/>
    <x v="5"/>
    <n v="2"/>
    <n v="999"/>
    <n v="0.35"/>
    <n v="1998"/>
    <n v="699.3"/>
    <n v="1298.7"/>
    <n v="400"/>
    <n v="800"/>
    <n v="60"/>
    <n v="438.70000000000005"/>
    <n v="0.3377993377993378"/>
    <x v="2"/>
    <d v="2024-11-02T00:00:00"/>
    <n v="5"/>
    <x v="2"/>
    <n v="3"/>
    <n v="0"/>
  </r>
  <r>
    <s v="ORD-101650"/>
    <x v="298"/>
    <x v="0"/>
    <d v="2024-10-01T00:00:00"/>
    <n v="10"/>
    <s v="CUST-01319"/>
    <x v="0"/>
    <x v="3"/>
    <s v="OD"/>
    <x v="2"/>
    <s v="Bhubaneswar"/>
    <x v="4"/>
    <s v="P603"/>
    <s v="Smartwatch Strap"/>
    <x v="2"/>
    <n v="1"/>
    <n v="499"/>
    <n v="0.15"/>
    <n v="499"/>
    <n v="74.849999999999994"/>
    <n v="424.15"/>
    <n v="200"/>
    <n v="200"/>
    <n v="60"/>
    <n v="164.14999999999998"/>
    <n v="0.38700931274313327"/>
    <x v="0"/>
    <d v="2024-11-02T00:00:00"/>
    <n v="5"/>
    <x v="2"/>
    <n v="4"/>
    <n v="0"/>
  </r>
  <r>
    <s v="ORD-101651"/>
    <x v="298"/>
    <x v="0"/>
    <d v="2024-10-01T00:00:00"/>
    <n v="10"/>
    <s v="CUST-01243"/>
    <x v="0"/>
    <x v="3"/>
    <s v="OD"/>
    <x v="2"/>
    <s v="Bhubaneswar"/>
    <x v="4"/>
    <s v="P503"/>
    <s v="Scented Candle Set"/>
    <x v="4"/>
    <n v="2"/>
    <n v="699"/>
    <n v="0.4"/>
    <n v="1398"/>
    <n v="559.20000000000005"/>
    <n v="838.8"/>
    <n v="245"/>
    <n v="490"/>
    <n v="60"/>
    <n v="288.79999999999995"/>
    <n v="0.34430138292799234"/>
    <x v="2"/>
    <d v="2024-11-02T00:00:00"/>
    <n v="5"/>
    <x v="2"/>
    <n v="4"/>
    <n v="0"/>
  </r>
  <r>
    <s v="ORD-101652"/>
    <x v="298"/>
    <x v="0"/>
    <d v="2024-10-01T00:00:00"/>
    <n v="10"/>
    <s v="CUST-00242"/>
    <x v="1"/>
    <x v="11"/>
    <s v="KA"/>
    <x v="3"/>
    <s v="Bengaluru"/>
    <x v="2"/>
    <s v="P503"/>
    <s v="Scented Candle Set"/>
    <x v="4"/>
    <n v="2"/>
    <n v="699"/>
    <n v="0.15"/>
    <n v="1398"/>
    <n v="209.7"/>
    <n v="1188.3"/>
    <n v="245"/>
    <n v="490"/>
    <n v="60"/>
    <n v="638.29999999999995"/>
    <n v="0.53715391736093576"/>
    <x v="1"/>
    <d v="2024-11-01T00:00:00"/>
    <n v="4"/>
    <x v="0"/>
    <m/>
    <n v="0"/>
  </r>
  <r>
    <s v="ORD-101653"/>
    <x v="299"/>
    <x v="0"/>
    <d v="2024-10-01T00:00:00"/>
    <n v="10"/>
    <s v="CUST-02136"/>
    <x v="0"/>
    <x v="19"/>
    <s v="PB"/>
    <x v="0"/>
    <s v="Ludhiana"/>
    <x v="0"/>
    <s v="P603"/>
    <s v="Smartwatch Strap"/>
    <x v="2"/>
    <n v="2"/>
    <n v="499"/>
    <n v="0.15"/>
    <n v="998"/>
    <n v="149.69999999999999"/>
    <n v="848.3"/>
    <n v="200"/>
    <n v="400"/>
    <n v="60"/>
    <n v="388.29999999999995"/>
    <n v="0.45773900742661794"/>
    <x v="0"/>
    <d v="2024-11-02T00:00:00"/>
    <n v="4"/>
    <x v="0"/>
    <m/>
    <n v="0"/>
  </r>
  <r>
    <s v="ORD-101654"/>
    <x v="299"/>
    <x v="0"/>
    <d v="2024-10-01T00:00:00"/>
    <n v="10"/>
    <s v="CUST-02101"/>
    <x v="0"/>
    <x v="0"/>
    <s v="RJ"/>
    <x v="0"/>
    <s v="Jaipur"/>
    <x v="0"/>
    <s v="P202"/>
    <s v="Argan Shampoo"/>
    <x v="6"/>
    <n v="1"/>
    <n v="449"/>
    <n v="0.15"/>
    <n v="449"/>
    <n v="67.349999999999994"/>
    <n v="381.65"/>
    <n v="148"/>
    <n v="148"/>
    <n v="60"/>
    <n v="173.64999999999998"/>
    <n v="0.45499803484868334"/>
    <x v="3"/>
    <d v="2024-11-04T00:00:00"/>
    <n v="6"/>
    <x v="2"/>
    <m/>
    <n v="0"/>
  </r>
  <r>
    <s v="ORD-101655"/>
    <x v="299"/>
    <x v="0"/>
    <d v="2024-10-01T00:00:00"/>
    <n v="10"/>
    <s v="CUST-00032"/>
    <x v="0"/>
    <x v="16"/>
    <s v="UP"/>
    <x v="0"/>
    <s v="Noida"/>
    <x v="2"/>
    <s v="P305"/>
    <s v="Printed Saree"/>
    <x v="1"/>
    <n v="1"/>
    <n v="1999"/>
    <n v="0.2"/>
    <n v="1999"/>
    <n v="399.8"/>
    <n v="1599.2"/>
    <n v="880"/>
    <n v="880"/>
    <n v="60"/>
    <n v="659.2"/>
    <n v="0.41220610305152577"/>
    <x v="0"/>
    <d v="2024-11-04T00:00:00"/>
    <n v="6"/>
    <x v="2"/>
    <m/>
    <n v="0"/>
  </r>
  <r>
    <s v="ORD-101656"/>
    <x v="299"/>
    <x v="0"/>
    <d v="2024-10-01T00:00:00"/>
    <n v="10"/>
    <s v="CUST-00163"/>
    <x v="1"/>
    <x v="16"/>
    <s v="UP"/>
    <x v="0"/>
    <s v="Noida"/>
    <x v="0"/>
    <s v="P201"/>
    <s v="Onion Hair Oil"/>
    <x v="6"/>
    <n v="2"/>
    <n v="349"/>
    <n v="0.4"/>
    <n v="698"/>
    <n v="279.2"/>
    <n v="418.8"/>
    <n v="105"/>
    <n v="210"/>
    <n v="60"/>
    <n v="148.80000000000001"/>
    <n v="0.35530085959885388"/>
    <x v="0"/>
    <d v="2024-11-02T00:00:00"/>
    <n v="4"/>
    <x v="0"/>
    <m/>
    <n v="0"/>
  </r>
  <r>
    <s v="ORD-101657"/>
    <x v="299"/>
    <x v="0"/>
    <d v="2024-10-01T00:00:00"/>
    <n v="10"/>
    <s v="CUST-00241"/>
    <x v="0"/>
    <x v="16"/>
    <s v="UP"/>
    <x v="0"/>
    <s v="Kanpur"/>
    <x v="0"/>
    <s v="P104"/>
    <s v="Hydrating Face Wash"/>
    <x v="3"/>
    <n v="1"/>
    <n v="299"/>
    <n v="0.05"/>
    <n v="299"/>
    <n v="14.950000000000001"/>
    <n v="284.05"/>
    <n v="90"/>
    <n v="90"/>
    <n v="60"/>
    <n v="134.05000000000001"/>
    <n v="0.47192395704981521"/>
    <x v="0"/>
    <d v="2024-11-03T00:00:00"/>
    <n v="5"/>
    <x v="2"/>
    <n v="3"/>
    <n v="0"/>
  </r>
  <r>
    <s v="ORD-101658"/>
    <x v="299"/>
    <x v="0"/>
    <d v="2024-10-01T00:00:00"/>
    <n v="10"/>
    <s v="CUST-00131"/>
    <x v="1"/>
    <x v="2"/>
    <s v="MH"/>
    <x v="1"/>
    <s v="Nagpur"/>
    <x v="4"/>
    <s v="P603"/>
    <s v="Smartwatch Strap"/>
    <x v="2"/>
    <n v="2"/>
    <n v="499"/>
    <n v="0.3"/>
    <n v="998"/>
    <n v="299.39999999999998"/>
    <n v="698.6"/>
    <n v="200"/>
    <n v="400"/>
    <n v="60"/>
    <n v="238.60000000000002"/>
    <n v="0.34154022330375039"/>
    <x v="0"/>
    <d v="2024-11-01T00:00:00"/>
    <n v="3"/>
    <x v="0"/>
    <m/>
    <n v="0"/>
  </r>
  <r>
    <s v="ORD-101659"/>
    <x v="299"/>
    <x v="0"/>
    <d v="2024-10-01T00:00:00"/>
    <n v="10"/>
    <s v="CUST-01079"/>
    <x v="0"/>
    <x v="11"/>
    <s v="KA"/>
    <x v="3"/>
    <s v="Bengaluru"/>
    <x v="0"/>
    <s v="P603"/>
    <s v="Smartwatch Strap"/>
    <x v="2"/>
    <n v="1"/>
    <n v="499"/>
    <n v="0.2"/>
    <n v="499"/>
    <n v="99.800000000000011"/>
    <n v="399.2"/>
    <n v="200"/>
    <n v="200"/>
    <n v="60"/>
    <n v="139.19999999999999"/>
    <n v="0.34869739478957912"/>
    <x v="0"/>
    <d v="2024-11-02T00:00:00"/>
    <n v="4"/>
    <x v="0"/>
    <m/>
    <n v="0"/>
  </r>
  <r>
    <s v="ORD-101660"/>
    <x v="299"/>
    <x v="0"/>
    <d v="2024-10-01T00:00:00"/>
    <n v="10"/>
    <s v="CUST-00876"/>
    <x v="1"/>
    <x v="11"/>
    <s v="KA"/>
    <x v="3"/>
    <s v="Bengaluru"/>
    <x v="0"/>
    <s v="P502"/>
    <s v="Ceramic Dinner Set"/>
    <x v="4"/>
    <n v="2"/>
    <n v="2499"/>
    <n v="0.4"/>
    <n v="4998"/>
    <n v="1999.2"/>
    <n v="2998.8"/>
    <n v="1250"/>
    <n v="2500"/>
    <n v="60"/>
    <n v="438.80000000000018"/>
    <n v="0.14632519674536487"/>
    <x v="0"/>
    <d v="2024-11-01T00:00:00"/>
    <n v="3"/>
    <x v="0"/>
    <n v="3"/>
    <n v="0"/>
  </r>
  <r>
    <s v="ORD-101661"/>
    <x v="299"/>
    <x v="0"/>
    <d v="2024-10-01T00:00:00"/>
    <n v="10"/>
    <s v="CUST-01772"/>
    <x v="0"/>
    <x v="11"/>
    <s v="KA"/>
    <x v="3"/>
    <s v="Bengaluru"/>
    <x v="3"/>
    <s v="P103"/>
    <s v="Niacinamide Toner"/>
    <x v="3"/>
    <n v="1"/>
    <n v="399"/>
    <n v="0.25"/>
    <n v="399"/>
    <n v="99.75"/>
    <n v="299.25"/>
    <n v="112"/>
    <n v="112"/>
    <n v="60"/>
    <n v="127.25"/>
    <n v="0.42522974101921468"/>
    <x v="4"/>
    <d v="2024-11-01T00:00:00"/>
    <n v="3"/>
    <x v="0"/>
    <n v="3"/>
    <n v="0"/>
  </r>
  <r>
    <s v="ORD-101662"/>
    <x v="299"/>
    <x v="0"/>
    <d v="2024-10-01T00:00:00"/>
    <n v="10"/>
    <s v="CUST-01772"/>
    <x v="1"/>
    <x v="17"/>
    <s v="TN"/>
    <x v="3"/>
    <s v="Coimbatore"/>
    <x v="4"/>
    <s v="P104"/>
    <s v="Hydrating Face Wash"/>
    <x v="3"/>
    <n v="1"/>
    <n v="299"/>
    <n v="0.15"/>
    <n v="299"/>
    <n v="44.85"/>
    <n v="254.15"/>
    <n v="90"/>
    <n v="90"/>
    <n v="60"/>
    <n v="104.15"/>
    <n v="0.40979736376155818"/>
    <x v="4"/>
    <d v="2024-10-30T00:00:00"/>
    <n v="1"/>
    <x v="1"/>
    <n v="5"/>
    <n v="0"/>
  </r>
  <r>
    <s v="ORD-101663"/>
    <x v="300"/>
    <x v="0"/>
    <d v="2024-10-01T00:00:00"/>
    <n v="10"/>
    <s v="CUST-00872"/>
    <x v="0"/>
    <x v="9"/>
    <s v="UK"/>
    <x v="0"/>
    <s v="Dehradun"/>
    <x v="3"/>
    <s v="P704"/>
    <s v="Multivitamin Gummies"/>
    <x v="0"/>
    <n v="1"/>
    <n v="699"/>
    <n v="0.25"/>
    <n v="699"/>
    <n v="174.75"/>
    <n v="524.25"/>
    <n v="238"/>
    <n v="238"/>
    <n v="60"/>
    <n v="226.25"/>
    <n v="0.43156890796375774"/>
    <x v="0"/>
    <d v="2024-11-03T00:00:00"/>
    <n v="4"/>
    <x v="0"/>
    <n v="4"/>
    <n v="0"/>
  </r>
  <r>
    <s v="ORD-101664"/>
    <x v="300"/>
    <x v="0"/>
    <d v="2024-10-01T00:00:00"/>
    <n v="10"/>
    <s v="CUST-01566"/>
    <x v="0"/>
    <x v="16"/>
    <s v="UP"/>
    <x v="0"/>
    <s v="Lucknow"/>
    <x v="2"/>
    <s v="P201"/>
    <s v="Onion Hair Oil"/>
    <x v="6"/>
    <n v="1"/>
    <n v="349"/>
    <n v="0.3"/>
    <n v="349"/>
    <n v="104.7"/>
    <n v="244.3"/>
    <n v="105"/>
    <n v="105"/>
    <n v="60"/>
    <n v="79.300000000000011"/>
    <n v="0.32460090053213264"/>
    <x v="0"/>
    <d v="2024-11-04T00:00:00"/>
    <n v="5"/>
    <x v="2"/>
    <m/>
    <n v="0"/>
  </r>
  <r>
    <s v="ORD-101665"/>
    <x v="300"/>
    <x v="0"/>
    <d v="2024-10-01T00:00:00"/>
    <n v="10"/>
    <s v="CUST-02899"/>
    <x v="0"/>
    <x v="10"/>
    <s v="CG"/>
    <x v="2"/>
    <s v="Raipur"/>
    <x v="0"/>
    <s v="P504"/>
    <s v="Cotton Bedsheet"/>
    <x v="4"/>
    <n v="1"/>
    <n v="1299"/>
    <n v="0.1"/>
    <n v="1299"/>
    <n v="129.9"/>
    <n v="1169.0999999999999"/>
    <n v="585"/>
    <n v="585"/>
    <n v="60"/>
    <n v="524.09999999999991"/>
    <n v="0.44829355914806257"/>
    <x v="0"/>
    <d v="2024-11-05T00:00:00"/>
    <n v="6"/>
    <x v="2"/>
    <n v="5"/>
    <n v="0"/>
  </r>
  <r>
    <s v="ORD-101666"/>
    <x v="300"/>
    <x v="0"/>
    <d v="2024-10-01T00:00:00"/>
    <n v="10"/>
    <s v="CUST-00964"/>
    <x v="1"/>
    <x v="7"/>
    <s v="JH"/>
    <x v="2"/>
    <s v="Ranchi"/>
    <x v="4"/>
    <s v="P702"/>
    <s v="Whey Protein 1kg"/>
    <x v="0"/>
    <n v="3"/>
    <n v="2299"/>
    <n v="0.45"/>
    <n v="6897"/>
    <n v="3103.65"/>
    <n v="3793.35"/>
    <n v="1333"/>
    <n v="3999"/>
    <n v="60"/>
    <n v="-265.65000000000009"/>
    <n v="-7.0030448020878669E-2"/>
    <x v="4"/>
    <d v="2024-11-04T00:00:00"/>
    <n v="5"/>
    <x v="2"/>
    <n v="3"/>
    <n v="0"/>
  </r>
  <r>
    <s v="ORD-101667"/>
    <x v="300"/>
    <x v="0"/>
    <d v="2024-10-01T00:00:00"/>
    <n v="10"/>
    <s v="CUST-00389"/>
    <x v="1"/>
    <x v="8"/>
    <s v="AP"/>
    <x v="3"/>
    <s v="Vijayawada"/>
    <x v="4"/>
    <s v="P203"/>
    <s v="Keratin Hair Mask"/>
    <x v="6"/>
    <n v="3"/>
    <n v="549"/>
    <n v="0.4"/>
    <n v="1647"/>
    <n v="658.80000000000007"/>
    <n v="988.19999999999993"/>
    <n v="170"/>
    <n v="510"/>
    <n v="60"/>
    <n v="418.19999999999993"/>
    <n v="0.4231936854887674"/>
    <x v="3"/>
    <d v="2024-11-04T00:00:00"/>
    <n v="5"/>
    <x v="2"/>
    <n v="4"/>
    <n v="0"/>
  </r>
  <r>
    <s v="ORD-101668"/>
    <x v="301"/>
    <x v="0"/>
    <d v="2024-10-01T00:00:00"/>
    <n v="10"/>
    <s v="CUST-01289"/>
    <x v="0"/>
    <x v="6"/>
    <s v="DL"/>
    <x v="0"/>
    <s v="New Delhi"/>
    <x v="2"/>
    <s v="P302"/>
    <s v="Linen Kurta"/>
    <x v="1"/>
    <n v="2"/>
    <n v="1499"/>
    <n v="0.35"/>
    <n v="2998"/>
    <n v="1049.3"/>
    <n v="1948.7"/>
    <n v="630"/>
    <n v="1260"/>
    <n v="60"/>
    <n v="628.70000000000005"/>
    <n v="0.32262533997023657"/>
    <x v="3"/>
    <d v="2024-11-04T00:00:00"/>
    <n v="4"/>
    <x v="0"/>
    <m/>
    <n v="0"/>
  </r>
  <r>
    <s v="ORD-101669"/>
    <x v="301"/>
    <x v="0"/>
    <d v="2024-10-01T00:00:00"/>
    <n v="10"/>
    <s v="CUST-00384"/>
    <x v="0"/>
    <x v="13"/>
    <s v="MP"/>
    <x v="1"/>
    <s v="Bhopal"/>
    <x v="3"/>
    <s v="P701"/>
    <s v="Ashwagandha Capsules"/>
    <x v="0"/>
    <n v="1"/>
    <n v="499"/>
    <n v="0.2"/>
    <n v="499"/>
    <n v="99.800000000000011"/>
    <n v="399.2"/>
    <n v="150"/>
    <n v="150"/>
    <n v="60"/>
    <n v="189.2"/>
    <n v="0.47394789579158314"/>
    <x v="2"/>
    <d v="2024-11-04T00:00:00"/>
    <n v="4"/>
    <x v="0"/>
    <n v="3"/>
    <n v="0"/>
  </r>
  <r>
    <s v="ORD-101670"/>
    <x v="301"/>
    <x v="0"/>
    <d v="2024-10-01T00:00:00"/>
    <n v="10"/>
    <s v="CUST-01951"/>
    <x v="0"/>
    <x v="13"/>
    <s v="MP"/>
    <x v="1"/>
    <s v="Bhopal"/>
    <x v="0"/>
    <s v="P204"/>
    <s v="Anti-Dandruff Conditioner"/>
    <x v="6"/>
    <n v="1"/>
    <n v="399"/>
    <n v="0.45"/>
    <n v="399"/>
    <n v="179.55"/>
    <n v="219.45"/>
    <n v="136"/>
    <n v="136"/>
    <n v="60"/>
    <n v="23.449999999999989"/>
    <n v="0.10685805422647524"/>
    <x v="0"/>
    <d v="2024-11-04T00:00:00"/>
    <n v="4"/>
    <x v="0"/>
    <n v="3"/>
    <n v="0"/>
  </r>
  <r>
    <s v="ORD-101671"/>
    <x v="301"/>
    <x v="0"/>
    <d v="2024-10-01T00:00:00"/>
    <n v="10"/>
    <s v="CUST-03068"/>
    <x v="0"/>
    <x v="2"/>
    <s v="MH"/>
    <x v="1"/>
    <s v="Mumbai"/>
    <x v="4"/>
    <s v="P202"/>
    <s v="Argan Shampoo"/>
    <x v="6"/>
    <n v="1"/>
    <n v="449"/>
    <n v="0.25"/>
    <n v="449"/>
    <n v="112.25"/>
    <n v="336.75"/>
    <n v="148"/>
    <n v="148"/>
    <n v="60"/>
    <n v="128.75"/>
    <n v="0.38233110616184113"/>
    <x v="4"/>
    <d v="2024-11-03T00:00:00"/>
    <n v="3"/>
    <x v="0"/>
    <n v="4"/>
    <n v="0"/>
  </r>
  <r>
    <s v="ORD-101672"/>
    <x v="301"/>
    <x v="0"/>
    <d v="2024-10-01T00:00:00"/>
    <n v="10"/>
    <s v="CUST-01639"/>
    <x v="0"/>
    <x v="11"/>
    <s v="KA"/>
    <x v="3"/>
    <s v="Mysuru"/>
    <x v="0"/>
    <s v="P503"/>
    <s v="Scented Candle Set"/>
    <x v="4"/>
    <n v="2"/>
    <n v="699"/>
    <n v="0.4"/>
    <n v="1398"/>
    <n v="559.20000000000005"/>
    <n v="838.8"/>
    <n v="245"/>
    <n v="490"/>
    <n v="60"/>
    <n v="288.79999999999995"/>
    <n v="0.34430138292799234"/>
    <x v="3"/>
    <d v="2024-11-03T00:00:00"/>
    <n v="3"/>
    <x v="0"/>
    <m/>
    <n v="0"/>
  </r>
  <r>
    <s v="ORD-101673"/>
    <x v="301"/>
    <x v="0"/>
    <d v="2024-10-01T00:00:00"/>
    <n v="10"/>
    <s v="CUST-00067"/>
    <x v="0"/>
    <x v="8"/>
    <s v="AP"/>
    <x v="3"/>
    <s v="Visakhapatnam"/>
    <x v="3"/>
    <s v="P101"/>
    <s v="Vitamin C Face Serum"/>
    <x v="3"/>
    <n v="2"/>
    <n v="599"/>
    <n v="0.3"/>
    <n v="1198"/>
    <n v="359.4"/>
    <n v="838.6"/>
    <n v="180"/>
    <n v="360"/>
    <n v="60"/>
    <n v="418.6"/>
    <n v="0.4991652754590985"/>
    <x v="0"/>
    <d v="2024-11-03T00:00:00"/>
    <n v="3"/>
    <x v="0"/>
    <m/>
    <n v="0"/>
  </r>
  <r>
    <s v="ORD-101674"/>
    <x v="301"/>
    <x v="0"/>
    <d v="2024-10-01T00:00:00"/>
    <n v="10"/>
    <s v="CUST-01106"/>
    <x v="0"/>
    <x v="8"/>
    <s v="AP"/>
    <x v="3"/>
    <s v="Vijayawada"/>
    <x v="4"/>
    <s v="P204"/>
    <s v="Anti-Dandruff Conditioner"/>
    <x v="6"/>
    <n v="1"/>
    <n v="399"/>
    <n v="0.5"/>
    <n v="399"/>
    <n v="199.5"/>
    <n v="199.5"/>
    <n v="136"/>
    <n v="136"/>
    <n v="60"/>
    <n v="3.5"/>
    <n v="1.7543859649122806E-2"/>
    <x v="0"/>
    <d v="2024-11-03T00:00:00"/>
    <n v="3"/>
    <x v="0"/>
    <n v="5"/>
    <n v="0"/>
  </r>
  <r>
    <s v="ORD-101675"/>
    <x v="302"/>
    <x v="0"/>
    <d v="2024-11-01T00:00:00"/>
    <n v="11"/>
    <s v="CUST-00793"/>
    <x v="1"/>
    <x v="0"/>
    <s v="RJ"/>
    <x v="0"/>
    <s v="Udaipur"/>
    <x v="0"/>
    <s v="P103"/>
    <s v="Niacinamide Toner"/>
    <x v="3"/>
    <n v="2"/>
    <n v="399"/>
    <n v="0.45"/>
    <n v="798"/>
    <n v="359.1"/>
    <n v="438.9"/>
    <n v="112"/>
    <n v="224"/>
    <n v="60"/>
    <n v="154.89999999999998"/>
    <n v="0.35292777398040553"/>
    <x v="3"/>
    <d v="2024-11-05T00:00:00"/>
    <n v="4"/>
    <x v="0"/>
    <n v="3"/>
    <n v="0"/>
  </r>
  <r>
    <s v="ORD-101676"/>
    <x v="302"/>
    <x v="0"/>
    <d v="2024-11-01T00:00:00"/>
    <n v="11"/>
    <s v="CUST-00363"/>
    <x v="1"/>
    <x v="15"/>
    <s v="HR"/>
    <x v="0"/>
    <s v="Faridabad"/>
    <x v="0"/>
    <s v="P504"/>
    <s v="Cotton Bedsheet"/>
    <x v="4"/>
    <n v="1"/>
    <n v="1299"/>
    <n v="0.2"/>
    <n v="1299"/>
    <n v="259.8"/>
    <n v="1039.2"/>
    <n v="585"/>
    <n v="585"/>
    <n v="60"/>
    <n v="394.20000000000005"/>
    <n v="0.37933025404157045"/>
    <x v="0"/>
    <d v="2024-11-05T00:00:00"/>
    <n v="4"/>
    <x v="0"/>
    <m/>
    <n v="0"/>
  </r>
  <r>
    <s v="ORD-101677"/>
    <x v="302"/>
    <x v="0"/>
    <d v="2024-11-01T00:00:00"/>
    <n v="11"/>
    <s v="CUST-00575"/>
    <x v="0"/>
    <x v="6"/>
    <s v="DL"/>
    <x v="0"/>
    <s v="New Delhi"/>
    <x v="2"/>
    <s v="P202"/>
    <s v="Argan Shampoo"/>
    <x v="6"/>
    <n v="1"/>
    <n v="449"/>
    <n v="0.15"/>
    <n v="449"/>
    <n v="67.349999999999994"/>
    <n v="381.65"/>
    <n v="148"/>
    <n v="148"/>
    <n v="60"/>
    <n v="173.64999999999998"/>
    <n v="0.45499803484868334"/>
    <x v="0"/>
    <d v="2024-11-04T00:00:00"/>
    <n v="3"/>
    <x v="0"/>
    <n v="4"/>
    <n v="0"/>
  </r>
  <r>
    <s v="ORD-101678"/>
    <x v="302"/>
    <x v="0"/>
    <d v="2024-11-01T00:00:00"/>
    <n v="11"/>
    <s v="CUST-01141"/>
    <x v="1"/>
    <x v="20"/>
    <s v="GA"/>
    <x v="1"/>
    <s v="Panaji"/>
    <x v="3"/>
    <s v="P202"/>
    <s v="Argan Shampoo"/>
    <x v="6"/>
    <n v="2"/>
    <n v="449"/>
    <n v="0.35"/>
    <n v="898"/>
    <n v="314.29999999999995"/>
    <n v="583.70000000000005"/>
    <n v="148"/>
    <n v="296"/>
    <n v="60"/>
    <n v="227.70000000000005"/>
    <n v="0.39009765290388904"/>
    <x v="0"/>
    <d v="2024-11-05T00:00:00"/>
    <n v="4"/>
    <x v="0"/>
    <n v="3"/>
    <n v="0"/>
  </r>
  <r>
    <s v="ORD-101679"/>
    <x v="302"/>
    <x v="0"/>
    <d v="2024-11-01T00:00:00"/>
    <n v="11"/>
    <s v="CUST-03192"/>
    <x v="1"/>
    <x v="8"/>
    <s v="AP"/>
    <x v="3"/>
    <s v="Visakhapatnam"/>
    <x v="0"/>
    <s v="P303"/>
    <s v="Joggers"/>
    <x v="1"/>
    <n v="2"/>
    <n v="1199"/>
    <n v="0.35"/>
    <n v="2398"/>
    <n v="839.3"/>
    <n v="1558.7"/>
    <n v="492"/>
    <n v="984"/>
    <n v="60"/>
    <n v="514.70000000000005"/>
    <n v="0.33021107333033939"/>
    <x v="0"/>
    <d v="2024-11-05T00:00:00"/>
    <n v="4"/>
    <x v="0"/>
    <m/>
    <n v="0"/>
  </r>
  <r>
    <s v="ORD-101680"/>
    <x v="303"/>
    <x v="0"/>
    <d v="2024-11-01T00:00:00"/>
    <n v="11"/>
    <s v="CUST-00491"/>
    <x v="0"/>
    <x v="0"/>
    <s v="RJ"/>
    <x v="0"/>
    <s v="Jaipur"/>
    <x v="0"/>
    <s v="P602"/>
    <s v="Fast Charger 33W"/>
    <x v="2"/>
    <n v="2"/>
    <n v="899"/>
    <n v="0.1"/>
    <n v="1798"/>
    <n v="179.8"/>
    <n v="1618.2"/>
    <n v="494"/>
    <n v="988"/>
    <n v="60"/>
    <n v="570.20000000000005"/>
    <n v="0.3523668273390187"/>
    <x v="0"/>
    <d v="2024-11-06T00:00:00"/>
    <n v="4"/>
    <x v="0"/>
    <n v="4"/>
    <n v="0"/>
  </r>
  <r>
    <s v="ORD-101681"/>
    <x v="303"/>
    <x v="0"/>
    <d v="2024-11-01T00:00:00"/>
    <n v="11"/>
    <s v="CUST-00285"/>
    <x v="0"/>
    <x v="15"/>
    <s v="HR"/>
    <x v="0"/>
    <s v="Faridabad"/>
    <x v="1"/>
    <s v="P305"/>
    <s v="Printed Saree"/>
    <x v="1"/>
    <n v="1"/>
    <n v="1999"/>
    <n v="0.25"/>
    <n v="1999"/>
    <n v="499.75"/>
    <n v="1499.25"/>
    <n v="880"/>
    <n v="880"/>
    <n v="120"/>
    <n v="499.25"/>
    <n v="0.3329998332499583"/>
    <x v="3"/>
    <d v="2024-11-05T00:00:00"/>
    <n v="3"/>
    <x v="0"/>
    <m/>
    <n v="1"/>
  </r>
  <r>
    <s v="ORD-101682"/>
    <x v="303"/>
    <x v="0"/>
    <d v="2024-11-01T00:00:00"/>
    <n v="11"/>
    <s v="CUST-02440"/>
    <x v="0"/>
    <x v="6"/>
    <s v="DL"/>
    <x v="0"/>
    <s v="New Delhi"/>
    <x v="3"/>
    <s v="P102"/>
    <s v="Sunscreen SPF 50"/>
    <x v="3"/>
    <n v="1"/>
    <n v="449"/>
    <n v="0.25"/>
    <n v="449"/>
    <n v="112.25"/>
    <n v="336.75"/>
    <n v="144"/>
    <n v="144"/>
    <n v="60"/>
    <n v="132.75"/>
    <n v="0.39420935412026725"/>
    <x v="4"/>
    <d v="2024-11-04T00:00:00"/>
    <n v="2"/>
    <x v="1"/>
    <m/>
    <n v="0"/>
  </r>
  <r>
    <s v="ORD-101683"/>
    <x v="303"/>
    <x v="0"/>
    <d v="2024-11-01T00:00:00"/>
    <n v="11"/>
    <s v="CUST-01134"/>
    <x v="1"/>
    <x v="12"/>
    <s v="BR"/>
    <x v="2"/>
    <s v="Patna"/>
    <x v="0"/>
    <s v="P203"/>
    <s v="Keratin Hair Mask"/>
    <x v="6"/>
    <n v="2"/>
    <n v="549"/>
    <n v="0.3"/>
    <n v="1098"/>
    <n v="329.4"/>
    <n v="768.6"/>
    <n v="170"/>
    <n v="340"/>
    <n v="60"/>
    <n v="368.6"/>
    <n v="0.47957325006505336"/>
    <x v="0"/>
    <d v="2024-11-07T00:00:00"/>
    <n v="5"/>
    <x v="2"/>
    <n v="3"/>
    <n v="0"/>
  </r>
  <r>
    <s v="ORD-101684"/>
    <x v="303"/>
    <x v="0"/>
    <d v="2024-11-01T00:00:00"/>
    <n v="11"/>
    <s v="CUST-01070"/>
    <x v="0"/>
    <x v="1"/>
    <s v="GJ"/>
    <x v="1"/>
    <s v="Ahmedabad"/>
    <x v="1"/>
    <s v="P404"/>
    <s v="Flip Flops"/>
    <x v="5"/>
    <n v="1"/>
    <n v="399"/>
    <n v="0.25"/>
    <n v="399"/>
    <n v="99.75"/>
    <n v="299.25"/>
    <n v="152"/>
    <n v="152"/>
    <n v="120"/>
    <n v="27.25"/>
    <n v="9.1060985797827898E-2"/>
    <x v="3"/>
    <d v="2024-11-05T00:00:00"/>
    <n v="3"/>
    <x v="0"/>
    <m/>
    <n v="1"/>
  </r>
  <r>
    <s v="ORD-101685"/>
    <x v="303"/>
    <x v="0"/>
    <d v="2024-11-01T00:00:00"/>
    <n v="11"/>
    <s v="CUST-00215"/>
    <x v="0"/>
    <x v="1"/>
    <s v="GJ"/>
    <x v="1"/>
    <s v="Surat"/>
    <x v="2"/>
    <s v="P701"/>
    <s v="Ashwagandha Capsules"/>
    <x v="0"/>
    <n v="2"/>
    <n v="499"/>
    <n v="0.1"/>
    <n v="998"/>
    <n v="99.800000000000011"/>
    <n v="898.2"/>
    <n v="150"/>
    <n v="300"/>
    <n v="60"/>
    <n v="538.20000000000005"/>
    <n v="0.59919839679358722"/>
    <x v="3"/>
    <d v="2024-11-05T00:00:00"/>
    <n v="3"/>
    <x v="0"/>
    <n v="4"/>
    <n v="0"/>
  </r>
  <r>
    <s v="ORD-101686"/>
    <x v="303"/>
    <x v="0"/>
    <d v="2024-11-01T00:00:00"/>
    <n v="11"/>
    <s v="CUST-00394"/>
    <x v="0"/>
    <x v="13"/>
    <s v="MP"/>
    <x v="1"/>
    <s v="Bhopal"/>
    <x v="0"/>
    <s v="P404"/>
    <s v="Flip Flops"/>
    <x v="5"/>
    <n v="2"/>
    <n v="399"/>
    <n v="0.2"/>
    <n v="798"/>
    <n v="159.60000000000002"/>
    <n v="638.4"/>
    <n v="152"/>
    <n v="304"/>
    <n v="60"/>
    <n v="274.39999999999998"/>
    <n v="0.42982456140350878"/>
    <x v="1"/>
    <d v="2024-11-07T00:00:00"/>
    <n v="5"/>
    <x v="2"/>
    <n v="3"/>
    <n v="0"/>
  </r>
  <r>
    <s v="ORD-101687"/>
    <x v="303"/>
    <x v="0"/>
    <d v="2024-11-01T00:00:00"/>
    <n v="11"/>
    <s v="CUST-00862"/>
    <x v="1"/>
    <x v="18"/>
    <s v="WB"/>
    <x v="2"/>
    <s v="Kolkata"/>
    <x v="2"/>
    <s v="P702"/>
    <s v="Whey Protein 1kg"/>
    <x v="0"/>
    <n v="3"/>
    <n v="2299"/>
    <n v="0.4"/>
    <n v="6897"/>
    <n v="2758.8"/>
    <n v="4138.2"/>
    <n v="1333"/>
    <n v="3999"/>
    <n v="60"/>
    <n v="79.199999999999818"/>
    <n v="1.9138755980861202E-2"/>
    <x v="3"/>
    <d v="2024-11-07T00:00:00"/>
    <n v="5"/>
    <x v="2"/>
    <m/>
    <n v="0"/>
  </r>
  <r>
    <s v="ORD-101688"/>
    <x v="303"/>
    <x v="0"/>
    <d v="2024-11-01T00:00:00"/>
    <n v="11"/>
    <s v="CUST-00562"/>
    <x v="1"/>
    <x v="8"/>
    <s v="AP"/>
    <x v="3"/>
    <s v="Visakhapatnam"/>
    <x v="3"/>
    <s v="P101"/>
    <s v="Vitamin C Face Serum"/>
    <x v="3"/>
    <n v="1"/>
    <n v="599"/>
    <n v="0.25"/>
    <n v="599"/>
    <n v="149.75"/>
    <n v="449.25"/>
    <n v="180"/>
    <n v="180"/>
    <n v="60"/>
    <n v="209.25"/>
    <n v="0.46577629382303842"/>
    <x v="0"/>
    <d v="2024-11-05T00:00:00"/>
    <n v="3"/>
    <x v="0"/>
    <n v="4"/>
    <n v="0"/>
  </r>
  <r>
    <s v="ORD-101689"/>
    <x v="303"/>
    <x v="0"/>
    <d v="2024-11-01T00:00:00"/>
    <n v="11"/>
    <s v="CUST-01642"/>
    <x v="0"/>
    <x v="17"/>
    <s v="TN"/>
    <x v="3"/>
    <s v="Chennai"/>
    <x v="2"/>
    <s v="P604"/>
    <s v="Power Bank 20000mAh"/>
    <x v="2"/>
    <n v="3"/>
    <n v="1799"/>
    <n v="0.45"/>
    <n v="5397"/>
    <n v="2428.65"/>
    <n v="2968.35"/>
    <n v="1079"/>
    <n v="3237"/>
    <n v="60"/>
    <n v="-328.65000000000009"/>
    <n v="-0.11071807569862048"/>
    <x v="0"/>
    <d v="2024-11-08T00:00:00"/>
    <n v="6"/>
    <x v="2"/>
    <m/>
    <n v="0"/>
  </r>
  <r>
    <s v="ORD-101690"/>
    <x v="304"/>
    <x v="0"/>
    <d v="2024-11-01T00:00:00"/>
    <n v="11"/>
    <s v="CUST-00729"/>
    <x v="1"/>
    <x v="5"/>
    <s v="HP"/>
    <x v="0"/>
    <s v="Shimla"/>
    <x v="4"/>
    <s v="P204"/>
    <s v="Anti-Dandruff Conditioner"/>
    <x v="6"/>
    <n v="2"/>
    <n v="399"/>
    <n v="0.6"/>
    <n v="798"/>
    <n v="478.79999999999995"/>
    <n v="319.20000000000005"/>
    <n v="136"/>
    <n v="272"/>
    <n v="60"/>
    <n v="-12.799999999999955"/>
    <n v="-4.0100250626566268E-2"/>
    <x v="0"/>
    <d v="2024-11-07T00:00:00"/>
    <n v="4"/>
    <x v="0"/>
    <m/>
    <n v="0"/>
  </r>
  <r>
    <s v="ORD-101691"/>
    <x v="304"/>
    <x v="0"/>
    <d v="2024-11-01T00:00:00"/>
    <n v="11"/>
    <s v="CUST-02235"/>
    <x v="0"/>
    <x v="9"/>
    <s v="UK"/>
    <x v="0"/>
    <s v="Dehradun"/>
    <x v="3"/>
    <s v="P102"/>
    <s v="Sunscreen SPF 50"/>
    <x v="3"/>
    <n v="1"/>
    <n v="449"/>
    <n v="0.2"/>
    <n v="449"/>
    <n v="89.800000000000011"/>
    <n v="359.2"/>
    <n v="144"/>
    <n v="144"/>
    <n v="60"/>
    <n v="155.19999999999999"/>
    <n v="0.43207126948775054"/>
    <x v="0"/>
    <d v="2024-11-08T00:00:00"/>
    <n v="5"/>
    <x v="2"/>
    <n v="5"/>
    <n v="0"/>
  </r>
  <r>
    <s v="ORD-101692"/>
    <x v="304"/>
    <x v="0"/>
    <d v="2024-11-01T00:00:00"/>
    <n v="11"/>
    <s v="CUST-00193"/>
    <x v="1"/>
    <x v="0"/>
    <s v="RJ"/>
    <x v="0"/>
    <s v="Jaipur"/>
    <x v="0"/>
    <s v="P404"/>
    <s v="Flip Flops"/>
    <x v="5"/>
    <n v="2"/>
    <n v="399"/>
    <n v="0.15"/>
    <n v="798"/>
    <n v="119.69999999999999"/>
    <n v="678.3"/>
    <n v="152"/>
    <n v="304"/>
    <n v="60"/>
    <n v="314.29999999999995"/>
    <n v="0.4633642930856553"/>
    <x v="3"/>
    <d v="2024-11-07T00:00:00"/>
    <n v="4"/>
    <x v="0"/>
    <n v="4"/>
    <n v="0"/>
  </r>
  <r>
    <s v="ORD-101693"/>
    <x v="304"/>
    <x v="0"/>
    <d v="2024-11-01T00:00:00"/>
    <n v="11"/>
    <s v="CUST-00006"/>
    <x v="1"/>
    <x v="7"/>
    <s v="JH"/>
    <x v="2"/>
    <s v="Ranchi"/>
    <x v="1"/>
    <s v="P302"/>
    <s v="Linen Kurta"/>
    <x v="1"/>
    <n v="1"/>
    <n v="1499"/>
    <n v="0.5"/>
    <n v="1499"/>
    <n v="749.5"/>
    <n v="749.5"/>
    <n v="630"/>
    <n v="630"/>
    <n v="120"/>
    <n v="-0.5"/>
    <n v="-6.6711140760506999E-4"/>
    <x v="3"/>
    <d v="2024-11-08T00:00:00"/>
    <n v="5"/>
    <x v="2"/>
    <m/>
    <n v="1"/>
  </r>
  <r>
    <s v="ORD-101694"/>
    <x v="304"/>
    <x v="0"/>
    <d v="2024-11-01T00:00:00"/>
    <n v="11"/>
    <s v="CUST-01079"/>
    <x v="1"/>
    <x v="18"/>
    <s v="WB"/>
    <x v="2"/>
    <s v="Kolkata"/>
    <x v="0"/>
    <s v="P603"/>
    <s v="Smartwatch Strap"/>
    <x v="2"/>
    <n v="2"/>
    <n v="499"/>
    <n v="0.2"/>
    <n v="998"/>
    <n v="199.60000000000002"/>
    <n v="798.4"/>
    <n v="200"/>
    <n v="400"/>
    <n v="60"/>
    <n v="338.4"/>
    <n v="0.42384769539078154"/>
    <x v="0"/>
    <d v="2024-11-06T00:00:00"/>
    <n v="3"/>
    <x v="0"/>
    <n v="4"/>
    <n v="0"/>
  </r>
  <r>
    <s v="ORD-101695"/>
    <x v="304"/>
    <x v="0"/>
    <d v="2024-11-01T00:00:00"/>
    <n v="11"/>
    <s v="CUST-00102"/>
    <x v="0"/>
    <x v="2"/>
    <s v="MH"/>
    <x v="1"/>
    <s v="Mumbai"/>
    <x v="3"/>
    <s v="P702"/>
    <s v="Whey Protein 1kg"/>
    <x v="0"/>
    <n v="1"/>
    <n v="2299"/>
    <n v="0.6"/>
    <n v="2299"/>
    <n v="1379.3999999999999"/>
    <n v="919.60000000000014"/>
    <n v="1333"/>
    <n v="1333"/>
    <n v="60"/>
    <n v="-473.39999999999986"/>
    <n v="-0.51478903871248349"/>
    <x v="0"/>
    <d v="2024-11-07T00:00:00"/>
    <n v="4"/>
    <x v="0"/>
    <n v="4"/>
    <n v="0"/>
  </r>
  <r>
    <s v="ORD-101696"/>
    <x v="304"/>
    <x v="0"/>
    <d v="2024-11-01T00:00:00"/>
    <n v="11"/>
    <s v="CUST-00001"/>
    <x v="1"/>
    <x v="21"/>
    <s v="TG"/>
    <x v="3"/>
    <s v="Hyderabad"/>
    <x v="4"/>
    <s v="P404"/>
    <s v="Flip Flops"/>
    <x v="5"/>
    <n v="1"/>
    <n v="399"/>
    <n v="0.3"/>
    <n v="399"/>
    <n v="119.69999999999999"/>
    <n v="279.3"/>
    <n v="152"/>
    <n v="152"/>
    <n v="60"/>
    <n v="67.300000000000011"/>
    <n v="0.24095954171142145"/>
    <x v="0"/>
    <d v="2024-11-06T00:00:00"/>
    <n v="3"/>
    <x v="0"/>
    <n v="4"/>
    <n v="0"/>
  </r>
  <r>
    <s v="ORD-101697"/>
    <x v="304"/>
    <x v="0"/>
    <d v="2024-11-01T00:00:00"/>
    <n v="11"/>
    <s v="CUST-00032"/>
    <x v="1"/>
    <x v="21"/>
    <s v="TG"/>
    <x v="3"/>
    <s v="Hyderabad"/>
    <x v="4"/>
    <s v="P204"/>
    <s v="Anti-Dandruff Conditioner"/>
    <x v="6"/>
    <n v="2"/>
    <n v="399"/>
    <n v="0.45"/>
    <n v="798"/>
    <n v="359.1"/>
    <n v="438.9"/>
    <n v="136"/>
    <n v="272"/>
    <n v="60"/>
    <n v="106.89999999999998"/>
    <n v="0.24356345408976984"/>
    <x v="0"/>
    <d v="2024-11-06T00:00:00"/>
    <n v="3"/>
    <x v="0"/>
    <n v="3"/>
    <n v="0"/>
  </r>
  <r>
    <s v="ORD-101698"/>
    <x v="304"/>
    <x v="0"/>
    <d v="2024-11-01T00:00:00"/>
    <n v="11"/>
    <s v="CUST-01511"/>
    <x v="0"/>
    <x v="20"/>
    <s v="GA"/>
    <x v="1"/>
    <s v="Panaji"/>
    <x v="2"/>
    <s v="P704"/>
    <s v="Multivitamin Gummies"/>
    <x v="0"/>
    <n v="2"/>
    <n v="699"/>
    <n v="0.25"/>
    <n v="1398"/>
    <n v="349.5"/>
    <n v="1048.5"/>
    <n v="238"/>
    <n v="476"/>
    <n v="60"/>
    <n v="512.5"/>
    <n v="0.48879351454458753"/>
    <x v="1"/>
    <d v="2024-11-06T00:00:00"/>
    <n v="3"/>
    <x v="0"/>
    <n v="4"/>
    <n v="0"/>
  </r>
  <r>
    <s v="ORD-101699"/>
    <x v="304"/>
    <x v="0"/>
    <d v="2024-11-01T00:00:00"/>
    <n v="11"/>
    <s v="CUST-00859"/>
    <x v="1"/>
    <x v="20"/>
    <s v="GA"/>
    <x v="1"/>
    <s v="Panaji"/>
    <x v="3"/>
    <s v="P201"/>
    <s v="Onion Hair Oil"/>
    <x v="6"/>
    <n v="1"/>
    <n v="349"/>
    <n v="0.3"/>
    <n v="349"/>
    <n v="104.7"/>
    <n v="244.3"/>
    <n v="105"/>
    <n v="105"/>
    <n v="60"/>
    <n v="79.300000000000011"/>
    <n v="0.32460090053213264"/>
    <x v="0"/>
    <d v="2024-11-07T00:00:00"/>
    <n v="4"/>
    <x v="0"/>
    <m/>
    <n v="0"/>
  </r>
  <r>
    <s v="ORD-101700"/>
    <x v="304"/>
    <x v="0"/>
    <d v="2024-11-01T00:00:00"/>
    <n v="11"/>
    <s v="CUST-01461"/>
    <x v="0"/>
    <x v="11"/>
    <s v="KA"/>
    <x v="3"/>
    <s v="Mysuru"/>
    <x v="4"/>
    <s v="P304"/>
    <s v="Denim Jacket"/>
    <x v="1"/>
    <n v="1"/>
    <n v="2499"/>
    <n v="0.2"/>
    <n v="2499"/>
    <n v="499.8"/>
    <n v="1999.2"/>
    <n v="1125"/>
    <n v="1125"/>
    <n v="60"/>
    <n v="814.2"/>
    <n v="0.40726290516206481"/>
    <x v="2"/>
    <d v="2024-11-07T00:00:00"/>
    <n v="4"/>
    <x v="0"/>
    <n v="3"/>
    <n v="0"/>
  </r>
  <r>
    <s v="ORD-101701"/>
    <x v="304"/>
    <x v="0"/>
    <d v="2024-11-01T00:00:00"/>
    <n v="11"/>
    <s v="CUST-03059"/>
    <x v="0"/>
    <x v="8"/>
    <s v="AP"/>
    <x v="3"/>
    <s v="Vijayawada"/>
    <x v="0"/>
    <s v="P103"/>
    <s v="Niacinamide Toner"/>
    <x v="3"/>
    <n v="2"/>
    <n v="399"/>
    <n v="0.45"/>
    <n v="798"/>
    <n v="359.1"/>
    <n v="438.9"/>
    <n v="112"/>
    <n v="224"/>
    <n v="120"/>
    <n v="94.899999999999977"/>
    <n v="0.21622237411711093"/>
    <x v="3"/>
    <d v="2024-11-06T00:00:00"/>
    <n v="3"/>
    <x v="0"/>
    <m/>
    <n v="1"/>
  </r>
  <r>
    <s v="ORD-101702"/>
    <x v="304"/>
    <x v="0"/>
    <d v="2024-11-01T00:00:00"/>
    <n v="11"/>
    <s v="CUST-00571"/>
    <x v="1"/>
    <x v="17"/>
    <s v="TN"/>
    <x v="3"/>
    <s v="Chennai"/>
    <x v="3"/>
    <s v="P102"/>
    <s v="Sunscreen SPF 50"/>
    <x v="3"/>
    <n v="3"/>
    <n v="449"/>
    <n v="0.2"/>
    <n v="1347"/>
    <n v="269.40000000000003"/>
    <n v="1077.5999999999999"/>
    <n v="144"/>
    <n v="432"/>
    <n v="60"/>
    <n v="585.59999999999991"/>
    <n v="0.54342984409799555"/>
    <x v="0"/>
    <d v="2024-11-07T00:00:00"/>
    <n v="4"/>
    <x v="0"/>
    <m/>
    <n v="0"/>
  </r>
  <r>
    <s v="ORD-101703"/>
    <x v="305"/>
    <x v="0"/>
    <d v="2024-11-01T00:00:00"/>
    <n v="11"/>
    <s v="CUST-01164"/>
    <x v="0"/>
    <x v="6"/>
    <s v="DL"/>
    <x v="0"/>
    <s v="New Delhi"/>
    <x v="2"/>
    <s v="P103"/>
    <s v="Niacinamide Toner"/>
    <x v="3"/>
    <n v="3"/>
    <n v="399"/>
    <n v="0.35"/>
    <n v="1197"/>
    <n v="418.95"/>
    <n v="778.05"/>
    <n v="112"/>
    <n v="336"/>
    <n v="60"/>
    <n v="382.04999999999995"/>
    <n v="0.49103528050896467"/>
    <x v="0"/>
    <d v="2024-11-08T00:00:00"/>
    <n v="4"/>
    <x v="0"/>
    <n v="4"/>
    <n v="0"/>
  </r>
  <r>
    <s v="ORD-101704"/>
    <x v="305"/>
    <x v="0"/>
    <d v="2024-11-01T00:00:00"/>
    <n v="11"/>
    <s v="CUST-00234"/>
    <x v="1"/>
    <x v="2"/>
    <s v="MH"/>
    <x v="1"/>
    <s v="Nagpur"/>
    <x v="2"/>
    <s v="P102"/>
    <s v="Sunscreen SPF 50"/>
    <x v="3"/>
    <n v="1"/>
    <n v="449"/>
    <n v="0.15"/>
    <n v="449"/>
    <n v="67.349999999999994"/>
    <n v="381.65"/>
    <n v="144"/>
    <n v="144"/>
    <n v="60"/>
    <n v="177.64999999999998"/>
    <n v="0.465478841870824"/>
    <x v="1"/>
    <d v="2024-11-07T00:00:00"/>
    <n v="3"/>
    <x v="0"/>
    <n v="5"/>
    <n v="0"/>
  </r>
  <r>
    <s v="ORD-101705"/>
    <x v="305"/>
    <x v="0"/>
    <d v="2024-11-01T00:00:00"/>
    <n v="11"/>
    <s v="CUST-01532"/>
    <x v="0"/>
    <x v="3"/>
    <s v="OD"/>
    <x v="2"/>
    <s v="Bhubaneswar"/>
    <x v="1"/>
    <s v="P301"/>
    <s v="Cotton Oversized T-Shirt"/>
    <x v="1"/>
    <n v="1"/>
    <n v="799"/>
    <n v="0.15"/>
    <n v="799"/>
    <n v="119.85"/>
    <n v="679.15"/>
    <n v="320"/>
    <n v="320"/>
    <n v="120"/>
    <n v="239.14999999999998"/>
    <n v="0.35213134064639623"/>
    <x v="0"/>
    <d v="2024-11-08T00:00:00"/>
    <n v="4"/>
    <x v="0"/>
    <m/>
    <n v="1"/>
  </r>
  <r>
    <s v="ORD-101706"/>
    <x v="305"/>
    <x v="0"/>
    <d v="2024-11-01T00:00:00"/>
    <n v="11"/>
    <s v="CUST-00025"/>
    <x v="0"/>
    <x v="20"/>
    <s v="GA"/>
    <x v="1"/>
    <s v="Panaji"/>
    <x v="0"/>
    <s v="P305"/>
    <s v="Printed Saree"/>
    <x v="1"/>
    <n v="1"/>
    <n v="1999"/>
    <n v="0.25"/>
    <n v="1999"/>
    <n v="499.75"/>
    <n v="1499.25"/>
    <n v="880"/>
    <n v="880"/>
    <n v="120"/>
    <n v="499.25"/>
    <n v="0.3329998332499583"/>
    <x v="3"/>
    <d v="2024-11-10T00:00:00"/>
    <n v="6"/>
    <x v="2"/>
    <n v="5"/>
    <n v="1"/>
  </r>
  <r>
    <s v="ORD-101707"/>
    <x v="305"/>
    <x v="0"/>
    <d v="2024-11-01T00:00:00"/>
    <n v="11"/>
    <s v="CUST-00459"/>
    <x v="1"/>
    <x v="11"/>
    <s v="KA"/>
    <x v="3"/>
    <s v="Mysuru"/>
    <x v="0"/>
    <s v="P101"/>
    <s v="Vitamin C Face Serum"/>
    <x v="3"/>
    <n v="1"/>
    <n v="599"/>
    <n v="0.25"/>
    <n v="599"/>
    <n v="149.75"/>
    <n v="449.25"/>
    <n v="180"/>
    <n v="180"/>
    <n v="60"/>
    <n v="209.25"/>
    <n v="0.46577629382303842"/>
    <x v="3"/>
    <d v="2024-11-05T00:00:00"/>
    <n v="1"/>
    <x v="1"/>
    <n v="4"/>
    <n v="0"/>
  </r>
  <r>
    <s v="ORD-101708"/>
    <x v="305"/>
    <x v="0"/>
    <d v="2024-11-01T00:00:00"/>
    <n v="11"/>
    <s v="CUST-01395"/>
    <x v="0"/>
    <x v="8"/>
    <s v="AP"/>
    <x v="3"/>
    <s v="Vijayawada"/>
    <x v="4"/>
    <s v="P103"/>
    <s v="Niacinamide Toner"/>
    <x v="3"/>
    <n v="2"/>
    <n v="399"/>
    <n v="0.35"/>
    <n v="798"/>
    <n v="279.29999999999995"/>
    <n v="518.70000000000005"/>
    <n v="112"/>
    <n v="224"/>
    <n v="60"/>
    <n v="234.70000000000005"/>
    <n v="0.45247734721418936"/>
    <x v="4"/>
    <d v="2024-11-07T00:00:00"/>
    <n v="3"/>
    <x v="0"/>
    <n v="4"/>
    <n v="0"/>
  </r>
  <r>
    <s v="ORD-101709"/>
    <x v="306"/>
    <x v="0"/>
    <d v="2024-11-01T00:00:00"/>
    <n v="11"/>
    <s v="CUST-01148"/>
    <x v="1"/>
    <x v="4"/>
    <s v="JK"/>
    <x v="0"/>
    <s v="Srinagar"/>
    <x v="0"/>
    <s v="P504"/>
    <s v="Cotton Bedsheet"/>
    <x v="4"/>
    <n v="1"/>
    <n v="1299"/>
    <n v="0.15"/>
    <n v="1299"/>
    <n v="194.85"/>
    <n v="1104.1500000000001"/>
    <n v="585"/>
    <n v="585"/>
    <n v="60"/>
    <n v="459.15000000000009"/>
    <n v="0.41584023909794871"/>
    <x v="3"/>
    <d v="2024-11-12T00:00:00"/>
    <n v="7"/>
    <x v="2"/>
    <m/>
    <n v="0"/>
  </r>
  <r>
    <s v="ORD-101710"/>
    <x v="306"/>
    <x v="0"/>
    <d v="2024-11-01T00:00:00"/>
    <n v="11"/>
    <s v="CUST-00582"/>
    <x v="0"/>
    <x v="6"/>
    <s v="DL"/>
    <x v="0"/>
    <s v="New Delhi"/>
    <x v="0"/>
    <s v="P204"/>
    <s v="Anti-Dandruff Conditioner"/>
    <x v="6"/>
    <n v="2"/>
    <n v="399"/>
    <n v="0.6"/>
    <n v="798"/>
    <n v="478.79999999999995"/>
    <n v="319.20000000000005"/>
    <n v="136"/>
    <n v="272"/>
    <n v="120"/>
    <n v="-72.799999999999955"/>
    <n v="-0.22807017543859631"/>
    <x v="3"/>
    <d v="2024-11-07T00:00:00"/>
    <n v="2"/>
    <x v="1"/>
    <n v="5"/>
    <n v="1"/>
  </r>
  <r>
    <s v="ORD-101711"/>
    <x v="306"/>
    <x v="0"/>
    <d v="2024-11-01T00:00:00"/>
    <n v="11"/>
    <s v="CUST-00421"/>
    <x v="1"/>
    <x v="16"/>
    <s v="UP"/>
    <x v="0"/>
    <s v="Lucknow"/>
    <x v="3"/>
    <s v="P203"/>
    <s v="Keratin Hair Mask"/>
    <x v="6"/>
    <n v="3"/>
    <n v="549"/>
    <n v="0.2"/>
    <n v="1647"/>
    <n v="329.40000000000003"/>
    <n v="1317.6"/>
    <n v="170"/>
    <n v="510"/>
    <n v="60"/>
    <n v="747.59999999999991"/>
    <n v="0.56739526411657559"/>
    <x v="1"/>
    <d v="2024-11-09T00:00:00"/>
    <n v="4"/>
    <x v="0"/>
    <n v="5"/>
    <n v="0"/>
  </r>
  <r>
    <s v="ORD-101712"/>
    <x v="306"/>
    <x v="0"/>
    <d v="2024-11-01T00:00:00"/>
    <n v="11"/>
    <s v="CUST-03163"/>
    <x v="0"/>
    <x v="16"/>
    <s v="UP"/>
    <x v="0"/>
    <s v="Lucknow"/>
    <x v="0"/>
    <s v="P303"/>
    <s v="Joggers"/>
    <x v="1"/>
    <n v="1"/>
    <n v="1199"/>
    <n v="0.2"/>
    <n v="1199"/>
    <n v="239.8"/>
    <n v="959.2"/>
    <n v="492"/>
    <n v="492"/>
    <n v="60"/>
    <n v="407.20000000000005"/>
    <n v="0.42452043369474562"/>
    <x v="0"/>
    <d v="2024-11-09T00:00:00"/>
    <n v="4"/>
    <x v="0"/>
    <n v="4"/>
    <n v="0"/>
  </r>
  <r>
    <s v="ORD-101713"/>
    <x v="306"/>
    <x v="0"/>
    <d v="2024-11-01T00:00:00"/>
    <n v="11"/>
    <s v="CUST-00917"/>
    <x v="0"/>
    <x v="1"/>
    <s v="GJ"/>
    <x v="1"/>
    <s v="Ahmedabad"/>
    <x v="1"/>
    <s v="P302"/>
    <s v="Linen Kurta"/>
    <x v="1"/>
    <n v="1"/>
    <n v="1499"/>
    <n v="0.45"/>
    <n v="1499"/>
    <n v="674.55000000000007"/>
    <n v="824.44999999999993"/>
    <n v="630"/>
    <n v="630"/>
    <n v="60"/>
    <n v="134.44999999999993"/>
    <n v="0.16307841591363934"/>
    <x v="3"/>
    <d v="2024-11-08T00:00:00"/>
    <n v="3"/>
    <x v="0"/>
    <m/>
    <n v="0"/>
  </r>
  <r>
    <s v="ORD-101714"/>
    <x v="306"/>
    <x v="0"/>
    <d v="2024-11-01T00:00:00"/>
    <n v="11"/>
    <s v="CUST-01570"/>
    <x v="0"/>
    <x v="7"/>
    <s v="JH"/>
    <x v="2"/>
    <s v="Ranchi"/>
    <x v="4"/>
    <s v="P403"/>
    <s v="Kolhapuri Sandals"/>
    <x v="5"/>
    <n v="2"/>
    <n v="999"/>
    <n v="0.2"/>
    <n v="1998"/>
    <n v="399.6"/>
    <n v="1598.4"/>
    <n v="400"/>
    <n v="800"/>
    <n v="120"/>
    <n v="678.40000000000009"/>
    <n v="0.42442442442442446"/>
    <x v="4"/>
    <d v="2024-11-11T00:00:00"/>
    <n v="6"/>
    <x v="2"/>
    <n v="3"/>
    <n v="1"/>
  </r>
  <r>
    <s v="ORD-101715"/>
    <x v="306"/>
    <x v="0"/>
    <d v="2024-11-01T00:00:00"/>
    <n v="11"/>
    <s v="CUST-01062"/>
    <x v="1"/>
    <x v="18"/>
    <s v="WB"/>
    <x v="2"/>
    <s v="Kolkata"/>
    <x v="4"/>
    <s v="P203"/>
    <s v="Keratin Hair Mask"/>
    <x v="6"/>
    <n v="2"/>
    <n v="549"/>
    <n v="0.15"/>
    <n v="1098"/>
    <n v="164.7"/>
    <n v="933.3"/>
    <n v="170"/>
    <n v="340"/>
    <n v="60"/>
    <n v="533.29999999999995"/>
    <n v="0.57141326475945564"/>
    <x v="1"/>
    <d v="2024-11-08T00:00:00"/>
    <n v="3"/>
    <x v="0"/>
    <n v="4"/>
    <n v="0"/>
  </r>
  <r>
    <s v="ORD-101716"/>
    <x v="306"/>
    <x v="0"/>
    <d v="2024-11-01T00:00:00"/>
    <n v="11"/>
    <s v="CUST-00715"/>
    <x v="0"/>
    <x v="2"/>
    <s v="MH"/>
    <x v="1"/>
    <s v="Pune"/>
    <x v="4"/>
    <s v="P102"/>
    <s v="Sunscreen SPF 50"/>
    <x v="3"/>
    <n v="1"/>
    <n v="449"/>
    <n v="0.2"/>
    <n v="449"/>
    <n v="89.800000000000011"/>
    <n v="359.2"/>
    <n v="144"/>
    <n v="144"/>
    <n v="60"/>
    <n v="155.19999999999999"/>
    <n v="0.43207126948775054"/>
    <x v="0"/>
    <d v="2024-11-08T00:00:00"/>
    <n v="3"/>
    <x v="0"/>
    <n v="4"/>
    <n v="0"/>
  </r>
  <r>
    <s v="ORD-101717"/>
    <x v="306"/>
    <x v="0"/>
    <d v="2024-11-01T00:00:00"/>
    <n v="11"/>
    <s v="CUST-00003"/>
    <x v="0"/>
    <x v="2"/>
    <s v="MH"/>
    <x v="1"/>
    <s v="Mumbai"/>
    <x v="2"/>
    <s v="P104"/>
    <s v="Hydrating Face Wash"/>
    <x v="3"/>
    <n v="1"/>
    <n v="299"/>
    <n v="0.2"/>
    <n v="299"/>
    <n v="59.800000000000004"/>
    <n v="239.2"/>
    <n v="90"/>
    <n v="90"/>
    <n v="60"/>
    <n v="89.199999999999989"/>
    <n v="0.37290969899665549"/>
    <x v="2"/>
    <d v="2024-11-09T00:00:00"/>
    <n v="4"/>
    <x v="0"/>
    <m/>
    <n v="0"/>
  </r>
  <r>
    <s v="ORD-101718"/>
    <x v="306"/>
    <x v="0"/>
    <d v="2024-11-01T00:00:00"/>
    <n v="11"/>
    <s v="CUST-00149"/>
    <x v="0"/>
    <x v="3"/>
    <s v="OD"/>
    <x v="2"/>
    <s v="Bhubaneswar"/>
    <x v="2"/>
    <s v="P304"/>
    <s v="Denim Jacket"/>
    <x v="1"/>
    <n v="1"/>
    <n v="2499"/>
    <n v="0.1"/>
    <n v="2499"/>
    <n v="249.9"/>
    <n v="2249.1"/>
    <n v="1125"/>
    <n v="1125"/>
    <n v="60"/>
    <n v="1064.0999999999999"/>
    <n v="0.4731225823662798"/>
    <x v="0"/>
    <d v="2024-11-08T00:00:00"/>
    <n v="3"/>
    <x v="0"/>
    <n v="4"/>
    <n v="0"/>
  </r>
  <r>
    <s v="ORD-101719"/>
    <x v="306"/>
    <x v="0"/>
    <d v="2024-11-01T00:00:00"/>
    <n v="11"/>
    <s v="CUST-01253"/>
    <x v="0"/>
    <x v="14"/>
    <s v="KL"/>
    <x v="3"/>
    <s v="Thiruvananthapuram"/>
    <x v="2"/>
    <s v="P301"/>
    <s v="Cotton Oversized T-Shirt"/>
    <x v="1"/>
    <n v="2"/>
    <n v="799"/>
    <n v="0.2"/>
    <n v="1598"/>
    <n v="319.60000000000002"/>
    <n v="1278.4000000000001"/>
    <n v="320"/>
    <n v="640"/>
    <n v="60"/>
    <n v="578.40000000000009"/>
    <n v="0.45244055068836048"/>
    <x v="1"/>
    <d v="2024-11-09T00:00:00"/>
    <n v="4"/>
    <x v="0"/>
    <m/>
    <n v="0"/>
  </r>
  <r>
    <s v="ORD-101720"/>
    <x v="306"/>
    <x v="0"/>
    <d v="2024-11-01T00:00:00"/>
    <n v="11"/>
    <s v="CUST-00155"/>
    <x v="0"/>
    <x v="17"/>
    <s v="TN"/>
    <x v="3"/>
    <s v="Chennai"/>
    <x v="0"/>
    <s v="P104"/>
    <s v="Hydrating Face Wash"/>
    <x v="3"/>
    <n v="1"/>
    <n v="299"/>
    <n v="0.2"/>
    <n v="299"/>
    <n v="59.800000000000004"/>
    <n v="239.2"/>
    <n v="90"/>
    <n v="90"/>
    <n v="60"/>
    <n v="89.199999999999989"/>
    <n v="0.37290969899665549"/>
    <x v="1"/>
    <d v="2024-11-07T00:00:00"/>
    <n v="2"/>
    <x v="1"/>
    <n v="4"/>
    <n v="0"/>
  </r>
  <r>
    <s v="ORD-101721"/>
    <x v="307"/>
    <x v="0"/>
    <d v="2024-11-01T00:00:00"/>
    <n v="11"/>
    <s v="CUST-02600"/>
    <x v="0"/>
    <x v="0"/>
    <s v="RJ"/>
    <x v="0"/>
    <s v="Jaipur"/>
    <x v="1"/>
    <s v="P403"/>
    <s v="Kolhapuri Sandals"/>
    <x v="5"/>
    <n v="1"/>
    <n v="999"/>
    <n v="0.25"/>
    <n v="999"/>
    <n v="249.75"/>
    <n v="749.25"/>
    <n v="400"/>
    <n v="400"/>
    <n v="60"/>
    <n v="289.25"/>
    <n v="0.38605271938605273"/>
    <x v="2"/>
    <d v="2024-11-11T00:00:00"/>
    <n v="5"/>
    <x v="2"/>
    <m/>
    <n v="0"/>
  </r>
  <r>
    <s v="ORD-101722"/>
    <x v="307"/>
    <x v="0"/>
    <d v="2024-11-01T00:00:00"/>
    <n v="11"/>
    <s v="CUST-01145"/>
    <x v="1"/>
    <x v="15"/>
    <s v="HR"/>
    <x v="0"/>
    <s v="Faridabad"/>
    <x v="1"/>
    <s v="P404"/>
    <s v="Flip Flops"/>
    <x v="5"/>
    <n v="4"/>
    <n v="399"/>
    <n v="0.4"/>
    <n v="1596"/>
    <n v="638.40000000000009"/>
    <n v="957.59999999999991"/>
    <n v="152"/>
    <n v="608"/>
    <n v="60"/>
    <n v="289.59999999999991"/>
    <n v="0.30242272347535498"/>
    <x v="0"/>
    <d v="2024-11-10T00:00:00"/>
    <n v="4"/>
    <x v="0"/>
    <n v="4"/>
    <n v="0"/>
  </r>
  <r>
    <s v="ORD-101723"/>
    <x v="307"/>
    <x v="0"/>
    <d v="2024-11-01T00:00:00"/>
    <n v="11"/>
    <s v="CUST-02539"/>
    <x v="1"/>
    <x v="16"/>
    <s v="UP"/>
    <x v="0"/>
    <s v="Kanpur"/>
    <x v="3"/>
    <s v="P105"/>
    <s v="Retinol Night Cream"/>
    <x v="3"/>
    <n v="3"/>
    <n v="799"/>
    <n v="0.3"/>
    <n v="2397"/>
    <n v="719.1"/>
    <n v="1677.9"/>
    <n v="216"/>
    <n v="648"/>
    <n v="60"/>
    <n v="969.90000000000009"/>
    <n v="0.57804398355086717"/>
    <x v="1"/>
    <d v="2024-11-11T00:00:00"/>
    <n v="5"/>
    <x v="2"/>
    <m/>
    <n v="0"/>
  </r>
  <r>
    <s v="ORD-101724"/>
    <x v="307"/>
    <x v="0"/>
    <d v="2024-11-01T00:00:00"/>
    <n v="11"/>
    <s v="CUST-02417"/>
    <x v="0"/>
    <x v="16"/>
    <s v="UP"/>
    <x v="0"/>
    <s v="Kanpur"/>
    <x v="0"/>
    <s v="P202"/>
    <s v="Argan Shampoo"/>
    <x v="6"/>
    <n v="2"/>
    <n v="449"/>
    <n v="0.2"/>
    <n v="898"/>
    <n v="179.60000000000002"/>
    <n v="718.4"/>
    <n v="148"/>
    <n v="296"/>
    <n v="60"/>
    <n v="362.4"/>
    <n v="0.50445434298440983"/>
    <x v="2"/>
    <d v="2024-11-09T00:00:00"/>
    <n v="3"/>
    <x v="0"/>
    <n v="4"/>
    <n v="0"/>
  </r>
  <r>
    <s v="ORD-101725"/>
    <x v="307"/>
    <x v="0"/>
    <d v="2024-11-01T00:00:00"/>
    <n v="11"/>
    <s v="CUST-01077"/>
    <x v="1"/>
    <x v="1"/>
    <s v="GJ"/>
    <x v="1"/>
    <s v="Ahmedabad"/>
    <x v="0"/>
    <s v="P704"/>
    <s v="Multivitamin Gummies"/>
    <x v="0"/>
    <n v="1"/>
    <n v="699"/>
    <n v="0.45"/>
    <n v="699"/>
    <n v="314.55"/>
    <n v="384.45"/>
    <n v="238"/>
    <n v="238"/>
    <n v="60"/>
    <n v="86.449999999999989"/>
    <n v="0.22486669267785145"/>
    <x v="3"/>
    <d v="2024-11-10T00:00:00"/>
    <n v="4"/>
    <x v="0"/>
    <m/>
    <n v="0"/>
  </r>
  <r>
    <s v="ORD-101726"/>
    <x v="307"/>
    <x v="0"/>
    <d v="2024-11-01T00:00:00"/>
    <n v="11"/>
    <s v="CUST-00365"/>
    <x v="1"/>
    <x v="1"/>
    <s v="GJ"/>
    <x v="1"/>
    <s v="Ahmedabad"/>
    <x v="1"/>
    <s v="P302"/>
    <s v="Linen Kurta"/>
    <x v="1"/>
    <n v="1"/>
    <n v="1499"/>
    <n v="0.3"/>
    <n v="1499"/>
    <n v="449.7"/>
    <n v="1049.3"/>
    <n v="630"/>
    <n v="630"/>
    <n v="120"/>
    <n v="299.29999999999995"/>
    <n v="0.28523777756599633"/>
    <x v="3"/>
    <d v="2024-11-09T00:00:00"/>
    <n v="3"/>
    <x v="0"/>
    <m/>
    <n v="1"/>
  </r>
  <r>
    <s v="ORD-101727"/>
    <x v="307"/>
    <x v="0"/>
    <d v="2024-11-01T00:00:00"/>
    <n v="11"/>
    <s v="CUST-02224"/>
    <x v="0"/>
    <x v="10"/>
    <s v="CG"/>
    <x v="2"/>
    <s v="Raipur"/>
    <x v="4"/>
    <s v="P604"/>
    <s v="Power Bank 20000mAh"/>
    <x v="2"/>
    <n v="2"/>
    <n v="1799"/>
    <n v="0.4"/>
    <n v="3598"/>
    <n v="1439.2"/>
    <n v="2158.8000000000002"/>
    <n v="1079"/>
    <n v="2158"/>
    <n v="60"/>
    <n v="-59.199999999999818"/>
    <n v="-2.742264220863434E-2"/>
    <x v="4"/>
    <d v="2024-11-11T00:00:00"/>
    <n v="5"/>
    <x v="2"/>
    <m/>
    <n v="0"/>
  </r>
  <r>
    <s v="ORD-101728"/>
    <x v="307"/>
    <x v="0"/>
    <d v="2024-11-01T00:00:00"/>
    <n v="11"/>
    <s v="CUST-03084"/>
    <x v="1"/>
    <x v="18"/>
    <s v="WB"/>
    <x v="2"/>
    <s v="Kolkata"/>
    <x v="2"/>
    <s v="P101"/>
    <s v="Vitamin C Face Serum"/>
    <x v="3"/>
    <n v="1"/>
    <n v="599"/>
    <n v="0.25"/>
    <n v="599"/>
    <n v="149.75"/>
    <n v="449.25"/>
    <n v="180"/>
    <n v="180"/>
    <n v="60"/>
    <n v="209.25"/>
    <n v="0.46577629382303842"/>
    <x v="2"/>
    <d v="2024-11-09T00:00:00"/>
    <n v="3"/>
    <x v="0"/>
    <n v="4"/>
    <n v="0"/>
  </r>
  <r>
    <s v="ORD-101729"/>
    <x v="307"/>
    <x v="0"/>
    <d v="2024-11-01T00:00:00"/>
    <n v="11"/>
    <s v="CUST-01358"/>
    <x v="0"/>
    <x v="2"/>
    <s v="MH"/>
    <x v="1"/>
    <s v="Nagpur"/>
    <x v="2"/>
    <s v="P201"/>
    <s v="Onion Hair Oil"/>
    <x v="6"/>
    <n v="2"/>
    <n v="349"/>
    <n v="0.35"/>
    <n v="698"/>
    <n v="244.29999999999998"/>
    <n v="453.70000000000005"/>
    <n v="105"/>
    <n v="210"/>
    <n v="60"/>
    <n v="183.70000000000005"/>
    <n v="0.40489310116817284"/>
    <x v="0"/>
    <d v="2024-11-11T00:00:00"/>
    <n v="5"/>
    <x v="2"/>
    <n v="4"/>
    <n v="0"/>
  </r>
  <r>
    <s v="ORD-101730"/>
    <x v="307"/>
    <x v="0"/>
    <d v="2024-11-01T00:00:00"/>
    <n v="11"/>
    <s v="CUST-00745"/>
    <x v="1"/>
    <x v="2"/>
    <s v="MH"/>
    <x v="1"/>
    <s v="Mumbai"/>
    <x v="3"/>
    <s v="P102"/>
    <s v="Sunscreen SPF 50"/>
    <x v="3"/>
    <n v="1"/>
    <n v="449"/>
    <n v="0.15"/>
    <n v="449"/>
    <n v="67.349999999999994"/>
    <n v="381.65"/>
    <n v="144"/>
    <n v="144"/>
    <n v="60"/>
    <n v="177.64999999999998"/>
    <n v="0.465478841870824"/>
    <x v="0"/>
    <d v="2024-11-09T00:00:00"/>
    <n v="3"/>
    <x v="0"/>
    <n v="5"/>
    <n v="0"/>
  </r>
  <r>
    <s v="ORD-101731"/>
    <x v="307"/>
    <x v="0"/>
    <d v="2024-11-01T00:00:00"/>
    <n v="11"/>
    <s v="CUST-00287"/>
    <x v="0"/>
    <x v="2"/>
    <s v="MH"/>
    <x v="1"/>
    <s v="Nagpur"/>
    <x v="2"/>
    <s v="P701"/>
    <s v="Ashwagandha Capsules"/>
    <x v="0"/>
    <n v="1"/>
    <n v="499"/>
    <n v="0.2"/>
    <n v="499"/>
    <n v="99.800000000000011"/>
    <n v="399.2"/>
    <n v="150"/>
    <n v="150"/>
    <n v="120"/>
    <n v="129.19999999999999"/>
    <n v="0.32364729458917835"/>
    <x v="3"/>
    <d v="2024-11-10T00:00:00"/>
    <n v="4"/>
    <x v="0"/>
    <m/>
    <n v="1"/>
  </r>
  <r>
    <s v="ORD-101732"/>
    <x v="307"/>
    <x v="0"/>
    <d v="2024-11-01T00:00:00"/>
    <n v="11"/>
    <s v="CUST-01111"/>
    <x v="1"/>
    <x v="2"/>
    <s v="MH"/>
    <x v="1"/>
    <s v="Nagpur"/>
    <x v="0"/>
    <s v="P201"/>
    <s v="Onion Hair Oil"/>
    <x v="6"/>
    <n v="1"/>
    <n v="349"/>
    <n v="0.6"/>
    <n v="349"/>
    <n v="209.4"/>
    <n v="139.6"/>
    <n v="105"/>
    <n v="105"/>
    <n v="60"/>
    <n v="-25.400000000000006"/>
    <n v="-0.18194842406876796"/>
    <x v="0"/>
    <d v="2024-11-09T00:00:00"/>
    <n v="3"/>
    <x v="0"/>
    <n v="4"/>
    <n v="0"/>
  </r>
  <r>
    <s v="ORD-101733"/>
    <x v="307"/>
    <x v="0"/>
    <d v="2024-11-01T00:00:00"/>
    <n v="11"/>
    <s v="CUST-00791"/>
    <x v="0"/>
    <x v="21"/>
    <s v="TG"/>
    <x v="3"/>
    <s v="Hyderabad"/>
    <x v="0"/>
    <s v="P401"/>
    <s v="Running Shoes"/>
    <x v="5"/>
    <n v="2"/>
    <n v="2999"/>
    <n v="0.5"/>
    <n v="5998"/>
    <n v="2999"/>
    <n v="2999"/>
    <n v="1440"/>
    <n v="2880"/>
    <n v="60"/>
    <n v="59"/>
    <n v="1.9673224408136045E-2"/>
    <x v="0"/>
    <d v="2024-11-10T00:00:00"/>
    <n v="4"/>
    <x v="0"/>
    <m/>
    <n v="0"/>
  </r>
  <r>
    <s v="ORD-101734"/>
    <x v="307"/>
    <x v="0"/>
    <d v="2024-11-01T00:00:00"/>
    <n v="11"/>
    <s v="CUST-01439"/>
    <x v="0"/>
    <x v="20"/>
    <s v="GA"/>
    <x v="1"/>
    <s v="Panaji"/>
    <x v="4"/>
    <s v="P601"/>
    <s v="Wireless Earbuds"/>
    <x v="2"/>
    <n v="3"/>
    <n v="1999"/>
    <n v="0.45"/>
    <n v="5997"/>
    <n v="2698.65"/>
    <n v="3298.35"/>
    <n v="1239"/>
    <n v="3717"/>
    <n v="60"/>
    <n v="-478.65000000000009"/>
    <n v="-0.1451180135522307"/>
    <x v="0"/>
    <d v="2024-11-09T00:00:00"/>
    <n v="3"/>
    <x v="0"/>
    <n v="3"/>
    <n v="0"/>
  </r>
  <r>
    <s v="ORD-101735"/>
    <x v="307"/>
    <x v="0"/>
    <d v="2024-11-01T00:00:00"/>
    <n v="11"/>
    <s v="CUST-00409"/>
    <x v="1"/>
    <x v="11"/>
    <s v="KA"/>
    <x v="3"/>
    <s v="Bengaluru"/>
    <x v="3"/>
    <s v="P104"/>
    <s v="Hydrating Face Wash"/>
    <x v="3"/>
    <n v="1"/>
    <n v="299"/>
    <n v="0.1"/>
    <n v="299"/>
    <n v="29.900000000000002"/>
    <n v="269.10000000000002"/>
    <n v="90"/>
    <n v="90"/>
    <n v="60"/>
    <n v="119.10000000000002"/>
    <n v="0.4425863991081383"/>
    <x v="0"/>
    <d v="2024-11-07T00:00:00"/>
    <n v="1"/>
    <x v="1"/>
    <n v="4"/>
    <n v="0"/>
  </r>
  <r>
    <s v="ORD-101736"/>
    <x v="308"/>
    <x v="0"/>
    <d v="2024-11-01T00:00:00"/>
    <n v="11"/>
    <s v="CUST-00358"/>
    <x v="1"/>
    <x v="0"/>
    <s v="RJ"/>
    <x v="0"/>
    <s v="Udaipur"/>
    <x v="3"/>
    <s v="P203"/>
    <s v="Keratin Hair Mask"/>
    <x v="6"/>
    <n v="1"/>
    <n v="549"/>
    <n v="0.35"/>
    <n v="549"/>
    <n v="192.14999999999998"/>
    <n v="356.85"/>
    <n v="170"/>
    <n v="170"/>
    <n v="60"/>
    <n v="126.85000000000002"/>
    <n v="0.35547148661902767"/>
    <x v="4"/>
    <d v="2024-11-12T00:00:00"/>
    <n v="5"/>
    <x v="2"/>
    <n v="4"/>
    <n v="0"/>
  </r>
  <r>
    <s v="ORD-101737"/>
    <x v="308"/>
    <x v="0"/>
    <d v="2024-11-01T00:00:00"/>
    <n v="11"/>
    <s v="CUST-01412"/>
    <x v="0"/>
    <x v="18"/>
    <s v="WB"/>
    <x v="2"/>
    <s v="Kolkata"/>
    <x v="2"/>
    <s v="P703"/>
    <s v="Green Tea (100 bags)"/>
    <x v="0"/>
    <n v="2"/>
    <n v="399"/>
    <n v="0.45"/>
    <n v="798"/>
    <n v="359.1"/>
    <n v="438.9"/>
    <n v="128"/>
    <n v="256"/>
    <n v="60"/>
    <n v="122.89999999999998"/>
    <n v="0.28001822738664839"/>
    <x v="0"/>
    <d v="2024-11-11T00:00:00"/>
    <n v="4"/>
    <x v="0"/>
    <m/>
    <n v="0"/>
  </r>
  <r>
    <s v="ORD-101738"/>
    <x v="308"/>
    <x v="0"/>
    <d v="2024-11-01T00:00:00"/>
    <n v="11"/>
    <s v="CUST-01089"/>
    <x v="1"/>
    <x v="2"/>
    <s v="MH"/>
    <x v="1"/>
    <s v="Nagpur"/>
    <x v="4"/>
    <s v="P501"/>
    <s v="Copper Water Bottle"/>
    <x v="4"/>
    <n v="3"/>
    <n v="899"/>
    <n v="0.2"/>
    <n v="2697"/>
    <n v="539.4"/>
    <n v="2157.6"/>
    <n v="378"/>
    <n v="1134"/>
    <n v="60"/>
    <n v="963.59999999999991"/>
    <n v="0.44660734149054504"/>
    <x v="2"/>
    <d v="2024-11-09T00:00:00"/>
    <n v="2"/>
    <x v="1"/>
    <m/>
    <n v="0"/>
  </r>
  <r>
    <s v="ORD-101739"/>
    <x v="308"/>
    <x v="0"/>
    <d v="2024-11-01T00:00:00"/>
    <n v="11"/>
    <s v="CUST-01075"/>
    <x v="1"/>
    <x v="2"/>
    <s v="MH"/>
    <x v="1"/>
    <s v="Mumbai"/>
    <x v="0"/>
    <s v="P103"/>
    <s v="Niacinamide Toner"/>
    <x v="3"/>
    <n v="2"/>
    <n v="399"/>
    <n v="0.35"/>
    <n v="798"/>
    <n v="279.29999999999995"/>
    <n v="518.70000000000005"/>
    <n v="112"/>
    <n v="224"/>
    <n v="60"/>
    <n v="234.70000000000005"/>
    <n v="0.45247734721418936"/>
    <x v="0"/>
    <d v="2024-11-09T00:00:00"/>
    <n v="2"/>
    <x v="1"/>
    <n v="5"/>
    <n v="0"/>
  </r>
  <r>
    <s v="ORD-101740"/>
    <x v="308"/>
    <x v="0"/>
    <d v="2024-11-01T00:00:00"/>
    <n v="11"/>
    <s v="CUST-01780"/>
    <x v="0"/>
    <x v="2"/>
    <s v="MH"/>
    <x v="1"/>
    <s v="Mumbai"/>
    <x v="2"/>
    <s v="P202"/>
    <s v="Argan Shampoo"/>
    <x v="6"/>
    <n v="1"/>
    <n v="449"/>
    <n v="0.3"/>
    <n v="449"/>
    <n v="134.69999999999999"/>
    <n v="314.3"/>
    <n v="148"/>
    <n v="148"/>
    <n v="60"/>
    <n v="106.30000000000001"/>
    <n v="0.33821189945911551"/>
    <x v="2"/>
    <d v="2024-11-09T00:00:00"/>
    <n v="2"/>
    <x v="1"/>
    <n v="4"/>
    <n v="0"/>
  </r>
  <r>
    <s v="ORD-101741"/>
    <x v="309"/>
    <x v="0"/>
    <d v="2024-11-01T00:00:00"/>
    <n v="11"/>
    <s v="CUST-02838"/>
    <x v="0"/>
    <x v="4"/>
    <s v="JK"/>
    <x v="0"/>
    <s v="Jammu"/>
    <x v="0"/>
    <s v="P101"/>
    <s v="Vitamin C Face Serum"/>
    <x v="3"/>
    <n v="1"/>
    <n v="599"/>
    <n v="0.3"/>
    <n v="599"/>
    <n v="179.7"/>
    <n v="419.3"/>
    <n v="180"/>
    <n v="180"/>
    <n v="60"/>
    <n v="179.3"/>
    <n v="0.42761745766754117"/>
    <x v="0"/>
    <d v="2024-11-15T00:00:00"/>
    <n v="7"/>
    <x v="2"/>
    <n v="3"/>
    <n v="0"/>
  </r>
  <r>
    <s v="ORD-101742"/>
    <x v="309"/>
    <x v="0"/>
    <d v="2024-11-01T00:00:00"/>
    <n v="11"/>
    <s v="CUST-00082"/>
    <x v="0"/>
    <x v="5"/>
    <s v="HP"/>
    <x v="0"/>
    <s v="Shimla"/>
    <x v="3"/>
    <s v="P201"/>
    <s v="Onion Hair Oil"/>
    <x v="6"/>
    <n v="2"/>
    <n v="349"/>
    <n v="0.35"/>
    <n v="698"/>
    <n v="244.29999999999998"/>
    <n v="453.70000000000005"/>
    <n v="105"/>
    <n v="210"/>
    <n v="60"/>
    <n v="183.70000000000005"/>
    <n v="0.40489310116817284"/>
    <x v="4"/>
    <d v="2024-11-12T00:00:00"/>
    <n v="4"/>
    <x v="0"/>
    <n v="4"/>
    <n v="0"/>
  </r>
  <r>
    <s v="ORD-101743"/>
    <x v="309"/>
    <x v="0"/>
    <d v="2024-11-01T00:00:00"/>
    <n v="11"/>
    <s v="CUST-00439"/>
    <x v="0"/>
    <x v="0"/>
    <s v="RJ"/>
    <x v="0"/>
    <s v="Udaipur"/>
    <x v="3"/>
    <s v="P203"/>
    <s v="Keratin Hair Mask"/>
    <x v="6"/>
    <n v="1"/>
    <n v="549"/>
    <n v="0.35"/>
    <n v="549"/>
    <n v="192.14999999999998"/>
    <n v="356.85"/>
    <n v="170"/>
    <n v="170"/>
    <n v="60"/>
    <n v="126.85000000000002"/>
    <n v="0.35547148661902767"/>
    <x v="1"/>
    <d v="2024-11-12T00:00:00"/>
    <n v="4"/>
    <x v="0"/>
    <n v="3"/>
    <n v="0"/>
  </r>
  <r>
    <s v="ORD-101744"/>
    <x v="309"/>
    <x v="0"/>
    <d v="2024-11-01T00:00:00"/>
    <n v="11"/>
    <s v="CUST-00577"/>
    <x v="0"/>
    <x v="6"/>
    <s v="DL"/>
    <x v="0"/>
    <s v="New Delhi"/>
    <x v="0"/>
    <s v="P504"/>
    <s v="Cotton Bedsheet"/>
    <x v="4"/>
    <n v="1"/>
    <n v="1299"/>
    <n v="0.2"/>
    <n v="1299"/>
    <n v="259.8"/>
    <n v="1039.2"/>
    <n v="585"/>
    <n v="585"/>
    <n v="60"/>
    <n v="394.20000000000005"/>
    <n v="0.37933025404157045"/>
    <x v="2"/>
    <d v="2024-11-11T00:00:00"/>
    <n v="3"/>
    <x v="0"/>
    <n v="4"/>
    <n v="0"/>
  </r>
  <r>
    <s v="ORD-101745"/>
    <x v="309"/>
    <x v="0"/>
    <d v="2024-11-01T00:00:00"/>
    <n v="11"/>
    <s v="CUST-01037"/>
    <x v="1"/>
    <x v="13"/>
    <s v="MP"/>
    <x v="1"/>
    <s v="Indore"/>
    <x v="0"/>
    <s v="P201"/>
    <s v="Onion Hair Oil"/>
    <x v="6"/>
    <n v="1"/>
    <n v="349"/>
    <n v="0.4"/>
    <n v="349"/>
    <n v="139.6"/>
    <n v="209.4"/>
    <n v="105"/>
    <n v="105"/>
    <n v="60"/>
    <n v="44.400000000000006"/>
    <n v="0.21203438395415475"/>
    <x v="1"/>
    <d v="2024-11-12T00:00:00"/>
    <n v="4"/>
    <x v="0"/>
    <m/>
    <n v="0"/>
  </r>
  <r>
    <s v="ORD-101746"/>
    <x v="309"/>
    <x v="0"/>
    <d v="2024-11-01T00:00:00"/>
    <n v="11"/>
    <s v="CUST-02676"/>
    <x v="0"/>
    <x v="13"/>
    <s v="MP"/>
    <x v="1"/>
    <s v="Indore"/>
    <x v="4"/>
    <s v="P202"/>
    <s v="Argan Shampoo"/>
    <x v="6"/>
    <n v="2"/>
    <n v="449"/>
    <n v="0.1"/>
    <n v="898"/>
    <n v="89.800000000000011"/>
    <n v="808.2"/>
    <n v="148"/>
    <n v="296"/>
    <n v="60"/>
    <n v="452.20000000000005"/>
    <n v="0.5595149715416976"/>
    <x v="1"/>
    <d v="2024-11-11T00:00:00"/>
    <n v="3"/>
    <x v="0"/>
    <m/>
    <n v="0"/>
  </r>
  <r>
    <s v="ORD-101747"/>
    <x v="309"/>
    <x v="0"/>
    <d v="2024-11-01T00:00:00"/>
    <n v="11"/>
    <s v="CUST-00322"/>
    <x v="1"/>
    <x v="7"/>
    <s v="JH"/>
    <x v="2"/>
    <s v="Ranchi"/>
    <x v="0"/>
    <s v="P104"/>
    <s v="Hydrating Face Wash"/>
    <x v="3"/>
    <n v="1"/>
    <n v="299"/>
    <n v="0.15"/>
    <n v="299"/>
    <n v="44.85"/>
    <n v="254.15"/>
    <n v="90"/>
    <n v="90"/>
    <n v="60"/>
    <n v="104.15"/>
    <n v="0.40979736376155818"/>
    <x v="0"/>
    <d v="2024-11-13T00:00:00"/>
    <n v="5"/>
    <x v="2"/>
    <n v="4"/>
    <n v="0"/>
  </r>
  <r>
    <s v="ORD-101748"/>
    <x v="309"/>
    <x v="0"/>
    <d v="2024-11-01T00:00:00"/>
    <n v="11"/>
    <s v="CUST-00624"/>
    <x v="1"/>
    <x v="2"/>
    <s v="MH"/>
    <x v="1"/>
    <s v="Mumbai"/>
    <x v="0"/>
    <s v="P202"/>
    <s v="Argan Shampoo"/>
    <x v="6"/>
    <n v="1"/>
    <n v="449"/>
    <n v="0.1"/>
    <n v="449"/>
    <n v="44.900000000000006"/>
    <n v="404.1"/>
    <n v="148"/>
    <n v="148"/>
    <n v="60"/>
    <n v="196.10000000000002"/>
    <n v="0.48527592180153428"/>
    <x v="0"/>
    <d v="2024-11-09T00:00:00"/>
    <n v="1"/>
    <x v="1"/>
    <n v="5"/>
    <n v="0"/>
  </r>
  <r>
    <s v="ORD-101749"/>
    <x v="309"/>
    <x v="0"/>
    <d v="2024-11-01T00:00:00"/>
    <n v="11"/>
    <s v="CUST-02196"/>
    <x v="0"/>
    <x v="2"/>
    <s v="MH"/>
    <x v="1"/>
    <s v="Nagpur"/>
    <x v="2"/>
    <s v="P402"/>
    <s v="Casual Sneakers"/>
    <x v="5"/>
    <n v="1"/>
    <n v="2199"/>
    <n v="0.25"/>
    <n v="2199"/>
    <n v="549.75"/>
    <n v="1649.25"/>
    <n v="1034"/>
    <n v="1034"/>
    <n v="60"/>
    <n v="555.25"/>
    <n v="0.33666818250720026"/>
    <x v="0"/>
    <d v="2024-11-13T00:00:00"/>
    <n v="5"/>
    <x v="2"/>
    <n v="4"/>
    <n v="0"/>
  </r>
  <r>
    <s v="ORD-101750"/>
    <x v="309"/>
    <x v="0"/>
    <d v="2024-11-01T00:00:00"/>
    <n v="11"/>
    <s v="CUST-01899"/>
    <x v="0"/>
    <x v="20"/>
    <s v="GA"/>
    <x v="1"/>
    <s v="Panaji"/>
    <x v="4"/>
    <s v="P104"/>
    <s v="Hydrating Face Wash"/>
    <x v="3"/>
    <n v="1"/>
    <n v="299"/>
    <n v="0.2"/>
    <n v="299"/>
    <n v="59.800000000000004"/>
    <n v="239.2"/>
    <n v="90"/>
    <n v="90"/>
    <n v="120"/>
    <n v="29.199999999999989"/>
    <n v="0.12207357859531769"/>
    <x v="3"/>
    <d v="2024-11-12T00:00:00"/>
    <n v="4"/>
    <x v="0"/>
    <n v="3"/>
    <n v="1"/>
  </r>
  <r>
    <s v="ORD-101751"/>
    <x v="309"/>
    <x v="0"/>
    <d v="2024-11-01T00:00:00"/>
    <n v="11"/>
    <s v="CUST-00972"/>
    <x v="1"/>
    <x v="11"/>
    <s v="KA"/>
    <x v="3"/>
    <s v="Bengaluru"/>
    <x v="1"/>
    <s v="P303"/>
    <s v="Joggers"/>
    <x v="1"/>
    <n v="3"/>
    <n v="1199"/>
    <n v="0.35"/>
    <n v="3597"/>
    <n v="1258.9499999999998"/>
    <n v="2338.0500000000002"/>
    <n v="492"/>
    <n v="1476"/>
    <n v="60"/>
    <n v="802.05000000000018"/>
    <n v="0.34304227882209537"/>
    <x v="3"/>
    <d v="2024-11-11T00:00:00"/>
    <n v="3"/>
    <x v="0"/>
    <m/>
    <n v="0"/>
  </r>
  <r>
    <s v="ORD-101752"/>
    <x v="309"/>
    <x v="0"/>
    <d v="2024-11-01T00:00:00"/>
    <n v="11"/>
    <s v="CUST-01587"/>
    <x v="0"/>
    <x v="17"/>
    <s v="TN"/>
    <x v="3"/>
    <s v="Chennai"/>
    <x v="1"/>
    <s v="P304"/>
    <s v="Denim Jacket"/>
    <x v="1"/>
    <n v="1"/>
    <n v="2499"/>
    <n v="0.25"/>
    <n v="2499"/>
    <n v="624.75"/>
    <n v="1874.25"/>
    <n v="1125"/>
    <n v="1125"/>
    <n v="60"/>
    <n v="689.25"/>
    <n v="0.36774709883953582"/>
    <x v="1"/>
    <d v="2024-11-12T00:00:00"/>
    <n v="4"/>
    <x v="0"/>
    <n v="5"/>
    <n v="0"/>
  </r>
  <r>
    <s v="ORD-101753"/>
    <x v="310"/>
    <x v="0"/>
    <d v="2024-11-01T00:00:00"/>
    <n v="11"/>
    <s v="CUST-02676"/>
    <x v="1"/>
    <x v="9"/>
    <s v="UK"/>
    <x v="0"/>
    <s v="Dehradun"/>
    <x v="0"/>
    <s v="P704"/>
    <s v="Multivitamin Gummies"/>
    <x v="0"/>
    <n v="1"/>
    <n v="699"/>
    <n v="0.25"/>
    <n v="699"/>
    <n v="174.75"/>
    <n v="524.25"/>
    <n v="238"/>
    <n v="238"/>
    <n v="60"/>
    <n v="226.25"/>
    <n v="0.43156890796375774"/>
    <x v="3"/>
    <d v="2024-11-15T00:00:00"/>
    <n v="6"/>
    <x v="2"/>
    <n v="3"/>
    <n v="0"/>
  </r>
  <r>
    <s v="ORD-101754"/>
    <x v="310"/>
    <x v="0"/>
    <d v="2024-11-01T00:00:00"/>
    <n v="11"/>
    <s v="CUST-00444"/>
    <x v="1"/>
    <x v="12"/>
    <s v="BR"/>
    <x v="2"/>
    <s v="Patna"/>
    <x v="1"/>
    <s v="P404"/>
    <s v="Flip Flops"/>
    <x v="5"/>
    <n v="1"/>
    <n v="399"/>
    <n v="0.2"/>
    <n v="399"/>
    <n v="79.800000000000011"/>
    <n v="319.2"/>
    <n v="152"/>
    <n v="152"/>
    <n v="60"/>
    <n v="107.19999999999999"/>
    <n v="0.33583959899749372"/>
    <x v="3"/>
    <d v="2024-11-15T00:00:00"/>
    <n v="6"/>
    <x v="2"/>
    <n v="3"/>
    <n v="0"/>
  </r>
  <r>
    <s v="ORD-101755"/>
    <x v="310"/>
    <x v="0"/>
    <d v="2024-11-01T00:00:00"/>
    <n v="11"/>
    <s v="CUST-01816"/>
    <x v="0"/>
    <x v="1"/>
    <s v="GJ"/>
    <x v="1"/>
    <s v="Surat"/>
    <x v="4"/>
    <s v="P601"/>
    <s v="Wireless Earbuds"/>
    <x v="2"/>
    <n v="2"/>
    <n v="1999"/>
    <n v="0.6"/>
    <n v="3998"/>
    <n v="2398.7999999999997"/>
    <n v="1599.2000000000003"/>
    <n v="1239"/>
    <n v="2478"/>
    <n v="120"/>
    <n v="-998.79999999999973"/>
    <n v="-0.62456228114057"/>
    <x v="1"/>
    <d v="2024-11-15T00:00:00"/>
    <n v="6"/>
    <x v="2"/>
    <n v="3"/>
    <n v="1"/>
  </r>
  <r>
    <s v="ORD-101756"/>
    <x v="310"/>
    <x v="0"/>
    <d v="2024-11-01T00:00:00"/>
    <n v="11"/>
    <s v="CUST-01903"/>
    <x v="0"/>
    <x v="7"/>
    <s v="JH"/>
    <x v="2"/>
    <s v="Ranchi"/>
    <x v="0"/>
    <s v="P603"/>
    <s v="Smartwatch Strap"/>
    <x v="2"/>
    <n v="1"/>
    <n v="499"/>
    <n v="0.15"/>
    <n v="499"/>
    <n v="74.849999999999994"/>
    <n v="424.15"/>
    <n v="200"/>
    <n v="200"/>
    <n v="60"/>
    <n v="164.14999999999998"/>
    <n v="0.38700931274313327"/>
    <x v="3"/>
    <d v="2024-11-14T00:00:00"/>
    <n v="5"/>
    <x v="2"/>
    <n v="5"/>
    <n v="0"/>
  </r>
  <r>
    <s v="ORD-101757"/>
    <x v="310"/>
    <x v="0"/>
    <d v="2024-11-01T00:00:00"/>
    <n v="11"/>
    <s v="CUST-00465"/>
    <x v="1"/>
    <x v="18"/>
    <s v="WB"/>
    <x v="2"/>
    <s v="Kolkata"/>
    <x v="1"/>
    <s v="P302"/>
    <s v="Linen Kurta"/>
    <x v="1"/>
    <n v="2"/>
    <n v="1499"/>
    <n v="0.35"/>
    <n v="2998"/>
    <n v="1049.3"/>
    <n v="1948.7"/>
    <n v="630"/>
    <n v="1260"/>
    <n v="60"/>
    <n v="628.70000000000005"/>
    <n v="0.32262533997023657"/>
    <x v="0"/>
    <d v="2024-11-12T00:00:00"/>
    <n v="3"/>
    <x v="0"/>
    <n v="3"/>
    <n v="0"/>
  </r>
  <r>
    <s v="ORD-101758"/>
    <x v="310"/>
    <x v="0"/>
    <d v="2024-11-01T00:00:00"/>
    <n v="11"/>
    <s v="CUST-01153"/>
    <x v="1"/>
    <x v="8"/>
    <s v="AP"/>
    <x v="3"/>
    <s v="Visakhapatnam"/>
    <x v="2"/>
    <s v="P404"/>
    <s v="Flip Flops"/>
    <x v="5"/>
    <n v="1"/>
    <n v="399"/>
    <n v="0.1"/>
    <n v="399"/>
    <n v="39.900000000000006"/>
    <n v="359.1"/>
    <n v="152"/>
    <n v="152"/>
    <n v="60"/>
    <n v="147.10000000000002"/>
    <n v="0.40963519910888335"/>
    <x v="3"/>
    <d v="2024-11-14T00:00:00"/>
    <n v="5"/>
    <x v="2"/>
    <n v="4"/>
    <n v="0"/>
  </r>
  <r>
    <s v="ORD-101759"/>
    <x v="310"/>
    <x v="0"/>
    <d v="2024-11-01T00:00:00"/>
    <n v="11"/>
    <s v="CUST-01168"/>
    <x v="0"/>
    <x v="8"/>
    <s v="AP"/>
    <x v="3"/>
    <s v="Vijayawada"/>
    <x v="3"/>
    <s v="P104"/>
    <s v="Hydrating Face Wash"/>
    <x v="3"/>
    <n v="2"/>
    <n v="299"/>
    <n v="0.1"/>
    <n v="598"/>
    <n v="59.800000000000004"/>
    <n v="538.20000000000005"/>
    <n v="90"/>
    <n v="180"/>
    <n v="120"/>
    <n v="238.20000000000005"/>
    <n v="0.4425863991081383"/>
    <x v="3"/>
    <d v="2024-11-13T00:00:00"/>
    <n v="4"/>
    <x v="0"/>
    <n v="4"/>
    <n v="1"/>
  </r>
  <r>
    <s v="ORD-101760"/>
    <x v="310"/>
    <x v="0"/>
    <d v="2024-11-01T00:00:00"/>
    <n v="11"/>
    <s v="CUST-00815"/>
    <x v="1"/>
    <x v="14"/>
    <s v="KL"/>
    <x v="3"/>
    <s v="Kochi"/>
    <x v="4"/>
    <s v="P202"/>
    <s v="Argan Shampoo"/>
    <x v="6"/>
    <n v="1"/>
    <n v="449"/>
    <n v="0.2"/>
    <n v="449"/>
    <n v="89.800000000000011"/>
    <n v="359.2"/>
    <n v="148"/>
    <n v="148"/>
    <n v="60"/>
    <n v="151.19999999999999"/>
    <n v="0.42093541202672602"/>
    <x v="2"/>
    <d v="2024-11-13T00:00:00"/>
    <n v="4"/>
    <x v="0"/>
    <n v="4"/>
    <n v="0"/>
  </r>
  <r>
    <s v="ORD-101761"/>
    <x v="311"/>
    <x v="0"/>
    <d v="2024-11-01T00:00:00"/>
    <n v="11"/>
    <s v="CUST-00948"/>
    <x v="1"/>
    <x v="0"/>
    <s v="RJ"/>
    <x v="0"/>
    <s v="Jaipur"/>
    <x v="1"/>
    <s v="P404"/>
    <s v="Flip Flops"/>
    <x v="5"/>
    <n v="1"/>
    <n v="399"/>
    <n v="0.1"/>
    <n v="399"/>
    <n v="39.900000000000006"/>
    <n v="359.1"/>
    <n v="152"/>
    <n v="152"/>
    <n v="60"/>
    <n v="147.10000000000002"/>
    <n v="0.40963519910888335"/>
    <x v="0"/>
    <d v="2024-11-14T00:00:00"/>
    <n v="4"/>
    <x v="0"/>
    <m/>
    <n v="0"/>
  </r>
  <r>
    <s v="ORD-101762"/>
    <x v="311"/>
    <x v="0"/>
    <d v="2024-11-01T00:00:00"/>
    <n v="11"/>
    <s v="CUST-00279"/>
    <x v="0"/>
    <x v="6"/>
    <s v="DL"/>
    <x v="0"/>
    <s v="New Delhi"/>
    <x v="3"/>
    <s v="P203"/>
    <s v="Keratin Hair Mask"/>
    <x v="6"/>
    <n v="1"/>
    <n v="549"/>
    <n v="0.35"/>
    <n v="549"/>
    <n v="192.14999999999998"/>
    <n v="356.85"/>
    <n v="170"/>
    <n v="170"/>
    <n v="60"/>
    <n v="126.85000000000002"/>
    <n v="0.35547148661902767"/>
    <x v="1"/>
    <d v="2024-11-11T00:00:00"/>
    <n v="1"/>
    <x v="1"/>
    <n v="4"/>
    <n v="0"/>
  </r>
  <r>
    <s v="ORD-101763"/>
    <x v="311"/>
    <x v="0"/>
    <d v="2024-11-01T00:00:00"/>
    <n v="11"/>
    <s v="CUST-03171"/>
    <x v="1"/>
    <x v="16"/>
    <s v="UP"/>
    <x v="0"/>
    <s v="Kanpur"/>
    <x v="1"/>
    <s v="P403"/>
    <s v="Kolhapuri Sandals"/>
    <x v="5"/>
    <n v="1"/>
    <n v="999"/>
    <n v="0.2"/>
    <n v="999"/>
    <n v="199.8"/>
    <n v="799.2"/>
    <n v="400"/>
    <n v="400"/>
    <n v="60"/>
    <n v="339.20000000000005"/>
    <n v="0.42442442442442446"/>
    <x v="0"/>
    <d v="2024-11-15T00:00:00"/>
    <n v="5"/>
    <x v="2"/>
    <n v="4"/>
    <n v="0"/>
  </r>
  <r>
    <s v="ORD-101764"/>
    <x v="311"/>
    <x v="0"/>
    <d v="2024-11-01T00:00:00"/>
    <n v="11"/>
    <s v="CUST-01160"/>
    <x v="1"/>
    <x v="1"/>
    <s v="GJ"/>
    <x v="1"/>
    <s v="Ahmedabad"/>
    <x v="0"/>
    <s v="P501"/>
    <s v="Copper Water Bottle"/>
    <x v="4"/>
    <n v="4"/>
    <n v="899"/>
    <n v="0.3"/>
    <n v="3596"/>
    <n v="1078.8"/>
    <n v="2517.1999999999998"/>
    <n v="378"/>
    <n v="1512"/>
    <n v="60"/>
    <n v="945.19999999999982"/>
    <n v="0.37549658350548226"/>
    <x v="0"/>
    <d v="2024-11-14T00:00:00"/>
    <n v="4"/>
    <x v="0"/>
    <m/>
    <n v="0"/>
  </r>
  <r>
    <s v="ORD-101765"/>
    <x v="311"/>
    <x v="0"/>
    <d v="2024-11-01T00:00:00"/>
    <n v="11"/>
    <s v="CUST-00235"/>
    <x v="0"/>
    <x v="18"/>
    <s v="WB"/>
    <x v="2"/>
    <s v="Kolkata"/>
    <x v="0"/>
    <s v="P603"/>
    <s v="Smartwatch Strap"/>
    <x v="2"/>
    <n v="1"/>
    <n v="499"/>
    <n v="0.2"/>
    <n v="499"/>
    <n v="99.800000000000011"/>
    <n v="399.2"/>
    <n v="200"/>
    <n v="200"/>
    <n v="60"/>
    <n v="139.19999999999999"/>
    <n v="0.34869739478957912"/>
    <x v="0"/>
    <d v="2024-11-15T00:00:00"/>
    <n v="5"/>
    <x v="2"/>
    <n v="3"/>
    <n v="0"/>
  </r>
  <r>
    <s v="ORD-101766"/>
    <x v="311"/>
    <x v="0"/>
    <d v="2024-11-01T00:00:00"/>
    <n v="11"/>
    <s v="CUST-00632"/>
    <x v="1"/>
    <x v="14"/>
    <s v="KL"/>
    <x v="3"/>
    <s v="Kochi"/>
    <x v="2"/>
    <s v="P203"/>
    <s v="Keratin Hair Mask"/>
    <x v="6"/>
    <n v="1"/>
    <n v="549"/>
    <n v="0.2"/>
    <n v="549"/>
    <n v="109.80000000000001"/>
    <n v="439.2"/>
    <n v="170"/>
    <n v="170"/>
    <n v="60"/>
    <n v="209.2"/>
    <n v="0.47632058287795992"/>
    <x v="3"/>
    <d v="2024-11-16T00:00:00"/>
    <n v="6"/>
    <x v="2"/>
    <n v="4"/>
    <n v="0"/>
  </r>
  <r>
    <s v="ORD-101767"/>
    <x v="312"/>
    <x v="0"/>
    <d v="2024-11-01T00:00:00"/>
    <n v="11"/>
    <s v="CUST-01087"/>
    <x v="1"/>
    <x v="19"/>
    <s v="PB"/>
    <x v="0"/>
    <s v="Amritsar"/>
    <x v="3"/>
    <s v="P704"/>
    <s v="Multivitamin Gummies"/>
    <x v="0"/>
    <n v="1"/>
    <n v="699"/>
    <n v="0.25"/>
    <n v="699"/>
    <n v="174.75"/>
    <n v="524.25"/>
    <n v="238"/>
    <n v="238"/>
    <n v="60"/>
    <n v="226.25"/>
    <n v="0.43156890796375774"/>
    <x v="3"/>
    <d v="2024-11-14T00:00:00"/>
    <n v="3"/>
    <x v="0"/>
    <m/>
    <n v="0"/>
  </r>
  <r>
    <s v="ORD-101768"/>
    <x v="312"/>
    <x v="0"/>
    <d v="2024-11-01T00:00:00"/>
    <n v="11"/>
    <s v="CUST-00539"/>
    <x v="1"/>
    <x v="0"/>
    <s v="RJ"/>
    <x v="0"/>
    <s v="Jaipur"/>
    <x v="0"/>
    <s v="P601"/>
    <s v="Wireless Earbuds"/>
    <x v="2"/>
    <n v="1"/>
    <n v="1999"/>
    <n v="0.5"/>
    <n v="1999"/>
    <n v="999.5"/>
    <n v="999.5"/>
    <n v="1239"/>
    <n v="1239"/>
    <n v="60"/>
    <n v="-299.5"/>
    <n v="-0.29964982491245623"/>
    <x v="0"/>
    <d v="2024-11-16T00:00:00"/>
    <n v="5"/>
    <x v="2"/>
    <n v="3"/>
    <n v="0"/>
  </r>
  <r>
    <s v="ORD-101769"/>
    <x v="312"/>
    <x v="0"/>
    <d v="2024-11-01T00:00:00"/>
    <n v="11"/>
    <s v="CUST-01539"/>
    <x v="0"/>
    <x v="12"/>
    <s v="BR"/>
    <x v="2"/>
    <s v="Patna"/>
    <x v="4"/>
    <s v="P704"/>
    <s v="Multivitamin Gummies"/>
    <x v="0"/>
    <n v="2"/>
    <n v="699"/>
    <n v="0.4"/>
    <n v="1398"/>
    <n v="559.20000000000005"/>
    <n v="838.8"/>
    <n v="238"/>
    <n v="476"/>
    <n v="60"/>
    <n v="302.79999999999995"/>
    <n v="0.36099189318073432"/>
    <x v="3"/>
    <d v="2024-11-18T00:00:00"/>
    <n v="7"/>
    <x v="2"/>
    <n v="4"/>
    <n v="0"/>
  </r>
  <r>
    <s v="ORD-101770"/>
    <x v="312"/>
    <x v="0"/>
    <d v="2024-11-01T00:00:00"/>
    <n v="11"/>
    <s v="CUST-01738"/>
    <x v="0"/>
    <x v="13"/>
    <s v="MP"/>
    <x v="1"/>
    <s v="Bhopal"/>
    <x v="0"/>
    <s v="P303"/>
    <s v="Joggers"/>
    <x v="1"/>
    <n v="1"/>
    <n v="1199"/>
    <n v="0.25"/>
    <n v="1199"/>
    <n v="299.75"/>
    <n v="899.25"/>
    <n v="492"/>
    <n v="492"/>
    <n v="60"/>
    <n v="347.25"/>
    <n v="0.38615512927439533"/>
    <x v="1"/>
    <d v="2024-11-14T00:00:00"/>
    <n v="3"/>
    <x v="0"/>
    <n v="5"/>
    <n v="0"/>
  </r>
  <r>
    <s v="ORD-101771"/>
    <x v="312"/>
    <x v="0"/>
    <d v="2024-11-01T00:00:00"/>
    <n v="11"/>
    <s v="CUST-00948"/>
    <x v="1"/>
    <x v="18"/>
    <s v="WB"/>
    <x v="2"/>
    <s v="Kolkata"/>
    <x v="0"/>
    <s v="P604"/>
    <s v="Power Bank 20000mAh"/>
    <x v="2"/>
    <n v="2"/>
    <n v="1799"/>
    <n v="0.4"/>
    <n v="3598"/>
    <n v="1439.2"/>
    <n v="2158.8000000000002"/>
    <n v="1079"/>
    <n v="2158"/>
    <n v="60"/>
    <n v="-59.199999999999818"/>
    <n v="-2.742264220863434E-2"/>
    <x v="0"/>
    <d v="2024-11-14T00:00:00"/>
    <n v="3"/>
    <x v="0"/>
    <n v="4"/>
    <n v="0"/>
  </r>
  <r>
    <s v="ORD-101772"/>
    <x v="312"/>
    <x v="0"/>
    <d v="2024-11-01T00:00:00"/>
    <n v="11"/>
    <s v="CUST-01708"/>
    <x v="0"/>
    <x v="18"/>
    <s v="WB"/>
    <x v="2"/>
    <s v="Kolkata"/>
    <x v="4"/>
    <s v="P303"/>
    <s v="Joggers"/>
    <x v="1"/>
    <n v="1"/>
    <n v="1199"/>
    <n v="0.15"/>
    <n v="1199"/>
    <n v="179.85"/>
    <n v="1019.15"/>
    <n v="492"/>
    <n v="492"/>
    <n v="60"/>
    <n v="467.15"/>
    <n v="0.45837217288917231"/>
    <x v="4"/>
    <d v="2024-11-17T00:00:00"/>
    <n v="6"/>
    <x v="2"/>
    <n v="5"/>
    <n v="0"/>
  </r>
  <r>
    <s v="ORD-101773"/>
    <x v="312"/>
    <x v="0"/>
    <d v="2024-11-01T00:00:00"/>
    <n v="11"/>
    <s v="CUST-01040"/>
    <x v="1"/>
    <x v="2"/>
    <s v="MH"/>
    <x v="1"/>
    <s v="Nagpur"/>
    <x v="0"/>
    <s v="P102"/>
    <s v="Sunscreen SPF 50"/>
    <x v="3"/>
    <n v="1"/>
    <n v="449"/>
    <n v="0.1"/>
    <n v="449"/>
    <n v="44.900000000000006"/>
    <n v="404.1"/>
    <n v="144"/>
    <n v="144"/>
    <n v="60"/>
    <n v="200.10000000000002"/>
    <n v="0.4951744617668894"/>
    <x v="0"/>
    <d v="2024-11-16T00:00:00"/>
    <n v="5"/>
    <x v="2"/>
    <n v="4"/>
    <n v="0"/>
  </r>
  <r>
    <s v="ORD-101774"/>
    <x v="312"/>
    <x v="0"/>
    <d v="2024-11-01T00:00:00"/>
    <n v="11"/>
    <s v="CUST-00732"/>
    <x v="0"/>
    <x v="17"/>
    <s v="TN"/>
    <x v="3"/>
    <s v="Chennai"/>
    <x v="2"/>
    <s v="P105"/>
    <s v="Retinol Night Cream"/>
    <x v="3"/>
    <n v="2"/>
    <n v="799"/>
    <n v="0.3"/>
    <n v="1598"/>
    <n v="479.4"/>
    <n v="1118.5999999999999"/>
    <n v="216"/>
    <n v="432"/>
    <n v="60"/>
    <n v="626.59999999999991"/>
    <n v="0.56016449132844626"/>
    <x v="3"/>
    <d v="2024-11-14T00:00:00"/>
    <n v="3"/>
    <x v="0"/>
    <n v="5"/>
    <n v="0"/>
  </r>
  <r>
    <s v="ORD-101775"/>
    <x v="313"/>
    <x v="0"/>
    <d v="2024-11-01T00:00:00"/>
    <n v="11"/>
    <s v="CUST-00400"/>
    <x v="1"/>
    <x v="20"/>
    <s v="GA"/>
    <x v="1"/>
    <s v="Panaji"/>
    <x v="3"/>
    <s v="P201"/>
    <s v="Onion Hair Oil"/>
    <x v="6"/>
    <n v="2"/>
    <n v="349"/>
    <n v="0.45"/>
    <n v="698"/>
    <n v="314.10000000000002"/>
    <n v="383.9"/>
    <n v="105"/>
    <n v="210"/>
    <n v="60"/>
    <n v="113.89999999999998"/>
    <n v="0.29669184683511329"/>
    <x v="4"/>
    <d v="2024-11-15T00:00:00"/>
    <n v="3"/>
    <x v="0"/>
    <n v="3"/>
    <n v="0"/>
  </r>
  <r>
    <s v="ORD-101776"/>
    <x v="313"/>
    <x v="0"/>
    <d v="2024-11-01T00:00:00"/>
    <n v="11"/>
    <s v="CUST-01170"/>
    <x v="1"/>
    <x v="20"/>
    <s v="GA"/>
    <x v="1"/>
    <s v="Panaji"/>
    <x v="4"/>
    <s v="P603"/>
    <s v="Smartwatch Strap"/>
    <x v="2"/>
    <n v="2"/>
    <n v="499"/>
    <n v="0.35"/>
    <n v="998"/>
    <n v="349.29999999999995"/>
    <n v="648.70000000000005"/>
    <n v="200"/>
    <n v="400"/>
    <n v="60"/>
    <n v="188.70000000000005"/>
    <n v="0.29088947125019277"/>
    <x v="0"/>
    <d v="2024-11-14T00:00:00"/>
    <n v="2"/>
    <x v="1"/>
    <n v="5"/>
    <n v="0"/>
  </r>
  <r>
    <s v="ORD-101777"/>
    <x v="313"/>
    <x v="0"/>
    <d v="2024-11-01T00:00:00"/>
    <n v="11"/>
    <s v="CUST-00640"/>
    <x v="0"/>
    <x v="11"/>
    <s v="KA"/>
    <x v="3"/>
    <s v="Mysuru"/>
    <x v="0"/>
    <s v="P402"/>
    <s v="Casual Sneakers"/>
    <x v="5"/>
    <n v="2"/>
    <n v="2199"/>
    <n v="0.35"/>
    <n v="4398"/>
    <n v="1539.3"/>
    <n v="2858.7"/>
    <n v="1034"/>
    <n v="2068"/>
    <n v="60"/>
    <n v="730.69999999999982"/>
    <n v="0.25560569489628149"/>
    <x v="3"/>
    <d v="2024-11-16T00:00:00"/>
    <n v="4"/>
    <x v="0"/>
    <m/>
    <n v="0"/>
  </r>
  <r>
    <s v="ORD-101778"/>
    <x v="313"/>
    <x v="0"/>
    <d v="2024-11-01T00:00:00"/>
    <n v="11"/>
    <s v="CUST-00687"/>
    <x v="1"/>
    <x v="17"/>
    <s v="TN"/>
    <x v="3"/>
    <s v="Coimbatore"/>
    <x v="4"/>
    <s v="P503"/>
    <s v="Scented Candle Set"/>
    <x v="4"/>
    <n v="2"/>
    <n v="699"/>
    <n v="0.3"/>
    <n v="1398"/>
    <n v="419.4"/>
    <n v="978.6"/>
    <n v="245"/>
    <n v="490"/>
    <n v="60"/>
    <n v="428.6"/>
    <n v="0.43797261393827919"/>
    <x v="3"/>
    <d v="2024-11-16T00:00:00"/>
    <n v="4"/>
    <x v="0"/>
    <m/>
    <n v="0"/>
  </r>
  <r>
    <s v="ORD-101779"/>
    <x v="313"/>
    <x v="0"/>
    <d v="2024-11-01T00:00:00"/>
    <n v="11"/>
    <s v="CUST-02133"/>
    <x v="0"/>
    <x v="17"/>
    <s v="TN"/>
    <x v="3"/>
    <s v="Chennai"/>
    <x v="0"/>
    <s v="P403"/>
    <s v="Kolhapuri Sandals"/>
    <x v="5"/>
    <n v="1"/>
    <n v="999"/>
    <n v="0.15"/>
    <n v="999"/>
    <n v="149.85"/>
    <n v="849.15"/>
    <n v="400"/>
    <n v="400"/>
    <n v="60"/>
    <n v="389.15"/>
    <n v="0.45828181122298767"/>
    <x v="0"/>
    <d v="2024-11-14T00:00:00"/>
    <n v="2"/>
    <x v="1"/>
    <n v="4"/>
    <n v="0"/>
  </r>
  <r>
    <s v="ORD-101780"/>
    <x v="313"/>
    <x v="0"/>
    <d v="2024-11-01T00:00:00"/>
    <n v="11"/>
    <s v="CUST-00952"/>
    <x v="1"/>
    <x v="17"/>
    <s v="TN"/>
    <x v="3"/>
    <s v="Chennai"/>
    <x v="0"/>
    <s v="P201"/>
    <s v="Onion Hair Oil"/>
    <x v="6"/>
    <n v="2"/>
    <n v="349"/>
    <n v="0.55000000000000004"/>
    <n v="698"/>
    <n v="383.90000000000003"/>
    <n v="314.09999999999997"/>
    <n v="105"/>
    <n v="210"/>
    <n v="60"/>
    <n v="44.099999999999966"/>
    <n v="0.14040114613180507"/>
    <x v="0"/>
    <d v="2024-11-14T00:00:00"/>
    <n v="2"/>
    <x v="1"/>
    <m/>
    <n v="0"/>
  </r>
  <r>
    <s v="ORD-101781"/>
    <x v="314"/>
    <x v="0"/>
    <d v="2024-11-01T00:00:00"/>
    <n v="11"/>
    <s v="CUST-00080"/>
    <x v="0"/>
    <x v="19"/>
    <s v="PB"/>
    <x v="0"/>
    <s v="Ludhiana"/>
    <x v="1"/>
    <s v="P403"/>
    <s v="Kolhapuri Sandals"/>
    <x v="5"/>
    <n v="2"/>
    <n v="999"/>
    <n v="0.15"/>
    <n v="1998"/>
    <n v="299.7"/>
    <n v="1698.3"/>
    <n v="400"/>
    <n v="800"/>
    <n v="60"/>
    <n v="838.3"/>
    <n v="0.49361125831714064"/>
    <x v="0"/>
    <d v="2024-11-15T00:00:00"/>
    <n v="2"/>
    <x v="1"/>
    <n v="5"/>
    <n v="0"/>
  </r>
  <r>
    <s v="ORD-101782"/>
    <x v="314"/>
    <x v="0"/>
    <d v="2024-11-01T00:00:00"/>
    <n v="11"/>
    <s v="CUST-01005"/>
    <x v="1"/>
    <x v="0"/>
    <s v="RJ"/>
    <x v="0"/>
    <s v="Udaipur"/>
    <x v="0"/>
    <s v="P504"/>
    <s v="Cotton Bedsheet"/>
    <x v="4"/>
    <n v="1"/>
    <n v="1299"/>
    <n v="0.15"/>
    <n v="1299"/>
    <n v="194.85"/>
    <n v="1104.1500000000001"/>
    <n v="585"/>
    <n v="585"/>
    <n v="60"/>
    <n v="459.15000000000009"/>
    <n v="0.41584023909794871"/>
    <x v="0"/>
    <d v="2024-11-19T00:00:00"/>
    <n v="6"/>
    <x v="2"/>
    <n v="3"/>
    <n v="0"/>
  </r>
  <r>
    <s v="ORD-101783"/>
    <x v="314"/>
    <x v="0"/>
    <d v="2024-11-01T00:00:00"/>
    <n v="11"/>
    <s v="CUST-00792"/>
    <x v="1"/>
    <x v="0"/>
    <s v="RJ"/>
    <x v="0"/>
    <s v="Udaipur"/>
    <x v="1"/>
    <s v="P304"/>
    <s v="Denim Jacket"/>
    <x v="1"/>
    <n v="1"/>
    <n v="2499"/>
    <n v="0.15"/>
    <n v="2499"/>
    <n v="374.84999999999997"/>
    <n v="2124.15"/>
    <n v="1125"/>
    <n v="1125"/>
    <n v="60"/>
    <n v="939.15000000000009"/>
    <n v="0.44212979309370809"/>
    <x v="0"/>
    <d v="2024-11-19T00:00:00"/>
    <n v="6"/>
    <x v="2"/>
    <n v="4"/>
    <n v="0"/>
  </r>
  <r>
    <s v="ORD-101784"/>
    <x v="314"/>
    <x v="0"/>
    <d v="2024-11-01T00:00:00"/>
    <n v="11"/>
    <s v="CUST-01171"/>
    <x v="1"/>
    <x v="6"/>
    <s v="DL"/>
    <x v="0"/>
    <s v="New Delhi"/>
    <x v="0"/>
    <s v="P502"/>
    <s v="Ceramic Dinner Set"/>
    <x v="4"/>
    <n v="4"/>
    <n v="2499"/>
    <n v="0.45"/>
    <n v="9996"/>
    <n v="4498.2"/>
    <n v="5497.8"/>
    <n v="1250"/>
    <n v="5000"/>
    <n v="60"/>
    <n v="437.80000000000018"/>
    <n v="7.9631852741096465E-2"/>
    <x v="1"/>
    <d v="2024-11-16T00:00:00"/>
    <n v="3"/>
    <x v="0"/>
    <n v="4"/>
    <n v="0"/>
  </r>
  <r>
    <s v="ORD-101785"/>
    <x v="314"/>
    <x v="0"/>
    <d v="2024-11-01T00:00:00"/>
    <n v="11"/>
    <s v="CUST-00210"/>
    <x v="1"/>
    <x v="11"/>
    <s v="KA"/>
    <x v="3"/>
    <s v="Mysuru"/>
    <x v="0"/>
    <s v="P105"/>
    <s v="Retinol Night Cream"/>
    <x v="3"/>
    <n v="4"/>
    <n v="799"/>
    <n v="0.2"/>
    <n v="3196"/>
    <n v="639.20000000000005"/>
    <n v="2556.8000000000002"/>
    <n v="216"/>
    <n v="864"/>
    <n v="60"/>
    <n v="1632.8000000000002"/>
    <n v="0.63861076345431789"/>
    <x v="3"/>
    <d v="2024-11-16T00:00:00"/>
    <n v="3"/>
    <x v="0"/>
    <n v="5"/>
    <n v="0"/>
  </r>
  <r>
    <s v="ORD-101786"/>
    <x v="314"/>
    <x v="0"/>
    <d v="2024-11-01T00:00:00"/>
    <n v="11"/>
    <s v="CUST-02482"/>
    <x v="0"/>
    <x v="11"/>
    <s v="KA"/>
    <x v="3"/>
    <s v="Bengaluru"/>
    <x v="0"/>
    <s v="P103"/>
    <s v="Niacinamide Toner"/>
    <x v="3"/>
    <n v="1"/>
    <n v="399"/>
    <n v="0.25"/>
    <n v="399"/>
    <n v="99.75"/>
    <n v="299.25"/>
    <n v="112"/>
    <n v="112"/>
    <n v="60"/>
    <n v="127.25"/>
    <n v="0.42522974101921468"/>
    <x v="4"/>
    <d v="2024-11-19T00:00:00"/>
    <n v="6"/>
    <x v="2"/>
    <n v="3"/>
    <n v="0"/>
  </r>
  <r>
    <s v="ORD-101787"/>
    <x v="315"/>
    <x v="0"/>
    <d v="2024-11-01T00:00:00"/>
    <n v="11"/>
    <s v="CUST-00454"/>
    <x v="0"/>
    <x v="13"/>
    <s v="MP"/>
    <x v="1"/>
    <s v="Bhopal"/>
    <x v="0"/>
    <s v="P503"/>
    <s v="Scented Candle Set"/>
    <x v="4"/>
    <n v="3"/>
    <n v="699"/>
    <n v="0.3"/>
    <n v="2097"/>
    <n v="629.1"/>
    <n v="1467.9"/>
    <n v="245"/>
    <n v="735"/>
    <n v="120"/>
    <n v="612.90000000000009"/>
    <n v="0.41753525444512574"/>
    <x v="0"/>
    <d v="2024-11-17T00:00:00"/>
    <n v="3"/>
    <x v="0"/>
    <n v="3"/>
    <n v="1"/>
  </r>
  <r>
    <s v="ORD-101788"/>
    <x v="315"/>
    <x v="0"/>
    <d v="2024-11-01T00:00:00"/>
    <n v="11"/>
    <s v="CUST-00002"/>
    <x v="0"/>
    <x v="18"/>
    <s v="WB"/>
    <x v="2"/>
    <s v="Kolkata"/>
    <x v="1"/>
    <s v="P302"/>
    <s v="Linen Kurta"/>
    <x v="1"/>
    <n v="3"/>
    <n v="1499"/>
    <n v="0.4"/>
    <n v="4497"/>
    <n v="1798.8000000000002"/>
    <n v="2698.2"/>
    <n v="630"/>
    <n v="1890"/>
    <n v="60"/>
    <n v="748.19999999999982"/>
    <n v="0.27729597509450737"/>
    <x v="0"/>
    <d v="2024-11-17T00:00:00"/>
    <n v="3"/>
    <x v="0"/>
    <n v="3"/>
    <n v="0"/>
  </r>
  <r>
    <s v="ORD-101789"/>
    <x v="315"/>
    <x v="0"/>
    <d v="2024-11-01T00:00:00"/>
    <n v="11"/>
    <s v="CUST-00392"/>
    <x v="1"/>
    <x v="20"/>
    <s v="GA"/>
    <x v="1"/>
    <s v="Panaji"/>
    <x v="0"/>
    <s v="P504"/>
    <s v="Cotton Bedsheet"/>
    <x v="4"/>
    <n v="1"/>
    <n v="1299"/>
    <n v="0.2"/>
    <n v="1299"/>
    <n v="259.8"/>
    <n v="1039.2"/>
    <n v="585"/>
    <n v="585"/>
    <n v="60"/>
    <n v="394.20000000000005"/>
    <n v="0.37933025404157045"/>
    <x v="1"/>
    <d v="2024-11-18T00:00:00"/>
    <n v="4"/>
    <x v="0"/>
    <n v="3"/>
    <n v="0"/>
  </r>
  <r>
    <s v="ORD-101790"/>
    <x v="315"/>
    <x v="0"/>
    <d v="2024-11-01T00:00:00"/>
    <n v="11"/>
    <s v="CUST-00448"/>
    <x v="1"/>
    <x v="11"/>
    <s v="KA"/>
    <x v="3"/>
    <s v="Bengaluru"/>
    <x v="0"/>
    <s v="P703"/>
    <s v="Green Tea (100 bags)"/>
    <x v="0"/>
    <n v="1"/>
    <n v="399"/>
    <n v="0.5"/>
    <n v="399"/>
    <n v="199.5"/>
    <n v="199.5"/>
    <n v="128"/>
    <n v="128"/>
    <n v="60"/>
    <n v="11.5"/>
    <n v="5.764411027568922E-2"/>
    <x v="1"/>
    <d v="2024-11-17T00:00:00"/>
    <n v="3"/>
    <x v="0"/>
    <n v="4"/>
    <n v="0"/>
  </r>
  <r>
    <s v="ORD-101791"/>
    <x v="315"/>
    <x v="0"/>
    <d v="2024-11-01T00:00:00"/>
    <n v="11"/>
    <s v="CUST-01938"/>
    <x v="0"/>
    <x v="14"/>
    <s v="KL"/>
    <x v="3"/>
    <s v="Kochi"/>
    <x v="2"/>
    <s v="P201"/>
    <s v="Onion Hair Oil"/>
    <x v="6"/>
    <n v="3"/>
    <n v="349"/>
    <n v="0.4"/>
    <n v="1047"/>
    <n v="418.8"/>
    <n v="628.20000000000005"/>
    <n v="105"/>
    <n v="315"/>
    <n v="60"/>
    <n v="253.20000000000005"/>
    <n v="0.40305635148042029"/>
    <x v="0"/>
    <d v="2024-11-18T00:00:00"/>
    <n v="4"/>
    <x v="0"/>
    <m/>
    <n v="0"/>
  </r>
  <r>
    <s v="ORD-101792"/>
    <x v="316"/>
    <x v="0"/>
    <d v="2024-11-01T00:00:00"/>
    <n v="11"/>
    <s v="CUST-02795"/>
    <x v="0"/>
    <x v="1"/>
    <s v="GJ"/>
    <x v="1"/>
    <s v="Ahmedabad"/>
    <x v="0"/>
    <s v="P101"/>
    <s v="Vitamin C Face Serum"/>
    <x v="3"/>
    <n v="3"/>
    <n v="599"/>
    <n v="0.4"/>
    <n v="1797"/>
    <n v="718.80000000000007"/>
    <n v="1078.1999999999998"/>
    <n v="180"/>
    <n v="540"/>
    <n v="60"/>
    <n v="478.19999999999982"/>
    <n v="0.44351697273233159"/>
    <x v="4"/>
    <d v="2024-11-18T00:00:00"/>
    <n v="3"/>
    <x v="0"/>
    <m/>
    <n v="0"/>
  </r>
  <r>
    <s v="ORD-101793"/>
    <x v="316"/>
    <x v="0"/>
    <d v="2024-11-01T00:00:00"/>
    <n v="11"/>
    <s v="CUST-00866"/>
    <x v="0"/>
    <x v="1"/>
    <s v="GJ"/>
    <x v="1"/>
    <s v="Ahmedabad"/>
    <x v="0"/>
    <s v="P403"/>
    <s v="Kolhapuri Sandals"/>
    <x v="5"/>
    <n v="2"/>
    <n v="999"/>
    <n v="0.2"/>
    <n v="1998"/>
    <n v="399.6"/>
    <n v="1598.4"/>
    <n v="400"/>
    <n v="800"/>
    <n v="60"/>
    <n v="738.40000000000009"/>
    <n v="0.46196196196196199"/>
    <x v="0"/>
    <d v="2024-11-18T00:00:00"/>
    <n v="3"/>
    <x v="0"/>
    <n v="5"/>
    <n v="0"/>
  </r>
  <r>
    <s v="ORD-101794"/>
    <x v="316"/>
    <x v="0"/>
    <d v="2024-11-01T00:00:00"/>
    <n v="11"/>
    <s v="CUST-00151"/>
    <x v="1"/>
    <x v="13"/>
    <s v="MP"/>
    <x v="1"/>
    <s v="Bhopal"/>
    <x v="4"/>
    <s v="P202"/>
    <s v="Argan Shampoo"/>
    <x v="6"/>
    <n v="1"/>
    <n v="449"/>
    <n v="0.25"/>
    <n v="449"/>
    <n v="112.25"/>
    <n v="336.75"/>
    <n v="148"/>
    <n v="148"/>
    <n v="60"/>
    <n v="128.75"/>
    <n v="0.38233110616184113"/>
    <x v="4"/>
    <d v="2024-11-22T00:00:00"/>
    <n v="7"/>
    <x v="2"/>
    <m/>
    <n v="0"/>
  </r>
  <r>
    <s v="ORD-101795"/>
    <x v="316"/>
    <x v="0"/>
    <d v="2024-11-01T00:00:00"/>
    <n v="11"/>
    <s v="CUST-01098"/>
    <x v="1"/>
    <x v="17"/>
    <s v="TN"/>
    <x v="3"/>
    <s v="Chennai"/>
    <x v="0"/>
    <s v="P103"/>
    <s v="Niacinamide Toner"/>
    <x v="3"/>
    <n v="2"/>
    <n v="399"/>
    <n v="0.3"/>
    <n v="798"/>
    <n v="239.39999999999998"/>
    <n v="558.6"/>
    <n v="112"/>
    <n v="224"/>
    <n v="60"/>
    <n v="274.60000000000002"/>
    <n v="0.49158610812746151"/>
    <x v="2"/>
    <d v="2024-11-17T00:00:00"/>
    <n v="2"/>
    <x v="1"/>
    <n v="5"/>
    <n v="0"/>
  </r>
  <r>
    <s v="ORD-101796"/>
    <x v="317"/>
    <x v="0"/>
    <d v="2024-11-01T00:00:00"/>
    <n v="11"/>
    <s v="CUST-02192"/>
    <x v="0"/>
    <x v="0"/>
    <s v="RJ"/>
    <x v="0"/>
    <s v="Udaipur"/>
    <x v="2"/>
    <s v="P603"/>
    <s v="Smartwatch Strap"/>
    <x v="2"/>
    <n v="1"/>
    <n v="499"/>
    <n v="0.25"/>
    <n v="499"/>
    <n v="124.75"/>
    <n v="374.25"/>
    <n v="200"/>
    <n v="200"/>
    <n v="60"/>
    <n v="114.25"/>
    <n v="0.30527722110888444"/>
    <x v="4"/>
    <d v="2024-11-21T00:00:00"/>
    <n v="5"/>
    <x v="2"/>
    <n v="4"/>
    <n v="0"/>
  </r>
  <r>
    <s v="ORD-101797"/>
    <x v="317"/>
    <x v="0"/>
    <d v="2024-11-01T00:00:00"/>
    <n v="11"/>
    <s v="CUST-02793"/>
    <x v="1"/>
    <x v="6"/>
    <s v="DL"/>
    <x v="0"/>
    <s v="New Delhi"/>
    <x v="3"/>
    <s v="P703"/>
    <s v="Green Tea (100 bags)"/>
    <x v="0"/>
    <n v="2"/>
    <n v="399"/>
    <n v="0.5"/>
    <n v="798"/>
    <n v="399"/>
    <n v="399"/>
    <n v="128"/>
    <n v="256"/>
    <n v="60"/>
    <n v="83"/>
    <n v="0.20802005012531327"/>
    <x v="3"/>
    <d v="2024-11-18T00:00:00"/>
    <n v="2"/>
    <x v="1"/>
    <n v="4"/>
    <n v="0"/>
  </r>
  <r>
    <s v="ORD-101798"/>
    <x v="317"/>
    <x v="0"/>
    <d v="2024-11-01T00:00:00"/>
    <n v="11"/>
    <s v="CUST-03094"/>
    <x v="1"/>
    <x v="6"/>
    <s v="DL"/>
    <x v="0"/>
    <s v="New Delhi"/>
    <x v="0"/>
    <s v="P504"/>
    <s v="Cotton Bedsheet"/>
    <x v="4"/>
    <n v="2"/>
    <n v="1299"/>
    <n v="0.15"/>
    <n v="2598"/>
    <n v="389.7"/>
    <n v="2208.3000000000002"/>
    <n v="585"/>
    <n v="1170"/>
    <n v="60"/>
    <n v="978.30000000000018"/>
    <n v="0.44301046053525339"/>
    <x v="0"/>
    <d v="2024-11-19T00:00:00"/>
    <n v="3"/>
    <x v="0"/>
    <m/>
    <n v="0"/>
  </r>
  <r>
    <s v="ORD-101799"/>
    <x v="317"/>
    <x v="0"/>
    <d v="2024-11-01T00:00:00"/>
    <n v="11"/>
    <s v="CUST-00178"/>
    <x v="0"/>
    <x v="16"/>
    <s v="UP"/>
    <x v="0"/>
    <s v="Kanpur"/>
    <x v="1"/>
    <s v="P301"/>
    <s v="Cotton Oversized T-Shirt"/>
    <x v="1"/>
    <n v="1"/>
    <n v="799"/>
    <n v="0.1"/>
    <n v="799"/>
    <n v="79.900000000000006"/>
    <n v="719.1"/>
    <n v="320"/>
    <n v="320"/>
    <n v="60"/>
    <n v="339.1"/>
    <n v="0.47156167431511614"/>
    <x v="1"/>
    <d v="2024-11-21T00:00:00"/>
    <n v="5"/>
    <x v="2"/>
    <n v="4"/>
    <n v="0"/>
  </r>
  <r>
    <s v="ORD-101800"/>
    <x v="317"/>
    <x v="0"/>
    <d v="2024-11-01T00:00:00"/>
    <n v="11"/>
    <s v="CUST-00873"/>
    <x v="1"/>
    <x v="22"/>
    <s v="AS"/>
    <x v="2"/>
    <s v="Guwahati"/>
    <x v="0"/>
    <s v="P501"/>
    <s v="Copper Water Bottle"/>
    <x v="4"/>
    <n v="1"/>
    <n v="899"/>
    <n v="0.15"/>
    <n v="899"/>
    <n v="134.85"/>
    <n v="764.15"/>
    <n v="378"/>
    <n v="378"/>
    <n v="60"/>
    <n v="326.14999999999998"/>
    <n v="0.42681410717791007"/>
    <x v="0"/>
    <d v="2024-11-23T00:00:00"/>
    <n v="7"/>
    <x v="2"/>
    <n v="3"/>
    <n v="0"/>
  </r>
  <r>
    <s v="ORD-101801"/>
    <x v="317"/>
    <x v="0"/>
    <d v="2024-11-01T00:00:00"/>
    <n v="11"/>
    <s v="CUST-00979"/>
    <x v="1"/>
    <x v="2"/>
    <s v="MH"/>
    <x v="1"/>
    <s v="Mumbai"/>
    <x v="0"/>
    <s v="P704"/>
    <s v="Multivitamin Gummies"/>
    <x v="0"/>
    <n v="2"/>
    <n v="699"/>
    <n v="0.35"/>
    <n v="1398"/>
    <n v="489.29999999999995"/>
    <n v="908.7"/>
    <n v="238"/>
    <n v="476"/>
    <n v="60"/>
    <n v="372.70000000000005"/>
    <n v="0.41014636293606255"/>
    <x v="0"/>
    <d v="2024-11-17T00:00:00"/>
    <n v="1"/>
    <x v="1"/>
    <n v="4"/>
    <n v="0"/>
  </r>
  <r>
    <s v="ORD-101802"/>
    <x v="317"/>
    <x v="0"/>
    <d v="2024-11-01T00:00:00"/>
    <n v="11"/>
    <s v="CUST-01487"/>
    <x v="0"/>
    <x v="21"/>
    <s v="TG"/>
    <x v="3"/>
    <s v="Hyderabad"/>
    <x v="0"/>
    <s v="P404"/>
    <s v="Flip Flops"/>
    <x v="5"/>
    <n v="1"/>
    <n v="399"/>
    <n v="0.3"/>
    <n v="399"/>
    <n v="119.69999999999999"/>
    <n v="279.3"/>
    <n v="152"/>
    <n v="152"/>
    <n v="120"/>
    <n v="7.3000000000000114"/>
    <n v="2.6136770497672792E-2"/>
    <x v="0"/>
    <d v="2024-11-19T00:00:00"/>
    <n v="3"/>
    <x v="0"/>
    <n v="4"/>
    <n v="1"/>
  </r>
  <r>
    <s v="ORD-101803"/>
    <x v="317"/>
    <x v="0"/>
    <d v="2024-11-01T00:00:00"/>
    <n v="11"/>
    <s v="CUST-01622"/>
    <x v="0"/>
    <x v="11"/>
    <s v="KA"/>
    <x v="3"/>
    <s v="Bengaluru"/>
    <x v="4"/>
    <s v="P202"/>
    <s v="Argan Shampoo"/>
    <x v="6"/>
    <n v="3"/>
    <n v="449"/>
    <n v="0.25"/>
    <n v="1347"/>
    <n v="336.75"/>
    <n v="1010.25"/>
    <n v="148"/>
    <n v="444"/>
    <n v="60"/>
    <n v="506.25"/>
    <n v="0.50111358574610243"/>
    <x v="0"/>
    <d v="2024-11-20T00:00:00"/>
    <n v="4"/>
    <x v="0"/>
    <n v="4"/>
    <n v="0"/>
  </r>
  <r>
    <s v="ORD-101804"/>
    <x v="317"/>
    <x v="0"/>
    <d v="2024-11-01T00:00:00"/>
    <n v="11"/>
    <s v="CUST-00002"/>
    <x v="1"/>
    <x v="17"/>
    <s v="TN"/>
    <x v="3"/>
    <s v="Coimbatore"/>
    <x v="3"/>
    <s v="P204"/>
    <s v="Anti-Dandruff Conditioner"/>
    <x v="6"/>
    <n v="1"/>
    <n v="399"/>
    <n v="0.45"/>
    <n v="399"/>
    <n v="179.55"/>
    <n v="219.45"/>
    <n v="136"/>
    <n v="136"/>
    <n v="120"/>
    <n v="-36.550000000000011"/>
    <n v="-0.16655274550011398"/>
    <x v="3"/>
    <d v="2024-11-18T00:00:00"/>
    <n v="2"/>
    <x v="1"/>
    <n v="5"/>
    <n v="1"/>
  </r>
  <r>
    <s v="ORD-101805"/>
    <x v="318"/>
    <x v="0"/>
    <d v="2024-11-01T00:00:00"/>
    <n v="11"/>
    <s v="CUST-00363"/>
    <x v="1"/>
    <x v="9"/>
    <s v="UK"/>
    <x v="0"/>
    <s v="Dehradun"/>
    <x v="0"/>
    <s v="P304"/>
    <s v="Denim Jacket"/>
    <x v="1"/>
    <n v="4"/>
    <n v="2499"/>
    <n v="0.15"/>
    <n v="9996"/>
    <n v="1499.3999999999999"/>
    <n v="8496.6"/>
    <n v="1125"/>
    <n v="4500"/>
    <n v="60"/>
    <n v="3936.6000000000004"/>
    <n v="0.46331473765976983"/>
    <x v="4"/>
    <d v="2024-11-21T00:00:00"/>
    <n v="4"/>
    <x v="0"/>
    <n v="4"/>
    <n v="0"/>
  </r>
  <r>
    <s v="ORD-101806"/>
    <x v="318"/>
    <x v="0"/>
    <d v="2024-11-01T00:00:00"/>
    <n v="11"/>
    <s v="CUST-02518"/>
    <x v="0"/>
    <x v="0"/>
    <s v="RJ"/>
    <x v="0"/>
    <s v="Jaipur"/>
    <x v="4"/>
    <s v="P504"/>
    <s v="Cotton Bedsheet"/>
    <x v="4"/>
    <n v="2"/>
    <n v="1299"/>
    <n v="0.1"/>
    <n v="2598"/>
    <n v="259.8"/>
    <n v="2338.1999999999998"/>
    <n v="585"/>
    <n v="1170"/>
    <n v="60"/>
    <n v="1108.1999999999998"/>
    <n v="0.47395432383885033"/>
    <x v="0"/>
    <d v="2024-11-23T00:00:00"/>
    <n v="6"/>
    <x v="2"/>
    <n v="4"/>
    <n v="0"/>
  </r>
  <r>
    <s v="ORD-101807"/>
    <x v="318"/>
    <x v="0"/>
    <d v="2024-11-01T00:00:00"/>
    <n v="11"/>
    <s v="CUST-01391"/>
    <x v="0"/>
    <x v="16"/>
    <s v="UP"/>
    <x v="0"/>
    <s v="Noida"/>
    <x v="3"/>
    <s v="P704"/>
    <s v="Multivitamin Gummies"/>
    <x v="0"/>
    <n v="2"/>
    <n v="699"/>
    <n v="0.4"/>
    <n v="1398"/>
    <n v="559.20000000000005"/>
    <n v="838.8"/>
    <n v="238"/>
    <n v="476"/>
    <n v="60"/>
    <n v="302.79999999999995"/>
    <n v="0.36099189318073432"/>
    <x v="1"/>
    <d v="2024-11-20T00:00:00"/>
    <n v="3"/>
    <x v="0"/>
    <n v="5"/>
    <n v="0"/>
  </r>
  <r>
    <s v="ORD-101808"/>
    <x v="318"/>
    <x v="0"/>
    <d v="2024-11-01T00:00:00"/>
    <n v="11"/>
    <s v="CUST-01178"/>
    <x v="1"/>
    <x v="22"/>
    <s v="AS"/>
    <x v="2"/>
    <s v="Guwahati"/>
    <x v="4"/>
    <s v="P602"/>
    <s v="Fast Charger 33W"/>
    <x v="2"/>
    <n v="4"/>
    <n v="899"/>
    <n v="0.35"/>
    <n v="3596"/>
    <n v="1258.5999999999999"/>
    <n v="2337.4"/>
    <n v="494"/>
    <n v="1976"/>
    <n v="60"/>
    <n v="301.40000000000009"/>
    <n v="0.12894669290664845"/>
    <x v="0"/>
    <d v="2024-11-25T00:00:00"/>
    <n v="8"/>
    <x v="2"/>
    <n v="3"/>
    <n v="0"/>
  </r>
  <r>
    <s v="ORD-101809"/>
    <x v="318"/>
    <x v="0"/>
    <d v="2024-11-01T00:00:00"/>
    <n v="11"/>
    <s v="CUST-02060"/>
    <x v="1"/>
    <x v="10"/>
    <s v="CG"/>
    <x v="2"/>
    <s v="Raipur"/>
    <x v="3"/>
    <s v="P704"/>
    <s v="Multivitamin Gummies"/>
    <x v="0"/>
    <n v="1"/>
    <n v="699"/>
    <n v="0.25"/>
    <n v="699"/>
    <n v="174.75"/>
    <n v="524.25"/>
    <n v="238"/>
    <n v="238"/>
    <n v="120"/>
    <n v="166.25"/>
    <n v="0.31711969480209823"/>
    <x v="0"/>
    <d v="2024-11-23T00:00:00"/>
    <n v="6"/>
    <x v="2"/>
    <m/>
    <n v="1"/>
  </r>
  <r>
    <s v="ORD-101810"/>
    <x v="318"/>
    <x v="0"/>
    <d v="2024-11-01T00:00:00"/>
    <n v="11"/>
    <s v="CUST-00819"/>
    <x v="1"/>
    <x v="18"/>
    <s v="WB"/>
    <x v="2"/>
    <s v="Kolkata"/>
    <x v="4"/>
    <s v="P301"/>
    <s v="Cotton Oversized T-Shirt"/>
    <x v="1"/>
    <n v="2"/>
    <n v="799"/>
    <n v="0.25"/>
    <n v="1598"/>
    <n v="399.5"/>
    <n v="1198.5"/>
    <n v="320"/>
    <n v="640"/>
    <n v="60"/>
    <n v="498.5"/>
    <n v="0.41593658740091782"/>
    <x v="4"/>
    <d v="2024-11-21T00:00:00"/>
    <n v="4"/>
    <x v="0"/>
    <m/>
    <n v="0"/>
  </r>
  <r>
    <s v="ORD-101811"/>
    <x v="318"/>
    <x v="0"/>
    <d v="2024-11-01T00:00:00"/>
    <n v="11"/>
    <s v="CUST-01632"/>
    <x v="0"/>
    <x v="21"/>
    <s v="TG"/>
    <x v="3"/>
    <s v="Hyderabad"/>
    <x v="0"/>
    <s v="P701"/>
    <s v="Ashwagandha Capsules"/>
    <x v="0"/>
    <n v="2"/>
    <n v="499"/>
    <n v="0.15"/>
    <n v="998"/>
    <n v="149.69999999999999"/>
    <n v="848.3"/>
    <n v="150"/>
    <n v="300"/>
    <n v="60"/>
    <n v="488.29999999999995"/>
    <n v="0.57562183189909233"/>
    <x v="0"/>
    <d v="2024-11-20T00:00:00"/>
    <n v="3"/>
    <x v="0"/>
    <m/>
    <n v="0"/>
  </r>
  <r>
    <s v="ORD-101812"/>
    <x v="318"/>
    <x v="0"/>
    <d v="2024-11-01T00:00:00"/>
    <n v="11"/>
    <s v="CUST-01039"/>
    <x v="0"/>
    <x v="3"/>
    <s v="OD"/>
    <x v="2"/>
    <s v="Bhubaneswar"/>
    <x v="0"/>
    <s v="P203"/>
    <s v="Keratin Hair Mask"/>
    <x v="6"/>
    <n v="1"/>
    <n v="549"/>
    <n v="0.4"/>
    <n v="549"/>
    <n v="219.60000000000002"/>
    <n v="329.4"/>
    <n v="170"/>
    <n v="170"/>
    <n v="60"/>
    <n v="99.399999999999977"/>
    <n v="0.30176077717061317"/>
    <x v="0"/>
    <d v="2024-11-22T00:00:00"/>
    <n v="5"/>
    <x v="2"/>
    <n v="4"/>
    <n v="0"/>
  </r>
  <r>
    <s v="ORD-101813"/>
    <x v="318"/>
    <x v="0"/>
    <d v="2024-11-01T00:00:00"/>
    <n v="11"/>
    <s v="CUST-00552"/>
    <x v="0"/>
    <x v="11"/>
    <s v="KA"/>
    <x v="3"/>
    <s v="Mysuru"/>
    <x v="1"/>
    <s v="P305"/>
    <s v="Printed Saree"/>
    <x v="1"/>
    <n v="1"/>
    <n v="1999"/>
    <n v="0.25"/>
    <n v="1999"/>
    <n v="499.75"/>
    <n v="1499.25"/>
    <n v="880"/>
    <n v="880"/>
    <n v="60"/>
    <n v="559.25"/>
    <n v="0.37301984325496079"/>
    <x v="0"/>
    <d v="2024-11-18T00:00:00"/>
    <n v="1"/>
    <x v="1"/>
    <n v="5"/>
    <n v="0"/>
  </r>
  <r>
    <s v="ORD-101814"/>
    <x v="318"/>
    <x v="0"/>
    <d v="2024-11-01T00:00:00"/>
    <n v="11"/>
    <s v="CUST-01346"/>
    <x v="0"/>
    <x v="11"/>
    <s v="KA"/>
    <x v="3"/>
    <s v="Mysuru"/>
    <x v="3"/>
    <s v="P103"/>
    <s v="Niacinamide Toner"/>
    <x v="3"/>
    <n v="2"/>
    <n v="399"/>
    <n v="0.35"/>
    <n v="798"/>
    <n v="279.29999999999995"/>
    <n v="518.70000000000005"/>
    <n v="112"/>
    <n v="224"/>
    <n v="60"/>
    <n v="234.70000000000005"/>
    <n v="0.45247734721418936"/>
    <x v="2"/>
    <d v="2024-11-20T00:00:00"/>
    <n v="3"/>
    <x v="0"/>
    <n v="5"/>
    <n v="0"/>
  </r>
  <r>
    <s v="ORD-101815"/>
    <x v="318"/>
    <x v="0"/>
    <d v="2024-11-01T00:00:00"/>
    <n v="11"/>
    <s v="CUST-00829"/>
    <x v="0"/>
    <x v="14"/>
    <s v="KL"/>
    <x v="3"/>
    <s v="Thiruvananthapuram"/>
    <x v="2"/>
    <s v="P501"/>
    <s v="Copper Water Bottle"/>
    <x v="4"/>
    <n v="2"/>
    <n v="899"/>
    <n v="0.3"/>
    <n v="1798"/>
    <n v="539.4"/>
    <n v="1258.5999999999999"/>
    <n v="378"/>
    <n v="756"/>
    <n v="60"/>
    <n v="442.59999999999991"/>
    <n v="0.35166057524233268"/>
    <x v="3"/>
    <d v="2024-11-20T00:00:00"/>
    <n v="3"/>
    <x v="0"/>
    <n v="3"/>
    <n v="0"/>
  </r>
  <r>
    <s v="ORD-101816"/>
    <x v="318"/>
    <x v="0"/>
    <d v="2024-11-01T00:00:00"/>
    <n v="11"/>
    <s v="CUST-00915"/>
    <x v="0"/>
    <x v="17"/>
    <s v="TN"/>
    <x v="3"/>
    <s v="Coimbatore"/>
    <x v="1"/>
    <s v="P302"/>
    <s v="Linen Kurta"/>
    <x v="1"/>
    <n v="2"/>
    <n v="1499"/>
    <n v="0.55000000000000004"/>
    <n v="2998"/>
    <n v="1648.9"/>
    <n v="1349.1"/>
    <n v="630"/>
    <n v="1260"/>
    <n v="120"/>
    <n v="-30.900000000000091"/>
    <n v="-2.2904158327774142E-2"/>
    <x v="1"/>
    <d v="2024-11-19T00:00:00"/>
    <n v="2"/>
    <x v="1"/>
    <n v="4"/>
    <n v="1"/>
  </r>
  <r>
    <s v="ORD-101817"/>
    <x v="319"/>
    <x v="0"/>
    <d v="2024-11-01T00:00:00"/>
    <n v="11"/>
    <s v="CUST-00618"/>
    <x v="1"/>
    <x v="12"/>
    <s v="BR"/>
    <x v="2"/>
    <s v="Patna"/>
    <x v="1"/>
    <s v="P303"/>
    <s v="Joggers"/>
    <x v="1"/>
    <n v="1"/>
    <n v="1199"/>
    <n v="0.35"/>
    <n v="1199"/>
    <n v="419.65"/>
    <n v="779.35"/>
    <n v="492"/>
    <n v="492"/>
    <n v="60"/>
    <n v="227.35000000000002"/>
    <n v="0.29171745685507156"/>
    <x v="4"/>
    <d v="2024-11-23T00:00:00"/>
    <n v="5"/>
    <x v="2"/>
    <n v="4"/>
    <n v="0"/>
  </r>
  <r>
    <s v="ORD-101818"/>
    <x v="319"/>
    <x v="0"/>
    <d v="2024-11-01T00:00:00"/>
    <n v="11"/>
    <s v="CUST-01062"/>
    <x v="1"/>
    <x v="13"/>
    <s v="MP"/>
    <x v="1"/>
    <s v="Indore"/>
    <x v="0"/>
    <s v="P203"/>
    <s v="Keratin Hair Mask"/>
    <x v="6"/>
    <n v="1"/>
    <n v="549"/>
    <n v="0.25"/>
    <n v="549"/>
    <n v="137.25"/>
    <n v="411.75"/>
    <n v="170"/>
    <n v="170"/>
    <n v="60"/>
    <n v="181.75"/>
    <n v="0.44140862173649059"/>
    <x v="1"/>
    <d v="2024-11-25T00:00:00"/>
    <n v="7"/>
    <x v="2"/>
    <n v="3"/>
    <n v="0"/>
  </r>
  <r>
    <s v="ORD-101819"/>
    <x v="319"/>
    <x v="0"/>
    <d v="2024-11-01T00:00:00"/>
    <n v="11"/>
    <s v="CUST-00297"/>
    <x v="1"/>
    <x v="2"/>
    <s v="MH"/>
    <x v="1"/>
    <s v="Mumbai"/>
    <x v="0"/>
    <s v="P501"/>
    <s v="Copper Water Bottle"/>
    <x v="4"/>
    <n v="1"/>
    <n v="899"/>
    <n v="0.35"/>
    <n v="899"/>
    <n v="314.64999999999998"/>
    <n v="584.35"/>
    <n v="378"/>
    <n v="378"/>
    <n v="60"/>
    <n v="146.35000000000002"/>
    <n v="0.25044921707880552"/>
    <x v="0"/>
    <d v="2024-11-20T00:00:00"/>
    <n v="2"/>
    <x v="1"/>
    <n v="4"/>
    <n v="0"/>
  </r>
  <r>
    <s v="ORD-101820"/>
    <x v="320"/>
    <x v="0"/>
    <d v="2024-11-01T00:00:00"/>
    <n v="11"/>
    <s v="CUST-00233"/>
    <x v="1"/>
    <x v="18"/>
    <s v="WB"/>
    <x v="2"/>
    <s v="Kolkata"/>
    <x v="4"/>
    <s v="P201"/>
    <s v="Onion Hair Oil"/>
    <x v="6"/>
    <n v="2"/>
    <n v="349"/>
    <n v="0.5"/>
    <n v="698"/>
    <n v="349"/>
    <n v="349"/>
    <n v="105"/>
    <n v="210"/>
    <n v="60"/>
    <n v="79"/>
    <n v="0.22636103151862463"/>
    <x v="0"/>
    <d v="2024-11-24T00:00:00"/>
    <n v="5"/>
    <x v="2"/>
    <n v="4"/>
    <n v="0"/>
  </r>
  <r>
    <s v="ORD-101821"/>
    <x v="320"/>
    <x v="0"/>
    <d v="2024-11-01T00:00:00"/>
    <n v="11"/>
    <s v="CUST-00475"/>
    <x v="0"/>
    <x v="18"/>
    <s v="WB"/>
    <x v="2"/>
    <s v="Kolkata"/>
    <x v="0"/>
    <s v="P301"/>
    <s v="Cotton Oversized T-Shirt"/>
    <x v="1"/>
    <n v="1"/>
    <n v="799"/>
    <n v="0.15"/>
    <n v="799"/>
    <n v="119.85"/>
    <n v="679.15"/>
    <n v="320"/>
    <n v="320"/>
    <n v="60"/>
    <n v="299.14999999999998"/>
    <n v="0.44047706692188765"/>
    <x v="2"/>
    <d v="2024-11-23T00:00:00"/>
    <n v="4"/>
    <x v="0"/>
    <n v="3"/>
    <n v="0"/>
  </r>
  <r>
    <s v="ORD-101822"/>
    <x v="320"/>
    <x v="0"/>
    <d v="2024-11-01T00:00:00"/>
    <n v="11"/>
    <s v="CUST-00110"/>
    <x v="1"/>
    <x v="17"/>
    <s v="TN"/>
    <x v="3"/>
    <s v="Chennai"/>
    <x v="4"/>
    <s v="P604"/>
    <s v="Power Bank 20000mAh"/>
    <x v="2"/>
    <n v="4"/>
    <n v="1799"/>
    <n v="0.45"/>
    <n v="7196"/>
    <n v="3238.2000000000003"/>
    <n v="3957.7999999999997"/>
    <n v="1079"/>
    <n v="4316"/>
    <n v="60"/>
    <n v="-418.20000000000027"/>
    <n v="-0.10566476325231197"/>
    <x v="3"/>
    <d v="2024-11-24T00:00:00"/>
    <n v="5"/>
    <x v="2"/>
    <n v="3"/>
    <n v="0"/>
  </r>
  <r>
    <s v="ORD-101823"/>
    <x v="320"/>
    <x v="0"/>
    <d v="2024-11-01T00:00:00"/>
    <n v="11"/>
    <s v="CUST-01161"/>
    <x v="1"/>
    <x v="17"/>
    <s v="TN"/>
    <x v="3"/>
    <s v="Chennai"/>
    <x v="0"/>
    <s v="P703"/>
    <s v="Green Tea (100 bags)"/>
    <x v="0"/>
    <n v="1"/>
    <n v="399"/>
    <n v="0.5"/>
    <n v="399"/>
    <n v="199.5"/>
    <n v="199.5"/>
    <n v="128"/>
    <n v="128"/>
    <n v="60"/>
    <n v="11.5"/>
    <n v="5.764411027568922E-2"/>
    <x v="4"/>
    <d v="2024-11-22T00:00:00"/>
    <n v="3"/>
    <x v="0"/>
    <n v="4"/>
    <n v="0"/>
  </r>
  <r>
    <s v="ORD-101824"/>
    <x v="321"/>
    <x v="0"/>
    <d v="2024-11-01T00:00:00"/>
    <n v="11"/>
    <s v="CUST-00851"/>
    <x v="1"/>
    <x v="13"/>
    <s v="MP"/>
    <x v="1"/>
    <s v="Bhopal"/>
    <x v="1"/>
    <s v="P302"/>
    <s v="Linen Kurta"/>
    <x v="1"/>
    <n v="1"/>
    <n v="1499"/>
    <n v="0.35"/>
    <n v="1499"/>
    <n v="524.65"/>
    <n v="974.35"/>
    <n v="630"/>
    <n v="630"/>
    <n v="60"/>
    <n v="284.35000000000002"/>
    <n v="0.29183558269615645"/>
    <x v="3"/>
    <d v="2024-11-24T00:00:00"/>
    <n v="4"/>
    <x v="0"/>
    <m/>
    <n v="0"/>
  </r>
  <r>
    <s v="ORD-101825"/>
    <x v="321"/>
    <x v="0"/>
    <d v="2024-11-01T00:00:00"/>
    <n v="11"/>
    <s v="CUST-01055"/>
    <x v="0"/>
    <x v="2"/>
    <s v="MH"/>
    <x v="1"/>
    <s v="Nagpur"/>
    <x v="0"/>
    <s v="P503"/>
    <s v="Scented Candle Set"/>
    <x v="4"/>
    <n v="1"/>
    <n v="699"/>
    <n v="0.35"/>
    <n v="699"/>
    <n v="244.64999999999998"/>
    <n v="454.35"/>
    <n v="245"/>
    <n v="245"/>
    <n v="60"/>
    <n v="149.35000000000002"/>
    <n v="0.32871134587872791"/>
    <x v="1"/>
    <d v="2024-11-21T00:00:00"/>
    <n v="1"/>
    <x v="1"/>
    <n v="5"/>
    <n v="0"/>
  </r>
  <r>
    <s v="ORD-101826"/>
    <x v="321"/>
    <x v="0"/>
    <d v="2024-11-01T00:00:00"/>
    <n v="11"/>
    <s v="CUST-02190"/>
    <x v="0"/>
    <x v="20"/>
    <s v="GA"/>
    <x v="1"/>
    <s v="Panaji"/>
    <x v="0"/>
    <s v="P702"/>
    <s v="Whey Protein 1kg"/>
    <x v="0"/>
    <n v="2"/>
    <n v="2299"/>
    <n v="0.45"/>
    <n v="4598"/>
    <n v="2069.1"/>
    <n v="2528.9"/>
    <n v="1333"/>
    <n v="2666"/>
    <n v="60"/>
    <n v="-197.09999999999991"/>
    <n v="-7.7939024872474158E-2"/>
    <x v="2"/>
    <d v="2024-11-27T00:00:00"/>
    <n v="7"/>
    <x v="2"/>
    <m/>
    <n v="0"/>
  </r>
  <r>
    <s v="ORD-101827"/>
    <x v="322"/>
    <x v="0"/>
    <d v="2024-11-01T00:00:00"/>
    <n v="11"/>
    <s v="CUST-01089"/>
    <x v="1"/>
    <x v="15"/>
    <s v="HR"/>
    <x v="0"/>
    <s v="Gurugram"/>
    <x v="4"/>
    <s v="P603"/>
    <s v="Smartwatch Strap"/>
    <x v="2"/>
    <n v="1"/>
    <n v="499"/>
    <n v="0.15"/>
    <n v="499"/>
    <n v="74.849999999999994"/>
    <n v="424.15"/>
    <n v="200"/>
    <n v="200"/>
    <n v="60"/>
    <n v="164.14999999999998"/>
    <n v="0.38700931274313327"/>
    <x v="0"/>
    <d v="2024-11-25T00:00:00"/>
    <n v="4"/>
    <x v="0"/>
    <m/>
    <n v="0"/>
  </r>
  <r>
    <s v="ORD-101828"/>
    <x v="322"/>
    <x v="0"/>
    <d v="2024-11-01T00:00:00"/>
    <n v="11"/>
    <s v="CUST-00472"/>
    <x v="1"/>
    <x v="6"/>
    <s v="DL"/>
    <x v="0"/>
    <s v="New Delhi"/>
    <x v="1"/>
    <s v="P302"/>
    <s v="Linen Kurta"/>
    <x v="1"/>
    <n v="1"/>
    <n v="1499"/>
    <n v="0.45"/>
    <n v="1499"/>
    <n v="674.55000000000007"/>
    <n v="824.44999999999993"/>
    <n v="630"/>
    <n v="630"/>
    <n v="60"/>
    <n v="134.44999999999993"/>
    <n v="0.16307841591363934"/>
    <x v="0"/>
    <d v="2024-11-23T00:00:00"/>
    <n v="2"/>
    <x v="1"/>
    <n v="5"/>
    <n v="0"/>
  </r>
  <r>
    <s v="ORD-101829"/>
    <x v="322"/>
    <x v="0"/>
    <d v="2024-11-01T00:00:00"/>
    <n v="11"/>
    <s v="CUST-01771"/>
    <x v="0"/>
    <x v="13"/>
    <s v="MP"/>
    <x v="1"/>
    <s v="Indore"/>
    <x v="1"/>
    <s v="P401"/>
    <s v="Running Shoes"/>
    <x v="5"/>
    <n v="1"/>
    <n v="2999"/>
    <n v="0.25"/>
    <n v="2999"/>
    <n v="749.75"/>
    <n v="2249.25"/>
    <n v="1440"/>
    <n v="1440"/>
    <n v="60"/>
    <n v="749.25"/>
    <n v="0.33311103701233746"/>
    <x v="0"/>
    <d v="2024-11-26T00:00:00"/>
    <n v="5"/>
    <x v="2"/>
    <n v="3"/>
    <n v="0"/>
  </r>
  <r>
    <s v="ORD-101830"/>
    <x v="322"/>
    <x v="0"/>
    <d v="2024-11-01T00:00:00"/>
    <n v="11"/>
    <s v="CUST-01025"/>
    <x v="0"/>
    <x v="14"/>
    <s v="KL"/>
    <x v="3"/>
    <s v="Kochi"/>
    <x v="4"/>
    <s v="P604"/>
    <s v="Power Bank 20000mAh"/>
    <x v="2"/>
    <n v="2"/>
    <n v="1799"/>
    <n v="0.5"/>
    <n v="3598"/>
    <n v="1799"/>
    <n v="1799"/>
    <n v="1079"/>
    <n v="2158"/>
    <n v="60"/>
    <n v="-419"/>
    <n v="-0.23290717065036132"/>
    <x v="0"/>
    <d v="2024-11-25T00:00:00"/>
    <n v="4"/>
    <x v="0"/>
    <n v="3"/>
    <n v="0"/>
  </r>
  <r>
    <s v="ORD-101831"/>
    <x v="323"/>
    <x v="0"/>
    <d v="2024-11-01T00:00:00"/>
    <n v="11"/>
    <s v="CUST-00699"/>
    <x v="1"/>
    <x v="13"/>
    <s v="MP"/>
    <x v="1"/>
    <s v="Indore"/>
    <x v="4"/>
    <s v="P202"/>
    <s v="Argan Shampoo"/>
    <x v="6"/>
    <n v="1"/>
    <n v="449"/>
    <n v="0.25"/>
    <n v="449"/>
    <n v="112.25"/>
    <n v="336.75"/>
    <n v="148"/>
    <n v="148"/>
    <n v="120"/>
    <n v="68.75"/>
    <n v="0.20415738678544915"/>
    <x v="0"/>
    <d v="2024-11-25T00:00:00"/>
    <n v="3"/>
    <x v="0"/>
    <n v="4"/>
    <n v="1"/>
  </r>
  <r>
    <s v="ORD-101832"/>
    <x v="323"/>
    <x v="0"/>
    <d v="2024-11-01T00:00:00"/>
    <n v="11"/>
    <s v="CUST-02494"/>
    <x v="0"/>
    <x v="11"/>
    <s v="KA"/>
    <x v="3"/>
    <s v="Mysuru"/>
    <x v="0"/>
    <s v="P301"/>
    <s v="Cotton Oversized T-Shirt"/>
    <x v="1"/>
    <n v="1"/>
    <n v="799"/>
    <n v="0.25"/>
    <n v="799"/>
    <n v="199.75"/>
    <n v="599.25"/>
    <n v="320"/>
    <n v="320"/>
    <n v="120"/>
    <n v="159.25"/>
    <n v="0.26574885273258242"/>
    <x v="0"/>
    <d v="2024-11-25T00:00:00"/>
    <n v="3"/>
    <x v="0"/>
    <n v="3"/>
    <n v="1"/>
  </r>
  <r>
    <s v="ORD-101833"/>
    <x v="323"/>
    <x v="0"/>
    <d v="2024-11-01T00:00:00"/>
    <n v="11"/>
    <s v="CUST-00717"/>
    <x v="1"/>
    <x v="11"/>
    <s v="KA"/>
    <x v="3"/>
    <s v="Mysuru"/>
    <x v="3"/>
    <s v="P201"/>
    <s v="Onion Hair Oil"/>
    <x v="6"/>
    <n v="1"/>
    <n v="349"/>
    <n v="0.3"/>
    <n v="349"/>
    <n v="104.7"/>
    <n v="244.3"/>
    <n v="105"/>
    <n v="105"/>
    <n v="60"/>
    <n v="79.300000000000011"/>
    <n v="0.32460090053213264"/>
    <x v="0"/>
    <d v="2024-11-25T00:00:00"/>
    <n v="3"/>
    <x v="0"/>
    <n v="4"/>
    <n v="0"/>
  </r>
  <r>
    <s v="ORD-101834"/>
    <x v="323"/>
    <x v="0"/>
    <d v="2024-11-01T00:00:00"/>
    <n v="11"/>
    <s v="CUST-00319"/>
    <x v="0"/>
    <x v="11"/>
    <s v="KA"/>
    <x v="3"/>
    <s v="Bengaluru"/>
    <x v="0"/>
    <s v="P504"/>
    <s v="Cotton Bedsheet"/>
    <x v="4"/>
    <n v="2"/>
    <n v="1299"/>
    <n v="0.1"/>
    <n v="2598"/>
    <n v="259.8"/>
    <n v="2338.1999999999998"/>
    <n v="585"/>
    <n v="1170"/>
    <n v="60"/>
    <n v="1108.1999999999998"/>
    <n v="0.47395432383885033"/>
    <x v="0"/>
    <d v="2024-11-25T00:00:00"/>
    <n v="3"/>
    <x v="0"/>
    <m/>
    <n v="0"/>
  </r>
  <r>
    <s v="ORD-101835"/>
    <x v="323"/>
    <x v="0"/>
    <d v="2024-11-01T00:00:00"/>
    <n v="11"/>
    <s v="CUST-00540"/>
    <x v="0"/>
    <x v="8"/>
    <s v="AP"/>
    <x v="3"/>
    <s v="Visakhapatnam"/>
    <x v="3"/>
    <s v="P105"/>
    <s v="Retinol Night Cream"/>
    <x v="3"/>
    <n v="2"/>
    <n v="799"/>
    <n v="0.3"/>
    <n v="1598"/>
    <n v="479.4"/>
    <n v="1118.5999999999999"/>
    <n v="216"/>
    <n v="432"/>
    <n v="60"/>
    <n v="626.59999999999991"/>
    <n v="0.56016449132844626"/>
    <x v="3"/>
    <d v="2024-11-27T00:00:00"/>
    <n v="5"/>
    <x v="2"/>
    <n v="4"/>
    <n v="0"/>
  </r>
  <r>
    <s v="ORD-101836"/>
    <x v="323"/>
    <x v="0"/>
    <d v="2024-11-01T00:00:00"/>
    <n v="11"/>
    <s v="CUST-00863"/>
    <x v="0"/>
    <x v="17"/>
    <s v="TN"/>
    <x v="3"/>
    <s v="Chennai"/>
    <x v="2"/>
    <s v="P105"/>
    <s v="Retinol Night Cream"/>
    <x v="3"/>
    <n v="1"/>
    <n v="799"/>
    <n v="0.1"/>
    <n v="799"/>
    <n v="79.900000000000006"/>
    <n v="719.1"/>
    <n v="216"/>
    <n v="216"/>
    <n v="60"/>
    <n v="443.1"/>
    <n v="0.61618690029203171"/>
    <x v="3"/>
    <d v="2024-11-27T00:00:00"/>
    <n v="5"/>
    <x v="2"/>
    <n v="4"/>
    <n v="0"/>
  </r>
  <r>
    <s v="ORD-101837"/>
    <x v="324"/>
    <x v="0"/>
    <d v="2024-11-01T00:00:00"/>
    <n v="11"/>
    <s v="CUST-03141"/>
    <x v="0"/>
    <x v="0"/>
    <s v="RJ"/>
    <x v="0"/>
    <s v="Jaipur"/>
    <x v="4"/>
    <s v="P602"/>
    <s v="Fast Charger 33W"/>
    <x v="2"/>
    <n v="1"/>
    <n v="899"/>
    <n v="0.2"/>
    <n v="899"/>
    <n v="179.8"/>
    <n v="719.2"/>
    <n v="494"/>
    <n v="494"/>
    <n v="60"/>
    <n v="165.20000000000005"/>
    <n v="0.22969966629588437"/>
    <x v="0"/>
    <d v="2024-11-25T00:00:00"/>
    <n v="2"/>
    <x v="1"/>
    <n v="4"/>
    <n v="0"/>
  </r>
  <r>
    <s v="ORD-101838"/>
    <x v="324"/>
    <x v="0"/>
    <d v="2024-11-01T00:00:00"/>
    <n v="11"/>
    <s v="CUST-01106"/>
    <x v="1"/>
    <x v="6"/>
    <s v="DL"/>
    <x v="0"/>
    <s v="New Delhi"/>
    <x v="1"/>
    <s v="P401"/>
    <s v="Running Shoes"/>
    <x v="5"/>
    <n v="1"/>
    <n v="2999"/>
    <n v="0.4"/>
    <n v="2999"/>
    <n v="1199.6000000000001"/>
    <n v="1799.3999999999999"/>
    <n v="1440"/>
    <n v="1440"/>
    <n v="60"/>
    <n v="299.39999999999986"/>
    <n v="0.16638879626542175"/>
    <x v="0"/>
    <d v="2024-11-26T00:00:00"/>
    <n v="3"/>
    <x v="0"/>
    <n v="3"/>
    <n v="0"/>
  </r>
  <r>
    <s v="ORD-101839"/>
    <x v="324"/>
    <x v="0"/>
    <d v="2024-11-01T00:00:00"/>
    <n v="11"/>
    <s v="CUST-00646"/>
    <x v="0"/>
    <x v="6"/>
    <s v="DL"/>
    <x v="0"/>
    <s v="New Delhi"/>
    <x v="0"/>
    <s v="P203"/>
    <s v="Keratin Hair Mask"/>
    <x v="6"/>
    <n v="2"/>
    <n v="549"/>
    <n v="0.3"/>
    <n v="1098"/>
    <n v="329.4"/>
    <n v="768.6"/>
    <n v="170"/>
    <n v="340"/>
    <n v="120"/>
    <n v="308.60000000000002"/>
    <n v="0.40150923757481138"/>
    <x v="3"/>
    <d v="2024-11-26T00:00:00"/>
    <n v="3"/>
    <x v="0"/>
    <n v="4"/>
    <n v="1"/>
  </r>
  <r>
    <s v="ORD-101840"/>
    <x v="324"/>
    <x v="0"/>
    <d v="2024-11-01T00:00:00"/>
    <n v="11"/>
    <s v="CUST-01260"/>
    <x v="0"/>
    <x v="6"/>
    <s v="DL"/>
    <x v="0"/>
    <s v="New Delhi"/>
    <x v="1"/>
    <s v="P302"/>
    <s v="Linen Kurta"/>
    <x v="1"/>
    <n v="2"/>
    <n v="1499"/>
    <n v="0.6"/>
    <n v="2998"/>
    <n v="1798.8"/>
    <n v="1199.2"/>
    <n v="630"/>
    <n v="1260"/>
    <n v="60"/>
    <n v="-120.79999999999995"/>
    <n v="-0.10073382254836553"/>
    <x v="3"/>
    <d v="2024-11-27T00:00:00"/>
    <n v="4"/>
    <x v="0"/>
    <n v="3"/>
    <n v="0"/>
  </r>
  <r>
    <s v="ORD-101841"/>
    <x v="324"/>
    <x v="0"/>
    <d v="2024-11-01T00:00:00"/>
    <n v="11"/>
    <s v="CUST-01072"/>
    <x v="0"/>
    <x v="12"/>
    <s v="BR"/>
    <x v="2"/>
    <s v="Patna"/>
    <x v="0"/>
    <s v="P604"/>
    <s v="Power Bank 20000mAh"/>
    <x v="2"/>
    <n v="1"/>
    <n v="1799"/>
    <n v="0.5"/>
    <n v="1799"/>
    <n v="899.5"/>
    <n v="899.5"/>
    <n v="1079"/>
    <n v="1079"/>
    <n v="60"/>
    <n v="-239.5"/>
    <n v="-0.26625903279599777"/>
    <x v="4"/>
    <d v="2024-11-30T00:00:00"/>
    <n v="7"/>
    <x v="2"/>
    <n v="3"/>
    <n v="0"/>
  </r>
  <r>
    <s v="ORD-101842"/>
    <x v="324"/>
    <x v="0"/>
    <d v="2024-11-01T00:00:00"/>
    <n v="11"/>
    <s v="CUST-00478"/>
    <x v="1"/>
    <x v="18"/>
    <s v="WB"/>
    <x v="2"/>
    <s v="Kolkata"/>
    <x v="0"/>
    <s v="P202"/>
    <s v="Argan Shampoo"/>
    <x v="6"/>
    <n v="3"/>
    <n v="449"/>
    <n v="0.15"/>
    <n v="1347"/>
    <n v="202.04999999999998"/>
    <n v="1144.95"/>
    <n v="148"/>
    <n v="444"/>
    <n v="60"/>
    <n v="640.95000000000005"/>
    <n v="0.55980610507009043"/>
    <x v="4"/>
    <d v="2024-11-28T00:00:00"/>
    <n v="5"/>
    <x v="2"/>
    <n v="4"/>
    <n v="0"/>
  </r>
  <r>
    <s v="ORD-101843"/>
    <x v="324"/>
    <x v="0"/>
    <d v="2024-11-01T00:00:00"/>
    <n v="11"/>
    <s v="CUST-02944"/>
    <x v="1"/>
    <x v="11"/>
    <s v="KA"/>
    <x v="3"/>
    <s v="Mysuru"/>
    <x v="4"/>
    <s v="P603"/>
    <s v="Smartwatch Strap"/>
    <x v="2"/>
    <n v="2"/>
    <n v="499"/>
    <n v="0.35"/>
    <n v="998"/>
    <n v="349.29999999999995"/>
    <n v="648.70000000000005"/>
    <n v="200"/>
    <n v="400"/>
    <n v="120"/>
    <n v="128.70000000000005"/>
    <n v="0.19839679358717441"/>
    <x v="3"/>
    <d v="2024-11-24T00:00:00"/>
    <n v="1"/>
    <x v="1"/>
    <m/>
    <n v="1"/>
  </r>
  <r>
    <s v="ORD-101844"/>
    <x v="325"/>
    <x v="0"/>
    <d v="2024-11-01T00:00:00"/>
    <n v="11"/>
    <s v="CUST-00538"/>
    <x v="0"/>
    <x v="6"/>
    <s v="DL"/>
    <x v="0"/>
    <s v="New Delhi"/>
    <x v="2"/>
    <s v="P204"/>
    <s v="Anti-Dandruff Conditioner"/>
    <x v="6"/>
    <n v="2"/>
    <n v="399"/>
    <n v="0.35"/>
    <n v="798"/>
    <n v="279.29999999999995"/>
    <n v="518.70000000000005"/>
    <n v="136"/>
    <n v="272"/>
    <n v="60"/>
    <n v="186.70000000000005"/>
    <n v="0.35993830730672843"/>
    <x v="0"/>
    <d v="2024-11-27T00:00:00"/>
    <n v="3"/>
    <x v="0"/>
    <n v="4"/>
    <n v="0"/>
  </r>
  <r>
    <s v="ORD-101845"/>
    <x v="325"/>
    <x v="0"/>
    <d v="2024-11-01T00:00:00"/>
    <n v="11"/>
    <s v="CUST-00876"/>
    <x v="1"/>
    <x v="6"/>
    <s v="DL"/>
    <x v="0"/>
    <s v="New Delhi"/>
    <x v="2"/>
    <s v="P503"/>
    <s v="Scented Candle Set"/>
    <x v="4"/>
    <n v="1"/>
    <n v="699"/>
    <n v="0.3"/>
    <n v="699"/>
    <n v="209.7"/>
    <n v="489.3"/>
    <n v="245"/>
    <n v="245"/>
    <n v="60"/>
    <n v="184.3"/>
    <n v="0.37666053545881872"/>
    <x v="1"/>
    <d v="2024-11-28T00:00:00"/>
    <n v="4"/>
    <x v="0"/>
    <n v="3"/>
    <n v="0"/>
  </r>
  <r>
    <s v="ORD-101846"/>
    <x v="325"/>
    <x v="0"/>
    <d v="2024-11-01T00:00:00"/>
    <n v="11"/>
    <s v="CUST-00980"/>
    <x v="0"/>
    <x v="1"/>
    <s v="GJ"/>
    <x v="1"/>
    <s v="Ahmedabad"/>
    <x v="1"/>
    <s v="P301"/>
    <s v="Cotton Oversized T-Shirt"/>
    <x v="1"/>
    <n v="1"/>
    <n v="799"/>
    <n v="0.15"/>
    <n v="799"/>
    <n v="119.85"/>
    <n v="679.15"/>
    <n v="320"/>
    <n v="320"/>
    <n v="120"/>
    <n v="239.14999999999998"/>
    <n v="0.35213134064639623"/>
    <x v="3"/>
    <d v="2024-11-28T00:00:00"/>
    <n v="4"/>
    <x v="0"/>
    <n v="4"/>
    <n v="1"/>
  </r>
  <r>
    <s v="ORD-101847"/>
    <x v="325"/>
    <x v="0"/>
    <d v="2024-11-01T00:00:00"/>
    <n v="11"/>
    <s v="CUST-01939"/>
    <x v="0"/>
    <x v="13"/>
    <s v="MP"/>
    <x v="1"/>
    <s v="Indore"/>
    <x v="4"/>
    <s v="P303"/>
    <s v="Joggers"/>
    <x v="1"/>
    <n v="1"/>
    <n v="1199"/>
    <n v="0.1"/>
    <n v="1199"/>
    <n v="119.9"/>
    <n v="1079.0999999999999"/>
    <n v="492"/>
    <n v="492"/>
    <n v="60"/>
    <n v="527.09999999999991"/>
    <n v="0.48846260772866273"/>
    <x v="4"/>
    <d v="2024-11-28T00:00:00"/>
    <n v="4"/>
    <x v="0"/>
    <m/>
    <n v="0"/>
  </r>
  <r>
    <s v="ORD-101848"/>
    <x v="325"/>
    <x v="0"/>
    <d v="2024-11-01T00:00:00"/>
    <n v="11"/>
    <s v="CUST-00936"/>
    <x v="1"/>
    <x v="2"/>
    <s v="MH"/>
    <x v="1"/>
    <s v="Pune"/>
    <x v="4"/>
    <s v="P404"/>
    <s v="Flip Flops"/>
    <x v="5"/>
    <n v="1"/>
    <n v="399"/>
    <n v="0.25"/>
    <n v="399"/>
    <n v="99.75"/>
    <n v="299.25"/>
    <n v="152"/>
    <n v="152"/>
    <n v="60"/>
    <n v="87.25"/>
    <n v="0.29156223893065997"/>
    <x v="4"/>
    <d v="2024-11-25T00:00:00"/>
    <n v="1"/>
    <x v="1"/>
    <n v="4"/>
    <n v="0"/>
  </r>
  <r>
    <s v="ORD-101849"/>
    <x v="325"/>
    <x v="0"/>
    <d v="2024-11-01T00:00:00"/>
    <n v="11"/>
    <s v="CUST-00600"/>
    <x v="0"/>
    <x v="2"/>
    <s v="MH"/>
    <x v="1"/>
    <s v="Nagpur"/>
    <x v="1"/>
    <s v="P302"/>
    <s v="Linen Kurta"/>
    <x v="1"/>
    <n v="3"/>
    <n v="1499"/>
    <n v="0.5"/>
    <n v="4497"/>
    <n v="2248.5"/>
    <n v="2248.5"/>
    <n v="630"/>
    <n v="1890"/>
    <n v="60"/>
    <n v="298.5"/>
    <n v="0.13275517011340893"/>
    <x v="0"/>
    <d v="2024-11-28T00:00:00"/>
    <n v="4"/>
    <x v="0"/>
    <n v="3"/>
    <n v="0"/>
  </r>
  <r>
    <s v="ORD-101850"/>
    <x v="325"/>
    <x v="0"/>
    <d v="2024-11-01T00:00:00"/>
    <n v="11"/>
    <s v="CUST-00148"/>
    <x v="1"/>
    <x v="2"/>
    <s v="MH"/>
    <x v="1"/>
    <s v="Mumbai"/>
    <x v="3"/>
    <s v="P701"/>
    <s v="Ashwagandha Capsules"/>
    <x v="0"/>
    <n v="2"/>
    <n v="499"/>
    <n v="0.25"/>
    <n v="998"/>
    <n v="249.5"/>
    <n v="748.5"/>
    <n v="150"/>
    <n v="300"/>
    <n v="60"/>
    <n v="388.5"/>
    <n v="0.51903807615230457"/>
    <x v="0"/>
    <d v="2024-11-26T00:00:00"/>
    <n v="2"/>
    <x v="1"/>
    <n v="4"/>
    <n v="0"/>
  </r>
  <r>
    <s v="ORD-101851"/>
    <x v="325"/>
    <x v="0"/>
    <d v="2024-11-01T00:00:00"/>
    <n v="11"/>
    <s v="CUST-00955"/>
    <x v="1"/>
    <x v="2"/>
    <s v="MH"/>
    <x v="1"/>
    <s v="Mumbai"/>
    <x v="4"/>
    <s v="P201"/>
    <s v="Onion Hair Oil"/>
    <x v="6"/>
    <n v="2"/>
    <n v="349"/>
    <n v="0.35"/>
    <n v="698"/>
    <n v="244.29999999999998"/>
    <n v="453.70000000000005"/>
    <n v="105"/>
    <n v="210"/>
    <n v="60"/>
    <n v="183.70000000000005"/>
    <n v="0.40489310116817284"/>
    <x v="3"/>
    <d v="2024-11-27T00:00:00"/>
    <n v="3"/>
    <x v="0"/>
    <m/>
    <n v="0"/>
  </r>
  <r>
    <s v="ORD-101852"/>
    <x v="325"/>
    <x v="0"/>
    <d v="2024-11-01T00:00:00"/>
    <n v="11"/>
    <s v="CUST-00507"/>
    <x v="0"/>
    <x v="20"/>
    <s v="GA"/>
    <x v="1"/>
    <s v="Panaji"/>
    <x v="2"/>
    <s v="P102"/>
    <s v="Sunscreen SPF 50"/>
    <x v="3"/>
    <n v="3"/>
    <n v="449"/>
    <n v="0.1"/>
    <n v="1347"/>
    <n v="134.70000000000002"/>
    <n v="1212.3"/>
    <n v="144"/>
    <n v="432"/>
    <n v="60"/>
    <n v="720.3"/>
    <n v="0.59415986142044042"/>
    <x v="3"/>
    <d v="2024-11-29T00:00:00"/>
    <n v="5"/>
    <x v="2"/>
    <n v="4"/>
    <n v="0"/>
  </r>
  <r>
    <s v="ORD-101853"/>
    <x v="325"/>
    <x v="0"/>
    <d v="2024-11-01T00:00:00"/>
    <n v="11"/>
    <s v="CUST-00760"/>
    <x v="0"/>
    <x v="11"/>
    <s v="KA"/>
    <x v="3"/>
    <s v="Mysuru"/>
    <x v="1"/>
    <s v="P301"/>
    <s v="Cotton Oversized T-Shirt"/>
    <x v="1"/>
    <n v="2"/>
    <n v="799"/>
    <n v="0.2"/>
    <n v="1598"/>
    <n v="319.60000000000002"/>
    <n v="1278.4000000000001"/>
    <n v="320"/>
    <n v="640"/>
    <n v="60"/>
    <n v="578.40000000000009"/>
    <n v="0.45244055068836048"/>
    <x v="2"/>
    <d v="2024-11-27T00:00:00"/>
    <n v="3"/>
    <x v="0"/>
    <n v="3"/>
    <n v="0"/>
  </r>
  <r>
    <s v="ORD-101854"/>
    <x v="325"/>
    <x v="0"/>
    <d v="2024-11-01T00:00:00"/>
    <n v="11"/>
    <s v="CUST-00452"/>
    <x v="0"/>
    <x v="14"/>
    <s v="KL"/>
    <x v="3"/>
    <s v="Kochi"/>
    <x v="4"/>
    <s v="P704"/>
    <s v="Multivitamin Gummies"/>
    <x v="0"/>
    <n v="2"/>
    <n v="699"/>
    <n v="0.4"/>
    <n v="1398"/>
    <n v="559.20000000000005"/>
    <n v="838.8"/>
    <n v="238"/>
    <n v="476"/>
    <n v="60"/>
    <n v="302.79999999999995"/>
    <n v="0.36099189318073432"/>
    <x v="1"/>
    <d v="2024-11-27T00:00:00"/>
    <n v="3"/>
    <x v="0"/>
    <n v="4"/>
    <n v="0"/>
  </r>
  <r>
    <s v="ORD-101855"/>
    <x v="326"/>
    <x v="0"/>
    <d v="2024-11-01T00:00:00"/>
    <n v="11"/>
    <s v="CUST-02284"/>
    <x v="0"/>
    <x v="0"/>
    <s v="RJ"/>
    <x v="0"/>
    <s v="Jaipur"/>
    <x v="3"/>
    <s v="P704"/>
    <s v="Multivitamin Gummies"/>
    <x v="0"/>
    <n v="2"/>
    <n v="699"/>
    <n v="0.35"/>
    <n v="1398"/>
    <n v="489.29999999999995"/>
    <n v="908.7"/>
    <n v="238"/>
    <n v="476"/>
    <n v="60"/>
    <n v="372.70000000000005"/>
    <n v="0.41014636293606255"/>
    <x v="0"/>
    <d v="2024-11-29T00:00:00"/>
    <n v="4"/>
    <x v="0"/>
    <n v="4"/>
    <n v="0"/>
  </r>
  <r>
    <s v="ORD-101856"/>
    <x v="326"/>
    <x v="0"/>
    <d v="2024-11-01T00:00:00"/>
    <n v="11"/>
    <s v="CUST-00753"/>
    <x v="1"/>
    <x v="12"/>
    <s v="BR"/>
    <x v="2"/>
    <s v="Patna"/>
    <x v="4"/>
    <s v="P701"/>
    <s v="Ashwagandha Capsules"/>
    <x v="0"/>
    <n v="2"/>
    <n v="499"/>
    <n v="0.05"/>
    <n v="998"/>
    <n v="49.900000000000006"/>
    <n v="948.1"/>
    <n v="150"/>
    <n v="300"/>
    <n v="60"/>
    <n v="588.1"/>
    <n v="0.62029321801497728"/>
    <x v="0"/>
    <d v="2024-11-29T00:00:00"/>
    <n v="4"/>
    <x v="0"/>
    <n v="4"/>
    <n v="0"/>
  </r>
  <r>
    <s v="ORD-101857"/>
    <x v="326"/>
    <x v="0"/>
    <d v="2024-11-01T00:00:00"/>
    <n v="11"/>
    <s v="CUST-01249"/>
    <x v="0"/>
    <x v="18"/>
    <s v="WB"/>
    <x v="2"/>
    <s v="Kolkata"/>
    <x v="2"/>
    <s v="P301"/>
    <s v="Cotton Oversized T-Shirt"/>
    <x v="1"/>
    <n v="1"/>
    <n v="799"/>
    <n v="0.15"/>
    <n v="799"/>
    <n v="119.85"/>
    <n v="679.15"/>
    <n v="320"/>
    <n v="320"/>
    <n v="60"/>
    <n v="299.14999999999998"/>
    <n v="0.44047706692188765"/>
    <x v="0"/>
    <d v="2024-11-29T00:00:00"/>
    <n v="4"/>
    <x v="0"/>
    <m/>
    <n v="0"/>
  </r>
  <r>
    <s v="ORD-101858"/>
    <x v="326"/>
    <x v="0"/>
    <d v="2024-11-01T00:00:00"/>
    <n v="11"/>
    <s v="CUST-00924"/>
    <x v="0"/>
    <x v="2"/>
    <s v="MH"/>
    <x v="1"/>
    <s v="Nagpur"/>
    <x v="3"/>
    <s v="P704"/>
    <s v="Multivitamin Gummies"/>
    <x v="0"/>
    <n v="1"/>
    <n v="699"/>
    <n v="0.4"/>
    <n v="699"/>
    <n v="279.60000000000002"/>
    <n v="419.4"/>
    <n v="238"/>
    <n v="238"/>
    <n v="60"/>
    <n v="121.39999999999998"/>
    <n v="0.28946113495469716"/>
    <x v="0"/>
    <d v="2024-11-28T00:00:00"/>
    <n v="3"/>
    <x v="0"/>
    <n v="4"/>
    <n v="0"/>
  </r>
  <r>
    <s v="ORD-101859"/>
    <x v="326"/>
    <x v="0"/>
    <d v="2024-11-01T00:00:00"/>
    <n v="11"/>
    <s v="CUST-00810"/>
    <x v="1"/>
    <x v="2"/>
    <s v="MH"/>
    <x v="1"/>
    <s v="Nagpur"/>
    <x v="4"/>
    <s v="P302"/>
    <s v="Linen Kurta"/>
    <x v="1"/>
    <n v="3"/>
    <n v="1499"/>
    <n v="0.35"/>
    <n v="4497"/>
    <n v="1573.9499999999998"/>
    <n v="2923.05"/>
    <n v="630"/>
    <n v="1890"/>
    <n v="60"/>
    <n v="973.05000000000018"/>
    <n v="0.33288859239493002"/>
    <x v="0"/>
    <d v="2024-11-28T00:00:00"/>
    <n v="3"/>
    <x v="0"/>
    <n v="4"/>
    <n v="0"/>
  </r>
  <r>
    <s v="ORD-101860"/>
    <x v="326"/>
    <x v="0"/>
    <d v="2024-11-01T00:00:00"/>
    <n v="11"/>
    <s v="CUST-02193"/>
    <x v="0"/>
    <x v="2"/>
    <s v="MH"/>
    <x v="1"/>
    <s v="Nagpur"/>
    <x v="2"/>
    <s v="P101"/>
    <s v="Vitamin C Face Serum"/>
    <x v="3"/>
    <n v="1"/>
    <n v="599"/>
    <n v="0.25"/>
    <n v="599"/>
    <n v="149.75"/>
    <n v="449.25"/>
    <n v="180"/>
    <n v="180"/>
    <n v="60"/>
    <n v="209.25"/>
    <n v="0.46577629382303842"/>
    <x v="4"/>
    <d v="2024-11-26T00:00:00"/>
    <n v="1"/>
    <x v="1"/>
    <m/>
    <n v="0"/>
  </r>
  <r>
    <s v="ORD-101861"/>
    <x v="327"/>
    <x v="0"/>
    <d v="2024-11-01T00:00:00"/>
    <n v="11"/>
    <s v="CUST-00035"/>
    <x v="0"/>
    <x v="0"/>
    <s v="RJ"/>
    <x v="0"/>
    <s v="Jaipur"/>
    <x v="1"/>
    <s v="P303"/>
    <s v="Joggers"/>
    <x v="1"/>
    <n v="1"/>
    <n v="1199"/>
    <n v="0.4"/>
    <n v="1199"/>
    <n v="479.6"/>
    <n v="719.4"/>
    <n v="492"/>
    <n v="492"/>
    <n v="60"/>
    <n v="167.39999999999998"/>
    <n v="0.23269391159299413"/>
    <x v="1"/>
    <d v="2024-11-29T00:00:00"/>
    <n v="3"/>
    <x v="0"/>
    <n v="3"/>
    <n v="0"/>
  </r>
  <r>
    <s v="ORD-101862"/>
    <x v="327"/>
    <x v="0"/>
    <d v="2024-11-01T00:00:00"/>
    <n v="11"/>
    <s v="CUST-02702"/>
    <x v="0"/>
    <x v="0"/>
    <s v="RJ"/>
    <x v="0"/>
    <s v="Udaipur"/>
    <x v="0"/>
    <s v="P201"/>
    <s v="Onion Hair Oil"/>
    <x v="6"/>
    <n v="5"/>
    <n v="349"/>
    <n v="0.45"/>
    <n v="1745"/>
    <n v="785.25"/>
    <n v="959.75"/>
    <n v="105"/>
    <n v="525"/>
    <n v="60"/>
    <n v="374.75"/>
    <n v="0.39046626725709821"/>
    <x v="0"/>
    <d v="2024-11-29T00:00:00"/>
    <n v="3"/>
    <x v="0"/>
    <m/>
    <n v="0"/>
  </r>
  <r>
    <s v="ORD-101863"/>
    <x v="327"/>
    <x v="0"/>
    <d v="2024-11-01T00:00:00"/>
    <n v="11"/>
    <s v="CUST-02488"/>
    <x v="1"/>
    <x v="6"/>
    <s v="DL"/>
    <x v="0"/>
    <s v="New Delhi"/>
    <x v="3"/>
    <s v="P105"/>
    <s v="Retinol Night Cream"/>
    <x v="3"/>
    <n v="1"/>
    <n v="799"/>
    <n v="0.2"/>
    <n v="799"/>
    <n v="159.80000000000001"/>
    <n v="639.20000000000005"/>
    <n v="216"/>
    <n v="216"/>
    <n v="60"/>
    <n v="363.20000000000005"/>
    <n v="0.56821026282853571"/>
    <x v="2"/>
    <d v="2024-12-01T00:00:00"/>
    <n v="5"/>
    <x v="2"/>
    <n v="3"/>
    <n v="0"/>
  </r>
  <r>
    <s v="ORD-101864"/>
    <x v="327"/>
    <x v="0"/>
    <d v="2024-11-01T00:00:00"/>
    <n v="11"/>
    <s v="CUST-00792"/>
    <x v="1"/>
    <x v="18"/>
    <s v="WB"/>
    <x v="2"/>
    <s v="Kolkata"/>
    <x v="4"/>
    <s v="P203"/>
    <s v="Keratin Hair Mask"/>
    <x v="6"/>
    <n v="1"/>
    <n v="549"/>
    <n v="0.2"/>
    <n v="549"/>
    <n v="109.80000000000001"/>
    <n v="439.2"/>
    <n v="170"/>
    <n v="170"/>
    <n v="60"/>
    <n v="209.2"/>
    <n v="0.47632058287795992"/>
    <x v="4"/>
    <d v="2024-12-01T00:00:00"/>
    <n v="5"/>
    <x v="2"/>
    <n v="3"/>
    <n v="0"/>
  </r>
  <r>
    <s v="ORD-101865"/>
    <x v="327"/>
    <x v="0"/>
    <d v="2024-11-01T00:00:00"/>
    <n v="11"/>
    <s v="CUST-00490"/>
    <x v="0"/>
    <x v="18"/>
    <s v="WB"/>
    <x v="2"/>
    <s v="Kolkata"/>
    <x v="0"/>
    <s v="P503"/>
    <s v="Scented Candle Set"/>
    <x v="4"/>
    <n v="2"/>
    <n v="699"/>
    <n v="0.3"/>
    <n v="1398"/>
    <n v="419.4"/>
    <n v="978.6"/>
    <n v="245"/>
    <n v="490"/>
    <n v="60"/>
    <n v="428.6"/>
    <n v="0.43797261393827919"/>
    <x v="0"/>
    <d v="2024-12-01T00:00:00"/>
    <n v="5"/>
    <x v="2"/>
    <n v="3"/>
    <n v="0"/>
  </r>
  <r>
    <s v="ORD-101866"/>
    <x v="327"/>
    <x v="0"/>
    <d v="2024-11-01T00:00:00"/>
    <n v="11"/>
    <s v="CUST-01870"/>
    <x v="0"/>
    <x v="20"/>
    <s v="GA"/>
    <x v="1"/>
    <s v="Panaji"/>
    <x v="2"/>
    <s v="P301"/>
    <s v="Cotton Oversized T-Shirt"/>
    <x v="1"/>
    <n v="3"/>
    <n v="799"/>
    <n v="0.15"/>
    <n v="2397"/>
    <n v="359.55"/>
    <n v="2037.45"/>
    <n v="320"/>
    <n v="960"/>
    <n v="60"/>
    <n v="1017.45"/>
    <n v="0.4993742177722153"/>
    <x v="3"/>
    <d v="2024-11-28T00:00:00"/>
    <n v="2"/>
    <x v="1"/>
    <m/>
    <n v="0"/>
  </r>
  <r>
    <s v="ORD-101867"/>
    <x v="327"/>
    <x v="0"/>
    <d v="2024-11-01T00:00:00"/>
    <n v="11"/>
    <s v="CUST-00266"/>
    <x v="0"/>
    <x v="14"/>
    <s v="KL"/>
    <x v="3"/>
    <s v="Kochi"/>
    <x v="0"/>
    <s v="P701"/>
    <s v="Ashwagandha Capsules"/>
    <x v="0"/>
    <n v="1"/>
    <n v="499"/>
    <n v="0.25"/>
    <n v="499"/>
    <n v="124.75"/>
    <n v="374.25"/>
    <n v="150"/>
    <n v="150"/>
    <n v="60"/>
    <n v="164.25"/>
    <n v="0.43887775551102204"/>
    <x v="0"/>
    <d v="2024-12-01T00:00:00"/>
    <n v="5"/>
    <x v="2"/>
    <m/>
    <n v="0"/>
  </r>
  <r>
    <s v="ORD-101868"/>
    <x v="327"/>
    <x v="0"/>
    <d v="2024-11-01T00:00:00"/>
    <n v="11"/>
    <s v="CUST-01129"/>
    <x v="1"/>
    <x v="17"/>
    <s v="TN"/>
    <x v="3"/>
    <s v="Chennai"/>
    <x v="0"/>
    <s v="P704"/>
    <s v="Multivitamin Gummies"/>
    <x v="0"/>
    <n v="1"/>
    <n v="699"/>
    <n v="0.25"/>
    <n v="699"/>
    <n v="174.75"/>
    <n v="524.25"/>
    <n v="238"/>
    <n v="238"/>
    <n v="60"/>
    <n v="226.25"/>
    <n v="0.43156890796375774"/>
    <x v="0"/>
    <d v="2024-11-30T00:00:00"/>
    <n v="4"/>
    <x v="0"/>
    <m/>
    <n v="0"/>
  </r>
  <r>
    <s v="ORD-101869"/>
    <x v="328"/>
    <x v="0"/>
    <d v="2024-11-01T00:00:00"/>
    <n v="11"/>
    <s v="CUST-00530"/>
    <x v="1"/>
    <x v="0"/>
    <s v="RJ"/>
    <x v="0"/>
    <s v="Udaipur"/>
    <x v="4"/>
    <s v="P403"/>
    <s v="Kolhapuri Sandals"/>
    <x v="5"/>
    <n v="1"/>
    <n v="999"/>
    <n v="0.1"/>
    <n v="999"/>
    <n v="99.9"/>
    <n v="899.1"/>
    <n v="400"/>
    <n v="400"/>
    <n v="120"/>
    <n v="379.1"/>
    <n v="0.42164386608831056"/>
    <x v="3"/>
    <d v="2024-12-01T00:00:00"/>
    <n v="4"/>
    <x v="0"/>
    <n v="4"/>
    <n v="1"/>
  </r>
  <r>
    <s v="ORD-101870"/>
    <x v="328"/>
    <x v="0"/>
    <d v="2024-11-01T00:00:00"/>
    <n v="11"/>
    <s v="CUST-01481"/>
    <x v="0"/>
    <x v="16"/>
    <s v="UP"/>
    <x v="0"/>
    <s v="Kanpur"/>
    <x v="0"/>
    <s v="P105"/>
    <s v="Retinol Night Cream"/>
    <x v="3"/>
    <n v="2"/>
    <n v="799"/>
    <n v="0.3"/>
    <n v="1598"/>
    <n v="479.4"/>
    <n v="1118.5999999999999"/>
    <n v="216"/>
    <n v="432"/>
    <n v="60"/>
    <n v="626.59999999999991"/>
    <n v="0.56016449132844626"/>
    <x v="0"/>
    <d v="2024-12-03T00:00:00"/>
    <n v="6"/>
    <x v="2"/>
    <m/>
    <n v="0"/>
  </r>
  <r>
    <s v="ORD-101871"/>
    <x v="328"/>
    <x v="0"/>
    <d v="2024-11-01T00:00:00"/>
    <n v="11"/>
    <s v="CUST-01866"/>
    <x v="1"/>
    <x v="18"/>
    <s v="WB"/>
    <x v="2"/>
    <s v="Kolkata"/>
    <x v="4"/>
    <s v="P303"/>
    <s v="Joggers"/>
    <x v="1"/>
    <n v="2"/>
    <n v="1199"/>
    <n v="0.3"/>
    <n v="2398"/>
    <n v="719.4"/>
    <n v="1678.6"/>
    <n v="492"/>
    <n v="984"/>
    <n v="60"/>
    <n v="634.59999999999991"/>
    <n v="0.37805313952102937"/>
    <x v="0"/>
    <d v="2024-12-01T00:00:00"/>
    <n v="4"/>
    <x v="0"/>
    <n v="4"/>
    <n v="0"/>
  </r>
  <r>
    <s v="ORD-101872"/>
    <x v="328"/>
    <x v="0"/>
    <d v="2024-11-01T00:00:00"/>
    <n v="11"/>
    <s v="CUST-00360"/>
    <x v="1"/>
    <x v="18"/>
    <s v="WB"/>
    <x v="2"/>
    <s v="Kolkata"/>
    <x v="0"/>
    <s v="P704"/>
    <s v="Multivitamin Gummies"/>
    <x v="0"/>
    <n v="2"/>
    <n v="699"/>
    <n v="0.4"/>
    <n v="1398"/>
    <n v="559.20000000000005"/>
    <n v="838.8"/>
    <n v="238"/>
    <n v="476"/>
    <n v="60"/>
    <n v="302.79999999999995"/>
    <n v="0.36099189318073432"/>
    <x v="0"/>
    <d v="2024-12-01T00:00:00"/>
    <n v="4"/>
    <x v="0"/>
    <n v="3"/>
    <n v="0"/>
  </r>
  <r>
    <s v="ORD-101873"/>
    <x v="328"/>
    <x v="0"/>
    <d v="2024-11-01T00:00:00"/>
    <n v="11"/>
    <s v="CUST-02733"/>
    <x v="0"/>
    <x v="17"/>
    <s v="TN"/>
    <x v="3"/>
    <s v="Coimbatore"/>
    <x v="3"/>
    <s v="P202"/>
    <s v="Argan Shampoo"/>
    <x v="6"/>
    <n v="3"/>
    <n v="449"/>
    <n v="0.2"/>
    <n v="1347"/>
    <n v="269.40000000000003"/>
    <n v="1077.5999999999999"/>
    <n v="148"/>
    <n v="444"/>
    <n v="60"/>
    <n v="573.59999999999991"/>
    <n v="0.53229398663697103"/>
    <x v="3"/>
    <d v="2024-11-29T00:00:00"/>
    <n v="2"/>
    <x v="1"/>
    <n v="3"/>
    <n v="0"/>
  </r>
  <r>
    <s v="ORD-101874"/>
    <x v="328"/>
    <x v="0"/>
    <d v="2024-11-01T00:00:00"/>
    <n v="11"/>
    <s v="CUST-01080"/>
    <x v="1"/>
    <x v="17"/>
    <s v="TN"/>
    <x v="3"/>
    <s v="Chennai"/>
    <x v="0"/>
    <s v="P701"/>
    <s v="Ashwagandha Capsules"/>
    <x v="0"/>
    <n v="2"/>
    <n v="499"/>
    <n v="0.05"/>
    <n v="998"/>
    <n v="49.900000000000006"/>
    <n v="948.1"/>
    <n v="150"/>
    <n v="300"/>
    <n v="60"/>
    <n v="588.1"/>
    <n v="0.62029321801497728"/>
    <x v="0"/>
    <d v="2024-11-30T00:00:00"/>
    <n v="3"/>
    <x v="0"/>
    <n v="5"/>
    <n v="0"/>
  </r>
  <r>
    <s v="ORD-101875"/>
    <x v="328"/>
    <x v="0"/>
    <d v="2024-11-01T00:00:00"/>
    <n v="11"/>
    <s v="CUST-01115"/>
    <x v="1"/>
    <x v="17"/>
    <s v="TN"/>
    <x v="3"/>
    <s v="Coimbatore"/>
    <x v="2"/>
    <s v="P402"/>
    <s v="Casual Sneakers"/>
    <x v="5"/>
    <n v="2"/>
    <n v="2199"/>
    <n v="0.35"/>
    <n v="4398"/>
    <n v="1539.3"/>
    <n v="2858.7"/>
    <n v="1034"/>
    <n v="2068"/>
    <n v="60"/>
    <n v="730.69999999999982"/>
    <n v="0.25560569489628149"/>
    <x v="0"/>
    <d v="2024-12-01T00:00:00"/>
    <n v="4"/>
    <x v="0"/>
    <n v="4"/>
    <n v="0"/>
  </r>
  <r>
    <s v="ORD-101876"/>
    <x v="329"/>
    <x v="0"/>
    <d v="2024-11-01T00:00:00"/>
    <n v="11"/>
    <s v="CUST-00104"/>
    <x v="0"/>
    <x v="5"/>
    <s v="HP"/>
    <x v="0"/>
    <s v="Shimla"/>
    <x v="3"/>
    <s v="P701"/>
    <s v="Ashwagandha Capsules"/>
    <x v="0"/>
    <n v="1"/>
    <n v="499"/>
    <n v="0.15"/>
    <n v="499"/>
    <n v="74.849999999999994"/>
    <n v="424.15"/>
    <n v="150"/>
    <n v="150"/>
    <n v="60"/>
    <n v="214.14999999999998"/>
    <n v="0.50489213721560766"/>
    <x v="0"/>
    <d v="2024-12-04T00:00:00"/>
    <n v="6"/>
    <x v="2"/>
    <n v="3"/>
    <n v="0"/>
  </r>
  <r>
    <s v="ORD-101877"/>
    <x v="329"/>
    <x v="0"/>
    <d v="2024-11-01T00:00:00"/>
    <n v="11"/>
    <s v="CUST-01478"/>
    <x v="1"/>
    <x v="16"/>
    <s v="UP"/>
    <x v="0"/>
    <s v="Lucknow"/>
    <x v="0"/>
    <s v="P602"/>
    <s v="Fast Charger 33W"/>
    <x v="2"/>
    <n v="1"/>
    <n v="899"/>
    <n v="0.2"/>
    <n v="899"/>
    <n v="179.8"/>
    <n v="719.2"/>
    <n v="494"/>
    <n v="494"/>
    <n v="60"/>
    <n v="165.20000000000005"/>
    <n v="0.22969966629588437"/>
    <x v="4"/>
    <d v="2024-12-01T00:00:00"/>
    <n v="3"/>
    <x v="0"/>
    <m/>
    <n v="0"/>
  </r>
  <r>
    <s v="ORD-101878"/>
    <x v="329"/>
    <x v="0"/>
    <d v="2024-11-01T00:00:00"/>
    <n v="11"/>
    <s v="CUST-01929"/>
    <x v="0"/>
    <x v="22"/>
    <s v="AS"/>
    <x v="2"/>
    <s v="Guwahati"/>
    <x v="0"/>
    <s v="P503"/>
    <s v="Scented Candle Set"/>
    <x v="4"/>
    <n v="2"/>
    <n v="699"/>
    <n v="0.2"/>
    <n v="1398"/>
    <n v="279.60000000000002"/>
    <n v="1118.4000000000001"/>
    <n v="245"/>
    <n v="490"/>
    <n v="60"/>
    <n v="568.40000000000009"/>
    <n v="0.50822603719599435"/>
    <x v="0"/>
    <d v="2024-12-05T00:00:00"/>
    <n v="7"/>
    <x v="2"/>
    <n v="3"/>
    <n v="0"/>
  </r>
  <r>
    <s v="ORD-101879"/>
    <x v="329"/>
    <x v="0"/>
    <d v="2024-11-01T00:00:00"/>
    <n v="11"/>
    <s v="CUST-01057"/>
    <x v="1"/>
    <x v="2"/>
    <s v="MH"/>
    <x v="1"/>
    <s v="Nagpur"/>
    <x v="0"/>
    <s v="P105"/>
    <s v="Retinol Night Cream"/>
    <x v="3"/>
    <n v="1"/>
    <n v="799"/>
    <n v="0.2"/>
    <n v="799"/>
    <n v="159.80000000000001"/>
    <n v="639.20000000000005"/>
    <n v="216"/>
    <n v="216"/>
    <n v="60"/>
    <n v="363.20000000000005"/>
    <n v="0.56821026282853571"/>
    <x v="1"/>
    <d v="2024-12-02T00:00:00"/>
    <n v="4"/>
    <x v="0"/>
    <n v="3"/>
    <n v="0"/>
  </r>
  <r>
    <s v="ORD-101880"/>
    <x v="329"/>
    <x v="0"/>
    <d v="2024-11-01T00:00:00"/>
    <n v="11"/>
    <s v="CUST-02177"/>
    <x v="1"/>
    <x v="21"/>
    <s v="TG"/>
    <x v="3"/>
    <s v="Hyderabad"/>
    <x v="4"/>
    <s v="P503"/>
    <s v="Scented Candle Set"/>
    <x v="4"/>
    <n v="4"/>
    <n v="699"/>
    <n v="0.35"/>
    <n v="2796"/>
    <n v="978.59999999999991"/>
    <n v="1817.4"/>
    <n v="245"/>
    <n v="980"/>
    <n v="60"/>
    <n v="777.40000000000009"/>
    <n v="0.42775393419170243"/>
    <x v="0"/>
    <d v="2024-12-02T00:00:00"/>
    <n v="4"/>
    <x v="0"/>
    <m/>
    <n v="0"/>
  </r>
  <r>
    <s v="ORD-101881"/>
    <x v="329"/>
    <x v="0"/>
    <d v="2024-11-01T00:00:00"/>
    <n v="11"/>
    <s v="CUST-00289"/>
    <x v="1"/>
    <x v="11"/>
    <s v="KA"/>
    <x v="3"/>
    <s v="Mysuru"/>
    <x v="1"/>
    <s v="P403"/>
    <s v="Kolhapuri Sandals"/>
    <x v="5"/>
    <n v="2"/>
    <n v="999"/>
    <n v="0.1"/>
    <n v="1998"/>
    <n v="199.8"/>
    <n v="1798.2"/>
    <n v="400"/>
    <n v="800"/>
    <n v="60"/>
    <n v="938.2"/>
    <n v="0.52174396618841068"/>
    <x v="4"/>
    <d v="2024-12-01T00:00:00"/>
    <n v="3"/>
    <x v="0"/>
    <m/>
    <n v="0"/>
  </r>
  <r>
    <s v="ORD-101882"/>
    <x v="329"/>
    <x v="0"/>
    <d v="2024-11-01T00:00:00"/>
    <n v="11"/>
    <s v="CUST-00182"/>
    <x v="1"/>
    <x v="14"/>
    <s v="KL"/>
    <x v="3"/>
    <s v="Kochi"/>
    <x v="0"/>
    <s v="P204"/>
    <s v="Anti-Dandruff Conditioner"/>
    <x v="6"/>
    <n v="4"/>
    <n v="399"/>
    <n v="0.6"/>
    <n v="1596"/>
    <n v="957.59999999999991"/>
    <n v="638.40000000000009"/>
    <n v="136"/>
    <n v="544"/>
    <n v="60"/>
    <n v="34.400000000000091"/>
    <n v="5.3884711779448757E-2"/>
    <x v="3"/>
    <d v="2024-12-03T00:00:00"/>
    <n v="5"/>
    <x v="2"/>
    <n v="4"/>
    <n v="0"/>
  </r>
  <r>
    <s v="ORD-101883"/>
    <x v="329"/>
    <x v="0"/>
    <d v="2024-11-01T00:00:00"/>
    <n v="11"/>
    <s v="CUST-00159"/>
    <x v="1"/>
    <x v="14"/>
    <s v="KL"/>
    <x v="3"/>
    <s v="Thiruvananthapuram"/>
    <x v="1"/>
    <s v="P404"/>
    <s v="Flip Flops"/>
    <x v="5"/>
    <n v="3"/>
    <n v="399"/>
    <n v="0.15"/>
    <n v="1197"/>
    <n v="179.54999999999998"/>
    <n v="1017.45"/>
    <n v="152"/>
    <n v="456"/>
    <n v="60"/>
    <n v="501.45000000000005"/>
    <n v="0.49284977148754239"/>
    <x v="4"/>
    <d v="2024-12-01T00:00:00"/>
    <n v="3"/>
    <x v="0"/>
    <n v="4"/>
    <n v="0"/>
  </r>
  <r>
    <s v="ORD-101884"/>
    <x v="330"/>
    <x v="0"/>
    <d v="2024-11-01T00:00:00"/>
    <n v="11"/>
    <s v="CUST-00074"/>
    <x v="0"/>
    <x v="0"/>
    <s v="RJ"/>
    <x v="0"/>
    <s v="Jaipur"/>
    <x v="1"/>
    <s v="P303"/>
    <s v="Joggers"/>
    <x v="1"/>
    <n v="2"/>
    <n v="1199"/>
    <n v="0.3"/>
    <n v="2398"/>
    <n v="719.4"/>
    <n v="1678.6"/>
    <n v="492"/>
    <n v="984"/>
    <n v="60"/>
    <n v="634.59999999999991"/>
    <n v="0.37805313952102937"/>
    <x v="0"/>
    <d v="2024-12-03T00:00:00"/>
    <n v="4"/>
    <x v="0"/>
    <n v="3"/>
    <n v="0"/>
  </r>
  <r>
    <s v="ORD-101885"/>
    <x v="330"/>
    <x v="0"/>
    <d v="2024-11-01T00:00:00"/>
    <n v="11"/>
    <s v="CUST-01791"/>
    <x v="0"/>
    <x v="0"/>
    <s v="RJ"/>
    <x v="0"/>
    <s v="Udaipur"/>
    <x v="0"/>
    <s v="P301"/>
    <s v="Cotton Oversized T-Shirt"/>
    <x v="1"/>
    <n v="1"/>
    <n v="799"/>
    <n v="0.2"/>
    <n v="799"/>
    <n v="159.80000000000001"/>
    <n v="639.20000000000005"/>
    <n v="320"/>
    <n v="320"/>
    <n v="60"/>
    <n v="259.20000000000005"/>
    <n v="0.40550688360450565"/>
    <x v="2"/>
    <d v="2024-12-05T00:00:00"/>
    <n v="6"/>
    <x v="2"/>
    <n v="4"/>
    <n v="0"/>
  </r>
  <r>
    <s v="ORD-101886"/>
    <x v="330"/>
    <x v="0"/>
    <d v="2024-11-01T00:00:00"/>
    <n v="11"/>
    <s v="CUST-01070"/>
    <x v="1"/>
    <x v="0"/>
    <s v="RJ"/>
    <x v="0"/>
    <s v="Udaipur"/>
    <x v="4"/>
    <s v="P704"/>
    <s v="Multivitamin Gummies"/>
    <x v="0"/>
    <n v="1"/>
    <n v="699"/>
    <n v="0.2"/>
    <n v="699"/>
    <n v="139.80000000000001"/>
    <n v="559.20000000000005"/>
    <n v="238"/>
    <n v="238"/>
    <n v="60"/>
    <n v="261.20000000000005"/>
    <n v="0.46709585121602293"/>
    <x v="2"/>
    <d v="2024-12-03T00:00:00"/>
    <n v="4"/>
    <x v="0"/>
    <n v="5"/>
    <n v="0"/>
  </r>
  <r>
    <s v="ORD-101887"/>
    <x v="330"/>
    <x v="0"/>
    <d v="2024-11-01T00:00:00"/>
    <n v="11"/>
    <s v="CUST-02876"/>
    <x v="0"/>
    <x v="0"/>
    <s v="RJ"/>
    <x v="0"/>
    <s v="Udaipur"/>
    <x v="2"/>
    <s v="P704"/>
    <s v="Multivitamin Gummies"/>
    <x v="0"/>
    <n v="1"/>
    <n v="699"/>
    <n v="0.25"/>
    <n v="699"/>
    <n v="174.75"/>
    <n v="524.25"/>
    <n v="238"/>
    <n v="238"/>
    <n v="60"/>
    <n v="226.25"/>
    <n v="0.43156890796375774"/>
    <x v="0"/>
    <d v="2024-12-03T00:00:00"/>
    <n v="4"/>
    <x v="0"/>
    <m/>
    <n v="0"/>
  </r>
  <r>
    <s v="ORD-101888"/>
    <x v="330"/>
    <x v="0"/>
    <d v="2024-11-01T00:00:00"/>
    <n v="11"/>
    <s v="CUST-00442"/>
    <x v="1"/>
    <x v="6"/>
    <s v="DL"/>
    <x v="0"/>
    <s v="New Delhi"/>
    <x v="0"/>
    <s v="P503"/>
    <s v="Scented Candle Set"/>
    <x v="4"/>
    <n v="2"/>
    <n v="699"/>
    <n v="0.5"/>
    <n v="1398"/>
    <n v="699"/>
    <n v="699"/>
    <n v="245"/>
    <n v="490"/>
    <n v="60"/>
    <n v="149"/>
    <n v="0.21316165951359084"/>
    <x v="0"/>
    <d v="2024-12-02T00:00:00"/>
    <n v="3"/>
    <x v="0"/>
    <n v="3"/>
    <n v="0"/>
  </r>
  <r>
    <s v="ORD-101889"/>
    <x v="330"/>
    <x v="0"/>
    <d v="2024-11-01T00:00:00"/>
    <n v="11"/>
    <s v="CUST-01996"/>
    <x v="0"/>
    <x v="6"/>
    <s v="DL"/>
    <x v="0"/>
    <s v="New Delhi"/>
    <x v="1"/>
    <s v="P301"/>
    <s v="Cotton Oversized T-Shirt"/>
    <x v="1"/>
    <n v="1"/>
    <n v="799"/>
    <n v="0.05"/>
    <n v="799"/>
    <n v="39.950000000000003"/>
    <n v="759.05"/>
    <n v="320"/>
    <n v="320"/>
    <n v="60"/>
    <n v="379.04999999999995"/>
    <n v="0.49937421777221525"/>
    <x v="0"/>
    <d v="2024-11-30T00:00:00"/>
    <n v="1"/>
    <x v="1"/>
    <m/>
    <n v="0"/>
  </r>
  <r>
    <s v="ORD-101890"/>
    <x v="330"/>
    <x v="0"/>
    <d v="2024-11-01T00:00:00"/>
    <n v="11"/>
    <s v="CUST-00376"/>
    <x v="1"/>
    <x v="13"/>
    <s v="MP"/>
    <x v="1"/>
    <s v="Bhopal"/>
    <x v="1"/>
    <s v="P402"/>
    <s v="Casual Sneakers"/>
    <x v="5"/>
    <n v="2"/>
    <n v="2199"/>
    <n v="0.35"/>
    <n v="4398"/>
    <n v="1539.3"/>
    <n v="2858.7"/>
    <n v="1034"/>
    <n v="2068"/>
    <n v="60"/>
    <n v="730.69999999999982"/>
    <n v="0.25560569489628149"/>
    <x v="2"/>
    <d v="2024-12-02T00:00:00"/>
    <n v="3"/>
    <x v="0"/>
    <m/>
    <n v="0"/>
  </r>
  <r>
    <s v="ORD-101891"/>
    <x v="330"/>
    <x v="0"/>
    <d v="2024-11-01T00:00:00"/>
    <n v="11"/>
    <s v="CUST-01399"/>
    <x v="0"/>
    <x v="2"/>
    <s v="MH"/>
    <x v="1"/>
    <s v="Pune"/>
    <x v="0"/>
    <s v="P703"/>
    <s v="Green Tea (100 bags)"/>
    <x v="0"/>
    <n v="2"/>
    <n v="399"/>
    <n v="0.55000000000000004"/>
    <n v="798"/>
    <n v="438.90000000000003"/>
    <n v="359.09999999999997"/>
    <n v="128"/>
    <n v="256"/>
    <n v="60"/>
    <n v="43.099999999999966"/>
    <n v="0.12002227791701467"/>
    <x v="4"/>
    <d v="2024-12-01T00:00:00"/>
    <n v="2"/>
    <x v="1"/>
    <m/>
    <n v="0"/>
  </r>
  <r>
    <s v="ORD-101892"/>
    <x v="330"/>
    <x v="0"/>
    <d v="2024-11-01T00:00:00"/>
    <n v="11"/>
    <s v="CUST-00416"/>
    <x v="1"/>
    <x v="2"/>
    <s v="MH"/>
    <x v="1"/>
    <s v="Mumbai"/>
    <x v="0"/>
    <s v="P403"/>
    <s v="Kolhapuri Sandals"/>
    <x v="5"/>
    <n v="1"/>
    <n v="999"/>
    <n v="0.3"/>
    <n v="999"/>
    <n v="299.7"/>
    <n v="699.3"/>
    <n v="400"/>
    <n v="400"/>
    <n v="60"/>
    <n v="239.29999999999995"/>
    <n v="0.34219934219934217"/>
    <x v="0"/>
    <d v="2024-12-03T00:00:00"/>
    <n v="4"/>
    <x v="0"/>
    <n v="4"/>
    <n v="0"/>
  </r>
  <r>
    <s v="ORD-101893"/>
    <x v="330"/>
    <x v="0"/>
    <d v="2024-11-01T00:00:00"/>
    <n v="11"/>
    <s v="CUST-01783"/>
    <x v="0"/>
    <x v="11"/>
    <s v="KA"/>
    <x v="3"/>
    <s v="Mysuru"/>
    <x v="0"/>
    <s v="P201"/>
    <s v="Onion Hair Oil"/>
    <x v="6"/>
    <n v="2"/>
    <n v="349"/>
    <n v="0.5"/>
    <n v="698"/>
    <n v="349"/>
    <n v="349"/>
    <n v="105"/>
    <n v="210"/>
    <n v="60"/>
    <n v="79"/>
    <n v="0.22636103151862463"/>
    <x v="4"/>
    <d v="2024-12-03T00:00:00"/>
    <n v="4"/>
    <x v="0"/>
    <m/>
    <n v="0"/>
  </r>
  <r>
    <s v="ORD-101894"/>
    <x v="330"/>
    <x v="0"/>
    <d v="2024-11-01T00:00:00"/>
    <n v="11"/>
    <s v="CUST-01131"/>
    <x v="0"/>
    <x v="11"/>
    <s v="KA"/>
    <x v="3"/>
    <s v="Mysuru"/>
    <x v="1"/>
    <s v="P403"/>
    <s v="Kolhapuri Sandals"/>
    <x v="5"/>
    <n v="1"/>
    <n v="999"/>
    <n v="0.15"/>
    <n v="999"/>
    <n v="149.85"/>
    <n v="849.15"/>
    <n v="400"/>
    <n v="400"/>
    <n v="60"/>
    <n v="389.15"/>
    <n v="0.45828181122298767"/>
    <x v="0"/>
    <d v="2024-12-03T00:00:00"/>
    <n v="4"/>
    <x v="0"/>
    <m/>
    <n v="0"/>
  </r>
  <r>
    <s v="ORD-101895"/>
    <x v="330"/>
    <x v="0"/>
    <d v="2024-11-01T00:00:00"/>
    <n v="11"/>
    <s v="CUST-02415"/>
    <x v="0"/>
    <x v="14"/>
    <s v="KL"/>
    <x v="3"/>
    <s v="Thiruvananthapuram"/>
    <x v="1"/>
    <s v="P402"/>
    <s v="Casual Sneakers"/>
    <x v="5"/>
    <n v="2"/>
    <n v="2199"/>
    <n v="0.3"/>
    <n v="4398"/>
    <n v="1319.3999999999999"/>
    <n v="3078.6000000000004"/>
    <n v="1034"/>
    <n v="2068"/>
    <n v="120"/>
    <n v="890.60000000000036"/>
    <n v="0.28928733840057175"/>
    <x v="4"/>
    <d v="2024-12-01T00:00:00"/>
    <n v="2"/>
    <x v="1"/>
    <n v="4"/>
    <n v="1"/>
  </r>
  <r>
    <s v="ORD-101896"/>
    <x v="330"/>
    <x v="0"/>
    <d v="2024-11-01T00:00:00"/>
    <n v="11"/>
    <s v="CUST-01030"/>
    <x v="1"/>
    <x v="17"/>
    <s v="TN"/>
    <x v="3"/>
    <s v="Coimbatore"/>
    <x v="0"/>
    <s v="P603"/>
    <s v="Smartwatch Strap"/>
    <x v="2"/>
    <n v="2"/>
    <n v="499"/>
    <n v="0.4"/>
    <n v="998"/>
    <n v="399.20000000000005"/>
    <n v="598.79999999999995"/>
    <n v="200"/>
    <n v="400"/>
    <n v="60"/>
    <n v="138.79999999999995"/>
    <n v="0.2317969271877087"/>
    <x v="0"/>
    <d v="2024-12-03T00:00:00"/>
    <n v="4"/>
    <x v="0"/>
    <m/>
    <n v="0"/>
  </r>
  <r>
    <s v="ORD-101897"/>
    <x v="331"/>
    <x v="0"/>
    <d v="2024-11-01T00:00:00"/>
    <n v="11"/>
    <s v="CUST-02005"/>
    <x v="0"/>
    <x v="15"/>
    <s v="HR"/>
    <x v="0"/>
    <s v="Gurugram"/>
    <x v="1"/>
    <s v="P303"/>
    <s v="Joggers"/>
    <x v="1"/>
    <n v="2"/>
    <n v="1199"/>
    <n v="0.3"/>
    <n v="2398"/>
    <n v="719.4"/>
    <n v="1678.6"/>
    <n v="492"/>
    <n v="984"/>
    <n v="120"/>
    <n v="574.59999999999991"/>
    <n v="0.34230906707970926"/>
    <x v="2"/>
    <d v="2024-12-02T00:00:00"/>
    <n v="2"/>
    <x v="1"/>
    <m/>
    <n v="1"/>
  </r>
  <r>
    <s v="ORD-101898"/>
    <x v="331"/>
    <x v="0"/>
    <d v="2024-11-01T00:00:00"/>
    <n v="11"/>
    <s v="CUST-00381"/>
    <x v="0"/>
    <x v="6"/>
    <s v="DL"/>
    <x v="0"/>
    <s v="New Delhi"/>
    <x v="2"/>
    <s v="P704"/>
    <s v="Multivitamin Gummies"/>
    <x v="0"/>
    <n v="2"/>
    <n v="699"/>
    <n v="0.3"/>
    <n v="1398"/>
    <n v="419.4"/>
    <n v="978.6"/>
    <n v="238"/>
    <n v="476"/>
    <n v="60"/>
    <n v="442.6"/>
    <n v="0.45227876558348662"/>
    <x v="0"/>
    <d v="2024-12-03T00:00:00"/>
    <n v="3"/>
    <x v="0"/>
    <n v="4"/>
    <n v="0"/>
  </r>
  <r>
    <s v="ORD-101899"/>
    <x v="331"/>
    <x v="0"/>
    <d v="2024-11-01T00:00:00"/>
    <n v="11"/>
    <s v="CUST-00790"/>
    <x v="1"/>
    <x v="6"/>
    <s v="DL"/>
    <x v="0"/>
    <s v="New Delhi"/>
    <x v="4"/>
    <s v="P503"/>
    <s v="Scented Candle Set"/>
    <x v="4"/>
    <n v="2"/>
    <n v="699"/>
    <n v="0.4"/>
    <n v="1398"/>
    <n v="559.20000000000005"/>
    <n v="838.8"/>
    <n v="245"/>
    <n v="490"/>
    <n v="60"/>
    <n v="288.79999999999995"/>
    <n v="0.34430138292799234"/>
    <x v="0"/>
    <d v="2024-12-01T00:00:00"/>
    <n v="1"/>
    <x v="1"/>
    <n v="5"/>
    <n v="0"/>
  </r>
  <r>
    <s v="ORD-101900"/>
    <x v="331"/>
    <x v="0"/>
    <d v="2024-11-01T00:00:00"/>
    <n v="11"/>
    <s v="CUST-00006"/>
    <x v="1"/>
    <x v="6"/>
    <s v="DL"/>
    <x v="0"/>
    <s v="New Delhi"/>
    <x v="2"/>
    <s v="P702"/>
    <s v="Whey Protein 1kg"/>
    <x v="0"/>
    <n v="3"/>
    <n v="2299"/>
    <n v="0.3"/>
    <n v="6897"/>
    <n v="2069.1"/>
    <n v="4827.8999999999996"/>
    <n v="1333"/>
    <n v="3999"/>
    <n v="60"/>
    <n v="768.89999999999964"/>
    <n v="0.15926179084073813"/>
    <x v="0"/>
    <d v="2024-12-03T00:00:00"/>
    <n v="3"/>
    <x v="0"/>
    <m/>
    <n v="0"/>
  </r>
  <r>
    <s v="ORD-101901"/>
    <x v="331"/>
    <x v="0"/>
    <d v="2024-11-01T00:00:00"/>
    <n v="11"/>
    <s v="CUST-00657"/>
    <x v="1"/>
    <x v="6"/>
    <s v="DL"/>
    <x v="0"/>
    <s v="New Delhi"/>
    <x v="0"/>
    <s v="P503"/>
    <s v="Scented Candle Set"/>
    <x v="4"/>
    <n v="1"/>
    <n v="699"/>
    <n v="0.3"/>
    <n v="699"/>
    <n v="209.7"/>
    <n v="489.3"/>
    <n v="245"/>
    <n v="245"/>
    <n v="60"/>
    <n v="184.3"/>
    <n v="0.37666053545881872"/>
    <x v="0"/>
    <d v="2024-12-03T00:00:00"/>
    <n v="3"/>
    <x v="0"/>
    <n v="3"/>
    <n v="0"/>
  </r>
  <r>
    <s v="ORD-101902"/>
    <x v="331"/>
    <x v="0"/>
    <d v="2024-11-01T00:00:00"/>
    <n v="11"/>
    <s v="CUST-01110"/>
    <x v="0"/>
    <x v="16"/>
    <s v="UP"/>
    <x v="0"/>
    <s v="Lucknow"/>
    <x v="4"/>
    <s v="P304"/>
    <s v="Denim Jacket"/>
    <x v="1"/>
    <n v="4"/>
    <n v="2499"/>
    <n v="0.15"/>
    <n v="9996"/>
    <n v="1499.3999999999999"/>
    <n v="8496.6"/>
    <n v="1125"/>
    <n v="4500"/>
    <n v="120"/>
    <n v="3876.6000000000004"/>
    <n v="0.45625308947108256"/>
    <x v="4"/>
    <d v="2024-12-04T00:00:00"/>
    <n v="4"/>
    <x v="0"/>
    <n v="4"/>
    <n v="1"/>
  </r>
  <r>
    <s v="ORD-101903"/>
    <x v="331"/>
    <x v="0"/>
    <d v="2024-11-01T00:00:00"/>
    <n v="11"/>
    <s v="CUST-00674"/>
    <x v="1"/>
    <x v="22"/>
    <s v="AS"/>
    <x v="2"/>
    <s v="Guwahati"/>
    <x v="3"/>
    <s v="P103"/>
    <s v="Niacinamide Toner"/>
    <x v="3"/>
    <n v="1"/>
    <n v="399"/>
    <n v="0.3"/>
    <n v="399"/>
    <n v="119.69999999999999"/>
    <n v="279.3"/>
    <n v="112"/>
    <n v="112"/>
    <n v="120"/>
    <n v="47.300000000000011"/>
    <n v="0.16935195130683856"/>
    <x v="0"/>
    <d v="2024-12-06T00:00:00"/>
    <n v="6"/>
    <x v="2"/>
    <n v="3"/>
    <n v="1"/>
  </r>
  <r>
    <s v="ORD-101904"/>
    <x v="331"/>
    <x v="0"/>
    <d v="2024-11-01T00:00:00"/>
    <n v="11"/>
    <s v="CUST-01570"/>
    <x v="1"/>
    <x v="13"/>
    <s v="MP"/>
    <x v="1"/>
    <s v="Indore"/>
    <x v="4"/>
    <s v="P602"/>
    <s v="Fast Charger 33W"/>
    <x v="2"/>
    <n v="1"/>
    <n v="899"/>
    <n v="0.1"/>
    <n v="899"/>
    <n v="89.9"/>
    <n v="809.1"/>
    <n v="494"/>
    <n v="494"/>
    <n v="60"/>
    <n v="255.10000000000002"/>
    <n v="0.31528859226300832"/>
    <x v="0"/>
    <d v="2024-12-03T00:00:00"/>
    <n v="3"/>
    <x v="0"/>
    <m/>
    <n v="0"/>
  </r>
  <r>
    <s v="ORD-101905"/>
    <x v="331"/>
    <x v="0"/>
    <d v="2024-11-01T00:00:00"/>
    <n v="11"/>
    <s v="CUST-01240"/>
    <x v="0"/>
    <x v="18"/>
    <s v="WB"/>
    <x v="2"/>
    <s v="Kolkata"/>
    <x v="0"/>
    <s v="P504"/>
    <s v="Cotton Bedsheet"/>
    <x v="4"/>
    <n v="1"/>
    <n v="1299"/>
    <n v="0.1"/>
    <n v="1299"/>
    <n v="129.9"/>
    <n v="1169.0999999999999"/>
    <n v="585"/>
    <n v="585"/>
    <n v="120"/>
    <n v="464.09999999999991"/>
    <n v="0.39697202976648699"/>
    <x v="3"/>
    <d v="2024-12-04T00:00:00"/>
    <n v="4"/>
    <x v="0"/>
    <n v="4"/>
    <n v="1"/>
  </r>
  <r>
    <s v="ORD-101906"/>
    <x v="331"/>
    <x v="0"/>
    <d v="2024-11-01T00:00:00"/>
    <n v="11"/>
    <s v="CUST-00497"/>
    <x v="0"/>
    <x v="11"/>
    <s v="KA"/>
    <x v="3"/>
    <s v="Mysuru"/>
    <x v="3"/>
    <s v="P204"/>
    <s v="Anti-Dandruff Conditioner"/>
    <x v="6"/>
    <n v="1"/>
    <n v="399"/>
    <n v="0.45"/>
    <n v="399"/>
    <n v="179.55"/>
    <n v="219.45"/>
    <n v="136"/>
    <n v="136"/>
    <n v="60"/>
    <n v="23.449999999999989"/>
    <n v="0.10685805422647524"/>
    <x v="1"/>
    <d v="2024-12-02T00:00:00"/>
    <n v="2"/>
    <x v="1"/>
    <n v="3"/>
    <n v="0"/>
  </r>
  <r>
    <s v="ORD-101907"/>
    <x v="331"/>
    <x v="0"/>
    <d v="2024-11-01T00:00:00"/>
    <n v="11"/>
    <s v="CUST-01046"/>
    <x v="0"/>
    <x v="11"/>
    <s v="KA"/>
    <x v="3"/>
    <s v="Bengaluru"/>
    <x v="3"/>
    <s v="P704"/>
    <s v="Multivitamin Gummies"/>
    <x v="0"/>
    <n v="1"/>
    <n v="699"/>
    <n v="0.25"/>
    <n v="699"/>
    <n v="174.75"/>
    <n v="524.25"/>
    <n v="238"/>
    <n v="238"/>
    <n v="60"/>
    <n v="226.25"/>
    <n v="0.43156890796375774"/>
    <x v="2"/>
    <d v="2024-12-04T00:00:00"/>
    <n v="4"/>
    <x v="0"/>
    <m/>
    <n v="0"/>
  </r>
  <r>
    <s v="ORD-101908"/>
    <x v="332"/>
    <x v="0"/>
    <d v="2024-12-01T00:00:00"/>
    <n v="12"/>
    <s v="CUST-00327"/>
    <x v="0"/>
    <x v="6"/>
    <s v="DL"/>
    <x v="0"/>
    <s v="New Delhi"/>
    <x v="4"/>
    <s v="P301"/>
    <s v="Cotton Oversized T-Shirt"/>
    <x v="1"/>
    <n v="1"/>
    <n v="799"/>
    <n v="0.1"/>
    <n v="799"/>
    <n v="79.900000000000006"/>
    <n v="719.1"/>
    <n v="320"/>
    <n v="320"/>
    <n v="60"/>
    <n v="339.1"/>
    <n v="0.47156167431511614"/>
    <x v="4"/>
    <d v="2024-12-02T00:00:00"/>
    <n v="1"/>
    <x v="1"/>
    <n v="4"/>
    <n v="0"/>
  </r>
  <r>
    <s v="ORD-101909"/>
    <x v="332"/>
    <x v="0"/>
    <d v="2024-12-01T00:00:00"/>
    <n v="12"/>
    <s v="CUST-00093"/>
    <x v="0"/>
    <x v="16"/>
    <s v="UP"/>
    <x v="0"/>
    <s v="Lucknow"/>
    <x v="3"/>
    <s v="P201"/>
    <s v="Onion Hair Oil"/>
    <x v="6"/>
    <n v="3"/>
    <n v="349"/>
    <n v="0.3"/>
    <n v="1047"/>
    <n v="314.09999999999997"/>
    <n v="732.90000000000009"/>
    <n v="105"/>
    <n v="315"/>
    <n v="60"/>
    <n v="357.90000000000009"/>
    <n v="0.48833401555464601"/>
    <x v="3"/>
    <d v="2024-12-05T00:00:00"/>
    <n v="4"/>
    <x v="0"/>
    <m/>
    <n v="0"/>
  </r>
  <r>
    <s v="ORD-101910"/>
    <x v="333"/>
    <x v="0"/>
    <d v="2024-12-01T00:00:00"/>
    <n v="12"/>
    <s v="CUST-00670"/>
    <x v="1"/>
    <x v="0"/>
    <s v="RJ"/>
    <x v="0"/>
    <s v="Jaipur"/>
    <x v="1"/>
    <s v="P404"/>
    <s v="Flip Flops"/>
    <x v="5"/>
    <n v="1"/>
    <n v="399"/>
    <n v="0.2"/>
    <n v="399"/>
    <n v="79.800000000000011"/>
    <n v="319.2"/>
    <n v="152"/>
    <n v="152"/>
    <n v="60"/>
    <n v="107.19999999999999"/>
    <n v="0.33583959899749372"/>
    <x v="1"/>
    <d v="2024-12-07T00:00:00"/>
    <n v="5"/>
    <x v="2"/>
    <n v="3"/>
    <n v="0"/>
  </r>
  <r>
    <s v="ORD-101911"/>
    <x v="333"/>
    <x v="0"/>
    <d v="2024-12-01T00:00:00"/>
    <n v="12"/>
    <s v="CUST-02829"/>
    <x v="0"/>
    <x v="6"/>
    <s v="DL"/>
    <x v="0"/>
    <s v="New Delhi"/>
    <x v="0"/>
    <s v="P304"/>
    <s v="Denim Jacket"/>
    <x v="1"/>
    <n v="1"/>
    <n v="2499"/>
    <n v="0"/>
    <n v="2499"/>
    <n v="0"/>
    <n v="2499"/>
    <n v="1125"/>
    <n v="1125"/>
    <n v="60"/>
    <n v="1314"/>
    <n v="0.5258103241296519"/>
    <x v="0"/>
    <d v="2024-12-05T00:00:00"/>
    <n v="3"/>
    <x v="0"/>
    <n v="3"/>
    <n v="0"/>
  </r>
  <r>
    <s v="ORD-101912"/>
    <x v="333"/>
    <x v="0"/>
    <d v="2024-12-01T00:00:00"/>
    <n v="12"/>
    <s v="CUST-00324"/>
    <x v="1"/>
    <x v="13"/>
    <s v="MP"/>
    <x v="1"/>
    <s v="Bhopal"/>
    <x v="2"/>
    <s v="P703"/>
    <s v="Green Tea (100 bags)"/>
    <x v="0"/>
    <n v="1"/>
    <n v="399"/>
    <n v="0.4"/>
    <n v="399"/>
    <n v="159.60000000000002"/>
    <n v="239.39999999999998"/>
    <n v="128"/>
    <n v="128"/>
    <n v="60"/>
    <n v="51.399999999999977"/>
    <n v="0.21470342522974095"/>
    <x v="0"/>
    <d v="2024-12-06T00:00:00"/>
    <n v="4"/>
    <x v="0"/>
    <m/>
    <n v="0"/>
  </r>
  <r>
    <s v="ORD-101913"/>
    <x v="333"/>
    <x v="0"/>
    <d v="2024-12-01T00:00:00"/>
    <n v="12"/>
    <s v="CUST-00136"/>
    <x v="1"/>
    <x v="13"/>
    <s v="MP"/>
    <x v="1"/>
    <s v="Bhopal"/>
    <x v="4"/>
    <s v="P102"/>
    <s v="Sunscreen SPF 50"/>
    <x v="3"/>
    <n v="2"/>
    <n v="449"/>
    <n v="0.05"/>
    <n v="898"/>
    <n v="44.900000000000006"/>
    <n v="853.1"/>
    <n v="144"/>
    <n v="288"/>
    <n v="60"/>
    <n v="505.1"/>
    <n v="0.59207595826983939"/>
    <x v="3"/>
    <d v="2024-12-06T00:00:00"/>
    <n v="4"/>
    <x v="0"/>
    <m/>
    <n v="0"/>
  </r>
  <r>
    <s v="ORD-101914"/>
    <x v="333"/>
    <x v="0"/>
    <d v="2024-12-01T00:00:00"/>
    <n v="12"/>
    <s v="CUST-01875"/>
    <x v="0"/>
    <x v="18"/>
    <s v="WB"/>
    <x v="2"/>
    <s v="Kolkata"/>
    <x v="3"/>
    <s v="P701"/>
    <s v="Ashwagandha Capsules"/>
    <x v="0"/>
    <n v="1"/>
    <n v="499"/>
    <n v="0.05"/>
    <n v="499"/>
    <n v="24.950000000000003"/>
    <n v="474.05"/>
    <n v="150"/>
    <n v="150"/>
    <n v="60"/>
    <n v="264.05"/>
    <n v="0.55700875435080688"/>
    <x v="3"/>
    <d v="2024-12-05T00:00:00"/>
    <n v="3"/>
    <x v="0"/>
    <m/>
    <n v="0"/>
  </r>
  <r>
    <s v="ORD-101915"/>
    <x v="333"/>
    <x v="0"/>
    <d v="2024-12-01T00:00:00"/>
    <n v="12"/>
    <s v="CUST-02335"/>
    <x v="0"/>
    <x v="2"/>
    <s v="MH"/>
    <x v="1"/>
    <s v="Mumbai"/>
    <x v="3"/>
    <s v="P101"/>
    <s v="Vitamin C Face Serum"/>
    <x v="3"/>
    <n v="1"/>
    <n v="599"/>
    <n v="0.25"/>
    <n v="599"/>
    <n v="149.75"/>
    <n v="449.25"/>
    <n v="180"/>
    <n v="180"/>
    <n v="60"/>
    <n v="209.25"/>
    <n v="0.46577629382303842"/>
    <x v="2"/>
    <d v="2024-12-04T00:00:00"/>
    <n v="2"/>
    <x v="1"/>
    <n v="4"/>
    <n v="0"/>
  </r>
  <r>
    <s v="ORD-101916"/>
    <x v="333"/>
    <x v="0"/>
    <d v="2024-12-01T00:00:00"/>
    <n v="12"/>
    <s v="CUST-00393"/>
    <x v="0"/>
    <x v="2"/>
    <s v="MH"/>
    <x v="1"/>
    <s v="Mumbai"/>
    <x v="3"/>
    <s v="P104"/>
    <s v="Hydrating Face Wash"/>
    <x v="3"/>
    <n v="1"/>
    <n v="299"/>
    <n v="0"/>
    <n v="299"/>
    <n v="0"/>
    <n v="299"/>
    <n v="90"/>
    <n v="90"/>
    <n v="60"/>
    <n v="149"/>
    <n v="0.49832775919732442"/>
    <x v="1"/>
    <d v="2024-12-03T00:00:00"/>
    <n v="1"/>
    <x v="1"/>
    <n v="4"/>
    <n v="0"/>
  </r>
  <r>
    <s v="ORD-101917"/>
    <x v="334"/>
    <x v="0"/>
    <d v="2024-12-01T00:00:00"/>
    <n v="12"/>
    <s v="CUST-00353"/>
    <x v="1"/>
    <x v="1"/>
    <s v="GJ"/>
    <x v="1"/>
    <s v="Ahmedabad"/>
    <x v="1"/>
    <s v="P401"/>
    <s v="Running Shoes"/>
    <x v="5"/>
    <n v="2"/>
    <n v="2999"/>
    <n v="0.25"/>
    <n v="5998"/>
    <n v="1499.5"/>
    <n v="4498.5"/>
    <n v="1440"/>
    <n v="2880"/>
    <n v="60"/>
    <n v="1558.5"/>
    <n v="0.34644881627209068"/>
    <x v="1"/>
    <d v="2024-12-07T00:00:00"/>
    <n v="4"/>
    <x v="0"/>
    <n v="3"/>
    <n v="0"/>
  </r>
  <r>
    <s v="ORD-101918"/>
    <x v="334"/>
    <x v="0"/>
    <d v="2024-12-01T00:00:00"/>
    <n v="12"/>
    <s v="CUST-01152"/>
    <x v="1"/>
    <x v="18"/>
    <s v="WB"/>
    <x v="2"/>
    <s v="Kolkata"/>
    <x v="1"/>
    <s v="P303"/>
    <s v="Joggers"/>
    <x v="1"/>
    <n v="4"/>
    <n v="1199"/>
    <n v="0.05"/>
    <n v="4796"/>
    <n v="239.8"/>
    <n v="4556.2"/>
    <n v="492"/>
    <n v="1968"/>
    <n v="60"/>
    <n v="2528.1999999999998"/>
    <n v="0.55489223475703431"/>
    <x v="0"/>
    <d v="2024-12-06T00:00:00"/>
    <n v="3"/>
    <x v="0"/>
    <m/>
    <n v="0"/>
  </r>
  <r>
    <s v="ORD-101919"/>
    <x v="334"/>
    <x v="0"/>
    <d v="2024-12-01T00:00:00"/>
    <n v="12"/>
    <s v="CUST-00675"/>
    <x v="0"/>
    <x v="17"/>
    <s v="TN"/>
    <x v="3"/>
    <s v="Chennai"/>
    <x v="3"/>
    <s v="P704"/>
    <s v="Multivitamin Gummies"/>
    <x v="0"/>
    <n v="1"/>
    <n v="699"/>
    <n v="0.3"/>
    <n v="699"/>
    <n v="209.7"/>
    <n v="489.3"/>
    <n v="238"/>
    <n v="238"/>
    <n v="60"/>
    <n v="191.3"/>
    <n v="0.39096668710402616"/>
    <x v="0"/>
    <d v="2024-12-08T00:00:00"/>
    <n v="5"/>
    <x v="2"/>
    <n v="4"/>
    <n v="0"/>
  </r>
  <r>
    <s v="ORD-101920"/>
    <x v="335"/>
    <x v="0"/>
    <d v="2024-12-01T00:00:00"/>
    <n v="12"/>
    <s v="CUST-01170"/>
    <x v="1"/>
    <x v="16"/>
    <s v="UP"/>
    <x v="0"/>
    <s v="Noida"/>
    <x v="2"/>
    <s v="P104"/>
    <s v="Hydrating Face Wash"/>
    <x v="3"/>
    <n v="1"/>
    <n v="299"/>
    <n v="0"/>
    <n v="299"/>
    <n v="0"/>
    <n v="299"/>
    <n v="90"/>
    <n v="90"/>
    <n v="60"/>
    <n v="149"/>
    <n v="0.49832775919732442"/>
    <x v="0"/>
    <d v="2024-12-08T00:00:00"/>
    <n v="4"/>
    <x v="0"/>
    <n v="3"/>
    <n v="0"/>
  </r>
  <r>
    <s v="ORD-101921"/>
    <x v="335"/>
    <x v="0"/>
    <d v="2024-12-01T00:00:00"/>
    <n v="12"/>
    <s v="CUST-00723"/>
    <x v="1"/>
    <x v="1"/>
    <s v="GJ"/>
    <x v="1"/>
    <s v="Surat"/>
    <x v="0"/>
    <s v="P703"/>
    <s v="Green Tea (100 bags)"/>
    <x v="0"/>
    <n v="1"/>
    <n v="399"/>
    <n v="0.4"/>
    <n v="399"/>
    <n v="159.60000000000002"/>
    <n v="239.39999999999998"/>
    <n v="128"/>
    <n v="128"/>
    <n v="60"/>
    <n v="51.399999999999977"/>
    <n v="0.21470342522974095"/>
    <x v="1"/>
    <d v="2024-12-07T00:00:00"/>
    <n v="3"/>
    <x v="0"/>
    <n v="4"/>
    <n v="0"/>
  </r>
  <r>
    <s v="ORD-101922"/>
    <x v="335"/>
    <x v="0"/>
    <d v="2024-12-01T00:00:00"/>
    <n v="12"/>
    <s v="CUST-01849"/>
    <x v="0"/>
    <x v="13"/>
    <s v="MP"/>
    <x v="1"/>
    <s v="Bhopal"/>
    <x v="1"/>
    <s v="P403"/>
    <s v="Kolhapuri Sandals"/>
    <x v="5"/>
    <n v="1"/>
    <n v="999"/>
    <n v="0.1"/>
    <n v="999"/>
    <n v="99.9"/>
    <n v="899.1"/>
    <n v="400"/>
    <n v="400"/>
    <n v="60"/>
    <n v="439.1"/>
    <n v="0.48837726615504395"/>
    <x v="3"/>
    <d v="2024-12-08T00:00:00"/>
    <n v="4"/>
    <x v="0"/>
    <n v="3"/>
    <n v="0"/>
  </r>
  <r>
    <s v="ORD-101923"/>
    <x v="336"/>
    <x v="0"/>
    <d v="2024-12-01T00:00:00"/>
    <n v="12"/>
    <s v="CUST-02187"/>
    <x v="0"/>
    <x v="19"/>
    <s v="PB"/>
    <x v="0"/>
    <s v="Ludhiana"/>
    <x v="4"/>
    <s v="P501"/>
    <s v="Copper Water Bottle"/>
    <x v="4"/>
    <n v="2"/>
    <n v="899"/>
    <n v="0"/>
    <n v="1798"/>
    <n v="0"/>
    <n v="1798"/>
    <n v="378"/>
    <n v="756"/>
    <n v="60"/>
    <n v="982"/>
    <n v="0.5461624026696329"/>
    <x v="0"/>
    <d v="2024-12-07T00:00:00"/>
    <n v="2"/>
    <x v="1"/>
    <n v="4"/>
    <n v="0"/>
  </r>
  <r>
    <s v="ORD-101924"/>
    <x v="336"/>
    <x v="0"/>
    <d v="2024-12-01T00:00:00"/>
    <n v="12"/>
    <s v="CUST-02991"/>
    <x v="0"/>
    <x v="9"/>
    <s v="UK"/>
    <x v="0"/>
    <s v="Dehradun"/>
    <x v="0"/>
    <s v="P204"/>
    <s v="Anti-Dandruff Conditioner"/>
    <x v="6"/>
    <n v="2"/>
    <n v="399"/>
    <n v="0.4"/>
    <n v="798"/>
    <n v="319.20000000000005"/>
    <n v="478.79999999999995"/>
    <n v="136"/>
    <n v="272"/>
    <n v="60"/>
    <n v="146.79999999999995"/>
    <n v="0.30659983291562232"/>
    <x v="0"/>
    <d v="2024-12-09T00:00:00"/>
    <n v="4"/>
    <x v="0"/>
    <m/>
    <n v="0"/>
  </r>
  <r>
    <s v="ORD-101925"/>
    <x v="336"/>
    <x v="0"/>
    <d v="2024-12-01T00:00:00"/>
    <n v="12"/>
    <s v="CUST-00462"/>
    <x v="1"/>
    <x v="13"/>
    <s v="MP"/>
    <x v="1"/>
    <s v="Indore"/>
    <x v="0"/>
    <s v="P404"/>
    <s v="Flip Flops"/>
    <x v="5"/>
    <n v="1"/>
    <n v="399"/>
    <n v="0.1"/>
    <n v="399"/>
    <n v="39.900000000000006"/>
    <n v="359.1"/>
    <n v="152"/>
    <n v="152"/>
    <n v="60"/>
    <n v="147.10000000000002"/>
    <n v="0.40963519910888335"/>
    <x v="1"/>
    <d v="2024-12-08T00:00:00"/>
    <n v="3"/>
    <x v="0"/>
    <n v="4"/>
    <n v="0"/>
  </r>
  <r>
    <s v="ORD-101926"/>
    <x v="336"/>
    <x v="0"/>
    <d v="2024-12-01T00:00:00"/>
    <n v="12"/>
    <s v="CUST-02542"/>
    <x v="0"/>
    <x v="18"/>
    <s v="WB"/>
    <x v="2"/>
    <s v="Kolkata"/>
    <x v="3"/>
    <s v="P704"/>
    <s v="Multivitamin Gummies"/>
    <x v="0"/>
    <n v="1"/>
    <n v="699"/>
    <n v="0.2"/>
    <n v="699"/>
    <n v="139.80000000000001"/>
    <n v="559.20000000000005"/>
    <n v="238"/>
    <n v="238"/>
    <n v="60"/>
    <n v="261.20000000000005"/>
    <n v="0.46709585121602293"/>
    <x v="0"/>
    <d v="2024-12-09T00:00:00"/>
    <n v="4"/>
    <x v="0"/>
    <n v="4"/>
    <n v="0"/>
  </r>
  <r>
    <s v="ORD-101927"/>
    <x v="336"/>
    <x v="0"/>
    <d v="2024-12-01T00:00:00"/>
    <n v="12"/>
    <s v="CUST-00035"/>
    <x v="1"/>
    <x v="18"/>
    <s v="WB"/>
    <x v="2"/>
    <s v="Kolkata"/>
    <x v="1"/>
    <s v="P301"/>
    <s v="Cotton Oversized T-Shirt"/>
    <x v="1"/>
    <n v="1"/>
    <n v="799"/>
    <n v="0"/>
    <n v="799"/>
    <n v="0"/>
    <n v="799"/>
    <n v="320"/>
    <n v="320"/>
    <n v="60"/>
    <n v="419"/>
    <n v="0.52440550688360454"/>
    <x v="1"/>
    <d v="2024-12-08T00:00:00"/>
    <n v="3"/>
    <x v="0"/>
    <n v="3"/>
    <n v="0"/>
  </r>
  <r>
    <s v="ORD-101928"/>
    <x v="336"/>
    <x v="0"/>
    <d v="2024-12-01T00:00:00"/>
    <n v="12"/>
    <s v="CUST-02687"/>
    <x v="1"/>
    <x v="2"/>
    <s v="MH"/>
    <x v="1"/>
    <s v="Nagpur"/>
    <x v="1"/>
    <s v="P302"/>
    <s v="Linen Kurta"/>
    <x v="1"/>
    <n v="2"/>
    <n v="1499"/>
    <n v="0.4"/>
    <n v="2998"/>
    <n v="1199.2"/>
    <n v="1798.8"/>
    <n v="630"/>
    <n v="1260"/>
    <n v="60"/>
    <n v="478.79999999999995"/>
    <n v="0.26617745163442291"/>
    <x v="2"/>
    <d v="2024-12-07T00:00:00"/>
    <n v="2"/>
    <x v="1"/>
    <n v="4"/>
    <n v="0"/>
  </r>
  <r>
    <s v="ORD-101929"/>
    <x v="336"/>
    <x v="0"/>
    <d v="2024-12-01T00:00:00"/>
    <n v="12"/>
    <s v="CUST-00393"/>
    <x v="1"/>
    <x v="11"/>
    <s v="KA"/>
    <x v="3"/>
    <s v="Bengaluru"/>
    <x v="0"/>
    <s v="P704"/>
    <s v="Multivitamin Gummies"/>
    <x v="0"/>
    <n v="2"/>
    <n v="699"/>
    <n v="0.3"/>
    <n v="1398"/>
    <n v="419.4"/>
    <n v="978.6"/>
    <n v="238"/>
    <n v="476"/>
    <n v="60"/>
    <n v="442.6"/>
    <n v="0.45227876558348662"/>
    <x v="3"/>
    <d v="2024-12-06T00:00:00"/>
    <n v="1"/>
    <x v="1"/>
    <n v="4"/>
    <n v="0"/>
  </r>
  <r>
    <s v="ORD-101930"/>
    <x v="337"/>
    <x v="0"/>
    <d v="2024-12-01T00:00:00"/>
    <n v="12"/>
    <s v="CUST-00413"/>
    <x v="0"/>
    <x v="5"/>
    <s v="HP"/>
    <x v="0"/>
    <s v="Shimla"/>
    <x v="4"/>
    <s v="P704"/>
    <s v="Multivitamin Gummies"/>
    <x v="0"/>
    <n v="1"/>
    <n v="699"/>
    <n v="0.2"/>
    <n v="699"/>
    <n v="139.80000000000001"/>
    <n v="559.20000000000005"/>
    <n v="238"/>
    <n v="238"/>
    <n v="120"/>
    <n v="201.20000000000005"/>
    <n v="0.35979971387696713"/>
    <x v="0"/>
    <d v="2024-12-10T00:00:00"/>
    <n v="4"/>
    <x v="0"/>
    <n v="4"/>
    <n v="1"/>
  </r>
  <r>
    <s v="ORD-101931"/>
    <x v="337"/>
    <x v="0"/>
    <d v="2024-12-01T00:00:00"/>
    <n v="12"/>
    <s v="CUST-00144"/>
    <x v="0"/>
    <x v="1"/>
    <s v="GJ"/>
    <x v="1"/>
    <s v="Surat"/>
    <x v="1"/>
    <s v="P403"/>
    <s v="Kolhapuri Sandals"/>
    <x v="5"/>
    <n v="3"/>
    <n v="999"/>
    <n v="0.1"/>
    <n v="2997"/>
    <n v="299.7"/>
    <n v="2697.3"/>
    <n v="400"/>
    <n v="1200"/>
    <n v="120"/>
    <n v="1377.3000000000002"/>
    <n v="0.51062173284395507"/>
    <x v="0"/>
    <d v="2024-12-07T00:00:00"/>
    <n v="1"/>
    <x v="1"/>
    <m/>
    <n v="1"/>
  </r>
  <r>
    <s v="ORD-101932"/>
    <x v="337"/>
    <x v="0"/>
    <d v="2024-12-01T00:00:00"/>
    <n v="12"/>
    <s v="CUST-03138"/>
    <x v="0"/>
    <x v="2"/>
    <s v="MH"/>
    <x v="1"/>
    <s v="Mumbai"/>
    <x v="0"/>
    <s v="P202"/>
    <s v="Argan Shampoo"/>
    <x v="6"/>
    <n v="1"/>
    <n v="449"/>
    <n v="0.05"/>
    <n v="449"/>
    <n v="22.450000000000003"/>
    <n v="426.55"/>
    <n v="148"/>
    <n v="148"/>
    <n v="120"/>
    <n v="158.55000000000001"/>
    <n v="0.37170320009377567"/>
    <x v="3"/>
    <d v="2024-12-09T00:00:00"/>
    <n v="3"/>
    <x v="0"/>
    <m/>
    <n v="1"/>
  </r>
  <r>
    <s v="ORD-101933"/>
    <x v="337"/>
    <x v="0"/>
    <d v="2024-12-01T00:00:00"/>
    <n v="12"/>
    <s v="CUST-01025"/>
    <x v="1"/>
    <x v="21"/>
    <s v="TG"/>
    <x v="3"/>
    <s v="Hyderabad"/>
    <x v="0"/>
    <s v="P104"/>
    <s v="Hydrating Face Wash"/>
    <x v="3"/>
    <n v="3"/>
    <n v="299"/>
    <n v="0.05"/>
    <n v="897"/>
    <n v="44.85"/>
    <n v="852.15"/>
    <n v="90"/>
    <n v="270"/>
    <n v="60"/>
    <n v="522.15"/>
    <n v="0.61274423516986443"/>
    <x v="4"/>
    <d v="2024-12-09T00:00:00"/>
    <n v="3"/>
    <x v="0"/>
    <m/>
    <n v="0"/>
  </r>
  <r>
    <s v="ORD-101934"/>
    <x v="337"/>
    <x v="0"/>
    <d v="2024-12-01T00:00:00"/>
    <n v="12"/>
    <s v="CUST-00974"/>
    <x v="1"/>
    <x v="20"/>
    <s v="GA"/>
    <x v="1"/>
    <s v="Panaji"/>
    <x v="4"/>
    <s v="P404"/>
    <s v="Flip Flops"/>
    <x v="5"/>
    <n v="1"/>
    <n v="399"/>
    <n v="0.05"/>
    <n v="399"/>
    <n v="19.950000000000003"/>
    <n v="379.05"/>
    <n v="152"/>
    <n v="152"/>
    <n v="60"/>
    <n v="167.05"/>
    <n v="0.44070703073473161"/>
    <x v="4"/>
    <d v="2024-12-10T00:00:00"/>
    <n v="4"/>
    <x v="0"/>
    <n v="4"/>
    <n v="0"/>
  </r>
  <r>
    <s v="ORD-101935"/>
    <x v="337"/>
    <x v="0"/>
    <d v="2024-12-01T00:00:00"/>
    <n v="12"/>
    <s v="CUST-00557"/>
    <x v="0"/>
    <x v="17"/>
    <s v="TN"/>
    <x v="3"/>
    <s v="Chennai"/>
    <x v="2"/>
    <s v="P204"/>
    <s v="Anti-Dandruff Conditioner"/>
    <x v="6"/>
    <n v="2"/>
    <n v="399"/>
    <n v="0.35"/>
    <n v="798"/>
    <n v="279.29999999999995"/>
    <n v="518.70000000000005"/>
    <n v="136"/>
    <n v="272"/>
    <n v="60"/>
    <n v="186.70000000000005"/>
    <n v="0.35993830730672843"/>
    <x v="0"/>
    <d v="2024-12-10T00:00:00"/>
    <n v="4"/>
    <x v="0"/>
    <n v="3"/>
    <n v="0"/>
  </r>
  <r>
    <s v="ORD-101936"/>
    <x v="338"/>
    <x v="0"/>
    <d v="2024-12-01T00:00:00"/>
    <n v="12"/>
    <s v="CUST-02197"/>
    <x v="0"/>
    <x v="19"/>
    <s v="PB"/>
    <x v="0"/>
    <s v="Amritsar"/>
    <x v="3"/>
    <s v="P104"/>
    <s v="Hydrating Face Wash"/>
    <x v="3"/>
    <n v="1"/>
    <n v="299"/>
    <n v="0"/>
    <n v="299"/>
    <n v="0"/>
    <n v="299"/>
    <n v="90"/>
    <n v="90"/>
    <n v="60"/>
    <n v="149"/>
    <n v="0.49832775919732442"/>
    <x v="4"/>
    <d v="2024-12-10T00:00:00"/>
    <n v="3"/>
    <x v="0"/>
    <m/>
    <n v="0"/>
  </r>
  <r>
    <s v="ORD-101937"/>
    <x v="338"/>
    <x v="0"/>
    <d v="2024-12-01T00:00:00"/>
    <n v="12"/>
    <s v="CUST-00322"/>
    <x v="1"/>
    <x v="12"/>
    <s v="BR"/>
    <x v="2"/>
    <s v="Patna"/>
    <x v="0"/>
    <s v="P502"/>
    <s v="Ceramic Dinner Set"/>
    <x v="4"/>
    <n v="2"/>
    <n v="2499"/>
    <n v="0.35"/>
    <n v="4998"/>
    <n v="1749.3"/>
    <n v="3248.7"/>
    <n v="1250"/>
    <n v="2500"/>
    <n v="60"/>
    <n v="688.69999999999982"/>
    <n v="0.21199248930341363"/>
    <x v="4"/>
    <d v="2024-12-12T00:00:00"/>
    <n v="5"/>
    <x v="2"/>
    <n v="4"/>
    <n v="0"/>
  </r>
  <r>
    <s v="ORD-101938"/>
    <x v="338"/>
    <x v="0"/>
    <d v="2024-12-01T00:00:00"/>
    <n v="12"/>
    <s v="CUST-02027"/>
    <x v="0"/>
    <x v="1"/>
    <s v="GJ"/>
    <x v="1"/>
    <s v="Ahmedabad"/>
    <x v="2"/>
    <s v="P103"/>
    <s v="Niacinamide Toner"/>
    <x v="3"/>
    <n v="1"/>
    <n v="399"/>
    <n v="0.15"/>
    <n v="399"/>
    <n v="59.849999999999994"/>
    <n v="339.15"/>
    <n v="112"/>
    <n v="112"/>
    <n v="60"/>
    <n v="167.14999999999998"/>
    <n v="0.49284977148754233"/>
    <x v="0"/>
    <d v="2024-12-11T00:00:00"/>
    <n v="4"/>
    <x v="0"/>
    <n v="4"/>
    <n v="0"/>
  </r>
  <r>
    <s v="ORD-101939"/>
    <x v="338"/>
    <x v="0"/>
    <d v="2024-12-01T00:00:00"/>
    <n v="12"/>
    <s v="CUST-00630"/>
    <x v="1"/>
    <x v="10"/>
    <s v="CG"/>
    <x v="2"/>
    <s v="Raipur"/>
    <x v="0"/>
    <s v="P703"/>
    <s v="Green Tea (100 bags)"/>
    <x v="0"/>
    <n v="2"/>
    <n v="399"/>
    <n v="0.4"/>
    <n v="798"/>
    <n v="319.20000000000005"/>
    <n v="478.79999999999995"/>
    <n v="128"/>
    <n v="256"/>
    <n v="60"/>
    <n v="162.79999999999995"/>
    <n v="0.34001670843776099"/>
    <x v="1"/>
    <d v="2024-12-11T00:00:00"/>
    <n v="4"/>
    <x v="0"/>
    <n v="4"/>
    <n v="0"/>
  </r>
  <r>
    <s v="ORD-101940"/>
    <x v="338"/>
    <x v="0"/>
    <d v="2024-12-01T00:00:00"/>
    <n v="12"/>
    <s v="CUST-00156"/>
    <x v="1"/>
    <x v="11"/>
    <s v="KA"/>
    <x v="3"/>
    <s v="Mysuru"/>
    <x v="0"/>
    <s v="P201"/>
    <s v="Onion Hair Oil"/>
    <x v="6"/>
    <n v="2"/>
    <n v="349"/>
    <n v="0.4"/>
    <n v="698"/>
    <n v="279.2"/>
    <n v="418.8"/>
    <n v="105"/>
    <n v="210"/>
    <n v="60"/>
    <n v="148.80000000000001"/>
    <n v="0.35530085959885388"/>
    <x v="3"/>
    <d v="2024-12-10T00:00:00"/>
    <n v="3"/>
    <x v="0"/>
    <n v="4"/>
    <n v="0"/>
  </r>
  <r>
    <s v="ORD-101941"/>
    <x v="338"/>
    <x v="0"/>
    <d v="2024-12-01T00:00:00"/>
    <n v="12"/>
    <s v="CUST-00662"/>
    <x v="0"/>
    <x v="8"/>
    <s v="AP"/>
    <x v="3"/>
    <s v="Visakhapatnam"/>
    <x v="4"/>
    <s v="P401"/>
    <s v="Running Shoes"/>
    <x v="5"/>
    <n v="1"/>
    <n v="2999"/>
    <n v="0.2"/>
    <n v="2999"/>
    <n v="599.80000000000007"/>
    <n v="2399.1999999999998"/>
    <n v="1440"/>
    <n v="1440"/>
    <n v="60"/>
    <n v="899.19999999999982"/>
    <n v="0.3747915971990663"/>
    <x v="0"/>
    <d v="2024-12-09T00:00:00"/>
    <n v="2"/>
    <x v="1"/>
    <n v="4"/>
    <n v="0"/>
  </r>
  <r>
    <s v="ORD-101942"/>
    <x v="339"/>
    <x v="0"/>
    <d v="2024-12-01T00:00:00"/>
    <n v="12"/>
    <s v="CUST-01613"/>
    <x v="0"/>
    <x v="5"/>
    <s v="HP"/>
    <x v="0"/>
    <s v="Shimla"/>
    <x v="4"/>
    <s v="P101"/>
    <s v="Vitamin C Face Serum"/>
    <x v="3"/>
    <n v="1"/>
    <n v="599"/>
    <n v="0.15"/>
    <n v="599"/>
    <n v="89.85"/>
    <n v="509.15"/>
    <n v="180"/>
    <n v="180"/>
    <n v="60"/>
    <n v="269.14999999999998"/>
    <n v="0.52862614160856325"/>
    <x v="4"/>
    <d v="2024-12-14T00:00:00"/>
    <n v="6"/>
    <x v="2"/>
    <n v="4"/>
    <n v="0"/>
  </r>
  <r>
    <s v="ORD-101943"/>
    <x v="339"/>
    <x v="0"/>
    <d v="2024-12-01T00:00:00"/>
    <n v="12"/>
    <s v="CUST-01329"/>
    <x v="0"/>
    <x v="9"/>
    <s v="UK"/>
    <x v="0"/>
    <s v="Dehradun"/>
    <x v="1"/>
    <s v="P402"/>
    <s v="Casual Sneakers"/>
    <x v="5"/>
    <n v="2"/>
    <n v="2199"/>
    <n v="0.15"/>
    <n v="4398"/>
    <n v="659.69999999999993"/>
    <n v="3738.3"/>
    <n v="1034"/>
    <n v="2068"/>
    <n v="60"/>
    <n v="1610.3000000000002"/>
    <n v="0.43075729609715652"/>
    <x v="1"/>
    <d v="2024-12-12T00:00:00"/>
    <n v="4"/>
    <x v="0"/>
    <n v="4"/>
    <n v="0"/>
  </r>
  <r>
    <s v="ORD-101944"/>
    <x v="339"/>
    <x v="0"/>
    <d v="2024-12-01T00:00:00"/>
    <n v="12"/>
    <s v="CUST-00308"/>
    <x v="0"/>
    <x v="15"/>
    <s v="HR"/>
    <x v="0"/>
    <s v="Faridabad"/>
    <x v="3"/>
    <s v="P102"/>
    <s v="Sunscreen SPF 50"/>
    <x v="3"/>
    <n v="1"/>
    <n v="449"/>
    <n v="0.05"/>
    <n v="449"/>
    <n v="22.450000000000003"/>
    <n v="426.55"/>
    <n v="144"/>
    <n v="144"/>
    <n v="60"/>
    <n v="222.55"/>
    <n v="0.52174422693705313"/>
    <x v="0"/>
    <d v="2024-12-11T00:00:00"/>
    <n v="3"/>
    <x v="0"/>
    <n v="4"/>
    <n v="0"/>
  </r>
  <r>
    <s v="ORD-101945"/>
    <x v="339"/>
    <x v="0"/>
    <d v="2024-12-01T00:00:00"/>
    <n v="12"/>
    <s v="CUST-02694"/>
    <x v="0"/>
    <x v="1"/>
    <s v="GJ"/>
    <x v="1"/>
    <s v="Ahmedabad"/>
    <x v="4"/>
    <s v="P603"/>
    <s v="Smartwatch Strap"/>
    <x v="2"/>
    <n v="1"/>
    <n v="499"/>
    <n v="0.1"/>
    <n v="499"/>
    <n v="49.900000000000006"/>
    <n v="449.1"/>
    <n v="200"/>
    <n v="200"/>
    <n v="60"/>
    <n v="189.10000000000002"/>
    <n v="0.42106435092407041"/>
    <x v="3"/>
    <d v="2024-12-12T00:00:00"/>
    <n v="4"/>
    <x v="0"/>
    <n v="4"/>
    <n v="0"/>
  </r>
  <r>
    <s v="ORD-101946"/>
    <x v="339"/>
    <x v="0"/>
    <d v="2024-12-01T00:00:00"/>
    <n v="12"/>
    <s v="CUST-01036"/>
    <x v="0"/>
    <x v="1"/>
    <s v="GJ"/>
    <x v="1"/>
    <s v="Surat"/>
    <x v="0"/>
    <s v="P704"/>
    <s v="Multivitamin Gummies"/>
    <x v="0"/>
    <n v="1"/>
    <n v="699"/>
    <n v="0.2"/>
    <n v="699"/>
    <n v="139.80000000000001"/>
    <n v="559.20000000000005"/>
    <n v="238"/>
    <n v="238"/>
    <n v="60"/>
    <n v="261.20000000000005"/>
    <n v="0.46709585121602293"/>
    <x v="0"/>
    <d v="2024-12-10T00:00:00"/>
    <n v="2"/>
    <x v="1"/>
    <n v="4"/>
    <n v="0"/>
  </r>
  <r>
    <s v="ORD-101947"/>
    <x v="339"/>
    <x v="0"/>
    <d v="2024-12-01T00:00:00"/>
    <n v="12"/>
    <s v="CUST-01257"/>
    <x v="0"/>
    <x v="13"/>
    <s v="MP"/>
    <x v="1"/>
    <s v="Indore"/>
    <x v="0"/>
    <s v="P301"/>
    <s v="Cotton Oversized T-Shirt"/>
    <x v="1"/>
    <n v="1"/>
    <n v="799"/>
    <n v="0"/>
    <n v="799"/>
    <n v="0"/>
    <n v="799"/>
    <n v="320"/>
    <n v="320"/>
    <n v="60"/>
    <n v="419"/>
    <n v="0.52440550688360454"/>
    <x v="1"/>
    <d v="2024-12-09T00:00:00"/>
    <n v="1"/>
    <x v="1"/>
    <m/>
    <n v="0"/>
  </r>
  <r>
    <s v="ORD-101948"/>
    <x v="339"/>
    <x v="0"/>
    <d v="2024-12-01T00:00:00"/>
    <n v="12"/>
    <s v="CUST-02541"/>
    <x v="0"/>
    <x v="13"/>
    <s v="MP"/>
    <x v="1"/>
    <s v="Indore"/>
    <x v="3"/>
    <s v="P204"/>
    <s v="Anti-Dandruff Conditioner"/>
    <x v="6"/>
    <n v="3"/>
    <n v="399"/>
    <n v="0.45"/>
    <n v="1197"/>
    <n v="538.65"/>
    <n v="658.35"/>
    <n v="136"/>
    <n v="408"/>
    <n v="60"/>
    <n v="190.35000000000002"/>
    <n v="0.28913192071086813"/>
    <x v="0"/>
    <d v="2024-12-12T00:00:00"/>
    <n v="4"/>
    <x v="0"/>
    <n v="4"/>
    <n v="0"/>
  </r>
  <r>
    <s v="ORD-101949"/>
    <x v="339"/>
    <x v="0"/>
    <d v="2024-12-01T00:00:00"/>
    <n v="12"/>
    <s v="CUST-01581"/>
    <x v="0"/>
    <x v="2"/>
    <s v="MH"/>
    <x v="1"/>
    <s v="Pune"/>
    <x v="0"/>
    <s v="P203"/>
    <s v="Keratin Hair Mask"/>
    <x v="6"/>
    <n v="1"/>
    <n v="549"/>
    <n v="0.2"/>
    <n v="549"/>
    <n v="109.80000000000001"/>
    <n v="439.2"/>
    <n v="170"/>
    <n v="170"/>
    <n v="60"/>
    <n v="209.2"/>
    <n v="0.47632058287795992"/>
    <x v="3"/>
    <d v="2024-12-10T00:00:00"/>
    <n v="2"/>
    <x v="1"/>
    <n v="4"/>
    <n v="0"/>
  </r>
  <r>
    <s v="ORD-101950"/>
    <x v="339"/>
    <x v="0"/>
    <d v="2024-12-01T00:00:00"/>
    <n v="12"/>
    <s v="CUST-00914"/>
    <x v="1"/>
    <x v="8"/>
    <s v="AP"/>
    <x v="3"/>
    <s v="Visakhapatnam"/>
    <x v="4"/>
    <s v="P402"/>
    <s v="Casual Sneakers"/>
    <x v="5"/>
    <n v="1"/>
    <n v="2199"/>
    <n v="0.25"/>
    <n v="2199"/>
    <n v="549.75"/>
    <n v="1649.25"/>
    <n v="1034"/>
    <n v="1034"/>
    <n v="60"/>
    <n v="555.25"/>
    <n v="0.33666818250720026"/>
    <x v="3"/>
    <d v="2024-12-10T00:00:00"/>
    <n v="2"/>
    <x v="1"/>
    <n v="4"/>
    <n v="0"/>
  </r>
  <r>
    <s v="ORD-101951"/>
    <x v="340"/>
    <x v="0"/>
    <d v="2024-12-01T00:00:00"/>
    <n v="12"/>
    <s v="CUST-01855"/>
    <x v="0"/>
    <x v="5"/>
    <s v="HP"/>
    <x v="0"/>
    <s v="Shimla"/>
    <x v="4"/>
    <s v="P204"/>
    <s v="Anti-Dandruff Conditioner"/>
    <x v="6"/>
    <n v="2"/>
    <n v="399"/>
    <n v="0.4"/>
    <n v="798"/>
    <n v="319.20000000000005"/>
    <n v="478.79999999999995"/>
    <n v="136"/>
    <n v="272"/>
    <n v="60"/>
    <n v="146.79999999999995"/>
    <n v="0.30659983291562232"/>
    <x v="1"/>
    <d v="2024-12-13T00:00:00"/>
    <n v="4"/>
    <x v="0"/>
    <m/>
    <n v="0"/>
  </r>
  <r>
    <s v="ORD-101952"/>
    <x v="340"/>
    <x v="0"/>
    <d v="2024-12-01T00:00:00"/>
    <n v="12"/>
    <s v="CUST-01415"/>
    <x v="0"/>
    <x v="0"/>
    <s v="RJ"/>
    <x v="0"/>
    <s v="Jaipur"/>
    <x v="4"/>
    <s v="P203"/>
    <s v="Keratin Hair Mask"/>
    <x v="6"/>
    <n v="2"/>
    <n v="549"/>
    <n v="0.2"/>
    <n v="1098"/>
    <n v="219.60000000000002"/>
    <n v="878.4"/>
    <n v="170"/>
    <n v="340"/>
    <n v="60"/>
    <n v="478.4"/>
    <n v="0.54462659380692169"/>
    <x v="0"/>
    <d v="2024-12-15T00:00:00"/>
    <n v="6"/>
    <x v="2"/>
    <n v="4"/>
    <n v="0"/>
  </r>
  <r>
    <s v="ORD-101953"/>
    <x v="340"/>
    <x v="0"/>
    <d v="2024-12-01T00:00:00"/>
    <n v="12"/>
    <s v="CUST-01006"/>
    <x v="1"/>
    <x v="22"/>
    <s v="AS"/>
    <x v="2"/>
    <s v="Guwahati"/>
    <x v="0"/>
    <s v="P104"/>
    <s v="Hydrating Face Wash"/>
    <x v="3"/>
    <n v="1"/>
    <n v="299"/>
    <n v="0.1"/>
    <n v="299"/>
    <n v="29.900000000000002"/>
    <n v="269.10000000000002"/>
    <n v="90"/>
    <n v="90"/>
    <n v="60"/>
    <n v="119.10000000000002"/>
    <n v="0.4425863991081383"/>
    <x v="3"/>
    <d v="2024-12-15T00:00:00"/>
    <n v="6"/>
    <x v="2"/>
    <m/>
    <n v="0"/>
  </r>
  <r>
    <s v="ORD-101954"/>
    <x v="340"/>
    <x v="0"/>
    <d v="2024-12-01T00:00:00"/>
    <n v="12"/>
    <s v="CUST-01379"/>
    <x v="0"/>
    <x v="13"/>
    <s v="MP"/>
    <x v="1"/>
    <s v="Indore"/>
    <x v="2"/>
    <s v="P201"/>
    <s v="Onion Hair Oil"/>
    <x v="6"/>
    <n v="2"/>
    <n v="349"/>
    <n v="0.35"/>
    <n v="698"/>
    <n v="244.29999999999998"/>
    <n v="453.70000000000005"/>
    <n v="105"/>
    <n v="210"/>
    <n v="60"/>
    <n v="183.70000000000005"/>
    <n v="0.40489310116817284"/>
    <x v="1"/>
    <d v="2024-12-13T00:00:00"/>
    <n v="4"/>
    <x v="0"/>
    <n v="4"/>
    <n v="0"/>
  </r>
  <r>
    <s v="ORD-101955"/>
    <x v="340"/>
    <x v="0"/>
    <d v="2024-12-01T00:00:00"/>
    <n v="12"/>
    <s v="CUST-02758"/>
    <x v="1"/>
    <x v="13"/>
    <s v="MP"/>
    <x v="1"/>
    <s v="Indore"/>
    <x v="0"/>
    <s v="P303"/>
    <s v="Joggers"/>
    <x v="1"/>
    <n v="1"/>
    <n v="1199"/>
    <n v="0.1"/>
    <n v="1199"/>
    <n v="119.9"/>
    <n v="1079.0999999999999"/>
    <n v="492"/>
    <n v="492"/>
    <n v="60"/>
    <n v="527.09999999999991"/>
    <n v="0.48846260772866273"/>
    <x v="3"/>
    <d v="2024-12-12T00:00:00"/>
    <n v="3"/>
    <x v="0"/>
    <m/>
    <n v="0"/>
  </r>
  <r>
    <s v="ORD-101956"/>
    <x v="340"/>
    <x v="0"/>
    <d v="2024-12-01T00:00:00"/>
    <n v="12"/>
    <s v="CUST-00732"/>
    <x v="1"/>
    <x v="18"/>
    <s v="WB"/>
    <x v="2"/>
    <s v="Kolkata"/>
    <x v="2"/>
    <s v="P703"/>
    <s v="Green Tea (100 bags)"/>
    <x v="0"/>
    <n v="2"/>
    <n v="399"/>
    <n v="0.3"/>
    <n v="798"/>
    <n v="239.39999999999998"/>
    <n v="558.6"/>
    <n v="128"/>
    <n v="256"/>
    <n v="60"/>
    <n v="242.60000000000002"/>
    <n v="0.43430003580379523"/>
    <x v="1"/>
    <d v="2024-12-13T00:00:00"/>
    <n v="4"/>
    <x v="0"/>
    <n v="4"/>
    <n v="0"/>
  </r>
  <r>
    <s v="ORD-101957"/>
    <x v="340"/>
    <x v="0"/>
    <d v="2024-12-01T00:00:00"/>
    <n v="12"/>
    <s v="CUST-01069"/>
    <x v="1"/>
    <x v="2"/>
    <s v="MH"/>
    <x v="1"/>
    <s v="Pune"/>
    <x v="1"/>
    <s v="P401"/>
    <s v="Running Shoes"/>
    <x v="5"/>
    <n v="1"/>
    <n v="2999"/>
    <n v="0.3"/>
    <n v="2999"/>
    <n v="899.69999999999993"/>
    <n v="2099.3000000000002"/>
    <n v="1440"/>
    <n v="1440"/>
    <n v="60"/>
    <n v="599.30000000000018"/>
    <n v="0.28547611108464732"/>
    <x v="2"/>
    <d v="2024-12-10T00:00:00"/>
    <n v="1"/>
    <x v="1"/>
    <m/>
    <n v="0"/>
  </r>
  <r>
    <s v="ORD-101958"/>
    <x v="340"/>
    <x v="0"/>
    <d v="2024-12-01T00:00:00"/>
    <n v="12"/>
    <s v="CUST-02788"/>
    <x v="1"/>
    <x v="8"/>
    <s v="AP"/>
    <x v="3"/>
    <s v="Visakhapatnam"/>
    <x v="2"/>
    <s v="P404"/>
    <s v="Flip Flops"/>
    <x v="5"/>
    <n v="1"/>
    <n v="399"/>
    <n v="0.05"/>
    <n v="399"/>
    <n v="19.950000000000003"/>
    <n v="379.05"/>
    <n v="152"/>
    <n v="152"/>
    <n v="120"/>
    <n v="107.05000000000001"/>
    <n v="0.2824165677351273"/>
    <x v="0"/>
    <d v="2024-12-14T00:00:00"/>
    <n v="5"/>
    <x v="2"/>
    <m/>
    <n v="1"/>
  </r>
  <r>
    <s v="ORD-101959"/>
    <x v="340"/>
    <x v="0"/>
    <d v="2024-12-01T00:00:00"/>
    <n v="12"/>
    <s v="CUST-01800"/>
    <x v="0"/>
    <x v="14"/>
    <s v="KL"/>
    <x v="3"/>
    <s v="Kochi"/>
    <x v="2"/>
    <s v="P202"/>
    <s v="Argan Shampoo"/>
    <x v="6"/>
    <n v="1"/>
    <n v="449"/>
    <n v="0.1"/>
    <n v="449"/>
    <n v="44.900000000000006"/>
    <n v="404.1"/>
    <n v="148"/>
    <n v="148"/>
    <n v="60"/>
    <n v="196.10000000000002"/>
    <n v="0.48527592180153428"/>
    <x v="0"/>
    <d v="2024-12-13T00:00:00"/>
    <n v="4"/>
    <x v="0"/>
    <m/>
    <n v="0"/>
  </r>
  <r>
    <s v="ORD-101960"/>
    <x v="341"/>
    <x v="0"/>
    <d v="2024-12-01T00:00:00"/>
    <n v="12"/>
    <s v="CUST-00044"/>
    <x v="1"/>
    <x v="6"/>
    <s v="DL"/>
    <x v="0"/>
    <s v="New Delhi"/>
    <x v="4"/>
    <s v="P105"/>
    <s v="Retinol Night Cream"/>
    <x v="3"/>
    <n v="1"/>
    <n v="799"/>
    <n v="0.1"/>
    <n v="799"/>
    <n v="79.900000000000006"/>
    <n v="719.1"/>
    <n v="216"/>
    <n v="216"/>
    <n v="60"/>
    <n v="443.1"/>
    <n v="0.61618690029203171"/>
    <x v="1"/>
    <d v="2024-12-13T00:00:00"/>
    <n v="3"/>
    <x v="0"/>
    <n v="3"/>
    <n v="0"/>
  </r>
  <r>
    <s v="ORD-101961"/>
    <x v="341"/>
    <x v="0"/>
    <d v="2024-12-01T00:00:00"/>
    <n v="12"/>
    <s v="CUST-00309"/>
    <x v="1"/>
    <x v="16"/>
    <s v="UP"/>
    <x v="0"/>
    <s v="Kanpur"/>
    <x v="4"/>
    <s v="P101"/>
    <s v="Vitamin C Face Serum"/>
    <x v="3"/>
    <n v="1"/>
    <n v="599"/>
    <n v="0.15"/>
    <n v="599"/>
    <n v="89.85"/>
    <n v="509.15"/>
    <n v="180"/>
    <n v="180"/>
    <n v="60"/>
    <n v="269.14999999999998"/>
    <n v="0.52862614160856325"/>
    <x v="2"/>
    <d v="2024-12-13T00:00:00"/>
    <n v="3"/>
    <x v="0"/>
    <n v="4"/>
    <n v="0"/>
  </r>
  <r>
    <s v="ORD-101962"/>
    <x v="341"/>
    <x v="0"/>
    <d v="2024-12-01T00:00:00"/>
    <n v="12"/>
    <s v="CUST-00041"/>
    <x v="0"/>
    <x v="7"/>
    <s v="JH"/>
    <x v="2"/>
    <s v="Ranchi"/>
    <x v="0"/>
    <s v="P703"/>
    <s v="Green Tea (100 bags)"/>
    <x v="0"/>
    <n v="1"/>
    <n v="399"/>
    <n v="0.35"/>
    <n v="399"/>
    <n v="139.64999999999998"/>
    <n v="259.35000000000002"/>
    <n v="128"/>
    <n v="128"/>
    <n v="60"/>
    <n v="71.350000000000023"/>
    <n v="0.27511085405822255"/>
    <x v="0"/>
    <d v="2024-12-14T00:00:00"/>
    <n v="4"/>
    <x v="0"/>
    <n v="4"/>
    <n v="0"/>
  </r>
  <r>
    <s v="ORD-101963"/>
    <x v="341"/>
    <x v="0"/>
    <d v="2024-12-01T00:00:00"/>
    <n v="12"/>
    <s v="CUST-00016"/>
    <x v="0"/>
    <x v="18"/>
    <s v="WB"/>
    <x v="2"/>
    <s v="Kolkata"/>
    <x v="0"/>
    <s v="P103"/>
    <s v="Niacinamide Toner"/>
    <x v="3"/>
    <n v="3"/>
    <n v="399"/>
    <n v="0.2"/>
    <n v="1197"/>
    <n v="239.4"/>
    <n v="957.6"/>
    <n v="112"/>
    <n v="336"/>
    <n v="60"/>
    <n v="561.6"/>
    <n v="0.5864661654135338"/>
    <x v="0"/>
    <d v="2024-12-12T00:00:00"/>
    <n v="2"/>
    <x v="1"/>
    <m/>
    <n v="0"/>
  </r>
  <r>
    <s v="ORD-101964"/>
    <x v="341"/>
    <x v="0"/>
    <d v="2024-12-01T00:00:00"/>
    <n v="12"/>
    <s v="CUST-00775"/>
    <x v="1"/>
    <x v="2"/>
    <s v="MH"/>
    <x v="1"/>
    <s v="Nagpur"/>
    <x v="0"/>
    <s v="P201"/>
    <s v="Onion Hair Oil"/>
    <x v="6"/>
    <n v="2"/>
    <n v="349"/>
    <n v="0.35"/>
    <n v="698"/>
    <n v="244.29999999999998"/>
    <n v="453.70000000000005"/>
    <n v="105"/>
    <n v="210"/>
    <n v="60"/>
    <n v="183.70000000000005"/>
    <n v="0.40489310116817284"/>
    <x v="4"/>
    <d v="2024-12-13T00:00:00"/>
    <n v="3"/>
    <x v="0"/>
    <n v="4"/>
    <n v="0"/>
  </r>
  <r>
    <s v="ORD-101965"/>
    <x v="341"/>
    <x v="0"/>
    <d v="2024-12-01T00:00:00"/>
    <n v="12"/>
    <s v="CUST-00064"/>
    <x v="0"/>
    <x v="3"/>
    <s v="OD"/>
    <x v="2"/>
    <s v="Bhubaneswar"/>
    <x v="1"/>
    <s v="P402"/>
    <s v="Casual Sneakers"/>
    <x v="5"/>
    <n v="1"/>
    <n v="2199"/>
    <n v="0.25"/>
    <n v="2199"/>
    <n v="549.75"/>
    <n v="1649.25"/>
    <n v="1034"/>
    <n v="1034"/>
    <n v="60"/>
    <n v="555.25"/>
    <n v="0.33666818250720026"/>
    <x v="4"/>
    <d v="2024-12-14T00:00:00"/>
    <n v="4"/>
    <x v="0"/>
    <m/>
    <n v="0"/>
  </r>
  <r>
    <s v="ORD-101966"/>
    <x v="341"/>
    <x v="0"/>
    <d v="2024-12-01T00:00:00"/>
    <n v="12"/>
    <s v="CUST-00810"/>
    <x v="1"/>
    <x v="8"/>
    <s v="AP"/>
    <x v="3"/>
    <s v="Visakhapatnam"/>
    <x v="1"/>
    <s v="P404"/>
    <s v="Flip Flops"/>
    <x v="5"/>
    <n v="2"/>
    <n v="399"/>
    <n v="0.05"/>
    <n v="798"/>
    <n v="39.900000000000006"/>
    <n v="758.1"/>
    <n v="152"/>
    <n v="304"/>
    <n v="60"/>
    <n v="394.1"/>
    <n v="0.51985226223453374"/>
    <x v="0"/>
    <d v="2024-12-12T00:00:00"/>
    <n v="2"/>
    <x v="1"/>
    <n v="4"/>
    <n v="0"/>
  </r>
  <r>
    <s v="ORD-101967"/>
    <x v="341"/>
    <x v="0"/>
    <d v="2024-12-01T00:00:00"/>
    <n v="12"/>
    <s v="CUST-00859"/>
    <x v="1"/>
    <x v="8"/>
    <s v="AP"/>
    <x v="3"/>
    <s v="Visakhapatnam"/>
    <x v="1"/>
    <s v="P304"/>
    <s v="Denim Jacket"/>
    <x v="1"/>
    <n v="1"/>
    <n v="2499"/>
    <n v="0"/>
    <n v="2499"/>
    <n v="0"/>
    <n v="2499"/>
    <n v="1125"/>
    <n v="1125"/>
    <n v="120"/>
    <n v="1254"/>
    <n v="0.50180072028811529"/>
    <x v="0"/>
    <d v="2024-12-13T00:00:00"/>
    <n v="3"/>
    <x v="0"/>
    <n v="4"/>
    <n v="1"/>
  </r>
  <r>
    <s v="ORD-101968"/>
    <x v="342"/>
    <x v="0"/>
    <d v="2024-12-01T00:00:00"/>
    <n v="12"/>
    <s v="CUST-02124"/>
    <x v="1"/>
    <x v="0"/>
    <s v="RJ"/>
    <x v="0"/>
    <s v="Jaipur"/>
    <x v="3"/>
    <s v="P701"/>
    <s v="Ashwagandha Capsules"/>
    <x v="0"/>
    <n v="2"/>
    <n v="499"/>
    <n v="0"/>
    <n v="998"/>
    <n v="0"/>
    <n v="998"/>
    <n v="150"/>
    <n v="300"/>
    <n v="60"/>
    <n v="638"/>
    <n v="0.63927855711422843"/>
    <x v="0"/>
    <d v="2024-12-17T00:00:00"/>
    <n v="6"/>
    <x v="2"/>
    <n v="5"/>
    <n v="0"/>
  </r>
  <r>
    <s v="ORD-101969"/>
    <x v="342"/>
    <x v="0"/>
    <d v="2024-12-01T00:00:00"/>
    <n v="12"/>
    <s v="CUST-02173"/>
    <x v="0"/>
    <x v="15"/>
    <s v="HR"/>
    <x v="0"/>
    <s v="Faridabad"/>
    <x v="0"/>
    <s v="P502"/>
    <s v="Ceramic Dinner Set"/>
    <x v="4"/>
    <n v="1"/>
    <n v="2499"/>
    <n v="0.25"/>
    <n v="2499"/>
    <n v="624.75"/>
    <n v="1874.25"/>
    <n v="1250"/>
    <n v="1250"/>
    <n v="60"/>
    <n v="564.25"/>
    <n v="0.30105375483526742"/>
    <x v="3"/>
    <d v="2024-12-15T00:00:00"/>
    <n v="4"/>
    <x v="0"/>
    <m/>
    <n v="0"/>
  </r>
  <r>
    <s v="ORD-101970"/>
    <x v="342"/>
    <x v="0"/>
    <d v="2024-12-01T00:00:00"/>
    <n v="12"/>
    <s v="CUST-00897"/>
    <x v="1"/>
    <x v="18"/>
    <s v="WB"/>
    <x v="2"/>
    <s v="Kolkata"/>
    <x v="4"/>
    <s v="P404"/>
    <s v="Flip Flops"/>
    <x v="5"/>
    <n v="1"/>
    <n v="399"/>
    <n v="0.1"/>
    <n v="399"/>
    <n v="39.900000000000006"/>
    <n v="359.1"/>
    <n v="152"/>
    <n v="152"/>
    <n v="60"/>
    <n v="147.10000000000002"/>
    <n v="0.40963519910888335"/>
    <x v="0"/>
    <d v="2024-12-13T00:00:00"/>
    <n v="2"/>
    <x v="1"/>
    <m/>
    <n v="0"/>
  </r>
  <r>
    <s v="ORD-101971"/>
    <x v="342"/>
    <x v="0"/>
    <d v="2024-12-01T00:00:00"/>
    <n v="12"/>
    <s v="CUST-00371"/>
    <x v="1"/>
    <x v="2"/>
    <s v="MH"/>
    <x v="1"/>
    <s v="Mumbai"/>
    <x v="3"/>
    <s v="P201"/>
    <s v="Onion Hair Oil"/>
    <x v="6"/>
    <n v="4"/>
    <n v="349"/>
    <n v="0.3"/>
    <n v="1396"/>
    <n v="418.8"/>
    <n v="977.2"/>
    <n v="105"/>
    <n v="420"/>
    <n v="60"/>
    <n v="497.20000000000005"/>
    <n v="0.50880065493246007"/>
    <x v="0"/>
    <d v="2024-12-13T00:00:00"/>
    <n v="2"/>
    <x v="1"/>
    <n v="4"/>
    <n v="0"/>
  </r>
  <r>
    <s v="ORD-101972"/>
    <x v="342"/>
    <x v="0"/>
    <d v="2024-12-01T00:00:00"/>
    <n v="12"/>
    <s v="CUST-03116"/>
    <x v="0"/>
    <x v="2"/>
    <s v="MH"/>
    <x v="1"/>
    <s v="Pune"/>
    <x v="4"/>
    <s v="P501"/>
    <s v="Copper Water Bottle"/>
    <x v="4"/>
    <n v="1"/>
    <n v="899"/>
    <n v="0.15"/>
    <n v="899"/>
    <n v="134.85"/>
    <n v="764.15"/>
    <n v="378"/>
    <n v="378"/>
    <n v="60"/>
    <n v="326.14999999999998"/>
    <n v="0.42681410717791007"/>
    <x v="0"/>
    <d v="2024-12-14T00:00:00"/>
    <n v="3"/>
    <x v="0"/>
    <n v="4"/>
    <n v="0"/>
  </r>
  <r>
    <s v="ORD-101973"/>
    <x v="342"/>
    <x v="0"/>
    <d v="2024-12-01T00:00:00"/>
    <n v="12"/>
    <s v="CUST-00036"/>
    <x v="0"/>
    <x v="21"/>
    <s v="TG"/>
    <x v="3"/>
    <s v="Hyderabad"/>
    <x v="0"/>
    <s v="P303"/>
    <s v="Joggers"/>
    <x v="1"/>
    <n v="1"/>
    <n v="1199"/>
    <n v="0.1"/>
    <n v="1199"/>
    <n v="119.9"/>
    <n v="1079.0999999999999"/>
    <n v="492"/>
    <n v="492"/>
    <n v="60"/>
    <n v="527.09999999999991"/>
    <n v="0.48846260772866273"/>
    <x v="4"/>
    <d v="2024-12-12T00:00:00"/>
    <n v="1"/>
    <x v="1"/>
    <n v="4"/>
    <n v="0"/>
  </r>
  <r>
    <s v="ORD-101974"/>
    <x v="342"/>
    <x v="0"/>
    <d v="2024-12-01T00:00:00"/>
    <n v="12"/>
    <s v="CUST-00381"/>
    <x v="1"/>
    <x v="11"/>
    <s v="KA"/>
    <x v="3"/>
    <s v="Bengaluru"/>
    <x v="1"/>
    <s v="P301"/>
    <s v="Cotton Oversized T-Shirt"/>
    <x v="1"/>
    <n v="2"/>
    <n v="799"/>
    <n v="0"/>
    <n v="1598"/>
    <n v="0"/>
    <n v="1598"/>
    <n v="320"/>
    <n v="640"/>
    <n v="60"/>
    <n v="898"/>
    <n v="0.56195244055068838"/>
    <x v="4"/>
    <d v="2024-12-14T00:00:00"/>
    <n v="3"/>
    <x v="0"/>
    <m/>
    <n v="0"/>
  </r>
  <r>
    <s v="ORD-101975"/>
    <x v="342"/>
    <x v="0"/>
    <d v="2024-12-01T00:00:00"/>
    <n v="12"/>
    <s v="CUST-00915"/>
    <x v="1"/>
    <x v="17"/>
    <s v="TN"/>
    <x v="3"/>
    <s v="Chennai"/>
    <x v="0"/>
    <s v="P503"/>
    <s v="Scented Candle Set"/>
    <x v="4"/>
    <n v="2"/>
    <n v="699"/>
    <n v="0.3"/>
    <n v="1398"/>
    <n v="419.4"/>
    <n v="978.6"/>
    <n v="245"/>
    <n v="490"/>
    <n v="60"/>
    <n v="428.6"/>
    <n v="0.43797261393827919"/>
    <x v="0"/>
    <d v="2024-12-13T00:00:00"/>
    <n v="2"/>
    <x v="1"/>
    <m/>
    <n v="0"/>
  </r>
  <r>
    <s v="ORD-101976"/>
    <x v="343"/>
    <x v="0"/>
    <d v="2024-12-01T00:00:00"/>
    <n v="12"/>
    <s v="CUST-01270"/>
    <x v="1"/>
    <x v="0"/>
    <s v="RJ"/>
    <x v="0"/>
    <s v="Udaipur"/>
    <x v="2"/>
    <s v="P102"/>
    <s v="Sunscreen SPF 50"/>
    <x v="3"/>
    <n v="1"/>
    <n v="449"/>
    <n v="0"/>
    <n v="449"/>
    <n v="0"/>
    <n v="449"/>
    <n v="144"/>
    <n v="144"/>
    <n v="60"/>
    <n v="245"/>
    <n v="0.54565701559020041"/>
    <x v="3"/>
    <d v="2024-12-17T00:00:00"/>
    <n v="5"/>
    <x v="2"/>
    <m/>
    <n v="0"/>
  </r>
  <r>
    <s v="ORD-101977"/>
    <x v="343"/>
    <x v="0"/>
    <d v="2024-12-01T00:00:00"/>
    <n v="12"/>
    <s v="CUST-02631"/>
    <x v="0"/>
    <x v="6"/>
    <s v="DL"/>
    <x v="0"/>
    <s v="New Delhi"/>
    <x v="3"/>
    <s v="P102"/>
    <s v="Sunscreen SPF 50"/>
    <x v="3"/>
    <n v="2"/>
    <n v="449"/>
    <n v="0.05"/>
    <n v="898"/>
    <n v="44.900000000000006"/>
    <n v="853.1"/>
    <n v="144"/>
    <n v="288"/>
    <n v="60"/>
    <n v="505.1"/>
    <n v="0.59207595826983939"/>
    <x v="0"/>
    <d v="2024-12-14T00:00:00"/>
    <n v="2"/>
    <x v="1"/>
    <m/>
    <n v="0"/>
  </r>
  <r>
    <s v="ORD-101978"/>
    <x v="343"/>
    <x v="0"/>
    <d v="2024-12-01T00:00:00"/>
    <n v="12"/>
    <s v="CUST-01529"/>
    <x v="0"/>
    <x v="16"/>
    <s v="UP"/>
    <x v="0"/>
    <s v="Noida"/>
    <x v="4"/>
    <s v="P501"/>
    <s v="Copper Water Bottle"/>
    <x v="4"/>
    <n v="1"/>
    <n v="899"/>
    <n v="0.15"/>
    <n v="899"/>
    <n v="134.85"/>
    <n v="764.15"/>
    <n v="378"/>
    <n v="378"/>
    <n v="60"/>
    <n v="326.14999999999998"/>
    <n v="0.42681410717791007"/>
    <x v="3"/>
    <d v="2024-12-15T00:00:00"/>
    <n v="3"/>
    <x v="0"/>
    <n v="4"/>
    <n v="0"/>
  </r>
  <r>
    <s v="ORD-101979"/>
    <x v="343"/>
    <x v="0"/>
    <d v="2024-12-01T00:00:00"/>
    <n v="12"/>
    <s v="CUST-00426"/>
    <x v="1"/>
    <x v="16"/>
    <s v="UP"/>
    <x v="0"/>
    <s v="Noida"/>
    <x v="0"/>
    <s v="P203"/>
    <s v="Keratin Hair Mask"/>
    <x v="6"/>
    <n v="1"/>
    <n v="549"/>
    <n v="0.25"/>
    <n v="549"/>
    <n v="137.25"/>
    <n v="411.75"/>
    <n v="170"/>
    <n v="170"/>
    <n v="60"/>
    <n v="181.75"/>
    <n v="0.44140862173649059"/>
    <x v="0"/>
    <d v="2024-12-16T00:00:00"/>
    <n v="4"/>
    <x v="0"/>
    <n v="3"/>
    <n v="0"/>
  </r>
  <r>
    <s v="ORD-101980"/>
    <x v="343"/>
    <x v="0"/>
    <d v="2024-12-01T00:00:00"/>
    <n v="12"/>
    <s v="CUST-00456"/>
    <x v="1"/>
    <x v="16"/>
    <s v="UP"/>
    <x v="0"/>
    <s v="Noida"/>
    <x v="1"/>
    <s v="P301"/>
    <s v="Cotton Oversized T-Shirt"/>
    <x v="1"/>
    <n v="3"/>
    <n v="799"/>
    <n v="0.05"/>
    <n v="2397"/>
    <n v="119.85000000000001"/>
    <n v="2277.15"/>
    <n v="320"/>
    <n v="960"/>
    <n v="60"/>
    <n v="1257.1500000000001"/>
    <n v="0.55207166853303469"/>
    <x v="0"/>
    <d v="2024-12-16T00:00:00"/>
    <n v="4"/>
    <x v="0"/>
    <m/>
    <n v="0"/>
  </r>
  <r>
    <s v="ORD-101981"/>
    <x v="343"/>
    <x v="0"/>
    <d v="2024-12-01T00:00:00"/>
    <n v="12"/>
    <s v="CUST-00543"/>
    <x v="0"/>
    <x v="18"/>
    <s v="WB"/>
    <x v="2"/>
    <s v="Kolkata"/>
    <x v="4"/>
    <s v="P702"/>
    <s v="Whey Protein 1kg"/>
    <x v="0"/>
    <n v="2"/>
    <n v="2299"/>
    <n v="0.35"/>
    <n v="4598"/>
    <n v="1609.3"/>
    <n v="2988.7"/>
    <n v="1333"/>
    <n v="2666"/>
    <n v="120"/>
    <n v="202.69999999999982"/>
    <n v="6.7822130023086902E-2"/>
    <x v="3"/>
    <d v="2024-12-13T00:00:00"/>
    <n v="1"/>
    <x v="1"/>
    <n v="4"/>
    <n v="1"/>
  </r>
  <r>
    <s v="ORD-101982"/>
    <x v="343"/>
    <x v="0"/>
    <d v="2024-12-01T00:00:00"/>
    <n v="12"/>
    <s v="CUST-03133"/>
    <x v="0"/>
    <x v="8"/>
    <s v="AP"/>
    <x v="3"/>
    <s v="Visakhapatnam"/>
    <x v="4"/>
    <s v="P301"/>
    <s v="Cotton Oversized T-Shirt"/>
    <x v="1"/>
    <n v="2"/>
    <n v="799"/>
    <n v="0"/>
    <n v="1598"/>
    <n v="0"/>
    <n v="1598"/>
    <n v="320"/>
    <n v="640"/>
    <n v="60"/>
    <n v="898"/>
    <n v="0.56195244055068838"/>
    <x v="3"/>
    <d v="2024-12-16T00:00:00"/>
    <n v="4"/>
    <x v="0"/>
    <m/>
    <n v="0"/>
  </r>
  <r>
    <s v="ORD-101983"/>
    <x v="344"/>
    <x v="0"/>
    <d v="2024-12-01T00:00:00"/>
    <n v="12"/>
    <s v="CUST-00678"/>
    <x v="0"/>
    <x v="16"/>
    <s v="UP"/>
    <x v="0"/>
    <s v="Lucknow"/>
    <x v="4"/>
    <s v="P301"/>
    <s v="Cotton Oversized T-Shirt"/>
    <x v="1"/>
    <n v="1"/>
    <n v="799"/>
    <n v="0.1"/>
    <n v="799"/>
    <n v="79.900000000000006"/>
    <n v="719.1"/>
    <n v="320"/>
    <n v="320"/>
    <n v="60"/>
    <n v="339.1"/>
    <n v="0.47156167431511614"/>
    <x v="0"/>
    <d v="2024-12-17T00:00:00"/>
    <n v="4"/>
    <x v="0"/>
    <n v="4"/>
    <n v="0"/>
  </r>
  <r>
    <s v="ORD-101984"/>
    <x v="344"/>
    <x v="0"/>
    <d v="2024-12-01T00:00:00"/>
    <n v="12"/>
    <s v="CUST-00655"/>
    <x v="0"/>
    <x v="12"/>
    <s v="BR"/>
    <x v="2"/>
    <s v="Patna"/>
    <x v="1"/>
    <s v="P303"/>
    <s v="Joggers"/>
    <x v="1"/>
    <n v="1"/>
    <n v="1199"/>
    <n v="0.1"/>
    <n v="1199"/>
    <n v="119.9"/>
    <n v="1079.0999999999999"/>
    <n v="492"/>
    <n v="492"/>
    <n v="60"/>
    <n v="527.09999999999991"/>
    <n v="0.48846260772866273"/>
    <x v="3"/>
    <d v="2024-12-19T00:00:00"/>
    <n v="6"/>
    <x v="2"/>
    <m/>
    <n v="0"/>
  </r>
  <r>
    <s v="ORD-101985"/>
    <x v="344"/>
    <x v="0"/>
    <d v="2024-12-01T00:00:00"/>
    <n v="12"/>
    <s v="CUST-00410"/>
    <x v="0"/>
    <x v="10"/>
    <s v="CG"/>
    <x v="2"/>
    <s v="Raipur"/>
    <x v="4"/>
    <s v="P105"/>
    <s v="Retinol Night Cream"/>
    <x v="3"/>
    <n v="1"/>
    <n v="799"/>
    <n v="0.05"/>
    <n v="799"/>
    <n v="39.950000000000003"/>
    <n v="759.05"/>
    <n v="216"/>
    <n v="216"/>
    <n v="60"/>
    <n v="483.04999999999995"/>
    <n v="0.63638758975034582"/>
    <x v="0"/>
    <d v="2024-12-18T00:00:00"/>
    <n v="5"/>
    <x v="2"/>
    <n v="3"/>
    <n v="0"/>
  </r>
  <r>
    <s v="ORD-101986"/>
    <x v="344"/>
    <x v="0"/>
    <d v="2024-12-01T00:00:00"/>
    <n v="12"/>
    <s v="CUST-02615"/>
    <x v="0"/>
    <x v="2"/>
    <s v="MH"/>
    <x v="1"/>
    <s v="Nagpur"/>
    <x v="4"/>
    <s v="P104"/>
    <s v="Hydrating Face Wash"/>
    <x v="3"/>
    <n v="4"/>
    <n v="299"/>
    <n v="0"/>
    <n v="1196"/>
    <n v="0"/>
    <n v="1196"/>
    <n v="90"/>
    <n v="360"/>
    <n v="60"/>
    <n v="776"/>
    <n v="0.6488294314381271"/>
    <x v="0"/>
    <d v="2024-12-16T00:00:00"/>
    <n v="3"/>
    <x v="0"/>
    <n v="4"/>
    <n v="0"/>
  </r>
  <r>
    <s v="ORD-101987"/>
    <x v="344"/>
    <x v="0"/>
    <d v="2024-12-01T00:00:00"/>
    <n v="12"/>
    <s v="CUST-01117"/>
    <x v="0"/>
    <x v="14"/>
    <s v="KL"/>
    <x v="3"/>
    <s v="Kochi"/>
    <x v="2"/>
    <s v="P203"/>
    <s v="Keratin Hair Mask"/>
    <x v="6"/>
    <n v="1"/>
    <n v="549"/>
    <n v="0.1"/>
    <n v="549"/>
    <n v="54.900000000000006"/>
    <n v="494.1"/>
    <n v="170"/>
    <n v="170"/>
    <n v="60"/>
    <n v="264.10000000000002"/>
    <n v="0.53450718478040882"/>
    <x v="0"/>
    <d v="2024-12-18T00:00:00"/>
    <n v="5"/>
    <x v="2"/>
    <n v="3"/>
    <n v="0"/>
  </r>
  <r>
    <s v="ORD-101988"/>
    <x v="344"/>
    <x v="0"/>
    <d v="2024-12-01T00:00:00"/>
    <n v="12"/>
    <s v="CUST-00926"/>
    <x v="0"/>
    <x v="17"/>
    <s v="TN"/>
    <x v="3"/>
    <s v="Chennai"/>
    <x v="2"/>
    <s v="P404"/>
    <s v="Flip Flops"/>
    <x v="5"/>
    <n v="1"/>
    <n v="399"/>
    <n v="0.05"/>
    <n v="399"/>
    <n v="19.950000000000003"/>
    <n v="379.05"/>
    <n v="152"/>
    <n v="152"/>
    <n v="120"/>
    <n v="107.05000000000001"/>
    <n v="0.2824165677351273"/>
    <x v="0"/>
    <d v="2024-12-16T00:00:00"/>
    <n v="3"/>
    <x v="0"/>
    <n v="4"/>
    <n v="1"/>
  </r>
  <r>
    <s v="ORD-101989"/>
    <x v="345"/>
    <x v="0"/>
    <d v="2024-12-01T00:00:00"/>
    <n v="12"/>
    <s v="CUST-00933"/>
    <x v="0"/>
    <x v="5"/>
    <s v="HP"/>
    <x v="0"/>
    <s v="Shimla"/>
    <x v="0"/>
    <s v="P203"/>
    <s v="Keratin Hair Mask"/>
    <x v="6"/>
    <n v="2"/>
    <n v="549"/>
    <n v="0.2"/>
    <n v="1098"/>
    <n v="219.60000000000002"/>
    <n v="878.4"/>
    <n v="170"/>
    <n v="340"/>
    <n v="60"/>
    <n v="478.4"/>
    <n v="0.54462659380692169"/>
    <x v="3"/>
    <d v="2024-12-19T00:00:00"/>
    <n v="5"/>
    <x v="2"/>
    <m/>
    <n v="0"/>
  </r>
  <r>
    <s v="ORD-101990"/>
    <x v="345"/>
    <x v="0"/>
    <d v="2024-12-01T00:00:00"/>
    <n v="12"/>
    <s v="CUST-00784"/>
    <x v="1"/>
    <x v="16"/>
    <s v="UP"/>
    <x v="0"/>
    <s v="Lucknow"/>
    <x v="2"/>
    <s v="P403"/>
    <s v="Kolhapuri Sandals"/>
    <x v="5"/>
    <n v="1"/>
    <n v="999"/>
    <n v="0.05"/>
    <n v="999"/>
    <n v="49.95"/>
    <n v="949.05"/>
    <n v="400"/>
    <n v="400"/>
    <n v="60"/>
    <n v="489.04999999999995"/>
    <n v="0.5153047784626732"/>
    <x v="1"/>
    <d v="2024-12-18T00:00:00"/>
    <n v="4"/>
    <x v="0"/>
    <m/>
    <n v="0"/>
  </r>
  <r>
    <s v="ORD-101991"/>
    <x v="345"/>
    <x v="0"/>
    <d v="2024-12-01T00:00:00"/>
    <n v="12"/>
    <s v="CUST-00865"/>
    <x v="1"/>
    <x v="16"/>
    <s v="UP"/>
    <x v="0"/>
    <s v="Lucknow"/>
    <x v="3"/>
    <s v="P101"/>
    <s v="Vitamin C Face Serum"/>
    <x v="3"/>
    <n v="1"/>
    <n v="599"/>
    <n v="0.25"/>
    <n v="599"/>
    <n v="149.75"/>
    <n v="449.25"/>
    <n v="180"/>
    <n v="180"/>
    <n v="60"/>
    <n v="209.25"/>
    <n v="0.46577629382303842"/>
    <x v="0"/>
    <d v="2024-12-17T00:00:00"/>
    <n v="3"/>
    <x v="0"/>
    <n v="5"/>
    <n v="0"/>
  </r>
  <r>
    <s v="ORD-101992"/>
    <x v="345"/>
    <x v="0"/>
    <d v="2024-12-01T00:00:00"/>
    <n v="12"/>
    <s v="CUST-00717"/>
    <x v="1"/>
    <x v="1"/>
    <s v="GJ"/>
    <x v="1"/>
    <s v="Surat"/>
    <x v="1"/>
    <s v="P303"/>
    <s v="Joggers"/>
    <x v="1"/>
    <n v="2"/>
    <n v="1199"/>
    <n v="0.15"/>
    <n v="2398"/>
    <n v="359.7"/>
    <n v="2038.3"/>
    <n v="492"/>
    <n v="984"/>
    <n v="60"/>
    <n v="994.3"/>
    <n v="0.48780846784084775"/>
    <x v="1"/>
    <d v="2024-12-17T00:00:00"/>
    <n v="3"/>
    <x v="0"/>
    <n v="4"/>
    <n v="0"/>
  </r>
  <r>
    <s v="ORD-101993"/>
    <x v="345"/>
    <x v="0"/>
    <d v="2024-12-01T00:00:00"/>
    <n v="12"/>
    <s v="CUST-00463"/>
    <x v="0"/>
    <x v="1"/>
    <s v="GJ"/>
    <x v="1"/>
    <s v="Surat"/>
    <x v="3"/>
    <s v="P203"/>
    <s v="Keratin Hair Mask"/>
    <x v="6"/>
    <n v="2"/>
    <n v="549"/>
    <n v="0.1"/>
    <n v="1098"/>
    <n v="109.80000000000001"/>
    <n v="988.2"/>
    <n v="170"/>
    <n v="340"/>
    <n v="120"/>
    <n v="528.20000000000005"/>
    <n v="0.53450718478040882"/>
    <x v="3"/>
    <d v="2024-12-18T00:00:00"/>
    <n v="4"/>
    <x v="0"/>
    <n v="3"/>
    <n v="1"/>
  </r>
  <r>
    <s v="ORD-101994"/>
    <x v="345"/>
    <x v="0"/>
    <d v="2024-12-01T00:00:00"/>
    <n v="12"/>
    <s v="CUST-01659"/>
    <x v="0"/>
    <x v="13"/>
    <s v="MP"/>
    <x v="1"/>
    <s v="Bhopal"/>
    <x v="2"/>
    <s v="P101"/>
    <s v="Vitamin C Face Serum"/>
    <x v="3"/>
    <n v="2"/>
    <n v="599"/>
    <n v="0.1"/>
    <n v="1198"/>
    <n v="119.80000000000001"/>
    <n v="1078.2"/>
    <n v="180"/>
    <n v="360"/>
    <n v="60"/>
    <n v="658.2"/>
    <n v="0.6104618809126322"/>
    <x v="0"/>
    <d v="2024-12-19T00:00:00"/>
    <n v="5"/>
    <x v="2"/>
    <n v="4"/>
    <n v="0"/>
  </r>
  <r>
    <s v="ORD-101995"/>
    <x v="345"/>
    <x v="0"/>
    <d v="2024-12-01T00:00:00"/>
    <n v="12"/>
    <s v="CUST-01428"/>
    <x v="0"/>
    <x v="13"/>
    <s v="MP"/>
    <x v="1"/>
    <s v="Bhopal"/>
    <x v="3"/>
    <s v="P104"/>
    <s v="Hydrating Face Wash"/>
    <x v="3"/>
    <n v="1"/>
    <n v="299"/>
    <n v="0"/>
    <n v="299"/>
    <n v="0"/>
    <n v="299"/>
    <n v="90"/>
    <n v="90"/>
    <n v="60"/>
    <n v="149"/>
    <n v="0.49832775919732442"/>
    <x v="0"/>
    <d v="2024-12-19T00:00:00"/>
    <n v="5"/>
    <x v="2"/>
    <n v="4"/>
    <n v="0"/>
  </r>
  <r>
    <s v="ORD-101996"/>
    <x v="345"/>
    <x v="0"/>
    <d v="2024-12-01T00:00:00"/>
    <n v="12"/>
    <s v="CUST-01377"/>
    <x v="0"/>
    <x v="18"/>
    <s v="WB"/>
    <x v="2"/>
    <s v="Kolkata"/>
    <x v="2"/>
    <s v="P103"/>
    <s v="Niacinamide Toner"/>
    <x v="3"/>
    <n v="1"/>
    <n v="399"/>
    <n v="0.15"/>
    <n v="399"/>
    <n v="59.849999999999994"/>
    <n v="339.15"/>
    <n v="112"/>
    <n v="112"/>
    <n v="120"/>
    <n v="107.14999999999998"/>
    <n v="0.31593690107621991"/>
    <x v="1"/>
    <d v="2024-12-18T00:00:00"/>
    <n v="4"/>
    <x v="0"/>
    <n v="5"/>
    <n v="1"/>
  </r>
  <r>
    <s v="ORD-101997"/>
    <x v="345"/>
    <x v="0"/>
    <d v="2024-12-01T00:00:00"/>
    <n v="12"/>
    <s v="CUST-02549"/>
    <x v="0"/>
    <x v="18"/>
    <s v="WB"/>
    <x v="2"/>
    <s v="Kolkata"/>
    <x v="2"/>
    <s v="P202"/>
    <s v="Argan Shampoo"/>
    <x v="6"/>
    <n v="1"/>
    <n v="449"/>
    <n v="0"/>
    <n v="449"/>
    <n v="0"/>
    <n v="449"/>
    <n v="148"/>
    <n v="148"/>
    <n v="60"/>
    <n v="241"/>
    <n v="0.53674832962138086"/>
    <x v="0"/>
    <d v="2024-12-15T00:00:00"/>
    <n v="1"/>
    <x v="1"/>
    <n v="4"/>
    <n v="0"/>
  </r>
  <r>
    <s v="ORD-101998"/>
    <x v="345"/>
    <x v="0"/>
    <d v="2024-12-01T00:00:00"/>
    <n v="12"/>
    <s v="CUST-00205"/>
    <x v="1"/>
    <x v="17"/>
    <s v="TN"/>
    <x v="3"/>
    <s v="Chennai"/>
    <x v="2"/>
    <s v="P503"/>
    <s v="Scented Candle Set"/>
    <x v="4"/>
    <n v="1"/>
    <n v="699"/>
    <n v="0.15"/>
    <n v="699"/>
    <n v="104.85"/>
    <n v="594.15"/>
    <n v="245"/>
    <n v="245"/>
    <n v="60"/>
    <n v="289.14999999999998"/>
    <n v="0.48666161743667424"/>
    <x v="0"/>
    <d v="2024-12-19T00:00:00"/>
    <n v="5"/>
    <x v="2"/>
    <m/>
    <n v="0"/>
  </r>
  <r>
    <s v="ORD-101999"/>
    <x v="346"/>
    <x v="0"/>
    <d v="2024-12-01T00:00:00"/>
    <n v="12"/>
    <s v="CUST-00416"/>
    <x v="1"/>
    <x v="0"/>
    <s v="RJ"/>
    <x v="0"/>
    <s v="Jaipur"/>
    <x v="4"/>
    <s v="P302"/>
    <s v="Linen Kurta"/>
    <x v="1"/>
    <n v="1"/>
    <n v="1499"/>
    <n v="0.3"/>
    <n v="1499"/>
    <n v="449.7"/>
    <n v="1049.3"/>
    <n v="630"/>
    <n v="630"/>
    <n v="60"/>
    <n v="359.29999999999995"/>
    <n v="0.34241875536071664"/>
    <x v="0"/>
    <d v="2024-12-19T00:00:00"/>
    <n v="4"/>
    <x v="0"/>
    <n v="4"/>
    <n v="0"/>
  </r>
  <r>
    <s v="ORD-102000"/>
    <x v="346"/>
    <x v="0"/>
    <d v="2024-12-01T00:00:00"/>
    <n v="12"/>
    <s v="CUST-00556"/>
    <x v="1"/>
    <x v="15"/>
    <s v="HR"/>
    <x v="0"/>
    <s v="Faridabad"/>
    <x v="3"/>
    <s v="P104"/>
    <s v="Hydrating Face Wash"/>
    <x v="3"/>
    <n v="2"/>
    <n v="299"/>
    <n v="0.1"/>
    <n v="598"/>
    <n v="59.800000000000004"/>
    <n v="538.20000000000005"/>
    <n v="90"/>
    <n v="180"/>
    <n v="60"/>
    <n v="298.20000000000005"/>
    <n v="0.55406911928651059"/>
    <x v="4"/>
    <d v="2024-12-16T00:00:00"/>
    <n v="1"/>
    <x v="1"/>
    <n v="4"/>
    <n v="0"/>
  </r>
  <r>
    <s v="ORD-102001"/>
    <x v="346"/>
    <x v="0"/>
    <d v="2024-12-01T00:00:00"/>
    <n v="12"/>
    <s v="CUST-00960"/>
    <x v="1"/>
    <x v="1"/>
    <s v="GJ"/>
    <x v="1"/>
    <s v="Surat"/>
    <x v="4"/>
    <s v="P302"/>
    <s v="Linen Kurta"/>
    <x v="1"/>
    <n v="2"/>
    <n v="1499"/>
    <n v="0.3"/>
    <n v="2998"/>
    <n v="899.4"/>
    <n v="2098.6"/>
    <n v="630"/>
    <n v="1260"/>
    <n v="60"/>
    <n v="778.59999999999991"/>
    <n v="0.3710092442580768"/>
    <x v="0"/>
    <d v="2024-12-18T00:00:00"/>
    <n v="3"/>
    <x v="0"/>
    <m/>
    <n v="0"/>
  </r>
  <r>
    <s v="ORD-102002"/>
    <x v="346"/>
    <x v="0"/>
    <d v="2024-12-01T00:00:00"/>
    <n v="12"/>
    <s v="CUST-00767"/>
    <x v="1"/>
    <x v="13"/>
    <s v="MP"/>
    <x v="1"/>
    <s v="Indore"/>
    <x v="0"/>
    <s v="P704"/>
    <s v="Multivitamin Gummies"/>
    <x v="0"/>
    <n v="1"/>
    <n v="699"/>
    <n v="0.2"/>
    <n v="699"/>
    <n v="139.80000000000001"/>
    <n v="559.20000000000005"/>
    <n v="238"/>
    <n v="238"/>
    <n v="60"/>
    <n v="261.20000000000005"/>
    <n v="0.46709585121602293"/>
    <x v="3"/>
    <d v="2024-12-17T00:00:00"/>
    <n v="2"/>
    <x v="1"/>
    <n v="5"/>
    <n v="0"/>
  </r>
  <r>
    <s v="ORD-102003"/>
    <x v="346"/>
    <x v="0"/>
    <d v="2024-12-01T00:00:00"/>
    <n v="12"/>
    <s v="CUST-00722"/>
    <x v="0"/>
    <x v="13"/>
    <s v="MP"/>
    <x v="1"/>
    <s v="Indore"/>
    <x v="4"/>
    <s v="P403"/>
    <s v="Kolhapuri Sandals"/>
    <x v="5"/>
    <n v="2"/>
    <n v="999"/>
    <n v="0"/>
    <n v="1998"/>
    <n v="0"/>
    <n v="1998"/>
    <n v="400"/>
    <n v="800"/>
    <n v="60"/>
    <n v="1138"/>
    <n v="0.56956956956956961"/>
    <x v="0"/>
    <d v="2024-12-19T00:00:00"/>
    <n v="4"/>
    <x v="0"/>
    <n v="4"/>
    <n v="0"/>
  </r>
  <r>
    <s v="ORD-102004"/>
    <x v="346"/>
    <x v="0"/>
    <d v="2024-12-01T00:00:00"/>
    <n v="12"/>
    <s v="CUST-01288"/>
    <x v="0"/>
    <x v="17"/>
    <s v="TN"/>
    <x v="3"/>
    <s v="Chennai"/>
    <x v="1"/>
    <s v="P301"/>
    <s v="Cotton Oversized T-Shirt"/>
    <x v="1"/>
    <n v="3"/>
    <n v="799"/>
    <n v="0.1"/>
    <n v="2397"/>
    <n v="239.70000000000002"/>
    <n v="2157.3000000000002"/>
    <n v="320"/>
    <n v="960"/>
    <n v="60"/>
    <n v="1137.3000000000002"/>
    <n v="0.52718676122931452"/>
    <x v="0"/>
    <d v="2024-12-17T00:00:00"/>
    <n v="2"/>
    <x v="1"/>
    <n v="4"/>
    <n v="0"/>
  </r>
  <r>
    <s v="ORD-102005"/>
    <x v="347"/>
    <x v="0"/>
    <d v="2024-12-01T00:00:00"/>
    <n v="12"/>
    <s v="CUST-01199"/>
    <x v="1"/>
    <x v="19"/>
    <s v="PB"/>
    <x v="0"/>
    <s v="Ludhiana"/>
    <x v="1"/>
    <s v="P403"/>
    <s v="Kolhapuri Sandals"/>
    <x v="5"/>
    <n v="1"/>
    <n v="999"/>
    <n v="0"/>
    <n v="999"/>
    <n v="0"/>
    <n v="999"/>
    <n v="400"/>
    <n v="400"/>
    <n v="60"/>
    <n v="539"/>
    <n v="0.53953953953953959"/>
    <x v="1"/>
    <d v="2024-12-20T00:00:00"/>
    <n v="4"/>
    <x v="0"/>
    <n v="5"/>
    <n v="0"/>
  </r>
  <r>
    <s v="ORD-102006"/>
    <x v="347"/>
    <x v="0"/>
    <d v="2024-12-01T00:00:00"/>
    <n v="12"/>
    <s v="CUST-00512"/>
    <x v="1"/>
    <x v="0"/>
    <s v="RJ"/>
    <x v="0"/>
    <s v="Jaipur"/>
    <x v="0"/>
    <s v="P101"/>
    <s v="Vitamin C Face Serum"/>
    <x v="3"/>
    <n v="1"/>
    <n v="599"/>
    <n v="0.15"/>
    <n v="599"/>
    <n v="89.85"/>
    <n v="509.15"/>
    <n v="180"/>
    <n v="180"/>
    <n v="60"/>
    <n v="269.14999999999998"/>
    <n v="0.52862614160856325"/>
    <x v="0"/>
    <d v="2024-12-19T00:00:00"/>
    <n v="3"/>
    <x v="0"/>
    <m/>
    <n v="0"/>
  </r>
  <r>
    <s v="ORD-102007"/>
    <x v="347"/>
    <x v="0"/>
    <d v="2024-12-01T00:00:00"/>
    <n v="12"/>
    <s v="CUST-00866"/>
    <x v="1"/>
    <x v="15"/>
    <s v="HR"/>
    <x v="0"/>
    <s v="Gurugram"/>
    <x v="3"/>
    <s v="P704"/>
    <s v="Multivitamin Gummies"/>
    <x v="0"/>
    <n v="2"/>
    <n v="699"/>
    <n v="0.2"/>
    <n v="1398"/>
    <n v="279.60000000000002"/>
    <n v="1118.4000000000001"/>
    <n v="238"/>
    <n v="476"/>
    <n v="60"/>
    <n v="582.40000000000009"/>
    <n v="0.5207439198855508"/>
    <x v="0"/>
    <d v="2024-12-18T00:00:00"/>
    <n v="2"/>
    <x v="1"/>
    <n v="5"/>
    <n v="0"/>
  </r>
  <r>
    <s v="ORD-102008"/>
    <x v="347"/>
    <x v="0"/>
    <d v="2024-12-01T00:00:00"/>
    <n v="12"/>
    <s v="CUST-00220"/>
    <x v="0"/>
    <x v="6"/>
    <s v="DL"/>
    <x v="0"/>
    <s v="New Delhi"/>
    <x v="0"/>
    <s v="P403"/>
    <s v="Kolhapuri Sandals"/>
    <x v="5"/>
    <n v="1"/>
    <n v="999"/>
    <n v="0.1"/>
    <n v="999"/>
    <n v="99.9"/>
    <n v="899.1"/>
    <n v="400"/>
    <n v="400"/>
    <n v="60"/>
    <n v="439.1"/>
    <n v="0.48837726615504395"/>
    <x v="1"/>
    <d v="2024-12-17T00:00:00"/>
    <n v="1"/>
    <x v="1"/>
    <n v="5"/>
    <n v="0"/>
  </r>
  <r>
    <s v="ORD-102009"/>
    <x v="347"/>
    <x v="0"/>
    <d v="2024-12-01T00:00:00"/>
    <n v="12"/>
    <s v="CUST-00902"/>
    <x v="1"/>
    <x v="16"/>
    <s v="UP"/>
    <x v="0"/>
    <s v="Kanpur"/>
    <x v="3"/>
    <s v="P201"/>
    <s v="Onion Hair Oil"/>
    <x v="6"/>
    <n v="1"/>
    <n v="349"/>
    <n v="0.3"/>
    <n v="349"/>
    <n v="104.7"/>
    <n v="244.3"/>
    <n v="105"/>
    <n v="105"/>
    <n v="60"/>
    <n v="79.300000000000011"/>
    <n v="0.32460090053213264"/>
    <x v="3"/>
    <d v="2024-12-20T00:00:00"/>
    <n v="4"/>
    <x v="0"/>
    <n v="4"/>
    <n v="0"/>
  </r>
  <r>
    <s v="ORD-102010"/>
    <x v="347"/>
    <x v="0"/>
    <d v="2024-12-01T00:00:00"/>
    <n v="12"/>
    <s v="CUST-00850"/>
    <x v="1"/>
    <x v="13"/>
    <s v="MP"/>
    <x v="1"/>
    <s v="Indore"/>
    <x v="2"/>
    <s v="P601"/>
    <s v="Wireless Earbuds"/>
    <x v="2"/>
    <n v="1"/>
    <n v="1999"/>
    <n v="0.25"/>
    <n v="1999"/>
    <n v="499.75"/>
    <n v="1499.25"/>
    <n v="1239"/>
    <n v="1239"/>
    <n v="60"/>
    <n v="200.25"/>
    <n v="0.13356678339169584"/>
    <x v="1"/>
    <d v="2024-12-20T00:00:00"/>
    <n v="4"/>
    <x v="0"/>
    <n v="3"/>
    <n v="0"/>
  </r>
  <r>
    <s v="ORD-102011"/>
    <x v="347"/>
    <x v="0"/>
    <d v="2024-12-01T00:00:00"/>
    <n v="12"/>
    <s v="CUST-01663"/>
    <x v="1"/>
    <x v="18"/>
    <s v="WB"/>
    <x v="2"/>
    <s v="Kolkata"/>
    <x v="4"/>
    <s v="P202"/>
    <s v="Argan Shampoo"/>
    <x v="6"/>
    <n v="1"/>
    <n v="449"/>
    <n v="0.05"/>
    <n v="449"/>
    <n v="22.450000000000003"/>
    <n v="426.55"/>
    <n v="148"/>
    <n v="148"/>
    <n v="60"/>
    <n v="218.55"/>
    <n v="0.51236666275934828"/>
    <x v="4"/>
    <d v="2024-12-21T00:00:00"/>
    <n v="5"/>
    <x v="2"/>
    <n v="4"/>
    <n v="0"/>
  </r>
  <r>
    <s v="ORD-102012"/>
    <x v="347"/>
    <x v="0"/>
    <d v="2024-12-01T00:00:00"/>
    <n v="12"/>
    <s v="CUST-00684"/>
    <x v="0"/>
    <x v="18"/>
    <s v="WB"/>
    <x v="2"/>
    <s v="Kolkata"/>
    <x v="1"/>
    <s v="P404"/>
    <s v="Flip Flops"/>
    <x v="5"/>
    <n v="2"/>
    <n v="399"/>
    <n v="0.15"/>
    <n v="798"/>
    <n v="119.69999999999999"/>
    <n v="678.3"/>
    <n v="152"/>
    <n v="304"/>
    <n v="60"/>
    <n v="314.29999999999995"/>
    <n v="0.4633642930856553"/>
    <x v="0"/>
    <d v="2024-12-19T00:00:00"/>
    <n v="3"/>
    <x v="0"/>
    <m/>
    <n v="0"/>
  </r>
  <r>
    <s v="ORD-102013"/>
    <x v="347"/>
    <x v="0"/>
    <d v="2024-12-01T00:00:00"/>
    <n v="12"/>
    <s v="CUST-00652"/>
    <x v="1"/>
    <x v="11"/>
    <s v="KA"/>
    <x v="3"/>
    <s v="Bengaluru"/>
    <x v="4"/>
    <s v="P204"/>
    <s v="Anti-Dandruff Conditioner"/>
    <x v="6"/>
    <n v="3"/>
    <n v="399"/>
    <n v="0.3"/>
    <n v="1197"/>
    <n v="359.09999999999997"/>
    <n v="837.90000000000009"/>
    <n v="136"/>
    <n v="408"/>
    <n v="60"/>
    <n v="369.90000000000009"/>
    <n v="0.44146079484425355"/>
    <x v="0"/>
    <d v="2024-12-17T00:00:00"/>
    <n v="1"/>
    <x v="1"/>
    <m/>
    <n v="0"/>
  </r>
  <r>
    <s v="ORD-102014"/>
    <x v="347"/>
    <x v="0"/>
    <d v="2024-12-01T00:00:00"/>
    <n v="12"/>
    <s v="CUST-00329"/>
    <x v="1"/>
    <x v="17"/>
    <s v="TN"/>
    <x v="3"/>
    <s v="Chennai"/>
    <x v="0"/>
    <s v="P701"/>
    <s v="Ashwagandha Capsules"/>
    <x v="0"/>
    <n v="1"/>
    <n v="499"/>
    <n v="0"/>
    <n v="499"/>
    <n v="0"/>
    <n v="499"/>
    <n v="150"/>
    <n v="150"/>
    <n v="60"/>
    <n v="289"/>
    <n v="0.57915831663326656"/>
    <x v="0"/>
    <d v="2024-12-18T00:00:00"/>
    <n v="2"/>
    <x v="1"/>
    <m/>
    <n v="0"/>
  </r>
  <r>
    <s v="ORD-102015"/>
    <x v="348"/>
    <x v="0"/>
    <d v="2024-12-01T00:00:00"/>
    <n v="12"/>
    <s v="CUST-00616"/>
    <x v="1"/>
    <x v="6"/>
    <s v="DL"/>
    <x v="0"/>
    <s v="New Delhi"/>
    <x v="1"/>
    <s v="P403"/>
    <s v="Kolhapuri Sandals"/>
    <x v="5"/>
    <n v="1"/>
    <n v="999"/>
    <n v="0.1"/>
    <n v="999"/>
    <n v="99.9"/>
    <n v="899.1"/>
    <n v="400"/>
    <n v="400"/>
    <n v="60"/>
    <n v="439.1"/>
    <n v="0.48837726615504395"/>
    <x v="0"/>
    <d v="2024-12-18T00:00:00"/>
    <n v="1"/>
    <x v="1"/>
    <n v="5"/>
    <n v="0"/>
  </r>
  <r>
    <s v="ORD-102016"/>
    <x v="348"/>
    <x v="0"/>
    <d v="2024-12-01T00:00:00"/>
    <n v="12"/>
    <s v="CUST-00456"/>
    <x v="1"/>
    <x v="1"/>
    <s v="GJ"/>
    <x v="1"/>
    <s v="Ahmedabad"/>
    <x v="4"/>
    <s v="P404"/>
    <s v="Flip Flops"/>
    <x v="5"/>
    <n v="1"/>
    <n v="399"/>
    <n v="0.15"/>
    <n v="399"/>
    <n v="59.849999999999994"/>
    <n v="339.15"/>
    <n v="152"/>
    <n v="152"/>
    <n v="60"/>
    <n v="127.14999999999998"/>
    <n v="0.37490785787999409"/>
    <x v="1"/>
    <d v="2024-12-18T00:00:00"/>
    <n v="1"/>
    <x v="1"/>
    <n v="5"/>
    <n v="0"/>
  </r>
  <r>
    <s v="ORD-102017"/>
    <x v="348"/>
    <x v="0"/>
    <d v="2024-12-01T00:00:00"/>
    <n v="12"/>
    <s v="CUST-00971"/>
    <x v="1"/>
    <x v="13"/>
    <s v="MP"/>
    <x v="1"/>
    <s v="Bhopal"/>
    <x v="1"/>
    <s v="P303"/>
    <s v="Joggers"/>
    <x v="1"/>
    <n v="1"/>
    <n v="1199"/>
    <n v="0.1"/>
    <n v="1199"/>
    <n v="119.9"/>
    <n v="1079.0999999999999"/>
    <n v="492"/>
    <n v="492"/>
    <n v="60"/>
    <n v="527.09999999999991"/>
    <n v="0.48846260772866273"/>
    <x v="3"/>
    <d v="2024-12-20T00:00:00"/>
    <n v="3"/>
    <x v="0"/>
    <n v="3"/>
    <n v="0"/>
  </r>
  <r>
    <s v="ORD-102018"/>
    <x v="348"/>
    <x v="0"/>
    <d v="2024-12-01T00:00:00"/>
    <n v="12"/>
    <s v="CUST-01613"/>
    <x v="1"/>
    <x v="2"/>
    <s v="MH"/>
    <x v="1"/>
    <s v="Pune"/>
    <x v="1"/>
    <s v="P301"/>
    <s v="Cotton Oversized T-Shirt"/>
    <x v="1"/>
    <n v="1"/>
    <n v="799"/>
    <n v="0"/>
    <n v="799"/>
    <n v="0"/>
    <n v="799"/>
    <n v="320"/>
    <n v="320"/>
    <n v="60"/>
    <n v="419"/>
    <n v="0.52440550688360454"/>
    <x v="4"/>
    <d v="2024-12-19T00:00:00"/>
    <n v="2"/>
    <x v="1"/>
    <m/>
    <n v="0"/>
  </r>
  <r>
    <s v="ORD-102019"/>
    <x v="348"/>
    <x v="0"/>
    <d v="2024-12-01T00:00:00"/>
    <n v="12"/>
    <s v="CUST-00571"/>
    <x v="1"/>
    <x v="2"/>
    <s v="MH"/>
    <x v="1"/>
    <s v="Nagpur"/>
    <x v="0"/>
    <s v="P202"/>
    <s v="Argan Shampoo"/>
    <x v="6"/>
    <n v="2"/>
    <n v="449"/>
    <n v="0.05"/>
    <n v="898"/>
    <n v="44.900000000000006"/>
    <n v="853.1"/>
    <n v="148"/>
    <n v="296"/>
    <n v="60"/>
    <n v="497.1"/>
    <n v="0.58269839409213453"/>
    <x v="3"/>
    <d v="2024-12-19T00:00:00"/>
    <n v="2"/>
    <x v="1"/>
    <n v="4"/>
    <n v="0"/>
  </r>
  <r>
    <s v="ORD-102020"/>
    <x v="348"/>
    <x v="0"/>
    <d v="2024-12-01T00:00:00"/>
    <n v="12"/>
    <s v="CUST-00755"/>
    <x v="0"/>
    <x v="2"/>
    <s v="MH"/>
    <x v="1"/>
    <s v="Mumbai"/>
    <x v="1"/>
    <s v="P301"/>
    <s v="Cotton Oversized T-Shirt"/>
    <x v="1"/>
    <n v="3"/>
    <n v="799"/>
    <n v="0.1"/>
    <n v="2397"/>
    <n v="239.70000000000002"/>
    <n v="2157.3000000000002"/>
    <n v="320"/>
    <n v="960"/>
    <n v="60"/>
    <n v="1137.3000000000002"/>
    <n v="0.52718676122931452"/>
    <x v="0"/>
    <d v="2024-12-20T00:00:00"/>
    <n v="3"/>
    <x v="0"/>
    <m/>
    <n v="0"/>
  </r>
  <r>
    <s v="ORD-102021"/>
    <x v="348"/>
    <x v="0"/>
    <d v="2024-12-01T00:00:00"/>
    <n v="12"/>
    <s v="CUST-00413"/>
    <x v="1"/>
    <x v="8"/>
    <s v="AP"/>
    <x v="3"/>
    <s v="Vijayawada"/>
    <x v="4"/>
    <s v="P602"/>
    <s v="Fast Charger 33W"/>
    <x v="2"/>
    <n v="2"/>
    <n v="899"/>
    <n v="0.05"/>
    <n v="1798"/>
    <n v="89.9"/>
    <n v="1708.1"/>
    <n v="494"/>
    <n v="988"/>
    <n v="60"/>
    <n v="660.09999999999991"/>
    <n v="0.38645278379485976"/>
    <x v="0"/>
    <d v="2024-12-20T00:00:00"/>
    <n v="3"/>
    <x v="0"/>
    <n v="5"/>
    <n v="0"/>
  </r>
  <r>
    <s v="ORD-102022"/>
    <x v="349"/>
    <x v="0"/>
    <d v="2024-12-01T00:00:00"/>
    <n v="12"/>
    <s v="CUST-00859"/>
    <x v="1"/>
    <x v="9"/>
    <s v="UK"/>
    <x v="0"/>
    <s v="Dehradun"/>
    <x v="0"/>
    <s v="P203"/>
    <s v="Keratin Hair Mask"/>
    <x v="6"/>
    <n v="4"/>
    <n v="549"/>
    <n v="0.2"/>
    <n v="2196"/>
    <n v="439.20000000000005"/>
    <n v="1756.8"/>
    <n v="170"/>
    <n v="680"/>
    <n v="60"/>
    <n v="1016.8"/>
    <n v="0.57877959927140255"/>
    <x v="4"/>
    <d v="2024-12-22T00:00:00"/>
    <n v="4"/>
    <x v="0"/>
    <n v="5"/>
    <n v="0"/>
  </r>
  <r>
    <s v="ORD-102023"/>
    <x v="349"/>
    <x v="0"/>
    <d v="2024-12-01T00:00:00"/>
    <n v="12"/>
    <s v="CUST-01711"/>
    <x v="0"/>
    <x v="16"/>
    <s v="UP"/>
    <x v="0"/>
    <s v="Noida"/>
    <x v="4"/>
    <s v="P203"/>
    <s v="Keratin Hair Mask"/>
    <x v="6"/>
    <n v="1"/>
    <n v="549"/>
    <n v="0.15"/>
    <n v="549"/>
    <n v="82.35"/>
    <n v="466.65"/>
    <n v="170"/>
    <n v="170"/>
    <n v="60"/>
    <n v="236.64999999999998"/>
    <n v="0.50712525447337398"/>
    <x v="2"/>
    <d v="2024-12-22T00:00:00"/>
    <n v="4"/>
    <x v="0"/>
    <n v="4"/>
    <n v="0"/>
  </r>
  <r>
    <s v="ORD-102024"/>
    <x v="349"/>
    <x v="0"/>
    <d v="2024-12-01T00:00:00"/>
    <n v="12"/>
    <s v="CUST-00848"/>
    <x v="0"/>
    <x v="16"/>
    <s v="UP"/>
    <x v="0"/>
    <s v="Lucknow"/>
    <x v="1"/>
    <s v="P303"/>
    <s v="Joggers"/>
    <x v="1"/>
    <n v="1"/>
    <n v="1199"/>
    <n v="0.1"/>
    <n v="1199"/>
    <n v="119.9"/>
    <n v="1079.0999999999999"/>
    <n v="492"/>
    <n v="492"/>
    <n v="60"/>
    <n v="527.09999999999991"/>
    <n v="0.48846260772866273"/>
    <x v="3"/>
    <d v="2024-12-23T00:00:00"/>
    <n v="5"/>
    <x v="2"/>
    <n v="3"/>
    <n v="0"/>
  </r>
  <r>
    <s v="ORD-102025"/>
    <x v="349"/>
    <x v="0"/>
    <d v="2024-12-01T00:00:00"/>
    <n v="12"/>
    <s v="CUST-01629"/>
    <x v="0"/>
    <x v="11"/>
    <s v="KA"/>
    <x v="3"/>
    <s v="Mysuru"/>
    <x v="4"/>
    <s v="P203"/>
    <s v="Keratin Hair Mask"/>
    <x v="6"/>
    <n v="1"/>
    <n v="549"/>
    <n v="0.15"/>
    <n v="549"/>
    <n v="82.35"/>
    <n v="466.65"/>
    <n v="170"/>
    <n v="170"/>
    <n v="60"/>
    <n v="236.64999999999998"/>
    <n v="0.50712525447337398"/>
    <x v="0"/>
    <d v="2024-12-20T00:00:00"/>
    <n v="2"/>
    <x v="1"/>
    <n v="3"/>
    <n v="0"/>
  </r>
  <r>
    <s v="ORD-102026"/>
    <x v="349"/>
    <x v="0"/>
    <d v="2024-12-01T00:00:00"/>
    <n v="12"/>
    <s v="CUST-00810"/>
    <x v="1"/>
    <x v="8"/>
    <s v="AP"/>
    <x v="3"/>
    <s v="Visakhapatnam"/>
    <x v="3"/>
    <s v="P203"/>
    <s v="Keratin Hair Mask"/>
    <x v="6"/>
    <n v="1"/>
    <n v="549"/>
    <n v="0.25"/>
    <n v="549"/>
    <n v="137.25"/>
    <n v="411.75"/>
    <n v="170"/>
    <n v="170"/>
    <n v="60"/>
    <n v="181.75"/>
    <n v="0.44140862173649059"/>
    <x v="0"/>
    <d v="2024-12-23T00:00:00"/>
    <n v="5"/>
    <x v="2"/>
    <n v="4"/>
    <n v="0"/>
  </r>
  <r>
    <s v="ORD-102027"/>
    <x v="349"/>
    <x v="0"/>
    <d v="2024-12-01T00:00:00"/>
    <n v="12"/>
    <s v="CUST-00596"/>
    <x v="1"/>
    <x v="8"/>
    <s v="AP"/>
    <x v="3"/>
    <s v="Visakhapatnam"/>
    <x v="0"/>
    <s v="P202"/>
    <s v="Argan Shampoo"/>
    <x v="6"/>
    <n v="1"/>
    <n v="449"/>
    <n v="0.15"/>
    <n v="449"/>
    <n v="67.349999999999994"/>
    <n v="381.65"/>
    <n v="148"/>
    <n v="148"/>
    <n v="60"/>
    <n v="173.64999999999998"/>
    <n v="0.45499803484868334"/>
    <x v="3"/>
    <d v="2024-12-20T00:00:00"/>
    <n v="2"/>
    <x v="1"/>
    <m/>
    <n v="0"/>
  </r>
  <r>
    <s v="ORD-102028"/>
    <x v="350"/>
    <x v="0"/>
    <d v="2024-12-01T00:00:00"/>
    <n v="12"/>
    <s v="CUST-00127"/>
    <x v="1"/>
    <x v="19"/>
    <s v="PB"/>
    <x v="0"/>
    <s v="Ludhiana"/>
    <x v="3"/>
    <s v="P102"/>
    <s v="Sunscreen SPF 50"/>
    <x v="3"/>
    <n v="1"/>
    <n v="449"/>
    <n v="0"/>
    <n v="449"/>
    <n v="0"/>
    <n v="449"/>
    <n v="144"/>
    <n v="144"/>
    <n v="60"/>
    <n v="245"/>
    <n v="0.54565701559020041"/>
    <x v="3"/>
    <d v="2024-12-24T00:00:00"/>
    <n v="5"/>
    <x v="2"/>
    <m/>
    <n v="0"/>
  </r>
  <r>
    <s v="ORD-102029"/>
    <x v="350"/>
    <x v="0"/>
    <d v="2024-12-01T00:00:00"/>
    <n v="12"/>
    <s v="CUST-00549"/>
    <x v="0"/>
    <x v="6"/>
    <s v="DL"/>
    <x v="0"/>
    <s v="New Delhi"/>
    <x v="1"/>
    <s v="P404"/>
    <s v="Flip Flops"/>
    <x v="5"/>
    <n v="2"/>
    <n v="399"/>
    <n v="0.15"/>
    <n v="798"/>
    <n v="119.69999999999999"/>
    <n v="678.3"/>
    <n v="152"/>
    <n v="304"/>
    <n v="60"/>
    <n v="314.29999999999995"/>
    <n v="0.4633642930856553"/>
    <x v="0"/>
    <d v="2024-12-20T00:00:00"/>
    <n v="1"/>
    <x v="1"/>
    <n v="4"/>
    <n v="0"/>
  </r>
  <r>
    <s v="ORD-102030"/>
    <x v="350"/>
    <x v="0"/>
    <d v="2024-12-01T00:00:00"/>
    <n v="12"/>
    <s v="CUST-02080"/>
    <x v="0"/>
    <x v="1"/>
    <s v="GJ"/>
    <x v="1"/>
    <s v="Surat"/>
    <x v="2"/>
    <s v="P202"/>
    <s v="Argan Shampoo"/>
    <x v="6"/>
    <n v="1"/>
    <n v="449"/>
    <n v="0"/>
    <n v="449"/>
    <n v="0"/>
    <n v="449"/>
    <n v="148"/>
    <n v="148"/>
    <n v="60"/>
    <n v="241"/>
    <n v="0.53674832962138086"/>
    <x v="0"/>
    <d v="2024-12-23T00:00:00"/>
    <n v="4"/>
    <x v="0"/>
    <m/>
    <n v="0"/>
  </r>
  <r>
    <s v="ORD-102031"/>
    <x v="350"/>
    <x v="0"/>
    <d v="2024-12-01T00:00:00"/>
    <n v="12"/>
    <s v="CUST-01080"/>
    <x v="1"/>
    <x v="18"/>
    <s v="WB"/>
    <x v="2"/>
    <s v="Kolkata"/>
    <x v="2"/>
    <s v="P101"/>
    <s v="Vitamin C Face Serum"/>
    <x v="3"/>
    <n v="1"/>
    <n v="599"/>
    <n v="0.1"/>
    <n v="599"/>
    <n v="59.900000000000006"/>
    <n v="539.1"/>
    <n v="180"/>
    <n v="180"/>
    <n v="120"/>
    <n v="239.10000000000002"/>
    <n v="0.4435169727323317"/>
    <x v="3"/>
    <d v="2024-12-24T00:00:00"/>
    <n v="5"/>
    <x v="2"/>
    <n v="4"/>
    <n v="1"/>
  </r>
  <r>
    <s v="ORD-102032"/>
    <x v="350"/>
    <x v="0"/>
    <d v="2024-12-01T00:00:00"/>
    <n v="12"/>
    <s v="CUST-00215"/>
    <x v="1"/>
    <x v="8"/>
    <s v="AP"/>
    <x v="3"/>
    <s v="Vijayawada"/>
    <x v="0"/>
    <s v="P503"/>
    <s v="Scented Candle Set"/>
    <x v="4"/>
    <n v="1"/>
    <n v="699"/>
    <n v="0.2"/>
    <n v="699"/>
    <n v="139.80000000000001"/>
    <n v="559.20000000000005"/>
    <n v="245"/>
    <n v="245"/>
    <n v="60"/>
    <n v="254.20000000000005"/>
    <n v="0.45457796852646642"/>
    <x v="3"/>
    <d v="2024-12-23T00:00:00"/>
    <n v="4"/>
    <x v="0"/>
    <n v="3"/>
    <n v="0"/>
  </r>
  <r>
    <s v="ORD-102033"/>
    <x v="350"/>
    <x v="0"/>
    <d v="2024-12-01T00:00:00"/>
    <n v="12"/>
    <s v="CUST-00724"/>
    <x v="1"/>
    <x v="17"/>
    <s v="TN"/>
    <x v="3"/>
    <s v="Chennai"/>
    <x v="2"/>
    <s v="P603"/>
    <s v="Smartwatch Strap"/>
    <x v="2"/>
    <n v="1"/>
    <n v="499"/>
    <n v="0.05"/>
    <n v="499"/>
    <n v="24.950000000000003"/>
    <n v="474.05"/>
    <n v="200"/>
    <n v="200"/>
    <n v="60"/>
    <n v="214.05"/>
    <n v="0.45153464824385614"/>
    <x v="1"/>
    <d v="2024-12-22T00:00:00"/>
    <n v="3"/>
    <x v="0"/>
    <n v="4"/>
    <n v="0"/>
  </r>
  <r>
    <s v="ORD-102034"/>
    <x v="351"/>
    <x v="0"/>
    <d v="2024-12-01T00:00:00"/>
    <n v="12"/>
    <s v="CUST-00083"/>
    <x v="1"/>
    <x v="15"/>
    <s v="HR"/>
    <x v="0"/>
    <s v="Gurugram"/>
    <x v="1"/>
    <s v="P403"/>
    <s v="Kolhapuri Sandals"/>
    <x v="5"/>
    <n v="1"/>
    <n v="999"/>
    <n v="0.15"/>
    <n v="999"/>
    <n v="149.85"/>
    <n v="849.15"/>
    <n v="400"/>
    <n v="400"/>
    <n v="60"/>
    <n v="389.15"/>
    <n v="0.45828181122298767"/>
    <x v="1"/>
    <d v="2024-12-23T00:00:00"/>
    <n v="3"/>
    <x v="0"/>
    <n v="4"/>
    <n v="0"/>
  </r>
  <r>
    <s v="ORD-102035"/>
    <x v="351"/>
    <x v="0"/>
    <d v="2024-12-01T00:00:00"/>
    <n v="12"/>
    <s v="CUST-03116"/>
    <x v="1"/>
    <x v="13"/>
    <s v="MP"/>
    <x v="1"/>
    <s v="Bhopal"/>
    <x v="1"/>
    <s v="P301"/>
    <s v="Cotton Oversized T-Shirt"/>
    <x v="1"/>
    <n v="2"/>
    <n v="799"/>
    <n v="0"/>
    <n v="1598"/>
    <n v="0"/>
    <n v="1598"/>
    <n v="320"/>
    <n v="640"/>
    <n v="120"/>
    <n v="838"/>
    <n v="0.52440550688360454"/>
    <x v="1"/>
    <d v="2024-12-21T00:00:00"/>
    <n v="1"/>
    <x v="1"/>
    <n v="4"/>
    <n v="1"/>
  </r>
  <r>
    <s v="ORD-102036"/>
    <x v="351"/>
    <x v="0"/>
    <d v="2024-12-01T00:00:00"/>
    <n v="12"/>
    <s v="CUST-00792"/>
    <x v="1"/>
    <x v="18"/>
    <s v="WB"/>
    <x v="2"/>
    <s v="Kolkata"/>
    <x v="4"/>
    <s v="P603"/>
    <s v="Smartwatch Strap"/>
    <x v="2"/>
    <n v="1"/>
    <n v="499"/>
    <n v="0.15"/>
    <n v="499"/>
    <n v="74.849999999999994"/>
    <n v="424.15"/>
    <n v="200"/>
    <n v="200"/>
    <n v="60"/>
    <n v="164.14999999999998"/>
    <n v="0.38700931274313327"/>
    <x v="1"/>
    <d v="2024-12-24T00:00:00"/>
    <n v="4"/>
    <x v="0"/>
    <n v="5"/>
    <n v="0"/>
  </r>
  <r>
    <s v="ORD-102037"/>
    <x v="351"/>
    <x v="0"/>
    <d v="2024-12-01T00:00:00"/>
    <n v="12"/>
    <s v="CUST-00361"/>
    <x v="1"/>
    <x v="18"/>
    <s v="WB"/>
    <x v="2"/>
    <s v="Kolkata"/>
    <x v="3"/>
    <s v="P201"/>
    <s v="Onion Hair Oil"/>
    <x v="6"/>
    <n v="1"/>
    <n v="349"/>
    <n v="0.25"/>
    <n v="349"/>
    <n v="87.25"/>
    <n v="261.75"/>
    <n v="105"/>
    <n v="105"/>
    <n v="60"/>
    <n v="96.75"/>
    <n v="0.36962750716332377"/>
    <x v="3"/>
    <d v="2024-12-23T00:00:00"/>
    <n v="3"/>
    <x v="0"/>
    <m/>
    <n v="0"/>
  </r>
  <r>
    <s v="ORD-102038"/>
    <x v="351"/>
    <x v="0"/>
    <d v="2024-12-01T00:00:00"/>
    <n v="12"/>
    <s v="CUST-00979"/>
    <x v="1"/>
    <x v="21"/>
    <s v="TG"/>
    <x v="3"/>
    <s v="Hyderabad"/>
    <x v="4"/>
    <s v="P502"/>
    <s v="Ceramic Dinner Set"/>
    <x v="4"/>
    <n v="2"/>
    <n v="2499"/>
    <n v="0.35"/>
    <n v="4998"/>
    <n v="1749.3"/>
    <n v="3248.7"/>
    <n v="1250"/>
    <n v="2500"/>
    <n v="60"/>
    <n v="688.69999999999982"/>
    <n v="0.21199248930341363"/>
    <x v="0"/>
    <d v="2024-12-22T00:00:00"/>
    <n v="2"/>
    <x v="1"/>
    <n v="4"/>
    <n v="0"/>
  </r>
  <r>
    <s v="ORD-102039"/>
    <x v="352"/>
    <x v="0"/>
    <d v="2024-12-01T00:00:00"/>
    <n v="12"/>
    <s v="CUST-00327"/>
    <x v="1"/>
    <x v="19"/>
    <s v="PB"/>
    <x v="0"/>
    <s v="Amritsar"/>
    <x v="3"/>
    <s v="P703"/>
    <s v="Green Tea (100 bags)"/>
    <x v="0"/>
    <n v="2"/>
    <n v="399"/>
    <n v="0.3"/>
    <n v="798"/>
    <n v="239.39999999999998"/>
    <n v="558.6"/>
    <n v="128"/>
    <n v="256"/>
    <n v="60"/>
    <n v="242.60000000000002"/>
    <n v="0.43430003580379523"/>
    <x v="0"/>
    <d v="2024-12-23T00:00:00"/>
    <n v="2"/>
    <x v="1"/>
    <m/>
    <n v="0"/>
  </r>
  <r>
    <s v="ORD-102040"/>
    <x v="352"/>
    <x v="0"/>
    <d v="2024-12-01T00:00:00"/>
    <n v="12"/>
    <s v="CUST-00860"/>
    <x v="1"/>
    <x v="6"/>
    <s v="DL"/>
    <x v="0"/>
    <s v="New Delhi"/>
    <x v="0"/>
    <s v="P602"/>
    <s v="Fast Charger 33W"/>
    <x v="2"/>
    <n v="1"/>
    <n v="899"/>
    <n v="0.1"/>
    <n v="899"/>
    <n v="89.9"/>
    <n v="809.1"/>
    <n v="494"/>
    <n v="494"/>
    <n v="60"/>
    <n v="255.10000000000002"/>
    <n v="0.31528859226300832"/>
    <x v="0"/>
    <d v="2024-12-22T00:00:00"/>
    <n v="1"/>
    <x v="1"/>
    <m/>
    <n v="0"/>
  </r>
  <r>
    <s v="ORD-102041"/>
    <x v="352"/>
    <x v="0"/>
    <d v="2024-12-01T00:00:00"/>
    <n v="12"/>
    <s v="CUST-01078"/>
    <x v="1"/>
    <x v="1"/>
    <s v="GJ"/>
    <x v="1"/>
    <s v="Surat"/>
    <x v="0"/>
    <s v="P101"/>
    <s v="Vitamin C Face Serum"/>
    <x v="3"/>
    <n v="1"/>
    <n v="599"/>
    <n v="0.2"/>
    <n v="599"/>
    <n v="119.80000000000001"/>
    <n v="479.2"/>
    <n v="180"/>
    <n v="180"/>
    <n v="60"/>
    <n v="239.2"/>
    <n v="0.4991652754590985"/>
    <x v="1"/>
    <d v="2024-12-25T00:00:00"/>
    <n v="4"/>
    <x v="0"/>
    <n v="3"/>
    <n v="0"/>
  </r>
  <r>
    <s v="ORD-102042"/>
    <x v="352"/>
    <x v="0"/>
    <d v="2024-12-01T00:00:00"/>
    <n v="12"/>
    <s v="CUST-02336"/>
    <x v="1"/>
    <x v="8"/>
    <s v="AP"/>
    <x v="3"/>
    <s v="Vijayawada"/>
    <x v="4"/>
    <s v="P102"/>
    <s v="Sunscreen SPF 50"/>
    <x v="3"/>
    <n v="1"/>
    <n v="449"/>
    <n v="0.05"/>
    <n v="449"/>
    <n v="22.450000000000003"/>
    <n v="426.55"/>
    <n v="144"/>
    <n v="144"/>
    <n v="60"/>
    <n v="222.55"/>
    <n v="0.52174422693705313"/>
    <x v="3"/>
    <d v="2024-12-23T00:00:00"/>
    <n v="2"/>
    <x v="1"/>
    <n v="5"/>
    <n v="0"/>
  </r>
  <r>
    <s v="ORD-102043"/>
    <x v="352"/>
    <x v="0"/>
    <d v="2024-12-01T00:00:00"/>
    <n v="12"/>
    <s v="CUST-01059"/>
    <x v="1"/>
    <x v="14"/>
    <s v="KL"/>
    <x v="3"/>
    <s v="Thiruvananthapuram"/>
    <x v="3"/>
    <s v="P204"/>
    <s v="Anti-Dandruff Conditioner"/>
    <x v="6"/>
    <n v="2"/>
    <n v="399"/>
    <n v="0.35"/>
    <n v="798"/>
    <n v="279.29999999999995"/>
    <n v="518.70000000000005"/>
    <n v="136"/>
    <n v="272"/>
    <n v="60"/>
    <n v="186.70000000000005"/>
    <n v="0.35993830730672843"/>
    <x v="0"/>
    <d v="2024-12-25T00:00:00"/>
    <n v="4"/>
    <x v="0"/>
    <n v="4"/>
    <n v="0"/>
  </r>
  <r>
    <s v="ORD-102044"/>
    <x v="352"/>
    <x v="0"/>
    <d v="2024-12-01T00:00:00"/>
    <n v="12"/>
    <s v="CUST-01069"/>
    <x v="1"/>
    <x v="14"/>
    <s v="KL"/>
    <x v="3"/>
    <s v="Kochi"/>
    <x v="2"/>
    <s v="P201"/>
    <s v="Onion Hair Oil"/>
    <x v="6"/>
    <n v="2"/>
    <n v="349"/>
    <n v="0.25"/>
    <n v="698"/>
    <n v="174.5"/>
    <n v="523.5"/>
    <n v="105"/>
    <n v="210"/>
    <n v="60"/>
    <n v="253.5"/>
    <n v="0.48424068767908307"/>
    <x v="0"/>
    <d v="2024-12-24T00:00:00"/>
    <n v="3"/>
    <x v="0"/>
    <m/>
    <n v="0"/>
  </r>
  <r>
    <s v="ORD-102045"/>
    <x v="352"/>
    <x v="0"/>
    <d v="2024-12-01T00:00:00"/>
    <n v="12"/>
    <s v="CUST-01166"/>
    <x v="1"/>
    <x v="17"/>
    <s v="TN"/>
    <x v="3"/>
    <s v="Chennai"/>
    <x v="0"/>
    <s v="P404"/>
    <s v="Flip Flops"/>
    <x v="5"/>
    <n v="1"/>
    <n v="399"/>
    <n v="0.05"/>
    <n v="399"/>
    <n v="19.950000000000003"/>
    <n v="379.05"/>
    <n v="152"/>
    <n v="152"/>
    <n v="60"/>
    <n v="167.05"/>
    <n v="0.44070703073473161"/>
    <x v="0"/>
    <d v="2024-12-22T00:00:00"/>
    <n v="1"/>
    <x v="1"/>
    <n v="5"/>
    <n v="0"/>
  </r>
  <r>
    <s v="ORD-102046"/>
    <x v="353"/>
    <x v="0"/>
    <d v="2024-12-01T00:00:00"/>
    <n v="12"/>
    <s v="CUST-02291"/>
    <x v="0"/>
    <x v="5"/>
    <s v="HP"/>
    <x v="0"/>
    <s v="Shimla"/>
    <x v="4"/>
    <s v="P302"/>
    <s v="Linen Kurta"/>
    <x v="1"/>
    <n v="2"/>
    <n v="1499"/>
    <n v="0.4"/>
    <n v="2998"/>
    <n v="1199.2"/>
    <n v="1798.8"/>
    <n v="630"/>
    <n v="1260"/>
    <n v="120"/>
    <n v="418.79999999999995"/>
    <n v="0.23282188125416942"/>
    <x v="3"/>
    <d v="2024-12-27T00:00:00"/>
    <n v="5"/>
    <x v="2"/>
    <m/>
    <n v="1"/>
  </r>
  <r>
    <s v="ORD-102047"/>
    <x v="353"/>
    <x v="0"/>
    <d v="2024-12-01T00:00:00"/>
    <n v="12"/>
    <s v="CUST-02523"/>
    <x v="0"/>
    <x v="16"/>
    <s v="UP"/>
    <x v="0"/>
    <s v="Lucknow"/>
    <x v="0"/>
    <s v="P603"/>
    <s v="Smartwatch Strap"/>
    <x v="2"/>
    <n v="1"/>
    <n v="499"/>
    <n v="0.1"/>
    <n v="499"/>
    <n v="49.900000000000006"/>
    <n v="449.1"/>
    <n v="200"/>
    <n v="200"/>
    <n v="60"/>
    <n v="189.10000000000002"/>
    <n v="0.42106435092407041"/>
    <x v="1"/>
    <d v="2024-12-25T00:00:00"/>
    <n v="3"/>
    <x v="0"/>
    <m/>
    <n v="0"/>
  </r>
  <r>
    <s v="ORD-102048"/>
    <x v="353"/>
    <x v="0"/>
    <d v="2024-12-01T00:00:00"/>
    <n v="12"/>
    <s v="CUST-02432"/>
    <x v="0"/>
    <x v="16"/>
    <s v="UP"/>
    <x v="0"/>
    <s v="Noida"/>
    <x v="1"/>
    <s v="P404"/>
    <s v="Flip Flops"/>
    <x v="5"/>
    <n v="4"/>
    <n v="399"/>
    <n v="0.05"/>
    <n v="1596"/>
    <n v="79.800000000000011"/>
    <n v="1516.2"/>
    <n v="152"/>
    <n v="608"/>
    <n v="60"/>
    <n v="848.2"/>
    <n v="0.55942487798443474"/>
    <x v="0"/>
    <d v="2024-12-26T00:00:00"/>
    <n v="4"/>
    <x v="0"/>
    <n v="3"/>
    <n v="0"/>
  </r>
  <r>
    <s v="ORD-102049"/>
    <x v="353"/>
    <x v="0"/>
    <d v="2024-12-01T00:00:00"/>
    <n v="12"/>
    <s v="CUST-02051"/>
    <x v="0"/>
    <x v="1"/>
    <s v="GJ"/>
    <x v="1"/>
    <s v="Surat"/>
    <x v="3"/>
    <s v="P105"/>
    <s v="Retinol Night Cream"/>
    <x v="3"/>
    <n v="1"/>
    <n v="799"/>
    <n v="0.1"/>
    <n v="799"/>
    <n v="79.900000000000006"/>
    <n v="719.1"/>
    <n v="216"/>
    <n v="216"/>
    <n v="60"/>
    <n v="443.1"/>
    <n v="0.61618690029203171"/>
    <x v="0"/>
    <d v="2024-12-25T00:00:00"/>
    <n v="3"/>
    <x v="0"/>
    <n v="5"/>
    <n v="0"/>
  </r>
  <r>
    <s v="ORD-102050"/>
    <x v="353"/>
    <x v="0"/>
    <d v="2024-12-01T00:00:00"/>
    <n v="12"/>
    <s v="CUST-00870"/>
    <x v="1"/>
    <x v="13"/>
    <s v="MP"/>
    <x v="1"/>
    <s v="Bhopal"/>
    <x v="0"/>
    <s v="P603"/>
    <s v="Smartwatch Strap"/>
    <x v="2"/>
    <n v="1"/>
    <n v="499"/>
    <n v="0.1"/>
    <n v="499"/>
    <n v="49.900000000000006"/>
    <n v="449.1"/>
    <n v="200"/>
    <n v="200"/>
    <n v="60"/>
    <n v="189.10000000000002"/>
    <n v="0.42106435092407041"/>
    <x v="3"/>
    <d v="2024-12-25T00:00:00"/>
    <n v="3"/>
    <x v="0"/>
    <n v="4"/>
    <n v="0"/>
  </r>
  <r>
    <s v="ORD-102051"/>
    <x v="353"/>
    <x v="0"/>
    <d v="2024-12-01T00:00:00"/>
    <n v="12"/>
    <s v="CUST-02213"/>
    <x v="0"/>
    <x v="21"/>
    <s v="TG"/>
    <x v="3"/>
    <s v="Hyderabad"/>
    <x v="2"/>
    <s v="P303"/>
    <s v="Joggers"/>
    <x v="1"/>
    <n v="1"/>
    <n v="1199"/>
    <n v="0.05"/>
    <n v="1199"/>
    <n v="59.95"/>
    <n v="1139.05"/>
    <n v="492"/>
    <n v="492"/>
    <n v="60"/>
    <n v="587.04999999999995"/>
    <n v="0.51538562837452262"/>
    <x v="3"/>
    <d v="2024-12-24T00:00:00"/>
    <n v="2"/>
    <x v="1"/>
    <m/>
    <n v="0"/>
  </r>
  <r>
    <s v="ORD-102052"/>
    <x v="353"/>
    <x v="0"/>
    <d v="2024-12-01T00:00:00"/>
    <n v="12"/>
    <s v="CUST-01104"/>
    <x v="1"/>
    <x v="17"/>
    <s v="TN"/>
    <x v="3"/>
    <s v="Chennai"/>
    <x v="4"/>
    <s v="P401"/>
    <s v="Running Shoes"/>
    <x v="5"/>
    <n v="2"/>
    <n v="2999"/>
    <n v="0.15"/>
    <n v="5998"/>
    <n v="899.69999999999993"/>
    <n v="5098.3"/>
    <n v="1440"/>
    <n v="2880"/>
    <n v="60"/>
    <n v="2158.3000000000002"/>
    <n v="0.42333719082831534"/>
    <x v="1"/>
    <d v="2024-12-25T00:00:00"/>
    <n v="3"/>
    <x v="0"/>
    <n v="3"/>
    <n v="0"/>
  </r>
  <r>
    <s v="ORD-102053"/>
    <x v="354"/>
    <x v="0"/>
    <d v="2024-12-01T00:00:00"/>
    <n v="12"/>
    <s v="CUST-02397"/>
    <x v="0"/>
    <x v="5"/>
    <s v="HP"/>
    <x v="0"/>
    <s v="Shimla"/>
    <x v="4"/>
    <s v="P703"/>
    <s v="Green Tea (100 bags)"/>
    <x v="0"/>
    <n v="1"/>
    <n v="399"/>
    <n v="0.45"/>
    <n v="399"/>
    <n v="179.55"/>
    <n v="219.45"/>
    <n v="128"/>
    <n v="128"/>
    <n v="60"/>
    <n v="31.449999999999989"/>
    <n v="0.14331282752335381"/>
    <x v="0"/>
    <d v="2024-12-26T00:00:00"/>
    <n v="3"/>
    <x v="0"/>
    <n v="4"/>
    <n v="0"/>
  </r>
  <r>
    <s v="ORD-102054"/>
    <x v="354"/>
    <x v="0"/>
    <d v="2024-12-01T00:00:00"/>
    <n v="12"/>
    <s v="CUST-00853"/>
    <x v="0"/>
    <x v="15"/>
    <s v="HR"/>
    <x v="0"/>
    <s v="Gurugram"/>
    <x v="4"/>
    <s v="P204"/>
    <s v="Anti-Dandruff Conditioner"/>
    <x v="6"/>
    <n v="2"/>
    <n v="399"/>
    <n v="0.45"/>
    <n v="798"/>
    <n v="359.1"/>
    <n v="438.9"/>
    <n v="136"/>
    <n v="272"/>
    <n v="60"/>
    <n v="106.89999999999998"/>
    <n v="0.24356345408976984"/>
    <x v="4"/>
    <d v="2024-12-24T00:00:00"/>
    <n v="1"/>
    <x v="1"/>
    <m/>
    <n v="0"/>
  </r>
  <r>
    <s v="ORD-102055"/>
    <x v="354"/>
    <x v="0"/>
    <d v="2024-12-01T00:00:00"/>
    <n v="12"/>
    <s v="CUST-02240"/>
    <x v="0"/>
    <x v="16"/>
    <s v="UP"/>
    <x v="0"/>
    <s v="Noida"/>
    <x v="2"/>
    <s v="P503"/>
    <s v="Scented Candle Set"/>
    <x v="4"/>
    <n v="1"/>
    <n v="699"/>
    <n v="0.1"/>
    <n v="699"/>
    <n v="69.900000000000006"/>
    <n v="629.1"/>
    <n v="245"/>
    <n v="245"/>
    <n v="60"/>
    <n v="324.10000000000002"/>
    <n v="0.51518041646797008"/>
    <x v="2"/>
    <d v="2024-12-29T00:00:00"/>
    <n v="6"/>
    <x v="2"/>
    <m/>
    <n v="0"/>
  </r>
  <r>
    <s v="ORD-102056"/>
    <x v="354"/>
    <x v="0"/>
    <d v="2024-12-01T00:00:00"/>
    <n v="12"/>
    <s v="CUST-01530"/>
    <x v="1"/>
    <x v="13"/>
    <s v="MP"/>
    <x v="1"/>
    <s v="Indore"/>
    <x v="1"/>
    <s v="P404"/>
    <s v="Flip Flops"/>
    <x v="5"/>
    <n v="3"/>
    <n v="399"/>
    <n v="0.1"/>
    <n v="1197"/>
    <n v="119.7"/>
    <n v="1077.3"/>
    <n v="152"/>
    <n v="456"/>
    <n v="60"/>
    <n v="561.29999999999995"/>
    <n v="0.52102478418267895"/>
    <x v="1"/>
    <d v="2024-12-26T00:00:00"/>
    <n v="3"/>
    <x v="0"/>
    <m/>
    <n v="0"/>
  </r>
  <r>
    <s v="ORD-102057"/>
    <x v="354"/>
    <x v="0"/>
    <d v="2024-12-01T00:00:00"/>
    <n v="12"/>
    <s v="CUST-00947"/>
    <x v="1"/>
    <x v="13"/>
    <s v="MP"/>
    <x v="1"/>
    <s v="Bhopal"/>
    <x v="4"/>
    <s v="P203"/>
    <s v="Keratin Hair Mask"/>
    <x v="6"/>
    <n v="2"/>
    <n v="549"/>
    <n v="0.25"/>
    <n v="1098"/>
    <n v="274.5"/>
    <n v="823.5"/>
    <n v="170"/>
    <n v="340"/>
    <n v="60"/>
    <n v="423.5"/>
    <n v="0.51426836672738307"/>
    <x v="1"/>
    <d v="2024-12-27T00:00:00"/>
    <n v="4"/>
    <x v="0"/>
    <n v="4"/>
    <n v="0"/>
  </r>
  <r>
    <s v="ORD-102058"/>
    <x v="354"/>
    <x v="0"/>
    <d v="2024-12-01T00:00:00"/>
    <n v="12"/>
    <s v="CUST-02460"/>
    <x v="0"/>
    <x v="13"/>
    <s v="MP"/>
    <x v="1"/>
    <s v="Bhopal"/>
    <x v="4"/>
    <s v="P102"/>
    <s v="Sunscreen SPF 50"/>
    <x v="3"/>
    <n v="3"/>
    <n v="449"/>
    <n v="0.05"/>
    <n v="1347"/>
    <n v="67.350000000000009"/>
    <n v="1279.6500000000001"/>
    <n v="144"/>
    <n v="432"/>
    <n v="60"/>
    <n v="787.65000000000009"/>
    <n v="0.61551986871410158"/>
    <x v="0"/>
    <d v="2024-12-28T00:00:00"/>
    <n v="5"/>
    <x v="2"/>
    <m/>
    <n v="0"/>
  </r>
  <r>
    <s v="ORD-102059"/>
    <x v="354"/>
    <x v="0"/>
    <d v="2024-12-01T00:00:00"/>
    <n v="12"/>
    <s v="CUST-01134"/>
    <x v="1"/>
    <x v="13"/>
    <s v="MP"/>
    <x v="1"/>
    <s v="Bhopal"/>
    <x v="2"/>
    <s v="P104"/>
    <s v="Hydrating Face Wash"/>
    <x v="3"/>
    <n v="2"/>
    <n v="299"/>
    <n v="0"/>
    <n v="598"/>
    <n v="0"/>
    <n v="598"/>
    <n v="90"/>
    <n v="180"/>
    <n v="60"/>
    <n v="358"/>
    <n v="0.59866220735785958"/>
    <x v="0"/>
    <d v="2024-12-29T00:00:00"/>
    <n v="6"/>
    <x v="2"/>
    <n v="3"/>
    <n v="0"/>
  </r>
  <r>
    <s v="ORD-102060"/>
    <x v="354"/>
    <x v="0"/>
    <d v="2024-12-01T00:00:00"/>
    <n v="12"/>
    <s v="CUST-01797"/>
    <x v="1"/>
    <x v="13"/>
    <s v="MP"/>
    <x v="1"/>
    <s v="Indore"/>
    <x v="1"/>
    <s v="P404"/>
    <s v="Flip Flops"/>
    <x v="5"/>
    <n v="1"/>
    <n v="399"/>
    <n v="0.05"/>
    <n v="399"/>
    <n v="19.950000000000003"/>
    <n v="379.05"/>
    <n v="152"/>
    <n v="152"/>
    <n v="60"/>
    <n v="167.05"/>
    <n v="0.44070703073473161"/>
    <x v="0"/>
    <d v="2024-12-25T00:00:00"/>
    <n v="2"/>
    <x v="1"/>
    <n v="4"/>
    <n v="0"/>
  </r>
  <r>
    <s v="ORD-102061"/>
    <x v="354"/>
    <x v="0"/>
    <d v="2024-12-01T00:00:00"/>
    <n v="12"/>
    <s v="CUST-01841"/>
    <x v="0"/>
    <x v="18"/>
    <s v="WB"/>
    <x v="2"/>
    <s v="Kolkata"/>
    <x v="2"/>
    <s v="P701"/>
    <s v="Ashwagandha Capsules"/>
    <x v="0"/>
    <n v="2"/>
    <n v="499"/>
    <n v="0"/>
    <n v="998"/>
    <n v="0"/>
    <n v="998"/>
    <n v="150"/>
    <n v="300"/>
    <n v="60"/>
    <n v="638"/>
    <n v="0.63927855711422843"/>
    <x v="0"/>
    <d v="2024-12-27T00:00:00"/>
    <n v="4"/>
    <x v="0"/>
    <n v="4"/>
    <n v="0"/>
  </r>
  <r>
    <s v="ORD-102062"/>
    <x v="354"/>
    <x v="0"/>
    <d v="2024-12-01T00:00:00"/>
    <n v="12"/>
    <s v="CUST-01018"/>
    <x v="0"/>
    <x v="18"/>
    <s v="WB"/>
    <x v="2"/>
    <s v="Kolkata"/>
    <x v="0"/>
    <s v="P504"/>
    <s v="Cotton Bedsheet"/>
    <x v="4"/>
    <n v="1"/>
    <n v="1299"/>
    <n v="0"/>
    <n v="1299"/>
    <n v="0"/>
    <n v="1299"/>
    <n v="585"/>
    <n v="585"/>
    <n v="60"/>
    <n v="654"/>
    <n v="0.50346420323325636"/>
    <x v="3"/>
    <d v="2024-12-26T00:00:00"/>
    <n v="3"/>
    <x v="0"/>
    <m/>
    <n v="0"/>
  </r>
  <r>
    <s v="ORD-102063"/>
    <x v="354"/>
    <x v="0"/>
    <d v="2024-12-01T00:00:00"/>
    <n v="12"/>
    <s v="CUST-01131"/>
    <x v="1"/>
    <x v="2"/>
    <s v="MH"/>
    <x v="1"/>
    <s v="Pune"/>
    <x v="2"/>
    <s v="P703"/>
    <s v="Green Tea (100 bags)"/>
    <x v="0"/>
    <n v="2"/>
    <n v="399"/>
    <n v="0.3"/>
    <n v="798"/>
    <n v="239.39999999999998"/>
    <n v="558.6"/>
    <n v="128"/>
    <n v="256"/>
    <n v="60"/>
    <n v="242.60000000000002"/>
    <n v="0.43430003580379523"/>
    <x v="0"/>
    <d v="2024-12-26T00:00:00"/>
    <n v="3"/>
    <x v="0"/>
    <m/>
    <n v="0"/>
  </r>
  <r>
    <s v="ORD-102064"/>
    <x v="354"/>
    <x v="0"/>
    <d v="2024-12-01T00:00:00"/>
    <n v="12"/>
    <s v="CUST-01004"/>
    <x v="1"/>
    <x v="2"/>
    <s v="MH"/>
    <x v="1"/>
    <s v="Mumbai"/>
    <x v="0"/>
    <s v="P504"/>
    <s v="Cotton Bedsheet"/>
    <x v="4"/>
    <n v="1"/>
    <n v="1299"/>
    <n v="0"/>
    <n v="1299"/>
    <n v="0"/>
    <n v="1299"/>
    <n v="585"/>
    <n v="585"/>
    <n v="60"/>
    <n v="654"/>
    <n v="0.50346420323325636"/>
    <x v="3"/>
    <d v="2024-12-25T00:00:00"/>
    <n v="2"/>
    <x v="1"/>
    <n v="4"/>
    <n v="0"/>
  </r>
  <r>
    <s v="ORD-102065"/>
    <x v="354"/>
    <x v="0"/>
    <d v="2024-12-01T00:00:00"/>
    <n v="12"/>
    <s v="CUST-00648"/>
    <x v="0"/>
    <x v="17"/>
    <s v="TN"/>
    <x v="3"/>
    <s v="Chennai"/>
    <x v="0"/>
    <s v="P303"/>
    <s v="Joggers"/>
    <x v="1"/>
    <n v="2"/>
    <n v="1199"/>
    <n v="0.1"/>
    <n v="2398"/>
    <n v="239.8"/>
    <n v="2158.1999999999998"/>
    <n v="492"/>
    <n v="984"/>
    <n v="60"/>
    <n v="1114.1999999999998"/>
    <n v="0.51626355296080062"/>
    <x v="0"/>
    <d v="2024-12-27T00:00:00"/>
    <n v="4"/>
    <x v="0"/>
    <n v="4"/>
    <n v="0"/>
  </r>
  <r>
    <s v="ORD-102066"/>
    <x v="354"/>
    <x v="0"/>
    <d v="2024-12-01T00:00:00"/>
    <n v="12"/>
    <s v="CUST-00841"/>
    <x v="0"/>
    <x v="17"/>
    <s v="TN"/>
    <x v="3"/>
    <s v="Coimbatore"/>
    <x v="3"/>
    <s v="P104"/>
    <s v="Hydrating Face Wash"/>
    <x v="3"/>
    <n v="1"/>
    <n v="299"/>
    <n v="0"/>
    <n v="299"/>
    <n v="0"/>
    <n v="299"/>
    <n v="90"/>
    <n v="90"/>
    <n v="60"/>
    <n v="149"/>
    <n v="0.49832775919732442"/>
    <x v="0"/>
    <d v="2024-12-26T00:00:00"/>
    <n v="3"/>
    <x v="0"/>
    <m/>
    <n v="0"/>
  </r>
  <r>
    <s v="ORD-102067"/>
    <x v="355"/>
    <x v="0"/>
    <d v="2024-12-01T00:00:00"/>
    <n v="12"/>
    <s v="CUST-00693"/>
    <x v="0"/>
    <x v="15"/>
    <s v="HR"/>
    <x v="0"/>
    <s v="Faridabad"/>
    <x v="4"/>
    <s v="P404"/>
    <s v="Flip Flops"/>
    <x v="5"/>
    <n v="1"/>
    <n v="399"/>
    <n v="0.1"/>
    <n v="399"/>
    <n v="39.900000000000006"/>
    <n v="359.1"/>
    <n v="152"/>
    <n v="152"/>
    <n v="60"/>
    <n v="147.10000000000002"/>
    <n v="0.40963519910888335"/>
    <x v="0"/>
    <d v="2024-12-27T00:00:00"/>
    <n v="3"/>
    <x v="0"/>
    <n v="4"/>
    <n v="0"/>
  </r>
  <r>
    <s v="ORD-102068"/>
    <x v="355"/>
    <x v="0"/>
    <d v="2024-12-01T00:00:00"/>
    <n v="12"/>
    <s v="CUST-01492"/>
    <x v="1"/>
    <x v="6"/>
    <s v="DL"/>
    <x v="0"/>
    <s v="New Delhi"/>
    <x v="2"/>
    <s v="P302"/>
    <s v="Linen Kurta"/>
    <x v="1"/>
    <n v="1"/>
    <n v="1499"/>
    <n v="0.35"/>
    <n v="1499"/>
    <n v="524.65"/>
    <n v="974.35"/>
    <n v="630"/>
    <n v="630"/>
    <n v="60"/>
    <n v="284.35000000000002"/>
    <n v="0.29183558269615645"/>
    <x v="1"/>
    <d v="2024-12-25T00:00:00"/>
    <n v="1"/>
    <x v="1"/>
    <n v="5"/>
    <n v="0"/>
  </r>
  <r>
    <s v="ORD-102069"/>
    <x v="355"/>
    <x v="0"/>
    <d v="2024-12-01T00:00:00"/>
    <n v="12"/>
    <s v="CUST-00538"/>
    <x v="1"/>
    <x v="6"/>
    <s v="DL"/>
    <x v="0"/>
    <s v="New Delhi"/>
    <x v="4"/>
    <s v="P105"/>
    <s v="Retinol Night Cream"/>
    <x v="3"/>
    <n v="2"/>
    <n v="799"/>
    <n v="0"/>
    <n v="1598"/>
    <n v="0"/>
    <n v="1598"/>
    <n v="216"/>
    <n v="432"/>
    <n v="60"/>
    <n v="1106"/>
    <n v="0.69211514392991236"/>
    <x v="1"/>
    <d v="2024-12-25T00:00:00"/>
    <n v="1"/>
    <x v="1"/>
    <n v="5"/>
    <n v="0"/>
  </r>
  <r>
    <s v="ORD-102070"/>
    <x v="355"/>
    <x v="0"/>
    <d v="2024-12-01T00:00:00"/>
    <n v="12"/>
    <s v="CUST-01043"/>
    <x v="1"/>
    <x v="13"/>
    <s v="MP"/>
    <x v="1"/>
    <s v="Bhopal"/>
    <x v="4"/>
    <s v="P101"/>
    <s v="Vitamin C Face Serum"/>
    <x v="3"/>
    <n v="1"/>
    <n v="599"/>
    <n v="0.1"/>
    <n v="599"/>
    <n v="59.900000000000006"/>
    <n v="539.1"/>
    <n v="180"/>
    <n v="180"/>
    <n v="60"/>
    <n v="299.10000000000002"/>
    <n v="0.5548135781858653"/>
    <x v="3"/>
    <d v="2024-12-27T00:00:00"/>
    <n v="3"/>
    <x v="0"/>
    <n v="4"/>
    <n v="0"/>
  </r>
  <r>
    <s v="ORD-102071"/>
    <x v="355"/>
    <x v="0"/>
    <d v="2024-12-01T00:00:00"/>
    <n v="12"/>
    <s v="CUST-00029"/>
    <x v="1"/>
    <x v="21"/>
    <s v="TG"/>
    <x v="3"/>
    <s v="Hyderabad"/>
    <x v="0"/>
    <s v="P404"/>
    <s v="Flip Flops"/>
    <x v="5"/>
    <n v="1"/>
    <n v="399"/>
    <n v="0.15"/>
    <n v="399"/>
    <n v="59.849999999999994"/>
    <n v="339.15"/>
    <n v="152"/>
    <n v="152"/>
    <n v="60"/>
    <n v="127.14999999999998"/>
    <n v="0.37490785787999409"/>
    <x v="3"/>
    <d v="2024-12-28T00:00:00"/>
    <n v="4"/>
    <x v="0"/>
    <m/>
    <n v="0"/>
  </r>
  <r>
    <s v="ORD-102072"/>
    <x v="355"/>
    <x v="0"/>
    <d v="2024-12-01T00:00:00"/>
    <n v="12"/>
    <s v="CUST-02214"/>
    <x v="1"/>
    <x v="11"/>
    <s v="KA"/>
    <x v="3"/>
    <s v="Bengaluru"/>
    <x v="4"/>
    <s v="P104"/>
    <s v="Hydrating Face Wash"/>
    <x v="3"/>
    <n v="1"/>
    <n v="299"/>
    <n v="0.1"/>
    <n v="299"/>
    <n v="29.900000000000002"/>
    <n v="269.10000000000002"/>
    <n v="90"/>
    <n v="90"/>
    <n v="60"/>
    <n v="119.10000000000002"/>
    <n v="0.4425863991081383"/>
    <x v="0"/>
    <d v="2024-12-26T00:00:00"/>
    <n v="2"/>
    <x v="1"/>
    <m/>
    <n v="0"/>
  </r>
  <r>
    <s v="ORD-102073"/>
    <x v="355"/>
    <x v="0"/>
    <d v="2024-12-01T00:00:00"/>
    <n v="12"/>
    <s v="CUST-00952"/>
    <x v="1"/>
    <x v="8"/>
    <s v="AP"/>
    <x v="3"/>
    <s v="Visakhapatnam"/>
    <x v="4"/>
    <s v="P504"/>
    <s v="Cotton Bedsheet"/>
    <x v="4"/>
    <n v="1"/>
    <n v="1299"/>
    <n v="0"/>
    <n v="1299"/>
    <n v="0"/>
    <n v="1299"/>
    <n v="585"/>
    <n v="585"/>
    <n v="60"/>
    <n v="654"/>
    <n v="0.50346420323325636"/>
    <x v="1"/>
    <d v="2024-12-27T00:00:00"/>
    <n v="3"/>
    <x v="0"/>
    <n v="3"/>
    <n v="0"/>
  </r>
  <r>
    <s v="ORD-102074"/>
    <x v="356"/>
    <x v="0"/>
    <d v="2024-12-01T00:00:00"/>
    <n v="12"/>
    <s v="CUST-00309"/>
    <x v="1"/>
    <x v="0"/>
    <s v="RJ"/>
    <x v="0"/>
    <s v="Udaipur"/>
    <x v="4"/>
    <s v="P701"/>
    <s v="Ashwagandha Capsules"/>
    <x v="0"/>
    <n v="2"/>
    <n v="499"/>
    <n v="0"/>
    <n v="998"/>
    <n v="0"/>
    <n v="998"/>
    <n v="150"/>
    <n v="300"/>
    <n v="120"/>
    <n v="578"/>
    <n v="0.57915831663326656"/>
    <x v="3"/>
    <d v="2024-12-30T00:00:00"/>
    <n v="5"/>
    <x v="2"/>
    <m/>
    <n v="1"/>
  </r>
  <r>
    <s v="ORD-102075"/>
    <x v="356"/>
    <x v="0"/>
    <d v="2024-12-01T00:00:00"/>
    <n v="12"/>
    <s v="CUST-01071"/>
    <x v="1"/>
    <x v="16"/>
    <s v="UP"/>
    <x v="0"/>
    <s v="Kanpur"/>
    <x v="4"/>
    <s v="P704"/>
    <s v="Multivitamin Gummies"/>
    <x v="0"/>
    <n v="3"/>
    <n v="699"/>
    <n v="0.2"/>
    <n v="2097"/>
    <n v="419.40000000000003"/>
    <n v="1677.6"/>
    <n v="238"/>
    <n v="714"/>
    <n v="120"/>
    <n v="843.59999999999991"/>
    <n v="0.50286123032904151"/>
    <x v="0"/>
    <d v="2024-12-29T00:00:00"/>
    <n v="4"/>
    <x v="0"/>
    <n v="3"/>
    <n v="1"/>
  </r>
  <r>
    <s v="ORD-102076"/>
    <x v="356"/>
    <x v="0"/>
    <d v="2024-12-01T00:00:00"/>
    <n v="12"/>
    <s v="CUST-00311"/>
    <x v="0"/>
    <x v="22"/>
    <s v="AS"/>
    <x v="2"/>
    <s v="Guwahati"/>
    <x v="4"/>
    <s v="P202"/>
    <s v="Argan Shampoo"/>
    <x v="6"/>
    <n v="3"/>
    <n v="449"/>
    <n v="0.05"/>
    <n v="1347"/>
    <n v="67.350000000000009"/>
    <n v="1279.6500000000001"/>
    <n v="148"/>
    <n v="444"/>
    <n v="60"/>
    <n v="775.65000000000009"/>
    <n v="0.60614230453639673"/>
    <x v="1"/>
    <d v="2024-12-31T00:00:00"/>
    <n v="6"/>
    <x v="2"/>
    <m/>
    <n v="0"/>
  </r>
  <r>
    <s v="ORD-102077"/>
    <x v="356"/>
    <x v="0"/>
    <d v="2024-12-01T00:00:00"/>
    <n v="12"/>
    <s v="CUST-02831"/>
    <x v="1"/>
    <x v="10"/>
    <s v="CG"/>
    <x v="2"/>
    <s v="Raipur"/>
    <x v="2"/>
    <s v="P402"/>
    <s v="Casual Sneakers"/>
    <x v="5"/>
    <n v="2"/>
    <n v="2199"/>
    <n v="0.1"/>
    <n v="4398"/>
    <n v="439.8"/>
    <n v="3958.2"/>
    <n v="1034"/>
    <n v="2068"/>
    <n v="60"/>
    <n v="1830.1999999999998"/>
    <n v="0.46238189075842551"/>
    <x v="3"/>
    <d v="2024-12-31T00:00:00"/>
    <n v="6"/>
    <x v="2"/>
    <n v="4"/>
    <n v="0"/>
  </r>
  <r>
    <s v="ORD-102078"/>
    <x v="356"/>
    <x v="0"/>
    <d v="2024-12-01T00:00:00"/>
    <n v="12"/>
    <s v="CUST-00324"/>
    <x v="1"/>
    <x v="18"/>
    <s v="WB"/>
    <x v="2"/>
    <s v="Kolkata"/>
    <x v="4"/>
    <s v="P101"/>
    <s v="Vitamin C Face Serum"/>
    <x v="3"/>
    <n v="3"/>
    <n v="599"/>
    <n v="0.25"/>
    <n v="1797"/>
    <n v="449.25"/>
    <n v="1347.75"/>
    <n v="180"/>
    <n v="540"/>
    <n v="60"/>
    <n v="747.75"/>
    <n v="0.5548135781858653"/>
    <x v="0"/>
    <d v="2024-12-27T00:00:00"/>
    <n v="2"/>
    <x v="1"/>
    <n v="5"/>
    <n v="0"/>
  </r>
  <r>
    <s v="ORD-102079"/>
    <x v="356"/>
    <x v="0"/>
    <d v="2024-12-01T00:00:00"/>
    <n v="12"/>
    <s v="CUST-00975"/>
    <x v="1"/>
    <x v="18"/>
    <s v="WB"/>
    <x v="2"/>
    <s v="Kolkata"/>
    <x v="0"/>
    <s v="P502"/>
    <s v="Ceramic Dinner Set"/>
    <x v="4"/>
    <n v="2"/>
    <n v="2499"/>
    <n v="0.3"/>
    <n v="4998"/>
    <n v="1499.3999999999999"/>
    <n v="3498.6000000000004"/>
    <n v="1250"/>
    <n v="2500"/>
    <n v="60"/>
    <n v="938.60000000000036"/>
    <n v="0.26827874006745561"/>
    <x v="1"/>
    <d v="2024-12-28T00:00:00"/>
    <n v="3"/>
    <x v="0"/>
    <n v="4"/>
    <n v="0"/>
  </r>
  <r>
    <s v="ORD-102080"/>
    <x v="356"/>
    <x v="0"/>
    <d v="2024-12-01T00:00:00"/>
    <n v="12"/>
    <s v="CUST-01104"/>
    <x v="1"/>
    <x v="21"/>
    <s v="TG"/>
    <x v="3"/>
    <s v="Hyderabad"/>
    <x v="0"/>
    <s v="P702"/>
    <s v="Whey Protein 1kg"/>
    <x v="0"/>
    <n v="2"/>
    <n v="2299"/>
    <n v="0.45"/>
    <n v="4598"/>
    <n v="2069.1"/>
    <n v="2528.9"/>
    <n v="1333"/>
    <n v="2666"/>
    <n v="60"/>
    <n v="-197.09999999999991"/>
    <n v="-7.7939024872474158E-2"/>
    <x v="4"/>
    <d v="2024-12-29T00:00:00"/>
    <n v="4"/>
    <x v="0"/>
    <n v="3"/>
    <n v="0"/>
  </r>
  <r>
    <s v="ORD-102081"/>
    <x v="356"/>
    <x v="0"/>
    <d v="2024-12-01T00:00:00"/>
    <n v="12"/>
    <s v="CUST-01533"/>
    <x v="0"/>
    <x v="11"/>
    <s v="KA"/>
    <x v="3"/>
    <s v="Bengaluru"/>
    <x v="0"/>
    <s v="P204"/>
    <s v="Anti-Dandruff Conditioner"/>
    <x v="6"/>
    <n v="2"/>
    <n v="399"/>
    <n v="0.35"/>
    <n v="798"/>
    <n v="279.29999999999995"/>
    <n v="518.70000000000005"/>
    <n v="136"/>
    <n v="272"/>
    <n v="60"/>
    <n v="186.70000000000005"/>
    <n v="0.35993830730672843"/>
    <x v="0"/>
    <d v="2024-12-27T00:00:00"/>
    <n v="2"/>
    <x v="1"/>
    <n v="4"/>
    <n v="0"/>
  </r>
  <r>
    <s v="ORD-102082"/>
    <x v="356"/>
    <x v="0"/>
    <d v="2024-12-01T00:00:00"/>
    <n v="12"/>
    <s v="CUST-00931"/>
    <x v="1"/>
    <x v="17"/>
    <s v="TN"/>
    <x v="3"/>
    <s v="Coimbatore"/>
    <x v="3"/>
    <s v="P701"/>
    <s v="Ashwagandha Capsules"/>
    <x v="0"/>
    <n v="2"/>
    <n v="499"/>
    <n v="0.05"/>
    <n v="998"/>
    <n v="49.900000000000006"/>
    <n v="948.1"/>
    <n v="150"/>
    <n v="300"/>
    <n v="60"/>
    <n v="588.1"/>
    <n v="0.62029321801497728"/>
    <x v="1"/>
    <d v="2024-12-29T00:00:00"/>
    <n v="4"/>
    <x v="0"/>
    <n v="3"/>
    <n v="0"/>
  </r>
  <r>
    <s v="ORD-102083"/>
    <x v="357"/>
    <x v="0"/>
    <d v="2024-12-01T00:00:00"/>
    <n v="12"/>
    <s v="CUST-00053"/>
    <x v="0"/>
    <x v="0"/>
    <s v="RJ"/>
    <x v="0"/>
    <s v="Jaipur"/>
    <x v="0"/>
    <s v="P601"/>
    <s v="Wireless Earbuds"/>
    <x v="2"/>
    <n v="3"/>
    <n v="1999"/>
    <n v="0.35"/>
    <n v="5997"/>
    <n v="2098.9499999999998"/>
    <n v="3898.05"/>
    <n v="1239"/>
    <n v="3717"/>
    <n v="60"/>
    <n v="121.05000000000018"/>
    <n v="3.1053988532727946E-2"/>
    <x v="0"/>
    <d v="2024-12-29T00:00:00"/>
    <n v="3"/>
    <x v="0"/>
    <n v="4"/>
    <n v="0"/>
  </r>
  <r>
    <s v="ORD-102084"/>
    <x v="357"/>
    <x v="0"/>
    <d v="2024-12-01T00:00:00"/>
    <n v="12"/>
    <s v="CUST-01154"/>
    <x v="1"/>
    <x v="6"/>
    <s v="DL"/>
    <x v="0"/>
    <s v="New Delhi"/>
    <x v="0"/>
    <s v="P704"/>
    <s v="Multivitamin Gummies"/>
    <x v="0"/>
    <n v="4"/>
    <n v="699"/>
    <n v="0.2"/>
    <n v="2796"/>
    <n v="559.20000000000005"/>
    <n v="2236.8000000000002"/>
    <n v="238"/>
    <n v="952"/>
    <n v="60"/>
    <n v="1224.8000000000002"/>
    <n v="0.54756795422031479"/>
    <x v="4"/>
    <d v="2024-12-27T00:00:00"/>
    <n v="1"/>
    <x v="1"/>
    <m/>
    <n v="0"/>
  </r>
  <r>
    <s v="ORD-102085"/>
    <x v="357"/>
    <x v="0"/>
    <d v="2024-12-01T00:00:00"/>
    <n v="12"/>
    <s v="CUST-00436"/>
    <x v="1"/>
    <x v="12"/>
    <s v="BR"/>
    <x v="2"/>
    <s v="Patna"/>
    <x v="3"/>
    <s v="P702"/>
    <s v="Whey Protein 1kg"/>
    <x v="0"/>
    <n v="3"/>
    <n v="2299"/>
    <n v="0.3"/>
    <n v="6897"/>
    <n v="2069.1"/>
    <n v="4827.8999999999996"/>
    <n v="1333"/>
    <n v="3999"/>
    <n v="60"/>
    <n v="768.89999999999964"/>
    <n v="0.15926179084073813"/>
    <x v="0"/>
    <d v="2025-01-02T00:00:00"/>
    <n v="7"/>
    <x v="2"/>
    <n v="4"/>
    <n v="0"/>
  </r>
  <r>
    <s v="ORD-102086"/>
    <x v="357"/>
    <x v="0"/>
    <d v="2024-12-01T00:00:00"/>
    <n v="12"/>
    <s v="CUST-02160"/>
    <x v="0"/>
    <x v="18"/>
    <s v="WB"/>
    <x v="2"/>
    <s v="Kolkata"/>
    <x v="2"/>
    <s v="P102"/>
    <s v="Sunscreen SPF 50"/>
    <x v="3"/>
    <n v="2"/>
    <n v="449"/>
    <n v="0"/>
    <n v="898"/>
    <n v="0"/>
    <n v="898"/>
    <n v="144"/>
    <n v="288"/>
    <n v="60"/>
    <n v="550"/>
    <n v="0.61247216035634744"/>
    <x v="0"/>
    <d v="2024-12-29T00:00:00"/>
    <n v="3"/>
    <x v="0"/>
    <n v="5"/>
    <n v="0"/>
  </r>
  <r>
    <s v="ORD-102087"/>
    <x v="357"/>
    <x v="0"/>
    <d v="2024-12-01T00:00:00"/>
    <n v="12"/>
    <s v="CUST-02980"/>
    <x v="1"/>
    <x v="2"/>
    <s v="MH"/>
    <x v="1"/>
    <s v="Mumbai"/>
    <x v="0"/>
    <s v="P201"/>
    <s v="Onion Hair Oil"/>
    <x v="6"/>
    <n v="2"/>
    <n v="349"/>
    <n v="0.4"/>
    <n v="698"/>
    <n v="279.2"/>
    <n v="418.8"/>
    <n v="105"/>
    <n v="210"/>
    <n v="60"/>
    <n v="148.80000000000001"/>
    <n v="0.35530085959885388"/>
    <x v="0"/>
    <d v="2024-12-27T00:00:00"/>
    <n v="1"/>
    <x v="1"/>
    <n v="4"/>
    <n v="0"/>
  </r>
  <r>
    <s v="ORD-102088"/>
    <x v="358"/>
    <x v="0"/>
    <d v="2024-12-01T00:00:00"/>
    <n v="12"/>
    <s v="CUST-00868"/>
    <x v="0"/>
    <x v="19"/>
    <s v="PB"/>
    <x v="0"/>
    <s v="Amritsar"/>
    <x v="1"/>
    <s v="P402"/>
    <s v="Casual Sneakers"/>
    <x v="5"/>
    <n v="1"/>
    <n v="2199"/>
    <n v="0.25"/>
    <n v="2199"/>
    <n v="549.75"/>
    <n v="1649.25"/>
    <n v="1034"/>
    <n v="1034"/>
    <n v="60"/>
    <n v="555.25"/>
    <n v="0.33666818250720026"/>
    <x v="0"/>
    <d v="2024-12-31T00:00:00"/>
    <n v="4"/>
    <x v="0"/>
    <n v="4"/>
    <n v="0"/>
  </r>
  <r>
    <s v="ORD-102089"/>
    <x v="358"/>
    <x v="0"/>
    <d v="2024-12-01T00:00:00"/>
    <n v="12"/>
    <s v="CUST-02278"/>
    <x v="0"/>
    <x v="16"/>
    <s v="UP"/>
    <x v="0"/>
    <s v="Kanpur"/>
    <x v="2"/>
    <s v="P202"/>
    <s v="Argan Shampoo"/>
    <x v="6"/>
    <n v="2"/>
    <n v="449"/>
    <n v="0"/>
    <n v="898"/>
    <n v="0"/>
    <n v="898"/>
    <n v="148"/>
    <n v="296"/>
    <n v="60"/>
    <n v="542"/>
    <n v="0.60356347438752789"/>
    <x v="0"/>
    <d v="2025-01-01T00:00:00"/>
    <n v="5"/>
    <x v="2"/>
    <n v="3"/>
    <n v="0"/>
  </r>
  <r>
    <s v="ORD-102090"/>
    <x v="358"/>
    <x v="0"/>
    <d v="2024-12-01T00:00:00"/>
    <n v="12"/>
    <s v="CUST-01497"/>
    <x v="1"/>
    <x v="1"/>
    <s v="GJ"/>
    <x v="1"/>
    <s v="Ahmedabad"/>
    <x v="0"/>
    <s v="P704"/>
    <s v="Multivitamin Gummies"/>
    <x v="0"/>
    <n v="1"/>
    <n v="699"/>
    <n v="0.3"/>
    <n v="699"/>
    <n v="209.7"/>
    <n v="489.3"/>
    <n v="238"/>
    <n v="238"/>
    <n v="120"/>
    <n v="131.30000000000001"/>
    <n v="0.26834253014510528"/>
    <x v="0"/>
    <d v="2024-12-29T00:00:00"/>
    <n v="2"/>
    <x v="1"/>
    <n v="4"/>
    <n v="1"/>
  </r>
  <r>
    <s v="ORD-102091"/>
    <x v="358"/>
    <x v="0"/>
    <d v="2024-12-01T00:00:00"/>
    <n v="12"/>
    <s v="CUST-00214"/>
    <x v="1"/>
    <x v="1"/>
    <s v="GJ"/>
    <x v="1"/>
    <s v="Ahmedabad"/>
    <x v="0"/>
    <s v="P403"/>
    <s v="Kolhapuri Sandals"/>
    <x v="5"/>
    <n v="1"/>
    <n v="999"/>
    <n v="0.1"/>
    <n v="999"/>
    <n v="99.9"/>
    <n v="899.1"/>
    <n v="400"/>
    <n v="400"/>
    <n v="60"/>
    <n v="439.1"/>
    <n v="0.48837726615504395"/>
    <x v="4"/>
    <d v="2024-12-28T00:00:00"/>
    <n v="1"/>
    <x v="1"/>
    <n v="5"/>
    <n v="0"/>
  </r>
  <r>
    <s v="ORD-102092"/>
    <x v="358"/>
    <x v="0"/>
    <d v="2024-12-01T00:00:00"/>
    <n v="12"/>
    <s v="CUST-01041"/>
    <x v="1"/>
    <x v="1"/>
    <s v="GJ"/>
    <x v="1"/>
    <s v="Surat"/>
    <x v="2"/>
    <s v="P204"/>
    <s v="Anti-Dandruff Conditioner"/>
    <x v="6"/>
    <n v="2"/>
    <n v="399"/>
    <n v="0.25"/>
    <n v="798"/>
    <n v="199.5"/>
    <n v="598.5"/>
    <n v="136"/>
    <n v="272"/>
    <n v="60"/>
    <n v="266.5"/>
    <n v="0.44527986633249789"/>
    <x v="0"/>
    <d v="2025-01-01T00:00:00"/>
    <n v="5"/>
    <x v="2"/>
    <n v="4"/>
    <n v="0"/>
  </r>
  <r>
    <s v="ORD-102093"/>
    <x v="358"/>
    <x v="0"/>
    <d v="2024-12-01T00:00:00"/>
    <n v="12"/>
    <s v="CUST-01131"/>
    <x v="1"/>
    <x v="18"/>
    <s v="WB"/>
    <x v="2"/>
    <s v="Kolkata"/>
    <x v="4"/>
    <s v="P203"/>
    <s v="Keratin Hair Mask"/>
    <x v="6"/>
    <n v="1"/>
    <n v="549"/>
    <n v="0.25"/>
    <n v="549"/>
    <n v="137.25"/>
    <n v="411.75"/>
    <n v="170"/>
    <n v="170"/>
    <n v="60"/>
    <n v="181.75"/>
    <n v="0.44140862173649059"/>
    <x v="4"/>
    <d v="2024-12-29T00:00:00"/>
    <n v="2"/>
    <x v="1"/>
    <n v="4"/>
    <n v="0"/>
  </r>
  <r>
    <s v="ORD-102094"/>
    <x v="358"/>
    <x v="0"/>
    <d v="2024-12-01T00:00:00"/>
    <n v="12"/>
    <s v="CUST-00927"/>
    <x v="1"/>
    <x v="2"/>
    <s v="MH"/>
    <x v="1"/>
    <s v="Pune"/>
    <x v="1"/>
    <s v="P302"/>
    <s v="Linen Kurta"/>
    <x v="1"/>
    <n v="1"/>
    <n v="1499"/>
    <n v="0.3"/>
    <n v="1499"/>
    <n v="449.7"/>
    <n v="1049.3"/>
    <n v="630"/>
    <n v="630"/>
    <n v="60"/>
    <n v="359.29999999999995"/>
    <n v="0.34241875536071664"/>
    <x v="3"/>
    <d v="2024-12-28T00:00:00"/>
    <n v="1"/>
    <x v="1"/>
    <n v="5"/>
    <n v="0"/>
  </r>
  <r>
    <s v="ORD-102095"/>
    <x v="358"/>
    <x v="0"/>
    <d v="2024-12-01T00:00:00"/>
    <n v="12"/>
    <s v="CUST-00412"/>
    <x v="1"/>
    <x v="8"/>
    <s v="AP"/>
    <x v="3"/>
    <s v="Vijayawada"/>
    <x v="1"/>
    <s v="P305"/>
    <s v="Printed Saree"/>
    <x v="1"/>
    <n v="1"/>
    <n v="1999"/>
    <n v="0"/>
    <n v="1999"/>
    <n v="0"/>
    <n v="1999"/>
    <n v="880"/>
    <n v="880"/>
    <n v="60"/>
    <n v="1059"/>
    <n v="0.52976488244122066"/>
    <x v="0"/>
    <d v="2024-12-31T00:00:00"/>
    <n v="4"/>
    <x v="0"/>
    <m/>
    <n v="0"/>
  </r>
  <r>
    <s v="ORD-102096"/>
    <x v="358"/>
    <x v="0"/>
    <d v="2024-12-01T00:00:00"/>
    <n v="12"/>
    <s v="CUST-02577"/>
    <x v="1"/>
    <x v="17"/>
    <s v="TN"/>
    <x v="3"/>
    <s v="Coimbatore"/>
    <x v="4"/>
    <s v="P401"/>
    <s v="Running Shoes"/>
    <x v="5"/>
    <n v="3"/>
    <n v="2999"/>
    <n v="0.25"/>
    <n v="8997"/>
    <n v="2249.25"/>
    <n v="6747.75"/>
    <n v="1440"/>
    <n v="4320"/>
    <n v="60"/>
    <n v="2367.75"/>
    <n v="0.35089474269200843"/>
    <x v="1"/>
    <d v="2024-12-29T00:00:00"/>
    <n v="2"/>
    <x v="1"/>
    <n v="4"/>
    <n v="0"/>
  </r>
  <r>
    <s v="ORD-102097"/>
    <x v="359"/>
    <x v="0"/>
    <d v="2024-12-01T00:00:00"/>
    <n v="12"/>
    <s v="CUST-00052"/>
    <x v="0"/>
    <x v="0"/>
    <s v="RJ"/>
    <x v="0"/>
    <s v="Udaipur"/>
    <x v="0"/>
    <s v="P701"/>
    <s v="Ashwagandha Capsules"/>
    <x v="0"/>
    <n v="1"/>
    <n v="499"/>
    <n v="0"/>
    <n v="499"/>
    <n v="0"/>
    <n v="499"/>
    <n v="150"/>
    <n v="150"/>
    <n v="60"/>
    <n v="289"/>
    <n v="0.57915831663326656"/>
    <x v="3"/>
    <d v="2024-12-31T00:00:00"/>
    <n v="3"/>
    <x v="0"/>
    <n v="4"/>
    <n v="0"/>
  </r>
  <r>
    <s v="ORD-102098"/>
    <x v="359"/>
    <x v="0"/>
    <d v="2024-12-01T00:00:00"/>
    <n v="12"/>
    <s v="CUST-01390"/>
    <x v="1"/>
    <x v="0"/>
    <s v="RJ"/>
    <x v="0"/>
    <s v="Udaipur"/>
    <x v="0"/>
    <s v="P602"/>
    <s v="Fast Charger 33W"/>
    <x v="2"/>
    <n v="1"/>
    <n v="899"/>
    <n v="0.15"/>
    <n v="899"/>
    <n v="134.85"/>
    <n v="764.15"/>
    <n v="494"/>
    <n v="494"/>
    <n v="60"/>
    <n v="210.14999999999998"/>
    <n v="0.27501145063142052"/>
    <x v="0"/>
    <d v="2024-12-31T00:00:00"/>
    <n v="3"/>
    <x v="0"/>
    <n v="3"/>
    <n v="0"/>
  </r>
  <r>
    <s v="ORD-102099"/>
    <x v="359"/>
    <x v="0"/>
    <d v="2024-12-01T00:00:00"/>
    <n v="12"/>
    <s v="CUST-00294"/>
    <x v="0"/>
    <x v="16"/>
    <s v="UP"/>
    <x v="0"/>
    <s v="Kanpur"/>
    <x v="4"/>
    <s v="P203"/>
    <s v="Keratin Hair Mask"/>
    <x v="6"/>
    <n v="1"/>
    <n v="549"/>
    <n v="0.2"/>
    <n v="549"/>
    <n v="109.80000000000001"/>
    <n v="439.2"/>
    <n v="170"/>
    <n v="170"/>
    <n v="60"/>
    <n v="209.2"/>
    <n v="0.47632058287795992"/>
    <x v="3"/>
    <d v="2025-01-01T00:00:00"/>
    <n v="4"/>
    <x v="0"/>
    <n v="4"/>
    <n v="0"/>
  </r>
  <r>
    <s v="ORD-102100"/>
    <x v="359"/>
    <x v="0"/>
    <d v="2024-12-01T00:00:00"/>
    <n v="12"/>
    <s v="CUST-00066"/>
    <x v="1"/>
    <x v="16"/>
    <s v="UP"/>
    <x v="0"/>
    <s v="Noida"/>
    <x v="2"/>
    <s v="P701"/>
    <s v="Ashwagandha Capsules"/>
    <x v="0"/>
    <n v="1"/>
    <n v="499"/>
    <n v="0"/>
    <n v="499"/>
    <n v="0"/>
    <n v="499"/>
    <n v="150"/>
    <n v="150"/>
    <n v="60"/>
    <n v="289"/>
    <n v="0.57915831663326656"/>
    <x v="0"/>
    <d v="2025-01-01T00:00:00"/>
    <n v="4"/>
    <x v="0"/>
    <n v="4"/>
    <n v="0"/>
  </r>
  <r>
    <s v="ORD-102101"/>
    <x v="359"/>
    <x v="0"/>
    <d v="2024-12-01T00:00:00"/>
    <n v="12"/>
    <s v="CUST-02256"/>
    <x v="0"/>
    <x v="2"/>
    <s v="MH"/>
    <x v="1"/>
    <s v="Nagpur"/>
    <x v="4"/>
    <s v="P701"/>
    <s v="Ashwagandha Capsules"/>
    <x v="0"/>
    <n v="1"/>
    <n v="499"/>
    <n v="0"/>
    <n v="499"/>
    <n v="0"/>
    <n v="499"/>
    <n v="150"/>
    <n v="150"/>
    <n v="60"/>
    <n v="289"/>
    <n v="0.57915831663326656"/>
    <x v="0"/>
    <d v="2024-12-30T00:00:00"/>
    <n v="2"/>
    <x v="1"/>
    <n v="4"/>
    <n v="0"/>
  </r>
  <r>
    <s v="ORD-102102"/>
    <x v="359"/>
    <x v="0"/>
    <d v="2024-12-01T00:00:00"/>
    <n v="12"/>
    <s v="CUST-00331"/>
    <x v="0"/>
    <x v="8"/>
    <s v="AP"/>
    <x v="3"/>
    <s v="Visakhapatnam"/>
    <x v="4"/>
    <s v="P204"/>
    <s v="Anti-Dandruff Conditioner"/>
    <x v="6"/>
    <n v="2"/>
    <n v="399"/>
    <n v="0.35"/>
    <n v="798"/>
    <n v="279.29999999999995"/>
    <n v="518.70000000000005"/>
    <n v="136"/>
    <n v="272"/>
    <n v="60"/>
    <n v="186.70000000000005"/>
    <n v="0.35993830730672843"/>
    <x v="2"/>
    <d v="2025-01-02T00:00:00"/>
    <n v="5"/>
    <x v="2"/>
    <n v="3"/>
    <n v="0"/>
  </r>
  <r>
    <s v="ORD-102103"/>
    <x v="360"/>
    <x v="0"/>
    <d v="2024-12-01T00:00:00"/>
    <n v="12"/>
    <s v="CUST-03088"/>
    <x v="1"/>
    <x v="19"/>
    <s v="PB"/>
    <x v="0"/>
    <s v="Ludhiana"/>
    <x v="1"/>
    <s v="P404"/>
    <s v="Flip Flops"/>
    <x v="5"/>
    <n v="1"/>
    <n v="399"/>
    <n v="0.15"/>
    <n v="399"/>
    <n v="59.849999999999994"/>
    <n v="339.15"/>
    <n v="152"/>
    <n v="152"/>
    <n v="120"/>
    <n v="67.149999999999977"/>
    <n v="0.19799498746867161"/>
    <x v="0"/>
    <d v="2024-12-31T00:00:00"/>
    <n v="2"/>
    <x v="1"/>
    <n v="4"/>
    <n v="1"/>
  </r>
  <r>
    <s v="ORD-102104"/>
    <x v="360"/>
    <x v="0"/>
    <d v="2024-12-01T00:00:00"/>
    <n v="12"/>
    <s v="CUST-01139"/>
    <x v="0"/>
    <x v="16"/>
    <s v="UP"/>
    <x v="0"/>
    <s v="Kanpur"/>
    <x v="0"/>
    <s v="P603"/>
    <s v="Smartwatch Strap"/>
    <x v="2"/>
    <n v="1"/>
    <n v="499"/>
    <n v="0.15"/>
    <n v="499"/>
    <n v="74.849999999999994"/>
    <n v="424.15"/>
    <n v="200"/>
    <n v="200"/>
    <n v="60"/>
    <n v="164.14999999999998"/>
    <n v="0.38700931274313327"/>
    <x v="0"/>
    <d v="2025-01-03T00:00:00"/>
    <n v="5"/>
    <x v="2"/>
    <n v="4"/>
    <n v="0"/>
  </r>
  <r>
    <s v="ORD-102105"/>
    <x v="360"/>
    <x v="0"/>
    <d v="2024-12-01T00:00:00"/>
    <n v="12"/>
    <s v="CUST-00889"/>
    <x v="0"/>
    <x v="12"/>
    <s v="BR"/>
    <x v="2"/>
    <s v="Patna"/>
    <x v="4"/>
    <s v="P102"/>
    <s v="Sunscreen SPF 50"/>
    <x v="3"/>
    <n v="2"/>
    <n v="449"/>
    <n v="0.05"/>
    <n v="898"/>
    <n v="44.900000000000006"/>
    <n v="853.1"/>
    <n v="144"/>
    <n v="288"/>
    <n v="60"/>
    <n v="505.1"/>
    <n v="0.59207595826983939"/>
    <x v="0"/>
    <d v="2025-01-01T00:00:00"/>
    <n v="3"/>
    <x v="0"/>
    <m/>
    <n v="0"/>
  </r>
  <r>
    <s v="ORD-102106"/>
    <x v="360"/>
    <x v="0"/>
    <d v="2024-12-01T00:00:00"/>
    <n v="12"/>
    <s v="CUST-02091"/>
    <x v="1"/>
    <x v="13"/>
    <s v="MP"/>
    <x v="1"/>
    <s v="Bhopal"/>
    <x v="4"/>
    <s v="P204"/>
    <s v="Anti-Dandruff Conditioner"/>
    <x v="6"/>
    <n v="1"/>
    <n v="399"/>
    <n v="0.35"/>
    <n v="399"/>
    <n v="139.64999999999998"/>
    <n v="259.35000000000002"/>
    <n v="136"/>
    <n v="136"/>
    <n v="60"/>
    <n v="63.350000000000023"/>
    <n v="0.24426450742240222"/>
    <x v="3"/>
    <d v="2025-01-03T00:00:00"/>
    <n v="5"/>
    <x v="2"/>
    <m/>
    <n v="0"/>
  </r>
  <r>
    <s v="ORD-102107"/>
    <x v="360"/>
    <x v="0"/>
    <d v="2024-12-01T00:00:00"/>
    <n v="12"/>
    <s v="CUST-00563"/>
    <x v="1"/>
    <x v="21"/>
    <s v="TG"/>
    <x v="3"/>
    <s v="Hyderabad"/>
    <x v="2"/>
    <s v="P304"/>
    <s v="Denim Jacket"/>
    <x v="1"/>
    <n v="1"/>
    <n v="2499"/>
    <n v="0"/>
    <n v="2499"/>
    <n v="0"/>
    <n v="2499"/>
    <n v="1125"/>
    <n v="1125"/>
    <n v="60"/>
    <n v="1314"/>
    <n v="0.5258103241296519"/>
    <x v="0"/>
    <d v="2025-01-01T00:00:00"/>
    <n v="3"/>
    <x v="0"/>
    <n v="4"/>
    <n v="0"/>
  </r>
  <r>
    <s v="ORD-102108"/>
    <x v="361"/>
    <x v="0"/>
    <d v="2024-12-01T00:00:00"/>
    <n v="12"/>
    <s v="CUST-01112"/>
    <x v="0"/>
    <x v="15"/>
    <s v="HR"/>
    <x v="0"/>
    <s v="Faridabad"/>
    <x v="4"/>
    <s v="P603"/>
    <s v="Smartwatch Strap"/>
    <x v="2"/>
    <n v="1"/>
    <n v="499"/>
    <n v="0.1"/>
    <n v="499"/>
    <n v="49.900000000000006"/>
    <n v="449.1"/>
    <n v="200"/>
    <n v="200"/>
    <n v="60"/>
    <n v="189.10000000000002"/>
    <n v="0.42106435092407041"/>
    <x v="2"/>
    <d v="2025-01-02T00:00:00"/>
    <n v="3"/>
    <x v="0"/>
    <m/>
    <n v="0"/>
  </r>
  <r>
    <s v="ORD-102109"/>
    <x v="361"/>
    <x v="0"/>
    <d v="2024-12-01T00:00:00"/>
    <n v="12"/>
    <s v="CUST-00644"/>
    <x v="0"/>
    <x v="16"/>
    <s v="UP"/>
    <x v="0"/>
    <s v="Kanpur"/>
    <x v="2"/>
    <s v="P204"/>
    <s v="Anti-Dandruff Conditioner"/>
    <x v="6"/>
    <n v="1"/>
    <n v="399"/>
    <n v="0.4"/>
    <n v="399"/>
    <n v="159.60000000000002"/>
    <n v="239.39999999999998"/>
    <n v="136"/>
    <n v="136"/>
    <n v="120"/>
    <n v="-16.600000000000023"/>
    <n v="-6.9340016708437868E-2"/>
    <x v="3"/>
    <d v="2025-01-03T00:00:00"/>
    <n v="4"/>
    <x v="0"/>
    <n v="4"/>
    <n v="1"/>
  </r>
  <r>
    <s v="ORD-102110"/>
    <x v="361"/>
    <x v="0"/>
    <d v="2024-12-01T00:00:00"/>
    <n v="12"/>
    <s v="CUST-00952"/>
    <x v="1"/>
    <x v="16"/>
    <s v="UP"/>
    <x v="0"/>
    <s v="Noida"/>
    <x v="0"/>
    <s v="P403"/>
    <s v="Kolhapuri Sandals"/>
    <x v="5"/>
    <n v="1"/>
    <n v="999"/>
    <n v="0.05"/>
    <n v="999"/>
    <n v="49.95"/>
    <n v="949.05"/>
    <n v="400"/>
    <n v="400"/>
    <n v="120"/>
    <n v="429.04999999999995"/>
    <n v="0.4520836626099784"/>
    <x v="0"/>
    <d v="2025-01-01T00:00:00"/>
    <n v="2"/>
    <x v="1"/>
    <n v="4"/>
    <n v="1"/>
  </r>
  <r>
    <s v="ORD-102111"/>
    <x v="361"/>
    <x v="0"/>
    <d v="2024-12-01T00:00:00"/>
    <n v="12"/>
    <s v="CUST-02011"/>
    <x v="0"/>
    <x v="13"/>
    <s v="MP"/>
    <x v="1"/>
    <s v="Bhopal"/>
    <x v="4"/>
    <s v="P604"/>
    <s v="Power Bank 20000mAh"/>
    <x v="2"/>
    <n v="1"/>
    <n v="1799"/>
    <n v="0.3"/>
    <n v="1799"/>
    <n v="539.69999999999993"/>
    <n v="1259.3000000000002"/>
    <n v="1079"/>
    <n v="1079"/>
    <n v="60"/>
    <n v="120.30000000000018"/>
    <n v="9.5529262288573141E-2"/>
    <x v="4"/>
    <d v="2025-01-02T00:00:00"/>
    <n v="3"/>
    <x v="0"/>
    <m/>
    <n v="0"/>
  </r>
  <r>
    <s v="ORD-102112"/>
    <x v="361"/>
    <x v="0"/>
    <d v="2024-12-01T00:00:00"/>
    <n v="12"/>
    <s v="CUST-00123"/>
    <x v="1"/>
    <x v="2"/>
    <s v="MH"/>
    <x v="1"/>
    <s v="Mumbai"/>
    <x v="3"/>
    <s v="P104"/>
    <s v="Hydrating Face Wash"/>
    <x v="3"/>
    <n v="1"/>
    <n v="299"/>
    <n v="0.05"/>
    <n v="299"/>
    <n v="14.950000000000001"/>
    <n v="284.05"/>
    <n v="90"/>
    <n v="90"/>
    <n v="60"/>
    <n v="134.05000000000001"/>
    <n v="0.47192395704981521"/>
    <x v="0"/>
    <d v="2024-12-31T00:00:00"/>
    <n v="1"/>
    <x v="1"/>
    <m/>
    <n v="0"/>
  </r>
  <r>
    <s v="ORD-102113"/>
    <x v="361"/>
    <x v="0"/>
    <d v="2024-12-01T00:00:00"/>
    <n v="12"/>
    <s v="CUST-00698"/>
    <x v="1"/>
    <x v="14"/>
    <s v="KL"/>
    <x v="3"/>
    <s v="Thiruvananthapuram"/>
    <x v="4"/>
    <s v="P401"/>
    <s v="Running Shoes"/>
    <x v="5"/>
    <n v="1"/>
    <n v="2999"/>
    <n v="0.25"/>
    <n v="2999"/>
    <n v="749.75"/>
    <n v="2249.25"/>
    <n v="1440"/>
    <n v="1440"/>
    <n v="60"/>
    <n v="749.25"/>
    <n v="0.33311103701233746"/>
    <x v="3"/>
    <d v="2025-01-03T00:00:00"/>
    <n v="4"/>
    <x v="0"/>
    <n v="4"/>
    <n v="0"/>
  </r>
  <r>
    <s v="ORD-102114"/>
    <x v="362"/>
    <x v="0"/>
    <d v="2024-12-01T00:00:00"/>
    <n v="12"/>
    <s v="CUST-02299"/>
    <x v="0"/>
    <x v="15"/>
    <s v="HR"/>
    <x v="0"/>
    <s v="Faridabad"/>
    <x v="0"/>
    <s v="P201"/>
    <s v="Onion Hair Oil"/>
    <x v="6"/>
    <n v="2"/>
    <n v="349"/>
    <n v="0.3"/>
    <n v="698"/>
    <n v="209.4"/>
    <n v="488.6"/>
    <n v="105"/>
    <n v="210"/>
    <n v="120"/>
    <n v="158.60000000000002"/>
    <n v="0.32460090053213264"/>
    <x v="0"/>
    <d v="2025-01-02T00:00:00"/>
    <n v="2"/>
    <x v="1"/>
    <n v="4"/>
    <n v="1"/>
  </r>
  <r>
    <s v="ORD-102115"/>
    <x v="362"/>
    <x v="0"/>
    <d v="2024-12-01T00:00:00"/>
    <n v="12"/>
    <s v="CUST-00693"/>
    <x v="1"/>
    <x v="15"/>
    <s v="HR"/>
    <x v="0"/>
    <s v="Gurugram"/>
    <x v="0"/>
    <s v="P101"/>
    <s v="Vitamin C Face Serum"/>
    <x v="3"/>
    <n v="1"/>
    <n v="599"/>
    <n v="0.1"/>
    <n v="599"/>
    <n v="59.900000000000006"/>
    <n v="539.1"/>
    <n v="180"/>
    <n v="180"/>
    <n v="60"/>
    <n v="299.10000000000002"/>
    <n v="0.5548135781858653"/>
    <x v="0"/>
    <d v="2025-01-02T00:00:00"/>
    <n v="2"/>
    <x v="1"/>
    <n v="5"/>
    <n v="0"/>
  </r>
  <r>
    <s v="ORD-102116"/>
    <x v="362"/>
    <x v="0"/>
    <d v="2024-12-01T00:00:00"/>
    <n v="12"/>
    <s v="CUST-01482"/>
    <x v="0"/>
    <x v="6"/>
    <s v="DL"/>
    <x v="0"/>
    <s v="New Delhi"/>
    <x v="0"/>
    <s v="P302"/>
    <s v="Linen Kurta"/>
    <x v="1"/>
    <n v="2"/>
    <n v="1499"/>
    <n v="0.4"/>
    <n v="2998"/>
    <n v="1199.2"/>
    <n v="1798.8"/>
    <n v="630"/>
    <n v="1260"/>
    <n v="120"/>
    <n v="418.79999999999995"/>
    <n v="0.23282188125416942"/>
    <x v="2"/>
    <d v="2025-01-02T00:00:00"/>
    <n v="2"/>
    <x v="1"/>
    <m/>
    <n v="1"/>
  </r>
  <r>
    <s v="ORD-102117"/>
    <x v="362"/>
    <x v="0"/>
    <d v="2024-12-01T00:00:00"/>
    <n v="12"/>
    <s v="CUST-02051"/>
    <x v="1"/>
    <x v="6"/>
    <s v="DL"/>
    <x v="0"/>
    <s v="New Delhi"/>
    <x v="1"/>
    <s v="P404"/>
    <s v="Flip Flops"/>
    <x v="5"/>
    <n v="3"/>
    <n v="399"/>
    <n v="0.15"/>
    <n v="1197"/>
    <n v="179.54999999999998"/>
    <n v="1017.45"/>
    <n v="152"/>
    <n v="456"/>
    <n v="60"/>
    <n v="501.45000000000005"/>
    <n v="0.49284977148754239"/>
    <x v="1"/>
    <d v="2025-01-02T00:00:00"/>
    <n v="2"/>
    <x v="1"/>
    <n v="5"/>
    <n v="0"/>
  </r>
  <r>
    <s v="ORD-102118"/>
    <x v="362"/>
    <x v="0"/>
    <d v="2024-12-01T00:00:00"/>
    <n v="12"/>
    <s v="CUST-01124"/>
    <x v="0"/>
    <x v="6"/>
    <s v="DL"/>
    <x v="0"/>
    <s v="New Delhi"/>
    <x v="1"/>
    <s v="P403"/>
    <s v="Kolhapuri Sandals"/>
    <x v="5"/>
    <n v="1"/>
    <n v="999"/>
    <n v="0.1"/>
    <n v="999"/>
    <n v="99.9"/>
    <n v="899.1"/>
    <n v="400"/>
    <n v="400"/>
    <n v="120"/>
    <n v="379.1"/>
    <n v="0.42164386608831056"/>
    <x v="3"/>
    <d v="2025-01-01T00:00:00"/>
    <n v="1"/>
    <x v="1"/>
    <n v="3"/>
    <n v="1"/>
  </r>
  <r>
    <s v="ORD-102119"/>
    <x v="362"/>
    <x v="0"/>
    <d v="2024-12-01T00:00:00"/>
    <n v="12"/>
    <s v="CUST-00803"/>
    <x v="1"/>
    <x v="16"/>
    <s v="UP"/>
    <x v="0"/>
    <s v="Lucknow"/>
    <x v="4"/>
    <s v="P304"/>
    <s v="Denim Jacket"/>
    <x v="1"/>
    <n v="1"/>
    <n v="2499"/>
    <n v="0.05"/>
    <n v="2499"/>
    <n v="124.95"/>
    <n v="2374.0500000000002"/>
    <n v="1125"/>
    <n v="1125"/>
    <n v="60"/>
    <n v="1189.0500000000002"/>
    <n v="0.50085297276805463"/>
    <x v="4"/>
    <d v="2025-01-02T00:00:00"/>
    <n v="2"/>
    <x v="1"/>
    <n v="4"/>
    <n v="0"/>
  </r>
  <r>
    <s v="ORD-102120"/>
    <x v="362"/>
    <x v="0"/>
    <d v="2024-12-01T00:00:00"/>
    <n v="12"/>
    <s v="CUST-00321"/>
    <x v="1"/>
    <x v="16"/>
    <s v="UP"/>
    <x v="0"/>
    <s v="Lucknow"/>
    <x v="0"/>
    <s v="P703"/>
    <s v="Green Tea (100 bags)"/>
    <x v="0"/>
    <n v="1"/>
    <n v="399"/>
    <n v="0.45"/>
    <n v="399"/>
    <n v="179.55"/>
    <n v="219.45"/>
    <n v="128"/>
    <n v="128"/>
    <n v="60"/>
    <n v="31.449999999999989"/>
    <n v="0.14331282752335381"/>
    <x v="0"/>
    <d v="2025-01-02T00:00:00"/>
    <n v="2"/>
    <x v="1"/>
    <n v="5"/>
    <n v="0"/>
  </r>
  <r>
    <s v="ORD-102121"/>
    <x v="362"/>
    <x v="0"/>
    <d v="2024-12-01T00:00:00"/>
    <n v="12"/>
    <s v="CUST-01296"/>
    <x v="0"/>
    <x v="1"/>
    <s v="GJ"/>
    <x v="1"/>
    <s v="Ahmedabad"/>
    <x v="3"/>
    <s v="P105"/>
    <s v="Retinol Night Cream"/>
    <x v="3"/>
    <n v="1"/>
    <n v="799"/>
    <n v="0"/>
    <n v="799"/>
    <n v="0"/>
    <n v="799"/>
    <n v="216"/>
    <n v="216"/>
    <n v="60"/>
    <n v="523"/>
    <n v="0.65456821026282852"/>
    <x v="0"/>
    <d v="2025-01-01T00:00:00"/>
    <n v="1"/>
    <x v="1"/>
    <n v="4"/>
    <n v="0"/>
  </r>
  <r>
    <s v="ORD-102122"/>
    <x v="362"/>
    <x v="0"/>
    <d v="2024-12-01T00:00:00"/>
    <n v="12"/>
    <s v="CUST-00228"/>
    <x v="1"/>
    <x v="1"/>
    <s v="GJ"/>
    <x v="1"/>
    <s v="Ahmedabad"/>
    <x v="3"/>
    <s v="P102"/>
    <s v="Sunscreen SPF 50"/>
    <x v="3"/>
    <n v="1"/>
    <n v="449"/>
    <n v="0.1"/>
    <n v="449"/>
    <n v="44.900000000000006"/>
    <n v="404.1"/>
    <n v="144"/>
    <n v="144"/>
    <n v="60"/>
    <n v="200.10000000000002"/>
    <n v="0.4951744617668894"/>
    <x v="0"/>
    <d v="2025-01-03T00:00:00"/>
    <n v="3"/>
    <x v="0"/>
    <n v="4"/>
    <n v="0"/>
  </r>
  <r>
    <s v="ORD-102123"/>
    <x v="362"/>
    <x v="0"/>
    <d v="2024-12-01T00:00:00"/>
    <n v="12"/>
    <s v="CUST-02771"/>
    <x v="0"/>
    <x v="13"/>
    <s v="MP"/>
    <x v="1"/>
    <s v="Indore"/>
    <x v="1"/>
    <s v="P404"/>
    <s v="Flip Flops"/>
    <x v="5"/>
    <n v="1"/>
    <n v="399"/>
    <n v="0.2"/>
    <n v="399"/>
    <n v="79.800000000000011"/>
    <n v="319.2"/>
    <n v="152"/>
    <n v="152"/>
    <n v="60"/>
    <n v="107.19999999999999"/>
    <n v="0.33583959899749372"/>
    <x v="0"/>
    <d v="2025-01-05T00:00:00"/>
    <n v="5"/>
    <x v="2"/>
    <m/>
    <n v="0"/>
  </r>
  <r>
    <s v="ORD-102124"/>
    <x v="362"/>
    <x v="0"/>
    <d v="2024-12-01T00:00:00"/>
    <n v="12"/>
    <s v="CUST-02371"/>
    <x v="0"/>
    <x v="18"/>
    <s v="WB"/>
    <x v="2"/>
    <s v="Kolkata"/>
    <x v="4"/>
    <s v="P503"/>
    <s v="Scented Candle Set"/>
    <x v="4"/>
    <n v="3"/>
    <n v="699"/>
    <n v="0.3"/>
    <n v="2097"/>
    <n v="629.1"/>
    <n v="1467.9"/>
    <n v="245"/>
    <n v="735"/>
    <n v="60"/>
    <n v="672.90000000000009"/>
    <n v="0.45840997343143269"/>
    <x v="1"/>
    <d v="2025-01-04T00:00:00"/>
    <n v="4"/>
    <x v="0"/>
    <n v="5"/>
    <n v="0"/>
  </r>
  <r>
    <s v="ORD-102125"/>
    <x v="362"/>
    <x v="0"/>
    <d v="2024-12-01T00:00:00"/>
    <n v="12"/>
    <s v="CUST-01410"/>
    <x v="0"/>
    <x v="2"/>
    <s v="MH"/>
    <x v="1"/>
    <s v="Nagpur"/>
    <x v="0"/>
    <s v="P404"/>
    <s v="Flip Flops"/>
    <x v="5"/>
    <n v="2"/>
    <n v="399"/>
    <n v="0.1"/>
    <n v="798"/>
    <n v="79.800000000000011"/>
    <n v="718.2"/>
    <n v="152"/>
    <n v="304"/>
    <n v="60"/>
    <n v="354.20000000000005"/>
    <n v="0.49317738791423005"/>
    <x v="0"/>
    <d v="2025-01-02T00:00:00"/>
    <n v="2"/>
    <x v="1"/>
    <n v="4"/>
    <n v="0"/>
  </r>
  <r>
    <s v="ORD-102126"/>
    <x v="362"/>
    <x v="0"/>
    <d v="2024-12-01T00:00:00"/>
    <n v="12"/>
    <s v="CUST-01457"/>
    <x v="0"/>
    <x v="21"/>
    <s v="TG"/>
    <x v="3"/>
    <s v="Hyderabad"/>
    <x v="3"/>
    <s v="P203"/>
    <s v="Keratin Hair Mask"/>
    <x v="6"/>
    <n v="1"/>
    <n v="549"/>
    <n v="0.25"/>
    <n v="549"/>
    <n v="137.25"/>
    <n v="411.75"/>
    <n v="170"/>
    <n v="170"/>
    <n v="60"/>
    <n v="181.75"/>
    <n v="0.44140862173649059"/>
    <x v="0"/>
    <d v="2025-01-02T00:00:00"/>
    <n v="2"/>
    <x v="1"/>
    <n v="4"/>
    <n v="0"/>
  </r>
  <r>
    <s v="ORD-102127"/>
    <x v="363"/>
    <x v="1"/>
    <d v="2025-01-01T00:00:00"/>
    <n v="1"/>
    <s v="CUST-01179"/>
    <x v="1"/>
    <x v="19"/>
    <s v="PB"/>
    <x v="0"/>
    <s v="Ludhiana"/>
    <x v="0"/>
    <s v="P703"/>
    <s v="Green Tea (100 bags)"/>
    <x v="0"/>
    <n v="3"/>
    <n v="399"/>
    <n v="0.3"/>
    <n v="1197"/>
    <n v="359.09999999999997"/>
    <n v="837.90000000000009"/>
    <n v="128"/>
    <n v="384"/>
    <n v="60"/>
    <n v="393.90000000000009"/>
    <n v="0.47010383100608671"/>
    <x v="4"/>
    <d v="2025-01-04T00:00:00"/>
    <n v="3"/>
    <x v="0"/>
    <n v="3"/>
    <n v="0"/>
  </r>
  <r>
    <s v="ORD-102128"/>
    <x v="363"/>
    <x v="1"/>
    <d v="2025-01-01T00:00:00"/>
    <n v="1"/>
    <s v="CUST-01075"/>
    <x v="1"/>
    <x v="16"/>
    <s v="UP"/>
    <x v="0"/>
    <s v="Lucknow"/>
    <x v="1"/>
    <s v="P301"/>
    <s v="Cotton Oversized T-Shirt"/>
    <x v="1"/>
    <n v="1"/>
    <n v="799"/>
    <n v="0"/>
    <n v="799"/>
    <n v="0"/>
    <n v="799"/>
    <n v="320"/>
    <n v="320"/>
    <n v="60"/>
    <n v="419"/>
    <n v="0.52440550688360454"/>
    <x v="0"/>
    <d v="2025-01-03T00:00:00"/>
    <n v="2"/>
    <x v="1"/>
    <n v="3"/>
    <n v="0"/>
  </r>
  <r>
    <s v="ORD-102129"/>
    <x v="363"/>
    <x v="1"/>
    <d v="2025-01-01T00:00:00"/>
    <n v="1"/>
    <s v="CUST-02972"/>
    <x v="0"/>
    <x v="16"/>
    <s v="UP"/>
    <x v="0"/>
    <s v="Lucknow"/>
    <x v="4"/>
    <s v="P604"/>
    <s v="Power Bank 20000mAh"/>
    <x v="2"/>
    <n v="2"/>
    <n v="1799"/>
    <n v="0.35"/>
    <n v="3598"/>
    <n v="1259.3"/>
    <n v="2338.6999999999998"/>
    <n v="1079"/>
    <n v="2158"/>
    <n v="60"/>
    <n v="120.69999999999982"/>
    <n v="5.1609868730491226E-2"/>
    <x v="0"/>
    <d v="2025-01-04T00:00:00"/>
    <n v="3"/>
    <x v="0"/>
    <n v="4"/>
    <n v="0"/>
  </r>
  <r>
    <s v="ORD-102130"/>
    <x v="363"/>
    <x v="1"/>
    <d v="2025-01-01T00:00:00"/>
    <n v="1"/>
    <s v="CUST-00992"/>
    <x v="1"/>
    <x v="2"/>
    <s v="MH"/>
    <x v="1"/>
    <s v="Nagpur"/>
    <x v="0"/>
    <s v="P104"/>
    <s v="Hydrating Face Wash"/>
    <x v="3"/>
    <n v="2"/>
    <n v="299"/>
    <n v="0.1"/>
    <n v="598"/>
    <n v="59.800000000000004"/>
    <n v="538.20000000000005"/>
    <n v="90"/>
    <n v="180"/>
    <n v="120"/>
    <n v="238.20000000000005"/>
    <n v="0.4425863991081383"/>
    <x v="3"/>
    <d v="2025-01-02T00:00:00"/>
    <n v="1"/>
    <x v="1"/>
    <n v="4"/>
    <n v="1"/>
  </r>
  <r>
    <s v="ORD-102131"/>
    <x v="363"/>
    <x v="1"/>
    <d v="2025-01-01T00:00:00"/>
    <n v="1"/>
    <s v="CUST-03170"/>
    <x v="0"/>
    <x v="11"/>
    <s v="KA"/>
    <x v="3"/>
    <s v="Mysuru"/>
    <x v="0"/>
    <s v="P704"/>
    <s v="Multivitamin Gummies"/>
    <x v="0"/>
    <n v="1"/>
    <n v="699"/>
    <n v="0.25"/>
    <n v="699"/>
    <n v="174.75"/>
    <n v="524.25"/>
    <n v="238"/>
    <n v="238"/>
    <n v="60"/>
    <n v="226.25"/>
    <n v="0.43156890796375774"/>
    <x v="1"/>
    <d v="2025-01-03T00:00:00"/>
    <n v="2"/>
    <x v="1"/>
    <n v="5"/>
    <n v="0"/>
  </r>
  <r>
    <s v="ORD-102132"/>
    <x v="363"/>
    <x v="1"/>
    <d v="2025-01-01T00:00:00"/>
    <n v="1"/>
    <s v="CUST-00548"/>
    <x v="0"/>
    <x v="11"/>
    <s v="KA"/>
    <x v="3"/>
    <s v="Mysuru"/>
    <x v="0"/>
    <s v="P602"/>
    <s v="Fast Charger 33W"/>
    <x v="2"/>
    <n v="1"/>
    <n v="899"/>
    <n v="0"/>
    <n v="899"/>
    <n v="0"/>
    <n v="899"/>
    <n v="494"/>
    <n v="494"/>
    <n v="60"/>
    <n v="345"/>
    <n v="0.38375973303670746"/>
    <x v="0"/>
    <d v="2025-01-04T00:00:00"/>
    <n v="3"/>
    <x v="0"/>
    <n v="4"/>
    <n v="0"/>
  </r>
  <r>
    <s v="ORD-102133"/>
    <x v="364"/>
    <x v="1"/>
    <d v="2025-01-01T00:00:00"/>
    <n v="1"/>
    <s v="CUST-00487"/>
    <x v="0"/>
    <x v="12"/>
    <s v="BR"/>
    <x v="2"/>
    <s v="Patna"/>
    <x v="1"/>
    <s v="P301"/>
    <s v="Cotton Oversized T-Shirt"/>
    <x v="1"/>
    <n v="2"/>
    <n v="799"/>
    <n v="0.05"/>
    <n v="1598"/>
    <n v="79.900000000000006"/>
    <n v="1518.1"/>
    <n v="320"/>
    <n v="640"/>
    <n v="120"/>
    <n v="758.09999999999991"/>
    <n v="0.49937421777221525"/>
    <x v="1"/>
    <d v="2025-01-08T00:00:00"/>
    <n v="6"/>
    <x v="2"/>
    <n v="4"/>
    <n v="1"/>
  </r>
  <r>
    <s v="ORD-102134"/>
    <x v="364"/>
    <x v="1"/>
    <d v="2025-01-01T00:00:00"/>
    <n v="1"/>
    <s v="CUST-01605"/>
    <x v="0"/>
    <x v="13"/>
    <s v="MP"/>
    <x v="1"/>
    <s v="Indore"/>
    <x v="0"/>
    <s v="P603"/>
    <s v="Smartwatch Strap"/>
    <x v="2"/>
    <n v="1"/>
    <n v="499"/>
    <n v="0.1"/>
    <n v="499"/>
    <n v="49.900000000000006"/>
    <n v="449.1"/>
    <n v="200"/>
    <n v="200"/>
    <n v="60"/>
    <n v="189.10000000000002"/>
    <n v="0.42106435092407041"/>
    <x v="1"/>
    <d v="2025-01-04T00:00:00"/>
    <n v="2"/>
    <x v="1"/>
    <n v="5"/>
    <n v="0"/>
  </r>
  <r>
    <s v="ORD-102135"/>
    <x v="364"/>
    <x v="1"/>
    <d v="2025-01-01T00:00:00"/>
    <n v="1"/>
    <s v="CUST-03103"/>
    <x v="0"/>
    <x v="11"/>
    <s v="KA"/>
    <x v="3"/>
    <s v="Mysuru"/>
    <x v="0"/>
    <s v="P103"/>
    <s v="Niacinamide Toner"/>
    <x v="3"/>
    <n v="2"/>
    <n v="399"/>
    <n v="0.3"/>
    <n v="798"/>
    <n v="239.39999999999998"/>
    <n v="558.6"/>
    <n v="112"/>
    <n v="224"/>
    <n v="60"/>
    <n v="274.60000000000002"/>
    <n v="0.49158610812746151"/>
    <x v="0"/>
    <d v="2025-01-04T00:00:00"/>
    <n v="2"/>
    <x v="1"/>
    <n v="3"/>
    <n v="0"/>
  </r>
  <r>
    <s v="ORD-102136"/>
    <x v="364"/>
    <x v="1"/>
    <d v="2025-01-01T00:00:00"/>
    <n v="1"/>
    <s v="CUST-00872"/>
    <x v="1"/>
    <x v="8"/>
    <s v="AP"/>
    <x v="3"/>
    <s v="Vijayawada"/>
    <x v="1"/>
    <s v="P403"/>
    <s v="Kolhapuri Sandals"/>
    <x v="5"/>
    <n v="1"/>
    <n v="999"/>
    <n v="0.15"/>
    <n v="999"/>
    <n v="149.85"/>
    <n v="849.15"/>
    <n v="400"/>
    <n v="400"/>
    <n v="60"/>
    <n v="389.15"/>
    <n v="0.45828181122298767"/>
    <x v="0"/>
    <d v="2025-01-06T00:00:00"/>
    <n v="4"/>
    <x v="0"/>
    <m/>
    <n v="0"/>
  </r>
  <r>
    <s v="ORD-102137"/>
    <x v="364"/>
    <x v="1"/>
    <d v="2025-01-01T00:00:00"/>
    <n v="1"/>
    <s v="CUST-01664"/>
    <x v="1"/>
    <x v="17"/>
    <s v="TN"/>
    <x v="3"/>
    <s v="Coimbatore"/>
    <x v="0"/>
    <s v="P401"/>
    <s v="Running Shoes"/>
    <x v="5"/>
    <n v="1"/>
    <n v="2999"/>
    <n v="0.2"/>
    <n v="2999"/>
    <n v="599.80000000000007"/>
    <n v="2399.1999999999998"/>
    <n v="1440"/>
    <n v="1440"/>
    <n v="60"/>
    <n v="899.19999999999982"/>
    <n v="0.3747915971990663"/>
    <x v="4"/>
    <d v="2025-01-03T00:00:00"/>
    <n v="1"/>
    <x v="1"/>
    <n v="5"/>
    <n v="0"/>
  </r>
  <r>
    <s v="ORD-102138"/>
    <x v="365"/>
    <x v="1"/>
    <d v="2025-01-01T00:00:00"/>
    <n v="1"/>
    <s v="CUST-01060"/>
    <x v="0"/>
    <x v="4"/>
    <s v="JK"/>
    <x v="0"/>
    <s v="Jammu"/>
    <x v="0"/>
    <s v="P101"/>
    <s v="Vitamin C Face Serum"/>
    <x v="3"/>
    <n v="1"/>
    <n v="599"/>
    <n v="0.15"/>
    <n v="599"/>
    <n v="89.85"/>
    <n v="509.15"/>
    <n v="180"/>
    <n v="180"/>
    <n v="60"/>
    <n v="269.14999999999998"/>
    <n v="0.52862614160856325"/>
    <x v="0"/>
    <d v="2025-01-09T00:00:00"/>
    <n v="6"/>
    <x v="2"/>
    <m/>
    <n v="0"/>
  </r>
  <r>
    <s v="ORD-102139"/>
    <x v="365"/>
    <x v="1"/>
    <d v="2025-01-01T00:00:00"/>
    <n v="1"/>
    <s v="CUST-00837"/>
    <x v="0"/>
    <x v="15"/>
    <s v="HR"/>
    <x v="0"/>
    <s v="Faridabad"/>
    <x v="1"/>
    <s v="P301"/>
    <s v="Cotton Oversized T-Shirt"/>
    <x v="1"/>
    <n v="2"/>
    <n v="799"/>
    <n v="0.1"/>
    <n v="1598"/>
    <n v="159.80000000000001"/>
    <n v="1438.2"/>
    <n v="320"/>
    <n v="640"/>
    <n v="60"/>
    <n v="738.2"/>
    <n v="0.51328048950076488"/>
    <x v="0"/>
    <d v="2025-01-04T00:00:00"/>
    <n v="1"/>
    <x v="1"/>
    <m/>
    <n v="0"/>
  </r>
  <r>
    <s v="ORD-102140"/>
    <x v="365"/>
    <x v="1"/>
    <d v="2025-01-01T00:00:00"/>
    <n v="1"/>
    <s v="CUST-00053"/>
    <x v="1"/>
    <x v="1"/>
    <s v="GJ"/>
    <x v="1"/>
    <s v="Surat"/>
    <x v="3"/>
    <s v="P102"/>
    <s v="Sunscreen SPF 50"/>
    <x v="3"/>
    <n v="1"/>
    <n v="449"/>
    <n v="0.15"/>
    <n v="449"/>
    <n v="67.349999999999994"/>
    <n v="381.65"/>
    <n v="144"/>
    <n v="144"/>
    <n v="120"/>
    <n v="117.64999999999998"/>
    <n v="0.30826673653871345"/>
    <x v="0"/>
    <d v="2025-01-07T00:00:00"/>
    <n v="4"/>
    <x v="0"/>
    <n v="3"/>
    <n v="1"/>
  </r>
  <r>
    <s v="ORD-102141"/>
    <x v="365"/>
    <x v="1"/>
    <d v="2025-01-01T00:00:00"/>
    <n v="1"/>
    <s v="CUST-00123"/>
    <x v="1"/>
    <x v="1"/>
    <s v="GJ"/>
    <x v="1"/>
    <s v="Surat"/>
    <x v="4"/>
    <s v="P403"/>
    <s v="Kolhapuri Sandals"/>
    <x v="5"/>
    <n v="1"/>
    <n v="999"/>
    <n v="0.05"/>
    <n v="999"/>
    <n v="49.95"/>
    <n v="949.05"/>
    <n v="400"/>
    <n v="400"/>
    <n v="60"/>
    <n v="489.04999999999995"/>
    <n v="0.5153047784626732"/>
    <x v="0"/>
    <d v="2025-01-05T00:00:00"/>
    <n v="2"/>
    <x v="1"/>
    <m/>
    <n v="0"/>
  </r>
  <r>
    <s v="ORD-102142"/>
    <x v="365"/>
    <x v="1"/>
    <d v="2025-01-01T00:00:00"/>
    <n v="1"/>
    <s v="CUST-01989"/>
    <x v="0"/>
    <x v="7"/>
    <s v="JH"/>
    <x v="2"/>
    <s v="Ranchi"/>
    <x v="1"/>
    <s v="P305"/>
    <s v="Printed Saree"/>
    <x v="1"/>
    <n v="3"/>
    <n v="1999"/>
    <n v="0.05"/>
    <n v="5997"/>
    <n v="299.85000000000002"/>
    <n v="5697.15"/>
    <n v="880"/>
    <n v="2640"/>
    <n v="60"/>
    <n v="2997.1499999999996"/>
    <n v="0.52607882888812829"/>
    <x v="0"/>
    <d v="2025-01-08T00:00:00"/>
    <n v="5"/>
    <x v="2"/>
    <n v="5"/>
    <n v="0"/>
  </r>
  <r>
    <s v="ORD-102143"/>
    <x v="365"/>
    <x v="1"/>
    <d v="2025-01-01T00:00:00"/>
    <n v="1"/>
    <s v="CUST-00407"/>
    <x v="1"/>
    <x v="18"/>
    <s v="WB"/>
    <x v="2"/>
    <s v="Kolkata"/>
    <x v="3"/>
    <s v="P703"/>
    <s v="Green Tea (100 bags)"/>
    <x v="0"/>
    <n v="2"/>
    <n v="399"/>
    <n v="0.4"/>
    <n v="798"/>
    <n v="319.20000000000005"/>
    <n v="478.79999999999995"/>
    <n v="128"/>
    <n v="256"/>
    <n v="60"/>
    <n v="162.79999999999995"/>
    <n v="0.34001670843776099"/>
    <x v="0"/>
    <d v="2025-01-05T00:00:00"/>
    <n v="2"/>
    <x v="1"/>
    <m/>
    <n v="0"/>
  </r>
  <r>
    <s v="ORD-102144"/>
    <x v="365"/>
    <x v="1"/>
    <d v="2025-01-01T00:00:00"/>
    <n v="1"/>
    <s v="CUST-00117"/>
    <x v="1"/>
    <x v="21"/>
    <s v="TG"/>
    <x v="3"/>
    <s v="Hyderabad"/>
    <x v="1"/>
    <s v="P301"/>
    <s v="Cotton Oversized T-Shirt"/>
    <x v="1"/>
    <n v="1"/>
    <n v="799"/>
    <n v="0"/>
    <n v="799"/>
    <n v="0"/>
    <n v="799"/>
    <n v="320"/>
    <n v="320"/>
    <n v="60"/>
    <n v="419"/>
    <n v="0.52440550688360454"/>
    <x v="4"/>
    <d v="2025-01-04T00:00:00"/>
    <n v="1"/>
    <x v="1"/>
    <m/>
    <n v="0"/>
  </r>
  <r>
    <s v="ORD-102145"/>
    <x v="365"/>
    <x v="1"/>
    <d v="2025-01-01T00:00:00"/>
    <n v="1"/>
    <s v="CUST-00257"/>
    <x v="1"/>
    <x v="11"/>
    <s v="KA"/>
    <x v="3"/>
    <s v="Bengaluru"/>
    <x v="2"/>
    <s v="P501"/>
    <s v="Copper Water Bottle"/>
    <x v="4"/>
    <n v="1"/>
    <n v="899"/>
    <n v="0"/>
    <n v="899"/>
    <n v="0"/>
    <n v="899"/>
    <n v="378"/>
    <n v="378"/>
    <n v="60"/>
    <n v="461"/>
    <n v="0.51279199110122353"/>
    <x v="0"/>
    <d v="2025-01-06T00:00:00"/>
    <n v="3"/>
    <x v="0"/>
    <m/>
    <n v="0"/>
  </r>
  <r>
    <s v="ORD-102146"/>
    <x v="365"/>
    <x v="1"/>
    <d v="2025-01-01T00:00:00"/>
    <n v="1"/>
    <s v="CUST-01097"/>
    <x v="1"/>
    <x v="11"/>
    <s v="KA"/>
    <x v="3"/>
    <s v="Mysuru"/>
    <x v="0"/>
    <s v="P201"/>
    <s v="Onion Hair Oil"/>
    <x v="6"/>
    <n v="2"/>
    <n v="349"/>
    <n v="0.3"/>
    <n v="698"/>
    <n v="209.4"/>
    <n v="488.6"/>
    <n v="105"/>
    <n v="210"/>
    <n v="60"/>
    <n v="218.60000000000002"/>
    <n v="0.44740073679901765"/>
    <x v="1"/>
    <d v="2025-01-04T00:00:00"/>
    <n v="1"/>
    <x v="1"/>
    <n v="4"/>
    <n v="0"/>
  </r>
  <r>
    <s v="ORD-102147"/>
    <x v="366"/>
    <x v="1"/>
    <d v="2025-01-01T00:00:00"/>
    <n v="1"/>
    <s v="CUST-02446"/>
    <x v="0"/>
    <x v="22"/>
    <s v="AS"/>
    <x v="2"/>
    <s v="Guwahati"/>
    <x v="2"/>
    <s v="P504"/>
    <s v="Cotton Bedsheet"/>
    <x v="4"/>
    <n v="3"/>
    <n v="1299"/>
    <n v="0"/>
    <n v="3897"/>
    <n v="0"/>
    <n v="3897"/>
    <n v="585"/>
    <n v="1755"/>
    <n v="60"/>
    <n v="2082"/>
    <n v="0.53425712086220167"/>
    <x v="3"/>
    <d v="2025-01-09T00:00:00"/>
    <n v="5"/>
    <x v="2"/>
    <n v="4"/>
    <n v="0"/>
  </r>
  <r>
    <s v="ORD-102148"/>
    <x v="366"/>
    <x v="1"/>
    <d v="2025-01-01T00:00:00"/>
    <n v="1"/>
    <s v="CUST-00505"/>
    <x v="1"/>
    <x v="10"/>
    <s v="CG"/>
    <x v="2"/>
    <s v="Raipur"/>
    <x v="0"/>
    <s v="P404"/>
    <s v="Flip Flops"/>
    <x v="5"/>
    <n v="2"/>
    <n v="399"/>
    <n v="0.05"/>
    <n v="798"/>
    <n v="39.900000000000006"/>
    <n v="758.1"/>
    <n v="152"/>
    <n v="304"/>
    <n v="120"/>
    <n v="334.1"/>
    <n v="0.44070703073473161"/>
    <x v="0"/>
    <d v="2025-01-08T00:00:00"/>
    <n v="4"/>
    <x v="0"/>
    <n v="3"/>
    <n v="1"/>
  </r>
  <r>
    <s v="ORD-102149"/>
    <x v="366"/>
    <x v="1"/>
    <d v="2025-01-01T00:00:00"/>
    <n v="1"/>
    <s v="CUST-02467"/>
    <x v="1"/>
    <x v="11"/>
    <s v="KA"/>
    <x v="3"/>
    <s v="Mysuru"/>
    <x v="0"/>
    <s v="P503"/>
    <s v="Scented Candle Set"/>
    <x v="4"/>
    <n v="1"/>
    <n v="699"/>
    <n v="0.25"/>
    <n v="699"/>
    <n v="174.75"/>
    <n v="524.25"/>
    <n v="245"/>
    <n v="245"/>
    <n v="60"/>
    <n v="219.25"/>
    <n v="0.41821649976156416"/>
    <x v="0"/>
    <d v="2025-01-08T00:00:00"/>
    <n v="4"/>
    <x v="0"/>
    <n v="3"/>
    <n v="0"/>
  </r>
  <r>
    <s v="ORD-102150"/>
    <x v="367"/>
    <x v="1"/>
    <d v="2025-01-01T00:00:00"/>
    <n v="1"/>
    <s v="CUST-00149"/>
    <x v="1"/>
    <x v="4"/>
    <s v="JK"/>
    <x v="0"/>
    <s v="Jammu"/>
    <x v="4"/>
    <s v="P305"/>
    <s v="Printed Saree"/>
    <x v="1"/>
    <n v="2"/>
    <n v="1999"/>
    <n v="0.1"/>
    <n v="3998"/>
    <n v="399.8"/>
    <n v="3598.2"/>
    <n v="880"/>
    <n v="1760"/>
    <n v="120"/>
    <n v="1718.1999999999998"/>
    <n v="0.47751653604580063"/>
    <x v="0"/>
    <d v="2025-01-09T00:00:00"/>
    <n v="4"/>
    <x v="0"/>
    <n v="3"/>
    <n v="1"/>
  </r>
  <r>
    <s v="ORD-102151"/>
    <x v="367"/>
    <x v="1"/>
    <d v="2025-01-01T00:00:00"/>
    <n v="1"/>
    <s v="CUST-01440"/>
    <x v="0"/>
    <x v="5"/>
    <s v="HP"/>
    <x v="0"/>
    <s v="Shimla"/>
    <x v="2"/>
    <s v="P503"/>
    <s v="Scented Candle Set"/>
    <x v="4"/>
    <n v="1"/>
    <n v="699"/>
    <n v="0.2"/>
    <n v="699"/>
    <n v="139.80000000000001"/>
    <n v="559.20000000000005"/>
    <n v="245"/>
    <n v="245"/>
    <n v="60"/>
    <n v="254.20000000000005"/>
    <n v="0.45457796852646642"/>
    <x v="0"/>
    <d v="2025-01-10T00:00:00"/>
    <n v="5"/>
    <x v="2"/>
    <n v="3"/>
    <n v="0"/>
  </r>
  <r>
    <s v="ORD-102152"/>
    <x v="367"/>
    <x v="1"/>
    <d v="2025-01-01T00:00:00"/>
    <n v="1"/>
    <s v="CUST-00260"/>
    <x v="0"/>
    <x v="10"/>
    <s v="CG"/>
    <x v="2"/>
    <s v="Raipur"/>
    <x v="4"/>
    <s v="P703"/>
    <s v="Green Tea (100 bags)"/>
    <x v="0"/>
    <n v="2"/>
    <n v="399"/>
    <n v="0.45"/>
    <n v="798"/>
    <n v="359.1"/>
    <n v="438.9"/>
    <n v="128"/>
    <n v="256"/>
    <n v="60"/>
    <n v="122.89999999999998"/>
    <n v="0.28001822738664839"/>
    <x v="4"/>
    <d v="2025-01-09T00:00:00"/>
    <n v="4"/>
    <x v="0"/>
    <n v="4"/>
    <n v="0"/>
  </r>
  <r>
    <s v="ORD-102153"/>
    <x v="367"/>
    <x v="1"/>
    <d v="2025-01-01T00:00:00"/>
    <n v="1"/>
    <s v="CUST-00936"/>
    <x v="1"/>
    <x v="21"/>
    <s v="TG"/>
    <x v="3"/>
    <s v="Hyderabad"/>
    <x v="4"/>
    <s v="P701"/>
    <s v="Ashwagandha Capsules"/>
    <x v="0"/>
    <n v="2"/>
    <n v="499"/>
    <n v="0.05"/>
    <n v="998"/>
    <n v="49.900000000000006"/>
    <n v="948.1"/>
    <n v="150"/>
    <n v="300"/>
    <n v="60"/>
    <n v="588.1"/>
    <n v="0.62029321801497728"/>
    <x v="0"/>
    <d v="2025-01-08T00:00:00"/>
    <n v="3"/>
    <x v="0"/>
    <n v="5"/>
    <n v="0"/>
  </r>
  <r>
    <s v="ORD-102154"/>
    <x v="367"/>
    <x v="1"/>
    <d v="2025-01-01T00:00:00"/>
    <n v="1"/>
    <s v="CUST-02631"/>
    <x v="1"/>
    <x v="8"/>
    <s v="AP"/>
    <x v="3"/>
    <s v="Vijayawada"/>
    <x v="0"/>
    <s v="P503"/>
    <s v="Scented Candle Set"/>
    <x v="4"/>
    <n v="1"/>
    <n v="699"/>
    <n v="0.2"/>
    <n v="699"/>
    <n v="139.80000000000001"/>
    <n v="559.20000000000005"/>
    <n v="245"/>
    <n v="245"/>
    <n v="60"/>
    <n v="254.20000000000005"/>
    <n v="0.45457796852646642"/>
    <x v="0"/>
    <d v="2025-01-08T00:00:00"/>
    <n v="3"/>
    <x v="0"/>
    <m/>
    <n v="0"/>
  </r>
  <r>
    <s v="ORD-102155"/>
    <x v="367"/>
    <x v="1"/>
    <d v="2025-01-01T00:00:00"/>
    <n v="1"/>
    <s v="CUST-00949"/>
    <x v="1"/>
    <x v="8"/>
    <s v="AP"/>
    <x v="3"/>
    <s v="Vijayawada"/>
    <x v="1"/>
    <s v="P301"/>
    <s v="Cotton Oversized T-Shirt"/>
    <x v="1"/>
    <n v="1"/>
    <n v="799"/>
    <n v="0"/>
    <n v="799"/>
    <n v="0"/>
    <n v="799"/>
    <n v="320"/>
    <n v="320"/>
    <n v="60"/>
    <n v="419"/>
    <n v="0.52440550688360454"/>
    <x v="3"/>
    <d v="2025-01-08T00:00:00"/>
    <n v="3"/>
    <x v="0"/>
    <n v="3"/>
    <n v="0"/>
  </r>
  <r>
    <s v="ORD-102156"/>
    <x v="368"/>
    <x v="1"/>
    <d v="2025-01-01T00:00:00"/>
    <n v="1"/>
    <s v="CUST-00756"/>
    <x v="1"/>
    <x v="19"/>
    <s v="PB"/>
    <x v="0"/>
    <s v="Amritsar"/>
    <x v="0"/>
    <s v="P401"/>
    <s v="Running Shoes"/>
    <x v="5"/>
    <n v="2"/>
    <n v="2999"/>
    <n v="0.2"/>
    <n v="5998"/>
    <n v="1199.6000000000001"/>
    <n v="4798.3999999999996"/>
    <n v="1440"/>
    <n v="2880"/>
    <n v="120"/>
    <n v="1798.3999999999996"/>
    <n v="0.3747915971990663"/>
    <x v="2"/>
    <d v="2025-01-09T00:00:00"/>
    <n v="3"/>
    <x v="0"/>
    <n v="4"/>
    <n v="1"/>
  </r>
  <r>
    <s v="ORD-102157"/>
    <x v="368"/>
    <x v="1"/>
    <d v="2025-01-01T00:00:00"/>
    <n v="1"/>
    <s v="CUST-01857"/>
    <x v="0"/>
    <x v="6"/>
    <s v="DL"/>
    <x v="0"/>
    <s v="New Delhi"/>
    <x v="0"/>
    <s v="P504"/>
    <s v="Cotton Bedsheet"/>
    <x v="4"/>
    <n v="2"/>
    <n v="1299"/>
    <n v="0"/>
    <n v="2598"/>
    <n v="0"/>
    <n v="2598"/>
    <n v="585"/>
    <n v="1170"/>
    <n v="120"/>
    <n v="1308"/>
    <n v="0.50346420323325636"/>
    <x v="4"/>
    <d v="2025-01-07T00:00:00"/>
    <n v="1"/>
    <x v="1"/>
    <m/>
    <n v="1"/>
  </r>
  <r>
    <s v="ORD-102158"/>
    <x v="368"/>
    <x v="1"/>
    <d v="2025-01-01T00:00:00"/>
    <n v="1"/>
    <s v="CUST-02480"/>
    <x v="0"/>
    <x v="22"/>
    <s v="AS"/>
    <x v="2"/>
    <s v="Guwahati"/>
    <x v="1"/>
    <s v="P404"/>
    <s v="Flip Flops"/>
    <x v="5"/>
    <n v="1"/>
    <n v="399"/>
    <n v="0.05"/>
    <n v="399"/>
    <n v="19.950000000000003"/>
    <n v="379.05"/>
    <n v="152"/>
    <n v="152"/>
    <n v="60"/>
    <n v="167.05"/>
    <n v="0.44070703073473161"/>
    <x v="0"/>
    <d v="2025-01-13T00:00:00"/>
    <n v="7"/>
    <x v="2"/>
    <n v="4"/>
    <n v="0"/>
  </r>
  <r>
    <s v="ORD-102159"/>
    <x v="368"/>
    <x v="1"/>
    <d v="2025-01-01T00:00:00"/>
    <n v="1"/>
    <s v="CUST-00952"/>
    <x v="1"/>
    <x v="13"/>
    <s v="MP"/>
    <x v="1"/>
    <s v="Indore"/>
    <x v="2"/>
    <s v="P602"/>
    <s v="Fast Charger 33W"/>
    <x v="2"/>
    <n v="1"/>
    <n v="899"/>
    <n v="0"/>
    <n v="899"/>
    <n v="0"/>
    <n v="899"/>
    <n v="494"/>
    <n v="494"/>
    <n v="60"/>
    <n v="345"/>
    <n v="0.38375973303670746"/>
    <x v="0"/>
    <d v="2025-01-11T00:00:00"/>
    <n v="5"/>
    <x v="2"/>
    <n v="4"/>
    <n v="0"/>
  </r>
  <r>
    <s v="ORD-102160"/>
    <x v="368"/>
    <x v="1"/>
    <d v="2025-01-01T00:00:00"/>
    <n v="1"/>
    <s v="CUST-01162"/>
    <x v="1"/>
    <x v="18"/>
    <s v="WB"/>
    <x v="2"/>
    <s v="Kolkata"/>
    <x v="2"/>
    <s v="P202"/>
    <s v="Argan Shampoo"/>
    <x v="6"/>
    <n v="1"/>
    <n v="449"/>
    <n v="0"/>
    <n v="449"/>
    <n v="0"/>
    <n v="449"/>
    <n v="148"/>
    <n v="148"/>
    <n v="60"/>
    <n v="241"/>
    <n v="0.53674832962138086"/>
    <x v="1"/>
    <d v="2025-01-10T00:00:00"/>
    <n v="4"/>
    <x v="0"/>
    <n v="4"/>
    <n v="0"/>
  </r>
  <r>
    <s v="ORD-102161"/>
    <x v="368"/>
    <x v="1"/>
    <d v="2025-01-01T00:00:00"/>
    <n v="1"/>
    <s v="CUST-00870"/>
    <x v="1"/>
    <x v="2"/>
    <s v="MH"/>
    <x v="1"/>
    <s v="Nagpur"/>
    <x v="3"/>
    <s v="P703"/>
    <s v="Green Tea (100 bags)"/>
    <x v="0"/>
    <n v="1"/>
    <n v="399"/>
    <n v="0.35"/>
    <n v="399"/>
    <n v="139.64999999999998"/>
    <n v="259.35000000000002"/>
    <n v="128"/>
    <n v="128"/>
    <n v="60"/>
    <n v="71.350000000000023"/>
    <n v="0.27511085405822255"/>
    <x v="0"/>
    <d v="2025-01-08T00:00:00"/>
    <n v="2"/>
    <x v="1"/>
    <n v="5"/>
    <n v="0"/>
  </r>
  <r>
    <s v="ORD-102162"/>
    <x v="368"/>
    <x v="1"/>
    <d v="2025-01-01T00:00:00"/>
    <n v="1"/>
    <s v="CUST-00200"/>
    <x v="1"/>
    <x v="14"/>
    <s v="KL"/>
    <x v="3"/>
    <s v="Kochi"/>
    <x v="3"/>
    <s v="P204"/>
    <s v="Anti-Dandruff Conditioner"/>
    <x v="6"/>
    <n v="1"/>
    <n v="399"/>
    <n v="0.3"/>
    <n v="399"/>
    <n v="119.69999999999999"/>
    <n v="279.3"/>
    <n v="136"/>
    <n v="136"/>
    <n v="60"/>
    <n v="83.300000000000011"/>
    <n v="0.29824561403508776"/>
    <x v="0"/>
    <d v="2025-01-10T00:00:00"/>
    <n v="4"/>
    <x v="0"/>
    <n v="4"/>
    <n v="0"/>
  </r>
  <r>
    <s v="ORD-102163"/>
    <x v="369"/>
    <x v="1"/>
    <d v="2025-01-01T00:00:00"/>
    <n v="1"/>
    <s v="CUST-02478"/>
    <x v="0"/>
    <x v="0"/>
    <s v="RJ"/>
    <x v="0"/>
    <s v="Udaipur"/>
    <x v="0"/>
    <s v="P704"/>
    <s v="Multivitamin Gummies"/>
    <x v="0"/>
    <n v="2"/>
    <n v="699"/>
    <n v="0.3"/>
    <n v="1398"/>
    <n v="419.4"/>
    <n v="978.6"/>
    <n v="238"/>
    <n v="476"/>
    <n v="60"/>
    <n v="442.6"/>
    <n v="0.45227876558348662"/>
    <x v="3"/>
    <d v="2025-01-12T00:00:00"/>
    <n v="5"/>
    <x v="2"/>
    <n v="3"/>
    <n v="0"/>
  </r>
  <r>
    <s v="ORD-102164"/>
    <x v="369"/>
    <x v="1"/>
    <d v="2025-01-01T00:00:00"/>
    <n v="1"/>
    <s v="CUST-01737"/>
    <x v="0"/>
    <x v="0"/>
    <s v="RJ"/>
    <x v="0"/>
    <s v="Jaipur"/>
    <x v="4"/>
    <s v="P702"/>
    <s v="Whey Protein 1kg"/>
    <x v="0"/>
    <n v="1"/>
    <n v="2299"/>
    <n v="0.35"/>
    <n v="2299"/>
    <n v="804.65"/>
    <n v="1494.35"/>
    <n v="1333"/>
    <n v="1333"/>
    <n v="60"/>
    <n v="101.34999999999991"/>
    <n v="6.7822130023086902E-2"/>
    <x v="3"/>
    <d v="2025-01-10T00:00:00"/>
    <n v="3"/>
    <x v="0"/>
    <n v="3"/>
    <n v="0"/>
  </r>
  <r>
    <s v="ORD-102165"/>
    <x v="369"/>
    <x v="1"/>
    <d v="2025-01-01T00:00:00"/>
    <n v="1"/>
    <s v="CUST-02950"/>
    <x v="1"/>
    <x v="0"/>
    <s v="RJ"/>
    <x v="0"/>
    <s v="Jaipur"/>
    <x v="0"/>
    <s v="P504"/>
    <s v="Cotton Bedsheet"/>
    <x v="4"/>
    <n v="1"/>
    <n v="1299"/>
    <n v="0"/>
    <n v="1299"/>
    <n v="0"/>
    <n v="1299"/>
    <n v="585"/>
    <n v="585"/>
    <n v="120"/>
    <n v="594"/>
    <n v="0.45727482678983833"/>
    <x v="0"/>
    <d v="2025-01-12T00:00:00"/>
    <n v="5"/>
    <x v="2"/>
    <n v="2"/>
    <n v="1"/>
  </r>
  <r>
    <s v="ORD-102166"/>
    <x v="369"/>
    <x v="1"/>
    <d v="2025-01-01T00:00:00"/>
    <n v="1"/>
    <s v="CUST-00096"/>
    <x v="1"/>
    <x v="1"/>
    <s v="GJ"/>
    <x v="1"/>
    <s v="Ahmedabad"/>
    <x v="4"/>
    <s v="P203"/>
    <s v="Keratin Hair Mask"/>
    <x v="6"/>
    <n v="1"/>
    <n v="549"/>
    <n v="0.25"/>
    <n v="549"/>
    <n v="137.25"/>
    <n v="411.75"/>
    <n v="170"/>
    <n v="170"/>
    <n v="60"/>
    <n v="181.75"/>
    <n v="0.44140862173649059"/>
    <x v="0"/>
    <d v="2025-01-10T00:00:00"/>
    <n v="3"/>
    <x v="0"/>
    <m/>
    <n v="0"/>
  </r>
  <r>
    <s v="ORD-102167"/>
    <x v="369"/>
    <x v="1"/>
    <d v="2025-01-01T00:00:00"/>
    <n v="1"/>
    <s v="CUST-01198"/>
    <x v="1"/>
    <x v="2"/>
    <s v="MH"/>
    <x v="1"/>
    <s v="Nagpur"/>
    <x v="4"/>
    <s v="P403"/>
    <s v="Kolhapuri Sandals"/>
    <x v="5"/>
    <n v="1"/>
    <n v="999"/>
    <n v="0.1"/>
    <n v="999"/>
    <n v="99.9"/>
    <n v="899.1"/>
    <n v="400"/>
    <n v="400"/>
    <n v="60"/>
    <n v="439.1"/>
    <n v="0.48837726615504395"/>
    <x v="0"/>
    <d v="2025-01-08T00:00:00"/>
    <n v="1"/>
    <x v="1"/>
    <n v="4"/>
    <n v="0"/>
  </r>
  <r>
    <s v="ORD-102168"/>
    <x v="369"/>
    <x v="1"/>
    <d v="2025-01-01T00:00:00"/>
    <n v="1"/>
    <s v="CUST-00648"/>
    <x v="1"/>
    <x v="21"/>
    <s v="TG"/>
    <x v="3"/>
    <s v="Hyderabad"/>
    <x v="0"/>
    <s v="P601"/>
    <s v="Wireless Earbuds"/>
    <x v="2"/>
    <n v="3"/>
    <n v="1999"/>
    <n v="0.35"/>
    <n v="5997"/>
    <n v="2098.9499999999998"/>
    <n v="3898.05"/>
    <n v="1239"/>
    <n v="3717"/>
    <n v="60"/>
    <n v="121.05000000000018"/>
    <n v="3.1053988532727946E-2"/>
    <x v="3"/>
    <d v="2025-01-09T00:00:00"/>
    <n v="2"/>
    <x v="1"/>
    <m/>
    <n v="0"/>
  </r>
  <r>
    <s v="ORD-102169"/>
    <x v="369"/>
    <x v="1"/>
    <d v="2025-01-01T00:00:00"/>
    <n v="1"/>
    <s v="CUST-02659"/>
    <x v="1"/>
    <x v="20"/>
    <s v="GA"/>
    <x v="1"/>
    <s v="Panaji"/>
    <x v="1"/>
    <s v="P401"/>
    <s v="Running Shoes"/>
    <x v="5"/>
    <n v="1"/>
    <n v="2999"/>
    <n v="0.2"/>
    <n v="2999"/>
    <n v="599.80000000000007"/>
    <n v="2399.1999999999998"/>
    <n v="1440"/>
    <n v="1440"/>
    <n v="120"/>
    <n v="839.19999999999982"/>
    <n v="0.34978326108702895"/>
    <x v="1"/>
    <d v="2025-01-11T00:00:00"/>
    <n v="4"/>
    <x v="0"/>
    <m/>
    <n v="1"/>
  </r>
  <r>
    <s v="ORD-102170"/>
    <x v="369"/>
    <x v="1"/>
    <d v="2025-01-01T00:00:00"/>
    <n v="1"/>
    <s v="CUST-00909"/>
    <x v="1"/>
    <x v="11"/>
    <s v="KA"/>
    <x v="3"/>
    <s v="Bengaluru"/>
    <x v="4"/>
    <s v="P501"/>
    <s v="Copper Water Bottle"/>
    <x v="4"/>
    <n v="1"/>
    <n v="899"/>
    <n v="0.05"/>
    <n v="899"/>
    <n v="44.95"/>
    <n v="854.05"/>
    <n v="378"/>
    <n v="378"/>
    <n v="60"/>
    <n v="416.04999999999995"/>
    <n v="0.48714946431707745"/>
    <x v="0"/>
    <d v="2025-01-08T00:00:00"/>
    <n v="1"/>
    <x v="1"/>
    <n v="4"/>
    <n v="0"/>
  </r>
  <r>
    <s v="ORD-102171"/>
    <x v="369"/>
    <x v="1"/>
    <d v="2025-01-01T00:00:00"/>
    <n v="1"/>
    <s v="CUST-00780"/>
    <x v="1"/>
    <x v="17"/>
    <s v="TN"/>
    <x v="3"/>
    <s v="Coimbatore"/>
    <x v="4"/>
    <s v="P303"/>
    <s v="Joggers"/>
    <x v="1"/>
    <n v="4"/>
    <n v="1199"/>
    <n v="0.05"/>
    <n v="4796"/>
    <n v="239.8"/>
    <n v="4556.2"/>
    <n v="492"/>
    <n v="1968"/>
    <n v="120"/>
    <n v="2468.1999999999998"/>
    <n v="0.54172336596286375"/>
    <x v="1"/>
    <d v="2025-01-08T00:00:00"/>
    <n v="1"/>
    <x v="1"/>
    <n v="5"/>
    <n v="1"/>
  </r>
  <r>
    <s v="ORD-102172"/>
    <x v="370"/>
    <x v="1"/>
    <d v="2025-01-01T00:00:00"/>
    <n v="1"/>
    <s v="CUST-00647"/>
    <x v="0"/>
    <x v="0"/>
    <s v="RJ"/>
    <x v="0"/>
    <s v="Jaipur"/>
    <x v="2"/>
    <s v="P301"/>
    <s v="Cotton Oversized T-Shirt"/>
    <x v="1"/>
    <n v="1"/>
    <n v="799"/>
    <n v="0.05"/>
    <n v="799"/>
    <n v="39.950000000000003"/>
    <n v="759.05"/>
    <n v="320"/>
    <n v="320"/>
    <n v="60"/>
    <n v="379.04999999999995"/>
    <n v="0.49937421777221525"/>
    <x v="0"/>
    <d v="2025-01-13T00:00:00"/>
    <n v="5"/>
    <x v="2"/>
    <n v="3"/>
    <n v="0"/>
  </r>
  <r>
    <s v="ORD-102173"/>
    <x v="370"/>
    <x v="1"/>
    <d v="2025-01-01T00:00:00"/>
    <n v="1"/>
    <s v="CUST-03094"/>
    <x v="1"/>
    <x v="6"/>
    <s v="DL"/>
    <x v="0"/>
    <s v="New Delhi"/>
    <x v="1"/>
    <s v="P301"/>
    <s v="Cotton Oversized T-Shirt"/>
    <x v="1"/>
    <n v="4"/>
    <n v="799"/>
    <n v="0"/>
    <n v="3196"/>
    <n v="0"/>
    <n v="3196"/>
    <n v="320"/>
    <n v="1280"/>
    <n v="60"/>
    <n v="1856"/>
    <n v="0.58072590738423024"/>
    <x v="0"/>
    <d v="2025-01-10T00:00:00"/>
    <n v="2"/>
    <x v="1"/>
    <n v="5"/>
    <n v="0"/>
  </r>
  <r>
    <s v="ORD-102174"/>
    <x v="370"/>
    <x v="1"/>
    <d v="2025-01-01T00:00:00"/>
    <n v="1"/>
    <s v="CUST-01362"/>
    <x v="0"/>
    <x v="11"/>
    <s v="KA"/>
    <x v="3"/>
    <s v="Bengaluru"/>
    <x v="0"/>
    <s v="P702"/>
    <s v="Whey Protein 1kg"/>
    <x v="0"/>
    <n v="2"/>
    <n v="2299"/>
    <n v="0.4"/>
    <n v="4598"/>
    <n v="1839.2"/>
    <n v="2758.8"/>
    <n v="1333"/>
    <n v="2666"/>
    <n v="60"/>
    <n v="32.800000000000182"/>
    <n v="1.188922720023205E-2"/>
    <x v="4"/>
    <d v="2025-01-10T00:00:00"/>
    <n v="2"/>
    <x v="1"/>
    <n v="4"/>
    <n v="0"/>
  </r>
  <r>
    <s v="ORD-102175"/>
    <x v="371"/>
    <x v="1"/>
    <d v="2025-01-01T00:00:00"/>
    <n v="1"/>
    <s v="CUST-02246"/>
    <x v="0"/>
    <x v="13"/>
    <s v="MP"/>
    <x v="1"/>
    <s v="Bhopal"/>
    <x v="2"/>
    <s v="P304"/>
    <s v="Denim Jacket"/>
    <x v="1"/>
    <n v="1"/>
    <n v="2499"/>
    <n v="0"/>
    <n v="2499"/>
    <n v="0"/>
    <n v="2499"/>
    <n v="1125"/>
    <n v="1125"/>
    <n v="60"/>
    <n v="1314"/>
    <n v="0.5258103241296519"/>
    <x v="4"/>
    <d v="2025-01-14T00:00:00"/>
    <n v="5"/>
    <x v="2"/>
    <n v="3"/>
    <n v="0"/>
  </r>
  <r>
    <s v="ORD-102176"/>
    <x v="371"/>
    <x v="1"/>
    <d v="2025-01-01T00:00:00"/>
    <n v="1"/>
    <s v="CUST-00774"/>
    <x v="0"/>
    <x v="7"/>
    <s v="JH"/>
    <x v="2"/>
    <s v="Ranchi"/>
    <x v="2"/>
    <s v="P502"/>
    <s v="Ceramic Dinner Set"/>
    <x v="4"/>
    <n v="1"/>
    <n v="2499"/>
    <n v="0.25"/>
    <n v="2499"/>
    <n v="624.75"/>
    <n v="1874.25"/>
    <n v="1250"/>
    <n v="1250"/>
    <n v="60"/>
    <n v="564.25"/>
    <n v="0.30105375483526742"/>
    <x v="0"/>
    <d v="2025-01-14T00:00:00"/>
    <n v="5"/>
    <x v="2"/>
    <n v="3"/>
    <n v="0"/>
  </r>
  <r>
    <s v="ORD-102177"/>
    <x v="371"/>
    <x v="1"/>
    <d v="2025-01-01T00:00:00"/>
    <n v="1"/>
    <s v="CUST-03143"/>
    <x v="0"/>
    <x v="11"/>
    <s v="KA"/>
    <x v="3"/>
    <s v="Mysuru"/>
    <x v="0"/>
    <s v="P404"/>
    <s v="Flip Flops"/>
    <x v="5"/>
    <n v="2"/>
    <n v="399"/>
    <n v="0.15"/>
    <n v="798"/>
    <n v="119.69999999999999"/>
    <n v="678.3"/>
    <n v="152"/>
    <n v="304"/>
    <n v="120"/>
    <n v="254.29999999999995"/>
    <n v="0.37490785787999409"/>
    <x v="3"/>
    <d v="2025-01-10T00:00:00"/>
    <n v="1"/>
    <x v="1"/>
    <n v="3"/>
    <n v="1"/>
  </r>
  <r>
    <s v="ORD-102178"/>
    <x v="371"/>
    <x v="1"/>
    <d v="2025-01-01T00:00:00"/>
    <n v="1"/>
    <s v="CUST-01155"/>
    <x v="0"/>
    <x v="8"/>
    <s v="AP"/>
    <x v="3"/>
    <s v="Visakhapatnam"/>
    <x v="3"/>
    <s v="P203"/>
    <s v="Keratin Hair Mask"/>
    <x v="6"/>
    <n v="1"/>
    <n v="549"/>
    <n v="0.15"/>
    <n v="549"/>
    <n v="82.35"/>
    <n v="466.65"/>
    <n v="170"/>
    <n v="170"/>
    <n v="60"/>
    <n v="236.64999999999998"/>
    <n v="0.50712525447337398"/>
    <x v="0"/>
    <d v="2025-01-11T00:00:00"/>
    <n v="2"/>
    <x v="1"/>
    <n v="4"/>
    <n v="0"/>
  </r>
  <r>
    <s v="ORD-102179"/>
    <x v="371"/>
    <x v="1"/>
    <d v="2025-01-01T00:00:00"/>
    <n v="1"/>
    <s v="CUST-00691"/>
    <x v="1"/>
    <x v="17"/>
    <s v="TN"/>
    <x v="3"/>
    <s v="Coimbatore"/>
    <x v="0"/>
    <s v="P101"/>
    <s v="Vitamin C Face Serum"/>
    <x v="3"/>
    <n v="1"/>
    <n v="599"/>
    <n v="0.25"/>
    <n v="599"/>
    <n v="149.75"/>
    <n v="449.25"/>
    <n v="180"/>
    <n v="180"/>
    <n v="60"/>
    <n v="209.25"/>
    <n v="0.46577629382303842"/>
    <x v="0"/>
    <d v="2025-01-14T00:00:00"/>
    <n v="5"/>
    <x v="2"/>
    <n v="3"/>
    <n v="0"/>
  </r>
  <r>
    <s v="ORD-102180"/>
    <x v="372"/>
    <x v="1"/>
    <d v="2025-01-01T00:00:00"/>
    <n v="1"/>
    <s v="CUST-00030"/>
    <x v="1"/>
    <x v="8"/>
    <s v="AP"/>
    <x v="3"/>
    <s v="Vijayawada"/>
    <x v="4"/>
    <s v="P202"/>
    <s v="Argan Shampoo"/>
    <x v="6"/>
    <n v="1"/>
    <n v="449"/>
    <n v="0.1"/>
    <n v="449"/>
    <n v="44.900000000000006"/>
    <n v="404.1"/>
    <n v="148"/>
    <n v="148"/>
    <n v="60"/>
    <n v="196.10000000000002"/>
    <n v="0.48527592180153428"/>
    <x v="3"/>
    <d v="2025-01-12T00:00:00"/>
    <n v="2"/>
    <x v="1"/>
    <m/>
    <n v="0"/>
  </r>
  <r>
    <s v="ORD-102181"/>
    <x v="372"/>
    <x v="1"/>
    <d v="2025-01-01T00:00:00"/>
    <n v="1"/>
    <s v="CUST-01430"/>
    <x v="0"/>
    <x v="17"/>
    <s v="TN"/>
    <x v="3"/>
    <s v="Chennai"/>
    <x v="3"/>
    <s v="P104"/>
    <s v="Hydrating Face Wash"/>
    <x v="3"/>
    <n v="3"/>
    <n v="299"/>
    <n v="0"/>
    <n v="897"/>
    <n v="0"/>
    <n v="897"/>
    <n v="90"/>
    <n v="270"/>
    <n v="60"/>
    <n v="567"/>
    <n v="0.63210702341137126"/>
    <x v="4"/>
    <d v="2025-01-12T00:00:00"/>
    <n v="2"/>
    <x v="1"/>
    <m/>
    <n v="0"/>
  </r>
  <r>
    <s v="ORD-102182"/>
    <x v="373"/>
    <x v="1"/>
    <d v="2025-01-01T00:00:00"/>
    <n v="1"/>
    <s v="CUST-00856"/>
    <x v="0"/>
    <x v="10"/>
    <s v="CG"/>
    <x v="2"/>
    <s v="Raipur"/>
    <x v="4"/>
    <s v="P604"/>
    <s v="Power Bank 20000mAh"/>
    <x v="2"/>
    <n v="2"/>
    <n v="1799"/>
    <n v="0.3"/>
    <n v="3598"/>
    <n v="1079.3999999999999"/>
    <n v="2518.6000000000004"/>
    <n v="1079"/>
    <n v="2158"/>
    <n v="60"/>
    <n v="300.60000000000036"/>
    <n v="0.11935202096402776"/>
    <x v="4"/>
    <d v="2025-01-17T00:00:00"/>
    <n v="6"/>
    <x v="2"/>
    <m/>
    <n v="0"/>
  </r>
  <r>
    <s v="ORD-102183"/>
    <x v="373"/>
    <x v="1"/>
    <d v="2025-01-01T00:00:00"/>
    <n v="1"/>
    <s v="CUST-02781"/>
    <x v="0"/>
    <x v="10"/>
    <s v="CG"/>
    <x v="2"/>
    <s v="Raipur"/>
    <x v="1"/>
    <s v="P404"/>
    <s v="Flip Flops"/>
    <x v="5"/>
    <n v="1"/>
    <n v="399"/>
    <n v="0.2"/>
    <n v="399"/>
    <n v="79.800000000000011"/>
    <n v="319.2"/>
    <n v="152"/>
    <n v="152"/>
    <n v="60"/>
    <n v="107.19999999999999"/>
    <n v="0.33583959899749372"/>
    <x v="3"/>
    <d v="2025-01-17T00:00:00"/>
    <n v="6"/>
    <x v="2"/>
    <n v="3"/>
    <n v="0"/>
  </r>
  <r>
    <s v="ORD-102184"/>
    <x v="373"/>
    <x v="1"/>
    <d v="2025-01-01T00:00:00"/>
    <n v="1"/>
    <s v="CUST-00244"/>
    <x v="0"/>
    <x v="2"/>
    <s v="MH"/>
    <x v="1"/>
    <s v="Mumbai"/>
    <x v="2"/>
    <s v="P203"/>
    <s v="Keratin Hair Mask"/>
    <x v="6"/>
    <n v="3"/>
    <n v="549"/>
    <n v="0.2"/>
    <n v="1647"/>
    <n v="329.40000000000003"/>
    <n v="1317.6"/>
    <n v="170"/>
    <n v="510"/>
    <n v="120"/>
    <n v="687.59999999999991"/>
    <n v="0.52185792349726767"/>
    <x v="3"/>
    <d v="2025-01-15T00:00:00"/>
    <n v="4"/>
    <x v="0"/>
    <m/>
    <n v="1"/>
  </r>
  <r>
    <s v="ORD-102185"/>
    <x v="373"/>
    <x v="1"/>
    <d v="2025-01-01T00:00:00"/>
    <n v="1"/>
    <s v="CUST-00085"/>
    <x v="1"/>
    <x v="3"/>
    <s v="OD"/>
    <x v="2"/>
    <s v="Bhubaneswar"/>
    <x v="3"/>
    <s v="P104"/>
    <s v="Hydrating Face Wash"/>
    <x v="3"/>
    <n v="1"/>
    <n v="299"/>
    <n v="0"/>
    <n v="299"/>
    <n v="0"/>
    <n v="299"/>
    <n v="90"/>
    <n v="90"/>
    <n v="60"/>
    <n v="149"/>
    <n v="0.49832775919732442"/>
    <x v="0"/>
    <d v="2025-01-17T00:00:00"/>
    <n v="6"/>
    <x v="2"/>
    <n v="2"/>
    <n v="0"/>
  </r>
  <r>
    <s v="ORD-102186"/>
    <x v="373"/>
    <x v="1"/>
    <d v="2025-01-01T00:00:00"/>
    <n v="1"/>
    <s v="CUST-03008"/>
    <x v="0"/>
    <x v="11"/>
    <s v="KA"/>
    <x v="3"/>
    <s v="Mysuru"/>
    <x v="4"/>
    <s v="P204"/>
    <s v="Anti-Dandruff Conditioner"/>
    <x v="6"/>
    <n v="2"/>
    <n v="399"/>
    <n v="0.35"/>
    <n v="798"/>
    <n v="279.29999999999995"/>
    <n v="518.70000000000005"/>
    <n v="136"/>
    <n v="272"/>
    <n v="60"/>
    <n v="186.70000000000005"/>
    <n v="0.35993830730672843"/>
    <x v="4"/>
    <d v="2025-01-15T00:00:00"/>
    <n v="4"/>
    <x v="0"/>
    <n v="5"/>
    <n v="0"/>
  </r>
  <r>
    <s v="ORD-102187"/>
    <x v="373"/>
    <x v="1"/>
    <d v="2025-01-01T00:00:00"/>
    <n v="1"/>
    <s v="CUST-00658"/>
    <x v="1"/>
    <x v="14"/>
    <s v="KL"/>
    <x v="3"/>
    <s v="Thiruvananthapuram"/>
    <x v="2"/>
    <s v="P502"/>
    <s v="Ceramic Dinner Set"/>
    <x v="4"/>
    <n v="1"/>
    <n v="2499"/>
    <n v="0.25"/>
    <n v="2499"/>
    <n v="624.75"/>
    <n v="1874.25"/>
    <n v="1250"/>
    <n v="1250"/>
    <n v="60"/>
    <n v="564.25"/>
    <n v="0.30105375483526742"/>
    <x v="3"/>
    <d v="2025-01-18T00:00:00"/>
    <n v="7"/>
    <x v="2"/>
    <n v="3"/>
    <n v="0"/>
  </r>
  <r>
    <s v="ORD-102188"/>
    <x v="373"/>
    <x v="1"/>
    <d v="2025-01-01T00:00:00"/>
    <n v="1"/>
    <s v="CUST-00892"/>
    <x v="1"/>
    <x v="17"/>
    <s v="TN"/>
    <x v="3"/>
    <s v="Coimbatore"/>
    <x v="4"/>
    <s v="P403"/>
    <s v="Kolhapuri Sandals"/>
    <x v="5"/>
    <n v="1"/>
    <n v="999"/>
    <n v="0"/>
    <n v="999"/>
    <n v="0"/>
    <n v="999"/>
    <n v="400"/>
    <n v="400"/>
    <n v="60"/>
    <n v="539"/>
    <n v="0.53953953953953959"/>
    <x v="4"/>
    <d v="2025-01-13T00:00:00"/>
    <n v="2"/>
    <x v="1"/>
    <n v="4"/>
    <n v="0"/>
  </r>
  <r>
    <s v="ORD-102189"/>
    <x v="373"/>
    <x v="1"/>
    <d v="2025-01-01T00:00:00"/>
    <n v="1"/>
    <s v="CUST-02098"/>
    <x v="0"/>
    <x v="17"/>
    <s v="TN"/>
    <x v="3"/>
    <s v="Chennai"/>
    <x v="4"/>
    <s v="P302"/>
    <s v="Linen Kurta"/>
    <x v="1"/>
    <n v="2"/>
    <n v="1499"/>
    <n v="0.4"/>
    <n v="2998"/>
    <n v="1199.2"/>
    <n v="1798.8"/>
    <n v="630"/>
    <n v="1260"/>
    <n v="60"/>
    <n v="478.79999999999995"/>
    <n v="0.26617745163442291"/>
    <x v="0"/>
    <d v="2025-01-14T00:00:00"/>
    <n v="3"/>
    <x v="0"/>
    <n v="4"/>
    <n v="0"/>
  </r>
  <r>
    <s v="ORD-102190"/>
    <x v="374"/>
    <x v="1"/>
    <d v="2025-01-01T00:00:00"/>
    <n v="1"/>
    <s v="CUST-00090"/>
    <x v="1"/>
    <x v="0"/>
    <s v="RJ"/>
    <x v="0"/>
    <s v="Jaipur"/>
    <x v="1"/>
    <s v="P402"/>
    <s v="Casual Sneakers"/>
    <x v="5"/>
    <n v="1"/>
    <n v="2199"/>
    <n v="0.15"/>
    <n v="2199"/>
    <n v="329.84999999999997"/>
    <n v="1869.15"/>
    <n v="1034"/>
    <n v="1034"/>
    <n v="60"/>
    <n v="775.15000000000009"/>
    <n v="0.41470721985929437"/>
    <x v="0"/>
    <d v="2025-01-15T00:00:00"/>
    <n v="3"/>
    <x v="0"/>
    <n v="5"/>
    <n v="0"/>
  </r>
  <r>
    <s v="ORD-102191"/>
    <x v="374"/>
    <x v="1"/>
    <d v="2025-01-01T00:00:00"/>
    <n v="1"/>
    <s v="CUST-01054"/>
    <x v="1"/>
    <x v="6"/>
    <s v="DL"/>
    <x v="0"/>
    <s v="New Delhi"/>
    <x v="2"/>
    <s v="P102"/>
    <s v="Sunscreen SPF 50"/>
    <x v="3"/>
    <n v="2"/>
    <n v="449"/>
    <n v="0"/>
    <n v="898"/>
    <n v="0"/>
    <n v="898"/>
    <n v="144"/>
    <n v="288"/>
    <n v="60"/>
    <n v="550"/>
    <n v="0.61247216035634744"/>
    <x v="2"/>
    <d v="2025-01-16T00:00:00"/>
    <n v="4"/>
    <x v="0"/>
    <m/>
    <n v="0"/>
  </r>
  <r>
    <s v="ORD-102192"/>
    <x v="375"/>
    <x v="1"/>
    <d v="2025-01-01T00:00:00"/>
    <n v="1"/>
    <s v="CUST-00967"/>
    <x v="0"/>
    <x v="16"/>
    <s v="UP"/>
    <x v="0"/>
    <s v="Noida"/>
    <x v="0"/>
    <s v="P701"/>
    <s v="Ashwagandha Capsules"/>
    <x v="0"/>
    <n v="1"/>
    <n v="499"/>
    <n v="0.1"/>
    <n v="499"/>
    <n v="49.900000000000006"/>
    <n v="449.1"/>
    <n v="150"/>
    <n v="150"/>
    <n v="60"/>
    <n v="239.10000000000002"/>
    <n v="0.53239812959251842"/>
    <x v="0"/>
    <d v="2025-01-18T00:00:00"/>
    <n v="5"/>
    <x v="2"/>
    <n v="4"/>
    <n v="0"/>
  </r>
  <r>
    <s v="ORD-102193"/>
    <x v="375"/>
    <x v="1"/>
    <d v="2025-01-01T00:00:00"/>
    <n v="1"/>
    <s v="CUST-00486"/>
    <x v="1"/>
    <x v="16"/>
    <s v="UP"/>
    <x v="0"/>
    <s v="Noida"/>
    <x v="0"/>
    <s v="P703"/>
    <s v="Green Tea (100 bags)"/>
    <x v="0"/>
    <n v="2"/>
    <n v="399"/>
    <n v="0.4"/>
    <n v="798"/>
    <n v="319.20000000000005"/>
    <n v="478.79999999999995"/>
    <n v="128"/>
    <n v="256"/>
    <n v="60"/>
    <n v="162.79999999999995"/>
    <n v="0.34001670843776099"/>
    <x v="0"/>
    <d v="2025-01-17T00:00:00"/>
    <n v="4"/>
    <x v="0"/>
    <m/>
    <n v="0"/>
  </r>
  <r>
    <s v="ORD-102194"/>
    <x v="375"/>
    <x v="1"/>
    <d v="2025-01-01T00:00:00"/>
    <n v="1"/>
    <s v="CUST-00299"/>
    <x v="1"/>
    <x v="16"/>
    <s v="UP"/>
    <x v="0"/>
    <s v="Lucknow"/>
    <x v="2"/>
    <s v="P603"/>
    <s v="Smartwatch Strap"/>
    <x v="2"/>
    <n v="3"/>
    <n v="499"/>
    <n v="0"/>
    <n v="1497"/>
    <n v="0"/>
    <n v="1497"/>
    <n v="200"/>
    <n v="600"/>
    <n v="120"/>
    <n v="777"/>
    <n v="0.51903807615230457"/>
    <x v="2"/>
    <d v="2025-01-16T00:00:00"/>
    <n v="3"/>
    <x v="0"/>
    <n v="4"/>
    <n v="1"/>
  </r>
  <r>
    <s v="ORD-102195"/>
    <x v="375"/>
    <x v="1"/>
    <d v="2025-01-01T00:00:00"/>
    <n v="1"/>
    <s v="CUST-01463"/>
    <x v="0"/>
    <x v="12"/>
    <s v="BR"/>
    <x v="2"/>
    <s v="Patna"/>
    <x v="0"/>
    <s v="P101"/>
    <s v="Vitamin C Face Serum"/>
    <x v="3"/>
    <n v="1"/>
    <n v="599"/>
    <n v="0.1"/>
    <n v="599"/>
    <n v="59.900000000000006"/>
    <n v="539.1"/>
    <n v="180"/>
    <n v="180"/>
    <n v="60"/>
    <n v="299.10000000000002"/>
    <n v="0.5548135781858653"/>
    <x v="4"/>
    <d v="2025-01-19T00:00:00"/>
    <n v="6"/>
    <x v="2"/>
    <n v="3"/>
    <n v="0"/>
  </r>
  <r>
    <s v="ORD-102196"/>
    <x v="375"/>
    <x v="1"/>
    <d v="2025-01-01T00:00:00"/>
    <n v="1"/>
    <s v="CUST-02414"/>
    <x v="1"/>
    <x v="18"/>
    <s v="WB"/>
    <x v="2"/>
    <s v="Kolkata"/>
    <x v="1"/>
    <s v="P305"/>
    <s v="Printed Saree"/>
    <x v="1"/>
    <n v="1"/>
    <n v="1999"/>
    <n v="0.1"/>
    <n v="1999"/>
    <n v="199.9"/>
    <n v="1799.1"/>
    <n v="880"/>
    <n v="880"/>
    <n v="60"/>
    <n v="859.09999999999991"/>
    <n v="0.47751653604580063"/>
    <x v="1"/>
    <d v="2025-01-15T00:00:00"/>
    <n v="2"/>
    <x v="1"/>
    <m/>
    <n v="0"/>
  </r>
  <r>
    <s v="ORD-102197"/>
    <x v="375"/>
    <x v="1"/>
    <d v="2025-01-01T00:00:00"/>
    <n v="1"/>
    <s v="CUST-00762"/>
    <x v="1"/>
    <x v="18"/>
    <s v="WB"/>
    <x v="2"/>
    <s v="Kolkata"/>
    <x v="2"/>
    <s v="P102"/>
    <s v="Sunscreen SPF 50"/>
    <x v="3"/>
    <n v="1"/>
    <n v="449"/>
    <n v="0"/>
    <n v="449"/>
    <n v="0"/>
    <n v="449"/>
    <n v="144"/>
    <n v="144"/>
    <n v="60"/>
    <n v="245"/>
    <n v="0.54565701559020041"/>
    <x v="0"/>
    <d v="2025-01-18T00:00:00"/>
    <n v="5"/>
    <x v="2"/>
    <n v="3"/>
    <n v="0"/>
  </r>
  <r>
    <s v="ORD-102198"/>
    <x v="375"/>
    <x v="1"/>
    <d v="2025-01-01T00:00:00"/>
    <n v="1"/>
    <s v="CUST-01328"/>
    <x v="0"/>
    <x v="11"/>
    <s v="KA"/>
    <x v="3"/>
    <s v="Mysuru"/>
    <x v="4"/>
    <s v="P704"/>
    <s v="Multivitamin Gummies"/>
    <x v="0"/>
    <n v="2"/>
    <n v="699"/>
    <n v="0.15"/>
    <n v="1398"/>
    <n v="209.7"/>
    <n v="1188.3"/>
    <n v="238"/>
    <n v="476"/>
    <n v="60"/>
    <n v="652.29999999999995"/>
    <n v="0.54893545400993016"/>
    <x v="0"/>
    <d v="2025-01-15T00:00:00"/>
    <n v="2"/>
    <x v="1"/>
    <n v="4"/>
    <n v="0"/>
  </r>
  <r>
    <s v="ORD-102199"/>
    <x v="376"/>
    <x v="1"/>
    <d v="2025-01-01T00:00:00"/>
    <n v="1"/>
    <s v="CUST-00450"/>
    <x v="1"/>
    <x v="18"/>
    <s v="WB"/>
    <x v="2"/>
    <s v="Kolkata"/>
    <x v="0"/>
    <s v="P201"/>
    <s v="Onion Hair Oil"/>
    <x v="6"/>
    <n v="2"/>
    <n v="349"/>
    <n v="0.4"/>
    <n v="698"/>
    <n v="279.2"/>
    <n v="418.8"/>
    <n v="105"/>
    <n v="210"/>
    <n v="60"/>
    <n v="148.80000000000001"/>
    <n v="0.35530085959885388"/>
    <x v="0"/>
    <d v="2025-01-19T00:00:00"/>
    <n v="5"/>
    <x v="2"/>
    <n v="3"/>
    <n v="0"/>
  </r>
  <r>
    <s v="ORD-102200"/>
    <x v="376"/>
    <x v="1"/>
    <d v="2025-01-01T00:00:00"/>
    <n v="1"/>
    <s v="CUST-02177"/>
    <x v="1"/>
    <x v="11"/>
    <s v="KA"/>
    <x v="3"/>
    <s v="Mysuru"/>
    <x v="4"/>
    <s v="P102"/>
    <s v="Sunscreen SPF 50"/>
    <x v="3"/>
    <n v="2"/>
    <n v="449"/>
    <n v="0.05"/>
    <n v="898"/>
    <n v="44.900000000000006"/>
    <n v="853.1"/>
    <n v="144"/>
    <n v="288"/>
    <n v="60"/>
    <n v="505.1"/>
    <n v="0.59207595826983939"/>
    <x v="3"/>
    <d v="2025-01-17T00:00:00"/>
    <n v="3"/>
    <x v="0"/>
    <n v="3"/>
    <n v="0"/>
  </r>
  <r>
    <s v="ORD-102201"/>
    <x v="376"/>
    <x v="1"/>
    <d v="2025-01-01T00:00:00"/>
    <n v="1"/>
    <s v="CUST-01604"/>
    <x v="1"/>
    <x v="8"/>
    <s v="AP"/>
    <x v="3"/>
    <s v="Vijayawada"/>
    <x v="3"/>
    <s v="P203"/>
    <s v="Keratin Hair Mask"/>
    <x v="6"/>
    <n v="1"/>
    <n v="549"/>
    <n v="0.15"/>
    <n v="549"/>
    <n v="82.35"/>
    <n v="466.65"/>
    <n v="170"/>
    <n v="170"/>
    <n v="60"/>
    <n v="236.64999999999998"/>
    <n v="0.50712525447337398"/>
    <x v="2"/>
    <d v="2025-01-18T00:00:00"/>
    <n v="4"/>
    <x v="0"/>
    <n v="4"/>
    <n v="0"/>
  </r>
  <r>
    <s v="ORD-102202"/>
    <x v="376"/>
    <x v="1"/>
    <d v="2025-01-01T00:00:00"/>
    <n v="1"/>
    <s v="CUST-00119"/>
    <x v="0"/>
    <x v="14"/>
    <s v="KL"/>
    <x v="3"/>
    <s v="Kochi"/>
    <x v="0"/>
    <s v="P105"/>
    <s v="Retinol Night Cream"/>
    <x v="3"/>
    <n v="2"/>
    <n v="799"/>
    <n v="0.05"/>
    <n v="1598"/>
    <n v="79.900000000000006"/>
    <n v="1518.1"/>
    <n v="216"/>
    <n v="432"/>
    <n v="60"/>
    <n v="1026.0999999999999"/>
    <n v="0.67591067782096037"/>
    <x v="0"/>
    <d v="2025-01-17T00:00:00"/>
    <n v="3"/>
    <x v="0"/>
    <m/>
    <n v="0"/>
  </r>
  <r>
    <s v="ORD-102203"/>
    <x v="377"/>
    <x v="1"/>
    <d v="2025-01-01T00:00:00"/>
    <n v="1"/>
    <s v="CUST-01146"/>
    <x v="1"/>
    <x v="4"/>
    <s v="JK"/>
    <x v="0"/>
    <s v="Srinagar"/>
    <x v="4"/>
    <s v="P603"/>
    <s v="Smartwatch Strap"/>
    <x v="2"/>
    <n v="3"/>
    <n v="499"/>
    <n v="0.2"/>
    <n v="1497"/>
    <n v="299.40000000000003"/>
    <n v="1197.5999999999999"/>
    <n v="200"/>
    <n v="600"/>
    <n v="60"/>
    <n v="537.59999999999991"/>
    <n v="0.44889779559118231"/>
    <x v="1"/>
    <d v="2025-01-21T00:00:00"/>
    <n v="6"/>
    <x v="2"/>
    <m/>
    <n v="0"/>
  </r>
  <r>
    <s v="ORD-102204"/>
    <x v="377"/>
    <x v="1"/>
    <d v="2025-01-01T00:00:00"/>
    <n v="1"/>
    <s v="CUST-02779"/>
    <x v="0"/>
    <x v="0"/>
    <s v="RJ"/>
    <x v="0"/>
    <s v="Udaipur"/>
    <x v="1"/>
    <s v="P401"/>
    <s v="Running Shoes"/>
    <x v="5"/>
    <n v="1"/>
    <n v="2999"/>
    <n v="0.15"/>
    <n v="2999"/>
    <n v="449.84999999999997"/>
    <n v="2549.15"/>
    <n v="1440"/>
    <n v="1440"/>
    <n v="60"/>
    <n v="1049.1500000000001"/>
    <n v="0.41156856206970954"/>
    <x v="1"/>
    <d v="2025-01-18T00:00:00"/>
    <n v="3"/>
    <x v="0"/>
    <n v="3"/>
    <n v="0"/>
  </r>
  <r>
    <s v="ORD-102205"/>
    <x v="377"/>
    <x v="1"/>
    <d v="2025-01-01T00:00:00"/>
    <n v="1"/>
    <s v="CUST-02742"/>
    <x v="0"/>
    <x v="2"/>
    <s v="MH"/>
    <x v="1"/>
    <s v="Pune"/>
    <x v="0"/>
    <s v="P603"/>
    <s v="Smartwatch Strap"/>
    <x v="2"/>
    <n v="1"/>
    <n v="499"/>
    <n v="0.15"/>
    <n v="499"/>
    <n v="74.849999999999994"/>
    <n v="424.15"/>
    <n v="200"/>
    <n v="200"/>
    <n v="60"/>
    <n v="164.14999999999998"/>
    <n v="0.38700931274313327"/>
    <x v="2"/>
    <d v="2025-01-17T00:00:00"/>
    <n v="2"/>
    <x v="1"/>
    <n v="5"/>
    <n v="0"/>
  </r>
  <r>
    <s v="ORD-102206"/>
    <x v="377"/>
    <x v="1"/>
    <d v="2025-01-01T00:00:00"/>
    <n v="1"/>
    <s v="CUST-00699"/>
    <x v="1"/>
    <x v="2"/>
    <s v="MH"/>
    <x v="1"/>
    <s v="Nagpur"/>
    <x v="4"/>
    <s v="P503"/>
    <s v="Scented Candle Set"/>
    <x v="4"/>
    <n v="4"/>
    <n v="699"/>
    <n v="0.2"/>
    <n v="2796"/>
    <n v="559.20000000000005"/>
    <n v="2236.8000000000002"/>
    <n v="245"/>
    <n v="980"/>
    <n v="60"/>
    <n v="1196.8000000000002"/>
    <n v="0.53505007153075823"/>
    <x v="4"/>
    <d v="2025-01-17T00:00:00"/>
    <n v="2"/>
    <x v="1"/>
    <n v="4"/>
    <n v="0"/>
  </r>
  <r>
    <s v="ORD-102207"/>
    <x v="377"/>
    <x v="1"/>
    <d v="2025-01-01T00:00:00"/>
    <n v="1"/>
    <s v="CUST-00099"/>
    <x v="1"/>
    <x v="14"/>
    <s v="KL"/>
    <x v="3"/>
    <s v="Kochi"/>
    <x v="1"/>
    <s v="P303"/>
    <s v="Joggers"/>
    <x v="1"/>
    <n v="4"/>
    <n v="1199"/>
    <n v="0.05"/>
    <n v="4796"/>
    <n v="239.8"/>
    <n v="4556.2"/>
    <n v="492"/>
    <n v="1968"/>
    <n v="60"/>
    <n v="2528.1999999999998"/>
    <n v="0.55489223475703431"/>
    <x v="0"/>
    <d v="2025-01-18T00:00:00"/>
    <n v="3"/>
    <x v="0"/>
    <n v="4"/>
    <n v="0"/>
  </r>
  <r>
    <s v="ORD-102208"/>
    <x v="377"/>
    <x v="1"/>
    <d v="2025-01-01T00:00:00"/>
    <n v="1"/>
    <s v="CUST-00237"/>
    <x v="1"/>
    <x v="17"/>
    <s v="TN"/>
    <x v="3"/>
    <s v="Chennai"/>
    <x v="1"/>
    <s v="P302"/>
    <s v="Linen Kurta"/>
    <x v="1"/>
    <n v="3"/>
    <n v="1499"/>
    <n v="0.3"/>
    <n v="4497"/>
    <n v="1349.1"/>
    <n v="3147.9"/>
    <n v="630"/>
    <n v="1890"/>
    <n v="60"/>
    <n v="1197.9000000000001"/>
    <n v="0.38053940722386354"/>
    <x v="4"/>
    <d v="2025-01-17T00:00:00"/>
    <n v="2"/>
    <x v="1"/>
    <n v="4"/>
    <n v="0"/>
  </r>
  <r>
    <s v="ORD-102209"/>
    <x v="378"/>
    <x v="1"/>
    <d v="2025-01-01T00:00:00"/>
    <n v="1"/>
    <s v="CUST-02248"/>
    <x v="0"/>
    <x v="12"/>
    <s v="BR"/>
    <x v="2"/>
    <s v="Patna"/>
    <x v="1"/>
    <s v="P303"/>
    <s v="Joggers"/>
    <x v="1"/>
    <n v="1"/>
    <n v="1199"/>
    <n v="0.1"/>
    <n v="1199"/>
    <n v="119.9"/>
    <n v="1079.0999999999999"/>
    <n v="492"/>
    <n v="492"/>
    <n v="60"/>
    <n v="527.09999999999991"/>
    <n v="0.48846260772866273"/>
    <x v="3"/>
    <d v="2025-01-23T00:00:00"/>
    <n v="7"/>
    <x v="2"/>
    <n v="2"/>
    <n v="0"/>
  </r>
  <r>
    <s v="ORD-102210"/>
    <x v="378"/>
    <x v="1"/>
    <d v="2025-01-01T00:00:00"/>
    <n v="1"/>
    <s v="CUST-01344"/>
    <x v="0"/>
    <x v="18"/>
    <s v="WB"/>
    <x v="2"/>
    <s v="Kolkata"/>
    <x v="3"/>
    <s v="P105"/>
    <s v="Retinol Night Cream"/>
    <x v="3"/>
    <n v="1"/>
    <n v="799"/>
    <n v="0.1"/>
    <n v="799"/>
    <n v="79.900000000000006"/>
    <n v="719.1"/>
    <n v="216"/>
    <n v="216"/>
    <n v="60"/>
    <n v="443.1"/>
    <n v="0.61618690029203171"/>
    <x v="3"/>
    <d v="2025-01-18T00:00:00"/>
    <n v="2"/>
    <x v="1"/>
    <n v="4"/>
    <n v="0"/>
  </r>
  <r>
    <s v="ORD-102211"/>
    <x v="378"/>
    <x v="1"/>
    <d v="2025-01-01T00:00:00"/>
    <n v="1"/>
    <s v="CUST-00740"/>
    <x v="0"/>
    <x v="11"/>
    <s v="KA"/>
    <x v="3"/>
    <s v="Bengaluru"/>
    <x v="0"/>
    <s v="P503"/>
    <s v="Scented Candle Set"/>
    <x v="4"/>
    <n v="1"/>
    <n v="699"/>
    <n v="0.2"/>
    <n v="699"/>
    <n v="139.80000000000001"/>
    <n v="559.20000000000005"/>
    <n v="245"/>
    <n v="245"/>
    <n v="60"/>
    <n v="254.20000000000005"/>
    <n v="0.45457796852646642"/>
    <x v="0"/>
    <d v="2025-01-17T00:00:00"/>
    <n v="1"/>
    <x v="1"/>
    <n v="5"/>
    <n v="0"/>
  </r>
  <r>
    <s v="ORD-102212"/>
    <x v="379"/>
    <x v="1"/>
    <d v="2025-01-01T00:00:00"/>
    <n v="1"/>
    <s v="CUST-01933"/>
    <x v="0"/>
    <x v="0"/>
    <s v="RJ"/>
    <x v="0"/>
    <s v="Jaipur"/>
    <x v="0"/>
    <s v="P301"/>
    <s v="Cotton Oversized T-Shirt"/>
    <x v="1"/>
    <n v="2"/>
    <n v="799"/>
    <n v="0.05"/>
    <n v="1598"/>
    <n v="79.900000000000006"/>
    <n v="1518.1"/>
    <n v="320"/>
    <n v="640"/>
    <n v="60"/>
    <n v="818.09999999999991"/>
    <n v="0.5388973058428298"/>
    <x v="3"/>
    <d v="2025-01-19T00:00:00"/>
    <n v="2"/>
    <x v="1"/>
    <n v="4"/>
    <n v="0"/>
  </r>
  <r>
    <s v="ORD-102213"/>
    <x v="379"/>
    <x v="1"/>
    <d v="2025-01-01T00:00:00"/>
    <n v="1"/>
    <s v="CUST-00803"/>
    <x v="1"/>
    <x v="0"/>
    <s v="RJ"/>
    <x v="0"/>
    <s v="Jaipur"/>
    <x v="2"/>
    <s v="P102"/>
    <s v="Sunscreen SPF 50"/>
    <x v="3"/>
    <n v="3"/>
    <n v="449"/>
    <n v="0.05"/>
    <n v="1347"/>
    <n v="67.350000000000009"/>
    <n v="1279.6500000000001"/>
    <n v="144"/>
    <n v="432"/>
    <n v="60"/>
    <n v="787.65000000000009"/>
    <n v="0.61551986871410158"/>
    <x v="0"/>
    <d v="2025-01-21T00:00:00"/>
    <n v="4"/>
    <x v="0"/>
    <n v="3"/>
    <n v="0"/>
  </r>
  <r>
    <s v="ORD-102214"/>
    <x v="379"/>
    <x v="1"/>
    <d v="2025-01-01T00:00:00"/>
    <n v="1"/>
    <s v="CUST-00689"/>
    <x v="1"/>
    <x v="6"/>
    <s v="DL"/>
    <x v="0"/>
    <s v="New Delhi"/>
    <x v="4"/>
    <s v="P703"/>
    <s v="Green Tea (100 bags)"/>
    <x v="0"/>
    <n v="4"/>
    <n v="399"/>
    <n v="0.4"/>
    <n v="1596"/>
    <n v="638.40000000000009"/>
    <n v="957.59999999999991"/>
    <n v="128"/>
    <n v="512"/>
    <n v="60"/>
    <n v="385.59999999999991"/>
    <n v="0.40267335004177102"/>
    <x v="4"/>
    <d v="2025-01-19T00:00:00"/>
    <n v="2"/>
    <x v="1"/>
    <n v="4"/>
    <n v="0"/>
  </r>
  <r>
    <s v="ORD-102215"/>
    <x v="379"/>
    <x v="1"/>
    <d v="2025-01-01T00:00:00"/>
    <n v="1"/>
    <s v="CUST-01165"/>
    <x v="0"/>
    <x v="6"/>
    <s v="DL"/>
    <x v="0"/>
    <s v="New Delhi"/>
    <x v="4"/>
    <s v="P102"/>
    <s v="Sunscreen SPF 50"/>
    <x v="3"/>
    <n v="1"/>
    <n v="449"/>
    <n v="0.15"/>
    <n v="449"/>
    <n v="67.349999999999994"/>
    <n v="381.65"/>
    <n v="144"/>
    <n v="144"/>
    <n v="60"/>
    <n v="177.64999999999998"/>
    <n v="0.465478841870824"/>
    <x v="2"/>
    <d v="2025-01-19T00:00:00"/>
    <n v="2"/>
    <x v="1"/>
    <m/>
    <n v="0"/>
  </r>
  <r>
    <s v="ORD-102216"/>
    <x v="379"/>
    <x v="1"/>
    <d v="2025-01-01T00:00:00"/>
    <n v="1"/>
    <s v="CUST-00578"/>
    <x v="0"/>
    <x v="16"/>
    <s v="UP"/>
    <x v="0"/>
    <s v="Noida"/>
    <x v="3"/>
    <s v="P102"/>
    <s v="Sunscreen SPF 50"/>
    <x v="3"/>
    <n v="1"/>
    <n v="449"/>
    <n v="0"/>
    <n v="449"/>
    <n v="0"/>
    <n v="449"/>
    <n v="144"/>
    <n v="144"/>
    <n v="60"/>
    <n v="245"/>
    <n v="0.54565701559020041"/>
    <x v="3"/>
    <d v="2025-01-20T00:00:00"/>
    <n v="3"/>
    <x v="0"/>
    <n v="3"/>
    <n v="0"/>
  </r>
  <r>
    <s v="ORD-102217"/>
    <x v="379"/>
    <x v="1"/>
    <d v="2025-01-01T00:00:00"/>
    <n v="1"/>
    <s v="CUST-00698"/>
    <x v="1"/>
    <x v="1"/>
    <s v="GJ"/>
    <x v="1"/>
    <s v="Surat"/>
    <x v="2"/>
    <s v="P701"/>
    <s v="Ashwagandha Capsules"/>
    <x v="0"/>
    <n v="2"/>
    <n v="499"/>
    <n v="0"/>
    <n v="998"/>
    <n v="0"/>
    <n v="998"/>
    <n v="150"/>
    <n v="300"/>
    <n v="60"/>
    <n v="638"/>
    <n v="0.63927855711422843"/>
    <x v="0"/>
    <d v="2025-01-22T00:00:00"/>
    <n v="5"/>
    <x v="2"/>
    <m/>
    <n v="0"/>
  </r>
  <r>
    <s v="ORD-102218"/>
    <x v="379"/>
    <x v="1"/>
    <d v="2025-01-01T00:00:00"/>
    <n v="1"/>
    <s v="CUST-00836"/>
    <x v="1"/>
    <x v="7"/>
    <s v="JH"/>
    <x v="2"/>
    <s v="Ranchi"/>
    <x v="4"/>
    <s v="P204"/>
    <s v="Anti-Dandruff Conditioner"/>
    <x v="6"/>
    <n v="2"/>
    <n v="399"/>
    <n v="0.35"/>
    <n v="798"/>
    <n v="279.29999999999995"/>
    <n v="518.70000000000005"/>
    <n v="136"/>
    <n v="272"/>
    <n v="60"/>
    <n v="186.70000000000005"/>
    <n v="0.35993830730672843"/>
    <x v="4"/>
    <d v="2025-01-22T00:00:00"/>
    <n v="5"/>
    <x v="2"/>
    <m/>
    <n v="0"/>
  </r>
  <r>
    <s v="ORD-102219"/>
    <x v="379"/>
    <x v="1"/>
    <d v="2025-01-01T00:00:00"/>
    <n v="1"/>
    <s v="CUST-02363"/>
    <x v="0"/>
    <x v="2"/>
    <s v="MH"/>
    <x v="1"/>
    <s v="Nagpur"/>
    <x v="4"/>
    <s v="P202"/>
    <s v="Argan Shampoo"/>
    <x v="6"/>
    <n v="1"/>
    <n v="449"/>
    <n v="0.15"/>
    <n v="449"/>
    <n v="67.349999999999994"/>
    <n v="381.65"/>
    <n v="148"/>
    <n v="148"/>
    <n v="60"/>
    <n v="173.64999999999998"/>
    <n v="0.45499803484868334"/>
    <x v="0"/>
    <d v="2025-01-18T00:00:00"/>
    <n v="1"/>
    <x v="1"/>
    <n v="5"/>
    <n v="0"/>
  </r>
  <r>
    <s v="ORD-102220"/>
    <x v="379"/>
    <x v="1"/>
    <d v="2025-01-01T00:00:00"/>
    <n v="1"/>
    <s v="CUST-00183"/>
    <x v="0"/>
    <x v="14"/>
    <s v="KL"/>
    <x v="3"/>
    <s v="Kochi"/>
    <x v="1"/>
    <s v="P305"/>
    <s v="Printed Saree"/>
    <x v="1"/>
    <n v="1"/>
    <n v="1999"/>
    <n v="0.15"/>
    <n v="1999"/>
    <n v="299.84999999999997"/>
    <n v="1699.15"/>
    <n v="880"/>
    <n v="880"/>
    <n v="120"/>
    <n v="699.15000000000009"/>
    <n v="0.41147044110290443"/>
    <x v="4"/>
    <d v="2025-01-19T00:00:00"/>
    <n v="2"/>
    <x v="1"/>
    <n v="5"/>
    <n v="1"/>
  </r>
  <r>
    <s v="ORD-102221"/>
    <x v="380"/>
    <x v="1"/>
    <d v="2025-01-01T00:00:00"/>
    <n v="1"/>
    <s v="CUST-00937"/>
    <x v="1"/>
    <x v="4"/>
    <s v="JK"/>
    <x v="0"/>
    <s v="Srinagar"/>
    <x v="0"/>
    <s v="P503"/>
    <s v="Scented Candle Set"/>
    <x v="4"/>
    <n v="1"/>
    <n v="699"/>
    <n v="0.25"/>
    <n v="699"/>
    <n v="174.75"/>
    <n v="524.25"/>
    <n v="245"/>
    <n v="245"/>
    <n v="60"/>
    <n v="219.25"/>
    <n v="0.41821649976156416"/>
    <x v="3"/>
    <d v="2025-01-25T00:00:00"/>
    <n v="7"/>
    <x v="2"/>
    <n v="2"/>
    <n v="0"/>
  </r>
  <r>
    <s v="ORD-102222"/>
    <x v="380"/>
    <x v="1"/>
    <d v="2025-01-01T00:00:00"/>
    <n v="1"/>
    <s v="CUST-01557"/>
    <x v="1"/>
    <x v="9"/>
    <s v="UK"/>
    <x v="0"/>
    <s v="Dehradun"/>
    <x v="4"/>
    <s v="P303"/>
    <s v="Joggers"/>
    <x v="1"/>
    <n v="1"/>
    <n v="1199"/>
    <n v="0.2"/>
    <n v="1199"/>
    <n v="239.8"/>
    <n v="959.2"/>
    <n v="492"/>
    <n v="492"/>
    <n v="60"/>
    <n v="407.20000000000005"/>
    <n v="0.42452043369474562"/>
    <x v="1"/>
    <d v="2025-01-20T00:00:00"/>
    <n v="2"/>
    <x v="1"/>
    <n v="4"/>
    <n v="0"/>
  </r>
  <r>
    <s v="ORD-102223"/>
    <x v="380"/>
    <x v="1"/>
    <d v="2025-01-01T00:00:00"/>
    <n v="1"/>
    <s v="CUST-00484"/>
    <x v="0"/>
    <x v="15"/>
    <s v="HR"/>
    <x v="0"/>
    <s v="Gurugram"/>
    <x v="4"/>
    <s v="P203"/>
    <s v="Keratin Hair Mask"/>
    <x v="6"/>
    <n v="3"/>
    <n v="549"/>
    <n v="0.15"/>
    <n v="1647"/>
    <n v="247.04999999999998"/>
    <n v="1399.95"/>
    <n v="170"/>
    <n v="510"/>
    <n v="60"/>
    <n v="829.95"/>
    <n v="0.59284260152148294"/>
    <x v="1"/>
    <d v="2025-01-19T00:00:00"/>
    <n v="1"/>
    <x v="1"/>
    <m/>
    <n v="0"/>
  </r>
  <r>
    <s v="ORD-102224"/>
    <x v="380"/>
    <x v="1"/>
    <d v="2025-01-01T00:00:00"/>
    <n v="1"/>
    <s v="CUST-00832"/>
    <x v="1"/>
    <x v="13"/>
    <s v="MP"/>
    <x v="1"/>
    <s v="Indore"/>
    <x v="3"/>
    <s v="P202"/>
    <s v="Argan Shampoo"/>
    <x v="6"/>
    <n v="1"/>
    <n v="449"/>
    <n v="0.15"/>
    <n v="449"/>
    <n v="67.349999999999994"/>
    <n v="381.65"/>
    <n v="148"/>
    <n v="148"/>
    <n v="60"/>
    <n v="173.64999999999998"/>
    <n v="0.45499803484868334"/>
    <x v="1"/>
    <d v="2025-01-21T00:00:00"/>
    <n v="3"/>
    <x v="0"/>
    <n v="4"/>
    <n v="0"/>
  </r>
  <r>
    <s v="ORD-102225"/>
    <x v="380"/>
    <x v="1"/>
    <d v="2025-01-01T00:00:00"/>
    <n v="1"/>
    <s v="CUST-00629"/>
    <x v="0"/>
    <x v="7"/>
    <s v="JH"/>
    <x v="2"/>
    <s v="Ranchi"/>
    <x v="3"/>
    <s v="P103"/>
    <s v="Niacinamide Toner"/>
    <x v="3"/>
    <n v="1"/>
    <n v="399"/>
    <n v="0.2"/>
    <n v="399"/>
    <n v="79.800000000000011"/>
    <n v="319.2"/>
    <n v="112"/>
    <n v="112"/>
    <n v="60"/>
    <n v="147.19999999999999"/>
    <n v="0.46115288220551376"/>
    <x v="3"/>
    <d v="2025-01-22T00:00:00"/>
    <n v="4"/>
    <x v="0"/>
    <m/>
    <n v="0"/>
  </r>
  <r>
    <s v="ORD-102226"/>
    <x v="380"/>
    <x v="1"/>
    <d v="2025-01-01T00:00:00"/>
    <n v="1"/>
    <s v="CUST-02558"/>
    <x v="1"/>
    <x v="11"/>
    <s v="KA"/>
    <x v="3"/>
    <s v="Bengaluru"/>
    <x v="3"/>
    <s v="P703"/>
    <s v="Green Tea (100 bags)"/>
    <x v="0"/>
    <n v="1"/>
    <n v="399"/>
    <n v="0.35"/>
    <n v="399"/>
    <n v="139.64999999999998"/>
    <n v="259.35000000000002"/>
    <n v="128"/>
    <n v="128"/>
    <n v="60"/>
    <n v="71.350000000000023"/>
    <n v="0.27511085405822255"/>
    <x v="0"/>
    <d v="2025-01-21T00:00:00"/>
    <n v="3"/>
    <x v="0"/>
    <n v="4"/>
    <n v="0"/>
  </r>
  <r>
    <s v="ORD-102227"/>
    <x v="380"/>
    <x v="1"/>
    <d v="2025-01-01T00:00:00"/>
    <n v="1"/>
    <s v="CUST-01715"/>
    <x v="0"/>
    <x v="8"/>
    <s v="AP"/>
    <x v="3"/>
    <s v="Vijayawada"/>
    <x v="1"/>
    <s v="P403"/>
    <s v="Kolhapuri Sandals"/>
    <x v="5"/>
    <n v="1"/>
    <n v="999"/>
    <n v="0"/>
    <n v="999"/>
    <n v="0"/>
    <n v="999"/>
    <n v="400"/>
    <n v="400"/>
    <n v="60"/>
    <n v="539"/>
    <n v="0.53953953953953959"/>
    <x v="0"/>
    <d v="2025-01-21T00:00:00"/>
    <n v="3"/>
    <x v="0"/>
    <m/>
    <n v="0"/>
  </r>
  <r>
    <s v="ORD-102228"/>
    <x v="380"/>
    <x v="1"/>
    <d v="2025-01-01T00:00:00"/>
    <n v="1"/>
    <s v="CUST-00983"/>
    <x v="0"/>
    <x v="17"/>
    <s v="TN"/>
    <x v="3"/>
    <s v="Chennai"/>
    <x v="0"/>
    <s v="P102"/>
    <s v="Sunscreen SPF 50"/>
    <x v="3"/>
    <n v="1"/>
    <n v="449"/>
    <n v="0.05"/>
    <n v="449"/>
    <n v="22.450000000000003"/>
    <n v="426.55"/>
    <n v="144"/>
    <n v="144"/>
    <n v="60"/>
    <n v="222.55"/>
    <n v="0.52174422693705313"/>
    <x v="4"/>
    <d v="2025-01-21T00:00:00"/>
    <n v="3"/>
    <x v="0"/>
    <n v="5"/>
    <n v="0"/>
  </r>
  <r>
    <s v="ORD-102229"/>
    <x v="380"/>
    <x v="1"/>
    <d v="2025-01-01T00:00:00"/>
    <n v="1"/>
    <s v="CUST-01352"/>
    <x v="0"/>
    <x v="17"/>
    <s v="TN"/>
    <x v="3"/>
    <s v="Chennai"/>
    <x v="3"/>
    <s v="P101"/>
    <s v="Vitamin C Face Serum"/>
    <x v="3"/>
    <n v="1"/>
    <n v="599"/>
    <n v="0.2"/>
    <n v="599"/>
    <n v="119.80000000000001"/>
    <n v="479.2"/>
    <n v="180"/>
    <n v="180"/>
    <n v="60"/>
    <n v="239.2"/>
    <n v="0.4991652754590985"/>
    <x v="2"/>
    <d v="2025-01-19T00:00:00"/>
    <n v="1"/>
    <x v="1"/>
    <n v="4"/>
    <n v="0"/>
  </r>
  <r>
    <s v="ORD-102230"/>
    <x v="381"/>
    <x v="1"/>
    <d v="2025-01-01T00:00:00"/>
    <n v="1"/>
    <s v="CUST-00340"/>
    <x v="0"/>
    <x v="19"/>
    <s v="PB"/>
    <x v="0"/>
    <s v="Ludhiana"/>
    <x v="0"/>
    <s v="P603"/>
    <s v="Smartwatch Strap"/>
    <x v="2"/>
    <n v="1"/>
    <n v="499"/>
    <n v="0.1"/>
    <n v="499"/>
    <n v="49.900000000000006"/>
    <n v="449.1"/>
    <n v="200"/>
    <n v="200"/>
    <n v="60"/>
    <n v="189.10000000000002"/>
    <n v="0.42106435092407041"/>
    <x v="0"/>
    <d v="2025-01-23T00:00:00"/>
    <n v="4"/>
    <x v="0"/>
    <m/>
    <n v="0"/>
  </r>
  <r>
    <s v="ORD-102231"/>
    <x v="381"/>
    <x v="1"/>
    <d v="2025-01-01T00:00:00"/>
    <n v="1"/>
    <s v="CUST-00001"/>
    <x v="1"/>
    <x v="16"/>
    <s v="UP"/>
    <x v="0"/>
    <s v="Lucknow"/>
    <x v="2"/>
    <s v="P604"/>
    <s v="Power Bank 20000mAh"/>
    <x v="2"/>
    <n v="2"/>
    <n v="1799"/>
    <n v="0.4"/>
    <n v="3598"/>
    <n v="1439.2"/>
    <n v="2158.8000000000002"/>
    <n v="1079"/>
    <n v="2158"/>
    <n v="60"/>
    <n v="-59.199999999999818"/>
    <n v="-2.742264220863434E-2"/>
    <x v="0"/>
    <d v="2025-01-23T00:00:00"/>
    <n v="4"/>
    <x v="0"/>
    <m/>
    <n v="0"/>
  </r>
  <r>
    <s v="ORD-102232"/>
    <x v="381"/>
    <x v="1"/>
    <d v="2025-01-01T00:00:00"/>
    <n v="1"/>
    <s v="CUST-01899"/>
    <x v="1"/>
    <x v="1"/>
    <s v="GJ"/>
    <x v="1"/>
    <s v="Surat"/>
    <x v="4"/>
    <s v="P504"/>
    <s v="Cotton Bedsheet"/>
    <x v="4"/>
    <n v="1"/>
    <n v="1299"/>
    <n v="0"/>
    <n v="1299"/>
    <n v="0"/>
    <n v="1299"/>
    <n v="585"/>
    <n v="585"/>
    <n v="60"/>
    <n v="654"/>
    <n v="0.50346420323325636"/>
    <x v="0"/>
    <d v="2025-01-22T00:00:00"/>
    <n v="3"/>
    <x v="0"/>
    <n v="4"/>
    <n v="0"/>
  </r>
  <r>
    <s v="ORD-102233"/>
    <x v="381"/>
    <x v="1"/>
    <d v="2025-01-01T00:00:00"/>
    <n v="1"/>
    <s v="CUST-02833"/>
    <x v="1"/>
    <x v="13"/>
    <s v="MP"/>
    <x v="1"/>
    <s v="Bhopal"/>
    <x v="3"/>
    <s v="P203"/>
    <s v="Keratin Hair Mask"/>
    <x v="6"/>
    <n v="1"/>
    <n v="549"/>
    <n v="0.15"/>
    <n v="549"/>
    <n v="82.35"/>
    <n v="466.65"/>
    <n v="170"/>
    <n v="170"/>
    <n v="60"/>
    <n v="236.64999999999998"/>
    <n v="0.50712525447337398"/>
    <x v="0"/>
    <d v="2025-01-22T00:00:00"/>
    <n v="3"/>
    <x v="0"/>
    <n v="4"/>
    <n v="0"/>
  </r>
  <r>
    <s v="ORD-102234"/>
    <x v="381"/>
    <x v="1"/>
    <d v="2025-01-01T00:00:00"/>
    <n v="1"/>
    <s v="CUST-00662"/>
    <x v="1"/>
    <x v="11"/>
    <s v="KA"/>
    <x v="3"/>
    <s v="Mysuru"/>
    <x v="0"/>
    <s v="P201"/>
    <s v="Onion Hair Oil"/>
    <x v="6"/>
    <n v="2"/>
    <n v="349"/>
    <n v="0.3"/>
    <n v="698"/>
    <n v="209.4"/>
    <n v="488.6"/>
    <n v="105"/>
    <n v="210"/>
    <n v="60"/>
    <n v="218.60000000000002"/>
    <n v="0.44740073679901765"/>
    <x v="0"/>
    <d v="2025-01-20T00:00:00"/>
    <n v="1"/>
    <x v="1"/>
    <n v="4"/>
    <n v="0"/>
  </r>
  <r>
    <s v="ORD-102235"/>
    <x v="381"/>
    <x v="1"/>
    <d v="2025-01-01T00:00:00"/>
    <n v="1"/>
    <s v="CUST-00039"/>
    <x v="0"/>
    <x v="11"/>
    <s v="KA"/>
    <x v="3"/>
    <s v="Mysuru"/>
    <x v="2"/>
    <s v="P603"/>
    <s v="Smartwatch Strap"/>
    <x v="2"/>
    <n v="1"/>
    <n v="499"/>
    <n v="0.15"/>
    <n v="499"/>
    <n v="74.849999999999994"/>
    <n v="424.15"/>
    <n v="200"/>
    <n v="200"/>
    <n v="60"/>
    <n v="164.14999999999998"/>
    <n v="0.38700931274313327"/>
    <x v="0"/>
    <d v="2025-01-21T00:00:00"/>
    <n v="2"/>
    <x v="1"/>
    <m/>
    <n v="0"/>
  </r>
  <r>
    <s v="ORD-102236"/>
    <x v="381"/>
    <x v="1"/>
    <d v="2025-01-01T00:00:00"/>
    <n v="1"/>
    <s v="CUST-00524"/>
    <x v="1"/>
    <x v="17"/>
    <s v="TN"/>
    <x v="3"/>
    <s v="Coimbatore"/>
    <x v="3"/>
    <s v="P703"/>
    <s v="Green Tea (100 bags)"/>
    <x v="0"/>
    <n v="2"/>
    <n v="399"/>
    <n v="0.3"/>
    <n v="798"/>
    <n v="239.39999999999998"/>
    <n v="558.6"/>
    <n v="128"/>
    <n v="256"/>
    <n v="60"/>
    <n v="242.60000000000002"/>
    <n v="0.43430003580379523"/>
    <x v="3"/>
    <d v="2025-01-21T00:00:00"/>
    <n v="2"/>
    <x v="1"/>
    <n v="4"/>
    <n v="0"/>
  </r>
  <r>
    <s v="ORD-102237"/>
    <x v="382"/>
    <x v="1"/>
    <d v="2025-01-01T00:00:00"/>
    <n v="1"/>
    <s v="CUST-00697"/>
    <x v="1"/>
    <x v="0"/>
    <s v="RJ"/>
    <x v="0"/>
    <s v="Jaipur"/>
    <x v="4"/>
    <s v="P404"/>
    <s v="Flip Flops"/>
    <x v="5"/>
    <n v="1"/>
    <n v="399"/>
    <n v="0.1"/>
    <n v="399"/>
    <n v="39.900000000000006"/>
    <n v="359.1"/>
    <n v="152"/>
    <n v="152"/>
    <n v="60"/>
    <n v="147.10000000000002"/>
    <n v="0.40963519910888335"/>
    <x v="3"/>
    <d v="2025-01-24T00:00:00"/>
    <n v="4"/>
    <x v="0"/>
    <n v="3"/>
    <n v="0"/>
  </r>
  <r>
    <s v="ORD-102238"/>
    <x v="382"/>
    <x v="1"/>
    <d v="2025-01-01T00:00:00"/>
    <n v="1"/>
    <s v="CUST-01145"/>
    <x v="1"/>
    <x v="6"/>
    <s v="DL"/>
    <x v="0"/>
    <s v="New Delhi"/>
    <x v="4"/>
    <s v="P105"/>
    <s v="Retinol Night Cream"/>
    <x v="3"/>
    <n v="1"/>
    <n v="799"/>
    <n v="0.05"/>
    <n v="799"/>
    <n v="39.950000000000003"/>
    <n v="759.05"/>
    <n v="216"/>
    <n v="216"/>
    <n v="60"/>
    <n v="483.04999999999995"/>
    <n v="0.63638758975034582"/>
    <x v="3"/>
    <d v="2025-01-21T00:00:00"/>
    <n v="1"/>
    <x v="1"/>
    <m/>
    <n v="0"/>
  </r>
  <r>
    <s v="ORD-102239"/>
    <x v="382"/>
    <x v="1"/>
    <d v="2025-01-01T00:00:00"/>
    <n v="1"/>
    <s v="CUST-02458"/>
    <x v="0"/>
    <x v="6"/>
    <s v="DL"/>
    <x v="0"/>
    <s v="New Delhi"/>
    <x v="2"/>
    <s v="P704"/>
    <s v="Multivitamin Gummies"/>
    <x v="0"/>
    <n v="1"/>
    <n v="699"/>
    <n v="0.1"/>
    <n v="699"/>
    <n v="69.900000000000006"/>
    <n v="629.1"/>
    <n v="238"/>
    <n v="238"/>
    <n v="60"/>
    <n v="331.1"/>
    <n v="0.52630742330313152"/>
    <x v="4"/>
    <d v="2025-01-22T00:00:00"/>
    <n v="2"/>
    <x v="1"/>
    <m/>
    <n v="0"/>
  </r>
  <r>
    <s v="ORD-102240"/>
    <x v="382"/>
    <x v="1"/>
    <d v="2025-01-01T00:00:00"/>
    <n v="1"/>
    <s v="CUST-01264"/>
    <x v="0"/>
    <x v="16"/>
    <s v="UP"/>
    <x v="0"/>
    <s v="Noida"/>
    <x v="1"/>
    <s v="P305"/>
    <s v="Printed Saree"/>
    <x v="1"/>
    <n v="2"/>
    <n v="1999"/>
    <n v="0.15"/>
    <n v="3998"/>
    <n v="599.69999999999993"/>
    <n v="3398.3"/>
    <n v="880"/>
    <n v="1760"/>
    <n v="60"/>
    <n v="1578.3000000000002"/>
    <n v="0.464438101403643"/>
    <x v="0"/>
    <d v="2025-01-24T00:00:00"/>
    <n v="4"/>
    <x v="0"/>
    <n v="4"/>
    <n v="0"/>
  </r>
  <r>
    <s v="ORD-102241"/>
    <x v="382"/>
    <x v="1"/>
    <d v="2025-01-01T00:00:00"/>
    <n v="1"/>
    <s v="CUST-02607"/>
    <x v="0"/>
    <x v="1"/>
    <s v="GJ"/>
    <x v="1"/>
    <s v="Surat"/>
    <x v="2"/>
    <s v="P102"/>
    <s v="Sunscreen SPF 50"/>
    <x v="3"/>
    <n v="1"/>
    <n v="449"/>
    <n v="0"/>
    <n v="449"/>
    <n v="0"/>
    <n v="449"/>
    <n v="144"/>
    <n v="144"/>
    <n v="60"/>
    <n v="245"/>
    <n v="0.54565701559020041"/>
    <x v="0"/>
    <d v="2025-01-25T00:00:00"/>
    <n v="5"/>
    <x v="2"/>
    <n v="4"/>
    <n v="0"/>
  </r>
  <r>
    <s v="ORD-102242"/>
    <x v="382"/>
    <x v="1"/>
    <d v="2025-01-01T00:00:00"/>
    <n v="1"/>
    <s v="CUST-01196"/>
    <x v="1"/>
    <x v="13"/>
    <s v="MP"/>
    <x v="1"/>
    <s v="Indore"/>
    <x v="3"/>
    <s v="P102"/>
    <s v="Sunscreen SPF 50"/>
    <x v="3"/>
    <n v="3"/>
    <n v="449"/>
    <n v="0.05"/>
    <n v="1347"/>
    <n v="67.350000000000009"/>
    <n v="1279.6500000000001"/>
    <n v="144"/>
    <n v="432"/>
    <n v="120"/>
    <n v="727.65000000000009"/>
    <n v="0.5686320478255773"/>
    <x v="0"/>
    <d v="2025-01-23T00:00:00"/>
    <n v="3"/>
    <x v="0"/>
    <m/>
    <n v="1"/>
  </r>
  <r>
    <s v="ORD-102243"/>
    <x v="382"/>
    <x v="1"/>
    <d v="2025-01-01T00:00:00"/>
    <n v="1"/>
    <s v="CUST-00771"/>
    <x v="1"/>
    <x v="2"/>
    <s v="MH"/>
    <x v="1"/>
    <s v="Mumbai"/>
    <x v="0"/>
    <s v="P402"/>
    <s v="Casual Sneakers"/>
    <x v="5"/>
    <n v="1"/>
    <n v="2199"/>
    <n v="0.2"/>
    <n v="2199"/>
    <n v="439.8"/>
    <n v="1759.2"/>
    <n v="1034"/>
    <n v="1034"/>
    <n v="60"/>
    <n v="665.2"/>
    <n v="0.37812642110050027"/>
    <x v="1"/>
    <d v="2025-01-22T00:00:00"/>
    <n v="2"/>
    <x v="1"/>
    <n v="5"/>
    <n v="0"/>
  </r>
  <r>
    <s v="ORD-102244"/>
    <x v="382"/>
    <x v="1"/>
    <d v="2025-01-01T00:00:00"/>
    <n v="1"/>
    <s v="CUST-00543"/>
    <x v="1"/>
    <x v="8"/>
    <s v="AP"/>
    <x v="3"/>
    <s v="Vijayawada"/>
    <x v="0"/>
    <s v="P704"/>
    <s v="Multivitamin Gummies"/>
    <x v="0"/>
    <n v="2"/>
    <n v="699"/>
    <n v="0.3"/>
    <n v="1398"/>
    <n v="419.4"/>
    <n v="978.6"/>
    <n v="238"/>
    <n v="476"/>
    <n v="60"/>
    <n v="442.6"/>
    <n v="0.45227876558348662"/>
    <x v="0"/>
    <d v="2025-01-23T00:00:00"/>
    <n v="3"/>
    <x v="0"/>
    <n v="5"/>
    <n v="0"/>
  </r>
  <r>
    <s v="ORD-102245"/>
    <x v="382"/>
    <x v="1"/>
    <d v="2025-01-01T00:00:00"/>
    <n v="1"/>
    <s v="CUST-02743"/>
    <x v="0"/>
    <x v="8"/>
    <s v="AP"/>
    <x v="3"/>
    <s v="Vijayawada"/>
    <x v="0"/>
    <s v="P503"/>
    <s v="Scented Candle Set"/>
    <x v="4"/>
    <n v="2"/>
    <n v="699"/>
    <n v="0.3"/>
    <n v="1398"/>
    <n v="419.4"/>
    <n v="978.6"/>
    <n v="245"/>
    <n v="490"/>
    <n v="60"/>
    <n v="428.6"/>
    <n v="0.43797261393827919"/>
    <x v="1"/>
    <d v="2025-01-24T00:00:00"/>
    <n v="4"/>
    <x v="0"/>
    <m/>
    <n v="0"/>
  </r>
  <r>
    <s v="ORD-102246"/>
    <x v="382"/>
    <x v="1"/>
    <d v="2025-01-01T00:00:00"/>
    <n v="1"/>
    <s v="CUST-00526"/>
    <x v="0"/>
    <x v="17"/>
    <s v="TN"/>
    <x v="3"/>
    <s v="Chennai"/>
    <x v="0"/>
    <s v="P404"/>
    <s v="Flip Flops"/>
    <x v="5"/>
    <n v="1"/>
    <n v="399"/>
    <n v="0.05"/>
    <n v="399"/>
    <n v="19.950000000000003"/>
    <n v="379.05"/>
    <n v="152"/>
    <n v="152"/>
    <n v="60"/>
    <n v="167.05"/>
    <n v="0.44070703073473161"/>
    <x v="0"/>
    <d v="2025-01-22T00:00:00"/>
    <n v="2"/>
    <x v="1"/>
    <m/>
    <n v="0"/>
  </r>
  <r>
    <s v="ORD-102247"/>
    <x v="383"/>
    <x v="1"/>
    <d v="2025-01-01T00:00:00"/>
    <n v="1"/>
    <s v="CUST-00795"/>
    <x v="0"/>
    <x v="0"/>
    <s v="RJ"/>
    <x v="0"/>
    <s v="Jaipur"/>
    <x v="3"/>
    <s v="P102"/>
    <s v="Sunscreen SPF 50"/>
    <x v="3"/>
    <n v="1"/>
    <n v="449"/>
    <n v="0.05"/>
    <n v="449"/>
    <n v="22.450000000000003"/>
    <n v="426.55"/>
    <n v="144"/>
    <n v="144"/>
    <n v="60"/>
    <n v="222.55"/>
    <n v="0.52174422693705313"/>
    <x v="3"/>
    <d v="2025-01-25T00:00:00"/>
    <n v="4"/>
    <x v="0"/>
    <n v="4"/>
    <n v="0"/>
  </r>
  <r>
    <s v="ORD-102248"/>
    <x v="383"/>
    <x v="1"/>
    <d v="2025-01-01T00:00:00"/>
    <n v="1"/>
    <s v="CUST-00391"/>
    <x v="0"/>
    <x v="16"/>
    <s v="UP"/>
    <x v="0"/>
    <s v="Lucknow"/>
    <x v="4"/>
    <s v="P602"/>
    <s v="Fast Charger 33W"/>
    <x v="2"/>
    <n v="1"/>
    <n v="899"/>
    <n v="0.05"/>
    <n v="899"/>
    <n v="44.95"/>
    <n v="854.05"/>
    <n v="494"/>
    <n v="494"/>
    <n v="60"/>
    <n v="300.04999999999995"/>
    <n v="0.35132603477548152"/>
    <x v="0"/>
    <d v="2025-01-25T00:00:00"/>
    <n v="4"/>
    <x v="0"/>
    <n v="3"/>
    <n v="0"/>
  </r>
  <r>
    <s v="ORD-102249"/>
    <x v="383"/>
    <x v="1"/>
    <d v="2025-01-01T00:00:00"/>
    <n v="1"/>
    <s v="CUST-03082"/>
    <x v="0"/>
    <x v="1"/>
    <s v="GJ"/>
    <x v="1"/>
    <s v="Surat"/>
    <x v="3"/>
    <s v="P202"/>
    <s v="Argan Shampoo"/>
    <x v="6"/>
    <n v="1"/>
    <n v="449"/>
    <n v="0.05"/>
    <n v="449"/>
    <n v="22.450000000000003"/>
    <n v="426.55"/>
    <n v="148"/>
    <n v="148"/>
    <n v="60"/>
    <n v="218.55"/>
    <n v="0.51236666275934828"/>
    <x v="0"/>
    <d v="2025-01-26T00:00:00"/>
    <n v="5"/>
    <x v="2"/>
    <n v="4"/>
    <n v="0"/>
  </r>
  <r>
    <s v="ORD-102250"/>
    <x v="383"/>
    <x v="1"/>
    <d v="2025-01-01T00:00:00"/>
    <n v="1"/>
    <s v="CUST-01289"/>
    <x v="1"/>
    <x v="2"/>
    <s v="MH"/>
    <x v="1"/>
    <s v="Nagpur"/>
    <x v="0"/>
    <s v="P501"/>
    <s v="Copper Water Bottle"/>
    <x v="4"/>
    <n v="1"/>
    <n v="899"/>
    <n v="0.15"/>
    <n v="899"/>
    <n v="134.85"/>
    <n v="764.15"/>
    <n v="378"/>
    <n v="378"/>
    <n v="60"/>
    <n v="326.14999999999998"/>
    <n v="0.42681410717791007"/>
    <x v="0"/>
    <d v="2025-01-22T00:00:00"/>
    <n v="1"/>
    <x v="1"/>
    <m/>
    <n v="0"/>
  </r>
  <r>
    <s v="ORD-102251"/>
    <x v="383"/>
    <x v="1"/>
    <d v="2025-01-01T00:00:00"/>
    <n v="1"/>
    <s v="CUST-00306"/>
    <x v="1"/>
    <x v="2"/>
    <s v="MH"/>
    <x v="1"/>
    <s v="Pune"/>
    <x v="2"/>
    <s v="P704"/>
    <s v="Multivitamin Gummies"/>
    <x v="0"/>
    <n v="1"/>
    <n v="699"/>
    <n v="0.15"/>
    <n v="699"/>
    <n v="104.85"/>
    <n v="594.15"/>
    <n v="238"/>
    <n v="238"/>
    <n v="60"/>
    <n v="296.14999999999998"/>
    <n v="0.49844315408566858"/>
    <x v="0"/>
    <d v="2025-01-22T00:00:00"/>
    <n v="1"/>
    <x v="1"/>
    <n v="4"/>
    <n v="0"/>
  </r>
  <r>
    <s v="ORD-102252"/>
    <x v="383"/>
    <x v="1"/>
    <d v="2025-01-01T00:00:00"/>
    <n v="1"/>
    <s v="CUST-00801"/>
    <x v="0"/>
    <x v="21"/>
    <s v="TG"/>
    <x v="3"/>
    <s v="Hyderabad"/>
    <x v="3"/>
    <s v="P701"/>
    <s v="Ashwagandha Capsules"/>
    <x v="0"/>
    <n v="2"/>
    <n v="499"/>
    <n v="0"/>
    <n v="998"/>
    <n v="0"/>
    <n v="998"/>
    <n v="150"/>
    <n v="300"/>
    <n v="60"/>
    <n v="638"/>
    <n v="0.63927855711422843"/>
    <x v="0"/>
    <d v="2025-01-24T00:00:00"/>
    <n v="3"/>
    <x v="0"/>
    <n v="4"/>
    <n v="0"/>
  </r>
  <r>
    <s v="ORD-102253"/>
    <x v="383"/>
    <x v="1"/>
    <d v="2025-01-01T00:00:00"/>
    <n v="1"/>
    <s v="CUST-01812"/>
    <x v="0"/>
    <x v="8"/>
    <s v="AP"/>
    <x v="3"/>
    <s v="Vijayawada"/>
    <x v="2"/>
    <s v="P604"/>
    <s v="Power Bank 20000mAh"/>
    <x v="2"/>
    <n v="1"/>
    <n v="1799"/>
    <n v="0.4"/>
    <n v="1799"/>
    <n v="719.6"/>
    <n v="1079.4000000000001"/>
    <n v="1079"/>
    <n v="1079"/>
    <n v="60"/>
    <n v="-59.599999999999909"/>
    <n v="-5.5215860663331388E-2"/>
    <x v="3"/>
    <d v="2025-01-26T00:00:00"/>
    <n v="5"/>
    <x v="2"/>
    <n v="4"/>
    <n v="0"/>
  </r>
  <r>
    <s v="ORD-102254"/>
    <x v="384"/>
    <x v="1"/>
    <d v="2025-01-01T00:00:00"/>
    <n v="1"/>
    <s v="CUST-00080"/>
    <x v="1"/>
    <x v="4"/>
    <s v="JK"/>
    <x v="0"/>
    <s v="Jammu"/>
    <x v="1"/>
    <s v="P302"/>
    <s v="Linen Kurta"/>
    <x v="1"/>
    <n v="5"/>
    <n v="1499"/>
    <n v="0.35"/>
    <n v="7495"/>
    <n v="2623.25"/>
    <n v="4871.75"/>
    <n v="630"/>
    <n v="3150"/>
    <n v="60"/>
    <n v="1661.75"/>
    <n v="0.34109919433468466"/>
    <x v="0"/>
    <d v="2025-01-27T00:00:00"/>
    <n v="5"/>
    <x v="2"/>
    <n v="3"/>
    <n v="0"/>
  </r>
  <r>
    <s v="ORD-102255"/>
    <x v="384"/>
    <x v="1"/>
    <d v="2025-01-01T00:00:00"/>
    <n v="1"/>
    <s v="CUST-00650"/>
    <x v="0"/>
    <x v="1"/>
    <s v="GJ"/>
    <x v="1"/>
    <s v="Ahmedabad"/>
    <x v="4"/>
    <s v="P403"/>
    <s v="Kolhapuri Sandals"/>
    <x v="5"/>
    <n v="1"/>
    <n v="999"/>
    <n v="0.05"/>
    <n v="999"/>
    <n v="49.95"/>
    <n v="949.05"/>
    <n v="400"/>
    <n v="400"/>
    <n v="60"/>
    <n v="489.04999999999995"/>
    <n v="0.5153047784626732"/>
    <x v="0"/>
    <d v="2025-01-25T00:00:00"/>
    <n v="3"/>
    <x v="0"/>
    <n v="3"/>
    <n v="0"/>
  </r>
  <r>
    <s v="ORD-102256"/>
    <x v="384"/>
    <x v="1"/>
    <d v="2025-01-01T00:00:00"/>
    <n v="1"/>
    <s v="CUST-02100"/>
    <x v="0"/>
    <x v="7"/>
    <s v="JH"/>
    <x v="2"/>
    <s v="Ranchi"/>
    <x v="2"/>
    <s v="P704"/>
    <s v="Multivitamin Gummies"/>
    <x v="0"/>
    <n v="3"/>
    <n v="699"/>
    <n v="0.15"/>
    <n v="2097"/>
    <n v="314.55"/>
    <n v="1782.45"/>
    <n v="238"/>
    <n v="714"/>
    <n v="60"/>
    <n v="1008.45"/>
    <n v="0.56576622065135063"/>
    <x v="1"/>
    <d v="2025-01-28T00:00:00"/>
    <n v="6"/>
    <x v="2"/>
    <n v="4"/>
    <n v="0"/>
  </r>
  <r>
    <s v="ORD-102257"/>
    <x v="384"/>
    <x v="1"/>
    <d v="2025-01-01T00:00:00"/>
    <n v="1"/>
    <s v="CUST-02289"/>
    <x v="0"/>
    <x v="8"/>
    <s v="AP"/>
    <x v="3"/>
    <s v="Visakhapatnam"/>
    <x v="3"/>
    <s v="P704"/>
    <s v="Multivitamin Gummies"/>
    <x v="0"/>
    <n v="1"/>
    <n v="699"/>
    <n v="0.2"/>
    <n v="699"/>
    <n v="139.80000000000001"/>
    <n v="559.20000000000005"/>
    <n v="238"/>
    <n v="238"/>
    <n v="60"/>
    <n v="261.20000000000005"/>
    <n v="0.46709585121602293"/>
    <x v="0"/>
    <d v="2025-01-26T00:00:00"/>
    <n v="4"/>
    <x v="0"/>
    <n v="4"/>
    <n v="0"/>
  </r>
  <r>
    <s v="ORD-102258"/>
    <x v="385"/>
    <x v="1"/>
    <d v="2025-01-01T00:00:00"/>
    <n v="1"/>
    <s v="CUST-03131"/>
    <x v="0"/>
    <x v="16"/>
    <s v="UP"/>
    <x v="0"/>
    <s v="Lucknow"/>
    <x v="3"/>
    <s v="P105"/>
    <s v="Retinol Night Cream"/>
    <x v="3"/>
    <n v="1"/>
    <n v="799"/>
    <n v="0.15"/>
    <n v="799"/>
    <n v="119.85"/>
    <n v="679.15"/>
    <n v="216"/>
    <n v="216"/>
    <n v="60"/>
    <n v="403.15"/>
    <n v="0.59360965913273944"/>
    <x v="0"/>
    <d v="2025-01-28T00:00:00"/>
    <n v="5"/>
    <x v="2"/>
    <n v="3"/>
    <n v="0"/>
  </r>
  <r>
    <s v="ORD-102259"/>
    <x v="385"/>
    <x v="1"/>
    <d v="2025-01-01T00:00:00"/>
    <n v="1"/>
    <s v="CUST-02987"/>
    <x v="1"/>
    <x v="1"/>
    <s v="GJ"/>
    <x v="1"/>
    <s v="Surat"/>
    <x v="2"/>
    <s v="P603"/>
    <s v="Smartwatch Strap"/>
    <x v="2"/>
    <n v="1"/>
    <n v="499"/>
    <n v="0"/>
    <n v="499"/>
    <n v="0"/>
    <n v="499"/>
    <n v="200"/>
    <n v="200"/>
    <n v="60"/>
    <n v="239"/>
    <n v="0.47895791583166331"/>
    <x v="2"/>
    <d v="2025-01-24T00:00:00"/>
    <n v="1"/>
    <x v="1"/>
    <m/>
    <n v="0"/>
  </r>
  <r>
    <s v="ORD-102260"/>
    <x v="385"/>
    <x v="1"/>
    <d v="2025-01-01T00:00:00"/>
    <n v="1"/>
    <s v="CUST-00467"/>
    <x v="1"/>
    <x v="1"/>
    <s v="GJ"/>
    <x v="1"/>
    <s v="Ahmedabad"/>
    <x v="1"/>
    <s v="P302"/>
    <s v="Linen Kurta"/>
    <x v="1"/>
    <n v="1"/>
    <n v="1499"/>
    <n v="0.25"/>
    <n v="1499"/>
    <n v="374.75"/>
    <n v="1124.25"/>
    <n v="630"/>
    <n v="630"/>
    <n v="60"/>
    <n v="434.25"/>
    <n v="0.38625750500333556"/>
    <x v="0"/>
    <d v="2025-01-25T00:00:00"/>
    <n v="2"/>
    <x v="1"/>
    <n v="4"/>
    <n v="0"/>
  </r>
  <r>
    <s v="ORD-102261"/>
    <x v="385"/>
    <x v="1"/>
    <d v="2025-01-01T00:00:00"/>
    <n v="1"/>
    <s v="CUST-01080"/>
    <x v="1"/>
    <x v="7"/>
    <s v="JH"/>
    <x v="2"/>
    <s v="Ranchi"/>
    <x v="0"/>
    <s v="P703"/>
    <s v="Green Tea (100 bags)"/>
    <x v="0"/>
    <n v="5"/>
    <n v="399"/>
    <n v="0.45"/>
    <n v="1995"/>
    <n v="897.75"/>
    <n v="1097.25"/>
    <n v="128"/>
    <n v="640"/>
    <n v="60"/>
    <n v="397.25"/>
    <n v="0.36204146730462522"/>
    <x v="3"/>
    <d v="2025-01-28T00:00:00"/>
    <n v="5"/>
    <x v="2"/>
    <n v="3"/>
    <n v="0"/>
  </r>
  <r>
    <s v="ORD-102262"/>
    <x v="385"/>
    <x v="1"/>
    <d v="2025-01-01T00:00:00"/>
    <n v="1"/>
    <s v="CUST-03170"/>
    <x v="1"/>
    <x v="7"/>
    <s v="JH"/>
    <x v="2"/>
    <s v="Ranchi"/>
    <x v="1"/>
    <s v="P301"/>
    <s v="Cotton Oversized T-Shirt"/>
    <x v="1"/>
    <n v="1"/>
    <n v="799"/>
    <n v="0.05"/>
    <n v="799"/>
    <n v="39.950000000000003"/>
    <n v="759.05"/>
    <n v="320"/>
    <n v="320"/>
    <n v="60"/>
    <n v="379.04999999999995"/>
    <n v="0.49937421777221525"/>
    <x v="0"/>
    <d v="2025-01-29T00:00:00"/>
    <n v="6"/>
    <x v="2"/>
    <m/>
    <n v="0"/>
  </r>
  <r>
    <s v="ORD-102263"/>
    <x v="385"/>
    <x v="1"/>
    <d v="2025-01-01T00:00:00"/>
    <n v="1"/>
    <s v="CUST-00350"/>
    <x v="1"/>
    <x v="7"/>
    <s v="JH"/>
    <x v="2"/>
    <s v="Ranchi"/>
    <x v="2"/>
    <s v="P201"/>
    <s v="Onion Hair Oil"/>
    <x v="6"/>
    <n v="2"/>
    <n v="349"/>
    <n v="0.35"/>
    <n v="698"/>
    <n v="244.29999999999998"/>
    <n v="453.70000000000005"/>
    <n v="105"/>
    <n v="210"/>
    <n v="60"/>
    <n v="183.70000000000005"/>
    <n v="0.40489310116817284"/>
    <x v="0"/>
    <d v="2025-01-28T00:00:00"/>
    <n v="5"/>
    <x v="2"/>
    <m/>
    <n v="0"/>
  </r>
  <r>
    <s v="ORD-102264"/>
    <x v="385"/>
    <x v="1"/>
    <d v="2025-01-01T00:00:00"/>
    <n v="1"/>
    <s v="CUST-00705"/>
    <x v="0"/>
    <x v="18"/>
    <s v="WB"/>
    <x v="2"/>
    <s v="Kolkata"/>
    <x v="4"/>
    <s v="P703"/>
    <s v="Green Tea (100 bags)"/>
    <x v="0"/>
    <n v="1"/>
    <n v="399"/>
    <n v="0.45"/>
    <n v="399"/>
    <n v="179.55"/>
    <n v="219.45"/>
    <n v="128"/>
    <n v="128"/>
    <n v="60"/>
    <n v="31.449999999999989"/>
    <n v="0.14331282752335381"/>
    <x v="0"/>
    <d v="2025-01-25T00:00:00"/>
    <n v="2"/>
    <x v="1"/>
    <n v="4"/>
    <n v="0"/>
  </r>
  <r>
    <s v="ORD-102265"/>
    <x v="385"/>
    <x v="1"/>
    <d v="2025-01-01T00:00:00"/>
    <n v="1"/>
    <s v="CUST-01944"/>
    <x v="0"/>
    <x v="2"/>
    <s v="MH"/>
    <x v="1"/>
    <s v="Nagpur"/>
    <x v="4"/>
    <s v="P204"/>
    <s v="Anti-Dandruff Conditioner"/>
    <x v="6"/>
    <n v="2"/>
    <n v="399"/>
    <n v="0.45"/>
    <n v="798"/>
    <n v="359.1"/>
    <n v="438.9"/>
    <n v="136"/>
    <n v="272"/>
    <n v="60"/>
    <n v="106.89999999999998"/>
    <n v="0.24356345408976984"/>
    <x v="0"/>
    <d v="2025-01-25T00:00:00"/>
    <n v="2"/>
    <x v="1"/>
    <m/>
    <n v="0"/>
  </r>
  <r>
    <s v="ORD-102266"/>
    <x v="385"/>
    <x v="1"/>
    <d v="2025-01-01T00:00:00"/>
    <n v="1"/>
    <s v="CUST-01357"/>
    <x v="0"/>
    <x v="2"/>
    <s v="MH"/>
    <x v="1"/>
    <s v="Mumbai"/>
    <x v="4"/>
    <s v="P301"/>
    <s v="Cotton Oversized T-Shirt"/>
    <x v="1"/>
    <n v="1"/>
    <n v="799"/>
    <n v="0"/>
    <n v="799"/>
    <n v="0"/>
    <n v="799"/>
    <n v="320"/>
    <n v="320"/>
    <n v="120"/>
    <n v="359"/>
    <n v="0.44931163954943681"/>
    <x v="0"/>
    <d v="2025-01-25T00:00:00"/>
    <n v="2"/>
    <x v="1"/>
    <n v="3"/>
    <n v="1"/>
  </r>
  <r>
    <s v="ORD-102267"/>
    <x v="385"/>
    <x v="1"/>
    <d v="2025-01-01T00:00:00"/>
    <n v="1"/>
    <s v="CUST-01572"/>
    <x v="0"/>
    <x v="11"/>
    <s v="KA"/>
    <x v="3"/>
    <s v="Mysuru"/>
    <x v="2"/>
    <s v="P203"/>
    <s v="Keratin Hair Mask"/>
    <x v="6"/>
    <n v="1"/>
    <n v="549"/>
    <n v="0.1"/>
    <n v="549"/>
    <n v="54.900000000000006"/>
    <n v="494.1"/>
    <n v="170"/>
    <n v="170"/>
    <n v="60"/>
    <n v="264.10000000000002"/>
    <n v="0.53450718478040882"/>
    <x v="0"/>
    <d v="2025-01-25T00:00:00"/>
    <n v="2"/>
    <x v="1"/>
    <m/>
    <n v="0"/>
  </r>
  <r>
    <s v="ORD-102268"/>
    <x v="385"/>
    <x v="1"/>
    <d v="2025-01-01T00:00:00"/>
    <n v="1"/>
    <s v="CUST-00473"/>
    <x v="1"/>
    <x v="11"/>
    <s v="KA"/>
    <x v="3"/>
    <s v="Mysuru"/>
    <x v="3"/>
    <s v="P702"/>
    <s v="Whey Protein 1kg"/>
    <x v="0"/>
    <n v="2"/>
    <n v="2299"/>
    <n v="0.35"/>
    <n v="4598"/>
    <n v="1609.3"/>
    <n v="2988.7"/>
    <n v="1333"/>
    <n v="2666"/>
    <n v="60"/>
    <n v="262.69999999999982"/>
    <n v="8.7897748184829469E-2"/>
    <x v="0"/>
    <d v="2025-01-25T00:00:00"/>
    <n v="2"/>
    <x v="1"/>
    <m/>
    <n v="0"/>
  </r>
  <r>
    <s v="ORD-102269"/>
    <x v="385"/>
    <x v="1"/>
    <d v="2025-01-01T00:00:00"/>
    <n v="1"/>
    <s v="CUST-00101"/>
    <x v="0"/>
    <x v="11"/>
    <s v="KA"/>
    <x v="3"/>
    <s v="Bengaluru"/>
    <x v="4"/>
    <s v="P201"/>
    <s v="Onion Hair Oil"/>
    <x v="6"/>
    <n v="4"/>
    <n v="349"/>
    <n v="0.3"/>
    <n v="1396"/>
    <n v="418.8"/>
    <n v="977.2"/>
    <n v="105"/>
    <n v="420"/>
    <n v="60"/>
    <n v="497.20000000000005"/>
    <n v="0.50880065493246007"/>
    <x v="4"/>
    <d v="2025-01-27T00:00:00"/>
    <n v="4"/>
    <x v="0"/>
    <m/>
    <n v="0"/>
  </r>
  <r>
    <s v="ORD-102270"/>
    <x v="385"/>
    <x v="1"/>
    <d v="2025-01-01T00:00:00"/>
    <n v="1"/>
    <s v="CUST-02574"/>
    <x v="0"/>
    <x v="8"/>
    <s v="AP"/>
    <x v="3"/>
    <s v="Vijayawada"/>
    <x v="1"/>
    <s v="P404"/>
    <s v="Flip Flops"/>
    <x v="5"/>
    <n v="1"/>
    <n v="399"/>
    <n v="0.05"/>
    <n v="399"/>
    <n v="19.950000000000003"/>
    <n v="379.05"/>
    <n v="152"/>
    <n v="152"/>
    <n v="60"/>
    <n v="167.05"/>
    <n v="0.44070703073473161"/>
    <x v="3"/>
    <d v="2025-01-26T00:00:00"/>
    <n v="3"/>
    <x v="0"/>
    <n v="5"/>
    <n v="0"/>
  </r>
  <r>
    <s v="ORD-102271"/>
    <x v="385"/>
    <x v="1"/>
    <d v="2025-01-01T00:00:00"/>
    <n v="1"/>
    <s v="CUST-01876"/>
    <x v="1"/>
    <x v="8"/>
    <s v="AP"/>
    <x v="3"/>
    <s v="Visakhapatnam"/>
    <x v="4"/>
    <s v="P102"/>
    <s v="Sunscreen SPF 50"/>
    <x v="3"/>
    <n v="3"/>
    <n v="449"/>
    <n v="0.1"/>
    <n v="1347"/>
    <n v="134.70000000000002"/>
    <n v="1212.3"/>
    <n v="144"/>
    <n v="432"/>
    <n v="60"/>
    <n v="720.3"/>
    <n v="0.59415986142044042"/>
    <x v="0"/>
    <d v="2025-01-27T00:00:00"/>
    <n v="4"/>
    <x v="0"/>
    <m/>
    <n v="0"/>
  </r>
  <r>
    <s v="ORD-102272"/>
    <x v="385"/>
    <x v="1"/>
    <d v="2025-01-01T00:00:00"/>
    <n v="1"/>
    <s v="CUST-00958"/>
    <x v="0"/>
    <x v="14"/>
    <s v="KL"/>
    <x v="3"/>
    <s v="Kochi"/>
    <x v="4"/>
    <s v="P703"/>
    <s v="Green Tea (100 bags)"/>
    <x v="0"/>
    <n v="2"/>
    <n v="399"/>
    <n v="0.3"/>
    <n v="798"/>
    <n v="239.39999999999998"/>
    <n v="558.6"/>
    <n v="128"/>
    <n v="256"/>
    <n v="60"/>
    <n v="242.60000000000002"/>
    <n v="0.43430003580379523"/>
    <x v="0"/>
    <d v="2025-01-24T00:00:00"/>
    <n v="1"/>
    <x v="1"/>
    <n v="3"/>
    <n v="0"/>
  </r>
  <r>
    <s v="ORD-102273"/>
    <x v="385"/>
    <x v="1"/>
    <d v="2025-01-01T00:00:00"/>
    <n v="1"/>
    <s v="CUST-01104"/>
    <x v="1"/>
    <x v="17"/>
    <s v="TN"/>
    <x v="3"/>
    <s v="Chennai"/>
    <x v="0"/>
    <s v="P301"/>
    <s v="Cotton Oversized T-Shirt"/>
    <x v="1"/>
    <n v="1"/>
    <n v="799"/>
    <n v="0"/>
    <n v="799"/>
    <n v="0"/>
    <n v="799"/>
    <n v="320"/>
    <n v="320"/>
    <n v="60"/>
    <n v="419"/>
    <n v="0.52440550688360454"/>
    <x v="0"/>
    <d v="2025-01-24T00:00:00"/>
    <n v="1"/>
    <x v="1"/>
    <n v="4"/>
    <n v="0"/>
  </r>
  <r>
    <s v="ORD-102274"/>
    <x v="386"/>
    <x v="1"/>
    <d v="2025-01-01T00:00:00"/>
    <n v="1"/>
    <s v="CUST-01200"/>
    <x v="1"/>
    <x v="0"/>
    <s v="RJ"/>
    <x v="0"/>
    <s v="Jaipur"/>
    <x v="1"/>
    <s v="P401"/>
    <s v="Running Shoes"/>
    <x v="5"/>
    <n v="1"/>
    <n v="2999"/>
    <n v="0.2"/>
    <n v="2999"/>
    <n v="599.80000000000007"/>
    <n v="2399.1999999999998"/>
    <n v="1440"/>
    <n v="1440"/>
    <n v="60"/>
    <n v="899.19999999999982"/>
    <n v="0.3747915971990663"/>
    <x v="0"/>
    <d v="2025-01-29T00:00:00"/>
    <n v="5"/>
    <x v="2"/>
    <m/>
    <n v="0"/>
  </r>
  <r>
    <s v="ORD-102275"/>
    <x v="386"/>
    <x v="1"/>
    <d v="2025-01-01T00:00:00"/>
    <n v="1"/>
    <s v="CUST-01813"/>
    <x v="0"/>
    <x v="0"/>
    <s v="RJ"/>
    <x v="0"/>
    <s v="Jaipur"/>
    <x v="0"/>
    <s v="P404"/>
    <s v="Flip Flops"/>
    <x v="5"/>
    <n v="1"/>
    <n v="399"/>
    <n v="0.1"/>
    <n v="399"/>
    <n v="39.900000000000006"/>
    <n v="359.1"/>
    <n v="152"/>
    <n v="152"/>
    <n v="60"/>
    <n v="147.10000000000002"/>
    <n v="0.40963519910888335"/>
    <x v="4"/>
    <d v="2025-01-28T00:00:00"/>
    <n v="4"/>
    <x v="0"/>
    <n v="3"/>
    <n v="0"/>
  </r>
  <r>
    <s v="ORD-102276"/>
    <x v="386"/>
    <x v="1"/>
    <d v="2025-01-01T00:00:00"/>
    <n v="1"/>
    <s v="CUST-01683"/>
    <x v="0"/>
    <x v="16"/>
    <s v="UP"/>
    <x v="0"/>
    <s v="Kanpur"/>
    <x v="4"/>
    <s v="P603"/>
    <s v="Smartwatch Strap"/>
    <x v="2"/>
    <n v="3"/>
    <n v="499"/>
    <n v="0.1"/>
    <n v="1497"/>
    <n v="149.70000000000002"/>
    <n v="1347.3"/>
    <n v="200"/>
    <n v="600"/>
    <n v="60"/>
    <n v="687.3"/>
    <n v="0.51013137385882878"/>
    <x v="0"/>
    <d v="2025-01-29T00:00:00"/>
    <n v="5"/>
    <x v="2"/>
    <n v="3"/>
    <n v="0"/>
  </r>
  <r>
    <s v="ORD-102277"/>
    <x v="386"/>
    <x v="1"/>
    <d v="2025-01-01T00:00:00"/>
    <n v="1"/>
    <s v="CUST-00089"/>
    <x v="0"/>
    <x v="1"/>
    <s v="GJ"/>
    <x v="1"/>
    <s v="Surat"/>
    <x v="3"/>
    <s v="P101"/>
    <s v="Vitamin C Face Serum"/>
    <x v="3"/>
    <n v="1"/>
    <n v="599"/>
    <n v="0.2"/>
    <n v="599"/>
    <n v="119.80000000000001"/>
    <n v="479.2"/>
    <n v="180"/>
    <n v="180"/>
    <n v="60"/>
    <n v="239.2"/>
    <n v="0.4991652754590985"/>
    <x v="1"/>
    <d v="2025-01-27T00:00:00"/>
    <n v="3"/>
    <x v="0"/>
    <m/>
    <n v="0"/>
  </r>
  <r>
    <s v="ORD-102278"/>
    <x v="386"/>
    <x v="1"/>
    <d v="2025-01-01T00:00:00"/>
    <n v="1"/>
    <s v="CUST-00952"/>
    <x v="1"/>
    <x v="18"/>
    <s v="WB"/>
    <x v="2"/>
    <s v="Kolkata"/>
    <x v="3"/>
    <s v="P703"/>
    <s v="Green Tea (100 bags)"/>
    <x v="0"/>
    <n v="2"/>
    <n v="399"/>
    <n v="0.35"/>
    <n v="798"/>
    <n v="279.29999999999995"/>
    <n v="518.70000000000005"/>
    <n v="128"/>
    <n v="256"/>
    <n v="60"/>
    <n v="202.70000000000005"/>
    <n v="0.39078465394254874"/>
    <x v="1"/>
    <d v="2025-01-28T00:00:00"/>
    <n v="4"/>
    <x v="0"/>
    <n v="4"/>
    <n v="0"/>
  </r>
  <r>
    <s v="ORD-102279"/>
    <x v="386"/>
    <x v="1"/>
    <d v="2025-01-01T00:00:00"/>
    <n v="1"/>
    <s v="CUST-02798"/>
    <x v="0"/>
    <x v="2"/>
    <s v="MH"/>
    <x v="1"/>
    <s v="Nagpur"/>
    <x v="4"/>
    <s v="P102"/>
    <s v="Sunscreen SPF 50"/>
    <x v="3"/>
    <n v="1"/>
    <n v="449"/>
    <n v="0.05"/>
    <n v="449"/>
    <n v="22.450000000000003"/>
    <n v="426.55"/>
    <n v="144"/>
    <n v="144"/>
    <n v="60"/>
    <n v="222.55"/>
    <n v="0.52174422693705313"/>
    <x v="0"/>
    <d v="2025-01-26T00:00:00"/>
    <n v="2"/>
    <x v="1"/>
    <m/>
    <n v="0"/>
  </r>
  <r>
    <s v="ORD-102280"/>
    <x v="386"/>
    <x v="1"/>
    <d v="2025-01-01T00:00:00"/>
    <n v="1"/>
    <s v="CUST-00638"/>
    <x v="1"/>
    <x v="2"/>
    <s v="MH"/>
    <x v="1"/>
    <s v="Mumbai"/>
    <x v="2"/>
    <s v="P304"/>
    <s v="Denim Jacket"/>
    <x v="1"/>
    <n v="1"/>
    <n v="2499"/>
    <n v="0"/>
    <n v="2499"/>
    <n v="0"/>
    <n v="2499"/>
    <n v="1125"/>
    <n v="1125"/>
    <n v="60"/>
    <n v="1314"/>
    <n v="0.5258103241296519"/>
    <x v="4"/>
    <d v="2025-01-28T00:00:00"/>
    <n v="4"/>
    <x v="0"/>
    <m/>
    <n v="0"/>
  </r>
  <r>
    <s v="ORD-102281"/>
    <x v="386"/>
    <x v="1"/>
    <d v="2025-01-01T00:00:00"/>
    <n v="1"/>
    <s v="CUST-00387"/>
    <x v="1"/>
    <x v="21"/>
    <s v="TG"/>
    <x v="3"/>
    <s v="Hyderabad"/>
    <x v="0"/>
    <s v="P502"/>
    <s v="Ceramic Dinner Set"/>
    <x v="4"/>
    <n v="1"/>
    <n v="2499"/>
    <n v="0.25"/>
    <n v="2499"/>
    <n v="624.75"/>
    <n v="1874.25"/>
    <n v="1250"/>
    <n v="1250"/>
    <n v="60"/>
    <n v="564.25"/>
    <n v="0.30105375483526742"/>
    <x v="0"/>
    <d v="2025-01-26T00:00:00"/>
    <n v="2"/>
    <x v="1"/>
    <n v="4"/>
    <n v="0"/>
  </r>
  <r>
    <s v="ORD-102282"/>
    <x v="386"/>
    <x v="1"/>
    <d v="2025-01-01T00:00:00"/>
    <n v="1"/>
    <s v="CUST-01411"/>
    <x v="0"/>
    <x v="21"/>
    <s v="TG"/>
    <x v="3"/>
    <s v="Hyderabad"/>
    <x v="4"/>
    <s v="P404"/>
    <s v="Flip Flops"/>
    <x v="5"/>
    <n v="1"/>
    <n v="399"/>
    <n v="0.1"/>
    <n v="399"/>
    <n v="39.900000000000006"/>
    <n v="359.1"/>
    <n v="152"/>
    <n v="152"/>
    <n v="60"/>
    <n v="147.10000000000002"/>
    <n v="0.40963519910888335"/>
    <x v="1"/>
    <d v="2025-01-26T00:00:00"/>
    <n v="2"/>
    <x v="1"/>
    <n v="5"/>
    <n v="0"/>
  </r>
  <r>
    <s v="ORD-102283"/>
    <x v="386"/>
    <x v="1"/>
    <d v="2025-01-01T00:00:00"/>
    <n v="1"/>
    <s v="CUST-01231"/>
    <x v="1"/>
    <x v="8"/>
    <s v="AP"/>
    <x v="3"/>
    <s v="Visakhapatnam"/>
    <x v="3"/>
    <s v="P702"/>
    <s v="Whey Protein 1kg"/>
    <x v="0"/>
    <n v="2"/>
    <n v="2299"/>
    <n v="0.35"/>
    <n v="4598"/>
    <n v="1609.3"/>
    <n v="2988.7"/>
    <n v="1333"/>
    <n v="2666"/>
    <n v="60"/>
    <n v="262.69999999999982"/>
    <n v="8.7897748184829469E-2"/>
    <x v="3"/>
    <d v="2025-01-29T00:00:00"/>
    <n v="5"/>
    <x v="2"/>
    <n v="3"/>
    <n v="0"/>
  </r>
  <r>
    <s v="ORD-102284"/>
    <x v="387"/>
    <x v="1"/>
    <d v="2025-01-01T00:00:00"/>
    <n v="1"/>
    <s v="CUST-02889"/>
    <x v="0"/>
    <x v="6"/>
    <s v="DL"/>
    <x v="0"/>
    <s v="New Delhi"/>
    <x v="1"/>
    <s v="P304"/>
    <s v="Denim Jacket"/>
    <x v="1"/>
    <n v="2"/>
    <n v="2499"/>
    <n v="0"/>
    <n v="4998"/>
    <n v="0"/>
    <n v="4998"/>
    <n v="1125"/>
    <n v="2250"/>
    <n v="60"/>
    <n v="2688"/>
    <n v="0.53781512605042014"/>
    <x v="0"/>
    <d v="2025-01-27T00:00:00"/>
    <n v="2"/>
    <x v="1"/>
    <n v="3"/>
    <n v="0"/>
  </r>
  <r>
    <s v="ORD-102285"/>
    <x v="387"/>
    <x v="1"/>
    <d v="2025-01-01T00:00:00"/>
    <n v="1"/>
    <s v="CUST-00812"/>
    <x v="0"/>
    <x v="16"/>
    <s v="UP"/>
    <x v="0"/>
    <s v="Noida"/>
    <x v="2"/>
    <s v="P402"/>
    <s v="Casual Sneakers"/>
    <x v="5"/>
    <n v="3"/>
    <n v="2199"/>
    <n v="0.2"/>
    <n v="6597"/>
    <n v="1319.4"/>
    <n v="5277.6"/>
    <n v="1034"/>
    <n v="3102"/>
    <n v="60"/>
    <n v="2115.6000000000004"/>
    <n v="0.40086402910413826"/>
    <x v="0"/>
    <d v="2025-01-29T00:00:00"/>
    <n v="4"/>
    <x v="0"/>
    <n v="3"/>
    <n v="0"/>
  </r>
  <r>
    <s v="ORD-102286"/>
    <x v="387"/>
    <x v="1"/>
    <d v="2025-01-01T00:00:00"/>
    <n v="1"/>
    <s v="CUST-01002"/>
    <x v="1"/>
    <x v="18"/>
    <s v="WB"/>
    <x v="2"/>
    <s v="Kolkata"/>
    <x v="0"/>
    <s v="P202"/>
    <s v="Argan Shampoo"/>
    <x v="6"/>
    <n v="1"/>
    <n v="449"/>
    <n v="0.05"/>
    <n v="449"/>
    <n v="22.450000000000003"/>
    <n v="426.55"/>
    <n v="148"/>
    <n v="148"/>
    <n v="60"/>
    <n v="218.55"/>
    <n v="0.51236666275934828"/>
    <x v="1"/>
    <d v="2025-01-28T00:00:00"/>
    <n v="3"/>
    <x v="0"/>
    <n v="3"/>
    <n v="0"/>
  </r>
  <r>
    <s v="ORD-102287"/>
    <x v="387"/>
    <x v="1"/>
    <d v="2025-01-01T00:00:00"/>
    <n v="1"/>
    <s v="CUST-01896"/>
    <x v="0"/>
    <x v="18"/>
    <s v="WB"/>
    <x v="2"/>
    <s v="Kolkata"/>
    <x v="0"/>
    <s v="P502"/>
    <s v="Ceramic Dinner Set"/>
    <x v="4"/>
    <n v="2"/>
    <n v="2499"/>
    <n v="0.3"/>
    <n v="4998"/>
    <n v="1499.3999999999999"/>
    <n v="3498.6000000000004"/>
    <n v="1250"/>
    <n v="2500"/>
    <n v="60"/>
    <n v="938.60000000000036"/>
    <n v="0.26827874006745561"/>
    <x v="2"/>
    <d v="2025-01-28T00:00:00"/>
    <n v="3"/>
    <x v="0"/>
    <n v="5"/>
    <n v="0"/>
  </r>
  <r>
    <s v="ORD-102288"/>
    <x v="387"/>
    <x v="1"/>
    <d v="2025-01-01T00:00:00"/>
    <n v="1"/>
    <s v="CUST-01200"/>
    <x v="1"/>
    <x v="2"/>
    <s v="MH"/>
    <x v="1"/>
    <s v="Nagpur"/>
    <x v="3"/>
    <s v="P702"/>
    <s v="Whey Protein 1kg"/>
    <x v="0"/>
    <n v="2"/>
    <n v="2299"/>
    <n v="0.35"/>
    <n v="4598"/>
    <n v="1609.3"/>
    <n v="2988.7"/>
    <n v="1333"/>
    <n v="2666"/>
    <n v="60"/>
    <n v="262.69999999999982"/>
    <n v="8.7897748184829469E-2"/>
    <x v="0"/>
    <d v="2025-01-26T00:00:00"/>
    <n v="1"/>
    <x v="1"/>
    <n v="5"/>
    <n v="0"/>
  </r>
  <r>
    <s v="ORD-102289"/>
    <x v="387"/>
    <x v="1"/>
    <d v="2025-01-01T00:00:00"/>
    <n v="1"/>
    <s v="CUST-03169"/>
    <x v="0"/>
    <x v="11"/>
    <s v="KA"/>
    <x v="3"/>
    <s v="Bengaluru"/>
    <x v="0"/>
    <s v="P103"/>
    <s v="Niacinamide Toner"/>
    <x v="3"/>
    <n v="1"/>
    <n v="399"/>
    <n v="0.15"/>
    <n v="399"/>
    <n v="59.849999999999994"/>
    <n v="339.15"/>
    <n v="112"/>
    <n v="112"/>
    <n v="60"/>
    <n v="167.14999999999998"/>
    <n v="0.49284977148754233"/>
    <x v="3"/>
    <d v="2025-01-26T00:00:00"/>
    <n v="1"/>
    <x v="1"/>
    <n v="5"/>
    <n v="0"/>
  </r>
  <r>
    <s v="ORD-102290"/>
    <x v="387"/>
    <x v="1"/>
    <d v="2025-01-01T00:00:00"/>
    <n v="1"/>
    <s v="CUST-00497"/>
    <x v="1"/>
    <x v="11"/>
    <s v="KA"/>
    <x v="3"/>
    <s v="Bengaluru"/>
    <x v="3"/>
    <s v="P104"/>
    <s v="Hydrating Face Wash"/>
    <x v="3"/>
    <n v="1"/>
    <n v="299"/>
    <n v="0"/>
    <n v="299"/>
    <n v="0"/>
    <n v="299"/>
    <n v="90"/>
    <n v="90"/>
    <n v="60"/>
    <n v="149"/>
    <n v="0.49832775919732442"/>
    <x v="1"/>
    <d v="2025-01-28T00:00:00"/>
    <n v="3"/>
    <x v="0"/>
    <n v="4"/>
    <n v="0"/>
  </r>
  <r>
    <s v="ORD-102291"/>
    <x v="387"/>
    <x v="1"/>
    <d v="2025-01-01T00:00:00"/>
    <n v="1"/>
    <s v="CUST-00340"/>
    <x v="1"/>
    <x v="8"/>
    <s v="AP"/>
    <x v="3"/>
    <s v="Visakhapatnam"/>
    <x v="3"/>
    <s v="P201"/>
    <s v="Onion Hair Oil"/>
    <x v="6"/>
    <n v="1"/>
    <n v="349"/>
    <n v="0.25"/>
    <n v="349"/>
    <n v="87.25"/>
    <n v="261.75"/>
    <n v="105"/>
    <n v="105"/>
    <n v="120"/>
    <n v="36.75"/>
    <n v="0.14040114613180515"/>
    <x v="0"/>
    <d v="2025-01-28T00:00:00"/>
    <n v="3"/>
    <x v="0"/>
    <m/>
    <n v="1"/>
  </r>
  <r>
    <s v="ORD-102292"/>
    <x v="388"/>
    <x v="1"/>
    <d v="2025-01-01T00:00:00"/>
    <n v="1"/>
    <s v="CUST-00373"/>
    <x v="1"/>
    <x v="19"/>
    <s v="PB"/>
    <x v="0"/>
    <s v="Amritsar"/>
    <x v="0"/>
    <s v="P302"/>
    <s v="Linen Kurta"/>
    <x v="1"/>
    <n v="1"/>
    <n v="1499"/>
    <n v="0.25"/>
    <n v="1499"/>
    <n v="374.75"/>
    <n v="1124.25"/>
    <n v="630"/>
    <n v="630"/>
    <n v="60"/>
    <n v="434.25"/>
    <n v="0.38625750500333556"/>
    <x v="1"/>
    <d v="2025-01-30T00:00:00"/>
    <n v="4"/>
    <x v="0"/>
    <n v="4"/>
    <n v="0"/>
  </r>
  <r>
    <s v="ORD-102293"/>
    <x v="388"/>
    <x v="1"/>
    <d v="2025-01-01T00:00:00"/>
    <n v="1"/>
    <s v="CUST-00316"/>
    <x v="1"/>
    <x v="0"/>
    <s v="RJ"/>
    <x v="0"/>
    <s v="Udaipur"/>
    <x v="1"/>
    <s v="P404"/>
    <s v="Flip Flops"/>
    <x v="5"/>
    <n v="1"/>
    <n v="399"/>
    <n v="0.1"/>
    <n v="399"/>
    <n v="39.900000000000006"/>
    <n v="359.1"/>
    <n v="152"/>
    <n v="152"/>
    <n v="60"/>
    <n v="147.10000000000002"/>
    <n v="0.40963519910888335"/>
    <x v="2"/>
    <d v="2025-01-31T00:00:00"/>
    <n v="5"/>
    <x v="2"/>
    <n v="4"/>
    <n v="0"/>
  </r>
  <r>
    <s v="ORD-102294"/>
    <x v="388"/>
    <x v="1"/>
    <d v="2025-01-01T00:00:00"/>
    <n v="1"/>
    <s v="CUST-00237"/>
    <x v="1"/>
    <x v="0"/>
    <s v="RJ"/>
    <x v="0"/>
    <s v="Jaipur"/>
    <x v="0"/>
    <s v="P403"/>
    <s v="Kolhapuri Sandals"/>
    <x v="5"/>
    <n v="1"/>
    <n v="999"/>
    <n v="0.05"/>
    <n v="999"/>
    <n v="49.95"/>
    <n v="949.05"/>
    <n v="400"/>
    <n v="400"/>
    <n v="60"/>
    <n v="489.04999999999995"/>
    <n v="0.5153047784626732"/>
    <x v="2"/>
    <d v="2025-01-30T00:00:00"/>
    <n v="4"/>
    <x v="0"/>
    <n v="5"/>
    <n v="0"/>
  </r>
  <r>
    <s v="ORD-102295"/>
    <x v="388"/>
    <x v="1"/>
    <d v="2025-01-01T00:00:00"/>
    <n v="1"/>
    <s v="CUST-02717"/>
    <x v="0"/>
    <x v="1"/>
    <s v="GJ"/>
    <x v="1"/>
    <s v="Ahmedabad"/>
    <x v="0"/>
    <s v="P302"/>
    <s v="Linen Kurta"/>
    <x v="1"/>
    <n v="1"/>
    <n v="1499"/>
    <n v="0.25"/>
    <n v="1499"/>
    <n v="374.75"/>
    <n v="1124.25"/>
    <n v="630"/>
    <n v="630"/>
    <n v="60"/>
    <n v="434.25"/>
    <n v="0.38625750500333556"/>
    <x v="0"/>
    <d v="2025-01-29T00:00:00"/>
    <n v="3"/>
    <x v="0"/>
    <n v="4"/>
    <n v="0"/>
  </r>
  <r>
    <s v="ORD-102296"/>
    <x v="388"/>
    <x v="1"/>
    <d v="2025-01-01T00:00:00"/>
    <n v="1"/>
    <s v="CUST-01030"/>
    <x v="1"/>
    <x v="18"/>
    <s v="WB"/>
    <x v="2"/>
    <s v="Kolkata"/>
    <x v="2"/>
    <s v="P105"/>
    <s v="Retinol Night Cream"/>
    <x v="3"/>
    <n v="1"/>
    <n v="799"/>
    <n v="0"/>
    <n v="799"/>
    <n v="0"/>
    <n v="799"/>
    <n v="216"/>
    <n v="216"/>
    <n v="120"/>
    <n v="463"/>
    <n v="0.57947434292866085"/>
    <x v="1"/>
    <d v="2025-01-30T00:00:00"/>
    <n v="4"/>
    <x v="0"/>
    <n v="3"/>
    <n v="1"/>
  </r>
  <r>
    <s v="ORD-102297"/>
    <x v="388"/>
    <x v="1"/>
    <d v="2025-01-01T00:00:00"/>
    <n v="1"/>
    <s v="CUST-02908"/>
    <x v="1"/>
    <x v="2"/>
    <s v="MH"/>
    <x v="1"/>
    <s v="Nagpur"/>
    <x v="0"/>
    <s v="P103"/>
    <s v="Niacinamide Toner"/>
    <x v="3"/>
    <n v="1"/>
    <n v="399"/>
    <n v="0.25"/>
    <n v="399"/>
    <n v="99.75"/>
    <n v="299.25"/>
    <n v="112"/>
    <n v="112"/>
    <n v="60"/>
    <n v="127.25"/>
    <n v="0.42522974101921468"/>
    <x v="0"/>
    <d v="2025-01-27T00:00:00"/>
    <n v="1"/>
    <x v="1"/>
    <n v="4"/>
    <n v="0"/>
  </r>
  <r>
    <s v="ORD-102298"/>
    <x v="389"/>
    <x v="1"/>
    <d v="2025-01-01T00:00:00"/>
    <n v="1"/>
    <s v="CUST-00502"/>
    <x v="1"/>
    <x v="4"/>
    <s v="JK"/>
    <x v="0"/>
    <s v="Srinagar"/>
    <x v="0"/>
    <s v="P301"/>
    <s v="Cotton Oversized T-Shirt"/>
    <x v="1"/>
    <n v="1"/>
    <n v="799"/>
    <n v="0.05"/>
    <n v="799"/>
    <n v="39.950000000000003"/>
    <n v="759.05"/>
    <n v="320"/>
    <n v="320"/>
    <n v="60"/>
    <n v="379.04999999999995"/>
    <n v="0.49937421777221525"/>
    <x v="0"/>
    <d v="2025-02-01T00:00:00"/>
    <n v="5"/>
    <x v="2"/>
    <n v="3"/>
    <n v="0"/>
  </r>
  <r>
    <s v="ORD-102299"/>
    <x v="389"/>
    <x v="1"/>
    <d v="2025-01-01T00:00:00"/>
    <n v="1"/>
    <s v="CUST-01320"/>
    <x v="0"/>
    <x v="9"/>
    <s v="UK"/>
    <x v="0"/>
    <s v="Dehradun"/>
    <x v="4"/>
    <s v="P601"/>
    <s v="Wireless Earbuds"/>
    <x v="2"/>
    <n v="1"/>
    <n v="1999"/>
    <n v="0.4"/>
    <n v="1999"/>
    <n v="799.6"/>
    <n v="1199.4000000000001"/>
    <n v="1239"/>
    <n v="1239"/>
    <n v="60"/>
    <n v="-99.599999999999909"/>
    <n v="-8.3041520760380114E-2"/>
    <x v="0"/>
    <d v="2025-01-30T00:00:00"/>
    <n v="3"/>
    <x v="0"/>
    <n v="5"/>
    <n v="0"/>
  </r>
  <r>
    <s v="ORD-102300"/>
    <x v="389"/>
    <x v="1"/>
    <d v="2025-01-01T00:00:00"/>
    <n v="1"/>
    <s v="CUST-00219"/>
    <x v="1"/>
    <x v="0"/>
    <s v="RJ"/>
    <x v="0"/>
    <s v="Jaipur"/>
    <x v="4"/>
    <s v="P603"/>
    <s v="Smartwatch Strap"/>
    <x v="2"/>
    <n v="1"/>
    <n v="499"/>
    <n v="0.1"/>
    <n v="499"/>
    <n v="49.900000000000006"/>
    <n v="449.1"/>
    <n v="200"/>
    <n v="200"/>
    <n v="60"/>
    <n v="189.10000000000002"/>
    <n v="0.42106435092407041"/>
    <x v="3"/>
    <d v="2025-01-31T00:00:00"/>
    <n v="4"/>
    <x v="0"/>
    <n v="4"/>
    <n v="0"/>
  </r>
  <r>
    <s v="ORD-102301"/>
    <x v="389"/>
    <x v="1"/>
    <d v="2025-01-01T00:00:00"/>
    <n v="1"/>
    <s v="CUST-00326"/>
    <x v="1"/>
    <x v="6"/>
    <s v="DL"/>
    <x v="0"/>
    <s v="New Delhi"/>
    <x v="4"/>
    <s v="P302"/>
    <s v="Linen Kurta"/>
    <x v="1"/>
    <n v="1"/>
    <n v="1499"/>
    <n v="0.25"/>
    <n v="1499"/>
    <n v="374.75"/>
    <n v="1124.25"/>
    <n v="630"/>
    <n v="630"/>
    <n v="120"/>
    <n v="374.25"/>
    <n v="0.33288859239492996"/>
    <x v="3"/>
    <d v="2025-01-30T00:00:00"/>
    <n v="3"/>
    <x v="0"/>
    <m/>
    <n v="1"/>
  </r>
  <r>
    <s v="ORD-102302"/>
    <x v="389"/>
    <x v="1"/>
    <d v="2025-01-01T00:00:00"/>
    <n v="1"/>
    <s v="CUST-03146"/>
    <x v="0"/>
    <x v="12"/>
    <s v="BR"/>
    <x v="2"/>
    <s v="Patna"/>
    <x v="4"/>
    <s v="P403"/>
    <s v="Kolhapuri Sandals"/>
    <x v="5"/>
    <n v="1"/>
    <n v="999"/>
    <n v="0.05"/>
    <n v="999"/>
    <n v="49.95"/>
    <n v="949.05"/>
    <n v="400"/>
    <n v="400"/>
    <n v="60"/>
    <n v="489.04999999999995"/>
    <n v="0.5153047784626732"/>
    <x v="0"/>
    <d v="2025-01-30T00:00:00"/>
    <n v="3"/>
    <x v="0"/>
    <n v="4"/>
    <n v="0"/>
  </r>
  <r>
    <s v="ORD-102303"/>
    <x v="389"/>
    <x v="1"/>
    <d v="2025-01-01T00:00:00"/>
    <n v="1"/>
    <s v="CUST-03143"/>
    <x v="1"/>
    <x v="10"/>
    <s v="CG"/>
    <x v="2"/>
    <s v="Raipur"/>
    <x v="2"/>
    <s v="P303"/>
    <s v="Joggers"/>
    <x v="1"/>
    <n v="1"/>
    <n v="1199"/>
    <n v="0.05"/>
    <n v="1199"/>
    <n v="59.95"/>
    <n v="1139.05"/>
    <n v="492"/>
    <n v="492"/>
    <n v="60"/>
    <n v="587.04999999999995"/>
    <n v="0.51538562837452262"/>
    <x v="0"/>
    <d v="2025-01-30T00:00:00"/>
    <n v="3"/>
    <x v="0"/>
    <m/>
    <n v="0"/>
  </r>
  <r>
    <s v="ORD-102304"/>
    <x v="389"/>
    <x v="1"/>
    <d v="2025-01-01T00:00:00"/>
    <n v="1"/>
    <s v="CUST-00110"/>
    <x v="1"/>
    <x v="10"/>
    <s v="CG"/>
    <x v="2"/>
    <s v="Raipur"/>
    <x v="3"/>
    <s v="P104"/>
    <s v="Hydrating Face Wash"/>
    <x v="3"/>
    <n v="2"/>
    <n v="299"/>
    <n v="0"/>
    <n v="598"/>
    <n v="0"/>
    <n v="598"/>
    <n v="90"/>
    <n v="180"/>
    <n v="120"/>
    <n v="298"/>
    <n v="0.49832775919732442"/>
    <x v="0"/>
    <d v="2025-01-29T00:00:00"/>
    <n v="2"/>
    <x v="1"/>
    <m/>
    <n v="1"/>
  </r>
  <r>
    <s v="ORD-102305"/>
    <x v="389"/>
    <x v="1"/>
    <d v="2025-01-01T00:00:00"/>
    <n v="1"/>
    <s v="CUST-02117"/>
    <x v="0"/>
    <x v="2"/>
    <s v="MH"/>
    <x v="1"/>
    <s v="Pune"/>
    <x v="4"/>
    <s v="P105"/>
    <s v="Retinol Night Cream"/>
    <x v="3"/>
    <n v="1"/>
    <n v="799"/>
    <n v="0.05"/>
    <n v="799"/>
    <n v="39.950000000000003"/>
    <n v="759.05"/>
    <n v="216"/>
    <n v="216"/>
    <n v="60"/>
    <n v="483.04999999999995"/>
    <n v="0.63638758975034582"/>
    <x v="1"/>
    <d v="2025-01-28T00:00:00"/>
    <n v="1"/>
    <x v="1"/>
    <n v="4"/>
    <n v="0"/>
  </r>
  <r>
    <s v="ORD-102306"/>
    <x v="389"/>
    <x v="1"/>
    <d v="2025-01-01T00:00:00"/>
    <n v="1"/>
    <s v="CUST-00182"/>
    <x v="1"/>
    <x v="2"/>
    <s v="MH"/>
    <x v="1"/>
    <s v="Pune"/>
    <x v="0"/>
    <s v="P301"/>
    <s v="Cotton Oversized T-Shirt"/>
    <x v="1"/>
    <n v="1"/>
    <n v="799"/>
    <n v="0"/>
    <n v="799"/>
    <n v="0"/>
    <n v="799"/>
    <n v="320"/>
    <n v="320"/>
    <n v="120"/>
    <n v="359"/>
    <n v="0.44931163954943681"/>
    <x v="0"/>
    <d v="2025-01-30T00:00:00"/>
    <n v="3"/>
    <x v="0"/>
    <n v="4"/>
    <n v="1"/>
  </r>
  <r>
    <s v="ORD-102307"/>
    <x v="389"/>
    <x v="1"/>
    <d v="2025-01-01T00:00:00"/>
    <n v="1"/>
    <s v="CUST-02567"/>
    <x v="0"/>
    <x v="11"/>
    <s v="KA"/>
    <x v="3"/>
    <s v="Mysuru"/>
    <x v="1"/>
    <s v="P305"/>
    <s v="Printed Saree"/>
    <x v="1"/>
    <n v="1"/>
    <n v="1999"/>
    <n v="0.05"/>
    <n v="1999"/>
    <n v="99.95"/>
    <n v="1899.05"/>
    <n v="880"/>
    <n v="880"/>
    <n v="60"/>
    <n v="959.05"/>
    <n v="0.50501566572760059"/>
    <x v="0"/>
    <d v="2025-01-30T00:00:00"/>
    <n v="3"/>
    <x v="0"/>
    <m/>
    <n v="0"/>
  </r>
  <r>
    <s v="ORD-102308"/>
    <x v="389"/>
    <x v="1"/>
    <d v="2025-01-01T00:00:00"/>
    <n v="1"/>
    <s v="CUST-00167"/>
    <x v="1"/>
    <x v="8"/>
    <s v="AP"/>
    <x v="3"/>
    <s v="Visakhapatnam"/>
    <x v="0"/>
    <s v="P503"/>
    <s v="Scented Candle Set"/>
    <x v="4"/>
    <n v="2"/>
    <n v="699"/>
    <n v="0.2"/>
    <n v="1398"/>
    <n v="279.60000000000002"/>
    <n v="1118.4000000000001"/>
    <n v="245"/>
    <n v="490"/>
    <n v="60"/>
    <n v="568.40000000000009"/>
    <n v="0.50822603719599435"/>
    <x v="1"/>
    <d v="2025-02-01T00:00:00"/>
    <n v="5"/>
    <x v="2"/>
    <m/>
    <n v="0"/>
  </r>
  <r>
    <s v="ORD-102309"/>
    <x v="389"/>
    <x v="1"/>
    <d v="2025-01-01T00:00:00"/>
    <n v="1"/>
    <s v="CUST-00596"/>
    <x v="1"/>
    <x v="17"/>
    <s v="TN"/>
    <x v="3"/>
    <s v="Chennai"/>
    <x v="0"/>
    <s v="P404"/>
    <s v="Flip Flops"/>
    <x v="5"/>
    <n v="1"/>
    <n v="399"/>
    <n v="0.1"/>
    <n v="399"/>
    <n v="39.900000000000006"/>
    <n v="359.1"/>
    <n v="152"/>
    <n v="152"/>
    <n v="60"/>
    <n v="147.10000000000002"/>
    <n v="0.40963519910888335"/>
    <x v="3"/>
    <d v="2025-01-29T00:00:00"/>
    <n v="2"/>
    <x v="1"/>
    <m/>
    <n v="0"/>
  </r>
  <r>
    <s v="ORD-102310"/>
    <x v="390"/>
    <x v="1"/>
    <d v="2025-01-01T00:00:00"/>
    <n v="1"/>
    <s v="CUST-00503"/>
    <x v="0"/>
    <x v="0"/>
    <s v="RJ"/>
    <x v="0"/>
    <s v="Jaipur"/>
    <x v="2"/>
    <s v="P603"/>
    <s v="Smartwatch Strap"/>
    <x v="2"/>
    <n v="1"/>
    <n v="499"/>
    <n v="0.1"/>
    <n v="499"/>
    <n v="49.900000000000006"/>
    <n v="449.1"/>
    <n v="200"/>
    <n v="200"/>
    <n v="60"/>
    <n v="189.10000000000002"/>
    <n v="0.42106435092407041"/>
    <x v="0"/>
    <d v="2025-02-02T00:00:00"/>
    <n v="5"/>
    <x v="2"/>
    <m/>
    <n v="0"/>
  </r>
  <r>
    <s v="ORD-102311"/>
    <x v="390"/>
    <x v="1"/>
    <d v="2025-01-01T00:00:00"/>
    <n v="1"/>
    <s v="CUST-00358"/>
    <x v="1"/>
    <x v="15"/>
    <s v="HR"/>
    <x v="0"/>
    <s v="Gurugram"/>
    <x v="4"/>
    <s v="P302"/>
    <s v="Linen Kurta"/>
    <x v="1"/>
    <n v="1"/>
    <n v="1499"/>
    <n v="0.25"/>
    <n v="1499"/>
    <n v="374.75"/>
    <n v="1124.25"/>
    <n v="630"/>
    <n v="630"/>
    <n v="60"/>
    <n v="434.25"/>
    <n v="0.38625750500333556"/>
    <x v="4"/>
    <d v="2025-02-01T00:00:00"/>
    <n v="4"/>
    <x v="0"/>
    <n v="3"/>
    <n v="0"/>
  </r>
  <r>
    <s v="ORD-102312"/>
    <x v="390"/>
    <x v="1"/>
    <d v="2025-01-01T00:00:00"/>
    <n v="1"/>
    <s v="CUST-00499"/>
    <x v="1"/>
    <x v="6"/>
    <s v="DL"/>
    <x v="0"/>
    <s v="New Delhi"/>
    <x v="0"/>
    <s v="P105"/>
    <s v="Retinol Night Cream"/>
    <x v="3"/>
    <n v="3"/>
    <n v="799"/>
    <n v="0.05"/>
    <n v="2397"/>
    <n v="119.85000000000001"/>
    <n v="2277.15"/>
    <n v="216"/>
    <n v="648"/>
    <n v="60"/>
    <n v="1569.15"/>
    <n v="0.68908504051116526"/>
    <x v="1"/>
    <d v="2025-02-01T00:00:00"/>
    <n v="4"/>
    <x v="0"/>
    <n v="4"/>
    <n v="0"/>
  </r>
  <r>
    <s v="ORD-102313"/>
    <x v="390"/>
    <x v="1"/>
    <d v="2025-01-01T00:00:00"/>
    <n v="1"/>
    <s v="CUST-00336"/>
    <x v="0"/>
    <x v="6"/>
    <s v="DL"/>
    <x v="0"/>
    <s v="New Delhi"/>
    <x v="2"/>
    <s v="P404"/>
    <s v="Flip Flops"/>
    <x v="5"/>
    <n v="2"/>
    <n v="399"/>
    <n v="0"/>
    <n v="798"/>
    <n v="0"/>
    <n v="798"/>
    <n v="152"/>
    <n v="304"/>
    <n v="60"/>
    <n v="434"/>
    <n v="0.54385964912280704"/>
    <x v="3"/>
    <d v="2025-01-31T00:00:00"/>
    <n v="3"/>
    <x v="0"/>
    <n v="2"/>
    <n v="0"/>
  </r>
  <r>
    <s v="ORD-102314"/>
    <x v="390"/>
    <x v="1"/>
    <d v="2025-01-01T00:00:00"/>
    <n v="1"/>
    <s v="CUST-00198"/>
    <x v="1"/>
    <x v="1"/>
    <s v="GJ"/>
    <x v="1"/>
    <s v="Surat"/>
    <x v="4"/>
    <s v="P504"/>
    <s v="Cotton Bedsheet"/>
    <x v="4"/>
    <n v="1"/>
    <n v="1299"/>
    <n v="0"/>
    <n v="1299"/>
    <n v="0"/>
    <n v="1299"/>
    <n v="585"/>
    <n v="585"/>
    <n v="60"/>
    <n v="654"/>
    <n v="0.50346420323325636"/>
    <x v="2"/>
    <d v="2025-02-01T00:00:00"/>
    <n v="4"/>
    <x v="0"/>
    <m/>
    <n v="0"/>
  </r>
  <r>
    <s v="ORD-102315"/>
    <x v="390"/>
    <x v="1"/>
    <d v="2025-01-01T00:00:00"/>
    <n v="1"/>
    <s v="CUST-00366"/>
    <x v="1"/>
    <x v="18"/>
    <s v="WB"/>
    <x v="2"/>
    <s v="Kolkata"/>
    <x v="4"/>
    <s v="P703"/>
    <s v="Green Tea (100 bags)"/>
    <x v="0"/>
    <n v="1"/>
    <n v="399"/>
    <n v="0.45"/>
    <n v="399"/>
    <n v="179.55"/>
    <n v="219.45"/>
    <n v="128"/>
    <n v="128"/>
    <n v="60"/>
    <n v="31.449999999999989"/>
    <n v="0.14331282752335381"/>
    <x v="0"/>
    <d v="2025-02-01T00:00:00"/>
    <n v="4"/>
    <x v="0"/>
    <m/>
    <n v="0"/>
  </r>
  <r>
    <s v="ORD-102316"/>
    <x v="390"/>
    <x v="1"/>
    <d v="2025-01-01T00:00:00"/>
    <n v="1"/>
    <s v="CUST-02204"/>
    <x v="1"/>
    <x v="2"/>
    <s v="MH"/>
    <x v="1"/>
    <s v="Mumbai"/>
    <x v="2"/>
    <s v="P701"/>
    <s v="Ashwagandha Capsules"/>
    <x v="0"/>
    <n v="1"/>
    <n v="499"/>
    <n v="0.05"/>
    <n v="499"/>
    <n v="24.950000000000003"/>
    <n v="474.05"/>
    <n v="150"/>
    <n v="150"/>
    <n v="60"/>
    <n v="264.05"/>
    <n v="0.55700875435080688"/>
    <x v="1"/>
    <d v="2025-01-31T00:00:00"/>
    <n v="3"/>
    <x v="0"/>
    <n v="4"/>
    <n v="0"/>
  </r>
  <r>
    <s v="ORD-102317"/>
    <x v="390"/>
    <x v="1"/>
    <d v="2025-01-01T00:00:00"/>
    <n v="1"/>
    <s v="CUST-00379"/>
    <x v="0"/>
    <x v="2"/>
    <s v="MH"/>
    <x v="1"/>
    <s v="Mumbai"/>
    <x v="4"/>
    <s v="P105"/>
    <s v="Retinol Night Cream"/>
    <x v="3"/>
    <n v="1"/>
    <n v="799"/>
    <n v="0"/>
    <n v="799"/>
    <n v="0"/>
    <n v="799"/>
    <n v="216"/>
    <n v="216"/>
    <n v="60"/>
    <n v="523"/>
    <n v="0.65456821026282852"/>
    <x v="3"/>
    <d v="2025-01-30T00:00:00"/>
    <n v="2"/>
    <x v="1"/>
    <n v="3"/>
    <n v="0"/>
  </r>
  <r>
    <s v="ORD-102318"/>
    <x v="390"/>
    <x v="1"/>
    <d v="2025-01-01T00:00:00"/>
    <n v="1"/>
    <s v="CUST-00982"/>
    <x v="0"/>
    <x v="2"/>
    <s v="MH"/>
    <x v="1"/>
    <s v="Nagpur"/>
    <x v="0"/>
    <s v="P103"/>
    <s v="Niacinamide Toner"/>
    <x v="3"/>
    <n v="2"/>
    <n v="399"/>
    <n v="0.2"/>
    <n v="798"/>
    <n v="159.60000000000002"/>
    <n v="638.4"/>
    <n v="112"/>
    <n v="224"/>
    <n v="60"/>
    <n v="354.4"/>
    <n v="0.55513784461152882"/>
    <x v="0"/>
    <d v="2025-01-29T00:00:00"/>
    <n v="1"/>
    <x v="1"/>
    <n v="5"/>
    <n v="0"/>
  </r>
  <r>
    <s v="ORD-102319"/>
    <x v="390"/>
    <x v="1"/>
    <d v="2025-01-01T00:00:00"/>
    <n v="1"/>
    <s v="CUST-02956"/>
    <x v="0"/>
    <x v="8"/>
    <s v="AP"/>
    <x v="3"/>
    <s v="Visakhapatnam"/>
    <x v="4"/>
    <s v="P503"/>
    <s v="Scented Candle Set"/>
    <x v="4"/>
    <n v="1"/>
    <n v="699"/>
    <n v="0.2"/>
    <n v="699"/>
    <n v="139.80000000000001"/>
    <n v="559.20000000000005"/>
    <n v="245"/>
    <n v="245"/>
    <n v="60"/>
    <n v="254.20000000000005"/>
    <n v="0.45457796852646642"/>
    <x v="0"/>
    <d v="2025-01-30T00:00:00"/>
    <n v="2"/>
    <x v="1"/>
    <n v="4"/>
    <n v="0"/>
  </r>
  <r>
    <s v="ORD-102320"/>
    <x v="390"/>
    <x v="1"/>
    <d v="2025-01-01T00:00:00"/>
    <n v="1"/>
    <s v="CUST-00971"/>
    <x v="1"/>
    <x v="17"/>
    <s v="TN"/>
    <x v="3"/>
    <s v="Coimbatore"/>
    <x v="2"/>
    <s v="P102"/>
    <s v="Sunscreen SPF 50"/>
    <x v="3"/>
    <n v="1"/>
    <n v="449"/>
    <n v="0"/>
    <n v="449"/>
    <n v="0"/>
    <n v="449"/>
    <n v="144"/>
    <n v="144"/>
    <n v="120"/>
    <n v="185"/>
    <n v="0.41202672605790647"/>
    <x v="0"/>
    <d v="2025-01-29T00:00:00"/>
    <n v="1"/>
    <x v="1"/>
    <n v="4"/>
    <n v="1"/>
  </r>
  <r>
    <s v="ORD-102321"/>
    <x v="391"/>
    <x v="1"/>
    <d v="2025-01-01T00:00:00"/>
    <n v="1"/>
    <s v="CUST-01125"/>
    <x v="1"/>
    <x v="0"/>
    <s v="RJ"/>
    <x v="0"/>
    <s v="Udaipur"/>
    <x v="3"/>
    <s v="P704"/>
    <s v="Multivitamin Gummies"/>
    <x v="0"/>
    <n v="2"/>
    <n v="699"/>
    <n v="0.3"/>
    <n v="1398"/>
    <n v="419.4"/>
    <n v="978.6"/>
    <n v="238"/>
    <n v="476"/>
    <n v="60"/>
    <n v="442.6"/>
    <n v="0.45227876558348662"/>
    <x v="0"/>
    <d v="2025-02-02T00:00:00"/>
    <n v="4"/>
    <x v="0"/>
    <n v="4"/>
    <n v="0"/>
  </r>
  <r>
    <s v="ORD-102322"/>
    <x v="391"/>
    <x v="1"/>
    <d v="2025-01-01T00:00:00"/>
    <n v="1"/>
    <s v="CUST-00312"/>
    <x v="1"/>
    <x v="16"/>
    <s v="UP"/>
    <x v="0"/>
    <s v="Lucknow"/>
    <x v="0"/>
    <s v="P201"/>
    <s v="Onion Hair Oil"/>
    <x v="6"/>
    <n v="1"/>
    <n v="349"/>
    <n v="0.3"/>
    <n v="349"/>
    <n v="104.7"/>
    <n v="244.3"/>
    <n v="105"/>
    <n v="105"/>
    <n v="60"/>
    <n v="79.300000000000011"/>
    <n v="0.32460090053213264"/>
    <x v="0"/>
    <d v="2025-02-01T00:00:00"/>
    <n v="3"/>
    <x v="0"/>
    <n v="4"/>
    <n v="0"/>
  </r>
  <r>
    <s v="ORD-102323"/>
    <x v="391"/>
    <x v="1"/>
    <d v="2025-01-01T00:00:00"/>
    <n v="1"/>
    <s v="CUST-00772"/>
    <x v="1"/>
    <x v="1"/>
    <s v="GJ"/>
    <x v="1"/>
    <s v="Ahmedabad"/>
    <x v="2"/>
    <s v="P503"/>
    <s v="Scented Candle Set"/>
    <x v="4"/>
    <n v="1"/>
    <n v="699"/>
    <n v="0.2"/>
    <n v="699"/>
    <n v="139.80000000000001"/>
    <n v="559.20000000000005"/>
    <n v="245"/>
    <n v="245"/>
    <n v="60"/>
    <n v="254.20000000000005"/>
    <n v="0.45457796852646642"/>
    <x v="3"/>
    <d v="2025-02-01T00:00:00"/>
    <n v="3"/>
    <x v="0"/>
    <n v="3"/>
    <n v="0"/>
  </r>
  <r>
    <s v="ORD-102324"/>
    <x v="391"/>
    <x v="1"/>
    <d v="2025-01-01T00:00:00"/>
    <n v="1"/>
    <s v="CUST-00374"/>
    <x v="0"/>
    <x v="1"/>
    <s v="GJ"/>
    <x v="1"/>
    <s v="Ahmedabad"/>
    <x v="4"/>
    <s v="P104"/>
    <s v="Hydrating Face Wash"/>
    <x v="3"/>
    <n v="1"/>
    <n v="299"/>
    <n v="0"/>
    <n v="299"/>
    <n v="0"/>
    <n v="299"/>
    <n v="90"/>
    <n v="90"/>
    <n v="60"/>
    <n v="149"/>
    <n v="0.49832775919732442"/>
    <x v="0"/>
    <d v="2025-02-02T00:00:00"/>
    <n v="4"/>
    <x v="0"/>
    <n v="3"/>
    <n v="0"/>
  </r>
  <r>
    <s v="ORD-102325"/>
    <x v="391"/>
    <x v="1"/>
    <d v="2025-01-01T00:00:00"/>
    <n v="1"/>
    <s v="CUST-00543"/>
    <x v="1"/>
    <x v="2"/>
    <s v="MH"/>
    <x v="1"/>
    <s v="Nagpur"/>
    <x v="2"/>
    <s v="P101"/>
    <s v="Vitamin C Face Serum"/>
    <x v="3"/>
    <n v="1"/>
    <n v="599"/>
    <n v="0.15"/>
    <n v="599"/>
    <n v="89.85"/>
    <n v="509.15"/>
    <n v="180"/>
    <n v="180"/>
    <n v="60"/>
    <n v="269.14999999999998"/>
    <n v="0.52862614160856325"/>
    <x v="0"/>
    <d v="2025-02-02T00:00:00"/>
    <n v="4"/>
    <x v="0"/>
    <m/>
    <n v="0"/>
  </r>
  <r>
    <s v="ORD-102326"/>
    <x v="391"/>
    <x v="1"/>
    <d v="2025-01-01T00:00:00"/>
    <n v="1"/>
    <s v="CUST-02772"/>
    <x v="0"/>
    <x v="21"/>
    <s v="TG"/>
    <x v="3"/>
    <s v="Hyderabad"/>
    <x v="0"/>
    <s v="P501"/>
    <s v="Copper Water Bottle"/>
    <x v="4"/>
    <n v="2"/>
    <n v="899"/>
    <n v="0.15"/>
    <n v="1798"/>
    <n v="269.7"/>
    <n v="1528.3"/>
    <n v="378"/>
    <n v="756"/>
    <n v="60"/>
    <n v="712.3"/>
    <n v="0.46607341490545051"/>
    <x v="0"/>
    <d v="2025-02-01T00:00:00"/>
    <n v="3"/>
    <x v="0"/>
    <n v="4"/>
    <n v="0"/>
  </r>
  <r>
    <s v="ORD-102327"/>
    <x v="392"/>
    <x v="1"/>
    <d v="2025-01-01T00:00:00"/>
    <n v="1"/>
    <s v="CUST-01145"/>
    <x v="1"/>
    <x v="15"/>
    <s v="HR"/>
    <x v="0"/>
    <s v="Gurugram"/>
    <x v="4"/>
    <s v="P603"/>
    <s v="Smartwatch Strap"/>
    <x v="2"/>
    <n v="1"/>
    <n v="499"/>
    <n v="0.2"/>
    <n v="499"/>
    <n v="99.800000000000011"/>
    <n v="399.2"/>
    <n v="200"/>
    <n v="200"/>
    <n v="60"/>
    <n v="139.19999999999999"/>
    <n v="0.34869739478957912"/>
    <x v="1"/>
    <d v="2025-02-01T00:00:00"/>
    <n v="2"/>
    <x v="1"/>
    <m/>
    <n v="0"/>
  </r>
  <r>
    <s v="ORD-102328"/>
    <x v="392"/>
    <x v="1"/>
    <d v="2025-01-01T00:00:00"/>
    <n v="1"/>
    <s v="CUST-02849"/>
    <x v="0"/>
    <x v="6"/>
    <s v="DL"/>
    <x v="0"/>
    <s v="New Delhi"/>
    <x v="0"/>
    <s v="P105"/>
    <s v="Retinol Night Cream"/>
    <x v="3"/>
    <n v="1"/>
    <n v="799"/>
    <n v="0.1"/>
    <n v="799"/>
    <n v="79.900000000000006"/>
    <n v="719.1"/>
    <n v="216"/>
    <n v="216"/>
    <n v="60"/>
    <n v="443.1"/>
    <n v="0.61618690029203171"/>
    <x v="3"/>
    <d v="2025-02-02T00:00:00"/>
    <n v="3"/>
    <x v="0"/>
    <n v="4"/>
    <n v="0"/>
  </r>
  <r>
    <s v="ORD-102329"/>
    <x v="392"/>
    <x v="1"/>
    <d v="2025-01-01T00:00:00"/>
    <n v="1"/>
    <s v="CUST-02809"/>
    <x v="0"/>
    <x v="6"/>
    <s v="DL"/>
    <x v="0"/>
    <s v="New Delhi"/>
    <x v="3"/>
    <s v="P103"/>
    <s v="Niacinamide Toner"/>
    <x v="3"/>
    <n v="3"/>
    <n v="399"/>
    <n v="0.2"/>
    <n v="1197"/>
    <n v="239.4"/>
    <n v="957.6"/>
    <n v="112"/>
    <n v="336"/>
    <n v="60"/>
    <n v="561.6"/>
    <n v="0.5864661654135338"/>
    <x v="2"/>
    <d v="2025-01-31T00:00:00"/>
    <n v="1"/>
    <x v="1"/>
    <n v="5"/>
    <n v="0"/>
  </r>
  <r>
    <s v="ORD-102330"/>
    <x v="392"/>
    <x v="1"/>
    <d v="2025-01-01T00:00:00"/>
    <n v="1"/>
    <s v="CUST-00367"/>
    <x v="1"/>
    <x v="16"/>
    <s v="UP"/>
    <x v="0"/>
    <s v="Lucknow"/>
    <x v="2"/>
    <s v="P201"/>
    <s v="Onion Hair Oil"/>
    <x v="6"/>
    <n v="2"/>
    <n v="349"/>
    <n v="0.3"/>
    <n v="698"/>
    <n v="209.4"/>
    <n v="488.6"/>
    <n v="105"/>
    <n v="210"/>
    <n v="60"/>
    <n v="218.60000000000002"/>
    <n v="0.44740073679901765"/>
    <x v="3"/>
    <d v="2025-02-02T00:00:00"/>
    <n v="3"/>
    <x v="0"/>
    <m/>
    <n v="0"/>
  </r>
  <r>
    <s v="ORD-102331"/>
    <x v="392"/>
    <x v="1"/>
    <d v="2025-01-01T00:00:00"/>
    <n v="1"/>
    <s v="CUST-00333"/>
    <x v="1"/>
    <x v="16"/>
    <s v="UP"/>
    <x v="0"/>
    <s v="Noida"/>
    <x v="2"/>
    <s v="P301"/>
    <s v="Cotton Oversized T-Shirt"/>
    <x v="1"/>
    <n v="1"/>
    <n v="799"/>
    <n v="0.05"/>
    <n v="799"/>
    <n v="39.950000000000003"/>
    <n v="759.05"/>
    <n v="320"/>
    <n v="320"/>
    <n v="60"/>
    <n v="379.04999999999995"/>
    <n v="0.49937421777221525"/>
    <x v="0"/>
    <d v="2025-02-03T00:00:00"/>
    <n v="4"/>
    <x v="0"/>
    <n v="4"/>
    <n v="0"/>
  </r>
  <r>
    <s v="ORD-102332"/>
    <x v="392"/>
    <x v="1"/>
    <d v="2025-01-01T00:00:00"/>
    <n v="1"/>
    <s v="CUST-00531"/>
    <x v="1"/>
    <x v="11"/>
    <s v="KA"/>
    <x v="3"/>
    <s v="Bengaluru"/>
    <x v="0"/>
    <s v="P603"/>
    <s v="Smartwatch Strap"/>
    <x v="2"/>
    <n v="4"/>
    <n v="499"/>
    <n v="0.05"/>
    <n v="1996"/>
    <n v="99.800000000000011"/>
    <n v="1896.2"/>
    <n v="200"/>
    <n v="800"/>
    <n v="60"/>
    <n v="1036.2"/>
    <n v="0.54646134374011179"/>
    <x v="2"/>
    <d v="2025-01-31T00:00:00"/>
    <n v="1"/>
    <x v="1"/>
    <m/>
    <n v="0"/>
  </r>
  <r>
    <s v="ORD-102333"/>
    <x v="392"/>
    <x v="1"/>
    <d v="2025-01-01T00:00:00"/>
    <n v="1"/>
    <s v="CUST-00833"/>
    <x v="1"/>
    <x v="8"/>
    <s v="AP"/>
    <x v="3"/>
    <s v="Vijayawada"/>
    <x v="3"/>
    <s v="P201"/>
    <s v="Onion Hair Oil"/>
    <x v="6"/>
    <n v="2"/>
    <n v="349"/>
    <n v="0.3"/>
    <n v="698"/>
    <n v="209.4"/>
    <n v="488.6"/>
    <n v="105"/>
    <n v="210"/>
    <n v="60"/>
    <n v="218.60000000000002"/>
    <n v="0.44740073679901765"/>
    <x v="0"/>
    <d v="2025-02-04T00:00:00"/>
    <n v="5"/>
    <x v="2"/>
    <n v="4"/>
    <n v="0"/>
  </r>
  <r>
    <s v="ORD-102334"/>
    <x v="393"/>
    <x v="1"/>
    <d v="2025-01-01T00:00:00"/>
    <n v="1"/>
    <s v="CUST-00998"/>
    <x v="1"/>
    <x v="4"/>
    <s v="JK"/>
    <x v="0"/>
    <s v="Srinagar"/>
    <x v="4"/>
    <s v="P502"/>
    <s v="Ceramic Dinner Set"/>
    <x v="4"/>
    <n v="1"/>
    <n v="2499"/>
    <n v="0.3"/>
    <n v="2499"/>
    <n v="749.69999999999993"/>
    <n v="1749.3000000000002"/>
    <n v="1250"/>
    <n v="1250"/>
    <n v="60"/>
    <n v="439.30000000000018"/>
    <n v="0.25112902303778661"/>
    <x v="2"/>
    <d v="2025-02-06T00:00:00"/>
    <n v="6"/>
    <x v="2"/>
    <m/>
    <n v="0"/>
  </r>
  <r>
    <s v="ORD-102335"/>
    <x v="393"/>
    <x v="1"/>
    <d v="2025-01-01T00:00:00"/>
    <n v="1"/>
    <s v="CUST-02777"/>
    <x v="0"/>
    <x v="0"/>
    <s v="RJ"/>
    <x v="0"/>
    <s v="Udaipur"/>
    <x v="0"/>
    <s v="P202"/>
    <s v="Argan Shampoo"/>
    <x v="6"/>
    <n v="1"/>
    <n v="449"/>
    <n v="0.15"/>
    <n v="449"/>
    <n v="67.349999999999994"/>
    <n v="381.65"/>
    <n v="148"/>
    <n v="148"/>
    <n v="120"/>
    <n v="113.64999999999998"/>
    <n v="0.29778592951657273"/>
    <x v="1"/>
    <d v="2025-02-04T00:00:00"/>
    <n v="4"/>
    <x v="0"/>
    <n v="4"/>
    <n v="1"/>
  </r>
  <r>
    <s v="ORD-102336"/>
    <x v="393"/>
    <x v="1"/>
    <d v="2025-01-01T00:00:00"/>
    <n v="1"/>
    <s v="CUST-02992"/>
    <x v="0"/>
    <x v="0"/>
    <s v="RJ"/>
    <x v="0"/>
    <s v="Udaipur"/>
    <x v="2"/>
    <s v="P403"/>
    <s v="Kolhapuri Sandals"/>
    <x v="5"/>
    <n v="2"/>
    <n v="999"/>
    <n v="0"/>
    <n v="1998"/>
    <n v="0"/>
    <n v="1998"/>
    <n v="400"/>
    <n v="800"/>
    <n v="60"/>
    <n v="1138"/>
    <n v="0.56956956956956961"/>
    <x v="0"/>
    <d v="2025-02-04T00:00:00"/>
    <n v="4"/>
    <x v="0"/>
    <n v="4"/>
    <n v="0"/>
  </r>
  <r>
    <s v="ORD-102337"/>
    <x v="393"/>
    <x v="1"/>
    <d v="2025-01-01T00:00:00"/>
    <n v="1"/>
    <s v="CUST-02825"/>
    <x v="0"/>
    <x v="12"/>
    <s v="BR"/>
    <x v="2"/>
    <s v="Patna"/>
    <x v="4"/>
    <s v="P503"/>
    <s v="Scented Candle Set"/>
    <x v="4"/>
    <n v="2"/>
    <n v="699"/>
    <n v="0.3"/>
    <n v="1398"/>
    <n v="419.4"/>
    <n v="978.6"/>
    <n v="245"/>
    <n v="490"/>
    <n v="60"/>
    <n v="428.6"/>
    <n v="0.43797261393827919"/>
    <x v="0"/>
    <d v="2025-02-05T00:00:00"/>
    <n v="5"/>
    <x v="2"/>
    <m/>
    <n v="0"/>
  </r>
  <r>
    <s v="ORD-102338"/>
    <x v="393"/>
    <x v="1"/>
    <d v="2025-01-01T00:00:00"/>
    <n v="1"/>
    <s v="CUST-02407"/>
    <x v="0"/>
    <x v="10"/>
    <s v="CG"/>
    <x v="2"/>
    <s v="Raipur"/>
    <x v="4"/>
    <s v="P404"/>
    <s v="Flip Flops"/>
    <x v="5"/>
    <n v="2"/>
    <n v="399"/>
    <n v="0.2"/>
    <n v="798"/>
    <n v="159.60000000000002"/>
    <n v="638.4"/>
    <n v="152"/>
    <n v="304"/>
    <n v="60"/>
    <n v="274.39999999999998"/>
    <n v="0.42982456140350878"/>
    <x v="3"/>
    <d v="2025-02-02T00:00:00"/>
    <n v="2"/>
    <x v="1"/>
    <m/>
    <n v="0"/>
  </r>
  <r>
    <s v="ORD-102339"/>
    <x v="393"/>
    <x v="1"/>
    <d v="2025-01-01T00:00:00"/>
    <n v="1"/>
    <s v="CUST-02060"/>
    <x v="1"/>
    <x v="2"/>
    <s v="MH"/>
    <x v="1"/>
    <s v="Mumbai"/>
    <x v="0"/>
    <s v="P203"/>
    <s v="Keratin Hair Mask"/>
    <x v="6"/>
    <n v="1"/>
    <n v="549"/>
    <n v="0.2"/>
    <n v="549"/>
    <n v="109.80000000000001"/>
    <n v="439.2"/>
    <n v="170"/>
    <n v="170"/>
    <n v="60"/>
    <n v="209.2"/>
    <n v="0.47632058287795992"/>
    <x v="3"/>
    <d v="2025-02-03T00:00:00"/>
    <n v="3"/>
    <x v="0"/>
    <n v="5"/>
    <n v="0"/>
  </r>
  <r>
    <s v="ORD-102340"/>
    <x v="393"/>
    <x v="1"/>
    <d v="2025-01-01T00:00:00"/>
    <n v="1"/>
    <s v="CUST-00873"/>
    <x v="1"/>
    <x v="21"/>
    <s v="TG"/>
    <x v="3"/>
    <s v="Hyderabad"/>
    <x v="4"/>
    <s v="P403"/>
    <s v="Kolhapuri Sandals"/>
    <x v="5"/>
    <n v="1"/>
    <n v="999"/>
    <n v="0.05"/>
    <n v="999"/>
    <n v="49.95"/>
    <n v="949.05"/>
    <n v="400"/>
    <n v="400"/>
    <n v="120"/>
    <n v="429.04999999999995"/>
    <n v="0.4520836626099784"/>
    <x v="3"/>
    <d v="2025-02-01T00:00:00"/>
    <n v="1"/>
    <x v="1"/>
    <n v="5"/>
    <n v="1"/>
  </r>
  <r>
    <s v="ORD-102341"/>
    <x v="393"/>
    <x v="1"/>
    <d v="2025-01-01T00:00:00"/>
    <n v="1"/>
    <s v="CUST-00110"/>
    <x v="1"/>
    <x v="3"/>
    <s v="OD"/>
    <x v="2"/>
    <s v="Bhubaneswar"/>
    <x v="1"/>
    <s v="P303"/>
    <s v="Joggers"/>
    <x v="1"/>
    <n v="3"/>
    <n v="1199"/>
    <n v="0.15"/>
    <n v="3597"/>
    <n v="539.54999999999995"/>
    <n v="3057.45"/>
    <n v="492"/>
    <n v="1476"/>
    <n v="60"/>
    <n v="1521.4499999999998"/>
    <n v="0.49762056615807287"/>
    <x v="0"/>
    <d v="2025-02-06T00:00:00"/>
    <n v="6"/>
    <x v="2"/>
    <n v="4"/>
    <n v="0"/>
  </r>
  <r>
    <s v="ORD-102342"/>
    <x v="393"/>
    <x v="1"/>
    <d v="2025-01-01T00:00:00"/>
    <n v="1"/>
    <s v="CUST-00166"/>
    <x v="0"/>
    <x v="8"/>
    <s v="AP"/>
    <x v="3"/>
    <s v="Vijayawada"/>
    <x v="4"/>
    <s v="P502"/>
    <s v="Ceramic Dinner Set"/>
    <x v="4"/>
    <n v="2"/>
    <n v="2499"/>
    <n v="0.3"/>
    <n v="4998"/>
    <n v="1499.3999999999999"/>
    <n v="3498.6000000000004"/>
    <n v="1250"/>
    <n v="2500"/>
    <n v="60"/>
    <n v="938.60000000000036"/>
    <n v="0.26827874006745561"/>
    <x v="2"/>
    <d v="2025-02-06T00:00:00"/>
    <n v="6"/>
    <x v="2"/>
    <m/>
    <n v="0"/>
  </r>
  <r>
    <s v="ORD-102343"/>
    <x v="394"/>
    <x v="1"/>
    <d v="2025-02-01T00:00:00"/>
    <n v="2"/>
    <s v="CUST-01133"/>
    <x v="1"/>
    <x v="4"/>
    <s v="JK"/>
    <x v="0"/>
    <s v="Jammu"/>
    <x v="4"/>
    <s v="P603"/>
    <s v="Smartwatch Strap"/>
    <x v="2"/>
    <n v="1"/>
    <n v="499"/>
    <n v="0.05"/>
    <n v="499"/>
    <n v="24.950000000000003"/>
    <n v="474.05"/>
    <n v="200"/>
    <n v="200"/>
    <n v="60"/>
    <n v="214.05"/>
    <n v="0.45153464824385614"/>
    <x v="0"/>
    <d v="2025-02-08T00:00:00"/>
    <n v="7"/>
    <x v="2"/>
    <n v="2"/>
    <n v="0"/>
  </r>
  <r>
    <s v="ORD-102344"/>
    <x v="394"/>
    <x v="1"/>
    <d v="2025-02-01T00:00:00"/>
    <n v="2"/>
    <s v="CUST-02816"/>
    <x v="1"/>
    <x v="6"/>
    <s v="DL"/>
    <x v="0"/>
    <s v="New Delhi"/>
    <x v="2"/>
    <s v="P302"/>
    <s v="Linen Kurta"/>
    <x v="1"/>
    <n v="2"/>
    <n v="1499"/>
    <n v="0.35"/>
    <n v="2998"/>
    <n v="1049.3"/>
    <n v="1948.7"/>
    <n v="630"/>
    <n v="1260"/>
    <n v="60"/>
    <n v="628.70000000000005"/>
    <n v="0.32262533997023657"/>
    <x v="4"/>
    <d v="2025-02-05T00:00:00"/>
    <n v="4"/>
    <x v="0"/>
    <n v="4"/>
    <n v="0"/>
  </r>
  <r>
    <s v="ORD-102345"/>
    <x v="394"/>
    <x v="1"/>
    <d v="2025-02-01T00:00:00"/>
    <n v="2"/>
    <s v="CUST-01481"/>
    <x v="1"/>
    <x v="1"/>
    <s v="GJ"/>
    <x v="1"/>
    <s v="Surat"/>
    <x v="1"/>
    <s v="P404"/>
    <s v="Flip Flops"/>
    <x v="5"/>
    <n v="2"/>
    <n v="399"/>
    <n v="0.1"/>
    <n v="798"/>
    <n v="79.800000000000011"/>
    <n v="718.2"/>
    <n v="152"/>
    <n v="304"/>
    <n v="60"/>
    <n v="354.20000000000005"/>
    <n v="0.49317738791423005"/>
    <x v="0"/>
    <d v="2025-02-03T00:00:00"/>
    <n v="2"/>
    <x v="1"/>
    <n v="5"/>
    <n v="0"/>
  </r>
  <r>
    <s v="ORD-102346"/>
    <x v="394"/>
    <x v="1"/>
    <d v="2025-02-01T00:00:00"/>
    <n v="2"/>
    <s v="CUST-03116"/>
    <x v="1"/>
    <x v="18"/>
    <s v="WB"/>
    <x v="2"/>
    <s v="Kolkata"/>
    <x v="0"/>
    <s v="P103"/>
    <s v="Niacinamide Toner"/>
    <x v="3"/>
    <n v="1"/>
    <n v="399"/>
    <n v="0.2"/>
    <n v="399"/>
    <n v="79.800000000000011"/>
    <n v="319.2"/>
    <n v="112"/>
    <n v="112"/>
    <n v="60"/>
    <n v="147.19999999999999"/>
    <n v="0.46115288220551376"/>
    <x v="0"/>
    <d v="2025-02-04T00:00:00"/>
    <n v="3"/>
    <x v="0"/>
    <n v="3"/>
    <n v="0"/>
  </r>
  <r>
    <s v="ORD-102347"/>
    <x v="394"/>
    <x v="1"/>
    <d v="2025-02-01T00:00:00"/>
    <n v="2"/>
    <s v="CUST-00262"/>
    <x v="1"/>
    <x v="2"/>
    <s v="MH"/>
    <x v="1"/>
    <s v="Mumbai"/>
    <x v="4"/>
    <s v="P203"/>
    <s v="Keratin Hair Mask"/>
    <x v="6"/>
    <n v="2"/>
    <n v="549"/>
    <n v="0.15"/>
    <n v="1098"/>
    <n v="164.7"/>
    <n v="933.3"/>
    <n v="170"/>
    <n v="340"/>
    <n v="60"/>
    <n v="533.29999999999995"/>
    <n v="0.57141326475945564"/>
    <x v="0"/>
    <d v="2025-02-03T00:00:00"/>
    <n v="2"/>
    <x v="1"/>
    <n v="4"/>
    <n v="0"/>
  </r>
  <r>
    <s v="ORD-102348"/>
    <x v="394"/>
    <x v="1"/>
    <d v="2025-02-01T00:00:00"/>
    <n v="2"/>
    <s v="CUST-00021"/>
    <x v="1"/>
    <x v="21"/>
    <s v="TG"/>
    <x v="3"/>
    <s v="Hyderabad"/>
    <x v="0"/>
    <s v="P101"/>
    <s v="Vitamin C Face Serum"/>
    <x v="3"/>
    <n v="2"/>
    <n v="599"/>
    <n v="0.25"/>
    <n v="1198"/>
    <n v="299.5"/>
    <n v="898.5"/>
    <n v="180"/>
    <n v="360"/>
    <n v="60"/>
    <n v="478.5"/>
    <n v="0.53255425709515858"/>
    <x v="4"/>
    <d v="2025-02-02T00:00:00"/>
    <n v="1"/>
    <x v="1"/>
    <n v="5"/>
    <n v="0"/>
  </r>
  <r>
    <s v="ORD-102349"/>
    <x v="394"/>
    <x v="1"/>
    <d v="2025-02-01T00:00:00"/>
    <n v="2"/>
    <s v="CUST-02912"/>
    <x v="0"/>
    <x v="21"/>
    <s v="TG"/>
    <x v="3"/>
    <s v="Hyderabad"/>
    <x v="0"/>
    <s v="P704"/>
    <s v="Multivitamin Gummies"/>
    <x v="0"/>
    <n v="1"/>
    <n v="699"/>
    <n v="0.15"/>
    <n v="699"/>
    <n v="104.85"/>
    <n v="594.15"/>
    <n v="238"/>
    <n v="238"/>
    <n v="60"/>
    <n v="296.14999999999998"/>
    <n v="0.49844315408566858"/>
    <x v="0"/>
    <d v="2025-02-04T00:00:00"/>
    <n v="3"/>
    <x v="0"/>
    <n v="3"/>
    <n v="0"/>
  </r>
  <r>
    <s v="ORD-102350"/>
    <x v="394"/>
    <x v="1"/>
    <d v="2025-02-01T00:00:00"/>
    <n v="2"/>
    <s v="CUST-00033"/>
    <x v="0"/>
    <x v="21"/>
    <s v="TG"/>
    <x v="3"/>
    <s v="Hyderabad"/>
    <x v="4"/>
    <s v="P501"/>
    <s v="Copper Water Bottle"/>
    <x v="4"/>
    <n v="3"/>
    <n v="899"/>
    <n v="0.1"/>
    <n v="2697"/>
    <n v="269.7"/>
    <n v="2427.3000000000002"/>
    <n v="378"/>
    <n v="1134"/>
    <n v="60"/>
    <n v="1233.3000000000002"/>
    <n v="0.50809541465826236"/>
    <x v="0"/>
    <d v="2025-02-03T00:00:00"/>
    <n v="2"/>
    <x v="1"/>
    <n v="4"/>
    <n v="0"/>
  </r>
  <r>
    <s v="ORD-102351"/>
    <x v="394"/>
    <x v="1"/>
    <d v="2025-02-01T00:00:00"/>
    <n v="2"/>
    <s v="CUST-01025"/>
    <x v="1"/>
    <x v="17"/>
    <s v="TN"/>
    <x v="3"/>
    <s v="Coimbatore"/>
    <x v="4"/>
    <s v="P105"/>
    <s v="Retinol Night Cream"/>
    <x v="3"/>
    <n v="2"/>
    <n v="799"/>
    <n v="0"/>
    <n v="1598"/>
    <n v="0"/>
    <n v="1598"/>
    <n v="216"/>
    <n v="432"/>
    <n v="60"/>
    <n v="1106"/>
    <n v="0.69211514392991236"/>
    <x v="1"/>
    <d v="2025-02-05T00:00:00"/>
    <n v="4"/>
    <x v="0"/>
    <n v="5"/>
    <n v="0"/>
  </r>
  <r>
    <s v="ORD-102352"/>
    <x v="395"/>
    <x v="1"/>
    <d v="2025-02-01T00:00:00"/>
    <n v="2"/>
    <s v="CUST-01051"/>
    <x v="0"/>
    <x v="1"/>
    <s v="GJ"/>
    <x v="1"/>
    <s v="Ahmedabad"/>
    <x v="1"/>
    <s v="P301"/>
    <s v="Cotton Oversized T-Shirt"/>
    <x v="1"/>
    <n v="1"/>
    <n v="799"/>
    <n v="0.1"/>
    <n v="799"/>
    <n v="79.900000000000006"/>
    <n v="719.1"/>
    <n v="320"/>
    <n v="320"/>
    <n v="60"/>
    <n v="339.1"/>
    <n v="0.47156167431511614"/>
    <x v="0"/>
    <d v="2025-02-03T00:00:00"/>
    <n v="1"/>
    <x v="1"/>
    <n v="4"/>
    <n v="0"/>
  </r>
  <r>
    <s v="ORD-102353"/>
    <x v="395"/>
    <x v="1"/>
    <d v="2025-02-01T00:00:00"/>
    <n v="2"/>
    <s v="CUST-01052"/>
    <x v="1"/>
    <x v="13"/>
    <s v="MP"/>
    <x v="1"/>
    <s v="Indore"/>
    <x v="4"/>
    <s v="P204"/>
    <s v="Anti-Dandruff Conditioner"/>
    <x v="6"/>
    <n v="1"/>
    <n v="399"/>
    <n v="0.4"/>
    <n v="399"/>
    <n v="159.60000000000002"/>
    <n v="239.39999999999998"/>
    <n v="136"/>
    <n v="136"/>
    <n v="60"/>
    <n v="43.399999999999977"/>
    <n v="0.18128654970760227"/>
    <x v="4"/>
    <d v="2025-02-04T00:00:00"/>
    <n v="2"/>
    <x v="1"/>
    <n v="4"/>
    <n v="0"/>
  </r>
  <r>
    <s v="ORD-102354"/>
    <x v="395"/>
    <x v="1"/>
    <d v="2025-02-01T00:00:00"/>
    <n v="2"/>
    <s v="CUST-01798"/>
    <x v="0"/>
    <x v="11"/>
    <s v="KA"/>
    <x v="3"/>
    <s v="Mysuru"/>
    <x v="0"/>
    <s v="P303"/>
    <s v="Joggers"/>
    <x v="1"/>
    <n v="1"/>
    <n v="1199"/>
    <n v="0.2"/>
    <n v="1199"/>
    <n v="239.8"/>
    <n v="959.2"/>
    <n v="492"/>
    <n v="492"/>
    <n v="60"/>
    <n v="407.20000000000005"/>
    <n v="0.42452043369474562"/>
    <x v="2"/>
    <d v="2025-02-06T00:00:00"/>
    <n v="4"/>
    <x v="0"/>
    <n v="3"/>
    <n v="0"/>
  </r>
  <r>
    <s v="ORD-102355"/>
    <x v="396"/>
    <x v="1"/>
    <d v="2025-02-01T00:00:00"/>
    <n v="2"/>
    <s v="CUST-00842"/>
    <x v="1"/>
    <x v="22"/>
    <s v="AS"/>
    <x v="2"/>
    <s v="Guwahati"/>
    <x v="0"/>
    <s v="P204"/>
    <s v="Anti-Dandruff Conditioner"/>
    <x v="6"/>
    <n v="2"/>
    <n v="399"/>
    <n v="0.45"/>
    <n v="798"/>
    <n v="359.1"/>
    <n v="438.9"/>
    <n v="136"/>
    <n v="272"/>
    <n v="60"/>
    <n v="106.89999999999998"/>
    <n v="0.24356345408976984"/>
    <x v="0"/>
    <d v="2025-02-07T00:00:00"/>
    <n v="4"/>
    <x v="0"/>
    <n v="2"/>
    <n v="0"/>
  </r>
  <r>
    <s v="ORD-102356"/>
    <x v="396"/>
    <x v="1"/>
    <d v="2025-02-01T00:00:00"/>
    <n v="2"/>
    <s v="CUST-02291"/>
    <x v="1"/>
    <x v="1"/>
    <s v="GJ"/>
    <x v="1"/>
    <s v="Surat"/>
    <x v="3"/>
    <s v="P704"/>
    <s v="Multivitamin Gummies"/>
    <x v="0"/>
    <n v="1"/>
    <n v="699"/>
    <n v="0.3"/>
    <n v="699"/>
    <n v="209.7"/>
    <n v="489.3"/>
    <n v="238"/>
    <n v="238"/>
    <n v="60"/>
    <n v="191.3"/>
    <n v="0.39096668710402616"/>
    <x v="0"/>
    <d v="2025-02-06T00:00:00"/>
    <n v="3"/>
    <x v="0"/>
    <n v="3"/>
    <n v="0"/>
  </r>
  <r>
    <s v="ORD-102357"/>
    <x v="396"/>
    <x v="1"/>
    <d v="2025-02-01T00:00:00"/>
    <n v="2"/>
    <s v="CUST-01040"/>
    <x v="1"/>
    <x v="18"/>
    <s v="WB"/>
    <x v="2"/>
    <s v="Kolkata"/>
    <x v="1"/>
    <s v="P404"/>
    <s v="Flip Flops"/>
    <x v="5"/>
    <n v="1"/>
    <n v="399"/>
    <n v="0.05"/>
    <n v="399"/>
    <n v="19.950000000000003"/>
    <n v="379.05"/>
    <n v="152"/>
    <n v="152"/>
    <n v="60"/>
    <n v="167.05"/>
    <n v="0.44070703073473161"/>
    <x v="0"/>
    <d v="2025-02-06T00:00:00"/>
    <n v="3"/>
    <x v="0"/>
    <m/>
    <n v="0"/>
  </r>
  <r>
    <s v="ORD-102358"/>
    <x v="396"/>
    <x v="1"/>
    <d v="2025-02-01T00:00:00"/>
    <n v="2"/>
    <s v="CUST-02361"/>
    <x v="0"/>
    <x v="18"/>
    <s v="WB"/>
    <x v="2"/>
    <s v="Kolkata"/>
    <x v="4"/>
    <s v="P203"/>
    <s v="Keratin Hair Mask"/>
    <x v="6"/>
    <n v="3"/>
    <n v="549"/>
    <n v="0.2"/>
    <n v="1647"/>
    <n v="329.40000000000003"/>
    <n v="1317.6"/>
    <n v="170"/>
    <n v="510"/>
    <n v="60"/>
    <n v="747.59999999999991"/>
    <n v="0.56739526411657559"/>
    <x v="0"/>
    <d v="2025-02-04T00:00:00"/>
    <n v="1"/>
    <x v="1"/>
    <n v="4"/>
    <n v="0"/>
  </r>
  <r>
    <s v="ORD-102359"/>
    <x v="396"/>
    <x v="1"/>
    <d v="2025-02-01T00:00:00"/>
    <n v="2"/>
    <s v="CUST-00574"/>
    <x v="1"/>
    <x v="17"/>
    <s v="TN"/>
    <x v="3"/>
    <s v="Chennai"/>
    <x v="4"/>
    <s v="P305"/>
    <s v="Printed Saree"/>
    <x v="1"/>
    <n v="1"/>
    <n v="1999"/>
    <n v="0.05"/>
    <n v="1999"/>
    <n v="99.95"/>
    <n v="1899.05"/>
    <n v="880"/>
    <n v="880"/>
    <n v="60"/>
    <n v="959.05"/>
    <n v="0.50501566572760059"/>
    <x v="0"/>
    <d v="2025-02-05T00:00:00"/>
    <n v="2"/>
    <x v="1"/>
    <n v="4"/>
    <n v="0"/>
  </r>
  <r>
    <s v="ORD-102360"/>
    <x v="396"/>
    <x v="1"/>
    <d v="2025-02-01T00:00:00"/>
    <n v="2"/>
    <s v="CUST-03128"/>
    <x v="1"/>
    <x v="17"/>
    <s v="TN"/>
    <x v="3"/>
    <s v="Chennai"/>
    <x v="4"/>
    <s v="P501"/>
    <s v="Copper Water Bottle"/>
    <x v="4"/>
    <n v="3"/>
    <n v="899"/>
    <n v="0.1"/>
    <n v="2697"/>
    <n v="269.7"/>
    <n v="2427.3000000000002"/>
    <n v="378"/>
    <n v="1134"/>
    <n v="60"/>
    <n v="1233.3000000000002"/>
    <n v="0.50809541465826236"/>
    <x v="0"/>
    <d v="2025-02-07T00:00:00"/>
    <n v="4"/>
    <x v="0"/>
    <n v="4"/>
    <n v="0"/>
  </r>
  <r>
    <s v="ORD-102361"/>
    <x v="397"/>
    <x v="1"/>
    <d v="2025-02-01T00:00:00"/>
    <n v="2"/>
    <s v="CUST-01681"/>
    <x v="0"/>
    <x v="19"/>
    <s v="PB"/>
    <x v="0"/>
    <s v="Amritsar"/>
    <x v="1"/>
    <s v="P304"/>
    <s v="Denim Jacket"/>
    <x v="1"/>
    <n v="2"/>
    <n v="2499"/>
    <n v="0"/>
    <n v="4998"/>
    <n v="0"/>
    <n v="4998"/>
    <n v="1125"/>
    <n v="2250"/>
    <n v="60"/>
    <n v="2688"/>
    <n v="0.53781512605042014"/>
    <x v="3"/>
    <d v="2025-02-07T00:00:00"/>
    <n v="3"/>
    <x v="0"/>
    <m/>
    <n v="0"/>
  </r>
  <r>
    <s v="ORD-102362"/>
    <x v="397"/>
    <x v="1"/>
    <d v="2025-02-01T00:00:00"/>
    <n v="2"/>
    <s v="CUST-00229"/>
    <x v="0"/>
    <x v="9"/>
    <s v="UK"/>
    <x v="0"/>
    <s v="Dehradun"/>
    <x v="0"/>
    <s v="P502"/>
    <s v="Ceramic Dinner Set"/>
    <x v="4"/>
    <n v="2"/>
    <n v="2499"/>
    <n v="0.4"/>
    <n v="4998"/>
    <n v="1999.2"/>
    <n v="2998.8"/>
    <n v="1250"/>
    <n v="2500"/>
    <n v="60"/>
    <n v="438.80000000000018"/>
    <n v="0.14632519674536487"/>
    <x v="3"/>
    <d v="2025-02-08T00:00:00"/>
    <n v="4"/>
    <x v="0"/>
    <n v="3"/>
    <n v="0"/>
  </r>
  <r>
    <s v="ORD-102363"/>
    <x v="397"/>
    <x v="1"/>
    <d v="2025-02-01T00:00:00"/>
    <n v="2"/>
    <s v="CUST-02001"/>
    <x v="0"/>
    <x v="16"/>
    <s v="UP"/>
    <x v="0"/>
    <s v="Lucknow"/>
    <x v="4"/>
    <s v="P502"/>
    <s v="Ceramic Dinner Set"/>
    <x v="4"/>
    <n v="2"/>
    <n v="2499"/>
    <n v="0.4"/>
    <n v="4998"/>
    <n v="1999.2"/>
    <n v="2998.8"/>
    <n v="1250"/>
    <n v="2500"/>
    <n v="60"/>
    <n v="438.80000000000018"/>
    <n v="0.14632519674536487"/>
    <x v="0"/>
    <d v="2025-02-09T00:00:00"/>
    <n v="5"/>
    <x v="2"/>
    <m/>
    <n v="0"/>
  </r>
  <r>
    <s v="ORD-102364"/>
    <x v="397"/>
    <x v="1"/>
    <d v="2025-02-01T00:00:00"/>
    <n v="2"/>
    <s v="CUST-02974"/>
    <x v="1"/>
    <x v="21"/>
    <s v="TG"/>
    <x v="3"/>
    <s v="Hyderabad"/>
    <x v="2"/>
    <s v="P603"/>
    <s v="Smartwatch Strap"/>
    <x v="2"/>
    <n v="2"/>
    <n v="499"/>
    <n v="0"/>
    <n v="998"/>
    <n v="0"/>
    <n v="998"/>
    <n v="200"/>
    <n v="400"/>
    <n v="60"/>
    <n v="538"/>
    <n v="0.53907815631262523"/>
    <x v="3"/>
    <d v="2025-02-09T00:00:00"/>
    <n v="5"/>
    <x v="2"/>
    <n v="5"/>
    <n v="0"/>
  </r>
  <r>
    <s v="ORD-102365"/>
    <x v="398"/>
    <x v="1"/>
    <d v="2025-02-01T00:00:00"/>
    <n v="2"/>
    <s v="CUST-01886"/>
    <x v="0"/>
    <x v="9"/>
    <s v="UK"/>
    <x v="0"/>
    <s v="Dehradun"/>
    <x v="2"/>
    <s v="P601"/>
    <s v="Wireless Earbuds"/>
    <x v="2"/>
    <n v="1"/>
    <n v="1999"/>
    <n v="0.3"/>
    <n v="1999"/>
    <n v="599.69999999999993"/>
    <n v="1399.3000000000002"/>
    <n v="1239"/>
    <n v="1239"/>
    <n v="60"/>
    <n v="100.30000000000018"/>
    <n v="7.1678696491102811E-2"/>
    <x v="1"/>
    <d v="2025-02-10T00:00:00"/>
    <n v="5"/>
    <x v="2"/>
    <n v="4"/>
    <n v="0"/>
  </r>
  <r>
    <s v="ORD-102366"/>
    <x v="398"/>
    <x v="1"/>
    <d v="2025-02-01T00:00:00"/>
    <n v="2"/>
    <s v="CUST-02636"/>
    <x v="0"/>
    <x v="6"/>
    <s v="DL"/>
    <x v="0"/>
    <s v="New Delhi"/>
    <x v="4"/>
    <s v="P402"/>
    <s v="Casual Sneakers"/>
    <x v="5"/>
    <n v="2"/>
    <n v="2199"/>
    <n v="0.2"/>
    <n v="4398"/>
    <n v="879.6"/>
    <n v="3518.4"/>
    <n v="1034"/>
    <n v="2068"/>
    <n v="60"/>
    <n v="1390.4"/>
    <n v="0.39517962710322874"/>
    <x v="0"/>
    <d v="2025-02-06T00:00:00"/>
    <n v="1"/>
    <x v="1"/>
    <n v="5"/>
    <n v="0"/>
  </r>
  <r>
    <s v="ORD-102367"/>
    <x v="398"/>
    <x v="1"/>
    <d v="2025-02-01T00:00:00"/>
    <n v="2"/>
    <s v="CUST-00512"/>
    <x v="1"/>
    <x v="16"/>
    <s v="UP"/>
    <x v="0"/>
    <s v="Kanpur"/>
    <x v="2"/>
    <s v="P703"/>
    <s v="Green Tea (100 bags)"/>
    <x v="0"/>
    <n v="1"/>
    <n v="399"/>
    <n v="0.35"/>
    <n v="399"/>
    <n v="139.64999999999998"/>
    <n v="259.35000000000002"/>
    <n v="128"/>
    <n v="128"/>
    <n v="60"/>
    <n v="71.350000000000023"/>
    <n v="0.27511085405822255"/>
    <x v="0"/>
    <d v="2025-02-10T00:00:00"/>
    <n v="5"/>
    <x v="2"/>
    <n v="3"/>
    <n v="0"/>
  </r>
  <r>
    <s v="ORD-102368"/>
    <x v="398"/>
    <x v="1"/>
    <d v="2025-02-01T00:00:00"/>
    <n v="2"/>
    <s v="CUST-00230"/>
    <x v="1"/>
    <x v="2"/>
    <s v="MH"/>
    <x v="1"/>
    <s v="Mumbai"/>
    <x v="1"/>
    <s v="P403"/>
    <s v="Kolhapuri Sandals"/>
    <x v="5"/>
    <n v="1"/>
    <n v="999"/>
    <n v="0.15"/>
    <n v="999"/>
    <n v="149.85"/>
    <n v="849.15"/>
    <n v="400"/>
    <n v="400"/>
    <n v="120"/>
    <n v="329.15"/>
    <n v="0.38762291703468171"/>
    <x v="0"/>
    <d v="2025-02-06T00:00:00"/>
    <n v="1"/>
    <x v="1"/>
    <n v="5"/>
    <n v="1"/>
  </r>
  <r>
    <s v="ORD-102369"/>
    <x v="398"/>
    <x v="1"/>
    <d v="2025-02-01T00:00:00"/>
    <n v="2"/>
    <s v="CUST-00173"/>
    <x v="1"/>
    <x v="8"/>
    <s v="AP"/>
    <x v="3"/>
    <s v="Vijayawada"/>
    <x v="4"/>
    <s v="P503"/>
    <s v="Scented Candle Set"/>
    <x v="4"/>
    <n v="1"/>
    <n v="699"/>
    <n v="0.3"/>
    <n v="699"/>
    <n v="209.7"/>
    <n v="489.3"/>
    <n v="245"/>
    <n v="245"/>
    <n v="60"/>
    <n v="184.3"/>
    <n v="0.37666053545881872"/>
    <x v="3"/>
    <d v="2025-02-09T00:00:00"/>
    <n v="4"/>
    <x v="0"/>
    <n v="4"/>
    <n v="0"/>
  </r>
  <r>
    <s v="ORD-102370"/>
    <x v="399"/>
    <x v="1"/>
    <d v="2025-02-01T00:00:00"/>
    <n v="2"/>
    <s v="CUST-00393"/>
    <x v="1"/>
    <x v="19"/>
    <s v="PB"/>
    <x v="0"/>
    <s v="Amritsar"/>
    <x v="0"/>
    <s v="P503"/>
    <s v="Scented Candle Set"/>
    <x v="4"/>
    <n v="1"/>
    <n v="699"/>
    <n v="0.2"/>
    <n v="699"/>
    <n v="139.80000000000001"/>
    <n v="559.20000000000005"/>
    <n v="245"/>
    <n v="245"/>
    <n v="60"/>
    <n v="254.20000000000005"/>
    <n v="0.45457796852646642"/>
    <x v="0"/>
    <d v="2025-02-09T00:00:00"/>
    <n v="3"/>
    <x v="0"/>
    <m/>
    <n v="0"/>
  </r>
  <r>
    <s v="ORD-102371"/>
    <x v="399"/>
    <x v="1"/>
    <d v="2025-02-01T00:00:00"/>
    <n v="2"/>
    <s v="CUST-00587"/>
    <x v="0"/>
    <x v="6"/>
    <s v="DL"/>
    <x v="0"/>
    <s v="New Delhi"/>
    <x v="0"/>
    <s v="P204"/>
    <s v="Anti-Dandruff Conditioner"/>
    <x v="6"/>
    <n v="2"/>
    <n v="399"/>
    <n v="0.35"/>
    <n v="798"/>
    <n v="279.29999999999995"/>
    <n v="518.70000000000005"/>
    <n v="136"/>
    <n v="272"/>
    <n v="60"/>
    <n v="186.70000000000005"/>
    <n v="0.35993830730672843"/>
    <x v="3"/>
    <d v="2025-02-08T00:00:00"/>
    <n v="2"/>
    <x v="1"/>
    <n v="4"/>
    <n v="0"/>
  </r>
  <r>
    <s v="ORD-102372"/>
    <x v="399"/>
    <x v="1"/>
    <d v="2025-02-01T00:00:00"/>
    <n v="2"/>
    <s v="CUST-01245"/>
    <x v="1"/>
    <x v="16"/>
    <s v="UP"/>
    <x v="0"/>
    <s v="Kanpur"/>
    <x v="0"/>
    <s v="P303"/>
    <s v="Joggers"/>
    <x v="1"/>
    <n v="4"/>
    <n v="1199"/>
    <n v="0.2"/>
    <n v="4796"/>
    <n v="959.2"/>
    <n v="3836.8"/>
    <n v="492"/>
    <n v="1968"/>
    <n v="60"/>
    <n v="1808.8000000000002"/>
    <n v="0.47143452877397835"/>
    <x v="0"/>
    <d v="2025-02-11T00:00:00"/>
    <n v="5"/>
    <x v="2"/>
    <n v="3"/>
    <n v="0"/>
  </r>
  <r>
    <s v="ORD-102373"/>
    <x v="399"/>
    <x v="1"/>
    <d v="2025-02-01T00:00:00"/>
    <n v="2"/>
    <s v="CUST-00238"/>
    <x v="0"/>
    <x v="18"/>
    <s v="WB"/>
    <x v="2"/>
    <s v="Kolkata"/>
    <x v="4"/>
    <s v="P403"/>
    <s v="Kolhapuri Sandals"/>
    <x v="5"/>
    <n v="2"/>
    <n v="999"/>
    <n v="0.05"/>
    <n v="1998"/>
    <n v="99.9"/>
    <n v="1898.1"/>
    <n v="400"/>
    <n v="800"/>
    <n v="120"/>
    <n v="978.09999999999991"/>
    <n v="0.5153047784626732"/>
    <x v="0"/>
    <d v="2025-02-10T00:00:00"/>
    <n v="4"/>
    <x v="0"/>
    <n v="4"/>
    <n v="1"/>
  </r>
  <r>
    <s v="ORD-102374"/>
    <x v="399"/>
    <x v="1"/>
    <d v="2025-02-01T00:00:00"/>
    <n v="2"/>
    <s v="CUST-02388"/>
    <x v="0"/>
    <x v="17"/>
    <s v="TN"/>
    <x v="3"/>
    <s v="Coimbatore"/>
    <x v="0"/>
    <s v="P302"/>
    <s v="Linen Kurta"/>
    <x v="1"/>
    <n v="1"/>
    <n v="1499"/>
    <n v="0.25"/>
    <n v="1499"/>
    <n v="374.75"/>
    <n v="1124.25"/>
    <n v="630"/>
    <n v="630"/>
    <n v="60"/>
    <n v="434.25"/>
    <n v="0.38625750500333556"/>
    <x v="0"/>
    <d v="2025-02-07T00:00:00"/>
    <n v="1"/>
    <x v="1"/>
    <n v="4"/>
    <n v="0"/>
  </r>
  <r>
    <s v="ORD-102375"/>
    <x v="399"/>
    <x v="1"/>
    <d v="2025-02-01T00:00:00"/>
    <n v="2"/>
    <s v="CUST-00606"/>
    <x v="1"/>
    <x v="17"/>
    <s v="TN"/>
    <x v="3"/>
    <s v="Chennai"/>
    <x v="0"/>
    <s v="P404"/>
    <s v="Flip Flops"/>
    <x v="5"/>
    <n v="2"/>
    <n v="399"/>
    <n v="0.1"/>
    <n v="798"/>
    <n v="79.800000000000011"/>
    <n v="718.2"/>
    <n v="152"/>
    <n v="304"/>
    <n v="60"/>
    <n v="354.20000000000005"/>
    <n v="0.49317738791423005"/>
    <x v="0"/>
    <d v="2025-02-09T00:00:00"/>
    <n v="3"/>
    <x v="0"/>
    <n v="5"/>
    <n v="0"/>
  </r>
  <r>
    <s v="ORD-102376"/>
    <x v="400"/>
    <x v="1"/>
    <d v="2025-02-01T00:00:00"/>
    <n v="2"/>
    <s v="CUST-03007"/>
    <x v="0"/>
    <x v="6"/>
    <s v="DL"/>
    <x v="0"/>
    <s v="New Delhi"/>
    <x v="1"/>
    <s v="P303"/>
    <s v="Joggers"/>
    <x v="1"/>
    <n v="1"/>
    <n v="1199"/>
    <n v="0.1"/>
    <n v="1199"/>
    <n v="119.9"/>
    <n v="1079.0999999999999"/>
    <n v="492"/>
    <n v="492"/>
    <n v="60"/>
    <n v="527.09999999999991"/>
    <n v="0.48846260772866273"/>
    <x v="0"/>
    <d v="2025-02-10T00:00:00"/>
    <n v="3"/>
    <x v="0"/>
    <n v="5"/>
    <n v="0"/>
  </r>
  <r>
    <s v="ORD-102377"/>
    <x v="400"/>
    <x v="1"/>
    <d v="2025-02-01T00:00:00"/>
    <n v="2"/>
    <s v="CUST-00999"/>
    <x v="0"/>
    <x v="6"/>
    <s v="DL"/>
    <x v="0"/>
    <s v="New Delhi"/>
    <x v="1"/>
    <s v="P305"/>
    <s v="Printed Saree"/>
    <x v="1"/>
    <n v="1"/>
    <n v="1999"/>
    <n v="0.1"/>
    <n v="1999"/>
    <n v="199.9"/>
    <n v="1799.1"/>
    <n v="880"/>
    <n v="880"/>
    <n v="60"/>
    <n v="859.09999999999991"/>
    <n v="0.47751653604580063"/>
    <x v="0"/>
    <d v="2025-02-10T00:00:00"/>
    <n v="3"/>
    <x v="0"/>
    <m/>
    <n v="0"/>
  </r>
  <r>
    <s v="ORD-102378"/>
    <x v="400"/>
    <x v="1"/>
    <d v="2025-02-01T00:00:00"/>
    <n v="2"/>
    <s v="CUST-00828"/>
    <x v="1"/>
    <x v="16"/>
    <s v="UP"/>
    <x v="0"/>
    <s v="Kanpur"/>
    <x v="3"/>
    <s v="P203"/>
    <s v="Keratin Hair Mask"/>
    <x v="6"/>
    <n v="1"/>
    <n v="549"/>
    <n v="0.15"/>
    <n v="549"/>
    <n v="82.35"/>
    <n v="466.65"/>
    <n v="170"/>
    <n v="170"/>
    <n v="60"/>
    <n v="236.64999999999998"/>
    <n v="0.50712525447337398"/>
    <x v="1"/>
    <d v="2025-02-09T00:00:00"/>
    <n v="2"/>
    <x v="1"/>
    <n v="5"/>
    <n v="0"/>
  </r>
  <r>
    <s v="ORD-102379"/>
    <x v="400"/>
    <x v="1"/>
    <d v="2025-02-01T00:00:00"/>
    <n v="2"/>
    <s v="CUST-00299"/>
    <x v="1"/>
    <x v="16"/>
    <s v="UP"/>
    <x v="0"/>
    <s v="Kanpur"/>
    <x v="0"/>
    <s v="P204"/>
    <s v="Anti-Dandruff Conditioner"/>
    <x v="6"/>
    <n v="2"/>
    <n v="399"/>
    <n v="0.3"/>
    <n v="798"/>
    <n v="239.39999999999998"/>
    <n v="558.6"/>
    <n v="136"/>
    <n v="272"/>
    <n v="60"/>
    <n v="226.60000000000002"/>
    <n v="0.40565699964196206"/>
    <x v="0"/>
    <d v="2025-02-11T00:00:00"/>
    <n v="4"/>
    <x v="0"/>
    <n v="4"/>
    <n v="0"/>
  </r>
  <r>
    <s v="ORD-102380"/>
    <x v="400"/>
    <x v="1"/>
    <d v="2025-02-01T00:00:00"/>
    <n v="2"/>
    <s v="CUST-00393"/>
    <x v="1"/>
    <x v="13"/>
    <s v="MP"/>
    <x v="1"/>
    <s v="Bhopal"/>
    <x v="1"/>
    <s v="P403"/>
    <s v="Kolhapuri Sandals"/>
    <x v="5"/>
    <n v="1"/>
    <n v="999"/>
    <n v="0.1"/>
    <n v="999"/>
    <n v="99.9"/>
    <n v="899.1"/>
    <n v="400"/>
    <n v="400"/>
    <n v="60"/>
    <n v="439.1"/>
    <n v="0.48837726615504395"/>
    <x v="4"/>
    <d v="2025-02-09T00:00:00"/>
    <n v="2"/>
    <x v="1"/>
    <n v="4"/>
    <n v="0"/>
  </r>
  <r>
    <s v="ORD-102381"/>
    <x v="400"/>
    <x v="1"/>
    <d v="2025-02-01T00:00:00"/>
    <n v="2"/>
    <s v="CUST-00082"/>
    <x v="1"/>
    <x v="18"/>
    <s v="WB"/>
    <x v="2"/>
    <s v="Kolkata"/>
    <x v="1"/>
    <s v="P302"/>
    <s v="Linen Kurta"/>
    <x v="1"/>
    <n v="3"/>
    <n v="1499"/>
    <n v="0.4"/>
    <n v="4497"/>
    <n v="1798.8000000000002"/>
    <n v="2698.2"/>
    <n v="630"/>
    <n v="1890"/>
    <n v="60"/>
    <n v="748.19999999999982"/>
    <n v="0.27729597509450737"/>
    <x v="0"/>
    <d v="2025-02-10T00:00:00"/>
    <n v="3"/>
    <x v="0"/>
    <n v="4"/>
    <n v="0"/>
  </r>
  <r>
    <s v="ORD-102382"/>
    <x v="400"/>
    <x v="1"/>
    <d v="2025-02-01T00:00:00"/>
    <n v="2"/>
    <s v="CUST-00254"/>
    <x v="0"/>
    <x v="8"/>
    <s v="AP"/>
    <x v="3"/>
    <s v="Vijayawada"/>
    <x v="1"/>
    <s v="P302"/>
    <s v="Linen Kurta"/>
    <x v="1"/>
    <n v="2"/>
    <n v="1499"/>
    <n v="0.3"/>
    <n v="2998"/>
    <n v="899.4"/>
    <n v="2098.6"/>
    <n v="630"/>
    <n v="1260"/>
    <n v="60"/>
    <n v="778.59999999999991"/>
    <n v="0.3710092442580768"/>
    <x v="0"/>
    <d v="2025-02-09T00:00:00"/>
    <n v="2"/>
    <x v="1"/>
    <m/>
    <n v="0"/>
  </r>
  <r>
    <s v="ORD-102383"/>
    <x v="401"/>
    <x v="1"/>
    <d v="2025-02-01T00:00:00"/>
    <n v="2"/>
    <s v="CUST-00375"/>
    <x v="1"/>
    <x v="19"/>
    <s v="PB"/>
    <x v="0"/>
    <s v="Amritsar"/>
    <x v="1"/>
    <s v="P403"/>
    <s v="Kolhapuri Sandals"/>
    <x v="5"/>
    <n v="1"/>
    <n v="999"/>
    <n v="0.05"/>
    <n v="999"/>
    <n v="49.95"/>
    <n v="949.05"/>
    <n v="400"/>
    <n v="400"/>
    <n v="60"/>
    <n v="489.04999999999995"/>
    <n v="0.5153047784626732"/>
    <x v="0"/>
    <d v="2025-02-12T00:00:00"/>
    <n v="4"/>
    <x v="0"/>
    <n v="4"/>
    <n v="0"/>
  </r>
  <r>
    <s v="ORD-102384"/>
    <x v="401"/>
    <x v="1"/>
    <d v="2025-02-01T00:00:00"/>
    <n v="2"/>
    <s v="CUST-02224"/>
    <x v="1"/>
    <x v="12"/>
    <s v="BR"/>
    <x v="2"/>
    <s v="Patna"/>
    <x v="2"/>
    <s v="P504"/>
    <s v="Cotton Bedsheet"/>
    <x v="4"/>
    <n v="1"/>
    <n v="1299"/>
    <n v="0.05"/>
    <n v="1299"/>
    <n v="64.95"/>
    <n v="1234.05"/>
    <n v="585"/>
    <n v="585"/>
    <n v="120"/>
    <n v="529.04999999999995"/>
    <n v="0.42871034398930347"/>
    <x v="0"/>
    <d v="2025-02-15T00:00:00"/>
    <n v="7"/>
    <x v="2"/>
    <m/>
    <n v="1"/>
  </r>
  <r>
    <s v="ORD-102385"/>
    <x v="401"/>
    <x v="1"/>
    <d v="2025-02-01T00:00:00"/>
    <n v="2"/>
    <s v="CUST-00509"/>
    <x v="0"/>
    <x v="2"/>
    <s v="MH"/>
    <x v="1"/>
    <s v="Mumbai"/>
    <x v="3"/>
    <s v="P102"/>
    <s v="Sunscreen SPF 50"/>
    <x v="3"/>
    <n v="1"/>
    <n v="449"/>
    <n v="0.05"/>
    <n v="449"/>
    <n v="22.450000000000003"/>
    <n v="426.55"/>
    <n v="144"/>
    <n v="144"/>
    <n v="60"/>
    <n v="222.55"/>
    <n v="0.52174422693705313"/>
    <x v="1"/>
    <d v="2025-02-12T00:00:00"/>
    <n v="4"/>
    <x v="0"/>
    <m/>
    <n v="0"/>
  </r>
  <r>
    <s v="ORD-102386"/>
    <x v="401"/>
    <x v="1"/>
    <d v="2025-02-01T00:00:00"/>
    <n v="2"/>
    <s v="CUST-00438"/>
    <x v="1"/>
    <x v="2"/>
    <s v="MH"/>
    <x v="1"/>
    <s v="Nagpur"/>
    <x v="0"/>
    <s v="P204"/>
    <s v="Anti-Dandruff Conditioner"/>
    <x v="6"/>
    <n v="3"/>
    <n v="399"/>
    <n v="0.35"/>
    <n v="1197"/>
    <n v="418.95"/>
    <n v="778.05"/>
    <n v="136"/>
    <n v="408"/>
    <n v="60"/>
    <n v="310.04999999999995"/>
    <n v="0.39849624060150374"/>
    <x v="4"/>
    <d v="2025-02-12T00:00:00"/>
    <n v="4"/>
    <x v="0"/>
    <m/>
    <n v="0"/>
  </r>
  <r>
    <s v="ORD-102387"/>
    <x v="401"/>
    <x v="1"/>
    <d v="2025-02-01T00:00:00"/>
    <n v="2"/>
    <s v="CUST-02495"/>
    <x v="1"/>
    <x v="2"/>
    <s v="MH"/>
    <x v="1"/>
    <s v="Nagpur"/>
    <x v="0"/>
    <s v="P303"/>
    <s v="Joggers"/>
    <x v="1"/>
    <n v="2"/>
    <n v="1199"/>
    <n v="0.2"/>
    <n v="2398"/>
    <n v="479.6"/>
    <n v="1918.4"/>
    <n v="492"/>
    <n v="984"/>
    <n v="60"/>
    <n v="874.40000000000009"/>
    <n v="0.45579649708090075"/>
    <x v="3"/>
    <d v="2025-02-09T00:00:00"/>
    <n v="1"/>
    <x v="1"/>
    <n v="5"/>
    <n v="0"/>
  </r>
  <r>
    <s v="ORD-102388"/>
    <x v="401"/>
    <x v="1"/>
    <d v="2025-02-01T00:00:00"/>
    <n v="2"/>
    <s v="CUST-02374"/>
    <x v="0"/>
    <x v="11"/>
    <s v="KA"/>
    <x v="3"/>
    <s v="Mysuru"/>
    <x v="0"/>
    <s v="P204"/>
    <s v="Anti-Dandruff Conditioner"/>
    <x v="6"/>
    <n v="2"/>
    <n v="399"/>
    <n v="0.35"/>
    <n v="798"/>
    <n v="279.29999999999995"/>
    <n v="518.70000000000005"/>
    <n v="136"/>
    <n v="272"/>
    <n v="60"/>
    <n v="186.70000000000005"/>
    <n v="0.35993830730672843"/>
    <x v="4"/>
    <d v="2025-02-11T00:00:00"/>
    <n v="3"/>
    <x v="0"/>
    <n v="3"/>
    <n v="0"/>
  </r>
  <r>
    <s v="ORD-102389"/>
    <x v="402"/>
    <x v="1"/>
    <d v="2025-02-01T00:00:00"/>
    <n v="2"/>
    <s v="CUST-02576"/>
    <x v="1"/>
    <x v="4"/>
    <s v="JK"/>
    <x v="0"/>
    <s v="Jammu"/>
    <x v="4"/>
    <s v="P101"/>
    <s v="Vitamin C Face Serum"/>
    <x v="3"/>
    <n v="3"/>
    <n v="599"/>
    <n v="0.15"/>
    <n v="1797"/>
    <n v="269.55"/>
    <n v="1527.45"/>
    <n v="180"/>
    <n v="540"/>
    <n v="60"/>
    <n v="927.45"/>
    <n v="0.60718845134046939"/>
    <x v="2"/>
    <d v="2025-02-15T00:00:00"/>
    <n v="6"/>
    <x v="2"/>
    <n v="3"/>
    <n v="0"/>
  </r>
  <r>
    <s v="ORD-102390"/>
    <x v="402"/>
    <x v="1"/>
    <d v="2025-02-01T00:00:00"/>
    <n v="2"/>
    <s v="CUST-01000"/>
    <x v="0"/>
    <x v="6"/>
    <s v="DL"/>
    <x v="0"/>
    <s v="New Delhi"/>
    <x v="0"/>
    <s v="P401"/>
    <s v="Running Shoes"/>
    <x v="5"/>
    <n v="2"/>
    <n v="2999"/>
    <n v="0.3"/>
    <n v="5998"/>
    <n v="1799.3999999999999"/>
    <n v="4198.6000000000004"/>
    <n v="1440"/>
    <n v="2880"/>
    <n v="60"/>
    <n v="1258.6000000000004"/>
    <n v="0.29976658886295438"/>
    <x v="2"/>
    <d v="2025-02-10T00:00:00"/>
    <n v="1"/>
    <x v="1"/>
    <n v="4"/>
    <n v="0"/>
  </r>
  <r>
    <s v="ORD-102391"/>
    <x v="402"/>
    <x v="1"/>
    <d v="2025-02-01T00:00:00"/>
    <n v="2"/>
    <s v="CUST-00749"/>
    <x v="1"/>
    <x v="16"/>
    <s v="UP"/>
    <x v="0"/>
    <s v="Kanpur"/>
    <x v="2"/>
    <s v="P102"/>
    <s v="Sunscreen SPF 50"/>
    <x v="3"/>
    <n v="1"/>
    <n v="449"/>
    <n v="0.05"/>
    <n v="449"/>
    <n v="22.450000000000003"/>
    <n v="426.55"/>
    <n v="144"/>
    <n v="144"/>
    <n v="60"/>
    <n v="222.55"/>
    <n v="0.52174422693705313"/>
    <x v="3"/>
    <d v="2025-02-15T00:00:00"/>
    <n v="6"/>
    <x v="2"/>
    <m/>
    <n v="0"/>
  </r>
  <r>
    <s v="ORD-102392"/>
    <x v="402"/>
    <x v="1"/>
    <d v="2025-02-01T00:00:00"/>
    <n v="2"/>
    <s v="CUST-00599"/>
    <x v="0"/>
    <x v="1"/>
    <s v="GJ"/>
    <x v="1"/>
    <s v="Surat"/>
    <x v="4"/>
    <s v="P603"/>
    <s v="Smartwatch Strap"/>
    <x v="2"/>
    <n v="1"/>
    <n v="499"/>
    <n v="0.1"/>
    <n v="499"/>
    <n v="49.900000000000006"/>
    <n v="449.1"/>
    <n v="200"/>
    <n v="200"/>
    <n v="60"/>
    <n v="189.10000000000002"/>
    <n v="0.42106435092407041"/>
    <x v="0"/>
    <d v="2025-02-12T00:00:00"/>
    <n v="3"/>
    <x v="0"/>
    <n v="4"/>
    <n v="0"/>
  </r>
  <r>
    <s v="ORD-102393"/>
    <x v="402"/>
    <x v="1"/>
    <d v="2025-02-01T00:00:00"/>
    <n v="2"/>
    <s v="CUST-00381"/>
    <x v="1"/>
    <x v="18"/>
    <s v="WB"/>
    <x v="2"/>
    <s v="Kolkata"/>
    <x v="2"/>
    <s v="P104"/>
    <s v="Hydrating Face Wash"/>
    <x v="3"/>
    <n v="1"/>
    <n v="299"/>
    <n v="0.05"/>
    <n v="299"/>
    <n v="14.950000000000001"/>
    <n v="284.05"/>
    <n v="90"/>
    <n v="90"/>
    <n v="60"/>
    <n v="134.05000000000001"/>
    <n v="0.47192395704981521"/>
    <x v="3"/>
    <d v="2025-02-14T00:00:00"/>
    <n v="5"/>
    <x v="2"/>
    <n v="2"/>
    <n v="0"/>
  </r>
  <r>
    <s v="ORD-102394"/>
    <x v="402"/>
    <x v="1"/>
    <d v="2025-02-01T00:00:00"/>
    <n v="2"/>
    <s v="CUST-00636"/>
    <x v="0"/>
    <x v="8"/>
    <s v="AP"/>
    <x v="3"/>
    <s v="Visakhapatnam"/>
    <x v="0"/>
    <s v="P204"/>
    <s v="Anti-Dandruff Conditioner"/>
    <x v="6"/>
    <n v="2"/>
    <n v="399"/>
    <n v="0.45"/>
    <n v="798"/>
    <n v="359.1"/>
    <n v="438.9"/>
    <n v="136"/>
    <n v="272"/>
    <n v="120"/>
    <n v="46.899999999999977"/>
    <n v="0.10685805422647524"/>
    <x v="1"/>
    <d v="2025-02-14T00:00:00"/>
    <n v="5"/>
    <x v="2"/>
    <n v="3"/>
    <n v="1"/>
  </r>
  <r>
    <s v="ORD-102395"/>
    <x v="403"/>
    <x v="1"/>
    <d v="2025-02-01T00:00:00"/>
    <n v="2"/>
    <s v="CUST-00660"/>
    <x v="1"/>
    <x v="19"/>
    <s v="PB"/>
    <x v="0"/>
    <s v="Ludhiana"/>
    <x v="1"/>
    <s v="P404"/>
    <s v="Flip Flops"/>
    <x v="5"/>
    <n v="1"/>
    <n v="399"/>
    <n v="0.2"/>
    <n v="399"/>
    <n v="79.800000000000011"/>
    <n v="319.2"/>
    <n v="152"/>
    <n v="152"/>
    <n v="60"/>
    <n v="107.19999999999999"/>
    <n v="0.33583959899749372"/>
    <x v="0"/>
    <d v="2025-02-14T00:00:00"/>
    <n v="4"/>
    <x v="0"/>
    <n v="4"/>
    <n v="0"/>
  </r>
  <r>
    <s v="ORD-102396"/>
    <x v="403"/>
    <x v="1"/>
    <d v="2025-02-01T00:00:00"/>
    <n v="2"/>
    <s v="CUST-02963"/>
    <x v="1"/>
    <x v="6"/>
    <s v="DL"/>
    <x v="0"/>
    <s v="New Delhi"/>
    <x v="3"/>
    <s v="P203"/>
    <s v="Keratin Hair Mask"/>
    <x v="6"/>
    <n v="1"/>
    <n v="549"/>
    <n v="0.2"/>
    <n v="549"/>
    <n v="109.80000000000001"/>
    <n v="439.2"/>
    <n v="170"/>
    <n v="170"/>
    <n v="60"/>
    <n v="209.2"/>
    <n v="0.47632058287795992"/>
    <x v="3"/>
    <d v="2025-02-12T00:00:00"/>
    <n v="2"/>
    <x v="1"/>
    <n v="4"/>
    <n v="0"/>
  </r>
  <r>
    <s v="ORD-102397"/>
    <x v="403"/>
    <x v="1"/>
    <d v="2025-02-01T00:00:00"/>
    <n v="2"/>
    <s v="CUST-00907"/>
    <x v="1"/>
    <x v="16"/>
    <s v="UP"/>
    <x v="0"/>
    <s v="Lucknow"/>
    <x v="0"/>
    <s v="P703"/>
    <s v="Green Tea (100 bags)"/>
    <x v="0"/>
    <n v="4"/>
    <n v="399"/>
    <n v="0.3"/>
    <n v="1596"/>
    <n v="478.79999999999995"/>
    <n v="1117.2"/>
    <n v="128"/>
    <n v="512"/>
    <n v="60"/>
    <n v="545.20000000000005"/>
    <n v="0.4880057286072324"/>
    <x v="0"/>
    <d v="2025-02-14T00:00:00"/>
    <n v="4"/>
    <x v="0"/>
    <m/>
    <n v="0"/>
  </r>
  <r>
    <s v="ORD-102398"/>
    <x v="403"/>
    <x v="1"/>
    <d v="2025-02-01T00:00:00"/>
    <n v="2"/>
    <s v="CUST-00983"/>
    <x v="1"/>
    <x v="16"/>
    <s v="UP"/>
    <x v="0"/>
    <s v="Noida"/>
    <x v="0"/>
    <s v="P202"/>
    <s v="Argan Shampoo"/>
    <x v="6"/>
    <n v="1"/>
    <n v="449"/>
    <n v="0.1"/>
    <n v="449"/>
    <n v="44.900000000000006"/>
    <n v="404.1"/>
    <n v="148"/>
    <n v="148"/>
    <n v="60"/>
    <n v="196.10000000000002"/>
    <n v="0.48527592180153428"/>
    <x v="1"/>
    <d v="2025-02-13T00:00:00"/>
    <n v="3"/>
    <x v="0"/>
    <n v="4"/>
    <n v="0"/>
  </r>
  <r>
    <s v="ORD-102399"/>
    <x v="403"/>
    <x v="1"/>
    <d v="2025-02-01T00:00:00"/>
    <n v="2"/>
    <s v="CUST-02657"/>
    <x v="1"/>
    <x v="18"/>
    <s v="WB"/>
    <x v="2"/>
    <s v="Kolkata"/>
    <x v="4"/>
    <s v="P204"/>
    <s v="Anti-Dandruff Conditioner"/>
    <x v="6"/>
    <n v="1"/>
    <n v="399"/>
    <n v="0.45"/>
    <n v="399"/>
    <n v="179.55"/>
    <n v="219.45"/>
    <n v="136"/>
    <n v="136"/>
    <n v="60"/>
    <n v="23.449999999999989"/>
    <n v="0.10685805422647524"/>
    <x v="1"/>
    <d v="2025-02-14T00:00:00"/>
    <n v="4"/>
    <x v="0"/>
    <n v="3"/>
    <n v="0"/>
  </r>
  <r>
    <s v="ORD-102400"/>
    <x v="403"/>
    <x v="1"/>
    <d v="2025-02-01T00:00:00"/>
    <n v="2"/>
    <s v="CUST-00492"/>
    <x v="1"/>
    <x v="18"/>
    <s v="WB"/>
    <x v="2"/>
    <s v="Kolkata"/>
    <x v="1"/>
    <s v="P302"/>
    <s v="Linen Kurta"/>
    <x v="1"/>
    <n v="2"/>
    <n v="1499"/>
    <n v="0.4"/>
    <n v="2998"/>
    <n v="1199.2"/>
    <n v="1798.8"/>
    <n v="630"/>
    <n v="1260"/>
    <n v="60"/>
    <n v="478.79999999999995"/>
    <n v="0.26617745163442291"/>
    <x v="3"/>
    <d v="2025-02-14T00:00:00"/>
    <n v="4"/>
    <x v="0"/>
    <m/>
    <n v="0"/>
  </r>
  <r>
    <s v="ORD-102401"/>
    <x v="403"/>
    <x v="1"/>
    <d v="2025-02-01T00:00:00"/>
    <n v="2"/>
    <s v="CUST-03015"/>
    <x v="0"/>
    <x v="2"/>
    <s v="MH"/>
    <x v="1"/>
    <s v="Pune"/>
    <x v="1"/>
    <s v="P401"/>
    <s v="Running Shoes"/>
    <x v="5"/>
    <n v="2"/>
    <n v="2999"/>
    <n v="0.2"/>
    <n v="5998"/>
    <n v="1199.6000000000001"/>
    <n v="4798.3999999999996"/>
    <n v="1440"/>
    <n v="2880"/>
    <n v="120"/>
    <n v="1798.3999999999996"/>
    <n v="0.3747915971990663"/>
    <x v="0"/>
    <d v="2025-02-11T00:00:00"/>
    <n v="1"/>
    <x v="1"/>
    <n v="4"/>
    <n v="1"/>
  </r>
  <r>
    <s v="ORD-102402"/>
    <x v="403"/>
    <x v="1"/>
    <d v="2025-02-01T00:00:00"/>
    <n v="2"/>
    <s v="CUST-00756"/>
    <x v="1"/>
    <x v="2"/>
    <s v="MH"/>
    <x v="1"/>
    <s v="Pune"/>
    <x v="0"/>
    <s v="P202"/>
    <s v="Argan Shampoo"/>
    <x v="6"/>
    <n v="1"/>
    <n v="449"/>
    <n v="0"/>
    <n v="449"/>
    <n v="0"/>
    <n v="449"/>
    <n v="148"/>
    <n v="148"/>
    <n v="60"/>
    <n v="241"/>
    <n v="0.53674832962138086"/>
    <x v="0"/>
    <d v="2025-02-13T00:00:00"/>
    <n v="3"/>
    <x v="0"/>
    <m/>
    <n v="0"/>
  </r>
  <r>
    <s v="ORD-102403"/>
    <x v="403"/>
    <x v="1"/>
    <d v="2025-02-01T00:00:00"/>
    <n v="2"/>
    <s v="CUST-01176"/>
    <x v="1"/>
    <x v="2"/>
    <s v="MH"/>
    <x v="1"/>
    <s v="Mumbai"/>
    <x v="3"/>
    <s v="P101"/>
    <s v="Vitamin C Face Serum"/>
    <x v="3"/>
    <n v="4"/>
    <n v="599"/>
    <n v="0.2"/>
    <n v="2396"/>
    <n v="479.20000000000005"/>
    <n v="1916.8"/>
    <n v="180"/>
    <n v="720"/>
    <n v="60"/>
    <n v="1136.8"/>
    <n v="0.59307178631051749"/>
    <x v="1"/>
    <d v="2025-02-13T00:00:00"/>
    <n v="3"/>
    <x v="0"/>
    <n v="4"/>
    <n v="0"/>
  </r>
  <r>
    <s v="ORD-102404"/>
    <x v="404"/>
    <x v="1"/>
    <d v="2025-02-01T00:00:00"/>
    <n v="2"/>
    <s v="CUST-00619"/>
    <x v="1"/>
    <x v="19"/>
    <s v="PB"/>
    <x v="0"/>
    <s v="Amritsar"/>
    <x v="3"/>
    <s v="P104"/>
    <s v="Hydrating Face Wash"/>
    <x v="3"/>
    <n v="1"/>
    <n v="299"/>
    <n v="0"/>
    <n v="299"/>
    <n v="0"/>
    <n v="299"/>
    <n v="90"/>
    <n v="90"/>
    <n v="60"/>
    <n v="149"/>
    <n v="0.49832775919732442"/>
    <x v="3"/>
    <d v="2025-02-14T00:00:00"/>
    <n v="3"/>
    <x v="0"/>
    <n v="4"/>
    <n v="0"/>
  </r>
  <r>
    <s v="ORD-102405"/>
    <x v="404"/>
    <x v="1"/>
    <d v="2025-02-01T00:00:00"/>
    <n v="2"/>
    <s v="CUST-01053"/>
    <x v="1"/>
    <x v="6"/>
    <s v="DL"/>
    <x v="0"/>
    <s v="New Delhi"/>
    <x v="1"/>
    <s v="P304"/>
    <s v="Denim Jacket"/>
    <x v="1"/>
    <n v="1"/>
    <n v="2499"/>
    <n v="0.1"/>
    <n v="2499"/>
    <n v="249.9"/>
    <n v="2249.1"/>
    <n v="1125"/>
    <n v="1125"/>
    <n v="120"/>
    <n v="1004.0999999999999"/>
    <n v="0.44644524476457248"/>
    <x v="0"/>
    <d v="2025-02-12T00:00:00"/>
    <n v="1"/>
    <x v="1"/>
    <n v="5"/>
    <n v="1"/>
  </r>
  <r>
    <s v="ORD-102406"/>
    <x v="404"/>
    <x v="1"/>
    <d v="2025-02-01T00:00:00"/>
    <n v="2"/>
    <s v="CUST-03121"/>
    <x v="0"/>
    <x v="6"/>
    <s v="DL"/>
    <x v="0"/>
    <s v="New Delhi"/>
    <x v="4"/>
    <s v="P703"/>
    <s v="Green Tea (100 bags)"/>
    <x v="0"/>
    <n v="1"/>
    <n v="399"/>
    <n v="0.4"/>
    <n v="399"/>
    <n v="159.60000000000002"/>
    <n v="239.39999999999998"/>
    <n v="128"/>
    <n v="128"/>
    <n v="60"/>
    <n v="51.399999999999977"/>
    <n v="0.21470342522974095"/>
    <x v="1"/>
    <d v="2025-02-12T00:00:00"/>
    <n v="1"/>
    <x v="1"/>
    <n v="4"/>
    <n v="0"/>
  </r>
  <r>
    <s v="ORD-102407"/>
    <x v="404"/>
    <x v="1"/>
    <d v="2025-02-01T00:00:00"/>
    <n v="2"/>
    <s v="CUST-00458"/>
    <x v="0"/>
    <x v="1"/>
    <s v="GJ"/>
    <x v="1"/>
    <s v="Surat"/>
    <x v="1"/>
    <s v="P305"/>
    <s v="Printed Saree"/>
    <x v="1"/>
    <n v="2"/>
    <n v="1999"/>
    <n v="0.15"/>
    <n v="3998"/>
    <n v="599.69999999999993"/>
    <n v="3398.3"/>
    <n v="880"/>
    <n v="1760"/>
    <n v="60"/>
    <n v="1578.3000000000002"/>
    <n v="0.464438101403643"/>
    <x v="3"/>
    <d v="2025-02-17T00:00:00"/>
    <n v="6"/>
    <x v="2"/>
    <n v="3"/>
    <n v="0"/>
  </r>
  <r>
    <s v="ORD-102408"/>
    <x v="404"/>
    <x v="1"/>
    <d v="2025-02-01T00:00:00"/>
    <n v="2"/>
    <s v="CUST-00057"/>
    <x v="0"/>
    <x v="18"/>
    <s v="WB"/>
    <x v="2"/>
    <s v="Kolkata"/>
    <x v="0"/>
    <s v="P102"/>
    <s v="Sunscreen SPF 50"/>
    <x v="3"/>
    <n v="2"/>
    <n v="449"/>
    <n v="0.05"/>
    <n v="898"/>
    <n v="44.900000000000006"/>
    <n v="853.1"/>
    <n v="144"/>
    <n v="288"/>
    <n v="60"/>
    <n v="505.1"/>
    <n v="0.59207595826983939"/>
    <x v="4"/>
    <d v="2025-02-15T00:00:00"/>
    <n v="4"/>
    <x v="0"/>
    <m/>
    <n v="0"/>
  </r>
  <r>
    <s v="ORD-102409"/>
    <x v="404"/>
    <x v="1"/>
    <d v="2025-02-01T00:00:00"/>
    <n v="2"/>
    <s v="CUST-00383"/>
    <x v="0"/>
    <x v="2"/>
    <s v="MH"/>
    <x v="1"/>
    <s v="Nagpur"/>
    <x v="2"/>
    <s v="P503"/>
    <s v="Scented Candle Set"/>
    <x v="4"/>
    <n v="1"/>
    <n v="699"/>
    <n v="0.15"/>
    <n v="699"/>
    <n v="104.85"/>
    <n v="594.15"/>
    <n v="245"/>
    <n v="245"/>
    <n v="60"/>
    <n v="289.14999999999998"/>
    <n v="0.48666161743667424"/>
    <x v="1"/>
    <d v="2025-02-16T00:00:00"/>
    <n v="5"/>
    <x v="2"/>
    <m/>
    <n v="0"/>
  </r>
  <r>
    <s v="ORD-102410"/>
    <x v="404"/>
    <x v="1"/>
    <d v="2025-02-01T00:00:00"/>
    <n v="2"/>
    <s v="CUST-01765"/>
    <x v="1"/>
    <x v="14"/>
    <s v="KL"/>
    <x v="3"/>
    <s v="Thiruvananthapuram"/>
    <x v="4"/>
    <s v="P203"/>
    <s v="Keratin Hair Mask"/>
    <x v="6"/>
    <n v="3"/>
    <n v="549"/>
    <n v="0.15"/>
    <n v="1647"/>
    <n v="247.04999999999998"/>
    <n v="1399.95"/>
    <n v="170"/>
    <n v="510"/>
    <n v="60"/>
    <n v="829.95"/>
    <n v="0.59284260152148294"/>
    <x v="0"/>
    <d v="2025-02-15T00:00:00"/>
    <n v="4"/>
    <x v="0"/>
    <m/>
    <n v="0"/>
  </r>
  <r>
    <s v="ORD-102411"/>
    <x v="405"/>
    <x v="1"/>
    <d v="2025-02-01T00:00:00"/>
    <n v="2"/>
    <s v="CUST-00964"/>
    <x v="1"/>
    <x v="16"/>
    <s v="UP"/>
    <x v="0"/>
    <s v="Lucknow"/>
    <x v="3"/>
    <s v="P203"/>
    <s v="Keratin Hair Mask"/>
    <x v="6"/>
    <n v="1"/>
    <n v="549"/>
    <n v="0.2"/>
    <n v="549"/>
    <n v="109.80000000000001"/>
    <n v="439.2"/>
    <n v="170"/>
    <n v="170"/>
    <n v="120"/>
    <n v="149.19999999999999"/>
    <n v="0.33970856102003644"/>
    <x v="4"/>
    <d v="2025-02-15T00:00:00"/>
    <n v="3"/>
    <x v="0"/>
    <n v="2"/>
    <n v="1"/>
  </r>
  <r>
    <s v="ORD-102412"/>
    <x v="405"/>
    <x v="1"/>
    <d v="2025-02-01T00:00:00"/>
    <n v="2"/>
    <s v="CUST-00438"/>
    <x v="1"/>
    <x v="16"/>
    <s v="UP"/>
    <x v="0"/>
    <s v="Noida"/>
    <x v="0"/>
    <s v="P105"/>
    <s v="Retinol Night Cream"/>
    <x v="3"/>
    <n v="1"/>
    <n v="799"/>
    <n v="0.05"/>
    <n v="799"/>
    <n v="39.950000000000003"/>
    <n v="759.05"/>
    <n v="216"/>
    <n v="216"/>
    <n v="60"/>
    <n v="483.04999999999995"/>
    <n v="0.63638758975034582"/>
    <x v="3"/>
    <d v="2025-02-14T00:00:00"/>
    <n v="2"/>
    <x v="1"/>
    <n v="4"/>
    <n v="0"/>
  </r>
  <r>
    <s v="ORD-102413"/>
    <x v="405"/>
    <x v="1"/>
    <d v="2025-02-01T00:00:00"/>
    <n v="2"/>
    <s v="CUST-00245"/>
    <x v="0"/>
    <x v="1"/>
    <s v="GJ"/>
    <x v="1"/>
    <s v="Ahmedabad"/>
    <x v="0"/>
    <s v="P105"/>
    <s v="Retinol Night Cream"/>
    <x v="3"/>
    <n v="1"/>
    <n v="799"/>
    <n v="0.1"/>
    <n v="799"/>
    <n v="79.900000000000006"/>
    <n v="719.1"/>
    <n v="216"/>
    <n v="216"/>
    <n v="60"/>
    <n v="443.1"/>
    <n v="0.61618690029203171"/>
    <x v="3"/>
    <d v="2025-02-14T00:00:00"/>
    <n v="2"/>
    <x v="1"/>
    <m/>
    <n v="0"/>
  </r>
  <r>
    <s v="ORD-102414"/>
    <x v="405"/>
    <x v="1"/>
    <d v="2025-02-01T00:00:00"/>
    <n v="2"/>
    <s v="CUST-00877"/>
    <x v="1"/>
    <x v="1"/>
    <s v="GJ"/>
    <x v="1"/>
    <s v="Ahmedabad"/>
    <x v="1"/>
    <s v="P301"/>
    <s v="Cotton Oversized T-Shirt"/>
    <x v="1"/>
    <n v="2"/>
    <n v="799"/>
    <n v="0.05"/>
    <n v="1598"/>
    <n v="79.900000000000006"/>
    <n v="1518.1"/>
    <n v="320"/>
    <n v="640"/>
    <n v="60"/>
    <n v="818.09999999999991"/>
    <n v="0.5388973058428298"/>
    <x v="3"/>
    <d v="2025-02-14T00:00:00"/>
    <n v="2"/>
    <x v="1"/>
    <n v="5"/>
    <n v="0"/>
  </r>
  <r>
    <s v="ORD-102415"/>
    <x v="405"/>
    <x v="1"/>
    <d v="2025-02-01T00:00:00"/>
    <n v="2"/>
    <s v="CUST-00017"/>
    <x v="1"/>
    <x v="1"/>
    <s v="GJ"/>
    <x v="1"/>
    <s v="Ahmedabad"/>
    <x v="3"/>
    <s v="P703"/>
    <s v="Green Tea (100 bags)"/>
    <x v="0"/>
    <n v="1"/>
    <n v="399"/>
    <n v="0.4"/>
    <n v="399"/>
    <n v="159.60000000000002"/>
    <n v="239.39999999999998"/>
    <n v="128"/>
    <n v="128"/>
    <n v="60"/>
    <n v="51.399999999999977"/>
    <n v="0.21470342522974095"/>
    <x v="3"/>
    <d v="2025-02-16T00:00:00"/>
    <n v="4"/>
    <x v="0"/>
    <n v="4"/>
    <n v="0"/>
  </r>
  <r>
    <s v="ORD-102416"/>
    <x v="405"/>
    <x v="1"/>
    <d v="2025-02-01T00:00:00"/>
    <n v="2"/>
    <s v="CUST-00025"/>
    <x v="1"/>
    <x v="2"/>
    <s v="MH"/>
    <x v="1"/>
    <s v="Nagpur"/>
    <x v="2"/>
    <s v="P101"/>
    <s v="Vitamin C Face Serum"/>
    <x v="3"/>
    <n v="1"/>
    <n v="599"/>
    <n v="0.2"/>
    <n v="599"/>
    <n v="119.80000000000001"/>
    <n v="479.2"/>
    <n v="180"/>
    <n v="180"/>
    <n v="60"/>
    <n v="239.2"/>
    <n v="0.4991652754590985"/>
    <x v="0"/>
    <d v="2025-02-15T00:00:00"/>
    <n v="3"/>
    <x v="0"/>
    <m/>
    <n v="0"/>
  </r>
  <r>
    <s v="ORD-102417"/>
    <x v="405"/>
    <x v="1"/>
    <d v="2025-02-01T00:00:00"/>
    <n v="2"/>
    <s v="CUST-01614"/>
    <x v="0"/>
    <x v="21"/>
    <s v="TG"/>
    <x v="3"/>
    <s v="Hyderabad"/>
    <x v="4"/>
    <s v="P401"/>
    <s v="Running Shoes"/>
    <x v="5"/>
    <n v="1"/>
    <n v="2999"/>
    <n v="0.2"/>
    <n v="2999"/>
    <n v="599.80000000000007"/>
    <n v="2399.1999999999998"/>
    <n v="1440"/>
    <n v="1440"/>
    <n v="60"/>
    <n v="899.19999999999982"/>
    <n v="0.3747915971990663"/>
    <x v="3"/>
    <d v="2025-02-14T00:00:00"/>
    <n v="2"/>
    <x v="1"/>
    <n v="2"/>
    <n v="0"/>
  </r>
  <r>
    <s v="ORD-102418"/>
    <x v="406"/>
    <x v="1"/>
    <d v="2025-02-01T00:00:00"/>
    <n v="2"/>
    <s v="CUST-03196"/>
    <x v="0"/>
    <x v="6"/>
    <s v="DL"/>
    <x v="0"/>
    <s v="New Delhi"/>
    <x v="3"/>
    <s v="P101"/>
    <s v="Vitamin C Face Serum"/>
    <x v="3"/>
    <n v="1"/>
    <n v="599"/>
    <n v="0.2"/>
    <n v="599"/>
    <n v="119.80000000000001"/>
    <n v="479.2"/>
    <n v="180"/>
    <n v="180"/>
    <n v="60"/>
    <n v="239.2"/>
    <n v="0.4991652754590985"/>
    <x v="4"/>
    <d v="2025-02-15T00:00:00"/>
    <n v="2"/>
    <x v="1"/>
    <m/>
    <n v="0"/>
  </r>
  <r>
    <s v="ORD-102419"/>
    <x v="406"/>
    <x v="1"/>
    <d v="2025-02-01T00:00:00"/>
    <n v="2"/>
    <s v="CUST-00769"/>
    <x v="1"/>
    <x v="16"/>
    <s v="UP"/>
    <x v="0"/>
    <s v="Lucknow"/>
    <x v="4"/>
    <s v="P402"/>
    <s v="Casual Sneakers"/>
    <x v="5"/>
    <n v="1"/>
    <n v="2199"/>
    <n v="0.15"/>
    <n v="2199"/>
    <n v="329.84999999999997"/>
    <n v="1869.15"/>
    <n v="1034"/>
    <n v="1034"/>
    <n v="60"/>
    <n v="775.15000000000009"/>
    <n v="0.41470721985929437"/>
    <x v="0"/>
    <d v="2025-02-18T00:00:00"/>
    <n v="5"/>
    <x v="2"/>
    <n v="4"/>
    <n v="0"/>
  </r>
  <r>
    <s v="ORD-102420"/>
    <x v="406"/>
    <x v="1"/>
    <d v="2025-02-01T00:00:00"/>
    <n v="2"/>
    <s v="CUST-01014"/>
    <x v="0"/>
    <x v="1"/>
    <s v="GJ"/>
    <x v="1"/>
    <s v="Ahmedabad"/>
    <x v="4"/>
    <s v="P201"/>
    <s v="Onion Hair Oil"/>
    <x v="6"/>
    <n v="3"/>
    <n v="349"/>
    <n v="0.3"/>
    <n v="1047"/>
    <n v="314.09999999999997"/>
    <n v="732.90000000000009"/>
    <n v="105"/>
    <n v="315"/>
    <n v="60"/>
    <n v="357.90000000000009"/>
    <n v="0.48833401555464601"/>
    <x v="0"/>
    <d v="2025-02-14T00:00:00"/>
    <n v="1"/>
    <x v="1"/>
    <n v="5"/>
    <n v="0"/>
  </r>
  <r>
    <s v="ORD-102421"/>
    <x v="406"/>
    <x v="1"/>
    <d v="2025-02-01T00:00:00"/>
    <n v="2"/>
    <s v="CUST-02259"/>
    <x v="1"/>
    <x v="1"/>
    <s v="GJ"/>
    <x v="1"/>
    <s v="Surat"/>
    <x v="2"/>
    <s v="P403"/>
    <s v="Kolhapuri Sandals"/>
    <x v="5"/>
    <n v="1"/>
    <n v="999"/>
    <n v="0"/>
    <n v="999"/>
    <n v="0"/>
    <n v="999"/>
    <n v="400"/>
    <n v="400"/>
    <n v="120"/>
    <n v="479"/>
    <n v="0.4794794794794795"/>
    <x v="2"/>
    <d v="2025-02-18T00:00:00"/>
    <n v="5"/>
    <x v="2"/>
    <m/>
    <n v="1"/>
  </r>
  <r>
    <s v="ORD-102422"/>
    <x v="406"/>
    <x v="1"/>
    <d v="2025-02-01T00:00:00"/>
    <n v="2"/>
    <s v="CUST-00567"/>
    <x v="1"/>
    <x v="11"/>
    <s v="KA"/>
    <x v="3"/>
    <s v="Bengaluru"/>
    <x v="0"/>
    <s v="P701"/>
    <s v="Ashwagandha Capsules"/>
    <x v="0"/>
    <n v="1"/>
    <n v="499"/>
    <n v="0.1"/>
    <n v="499"/>
    <n v="49.900000000000006"/>
    <n v="449.1"/>
    <n v="150"/>
    <n v="150"/>
    <n v="60"/>
    <n v="239.10000000000002"/>
    <n v="0.53239812959251842"/>
    <x v="3"/>
    <d v="2025-02-15T00:00:00"/>
    <n v="2"/>
    <x v="1"/>
    <n v="5"/>
    <n v="0"/>
  </r>
  <r>
    <s v="ORD-102423"/>
    <x v="407"/>
    <x v="1"/>
    <d v="2025-02-01T00:00:00"/>
    <n v="2"/>
    <s v="CUST-01789"/>
    <x v="0"/>
    <x v="19"/>
    <s v="PB"/>
    <x v="0"/>
    <s v="Ludhiana"/>
    <x v="0"/>
    <s v="P103"/>
    <s v="Niacinamide Toner"/>
    <x v="3"/>
    <n v="1"/>
    <n v="399"/>
    <n v="0.15"/>
    <n v="399"/>
    <n v="59.849999999999994"/>
    <n v="339.15"/>
    <n v="112"/>
    <n v="112"/>
    <n v="60"/>
    <n v="167.14999999999998"/>
    <n v="0.49284977148754233"/>
    <x v="4"/>
    <d v="2025-02-19T00:00:00"/>
    <n v="5"/>
    <x v="2"/>
    <n v="5"/>
    <n v="0"/>
  </r>
  <r>
    <s v="ORD-102424"/>
    <x v="407"/>
    <x v="1"/>
    <d v="2025-02-01T00:00:00"/>
    <n v="2"/>
    <s v="CUST-00045"/>
    <x v="0"/>
    <x v="0"/>
    <s v="RJ"/>
    <x v="0"/>
    <s v="Udaipur"/>
    <x v="2"/>
    <s v="P701"/>
    <s v="Ashwagandha Capsules"/>
    <x v="0"/>
    <n v="1"/>
    <n v="499"/>
    <n v="0"/>
    <n v="499"/>
    <n v="0"/>
    <n v="499"/>
    <n v="150"/>
    <n v="150"/>
    <n v="120"/>
    <n v="229"/>
    <n v="0.4589178356713427"/>
    <x v="2"/>
    <d v="2025-02-18T00:00:00"/>
    <n v="4"/>
    <x v="0"/>
    <n v="4"/>
    <n v="1"/>
  </r>
  <r>
    <s v="ORD-102425"/>
    <x v="407"/>
    <x v="1"/>
    <d v="2025-02-01T00:00:00"/>
    <n v="2"/>
    <s v="CUST-02713"/>
    <x v="0"/>
    <x v="16"/>
    <s v="UP"/>
    <x v="0"/>
    <s v="Kanpur"/>
    <x v="4"/>
    <s v="P603"/>
    <s v="Smartwatch Strap"/>
    <x v="2"/>
    <n v="1"/>
    <n v="499"/>
    <n v="0.1"/>
    <n v="499"/>
    <n v="49.900000000000006"/>
    <n v="449.1"/>
    <n v="200"/>
    <n v="200"/>
    <n v="60"/>
    <n v="189.10000000000002"/>
    <n v="0.42106435092407041"/>
    <x v="0"/>
    <d v="2025-02-16T00:00:00"/>
    <n v="2"/>
    <x v="1"/>
    <n v="4"/>
    <n v="0"/>
  </r>
  <r>
    <s v="ORD-102426"/>
    <x v="407"/>
    <x v="1"/>
    <d v="2025-02-01T00:00:00"/>
    <n v="2"/>
    <s v="CUST-02644"/>
    <x v="0"/>
    <x v="12"/>
    <s v="BR"/>
    <x v="2"/>
    <s v="Patna"/>
    <x v="4"/>
    <s v="P404"/>
    <s v="Flip Flops"/>
    <x v="5"/>
    <n v="1"/>
    <n v="399"/>
    <n v="0.15"/>
    <n v="399"/>
    <n v="59.849999999999994"/>
    <n v="339.15"/>
    <n v="152"/>
    <n v="152"/>
    <n v="60"/>
    <n v="127.14999999999998"/>
    <n v="0.37490785787999409"/>
    <x v="0"/>
    <d v="2025-02-19T00:00:00"/>
    <n v="5"/>
    <x v="2"/>
    <n v="4"/>
    <n v="0"/>
  </r>
  <r>
    <s v="ORD-102427"/>
    <x v="407"/>
    <x v="1"/>
    <d v="2025-02-01T00:00:00"/>
    <n v="2"/>
    <s v="CUST-00592"/>
    <x v="0"/>
    <x v="22"/>
    <s v="AS"/>
    <x v="2"/>
    <s v="Guwahati"/>
    <x v="0"/>
    <s v="P503"/>
    <s v="Scented Candle Set"/>
    <x v="4"/>
    <n v="1"/>
    <n v="699"/>
    <n v="0.25"/>
    <n v="699"/>
    <n v="174.75"/>
    <n v="524.25"/>
    <n v="245"/>
    <n v="245"/>
    <n v="60"/>
    <n v="219.25"/>
    <n v="0.41821649976156416"/>
    <x v="1"/>
    <d v="2025-02-21T00:00:00"/>
    <n v="7"/>
    <x v="2"/>
    <n v="3"/>
    <n v="0"/>
  </r>
  <r>
    <s v="ORD-102428"/>
    <x v="407"/>
    <x v="1"/>
    <d v="2025-02-01T00:00:00"/>
    <n v="2"/>
    <s v="CUST-02284"/>
    <x v="1"/>
    <x v="2"/>
    <s v="MH"/>
    <x v="1"/>
    <s v="Pune"/>
    <x v="4"/>
    <s v="P502"/>
    <s v="Ceramic Dinner Set"/>
    <x v="4"/>
    <n v="3"/>
    <n v="2499"/>
    <n v="0.25"/>
    <n v="7497"/>
    <n v="1874.25"/>
    <n v="5622.75"/>
    <n v="1250"/>
    <n v="3750"/>
    <n v="60"/>
    <n v="1812.75"/>
    <n v="0.32239562491663332"/>
    <x v="0"/>
    <d v="2025-02-17T00:00:00"/>
    <n v="3"/>
    <x v="0"/>
    <n v="3"/>
    <n v="0"/>
  </r>
  <r>
    <s v="ORD-102429"/>
    <x v="407"/>
    <x v="1"/>
    <d v="2025-02-01T00:00:00"/>
    <n v="2"/>
    <s v="CUST-00423"/>
    <x v="1"/>
    <x v="8"/>
    <s v="AP"/>
    <x v="3"/>
    <s v="Visakhapatnam"/>
    <x v="4"/>
    <s v="P305"/>
    <s v="Printed Saree"/>
    <x v="1"/>
    <n v="1"/>
    <n v="1999"/>
    <n v="0"/>
    <n v="1999"/>
    <n v="0"/>
    <n v="1999"/>
    <n v="880"/>
    <n v="880"/>
    <n v="60"/>
    <n v="1059"/>
    <n v="0.52976488244122066"/>
    <x v="1"/>
    <d v="2025-02-19T00:00:00"/>
    <n v="5"/>
    <x v="2"/>
    <n v="3"/>
    <n v="0"/>
  </r>
  <r>
    <s v="ORD-102430"/>
    <x v="407"/>
    <x v="1"/>
    <d v="2025-02-01T00:00:00"/>
    <n v="2"/>
    <s v="CUST-00913"/>
    <x v="1"/>
    <x v="17"/>
    <s v="TN"/>
    <x v="3"/>
    <s v="Chennai"/>
    <x v="4"/>
    <s v="P102"/>
    <s v="Sunscreen SPF 50"/>
    <x v="3"/>
    <n v="1"/>
    <n v="449"/>
    <n v="0.15"/>
    <n v="449"/>
    <n v="67.349999999999994"/>
    <n v="381.65"/>
    <n v="144"/>
    <n v="144"/>
    <n v="60"/>
    <n v="177.64999999999998"/>
    <n v="0.465478841870824"/>
    <x v="3"/>
    <d v="2025-02-16T00:00:00"/>
    <n v="2"/>
    <x v="1"/>
    <n v="3"/>
    <n v="0"/>
  </r>
  <r>
    <s v="ORD-102431"/>
    <x v="408"/>
    <x v="1"/>
    <d v="2025-02-01T00:00:00"/>
    <n v="2"/>
    <s v="CUST-02116"/>
    <x v="0"/>
    <x v="0"/>
    <s v="RJ"/>
    <x v="0"/>
    <s v="Jaipur"/>
    <x v="0"/>
    <s v="P101"/>
    <s v="Vitamin C Face Serum"/>
    <x v="3"/>
    <n v="1"/>
    <n v="599"/>
    <n v="0.15"/>
    <n v="599"/>
    <n v="89.85"/>
    <n v="509.15"/>
    <n v="180"/>
    <n v="180"/>
    <n v="120"/>
    <n v="209.14999999999998"/>
    <n v="0.41078267701070409"/>
    <x v="3"/>
    <d v="2025-02-22T00:00:00"/>
    <n v="7"/>
    <x v="2"/>
    <n v="3"/>
    <n v="1"/>
  </r>
  <r>
    <s v="ORD-102432"/>
    <x v="408"/>
    <x v="1"/>
    <d v="2025-02-01T00:00:00"/>
    <n v="2"/>
    <s v="CUST-00127"/>
    <x v="1"/>
    <x v="16"/>
    <s v="UP"/>
    <x v="0"/>
    <s v="Kanpur"/>
    <x v="0"/>
    <s v="P104"/>
    <s v="Hydrating Face Wash"/>
    <x v="3"/>
    <n v="1"/>
    <n v="299"/>
    <n v="0.05"/>
    <n v="299"/>
    <n v="14.950000000000001"/>
    <n v="284.05"/>
    <n v="90"/>
    <n v="90"/>
    <n v="60"/>
    <n v="134.05000000000001"/>
    <n v="0.47192395704981521"/>
    <x v="3"/>
    <d v="2025-02-19T00:00:00"/>
    <n v="4"/>
    <x v="0"/>
    <n v="4"/>
    <n v="0"/>
  </r>
  <r>
    <s v="ORD-102433"/>
    <x v="408"/>
    <x v="1"/>
    <d v="2025-02-01T00:00:00"/>
    <n v="2"/>
    <s v="CUST-02537"/>
    <x v="0"/>
    <x v="1"/>
    <s v="GJ"/>
    <x v="1"/>
    <s v="Surat"/>
    <x v="0"/>
    <s v="P501"/>
    <s v="Copper Water Bottle"/>
    <x v="4"/>
    <n v="1"/>
    <n v="899"/>
    <n v="0.15"/>
    <n v="899"/>
    <n v="134.85"/>
    <n v="764.15"/>
    <n v="378"/>
    <n v="378"/>
    <n v="60"/>
    <n v="326.14999999999998"/>
    <n v="0.42681410717791007"/>
    <x v="2"/>
    <d v="2025-02-20T00:00:00"/>
    <n v="5"/>
    <x v="2"/>
    <n v="4"/>
    <n v="0"/>
  </r>
  <r>
    <s v="ORD-102434"/>
    <x v="408"/>
    <x v="1"/>
    <d v="2025-02-01T00:00:00"/>
    <n v="2"/>
    <s v="CUST-00973"/>
    <x v="1"/>
    <x v="1"/>
    <s v="GJ"/>
    <x v="1"/>
    <s v="Surat"/>
    <x v="4"/>
    <s v="P102"/>
    <s v="Sunscreen SPF 50"/>
    <x v="3"/>
    <n v="2"/>
    <n v="449"/>
    <n v="0.05"/>
    <n v="898"/>
    <n v="44.900000000000006"/>
    <n v="853.1"/>
    <n v="144"/>
    <n v="288"/>
    <n v="60"/>
    <n v="505.1"/>
    <n v="0.59207595826983939"/>
    <x v="1"/>
    <d v="2025-02-16T00:00:00"/>
    <n v="1"/>
    <x v="1"/>
    <m/>
    <n v="0"/>
  </r>
  <r>
    <s v="ORD-102435"/>
    <x v="408"/>
    <x v="1"/>
    <d v="2025-02-01T00:00:00"/>
    <n v="2"/>
    <s v="CUST-01828"/>
    <x v="1"/>
    <x v="10"/>
    <s v="CG"/>
    <x v="2"/>
    <s v="Raipur"/>
    <x v="4"/>
    <s v="P104"/>
    <s v="Hydrating Face Wash"/>
    <x v="3"/>
    <n v="3"/>
    <n v="299"/>
    <n v="0.1"/>
    <n v="897"/>
    <n v="89.7"/>
    <n v="807.3"/>
    <n v="90"/>
    <n v="270"/>
    <n v="60"/>
    <n v="477.29999999999995"/>
    <n v="0.59123002601263464"/>
    <x v="1"/>
    <d v="2025-02-19T00:00:00"/>
    <n v="4"/>
    <x v="0"/>
    <n v="5"/>
    <n v="0"/>
  </r>
  <r>
    <s v="ORD-102436"/>
    <x v="409"/>
    <x v="1"/>
    <d v="2025-02-01T00:00:00"/>
    <n v="2"/>
    <s v="CUST-01483"/>
    <x v="0"/>
    <x v="0"/>
    <s v="RJ"/>
    <x v="0"/>
    <s v="Udaipur"/>
    <x v="2"/>
    <s v="P204"/>
    <s v="Anti-Dandruff Conditioner"/>
    <x v="6"/>
    <n v="1"/>
    <n v="399"/>
    <n v="0.25"/>
    <n v="399"/>
    <n v="99.75"/>
    <n v="299.25"/>
    <n v="136"/>
    <n v="136"/>
    <n v="60"/>
    <n v="103.25"/>
    <n v="0.34502923976608185"/>
    <x v="2"/>
    <d v="2025-02-20T00:00:00"/>
    <n v="4"/>
    <x v="0"/>
    <m/>
    <n v="0"/>
  </r>
  <r>
    <s v="ORD-102437"/>
    <x v="409"/>
    <x v="1"/>
    <d v="2025-02-01T00:00:00"/>
    <n v="2"/>
    <s v="CUST-00342"/>
    <x v="0"/>
    <x v="6"/>
    <s v="DL"/>
    <x v="0"/>
    <s v="New Delhi"/>
    <x v="4"/>
    <s v="P402"/>
    <s v="Casual Sneakers"/>
    <x v="5"/>
    <n v="1"/>
    <n v="2199"/>
    <n v="0.25"/>
    <n v="2199"/>
    <n v="549.75"/>
    <n v="1649.25"/>
    <n v="1034"/>
    <n v="1034"/>
    <n v="60"/>
    <n v="555.25"/>
    <n v="0.33666818250720026"/>
    <x v="0"/>
    <d v="2025-02-17T00:00:00"/>
    <n v="1"/>
    <x v="1"/>
    <n v="5"/>
    <n v="0"/>
  </r>
  <r>
    <s v="ORD-102438"/>
    <x v="409"/>
    <x v="1"/>
    <d v="2025-02-01T00:00:00"/>
    <n v="2"/>
    <s v="CUST-00026"/>
    <x v="1"/>
    <x v="1"/>
    <s v="GJ"/>
    <x v="1"/>
    <s v="Surat"/>
    <x v="4"/>
    <s v="P204"/>
    <s v="Anti-Dandruff Conditioner"/>
    <x v="6"/>
    <n v="2"/>
    <n v="399"/>
    <n v="0.35"/>
    <n v="798"/>
    <n v="279.29999999999995"/>
    <n v="518.70000000000005"/>
    <n v="136"/>
    <n v="272"/>
    <n v="60"/>
    <n v="186.70000000000005"/>
    <n v="0.35993830730672843"/>
    <x v="3"/>
    <d v="2025-02-18T00:00:00"/>
    <n v="2"/>
    <x v="1"/>
    <n v="5"/>
    <n v="0"/>
  </r>
  <r>
    <s v="ORD-102439"/>
    <x v="409"/>
    <x v="1"/>
    <d v="2025-02-01T00:00:00"/>
    <n v="2"/>
    <s v="CUST-01085"/>
    <x v="0"/>
    <x v="1"/>
    <s v="GJ"/>
    <x v="1"/>
    <s v="Surat"/>
    <x v="1"/>
    <s v="P403"/>
    <s v="Kolhapuri Sandals"/>
    <x v="5"/>
    <n v="2"/>
    <n v="999"/>
    <n v="0.05"/>
    <n v="1998"/>
    <n v="99.9"/>
    <n v="1898.1"/>
    <n v="400"/>
    <n v="800"/>
    <n v="60"/>
    <n v="1038.0999999999999"/>
    <n v="0.54691533638902057"/>
    <x v="4"/>
    <d v="2025-02-20T00:00:00"/>
    <n v="4"/>
    <x v="0"/>
    <n v="3"/>
    <n v="0"/>
  </r>
  <r>
    <s v="ORD-102440"/>
    <x v="409"/>
    <x v="1"/>
    <d v="2025-02-01T00:00:00"/>
    <n v="2"/>
    <s v="CUST-01143"/>
    <x v="0"/>
    <x v="2"/>
    <s v="MH"/>
    <x v="1"/>
    <s v="Mumbai"/>
    <x v="1"/>
    <s v="P301"/>
    <s v="Cotton Oversized T-Shirt"/>
    <x v="1"/>
    <n v="1"/>
    <n v="799"/>
    <n v="0"/>
    <n v="799"/>
    <n v="0"/>
    <n v="799"/>
    <n v="320"/>
    <n v="320"/>
    <n v="60"/>
    <n v="419"/>
    <n v="0.52440550688360454"/>
    <x v="0"/>
    <d v="2025-02-19T00:00:00"/>
    <n v="3"/>
    <x v="0"/>
    <n v="5"/>
    <n v="0"/>
  </r>
  <r>
    <s v="ORD-102441"/>
    <x v="410"/>
    <x v="1"/>
    <d v="2025-02-01T00:00:00"/>
    <n v="2"/>
    <s v="CUST-00038"/>
    <x v="0"/>
    <x v="4"/>
    <s v="JK"/>
    <x v="0"/>
    <s v="Srinagar"/>
    <x v="1"/>
    <s v="P303"/>
    <s v="Joggers"/>
    <x v="1"/>
    <n v="1"/>
    <n v="1199"/>
    <n v="0.2"/>
    <n v="1199"/>
    <n v="239.8"/>
    <n v="959.2"/>
    <n v="492"/>
    <n v="492"/>
    <n v="60"/>
    <n v="407.20000000000005"/>
    <n v="0.42452043369474562"/>
    <x v="0"/>
    <d v="2025-02-21T00:00:00"/>
    <n v="4"/>
    <x v="0"/>
    <m/>
    <n v="0"/>
  </r>
  <r>
    <s v="ORD-102442"/>
    <x v="410"/>
    <x v="1"/>
    <d v="2025-02-01T00:00:00"/>
    <n v="2"/>
    <s v="CUST-01762"/>
    <x v="0"/>
    <x v="19"/>
    <s v="PB"/>
    <x v="0"/>
    <s v="Amritsar"/>
    <x v="3"/>
    <s v="P104"/>
    <s v="Hydrating Face Wash"/>
    <x v="3"/>
    <n v="1"/>
    <n v="299"/>
    <n v="0"/>
    <n v="299"/>
    <n v="0"/>
    <n v="299"/>
    <n v="90"/>
    <n v="90"/>
    <n v="60"/>
    <n v="149"/>
    <n v="0.49832775919732442"/>
    <x v="3"/>
    <d v="2025-02-19T00:00:00"/>
    <n v="2"/>
    <x v="1"/>
    <m/>
    <n v="0"/>
  </r>
  <r>
    <s v="ORD-102443"/>
    <x v="410"/>
    <x v="1"/>
    <d v="2025-02-01T00:00:00"/>
    <n v="2"/>
    <s v="CUST-01758"/>
    <x v="0"/>
    <x v="6"/>
    <s v="DL"/>
    <x v="0"/>
    <s v="New Delhi"/>
    <x v="0"/>
    <s v="P102"/>
    <s v="Sunscreen SPF 50"/>
    <x v="3"/>
    <n v="1"/>
    <n v="449"/>
    <n v="0.05"/>
    <n v="449"/>
    <n v="22.450000000000003"/>
    <n v="426.55"/>
    <n v="144"/>
    <n v="144"/>
    <n v="60"/>
    <n v="222.55"/>
    <n v="0.52174422693705313"/>
    <x v="1"/>
    <d v="2025-02-18T00:00:00"/>
    <n v="1"/>
    <x v="1"/>
    <n v="5"/>
    <n v="0"/>
  </r>
  <r>
    <s v="ORD-102444"/>
    <x v="410"/>
    <x v="1"/>
    <d v="2025-02-01T00:00:00"/>
    <n v="2"/>
    <s v="CUST-00767"/>
    <x v="1"/>
    <x v="1"/>
    <s v="GJ"/>
    <x v="1"/>
    <s v="Ahmedabad"/>
    <x v="4"/>
    <s v="P102"/>
    <s v="Sunscreen SPF 50"/>
    <x v="3"/>
    <n v="1"/>
    <n v="449"/>
    <n v="0.15"/>
    <n v="449"/>
    <n v="67.349999999999994"/>
    <n v="381.65"/>
    <n v="144"/>
    <n v="144"/>
    <n v="60"/>
    <n v="177.64999999999998"/>
    <n v="0.465478841870824"/>
    <x v="3"/>
    <d v="2025-02-20T00:00:00"/>
    <n v="3"/>
    <x v="0"/>
    <n v="4"/>
    <n v="0"/>
  </r>
  <r>
    <s v="ORD-102445"/>
    <x v="410"/>
    <x v="1"/>
    <d v="2025-02-01T00:00:00"/>
    <n v="2"/>
    <s v="CUST-02193"/>
    <x v="1"/>
    <x v="2"/>
    <s v="MH"/>
    <x v="1"/>
    <s v="Mumbai"/>
    <x v="0"/>
    <s v="P502"/>
    <s v="Ceramic Dinner Set"/>
    <x v="4"/>
    <n v="2"/>
    <n v="2499"/>
    <n v="0.3"/>
    <n v="4998"/>
    <n v="1499.3999999999999"/>
    <n v="3498.6000000000004"/>
    <n v="1250"/>
    <n v="2500"/>
    <n v="60"/>
    <n v="938.60000000000036"/>
    <n v="0.26827874006745561"/>
    <x v="4"/>
    <d v="2025-02-19T00:00:00"/>
    <n v="2"/>
    <x v="1"/>
    <n v="4"/>
    <n v="0"/>
  </r>
  <r>
    <s v="ORD-102446"/>
    <x v="410"/>
    <x v="1"/>
    <d v="2025-02-01T00:00:00"/>
    <n v="2"/>
    <s v="CUST-00165"/>
    <x v="1"/>
    <x v="2"/>
    <s v="MH"/>
    <x v="1"/>
    <s v="Nagpur"/>
    <x v="4"/>
    <s v="P103"/>
    <s v="Niacinamide Toner"/>
    <x v="3"/>
    <n v="1"/>
    <n v="399"/>
    <n v="0.2"/>
    <n v="399"/>
    <n v="79.800000000000011"/>
    <n v="319.2"/>
    <n v="112"/>
    <n v="112"/>
    <n v="60"/>
    <n v="147.19999999999999"/>
    <n v="0.46115288220551376"/>
    <x v="1"/>
    <d v="2025-02-18T00:00:00"/>
    <n v="1"/>
    <x v="1"/>
    <n v="4"/>
    <n v="0"/>
  </r>
  <r>
    <s v="ORD-102447"/>
    <x v="410"/>
    <x v="1"/>
    <d v="2025-02-01T00:00:00"/>
    <n v="2"/>
    <s v="CUST-00935"/>
    <x v="1"/>
    <x v="21"/>
    <s v="TG"/>
    <x v="3"/>
    <s v="Hyderabad"/>
    <x v="0"/>
    <s v="P103"/>
    <s v="Niacinamide Toner"/>
    <x v="3"/>
    <n v="1"/>
    <n v="399"/>
    <n v="0.25"/>
    <n v="399"/>
    <n v="99.75"/>
    <n v="299.25"/>
    <n v="112"/>
    <n v="112"/>
    <n v="60"/>
    <n v="127.25"/>
    <n v="0.42522974101921468"/>
    <x v="3"/>
    <d v="2025-02-21T00:00:00"/>
    <n v="4"/>
    <x v="0"/>
    <n v="3"/>
    <n v="0"/>
  </r>
  <r>
    <s v="ORD-102448"/>
    <x v="411"/>
    <x v="1"/>
    <d v="2025-02-01T00:00:00"/>
    <n v="2"/>
    <s v="CUST-02269"/>
    <x v="0"/>
    <x v="19"/>
    <s v="PB"/>
    <x v="0"/>
    <s v="Amritsar"/>
    <x v="4"/>
    <s v="P503"/>
    <s v="Scented Candle Set"/>
    <x v="4"/>
    <n v="2"/>
    <n v="699"/>
    <n v="0.3"/>
    <n v="1398"/>
    <n v="419.4"/>
    <n v="978.6"/>
    <n v="245"/>
    <n v="490"/>
    <n v="60"/>
    <n v="428.6"/>
    <n v="0.43797261393827919"/>
    <x v="3"/>
    <d v="2025-02-21T00:00:00"/>
    <n v="3"/>
    <x v="0"/>
    <m/>
    <n v="0"/>
  </r>
  <r>
    <s v="ORD-102449"/>
    <x v="411"/>
    <x v="1"/>
    <d v="2025-02-01T00:00:00"/>
    <n v="2"/>
    <s v="CUST-02067"/>
    <x v="1"/>
    <x v="16"/>
    <s v="UP"/>
    <x v="0"/>
    <s v="Kanpur"/>
    <x v="3"/>
    <s v="P203"/>
    <s v="Keratin Hair Mask"/>
    <x v="6"/>
    <n v="1"/>
    <n v="549"/>
    <n v="0.15"/>
    <n v="549"/>
    <n v="82.35"/>
    <n v="466.65"/>
    <n v="170"/>
    <n v="170"/>
    <n v="120"/>
    <n v="176.64999999999998"/>
    <n v="0.3785492339012107"/>
    <x v="1"/>
    <d v="2025-02-21T00:00:00"/>
    <n v="3"/>
    <x v="0"/>
    <m/>
    <n v="1"/>
  </r>
  <r>
    <s v="ORD-102450"/>
    <x v="411"/>
    <x v="1"/>
    <d v="2025-02-01T00:00:00"/>
    <n v="2"/>
    <s v="CUST-00123"/>
    <x v="1"/>
    <x v="2"/>
    <s v="MH"/>
    <x v="1"/>
    <s v="Pune"/>
    <x v="3"/>
    <s v="P103"/>
    <s v="Niacinamide Toner"/>
    <x v="3"/>
    <n v="1"/>
    <n v="399"/>
    <n v="0.2"/>
    <n v="399"/>
    <n v="79.800000000000011"/>
    <n v="319.2"/>
    <n v="112"/>
    <n v="112"/>
    <n v="60"/>
    <n v="147.19999999999999"/>
    <n v="0.46115288220551376"/>
    <x v="1"/>
    <d v="2025-02-20T00:00:00"/>
    <n v="2"/>
    <x v="1"/>
    <n v="4"/>
    <n v="0"/>
  </r>
  <r>
    <s v="ORD-102451"/>
    <x v="411"/>
    <x v="1"/>
    <d v="2025-02-01T00:00:00"/>
    <n v="2"/>
    <s v="CUST-00173"/>
    <x v="1"/>
    <x v="21"/>
    <s v="TG"/>
    <x v="3"/>
    <s v="Hyderabad"/>
    <x v="0"/>
    <s v="P403"/>
    <s v="Kolhapuri Sandals"/>
    <x v="5"/>
    <n v="1"/>
    <n v="999"/>
    <n v="0.05"/>
    <n v="999"/>
    <n v="49.95"/>
    <n v="949.05"/>
    <n v="400"/>
    <n v="400"/>
    <n v="60"/>
    <n v="489.04999999999995"/>
    <n v="0.5153047784626732"/>
    <x v="2"/>
    <d v="2025-02-21T00:00:00"/>
    <n v="3"/>
    <x v="0"/>
    <m/>
    <n v="0"/>
  </r>
  <r>
    <s v="ORD-102452"/>
    <x v="411"/>
    <x v="1"/>
    <d v="2025-02-01T00:00:00"/>
    <n v="2"/>
    <s v="CUST-02713"/>
    <x v="1"/>
    <x v="11"/>
    <s v="KA"/>
    <x v="3"/>
    <s v="Bengaluru"/>
    <x v="1"/>
    <s v="P404"/>
    <s v="Flip Flops"/>
    <x v="5"/>
    <n v="1"/>
    <n v="399"/>
    <n v="0.1"/>
    <n v="399"/>
    <n v="39.900000000000006"/>
    <n v="359.1"/>
    <n v="152"/>
    <n v="152"/>
    <n v="60"/>
    <n v="147.10000000000002"/>
    <n v="0.40963519910888335"/>
    <x v="4"/>
    <d v="2025-02-21T00:00:00"/>
    <n v="3"/>
    <x v="0"/>
    <n v="4"/>
    <n v="0"/>
  </r>
  <r>
    <s v="ORD-102453"/>
    <x v="411"/>
    <x v="1"/>
    <d v="2025-02-01T00:00:00"/>
    <n v="2"/>
    <s v="CUST-01374"/>
    <x v="0"/>
    <x v="17"/>
    <s v="TN"/>
    <x v="3"/>
    <s v="Coimbatore"/>
    <x v="1"/>
    <s v="P301"/>
    <s v="Cotton Oversized T-Shirt"/>
    <x v="1"/>
    <n v="1"/>
    <n v="799"/>
    <n v="0"/>
    <n v="799"/>
    <n v="0"/>
    <n v="799"/>
    <n v="320"/>
    <n v="320"/>
    <n v="60"/>
    <n v="419"/>
    <n v="0.52440550688360454"/>
    <x v="4"/>
    <d v="2025-02-20T00:00:00"/>
    <n v="2"/>
    <x v="1"/>
    <n v="4"/>
    <n v="0"/>
  </r>
  <r>
    <s v="ORD-102454"/>
    <x v="412"/>
    <x v="1"/>
    <d v="2025-02-01T00:00:00"/>
    <n v="2"/>
    <s v="CUST-00479"/>
    <x v="1"/>
    <x v="6"/>
    <s v="DL"/>
    <x v="0"/>
    <s v="New Delhi"/>
    <x v="3"/>
    <s v="P104"/>
    <s v="Hydrating Face Wash"/>
    <x v="3"/>
    <n v="2"/>
    <n v="299"/>
    <n v="0"/>
    <n v="598"/>
    <n v="0"/>
    <n v="598"/>
    <n v="90"/>
    <n v="180"/>
    <n v="120"/>
    <n v="298"/>
    <n v="0.49832775919732442"/>
    <x v="3"/>
    <d v="2025-02-21T00:00:00"/>
    <n v="2"/>
    <x v="1"/>
    <n v="5"/>
    <n v="1"/>
  </r>
  <r>
    <s v="ORD-102455"/>
    <x v="412"/>
    <x v="1"/>
    <d v="2025-02-01T00:00:00"/>
    <n v="2"/>
    <s v="CUST-00287"/>
    <x v="1"/>
    <x v="6"/>
    <s v="DL"/>
    <x v="0"/>
    <s v="New Delhi"/>
    <x v="3"/>
    <s v="P101"/>
    <s v="Vitamin C Face Serum"/>
    <x v="3"/>
    <n v="2"/>
    <n v="599"/>
    <n v="0.1"/>
    <n v="1198"/>
    <n v="119.80000000000001"/>
    <n v="1078.2"/>
    <n v="180"/>
    <n v="360"/>
    <n v="60"/>
    <n v="658.2"/>
    <n v="0.6104618809126322"/>
    <x v="0"/>
    <d v="2025-02-20T00:00:00"/>
    <n v="1"/>
    <x v="1"/>
    <n v="4"/>
    <n v="0"/>
  </r>
  <r>
    <s v="ORD-102456"/>
    <x v="412"/>
    <x v="1"/>
    <d v="2025-02-01T00:00:00"/>
    <n v="2"/>
    <s v="CUST-00330"/>
    <x v="0"/>
    <x v="16"/>
    <s v="UP"/>
    <x v="0"/>
    <s v="Noida"/>
    <x v="3"/>
    <s v="P104"/>
    <s v="Hydrating Face Wash"/>
    <x v="3"/>
    <n v="1"/>
    <n v="299"/>
    <n v="0"/>
    <n v="299"/>
    <n v="0"/>
    <n v="299"/>
    <n v="90"/>
    <n v="90"/>
    <n v="60"/>
    <n v="149"/>
    <n v="0.49832775919732442"/>
    <x v="4"/>
    <d v="2025-02-23T00:00:00"/>
    <n v="4"/>
    <x v="0"/>
    <n v="4"/>
    <n v="0"/>
  </r>
  <r>
    <s v="ORD-102457"/>
    <x v="412"/>
    <x v="1"/>
    <d v="2025-02-01T00:00:00"/>
    <n v="2"/>
    <s v="CUST-01922"/>
    <x v="0"/>
    <x v="10"/>
    <s v="CG"/>
    <x v="2"/>
    <s v="Raipur"/>
    <x v="0"/>
    <s v="P102"/>
    <s v="Sunscreen SPF 50"/>
    <x v="3"/>
    <n v="1"/>
    <n v="449"/>
    <n v="0.05"/>
    <n v="449"/>
    <n v="22.450000000000003"/>
    <n v="426.55"/>
    <n v="144"/>
    <n v="144"/>
    <n v="60"/>
    <n v="222.55"/>
    <n v="0.52174422693705313"/>
    <x v="3"/>
    <d v="2025-02-24T00:00:00"/>
    <n v="5"/>
    <x v="2"/>
    <n v="3"/>
    <n v="0"/>
  </r>
  <r>
    <s v="ORD-102458"/>
    <x v="412"/>
    <x v="1"/>
    <d v="2025-02-01T00:00:00"/>
    <n v="2"/>
    <s v="CUST-00995"/>
    <x v="1"/>
    <x v="2"/>
    <s v="MH"/>
    <x v="1"/>
    <s v="Pune"/>
    <x v="4"/>
    <s v="P105"/>
    <s v="Retinol Night Cream"/>
    <x v="3"/>
    <n v="1"/>
    <n v="799"/>
    <n v="0.1"/>
    <n v="799"/>
    <n v="79.900000000000006"/>
    <n v="719.1"/>
    <n v="216"/>
    <n v="216"/>
    <n v="60"/>
    <n v="443.1"/>
    <n v="0.61618690029203171"/>
    <x v="0"/>
    <d v="2025-02-21T00:00:00"/>
    <n v="2"/>
    <x v="1"/>
    <m/>
    <n v="0"/>
  </r>
  <r>
    <s v="ORD-102459"/>
    <x v="412"/>
    <x v="1"/>
    <d v="2025-02-01T00:00:00"/>
    <n v="2"/>
    <s v="CUST-00129"/>
    <x v="1"/>
    <x v="2"/>
    <s v="MH"/>
    <x v="1"/>
    <s v="Nagpur"/>
    <x v="1"/>
    <s v="P401"/>
    <s v="Running Shoes"/>
    <x v="5"/>
    <n v="1"/>
    <n v="2999"/>
    <n v="0.2"/>
    <n v="2999"/>
    <n v="599.80000000000007"/>
    <n v="2399.1999999999998"/>
    <n v="1440"/>
    <n v="1440"/>
    <n v="60"/>
    <n v="899.19999999999982"/>
    <n v="0.3747915971990663"/>
    <x v="0"/>
    <d v="2025-02-20T00:00:00"/>
    <n v="1"/>
    <x v="1"/>
    <n v="3"/>
    <n v="0"/>
  </r>
  <r>
    <s v="ORD-102460"/>
    <x v="412"/>
    <x v="1"/>
    <d v="2025-02-01T00:00:00"/>
    <n v="2"/>
    <s v="CUST-01575"/>
    <x v="0"/>
    <x v="11"/>
    <s v="KA"/>
    <x v="3"/>
    <s v="Mysuru"/>
    <x v="2"/>
    <s v="P104"/>
    <s v="Hydrating Face Wash"/>
    <x v="3"/>
    <n v="1"/>
    <n v="299"/>
    <n v="0.05"/>
    <n v="299"/>
    <n v="14.950000000000001"/>
    <n v="284.05"/>
    <n v="90"/>
    <n v="90"/>
    <n v="60"/>
    <n v="134.05000000000001"/>
    <n v="0.47192395704981521"/>
    <x v="0"/>
    <d v="2025-02-21T00:00:00"/>
    <n v="2"/>
    <x v="1"/>
    <n v="4"/>
    <n v="0"/>
  </r>
  <r>
    <s v="ORD-102461"/>
    <x v="412"/>
    <x v="1"/>
    <d v="2025-02-01T00:00:00"/>
    <n v="2"/>
    <s v="CUST-01795"/>
    <x v="0"/>
    <x v="17"/>
    <s v="TN"/>
    <x v="3"/>
    <s v="Chennai"/>
    <x v="4"/>
    <s v="P101"/>
    <s v="Vitamin C Face Serum"/>
    <x v="3"/>
    <n v="2"/>
    <n v="599"/>
    <n v="0.15"/>
    <n v="1198"/>
    <n v="179.7"/>
    <n v="1018.3"/>
    <n v="180"/>
    <n v="360"/>
    <n v="60"/>
    <n v="598.29999999999995"/>
    <n v="0.58754787390749286"/>
    <x v="0"/>
    <d v="2025-02-21T00:00:00"/>
    <n v="2"/>
    <x v="1"/>
    <n v="5"/>
    <n v="0"/>
  </r>
  <r>
    <s v="ORD-102462"/>
    <x v="413"/>
    <x v="1"/>
    <d v="2025-02-01T00:00:00"/>
    <n v="2"/>
    <s v="CUST-00692"/>
    <x v="0"/>
    <x v="16"/>
    <s v="UP"/>
    <x v="0"/>
    <s v="Noida"/>
    <x v="0"/>
    <s v="P703"/>
    <s v="Green Tea (100 bags)"/>
    <x v="0"/>
    <n v="2"/>
    <n v="399"/>
    <n v="0.35"/>
    <n v="798"/>
    <n v="279.29999999999995"/>
    <n v="518.70000000000005"/>
    <n v="128"/>
    <n v="256"/>
    <n v="60"/>
    <n v="202.70000000000005"/>
    <n v="0.39078465394254874"/>
    <x v="2"/>
    <d v="2025-02-23T00:00:00"/>
    <n v="3"/>
    <x v="0"/>
    <n v="4"/>
    <n v="0"/>
  </r>
  <r>
    <s v="ORD-102463"/>
    <x v="413"/>
    <x v="1"/>
    <d v="2025-02-01T00:00:00"/>
    <n v="2"/>
    <s v="CUST-01606"/>
    <x v="0"/>
    <x v="13"/>
    <s v="MP"/>
    <x v="1"/>
    <s v="Bhopal"/>
    <x v="3"/>
    <s v="P201"/>
    <s v="Onion Hair Oil"/>
    <x v="6"/>
    <n v="2"/>
    <n v="349"/>
    <n v="0.4"/>
    <n v="698"/>
    <n v="279.2"/>
    <n v="418.8"/>
    <n v="105"/>
    <n v="210"/>
    <n v="60"/>
    <n v="148.80000000000001"/>
    <n v="0.35530085959885388"/>
    <x v="1"/>
    <d v="2025-02-23T00:00:00"/>
    <n v="3"/>
    <x v="0"/>
    <n v="3"/>
    <n v="0"/>
  </r>
  <r>
    <s v="ORD-102464"/>
    <x v="413"/>
    <x v="1"/>
    <d v="2025-02-01T00:00:00"/>
    <n v="2"/>
    <s v="CUST-01672"/>
    <x v="0"/>
    <x v="17"/>
    <s v="TN"/>
    <x v="3"/>
    <s v="Chennai"/>
    <x v="4"/>
    <s v="P703"/>
    <s v="Green Tea (100 bags)"/>
    <x v="0"/>
    <n v="1"/>
    <n v="399"/>
    <n v="0.35"/>
    <n v="399"/>
    <n v="139.64999999999998"/>
    <n v="259.35000000000002"/>
    <n v="128"/>
    <n v="128"/>
    <n v="60"/>
    <n v="71.350000000000023"/>
    <n v="0.27511085405822255"/>
    <x v="0"/>
    <d v="2025-02-21T00:00:00"/>
    <n v="1"/>
    <x v="1"/>
    <n v="3"/>
    <n v="0"/>
  </r>
  <r>
    <s v="ORD-102465"/>
    <x v="414"/>
    <x v="1"/>
    <d v="2025-02-01T00:00:00"/>
    <n v="2"/>
    <s v="CUST-00177"/>
    <x v="0"/>
    <x v="19"/>
    <s v="PB"/>
    <x v="0"/>
    <s v="Amritsar"/>
    <x v="1"/>
    <s v="P305"/>
    <s v="Printed Saree"/>
    <x v="1"/>
    <n v="2"/>
    <n v="1999"/>
    <n v="0.15"/>
    <n v="3998"/>
    <n v="599.69999999999993"/>
    <n v="3398.3"/>
    <n v="880"/>
    <n v="1760"/>
    <n v="60"/>
    <n v="1578.3000000000002"/>
    <n v="0.464438101403643"/>
    <x v="3"/>
    <d v="2025-02-25T00:00:00"/>
    <n v="4"/>
    <x v="0"/>
    <n v="5"/>
    <n v="0"/>
  </r>
  <r>
    <s v="ORD-102466"/>
    <x v="414"/>
    <x v="1"/>
    <d v="2025-02-01T00:00:00"/>
    <n v="2"/>
    <s v="CUST-01888"/>
    <x v="1"/>
    <x v="19"/>
    <s v="PB"/>
    <x v="0"/>
    <s v="Ludhiana"/>
    <x v="2"/>
    <s v="P105"/>
    <s v="Retinol Night Cream"/>
    <x v="3"/>
    <n v="1"/>
    <n v="799"/>
    <n v="0"/>
    <n v="799"/>
    <n v="0"/>
    <n v="799"/>
    <n v="216"/>
    <n v="216"/>
    <n v="60"/>
    <n v="523"/>
    <n v="0.65456821026282852"/>
    <x v="3"/>
    <d v="2025-02-24T00:00:00"/>
    <n v="3"/>
    <x v="0"/>
    <m/>
    <n v="0"/>
  </r>
  <r>
    <s v="ORD-102467"/>
    <x v="414"/>
    <x v="1"/>
    <d v="2025-02-01T00:00:00"/>
    <n v="2"/>
    <s v="CUST-01953"/>
    <x v="0"/>
    <x v="9"/>
    <s v="UK"/>
    <x v="0"/>
    <s v="Dehradun"/>
    <x v="1"/>
    <s v="P402"/>
    <s v="Casual Sneakers"/>
    <x v="5"/>
    <n v="3"/>
    <n v="2199"/>
    <n v="0.3"/>
    <n v="6597"/>
    <n v="1979.1"/>
    <n v="4617.8999999999996"/>
    <n v="1034"/>
    <n v="3102"/>
    <n v="60"/>
    <n v="1455.8999999999996"/>
    <n v="0.31527317611901506"/>
    <x v="4"/>
    <d v="2025-02-24T00:00:00"/>
    <n v="3"/>
    <x v="0"/>
    <m/>
    <n v="0"/>
  </r>
  <r>
    <s v="ORD-102468"/>
    <x v="414"/>
    <x v="1"/>
    <d v="2025-02-01T00:00:00"/>
    <n v="2"/>
    <s v="CUST-00516"/>
    <x v="1"/>
    <x v="9"/>
    <s v="UK"/>
    <x v="0"/>
    <s v="Dehradun"/>
    <x v="3"/>
    <s v="P703"/>
    <s v="Green Tea (100 bags)"/>
    <x v="0"/>
    <n v="2"/>
    <n v="399"/>
    <n v="0.3"/>
    <n v="798"/>
    <n v="239.39999999999998"/>
    <n v="558.6"/>
    <n v="128"/>
    <n v="256"/>
    <n v="60"/>
    <n v="242.60000000000002"/>
    <n v="0.43430003580379523"/>
    <x v="4"/>
    <d v="2025-02-25T00:00:00"/>
    <n v="4"/>
    <x v="0"/>
    <n v="4"/>
    <n v="0"/>
  </r>
  <r>
    <s v="ORD-102469"/>
    <x v="414"/>
    <x v="1"/>
    <d v="2025-02-01T00:00:00"/>
    <n v="2"/>
    <s v="CUST-00346"/>
    <x v="1"/>
    <x v="6"/>
    <s v="DL"/>
    <x v="0"/>
    <s v="New Delhi"/>
    <x v="4"/>
    <s v="P703"/>
    <s v="Green Tea (100 bags)"/>
    <x v="0"/>
    <n v="2"/>
    <n v="399"/>
    <n v="0.35"/>
    <n v="798"/>
    <n v="279.29999999999995"/>
    <n v="518.70000000000005"/>
    <n v="128"/>
    <n v="256"/>
    <n v="60"/>
    <n v="202.70000000000005"/>
    <n v="0.39078465394254874"/>
    <x v="0"/>
    <d v="2025-02-22T00:00:00"/>
    <n v="1"/>
    <x v="1"/>
    <n v="4"/>
    <n v="0"/>
  </r>
  <r>
    <s v="ORD-102470"/>
    <x v="414"/>
    <x v="1"/>
    <d v="2025-02-01T00:00:00"/>
    <n v="2"/>
    <s v="CUST-02800"/>
    <x v="1"/>
    <x v="6"/>
    <s v="DL"/>
    <x v="0"/>
    <s v="New Delhi"/>
    <x v="3"/>
    <s v="P102"/>
    <s v="Sunscreen SPF 50"/>
    <x v="3"/>
    <n v="2"/>
    <n v="449"/>
    <n v="0"/>
    <n v="898"/>
    <n v="0"/>
    <n v="898"/>
    <n v="144"/>
    <n v="288"/>
    <n v="60"/>
    <n v="550"/>
    <n v="0.61247216035634744"/>
    <x v="4"/>
    <d v="2025-02-23T00:00:00"/>
    <n v="2"/>
    <x v="1"/>
    <n v="5"/>
    <n v="0"/>
  </r>
  <r>
    <s v="ORD-102471"/>
    <x v="414"/>
    <x v="1"/>
    <d v="2025-02-01T00:00:00"/>
    <n v="2"/>
    <s v="CUST-00349"/>
    <x v="0"/>
    <x v="16"/>
    <s v="UP"/>
    <x v="0"/>
    <s v="Kanpur"/>
    <x v="2"/>
    <s v="P102"/>
    <s v="Sunscreen SPF 50"/>
    <x v="3"/>
    <n v="1"/>
    <n v="449"/>
    <n v="0.1"/>
    <n v="449"/>
    <n v="44.900000000000006"/>
    <n v="404.1"/>
    <n v="144"/>
    <n v="144"/>
    <n v="60"/>
    <n v="200.10000000000002"/>
    <n v="0.4951744617668894"/>
    <x v="0"/>
    <d v="2025-02-27T00:00:00"/>
    <n v="6"/>
    <x v="2"/>
    <n v="4"/>
    <n v="0"/>
  </r>
  <r>
    <s v="ORD-102472"/>
    <x v="414"/>
    <x v="1"/>
    <d v="2025-02-01T00:00:00"/>
    <n v="2"/>
    <s v="CUST-00375"/>
    <x v="1"/>
    <x v="16"/>
    <s v="UP"/>
    <x v="0"/>
    <s v="Kanpur"/>
    <x v="3"/>
    <s v="P704"/>
    <s v="Multivitamin Gummies"/>
    <x v="0"/>
    <n v="1"/>
    <n v="699"/>
    <n v="0.25"/>
    <n v="699"/>
    <n v="174.75"/>
    <n v="524.25"/>
    <n v="238"/>
    <n v="238"/>
    <n v="60"/>
    <n v="226.25"/>
    <n v="0.43156890796375774"/>
    <x v="3"/>
    <d v="2025-02-24T00:00:00"/>
    <n v="3"/>
    <x v="0"/>
    <n v="4"/>
    <n v="0"/>
  </r>
  <r>
    <s v="ORD-102473"/>
    <x v="414"/>
    <x v="1"/>
    <d v="2025-02-01T00:00:00"/>
    <n v="2"/>
    <s v="CUST-01117"/>
    <x v="1"/>
    <x v="12"/>
    <s v="BR"/>
    <x v="2"/>
    <s v="Patna"/>
    <x v="1"/>
    <s v="P403"/>
    <s v="Kolhapuri Sandals"/>
    <x v="5"/>
    <n v="1"/>
    <n v="999"/>
    <n v="0"/>
    <n v="999"/>
    <n v="0"/>
    <n v="999"/>
    <n v="400"/>
    <n v="400"/>
    <n v="120"/>
    <n v="479"/>
    <n v="0.4794794794794795"/>
    <x v="4"/>
    <d v="2025-02-28T00:00:00"/>
    <n v="7"/>
    <x v="2"/>
    <n v="3"/>
    <n v="1"/>
  </r>
  <r>
    <s v="ORD-102474"/>
    <x v="414"/>
    <x v="1"/>
    <d v="2025-02-01T00:00:00"/>
    <n v="2"/>
    <s v="CUST-01126"/>
    <x v="1"/>
    <x v="13"/>
    <s v="MP"/>
    <x v="1"/>
    <s v="Bhopal"/>
    <x v="0"/>
    <s v="P703"/>
    <s v="Green Tea (100 bags)"/>
    <x v="0"/>
    <n v="3"/>
    <n v="399"/>
    <n v="0.35"/>
    <n v="1197"/>
    <n v="418.95"/>
    <n v="778.05"/>
    <n v="128"/>
    <n v="384"/>
    <n v="60"/>
    <n v="334.04999999999995"/>
    <n v="0.42934258723732405"/>
    <x v="0"/>
    <d v="2025-02-24T00:00:00"/>
    <n v="3"/>
    <x v="0"/>
    <n v="4"/>
    <n v="0"/>
  </r>
  <r>
    <s v="ORD-102475"/>
    <x v="414"/>
    <x v="1"/>
    <d v="2025-02-01T00:00:00"/>
    <n v="2"/>
    <s v="CUST-01090"/>
    <x v="1"/>
    <x v="13"/>
    <s v="MP"/>
    <x v="1"/>
    <s v="Indore"/>
    <x v="2"/>
    <s v="P302"/>
    <s v="Linen Kurta"/>
    <x v="1"/>
    <n v="1"/>
    <n v="1499"/>
    <n v="0.2"/>
    <n v="1499"/>
    <n v="299.8"/>
    <n v="1199.2"/>
    <n v="630"/>
    <n v="630"/>
    <n v="60"/>
    <n v="509.20000000000005"/>
    <n v="0.42461641094062713"/>
    <x v="0"/>
    <d v="2025-02-26T00:00:00"/>
    <n v="5"/>
    <x v="2"/>
    <n v="3"/>
    <n v="0"/>
  </r>
  <r>
    <s v="ORD-102476"/>
    <x v="414"/>
    <x v="1"/>
    <d v="2025-02-01T00:00:00"/>
    <n v="2"/>
    <s v="CUST-00059"/>
    <x v="0"/>
    <x v="7"/>
    <s v="JH"/>
    <x v="2"/>
    <s v="Ranchi"/>
    <x v="0"/>
    <s v="P503"/>
    <s v="Scented Candle Set"/>
    <x v="4"/>
    <n v="1"/>
    <n v="699"/>
    <n v="0.25"/>
    <n v="699"/>
    <n v="174.75"/>
    <n v="524.25"/>
    <n v="245"/>
    <n v="245"/>
    <n v="60"/>
    <n v="219.25"/>
    <n v="0.41821649976156416"/>
    <x v="0"/>
    <d v="2025-02-24T00:00:00"/>
    <n v="3"/>
    <x v="0"/>
    <n v="5"/>
    <n v="0"/>
  </r>
  <r>
    <s v="ORD-102477"/>
    <x v="414"/>
    <x v="1"/>
    <d v="2025-02-01T00:00:00"/>
    <n v="2"/>
    <s v="CUST-02886"/>
    <x v="1"/>
    <x v="11"/>
    <s v="KA"/>
    <x v="3"/>
    <s v="Bengaluru"/>
    <x v="0"/>
    <s v="P203"/>
    <s v="Keratin Hair Mask"/>
    <x v="6"/>
    <n v="2"/>
    <n v="549"/>
    <n v="0.15"/>
    <n v="1098"/>
    <n v="164.7"/>
    <n v="933.3"/>
    <n v="170"/>
    <n v="340"/>
    <n v="60"/>
    <n v="533.29999999999995"/>
    <n v="0.57141326475945564"/>
    <x v="2"/>
    <d v="2025-02-23T00:00:00"/>
    <n v="2"/>
    <x v="1"/>
    <n v="4"/>
    <n v="0"/>
  </r>
  <r>
    <s v="ORD-102478"/>
    <x v="414"/>
    <x v="1"/>
    <d v="2025-02-01T00:00:00"/>
    <n v="2"/>
    <s v="CUST-00843"/>
    <x v="0"/>
    <x v="8"/>
    <s v="AP"/>
    <x v="3"/>
    <s v="Vijayawada"/>
    <x v="0"/>
    <s v="P101"/>
    <s v="Vitamin C Face Serum"/>
    <x v="3"/>
    <n v="2"/>
    <n v="599"/>
    <n v="0.1"/>
    <n v="1198"/>
    <n v="119.80000000000001"/>
    <n v="1078.2"/>
    <n v="180"/>
    <n v="360"/>
    <n v="60"/>
    <n v="658.2"/>
    <n v="0.6104618809126322"/>
    <x v="1"/>
    <d v="2025-02-23T00:00:00"/>
    <n v="2"/>
    <x v="1"/>
    <n v="4"/>
    <n v="0"/>
  </r>
  <r>
    <s v="ORD-102479"/>
    <x v="414"/>
    <x v="1"/>
    <d v="2025-02-01T00:00:00"/>
    <n v="2"/>
    <s v="CUST-01654"/>
    <x v="1"/>
    <x v="17"/>
    <s v="TN"/>
    <x v="3"/>
    <s v="Chennai"/>
    <x v="3"/>
    <s v="P701"/>
    <s v="Ashwagandha Capsules"/>
    <x v="0"/>
    <n v="1"/>
    <n v="499"/>
    <n v="0"/>
    <n v="499"/>
    <n v="0"/>
    <n v="499"/>
    <n v="150"/>
    <n v="150"/>
    <n v="60"/>
    <n v="289"/>
    <n v="0.57915831663326656"/>
    <x v="0"/>
    <d v="2025-02-23T00:00:00"/>
    <n v="2"/>
    <x v="1"/>
    <n v="3"/>
    <n v="0"/>
  </r>
  <r>
    <s v="ORD-102480"/>
    <x v="415"/>
    <x v="1"/>
    <d v="2025-02-01T00:00:00"/>
    <n v="2"/>
    <s v="CUST-01787"/>
    <x v="0"/>
    <x v="1"/>
    <s v="GJ"/>
    <x v="1"/>
    <s v="Surat"/>
    <x v="3"/>
    <s v="P101"/>
    <s v="Vitamin C Face Serum"/>
    <x v="3"/>
    <n v="1"/>
    <n v="599"/>
    <n v="0.1"/>
    <n v="599"/>
    <n v="59.900000000000006"/>
    <n v="539.1"/>
    <n v="180"/>
    <n v="180"/>
    <n v="60"/>
    <n v="299.10000000000002"/>
    <n v="0.5548135781858653"/>
    <x v="4"/>
    <d v="2025-02-24T00:00:00"/>
    <n v="2"/>
    <x v="1"/>
    <n v="4"/>
    <n v="0"/>
  </r>
  <r>
    <s v="ORD-102481"/>
    <x v="415"/>
    <x v="1"/>
    <d v="2025-02-01T00:00:00"/>
    <n v="2"/>
    <s v="CUST-00451"/>
    <x v="1"/>
    <x v="13"/>
    <s v="MP"/>
    <x v="1"/>
    <s v="Bhopal"/>
    <x v="4"/>
    <s v="P102"/>
    <s v="Sunscreen SPF 50"/>
    <x v="3"/>
    <n v="1"/>
    <n v="449"/>
    <n v="0.1"/>
    <n v="449"/>
    <n v="44.900000000000006"/>
    <n v="404.1"/>
    <n v="144"/>
    <n v="144"/>
    <n v="120"/>
    <n v="140.10000000000002"/>
    <n v="0.34669636228656275"/>
    <x v="1"/>
    <d v="2025-02-26T00:00:00"/>
    <n v="4"/>
    <x v="0"/>
    <n v="4"/>
    <n v="1"/>
  </r>
  <r>
    <s v="ORD-102482"/>
    <x v="415"/>
    <x v="1"/>
    <d v="2025-02-01T00:00:00"/>
    <n v="2"/>
    <s v="CUST-00112"/>
    <x v="1"/>
    <x v="17"/>
    <s v="TN"/>
    <x v="3"/>
    <s v="Chennai"/>
    <x v="0"/>
    <s v="P201"/>
    <s v="Onion Hair Oil"/>
    <x v="6"/>
    <n v="3"/>
    <n v="349"/>
    <n v="0.25"/>
    <n v="1047"/>
    <n v="261.75"/>
    <n v="785.25"/>
    <n v="105"/>
    <n v="315"/>
    <n v="60"/>
    <n v="410.25"/>
    <n v="0.52244508118433619"/>
    <x v="4"/>
    <d v="2025-02-24T00:00:00"/>
    <n v="2"/>
    <x v="1"/>
    <n v="4"/>
    <n v="0"/>
  </r>
  <r>
    <s v="ORD-102483"/>
    <x v="415"/>
    <x v="1"/>
    <d v="2025-02-01T00:00:00"/>
    <n v="2"/>
    <s v="CUST-00964"/>
    <x v="1"/>
    <x v="17"/>
    <s v="TN"/>
    <x v="3"/>
    <s v="Coimbatore"/>
    <x v="4"/>
    <s v="P602"/>
    <s v="Fast Charger 33W"/>
    <x v="2"/>
    <n v="1"/>
    <n v="899"/>
    <n v="0.05"/>
    <n v="899"/>
    <n v="44.95"/>
    <n v="854.05"/>
    <n v="494"/>
    <n v="494"/>
    <n v="60"/>
    <n v="300.04999999999995"/>
    <n v="0.35132603477548152"/>
    <x v="3"/>
    <d v="2025-02-26T00:00:00"/>
    <n v="4"/>
    <x v="0"/>
    <n v="5"/>
    <n v="0"/>
  </r>
  <r>
    <s v="ORD-102484"/>
    <x v="416"/>
    <x v="1"/>
    <d v="2025-02-01T00:00:00"/>
    <n v="2"/>
    <s v="CUST-01478"/>
    <x v="1"/>
    <x v="0"/>
    <s v="RJ"/>
    <x v="0"/>
    <s v="Jaipur"/>
    <x v="4"/>
    <s v="P104"/>
    <s v="Hydrating Face Wash"/>
    <x v="3"/>
    <n v="1"/>
    <n v="299"/>
    <n v="0.05"/>
    <n v="299"/>
    <n v="14.950000000000001"/>
    <n v="284.05"/>
    <n v="90"/>
    <n v="90"/>
    <n v="60"/>
    <n v="134.05000000000001"/>
    <n v="0.47192395704981521"/>
    <x v="0"/>
    <d v="2025-02-26T00:00:00"/>
    <n v="3"/>
    <x v="0"/>
    <n v="3"/>
    <n v="0"/>
  </r>
  <r>
    <s v="ORD-102485"/>
    <x v="416"/>
    <x v="1"/>
    <d v="2025-02-01T00:00:00"/>
    <n v="2"/>
    <s v="CUST-00772"/>
    <x v="1"/>
    <x v="0"/>
    <s v="RJ"/>
    <x v="0"/>
    <s v="Jaipur"/>
    <x v="4"/>
    <s v="P403"/>
    <s v="Kolhapuri Sandals"/>
    <x v="5"/>
    <n v="1"/>
    <n v="999"/>
    <n v="0.1"/>
    <n v="999"/>
    <n v="99.9"/>
    <n v="899.1"/>
    <n v="400"/>
    <n v="400"/>
    <n v="60"/>
    <n v="439.1"/>
    <n v="0.48837726615504395"/>
    <x v="3"/>
    <d v="2025-02-26T00:00:00"/>
    <n v="3"/>
    <x v="0"/>
    <m/>
    <n v="0"/>
  </r>
  <r>
    <s v="ORD-102486"/>
    <x v="416"/>
    <x v="1"/>
    <d v="2025-02-01T00:00:00"/>
    <n v="2"/>
    <s v="CUST-00582"/>
    <x v="1"/>
    <x v="6"/>
    <s v="DL"/>
    <x v="0"/>
    <s v="New Delhi"/>
    <x v="0"/>
    <s v="P302"/>
    <s v="Linen Kurta"/>
    <x v="1"/>
    <n v="1"/>
    <n v="1499"/>
    <n v="0.25"/>
    <n v="1499"/>
    <n v="374.75"/>
    <n v="1124.25"/>
    <n v="630"/>
    <n v="630"/>
    <n v="60"/>
    <n v="434.25"/>
    <n v="0.38625750500333556"/>
    <x v="4"/>
    <d v="2025-02-25T00:00:00"/>
    <n v="2"/>
    <x v="1"/>
    <n v="4"/>
    <n v="0"/>
  </r>
  <r>
    <s v="ORD-102487"/>
    <x v="417"/>
    <x v="1"/>
    <d v="2025-02-01T00:00:00"/>
    <n v="2"/>
    <s v="CUST-00109"/>
    <x v="0"/>
    <x v="16"/>
    <s v="UP"/>
    <x v="0"/>
    <s v="Noida"/>
    <x v="3"/>
    <s v="P701"/>
    <s v="Ashwagandha Capsules"/>
    <x v="0"/>
    <n v="1"/>
    <n v="499"/>
    <n v="0"/>
    <n v="499"/>
    <n v="0"/>
    <n v="499"/>
    <n v="150"/>
    <n v="150"/>
    <n v="60"/>
    <n v="289"/>
    <n v="0.57915831663326656"/>
    <x v="1"/>
    <d v="2025-03-02T00:00:00"/>
    <n v="6"/>
    <x v="2"/>
    <n v="3"/>
    <n v="0"/>
  </r>
  <r>
    <s v="ORD-102488"/>
    <x v="417"/>
    <x v="1"/>
    <d v="2025-02-01T00:00:00"/>
    <n v="2"/>
    <s v="CUST-02626"/>
    <x v="0"/>
    <x v="12"/>
    <s v="BR"/>
    <x v="2"/>
    <s v="Patna"/>
    <x v="0"/>
    <s v="P503"/>
    <s v="Scented Candle Set"/>
    <x v="4"/>
    <n v="1"/>
    <n v="699"/>
    <n v="0.2"/>
    <n v="699"/>
    <n v="139.80000000000001"/>
    <n v="559.20000000000005"/>
    <n v="245"/>
    <n v="245"/>
    <n v="60"/>
    <n v="254.20000000000005"/>
    <n v="0.45457796852646642"/>
    <x v="1"/>
    <d v="2025-02-28T00:00:00"/>
    <n v="4"/>
    <x v="0"/>
    <n v="4"/>
    <n v="0"/>
  </r>
  <r>
    <s v="ORD-102489"/>
    <x v="417"/>
    <x v="1"/>
    <d v="2025-02-01T00:00:00"/>
    <n v="2"/>
    <s v="CUST-01397"/>
    <x v="0"/>
    <x v="1"/>
    <s v="GJ"/>
    <x v="1"/>
    <s v="Surat"/>
    <x v="0"/>
    <s v="P202"/>
    <s v="Argan Shampoo"/>
    <x v="6"/>
    <n v="1"/>
    <n v="449"/>
    <n v="0"/>
    <n v="449"/>
    <n v="0"/>
    <n v="449"/>
    <n v="148"/>
    <n v="148"/>
    <n v="60"/>
    <n v="241"/>
    <n v="0.53674832962138086"/>
    <x v="3"/>
    <d v="2025-02-27T00:00:00"/>
    <n v="3"/>
    <x v="0"/>
    <n v="4"/>
    <n v="0"/>
  </r>
  <r>
    <s v="ORD-102490"/>
    <x v="417"/>
    <x v="1"/>
    <d v="2025-02-01T00:00:00"/>
    <n v="2"/>
    <s v="CUST-01829"/>
    <x v="0"/>
    <x v="1"/>
    <s v="GJ"/>
    <x v="1"/>
    <s v="Ahmedabad"/>
    <x v="0"/>
    <s v="P404"/>
    <s v="Flip Flops"/>
    <x v="5"/>
    <n v="4"/>
    <n v="399"/>
    <n v="0.05"/>
    <n v="1596"/>
    <n v="79.800000000000011"/>
    <n v="1516.2"/>
    <n v="152"/>
    <n v="608"/>
    <n v="60"/>
    <n v="848.2"/>
    <n v="0.55942487798443474"/>
    <x v="0"/>
    <d v="2025-02-26T00:00:00"/>
    <n v="2"/>
    <x v="1"/>
    <n v="5"/>
    <n v="0"/>
  </r>
  <r>
    <s v="ORD-102491"/>
    <x v="417"/>
    <x v="1"/>
    <d v="2025-02-01T00:00:00"/>
    <n v="2"/>
    <s v="CUST-02524"/>
    <x v="0"/>
    <x v="13"/>
    <s v="MP"/>
    <x v="1"/>
    <s v="Bhopal"/>
    <x v="4"/>
    <s v="P601"/>
    <s v="Wireless Earbuds"/>
    <x v="2"/>
    <n v="1"/>
    <n v="1999"/>
    <n v="0.3"/>
    <n v="1999"/>
    <n v="599.69999999999993"/>
    <n v="1399.3000000000002"/>
    <n v="1239"/>
    <n v="1239"/>
    <n v="60"/>
    <n v="100.30000000000018"/>
    <n v="7.1678696491102811E-2"/>
    <x v="0"/>
    <d v="2025-02-27T00:00:00"/>
    <n v="3"/>
    <x v="0"/>
    <m/>
    <n v="0"/>
  </r>
  <r>
    <s v="ORD-102492"/>
    <x v="417"/>
    <x v="1"/>
    <d v="2025-02-01T00:00:00"/>
    <n v="2"/>
    <s v="CUST-01059"/>
    <x v="1"/>
    <x v="18"/>
    <s v="WB"/>
    <x v="2"/>
    <s v="Kolkata"/>
    <x v="2"/>
    <s v="P703"/>
    <s v="Green Tea (100 bags)"/>
    <x v="0"/>
    <n v="1"/>
    <n v="399"/>
    <n v="0.3"/>
    <n v="399"/>
    <n v="119.69999999999999"/>
    <n v="279.3"/>
    <n v="128"/>
    <n v="128"/>
    <n v="60"/>
    <n v="91.300000000000011"/>
    <n v="0.32688865019692093"/>
    <x v="0"/>
    <d v="2025-03-01T00:00:00"/>
    <n v="5"/>
    <x v="2"/>
    <m/>
    <n v="0"/>
  </r>
  <r>
    <s v="ORD-102493"/>
    <x v="417"/>
    <x v="1"/>
    <d v="2025-02-01T00:00:00"/>
    <n v="2"/>
    <s v="CUST-00983"/>
    <x v="1"/>
    <x v="18"/>
    <s v="WB"/>
    <x v="2"/>
    <s v="Kolkata"/>
    <x v="2"/>
    <s v="P603"/>
    <s v="Smartwatch Strap"/>
    <x v="2"/>
    <n v="1"/>
    <n v="499"/>
    <n v="0.05"/>
    <n v="499"/>
    <n v="24.950000000000003"/>
    <n v="474.05"/>
    <n v="200"/>
    <n v="200"/>
    <n v="60"/>
    <n v="214.05"/>
    <n v="0.45153464824385614"/>
    <x v="3"/>
    <d v="2025-02-28T00:00:00"/>
    <n v="4"/>
    <x v="0"/>
    <m/>
    <n v="0"/>
  </r>
  <r>
    <s v="ORD-102494"/>
    <x v="417"/>
    <x v="1"/>
    <d v="2025-02-01T00:00:00"/>
    <n v="2"/>
    <s v="CUST-00988"/>
    <x v="0"/>
    <x v="3"/>
    <s v="OD"/>
    <x v="2"/>
    <s v="Bhubaneswar"/>
    <x v="4"/>
    <s v="P103"/>
    <s v="Niacinamide Toner"/>
    <x v="3"/>
    <n v="3"/>
    <n v="399"/>
    <n v="0.2"/>
    <n v="1197"/>
    <n v="239.4"/>
    <n v="957.6"/>
    <n v="112"/>
    <n v="336"/>
    <n v="60"/>
    <n v="561.6"/>
    <n v="0.5864661654135338"/>
    <x v="3"/>
    <d v="2025-02-27T00:00:00"/>
    <n v="3"/>
    <x v="0"/>
    <n v="3"/>
    <n v="0"/>
  </r>
  <r>
    <s v="ORD-102495"/>
    <x v="418"/>
    <x v="1"/>
    <d v="2025-02-01T00:00:00"/>
    <n v="2"/>
    <s v="CUST-02127"/>
    <x v="1"/>
    <x v="19"/>
    <s v="PB"/>
    <x v="0"/>
    <s v="Amritsar"/>
    <x v="2"/>
    <s v="P603"/>
    <s v="Smartwatch Strap"/>
    <x v="2"/>
    <n v="1"/>
    <n v="499"/>
    <n v="0"/>
    <n v="499"/>
    <n v="0"/>
    <n v="499"/>
    <n v="200"/>
    <n v="200"/>
    <n v="60"/>
    <n v="239"/>
    <n v="0.47895791583166331"/>
    <x v="3"/>
    <d v="2025-03-02T00:00:00"/>
    <n v="5"/>
    <x v="2"/>
    <m/>
    <n v="0"/>
  </r>
  <r>
    <s v="ORD-102496"/>
    <x v="418"/>
    <x v="1"/>
    <d v="2025-02-01T00:00:00"/>
    <n v="2"/>
    <s v="CUST-00308"/>
    <x v="1"/>
    <x v="15"/>
    <s v="HR"/>
    <x v="0"/>
    <s v="Gurugram"/>
    <x v="2"/>
    <s v="P604"/>
    <s v="Power Bank 20000mAh"/>
    <x v="2"/>
    <n v="2"/>
    <n v="1799"/>
    <n v="0.3"/>
    <n v="3598"/>
    <n v="1079.3999999999999"/>
    <n v="2518.6000000000004"/>
    <n v="1079"/>
    <n v="2158"/>
    <n v="60"/>
    <n v="300.60000000000036"/>
    <n v="0.11935202096402776"/>
    <x v="0"/>
    <d v="2025-02-28T00:00:00"/>
    <n v="3"/>
    <x v="0"/>
    <n v="5"/>
    <n v="0"/>
  </r>
  <r>
    <s v="ORD-102497"/>
    <x v="418"/>
    <x v="1"/>
    <d v="2025-02-01T00:00:00"/>
    <n v="2"/>
    <s v="CUST-02761"/>
    <x v="0"/>
    <x v="22"/>
    <s v="AS"/>
    <x v="2"/>
    <s v="Guwahati"/>
    <x v="0"/>
    <s v="P302"/>
    <s v="Linen Kurta"/>
    <x v="1"/>
    <n v="2"/>
    <n v="1499"/>
    <n v="0.35"/>
    <n v="2998"/>
    <n v="1049.3"/>
    <n v="1948.7"/>
    <n v="630"/>
    <n v="1260"/>
    <n v="60"/>
    <n v="628.70000000000005"/>
    <n v="0.32262533997023657"/>
    <x v="2"/>
    <d v="2025-03-03T00:00:00"/>
    <n v="6"/>
    <x v="2"/>
    <n v="4"/>
    <n v="0"/>
  </r>
  <r>
    <s v="ORD-102498"/>
    <x v="418"/>
    <x v="1"/>
    <d v="2025-02-01T00:00:00"/>
    <n v="2"/>
    <s v="CUST-00054"/>
    <x v="0"/>
    <x v="1"/>
    <s v="GJ"/>
    <x v="1"/>
    <s v="Surat"/>
    <x v="3"/>
    <s v="P202"/>
    <s v="Argan Shampoo"/>
    <x v="6"/>
    <n v="1"/>
    <n v="449"/>
    <n v="0.1"/>
    <n v="449"/>
    <n v="44.900000000000006"/>
    <n v="404.1"/>
    <n v="148"/>
    <n v="148"/>
    <n v="60"/>
    <n v="196.10000000000002"/>
    <n v="0.48527592180153428"/>
    <x v="2"/>
    <d v="2025-03-01T00:00:00"/>
    <n v="4"/>
    <x v="0"/>
    <m/>
    <n v="0"/>
  </r>
  <r>
    <s v="ORD-102499"/>
    <x v="418"/>
    <x v="1"/>
    <d v="2025-02-01T00:00:00"/>
    <n v="2"/>
    <s v="CUST-01072"/>
    <x v="1"/>
    <x v="2"/>
    <s v="MH"/>
    <x v="1"/>
    <s v="Nagpur"/>
    <x v="4"/>
    <s v="P703"/>
    <s v="Green Tea (100 bags)"/>
    <x v="0"/>
    <n v="2"/>
    <n v="399"/>
    <n v="0.35"/>
    <n v="798"/>
    <n v="279.29999999999995"/>
    <n v="518.70000000000005"/>
    <n v="128"/>
    <n v="256"/>
    <n v="60"/>
    <n v="202.70000000000005"/>
    <n v="0.39078465394254874"/>
    <x v="4"/>
    <d v="2025-02-26T00:00:00"/>
    <n v="1"/>
    <x v="1"/>
    <n v="4"/>
    <n v="0"/>
  </r>
  <r>
    <s v="ORD-102500"/>
    <x v="418"/>
    <x v="1"/>
    <d v="2025-02-01T00:00:00"/>
    <n v="2"/>
    <s v="CUST-00806"/>
    <x v="1"/>
    <x v="21"/>
    <s v="TG"/>
    <x v="3"/>
    <s v="Hyderabad"/>
    <x v="4"/>
    <s v="P201"/>
    <s v="Onion Hair Oil"/>
    <x v="6"/>
    <n v="2"/>
    <n v="349"/>
    <n v="0.4"/>
    <n v="698"/>
    <n v="279.2"/>
    <n v="418.8"/>
    <n v="105"/>
    <n v="210"/>
    <n v="60"/>
    <n v="148.80000000000001"/>
    <n v="0.35530085959885388"/>
    <x v="0"/>
    <d v="2025-02-28T00:00:00"/>
    <n v="3"/>
    <x v="0"/>
    <m/>
    <n v="0"/>
  </r>
  <r>
    <s v="ORD-102501"/>
    <x v="419"/>
    <x v="1"/>
    <d v="2025-02-01T00:00:00"/>
    <n v="2"/>
    <s v="CUST-02359"/>
    <x v="0"/>
    <x v="0"/>
    <s v="RJ"/>
    <x v="0"/>
    <s v="Jaipur"/>
    <x v="0"/>
    <s v="P504"/>
    <s v="Cotton Bedsheet"/>
    <x v="4"/>
    <n v="1"/>
    <n v="1299"/>
    <n v="0"/>
    <n v="1299"/>
    <n v="0"/>
    <n v="1299"/>
    <n v="585"/>
    <n v="585"/>
    <n v="60"/>
    <n v="654"/>
    <n v="0.50346420323325636"/>
    <x v="3"/>
    <d v="2025-02-28T00:00:00"/>
    <n v="2"/>
    <x v="1"/>
    <m/>
    <n v="0"/>
  </r>
  <r>
    <s v="ORD-102502"/>
    <x v="419"/>
    <x v="1"/>
    <d v="2025-02-01T00:00:00"/>
    <n v="2"/>
    <s v="CUST-00239"/>
    <x v="1"/>
    <x v="16"/>
    <s v="UP"/>
    <x v="0"/>
    <s v="Lucknow"/>
    <x v="1"/>
    <s v="P403"/>
    <s v="Kolhapuri Sandals"/>
    <x v="5"/>
    <n v="1"/>
    <n v="999"/>
    <n v="0"/>
    <n v="999"/>
    <n v="0"/>
    <n v="999"/>
    <n v="400"/>
    <n v="400"/>
    <n v="60"/>
    <n v="539"/>
    <n v="0.53953953953953959"/>
    <x v="4"/>
    <d v="2025-02-28T00:00:00"/>
    <n v="2"/>
    <x v="1"/>
    <n v="5"/>
    <n v="0"/>
  </r>
  <r>
    <s v="ORD-102503"/>
    <x v="419"/>
    <x v="1"/>
    <d v="2025-02-01T00:00:00"/>
    <n v="2"/>
    <s v="CUST-00612"/>
    <x v="0"/>
    <x v="2"/>
    <s v="MH"/>
    <x v="1"/>
    <s v="Mumbai"/>
    <x v="2"/>
    <s v="P704"/>
    <s v="Multivitamin Gummies"/>
    <x v="0"/>
    <n v="1"/>
    <n v="699"/>
    <n v="0.15"/>
    <n v="699"/>
    <n v="104.85"/>
    <n v="594.15"/>
    <n v="238"/>
    <n v="238"/>
    <n v="60"/>
    <n v="296.14999999999998"/>
    <n v="0.49844315408566858"/>
    <x v="0"/>
    <d v="2025-03-01T00:00:00"/>
    <n v="3"/>
    <x v="0"/>
    <m/>
    <n v="0"/>
  </r>
  <r>
    <s v="ORD-102504"/>
    <x v="419"/>
    <x v="1"/>
    <d v="2025-02-01T00:00:00"/>
    <n v="2"/>
    <s v="CUST-00482"/>
    <x v="1"/>
    <x v="2"/>
    <s v="MH"/>
    <x v="1"/>
    <s v="Pune"/>
    <x v="0"/>
    <s v="P301"/>
    <s v="Cotton Oversized T-Shirt"/>
    <x v="1"/>
    <n v="1"/>
    <n v="799"/>
    <n v="0"/>
    <n v="799"/>
    <n v="0"/>
    <n v="799"/>
    <n v="320"/>
    <n v="320"/>
    <n v="60"/>
    <n v="419"/>
    <n v="0.52440550688360454"/>
    <x v="4"/>
    <d v="2025-02-28T00:00:00"/>
    <n v="2"/>
    <x v="1"/>
    <n v="4"/>
    <n v="0"/>
  </r>
  <r>
    <s v="ORD-102505"/>
    <x v="419"/>
    <x v="1"/>
    <d v="2025-02-01T00:00:00"/>
    <n v="2"/>
    <s v="CUST-02090"/>
    <x v="0"/>
    <x v="2"/>
    <s v="MH"/>
    <x v="1"/>
    <s v="Pune"/>
    <x v="3"/>
    <s v="P203"/>
    <s v="Keratin Hair Mask"/>
    <x v="6"/>
    <n v="1"/>
    <n v="549"/>
    <n v="0.2"/>
    <n v="549"/>
    <n v="109.80000000000001"/>
    <n v="439.2"/>
    <n v="170"/>
    <n v="170"/>
    <n v="60"/>
    <n v="209.2"/>
    <n v="0.47632058287795992"/>
    <x v="3"/>
    <d v="2025-03-01T00:00:00"/>
    <n v="3"/>
    <x v="0"/>
    <n v="5"/>
    <n v="0"/>
  </r>
  <r>
    <s v="ORD-102506"/>
    <x v="420"/>
    <x v="1"/>
    <d v="2025-02-01T00:00:00"/>
    <n v="2"/>
    <s v="CUST-01159"/>
    <x v="0"/>
    <x v="1"/>
    <s v="GJ"/>
    <x v="1"/>
    <s v="Surat"/>
    <x v="4"/>
    <s v="P303"/>
    <s v="Joggers"/>
    <x v="1"/>
    <n v="2"/>
    <n v="1199"/>
    <n v="0.2"/>
    <n v="2398"/>
    <n v="479.6"/>
    <n v="1918.4"/>
    <n v="492"/>
    <n v="984"/>
    <n v="120"/>
    <n v="814.40000000000009"/>
    <n v="0.42452043369474562"/>
    <x v="2"/>
    <d v="2025-03-01T00:00:00"/>
    <n v="2"/>
    <x v="1"/>
    <n v="4"/>
    <n v="1"/>
  </r>
  <r>
    <s v="ORD-102507"/>
    <x v="420"/>
    <x v="1"/>
    <d v="2025-02-01T00:00:00"/>
    <n v="2"/>
    <s v="CUST-00538"/>
    <x v="1"/>
    <x v="1"/>
    <s v="GJ"/>
    <x v="1"/>
    <s v="Ahmedabad"/>
    <x v="1"/>
    <s v="P302"/>
    <s v="Linen Kurta"/>
    <x v="1"/>
    <n v="3"/>
    <n v="1499"/>
    <n v="0.35"/>
    <n v="4497"/>
    <n v="1573.9499999999998"/>
    <n v="2923.05"/>
    <n v="630"/>
    <n v="1890"/>
    <n v="60"/>
    <n v="973.05000000000018"/>
    <n v="0.33288859239493002"/>
    <x v="0"/>
    <d v="2025-03-03T00:00:00"/>
    <n v="4"/>
    <x v="0"/>
    <n v="4"/>
    <n v="0"/>
  </r>
  <r>
    <s v="ORD-102508"/>
    <x v="420"/>
    <x v="1"/>
    <d v="2025-02-01T00:00:00"/>
    <n v="2"/>
    <s v="CUST-00178"/>
    <x v="1"/>
    <x v="18"/>
    <s v="WB"/>
    <x v="2"/>
    <s v="Kolkata"/>
    <x v="2"/>
    <s v="P704"/>
    <s v="Multivitamin Gummies"/>
    <x v="0"/>
    <n v="1"/>
    <n v="699"/>
    <n v="0.15"/>
    <n v="699"/>
    <n v="104.85"/>
    <n v="594.15"/>
    <n v="238"/>
    <n v="238"/>
    <n v="60"/>
    <n v="296.14999999999998"/>
    <n v="0.49844315408566858"/>
    <x v="3"/>
    <d v="2025-03-03T00:00:00"/>
    <n v="4"/>
    <x v="0"/>
    <n v="3"/>
    <n v="0"/>
  </r>
  <r>
    <s v="ORD-102509"/>
    <x v="420"/>
    <x v="1"/>
    <d v="2025-02-01T00:00:00"/>
    <n v="2"/>
    <s v="CUST-01947"/>
    <x v="0"/>
    <x v="21"/>
    <s v="TG"/>
    <x v="3"/>
    <s v="Hyderabad"/>
    <x v="4"/>
    <s v="P103"/>
    <s v="Niacinamide Toner"/>
    <x v="3"/>
    <n v="1"/>
    <n v="399"/>
    <n v="0.2"/>
    <n v="399"/>
    <n v="79.800000000000011"/>
    <n v="319.2"/>
    <n v="112"/>
    <n v="112"/>
    <n v="60"/>
    <n v="147.19999999999999"/>
    <n v="0.46115288220551376"/>
    <x v="2"/>
    <d v="2025-03-01T00:00:00"/>
    <n v="2"/>
    <x v="1"/>
    <n v="4"/>
    <n v="0"/>
  </r>
  <r>
    <s v="ORD-102510"/>
    <x v="420"/>
    <x v="1"/>
    <d v="2025-02-01T00:00:00"/>
    <n v="2"/>
    <s v="CUST-00501"/>
    <x v="0"/>
    <x v="11"/>
    <s v="KA"/>
    <x v="3"/>
    <s v="Bengaluru"/>
    <x v="0"/>
    <s v="P704"/>
    <s v="Multivitamin Gummies"/>
    <x v="0"/>
    <n v="1"/>
    <n v="699"/>
    <n v="0.15"/>
    <n v="699"/>
    <n v="104.85"/>
    <n v="594.15"/>
    <n v="238"/>
    <n v="238"/>
    <n v="60"/>
    <n v="296.14999999999998"/>
    <n v="0.49844315408566858"/>
    <x v="1"/>
    <d v="2025-03-02T00:00:00"/>
    <n v="3"/>
    <x v="0"/>
    <n v="4"/>
    <n v="0"/>
  </r>
  <r>
    <s v="ORD-102511"/>
    <x v="421"/>
    <x v="1"/>
    <d v="2025-02-01T00:00:00"/>
    <n v="2"/>
    <s v="CUST-00201"/>
    <x v="1"/>
    <x v="19"/>
    <s v="PB"/>
    <x v="0"/>
    <s v="Amritsar"/>
    <x v="0"/>
    <s v="P504"/>
    <s v="Cotton Bedsheet"/>
    <x v="4"/>
    <n v="2"/>
    <n v="1299"/>
    <n v="0.1"/>
    <n v="2598"/>
    <n v="259.8"/>
    <n v="2338.1999999999998"/>
    <n v="585"/>
    <n v="1170"/>
    <n v="60"/>
    <n v="1108.1999999999998"/>
    <n v="0.47395432383885033"/>
    <x v="3"/>
    <d v="2025-03-04T00:00:00"/>
    <n v="4"/>
    <x v="0"/>
    <n v="4"/>
    <n v="0"/>
  </r>
  <r>
    <s v="ORD-102512"/>
    <x v="421"/>
    <x v="1"/>
    <d v="2025-02-01T00:00:00"/>
    <n v="2"/>
    <s v="CUST-00369"/>
    <x v="1"/>
    <x v="0"/>
    <s v="RJ"/>
    <x v="0"/>
    <s v="Jaipur"/>
    <x v="0"/>
    <s v="P204"/>
    <s v="Anti-Dandruff Conditioner"/>
    <x v="6"/>
    <n v="2"/>
    <n v="399"/>
    <n v="0.35"/>
    <n v="798"/>
    <n v="279.29999999999995"/>
    <n v="518.70000000000005"/>
    <n v="136"/>
    <n v="272"/>
    <n v="60"/>
    <n v="186.70000000000005"/>
    <n v="0.35993830730672843"/>
    <x v="2"/>
    <d v="2025-03-05T00:00:00"/>
    <n v="5"/>
    <x v="2"/>
    <n v="4"/>
    <n v="0"/>
  </r>
  <r>
    <s v="ORD-102513"/>
    <x v="421"/>
    <x v="1"/>
    <d v="2025-02-01T00:00:00"/>
    <n v="2"/>
    <s v="CUST-00513"/>
    <x v="1"/>
    <x v="16"/>
    <s v="UP"/>
    <x v="0"/>
    <s v="Noida"/>
    <x v="0"/>
    <s v="P201"/>
    <s v="Onion Hair Oil"/>
    <x v="6"/>
    <n v="1"/>
    <n v="349"/>
    <n v="0.4"/>
    <n v="349"/>
    <n v="139.6"/>
    <n v="209.4"/>
    <n v="105"/>
    <n v="105"/>
    <n v="60"/>
    <n v="44.400000000000006"/>
    <n v="0.21203438395415475"/>
    <x v="4"/>
    <d v="2025-03-02T00:00:00"/>
    <n v="2"/>
    <x v="1"/>
    <n v="4"/>
    <n v="0"/>
  </r>
  <r>
    <s v="ORD-102514"/>
    <x v="421"/>
    <x v="1"/>
    <d v="2025-02-01T00:00:00"/>
    <n v="2"/>
    <s v="CUST-00247"/>
    <x v="1"/>
    <x v="16"/>
    <s v="UP"/>
    <x v="0"/>
    <s v="Kanpur"/>
    <x v="0"/>
    <s v="P504"/>
    <s v="Cotton Bedsheet"/>
    <x v="4"/>
    <n v="1"/>
    <n v="1299"/>
    <n v="0"/>
    <n v="1299"/>
    <n v="0"/>
    <n v="1299"/>
    <n v="585"/>
    <n v="585"/>
    <n v="60"/>
    <n v="654"/>
    <n v="0.50346420323325636"/>
    <x v="1"/>
    <d v="2025-03-05T00:00:00"/>
    <n v="5"/>
    <x v="2"/>
    <n v="4"/>
    <n v="0"/>
  </r>
  <r>
    <s v="ORD-102515"/>
    <x v="421"/>
    <x v="1"/>
    <d v="2025-02-01T00:00:00"/>
    <n v="2"/>
    <s v="CUST-01158"/>
    <x v="1"/>
    <x v="2"/>
    <s v="MH"/>
    <x v="1"/>
    <s v="Pune"/>
    <x v="3"/>
    <s v="P203"/>
    <s v="Keratin Hair Mask"/>
    <x v="6"/>
    <n v="2"/>
    <n v="549"/>
    <n v="0.25"/>
    <n v="1098"/>
    <n v="274.5"/>
    <n v="823.5"/>
    <n v="170"/>
    <n v="340"/>
    <n v="60"/>
    <n v="423.5"/>
    <n v="0.51426836672738307"/>
    <x v="1"/>
    <d v="2025-03-03T00:00:00"/>
    <n v="3"/>
    <x v="0"/>
    <n v="4"/>
    <n v="0"/>
  </r>
  <r>
    <s v="ORD-102516"/>
    <x v="421"/>
    <x v="1"/>
    <d v="2025-02-01T00:00:00"/>
    <n v="2"/>
    <s v="CUST-02028"/>
    <x v="0"/>
    <x v="21"/>
    <s v="TG"/>
    <x v="3"/>
    <s v="Hyderabad"/>
    <x v="2"/>
    <s v="P304"/>
    <s v="Denim Jacket"/>
    <x v="1"/>
    <n v="1"/>
    <n v="2499"/>
    <n v="0"/>
    <n v="2499"/>
    <n v="0"/>
    <n v="2499"/>
    <n v="1125"/>
    <n v="1125"/>
    <n v="120"/>
    <n v="1254"/>
    <n v="0.50180072028811529"/>
    <x v="0"/>
    <d v="2025-03-04T00:00:00"/>
    <n v="4"/>
    <x v="0"/>
    <n v="4"/>
    <n v="1"/>
  </r>
  <r>
    <s v="ORD-102517"/>
    <x v="422"/>
    <x v="1"/>
    <d v="2025-03-01T00:00:00"/>
    <n v="3"/>
    <s v="CUST-01032"/>
    <x v="1"/>
    <x v="6"/>
    <s v="DL"/>
    <x v="0"/>
    <s v="New Delhi"/>
    <x v="4"/>
    <s v="P201"/>
    <s v="Onion Hair Oil"/>
    <x v="6"/>
    <n v="1"/>
    <n v="349"/>
    <n v="0.3"/>
    <n v="349"/>
    <n v="104.7"/>
    <n v="244.3"/>
    <n v="105"/>
    <n v="105"/>
    <n v="60"/>
    <n v="79.300000000000011"/>
    <n v="0.32460090053213264"/>
    <x v="0"/>
    <d v="2025-03-02T00:00:00"/>
    <n v="1"/>
    <x v="1"/>
    <n v="4"/>
    <n v="0"/>
  </r>
  <r>
    <s v="ORD-102518"/>
    <x v="422"/>
    <x v="1"/>
    <d v="2025-03-01T00:00:00"/>
    <n v="3"/>
    <s v="CUST-00356"/>
    <x v="1"/>
    <x v="18"/>
    <s v="WB"/>
    <x v="2"/>
    <s v="Kolkata"/>
    <x v="1"/>
    <s v="P305"/>
    <s v="Printed Saree"/>
    <x v="1"/>
    <n v="2"/>
    <n v="1999"/>
    <n v="0"/>
    <n v="3998"/>
    <n v="0"/>
    <n v="3998"/>
    <n v="880"/>
    <n v="1760"/>
    <n v="60"/>
    <n v="2178"/>
    <n v="0.54477238619309654"/>
    <x v="3"/>
    <d v="2025-03-05T00:00:00"/>
    <n v="4"/>
    <x v="0"/>
    <n v="4"/>
    <n v="0"/>
  </r>
  <r>
    <s v="ORD-102519"/>
    <x v="422"/>
    <x v="1"/>
    <d v="2025-03-01T00:00:00"/>
    <n v="3"/>
    <s v="CUST-01495"/>
    <x v="0"/>
    <x v="20"/>
    <s v="GA"/>
    <x v="1"/>
    <s v="Panaji"/>
    <x v="3"/>
    <s v="P201"/>
    <s v="Onion Hair Oil"/>
    <x v="6"/>
    <n v="2"/>
    <n v="349"/>
    <n v="0.3"/>
    <n v="698"/>
    <n v="209.4"/>
    <n v="488.6"/>
    <n v="105"/>
    <n v="210"/>
    <n v="60"/>
    <n v="218.60000000000002"/>
    <n v="0.44740073679901765"/>
    <x v="0"/>
    <d v="2025-03-03T00:00:00"/>
    <n v="2"/>
    <x v="1"/>
    <m/>
    <n v="0"/>
  </r>
  <r>
    <s v="ORD-102520"/>
    <x v="422"/>
    <x v="1"/>
    <d v="2025-03-01T00:00:00"/>
    <n v="3"/>
    <s v="CUST-00285"/>
    <x v="1"/>
    <x v="14"/>
    <s v="KL"/>
    <x v="3"/>
    <s v="Kochi"/>
    <x v="0"/>
    <s v="P103"/>
    <s v="Niacinamide Toner"/>
    <x v="3"/>
    <n v="1"/>
    <n v="399"/>
    <n v="0.2"/>
    <n v="399"/>
    <n v="79.800000000000011"/>
    <n v="319.2"/>
    <n v="112"/>
    <n v="112"/>
    <n v="60"/>
    <n v="147.19999999999999"/>
    <n v="0.46115288220551376"/>
    <x v="4"/>
    <d v="2025-03-03T00:00:00"/>
    <n v="2"/>
    <x v="1"/>
    <n v="4"/>
    <n v="0"/>
  </r>
  <r>
    <s v="ORD-102521"/>
    <x v="422"/>
    <x v="1"/>
    <d v="2025-03-01T00:00:00"/>
    <n v="3"/>
    <s v="CUST-00265"/>
    <x v="1"/>
    <x v="14"/>
    <s v="KL"/>
    <x v="3"/>
    <s v="Thiruvananthapuram"/>
    <x v="1"/>
    <s v="P401"/>
    <s v="Running Shoes"/>
    <x v="5"/>
    <n v="1"/>
    <n v="2999"/>
    <n v="0.2"/>
    <n v="2999"/>
    <n v="599.80000000000007"/>
    <n v="2399.1999999999998"/>
    <n v="1440"/>
    <n v="1440"/>
    <n v="60"/>
    <n v="899.19999999999982"/>
    <n v="0.3747915971990663"/>
    <x v="0"/>
    <d v="2025-03-05T00:00:00"/>
    <n v="4"/>
    <x v="0"/>
    <n v="3"/>
    <n v="0"/>
  </r>
  <r>
    <s v="ORD-102522"/>
    <x v="423"/>
    <x v="1"/>
    <d v="2025-03-01T00:00:00"/>
    <n v="3"/>
    <s v="CUST-00821"/>
    <x v="1"/>
    <x v="19"/>
    <s v="PB"/>
    <x v="0"/>
    <s v="Ludhiana"/>
    <x v="2"/>
    <s v="P301"/>
    <s v="Cotton Oversized T-Shirt"/>
    <x v="1"/>
    <n v="1"/>
    <n v="799"/>
    <n v="0"/>
    <n v="799"/>
    <n v="0"/>
    <n v="799"/>
    <n v="320"/>
    <n v="320"/>
    <n v="60"/>
    <n v="419"/>
    <n v="0.52440550688360454"/>
    <x v="3"/>
    <d v="2025-03-06T00:00:00"/>
    <n v="4"/>
    <x v="0"/>
    <n v="3"/>
    <n v="0"/>
  </r>
  <r>
    <s v="ORD-102523"/>
    <x v="423"/>
    <x v="1"/>
    <d v="2025-03-01T00:00:00"/>
    <n v="3"/>
    <s v="CUST-00266"/>
    <x v="1"/>
    <x v="10"/>
    <s v="CG"/>
    <x v="2"/>
    <s v="Raipur"/>
    <x v="3"/>
    <s v="P101"/>
    <s v="Vitamin C Face Serum"/>
    <x v="3"/>
    <n v="1"/>
    <n v="599"/>
    <n v="0.15"/>
    <n v="599"/>
    <n v="89.85"/>
    <n v="509.15"/>
    <n v="180"/>
    <n v="180"/>
    <n v="60"/>
    <n v="269.14999999999998"/>
    <n v="0.52862614160856325"/>
    <x v="2"/>
    <d v="2025-03-06T00:00:00"/>
    <n v="4"/>
    <x v="0"/>
    <m/>
    <n v="0"/>
  </r>
  <r>
    <s v="ORD-102524"/>
    <x v="423"/>
    <x v="1"/>
    <d v="2025-03-01T00:00:00"/>
    <n v="3"/>
    <s v="CUST-00532"/>
    <x v="1"/>
    <x v="18"/>
    <s v="WB"/>
    <x v="2"/>
    <s v="Kolkata"/>
    <x v="0"/>
    <s v="P703"/>
    <s v="Green Tea (100 bags)"/>
    <x v="0"/>
    <n v="2"/>
    <n v="399"/>
    <n v="0.35"/>
    <n v="798"/>
    <n v="279.29999999999995"/>
    <n v="518.70000000000005"/>
    <n v="128"/>
    <n v="256"/>
    <n v="60"/>
    <n v="202.70000000000005"/>
    <n v="0.39078465394254874"/>
    <x v="0"/>
    <d v="2025-03-06T00:00:00"/>
    <n v="4"/>
    <x v="0"/>
    <m/>
    <n v="0"/>
  </r>
  <r>
    <s v="ORD-102525"/>
    <x v="423"/>
    <x v="1"/>
    <d v="2025-03-01T00:00:00"/>
    <n v="3"/>
    <s v="CUST-00660"/>
    <x v="1"/>
    <x v="3"/>
    <s v="OD"/>
    <x v="2"/>
    <s v="Bhubaneswar"/>
    <x v="0"/>
    <s v="P302"/>
    <s v="Linen Kurta"/>
    <x v="1"/>
    <n v="4"/>
    <n v="1499"/>
    <n v="0.25"/>
    <n v="5996"/>
    <n v="1499"/>
    <n v="4497"/>
    <n v="630"/>
    <n v="2520"/>
    <n v="60"/>
    <n v="1917"/>
    <n v="0.42628418945963975"/>
    <x v="1"/>
    <d v="2025-03-07T00:00:00"/>
    <n v="5"/>
    <x v="2"/>
    <m/>
    <n v="0"/>
  </r>
  <r>
    <s v="ORD-102526"/>
    <x v="423"/>
    <x v="1"/>
    <d v="2025-03-01T00:00:00"/>
    <n v="3"/>
    <s v="CUST-01621"/>
    <x v="0"/>
    <x v="11"/>
    <s v="KA"/>
    <x v="3"/>
    <s v="Mysuru"/>
    <x v="1"/>
    <s v="P404"/>
    <s v="Flip Flops"/>
    <x v="5"/>
    <n v="1"/>
    <n v="399"/>
    <n v="0.1"/>
    <n v="399"/>
    <n v="39.900000000000006"/>
    <n v="359.1"/>
    <n v="152"/>
    <n v="152"/>
    <n v="60"/>
    <n v="147.10000000000002"/>
    <n v="0.40963519910888335"/>
    <x v="0"/>
    <d v="2025-03-04T00:00:00"/>
    <n v="2"/>
    <x v="1"/>
    <m/>
    <n v="0"/>
  </r>
  <r>
    <s v="ORD-102527"/>
    <x v="423"/>
    <x v="1"/>
    <d v="2025-03-01T00:00:00"/>
    <n v="3"/>
    <s v="CUST-00110"/>
    <x v="1"/>
    <x v="11"/>
    <s v="KA"/>
    <x v="3"/>
    <s v="Bengaluru"/>
    <x v="2"/>
    <s v="P202"/>
    <s v="Argan Shampoo"/>
    <x v="6"/>
    <n v="4"/>
    <n v="449"/>
    <n v="0.1"/>
    <n v="1796"/>
    <n v="179.60000000000002"/>
    <n v="1616.4"/>
    <n v="148"/>
    <n v="592"/>
    <n v="60"/>
    <n v="964.40000000000009"/>
    <n v="0.59663449641177924"/>
    <x v="1"/>
    <d v="2025-03-05T00:00:00"/>
    <n v="3"/>
    <x v="0"/>
    <m/>
    <n v="0"/>
  </r>
  <r>
    <s v="ORD-102528"/>
    <x v="424"/>
    <x v="1"/>
    <d v="2025-03-01T00:00:00"/>
    <n v="3"/>
    <s v="CUST-00715"/>
    <x v="1"/>
    <x v="6"/>
    <s v="DL"/>
    <x v="0"/>
    <s v="New Delhi"/>
    <x v="0"/>
    <s v="P504"/>
    <s v="Cotton Bedsheet"/>
    <x v="4"/>
    <n v="1"/>
    <n v="1299"/>
    <n v="0"/>
    <n v="1299"/>
    <n v="0"/>
    <n v="1299"/>
    <n v="585"/>
    <n v="585"/>
    <n v="60"/>
    <n v="654"/>
    <n v="0.50346420323325636"/>
    <x v="0"/>
    <d v="2025-03-05T00:00:00"/>
    <n v="2"/>
    <x v="1"/>
    <m/>
    <n v="0"/>
  </r>
  <r>
    <s v="ORD-102529"/>
    <x v="424"/>
    <x v="1"/>
    <d v="2025-03-01T00:00:00"/>
    <n v="3"/>
    <s v="CUST-00603"/>
    <x v="0"/>
    <x v="2"/>
    <s v="MH"/>
    <x v="1"/>
    <s v="Nagpur"/>
    <x v="1"/>
    <s v="P302"/>
    <s v="Linen Kurta"/>
    <x v="1"/>
    <n v="4"/>
    <n v="1499"/>
    <n v="0.3"/>
    <n v="5996"/>
    <n v="1798.8"/>
    <n v="4197.2"/>
    <n v="630"/>
    <n v="2520"/>
    <n v="60"/>
    <n v="1617.1999999999998"/>
    <n v="0.38530448870675688"/>
    <x v="2"/>
    <d v="2025-03-04T00:00:00"/>
    <n v="1"/>
    <x v="1"/>
    <n v="5"/>
    <n v="0"/>
  </r>
  <r>
    <s v="ORD-102530"/>
    <x v="424"/>
    <x v="1"/>
    <d v="2025-03-01T00:00:00"/>
    <n v="3"/>
    <s v="CUST-00391"/>
    <x v="1"/>
    <x v="21"/>
    <s v="TG"/>
    <x v="3"/>
    <s v="Hyderabad"/>
    <x v="3"/>
    <s v="P103"/>
    <s v="Niacinamide Toner"/>
    <x v="3"/>
    <n v="3"/>
    <n v="399"/>
    <n v="0.3"/>
    <n v="1197"/>
    <n v="359.09999999999997"/>
    <n v="837.90000000000009"/>
    <n v="112"/>
    <n v="336"/>
    <n v="60"/>
    <n v="441.90000000000009"/>
    <n v="0.527389903329753"/>
    <x v="3"/>
    <d v="2025-03-05T00:00:00"/>
    <n v="2"/>
    <x v="1"/>
    <n v="3"/>
    <n v="0"/>
  </r>
  <r>
    <s v="ORD-102531"/>
    <x v="424"/>
    <x v="1"/>
    <d v="2025-03-01T00:00:00"/>
    <n v="3"/>
    <s v="CUST-00316"/>
    <x v="1"/>
    <x v="21"/>
    <s v="TG"/>
    <x v="3"/>
    <s v="Hyderabad"/>
    <x v="3"/>
    <s v="P703"/>
    <s v="Green Tea (100 bags)"/>
    <x v="0"/>
    <n v="2"/>
    <n v="399"/>
    <n v="0.35"/>
    <n v="798"/>
    <n v="279.29999999999995"/>
    <n v="518.70000000000005"/>
    <n v="128"/>
    <n v="256"/>
    <n v="60"/>
    <n v="202.70000000000005"/>
    <n v="0.39078465394254874"/>
    <x v="0"/>
    <d v="2025-03-06T00:00:00"/>
    <n v="3"/>
    <x v="0"/>
    <m/>
    <n v="0"/>
  </r>
  <r>
    <s v="ORD-102532"/>
    <x v="424"/>
    <x v="1"/>
    <d v="2025-03-01T00:00:00"/>
    <n v="3"/>
    <s v="CUST-02866"/>
    <x v="0"/>
    <x v="20"/>
    <s v="GA"/>
    <x v="1"/>
    <s v="Panaji"/>
    <x v="1"/>
    <s v="P302"/>
    <s v="Linen Kurta"/>
    <x v="1"/>
    <n v="2"/>
    <n v="1499"/>
    <n v="0.3"/>
    <n v="2998"/>
    <n v="899.4"/>
    <n v="2098.6"/>
    <n v="630"/>
    <n v="1260"/>
    <n v="60"/>
    <n v="778.59999999999991"/>
    <n v="0.3710092442580768"/>
    <x v="3"/>
    <d v="2025-03-06T00:00:00"/>
    <n v="3"/>
    <x v="0"/>
    <n v="4"/>
    <n v="0"/>
  </r>
  <r>
    <s v="ORD-102533"/>
    <x v="424"/>
    <x v="1"/>
    <d v="2025-03-01T00:00:00"/>
    <n v="3"/>
    <s v="CUST-00453"/>
    <x v="0"/>
    <x v="11"/>
    <s v="KA"/>
    <x v="3"/>
    <s v="Bengaluru"/>
    <x v="1"/>
    <s v="P402"/>
    <s v="Casual Sneakers"/>
    <x v="5"/>
    <n v="1"/>
    <n v="2199"/>
    <n v="0.15"/>
    <n v="2199"/>
    <n v="329.84999999999997"/>
    <n v="1869.15"/>
    <n v="1034"/>
    <n v="1034"/>
    <n v="120"/>
    <n v="715.15000000000009"/>
    <n v="0.38260706738357009"/>
    <x v="0"/>
    <d v="2025-03-04T00:00:00"/>
    <n v="1"/>
    <x v="1"/>
    <n v="4"/>
    <n v="1"/>
  </r>
  <r>
    <s v="ORD-102534"/>
    <x v="425"/>
    <x v="1"/>
    <d v="2025-03-01T00:00:00"/>
    <n v="3"/>
    <s v="CUST-03195"/>
    <x v="1"/>
    <x v="2"/>
    <s v="MH"/>
    <x v="1"/>
    <s v="Pune"/>
    <x v="0"/>
    <s v="P701"/>
    <s v="Ashwagandha Capsules"/>
    <x v="0"/>
    <n v="4"/>
    <n v="499"/>
    <n v="0.05"/>
    <n v="1996"/>
    <n v="99.800000000000011"/>
    <n v="1896.2"/>
    <n v="150"/>
    <n v="600"/>
    <n v="60"/>
    <n v="1236.2"/>
    <n v="0.65193544984706253"/>
    <x v="0"/>
    <d v="2025-03-06T00:00:00"/>
    <n v="2"/>
    <x v="1"/>
    <m/>
    <n v="0"/>
  </r>
  <r>
    <s v="ORD-102535"/>
    <x v="425"/>
    <x v="1"/>
    <d v="2025-03-01T00:00:00"/>
    <n v="3"/>
    <s v="CUST-00353"/>
    <x v="1"/>
    <x v="21"/>
    <s v="TG"/>
    <x v="3"/>
    <s v="Hyderabad"/>
    <x v="0"/>
    <s v="P503"/>
    <s v="Scented Candle Set"/>
    <x v="4"/>
    <n v="4"/>
    <n v="699"/>
    <n v="0.3"/>
    <n v="2796"/>
    <n v="838.8"/>
    <n v="1957.2"/>
    <n v="245"/>
    <n v="980"/>
    <n v="60"/>
    <n v="917.2"/>
    <n v="0.46862865317800939"/>
    <x v="0"/>
    <d v="2025-03-08T00:00:00"/>
    <n v="4"/>
    <x v="0"/>
    <n v="5"/>
    <n v="0"/>
  </r>
  <r>
    <s v="ORD-102536"/>
    <x v="425"/>
    <x v="1"/>
    <d v="2025-03-01T00:00:00"/>
    <n v="3"/>
    <s v="CUST-00782"/>
    <x v="1"/>
    <x v="17"/>
    <s v="TN"/>
    <x v="3"/>
    <s v="Chennai"/>
    <x v="2"/>
    <s v="P701"/>
    <s v="Ashwagandha Capsules"/>
    <x v="0"/>
    <n v="1"/>
    <n v="499"/>
    <n v="0"/>
    <n v="499"/>
    <n v="0"/>
    <n v="499"/>
    <n v="150"/>
    <n v="150"/>
    <n v="60"/>
    <n v="289"/>
    <n v="0.57915831663326656"/>
    <x v="3"/>
    <d v="2025-03-07T00:00:00"/>
    <n v="3"/>
    <x v="0"/>
    <n v="4"/>
    <n v="0"/>
  </r>
  <r>
    <s v="ORD-102537"/>
    <x v="425"/>
    <x v="1"/>
    <d v="2025-03-01T00:00:00"/>
    <n v="3"/>
    <s v="CUST-00950"/>
    <x v="0"/>
    <x v="17"/>
    <s v="TN"/>
    <x v="3"/>
    <s v="Chennai"/>
    <x v="2"/>
    <s v="P401"/>
    <s v="Running Shoes"/>
    <x v="5"/>
    <n v="1"/>
    <n v="2999"/>
    <n v="0.15"/>
    <n v="2999"/>
    <n v="449.84999999999997"/>
    <n v="2549.15"/>
    <n v="1440"/>
    <n v="1440"/>
    <n v="60"/>
    <n v="1049.1500000000001"/>
    <n v="0.41156856206970954"/>
    <x v="4"/>
    <d v="2025-03-09T00:00:00"/>
    <n v="5"/>
    <x v="2"/>
    <n v="4"/>
    <n v="0"/>
  </r>
  <r>
    <s v="ORD-102538"/>
    <x v="426"/>
    <x v="1"/>
    <d v="2025-03-01T00:00:00"/>
    <n v="3"/>
    <s v="CUST-02774"/>
    <x v="1"/>
    <x v="5"/>
    <s v="HP"/>
    <x v="0"/>
    <s v="Shimla"/>
    <x v="3"/>
    <s v="P102"/>
    <s v="Sunscreen SPF 50"/>
    <x v="3"/>
    <n v="1"/>
    <n v="449"/>
    <n v="0.15"/>
    <n v="449"/>
    <n v="67.349999999999994"/>
    <n v="381.65"/>
    <n v="144"/>
    <n v="144"/>
    <n v="120"/>
    <n v="117.64999999999998"/>
    <n v="0.30826673653871345"/>
    <x v="3"/>
    <d v="2025-03-12T00:00:00"/>
    <n v="7"/>
    <x v="2"/>
    <n v="4"/>
    <n v="1"/>
  </r>
  <r>
    <s v="ORD-102539"/>
    <x v="426"/>
    <x v="1"/>
    <d v="2025-03-01T00:00:00"/>
    <n v="3"/>
    <s v="CUST-01001"/>
    <x v="0"/>
    <x v="12"/>
    <s v="BR"/>
    <x v="2"/>
    <s v="Patna"/>
    <x v="3"/>
    <s v="P702"/>
    <s v="Whey Protein 1kg"/>
    <x v="0"/>
    <n v="1"/>
    <n v="2299"/>
    <n v="0.45"/>
    <n v="2299"/>
    <n v="1034.55"/>
    <n v="1264.45"/>
    <n v="1333"/>
    <n v="1333"/>
    <n v="60"/>
    <n v="-128.54999999999995"/>
    <n v="-0.10166475542726082"/>
    <x v="3"/>
    <d v="2025-03-08T00:00:00"/>
    <n v="3"/>
    <x v="0"/>
    <n v="3"/>
    <n v="0"/>
  </r>
  <r>
    <s v="ORD-102540"/>
    <x v="426"/>
    <x v="1"/>
    <d v="2025-03-01T00:00:00"/>
    <n v="3"/>
    <s v="CUST-00826"/>
    <x v="1"/>
    <x v="1"/>
    <s v="GJ"/>
    <x v="1"/>
    <s v="Ahmedabad"/>
    <x v="2"/>
    <s v="P602"/>
    <s v="Fast Charger 33W"/>
    <x v="2"/>
    <n v="2"/>
    <n v="899"/>
    <n v="0"/>
    <n v="1798"/>
    <n v="0"/>
    <n v="1798"/>
    <n v="494"/>
    <n v="988"/>
    <n v="60"/>
    <n v="750"/>
    <n v="0.41713014460511677"/>
    <x v="3"/>
    <d v="2025-03-09T00:00:00"/>
    <n v="4"/>
    <x v="0"/>
    <n v="4"/>
    <n v="0"/>
  </r>
  <r>
    <s v="ORD-102541"/>
    <x v="426"/>
    <x v="1"/>
    <d v="2025-03-01T00:00:00"/>
    <n v="3"/>
    <s v="CUST-02257"/>
    <x v="0"/>
    <x v="18"/>
    <s v="WB"/>
    <x v="2"/>
    <s v="Kolkata"/>
    <x v="0"/>
    <s v="P604"/>
    <s v="Power Bank 20000mAh"/>
    <x v="2"/>
    <n v="3"/>
    <n v="1799"/>
    <n v="0.3"/>
    <n v="5397"/>
    <n v="1619.1"/>
    <n v="3777.9"/>
    <n v="1079"/>
    <n v="3237"/>
    <n v="60"/>
    <n v="480.90000000000009"/>
    <n v="0.12729294052251253"/>
    <x v="0"/>
    <d v="2025-03-10T00:00:00"/>
    <n v="5"/>
    <x v="2"/>
    <n v="3"/>
    <n v="0"/>
  </r>
  <r>
    <s v="ORD-102542"/>
    <x v="426"/>
    <x v="1"/>
    <d v="2025-03-01T00:00:00"/>
    <n v="3"/>
    <s v="CUST-01588"/>
    <x v="0"/>
    <x v="2"/>
    <s v="MH"/>
    <x v="1"/>
    <s v="Mumbai"/>
    <x v="4"/>
    <s v="P301"/>
    <s v="Cotton Oversized T-Shirt"/>
    <x v="1"/>
    <n v="3"/>
    <n v="799"/>
    <n v="0"/>
    <n v="2397"/>
    <n v="0"/>
    <n v="2397"/>
    <n v="320"/>
    <n v="960"/>
    <n v="60"/>
    <n v="1377"/>
    <n v="0.57446808510638303"/>
    <x v="4"/>
    <d v="2025-03-07T00:00:00"/>
    <n v="2"/>
    <x v="1"/>
    <n v="3"/>
    <n v="0"/>
  </r>
  <r>
    <s v="ORD-102543"/>
    <x v="426"/>
    <x v="1"/>
    <d v="2025-03-01T00:00:00"/>
    <n v="3"/>
    <s v="CUST-00537"/>
    <x v="1"/>
    <x v="11"/>
    <s v="KA"/>
    <x v="3"/>
    <s v="Mysuru"/>
    <x v="4"/>
    <s v="P704"/>
    <s v="Multivitamin Gummies"/>
    <x v="0"/>
    <n v="1"/>
    <n v="699"/>
    <n v="0.2"/>
    <n v="699"/>
    <n v="139.80000000000001"/>
    <n v="559.20000000000005"/>
    <n v="238"/>
    <n v="238"/>
    <n v="60"/>
    <n v="261.20000000000005"/>
    <n v="0.46709585121602293"/>
    <x v="3"/>
    <d v="2025-03-07T00:00:00"/>
    <n v="2"/>
    <x v="1"/>
    <n v="5"/>
    <n v="0"/>
  </r>
  <r>
    <s v="ORD-102544"/>
    <x v="426"/>
    <x v="1"/>
    <d v="2025-03-01T00:00:00"/>
    <n v="3"/>
    <s v="CUST-00722"/>
    <x v="1"/>
    <x v="11"/>
    <s v="KA"/>
    <x v="3"/>
    <s v="Bengaluru"/>
    <x v="1"/>
    <s v="P303"/>
    <s v="Joggers"/>
    <x v="1"/>
    <n v="1"/>
    <n v="1199"/>
    <n v="0.1"/>
    <n v="1199"/>
    <n v="119.9"/>
    <n v="1079.0999999999999"/>
    <n v="492"/>
    <n v="492"/>
    <n v="60"/>
    <n v="527.09999999999991"/>
    <n v="0.48846260772866273"/>
    <x v="2"/>
    <d v="2025-03-07T00:00:00"/>
    <n v="2"/>
    <x v="1"/>
    <n v="4"/>
    <n v="0"/>
  </r>
  <r>
    <s v="ORD-102545"/>
    <x v="426"/>
    <x v="1"/>
    <d v="2025-03-01T00:00:00"/>
    <n v="3"/>
    <s v="CUST-02166"/>
    <x v="0"/>
    <x v="8"/>
    <s v="AP"/>
    <x v="3"/>
    <s v="Vijayawada"/>
    <x v="2"/>
    <s v="P503"/>
    <s v="Scented Candle Set"/>
    <x v="4"/>
    <n v="1"/>
    <n v="699"/>
    <n v="0.1"/>
    <n v="699"/>
    <n v="69.900000000000006"/>
    <n v="629.1"/>
    <n v="245"/>
    <n v="245"/>
    <n v="60"/>
    <n v="324.10000000000002"/>
    <n v="0.51518041646797008"/>
    <x v="0"/>
    <d v="2025-03-09T00:00:00"/>
    <n v="4"/>
    <x v="0"/>
    <n v="4"/>
    <n v="0"/>
  </r>
  <r>
    <s v="ORD-102546"/>
    <x v="427"/>
    <x v="1"/>
    <d v="2025-03-01T00:00:00"/>
    <n v="3"/>
    <s v="CUST-01089"/>
    <x v="1"/>
    <x v="18"/>
    <s v="WB"/>
    <x v="2"/>
    <s v="Kolkata"/>
    <x v="4"/>
    <s v="P404"/>
    <s v="Flip Flops"/>
    <x v="5"/>
    <n v="1"/>
    <n v="399"/>
    <n v="0.15"/>
    <n v="399"/>
    <n v="59.849999999999994"/>
    <n v="339.15"/>
    <n v="152"/>
    <n v="152"/>
    <n v="60"/>
    <n v="127.14999999999998"/>
    <n v="0.37490785787999409"/>
    <x v="1"/>
    <d v="2025-03-09T00:00:00"/>
    <n v="3"/>
    <x v="0"/>
    <m/>
    <n v="0"/>
  </r>
  <r>
    <s v="ORD-102547"/>
    <x v="427"/>
    <x v="1"/>
    <d v="2025-03-01T00:00:00"/>
    <n v="3"/>
    <s v="CUST-00933"/>
    <x v="1"/>
    <x v="2"/>
    <s v="MH"/>
    <x v="1"/>
    <s v="Pune"/>
    <x v="4"/>
    <s v="P701"/>
    <s v="Ashwagandha Capsules"/>
    <x v="0"/>
    <n v="1"/>
    <n v="499"/>
    <n v="0.05"/>
    <n v="499"/>
    <n v="24.950000000000003"/>
    <n v="474.05"/>
    <n v="150"/>
    <n v="150"/>
    <n v="60"/>
    <n v="264.05"/>
    <n v="0.55700875435080688"/>
    <x v="2"/>
    <d v="2025-03-08T00:00:00"/>
    <n v="2"/>
    <x v="1"/>
    <n v="5"/>
    <n v="0"/>
  </r>
  <r>
    <s v="ORD-102548"/>
    <x v="427"/>
    <x v="1"/>
    <d v="2025-03-01T00:00:00"/>
    <n v="3"/>
    <s v="CUST-00852"/>
    <x v="0"/>
    <x v="17"/>
    <s v="TN"/>
    <x v="3"/>
    <s v="Chennai"/>
    <x v="3"/>
    <s v="P101"/>
    <s v="Vitamin C Face Serum"/>
    <x v="3"/>
    <n v="2"/>
    <n v="599"/>
    <n v="0.2"/>
    <n v="1198"/>
    <n v="239.60000000000002"/>
    <n v="958.4"/>
    <n v="180"/>
    <n v="360"/>
    <n v="60"/>
    <n v="538.4"/>
    <n v="0.56176961602671116"/>
    <x v="0"/>
    <d v="2025-03-07T00:00:00"/>
    <n v="1"/>
    <x v="1"/>
    <n v="5"/>
    <n v="0"/>
  </r>
  <r>
    <s v="ORD-102549"/>
    <x v="428"/>
    <x v="1"/>
    <d v="2025-03-01T00:00:00"/>
    <n v="3"/>
    <s v="CUST-00783"/>
    <x v="1"/>
    <x v="19"/>
    <s v="PB"/>
    <x v="0"/>
    <s v="Amritsar"/>
    <x v="3"/>
    <s v="P103"/>
    <s v="Niacinamide Toner"/>
    <x v="3"/>
    <n v="2"/>
    <n v="399"/>
    <n v="0.3"/>
    <n v="798"/>
    <n v="239.39999999999998"/>
    <n v="558.6"/>
    <n v="112"/>
    <n v="224"/>
    <n v="60"/>
    <n v="274.60000000000002"/>
    <n v="0.49158610812746151"/>
    <x v="1"/>
    <d v="2025-03-11T00:00:00"/>
    <n v="4"/>
    <x v="0"/>
    <n v="4"/>
    <n v="0"/>
  </r>
  <r>
    <s v="ORD-102550"/>
    <x v="428"/>
    <x v="1"/>
    <d v="2025-03-01T00:00:00"/>
    <n v="3"/>
    <s v="CUST-00187"/>
    <x v="1"/>
    <x v="5"/>
    <s v="HP"/>
    <x v="0"/>
    <s v="Shimla"/>
    <x v="2"/>
    <s v="P203"/>
    <s v="Keratin Hair Mask"/>
    <x v="6"/>
    <n v="1"/>
    <n v="549"/>
    <n v="0.05"/>
    <n v="549"/>
    <n v="27.450000000000003"/>
    <n v="521.54999999999995"/>
    <n v="170"/>
    <n v="170"/>
    <n v="60"/>
    <n v="291.54999999999995"/>
    <n v="0.55900680663407143"/>
    <x v="0"/>
    <d v="2025-03-12T00:00:00"/>
    <n v="5"/>
    <x v="2"/>
    <n v="3"/>
    <n v="0"/>
  </r>
  <r>
    <s v="ORD-102551"/>
    <x v="428"/>
    <x v="1"/>
    <d v="2025-03-01T00:00:00"/>
    <n v="3"/>
    <s v="CUST-03184"/>
    <x v="0"/>
    <x v="13"/>
    <s v="MP"/>
    <x v="1"/>
    <s v="Indore"/>
    <x v="2"/>
    <s v="P503"/>
    <s v="Scented Candle Set"/>
    <x v="4"/>
    <n v="1"/>
    <n v="699"/>
    <n v="0.15"/>
    <n v="699"/>
    <n v="104.85"/>
    <n v="594.15"/>
    <n v="245"/>
    <n v="245"/>
    <n v="60"/>
    <n v="289.14999999999998"/>
    <n v="0.48666161743667424"/>
    <x v="3"/>
    <d v="2025-03-10T00:00:00"/>
    <n v="3"/>
    <x v="0"/>
    <m/>
    <n v="0"/>
  </r>
  <r>
    <s v="ORD-102552"/>
    <x v="428"/>
    <x v="1"/>
    <d v="2025-03-01T00:00:00"/>
    <n v="3"/>
    <s v="CUST-00882"/>
    <x v="1"/>
    <x v="2"/>
    <s v="MH"/>
    <x v="1"/>
    <s v="Pune"/>
    <x v="0"/>
    <s v="P101"/>
    <s v="Vitamin C Face Serum"/>
    <x v="3"/>
    <n v="1"/>
    <n v="599"/>
    <n v="0.25"/>
    <n v="599"/>
    <n v="149.75"/>
    <n v="449.25"/>
    <n v="180"/>
    <n v="180"/>
    <n v="60"/>
    <n v="209.25"/>
    <n v="0.46577629382303842"/>
    <x v="0"/>
    <d v="2025-03-11T00:00:00"/>
    <n v="4"/>
    <x v="0"/>
    <n v="3"/>
    <n v="0"/>
  </r>
  <r>
    <s v="ORD-102553"/>
    <x v="428"/>
    <x v="1"/>
    <d v="2025-03-01T00:00:00"/>
    <n v="3"/>
    <s v="CUST-02536"/>
    <x v="0"/>
    <x v="21"/>
    <s v="TG"/>
    <x v="3"/>
    <s v="Hyderabad"/>
    <x v="2"/>
    <s v="P501"/>
    <s v="Copper Water Bottle"/>
    <x v="4"/>
    <n v="1"/>
    <n v="899"/>
    <n v="0.1"/>
    <n v="899"/>
    <n v="89.9"/>
    <n v="809.1"/>
    <n v="378"/>
    <n v="378"/>
    <n v="60"/>
    <n v="371.1"/>
    <n v="0.45865776789024842"/>
    <x v="0"/>
    <d v="2025-03-09T00:00:00"/>
    <n v="2"/>
    <x v="1"/>
    <n v="5"/>
    <n v="0"/>
  </r>
  <r>
    <s v="ORD-102554"/>
    <x v="428"/>
    <x v="1"/>
    <d v="2025-03-01T00:00:00"/>
    <n v="3"/>
    <s v="CUST-00643"/>
    <x v="1"/>
    <x v="3"/>
    <s v="OD"/>
    <x v="2"/>
    <s v="Bhubaneswar"/>
    <x v="0"/>
    <s v="P102"/>
    <s v="Sunscreen SPF 50"/>
    <x v="3"/>
    <n v="1"/>
    <n v="449"/>
    <n v="0.05"/>
    <n v="449"/>
    <n v="22.450000000000003"/>
    <n v="426.55"/>
    <n v="144"/>
    <n v="144"/>
    <n v="60"/>
    <n v="222.55"/>
    <n v="0.52174422693705313"/>
    <x v="1"/>
    <d v="2025-03-11T00:00:00"/>
    <n v="4"/>
    <x v="0"/>
    <n v="3"/>
    <n v="0"/>
  </r>
  <r>
    <s v="ORD-102555"/>
    <x v="428"/>
    <x v="1"/>
    <d v="2025-03-01T00:00:00"/>
    <n v="3"/>
    <s v="CUST-01575"/>
    <x v="1"/>
    <x v="3"/>
    <s v="OD"/>
    <x v="2"/>
    <s v="Bhubaneswar"/>
    <x v="4"/>
    <s v="P303"/>
    <s v="Joggers"/>
    <x v="1"/>
    <n v="1"/>
    <n v="1199"/>
    <n v="0.2"/>
    <n v="1199"/>
    <n v="239.8"/>
    <n v="959.2"/>
    <n v="492"/>
    <n v="492"/>
    <n v="60"/>
    <n v="407.20000000000005"/>
    <n v="0.42452043369474562"/>
    <x v="3"/>
    <d v="2025-03-12T00:00:00"/>
    <n v="5"/>
    <x v="2"/>
    <n v="4"/>
    <n v="0"/>
  </r>
  <r>
    <s v="ORD-102556"/>
    <x v="428"/>
    <x v="1"/>
    <d v="2025-03-01T00:00:00"/>
    <n v="3"/>
    <s v="CUST-00460"/>
    <x v="0"/>
    <x v="11"/>
    <s v="KA"/>
    <x v="3"/>
    <s v="Bengaluru"/>
    <x v="1"/>
    <s v="P301"/>
    <s v="Cotton Oversized T-Shirt"/>
    <x v="1"/>
    <n v="2"/>
    <n v="799"/>
    <n v="0.05"/>
    <n v="1598"/>
    <n v="79.900000000000006"/>
    <n v="1518.1"/>
    <n v="320"/>
    <n v="640"/>
    <n v="60"/>
    <n v="818.09999999999991"/>
    <n v="0.5388973058428298"/>
    <x v="0"/>
    <d v="2025-03-10T00:00:00"/>
    <n v="3"/>
    <x v="0"/>
    <n v="4"/>
    <n v="0"/>
  </r>
  <r>
    <s v="ORD-102557"/>
    <x v="428"/>
    <x v="1"/>
    <d v="2025-03-01T00:00:00"/>
    <n v="3"/>
    <s v="CUST-01098"/>
    <x v="1"/>
    <x v="14"/>
    <s v="KL"/>
    <x v="3"/>
    <s v="Thiruvananthapuram"/>
    <x v="0"/>
    <s v="P103"/>
    <s v="Niacinamide Toner"/>
    <x v="3"/>
    <n v="1"/>
    <n v="399"/>
    <n v="0.2"/>
    <n v="399"/>
    <n v="79.800000000000011"/>
    <n v="319.2"/>
    <n v="112"/>
    <n v="112"/>
    <n v="60"/>
    <n v="147.19999999999999"/>
    <n v="0.46115288220551376"/>
    <x v="0"/>
    <d v="2025-03-09T00:00:00"/>
    <n v="2"/>
    <x v="1"/>
    <n v="5"/>
    <n v="0"/>
  </r>
  <r>
    <s v="ORD-102558"/>
    <x v="428"/>
    <x v="1"/>
    <d v="2025-03-01T00:00:00"/>
    <n v="3"/>
    <s v="CUST-00318"/>
    <x v="1"/>
    <x v="17"/>
    <s v="TN"/>
    <x v="3"/>
    <s v="Coimbatore"/>
    <x v="0"/>
    <s v="P503"/>
    <s v="Scented Candle Set"/>
    <x v="4"/>
    <n v="2"/>
    <n v="699"/>
    <n v="0.3"/>
    <n v="1398"/>
    <n v="419.4"/>
    <n v="978.6"/>
    <n v="245"/>
    <n v="490"/>
    <n v="60"/>
    <n v="428.6"/>
    <n v="0.43797261393827919"/>
    <x v="3"/>
    <d v="2025-03-08T00:00:00"/>
    <n v="1"/>
    <x v="1"/>
    <n v="4"/>
    <n v="0"/>
  </r>
  <r>
    <s v="ORD-102559"/>
    <x v="429"/>
    <x v="1"/>
    <d v="2025-03-01T00:00:00"/>
    <n v="3"/>
    <s v="CUST-00524"/>
    <x v="1"/>
    <x v="4"/>
    <s v="JK"/>
    <x v="0"/>
    <s v="Jammu"/>
    <x v="0"/>
    <s v="P603"/>
    <s v="Smartwatch Strap"/>
    <x v="2"/>
    <n v="1"/>
    <n v="499"/>
    <n v="0.1"/>
    <n v="499"/>
    <n v="49.900000000000006"/>
    <n v="449.1"/>
    <n v="200"/>
    <n v="200"/>
    <n v="120"/>
    <n v="129.10000000000002"/>
    <n v="0.28746381652193281"/>
    <x v="0"/>
    <d v="2025-03-14T00:00:00"/>
    <n v="6"/>
    <x v="2"/>
    <n v="3"/>
    <n v="1"/>
  </r>
  <r>
    <s v="ORD-102560"/>
    <x v="429"/>
    <x v="1"/>
    <d v="2025-03-01T00:00:00"/>
    <n v="3"/>
    <s v="CUST-01412"/>
    <x v="1"/>
    <x v="16"/>
    <s v="UP"/>
    <x v="0"/>
    <s v="Lucknow"/>
    <x v="2"/>
    <s v="P501"/>
    <s v="Copper Water Bottle"/>
    <x v="4"/>
    <n v="4"/>
    <n v="899"/>
    <n v="0"/>
    <n v="3596"/>
    <n v="0"/>
    <n v="3596"/>
    <n v="378"/>
    <n v="1512"/>
    <n v="60"/>
    <n v="2024"/>
    <n v="0.56284760845383763"/>
    <x v="3"/>
    <d v="2025-03-12T00:00:00"/>
    <n v="4"/>
    <x v="0"/>
    <n v="4"/>
    <n v="0"/>
  </r>
  <r>
    <s v="ORD-102561"/>
    <x v="429"/>
    <x v="1"/>
    <d v="2025-03-01T00:00:00"/>
    <n v="3"/>
    <s v="CUST-00778"/>
    <x v="1"/>
    <x v="1"/>
    <s v="GJ"/>
    <x v="1"/>
    <s v="Ahmedabad"/>
    <x v="4"/>
    <s v="P202"/>
    <s v="Argan Shampoo"/>
    <x v="6"/>
    <n v="1"/>
    <n v="449"/>
    <n v="0.05"/>
    <n v="449"/>
    <n v="22.450000000000003"/>
    <n v="426.55"/>
    <n v="148"/>
    <n v="148"/>
    <n v="60"/>
    <n v="218.55"/>
    <n v="0.51236666275934828"/>
    <x v="0"/>
    <d v="2025-03-12T00:00:00"/>
    <n v="4"/>
    <x v="0"/>
    <n v="3"/>
    <n v="0"/>
  </r>
  <r>
    <s v="ORD-102562"/>
    <x v="429"/>
    <x v="1"/>
    <d v="2025-03-01T00:00:00"/>
    <n v="3"/>
    <s v="CUST-00937"/>
    <x v="1"/>
    <x v="17"/>
    <s v="TN"/>
    <x v="3"/>
    <s v="Chennai"/>
    <x v="4"/>
    <s v="P105"/>
    <s v="Retinol Night Cream"/>
    <x v="3"/>
    <n v="1"/>
    <n v="799"/>
    <n v="0.15"/>
    <n v="799"/>
    <n v="119.85"/>
    <n v="679.15"/>
    <n v="216"/>
    <n v="216"/>
    <n v="60"/>
    <n v="403.15"/>
    <n v="0.59360965913273944"/>
    <x v="0"/>
    <d v="2025-03-13T00:00:00"/>
    <n v="5"/>
    <x v="2"/>
    <n v="3"/>
    <n v="0"/>
  </r>
  <r>
    <s v="ORD-102563"/>
    <x v="430"/>
    <x v="1"/>
    <d v="2025-03-01T00:00:00"/>
    <n v="3"/>
    <s v="CUST-00619"/>
    <x v="1"/>
    <x v="19"/>
    <s v="PB"/>
    <x v="0"/>
    <s v="Amritsar"/>
    <x v="4"/>
    <s v="P503"/>
    <s v="Scented Candle Set"/>
    <x v="4"/>
    <n v="1"/>
    <n v="699"/>
    <n v="0.25"/>
    <n v="699"/>
    <n v="174.75"/>
    <n v="524.25"/>
    <n v="245"/>
    <n v="245"/>
    <n v="60"/>
    <n v="219.25"/>
    <n v="0.41821649976156416"/>
    <x v="3"/>
    <d v="2025-03-13T00:00:00"/>
    <n v="4"/>
    <x v="0"/>
    <m/>
    <n v="0"/>
  </r>
  <r>
    <s v="ORD-102564"/>
    <x v="430"/>
    <x v="1"/>
    <d v="2025-03-01T00:00:00"/>
    <n v="3"/>
    <s v="CUST-02041"/>
    <x v="0"/>
    <x v="19"/>
    <s v="PB"/>
    <x v="0"/>
    <s v="Ludhiana"/>
    <x v="0"/>
    <s v="P603"/>
    <s v="Smartwatch Strap"/>
    <x v="2"/>
    <n v="1"/>
    <n v="499"/>
    <n v="0.15"/>
    <n v="499"/>
    <n v="74.849999999999994"/>
    <n v="424.15"/>
    <n v="200"/>
    <n v="200"/>
    <n v="60"/>
    <n v="164.14999999999998"/>
    <n v="0.38700931274313327"/>
    <x v="0"/>
    <d v="2025-03-12T00:00:00"/>
    <n v="3"/>
    <x v="0"/>
    <n v="4"/>
    <n v="0"/>
  </r>
  <r>
    <s v="ORD-102565"/>
    <x v="430"/>
    <x v="1"/>
    <d v="2025-03-01T00:00:00"/>
    <n v="3"/>
    <s v="CUST-00650"/>
    <x v="1"/>
    <x v="0"/>
    <s v="RJ"/>
    <x v="0"/>
    <s v="Udaipur"/>
    <x v="3"/>
    <s v="P103"/>
    <s v="Niacinamide Toner"/>
    <x v="3"/>
    <n v="3"/>
    <n v="399"/>
    <n v="0.3"/>
    <n v="1197"/>
    <n v="359.09999999999997"/>
    <n v="837.90000000000009"/>
    <n v="112"/>
    <n v="336"/>
    <n v="60"/>
    <n v="441.90000000000009"/>
    <n v="0.527389903329753"/>
    <x v="0"/>
    <d v="2025-03-14T00:00:00"/>
    <n v="5"/>
    <x v="2"/>
    <n v="5"/>
    <n v="0"/>
  </r>
  <r>
    <s v="ORD-102566"/>
    <x v="430"/>
    <x v="1"/>
    <d v="2025-03-01T00:00:00"/>
    <n v="3"/>
    <s v="CUST-01179"/>
    <x v="1"/>
    <x v="6"/>
    <s v="DL"/>
    <x v="0"/>
    <s v="New Delhi"/>
    <x v="3"/>
    <s v="P204"/>
    <s v="Anti-Dandruff Conditioner"/>
    <x v="6"/>
    <n v="2"/>
    <n v="399"/>
    <n v="0.45"/>
    <n v="798"/>
    <n v="359.1"/>
    <n v="438.9"/>
    <n v="136"/>
    <n v="272"/>
    <n v="60"/>
    <n v="106.89999999999998"/>
    <n v="0.24356345408976984"/>
    <x v="3"/>
    <d v="2025-03-13T00:00:00"/>
    <n v="4"/>
    <x v="0"/>
    <n v="4"/>
    <n v="0"/>
  </r>
  <r>
    <s v="ORD-102567"/>
    <x v="430"/>
    <x v="1"/>
    <d v="2025-03-01T00:00:00"/>
    <n v="3"/>
    <s v="CUST-01534"/>
    <x v="0"/>
    <x v="16"/>
    <s v="UP"/>
    <x v="0"/>
    <s v="Noida"/>
    <x v="2"/>
    <s v="P401"/>
    <s v="Running Shoes"/>
    <x v="5"/>
    <n v="3"/>
    <n v="2999"/>
    <n v="0.15"/>
    <n v="8997"/>
    <n v="1349.55"/>
    <n v="7647.45"/>
    <n v="1440"/>
    <n v="4320"/>
    <n v="60"/>
    <n v="3267.45"/>
    <n v="0.42726006708118391"/>
    <x v="2"/>
    <d v="2025-03-13T00:00:00"/>
    <n v="4"/>
    <x v="0"/>
    <n v="4"/>
    <n v="0"/>
  </r>
  <r>
    <s v="ORD-102568"/>
    <x v="430"/>
    <x v="1"/>
    <d v="2025-03-01T00:00:00"/>
    <n v="3"/>
    <s v="CUST-00712"/>
    <x v="1"/>
    <x v="12"/>
    <s v="BR"/>
    <x v="2"/>
    <s v="Patna"/>
    <x v="3"/>
    <s v="P702"/>
    <s v="Whey Protein 1kg"/>
    <x v="0"/>
    <n v="2"/>
    <n v="2299"/>
    <n v="0.35"/>
    <n v="4598"/>
    <n v="1609.3"/>
    <n v="2988.7"/>
    <n v="1333"/>
    <n v="2666"/>
    <n v="60"/>
    <n v="262.69999999999982"/>
    <n v="8.7897748184829469E-2"/>
    <x v="3"/>
    <d v="2025-03-12T00:00:00"/>
    <n v="3"/>
    <x v="0"/>
    <n v="3"/>
    <n v="0"/>
  </r>
  <r>
    <s v="ORD-102569"/>
    <x v="430"/>
    <x v="1"/>
    <d v="2025-03-01T00:00:00"/>
    <n v="3"/>
    <s v="CUST-00843"/>
    <x v="1"/>
    <x v="13"/>
    <s v="MP"/>
    <x v="1"/>
    <s v="Indore"/>
    <x v="0"/>
    <s v="P604"/>
    <s v="Power Bank 20000mAh"/>
    <x v="2"/>
    <n v="2"/>
    <n v="1799"/>
    <n v="0.35"/>
    <n v="3598"/>
    <n v="1259.3"/>
    <n v="2338.6999999999998"/>
    <n v="1079"/>
    <n v="2158"/>
    <n v="60"/>
    <n v="120.69999999999982"/>
    <n v="5.1609868730491226E-2"/>
    <x v="0"/>
    <d v="2025-03-12T00:00:00"/>
    <n v="3"/>
    <x v="0"/>
    <n v="4"/>
    <n v="0"/>
  </r>
  <r>
    <s v="ORD-102570"/>
    <x v="430"/>
    <x v="1"/>
    <d v="2025-03-01T00:00:00"/>
    <n v="3"/>
    <s v="CUST-00658"/>
    <x v="1"/>
    <x v="10"/>
    <s v="CG"/>
    <x v="2"/>
    <s v="Raipur"/>
    <x v="4"/>
    <s v="P503"/>
    <s v="Scented Candle Set"/>
    <x v="4"/>
    <n v="1"/>
    <n v="699"/>
    <n v="0.2"/>
    <n v="699"/>
    <n v="139.80000000000001"/>
    <n v="559.20000000000005"/>
    <n v="245"/>
    <n v="245"/>
    <n v="60"/>
    <n v="254.20000000000005"/>
    <n v="0.45457796852646642"/>
    <x v="3"/>
    <d v="2025-03-15T00:00:00"/>
    <n v="6"/>
    <x v="2"/>
    <n v="3"/>
    <n v="0"/>
  </r>
  <r>
    <s v="ORD-102571"/>
    <x v="430"/>
    <x v="1"/>
    <d v="2025-03-01T00:00:00"/>
    <n v="3"/>
    <s v="CUST-00474"/>
    <x v="0"/>
    <x v="2"/>
    <s v="MH"/>
    <x v="1"/>
    <s v="Mumbai"/>
    <x v="1"/>
    <s v="P301"/>
    <s v="Cotton Oversized T-Shirt"/>
    <x v="1"/>
    <n v="1"/>
    <n v="799"/>
    <n v="0.1"/>
    <n v="799"/>
    <n v="79.900000000000006"/>
    <n v="719.1"/>
    <n v="320"/>
    <n v="320"/>
    <n v="60"/>
    <n v="339.1"/>
    <n v="0.47156167431511614"/>
    <x v="3"/>
    <d v="2025-03-11T00:00:00"/>
    <n v="2"/>
    <x v="1"/>
    <n v="5"/>
    <n v="0"/>
  </r>
  <r>
    <s v="ORD-102572"/>
    <x v="430"/>
    <x v="1"/>
    <d v="2025-03-01T00:00:00"/>
    <n v="3"/>
    <s v="CUST-00934"/>
    <x v="0"/>
    <x v="20"/>
    <s v="GA"/>
    <x v="1"/>
    <s v="Panaji"/>
    <x v="2"/>
    <s v="P503"/>
    <s v="Scented Candle Set"/>
    <x v="4"/>
    <n v="1"/>
    <n v="699"/>
    <n v="0.2"/>
    <n v="699"/>
    <n v="139.80000000000001"/>
    <n v="559.20000000000005"/>
    <n v="245"/>
    <n v="245"/>
    <n v="60"/>
    <n v="254.20000000000005"/>
    <n v="0.45457796852646642"/>
    <x v="0"/>
    <d v="2025-03-13T00:00:00"/>
    <n v="4"/>
    <x v="0"/>
    <n v="4"/>
    <n v="0"/>
  </r>
  <r>
    <s v="ORD-102573"/>
    <x v="430"/>
    <x v="1"/>
    <d v="2025-03-01T00:00:00"/>
    <n v="3"/>
    <s v="CUST-02328"/>
    <x v="0"/>
    <x v="11"/>
    <s v="KA"/>
    <x v="3"/>
    <s v="Mysuru"/>
    <x v="0"/>
    <s v="P601"/>
    <s v="Wireless Earbuds"/>
    <x v="2"/>
    <n v="2"/>
    <n v="1999"/>
    <n v="0.3"/>
    <n v="3998"/>
    <n v="1199.3999999999999"/>
    <n v="2798.6000000000004"/>
    <n v="1239"/>
    <n v="2478"/>
    <n v="60"/>
    <n v="260.60000000000036"/>
    <n v="9.3117987565211294E-2"/>
    <x v="3"/>
    <d v="2025-03-11T00:00:00"/>
    <n v="2"/>
    <x v="1"/>
    <n v="5"/>
    <n v="0"/>
  </r>
  <r>
    <s v="ORD-102574"/>
    <x v="430"/>
    <x v="1"/>
    <d v="2025-03-01T00:00:00"/>
    <n v="3"/>
    <s v="CUST-00878"/>
    <x v="0"/>
    <x v="17"/>
    <s v="TN"/>
    <x v="3"/>
    <s v="Coimbatore"/>
    <x v="2"/>
    <s v="P401"/>
    <s v="Running Shoes"/>
    <x v="5"/>
    <n v="1"/>
    <n v="2999"/>
    <n v="0.2"/>
    <n v="2999"/>
    <n v="599.80000000000007"/>
    <n v="2399.1999999999998"/>
    <n v="1440"/>
    <n v="1440"/>
    <n v="60"/>
    <n v="899.19999999999982"/>
    <n v="0.3747915971990663"/>
    <x v="0"/>
    <d v="2025-03-13T00:00:00"/>
    <n v="4"/>
    <x v="0"/>
    <n v="4"/>
    <n v="0"/>
  </r>
  <r>
    <s v="ORD-102575"/>
    <x v="430"/>
    <x v="1"/>
    <d v="2025-03-01T00:00:00"/>
    <n v="3"/>
    <s v="CUST-00573"/>
    <x v="1"/>
    <x v="17"/>
    <s v="TN"/>
    <x v="3"/>
    <s v="Chennai"/>
    <x v="3"/>
    <s v="P204"/>
    <s v="Anti-Dandruff Conditioner"/>
    <x v="6"/>
    <n v="3"/>
    <n v="399"/>
    <n v="0.45"/>
    <n v="1197"/>
    <n v="538.65"/>
    <n v="658.35"/>
    <n v="136"/>
    <n v="408"/>
    <n v="60"/>
    <n v="190.35000000000002"/>
    <n v="0.28913192071086813"/>
    <x v="3"/>
    <d v="2025-03-13T00:00:00"/>
    <n v="4"/>
    <x v="0"/>
    <n v="3"/>
    <n v="0"/>
  </r>
  <r>
    <s v="ORD-102576"/>
    <x v="431"/>
    <x v="1"/>
    <d v="2025-03-01T00:00:00"/>
    <n v="3"/>
    <s v="CUST-00557"/>
    <x v="1"/>
    <x v="19"/>
    <s v="PB"/>
    <x v="0"/>
    <s v="Amritsar"/>
    <x v="0"/>
    <s v="P301"/>
    <s v="Cotton Oversized T-Shirt"/>
    <x v="1"/>
    <n v="1"/>
    <n v="799"/>
    <n v="0.1"/>
    <n v="799"/>
    <n v="79.900000000000006"/>
    <n v="719.1"/>
    <n v="320"/>
    <n v="320"/>
    <n v="60"/>
    <n v="339.1"/>
    <n v="0.47156167431511614"/>
    <x v="0"/>
    <d v="2025-03-12T00:00:00"/>
    <n v="2"/>
    <x v="1"/>
    <n v="5"/>
    <n v="0"/>
  </r>
  <r>
    <s v="ORD-102577"/>
    <x v="431"/>
    <x v="1"/>
    <d v="2025-03-01T00:00:00"/>
    <n v="3"/>
    <s v="CUST-02754"/>
    <x v="0"/>
    <x v="16"/>
    <s v="UP"/>
    <x v="0"/>
    <s v="Kanpur"/>
    <x v="0"/>
    <s v="P701"/>
    <s v="Ashwagandha Capsules"/>
    <x v="0"/>
    <n v="1"/>
    <n v="499"/>
    <n v="0.1"/>
    <n v="499"/>
    <n v="49.900000000000006"/>
    <n v="449.1"/>
    <n v="150"/>
    <n v="150"/>
    <n v="60"/>
    <n v="239.10000000000002"/>
    <n v="0.53239812959251842"/>
    <x v="3"/>
    <d v="2025-03-12T00:00:00"/>
    <n v="2"/>
    <x v="1"/>
    <m/>
    <n v="0"/>
  </r>
  <r>
    <s v="ORD-102578"/>
    <x v="431"/>
    <x v="1"/>
    <d v="2025-03-01T00:00:00"/>
    <n v="3"/>
    <s v="CUST-01065"/>
    <x v="0"/>
    <x v="12"/>
    <s v="BR"/>
    <x v="2"/>
    <s v="Patna"/>
    <x v="4"/>
    <s v="P603"/>
    <s v="Smartwatch Strap"/>
    <x v="2"/>
    <n v="3"/>
    <n v="499"/>
    <n v="0.1"/>
    <n v="1497"/>
    <n v="149.70000000000002"/>
    <n v="1347.3"/>
    <n v="200"/>
    <n v="600"/>
    <n v="60"/>
    <n v="687.3"/>
    <n v="0.51013137385882878"/>
    <x v="0"/>
    <d v="2025-03-15T00:00:00"/>
    <n v="5"/>
    <x v="2"/>
    <n v="3"/>
    <n v="0"/>
  </r>
  <r>
    <s v="ORD-102579"/>
    <x v="431"/>
    <x v="1"/>
    <d v="2025-03-01T00:00:00"/>
    <n v="3"/>
    <s v="CUST-00674"/>
    <x v="1"/>
    <x v="18"/>
    <s v="WB"/>
    <x v="2"/>
    <s v="Kolkata"/>
    <x v="2"/>
    <s v="P204"/>
    <s v="Anti-Dandruff Conditioner"/>
    <x v="6"/>
    <n v="1"/>
    <n v="399"/>
    <n v="0.25"/>
    <n v="399"/>
    <n v="99.75"/>
    <n v="299.25"/>
    <n v="136"/>
    <n v="136"/>
    <n v="60"/>
    <n v="103.25"/>
    <n v="0.34502923976608185"/>
    <x v="3"/>
    <d v="2025-03-14T00:00:00"/>
    <n v="4"/>
    <x v="0"/>
    <n v="4"/>
    <n v="0"/>
  </r>
  <r>
    <s v="ORD-102580"/>
    <x v="431"/>
    <x v="1"/>
    <d v="2025-03-01T00:00:00"/>
    <n v="3"/>
    <s v="CUST-00083"/>
    <x v="1"/>
    <x v="2"/>
    <s v="MH"/>
    <x v="1"/>
    <s v="Pune"/>
    <x v="4"/>
    <s v="P504"/>
    <s v="Cotton Bedsheet"/>
    <x v="4"/>
    <n v="1"/>
    <n v="1299"/>
    <n v="0.05"/>
    <n v="1299"/>
    <n v="64.95"/>
    <n v="1234.05"/>
    <n v="585"/>
    <n v="585"/>
    <n v="120"/>
    <n v="529.04999999999995"/>
    <n v="0.42871034398930347"/>
    <x v="2"/>
    <d v="2025-03-13T00:00:00"/>
    <n v="3"/>
    <x v="0"/>
    <m/>
    <n v="1"/>
  </r>
  <r>
    <s v="ORD-102581"/>
    <x v="431"/>
    <x v="1"/>
    <d v="2025-03-01T00:00:00"/>
    <n v="3"/>
    <s v="CUST-01042"/>
    <x v="1"/>
    <x v="2"/>
    <s v="MH"/>
    <x v="1"/>
    <s v="Nagpur"/>
    <x v="3"/>
    <s v="P102"/>
    <s v="Sunscreen SPF 50"/>
    <x v="3"/>
    <n v="2"/>
    <n v="449"/>
    <n v="0"/>
    <n v="898"/>
    <n v="0"/>
    <n v="898"/>
    <n v="144"/>
    <n v="288"/>
    <n v="60"/>
    <n v="550"/>
    <n v="0.61247216035634744"/>
    <x v="3"/>
    <d v="2025-03-12T00:00:00"/>
    <n v="2"/>
    <x v="1"/>
    <m/>
    <n v="0"/>
  </r>
  <r>
    <s v="ORD-102582"/>
    <x v="431"/>
    <x v="1"/>
    <d v="2025-03-01T00:00:00"/>
    <n v="3"/>
    <s v="CUST-01095"/>
    <x v="0"/>
    <x v="11"/>
    <s v="KA"/>
    <x v="3"/>
    <s v="Mysuru"/>
    <x v="1"/>
    <s v="P401"/>
    <s v="Running Shoes"/>
    <x v="5"/>
    <n v="2"/>
    <n v="2999"/>
    <n v="0.3"/>
    <n v="5998"/>
    <n v="1799.3999999999999"/>
    <n v="4198.6000000000004"/>
    <n v="1440"/>
    <n v="2880"/>
    <n v="60"/>
    <n v="1258.6000000000004"/>
    <n v="0.29976658886295438"/>
    <x v="4"/>
    <d v="2025-03-12T00:00:00"/>
    <n v="2"/>
    <x v="1"/>
    <n v="4"/>
    <n v="0"/>
  </r>
  <r>
    <s v="ORD-102583"/>
    <x v="432"/>
    <x v="1"/>
    <d v="2025-03-01T00:00:00"/>
    <n v="3"/>
    <s v="CUST-01181"/>
    <x v="0"/>
    <x v="12"/>
    <s v="BR"/>
    <x v="2"/>
    <s v="Patna"/>
    <x v="0"/>
    <s v="P304"/>
    <s v="Denim Jacket"/>
    <x v="1"/>
    <n v="1"/>
    <n v="2499"/>
    <n v="0"/>
    <n v="2499"/>
    <n v="0"/>
    <n v="2499"/>
    <n v="1125"/>
    <n v="1125"/>
    <n v="60"/>
    <n v="1314"/>
    <n v="0.5258103241296519"/>
    <x v="3"/>
    <d v="2025-03-15T00:00:00"/>
    <n v="4"/>
    <x v="0"/>
    <m/>
    <n v="0"/>
  </r>
  <r>
    <s v="ORD-102584"/>
    <x v="432"/>
    <x v="1"/>
    <d v="2025-03-01T00:00:00"/>
    <n v="3"/>
    <s v="CUST-01199"/>
    <x v="1"/>
    <x v="2"/>
    <s v="MH"/>
    <x v="1"/>
    <s v="Pune"/>
    <x v="0"/>
    <s v="P703"/>
    <s v="Green Tea (100 bags)"/>
    <x v="0"/>
    <n v="1"/>
    <n v="399"/>
    <n v="0.4"/>
    <n v="399"/>
    <n v="159.60000000000002"/>
    <n v="239.39999999999998"/>
    <n v="128"/>
    <n v="128"/>
    <n v="60"/>
    <n v="51.399999999999977"/>
    <n v="0.21470342522974095"/>
    <x v="3"/>
    <d v="2025-03-12T00:00:00"/>
    <n v="1"/>
    <x v="1"/>
    <m/>
    <n v="0"/>
  </r>
  <r>
    <s v="ORD-102585"/>
    <x v="432"/>
    <x v="1"/>
    <d v="2025-03-01T00:00:00"/>
    <n v="3"/>
    <s v="CUST-00561"/>
    <x v="0"/>
    <x v="21"/>
    <s v="TG"/>
    <x v="3"/>
    <s v="Hyderabad"/>
    <x v="1"/>
    <s v="P302"/>
    <s v="Linen Kurta"/>
    <x v="1"/>
    <n v="1"/>
    <n v="1499"/>
    <n v="0.25"/>
    <n v="1499"/>
    <n v="374.75"/>
    <n v="1124.25"/>
    <n v="630"/>
    <n v="630"/>
    <n v="60"/>
    <n v="434.25"/>
    <n v="0.38625750500333556"/>
    <x v="0"/>
    <d v="2025-03-12T00:00:00"/>
    <n v="1"/>
    <x v="1"/>
    <n v="4"/>
    <n v="0"/>
  </r>
  <r>
    <s v="ORD-102586"/>
    <x v="432"/>
    <x v="1"/>
    <d v="2025-03-01T00:00:00"/>
    <n v="3"/>
    <s v="CUST-00339"/>
    <x v="1"/>
    <x v="11"/>
    <s v="KA"/>
    <x v="3"/>
    <s v="Mysuru"/>
    <x v="3"/>
    <s v="P701"/>
    <s v="Ashwagandha Capsules"/>
    <x v="0"/>
    <n v="1"/>
    <n v="499"/>
    <n v="0.1"/>
    <n v="499"/>
    <n v="49.900000000000006"/>
    <n v="449.1"/>
    <n v="150"/>
    <n v="150"/>
    <n v="60"/>
    <n v="239.10000000000002"/>
    <n v="0.53239812959251842"/>
    <x v="0"/>
    <d v="2025-03-15T00:00:00"/>
    <n v="4"/>
    <x v="0"/>
    <n v="3"/>
    <n v="0"/>
  </r>
  <r>
    <s v="ORD-102587"/>
    <x v="433"/>
    <x v="1"/>
    <d v="2025-03-01T00:00:00"/>
    <n v="3"/>
    <s v="CUST-01454"/>
    <x v="0"/>
    <x v="19"/>
    <s v="PB"/>
    <x v="0"/>
    <s v="Ludhiana"/>
    <x v="4"/>
    <s v="P603"/>
    <s v="Smartwatch Strap"/>
    <x v="2"/>
    <n v="1"/>
    <n v="499"/>
    <n v="0.15"/>
    <n v="499"/>
    <n v="74.849999999999994"/>
    <n v="424.15"/>
    <n v="200"/>
    <n v="200"/>
    <n v="60"/>
    <n v="164.14999999999998"/>
    <n v="0.38700931274313327"/>
    <x v="0"/>
    <d v="2025-03-15T00:00:00"/>
    <n v="3"/>
    <x v="0"/>
    <n v="4"/>
    <n v="0"/>
  </r>
  <r>
    <s v="ORD-102588"/>
    <x v="433"/>
    <x v="1"/>
    <d v="2025-03-01T00:00:00"/>
    <n v="3"/>
    <s v="CUST-01186"/>
    <x v="0"/>
    <x v="6"/>
    <s v="DL"/>
    <x v="0"/>
    <s v="New Delhi"/>
    <x v="4"/>
    <s v="P303"/>
    <s v="Joggers"/>
    <x v="1"/>
    <n v="3"/>
    <n v="1199"/>
    <n v="0.2"/>
    <n v="3597"/>
    <n v="719.40000000000009"/>
    <n v="2877.6"/>
    <n v="492"/>
    <n v="1476"/>
    <n v="60"/>
    <n v="1341.6"/>
    <n v="0.46622185154295243"/>
    <x v="2"/>
    <d v="2025-03-14T00:00:00"/>
    <n v="2"/>
    <x v="1"/>
    <n v="5"/>
    <n v="0"/>
  </r>
  <r>
    <s v="ORD-102589"/>
    <x v="433"/>
    <x v="1"/>
    <d v="2025-03-01T00:00:00"/>
    <n v="3"/>
    <s v="CUST-01678"/>
    <x v="1"/>
    <x v="6"/>
    <s v="DL"/>
    <x v="0"/>
    <s v="New Delhi"/>
    <x v="2"/>
    <s v="P503"/>
    <s v="Scented Candle Set"/>
    <x v="4"/>
    <n v="1"/>
    <n v="699"/>
    <n v="0.15"/>
    <n v="699"/>
    <n v="104.85"/>
    <n v="594.15"/>
    <n v="245"/>
    <n v="245"/>
    <n v="60"/>
    <n v="289.14999999999998"/>
    <n v="0.48666161743667424"/>
    <x v="4"/>
    <d v="2025-03-15T00:00:00"/>
    <n v="3"/>
    <x v="0"/>
    <n v="4"/>
    <n v="0"/>
  </r>
  <r>
    <s v="ORD-102590"/>
    <x v="433"/>
    <x v="1"/>
    <d v="2025-03-01T00:00:00"/>
    <n v="3"/>
    <s v="CUST-02238"/>
    <x v="1"/>
    <x v="12"/>
    <s v="BR"/>
    <x v="2"/>
    <s v="Patna"/>
    <x v="3"/>
    <s v="P101"/>
    <s v="Vitamin C Face Serum"/>
    <x v="3"/>
    <n v="1"/>
    <n v="599"/>
    <n v="0.15"/>
    <n v="599"/>
    <n v="89.85"/>
    <n v="509.15"/>
    <n v="180"/>
    <n v="180"/>
    <n v="60"/>
    <n v="269.14999999999998"/>
    <n v="0.52862614160856325"/>
    <x v="2"/>
    <d v="2025-03-15T00:00:00"/>
    <n v="3"/>
    <x v="0"/>
    <m/>
    <n v="0"/>
  </r>
  <r>
    <s v="ORD-102591"/>
    <x v="433"/>
    <x v="1"/>
    <d v="2025-03-01T00:00:00"/>
    <n v="3"/>
    <s v="CUST-00668"/>
    <x v="1"/>
    <x v="10"/>
    <s v="CG"/>
    <x v="2"/>
    <s v="Raipur"/>
    <x v="0"/>
    <s v="P704"/>
    <s v="Multivitamin Gummies"/>
    <x v="0"/>
    <n v="1"/>
    <n v="699"/>
    <n v="0.15"/>
    <n v="699"/>
    <n v="104.85"/>
    <n v="594.15"/>
    <n v="238"/>
    <n v="238"/>
    <n v="60"/>
    <n v="296.14999999999998"/>
    <n v="0.49844315408566858"/>
    <x v="1"/>
    <d v="2025-03-14T00:00:00"/>
    <n v="2"/>
    <x v="1"/>
    <n v="3"/>
    <n v="0"/>
  </r>
  <r>
    <s v="ORD-102592"/>
    <x v="433"/>
    <x v="1"/>
    <d v="2025-03-01T00:00:00"/>
    <n v="3"/>
    <s v="CUST-00486"/>
    <x v="1"/>
    <x v="2"/>
    <s v="MH"/>
    <x v="1"/>
    <s v="Pune"/>
    <x v="4"/>
    <s v="P304"/>
    <s v="Denim Jacket"/>
    <x v="1"/>
    <n v="1"/>
    <n v="2499"/>
    <n v="0.1"/>
    <n v="2499"/>
    <n v="249.9"/>
    <n v="2249.1"/>
    <n v="1125"/>
    <n v="1125"/>
    <n v="60"/>
    <n v="1064.0999999999999"/>
    <n v="0.4731225823662798"/>
    <x v="4"/>
    <d v="2025-03-16T00:00:00"/>
    <n v="4"/>
    <x v="0"/>
    <n v="5"/>
    <n v="0"/>
  </r>
  <r>
    <s v="ORD-102593"/>
    <x v="433"/>
    <x v="1"/>
    <d v="2025-03-01T00:00:00"/>
    <n v="3"/>
    <s v="CUST-00019"/>
    <x v="0"/>
    <x v="11"/>
    <s v="KA"/>
    <x v="3"/>
    <s v="Mysuru"/>
    <x v="2"/>
    <s v="P401"/>
    <s v="Running Shoes"/>
    <x v="5"/>
    <n v="1"/>
    <n v="2999"/>
    <n v="0.1"/>
    <n v="2999"/>
    <n v="299.90000000000003"/>
    <n v="2699.1"/>
    <n v="1440"/>
    <n v="1440"/>
    <n v="60"/>
    <n v="1199.0999999999999"/>
    <n v="0.4442591975102812"/>
    <x v="2"/>
    <d v="2025-03-16T00:00:00"/>
    <n v="4"/>
    <x v="0"/>
    <n v="4"/>
    <n v="0"/>
  </r>
  <r>
    <s v="ORD-102594"/>
    <x v="433"/>
    <x v="1"/>
    <d v="2025-03-01T00:00:00"/>
    <n v="3"/>
    <s v="CUST-00575"/>
    <x v="1"/>
    <x v="11"/>
    <s v="KA"/>
    <x v="3"/>
    <s v="Mysuru"/>
    <x v="4"/>
    <s v="P302"/>
    <s v="Linen Kurta"/>
    <x v="1"/>
    <n v="2"/>
    <n v="1499"/>
    <n v="0.25"/>
    <n v="2998"/>
    <n v="749.5"/>
    <n v="2248.5"/>
    <n v="630"/>
    <n v="1260"/>
    <n v="60"/>
    <n v="928.5"/>
    <n v="0.41294196130753835"/>
    <x v="0"/>
    <d v="2025-03-15T00:00:00"/>
    <n v="3"/>
    <x v="0"/>
    <n v="5"/>
    <n v="0"/>
  </r>
  <r>
    <s v="ORD-102595"/>
    <x v="433"/>
    <x v="1"/>
    <d v="2025-03-01T00:00:00"/>
    <n v="3"/>
    <s v="CUST-00722"/>
    <x v="1"/>
    <x v="11"/>
    <s v="KA"/>
    <x v="3"/>
    <s v="Bengaluru"/>
    <x v="1"/>
    <s v="P404"/>
    <s v="Flip Flops"/>
    <x v="5"/>
    <n v="1"/>
    <n v="399"/>
    <n v="0.1"/>
    <n v="399"/>
    <n v="39.900000000000006"/>
    <n v="359.1"/>
    <n v="152"/>
    <n v="152"/>
    <n v="60"/>
    <n v="147.10000000000002"/>
    <n v="0.40963519910888335"/>
    <x v="4"/>
    <d v="2025-03-15T00:00:00"/>
    <n v="3"/>
    <x v="0"/>
    <n v="3"/>
    <n v="0"/>
  </r>
  <r>
    <s v="ORD-102596"/>
    <x v="433"/>
    <x v="1"/>
    <d v="2025-03-01T00:00:00"/>
    <n v="3"/>
    <s v="CUST-01126"/>
    <x v="1"/>
    <x v="14"/>
    <s v="KL"/>
    <x v="3"/>
    <s v="Thiruvananthapuram"/>
    <x v="3"/>
    <s v="P103"/>
    <s v="Niacinamide Toner"/>
    <x v="3"/>
    <n v="1"/>
    <n v="399"/>
    <n v="0.25"/>
    <n v="399"/>
    <n v="99.75"/>
    <n v="299.25"/>
    <n v="112"/>
    <n v="112"/>
    <n v="60"/>
    <n v="127.25"/>
    <n v="0.42522974101921468"/>
    <x v="2"/>
    <d v="2025-03-16T00:00:00"/>
    <n v="4"/>
    <x v="0"/>
    <n v="3"/>
    <n v="0"/>
  </r>
  <r>
    <s v="ORD-102597"/>
    <x v="433"/>
    <x v="1"/>
    <d v="2025-03-01T00:00:00"/>
    <n v="3"/>
    <s v="CUST-01099"/>
    <x v="1"/>
    <x v="17"/>
    <s v="TN"/>
    <x v="3"/>
    <s v="Coimbatore"/>
    <x v="4"/>
    <s v="P504"/>
    <s v="Cotton Bedsheet"/>
    <x v="4"/>
    <n v="2"/>
    <n v="1299"/>
    <n v="0.05"/>
    <n v="2598"/>
    <n v="129.9"/>
    <n v="2468.1"/>
    <n v="585"/>
    <n v="1170"/>
    <n v="60"/>
    <n v="1238.0999999999999"/>
    <n v="0.50164093837364776"/>
    <x v="0"/>
    <d v="2025-03-14T00:00:00"/>
    <n v="2"/>
    <x v="1"/>
    <n v="5"/>
    <n v="0"/>
  </r>
  <r>
    <s v="ORD-102598"/>
    <x v="434"/>
    <x v="1"/>
    <d v="2025-03-01T00:00:00"/>
    <n v="3"/>
    <s v="CUST-00028"/>
    <x v="1"/>
    <x v="6"/>
    <s v="DL"/>
    <x v="0"/>
    <s v="New Delhi"/>
    <x v="3"/>
    <s v="P101"/>
    <s v="Vitamin C Face Serum"/>
    <x v="3"/>
    <n v="2"/>
    <n v="599"/>
    <n v="0.1"/>
    <n v="1198"/>
    <n v="119.80000000000001"/>
    <n v="1078.2"/>
    <n v="180"/>
    <n v="360"/>
    <n v="60"/>
    <n v="658.2"/>
    <n v="0.6104618809126322"/>
    <x v="0"/>
    <d v="2025-03-15T00:00:00"/>
    <n v="2"/>
    <x v="1"/>
    <n v="4"/>
    <n v="0"/>
  </r>
  <r>
    <s v="ORD-102599"/>
    <x v="434"/>
    <x v="1"/>
    <d v="2025-03-01T00:00:00"/>
    <n v="3"/>
    <s v="CUST-00893"/>
    <x v="1"/>
    <x v="18"/>
    <s v="WB"/>
    <x v="2"/>
    <s v="Kolkata"/>
    <x v="0"/>
    <s v="P203"/>
    <s v="Keratin Hair Mask"/>
    <x v="6"/>
    <n v="2"/>
    <n v="549"/>
    <n v="0.25"/>
    <n v="1098"/>
    <n v="274.5"/>
    <n v="823.5"/>
    <n v="170"/>
    <n v="340"/>
    <n v="60"/>
    <n v="423.5"/>
    <n v="0.51426836672738307"/>
    <x v="0"/>
    <d v="2025-03-16T00:00:00"/>
    <n v="3"/>
    <x v="0"/>
    <m/>
    <n v="0"/>
  </r>
  <r>
    <s v="ORD-102600"/>
    <x v="434"/>
    <x v="1"/>
    <d v="2025-03-01T00:00:00"/>
    <n v="3"/>
    <s v="CUST-02445"/>
    <x v="0"/>
    <x v="18"/>
    <s v="WB"/>
    <x v="2"/>
    <s v="Kolkata"/>
    <x v="3"/>
    <s v="P703"/>
    <s v="Green Tea (100 bags)"/>
    <x v="0"/>
    <n v="3"/>
    <n v="399"/>
    <n v="0.35"/>
    <n v="1197"/>
    <n v="418.95"/>
    <n v="778.05"/>
    <n v="128"/>
    <n v="384"/>
    <n v="60"/>
    <n v="334.04999999999995"/>
    <n v="0.42934258723732405"/>
    <x v="0"/>
    <d v="2025-03-16T00:00:00"/>
    <n v="3"/>
    <x v="0"/>
    <n v="5"/>
    <n v="0"/>
  </r>
  <r>
    <s v="ORD-102601"/>
    <x v="434"/>
    <x v="1"/>
    <d v="2025-03-01T00:00:00"/>
    <n v="3"/>
    <s v="CUST-00011"/>
    <x v="1"/>
    <x v="11"/>
    <s v="KA"/>
    <x v="3"/>
    <s v="Bengaluru"/>
    <x v="0"/>
    <s v="P303"/>
    <s v="Joggers"/>
    <x v="1"/>
    <n v="1"/>
    <n v="1199"/>
    <n v="0.05"/>
    <n v="1199"/>
    <n v="59.95"/>
    <n v="1139.05"/>
    <n v="492"/>
    <n v="492"/>
    <n v="60"/>
    <n v="587.04999999999995"/>
    <n v="0.51538562837452262"/>
    <x v="3"/>
    <d v="2025-03-16T00:00:00"/>
    <n v="3"/>
    <x v="0"/>
    <n v="4"/>
    <n v="0"/>
  </r>
  <r>
    <s v="ORD-102602"/>
    <x v="434"/>
    <x v="1"/>
    <d v="2025-03-01T00:00:00"/>
    <n v="3"/>
    <s v="CUST-00902"/>
    <x v="1"/>
    <x v="17"/>
    <s v="TN"/>
    <x v="3"/>
    <s v="Chennai"/>
    <x v="4"/>
    <s v="P303"/>
    <s v="Joggers"/>
    <x v="1"/>
    <n v="1"/>
    <n v="1199"/>
    <n v="0.15"/>
    <n v="1199"/>
    <n v="179.85"/>
    <n v="1019.15"/>
    <n v="492"/>
    <n v="492"/>
    <n v="60"/>
    <n v="467.15"/>
    <n v="0.45837217288917231"/>
    <x v="3"/>
    <d v="2025-03-15T00:00:00"/>
    <n v="2"/>
    <x v="1"/>
    <n v="5"/>
    <n v="0"/>
  </r>
  <r>
    <s v="ORD-102603"/>
    <x v="434"/>
    <x v="1"/>
    <d v="2025-03-01T00:00:00"/>
    <n v="3"/>
    <s v="CUST-00165"/>
    <x v="1"/>
    <x v="17"/>
    <s v="TN"/>
    <x v="3"/>
    <s v="Coimbatore"/>
    <x v="2"/>
    <s v="P702"/>
    <s v="Whey Protein 1kg"/>
    <x v="0"/>
    <n v="1"/>
    <n v="2299"/>
    <n v="0.3"/>
    <n v="2299"/>
    <n v="689.69999999999993"/>
    <n v="1609.3000000000002"/>
    <n v="1333"/>
    <n v="1333"/>
    <n v="60"/>
    <n v="216.30000000000018"/>
    <n v="0.13440626359286656"/>
    <x v="0"/>
    <d v="2025-03-15T00:00:00"/>
    <n v="2"/>
    <x v="1"/>
    <m/>
    <n v="0"/>
  </r>
  <r>
    <s v="ORD-102604"/>
    <x v="435"/>
    <x v="1"/>
    <d v="2025-03-01T00:00:00"/>
    <n v="3"/>
    <s v="CUST-00385"/>
    <x v="1"/>
    <x v="19"/>
    <s v="PB"/>
    <x v="0"/>
    <s v="Amritsar"/>
    <x v="3"/>
    <s v="P204"/>
    <s v="Anti-Dandruff Conditioner"/>
    <x v="6"/>
    <n v="1"/>
    <n v="399"/>
    <n v="0.35"/>
    <n v="399"/>
    <n v="139.64999999999998"/>
    <n v="259.35000000000002"/>
    <n v="136"/>
    <n v="136"/>
    <n v="120"/>
    <n v="3.3500000000000227"/>
    <n v="1.2916907653749846E-2"/>
    <x v="0"/>
    <d v="2025-03-19T00:00:00"/>
    <n v="5"/>
    <x v="2"/>
    <m/>
    <n v="1"/>
  </r>
  <r>
    <s v="ORD-102605"/>
    <x v="435"/>
    <x v="1"/>
    <d v="2025-03-01T00:00:00"/>
    <n v="3"/>
    <s v="CUST-00545"/>
    <x v="1"/>
    <x v="6"/>
    <s v="DL"/>
    <x v="0"/>
    <s v="New Delhi"/>
    <x v="1"/>
    <s v="P403"/>
    <s v="Kolhapuri Sandals"/>
    <x v="5"/>
    <n v="1"/>
    <n v="999"/>
    <n v="0.15"/>
    <n v="999"/>
    <n v="149.85"/>
    <n v="849.15"/>
    <n v="400"/>
    <n v="400"/>
    <n v="120"/>
    <n v="329.15"/>
    <n v="0.38762291703468171"/>
    <x v="3"/>
    <d v="2025-03-16T00:00:00"/>
    <n v="2"/>
    <x v="1"/>
    <m/>
    <n v="1"/>
  </r>
  <r>
    <s v="ORD-102606"/>
    <x v="435"/>
    <x v="1"/>
    <d v="2025-03-01T00:00:00"/>
    <n v="3"/>
    <s v="CUST-02628"/>
    <x v="0"/>
    <x v="6"/>
    <s v="DL"/>
    <x v="0"/>
    <s v="New Delhi"/>
    <x v="4"/>
    <s v="P104"/>
    <s v="Hydrating Face Wash"/>
    <x v="3"/>
    <n v="1"/>
    <n v="299"/>
    <n v="0"/>
    <n v="299"/>
    <n v="0"/>
    <n v="299"/>
    <n v="90"/>
    <n v="90"/>
    <n v="60"/>
    <n v="149"/>
    <n v="0.49832775919732442"/>
    <x v="0"/>
    <d v="2025-03-16T00:00:00"/>
    <n v="2"/>
    <x v="1"/>
    <m/>
    <n v="0"/>
  </r>
  <r>
    <s v="ORD-102607"/>
    <x v="435"/>
    <x v="1"/>
    <d v="2025-03-01T00:00:00"/>
    <n v="3"/>
    <s v="CUST-00586"/>
    <x v="0"/>
    <x v="2"/>
    <s v="MH"/>
    <x v="1"/>
    <s v="Mumbai"/>
    <x v="3"/>
    <s v="P203"/>
    <s v="Keratin Hair Mask"/>
    <x v="6"/>
    <n v="1"/>
    <n v="549"/>
    <n v="0.1"/>
    <n v="549"/>
    <n v="54.900000000000006"/>
    <n v="494.1"/>
    <n v="170"/>
    <n v="170"/>
    <n v="60"/>
    <n v="264.10000000000002"/>
    <n v="0.53450718478040882"/>
    <x v="0"/>
    <d v="2025-03-15T00:00:00"/>
    <n v="1"/>
    <x v="1"/>
    <n v="4"/>
    <n v="0"/>
  </r>
  <r>
    <s v="ORD-102608"/>
    <x v="435"/>
    <x v="1"/>
    <d v="2025-03-01T00:00:00"/>
    <n v="3"/>
    <s v="CUST-01859"/>
    <x v="0"/>
    <x v="2"/>
    <s v="MH"/>
    <x v="1"/>
    <s v="Nagpur"/>
    <x v="0"/>
    <s v="P701"/>
    <s v="Ashwagandha Capsules"/>
    <x v="0"/>
    <n v="1"/>
    <n v="499"/>
    <n v="0.1"/>
    <n v="499"/>
    <n v="49.900000000000006"/>
    <n v="449.1"/>
    <n v="150"/>
    <n v="150"/>
    <n v="60"/>
    <n v="239.10000000000002"/>
    <n v="0.53239812959251842"/>
    <x v="3"/>
    <d v="2025-03-15T00:00:00"/>
    <n v="1"/>
    <x v="1"/>
    <m/>
    <n v="0"/>
  </r>
  <r>
    <s v="ORD-102609"/>
    <x v="435"/>
    <x v="1"/>
    <d v="2025-03-01T00:00:00"/>
    <n v="3"/>
    <s v="CUST-00292"/>
    <x v="1"/>
    <x v="11"/>
    <s v="KA"/>
    <x v="3"/>
    <s v="Mysuru"/>
    <x v="3"/>
    <s v="P703"/>
    <s v="Green Tea (100 bags)"/>
    <x v="0"/>
    <n v="1"/>
    <n v="399"/>
    <n v="0.35"/>
    <n v="399"/>
    <n v="139.64999999999998"/>
    <n v="259.35000000000002"/>
    <n v="128"/>
    <n v="128"/>
    <n v="60"/>
    <n v="71.350000000000023"/>
    <n v="0.27511085405822255"/>
    <x v="1"/>
    <d v="2025-03-16T00:00:00"/>
    <n v="2"/>
    <x v="1"/>
    <n v="4"/>
    <n v="0"/>
  </r>
  <r>
    <s v="ORD-102610"/>
    <x v="435"/>
    <x v="1"/>
    <d v="2025-03-01T00:00:00"/>
    <n v="3"/>
    <s v="CUST-00462"/>
    <x v="1"/>
    <x v="11"/>
    <s v="KA"/>
    <x v="3"/>
    <s v="Mysuru"/>
    <x v="0"/>
    <s v="P202"/>
    <s v="Argan Shampoo"/>
    <x v="6"/>
    <n v="1"/>
    <n v="449"/>
    <n v="0.05"/>
    <n v="449"/>
    <n v="22.450000000000003"/>
    <n v="426.55"/>
    <n v="148"/>
    <n v="148"/>
    <n v="60"/>
    <n v="218.55"/>
    <n v="0.51236666275934828"/>
    <x v="4"/>
    <d v="2025-03-16T00:00:00"/>
    <n v="2"/>
    <x v="1"/>
    <n v="4"/>
    <n v="0"/>
  </r>
  <r>
    <s v="ORD-102611"/>
    <x v="435"/>
    <x v="1"/>
    <d v="2025-03-01T00:00:00"/>
    <n v="3"/>
    <s v="CUST-01894"/>
    <x v="0"/>
    <x v="11"/>
    <s v="KA"/>
    <x v="3"/>
    <s v="Bengaluru"/>
    <x v="2"/>
    <s v="P102"/>
    <s v="Sunscreen SPF 50"/>
    <x v="3"/>
    <n v="1"/>
    <n v="449"/>
    <n v="0"/>
    <n v="449"/>
    <n v="0"/>
    <n v="449"/>
    <n v="144"/>
    <n v="144"/>
    <n v="60"/>
    <n v="245"/>
    <n v="0.54565701559020041"/>
    <x v="0"/>
    <d v="2025-03-19T00:00:00"/>
    <n v="5"/>
    <x v="2"/>
    <n v="3"/>
    <n v="0"/>
  </r>
  <r>
    <s v="ORD-102612"/>
    <x v="436"/>
    <x v="1"/>
    <d v="2025-03-01T00:00:00"/>
    <n v="3"/>
    <s v="CUST-00485"/>
    <x v="0"/>
    <x v="12"/>
    <s v="BR"/>
    <x v="2"/>
    <s v="Patna"/>
    <x v="4"/>
    <s v="P201"/>
    <s v="Onion Hair Oil"/>
    <x v="6"/>
    <n v="1"/>
    <n v="349"/>
    <n v="0.25"/>
    <n v="349"/>
    <n v="87.25"/>
    <n v="261.75"/>
    <n v="105"/>
    <n v="105"/>
    <n v="60"/>
    <n v="96.75"/>
    <n v="0.36962750716332377"/>
    <x v="2"/>
    <d v="2025-03-19T00:00:00"/>
    <n v="4"/>
    <x v="0"/>
    <n v="4"/>
    <n v="0"/>
  </r>
  <r>
    <s v="ORD-102613"/>
    <x v="436"/>
    <x v="1"/>
    <d v="2025-03-01T00:00:00"/>
    <n v="3"/>
    <s v="CUST-00393"/>
    <x v="1"/>
    <x v="1"/>
    <s v="GJ"/>
    <x v="1"/>
    <s v="Surat"/>
    <x v="4"/>
    <s v="P404"/>
    <s v="Flip Flops"/>
    <x v="5"/>
    <n v="1"/>
    <n v="399"/>
    <n v="0.1"/>
    <n v="399"/>
    <n v="39.900000000000006"/>
    <n v="359.1"/>
    <n v="152"/>
    <n v="152"/>
    <n v="60"/>
    <n v="147.10000000000002"/>
    <n v="0.40963519910888335"/>
    <x v="0"/>
    <d v="2025-03-17T00:00:00"/>
    <n v="2"/>
    <x v="1"/>
    <n v="4"/>
    <n v="0"/>
  </r>
  <r>
    <s v="ORD-102614"/>
    <x v="436"/>
    <x v="1"/>
    <d v="2025-03-01T00:00:00"/>
    <n v="3"/>
    <s v="CUST-01260"/>
    <x v="1"/>
    <x v="17"/>
    <s v="TN"/>
    <x v="3"/>
    <s v="Coimbatore"/>
    <x v="0"/>
    <s v="P503"/>
    <s v="Scented Candle Set"/>
    <x v="4"/>
    <n v="1"/>
    <n v="699"/>
    <n v="0.2"/>
    <n v="699"/>
    <n v="139.80000000000001"/>
    <n v="559.20000000000005"/>
    <n v="245"/>
    <n v="245"/>
    <n v="60"/>
    <n v="254.20000000000005"/>
    <n v="0.45457796852646642"/>
    <x v="4"/>
    <d v="2025-03-16T00:00:00"/>
    <n v="1"/>
    <x v="1"/>
    <m/>
    <n v="0"/>
  </r>
  <r>
    <s v="ORD-102615"/>
    <x v="437"/>
    <x v="1"/>
    <d v="2025-03-01T00:00:00"/>
    <n v="3"/>
    <s v="CUST-01157"/>
    <x v="0"/>
    <x v="19"/>
    <s v="PB"/>
    <x v="0"/>
    <s v="Amritsar"/>
    <x v="4"/>
    <s v="P501"/>
    <s v="Copper Water Bottle"/>
    <x v="4"/>
    <n v="1"/>
    <n v="899"/>
    <n v="0"/>
    <n v="899"/>
    <n v="0"/>
    <n v="899"/>
    <n v="378"/>
    <n v="378"/>
    <n v="60"/>
    <n v="461"/>
    <n v="0.51279199110122353"/>
    <x v="0"/>
    <d v="2025-03-19T00:00:00"/>
    <n v="3"/>
    <x v="0"/>
    <m/>
    <n v="0"/>
  </r>
  <r>
    <s v="ORD-102616"/>
    <x v="437"/>
    <x v="1"/>
    <d v="2025-03-01T00:00:00"/>
    <n v="3"/>
    <s v="CUST-02153"/>
    <x v="0"/>
    <x v="19"/>
    <s v="PB"/>
    <x v="0"/>
    <s v="Ludhiana"/>
    <x v="1"/>
    <s v="P302"/>
    <s v="Linen Kurta"/>
    <x v="1"/>
    <n v="2"/>
    <n v="1499"/>
    <n v="0.3"/>
    <n v="2998"/>
    <n v="899.4"/>
    <n v="2098.6"/>
    <n v="630"/>
    <n v="1260"/>
    <n v="60"/>
    <n v="778.59999999999991"/>
    <n v="0.3710092442580768"/>
    <x v="0"/>
    <d v="2025-03-19T00:00:00"/>
    <n v="3"/>
    <x v="0"/>
    <n v="5"/>
    <n v="0"/>
  </r>
  <r>
    <s v="ORD-102617"/>
    <x v="437"/>
    <x v="1"/>
    <d v="2025-03-01T00:00:00"/>
    <n v="3"/>
    <s v="CUST-00993"/>
    <x v="1"/>
    <x v="6"/>
    <s v="DL"/>
    <x v="0"/>
    <s v="New Delhi"/>
    <x v="0"/>
    <s v="P101"/>
    <s v="Vitamin C Face Serum"/>
    <x v="3"/>
    <n v="1"/>
    <n v="599"/>
    <n v="0.15"/>
    <n v="599"/>
    <n v="89.85"/>
    <n v="509.15"/>
    <n v="180"/>
    <n v="180"/>
    <n v="60"/>
    <n v="269.14999999999998"/>
    <n v="0.52862614160856325"/>
    <x v="0"/>
    <d v="2025-03-17T00:00:00"/>
    <n v="1"/>
    <x v="1"/>
    <n v="4"/>
    <n v="0"/>
  </r>
  <r>
    <s v="ORD-102618"/>
    <x v="437"/>
    <x v="1"/>
    <d v="2025-03-01T00:00:00"/>
    <n v="3"/>
    <s v="CUST-00639"/>
    <x v="1"/>
    <x v="12"/>
    <s v="BR"/>
    <x v="2"/>
    <s v="Patna"/>
    <x v="0"/>
    <s v="P203"/>
    <s v="Keratin Hair Mask"/>
    <x v="6"/>
    <n v="1"/>
    <n v="549"/>
    <n v="0.25"/>
    <n v="549"/>
    <n v="137.25"/>
    <n v="411.75"/>
    <n v="170"/>
    <n v="170"/>
    <n v="60"/>
    <n v="181.75"/>
    <n v="0.44140862173649059"/>
    <x v="1"/>
    <d v="2025-03-19T00:00:00"/>
    <n v="3"/>
    <x v="0"/>
    <n v="5"/>
    <n v="0"/>
  </r>
  <r>
    <s v="ORD-102619"/>
    <x v="437"/>
    <x v="1"/>
    <d v="2025-03-01T00:00:00"/>
    <n v="3"/>
    <s v="CUST-00998"/>
    <x v="1"/>
    <x v="1"/>
    <s v="GJ"/>
    <x v="1"/>
    <s v="Surat"/>
    <x v="0"/>
    <s v="P102"/>
    <s v="Sunscreen SPF 50"/>
    <x v="3"/>
    <n v="1"/>
    <n v="449"/>
    <n v="0.05"/>
    <n v="449"/>
    <n v="22.450000000000003"/>
    <n v="426.55"/>
    <n v="144"/>
    <n v="144"/>
    <n v="120"/>
    <n v="162.55000000000001"/>
    <n v="0.38108076427148052"/>
    <x v="0"/>
    <d v="2025-03-18T00:00:00"/>
    <n v="2"/>
    <x v="1"/>
    <n v="4"/>
    <n v="1"/>
  </r>
  <r>
    <s v="ORD-102620"/>
    <x v="437"/>
    <x v="1"/>
    <d v="2025-03-01T00:00:00"/>
    <n v="3"/>
    <s v="CUST-02201"/>
    <x v="0"/>
    <x v="1"/>
    <s v="GJ"/>
    <x v="1"/>
    <s v="Surat"/>
    <x v="0"/>
    <s v="P701"/>
    <s v="Ashwagandha Capsules"/>
    <x v="0"/>
    <n v="1"/>
    <n v="499"/>
    <n v="0"/>
    <n v="499"/>
    <n v="0"/>
    <n v="499"/>
    <n v="150"/>
    <n v="150"/>
    <n v="60"/>
    <n v="289"/>
    <n v="0.57915831663326656"/>
    <x v="2"/>
    <d v="2025-03-18T00:00:00"/>
    <n v="2"/>
    <x v="1"/>
    <n v="4"/>
    <n v="0"/>
  </r>
  <r>
    <s v="ORD-102621"/>
    <x v="437"/>
    <x v="1"/>
    <d v="2025-03-01T00:00:00"/>
    <n v="3"/>
    <s v="CUST-01070"/>
    <x v="1"/>
    <x v="1"/>
    <s v="GJ"/>
    <x v="1"/>
    <s v="Surat"/>
    <x v="2"/>
    <s v="P204"/>
    <s v="Anti-Dandruff Conditioner"/>
    <x v="6"/>
    <n v="1"/>
    <n v="399"/>
    <n v="0.25"/>
    <n v="399"/>
    <n v="99.75"/>
    <n v="299.25"/>
    <n v="136"/>
    <n v="136"/>
    <n v="60"/>
    <n v="103.25"/>
    <n v="0.34502923976608185"/>
    <x v="0"/>
    <d v="2025-03-22T00:00:00"/>
    <n v="6"/>
    <x v="2"/>
    <n v="5"/>
    <n v="0"/>
  </r>
  <r>
    <s v="ORD-102622"/>
    <x v="437"/>
    <x v="1"/>
    <d v="2025-03-01T00:00:00"/>
    <n v="3"/>
    <s v="CUST-00832"/>
    <x v="1"/>
    <x v="2"/>
    <s v="MH"/>
    <x v="1"/>
    <s v="Pune"/>
    <x v="4"/>
    <s v="P404"/>
    <s v="Flip Flops"/>
    <x v="5"/>
    <n v="2"/>
    <n v="399"/>
    <n v="0.05"/>
    <n v="798"/>
    <n v="39.900000000000006"/>
    <n v="758.1"/>
    <n v="152"/>
    <n v="304"/>
    <n v="120"/>
    <n v="334.1"/>
    <n v="0.44070703073473161"/>
    <x v="4"/>
    <d v="2025-03-17T00:00:00"/>
    <n v="1"/>
    <x v="1"/>
    <m/>
    <n v="1"/>
  </r>
  <r>
    <s v="ORD-102623"/>
    <x v="437"/>
    <x v="1"/>
    <d v="2025-03-01T00:00:00"/>
    <n v="3"/>
    <s v="CUST-01215"/>
    <x v="0"/>
    <x v="21"/>
    <s v="TG"/>
    <x v="3"/>
    <s v="Hyderabad"/>
    <x v="4"/>
    <s v="P102"/>
    <s v="Sunscreen SPF 50"/>
    <x v="3"/>
    <n v="2"/>
    <n v="449"/>
    <n v="0.15"/>
    <n v="898"/>
    <n v="134.69999999999999"/>
    <n v="763.3"/>
    <n v="144"/>
    <n v="288"/>
    <n v="120"/>
    <n v="355.29999999999995"/>
    <n v="0.465478841870824"/>
    <x v="3"/>
    <d v="2025-03-18T00:00:00"/>
    <n v="2"/>
    <x v="1"/>
    <n v="5"/>
    <n v="1"/>
  </r>
  <r>
    <s v="ORD-102624"/>
    <x v="437"/>
    <x v="1"/>
    <d v="2025-03-01T00:00:00"/>
    <n v="3"/>
    <s v="CUST-01164"/>
    <x v="1"/>
    <x v="21"/>
    <s v="TG"/>
    <x v="3"/>
    <s v="Hyderabad"/>
    <x v="4"/>
    <s v="P202"/>
    <s v="Argan Shampoo"/>
    <x v="6"/>
    <n v="1"/>
    <n v="449"/>
    <n v="0.1"/>
    <n v="449"/>
    <n v="44.900000000000006"/>
    <n v="404.1"/>
    <n v="148"/>
    <n v="148"/>
    <n v="60"/>
    <n v="196.10000000000002"/>
    <n v="0.48527592180153428"/>
    <x v="0"/>
    <d v="2025-03-19T00:00:00"/>
    <n v="3"/>
    <x v="0"/>
    <n v="4"/>
    <n v="0"/>
  </r>
  <r>
    <s v="ORD-102625"/>
    <x v="437"/>
    <x v="1"/>
    <d v="2025-03-01T00:00:00"/>
    <n v="3"/>
    <s v="CUST-01191"/>
    <x v="0"/>
    <x v="21"/>
    <s v="TG"/>
    <x v="3"/>
    <s v="Hyderabad"/>
    <x v="4"/>
    <s v="P104"/>
    <s v="Hydrating Face Wash"/>
    <x v="3"/>
    <n v="1"/>
    <n v="299"/>
    <n v="0"/>
    <n v="299"/>
    <n v="0"/>
    <n v="299"/>
    <n v="90"/>
    <n v="90"/>
    <n v="60"/>
    <n v="149"/>
    <n v="0.49832775919732442"/>
    <x v="1"/>
    <d v="2025-03-19T00:00:00"/>
    <n v="3"/>
    <x v="0"/>
    <m/>
    <n v="0"/>
  </r>
  <r>
    <s v="ORD-102626"/>
    <x v="437"/>
    <x v="1"/>
    <d v="2025-03-01T00:00:00"/>
    <n v="3"/>
    <s v="CUST-00849"/>
    <x v="1"/>
    <x v="3"/>
    <s v="OD"/>
    <x v="2"/>
    <s v="Bhubaneswar"/>
    <x v="0"/>
    <s v="P704"/>
    <s v="Multivitamin Gummies"/>
    <x v="0"/>
    <n v="3"/>
    <n v="699"/>
    <n v="0.3"/>
    <n v="2097"/>
    <n v="629.1"/>
    <n v="1467.9"/>
    <n v="238"/>
    <n v="714"/>
    <n v="60"/>
    <n v="693.90000000000009"/>
    <n v="0.47271612507664013"/>
    <x v="0"/>
    <d v="2025-03-22T00:00:00"/>
    <n v="6"/>
    <x v="2"/>
    <n v="3"/>
    <n v="0"/>
  </r>
  <r>
    <s v="ORD-102627"/>
    <x v="437"/>
    <x v="1"/>
    <d v="2025-03-01T00:00:00"/>
    <n v="3"/>
    <s v="CUST-01228"/>
    <x v="0"/>
    <x v="20"/>
    <s v="GA"/>
    <x v="1"/>
    <s v="Panaji"/>
    <x v="0"/>
    <s v="P602"/>
    <s v="Fast Charger 33W"/>
    <x v="2"/>
    <n v="1"/>
    <n v="899"/>
    <n v="0.05"/>
    <n v="899"/>
    <n v="44.95"/>
    <n v="854.05"/>
    <n v="494"/>
    <n v="494"/>
    <n v="60"/>
    <n v="300.04999999999995"/>
    <n v="0.35132603477548152"/>
    <x v="4"/>
    <d v="2025-03-17T00:00:00"/>
    <n v="1"/>
    <x v="1"/>
    <n v="3"/>
    <n v="0"/>
  </r>
  <r>
    <s v="ORD-102628"/>
    <x v="438"/>
    <x v="1"/>
    <d v="2025-03-01T00:00:00"/>
    <n v="3"/>
    <s v="CUST-01261"/>
    <x v="0"/>
    <x v="4"/>
    <s v="JK"/>
    <x v="0"/>
    <s v="Srinagar"/>
    <x v="0"/>
    <s v="P703"/>
    <s v="Green Tea (100 bags)"/>
    <x v="0"/>
    <n v="2"/>
    <n v="399"/>
    <n v="0.3"/>
    <n v="798"/>
    <n v="239.39999999999998"/>
    <n v="558.6"/>
    <n v="128"/>
    <n v="256"/>
    <n v="60"/>
    <n v="242.60000000000002"/>
    <n v="0.43430003580379523"/>
    <x v="3"/>
    <d v="2025-03-23T00:00:00"/>
    <n v="6"/>
    <x v="2"/>
    <m/>
    <n v="0"/>
  </r>
  <r>
    <s v="ORD-102629"/>
    <x v="438"/>
    <x v="1"/>
    <d v="2025-03-01T00:00:00"/>
    <n v="3"/>
    <s v="CUST-00015"/>
    <x v="1"/>
    <x v="16"/>
    <s v="UP"/>
    <x v="0"/>
    <s v="Noida"/>
    <x v="1"/>
    <s v="P305"/>
    <s v="Printed Saree"/>
    <x v="1"/>
    <n v="2"/>
    <n v="1999"/>
    <n v="0.1"/>
    <n v="3998"/>
    <n v="399.8"/>
    <n v="3598.2"/>
    <n v="880"/>
    <n v="1760"/>
    <n v="120"/>
    <n v="1718.1999999999998"/>
    <n v="0.47751653604580063"/>
    <x v="0"/>
    <d v="2025-03-19T00:00:00"/>
    <n v="2"/>
    <x v="1"/>
    <m/>
    <n v="1"/>
  </r>
  <r>
    <s v="ORD-102630"/>
    <x v="438"/>
    <x v="1"/>
    <d v="2025-03-01T00:00:00"/>
    <n v="3"/>
    <s v="CUST-00252"/>
    <x v="0"/>
    <x v="18"/>
    <s v="WB"/>
    <x v="2"/>
    <s v="Kolkata"/>
    <x v="0"/>
    <s v="P103"/>
    <s v="Niacinamide Toner"/>
    <x v="3"/>
    <n v="1"/>
    <n v="399"/>
    <n v="0.2"/>
    <n v="399"/>
    <n v="79.800000000000011"/>
    <n v="319.2"/>
    <n v="112"/>
    <n v="112"/>
    <n v="60"/>
    <n v="147.19999999999999"/>
    <n v="0.46115288220551376"/>
    <x v="0"/>
    <d v="2025-03-20T00:00:00"/>
    <n v="3"/>
    <x v="0"/>
    <m/>
    <n v="0"/>
  </r>
  <r>
    <s v="ORD-102631"/>
    <x v="438"/>
    <x v="1"/>
    <d v="2025-03-01T00:00:00"/>
    <n v="3"/>
    <s v="CUST-00466"/>
    <x v="0"/>
    <x v="2"/>
    <s v="MH"/>
    <x v="1"/>
    <s v="Pune"/>
    <x v="0"/>
    <s v="P504"/>
    <s v="Cotton Bedsheet"/>
    <x v="4"/>
    <n v="3"/>
    <n v="1299"/>
    <n v="0"/>
    <n v="3897"/>
    <n v="0"/>
    <n v="3897"/>
    <n v="585"/>
    <n v="1755"/>
    <n v="60"/>
    <n v="2082"/>
    <n v="0.53425712086220167"/>
    <x v="0"/>
    <d v="2025-03-19T00:00:00"/>
    <n v="2"/>
    <x v="1"/>
    <n v="4"/>
    <n v="0"/>
  </r>
  <r>
    <s v="ORD-102632"/>
    <x v="438"/>
    <x v="1"/>
    <d v="2025-03-01T00:00:00"/>
    <n v="3"/>
    <s v="CUST-00394"/>
    <x v="1"/>
    <x v="21"/>
    <s v="TG"/>
    <x v="3"/>
    <s v="Hyderabad"/>
    <x v="0"/>
    <s v="P304"/>
    <s v="Denim Jacket"/>
    <x v="1"/>
    <n v="1"/>
    <n v="2499"/>
    <n v="0"/>
    <n v="2499"/>
    <n v="0"/>
    <n v="2499"/>
    <n v="1125"/>
    <n v="1125"/>
    <n v="60"/>
    <n v="1314"/>
    <n v="0.5258103241296519"/>
    <x v="0"/>
    <d v="2025-03-20T00:00:00"/>
    <n v="3"/>
    <x v="0"/>
    <n v="3"/>
    <n v="0"/>
  </r>
  <r>
    <s v="ORD-102633"/>
    <x v="438"/>
    <x v="1"/>
    <d v="2025-03-01T00:00:00"/>
    <n v="3"/>
    <s v="CUST-01126"/>
    <x v="1"/>
    <x v="3"/>
    <s v="OD"/>
    <x v="2"/>
    <s v="Bhubaneswar"/>
    <x v="3"/>
    <s v="P102"/>
    <s v="Sunscreen SPF 50"/>
    <x v="3"/>
    <n v="4"/>
    <n v="449"/>
    <n v="0.15"/>
    <n v="1796"/>
    <n v="269.39999999999998"/>
    <n v="1526.6"/>
    <n v="144"/>
    <n v="576"/>
    <n v="60"/>
    <n v="890.59999999999991"/>
    <n v="0.58338792086990698"/>
    <x v="3"/>
    <d v="2025-03-24T00:00:00"/>
    <n v="7"/>
    <x v="2"/>
    <n v="3"/>
    <n v="0"/>
  </r>
  <r>
    <s v="ORD-102634"/>
    <x v="438"/>
    <x v="1"/>
    <d v="2025-03-01T00:00:00"/>
    <n v="3"/>
    <s v="CUST-00692"/>
    <x v="1"/>
    <x v="17"/>
    <s v="TN"/>
    <x v="3"/>
    <s v="Chennai"/>
    <x v="2"/>
    <s v="P704"/>
    <s v="Multivitamin Gummies"/>
    <x v="0"/>
    <n v="2"/>
    <n v="699"/>
    <n v="0.2"/>
    <n v="1398"/>
    <n v="279.60000000000002"/>
    <n v="1118.4000000000001"/>
    <n v="238"/>
    <n v="476"/>
    <n v="60"/>
    <n v="582.40000000000009"/>
    <n v="0.5207439198855508"/>
    <x v="0"/>
    <d v="2025-03-21T00:00:00"/>
    <n v="4"/>
    <x v="0"/>
    <m/>
    <n v="0"/>
  </r>
  <r>
    <s v="ORD-102635"/>
    <x v="438"/>
    <x v="1"/>
    <d v="2025-03-01T00:00:00"/>
    <n v="3"/>
    <s v="CUST-01266"/>
    <x v="0"/>
    <x v="17"/>
    <s v="TN"/>
    <x v="3"/>
    <s v="Coimbatore"/>
    <x v="4"/>
    <s v="P504"/>
    <s v="Cotton Bedsheet"/>
    <x v="4"/>
    <n v="1"/>
    <n v="1299"/>
    <n v="0"/>
    <n v="1299"/>
    <n v="0"/>
    <n v="1299"/>
    <n v="585"/>
    <n v="585"/>
    <n v="60"/>
    <n v="654"/>
    <n v="0.50346420323325636"/>
    <x v="1"/>
    <d v="2025-03-19T00:00:00"/>
    <n v="2"/>
    <x v="1"/>
    <n v="4"/>
    <n v="0"/>
  </r>
  <r>
    <s v="ORD-102636"/>
    <x v="439"/>
    <x v="1"/>
    <d v="2025-03-01T00:00:00"/>
    <n v="3"/>
    <s v="CUST-01536"/>
    <x v="0"/>
    <x v="19"/>
    <s v="PB"/>
    <x v="0"/>
    <s v="Amritsar"/>
    <x v="4"/>
    <s v="P504"/>
    <s v="Cotton Bedsheet"/>
    <x v="4"/>
    <n v="2"/>
    <n v="1299"/>
    <n v="0"/>
    <n v="2598"/>
    <n v="0"/>
    <n v="2598"/>
    <n v="585"/>
    <n v="1170"/>
    <n v="60"/>
    <n v="1368"/>
    <n v="0.52655889145496537"/>
    <x v="3"/>
    <d v="2025-03-22T00:00:00"/>
    <n v="4"/>
    <x v="0"/>
    <n v="3"/>
    <n v="0"/>
  </r>
  <r>
    <s v="ORD-102637"/>
    <x v="439"/>
    <x v="1"/>
    <d v="2025-03-01T00:00:00"/>
    <n v="3"/>
    <s v="CUST-00025"/>
    <x v="1"/>
    <x v="16"/>
    <s v="UP"/>
    <x v="0"/>
    <s v="Noida"/>
    <x v="4"/>
    <s v="P403"/>
    <s v="Kolhapuri Sandals"/>
    <x v="5"/>
    <n v="1"/>
    <n v="999"/>
    <n v="0.05"/>
    <n v="999"/>
    <n v="49.95"/>
    <n v="949.05"/>
    <n v="400"/>
    <n v="400"/>
    <n v="60"/>
    <n v="489.04999999999995"/>
    <n v="0.5153047784626732"/>
    <x v="3"/>
    <d v="2025-03-23T00:00:00"/>
    <n v="5"/>
    <x v="2"/>
    <n v="5"/>
    <n v="0"/>
  </r>
  <r>
    <s v="ORD-102638"/>
    <x v="439"/>
    <x v="1"/>
    <d v="2025-03-01T00:00:00"/>
    <n v="3"/>
    <s v="CUST-01153"/>
    <x v="1"/>
    <x v="18"/>
    <s v="WB"/>
    <x v="2"/>
    <s v="Kolkata"/>
    <x v="2"/>
    <s v="P703"/>
    <s v="Green Tea (100 bags)"/>
    <x v="0"/>
    <n v="3"/>
    <n v="399"/>
    <n v="0.3"/>
    <n v="1197"/>
    <n v="359.09999999999997"/>
    <n v="837.90000000000009"/>
    <n v="128"/>
    <n v="384"/>
    <n v="60"/>
    <n v="393.90000000000009"/>
    <n v="0.47010383100608671"/>
    <x v="0"/>
    <d v="2025-03-21T00:00:00"/>
    <n v="3"/>
    <x v="0"/>
    <n v="5"/>
    <n v="0"/>
  </r>
  <r>
    <s v="ORD-102639"/>
    <x v="439"/>
    <x v="1"/>
    <d v="2025-03-01T00:00:00"/>
    <n v="3"/>
    <s v="CUST-00376"/>
    <x v="1"/>
    <x v="2"/>
    <s v="MH"/>
    <x v="1"/>
    <s v="Mumbai"/>
    <x v="3"/>
    <s v="P704"/>
    <s v="Multivitamin Gummies"/>
    <x v="0"/>
    <n v="1"/>
    <n v="699"/>
    <n v="0.2"/>
    <n v="699"/>
    <n v="139.80000000000001"/>
    <n v="559.20000000000005"/>
    <n v="238"/>
    <n v="238"/>
    <n v="60"/>
    <n v="261.20000000000005"/>
    <n v="0.46709585121602293"/>
    <x v="0"/>
    <d v="2025-03-20T00:00:00"/>
    <n v="2"/>
    <x v="1"/>
    <n v="4"/>
    <n v="0"/>
  </r>
  <r>
    <s v="ORD-102640"/>
    <x v="439"/>
    <x v="1"/>
    <d v="2025-03-01T00:00:00"/>
    <n v="3"/>
    <s v="CUST-00509"/>
    <x v="1"/>
    <x v="11"/>
    <s v="KA"/>
    <x v="3"/>
    <s v="Bengaluru"/>
    <x v="0"/>
    <s v="P503"/>
    <s v="Scented Candle Set"/>
    <x v="4"/>
    <n v="1"/>
    <n v="699"/>
    <n v="0.2"/>
    <n v="699"/>
    <n v="139.80000000000001"/>
    <n v="559.20000000000005"/>
    <n v="245"/>
    <n v="245"/>
    <n v="60"/>
    <n v="254.20000000000005"/>
    <n v="0.45457796852646642"/>
    <x v="0"/>
    <d v="2025-03-20T00:00:00"/>
    <n v="2"/>
    <x v="1"/>
    <n v="4"/>
    <n v="0"/>
  </r>
  <r>
    <s v="ORD-102641"/>
    <x v="439"/>
    <x v="1"/>
    <d v="2025-03-01T00:00:00"/>
    <n v="3"/>
    <s v="CUST-01144"/>
    <x v="1"/>
    <x v="8"/>
    <s v="AP"/>
    <x v="3"/>
    <s v="Visakhapatnam"/>
    <x v="0"/>
    <s v="P403"/>
    <s v="Kolhapuri Sandals"/>
    <x v="5"/>
    <n v="1"/>
    <n v="999"/>
    <n v="0.05"/>
    <n v="999"/>
    <n v="49.95"/>
    <n v="949.05"/>
    <n v="400"/>
    <n v="400"/>
    <n v="60"/>
    <n v="489.04999999999995"/>
    <n v="0.5153047784626732"/>
    <x v="3"/>
    <d v="2025-03-19T00:00:00"/>
    <n v="1"/>
    <x v="1"/>
    <n v="4"/>
    <n v="0"/>
  </r>
  <r>
    <s v="ORD-102642"/>
    <x v="439"/>
    <x v="1"/>
    <d v="2025-03-01T00:00:00"/>
    <n v="3"/>
    <s v="CUST-01654"/>
    <x v="1"/>
    <x v="17"/>
    <s v="TN"/>
    <x v="3"/>
    <s v="Coimbatore"/>
    <x v="4"/>
    <s v="P404"/>
    <s v="Flip Flops"/>
    <x v="5"/>
    <n v="1"/>
    <n v="399"/>
    <n v="0.05"/>
    <n v="399"/>
    <n v="19.950000000000003"/>
    <n v="379.05"/>
    <n v="152"/>
    <n v="152"/>
    <n v="60"/>
    <n v="167.05"/>
    <n v="0.44070703073473161"/>
    <x v="1"/>
    <d v="2025-03-20T00:00:00"/>
    <n v="2"/>
    <x v="1"/>
    <n v="4"/>
    <n v="0"/>
  </r>
  <r>
    <s v="ORD-102643"/>
    <x v="440"/>
    <x v="1"/>
    <d v="2025-03-01T00:00:00"/>
    <n v="3"/>
    <s v="CUST-02819"/>
    <x v="0"/>
    <x v="19"/>
    <s v="PB"/>
    <x v="0"/>
    <s v="Ludhiana"/>
    <x v="2"/>
    <s v="P201"/>
    <s v="Onion Hair Oil"/>
    <x v="6"/>
    <n v="1"/>
    <n v="349"/>
    <n v="0.3"/>
    <n v="349"/>
    <n v="104.7"/>
    <n v="244.3"/>
    <n v="105"/>
    <n v="105"/>
    <n v="60"/>
    <n v="79.300000000000011"/>
    <n v="0.32460090053213264"/>
    <x v="0"/>
    <d v="2025-03-25T00:00:00"/>
    <n v="6"/>
    <x v="2"/>
    <n v="4"/>
    <n v="0"/>
  </r>
  <r>
    <s v="ORD-102644"/>
    <x v="440"/>
    <x v="1"/>
    <d v="2025-03-01T00:00:00"/>
    <n v="3"/>
    <s v="CUST-02433"/>
    <x v="0"/>
    <x v="11"/>
    <s v="KA"/>
    <x v="3"/>
    <s v="Mysuru"/>
    <x v="0"/>
    <s v="P202"/>
    <s v="Argan Shampoo"/>
    <x v="6"/>
    <n v="1"/>
    <n v="449"/>
    <n v="0.1"/>
    <n v="449"/>
    <n v="44.900000000000006"/>
    <n v="404.1"/>
    <n v="148"/>
    <n v="148"/>
    <n v="60"/>
    <n v="196.10000000000002"/>
    <n v="0.48527592180153428"/>
    <x v="0"/>
    <d v="2025-03-21T00:00:00"/>
    <n v="2"/>
    <x v="1"/>
    <m/>
    <n v="0"/>
  </r>
  <r>
    <s v="ORD-102645"/>
    <x v="441"/>
    <x v="1"/>
    <d v="2025-03-01T00:00:00"/>
    <n v="3"/>
    <s v="CUST-00576"/>
    <x v="0"/>
    <x v="5"/>
    <s v="HP"/>
    <x v="0"/>
    <s v="Shimla"/>
    <x v="3"/>
    <s v="P703"/>
    <s v="Green Tea (100 bags)"/>
    <x v="0"/>
    <n v="2"/>
    <n v="399"/>
    <n v="0.4"/>
    <n v="798"/>
    <n v="319.20000000000005"/>
    <n v="478.79999999999995"/>
    <n v="128"/>
    <n v="256"/>
    <n v="120"/>
    <n v="102.79999999999995"/>
    <n v="0.21470342522974095"/>
    <x v="1"/>
    <d v="2025-03-23T00:00:00"/>
    <n v="3"/>
    <x v="0"/>
    <n v="4"/>
    <n v="1"/>
  </r>
  <r>
    <s v="ORD-102646"/>
    <x v="441"/>
    <x v="1"/>
    <d v="2025-03-01T00:00:00"/>
    <n v="3"/>
    <s v="CUST-01031"/>
    <x v="1"/>
    <x v="1"/>
    <s v="GJ"/>
    <x v="1"/>
    <s v="Surat"/>
    <x v="1"/>
    <s v="P304"/>
    <s v="Denim Jacket"/>
    <x v="1"/>
    <n v="1"/>
    <n v="2499"/>
    <n v="0.1"/>
    <n v="2499"/>
    <n v="249.9"/>
    <n v="2249.1"/>
    <n v="1125"/>
    <n v="1125"/>
    <n v="120"/>
    <n v="1004.0999999999999"/>
    <n v="0.44644524476457248"/>
    <x v="3"/>
    <d v="2025-03-24T00:00:00"/>
    <n v="4"/>
    <x v="0"/>
    <n v="3"/>
    <n v="1"/>
  </r>
  <r>
    <s v="ORD-102647"/>
    <x v="441"/>
    <x v="1"/>
    <d v="2025-03-01T00:00:00"/>
    <n v="3"/>
    <s v="CUST-01052"/>
    <x v="1"/>
    <x v="18"/>
    <s v="WB"/>
    <x v="2"/>
    <s v="Kolkata"/>
    <x v="0"/>
    <s v="P203"/>
    <s v="Keratin Hair Mask"/>
    <x v="6"/>
    <n v="1"/>
    <n v="549"/>
    <n v="0.2"/>
    <n v="549"/>
    <n v="109.80000000000001"/>
    <n v="439.2"/>
    <n v="170"/>
    <n v="170"/>
    <n v="60"/>
    <n v="209.2"/>
    <n v="0.47632058287795992"/>
    <x v="0"/>
    <d v="2025-03-23T00:00:00"/>
    <n v="3"/>
    <x v="0"/>
    <m/>
    <n v="0"/>
  </r>
  <r>
    <s v="ORD-102648"/>
    <x v="441"/>
    <x v="1"/>
    <d v="2025-03-01T00:00:00"/>
    <n v="3"/>
    <s v="CUST-01000"/>
    <x v="1"/>
    <x v="21"/>
    <s v="TG"/>
    <x v="3"/>
    <s v="Hyderabad"/>
    <x v="3"/>
    <s v="P202"/>
    <s v="Argan Shampoo"/>
    <x v="6"/>
    <n v="2"/>
    <n v="449"/>
    <n v="0"/>
    <n v="898"/>
    <n v="0"/>
    <n v="898"/>
    <n v="148"/>
    <n v="296"/>
    <n v="60"/>
    <n v="542"/>
    <n v="0.60356347438752789"/>
    <x v="4"/>
    <d v="2025-03-21T00:00:00"/>
    <n v="1"/>
    <x v="1"/>
    <m/>
    <n v="0"/>
  </r>
  <r>
    <s v="ORD-102649"/>
    <x v="441"/>
    <x v="1"/>
    <d v="2025-03-01T00:00:00"/>
    <n v="3"/>
    <s v="CUST-02969"/>
    <x v="0"/>
    <x v="21"/>
    <s v="TG"/>
    <x v="3"/>
    <s v="Hyderabad"/>
    <x v="4"/>
    <s v="P503"/>
    <s v="Scented Candle Set"/>
    <x v="4"/>
    <n v="1"/>
    <n v="699"/>
    <n v="0.3"/>
    <n v="699"/>
    <n v="209.7"/>
    <n v="489.3"/>
    <n v="245"/>
    <n v="245"/>
    <n v="60"/>
    <n v="184.3"/>
    <n v="0.37666053545881872"/>
    <x v="1"/>
    <d v="2025-03-23T00:00:00"/>
    <n v="3"/>
    <x v="0"/>
    <n v="4"/>
    <n v="0"/>
  </r>
  <r>
    <s v="ORD-102650"/>
    <x v="441"/>
    <x v="1"/>
    <d v="2025-03-01T00:00:00"/>
    <n v="3"/>
    <s v="CUST-00532"/>
    <x v="1"/>
    <x v="17"/>
    <s v="TN"/>
    <x v="3"/>
    <s v="Chennai"/>
    <x v="0"/>
    <s v="P401"/>
    <s v="Running Shoes"/>
    <x v="5"/>
    <n v="1"/>
    <n v="2999"/>
    <n v="0.15"/>
    <n v="2999"/>
    <n v="449.84999999999997"/>
    <n v="2549.15"/>
    <n v="1440"/>
    <n v="1440"/>
    <n v="60"/>
    <n v="1049.1500000000001"/>
    <n v="0.41156856206970954"/>
    <x v="0"/>
    <d v="2025-03-21T00:00:00"/>
    <n v="1"/>
    <x v="1"/>
    <n v="4"/>
    <n v="0"/>
  </r>
  <r>
    <s v="ORD-102651"/>
    <x v="442"/>
    <x v="1"/>
    <d v="2025-03-01T00:00:00"/>
    <n v="3"/>
    <s v="CUST-01896"/>
    <x v="1"/>
    <x v="1"/>
    <s v="GJ"/>
    <x v="1"/>
    <s v="Ahmedabad"/>
    <x v="2"/>
    <s v="P504"/>
    <s v="Cotton Bedsheet"/>
    <x v="4"/>
    <n v="2"/>
    <n v="1299"/>
    <n v="0"/>
    <n v="2598"/>
    <n v="0"/>
    <n v="2598"/>
    <n v="585"/>
    <n v="1170"/>
    <n v="60"/>
    <n v="1368"/>
    <n v="0.52655889145496537"/>
    <x v="1"/>
    <d v="2025-03-27T00:00:00"/>
    <n v="6"/>
    <x v="2"/>
    <n v="4"/>
    <n v="0"/>
  </r>
  <r>
    <s v="ORD-102652"/>
    <x v="442"/>
    <x v="1"/>
    <d v="2025-03-01T00:00:00"/>
    <n v="3"/>
    <s v="CUST-00269"/>
    <x v="1"/>
    <x v="21"/>
    <s v="TG"/>
    <x v="3"/>
    <s v="Hyderabad"/>
    <x v="3"/>
    <s v="P201"/>
    <s v="Onion Hair Oil"/>
    <x v="6"/>
    <n v="1"/>
    <n v="349"/>
    <n v="0.3"/>
    <n v="349"/>
    <n v="104.7"/>
    <n v="244.3"/>
    <n v="105"/>
    <n v="105"/>
    <n v="60"/>
    <n v="79.300000000000011"/>
    <n v="0.32460090053213264"/>
    <x v="0"/>
    <d v="2025-03-23T00:00:00"/>
    <n v="2"/>
    <x v="1"/>
    <n v="4"/>
    <n v="0"/>
  </r>
  <r>
    <s v="ORD-102653"/>
    <x v="442"/>
    <x v="1"/>
    <d v="2025-03-01T00:00:00"/>
    <n v="3"/>
    <s v="CUST-00267"/>
    <x v="1"/>
    <x v="11"/>
    <s v="KA"/>
    <x v="3"/>
    <s v="Mysuru"/>
    <x v="0"/>
    <s v="P704"/>
    <s v="Multivitamin Gummies"/>
    <x v="0"/>
    <n v="1"/>
    <n v="699"/>
    <n v="0.2"/>
    <n v="699"/>
    <n v="139.80000000000001"/>
    <n v="559.20000000000005"/>
    <n v="238"/>
    <n v="238"/>
    <n v="60"/>
    <n v="261.20000000000005"/>
    <n v="0.46709585121602293"/>
    <x v="4"/>
    <d v="2025-03-23T00:00:00"/>
    <n v="2"/>
    <x v="1"/>
    <n v="3"/>
    <n v="0"/>
  </r>
  <r>
    <s v="ORD-102654"/>
    <x v="442"/>
    <x v="1"/>
    <d v="2025-03-01T00:00:00"/>
    <n v="3"/>
    <s v="CUST-01170"/>
    <x v="1"/>
    <x v="14"/>
    <s v="KL"/>
    <x v="3"/>
    <s v="Kochi"/>
    <x v="0"/>
    <s v="P704"/>
    <s v="Multivitamin Gummies"/>
    <x v="0"/>
    <n v="1"/>
    <n v="699"/>
    <n v="0.25"/>
    <n v="699"/>
    <n v="174.75"/>
    <n v="524.25"/>
    <n v="238"/>
    <n v="238"/>
    <n v="60"/>
    <n v="226.25"/>
    <n v="0.43156890796375774"/>
    <x v="3"/>
    <d v="2025-03-25T00:00:00"/>
    <n v="4"/>
    <x v="0"/>
    <n v="3"/>
    <n v="0"/>
  </r>
  <r>
    <s v="ORD-102655"/>
    <x v="443"/>
    <x v="1"/>
    <d v="2025-03-01T00:00:00"/>
    <n v="3"/>
    <s v="CUST-00240"/>
    <x v="1"/>
    <x v="19"/>
    <s v="PB"/>
    <x v="0"/>
    <s v="Ludhiana"/>
    <x v="3"/>
    <s v="P202"/>
    <s v="Argan Shampoo"/>
    <x v="6"/>
    <n v="1"/>
    <n v="449"/>
    <n v="0.05"/>
    <n v="449"/>
    <n v="22.450000000000003"/>
    <n v="426.55"/>
    <n v="148"/>
    <n v="148"/>
    <n v="60"/>
    <n v="218.55"/>
    <n v="0.51236666275934828"/>
    <x v="1"/>
    <d v="2025-03-24T00:00:00"/>
    <n v="2"/>
    <x v="1"/>
    <m/>
    <n v="0"/>
  </r>
  <r>
    <s v="ORD-102656"/>
    <x v="443"/>
    <x v="1"/>
    <d v="2025-03-01T00:00:00"/>
    <n v="3"/>
    <s v="CUST-00374"/>
    <x v="1"/>
    <x v="6"/>
    <s v="DL"/>
    <x v="0"/>
    <s v="New Delhi"/>
    <x v="3"/>
    <s v="P203"/>
    <s v="Keratin Hair Mask"/>
    <x v="6"/>
    <n v="1"/>
    <n v="549"/>
    <n v="0.15"/>
    <n v="549"/>
    <n v="82.35"/>
    <n v="466.65"/>
    <n v="170"/>
    <n v="170"/>
    <n v="60"/>
    <n v="236.64999999999998"/>
    <n v="0.50712525447337398"/>
    <x v="0"/>
    <d v="2025-03-25T00:00:00"/>
    <n v="3"/>
    <x v="0"/>
    <m/>
    <n v="0"/>
  </r>
  <r>
    <s v="ORD-102657"/>
    <x v="443"/>
    <x v="1"/>
    <d v="2025-03-01T00:00:00"/>
    <n v="3"/>
    <s v="CUST-01035"/>
    <x v="0"/>
    <x v="18"/>
    <s v="WB"/>
    <x v="2"/>
    <s v="Kolkata"/>
    <x v="2"/>
    <s v="P302"/>
    <s v="Linen Kurta"/>
    <x v="1"/>
    <n v="1"/>
    <n v="1499"/>
    <n v="0.25"/>
    <n v="1499"/>
    <n v="374.75"/>
    <n v="1124.25"/>
    <n v="630"/>
    <n v="630"/>
    <n v="60"/>
    <n v="434.25"/>
    <n v="0.38625750500333556"/>
    <x v="1"/>
    <d v="2025-03-27T00:00:00"/>
    <n v="5"/>
    <x v="2"/>
    <n v="2"/>
    <n v="0"/>
  </r>
  <r>
    <s v="ORD-102658"/>
    <x v="443"/>
    <x v="1"/>
    <d v="2025-03-01T00:00:00"/>
    <n v="3"/>
    <s v="CUST-01654"/>
    <x v="1"/>
    <x v="2"/>
    <s v="MH"/>
    <x v="1"/>
    <s v="Nagpur"/>
    <x v="2"/>
    <s v="P704"/>
    <s v="Multivitamin Gummies"/>
    <x v="0"/>
    <n v="4"/>
    <n v="699"/>
    <n v="0.15"/>
    <n v="2796"/>
    <n v="419.4"/>
    <n v="2376.6"/>
    <n v="238"/>
    <n v="952"/>
    <n v="60"/>
    <n v="1364.6"/>
    <n v="0.57418160397206086"/>
    <x v="2"/>
    <d v="2025-03-23T00:00:00"/>
    <n v="1"/>
    <x v="1"/>
    <m/>
    <n v="0"/>
  </r>
  <r>
    <s v="ORD-102659"/>
    <x v="443"/>
    <x v="1"/>
    <d v="2025-03-01T00:00:00"/>
    <n v="3"/>
    <s v="CUST-02719"/>
    <x v="0"/>
    <x v="2"/>
    <s v="MH"/>
    <x v="1"/>
    <s v="Nagpur"/>
    <x v="0"/>
    <s v="P203"/>
    <s v="Keratin Hair Mask"/>
    <x v="6"/>
    <n v="1"/>
    <n v="549"/>
    <n v="0.2"/>
    <n v="549"/>
    <n v="109.80000000000001"/>
    <n v="439.2"/>
    <n v="170"/>
    <n v="170"/>
    <n v="60"/>
    <n v="209.2"/>
    <n v="0.47632058287795992"/>
    <x v="4"/>
    <d v="2025-03-23T00:00:00"/>
    <n v="1"/>
    <x v="1"/>
    <n v="4"/>
    <n v="0"/>
  </r>
  <r>
    <s v="ORD-102660"/>
    <x v="443"/>
    <x v="1"/>
    <d v="2025-03-01T00:00:00"/>
    <n v="3"/>
    <s v="CUST-01175"/>
    <x v="0"/>
    <x v="21"/>
    <s v="TG"/>
    <x v="3"/>
    <s v="Hyderabad"/>
    <x v="4"/>
    <s v="P202"/>
    <s v="Argan Shampoo"/>
    <x v="6"/>
    <n v="1"/>
    <n v="449"/>
    <n v="0.05"/>
    <n v="449"/>
    <n v="22.450000000000003"/>
    <n v="426.55"/>
    <n v="148"/>
    <n v="148"/>
    <n v="60"/>
    <n v="218.55"/>
    <n v="0.51236666275934828"/>
    <x v="0"/>
    <d v="2025-03-25T00:00:00"/>
    <n v="3"/>
    <x v="0"/>
    <n v="5"/>
    <n v="0"/>
  </r>
  <r>
    <s v="ORD-102661"/>
    <x v="443"/>
    <x v="1"/>
    <d v="2025-03-01T00:00:00"/>
    <n v="3"/>
    <s v="CUST-02729"/>
    <x v="1"/>
    <x v="8"/>
    <s v="AP"/>
    <x v="3"/>
    <s v="Visakhapatnam"/>
    <x v="4"/>
    <s v="P301"/>
    <s v="Cotton Oversized T-Shirt"/>
    <x v="1"/>
    <n v="1"/>
    <n v="799"/>
    <n v="0"/>
    <n v="799"/>
    <n v="0"/>
    <n v="799"/>
    <n v="320"/>
    <n v="320"/>
    <n v="60"/>
    <n v="419"/>
    <n v="0.52440550688360454"/>
    <x v="0"/>
    <d v="2025-03-26T00:00:00"/>
    <n v="4"/>
    <x v="0"/>
    <m/>
    <n v="0"/>
  </r>
  <r>
    <s v="ORD-102662"/>
    <x v="443"/>
    <x v="1"/>
    <d v="2025-03-01T00:00:00"/>
    <n v="3"/>
    <s v="CUST-02326"/>
    <x v="0"/>
    <x v="17"/>
    <s v="TN"/>
    <x v="3"/>
    <s v="Coimbatore"/>
    <x v="1"/>
    <s v="P403"/>
    <s v="Kolhapuri Sandals"/>
    <x v="5"/>
    <n v="1"/>
    <n v="999"/>
    <n v="0"/>
    <n v="999"/>
    <n v="0"/>
    <n v="999"/>
    <n v="400"/>
    <n v="400"/>
    <n v="60"/>
    <n v="539"/>
    <n v="0.53953953953953959"/>
    <x v="0"/>
    <d v="2025-03-24T00:00:00"/>
    <n v="2"/>
    <x v="1"/>
    <m/>
    <n v="0"/>
  </r>
  <r>
    <s v="ORD-102663"/>
    <x v="444"/>
    <x v="1"/>
    <d v="2025-03-01T00:00:00"/>
    <n v="3"/>
    <s v="CUST-00526"/>
    <x v="1"/>
    <x v="0"/>
    <s v="RJ"/>
    <x v="0"/>
    <s v="Jaipur"/>
    <x v="3"/>
    <s v="P102"/>
    <s v="Sunscreen SPF 50"/>
    <x v="3"/>
    <n v="1"/>
    <n v="449"/>
    <n v="0.05"/>
    <n v="449"/>
    <n v="22.450000000000003"/>
    <n v="426.55"/>
    <n v="144"/>
    <n v="144"/>
    <n v="60"/>
    <n v="222.55"/>
    <n v="0.52174422693705313"/>
    <x v="0"/>
    <d v="2025-03-28T00:00:00"/>
    <n v="5"/>
    <x v="2"/>
    <m/>
    <n v="0"/>
  </r>
  <r>
    <s v="ORD-102664"/>
    <x v="444"/>
    <x v="1"/>
    <d v="2025-03-01T00:00:00"/>
    <n v="3"/>
    <s v="CUST-02624"/>
    <x v="0"/>
    <x v="12"/>
    <s v="BR"/>
    <x v="2"/>
    <s v="Patna"/>
    <x v="0"/>
    <s v="P703"/>
    <s v="Green Tea (100 bags)"/>
    <x v="0"/>
    <n v="4"/>
    <n v="399"/>
    <n v="0.3"/>
    <n v="1596"/>
    <n v="478.79999999999995"/>
    <n v="1117.2"/>
    <n v="128"/>
    <n v="512"/>
    <n v="60"/>
    <n v="545.20000000000005"/>
    <n v="0.4880057286072324"/>
    <x v="1"/>
    <d v="2025-03-27T00:00:00"/>
    <n v="4"/>
    <x v="0"/>
    <m/>
    <n v="0"/>
  </r>
  <r>
    <s v="ORD-102665"/>
    <x v="444"/>
    <x v="1"/>
    <d v="2025-03-01T00:00:00"/>
    <n v="3"/>
    <s v="CUST-00756"/>
    <x v="1"/>
    <x v="1"/>
    <s v="GJ"/>
    <x v="1"/>
    <s v="Surat"/>
    <x v="4"/>
    <s v="P102"/>
    <s v="Sunscreen SPF 50"/>
    <x v="3"/>
    <n v="1"/>
    <n v="449"/>
    <n v="0.05"/>
    <n v="449"/>
    <n v="22.450000000000003"/>
    <n v="426.55"/>
    <n v="144"/>
    <n v="144"/>
    <n v="60"/>
    <n v="222.55"/>
    <n v="0.52174422693705313"/>
    <x v="0"/>
    <d v="2025-03-25T00:00:00"/>
    <n v="2"/>
    <x v="1"/>
    <n v="4"/>
    <n v="0"/>
  </r>
  <r>
    <s v="ORD-102666"/>
    <x v="444"/>
    <x v="1"/>
    <d v="2025-03-01T00:00:00"/>
    <n v="3"/>
    <s v="CUST-00055"/>
    <x v="0"/>
    <x v="18"/>
    <s v="WB"/>
    <x v="2"/>
    <s v="Kolkata"/>
    <x v="4"/>
    <s v="P403"/>
    <s v="Kolhapuri Sandals"/>
    <x v="5"/>
    <n v="1"/>
    <n v="999"/>
    <n v="0.1"/>
    <n v="999"/>
    <n v="99.9"/>
    <n v="899.1"/>
    <n v="400"/>
    <n v="400"/>
    <n v="60"/>
    <n v="439.1"/>
    <n v="0.48837726615504395"/>
    <x v="0"/>
    <d v="2025-03-26T00:00:00"/>
    <n v="3"/>
    <x v="0"/>
    <n v="4"/>
    <n v="0"/>
  </r>
  <r>
    <s v="ORD-102667"/>
    <x v="444"/>
    <x v="1"/>
    <d v="2025-03-01T00:00:00"/>
    <n v="3"/>
    <s v="CUST-00473"/>
    <x v="1"/>
    <x v="18"/>
    <s v="WB"/>
    <x v="2"/>
    <s v="Kolkata"/>
    <x v="2"/>
    <s v="P301"/>
    <s v="Cotton Oversized T-Shirt"/>
    <x v="1"/>
    <n v="2"/>
    <n v="799"/>
    <n v="0"/>
    <n v="1598"/>
    <n v="0"/>
    <n v="1598"/>
    <n v="320"/>
    <n v="640"/>
    <n v="120"/>
    <n v="838"/>
    <n v="0.52440550688360454"/>
    <x v="1"/>
    <d v="2025-03-27T00:00:00"/>
    <n v="4"/>
    <x v="0"/>
    <m/>
    <n v="1"/>
  </r>
  <r>
    <s v="ORD-102668"/>
    <x v="444"/>
    <x v="1"/>
    <d v="2025-03-01T00:00:00"/>
    <n v="3"/>
    <s v="CUST-01866"/>
    <x v="1"/>
    <x v="21"/>
    <s v="TG"/>
    <x v="3"/>
    <s v="Hyderabad"/>
    <x v="2"/>
    <s v="P303"/>
    <s v="Joggers"/>
    <x v="1"/>
    <n v="2"/>
    <n v="1199"/>
    <n v="0.05"/>
    <n v="2398"/>
    <n v="119.9"/>
    <n v="2278.1"/>
    <n v="492"/>
    <n v="984"/>
    <n v="60"/>
    <n v="1234.0999999999999"/>
    <n v="0.54172336596286375"/>
    <x v="3"/>
    <d v="2025-03-27T00:00:00"/>
    <n v="4"/>
    <x v="0"/>
    <n v="4"/>
    <n v="0"/>
  </r>
  <r>
    <s v="ORD-102669"/>
    <x v="444"/>
    <x v="1"/>
    <d v="2025-03-01T00:00:00"/>
    <n v="3"/>
    <s v="CUST-00512"/>
    <x v="1"/>
    <x v="20"/>
    <s v="GA"/>
    <x v="1"/>
    <s v="Panaji"/>
    <x v="4"/>
    <s v="P604"/>
    <s v="Power Bank 20000mAh"/>
    <x v="2"/>
    <n v="4"/>
    <n v="1799"/>
    <n v="0.45"/>
    <n v="7196"/>
    <n v="3238.2000000000003"/>
    <n v="3957.7999999999997"/>
    <n v="1079"/>
    <n v="4316"/>
    <n v="60"/>
    <n v="-418.20000000000027"/>
    <n v="-0.10566476325231197"/>
    <x v="4"/>
    <d v="2025-03-25T00:00:00"/>
    <n v="2"/>
    <x v="1"/>
    <n v="3"/>
    <n v="0"/>
  </r>
  <r>
    <s v="ORD-102670"/>
    <x v="444"/>
    <x v="1"/>
    <d v="2025-03-01T00:00:00"/>
    <n v="3"/>
    <s v="CUST-00868"/>
    <x v="1"/>
    <x v="11"/>
    <s v="KA"/>
    <x v="3"/>
    <s v="Bengaluru"/>
    <x v="0"/>
    <s v="P104"/>
    <s v="Hydrating Face Wash"/>
    <x v="3"/>
    <n v="1"/>
    <n v="299"/>
    <n v="0.05"/>
    <n v="299"/>
    <n v="14.950000000000001"/>
    <n v="284.05"/>
    <n v="90"/>
    <n v="90"/>
    <n v="60"/>
    <n v="134.05000000000001"/>
    <n v="0.47192395704981521"/>
    <x v="0"/>
    <d v="2025-03-26T00:00:00"/>
    <n v="3"/>
    <x v="0"/>
    <m/>
    <n v="0"/>
  </r>
  <r>
    <s v="ORD-102671"/>
    <x v="444"/>
    <x v="1"/>
    <d v="2025-03-01T00:00:00"/>
    <n v="3"/>
    <s v="CUST-00109"/>
    <x v="1"/>
    <x v="11"/>
    <s v="KA"/>
    <x v="3"/>
    <s v="Mysuru"/>
    <x v="3"/>
    <s v="P102"/>
    <s v="Sunscreen SPF 50"/>
    <x v="3"/>
    <n v="2"/>
    <n v="449"/>
    <n v="0.15"/>
    <n v="898"/>
    <n v="134.69999999999999"/>
    <n v="763.3"/>
    <n v="144"/>
    <n v="288"/>
    <n v="60"/>
    <n v="415.29999999999995"/>
    <n v="0.54408489453687936"/>
    <x v="4"/>
    <d v="2025-03-24T00:00:00"/>
    <n v="1"/>
    <x v="1"/>
    <n v="5"/>
    <n v="0"/>
  </r>
  <r>
    <s v="ORD-102672"/>
    <x v="444"/>
    <x v="1"/>
    <d v="2025-03-01T00:00:00"/>
    <n v="3"/>
    <s v="CUST-00207"/>
    <x v="1"/>
    <x v="17"/>
    <s v="TN"/>
    <x v="3"/>
    <s v="Coimbatore"/>
    <x v="3"/>
    <s v="P104"/>
    <s v="Hydrating Face Wash"/>
    <x v="3"/>
    <n v="1"/>
    <n v="299"/>
    <n v="0.05"/>
    <n v="299"/>
    <n v="14.950000000000001"/>
    <n v="284.05"/>
    <n v="90"/>
    <n v="90"/>
    <n v="60"/>
    <n v="134.05000000000001"/>
    <n v="0.47192395704981521"/>
    <x v="0"/>
    <d v="2025-03-26T00:00:00"/>
    <n v="3"/>
    <x v="0"/>
    <n v="5"/>
    <n v="0"/>
  </r>
  <r>
    <s v="ORD-102673"/>
    <x v="445"/>
    <x v="1"/>
    <d v="2025-03-01T00:00:00"/>
    <n v="3"/>
    <s v="CUST-01041"/>
    <x v="1"/>
    <x v="0"/>
    <s v="RJ"/>
    <x v="0"/>
    <s v="Udaipur"/>
    <x v="0"/>
    <s v="P204"/>
    <s v="Anti-Dandruff Conditioner"/>
    <x v="6"/>
    <n v="2"/>
    <n v="399"/>
    <n v="0.3"/>
    <n v="798"/>
    <n v="239.39999999999998"/>
    <n v="558.6"/>
    <n v="136"/>
    <n v="272"/>
    <n v="60"/>
    <n v="226.60000000000002"/>
    <n v="0.40565699964196206"/>
    <x v="0"/>
    <d v="2025-03-28T00:00:00"/>
    <n v="4"/>
    <x v="0"/>
    <n v="4"/>
    <n v="0"/>
  </r>
  <r>
    <s v="ORD-102674"/>
    <x v="445"/>
    <x v="1"/>
    <d v="2025-03-01T00:00:00"/>
    <n v="3"/>
    <s v="CUST-00772"/>
    <x v="1"/>
    <x v="0"/>
    <s v="RJ"/>
    <x v="0"/>
    <s v="Jaipur"/>
    <x v="1"/>
    <s v="P404"/>
    <s v="Flip Flops"/>
    <x v="5"/>
    <n v="1"/>
    <n v="399"/>
    <n v="0.1"/>
    <n v="399"/>
    <n v="39.900000000000006"/>
    <n v="359.1"/>
    <n v="152"/>
    <n v="152"/>
    <n v="60"/>
    <n v="147.10000000000002"/>
    <n v="0.40963519910888335"/>
    <x v="2"/>
    <d v="2025-03-27T00:00:00"/>
    <n v="3"/>
    <x v="0"/>
    <m/>
    <n v="0"/>
  </r>
  <r>
    <s v="ORD-102675"/>
    <x v="445"/>
    <x v="1"/>
    <d v="2025-03-01T00:00:00"/>
    <n v="3"/>
    <s v="CUST-00023"/>
    <x v="1"/>
    <x v="22"/>
    <s v="AS"/>
    <x v="2"/>
    <s v="Guwahati"/>
    <x v="1"/>
    <s v="P304"/>
    <s v="Denim Jacket"/>
    <x v="1"/>
    <n v="2"/>
    <n v="2499"/>
    <n v="0.1"/>
    <n v="4998"/>
    <n v="499.8"/>
    <n v="4498.2"/>
    <n v="1125"/>
    <n v="2250"/>
    <n v="60"/>
    <n v="2188.1999999999998"/>
    <n v="0.48646125116713351"/>
    <x v="0"/>
    <d v="2025-03-31T00:00:00"/>
    <n v="7"/>
    <x v="2"/>
    <n v="3"/>
    <n v="0"/>
  </r>
  <r>
    <s v="ORD-102676"/>
    <x v="445"/>
    <x v="1"/>
    <d v="2025-03-01T00:00:00"/>
    <n v="3"/>
    <s v="CUST-00007"/>
    <x v="1"/>
    <x v="1"/>
    <s v="GJ"/>
    <x v="1"/>
    <s v="Ahmedabad"/>
    <x v="4"/>
    <s v="P703"/>
    <s v="Green Tea (100 bags)"/>
    <x v="0"/>
    <n v="2"/>
    <n v="399"/>
    <n v="0.35"/>
    <n v="798"/>
    <n v="279.29999999999995"/>
    <n v="518.70000000000005"/>
    <n v="128"/>
    <n v="256"/>
    <n v="60"/>
    <n v="202.70000000000005"/>
    <n v="0.39078465394254874"/>
    <x v="0"/>
    <d v="2025-03-26T00:00:00"/>
    <n v="2"/>
    <x v="1"/>
    <n v="3"/>
    <n v="0"/>
  </r>
  <r>
    <s v="ORD-102677"/>
    <x v="445"/>
    <x v="1"/>
    <d v="2025-03-01T00:00:00"/>
    <n v="3"/>
    <s v="CUST-01743"/>
    <x v="0"/>
    <x v="1"/>
    <s v="GJ"/>
    <x v="1"/>
    <s v="Surat"/>
    <x v="4"/>
    <s v="P702"/>
    <s v="Whey Protein 1kg"/>
    <x v="0"/>
    <n v="1"/>
    <n v="2299"/>
    <n v="0.35"/>
    <n v="2299"/>
    <n v="804.65"/>
    <n v="1494.35"/>
    <n v="1333"/>
    <n v="1333"/>
    <n v="60"/>
    <n v="101.34999999999991"/>
    <n v="6.7822130023086902E-2"/>
    <x v="3"/>
    <d v="2025-03-26T00:00:00"/>
    <n v="2"/>
    <x v="1"/>
    <n v="4"/>
    <n v="0"/>
  </r>
  <r>
    <s v="ORD-102678"/>
    <x v="445"/>
    <x v="1"/>
    <d v="2025-03-01T00:00:00"/>
    <n v="3"/>
    <s v="CUST-02790"/>
    <x v="1"/>
    <x v="18"/>
    <s v="WB"/>
    <x v="2"/>
    <s v="Kolkata"/>
    <x v="4"/>
    <s v="P301"/>
    <s v="Cotton Oversized T-Shirt"/>
    <x v="1"/>
    <n v="1"/>
    <n v="799"/>
    <n v="0.05"/>
    <n v="799"/>
    <n v="39.950000000000003"/>
    <n v="759.05"/>
    <n v="320"/>
    <n v="320"/>
    <n v="60"/>
    <n v="379.04999999999995"/>
    <n v="0.49937421777221525"/>
    <x v="3"/>
    <d v="2025-03-28T00:00:00"/>
    <n v="4"/>
    <x v="0"/>
    <n v="4"/>
    <n v="0"/>
  </r>
  <r>
    <s v="ORD-102679"/>
    <x v="445"/>
    <x v="1"/>
    <d v="2025-03-01T00:00:00"/>
    <n v="3"/>
    <s v="CUST-00909"/>
    <x v="1"/>
    <x v="18"/>
    <s v="WB"/>
    <x v="2"/>
    <s v="Kolkata"/>
    <x v="3"/>
    <s v="P103"/>
    <s v="Niacinamide Toner"/>
    <x v="3"/>
    <n v="1"/>
    <n v="399"/>
    <n v="0.2"/>
    <n v="399"/>
    <n v="79.800000000000011"/>
    <n v="319.2"/>
    <n v="112"/>
    <n v="112"/>
    <n v="60"/>
    <n v="147.19999999999999"/>
    <n v="0.46115288220551376"/>
    <x v="0"/>
    <d v="2025-03-28T00:00:00"/>
    <n v="4"/>
    <x v="0"/>
    <n v="4"/>
    <n v="0"/>
  </r>
  <r>
    <s v="ORD-102680"/>
    <x v="445"/>
    <x v="1"/>
    <d v="2025-03-01T00:00:00"/>
    <n v="3"/>
    <s v="CUST-00785"/>
    <x v="1"/>
    <x v="2"/>
    <s v="MH"/>
    <x v="1"/>
    <s v="Nagpur"/>
    <x v="2"/>
    <s v="P303"/>
    <s v="Joggers"/>
    <x v="1"/>
    <n v="4"/>
    <n v="1199"/>
    <n v="0.1"/>
    <n v="4796"/>
    <n v="479.6"/>
    <n v="4316.3999999999996"/>
    <n v="492"/>
    <n v="1968"/>
    <n v="60"/>
    <n v="2288.3999999999996"/>
    <n v="0.53016402557686959"/>
    <x v="0"/>
    <d v="2025-03-26T00:00:00"/>
    <n v="2"/>
    <x v="1"/>
    <n v="4"/>
    <n v="0"/>
  </r>
  <r>
    <s v="ORD-102681"/>
    <x v="445"/>
    <x v="1"/>
    <d v="2025-03-01T00:00:00"/>
    <n v="3"/>
    <s v="CUST-00864"/>
    <x v="1"/>
    <x v="21"/>
    <s v="TG"/>
    <x v="3"/>
    <s v="Hyderabad"/>
    <x v="0"/>
    <s v="P201"/>
    <s v="Onion Hair Oil"/>
    <x v="6"/>
    <n v="2"/>
    <n v="349"/>
    <n v="0.3"/>
    <n v="698"/>
    <n v="209.4"/>
    <n v="488.6"/>
    <n v="105"/>
    <n v="210"/>
    <n v="60"/>
    <n v="218.60000000000002"/>
    <n v="0.44740073679901765"/>
    <x v="0"/>
    <d v="2025-03-26T00:00:00"/>
    <n v="2"/>
    <x v="1"/>
    <n v="5"/>
    <n v="0"/>
  </r>
  <r>
    <s v="ORD-102682"/>
    <x v="445"/>
    <x v="1"/>
    <d v="2025-03-01T00:00:00"/>
    <n v="3"/>
    <s v="CUST-00173"/>
    <x v="1"/>
    <x v="11"/>
    <s v="KA"/>
    <x v="3"/>
    <s v="Bengaluru"/>
    <x v="0"/>
    <s v="P104"/>
    <s v="Hydrating Face Wash"/>
    <x v="3"/>
    <n v="1"/>
    <n v="299"/>
    <n v="0.05"/>
    <n v="299"/>
    <n v="14.950000000000001"/>
    <n v="284.05"/>
    <n v="90"/>
    <n v="90"/>
    <n v="60"/>
    <n v="134.05000000000001"/>
    <n v="0.47192395704981521"/>
    <x v="0"/>
    <d v="2025-03-25T00:00:00"/>
    <n v="1"/>
    <x v="1"/>
    <n v="5"/>
    <n v="0"/>
  </r>
  <r>
    <s v="ORD-102683"/>
    <x v="445"/>
    <x v="1"/>
    <d v="2025-03-01T00:00:00"/>
    <n v="3"/>
    <s v="CUST-01727"/>
    <x v="1"/>
    <x v="17"/>
    <s v="TN"/>
    <x v="3"/>
    <s v="Chennai"/>
    <x v="2"/>
    <s v="P502"/>
    <s v="Ceramic Dinner Set"/>
    <x v="4"/>
    <n v="2"/>
    <n v="2499"/>
    <n v="0.25"/>
    <n v="4998"/>
    <n v="1249.5"/>
    <n v="3748.5"/>
    <n v="1250"/>
    <n v="2500"/>
    <n v="60"/>
    <n v="1188.5"/>
    <n v="0.31706015739629184"/>
    <x v="4"/>
    <d v="2025-03-26T00:00:00"/>
    <n v="2"/>
    <x v="1"/>
    <n v="3"/>
    <n v="0"/>
  </r>
  <r>
    <s v="ORD-102684"/>
    <x v="446"/>
    <x v="1"/>
    <d v="2025-03-01T00:00:00"/>
    <n v="3"/>
    <s v="CUST-00486"/>
    <x v="1"/>
    <x v="0"/>
    <s v="RJ"/>
    <x v="0"/>
    <s v="Jaipur"/>
    <x v="4"/>
    <s v="P603"/>
    <s v="Smartwatch Strap"/>
    <x v="2"/>
    <n v="1"/>
    <n v="499"/>
    <n v="0.1"/>
    <n v="499"/>
    <n v="49.900000000000006"/>
    <n v="449.1"/>
    <n v="200"/>
    <n v="200"/>
    <n v="60"/>
    <n v="189.10000000000002"/>
    <n v="0.42106435092407041"/>
    <x v="4"/>
    <d v="2025-03-29T00:00:00"/>
    <n v="4"/>
    <x v="0"/>
    <m/>
    <n v="0"/>
  </r>
  <r>
    <s v="ORD-102685"/>
    <x v="446"/>
    <x v="1"/>
    <d v="2025-03-01T00:00:00"/>
    <n v="3"/>
    <s v="CUST-01146"/>
    <x v="1"/>
    <x v="6"/>
    <s v="DL"/>
    <x v="0"/>
    <s v="New Delhi"/>
    <x v="0"/>
    <s v="P601"/>
    <s v="Wireless Earbuds"/>
    <x v="2"/>
    <n v="1"/>
    <n v="1999"/>
    <n v="0.45"/>
    <n v="1999"/>
    <n v="899.55000000000007"/>
    <n v="1099.4499999999998"/>
    <n v="1239"/>
    <n v="1239"/>
    <n v="60"/>
    <n v="-199.55000000000018"/>
    <n v="-0.18149984082950585"/>
    <x v="0"/>
    <d v="2025-03-26T00:00:00"/>
    <n v="1"/>
    <x v="1"/>
    <n v="3"/>
    <n v="0"/>
  </r>
  <r>
    <s v="ORD-102686"/>
    <x v="446"/>
    <x v="1"/>
    <d v="2025-03-01T00:00:00"/>
    <n v="3"/>
    <s v="CUST-01047"/>
    <x v="1"/>
    <x v="2"/>
    <s v="MH"/>
    <x v="1"/>
    <s v="Pune"/>
    <x v="1"/>
    <s v="P403"/>
    <s v="Kolhapuri Sandals"/>
    <x v="5"/>
    <n v="1"/>
    <n v="999"/>
    <n v="0.1"/>
    <n v="999"/>
    <n v="99.9"/>
    <n v="899.1"/>
    <n v="400"/>
    <n v="400"/>
    <n v="60"/>
    <n v="439.1"/>
    <n v="0.48837726615504395"/>
    <x v="0"/>
    <d v="2025-03-26T00:00:00"/>
    <n v="1"/>
    <x v="1"/>
    <n v="4"/>
    <n v="0"/>
  </r>
  <r>
    <s v="ORD-102687"/>
    <x v="446"/>
    <x v="1"/>
    <d v="2025-03-01T00:00:00"/>
    <n v="3"/>
    <s v="CUST-00949"/>
    <x v="1"/>
    <x v="21"/>
    <s v="TG"/>
    <x v="3"/>
    <s v="Hyderabad"/>
    <x v="0"/>
    <s v="P204"/>
    <s v="Anti-Dandruff Conditioner"/>
    <x v="6"/>
    <n v="1"/>
    <n v="399"/>
    <n v="0.35"/>
    <n v="399"/>
    <n v="139.64999999999998"/>
    <n v="259.35000000000002"/>
    <n v="136"/>
    <n v="136"/>
    <n v="60"/>
    <n v="63.350000000000023"/>
    <n v="0.24426450742240222"/>
    <x v="3"/>
    <d v="2025-03-27T00:00:00"/>
    <n v="2"/>
    <x v="1"/>
    <n v="4"/>
    <n v="0"/>
  </r>
  <r>
    <s v="ORD-102688"/>
    <x v="446"/>
    <x v="1"/>
    <d v="2025-03-01T00:00:00"/>
    <n v="3"/>
    <s v="CUST-03113"/>
    <x v="0"/>
    <x v="8"/>
    <s v="AP"/>
    <x v="3"/>
    <s v="Visakhapatnam"/>
    <x v="0"/>
    <s v="P304"/>
    <s v="Denim Jacket"/>
    <x v="1"/>
    <n v="1"/>
    <n v="2499"/>
    <n v="0"/>
    <n v="2499"/>
    <n v="0"/>
    <n v="2499"/>
    <n v="1125"/>
    <n v="1125"/>
    <n v="60"/>
    <n v="1314"/>
    <n v="0.5258103241296519"/>
    <x v="0"/>
    <d v="2025-03-29T00:00:00"/>
    <n v="4"/>
    <x v="0"/>
    <m/>
    <n v="0"/>
  </r>
  <r>
    <s v="ORD-102689"/>
    <x v="446"/>
    <x v="1"/>
    <d v="2025-03-01T00:00:00"/>
    <n v="3"/>
    <s v="CUST-02623"/>
    <x v="0"/>
    <x v="8"/>
    <s v="AP"/>
    <x v="3"/>
    <s v="Vijayawada"/>
    <x v="0"/>
    <s v="P201"/>
    <s v="Onion Hair Oil"/>
    <x v="6"/>
    <n v="2"/>
    <n v="349"/>
    <n v="0.3"/>
    <n v="698"/>
    <n v="209.4"/>
    <n v="488.6"/>
    <n v="105"/>
    <n v="210"/>
    <n v="60"/>
    <n v="218.60000000000002"/>
    <n v="0.44740073679901765"/>
    <x v="2"/>
    <d v="2025-03-28T00:00:00"/>
    <n v="3"/>
    <x v="0"/>
    <n v="5"/>
    <n v="0"/>
  </r>
  <r>
    <s v="ORD-102690"/>
    <x v="446"/>
    <x v="1"/>
    <d v="2025-03-01T00:00:00"/>
    <n v="3"/>
    <s v="CUST-00654"/>
    <x v="1"/>
    <x v="8"/>
    <s v="AP"/>
    <x v="3"/>
    <s v="Visakhapatnam"/>
    <x v="4"/>
    <s v="P703"/>
    <s v="Green Tea (100 bags)"/>
    <x v="0"/>
    <n v="1"/>
    <n v="399"/>
    <n v="0.35"/>
    <n v="399"/>
    <n v="139.64999999999998"/>
    <n v="259.35000000000002"/>
    <n v="128"/>
    <n v="128"/>
    <n v="60"/>
    <n v="71.350000000000023"/>
    <n v="0.27511085405822255"/>
    <x v="0"/>
    <d v="2025-03-28T00:00:00"/>
    <n v="3"/>
    <x v="0"/>
    <n v="4"/>
    <n v="0"/>
  </r>
  <r>
    <s v="ORD-102691"/>
    <x v="447"/>
    <x v="1"/>
    <d v="2025-03-01T00:00:00"/>
    <n v="3"/>
    <s v="CUST-00926"/>
    <x v="1"/>
    <x v="19"/>
    <s v="PB"/>
    <x v="0"/>
    <s v="Ludhiana"/>
    <x v="3"/>
    <s v="P201"/>
    <s v="Onion Hair Oil"/>
    <x v="6"/>
    <n v="1"/>
    <n v="349"/>
    <n v="0.3"/>
    <n v="349"/>
    <n v="104.7"/>
    <n v="244.3"/>
    <n v="105"/>
    <n v="105"/>
    <n v="60"/>
    <n v="79.300000000000011"/>
    <n v="0.32460090053213264"/>
    <x v="1"/>
    <d v="2025-03-30T00:00:00"/>
    <n v="4"/>
    <x v="0"/>
    <n v="5"/>
    <n v="0"/>
  </r>
  <r>
    <s v="ORD-102692"/>
    <x v="447"/>
    <x v="1"/>
    <d v="2025-03-01T00:00:00"/>
    <n v="3"/>
    <s v="CUST-01025"/>
    <x v="1"/>
    <x v="19"/>
    <s v="PB"/>
    <x v="0"/>
    <s v="Ludhiana"/>
    <x v="3"/>
    <s v="P202"/>
    <s v="Argan Shampoo"/>
    <x v="6"/>
    <n v="1"/>
    <n v="449"/>
    <n v="0.05"/>
    <n v="449"/>
    <n v="22.450000000000003"/>
    <n v="426.55"/>
    <n v="148"/>
    <n v="148"/>
    <n v="120"/>
    <n v="158.55000000000001"/>
    <n v="0.37170320009377567"/>
    <x v="0"/>
    <d v="2025-03-29T00:00:00"/>
    <n v="3"/>
    <x v="0"/>
    <m/>
    <n v="1"/>
  </r>
  <r>
    <s v="ORD-102693"/>
    <x v="447"/>
    <x v="1"/>
    <d v="2025-03-01T00:00:00"/>
    <n v="3"/>
    <s v="CUST-02258"/>
    <x v="0"/>
    <x v="12"/>
    <s v="BR"/>
    <x v="2"/>
    <s v="Patna"/>
    <x v="0"/>
    <s v="P404"/>
    <s v="Flip Flops"/>
    <x v="5"/>
    <n v="1"/>
    <n v="399"/>
    <n v="0.05"/>
    <n v="399"/>
    <n v="19.950000000000003"/>
    <n v="379.05"/>
    <n v="152"/>
    <n v="152"/>
    <n v="60"/>
    <n v="167.05"/>
    <n v="0.44070703073473161"/>
    <x v="0"/>
    <d v="2025-03-29T00:00:00"/>
    <n v="3"/>
    <x v="0"/>
    <n v="4"/>
    <n v="0"/>
  </r>
  <r>
    <s v="ORD-102694"/>
    <x v="447"/>
    <x v="1"/>
    <d v="2025-03-01T00:00:00"/>
    <n v="3"/>
    <s v="CUST-00372"/>
    <x v="1"/>
    <x v="18"/>
    <s v="WB"/>
    <x v="2"/>
    <s v="Kolkata"/>
    <x v="3"/>
    <s v="P701"/>
    <s v="Ashwagandha Capsules"/>
    <x v="0"/>
    <n v="1"/>
    <n v="499"/>
    <n v="0"/>
    <n v="499"/>
    <n v="0"/>
    <n v="499"/>
    <n v="150"/>
    <n v="150"/>
    <n v="60"/>
    <n v="289"/>
    <n v="0.57915831663326656"/>
    <x v="3"/>
    <d v="2025-03-29T00:00:00"/>
    <n v="3"/>
    <x v="0"/>
    <n v="3"/>
    <n v="0"/>
  </r>
  <r>
    <s v="ORD-102695"/>
    <x v="447"/>
    <x v="1"/>
    <d v="2025-03-01T00:00:00"/>
    <n v="3"/>
    <s v="CUST-00139"/>
    <x v="1"/>
    <x v="2"/>
    <s v="MH"/>
    <x v="1"/>
    <s v="Pune"/>
    <x v="3"/>
    <s v="P201"/>
    <s v="Onion Hair Oil"/>
    <x v="6"/>
    <n v="1"/>
    <n v="349"/>
    <n v="0.3"/>
    <n v="349"/>
    <n v="104.7"/>
    <n v="244.3"/>
    <n v="105"/>
    <n v="105"/>
    <n v="60"/>
    <n v="79.300000000000011"/>
    <n v="0.32460090053213264"/>
    <x v="3"/>
    <d v="2025-03-29T00:00:00"/>
    <n v="3"/>
    <x v="0"/>
    <n v="4"/>
    <n v="0"/>
  </r>
  <r>
    <s v="ORD-102696"/>
    <x v="447"/>
    <x v="1"/>
    <d v="2025-03-01T00:00:00"/>
    <n v="3"/>
    <s v="CUST-00721"/>
    <x v="1"/>
    <x v="3"/>
    <s v="OD"/>
    <x v="2"/>
    <s v="Bhubaneswar"/>
    <x v="4"/>
    <s v="P301"/>
    <s v="Cotton Oversized T-Shirt"/>
    <x v="1"/>
    <n v="1"/>
    <n v="799"/>
    <n v="0"/>
    <n v="799"/>
    <n v="0"/>
    <n v="799"/>
    <n v="320"/>
    <n v="320"/>
    <n v="60"/>
    <n v="419"/>
    <n v="0.52440550688360454"/>
    <x v="1"/>
    <d v="2025-03-29T00:00:00"/>
    <n v="3"/>
    <x v="0"/>
    <n v="5"/>
    <n v="0"/>
  </r>
  <r>
    <s v="ORD-102697"/>
    <x v="448"/>
    <x v="1"/>
    <d v="2025-03-01T00:00:00"/>
    <n v="3"/>
    <s v="CUST-00577"/>
    <x v="1"/>
    <x v="18"/>
    <s v="WB"/>
    <x v="2"/>
    <s v="Kolkata"/>
    <x v="3"/>
    <s v="P703"/>
    <s v="Green Tea (100 bags)"/>
    <x v="0"/>
    <n v="1"/>
    <n v="399"/>
    <n v="0.3"/>
    <n v="399"/>
    <n v="119.69999999999999"/>
    <n v="279.3"/>
    <n v="128"/>
    <n v="128"/>
    <n v="60"/>
    <n v="91.300000000000011"/>
    <n v="0.32688865019692093"/>
    <x v="3"/>
    <d v="2025-03-31T00:00:00"/>
    <n v="4"/>
    <x v="0"/>
    <m/>
    <n v="0"/>
  </r>
  <r>
    <s v="ORD-102698"/>
    <x v="448"/>
    <x v="1"/>
    <d v="2025-03-01T00:00:00"/>
    <n v="3"/>
    <s v="CUST-02835"/>
    <x v="0"/>
    <x v="18"/>
    <s v="WB"/>
    <x v="2"/>
    <s v="Kolkata"/>
    <x v="0"/>
    <s v="P305"/>
    <s v="Printed Saree"/>
    <x v="1"/>
    <n v="1"/>
    <n v="1999"/>
    <n v="0.1"/>
    <n v="1999"/>
    <n v="199.9"/>
    <n v="1799.1"/>
    <n v="880"/>
    <n v="880"/>
    <n v="60"/>
    <n v="859.09999999999991"/>
    <n v="0.47751653604580063"/>
    <x v="3"/>
    <d v="2025-03-30T00:00:00"/>
    <n v="3"/>
    <x v="0"/>
    <m/>
    <n v="0"/>
  </r>
  <r>
    <s v="ORD-102699"/>
    <x v="448"/>
    <x v="1"/>
    <d v="2025-03-01T00:00:00"/>
    <n v="3"/>
    <s v="CUST-00905"/>
    <x v="1"/>
    <x v="21"/>
    <s v="TG"/>
    <x v="3"/>
    <s v="Hyderabad"/>
    <x v="4"/>
    <s v="P302"/>
    <s v="Linen Kurta"/>
    <x v="1"/>
    <n v="2"/>
    <n v="1499"/>
    <n v="0.25"/>
    <n v="2998"/>
    <n v="749.5"/>
    <n v="2248.5"/>
    <n v="630"/>
    <n v="1260"/>
    <n v="60"/>
    <n v="928.5"/>
    <n v="0.41294196130753835"/>
    <x v="4"/>
    <d v="2025-03-28T00:00:00"/>
    <n v="1"/>
    <x v="1"/>
    <m/>
    <n v="0"/>
  </r>
  <r>
    <s v="ORD-102700"/>
    <x v="448"/>
    <x v="1"/>
    <d v="2025-03-01T00:00:00"/>
    <n v="3"/>
    <s v="CUST-00251"/>
    <x v="1"/>
    <x v="21"/>
    <s v="TG"/>
    <x v="3"/>
    <s v="Hyderabad"/>
    <x v="4"/>
    <s v="P404"/>
    <s v="Flip Flops"/>
    <x v="5"/>
    <n v="1"/>
    <n v="399"/>
    <n v="0.1"/>
    <n v="399"/>
    <n v="39.900000000000006"/>
    <n v="359.1"/>
    <n v="152"/>
    <n v="152"/>
    <n v="60"/>
    <n v="147.10000000000002"/>
    <n v="0.40963519910888335"/>
    <x v="1"/>
    <d v="2025-03-29T00:00:00"/>
    <n v="2"/>
    <x v="1"/>
    <m/>
    <n v="0"/>
  </r>
  <r>
    <s v="ORD-102701"/>
    <x v="448"/>
    <x v="1"/>
    <d v="2025-03-01T00:00:00"/>
    <n v="3"/>
    <s v="CUST-01020"/>
    <x v="1"/>
    <x v="11"/>
    <s v="KA"/>
    <x v="3"/>
    <s v="Bengaluru"/>
    <x v="3"/>
    <s v="P703"/>
    <s v="Green Tea (100 bags)"/>
    <x v="0"/>
    <n v="2"/>
    <n v="399"/>
    <n v="0.4"/>
    <n v="798"/>
    <n v="319.20000000000005"/>
    <n v="478.79999999999995"/>
    <n v="128"/>
    <n v="256"/>
    <n v="60"/>
    <n v="162.79999999999995"/>
    <n v="0.34001670843776099"/>
    <x v="3"/>
    <d v="2025-03-29T00:00:00"/>
    <n v="2"/>
    <x v="1"/>
    <m/>
    <n v="0"/>
  </r>
  <r>
    <s v="ORD-102702"/>
    <x v="448"/>
    <x v="1"/>
    <d v="2025-03-01T00:00:00"/>
    <n v="3"/>
    <s v="CUST-00850"/>
    <x v="1"/>
    <x v="14"/>
    <s v="KL"/>
    <x v="3"/>
    <s v="Thiruvananthapuram"/>
    <x v="4"/>
    <s v="P204"/>
    <s v="Anti-Dandruff Conditioner"/>
    <x v="6"/>
    <n v="2"/>
    <n v="399"/>
    <n v="0.45"/>
    <n v="798"/>
    <n v="359.1"/>
    <n v="438.9"/>
    <n v="136"/>
    <n v="272"/>
    <n v="60"/>
    <n v="106.89999999999998"/>
    <n v="0.24356345408976984"/>
    <x v="0"/>
    <d v="2025-03-31T00:00:00"/>
    <n v="4"/>
    <x v="0"/>
    <n v="3"/>
    <n v="0"/>
  </r>
  <r>
    <s v="ORD-102703"/>
    <x v="448"/>
    <x v="1"/>
    <d v="2025-03-01T00:00:00"/>
    <n v="3"/>
    <s v="CUST-01325"/>
    <x v="0"/>
    <x v="17"/>
    <s v="TN"/>
    <x v="3"/>
    <s v="Chennai"/>
    <x v="2"/>
    <s v="P302"/>
    <s v="Linen Kurta"/>
    <x v="1"/>
    <n v="1"/>
    <n v="1499"/>
    <n v="0.35"/>
    <n v="1499"/>
    <n v="524.65"/>
    <n v="974.35"/>
    <n v="630"/>
    <n v="630"/>
    <n v="60"/>
    <n v="284.35000000000002"/>
    <n v="0.29183558269615645"/>
    <x v="0"/>
    <d v="2025-03-30T00:00:00"/>
    <n v="3"/>
    <x v="0"/>
    <n v="5"/>
    <n v="0"/>
  </r>
  <r>
    <s v="ORD-102704"/>
    <x v="449"/>
    <x v="1"/>
    <d v="2025-03-01T00:00:00"/>
    <n v="3"/>
    <s v="CUST-00781"/>
    <x v="0"/>
    <x v="1"/>
    <s v="GJ"/>
    <x v="1"/>
    <s v="Surat"/>
    <x v="4"/>
    <s v="P103"/>
    <s v="Niacinamide Toner"/>
    <x v="3"/>
    <n v="1"/>
    <n v="399"/>
    <n v="0.2"/>
    <n v="399"/>
    <n v="79.800000000000011"/>
    <n v="319.2"/>
    <n v="112"/>
    <n v="112"/>
    <n v="60"/>
    <n v="147.19999999999999"/>
    <n v="0.46115288220551376"/>
    <x v="0"/>
    <d v="2025-04-01T00:00:00"/>
    <n v="4"/>
    <x v="0"/>
    <n v="4"/>
    <n v="0"/>
  </r>
  <r>
    <s v="ORD-102705"/>
    <x v="449"/>
    <x v="1"/>
    <d v="2025-03-01T00:00:00"/>
    <n v="3"/>
    <s v="CUST-00241"/>
    <x v="1"/>
    <x v="1"/>
    <s v="GJ"/>
    <x v="1"/>
    <s v="Ahmedabad"/>
    <x v="2"/>
    <s v="P602"/>
    <s v="Fast Charger 33W"/>
    <x v="2"/>
    <n v="2"/>
    <n v="899"/>
    <n v="0"/>
    <n v="1798"/>
    <n v="0"/>
    <n v="1798"/>
    <n v="494"/>
    <n v="988"/>
    <n v="60"/>
    <n v="750"/>
    <n v="0.41713014460511677"/>
    <x v="0"/>
    <d v="2025-03-31T00:00:00"/>
    <n v="3"/>
    <x v="0"/>
    <n v="4"/>
    <n v="0"/>
  </r>
  <r>
    <s v="ORD-102706"/>
    <x v="450"/>
    <x v="1"/>
    <d v="2025-03-01T00:00:00"/>
    <n v="3"/>
    <s v="CUST-00664"/>
    <x v="0"/>
    <x v="6"/>
    <s v="DL"/>
    <x v="0"/>
    <s v="New Delhi"/>
    <x v="1"/>
    <s v="P404"/>
    <s v="Flip Flops"/>
    <x v="5"/>
    <n v="1"/>
    <n v="399"/>
    <n v="0.1"/>
    <n v="399"/>
    <n v="39.900000000000006"/>
    <n v="359.1"/>
    <n v="152"/>
    <n v="152"/>
    <n v="60"/>
    <n v="147.10000000000002"/>
    <n v="0.40963519910888335"/>
    <x v="4"/>
    <d v="2025-03-30T00:00:00"/>
    <n v="1"/>
    <x v="1"/>
    <m/>
    <n v="0"/>
  </r>
  <r>
    <s v="ORD-102707"/>
    <x v="450"/>
    <x v="1"/>
    <d v="2025-03-01T00:00:00"/>
    <n v="3"/>
    <s v="CUST-02061"/>
    <x v="0"/>
    <x v="16"/>
    <s v="UP"/>
    <x v="0"/>
    <s v="Kanpur"/>
    <x v="2"/>
    <s v="P303"/>
    <s v="Joggers"/>
    <x v="1"/>
    <n v="1"/>
    <n v="1199"/>
    <n v="0.05"/>
    <n v="1199"/>
    <n v="59.95"/>
    <n v="1139.05"/>
    <n v="492"/>
    <n v="492"/>
    <n v="60"/>
    <n v="587.04999999999995"/>
    <n v="0.51538562837452262"/>
    <x v="0"/>
    <d v="2025-04-03T00:00:00"/>
    <n v="5"/>
    <x v="2"/>
    <m/>
    <n v="0"/>
  </r>
  <r>
    <s v="ORD-102708"/>
    <x v="450"/>
    <x v="1"/>
    <d v="2025-03-01T00:00:00"/>
    <n v="3"/>
    <s v="CUST-00240"/>
    <x v="1"/>
    <x v="1"/>
    <s v="GJ"/>
    <x v="1"/>
    <s v="Ahmedabad"/>
    <x v="1"/>
    <s v="P404"/>
    <s v="Flip Flops"/>
    <x v="5"/>
    <n v="2"/>
    <n v="399"/>
    <n v="0.2"/>
    <n v="798"/>
    <n v="159.60000000000002"/>
    <n v="638.4"/>
    <n v="152"/>
    <n v="304"/>
    <n v="60"/>
    <n v="274.39999999999998"/>
    <n v="0.42982456140350878"/>
    <x v="4"/>
    <d v="2025-03-31T00:00:00"/>
    <n v="2"/>
    <x v="1"/>
    <n v="4"/>
    <n v="0"/>
  </r>
  <r>
    <s v="ORD-102709"/>
    <x v="450"/>
    <x v="1"/>
    <d v="2025-03-01T00:00:00"/>
    <n v="3"/>
    <s v="CUST-00044"/>
    <x v="1"/>
    <x v="10"/>
    <s v="CG"/>
    <x v="2"/>
    <s v="Raipur"/>
    <x v="1"/>
    <s v="P305"/>
    <s v="Printed Saree"/>
    <x v="1"/>
    <n v="1"/>
    <n v="1999"/>
    <n v="0.1"/>
    <n v="1999"/>
    <n v="199.9"/>
    <n v="1799.1"/>
    <n v="880"/>
    <n v="880"/>
    <n v="60"/>
    <n v="859.09999999999991"/>
    <n v="0.47751653604580063"/>
    <x v="1"/>
    <d v="2025-04-02T00:00:00"/>
    <n v="4"/>
    <x v="0"/>
    <n v="4"/>
    <n v="0"/>
  </r>
  <r>
    <s v="ORD-102710"/>
    <x v="450"/>
    <x v="1"/>
    <d v="2025-03-01T00:00:00"/>
    <n v="3"/>
    <s v="CUST-01032"/>
    <x v="1"/>
    <x v="18"/>
    <s v="WB"/>
    <x v="2"/>
    <s v="Kolkata"/>
    <x v="4"/>
    <s v="P105"/>
    <s v="Retinol Night Cream"/>
    <x v="3"/>
    <n v="1"/>
    <n v="799"/>
    <n v="0"/>
    <n v="799"/>
    <n v="0"/>
    <n v="799"/>
    <n v="216"/>
    <n v="216"/>
    <n v="60"/>
    <n v="523"/>
    <n v="0.65456821026282852"/>
    <x v="1"/>
    <d v="2025-04-02T00:00:00"/>
    <n v="4"/>
    <x v="0"/>
    <m/>
    <n v="0"/>
  </r>
  <r>
    <s v="ORD-102711"/>
    <x v="450"/>
    <x v="1"/>
    <d v="2025-03-01T00:00:00"/>
    <n v="3"/>
    <s v="CUST-00515"/>
    <x v="0"/>
    <x v="2"/>
    <s v="MH"/>
    <x v="1"/>
    <s v="Mumbai"/>
    <x v="2"/>
    <s v="P603"/>
    <s v="Smartwatch Strap"/>
    <x v="2"/>
    <n v="1"/>
    <n v="499"/>
    <n v="0.1"/>
    <n v="499"/>
    <n v="49.900000000000006"/>
    <n v="449.1"/>
    <n v="200"/>
    <n v="200"/>
    <n v="60"/>
    <n v="189.10000000000002"/>
    <n v="0.42106435092407041"/>
    <x v="3"/>
    <d v="2025-03-30T00:00:00"/>
    <n v="1"/>
    <x v="1"/>
    <n v="4"/>
    <n v="0"/>
  </r>
  <r>
    <s v="ORD-102712"/>
    <x v="450"/>
    <x v="1"/>
    <d v="2025-03-01T00:00:00"/>
    <n v="3"/>
    <s v="CUST-00288"/>
    <x v="0"/>
    <x v="2"/>
    <s v="MH"/>
    <x v="1"/>
    <s v="Nagpur"/>
    <x v="3"/>
    <s v="P701"/>
    <s v="Ashwagandha Capsules"/>
    <x v="0"/>
    <n v="1"/>
    <n v="499"/>
    <n v="0.1"/>
    <n v="499"/>
    <n v="49.900000000000006"/>
    <n v="449.1"/>
    <n v="150"/>
    <n v="150"/>
    <n v="60"/>
    <n v="239.10000000000002"/>
    <n v="0.53239812959251842"/>
    <x v="1"/>
    <d v="2025-03-30T00:00:00"/>
    <n v="1"/>
    <x v="1"/>
    <n v="5"/>
    <n v="0"/>
  </r>
  <r>
    <s v="ORD-102713"/>
    <x v="450"/>
    <x v="1"/>
    <d v="2025-03-01T00:00:00"/>
    <n v="3"/>
    <s v="CUST-00660"/>
    <x v="1"/>
    <x v="11"/>
    <s v="KA"/>
    <x v="3"/>
    <s v="Mysuru"/>
    <x v="4"/>
    <s v="P603"/>
    <s v="Smartwatch Strap"/>
    <x v="2"/>
    <n v="2"/>
    <n v="499"/>
    <n v="0.1"/>
    <n v="998"/>
    <n v="99.800000000000011"/>
    <n v="898.2"/>
    <n v="200"/>
    <n v="400"/>
    <n v="60"/>
    <n v="438.20000000000005"/>
    <n v="0.4878646181251392"/>
    <x v="0"/>
    <d v="2025-03-31T00:00:00"/>
    <n v="2"/>
    <x v="1"/>
    <n v="4"/>
    <n v="0"/>
  </r>
  <r>
    <s v="ORD-102714"/>
    <x v="450"/>
    <x v="1"/>
    <d v="2025-03-01T00:00:00"/>
    <n v="3"/>
    <s v="CUST-03001"/>
    <x v="0"/>
    <x v="11"/>
    <s v="KA"/>
    <x v="3"/>
    <s v="Mysuru"/>
    <x v="0"/>
    <s v="P303"/>
    <s v="Joggers"/>
    <x v="1"/>
    <n v="2"/>
    <n v="1199"/>
    <n v="0.15"/>
    <n v="2398"/>
    <n v="359.7"/>
    <n v="2038.3"/>
    <n v="492"/>
    <n v="984"/>
    <n v="60"/>
    <n v="994.3"/>
    <n v="0.48780846784084775"/>
    <x v="0"/>
    <d v="2025-03-31T00:00:00"/>
    <n v="2"/>
    <x v="1"/>
    <n v="3"/>
    <n v="0"/>
  </r>
  <r>
    <s v="ORD-102715"/>
    <x v="450"/>
    <x v="1"/>
    <d v="2025-03-01T00:00:00"/>
    <n v="3"/>
    <s v="CUST-00424"/>
    <x v="0"/>
    <x v="11"/>
    <s v="KA"/>
    <x v="3"/>
    <s v="Bengaluru"/>
    <x v="0"/>
    <s v="P105"/>
    <s v="Retinol Night Cream"/>
    <x v="3"/>
    <n v="1"/>
    <n v="799"/>
    <n v="0.05"/>
    <n v="799"/>
    <n v="39.950000000000003"/>
    <n v="759.05"/>
    <n v="216"/>
    <n v="216"/>
    <n v="60"/>
    <n v="483.04999999999995"/>
    <n v="0.63638758975034582"/>
    <x v="3"/>
    <d v="2025-04-01T00:00:00"/>
    <n v="3"/>
    <x v="0"/>
    <n v="5"/>
    <n v="0"/>
  </r>
  <r>
    <s v="ORD-102716"/>
    <x v="450"/>
    <x v="1"/>
    <d v="2025-03-01T00:00:00"/>
    <n v="3"/>
    <s v="CUST-00929"/>
    <x v="1"/>
    <x v="17"/>
    <s v="TN"/>
    <x v="3"/>
    <s v="Coimbatore"/>
    <x v="1"/>
    <s v="P403"/>
    <s v="Kolhapuri Sandals"/>
    <x v="5"/>
    <n v="1"/>
    <n v="999"/>
    <n v="0.05"/>
    <n v="999"/>
    <n v="49.95"/>
    <n v="949.05"/>
    <n v="400"/>
    <n v="400"/>
    <n v="60"/>
    <n v="489.04999999999995"/>
    <n v="0.5153047784626732"/>
    <x v="0"/>
    <d v="2025-03-31T00:00:00"/>
    <n v="2"/>
    <x v="1"/>
    <n v="4"/>
    <n v="0"/>
  </r>
  <r>
    <s v="ORD-102717"/>
    <x v="450"/>
    <x v="1"/>
    <d v="2025-03-01T00:00:00"/>
    <n v="3"/>
    <s v="CUST-00185"/>
    <x v="0"/>
    <x v="17"/>
    <s v="TN"/>
    <x v="3"/>
    <s v="Chennai"/>
    <x v="4"/>
    <s v="P101"/>
    <s v="Vitamin C Face Serum"/>
    <x v="3"/>
    <n v="1"/>
    <n v="599"/>
    <n v="0.15"/>
    <n v="599"/>
    <n v="89.85"/>
    <n v="509.15"/>
    <n v="180"/>
    <n v="180"/>
    <n v="60"/>
    <n v="269.14999999999998"/>
    <n v="0.52862614160856325"/>
    <x v="0"/>
    <d v="2025-04-02T00:00:00"/>
    <n v="4"/>
    <x v="0"/>
    <n v="3"/>
    <n v="0"/>
  </r>
  <r>
    <s v="ORD-102718"/>
    <x v="450"/>
    <x v="1"/>
    <d v="2025-03-01T00:00:00"/>
    <n v="3"/>
    <s v="CUST-00457"/>
    <x v="1"/>
    <x v="17"/>
    <s v="TN"/>
    <x v="3"/>
    <s v="Chennai"/>
    <x v="0"/>
    <s v="P203"/>
    <s v="Keratin Hair Mask"/>
    <x v="6"/>
    <n v="2"/>
    <n v="549"/>
    <n v="0.2"/>
    <n v="1098"/>
    <n v="219.60000000000002"/>
    <n v="878.4"/>
    <n v="170"/>
    <n v="340"/>
    <n v="60"/>
    <n v="478.4"/>
    <n v="0.54462659380692169"/>
    <x v="2"/>
    <d v="2025-04-02T00:00:00"/>
    <n v="4"/>
    <x v="0"/>
    <n v="5"/>
    <n v="0"/>
  </r>
  <r>
    <s v="ORD-102719"/>
    <x v="450"/>
    <x v="1"/>
    <d v="2025-03-01T00:00:00"/>
    <n v="3"/>
    <s v="CUST-00366"/>
    <x v="1"/>
    <x v="17"/>
    <s v="TN"/>
    <x v="3"/>
    <s v="Coimbatore"/>
    <x v="2"/>
    <s v="P504"/>
    <s v="Cotton Bedsheet"/>
    <x v="4"/>
    <n v="1"/>
    <n v="1299"/>
    <n v="0"/>
    <n v="1299"/>
    <n v="0"/>
    <n v="1299"/>
    <n v="585"/>
    <n v="585"/>
    <n v="60"/>
    <n v="654"/>
    <n v="0.50346420323325636"/>
    <x v="0"/>
    <d v="2025-04-03T00:00:00"/>
    <n v="5"/>
    <x v="2"/>
    <n v="4"/>
    <n v="0"/>
  </r>
  <r>
    <s v="ORD-102720"/>
    <x v="451"/>
    <x v="1"/>
    <d v="2025-03-01T00:00:00"/>
    <n v="3"/>
    <s v="CUST-00122"/>
    <x v="0"/>
    <x v="16"/>
    <s v="UP"/>
    <x v="0"/>
    <s v="Kanpur"/>
    <x v="2"/>
    <s v="P204"/>
    <s v="Anti-Dandruff Conditioner"/>
    <x v="6"/>
    <n v="1"/>
    <n v="399"/>
    <n v="0.3"/>
    <n v="399"/>
    <n v="119.69999999999999"/>
    <n v="279.3"/>
    <n v="136"/>
    <n v="136"/>
    <n v="60"/>
    <n v="83.300000000000011"/>
    <n v="0.29824561403508776"/>
    <x v="0"/>
    <d v="2025-04-03T00:00:00"/>
    <n v="4"/>
    <x v="0"/>
    <n v="4"/>
    <n v="0"/>
  </r>
  <r>
    <s v="ORD-102721"/>
    <x v="451"/>
    <x v="1"/>
    <d v="2025-03-01T00:00:00"/>
    <n v="3"/>
    <s v="CUST-01957"/>
    <x v="0"/>
    <x v="16"/>
    <s v="UP"/>
    <x v="0"/>
    <s v="Lucknow"/>
    <x v="1"/>
    <s v="P303"/>
    <s v="Joggers"/>
    <x v="1"/>
    <n v="1"/>
    <n v="1199"/>
    <n v="0.1"/>
    <n v="1199"/>
    <n v="119.9"/>
    <n v="1079.0999999999999"/>
    <n v="492"/>
    <n v="492"/>
    <n v="60"/>
    <n v="527.09999999999991"/>
    <n v="0.48846260772866273"/>
    <x v="0"/>
    <d v="2025-04-03T00:00:00"/>
    <n v="4"/>
    <x v="0"/>
    <n v="4"/>
    <n v="0"/>
  </r>
  <r>
    <s v="ORD-102722"/>
    <x v="451"/>
    <x v="1"/>
    <d v="2025-03-01T00:00:00"/>
    <n v="3"/>
    <s v="CUST-00967"/>
    <x v="1"/>
    <x v="18"/>
    <s v="WB"/>
    <x v="2"/>
    <s v="Kolkata"/>
    <x v="3"/>
    <s v="P104"/>
    <s v="Hydrating Face Wash"/>
    <x v="3"/>
    <n v="1"/>
    <n v="299"/>
    <n v="0"/>
    <n v="299"/>
    <n v="0"/>
    <n v="299"/>
    <n v="90"/>
    <n v="90"/>
    <n v="60"/>
    <n v="149"/>
    <n v="0.49832775919732442"/>
    <x v="0"/>
    <d v="2025-04-02T00:00:00"/>
    <n v="3"/>
    <x v="0"/>
    <n v="4"/>
    <n v="0"/>
  </r>
  <r>
    <s v="ORD-102723"/>
    <x v="451"/>
    <x v="1"/>
    <d v="2025-03-01T00:00:00"/>
    <n v="3"/>
    <s v="CUST-00812"/>
    <x v="1"/>
    <x v="11"/>
    <s v="KA"/>
    <x v="3"/>
    <s v="Bengaluru"/>
    <x v="0"/>
    <s v="P501"/>
    <s v="Copper Water Bottle"/>
    <x v="4"/>
    <n v="3"/>
    <n v="899"/>
    <n v="0.05"/>
    <n v="2697"/>
    <n v="134.85"/>
    <n v="2562.15"/>
    <n v="378"/>
    <n v="1134"/>
    <n v="60"/>
    <n v="1368.15"/>
    <n v="0.53398512967624845"/>
    <x v="3"/>
    <d v="2025-04-02T00:00:00"/>
    <n v="3"/>
    <x v="0"/>
    <n v="4"/>
    <n v="0"/>
  </r>
  <r>
    <s v="ORD-102724"/>
    <x v="451"/>
    <x v="1"/>
    <d v="2025-03-01T00:00:00"/>
    <n v="3"/>
    <s v="CUST-01044"/>
    <x v="0"/>
    <x v="11"/>
    <s v="KA"/>
    <x v="3"/>
    <s v="Mysuru"/>
    <x v="4"/>
    <s v="P304"/>
    <s v="Denim Jacket"/>
    <x v="1"/>
    <n v="1"/>
    <n v="2499"/>
    <n v="0.1"/>
    <n v="2499"/>
    <n v="249.9"/>
    <n v="2249.1"/>
    <n v="1125"/>
    <n v="1125"/>
    <n v="60"/>
    <n v="1064.0999999999999"/>
    <n v="0.4731225823662798"/>
    <x v="0"/>
    <d v="2025-04-01T00:00:00"/>
    <n v="2"/>
    <x v="1"/>
    <n v="3"/>
    <n v="0"/>
  </r>
  <r>
    <s v="ORD-102725"/>
    <x v="451"/>
    <x v="1"/>
    <d v="2025-03-01T00:00:00"/>
    <n v="3"/>
    <s v="CUST-00793"/>
    <x v="1"/>
    <x v="17"/>
    <s v="TN"/>
    <x v="3"/>
    <s v="Chennai"/>
    <x v="1"/>
    <s v="P304"/>
    <s v="Denim Jacket"/>
    <x v="1"/>
    <n v="1"/>
    <n v="2499"/>
    <n v="0"/>
    <n v="2499"/>
    <n v="0"/>
    <n v="2499"/>
    <n v="1125"/>
    <n v="1125"/>
    <n v="120"/>
    <n v="1254"/>
    <n v="0.50180072028811529"/>
    <x v="0"/>
    <d v="2025-03-31T00:00:00"/>
    <n v="1"/>
    <x v="1"/>
    <n v="4"/>
    <n v="1"/>
  </r>
  <r>
    <s v="ORD-102726"/>
    <x v="452"/>
    <x v="1"/>
    <d v="2025-03-01T00:00:00"/>
    <n v="3"/>
    <s v="CUST-02403"/>
    <x v="1"/>
    <x v="0"/>
    <s v="RJ"/>
    <x v="0"/>
    <s v="Udaipur"/>
    <x v="0"/>
    <s v="P703"/>
    <s v="Green Tea (100 bags)"/>
    <x v="0"/>
    <n v="1"/>
    <n v="399"/>
    <n v="0.3"/>
    <n v="399"/>
    <n v="119.69999999999999"/>
    <n v="279.3"/>
    <n v="128"/>
    <n v="128"/>
    <n v="60"/>
    <n v="91.300000000000011"/>
    <n v="0.32688865019692093"/>
    <x v="0"/>
    <d v="2025-04-03T00:00:00"/>
    <n v="3"/>
    <x v="0"/>
    <n v="4"/>
    <n v="0"/>
  </r>
  <r>
    <s v="ORD-102727"/>
    <x v="452"/>
    <x v="1"/>
    <d v="2025-03-01T00:00:00"/>
    <n v="3"/>
    <s v="CUST-01268"/>
    <x v="1"/>
    <x v="6"/>
    <s v="DL"/>
    <x v="0"/>
    <s v="New Delhi"/>
    <x v="4"/>
    <s v="P105"/>
    <s v="Retinol Night Cream"/>
    <x v="3"/>
    <n v="4"/>
    <n v="799"/>
    <n v="0.05"/>
    <n v="3196"/>
    <n v="159.80000000000001"/>
    <n v="3036.2"/>
    <n v="216"/>
    <n v="864"/>
    <n v="60"/>
    <n v="2112.1999999999998"/>
    <n v="0.69567222185626765"/>
    <x v="1"/>
    <d v="2025-04-01T00:00:00"/>
    <n v="1"/>
    <x v="1"/>
    <n v="4"/>
    <n v="0"/>
  </r>
  <r>
    <s v="ORD-102728"/>
    <x v="452"/>
    <x v="1"/>
    <d v="2025-03-01T00:00:00"/>
    <n v="3"/>
    <s v="CUST-00112"/>
    <x v="1"/>
    <x v="6"/>
    <s v="DL"/>
    <x v="0"/>
    <s v="New Delhi"/>
    <x v="2"/>
    <s v="P703"/>
    <s v="Green Tea (100 bags)"/>
    <x v="0"/>
    <n v="1"/>
    <n v="399"/>
    <n v="0.3"/>
    <n v="399"/>
    <n v="119.69999999999999"/>
    <n v="279.3"/>
    <n v="128"/>
    <n v="128"/>
    <n v="60"/>
    <n v="91.300000000000011"/>
    <n v="0.32688865019692093"/>
    <x v="0"/>
    <d v="2025-04-04T00:00:00"/>
    <n v="4"/>
    <x v="0"/>
    <n v="4"/>
    <n v="0"/>
  </r>
  <r>
    <s v="ORD-102729"/>
    <x v="452"/>
    <x v="1"/>
    <d v="2025-03-01T00:00:00"/>
    <n v="3"/>
    <s v="CUST-01039"/>
    <x v="1"/>
    <x v="1"/>
    <s v="GJ"/>
    <x v="1"/>
    <s v="Ahmedabad"/>
    <x v="0"/>
    <s v="P603"/>
    <s v="Smartwatch Strap"/>
    <x v="2"/>
    <n v="1"/>
    <n v="499"/>
    <n v="0.1"/>
    <n v="499"/>
    <n v="49.900000000000006"/>
    <n v="449.1"/>
    <n v="200"/>
    <n v="200"/>
    <n v="60"/>
    <n v="189.10000000000002"/>
    <n v="0.42106435092407041"/>
    <x v="0"/>
    <d v="2025-04-03T00:00:00"/>
    <n v="3"/>
    <x v="0"/>
    <n v="4"/>
    <n v="0"/>
  </r>
  <r>
    <s v="ORD-102730"/>
    <x v="452"/>
    <x v="1"/>
    <d v="2025-03-01T00:00:00"/>
    <n v="3"/>
    <s v="CUST-02224"/>
    <x v="1"/>
    <x v="1"/>
    <s v="GJ"/>
    <x v="1"/>
    <s v="Ahmedabad"/>
    <x v="0"/>
    <s v="P501"/>
    <s v="Copper Water Bottle"/>
    <x v="4"/>
    <n v="1"/>
    <n v="899"/>
    <n v="0.1"/>
    <n v="899"/>
    <n v="89.9"/>
    <n v="809.1"/>
    <n v="378"/>
    <n v="378"/>
    <n v="60"/>
    <n v="371.1"/>
    <n v="0.45865776789024842"/>
    <x v="0"/>
    <d v="2025-04-02T00:00:00"/>
    <n v="2"/>
    <x v="1"/>
    <m/>
    <n v="0"/>
  </r>
  <r>
    <s v="ORD-102731"/>
    <x v="452"/>
    <x v="1"/>
    <d v="2025-03-01T00:00:00"/>
    <n v="3"/>
    <s v="CUST-02824"/>
    <x v="0"/>
    <x v="18"/>
    <s v="WB"/>
    <x v="2"/>
    <s v="Kolkata"/>
    <x v="4"/>
    <s v="P502"/>
    <s v="Ceramic Dinner Set"/>
    <x v="4"/>
    <n v="2"/>
    <n v="2499"/>
    <n v="0.35"/>
    <n v="4998"/>
    <n v="1749.3"/>
    <n v="3248.7"/>
    <n v="1250"/>
    <n v="2500"/>
    <n v="60"/>
    <n v="688.69999999999982"/>
    <n v="0.21199248930341363"/>
    <x v="0"/>
    <d v="2025-04-04T00:00:00"/>
    <n v="4"/>
    <x v="0"/>
    <n v="3"/>
    <n v="0"/>
  </r>
  <r>
    <s v="ORD-102732"/>
    <x v="452"/>
    <x v="1"/>
    <d v="2025-03-01T00:00:00"/>
    <n v="3"/>
    <s v="CUST-01608"/>
    <x v="0"/>
    <x v="21"/>
    <s v="TG"/>
    <x v="3"/>
    <s v="Hyderabad"/>
    <x v="1"/>
    <s v="P304"/>
    <s v="Denim Jacket"/>
    <x v="1"/>
    <n v="4"/>
    <n v="2499"/>
    <n v="0"/>
    <n v="9996"/>
    <n v="0"/>
    <n v="9996"/>
    <n v="1125"/>
    <n v="4500"/>
    <n v="60"/>
    <n v="5436"/>
    <n v="0.54381752701080432"/>
    <x v="0"/>
    <d v="2025-04-02T00:00:00"/>
    <n v="2"/>
    <x v="1"/>
    <m/>
    <n v="0"/>
  </r>
  <r>
    <s v="ORD-102733"/>
    <x v="452"/>
    <x v="1"/>
    <d v="2025-03-01T00:00:00"/>
    <n v="3"/>
    <s v="CUST-00990"/>
    <x v="1"/>
    <x v="21"/>
    <s v="TG"/>
    <x v="3"/>
    <s v="Hyderabad"/>
    <x v="0"/>
    <s v="P102"/>
    <s v="Sunscreen SPF 50"/>
    <x v="3"/>
    <n v="2"/>
    <n v="449"/>
    <n v="0.15"/>
    <n v="898"/>
    <n v="134.69999999999999"/>
    <n v="763.3"/>
    <n v="144"/>
    <n v="288"/>
    <n v="120"/>
    <n v="355.29999999999995"/>
    <n v="0.465478841870824"/>
    <x v="1"/>
    <d v="2025-04-02T00:00:00"/>
    <n v="2"/>
    <x v="1"/>
    <n v="4"/>
    <n v="1"/>
  </r>
  <r>
    <s v="ORD-102734"/>
    <x v="452"/>
    <x v="1"/>
    <d v="2025-03-01T00:00:00"/>
    <n v="3"/>
    <s v="CUST-01084"/>
    <x v="1"/>
    <x v="17"/>
    <s v="TN"/>
    <x v="3"/>
    <s v="Chennai"/>
    <x v="1"/>
    <s v="P303"/>
    <s v="Joggers"/>
    <x v="1"/>
    <n v="4"/>
    <n v="1199"/>
    <n v="0.05"/>
    <n v="4796"/>
    <n v="239.8"/>
    <n v="4556.2"/>
    <n v="492"/>
    <n v="1968"/>
    <n v="60"/>
    <n v="2528.1999999999998"/>
    <n v="0.55489223475703431"/>
    <x v="4"/>
    <d v="2025-04-01T00:00:00"/>
    <n v="1"/>
    <x v="1"/>
    <m/>
    <n v="0"/>
  </r>
  <r>
    <s v="ORD-102735"/>
    <x v="453"/>
    <x v="1"/>
    <d v="2025-04-01T00:00:00"/>
    <n v="4"/>
    <s v="CUST-02104"/>
    <x v="1"/>
    <x v="16"/>
    <s v="UP"/>
    <x v="0"/>
    <s v="Kanpur"/>
    <x v="3"/>
    <s v="P204"/>
    <s v="Anti-Dandruff Conditioner"/>
    <x v="6"/>
    <n v="2"/>
    <n v="399"/>
    <n v="0.45"/>
    <n v="798"/>
    <n v="359.1"/>
    <n v="438.9"/>
    <n v="136"/>
    <n v="272"/>
    <n v="60"/>
    <n v="106.89999999999998"/>
    <n v="0.24356345408976984"/>
    <x v="2"/>
    <d v="2025-04-05T00:00:00"/>
    <n v="4"/>
    <x v="0"/>
    <n v="3"/>
    <n v="0"/>
  </r>
  <r>
    <s v="ORD-102736"/>
    <x v="453"/>
    <x v="1"/>
    <d v="2025-04-01T00:00:00"/>
    <n v="4"/>
    <s v="CUST-02618"/>
    <x v="0"/>
    <x v="13"/>
    <s v="MP"/>
    <x v="1"/>
    <s v="Bhopal"/>
    <x v="0"/>
    <s v="P701"/>
    <s v="Ashwagandha Capsules"/>
    <x v="0"/>
    <n v="1"/>
    <n v="499"/>
    <n v="0.1"/>
    <n v="499"/>
    <n v="49.900000000000006"/>
    <n v="449.1"/>
    <n v="150"/>
    <n v="150"/>
    <n v="60"/>
    <n v="239.10000000000002"/>
    <n v="0.53239812959251842"/>
    <x v="0"/>
    <d v="2025-04-05T00:00:00"/>
    <n v="4"/>
    <x v="0"/>
    <n v="4"/>
    <n v="0"/>
  </r>
  <r>
    <s v="ORD-102737"/>
    <x v="453"/>
    <x v="1"/>
    <d v="2025-04-01T00:00:00"/>
    <n v="4"/>
    <s v="CUST-00020"/>
    <x v="1"/>
    <x v="13"/>
    <s v="MP"/>
    <x v="1"/>
    <s v="Bhopal"/>
    <x v="4"/>
    <s v="P201"/>
    <s v="Onion Hair Oil"/>
    <x v="6"/>
    <n v="1"/>
    <n v="349"/>
    <n v="0.3"/>
    <n v="349"/>
    <n v="104.7"/>
    <n v="244.3"/>
    <n v="105"/>
    <n v="105"/>
    <n v="60"/>
    <n v="79.300000000000011"/>
    <n v="0.32460090053213264"/>
    <x v="0"/>
    <d v="2025-04-05T00:00:00"/>
    <n v="4"/>
    <x v="0"/>
    <n v="4"/>
    <n v="0"/>
  </r>
  <r>
    <s v="ORD-102738"/>
    <x v="453"/>
    <x v="1"/>
    <d v="2025-04-01T00:00:00"/>
    <n v="4"/>
    <s v="CUST-01827"/>
    <x v="1"/>
    <x v="18"/>
    <s v="WB"/>
    <x v="2"/>
    <s v="Kolkata"/>
    <x v="1"/>
    <s v="P401"/>
    <s v="Running Shoes"/>
    <x v="5"/>
    <n v="1"/>
    <n v="2999"/>
    <n v="0.2"/>
    <n v="2999"/>
    <n v="599.80000000000007"/>
    <n v="2399.1999999999998"/>
    <n v="1440"/>
    <n v="1440"/>
    <n v="60"/>
    <n v="899.19999999999982"/>
    <n v="0.3747915971990663"/>
    <x v="0"/>
    <d v="2025-04-03T00:00:00"/>
    <n v="2"/>
    <x v="1"/>
    <m/>
    <n v="0"/>
  </r>
  <r>
    <s v="ORD-102739"/>
    <x v="453"/>
    <x v="1"/>
    <d v="2025-04-01T00:00:00"/>
    <n v="4"/>
    <s v="CUST-00672"/>
    <x v="1"/>
    <x v="21"/>
    <s v="TG"/>
    <x v="3"/>
    <s v="Hyderabad"/>
    <x v="4"/>
    <s v="P104"/>
    <s v="Hydrating Face Wash"/>
    <x v="3"/>
    <n v="2"/>
    <n v="299"/>
    <n v="0"/>
    <n v="598"/>
    <n v="0"/>
    <n v="598"/>
    <n v="90"/>
    <n v="180"/>
    <n v="60"/>
    <n v="358"/>
    <n v="0.59866220735785958"/>
    <x v="3"/>
    <d v="2025-04-03T00:00:00"/>
    <n v="2"/>
    <x v="1"/>
    <m/>
    <n v="0"/>
  </r>
  <r>
    <s v="ORD-102740"/>
    <x v="453"/>
    <x v="1"/>
    <d v="2025-04-01T00:00:00"/>
    <n v="4"/>
    <s v="CUST-00292"/>
    <x v="1"/>
    <x v="3"/>
    <s v="OD"/>
    <x v="2"/>
    <s v="Bhubaneswar"/>
    <x v="1"/>
    <s v="P303"/>
    <s v="Joggers"/>
    <x v="1"/>
    <n v="2"/>
    <n v="1199"/>
    <n v="0.1"/>
    <n v="2398"/>
    <n v="239.8"/>
    <n v="2158.1999999999998"/>
    <n v="492"/>
    <n v="984"/>
    <n v="120"/>
    <n v="1054.1999999999998"/>
    <n v="0.48846260772866273"/>
    <x v="0"/>
    <d v="2025-04-06T00:00:00"/>
    <n v="5"/>
    <x v="2"/>
    <m/>
    <n v="1"/>
  </r>
  <r>
    <s v="ORD-102741"/>
    <x v="453"/>
    <x v="1"/>
    <d v="2025-04-01T00:00:00"/>
    <n v="4"/>
    <s v="CUST-00251"/>
    <x v="1"/>
    <x v="11"/>
    <s v="KA"/>
    <x v="3"/>
    <s v="Bengaluru"/>
    <x v="4"/>
    <s v="P103"/>
    <s v="Niacinamide Toner"/>
    <x v="3"/>
    <n v="2"/>
    <n v="399"/>
    <n v="0.2"/>
    <n v="798"/>
    <n v="159.60000000000002"/>
    <n v="638.4"/>
    <n v="112"/>
    <n v="224"/>
    <n v="60"/>
    <n v="354.4"/>
    <n v="0.55513784461152882"/>
    <x v="0"/>
    <d v="2025-04-03T00:00:00"/>
    <n v="2"/>
    <x v="1"/>
    <n v="4"/>
    <n v="0"/>
  </r>
  <r>
    <s v="ORD-102742"/>
    <x v="454"/>
    <x v="1"/>
    <d v="2025-04-01T00:00:00"/>
    <n v="4"/>
    <s v="CUST-01090"/>
    <x v="1"/>
    <x v="16"/>
    <s v="UP"/>
    <x v="0"/>
    <s v="Noida"/>
    <x v="2"/>
    <s v="P701"/>
    <s v="Ashwagandha Capsules"/>
    <x v="0"/>
    <n v="4"/>
    <n v="499"/>
    <n v="0.05"/>
    <n v="1996"/>
    <n v="99.800000000000011"/>
    <n v="1896.2"/>
    <n v="150"/>
    <n v="600"/>
    <n v="60"/>
    <n v="1236.2"/>
    <n v="0.65193544984706253"/>
    <x v="3"/>
    <d v="2025-04-06T00:00:00"/>
    <n v="4"/>
    <x v="0"/>
    <n v="3"/>
    <n v="0"/>
  </r>
  <r>
    <s v="ORD-102743"/>
    <x v="454"/>
    <x v="1"/>
    <d v="2025-04-01T00:00:00"/>
    <n v="4"/>
    <s v="CUST-00465"/>
    <x v="1"/>
    <x v="16"/>
    <s v="UP"/>
    <x v="0"/>
    <s v="Lucknow"/>
    <x v="4"/>
    <s v="P604"/>
    <s v="Power Bank 20000mAh"/>
    <x v="2"/>
    <n v="1"/>
    <n v="1799"/>
    <n v="0.35"/>
    <n v="1799"/>
    <n v="629.65"/>
    <n v="1169.3499999999999"/>
    <n v="1079"/>
    <n v="1079"/>
    <n v="60"/>
    <n v="30.349999999999909"/>
    <n v="2.5954590156924712E-2"/>
    <x v="3"/>
    <d v="2025-04-03T00:00:00"/>
    <n v="1"/>
    <x v="1"/>
    <n v="5"/>
    <n v="0"/>
  </r>
  <r>
    <s v="ORD-102744"/>
    <x v="454"/>
    <x v="1"/>
    <d v="2025-04-01T00:00:00"/>
    <n v="4"/>
    <s v="CUST-01067"/>
    <x v="0"/>
    <x v="18"/>
    <s v="WB"/>
    <x v="2"/>
    <s v="Kolkata"/>
    <x v="4"/>
    <s v="P201"/>
    <s v="Onion Hair Oil"/>
    <x v="6"/>
    <n v="2"/>
    <n v="349"/>
    <n v="0.3"/>
    <n v="698"/>
    <n v="209.4"/>
    <n v="488.6"/>
    <n v="105"/>
    <n v="210"/>
    <n v="60"/>
    <n v="218.60000000000002"/>
    <n v="0.44740073679901765"/>
    <x v="2"/>
    <d v="2025-04-04T00:00:00"/>
    <n v="2"/>
    <x v="1"/>
    <n v="5"/>
    <n v="0"/>
  </r>
  <r>
    <s v="ORD-102745"/>
    <x v="454"/>
    <x v="1"/>
    <d v="2025-04-01T00:00:00"/>
    <n v="4"/>
    <s v="CUST-00872"/>
    <x v="1"/>
    <x v="18"/>
    <s v="WB"/>
    <x v="2"/>
    <s v="Kolkata"/>
    <x v="0"/>
    <s v="P704"/>
    <s v="Multivitamin Gummies"/>
    <x v="0"/>
    <n v="3"/>
    <n v="699"/>
    <n v="0.2"/>
    <n v="2097"/>
    <n v="419.40000000000003"/>
    <n v="1677.6"/>
    <n v="238"/>
    <n v="714"/>
    <n v="60"/>
    <n v="903.59999999999991"/>
    <n v="0.53862660944206009"/>
    <x v="0"/>
    <d v="2025-04-05T00:00:00"/>
    <n v="3"/>
    <x v="0"/>
    <m/>
    <n v="0"/>
  </r>
  <r>
    <s v="ORD-102746"/>
    <x v="454"/>
    <x v="1"/>
    <d v="2025-04-01T00:00:00"/>
    <n v="4"/>
    <s v="CUST-00448"/>
    <x v="1"/>
    <x v="2"/>
    <s v="MH"/>
    <x v="1"/>
    <s v="Mumbai"/>
    <x v="4"/>
    <s v="P503"/>
    <s v="Scented Candle Set"/>
    <x v="4"/>
    <n v="1"/>
    <n v="699"/>
    <n v="0.25"/>
    <n v="699"/>
    <n v="174.75"/>
    <n v="524.25"/>
    <n v="245"/>
    <n v="245"/>
    <n v="60"/>
    <n v="219.25"/>
    <n v="0.41821649976156416"/>
    <x v="0"/>
    <d v="2025-04-04T00:00:00"/>
    <n v="2"/>
    <x v="1"/>
    <n v="5"/>
    <n v="0"/>
  </r>
  <r>
    <s v="ORD-102747"/>
    <x v="454"/>
    <x v="1"/>
    <d v="2025-04-01T00:00:00"/>
    <n v="4"/>
    <s v="CUST-01859"/>
    <x v="1"/>
    <x v="11"/>
    <s v="KA"/>
    <x v="3"/>
    <s v="Mysuru"/>
    <x v="3"/>
    <s v="P701"/>
    <s v="Ashwagandha Capsules"/>
    <x v="0"/>
    <n v="1"/>
    <n v="499"/>
    <n v="0"/>
    <n v="499"/>
    <n v="0"/>
    <n v="499"/>
    <n v="150"/>
    <n v="150"/>
    <n v="60"/>
    <n v="289"/>
    <n v="0.57915831663326656"/>
    <x v="3"/>
    <d v="2025-04-03T00:00:00"/>
    <n v="1"/>
    <x v="1"/>
    <n v="4"/>
    <n v="0"/>
  </r>
  <r>
    <s v="ORD-102748"/>
    <x v="454"/>
    <x v="1"/>
    <d v="2025-04-01T00:00:00"/>
    <n v="4"/>
    <s v="CUST-01142"/>
    <x v="0"/>
    <x v="11"/>
    <s v="KA"/>
    <x v="3"/>
    <s v="Mysuru"/>
    <x v="3"/>
    <s v="P103"/>
    <s v="Niacinamide Toner"/>
    <x v="3"/>
    <n v="1"/>
    <n v="399"/>
    <n v="0.15"/>
    <n v="399"/>
    <n v="59.849999999999994"/>
    <n v="339.15"/>
    <n v="112"/>
    <n v="112"/>
    <n v="60"/>
    <n v="167.14999999999998"/>
    <n v="0.49284977148754233"/>
    <x v="4"/>
    <d v="2025-04-04T00:00:00"/>
    <n v="2"/>
    <x v="1"/>
    <m/>
    <n v="0"/>
  </r>
  <r>
    <s v="ORD-102749"/>
    <x v="454"/>
    <x v="1"/>
    <d v="2025-04-01T00:00:00"/>
    <n v="4"/>
    <s v="CUST-02477"/>
    <x v="0"/>
    <x v="11"/>
    <s v="KA"/>
    <x v="3"/>
    <s v="Bengaluru"/>
    <x v="3"/>
    <s v="P101"/>
    <s v="Vitamin C Face Serum"/>
    <x v="3"/>
    <n v="1"/>
    <n v="599"/>
    <n v="0.2"/>
    <n v="599"/>
    <n v="119.80000000000001"/>
    <n v="479.2"/>
    <n v="180"/>
    <n v="180"/>
    <n v="60"/>
    <n v="239.2"/>
    <n v="0.4991652754590985"/>
    <x v="0"/>
    <d v="2025-04-07T00:00:00"/>
    <n v="5"/>
    <x v="2"/>
    <n v="3"/>
    <n v="0"/>
  </r>
  <r>
    <s v="ORD-102750"/>
    <x v="455"/>
    <x v="1"/>
    <d v="2025-04-01T00:00:00"/>
    <n v="4"/>
    <s v="CUST-00889"/>
    <x v="1"/>
    <x v="10"/>
    <s v="CG"/>
    <x v="2"/>
    <s v="Raipur"/>
    <x v="3"/>
    <s v="P202"/>
    <s v="Argan Shampoo"/>
    <x v="6"/>
    <n v="1"/>
    <n v="449"/>
    <n v="0.15"/>
    <n v="449"/>
    <n v="67.349999999999994"/>
    <n v="381.65"/>
    <n v="148"/>
    <n v="148"/>
    <n v="60"/>
    <n v="173.64999999999998"/>
    <n v="0.45499803484868334"/>
    <x v="2"/>
    <d v="2025-04-08T00:00:00"/>
    <n v="5"/>
    <x v="2"/>
    <n v="3"/>
    <n v="0"/>
  </r>
  <r>
    <s v="ORD-102751"/>
    <x v="455"/>
    <x v="1"/>
    <d v="2025-04-01T00:00:00"/>
    <n v="4"/>
    <s v="CUST-01054"/>
    <x v="1"/>
    <x v="3"/>
    <s v="OD"/>
    <x v="2"/>
    <s v="Bhubaneswar"/>
    <x v="0"/>
    <s v="P703"/>
    <s v="Green Tea (100 bags)"/>
    <x v="0"/>
    <n v="4"/>
    <n v="399"/>
    <n v="0.4"/>
    <n v="1596"/>
    <n v="638.40000000000009"/>
    <n v="957.59999999999991"/>
    <n v="128"/>
    <n v="512"/>
    <n v="60"/>
    <n v="385.59999999999991"/>
    <n v="0.40267335004177102"/>
    <x v="0"/>
    <d v="2025-04-07T00:00:00"/>
    <n v="4"/>
    <x v="0"/>
    <n v="4"/>
    <n v="0"/>
  </r>
  <r>
    <s v="ORD-102752"/>
    <x v="455"/>
    <x v="1"/>
    <d v="2025-04-01T00:00:00"/>
    <n v="4"/>
    <s v="CUST-01794"/>
    <x v="0"/>
    <x v="8"/>
    <s v="AP"/>
    <x v="3"/>
    <s v="Vijayawada"/>
    <x v="0"/>
    <s v="P104"/>
    <s v="Hydrating Face Wash"/>
    <x v="3"/>
    <n v="1"/>
    <n v="299"/>
    <n v="0"/>
    <n v="299"/>
    <n v="0"/>
    <n v="299"/>
    <n v="90"/>
    <n v="90"/>
    <n v="60"/>
    <n v="149"/>
    <n v="0.49832775919732442"/>
    <x v="0"/>
    <d v="2025-04-05T00:00:00"/>
    <n v="2"/>
    <x v="1"/>
    <m/>
    <n v="0"/>
  </r>
  <r>
    <s v="ORD-102753"/>
    <x v="456"/>
    <x v="1"/>
    <d v="2025-04-01T00:00:00"/>
    <n v="4"/>
    <s v="CUST-00870"/>
    <x v="1"/>
    <x v="0"/>
    <s v="RJ"/>
    <x v="0"/>
    <s v="Jaipur"/>
    <x v="0"/>
    <s v="P103"/>
    <s v="Niacinamide Toner"/>
    <x v="3"/>
    <n v="3"/>
    <n v="399"/>
    <n v="0.3"/>
    <n v="1197"/>
    <n v="359.09999999999997"/>
    <n v="837.90000000000009"/>
    <n v="112"/>
    <n v="336"/>
    <n v="60"/>
    <n v="441.90000000000009"/>
    <n v="0.527389903329753"/>
    <x v="3"/>
    <d v="2025-04-06T00:00:00"/>
    <n v="2"/>
    <x v="1"/>
    <m/>
    <n v="0"/>
  </r>
  <r>
    <s v="ORD-102754"/>
    <x v="456"/>
    <x v="1"/>
    <d v="2025-04-01T00:00:00"/>
    <n v="4"/>
    <s v="CUST-01930"/>
    <x v="0"/>
    <x v="15"/>
    <s v="HR"/>
    <x v="0"/>
    <s v="Gurugram"/>
    <x v="0"/>
    <s v="P103"/>
    <s v="Niacinamide Toner"/>
    <x v="3"/>
    <n v="5"/>
    <n v="399"/>
    <n v="0.3"/>
    <n v="1995"/>
    <n v="598.5"/>
    <n v="1396.5"/>
    <n v="112"/>
    <n v="560"/>
    <n v="60"/>
    <n v="776.5"/>
    <n v="0.55603293949158605"/>
    <x v="0"/>
    <d v="2025-04-06T00:00:00"/>
    <n v="2"/>
    <x v="1"/>
    <m/>
    <n v="0"/>
  </r>
  <r>
    <s v="ORD-102755"/>
    <x v="456"/>
    <x v="1"/>
    <d v="2025-04-01T00:00:00"/>
    <n v="4"/>
    <s v="CUST-00547"/>
    <x v="1"/>
    <x v="6"/>
    <s v="DL"/>
    <x v="0"/>
    <s v="New Delhi"/>
    <x v="2"/>
    <s v="P103"/>
    <s v="Niacinamide Toner"/>
    <x v="3"/>
    <n v="1"/>
    <n v="399"/>
    <n v="0.15"/>
    <n v="399"/>
    <n v="59.849999999999994"/>
    <n v="339.15"/>
    <n v="112"/>
    <n v="112"/>
    <n v="60"/>
    <n v="167.14999999999998"/>
    <n v="0.49284977148754233"/>
    <x v="0"/>
    <d v="2025-04-06T00:00:00"/>
    <n v="2"/>
    <x v="1"/>
    <m/>
    <n v="0"/>
  </r>
  <r>
    <s v="ORD-102756"/>
    <x v="456"/>
    <x v="1"/>
    <d v="2025-04-01T00:00:00"/>
    <n v="4"/>
    <s v="CUST-00231"/>
    <x v="1"/>
    <x v="16"/>
    <s v="UP"/>
    <x v="0"/>
    <s v="Kanpur"/>
    <x v="0"/>
    <s v="P204"/>
    <s v="Anti-Dandruff Conditioner"/>
    <x v="6"/>
    <n v="2"/>
    <n v="399"/>
    <n v="0.3"/>
    <n v="798"/>
    <n v="239.39999999999998"/>
    <n v="558.6"/>
    <n v="136"/>
    <n v="272"/>
    <n v="60"/>
    <n v="226.60000000000002"/>
    <n v="0.40565699964196206"/>
    <x v="0"/>
    <d v="2025-04-06T00:00:00"/>
    <n v="2"/>
    <x v="1"/>
    <n v="5"/>
    <n v="0"/>
  </r>
  <r>
    <s v="ORD-102757"/>
    <x v="456"/>
    <x v="1"/>
    <d v="2025-04-01T00:00:00"/>
    <n v="4"/>
    <s v="CUST-00804"/>
    <x v="1"/>
    <x v="11"/>
    <s v="KA"/>
    <x v="3"/>
    <s v="Mysuru"/>
    <x v="2"/>
    <s v="P402"/>
    <s v="Casual Sneakers"/>
    <x v="5"/>
    <n v="1"/>
    <n v="2199"/>
    <n v="0.25"/>
    <n v="2199"/>
    <n v="549.75"/>
    <n v="1649.25"/>
    <n v="1034"/>
    <n v="1034"/>
    <n v="60"/>
    <n v="555.25"/>
    <n v="0.33666818250720026"/>
    <x v="3"/>
    <d v="2025-04-08T00:00:00"/>
    <n v="4"/>
    <x v="0"/>
    <m/>
    <n v="0"/>
  </r>
  <r>
    <s v="ORD-102758"/>
    <x v="456"/>
    <x v="1"/>
    <d v="2025-04-01T00:00:00"/>
    <n v="4"/>
    <s v="CUST-00213"/>
    <x v="0"/>
    <x v="11"/>
    <s v="KA"/>
    <x v="3"/>
    <s v="Mysuru"/>
    <x v="1"/>
    <s v="P401"/>
    <s v="Running Shoes"/>
    <x v="5"/>
    <n v="1"/>
    <n v="2999"/>
    <n v="0.2"/>
    <n v="2999"/>
    <n v="599.80000000000007"/>
    <n v="2399.1999999999998"/>
    <n v="1440"/>
    <n v="1440"/>
    <n v="60"/>
    <n v="899.19999999999982"/>
    <n v="0.3747915971990663"/>
    <x v="0"/>
    <d v="2025-04-08T00:00:00"/>
    <n v="4"/>
    <x v="0"/>
    <m/>
    <n v="0"/>
  </r>
  <r>
    <s v="ORD-102759"/>
    <x v="457"/>
    <x v="1"/>
    <d v="2025-04-01T00:00:00"/>
    <n v="4"/>
    <s v="CUST-02957"/>
    <x v="1"/>
    <x v="1"/>
    <s v="GJ"/>
    <x v="1"/>
    <s v="Ahmedabad"/>
    <x v="3"/>
    <s v="P701"/>
    <s v="Ashwagandha Capsules"/>
    <x v="0"/>
    <n v="2"/>
    <n v="499"/>
    <n v="0.1"/>
    <n v="998"/>
    <n v="99.800000000000011"/>
    <n v="898.2"/>
    <n v="150"/>
    <n v="300"/>
    <n v="60"/>
    <n v="538.20000000000005"/>
    <n v="0.59919839679358722"/>
    <x v="3"/>
    <d v="2025-04-08T00:00:00"/>
    <n v="3"/>
    <x v="0"/>
    <m/>
    <n v="0"/>
  </r>
  <r>
    <s v="ORD-102760"/>
    <x v="457"/>
    <x v="1"/>
    <d v="2025-04-01T00:00:00"/>
    <n v="4"/>
    <s v="CUST-00224"/>
    <x v="1"/>
    <x v="7"/>
    <s v="JH"/>
    <x v="2"/>
    <s v="Ranchi"/>
    <x v="0"/>
    <s v="P305"/>
    <s v="Printed Saree"/>
    <x v="1"/>
    <n v="1"/>
    <n v="1999"/>
    <n v="0.05"/>
    <n v="1999"/>
    <n v="99.95"/>
    <n v="1899.05"/>
    <n v="880"/>
    <n v="880"/>
    <n v="60"/>
    <n v="959.05"/>
    <n v="0.50501566572760059"/>
    <x v="0"/>
    <d v="2025-04-10T00:00:00"/>
    <n v="5"/>
    <x v="2"/>
    <n v="4"/>
    <n v="0"/>
  </r>
  <r>
    <s v="ORD-102761"/>
    <x v="457"/>
    <x v="1"/>
    <d v="2025-04-01T00:00:00"/>
    <n v="4"/>
    <s v="CUST-01986"/>
    <x v="0"/>
    <x v="2"/>
    <s v="MH"/>
    <x v="1"/>
    <s v="Mumbai"/>
    <x v="1"/>
    <s v="P302"/>
    <s v="Linen Kurta"/>
    <x v="1"/>
    <n v="2"/>
    <n v="1499"/>
    <n v="0.3"/>
    <n v="2998"/>
    <n v="899.4"/>
    <n v="2098.6"/>
    <n v="630"/>
    <n v="1260"/>
    <n v="60"/>
    <n v="778.59999999999991"/>
    <n v="0.3710092442580768"/>
    <x v="3"/>
    <d v="2025-04-07T00:00:00"/>
    <n v="2"/>
    <x v="1"/>
    <n v="3"/>
    <n v="0"/>
  </r>
  <r>
    <s v="ORD-102762"/>
    <x v="457"/>
    <x v="1"/>
    <d v="2025-04-01T00:00:00"/>
    <n v="4"/>
    <s v="CUST-00038"/>
    <x v="1"/>
    <x v="11"/>
    <s v="KA"/>
    <x v="3"/>
    <s v="Bengaluru"/>
    <x v="1"/>
    <s v="P304"/>
    <s v="Denim Jacket"/>
    <x v="1"/>
    <n v="2"/>
    <n v="2499"/>
    <n v="0.1"/>
    <n v="4998"/>
    <n v="499.8"/>
    <n v="4498.2"/>
    <n v="1125"/>
    <n v="2250"/>
    <n v="60"/>
    <n v="2188.1999999999998"/>
    <n v="0.48646125116713351"/>
    <x v="1"/>
    <d v="2025-04-06T00:00:00"/>
    <n v="1"/>
    <x v="1"/>
    <m/>
    <n v="0"/>
  </r>
  <r>
    <s v="ORD-102763"/>
    <x v="457"/>
    <x v="1"/>
    <d v="2025-04-01T00:00:00"/>
    <n v="4"/>
    <s v="CUST-00334"/>
    <x v="1"/>
    <x v="8"/>
    <s v="AP"/>
    <x v="3"/>
    <s v="Vijayawada"/>
    <x v="1"/>
    <s v="P404"/>
    <s v="Flip Flops"/>
    <x v="5"/>
    <n v="1"/>
    <n v="399"/>
    <n v="0.2"/>
    <n v="399"/>
    <n v="79.800000000000011"/>
    <n v="319.2"/>
    <n v="152"/>
    <n v="152"/>
    <n v="60"/>
    <n v="107.19999999999999"/>
    <n v="0.33583959899749372"/>
    <x v="2"/>
    <d v="2025-04-09T00:00:00"/>
    <n v="4"/>
    <x v="0"/>
    <n v="4"/>
    <n v="0"/>
  </r>
  <r>
    <s v="ORD-102764"/>
    <x v="457"/>
    <x v="1"/>
    <d v="2025-04-01T00:00:00"/>
    <n v="4"/>
    <s v="CUST-01085"/>
    <x v="1"/>
    <x v="17"/>
    <s v="TN"/>
    <x v="3"/>
    <s v="Coimbatore"/>
    <x v="0"/>
    <s v="P204"/>
    <s v="Anti-Dandruff Conditioner"/>
    <x v="6"/>
    <n v="1"/>
    <n v="399"/>
    <n v="0.35"/>
    <n v="399"/>
    <n v="139.64999999999998"/>
    <n v="259.35000000000002"/>
    <n v="136"/>
    <n v="136"/>
    <n v="60"/>
    <n v="63.350000000000023"/>
    <n v="0.24426450742240222"/>
    <x v="0"/>
    <d v="2025-04-06T00:00:00"/>
    <n v="1"/>
    <x v="1"/>
    <n v="4"/>
    <n v="0"/>
  </r>
  <r>
    <s v="ORD-102765"/>
    <x v="458"/>
    <x v="1"/>
    <d v="2025-04-01T00:00:00"/>
    <n v="4"/>
    <s v="CUST-00551"/>
    <x v="0"/>
    <x v="4"/>
    <s v="JK"/>
    <x v="0"/>
    <s v="Jammu"/>
    <x v="2"/>
    <s v="P502"/>
    <s v="Ceramic Dinner Set"/>
    <x v="4"/>
    <n v="3"/>
    <n v="2499"/>
    <n v="0.3"/>
    <n v="7497"/>
    <n v="2249.1"/>
    <n v="5247.9"/>
    <n v="1250"/>
    <n v="3750"/>
    <n v="60"/>
    <n v="1437.8999999999996"/>
    <n v="0.27399531241067848"/>
    <x v="3"/>
    <d v="2025-04-12T00:00:00"/>
    <n v="6"/>
    <x v="2"/>
    <n v="4"/>
    <n v="0"/>
  </r>
  <r>
    <s v="ORD-102766"/>
    <x v="458"/>
    <x v="1"/>
    <d v="2025-04-01T00:00:00"/>
    <n v="4"/>
    <s v="CUST-02511"/>
    <x v="0"/>
    <x v="0"/>
    <s v="RJ"/>
    <x v="0"/>
    <s v="Udaipur"/>
    <x v="2"/>
    <s v="P703"/>
    <s v="Green Tea (100 bags)"/>
    <x v="0"/>
    <n v="2"/>
    <n v="399"/>
    <n v="0.35"/>
    <n v="798"/>
    <n v="279.29999999999995"/>
    <n v="518.70000000000005"/>
    <n v="128"/>
    <n v="256"/>
    <n v="60"/>
    <n v="202.70000000000005"/>
    <n v="0.39078465394254874"/>
    <x v="0"/>
    <d v="2025-04-12T00:00:00"/>
    <n v="6"/>
    <x v="2"/>
    <n v="4"/>
    <n v="0"/>
  </r>
  <r>
    <s v="ORD-102767"/>
    <x v="458"/>
    <x v="1"/>
    <d v="2025-04-01T00:00:00"/>
    <n v="4"/>
    <s v="CUST-00256"/>
    <x v="1"/>
    <x v="0"/>
    <s v="RJ"/>
    <x v="0"/>
    <s v="Jaipur"/>
    <x v="0"/>
    <s v="P204"/>
    <s v="Anti-Dandruff Conditioner"/>
    <x v="6"/>
    <n v="2"/>
    <n v="399"/>
    <n v="0.35"/>
    <n v="798"/>
    <n v="279.29999999999995"/>
    <n v="518.70000000000005"/>
    <n v="136"/>
    <n v="272"/>
    <n v="60"/>
    <n v="186.70000000000005"/>
    <n v="0.35993830730672843"/>
    <x v="0"/>
    <d v="2025-04-10T00:00:00"/>
    <n v="4"/>
    <x v="0"/>
    <n v="4"/>
    <n v="0"/>
  </r>
  <r>
    <s v="ORD-102768"/>
    <x v="458"/>
    <x v="1"/>
    <d v="2025-04-01T00:00:00"/>
    <n v="4"/>
    <s v="CUST-02085"/>
    <x v="1"/>
    <x v="6"/>
    <s v="DL"/>
    <x v="0"/>
    <s v="New Delhi"/>
    <x v="0"/>
    <s v="P204"/>
    <s v="Anti-Dandruff Conditioner"/>
    <x v="6"/>
    <n v="1"/>
    <n v="399"/>
    <n v="0.35"/>
    <n v="399"/>
    <n v="139.64999999999998"/>
    <n v="259.35000000000002"/>
    <n v="136"/>
    <n v="136"/>
    <n v="60"/>
    <n v="63.350000000000023"/>
    <n v="0.24426450742240222"/>
    <x v="0"/>
    <d v="2025-04-08T00:00:00"/>
    <n v="2"/>
    <x v="1"/>
    <m/>
    <n v="0"/>
  </r>
  <r>
    <s v="ORD-102769"/>
    <x v="458"/>
    <x v="1"/>
    <d v="2025-04-01T00:00:00"/>
    <n v="4"/>
    <s v="CUST-00461"/>
    <x v="0"/>
    <x v="16"/>
    <s v="UP"/>
    <x v="0"/>
    <s v="Lucknow"/>
    <x v="2"/>
    <s v="P103"/>
    <s v="Niacinamide Toner"/>
    <x v="3"/>
    <n v="2"/>
    <n v="399"/>
    <n v="0.15"/>
    <n v="798"/>
    <n v="119.69999999999999"/>
    <n v="678.3"/>
    <n v="112"/>
    <n v="224"/>
    <n v="60"/>
    <n v="394.29999999999995"/>
    <n v="0.58130620669320354"/>
    <x v="3"/>
    <d v="2025-04-11T00:00:00"/>
    <n v="5"/>
    <x v="2"/>
    <m/>
    <n v="0"/>
  </r>
  <r>
    <s v="ORD-102770"/>
    <x v="458"/>
    <x v="1"/>
    <d v="2025-04-01T00:00:00"/>
    <n v="4"/>
    <s v="CUST-00403"/>
    <x v="1"/>
    <x v="13"/>
    <s v="MP"/>
    <x v="1"/>
    <s v="Indore"/>
    <x v="2"/>
    <s v="P201"/>
    <s v="Onion Hair Oil"/>
    <x v="6"/>
    <n v="2"/>
    <n v="349"/>
    <n v="0.35"/>
    <n v="698"/>
    <n v="244.29999999999998"/>
    <n v="453.70000000000005"/>
    <n v="105"/>
    <n v="210"/>
    <n v="60"/>
    <n v="183.70000000000005"/>
    <n v="0.40489310116817284"/>
    <x v="0"/>
    <d v="2025-04-12T00:00:00"/>
    <n v="6"/>
    <x v="2"/>
    <n v="5"/>
    <n v="0"/>
  </r>
  <r>
    <s v="ORD-102771"/>
    <x v="458"/>
    <x v="1"/>
    <d v="2025-04-01T00:00:00"/>
    <n v="4"/>
    <s v="CUST-03143"/>
    <x v="1"/>
    <x v="18"/>
    <s v="WB"/>
    <x v="2"/>
    <s v="Kolkata"/>
    <x v="4"/>
    <s v="P701"/>
    <s v="Ashwagandha Capsules"/>
    <x v="0"/>
    <n v="1"/>
    <n v="499"/>
    <n v="0.1"/>
    <n v="499"/>
    <n v="49.900000000000006"/>
    <n v="449.1"/>
    <n v="150"/>
    <n v="150"/>
    <n v="60"/>
    <n v="239.10000000000002"/>
    <n v="0.53239812959251842"/>
    <x v="0"/>
    <d v="2025-04-09T00:00:00"/>
    <n v="3"/>
    <x v="0"/>
    <n v="4"/>
    <n v="0"/>
  </r>
  <r>
    <s v="ORD-102772"/>
    <x v="458"/>
    <x v="1"/>
    <d v="2025-04-01T00:00:00"/>
    <n v="4"/>
    <s v="CUST-03119"/>
    <x v="1"/>
    <x v="18"/>
    <s v="WB"/>
    <x v="2"/>
    <s v="Kolkata"/>
    <x v="2"/>
    <s v="P701"/>
    <s v="Ashwagandha Capsules"/>
    <x v="0"/>
    <n v="1"/>
    <n v="499"/>
    <n v="0"/>
    <n v="499"/>
    <n v="0"/>
    <n v="499"/>
    <n v="150"/>
    <n v="150"/>
    <n v="60"/>
    <n v="289"/>
    <n v="0.57915831663326656"/>
    <x v="0"/>
    <d v="2025-04-10T00:00:00"/>
    <n v="4"/>
    <x v="0"/>
    <m/>
    <n v="0"/>
  </r>
  <r>
    <s v="ORD-102773"/>
    <x v="458"/>
    <x v="1"/>
    <d v="2025-04-01T00:00:00"/>
    <n v="4"/>
    <s v="CUST-00225"/>
    <x v="1"/>
    <x v="2"/>
    <s v="MH"/>
    <x v="1"/>
    <s v="Mumbai"/>
    <x v="0"/>
    <s v="P701"/>
    <s v="Ashwagandha Capsules"/>
    <x v="0"/>
    <n v="1"/>
    <n v="499"/>
    <n v="0.05"/>
    <n v="499"/>
    <n v="24.950000000000003"/>
    <n v="474.05"/>
    <n v="150"/>
    <n v="150"/>
    <n v="60"/>
    <n v="264.05"/>
    <n v="0.55700875435080688"/>
    <x v="1"/>
    <d v="2025-04-08T00:00:00"/>
    <n v="2"/>
    <x v="1"/>
    <n v="4"/>
    <n v="0"/>
  </r>
  <r>
    <s v="ORD-102774"/>
    <x v="458"/>
    <x v="1"/>
    <d v="2025-04-01T00:00:00"/>
    <n v="4"/>
    <s v="CUST-01113"/>
    <x v="0"/>
    <x v="8"/>
    <s v="AP"/>
    <x v="3"/>
    <s v="Vijayawada"/>
    <x v="0"/>
    <s v="P101"/>
    <s v="Vitamin C Face Serum"/>
    <x v="3"/>
    <n v="2"/>
    <n v="599"/>
    <n v="0.15"/>
    <n v="1198"/>
    <n v="179.7"/>
    <n v="1018.3"/>
    <n v="180"/>
    <n v="360"/>
    <n v="60"/>
    <n v="598.29999999999995"/>
    <n v="0.58754787390749286"/>
    <x v="0"/>
    <d v="2025-04-09T00:00:00"/>
    <n v="3"/>
    <x v="0"/>
    <n v="5"/>
    <n v="0"/>
  </r>
  <r>
    <s v="ORD-102775"/>
    <x v="458"/>
    <x v="1"/>
    <d v="2025-04-01T00:00:00"/>
    <n v="4"/>
    <s v="CUST-00754"/>
    <x v="0"/>
    <x v="14"/>
    <s v="KL"/>
    <x v="3"/>
    <s v="Kochi"/>
    <x v="0"/>
    <s v="P303"/>
    <s v="Joggers"/>
    <x v="1"/>
    <n v="1"/>
    <n v="1199"/>
    <n v="0.2"/>
    <n v="1199"/>
    <n v="239.8"/>
    <n v="959.2"/>
    <n v="492"/>
    <n v="492"/>
    <n v="60"/>
    <n v="407.20000000000005"/>
    <n v="0.42452043369474562"/>
    <x v="0"/>
    <d v="2025-04-10T00:00:00"/>
    <n v="4"/>
    <x v="0"/>
    <n v="3"/>
    <n v="0"/>
  </r>
  <r>
    <s v="ORD-102776"/>
    <x v="459"/>
    <x v="1"/>
    <d v="2025-04-01T00:00:00"/>
    <n v="4"/>
    <s v="CUST-00083"/>
    <x v="1"/>
    <x v="19"/>
    <s v="PB"/>
    <x v="0"/>
    <s v="Amritsar"/>
    <x v="4"/>
    <s v="P603"/>
    <s v="Smartwatch Strap"/>
    <x v="2"/>
    <n v="1"/>
    <n v="499"/>
    <n v="0.1"/>
    <n v="499"/>
    <n v="49.900000000000006"/>
    <n v="449.1"/>
    <n v="200"/>
    <n v="200"/>
    <n v="60"/>
    <n v="189.10000000000002"/>
    <n v="0.42106435092407041"/>
    <x v="1"/>
    <d v="2025-04-11T00:00:00"/>
    <n v="4"/>
    <x v="0"/>
    <m/>
    <n v="0"/>
  </r>
  <r>
    <s v="ORD-102777"/>
    <x v="459"/>
    <x v="1"/>
    <d v="2025-04-01T00:00:00"/>
    <n v="4"/>
    <s v="CUST-00231"/>
    <x v="1"/>
    <x v="6"/>
    <s v="DL"/>
    <x v="0"/>
    <s v="New Delhi"/>
    <x v="0"/>
    <s v="P603"/>
    <s v="Smartwatch Strap"/>
    <x v="2"/>
    <n v="2"/>
    <n v="499"/>
    <n v="0.15"/>
    <n v="998"/>
    <n v="149.69999999999999"/>
    <n v="848.3"/>
    <n v="200"/>
    <n v="400"/>
    <n v="60"/>
    <n v="388.29999999999995"/>
    <n v="0.45773900742661794"/>
    <x v="1"/>
    <d v="2025-04-09T00:00:00"/>
    <n v="2"/>
    <x v="1"/>
    <m/>
    <n v="0"/>
  </r>
  <r>
    <s v="ORD-102778"/>
    <x v="459"/>
    <x v="1"/>
    <d v="2025-04-01T00:00:00"/>
    <n v="4"/>
    <s v="CUST-00881"/>
    <x v="1"/>
    <x v="16"/>
    <s v="UP"/>
    <x v="0"/>
    <s v="Kanpur"/>
    <x v="4"/>
    <s v="P102"/>
    <s v="Sunscreen SPF 50"/>
    <x v="3"/>
    <n v="1"/>
    <n v="449"/>
    <n v="0.15"/>
    <n v="449"/>
    <n v="67.349999999999994"/>
    <n v="381.65"/>
    <n v="144"/>
    <n v="144"/>
    <n v="60"/>
    <n v="177.64999999999998"/>
    <n v="0.465478841870824"/>
    <x v="0"/>
    <d v="2025-04-12T00:00:00"/>
    <n v="5"/>
    <x v="2"/>
    <n v="4"/>
    <n v="0"/>
  </r>
  <r>
    <s v="ORD-102779"/>
    <x v="459"/>
    <x v="1"/>
    <d v="2025-04-01T00:00:00"/>
    <n v="4"/>
    <s v="CUST-00437"/>
    <x v="1"/>
    <x v="16"/>
    <s v="UP"/>
    <x v="0"/>
    <s v="Lucknow"/>
    <x v="3"/>
    <s v="P202"/>
    <s v="Argan Shampoo"/>
    <x v="6"/>
    <n v="2"/>
    <n v="449"/>
    <n v="0.05"/>
    <n v="898"/>
    <n v="44.900000000000006"/>
    <n v="853.1"/>
    <n v="148"/>
    <n v="296"/>
    <n v="60"/>
    <n v="497.1"/>
    <n v="0.58269839409213453"/>
    <x v="2"/>
    <d v="2025-04-10T00:00:00"/>
    <n v="3"/>
    <x v="0"/>
    <n v="4"/>
    <n v="0"/>
  </r>
  <r>
    <s v="ORD-102780"/>
    <x v="459"/>
    <x v="1"/>
    <d v="2025-04-01T00:00:00"/>
    <n v="4"/>
    <s v="CUST-02427"/>
    <x v="0"/>
    <x v="13"/>
    <s v="MP"/>
    <x v="1"/>
    <s v="Bhopal"/>
    <x v="4"/>
    <s v="P302"/>
    <s v="Linen Kurta"/>
    <x v="1"/>
    <n v="3"/>
    <n v="1499"/>
    <n v="0.25"/>
    <n v="4497"/>
    <n v="1124.25"/>
    <n v="3372.75"/>
    <n v="630"/>
    <n v="1890"/>
    <n v="60"/>
    <n v="1422.75"/>
    <n v="0.42183678007560593"/>
    <x v="4"/>
    <d v="2025-04-11T00:00:00"/>
    <n v="4"/>
    <x v="0"/>
    <n v="4"/>
    <n v="0"/>
  </r>
  <r>
    <s v="ORD-102781"/>
    <x v="459"/>
    <x v="1"/>
    <d v="2025-04-01T00:00:00"/>
    <n v="4"/>
    <s v="CUST-02252"/>
    <x v="0"/>
    <x v="7"/>
    <s v="JH"/>
    <x v="2"/>
    <s v="Ranchi"/>
    <x v="3"/>
    <s v="P104"/>
    <s v="Hydrating Face Wash"/>
    <x v="3"/>
    <n v="1"/>
    <n v="299"/>
    <n v="0"/>
    <n v="299"/>
    <n v="0"/>
    <n v="299"/>
    <n v="90"/>
    <n v="90"/>
    <n v="60"/>
    <n v="149"/>
    <n v="0.49832775919732442"/>
    <x v="1"/>
    <d v="2025-04-11T00:00:00"/>
    <n v="4"/>
    <x v="0"/>
    <m/>
    <n v="0"/>
  </r>
  <r>
    <s v="ORD-102782"/>
    <x v="459"/>
    <x v="1"/>
    <d v="2025-04-01T00:00:00"/>
    <n v="4"/>
    <s v="CUST-00115"/>
    <x v="1"/>
    <x v="2"/>
    <s v="MH"/>
    <x v="1"/>
    <s v="Pune"/>
    <x v="0"/>
    <s v="P101"/>
    <s v="Vitamin C Face Serum"/>
    <x v="3"/>
    <n v="4"/>
    <n v="599"/>
    <n v="0.1"/>
    <n v="2396"/>
    <n v="239.60000000000002"/>
    <n v="2156.4"/>
    <n v="180"/>
    <n v="720"/>
    <n v="60"/>
    <n v="1376.4"/>
    <n v="0.63828603227601555"/>
    <x v="4"/>
    <d v="2025-04-10T00:00:00"/>
    <n v="3"/>
    <x v="0"/>
    <m/>
    <n v="0"/>
  </r>
  <r>
    <s v="ORD-102783"/>
    <x v="459"/>
    <x v="1"/>
    <d v="2025-04-01T00:00:00"/>
    <n v="4"/>
    <s v="CUST-00976"/>
    <x v="1"/>
    <x v="11"/>
    <s v="KA"/>
    <x v="3"/>
    <s v="Bengaluru"/>
    <x v="0"/>
    <s v="P504"/>
    <s v="Cotton Bedsheet"/>
    <x v="4"/>
    <n v="1"/>
    <n v="1299"/>
    <n v="0"/>
    <n v="1299"/>
    <n v="0"/>
    <n v="1299"/>
    <n v="585"/>
    <n v="585"/>
    <n v="60"/>
    <n v="654"/>
    <n v="0.50346420323325636"/>
    <x v="4"/>
    <d v="2025-04-09T00:00:00"/>
    <n v="2"/>
    <x v="1"/>
    <n v="4"/>
    <n v="0"/>
  </r>
  <r>
    <s v="ORD-102784"/>
    <x v="459"/>
    <x v="1"/>
    <d v="2025-04-01T00:00:00"/>
    <n v="4"/>
    <s v="CUST-00529"/>
    <x v="1"/>
    <x v="11"/>
    <s v="KA"/>
    <x v="3"/>
    <s v="Mysuru"/>
    <x v="4"/>
    <s v="P302"/>
    <s v="Linen Kurta"/>
    <x v="1"/>
    <n v="1"/>
    <n v="1499"/>
    <n v="0.3"/>
    <n v="1499"/>
    <n v="449.7"/>
    <n v="1049.3"/>
    <n v="630"/>
    <n v="630"/>
    <n v="120"/>
    <n v="299.29999999999995"/>
    <n v="0.28523777756599633"/>
    <x v="3"/>
    <d v="2025-04-08T00:00:00"/>
    <n v="1"/>
    <x v="1"/>
    <n v="4"/>
    <n v="1"/>
  </r>
  <r>
    <s v="ORD-102785"/>
    <x v="459"/>
    <x v="1"/>
    <d v="2025-04-01T00:00:00"/>
    <n v="4"/>
    <s v="CUST-00784"/>
    <x v="1"/>
    <x v="11"/>
    <s v="KA"/>
    <x v="3"/>
    <s v="Mysuru"/>
    <x v="1"/>
    <s v="P302"/>
    <s v="Linen Kurta"/>
    <x v="1"/>
    <n v="2"/>
    <n v="1499"/>
    <n v="0.4"/>
    <n v="2998"/>
    <n v="1199.2"/>
    <n v="1798.8"/>
    <n v="630"/>
    <n v="1260"/>
    <n v="60"/>
    <n v="478.79999999999995"/>
    <n v="0.26617745163442291"/>
    <x v="0"/>
    <d v="2025-04-08T00:00:00"/>
    <n v="1"/>
    <x v="1"/>
    <n v="3"/>
    <n v="0"/>
  </r>
  <r>
    <s v="ORD-102786"/>
    <x v="460"/>
    <x v="1"/>
    <d v="2025-04-01T00:00:00"/>
    <n v="4"/>
    <s v="CUST-01523"/>
    <x v="1"/>
    <x v="9"/>
    <s v="UK"/>
    <x v="0"/>
    <s v="Dehradun"/>
    <x v="0"/>
    <s v="P302"/>
    <s v="Linen Kurta"/>
    <x v="1"/>
    <n v="1"/>
    <n v="1499"/>
    <n v="0.4"/>
    <n v="1499"/>
    <n v="599.6"/>
    <n v="899.4"/>
    <n v="630"/>
    <n v="630"/>
    <n v="60"/>
    <n v="209.39999999999998"/>
    <n v="0.23282188125416942"/>
    <x v="0"/>
    <d v="2025-04-12T00:00:00"/>
    <n v="4"/>
    <x v="0"/>
    <m/>
    <n v="0"/>
  </r>
  <r>
    <s v="ORD-102787"/>
    <x v="460"/>
    <x v="1"/>
    <d v="2025-04-01T00:00:00"/>
    <n v="4"/>
    <s v="CUST-01660"/>
    <x v="0"/>
    <x v="0"/>
    <s v="RJ"/>
    <x v="0"/>
    <s v="Jaipur"/>
    <x v="4"/>
    <s v="P303"/>
    <s v="Joggers"/>
    <x v="1"/>
    <n v="3"/>
    <n v="1199"/>
    <n v="0.2"/>
    <n v="3597"/>
    <n v="719.40000000000009"/>
    <n v="2877.6"/>
    <n v="492"/>
    <n v="1476"/>
    <n v="60"/>
    <n v="1341.6"/>
    <n v="0.46622185154295243"/>
    <x v="2"/>
    <d v="2025-04-10T00:00:00"/>
    <n v="2"/>
    <x v="1"/>
    <n v="5"/>
    <n v="0"/>
  </r>
  <r>
    <s v="ORD-102788"/>
    <x v="460"/>
    <x v="1"/>
    <d v="2025-04-01T00:00:00"/>
    <n v="4"/>
    <s v="CUST-01041"/>
    <x v="1"/>
    <x v="12"/>
    <s v="BR"/>
    <x v="2"/>
    <s v="Patna"/>
    <x v="2"/>
    <s v="P301"/>
    <s v="Cotton Oversized T-Shirt"/>
    <x v="1"/>
    <n v="1"/>
    <n v="799"/>
    <n v="0"/>
    <n v="799"/>
    <n v="0"/>
    <n v="799"/>
    <n v="320"/>
    <n v="320"/>
    <n v="60"/>
    <n v="419"/>
    <n v="0.52440550688360454"/>
    <x v="1"/>
    <d v="2025-04-13T00:00:00"/>
    <n v="5"/>
    <x v="2"/>
    <m/>
    <n v="0"/>
  </r>
  <r>
    <s v="ORD-102789"/>
    <x v="460"/>
    <x v="1"/>
    <d v="2025-04-01T00:00:00"/>
    <n v="4"/>
    <s v="CUST-00190"/>
    <x v="1"/>
    <x v="13"/>
    <s v="MP"/>
    <x v="1"/>
    <s v="Bhopal"/>
    <x v="3"/>
    <s v="P703"/>
    <s v="Green Tea (100 bags)"/>
    <x v="0"/>
    <n v="2"/>
    <n v="399"/>
    <n v="0.45"/>
    <n v="798"/>
    <n v="359.1"/>
    <n v="438.9"/>
    <n v="128"/>
    <n v="256"/>
    <n v="60"/>
    <n v="122.89999999999998"/>
    <n v="0.28001822738664839"/>
    <x v="3"/>
    <d v="2025-04-13T00:00:00"/>
    <n v="5"/>
    <x v="2"/>
    <n v="3"/>
    <n v="0"/>
  </r>
  <r>
    <s v="ORD-102790"/>
    <x v="460"/>
    <x v="1"/>
    <d v="2025-04-01T00:00:00"/>
    <n v="4"/>
    <s v="CUST-00407"/>
    <x v="1"/>
    <x v="11"/>
    <s v="KA"/>
    <x v="3"/>
    <s v="Bengaluru"/>
    <x v="0"/>
    <s v="P203"/>
    <s v="Keratin Hair Mask"/>
    <x v="6"/>
    <n v="1"/>
    <n v="549"/>
    <n v="0.2"/>
    <n v="549"/>
    <n v="109.80000000000001"/>
    <n v="439.2"/>
    <n v="170"/>
    <n v="170"/>
    <n v="60"/>
    <n v="209.2"/>
    <n v="0.47632058287795992"/>
    <x v="0"/>
    <d v="2025-04-10T00:00:00"/>
    <n v="2"/>
    <x v="1"/>
    <m/>
    <n v="0"/>
  </r>
  <r>
    <s v="ORD-102791"/>
    <x v="460"/>
    <x v="1"/>
    <d v="2025-04-01T00:00:00"/>
    <n v="4"/>
    <s v="CUST-01967"/>
    <x v="1"/>
    <x v="8"/>
    <s v="AP"/>
    <x v="3"/>
    <s v="Vijayawada"/>
    <x v="0"/>
    <s v="P101"/>
    <s v="Vitamin C Face Serum"/>
    <x v="3"/>
    <n v="1"/>
    <n v="599"/>
    <n v="0.2"/>
    <n v="599"/>
    <n v="119.80000000000001"/>
    <n v="479.2"/>
    <n v="180"/>
    <n v="180"/>
    <n v="60"/>
    <n v="239.2"/>
    <n v="0.4991652754590985"/>
    <x v="4"/>
    <d v="2025-04-14T00:00:00"/>
    <n v="6"/>
    <x v="2"/>
    <n v="3"/>
    <n v="0"/>
  </r>
  <r>
    <s v="ORD-102792"/>
    <x v="461"/>
    <x v="1"/>
    <d v="2025-04-01T00:00:00"/>
    <n v="4"/>
    <s v="CUST-00961"/>
    <x v="1"/>
    <x v="0"/>
    <s v="RJ"/>
    <x v="0"/>
    <s v="Jaipur"/>
    <x v="1"/>
    <s v="P301"/>
    <s v="Cotton Oversized T-Shirt"/>
    <x v="1"/>
    <n v="1"/>
    <n v="799"/>
    <n v="0.05"/>
    <n v="799"/>
    <n v="39.950000000000003"/>
    <n v="759.05"/>
    <n v="320"/>
    <n v="320"/>
    <n v="60"/>
    <n v="379.04999999999995"/>
    <n v="0.49937421777221525"/>
    <x v="0"/>
    <d v="2025-04-13T00:00:00"/>
    <n v="4"/>
    <x v="0"/>
    <m/>
    <n v="0"/>
  </r>
  <r>
    <s v="ORD-102793"/>
    <x v="461"/>
    <x v="1"/>
    <d v="2025-04-01T00:00:00"/>
    <n v="4"/>
    <s v="CUST-00590"/>
    <x v="0"/>
    <x v="0"/>
    <s v="RJ"/>
    <x v="0"/>
    <s v="Udaipur"/>
    <x v="4"/>
    <s v="P103"/>
    <s v="Niacinamide Toner"/>
    <x v="3"/>
    <n v="1"/>
    <n v="399"/>
    <n v="0.25"/>
    <n v="399"/>
    <n v="99.75"/>
    <n v="299.25"/>
    <n v="112"/>
    <n v="112"/>
    <n v="60"/>
    <n v="127.25"/>
    <n v="0.42522974101921468"/>
    <x v="0"/>
    <d v="2025-04-11T00:00:00"/>
    <n v="2"/>
    <x v="1"/>
    <n v="5"/>
    <n v="0"/>
  </r>
  <r>
    <s v="ORD-102794"/>
    <x v="461"/>
    <x v="1"/>
    <d v="2025-04-01T00:00:00"/>
    <n v="4"/>
    <s v="CUST-00025"/>
    <x v="1"/>
    <x v="12"/>
    <s v="BR"/>
    <x v="2"/>
    <s v="Patna"/>
    <x v="0"/>
    <s v="P104"/>
    <s v="Hydrating Face Wash"/>
    <x v="3"/>
    <n v="1"/>
    <n v="299"/>
    <n v="0.05"/>
    <n v="299"/>
    <n v="14.950000000000001"/>
    <n v="284.05"/>
    <n v="90"/>
    <n v="90"/>
    <n v="60"/>
    <n v="134.05000000000001"/>
    <n v="0.47192395704981521"/>
    <x v="2"/>
    <d v="2025-04-14T00:00:00"/>
    <n v="5"/>
    <x v="2"/>
    <n v="4"/>
    <n v="0"/>
  </r>
  <r>
    <s v="ORD-102795"/>
    <x v="461"/>
    <x v="1"/>
    <d v="2025-04-01T00:00:00"/>
    <n v="4"/>
    <s v="CUST-01148"/>
    <x v="1"/>
    <x v="22"/>
    <s v="AS"/>
    <x v="2"/>
    <s v="Guwahati"/>
    <x v="4"/>
    <s v="P404"/>
    <s v="Flip Flops"/>
    <x v="5"/>
    <n v="1"/>
    <n v="399"/>
    <n v="0.05"/>
    <n v="399"/>
    <n v="19.950000000000003"/>
    <n v="379.05"/>
    <n v="152"/>
    <n v="152"/>
    <n v="60"/>
    <n v="167.05"/>
    <n v="0.44070703073473161"/>
    <x v="0"/>
    <d v="2025-04-14T00:00:00"/>
    <n v="5"/>
    <x v="2"/>
    <m/>
    <n v="0"/>
  </r>
  <r>
    <s v="ORD-102796"/>
    <x v="461"/>
    <x v="1"/>
    <d v="2025-04-01T00:00:00"/>
    <n v="4"/>
    <s v="CUST-00297"/>
    <x v="1"/>
    <x v="22"/>
    <s v="AS"/>
    <x v="2"/>
    <s v="Guwahati"/>
    <x v="0"/>
    <s v="P704"/>
    <s v="Multivitamin Gummies"/>
    <x v="0"/>
    <n v="1"/>
    <n v="699"/>
    <n v="0.25"/>
    <n v="699"/>
    <n v="174.75"/>
    <n v="524.25"/>
    <n v="238"/>
    <n v="238"/>
    <n v="60"/>
    <n v="226.25"/>
    <n v="0.43156890796375774"/>
    <x v="0"/>
    <d v="2025-04-14T00:00:00"/>
    <n v="5"/>
    <x v="2"/>
    <n v="4"/>
    <n v="0"/>
  </r>
  <r>
    <s v="ORD-102797"/>
    <x v="461"/>
    <x v="1"/>
    <d v="2025-04-01T00:00:00"/>
    <n v="4"/>
    <s v="CUST-01160"/>
    <x v="1"/>
    <x v="1"/>
    <s v="GJ"/>
    <x v="1"/>
    <s v="Surat"/>
    <x v="2"/>
    <s v="P204"/>
    <s v="Anti-Dandruff Conditioner"/>
    <x v="6"/>
    <n v="1"/>
    <n v="399"/>
    <n v="0.25"/>
    <n v="399"/>
    <n v="99.75"/>
    <n v="299.25"/>
    <n v="136"/>
    <n v="136"/>
    <n v="60"/>
    <n v="103.25"/>
    <n v="0.34502923976608185"/>
    <x v="0"/>
    <d v="2025-04-14T00:00:00"/>
    <n v="5"/>
    <x v="2"/>
    <n v="4"/>
    <n v="0"/>
  </r>
  <r>
    <s v="ORD-102798"/>
    <x v="461"/>
    <x v="1"/>
    <d v="2025-04-01T00:00:00"/>
    <n v="4"/>
    <s v="CUST-01874"/>
    <x v="0"/>
    <x v="10"/>
    <s v="CG"/>
    <x v="2"/>
    <s v="Raipur"/>
    <x v="4"/>
    <s v="P301"/>
    <s v="Cotton Oversized T-Shirt"/>
    <x v="1"/>
    <n v="1"/>
    <n v="799"/>
    <n v="0"/>
    <n v="799"/>
    <n v="0"/>
    <n v="799"/>
    <n v="320"/>
    <n v="320"/>
    <n v="120"/>
    <n v="359"/>
    <n v="0.44931163954943681"/>
    <x v="0"/>
    <d v="2025-04-12T00:00:00"/>
    <n v="3"/>
    <x v="0"/>
    <n v="2"/>
    <n v="1"/>
  </r>
  <r>
    <s v="ORD-102799"/>
    <x v="461"/>
    <x v="1"/>
    <d v="2025-04-01T00:00:00"/>
    <n v="4"/>
    <s v="CUST-00207"/>
    <x v="1"/>
    <x v="2"/>
    <s v="MH"/>
    <x v="1"/>
    <s v="Nagpur"/>
    <x v="4"/>
    <s v="P504"/>
    <s v="Cotton Bedsheet"/>
    <x v="4"/>
    <n v="1"/>
    <n v="1299"/>
    <n v="0"/>
    <n v="1299"/>
    <n v="0"/>
    <n v="1299"/>
    <n v="585"/>
    <n v="585"/>
    <n v="60"/>
    <n v="654"/>
    <n v="0.50346420323325636"/>
    <x v="0"/>
    <d v="2025-04-11T00:00:00"/>
    <n v="2"/>
    <x v="1"/>
    <m/>
    <n v="0"/>
  </r>
  <r>
    <s v="ORD-102800"/>
    <x v="461"/>
    <x v="1"/>
    <d v="2025-04-01T00:00:00"/>
    <n v="4"/>
    <s v="CUST-02128"/>
    <x v="0"/>
    <x v="21"/>
    <s v="TG"/>
    <x v="3"/>
    <s v="Hyderabad"/>
    <x v="0"/>
    <s v="P102"/>
    <s v="Sunscreen SPF 50"/>
    <x v="3"/>
    <n v="2"/>
    <n v="449"/>
    <n v="0.1"/>
    <n v="898"/>
    <n v="89.800000000000011"/>
    <n v="808.2"/>
    <n v="144"/>
    <n v="288"/>
    <n v="60"/>
    <n v="460.20000000000005"/>
    <n v="0.56941351150705277"/>
    <x v="0"/>
    <d v="2025-04-10T00:00:00"/>
    <n v="1"/>
    <x v="1"/>
    <n v="5"/>
    <n v="0"/>
  </r>
  <r>
    <s v="ORD-102801"/>
    <x v="461"/>
    <x v="1"/>
    <d v="2025-04-01T00:00:00"/>
    <n v="4"/>
    <s v="CUST-03000"/>
    <x v="0"/>
    <x v="3"/>
    <s v="OD"/>
    <x v="2"/>
    <s v="Bhubaneswar"/>
    <x v="4"/>
    <s v="P201"/>
    <s v="Onion Hair Oil"/>
    <x v="6"/>
    <n v="2"/>
    <n v="349"/>
    <n v="0.35"/>
    <n v="698"/>
    <n v="244.29999999999998"/>
    <n v="453.70000000000005"/>
    <n v="105"/>
    <n v="210"/>
    <n v="60"/>
    <n v="183.70000000000005"/>
    <n v="0.40489310116817284"/>
    <x v="0"/>
    <d v="2025-04-14T00:00:00"/>
    <n v="5"/>
    <x v="2"/>
    <n v="3"/>
    <n v="0"/>
  </r>
  <r>
    <s v="ORD-102802"/>
    <x v="461"/>
    <x v="1"/>
    <d v="2025-04-01T00:00:00"/>
    <n v="4"/>
    <s v="CUST-01972"/>
    <x v="0"/>
    <x v="17"/>
    <s v="TN"/>
    <x v="3"/>
    <s v="Coimbatore"/>
    <x v="0"/>
    <s v="P404"/>
    <s v="Flip Flops"/>
    <x v="5"/>
    <n v="1"/>
    <n v="399"/>
    <n v="0.2"/>
    <n v="399"/>
    <n v="79.800000000000011"/>
    <n v="319.2"/>
    <n v="152"/>
    <n v="152"/>
    <n v="60"/>
    <n v="107.19999999999999"/>
    <n v="0.33583959899749372"/>
    <x v="2"/>
    <d v="2025-04-11T00:00:00"/>
    <n v="2"/>
    <x v="1"/>
    <n v="5"/>
    <n v="0"/>
  </r>
  <r>
    <s v="ORD-102803"/>
    <x v="461"/>
    <x v="1"/>
    <d v="2025-04-01T00:00:00"/>
    <n v="4"/>
    <s v="CUST-00017"/>
    <x v="1"/>
    <x v="17"/>
    <s v="TN"/>
    <x v="3"/>
    <s v="Chennai"/>
    <x v="2"/>
    <s v="P202"/>
    <s v="Argan Shampoo"/>
    <x v="6"/>
    <n v="3"/>
    <n v="449"/>
    <n v="0"/>
    <n v="1347"/>
    <n v="0"/>
    <n v="1347"/>
    <n v="148"/>
    <n v="444"/>
    <n v="60"/>
    <n v="843"/>
    <n v="0.62583518930957682"/>
    <x v="1"/>
    <d v="2025-04-13T00:00:00"/>
    <n v="4"/>
    <x v="0"/>
    <n v="4"/>
    <n v="0"/>
  </r>
  <r>
    <s v="ORD-102804"/>
    <x v="462"/>
    <x v="1"/>
    <d v="2025-04-01T00:00:00"/>
    <n v="4"/>
    <s v="CUST-00288"/>
    <x v="1"/>
    <x v="0"/>
    <s v="RJ"/>
    <x v="0"/>
    <s v="Jaipur"/>
    <x v="4"/>
    <s v="P403"/>
    <s v="Kolhapuri Sandals"/>
    <x v="5"/>
    <n v="1"/>
    <n v="999"/>
    <n v="0.15"/>
    <n v="999"/>
    <n v="149.85"/>
    <n v="849.15"/>
    <n v="400"/>
    <n v="400"/>
    <n v="60"/>
    <n v="389.15"/>
    <n v="0.45828181122298767"/>
    <x v="3"/>
    <d v="2025-04-16T00:00:00"/>
    <n v="6"/>
    <x v="2"/>
    <m/>
    <n v="0"/>
  </r>
  <r>
    <s v="ORD-102805"/>
    <x v="462"/>
    <x v="1"/>
    <d v="2025-04-01T00:00:00"/>
    <n v="4"/>
    <s v="CUST-00430"/>
    <x v="1"/>
    <x v="0"/>
    <s v="RJ"/>
    <x v="0"/>
    <s v="Udaipur"/>
    <x v="4"/>
    <s v="P203"/>
    <s v="Keratin Hair Mask"/>
    <x v="6"/>
    <n v="1"/>
    <n v="549"/>
    <n v="0.1"/>
    <n v="549"/>
    <n v="54.900000000000006"/>
    <n v="494.1"/>
    <n v="170"/>
    <n v="170"/>
    <n v="60"/>
    <n v="264.10000000000002"/>
    <n v="0.53450718478040882"/>
    <x v="1"/>
    <d v="2025-04-16T00:00:00"/>
    <n v="6"/>
    <x v="2"/>
    <n v="3"/>
    <n v="0"/>
  </r>
  <r>
    <s v="ORD-102806"/>
    <x v="462"/>
    <x v="1"/>
    <d v="2025-04-01T00:00:00"/>
    <n v="4"/>
    <s v="CUST-00802"/>
    <x v="1"/>
    <x v="15"/>
    <s v="HR"/>
    <x v="0"/>
    <s v="Faridabad"/>
    <x v="4"/>
    <s v="P702"/>
    <s v="Whey Protein 1kg"/>
    <x v="0"/>
    <n v="2"/>
    <n v="2299"/>
    <n v="0.45"/>
    <n v="4598"/>
    <n v="2069.1"/>
    <n v="2528.9"/>
    <n v="1333"/>
    <n v="2666"/>
    <n v="60"/>
    <n v="-197.09999999999991"/>
    <n v="-7.7939024872474158E-2"/>
    <x v="0"/>
    <d v="2025-04-13T00:00:00"/>
    <n v="3"/>
    <x v="0"/>
    <m/>
    <n v="0"/>
  </r>
  <r>
    <s v="ORD-102807"/>
    <x v="462"/>
    <x v="1"/>
    <d v="2025-04-01T00:00:00"/>
    <n v="4"/>
    <s v="CUST-03058"/>
    <x v="1"/>
    <x v="6"/>
    <s v="DL"/>
    <x v="0"/>
    <s v="New Delhi"/>
    <x v="0"/>
    <s v="P402"/>
    <s v="Casual Sneakers"/>
    <x v="5"/>
    <n v="1"/>
    <n v="2199"/>
    <n v="0.15"/>
    <n v="2199"/>
    <n v="329.84999999999997"/>
    <n v="1869.15"/>
    <n v="1034"/>
    <n v="1034"/>
    <n v="120"/>
    <n v="715.15000000000009"/>
    <n v="0.38260706738357009"/>
    <x v="0"/>
    <d v="2025-04-11T00:00:00"/>
    <n v="1"/>
    <x v="1"/>
    <m/>
    <n v="1"/>
  </r>
  <r>
    <s v="ORD-102808"/>
    <x v="462"/>
    <x v="1"/>
    <d v="2025-04-01T00:00:00"/>
    <n v="4"/>
    <s v="CUST-00046"/>
    <x v="1"/>
    <x v="13"/>
    <s v="MP"/>
    <x v="1"/>
    <s v="Indore"/>
    <x v="0"/>
    <s v="P101"/>
    <s v="Vitamin C Face Serum"/>
    <x v="3"/>
    <n v="1"/>
    <n v="599"/>
    <n v="0.2"/>
    <n v="599"/>
    <n v="119.80000000000001"/>
    <n v="479.2"/>
    <n v="180"/>
    <n v="180"/>
    <n v="60"/>
    <n v="239.2"/>
    <n v="0.4991652754590985"/>
    <x v="1"/>
    <d v="2025-04-15T00:00:00"/>
    <n v="5"/>
    <x v="2"/>
    <m/>
    <n v="0"/>
  </r>
  <r>
    <s v="ORD-102809"/>
    <x v="462"/>
    <x v="1"/>
    <d v="2025-04-01T00:00:00"/>
    <n v="4"/>
    <s v="CUST-00674"/>
    <x v="1"/>
    <x v="14"/>
    <s v="KL"/>
    <x v="3"/>
    <s v="Kochi"/>
    <x v="2"/>
    <s v="P103"/>
    <s v="Niacinamide Toner"/>
    <x v="3"/>
    <n v="1"/>
    <n v="399"/>
    <n v="0.2"/>
    <n v="399"/>
    <n v="79.800000000000011"/>
    <n v="319.2"/>
    <n v="112"/>
    <n v="112"/>
    <n v="60"/>
    <n v="147.19999999999999"/>
    <n v="0.46115288220551376"/>
    <x v="0"/>
    <d v="2025-04-14T00:00:00"/>
    <n v="4"/>
    <x v="0"/>
    <n v="3"/>
    <n v="0"/>
  </r>
  <r>
    <s v="ORD-102810"/>
    <x v="462"/>
    <x v="1"/>
    <d v="2025-04-01T00:00:00"/>
    <n v="4"/>
    <s v="CUST-00191"/>
    <x v="1"/>
    <x v="14"/>
    <s v="KL"/>
    <x v="3"/>
    <s v="Kochi"/>
    <x v="1"/>
    <s v="P404"/>
    <s v="Flip Flops"/>
    <x v="5"/>
    <n v="1"/>
    <n v="399"/>
    <n v="0.1"/>
    <n v="399"/>
    <n v="39.900000000000006"/>
    <n v="359.1"/>
    <n v="152"/>
    <n v="152"/>
    <n v="120"/>
    <n v="87.100000000000023"/>
    <n v="0.24255082149818996"/>
    <x v="0"/>
    <d v="2025-04-14T00:00:00"/>
    <n v="4"/>
    <x v="0"/>
    <m/>
    <n v="1"/>
  </r>
  <r>
    <s v="ORD-102811"/>
    <x v="463"/>
    <x v="1"/>
    <d v="2025-04-01T00:00:00"/>
    <n v="4"/>
    <s v="CUST-01122"/>
    <x v="0"/>
    <x v="0"/>
    <s v="RJ"/>
    <x v="0"/>
    <s v="Jaipur"/>
    <x v="3"/>
    <s v="P105"/>
    <s v="Retinol Night Cream"/>
    <x v="3"/>
    <n v="4"/>
    <n v="799"/>
    <n v="0"/>
    <n v="3196"/>
    <n v="0"/>
    <n v="3196"/>
    <n v="216"/>
    <n v="864"/>
    <n v="60"/>
    <n v="2272"/>
    <n v="0.71088861076345433"/>
    <x v="0"/>
    <d v="2025-04-14T00:00:00"/>
    <n v="3"/>
    <x v="0"/>
    <m/>
    <n v="0"/>
  </r>
  <r>
    <s v="ORD-102812"/>
    <x v="463"/>
    <x v="1"/>
    <d v="2025-04-01T00:00:00"/>
    <n v="4"/>
    <s v="CUST-02808"/>
    <x v="0"/>
    <x v="0"/>
    <s v="RJ"/>
    <x v="0"/>
    <s v="Udaipur"/>
    <x v="1"/>
    <s v="P303"/>
    <s v="Joggers"/>
    <x v="1"/>
    <n v="1"/>
    <n v="1199"/>
    <n v="0.15"/>
    <n v="1199"/>
    <n v="179.85"/>
    <n v="1019.15"/>
    <n v="492"/>
    <n v="492"/>
    <n v="60"/>
    <n v="467.15"/>
    <n v="0.45837217288917231"/>
    <x v="0"/>
    <d v="2025-04-13T00:00:00"/>
    <n v="2"/>
    <x v="1"/>
    <n v="4"/>
    <n v="0"/>
  </r>
  <r>
    <s v="ORD-102813"/>
    <x v="463"/>
    <x v="1"/>
    <d v="2025-04-01T00:00:00"/>
    <n v="4"/>
    <s v="CUST-00885"/>
    <x v="0"/>
    <x v="0"/>
    <s v="RJ"/>
    <x v="0"/>
    <s v="Udaipur"/>
    <x v="4"/>
    <s v="P301"/>
    <s v="Cotton Oversized T-Shirt"/>
    <x v="1"/>
    <n v="1"/>
    <n v="799"/>
    <n v="0"/>
    <n v="799"/>
    <n v="0"/>
    <n v="799"/>
    <n v="320"/>
    <n v="320"/>
    <n v="60"/>
    <n v="419"/>
    <n v="0.52440550688360454"/>
    <x v="1"/>
    <d v="2025-04-17T00:00:00"/>
    <n v="6"/>
    <x v="2"/>
    <n v="3"/>
    <n v="0"/>
  </r>
  <r>
    <s v="ORD-102814"/>
    <x v="463"/>
    <x v="1"/>
    <d v="2025-04-01T00:00:00"/>
    <n v="4"/>
    <s v="CUST-02744"/>
    <x v="1"/>
    <x v="15"/>
    <s v="HR"/>
    <x v="0"/>
    <s v="Faridabad"/>
    <x v="0"/>
    <s v="P302"/>
    <s v="Linen Kurta"/>
    <x v="1"/>
    <n v="1"/>
    <n v="1499"/>
    <n v="0.4"/>
    <n v="1499"/>
    <n v="599.6"/>
    <n v="899.4"/>
    <n v="630"/>
    <n v="630"/>
    <n v="60"/>
    <n v="209.39999999999998"/>
    <n v="0.23282188125416942"/>
    <x v="0"/>
    <d v="2025-04-14T00:00:00"/>
    <n v="3"/>
    <x v="0"/>
    <n v="3"/>
    <n v="0"/>
  </r>
  <r>
    <s v="ORD-102815"/>
    <x v="463"/>
    <x v="1"/>
    <d v="2025-04-01T00:00:00"/>
    <n v="4"/>
    <s v="CUST-01146"/>
    <x v="1"/>
    <x v="16"/>
    <s v="UP"/>
    <x v="0"/>
    <s v="Noida"/>
    <x v="1"/>
    <s v="P404"/>
    <s v="Flip Flops"/>
    <x v="5"/>
    <n v="1"/>
    <n v="399"/>
    <n v="0.1"/>
    <n v="399"/>
    <n v="39.900000000000006"/>
    <n v="359.1"/>
    <n v="152"/>
    <n v="152"/>
    <n v="60"/>
    <n v="147.10000000000002"/>
    <n v="0.40963519910888335"/>
    <x v="0"/>
    <d v="2025-04-14T00:00:00"/>
    <n v="3"/>
    <x v="0"/>
    <n v="4"/>
    <n v="0"/>
  </r>
  <r>
    <s v="ORD-102816"/>
    <x v="463"/>
    <x v="1"/>
    <d v="2025-04-01T00:00:00"/>
    <n v="4"/>
    <s v="CUST-00778"/>
    <x v="1"/>
    <x v="16"/>
    <s v="UP"/>
    <x v="0"/>
    <s v="Kanpur"/>
    <x v="4"/>
    <s v="P701"/>
    <s v="Ashwagandha Capsules"/>
    <x v="0"/>
    <n v="2"/>
    <n v="499"/>
    <n v="0"/>
    <n v="998"/>
    <n v="0"/>
    <n v="998"/>
    <n v="150"/>
    <n v="300"/>
    <n v="60"/>
    <n v="638"/>
    <n v="0.63927855711422843"/>
    <x v="1"/>
    <d v="2025-04-15T00:00:00"/>
    <n v="4"/>
    <x v="0"/>
    <n v="3"/>
    <n v="0"/>
  </r>
  <r>
    <s v="ORD-102817"/>
    <x v="463"/>
    <x v="1"/>
    <d v="2025-04-01T00:00:00"/>
    <n v="4"/>
    <s v="CUST-02657"/>
    <x v="1"/>
    <x v="3"/>
    <s v="OD"/>
    <x v="2"/>
    <s v="Bhubaneswar"/>
    <x v="0"/>
    <s v="P503"/>
    <s v="Scented Candle Set"/>
    <x v="4"/>
    <n v="1"/>
    <n v="699"/>
    <n v="0.15"/>
    <n v="699"/>
    <n v="104.85"/>
    <n v="594.15"/>
    <n v="245"/>
    <n v="245"/>
    <n v="60"/>
    <n v="289.14999999999998"/>
    <n v="0.48666161743667424"/>
    <x v="0"/>
    <d v="2025-04-14T00:00:00"/>
    <n v="3"/>
    <x v="0"/>
    <m/>
    <n v="0"/>
  </r>
  <r>
    <s v="ORD-102818"/>
    <x v="463"/>
    <x v="1"/>
    <d v="2025-04-01T00:00:00"/>
    <n v="4"/>
    <s v="CUST-01858"/>
    <x v="0"/>
    <x v="20"/>
    <s v="GA"/>
    <x v="1"/>
    <s v="Panaji"/>
    <x v="2"/>
    <s v="P701"/>
    <s v="Ashwagandha Capsules"/>
    <x v="0"/>
    <n v="1"/>
    <n v="499"/>
    <n v="0"/>
    <n v="499"/>
    <n v="0"/>
    <n v="499"/>
    <n v="150"/>
    <n v="150"/>
    <n v="60"/>
    <n v="289"/>
    <n v="0.57915831663326656"/>
    <x v="0"/>
    <d v="2025-04-14T00:00:00"/>
    <n v="3"/>
    <x v="0"/>
    <m/>
    <n v="0"/>
  </r>
  <r>
    <s v="ORD-102819"/>
    <x v="463"/>
    <x v="1"/>
    <d v="2025-04-01T00:00:00"/>
    <n v="4"/>
    <s v="CUST-01132"/>
    <x v="0"/>
    <x v="14"/>
    <s v="KL"/>
    <x v="3"/>
    <s v="Thiruvananthapuram"/>
    <x v="1"/>
    <s v="P401"/>
    <s v="Running Shoes"/>
    <x v="5"/>
    <n v="1"/>
    <n v="2999"/>
    <n v="0.25"/>
    <n v="2999"/>
    <n v="749.75"/>
    <n v="2249.25"/>
    <n v="1440"/>
    <n v="1440"/>
    <n v="120"/>
    <n v="689.25"/>
    <n v="0.30643547849283093"/>
    <x v="0"/>
    <d v="2025-04-16T00:00:00"/>
    <n v="5"/>
    <x v="2"/>
    <n v="4"/>
    <n v="1"/>
  </r>
  <r>
    <s v="ORD-102820"/>
    <x v="464"/>
    <x v="1"/>
    <d v="2025-04-01T00:00:00"/>
    <n v="4"/>
    <s v="CUST-00883"/>
    <x v="1"/>
    <x v="19"/>
    <s v="PB"/>
    <x v="0"/>
    <s v="Ludhiana"/>
    <x v="3"/>
    <s v="P102"/>
    <s v="Sunscreen SPF 50"/>
    <x v="3"/>
    <n v="1"/>
    <n v="449"/>
    <n v="0.05"/>
    <n v="449"/>
    <n v="22.450000000000003"/>
    <n v="426.55"/>
    <n v="144"/>
    <n v="144"/>
    <n v="60"/>
    <n v="222.55"/>
    <n v="0.52174422693705313"/>
    <x v="0"/>
    <d v="2025-04-16T00:00:00"/>
    <n v="4"/>
    <x v="0"/>
    <n v="5"/>
    <n v="0"/>
  </r>
  <r>
    <s v="ORD-102821"/>
    <x v="464"/>
    <x v="1"/>
    <d v="2025-04-01T00:00:00"/>
    <n v="4"/>
    <s v="CUST-00001"/>
    <x v="1"/>
    <x v="1"/>
    <s v="GJ"/>
    <x v="1"/>
    <s v="Surat"/>
    <x v="2"/>
    <s v="P502"/>
    <s v="Ceramic Dinner Set"/>
    <x v="4"/>
    <n v="2"/>
    <n v="2499"/>
    <n v="0.2"/>
    <n v="4998"/>
    <n v="999.6"/>
    <n v="3998.4"/>
    <n v="1250"/>
    <n v="2500"/>
    <n v="60"/>
    <n v="1438.4"/>
    <n v="0.35974389755902364"/>
    <x v="1"/>
    <d v="2025-04-18T00:00:00"/>
    <n v="6"/>
    <x v="2"/>
    <m/>
    <n v="0"/>
  </r>
  <r>
    <s v="ORD-102822"/>
    <x v="464"/>
    <x v="1"/>
    <d v="2025-04-01T00:00:00"/>
    <n v="4"/>
    <s v="CUST-00434"/>
    <x v="1"/>
    <x v="8"/>
    <s v="AP"/>
    <x v="3"/>
    <s v="Vijayawada"/>
    <x v="1"/>
    <s v="P404"/>
    <s v="Flip Flops"/>
    <x v="5"/>
    <n v="1"/>
    <n v="399"/>
    <n v="0.1"/>
    <n v="399"/>
    <n v="39.900000000000006"/>
    <n v="359.1"/>
    <n v="152"/>
    <n v="152"/>
    <n v="60"/>
    <n v="147.10000000000002"/>
    <n v="0.40963519910888335"/>
    <x v="4"/>
    <d v="2025-04-15T00:00:00"/>
    <n v="3"/>
    <x v="0"/>
    <n v="5"/>
    <n v="0"/>
  </r>
  <r>
    <s v="ORD-102823"/>
    <x v="464"/>
    <x v="1"/>
    <d v="2025-04-01T00:00:00"/>
    <n v="4"/>
    <s v="CUST-00934"/>
    <x v="1"/>
    <x v="17"/>
    <s v="TN"/>
    <x v="3"/>
    <s v="Chennai"/>
    <x v="3"/>
    <s v="P203"/>
    <s v="Keratin Hair Mask"/>
    <x v="6"/>
    <n v="1"/>
    <n v="549"/>
    <n v="0.2"/>
    <n v="549"/>
    <n v="109.80000000000001"/>
    <n v="439.2"/>
    <n v="170"/>
    <n v="170"/>
    <n v="60"/>
    <n v="209.2"/>
    <n v="0.47632058287795992"/>
    <x v="3"/>
    <d v="2025-04-14T00:00:00"/>
    <n v="2"/>
    <x v="1"/>
    <m/>
    <n v="0"/>
  </r>
  <r>
    <s v="ORD-102824"/>
    <x v="465"/>
    <x v="1"/>
    <d v="2025-04-01T00:00:00"/>
    <n v="4"/>
    <s v="CUST-00876"/>
    <x v="1"/>
    <x v="16"/>
    <s v="UP"/>
    <x v="0"/>
    <s v="Kanpur"/>
    <x v="0"/>
    <s v="P403"/>
    <s v="Kolhapuri Sandals"/>
    <x v="5"/>
    <n v="1"/>
    <n v="999"/>
    <n v="0.1"/>
    <n v="999"/>
    <n v="99.9"/>
    <n v="899.1"/>
    <n v="400"/>
    <n v="400"/>
    <n v="60"/>
    <n v="439.1"/>
    <n v="0.48837726615504395"/>
    <x v="4"/>
    <d v="2025-04-16T00:00:00"/>
    <n v="3"/>
    <x v="0"/>
    <n v="3"/>
    <n v="0"/>
  </r>
  <r>
    <s v="ORD-102825"/>
    <x v="465"/>
    <x v="1"/>
    <d v="2025-04-01T00:00:00"/>
    <n v="4"/>
    <s v="CUST-00103"/>
    <x v="1"/>
    <x v="12"/>
    <s v="BR"/>
    <x v="2"/>
    <s v="Patna"/>
    <x v="0"/>
    <s v="P202"/>
    <s v="Argan Shampoo"/>
    <x v="6"/>
    <n v="1"/>
    <n v="449"/>
    <n v="0.1"/>
    <n v="449"/>
    <n v="44.900000000000006"/>
    <n v="404.1"/>
    <n v="148"/>
    <n v="148"/>
    <n v="60"/>
    <n v="196.10000000000002"/>
    <n v="0.48527592180153428"/>
    <x v="3"/>
    <d v="2025-04-17T00:00:00"/>
    <n v="4"/>
    <x v="0"/>
    <m/>
    <n v="0"/>
  </r>
  <r>
    <s v="ORD-102826"/>
    <x v="465"/>
    <x v="1"/>
    <d v="2025-04-01T00:00:00"/>
    <n v="4"/>
    <s v="CUST-00980"/>
    <x v="1"/>
    <x v="18"/>
    <s v="WB"/>
    <x v="2"/>
    <s v="Kolkata"/>
    <x v="1"/>
    <s v="P404"/>
    <s v="Flip Flops"/>
    <x v="5"/>
    <n v="1"/>
    <n v="399"/>
    <n v="0.2"/>
    <n v="399"/>
    <n v="79.800000000000011"/>
    <n v="319.2"/>
    <n v="152"/>
    <n v="152"/>
    <n v="60"/>
    <n v="107.19999999999999"/>
    <n v="0.33583959899749372"/>
    <x v="1"/>
    <d v="2025-04-17T00:00:00"/>
    <n v="4"/>
    <x v="0"/>
    <n v="5"/>
    <n v="0"/>
  </r>
  <r>
    <s v="ORD-102827"/>
    <x v="465"/>
    <x v="1"/>
    <d v="2025-04-01T00:00:00"/>
    <n v="4"/>
    <s v="CUST-00031"/>
    <x v="0"/>
    <x v="21"/>
    <s v="TG"/>
    <x v="3"/>
    <s v="Hyderabad"/>
    <x v="0"/>
    <s v="P704"/>
    <s v="Multivitamin Gummies"/>
    <x v="0"/>
    <n v="1"/>
    <n v="699"/>
    <n v="0.2"/>
    <n v="699"/>
    <n v="139.80000000000001"/>
    <n v="559.20000000000005"/>
    <n v="238"/>
    <n v="238"/>
    <n v="60"/>
    <n v="261.20000000000005"/>
    <n v="0.46709585121602293"/>
    <x v="0"/>
    <d v="2025-04-15T00:00:00"/>
    <n v="2"/>
    <x v="1"/>
    <m/>
    <n v="0"/>
  </r>
  <r>
    <s v="ORD-102828"/>
    <x v="466"/>
    <x v="1"/>
    <d v="2025-04-01T00:00:00"/>
    <n v="4"/>
    <s v="CUST-00976"/>
    <x v="1"/>
    <x v="15"/>
    <s v="HR"/>
    <x v="0"/>
    <s v="Gurugram"/>
    <x v="4"/>
    <s v="P603"/>
    <s v="Smartwatch Strap"/>
    <x v="2"/>
    <n v="1"/>
    <n v="499"/>
    <n v="0.1"/>
    <n v="499"/>
    <n v="49.900000000000006"/>
    <n v="449.1"/>
    <n v="200"/>
    <n v="200"/>
    <n v="60"/>
    <n v="189.10000000000002"/>
    <n v="0.42106435092407041"/>
    <x v="0"/>
    <d v="2025-04-17T00:00:00"/>
    <n v="3"/>
    <x v="0"/>
    <n v="4"/>
    <n v="0"/>
  </r>
  <r>
    <s v="ORD-102829"/>
    <x v="466"/>
    <x v="1"/>
    <d v="2025-04-01T00:00:00"/>
    <n v="4"/>
    <s v="CUST-00908"/>
    <x v="1"/>
    <x v="6"/>
    <s v="DL"/>
    <x v="0"/>
    <s v="New Delhi"/>
    <x v="4"/>
    <s v="P203"/>
    <s v="Keratin Hair Mask"/>
    <x v="6"/>
    <n v="1"/>
    <n v="549"/>
    <n v="0.1"/>
    <n v="549"/>
    <n v="54.900000000000006"/>
    <n v="494.1"/>
    <n v="170"/>
    <n v="170"/>
    <n v="60"/>
    <n v="264.10000000000002"/>
    <n v="0.53450718478040882"/>
    <x v="0"/>
    <d v="2025-04-16T00:00:00"/>
    <n v="2"/>
    <x v="1"/>
    <n v="4"/>
    <n v="0"/>
  </r>
  <r>
    <s v="ORD-102830"/>
    <x v="466"/>
    <x v="1"/>
    <d v="2025-04-01T00:00:00"/>
    <n v="4"/>
    <s v="CUST-00962"/>
    <x v="0"/>
    <x v="6"/>
    <s v="DL"/>
    <x v="0"/>
    <s v="New Delhi"/>
    <x v="2"/>
    <s v="P202"/>
    <s v="Argan Shampoo"/>
    <x v="6"/>
    <n v="1"/>
    <n v="449"/>
    <n v="0"/>
    <n v="449"/>
    <n v="0"/>
    <n v="449"/>
    <n v="148"/>
    <n v="148"/>
    <n v="60"/>
    <n v="241"/>
    <n v="0.53674832962138086"/>
    <x v="0"/>
    <d v="2025-04-15T00:00:00"/>
    <n v="1"/>
    <x v="1"/>
    <n v="4"/>
    <n v="0"/>
  </r>
  <r>
    <s v="ORD-102831"/>
    <x v="466"/>
    <x v="1"/>
    <d v="2025-04-01T00:00:00"/>
    <n v="4"/>
    <s v="CUST-02397"/>
    <x v="1"/>
    <x v="18"/>
    <s v="WB"/>
    <x v="2"/>
    <s v="Kolkata"/>
    <x v="2"/>
    <s v="P105"/>
    <s v="Retinol Night Cream"/>
    <x v="3"/>
    <n v="1"/>
    <n v="799"/>
    <n v="0.1"/>
    <n v="799"/>
    <n v="79.900000000000006"/>
    <n v="719.1"/>
    <n v="216"/>
    <n v="216"/>
    <n v="60"/>
    <n v="443.1"/>
    <n v="0.61618690029203171"/>
    <x v="4"/>
    <d v="2025-04-17T00:00:00"/>
    <n v="3"/>
    <x v="0"/>
    <m/>
    <n v="0"/>
  </r>
  <r>
    <s v="ORD-102832"/>
    <x v="466"/>
    <x v="1"/>
    <d v="2025-04-01T00:00:00"/>
    <n v="4"/>
    <s v="CUST-02693"/>
    <x v="0"/>
    <x v="2"/>
    <s v="MH"/>
    <x v="1"/>
    <s v="Nagpur"/>
    <x v="2"/>
    <s v="P501"/>
    <s v="Copper Water Bottle"/>
    <x v="4"/>
    <n v="2"/>
    <n v="899"/>
    <n v="0.1"/>
    <n v="1798"/>
    <n v="179.8"/>
    <n v="1618.2"/>
    <n v="378"/>
    <n v="756"/>
    <n v="60"/>
    <n v="802.2"/>
    <n v="0.4957360029662588"/>
    <x v="0"/>
    <d v="2025-04-17T00:00:00"/>
    <n v="3"/>
    <x v="0"/>
    <n v="4"/>
    <n v="0"/>
  </r>
  <r>
    <s v="ORD-102833"/>
    <x v="466"/>
    <x v="1"/>
    <d v="2025-04-01T00:00:00"/>
    <n v="4"/>
    <s v="CUST-02014"/>
    <x v="0"/>
    <x v="21"/>
    <s v="TG"/>
    <x v="3"/>
    <s v="Hyderabad"/>
    <x v="3"/>
    <s v="P101"/>
    <s v="Vitamin C Face Serum"/>
    <x v="3"/>
    <n v="1"/>
    <n v="599"/>
    <n v="0.2"/>
    <n v="599"/>
    <n v="119.80000000000001"/>
    <n v="479.2"/>
    <n v="180"/>
    <n v="180"/>
    <n v="60"/>
    <n v="239.2"/>
    <n v="0.4991652754590985"/>
    <x v="0"/>
    <d v="2025-04-17T00:00:00"/>
    <n v="3"/>
    <x v="0"/>
    <n v="4"/>
    <n v="0"/>
  </r>
  <r>
    <s v="ORD-102834"/>
    <x v="466"/>
    <x v="1"/>
    <d v="2025-04-01T00:00:00"/>
    <n v="4"/>
    <s v="CUST-00921"/>
    <x v="1"/>
    <x v="21"/>
    <s v="TG"/>
    <x v="3"/>
    <s v="Hyderabad"/>
    <x v="0"/>
    <s v="P601"/>
    <s v="Wireless Earbuds"/>
    <x v="2"/>
    <n v="3"/>
    <n v="1999"/>
    <n v="0.45"/>
    <n v="5997"/>
    <n v="2698.65"/>
    <n v="3298.35"/>
    <n v="1239"/>
    <n v="3717"/>
    <n v="60"/>
    <n v="-478.65000000000009"/>
    <n v="-0.1451180135522307"/>
    <x v="1"/>
    <d v="2025-04-18T00:00:00"/>
    <n v="4"/>
    <x v="0"/>
    <n v="3"/>
    <n v="0"/>
  </r>
  <r>
    <s v="ORD-102835"/>
    <x v="466"/>
    <x v="1"/>
    <d v="2025-04-01T00:00:00"/>
    <n v="4"/>
    <s v="CUST-02145"/>
    <x v="0"/>
    <x v="11"/>
    <s v="KA"/>
    <x v="3"/>
    <s v="Mysuru"/>
    <x v="1"/>
    <s v="P404"/>
    <s v="Flip Flops"/>
    <x v="5"/>
    <n v="1"/>
    <n v="399"/>
    <n v="0.1"/>
    <n v="399"/>
    <n v="39.900000000000006"/>
    <n v="359.1"/>
    <n v="152"/>
    <n v="152"/>
    <n v="120"/>
    <n v="87.100000000000023"/>
    <n v="0.24255082149818996"/>
    <x v="3"/>
    <d v="2025-04-15T00:00:00"/>
    <n v="1"/>
    <x v="1"/>
    <n v="5"/>
    <n v="1"/>
  </r>
  <r>
    <s v="ORD-102836"/>
    <x v="467"/>
    <x v="1"/>
    <d v="2025-04-01T00:00:00"/>
    <n v="4"/>
    <s v="CUST-00468"/>
    <x v="1"/>
    <x v="16"/>
    <s v="UP"/>
    <x v="0"/>
    <s v="Kanpur"/>
    <x v="2"/>
    <s v="P602"/>
    <s v="Fast Charger 33W"/>
    <x v="2"/>
    <n v="1"/>
    <n v="899"/>
    <n v="0"/>
    <n v="899"/>
    <n v="0"/>
    <n v="899"/>
    <n v="494"/>
    <n v="494"/>
    <n v="60"/>
    <n v="345"/>
    <n v="0.38375973303670746"/>
    <x v="3"/>
    <d v="2025-04-17T00:00:00"/>
    <n v="2"/>
    <x v="1"/>
    <n v="4"/>
    <n v="0"/>
  </r>
  <r>
    <s v="ORD-102837"/>
    <x v="467"/>
    <x v="1"/>
    <d v="2025-04-01T00:00:00"/>
    <n v="4"/>
    <s v="CUST-00809"/>
    <x v="1"/>
    <x v="1"/>
    <s v="GJ"/>
    <x v="1"/>
    <s v="Ahmedabad"/>
    <x v="0"/>
    <s v="P204"/>
    <s v="Anti-Dandruff Conditioner"/>
    <x v="6"/>
    <n v="1"/>
    <n v="399"/>
    <n v="0.35"/>
    <n v="399"/>
    <n v="139.64999999999998"/>
    <n v="259.35000000000002"/>
    <n v="136"/>
    <n v="136"/>
    <n v="60"/>
    <n v="63.350000000000023"/>
    <n v="0.24426450742240222"/>
    <x v="1"/>
    <d v="2025-04-18T00:00:00"/>
    <n v="3"/>
    <x v="0"/>
    <m/>
    <n v="0"/>
  </r>
  <r>
    <s v="ORD-102838"/>
    <x v="467"/>
    <x v="1"/>
    <d v="2025-04-01T00:00:00"/>
    <n v="4"/>
    <s v="CUST-01064"/>
    <x v="1"/>
    <x v="1"/>
    <s v="GJ"/>
    <x v="1"/>
    <s v="Ahmedabad"/>
    <x v="2"/>
    <s v="P302"/>
    <s v="Linen Kurta"/>
    <x v="1"/>
    <n v="1"/>
    <n v="1499"/>
    <n v="0.3"/>
    <n v="1499"/>
    <n v="449.7"/>
    <n v="1049.3"/>
    <n v="630"/>
    <n v="630"/>
    <n v="60"/>
    <n v="359.29999999999995"/>
    <n v="0.34241875536071664"/>
    <x v="1"/>
    <d v="2025-04-17T00:00:00"/>
    <n v="2"/>
    <x v="1"/>
    <n v="4"/>
    <n v="0"/>
  </r>
  <r>
    <s v="ORD-102839"/>
    <x v="467"/>
    <x v="1"/>
    <d v="2025-04-01T00:00:00"/>
    <n v="4"/>
    <s v="CUST-00354"/>
    <x v="1"/>
    <x v="1"/>
    <s v="GJ"/>
    <x v="1"/>
    <s v="Surat"/>
    <x v="0"/>
    <s v="P704"/>
    <s v="Multivitamin Gummies"/>
    <x v="0"/>
    <n v="1"/>
    <n v="699"/>
    <n v="0.15"/>
    <n v="699"/>
    <n v="104.85"/>
    <n v="594.15"/>
    <n v="238"/>
    <n v="238"/>
    <n v="60"/>
    <n v="296.14999999999998"/>
    <n v="0.49844315408566858"/>
    <x v="3"/>
    <d v="2025-04-17T00:00:00"/>
    <n v="2"/>
    <x v="1"/>
    <m/>
    <n v="0"/>
  </r>
  <r>
    <s v="ORD-102840"/>
    <x v="467"/>
    <x v="1"/>
    <d v="2025-04-01T00:00:00"/>
    <n v="4"/>
    <s v="CUST-02999"/>
    <x v="0"/>
    <x v="13"/>
    <s v="MP"/>
    <x v="1"/>
    <s v="Indore"/>
    <x v="1"/>
    <s v="P302"/>
    <s v="Linen Kurta"/>
    <x v="1"/>
    <n v="1"/>
    <n v="1499"/>
    <n v="0.25"/>
    <n v="1499"/>
    <n v="374.75"/>
    <n v="1124.25"/>
    <n v="630"/>
    <n v="630"/>
    <n v="60"/>
    <n v="434.25"/>
    <n v="0.38625750500333556"/>
    <x v="0"/>
    <d v="2025-04-17T00:00:00"/>
    <n v="2"/>
    <x v="1"/>
    <n v="5"/>
    <n v="0"/>
  </r>
  <r>
    <s v="ORD-102841"/>
    <x v="467"/>
    <x v="1"/>
    <d v="2025-04-01T00:00:00"/>
    <n v="4"/>
    <s v="CUST-02972"/>
    <x v="1"/>
    <x v="13"/>
    <s v="MP"/>
    <x v="1"/>
    <s v="Bhopal"/>
    <x v="1"/>
    <s v="P401"/>
    <s v="Running Shoes"/>
    <x v="5"/>
    <n v="3"/>
    <n v="2999"/>
    <n v="0.2"/>
    <n v="8997"/>
    <n v="1799.4"/>
    <n v="7197.6"/>
    <n v="1440"/>
    <n v="4320"/>
    <n v="60"/>
    <n v="2817.6000000000004"/>
    <n v="0.39146382127375795"/>
    <x v="4"/>
    <d v="2025-04-18T00:00:00"/>
    <n v="3"/>
    <x v="0"/>
    <m/>
    <n v="0"/>
  </r>
  <r>
    <s v="ORD-102842"/>
    <x v="467"/>
    <x v="1"/>
    <d v="2025-04-01T00:00:00"/>
    <n v="4"/>
    <s v="CUST-00749"/>
    <x v="1"/>
    <x v="21"/>
    <s v="TG"/>
    <x v="3"/>
    <s v="Hyderabad"/>
    <x v="0"/>
    <s v="P503"/>
    <s v="Scented Candle Set"/>
    <x v="4"/>
    <n v="4"/>
    <n v="699"/>
    <n v="0.3"/>
    <n v="2796"/>
    <n v="838.8"/>
    <n v="1957.2"/>
    <n v="245"/>
    <n v="980"/>
    <n v="60"/>
    <n v="917.2"/>
    <n v="0.46862865317800939"/>
    <x v="3"/>
    <d v="2025-04-17T00:00:00"/>
    <n v="2"/>
    <x v="1"/>
    <m/>
    <n v="0"/>
  </r>
  <r>
    <s v="ORD-102843"/>
    <x v="467"/>
    <x v="1"/>
    <d v="2025-04-01T00:00:00"/>
    <n v="4"/>
    <s v="CUST-00453"/>
    <x v="1"/>
    <x v="17"/>
    <s v="TN"/>
    <x v="3"/>
    <s v="Chennai"/>
    <x v="1"/>
    <s v="P304"/>
    <s v="Denim Jacket"/>
    <x v="1"/>
    <n v="2"/>
    <n v="2499"/>
    <n v="0.05"/>
    <n v="4998"/>
    <n v="249.9"/>
    <n v="4748.1000000000004"/>
    <n v="1125"/>
    <n v="2250"/>
    <n v="60"/>
    <n v="2438.1000000000004"/>
    <n v="0.51348960636886343"/>
    <x v="3"/>
    <d v="2025-04-19T00:00:00"/>
    <n v="4"/>
    <x v="0"/>
    <n v="4"/>
    <n v="0"/>
  </r>
  <r>
    <s v="ORD-102844"/>
    <x v="468"/>
    <x v="1"/>
    <d v="2025-04-01T00:00:00"/>
    <n v="4"/>
    <s v="CUST-00793"/>
    <x v="1"/>
    <x v="19"/>
    <s v="PB"/>
    <x v="0"/>
    <s v="Ludhiana"/>
    <x v="4"/>
    <s v="P101"/>
    <s v="Vitamin C Face Serum"/>
    <x v="3"/>
    <n v="2"/>
    <n v="599"/>
    <n v="0.1"/>
    <n v="1198"/>
    <n v="119.80000000000001"/>
    <n v="1078.2"/>
    <n v="180"/>
    <n v="360"/>
    <n v="60"/>
    <n v="658.2"/>
    <n v="0.6104618809126322"/>
    <x v="0"/>
    <d v="2025-04-18T00:00:00"/>
    <n v="2"/>
    <x v="1"/>
    <n v="4"/>
    <n v="0"/>
  </r>
  <r>
    <s v="ORD-102845"/>
    <x v="468"/>
    <x v="1"/>
    <d v="2025-04-01T00:00:00"/>
    <n v="4"/>
    <s v="CUST-00722"/>
    <x v="1"/>
    <x v="9"/>
    <s v="UK"/>
    <x v="0"/>
    <s v="Dehradun"/>
    <x v="3"/>
    <s v="P204"/>
    <s v="Anti-Dandruff Conditioner"/>
    <x v="6"/>
    <n v="2"/>
    <n v="399"/>
    <n v="0.3"/>
    <n v="798"/>
    <n v="239.39999999999998"/>
    <n v="558.6"/>
    <n v="136"/>
    <n v="272"/>
    <n v="60"/>
    <n v="226.60000000000002"/>
    <n v="0.40565699964196206"/>
    <x v="2"/>
    <d v="2025-04-21T00:00:00"/>
    <n v="5"/>
    <x v="2"/>
    <n v="4"/>
    <n v="0"/>
  </r>
  <r>
    <s v="ORD-102846"/>
    <x v="468"/>
    <x v="1"/>
    <d v="2025-04-01T00:00:00"/>
    <n v="4"/>
    <s v="CUST-00601"/>
    <x v="1"/>
    <x v="0"/>
    <s v="RJ"/>
    <x v="0"/>
    <s v="Jaipur"/>
    <x v="3"/>
    <s v="P203"/>
    <s v="Keratin Hair Mask"/>
    <x v="6"/>
    <n v="3"/>
    <n v="549"/>
    <n v="0.25"/>
    <n v="1647"/>
    <n v="411.75"/>
    <n v="1235.25"/>
    <n v="170"/>
    <n v="510"/>
    <n v="60"/>
    <n v="665.25"/>
    <n v="0.53855494839101392"/>
    <x v="3"/>
    <d v="2025-04-20T00:00:00"/>
    <n v="4"/>
    <x v="0"/>
    <n v="3"/>
    <n v="0"/>
  </r>
  <r>
    <s v="ORD-102847"/>
    <x v="468"/>
    <x v="1"/>
    <d v="2025-04-01T00:00:00"/>
    <n v="4"/>
    <s v="CUST-01051"/>
    <x v="1"/>
    <x v="6"/>
    <s v="DL"/>
    <x v="0"/>
    <s v="New Delhi"/>
    <x v="0"/>
    <s v="P202"/>
    <s v="Argan Shampoo"/>
    <x v="6"/>
    <n v="2"/>
    <n v="449"/>
    <n v="0.1"/>
    <n v="898"/>
    <n v="89.800000000000011"/>
    <n v="808.2"/>
    <n v="148"/>
    <n v="296"/>
    <n v="60"/>
    <n v="452.20000000000005"/>
    <n v="0.5595149715416976"/>
    <x v="4"/>
    <d v="2025-04-17T00:00:00"/>
    <n v="1"/>
    <x v="1"/>
    <n v="4"/>
    <n v="0"/>
  </r>
  <r>
    <s v="ORD-102848"/>
    <x v="468"/>
    <x v="1"/>
    <d v="2025-04-01T00:00:00"/>
    <n v="4"/>
    <s v="CUST-02070"/>
    <x v="0"/>
    <x v="6"/>
    <s v="DL"/>
    <x v="0"/>
    <s v="New Delhi"/>
    <x v="0"/>
    <s v="P701"/>
    <s v="Ashwagandha Capsules"/>
    <x v="0"/>
    <n v="1"/>
    <n v="499"/>
    <n v="0"/>
    <n v="499"/>
    <n v="0"/>
    <n v="499"/>
    <n v="150"/>
    <n v="150"/>
    <n v="60"/>
    <n v="289"/>
    <n v="0.57915831663326656"/>
    <x v="0"/>
    <d v="2025-04-17T00:00:00"/>
    <n v="1"/>
    <x v="1"/>
    <m/>
    <n v="0"/>
  </r>
  <r>
    <s v="ORD-102849"/>
    <x v="468"/>
    <x v="1"/>
    <d v="2025-04-01T00:00:00"/>
    <n v="4"/>
    <s v="CUST-00254"/>
    <x v="1"/>
    <x v="1"/>
    <s v="GJ"/>
    <x v="1"/>
    <s v="Ahmedabad"/>
    <x v="1"/>
    <s v="P404"/>
    <s v="Flip Flops"/>
    <x v="5"/>
    <n v="1"/>
    <n v="399"/>
    <n v="0.15"/>
    <n v="399"/>
    <n v="59.849999999999994"/>
    <n v="339.15"/>
    <n v="152"/>
    <n v="152"/>
    <n v="60"/>
    <n v="127.14999999999998"/>
    <n v="0.37490785787999409"/>
    <x v="0"/>
    <d v="2025-04-19T00:00:00"/>
    <n v="3"/>
    <x v="0"/>
    <m/>
    <n v="0"/>
  </r>
  <r>
    <s v="ORD-102850"/>
    <x v="468"/>
    <x v="1"/>
    <d v="2025-04-01T00:00:00"/>
    <n v="4"/>
    <s v="CUST-00747"/>
    <x v="0"/>
    <x v="1"/>
    <s v="GJ"/>
    <x v="1"/>
    <s v="Surat"/>
    <x v="2"/>
    <s v="P301"/>
    <s v="Cotton Oversized T-Shirt"/>
    <x v="1"/>
    <n v="1"/>
    <n v="799"/>
    <n v="0"/>
    <n v="799"/>
    <n v="0"/>
    <n v="799"/>
    <n v="320"/>
    <n v="320"/>
    <n v="120"/>
    <n v="359"/>
    <n v="0.44931163954943681"/>
    <x v="0"/>
    <d v="2025-04-17T00:00:00"/>
    <n v="1"/>
    <x v="1"/>
    <m/>
    <n v="1"/>
  </r>
  <r>
    <s v="ORD-102851"/>
    <x v="468"/>
    <x v="1"/>
    <d v="2025-04-01T00:00:00"/>
    <n v="4"/>
    <s v="CUST-00667"/>
    <x v="1"/>
    <x v="10"/>
    <s v="CG"/>
    <x v="2"/>
    <s v="Raipur"/>
    <x v="2"/>
    <s v="P304"/>
    <s v="Denim Jacket"/>
    <x v="1"/>
    <n v="2"/>
    <n v="2499"/>
    <n v="0.05"/>
    <n v="4998"/>
    <n v="249.9"/>
    <n v="4748.1000000000004"/>
    <n v="1125"/>
    <n v="2250"/>
    <n v="60"/>
    <n v="2438.1000000000004"/>
    <n v="0.51348960636886343"/>
    <x v="0"/>
    <d v="2025-04-20T00:00:00"/>
    <n v="4"/>
    <x v="0"/>
    <n v="4"/>
    <n v="0"/>
  </r>
  <r>
    <s v="ORD-102852"/>
    <x v="468"/>
    <x v="1"/>
    <d v="2025-04-01T00:00:00"/>
    <n v="4"/>
    <s v="CUST-02886"/>
    <x v="1"/>
    <x v="18"/>
    <s v="WB"/>
    <x v="2"/>
    <s v="Kolkata"/>
    <x v="3"/>
    <s v="P202"/>
    <s v="Argan Shampoo"/>
    <x v="6"/>
    <n v="2"/>
    <n v="449"/>
    <n v="0.1"/>
    <n v="898"/>
    <n v="89.800000000000011"/>
    <n v="808.2"/>
    <n v="148"/>
    <n v="296"/>
    <n v="60"/>
    <n v="452.20000000000005"/>
    <n v="0.5595149715416976"/>
    <x v="4"/>
    <d v="2025-04-19T00:00:00"/>
    <n v="3"/>
    <x v="0"/>
    <n v="4"/>
    <n v="0"/>
  </r>
  <r>
    <s v="ORD-102853"/>
    <x v="468"/>
    <x v="1"/>
    <d v="2025-04-01T00:00:00"/>
    <n v="4"/>
    <s v="CUST-02020"/>
    <x v="0"/>
    <x v="20"/>
    <s v="GA"/>
    <x v="1"/>
    <s v="Panaji"/>
    <x v="0"/>
    <s v="P604"/>
    <s v="Power Bank 20000mAh"/>
    <x v="2"/>
    <n v="1"/>
    <n v="1799"/>
    <n v="0.3"/>
    <n v="1799"/>
    <n v="539.69999999999993"/>
    <n v="1259.3000000000002"/>
    <n v="1079"/>
    <n v="1079"/>
    <n v="60"/>
    <n v="120.30000000000018"/>
    <n v="9.5529262288573141E-2"/>
    <x v="3"/>
    <d v="2025-04-19T00:00:00"/>
    <n v="3"/>
    <x v="0"/>
    <n v="4"/>
    <n v="0"/>
  </r>
  <r>
    <s v="ORD-102854"/>
    <x v="469"/>
    <x v="1"/>
    <d v="2025-04-01T00:00:00"/>
    <n v="4"/>
    <s v="CUST-00322"/>
    <x v="1"/>
    <x v="2"/>
    <s v="MH"/>
    <x v="1"/>
    <s v="Mumbai"/>
    <x v="3"/>
    <s v="P102"/>
    <s v="Sunscreen SPF 50"/>
    <x v="3"/>
    <n v="1"/>
    <n v="449"/>
    <n v="0.1"/>
    <n v="449"/>
    <n v="44.900000000000006"/>
    <n v="404.1"/>
    <n v="144"/>
    <n v="144"/>
    <n v="60"/>
    <n v="200.10000000000002"/>
    <n v="0.4951744617668894"/>
    <x v="2"/>
    <d v="2025-04-18T00:00:00"/>
    <n v="1"/>
    <x v="1"/>
    <n v="5"/>
    <n v="0"/>
  </r>
  <r>
    <s v="ORD-102855"/>
    <x v="469"/>
    <x v="1"/>
    <d v="2025-04-01T00:00:00"/>
    <n v="4"/>
    <s v="CUST-00027"/>
    <x v="0"/>
    <x v="2"/>
    <s v="MH"/>
    <x v="1"/>
    <s v="Nagpur"/>
    <x v="1"/>
    <s v="P305"/>
    <s v="Printed Saree"/>
    <x v="1"/>
    <n v="1"/>
    <n v="1999"/>
    <n v="0.05"/>
    <n v="1999"/>
    <n v="99.95"/>
    <n v="1899.05"/>
    <n v="880"/>
    <n v="880"/>
    <n v="60"/>
    <n v="959.05"/>
    <n v="0.50501566572760059"/>
    <x v="4"/>
    <d v="2025-04-18T00:00:00"/>
    <n v="1"/>
    <x v="1"/>
    <n v="5"/>
    <n v="0"/>
  </r>
  <r>
    <s v="ORD-102856"/>
    <x v="469"/>
    <x v="1"/>
    <d v="2025-04-01T00:00:00"/>
    <n v="4"/>
    <s v="CUST-00631"/>
    <x v="1"/>
    <x v="21"/>
    <s v="TG"/>
    <x v="3"/>
    <s v="Hyderabad"/>
    <x v="0"/>
    <s v="P703"/>
    <s v="Green Tea (100 bags)"/>
    <x v="0"/>
    <n v="1"/>
    <n v="399"/>
    <n v="0.3"/>
    <n v="399"/>
    <n v="119.69999999999999"/>
    <n v="279.3"/>
    <n v="128"/>
    <n v="128"/>
    <n v="60"/>
    <n v="91.300000000000011"/>
    <n v="0.32688865019692093"/>
    <x v="3"/>
    <d v="2025-04-20T00:00:00"/>
    <n v="3"/>
    <x v="0"/>
    <m/>
    <n v="0"/>
  </r>
  <r>
    <s v="ORD-102857"/>
    <x v="469"/>
    <x v="1"/>
    <d v="2025-04-01T00:00:00"/>
    <n v="4"/>
    <s v="CUST-00849"/>
    <x v="1"/>
    <x v="21"/>
    <s v="TG"/>
    <x v="3"/>
    <s v="Hyderabad"/>
    <x v="1"/>
    <s v="P301"/>
    <s v="Cotton Oversized T-Shirt"/>
    <x v="1"/>
    <n v="1"/>
    <n v="799"/>
    <n v="0"/>
    <n v="799"/>
    <n v="0"/>
    <n v="799"/>
    <n v="320"/>
    <n v="320"/>
    <n v="60"/>
    <n v="419"/>
    <n v="0.52440550688360454"/>
    <x v="3"/>
    <d v="2025-04-19T00:00:00"/>
    <n v="2"/>
    <x v="1"/>
    <n v="4"/>
    <n v="0"/>
  </r>
  <r>
    <s v="ORD-102858"/>
    <x v="469"/>
    <x v="1"/>
    <d v="2025-04-01T00:00:00"/>
    <n v="4"/>
    <s v="CUST-00512"/>
    <x v="1"/>
    <x v="11"/>
    <s v="KA"/>
    <x v="3"/>
    <s v="Mysuru"/>
    <x v="0"/>
    <s v="P305"/>
    <s v="Printed Saree"/>
    <x v="1"/>
    <n v="1"/>
    <n v="1999"/>
    <n v="0.1"/>
    <n v="1999"/>
    <n v="199.9"/>
    <n v="1799.1"/>
    <n v="880"/>
    <n v="880"/>
    <n v="120"/>
    <n v="799.09999999999991"/>
    <n v="0.44416652770829856"/>
    <x v="0"/>
    <d v="2025-04-20T00:00:00"/>
    <n v="3"/>
    <x v="0"/>
    <n v="4"/>
    <n v="1"/>
  </r>
  <r>
    <s v="ORD-102859"/>
    <x v="470"/>
    <x v="1"/>
    <d v="2025-04-01T00:00:00"/>
    <n v="4"/>
    <s v="CUST-00237"/>
    <x v="1"/>
    <x v="16"/>
    <s v="UP"/>
    <x v="0"/>
    <s v="Kanpur"/>
    <x v="0"/>
    <s v="P504"/>
    <s v="Cotton Bedsheet"/>
    <x v="4"/>
    <n v="1"/>
    <n v="1299"/>
    <n v="0.1"/>
    <n v="1299"/>
    <n v="129.9"/>
    <n v="1169.0999999999999"/>
    <n v="585"/>
    <n v="585"/>
    <n v="60"/>
    <n v="524.09999999999991"/>
    <n v="0.44829355914806257"/>
    <x v="2"/>
    <d v="2025-04-22T00:00:00"/>
    <n v="4"/>
    <x v="0"/>
    <n v="3"/>
    <n v="0"/>
  </r>
  <r>
    <s v="ORD-102860"/>
    <x v="470"/>
    <x v="1"/>
    <d v="2025-04-01T00:00:00"/>
    <n v="4"/>
    <s v="CUST-00819"/>
    <x v="1"/>
    <x v="16"/>
    <s v="UP"/>
    <x v="0"/>
    <s v="Kanpur"/>
    <x v="3"/>
    <s v="P201"/>
    <s v="Onion Hair Oil"/>
    <x v="6"/>
    <n v="2"/>
    <n v="349"/>
    <n v="0.35"/>
    <n v="698"/>
    <n v="244.29999999999998"/>
    <n v="453.70000000000005"/>
    <n v="105"/>
    <n v="210"/>
    <n v="60"/>
    <n v="183.70000000000005"/>
    <n v="0.40489310116817284"/>
    <x v="3"/>
    <d v="2025-04-23T00:00:00"/>
    <n v="5"/>
    <x v="2"/>
    <n v="3"/>
    <n v="0"/>
  </r>
  <r>
    <s v="ORD-102861"/>
    <x v="470"/>
    <x v="1"/>
    <d v="2025-04-01T00:00:00"/>
    <n v="4"/>
    <s v="CUST-00530"/>
    <x v="1"/>
    <x v="16"/>
    <s v="UP"/>
    <x v="0"/>
    <s v="Kanpur"/>
    <x v="0"/>
    <s v="P202"/>
    <s v="Argan Shampoo"/>
    <x v="6"/>
    <n v="2"/>
    <n v="449"/>
    <n v="0"/>
    <n v="898"/>
    <n v="0"/>
    <n v="898"/>
    <n v="148"/>
    <n v="296"/>
    <n v="60"/>
    <n v="542"/>
    <n v="0.60356347438752789"/>
    <x v="3"/>
    <d v="2025-04-21T00:00:00"/>
    <n v="3"/>
    <x v="0"/>
    <n v="4"/>
    <n v="0"/>
  </r>
  <r>
    <s v="ORD-102862"/>
    <x v="470"/>
    <x v="1"/>
    <d v="2025-04-01T00:00:00"/>
    <n v="4"/>
    <s v="CUST-01571"/>
    <x v="1"/>
    <x v="16"/>
    <s v="UP"/>
    <x v="0"/>
    <s v="Lucknow"/>
    <x v="3"/>
    <s v="P704"/>
    <s v="Multivitamin Gummies"/>
    <x v="0"/>
    <n v="1"/>
    <n v="699"/>
    <n v="0.15"/>
    <n v="699"/>
    <n v="104.85"/>
    <n v="594.15"/>
    <n v="238"/>
    <n v="238"/>
    <n v="60"/>
    <n v="296.14999999999998"/>
    <n v="0.49844315408566858"/>
    <x v="0"/>
    <d v="2025-04-22T00:00:00"/>
    <n v="4"/>
    <x v="0"/>
    <n v="4"/>
    <n v="0"/>
  </r>
  <r>
    <s v="ORD-102863"/>
    <x v="470"/>
    <x v="1"/>
    <d v="2025-04-01T00:00:00"/>
    <n v="4"/>
    <s v="CUST-00536"/>
    <x v="1"/>
    <x v="16"/>
    <s v="UP"/>
    <x v="0"/>
    <s v="Noida"/>
    <x v="4"/>
    <s v="P603"/>
    <s v="Smartwatch Strap"/>
    <x v="2"/>
    <n v="1"/>
    <n v="499"/>
    <n v="0.05"/>
    <n v="499"/>
    <n v="24.950000000000003"/>
    <n v="474.05"/>
    <n v="200"/>
    <n v="200"/>
    <n v="60"/>
    <n v="214.05"/>
    <n v="0.45153464824385614"/>
    <x v="3"/>
    <d v="2025-04-21T00:00:00"/>
    <n v="3"/>
    <x v="0"/>
    <n v="3"/>
    <n v="0"/>
  </r>
  <r>
    <s v="ORD-102864"/>
    <x v="470"/>
    <x v="1"/>
    <d v="2025-04-01T00:00:00"/>
    <n v="4"/>
    <s v="CUST-01721"/>
    <x v="1"/>
    <x v="1"/>
    <s v="GJ"/>
    <x v="1"/>
    <s v="Surat"/>
    <x v="2"/>
    <s v="P703"/>
    <s v="Green Tea (100 bags)"/>
    <x v="0"/>
    <n v="2"/>
    <n v="399"/>
    <n v="0.35"/>
    <n v="798"/>
    <n v="279.29999999999995"/>
    <n v="518.70000000000005"/>
    <n v="128"/>
    <n v="256"/>
    <n v="60"/>
    <n v="202.70000000000005"/>
    <n v="0.39078465394254874"/>
    <x v="1"/>
    <d v="2025-04-22T00:00:00"/>
    <n v="4"/>
    <x v="0"/>
    <n v="3"/>
    <n v="0"/>
  </r>
  <r>
    <s v="ORD-102865"/>
    <x v="470"/>
    <x v="1"/>
    <d v="2025-04-01T00:00:00"/>
    <n v="4"/>
    <s v="CUST-00784"/>
    <x v="1"/>
    <x v="18"/>
    <s v="WB"/>
    <x v="2"/>
    <s v="Kolkata"/>
    <x v="4"/>
    <s v="P404"/>
    <s v="Flip Flops"/>
    <x v="5"/>
    <n v="1"/>
    <n v="399"/>
    <n v="0.1"/>
    <n v="399"/>
    <n v="39.900000000000006"/>
    <n v="359.1"/>
    <n v="152"/>
    <n v="152"/>
    <n v="60"/>
    <n v="147.10000000000002"/>
    <n v="0.40963519910888335"/>
    <x v="3"/>
    <d v="2025-04-19T00:00:00"/>
    <n v="1"/>
    <x v="1"/>
    <m/>
    <n v="0"/>
  </r>
  <r>
    <s v="ORD-102866"/>
    <x v="470"/>
    <x v="1"/>
    <d v="2025-04-01T00:00:00"/>
    <n v="4"/>
    <s v="CUST-00855"/>
    <x v="0"/>
    <x v="3"/>
    <s v="OD"/>
    <x v="2"/>
    <s v="Bhubaneswar"/>
    <x v="1"/>
    <s v="P402"/>
    <s v="Casual Sneakers"/>
    <x v="5"/>
    <n v="1"/>
    <n v="2199"/>
    <n v="0.2"/>
    <n v="2199"/>
    <n v="439.8"/>
    <n v="1759.2"/>
    <n v="1034"/>
    <n v="1034"/>
    <n v="60"/>
    <n v="665.2"/>
    <n v="0.37812642110050027"/>
    <x v="1"/>
    <d v="2025-04-22T00:00:00"/>
    <n v="4"/>
    <x v="0"/>
    <n v="4"/>
    <n v="0"/>
  </r>
  <r>
    <s v="ORD-102867"/>
    <x v="470"/>
    <x v="1"/>
    <d v="2025-04-01T00:00:00"/>
    <n v="4"/>
    <s v="CUST-00056"/>
    <x v="1"/>
    <x v="11"/>
    <s v="KA"/>
    <x v="3"/>
    <s v="Mysuru"/>
    <x v="2"/>
    <s v="P105"/>
    <s v="Retinol Night Cream"/>
    <x v="3"/>
    <n v="1"/>
    <n v="799"/>
    <n v="0.1"/>
    <n v="799"/>
    <n v="79.900000000000006"/>
    <n v="719.1"/>
    <n v="216"/>
    <n v="216"/>
    <n v="60"/>
    <n v="443.1"/>
    <n v="0.61618690029203171"/>
    <x v="0"/>
    <d v="2025-04-20T00:00:00"/>
    <n v="2"/>
    <x v="1"/>
    <n v="4"/>
    <n v="0"/>
  </r>
  <r>
    <s v="ORD-102868"/>
    <x v="470"/>
    <x v="1"/>
    <d v="2025-04-01T00:00:00"/>
    <n v="4"/>
    <s v="CUST-00337"/>
    <x v="1"/>
    <x v="11"/>
    <s v="KA"/>
    <x v="3"/>
    <s v="Bengaluru"/>
    <x v="4"/>
    <s v="P603"/>
    <s v="Smartwatch Strap"/>
    <x v="2"/>
    <n v="1"/>
    <n v="499"/>
    <n v="0.1"/>
    <n v="499"/>
    <n v="49.900000000000006"/>
    <n v="449.1"/>
    <n v="200"/>
    <n v="200"/>
    <n v="60"/>
    <n v="189.10000000000002"/>
    <n v="0.42106435092407041"/>
    <x v="0"/>
    <d v="2025-04-21T00:00:00"/>
    <n v="3"/>
    <x v="0"/>
    <n v="4"/>
    <n v="0"/>
  </r>
  <r>
    <s v="ORD-102869"/>
    <x v="470"/>
    <x v="1"/>
    <d v="2025-04-01T00:00:00"/>
    <n v="4"/>
    <s v="CUST-00645"/>
    <x v="1"/>
    <x v="8"/>
    <s v="AP"/>
    <x v="3"/>
    <s v="Vijayawada"/>
    <x v="3"/>
    <s v="P703"/>
    <s v="Green Tea (100 bags)"/>
    <x v="0"/>
    <n v="2"/>
    <n v="399"/>
    <n v="0.3"/>
    <n v="798"/>
    <n v="239.39999999999998"/>
    <n v="558.6"/>
    <n v="128"/>
    <n v="256"/>
    <n v="60"/>
    <n v="242.60000000000002"/>
    <n v="0.43430003580379523"/>
    <x v="0"/>
    <d v="2025-04-23T00:00:00"/>
    <n v="5"/>
    <x v="2"/>
    <m/>
    <n v="0"/>
  </r>
  <r>
    <s v="ORD-102870"/>
    <x v="470"/>
    <x v="1"/>
    <d v="2025-04-01T00:00:00"/>
    <n v="4"/>
    <s v="CUST-01890"/>
    <x v="0"/>
    <x v="8"/>
    <s v="AP"/>
    <x v="3"/>
    <s v="Vijayawada"/>
    <x v="4"/>
    <s v="P501"/>
    <s v="Copper Water Bottle"/>
    <x v="4"/>
    <n v="1"/>
    <n v="899"/>
    <n v="0"/>
    <n v="899"/>
    <n v="0"/>
    <n v="899"/>
    <n v="378"/>
    <n v="378"/>
    <n v="60"/>
    <n v="461"/>
    <n v="0.51279199110122353"/>
    <x v="4"/>
    <d v="2025-04-19T00:00:00"/>
    <n v="1"/>
    <x v="1"/>
    <n v="5"/>
    <n v="0"/>
  </r>
  <r>
    <s v="ORD-102871"/>
    <x v="470"/>
    <x v="1"/>
    <d v="2025-04-01T00:00:00"/>
    <n v="4"/>
    <s v="CUST-00816"/>
    <x v="1"/>
    <x v="14"/>
    <s v="KL"/>
    <x v="3"/>
    <s v="Thiruvananthapuram"/>
    <x v="2"/>
    <s v="P104"/>
    <s v="Hydrating Face Wash"/>
    <x v="3"/>
    <n v="2"/>
    <n v="299"/>
    <n v="0"/>
    <n v="598"/>
    <n v="0"/>
    <n v="598"/>
    <n v="90"/>
    <n v="180"/>
    <n v="60"/>
    <n v="358"/>
    <n v="0.59866220735785958"/>
    <x v="0"/>
    <d v="2025-04-21T00:00:00"/>
    <n v="3"/>
    <x v="0"/>
    <n v="3"/>
    <n v="0"/>
  </r>
  <r>
    <s v="ORD-102872"/>
    <x v="470"/>
    <x v="1"/>
    <d v="2025-04-01T00:00:00"/>
    <n v="4"/>
    <s v="CUST-00134"/>
    <x v="0"/>
    <x v="17"/>
    <s v="TN"/>
    <x v="3"/>
    <s v="Coimbatore"/>
    <x v="0"/>
    <s v="P303"/>
    <s v="Joggers"/>
    <x v="1"/>
    <n v="1"/>
    <n v="1199"/>
    <n v="0.1"/>
    <n v="1199"/>
    <n v="119.9"/>
    <n v="1079.0999999999999"/>
    <n v="492"/>
    <n v="492"/>
    <n v="60"/>
    <n v="527.09999999999991"/>
    <n v="0.48846260772866273"/>
    <x v="1"/>
    <d v="2025-04-20T00:00:00"/>
    <n v="2"/>
    <x v="1"/>
    <m/>
    <n v="0"/>
  </r>
  <r>
    <s v="ORD-102873"/>
    <x v="470"/>
    <x v="1"/>
    <d v="2025-04-01T00:00:00"/>
    <n v="4"/>
    <s v="CUST-01198"/>
    <x v="1"/>
    <x v="17"/>
    <s v="TN"/>
    <x v="3"/>
    <s v="Coimbatore"/>
    <x v="4"/>
    <s v="P102"/>
    <s v="Sunscreen SPF 50"/>
    <x v="3"/>
    <n v="1"/>
    <n v="449"/>
    <n v="0"/>
    <n v="449"/>
    <n v="0"/>
    <n v="449"/>
    <n v="144"/>
    <n v="144"/>
    <n v="60"/>
    <n v="245"/>
    <n v="0.54565701559020041"/>
    <x v="3"/>
    <d v="2025-04-22T00:00:00"/>
    <n v="4"/>
    <x v="0"/>
    <n v="3"/>
    <n v="0"/>
  </r>
  <r>
    <s v="ORD-102874"/>
    <x v="471"/>
    <x v="1"/>
    <d v="2025-04-01T00:00:00"/>
    <n v="4"/>
    <s v="CUST-00574"/>
    <x v="1"/>
    <x v="6"/>
    <s v="DL"/>
    <x v="0"/>
    <s v="New Delhi"/>
    <x v="0"/>
    <s v="P105"/>
    <s v="Retinol Night Cream"/>
    <x v="3"/>
    <n v="3"/>
    <n v="799"/>
    <n v="0"/>
    <n v="2397"/>
    <n v="0"/>
    <n v="2397"/>
    <n v="216"/>
    <n v="648"/>
    <n v="60"/>
    <n v="1689"/>
    <n v="0.70463078848560701"/>
    <x v="1"/>
    <d v="2025-04-20T00:00:00"/>
    <n v="1"/>
    <x v="1"/>
    <n v="5"/>
    <n v="0"/>
  </r>
  <r>
    <s v="ORD-102875"/>
    <x v="471"/>
    <x v="1"/>
    <d v="2025-04-01T00:00:00"/>
    <n v="4"/>
    <s v="CUST-00604"/>
    <x v="0"/>
    <x v="16"/>
    <s v="UP"/>
    <x v="0"/>
    <s v="Kanpur"/>
    <x v="4"/>
    <s v="P104"/>
    <s v="Hydrating Face Wash"/>
    <x v="3"/>
    <n v="1"/>
    <n v="299"/>
    <n v="0"/>
    <n v="299"/>
    <n v="0"/>
    <n v="299"/>
    <n v="90"/>
    <n v="90"/>
    <n v="60"/>
    <n v="149"/>
    <n v="0.49832775919732442"/>
    <x v="0"/>
    <d v="2025-04-24T00:00:00"/>
    <n v="5"/>
    <x v="2"/>
    <n v="4"/>
    <n v="0"/>
  </r>
  <r>
    <s v="ORD-102876"/>
    <x v="471"/>
    <x v="1"/>
    <d v="2025-04-01T00:00:00"/>
    <n v="4"/>
    <s v="CUST-00374"/>
    <x v="1"/>
    <x v="11"/>
    <s v="KA"/>
    <x v="3"/>
    <s v="Mysuru"/>
    <x v="1"/>
    <s v="P302"/>
    <s v="Linen Kurta"/>
    <x v="1"/>
    <n v="1"/>
    <n v="1499"/>
    <n v="0.3"/>
    <n v="1499"/>
    <n v="449.7"/>
    <n v="1049.3"/>
    <n v="630"/>
    <n v="630"/>
    <n v="60"/>
    <n v="359.29999999999995"/>
    <n v="0.34241875536071664"/>
    <x v="0"/>
    <d v="2025-04-20T00:00:00"/>
    <n v="1"/>
    <x v="1"/>
    <n v="5"/>
    <n v="0"/>
  </r>
  <r>
    <s v="ORD-102877"/>
    <x v="471"/>
    <x v="1"/>
    <d v="2025-04-01T00:00:00"/>
    <n v="4"/>
    <s v="CUST-03007"/>
    <x v="1"/>
    <x v="8"/>
    <s v="AP"/>
    <x v="3"/>
    <s v="Vijayawada"/>
    <x v="1"/>
    <s v="P302"/>
    <s v="Linen Kurta"/>
    <x v="1"/>
    <n v="5"/>
    <n v="1499"/>
    <n v="0.3"/>
    <n v="7495"/>
    <n v="2248.5"/>
    <n v="5246.5"/>
    <n v="630"/>
    <n v="3150"/>
    <n v="60"/>
    <n v="2036.5"/>
    <n v="0.38816353759649291"/>
    <x v="1"/>
    <d v="2025-04-22T00:00:00"/>
    <n v="3"/>
    <x v="0"/>
    <n v="3"/>
    <n v="0"/>
  </r>
  <r>
    <s v="ORD-102878"/>
    <x v="472"/>
    <x v="1"/>
    <d v="2025-04-01T00:00:00"/>
    <n v="4"/>
    <s v="CUST-00062"/>
    <x v="1"/>
    <x v="6"/>
    <s v="DL"/>
    <x v="0"/>
    <s v="New Delhi"/>
    <x v="4"/>
    <s v="P301"/>
    <s v="Cotton Oversized T-Shirt"/>
    <x v="1"/>
    <n v="1"/>
    <n v="799"/>
    <n v="0"/>
    <n v="799"/>
    <n v="0"/>
    <n v="799"/>
    <n v="320"/>
    <n v="320"/>
    <n v="60"/>
    <n v="419"/>
    <n v="0.52440550688360454"/>
    <x v="0"/>
    <d v="2025-04-21T00:00:00"/>
    <n v="1"/>
    <x v="1"/>
    <n v="5"/>
    <n v="0"/>
  </r>
  <r>
    <s v="ORD-102879"/>
    <x v="472"/>
    <x v="1"/>
    <d v="2025-04-01T00:00:00"/>
    <n v="4"/>
    <s v="CUST-00860"/>
    <x v="1"/>
    <x v="16"/>
    <s v="UP"/>
    <x v="0"/>
    <s v="Noida"/>
    <x v="2"/>
    <s v="P503"/>
    <s v="Scented Candle Set"/>
    <x v="4"/>
    <n v="1"/>
    <n v="699"/>
    <n v="0.25"/>
    <n v="699"/>
    <n v="174.75"/>
    <n v="524.25"/>
    <n v="245"/>
    <n v="245"/>
    <n v="60"/>
    <n v="219.25"/>
    <n v="0.41821649976156416"/>
    <x v="1"/>
    <d v="2025-04-23T00:00:00"/>
    <n v="3"/>
    <x v="0"/>
    <m/>
    <n v="0"/>
  </r>
  <r>
    <s v="ORD-102880"/>
    <x v="472"/>
    <x v="1"/>
    <d v="2025-04-01T00:00:00"/>
    <n v="4"/>
    <s v="CUST-00704"/>
    <x v="1"/>
    <x v="1"/>
    <s v="GJ"/>
    <x v="1"/>
    <s v="Ahmedabad"/>
    <x v="4"/>
    <s v="P404"/>
    <s v="Flip Flops"/>
    <x v="5"/>
    <n v="1"/>
    <n v="399"/>
    <n v="0.05"/>
    <n v="399"/>
    <n v="19.950000000000003"/>
    <n v="379.05"/>
    <n v="152"/>
    <n v="152"/>
    <n v="120"/>
    <n v="107.05000000000001"/>
    <n v="0.2824165677351273"/>
    <x v="3"/>
    <d v="2025-04-23T00:00:00"/>
    <n v="3"/>
    <x v="0"/>
    <n v="3"/>
    <n v="1"/>
  </r>
  <r>
    <s v="ORD-102881"/>
    <x v="472"/>
    <x v="1"/>
    <d v="2025-04-01T00:00:00"/>
    <n v="4"/>
    <s v="CUST-00485"/>
    <x v="1"/>
    <x v="13"/>
    <s v="MP"/>
    <x v="1"/>
    <s v="Bhopal"/>
    <x v="2"/>
    <s v="P301"/>
    <s v="Cotton Oversized T-Shirt"/>
    <x v="1"/>
    <n v="2"/>
    <n v="799"/>
    <n v="0"/>
    <n v="1598"/>
    <n v="0"/>
    <n v="1598"/>
    <n v="320"/>
    <n v="640"/>
    <n v="60"/>
    <n v="898"/>
    <n v="0.56195244055068838"/>
    <x v="3"/>
    <d v="2025-04-25T00:00:00"/>
    <n v="5"/>
    <x v="2"/>
    <n v="4"/>
    <n v="0"/>
  </r>
  <r>
    <s v="ORD-102882"/>
    <x v="472"/>
    <x v="1"/>
    <d v="2025-04-01T00:00:00"/>
    <n v="4"/>
    <s v="CUST-00509"/>
    <x v="1"/>
    <x v="7"/>
    <s v="JH"/>
    <x v="2"/>
    <s v="Ranchi"/>
    <x v="0"/>
    <s v="P204"/>
    <s v="Anti-Dandruff Conditioner"/>
    <x v="6"/>
    <n v="2"/>
    <n v="399"/>
    <n v="0.4"/>
    <n v="798"/>
    <n v="319.20000000000005"/>
    <n v="478.79999999999995"/>
    <n v="136"/>
    <n v="272"/>
    <n v="60"/>
    <n v="146.79999999999995"/>
    <n v="0.30659983291562232"/>
    <x v="0"/>
    <d v="2025-04-24T00:00:00"/>
    <n v="4"/>
    <x v="0"/>
    <n v="3"/>
    <n v="0"/>
  </r>
  <r>
    <s v="ORD-102883"/>
    <x v="472"/>
    <x v="1"/>
    <d v="2025-04-01T00:00:00"/>
    <n v="4"/>
    <s v="CUST-00073"/>
    <x v="0"/>
    <x v="2"/>
    <s v="MH"/>
    <x v="1"/>
    <s v="Pune"/>
    <x v="0"/>
    <s v="P201"/>
    <s v="Onion Hair Oil"/>
    <x v="6"/>
    <n v="2"/>
    <n v="349"/>
    <n v="0.3"/>
    <n v="698"/>
    <n v="209.4"/>
    <n v="488.6"/>
    <n v="105"/>
    <n v="210"/>
    <n v="60"/>
    <n v="218.60000000000002"/>
    <n v="0.44740073679901765"/>
    <x v="0"/>
    <d v="2025-04-22T00:00:00"/>
    <n v="2"/>
    <x v="1"/>
    <m/>
    <n v="0"/>
  </r>
  <r>
    <s v="ORD-102884"/>
    <x v="472"/>
    <x v="1"/>
    <d v="2025-04-01T00:00:00"/>
    <n v="4"/>
    <s v="CUST-00305"/>
    <x v="1"/>
    <x v="21"/>
    <s v="TG"/>
    <x v="3"/>
    <s v="Hyderabad"/>
    <x v="4"/>
    <s v="P701"/>
    <s v="Ashwagandha Capsules"/>
    <x v="0"/>
    <n v="1"/>
    <n v="499"/>
    <n v="0.1"/>
    <n v="499"/>
    <n v="49.900000000000006"/>
    <n v="449.1"/>
    <n v="150"/>
    <n v="150"/>
    <n v="60"/>
    <n v="239.10000000000002"/>
    <n v="0.53239812959251842"/>
    <x v="2"/>
    <d v="2025-04-23T00:00:00"/>
    <n v="3"/>
    <x v="0"/>
    <n v="5"/>
    <n v="0"/>
  </r>
  <r>
    <s v="ORD-102885"/>
    <x v="472"/>
    <x v="1"/>
    <d v="2025-04-01T00:00:00"/>
    <n v="4"/>
    <s v="CUST-00387"/>
    <x v="1"/>
    <x v="11"/>
    <s v="KA"/>
    <x v="3"/>
    <s v="Mysuru"/>
    <x v="1"/>
    <s v="P403"/>
    <s v="Kolhapuri Sandals"/>
    <x v="5"/>
    <n v="1"/>
    <n v="999"/>
    <n v="0.05"/>
    <n v="999"/>
    <n v="49.95"/>
    <n v="949.05"/>
    <n v="400"/>
    <n v="400"/>
    <n v="120"/>
    <n v="429.04999999999995"/>
    <n v="0.4520836626099784"/>
    <x v="1"/>
    <d v="2025-04-22T00:00:00"/>
    <n v="2"/>
    <x v="1"/>
    <n v="4"/>
    <n v="1"/>
  </r>
  <r>
    <s v="ORD-102886"/>
    <x v="473"/>
    <x v="1"/>
    <d v="2025-04-01T00:00:00"/>
    <n v="4"/>
    <s v="CUST-00760"/>
    <x v="1"/>
    <x v="9"/>
    <s v="UK"/>
    <x v="0"/>
    <s v="Dehradun"/>
    <x v="0"/>
    <s v="P603"/>
    <s v="Smartwatch Strap"/>
    <x v="2"/>
    <n v="1"/>
    <n v="499"/>
    <n v="0.2"/>
    <n v="499"/>
    <n v="99.800000000000011"/>
    <n v="399.2"/>
    <n v="200"/>
    <n v="200"/>
    <n v="60"/>
    <n v="139.19999999999999"/>
    <n v="0.34869739478957912"/>
    <x v="1"/>
    <d v="2025-04-25T00:00:00"/>
    <n v="4"/>
    <x v="0"/>
    <n v="3"/>
    <n v="0"/>
  </r>
  <r>
    <s v="ORD-102887"/>
    <x v="473"/>
    <x v="1"/>
    <d v="2025-04-01T00:00:00"/>
    <n v="4"/>
    <s v="CUST-02239"/>
    <x v="0"/>
    <x v="16"/>
    <s v="UP"/>
    <x v="0"/>
    <s v="Lucknow"/>
    <x v="4"/>
    <s v="P502"/>
    <s v="Ceramic Dinner Set"/>
    <x v="4"/>
    <n v="1"/>
    <n v="2499"/>
    <n v="0.25"/>
    <n v="2499"/>
    <n v="624.75"/>
    <n v="1874.25"/>
    <n v="1250"/>
    <n v="1250"/>
    <n v="60"/>
    <n v="564.25"/>
    <n v="0.30105375483526742"/>
    <x v="0"/>
    <d v="2025-04-24T00:00:00"/>
    <n v="3"/>
    <x v="0"/>
    <n v="5"/>
    <n v="0"/>
  </r>
  <r>
    <s v="ORD-102888"/>
    <x v="473"/>
    <x v="1"/>
    <d v="2025-04-01T00:00:00"/>
    <n v="4"/>
    <s v="CUST-00230"/>
    <x v="1"/>
    <x v="1"/>
    <s v="GJ"/>
    <x v="1"/>
    <s v="Ahmedabad"/>
    <x v="0"/>
    <s v="P202"/>
    <s v="Argan Shampoo"/>
    <x v="6"/>
    <n v="1"/>
    <n v="449"/>
    <n v="0.05"/>
    <n v="449"/>
    <n v="22.450000000000003"/>
    <n v="426.55"/>
    <n v="148"/>
    <n v="148"/>
    <n v="60"/>
    <n v="218.55"/>
    <n v="0.51236666275934828"/>
    <x v="0"/>
    <d v="2025-04-25T00:00:00"/>
    <n v="4"/>
    <x v="0"/>
    <n v="5"/>
    <n v="0"/>
  </r>
  <r>
    <s v="ORD-102889"/>
    <x v="473"/>
    <x v="1"/>
    <d v="2025-04-01T00:00:00"/>
    <n v="4"/>
    <s v="CUST-00202"/>
    <x v="1"/>
    <x v="18"/>
    <s v="WB"/>
    <x v="2"/>
    <s v="Kolkata"/>
    <x v="0"/>
    <s v="P202"/>
    <s v="Argan Shampoo"/>
    <x v="6"/>
    <n v="1"/>
    <n v="449"/>
    <n v="0.15"/>
    <n v="449"/>
    <n v="67.349999999999994"/>
    <n v="381.65"/>
    <n v="148"/>
    <n v="148"/>
    <n v="60"/>
    <n v="173.64999999999998"/>
    <n v="0.45499803484868334"/>
    <x v="0"/>
    <d v="2025-04-22T00:00:00"/>
    <n v="1"/>
    <x v="1"/>
    <m/>
    <n v="0"/>
  </r>
  <r>
    <s v="ORD-102890"/>
    <x v="473"/>
    <x v="1"/>
    <d v="2025-04-01T00:00:00"/>
    <n v="4"/>
    <s v="CUST-01250"/>
    <x v="1"/>
    <x v="11"/>
    <s v="KA"/>
    <x v="3"/>
    <s v="Bengaluru"/>
    <x v="2"/>
    <s v="P704"/>
    <s v="Multivitamin Gummies"/>
    <x v="0"/>
    <n v="1"/>
    <n v="699"/>
    <n v="0.25"/>
    <n v="699"/>
    <n v="174.75"/>
    <n v="524.25"/>
    <n v="238"/>
    <n v="238"/>
    <n v="60"/>
    <n v="226.25"/>
    <n v="0.43156890796375774"/>
    <x v="0"/>
    <d v="2025-04-25T00:00:00"/>
    <n v="4"/>
    <x v="0"/>
    <n v="5"/>
    <n v="0"/>
  </r>
  <r>
    <s v="ORD-102891"/>
    <x v="473"/>
    <x v="1"/>
    <d v="2025-04-01T00:00:00"/>
    <n v="4"/>
    <s v="CUST-00815"/>
    <x v="1"/>
    <x v="11"/>
    <s v="KA"/>
    <x v="3"/>
    <s v="Mysuru"/>
    <x v="0"/>
    <s v="P103"/>
    <s v="Niacinamide Toner"/>
    <x v="3"/>
    <n v="3"/>
    <n v="399"/>
    <n v="0.15"/>
    <n v="1197"/>
    <n v="179.54999999999998"/>
    <n v="1017.45"/>
    <n v="112"/>
    <n v="336"/>
    <n v="60"/>
    <n v="621.45000000000005"/>
    <n v="0.61079168509509063"/>
    <x v="4"/>
    <d v="2025-04-22T00:00:00"/>
    <n v="1"/>
    <x v="1"/>
    <n v="4"/>
    <n v="0"/>
  </r>
  <r>
    <s v="ORD-102892"/>
    <x v="473"/>
    <x v="1"/>
    <d v="2025-04-01T00:00:00"/>
    <n v="4"/>
    <s v="CUST-00700"/>
    <x v="0"/>
    <x v="8"/>
    <s v="AP"/>
    <x v="3"/>
    <s v="Visakhapatnam"/>
    <x v="1"/>
    <s v="P301"/>
    <s v="Cotton Oversized T-Shirt"/>
    <x v="1"/>
    <n v="1"/>
    <n v="799"/>
    <n v="0"/>
    <n v="799"/>
    <n v="0"/>
    <n v="799"/>
    <n v="320"/>
    <n v="320"/>
    <n v="120"/>
    <n v="359"/>
    <n v="0.44931163954943681"/>
    <x v="3"/>
    <d v="2025-04-24T00:00:00"/>
    <n v="3"/>
    <x v="0"/>
    <n v="3"/>
    <n v="1"/>
  </r>
  <r>
    <s v="ORD-102893"/>
    <x v="474"/>
    <x v="1"/>
    <d v="2025-04-01T00:00:00"/>
    <n v="4"/>
    <s v="CUST-02686"/>
    <x v="0"/>
    <x v="19"/>
    <s v="PB"/>
    <x v="0"/>
    <s v="Ludhiana"/>
    <x v="4"/>
    <s v="P501"/>
    <s v="Copper Water Bottle"/>
    <x v="4"/>
    <n v="1"/>
    <n v="899"/>
    <n v="0.05"/>
    <n v="899"/>
    <n v="44.95"/>
    <n v="854.05"/>
    <n v="378"/>
    <n v="378"/>
    <n v="120"/>
    <n v="356.04999999999995"/>
    <n v="0.41689596627832093"/>
    <x v="0"/>
    <d v="2025-04-26T00:00:00"/>
    <n v="4"/>
    <x v="0"/>
    <m/>
    <n v="1"/>
  </r>
  <r>
    <s v="ORD-102894"/>
    <x v="474"/>
    <x v="1"/>
    <d v="2025-04-01T00:00:00"/>
    <n v="4"/>
    <s v="CUST-00575"/>
    <x v="1"/>
    <x v="0"/>
    <s v="RJ"/>
    <x v="0"/>
    <s v="Udaipur"/>
    <x v="0"/>
    <s v="P103"/>
    <s v="Niacinamide Toner"/>
    <x v="3"/>
    <n v="1"/>
    <n v="399"/>
    <n v="0.2"/>
    <n v="399"/>
    <n v="79.800000000000011"/>
    <n v="319.2"/>
    <n v="112"/>
    <n v="112"/>
    <n v="120"/>
    <n v="87.199999999999989"/>
    <n v="0.27318295739348369"/>
    <x v="1"/>
    <d v="2025-04-27T00:00:00"/>
    <n v="5"/>
    <x v="2"/>
    <n v="4"/>
    <n v="1"/>
  </r>
  <r>
    <s v="ORD-102895"/>
    <x v="474"/>
    <x v="1"/>
    <d v="2025-04-01T00:00:00"/>
    <n v="4"/>
    <s v="CUST-00680"/>
    <x v="0"/>
    <x v="0"/>
    <s v="RJ"/>
    <x v="0"/>
    <s v="Jaipur"/>
    <x v="3"/>
    <s v="P101"/>
    <s v="Vitamin C Face Serum"/>
    <x v="3"/>
    <n v="1"/>
    <n v="599"/>
    <n v="0.25"/>
    <n v="599"/>
    <n v="149.75"/>
    <n v="449.25"/>
    <n v="180"/>
    <n v="180"/>
    <n v="60"/>
    <n v="209.25"/>
    <n v="0.46577629382303842"/>
    <x v="0"/>
    <d v="2025-04-25T00:00:00"/>
    <n v="3"/>
    <x v="0"/>
    <n v="4"/>
    <n v="0"/>
  </r>
  <r>
    <s v="ORD-102896"/>
    <x v="474"/>
    <x v="1"/>
    <d v="2025-04-01T00:00:00"/>
    <n v="4"/>
    <s v="CUST-01064"/>
    <x v="1"/>
    <x v="16"/>
    <s v="UP"/>
    <x v="0"/>
    <s v="Kanpur"/>
    <x v="1"/>
    <s v="P301"/>
    <s v="Cotton Oversized T-Shirt"/>
    <x v="1"/>
    <n v="1"/>
    <n v="799"/>
    <n v="0"/>
    <n v="799"/>
    <n v="0"/>
    <n v="799"/>
    <n v="320"/>
    <n v="320"/>
    <n v="60"/>
    <n v="419"/>
    <n v="0.52440550688360454"/>
    <x v="0"/>
    <d v="2025-04-25T00:00:00"/>
    <n v="3"/>
    <x v="0"/>
    <n v="4"/>
    <n v="0"/>
  </r>
  <r>
    <s v="ORD-102897"/>
    <x v="474"/>
    <x v="1"/>
    <d v="2025-04-01T00:00:00"/>
    <n v="4"/>
    <s v="CUST-01704"/>
    <x v="0"/>
    <x v="12"/>
    <s v="BR"/>
    <x v="2"/>
    <s v="Patna"/>
    <x v="4"/>
    <s v="P101"/>
    <s v="Vitamin C Face Serum"/>
    <x v="3"/>
    <n v="1"/>
    <n v="599"/>
    <n v="0.1"/>
    <n v="599"/>
    <n v="59.900000000000006"/>
    <n v="539.1"/>
    <n v="180"/>
    <n v="180"/>
    <n v="60"/>
    <n v="299.10000000000002"/>
    <n v="0.5548135781858653"/>
    <x v="1"/>
    <d v="2025-04-27T00:00:00"/>
    <n v="5"/>
    <x v="2"/>
    <n v="4"/>
    <n v="0"/>
  </r>
  <r>
    <s v="ORD-102898"/>
    <x v="474"/>
    <x v="1"/>
    <d v="2025-04-01T00:00:00"/>
    <n v="4"/>
    <s v="CUST-03116"/>
    <x v="1"/>
    <x v="13"/>
    <s v="MP"/>
    <x v="1"/>
    <s v="Indore"/>
    <x v="4"/>
    <s v="P302"/>
    <s v="Linen Kurta"/>
    <x v="1"/>
    <n v="1"/>
    <n v="1499"/>
    <n v="0.25"/>
    <n v="1499"/>
    <n v="374.75"/>
    <n v="1124.25"/>
    <n v="630"/>
    <n v="630"/>
    <n v="60"/>
    <n v="434.25"/>
    <n v="0.38625750500333556"/>
    <x v="3"/>
    <d v="2025-04-25T00:00:00"/>
    <n v="3"/>
    <x v="0"/>
    <n v="3"/>
    <n v="0"/>
  </r>
  <r>
    <s v="ORD-102899"/>
    <x v="474"/>
    <x v="1"/>
    <d v="2025-04-01T00:00:00"/>
    <n v="4"/>
    <s v="CUST-00622"/>
    <x v="0"/>
    <x v="21"/>
    <s v="TG"/>
    <x v="3"/>
    <s v="Hyderabad"/>
    <x v="2"/>
    <s v="P702"/>
    <s v="Whey Protein 1kg"/>
    <x v="0"/>
    <n v="1"/>
    <n v="2299"/>
    <n v="0.25"/>
    <n v="2299"/>
    <n v="574.75"/>
    <n v="1724.25"/>
    <n v="1333"/>
    <n v="1333"/>
    <n v="60"/>
    <n v="331.25"/>
    <n v="0.19211251268667537"/>
    <x v="4"/>
    <d v="2025-04-23T00:00:00"/>
    <n v="1"/>
    <x v="1"/>
    <m/>
    <n v="0"/>
  </r>
  <r>
    <s v="ORD-102900"/>
    <x v="474"/>
    <x v="1"/>
    <d v="2025-04-01T00:00:00"/>
    <n v="4"/>
    <s v="CUST-00604"/>
    <x v="1"/>
    <x v="11"/>
    <s v="KA"/>
    <x v="3"/>
    <s v="Mysuru"/>
    <x v="0"/>
    <s v="P603"/>
    <s v="Smartwatch Strap"/>
    <x v="2"/>
    <n v="1"/>
    <n v="499"/>
    <n v="0.1"/>
    <n v="499"/>
    <n v="49.900000000000006"/>
    <n v="449.1"/>
    <n v="200"/>
    <n v="200"/>
    <n v="60"/>
    <n v="189.10000000000002"/>
    <n v="0.42106435092407041"/>
    <x v="1"/>
    <d v="2025-04-24T00:00:00"/>
    <n v="2"/>
    <x v="1"/>
    <m/>
    <n v="0"/>
  </r>
  <r>
    <s v="ORD-102901"/>
    <x v="474"/>
    <x v="1"/>
    <d v="2025-04-01T00:00:00"/>
    <n v="4"/>
    <s v="CUST-02361"/>
    <x v="1"/>
    <x v="11"/>
    <s v="KA"/>
    <x v="3"/>
    <s v="Bengaluru"/>
    <x v="4"/>
    <s v="P104"/>
    <s v="Hydrating Face Wash"/>
    <x v="3"/>
    <n v="1"/>
    <n v="299"/>
    <n v="0"/>
    <n v="299"/>
    <n v="0"/>
    <n v="299"/>
    <n v="90"/>
    <n v="90"/>
    <n v="60"/>
    <n v="149"/>
    <n v="0.49832775919732442"/>
    <x v="3"/>
    <d v="2025-04-24T00:00:00"/>
    <n v="2"/>
    <x v="1"/>
    <n v="4"/>
    <n v="0"/>
  </r>
  <r>
    <s v="ORD-102902"/>
    <x v="474"/>
    <x v="1"/>
    <d v="2025-04-01T00:00:00"/>
    <n v="4"/>
    <s v="CUST-00669"/>
    <x v="0"/>
    <x v="17"/>
    <s v="TN"/>
    <x v="3"/>
    <s v="Coimbatore"/>
    <x v="1"/>
    <s v="P404"/>
    <s v="Flip Flops"/>
    <x v="5"/>
    <n v="2"/>
    <n v="399"/>
    <n v="0.2"/>
    <n v="798"/>
    <n v="159.60000000000002"/>
    <n v="638.4"/>
    <n v="152"/>
    <n v="304"/>
    <n v="60"/>
    <n v="274.39999999999998"/>
    <n v="0.42982456140350878"/>
    <x v="0"/>
    <d v="2025-04-25T00:00:00"/>
    <n v="3"/>
    <x v="0"/>
    <n v="5"/>
    <n v="0"/>
  </r>
  <r>
    <s v="ORD-102903"/>
    <x v="475"/>
    <x v="1"/>
    <d v="2025-04-01T00:00:00"/>
    <n v="4"/>
    <s v="CUST-01186"/>
    <x v="1"/>
    <x v="9"/>
    <s v="UK"/>
    <x v="0"/>
    <s v="Dehradun"/>
    <x v="0"/>
    <s v="P204"/>
    <s v="Anti-Dandruff Conditioner"/>
    <x v="6"/>
    <n v="4"/>
    <n v="399"/>
    <n v="0.35"/>
    <n v="1596"/>
    <n v="558.59999999999991"/>
    <n v="1037.4000000000001"/>
    <n v="136"/>
    <n v="544"/>
    <n v="60"/>
    <n v="433.40000000000009"/>
    <n v="0.4177752072488915"/>
    <x v="3"/>
    <d v="2025-04-26T00:00:00"/>
    <n v="3"/>
    <x v="0"/>
    <n v="3"/>
    <n v="0"/>
  </r>
  <r>
    <s v="ORD-102904"/>
    <x v="475"/>
    <x v="1"/>
    <d v="2025-04-01T00:00:00"/>
    <n v="4"/>
    <s v="CUST-00972"/>
    <x v="1"/>
    <x v="0"/>
    <s v="RJ"/>
    <x v="0"/>
    <s v="Jaipur"/>
    <x v="3"/>
    <s v="P101"/>
    <s v="Vitamin C Face Serum"/>
    <x v="3"/>
    <n v="1"/>
    <n v="599"/>
    <n v="0.1"/>
    <n v="599"/>
    <n v="59.900000000000006"/>
    <n v="539.1"/>
    <n v="180"/>
    <n v="180"/>
    <n v="60"/>
    <n v="299.10000000000002"/>
    <n v="0.5548135781858653"/>
    <x v="0"/>
    <d v="2025-04-28T00:00:00"/>
    <n v="5"/>
    <x v="2"/>
    <n v="3"/>
    <n v="0"/>
  </r>
  <r>
    <s v="ORD-102905"/>
    <x v="475"/>
    <x v="1"/>
    <d v="2025-04-01T00:00:00"/>
    <n v="4"/>
    <s v="CUST-01222"/>
    <x v="0"/>
    <x v="6"/>
    <s v="DL"/>
    <x v="0"/>
    <s v="New Delhi"/>
    <x v="2"/>
    <s v="P702"/>
    <s v="Whey Protein 1kg"/>
    <x v="0"/>
    <n v="1"/>
    <n v="2299"/>
    <n v="0.25"/>
    <n v="2299"/>
    <n v="574.75"/>
    <n v="1724.25"/>
    <n v="1333"/>
    <n v="1333"/>
    <n v="120"/>
    <n v="271.25"/>
    <n v="0.15731477453965492"/>
    <x v="1"/>
    <d v="2025-04-27T00:00:00"/>
    <n v="4"/>
    <x v="0"/>
    <n v="5"/>
    <n v="1"/>
  </r>
  <r>
    <s v="ORD-102906"/>
    <x v="475"/>
    <x v="1"/>
    <d v="2025-04-01T00:00:00"/>
    <n v="4"/>
    <s v="CUST-02168"/>
    <x v="1"/>
    <x v="16"/>
    <s v="UP"/>
    <x v="0"/>
    <s v="Noida"/>
    <x v="0"/>
    <s v="P603"/>
    <s v="Smartwatch Strap"/>
    <x v="2"/>
    <n v="2"/>
    <n v="499"/>
    <n v="0.2"/>
    <n v="998"/>
    <n v="199.60000000000002"/>
    <n v="798.4"/>
    <n v="200"/>
    <n v="400"/>
    <n v="60"/>
    <n v="338.4"/>
    <n v="0.42384769539078154"/>
    <x v="0"/>
    <d v="2025-04-26T00:00:00"/>
    <n v="3"/>
    <x v="0"/>
    <m/>
    <n v="0"/>
  </r>
  <r>
    <s v="ORD-102907"/>
    <x v="475"/>
    <x v="1"/>
    <d v="2025-04-01T00:00:00"/>
    <n v="4"/>
    <s v="CUST-00140"/>
    <x v="1"/>
    <x v="12"/>
    <s v="BR"/>
    <x v="2"/>
    <s v="Patna"/>
    <x v="1"/>
    <s v="P404"/>
    <s v="Flip Flops"/>
    <x v="5"/>
    <n v="1"/>
    <n v="399"/>
    <n v="0.1"/>
    <n v="399"/>
    <n v="39.900000000000006"/>
    <n v="359.1"/>
    <n v="152"/>
    <n v="152"/>
    <n v="60"/>
    <n v="147.10000000000002"/>
    <n v="0.40963519910888335"/>
    <x v="3"/>
    <d v="2025-04-29T00:00:00"/>
    <n v="6"/>
    <x v="2"/>
    <m/>
    <n v="0"/>
  </r>
  <r>
    <s v="ORD-102908"/>
    <x v="475"/>
    <x v="1"/>
    <d v="2025-04-01T00:00:00"/>
    <n v="4"/>
    <s v="CUST-00672"/>
    <x v="1"/>
    <x v="13"/>
    <s v="MP"/>
    <x v="1"/>
    <s v="Indore"/>
    <x v="2"/>
    <s v="P103"/>
    <s v="Niacinamide Toner"/>
    <x v="3"/>
    <n v="1"/>
    <n v="399"/>
    <n v="0.2"/>
    <n v="399"/>
    <n v="79.800000000000011"/>
    <n v="319.2"/>
    <n v="112"/>
    <n v="112"/>
    <n v="120"/>
    <n v="87.199999999999989"/>
    <n v="0.27318295739348369"/>
    <x v="0"/>
    <d v="2025-04-29T00:00:00"/>
    <n v="6"/>
    <x v="2"/>
    <n v="3"/>
    <n v="1"/>
  </r>
  <r>
    <s v="ORD-102909"/>
    <x v="475"/>
    <x v="1"/>
    <d v="2025-04-01T00:00:00"/>
    <n v="4"/>
    <s v="CUST-01777"/>
    <x v="1"/>
    <x v="18"/>
    <s v="WB"/>
    <x v="2"/>
    <s v="Kolkata"/>
    <x v="0"/>
    <s v="P202"/>
    <s v="Argan Shampoo"/>
    <x v="6"/>
    <n v="1"/>
    <n v="449"/>
    <n v="0.15"/>
    <n v="449"/>
    <n v="67.349999999999994"/>
    <n v="381.65"/>
    <n v="148"/>
    <n v="148"/>
    <n v="60"/>
    <n v="173.64999999999998"/>
    <n v="0.45499803484868334"/>
    <x v="1"/>
    <d v="2025-04-28T00:00:00"/>
    <n v="5"/>
    <x v="2"/>
    <n v="3"/>
    <n v="0"/>
  </r>
  <r>
    <s v="ORD-102910"/>
    <x v="475"/>
    <x v="1"/>
    <d v="2025-04-01T00:00:00"/>
    <n v="4"/>
    <s v="CUST-00132"/>
    <x v="0"/>
    <x v="18"/>
    <s v="WB"/>
    <x v="2"/>
    <s v="Kolkata"/>
    <x v="0"/>
    <s v="P501"/>
    <s v="Copper Water Bottle"/>
    <x v="4"/>
    <n v="2"/>
    <n v="899"/>
    <n v="0.05"/>
    <n v="1798"/>
    <n v="89.9"/>
    <n v="1708.1"/>
    <n v="378"/>
    <n v="756"/>
    <n v="60"/>
    <n v="892.09999999999991"/>
    <n v="0.52227621333645569"/>
    <x v="1"/>
    <d v="2025-04-26T00:00:00"/>
    <n v="3"/>
    <x v="0"/>
    <m/>
    <n v="0"/>
  </r>
  <r>
    <s v="ORD-102911"/>
    <x v="475"/>
    <x v="1"/>
    <d v="2025-04-01T00:00:00"/>
    <n v="4"/>
    <s v="CUST-01190"/>
    <x v="0"/>
    <x v="20"/>
    <s v="GA"/>
    <x v="1"/>
    <s v="Panaji"/>
    <x v="1"/>
    <s v="P301"/>
    <s v="Cotton Oversized T-Shirt"/>
    <x v="1"/>
    <n v="1"/>
    <n v="799"/>
    <n v="0"/>
    <n v="799"/>
    <n v="0"/>
    <n v="799"/>
    <n v="320"/>
    <n v="320"/>
    <n v="60"/>
    <n v="419"/>
    <n v="0.52440550688360454"/>
    <x v="0"/>
    <d v="2025-04-25T00:00:00"/>
    <n v="2"/>
    <x v="1"/>
    <n v="5"/>
    <n v="0"/>
  </r>
  <r>
    <s v="ORD-102912"/>
    <x v="475"/>
    <x v="1"/>
    <d v="2025-04-01T00:00:00"/>
    <n v="4"/>
    <s v="CUST-00606"/>
    <x v="1"/>
    <x v="11"/>
    <s v="KA"/>
    <x v="3"/>
    <s v="Mysuru"/>
    <x v="3"/>
    <s v="P702"/>
    <s v="Whey Protein 1kg"/>
    <x v="0"/>
    <n v="2"/>
    <n v="2299"/>
    <n v="0.35"/>
    <n v="4598"/>
    <n v="1609.3"/>
    <n v="2988.7"/>
    <n v="1333"/>
    <n v="2666"/>
    <n v="60"/>
    <n v="262.69999999999982"/>
    <n v="8.7897748184829469E-2"/>
    <x v="3"/>
    <d v="2025-04-26T00:00:00"/>
    <n v="3"/>
    <x v="0"/>
    <n v="5"/>
    <n v="0"/>
  </r>
  <r>
    <s v="ORD-102913"/>
    <x v="475"/>
    <x v="1"/>
    <d v="2025-04-01T00:00:00"/>
    <n v="4"/>
    <s v="CUST-00477"/>
    <x v="1"/>
    <x v="11"/>
    <s v="KA"/>
    <x v="3"/>
    <s v="Bengaluru"/>
    <x v="4"/>
    <s v="P302"/>
    <s v="Linen Kurta"/>
    <x v="1"/>
    <n v="2"/>
    <n v="1499"/>
    <n v="0.25"/>
    <n v="2998"/>
    <n v="749.5"/>
    <n v="2248.5"/>
    <n v="630"/>
    <n v="1260"/>
    <n v="60"/>
    <n v="928.5"/>
    <n v="0.41294196130753835"/>
    <x v="0"/>
    <d v="2025-04-25T00:00:00"/>
    <n v="2"/>
    <x v="1"/>
    <m/>
    <n v="0"/>
  </r>
  <r>
    <s v="ORD-102914"/>
    <x v="475"/>
    <x v="1"/>
    <d v="2025-04-01T00:00:00"/>
    <n v="4"/>
    <s v="CUST-00955"/>
    <x v="1"/>
    <x v="8"/>
    <s v="AP"/>
    <x v="3"/>
    <s v="Visakhapatnam"/>
    <x v="0"/>
    <s v="P101"/>
    <s v="Vitamin C Face Serum"/>
    <x v="3"/>
    <n v="3"/>
    <n v="599"/>
    <n v="0.15"/>
    <n v="1797"/>
    <n v="269.55"/>
    <n v="1527.45"/>
    <n v="180"/>
    <n v="540"/>
    <n v="60"/>
    <n v="927.45"/>
    <n v="0.60718845134046939"/>
    <x v="2"/>
    <d v="2025-04-28T00:00:00"/>
    <n v="5"/>
    <x v="2"/>
    <n v="3"/>
    <n v="0"/>
  </r>
  <r>
    <s v="ORD-102915"/>
    <x v="475"/>
    <x v="1"/>
    <d v="2025-04-01T00:00:00"/>
    <n v="4"/>
    <s v="CUST-01026"/>
    <x v="1"/>
    <x v="14"/>
    <s v="KL"/>
    <x v="3"/>
    <s v="Thiruvananthapuram"/>
    <x v="1"/>
    <s v="P404"/>
    <s v="Flip Flops"/>
    <x v="5"/>
    <n v="1"/>
    <n v="399"/>
    <n v="0.1"/>
    <n v="399"/>
    <n v="39.900000000000006"/>
    <n v="359.1"/>
    <n v="152"/>
    <n v="152"/>
    <n v="60"/>
    <n v="147.10000000000002"/>
    <n v="0.40963519910888335"/>
    <x v="1"/>
    <d v="2025-04-26T00:00:00"/>
    <n v="3"/>
    <x v="0"/>
    <n v="3"/>
    <n v="0"/>
  </r>
  <r>
    <s v="ORD-102916"/>
    <x v="475"/>
    <x v="1"/>
    <d v="2025-04-01T00:00:00"/>
    <n v="4"/>
    <s v="CUST-00961"/>
    <x v="1"/>
    <x v="14"/>
    <s v="KL"/>
    <x v="3"/>
    <s v="Thiruvananthapuram"/>
    <x v="0"/>
    <s v="P101"/>
    <s v="Vitamin C Face Serum"/>
    <x v="3"/>
    <n v="3"/>
    <n v="599"/>
    <n v="0.1"/>
    <n v="1797"/>
    <n v="179.70000000000002"/>
    <n v="1617.3"/>
    <n v="180"/>
    <n v="540"/>
    <n v="60"/>
    <n v="1017.3"/>
    <n v="0.62901131515488773"/>
    <x v="1"/>
    <d v="2025-04-26T00:00:00"/>
    <n v="3"/>
    <x v="0"/>
    <n v="4"/>
    <n v="0"/>
  </r>
  <r>
    <s v="ORD-102917"/>
    <x v="476"/>
    <x v="1"/>
    <d v="2025-04-01T00:00:00"/>
    <n v="4"/>
    <s v="CUST-02494"/>
    <x v="1"/>
    <x v="19"/>
    <s v="PB"/>
    <x v="0"/>
    <s v="Ludhiana"/>
    <x v="4"/>
    <s v="P301"/>
    <s v="Cotton Oversized T-Shirt"/>
    <x v="1"/>
    <n v="1"/>
    <n v="799"/>
    <n v="0.1"/>
    <n v="799"/>
    <n v="79.900000000000006"/>
    <n v="719.1"/>
    <n v="320"/>
    <n v="320"/>
    <n v="120"/>
    <n v="279.10000000000002"/>
    <n v="0.38812404394381866"/>
    <x v="0"/>
    <d v="2025-04-27T00:00:00"/>
    <n v="3"/>
    <x v="0"/>
    <n v="4"/>
    <n v="1"/>
  </r>
  <r>
    <s v="ORD-102918"/>
    <x v="476"/>
    <x v="1"/>
    <d v="2025-04-01T00:00:00"/>
    <n v="4"/>
    <s v="CUST-01067"/>
    <x v="1"/>
    <x v="0"/>
    <s v="RJ"/>
    <x v="0"/>
    <s v="Udaipur"/>
    <x v="0"/>
    <s v="P604"/>
    <s v="Power Bank 20000mAh"/>
    <x v="2"/>
    <n v="1"/>
    <n v="1799"/>
    <n v="0.45"/>
    <n v="1799"/>
    <n v="809.55000000000007"/>
    <n v="989.44999999999993"/>
    <n v="1079"/>
    <n v="1079"/>
    <n v="60"/>
    <n v="-149.55000000000007"/>
    <n v="-0.15114457526908898"/>
    <x v="3"/>
    <d v="2025-04-26T00:00:00"/>
    <n v="2"/>
    <x v="1"/>
    <n v="5"/>
    <n v="0"/>
  </r>
  <r>
    <s v="ORD-102919"/>
    <x v="476"/>
    <x v="1"/>
    <d v="2025-04-01T00:00:00"/>
    <n v="4"/>
    <s v="CUST-00202"/>
    <x v="1"/>
    <x v="12"/>
    <s v="BR"/>
    <x v="2"/>
    <s v="Patna"/>
    <x v="0"/>
    <s v="P101"/>
    <s v="Vitamin C Face Serum"/>
    <x v="3"/>
    <n v="1"/>
    <n v="599"/>
    <n v="0.15"/>
    <n v="599"/>
    <n v="89.85"/>
    <n v="509.15"/>
    <n v="180"/>
    <n v="180"/>
    <n v="120"/>
    <n v="209.14999999999998"/>
    <n v="0.41078267701070409"/>
    <x v="3"/>
    <d v="2025-04-29T00:00:00"/>
    <n v="5"/>
    <x v="2"/>
    <n v="4"/>
    <n v="1"/>
  </r>
  <r>
    <s v="ORD-102920"/>
    <x v="476"/>
    <x v="1"/>
    <d v="2025-04-01T00:00:00"/>
    <n v="4"/>
    <s v="CUST-00295"/>
    <x v="1"/>
    <x v="10"/>
    <s v="CG"/>
    <x v="2"/>
    <s v="Raipur"/>
    <x v="4"/>
    <s v="P502"/>
    <s v="Ceramic Dinner Set"/>
    <x v="4"/>
    <n v="1"/>
    <n v="2499"/>
    <n v="0.4"/>
    <n v="2499"/>
    <n v="999.6"/>
    <n v="1499.4"/>
    <n v="1250"/>
    <n v="1250"/>
    <n v="60"/>
    <n v="189.40000000000009"/>
    <n v="0.12631719354408436"/>
    <x v="4"/>
    <d v="2025-04-29T00:00:00"/>
    <n v="5"/>
    <x v="2"/>
    <n v="3"/>
    <n v="0"/>
  </r>
  <r>
    <s v="ORD-102921"/>
    <x v="476"/>
    <x v="1"/>
    <d v="2025-04-01T00:00:00"/>
    <n v="4"/>
    <s v="CUST-01091"/>
    <x v="0"/>
    <x v="7"/>
    <s v="JH"/>
    <x v="2"/>
    <s v="Ranchi"/>
    <x v="1"/>
    <s v="P301"/>
    <s v="Cotton Oversized T-Shirt"/>
    <x v="1"/>
    <n v="1"/>
    <n v="799"/>
    <n v="0"/>
    <n v="799"/>
    <n v="0"/>
    <n v="799"/>
    <n v="320"/>
    <n v="320"/>
    <n v="60"/>
    <n v="419"/>
    <n v="0.52440550688360454"/>
    <x v="3"/>
    <d v="2025-04-26T00:00:00"/>
    <n v="2"/>
    <x v="1"/>
    <n v="4"/>
    <n v="0"/>
  </r>
  <r>
    <s v="ORD-102922"/>
    <x v="476"/>
    <x v="1"/>
    <d v="2025-04-01T00:00:00"/>
    <n v="4"/>
    <s v="CUST-01861"/>
    <x v="0"/>
    <x v="20"/>
    <s v="GA"/>
    <x v="1"/>
    <s v="Panaji"/>
    <x v="0"/>
    <s v="P201"/>
    <s v="Onion Hair Oil"/>
    <x v="6"/>
    <n v="2"/>
    <n v="349"/>
    <n v="0.35"/>
    <n v="698"/>
    <n v="244.29999999999998"/>
    <n v="453.70000000000005"/>
    <n v="105"/>
    <n v="210"/>
    <n v="60"/>
    <n v="183.70000000000005"/>
    <n v="0.40489310116817284"/>
    <x v="3"/>
    <d v="2025-04-26T00:00:00"/>
    <n v="2"/>
    <x v="1"/>
    <n v="5"/>
    <n v="0"/>
  </r>
  <r>
    <s v="ORD-102923"/>
    <x v="476"/>
    <x v="1"/>
    <d v="2025-04-01T00:00:00"/>
    <n v="4"/>
    <s v="CUST-00939"/>
    <x v="1"/>
    <x v="8"/>
    <s v="AP"/>
    <x v="3"/>
    <s v="Vijayawada"/>
    <x v="4"/>
    <s v="P203"/>
    <s v="Keratin Hair Mask"/>
    <x v="6"/>
    <n v="3"/>
    <n v="549"/>
    <n v="0.1"/>
    <n v="1647"/>
    <n v="164.70000000000002"/>
    <n v="1482.3"/>
    <n v="170"/>
    <n v="510"/>
    <n v="60"/>
    <n v="912.3"/>
    <n v="0.61546245699251168"/>
    <x v="0"/>
    <d v="2025-04-27T00:00:00"/>
    <n v="3"/>
    <x v="0"/>
    <m/>
    <n v="0"/>
  </r>
  <r>
    <s v="ORD-102924"/>
    <x v="477"/>
    <x v="1"/>
    <d v="2025-04-01T00:00:00"/>
    <n v="4"/>
    <s v="CUST-00124"/>
    <x v="1"/>
    <x v="0"/>
    <s v="RJ"/>
    <x v="0"/>
    <s v="Udaipur"/>
    <x v="2"/>
    <s v="P204"/>
    <s v="Anti-Dandruff Conditioner"/>
    <x v="6"/>
    <n v="3"/>
    <n v="399"/>
    <n v="0.4"/>
    <n v="1197"/>
    <n v="478.8"/>
    <n v="718.2"/>
    <n v="136"/>
    <n v="408"/>
    <n v="60"/>
    <n v="250.20000000000005"/>
    <n v="0.34837092731829578"/>
    <x v="0"/>
    <d v="2025-04-30T00:00:00"/>
    <n v="5"/>
    <x v="2"/>
    <n v="4"/>
    <n v="0"/>
  </r>
  <r>
    <s v="ORD-102925"/>
    <x v="477"/>
    <x v="1"/>
    <d v="2025-04-01T00:00:00"/>
    <n v="4"/>
    <s v="CUST-02614"/>
    <x v="0"/>
    <x v="16"/>
    <s v="UP"/>
    <x v="0"/>
    <s v="Noida"/>
    <x v="3"/>
    <s v="P103"/>
    <s v="Niacinamide Toner"/>
    <x v="3"/>
    <n v="2"/>
    <n v="399"/>
    <n v="0.2"/>
    <n v="798"/>
    <n v="159.60000000000002"/>
    <n v="638.4"/>
    <n v="112"/>
    <n v="224"/>
    <n v="60"/>
    <n v="354.4"/>
    <n v="0.55513784461152882"/>
    <x v="0"/>
    <d v="2025-04-30T00:00:00"/>
    <n v="5"/>
    <x v="2"/>
    <n v="4"/>
    <n v="0"/>
  </r>
  <r>
    <s v="ORD-102926"/>
    <x v="477"/>
    <x v="1"/>
    <d v="2025-04-01T00:00:00"/>
    <n v="4"/>
    <s v="CUST-00386"/>
    <x v="1"/>
    <x v="1"/>
    <s v="GJ"/>
    <x v="1"/>
    <s v="Ahmedabad"/>
    <x v="4"/>
    <s v="P105"/>
    <s v="Retinol Night Cream"/>
    <x v="3"/>
    <n v="1"/>
    <n v="799"/>
    <n v="0"/>
    <n v="799"/>
    <n v="0"/>
    <n v="799"/>
    <n v="216"/>
    <n v="216"/>
    <n v="120"/>
    <n v="463"/>
    <n v="0.57947434292866085"/>
    <x v="3"/>
    <d v="2025-04-30T00:00:00"/>
    <n v="5"/>
    <x v="2"/>
    <n v="5"/>
    <n v="1"/>
  </r>
  <r>
    <s v="ORD-102927"/>
    <x v="477"/>
    <x v="1"/>
    <d v="2025-04-01T00:00:00"/>
    <n v="4"/>
    <s v="CUST-02975"/>
    <x v="1"/>
    <x v="3"/>
    <s v="OD"/>
    <x v="2"/>
    <s v="Bhubaneswar"/>
    <x v="4"/>
    <s v="P101"/>
    <s v="Vitamin C Face Serum"/>
    <x v="3"/>
    <n v="1"/>
    <n v="599"/>
    <n v="0.15"/>
    <n v="599"/>
    <n v="89.85"/>
    <n v="509.15"/>
    <n v="180"/>
    <n v="180"/>
    <n v="60"/>
    <n v="269.14999999999998"/>
    <n v="0.52862614160856325"/>
    <x v="3"/>
    <d v="2025-05-01T00:00:00"/>
    <n v="6"/>
    <x v="2"/>
    <n v="5"/>
    <n v="0"/>
  </r>
  <r>
    <s v="ORD-102928"/>
    <x v="477"/>
    <x v="1"/>
    <d v="2025-04-01T00:00:00"/>
    <n v="4"/>
    <s v="CUST-00637"/>
    <x v="0"/>
    <x v="8"/>
    <s v="AP"/>
    <x v="3"/>
    <s v="Visakhapatnam"/>
    <x v="1"/>
    <s v="P403"/>
    <s v="Kolhapuri Sandals"/>
    <x v="5"/>
    <n v="3"/>
    <n v="999"/>
    <n v="0"/>
    <n v="2997"/>
    <n v="0"/>
    <n v="2997"/>
    <n v="400"/>
    <n v="1200"/>
    <n v="60"/>
    <n v="1737"/>
    <n v="0.57957957957957962"/>
    <x v="0"/>
    <d v="2025-04-28T00:00:00"/>
    <n v="3"/>
    <x v="0"/>
    <n v="4"/>
    <n v="0"/>
  </r>
  <r>
    <s v="ORD-102929"/>
    <x v="478"/>
    <x v="1"/>
    <d v="2025-04-01T00:00:00"/>
    <n v="4"/>
    <s v="CUST-00871"/>
    <x v="0"/>
    <x v="19"/>
    <s v="PB"/>
    <x v="0"/>
    <s v="Ludhiana"/>
    <x v="4"/>
    <s v="P402"/>
    <s v="Casual Sneakers"/>
    <x v="5"/>
    <n v="1"/>
    <n v="2199"/>
    <n v="0.25"/>
    <n v="2199"/>
    <n v="549.75"/>
    <n v="1649.25"/>
    <n v="1034"/>
    <n v="1034"/>
    <n v="60"/>
    <n v="555.25"/>
    <n v="0.33666818250720026"/>
    <x v="3"/>
    <d v="2025-04-30T00:00:00"/>
    <n v="4"/>
    <x v="0"/>
    <n v="3"/>
    <n v="0"/>
  </r>
  <r>
    <s v="ORD-102930"/>
    <x v="478"/>
    <x v="1"/>
    <d v="2025-04-01T00:00:00"/>
    <n v="4"/>
    <s v="CUST-01328"/>
    <x v="1"/>
    <x v="9"/>
    <s v="UK"/>
    <x v="0"/>
    <s v="Dehradun"/>
    <x v="0"/>
    <s v="P101"/>
    <s v="Vitamin C Face Serum"/>
    <x v="3"/>
    <n v="1"/>
    <n v="599"/>
    <n v="0.15"/>
    <n v="599"/>
    <n v="89.85"/>
    <n v="509.15"/>
    <n v="180"/>
    <n v="180"/>
    <n v="60"/>
    <n v="269.14999999999998"/>
    <n v="0.52862614160856325"/>
    <x v="0"/>
    <d v="2025-04-30T00:00:00"/>
    <n v="4"/>
    <x v="0"/>
    <n v="2"/>
    <n v="0"/>
  </r>
  <r>
    <s v="ORD-102931"/>
    <x v="478"/>
    <x v="1"/>
    <d v="2025-04-01T00:00:00"/>
    <n v="4"/>
    <s v="CUST-01039"/>
    <x v="1"/>
    <x v="16"/>
    <s v="UP"/>
    <x v="0"/>
    <s v="Noida"/>
    <x v="0"/>
    <s v="P703"/>
    <s v="Green Tea (100 bags)"/>
    <x v="0"/>
    <n v="3"/>
    <n v="399"/>
    <n v="0.3"/>
    <n v="1197"/>
    <n v="359.09999999999997"/>
    <n v="837.90000000000009"/>
    <n v="128"/>
    <n v="384"/>
    <n v="60"/>
    <n v="393.90000000000009"/>
    <n v="0.47010383100608671"/>
    <x v="1"/>
    <d v="2025-04-30T00:00:00"/>
    <n v="4"/>
    <x v="0"/>
    <n v="4"/>
    <n v="0"/>
  </r>
  <r>
    <s v="ORD-102932"/>
    <x v="478"/>
    <x v="1"/>
    <d v="2025-04-01T00:00:00"/>
    <n v="4"/>
    <s v="CUST-00356"/>
    <x v="1"/>
    <x v="16"/>
    <s v="UP"/>
    <x v="0"/>
    <s v="Noida"/>
    <x v="2"/>
    <s v="P401"/>
    <s v="Running Shoes"/>
    <x v="5"/>
    <n v="1"/>
    <n v="2999"/>
    <n v="0.25"/>
    <n v="2999"/>
    <n v="749.75"/>
    <n v="2249.25"/>
    <n v="1440"/>
    <n v="1440"/>
    <n v="60"/>
    <n v="749.25"/>
    <n v="0.33311103701233746"/>
    <x v="0"/>
    <d v="2025-04-30T00:00:00"/>
    <n v="4"/>
    <x v="0"/>
    <n v="5"/>
    <n v="0"/>
  </r>
  <r>
    <s v="ORD-102933"/>
    <x v="478"/>
    <x v="1"/>
    <d v="2025-04-01T00:00:00"/>
    <n v="4"/>
    <s v="CUST-02160"/>
    <x v="1"/>
    <x v="16"/>
    <s v="UP"/>
    <x v="0"/>
    <s v="Noida"/>
    <x v="1"/>
    <s v="P404"/>
    <s v="Flip Flops"/>
    <x v="5"/>
    <n v="2"/>
    <n v="399"/>
    <n v="0.2"/>
    <n v="798"/>
    <n v="159.60000000000002"/>
    <n v="638.4"/>
    <n v="152"/>
    <n v="304"/>
    <n v="60"/>
    <n v="274.39999999999998"/>
    <n v="0.42982456140350878"/>
    <x v="0"/>
    <d v="2025-04-28T00:00:00"/>
    <n v="2"/>
    <x v="1"/>
    <n v="4"/>
    <n v="0"/>
  </r>
  <r>
    <s v="ORD-102934"/>
    <x v="478"/>
    <x v="1"/>
    <d v="2025-04-01T00:00:00"/>
    <n v="4"/>
    <s v="CUST-00868"/>
    <x v="1"/>
    <x v="16"/>
    <s v="UP"/>
    <x v="0"/>
    <s v="Kanpur"/>
    <x v="0"/>
    <s v="P504"/>
    <s v="Cotton Bedsheet"/>
    <x v="4"/>
    <n v="1"/>
    <n v="1299"/>
    <n v="0"/>
    <n v="1299"/>
    <n v="0"/>
    <n v="1299"/>
    <n v="585"/>
    <n v="585"/>
    <n v="120"/>
    <n v="594"/>
    <n v="0.45727482678983833"/>
    <x v="3"/>
    <d v="2025-04-30T00:00:00"/>
    <n v="4"/>
    <x v="0"/>
    <n v="4"/>
    <n v="1"/>
  </r>
  <r>
    <s v="ORD-102935"/>
    <x v="478"/>
    <x v="1"/>
    <d v="2025-04-01T00:00:00"/>
    <n v="4"/>
    <s v="CUST-02059"/>
    <x v="0"/>
    <x v="1"/>
    <s v="GJ"/>
    <x v="1"/>
    <s v="Ahmedabad"/>
    <x v="2"/>
    <s v="P102"/>
    <s v="Sunscreen SPF 50"/>
    <x v="3"/>
    <n v="1"/>
    <n v="449"/>
    <n v="0"/>
    <n v="449"/>
    <n v="0"/>
    <n v="449"/>
    <n v="144"/>
    <n v="144"/>
    <n v="60"/>
    <n v="245"/>
    <n v="0.54565701559020041"/>
    <x v="2"/>
    <d v="2025-04-27T00:00:00"/>
    <n v="1"/>
    <x v="1"/>
    <n v="4"/>
    <n v="0"/>
  </r>
  <r>
    <s v="ORD-102936"/>
    <x v="478"/>
    <x v="1"/>
    <d v="2025-04-01T00:00:00"/>
    <n v="4"/>
    <s v="CUST-00689"/>
    <x v="1"/>
    <x v="2"/>
    <s v="MH"/>
    <x v="1"/>
    <s v="Mumbai"/>
    <x v="0"/>
    <s v="P104"/>
    <s v="Hydrating Face Wash"/>
    <x v="3"/>
    <n v="1"/>
    <n v="299"/>
    <n v="0"/>
    <n v="299"/>
    <n v="0"/>
    <n v="299"/>
    <n v="90"/>
    <n v="90"/>
    <n v="60"/>
    <n v="149"/>
    <n v="0.49832775919732442"/>
    <x v="0"/>
    <d v="2025-04-29T00:00:00"/>
    <n v="3"/>
    <x v="0"/>
    <n v="5"/>
    <n v="0"/>
  </r>
  <r>
    <s v="ORD-102937"/>
    <x v="478"/>
    <x v="1"/>
    <d v="2025-04-01T00:00:00"/>
    <n v="4"/>
    <s v="CUST-00684"/>
    <x v="1"/>
    <x v="21"/>
    <s v="TG"/>
    <x v="3"/>
    <s v="Hyderabad"/>
    <x v="2"/>
    <s v="P703"/>
    <s v="Green Tea (100 bags)"/>
    <x v="0"/>
    <n v="2"/>
    <n v="399"/>
    <n v="0.25"/>
    <n v="798"/>
    <n v="199.5"/>
    <n v="598.5"/>
    <n v="128"/>
    <n v="256"/>
    <n v="60"/>
    <n v="282.5"/>
    <n v="0.47201336675020883"/>
    <x v="1"/>
    <d v="2025-04-28T00:00:00"/>
    <n v="2"/>
    <x v="1"/>
    <m/>
    <n v="0"/>
  </r>
  <r>
    <s v="ORD-102938"/>
    <x v="478"/>
    <x v="1"/>
    <d v="2025-04-01T00:00:00"/>
    <n v="4"/>
    <s v="CUST-00114"/>
    <x v="1"/>
    <x v="11"/>
    <s v="KA"/>
    <x v="3"/>
    <s v="Mysuru"/>
    <x v="3"/>
    <s v="P702"/>
    <s v="Whey Protein 1kg"/>
    <x v="0"/>
    <n v="3"/>
    <n v="2299"/>
    <n v="0.45"/>
    <n v="6897"/>
    <n v="3103.65"/>
    <n v="3793.35"/>
    <n v="1333"/>
    <n v="3999"/>
    <n v="60"/>
    <n v="-265.65000000000009"/>
    <n v="-7.0030448020878669E-2"/>
    <x v="1"/>
    <d v="2025-04-28T00:00:00"/>
    <n v="2"/>
    <x v="1"/>
    <n v="4"/>
    <n v="0"/>
  </r>
  <r>
    <s v="ORD-102939"/>
    <x v="478"/>
    <x v="1"/>
    <d v="2025-04-01T00:00:00"/>
    <n v="4"/>
    <s v="CUST-01798"/>
    <x v="1"/>
    <x v="8"/>
    <s v="AP"/>
    <x v="3"/>
    <s v="Vijayawada"/>
    <x v="4"/>
    <s v="P404"/>
    <s v="Flip Flops"/>
    <x v="5"/>
    <n v="1"/>
    <n v="399"/>
    <n v="0.1"/>
    <n v="399"/>
    <n v="39.900000000000006"/>
    <n v="359.1"/>
    <n v="152"/>
    <n v="152"/>
    <n v="120"/>
    <n v="87.100000000000023"/>
    <n v="0.24255082149818996"/>
    <x v="2"/>
    <d v="2025-04-30T00:00:00"/>
    <n v="4"/>
    <x v="0"/>
    <n v="3"/>
    <n v="1"/>
  </r>
  <r>
    <s v="ORD-102940"/>
    <x v="479"/>
    <x v="1"/>
    <d v="2025-04-01T00:00:00"/>
    <n v="4"/>
    <s v="CUST-00876"/>
    <x v="1"/>
    <x v="0"/>
    <s v="RJ"/>
    <x v="0"/>
    <s v="Udaipur"/>
    <x v="1"/>
    <s v="P303"/>
    <s v="Joggers"/>
    <x v="1"/>
    <n v="1"/>
    <n v="1199"/>
    <n v="0.1"/>
    <n v="1199"/>
    <n v="119.9"/>
    <n v="1079.0999999999999"/>
    <n v="492"/>
    <n v="492"/>
    <n v="120"/>
    <n v="467.09999999999991"/>
    <n v="0.43286071726438696"/>
    <x v="4"/>
    <d v="2025-05-02T00:00:00"/>
    <n v="5"/>
    <x v="2"/>
    <n v="2"/>
    <n v="1"/>
  </r>
  <r>
    <s v="ORD-102941"/>
    <x v="479"/>
    <x v="1"/>
    <d v="2025-04-01T00:00:00"/>
    <n v="4"/>
    <s v="CUST-03164"/>
    <x v="1"/>
    <x v="6"/>
    <s v="DL"/>
    <x v="0"/>
    <s v="New Delhi"/>
    <x v="4"/>
    <s v="P501"/>
    <s v="Copper Water Bottle"/>
    <x v="4"/>
    <n v="1"/>
    <n v="899"/>
    <n v="0"/>
    <n v="899"/>
    <n v="0"/>
    <n v="899"/>
    <n v="378"/>
    <n v="378"/>
    <n v="60"/>
    <n v="461"/>
    <n v="0.51279199110122353"/>
    <x v="1"/>
    <d v="2025-04-28T00:00:00"/>
    <n v="1"/>
    <x v="1"/>
    <n v="4"/>
    <n v="0"/>
  </r>
  <r>
    <s v="ORD-102942"/>
    <x v="479"/>
    <x v="1"/>
    <d v="2025-04-01T00:00:00"/>
    <n v="4"/>
    <s v="CUST-00188"/>
    <x v="1"/>
    <x v="6"/>
    <s v="DL"/>
    <x v="0"/>
    <s v="New Delhi"/>
    <x v="1"/>
    <s v="P301"/>
    <s v="Cotton Oversized T-Shirt"/>
    <x v="1"/>
    <n v="3"/>
    <n v="799"/>
    <n v="0"/>
    <n v="2397"/>
    <n v="0"/>
    <n v="2397"/>
    <n v="320"/>
    <n v="960"/>
    <n v="60"/>
    <n v="1377"/>
    <n v="0.57446808510638303"/>
    <x v="4"/>
    <d v="2025-04-29T00:00:00"/>
    <n v="2"/>
    <x v="1"/>
    <n v="5"/>
    <n v="0"/>
  </r>
  <r>
    <s v="ORD-102943"/>
    <x v="479"/>
    <x v="1"/>
    <d v="2025-04-01T00:00:00"/>
    <n v="4"/>
    <s v="CUST-03002"/>
    <x v="0"/>
    <x v="16"/>
    <s v="UP"/>
    <x v="0"/>
    <s v="Noida"/>
    <x v="3"/>
    <s v="P201"/>
    <s v="Onion Hair Oil"/>
    <x v="6"/>
    <n v="2"/>
    <n v="349"/>
    <n v="0.3"/>
    <n v="698"/>
    <n v="209.4"/>
    <n v="488.6"/>
    <n v="105"/>
    <n v="210"/>
    <n v="60"/>
    <n v="218.60000000000002"/>
    <n v="0.44740073679901765"/>
    <x v="0"/>
    <d v="2025-05-02T00:00:00"/>
    <n v="5"/>
    <x v="2"/>
    <n v="4"/>
    <n v="0"/>
  </r>
  <r>
    <s v="ORD-102944"/>
    <x v="479"/>
    <x v="1"/>
    <d v="2025-04-01T00:00:00"/>
    <n v="4"/>
    <s v="CUST-00899"/>
    <x v="1"/>
    <x v="16"/>
    <s v="UP"/>
    <x v="0"/>
    <s v="Kanpur"/>
    <x v="2"/>
    <s v="P404"/>
    <s v="Flip Flops"/>
    <x v="5"/>
    <n v="1"/>
    <n v="399"/>
    <n v="0.15"/>
    <n v="399"/>
    <n v="59.849999999999994"/>
    <n v="339.15"/>
    <n v="152"/>
    <n v="152"/>
    <n v="60"/>
    <n v="127.14999999999998"/>
    <n v="0.37490785787999409"/>
    <x v="0"/>
    <d v="2025-05-01T00:00:00"/>
    <n v="4"/>
    <x v="0"/>
    <n v="4"/>
    <n v="0"/>
  </r>
  <r>
    <s v="ORD-102945"/>
    <x v="479"/>
    <x v="1"/>
    <d v="2025-04-01T00:00:00"/>
    <n v="4"/>
    <s v="CUST-00005"/>
    <x v="0"/>
    <x v="16"/>
    <s v="UP"/>
    <x v="0"/>
    <s v="Lucknow"/>
    <x v="4"/>
    <s v="P501"/>
    <s v="Copper Water Bottle"/>
    <x v="4"/>
    <n v="1"/>
    <n v="899"/>
    <n v="0.05"/>
    <n v="899"/>
    <n v="44.95"/>
    <n v="854.05"/>
    <n v="378"/>
    <n v="378"/>
    <n v="60"/>
    <n v="416.04999999999995"/>
    <n v="0.48714946431707745"/>
    <x v="1"/>
    <d v="2025-04-28T00:00:00"/>
    <n v="1"/>
    <x v="1"/>
    <m/>
    <n v="0"/>
  </r>
  <r>
    <s v="ORD-102946"/>
    <x v="479"/>
    <x v="1"/>
    <d v="2025-04-01T00:00:00"/>
    <n v="4"/>
    <s v="CUST-00707"/>
    <x v="0"/>
    <x v="22"/>
    <s v="AS"/>
    <x v="2"/>
    <s v="Guwahati"/>
    <x v="0"/>
    <s v="P102"/>
    <s v="Sunscreen SPF 50"/>
    <x v="3"/>
    <n v="1"/>
    <n v="449"/>
    <n v="0.05"/>
    <n v="449"/>
    <n v="22.450000000000003"/>
    <n v="426.55"/>
    <n v="144"/>
    <n v="144"/>
    <n v="60"/>
    <n v="222.55"/>
    <n v="0.52174422693705313"/>
    <x v="0"/>
    <d v="2025-05-02T00:00:00"/>
    <n v="5"/>
    <x v="2"/>
    <n v="3"/>
    <n v="0"/>
  </r>
  <r>
    <s v="ORD-102947"/>
    <x v="479"/>
    <x v="1"/>
    <d v="2025-04-01T00:00:00"/>
    <n v="4"/>
    <s v="CUST-00028"/>
    <x v="1"/>
    <x v="2"/>
    <s v="MH"/>
    <x v="1"/>
    <s v="Mumbai"/>
    <x v="1"/>
    <s v="P404"/>
    <s v="Flip Flops"/>
    <x v="5"/>
    <n v="1"/>
    <n v="399"/>
    <n v="0.05"/>
    <n v="399"/>
    <n v="19.950000000000003"/>
    <n v="379.05"/>
    <n v="152"/>
    <n v="152"/>
    <n v="60"/>
    <n v="167.05"/>
    <n v="0.44070703073473161"/>
    <x v="0"/>
    <d v="2025-04-30T00:00:00"/>
    <n v="3"/>
    <x v="0"/>
    <n v="4"/>
    <n v="0"/>
  </r>
  <r>
    <s v="ORD-102948"/>
    <x v="479"/>
    <x v="1"/>
    <d v="2025-04-01T00:00:00"/>
    <n v="4"/>
    <s v="CUST-00767"/>
    <x v="1"/>
    <x v="21"/>
    <s v="TG"/>
    <x v="3"/>
    <s v="Hyderabad"/>
    <x v="0"/>
    <s v="P303"/>
    <s v="Joggers"/>
    <x v="1"/>
    <n v="4"/>
    <n v="1199"/>
    <n v="0.15"/>
    <n v="4796"/>
    <n v="719.4"/>
    <n v="4076.6"/>
    <n v="492"/>
    <n v="1968"/>
    <n v="60"/>
    <n v="2048.6"/>
    <n v="0.50252661531668541"/>
    <x v="2"/>
    <d v="2025-04-30T00:00:00"/>
    <n v="3"/>
    <x v="0"/>
    <n v="4"/>
    <n v="0"/>
  </r>
  <r>
    <s v="ORD-102949"/>
    <x v="479"/>
    <x v="1"/>
    <d v="2025-04-01T00:00:00"/>
    <n v="4"/>
    <s v="CUST-00581"/>
    <x v="1"/>
    <x v="8"/>
    <s v="AP"/>
    <x v="3"/>
    <s v="Visakhapatnam"/>
    <x v="4"/>
    <s v="P501"/>
    <s v="Copper Water Bottle"/>
    <x v="4"/>
    <n v="1"/>
    <n v="899"/>
    <n v="0.05"/>
    <n v="899"/>
    <n v="44.95"/>
    <n v="854.05"/>
    <n v="378"/>
    <n v="378"/>
    <n v="60"/>
    <n v="416.04999999999995"/>
    <n v="0.48714946431707745"/>
    <x v="0"/>
    <d v="2025-05-02T00:00:00"/>
    <n v="5"/>
    <x v="2"/>
    <n v="4"/>
    <n v="0"/>
  </r>
  <r>
    <s v="ORD-102950"/>
    <x v="480"/>
    <x v="1"/>
    <d v="2025-04-01T00:00:00"/>
    <n v="4"/>
    <s v="CUST-00382"/>
    <x v="0"/>
    <x v="15"/>
    <s v="HR"/>
    <x v="0"/>
    <s v="Faridabad"/>
    <x v="2"/>
    <s v="P404"/>
    <s v="Flip Flops"/>
    <x v="5"/>
    <n v="1"/>
    <n v="399"/>
    <n v="0.1"/>
    <n v="399"/>
    <n v="39.900000000000006"/>
    <n v="359.1"/>
    <n v="152"/>
    <n v="152"/>
    <n v="60"/>
    <n v="147.10000000000002"/>
    <n v="0.40963519910888335"/>
    <x v="3"/>
    <d v="2025-05-01T00:00:00"/>
    <n v="3"/>
    <x v="0"/>
    <n v="4"/>
    <n v="0"/>
  </r>
  <r>
    <s v="ORD-102951"/>
    <x v="480"/>
    <x v="1"/>
    <d v="2025-04-01T00:00:00"/>
    <n v="4"/>
    <s v="CUST-01005"/>
    <x v="1"/>
    <x v="6"/>
    <s v="DL"/>
    <x v="0"/>
    <s v="New Delhi"/>
    <x v="0"/>
    <s v="P104"/>
    <s v="Hydrating Face Wash"/>
    <x v="3"/>
    <n v="1"/>
    <n v="299"/>
    <n v="0"/>
    <n v="299"/>
    <n v="0"/>
    <n v="299"/>
    <n v="90"/>
    <n v="90"/>
    <n v="60"/>
    <n v="149"/>
    <n v="0.49832775919732442"/>
    <x v="0"/>
    <d v="2025-04-29T00:00:00"/>
    <n v="1"/>
    <x v="1"/>
    <n v="5"/>
    <n v="0"/>
  </r>
  <r>
    <s v="ORD-102952"/>
    <x v="480"/>
    <x v="1"/>
    <d v="2025-04-01T00:00:00"/>
    <n v="4"/>
    <s v="CUST-00985"/>
    <x v="1"/>
    <x v="1"/>
    <s v="GJ"/>
    <x v="1"/>
    <s v="Surat"/>
    <x v="4"/>
    <s v="P104"/>
    <s v="Hydrating Face Wash"/>
    <x v="3"/>
    <n v="3"/>
    <n v="299"/>
    <n v="0.1"/>
    <n v="897"/>
    <n v="89.7"/>
    <n v="807.3"/>
    <n v="90"/>
    <n v="270"/>
    <n v="60"/>
    <n v="477.29999999999995"/>
    <n v="0.59123002601263464"/>
    <x v="3"/>
    <d v="2025-05-01T00:00:00"/>
    <n v="3"/>
    <x v="0"/>
    <n v="4"/>
    <n v="0"/>
  </r>
  <r>
    <s v="ORD-102953"/>
    <x v="480"/>
    <x v="1"/>
    <d v="2025-04-01T00:00:00"/>
    <n v="4"/>
    <s v="CUST-00271"/>
    <x v="0"/>
    <x v="1"/>
    <s v="GJ"/>
    <x v="1"/>
    <s v="Surat"/>
    <x v="4"/>
    <s v="P202"/>
    <s v="Argan Shampoo"/>
    <x v="6"/>
    <n v="1"/>
    <n v="449"/>
    <n v="0.1"/>
    <n v="449"/>
    <n v="44.900000000000006"/>
    <n v="404.1"/>
    <n v="148"/>
    <n v="148"/>
    <n v="60"/>
    <n v="196.10000000000002"/>
    <n v="0.48527592180153428"/>
    <x v="1"/>
    <d v="2025-05-02T00:00:00"/>
    <n v="4"/>
    <x v="0"/>
    <m/>
    <n v="0"/>
  </r>
  <r>
    <s v="ORD-102954"/>
    <x v="480"/>
    <x v="1"/>
    <d v="2025-04-01T00:00:00"/>
    <n v="4"/>
    <s v="CUST-00488"/>
    <x v="1"/>
    <x v="2"/>
    <s v="MH"/>
    <x v="1"/>
    <s v="Pune"/>
    <x v="4"/>
    <s v="P101"/>
    <s v="Vitamin C Face Serum"/>
    <x v="3"/>
    <n v="1"/>
    <n v="599"/>
    <n v="0.25"/>
    <n v="599"/>
    <n v="149.75"/>
    <n v="449.25"/>
    <n v="180"/>
    <n v="180"/>
    <n v="60"/>
    <n v="209.25"/>
    <n v="0.46577629382303842"/>
    <x v="0"/>
    <d v="2025-04-30T00:00:00"/>
    <n v="2"/>
    <x v="1"/>
    <n v="4"/>
    <n v="0"/>
  </r>
  <r>
    <s v="ORD-102955"/>
    <x v="480"/>
    <x v="1"/>
    <d v="2025-04-01T00:00:00"/>
    <n v="4"/>
    <s v="CUST-01565"/>
    <x v="0"/>
    <x v="21"/>
    <s v="TG"/>
    <x v="3"/>
    <s v="Hyderabad"/>
    <x v="4"/>
    <s v="P104"/>
    <s v="Hydrating Face Wash"/>
    <x v="3"/>
    <n v="1"/>
    <n v="299"/>
    <n v="0.05"/>
    <n v="299"/>
    <n v="14.950000000000001"/>
    <n v="284.05"/>
    <n v="90"/>
    <n v="90"/>
    <n v="60"/>
    <n v="134.05000000000001"/>
    <n v="0.47192395704981521"/>
    <x v="1"/>
    <d v="2025-05-02T00:00:00"/>
    <n v="4"/>
    <x v="0"/>
    <n v="4"/>
    <n v="0"/>
  </r>
  <r>
    <s v="ORD-102956"/>
    <x v="480"/>
    <x v="1"/>
    <d v="2025-04-01T00:00:00"/>
    <n v="4"/>
    <s v="CUST-02539"/>
    <x v="1"/>
    <x v="11"/>
    <s v="KA"/>
    <x v="3"/>
    <s v="Mysuru"/>
    <x v="0"/>
    <s v="P104"/>
    <s v="Hydrating Face Wash"/>
    <x v="3"/>
    <n v="3"/>
    <n v="299"/>
    <n v="0.1"/>
    <n v="897"/>
    <n v="89.7"/>
    <n v="807.3"/>
    <n v="90"/>
    <n v="270"/>
    <n v="60"/>
    <n v="477.29999999999995"/>
    <n v="0.59123002601263464"/>
    <x v="0"/>
    <d v="2025-04-29T00:00:00"/>
    <n v="1"/>
    <x v="1"/>
    <n v="5"/>
    <n v="0"/>
  </r>
  <r>
    <s v="ORD-102957"/>
    <x v="480"/>
    <x v="1"/>
    <d v="2025-04-01T00:00:00"/>
    <n v="4"/>
    <s v="CUST-00756"/>
    <x v="1"/>
    <x v="14"/>
    <s v="KL"/>
    <x v="3"/>
    <s v="Kochi"/>
    <x v="2"/>
    <s v="P501"/>
    <s v="Copper Water Bottle"/>
    <x v="4"/>
    <n v="3"/>
    <n v="899"/>
    <n v="0.1"/>
    <n v="2697"/>
    <n v="269.7"/>
    <n v="2427.3000000000002"/>
    <n v="378"/>
    <n v="1134"/>
    <n v="60"/>
    <n v="1233.3000000000002"/>
    <n v="0.50809541465826236"/>
    <x v="0"/>
    <d v="2025-05-01T00:00:00"/>
    <n v="3"/>
    <x v="0"/>
    <n v="3"/>
    <n v="0"/>
  </r>
  <r>
    <s v="ORD-102958"/>
    <x v="480"/>
    <x v="1"/>
    <d v="2025-04-01T00:00:00"/>
    <n v="4"/>
    <s v="CUST-00760"/>
    <x v="1"/>
    <x v="17"/>
    <s v="TN"/>
    <x v="3"/>
    <s v="Coimbatore"/>
    <x v="4"/>
    <s v="P201"/>
    <s v="Onion Hair Oil"/>
    <x v="6"/>
    <n v="1"/>
    <n v="349"/>
    <n v="0.35"/>
    <n v="349"/>
    <n v="122.14999999999999"/>
    <n v="226.85000000000002"/>
    <n v="105"/>
    <n v="105"/>
    <n v="60"/>
    <n v="61.850000000000023"/>
    <n v="0.27264712364998905"/>
    <x v="0"/>
    <d v="2025-05-01T00:00:00"/>
    <n v="3"/>
    <x v="0"/>
    <m/>
    <n v="0"/>
  </r>
  <r>
    <s v="ORD-102959"/>
    <x v="481"/>
    <x v="1"/>
    <d v="2025-04-01T00:00:00"/>
    <n v="4"/>
    <s v="CUST-00735"/>
    <x v="0"/>
    <x v="0"/>
    <s v="RJ"/>
    <x v="0"/>
    <s v="Jaipur"/>
    <x v="4"/>
    <s v="P101"/>
    <s v="Vitamin C Face Serum"/>
    <x v="3"/>
    <n v="1"/>
    <n v="599"/>
    <n v="0.2"/>
    <n v="599"/>
    <n v="119.80000000000001"/>
    <n v="479.2"/>
    <n v="180"/>
    <n v="180"/>
    <n v="60"/>
    <n v="239.2"/>
    <n v="0.4991652754590985"/>
    <x v="1"/>
    <d v="2025-05-01T00:00:00"/>
    <n v="2"/>
    <x v="1"/>
    <n v="4"/>
    <n v="0"/>
  </r>
  <r>
    <s v="ORD-102960"/>
    <x v="481"/>
    <x v="1"/>
    <d v="2025-04-01T00:00:00"/>
    <n v="4"/>
    <s v="CUST-00726"/>
    <x v="1"/>
    <x v="6"/>
    <s v="DL"/>
    <x v="0"/>
    <s v="New Delhi"/>
    <x v="0"/>
    <s v="P203"/>
    <s v="Keratin Hair Mask"/>
    <x v="6"/>
    <n v="1"/>
    <n v="549"/>
    <n v="0.2"/>
    <n v="549"/>
    <n v="109.80000000000001"/>
    <n v="439.2"/>
    <n v="170"/>
    <n v="170"/>
    <n v="60"/>
    <n v="209.2"/>
    <n v="0.47632058287795992"/>
    <x v="0"/>
    <d v="2025-05-02T00:00:00"/>
    <n v="3"/>
    <x v="0"/>
    <m/>
    <n v="0"/>
  </r>
  <r>
    <s v="ORD-102961"/>
    <x v="481"/>
    <x v="1"/>
    <d v="2025-04-01T00:00:00"/>
    <n v="4"/>
    <s v="CUST-00624"/>
    <x v="1"/>
    <x v="13"/>
    <s v="MP"/>
    <x v="1"/>
    <s v="Indore"/>
    <x v="4"/>
    <s v="P404"/>
    <s v="Flip Flops"/>
    <x v="5"/>
    <n v="1"/>
    <n v="399"/>
    <n v="0.05"/>
    <n v="399"/>
    <n v="19.950000000000003"/>
    <n v="379.05"/>
    <n v="152"/>
    <n v="152"/>
    <n v="60"/>
    <n v="167.05"/>
    <n v="0.44070703073473161"/>
    <x v="0"/>
    <d v="2025-05-01T00:00:00"/>
    <n v="2"/>
    <x v="1"/>
    <m/>
    <n v="0"/>
  </r>
  <r>
    <s v="ORD-102962"/>
    <x v="481"/>
    <x v="1"/>
    <d v="2025-04-01T00:00:00"/>
    <n v="4"/>
    <s v="CUST-00196"/>
    <x v="0"/>
    <x v="18"/>
    <s v="WB"/>
    <x v="2"/>
    <s v="Kolkata"/>
    <x v="0"/>
    <s v="P302"/>
    <s v="Linen Kurta"/>
    <x v="1"/>
    <n v="2"/>
    <n v="1499"/>
    <n v="0.35"/>
    <n v="2998"/>
    <n v="1049.3"/>
    <n v="1948.7"/>
    <n v="630"/>
    <n v="1260"/>
    <n v="120"/>
    <n v="568.70000000000005"/>
    <n v="0.29183558269615645"/>
    <x v="1"/>
    <d v="2025-05-04T00:00:00"/>
    <n v="5"/>
    <x v="2"/>
    <n v="4"/>
    <n v="1"/>
  </r>
  <r>
    <s v="ORD-102963"/>
    <x v="481"/>
    <x v="1"/>
    <d v="2025-04-01T00:00:00"/>
    <n v="4"/>
    <s v="CUST-00021"/>
    <x v="1"/>
    <x v="20"/>
    <s v="GA"/>
    <x v="1"/>
    <s v="Panaji"/>
    <x v="0"/>
    <s v="P702"/>
    <s v="Whey Protein 1kg"/>
    <x v="0"/>
    <n v="1"/>
    <n v="2299"/>
    <n v="0.3"/>
    <n v="2299"/>
    <n v="689.69999999999993"/>
    <n v="1609.3000000000002"/>
    <n v="1333"/>
    <n v="1333"/>
    <n v="120"/>
    <n v="156.30000000000018"/>
    <n v="9.7122972721058951E-2"/>
    <x v="0"/>
    <d v="2025-05-03T00:00:00"/>
    <n v="4"/>
    <x v="0"/>
    <n v="4"/>
    <n v="1"/>
  </r>
  <r>
    <s v="ORD-102964"/>
    <x v="481"/>
    <x v="1"/>
    <d v="2025-04-01T00:00:00"/>
    <n v="4"/>
    <s v="CUST-02374"/>
    <x v="1"/>
    <x v="11"/>
    <s v="KA"/>
    <x v="3"/>
    <s v="Mysuru"/>
    <x v="1"/>
    <s v="P403"/>
    <s v="Kolhapuri Sandals"/>
    <x v="5"/>
    <n v="1"/>
    <n v="999"/>
    <n v="0.05"/>
    <n v="999"/>
    <n v="49.95"/>
    <n v="949.05"/>
    <n v="400"/>
    <n v="400"/>
    <n v="60"/>
    <n v="489.04999999999995"/>
    <n v="0.5153047784626732"/>
    <x v="0"/>
    <d v="2025-04-30T00:00:00"/>
    <n v="1"/>
    <x v="1"/>
    <m/>
    <n v="0"/>
  </r>
  <r>
    <s v="ORD-102965"/>
    <x v="481"/>
    <x v="1"/>
    <d v="2025-04-01T00:00:00"/>
    <n v="4"/>
    <s v="CUST-00081"/>
    <x v="1"/>
    <x v="8"/>
    <s v="AP"/>
    <x v="3"/>
    <s v="Visakhapatnam"/>
    <x v="2"/>
    <s v="P104"/>
    <s v="Hydrating Face Wash"/>
    <x v="3"/>
    <n v="3"/>
    <n v="299"/>
    <n v="0.05"/>
    <n v="897"/>
    <n v="44.85"/>
    <n v="852.15"/>
    <n v="90"/>
    <n v="270"/>
    <n v="60"/>
    <n v="522.15"/>
    <n v="0.61274423516986443"/>
    <x v="0"/>
    <d v="2025-05-04T00:00:00"/>
    <n v="5"/>
    <x v="2"/>
    <n v="3"/>
    <n v="0"/>
  </r>
  <r>
    <s v="ORD-102966"/>
    <x v="481"/>
    <x v="1"/>
    <d v="2025-04-01T00:00:00"/>
    <n v="4"/>
    <s v="CUST-01176"/>
    <x v="1"/>
    <x v="17"/>
    <s v="TN"/>
    <x v="3"/>
    <s v="Chennai"/>
    <x v="2"/>
    <s v="P404"/>
    <s v="Flip Flops"/>
    <x v="5"/>
    <n v="1"/>
    <n v="399"/>
    <n v="0.15"/>
    <n v="399"/>
    <n v="59.849999999999994"/>
    <n v="339.15"/>
    <n v="152"/>
    <n v="152"/>
    <n v="60"/>
    <n v="127.14999999999998"/>
    <n v="0.37490785787999409"/>
    <x v="0"/>
    <d v="2025-05-01T00:00:00"/>
    <n v="2"/>
    <x v="1"/>
    <m/>
    <n v="0"/>
  </r>
  <r>
    <s v="ORD-102967"/>
    <x v="482"/>
    <x v="1"/>
    <d v="2025-04-01T00:00:00"/>
    <n v="4"/>
    <s v="CUST-01077"/>
    <x v="1"/>
    <x v="9"/>
    <s v="UK"/>
    <x v="0"/>
    <s v="Dehradun"/>
    <x v="4"/>
    <s v="P704"/>
    <s v="Multivitamin Gummies"/>
    <x v="0"/>
    <n v="1"/>
    <n v="699"/>
    <n v="0.3"/>
    <n v="699"/>
    <n v="209.7"/>
    <n v="489.3"/>
    <n v="238"/>
    <n v="238"/>
    <n v="60"/>
    <n v="191.3"/>
    <n v="0.39096668710402616"/>
    <x v="0"/>
    <d v="2025-05-02T00:00:00"/>
    <n v="2"/>
    <x v="1"/>
    <m/>
    <n v="0"/>
  </r>
  <r>
    <s v="ORD-102968"/>
    <x v="482"/>
    <x v="1"/>
    <d v="2025-04-01T00:00:00"/>
    <n v="4"/>
    <s v="CUST-01346"/>
    <x v="1"/>
    <x v="0"/>
    <s v="RJ"/>
    <x v="0"/>
    <s v="Jaipur"/>
    <x v="2"/>
    <s v="P303"/>
    <s v="Joggers"/>
    <x v="1"/>
    <n v="3"/>
    <n v="1199"/>
    <n v="0.1"/>
    <n v="3597"/>
    <n v="359.70000000000005"/>
    <n v="3237.3"/>
    <n v="492"/>
    <n v="1476"/>
    <n v="120"/>
    <n v="1641.3000000000002"/>
    <n v="0.50699657121675468"/>
    <x v="3"/>
    <d v="2025-05-06T00:00:00"/>
    <n v="6"/>
    <x v="2"/>
    <n v="3"/>
    <n v="1"/>
  </r>
  <r>
    <s v="ORD-102969"/>
    <x v="482"/>
    <x v="1"/>
    <d v="2025-04-01T00:00:00"/>
    <n v="4"/>
    <s v="CUST-00171"/>
    <x v="1"/>
    <x v="0"/>
    <s v="RJ"/>
    <x v="0"/>
    <s v="Jaipur"/>
    <x v="1"/>
    <s v="P302"/>
    <s v="Linen Kurta"/>
    <x v="1"/>
    <n v="1"/>
    <n v="1499"/>
    <n v="0.3"/>
    <n v="1499"/>
    <n v="449.7"/>
    <n v="1049.3"/>
    <n v="630"/>
    <n v="630"/>
    <n v="60"/>
    <n v="359.29999999999995"/>
    <n v="0.34241875536071664"/>
    <x v="4"/>
    <d v="2025-05-05T00:00:00"/>
    <n v="5"/>
    <x v="2"/>
    <n v="4"/>
    <n v="0"/>
  </r>
  <r>
    <s v="ORD-102970"/>
    <x v="482"/>
    <x v="1"/>
    <d v="2025-04-01T00:00:00"/>
    <n v="4"/>
    <s v="CUST-02561"/>
    <x v="0"/>
    <x v="0"/>
    <s v="RJ"/>
    <x v="0"/>
    <s v="Jaipur"/>
    <x v="3"/>
    <s v="P204"/>
    <s v="Anti-Dandruff Conditioner"/>
    <x v="6"/>
    <n v="3"/>
    <n v="399"/>
    <n v="0.4"/>
    <n v="1197"/>
    <n v="478.8"/>
    <n v="718.2"/>
    <n v="136"/>
    <n v="408"/>
    <n v="60"/>
    <n v="250.20000000000005"/>
    <n v="0.34837092731829578"/>
    <x v="3"/>
    <d v="2025-05-04T00:00:00"/>
    <n v="4"/>
    <x v="0"/>
    <m/>
    <n v="0"/>
  </r>
  <r>
    <s v="ORD-102971"/>
    <x v="482"/>
    <x v="1"/>
    <d v="2025-04-01T00:00:00"/>
    <n v="4"/>
    <s v="CUST-00290"/>
    <x v="0"/>
    <x v="6"/>
    <s v="DL"/>
    <x v="0"/>
    <s v="New Delhi"/>
    <x v="0"/>
    <s v="P301"/>
    <s v="Cotton Oversized T-Shirt"/>
    <x v="1"/>
    <n v="1"/>
    <n v="799"/>
    <n v="0.05"/>
    <n v="799"/>
    <n v="39.950000000000003"/>
    <n v="759.05"/>
    <n v="320"/>
    <n v="320"/>
    <n v="60"/>
    <n v="379.04999999999995"/>
    <n v="0.49937421777221525"/>
    <x v="0"/>
    <d v="2025-05-02T00:00:00"/>
    <n v="2"/>
    <x v="1"/>
    <m/>
    <n v="0"/>
  </r>
  <r>
    <s v="ORD-102972"/>
    <x v="482"/>
    <x v="1"/>
    <d v="2025-04-01T00:00:00"/>
    <n v="4"/>
    <s v="CUST-00572"/>
    <x v="0"/>
    <x v="16"/>
    <s v="UP"/>
    <x v="0"/>
    <s v="Noida"/>
    <x v="0"/>
    <s v="P301"/>
    <s v="Cotton Oversized T-Shirt"/>
    <x v="1"/>
    <n v="2"/>
    <n v="799"/>
    <n v="0"/>
    <n v="1598"/>
    <n v="0"/>
    <n v="1598"/>
    <n v="320"/>
    <n v="640"/>
    <n v="60"/>
    <n v="898"/>
    <n v="0.56195244055068838"/>
    <x v="3"/>
    <d v="2025-05-04T00:00:00"/>
    <n v="4"/>
    <x v="0"/>
    <m/>
    <n v="0"/>
  </r>
  <r>
    <s v="ORD-102973"/>
    <x v="482"/>
    <x v="1"/>
    <d v="2025-04-01T00:00:00"/>
    <n v="4"/>
    <s v="CUST-00546"/>
    <x v="1"/>
    <x v="16"/>
    <s v="UP"/>
    <x v="0"/>
    <s v="Lucknow"/>
    <x v="0"/>
    <s v="P102"/>
    <s v="Sunscreen SPF 50"/>
    <x v="3"/>
    <n v="1"/>
    <n v="449"/>
    <n v="0.1"/>
    <n v="449"/>
    <n v="44.900000000000006"/>
    <n v="404.1"/>
    <n v="144"/>
    <n v="144"/>
    <n v="60"/>
    <n v="200.10000000000002"/>
    <n v="0.4951744617668894"/>
    <x v="0"/>
    <d v="2025-05-03T00:00:00"/>
    <n v="3"/>
    <x v="0"/>
    <n v="4"/>
    <n v="0"/>
  </r>
  <r>
    <s v="ORD-102974"/>
    <x v="482"/>
    <x v="1"/>
    <d v="2025-04-01T00:00:00"/>
    <n v="4"/>
    <s v="CUST-00787"/>
    <x v="1"/>
    <x v="16"/>
    <s v="UP"/>
    <x v="0"/>
    <s v="Kanpur"/>
    <x v="2"/>
    <s v="P201"/>
    <s v="Onion Hair Oil"/>
    <x v="6"/>
    <n v="2"/>
    <n v="349"/>
    <n v="0.3"/>
    <n v="698"/>
    <n v="209.4"/>
    <n v="488.6"/>
    <n v="105"/>
    <n v="210"/>
    <n v="60"/>
    <n v="218.60000000000002"/>
    <n v="0.44740073679901765"/>
    <x v="0"/>
    <d v="2025-05-04T00:00:00"/>
    <n v="4"/>
    <x v="0"/>
    <m/>
    <n v="0"/>
  </r>
  <r>
    <s v="ORD-102975"/>
    <x v="482"/>
    <x v="1"/>
    <d v="2025-04-01T00:00:00"/>
    <n v="4"/>
    <s v="CUST-00234"/>
    <x v="1"/>
    <x v="12"/>
    <s v="BR"/>
    <x v="2"/>
    <s v="Patna"/>
    <x v="2"/>
    <s v="P101"/>
    <s v="Vitamin C Face Serum"/>
    <x v="3"/>
    <n v="1"/>
    <n v="599"/>
    <n v="0.05"/>
    <n v="599"/>
    <n v="29.950000000000003"/>
    <n v="569.04999999999995"/>
    <n v="180"/>
    <n v="180"/>
    <n v="60"/>
    <n v="329.04999999999995"/>
    <n v="0.57824444249187235"/>
    <x v="1"/>
    <d v="2025-05-05T00:00:00"/>
    <n v="5"/>
    <x v="2"/>
    <m/>
    <n v="0"/>
  </r>
  <r>
    <s v="ORD-102976"/>
    <x v="482"/>
    <x v="1"/>
    <d v="2025-04-01T00:00:00"/>
    <n v="4"/>
    <s v="CUST-01082"/>
    <x v="1"/>
    <x v="2"/>
    <s v="MH"/>
    <x v="1"/>
    <s v="Mumbai"/>
    <x v="3"/>
    <s v="P201"/>
    <s v="Onion Hair Oil"/>
    <x v="6"/>
    <n v="1"/>
    <n v="349"/>
    <n v="0.25"/>
    <n v="349"/>
    <n v="87.25"/>
    <n v="261.75"/>
    <n v="105"/>
    <n v="105"/>
    <n v="60"/>
    <n v="96.75"/>
    <n v="0.36962750716332377"/>
    <x v="0"/>
    <d v="2025-05-01T00:00:00"/>
    <n v="1"/>
    <x v="1"/>
    <m/>
    <n v="0"/>
  </r>
  <r>
    <s v="ORD-102977"/>
    <x v="482"/>
    <x v="1"/>
    <d v="2025-04-01T00:00:00"/>
    <n v="4"/>
    <s v="CUST-00906"/>
    <x v="1"/>
    <x v="14"/>
    <s v="KL"/>
    <x v="3"/>
    <s v="Thiruvananthapuram"/>
    <x v="2"/>
    <s v="P103"/>
    <s v="Niacinamide Toner"/>
    <x v="3"/>
    <n v="4"/>
    <n v="399"/>
    <n v="0.15"/>
    <n v="1596"/>
    <n v="239.39999999999998"/>
    <n v="1356.6"/>
    <n v="112"/>
    <n v="448"/>
    <n v="60"/>
    <n v="848.59999999999991"/>
    <n v="0.62553442429603423"/>
    <x v="1"/>
    <d v="2025-05-05T00:00:00"/>
    <n v="5"/>
    <x v="2"/>
    <m/>
    <n v="0"/>
  </r>
  <r>
    <s v="ORD-102978"/>
    <x v="483"/>
    <x v="1"/>
    <d v="2025-05-01T00:00:00"/>
    <n v="5"/>
    <s v="CUST-00782"/>
    <x v="1"/>
    <x v="4"/>
    <s v="JK"/>
    <x v="0"/>
    <s v="Srinagar"/>
    <x v="0"/>
    <s v="P704"/>
    <s v="Multivitamin Gummies"/>
    <x v="0"/>
    <n v="1"/>
    <n v="699"/>
    <n v="0.3"/>
    <n v="699"/>
    <n v="209.7"/>
    <n v="489.3"/>
    <n v="238"/>
    <n v="238"/>
    <n v="60"/>
    <n v="191.3"/>
    <n v="0.39096668710402616"/>
    <x v="2"/>
    <d v="2025-05-06T00:00:00"/>
    <n v="5"/>
    <x v="2"/>
    <n v="3"/>
    <n v="0"/>
  </r>
  <r>
    <s v="ORD-102979"/>
    <x v="483"/>
    <x v="1"/>
    <d v="2025-05-01T00:00:00"/>
    <n v="5"/>
    <s v="CUST-01993"/>
    <x v="0"/>
    <x v="19"/>
    <s v="PB"/>
    <x v="0"/>
    <s v="Ludhiana"/>
    <x v="2"/>
    <s v="P701"/>
    <s v="Ashwagandha Capsules"/>
    <x v="0"/>
    <n v="1"/>
    <n v="499"/>
    <n v="0.05"/>
    <n v="499"/>
    <n v="24.950000000000003"/>
    <n v="474.05"/>
    <n v="150"/>
    <n v="150"/>
    <n v="60"/>
    <n v="264.05"/>
    <n v="0.55700875435080688"/>
    <x v="0"/>
    <d v="2025-05-06T00:00:00"/>
    <n v="5"/>
    <x v="2"/>
    <n v="3"/>
    <n v="0"/>
  </r>
  <r>
    <s v="ORD-102980"/>
    <x v="483"/>
    <x v="1"/>
    <d v="2025-05-01T00:00:00"/>
    <n v="5"/>
    <s v="CUST-00374"/>
    <x v="1"/>
    <x v="15"/>
    <s v="HR"/>
    <x v="0"/>
    <s v="Gurugram"/>
    <x v="2"/>
    <s v="P704"/>
    <s v="Multivitamin Gummies"/>
    <x v="0"/>
    <n v="2"/>
    <n v="699"/>
    <n v="0.2"/>
    <n v="1398"/>
    <n v="279.60000000000002"/>
    <n v="1118.4000000000001"/>
    <n v="238"/>
    <n v="476"/>
    <n v="60"/>
    <n v="582.40000000000009"/>
    <n v="0.5207439198855508"/>
    <x v="0"/>
    <d v="2025-05-03T00:00:00"/>
    <n v="2"/>
    <x v="1"/>
    <n v="5"/>
    <n v="0"/>
  </r>
  <r>
    <s v="ORD-102981"/>
    <x v="483"/>
    <x v="1"/>
    <d v="2025-05-01T00:00:00"/>
    <n v="5"/>
    <s v="CUST-00872"/>
    <x v="1"/>
    <x v="16"/>
    <s v="UP"/>
    <x v="0"/>
    <s v="Lucknow"/>
    <x v="0"/>
    <s v="P601"/>
    <s v="Wireless Earbuds"/>
    <x v="2"/>
    <n v="1"/>
    <n v="1999"/>
    <n v="0.4"/>
    <n v="1999"/>
    <n v="799.6"/>
    <n v="1199.4000000000001"/>
    <n v="1239"/>
    <n v="1239"/>
    <n v="60"/>
    <n v="-99.599999999999909"/>
    <n v="-8.3041520760380114E-2"/>
    <x v="2"/>
    <d v="2025-05-05T00:00:00"/>
    <n v="4"/>
    <x v="0"/>
    <n v="4"/>
    <n v="0"/>
  </r>
  <r>
    <s v="ORD-102982"/>
    <x v="483"/>
    <x v="1"/>
    <d v="2025-05-01T00:00:00"/>
    <n v="5"/>
    <s v="CUST-00227"/>
    <x v="1"/>
    <x v="22"/>
    <s v="AS"/>
    <x v="2"/>
    <s v="Guwahati"/>
    <x v="1"/>
    <s v="P404"/>
    <s v="Flip Flops"/>
    <x v="5"/>
    <n v="1"/>
    <n v="399"/>
    <n v="0.1"/>
    <n v="399"/>
    <n v="39.900000000000006"/>
    <n v="359.1"/>
    <n v="152"/>
    <n v="152"/>
    <n v="120"/>
    <n v="87.100000000000023"/>
    <n v="0.24255082149818996"/>
    <x v="0"/>
    <d v="2025-05-09T00:00:00"/>
    <n v="8"/>
    <x v="2"/>
    <n v="3"/>
    <n v="1"/>
  </r>
  <r>
    <s v="ORD-102983"/>
    <x v="483"/>
    <x v="1"/>
    <d v="2025-05-01T00:00:00"/>
    <n v="5"/>
    <s v="CUST-00109"/>
    <x v="1"/>
    <x v="18"/>
    <s v="WB"/>
    <x v="2"/>
    <s v="Kolkata"/>
    <x v="1"/>
    <s v="P404"/>
    <s v="Flip Flops"/>
    <x v="5"/>
    <n v="1"/>
    <n v="399"/>
    <n v="0.05"/>
    <n v="399"/>
    <n v="19.950000000000003"/>
    <n v="379.05"/>
    <n v="152"/>
    <n v="152"/>
    <n v="60"/>
    <n v="167.05"/>
    <n v="0.44070703073473161"/>
    <x v="0"/>
    <d v="2025-05-07T00:00:00"/>
    <n v="6"/>
    <x v="2"/>
    <n v="3"/>
    <n v="0"/>
  </r>
  <r>
    <s v="ORD-102984"/>
    <x v="483"/>
    <x v="1"/>
    <d v="2025-05-01T00:00:00"/>
    <n v="5"/>
    <s v="CUST-00873"/>
    <x v="1"/>
    <x v="20"/>
    <s v="GA"/>
    <x v="1"/>
    <s v="Panaji"/>
    <x v="2"/>
    <s v="P204"/>
    <s v="Anti-Dandruff Conditioner"/>
    <x v="6"/>
    <n v="2"/>
    <n v="399"/>
    <n v="0.3"/>
    <n v="798"/>
    <n v="239.39999999999998"/>
    <n v="558.6"/>
    <n v="136"/>
    <n v="272"/>
    <n v="60"/>
    <n v="226.60000000000002"/>
    <n v="0.40565699964196206"/>
    <x v="1"/>
    <d v="2025-05-05T00:00:00"/>
    <n v="4"/>
    <x v="0"/>
    <n v="4"/>
    <n v="0"/>
  </r>
  <r>
    <s v="ORD-102985"/>
    <x v="483"/>
    <x v="1"/>
    <d v="2025-05-01T00:00:00"/>
    <n v="5"/>
    <s v="CUST-03145"/>
    <x v="0"/>
    <x v="11"/>
    <s v="KA"/>
    <x v="3"/>
    <s v="Mysuru"/>
    <x v="2"/>
    <s v="P103"/>
    <s v="Niacinamide Toner"/>
    <x v="3"/>
    <n v="1"/>
    <n v="399"/>
    <n v="0.2"/>
    <n v="399"/>
    <n v="79.800000000000011"/>
    <n v="319.2"/>
    <n v="112"/>
    <n v="112"/>
    <n v="60"/>
    <n v="147.19999999999999"/>
    <n v="0.46115288220551376"/>
    <x v="0"/>
    <d v="2025-05-03T00:00:00"/>
    <n v="2"/>
    <x v="1"/>
    <n v="3"/>
    <n v="0"/>
  </r>
  <r>
    <s v="ORD-102986"/>
    <x v="484"/>
    <x v="1"/>
    <d v="2025-05-01T00:00:00"/>
    <n v="5"/>
    <s v="CUST-02043"/>
    <x v="0"/>
    <x v="12"/>
    <s v="BR"/>
    <x v="2"/>
    <s v="Patna"/>
    <x v="2"/>
    <s v="P603"/>
    <s v="Smartwatch Strap"/>
    <x v="2"/>
    <n v="1"/>
    <n v="499"/>
    <n v="0.05"/>
    <n v="499"/>
    <n v="24.950000000000003"/>
    <n v="474.05"/>
    <n v="200"/>
    <n v="200"/>
    <n v="60"/>
    <n v="214.05"/>
    <n v="0.45153464824385614"/>
    <x v="0"/>
    <d v="2025-05-09T00:00:00"/>
    <n v="7"/>
    <x v="2"/>
    <n v="3"/>
    <n v="0"/>
  </r>
  <r>
    <s v="ORD-102987"/>
    <x v="484"/>
    <x v="1"/>
    <d v="2025-05-01T00:00:00"/>
    <n v="5"/>
    <s v="CUST-03172"/>
    <x v="0"/>
    <x v="22"/>
    <s v="AS"/>
    <x v="2"/>
    <s v="Guwahati"/>
    <x v="2"/>
    <s v="P202"/>
    <s v="Argan Shampoo"/>
    <x v="6"/>
    <n v="1"/>
    <n v="449"/>
    <n v="0.1"/>
    <n v="449"/>
    <n v="44.900000000000006"/>
    <n v="404.1"/>
    <n v="148"/>
    <n v="148"/>
    <n v="60"/>
    <n v="196.10000000000002"/>
    <n v="0.48527592180153428"/>
    <x v="1"/>
    <d v="2025-05-10T00:00:00"/>
    <n v="8"/>
    <x v="2"/>
    <n v="2"/>
    <n v="0"/>
  </r>
  <r>
    <s v="ORD-102988"/>
    <x v="484"/>
    <x v="1"/>
    <d v="2025-05-01T00:00:00"/>
    <n v="5"/>
    <s v="CUST-00825"/>
    <x v="0"/>
    <x v="1"/>
    <s v="GJ"/>
    <x v="1"/>
    <s v="Ahmedabad"/>
    <x v="4"/>
    <s v="P105"/>
    <s v="Retinol Night Cream"/>
    <x v="3"/>
    <n v="1"/>
    <n v="799"/>
    <n v="0.05"/>
    <n v="799"/>
    <n v="39.950000000000003"/>
    <n v="759.05"/>
    <n v="216"/>
    <n v="216"/>
    <n v="60"/>
    <n v="483.04999999999995"/>
    <n v="0.63638758975034582"/>
    <x v="0"/>
    <d v="2025-05-04T00:00:00"/>
    <n v="2"/>
    <x v="1"/>
    <n v="3"/>
    <n v="0"/>
  </r>
  <r>
    <s v="ORD-102989"/>
    <x v="484"/>
    <x v="1"/>
    <d v="2025-05-01T00:00:00"/>
    <n v="5"/>
    <s v="CUST-00784"/>
    <x v="1"/>
    <x v="7"/>
    <s v="JH"/>
    <x v="2"/>
    <s v="Ranchi"/>
    <x v="1"/>
    <s v="P404"/>
    <s v="Flip Flops"/>
    <x v="5"/>
    <n v="1"/>
    <n v="399"/>
    <n v="0.2"/>
    <n v="399"/>
    <n v="79.800000000000011"/>
    <n v="319.2"/>
    <n v="152"/>
    <n v="152"/>
    <n v="60"/>
    <n v="107.19999999999999"/>
    <n v="0.33583959899749372"/>
    <x v="0"/>
    <d v="2025-05-06T00:00:00"/>
    <n v="4"/>
    <x v="0"/>
    <n v="3"/>
    <n v="0"/>
  </r>
  <r>
    <s v="ORD-102990"/>
    <x v="484"/>
    <x v="1"/>
    <d v="2025-05-01T00:00:00"/>
    <n v="5"/>
    <s v="CUST-00902"/>
    <x v="1"/>
    <x v="8"/>
    <s v="AP"/>
    <x v="3"/>
    <s v="Visakhapatnam"/>
    <x v="0"/>
    <s v="P401"/>
    <s v="Running Shoes"/>
    <x v="5"/>
    <n v="1"/>
    <n v="2999"/>
    <n v="0.2"/>
    <n v="2999"/>
    <n v="599.80000000000007"/>
    <n v="2399.1999999999998"/>
    <n v="1440"/>
    <n v="1440"/>
    <n v="60"/>
    <n v="899.19999999999982"/>
    <n v="0.3747915971990663"/>
    <x v="2"/>
    <d v="2025-05-06T00:00:00"/>
    <n v="4"/>
    <x v="0"/>
    <n v="4"/>
    <n v="0"/>
  </r>
  <r>
    <s v="ORD-102991"/>
    <x v="484"/>
    <x v="1"/>
    <d v="2025-05-01T00:00:00"/>
    <n v="5"/>
    <s v="CUST-00153"/>
    <x v="0"/>
    <x v="14"/>
    <s v="KL"/>
    <x v="3"/>
    <s v="Thiruvananthapuram"/>
    <x v="0"/>
    <s v="P302"/>
    <s v="Linen Kurta"/>
    <x v="1"/>
    <n v="1"/>
    <n v="1499"/>
    <n v="0.3"/>
    <n v="1499"/>
    <n v="449.7"/>
    <n v="1049.3"/>
    <n v="630"/>
    <n v="630"/>
    <n v="60"/>
    <n v="359.29999999999995"/>
    <n v="0.34241875536071664"/>
    <x v="0"/>
    <d v="2025-05-05T00:00:00"/>
    <n v="3"/>
    <x v="0"/>
    <n v="4"/>
    <n v="0"/>
  </r>
  <r>
    <s v="ORD-102992"/>
    <x v="485"/>
    <x v="1"/>
    <d v="2025-05-01T00:00:00"/>
    <n v="5"/>
    <s v="CUST-02794"/>
    <x v="0"/>
    <x v="5"/>
    <s v="HP"/>
    <x v="0"/>
    <s v="Shimla"/>
    <x v="2"/>
    <s v="P101"/>
    <s v="Vitamin C Face Serum"/>
    <x v="3"/>
    <n v="2"/>
    <n v="599"/>
    <n v="0.15"/>
    <n v="1198"/>
    <n v="179.7"/>
    <n v="1018.3"/>
    <n v="180"/>
    <n v="360"/>
    <n v="120"/>
    <n v="538.29999999999995"/>
    <n v="0.52862614160856325"/>
    <x v="0"/>
    <d v="2025-05-09T00:00:00"/>
    <n v="6"/>
    <x v="2"/>
    <n v="2"/>
    <n v="1"/>
  </r>
  <r>
    <s v="ORD-102993"/>
    <x v="485"/>
    <x v="1"/>
    <d v="2025-05-01T00:00:00"/>
    <n v="5"/>
    <s v="CUST-02369"/>
    <x v="0"/>
    <x v="0"/>
    <s v="RJ"/>
    <x v="0"/>
    <s v="Jaipur"/>
    <x v="3"/>
    <s v="P702"/>
    <s v="Whey Protein 1kg"/>
    <x v="0"/>
    <n v="1"/>
    <n v="2299"/>
    <n v="0.4"/>
    <n v="2299"/>
    <n v="919.6"/>
    <n v="1379.4"/>
    <n v="1333"/>
    <n v="1333"/>
    <n v="60"/>
    <n v="-13.599999999999909"/>
    <n v="-9.8593591416557252E-3"/>
    <x v="3"/>
    <d v="2025-05-06T00:00:00"/>
    <n v="3"/>
    <x v="0"/>
    <n v="5"/>
    <n v="0"/>
  </r>
  <r>
    <s v="ORD-102994"/>
    <x v="485"/>
    <x v="1"/>
    <d v="2025-05-01T00:00:00"/>
    <n v="5"/>
    <s v="CUST-01182"/>
    <x v="0"/>
    <x v="22"/>
    <s v="AS"/>
    <x v="2"/>
    <s v="Guwahati"/>
    <x v="3"/>
    <s v="P105"/>
    <s v="Retinol Night Cream"/>
    <x v="3"/>
    <n v="2"/>
    <n v="799"/>
    <n v="0.15"/>
    <n v="1598"/>
    <n v="239.7"/>
    <n v="1358.3"/>
    <n v="216"/>
    <n v="432"/>
    <n v="60"/>
    <n v="866.3"/>
    <n v="0.63778252227048515"/>
    <x v="4"/>
    <d v="2025-05-10T00:00:00"/>
    <n v="7"/>
    <x v="2"/>
    <m/>
    <n v="0"/>
  </r>
  <r>
    <s v="ORD-102995"/>
    <x v="485"/>
    <x v="1"/>
    <d v="2025-05-01T00:00:00"/>
    <n v="5"/>
    <s v="CUST-01436"/>
    <x v="0"/>
    <x v="21"/>
    <s v="TG"/>
    <x v="3"/>
    <s v="Hyderabad"/>
    <x v="1"/>
    <s v="P304"/>
    <s v="Denim Jacket"/>
    <x v="1"/>
    <n v="1"/>
    <n v="2499"/>
    <n v="0.05"/>
    <n v="2499"/>
    <n v="124.95"/>
    <n v="2374.0500000000002"/>
    <n v="1125"/>
    <n v="1125"/>
    <n v="60"/>
    <n v="1189.0500000000002"/>
    <n v="0.50085297276805463"/>
    <x v="0"/>
    <d v="2025-05-06T00:00:00"/>
    <n v="3"/>
    <x v="0"/>
    <n v="5"/>
    <n v="0"/>
  </r>
  <r>
    <s v="ORD-102996"/>
    <x v="485"/>
    <x v="1"/>
    <d v="2025-05-01T00:00:00"/>
    <n v="5"/>
    <s v="CUST-01019"/>
    <x v="0"/>
    <x v="21"/>
    <s v="TG"/>
    <x v="3"/>
    <s v="Hyderabad"/>
    <x v="2"/>
    <s v="P602"/>
    <s v="Fast Charger 33W"/>
    <x v="2"/>
    <n v="1"/>
    <n v="899"/>
    <n v="0.05"/>
    <n v="899"/>
    <n v="44.95"/>
    <n v="854.05"/>
    <n v="494"/>
    <n v="494"/>
    <n v="60"/>
    <n v="300.04999999999995"/>
    <n v="0.35132603477548152"/>
    <x v="0"/>
    <d v="2025-05-06T00:00:00"/>
    <n v="3"/>
    <x v="0"/>
    <n v="4"/>
    <n v="0"/>
  </r>
  <r>
    <s v="ORD-102997"/>
    <x v="486"/>
    <x v="1"/>
    <d v="2025-05-01T00:00:00"/>
    <n v="5"/>
    <s v="CUST-01129"/>
    <x v="1"/>
    <x v="5"/>
    <s v="HP"/>
    <x v="0"/>
    <s v="Shimla"/>
    <x v="1"/>
    <s v="P404"/>
    <s v="Flip Flops"/>
    <x v="5"/>
    <n v="1"/>
    <n v="399"/>
    <n v="0.2"/>
    <n v="399"/>
    <n v="79.800000000000011"/>
    <n v="319.2"/>
    <n v="152"/>
    <n v="152"/>
    <n v="60"/>
    <n v="107.19999999999999"/>
    <n v="0.33583959899749372"/>
    <x v="0"/>
    <d v="2025-05-08T00:00:00"/>
    <n v="4"/>
    <x v="0"/>
    <n v="4"/>
    <n v="0"/>
  </r>
  <r>
    <s v="ORD-102998"/>
    <x v="486"/>
    <x v="1"/>
    <d v="2025-05-01T00:00:00"/>
    <n v="5"/>
    <s v="CUST-00964"/>
    <x v="1"/>
    <x v="10"/>
    <s v="CG"/>
    <x v="2"/>
    <s v="Raipur"/>
    <x v="4"/>
    <s v="P201"/>
    <s v="Onion Hair Oil"/>
    <x v="6"/>
    <n v="1"/>
    <n v="349"/>
    <n v="0.25"/>
    <n v="349"/>
    <n v="87.25"/>
    <n v="261.75"/>
    <n v="105"/>
    <n v="105"/>
    <n v="60"/>
    <n v="96.75"/>
    <n v="0.36962750716332377"/>
    <x v="3"/>
    <d v="2025-05-10T00:00:00"/>
    <n v="6"/>
    <x v="2"/>
    <n v="3"/>
    <n v="0"/>
  </r>
  <r>
    <s v="ORD-102999"/>
    <x v="486"/>
    <x v="1"/>
    <d v="2025-05-01T00:00:00"/>
    <n v="5"/>
    <s v="CUST-01828"/>
    <x v="1"/>
    <x v="10"/>
    <s v="CG"/>
    <x v="2"/>
    <s v="Raipur"/>
    <x v="3"/>
    <s v="P103"/>
    <s v="Niacinamide Toner"/>
    <x v="3"/>
    <n v="2"/>
    <n v="399"/>
    <n v="0.15"/>
    <n v="798"/>
    <n v="119.69999999999999"/>
    <n v="678.3"/>
    <n v="112"/>
    <n v="224"/>
    <n v="60"/>
    <n v="394.29999999999995"/>
    <n v="0.58130620669320354"/>
    <x v="3"/>
    <d v="2025-05-10T00:00:00"/>
    <n v="6"/>
    <x v="2"/>
    <n v="3"/>
    <n v="0"/>
  </r>
  <r>
    <s v="ORD-103000"/>
    <x v="486"/>
    <x v="1"/>
    <d v="2025-05-01T00:00:00"/>
    <n v="5"/>
    <s v="CUST-01974"/>
    <x v="0"/>
    <x v="10"/>
    <s v="CG"/>
    <x v="2"/>
    <s v="Raipur"/>
    <x v="3"/>
    <s v="P202"/>
    <s v="Argan Shampoo"/>
    <x v="6"/>
    <n v="2"/>
    <n v="449"/>
    <n v="0.15"/>
    <n v="898"/>
    <n v="134.69999999999999"/>
    <n v="763.3"/>
    <n v="148"/>
    <n v="296"/>
    <n v="60"/>
    <n v="407.29999999999995"/>
    <n v="0.53360408751473865"/>
    <x v="0"/>
    <d v="2025-05-07T00:00:00"/>
    <n v="3"/>
    <x v="0"/>
    <n v="4"/>
    <n v="0"/>
  </r>
  <r>
    <s v="ORD-103001"/>
    <x v="486"/>
    <x v="1"/>
    <d v="2025-05-01T00:00:00"/>
    <n v="5"/>
    <s v="CUST-01961"/>
    <x v="1"/>
    <x v="17"/>
    <s v="TN"/>
    <x v="3"/>
    <s v="Chennai"/>
    <x v="3"/>
    <s v="P703"/>
    <s v="Green Tea (100 bags)"/>
    <x v="0"/>
    <n v="4"/>
    <n v="399"/>
    <n v="0.3"/>
    <n v="1596"/>
    <n v="478.79999999999995"/>
    <n v="1117.2"/>
    <n v="128"/>
    <n v="512"/>
    <n v="60"/>
    <n v="545.20000000000005"/>
    <n v="0.4880057286072324"/>
    <x v="0"/>
    <d v="2025-05-07T00:00:00"/>
    <n v="3"/>
    <x v="0"/>
    <n v="4"/>
    <n v="0"/>
  </r>
  <r>
    <s v="ORD-103002"/>
    <x v="487"/>
    <x v="1"/>
    <d v="2025-05-01T00:00:00"/>
    <n v="5"/>
    <s v="CUST-00698"/>
    <x v="1"/>
    <x v="15"/>
    <s v="HR"/>
    <x v="0"/>
    <s v="Faridabad"/>
    <x v="1"/>
    <s v="P403"/>
    <s v="Kolhapuri Sandals"/>
    <x v="5"/>
    <n v="1"/>
    <n v="999"/>
    <n v="0.1"/>
    <n v="999"/>
    <n v="99.9"/>
    <n v="899.1"/>
    <n v="400"/>
    <n v="400"/>
    <n v="60"/>
    <n v="439.1"/>
    <n v="0.48837726615504395"/>
    <x v="0"/>
    <d v="2025-05-08T00:00:00"/>
    <n v="2"/>
    <x v="1"/>
    <n v="5"/>
    <n v="0"/>
  </r>
  <r>
    <s v="ORD-103003"/>
    <x v="487"/>
    <x v="1"/>
    <d v="2025-05-01T00:00:00"/>
    <n v="5"/>
    <s v="CUST-00807"/>
    <x v="0"/>
    <x v="6"/>
    <s v="DL"/>
    <x v="0"/>
    <s v="New Delhi"/>
    <x v="0"/>
    <s v="P503"/>
    <s v="Scented Candle Set"/>
    <x v="4"/>
    <n v="2"/>
    <n v="699"/>
    <n v="0.3"/>
    <n v="1398"/>
    <n v="419.4"/>
    <n v="978.6"/>
    <n v="245"/>
    <n v="490"/>
    <n v="60"/>
    <n v="428.6"/>
    <n v="0.43797261393827919"/>
    <x v="1"/>
    <d v="2025-05-08T00:00:00"/>
    <n v="2"/>
    <x v="1"/>
    <n v="5"/>
    <n v="0"/>
  </r>
  <r>
    <s v="ORD-103004"/>
    <x v="487"/>
    <x v="1"/>
    <d v="2025-05-01T00:00:00"/>
    <n v="5"/>
    <s v="CUST-01768"/>
    <x v="0"/>
    <x v="22"/>
    <s v="AS"/>
    <x v="2"/>
    <s v="Guwahati"/>
    <x v="1"/>
    <s v="P403"/>
    <s v="Kolhapuri Sandals"/>
    <x v="5"/>
    <n v="1"/>
    <n v="999"/>
    <n v="0.05"/>
    <n v="999"/>
    <n v="49.95"/>
    <n v="949.05"/>
    <n v="400"/>
    <n v="400"/>
    <n v="60"/>
    <n v="489.04999999999995"/>
    <n v="0.5153047784626732"/>
    <x v="1"/>
    <d v="2025-05-12T00:00:00"/>
    <n v="6"/>
    <x v="2"/>
    <n v="4"/>
    <n v="0"/>
  </r>
  <r>
    <s v="ORD-103005"/>
    <x v="487"/>
    <x v="1"/>
    <d v="2025-05-01T00:00:00"/>
    <n v="5"/>
    <s v="CUST-01182"/>
    <x v="1"/>
    <x v="8"/>
    <s v="AP"/>
    <x v="3"/>
    <s v="Vijayawada"/>
    <x v="0"/>
    <s v="P101"/>
    <s v="Vitamin C Face Serum"/>
    <x v="3"/>
    <n v="1"/>
    <n v="599"/>
    <n v="0.15"/>
    <n v="599"/>
    <n v="89.85"/>
    <n v="509.15"/>
    <n v="180"/>
    <n v="180"/>
    <n v="120"/>
    <n v="209.14999999999998"/>
    <n v="0.41078267701070409"/>
    <x v="2"/>
    <d v="2025-05-09T00:00:00"/>
    <n v="3"/>
    <x v="0"/>
    <n v="4"/>
    <n v="1"/>
  </r>
  <r>
    <s v="ORD-103006"/>
    <x v="487"/>
    <x v="1"/>
    <d v="2025-05-01T00:00:00"/>
    <n v="5"/>
    <s v="CUST-00694"/>
    <x v="0"/>
    <x v="17"/>
    <s v="TN"/>
    <x v="3"/>
    <s v="Chennai"/>
    <x v="1"/>
    <s v="P401"/>
    <s v="Running Shoes"/>
    <x v="5"/>
    <n v="2"/>
    <n v="2999"/>
    <n v="0.15"/>
    <n v="5998"/>
    <n v="899.69999999999993"/>
    <n v="5098.3"/>
    <n v="1440"/>
    <n v="2880"/>
    <n v="60"/>
    <n v="2158.3000000000002"/>
    <n v="0.42333719082831534"/>
    <x v="1"/>
    <d v="2025-05-08T00:00:00"/>
    <n v="2"/>
    <x v="1"/>
    <n v="4"/>
    <n v="0"/>
  </r>
  <r>
    <s v="ORD-103007"/>
    <x v="488"/>
    <x v="1"/>
    <d v="2025-05-01T00:00:00"/>
    <n v="5"/>
    <s v="CUST-01499"/>
    <x v="1"/>
    <x v="19"/>
    <s v="PB"/>
    <x v="0"/>
    <s v="Ludhiana"/>
    <x v="1"/>
    <s v="P301"/>
    <s v="Cotton Oversized T-Shirt"/>
    <x v="1"/>
    <n v="1"/>
    <n v="799"/>
    <n v="0"/>
    <n v="799"/>
    <n v="0"/>
    <n v="799"/>
    <n v="320"/>
    <n v="320"/>
    <n v="60"/>
    <n v="419"/>
    <n v="0.52440550688360454"/>
    <x v="3"/>
    <d v="2025-05-10T00:00:00"/>
    <n v="3"/>
    <x v="0"/>
    <m/>
    <n v="0"/>
  </r>
  <r>
    <s v="ORD-103008"/>
    <x v="488"/>
    <x v="1"/>
    <d v="2025-05-01T00:00:00"/>
    <n v="5"/>
    <s v="CUST-01030"/>
    <x v="1"/>
    <x v="5"/>
    <s v="HP"/>
    <x v="0"/>
    <s v="Shimla"/>
    <x v="1"/>
    <s v="P303"/>
    <s v="Joggers"/>
    <x v="1"/>
    <n v="3"/>
    <n v="1199"/>
    <n v="0.1"/>
    <n v="3597"/>
    <n v="359.70000000000005"/>
    <n v="3237.3"/>
    <n v="492"/>
    <n v="1476"/>
    <n v="60"/>
    <n v="1701.3000000000002"/>
    <n v="0.52553053470484667"/>
    <x v="3"/>
    <d v="2025-05-10T00:00:00"/>
    <n v="3"/>
    <x v="0"/>
    <m/>
    <n v="0"/>
  </r>
  <r>
    <s v="ORD-103009"/>
    <x v="488"/>
    <x v="1"/>
    <d v="2025-05-01T00:00:00"/>
    <n v="5"/>
    <s v="CUST-00009"/>
    <x v="0"/>
    <x v="15"/>
    <s v="HR"/>
    <x v="0"/>
    <s v="Gurugram"/>
    <x v="1"/>
    <s v="P303"/>
    <s v="Joggers"/>
    <x v="1"/>
    <n v="3"/>
    <n v="1199"/>
    <n v="0.1"/>
    <n v="3597"/>
    <n v="359.70000000000005"/>
    <n v="3237.3"/>
    <n v="492"/>
    <n v="1476"/>
    <n v="60"/>
    <n v="1701.3000000000002"/>
    <n v="0.52553053470484667"/>
    <x v="0"/>
    <d v="2025-05-09T00:00:00"/>
    <n v="2"/>
    <x v="1"/>
    <n v="4"/>
    <n v="0"/>
  </r>
  <r>
    <s v="ORD-103010"/>
    <x v="488"/>
    <x v="1"/>
    <d v="2025-05-01T00:00:00"/>
    <n v="5"/>
    <s v="CUST-00394"/>
    <x v="1"/>
    <x v="22"/>
    <s v="AS"/>
    <x v="2"/>
    <s v="Guwahati"/>
    <x v="3"/>
    <s v="P203"/>
    <s v="Keratin Hair Mask"/>
    <x v="6"/>
    <n v="3"/>
    <n v="549"/>
    <n v="0.15"/>
    <n v="1647"/>
    <n v="247.04999999999998"/>
    <n v="1399.95"/>
    <n v="170"/>
    <n v="510"/>
    <n v="60"/>
    <n v="829.95"/>
    <n v="0.59284260152148294"/>
    <x v="1"/>
    <d v="2025-05-14T00:00:00"/>
    <n v="7"/>
    <x v="2"/>
    <n v="4"/>
    <n v="0"/>
  </r>
  <r>
    <s v="ORD-103011"/>
    <x v="488"/>
    <x v="1"/>
    <d v="2025-05-01T00:00:00"/>
    <n v="5"/>
    <s v="CUST-00321"/>
    <x v="1"/>
    <x v="7"/>
    <s v="JH"/>
    <x v="2"/>
    <s v="Ranchi"/>
    <x v="0"/>
    <s v="P504"/>
    <s v="Cotton Bedsheet"/>
    <x v="4"/>
    <n v="1"/>
    <n v="1299"/>
    <n v="0.05"/>
    <n v="1299"/>
    <n v="64.95"/>
    <n v="1234.05"/>
    <n v="585"/>
    <n v="585"/>
    <n v="60"/>
    <n v="589.04999999999995"/>
    <n v="0.47733074024553296"/>
    <x v="3"/>
    <d v="2025-05-12T00:00:00"/>
    <n v="5"/>
    <x v="2"/>
    <m/>
    <n v="0"/>
  </r>
  <r>
    <s v="ORD-103012"/>
    <x v="488"/>
    <x v="1"/>
    <d v="2025-05-01T00:00:00"/>
    <n v="5"/>
    <s v="CUST-00182"/>
    <x v="1"/>
    <x v="18"/>
    <s v="WB"/>
    <x v="2"/>
    <s v="Kolkata"/>
    <x v="2"/>
    <s v="P404"/>
    <s v="Flip Flops"/>
    <x v="5"/>
    <n v="1"/>
    <n v="399"/>
    <n v="0.05"/>
    <n v="399"/>
    <n v="19.950000000000003"/>
    <n v="379.05"/>
    <n v="152"/>
    <n v="152"/>
    <n v="60"/>
    <n v="167.05"/>
    <n v="0.44070703073473161"/>
    <x v="0"/>
    <d v="2025-05-11T00:00:00"/>
    <n v="4"/>
    <x v="0"/>
    <m/>
    <n v="0"/>
  </r>
  <r>
    <s v="ORD-103013"/>
    <x v="488"/>
    <x v="1"/>
    <d v="2025-05-01T00:00:00"/>
    <n v="5"/>
    <s v="CUST-00767"/>
    <x v="1"/>
    <x v="11"/>
    <s v="KA"/>
    <x v="3"/>
    <s v="Mysuru"/>
    <x v="2"/>
    <s v="P103"/>
    <s v="Niacinamide Toner"/>
    <x v="3"/>
    <n v="3"/>
    <n v="399"/>
    <n v="0.25"/>
    <n v="1197"/>
    <n v="299.25"/>
    <n v="897.75"/>
    <n v="112"/>
    <n v="336"/>
    <n v="60"/>
    <n v="501.75"/>
    <n v="0.55889724310776945"/>
    <x v="2"/>
    <d v="2025-05-11T00:00:00"/>
    <n v="4"/>
    <x v="0"/>
    <n v="3"/>
    <n v="0"/>
  </r>
  <r>
    <s v="ORD-103014"/>
    <x v="488"/>
    <x v="1"/>
    <d v="2025-05-01T00:00:00"/>
    <n v="5"/>
    <s v="CUST-01563"/>
    <x v="1"/>
    <x v="8"/>
    <s v="AP"/>
    <x v="3"/>
    <s v="Visakhapatnam"/>
    <x v="0"/>
    <s v="P101"/>
    <s v="Vitamin C Face Serum"/>
    <x v="3"/>
    <n v="1"/>
    <n v="599"/>
    <n v="0.2"/>
    <n v="599"/>
    <n v="119.80000000000001"/>
    <n v="479.2"/>
    <n v="180"/>
    <n v="180"/>
    <n v="60"/>
    <n v="239.2"/>
    <n v="0.4991652754590985"/>
    <x v="0"/>
    <d v="2025-05-11T00:00:00"/>
    <n v="4"/>
    <x v="0"/>
    <m/>
    <n v="0"/>
  </r>
  <r>
    <s v="ORD-103015"/>
    <x v="489"/>
    <x v="1"/>
    <d v="2025-05-01T00:00:00"/>
    <n v="5"/>
    <s v="CUST-01977"/>
    <x v="0"/>
    <x v="0"/>
    <s v="RJ"/>
    <x v="0"/>
    <s v="Udaipur"/>
    <x v="4"/>
    <s v="P701"/>
    <s v="Ashwagandha Capsules"/>
    <x v="0"/>
    <n v="1"/>
    <n v="499"/>
    <n v="0.1"/>
    <n v="499"/>
    <n v="49.900000000000006"/>
    <n v="449.1"/>
    <n v="150"/>
    <n v="150"/>
    <n v="60"/>
    <n v="239.10000000000002"/>
    <n v="0.53239812959251842"/>
    <x v="0"/>
    <d v="2025-05-10T00:00:00"/>
    <n v="2"/>
    <x v="1"/>
    <n v="5"/>
    <n v="0"/>
  </r>
  <r>
    <s v="ORD-103016"/>
    <x v="489"/>
    <x v="1"/>
    <d v="2025-05-01T00:00:00"/>
    <n v="5"/>
    <s v="CUST-01040"/>
    <x v="1"/>
    <x v="6"/>
    <s v="DL"/>
    <x v="0"/>
    <s v="New Delhi"/>
    <x v="2"/>
    <s v="P404"/>
    <s v="Flip Flops"/>
    <x v="5"/>
    <n v="1"/>
    <n v="399"/>
    <n v="0"/>
    <n v="399"/>
    <n v="0"/>
    <n v="399"/>
    <n v="152"/>
    <n v="152"/>
    <n v="60"/>
    <n v="187"/>
    <n v="0.46867167919799496"/>
    <x v="0"/>
    <d v="2025-05-11T00:00:00"/>
    <n v="3"/>
    <x v="0"/>
    <n v="5"/>
    <n v="0"/>
  </r>
  <r>
    <s v="ORD-103017"/>
    <x v="489"/>
    <x v="1"/>
    <d v="2025-05-01T00:00:00"/>
    <n v="5"/>
    <s v="CUST-01917"/>
    <x v="0"/>
    <x v="1"/>
    <s v="GJ"/>
    <x v="1"/>
    <s v="Surat"/>
    <x v="2"/>
    <s v="P404"/>
    <s v="Flip Flops"/>
    <x v="5"/>
    <n v="2"/>
    <n v="399"/>
    <n v="0.15"/>
    <n v="798"/>
    <n v="119.69999999999999"/>
    <n v="678.3"/>
    <n v="152"/>
    <n v="304"/>
    <n v="60"/>
    <n v="314.29999999999995"/>
    <n v="0.4633642930856553"/>
    <x v="3"/>
    <d v="2025-05-14T00:00:00"/>
    <n v="6"/>
    <x v="2"/>
    <n v="4"/>
    <n v="0"/>
  </r>
  <r>
    <s v="ORD-103018"/>
    <x v="489"/>
    <x v="1"/>
    <d v="2025-05-01T00:00:00"/>
    <n v="5"/>
    <s v="CUST-00512"/>
    <x v="1"/>
    <x v="13"/>
    <s v="MP"/>
    <x v="1"/>
    <s v="Bhopal"/>
    <x v="3"/>
    <s v="P201"/>
    <s v="Onion Hair Oil"/>
    <x v="6"/>
    <n v="1"/>
    <n v="349"/>
    <n v="0.25"/>
    <n v="349"/>
    <n v="87.25"/>
    <n v="261.75"/>
    <n v="105"/>
    <n v="105"/>
    <n v="60"/>
    <n v="96.75"/>
    <n v="0.36962750716332377"/>
    <x v="0"/>
    <d v="2025-05-15T00:00:00"/>
    <n v="7"/>
    <x v="2"/>
    <m/>
    <n v="0"/>
  </r>
  <r>
    <s v="ORD-103019"/>
    <x v="489"/>
    <x v="1"/>
    <d v="2025-05-01T00:00:00"/>
    <n v="5"/>
    <s v="CUST-03077"/>
    <x v="0"/>
    <x v="18"/>
    <s v="WB"/>
    <x v="2"/>
    <s v="Kolkata"/>
    <x v="4"/>
    <s v="P603"/>
    <s v="Smartwatch Strap"/>
    <x v="2"/>
    <n v="1"/>
    <n v="499"/>
    <n v="0.1"/>
    <n v="499"/>
    <n v="49.900000000000006"/>
    <n v="449.1"/>
    <n v="200"/>
    <n v="200"/>
    <n v="60"/>
    <n v="189.10000000000002"/>
    <n v="0.42106435092407041"/>
    <x v="4"/>
    <d v="2025-05-09T00:00:00"/>
    <n v="1"/>
    <x v="1"/>
    <n v="5"/>
    <n v="0"/>
  </r>
  <r>
    <s v="ORD-103020"/>
    <x v="489"/>
    <x v="1"/>
    <d v="2025-05-01T00:00:00"/>
    <n v="5"/>
    <s v="CUST-00359"/>
    <x v="1"/>
    <x v="11"/>
    <s v="KA"/>
    <x v="3"/>
    <s v="Bengaluru"/>
    <x v="3"/>
    <s v="P102"/>
    <s v="Sunscreen SPF 50"/>
    <x v="3"/>
    <n v="1"/>
    <n v="449"/>
    <n v="0.05"/>
    <n v="449"/>
    <n v="22.450000000000003"/>
    <n v="426.55"/>
    <n v="144"/>
    <n v="144"/>
    <n v="60"/>
    <n v="222.55"/>
    <n v="0.52174422693705313"/>
    <x v="3"/>
    <d v="2025-05-09T00:00:00"/>
    <n v="1"/>
    <x v="1"/>
    <n v="3"/>
    <n v="0"/>
  </r>
  <r>
    <s v="ORD-103021"/>
    <x v="489"/>
    <x v="1"/>
    <d v="2025-05-01T00:00:00"/>
    <n v="5"/>
    <s v="CUST-01832"/>
    <x v="1"/>
    <x v="8"/>
    <s v="AP"/>
    <x v="3"/>
    <s v="Vijayawada"/>
    <x v="0"/>
    <s v="P503"/>
    <s v="Scented Candle Set"/>
    <x v="4"/>
    <n v="4"/>
    <n v="699"/>
    <n v="0.3"/>
    <n v="2796"/>
    <n v="838.8"/>
    <n v="1957.2"/>
    <n v="245"/>
    <n v="980"/>
    <n v="60"/>
    <n v="917.2"/>
    <n v="0.46862865317800939"/>
    <x v="0"/>
    <d v="2025-05-11T00:00:00"/>
    <n v="3"/>
    <x v="0"/>
    <n v="4"/>
    <n v="0"/>
  </r>
  <r>
    <s v="ORD-103022"/>
    <x v="490"/>
    <x v="1"/>
    <d v="2025-05-01T00:00:00"/>
    <n v="5"/>
    <s v="CUST-01835"/>
    <x v="0"/>
    <x v="0"/>
    <s v="RJ"/>
    <x v="0"/>
    <s v="Udaipur"/>
    <x v="3"/>
    <s v="P102"/>
    <s v="Sunscreen SPF 50"/>
    <x v="3"/>
    <n v="1"/>
    <n v="449"/>
    <n v="0.15"/>
    <n v="449"/>
    <n v="67.349999999999994"/>
    <n v="381.65"/>
    <n v="144"/>
    <n v="144"/>
    <n v="60"/>
    <n v="177.64999999999998"/>
    <n v="0.465478841870824"/>
    <x v="0"/>
    <d v="2025-05-11T00:00:00"/>
    <n v="2"/>
    <x v="1"/>
    <m/>
    <n v="0"/>
  </r>
  <r>
    <s v="ORD-103023"/>
    <x v="490"/>
    <x v="1"/>
    <d v="2025-05-01T00:00:00"/>
    <n v="5"/>
    <s v="CUST-00666"/>
    <x v="1"/>
    <x v="15"/>
    <s v="HR"/>
    <x v="0"/>
    <s v="Gurugram"/>
    <x v="2"/>
    <s v="P103"/>
    <s v="Niacinamide Toner"/>
    <x v="3"/>
    <n v="2"/>
    <n v="399"/>
    <n v="0.25"/>
    <n v="798"/>
    <n v="199.5"/>
    <n v="598.5"/>
    <n v="112"/>
    <n v="224"/>
    <n v="60"/>
    <n v="314.5"/>
    <n v="0.52548036758563077"/>
    <x v="3"/>
    <d v="2025-05-12T00:00:00"/>
    <n v="3"/>
    <x v="0"/>
    <m/>
    <n v="0"/>
  </r>
  <r>
    <s v="ORD-103024"/>
    <x v="490"/>
    <x v="1"/>
    <d v="2025-05-01T00:00:00"/>
    <n v="5"/>
    <s v="CUST-00278"/>
    <x v="1"/>
    <x v="6"/>
    <s v="DL"/>
    <x v="0"/>
    <s v="New Delhi"/>
    <x v="2"/>
    <s v="P404"/>
    <s v="Flip Flops"/>
    <x v="5"/>
    <n v="1"/>
    <n v="399"/>
    <n v="0.05"/>
    <n v="399"/>
    <n v="19.950000000000003"/>
    <n v="379.05"/>
    <n v="152"/>
    <n v="152"/>
    <n v="60"/>
    <n v="167.05"/>
    <n v="0.44070703073473161"/>
    <x v="0"/>
    <d v="2025-05-11T00:00:00"/>
    <n v="2"/>
    <x v="1"/>
    <n v="4"/>
    <n v="0"/>
  </r>
  <r>
    <s v="ORD-103025"/>
    <x v="490"/>
    <x v="1"/>
    <d v="2025-05-01T00:00:00"/>
    <n v="5"/>
    <s v="CUST-00813"/>
    <x v="1"/>
    <x v="12"/>
    <s v="BR"/>
    <x v="2"/>
    <s v="Patna"/>
    <x v="0"/>
    <s v="P104"/>
    <s v="Hydrating Face Wash"/>
    <x v="3"/>
    <n v="1"/>
    <n v="299"/>
    <n v="0.1"/>
    <n v="299"/>
    <n v="29.900000000000002"/>
    <n v="269.10000000000002"/>
    <n v="90"/>
    <n v="90"/>
    <n v="60"/>
    <n v="119.10000000000002"/>
    <n v="0.4425863991081383"/>
    <x v="3"/>
    <d v="2025-05-14T00:00:00"/>
    <n v="5"/>
    <x v="2"/>
    <n v="4"/>
    <n v="0"/>
  </r>
  <r>
    <s v="ORD-103026"/>
    <x v="490"/>
    <x v="1"/>
    <d v="2025-05-01T00:00:00"/>
    <n v="5"/>
    <s v="CUST-00479"/>
    <x v="1"/>
    <x v="21"/>
    <s v="TG"/>
    <x v="3"/>
    <s v="Hyderabad"/>
    <x v="0"/>
    <s v="P702"/>
    <s v="Whey Protein 1kg"/>
    <x v="0"/>
    <n v="1"/>
    <n v="2299"/>
    <n v="0.45"/>
    <n v="2299"/>
    <n v="1034.55"/>
    <n v="1264.45"/>
    <n v="1333"/>
    <n v="1333"/>
    <n v="120"/>
    <n v="-188.54999999999995"/>
    <n v="-0.14911621653683416"/>
    <x v="1"/>
    <d v="2025-05-12T00:00:00"/>
    <n v="3"/>
    <x v="0"/>
    <n v="5"/>
    <n v="1"/>
  </r>
  <r>
    <s v="ORD-103027"/>
    <x v="490"/>
    <x v="1"/>
    <d v="2025-05-01T00:00:00"/>
    <n v="5"/>
    <s v="CUST-01958"/>
    <x v="1"/>
    <x v="21"/>
    <s v="TG"/>
    <x v="3"/>
    <s v="Hyderabad"/>
    <x v="4"/>
    <s v="P102"/>
    <s v="Sunscreen SPF 50"/>
    <x v="3"/>
    <n v="1"/>
    <n v="449"/>
    <n v="0"/>
    <n v="449"/>
    <n v="0"/>
    <n v="449"/>
    <n v="144"/>
    <n v="144"/>
    <n v="60"/>
    <n v="245"/>
    <n v="0.54565701559020041"/>
    <x v="3"/>
    <d v="2025-05-12T00:00:00"/>
    <n v="3"/>
    <x v="0"/>
    <m/>
    <n v="0"/>
  </r>
  <r>
    <s v="ORD-103028"/>
    <x v="491"/>
    <x v="1"/>
    <d v="2025-05-01T00:00:00"/>
    <n v="5"/>
    <s v="CUST-03119"/>
    <x v="1"/>
    <x v="6"/>
    <s v="DL"/>
    <x v="0"/>
    <s v="New Delhi"/>
    <x v="4"/>
    <s v="P302"/>
    <s v="Linen Kurta"/>
    <x v="1"/>
    <n v="2"/>
    <n v="1499"/>
    <n v="0.4"/>
    <n v="2998"/>
    <n v="1199.2"/>
    <n v="1798.8"/>
    <n v="630"/>
    <n v="1260"/>
    <n v="60"/>
    <n v="478.79999999999995"/>
    <n v="0.26617745163442291"/>
    <x v="4"/>
    <d v="2025-05-11T00:00:00"/>
    <n v="1"/>
    <x v="1"/>
    <n v="4"/>
    <n v="0"/>
  </r>
  <r>
    <s v="ORD-103029"/>
    <x v="491"/>
    <x v="1"/>
    <d v="2025-05-01T00:00:00"/>
    <n v="5"/>
    <s v="CUST-00762"/>
    <x v="1"/>
    <x v="6"/>
    <s v="DL"/>
    <x v="0"/>
    <s v="New Delhi"/>
    <x v="0"/>
    <s v="P501"/>
    <s v="Copper Water Bottle"/>
    <x v="4"/>
    <n v="2"/>
    <n v="899"/>
    <n v="0.05"/>
    <n v="1798"/>
    <n v="89.9"/>
    <n v="1708.1"/>
    <n v="378"/>
    <n v="756"/>
    <n v="60"/>
    <n v="892.09999999999991"/>
    <n v="0.52227621333645569"/>
    <x v="0"/>
    <d v="2025-05-11T00:00:00"/>
    <n v="1"/>
    <x v="1"/>
    <n v="4"/>
    <n v="0"/>
  </r>
  <r>
    <s v="ORD-103030"/>
    <x v="491"/>
    <x v="1"/>
    <d v="2025-05-01T00:00:00"/>
    <n v="5"/>
    <s v="CUST-00329"/>
    <x v="1"/>
    <x v="1"/>
    <s v="GJ"/>
    <x v="1"/>
    <s v="Ahmedabad"/>
    <x v="0"/>
    <s v="P304"/>
    <s v="Denim Jacket"/>
    <x v="1"/>
    <n v="1"/>
    <n v="2499"/>
    <n v="0.05"/>
    <n v="2499"/>
    <n v="124.95"/>
    <n v="2374.0500000000002"/>
    <n v="1125"/>
    <n v="1125"/>
    <n v="60"/>
    <n v="1189.0500000000002"/>
    <n v="0.50085297276805463"/>
    <x v="0"/>
    <d v="2025-05-12T00:00:00"/>
    <n v="2"/>
    <x v="1"/>
    <m/>
    <n v="0"/>
  </r>
  <r>
    <s v="ORD-103031"/>
    <x v="491"/>
    <x v="1"/>
    <d v="2025-05-01T00:00:00"/>
    <n v="5"/>
    <s v="CUST-01176"/>
    <x v="1"/>
    <x v="21"/>
    <s v="TG"/>
    <x v="3"/>
    <s v="Hyderabad"/>
    <x v="4"/>
    <s v="P502"/>
    <s v="Ceramic Dinner Set"/>
    <x v="4"/>
    <n v="1"/>
    <n v="2499"/>
    <n v="0.35"/>
    <n v="2499"/>
    <n v="874.65"/>
    <n v="1624.35"/>
    <n v="1250"/>
    <n v="1250"/>
    <n v="60"/>
    <n v="314.34999999999991"/>
    <n v="0.19352356327146239"/>
    <x v="4"/>
    <d v="2025-05-12T00:00:00"/>
    <n v="2"/>
    <x v="1"/>
    <m/>
    <n v="0"/>
  </r>
  <r>
    <s v="ORD-103032"/>
    <x v="491"/>
    <x v="1"/>
    <d v="2025-05-01T00:00:00"/>
    <n v="5"/>
    <s v="CUST-00686"/>
    <x v="0"/>
    <x v="21"/>
    <s v="TG"/>
    <x v="3"/>
    <s v="Hyderabad"/>
    <x v="0"/>
    <s v="P703"/>
    <s v="Green Tea (100 bags)"/>
    <x v="0"/>
    <n v="4"/>
    <n v="399"/>
    <n v="0.4"/>
    <n v="1596"/>
    <n v="638.40000000000009"/>
    <n v="957.59999999999991"/>
    <n v="128"/>
    <n v="512"/>
    <n v="60"/>
    <n v="385.59999999999991"/>
    <n v="0.40267335004177102"/>
    <x v="3"/>
    <d v="2025-05-14T00:00:00"/>
    <n v="4"/>
    <x v="0"/>
    <n v="3"/>
    <n v="0"/>
  </r>
  <r>
    <s v="ORD-103033"/>
    <x v="491"/>
    <x v="1"/>
    <d v="2025-05-01T00:00:00"/>
    <n v="5"/>
    <s v="CUST-00593"/>
    <x v="1"/>
    <x v="20"/>
    <s v="GA"/>
    <x v="1"/>
    <s v="Panaji"/>
    <x v="2"/>
    <s v="P602"/>
    <s v="Fast Charger 33W"/>
    <x v="2"/>
    <n v="1"/>
    <n v="899"/>
    <n v="0.05"/>
    <n v="899"/>
    <n v="44.95"/>
    <n v="854.05"/>
    <n v="494"/>
    <n v="494"/>
    <n v="60"/>
    <n v="300.04999999999995"/>
    <n v="0.35132603477548152"/>
    <x v="4"/>
    <d v="2025-05-16T00:00:00"/>
    <n v="6"/>
    <x v="2"/>
    <m/>
    <n v="0"/>
  </r>
  <r>
    <s v="ORD-103034"/>
    <x v="491"/>
    <x v="1"/>
    <d v="2025-05-01T00:00:00"/>
    <n v="5"/>
    <s v="CUST-00196"/>
    <x v="1"/>
    <x v="11"/>
    <s v="KA"/>
    <x v="3"/>
    <s v="Bengaluru"/>
    <x v="1"/>
    <s v="P302"/>
    <s v="Linen Kurta"/>
    <x v="1"/>
    <n v="2"/>
    <n v="1499"/>
    <n v="0.35"/>
    <n v="2998"/>
    <n v="1049.3"/>
    <n v="1948.7"/>
    <n v="630"/>
    <n v="1260"/>
    <n v="60"/>
    <n v="628.70000000000005"/>
    <n v="0.32262533997023657"/>
    <x v="3"/>
    <d v="2025-05-11T00:00:00"/>
    <n v="1"/>
    <x v="1"/>
    <m/>
    <n v="0"/>
  </r>
  <r>
    <s v="ORD-103035"/>
    <x v="491"/>
    <x v="1"/>
    <d v="2025-05-01T00:00:00"/>
    <n v="5"/>
    <s v="CUST-01020"/>
    <x v="1"/>
    <x v="17"/>
    <s v="TN"/>
    <x v="3"/>
    <s v="Coimbatore"/>
    <x v="2"/>
    <s v="P504"/>
    <s v="Cotton Bedsheet"/>
    <x v="4"/>
    <n v="1"/>
    <n v="1299"/>
    <n v="0.05"/>
    <n v="1299"/>
    <n v="64.95"/>
    <n v="1234.05"/>
    <n v="585"/>
    <n v="585"/>
    <n v="60"/>
    <n v="589.04999999999995"/>
    <n v="0.47733074024553296"/>
    <x v="0"/>
    <d v="2025-05-13T00:00:00"/>
    <n v="3"/>
    <x v="0"/>
    <m/>
    <n v="0"/>
  </r>
  <r>
    <s v="ORD-103036"/>
    <x v="492"/>
    <x v="1"/>
    <d v="2025-05-01T00:00:00"/>
    <n v="5"/>
    <s v="CUST-00117"/>
    <x v="1"/>
    <x v="0"/>
    <s v="RJ"/>
    <x v="0"/>
    <s v="Jaipur"/>
    <x v="0"/>
    <s v="P502"/>
    <s v="Ceramic Dinner Set"/>
    <x v="4"/>
    <n v="2"/>
    <n v="2499"/>
    <n v="0.3"/>
    <n v="4998"/>
    <n v="1499.3999999999999"/>
    <n v="3498.6000000000004"/>
    <n v="1250"/>
    <n v="2500"/>
    <n v="60"/>
    <n v="938.60000000000036"/>
    <n v="0.26827874006745561"/>
    <x v="0"/>
    <d v="2025-05-15T00:00:00"/>
    <n v="4"/>
    <x v="0"/>
    <n v="3"/>
    <n v="0"/>
  </r>
  <r>
    <s v="ORD-103037"/>
    <x v="492"/>
    <x v="1"/>
    <d v="2025-05-01T00:00:00"/>
    <n v="5"/>
    <s v="CUST-01096"/>
    <x v="0"/>
    <x v="6"/>
    <s v="DL"/>
    <x v="0"/>
    <s v="New Delhi"/>
    <x v="4"/>
    <s v="P303"/>
    <s v="Joggers"/>
    <x v="1"/>
    <n v="1"/>
    <n v="1199"/>
    <n v="0.15"/>
    <n v="1199"/>
    <n v="179.85"/>
    <n v="1019.15"/>
    <n v="492"/>
    <n v="492"/>
    <n v="60"/>
    <n v="467.15"/>
    <n v="0.45837217288917231"/>
    <x v="3"/>
    <d v="2025-05-12T00:00:00"/>
    <n v="1"/>
    <x v="1"/>
    <n v="4"/>
    <n v="0"/>
  </r>
  <r>
    <s v="ORD-103038"/>
    <x v="492"/>
    <x v="1"/>
    <d v="2025-05-01T00:00:00"/>
    <n v="5"/>
    <s v="CUST-00503"/>
    <x v="1"/>
    <x v="16"/>
    <s v="UP"/>
    <x v="0"/>
    <s v="Lucknow"/>
    <x v="0"/>
    <s v="P602"/>
    <s v="Fast Charger 33W"/>
    <x v="2"/>
    <n v="1"/>
    <n v="899"/>
    <n v="0.05"/>
    <n v="899"/>
    <n v="44.95"/>
    <n v="854.05"/>
    <n v="494"/>
    <n v="494"/>
    <n v="60"/>
    <n v="300.04999999999995"/>
    <n v="0.35132603477548152"/>
    <x v="2"/>
    <d v="2025-05-16T00:00:00"/>
    <n v="5"/>
    <x v="2"/>
    <m/>
    <n v="0"/>
  </r>
  <r>
    <s v="ORD-103039"/>
    <x v="492"/>
    <x v="1"/>
    <d v="2025-05-01T00:00:00"/>
    <n v="5"/>
    <s v="CUST-00812"/>
    <x v="1"/>
    <x v="11"/>
    <s v="KA"/>
    <x v="3"/>
    <s v="Bengaluru"/>
    <x v="0"/>
    <s v="P105"/>
    <s v="Retinol Night Cream"/>
    <x v="3"/>
    <n v="1"/>
    <n v="799"/>
    <n v="0.05"/>
    <n v="799"/>
    <n v="39.950000000000003"/>
    <n v="759.05"/>
    <n v="216"/>
    <n v="216"/>
    <n v="60"/>
    <n v="483.04999999999995"/>
    <n v="0.63638758975034582"/>
    <x v="0"/>
    <d v="2025-05-12T00:00:00"/>
    <n v="1"/>
    <x v="1"/>
    <n v="5"/>
    <n v="0"/>
  </r>
  <r>
    <s v="ORD-103040"/>
    <x v="493"/>
    <x v="1"/>
    <d v="2025-05-01T00:00:00"/>
    <n v="5"/>
    <s v="CUST-00830"/>
    <x v="1"/>
    <x v="6"/>
    <s v="DL"/>
    <x v="0"/>
    <s v="New Delhi"/>
    <x v="0"/>
    <s v="P602"/>
    <s v="Fast Charger 33W"/>
    <x v="2"/>
    <n v="1"/>
    <n v="899"/>
    <n v="0.15"/>
    <n v="899"/>
    <n v="134.85"/>
    <n v="764.15"/>
    <n v="494"/>
    <n v="494"/>
    <n v="60"/>
    <n v="210.14999999999998"/>
    <n v="0.27501145063142052"/>
    <x v="3"/>
    <d v="2025-05-14T00:00:00"/>
    <n v="2"/>
    <x v="1"/>
    <n v="5"/>
    <n v="0"/>
  </r>
  <r>
    <s v="ORD-103041"/>
    <x v="493"/>
    <x v="1"/>
    <d v="2025-05-01T00:00:00"/>
    <n v="5"/>
    <s v="CUST-02326"/>
    <x v="1"/>
    <x v="10"/>
    <s v="CG"/>
    <x v="2"/>
    <s v="Raipur"/>
    <x v="4"/>
    <s v="P503"/>
    <s v="Scented Candle Set"/>
    <x v="4"/>
    <n v="2"/>
    <n v="699"/>
    <n v="0.2"/>
    <n v="1398"/>
    <n v="279.60000000000002"/>
    <n v="1118.4000000000001"/>
    <n v="245"/>
    <n v="490"/>
    <n v="60"/>
    <n v="568.40000000000009"/>
    <n v="0.50822603719599435"/>
    <x v="0"/>
    <d v="2025-05-15T00:00:00"/>
    <n v="3"/>
    <x v="0"/>
    <m/>
    <n v="0"/>
  </r>
  <r>
    <s v="ORD-103042"/>
    <x v="493"/>
    <x v="1"/>
    <d v="2025-05-01T00:00:00"/>
    <n v="5"/>
    <s v="CUST-02760"/>
    <x v="0"/>
    <x v="11"/>
    <s v="KA"/>
    <x v="3"/>
    <s v="Mysuru"/>
    <x v="2"/>
    <s v="P202"/>
    <s v="Argan Shampoo"/>
    <x v="6"/>
    <n v="1"/>
    <n v="449"/>
    <n v="0.1"/>
    <n v="449"/>
    <n v="44.900000000000006"/>
    <n v="404.1"/>
    <n v="148"/>
    <n v="148"/>
    <n v="60"/>
    <n v="196.10000000000002"/>
    <n v="0.48527592180153428"/>
    <x v="0"/>
    <d v="2025-05-16T00:00:00"/>
    <n v="4"/>
    <x v="0"/>
    <n v="5"/>
    <n v="0"/>
  </r>
  <r>
    <s v="ORD-103043"/>
    <x v="493"/>
    <x v="1"/>
    <d v="2025-05-01T00:00:00"/>
    <n v="5"/>
    <s v="CUST-00644"/>
    <x v="1"/>
    <x v="14"/>
    <s v="KL"/>
    <x v="3"/>
    <s v="Kochi"/>
    <x v="0"/>
    <s v="P104"/>
    <s v="Hydrating Face Wash"/>
    <x v="3"/>
    <n v="1"/>
    <n v="299"/>
    <n v="0"/>
    <n v="299"/>
    <n v="0"/>
    <n v="299"/>
    <n v="90"/>
    <n v="90"/>
    <n v="60"/>
    <n v="149"/>
    <n v="0.49832775919732442"/>
    <x v="4"/>
    <d v="2025-05-16T00:00:00"/>
    <n v="4"/>
    <x v="0"/>
    <n v="5"/>
    <n v="0"/>
  </r>
  <r>
    <s v="ORD-103044"/>
    <x v="494"/>
    <x v="1"/>
    <d v="2025-05-01T00:00:00"/>
    <n v="5"/>
    <s v="CUST-01115"/>
    <x v="1"/>
    <x v="16"/>
    <s v="UP"/>
    <x v="0"/>
    <s v="Kanpur"/>
    <x v="1"/>
    <s v="P301"/>
    <s v="Cotton Oversized T-Shirt"/>
    <x v="1"/>
    <n v="1"/>
    <n v="799"/>
    <n v="0.1"/>
    <n v="799"/>
    <n v="79.900000000000006"/>
    <n v="719.1"/>
    <n v="320"/>
    <n v="320"/>
    <n v="60"/>
    <n v="339.1"/>
    <n v="0.47156167431511614"/>
    <x v="0"/>
    <d v="2025-05-15T00:00:00"/>
    <n v="2"/>
    <x v="1"/>
    <m/>
    <n v="0"/>
  </r>
  <r>
    <s v="ORD-103045"/>
    <x v="494"/>
    <x v="1"/>
    <d v="2025-05-01T00:00:00"/>
    <n v="5"/>
    <s v="CUST-01280"/>
    <x v="0"/>
    <x v="7"/>
    <s v="JH"/>
    <x v="2"/>
    <s v="Ranchi"/>
    <x v="4"/>
    <s v="P702"/>
    <s v="Whey Protein 1kg"/>
    <x v="0"/>
    <n v="2"/>
    <n v="2299"/>
    <n v="0.35"/>
    <n v="4598"/>
    <n v="1609.3"/>
    <n v="2988.7"/>
    <n v="1333"/>
    <n v="2666"/>
    <n v="60"/>
    <n v="262.69999999999982"/>
    <n v="8.7897748184829469E-2"/>
    <x v="0"/>
    <d v="2025-05-17T00:00:00"/>
    <n v="4"/>
    <x v="0"/>
    <n v="4"/>
    <n v="0"/>
  </r>
  <r>
    <s v="ORD-103046"/>
    <x v="495"/>
    <x v="1"/>
    <d v="2025-05-01T00:00:00"/>
    <n v="5"/>
    <s v="CUST-02609"/>
    <x v="0"/>
    <x v="0"/>
    <s v="RJ"/>
    <x v="0"/>
    <s v="Jaipur"/>
    <x v="4"/>
    <s v="P202"/>
    <s v="Argan Shampoo"/>
    <x v="6"/>
    <n v="1"/>
    <n v="449"/>
    <n v="0.1"/>
    <n v="449"/>
    <n v="44.900000000000006"/>
    <n v="404.1"/>
    <n v="148"/>
    <n v="148"/>
    <n v="60"/>
    <n v="196.10000000000002"/>
    <n v="0.48527592180153428"/>
    <x v="0"/>
    <d v="2025-05-18T00:00:00"/>
    <n v="4"/>
    <x v="0"/>
    <m/>
    <n v="0"/>
  </r>
  <r>
    <s v="ORD-103047"/>
    <x v="495"/>
    <x v="1"/>
    <d v="2025-05-01T00:00:00"/>
    <n v="5"/>
    <s v="CUST-02120"/>
    <x v="0"/>
    <x v="0"/>
    <s v="RJ"/>
    <x v="0"/>
    <s v="Udaipur"/>
    <x v="0"/>
    <s v="P404"/>
    <s v="Flip Flops"/>
    <x v="5"/>
    <n v="1"/>
    <n v="399"/>
    <n v="0.05"/>
    <n v="399"/>
    <n v="19.950000000000003"/>
    <n v="379.05"/>
    <n v="152"/>
    <n v="152"/>
    <n v="60"/>
    <n v="167.05"/>
    <n v="0.44070703073473161"/>
    <x v="0"/>
    <d v="2025-05-16T00:00:00"/>
    <n v="2"/>
    <x v="1"/>
    <n v="3"/>
    <n v="0"/>
  </r>
  <r>
    <s v="ORD-103048"/>
    <x v="495"/>
    <x v="1"/>
    <d v="2025-05-01T00:00:00"/>
    <n v="5"/>
    <s v="CUST-00454"/>
    <x v="1"/>
    <x v="6"/>
    <s v="DL"/>
    <x v="0"/>
    <s v="New Delhi"/>
    <x v="1"/>
    <s v="P403"/>
    <s v="Kolhapuri Sandals"/>
    <x v="5"/>
    <n v="1"/>
    <n v="999"/>
    <n v="0"/>
    <n v="999"/>
    <n v="0"/>
    <n v="999"/>
    <n v="400"/>
    <n v="400"/>
    <n v="60"/>
    <n v="539"/>
    <n v="0.53953953953953959"/>
    <x v="1"/>
    <d v="2025-05-15T00:00:00"/>
    <n v="1"/>
    <x v="1"/>
    <m/>
    <n v="0"/>
  </r>
  <r>
    <s v="ORD-103049"/>
    <x v="495"/>
    <x v="1"/>
    <d v="2025-05-01T00:00:00"/>
    <n v="5"/>
    <s v="CUST-00745"/>
    <x v="1"/>
    <x v="6"/>
    <s v="DL"/>
    <x v="0"/>
    <s v="New Delhi"/>
    <x v="0"/>
    <s v="P504"/>
    <s v="Cotton Bedsheet"/>
    <x v="4"/>
    <n v="2"/>
    <n v="1299"/>
    <n v="0.05"/>
    <n v="2598"/>
    <n v="129.9"/>
    <n v="2468.1"/>
    <n v="585"/>
    <n v="1170"/>
    <n v="60"/>
    <n v="1238.0999999999999"/>
    <n v="0.50164093837364776"/>
    <x v="3"/>
    <d v="2025-05-16T00:00:00"/>
    <n v="2"/>
    <x v="1"/>
    <n v="4"/>
    <n v="0"/>
  </r>
  <r>
    <s v="ORD-103050"/>
    <x v="495"/>
    <x v="1"/>
    <d v="2025-05-01T00:00:00"/>
    <n v="5"/>
    <s v="CUST-00206"/>
    <x v="1"/>
    <x v="12"/>
    <s v="BR"/>
    <x v="2"/>
    <s v="Patna"/>
    <x v="0"/>
    <s v="P601"/>
    <s v="Wireless Earbuds"/>
    <x v="2"/>
    <n v="1"/>
    <n v="1999"/>
    <n v="0.4"/>
    <n v="1999"/>
    <n v="799.6"/>
    <n v="1199.4000000000001"/>
    <n v="1239"/>
    <n v="1239"/>
    <n v="60"/>
    <n v="-99.599999999999909"/>
    <n v="-8.3041520760380114E-2"/>
    <x v="0"/>
    <d v="2025-05-18T00:00:00"/>
    <n v="4"/>
    <x v="0"/>
    <m/>
    <n v="0"/>
  </r>
  <r>
    <s v="ORD-103051"/>
    <x v="495"/>
    <x v="1"/>
    <d v="2025-05-01T00:00:00"/>
    <n v="5"/>
    <s v="CUST-00658"/>
    <x v="1"/>
    <x v="17"/>
    <s v="TN"/>
    <x v="3"/>
    <s v="Chennai"/>
    <x v="2"/>
    <s v="P204"/>
    <s v="Anti-Dandruff Conditioner"/>
    <x v="6"/>
    <n v="3"/>
    <n v="399"/>
    <n v="0.4"/>
    <n v="1197"/>
    <n v="478.8"/>
    <n v="718.2"/>
    <n v="136"/>
    <n v="408"/>
    <n v="60"/>
    <n v="250.20000000000005"/>
    <n v="0.34837092731829578"/>
    <x v="0"/>
    <d v="2025-05-16T00:00:00"/>
    <n v="2"/>
    <x v="1"/>
    <n v="4"/>
    <n v="0"/>
  </r>
  <r>
    <s v="ORD-103052"/>
    <x v="496"/>
    <x v="1"/>
    <d v="2025-05-01T00:00:00"/>
    <n v="5"/>
    <s v="CUST-01779"/>
    <x v="0"/>
    <x v="5"/>
    <s v="HP"/>
    <x v="0"/>
    <s v="Shimla"/>
    <x v="3"/>
    <s v="P701"/>
    <s v="Ashwagandha Capsules"/>
    <x v="0"/>
    <n v="2"/>
    <n v="499"/>
    <n v="0"/>
    <n v="998"/>
    <n v="0"/>
    <n v="998"/>
    <n v="150"/>
    <n v="300"/>
    <n v="60"/>
    <n v="638"/>
    <n v="0.63927855711422843"/>
    <x v="0"/>
    <d v="2025-05-20T00:00:00"/>
    <n v="5"/>
    <x v="2"/>
    <n v="4"/>
    <n v="0"/>
  </r>
  <r>
    <s v="ORD-103053"/>
    <x v="496"/>
    <x v="1"/>
    <d v="2025-05-01T00:00:00"/>
    <n v="5"/>
    <s v="CUST-02269"/>
    <x v="1"/>
    <x v="9"/>
    <s v="UK"/>
    <x v="0"/>
    <s v="Dehradun"/>
    <x v="0"/>
    <s v="P103"/>
    <s v="Niacinamide Toner"/>
    <x v="3"/>
    <n v="1"/>
    <n v="399"/>
    <n v="0.15"/>
    <n v="399"/>
    <n v="59.849999999999994"/>
    <n v="339.15"/>
    <n v="112"/>
    <n v="112"/>
    <n v="60"/>
    <n v="167.14999999999998"/>
    <n v="0.49284977148754233"/>
    <x v="1"/>
    <d v="2025-05-19T00:00:00"/>
    <n v="4"/>
    <x v="0"/>
    <n v="4"/>
    <n v="0"/>
  </r>
  <r>
    <s v="ORD-103054"/>
    <x v="496"/>
    <x v="1"/>
    <d v="2025-05-01T00:00:00"/>
    <n v="5"/>
    <s v="CUST-02247"/>
    <x v="1"/>
    <x v="12"/>
    <s v="BR"/>
    <x v="2"/>
    <s v="Patna"/>
    <x v="2"/>
    <s v="P101"/>
    <s v="Vitamin C Face Serum"/>
    <x v="3"/>
    <n v="1"/>
    <n v="599"/>
    <n v="0.2"/>
    <n v="599"/>
    <n v="119.80000000000001"/>
    <n v="479.2"/>
    <n v="180"/>
    <n v="180"/>
    <n v="60"/>
    <n v="239.2"/>
    <n v="0.4991652754590985"/>
    <x v="0"/>
    <d v="2025-05-19T00:00:00"/>
    <n v="4"/>
    <x v="0"/>
    <m/>
    <n v="0"/>
  </r>
  <r>
    <s v="ORD-103055"/>
    <x v="496"/>
    <x v="1"/>
    <d v="2025-05-01T00:00:00"/>
    <n v="5"/>
    <s v="CUST-00844"/>
    <x v="1"/>
    <x v="3"/>
    <s v="OD"/>
    <x v="2"/>
    <s v="Bhubaneswar"/>
    <x v="3"/>
    <s v="P102"/>
    <s v="Sunscreen SPF 50"/>
    <x v="3"/>
    <n v="1"/>
    <n v="449"/>
    <n v="0.15"/>
    <n v="449"/>
    <n v="67.349999999999994"/>
    <n v="381.65"/>
    <n v="144"/>
    <n v="144"/>
    <n v="60"/>
    <n v="177.64999999999998"/>
    <n v="0.465478841870824"/>
    <x v="3"/>
    <d v="2025-05-19T00:00:00"/>
    <n v="4"/>
    <x v="0"/>
    <m/>
    <n v="0"/>
  </r>
  <r>
    <s v="ORD-103056"/>
    <x v="496"/>
    <x v="1"/>
    <d v="2025-05-01T00:00:00"/>
    <n v="5"/>
    <s v="CUST-00665"/>
    <x v="1"/>
    <x v="14"/>
    <s v="KL"/>
    <x v="3"/>
    <s v="Thiruvananthapuram"/>
    <x v="0"/>
    <s v="P401"/>
    <s v="Running Shoes"/>
    <x v="5"/>
    <n v="1"/>
    <n v="2999"/>
    <n v="0.3"/>
    <n v="2999"/>
    <n v="899.69999999999993"/>
    <n v="2099.3000000000002"/>
    <n v="1440"/>
    <n v="1440"/>
    <n v="60"/>
    <n v="599.30000000000018"/>
    <n v="0.28547611108464732"/>
    <x v="0"/>
    <d v="2025-05-18T00:00:00"/>
    <n v="3"/>
    <x v="0"/>
    <n v="4"/>
    <n v="0"/>
  </r>
  <r>
    <s v="ORD-103057"/>
    <x v="497"/>
    <x v="1"/>
    <d v="2025-05-01T00:00:00"/>
    <n v="5"/>
    <s v="CUST-01614"/>
    <x v="1"/>
    <x v="4"/>
    <s v="JK"/>
    <x v="0"/>
    <s v="Srinagar"/>
    <x v="0"/>
    <s v="P502"/>
    <s v="Ceramic Dinner Set"/>
    <x v="4"/>
    <n v="1"/>
    <n v="2499"/>
    <n v="0.3"/>
    <n v="2499"/>
    <n v="749.69999999999993"/>
    <n v="1749.3000000000002"/>
    <n v="1250"/>
    <n v="1250"/>
    <n v="60"/>
    <n v="439.30000000000018"/>
    <n v="0.25112902303778661"/>
    <x v="0"/>
    <d v="2025-05-22T00:00:00"/>
    <n v="6"/>
    <x v="2"/>
    <n v="2"/>
    <n v="0"/>
  </r>
  <r>
    <s v="ORD-103058"/>
    <x v="497"/>
    <x v="1"/>
    <d v="2025-05-01T00:00:00"/>
    <n v="5"/>
    <s v="CUST-00250"/>
    <x v="1"/>
    <x v="19"/>
    <s v="PB"/>
    <x v="0"/>
    <s v="Ludhiana"/>
    <x v="1"/>
    <s v="P401"/>
    <s v="Running Shoes"/>
    <x v="5"/>
    <n v="1"/>
    <n v="2999"/>
    <n v="0.15"/>
    <n v="2999"/>
    <n v="449.84999999999997"/>
    <n v="2549.15"/>
    <n v="1440"/>
    <n v="1440"/>
    <n v="60"/>
    <n v="1049.1500000000001"/>
    <n v="0.41156856206970954"/>
    <x v="0"/>
    <d v="2025-05-18T00:00:00"/>
    <n v="2"/>
    <x v="1"/>
    <n v="5"/>
    <n v="0"/>
  </r>
  <r>
    <s v="ORD-103059"/>
    <x v="497"/>
    <x v="1"/>
    <d v="2025-05-01T00:00:00"/>
    <n v="5"/>
    <s v="CUST-02064"/>
    <x v="0"/>
    <x v="0"/>
    <s v="RJ"/>
    <x v="0"/>
    <s v="Jaipur"/>
    <x v="1"/>
    <s v="P301"/>
    <s v="Cotton Oversized T-Shirt"/>
    <x v="1"/>
    <n v="1"/>
    <n v="799"/>
    <n v="0"/>
    <n v="799"/>
    <n v="0"/>
    <n v="799"/>
    <n v="320"/>
    <n v="320"/>
    <n v="60"/>
    <n v="419"/>
    <n v="0.52440550688360454"/>
    <x v="3"/>
    <d v="2025-05-19T00:00:00"/>
    <n v="3"/>
    <x v="0"/>
    <n v="4"/>
    <n v="0"/>
  </r>
  <r>
    <s v="ORD-103060"/>
    <x v="497"/>
    <x v="1"/>
    <d v="2025-05-01T00:00:00"/>
    <n v="5"/>
    <s v="CUST-00041"/>
    <x v="1"/>
    <x v="16"/>
    <s v="UP"/>
    <x v="0"/>
    <s v="Lucknow"/>
    <x v="3"/>
    <s v="P704"/>
    <s v="Multivitamin Gummies"/>
    <x v="0"/>
    <n v="1"/>
    <n v="699"/>
    <n v="0.2"/>
    <n v="699"/>
    <n v="139.80000000000001"/>
    <n v="559.20000000000005"/>
    <n v="238"/>
    <n v="238"/>
    <n v="60"/>
    <n v="261.20000000000005"/>
    <n v="0.46709585121602293"/>
    <x v="0"/>
    <d v="2025-05-19T00:00:00"/>
    <n v="3"/>
    <x v="0"/>
    <n v="4"/>
    <n v="0"/>
  </r>
  <r>
    <s v="ORD-103061"/>
    <x v="497"/>
    <x v="1"/>
    <d v="2025-05-01T00:00:00"/>
    <n v="5"/>
    <s v="CUST-00753"/>
    <x v="1"/>
    <x v="16"/>
    <s v="UP"/>
    <x v="0"/>
    <s v="Kanpur"/>
    <x v="4"/>
    <s v="P203"/>
    <s v="Keratin Hair Mask"/>
    <x v="6"/>
    <n v="1"/>
    <n v="549"/>
    <n v="0.1"/>
    <n v="549"/>
    <n v="54.900000000000006"/>
    <n v="494.1"/>
    <n v="170"/>
    <n v="170"/>
    <n v="60"/>
    <n v="264.10000000000002"/>
    <n v="0.53450718478040882"/>
    <x v="2"/>
    <d v="2025-05-20T00:00:00"/>
    <n v="4"/>
    <x v="0"/>
    <n v="3"/>
    <n v="0"/>
  </r>
  <r>
    <s v="ORD-103062"/>
    <x v="497"/>
    <x v="1"/>
    <d v="2025-05-01T00:00:00"/>
    <n v="5"/>
    <s v="CUST-00858"/>
    <x v="0"/>
    <x v="1"/>
    <s v="GJ"/>
    <x v="1"/>
    <s v="Ahmedabad"/>
    <x v="0"/>
    <s v="P301"/>
    <s v="Cotton Oversized T-Shirt"/>
    <x v="1"/>
    <n v="1"/>
    <n v="799"/>
    <n v="0"/>
    <n v="799"/>
    <n v="0"/>
    <n v="799"/>
    <n v="320"/>
    <n v="320"/>
    <n v="120"/>
    <n v="359"/>
    <n v="0.44931163954943681"/>
    <x v="0"/>
    <d v="2025-05-18T00:00:00"/>
    <n v="2"/>
    <x v="1"/>
    <n v="4"/>
    <n v="1"/>
  </r>
  <r>
    <s v="ORD-103063"/>
    <x v="497"/>
    <x v="1"/>
    <d v="2025-05-01T00:00:00"/>
    <n v="5"/>
    <s v="CUST-00781"/>
    <x v="1"/>
    <x v="21"/>
    <s v="TG"/>
    <x v="3"/>
    <s v="Hyderabad"/>
    <x v="3"/>
    <s v="P701"/>
    <s v="Ashwagandha Capsules"/>
    <x v="0"/>
    <n v="1"/>
    <n v="499"/>
    <n v="0"/>
    <n v="499"/>
    <n v="0"/>
    <n v="499"/>
    <n v="150"/>
    <n v="150"/>
    <n v="60"/>
    <n v="289"/>
    <n v="0.57915831663326656"/>
    <x v="0"/>
    <d v="2025-05-20T00:00:00"/>
    <n v="4"/>
    <x v="0"/>
    <n v="4"/>
    <n v="0"/>
  </r>
  <r>
    <s v="ORD-103064"/>
    <x v="497"/>
    <x v="1"/>
    <d v="2025-05-01T00:00:00"/>
    <n v="5"/>
    <s v="CUST-00086"/>
    <x v="1"/>
    <x v="8"/>
    <s v="AP"/>
    <x v="3"/>
    <s v="Visakhapatnam"/>
    <x v="1"/>
    <s v="P302"/>
    <s v="Linen Kurta"/>
    <x v="1"/>
    <n v="2"/>
    <n v="1499"/>
    <n v="0.25"/>
    <n v="2998"/>
    <n v="749.5"/>
    <n v="2248.5"/>
    <n v="630"/>
    <n v="1260"/>
    <n v="60"/>
    <n v="928.5"/>
    <n v="0.41294196130753835"/>
    <x v="2"/>
    <d v="2025-05-22T00:00:00"/>
    <n v="6"/>
    <x v="2"/>
    <n v="4"/>
    <n v="0"/>
  </r>
  <r>
    <s v="ORD-103065"/>
    <x v="497"/>
    <x v="1"/>
    <d v="2025-05-01T00:00:00"/>
    <n v="5"/>
    <s v="CUST-00567"/>
    <x v="1"/>
    <x v="8"/>
    <s v="AP"/>
    <x v="3"/>
    <s v="Vijayawada"/>
    <x v="4"/>
    <s v="P201"/>
    <s v="Onion Hair Oil"/>
    <x v="6"/>
    <n v="2"/>
    <n v="349"/>
    <n v="0.25"/>
    <n v="698"/>
    <n v="174.5"/>
    <n v="523.5"/>
    <n v="105"/>
    <n v="210"/>
    <n v="60"/>
    <n v="253.5"/>
    <n v="0.48424068767908307"/>
    <x v="3"/>
    <d v="2025-05-21T00:00:00"/>
    <n v="5"/>
    <x v="2"/>
    <n v="3"/>
    <n v="0"/>
  </r>
  <r>
    <s v="ORD-103066"/>
    <x v="498"/>
    <x v="1"/>
    <d v="2025-05-01T00:00:00"/>
    <n v="5"/>
    <s v="CUST-00580"/>
    <x v="1"/>
    <x v="15"/>
    <s v="HR"/>
    <x v="0"/>
    <s v="Gurugram"/>
    <x v="1"/>
    <s v="P403"/>
    <s v="Kolhapuri Sandals"/>
    <x v="5"/>
    <n v="4"/>
    <n v="999"/>
    <n v="0.05"/>
    <n v="3996"/>
    <n v="199.8"/>
    <n v="3796.2"/>
    <n v="400"/>
    <n v="1600"/>
    <n v="60"/>
    <n v="2136.1999999999998"/>
    <n v="0.56272061535219431"/>
    <x v="4"/>
    <d v="2025-05-19T00:00:00"/>
    <n v="2"/>
    <x v="1"/>
    <m/>
    <n v="0"/>
  </r>
  <r>
    <s v="ORD-103067"/>
    <x v="498"/>
    <x v="1"/>
    <d v="2025-05-01T00:00:00"/>
    <n v="5"/>
    <s v="CUST-02023"/>
    <x v="0"/>
    <x v="16"/>
    <s v="UP"/>
    <x v="0"/>
    <s v="Kanpur"/>
    <x v="4"/>
    <s v="P305"/>
    <s v="Printed Saree"/>
    <x v="1"/>
    <n v="1"/>
    <n v="1999"/>
    <n v="0.15"/>
    <n v="1999"/>
    <n v="299.84999999999997"/>
    <n v="1699.15"/>
    <n v="880"/>
    <n v="880"/>
    <n v="60"/>
    <n v="759.15000000000009"/>
    <n v="0.44678221463673018"/>
    <x v="0"/>
    <d v="2025-05-20T00:00:00"/>
    <n v="3"/>
    <x v="0"/>
    <m/>
    <n v="0"/>
  </r>
  <r>
    <s v="ORD-103068"/>
    <x v="498"/>
    <x v="1"/>
    <d v="2025-05-01T00:00:00"/>
    <n v="5"/>
    <s v="CUST-00914"/>
    <x v="1"/>
    <x v="1"/>
    <s v="GJ"/>
    <x v="1"/>
    <s v="Ahmedabad"/>
    <x v="4"/>
    <s v="P604"/>
    <s v="Power Bank 20000mAh"/>
    <x v="2"/>
    <n v="2"/>
    <n v="1799"/>
    <n v="0.45"/>
    <n v="3598"/>
    <n v="1619.1000000000001"/>
    <n v="1978.8999999999999"/>
    <n v="1079"/>
    <n v="2158"/>
    <n v="60"/>
    <n v="-239.10000000000014"/>
    <n v="-0.12082470059123764"/>
    <x v="4"/>
    <d v="2025-05-19T00:00:00"/>
    <n v="2"/>
    <x v="1"/>
    <n v="4"/>
    <n v="0"/>
  </r>
  <r>
    <s v="ORD-103069"/>
    <x v="498"/>
    <x v="1"/>
    <d v="2025-05-01T00:00:00"/>
    <n v="5"/>
    <s v="CUST-01115"/>
    <x v="1"/>
    <x v="2"/>
    <s v="MH"/>
    <x v="1"/>
    <s v="Mumbai"/>
    <x v="3"/>
    <s v="P202"/>
    <s v="Argan Shampoo"/>
    <x v="6"/>
    <n v="1"/>
    <n v="449"/>
    <n v="0.15"/>
    <n v="449"/>
    <n v="67.349999999999994"/>
    <n v="381.65"/>
    <n v="148"/>
    <n v="148"/>
    <n v="60"/>
    <n v="173.64999999999998"/>
    <n v="0.45499803484868334"/>
    <x v="4"/>
    <d v="2025-05-18T00:00:00"/>
    <n v="1"/>
    <x v="1"/>
    <m/>
    <n v="0"/>
  </r>
  <r>
    <s v="ORD-103070"/>
    <x v="498"/>
    <x v="1"/>
    <d v="2025-05-01T00:00:00"/>
    <n v="5"/>
    <s v="CUST-00338"/>
    <x v="0"/>
    <x v="21"/>
    <s v="TG"/>
    <x v="3"/>
    <s v="Hyderabad"/>
    <x v="3"/>
    <s v="P104"/>
    <s v="Hydrating Face Wash"/>
    <x v="3"/>
    <n v="1"/>
    <n v="299"/>
    <n v="0"/>
    <n v="299"/>
    <n v="0"/>
    <n v="299"/>
    <n v="90"/>
    <n v="90"/>
    <n v="120"/>
    <n v="89"/>
    <n v="0.2976588628762542"/>
    <x v="0"/>
    <d v="2025-05-20T00:00:00"/>
    <n v="3"/>
    <x v="0"/>
    <n v="3"/>
    <n v="1"/>
  </r>
  <r>
    <s v="ORD-103071"/>
    <x v="498"/>
    <x v="1"/>
    <d v="2025-05-01T00:00:00"/>
    <n v="5"/>
    <s v="CUST-00618"/>
    <x v="1"/>
    <x v="21"/>
    <s v="TG"/>
    <x v="3"/>
    <s v="Hyderabad"/>
    <x v="2"/>
    <s v="P104"/>
    <s v="Hydrating Face Wash"/>
    <x v="3"/>
    <n v="1"/>
    <n v="299"/>
    <n v="0"/>
    <n v="299"/>
    <n v="0"/>
    <n v="299"/>
    <n v="90"/>
    <n v="90"/>
    <n v="60"/>
    <n v="149"/>
    <n v="0.49832775919732442"/>
    <x v="0"/>
    <d v="2025-05-22T00:00:00"/>
    <n v="5"/>
    <x v="2"/>
    <n v="4"/>
    <n v="0"/>
  </r>
  <r>
    <s v="ORD-103072"/>
    <x v="498"/>
    <x v="1"/>
    <d v="2025-05-01T00:00:00"/>
    <n v="5"/>
    <s v="CUST-00921"/>
    <x v="1"/>
    <x v="11"/>
    <s v="KA"/>
    <x v="3"/>
    <s v="Mysuru"/>
    <x v="2"/>
    <s v="P105"/>
    <s v="Retinol Night Cream"/>
    <x v="3"/>
    <n v="1"/>
    <n v="799"/>
    <n v="0.05"/>
    <n v="799"/>
    <n v="39.950000000000003"/>
    <n v="759.05"/>
    <n v="216"/>
    <n v="216"/>
    <n v="60"/>
    <n v="483.04999999999995"/>
    <n v="0.63638758975034582"/>
    <x v="4"/>
    <d v="2025-05-21T00:00:00"/>
    <n v="4"/>
    <x v="0"/>
    <n v="3"/>
    <n v="0"/>
  </r>
  <r>
    <s v="ORD-103073"/>
    <x v="498"/>
    <x v="1"/>
    <d v="2025-05-01T00:00:00"/>
    <n v="5"/>
    <s v="CUST-00209"/>
    <x v="0"/>
    <x v="8"/>
    <s v="AP"/>
    <x v="3"/>
    <s v="Vijayawada"/>
    <x v="4"/>
    <s v="P504"/>
    <s v="Cotton Bedsheet"/>
    <x v="4"/>
    <n v="1"/>
    <n v="1299"/>
    <n v="0"/>
    <n v="1299"/>
    <n v="0"/>
    <n v="1299"/>
    <n v="585"/>
    <n v="585"/>
    <n v="60"/>
    <n v="654"/>
    <n v="0.50346420323325636"/>
    <x v="3"/>
    <d v="2025-05-20T00:00:00"/>
    <n v="3"/>
    <x v="0"/>
    <n v="4"/>
    <n v="0"/>
  </r>
  <r>
    <s v="ORD-103074"/>
    <x v="498"/>
    <x v="1"/>
    <d v="2025-05-01T00:00:00"/>
    <n v="5"/>
    <s v="CUST-00107"/>
    <x v="1"/>
    <x v="8"/>
    <s v="AP"/>
    <x v="3"/>
    <s v="Vijayawada"/>
    <x v="4"/>
    <s v="P304"/>
    <s v="Denim Jacket"/>
    <x v="1"/>
    <n v="1"/>
    <n v="2499"/>
    <n v="0.1"/>
    <n v="2499"/>
    <n v="249.9"/>
    <n v="2249.1"/>
    <n v="1125"/>
    <n v="1125"/>
    <n v="60"/>
    <n v="1064.0999999999999"/>
    <n v="0.4731225823662798"/>
    <x v="0"/>
    <d v="2025-05-19T00:00:00"/>
    <n v="2"/>
    <x v="1"/>
    <n v="4"/>
    <n v="0"/>
  </r>
  <r>
    <s v="ORD-103075"/>
    <x v="499"/>
    <x v="1"/>
    <d v="2025-05-01T00:00:00"/>
    <n v="5"/>
    <s v="CUST-00435"/>
    <x v="1"/>
    <x v="6"/>
    <s v="DL"/>
    <x v="0"/>
    <s v="New Delhi"/>
    <x v="0"/>
    <s v="P104"/>
    <s v="Hydrating Face Wash"/>
    <x v="3"/>
    <n v="1"/>
    <n v="299"/>
    <n v="0.05"/>
    <n v="299"/>
    <n v="14.950000000000001"/>
    <n v="284.05"/>
    <n v="90"/>
    <n v="90"/>
    <n v="60"/>
    <n v="134.05000000000001"/>
    <n v="0.47192395704981521"/>
    <x v="1"/>
    <d v="2025-05-20T00:00:00"/>
    <n v="2"/>
    <x v="1"/>
    <n v="4"/>
    <n v="0"/>
  </r>
  <r>
    <s v="ORD-103076"/>
    <x v="500"/>
    <x v="1"/>
    <d v="2025-05-01T00:00:00"/>
    <n v="5"/>
    <s v="CUST-00809"/>
    <x v="1"/>
    <x v="7"/>
    <s v="JH"/>
    <x v="2"/>
    <s v="Ranchi"/>
    <x v="4"/>
    <s v="P102"/>
    <s v="Sunscreen SPF 50"/>
    <x v="3"/>
    <n v="4"/>
    <n v="449"/>
    <n v="0"/>
    <n v="1796"/>
    <n v="0"/>
    <n v="1796"/>
    <n v="144"/>
    <n v="576"/>
    <n v="60"/>
    <n v="1160"/>
    <n v="0.6458797327394209"/>
    <x v="0"/>
    <d v="2025-05-25T00:00:00"/>
    <n v="6"/>
    <x v="2"/>
    <n v="3"/>
    <n v="0"/>
  </r>
  <r>
    <s v="ORD-103077"/>
    <x v="500"/>
    <x v="1"/>
    <d v="2025-05-01T00:00:00"/>
    <n v="5"/>
    <s v="CUST-01078"/>
    <x v="1"/>
    <x v="8"/>
    <s v="AP"/>
    <x v="3"/>
    <s v="Vijayawada"/>
    <x v="1"/>
    <s v="P301"/>
    <s v="Cotton Oversized T-Shirt"/>
    <x v="1"/>
    <n v="1"/>
    <n v="799"/>
    <n v="0"/>
    <n v="799"/>
    <n v="0"/>
    <n v="799"/>
    <n v="320"/>
    <n v="320"/>
    <n v="60"/>
    <n v="419"/>
    <n v="0.52440550688360454"/>
    <x v="3"/>
    <d v="2025-05-21T00:00:00"/>
    <n v="2"/>
    <x v="1"/>
    <n v="3"/>
    <n v="0"/>
  </r>
  <r>
    <s v="ORD-103078"/>
    <x v="501"/>
    <x v="1"/>
    <d v="2025-05-01T00:00:00"/>
    <n v="5"/>
    <s v="CUST-00410"/>
    <x v="1"/>
    <x v="16"/>
    <s v="UP"/>
    <x v="0"/>
    <s v="Lucknow"/>
    <x v="0"/>
    <s v="P201"/>
    <s v="Onion Hair Oil"/>
    <x v="6"/>
    <n v="4"/>
    <n v="349"/>
    <n v="0.3"/>
    <n v="1396"/>
    <n v="418.8"/>
    <n v="977.2"/>
    <n v="105"/>
    <n v="420"/>
    <n v="60"/>
    <n v="497.20000000000005"/>
    <n v="0.50880065493246007"/>
    <x v="0"/>
    <d v="2025-05-23T00:00:00"/>
    <n v="3"/>
    <x v="0"/>
    <n v="5"/>
    <n v="0"/>
  </r>
  <r>
    <s v="ORD-103079"/>
    <x v="501"/>
    <x v="1"/>
    <d v="2025-05-01T00:00:00"/>
    <n v="5"/>
    <s v="CUST-00958"/>
    <x v="1"/>
    <x v="2"/>
    <s v="MH"/>
    <x v="1"/>
    <s v="Pune"/>
    <x v="0"/>
    <s v="P104"/>
    <s v="Hydrating Face Wash"/>
    <x v="3"/>
    <n v="1"/>
    <n v="299"/>
    <n v="0"/>
    <n v="299"/>
    <n v="0"/>
    <n v="299"/>
    <n v="90"/>
    <n v="90"/>
    <n v="60"/>
    <n v="149"/>
    <n v="0.49832775919732442"/>
    <x v="0"/>
    <d v="2025-05-22T00:00:00"/>
    <n v="2"/>
    <x v="1"/>
    <m/>
    <n v="0"/>
  </r>
  <r>
    <s v="ORD-103080"/>
    <x v="501"/>
    <x v="1"/>
    <d v="2025-05-01T00:00:00"/>
    <n v="5"/>
    <s v="CUST-02635"/>
    <x v="0"/>
    <x v="21"/>
    <s v="TG"/>
    <x v="3"/>
    <s v="Hyderabad"/>
    <x v="4"/>
    <s v="P403"/>
    <s v="Kolhapuri Sandals"/>
    <x v="5"/>
    <n v="1"/>
    <n v="999"/>
    <n v="0"/>
    <n v="999"/>
    <n v="0"/>
    <n v="999"/>
    <n v="400"/>
    <n v="400"/>
    <n v="60"/>
    <n v="539"/>
    <n v="0.53953953953953959"/>
    <x v="1"/>
    <d v="2025-05-22T00:00:00"/>
    <n v="2"/>
    <x v="1"/>
    <n v="5"/>
    <n v="0"/>
  </r>
  <r>
    <s v="ORD-103081"/>
    <x v="501"/>
    <x v="1"/>
    <d v="2025-05-01T00:00:00"/>
    <n v="5"/>
    <s v="CUST-00406"/>
    <x v="0"/>
    <x v="11"/>
    <s v="KA"/>
    <x v="3"/>
    <s v="Mysuru"/>
    <x v="1"/>
    <s v="P303"/>
    <s v="Joggers"/>
    <x v="1"/>
    <n v="1"/>
    <n v="1199"/>
    <n v="0.05"/>
    <n v="1199"/>
    <n v="59.95"/>
    <n v="1139.05"/>
    <n v="492"/>
    <n v="492"/>
    <n v="60"/>
    <n v="587.04999999999995"/>
    <n v="0.51538562837452262"/>
    <x v="1"/>
    <d v="2025-05-23T00:00:00"/>
    <n v="3"/>
    <x v="0"/>
    <n v="5"/>
    <n v="0"/>
  </r>
  <r>
    <s v="ORD-103082"/>
    <x v="501"/>
    <x v="1"/>
    <d v="2025-05-01T00:00:00"/>
    <n v="5"/>
    <s v="CUST-00728"/>
    <x v="1"/>
    <x v="8"/>
    <s v="AP"/>
    <x v="3"/>
    <s v="Vijayawada"/>
    <x v="1"/>
    <s v="P303"/>
    <s v="Joggers"/>
    <x v="1"/>
    <n v="1"/>
    <n v="1199"/>
    <n v="0.1"/>
    <n v="1199"/>
    <n v="119.9"/>
    <n v="1079.0999999999999"/>
    <n v="492"/>
    <n v="492"/>
    <n v="60"/>
    <n v="527.09999999999991"/>
    <n v="0.48846260772866273"/>
    <x v="3"/>
    <d v="2025-05-23T00:00:00"/>
    <n v="3"/>
    <x v="0"/>
    <n v="4"/>
    <n v="0"/>
  </r>
  <r>
    <s v="ORD-103083"/>
    <x v="502"/>
    <x v="1"/>
    <d v="2025-05-01T00:00:00"/>
    <n v="5"/>
    <s v="CUST-01075"/>
    <x v="1"/>
    <x v="0"/>
    <s v="RJ"/>
    <x v="0"/>
    <s v="Udaipur"/>
    <x v="1"/>
    <s v="P302"/>
    <s v="Linen Kurta"/>
    <x v="1"/>
    <n v="2"/>
    <n v="1499"/>
    <n v="0.3"/>
    <n v="2998"/>
    <n v="899.4"/>
    <n v="2098.6"/>
    <n v="630"/>
    <n v="1260"/>
    <n v="60"/>
    <n v="778.59999999999991"/>
    <n v="0.3710092442580768"/>
    <x v="3"/>
    <d v="2025-05-26T00:00:00"/>
    <n v="5"/>
    <x v="2"/>
    <n v="3"/>
    <n v="0"/>
  </r>
  <r>
    <s v="ORD-103084"/>
    <x v="502"/>
    <x v="1"/>
    <d v="2025-05-01T00:00:00"/>
    <n v="5"/>
    <s v="CUST-02610"/>
    <x v="0"/>
    <x v="13"/>
    <s v="MP"/>
    <x v="1"/>
    <s v="Indore"/>
    <x v="3"/>
    <s v="P203"/>
    <s v="Keratin Hair Mask"/>
    <x v="6"/>
    <n v="1"/>
    <n v="549"/>
    <n v="0.15"/>
    <n v="549"/>
    <n v="82.35"/>
    <n v="466.65"/>
    <n v="170"/>
    <n v="170"/>
    <n v="60"/>
    <n v="236.64999999999998"/>
    <n v="0.50712525447337398"/>
    <x v="3"/>
    <d v="2025-05-24T00:00:00"/>
    <n v="3"/>
    <x v="0"/>
    <n v="4"/>
    <n v="0"/>
  </r>
  <r>
    <s v="ORD-103085"/>
    <x v="502"/>
    <x v="1"/>
    <d v="2025-05-01T00:00:00"/>
    <n v="5"/>
    <s v="CUST-00778"/>
    <x v="1"/>
    <x v="10"/>
    <s v="CG"/>
    <x v="2"/>
    <s v="Raipur"/>
    <x v="3"/>
    <s v="P701"/>
    <s v="Ashwagandha Capsules"/>
    <x v="0"/>
    <n v="1"/>
    <n v="499"/>
    <n v="0.1"/>
    <n v="499"/>
    <n v="49.900000000000006"/>
    <n v="449.1"/>
    <n v="150"/>
    <n v="150"/>
    <n v="60"/>
    <n v="239.10000000000002"/>
    <n v="0.53239812959251842"/>
    <x v="3"/>
    <d v="2025-05-25T00:00:00"/>
    <n v="4"/>
    <x v="0"/>
    <n v="4"/>
    <n v="0"/>
  </r>
  <r>
    <s v="ORD-103086"/>
    <x v="502"/>
    <x v="1"/>
    <d v="2025-05-01T00:00:00"/>
    <n v="5"/>
    <s v="CUST-01170"/>
    <x v="1"/>
    <x v="7"/>
    <s v="JH"/>
    <x v="2"/>
    <s v="Ranchi"/>
    <x v="4"/>
    <s v="P704"/>
    <s v="Multivitamin Gummies"/>
    <x v="0"/>
    <n v="1"/>
    <n v="699"/>
    <n v="0.25"/>
    <n v="699"/>
    <n v="174.75"/>
    <n v="524.25"/>
    <n v="238"/>
    <n v="238"/>
    <n v="60"/>
    <n v="226.25"/>
    <n v="0.43156890796375774"/>
    <x v="2"/>
    <d v="2025-05-24T00:00:00"/>
    <n v="3"/>
    <x v="0"/>
    <m/>
    <n v="0"/>
  </r>
  <r>
    <s v="ORD-103087"/>
    <x v="502"/>
    <x v="1"/>
    <d v="2025-05-01T00:00:00"/>
    <n v="5"/>
    <s v="CUST-00046"/>
    <x v="1"/>
    <x v="18"/>
    <s v="WB"/>
    <x v="2"/>
    <s v="Kolkata"/>
    <x v="0"/>
    <s v="P201"/>
    <s v="Onion Hair Oil"/>
    <x v="6"/>
    <n v="3"/>
    <n v="349"/>
    <n v="0.3"/>
    <n v="1047"/>
    <n v="314.09999999999997"/>
    <n v="732.90000000000009"/>
    <n v="105"/>
    <n v="315"/>
    <n v="120"/>
    <n v="297.90000000000009"/>
    <n v="0.40646745804338935"/>
    <x v="0"/>
    <d v="2025-05-26T00:00:00"/>
    <n v="5"/>
    <x v="2"/>
    <n v="3"/>
    <n v="1"/>
  </r>
  <r>
    <s v="ORD-103088"/>
    <x v="502"/>
    <x v="1"/>
    <d v="2025-05-01T00:00:00"/>
    <n v="5"/>
    <s v="CUST-00447"/>
    <x v="0"/>
    <x v="3"/>
    <s v="OD"/>
    <x v="2"/>
    <s v="Bhubaneswar"/>
    <x v="0"/>
    <s v="P701"/>
    <s v="Ashwagandha Capsules"/>
    <x v="0"/>
    <n v="1"/>
    <n v="499"/>
    <n v="0.1"/>
    <n v="499"/>
    <n v="49.900000000000006"/>
    <n v="449.1"/>
    <n v="150"/>
    <n v="150"/>
    <n v="60"/>
    <n v="239.10000000000002"/>
    <n v="0.53239812959251842"/>
    <x v="0"/>
    <d v="2025-05-24T00:00:00"/>
    <n v="3"/>
    <x v="0"/>
    <n v="4"/>
    <n v="0"/>
  </r>
  <r>
    <s v="ORD-103089"/>
    <x v="503"/>
    <x v="1"/>
    <d v="2025-05-01T00:00:00"/>
    <n v="5"/>
    <s v="CUST-00627"/>
    <x v="1"/>
    <x v="0"/>
    <s v="RJ"/>
    <x v="0"/>
    <s v="Udaipur"/>
    <x v="3"/>
    <s v="P204"/>
    <s v="Anti-Dandruff Conditioner"/>
    <x v="6"/>
    <n v="2"/>
    <n v="399"/>
    <n v="0.3"/>
    <n v="798"/>
    <n v="239.39999999999998"/>
    <n v="558.6"/>
    <n v="136"/>
    <n v="272"/>
    <n v="120"/>
    <n v="166.60000000000002"/>
    <n v="0.29824561403508776"/>
    <x v="3"/>
    <d v="2025-05-26T00:00:00"/>
    <n v="4"/>
    <x v="0"/>
    <n v="4"/>
    <n v="1"/>
  </r>
  <r>
    <s v="ORD-103090"/>
    <x v="503"/>
    <x v="1"/>
    <d v="2025-05-01T00:00:00"/>
    <n v="5"/>
    <s v="CUST-00727"/>
    <x v="0"/>
    <x v="22"/>
    <s v="AS"/>
    <x v="2"/>
    <s v="Guwahati"/>
    <x v="3"/>
    <s v="P103"/>
    <s v="Niacinamide Toner"/>
    <x v="3"/>
    <n v="3"/>
    <n v="399"/>
    <n v="0.15"/>
    <n v="1197"/>
    <n v="179.54999999999998"/>
    <n v="1017.45"/>
    <n v="112"/>
    <n v="336"/>
    <n v="60"/>
    <n v="621.45000000000005"/>
    <n v="0.61079168509509063"/>
    <x v="1"/>
    <d v="2025-05-28T00:00:00"/>
    <n v="6"/>
    <x v="2"/>
    <n v="2"/>
    <n v="0"/>
  </r>
  <r>
    <s v="ORD-103091"/>
    <x v="503"/>
    <x v="1"/>
    <d v="2025-05-01T00:00:00"/>
    <n v="5"/>
    <s v="CUST-00488"/>
    <x v="1"/>
    <x v="1"/>
    <s v="GJ"/>
    <x v="1"/>
    <s v="Ahmedabad"/>
    <x v="3"/>
    <s v="P204"/>
    <s v="Anti-Dandruff Conditioner"/>
    <x v="6"/>
    <n v="2"/>
    <n v="399"/>
    <n v="0.35"/>
    <n v="798"/>
    <n v="279.29999999999995"/>
    <n v="518.70000000000005"/>
    <n v="136"/>
    <n v="272"/>
    <n v="60"/>
    <n v="186.70000000000005"/>
    <n v="0.35993830730672843"/>
    <x v="0"/>
    <d v="2025-05-26T00:00:00"/>
    <n v="4"/>
    <x v="0"/>
    <n v="5"/>
    <n v="0"/>
  </r>
  <r>
    <s v="ORD-103092"/>
    <x v="503"/>
    <x v="1"/>
    <d v="2025-05-01T00:00:00"/>
    <n v="5"/>
    <s v="CUST-00636"/>
    <x v="1"/>
    <x v="17"/>
    <s v="TN"/>
    <x v="3"/>
    <s v="Coimbatore"/>
    <x v="0"/>
    <s v="P701"/>
    <s v="Ashwagandha Capsules"/>
    <x v="0"/>
    <n v="1"/>
    <n v="499"/>
    <n v="0.05"/>
    <n v="499"/>
    <n v="24.950000000000003"/>
    <n v="474.05"/>
    <n v="150"/>
    <n v="150"/>
    <n v="60"/>
    <n v="264.05"/>
    <n v="0.55700875435080688"/>
    <x v="4"/>
    <d v="2025-05-25T00:00:00"/>
    <n v="3"/>
    <x v="0"/>
    <n v="4"/>
    <n v="0"/>
  </r>
  <r>
    <s v="ORD-103093"/>
    <x v="504"/>
    <x v="1"/>
    <d v="2025-05-01T00:00:00"/>
    <n v="5"/>
    <s v="CUST-00700"/>
    <x v="1"/>
    <x v="15"/>
    <s v="HR"/>
    <x v="0"/>
    <s v="Faridabad"/>
    <x v="3"/>
    <s v="P201"/>
    <s v="Onion Hair Oil"/>
    <x v="6"/>
    <n v="1"/>
    <n v="349"/>
    <n v="0.4"/>
    <n v="349"/>
    <n v="139.6"/>
    <n v="209.4"/>
    <n v="105"/>
    <n v="105"/>
    <n v="60"/>
    <n v="44.400000000000006"/>
    <n v="0.21203438395415475"/>
    <x v="0"/>
    <d v="2025-05-26T00:00:00"/>
    <n v="3"/>
    <x v="0"/>
    <n v="4"/>
    <n v="0"/>
  </r>
  <r>
    <s v="ORD-103094"/>
    <x v="504"/>
    <x v="1"/>
    <d v="2025-05-01T00:00:00"/>
    <n v="5"/>
    <s v="CUST-01180"/>
    <x v="1"/>
    <x v="13"/>
    <s v="MP"/>
    <x v="1"/>
    <s v="Indore"/>
    <x v="1"/>
    <s v="P302"/>
    <s v="Linen Kurta"/>
    <x v="1"/>
    <n v="1"/>
    <n v="1499"/>
    <n v="0.25"/>
    <n v="1499"/>
    <n v="374.75"/>
    <n v="1124.25"/>
    <n v="630"/>
    <n v="630"/>
    <n v="60"/>
    <n v="434.25"/>
    <n v="0.38625750500333556"/>
    <x v="1"/>
    <d v="2025-05-27T00:00:00"/>
    <n v="4"/>
    <x v="0"/>
    <n v="4"/>
    <n v="0"/>
  </r>
  <r>
    <s v="ORD-103095"/>
    <x v="504"/>
    <x v="1"/>
    <d v="2025-05-01T00:00:00"/>
    <n v="5"/>
    <s v="CUST-02297"/>
    <x v="1"/>
    <x v="21"/>
    <s v="TG"/>
    <x v="3"/>
    <s v="Hyderabad"/>
    <x v="2"/>
    <s v="P704"/>
    <s v="Multivitamin Gummies"/>
    <x v="0"/>
    <n v="1"/>
    <n v="699"/>
    <n v="0.1"/>
    <n v="699"/>
    <n v="69.900000000000006"/>
    <n v="629.1"/>
    <n v="238"/>
    <n v="238"/>
    <n v="60"/>
    <n v="331.1"/>
    <n v="0.52630742330313152"/>
    <x v="3"/>
    <d v="2025-05-25T00:00:00"/>
    <n v="2"/>
    <x v="1"/>
    <n v="5"/>
    <n v="0"/>
  </r>
  <r>
    <s v="ORD-103096"/>
    <x v="505"/>
    <x v="1"/>
    <d v="2025-05-01T00:00:00"/>
    <n v="5"/>
    <s v="CUST-02938"/>
    <x v="0"/>
    <x v="19"/>
    <s v="PB"/>
    <x v="0"/>
    <s v="Ludhiana"/>
    <x v="1"/>
    <s v="P303"/>
    <s v="Joggers"/>
    <x v="1"/>
    <n v="2"/>
    <n v="1199"/>
    <n v="0.2"/>
    <n v="2398"/>
    <n v="479.6"/>
    <n v="1918.4"/>
    <n v="492"/>
    <n v="984"/>
    <n v="60"/>
    <n v="874.40000000000009"/>
    <n v="0.45579649708090075"/>
    <x v="3"/>
    <d v="2025-05-26T00:00:00"/>
    <n v="2"/>
    <x v="1"/>
    <n v="5"/>
    <n v="0"/>
  </r>
  <r>
    <s v="ORD-103097"/>
    <x v="505"/>
    <x v="1"/>
    <d v="2025-05-01T00:00:00"/>
    <n v="5"/>
    <s v="CUST-00958"/>
    <x v="1"/>
    <x v="0"/>
    <s v="RJ"/>
    <x v="0"/>
    <s v="Udaipur"/>
    <x v="4"/>
    <s v="P504"/>
    <s v="Cotton Bedsheet"/>
    <x v="4"/>
    <n v="2"/>
    <n v="1299"/>
    <n v="0"/>
    <n v="2598"/>
    <n v="0"/>
    <n v="2598"/>
    <n v="585"/>
    <n v="1170"/>
    <n v="60"/>
    <n v="1368"/>
    <n v="0.52655889145496537"/>
    <x v="0"/>
    <d v="2025-05-28T00:00:00"/>
    <n v="4"/>
    <x v="0"/>
    <n v="4"/>
    <n v="0"/>
  </r>
  <r>
    <s v="ORD-103098"/>
    <x v="505"/>
    <x v="1"/>
    <d v="2025-05-01T00:00:00"/>
    <n v="5"/>
    <s v="CUST-01078"/>
    <x v="1"/>
    <x v="15"/>
    <s v="HR"/>
    <x v="0"/>
    <s v="Gurugram"/>
    <x v="0"/>
    <s v="P704"/>
    <s v="Multivitamin Gummies"/>
    <x v="0"/>
    <n v="1"/>
    <n v="699"/>
    <n v="0.25"/>
    <n v="699"/>
    <n v="174.75"/>
    <n v="524.25"/>
    <n v="238"/>
    <n v="238"/>
    <n v="120"/>
    <n v="166.25"/>
    <n v="0.31711969480209823"/>
    <x v="0"/>
    <d v="2025-05-26T00:00:00"/>
    <n v="2"/>
    <x v="1"/>
    <n v="5"/>
    <n v="1"/>
  </r>
  <r>
    <s v="ORD-103099"/>
    <x v="505"/>
    <x v="1"/>
    <d v="2025-05-01T00:00:00"/>
    <n v="5"/>
    <s v="CUST-00193"/>
    <x v="1"/>
    <x v="6"/>
    <s v="DL"/>
    <x v="0"/>
    <s v="New Delhi"/>
    <x v="4"/>
    <s v="P305"/>
    <s v="Printed Saree"/>
    <x v="1"/>
    <n v="2"/>
    <n v="1999"/>
    <n v="0"/>
    <n v="3998"/>
    <n v="0"/>
    <n v="3998"/>
    <n v="880"/>
    <n v="1760"/>
    <n v="60"/>
    <n v="2178"/>
    <n v="0.54477238619309654"/>
    <x v="4"/>
    <d v="2025-05-27T00:00:00"/>
    <n v="3"/>
    <x v="0"/>
    <m/>
    <n v="0"/>
  </r>
  <r>
    <s v="ORD-103100"/>
    <x v="505"/>
    <x v="1"/>
    <d v="2025-05-01T00:00:00"/>
    <n v="5"/>
    <s v="CUST-00434"/>
    <x v="1"/>
    <x v="12"/>
    <s v="BR"/>
    <x v="2"/>
    <s v="Patna"/>
    <x v="0"/>
    <s v="P601"/>
    <s v="Wireless Earbuds"/>
    <x v="2"/>
    <n v="2"/>
    <n v="1999"/>
    <n v="0.45"/>
    <n v="3998"/>
    <n v="1799.1000000000001"/>
    <n v="2198.8999999999996"/>
    <n v="1239"/>
    <n v="2478"/>
    <n v="60"/>
    <n v="-339.10000000000036"/>
    <n v="-0.15421347037154962"/>
    <x v="0"/>
    <d v="2025-05-29T00:00:00"/>
    <n v="5"/>
    <x v="2"/>
    <n v="5"/>
    <n v="0"/>
  </r>
  <r>
    <s v="ORD-103101"/>
    <x v="505"/>
    <x v="1"/>
    <d v="2025-05-01T00:00:00"/>
    <n v="5"/>
    <s v="CUST-02846"/>
    <x v="0"/>
    <x v="12"/>
    <s v="BR"/>
    <x v="2"/>
    <s v="Patna"/>
    <x v="3"/>
    <s v="P703"/>
    <s v="Green Tea (100 bags)"/>
    <x v="0"/>
    <n v="1"/>
    <n v="399"/>
    <n v="0.35"/>
    <n v="399"/>
    <n v="139.64999999999998"/>
    <n v="259.35000000000002"/>
    <n v="128"/>
    <n v="128"/>
    <n v="60"/>
    <n v="71.350000000000023"/>
    <n v="0.27511085405822255"/>
    <x v="0"/>
    <d v="2025-05-29T00:00:00"/>
    <n v="5"/>
    <x v="2"/>
    <n v="4"/>
    <n v="0"/>
  </r>
  <r>
    <s v="ORD-103102"/>
    <x v="505"/>
    <x v="1"/>
    <d v="2025-05-01T00:00:00"/>
    <n v="5"/>
    <s v="CUST-01610"/>
    <x v="0"/>
    <x v="2"/>
    <s v="MH"/>
    <x v="1"/>
    <s v="Nagpur"/>
    <x v="2"/>
    <s v="P104"/>
    <s v="Hydrating Face Wash"/>
    <x v="3"/>
    <n v="1"/>
    <n v="299"/>
    <n v="0"/>
    <n v="299"/>
    <n v="0"/>
    <n v="299"/>
    <n v="90"/>
    <n v="90"/>
    <n v="60"/>
    <n v="149"/>
    <n v="0.49832775919732442"/>
    <x v="0"/>
    <d v="2025-05-28T00:00:00"/>
    <n v="4"/>
    <x v="0"/>
    <m/>
    <n v="0"/>
  </r>
  <r>
    <s v="ORD-103103"/>
    <x v="505"/>
    <x v="1"/>
    <d v="2025-05-01T00:00:00"/>
    <n v="5"/>
    <s v="CUST-01072"/>
    <x v="1"/>
    <x v="2"/>
    <s v="MH"/>
    <x v="1"/>
    <s v="Nagpur"/>
    <x v="0"/>
    <s v="P303"/>
    <s v="Joggers"/>
    <x v="1"/>
    <n v="1"/>
    <n v="1199"/>
    <n v="0.2"/>
    <n v="1199"/>
    <n v="239.8"/>
    <n v="959.2"/>
    <n v="492"/>
    <n v="492"/>
    <n v="60"/>
    <n v="407.20000000000005"/>
    <n v="0.42452043369474562"/>
    <x v="3"/>
    <d v="2025-05-27T00:00:00"/>
    <n v="3"/>
    <x v="0"/>
    <n v="5"/>
    <n v="0"/>
  </r>
  <r>
    <s v="ORD-103104"/>
    <x v="505"/>
    <x v="1"/>
    <d v="2025-05-01T00:00:00"/>
    <n v="5"/>
    <s v="CUST-02632"/>
    <x v="1"/>
    <x v="17"/>
    <s v="TN"/>
    <x v="3"/>
    <s v="Coimbatore"/>
    <x v="4"/>
    <s v="P104"/>
    <s v="Hydrating Face Wash"/>
    <x v="3"/>
    <n v="1"/>
    <n v="299"/>
    <n v="0.1"/>
    <n v="299"/>
    <n v="29.900000000000002"/>
    <n v="269.10000000000002"/>
    <n v="90"/>
    <n v="90"/>
    <n v="60"/>
    <n v="119.10000000000002"/>
    <n v="0.4425863991081383"/>
    <x v="0"/>
    <d v="2025-05-25T00:00:00"/>
    <n v="1"/>
    <x v="1"/>
    <n v="4"/>
    <n v="0"/>
  </r>
  <r>
    <s v="ORD-103105"/>
    <x v="506"/>
    <x v="1"/>
    <d v="2025-05-01T00:00:00"/>
    <n v="5"/>
    <s v="CUST-00442"/>
    <x v="1"/>
    <x v="9"/>
    <s v="UK"/>
    <x v="0"/>
    <s v="Dehradun"/>
    <x v="0"/>
    <s v="P303"/>
    <s v="Joggers"/>
    <x v="1"/>
    <n v="1"/>
    <n v="1199"/>
    <n v="0.05"/>
    <n v="1199"/>
    <n v="59.95"/>
    <n v="1139.05"/>
    <n v="492"/>
    <n v="492"/>
    <n v="60"/>
    <n v="587.04999999999995"/>
    <n v="0.51538562837452262"/>
    <x v="0"/>
    <d v="2025-05-30T00:00:00"/>
    <n v="5"/>
    <x v="2"/>
    <n v="4"/>
    <n v="0"/>
  </r>
  <r>
    <s v="ORD-103106"/>
    <x v="506"/>
    <x v="1"/>
    <d v="2025-05-01T00:00:00"/>
    <n v="5"/>
    <s v="CUST-00087"/>
    <x v="0"/>
    <x v="6"/>
    <s v="DL"/>
    <x v="0"/>
    <s v="New Delhi"/>
    <x v="0"/>
    <s v="P604"/>
    <s v="Power Bank 20000mAh"/>
    <x v="2"/>
    <n v="2"/>
    <n v="1799"/>
    <n v="0.4"/>
    <n v="3598"/>
    <n v="1439.2"/>
    <n v="2158.8000000000002"/>
    <n v="1079"/>
    <n v="2158"/>
    <n v="120"/>
    <n v="-119.19999999999982"/>
    <n v="-5.5215860663331388E-2"/>
    <x v="0"/>
    <d v="2025-05-26T00:00:00"/>
    <n v="1"/>
    <x v="1"/>
    <n v="5"/>
    <n v="1"/>
  </r>
  <r>
    <s v="ORD-103107"/>
    <x v="506"/>
    <x v="1"/>
    <d v="2025-05-01T00:00:00"/>
    <n v="5"/>
    <s v="CUST-02120"/>
    <x v="1"/>
    <x v="6"/>
    <s v="DL"/>
    <x v="0"/>
    <s v="New Delhi"/>
    <x v="0"/>
    <s v="P703"/>
    <s v="Green Tea (100 bags)"/>
    <x v="0"/>
    <n v="1"/>
    <n v="399"/>
    <n v="0.45"/>
    <n v="399"/>
    <n v="179.55"/>
    <n v="219.45"/>
    <n v="128"/>
    <n v="128"/>
    <n v="60"/>
    <n v="31.449999999999989"/>
    <n v="0.14331282752335381"/>
    <x v="3"/>
    <d v="2025-05-27T00:00:00"/>
    <n v="2"/>
    <x v="1"/>
    <n v="5"/>
    <n v="0"/>
  </r>
  <r>
    <s v="ORD-103108"/>
    <x v="506"/>
    <x v="1"/>
    <d v="2025-05-01T00:00:00"/>
    <n v="5"/>
    <s v="CUST-00547"/>
    <x v="1"/>
    <x v="6"/>
    <s v="DL"/>
    <x v="0"/>
    <s v="New Delhi"/>
    <x v="3"/>
    <s v="P104"/>
    <s v="Hydrating Face Wash"/>
    <x v="3"/>
    <n v="4"/>
    <n v="299"/>
    <n v="0.05"/>
    <n v="1196"/>
    <n v="59.800000000000004"/>
    <n v="1136.2"/>
    <n v="90"/>
    <n v="360"/>
    <n v="60"/>
    <n v="716.2"/>
    <n v="0.6303467699348706"/>
    <x v="0"/>
    <d v="2025-05-26T00:00:00"/>
    <n v="1"/>
    <x v="1"/>
    <n v="5"/>
    <n v="0"/>
  </r>
  <r>
    <s v="ORD-103109"/>
    <x v="506"/>
    <x v="1"/>
    <d v="2025-05-01T00:00:00"/>
    <n v="5"/>
    <s v="CUST-01106"/>
    <x v="1"/>
    <x v="13"/>
    <s v="MP"/>
    <x v="1"/>
    <s v="Bhopal"/>
    <x v="1"/>
    <s v="P305"/>
    <s v="Printed Saree"/>
    <x v="1"/>
    <n v="1"/>
    <n v="1999"/>
    <n v="0.05"/>
    <n v="1999"/>
    <n v="99.95"/>
    <n v="1899.05"/>
    <n v="880"/>
    <n v="880"/>
    <n v="60"/>
    <n v="959.05"/>
    <n v="0.50501566572760059"/>
    <x v="0"/>
    <d v="2025-05-28T00:00:00"/>
    <n v="3"/>
    <x v="0"/>
    <m/>
    <n v="0"/>
  </r>
  <r>
    <s v="ORD-103110"/>
    <x v="506"/>
    <x v="1"/>
    <d v="2025-05-01T00:00:00"/>
    <n v="5"/>
    <s v="CUST-01440"/>
    <x v="1"/>
    <x v="3"/>
    <s v="OD"/>
    <x v="2"/>
    <s v="Bhubaneswar"/>
    <x v="0"/>
    <s v="P501"/>
    <s v="Copper Water Bottle"/>
    <x v="4"/>
    <n v="1"/>
    <n v="899"/>
    <n v="0.05"/>
    <n v="899"/>
    <n v="44.95"/>
    <n v="854.05"/>
    <n v="378"/>
    <n v="378"/>
    <n v="60"/>
    <n v="416.04999999999995"/>
    <n v="0.48714946431707745"/>
    <x v="0"/>
    <d v="2025-05-28T00:00:00"/>
    <n v="3"/>
    <x v="0"/>
    <n v="4"/>
    <n v="0"/>
  </r>
  <r>
    <s v="ORD-103111"/>
    <x v="506"/>
    <x v="1"/>
    <d v="2025-05-01T00:00:00"/>
    <n v="5"/>
    <s v="CUST-00747"/>
    <x v="1"/>
    <x v="11"/>
    <s v="KA"/>
    <x v="3"/>
    <s v="Mysuru"/>
    <x v="4"/>
    <s v="P202"/>
    <s v="Argan Shampoo"/>
    <x v="6"/>
    <n v="1"/>
    <n v="449"/>
    <n v="0.1"/>
    <n v="449"/>
    <n v="44.900000000000006"/>
    <n v="404.1"/>
    <n v="148"/>
    <n v="148"/>
    <n v="60"/>
    <n v="196.10000000000002"/>
    <n v="0.48527592180153428"/>
    <x v="4"/>
    <d v="2025-05-26T00:00:00"/>
    <n v="1"/>
    <x v="1"/>
    <n v="5"/>
    <n v="0"/>
  </r>
  <r>
    <s v="ORD-103112"/>
    <x v="506"/>
    <x v="1"/>
    <d v="2025-05-01T00:00:00"/>
    <n v="5"/>
    <s v="CUST-01011"/>
    <x v="1"/>
    <x v="17"/>
    <s v="TN"/>
    <x v="3"/>
    <s v="Coimbatore"/>
    <x v="3"/>
    <s v="P104"/>
    <s v="Hydrating Face Wash"/>
    <x v="3"/>
    <n v="1"/>
    <n v="299"/>
    <n v="0"/>
    <n v="299"/>
    <n v="0"/>
    <n v="299"/>
    <n v="90"/>
    <n v="90"/>
    <n v="60"/>
    <n v="149"/>
    <n v="0.49832775919732442"/>
    <x v="1"/>
    <d v="2025-05-26T00:00:00"/>
    <n v="1"/>
    <x v="1"/>
    <n v="4"/>
    <n v="0"/>
  </r>
  <r>
    <s v="ORD-103113"/>
    <x v="507"/>
    <x v="1"/>
    <d v="2025-05-01T00:00:00"/>
    <n v="5"/>
    <s v="CUST-00350"/>
    <x v="1"/>
    <x v="0"/>
    <s v="RJ"/>
    <x v="0"/>
    <s v="Udaipur"/>
    <x v="4"/>
    <s v="P603"/>
    <s v="Smartwatch Strap"/>
    <x v="2"/>
    <n v="2"/>
    <n v="499"/>
    <n v="0.05"/>
    <n v="998"/>
    <n v="49.900000000000006"/>
    <n v="948.1"/>
    <n v="200"/>
    <n v="400"/>
    <n v="60"/>
    <n v="488.1"/>
    <n v="0.51481911190802654"/>
    <x v="0"/>
    <d v="2025-05-29T00:00:00"/>
    <n v="3"/>
    <x v="0"/>
    <m/>
    <n v="0"/>
  </r>
  <r>
    <s v="ORD-103114"/>
    <x v="507"/>
    <x v="1"/>
    <d v="2025-05-01T00:00:00"/>
    <n v="5"/>
    <s v="CUST-00553"/>
    <x v="1"/>
    <x v="0"/>
    <s v="RJ"/>
    <x v="0"/>
    <s v="Udaipur"/>
    <x v="1"/>
    <s v="P303"/>
    <s v="Joggers"/>
    <x v="1"/>
    <n v="1"/>
    <n v="1199"/>
    <n v="0.15"/>
    <n v="1199"/>
    <n v="179.85"/>
    <n v="1019.15"/>
    <n v="492"/>
    <n v="492"/>
    <n v="60"/>
    <n v="467.15"/>
    <n v="0.45837217288917231"/>
    <x v="1"/>
    <d v="2025-05-29T00:00:00"/>
    <n v="3"/>
    <x v="0"/>
    <n v="2"/>
    <n v="0"/>
  </r>
  <r>
    <s v="ORD-103115"/>
    <x v="507"/>
    <x v="1"/>
    <d v="2025-05-01T00:00:00"/>
    <n v="5"/>
    <s v="CUST-02186"/>
    <x v="0"/>
    <x v="6"/>
    <s v="DL"/>
    <x v="0"/>
    <s v="New Delhi"/>
    <x v="1"/>
    <s v="P403"/>
    <s v="Kolhapuri Sandals"/>
    <x v="5"/>
    <n v="2"/>
    <n v="999"/>
    <n v="0"/>
    <n v="1998"/>
    <n v="0"/>
    <n v="1998"/>
    <n v="400"/>
    <n v="800"/>
    <n v="60"/>
    <n v="1138"/>
    <n v="0.56956956956956961"/>
    <x v="3"/>
    <d v="2025-05-28T00:00:00"/>
    <n v="2"/>
    <x v="1"/>
    <n v="4"/>
    <n v="0"/>
  </r>
  <r>
    <s v="ORD-103116"/>
    <x v="507"/>
    <x v="1"/>
    <d v="2025-05-01T00:00:00"/>
    <n v="5"/>
    <s v="CUST-01969"/>
    <x v="1"/>
    <x v="1"/>
    <s v="GJ"/>
    <x v="1"/>
    <s v="Surat"/>
    <x v="1"/>
    <s v="P401"/>
    <s v="Running Shoes"/>
    <x v="5"/>
    <n v="1"/>
    <n v="2999"/>
    <n v="0.15"/>
    <n v="2999"/>
    <n v="449.84999999999997"/>
    <n v="2549.15"/>
    <n v="1440"/>
    <n v="1440"/>
    <n v="120"/>
    <n v="989.15000000000009"/>
    <n v="0.3880313045524979"/>
    <x v="0"/>
    <d v="2025-05-31T00:00:00"/>
    <n v="5"/>
    <x v="2"/>
    <n v="4"/>
    <n v="1"/>
  </r>
  <r>
    <s v="ORD-103117"/>
    <x v="507"/>
    <x v="1"/>
    <d v="2025-05-01T00:00:00"/>
    <n v="5"/>
    <s v="CUST-01205"/>
    <x v="0"/>
    <x v="3"/>
    <s v="OD"/>
    <x v="2"/>
    <s v="Bhubaneswar"/>
    <x v="1"/>
    <s v="P304"/>
    <s v="Denim Jacket"/>
    <x v="1"/>
    <n v="1"/>
    <n v="2499"/>
    <n v="0"/>
    <n v="2499"/>
    <n v="0"/>
    <n v="2499"/>
    <n v="1125"/>
    <n v="1125"/>
    <n v="60"/>
    <n v="1314"/>
    <n v="0.5258103241296519"/>
    <x v="0"/>
    <d v="2025-05-30T00:00:00"/>
    <n v="4"/>
    <x v="0"/>
    <m/>
    <n v="0"/>
  </r>
  <r>
    <s v="ORD-103118"/>
    <x v="507"/>
    <x v="1"/>
    <d v="2025-05-01T00:00:00"/>
    <n v="5"/>
    <s v="CUST-03107"/>
    <x v="1"/>
    <x v="11"/>
    <s v="KA"/>
    <x v="3"/>
    <s v="Mysuru"/>
    <x v="0"/>
    <s v="P603"/>
    <s v="Smartwatch Strap"/>
    <x v="2"/>
    <n v="1"/>
    <n v="499"/>
    <n v="0.15"/>
    <n v="499"/>
    <n v="74.849999999999994"/>
    <n v="424.15"/>
    <n v="200"/>
    <n v="200"/>
    <n v="60"/>
    <n v="164.14999999999998"/>
    <n v="0.38700931274313327"/>
    <x v="0"/>
    <d v="2025-05-29T00:00:00"/>
    <n v="3"/>
    <x v="0"/>
    <n v="4"/>
    <n v="0"/>
  </r>
  <r>
    <s v="ORD-103119"/>
    <x v="507"/>
    <x v="1"/>
    <d v="2025-05-01T00:00:00"/>
    <n v="5"/>
    <s v="CUST-00111"/>
    <x v="1"/>
    <x v="17"/>
    <s v="TN"/>
    <x v="3"/>
    <s v="Chennai"/>
    <x v="1"/>
    <s v="P404"/>
    <s v="Flip Flops"/>
    <x v="5"/>
    <n v="4"/>
    <n v="399"/>
    <n v="0.2"/>
    <n v="1596"/>
    <n v="319.20000000000005"/>
    <n v="1276.8"/>
    <n v="152"/>
    <n v="608"/>
    <n v="60"/>
    <n v="608.79999999999995"/>
    <n v="0.47681704260651625"/>
    <x v="3"/>
    <d v="2025-05-28T00:00:00"/>
    <n v="2"/>
    <x v="1"/>
    <n v="4"/>
    <n v="0"/>
  </r>
  <r>
    <s v="ORD-103120"/>
    <x v="508"/>
    <x v="1"/>
    <d v="2025-05-01T00:00:00"/>
    <n v="5"/>
    <s v="CUST-01668"/>
    <x v="0"/>
    <x v="16"/>
    <s v="UP"/>
    <x v="0"/>
    <s v="Lucknow"/>
    <x v="2"/>
    <s v="P501"/>
    <s v="Copper Water Bottle"/>
    <x v="4"/>
    <n v="1"/>
    <n v="899"/>
    <n v="0"/>
    <n v="899"/>
    <n v="0"/>
    <n v="899"/>
    <n v="378"/>
    <n v="378"/>
    <n v="60"/>
    <n v="461"/>
    <n v="0.51279199110122353"/>
    <x v="0"/>
    <d v="2025-05-31T00:00:00"/>
    <n v="4"/>
    <x v="0"/>
    <n v="4"/>
    <n v="0"/>
  </r>
  <r>
    <s v="ORD-103121"/>
    <x v="508"/>
    <x v="1"/>
    <d v="2025-05-01T00:00:00"/>
    <n v="5"/>
    <s v="CUST-00888"/>
    <x v="0"/>
    <x v="7"/>
    <s v="JH"/>
    <x v="2"/>
    <s v="Ranchi"/>
    <x v="2"/>
    <s v="P704"/>
    <s v="Multivitamin Gummies"/>
    <x v="0"/>
    <n v="1"/>
    <n v="699"/>
    <n v="0.15"/>
    <n v="699"/>
    <n v="104.85"/>
    <n v="594.15"/>
    <n v="238"/>
    <n v="238"/>
    <n v="60"/>
    <n v="296.14999999999998"/>
    <n v="0.49844315408566858"/>
    <x v="0"/>
    <d v="2025-06-01T00:00:00"/>
    <n v="5"/>
    <x v="2"/>
    <m/>
    <n v="0"/>
  </r>
  <r>
    <s v="ORD-103122"/>
    <x v="508"/>
    <x v="1"/>
    <d v="2025-05-01T00:00:00"/>
    <n v="5"/>
    <s v="CUST-01238"/>
    <x v="0"/>
    <x v="2"/>
    <s v="MH"/>
    <x v="1"/>
    <s v="Mumbai"/>
    <x v="0"/>
    <s v="P603"/>
    <s v="Smartwatch Strap"/>
    <x v="2"/>
    <n v="1"/>
    <n v="499"/>
    <n v="0.15"/>
    <n v="499"/>
    <n v="74.849999999999994"/>
    <n v="424.15"/>
    <n v="200"/>
    <n v="200"/>
    <n v="60"/>
    <n v="164.14999999999998"/>
    <n v="0.38700931274313327"/>
    <x v="3"/>
    <d v="2025-05-29T00:00:00"/>
    <n v="2"/>
    <x v="1"/>
    <n v="5"/>
    <n v="0"/>
  </r>
  <r>
    <s v="ORD-103123"/>
    <x v="508"/>
    <x v="1"/>
    <d v="2025-05-01T00:00:00"/>
    <n v="5"/>
    <s v="CUST-00617"/>
    <x v="1"/>
    <x v="11"/>
    <s v="KA"/>
    <x v="3"/>
    <s v="Mysuru"/>
    <x v="4"/>
    <s v="P104"/>
    <s v="Hydrating Face Wash"/>
    <x v="3"/>
    <n v="1"/>
    <n v="299"/>
    <n v="0.05"/>
    <n v="299"/>
    <n v="14.950000000000001"/>
    <n v="284.05"/>
    <n v="90"/>
    <n v="90"/>
    <n v="60"/>
    <n v="134.05000000000001"/>
    <n v="0.47192395704981521"/>
    <x v="0"/>
    <d v="2025-05-29T00:00:00"/>
    <n v="2"/>
    <x v="1"/>
    <n v="4"/>
    <n v="0"/>
  </r>
  <r>
    <s v="ORD-103124"/>
    <x v="509"/>
    <x v="1"/>
    <d v="2025-05-01T00:00:00"/>
    <n v="5"/>
    <s v="CUST-01275"/>
    <x v="0"/>
    <x v="0"/>
    <s v="RJ"/>
    <x v="0"/>
    <s v="Jaipur"/>
    <x v="3"/>
    <s v="P701"/>
    <s v="Ashwagandha Capsules"/>
    <x v="0"/>
    <n v="1"/>
    <n v="499"/>
    <n v="0.1"/>
    <n v="499"/>
    <n v="49.900000000000006"/>
    <n v="449.1"/>
    <n v="150"/>
    <n v="150"/>
    <n v="60"/>
    <n v="239.10000000000002"/>
    <n v="0.53239812959251842"/>
    <x v="2"/>
    <d v="2025-05-31T00:00:00"/>
    <n v="3"/>
    <x v="0"/>
    <m/>
    <n v="0"/>
  </r>
  <r>
    <s v="ORD-103125"/>
    <x v="509"/>
    <x v="1"/>
    <d v="2025-05-01T00:00:00"/>
    <n v="5"/>
    <s v="CUST-01306"/>
    <x v="0"/>
    <x v="11"/>
    <s v="KA"/>
    <x v="3"/>
    <s v="Mysuru"/>
    <x v="2"/>
    <s v="P504"/>
    <s v="Cotton Bedsheet"/>
    <x v="4"/>
    <n v="1"/>
    <n v="1299"/>
    <n v="0.05"/>
    <n v="1299"/>
    <n v="64.95"/>
    <n v="1234.05"/>
    <n v="585"/>
    <n v="585"/>
    <n v="60"/>
    <n v="589.04999999999995"/>
    <n v="0.47733074024553296"/>
    <x v="3"/>
    <d v="2025-05-29T00:00:00"/>
    <n v="1"/>
    <x v="1"/>
    <n v="5"/>
    <n v="0"/>
  </r>
  <r>
    <s v="ORD-103126"/>
    <x v="509"/>
    <x v="1"/>
    <d v="2025-05-01T00:00:00"/>
    <n v="5"/>
    <s v="CUST-00364"/>
    <x v="1"/>
    <x v="8"/>
    <s v="AP"/>
    <x v="3"/>
    <s v="Visakhapatnam"/>
    <x v="4"/>
    <s v="P102"/>
    <s v="Sunscreen SPF 50"/>
    <x v="3"/>
    <n v="1"/>
    <n v="449"/>
    <n v="0.05"/>
    <n v="449"/>
    <n v="22.450000000000003"/>
    <n v="426.55"/>
    <n v="144"/>
    <n v="144"/>
    <n v="60"/>
    <n v="222.55"/>
    <n v="0.52174422693705313"/>
    <x v="1"/>
    <d v="2025-05-30T00:00:00"/>
    <n v="2"/>
    <x v="1"/>
    <n v="5"/>
    <n v="0"/>
  </r>
  <r>
    <s v="ORD-103127"/>
    <x v="509"/>
    <x v="1"/>
    <d v="2025-05-01T00:00:00"/>
    <n v="5"/>
    <s v="CUST-02530"/>
    <x v="1"/>
    <x v="14"/>
    <s v="KL"/>
    <x v="3"/>
    <s v="Thiruvananthapuram"/>
    <x v="4"/>
    <s v="P602"/>
    <s v="Fast Charger 33W"/>
    <x v="2"/>
    <n v="1"/>
    <n v="899"/>
    <n v="0.1"/>
    <n v="899"/>
    <n v="89.9"/>
    <n v="809.1"/>
    <n v="494"/>
    <n v="494"/>
    <n v="60"/>
    <n v="255.10000000000002"/>
    <n v="0.31528859226300832"/>
    <x v="3"/>
    <d v="2025-06-01T00:00:00"/>
    <n v="4"/>
    <x v="0"/>
    <m/>
    <n v="0"/>
  </r>
  <r>
    <s v="ORD-103128"/>
    <x v="510"/>
    <x v="1"/>
    <d v="2025-05-01T00:00:00"/>
    <n v="5"/>
    <s v="CUST-00393"/>
    <x v="1"/>
    <x v="13"/>
    <s v="MP"/>
    <x v="1"/>
    <s v="Indore"/>
    <x v="1"/>
    <s v="P302"/>
    <s v="Linen Kurta"/>
    <x v="1"/>
    <n v="2"/>
    <n v="1499"/>
    <n v="0.3"/>
    <n v="2998"/>
    <n v="899.4"/>
    <n v="2098.6"/>
    <n v="630"/>
    <n v="1260"/>
    <n v="60"/>
    <n v="778.59999999999991"/>
    <n v="0.3710092442580768"/>
    <x v="0"/>
    <d v="2025-06-02T00:00:00"/>
    <n v="4"/>
    <x v="0"/>
    <n v="5"/>
    <n v="0"/>
  </r>
  <r>
    <s v="ORD-103129"/>
    <x v="510"/>
    <x v="1"/>
    <d v="2025-05-01T00:00:00"/>
    <n v="5"/>
    <s v="CUST-00700"/>
    <x v="1"/>
    <x v="7"/>
    <s v="JH"/>
    <x v="2"/>
    <s v="Ranchi"/>
    <x v="0"/>
    <s v="P203"/>
    <s v="Keratin Hair Mask"/>
    <x v="6"/>
    <n v="2"/>
    <n v="549"/>
    <n v="0.25"/>
    <n v="1098"/>
    <n v="274.5"/>
    <n v="823.5"/>
    <n v="170"/>
    <n v="340"/>
    <n v="60"/>
    <n v="423.5"/>
    <n v="0.51426836672738307"/>
    <x v="0"/>
    <d v="2025-06-02T00:00:00"/>
    <n v="4"/>
    <x v="0"/>
    <m/>
    <n v="0"/>
  </r>
  <r>
    <s v="ORD-103130"/>
    <x v="511"/>
    <x v="1"/>
    <d v="2025-05-01T00:00:00"/>
    <n v="5"/>
    <s v="CUST-00841"/>
    <x v="1"/>
    <x v="16"/>
    <s v="UP"/>
    <x v="0"/>
    <s v="Noida"/>
    <x v="0"/>
    <s v="P703"/>
    <s v="Green Tea (100 bags)"/>
    <x v="0"/>
    <n v="2"/>
    <n v="399"/>
    <n v="0.35"/>
    <n v="798"/>
    <n v="279.29999999999995"/>
    <n v="518.70000000000005"/>
    <n v="128"/>
    <n v="256"/>
    <n v="60"/>
    <n v="202.70000000000005"/>
    <n v="0.39078465394254874"/>
    <x v="1"/>
    <d v="2025-06-01T00:00:00"/>
    <n v="2"/>
    <x v="1"/>
    <n v="5"/>
    <n v="0"/>
  </r>
  <r>
    <s v="ORD-103131"/>
    <x v="511"/>
    <x v="1"/>
    <d v="2025-05-01T00:00:00"/>
    <n v="5"/>
    <s v="CUST-00184"/>
    <x v="0"/>
    <x v="12"/>
    <s v="BR"/>
    <x v="2"/>
    <s v="Patna"/>
    <x v="1"/>
    <s v="P403"/>
    <s v="Kolhapuri Sandals"/>
    <x v="5"/>
    <n v="1"/>
    <n v="999"/>
    <n v="0.05"/>
    <n v="999"/>
    <n v="49.95"/>
    <n v="949.05"/>
    <n v="400"/>
    <n v="400"/>
    <n v="60"/>
    <n v="489.04999999999995"/>
    <n v="0.5153047784626732"/>
    <x v="2"/>
    <d v="2025-06-02T00:00:00"/>
    <n v="3"/>
    <x v="0"/>
    <n v="5"/>
    <n v="0"/>
  </r>
  <r>
    <s v="ORD-103132"/>
    <x v="511"/>
    <x v="1"/>
    <d v="2025-05-01T00:00:00"/>
    <n v="5"/>
    <s v="CUST-01853"/>
    <x v="0"/>
    <x v="11"/>
    <s v="KA"/>
    <x v="3"/>
    <s v="Mysuru"/>
    <x v="1"/>
    <s v="P404"/>
    <s v="Flip Flops"/>
    <x v="5"/>
    <n v="1"/>
    <n v="399"/>
    <n v="0.2"/>
    <n v="399"/>
    <n v="79.800000000000011"/>
    <n v="319.2"/>
    <n v="152"/>
    <n v="152"/>
    <n v="60"/>
    <n v="107.19999999999999"/>
    <n v="0.33583959899749372"/>
    <x v="0"/>
    <d v="2025-05-31T00:00:00"/>
    <n v="1"/>
    <x v="1"/>
    <n v="4"/>
    <n v="0"/>
  </r>
  <r>
    <s v="ORD-103133"/>
    <x v="511"/>
    <x v="1"/>
    <d v="2025-05-01T00:00:00"/>
    <n v="5"/>
    <s v="CUST-00895"/>
    <x v="0"/>
    <x v="11"/>
    <s v="KA"/>
    <x v="3"/>
    <s v="Bengaluru"/>
    <x v="0"/>
    <s v="P403"/>
    <s v="Kolhapuri Sandals"/>
    <x v="5"/>
    <n v="1"/>
    <n v="999"/>
    <n v="0.05"/>
    <n v="999"/>
    <n v="49.95"/>
    <n v="949.05"/>
    <n v="400"/>
    <n v="400"/>
    <n v="60"/>
    <n v="489.04999999999995"/>
    <n v="0.5153047784626732"/>
    <x v="2"/>
    <d v="2025-06-01T00:00:00"/>
    <n v="2"/>
    <x v="1"/>
    <n v="4"/>
    <n v="0"/>
  </r>
  <r>
    <s v="ORD-103134"/>
    <x v="512"/>
    <x v="1"/>
    <d v="2025-05-01T00:00:00"/>
    <n v="5"/>
    <s v="CUST-00101"/>
    <x v="1"/>
    <x v="15"/>
    <s v="HR"/>
    <x v="0"/>
    <s v="Faridabad"/>
    <x v="0"/>
    <s v="P701"/>
    <s v="Ashwagandha Capsules"/>
    <x v="0"/>
    <n v="1"/>
    <n v="499"/>
    <n v="0.1"/>
    <n v="499"/>
    <n v="49.900000000000006"/>
    <n v="449.1"/>
    <n v="150"/>
    <n v="150"/>
    <n v="120"/>
    <n v="179.10000000000002"/>
    <n v="0.39879759519038077"/>
    <x v="3"/>
    <d v="2025-06-03T00:00:00"/>
    <n v="3"/>
    <x v="0"/>
    <n v="3"/>
    <n v="1"/>
  </r>
  <r>
    <s v="ORD-103135"/>
    <x v="512"/>
    <x v="1"/>
    <d v="2025-05-01T00:00:00"/>
    <n v="5"/>
    <s v="CUST-00081"/>
    <x v="1"/>
    <x v="13"/>
    <s v="MP"/>
    <x v="1"/>
    <s v="Indore"/>
    <x v="3"/>
    <s v="P202"/>
    <s v="Argan Shampoo"/>
    <x v="6"/>
    <n v="1"/>
    <n v="449"/>
    <n v="0"/>
    <n v="449"/>
    <n v="0"/>
    <n v="449"/>
    <n v="148"/>
    <n v="148"/>
    <n v="60"/>
    <n v="241"/>
    <n v="0.53674832962138086"/>
    <x v="0"/>
    <d v="2025-06-04T00:00:00"/>
    <n v="4"/>
    <x v="0"/>
    <n v="4"/>
    <n v="0"/>
  </r>
  <r>
    <s v="ORD-103136"/>
    <x v="512"/>
    <x v="1"/>
    <d v="2025-05-01T00:00:00"/>
    <n v="5"/>
    <s v="CUST-00274"/>
    <x v="0"/>
    <x v="10"/>
    <s v="CG"/>
    <x v="2"/>
    <s v="Raipur"/>
    <x v="3"/>
    <s v="P103"/>
    <s v="Niacinamide Toner"/>
    <x v="3"/>
    <n v="2"/>
    <n v="399"/>
    <n v="0.3"/>
    <n v="798"/>
    <n v="239.39999999999998"/>
    <n v="558.6"/>
    <n v="112"/>
    <n v="224"/>
    <n v="120"/>
    <n v="214.60000000000002"/>
    <n v="0.38417472252058721"/>
    <x v="0"/>
    <d v="2025-06-06T00:00:00"/>
    <n v="6"/>
    <x v="2"/>
    <m/>
    <n v="1"/>
  </r>
  <r>
    <s v="ORD-103137"/>
    <x v="513"/>
    <x v="1"/>
    <d v="2025-06-01T00:00:00"/>
    <n v="6"/>
    <s v="CUST-00361"/>
    <x v="1"/>
    <x v="6"/>
    <s v="DL"/>
    <x v="0"/>
    <s v="New Delhi"/>
    <x v="1"/>
    <s v="P305"/>
    <s v="Printed Saree"/>
    <x v="1"/>
    <n v="1"/>
    <n v="1999"/>
    <n v="0.05"/>
    <n v="1999"/>
    <n v="99.95"/>
    <n v="1899.05"/>
    <n v="880"/>
    <n v="880"/>
    <n v="60"/>
    <n v="959.05"/>
    <n v="0.50501566572760059"/>
    <x v="4"/>
    <d v="2025-06-04T00:00:00"/>
    <n v="3"/>
    <x v="0"/>
    <n v="4"/>
    <n v="0"/>
  </r>
  <r>
    <s v="ORD-103138"/>
    <x v="513"/>
    <x v="1"/>
    <d v="2025-06-01T00:00:00"/>
    <n v="6"/>
    <s v="CUST-00443"/>
    <x v="1"/>
    <x v="6"/>
    <s v="DL"/>
    <x v="0"/>
    <s v="New Delhi"/>
    <x v="0"/>
    <s v="P504"/>
    <s v="Cotton Bedsheet"/>
    <x v="4"/>
    <n v="2"/>
    <n v="1299"/>
    <n v="0.1"/>
    <n v="2598"/>
    <n v="259.8"/>
    <n v="2338.1999999999998"/>
    <n v="585"/>
    <n v="1170"/>
    <n v="60"/>
    <n v="1108.1999999999998"/>
    <n v="0.47395432383885033"/>
    <x v="0"/>
    <d v="2025-06-02T00:00:00"/>
    <n v="1"/>
    <x v="1"/>
    <n v="5"/>
    <n v="0"/>
  </r>
  <r>
    <s v="ORD-103139"/>
    <x v="513"/>
    <x v="1"/>
    <d v="2025-06-01T00:00:00"/>
    <n v="6"/>
    <s v="CUST-00460"/>
    <x v="1"/>
    <x v="1"/>
    <s v="GJ"/>
    <x v="1"/>
    <s v="Surat"/>
    <x v="0"/>
    <s v="P101"/>
    <s v="Vitamin C Face Serum"/>
    <x v="3"/>
    <n v="1"/>
    <n v="599"/>
    <n v="0.25"/>
    <n v="599"/>
    <n v="149.75"/>
    <n v="449.25"/>
    <n v="180"/>
    <n v="180"/>
    <n v="60"/>
    <n v="209.25"/>
    <n v="0.46577629382303842"/>
    <x v="0"/>
    <d v="2025-06-03T00:00:00"/>
    <n v="2"/>
    <x v="1"/>
    <n v="4"/>
    <n v="0"/>
  </r>
  <r>
    <s v="ORD-103140"/>
    <x v="513"/>
    <x v="1"/>
    <d v="2025-06-01T00:00:00"/>
    <n v="6"/>
    <s v="CUST-00417"/>
    <x v="0"/>
    <x v="1"/>
    <s v="GJ"/>
    <x v="1"/>
    <s v="Surat"/>
    <x v="4"/>
    <s v="P501"/>
    <s v="Copper Water Bottle"/>
    <x v="4"/>
    <n v="2"/>
    <n v="899"/>
    <n v="0"/>
    <n v="1798"/>
    <n v="0"/>
    <n v="1798"/>
    <n v="378"/>
    <n v="756"/>
    <n v="60"/>
    <n v="982"/>
    <n v="0.5461624026696329"/>
    <x v="0"/>
    <d v="2025-06-04T00:00:00"/>
    <n v="3"/>
    <x v="0"/>
    <n v="5"/>
    <n v="0"/>
  </r>
  <r>
    <s v="ORD-103141"/>
    <x v="513"/>
    <x v="1"/>
    <d v="2025-06-01T00:00:00"/>
    <n v="6"/>
    <s v="CUST-01943"/>
    <x v="0"/>
    <x v="21"/>
    <s v="TG"/>
    <x v="3"/>
    <s v="Hyderabad"/>
    <x v="0"/>
    <s v="P301"/>
    <s v="Cotton Oversized T-Shirt"/>
    <x v="1"/>
    <n v="1"/>
    <n v="799"/>
    <n v="0"/>
    <n v="799"/>
    <n v="0"/>
    <n v="799"/>
    <n v="320"/>
    <n v="320"/>
    <n v="60"/>
    <n v="419"/>
    <n v="0.52440550688360454"/>
    <x v="0"/>
    <d v="2025-06-05T00:00:00"/>
    <n v="4"/>
    <x v="0"/>
    <n v="5"/>
    <n v="0"/>
  </r>
  <r>
    <s v="ORD-103142"/>
    <x v="513"/>
    <x v="1"/>
    <d v="2025-06-01T00:00:00"/>
    <n v="6"/>
    <s v="CUST-00180"/>
    <x v="1"/>
    <x v="14"/>
    <s v="KL"/>
    <x v="3"/>
    <s v="Thiruvananthapuram"/>
    <x v="4"/>
    <s v="P703"/>
    <s v="Green Tea (100 bags)"/>
    <x v="0"/>
    <n v="3"/>
    <n v="399"/>
    <n v="0.35"/>
    <n v="1197"/>
    <n v="418.95"/>
    <n v="778.05"/>
    <n v="128"/>
    <n v="384"/>
    <n v="60"/>
    <n v="334.04999999999995"/>
    <n v="0.42934258723732405"/>
    <x v="0"/>
    <d v="2025-06-04T00:00:00"/>
    <n v="3"/>
    <x v="0"/>
    <n v="5"/>
    <n v="0"/>
  </r>
  <r>
    <s v="ORD-103143"/>
    <x v="514"/>
    <x v="1"/>
    <d v="2025-06-01T00:00:00"/>
    <n v="6"/>
    <s v="CUST-01743"/>
    <x v="1"/>
    <x v="5"/>
    <s v="HP"/>
    <x v="0"/>
    <s v="Shimla"/>
    <x v="1"/>
    <s v="P305"/>
    <s v="Printed Saree"/>
    <x v="1"/>
    <n v="2"/>
    <n v="1999"/>
    <n v="0.05"/>
    <n v="3998"/>
    <n v="199.9"/>
    <n v="3798.1"/>
    <n v="880"/>
    <n v="1760"/>
    <n v="60"/>
    <n v="1978.1"/>
    <n v="0.52081303809799639"/>
    <x v="0"/>
    <d v="2025-06-08T00:00:00"/>
    <n v="6"/>
    <x v="2"/>
    <m/>
    <n v="0"/>
  </r>
  <r>
    <s v="ORD-103144"/>
    <x v="514"/>
    <x v="1"/>
    <d v="2025-06-01T00:00:00"/>
    <n v="6"/>
    <s v="CUST-00834"/>
    <x v="1"/>
    <x v="9"/>
    <s v="UK"/>
    <x v="0"/>
    <s v="Dehradun"/>
    <x v="1"/>
    <s v="P302"/>
    <s v="Linen Kurta"/>
    <x v="1"/>
    <n v="1"/>
    <n v="1499"/>
    <n v="0.3"/>
    <n v="1499"/>
    <n v="449.7"/>
    <n v="1049.3"/>
    <n v="630"/>
    <n v="630"/>
    <n v="60"/>
    <n v="359.29999999999995"/>
    <n v="0.34241875536071664"/>
    <x v="3"/>
    <d v="2025-06-06T00:00:00"/>
    <n v="4"/>
    <x v="0"/>
    <m/>
    <n v="0"/>
  </r>
  <r>
    <s v="ORD-103145"/>
    <x v="514"/>
    <x v="1"/>
    <d v="2025-06-01T00:00:00"/>
    <n v="6"/>
    <s v="CUST-02920"/>
    <x v="0"/>
    <x v="0"/>
    <s v="RJ"/>
    <x v="0"/>
    <s v="Jaipur"/>
    <x v="4"/>
    <s v="P702"/>
    <s v="Whey Protein 1kg"/>
    <x v="0"/>
    <n v="3"/>
    <n v="2299"/>
    <n v="0.4"/>
    <n v="6897"/>
    <n v="2758.8"/>
    <n v="4138.2"/>
    <n v="1333"/>
    <n v="3999"/>
    <n v="60"/>
    <n v="79.199999999999818"/>
    <n v="1.9138755980861202E-2"/>
    <x v="0"/>
    <d v="2025-06-04T00:00:00"/>
    <n v="2"/>
    <x v="1"/>
    <n v="5"/>
    <n v="0"/>
  </r>
  <r>
    <s v="ORD-103146"/>
    <x v="514"/>
    <x v="1"/>
    <d v="2025-06-01T00:00:00"/>
    <n v="6"/>
    <s v="CUST-00455"/>
    <x v="1"/>
    <x v="2"/>
    <s v="MH"/>
    <x v="1"/>
    <s v="Nagpur"/>
    <x v="0"/>
    <s v="P101"/>
    <s v="Vitamin C Face Serum"/>
    <x v="3"/>
    <n v="1"/>
    <n v="599"/>
    <n v="0.15"/>
    <n v="599"/>
    <n v="89.85"/>
    <n v="509.15"/>
    <n v="180"/>
    <n v="180"/>
    <n v="60"/>
    <n v="269.14999999999998"/>
    <n v="0.52862614160856325"/>
    <x v="3"/>
    <d v="2025-06-05T00:00:00"/>
    <n v="3"/>
    <x v="0"/>
    <m/>
    <n v="0"/>
  </r>
  <r>
    <s v="ORD-103147"/>
    <x v="514"/>
    <x v="1"/>
    <d v="2025-06-01T00:00:00"/>
    <n v="6"/>
    <s v="CUST-01084"/>
    <x v="1"/>
    <x v="2"/>
    <s v="MH"/>
    <x v="1"/>
    <s v="Mumbai"/>
    <x v="0"/>
    <s v="P401"/>
    <s v="Running Shoes"/>
    <x v="5"/>
    <n v="3"/>
    <n v="2999"/>
    <n v="0.25"/>
    <n v="8997"/>
    <n v="2249.25"/>
    <n v="6747.75"/>
    <n v="1440"/>
    <n v="4320"/>
    <n v="120"/>
    <n v="2307.75"/>
    <n v="0.34200288985217292"/>
    <x v="0"/>
    <d v="2025-06-04T00:00:00"/>
    <n v="2"/>
    <x v="1"/>
    <m/>
    <n v="1"/>
  </r>
  <r>
    <s v="ORD-103148"/>
    <x v="514"/>
    <x v="1"/>
    <d v="2025-06-01T00:00:00"/>
    <n v="6"/>
    <s v="CUST-01831"/>
    <x v="0"/>
    <x v="21"/>
    <s v="TG"/>
    <x v="3"/>
    <s v="Hyderabad"/>
    <x v="1"/>
    <s v="P302"/>
    <s v="Linen Kurta"/>
    <x v="1"/>
    <n v="4"/>
    <n v="1499"/>
    <n v="0.3"/>
    <n v="5996"/>
    <n v="1798.8"/>
    <n v="4197.2"/>
    <n v="630"/>
    <n v="2520"/>
    <n v="60"/>
    <n v="1617.1999999999998"/>
    <n v="0.38530448870675688"/>
    <x v="0"/>
    <d v="2025-06-03T00:00:00"/>
    <n v="1"/>
    <x v="1"/>
    <n v="4"/>
    <n v="0"/>
  </r>
  <r>
    <s v="ORD-103149"/>
    <x v="514"/>
    <x v="1"/>
    <d v="2025-06-01T00:00:00"/>
    <n v="6"/>
    <s v="CUST-01535"/>
    <x v="0"/>
    <x v="20"/>
    <s v="GA"/>
    <x v="1"/>
    <s v="Panaji"/>
    <x v="4"/>
    <s v="P504"/>
    <s v="Cotton Bedsheet"/>
    <x v="4"/>
    <n v="1"/>
    <n v="1299"/>
    <n v="0"/>
    <n v="1299"/>
    <n v="0"/>
    <n v="1299"/>
    <n v="585"/>
    <n v="585"/>
    <n v="60"/>
    <n v="654"/>
    <n v="0.50346420323325636"/>
    <x v="3"/>
    <d v="2025-06-05T00:00:00"/>
    <n v="3"/>
    <x v="0"/>
    <n v="4"/>
    <n v="0"/>
  </r>
  <r>
    <s v="ORD-103150"/>
    <x v="514"/>
    <x v="1"/>
    <d v="2025-06-01T00:00:00"/>
    <n v="6"/>
    <s v="CUST-00790"/>
    <x v="1"/>
    <x v="14"/>
    <s v="KL"/>
    <x v="3"/>
    <s v="Kochi"/>
    <x v="4"/>
    <s v="P701"/>
    <s v="Ashwagandha Capsules"/>
    <x v="0"/>
    <n v="3"/>
    <n v="499"/>
    <n v="0.1"/>
    <n v="1497"/>
    <n v="149.70000000000002"/>
    <n v="1347.3"/>
    <n v="150"/>
    <n v="450"/>
    <n v="60"/>
    <n v="837.3"/>
    <n v="0.62146515252727674"/>
    <x v="0"/>
    <d v="2025-06-04T00:00:00"/>
    <n v="2"/>
    <x v="1"/>
    <n v="4"/>
    <n v="0"/>
  </r>
  <r>
    <s v="ORD-103151"/>
    <x v="514"/>
    <x v="1"/>
    <d v="2025-06-01T00:00:00"/>
    <n v="6"/>
    <s v="CUST-00560"/>
    <x v="1"/>
    <x v="14"/>
    <s v="KL"/>
    <x v="3"/>
    <s v="Thiruvananthapuram"/>
    <x v="2"/>
    <s v="P701"/>
    <s v="Ashwagandha Capsules"/>
    <x v="0"/>
    <n v="3"/>
    <n v="499"/>
    <n v="0.05"/>
    <n v="1497"/>
    <n v="74.850000000000009"/>
    <n v="1422.15"/>
    <n v="150"/>
    <n v="450"/>
    <n v="60"/>
    <n v="912.15000000000009"/>
    <n v="0.64138803923636745"/>
    <x v="0"/>
    <d v="2025-06-05T00:00:00"/>
    <n v="3"/>
    <x v="0"/>
    <n v="5"/>
    <n v="0"/>
  </r>
  <r>
    <s v="ORD-103152"/>
    <x v="515"/>
    <x v="1"/>
    <d v="2025-06-01T00:00:00"/>
    <n v="6"/>
    <s v="CUST-00856"/>
    <x v="1"/>
    <x v="12"/>
    <s v="BR"/>
    <x v="2"/>
    <s v="Patna"/>
    <x v="2"/>
    <s v="P704"/>
    <s v="Multivitamin Gummies"/>
    <x v="0"/>
    <n v="3"/>
    <n v="699"/>
    <n v="0.15"/>
    <n v="2097"/>
    <n v="314.55"/>
    <n v="1782.45"/>
    <n v="238"/>
    <n v="714"/>
    <n v="60"/>
    <n v="1008.45"/>
    <n v="0.56576622065135063"/>
    <x v="0"/>
    <d v="2025-06-07T00:00:00"/>
    <n v="4"/>
    <x v="0"/>
    <m/>
    <n v="0"/>
  </r>
  <r>
    <s v="ORD-103153"/>
    <x v="515"/>
    <x v="1"/>
    <d v="2025-06-01T00:00:00"/>
    <n v="6"/>
    <s v="CUST-00280"/>
    <x v="0"/>
    <x v="13"/>
    <s v="MP"/>
    <x v="1"/>
    <s v="Bhopal"/>
    <x v="1"/>
    <s v="P303"/>
    <s v="Joggers"/>
    <x v="1"/>
    <n v="1"/>
    <n v="1199"/>
    <n v="0.05"/>
    <n v="1199"/>
    <n v="59.95"/>
    <n v="1139.05"/>
    <n v="492"/>
    <n v="492"/>
    <n v="60"/>
    <n v="587.04999999999995"/>
    <n v="0.51538562837452262"/>
    <x v="4"/>
    <d v="2025-06-04T00:00:00"/>
    <n v="1"/>
    <x v="1"/>
    <n v="5"/>
    <n v="0"/>
  </r>
  <r>
    <s v="ORD-103154"/>
    <x v="515"/>
    <x v="1"/>
    <d v="2025-06-01T00:00:00"/>
    <n v="6"/>
    <s v="CUST-00001"/>
    <x v="1"/>
    <x v="13"/>
    <s v="MP"/>
    <x v="1"/>
    <s v="Bhopal"/>
    <x v="1"/>
    <s v="P303"/>
    <s v="Joggers"/>
    <x v="1"/>
    <n v="2"/>
    <n v="1199"/>
    <n v="0.1"/>
    <n v="2398"/>
    <n v="239.8"/>
    <n v="2158.1999999999998"/>
    <n v="492"/>
    <n v="984"/>
    <n v="60"/>
    <n v="1114.1999999999998"/>
    <n v="0.51626355296080062"/>
    <x v="0"/>
    <d v="2025-06-08T00:00:00"/>
    <n v="5"/>
    <x v="2"/>
    <n v="2"/>
    <n v="0"/>
  </r>
  <r>
    <s v="ORD-103155"/>
    <x v="515"/>
    <x v="1"/>
    <d v="2025-06-01T00:00:00"/>
    <n v="6"/>
    <s v="CUST-02874"/>
    <x v="0"/>
    <x v="8"/>
    <s v="AP"/>
    <x v="3"/>
    <s v="Vijayawada"/>
    <x v="0"/>
    <s v="P603"/>
    <s v="Smartwatch Strap"/>
    <x v="2"/>
    <n v="1"/>
    <n v="499"/>
    <n v="0.15"/>
    <n v="499"/>
    <n v="74.849999999999994"/>
    <n v="424.15"/>
    <n v="200"/>
    <n v="200"/>
    <n v="60"/>
    <n v="164.14999999999998"/>
    <n v="0.38700931274313327"/>
    <x v="0"/>
    <d v="2025-06-08T00:00:00"/>
    <n v="5"/>
    <x v="2"/>
    <n v="4"/>
    <n v="0"/>
  </r>
  <r>
    <s v="ORD-103156"/>
    <x v="516"/>
    <x v="1"/>
    <d v="2025-06-01T00:00:00"/>
    <n v="6"/>
    <s v="CUST-03014"/>
    <x v="1"/>
    <x v="0"/>
    <s v="RJ"/>
    <x v="0"/>
    <s v="Udaipur"/>
    <x v="3"/>
    <s v="P201"/>
    <s v="Onion Hair Oil"/>
    <x v="6"/>
    <n v="5"/>
    <n v="349"/>
    <n v="0.35"/>
    <n v="1745"/>
    <n v="610.75"/>
    <n v="1134.25"/>
    <n v="105"/>
    <n v="525"/>
    <n v="60"/>
    <n v="549.25"/>
    <n v="0.48424068767908307"/>
    <x v="2"/>
    <d v="2025-06-08T00:00:00"/>
    <n v="4"/>
    <x v="0"/>
    <n v="3"/>
    <n v="0"/>
  </r>
  <r>
    <s v="ORD-103157"/>
    <x v="516"/>
    <x v="1"/>
    <d v="2025-06-01T00:00:00"/>
    <n v="6"/>
    <s v="CUST-01204"/>
    <x v="0"/>
    <x v="0"/>
    <s v="RJ"/>
    <x v="0"/>
    <s v="Jaipur"/>
    <x v="1"/>
    <s v="P303"/>
    <s v="Joggers"/>
    <x v="1"/>
    <n v="1"/>
    <n v="1199"/>
    <n v="0.05"/>
    <n v="1199"/>
    <n v="59.95"/>
    <n v="1139.05"/>
    <n v="492"/>
    <n v="492"/>
    <n v="120"/>
    <n v="527.04999999999995"/>
    <n v="0.46271015319784026"/>
    <x v="0"/>
    <d v="2025-06-09T00:00:00"/>
    <n v="5"/>
    <x v="2"/>
    <n v="3"/>
    <n v="1"/>
  </r>
  <r>
    <s v="ORD-103158"/>
    <x v="516"/>
    <x v="1"/>
    <d v="2025-06-01T00:00:00"/>
    <n v="6"/>
    <s v="CUST-00257"/>
    <x v="1"/>
    <x v="15"/>
    <s v="HR"/>
    <x v="0"/>
    <s v="Gurugram"/>
    <x v="2"/>
    <s v="P402"/>
    <s v="Casual Sneakers"/>
    <x v="5"/>
    <n v="1"/>
    <n v="2199"/>
    <n v="0.2"/>
    <n v="2199"/>
    <n v="439.8"/>
    <n v="1759.2"/>
    <n v="1034"/>
    <n v="1034"/>
    <n v="60"/>
    <n v="665.2"/>
    <n v="0.37812642110050027"/>
    <x v="1"/>
    <d v="2025-06-06T00:00:00"/>
    <n v="2"/>
    <x v="1"/>
    <n v="4"/>
    <n v="0"/>
  </r>
  <r>
    <s v="ORD-103159"/>
    <x v="516"/>
    <x v="1"/>
    <d v="2025-06-01T00:00:00"/>
    <n v="6"/>
    <s v="CUST-01071"/>
    <x v="1"/>
    <x v="6"/>
    <s v="DL"/>
    <x v="0"/>
    <s v="New Delhi"/>
    <x v="4"/>
    <s v="P602"/>
    <s v="Fast Charger 33W"/>
    <x v="2"/>
    <n v="2"/>
    <n v="899"/>
    <n v="0.05"/>
    <n v="1798"/>
    <n v="89.9"/>
    <n v="1708.1"/>
    <n v="494"/>
    <n v="988"/>
    <n v="60"/>
    <n v="660.09999999999991"/>
    <n v="0.38645278379485976"/>
    <x v="1"/>
    <d v="2025-06-05T00:00:00"/>
    <n v="1"/>
    <x v="1"/>
    <n v="4"/>
    <n v="0"/>
  </r>
  <r>
    <s v="ORD-103160"/>
    <x v="516"/>
    <x v="1"/>
    <d v="2025-06-01T00:00:00"/>
    <n v="6"/>
    <s v="CUST-01915"/>
    <x v="0"/>
    <x v="6"/>
    <s v="DL"/>
    <x v="0"/>
    <s v="New Delhi"/>
    <x v="1"/>
    <s v="P304"/>
    <s v="Denim Jacket"/>
    <x v="1"/>
    <n v="1"/>
    <n v="2499"/>
    <n v="0"/>
    <n v="2499"/>
    <n v="0"/>
    <n v="2499"/>
    <n v="1125"/>
    <n v="1125"/>
    <n v="60"/>
    <n v="1314"/>
    <n v="0.5258103241296519"/>
    <x v="4"/>
    <d v="2025-06-07T00:00:00"/>
    <n v="3"/>
    <x v="0"/>
    <n v="4"/>
    <n v="0"/>
  </r>
  <r>
    <s v="ORD-103161"/>
    <x v="516"/>
    <x v="1"/>
    <d v="2025-06-01T00:00:00"/>
    <n v="6"/>
    <s v="CUST-01457"/>
    <x v="1"/>
    <x v="1"/>
    <s v="GJ"/>
    <x v="1"/>
    <s v="Ahmedabad"/>
    <x v="0"/>
    <s v="P704"/>
    <s v="Multivitamin Gummies"/>
    <x v="0"/>
    <n v="1"/>
    <n v="699"/>
    <n v="0.15"/>
    <n v="699"/>
    <n v="104.85"/>
    <n v="594.15"/>
    <n v="238"/>
    <n v="238"/>
    <n v="60"/>
    <n v="296.14999999999998"/>
    <n v="0.49844315408566858"/>
    <x v="3"/>
    <d v="2025-06-06T00:00:00"/>
    <n v="2"/>
    <x v="1"/>
    <m/>
    <n v="0"/>
  </r>
  <r>
    <s v="ORD-103162"/>
    <x v="516"/>
    <x v="1"/>
    <d v="2025-06-01T00:00:00"/>
    <n v="6"/>
    <s v="CUST-02387"/>
    <x v="1"/>
    <x v="21"/>
    <s v="TG"/>
    <x v="3"/>
    <s v="Hyderabad"/>
    <x v="2"/>
    <s v="P702"/>
    <s v="Whey Protein 1kg"/>
    <x v="0"/>
    <n v="1"/>
    <n v="2299"/>
    <n v="0.35"/>
    <n v="2299"/>
    <n v="804.65"/>
    <n v="1494.35"/>
    <n v="1333"/>
    <n v="1333"/>
    <n v="60"/>
    <n v="101.34999999999991"/>
    <n v="6.7822130023086902E-2"/>
    <x v="0"/>
    <d v="2025-06-08T00:00:00"/>
    <n v="4"/>
    <x v="0"/>
    <n v="3"/>
    <n v="0"/>
  </r>
  <r>
    <s v="ORD-103163"/>
    <x v="517"/>
    <x v="1"/>
    <d v="2025-06-01T00:00:00"/>
    <n v="6"/>
    <s v="CUST-00690"/>
    <x v="1"/>
    <x v="16"/>
    <s v="UP"/>
    <x v="0"/>
    <s v="Lucknow"/>
    <x v="2"/>
    <s v="P701"/>
    <s v="Ashwagandha Capsules"/>
    <x v="0"/>
    <n v="2"/>
    <n v="499"/>
    <n v="0"/>
    <n v="998"/>
    <n v="0"/>
    <n v="998"/>
    <n v="150"/>
    <n v="300"/>
    <n v="60"/>
    <n v="638"/>
    <n v="0.63927855711422843"/>
    <x v="1"/>
    <d v="2025-06-09T00:00:00"/>
    <n v="4"/>
    <x v="0"/>
    <n v="5"/>
    <n v="0"/>
  </r>
  <r>
    <s v="ORD-103164"/>
    <x v="517"/>
    <x v="1"/>
    <d v="2025-06-01T00:00:00"/>
    <n v="6"/>
    <s v="CUST-01505"/>
    <x v="0"/>
    <x v="22"/>
    <s v="AS"/>
    <x v="2"/>
    <s v="Guwahati"/>
    <x v="2"/>
    <s v="P204"/>
    <s v="Anti-Dandruff Conditioner"/>
    <x v="6"/>
    <n v="2"/>
    <n v="399"/>
    <n v="0.3"/>
    <n v="798"/>
    <n v="239.39999999999998"/>
    <n v="558.6"/>
    <n v="136"/>
    <n v="272"/>
    <n v="60"/>
    <n v="226.60000000000002"/>
    <n v="0.40565699964196206"/>
    <x v="0"/>
    <d v="2025-06-12T00:00:00"/>
    <n v="7"/>
    <x v="2"/>
    <m/>
    <n v="0"/>
  </r>
  <r>
    <s v="ORD-103165"/>
    <x v="517"/>
    <x v="1"/>
    <d v="2025-06-01T00:00:00"/>
    <n v="6"/>
    <s v="CUST-03021"/>
    <x v="1"/>
    <x v="18"/>
    <s v="WB"/>
    <x v="2"/>
    <s v="Kolkata"/>
    <x v="4"/>
    <s v="P301"/>
    <s v="Cotton Oversized T-Shirt"/>
    <x v="1"/>
    <n v="1"/>
    <n v="799"/>
    <n v="0.1"/>
    <n v="799"/>
    <n v="79.900000000000006"/>
    <n v="719.1"/>
    <n v="320"/>
    <n v="320"/>
    <n v="60"/>
    <n v="339.1"/>
    <n v="0.47156167431511614"/>
    <x v="3"/>
    <d v="2025-06-08T00:00:00"/>
    <n v="3"/>
    <x v="0"/>
    <n v="4"/>
    <n v="0"/>
  </r>
  <r>
    <s v="ORD-103166"/>
    <x v="517"/>
    <x v="1"/>
    <d v="2025-06-01T00:00:00"/>
    <n v="6"/>
    <s v="CUST-00696"/>
    <x v="0"/>
    <x v="2"/>
    <s v="MH"/>
    <x v="1"/>
    <s v="Mumbai"/>
    <x v="4"/>
    <s v="P701"/>
    <s v="Ashwagandha Capsules"/>
    <x v="0"/>
    <n v="1"/>
    <n v="499"/>
    <n v="0"/>
    <n v="499"/>
    <n v="0"/>
    <n v="499"/>
    <n v="150"/>
    <n v="150"/>
    <n v="60"/>
    <n v="289"/>
    <n v="0.57915831663326656"/>
    <x v="3"/>
    <d v="2025-06-07T00:00:00"/>
    <n v="2"/>
    <x v="1"/>
    <n v="5"/>
    <n v="0"/>
  </r>
  <r>
    <s v="ORD-103167"/>
    <x v="517"/>
    <x v="1"/>
    <d v="2025-06-01T00:00:00"/>
    <n v="6"/>
    <s v="CUST-00267"/>
    <x v="1"/>
    <x v="2"/>
    <s v="MH"/>
    <x v="1"/>
    <s v="Nagpur"/>
    <x v="1"/>
    <s v="P301"/>
    <s v="Cotton Oversized T-Shirt"/>
    <x v="1"/>
    <n v="1"/>
    <n v="799"/>
    <n v="0"/>
    <n v="799"/>
    <n v="0"/>
    <n v="799"/>
    <n v="320"/>
    <n v="320"/>
    <n v="120"/>
    <n v="359"/>
    <n v="0.44931163954943681"/>
    <x v="1"/>
    <d v="2025-06-06T00:00:00"/>
    <n v="1"/>
    <x v="1"/>
    <n v="4"/>
    <n v="1"/>
  </r>
  <r>
    <s v="ORD-103168"/>
    <x v="517"/>
    <x v="1"/>
    <d v="2025-06-01T00:00:00"/>
    <n v="6"/>
    <s v="CUST-01224"/>
    <x v="0"/>
    <x v="11"/>
    <s v="KA"/>
    <x v="3"/>
    <s v="Bengaluru"/>
    <x v="2"/>
    <s v="P501"/>
    <s v="Copper Water Bottle"/>
    <x v="4"/>
    <n v="1"/>
    <n v="899"/>
    <n v="0"/>
    <n v="899"/>
    <n v="0"/>
    <n v="899"/>
    <n v="378"/>
    <n v="378"/>
    <n v="60"/>
    <n v="461"/>
    <n v="0.51279199110122353"/>
    <x v="1"/>
    <d v="2025-06-06T00:00:00"/>
    <n v="1"/>
    <x v="1"/>
    <m/>
    <n v="0"/>
  </r>
  <r>
    <s v="ORD-103169"/>
    <x v="518"/>
    <x v="1"/>
    <d v="2025-06-01T00:00:00"/>
    <n v="6"/>
    <s v="CUST-01478"/>
    <x v="1"/>
    <x v="0"/>
    <s v="RJ"/>
    <x v="0"/>
    <s v="Udaipur"/>
    <x v="0"/>
    <s v="P704"/>
    <s v="Multivitamin Gummies"/>
    <x v="0"/>
    <n v="1"/>
    <n v="699"/>
    <n v="0.2"/>
    <n v="699"/>
    <n v="139.80000000000001"/>
    <n v="559.20000000000005"/>
    <n v="238"/>
    <n v="238"/>
    <n v="60"/>
    <n v="261.20000000000005"/>
    <n v="0.46709585121602293"/>
    <x v="0"/>
    <d v="2025-06-10T00:00:00"/>
    <n v="4"/>
    <x v="0"/>
    <n v="3"/>
    <n v="0"/>
  </r>
  <r>
    <s v="ORD-103170"/>
    <x v="518"/>
    <x v="1"/>
    <d v="2025-06-01T00:00:00"/>
    <n v="6"/>
    <s v="CUST-00970"/>
    <x v="1"/>
    <x v="16"/>
    <s v="UP"/>
    <x v="0"/>
    <s v="Kanpur"/>
    <x v="2"/>
    <s v="P202"/>
    <s v="Argan Shampoo"/>
    <x v="6"/>
    <n v="2"/>
    <n v="449"/>
    <n v="0.05"/>
    <n v="898"/>
    <n v="44.900000000000006"/>
    <n v="853.1"/>
    <n v="148"/>
    <n v="296"/>
    <n v="60"/>
    <n v="497.1"/>
    <n v="0.58269839409213453"/>
    <x v="0"/>
    <d v="2025-06-10T00:00:00"/>
    <n v="4"/>
    <x v="0"/>
    <m/>
    <n v="0"/>
  </r>
  <r>
    <s v="ORD-103171"/>
    <x v="518"/>
    <x v="1"/>
    <d v="2025-06-01T00:00:00"/>
    <n v="6"/>
    <s v="CUST-00759"/>
    <x v="0"/>
    <x v="16"/>
    <s v="UP"/>
    <x v="0"/>
    <s v="Lucknow"/>
    <x v="0"/>
    <s v="P404"/>
    <s v="Flip Flops"/>
    <x v="5"/>
    <n v="2"/>
    <n v="399"/>
    <n v="0.2"/>
    <n v="798"/>
    <n v="159.60000000000002"/>
    <n v="638.4"/>
    <n v="152"/>
    <n v="304"/>
    <n v="60"/>
    <n v="274.39999999999998"/>
    <n v="0.42982456140350878"/>
    <x v="3"/>
    <d v="2025-06-09T00:00:00"/>
    <n v="3"/>
    <x v="0"/>
    <n v="3"/>
    <n v="0"/>
  </r>
  <r>
    <s v="ORD-103172"/>
    <x v="518"/>
    <x v="1"/>
    <d v="2025-06-01T00:00:00"/>
    <n v="6"/>
    <s v="CUST-02347"/>
    <x v="0"/>
    <x v="1"/>
    <s v="GJ"/>
    <x v="1"/>
    <s v="Surat"/>
    <x v="1"/>
    <s v="P303"/>
    <s v="Joggers"/>
    <x v="1"/>
    <n v="2"/>
    <n v="1199"/>
    <n v="0.2"/>
    <n v="2398"/>
    <n v="479.6"/>
    <n v="1918.4"/>
    <n v="492"/>
    <n v="984"/>
    <n v="60"/>
    <n v="874.40000000000009"/>
    <n v="0.45579649708090075"/>
    <x v="1"/>
    <d v="2025-06-08T00:00:00"/>
    <n v="2"/>
    <x v="1"/>
    <m/>
    <n v="0"/>
  </r>
  <r>
    <s v="ORD-103173"/>
    <x v="518"/>
    <x v="1"/>
    <d v="2025-06-01T00:00:00"/>
    <n v="6"/>
    <s v="CUST-00745"/>
    <x v="1"/>
    <x v="2"/>
    <s v="MH"/>
    <x v="1"/>
    <s v="Nagpur"/>
    <x v="4"/>
    <s v="P301"/>
    <s v="Cotton Oversized T-Shirt"/>
    <x v="1"/>
    <n v="1"/>
    <n v="799"/>
    <n v="0"/>
    <n v="799"/>
    <n v="0"/>
    <n v="799"/>
    <n v="320"/>
    <n v="320"/>
    <n v="60"/>
    <n v="419"/>
    <n v="0.52440550688360454"/>
    <x v="2"/>
    <d v="2025-06-10T00:00:00"/>
    <n v="4"/>
    <x v="0"/>
    <n v="4"/>
    <n v="0"/>
  </r>
  <r>
    <s v="ORD-103174"/>
    <x v="518"/>
    <x v="1"/>
    <d v="2025-06-01T00:00:00"/>
    <n v="6"/>
    <s v="CUST-00103"/>
    <x v="1"/>
    <x v="11"/>
    <s v="KA"/>
    <x v="3"/>
    <s v="Bengaluru"/>
    <x v="4"/>
    <s v="P203"/>
    <s v="Keratin Hair Mask"/>
    <x v="6"/>
    <n v="1"/>
    <n v="549"/>
    <n v="0.15"/>
    <n v="549"/>
    <n v="82.35"/>
    <n v="466.65"/>
    <n v="170"/>
    <n v="170"/>
    <n v="60"/>
    <n v="236.64999999999998"/>
    <n v="0.50712525447337398"/>
    <x v="2"/>
    <d v="2025-06-08T00:00:00"/>
    <n v="2"/>
    <x v="1"/>
    <m/>
    <n v="0"/>
  </r>
  <r>
    <s v="ORD-103175"/>
    <x v="518"/>
    <x v="1"/>
    <d v="2025-06-01T00:00:00"/>
    <n v="6"/>
    <s v="CUST-02886"/>
    <x v="1"/>
    <x v="14"/>
    <s v="KL"/>
    <x v="3"/>
    <s v="Thiruvananthapuram"/>
    <x v="2"/>
    <s v="P704"/>
    <s v="Multivitamin Gummies"/>
    <x v="0"/>
    <n v="3"/>
    <n v="699"/>
    <n v="0.15"/>
    <n v="2097"/>
    <n v="314.55"/>
    <n v="1782.45"/>
    <n v="238"/>
    <n v="714"/>
    <n v="60"/>
    <n v="1008.45"/>
    <n v="0.56576622065135063"/>
    <x v="0"/>
    <d v="2025-06-12T00:00:00"/>
    <n v="6"/>
    <x v="2"/>
    <m/>
    <n v="0"/>
  </r>
  <r>
    <s v="ORD-103176"/>
    <x v="518"/>
    <x v="1"/>
    <d v="2025-06-01T00:00:00"/>
    <n v="6"/>
    <s v="CUST-00703"/>
    <x v="1"/>
    <x v="14"/>
    <s v="KL"/>
    <x v="3"/>
    <s v="Kochi"/>
    <x v="4"/>
    <s v="P202"/>
    <s v="Argan Shampoo"/>
    <x v="6"/>
    <n v="2"/>
    <n v="449"/>
    <n v="0.15"/>
    <n v="898"/>
    <n v="134.69999999999999"/>
    <n v="763.3"/>
    <n v="148"/>
    <n v="296"/>
    <n v="60"/>
    <n v="407.29999999999995"/>
    <n v="0.53360408751473865"/>
    <x v="0"/>
    <d v="2025-06-09T00:00:00"/>
    <n v="3"/>
    <x v="0"/>
    <n v="3"/>
    <n v="0"/>
  </r>
  <r>
    <s v="ORD-103177"/>
    <x v="518"/>
    <x v="1"/>
    <d v="2025-06-01T00:00:00"/>
    <n v="6"/>
    <s v="CUST-00228"/>
    <x v="1"/>
    <x v="17"/>
    <s v="TN"/>
    <x v="3"/>
    <s v="Chennai"/>
    <x v="4"/>
    <s v="P704"/>
    <s v="Multivitamin Gummies"/>
    <x v="0"/>
    <n v="2"/>
    <n v="699"/>
    <n v="0.25"/>
    <n v="1398"/>
    <n v="349.5"/>
    <n v="1048.5"/>
    <n v="238"/>
    <n v="476"/>
    <n v="60"/>
    <n v="512.5"/>
    <n v="0.48879351454458753"/>
    <x v="3"/>
    <d v="2025-06-07T00:00:00"/>
    <n v="1"/>
    <x v="1"/>
    <n v="4"/>
    <n v="0"/>
  </r>
  <r>
    <s v="ORD-103178"/>
    <x v="519"/>
    <x v="1"/>
    <d v="2025-06-01T00:00:00"/>
    <n v="6"/>
    <s v="CUST-00667"/>
    <x v="1"/>
    <x v="0"/>
    <s v="RJ"/>
    <x v="0"/>
    <s v="Jaipur"/>
    <x v="4"/>
    <s v="P701"/>
    <s v="Ashwagandha Capsules"/>
    <x v="0"/>
    <n v="1"/>
    <n v="499"/>
    <n v="0"/>
    <n v="499"/>
    <n v="0"/>
    <n v="499"/>
    <n v="150"/>
    <n v="150"/>
    <n v="60"/>
    <n v="289"/>
    <n v="0.57915831663326656"/>
    <x v="3"/>
    <d v="2025-06-11T00:00:00"/>
    <n v="4"/>
    <x v="0"/>
    <n v="5"/>
    <n v="0"/>
  </r>
  <r>
    <s v="ORD-103179"/>
    <x v="519"/>
    <x v="1"/>
    <d v="2025-06-01T00:00:00"/>
    <n v="6"/>
    <s v="CUST-00436"/>
    <x v="1"/>
    <x v="16"/>
    <s v="UP"/>
    <x v="0"/>
    <s v="Noida"/>
    <x v="1"/>
    <s v="P401"/>
    <s v="Running Shoes"/>
    <x v="5"/>
    <n v="1"/>
    <n v="2999"/>
    <n v="0.15"/>
    <n v="2999"/>
    <n v="449.84999999999997"/>
    <n v="2549.15"/>
    <n v="1440"/>
    <n v="1440"/>
    <n v="60"/>
    <n v="1049.1500000000001"/>
    <n v="0.41156856206970954"/>
    <x v="4"/>
    <d v="2025-06-11T00:00:00"/>
    <n v="4"/>
    <x v="0"/>
    <n v="4"/>
    <n v="0"/>
  </r>
  <r>
    <s v="ORD-103180"/>
    <x v="519"/>
    <x v="1"/>
    <d v="2025-06-01T00:00:00"/>
    <n v="6"/>
    <s v="CUST-00358"/>
    <x v="1"/>
    <x v="16"/>
    <s v="UP"/>
    <x v="0"/>
    <s v="Noida"/>
    <x v="0"/>
    <s v="P203"/>
    <s v="Keratin Hair Mask"/>
    <x v="6"/>
    <n v="1"/>
    <n v="549"/>
    <n v="0.15"/>
    <n v="549"/>
    <n v="82.35"/>
    <n v="466.65"/>
    <n v="170"/>
    <n v="170"/>
    <n v="60"/>
    <n v="236.64999999999998"/>
    <n v="0.50712525447337398"/>
    <x v="0"/>
    <d v="2025-06-13T00:00:00"/>
    <n v="6"/>
    <x v="2"/>
    <m/>
    <n v="0"/>
  </r>
  <r>
    <s v="ORD-103181"/>
    <x v="519"/>
    <x v="1"/>
    <d v="2025-06-01T00:00:00"/>
    <n v="6"/>
    <s v="CUST-01917"/>
    <x v="1"/>
    <x v="1"/>
    <s v="GJ"/>
    <x v="1"/>
    <s v="Surat"/>
    <x v="1"/>
    <s v="P305"/>
    <s v="Printed Saree"/>
    <x v="1"/>
    <n v="1"/>
    <n v="1999"/>
    <n v="0.1"/>
    <n v="1999"/>
    <n v="199.9"/>
    <n v="1799.1"/>
    <n v="880"/>
    <n v="880"/>
    <n v="60"/>
    <n v="859.09999999999991"/>
    <n v="0.47751653604580063"/>
    <x v="0"/>
    <d v="2025-06-11T00:00:00"/>
    <n v="4"/>
    <x v="0"/>
    <n v="3"/>
    <n v="0"/>
  </r>
  <r>
    <s v="ORD-103182"/>
    <x v="519"/>
    <x v="1"/>
    <d v="2025-06-01T00:00:00"/>
    <n v="6"/>
    <s v="CUST-00078"/>
    <x v="1"/>
    <x v="2"/>
    <s v="MH"/>
    <x v="1"/>
    <s v="Nagpur"/>
    <x v="2"/>
    <s v="P404"/>
    <s v="Flip Flops"/>
    <x v="5"/>
    <n v="2"/>
    <n v="399"/>
    <n v="0.05"/>
    <n v="798"/>
    <n v="39.900000000000006"/>
    <n v="758.1"/>
    <n v="152"/>
    <n v="304"/>
    <n v="60"/>
    <n v="394.1"/>
    <n v="0.51985226223453374"/>
    <x v="0"/>
    <d v="2025-06-09T00:00:00"/>
    <n v="2"/>
    <x v="1"/>
    <n v="4"/>
    <n v="0"/>
  </r>
  <r>
    <s v="ORD-103183"/>
    <x v="519"/>
    <x v="1"/>
    <d v="2025-06-01T00:00:00"/>
    <n v="6"/>
    <s v="CUST-01472"/>
    <x v="0"/>
    <x v="11"/>
    <s v="KA"/>
    <x v="3"/>
    <s v="Mysuru"/>
    <x v="4"/>
    <s v="P603"/>
    <s v="Smartwatch Strap"/>
    <x v="2"/>
    <n v="2"/>
    <n v="499"/>
    <n v="0.1"/>
    <n v="998"/>
    <n v="99.800000000000011"/>
    <n v="898.2"/>
    <n v="200"/>
    <n v="400"/>
    <n v="60"/>
    <n v="438.20000000000005"/>
    <n v="0.4878646181251392"/>
    <x v="0"/>
    <d v="2025-06-09T00:00:00"/>
    <n v="2"/>
    <x v="1"/>
    <m/>
    <n v="0"/>
  </r>
  <r>
    <s v="ORD-103184"/>
    <x v="520"/>
    <x v="1"/>
    <d v="2025-06-01T00:00:00"/>
    <n v="6"/>
    <s v="CUST-00417"/>
    <x v="1"/>
    <x v="9"/>
    <s v="UK"/>
    <x v="0"/>
    <s v="Dehradun"/>
    <x v="1"/>
    <s v="P303"/>
    <s v="Joggers"/>
    <x v="1"/>
    <n v="2"/>
    <n v="1199"/>
    <n v="0.1"/>
    <n v="2398"/>
    <n v="239.8"/>
    <n v="2158.1999999999998"/>
    <n v="492"/>
    <n v="984"/>
    <n v="60"/>
    <n v="1114.1999999999998"/>
    <n v="0.51626355296080062"/>
    <x v="3"/>
    <d v="2025-06-12T00:00:00"/>
    <n v="4"/>
    <x v="0"/>
    <m/>
    <n v="0"/>
  </r>
  <r>
    <s v="ORD-103185"/>
    <x v="520"/>
    <x v="1"/>
    <d v="2025-06-01T00:00:00"/>
    <n v="6"/>
    <s v="CUST-00432"/>
    <x v="1"/>
    <x v="6"/>
    <s v="DL"/>
    <x v="0"/>
    <s v="New Delhi"/>
    <x v="1"/>
    <s v="P302"/>
    <s v="Linen Kurta"/>
    <x v="1"/>
    <n v="4"/>
    <n v="1499"/>
    <n v="0.25"/>
    <n v="5996"/>
    <n v="1499"/>
    <n v="4497"/>
    <n v="630"/>
    <n v="2520"/>
    <n v="60"/>
    <n v="1917"/>
    <n v="0.42628418945963975"/>
    <x v="3"/>
    <d v="2025-06-09T00:00:00"/>
    <n v="1"/>
    <x v="1"/>
    <n v="4"/>
    <n v="0"/>
  </r>
  <r>
    <s v="ORD-103186"/>
    <x v="520"/>
    <x v="1"/>
    <d v="2025-06-01T00:00:00"/>
    <n v="6"/>
    <s v="CUST-03118"/>
    <x v="0"/>
    <x v="6"/>
    <s v="DL"/>
    <x v="0"/>
    <s v="New Delhi"/>
    <x v="4"/>
    <s v="P201"/>
    <s v="Onion Hair Oil"/>
    <x v="6"/>
    <n v="1"/>
    <n v="349"/>
    <n v="0.4"/>
    <n v="349"/>
    <n v="139.6"/>
    <n v="209.4"/>
    <n v="105"/>
    <n v="105"/>
    <n v="60"/>
    <n v="44.400000000000006"/>
    <n v="0.21203438395415475"/>
    <x v="0"/>
    <d v="2025-06-09T00:00:00"/>
    <n v="1"/>
    <x v="1"/>
    <n v="4"/>
    <n v="0"/>
  </r>
  <r>
    <s v="ORD-103187"/>
    <x v="520"/>
    <x v="1"/>
    <d v="2025-06-01T00:00:00"/>
    <n v="6"/>
    <s v="CUST-00919"/>
    <x v="0"/>
    <x v="12"/>
    <s v="BR"/>
    <x v="2"/>
    <s v="Patna"/>
    <x v="4"/>
    <s v="P601"/>
    <s v="Wireless Earbuds"/>
    <x v="2"/>
    <n v="1"/>
    <n v="1999"/>
    <n v="0.4"/>
    <n v="1999"/>
    <n v="799.6"/>
    <n v="1199.4000000000001"/>
    <n v="1239"/>
    <n v="1239"/>
    <n v="60"/>
    <n v="-99.599999999999909"/>
    <n v="-8.3041520760380114E-2"/>
    <x v="4"/>
    <d v="2025-06-13T00:00:00"/>
    <n v="5"/>
    <x v="2"/>
    <n v="3"/>
    <n v="0"/>
  </r>
  <r>
    <s v="ORD-103188"/>
    <x v="520"/>
    <x v="1"/>
    <d v="2025-06-01T00:00:00"/>
    <n v="6"/>
    <s v="CUST-00576"/>
    <x v="1"/>
    <x v="12"/>
    <s v="BR"/>
    <x v="2"/>
    <s v="Patna"/>
    <x v="1"/>
    <s v="P301"/>
    <s v="Cotton Oversized T-Shirt"/>
    <x v="1"/>
    <n v="1"/>
    <n v="799"/>
    <n v="0"/>
    <n v="799"/>
    <n v="0"/>
    <n v="799"/>
    <n v="320"/>
    <n v="320"/>
    <n v="60"/>
    <n v="419"/>
    <n v="0.52440550688360454"/>
    <x v="0"/>
    <d v="2025-06-12T00:00:00"/>
    <n v="4"/>
    <x v="0"/>
    <n v="4"/>
    <n v="0"/>
  </r>
  <r>
    <s v="ORD-103189"/>
    <x v="520"/>
    <x v="1"/>
    <d v="2025-06-01T00:00:00"/>
    <n v="6"/>
    <s v="CUST-02544"/>
    <x v="1"/>
    <x v="12"/>
    <s v="BR"/>
    <x v="2"/>
    <s v="Patna"/>
    <x v="4"/>
    <s v="P402"/>
    <s v="Casual Sneakers"/>
    <x v="5"/>
    <n v="2"/>
    <n v="2199"/>
    <n v="0.3"/>
    <n v="4398"/>
    <n v="1319.3999999999999"/>
    <n v="3078.6000000000004"/>
    <n v="1034"/>
    <n v="2068"/>
    <n v="60"/>
    <n v="950.60000000000036"/>
    <n v="0.30877671668940437"/>
    <x v="0"/>
    <d v="2025-06-12T00:00:00"/>
    <n v="4"/>
    <x v="0"/>
    <m/>
    <n v="0"/>
  </r>
  <r>
    <s v="ORD-103190"/>
    <x v="520"/>
    <x v="1"/>
    <d v="2025-06-01T00:00:00"/>
    <n v="6"/>
    <s v="CUST-01112"/>
    <x v="1"/>
    <x v="1"/>
    <s v="GJ"/>
    <x v="1"/>
    <s v="Surat"/>
    <x v="1"/>
    <s v="P402"/>
    <s v="Casual Sneakers"/>
    <x v="5"/>
    <n v="3"/>
    <n v="2199"/>
    <n v="0.3"/>
    <n v="6597"/>
    <n v="1979.1"/>
    <n v="4617.8999999999996"/>
    <n v="1034"/>
    <n v="3102"/>
    <n v="60"/>
    <n v="1455.8999999999996"/>
    <n v="0.31527317611901506"/>
    <x v="2"/>
    <d v="2025-06-10T00:00:00"/>
    <n v="2"/>
    <x v="1"/>
    <n v="5"/>
    <n v="0"/>
  </r>
  <r>
    <s v="ORD-103191"/>
    <x v="520"/>
    <x v="1"/>
    <d v="2025-06-01T00:00:00"/>
    <n v="6"/>
    <s v="CUST-02401"/>
    <x v="0"/>
    <x v="13"/>
    <s v="MP"/>
    <x v="1"/>
    <s v="Bhopal"/>
    <x v="1"/>
    <s v="P305"/>
    <s v="Printed Saree"/>
    <x v="1"/>
    <n v="1"/>
    <n v="1999"/>
    <n v="0.05"/>
    <n v="1999"/>
    <n v="99.95"/>
    <n v="1899.05"/>
    <n v="880"/>
    <n v="880"/>
    <n v="60"/>
    <n v="959.05"/>
    <n v="0.50501566572760059"/>
    <x v="0"/>
    <d v="2025-06-13T00:00:00"/>
    <n v="5"/>
    <x v="2"/>
    <m/>
    <n v="0"/>
  </r>
  <r>
    <s v="ORD-103192"/>
    <x v="520"/>
    <x v="1"/>
    <d v="2025-06-01T00:00:00"/>
    <n v="6"/>
    <s v="CUST-01433"/>
    <x v="0"/>
    <x v="2"/>
    <s v="MH"/>
    <x v="1"/>
    <s v="Pune"/>
    <x v="1"/>
    <s v="P302"/>
    <s v="Linen Kurta"/>
    <x v="1"/>
    <n v="1"/>
    <n v="1499"/>
    <n v="0.25"/>
    <n v="1499"/>
    <n v="374.75"/>
    <n v="1124.25"/>
    <n v="630"/>
    <n v="630"/>
    <n v="60"/>
    <n v="434.25"/>
    <n v="0.38625750500333556"/>
    <x v="0"/>
    <d v="2025-06-10T00:00:00"/>
    <n v="2"/>
    <x v="1"/>
    <n v="4"/>
    <n v="0"/>
  </r>
  <r>
    <s v="ORD-103193"/>
    <x v="520"/>
    <x v="1"/>
    <d v="2025-06-01T00:00:00"/>
    <n v="6"/>
    <s v="CUST-00538"/>
    <x v="1"/>
    <x v="14"/>
    <s v="KL"/>
    <x v="3"/>
    <s v="Thiruvananthapuram"/>
    <x v="0"/>
    <s v="P101"/>
    <s v="Vitamin C Face Serum"/>
    <x v="3"/>
    <n v="2"/>
    <n v="599"/>
    <n v="0.1"/>
    <n v="1198"/>
    <n v="119.80000000000001"/>
    <n v="1078.2"/>
    <n v="180"/>
    <n v="360"/>
    <n v="60"/>
    <n v="658.2"/>
    <n v="0.6104618809126322"/>
    <x v="0"/>
    <d v="2025-06-11T00:00:00"/>
    <n v="3"/>
    <x v="0"/>
    <n v="4"/>
    <n v="0"/>
  </r>
  <r>
    <s v="ORD-103194"/>
    <x v="521"/>
    <x v="1"/>
    <d v="2025-06-01T00:00:00"/>
    <n v="6"/>
    <s v="CUST-01787"/>
    <x v="1"/>
    <x v="9"/>
    <s v="UK"/>
    <x v="0"/>
    <s v="Dehradun"/>
    <x v="4"/>
    <s v="P202"/>
    <s v="Argan Shampoo"/>
    <x v="6"/>
    <n v="1"/>
    <n v="449"/>
    <n v="0.1"/>
    <n v="449"/>
    <n v="44.900000000000006"/>
    <n v="404.1"/>
    <n v="148"/>
    <n v="148"/>
    <n v="60"/>
    <n v="196.10000000000002"/>
    <n v="0.48527592180153428"/>
    <x v="0"/>
    <d v="2025-06-12T00:00:00"/>
    <n v="3"/>
    <x v="0"/>
    <n v="4"/>
    <n v="0"/>
  </r>
  <r>
    <s v="ORD-103195"/>
    <x v="521"/>
    <x v="1"/>
    <d v="2025-06-01T00:00:00"/>
    <n v="6"/>
    <s v="CUST-00657"/>
    <x v="1"/>
    <x v="0"/>
    <s v="RJ"/>
    <x v="0"/>
    <s v="Udaipur"/>
    <x v="0"/>
    <s v="P603"/>
    <s v="Smartwatch Strap"/>
    <x v="2"/>
    <n v="1"/>
    <n v="499"/>
    <n v="0.15"/>
    <n v="499"/>
    <n v="74.849999999999994"/>
    <n v="424.15"/>
    <n v="200"/>
    <n v="200"/>
    <n v="60"/>
    <n v="164.14999999999998"/>
    <n v="0.38700931274313327"/>
    <x v="4"/>
    <d v="2025-06-14T00:00:00"/>
    <n v="5"/>
    <x v="2"/>
    <n v="4"/>
    <n v="0"/>
  </r>
  <r>
    <s v="ORD-103196"/>
    <x v="521"/>
    <x v="1"/>
    <d v="2025-06-01T00:00:00"/>
    <n v="6"/>
    <s v="CUST-00746"/>
    <x v="1"/>
    <x v="0"/>
    <s v="RJ"/>
    <x v="0"/>
    <s v="Udaipur"/>
    <x v="0"/>
    <s v="P503"/>
    <s v="Scented Candle Set"/>
    <x v="4"/>
    <n v="4"/>
    <n v="699"/>
    <n v="0.3"/>
    <n v="2796"/>
    <n v="838.8"/>
    <n v="1957.2"/>
    <n v="245"/>
    <n v="980"/>
    <n v="60"/>
    <n v="917.2"/>
    <n v="0.46862865317800939"/>
    <x v="3"/>
    <d v="2025-06-15T00:00:00"/>
    <n v="6"/>
    <x v="2"/>
    <n v="4"/>
    <n v="0"/>
  </r>
  <r>
    <s v="ORD-103197"/>
    <x v="521"/>
    <x v="1"/>
    <d v="2025-06-01T00:00:00"/>
    <n v="6"/>
    <s v="CUST-01516"/>
    <x v="1"/>
    <x v="6"/>
    <s v="DL"/>
    <x v="0"/>
    <s v="New Delhi"/>
    <x v="0"/>
    <s v="P303"/>
    <s v="Joggers"/>
    <x v="1"/>
    <n v="1"/>
    <n v="1199"/>
    <n v="0.1"/>
    <n v="1199"/>
    <n v="119.9"/>
    <n v="1079.0999999999999"/>
    <n v="492"/>
    <n v="492"/>
    <n v="60"/>
    <n v="527.09999999999991"/>
    <n v="0.48846260772866273"/>
    <x v="4"/>
    <d v="2025-06-13T00:00:00"/>
    <n v="4"/>
    <x v="0"/>
    <n v="4"/>
    <n v="0"/>
  </r>
  <r>
    <s v="ORD-103198"/>
    <x v="521"/>
    <x v="1"/>
    <d v="2025-06-01T00:00:00"/>
    <n v="6"/>
    <s v="CUST-01093"/>
    <x v="0"/>
    <x v="6"/>
    <s v="DL"/>
    <x v="0"/>
    <s v="New Delhi"/>
    <x v="3"/>
    <s v="P703"/>
    <s v="Green Tea (100 bags)"/>
    <x v="0"/>
    <n v="2"/>
    <n v="399"/>
    <n v="0.35"/>
    <n v="798"/>
    <n v="279.29999999999995"/>
    <n v="518.70000000000005"/>
    <n v="128"/>
    <n v="256"/>
    <n v="60"/>
    <n v="202.70000000000005"/>
    <n v="0.39078465394254874"/>
    <x v="4"/>
    <d v="2025-06-10T00:00:00"/>
    <n v="1"/>
    <x v="1"/>
    <n v="4"/>
    <n v="0"/>
  </r>
  <r>
    <s v="ORD-103199"/>
    <x v="521"/>
    <x v="1"/>
    <d v="2025-06-01T00:00:00"/>
    <n v="6"/>
    <s v="CUST-03168"/>
    <x v="0"/>
    <x v="12"/>
    <s v="BR"/>
    <x v="2"/>
    <s v="Patna"/>
    <x v="1"/>
    <s v="P404"/>
    <s v="Flip Flops"/>
    <x v="5"/>
    <n v="1"/>
    <n v="399"/>
    <n v="0.15"/>
    <n v="399"/>
    <n v="59.849999999999994"/>
    <n v="339.15"/>
    <n v="152"/>
    <n v="152"/>
    <n v="60"/>
    <n v="127.14999999999998"/>
    <n v="0.37490785787999409"/>
    <x v="2"/>
    <d v="2025-06-13T00:00:00"/>
    <n v="4"/>
    <x v="0"/>
    <m/>
    <n v="0"/>
  </r>
  <r>
    <s v="ORD-103200"/>
    <x v="521"/>
    <x v="1"/>
    <d v="2025-06-01T00:00:00"/>
    <n v="6"/>
    <s v="CUST-01197"/>
    <x v="0"/>
    <x v="2"/>
    <s v="MH"/>
    <x v="1"/>
    <s v="Nagpur"/>
    <x v="3"/>
    <s v="P704"/>
    <s v="Multivitamin Gummies"/>
    <x v="0"/>
    <n v="1"/>
    <n v="699"/>
    <n v="0.2"/>
    <n v="699"/>
    <n v="139.80000000000001"/>
    <n v="559.20000000000005"/>
    <n v="238"/>
    <n v="238"/>
    <n v="60"/>
    <n v="261.20000000000005"/>
    <n v="0.46709585121602293"/>
    <x v="0"/>
    <d v="2025-06-13T00:00:00"/>
    <n v="4"/>
    <x v="0"/>
    <n v="3"/>
    <n v="0"/>
  </r>
  <r>
    <s v="ORD-103201"/>
    <x v="521"/>
    <x v="1"/>
    <d v="2025-06-01T00:00:00"/>
    <n v="6"/>
    <s v="CUST-00764"/>
    <x v="0"/>
    <x v="21"/>
    <s v="TG"/>
    <x v="3"/>
    <s v="Hyderabad"/>
    <x v="0"/>
    <s v="P103"/>
    <s v="Niacinamide Toner"/>
    <x v="3"/>
    <n v="2"/>
    <n v="399"/>
    <n v="0.3"/>
    <n v="798"/>
    <n v="239.39999999999998"/>
    <n v="558.6"/>
    <n v="112"/>
    <n v="224"/>
    <n v="60"/>
    <n v="274.60000000000002"/>
    <n v="0.49158610812746151"/>
    <x v="0"/>
    <d v="2025-06-12T00:00:00"/>
    <n v="3"/>
    <x v="0"/>
    <n v="4"/>
    <n v="0"/>
  </r>
  <r>
    <s v="ORD-103202"/>
    <x v="522"/>
    <x v="1"/>
    <d v="2025-06-01T00:00:00"/>
    <n v="6"/>
    <s v="CUST-00668"/>
    <x v="1"/>
    <x v="4"/>
    <s v="JK"/>
    <x v="0"/>
    <s v="Jammu"/>
    <x v="0"/>
    <s v="P201"/>
    <s v="Onion Hair Oil"/>
    <x v="6"/>
    <n v="3"/>
    <n v="349"/>
    <n v="0.4"/>
    <n v="1047"/>
    <n v="418.8"/>
    <n v="628.20000000000005"/>
    <n v="105"/>
    <n v="315"/>
    <n v="60"/>
    <n v="253.20000000000005"/>
    <n v="0.40305635148042029"/>
    <x v="3"/>
    <d v="2025-06-14T00:00:00"/>
    <n v="4"/>
    <x v="0"/>
    <m/>
    <n v="0"/>
  </r>
  <r>
    <s v="ORD-103203"/>
    <x v="522"/>
    <x v="1"/>
    <d v="2025-06-01T00:00:00"/>
    <n v="6"/>
    <s v="CUST-00700"/>
    <x v="1"/>
    <x v="9"/>
    <s v="UK"/>
    <x v="0"/>
    <s v="Dehradun"/>
    <x v="0"/>
    <s v="P102"/>
    <s v="Sunscreen SPF 50"/>
    <x v="3"/>
    <n v="1"/>
    <n v="449"/>
    <n v="0.15"/>
    <n v="449"/>
    <n v="67.349999999999994"/>
    <n v="381.65"/>
    <n v="144"/>
    <n v="144"/>
    <n v="60"/>
    <n v="177.64999999999998"/>
    <n v="0.465478841870824"/>
    <x v="2"/>
    <d v="2025-06-13T00:00:00"/>
    <n v="3"/>
    <x v="0"/>
    <n v="3"/>
    <n v="0"/>
  </r>
  <r>
    <s v="ORD-103204"/>
    <x v="522"/>
    <x v="1"/>
    <d v="2025-06-01T00:00:00"/>
    <n v="6"/>
    <s v="CUST-00234"/>
    <x v="1"/>
    <x v="0"/>
    <s v="RJ"/>
    <x v="0"/>
    <s v="Udaipur"/>
    <x v="1"/>
    <s v="P402"/>
    <s v="Casual Sneakers"/>
    <x v="5"/>
    <n v="2"/>
    <n v="2199"/>
    <n v="0.2"/>
    <n v="4398"/>
    <n v="879.6"/>
    <n v="3518.4"/>
    <n v="1034"/>
    <n v="2068"/>
    <n v="60"/>
    <n v="1390.4"/>
    <n v="0.39517962710322874"/>
    <x v="0"/>
    <d v="2025-06-14T00:00:00"/>
    <n v="4"/>
    <x v="0"/>
    <n v="4"/>
    <n v="0"/>
  </r>
  <r>
    <s v="ORD-103205"/>
    <x v="522"/>
    <x v="1"/>
    <d v="2025-06-01T00:00:00"/>
    <n v="6"/>
    <s v="CUST-00906"/>
    <x v="1"/>
    <x v="18"/>
    <s v="WB"/>
    <x v="2"/>
    <s v="Kolkata"/>
    <x v="0"/>
    <s v="P104"/>
    <s v="Hydrating Face Wash"/>
    <x v="3"/>
    <n v="2"/>
    <n v="299"/>
    <n v="0.1"/>
    <n v="598"/>
    <n v="59.800000000000004"/>
    <n v="538.20000000000005"/>
    <n v="90"/>
    <n v="180"/>
    <n v="60"/>
    <n v="298.20000000000005"/>
    <n v="0.55406911928651059"/>
    <x v="0"/>
    <d v="2025-06-13T00:00:00"/>
    <n v="3"/>
    <x v="0"/>
    <n v="4"/>
    <n v="0"/>
  </r>
  <r>
    <s v="ORD-103206"/>
    <x v="522"/>
    <x v="1"/>
    <d v="2025-06-01T00:00:00"/>
    <n v="6"/>
    <s v="CUST-00707"/>
    <x v="1"/>
    <x v="2"/>
    <s v="MH"/>
    <x v="1"/>
    <s v="Nagpur"/>
    <x v="2"/>
    <s v="P305"/>
    <s v="Printed Saree"/>
    <x v="1"/>
    <n v="1"/>
    <n v="1999"/>
    <n v="0.05"/>
    <n v="1999"/>
    <n v="99.95"/>
    <n v="1899.05"/>
    <n v="880"/>
    <n v="880"/>
    <n v="60"/>
    <n v="959.05"/>
    <n v="0.50501566572760059"/>
    <x v="0"/>
    <d v="2025-06-12T00:00:00"/>
    <n v="2"/>
    <x v="1"/>
    <m/>
    <n v="0"/>
  </r>
  <r>
    <s v="ORD-103207"/>
    <x v="522"/>
    <x v="1"/>
    <d v="2025-06-01T00:00:00"/>
    <n v="6"/>
    <s v="CUST-00734"/>
    <x v="0"/>
    <x v="2"/>
    <s v="MH"/>
    <x v="1"/>
    <s v="Nagpur"/>
    <x v="4"/>
    <s v="P301"/>
    <s v="Cotton Oversized T-Shirt"/>
    <x v="1"/>
    <n v="1"/>
    <n v="799"/>
    <n v="0"/>
    <n v="799"/>
    <n v="0"/>
    <n v="799"/>
    <n v="320"/>
    <n v="320"/>
    <n v="60"/>
    <n v="419"/>
    <n v="0.52440550688360454"/>
    <x v="0"/>
    <d v="2025-06-12T00:00:00"/>
    <n v="2"/>
    <x v="1"/>
    <n v="4"/>
    <n v="0"/>
  </r>
  <r>
    <s v="ORD-103208"/>
    <x v="522"/>
    <x v="1"/>
    <d v="2025-06-01T00:00:00"/>
    <n v="6"/>
    <s v="CUST-00100"/>
    <x v="1"/>
    <x v="2"/>
    <s v="MH"/>
    <x v="1"/>
    <s v="Mumbai"/>
    <x v="0"/>
    <s v="P604"/>
    <s v="Power Bank 20000mAh"/>
    <x v="2"/>
    <n v="2"/>
    <n v="1799"/>
    <n v="0.3"/>
    <n v="3598"/>
    <n v="1079.3999999999999"/>
    <n v="2518.6000000000004"/>
    <n v="1079"/>
    <n v="2158"/>
    <n v="60"/>
    <n v="300.60000000000036"/>
    <n v="0.11935202096402776"/>
    <x v="0"/>
    <d v="2025-06-11T00:00:00"/>
    <n v="1"/>
    <x v="1"/>
    <n v="5"/>
    <n v="0"/>
  </r>
  <r>
    <s v="ORD-103209"/>
    <x v="522"/>
    <x v="1"/>
    <d v="2025-06-01T00:00:00"/>
    <n v="6"/>
    <s v="CUST-01076"/>
    <x v="1"/>
    <x v="21"/>
    <s v="TG"/>
    <x v="3"/>
    <s v="Hyderabad"/>
    <x v="2"/>
    <s v="P305"/>
    <s v="Printed Saree"/>
    <x v="1"/>
    <n v="1"/>
    <n v="1999"/>
    <n v="0"/>
    <n v="1999"/>
    <n v="0"/>
    <n v="1999"/>
    <n v="880"/>
    <n v="880"/>
    <n v="60"/>
    <n v="1059"/>
    <n v="0.52976488244122066"/>
    <x v="1"/>
    <d v="2025-06-13T00:00:00"/>
    <n v="3"/>
    <x v="0"/>
    <n v="5"/>
    <n v="0"/>
  </r>
  <r>
    <s v="ORD-103210"/>
    <x v="522"/>
    <x v="1"/>
    <d v="2025-06-01T00:00:00"/>
    <n v="6"/>
    <s v="CUST-00823"/>
    <x v="1"/>
    <x v="21"/>
    <s v="TG"/>
    <x v="3"/>
    <s v="Hyderabad"/>
    <x v="0"/>
    <s v="P303"/>
    <s v="Joggers"/>
    <x v="1"/>
    <n v="1"/>
    <n v="1199"/>
    <n v="0.1"/>
    <n v="1199"/>
    <n v="119.9"/>
    <n v="1079.0999999999999"/>
    <n v="492"/>
    <n v="492"/>
    <n v="60"/>
    <n v="527.09999999999991"/>
    <n v="0.48846260772866273"/>
    <x v="4"/>
    <d v="2025-06-13T00:00:00"/>
    <n v="3"/>
    <x v="0"/>
    <n v="3"/>
    <n v="0"/>
  </r>
  <r>
    <s v="ORD-103211"/>
    <x v="522"/>
    <x v="1"/>
    <d v="2025-06-01T00:00:00"/>
    <n v="6"/>
    <s v="CUST-01706"/>
    <x v="1"/>
    <x v="11"/>
    <s v="KA"/>
    <x v="3"/>
    <s v="Bengaluru"/>
    <x v="3"/>
    <s v="P202"/>
    <s v="Argan Shampoo"/>
    <x v="6"/>
    <n v="1"/>
    <n v="449"/>
    <n v="0.15"/>
    <n v="449"/>
    <n v="67.349999999999994"/>
    <n v="381.65"/>
    <n v="148"/>
    <n v="148"/>
    <n v="60"/>
    <n v="173.64999999999998"/>
    <n v="0.45499803484868334"/>
    <x v="1"/>
    <d v="2025-06-12T00:00:00"/>
    <n v="2"/>
    <x v="1"/>
    <n v="5"/>
    <n v="0"/>
  </r>
  <r>
    <s v="ORD-103212"/>
    <x v="522"/>
    <x v="1"/>
    <d v="2025-06-01T00:00:00"/>
    <n v="6"/>
    <s v="CUST-01606"/>
    <x v="1"/>
    <x v="17"/>
    <s v="TN"/>
    <x v="3"/>
    <s v="Chennai"/>
    <x v="2"/>
    <s v="P504"/>
    <s v="Cotton Bedsheet"/>
    <x v="4"/>
    <n v="1"/>
    <n v="1299"/>
    <n v="0"/>
    <n v="1299"/>
    <n v="0"/>
    <n v="1299"/>
    <n v="585"/>
    <n v="585"/>
    <n v="120"/>
    <n v="594"/>
    <n v="0.45727482678983833"/>
    <x v="3"/>
    <d v="2025-06-14T00:00:00"/>
    <n v="4"/>
    <x v="0"/>
    <n v="3"/>
    <n v="1"/>
  </r>
  <r>
    <s v="ORD-103213"/>
    <x v="523"/>
    <x v="1"/>
    <d v="2025-06-01T00:00:00"/>
    <n v="6"/>
    <s v="CUST-00672"/>
    <x v="1"/>
    <x v="19"/>
    <s v="PB"/>
    <x v="0"/>
    <s v="Amritsar"/>
    <x v="0"/>
    <s v="P403"/>
    <s v="Kolhapuri Sandals"/>
    <x v="5"/>
    <n v="1"/>
    <n v="999"/>
    <n v="0.1"/>
    <n v="999"/>
    <n v="99.9"/>
    <n v="899.1"/>
    <n v="400"/>
    <n v="400"/>
    <n v="60"/>
    <n v="439.1"/>
    <n v="0.48837726615504395"/>
    <x v="0"/>
    <d v="2025-06-15T00:00:00"/>
    <n v="4"/>
    <x v="0"/>
    <n v="4"/>
    <n v="0"/>
  </r>
  <r>
    <s v="ORD-103214"/>
    <x v="523"/>
    <x v="1"/>
    <d v="2025-06-01T00:00:00"/>
    <n v="6"/>
    <s v="CUST-00562"/>
    <x v="1"/>
    <x v="16"/>
    <s v="UP"/>
    <x v="0"/>
    <s v="Kanpur"/>
    <x v="3"/>
    <s v="P701"/>
    <s v="Ashwagandha Capsules"/>
    <x v="0"/>
    <n v="1"/>
    <n v="499"/>
    <n v="0"/>
    <n v="499"/>
    <n v="0"/>
    <n v="499"/>
    <n v="150"/>
    <n v="150"/>
    <n v="60"/>
    <n v="289"/>
    <n v="0.57915831663326656"/>
    <x v="1"/>
    <d v="2025-06-16T00:00:00"/>
    <n v="5"/>
    <x v="2"/>
    <n v="4"/>
    <n v="0"/>
  </r>
  <r>
    <s v="ORD-103215"/>
    <x v="523"/>
    <x v="1"/>
    <d v="2025-06-01T00:00:00"/>
    <n v="6"/>
    <s v="CUST-02684"/>
    <x v="0"/>
    <x v="2"/>
    <s v="MH"/>
    <x v="1"/>
    <s v="Mumbai"/>
    <x v="3"/>
    <s v="P201"/>
    <s v="Onion Hair Oil"/>
    <x v="6"/>
    <n v="3"/>
    <n v="349"/>
    <n v="0.35"/>
    <n v="1047"/>
    <n v="366.45"/>
    <n v="680.55"/>
    <n v="105"/>
    <n v="315"/>
    <n v="60"/>
    <n v="305.54999999999995"/>
    <n v="0.44897509367423405"/>
    <x v="0"/>
    <d v="2025-06-13T00:00:00"/>
    <n v="2"/>
    <x v="1"/>
    <n v="4"/>
    <n v="0"/>
  </r>
  <r>
    <s v="ORD-103216"/>
    <x v="523"/>
    <x v="1"/>
    <d v="2025-06-01T00:00:00"/>
    <n v="6"/>
    <s v="CUST-02993"/>
    <x v="0"/>
    <x v="2"/>
    <s v="MH"/>
    <x v="1"/>
    <s v="Mumbai"/>
    <x v="0"/>
    <s v="P102"/>
    <s v="Sunscreen SPF 50"/>
    <x v="3"/>
    <n v="1"/>
    <n v="449"/>
    <n v="0.05"/>
    <n v="449"/>
    <n v="22.450000000000003"/>
    <n v="426.55"/>
    <n v="144"/>
    <n v="144"/>
    <n v="60"/>
    <n v="222.55"/>
    <n v="0.52174422693705313"/>
    <x v="4"/>
    <d v="2025-06-14T00:00:00"/>
    <n v="3"/>
    <x v="0"/>
    <m/>
    <n v="0"/>
  </r>
  <r>
    <s v="ORD-103217"/>
    <x v="523"/>
    <x v="1"/>
    <d v="2025-06-01T00:00:00"/>
    <n v="6"/>
    <s v="CUST-00325"/>
    <x v="1"/>
    <x v="2"/>
    <s v="MH"/>
    <x v="1"/>
    <s v="Mumbai"/>
    <x v="1"/>
    <s v="P302"/>
    <s v="Linen Kurta"/>
    <x v="1"/>
    <n v="2"/>
    <n v="1499"/>
    <n v="0.3"/>
    <n v="2998"/>
    <n v="899.4"/>
    <n v="2098.6"/>
    <n v="630"/>
    <n v="1260"/>
    <n v="60"/>
    <n v="778.59999999999991"/>
    <n v="0.3710092442580768"/>
    <x v="0"/>
    <d v="2025-06-14T00:00:00"/>
    <n v="3"/>
    <x v="0"/>
    <m/>
    <n v="0"/>
  </r>
  <r>
    <s v="ORD-103218"/>
    <x v="524"/>
    <x v="1"/>
    <d v="2025-06-01T00:00:00"/>
    <n v="6"/>
    <s v="CUST-01535"/>
    <x v="1"/>
    <x v="0"/>
    <s v="RJ"/>
    <x v="0"/>
    <s v="Jaipur"/>
    <x v="0"/>
    <s v="P703"/>
    <s v="Green Tea (100 bags)"/>
    <x v="0"/>
    <n v="1"/>
    <n v="399"/>
    <n v="0.35"/>
    <n v="399"/>
    <n v="139.64999999999998"/>
    <n v="259.35000000000002"/>
    <n v="128"/>
    <n v="128"/>
    <n v="60"/>
    <n v="71.350000000000023"/>
    <n v="0.27511085405822255"/>
    <x v="4"/>
    <d v="2025-06-17T00:00:00"/>
    <n v="5"/>
    <x v="2"/>
    <n v="3"/>
    <n v="0"/>
  </r>
  <r>
    <s v="ORD-103219"/>
    <x v="524"/>
    <x v="1"/>
    <d v="2025-06-01T00:00:00"/>
    <n v="6"/>
    <s v="CUST-00479"/>
    <x v="1"/>
    <x v="16"/>
    <s v="UP"/>
    <x v="0"/>
    <s v="Lucknow"/>
    <x v="2"/>
    <s v="P101"/>
    <s v="Vitamin C Face Serum"/>
    <x v="3"/>
    <n v="1"/>
    <n v="599"/>
    <n v="0.2"/>
    <n v="599"/>
    <n v="119.80000000000001"/>
    <n v="479.2"/>
    <n v="180"/>
    <n v="180"/>
    <n v="120"/>
    <n v="179.2"/>
    <n v="0.37395659432387313"/>
    <x v="0"/>
    <d v="2025-06-16T00:00:00"/>
    <n v="4"/>
    <x v="0"/>
    <n v="4"/>
    <n v="1"/>
  </r>
  <r>
    <s v="ORD-103220"/>
    <x v="524"/>
    <x v="1"/>
    <d v="2025-06-01T00:00:00"/>
    <n v="6"/>
    <s v="CUST-01165"/>
    <x v="1"/>
    <x v="1"/>
    <s v="GJ"/>
    <x v="1"/>
    <s v="Ahmedabad"/>
    <x v="3"/>
    <s v="P103"/>
    <s v="Niacinamide Toner"/>
    <x v="3"/>
    <n v="2"/>
    <n v="399"/>
    <n v="0.3"/>
    <n v="798"/>
    <n v="239.39999999999998"/>
    <n v="558.6"/>
    <n v="112"/>
    <n v="224"/>
    <n v="60"/>
    <n v="274.60000000000002"/>
    <n v="0.49158610812746151"/>
    <x v="0"/>
    <d v="2025-06-16T00:00:00"/>
    <n v="4"/>
    <x v="0"/>
    <n v="5"/>
    <n v="0"/>
  </r>
  <r>
    <s v="ORD-103221"/>
    <x v="524"/>
    <x v="1"/>
    <d v="2025-06-01T00:00:00"/>
    <n v="6"/>
    <s v="CUST-01039"/>
    <x v="1"/>
    <x v="2"/>
    <s v="MH"/>
    <x v="1"/>
    <s v="Mumbai"/>
    <x v="4"/>
    <s v="P303"/>
    <s v="Joggers"/>
    <x v="1"/>
    <n v="1"/>
    <n v="1199"/>
    <n v="0.15"/>
    <n v="1199"/>
    <n v="179.85"/>
    <n v="1019.15"/>
    <n v="492"/>
    <n v="492"/>
    <n v="60"/>
    <n v="467.15"/>
    <n v="0.45837217288917231"/>
    <x v="1"/>
    <d v="2025-06-13T00:00:00"/>
    <n v="1"/>
    <x v="1"/>
    <n v="4"/>
    <n v="0"/>
  </r>
  <r>
    <s v="ORD-103222"/>
    <x v="524"/>
    <x v="1"/>
    <d v="2025-06-01T00:00:00"/>
    <n v="6"/>
    <s v="CUST-01528"/>
    <x v="0"/>
    <x v="8"/>
    <s v="AP"/>
    <x v="3"/>
    <s v="Visakhapatnam"/>
    <x v="0"/>
    <s v="P103"/>
    <s v="Niacinamide Toner"/>
    <x v="3"/>
    <n v="1"/>
    <n v="399"/>
    <n v="0.2"/>
    <n v="399"/>
    <n v="79.800000000000011"/>
    <n v="319.2"/>
    <n v="112"/>
    <n v="112"/>
    <n v="60"/>
    <n v="147.19999999999999"/>
    <n v="0.46115288220551376"/>
    <x v="2"/>
    <d v="2025-06-15T00:00:00"/>
    <n v="3"/>
    <x v="0"/>
    <m/>
    <n v="0"/>
  </r>
  <r>
    <s v="ORD-103223"/>
    <x v="525"/>
    <x v="1"/>
    <d v="2025-06-01T00:00:00"/>
    <n v="6"/>
    <s v="CUST-01057"/>
    <x v="1"/>
    <x v="1"/>
    <s v="GJ"/>
    <x v="1"/>
    <s v="Surat"/>
    <x v="0"/>
    <s v="P202"/>
    <s v="Argan Shampoo"/>
    <x v="6"/>
    <n v="1"/>
    <n v="449"/>
    <n v="0"/>
    <n v="449"/>
    <n v="0"/>
    <n v="449"/>
    <n v="148"/>
    <n v="148"/>
    <n v="60"/>
    <n v="241"/>
    <n v="0.53674832962138086"/>
    <x v="4"/>
    <d v="2025-06-16T00:00:00"/>
    <n v="3"/>
    <x v="0"/>
    <m/>
    <n v="0"/>
  </r>
  <r>
    <s v="ORD-103224"/>
    <x v="525"/>
    <x v="1"/>
    <d v="2025-06-01T00:00:00"/>
    <n v="6"/>
    <s v="CUST-00280"/>
    <x v="1"/>
    <x v="2"/>
    <s v="MH"/>
    <x v="1"/>
    <s v="Pune"/>
    <x v="1"/>
    <s v="P303"/>
    <s v="Joggers"/>
    <x v="1"/>
    <n v="2"/>
    <n v="1199"/>
    <n v="0.15"/>
    <n v="2398"/>
    <n v="359.7"/>
    <n v="2038.3"/>
    <n v="492"/>
    <n v="984"/>
    <n v="60"/>
    <n v="994.3"/>
    <n v="0.48780846784084775"/>
    <x v="3"/>
    <d v="2025-06-14T00:00:00"/>
    <n v="1"/>
    <x v="1"/>
    <n v="5"/>
    <n v="0"/>
  </r>
  <r>
    <s v="ORD-103225"/>
    <x v="525"/>
    <x v="1"/>
    <d v="2025-06-01T00:00:00"/>
    <n v="6"/>
    <s v="CUST-02482"/>
    <x v="1"/>
    <x v="14"/>
    <s v="KL"/>
    <x v="3"/>
    <s v="Kochi"/>
    <x v="2"/>
    <s v="P701"/>
    <s v="Ashwagandha Capsules"/>
    <x v="0"/>
    <n v="1"/>
    <n v="499"/>
    <n v="0.05"/>
    <n v="499"/>
    <n v="24.950000000000003"/>
    <n v="474.05"/>
    <n v="150"/>
    <n v="150"/>
    <n v="60"/>
    <n v="264.05"/>
    <n v="0.55700875435080688"/>
    <x v="0"/>
    <d v="2025-06-18T00:00:00"/>
    <n v="5"/>
    <x v="2"/>
    <m/>
    <n v="0"/>
  </r>
  <r>
    <s v="ORD-103226"/>
    <x v="526"/>
    <x v="1"/>
    <d v="2025-06-01T00:00:00"/>
    <n v="6"/>
    <s v="CUST-00315"/>
    <x v="1"/>
    <x v="15"/>
    <s v="HR"/>
    <x v="0"/>
    <s v="Gurugram"/>
    <x v="0"/>
    <s v="P302"/>
    <s v="Linen Kurta"/>
    <x v="1"/>
    <n v="2"/>
    <n v="1499"/>
    <n v="0.3"/>
    <n v="2998"/>
    <n v="899.4"/>
    <n v="2098.6"/>
    <n v="630"/>
    <n v="1260"/>
    <n v="60"/>
    <n v="778.59999999999991"/>
    <n v="0.3710092442580768"/>
    <x v="1"/>
    <d v="2025-06-18T00:00:00"/>
    <n v="4"/>
    <x v="0"/>
    <n v="3"/>
    <n v="0"/>
  </r>
  <r>
    <s v="ORD-103227"/>
    <x v="526"/>
    <x v="1"/>
    <d v="2025-06-01T00:00:00"/>
    <n v="6"/>
    <s v="CUST-00589"/>
    <x v="1"/>
    <x v="1"/>
    <s v="GJ"/>
    <x v="1"/>
    <s v="Ahmedabad"/>
    <x v="4"/>
    <s v="P603"/>
    <s v="Smartwatch Strap"/>
    <x v="2"/>
    <n v="3"/>
    <n v="499"/>
    <n v="0.1"/>
    <n v="1497"/>
    <n v="149.70000000000002"/>
    <n v="1347.3"/>
    <n v="200"/>
    <n v="600"/>
    <n v="60"/>
    <n v="687.3"/>
    <n v="0.51013137385882878"/>
    <x v="3"/>
    <d v="2025-06-17T00:00:00"/>
    <n v="3"/>
    <x v="0"/>
    <n v="4"/>
    <n v="0"/>
  </r>
  <r>
    <s v="ORD-103228"/>
    <x v="526"/>
    <x v="1"/>
    <d v="2025-06-01T00:00:00"/>
    <n v="6"/>
    <s v="CUST-00373"/>
    <x v="1"/>
    <x v="21"/>
    <s v="TG"/>
    <x v="3"/>
    <s v="Hyderabad"/>
    <x v="1"/>
    <s v="P301"/>
    <s v="Cotton Oversized T-Shirt"/>
    <x v="1"/>
    <n v="1"/>
    <n v="799"/>
    <n v="0"/>
    <n v="799"/>
    <n v="0"/>
    <n v="799"/>
    <n v="320"/>
    <n v="320"/>
    <n v="60"/>
    <n v="419"/>
    <n v="0.52440550688360454"/>
    <x v="3"/>
    <d v="2025-06-15T00:00:00"/>
    <n v="1"/>
    <x v="1"/>
    <n v="4"/>
    <n v="0"/>
  </r>
  <r>
    <s v="ORD-103229"/>
    <x v="527"/>
    <x v="1"/>
    <d v="2025-06-01T00:00:00"/>
    <n v="6"/>
    <s v="CUST-00954"/>
    <x v="0"/>
    <x v="19"/>
    <s v="PB"/>
    <x v="0"/>
    <s v="Amritsar"/>
    <x v="4"/>
    <s v="P703"/>
    <s v="Green Tea (100 bags)"/>
    <x v="0"/>
    <n v="3"/>
    <n v="399"/>
    <n v="0.45"/>
    <n v="1197"/>
    <n v="538.65"/>
    <n v="658.35"/>
    <n v="128"/>
    <n v="384"/>
    <n v="60"/>
    <n v="214.35000000000002"/>
    <n v="0.32558669400774665"/>
    <x v="0"/>
    <d v="2025-06-18T00:00:00"/>
    <n v="3"/>
    <x v="0"/>
    <m/>
    <n v="0"/>
  </r>
  <r>
    <s v="ORD-103230"/>
    <x v="527"/>
    <x v="1"/>
    <d v="2025-06-01T00:00:00"/>
    <n v="6"/>
    <s v="CUST-00145"/>
    <x v="0"/>
    <x v="9"/>
    <s v="UK"/>
    <x v="0"/>
    <s v="Dehradun"/>
    <x v="3"/>
    <s v="P203"/>
    <s v="Keratin Hair Mask"/>
    <x v="6"/>
    <n v="2"/>
    <n v="549"/>
    <n v="0.1"/>
    <n v="1098"/>
    <n v="109.80000000000001"/>
    <n v="988.2"/>
    <n v="170"/>
    <n v="340"/>
    <n v="60"/>
    <n v="588.20000000000005"/>
    <n v="0.59522363893948593"/>
    <x v="0"/>
    <d v="2025-06-18T00:00:00"/>
    <n v="3"/>
    <x v="0"/>
    <m/>
    <n v="0"/>
  </r>
  <r>
    <s v="ORD-103231"/>
    <x v="527"/>
    <x v="1"/>
    <d v="2025-06-01T00:00:00"/>
    <n v="6"/>
    <s v="CUST-01587"/>
    <x v="1"/>
    <x v="0"/>
    <s v="RJ"/>
    <x v="0"/>
    <s v="Jaipur"/>
    <x v="3"/>
    <s v="P101"/>
    <s v="Vitamin C Face Serum"/>
    <x v="3"/>
    <n v="1"/>
    <n v="599"/>
    <n v="0.2"/>
    <n v="599"/>
    <n v="119.80000000000001"/>
    <n v="479.2"/>
    <n v="180"/>
    <n v="180"/>
    <n v="60"/>
    <n v="239.2"/>
    <n v="0.4991652754590985"/>
    <x v="3"/>
    <d v="2025-06-20T00:00:00"/>
    <n v="5"/>
    <x v="2"/>
    <n v="4"/>
    <n v="0"/>
  </r>
  <r>
    <s v="ORD-103232"/>
    <x v="527"/>
    <x v="1"/>
    <d v="2025-06-01T00:00:00"/>
    <n v="6"/>
    <s v="CUST-00044"/>
    <x v="1"/>
    <x v="16"/>
    <s v="UP"/>
    <x v="0"/>
    <s v="Lucknow"/>
    <x v="2"/>
    <s v="P101"/>
    <s v="Vitamin C Face Serum"/>
    <x v="3"/>
    <n v="1"/>
    <n v="599"/>
    <n v="0.15"/>
    <n v="599"/>
    <n v="89.85"/>
    <n v="509.15"/>
    <n v="180"/>
    <n v="180"/>
    <n v="60"/>
    <n v="269.14999999999998"/>
    <n v="0.52862614160856325"/>
    <x v="0"/>
    <d v="2025-06-16T00:00:00"/>
    <n v="1"/>
    <x v="1"/>
    <n v="5"/>
    <n v="0"/>
  </r>
  <r>
    <s v="ORD-103233"/>
    <x v="527"/>
    <x v="1"/>
    <d v="2025-06-01T00:00:00"/>
    <n v="6"/>
    <s v="CUST-00881"/>
    <x v="1"/>
    <x v="16"/>
    <s v="UP"/>
    <x v="0"/>
    <s v="Lucknow"/>
    <x v="4"/>
    <s v="P102"/>
    <s v="Sunscreen SPF 50"/>
    <x v="3"/>
    <n v="2"/>
    <n v="449"/>
    <n v="0.15"/>
    <n v="898"/>
    <n v="134.69999999999999"/>
    <n v="763.3"/>
    <n v="144"/>
    <n v="288"/>
    <n v="60"/>
    <n v="415.29999999999995"/>
    <n v="0.54408489453687936"/>
    <x v="0"/>
    <d v="2025-06-19T00:00:00"/>
    <n v="4"/>
    <x v="0"/>
    <n v="3"/>
    <n v="0"/>
  </r>
  <r>
    <s v="ORD-103234"/>
    <x v="527"/>
    <x v="1"/>
    <d v="2025-06-01T00:00:00"/>
    <n v="6"/>
    <s v="CUST-01135"/>
    <x v="1"/>
    <x v="13"/>
    <s v="MP"/>
    <x v="1"/>
    <s v="Indore"/>
    <x v="4"/>
    <s v="P604"/>
    <s v="Power Bank 20000mAh"/>
    <x v="2"/>
    <n v="1"/>
    <n v="1799"/>
    <n v="0.35"/>
    <n v="1799"/>
    <n v="629.65"/>
    <n v="1169.3499999999999"/>
    <n v="1079"/>
    <n v="1079"/>
    <n v="60"/>
    <n v="30.349999999999909"/>
    <n v="2.5954590156924712E-2"/>
    <x v="0"/>
    <d v="2025-06-17T00:00:00"/>
    <n v="2"/>
    <x v="1"/>
    <n v="5"/>
    <n v="0"/>
  </r>
  <r>
    <s v="ORD-103235"/>
    <x v="527"/>
    <x v="1"/>
    <d v="2025-06-01T00:00:00"/>
    <n v="6"/>
    <s v="CUST-02558"/>
    <x v="1"/>
    <x v="2"/>
    <s v="MH"/>
    <x v="1"/>
    <s v="Pune"/>
    <x v="0"/>
    <s v="P105"/>
    <s v="Retinol Night Cream"/>
    <x v="3"/>
    <n v="1"/>
    <n v="799"/>
    <n v="0.05"/>
    <n v="799"/>
    <n v="39.950000000000003"/>
    <n v="759.05"/>
    <n v="216"/>
    <n v="216"/>
    <n v="60"/>
    <n v="483.04999999999995"/>
    <n v="0.63638758975034582"/>
    <x v="0"/>
    <d v="2025-06-17T00:00:00"/>
    <n v="2"/>
    <x v="1"/>
    <n v="4"/>
    <n v="0"/>
  </r>
  <r>
    <s v="ORD-103236"/>
    <x v="527"/>
    <x v="1"/>
    <d v="2025-06-01T00:00:00"/>
    <n v="6"/>
    <s v="CUST-00785"/>
    <x v="1"/>
    <x v="2"/>
    <s v="MH"/>
    <x v="1"/>
    <s v="Mumbai"/>
    <x v="3"/>
    <s v="P102"/>
    <s v="Sunscreen SPF 50"/>
    <x v="3"/>
    <n v="1"/>
    <n v="449"/>
    <n v="0.1"/>
    <n v="449"/>
    <n v="44.900000000000006"/>
    <n v="404.1"/>
    <n v="144"/>
    <n v="144"/>
    <n v="60"/>
    <n v="200.10000000000002"/>
    <n v="0.4951744617668894"/>
    <x v="0"/>
    <d v="2025-06-17T00:00:00"/>
    <n v="2"/>
    <x v="1"/>
    <n v="5"/>
    <n v="0"/>
  </r>
  <r>
    <s v="ORD-103237"/>
    <x v="527"/>
    <x v="1"/>
    <d v="2025-06-01T00:00:00"/>
    <n v="6"/>
    <s v="CUST-02274"/>
    <x v="0"/>
    <x v="2"/>
    <s v="MH"/>
    <x v="1"/>
    <s v="Mumbai"/>
    <x v="2"/>
    <s v="P401"/>
    <s v="Running Shoes"/>
    <x v="5"/>
    <n v="1"/>
    <n v="2999"/>
    <n v="0.25"/>
    <n v="2999"/>
    <n v="749.75"/>
    <n v="2249.25"/>
    <n v="1440"/>
    <n v="1440"/>
    <n v="60"/>
    <n v="749.25"/>
    <n v="0.33311103701233746"/>
    <x v="0"/>
    <d v="2025-06-17T00:00:00"/>
    <n v="2"/>
    <x v="1"/>
    <n v="3"/>
    <n v="0"/>
  </r>
  <r>
    <s v="ORD-103238"/>
    <x v="527"/>
    <x v="1"/>
    <d v="2025-06-01T00:00:00"/>
    <n v="6"/>
    <s v="CUST-02114"/>
    <x v="1"/>
    <x v="21"/>
    <s v="TG"/>
    <x v="3"/>
    <s v="Hyderabad"/>
    <x v="2"/>
    <s v="P201"/>
    <s v="Onion Hair Oil"/>
    <x v="6"/>
    <n v="2"/>
    <n v="349"/>
    <n v="0.25"/>
    <n v="698"/>
    <n v="174.5"/>
    <n v="523.5"/>
    <n v="105"/>
    <n v="210"/>
    <n v="60"/>
    <n v="253.5"/>
    <n v="0.48424068767908307"/>
    <x v="0"/>
    <d v="2025-06-18T00:00:00"/>
    <n v="3"/>
    <x v="0"/>
    <m/>
    <n v="0"/>
  </r>
  <r>
    <s v="ORD-103239"/>
    <x v="527"/>
    <x v="1"/>
    <d v="2025-06-01T00:00:00"/>
    <n v="6"/>
    <s v="CUST-03194"/>
    <x v="0"/>
    <x v="8"/>
    <s v="AP"/>
    <x v="3"/>
    <s v="Visakhapatnam"/>
    <x v="0"/>
    <s v="P404"/>
    <s v="Flip Flops"/>
    <x v="5"/>
    <n v="1"/>
    <n v="399"/>
    <n v="0.15"/>
    <n v="399"/>
    <n v="59.849999999999994"/>
    <n v="339.15"/>
    <n v="152"/>
    <n v="152"/>
    <n v="60"/>
    <n v="127.14999999999998"/>
    <n v="0.37490785787999409"/>
    <x v="0"/>
    <d v="2025-06-18T00:00:00"/>
    <n v="3"/>
    <x v="0"/>
    <n v="5"/>
    <n v="0"/>
  </r>
  <r>
    <s v="ORD-103240"/>
    <x v="527"/>
    <x v="1"/>
    <d v="2025-06-01T00:00:00"/>
    <n v="6"/>
    <s v="CUST-02084"/>
    <x v="0"/>
    <x v="8"/>
    <s v="AP"/>
    <x v="3"/>
    <s v="Vijayawada"/>
    <x v="4"/>
    <s v="P203"/>
    <s v="Keratin Hair Mask"/>
    <x v="6"/>
    <n v="1"/>
    <n v="549"/>
    <n v="0.2"/>
    <n v="549"/>
    <n v="109.80000000000001"/>
    <n v="439.2"/>
    <n v="170"/>
    <n v="170"/>
    <n v="60"/>
    <n v="209.2"/>
    <n v="0.47632058287795992"/>
    <x v="3"/>
    <d v="2025-06-19T00:00:00"/>
    <n v="4"/>
    <x v="0"/>
    <n v="4"/>
    <n v="0"/>
  </r>
  <r>
    <s v="ORD-103241"/>
    <x v="527"/>
    <x v="1"/>
    <d v="2025-06-01T00:00:00"/>
    <n v="6"/>
    <s v="CUST-01519"/>
    <x v="0"/>
    <x v="14"/>
    <s v="KL"/>
    <x v="3"/>
    <s v="Kochi"/>
    <x v="4"/>
    <s v="P501"/>
    <s v="Copper Water Bottle"/>
    <x v="4"/>
    <n v="1"/>
    <n v="899"/>
    <n v="0.05"/>
    <n v="899"/>
    <n v="44.95"/>
    <n v="854.05"/>
    <n v="378"/>
    <n v="378"/>
    <n v="60"/>
    <n v="416.04999999999995"/>
    <n v="0.48714946431707745"/>
    <x v="1"/>
    <d v="2025-06-17T00:00:00"/>
    <n v="2"/>
    <x v="1"/>
    <m/>
    <n v="0"/>
  </r>
  <r>
    <s v="ORD-103242"/>
    <x v="528"/>
    <x v="1"/>
    <d v="2025-06-01T00:00:00"/>
    <n v="6"/>
    <s v="CUST-02881"/>
    <x v="1"/>
    <x v="19"/>
    <s v="PB"/>
    <x v="0"/>
    <s v="Amritsar"/>
    <x v="0"/>
    <s v="P602"/>
    <s v="Fast Charger 33W"/>
    <x v="2"/>
    <n v="2"/>
    <n v="899"/>
    <n v="0.05"/>
    <n v="1798"/>
    <n v="89.9"/>
    <n v="1708.1"/>
    <n v="494"/>
    <n v="988"/>
    <n v="60"/>
    <n v="660.09999999999991"/>
    <n v="0.38645278379485976"/>
    <x v="3"/>
    <d v="2025-06-21T00:00:00"/>
    <n v="5"/>
    <x v="2"/>
    <n v="5"/>
    <n v="0"/>
  </r>
  <r>
    <s v="ORD-103243"/>
    <x v="528"/>
    <x v="1"/>
    <d v="2025-06-01T00:00:00"/>
    <n v="6"/>
    <s v="CUST-00823"/>
    <x v="1"/>
    <x v="5"/>
    <s v="HP"/>
    <x v="0"/>
    <s v="Shimla"/>
    <x v="0"/>
    <s v="P504"/>
    <s v="Cotton Bedsheet"/>
    <x v="4"/>
    <n v="1"/>
    <n v="1299"/>
    <n v="0"/>
    <n v="1299"/>
    <n v="0"/>
    <n v="1299"/>
    <n v="585"/>
    <n v="585"/>
    <n v="120"/>
    <n v="594"/>
    <n v="0.45727482678983833"/>
    <x v="3"/>
    <d v="2025-06-22T00:00:00"/>
    <n v="6"/>
    <x v="2"/>
    <n v="4"/>
    <n v="1"/>
  </r>
  <r>
    <s v="ORD-103244"/>
    <x v="528"/>
    <x v="1"/>
    <d v="2025-06-01T00:00:00"/>
    <n v="6"/>
    <s v="CUST-01671"/>
    <x v="0"/>
    <x v="6"/>
    <s v="DL"/>
    <x v="0"/>
    <s v="New Delhi"/>
    <x v="0"/>
    <s v="P201"/>
    <s v="Onion Hair Oil"/>
    <x v="6"/>
    <n v="2"/>
    <n v="349"/>
    <n v="0.35"/>
    <n v="698"/>
    <n v="244.29999999999998"/>
    <n v="453.70000000000005"/>
    <n v="105"/>
    <n v="210"/>
    <n v="60"/>
    <n v="183.70000000000005"/>
    <n v="0.40489310116817284"/>
    <x v="0"/>
    <d v="2025-06-17T00:00:00"/>
    <n v="1"/>
    <x v="1"/>
    <n v="5"/>
    <n v="0"/>
  </r>
  <r>
    <s v="ORD-103245"/>
    <x v="528"/>
    <x v="1"/>
    <d v="2025-06-01T00:00:00"/>
    <n v="6"/>
    <s v="CUST-01150"/>
    <x v="1"/>
    <x v="2"/>
    <s v="MH"/>
    <x v="1"/>
    <s v="Nagpur"/>
    <x v="4"/>
    <s v="P103"/>
    <s v="Niacinamide Toner"/>
    <x v="3"/>
    <n v="1"/>
    <n v="399"/>
    <n v="0.2"/>
    <n v="399"/>
    <n v="79.800000000000011"/>
    <n v="319.2"/>
    <n v="112"/>
    <n v="112"/>
    <n v="60"/>
    <n v="147.19999999999999"/>
    <n v="0.46115288220551376"/>
    <x v="3"/>
    <d v="2025-06-19T00:00:00"/>
    <n v="3"/>
    <x v="0"/>
    <n v="4"/>
    <n v="0"/>
  </r>
  <r>
    <s v="ORD-103246"/>
    <x v="528"/>
    <x v="1"/>
    <d v="2025-06-01T00:00:00"/>
    <n v="6"/>
    <s v="CUST-01093"/>
    <x v="1"/>
    <x v="8"/>
    <s v="AP"/>
    <x v="3"/>
    <s v="Visakhapatnam"/>
    <x v="4"/>
    <s v="P402"/>
    <s v="Casual Sneakers"/>
    <x v="5"/>
    <n v="1"/>
    <n v="2199"/>
    <n v="0.2"/>
    <n v="2199"/>
    <n v="439.8"/>
    <n v="1759.2"/>
    <n v="1034"/>
    <n v="1034"/>
    <n v="60"/>
    <n v="665.2"/>
    <n v="0.37812642110050027"/>
    <x v="0"/>
    <d v="2025-06-20T00:00:00"/>
    <n v="4"/>
    <x v="0"/>
    <n v="4"/>
    <n v="0"/>
  </r>
  <r>
    <s v="ORD-103247"/>
    <x v="528"/>
    <x v="1"/>
    <d v="2025-06-01T00:00:00"/>
    <n v="6"/>
    <s v="CUST-00506"/>
    <x v="1"/>
    <x v="17"/>
    <s v="TN"/>
    <x v="3"/>
    <s v="Chennai"/>
    <x v="1"/>
    <s v="P403"/>
    <s v="Kolhapuri Sandals"/>
    <x v="5"/>
    <n v="1"/>
    <n v="999"/>
    <n v="0.1"/>
    <n v="999"/>
    <n v="99.9"/>
    <n v="899.1"/>
    <n v="400"/>
    <n v="400"/>
    <n v="120"/>
    <n v="379.1"/>
    <n v="0.42164386608831056"/>
    <x v="1"/>
    <d v="2025-06-19T00:00:00"/>
    <n v="3"/>
    <x v="0"/>
    <n v="4"/>
    <n v="1"/>
  </r>
  <r>
    <s v="ORD-103248"/>
    <x v="529"/>
    <x v="1"/>
    <d v="2025-06-01T00:00:00"/>
    <n v="6"/>
    <s v="CUST-00819"/>
    <x v="1"/>
    <x v="0"/>
    <s v="RJ"/>
    <x v="0"/>
    <s v="Jaipur"/>
    <x v="0"/>
    <s v="P201"/>
    <s v="Onion Hair Oil"/>
    <x v="6"/>
    <n v="2"/>
    <n v="349"/>
    <n v="0.35"/>
    <n v="698"/>
    <n v="244.29999999999998"/>
    <n v="453.70000000000005"/>
    <n v="105"/>
    <n v="210"/>
    <n v="120"/>
    <n v="123.70000000000005"/>
    <n v="0.27264712364998905"/>
    <x v="4"/>
    <d v="2025-06-20T00:00:00"/>
    <n v="3"/>
    <x v="0"/>
    <n v="4"/>
    <n v="1"/>
  </r>
  <r>
    <s v="ORD-103249"/>
    <x v="529"/>
    <x v="1"/>
    <d v="2025-06-01T00:00:00"/>
    <n v="6"/>
    <s v="CUST-01146"/>
    <x v="1"/>
    <x v="0"/>
    <s v="RJ"/>
    <x v="0"/>
    <s v="Udaipur"/>
    <x v="4"/>
    <s v="P103"/>
    <s v="Niacinamide Toner"/>
    <x v="3"/>
    <n v="2"/>
    <n v="399"/>
    <n v="0.2"/>
    <n v="798"/>
    <n v="159.60000000000002"/>
    <n v="638.4"/>
    <n v="112"/>
    <n v="224"/>
    <n v="60"/>
    <n v="354.4"/>
    <n v="0.55513784461152882"/>
    <x v="0"/>
    <d v="2025-06-22T00:00:00"/>
    <n v="5"/>
    <x v="2"/>
    <n v="3"/>
    <n v="0"/>
  </r>
  <r>
    <s v="ORD-103250"/>
    <x v="529"/>
    <x v="1"/>
    <d v="2025-06-01T00:00:00"/>
    <n v="6"/>
    <s v="CUST-02397"/>
    <x v="1"/>
    <x v="15"/>
    <s v="HR"/>
    <x v="0"/>
    <s v="Faridabad"/>
    <x v="0"/>
    <s v="P701"/>
    <s v="Ashwagandha Capsules"/>
    <x v="0"/>
    <n v="1"/>
    <n v="499"/>
    <n v="0"/>
    <n v="499"/>
    <n v="0"/>
    <n v="499"/>
    <n v="150"/>
    <n v="150"/>
    <n v="60"/>
    <n v="289"/>
    <n v="0.57915831663326656"/>
    <x v="3"/>
    <d v="2025-06-18T00:00:00"/>
    <n v="1"/>
    <x v="1"/>
    <n v="4"/>
    <n v="0"/>
  </r>
  <r>
    <s v="ORD-103251"/>
    <x v="529"/>
    <x v="1"/>
    <d v="2025-06-01T00:00:00"/>
    <n v="6"/>
    <s v="CUST-03173"/>
    <x v="0"/>
    <x v="1"/>
    <s v="GJ"/>
    <x v="1"/>
    <s v="Ahmedabad"/>
    <x v="0"/>
    <s v="P503"/>
    <s v="Scented Candle Set"/>
    <x v="4"/>
    <n v="1"/>
    <n v="699"/>
    <n v="0.2"/>
    <n v="699"/>
    <n v="139.80000000000001"/>
    <n v="559.20000000000005"/>
    <n v="245"/>
    <n v="245"/>
    <n v="60"/>
    <n v="254.20000000000005"/>
    <n v="0.45457796852646642"/>
    <x v="4"/>
    <d v="2025-06-19T00:00:00"/>
    <n v="2"/>
    <x v="1"/>
    <n v="5"/>
    <n v="0"/>
  </r>
  <r>
    <s v="ORD-103252"/>
    <x v="529"/>
    <x v="1"/>
    <d v="2025-06-01T00:00:00"/>
    <n v="6"/>
    <s v="CUST-01613"/>
    <x v="1"/>
    <x v="2"/>
    <s v="MH"/>
    <x v="1"/>
    <s v="Pune"/>
    <x v="2"/>
    <s v="P101"/>
    <s v="Vitamin C Face Serum"/>
    <x v="3"/>
    <n v="2"/>
    <n v="599"/>
    <n v="0.2"/>
    <n v="1198"/>
    <n v="239.60000000000002"/>
    <n v="958.4"/>
    <n v="180"/>
    <n v="360"/>
    <n v="60"/>
    <n v="538.4"/>
    <n v="0.56176961602671116"/>
    <x v="0"/>
    <d v="2025-06-19T00:00:00"/>
    <n v="2"/>
    <x v="1"/>
    <n v="4"/>
    <n v="0"/>
  </r>
  <r>
    <s v="ORD-103253"/>
    <x v="529"/>
    <x v="1"/>
    <d v="2025-06-01T00:00:00"/>
    <n v="6"/>
    <s v="CUST-01423"/>
    <x v="1"/>
    <x v="2"/>
    <s v="MH"/>
    <x v="1"/>
    <s v="Mumbai"/>
    <x v="2"/>
    <s v="P603"/>
    <s v="Smartwatch Strap"/>
    <x v="2"/>
    <n v="1"/>
    <n v="499"/>
    <n v="0.05"/>
    <n v="499"/>
    <n v="24.950000000000003"/>
    <n v="474.05"/>
    <n v="200"/>
    <n v="200"/>
    <n v="60"/>
    <n v="214.05"/>
    <n v="0.45153464824385614"/>
    <x v="4"/>
    <d v="2025-06-20T00:00:00"/>
    <n v="3"/>
    <x v="0"/>
    <n v="4"/>
    <n v="0"/>
  </r>
  <r>
    <s v="ORD-103254"/>
    <x v="529"/>
    <x v="1"/>
    <d v="2025-06-01T00:00:00"/>
    <n v="6"/>
    <s v="CUST-00219"/>
    <x v="1"/>
    <x v="14"/>
    <s v="KL"/>
    <x v="3"/>
    <s v="Thiruvananthapuram"/>
    <x v="1"/>
    <s v="P401"/>
    <s v="Running Shoes"/>
    <x v="5"/>
    <n v="2"/>
    <n v="2999"/>
    <n v="0.25"/>
    <n v="5998"/>
    <n v="1499.5"/>
    <n v="4498.5"/>
    <n v="1440"/>
    <n v="2880"/>
    <n v="120"/>
    <n v="1498.5"/>
    <n v="0.33311103701233746"/>
    <x v="3"/>
    <d v="2025-06-20T00:00:00"/>
    <n v="3"/>
    <x v="0"/>
    <n v="4"/>
    <n v="1"/>
  </r>
  <r>
    <s v="ORD-103255"/>
    <x v="529"/>
    <x v="1"/>
    <d v="2025-06-01T00:00:00"/>
    <n v="6"/>
    <s v="CUST-00163"/>
    <x v="1"/>
    <x v="17"/>
    <s v="TN"/>
    <x v="3"/>
    <s v="Chennai"/>
    <x v="2"/>
    <s v="P704"/>
    <s v="Multivitamin Gummies"/>
    <x v="0"/>
    <n v="3"/>
    <n v="699"/>
    <n v="0.2"/>
    <n v="2097"/>
    <n v="419.40000000000003"/>
    <n v="1677.6"/>
    <n v="238"/>
    <n v="714"/>
    <n v="60"/>
    <n v="903.59999999999991"/>
    <n v="0.53862660944206009"/>
    <x v="3"/>
    <d v="2025-06-20T00:00:00"/>
    <n v="3"/>
    <x v="0"/>
    <n v="3"/>
    <n v="0"/>
  </r>
  <r>
    <s v="ORD-103256"/>
    <x v="530"/>
    <x v="1"/>
    <d v="2025-06-01T00:00:00"/>
    <n v="6"/>
    <s v="CUST-02776"/>
    <x v="0"/>
    <x v="19"/>
    <s v="PB"/>
    <x v="0"/>
    <s v="Amritsar"/>
    <x v="2"/>
    <s v="P403"/>
    <s v="Kolhapuri Sandals"/>
    <x v="5"/>
    <n v="1"/>
    <n v="999"/>
    <n v="0.05"/>
    <n v="999"/>
    <n v="49.95"/>
    <n v="949.05"/>
    <n v="400"/>
    <n v="400"/>
    <n v="60"/>
    <n v="489.04999999999995"/>
    <n v="0.5153047784626732"/>
    <x v="1"/>
    <d v="2025-06-23T00:00:00"/>
    <n v="5"/>
    <x v="2"/>
    <n v="3"/>
    <n v="0"/>
  </r>
  <r>
    <s v="ORD-103257"/>
    <x v="530"/>
    <x v="1"/>
    <d v="2025-06-01T00:00:00"/>
    <n v="6"/>
    <s v="CUST-01118"/>
    <x v="0"/>
    <x v="6"/>
    <s v="DL"/>
    <x v="0"/>
    <s v="New Delhi"/>
    <x v="0"/>
    <s v="P102"/>
    <s v="Sunscreen SPF 50"/>
    <x v="3"/>
    <n v="2"/>
    <n v="449"/>
    <n v="0.05"/>
    <n v="898"/>
    <n v="44.900000000000006"/>
    <n v="853.1"/>
    <n v="144"/>
    <n v="288"/>
    <n v="60"/>
    <n v="505.1"/>
    <n v="0.59207595826983939"/>
    <x v="4"/>
    <d v="2025-06-19T00:00:00"/>
    <n v="1"/>
    <x v="1"/>
    <n v="4"/>
    <n v="0"/>
  </r>
  <r>
    <s v="ORD-103258"/>
    <x v="530"/>
    <x v="1"/>
    <d v="2025-06-01T00:00:00"/>
    <n v="6"/>
    <s v="CUST-03181"/>
    <x v="0"/>
    <x v="2"/>
    <s v="MH"/>
    <x v="1"/>
    <s v="Nagpur"/>
    <x v="4"/>
    <s v="P104"/>
    <s v="Hydrating Face Wash"/>
    <x v="3"/>
    <n v="4"/>
    <n v="299"/>
    <n v="0"/>
    <n v="1196"/>
    <n v="0"/>
    <n v="1196"/>
    <n v="90"/>
    <n v="360"/>
    <n v="60"/>
    <n v="776"/>
    <n v="0.6488294314381271"/>
    <x v="1"/>
    <d v="2025-06-19T00:00:00"/>
    <n v="1"/>
    <x v="1"/>
    <n v="4"/>
    <n v="0"/>
  </r>
  <r>
    <s v="ORD-103259"/>
    <x v="530"/>
    <x v="1"/>
    <d v="2025-06-01T00:00:00"/>
    <n v="6"/>
    <s v="CUST-02305"/>
    <x v="0"/>
    <x v="8"/>
    <s v="AP"/>
    <x v="3"/>
    <s v="Vijayawada"/>
    <x v="0"/>
    <s v="P301"/>
    <s v="Cotton Oversized T-Shirt"/>
    <x v="1"/>
    <n v="1"/>
    <n v="799"/>
    <n v="0.1"/>
    <n v="799"/>
    <n v="79.900000000000006"/>
    <n v="719.1"/>
    <n v="320"/>
    <n v="320"/>
    <n v="60"/>
    <n v="339.1"/>
    <n v="0.47156167431511614"/>
    <x v="3"/>
    <d v="2025-06-21T00:00:00"/>
    <n v="3"/>
    <x v="0"/>
    <n v="4"/>
    <n v="0"/>
  </r>
  <r>
    <s v="ORD-103260"/>
    <x v="530"/>
    <x v="1"/>
    <d v="2025-06-01T00:00:00"/>
    <n v="6"/>
    <s v="CUST-00538"/>
    <x v="1"/>
    <x v="14"/>
    <s v="KL"/>
    <x v="3"/>
    <s v="Kochi"/>
    <x v="0"/>
    <s v="P303"/>
    <s v="Joggers"/>
    <x v="1"/>
    <n v="1"/>
    <n v="1199"/>
    <n v="0.1"/>
    <n v="1199"/>
    <n v="119.9"/>
    <n v="1079.0999999999999"/>
    <n v="492"/>
    <n v="492"/>
    <n v="60"/>
    <n v="527.09999999999991"/>
    <n v="0.48846260772866273"/>
    <x v="0"/>
    <d v="2025-06-22T00:00:00"/>
    <n v="4"/>
    <x v="0"/>
    <n v="3"/>
    <n v="0"/>
  </r>
  <r>
    <s v="ORD-103261"/>
    <x v="530"/>
    <x v="1"/>
    <d v="2025-06-01T00:00:00"/>
    <n v="6"/>
    <s v="CUST-01105"/>
    <x v="1"/>
    <x v="14"/>
    <s v="KL"/>
    <x v="3"/>
    <s v="Kochi"/>
    <x v="3"/>
    <s v="P201"/>
    <s v="Onion Hair Oil"/>
    <x v="6"/>
    <n v="2"/>
    <n v="349"/>
    <n v="0.3"/>
    <n v="698"/>
    <n v="209.4"/>
    <n v="488.6"/>
    <n v="105"/>
    <n v="210"/>
    <n v="60"/>
    <n v="218.60000000000002"/>
    <n v="0.44740073679901765"/>
    <x v="1"/>
    <d v="2025-06-22T00:00:00"/>
    <n v="4"/>
    <x v="0"/>
    <n v="3"/>
    <n v="0"/>
  </r>
  <r>
    <s v="ORD-103262"/>
    <x v="531"/>
    <x v="1"/>
    <d v="2025-06-01T00:00:00"/>
    <n v="6"/>
    <s v="CUST-00594"/>
    <x v="1"/>
    <x v="19"/>
    <s v="PB"/>
    <x v="0"/>
    <s v="Amritsar"/>
    <x v="4"/>
    <s v="P202"/>
    <s v="Argan Shampoo"/>
    <x v="6"/>
    <n v="1"/>
    <n v="449"/>
    <n v="0.15"/>
    <n v="449"/>
    <n v="67.349999999999994"/>
    <n v="381.65"/>
    <n v="148"/>
    <n v="148"/>
    <n v="60"/>
    <n v="173.64999999999998"/>
    <n v="0.45499803484868334"/>
    <x v="3"/>
    <d v="2025-06-22T00:00:00"/>
    <n v="3"/>
    <x v="0"/>
    <n v="4"/>
    <n v="0"/>
  </r>
  <r>
    <s v="ORD-103263"/>
    <x v="531"/>
    <x v="1"/>
    <d v="2025-06-01T00:00:00"/>
    <n v="6"/>
    <s v="CUST-01523"/>
    <x v="1"/>
    <x v="19"/>
    <s v="PB"/>
    <x v="0"/>
    <s v="Amritsar"/>
    <x v="4"/>
    <s v="P301"/>
    <s v="Cotton Oversized T-Shirt"/>
    <x v="1"/>
    <n v="2"/>
    <n v="799"/>
    <n v="0.1"/>
    <n v="1598"/>
    <n v="159.80000000000001"/>
    <n v="1438.2"/>
    <n v="320"/>
    <n v="640"/>
    <n v="60"/>
    <n v="738.2"/>
    <n v="0.51328048950076488"/>
    <x v="0"/>
    <d v="2025-06-21T00:00:00"/>
    <n v="2"/>
    <x v="1"/>
    <n v="4"/>
    <n v="0"/>
  </r>
  <r>
    <s v="ORD-103264"/>
    <x v="531"/>
    <x v="1"/>
    <d v="2025-06-01T00:00:00"/>
    <n v="6"/>
    <s v="CUST-00543"/>
    <x v="1"/>
    <x v="12"/>
    <s v="BR"/>
    <x v="2"/>
    <s v="Patna"/>
    <x v="2"/>
    <s v="P303"/>
    <s v="Joggers"/>
    <x v="1"/>
    <n v="1"/>
    <n v="1199"/>
    <n v="0.05"/>
    <n v="1199"/>
    <n v="59.95"/>
    <n v="1139.05"/>
    <n v="492"/>
    <n v="492"/>
    <n v="60"/>
    <n v="587.04999999999995"/>
    <n v="0.51538562837452262"/>
    <x v="4"/>
    <d v="2025-06-24T00:00:00"/>
    <n v="5"/>
    <x v="2"/>
    <n v="3"/>
    <n v="0"/>
  </r>
  <r>
    <s v="ORD-103265"/>
    <x v="531"/>
    <x v="1"/>
    <d v="2025-06-01T00:00:00"/>
    <n v="6"/>
    <s v="CUST-03011"/>
    <x v="1"/>
    <x v="22"/>
    <s v="AS"/>
    <x v="2"/>
    <s v="Guwahati"/>
    <x v="3"/>
    <s v="P102"/>
    <s v="Sunscreen SPF 50"/>
    <x v="3"/>
    <n v="4"/>
    <n v="449"/>
    <n v="0.05"/>
    <n v="1796"/>
    <n v="89.800000000000011"/>
    <n v="1706.2"/>
    <n v="144"/>
    <n v="576"/>
    <n v="60"/>
    <n v="1070.2"/>
    <n v="0.62724182393623262"/>
    <x v="3"/>
    <d v="2025-06-25T00:00:00"/>
    <n v="6"/>
    <x v="2"/>
    <n v="3"/>
    <n v="0"/>
  </r>
  <r>
    <s v="ORD-103266"/>
    <x v="531"/>
    <x v="1"/>
    <d v="2025-06-01T00:00:00"/>
    <n v="6"/>
    <s v="CUST-00863"/>
    <x v="1"/>
    <x v="1"/>
    <s v="GJ"/>
    <x v="1"/>
    <s v="Surat"/>
    <x v="2"/>
    <s v="P304"/>
    <s v="Denim Jacket"/>
    <x v="1"/>
    <n v="1"/>
    <n v="2499"/>
    <n v="0"/>
    <n v="2499"/>
    <n v="0"/>
    <n v="2499"/>
    <n v="1125"/>
    <n v="1125"/>
    <n v="60"/>
    <n v="1314"/>
    <n v="0.5258103241296519"/>
    <x v="0"/>
    <d v="2025-06-23T00:00:00"/>
    <n v="4"/>
    <x v="0"/>
    <n v="4"/>
    <n v="0"/>
  </r>
  <r>
    <s v="ORD-103267"/>
    <x v="531"/>
    <x v="1"/>
    <d v="2025-06-01T00:00:00"/>
    <n v="6"/>
    <s v="CUST-00057"/>
    <x v="1"/>
    <x v="18"/>
    <s v="WB"/>
    <x v="2"/>
    <s v="Kolkata"/>
    <x v="4"/>
    <s v="P203"/>
    <s v="Keratin Hair Mask"/>
    <x v="6"/>
    <n v="1"/>
    <n v="549"/>
    <n v="0.15"/>
    <n v="549"/>
    <n v="82.35"/>
    <n v="466.65"/>
    <n v="170"/>
    <n v="170"/>
    <n v="60"/>
    <n v="236.64999999999998"/>
    <n v="0.50712525447337398"/>
    <x v="3"/>
    <d v="2025-06-22T00:00:00"/>
    <n v="3"/>
    <x v="0"/>
    <m/>
    <n v="0"/>
  </r>
  <r>
    <s v="ORD-103268"/>
    <x v="531"/>
    <x v="1"/>
    <d v="2025-06-01T00:00:00"/>
    <n v="6"/>
    <s v="CUST-02179"/>
    <x v="0"/>
    <x v="2"/>
    <s v="MH"/>
    <x v="1"/>
    <s v="Nagpur"/>
    <x v="2"/>
    <s v="P203"/>
    <s v="Keratin Hair Mask"/>
    <x v="6"/>
    <n v="1"/>
    <n v="549"/>
    <n v="0.2"/>
    <n v="549"/>
    <n v="109.80000000000001"/>
    <n v="439.2"/>
    <n v="170"/>
    <n v="170"/>
    <n v="60"/>
    <n v="209.2"/>
    <n v="0.47632058287795992"/>
    <x v="0"/>
    <d v="2025-06-22T00:00:00"/>
    <n v="3"/>
    <x v="0"/>
    <n v="4"/>
    <n v="0"/>
  </r>
  <r>
    <s v="ORD-103269"/>
    <x v="531"/>
    <x v="1"/>
    <d v="2025-06-01T00:00:00"/>
    <n v="6"/>
    <s v="CUST-00397"/>
    <x v="0"/>
    <x v="2"/>
    <s v="MH"/>
    <x v="1"/>
    <s v="Nagpur"/>
    <x v="1"/>
    <s v="P301"/>
    <s v="Cotton Oversized T-Shirt"/>
    <x v="1"/>
    <n v="2"/>
    <n v="799"/>
    <n v="0.05"/>
    <n v="1598"/>
    <n v="79.900000000000006"/>
    <n v="1518.1"/>
    <n v="320"/>
    <n v="640"/>
    <n v="60"/>
    <n v="818.09999999999991"/>
    <n v="0.5388973058428298"/>
    <x v="4"/>
    <d v="2025-06-22T00:00:00"/>
    <n v="3"/>
    <x v="0"/>
    <n v="4"/>
    <n v="0"/>
  </r>
  <r>
    <s v="ORD-103270"/>
    <x v="531"/>
    <x v="1"/>
    <d v="2025-06-01T00:00:00"/>
    <n v="6"/>
    <s v="CUST-00562"/>
    <x v="1"/>
    <x v="2"/>
    <s v="MH"/>
    <x v="1"/>
    <s v="Nagpur"/>
    <x v="3"/>
    <s v="P701"/>
    <s v="Ashwagandha Capsules"/>
    <x v="0"/>
    <n v="1"/>
    <n v="499"/>
    <n v="0"/>
    <n v="499"/>
    <n v="0"/>
    <n v="499"/>
    <n v="150"/>
    <n v="150"/>
    <n v="60"/>
    <n v="289"/>
    <n v="0.57915831663326656"/>
    <x v="0"/>
    <d v="2025-06-20T00:00:00"/>
    <n v="1"/>
    <x v="1"/>
    <n v="5"/>
    <n v="0"/>
  </r>
  <r>
    <s v="ORD-103271"/>
    <x v="531"/>
    <x v="1"/>
    <d v="2025-06-01T00:00:00"/>
    <n v="6"/>
    <s v="CUST-00506"/>
    <x v="1"/>
    <x v="17"/>
    <s v="TN"/>
    <x v="3"/>
    <s v="Coimbatore"/>
    <x v="0"/>
    <s v="P503"/>
    <s v="Scented Candle Set"/>
    <x v="4"/>
    <n v="1"/>
    <n v="699"/>
    <n v="0.2"/>
    <n v="699"/>
    <n v="139.80000000000001"/>
    <n v="559.20000000000005"/>
    <n v="245"/>
    <n v="245"/>
    <n v="60"/>
    <n v="254.20000000000005"/>
    <n v="0.45457796852646642"/>
    <x v="0"/>
    <d v="2025-06-22T00:00:00"/>
    <n v="3"/>
    <x v="0"/>
    <m/>
    <n v="0"/>
  </r>
  <r>
    <s v="ORD-103272"/>
    <x v="532"/>
    <x v="1"/>
    <d v="2025-06-01T00:00:00"/>
    <n v="6"/>
    <s v="CUST-01838"/>
    <x v="1"/>
    <x v="15"/>
    <s v="HR"/>
    <x v="0"/>
    <s v="Faridabad"/>
    <x v="4"/>
    <s v="P301"/>
    <s v="Cotton Oversized T-Shirt"/>
    <x v="1"/>
    <n v="1"/>
    <n v="799"/>
    <n v="0"/>
    <n v="799"/>
    <n v="0"/>
    <n v="799"/>
    <n v="320"/>
    <n v="320"/>
    <n v="60"/>
    <n v="419"/>
    <n v="0.52440550688360454"/>
    <x v="3"/>
    <d v="2025-06-23T00:00:00"/>
    <n v="3"/>
    <x v="0"/>
    <n v="3"/>
    <n v="0"/>
  </r>
  <r>
    <s v="ORD-103273"/>
    <x v="532"/>
    <x v="1"/>
    <d v="2025-06-01T00:00:00"/>
    <n v="6"/>
    <s v="CUST-01912"/>
    <x v="0"/>
    <x v="1"/>
    <s v="GJ"/>
    <x v="1"/>
    <s v="Ahmedabad"/>
    <x v="2"/>
    <s v="P301"/>
    <s v="Cotton Oversized T-Shirt"/>
    <x v="1"/>
    <n v="2"/>
    <n v="799"/>
    <n v="0"/>
    <n v="1598"/>
    <n v="0"/>
    <n v="1598"/>
    <n v="320"/>
    <n v="640"/>
    <n v="120"/>
    <n v="838"/>
    <n v="0.52440550688360454"/>
    <x v="3"/>
    <d v="2025-06-25T00:00:00"/>
    <n v="5"/>
    <x v="2"/>
    <n v="3"/>
    <n v="1"/>
  </r>
  <r>
    <s v="ORD-103274"/>
    <x v="532"/>
    <x v="1"/>
    <d v="2025-06-01T00:00:00"/>
    <n v="6"/>
    <s v="CUST-00474"/>
    <x v="1"/>
    <x v="14"/>
    <s v="KL"/>
    <x v="3"/>
    <s v="Thiruvananthapuram"/>
    <x v="3"/>
    <s v="P202"/>
    <s v="Argan Shampoo"/>
    <x v="6"/>
    <n v="1"/>
    <n v="449"/>
    <n v="0.05"/>
    <n v="449"/>
    <n v="22.450000000000003"/>
    <n v="426.55"/>
    <n v="148"/>
    <n v="148"/>
    <n v="60"/>
    <n v="218.55"/>
    <n v="0.51236666275934828"/>
    <x v="0"/>
    <d v="2025-06-23T00:00:00"/>
    <n v="3"/>
    <x v="0"/>
    <n v="3"/>
    <n v="0"/>
  </r>
  <r>
    <s v="ORD-103275"/>
    <x v="532"/>
    <x v="1"/>
    <d v="2025-06-01T00:00:00"/>
    <n v="6"/>
    <s v="CUST-00794"/>
    <x v="1"/>
    <x v="14"/>
    <s v="KL"/>
    <x v="3"/>
    <s v="Kochi"/>
    <x v="2"/>
    <s v="P201"/>
    <s v="Onion Hair Oil"/>
    <x v="6"/>
    <n v="2"/>
    <n v="349"/>
    <n v="0.25"/>
    <n v="698"/>
    <n v="174.5"/>
    <n v="523.5"/>
    <n v="105"/>
    <n v="210"/>
    <n v="60"/>
    <n v="253.5"/>
    <n v="0.48424068767908307"/>
    <x v="0"/>
    <d v="2025-06-24T00:00:00"/>
    <n v="4"/>
    <x v="0"/>
    <m/>
    <n v="0"/>
  </r>
  <r>
    <s v="ORD-103276"/>
    <x v="533"/>
    <x v="1"/>
    <d v="2025-06-01T00:00:00"/>
    <n v="6"/>
    <s v="CUST-02925"/>
    <x v="0"/>
    <x v="0"/>
    <s v="RJ"/>
    <x v="0"/>
    <s v="Udaipur"/>
    <x v="1"/>
    <s v="P302"/>
    <s v="Linen Kurta"/>
    <x v="1"/>
    <n v="1"/>
    <n v="1499"/>
    <n v="0.4"/>
    <n v="1499"/>
    <n v="599.6"/>
    <n v="899.4"/>
    <n v="630"/>
    <n v="630"/>
    <n v="60"/>
    <n v="209.39999999999998"/>
    <n v="0.23282188125416942"/>
    <x v="3"/>
    <d v="2025-06-24T00:00:00"/>
    <n v="3"/>
    <x v="0"/>
    <n v="4"/>
    <n v="0"/>
  </r>
  <r>
    <s v="ORD-103277"/>
    <x v="533"/>
    <x v="1"/>
    <d v="2025-06-01T00:00:00"/>
    <n v="6"/>
    <s v="CUST-02142"/>
    <x v="0"/>
    <x v="12"/>
    <s v="BR"/>
    <x v="2"/>
    <s v="Patna"/>
    <x v="0"/>
    <s v="P301"/>
    <s v="Cotton Oversized T-Shirt"/>
    <x v="1"/>
    <n v="2"/>
    <n v="799"/>
    <n v="0.1"/>
    <n v="1598"/>
    <n v="159.80000000000001"/>
    <n v="1438.2"/>
    <n v="320"/>
    <n v="640"/>
    <n v="60"/>
    <n v="738.2"/>
    <n v="0.51328048950076488"/>
    <x v="3"/>
    <d v="2025-06-25T00:00:00"/>
    <n v="4"/>
    <x v="0"/>
    <m/>
    <n v="0"/>
  </r>
  <r>
    <s v="ORD-103278"/>
    <x v="533"/>
    <x v="1"/>
    <d v="2025-06-01T00:00:00"/>
    <n v="6"/>
    <s v="CUST-01411"/>
    <x v="1"/>
    <x v="1"/>
    <s v="GJ"/>
    <x v="1"/>
    <s v="Ahmedabad"/>
    <x v="0"/>
    <s v="P104"/>
    <s v="Hydrating Face Wash"/>
    <x v="3"/>
    <n v="3"/>
    <n v="299"/>
    <n v="0.05"/>
    <n v="897"/>
    <n v="44.85"/>
    <n v="852.15"/>
    <n v="90"/>
    <n v="270"/>
    <n v="60"/>
    <n v="522.15"/>
    <n v="0.61274423516986443"/>
    <x v="0"/>
    <d v="2025-06-23T00:00:00"/>
    <n v="2"/>
    <x v="1"/>
    <n v="4"/>
    <n v="0"/>
  </r>
  <r>
    <s v="ORD-103279"/>
    <x v="533"/>
    <x v="1"/>
    <d v="2025-06-01T00:00:00"/>
    <n v="6"/>
    <s v="CUST-00972"/>
    <x v="1"/>
    <x v="13"/>
    <s v="MP"/>
    <x v="1"/>
    <s v="Bhopal"/>
    <x v="3"/>
    <s v="P704"/>
    <s v="Multivitamin Gummies"/>
    <x v="0"/>
    <n v="1"/>
    <n v="699"/>
    <n v="0.15"/>
    <n v="699"/>
    <n v="104.85"/>
    <n v="594.15"/>
    <n v="238"/>
    <n v="238"/>
    <n v="60"/>
    <n v="296.14999999999998"/>
    <n v="0.49844315408566858"/>
    <x v="3"/>
    <d v="2025-06-24T00:00:00"/>
    <n v="3"/>
    <x v="0"/>
    <m/>
    <n v="0"/>
  </r>
  <r>
    <s v="ORD-103280"/>
    <x v="533"/>
    <x v="1"/>
    <d v="2025-06-01T00:00:00"/>
    <n v="6"/>
    <s v="CUST-00359"/>
    <x v="1"/>
    <x v="2"/>
    <s v="MH"/>
    <x v="1"/>
    <s v="Nagpur"/>
    <x v="2"/>
    <s v="P102"/>
    <s v="Sunscreen SPF 50"/>
    <x v="3"/>
    <n v="1"/>
    <n v="449"/>
    <n v="0.05"/>
    <n v="449"/>
    <n v="22.450000000000003"/>
    <n v="426.55"/>
    <n v="144"/>
    <n v="144"/>
    <n v="120"/>
    <n v="162.55000000000001"/>
    <n v="0.38108076427148052"/>
    <x v="0"/>
    <d v="2025-06-23T00:00:00"/>
    <n v="2"/>
    <x v="1"/>
    <m/>
    <n v="1"/>
  </r>
  <r>
    <s v="ORD-103281"/>
    <x v="534"/>
    <x v="1"/>
    <d v="2025-06-01T00:00:00"/>
    <n v="6"/>
    <s v="CUST-02056"/>
    <x v="1"/>
    <x v="0"/>
    <s v="RJ"/>
    <x v="0"/>
    <s v="Jaipur"/>
    <x v="2"/>
    <s v="P403"/>
    <s v="Kolhapuri Sandals"/>
    <x v="5"/>
    <n v="1"/>
    <n v="999"/>
    <n v="0"/>
    <n v="999"/>
    <n v="0"/>
    <n v="999"/>
    <n v="400"/>
    <n v="400"/>
    <n v="60"/>
    <n v="539"/>
    <n v="0.53953953953953959"/>
    <x v="0"/>
    <d v="2025-06-27T00:00:00"/>
    <n v="5"/>
    <x v="2"/>
    <n v="4"/>
    <n v="0"/>
  </r>
  <r>
    <s v="ORD-103282"/>
    <x v="534"/>
    <x v="1"/>
    <d v="2025-06-01T00:00:00"/>
    <n v="6"/>
    <s v="CUST-02726"/>
    <x v="0"/>
    <x v="1"/>
    <s v="GJ"/>
    <x v="1"/>
    <s v="Surat"/>
    <x v="0"/>
    <s v="P202"/>
    <s v="Argan Shampoo"/>
    <x v="6"/>
    <n v="1"/>
    <n v="449"/>
    <n v="0.05"/>
    <n v="449"/>
    <n v="22.450000000000003"/>
    <n v="426.55"/>
    <n v="148"/>
    <n v="148"/>
    <n v="60"/>
    <n v="218.55"/>
    <n v="0.51236666275934828"/>
    <x v="0"/>
    <d v="2025-06-24T00:00:00"/>
    <n v="2"/>
    <x v="1"/>
    <m/>
    <n v="0"/>
  </r>
  <r>
    <s v="ORD-103283"/>
    <x v="534"/>
    <x v="1"/>
    <d v="2025-06-01T00:00:00"/>
    <n v="6"/>
    <s v="CUST-00526"/>
    <x v="1"/>
    <x v="2"/>
    <s v="MH"/>
    <x v="1"/>
    <s v="Mumbai"/>
    <x v="3"/>
    <s v="P103"/>
    <s v="Niacinamide Toner"/>
    <x v="3"/>
    <n v="1"/>
    <n v="399"/>
    <n v="0.25"/>
    <n v="399"/>
    <n v="99.75"/>
    <n v="299.25"/>
    <n v="112"/>
    <n v="112"/>
    <n v="60"/>
    <n v="127.25"/>
    <n v="0.42522974101921468"/>
    <x v="2"/>
    <d v="2025-06-23T00:00:00"/>
    <n v="1"/>
    <x v="1"/>
    <m/>
    <n v="0"/>
  </r>
  <r>
    <s v="ORD-103284"/>
    <x v="534"/>
    <x v="1"/>
    <d v="2025-06-01T00:00:00"/>
    <n v="6"/>
    <s v="CUST-00714"/>
    <x v="1"/>
    <x v="2"/>
    <s v="MH"/>
    <x v="1"/>
    <s v="Mumbai"/>
    <x v="0"/>
    <s v="P701"/>
    <s v="Ashwagandha Capsules"/>
    <x v="0"/>
    <n v="1"/>
    <n v="499"/>
    <n v="0.1"/>
    <n v="499"/>
    <n v="49.900000000000006"/>
    <n v="449.1"/>
    <n v="150"/>
    <n v="150"/>
    <n v="60"/>
    <n v="239.10000000000002"/>
    <n v="0.53239812959251842"/>
    <x v="0"/>
    <d v="2025-06-23T00:00:00"/>
    <n v="1"/>
    <x v="1"/>
    <n v="4"/>
    <n v="0"/>
  </r>
  <r>
    <s v="ORD-103285"/>
    <x v="534"/>
    <x v="1"/>
    <d v="2025-06-01T00:00:00"/>
    <n v="6"/>
    <s v="CUST-00052"/>
    <x v="1"/>
    <x v="14"/>
    <s v="KL"/>
    <x v="3"/>
    <s v="Kochi"/>
    <x v="0"/>
    <s v="P403"/>
    <s v="Kolhapuri Sandals"/>
    <x v="5"/>
    <n v="1"/>
    <n v="999"/>
    <n v="0"/>
    <n v="999"/>
    <n v="0"/>
    <n v="999"/>
    <n v="400"/>
    <n v="400"/>
    <n v="120"/>
    <n v="479"/>
    <n v="0.4794794794794795"/>
    <x v="3"/>
    <d v="2025-06-28T00:00:00"/>
    <n v="6"/>
    <x v="2"/>
    <n v="3"/>
    <n v="1"/>
  </r>
  <r>
    <s v="ORD-103286"/>
    <x v="534"/>
    <x v="1"/>
    <d v="2025-06-01T00:00:00"/>
    <n v="6"/>
    <s v="CUST-02888"/>
    <x v="1"/>
    <x v="17"/>
    <s v="TN"/>
    <x v="3"/>
    <s v="Chennai"/>
    <x v="4"/>
    <s v="P104"/>
    <s v="Hydrating Face Wash"/>
    <x v="3"/>
    <n v="1"/>
    <n v="299"/>
    <n v="0"/>
    <n v="299"/>
    <n v="0"/>
    <n v="299"/>
    <n v="90"/>
    <n v="90"/>
    <n v="60"/>
    <n v="149"/>
    <n v="0.49832775919732442"/>
    <x v="3"/>
    <d v="2025-06-25T00:00:00"/>
    <n v="3"/>
    <x v="0"/>
    <n v="4"/>
    <n v="0"/>
  </r>
  <r>
    <s v="ORD-103287"/>
    <x v="534"/>
    <x v="1"/>
    <d v="2025-06-01T00:00:00"/>
    <n v="6"/>
    <s v="CUST-00591"/>
    <x v="0"/>
    <x v="17"/>
    <s v="TN"/>
    <x v="3"/>
    <s v="Coimbatore"/>
    <x v="0"/>
    <s v="P504"/>
    <s v="Cotton Bedsheet"/>
    <x v="4"/>
    <n v="1"/>
    <n v="1299"/>
    <n v="0"/>
    <n v="1299"/>
    <n v="0"/>
    <n v="1299"/>
    <n v="585"/>
    <n v="585"/>
    <n v="60"/>
    <n v="654"/>
    <n v="0.50346420323325636"/>
    <x v="0"/>
    <d v="2025-06-25T00:00:00"/>
    <n v="3"/>
    <x v="0"/>
    <n v="4"/>
    <n v="0"/>
  </r>
  <r>
    <s v="ORD-103288"/>
    <x v="534"/>
    <x v="1"/>
    <d v="2025-06-01T00:00:00"/>
    <n v="6"/>
    <s v="CUST-01341"/>
    <x v="1"/>
    <x v="17"/>
    <s v="TN"/>
    <x v="3"/>
    <s v="Coimbatore"/>
    <x v="2"/>
    <s v="P104"/>
    <s v="Hydrating Face Wash"/>
    <x v="3"/>
    <n v="1"/>
    <n v="299"/>
    <n v="0"/>
    <n v="299"/>
    <n v="0"/>
    <n v="299"/>
    <n v="90"/>
    <n v="90"/>
    <n v="120"/>
    <n v="89"/>
    <n v="0.2976588628762542"/>
    <x v="3"/>
    <d v="2025-06-26T00:00:00"/>
    <n v="4"/>
    <x v="0"/>
    <n v="4"/>
    <n v="1"/>
  </r>
  <r>
    <s v="ORD-103289"/>
    <x v="535"/>
    <x v="1"/>
    <d v="2025-06-01T00:00:00"/>
    <n v="6"/>
    <s v="CUST-00456"/>
    <x v="1"/>
    <x v="0"/>
    <s v="RJ"/>
    <x v="0"/>
    <s v="Jaipur"/>
    <x v="4"/>
    <s v="P104"/>
    <s v="Hydrating Face Wash"/>
    <x v="3"/>
    <n v="2"/>
    <n v="299"/>
    <n v="0.1"/>
    <n v="598"/>
    <n v="59.800000000000004"/>
    <n v="538.20000000000005"/>
    <n v="90"/>
    <n v="180"/>
    <n v="60"/>
    <n v="298.20000000000005"/>
    <n v="0.55406911928651059"/>
    <x v="0"/>
    <d v="2025-06-27T00:00:00"/>
    <n v="4"/>
    <x v="0"/>
    <n v="3"/>
    <n v="0"/>
  </r>
  <r>
    <s v="ORD-103290"/>
    <x v="535"/>
    <x v="1"/>
    <d v="2025-06-01T00:00:00"/>
    <n v="6"/>
    <s v="CUST-00505"/>
    <x v="1"/>
    <x v="7"/>
    <s v="JH"/>
    <x v="2"/>
    <s v="Ranchi"/>
    <x v="1"/>
    <s v="P304"/>
    <s v="Denim Jacket"/>
    <x v="1"/>
    <n v="2"/>
    <n v="2499"/>
    <n v="0.1"/>
    <n v="4998"/>
    <n v="499.8"/>
    <n v="4498.2"/>
    <n v="1125"/>
    <n v="2250"/>
    <n v="60"/>
    <n v="2188.1999999999998"/>
    <n v="0.48646125116713351"/>
    <x v="0"/>
    <d v="2025-06-26T00:00:00"/>
    <n v="3"/>
    <x v="0"/>
    <n v="4"/>
    <n v="0"/>
  </r>
  <r>
    <s v="ORD-103291"/>
    <x v="535"/>
    <x v="1"/>
    <d v="2025-06-01T00:00:00"/>
    <n v="6"/>
    <s v="CUST-00800"/>
    <x v="0"/>
    <x v="2"/>
    <s v="MH"/>
    <x v="1"/>
    <s v="Pune"/>
    <x v="1"/>
    <s v="P305"/>
    <s v="Printed Saree"/>
    <x v="1"/>
    <n v="1"/>
    <n v="1999"/>
    <n v="0.1"/>
    <n v="1999"/>
    <n v="199.9"/>
    <n v="1799.1"/>
    <n v="880"/>
    <n v="880"/>
    <n v="120"/>
    <n v="799.09999999999991"/>
    <n v="0.44416652770829856"/>
    <x v="3"/>
    <d v="2025-06-25T00:00:00"/>
    <n v="2"/>
    <x v="1"/>
    <n v="5"/>
    <n v="1"/>
  </r>
  <r>
    <s v="ORD-103292"/>
    <x v="535"/>
    <x v="1"/>
    <d v="2025-06-01T00:00:00"/>
    <n v="6"/>
    <s v="CUST-00474"/>
    <x v="1"/>
    <x v="21"/>
    <s v="TG"/>
    <x v="3"/>
    <s v="Hyderabad"/>
    <x v="2"/>
    <s v="P104"/>
    <s v="Hydrating Face Wash"/>
    <x v="3"/>
    <n v="2"/>
    <n v="299"/>
    <n v="0.05"/>
    <n v="598"/>
    <n v="29.900000000000002"/>
    <n v="568.1"/>
    <n v="90"/>
    <n v="180"/>
    <n v="60"/>
    <n v="328.1"/>
    <n v="0.57753916563985219"/>
    <x v="0"/>
    <d v="2025-06-26T00:00:00"/>
    <n v="3"/>
    <x v="0"/>
    <n v="3"/>
    <n v="0"/>
  </r>
  <r>
    <s v="ORD-103293"/>
    <x v="535"/>
    <x v="1"/>
    <d v="2025-06-01T00:00:00"/>
    <n v="6"/>
    <s v="CUST-00937"/>
    <x v="1"/>
    <x v="21"/>
    <s v="TG"/>
    <x v="3"/>
    <s v="Hyderabad"/>
    <x v="2"/>
    <s v="P704"/>
    <s v="Multivitamin Gummies"/>
    <x v="0"/>
    <n v="1"/>
    <n v="699"/>
    <n v="0.15"/>
    <n v="699"/>
    <n v="104.85"/>
    <n v="594.15"/>
    <n v="238"/>
    <n v="238"/>
    <n v="60"/>
    <n v="296.14999999999998"/>
    <n v="0.49844315408566858"/>
    <x v="0"/>
    <d v="2025-06-27T00:00:00"/>
    <n v="4"/>
    <x v="0"/>
    <m/>
    <n v="0"/>
  </r>
  <r>
    <s v="ORD-103294"/>
    <x v="535"/>
    <x v="1"/>
    <d v="2025-06-01T00:00:00"/>
    <n v="6"/>
    <s v="CUST-02919"/>
    <x v="0"/>
    <x v="8"/>
    <s v="AP"/>
    <x v="3"/>
    <s v="Visakhapatnam"/>
    <x v="0"/>
    <s v="P305"/>
    <s v="Printed Saree"/>
    <x v="1"/>
    <n v="3"/>
    <n v="1999"/>
    <n v="0.05"/>
    <n v="5997"/>
    <n v="299.85000000000002"/>
    <n v="5697.15"/>
    <n v="880"/>
    <n v="2640"/>
    <n v="60"/>
    <n v="2997.1499999999996"/>
    <n v="0.52607882888812829"/>
    <x v="4"/>
    <d v="2025-06-28T00:00:00"/>
    <n v="5"/>
    <x v="2"/>
    <n v="3"/>
    <n v="0"/>
  </r>
  <r>
    <s v="ORD-103295"/>
    <x v="536"/>
    <x v="1"/>
    <d v="2025-06-01T00:00:00"/>
    <n v="6"/>
    <s v="CUST-01892"/>
    <x v="1"/>
    <x v="6"/>
    <s v="DL"/>
    <x v="0"/>
    <s v="New Delhi"/>
    <x v="1"/>
    <s v="P305"/>
    <s v="Printed Saree"/>
    <x v="1"/>
    <n v="2"/>
    <n v="1999"/>
    <n v="0.05"/>
    <n v="3998"/>
    <n v="199.9"/>
    <n v="3798.1"/>
    <n v="880"/>
    <n v="1760"/>
    <n v="60"/>
    <n v="1978.1"/>
    <n v="0.52081303809799639"/>
    <x v="0"/>
    <d v="2025-06-26T00:00:00"/>
    <n v="2"/>
    <x v="1"/>
    <n v="5"/>
    <n v="0"/>
  </r>
  <r>
    <s v="ORD-103296"/>
    <x v="536"/>
    <x v="1"/>
    <d v="2025-06-01T00:00:00"/>
    <n v="6"/>
    <s v="CUST-02289"/>
    <x v="1"/>
    <x v="6"/>
    <s v="DL"/>
    <x v="0"/>
    <s v="New Delhi"/>
    <x v="0"/>
    <s v="P204"/>
    <s v="Anti-Dandruff Conditioner"/>
    <x v="6"/>
    <n v="1"/>
    <n v="399"/>
    <n v="0.45"/>
    <n v="399"/>
    <n v="179.55"/>
    <n v="219.45"/>
    <n v="136"/>
    <n v="136"/>
    <n v="60"/>
    <n v="23.449999999999989"/>
    <n v="0.10685805422647524"/>
    <x v="0"/>
    <d v="2025-06-25T00:00:00"/>
    <n v="1"/>
    <x v="1"/>
    <m/>
    <n v="0"/>
  </r>
  <r>
    <s v="ORD-103297"/>
    <x v="536"/>
    <x v="1"/>
    <d v="2025-06-01T00:00:00"/>
    <n v="6"/>
    <s v="CUST-03176"/>
    <x v="0"/>
    <x v="6"/>
    <s v="DL"/>
    <x v="0"/>
    <s v="New Delhi"/>
    <x v="4"/>
    <s v="P703"/>
    <s v="Green Tea (100 bags)"/>
    <x v="0"/>
    <n v="2"/>
    <n v="399"/>
    <n v="0.35"/>
    <n v="798"/>
    <n v="279.29999999999995"/>
    <n v="518.70000000000005"/>
    <n v="128"/>
    <n v="256"/>
    <n v="60"/>
    <n v="202.70000000000005"/>
    <n v="0.39078465394254874"/>
    <x v="0"/>
    <d v="2025-06-25T00:00:00"/>
    <n v="1"/>
    <x v="1"/>
    <n v="4"/>
    <n v="0"/>
  </r>
  <r>
    <s v="ORD-103298"/>
    <x v="536"/>
    <x v="1"/>
    <d v="2025-06-01T00:00:00"/>
    <n v="6"/>
    <s v="CUST-00912"/>
    <x v="0"/>
    <x v="16"/>
    <s v="UP"/>
    <x v="0"/>
    <s v="Lucknow"/>
    <x v="4"/>
    <s v="P105"/>
    <s v="Retinol Night Cream"/>
    <x v="3"/>
    <n v="1"/>
    <n v="799"/>
    <n v="0.05"/>
    <n v="799"/>
    <n v="39.950000000000003"/>
    <n v="759.05"/>
    <n v="216"/>
    <n v="216"/>
    <n v="120"/>
    <n v="423.04999999999995"/>
    <n v="0.5573414136091166"/>
    <x v="0"/>
    <d v="2025-06-28T00:00:00"/>
    <n v="4"/>
    <x v="0"/>
    <n v="4"/>
    <n v="1"/>
  </r>
  <r>
    <s v="ORD-103299"/>
    <x v="536"/>
    <x v="1"/>
    <d v="2025-06-01T00:00:00"/>
    <n v="6"/>
    <s v="CUST-00950"/>
    <x v="1"/>
    <x v="13"/>
    <s v="MP"/>
    <x v="1"/>
    <s v="Indore"/>
    <x v="1"/>
    <s v="P301"/>
    <s v="Cotton Oversized T-Shirt"/>
    <x v="1"/>
    <n v="2"/>
    <n v="799"/>
    <n v="0.1"/>
    <n v="1598"/>
    <n v="159.80000000000001"/>
    <n v="1438.2"/>
    <n v="320"/>
    <n v="640"/>
    <n v="120"/>
    <n v="678.2"/>
    <n v="0.47156167431511614"/>
    <x v="4"/>
    <d v="2025-06-28T00:00:00"/>
    <n v="4"/>
    <x v="0"/>
    <m/>
    <n v="1"/>
  </r>
  <r>
    <s v="ORD-103300"/>
    <x v="536"/>
    <x v="1"/>
    <d v="2025-06-01T00:00:00"/>
    <n v="6"/>
    <s v="CUST-03143"/>
    <x v="1"/>
    <x v="2"/>
    <s v="MH"/>
    <x v="1"/>
    <s v="Mumbai"/>
    <x v="0"/>
    <s v="P104"/>
    <s v="Hydrating Face Wash"/>
    <x v="3"/>
    <n v="2"/>
    <n v="299"/>
    <n v="0"/>
    <n v="598"/>
    <n v="0"/>
    <n v="598"/>
    <n v="90"/>
    <n v="180"/>
    <n v="60"/>
    <n v="358"/>
    <n v="0.59866220735785958"/>
    <x v="1"/>
    <d v="2025-06-25T00:00:00"/>
    <n v="1"/>
    <x v="1"/>
    <n v="5"/>
    <n v="0"/>
  </r>
  <r>
    <s v="ORD-103301"/>
    <x v="536"/>
    <x v="1"/>
    <d v="2025-06-01T00:00:00"/>
    <n v="6"/>
    <s v="CUST-00323"/>
    <x v="1"/>
    <x v="8"/>
    <s v="AP"/>
    <x v="3"/>
    <s v="Vijayawada"/>
    <x v="2"/>
    <s v="P703"/>
    <s v="Green Tea (100 bags)"/>
    <x v="0"/>
    <n v="3"/>
    <n v="399"/>
    <n v="0.4"/>
    <n v="1197"/>
    <n v="478.8"/>
    <n v="718.2"/>
    <n v="128"/>
    <n v="384"/>
    <n v="60"/>
    <n v="274.20000000000005"/>
    <n v="0.38178780284043445"/>
    <x v="0"/>
    <d v="2025-06-27T00:00:00"/>
    <n v="3"/>
    <x v="0"/>
    <n v="3"/>
    <n v="0"/>
  </r>
  <r>
    <s v="ORD-103302"/>
    <x v="536"/>
    <x v="1"/>
    <d v="2025-06-01T00:00:00"/>
    <n v="6"/>
    <s v="CUST-00265"/>
    <x v="1"/>
    <x v="17"/>
    <s v="TN"/>
    <x v="3"/>
    <s v="Chennai"/>
    <x v="2"/>
    <s v="P703"/>
    <s v="Green Tea (100 bags)"/>
    <x v="0"/>
    <n v="1"/>
    <n v="399"/>
    <n v="0.25"/>
    <n v="399"/>
    <n v="99.75"/>
    <n v="299.25"/>
    <n v="128"/>
    <n v="128"/>
    <n v="60"/>
    <n v="111.25"/>
    <n v="0.37176274018379279"/>
    <x v="0"/>
    <d v="2025-06-29T00:00:00"/>
    <n v="5"/>
    <x v="2"/>
    <n v="3"/>
    <n v="0"/>
  </r>
  <r>
    <s v="ORD-103303"/>
    <x v="537"/>
    <x v="1"/>
    <d v="2025-06-01T00:00:00"/>
    <n v="6"/>
    <s v="CUST-00833"/>
    <x v="1"/>
    <x v="12"/>
    <s v="BR"/>
    <x v="2"/>
    <s v="Patna"/>
    <x v="2"/>
    <s v="P703"/>
    <s v="Green Tea (100 bags)"/>
    <x v="0"/>
    <n v="2"/>
    <n v="399"/>
    <n v="0.3"/>
    <n v="798"/>
    <n v="239.39999999999998"/>
    <n v="558.6"/>
    <n v="128"/>
    <n v="256"/>
    <n v="60"/>
    <n v="242.60000000000002"/>
    <n v="0.43430003580379523"/>
    <x v="1"/>
    <d v="2025-07-01T00:00:00"/>
    <n v="6"/>
    <x v="2"/>
    <m/>
    <n v="0"/>
  </r>
  <r>
    <s v="ORD-103304"/>
    <x v="537"/>
    <x v="1"/>
    <d v="2025-06-01T00:00:00"/>
    <n v="6"/>
    <s v="CUST-01059"/>
    <x v="1"/>
    <x v="10"/>
    <s v="CG"/>
    <x v="2"/>
    <s v="Raipur"/>
    <x v="0"/>
    <s v="P101"/>
    <s v="Vitamin C Face Serum"/>
    <x v="3"/>
    <n v="1"/>
    <n v="599"/>
    <n v="0.2"/>
    <n v="599"/>
    <n v="119.80000000000001"/>
    <n v="479.2"/>
    <n v="180"/>
    <n v="180"/>
    <n v="60"/>
    <n v="239.2"/>
    <n v="0.4991652754590985"/>
    <x v="0"/>
    <d v="2025-06-29T00:00:00"/>
    <n v="4"/>
    <x v="0"/>
    <m/>
    <n v="0"/>
  </r>
  <r>
    <s v="ORD-103305"/>
    <x v="537"/>
    <x v="1"/>
    <d v="2025-06-01T00:00:00"/>
    <n v="6"/>
    <s v="CUST-00408"/>
    <x v="1"/>
    <x v="2"/>
    <s v="MH"/>
    <x v="1"/>
    <s v="Mumbai"/>
    <x v="1"/>
    <s v="P305"/>
    <s v="Printed Saree"/>
    <x v="1"/>
    <n v="1"/>
    <n v="1999"/>
    <n v="0.15"/>
    <n v="1999"/>
    <n v="299.84999999999997"/>
    <n v="1699.15"/>
    <n v="880"/>
    <n v="880"/>
    <n v="60"/>
    <n v="759.15000000000009"/>
    <n v="0.44678221463673018"/>
    <x v="0"/>
    <d v="2025-06-27T00:00:00"/>
    <n v="2"/>
    <x v="1"/>
    <n v="3"/>
    <n v="0"/>
  </r>
  <r>
    <s v="ORD-103306"/>
    <x v="537"/>
    <x v="1"/>
    <d v="2025-06-01T00:00:00"/>
    <n v="6"/>
    <s v="CUST-03097"/>
    <x v="1"/>
    <x v="8"/>
    <s v="AP"/>
    <x v="3"/>
    <s v="Vijayawada"/>
    <x v="2"/>
    <s v="P103"/>
    <s v="Niacinamide Toner"/>
    <x v="3"/>
    <n v="1"/>
    <n v="399"/>
    <n v="0.15"/>
    <n v="399"/>
    <n v="59.849999999999994"/>
    <n v="339.15"/>
    <n v="112"/>
    <n v="112"/>
    <n v="120"/>
    <n v="107.14999999999998"/>
    <n v="0.31593690107621991"/>
    <x v="1"/>
    <d v="2025-06-27T00:00:00"/>
    <n v="2"/>
    <x v="1"/>
    <n v="4"/>
    <n v="1"/>
  </r>
  <r>
    <s v="ORD-103307"/>
    <x v="537"/>
    <x v="1"/>
    <d v="2025-06-01T00:00:00"/>
    <n v="6"/>
    <s v="CUST-01774"/>
    <x v="0"/>
    <x v="14"/>
    <s v="KL"/>
    <x v="3"/>
    <s v="Thiruvananthapuram"/>
    <x v="3"/>
    <s v="P204"/>
    <s v="Anti-Dandruff Conditioner"/>
    <x v="6"/>
    <n v="1"/>
    <n v="399"/>
    <n v="0.45"/>
    <n v="399"/>
    <n v="179.55"/>
    <n v="219.45"/>
    <n v="136"/>
    <n v="136"/>
    <n v="60"/>
    <n v="23.449999999999989"/>
    <n v="0.10685805422647524"/>
    <x v="1"/>
    <d v="2025-06-29T00:00:00"/>
    <n v="4"/>
    <x v="0"/>
    <m/>
    <n v="0"/>
  </r>
  <r>
    <s v="ORD-103308"/>
    <x v="538"/>
    <x v="1"/>
    <d v="2025-06-01T00:00:00"/>
    <n v="6"/>
    <s v="CUST-00174"/>
    <x v="1"/>
    <x v="19"/>
    <s v="PB"/>
    <x v="0"/>
    <s v="Amritsar"/>
    <x v="0"/>
    <s v="P503"/>
    <s v="Scented Candle Set"/>
    <x v="4"/>
    <n v="1"/>
    <n v="699"/>
    <n v="0.2"/>
    <n v="699"/>
    <n v="139.80000000000001"/>
    <n v="559.20000000000005"/>
    <n v="245"/>
    <n v="245"/>
    <n v="60"/>
    <n v="254.20000000000005"/>
    <n v="0.45457796852646642"/>
    <x v="0"/>
    <d v="2025-07-02T00:00:00"/>
    <n v="6"/>
    <x v="2"/>
    <m/>
    <n v="0"/>
  </r>
  <r>
    <s v="ORD-103309"/>
    <x v="538"/>
    <x v="1"/>
    <d v="2025-06-01T00:00:00"/>
    <n v="6"/>
    <s v="CUST-02317"/>
    <x v="1"/>
    <x v="19"/>
    <s v="PB"/>
    <x v="0"/>
    <s v="Amritsar"/>
    <x v="2"/>
    <s v="P203"/>
    <s v="Keratin Hair Mask"/>
    <x v="6"/>
    <n v="1"/>
    <n v="549"/>
    <n v="0.05"/>
    <n v="549"/>
    <n v="27.450000000000003"/>
    <n v="521.54999999999995"/>
    <n v="170"/>
    <n v="170"/>
    <n v="120"/>
    <n v="231.54999999999995"/>
    <n v="0.44396510401687272"/>
    <x v="3"/>
    <d v="2025-06-30T00:00:00"/>
    <n v="4"/>
    <x v="0"/>
    <n v="3"/>
    <n v="1"/>
  </r>
  <r>
    <s v="ORD-103310"/>
    <x v="538"/>
    <x v="1"/>
    <d v="2025-06-01T00:00:00"/>
    <n v="6"/>
    <s v="CUST-00277"/>
    <x v="1"/>
    <x v="0"/>
    <s v="RJ"/>
    <x v="0"/>
    <s v="Jaipur"/>
    <x v="3"/>
    <s v="P704"/>
    <s v="Multivitamin Gummies"/>
    <x v="0"/>
    <n v="3"/>
    <n v="699"/>
    <n v="0.25"/>
    <n v="2097"/>
    <n v="524.25"/>
    <n v="1572.75"/>
    <n v="238"/>
    <n v="714"/>
    <n v="60"/>
    <n v="798.75"/>
    <n v="0.50786838340486407"/>
    <x v="4"/>
    <d v="2025-06-29T00:00:00"/>
    <n v="3"/>
    <x v="0"/>
    <m/>
    <n v="0"/>
  </r>
  <r>
    <s v="ORD-103311"/>
    <x v="538"/>
    <x v="1"/>
    <d v="2025-06-01T00:00:00"/>
    <n v="6"/>
    <s v="CUST-01690"/>
    <x v="0"/>
    <x v="2"/>
    <s v="MH"/>
    <x v="1"/>
    <s v="Pune"/>
    <x v="3"/>
    <s v="P204"/>
    <s v="Anti-Dandruff Conditioner"/>
    <x v="6"/>
    <n v="2"/>
    <n v="399"/>
    <n v="0.4"/>
    <n v="798"/>
    <n v="319.20000000000005"/>
    <n v="478.79999999999995"/>
    <n v="136"/>
    <n v="272"/>
    <n v="60"/>
    <n v="146.79999999999995"/>
    <n v="0.30659983291562232"/>
    <x v="0"/>
    <d v="2025-06-27T00:00:00"/>
    <n v="1"/>
    <x v="1"/>
    <n v="4"/>
    <n v="0"/>
  </r>
  <r>
    <s v="ORD-103312"/>
    <x v="538"/>
    <x v="1"/>
    <d v="2025-06-01T00:00:00"/>
    <n v="6"/>
    <s v="CUST-01412"/>
    <x v="1"/>
    <x v="2"/>
    <s v="MH"/>
    <x v="1"/>
    <s v="Mumbai"/>
    <x v="4"/>
    <s v="P204"/>
    <s v="Anti-Dandruff Conditioner"/>
    <x v="6"/>
    <n v="1"/>
    <n v="399"/>
    <n v="0.4"/>
    <n v="399"/>
    <n v="159.60000000000002"/>
    <n v="239.39999999999998"/>
    <n v="136"/>
    <n v="136"/>
    <n v="60"/>
    <n v="43.399999999999977"/>
    <n v="0.18128654970760227"/>
    <x v="2"/>
    <d v="2025-06-28T00:00:00"/>
    <n v="2"/>
    <x v="1"/>
    <n v="3"/>
    <n v="0"/>
  </r>
  <r>
    <s v="ORD-103313"/>
    <x v="539"/>
    <x v="1"/>
    <d v="2025-06-01T00:00:00"/>
    <n v="6"/>
    <s v="CUST-02048"/>
    <x v="0"/>
    <x v="19"/>
    <s v="PB"/>
    <x v="0"/>
    <s v="Amritsar"/>
    <x v="2"/>
    <s v="P701"/>
    <s v="Ashwagandha Capsules"/>
    <x v="0"/>
    <n v="1"/>
    <n v="499"/>
    <n v="0.05"/>
    <n v="499"/>
    <n v="24.950000000000003"/>
    <n v="474.05"/>
    <n v="150"/>
    <n v="150"/>
    <n v="60"/>
    <n v="264.05"/>
    <n v="0.55700875435080688"/>
    <x v="2"/>
    <d v="2025-07-01T00:00:00"/>
    <n v="4"/>
    <x v="0"/>
    <n v="3"/>
    <n v="0"/>
  </r>
  <r>
    <s v="ORD-103314"/>
    <x v="539"/>
    <x v="1"/>
    <d v="2025-06-01T00:00:00"/>
    <n v="6"/>
    <s v="CUST-00104"/>
    <x v="1"/>
    <x v="5"/>
    <s v="HP"/>
    <x v="0"/>
    <s v="Shimla"/>
    <x v="1"/>
    <s v="P302"/>
    <s v="Linen Kurta"/>
    <x v="1"/>
    <n v="1"/>
    <n v="1499"/>
    <n v="0.25"/>
    <n v="1499"/>
    <n v="374.75"/>
    <n v="1124.25"/>
    <n v="630"/>
    <n v="630"/>
    <n v="60"/>
    <n v="434.25"/>
    <n v="0.38625750500333556"/>
    <x v="1"/>
    <d v="2025-07-02T00:00:00"/>
    <n v="5"/>
    <x v="2"/>
    <m/>
    <n v="0"/>
  </r>
  <r>
    <s v="ORD-103315"/>
    <x v="539"/>
    <x v="1"/>
    <d v="2025-06-01T00:00:00"/>
    <n v="6"/>
    <s v="CUST-02652"/>
    <x v="1"/>
    <x v="6"/>
    <s v="DL"/>
    <x v="0"/>
    <s v="New Delhi"/>
    <x v="4"/>
    <s v="P301"/>
    <s v="Cotton Oversized T-Shirt"/>
    <x v="1"/>
    <n v="2"/>
    <n v="799"/>
    <n v="0"/>
    <n v="1598"/>
    <n v="0"/>
    <n v="1598"/>
    <n v="320"/>
    <n v="640"/>
    <n v="60"/>
    <n v="898"/>
    <n v="0.56195244055068838"/>
    <x v="0"/>
    <d v="2025-06-28T00:00:00"/>
    <n v="1"/>
    <x v="1"/>
    <n v="4"/>
    <n v="0"/>
  </r>
  <r>
    <s v="ORD-103316"/>
    <x v="539"/>
    <x v="1"/>
    <d v="2025-06-01T00:00:00"/>
    <n v="6"/>
    <s v="CUST-00066"/>
    <x v="1"/>
    <x v="2"/>
    <s v="MH"/>
    <x v="1"/>
    <s v="Nagpur"/>
    <x v="3"/>
    <s v="P104"/>
    <s v="Hydrating Face Wash"/>
    <x v="3"/>
    <n v="1"/>
    <n v="299"/>
    <n v="0"/>
    <n v="299"/>
    <n v="0"/>
    <n v="299"/>
    <n v="90"/>
    <n v="90"/>
    <n v="60"/>
    <n v="149"/>
    <n v="0.49832775919732442"/>
    <x v="0"/>
    <d v="2025-06-30T00:00:00"/>
    <n v="3"/>
    <x v="0"/>
    <n v="3"/>
    <n v="0"/>
  </r>
  <r>
    <s v="ORD-103317"/>
    <x v="539"/>
    <x v="1"/>
    <d v="2025-06-01T00:00:00"/>
    <n v="6"/>
    <s v="CUST-00802"/>
    <x v="1"/>
    <x v="2"/>
    <s v="MH"/>
    <x v="1"/>
    <s v="Nagpur"/>
    <x v="4"/>
    <s v="P104"/>
    <s v="Hydrating Face Wash"/>
    <x v="3"/>
    <n v="1"/>
    <n v="299"/>
    <n v="0"/>
    <n v="299"/>
    <n v="0"/>
    <n v="299"/>
    <n v="90"/>
    <n v="90"/>
    <n v="60"/>
    <n v="149"/>
    <n v="0.49832775919732442"/>
    <x v="3"/>
    <d v="2025-06-29T00:00:00"/>
    <n v="2"/>
    <x v="1"/>
    <n v="4"/>
    <n v="0"/>
  </r>
  <r>
    <s v="ORD-103318"/>
    <x v="539"/>
    <x v="1"/>
    <d v="2025-06-01T00:00:00"/>
    <n v="6"/>
    <s v="CUST-01119"/>
    <x v="1"/>
    <x v="21"/>
    <s v="TG"/>
    <x v="3"/>
    <s v="Hyderabad"/>
    <x v="0"/>
    <s v="P703"/>
    <s v="Green Tea (100 bags)"/>
    <x v="0"/>
    <n v="1"/>
    <n v="399"/>
    <n v="0.3"/>
    <n v="399"/>
    <n v="119.69999999999999"/>
    <n v="279.3"/>
    <n v="128"/>
    <n v="128"/>
    <n v="60"/>
    <n v="91.300000000000011"/>
    <n v="0.32688865019692093"/>
    <x v="3"/>
    <d v="2025-07-02T00:00:00"/>
    <n v="5"/>
    <x v="2"/>
    <n v="4"/>
    <n v="0"/>
  </r>
  <r>
    <s v="ORD-103319"/>
    <x v="540"/>
    <x v="1"/>
    <d v="2025-06-01T00:00:00"/>
    <n v="6"/>
    <s v="CUST-00771"/>
    <x v="1"/>
    <x v="19"/>
    <s v="PB"/>
    <x v="0"/>
    <s v="Ludhiana"/>
    <x v="4"/>
    <s v="P704"/>
    <s v="Multivitamin Gummies"/>
    <x v="0"/>
    <n v="1"/>
    <n v="699"/>
    <n v="0.2"/>
    <n v="699"/>
    <n v="139.80000000000001"/>
    <n v="559.20000000000005"/>
    <n v="238"/>
    <n v="238"/>
    <n v="60"/>
    <n v="261.20000000000005"/>
    <n v="0.46709585121602293"/>
    <x v="0"/>
    <d v="2025-07-01T00:00:00"/>
    <n v="3"/>
    <x v="0"/>
    <m/>
    <n v="0"/>
  </r>
  <r>
    <s v="ORD-103320"/>
    <x v="540"/>
    <x v="1"/>
    <d v="2025-06-01T00:00:00"/>
    <n v="6"/>
    <s v="CUST-00642"/>
    <x v="1"/>
    <x v="9"/>
    <s v="UK"/>
    <x v="0"/>
    <s v="Dehradun"/>
    <x v="4"/>
    <s v="P203"/>
    <s v="Keratin Hair Mask"/>
    <x v="6"/>
    <n v="1"/>
    <n v="549"/>
    <n v="0.15"/>
    <n v="549"/>
    <n v="82.35"/>
    <n v="466.65"/>
    <n v="170"/>
    <n v="170"/>
    <n v="60"/>
    <n v="236.64999999999998"/>
    <n v="0.50712525447337398"/>
    <x v="0"/>
    <d v="2025-07-01T00:00:00"/>
    <n v="3"/>
    <x v="0"/>
    <n v="4"/>
    <n v="0"/>
  </r>
  <r>
    <s v="ORD-103321"/>
    <x v="540"/>
    <x v="1"/>
    <d v="2025-06-01T00:00:00"/>
    <n v="6"/>
    <s v="CUST-00415"/>
    <x v="1"/>
    <x v="15"/>
    <s v="HR"/>
    <x v="0"/>
    <s v="Faridabad"/>
    <x v="2"/>
    <s v="P302"/>
    <s v="Linen Kurta"/>
    <x v="1"/>
    <n v="1"/>
    <n v="1499"/>
    <n v="0.25"/>
    <n v="1499"/>
    <n v="374.75"/>
    <n v="1124.25"/>
    <n v="630"/>
    <n v="630"/>
    <n v="60"/>
    <n v="434.25"/>
    <n v="0.38625750500333556"/>
    <x v="4"/>
    <d v="2025-07-03T00:00:00"/>
    <n v="5"/>
    <x v="2"/>
    <n v="4"/>
    <n v="0"/>
  </r>
  <r>
    <s v="ORD-103322"/>
    <x v="540"/>
    <x v="1"/>
    <d v="2025-06-01T00:00:00"/>
    <n v="6"/>
    <s v="CUST-01521"/>
    <x v="0"/>
    <x v="16"/>
    <s v="UP"/>
    <x v="0"/>
    <s v="Noida"/>
    <x v="1"/>
    <s v="P303"/>
    <s v="Joggers"/>
    <x v="1"/>
    <n v="1"/>
    <n v="1199"/>
    <n v="0.1"/>
    <n v="1199"/>
    <n v="119.9"/>
    <n v="1079.0999999999999"/>
    <n v="492"/>
    <n v="492"/>
    <n v="60"/>
    <n v="527.09999999999991"/>
    <n v="0.48846260772866273"/>
    <x v="3"/>
    <d v="2025-07-02T00:00:00"/>
    <n v="4"/>
    <x v="0"/>
    <n v="4"/>
    <n v="0"/>
  </r>
  <r>
    <s v="ORD-103323"/>
    <x v="540"/>
    <x v="1"/>
    <d v="2025-06-01T00:00:00"/>
    <n v="6"/>
    <s v="CUST-01953"/>
    <x v="1"/>
    <x v="22"/>
    <s v="AS"/>
    <x v="2"/>
    <s v="Guwahati"/>
    <x v="0"/>
    <s v="P104"/>
    <s v="Hydrating Face Wash"/>
    <x v="3"/>
    <n v="1"/>
    <n v="299"/>
    <n v="0"/>
    <n v="299"/>
    <n v="0"/>
    <n v="299"/>
    <n v="90"/>
    <n v="90"/>
    <n v="60"/>
    <n v="149"/>
    <n v="0.49832775919732442"/>
    <x v="3"/>
    <d v="2025-07-03T00:00:00"/>
    <n v="5"/>
    <x v="2"/>
    <m/>
    <n v="0"/>
  </r>
  <r>
    <s v="ORD-103324"/>
    <x v="540"/>
    <x v="1"/>
    <d v="2025-06-01T00:00:00"/>
    <n v="6"/>
    <s v="CUST-03020"/>
    <x v="0"/>
    <x v="18"/>
    <s v="WB"/>
    <x v="2"/>
    <s v="Kolkata"/>
    <x v="4"/>
    <s v="P504"/>
    <s v="Cotton Bedsheet"/>
    <x v="4"/>
    <n v="1"/>
    <n v="1299"/>
    <n v="0"/>
    <n v="1299"/>
    <n v="0"/>
    <n v="1299"/>
    <n v="585"/>
    <n v="585"/>
    <n v="60"/>
    <n v="654"/>
    <n v="0.50346420323325636"/>
    <x v="4"/>
    <d v="2025-07-01T00:00:00"/>
    <n v="3"/>
    <x v="0"/>
    <n v="3"/>
    <n v="0"/>
  </r>
  <r>
    <s v="ORD-103325"/>
    <x v="540"/>
    <x v="1"/>
    <d v="2025-06-01T00:00:00"/>
    <n v="6"/>
    <s v="CUST-01031"/>
    <x v="1"/>
    <x v="21"/>
    <s v="TG"/>
    <x v="3"/>
    <s v="Hyderabad"/>
    <x v="4"/>
    <s v="P304"/>
    <s v="Denim Jacket"/>
    <x v="1"/>
    <n v="1"/>
    <n v="2499"/>
    <n v="0"/>
    <n v="2499"/>
    <n v="0"/>
    <n v="2499"/>
    <n v="1125"/>
    <n v="1125"/>
    <n v="60"/>
    <n v="1314"/>
    <n v="0.5258103241296519"/>
    <x v="1"/>
    <d v="2025-07-02T00:00:00"/>
    <n v="4"/>
    <x v="0"/>
    <n v="3"/>
    <n v="0"/>
  </r>
  <r>
    <s v="ORD-103326"/>
    <x v="540"/>
    <x v="1"/>
    <d v="2025-06-01T00:00:00"/>
    <n v="6"/>
    <s v="CUST-00001"/>
    <x v="1"/>
    <x v="14"/>
    <s v="KL"/>
    <x v="3"/>
    <s v="Thiruvananthapuram"/>
    <x v="0"/>
    <s v="P203"/>
    <s v="Keratin Hair Mask"/>
    <x v="6"/>
    <n v="1"/>
    <n v="549"/>
    <n v="0.15"/>
    <n v="549"/>
    <n v="82.35"/>
    <n v="466.65"/>
    <n v="170"/>
    <n v="170"/>
    <n v="60"/>
    <n v="236.64999999999998"/>
    <n v="0.50712525447337398"/>
    <x v="3"/>
    <d v="2025-06-30T00:00:00"/>
    <n v="2"/>
    <x v="1"/>
    <n v="3"/>
    <n v="0"/>
  </r>
  <r>
    <s v="ORD-103327"/>
    <x v="540"/>
    <x v="1"/>
    <d v="2025-06-01T00:00:00"/>
    <n v="6"/>
    <s v="CUST-00964"/>
    <x v="1"/>
    <x v="14"/>
    <s v="KL"/>
    <x v="3"/>
    <s v="Kochi"/>
    <x v="3"/>
    <s v="P203"/>
    <s v="Keratin Hair Mask"/>
    <x v="6"/>
    <n v="2"/>
    <n v="549"/>
    <n v="0.15"/>
    <n v="1098"/>
    <n v="164.7"/>
    <n v="933.3"/>
    <n v="170"/>
    <n v="340"/>
    <n v="60"/>
    <n v="533.29999999999995"/>
    <n v="0.57141326475945564"/>
    <x v="0"/>
    <d v="2025-06-29T00:00:00"/>
    <n v="1"/>
    <x v="1"/>
    <n v="4"/>
    <n v="0"/>
  </r>
  <r>
    <s v="ORD-103328"/>
    <x v="540"/>
    <x v="1"/>
    <d v="2025-06-01T00:00:00"/>
    <n v="6"/>
    <s v="CUST-00596"/>
    <x v="1"/>
    <x v="14"/>
    <s v="KL"/>
    <x v="3"/>
    <s v="Kochi"/>
    <x v="3"/>
    <s v="P201"/>
    <s v="Onion Hair Oil"/>
    <x v="6"/>
    <n v="1"/>
    <n v="349"/>
    <n v="0.25"/>
    <n v="349"/>
    <n v="87.25"/>
    <n v="261.75"/>
    <n v="105"/>
    <n v="105"/>
    <n v="60"/>
    <n v="96.75"/>
    <n v="0.36962750716332377"/>
    <x v="0"/>
    <d v="2025-07-02T00:00:00"/>
    <n v="4"/>
    <x v="0"/>
    <n v="3"/>
    <n v="0"/>
  </r>
  <r>
    <s v="ORD-103329"/>
    <x v="541"/>
    <x v="1"/>
    <d v="2025-06-01T00:00:00"/>
    <n v="6"/>
    <s v="CUST-00694"/>
    <x v="1"/>
    <x v="0"/>
    <s v="RJ"/>
    <x v="0"/>
    <s v="Jaipur"/>
    <x v="2"/>
    <s v="P204"/>
    <s v="Anti-Dandruff Conditioner"/>
    <x v="6"/>
    <n v="2"/>
    <n v="399"/>
    <n v="0.35"/>
    <n v="798"/>
    <n v="279.29999999999995"/>
    <n v="518.70000000000005"/>
    <n v="136"/>
    <n v="272"/>
    <n v="60"/>
    <n v="186.70000000000005"/>
    <n v="0.35993830730672843"/>
    <x v="0"/>
    <d v="2025-07-02T00:00:00"/>
    <n v="3"/>
    <x v="0"/>
    <n v="4"/>
    <n v="0"/>
  </r>
  <r>
    <s v="ORD-103330"/>
    <x v="541"/>
    <x v="1"/>
    <d v="2025-06-01T00:00:00"/>
    <n v="6"/>
    <s v="CUST-00093"/>
    <x v="1"/>
    <x v="1"/>
    <s v="GJ"/>
    <x v="1"/>
    <s v="Surat"/>
    <x v="2"/>
    <s v="P503"/>
    <s v="Scented Candle Set"/>
    <x v="4"/>
    <n v="1"/>
    <n v="699"/>
    <n v="0.15"/>
    <n v="699"/>
    <n v="104.85"/>
    <n v="594.15"/>
    <n v="245"/>
    <n v="245"/>
    <n v="60"/>
    <n v="289.14999999999998"/>
    <n v="0.48666161743667424"/>
    <x v="0"/>
    <d v="2025-07-04T00:00:00"/>
    <n v="5"/>
    <x v="2"/>
    <n v="3"/>
    <n v="0"/>
  </r>
  <r>
    <s v="ORD-103331"/>
    <x v="541"/>
    <x v="1"/>
    <d v="2025-06-01T00:00:00"/>
    <n v="6"/>
    <s v="CUST-00467"/>
    <x v="1"/>
    <x v="2"/>
    <s v="MH"/>
    <x v="1"/>
    <s v="Nagpur"/>
    <x v="1"/>
    <s v="P301"/>
    <s v="Cotton Oversized T-Shirt"/>
    <x v="1"/>
    <n v="2"/>
    <n v="799"/>
    <n v="0.1"/>
    <n v="1598"/>
    <n v="159.80000000000001"/>
    <n v="1438.2"/>
    <n v="320"/>
    <n v="640"/>
    <n v="60"/>
    <n v="738.2"/>
    <n v="0.51328048950076488"/>
    <x v="1"/>
    <d v="2025-07-02T00:00:00"/>
    <n v="3"/>
    <x v="0"/>
    <m/>
    <n v="0"/>
  </r>
  <r>
    <s v="ORD-103332"/>
    <x v="541"/>
    <x v="1"/>
    <d v="2025-06-01T00:00:00"/>
    <n v="6"/>
    <s v="CUST-02182"/>
    <x v="0"/>
    <x v="2"/>
    <s v="MH"/>
    <x v="1"/>
    <s v="Pune"/>
    <x v="1"/>
    <s v="P302"/>
    <s v="Linen Kurta"/>
    <x v="1"/>
    <n v="1"/>
    <n v="1499"/>
    <n v="0.25"/>
    <n v="1499"/>
    <n v="374.75"/>
    <n v="1124.25"/>
    <n v="630"/>
    <n v="630"/>
    <n v="60"/>
    <n v="434.25"/>
    <n v="0.38625750500333556"/>
    <x v="3"/>
    <d v="2025-06-30T00:00:00"/>
    <n v="1"/>
    <x v="1"/>
    <n v="5"/>
    <n v="0"/>
  </r>
  <r>
    <s v="ORD-103333"/>
    <x v="541"/>
    <x v="1"/>
    <d v="2025-06-01T00:00:00"/>
    <n v="6"/>
    <s v="CUST-02160"/>
    <x v="1"/>
    <x v="8"/>
    <s v="AP"/>
    <x v="3"/>
    <s v="Visakhapatnam"/>
    <x v="4"/>
    <s v="P104"/>
    <s v="Hydrating Face Wash"/>
    <x v="3"/>
    <n v="2"/>
    <n v="299"/>
    <n v="0.05"/>
    <n v="598"/>
    <n v="29.900000000000002"/>
    <n v="568.1"/>
    <n v="90"/>
    <n v="180"/>
    <n v="60"/>
    <n v="328.1"/>
    <n v="0.57753916563985219"/>
    <x v="0"/>
    <d v="2025-07-02T00:00:00"/>
    <n v="3"/>
    <x v="0"/>
    <n v="4"/>
    <n v="0"/>
  </r>
  <r>
    <s v="ORD-103334"/>
    <x v="541"/>
    <x v="1"/>
    <d v="2025-06-01T00:00:00"/>
    <n v="6"/>
    <s v="CUST-00769"/>
    <x v="1"/>
    <x v="8"/>
    <s v="AP"/>
    <x v="3"/>
    <s v="Visakhapatnam"/>
    <x v="2"/>
    <s v="P603"/>
    <s v="Smartwatch Strap"/>
    <x v="2"/>
    <n v="3"/>
    <n v="499"/>
    <n v="0.05"/>
    <n v="1497"/>
    <n v="74.850000000000009"/>
    <n v="1422.15"/>
    <n v="200"/>
    <n v="600"/>
    <n v="120"/>
    <n v="702.15000000000009"/>
    <n v="0.49372429068663648"/>
    <x v="3"/>
    <d v="2025-07-05T00:00:00"/>
    <n v="6"/>
    <x v="2"/>
    <n v="4"/>
    <n v="1"/>
  </r>
  <r>
    <s v="ORD-103335"/>
    <x v="542"/>
    <x v="1"/>
    <d v="2025-06-01T00:00:00"/>
    <n v="6"/>
    <s v="CUST-01688"/>
    <x v="0"/>
    <x v="6"/>
    <s v="DL"/>
    <x v="0"/>
    <s v="New Delhi"/>
    <x v="0"/>
    <s v="P105"/>
    <s v="Retinol Night Cream"/>
    <x v="3"/>
    <n v="1"/>
    <n v="799"/>
    <n v="0.05"/>
    <n v="799"/>
    <n v="39.950000000000003"/>
    <n v="759.05"/>
    <n v="216"/>
    <n v="216"/>
    <n v="120"/>
    <n v="423.04999999999995"/>
    <n v="0.5573414136091166"/>
    <x v="0"/>
    <d v="2025-07-01T00:00:00"/>
    <n v="1"/>
    <x v="1"/>
    <n v="3"/>
    <n v="1"/>
  </r>
  <r>
    <s v="ORD-103336"/>
    <x v="542"/>
    <x v="1"/>
    <d v="2025-06-01T00:00:00"/>
    <n v="6"/>
    <s v="CUST-00958"/>
    <x v="1"/>
    <x v="2"/>
    <s v="MH"/>
    <x v="1"/>
    <s v="Mumbai"/>
    <x v="1"/>
    <s v="P404"/>
    <s v="Flip Flops"/>
    <x v="5"/>
    <n v="1"/>
    <n v="399"/>
    <n v="0.05"/>
    <n v="399"/>
    <n v="19.950000000000003"/>
    <n v="379.05"/>
    <n v="152"/>
    <n v="152"/>
    <n v="60"/>
    <n v="167.05"/>
    <n v="0.44070703073473161"/>
    <x v="0"/>
    <d v="2025-07-01T00:00:00"/>
    <n v="1"/>
    <x v="1"/>
    <n v="5"/>
    <n v="0"/>
  </r>
  <r>
    <s v="ORD-103337"/>
    <x v="542"/>
    <x v="1"/>
    <d v="2025-06-01T00:00:00"/>
    <n v="6"/>
    <s v="CUST-01072"/>
    <x v="1"/>
    <x v="2"/>
    <s v="MH"/>
    <x v="1"/>
    <s v="Mumbai"/>
    <x v="2"/>
    <s v="P102"/>
    <s v="Sunscreen SPF 50"/>
    <x v="3"/>
    <n v="1"/>
    <n v="449"/>
    <n v="0"/>
    <n v="449"/>
    <n v="0"/>
    <n v="449"/>
    <n v="144"/>
    <n v="144"/>
    <n v="60"/>
    <n v="245"/>
    <n v="0.54565701559020041"/>
    <x v="1"/>
    <d v="2025-07-03T00:00:00"/>
    <n v="3"/>
    <x v="0"/>
    <n v="5"/>
    <n v="0"/>
  </r>
  <r>
    <s v="ORD-103338"/>
    <x v="542"/>
    <x v="1"/>
    <d v="2025-06-01T00:00:00"/>
    <n v="6"/>
    <s v="CUST-00569"/>
    <x v="1"/>
    <x v="21"/>
    <s v="TG"/>
    <x v="3"/>
    <s v="Hyderabad"/>
    <x v="0"/>
    <s v="P104"/>
    <s v="Hydrating Face Wash"/>
    <x v="3"/>
    <n v="2"/>
    <n v="299"/>
    <n v="0"/>
    <n v="598"/>
    <n v="0"/>
    <n v="598"/>
    <n v="90"/>
    <n v="180"/>
    <n v="120"/>
    <n v="298"/>
    <n v="0.49832775919732442"/>
    <x v="3"/>
    <d v="2025-07-03T00:00:00"/>
    <n v="3"/>
    <x v="0"/>
    <n v="4"/>
    <n v="1"/>
  </r>
  <r>
    <s v="ORD-103339"/>
    <x v="542"/>
    <x v="1"/>
    <d v="2025-06-01T00:00:00"/>
    <n v="6"/>
    <s v="CUST-00580"/>
    <x v="1"/>
    <x v="11"/>
    <s v="KA"/>
    <x v="3"/>
    <s v="Mysuru"/>
    <x v="4"/>
    <s v="P103"/>
    <s v="Niacinamide Toner"/>
    <x v="3"/>
    <n v="1"/>
    <n v="399"/>
    <n v="0.25"/>
    <n v="399"/>
    <n v="99.75"/>
    <n v="299.25"/>
    <n v="112"/>
    <n v="112"/>
    <n v="60"/>
    <n v="127.25"/>
    <n v="0.42522974101921468"/>
    <x v="0"/>
    <d v="2025-07-02T00:00:00"/>
    <n v="2"/>
    <x v="1"/>
    <n v="5"/>
    <n v="0"/>
  </r>
  <r>
    <s v="ORD-103340"/>
    <x v="542"/>
    <x v="1"/>
    <d v="2025-06-01T00:00:00"/>
    <n v="6"/>
    <s v="CUST-01240"/>
    <x v="1"/>
    <x v="11"/>
    <s v="KA"/>
    <x v="3"/>
    <s v="Bengaluru"/>
    <x v="0"/>
    <s v="P701"/>
    <s v="Ashwagandha Capsules"/>
    <x v="0"/>
    <n v="2"/>
    <n v="499"/>
    <n v="0"/>
    <n v="998"/>
    <n v="0"/>
    <n v="998"/>
    <n v="150"/>
    <n v="300"/>
    <n v="60"/>
    <n v="638"/>
    <n v="0.63927855711422843"/>
    <x v="2"/>
    <d v="2025-07-01T00:00:00"/>
    <n v="1"/>
    <x v="1"/>
    <n v="5"/>
    <n v="0"/>
  </r>
  <r>
    <s v="ORD-103341"/>
    <x v="543"/>
    <x v="1"/>
    <d v="2025-07-01T00:00:00"/>
    <n v="7"/>
    <s v="CUST-01002"/>
    <x v="1"/>
    <x v="4"/>
    <s v="JK"/>
    <x v="0"/>
    <s v="Jammu"/>
    <x v="2"/>
    <s v="P501"/>
    <s v="Copper Water Bottle"/>
    <x v="4"/>
    <n v="1"/>
    <n v="899"/>
    <n v="0"/>
    <n v="899"/>
    <n v="0"/>
    <n v="899"/>
    <n v="378"/>
    <n v="378"/>
    <n v="120"/>
    <n v="401"/>
    <n v="0.44605116796440492"/>
    <x v="0"/>
    <d v="2025-07-06T00:00:00"/>
    <n v="5"/>
    <x v="2"/>
    <n v="4"/>
    <n v="1"/>
  </r>
  <r>
    <s v="ORD-103342"/>
    <x v="543"/>
    <x v="1"/>
    <d v="2025-07-01T00:00:00"/>
    <n v="7"/>
    <s v="CUST-01547"/>
    <x v="0"/>
    <x v="6"/>
    <s v="DL"/>
    <x v="0"/>
    <s v="New Delhi"/>
    <x v="3"/>
    <s v="P701"/>
    <s v="Ashwagandha Capsules"/>
    <x v="0"/>
    <n v="2"/>
    <n v="499"/>
    <n v="0"/>
    <n v="998"/>
    <n v="0"/>
    <n v="998"/>
    <n v="150"/>
    <n v="300"/>
    <n v="60"/>
    <n v="638"/>
    <n v="0.63927855711422843"/>
    <x v="0"/>
    <d v="2025-07-02T00:00:00"/>
    <n v="1"/>
    <x v="1"/>
    <n v="4"/>
    <n v="0"/>
  </r>
  <r>
    <s v="ORD-103343"/>
    <x v="543"/>
    <x v="1"/>
    <d v="2025-07-01T00:00:00"/>
    <n v="7"/>
    <s v="CUST-00141"/>
    <x v="1"/>
    <x v="6"/>
    <s v="DL"/>
    <x v="0"/>
    <s v="New Delhi"/>
    <x v="4"/>
    <s v="P603"/>
    <s v="Smartwatch Strap"/>
    <x v="2"/>
    <n v="1"/>
    <n v="499"/>
    <n v="0.2"/>
    <n v="499"/>
    <n v="99.800000000000011"/>
    <n v="399.2"/>
    <n v="200"/>
    <n v="200"/>
    <n v="120"/>
    <n v="79.199999999999989"/>
    <n v="0.19839679358717432"/>
    <x v="3"/>
    <d v="2025-07-04T00:00:00"/>
    <n v="3"/>
    <x v="0"/>
    <n v="5"/>
    <n v="1"/>
  </r>
  <r>
    <s v="ORD-103344"/>
    <x v="543"/>
    <x v="1"/>
    <d v="2025-07-01T00:00:00"/>
    <n v="7"/>
    <s v="CUST-01637"/>
    <x v="0"/>
    <x v="6"/>
    <s v="DL"/>
    <x v="0"/>
    <s v="New Delhi"/>
    <x v="4"/>
    <s v="P501"/>
    <s v="Copper Water Bottle"/>
    <x v="4"/>
    <n v="2"/>
    <n v="899"/>
    <n v="0.05"/>
    <n v="1798"/>
    <n v="89.9"/>
    <n v="1708.1"/>
    <n v="378"/>
    <n v="756"/>
    <n v="60"/>
    <n v="892.09999999999991"/>
    <n v="0.52227621333645569"/>
    <x v="0"/>
    <d v="2025-07-04T00:00:00"/>
    <n v="3"/>
    <x v="0"/>
    <m/>
    <n v="0"/>
  </r>
  <r>
    <s v="ORD-103345"/>
    <x v="543"/>
    <x v="1"/>
    <d v="2025-07-01T00:00:00"/>
    <n v="7"/>
    <s v="CUST-02197"/>
    <x v="1"/>
    <x v="6"/>
    <s v="DL"/>
    <x v="0"/>
    <s v="New Delhi"/>
    <x v="2"/>
    <s v="P104"/>
    <s v="Hydrating Face Wash"/>
    <x v="3"/>
    <n v="1"/>
    <n v="299"/>
    <n v="0"/>
    <n v="299"/>
    <n v="0"/>
    <n v="299"/>
    <n v="90"/>
    <n v="90"/>
    <n v="60"/>
    <n v="149"/>
    <n v="0.49832775919732442"/>
    <x v="0"/>
    <d v="2025-07-03T00:00:00"/>
    <n v="2"/>
    <x v="1"/>
    <m/>
    <n v="0"/>
  </r>
  <r>
    <s v="ORD-103346"/>
    <x v="543"/>
    <x v="1"/>
    <d v="2025-07-01T00:00:00"/>
    <n v="7"/>
    <s v="CUST-00978"/>
    <x v="0"/>
    <x v="16"/>
    <s v="UP"/>
    <x v="0"/>
    <s v="Lucknow"/>
    <x v="1"/>
    <s v="P403"/>
    <s v="Kolhapuri Sandals"/>
    <x v="5"/>
    <n v="1"/>
    <n v="999"/>
    <n v="0.1"/>
    <n v="999"/>
    <n v="99.9"/>
    <n v="899.1"/>
    <n v="400"/>
    <n v="400"/>
    <n v="120"/>
    <n v="379.1"/>
    <n v="0.42164386608831056"/>
    <x v="3"/>
    <d v="2025-07-03T00:00:00"/>
    <n v="2"/>
    <x v="1"/>
    <n v="3"/>
    <n v="1"/>
  </r>
  <r>
    <s v="ORD-103347"/>
    <x v="543"/>
    <x v="1"/>
    <d v="2025-07-01T00:00:00"/>
    <n v="7"/>
    <s v="CUST-00272"/>
    <x v="1"/>
    <x v="12"/>
    <s v="BR"/>
    <x v="2"/>
    <s v="Patna"/>
    <x v="0"/>
    <s v="P601"/>
    <s v="Wireless Earbuds"/>
    <x v="2"/>
    <n v="2"/>
    <n v="1999"/>
    <n v="0.35"/>
    <n v="3998"/>
    <n v="1399.3"/>
    <n v="2598.6999999999998"/>
    <n v="1239"/>
    <n v="2478"/>
    <n v="60"/>
    <n v="60.699999999999818"/>
    <n v="2.3357832762535044E-2"/>
    <x v="3"/>
    <d v="2025-07-07T00:00:00"/>
    <n v="6"/>
    <x v="2"/>
    <n v="3"/>
    <n v="0"/>
  </r>
  <r>
    <s v="ORD-103348"/>
    <x v="543"/>
    <x v="1"/>
    <d v="2025-07-01T00:00:00"/>
    <n v="7"/>
    <s v="CUST-02461"/>
    <x v="0"/>
    <x v="13"/>
    <s v="MP"/>
    <x v="1"/>
    <s v="Bhopal"/>
    <x v="4"/>
    <s v="P603"/>
    <s v="Smartwatch Strap"/>
    <x v="2"/>
    <n v="1"/>
    <n v="499"/>
    <n v="0.05"/>
    <n v="499"/>
    <n v="24.950000000000003"/>
    <n v="474.05"/>
    <n v="200"/>
    <n v="200"/>
    <n v="60"/>
    <n v="214.05"/>
    <n v="0.45153464824385614"/>
    <x v="0"/>
    <d v="2025-07-04T00:00:00"/>
    <n v="3"/>
    <x v="0"/>
    <m/>
    <n v="0"/>
  </r>
  <r>
    <s v="ORD-103349"/>
    <x v="543"/>
    <x v="1"/>
    <d v="2025-07-01T00:00:00"/>
    <n v="7"/>
    <s v="CUST-01408"/>
    <x v="1"/>
    <x v="14"/>
    <s v="KL"/>
    <x v="3"/>
    <s v="Thiruvananthapuram"/>
    <x v="0"/>
    <s v="P101"/>
    <s v="Vitamin C Face Serum"/>
    <x v="3"/>
    <n v="4"/>
    <n v="599"/>
    <n v="0.1"/>
    <n v="2396"/>
    <n v="239.60000000000002"/>
    <n v="2156.4"/>
    <n v="180"/>
    <n v="720"/>
    <n v="60"/>
    <n v="1376.4"/>
    <n v="0.63828603227601555"/>
    <x v="4"/>
    <d v="2025-07-05T00:00:00"/>
    <n v="4"/>
    <x v="0"/>
    <m/>
    <n v="0"/>
  </r>
  <r>
    <s v="ORD-103350"/>
    <x v="544"/>
    <x v="1"/>
    <d v="2025-07-01T00:00:00"/>
    <n v="7"/>
    <s v="CUST-02900"/>
    <x v="0"/>
    <x v="0"/>
    <s v="RJ"/>
    <x v="0"/>
    <s v="Udaipur"/>
    <x v="0"/>
    <s v="P201"/>
    <s v="Onion Hair Oil"/>
    <x v="6"/>
    <n v="2"/>
    <n v="349"/>
    <n v="0.3"/>
    <n v="698"/>
    <n v="209.4"/>
    <n v="488.6"/>
    <n v="105"/>
    <n v="210"/>
    <n v="120"/>
    <n v="158.60000000000002"/>
    <n v="0.32460090053213264"/>
    <x v="3"/>
    <d v="2025-07-06T00:00:00"/>
    <n v="4"/>
    <x v="0"/>
    <m/>
    <n v="1"/>
  </r>
  <r>
    <s v="ORD-103351"/>
    <x v="544"/>
    <x v="1"/>
    <d v="2025-07-01T00:00:00"/>
    <n v="7"/>
    <s v="CUST-00626"/>
    <x v="1"/>
    <x v="6"/>
    <s v="DL"/>
    <x v="0"/>
    <s v="New Delhi"/>
    <x v="2"/>
    <s v="P301"/>
    <s v="Cotton Oversized T-Shirt"/>
    <x v="1"/>
    <n v="3"/>
    <n v="799"/>
    <n v="0.05"/>
    <n v="2397"/>
    <n v="119.85000000000001"/>
    <n v="2277.15"/>
    <n v="320"/>
    <n v="960"/>
    <n v="60"/>
    <n v="1257.1500000000001"/>
    <n v="0.55207166853303469"/>
    <x v="0"/>
    <d v="2025-07-04T00:00:00"/>
    <n v="2"/>
    <x v="1"/>
    <n v="4"/>
    <n v="0"/>
  </r>
  <r>
    <s v="ORD-103352"/>
    <x v="544"/>
    <x v="1"/>
    <d v="2025-07-01T00:00:00"/>
    <n v="7"/>
    <s v="CUST-00442"/>
    <x v="1"/>
    <x v="6"/>
    <s v="DL"/>
    <x v="0"/>
    <s v="New Delhi"/>
    <x v="1"/>
    <s v="P303"/>
    <s v="Joggers"/>
    <x v="1"/>
    <n v="1"/>
    <n v="1199"/>
    <n v="0.1"/>
    <n v="1199"/>
    <n v="119.9"/>
    <n v="1079.0999999999999"/>
    <n v="492"/>
    <n v="492"/>
    <n v="60"/>
    <n v="527.09999999999991"/>
    <n v="0.48846260772866273"/>
    <x v="1"/>
    <d v="2025-07-05T00:00:00"/>
    <n v="3"/>
    <x v="0"/>
    <n v="4"/>
    <n v="0"/>
  </r>
  <r>
    <s v="ORD-103353"/>
    <x v="544"/>
    <x v="1"/>
    <d v="2025-07-01T00:00:00"/>
    <n v="7"/>
    <s v="CUST-01049"/>
    <x v="0"/>
    <x v="12"/>
    <s v="BR"/>
    <x v="2"/>
    <s v="Patna"/>
    <x v="0"/>
    <s v="P301"/>
    <s v="Cotton Oversized T-Shirt"/>
    <x v="1"/>
    <n v="1"/>
    <n v="799"/>
    <n v="0.05"/>
    <n v="799"/>
    <n v="39.950000000000003"/>
    <n v="759.05"/>
    <n v="320"/>
    <n v="320"/>
    <n v="60"/>
    <n v="379.04999999999995"/>
    <n v="0.49937421777221525"/>
    <x v="4"/>
    <d v="2025-07-09T00:00:00"/>
    <n v="7"/>
    <x v="2"/>
    <n v="4"/>
    <n v="0"/>
  </r>
  <r>
    <s v="ORD-103354"/>
    <x v="544"/>
    <x v="1"/>
    <d v="2025-07-01T00:00:00"/>
    <n v="7"/>
    <s v="CUST-00714"/>
    <x v="1"/>
    <x v="7"/>
    <s v="JH"/>
    <x v="2"/>
    <s v="Ranchi"/>
    <x v="0"/>
    <s v="P401"/>
    <s v="Running Shoes"/>
    <x v="5"/>
    <n v="1"/>
    <n v="2999"/>
    <n v="0.2"/>
    <n v="2999"/>
    <n v="599.80000000000007"/>
    <n v="2399.1999999999998"/>
    <n v="1440"/>
    <n v="1440"/>
    <n v="120"/>
    <n v="839.19999999999982"/>
    <n v="0.34978326108702895"/>
    <x v="1"/>
    <d v="2025-07-08T00:00:00"/>
    <n v="6"/>
    <x v="2"/>
    <m/>
    <n v="1"/>
  </r>
  <r>
    <s v="ORD-103355"/>
    <x v="544"/>
    <x v="1"/>
    <d v="2025-07-01T00:00:00"/>
    <n v="7"/>
    <s v="CUST-01113"/>
    <x v="1"/>
    <x v="18"/>
    <s v="WB"/>
    <x v="2"/>
    <s v="Kolkata"/>
    <x v="3"/>
    <s v="P203"/>
    <s v="Keratin Hair Mask"/>
    <x v="6"/>
    <n v="1"/>
    <n v="549"/>
    <n v="0.15"/>
    <n v="549"/>
    <n v="82.35"/>
    <n v="466.65"/>
    <n v="170"/>
    <n v="170"/>
    <n v="60"/>
    <n v="236.64999999999998"/>
    <n v="0.50712525447337398"/>
    <x v="0"/>
    <d v="2025-07-06T00:00:00"/>
    <n v="4"/>
    <x v="0"/>
    <m/>
    <n v="0"/>
  </r>
  <r>
    <s v="ORD-103356"/>
    <x v="544"/>
    <x v="1"/>
    <d v="2025-07-01T00:00:00"/>
    <n v="7"/>
    <s v="CUST-01805"/>
    <x v="0"/>
    <x v="18"/>
    <s v="WB"/>
    <x v="2"/>
    <s v="Kolkata"/>
    <x v="1"/>
    <s v="P404"/>
    <s v="Flip Flops"/>
    <x v="5"/>
    <n v="1"/>
    <n v="399"/>
    <n v="0.1"/>
    <n v="399"/>
    <n v="39.900000000000006"/>
    <n v="359.1"/>
    <n v="152"/>
    <n v="152"/>
    <n v="60"/>
    <n v="147.10000000000002"/>
    <n v="0.40963519910888335"/>
    <x v="3"/>
    <d v="2025-07-04T00:00:00"/>
    <n v="2"/>
    <x v="1"/>
    <n v="4"/>
    <n v="0"/>
  </r>
  <r>
    <s v="ORD-103357"/>
    <x v="544"/>
    <x v="1"/>
    <d v="2025-07-01T00:00:00"/>
    <n v="7"/>
    <s v="CUST-00230"/>
    <x v="1"/>
    <x v="18"/>
    <s v="WB"/>
    <x v="2"/>
    <s v="Kolkata"/>
    <x v="0"/>
    <s v="P201"/>
    <s v="Onion Hair Oil"/>
    <x v="6"/>
    <n v="1"/>
    <n v="349"/>
    <n v="0.3"/>
    <n v="349"/>
    <n v="104.7"/>
    <n v="244.3"/>
    <n v="105"/>
    <n v="105"/>
    <n v="60"/>
    <n v="79.300000000000011"/>
    <n v="0.32460090053213264"/>
    <x v="4"/>
    <d v="2025-07-05T00:00:00"/>
    <n v="3"/>
    <x v="0"/>
    <n v="4"/>
    <n v="0"/>
  </r>
  <r>
    <s v="ORD-103358"/>
    <x v="544"/>
    <x v="1"/>
    <d v="2025-07-01T00:00:00"/>
    <n v="7"/>
    <s v="CUST-02256"/>
    <x v="1"/>
    <x v="2"/>
    <s v="MH"/>
    <x v="1"/>
    <s v="Pune"/>
    <x v="2"/>
    <s v="P404"/>
    <s v="Flip Flops"/>
    <x v="5"/>
    <n v="1"/>
    <n v="399"/>
    <n v="0.15"/>
    <n v="399"/>
    <n v="59.849999999999994"/>
    <n v="339.15"/>
    <n v="152"/>
    <n v="152"/>
    <n v="120"/>
    <n v="67.149999999999977"/>
    <n v="0.19799498746867161"/>
    <x v="0"/>
    <d v="2025-07-05T00:00:00"/>
    <n v="3"/>
    <x v="0"/>
    <m/>
    <n v="1"/>
  </r>
  <r>
    <s v="ORD-103359"/>
    <x v="544"/>
    <x v="1"/>
    <d v="2025-07-01T00:00:00"/>
    <n v="7"/>
    <s v="CUST-00260"/>
    <x v="1"/>
    <x v="2"/>
    <s v="MH"/>
    <x v="1"/>
    <s v="Pune"/>
    <x v="0"/>
    <s v="P604"/>
    <s v="Power Bank 20000mAh"/>
    <x v="2"/>
    <n v="1"/>
    <n v="1799"/>
    <n v="0.45"/>
    <n v="1799"/>
    <n v="809.55000000000007"/>
    <n v="989.44999999999993"/>
    <n v="1079"/>
    <n v="1079"/>
    <n v="60"/>
    <n v="-149.55000000000007"/>
    <n v="-0.15114457526908898"/>
    <x v="3"/>
    <d v="2025-07-04T00:00:00"/>
    <n v="2"/>
    <x v="1"/>
    <n v="4"/>
    <n v="0"/>
  </r>
  <r>
    <s v="ORD-103360"/>
    <x v="544"/>
    <x v="1"/>
    <d v="2025-07-01T00:00:00"/>
    <n v="7"/>
    <s v="CUST-00287"/>
    <x v="1"/>
    <x v="17"/>
    <s v="TN"/>
    <x v="3"/>
    <s v="Coimbatore"/>
    <x v="1"/>
    <s v="P302"/>
    <s v="Linen Kurta"/>
    <x v="1"/>
    <n v="2"/>
    <n v="1499"/>
    <n v="0.3"/>
    <n v="2998"/>
    <n v="899.4"/>
    <n v="2098.6"/>
    <n v="630"/>
    <n v="1260"/>
    <n v="120"/>
    <n v="718.59999999999991"/>
    <n v="0.34241875536071664"/>
    <x v="0"/>
    <d v="2025-07-05T00:00:00"/>
    <n v="3"/>
    <x v="0"/>
    <m/>
    <n v="1"/>
  </r>
  <r>
    <s v="ORD-103361"/>
    <x v="545"/>
    <x v="1"/>
    <d v="2025-07-01T00:00:00"/>
    <n v="7"/>
    <s v="CUST-00758"/>
    <x v="0"/>
    <x v="15"/>
    <s v="HR"/>
    <x v="0"/>
    <s v="Gurugram"/>
    <x v="4"/>
    <s v="P401"/>
    <s v="Running Shoes"/>
    <x v="5"/>
    <n v="1"/>
    <n v="2999"/>
    <n v="0.15"/>
    <n v="2999"/>
    <n v="449.84999999999997"/>
    <n v="2549.15"/>
    <n v="1440"/>
    <n v="1440"/>
    <n v="60"/>
    <n v="1049.1500000000001"/>
    <n v="0.41156856206970954"/>
    <x v="3"/>
    <d v="2025-07-05T00:00:00"/>
    <n v="2"/>
    <x v="1"/>
    <m/>
    <n v="0"/>
  </r>
  <r>
    <s v="ORD-103362"/>
    <x v="545"/>
    <x v="1"/>
    <d v="2025-07-01T00:00:00"/>
    <n v="7"/>
    <s v="CUST-01376"/>
    <x v="1"/>
    <x v="6"/>
    <s v="DL"/>
    <x v="0"/>
    <s v="New Delhi"/>
    <x v="4"/>
    <s v="P301"/>
    <s v="Cotton Oversized T-Shirt"/>
    <x v="1"/>
    <n v="1"/>
    <n v="799"/>
    <n v="0"/>
    <n v="799"/>
    <n v="0"/>
    <n v="799"/>
    <n v="320"/>
    <n v="320"/>
    <n v="60"/>
    <n v="419"/>
    <n v="0.52440550688360454"/>
    <x v="0"/>
    <d v="2025-07-04T00:00:00"/>
    <n v="1"/>
    <x v="1"/>
    <n v="4"/>
    <n v="0"/>
  </r>
  <r>
    <s v="ORD-103363"/>
    <x v="545"/>
    <x v="1"/>
    <d v="2025-07-01T00:00:00"/>
    <n v="7"/>
    <s v="CUST-01031"/>
    <x v="1"/>
    <x v="16"/>
    <s v="UP"/>
    <x v="0"/>
    <s v="Noida"/>
    <x v="0"/>
    <s v="P404"/>
    <s v="Flip Flops"/>
    <x v="5"/>
    <n v="1"/>
    <n v="399"/>
    <n v="0.15"/>
    <n v="399"/>
    <n v="59.849999999999994"/>
    <n v="339.15"/>
    <n v="152"/>
    <n v="152"/>
    <n v="60"/>
    <n v="127.14999999999998"/>
    <n v="0.37490785787999409"/>
    <x v="0"/>
    <d v="2025-07-05T00:00:00"/>
    <n v="2"/>
    <x v="1"/>
    <n v="4"/>
    <n v="0"/>
  </r>
  <r>
    <s v="ORD-103364"/>
    <x v="545"/>
    <x v="1"/>
    <d v="2025-07-01T00:00:00"/>
    <n v="7"/>
    <s v="CUST-01188"/>
    <x v="0"/>
    <x v="17"/>
    <s v="TN"/>
    <x v="3"/>
    <s v="Chennai"/>
    <x v="4"/>
    <s v="P501"/>
    <s v="Copper Water Bottle"/>
    <x v="4"/>
    <n v="2"/>
    <n v="899"/>
    <n v="0.15"/>
    <n v="1798"/>
    <n v="269.7"/>
    <n v="1528.3"/>
    <n v="378"/>
    <n v="756"/>
    <n v="60"/>
    <n v="712.3"/>
    <n v="0.46607341490545051"/>
    <x v="1"/>
    <d v="2025-07-05T00:00:00"/>
    <n v="2"/>
    <x v="1"/>
    <n v="4"/>
    <n v="0"/>
  </r>
  <r>
    <s v="ORD-103365"/>
    <x v="545"/>
    <x v="1"/>
    <d v="2025-07-01T00:00:00"/>
    <n v="7"/>
    <s v="CUST-00179"/>
    <x v="0"/>
    <x v="17"/>
    <s v="TN"/>
    <x v="3"/>
    <s v="Chennai"/>
    <x v="3"/>
    <s v="P701"/>
    <s v="Ashwagandha Capsules"/>
    <x v="0"/>
    <n v="1"/>
    <n v="499"/>
    <n v="0.05"/>
    <n v="499"/>
    <n v="24.950000000000003"/>
    <n v="474.05"/>
    <n v="150"/>
    <n v="150"/>
    <n v="60"/>
    <n v="264.05"/>
    <n v="0.55700875435080688"/>
    <x v="3"/>
    <d v="2025-07-05T00:00:00"/>
    <n v="2"/>
    <x v="1"/>
    <m/>
    <n v="0"/>
  </r>
  <r>
    <s v="ORD-103366"/>
    <x v="545"/>
    <x v="1"/>
    <d v="2025-07-01T00:00:00"/>
    <n v="7"/>
    <s v="CUST-00489"/>
    <x v="1"/>
    <x v="17"/>
    <s v="TN"/>
    <x v="3"/>
    <s v="Coimbatore"/>
    <x v="0"/>
    <s v="P101"/>
    <s v="Vitamin C Face Serum"/>
    <x v="3"/>
    <n v="1"/>
    <n v="599"/>
    <n v="0.15"/>
    <n v="599"/>
    <n v="89.85"/>
    <n v="509.15"/>
    <n v="180"/>
    <n v="180"/>
    <n v="60"/>
    <n v="269.14999999999998"/>
    <n v="0.52862614160856325"/>
    <x v="4"/>
    <d v="2025-07-06T00:00:00"/>
    <n v="3"/>
    <x v="0"/>
    <n v="5"/>
    <n v="0"/>
  </r>
  <r>
    <s v="ORD-103367"/>
    <x v="546"/>
    <x v="1"/>
    <d v="2025-07-01T00:00:00"/>
    <n v="7"/>
    <s v="CUST-00218"/>
    <x v="0"/>
    <x v="16"/>
    <s v="UP"/>
    <x v="0"/>
    <s v="Kanpur"/>
    <x v="3"/>
    <s v="P704"/>
    <s v="Multivitamin Gummies"/>
    <x v="0"/>
    <n v="1"/>
    <n v="699"/>
    <n v="0.2"/>
    <n v="699"/>
    <n v="139.80000000000001"/>
    <n v="559.20000000000005"/>
    <n v="238"/>
    <n v="238"/>
    <n v="120"/>
    <n v="201.20000000000005"/>
    <n v="0.35979971387696713"/>
    <x v="1"/>
    <d v="2025-07-06T00:00:00"/>
    <n v="2"/>
    <x v="1"/>
    <n v="5"/>
    <n v="1"/>
  </r>
  <r>
    <s v="ORD-103368"/>
    <x v="546"/>
    <x v="1"/>
    <d v="2025-07-01T00:00:00"/>
    <n v="7"/>
    <s v="CUST-00220"/>
    <x v="1"/>
    <x v="12"/>
    <s v="BR"/>
    <x v="2"/>
    <s v="Patna"/>
    <x v="3"/>
    <s v="P204"/>
    <s v="Anti-Dandruff Conditioner"/>
    <x v="6"/>
    <n v="2"/>
    <n v="399"/>
    <n v="0.45"/>
    <n v="798"/>
    <n v="359.1"/>
    <n v="438.9"/>
    <n v="136"/>
    <n v="272"/>
    <n v="60"/>
    <n v="106.89999999999998"/>
    <n v="0.24356345408976984"/>
    <x v="0"/>
    <d v="2025-07-08T00:00:00"/>
    <n v="4"/>
    <x v="0"/>
    <n v="3"/>
    <n v="0"/>
  </r>
  <r>
    <s v="ORD-103369"/>
    <x v="546"/>
    <x v="1"/>
    <d v="2025-07-01T00:00:00"/>
    <n v="7"/>
    <s v="CUST-01447"/>
    <x v="0"/>
    <x v="1"/>
    <s v="GJ"/>
    <x v="1"/>
    <s v="Surat"/>
    <x v="0"/>
    <s v="P703"/>
    <s v="Green Tea (100 bags)"/>
    <x v="0"/>
    <n v="1"/>
    <n v="399"/>
    <n v="0.45"/>
    <n v="399"/>
    <n v="179.55"/>
    <n v="219.45"/>
    <n v="128"/>
    <n v="128"/>
    <n v="60"/>
    <n v="31.449999999999989"/>
    <n v="0.14331282752335381"/>
    <x v="1"/>
    <d v="2025-07-08T00:00:00"/>
    <n v="4"/>
    <x v="0"/>
    <n v="4"/>
    <n v="0"/>
  </r>
  <r>
    <s v="ORD-103370"/>
    <x v="546"/>
    <x v="1"/>
    <d v="2025-07-01T00:00:00"/>
    <n v="7"/>
    <s v="CUST-02269"/>
    <x v="1"/>
    <x v="10"/>
    <s v="CG"/>
    <x v="2"/>
    <s v="Raipur"/>
    <x v="1"/>
    <s v="P301"/>
    <s v="Cotton Oversized T-Shirt"/>
    <x v="1"/>
    <n v="1"/>
    <n v="799"/>
    <n v="0.05"/>
    <n v="799"/>
    <n v="39.950000000000003"/>
    <n v="759.05"/>
    <n v="320"/>
    <n v="320"/>
    <n v="60"/>
    <n v="379.04999999999995"/>
    <n v="0.49937421777221525"/>
    <x v="0"/>
    <d v="2025-07-10T00:00:00"/>
    <n v="6"/>
    <x v="2"/>
    <m/>
    <n v="0"/>
  </r>
  <r>
    <s v="ORD-103371"/>
    <x v="547"/>
    <x v="1"/>
    <d v="2025-07-01T00:00:00"/>
    <n v="7"/>
    <s v="CUST-02071"/>
    <x v="0"/>
    <x v="4"/>
    <s v="JK"/>
    <x v="0"/>
    <s v="Srinagar"/>
    <x v="0"/>
    <s v="P404"/>
    <s v="Flip Flops"/>
    <x v="5"/>
    <n v="1"/>
    <n v="399"/>
    <n v="0.1"/>
    <n v="399"/>
    <n v="39.900000000000006"/>
    <n v="359.1"/>
    <n v="152"/>
    <n v="152"/>
    <n v="60"/>
    <n v="147.10000000000002"/>
    <n v="0.40963519910888335"/>
    <x v="4"/>
    <d v="2025-07-11T00:00:00"/>
    <n v="6"/>
    <x v="2"/>
    <n v="3"/>
    <n v="0"/>
  </r>
  <r>
    <s v="ORD-103372"/>
    <x v="547"/>
    <x v="1"/>
    <d v="2025-07-01T00:00:00"/>
    <n v="7"/>
    <s v="CUST-01554"/>
    <x v="0"/>
    <x v="6"/>
    <s v="DL"/>
    <x v="0"/>
    <s v="New Delhi"/>
    <x v="0"/>
    <s v="P402"/>
    <s v="Casual Sneakers"/>
    <x v="5"/>
    <n v="2"/>
    <n v="2199"/>
    <n v="0.2"/>
    <n v="4398"/>
    <n v="879.6"/>
    <n v="3518.4"/>
    <n v="1034"/>
    <n v="2068"/>
    <n v="60"/>
    <n v="1390.4"/>
    <n v="0.39517962710322874"/>
    <x v="0"/>
    <d v="2025-07-07T00:00:00"/>
    <n v="2"/>
    <x v="1"/>
    <n v="4"/>
    <n v="0"/>
  </r>
  <r>
    <s v="ORD-103373"/>
    <x v="547"/>
    <x v="1"/>
    <d v="2025-07-01T00:00:00"/>
    <n v="7"/>
    <s v="CUST-03014"/>
    <x v="1"/>
    <x v="16"/>
    <s v="UP"/>
    <x v="0"/>
    <s v="Kanpur"/>
    <x v="3"/>
    <s v="P102"/>
    <s v="Sunscreen SPF 50"/>
    <x v="3"/>
    <n v="1"/>
    <n v="449"/>
    <n v="0.15"/>
    <n v="449"/>
    <n v="67.349999999999994"/>
    <n v="381.65"/>
    <n v="144"/>
    <n v="144"/>
    <n v="60"/>
    <n v="177.64999999999998"/>
    <n v="0.465478841870824"/>
    <x v="0"/>
    <d v="2025-07-08T00:00:00"/>
    <n v="3"/>
    <x v="0"/>
    <n v="4"/>
    <n v="0"/>
  </r>
  <r>
    <s v="ORD-103374"/>
    <x v="547"/>
    <x v="1"/>
    <d v="2025-07-01T00:00:00"/>
    <n v="7"/>
    <s v="CUST-00614"/>
    <x v="1"/>
    <x v="16"/>
    <s v="UP"/>
    <x v="0"/>
    <s v="Kanpur"/>
    <x v="4"/>
    <s v="P204"/>
    <s v="Anti-Dandruff Conditioner"/>
    <x v="6"/>
    <n v="2"/>
    <n v="399"/>
    <n v="0.4"/>
    <n v="798"/>
    <n v="319.20000000000005"/>
    <n v="478.79999999999995"/>
    <n v="136"/>
    <n v="272"/>
    <n v="120"/>
    <n v="86.799999999999955"/>
    <n v="0.18128654970760227"/>
    <x v="3"/>
    <d v="2025-07-09T00:00:00"/>
    <n v="4"/>
    <x v="0"/>
    <n v="4"/>
    <n v="1"/>
  </r>
  <r>
    <s v="ORD-103375"/>
    <x v="547"/>
    <x v="1"/>
    <d v="2025-07-01T00:00:00"/>
    <n v="7"/>
    <s v="CUST-00338"/>
    <x v="1"/>
    <x v="10"/>
    <s v="CG"/>
    <x v="2"/>
    <s v="Raipur"/>
    <x v="2"/>
    <s v="P101"/>
    <s v="Vitamin C Face Serum"/>
    <x v="3"/>
    <n v="1"/>
    <n v="599"/>
    <n v="0.2"/>
    <n v="599"/>
    <n v="119.80000000000001"/>
    <n v="479.2"/>
    <n v="180"/>
    <n v="180"/>
    <n v="60"/>
    <n v="239.2"/>
    <n v="0.4991652754590985"/>
    <x v="2"/>
    <d v="2025-07-13T00:00:00"/>
    <n v="8"/>
    <x v="2"/>
    <n v="3"/>
    <n v="0"/>
  </r>
  <r>
    <s v="ORD-103376"/>
    <x v="547"/>
    <x v="1"/>
    <d v="2025-07-01T00:00:00"/>
    <n v="7"/>
    <s v="CUST-03157"/>
    <x v="0"/>
    <x v="18"/>
    <s v="WB"/>
    <x v="2"/>
    <s v="Kolkata"/>
    <x v="2"/>
    <s v="P201"/>
    <s v="Onion Hair Oil"/>
    <x v="6"/>
    <n v="2"/>
    <n v="349"/>
    <n v="0.3"/>
    <n v="698"/>
    <n v="209.4"/>
    <n v="488.6"/>
    <n v="105"/>
    <n v="210"/>
    <n v="60"/>
    <n v="218.60000000000002"/>
    <n v="0.44740073679901765"/>
    <x v="3"/>
    <d v="2025-07-09T00:00:00"/>
    <n v="4"/>
    <x v="0"/>
    <n v="4"/>
    <n v="0"/>
  </r>
  <r>
    <s v="ORD-103377"/>
    <x v="547"/>
    <x v="1"/>
    <d v="2025-07-01T00:00:00"/>
    <n v="7"/>
    <s v="CUST-03132"/>
    <x v="1"/>
    <x v="18"/>
    <s v="WB"/>
    <x v="2"/>
    <s v="Kolkata"/>
    <x v="3"/>
    <s v="P104"/>
    <s v="Hydrating Face Wash"/>
    <x v="3"/>
    <n v="1"/>
    <n v="299"/>
    <n v="0.1"/>
    <n v="299"/>
    <n v="29.900000000000002"/>
    <n v="269.10000000000002"/>
    <n v="90"/>
    <n v="90"/>
    <n v="60"/>
    <n v="119.10000000000002"/>
    <n v="0.4425863991081383"/>
    <x v="0"/>
    <d v="2025-07-09T00:00:00"/>
    <n v="4"/>
    <x v="0"/>
    <m/>
    <n v="0"/>
  </r>
  <r>
    <s v="ORD-103378"/>
    <x v="547"/>
    <x v="1"/>
    <d v="2025-07-01T00:00:00"/>
    <n v="7"/>
    <s v="CUST-02363"/>
    <x v="1"/>
    <x v="14"/>
    <s v="KL"/>
    <x v="3"/>
    <s v="Thiruvananthapuram"/>
    <x v="3"/>
    <s v="P101"/>
    <s v="Vitamin C Face Serum"/>
    <x v="3"/>
    <n v="4"/>
    <n v="599"/>
    <n v="0.1"/>
    <n v="2396"/>
    <n v="239.60000000000002"/>
    <n v="2156.4"/>
    <n v="180"/>
    <n v="720"/>
    <n v="60"/>
    <n v="1376.4"/>
    <n v="0.63828603227601555"/>
    <x v="2"/>
    <d v="2025-07-08T00:00:00"/>
    <n v="3"/>
    <x v="0"/>
    <n v="4"/>
    <n v="0"/>
  </r>
  <r>
    <s v="ORD-103379"/>
    <x v="547"/>
    <x v="1"/>
    <d v="2025-07-01T00:00:00"/>
    <n v="7"/>
    <s v="CUST-00327"/>
    <x v="1"/>
    <x v="17"/>
    <s v="TN"/>
    <x v="3"/>
    <s v="Coimbatore"/>
    <x v="2"/>
    <s v="P104"/>
    <s v="Hydrating Face Wash"/>
    <x v="3"/>
    <n v="1"/>
    <n v="299"/>
    <n v="0.05"/>
    <n v="299"/>
    <n v="14.950000000000001"/>
    <n v="284.05"/>
    <n v="90"/>
    <n v="90"/>
    <n v="60"/>
    <n v="134.05000000000001"/>
    <n v="0.47192395704981521"/>
    <x v="0"/>
    <d v="2025-07-08T00:00:00"/>
    <n v="3"/>
    <x v="0"/>
    <n v="4"/>
    <n v="0"/>
  </r>
  <r>
    <s v="ORD-103380"/>
    <x v="548"/>
    <x v="1"/>
    <d v="2025-07-01T00:00:00"/>
    <n v="7"/>
    <s v="CUST-01150"/>
    <x v="1"/>
    <x v="9"/>
    <s v="UK"/>
    <x v="0"/>
    <s v="Dehradun"/>
    <x v="0"/>
    <s v="P501"/>
    <s v="Copper Water Bottle"/>
    <x v="4"/>
    <n v="1"/>
    <n v="899"/>
    <n v="0"/>
    <n v="899"/>
    <n v="0"/>
    <n v="899"/>
    <n v="378"/>
    <n v="378"/>
    <n v="60"/>
    <n v="461"/>
    <n v="0.51279199110122353"/>
    <x v="4"/>
    <d v="2025-07-13T00:00:00"/>
    <n v="7"/>
    <x v="2"/>
    <n v="3"/>
    <n v="0"/>
  </r>
  <r>
    <s v="ORD-103381"/>
    <x v="548"/>
    <x v="1"/>
    <d v="2025-07-01T00:00:00"/>
    <n v="7"/>
    <s v="CUST-00576"/>
    <x v="1"/>
    <x v="0"/>
    <s v="RJ"/>
    <x v="0"/>
    <s v="Jaipur"/>
    <x v="4"/>
    <s v="P503"/>
    <s v="Scented Candle Set"/>
    <x v="4"/>
    <n v="3"/>
    <n v="699"/>
    <n v="0.2"/>
    <n v="2097"/>
    <n v="419.40000000000003"/>
    <n v="1677.6"/>
    <n v="245"/>
    <n v="735"/>
    <n v="60"/>
    <n v="882.59999999999991"/>
    <n v="0.52610872675250353"/>
    <x v="4"/>
    <d v="2025-07-11T00:00:00"/>
    <n v="5"/>
    <x v="2"/>
    <m/>
    <n v="0"/>
  </r>
  <r>
    <s v="ORD-103382"/>
    <x v="548"/>
    <x v="1"/>
    <d v="2025-07-01T00:00:00"/>
    <n v="7"/>
    <s v="CUST-00553"/>
    <x v="1"/>
    <x v="15"/>
    <s v="HR"/>
    <x v="0"/>
    <s v="Faridabad"/>
    <x v="2"/>
    <s v="P202"/>
    <s v="Argan Shampoo"/>
    <x v="6"/>
    <n v="2"/>
    <n v="449"/>
    <n v="0.05"/>
    <n v="898"/>
    <n v="44.900000000000006"/>
    <n v="853.1"/>
    <n v="148"/>
    <n v="296"/>
    <n v="60"/>
    <n v="497.1"/>
    <n v="0.58269839409213453"/>
    <x v="3"/>
    <d v="2025-07-09T00:00:00"/>
    <n v="3"/>
    <x v="0"/>
    <n v="4"/>
    <n v="0"/>
  </r>
  <r>
    <s v="ORD-103383"/>
    <x v="548"/>
    <x v="1"/>
    <d v="2025-07-01T00:00:00"/>
    <n v="7"/>
    <s v="CUST-00996"/>
    <x v="0"/>
    <x v="6"/>
    <s v="DL"/>
    <x v="0"/>
    <s v="New Delhi"/>
    <x v="2"/>
    <s v="P201"/>
    <s v="Onion Hair Oil"/>
    <x v="6"/>
    <n v="1"/>
    <n v="349"/>
    <n v="0.35"/>
    <n v="349"/>
    <n v="122.14999999999999"/>
    <n v="226.85000000000002"/>
    <n v="105"/>
    <n v="105"/>
    <n v="120"/>
    <n v="1.8500000000000227"/>
    <n v="8.1551686136214357E-3"/>
    <x v="0"/>
    <d v="2025-07-08T00:00:00"/>
    <n v="2"/>
    <x v="1"/>
    <n v="4"/>
    <n v="1"/>
  </r>
  <r>
    <s v="ORD-103384"/>
    <x v="548"/>
    <x v="1"/>
    <d v="2025-07-01T00:00:00"/>
    <n v="7"/>
    <s v="CUST-01039"/>
    <x v="1"/>
    <x v="6"/>
    <s v="DL"/>
    <x v="0"/>
    <s v="New Delhi"/>
    <x v="0"/>
    <s v="P404"/>
    <s v="Flip Flops"/>
    <x v="5"/>
    <n v="1"/>
    <n v="399"/>
    <n v="0.15"/>
    <n v="399"/>
    <n v="59.849999999999994"/>
    <n v="339.15"/>
    <n v="152"/>
    <n v="152"/>
    <n v="60"/>
    <n v="127.14999999999998"/>
    <n v="0.37490785787999409"/>
    <x v="0"/>
    <d v="2025-07-07T00:00:00"/>
    <n v="1"/>
    <x v="1"/>
    <n v="5"/>
    <n v="0"/>
  </r>
  <r>
    <s v="ORD-103385"/>
    <x v="548"/>
    <x v="1"/>
    <d v="2025-07-01T00:00:00"/>
    <n v="7"/>
    <s v="CUST-00257"/>
    <x v="1"/>
    <x v="6"/>
    <s v="DL"/>
    <x v="0"/>
    <s v="New Delhi"/>
    <x v="0"/>
    <s v="P701"/>
    <s v="Ashwagandha Capsules"/>
    <x v="0"/>
    <n v="3"/>
    <n v="499"/>
    <n v="0"/>
    <n v="1497"/>
    <n v="0"/>
    <n v="1497"/>
    <n v="150"/>
    <n v="450"/>
    <n v="60"/>
    <n v="987"/>
    <n v="0.65931863727454909"/>
    <x v="1"/>
    <d v="2025-07-08T00:00:00"/>
    <n v="2"/>
    <x v="1"/>
    <n v="4"/>
    <n v="0"/>
  </r>
  <r>
    <s v="ORD-103386"/>
    <x v="548"/>
    <x v="1"/>
    <d v="2025-07-01T00:00:00"/>
    <n v="7"/>
    <s v="CUST-02510"/>
    <x v="0"/>
    <x v="12"/>
    <s v="BR"/>
    <x v="2"/>
    <s v="Patna"/>
    <x v="3"/>
    <s v="P102"/>
    <s v="Sunscreen SPF 50"/>
    <x v="3"/>
    <n v="1"/>
    <n v="449"/>
    <n v="0.05"/>
    <n v="449"/>
    <n v="22.450000000000003"/>
    <n v="426.55"/>
    <n v="144"/>
    <n v="144"/>
    <n v="60"/>
    <n v="222.55"/>
    <n v="0.52174422693705313"/>
    <x v="4"/>
    <d v="2025-07-11T00:00:00"/>
    <n v="5"/>
    <x v="2"/>
    <n v="4"/>
    <n v="0"/>
  </r>
  <r>
    <s v="ORD-103387"/>
    <x v="548"/>
    <x v="1"/>
    <d v="2025-07-01T00:00:00"/>
    <n v="7"/>
    <s v="CUST-01779"/>
    <x v="1"/>
    <x v="1"/>
    <s v="GJ"/>
    <x v="1"/>
    <s v="Surat"/>
    <x v="3"/>
    <s v="P704"/>
    <s v="Multivitamin Gummies"/>
    <x v="0"/>
    <n v="2"/>
    <n v="699"/>
    <n v="0.25"/>
    <n v="1398"/>
    <n v="349.5"/>
    <n v="1048.5"/>
    <n v="238"/>
    <n v="476"/>
    <n v="60"/>
    <n v="512.5"/>
    <n v="0.48879351454458753"/>
    <x v="1"/>
    <d v="2025-07-09T00:00:00"/>
    <n v="3"/>
    <x v="0"/>
    <n v="4"/>
    <n v="0"/>
  </r>
  <r>
    <s v="ORD-103388"/>
    <x v="548"/>
    <x v="1"/>
    <d v="2025-07-01T00:00:00"/>
    <n v="7"/>
    <s v="CUST-00547"/>
    <x v="1"/>
    <x v="7"/>
    <s v="JH"/>
    <x v="2"/>
    <s v="Ranchi"/>
    <x v="4"/>
    <s v="P304"/>
    <s v="Denim Jacket"/>
    <x v="1"/>
    <n v="1"/>
    <n v="2499"/>
    <n v="0.1"/>
    <n v="2499"/>
    <n v="249.9"/>
    <n v="2249.1"/>
    <n v="1125"/>
    <n v="1125"/>
    <n v="60"/>
    <n v="1064.0999999999999"/>
    <n v="0.4731225823662798"/>
    <x v="0"/>
    <d v="2025-07-10T00:00:00"/>
    <n v="4"/>
    <x v="0"/>
    <n v="3"/>
    <n v="0"/>
  </r>
  <r>
    <s v="ORD-103389"/>
    <x v="548"/>
    <x v="1"/>
    <d v="2025-07-01T00:00:00"/>
    <n v="7"/>
    <s v="CUST-00291"/>
    <x v="0"/>
    <x v="17"/>
    <s v="TN"/>
    <x v="3"/>
    <s v="Chennai"/>
    <x v="1"/>
    <s v="P403"/>
    <s v="Kolhapuri Sandals"/>
    <x v="5"/>
    <n v="1"/>
    <n v="999"/>
    <n v="0.05"/>
    <n v="999"/>
    <n v="49.95"/>
    <n v="949.05"/>
    <n v="400"/>
    <n v="400"/>
    <n v="60"/>
    <n v="489.04999999999995"/>
    <n v="0.5153047784626732"/>
    <x v="2"/>
    <d v="2025-07-09T00:00:00"/>
    <n v="3"/>
    <x v="0"/>
    <n v="4"/>
    <n v="0"/>
  </r>
  <r>
    <s v="ORD-103390"/>
    <x v="549"/>
    <x v="1"/>
    <d v="2025-07-01T00:00:00"/>
    <n v="7"/>
    <s v="CUST-01169"/>
    <x v="1"/>
    <x v="6"/>
    <s v="DL"/>
    <x v="0"/>
    <s v="New Delhi"/>
    <x v="0"/>
    <s v="P603"/>
    <s v="Smartwatch Strap"/>
    <x v="2"/>
    <n v="1"/>
    <n v="499"/>
    <n v="0.1"/>
    <n v="499"/>
    <n v="49.900000000000006"/>
    <n v="449.1"/>
    <n v="200"/>
    <n v="200"/>
    <n v="60"/>
    <n v="189.10000000000002"/>
    <n v="0.42106435092407041"/>
    <x v="1"/>
    <d v="2025-07-08T00:00:00"/>
    <n v="1"/>
    <x v="1"/>
    <n v="3"/>
    <n v="0"/>
  </r>
  <r>
    <s v="ORD-103391"/>
    <x v="549"/>
    <x v="1"/>
    <d v="2025-07-01T00:00:00"/>
    <n v="7"/>
    <s v="CUST-00964"/>
    <x v="1"/>
    <x v="6"/>
    <s v="DL"/>
    <x v="0"/>
    <s v="New Delhi"/>
    <x v="0"/>
    <s v="P404"/>
    <s v="Flip Flops"/>
    <x v="5"/>
    <n v="1"/>
    <n v="399"/>
    <n v="0.2"/>
    <n v="399"/>
    <n v="79.800000000000011"/>
    <n v="319.2"/>
    <n v="152"/>
    <n v="152"/>
    <n v="60"/>
    <n v="107.19999999999999"/>
    <n v="0.33583959899749372"/>
    <x v="3"/>
    <d v="2025-07-09T00:00:00"/>
    <n v="2"/>
    <x v="1"/>
    <n v="4"/>
    <n v="0"/>
  </r>
  <r>
    <s v="ORD-103392"/>
    <x v="549"/>
    <x v="1"/>
    <d v="2025-07-01T00:00:00"/>
    <n v="7"/>
    <s v="CUST-01009"/>
    <x v="1"/>
    <x v="6"/>
    <s v="DL"/>
    <x v="0"/>
    <s v="New Delhi"/>
    <x v="0"/>
    <s v="P501"/>
    <s v="Copper Water Bottle"/>
    <x v="4"/>
    <n v="1"/>
    <n v="899"/>
    <n v="0.1"/>
    <n v="899"/>
    <n v="89.9"/>
    <n v="809.1"/>
    <n v="378"/>
    <n v="378"/>
    <n v="120"/>
    <n v="311.10000000000002"/>
    <n v="0.38450129773822767"/>
    <x v="3"/>
    <d v="2025-07-09T00:00:00"/>
    <n v="2"/>
    <x v="1"/>
    <n v="5"/>
    <n v="1"/>
  </r>
  <r>
    <s v="ORD-103393"/>
    <x v="549"/>
    <x v="1"/>
    <d v="2025-07-01T00:00:00"/>
    <n v="7"/>
    <s v="CUST-00011"/>
    <x v="1"/>
    <x v="2"/>
    <s v="MH"/>
    <x v="1"/>
    <s v="Pune"/>
    <x v="4"/>
    <s v="P701"/>
    <s v="Ashwagandha Capsules"/>
    <x v="0"/>
    <n v="1"/>
    <n v="499"/>
    <n v="0"/>
    <n v="499"/>
    <n v="0"/>
    <n v="499"/>
    <n v="150"/>
    <n v="150"/>
    <n v="60"/>
    <n v="289"/>
    <n v="0.57915831663326656"/>
    <x v="1"/>
    <d v="2025-07-10T00:00:00"/>
    <n v="3"/>
    <x v="0"/>
    <n v="4"/>
    <n v="0"/>
  </r>
  <r>
    <s v="ORD-103394"/>
    <x v="549"/>
    <x v="1"/>
    <d v="2025-07-01T00:00:00"/>
    <n v="7"/>
    <s v="CUST-02696"/>
    <x v="0"/>
    <x v="11"/>
    <s v="KA"/>
    <x v="3"/>
    <s v="Mysuru"/>
    <x v="0"/>
    <s v="P503"/>
    <s v="Scented Candle Set"/>
    <x v="4"/>
    <n v="2"/>
    <n v="699"/>
    <n v="0.2"/>
    <n v="1398"/>
    <n v="279.60000000000002"/>
    <n v="1118.4000000000001"/>
    <n v="245"/>
    <n v="490"/>
    <n v="60"/>
    <n v="568.40000000000009"/>
    <n v="0.50822603719599435"/>
    <x v="4"/>
    <d v="2025-07-09T00:00:00"/>
    <n v="2"/>
    <x v="1"/>
    <n v="5"/>
    <n v="0"/>
  </r>
  <r>
    <s v="ORD-103395"/>
    <x v="550"/>
    <x v="1"/>
    <d v="2025-07-01T00:00:00"/>
    <n v="7"/>
    <s v="CUST-00407"/>
    <x v="1"/>
    <x v="4"/>
    <s v="JK"/>
    <x v="0"/>
    <s v="Srinagar"/>
    <x v="1"/>
    <s v="P302"/>
    <s v="Linen Kurta"/>
    <x v="1"/>
    <n v="2"/>
    <n v="1499"/>
    <n v="0.35"/>
    <n v="2998"/>
    <n v="1049.3"/>
    <n v="1948.7"/>
    <n v="630"/>
    <n v="1260"/>
    <n v="60"/>
    <n v="628.70000000000005"/>
    <n v="0.32262533997023657"/>
    <x v="0"/>
    <d v="2025-07-14T00:00:00"/>
    <n v="6"/>
    <x v="2"/>
    <n v="4"/>
    <n v="0"/>
  </r>
  <r>
    <s v="ORD-103396"/>
    <x v="550"/>
    <x v="1"/>
    <d v="2025-07-01T00:00:00"/>
    <n v="7"/>
    <s v="CUST-01023"/>
    <x v="1"/>
    <x v="6"/>
    <s v="DL"/>
    <x v="0"/>
    <s v="New Delhi"/>
    <x v="4"/>
    <s v="P102"/>
    <s v="Sunscreen SPF 50"/>
    <x v="3"/>
    <n v="1"/>
    <n v="449"/>
    <n v="0"/>
    <n v="449"/>
    <n v="0"/>
    <n v="449"/>
    <n v="144"/>
    <n v="144"/>
    <n v="60"/>
    <n v="245"/>
    <n v="0.54565701559020041"/>
    <x v="0"/>
    <d v="2025-07-10T00:00:00"/>
    <n v="2"/>
    <x v="1"/>
    <n v="4"/>
    <n v="0"/>
  </r>
  <r>
    <s v="ORD-103397"/>
    <x v="550"/>
    <x v="1"/>
    <d v="2025-07-01T00:00:00"/>
    <n v="7"/>
    <s v="CUST-02438"/>
    <x v="0"/>
    <x v="1"/>
    <s v="GJ"/>
    <x v="1"/>
    <s v="Ahmedabad"/>
    <x v="4"/>
    <s v="P101"/>
    <s v="Vitamin C Face Serum"/>
    <x v="3"/>
    <n v="1"/>
    <n v="599"/>
    <n v="0.25"/>
    <n v="599"/>
    <n v="149.75"/>
    <n v="449.25"/>
    <n v="180"/>
    <n v="180"/>
    <n v="60"/>
    <n v="209.25"/>
    <n v="0.46577629382303842"/>
    <x v="1"/>
    <d v="2025-07-09T00:00:00"/>
    <n v="1"/>
    <x v="1"/>
    <n v="5"/>
    <n v="0"/>
  </r>
  <r>
    <s v="ORD-103398"/>
    <x v="550"/>
    <x v="1"/>
    <d v="2025-07-01T00:00:00"/>
    <n v="7"/>
    <s v="CUST-00498"/>
    <x v="1"/>
    <x v="18"/>
    <s v="WB"/>
    <x v="2"/>
    <s v="Kolkata"/>
    <x v="4"/>
    <s v="P503"/>
    <s v="Scented Candle Set"/>
    <x v="4"/>
    <n v="1"/>
    <n v="699"/>
    <n v="0.2"/>
    <n v="699"/>
    <n v="139.80000000000001"/>
    <n v="559.20000000000005"/>
    <n v="245"/>
    <n v="245"/>
    <n v="60"/>
    <n v="254.20000000000005"/>
    <n v="0.45457796852646642"/>
    <x v="3"/>
    <d v="2025-07-09T00:00:00"/>
    <n v="1"/>
    <x v="1"/>
    <n v="5"/>
    <n v="0"/>
  </r>
  <r>
    <s v="ORD-103399"/>
    <x v="550"/>
    <x v="1"/>
    <d v="2025-07-01T00:00:00"/>
    <n v="7"/>
    <s v="CUST-00683"/>
    <x v="1"/>
    <x v="17"/>
    <s v="TN"/>
    <x v="3"/>
    <s v="Coimbatore"/>
    <x v="3"/>
    <s v="P202"/>
    <s v="Argan Shampoo"/>
    <x v="6"/>
    <n v="1"/>
    <n v="449"/>
    <n v="0"/>
    <n v="449"/>
    <n v="0"/>
    <n v="449"/>
    <n v="148"/>
    <n v="148"/>
    <n v="60"/>
    <n v="241"/>
    <n v="0.53674832962138086"/>
    <x v="1"/>
    <d v="2025-07-11T00:00:00"/>
    <n v="3"/>
    <x v="0"/>
    <m/>
    <n v="0"/>
  </r>
  <r>
    <s v="ORD-103400"/>
    <x v="551"/>
    <x v="1"/>
    <d v="2025-07-01T00:00:00"/>
    <n v="7"/>
    <s v="CUST-00305"/>
    <x v="1"/>
    <x v="4"/>
    <s v="JK"/>
    <x v="0"/>
    <s v="Jammu"/>
    <x v="2"/>
    <s v="P603"/>
    <s v="Smartwatch Strap"/>
    <x v="2"/>
    <n v="2"/>
    <n v="499"/>
    <n v="0.15"/>
    <n v="998"/>
    <n v="149.69999999999999"/>
    <n v="848.3"/>
    <n v="200"/>
    <n v="400"/>
    <n v="60"/>
    <n v="388.29999999999995"/>
    <n v="0.45773900742661794"/>
    <x v="0"/>
    <d v="2025-07-16T00:00:00"/>
    <n v="7"/>
    <x v="2"/>
    <m/>
    <n v="0"/>
  </r>
  <r>
    <s v="ORD-103401"/>
    <x v="551"/>
    <x v="1"/>
    <d v="2025-07-01T00:00:00"/>
    <n v="7"/>
    <s v="CUST-01224"/>
    <x v="1"/>
    <x v="19"/>
    <s v="PB"/>
    <x v="0"/>
    <s v="Amritsar"/>
    <x v="1"/>
    <s v="P403"/>
    <s v="Kolhapuri Sandals"/>
    <x v="5"/>
    <n v="1"/>
    <n v="999"/>
    <n v="0.1"/>
    <n v="999"/>
    <n v="99.9"/>
    <n v="899.1"/>
    <n v="400"/>
    <n v="400"/>
    <n v="60"/>
    <n v="439.1"/>
    <n v="0.48837726615504395"/>
    <x v="0"/>
    <d v="2025-07-12T00:00:00"/>
    <n v="3"/>
    <x v="0"/>
    <m/>
    <n v="0"/>
  </r>
  <r>
    <s v="ORD-103402"/>
    <x v="551"/>
    <x v="1"/>
    <d v="2025-07-01T00:00:00"/>
    <n v="7"/>
    <s v="CUST-01860"/>
    <x v="0"/>
    <x v="0"/>
    <s v="RJ"/>
    <x v="0"/>
    <s v="Jaipur"/>
    <x v="1"/>
    <s v="P301"/>
    <s v="Cotton Oversized T-Shirt"/>
    <x v="1"/>
    <n v="1"/>
    <n v="799"/>
    <n v="0.1"/>
    <n v="799"/>
    <n v="79.900000000000006"/>
    <n v="719.1"/>
    <n v="320"/>
    <n v="320"/>
    <n v="60"/>
    <n v="339.1"/>
    <n v="0.47156167431511614"/>
    <x v="3"/>
    <d v="2025-07-13T00:00:00"/>
    <n v="4"/>
    <x v="0"/>
    <n v="4"/>
    <n v="0"/>
  </r>
  <r>
    <s v="ORD-103403"/>
    <x v="551"/>
    <x v="1"/>
    <d v="2025-07-01T00:00:00"/>
    <n v="7"/>
    <s v="CUST-00329"/>
    <x v="1"/>
    <x v="15"/>
    <s v="HR"/>
    <x v="0"/>
    <s v="Faridabad"/>
    <x v="0"/>
    <s v="P203"/>
    <s v="Keratin Hair Mask"/>
    <x v="6"/>
    <n v="1"/>
    <n v="549"/>
    <n v="0.1"/>
    <n v="549"/>
    <n v="54.900000000000006"/>
    <n v="494.1"/>
    <n v="170"/>
    <n v="170"/>
    <n v="60"/>
    <n v="264.10000000000002"/>
    <n v="0.53450718478040882"/>
    <x v="0"/>
    <d v="2025-07-14T00:00:00"/>
    <n v="5"/>
    <x v="2"/>
    <n v="4"/>
    <n v="0"/>
  </r>
  <r>
    <s v="ORD-103404"/>
    <x v="551"/>
    <x v="1"/>
    <d v="2025-07-01T00:00:00"/>
    <n v="7"/>
    <s v="CUST-00430"/>
    <x v="1"/>
    <x v="15"/>
    <s v="HR"/>
    <x v="0"/>
    <s v="Faridabad"/>
    <x v="0"/>
    <s v="P103"/>
    <s v="Niacinamide Toner"/>
    <x v="3"/>
    <n v="1"/>
    <n v="399"/>
    <n v="0.3"/>
    <n v="399"/>
    <n v="119.69999999999999"/>
    <n v="279.3"/>
    <n v="112"/>
    <n v="112"/>
    <n v="60"/>
    <n v="107.30000000000001"/>
    <n v="0.38417472252058721"/>
    <x v="4"/>
    <d v="2025-07-12T00:00:00"/>
    <n v="3"/>
    <x v="0"/>
    <n v="3"/>
    <n v="0"/>
  </r>
  <r>
    <s v="ORD-103405"/>
    <x v="551"/>
    <x v="1"/>
    <d v="2025-07-01T00:00:00"/>
    <n v="7"/>
    <s v="CUST-00079"/>
    <x v="0"/>
    <x v="6"/>
    <s v="DL"/>
    <x v="0"/>
    <s v="New Delhi"/>
    <x v="1"/>
    <s v="P401"/>
    <s v="Running Shoes"/>
    <x v="5"/>
    <n v="1"/>
    <n v="2999"/>
    <n v="0.15"/>
    <n v="2999"/>
    <n v="449.84999999999997"/>
    <n v="2549.15"/>
    <n v="1440"/>
    <n v="1440"/>
    <n v="60"/>
    <n v="1049.1500000000001"/>
    <n v="0.41156856206970954"/>
    <x v="3"/>
    <d v="2025-07-12T00:00:00"/>
    <n v="3"/>
    <x v="0"/>
    <n v="4"/>
    <n v="0"/>
  </r>
  <r>
    <s v="ORD-103406"/>
    <x v="551"/>
    <x v="1"/>
    <d v="2025-07-01T00:00:00"/>
    <n v="7"/>
    <s v="CUST-00452"/>
    <x v="1"/>
    <x v="1"/>
    <s v="GJ"/>
    <x v="1"/>
    <s v="Surat"/>
    <x v="1"/>
    <s v="P304"/>
    <s v="Denim Jacket"/>
    <x v="1"/>
    <n v="1"/>
    <n v="2499"/>
    <n v="0"/>
    <n v="2499"/>
    <n v="0"/>
    <n v="2499"/>
    <n v="1125"/>
    <n v="1125"/>
    <n v="120"/>
    <n v="1254"/>
    <n v="0.50180072028811529"/>
    <x v="0"/>
    <d v="2025-07-10T00:00:00"/>
    <n v="1"/>
    <x v="1"/>
    <n v="4"/>
    <n v="1"/>
  </r>
  <r>
    <s v="ORD-103407"/>
    <x v="551"/>
    <x v="1"/>
    <d v="2025-07-01T00:00:00"/>
    <n v="7"/>
    <s v="CUST-00994"/>
    <x v="1"/>
    <x v="18"/>
    <s v="WB"/>
    <x v="2"/>
    <s v="Kolkata"/>
    <x v="2"/>
    <s v="P103"/>
    <s v="Niacinamide Toner"/>
    <x v="3"/>
    <n v="1"/>
    <n v="399"/>
    <n v="0.15"/>
    <n v="399"/>
    <n v="59.849999999999994"/>
    <n v="339.15"/>
    <n v="112"/>
    <n v="112"/>
    <n v="60"/>
    <n v="167.14999999999998"/>
    <n v="0.49284977148754233"/>
    <x v="0"/>
    <d v="2025-07-14T00:00:00"/>
    <n v="5"/>
    <x v="2"/>
    <m/>
    <n v="0"/>
  </r>
  <r>
    <s v="ORD-103408"/>
    <x v="551"/>
    <x v="1"/>
    <d v="2025-07-01T00:00:00"/>
    <n v="7"/>
    <s v="CUST-00999"/>
    <x v="1"/>
    <x v="18"/>
    <s v="WB"/>
    <x v="2"/>
    <s v="Kolkata"/>
    <x v="4"/>
    <s v="P202"/>
    <s v="Argan Shampoo"/>
    <x v="6"/>
    <n v="1"/>
    <n v="449"/>
    <n v="0.05"/>
    <n v="449"/>
    <n v="22.450000000000003"/>
    <n v="426.55"/>
    <n v="148"/>
    <n v="148"/>
    <n v="60"/>
    <n v="218.55"/>
    <n v="0.51236666275934828"/>
    <x v="4"/>
    <d v="2025-07-11T00:00:00"/>
    <n v="2"/>
    <x v="1"/>
    <n v="4"/>
    <n v="0"/>
  </r>
  <r>
    <s v="ORD-103409"/>
    <x v="551"/>
    <x v="1"/>
    <d v="2025-07-01T00:00:00"/>
    <n v="7"/>
    <s v="CUST-00906"/>
    <x v="1"/>
    <x v="17"/>
    <s v="TN"/>
    <x v="3"/>
    <s v="Coimbatore"/>
    <x v="0"/>
    <s v="P302"/>
    <s v="Linen Kurta"/>
    <x v="1"/>
    <n v="2"/>
    <n v="1499"/>
    <n v="0.25"/>
    <n v="2998"/>
    <n v="749.5"/>
    <n v="2248.5"/>
    <n v="630"/>
    <n v="1260"/>
    <n v="60"/>
    <n v="928.5"/>
    <n v="0.41294196130753835"/>
    <x v="3"/>
    <d v="2025-07-11T00:00:00"/>
    <n v="2"/>
    <x v="1"/>
    <n v="4"/>
    <n v="0"/>
  </r>
  <r>
    <s v="ORD-103410"/>
    <x v="552"/>
    <x v="1"/>
    <d v="2025-07-01T00:00:00"/>
    <n v="7"/>
    <s v="CUST-00337"/>
    <x v="1"/>
    <x v="5"/>
    <s v="HP"/>
    <x v="0"/>
    <s v="Shimla"/>
    <x v="2"/>
    <s v="P102"/>
    <s v="Sunscreen SPF 50"/>
    <x v="3"/>
    <n v="2"/>
    <n v="449"/>
    <n v="0.05"/>
    <n v="898"/>
    <n v="44.900000000000006"/>
    <n v="853.1"/>
    <n v="144"/>
    <n v="288"/>
    <n v="120"/>
    <n v="445.1"/>
    <n v="0.52174422693705313"/>
    <x v="0"/>
    <d v="2025-07-16T00:00:00"/>
    <n v="6"/>
    <x v="2"/>
    <m/>
    <n v="1"/>
  </r>
  <r>
    <s v="ORD-103411"/>
    <x v="552"/>
    <x v="1"/>
    <d v="2025-07-01T00:00:00"/>
    <n v="7"/>
    <s v="CUST-00207"/>
    <x v="1"/>
    <x v="0"/>
    <s v="RJ"/>
    <x v="0"/>
    <s v="Jaipur"/>
    <x v="4"/>
    <s v="P103"/>
    <s v="Niacinamide Toner"/>
    <x v="3"/>
    <n v="2"/>
    <n v="399"/>
    <n v="0.25"/>
    <n v="798"/>
    <n v="199.5"/>
    <n v="598.5"/>
    <n v="112"/>
    <n v="224"/>
    <n v="60"/>
    <n v="314.5"/>
    <n v="0.52548036758563077"/>
    <x v="0"/>
    <d v="2025-07-14T00:00:00"/>
    <n v="4"/>
    <x v="0"/>
    <m/>
    <n v="0"/>
  </r>
  <r>
    <s v="ORD-103412"/>
    <x v="552"/>
    <x v="1"/>
    <d v="2025-07-01T00:00:00"/>
    <n v="7"/>
    <s v="CUST-00241"/>
    <x v="1"/>
    <x v="6"/>
    <s v="DL"/>
    <x v="0"/>
    <s v="New Delhi"/>
    <x v="3"/>
    <s v="P202"/>
    <s v="Argan Shampoo"/>
    <x v="6"/>
    <n v="1"/>
    <n v="449"/>
    <n v="0.1"/>
    <n v="449"/>
    <n v="44.900000000000006"/>
    <n v="404.1"/>
    <n v="148"/>
    <n v="148"/>
    <n v="60"/>
    <n v="196.10000000000002"/>
    <n v="0.48527592180153428"/>
    <x v="0"/>
    <d v="2025-07-11T00:00:00"/>
    <n v="1"/>
    <x v="1"/>
    <n v="3"/>
    <n v="0"/>
  </r>
  <r>
    <s v="ORD-103413"/>
    <x v="552"/>
    <x v="1"/>
    <d v="2025-07-01T00:00:00"/>
    <n v="7"/>
    <s v="CUST-00720"/>
    <x v="0"/>
    <x v="1"/>
    <s v="GJ"/>
    <x v="1"/>
    <s v="Surat"/>
    <x v="2"/>
    <s v="P101"/>
    <s v="Vitamin C Face Serum"/>
    <x v="3"/>
    <n v="1"/>
    <n v="599"/>
    <n v="0.1"/>
    <n v="599"/>
    <n v="59.900000000000006"/>
    <n v="539.1"/>
    <n v="180"/>
    <n v="180"/>
    <n v="60"/>
    <n v="299.10000000000002"/>
    <n v="0.5548135781858653"/>
    <x v="4"/>
    <d v="2025-07-13T00:00:00"/>
    <n v="3"/>
    <x v="0"/>
    <n v="4"/>
    <n v="0"/>
  </r>
  <r>
    <s v="ORD-103414"/>
    <x v="552"/>
    <x v="1"/>
    <d v="2025-07-01T00:00:00"/>
    <n v="7"/>
    <s v="CUST-01161"/>
    <x v="1"/>
    <x v="18"/>
    <s v="WB"/>
    <x v="2"/>
    <s v="Kolkata"/>
    <x v="2"/>
    <s v="P701"/>
    <s v="Ashwagandha Capsules"/>
    <x v="0"/>
    <n v="1"/>
    <n v="499"/>
    <n v="0.05"/>
    <n v="499"/>
    <n v="24.950000000000003"/>
    <n v="474.05"/>
    <n v="150"/>
    <n v="150"/>
    <n v="60"/>
    <n v="264.05"/>
    <n v="0.55700875435080688"/>
    <x v="0"/>
    <d v="2025-07-13T00:00:00"/>
    <n v="3"/>
    <x v="0"/>
    <m/>
    <n v="0"/>
  </r>
  <r>
    <s v="ORD-103415"/>
    <x v="553"/>
    <x v="1"/>
    <d v="2025-07-01T00:00:00"/>
    <n v="7"/>
    <s v="CUST-00263"/>
    <x v="1"/>
    <x v="19"/>
    <s v="PB"/>
    <x v="0"/>
    <s v="Amritsar"/>
    <x v="0"/>
    <s v="P104"/>
    <s v="Hydrating Face Wash"/>
    <x v="3"/>
    <n v="1"/>
    <n v="299"/>
    <n v="0"/>
    <n v="299"/>
    <n v="0"/>
    <n v="299"/>
    <n v="90"/>
    <n v="90"/>
    <n v="60"/>
    <n v="149"/>
    <n v="0.49832775919732442"/>
    <x v="0"/>
    <d v="2025-07-15T00:00:00"/>
    <n v="4"/>
    <x v="0"/>
    <n v="4"/>
    <n v="0"/>
  </r>
  <r>
    <s v="ORD-103416"/>
    <x v="553"/>
    <x v="1"/>
    <d v="2025-07-01T00:00:00"/>
    <n v="7"/>
    <s v="CUST-00569"/>
    <x v="1"/>
    <x v="6"/>
    <s v="DL"/>
    <x v="0"/>
    <s v="New Delhi"/>
    <x v="0"/>
    <s v="P703"/>
    <s v="Green Tea (100 bags)"/>
    <x v="0"/>
    <n v="4"/>
    <n v="399"/>
    <n v="0.4"/>
    <n v="1596"/>
    <n v="638.40000000000009"/>
    <n v="957.59999999999991"/>
    <n v="128"/>
    <n v="512"/>
    <n v="60"/>
    <n v="385.59999999999991"/>
    <n v="0.40267335004177102"/>
    <x v="3"/>
    <d v="2025-07-13T00:00:00"/>
    <n v="2"/>
    <x v="1"/>
    <m/>
    <n v="0"/>
  </r>
  <r>
    <s v="ORD-103417"/>
    <x v="553"/>
    <x v="1"/>
    <d v="2025-07-01T00:00:00"/>
    <n v="7"/>
    <s v="CUST-00116"/>
    <x v="1"/>
    <x v="16"/>
    <s v="UP"/>
    <x v="0"/>
    <s v="Noida"/>
    <x v="0"/>
    <s v="P102"/>
    <s v="Sunscreen SPF 50"/>
    <x v="3"/>
    <n v="2"/>
    <n v="449"/>
    <n v="0"/>
    <n v="898"/>
    <n v="0"/>
    <n v="898"/>
    <n v="144"/>
    <n v="288"/>
    <n v="60"/>
    <n v="550"/>
    <n v="0.61247216035634744"/>
    <x v="0"/>
    <d v="2025-07-13T00:00:00"/>
    <n v="2"/>
    <x v="1"/>
    <n v="4"/>
    <n v="0"/>
  </r>
  <r>
    <s v="ORD-103418"/>
    <x v="553"/>
    <x v="1"/>
    <d v="2025-07-01T00:00:00"/>
    <n v="7"/>
    <s v="CUST-00736"/>
    <x v="0"/>
    <x v="16"/>
    <s v="UP"/>
    <x v="0"/>
    <s v="Lucknow"/>
    <x v="2"/>
    <s v="P103"/>
    <s v="Niacinamide Toner"/>
    <x v="3"/>
    <n v="4"/>
    <n v="399"/>
    <n v="0.15"/>
    <n v="1596"/>
    <n v="239.39999999999998"/>
    <n v="1356.6"/>
    <n v="112"/>
    <n v="448"/>
    <n v="120"/>
    <n v="788.59999999999991"/>
    <n v="0.58130620669320354"/>
    <x v="0"/>
    <d v="2025-07-14T00:00:00"/>
    <n v="3"/>
    <x v="0"/>
    <n v="4"/>
    <n v="1"/>
  </r>
  <r>
    <s v="ORD-103419"/>
    <x v="553"/>
    <x v="1"/>
    <d v="2025-07-01T00:00:00"/>
    <n v="7"/>
    <s v="CUST-00067"/>
    <x v="1"/>
    <x v="18"/>
    <s v="WB"/>
    <x v="2"/>
    <s v="Kolkata"/>
    <x v="1"/>
    <s v="P402"/>
    <s v="Casual Sneakers"/>
    <x v="5"/>
    <n v="2"/>
    <n v="2199"/>
    <n v="0.3"/>
    <n v="4398"/>
    <n v="1319.3999999999999"/>
    <n v="3078.6000000000004"/>
    <n v="1034"/>
    <n v="2068"/>
    <n v="60"/>
    <n v="950.60000000000036"/>
    <n v="0.30877671668940437"/>
    <x v="0"/>
    <d v="2025-07-15T00:00:00"/>
    <n v="4"/>
    <x v="0"/>
    <n v="3"/>
    <n v="0"/>
  </r>
  <r>
    <s v="ORD-103420"/>
    <x v="553"/>
    <x v="1"/>
    <d v="2025-07-01T00:00:00"/>
    <n v="7"/>
    <s v="CUST-00413"/>
    <x v="1"/>
    <x v="11"/>
    <s v="KA"/>
    <x v="3"/>
    <s v="Bengaluru"/>
    <x v="0"/>
    <s v="P701"/>
    <s v="Ashwagandha Capsules"/>
    <x v="0"/>
    <n v="1"/>
    <n v="499"/>
    <n v="0.05"/>
    <n v="499"/>
    <n v="24.950000000000003"/>
    <n v="474.05"/>
    <n v="150"/>
    <n v="150"/>
    <n v="60"/>
    <n v="264.05"/>
    <n v="0.55700875435080688"/>
    <x v="2"/>
    <d v="2025-07-14T00:00:00"/>
    <n v="3"/>
    <x v="0"/>
    <n v="4"/>
    <n v="0"/>
  </r>
  <r>
    <s v="ORD-103421"/>
    <x v="554"/>
    <x v="1"/>
    <d v="2025-07-01T00:00:00"/>
    <n v="7"/>
    <s v="CUST-00644"/>
    <x v="1"/>
    <x v="18"/>
    <s v="WB"/>
    <x v="2"/>
    <s v="Kolkata"/>
    <x v="4"/>
    <s v="P104"/>
    <s v="Hydrating Face Wash"/>
    <x v="3"/>
    <n v="1"/>
    <n v="299"/>
    <n v="0"/>
    <n v="299"/>
    <n v="0"/>
    <n v="299"/>
    <n v="90"/>
    <n v="90"/>
    <n v="60"/>
    <n v="149"/>
    <n v="0.49832775919732442"/>
    <x v="3"/>
    <d v="2025-07-14T00:00:00"/>
    <n v="2"/>
    <x v="1"/>
    <n v="4"/>
    <n v="0"/>
  </r>
  <r>
    <s v="ORD-103422"/>
    <x v="554"/>
    <x v="1"/>
    <d v="2025-07-01T00:00:00"/>
    <n v="7"/>
    <s v="CUST-00919"/>
    <x v="1"/>
    <x v="18"/>
    <s v="WB"/>
    <x v="2"/>
    <s v="Kolkata"/>
    <x v="0"/>
    <s v="P704"/>
    <s v="Multivitamin Gummies"/>
    <x v="0"/>
    <n v="1"/>
    <n v="699"/>
    <n v="0.25"/>
    <n v="699"/>
    <n v="174.75"/>
    <n v="524.25"/>
    <n v="238"/>
    <n v="238"/>
    <n v="60"/>
    <n v="226.25"/>
    <n v="0.43156890796375774"/>
    <x v="1"/>
    <d v="2025-07-16T00:00:00"/>
    <n v="4"/>
    <x v="0"/>
    <n v="4"/>
    <n v="0"/>
  </r>
  <r>
    <s v="ORD-103423"/>
    <x v="554"/>
    <x v="1"/>
    <d v="2025-07-01T00:00:00"/>
    <n v="7"/>
    <s v="CUST-02840"/>
    <x v="0"/>
    <x v="2"/>
    <s v="MH"/>
    <x v="1"/>
    <s v="Mumbai"/>
    <x v="1"/>
    <s v="P404"/>
    <s v="Flip Flops"/>
    <x v="5"/>
    <n v="1"/>
    <n v="399"/>
    <n v="0.05"/>
    <n v="399"/>
    <n v="19.950000000000003"/>
    <n v="379.05"/>
    <n v="152"/>
    <n v="152"/>
    <n v="60"/>
    <n v="167.05"/>
    <n v="0.44070703073473161"/>
    <x v="0"/>
    <d v="2025-07-15T00:00:00"/>
    <n v="3"/>
    <x v="0"/>
    <n v="4"/>
    <n v="0"/>
  </r>
  <r>
    <s v="ORD-103424"/>
    <x v="555"/>
    <x v="1"/>
    <d v="2025-07-01T00:00:00"/>
    <n v="7"/>
    <s v="CUST-00859"/>
    <x v="1"/>
    <x v="0"/>
    <s v="RJ"/>
    <x v="0"/>
    <s v="Jaipur"/>
    <x v="0"/>
    <s v="P203"/>
    <s v="Keratin Hair Mask"/>
    <x v="6"/>
    <n v="1"/>
    <n v="549"/>
    <n v="0.2"/>
    <n v="549"/>
    <n v="109.80000000000001"/>
    <n v="439.2"/>
    <n v="170"/>
    <n v="170"/>
    <n v="60"/>
    <n v="209.2"/>
    <n v="0.47632058287795992"/>
    <x v="1"/>
    <d v="2025-07-17T00:00:00"/>
    <n v="4"/>
    <x v="0"/>
    <n v="4"/>
    <n v="0"/>
  </r>
  <r>
    <s v="ORD-103425"/>
    <x v="555"/>
    <x v="1"/>
    <d v="2025-07-01T00:00:00"/>
    <n v="7"/>
    <s v="CUST-00986"/>
    <x v="1"/>
    <x v="6"/>
    <s v="DL"/>
    <x v="0"/>
    <s v="New Delhi"/>
    <x v="2"/>
    <s v="P102"/>
    <s v="Sunscreen SPF 50"/>
    <x v="3"/>
    <n v="2"/>
    <n v="449"/>
    <n v="0.05"/>
    <n v="898"/>
    <n v="44.900000000000006"/>
    <n v="853.1"/>
    <n v="144"/>
    <n v="288"/>
    <n v="60"/>
    <n v="505.1"/>
    <n v="0.59207595826983939"/>
    <x v="1"/>
    <d v="2025-07-17T00:00:00"/>
    <n v="4"/>
    <x v="0"/>
    <n v="4"/>
    <n v="0"/>
  </r>
  <r>
    <s v="ORD-103426"/>
    <x v="555"/>
    <x v="1"/>
    <d v="2025-07-01T00:00:00"/>
    <n v="7"/>
    <s v="CUST-01047"/>
    <x v="1"/>
    <x v="2"/>
    <s v="MH"/>
    <x v="1"/>
    <s v="Mumbai"/>
    <x v="1"/>
    <s v="P404"/>
    <s v="Flip Flops"/>
    <x v="5"/>
    <n v="1"/>
    <n v="399"/>
    <n v="0.2"/>
    <n v="399"/>
    <n v="79.800000000000011"/>
    <n v="319.2"/>
    <n v="152"/>
    <n v="152"/>
    <n v="60"/>
    <n v="107.19999999999999"/>
    <n v="0.33583959899749372"/>
    <x v="0"/>
    <d v="2025-07-15T00:00:00"/>
    <n v="2"/>
    <x v="1"/>
    <n v="4"/>
    <n v="0"/>
  </r>
  <r>
    <s v="ORD-103427"/>
    <x v="556"/>
    <x v="1"/>
    <d v="2025-07-01T00:00:00"/>
    <n v="7"/>
    <s v="CUST-00514"/>
    <x v="1"/>
    <x v="0"/>
    <s v="RJ"/>
    <x v="0"/>
    <s v="Jaipur"/>
    <x v="1"/>
    <s v="P404"/>
    <s v="Flip Flops"/>
    <x v="5"/>
    <n v="1"/>
    <n v="399"/>
    <n v="0.1"/>
    <n v="399"/>
    <n v="39.900000000000006"/>
    <n v="359.1"/>
    <n v="152"/>
    <n v="152"/>
    <n v="60"/>
    <n v="147.10000000000002"/>
    <n v="0.40963519910888335"/>
    <x v="4"/>
    <d v="2025-07-19T00:00:00"/>
    <n v="5"/>
    <x v="2"/>
    <n v="4"/>
    <n v="0"/>
  </r>
  <r>
    <s v="ORD-103428"/>
    <x v="556"/>
    <x v="1"/>
    <d v="2025-07-01T00:00:00"/>
    <n v="7"/>
    <s v="CUST-00779"/>
    <x v="1"/>
    <x v="0"/>
    <s v="RJ"/>
    <x v="0"/>
    <s v="Jaipur"/>
    <x v="2"/>
    <s v="P702"/>
    <s v="Whey Protein 1kg"/>
    <x v="0"/>
    <n v="2"/>
    <n v="2299"/>
    <n v="0.3"/>
    <n v="4598"/>
    <n v="1379.3999999999999"/>
    <n v="3218.6000000000004"/>
    <n v="1333"/>
    <n v="2666"/>
    <n v="60"/>
    <n v="492.60000000000036"/>
    <n v="0.15304790902877036"/>
    <x v="0"/>
    <d v="2025-07-21T00:00:00"/>
    <n v="7"/>
    <x v="2"/>
    <n v="3"/>
    <n v="0"/>
  </r>
  <r>
    <s v="ORD-103429"/>
    <x v="556"/>
    <x v="1"/>
    <d v="2025-07-01T00:00:00"/>
    <n v="7"/>
    <s v="CUST-03000"/>
    <x v="1"/>
    <x v="1"/>
    <s v="GJ"/>
    <x v="1"/>
    <s v="Surat"/>
    <x v="0"/>
    <s v="P404"/>
    <s v="Flip Flops"/>
    <x v="5"/>
    <n v="2"/>
    <n v="399"/>
    <n v="0.1"/>
    <n v="798"/>
    <n v="79.800000000000011"/>
    <n v="718.2"/>
    <n v="152"/>
    <n v="304"/>
    <n v="60"/>
    <n v="354.20000000000005"/>
    <n v="0.49317738791423005"/>
    <x v="0"/>
    <d v="2025-07-17T00:00:00"/>
    <n v="3"/>
    <x v="0"/>
    <m/>
    <n v="0"/>
  </r>
  <r>
    <s v="ORD-103430"/>
    <x v="556"/>
    <x v="1"/>
    <d v="2025-07-01T00:00:00"/>
    <n v="7"/>
    <s v="CUST-00371"/>
    <x v="1"/>
    <x v="1"/>
    <s v="GJ"/>
    <x v="1"/>
    <s v="Surat"/>
    <x v="0"/>
    <s v="P603"/>
    <s v="Smartwatch Strap"/>
    <x v="2"/>
    <n v="1"/>
    <n v="499"/>
    <n v="0.2"/>
    <n v="499"/>
    <n v="99.800000000000011"/>
    <n v="399.2"/>
    <n v="200"/>
    <n v="200"/>
    <n v="60"/>
    <n v="139.19999999999999"/>
    <n v="0.34869739478957912"/>
    <x v="0"/>
    <d v="2025-07-18T00:00:00"/>
    <n v="4"/>
    <x v="0"/>
    <n v="4"/>
    <n v="0"/>
  </r>
  <r>
    <s v="ORD-103431"/>
    <x v="557"/>
    <x v="1"/>
    <d v="2025-07-01T00:00:00"/>
    <n v="7"/>
    <s v="CUST-00635"/>
    <x v="1"/>
    <x v="9"/>
    <s v="UK"/>
    <x v="0"/>
    <s v="Dehradun"/>
    <x v="2"/>
    <s v="P602"/>
    <s v="Fast Charger 33W"/>
    <x v="2"/>
    <n v="1"/>
    <n v="899"/>
    <n v="0"/>
    <n v="899"/>
    <n v="0"/>
    <n v="899"/>
    <n v="494"/>
    <n v="494"/>
    <n v="60"/>
    <n v="345"/>
    <n v="0.38375973303670746"/>
    <x v="3"/>
    <d v="2025-07-19T00:00:00"/>
    <n v="4"/>
    <x v="0"/>
    <m/>
    <n v="0"/>
  </r>
  <r>
    <s v="ORD-103432"/>
    <x v="557"/>
    <x v="1"/>
    <d v="2025-07-01T00:00:00"/>
    <n v="7"/>
    <s v="CUST-02098"/>
    <x v="1"/>
    <x v="0"/>
    <s v="RJ"/>
    <x v="0"/>
    <s v="Jaipur"/>
    <x v="4"/>
    <s v="P104"/>
    <s v="Hydrating Face Wash"/>
    <x v="3"/>
    <n v="1"/>
    <n v="299"/>
    <n v="0"/>
    <n v="299"/>
    <n v="0"/>
    <n v="299"/>
    <n v="90"/>
    <n v="90"/>
    <n v="60"/>
    <n v="149"/>
    <n v="0.49832775919732442"/>
    <x v="0"/>
    <d v="2025-07-21T00:00:00"/>
    <n v="6"/>
    <x v="2"/>
    <n v="3"/>
    <n v="0"/>
  </r>
  <r>
    <s v="ORD-103433"/>
    <x v="557"/>
    <x v="1"/>
    <d v="2025-07-01T00:00:00"/>
    <n v="7"/>
    <s v="CUST-00655"/>
    <x v="1"/>
    <x v="15"/>
    <s v="HR"/>
    <x v="0"/>
    <s v="Gurugram"/>
    <x v="4"/>
    <s v="P603"/>
    <s v="Smartwatch Strap"/>
    <x v="2"/>
    <n v="2"/>
    <n v="499"/>
    <n v="0.15"/>
    <n v="998"/>
    <n v="149.69999999999999"/>
    <n v="848.3"/>
    <n v="200"/>
    <n v="400"/>
    <n v="60"/>
    <n v="388.29999999999995"/>
    <n v="0.45773900742661794"/>
    <x v="0"/>
    <d v="2025-07-19T00:00:00"/>
    <n v="4"/>
    <x v="0"/>
    <n v="3"/>
    <n v="0"/>
  </r>
  <r>
    <s v="ORD-103434"/>
    <x v="557"/>
    <x v="1"/>
    <d v="2025-07-01T00:00:00"/>
    <n v="7"/>
    <s v="CUST-02841"/>
    <x v="0"/>
    <x v="13"/>
    <s v="MP"/>
    <x v="1"/>
    <s v="Bhopal"/>
    <x v="0"/>
    <s v="P302"/>
    <s v="Linen Kurta"/>
    <x v="1"/>
    <n v="1"/>
    <n v="1499"/>
    <n v="0.4"/>
    <n v="1499"/>
    <n v="599.6"/>
    <n v="899.4"/>
    <n v="630"/>
    <n v="630"/>
    <n v="60"/>
    <n v="209.39999999999998"/>
    <n v="0.23282188125416942"/>
    <x v="3"/>
    <d v="2025-07-18T00:00:00"/>
    <n v="3"/>
    <x v="0"/>
    <n v="5"/>
    <n v="0"/>
  </r>
  <r>
    <s v="ORD-103435"/>
    <x v="558"/>
    <x v="1"/>
    <d v="2025-07-01T00:00:00"/>
    <n v="7"/>
    <s v="CUST-02115"/>
    <x v="0"/>
    <x v="9"/>
    <s v="UK"/>
    <x v="0"/>
    <s v="Dehradun"/>
    <x v="0"/>
    <s v="P504"/>
    <s v="Cotton Bedsheet"/>
    <x v="4"/>
    <n v="2"/>
    <n v="1299"/>
    <n v="0"/>
    <n v="2598"/>
    <n v="0"/>
    <n v="2598"/>
    <n v="585"/>
    <n v="1170"/>
    <n v="60"/>
    <n v="1368"/>
    <n v="0.52655889145496537"/>
    <x v="3"/>
    <d v="2025-07-18T00:00:00"/>
    <n v="2"/>
    <x v="1"/>
    <m/>
    <n v="0"/>
  </r>
  <r>
    <s v="ORD-103436"/>
    <x v="558"/>
    <x v="1"/>
    <d v="2025-07-01T00:00:00"/>
    <n v="7"/>
    <s v="CUST-01446"/>
    <x v="1"/>
    <x v="6"/>
    <s v="DL"/>
    <x v="0"/>
    <s v="New Delhi"/>
    <x v="2"/>
    <s v="P305"/>
    <s v="Printed Saree"/>
    <x v="1"/>
    <n v="1"/>
    <n v="1999"/>
    <n v="0"/>
    <n v="1999"/>
    <n v="0"/>
    <n v="1999"/>
    <n v="880"/>
    <n v="880"/>
    <n v="120"/>
    <n v="999"/>
    <n v="0.49974987493746875"/>
    <x v="3"/>
    <d v="2025-07-20T00:00:00"/>
    <n v="4"/>
    <x v="0"/>
    <n v="4"/>
    <n v="1"/>
  </r>
  <r>
    <s v="ORD-103437"/>
    <x v="558"/>
    <x v="1"/>
    <d v="2025-07-01T00:00:00"/>
    <n v="7"/>
    <s v="CUST-00428"/>
    <x v="0"/>
    <x v="22"/>
    <s v="AS"/>
    <x v="2"/>
    <s v="Guwahati"/>
    <x v="0"/>
    <s v="P704"/>
    <s v="Multivitamin Gummies"/>
    <x v="0"/>
    <n v="1"/>
    <n v="699"/>
    <n v="0.2"/>
    <n v="699"/>
    <n v="139.80000000000001"/>
    <n v="559.20000000000005"/>
    <n v="238"/>
    <n v="238"/>
    <n v="60"/>
    <n v="261.20000000000005"/>
    <n v="0.46709585121602293"/>
    <x v="0"/>
    <d v="2025-07-21T00:00:00"/>
    <n v="5"/>
    <x v="2"/>
    <n v="4"/>
    <n v="0"/>
  </r>
  <r>
    <s v="ORD-103438"/>
    <x v="558"/>
    <x v="1"/>
    <d v="2025-07-01T00:00:00"/>
    <n v="7"/>
    <s v="CUST-00668"/>
    <x v="1"/>
    <x v="18"/>
    <s v="WB"/>
    <x v="2"/>
    <s v="Kolkata"/>
    <x v="2"/>
    <s v="P102"/>
    <s v="Sunscreen SPF 50"/>
    <x v="3"/>
    <n v="1"/>
    <n v="449"/>
    <n v="0"/>
    <n v="449"/>
    <n v="0"/>
    <n v="449"/>
    <n v="144"/>
    <n v="144"/>
    <n v="60"/>
    <n v="245"/>
    <n v="0.54565701559020041"/>
    <x v="3"/>
    <d v="2025-07-21T00:00:00"/>
    <n v="5"/>
    <x v="2"/>
    <n v="3"/>
    <n v="0"/>
  </r>
  <r>
    <s v="ORD-103439"/>
    <x v="558"/>
    <x v="1"/>
    <d v="2025-07-01T00:00:00"/>
    <n v="7"/>
    <s v="CUST-01696"/>
    <x v="0"/>
    <x v="18"/>
    <s v="WB"/>
    <x v="2"/>
    <s v="Kolkata"/>
    <x v="0"/>
    <s v="P602"/>
    <s v="Fast Charger 33W"/>
    <x v="2"/>
    <n v="1"/>
    <n v="899"/>
    <n v="0.05"/>
    <n v="899"/>
    <n v="44.95"/>
    <n v="854.05"/>
    <n v="494"/>
    <n v="494"/>
    <n v="60"/>
    <n v="300.04999999999995"/>
    <n v="0.35132603477548152"/>
    <x v="3"/>
    <d v="2025-07-19T00:00:00"/>
    <n v="3"/>
    <x v="0"/>
    <m/>
    <n v="0"/>
  </r>
  <r>
    <s v="ORD-103440"/>
    <x v="558"/>
    <x v="1"/>
    <d v="2025-07-01T00:00:00"/>
    <n v="7"/>
    <s v="CUST-00146"/>
    <x v="0"/>
    <x v="2"/>
    <s v="MH"/>
    <x v="1"/>
    <s v="Mumbai"/>
    <x v="0"/>
    <s v="P603"/>
    <s v="Smartwatch Strap"/>
    <x v="2"/>
    <n v="1"/>
    <n v="499"/>
    <n v="0.2"/>
    <n v="499"/>
    <n v="99.800000000000011"/>
    <n v="399.2"/>
    <n v="200"/>
    <n v="200"/>
    <n v="60"/>
    <n v="139.19999999999999"/>
    <n v="0.34869739478957912"/>
    <x v="0"/>
    <d v="2025-07-18T00:00:00"/>
    <n v="2"/>
    <x v="1"/>
    <n v="5"/>
    <n v="0"/>
  </r>
  <r>
    <s v="ORD-103441"/>
    <x v="558"/>
    <x v="1"/>
    <d v="2025-07-01T00:00:00"/>
    <n v="7"/>
    <s v="CUST-00607"/>
    <x v="1"/>
    <x v="17"/>
    <s v="TN"/>
    <x v="3"/>
    <s v="Chennai"/>
    <x v="2"/>
    <s v="P704"/>
    <s v="Multivitamin Gummies"/>
    <x v="0"/>
    <n v="1"/>
    <n v="699"/>
    <n v="0.2"/>
    <n v="699"/>
    <n v="139.80000000000001"/>
    <n v="559.20000000000005"/>
    <n v="238"/>
    <n v="238"/>
    <n v="60"/>
    <n v="261.20000000000005"/>
    <n v="0.46709585121602293"/>
    <x v="1"/>
    <d v="2025-07-20T00:00:00"/>
    <n v="4"/>
    <x v="0"/>
    <n v="3"/>
    <n v="0"/>
  </r>
  <r>
    <s v="ORD-103442"/>
    <x v="559"/>
    <x v="1"/>
    <d v="2025-07-01T00:00:00"/>
    <n v="7"/>
    <s v="CUST-01051"/>
    <x v="1"/>
    <x v="6"/>
    <s v="DL"/>
    <x v="0"/>
    <s v="New Delhi"/>
    <x v="0"/>
    <s v="P503"/>
    <s v="Scented Candle Set"/>
    <x v="4"/>
    <n v="1"/>
    <n v="699"/>
    <n v="0.2"/>
    <n v="699"/>
    <n v="139.80000000000001"/>
    <n v="559.20000000000005"/>
    <n v="245"/>
    <n v="245"/>
    <n v="60"/>
    <n v="254.20000000000005"/>
    <n v="0.45457796852646642"/>
    <x v="1"/>
    <d v="2025-07-18T00:00:00"/>
    <n v="1"/>
    <x v="1"/>
    <n v="5"/>
    <n v="0"/>
  </r>
  <r>
    <s v="ORD-103443"/>
    <x v="559"/>
    <x v="1"/>
    <d v="2025-07-01T00:00:00"/>
    <n v="7"/>
    <s v="CUST-00637"/>
    <x v="1"/>
    <x v="6"/>
    <s v="DL"/>
    <x v="0"/>
    <s v="New Delhi"/>
    <x v="2"/>
    <s v="P501"/>
    <s v="Copper Water Bottle"/>
    <x v="4"/>
    <n v="1"/>
    <n v="899"/>
    <n v="0.05"/>
    <n v="899"/>
    <n v="44.95"/>
    <n v="854.05"/>
    <n v="378"/>
    <n v="378"/>
    <n v="60"/>
    <n v="416.04999999999995"/>
    <n v="0.48714946431707745"/>
    <x v="3"/>
    <d v="2025-07-21T00:00:00"/>
    <n v="4"/>
    <x v="0"/>
    <m/>
    <n v="0"/>
  </r>
  <r>
    <s v="ORD-103444"/>
    <x v="559"/>
    <x v="1"/>
    <d v="2025-07-01T00:00:00"/>
    <n v="7"/>
    <s v="CUST-01012"/>
    <x v="1"/>
    <x v="18"/>
    <s v="WB"/>
    <x v="2"/>
    <s v="Kolkata"/>
    <x v="1"/>
    <s v="P301"/>
    <s v="Cotton Oversized T-Shirt"/>
    <x v="1"/>
    <n v="2"/>
    <n v="799"/>
    <n v="0"/>
    <n v="1598"/>
    <n v="0"/>
    <n v="1598"/>
    <n v="320"/>
    <n v="640"/>
    <n v="120"/>
    <n v="838"/>
    <n v="0.52440550688360454"/>
    <x v="4"/>
    <d v="2025-07-20T00:00:00"/>
    <n v="3"/>
    <x v="0"/>
    <n v="5"/>
    <n v="1"/>
  </r>
  <r>
    <s v="ORD-103445"/>
    <x v="559"/>
    <x v="1"/>
    <d v="2025-07-01T00:00:00"/>
    <n v="7"/>
    <s v="CUST-01974"/>
    <x v="1"/>
    <x v="2"/>
    <s v="MH"/>
    <x v="1"/>
    <s v="Pune"/>
    <x v="1"/>
    <s v="P301"/>
    <s v="Cotton Oversized T-Shirt"/>
    <x v="1"/>
    <n v="1"/>
    <n v="799"/>
    <n v="0"/>
    <n v="799"/>
    <n v="0"/>
    <n v="799"/>
    <n v="320"/>
    <n v="320"/>
    <n v="60"/>
    <n v="419"/>
    <n v="0.52440550688360454"/>
    <x v="0"/>
    <d v="2025-07-20T00:00:00"/>
    <n v="3"/>
    <x v="0"/>
    <m/>
    <n v="0"/>
  </r>
  <r>
    <s v="ORD-103446"/>
    <x v="559"/>
    <x v="1"/>
    <d v="2025-07-01T00:00:00"/>
    <n v="7"/>
    <s v="CUST-00057"/>
    <x v="1"/>
    <x v="11"/>
    <s v="KA"/>
    <x v="3"/>
    <s v="Mysuru"/>
    <x v="3"/>
    <s v="P103"/>
    <s v="Niacinamide Toner"/>
    <x v="3"/>
    <n v="2"/>
    <n v="399"/>
    <n v="0.3"/>
    <n v="798"/>
    <n v="239.39999999999998"/>
    <n v="558.6"/>
    <n v="112"/>
    <n v="224"/>
    <n v="60"/>
    <n v="274.60000000000002"/>
    <n v="0.49158610812746151"/>
    <x v="3"/>
    <d v="2025-07-19T00:00:00"/>
    <n v="2"/>
    <x v="1"/>
    <n v="4"/>
    <n v="0"/>
  </r>
  <r>
    <s v="ORD-103447"/>
    <x v="560"/>
    <x v="1"/>
    <d v="2025-07-01T00:00:00"/>
    <n v="7"/>
    <s v="CUST-00360"/>
    <x v="1"/>
    <x v="15"/>
    <s v="HR"/>
    <x v="0"/>
    <s v="Gurugram"/>
    <x v="3"/>
    <s v="P103"/>
    <s v="Niacinamide Toner"/>
    <x v="3"/>
    <n v="1"/>
    <n v="399"/>
    <n v="0.2"/>
    <n v="399"/>
    <n v="79.800000000000011"/>
    <n v="319.2"/>
    <n v="112"/>
    <n v="112"/>
    <n v="60"/>
    <n v="147.19999999999999"/>
    <n v="0.46115288220551376"/>
    <x v="0"/>
    <d v="2025-07-20T00:00:00"/>
    <n v="2"/>
    <x v="1"/>
    <m/>
    <n v="0"/>
  </r>
  <r>
    <s v="ORD-103448"/>
    <x v="560"/>
    <x v="1"/>
    <d v="2025-07-01T00:00:00"/>
    <n v="7"/>
    <s v="CUST-00118"/>
    <x v="0"/>
    <x v="16"/>
    <s v="UP"/>
    <x v="0"/>
    <s v="Lucknow"/>
    <x v="2"/>
    <s v="P303"/>
    <s v="Joggers"/>
    <x v="1"/>
    <n v="1"/>
    <n v="1199"/>
    <n v="0.05"/>
    <n v="1199"/>
    <n v="59.95"/>
    <n v="1139.05"/>
    <n v="492"/>
    <n v="492"/>
    <n v="60"/>
    <n v="587.04999999999995"/>
    <n v="0.51538562837452262"/>
    <x v="1"/>
    <d v="2025-07-22T00:00:00"/>
    <n v="4"/>
    <x v="0"/>
    <n v="3"/>
    <n v="0"/>
  </r>
  <r>
    <s v="ORD-103449"/>
    <x v="560"/>
    <x v="1"/>
    <d v="2025-07-01T00:00:00"/>
    <n v="7"/>
    <s v="CUST-00010"/>
    <x v="0"/>
    <x v="10"/>
    <s v="CG"/>
    <x v="2"/>
    <s v="Raipur"/>
    <x v="0"/>
    <s v="P604"/>
    <s v="Power Bank 20000mAh"/>
    <x v="2"/>
    <n v="1"/>
    <n v="1799"/>
    <n v="0.35"/>
    <n v="1799"/>
    <n v="629.65"/>
    <n v="1169.3499999999999"/>
    <n v="1079"/>
    <n v="1079"/>
    <n v="60"/>
    <n v="30.349999999999909"/>
    <n v="2.5954590156924712E-2"/>
    <x v="2"/>
    <d v="2025-07-24T00:00:00"/>
    <n v="6"/>
    <x v="2"/>
    <n v="5"/>
    <n v="0"/>
  </r>
  <r>
    <s v="ORD-103450"/>
    <x v="560"/>
    <x v="1"/>
    <d v="2025-07-01T00:00:00"/>
    <n v="7"/>
    <s v="CUST-01277"/>
    <x v="1"/>
    <x v="18"/>
    <s v="WB"/>
    <x v="2"/>
    <s v="Kolkata"/>
    <x v="0"/>
    <s v="P503"/>
    <s v="Scented Candle Set"/>
    <x v="4"/>
    <n v="1"/>
    <n v="699"/>
    <n v="0.25"/>
    <n v="699"/>
    <n v="174.75"/>
    <n v="524.25"/>
    <n v="245"/>
    <n v="245"/>
    <n v="60"/>
    <n v="219.25"/>
    <n v="0.41821649976156416"/>
    <x v="3"/>
    <d v="2025-07-22T00:00:00"/>
    <n v="4"/>
    <x v="0"/>
    <m/>
    <n v="0"/>
  </r>
  <r>
    <s v="ORD-103451"/>
    <x v="560"/>
    <x v="1"/>
    <d v="2025-07-01T00:00:00"/>
    <n v="7"/>
    <s v="CUST-00726"/>
    <x v="1"/>
    <x v="2"/>
    <s v="MH"/>
    <x v="1"/>
    <s v="Nagpur"/>
    <x v="4"/>
    <s v="P604"/>
    <s v="Power Bank 20000mAh"/>
    <x v="2"/>
    <n v="1"/>
    <n v="1799"/>
    <n v="0.35"/>
    <n v="1799"/>
    <n v="629.65"/>
    <n v="1169.3499999999999"/>
    <n v="1079"/>
    <n v="1079"/>
    <n v="60"/>
    <n v="30.349999999999909"/>
    <n v="2.5954590156924712E-2"/>
    <x v="0"/>
    <d v="2025-07-20T00:00:00"/>
    <n v="2"/>
    <x v="1"/>
    <n v="4"/>
    <n v="0"/>
  </r>
  <r>
    <s v="ORD-103452"/>
    <x v="560"/>
    <x v="1"/>
    <d v="2025-07-01T00:00:00"/>
    <n v="7"/>
    <s v="CUST-00566"/>
    <x v="1"/>
    <x v="2"/>
    <s v="MH"/>
    <x v="1"/>
    <s v="Nagpur"/>
    <x v="0"/>
    <s v="P704"/>
    <s v="Multivitamin Gummies"/>
    <x v="0"/>
    <n v="1"/>
    <n v="699"/>
    <n v="0.25"/>
    <n v="699"/>
    <n v="174.75"/>
    <n v="524.25"/>
    <n v="238"/>
    <n v="238"/>
    <n v="60"/>
    <n v="226.25"/>
    <n v="0.43156890796375774"/>
    <x v="0"/>
    <d v="2025-07-19T00:00:00"/>
    <n v="1"/>
    <x v="1"/>
    <m/>
    <n v="0"/>
  </r>
  <r>
    <s v="ORD-103453"/>
    <x v="560"/>
    <x v="1"/>
    <d v="2025-07-01T00:00:00"/>
    <n v="7"/>
    <s v="CUST-00089"/>
    <x v="1"/>
    <x v="17"/>
    <s v="TN"/>
    <x v="3"/>
    <s v="Chennai"/>
    <x v="0"/>
    <s v="P203"/>
    <s v="Keratin Hair Mask"/>
    <x v="6"/>
    <n v="3"/>
    <n v="549"/>
    <n v="0.15"/>
    <n v="1647"/>
    <n v="247.04999999999998"/>
    <n v="1399.95"/>
    <n v="170"/>
    <n v="510"/>
    <n v="60"/>
    <n v="829.95"/>
    <n v="0.59284260152148294"/>
    <x v="0"/>
    <d v="2025-07-20T00:00:00"/>
    <n v="2"/>
    <x v="1"/>
    <n v="5"/>
    <n v="0"/>
  </r>
  <r>
    <s v="ORD-103454"/>
    <x v="561"/>
    <x v="1"/>
    <d v="2025-07-01T00:00:00"/>
    <n v="7"/>
    <s v="CUST-01041"/>
    <x v="1"/>
    <x v="19"/>
    <s v="PB"/>
    <x v="0"/>
    <s v="Ludhiana"/>
    <x v="4"/>
    <s v="P202"/>
    <s v="Argan Shampoo"/>
    <x v="6"/>
    <n v="1"/>
    <n v="449"/>
    <n v="0.05"/>
    <n v="449"/>
    <n v="22.450000000000003"/>
    <n v="426.55"/>
    <n v="148"/>
    <n v="148"/>
    <n v="60"/>
    <n v="218.55"/>
    <n v="0.51236666275934828"/>
    <x v="2"/>
    <d v="2025-07-21T00:00:00"/>
    <n v="2"/>
    <x v="1"/>
    <m/>
    <n v="0"/>
  </r>
  <r>
    <s v="ORD-103455"/>
    <x v="561"/>
    <x v="1"/>
    <d v="2025-07-01T00:00:00"/>
    <n v="7"/>
    <s v="CUST-02423"/>
    <x v="0"/>
    <x v="6"/>
    <s v="DL"/>
    <x v="0"/>
    <s v="New Delhi"/>
    <x v="3"/>
    <s v="P104"/>
    <s v="Hydrating Face Wash"/>
    <x v="3"/>
    <n v="1"/>
    <n v="299"/>
    <n v="0"/>
    <n v="299"/>
    <n v="0"/>
    <n v="299"/>
    <n v="90"/>
    <n v="90"/>
    <n v="60"/>
    <n v="149"/>
    <n v="0.49832775919732442"/>
    <x v="1"/>
    <d v="2025-07-22T00:00:00"/>
    <n v="3"/>
    <x v="0"/>
    <m/>
    <n v="0"/>
  </r>
  <r>
    <s v="ORD-103456"/>
    <x v="561"/>
    <x v="1"/>
    <d v="2025-07-01T00:00:00"/>
    <n v="7"/>
    <s v="CUST-00902"/>
    <x v="1"/>
    <x v="6"/>
    <s v="DL"/>
    <x v="0"/>
    <s v="New Delhi"/>
    <x v="0"/>
    <s v="P203"/>
    <s v="Keratin Hair Mask"/>
    <x v="6"/>
    <n v="1"/>
    <n v="549"/>
    <n v="0.25"/>
    <n v="549"/>
    <n v="137.25"/>
    <n v="411.75"/>
    <n v="170"/>
    <n v="170"/>
    <n v="60"/>
    <n v="181.75"/>
    <n v="0.44140862173649059"/>
    <x v="4"/>
    <d v="2025-07-20T00:00:00"/>
    <n v="1"/>
    <x v="1"/>
    <m/>
    <n v="0"/>
  </r>
  <r>
    <s v="ORD-103457"/>
    <x v="561"/>
    <x v="1"/>
    <d v="2025-07-01T00:00:00"/>
    <n v="7"/>
    <s v="CUST-00371"/>
    <x v="1"/>
    <x v="10"/>
    <s v="CG"/>
    <x v="2"/>
    <s v="Raipur"/>
    <x v="4"/>
    <s v="P704"/>
    <s v="Multivitamin Gummies"/>
    <x v="0"/>
    <n v="2"/>
    <n v="699"/>
    <n v="0.2"/>
    <n v="1398"/>
    <n v="279.60000000000002"/>
    <n v="1118.4000000000001"/>
    <n v="238"/>
    <n v="476"/>
    <n v="60"/>
    <n v="582.40000000000009"/>
    <n v="0.5207439198855508"/>
    <x v="0"/>
    <d v="2025-07-23T00:00:00"/>
    <n v="4"/>
    <x v="0"/>
    <n v="4"/>
    <n v="0"/>
  </r>
  <r>
    <s v="ORD-103458"/>
    <x v="561"/>
    <x v="1"/>
    <d v="2025-07-01T00:00:00"/>
    <n v="7"/>
    <s v="CUST-00737"/>
    <x v="1"/>
    <x v="2"/>
    <s v="MH"/>
    <x v="1"/>
    <s v="Mumbai"/>
    <x v="4"/>
    <s v="P701"/>
    <s v="Ashwagandha Capsules"/>
    <x v="0"/>
    <n v="1"/>
    <n v="499"/>
    <n v="0.05"/>
    <n v="499"/>
    <n v="24.950000000000003"/>
    <n v="474.05"/>
    <n v="150"/>
    <n v="150"/>
    <n v="60"/>
    <n v="264.05"/>
    <n v="0.55700875435080688"/>
    <x v="0"/>
    <d v="2025-07-21T00:00:00"/>
    <n v="2"/>
    <x v="1"/>
    <n v="5"/>
    <n v="0"/>
  </r>
  <r>
    <s v="ORD-103459"/>
    <x v="561"/>
    <x v="1"/>
    <d v="2025-07-01T00:00:00"/>
    <n v="7"/>
    <s v="CUST-00612"/>
    <x v="1"/>
    <x v="14"/>
    <s v="KL"/>
    <x v="3"/>
    <s v="Kochi"/>
    <x v="1"/>
    <s v="P304"/>
    <s v="Denim Jacket"/>
    <x v="1"/>
    <n v="1"/>
    <n v="2499"/>
    <n v="0"/>
    <n v="2499"/>
    <n v="0"/>
    <n v="2499"/>
    <n v="1125"/>
    <n v="1125"/>
    <n v="60"/>
    <n v="1314"/>
    <n v="0.5258103241296519"/>
    <x v="0"/>
    <d v="2025-07-22T00:00:00"/>
    <n v="3"/>
    <x v="0"/>
    <n v="4"/>
    <n v="0"/>
  </r>
  <r>
    <s v="ORD-103460"/>
    <x v="562"/>
    <x v="1"/>
    <d v="2025-07-01T00:00:00"/>
    <n v="7"/>
    <s v="CUST-01218"/>
    <x v="0"/>
    <x v="15"/>
    <s v="HR"/>
    <x v="0"/>
    <s v="Gurugram"/>
    <x v="4"/>
    <s v="P105"/>
    <s v="Retinol Night Cream"/>
    <x v="3"/>
    <n v="1"/>
    <n v="799"/>
    <n v="0.15"/>
    <n v="799"/>
    <n v="119.85"/>
    <n v="679.15"/>
    <n v="216"/>
    <n v="216"/>
    <n v="60"/>
    <n v="403.15"/>
    <n v="0.59360965913273944"/>
    <x v="0"/>
    <d v="2025-07-22T00:00:00"/>
    <n v="2"/>
    <x v="1"/>
    <n v="5"/>
    <n v="0"/>
  </r>
  <r>
    <s v="ORD-103461"/>
    <x v="562"/>
    <x v="1"/>
    <d v="2025-07-01T00:00:00"/>
    <n v="7"/>
    <s v="CUST-00359"/>
    <x v="1"/>
    <x v="6"/>
    <s v="DL"/>
    <x v="0"/>
    <s v="New Delhi"/>
    <x v="4"/>
    <s v="P504"/>
    <s v="Cotton Bedsheet"/>
    <x v="4"/>
    <n v="1"/>
    <n v="1299"/>
    <n v="0"/>
    <n v="1299"/>
    <n v="0"/>
    <n v="1299"/>
    <n v="585"/>
    <n v="585"/>
    <n v="120"/>
    <n v="594"/>
    <n v="0.45727482678983833"/>
    <x v="0"/>
    <d v="2025-07-23T00:00:00"/>
    <n v="3"/>
    <x v="0"/>
    <m/>
    <n v="1"/>
  </r>
  <r>
    <s v="ORD-103462"/>
    <x v="562"/>
    <x v="1"/>
    <d v="2025-07-01T00:00:00"/>
    <n v="7"/>
    <s v="CUST-00608"/>
    <x v="1"/>
    <x v="1"/>
    <s v="GJ"/>
    <x v="1"/>
    <s v="Ahmedabad"/>
    <x v="0"/>
    <s v="P204"/>
    <s v="Anti-Dandruff Conditioner"/>
    <x v="6"/>
    <n v="1"/>
    <n v="399"/>
    <n v="0.45"/>
    <n v="399"/>
    <n v="179.55"/>
    <n v="219.45"/>
    <n v="136"/>
    <n v="136"/>
    <n v="60"/>
    <n v="23.449999999999989"/>
    <n v="0.10685805422647524"/>
    <x v="1"/>
    <d v="2025-07-21T00:00:00"/>
    <n v="1"/>
    <x v="1"/>
    <n v="5"/>
    <n v="0"/>
  </r>
  <r>
    <s v="ORD-103463"/>
    <x v="562"/>
    <x v="1"/>
    <d v="2025-07-01T00:00:00"/>
    <n v="7"/>
    <s v="CUST-02279"/>
    <x v="0"/>
    <x v="2"/>
    <s v="MH"/>
    <x v="1"/>
    <s v="Pune"/>
    <x v="0"/>
    <s v="P304"/>
    <s v="Denim Jacket"/>
    <x v="1"/>
    <n v="1"/>
    <n v="2499"/>
    <n v="0.1"/>
    <n v="2499"/>
    <n v="249.9"/>
    <n v="2249.1"/>
    <n v="1125"/>
    <n v="1125"/>
    <n v="120"/>
    <n v="1004.0999999999999"/>
    <n v="0.44644524476457248"/>
    <x v="3"/>
    <d v="2025-07-22T00:00:00"/>
    <n v="2"/>
    <x v="1"/>
    <n v="4"/>
    <n v="1"/>
  </r>
  <r>
    <s v="ORD-103464"/>
    <x v="562"/>
    <x v="1"/>
    <d v="2025-07-01T00:00:00"/>
    <n v="7"/>
    <s v="CUST-00730"/>
    <x v="0"/>
    <x v="14"/>
    <s v="KL"/>
    <x v="3"/>
    <s v="Kochi"/>
    <x v="4"/>
    <s v="P403"/>
    <s v="Kolhapuri Sandals"/>
    <x v="5"/>
    <n v="1"/>
    <n v="999"/>
    <n v="0.1"/>
    <n v="999"/>
    <n v="99.9"/>
    <n v="899.1"/>
    <n v="400"/>
    <n v="400"/>
    <n v="60"/>
    <n v="439.1"/>
    <n v="0.48837726615504395"/>
    <x v="1"/>
    <d v="2025-07-25T00:00:00"/>
    <n v="5"/>
    <x v="2"/>
    <n v="4"/>
    <n v="0"/>
  </r>
  <r>
    <s v="ORD-103465"/>
    <x v="563"/>
    <x v="1"/>
    <d v="2025-07-01T00:00:00"/>
    <n v="7"/>
    <s v="CUST-00892"/>
    <x v="1"/>
    <x v="0"/>
    <s v="RJ"/>
    <x v="0"/>
    <s v="Udaipur"/>
    <x v="1"/>
    <s v="P303"/>
    <s v="Joggers"/>
    <x v="1"/>
    <n v="1"/>
    <n v="1199"/>
    <n v="0.05"/>
    <n v="1199"/>
    <n v="59.95"/>
    <n v="1139.05"/>
    <n v="492"/>
    <n v="492"/>
    <n v="120"/>
    <n v="527.04999999999995"/>
    <n v="0.46271015319784026"/>
    <x v="0"/>
    <d v="2025-07-26T00:00:00"/>
    <n v="5"/>
    <x v="2"/>
    <n v="4"/>
    <n v="1"/>
  </r>
  <r>
    <s v="ORD-103466"/>
    <x v="563"/>
    <x v="1"/>
    <d v="2025-07-01T00:00:00"/>
    <n v="7"/>
    <s v="CUST-00660"/>
    <x v="1"/>
    <x v="15"/>
    <s v="HR"/>
    <x v="0"/>
    <s v="Faridabad"/>
    <x v="2"/>
    <s v="P704"/>
    <s v="Multivitamin Gummies"/>
    <x v="0"/>
    <n v="1"/>
    <n v="699"/>
    <n v="0.15"/>
    <n v="699"/>
    <n v="104.85"/>
    <n v="594.15"/>
    <n v="238"/>
    <n v="238"/>
    <n v="60"/>
    <n v="296.14999999999998"/>
    <n v="0.49844315408566858"/>
    <x v="2"/>
    <d v="2025-07-25T00:00:00"/>
    <n v="4"/>
    <x v="0"/>
    <n v="4"/>
    <n v="0"/>
  </r>
  <r>
    <s v="ORD-103467"/>
    <x v="563"/>
    <x v="1"/>
    <d v="2025-07-01T00:00:00"/>
    <n v="7"/>
    <s v="CUST-02773"/>
    <x v="0"/>
    <x v="6"/>
    <s v="DL"/>
    <x v="0"/>
    <s v="New Delhi"/>
    <x v="0"/>
    <s v="P603"/>
    <s v="Smartwatch Strap"/>
    <x v="2"/>
    <n v="2"/>
    <n v="499"/>
    <n v="0.1"/>
    <n v="998"/>
    <n v="99.800000000000011"/>
    <n v="898.2"/>
    <n v="200"/>
    <n v="400"/>
    <n v="60"/>
    <n v="438.20000000000005"/>
    <n v="0.4878646181251392"/>
    <x v="3"/>
    <d v="2025-07-25T00:00:00"/>
    <n v="4"/>
    <x v="0"/>
    <n v="4"/>
    <n v="0"/>
  </r>
  <r>
    <s v="ORD-103468"/>
    <x v="563"/>
    <x v="1"/>
    <d v="2025-07-01T00:00:00"/>
    <n v="7"/>
    <s v="CUST-03070"/>
    <x v="0"/>
    <x v="16"/>
    <s v="UP"/>
    <x v="0"/>
    <s v="Noida"/>
    <x v="0"/>
    <s v="P402"/>
    <s v="Casual Sneakers"/>
    <x v="5"/>
    <n v="1"/>
    <n v="2199"/>
    <n v="0.2"/>
    <n v="2199"/>
    <n v="439.8"/>
    <n v="1759.2"/>
    <n v="1034"/>
    <n v="1034"/>
    <n v="60"/>
    <n v="665.2"/>
    <n v="0.37812642110050027"/>
    <x v="3"/>
    <d v="2025-07-24T00:00:00"/>
    <n v="3"/>
    <x v="0"/>
    <n v="2"/>
    <n v="0"/>
  </r>
  <r>
    <s v="ORD-103469"/>
    <x v="563"/>
    <x v="1"/>
    <d v="2025-07-01T00:00:00"/>
    <n v="7"/>
    <s v="CUST-00380"/>
    <x v="1"/>
    <x v="2"/>
    <s v="MH"/>
    <x v="1"/>
    <s v="Mumbai"/>
    <x v="3"/>
    <s v="P201"/>
    <s v="Onion Hair Oil"/>
    <x v="6"/>
    <n v="2"/>
    <n v="349"/>
    <n v="0.3"/>
    <n v="698"/>
    <n v="209.4"/>
    <n v="488.6"/>
    <n v="105"/>
    <n v="210"/>
    <n v="60"/>
    <n v="218.60000000000002"/>
    <n v="0.44740073679901765"/>
    <x v="3"/>
    <d v="2025-07-24T00:00:00"/>
    <n v="3"/>
    <x v="0"/>
    <m/>
    <n v="0"/>
  </r>
  <r>
    <s v="ORD-103470"/>
    <x v="563"/>
    <x v="1"/>
    <d v="2025-07-01T00:00:00"/>
    <n v="7"/>
    <s v="CUST-03073"/>
    <x v="0"/>
    <x v="2"/>
    <s v="MH"/>
    <x v="1"/>
    <s v="Nagpur"/>
    <x v="1"/>
    <s v="P401"/>
    <s v="Running Shoes"/>
    <x v="5"/>
    <n v="1"/>
    <n v="2999"/>
    <n v="0.2"/>
    <n v="2999"/>
    <n v="599.80000000000007"/>
    <n v="2399.1999999999998"/>
    <n v="1440"/>
    <n v="1440"/>
    <n v="60"/>
    <n v="899.19999999999982"/>
    <n v="0.3747915971990663"/>
    <x v="2"/>
    <d v="2025-07-23T00:00:00"/>
    <n v="2"/>
    <x v="1"/>
    <n v="4"/>
    <n v="0"/>
  </r>
  <r>
    <s v="ORD-103471"/>
    <x v="563"/>
    <x v="1"/>
    <d v="2025-07-01T00:00:00"/>
    <n v="7"/>
    <s v="CUST-01025"/>
    <x v="1"/>
    <x v="2"/>
    <s v="MH"/>
    <x v="1"/>
    <s v="Pune"/>
    <x v="1"/>
    <s v="P301"/>
    <s v="Cotton Oversized T-Shirt"/>
    <x v="1"/>
    <n v="1"/>
    <n v="799"/>
    <n v="0"/>
    <n v="799"/>
    <n v="0"/>
    <n v="799"/>
    <n v="320"/>
    <n v="320"/>
    <n v="60"/>
    <n v="419"/>
    <n v="0.52440550688360454"/>
    <x v="0"/>
    <d v="2025-07-22T00:00:00"/>
    <n v="1"/>
    <x v="1"/>
    <n v="4"/>
    <n v="0"/>
  </r>
  <r>
    <s v="ORD-103472"/>
    <x v="563"/>
    <x v="1"/>
    <d v="2025-07-01T00:00:00"/>
    <n v="7"/>
    <s v="CUST-02742"/>
    <x v="1"/>
    <x v="17"/>
    <s v="TN"/>
    <x v="3"/>
    <s v="Coimbatore"/>
    <x v="0"/>
    <s v="P103"/>
    <s v="Niacinamide Toner"/>
    <x v="3"/>
    <n v="1"/>
    <n v="399"/>
    <n v="0.2"/>
    <n v="399"/>
    <n v="79.800000000000011"/>
    <n v="319.2"/>
    <n v="112"/>
    <n v="112"/>
    <n v="60"/>
    <n v="147.19999999999999"/>
    <n v="0.46115288220551376"/>
    <x v="0"/>
    <d v="2025-07-23T00:00:00"/>
    <n v="2"/>
    <x v="1"/>
    <n v="3"/>
    <n v="0"/>
  </r>
  <r>
    <s v="ORD-103473"/>
    <x v="564"/>
    <x v="1"/>
    <d v="2025-07-01T00:00:00"/>
    <n v="7"/>
    <s v="CUST-01646"/>
    <x v="0"/>
    <x v="6"/>
    <s v="DL"/>
    <x v="0"/>
    <s v="New Delhi"/>
    <x v="3"/>
    <s v="P702"/>
    <s v="Whey Protein 1kg"/>
    <x v="0"/>
    <n v="1"/>
    <n v="2299"/>
    <n v="0.35"/>
    <n v="2299"/>
    <n v="804.65"/>
    <n v="1494.35"/>
    <n v="1333"/>
    <n v="1333"/>
    <n v="60"/>
    <n v="101.34999999999991"/>
    <n v="6.7822130023086902E-2"/>
    <x v="0"/>
    <d v="2025-07-25T00:00:00"/>
    <n v="3"/>
    <x v="0"/>
    <n v="4"/>
    <n v="0"/>
  </r>
  <r>
    <s v="ORD-103474"/>
    <x v="564"/>
    <x v="1"/>
    <d v="2025-07-01T00:00:00"/>
    <n v="7"/>
    <s v="CUST-01083"/>
    <x v="0"/>
    <x v="21"/>
    <s v="TG"/>
    <x v="3"/>
    <s v="Hyderabad"/>
    <x v="2"/>
    <s v="P503"/>
    <s v="Scented Candle Set"/>
    <x v="4"/>
    <n v="1"/>
    <n v="699"/>
    <n v="0.15"/>
    <n v="699"/>
    <n v="104.85"/>
    <n v="594.15"/>
    <n v="245"/>
    <n v="245"/>
    <n v="60"/>
    <n v="289.14999999999998"/>
    <n v="0.48666161743667424"/>
    <x v="1"/>
    <d v="2025-07-26T00:00:00"/>
    <n v="4"/>
    <x v="0"/>
    <n v="3"/>
    <n v="0"/>
  </r>
  <r>
    <s v="ORD-103475"/>
    <x v="564"/>
    <x v="1"/>
    <d v="2025-07-01T00:00:00"/>
    <n v="7"/>
    <s v="CUST-02688"/>
    <x v="1"/>
    <x v="8"/>
    <s v="AP"/>
    <x v="3"/>
    <s v="Visakhapatnam"/>
    <x v="4"/>
    <s v="P703"/>
    <s v="Green Tea (100 bags)"/>
    <x v="0"/>
    <n v="2"/>
    <n v="399"/>
    <n v="0.4"/>
    <n v="798"/>
    <n v="319.20000000000005"/>
    <n v="478.79999999999995"/>
    <n v="128"/>
    <n v="256"/>
    <n v="60"/>
    <n v="162.79999999999995"/>
    <n v="0.34001670843776099"/>
    <x v="0"/>
    <d v="2025-07-25T00:00:00"/>
    <n v="3"/>
    <x v="0"/>
    <n v="4"/>
    <n v="0"/>
  </r>
  <r>
    <s v="ORD-103476"/>
    <x v="565"/>
    <x v="1"/>
    <d v="2025-07-01T00:00:00"/>
    <n v="7"/>
    <s v="CUST-00626"/>
    <x v="1"/>
    <x v="0"/>
    <s v="RJ"/>
    <x v="0"/>
    <s v="Udaipur"/>
    <x v="4"/>
    <s v="P204"/>
    <s v="Anti-Dandruff Conditioner"/>
    <x v="6"/>
    <n v="2"/>
    <n v="399"/>
    <n v="0.4"/>
    <n v="798"/>
    <n v="319.20000000000005"/>
    <n v="478.79999999999995"/>
    <n v="136"/>
    <n v="272"/>
    <n v="60"/>
    <n v="146.79999999999995"/>
    <n v="0.30659983291562232"/>
    <x v="0"/>
    <d v="2025-07-28T00:00:00"/>
    <n v="5"/>
    <x v="2"/>
    <m/>
    <n v="0"/>
  </r>
  <r>
    <s v="ORD-103477"/>
    <x v="565"/>
    <x v="1"/>
    <d v="2025-07-01T00:00:00"/>
    <n v="7"/>
    <s v="CUST-01199"/>
    <x v="1"/>
    <x v="6"/>
    <s v="DL"/>
    <x v="0"/>
    <s v="New Delhi"/>
    <x v="2"/>
    <s v="P503"/>
    <s v="Scented Candle Set"/>
    <x v="4"/>
    <n v="1"/>
    <n v="699"/>
    <n v="0.25"/>
    <n v="699"/>
    <n v="174.75"/>
    <n v="524.25"/>
    <n v="245"/>
    <n v="245"/>
    <n v="60"/>
    <n v="219.25"/>
    <n v="0.41821649976156416"/>
    <x v="3"/>
    <d v="2025-07-25T00:00:00"/>
    <n v="2"/>
    <x v="1"/>
    <n v="4"/>
    <n v="0"/>
  </r>
  <r>
    <s v="ORD-103478"/>
    <x v="565"/>
    <x v="1"/>
    <d v="2025-07-01T00:00:00"/>
    <n v="7"/>
    <s v="CUST-00751"/>
    <x v="0"/>
    <x v="6"/>
    <s v="DL"/>
    <x v="0"/>
    <s v="New Delhi"/>
    <x v="2"/>
    <s v="P302"/>
    <s v="Linen Kurta"/>
    <x v="1"/>
    <n v="1"/>
    <n v="1499"/>
    <n v="0.35"/>
    <n v="1499"/>
    <n v="524.65"/>
    <n v="974.35"/>
    <n v="630"/>
    <n v="630"/>
    <n v="60"/>
    <n v="284.35000000000002"/>
    <n v="0.29183558269615645"/>
    <x v="3"/>
    <d v="2025-07-25T00:00:00"/>
    <n v="2"/>
    <x v="1"/>
    <n v="4"/>
    <n v="0"/>
  </r>
  <r>
    <s v="ORD-103479"/>
    <x v="565"/>
    <x v="1"/>
    <d v="2025-07-01T00:00:00"/>
    <n v="7"/>
    <s v="CUST-00491"/>
    <x v="1"/>
    <x v="6"/>
    <s v="DL"/>
    <x v="0"/>
    <s v="New Delhi"/>
    <x v="0"/>
    <s v="P103"/>
    <s v="Niacinamide Toner"/>
    <x v="3"/>
    <n v="1"/>
    <n v="399"/>
    <n v="0.3"/>
    <n v="399"/>
    <n v="119.69999999999999"/>
    <n v="279.3"/>
    <n v="112"/>
    <n v="112"/>
    <n v="60"/>
    <n v="107.30000000000001"/>
    <n v="0.38417472252058721"/>
    <x v="0"/>
    <d v="2025-07-27T00:00:00"/>
    <n v="4"/>
    <x v="0"/>
    <n v="4"/>
    <n v="0"/>
  </r>
  <r>
    <s v="ORD-103480"/>
    <x v="565"/>
    <x v="1"/>
    <d v="2025-07-01T00:00:00"/>
    <n v="7"/>
    <s v="CUST-01040"/>
    <x v="1"/>
    <x v="6"/>
    <s v="DL"/>
    <x v="0"/>
    <s v="New Delhi"/>
    <x v="3"/>
    <s v="P102"/>
    <s v="Sunscreen SPF 50"/>
    <x v="3"/>
    <n v="1"/>
    <n v="449"/>
    <n v="0"/>
    <n v="449"/>
    <n v="0"/>
    <n v="449"/>
    <n v="144"/>
    <n v="144"/>
    <n v="60"/>
    <n v="245"/>
    <n v="0.54565701559020041"/>
    <x v="4"/>
    <d v="2025-07-26T00:00:00"/>
    <n v="3"/>
    <x v="0"/>
    <m/>
    <n v="0"/>
  </r>
  <r>
    <s v="ORD-103481"/>
    <x v="565"/>
    <x v="1"/>
    <d v="2025-07-01T00:00:00"/>
    <n v="7"/>
    <s v="CUST-02003"/>
    <x v="0"/>
    <x v="1"/>
    <s v="GJ"/>
    <x v="1"/>
    <s v="Surat"/>
    <x v="3"/>
    <s v="P204"/>
    <s v="Anti-Dandruff Conditioner"/>
    <x v="6"/>
    <n v="1"/>
    <n v="399"/>
    <n v="0.45"/>
    <n v="399"/>
    <n v="179.55"/>
    <n v="219.45"/>
    <n v="136"/>
    <n v="136"/>
    <n v="60"/>
    <n v="23.449999999999989"/>
    <n v="0.10685805422647524"/>
    <x v="4"/>
    <d v="2025-07-28T00:00:00"/>
    <n v="5"/>
    <x v="2"/>
    <m/>
    <n v="0"/>
  </r>
  <r>
    <s v="ORD-103482"/>
    <x v="565"/>
    <x v="1"/>
    <d v="2025-07-01T00:00:00"/>
    <n v="7"/>
    <s v="CUST-01472"/>
    <x v="1"/>
    <x v="1"/>
    <s v="GJ"/>
    <x v="1"/>
    <s v="Surat"/>
    <x v="0"/>
    <s v="P303"/>
    <s v="Joggers"/>
    <x v="1"/>
    <n v="2"/>
    <n v="1199"/>
    <n v="0.05"/>
    <n v="2398"/>
    <n v="119.9"/>
    <n v="2278.1"/>
    <n v="492"/>
    <n v="984"/>
    <n v="60"/>
    <n v="1234.0999999999999"/>
    <n v="0.54172336596286375"/>
    <x v="0"/>
    <d v="2025-07-25T00:00:00"/>
    <n v="2"/>
    <x v="1"/>
    <n v="4"/>
    <n v="0"/>
  </r>
  <r>
    <s v="ORD-103483"/>
    <x v="565"/>
    <x v="1"/>
    <d v="2025-07-01T00:00:00"/>
    <n v="7"/>
    <s v="CUST-01691"/>
    <x v="0"/>
    <x v="13"/>
    <s v="MP"/>
    <x v="1"/>
    <s v="Indore"/>
    <x v="0"/>
    <s v="P501"/>
    <s v="Copper Water Bottle"/>
    <x v="4"/>
    <n v="1"/>
    <n v="899"/>
    <n v="0.05"/>
    <n v="899"/>
    <n v="44.95"/>
    <n v="854.05"/>
    <n v="378"/>
    <n v="378"/>
    <n v="60"/>
    <n v="416.04999999999995"/>
    <n v="0.48714946431707745"/>
    <x v="3"/>
    <d v="2025-07-26T00:00:00"/>
    <n v="3"/>
    <x v="0"/>
    <m/>
    <n v="0"/>
  </r>
  <r>
    <s v="ORD-103484"/>
    <x v="565"/>
    <x v="1"/>
    <d v="2025-07-01T00:00:00"/>
    <n v="7"/>
    <s v="CUST-00596"/>
    <x v="1"/>
    <x v="10"/>
    <s v="CG"/>
    <x v="2"/>
    <s v="Raipur"/>
    <x v="0"/>
    <s v="P403"/>
    <s v="Kolhapuri Sandals"/>
    <x v="5"/>
    <n v="1"/>
    <n v="999"/>
    <n v="0.15"/>
    <n v="999"/>
    <n v="149.85"/>
    <n v="849.15"/>
    <n v="400"/>
    <n v="400"/>
    <n v="60"/>
    <n v="389.15"/>
    <n v="0.45828181122298767"/>
    <x v="0"/>
    <d v="2025-07-29T00:00:00"/>
    <n v="6"/>
    <x v="2"/>
    <n v="5"/>
    <n v="0"/>
  </r>
  <r>
    <s v="ORD-103485"/>
    <x v="565"/>
    <x v="1"/>
    <d v="2025-07-01T00:00:00"/>
    <n v="7"/>
    <s v="CUST-00892"/>
    <x v="1"/>
    <x v="7"/>
    <s v="JH"/>
    <x v="2"/>
    <s v="Ranchi"/>
    <x v="3"/>
    <s v="P704"/>
    <s v="Multivitamin Gummies"/>
    <x v="0"/>
    <n v="3"/>
    <n v="699"/>
    <n v="0.3"/>
    <n v="2097"/>
    <n v="629.1"/>
    <n v="1467.9"/>
    <n v="238"/>
    <n v="714"/>
    <n v="60"/>
    <n v="693.90000000000009"/>
    <n v="0.47271612507664013"/>
    <x v="0"/>
    <d v="2025-07-26T00:00:00"/>
    <n v="3"/>
    <x v="0"/>
    <n v="5"/>
    <n v="0"/>
  </r>
  <r>
    <s v="ORD-103486"/>
    <x v="565"/>
    <x v="1"/>
    <d v="2025-07-01T00:00:00"/>
    <n v="7"/>
    <s v="CUST-01060"/>
    <x v="1"/>
    <x v="2"/>
    <s v="MH"/>
    <x v="1"/>
    <s v="Nagpur"/>
    <x v="1"/>
    <s v="P305"/>
    <s v="Printed Saree"/>
    <x v="1"/>
    <n v="1"/>
    <n v="1999"/>
    <n v="0.1"/>
    <n v="1999"/>
    <n v="199.9"/>
    <n v="1799.1"/>
    <n v="880"/>
    <n v="880"/>
    <n v="60"/>
    <n v="859.09999999999991"/>
    <n v="0.47751653604580063"/>
    <x v="1"/>
    <d v="2025-07-24T00:00:00"/>
    <n v="1"/>
    <x v="1"/>
    <n v="5"/>
    <n v="0"/>
  </r>
  <r>
    <s v="ORD-103487"/>
    <x v="566"/>
    <x v="1"/>
    <d v="2025-07-01T00:00:00"/>
    <n v="7"/>
    <s v="CUST-00802"/>
    <x v="1"/>
    <x v="6"/>
    <s v="DL"/>
    <x v="0"/>
    <s v="New Delhi"/>
    <x v="4"/>
    <s v="P204"/>
    <s v="Anti-Dandruff Conditioner"/>
    <x v="6"/>
    <n v="3"/>
    <n v="399"/>
    <n v="0.35"/>
    <n v="1197"/>
    <n v="418.95"/>
    <n v="778.05"/>
    <n v="136"/>
    <n v="408"/>
    <n v="60"/>
    <n v="310.04999999999995"/>
    <n v="0.39849624060150374"/>
    <x v="0"/>
    <d v="2025-07-26T00:00:00"/>
    <n v="2"/>
    <x v="1"/>
    <m/>
    <n v="0"/>
  </r>
  <r>
    <s v="ORD-103488"/>
    <x v="566"/>
    <x v="1"/>
    <d v="2025-07-01T00:00:00"/>
    <n v="7"/>
    <s v="CUST-00498"/>
    <x v="1"/>
    <x v="1"/>
    <s v="GJ"/>
    <x v="1"/>
    <s v="Surat"/>
    <x v="0"/>
    <s v="P704"/>
    <s v="Multivitamin Gummies"/>
    <x v="0"/>
    <n v="1"/>
    <n v="699"/>
    <n v="0.2"/>
    <n v="699"/>
    <n v="139.80000000000001"/>
    <n v="559.20000000000005"/>
    <n v="238"/>
    <n v="238"/>
    <n v="60"/>
    <n v="261.20000000000005"/>
    <n v="0.46709585121602293"/>
    <x v="0"/>
    <d v="2025-07-27T00:00:00"/>
    <n v="3"/>
    <x v="0"/>
    <n v="3"/>
    <n v="0"/>
  </r>
  <r>
    <s v="ORD-103489"/>
    <x v="567"/>
    <x v="1"/>
    <d v="2025-07-01T00:00:00"/>
    <n v="7"/>
    <s v="CUST-00359"/>
    <x v="1"/>
    <x v="6"/>
    <s v="DL"/>
    <x v="0"/>
    <s v="New Delhi"/>
    <x v="1"/>
    <s v="P303"/>
    <s v="Joggers"/>
    <x v="1"/>
    <n v="1"/>
    <n v="1199"/>
    <n v="0.15"/>
    <n v="1199"/>
    <n v="179.85"/>
    <n v="1019.15"/>
    <n v="492"/>
    <n v="492"/>
    <n v="60"/>
    <n v="467.15"/>
    <n v="0.45837217288917231"/>
    <x v="0"/>
    <d v="2025-07-28T00:00:00"/>
    <n v="3"/>
    <x v="0"/>
    <n v="4"/>
    <n v="0"/>
  </r>
  <r>
    <s v="ORD-103490"/>
    <x v="567"/>
    <x v="1"/>
    <d v="2025-07-01T00:00:00"/>
    <n v="7"/>
    <s v="CUST-00302"/>
    <x v="0"/>
    <x v="16"/>
    <s v="UP"/>
    <x v="0"/>
    <s v="Kanpur"/>
    <x v="3"/>
    <s v="P103"/>
    <s v="Niacinamide Toner"/>
    <x v="3"/>
    <n v="1"/>
    <n v="399"/>
    <n v="0.25"/>
    <n v="399"/>
    <n v="99.75"/>
    <n v="299.25"/>
    <n v="112"/>
    <n v="112"/>
    <n v="60"/>
    <n v="127.25"/>
    <n v="0.42522974101921468"/>
    <x v="0"/>
    <d v="2025-07-27T00:00:00"/>
    <n v="2"/>
    <x v="1"/>
    <n v="3"/>
    <n v="0"/>
  </r>
  <r>
    <s v="ORD-103491"/>
    <x v="567"/>
    <x v="1"/>
    <d v="2025-07-01T00:00:00"/>
    <n v="7"/>
    <s v="CUST-02594"/>
    <x v="0"/>
    <x v="13"/>
    <s v="MP"/>
    <x v="1"/>
    <s v="Bhopal"/>
    <x v="2"/>
    <s v="P404"/>
    <s v="Flip Flops"/>
    <x v="5"/>
    <n v="2"/>
    <n v="399"/>
    <n v="0.1"/>
    <n v="798"/>
    <n v="79.800000000000011"/>
    <n v="718.2"/>
    <n v="152"/>
    <n v="304"/>
    <n v="120"/>
    <n v="294.20000000000005"/>
    <n v="0.40963519910888335"/>
    <x v="0"/>
    <d v="2025-07-29T00:00:00"/>
    <n v="4"/>
    <x v="0"/>
    <n v="4"/>
    <n v="1"/>
  </r>
  <r>
    <s v="ORD-103492"/>
    <x v="567"/>
    <x v="1"/>
    <d v="2025-07-01T00:00:00"/>
    <n v="7"/>
    <s v="CUST-01170"/>
    <x v="1"/>
    <x v="10"/>
    <s v="CG"/>
    <x v="2"/>
    <s v="Raipur"/>
    <x v="0"/>
    <s v="P404"/>
    <s v="Flip Flops"/>
    <x v="5"/>
    <n v="1"/>
    <n v="399"/>
    <n v="0.2"/>
    <n v="399"/>
    <n v="79.800000000000011"/>
    <n v="319.2"/>
    <n v="152"/>
    <n v="152"/>
    <n v="60"/>
    <n v="107.19999999999999"/>
    <n v="0.33583959899749372"/>
    <x v="0"/>
    <d v="2025-07-30T00:00:00"/>
    <n v="5"/>
    <x v="2"/>
    <m/>
    <n v="0"/>
  </r>
  <r>
    <s v="ORD-103493"/>
    <x v="567"/>
    <x v="1"/>
    <d v="2025-07-01T00:00:00"/>
    <n v="7"/>
    <s v="CUST-01743"/>
    <x v="1"/>
    <x v="18"/>
    <s v="WB"/>
    <x v="2"/>
    <s v="Kolkata"/>
    <x v="4"/>
    <s v="P102"/>
    <s v="Sunscreen SPF 50"/>
    <x v="3"/>
    <n v="1"/>
    <n v="449"/>
    <n v="0.05"/>
    <n v="449"/>
    <n v="22.450000000000003"/>
    <n v="426.55"/>
    <n v="144"/>
    <n v="144"/>
    <n v="60"/>
    <n v="222.55"/>
    <n v="0.52174422693705313"/>
    <x v="0"/>
    <d v="2025-07-29T00:00:00"/>
    <n v="4"/>
    <x v="0"/>
    <n v="4"/>
    <n v="0"/>
  </r>
  <r>
    <s v="ORD-103494"/>
    <x v="567"/>
    <x v="1"/>
    <d v="2025-07-01T00:00:00"/>
    <n v="7"/>
    <s v="CUST-03037"/>
    <x v="1"/>
    <x v="18"/>
    <s v="WB"/>
    <x v="2"/>
    <s v="Kolkata"/>
    <x v="3"/>
    <s v="P203"/>
    <s v="Keratin Hair Mask"/>
    <x v="6"/>
    <n v="3"/>
    <n v="549"/>
    <n v="0.25"/>
    <n v="1647"/>
    <n v="411.75"/>
    <n v="1235.25"/>
    <n v="170"/>
    <n v="510"/>
    <n v="60"/>
    <n v="665.25"/>
    <n v="0.53855494839101392"/>
    <x v="0"/>
    <d v="2025-07-27T00:00:00"/>
    <n v="2"/>
    <x v="1"/>
    <n v="4"/>
    <n v="0"/>
  </r>
  <r>
    <s v="ORD-103495"/>
    <x v="567"/>
    <x v="1"/>
    <d v="2025-07-01T00:00:00"/>
    <n v="7"/>
    <s v="CUST-00016"/>
    <x v="1"/>
    <x v="20"/>
    <s v="GA"/>
    <x v="1"/>
    <s v="Panaji"/>
    <x v="0"/>
    <s v="P604"/>
    <s v="Power Bank 20000mAh"/>
    <x v="2"/>
    <n v="2"/>
    <n v="1799"/>
    <n v="0.35"/>
    <n v="3598"/>
    <n v="1259.3"/>
    <n v="2338.6999999999998"/>
    <n v="1079"/>
    <n v="2158"/>
    <n v="60"/>
    <n v="120.69999999999982"/>
    <n v="5.1609868730491226E-2"/>
    <x v="0"/>
    <d v="2025-07-28T00:00:00"/>
    <n v="3"/>
    <x v="0"/>
    <n v="4"/>
    <n v="0"/>
  </r>
  <r>
    <s v="ORD-103496"/>
    <x v="567"/>
    <x v="1"/>
    <d v="2025-07-01T00:00:00"/>
    <n v="7"/>
    <s v="CUST-00152"/>
    <x v="1"/>
    <x v="17"/>
    <s v="TN"/>
    <x v="3"/>
    <s v="Chennai"/>
    <x v="0"/>
    <s v="P102"/>
    <s v="Sunscreen SPF 50"/>
    <x v="3"/>
    <n v="1"/>
    <n v="449"/>
    <n v="0.1"/>
    <n v="449"/>
    <n v="44.900000000000006"/>
    <n v="404.1"/>
    <n v="144"/>
    <n v="144"/>
    <n v="60"/>
    <n v="200.10000000000002"/>
    <n v="0.4951744617668894"/>
    <x v="0"/>
    <d v="2025-07-28T00:00:00"/>
    <n v="3"/>
    <x v="0"/>
    <m/>
    <n v="0"/>
  </r>
  <r>
    <s v="ORD-103497"/>
    <x v="568"/>
    <x v="1"/>
    <d v="2025-07-01T00:00:00"/>
    <n v="7"/>
    <s v="CUST-00588"/>
    <x v="1"/>
    <x v="0"/>
    <s v="RJ"/>
    <x v="0"/>
    <s v="Udaipur"/>
    <x v="2"/>
    <s v="P202"/>
    <s v="Argan Shampoo"/>
    <x v="6"/>
    <n v="1"/>
    <n v="449"/>
    <n v="0"/>
    <n v="449"/>
    <n v="0"/>
    <n v="449"/>
    <n v="148"/>
    <n v="148"/>
    <n v="60"/>
    <n v="241"/>
    <n v="0.53674832962138086"/>
    <x v="2"/>
    <d v="2025-08-01T00:00:00"/>
    <n v="6"/>
    <x v="2"/>
    <n v="3"/>
    <n v="0"/>
  </r>
  <r>
    <s v="ORD-103498"/>
    <x v="568"/>
    <x v="1"/>
    <d v="2025-07-01T00:00:00"/>
    <n v="7"/>
    <s v="CUST-00642"/>
    <x v="1"/>
    <x v="18"/>
    <s v="WB"/>
    <x v="2"/>
    <s v="Kolkata"/>
    <x v="0"/>
    <s v="P201"/>
    <s v="Onion Hair Oil"/>
    <x v="6"/>
    <n v="2"/>
    <n v="349"/>
    <n v="0.3"/>
    <n v="698"/>
    <n v="209.4"/>
    <n v="488.6"/>
    <n v="105"/>
    <n v="210"/>
    <n v="60"/>
    <n v="218.60000000000002"/>
    <n v="0.44740073679901765"/>
    <x v="3"/>
    <d v="2025-07-30T00:00:00"/>
    <n v="4"/>
    <x v="0"/>
    <n v="4"/>
    <n v="0"/>
  </r>
  <r>
    <s v="ORD-103499"/>
    <x v="568"/>
    <x v="1"/>
    <d v="2025-07-01T00:00:00"/>
    <n v="7"/>
    <s v="CUST-00878"/>
    <x v="1"/>
    <x v="3"/>
    <s v="OD"/>
    <x v="2"/>
    <s v="Bhubaneswar"/>
    <x v="0"/>
    <s v="P201"/>
    <s v="Onion Hair Oil"/>
    <x v="6"/>
    <n v="2"/>
    <n v="349"/>
    <n v="0.35"/>
    <n v="698"/>
    <n v="244.29999999999998"/>
    <n v="453.70000000000005"/>
    <n v="105"/>
    <n v="210"/>
    <n v="120"/>
    <n v="123.70000000000005"/>
    <n v="0.27264712364998905"/>
    <x v="0"/>
    <d v="2025-07-31T00:00:00"/>
    <n v="5"/>
    <x v="2"/>
    <m/>
    <n v="1"/>
  </r>
  <r>
    <s v="ORD-103500"/>
    <x v="568"/>
    <x v="1"/>
    <d v="2025-07-01T00:00:00"/>
    <n v="7"/>
    <s v="CUST-02804"/>
    <x v="0"/>
    <x v="17"/>
    <s v="TN"/>
    <x v="3"/>
    <s v="Coimbatore"/>
    <x v="1"/>
    <s v="P301"/>
    <s v="Cotton Oversized T-Shirt"/>
    <x v="1"/>
    <n v="1"/>
    <n v="799"/>
    <n v="0"/>
    <n v="799"/>
    <n v="0"/>
    <n v="799"/>
    <n v="320"/>
    <n v="320"/>
    <n v="120"/>
    <n v="359"/>
    <n v="0.44931163954943681"/>
    <x v="0"/>
    <d v="2025-07-28T00:00:00"/>
    <n v="2"/>
    <x v="1"/>
    <n v="4"/>
    <n v="1"/>
  </r>
  <r>
    <s v="ORD-103501"/>
    <x v="569"/>
    <x v="1"/>
    <d v="2025-07-01T00:00:00"/>
    <n v="7"/>
    <s v="CUST-01431"/>
    <x v="0"/>
    <x v="6"/>
    <s v="DL"/>
    <x v="0"/>
    <s v="New Delhi"/>
    <x v="0"/>
    <s v="P203"/>
    <s v="Keratin Hair Mask"/>
    <x v="6"/>
    <n v="1"/>
    <n v="549"/>
    <n v="0.15"/>
    <n v="549"/>
    <n v="82.35"/>
    <n v="466.65"/>
    <n v="170"/>
    <n v="170"/>
    <n v="60"/>
    <n v="236.64999999999998"/>
    <n v="0.50712525447337398"/>
    <x v="0"/>
    <d v="2025-07-29T00:00:00"/>
    <n v="2"/>
    <x v="1"/>
    <n v="4"/>
    <n v="0"/>
  </r>
  <r>
    <s v="ORD-103502"/>
    <x v="569"/>
    <x v="1"/>
    <d v="2025-07-01T00:00:00"/>
    <n v="7"/>
    <s v="CUST-01153"/>
    <x v="1"/>
    <x v="16"/>
    <s v="UP"/>
    <x v="0"/>
    <s v="Kanpur"/>
    <x v="0"/>
    <s v="P603"/>
    <s v="Smartwatch Strap"/>
    <x v="2"/>
    <n v="1"/>
    <n v="499"/>
    <n v="0.05"/>
    <n v="499"/>
    <n v="24.950000000000003"/>
    <n v="474.05"/>
    <n v="200"/>
    <n v="200"/>
    <n v="60"/>
    <n v="214.05"/>
    <n v="0.45153464824385614"/>
    <x v="3"/>
    <d v="2025-07-30T00:00:00"/>
    <n v="3"/>
    <x v="0"/>
    <n v="4"/>
    <n v="0"/>
  </r>
  <r>
    <s v="ORD-103503"/>
    <x v="569"/>
    <x v="1"/>
    <d v="2025-07-01T00:00:00"/>
    <n v="7"/>
    <s v="CUST-00334"/>
    <x v="1"/>
    <x v="1"/>
    <s v="GJ"/>
    <x v="1"/>
    <s v="Surat"/>
    <x v="4"/>
    <s v="P203"/>
    <s v="Keratin Hair Mask"/>
    <x v="6"/>
    <n v="2"/>
    <n v="549"/>
    <n v="0.25"/>
    <n v="1098"/>
    <n v="274.5"/>
    <n v="823.5"/>
    <n v="170"/>
    <n v="340"/>
    <n v="60"/>
    <n v="423.5"/>
    <n v="0.51426836672738307"/>
    <x v="3"/>
    <d v="2025-07-31T00:00:00"/>
    <n v="4"/>
    <x v="0"/>
    <n v="3"/>
    <n v="0"/>
  </r>
  <r>
    <s v="ORD-103504"/>
    <x v="569"/>
    <x v="1"/>
    <d v="2025-07-01T00:00:00"/>
    <n v="7"/>
    <s v="CUST-02574"/>
    <x v="1"/>
    <x v="14"/>
    <s v="KL"/>
    <x v="3"/>
    <s v="Thiruvananthapuram"/>
    <x v="4"/>
    <s v="P103"/>
    <s v="Niacinamide Toner"/>
    <x v="3"/>
    <n v="2"/>
    <n v="399"/>
    <n v="0.3"/>
    <n v="798"/>
    <n v="239.39999999999998"/>
    <n v="558.6"/>
    <n v="112"/>
    <n v="224"/>
    <n v="60"/>
    <n v="274.60000000000002"/>
    <n v="0.49158610812746151"/>
    <x v="3"/>
    <d v="2025-07-30T00:00:00"/>
    <n v="3"/>
    <x v="0"/>
    <n v="5"/>
    <n v="0"/>
  </r>
  <r>
    <s v="ORD-103505"/>
    <x v="570"/>
    <x v="1"/>
    <d v="2025-07-01T00:00:00"/>
    <n v="7"/>
    <s v="CUST-00114"/>
    <x v="1"/>
    <x v="19"/>
    <s v="PB"/>
    <x v="0"/>
    <s v="Ludhiana"/>
    <x v="2"/>
    <s v="P704"/>
    <s v="Multivitamin Gummies"/>
    <x v="0"/>
    <n v="1"/>
    <n v="699"/>
    <n v="0.15"/>
    <n v="699"/>
    <n v="104.85"/>
    <n v="594.15"/>
    <n v="238"/>
    <n v="238"/>
    <n v="60"/>
    <n v="296.14999999999998"/>
    <n v="0.49844315408566858"/>
    <x v="2"/>
    <d v="2025-07-31T00:00:00"/>
    <n v="3"/>
    <x v="0"/>
    <n v="3"/>
    <n v="0"/>
  </r>
  <r>
    <s v="ORD-103506"/>
    <x v="570"/>
    <x v="1"/>
    <d v="2025-07-01T00:00:00"/>
    <n v="7"/>
    <s v="CUST-00248"/>
    <x v="1"/>
    <x v="0"/>
    <s v="RJ"/>
    <x v="0"/>
    <s v="Jaipur"/>
    <x v="2"/>
    <s v="P203"/>
    <s v="Keratin Hair Mask"/>
    <x v="6"/>
    <n v="1"/>
    <n v="549"/>
    <n v="0.1"/>
    <n v="549"/>
    <n v="54.900000000000006"/>
    <n v="494.1"/>
    <n v="170"/>
    <n v="170"/>
    <n v="60"/>
    <n v="264.10000000000002"/>
    <n v="0.53450718478040882"/>
    <x v="0"/>
    <d v="2025-07-31T00:00:00"/>
    <n v="3"/>
    <x v="0"/>
    <m/>
    <n v="0"/>
  </r>
  <r>
    <s v="ORD-103507"/>
    <x v="570"/>
    <x v="1"/>
    <d v="2025-07-01T00:00:00"/>
    <n v="7"/>
    <s v="CUST-00496"/>
    <x v="1"/>
    <x v="1"/>
    <s v="GJ"/>
    <x v="1"/>
    <s v="Ahmedabad"/>
    <x v="2"/>
    <s v="P603"/>
    <s v="Smartwatch Strap"/>
    <x v="2"/>
    <n v="4"/>
    <n v="499"/>
    <n v="0.05"/>
    <n v="1996"/>
    <n v="99.800000000000011"/>
    <n v="1896.2"/>
    <n v="200"/>
    <n v="800"/>
    <n v="60"/>
    <n v="1036.2"/>
    <n v="0.54646134374011179"/>
    <x v="1"/>
    <d v="2025-08-02T00:00:00"/>
    <n v="5"/>
    <x v="2"/>
    <m/>
    <n v="0"/>
  </r>
  <r>
    <s v="ORD-103508"/>
    <x v="570"/>
    <x v="1"/>
    <d v="2025-07-01T00:00:00"/>
    <n v="7"/>
    <s v="CUST-00812"/>
    <x v="1"/>
    <x v="18"/>
    <s v="WB"/>
    <x v="2"/>
    <s v="Kolkata"/>
    <x v="2"/>
    <s v="P101"/>
    <s v="Vitamin C Face Serum"/>
    <x v="3"/>
    <n v="3"/>
    <n v="599"/>
    <n v="0.1"/>
    <n v="1797"/>
    <n v="179.70000000000002"/>
    <n v="1617.3"/>
    <n v="180"/>
    <n v="540"/>
    <n v="60"/>
    <n v="1017.3"/>
    <n v="0.62901131515488773"/>
    <x v="0"/>
    <d v="2025-08-01T00:00:00"/>
    <n v="4"/>
    <x v="0"/>
    <n v="4"/>
    <n v="0"/>
  </r>
  <r>
    <s v="ORD-103509"/>
    <x v="570"/>
    <x v="1"/>
    <d v="2025-07-01T00:00:00"/>
    <n v="7"/>
    <s v="CUST-01312"/>
    <x v="0"/>
    <x v="2"/>
    <s v="MH"/>
    <x v="1"/>
    <s v="Nagpur"/>
    <x v="0"/>
    <s v="P501"/>
    <s v="Copper Water Bottle"/>
    <x v="4"/>
    <n v="1"/>
    <n v="899"/>
    <n v="0.15"/>
    <n v="899"/>
    <n v="134.85"/>
    <n v="764.15"/>
    <n v="378"/>
    <n v="378"/>
    <n v="60"/>
    <n v="326.14999999999998"/>
    <n v="0.42681410717791007"/>
    <x v="1"/>
    <d v="2025-07-31T00:00:00"/>
    <n v="3"/>
    <x v="0"/>
    <n v="4"/>
    <n v="0"/>
  </r>
  <r>
    <s v="ORD-103510"/>
    <x v="570"/>
    <x v="1"/>
    <d v="2025-07-01T00:00:00"/>
    <n v="7"/>
    <s v="CUST-01108"/>
    <x v="0"/>
    <x v="2"/>
    <s v="MH"/>
    <x v="1"/>
    <s v="Pune"/>
    <x v="0"/>
    <s v="P302"/>
    <s v="Linen Kurta"/>
    <x v="1"/>
    <n v="1"/>
    <n v="1499"/>
    <n v="0.4"/>
    <n v="1499"/>
    <n v="599.6"/>
    <n v="899.4"/>
    <n v="630"/>
    <n v="630"/>
    <n v="60"/>
    <n v="209.39999999999998"/>
    <n v="0.23282188125416942"/>
    <x v="3"/>
    <d v="2025-07-31T00:00:00"/>
    <n v="3"/>
    <x v="0"/>
    <n v="3"/>
    <n v="0"/>
  </r>
  <r>
    <s v="ORD-103511"/>
    <x v="570"/>
    <x v="1"/>
    <d v="2025-07-01T00:00:00"/>
    <n v="7"/>
    <s v="CUST-00385"/>
    <x v="1"/>
    <x v="3"/>
    <s v="OD"/>
    <x v="2"/>
    <s v="Bhubaneswar"/>
    <x v="0"/>
    <s v="P503"/>
    <s v="Scented Candle Set"/>
    <x v="4"/>
    <n v="1"/>
    <n v="699"/>
    <n v="0.2"/>
    <n v="699"/>
    <n v="139.80000000000001"/>
    <n v="559.20000000000005"/>
    <n v="245"/>
    <n v="245"/>
    <n v="60"/>
    <n v="254.20000000000005"/>
    <n v="0.45457796852646642"/>
    <x v="3"/>
    <d v="2025-08-03T00:00:00"/>
    <n v="6"/>
    <x v="2"/>
    <m/>
    <n v="0"/>
  </r>
  <r>
    <s v="ORD-103512"/>
    <x v="570"/>
    <x v="1"/>
    <d v="2025-07-01T00:00:00"/>
    <n v="7"/>
    <s v="CUST-01125"/>
    <x v="1"/>
    <x v="14"/>
    <s v="KL"/>
    <x v="3"/>
    <s v="Kochi"/>
    <x v="1"/>
    <s v="P404"/>
    <s v="Flip Flops"/>
    <x v="5"/>
    <n v="2"/>
    <n v="399"/>
    <n v="0.05"/>
    <n v="798"/>
    <n v="39.900000000000006"/>
    <n v="758.1"/>
    <n v="152"/>
    <n v="304"/>
    <n v="60"/>
    <n v="394.1"/>
    <n v="0.51985226223453374"/>
    <x v="1"/>
    <d v="2025-07-31T00:00:00"/>
    <n v="3"/>
    <x v="0"/>
    <m/>
    <n v="0"/>
  </r>
  <r>
    <s v="ORD-103513"/>
    <x v="570"/>
    <x v="1"/>
    <d v="2025-07-01T00:00:00"/>
    <n v="7"/>
    <s v="CUST-02963"/>
    <x v="1"/>
    <x v="17"/>
    <s v="TN"/>
    <x v="3"/>
    <s v="Coimbatore"/>
    <x v="4"/>
    <s v="P104"/>
    <s v="Hydrating Face Wash"/>
    <x v="3"/>
    <n v="1"/>
    <n v="299"/>
    <n v="0"/>
    <n v="299"/>
    <n v="0"/>
    <n v="299"/>
    <n v="90"/>
    <n v="90"/>
    <n v="60"/>
    <n v="149"/>
    <n v="0.49832775919732442"/>
    <x v="0"/>
    <d v="2025-08-01T00:00:00"/>
    <n v="4"/>
    <x v="0"/>
    <n v="4"/>
    <n v="0"/>
  </r>
  <r>
    <s v="ORD-103514"/>
    <x v="571"/>
    <x v="1"/>
    <d v="2025-07-01T00:00:00"/>
    <n v="7"/>
    <s v="CUST-00853"/>
    <x v="1"/>
    <x v="15"/>
    <s v="HR"/>
    <x v="0"/>
    <s v="Gurugram"/>
    <x v="1"/>
    <s v="P302"/>
    <s v="Linen Kurta"/>
    <x v="1"/>
    <n v="2"/>
    <n v="1499"/>
    <n v="0.3"/>
    <n v="2998"/>
    <n v="899.4"/>
    <n v="2098.6"/>
    <n v="630"/>
    <n v="1260"/>
    <n v="60"/>
    <n v="778.59999999999991"/>
    <n v="0.3710092442580768"/>
    <x v="0"/>
    <d v="2025-08-01T00:00:00"/>
    <n v="3"/>
    <x v="0"/>
    <n v="4"/>
    <n v="0"/>
  </r>
  <r>
    <s v="ORD-103515"/>
    <x v="571"/>
    <x v="1"/>
    <d v="2025-07-01T00:00:00"/>
    <n v="7"/>
    <s v="CUST-00515"/>
    <x v="1"/>
    <x v="6"/>
    <s v="DL"/>
    <x v="0"/>
    <s v="New Delhi"/>
    <x v="4"/>
    <s v="P202"/>
    <s v="Argan Shampoo"/>
    <x v="6"/>
    <n v="1"/>
    <n v="449"/>
    <n v="0.1"/>
    <n v="449"/>
    <n v="44.900000000000006"/>
    <n v="404.1"/>
    <n v="148"/>
    <n v="148"/>
    <n v="120"/>
    <n v="136.10000000000002"/>
    <n v="0.33679782232120764"/>
    <x v="0"/>
    <d v="2025-07-30T00:00:00"/>
    <n v="1"/>
    <x v="1"/>
    <m/>
    <n v="1"/>
  </r>
  <r>
    <s v="ORD-103516"/>
    <x v="571"/>
    <x v="1"/>
    <d v="2025-07-01T00:00:00"/>
    <n v="7"/>
    <s v="CUST-00886"/>
    <x v="1"/>
    <x v="6"/>
    <s v="DL"/>
    <x v="0"/>
    <s v="New Delhi"/>
    <x v="0"/>
    <s v="P304"/>
    <s v="Denim Jacket"/>
    <x v="1"/>
    <n v="1"/>
    <n v="2499"/>
    <n v="0"/>
    <n v="2499"/>
    <n v="0"/>
    <n v="2499"/>
    <n v="1125"/>
    <n v="1125"/>
    <n v="60"/>
    <n v="1314"/>
    <n v="0.5258103241296519"/>
    <x v="0"/>
    <d v="2025-07-30T00:00:00"/>
    <n v="1"/>
    <x v="1"/>
    <n v="5"/>
    <n v="0"/>
  </r>
  <r>
    <s v="ORD-103517"/>
    <x v="571"/>
    <x v="1"/>
    <d v="2025-07-01T00:00:00"/>
    <n v="7"/>
    <s v="CUST-00253"/>
    <x v="1"/>
    <x v="8"/>
    <s v="AP"/>
    <x v="3"/>
    <s v="Vijayawada"/>
    <x v="2"/>
    <s v="P302"/>
    <s v="Linen Kurta"/>
    <x v="1"/>
    <n v="1"/>
    <n v="1499"/>
    <n v="0.2"/>
    <n v="1499"/>
    <n v="299.8"/>
    <n v="1199.2"/>
    <n v="630"/>
    <n v="630"/>
    <n v="60"/>
    <n v="509.20000000000005"/>
    <n v="0.42461641094062713"/>
    <x v="2"/>
    <d v="2025-08-01T00:00:00"/>
    <n v="3"/>
    <x v="0"/>
    <n v="4"/>
    <n v="0"/>
  </r>
  <r>
    <s v="ORD-103518"/>
    <x v="571"/>
    <x v="1"/>
    <d v="2025-07-01T00:00:00"/>
    <n v="7"/>
    <s v="CUST-00973"/>
    <x v="1"/>
    <x v="14"/>
    <s v="KL"/>
    <x v="3"/>
    <s v="Thiruvananthapuram"/>
    <x v="4"/>
    <s v="P104"/>
    <s v="Hydrating Face Wash"/>
    <x v="3"/>
    <n v="3"/>
    <n v="299"/>
    <n v="0"/>
    <n v="897"/>
    <n v="0"/>
    <n v="897"/>
    <n v="90"/>
    <n v="270"/>
    <n v="60"/>
    <n v="567"/>
    <n v="0.63210702341137126"/>
    <x v="4"/>
    <d v="2025-07-31T00:00:00"/>
    <n v="2"/>
    <x v="1"/>
    <n v="5"/>
    <n v="0"/>
  </r>
  <r>
    <s v="ORD-103519"/>
    <x v="572"/>
    <x v="1"/>
    <d v="2025-07-01T00:00:00"/>
    <n v="7"/>
    <s v="CUST-00942"/>
    <x v="0"/>
    <x v="4"/>
    <s v="JK"/>
    <x v="0"/>
    <s v="Srinagar"/>
    <x v="4"/>
    <s v="P305"/>
    <s v="Printed Saree"/>
    <x v="1"/>
    <n v="2"/>
    <n v="1999"/>
    <n v="0"/>
    <n v="3998"/>
    <n v="0"/>
    <n v="3998"/>
    <n v="880"/>
    <n v="1760"/>
    <n v="60"/>
    <n v="2178"/>
    <n v="0.54477238619309654"/>
    <x v="3"/>
    <d v="2025-08-05T00:00:00"/>
    <n v="6"/>
    <x v="2"/>
    <n v="4"/>
    <n v="0"/>
  </r>
  <r>
    <s v="ORD-103520"/>
    <x v="572"/>
    <x v="1"/>
    <d v="2025-07-01T00:00:00"/>
    <n v="7"/>
    <s v="CUST-00749"/>
    <x v="1"/>
    <x v="19"/>
    <s v="PB"/>
    <x v="0"/>
    <s v="Amritsar"/>
    <x v="2"/>
    <s v="P704"/>
    <s v="Multivitamin Gummies"/>
    <x v="0"/>
    <n v="1"/>
    <n v="699"/>
    <n v="0.15"/>
    <n v="699"/>
    <n v="104.85"/>
    <n v="594.15"/>
    <n v="238"/>
    <n v="238"/>
    <n v="60"/>
    <n v="296.14999999999998"/>
    <n v="0.49844315408566858"/>
    <x v="0"/>
    <d v="2025-08-02T00:00:00"/>
    <n v="3"/>
    <x v="0"/>
    <m/>
    <n v="0"/>
  </r>
  <r>
    <s v="ORD-103521"/>
    <x v="572"/>
    <x v="1"/>
    <d v="2025-07-01T00:00:00"/>
    <n v="7"/>
    <s v="CUST-02840"/>
    <x v="1"/>
    <x v="15"/>
    <s v="HR"/>
    <x v="0"/>
    <s v="Gurugram"/>
    <x v="4"/>
    <s v="P401"/>
    <s v="Running Shoes"/>
    <x v="5"/>
    <n v="1"/>
    <n v="2999"/>
    <n v="0.2"/>
    <n v="2999"/>
    <n v="599.80000000000007"/>
    <n v="2399.1999999999998"/>
    <n v="1440"/>
    <n v="1440"/>
    <n v="60"/>
    <n v="899.19999999999982"/>
    <n v="0.3747915971990663"/>
    <x v="1"/>
    <d v="2025-08-01T00:00:00"/>
    <n v="2"/>
    <x v="1"/>
    <n v="5"/>
    <n v="0"/>
  </r>
  <r>
    <s v="ORD-103522"/>
    <x v="572"/>
    <x v="1"/>
    <d v="2025-07-01T00:00:00"/>
    <n v="7"/>
    <s v="CUST-01169"/>
    <x v="1"/>
    <x v="6"/>
    <s v="DL"/>
    <x v="0"/>
    <s v="New Delhi"/>
    <x v="1"/>
    <s v="P403"/>
    <s v="Kolhapuri Sandals"/>
    <x v="5"/>
    <n v="1"/>
    <n v="999"/>
    <n v="0.05"/>
    <n v="999"/>
    <n v="49.95"/>
    <n v="949.05"/>
    <n v="400"/>
    <n v="400"/>
    <n v="60"/>
    <n v="489.04999999999995"/>
    <n v="0.5153047784626732"/>
    <x v="0"/>
    <d v="2025-08-01T00:00:00"/>
    <n v="2"/>
    <x v="1"/>
    <n v="3"/>
    <n v="0"/>
  </r>
  <r>
    <s v="ORD-103523"/>
    <x v="572"/>
    <x v="1"/>
    <d v="2025-07-01T00:00:00"/>
    <n v="7"/>
    <s v="CUST-00859"/>
    <x v="1"/>
    <x v="6"/>
    <s v="DL"/>
    <x v="0"/>
    <s v="New Delhi"/>
    <x v="0"/>
    <s v="P701"/>
    <s v="Ashwagandha Capsules"/>
    <x v="0"/>
    <n v="1"/>
    <n v="499"/>
    <n v="0"/>
    <n v="499"/>
    <n v="0"/>
    <n v="499"/>
    <n v="150"/>
    <n v="150"/>
    <n v="60"/>
    <n v="289"/>
    <n v="0.57915831663326656"/>
    <x v="1"/>
    <d v="2025-07-31T00:00:00"/>
    <n v="1"/>
    <x v="1"/>
    <m/>
    <n v="0"/>
  </r>
  <r>
    <s v="ORD-103524"/>
    <x v="572"/>
    <x v="1"/>
    <d v="2025-07-01T00:00:00"/>
    <n v="7"/>
    <s v="CUST-02178"/>
    <x v="0"/>
    <x v="12"/>
    <s v="BR"/>
    <x v="2"/>
    <s v="Patna"/>
    <x v="3"/>
    <s v="P201"/>
    <s v="Onion Hair Oil"/>
    <x v="6"/>
    <n v="2"/>
    <n v="349"/>
    <n v="0.4"/>
    <n v="698"/>
    <n v="279.2"/>
    <n v="418.8"/>
    <n v="105"/>
    <n v="210"/>
    <n v="60"/>
    <n v="148.80000000000001"/>
    <n v="0.35530085959885388"/>
    <x v="4"/>
    <d v="2025-08-05T00:00:00"/>
    <n v="6"/>
    <x v="2"/>
    <n v="3"/>
    <n v="0"/>
  </r>
  <r>
    <s v="ORD-103525"/>
    <x v="572"/>
    <x v="1"/>
    <d v="2025-07-01T00:00:00"/>
    <n v="7"/>
    <s v="CUST-00070"/>
    <x v="1"/>
    <x v="2"/>
    <s v="MH"/>
    <x v="1"/>
    <s v="Nagpur"/>
    <x v="2"/>
    <s v="P704"/>
    <s v="Multivitamin Gummies"/>
    <x v="0"/>
    <n v="1"/>
    <n v="699"/>
    <n v="0.15"/>
    <n v="699"/>
    <n v="104.85"/>
    <n v="594.15"/>
    <n v="238"/>
    <n v="238"/>
    <n v="120"/>
    <n v="236.14999999999998"/>
    <n v="0.39745855423714549"/>
    <x v="0"/>
    <d v="2025-08-03T00:00:00"/>
    <n v="4"/>
    <x v="0"/>
    <n v="4"/>
    <n v="1"/>
  </r>
  <r>
    <s v="ORD-103526"/>
    <x v="572"/>
    <x v="1"/>
    <d v="2025-07-01T00:00:00"/>
    <n v="7"/>
    <s v="CUST-01125"/>
    <x v="1"/>
    <x v="3"/>
    <s v="OD"/>
    <x v="2"/>
    <s v="Bhubaneswar"/>
    <x v="0"/>
    <s v="P604"/>
    <s v="Power Bank 20000mAh"/>
    <x v="2"/>
    <n v="4"/>
    <n v="1799"/>
    <n v="0.3"/>
    <n v="7196"/>
    <n v="2158.7999999999997"/>
    <n v="5037.2000000000007"/>
    <n v="1079"/>
    <n v="4316"/>
    <n v="60"/>
    <n v="661.20000000000073"/>
    <n v="0.13126340030175507"/>
    <x v="0"/>
    <d v="2025-08-03T00:00:00"/>
    <n v="4"/>
    <x v="0"/>
    <m/>
    <n v="0"/>
  </r>
  <r>
    <s v="ORD-103527"/>
    <x v="572"/>
    <x v="1"/>
    <d v="2025-07-01T00:00:00"/>
    <n v="7"/>
    <s v="CUST-00806"/>
    <x v="1"/>
    <x v="8"/>
    <s v="AP"/>
    <x v="3"/>
    <s v="Visakhapatnam"/>
    <x v="1"/>
    <s v="P305"/>
    <s v="Printed Saree"/>
    <x v="1"/>
    <n v="1"/>
    <n v="1999"/>
    <n v="0"/>
    <n v="1999"/>
    <n v="0"/>
    <n v="1999"/>
    <n v="880"/>
    <n v="880"/>
    <n v="60"/>
    <n v="1059"/>
    <n v="0.52976488244122066"/>
    <x v="2"/>
    <d v="2025-08-03T00:00:00"/>
    <n v="4"/>
    <x v="0"/>
    <n v="5"/>
    <n v="0"/>
  </r>
  <r>
    <s v="ORD-103528"/>
    <x v="572"/>
    <x v="1"/>
    <d v="2025-07-01T00:00:00"/>
    <n v="7"/>
    <s v="CUST-00559"/>
    <x v="1"/>
    <x v="14"/>
    <s v="KL"/>
    <x v="3"/>
    <s v="Kochi"/>
    <x v="0"/>
    <s v="P703"/>
    <s v="Green Tea (100 bags)"/>
    <x v="0"/>
    <n v="1"/>
    <n v="399"/>
    <n v="0.35"/>
    <n v="399"/>
    <n v="139.64999999999998"/>
    <n v="259.35000000000002"/>
    <n v="128"/>
    <n v="128"/>
    <n v="60"/>
    <n v="71.350000000000023"/>
    <n v="0.27511085405822255"/>
    <x v="0"/>
    <d v="2025-08-02T00:00:00"/>
    <n v="3"/>
    <x v="0"/>
    <n v="3"/>
    <n v="0"/>
  </r>
  <r>
    <s v="ORD-103529"/>
    <x v="572"/>
    <x v="1"/>
    <d v="2025-07-01T00:00:00"/>
    <n v="7"/>
    <s v="CUST-02533"/>
    <x v="1"/>
    <x v="17"/>
    <s v="TN"/>
    <x v="3"/>
    <s v="Chennai"/>
    <x v="1"/>
    <s v="P403"/>
    <s v="Kolhapuri Sandals"/>
    <x v="5"/>
    <n v="1"/>
    <n v="999"/>
    <n v="0"/>
    <n v="999"/>
    <n v="0"/>
    <n v="999"/>
    <n v="400"/>
    <n v="400"/>
    <n v="120"/>
    <n v="479"/>
    <n v="0.4794794794794795"/>
    <x v="3"/>
    <d v="2025-08-01T00:00:00"/>
    <n v="2"/>
    <x v="1"/>
    <n v="5"/>
    <n v="1"/>
  </r>
  <r>
    <s v="ORD-103530"/>
    <x v="573"/>
    <x v="1"/>
    <d v="2025-07-01T00:00:00"/>
    <n v="7"/>
    <s v="CUST-00303"/>
    <x v="1"/>
    <x v="6"/>
    <s v="DL"/>
    <x v="0"/>
    <s v="New Delhi"/>
    <x v="0"/>
    <s v="P404"/>
    <s v="Flip Flops"/>
    <x v="5"/>
    <n v="1"/>
    <n v="399"/>
    <n v="0.1"/>
    <n v="399"/>
    <n v="39.900000000000006"/>
    <n v="359.1"/>
    <n v="152"/>
    <n v="152"/>
    <n v="60"/>
    <n v="147.10000000000002"/>
    <n v="0.40963519910888335"/>
    <x v="0"/>
    <d v="2025-08-03T00:00:00"/>
    <n v="3"/>
    <x v="0"/>
    <m/>
    <n v="0"/>
  </r>
  <r>
    <s v="ORD-103531"/>
    <x v="573"/>
    <x v="1"/>
    <d v="2025-07-01T00:00:00"/>
    <n v="7"/>
    <s v="CUST-01441"/>
    <x v="0"/>
    <x v="6"/>
    <s v="DL"/>
    <x v="0"/>
    <s v="New Delhi"/>
    <x v="4"/>
    <s v="P203"/>
    <s v="Keratin Hair Mask"/>
    <x v="6"/>
    <n v="2"/>
    <n v="549"/>
    <n v="0.15"/>
    <n v="1098"/>
    <n v="164.7"/>
    <n v="933.3"/>
    <n v="170"/>
    <n v="340"/>
    <n v="60"/>
    <n v="533.29999999999995"/>
    <n v="0.57141326475945564"/>
    <x v="1"/>
    <d v="2025-08-03T00:00:00"/>
    <n v="3"/>
    <x v="0"/>
    <n v="3"/>
    <n v="0"/>
  </r>
  <r>
    <s v="ORD-103532"/>
    <x v="573"/>
    <x v="1"/>
    <d v="2025-07-01T00:00:00"/>
    <n v="7"/>
    <s v="CUST-00315"/>
    <x v="1"/>
    <x v="10"/>
    <s v="CG"/>
    <x v="2"/>
    <s v="Raipur"/>
    <x v="0"/>
    <s v="P203"/>
    <s v="Keratin Hair Mask"/>
    <x v="6"/>
    <n v="1"/>
    <n v="549"/>
    <n v="0.15"/>
    <n v="549"/>
    <n v="82.35"/>
    <n v="466.65"/>
    <n v="170"/>
    <n v="170"/>
    <n v="60"/>
    <n v="236.64999999999998"/>
    <n v="0.50712525447337398"/>
    <x v="0"/>
    <d v="2025-08-05T00:00:00"/>
    <n v="5"/>
    <x v="2"/>
    <n v="4"/>
    <n v="0"/>
  </r>
  <r>
    <s v="ORD-103533"/>
    <x v="573"/>
    <x v="1"/>
    <d v="2025-07-01T00:00:00"/>
    <n v="7"/>
    <s v="CUST-02546"/>
    <x v="1"/>
    <x v="17"/>
    <s v="TN"/>
    <x v="3"/>
    <s v="Coimbatore"/>
    <x v="1"/>
    <s v="P402"/>
    <s v="Casual Sneakers"/>
    <x v="5"/>
    <n v="3"/>
    <n v="2199"/>
    <n v="0.3"/>
    <n v="6597"/>
    <n v="1979.1"/>
    <n v="4617.8999999999996"/>
    <n v="1034"/>
    <n v="3102"/>
    <n v="60"/>
    <n v="1455.8999999999996"/>
    <n v="0.31527317611901506"/>
    <x v="1"/>
    <d v="2025-08-01T00:00:00"/>
    <n v="1"/>
    <x v="1"/>
    <n v="5"/>
    <n v="0"/>
  </r>
  <r>
    <s v="ORD-103534"/>
    <x v="573"/>
    <x v="1"/>
    <d v="2025-07-01T00:00:00"/>
    <n v="7"/>
    <s v="CUST-00764"/>
    <x v="1"/>
    <x v="17"/>
    <s v="TN"/>
    <x v="3"/>
    <s v="Coimbatore"/>
    <x v="2"/>
    <s v="P603"/>
    <s v="Smartwatch Strap"/>
    <x v="2"/>
    <n v="1"/>
    <n v="499"/>
    <n v="0.05"/>
    <n v="499"/>
    <n v="24.950000000000003"/>
    <n v="474.05"/>
    <n v="200"/>
    <n v="200"/>
    <n v="60"/>
    <n v="214.05"/>
    <n v="0.45153464824385614"/>
    <x v="0"/>
    <d v="2025-08-04T00:00:00"/>
    <n v="4"/>
    <x v="0"/>
    <n v="4"/>
    <n v="0"/>
  </r>
  <r>
    <s v="ORD-103535"/>
    <x v="573"/>
    <x v="1"/>
    <d v="2025-07-01T00:00:00"/>
    <n v="7"/>
    <s v="CUST-00425"/>
    <x v="1"/>
    <x v="17"/>
    <s v="TN"/>
    <x v="3"/>
    <s v="Chennai"/>
    <x v="2"/>
    <s v="P703"/>
    <s v="Green Tea (100 bags)"/>
    <x v="0"/>
    <n v="4"/>
    <n v="399"/>
    <n v="0.3"/>
    <n v="1596"/>
    <n v="478.79999999999995"/>
    <n v="1117.2"/>
    <n v="128"/>
    <n v="512"/>
    <n v="60"/>
    <n v="545.20000000000005"/>
    <n v="0.4880057286072324"/>
    <x v="0"/>
    <d v="2025-08-03T00:00:00"/>
    <n v="3"/>
    <x v="0"/>
    <m/>
    <n v="0"/>
  </r>
  <r>
    <s v="ORD-103536"/>
    <x v="574"/>
    <x v="1"/>
    <d v="2025-08-01T00:00:00"/>
    <n v="8"/>
    <s v="CUST-01538"/>
    <x v="1"/>
    <x v="6"/>
    <s v="DL"/>
    <x v="0"/>
    <s v="New Delhi"/>
    <x v="0"/>
    <s v="P102"/>
    <s v="Sunscreen SPF 50"/>
    <x v="3"/>
    <n v="3"/>
    <n v="449"/>
    <n v="0.1"/>
    <n v="1347"/>
    <n v="134.70000000000002"/>
    <n v="1212.3"/>
    <n v="144"/>
    <n v="432"/>
    <n v="60"/>
    <n v="720.3"/>
    <n v="0.59415986142044042"/>
    <x v="0"/>
    <d v="2025-08-03T00:00:00"/>
    <n v="2"/>
    <x v="1"/>
    <n v="4"/>
    <n v="0"/>
  </r>
  <r>
    <s v="ORD-103537"/>
    <x v="574"/>
    <x v="1"/>
    <d v="2025-08-01T00:00:00"/>
    <n v="8"/>
    <s v="CUST-00173"/>
    <x v="1"/>
    <x v="16"/>
    <s v="UP"/>
    <x v="0"/>
    <s v="Lucknow"/>
    <x v="2"/>
    <s v="P703"/>
    <s v="Green Tea (100 bags)"/>
    <x v="0"/>
    <n v="2"/>
    <n v="399"/>
    <n v="0.3"/>
    <n v="798"/>
    <n v="239.39999999999998"/>
    <n v="558.6"/>
    <n v="128"/>
    <n v="256"/>
    <n v="60"/>
    <n v="242.60000000000002"/>
    <n v="0.43430003580379523"/>
    <x v="0"/>
    <d v="2025-08-06T00:00:00"/>
    <n v="5"/>
    <x v="2"/>
    <m/>
    <n v="0"/>
  </r>
  <r>
    <s v="ORD-103538"/>
    <x v="574"/>
    <x v="1"/>
    <d v="2025-08-01T00:00:00"/>
    <n v="8"/>
    <s v="CUST-01795"/>
    <x v="1"/>
    <x v="13"/>
    <s v="MP"/>
    <x v="1"/>
    <s v="Bhopal"/>
    <x v="1"/>
    <s v="P403"/>
    <s v="Kolhapuri Sandals"/>
    <x v="5"/>
    <n v="1"/>
    <n v="999"/>
    <n v="0.05"/>
    <n v="999"/>
    <n v="49.95"/>
    <n v="949.05"/>
    <n v="400"/>
    <n v="400"/>
    <n v="60"/>
    <n v="489.04999999999995"/>
    <n v="0.5153047784626732"/>
    <x v="1"/>
    <d v="2025-08-05T00:00:00"/>
    <n v="4"/>
    <x v="0"/>
    <n v="4"/>
    <n v="0"/>
  </r>
  <r>
    <s v="ORD-103539"/>
    <x v="574"/>
    <x v="1"/>
    <d v="2025-08-01T00:00:00"/>
    <n v="8"/>
    <s v="CUST-00504"/>
    <x v="1"/>
    <x v="2"/>
    <s v="MH"/>
    <x v="1"/>
    <s v="Pune"/>
    <x v="2"/>
    <s v="P302"/>
    <s v="Linen Kurta"/>
    <x v="1"/>
    <n v="2"/>
    <n v="1499"/>
    <n v="0.3"/>
    <n v="2998"/>
    <n v="899.4"/>
    <n v="2098.6"/>
    <n v="630"/>
    <n v="1260"/>
    <n v="60"/>
    <n v="778.59999999999991"/>
    <n v="0.3710092442580768"/>
    <x v="0"/>
    <d v="2025-08-04T00:00:00"/>
    <n v="3"/>
    <x v="0"/>
    <n v="4"/>
    <n v="0"/>
  </r>
  <r>
    <s v="ORD-103540"/>
    <x v="574"/>
    <x v="1"/>
    <d v="2025-08-01T00:00:00"/>
    <n v="8"/>
    <s v="CUST-00951"/>
    <x v="0"/>
    <x v="2"/>
    <s v="MH"/>
    <x v="1"/>
    <s v="Pune"/>
    <x v="3"/>
    <s v="P202"/>
    <s v="Argan Shampoo"/>
    <x v="6"/>
    <n v="1"/>
    <n v="449"/>
    <n v="0.1"/>
    <n v="449"/>
    <n v="44.900000000000006"/>
    <n v="404.1"/>
    <n v="148"/>
    <n v="148"/>
    <n v="60"/>
    <n v="196.10000000000002"/>
    <n v="0.48527592180153428"/>
    <x v="0"/>
    <d v="2025-08-04T00:00:00"/>
    <n v="3"/>
    <x v="0"/>
    <n v="5"/>
    <n v="0"/>
  </r>
  <r>
    <s v="ORD-103541"/>
    <x v="575"/>
    <x v="1"/>
    <d v="2025-08-01T00:00:00"/>
    <n v="8"/>
    <s v="CUST-01013"/>
    <x v="1"/>
    <x v="12"/>
    <s v="BR"/>
    <x v="2"/>
    <s v="Patna"/>
    <x v="0"/>
    <s v="P102"/>
    <s v="Sunscreen SPF 50"/>
    <x v="3"/>
    <n v="1"/>
    <n v="449"/>
    <n v="0.1"/>
    <n v="449"/>
    <n v="44.900000000000006"/>
    <n v="404.1"/>
    <n v="144"/>
    <n v="144"/>
    <n v="120"/>
    <n v="140.10000000000002"/>
    <n v="0.34669636228656275"/>
    <x v="3"/>
    <d v="2025-08-07T00:00:00"/>
    <n v="5"/>
    <x v="2"/>
    <n v="4"/>
    <n v="1"/>
  </r>
  <r>
    <s v="ORD-103542"/>
    <x v="575"/>
    <x v="1"/>
    <d v="2025-08-01T00:00:00"/>
    <n v="8"/>
    <s v="CUST-00118"/>
    <x v="1"/>
    <x v="1"/>
    <s v="GJ"/>
    <x v="1"/>
    <s v="Ahmedabad"/>
    <x v="3"/>
    <s v="P203"/>
    <s v="Keratin Hair Mask"/>
    <x v="6"/>
    <n v="1"/>
    <n v="549"/>
    <n v="0.25"/>
    <n v="549"/>
    <n v="137.25"/>
    <n v="411.75"/>
    <n v="170"/>
    <n v="170"/>
    <n v="60"/>
    <n v="181.75"/>
    <n v="0.44140862173649059"/>
    <x v="0"/>
    <d v="2025-08-06T00:00:00"/>
    <n v="4"/>
    <x v="0"/>
    <n v="3"/>
    <n v="0"/>
  </r>
  <r>
    <s v="ORD-103543"/>
    <x v="575"/>
    <x v="1"/>
    <d v="2025-08-01T00:00:00"/>
    <n v="8"/>
    <s v="CUST-00069"/>
    <x v="1"/>
    <x v="1"/>
    <s v="GJ"/>
    <x v="1"/>
    <s v="Surat"/>
    <x v="2"/>
    <s v="P702"/>
    <s v="Whey Protein 1kg"/>
    <x v="0"/>
    <n v="2"/>
    <n v="2299"/>
    <n v="0.25"/>
    <n v="4598"/>
    <n v="1149.5"/>
    <n v="3448.5"/>
    <n v="1333"/>
    <n v="2666"/>
    <n v="60"/>
    <n v="722.5"/>
    <n v="0.20951138176018558"/>
    <x v="2"/>
    <d v="2025-08-05T00:00:00"/>
    <n v="3"/>
    <x v="0"/>
    <m/>
    <n v="0"/>
  </r>
  <r>
    <s v="ORD-103544"/>
    <x v="575"/>
    <x v="1"/>
    <d v="2025-08-01T00:00:00"/>
    <n v="8"/>
    <s v="CUST-00933"/>
    <x v="1"/>
    <x v="1"/>
    <s v="GJ"/>
    <x v="1"/>
    <s v="Surat"/>
    <x v="0"/>
    <s v="P302"/>
    <s v="Linen Kurta"/>
    <x v="1"/>
    <n v="1"/>
    <n v="1499"/>
    <n v="0.3"/>
    <n v="1499"/>
    <n v="449.7"/>
    <n v="1049.3"/>
    <n v="630"/>
    <n v="630"/>
    <n v="60"/>
    <n v="359.29999999999995"/>
    <n v="0.34241875536071664"/>
    <x v="3"/>
    <d v="2025-08-04T00:00:00"/>
    <n v="2"/>
    <x v="1"/>
    <n v="4"/>
    <n v="0"/>
  </r>
  <r>
    <s v="ORD-103545"/>
    <x v="575"/>
    <x v="1"/>
    <d v="2025-08-01T00:00:00"/>
    <n v="8"/>
    <s v="CUST-00435"/>
    <x v="1"/>
    <x v="13"/>
    <s v="MP"/>
    <x v="1"/>
    <s v="Bhopal"/>
    <x v="1"/>
    <s v="P403"/>
    <s v="Kolhapuri Sandals"/>
    <x v="5"/>
    <n v="2"/>
    <n v="999"/>
    <n v="0.05"/>
    <n v="1998"/>
    <n v="99.9"/>
    <n v="1898.1"/>
    <n v="400"/>
    <n v="800"/>
    <n v="60"/>
    <n v="1038.0999999999999"/>
    <n v="0.54691533638902057"/>
    <x v="0"/>
    <d v="2025-08-07T00:00:00"/>
    <n v="5"/>
    <x v="2"/>
    <m/>
    <n v="0"/>
  </r>
  <r>
    <s v="ORD-103546"/>
    <x v="575"/>
    <x v="1"/>
    <d v="2025-08-01T00:00:00"/>
    <n v="8"/>
    <s v="CUST-00319"/>
    <x v="1"/>
    <x v="13"/>
    <s v="MP"/>
    <x v="1"/>
    <s v="Indore"/>
    <x v="2"/>
    <s v="P201"/>
    <s v="Onion Hair Oil"/>
    <x v="6"/>
    <n v="4"/>
    <n v="349"/>
    <n v="0.35"/>
    <n v="1396"/>
    <n v="488.59999999999997"/>
    <n v="907.40000000000009"/>
    <n v="105"/>
    <n v="420"/>
    <n v="60"/>
    <n v="427.40000000000009"/>
    <n v="0.47101608992726479"/>
    <x v="1"/>
    <d v="2025-08-07T00:00:00"/>
    <n v="5"/>
    <x v="2"/>
    <n v="3"/>
    <n v="0"/>
  </r>
  <r>
    <s v="ORD-103547"/>
    <x v="575"/>
    <x v="1"/>
    <d v="2025-08-01T00:00:00"/>
    <n v="8"/>
    <s v="CUST-00163"/>
    <x v="1"/>
    <x v="10"/>
    <s v="CG"/>
    <x v="2"/>
    <s v="Raipur"/>
    <x v="0"/>
    <s v="P202"/>
    <s v="Argan Shampoo"/>
    <x v="6"/>
    <n v="1"/>
    <n v="449"/>
    <n v="0.15"/>
    <n v="449"/>
    <n v="67.349999999999994"/>
    <n v="381.65"/>
    <n v="148"/>
    <n v="148"/>
    <n v="60"/>
    <n v="173.64999999999998"/>
    <n v="0.45499803484868334"/>
    <x v="3"/>
    <d v="2025-08-05T00:00:00"/>
    <n v="3"/>
    <x v="0"/>
    <n v="4"/>
    <n v="0"/>
  </r>
  <r>
    <s v="ORD-103548"/>
    <x v="575"/>
    <x v="1"/>
    <d v="2025-08-01T00:00:00"/>
    <n v="8"/>
    <s v="CUST-02473"/>
    <x v="0"/>
    <x v="18"/>
    <s v="WB"/>
    <x v="2"/>
    <s v="Kolkata"/>
    <x v="3"/>
    <s v="P703"/>
    <s v="Green Tea (100 bags)"/>
    <x v="0"/>
    <n v="1"/>
    <n v="399"/>
    <n v="0.4"/>
    <n v="399"/>
    <n v="159.60000000000002"/>
    <n v="239.39999999999998"/>
    <n v="128"/>
    <n v="128"/>
    <n v="60"/>
    <n v="51.399999999999977"/>
    <n v="0.21470342522974095"/>
    <x v="2"/>
    <d v="2025-08-05T00:00:00"/>
    <n v="3"/>
    <x v="0"/>
    <n v="5"/>
    <n v="0"/>
  </r>
  <r>
    <s v="ORD-103549"/>
    <x v="575"/>
    <x v="1"/>
    <d v="2025-08-01T00:00:00"/>
    <n v="8"/>
    <s v="CUST-02934"/>
    <x v="0"/>
    <x v="18"/>
    <s v="WB"/>
    <x v="2"/>
    <s v="Kolkata"/>
    <x v="0"/>
    <s v="P102"/>
    <s v="Sunscreen SPF 50"/>
    <x v="3"/>
    <n v="1"/>
    <n v="449"/>
    <n v="0"/>
    <n v="449"/>
    <n v="0"/>
    <n v="449"/>
    <n v="144"/>
    <n v="144"/>
    <n v="60"/>
    <n v="245"/>
    <n v="0.54565701559020041"/>
    <x v="0"/>
    <d v="2025-08-04T00:00:00"/>
    <n v="2"/>
    <x v="1"/>
    <m/>
    <n v="0"/>
  </r>
  <r>
    <s v="ORD-103550"/>
    <x v="575"/>
    <x v="1"/>
    <d v="2025-08-01T00:00:00"/>
    <n v="8"/>
    <s v="CUST-00699"/>
    <x v="1"/>
    <x v="2"/>
    <s v="MH"/>
    <x v="1"/>
    <s v="Pune"/>
    <x v="0"/>
    <s v="P603"/>
    <s v="Smartwatch Strap"/>
    <x v="2"/>
    <n v="1"/>
    <n v="499"/>
    <n v="0.2"/>
    <n v="499"/>
    <n v="99.800000000000011"/>
    <n v="399.2"/>
    <n v="200"/>
    <n v="200"/>
    <n v="60"/>
    <n v="139.19999999999999"/>
    <n v="0.34869739478957912"/>
    <x v="4"/>
    <d v="2025-08-06T00:00:00"/>
    <n v="4"/>
    <x v="0"/>
    <n v="4"/>
    <n v="0"/>
  </r>
  <r>
    <s v="ORD-103551"/>
    <x v="575"/>
    <x v="1"/>
    <d v="2025-08-01T00:00:00"/>
    <n v="8"/>
    <s v="CUST-02478"/>
    <x v="1"/>
    <x v="21"/>
    <s v="TG"/>
    <x v="3"/>
    <s v="Hyderabad"/>
    <x v="4"/>
    <s v="P402"/>
    <s v="Casual Sneakers"/>
    <x v="5"/>
    <n v="1"/>
    <n v="2199"/>
    <n v="0.2"/>
    <n v="2199"/>
    <n v="439.8"/>
    <n v="1759.2"/>
    <n v="1034"/>
    <n v="1034"/>
    <n v="60"/>
    <n v="665.2"/>
    <n v="0.37812642110050027"/>
    <x v="3"/>
    <d v="2025-08-04T00:00:00"/>
    <n v="2"/>
    <x v="1"/>
    <n v="4"/>
    <n v="0"/>
  </r>
  <r>
    <s v="ORD-103552"/>
    <x v="575"/>
    <x v="1"/>
    <d v="2025-08-01T00:00:00"/>
    <n v="8"/>
    <s v="CUST-01933"/>
    <x v="1"/>
    <x v="21"/>
    <s v="TG"/>
    <x v="3"/>
    <s v="Hyderabad"/>
    <x v="3"/>
    <s v="P702"/>
    <s v="Whey Protein 1kg"/>
    <x v="0"/>
    <n v="3"/>
    <n v="2299"/>
    <n v="0.45"/>
    <n v="6897"/>
    <n v="3103.65"/>
    <n v="3793.35"/>
    <n v="1333"/>
    <n v="3999"/>
    <n v="60"/>
    <n v="-265.65000000000009"/>
    <n v="-7.0030448020878669E-2"/>
    <x v="1"/>
    <d v="2025-08-03T00:00:00"/>
    <n v="1"/>
    <x v="1"/>
    <n v="4"/>
    <n v="0"/>
  </r>
  <r>
    <s v="ORD-103553"/>
    <x v="575"/>
    <x v="1"/>
    <d v="2025-08-01T00:00:00"/>
    <n v="8"/>
    <s v="CUST-02465"/>
    <x v="0"/>
    <x v="11"/>
    <s v="KA"/>
    <x v="3"/>
    <s v="Bengaluru"/>
    <x v="4"/>
    <s v="P101"/>
    <s v="Vitamin C Face Serum"/>
    <x v="3"/>
    <n v="1"/>
    <n v="599"/>
    <n v="0.15"/>
    <n v="599"/>
    <n v="89.85"/>
    <n v="509.15"/>
    <n v="180"/>
    <n v="180"/>
    <n v="120"/>
    <n v="209.14999999999998"/>
    <n v="0.41078267701070409"/>
    <x v="0"/>
    <d v="2025-08-04T00:00:00"/>
    <n v="2"/>
    <x v="1"/>
    <n v="4"/>
    <n v="1"/>
  </r>
  <r>
    <s v="ORD-103554"/>
    <x v="575"/>
    <x v="1"/>
    <d v="2025-08-01T00:00:00"/>
    <n v="8"/>
    <s v="CUST-01749"/>
    <x v="0"/>
    <x v="8"/>
    <s v="AP"/>
    <x v="3"/>
    <s v="Visakhapatnam"/>
    <x v="3"/>
    <s v="P101"/>
    <s v="Vitamin C Face Serum"/>
    <x v="3"/>
    <n v="1"/>
    <n v="599"/>
    <n v="0.25"/>
    <n v="599"/>
    <n v="149.75"/>
    <n v="449.25"/>
    <n v="180"/>
    <n v="180"/>
    <n v="60"/>
    <n v="209.25"/>
    <n v="0.46577629382303842"/>
    <x v="2"/>
    <d v="2025-08-07T00:00:00"/>
    <n v="5"/>
    <x v="2"/>
    <n v="2"/>
    <n v="0"/>
  </r>
  <r>
    <s v="ORD-103555"/>
    <x v="575"/>
    <x v="1"/>
    <d v="2025-08-01T00:00:00"/>
    <n v="8"/>
    <s v="CUST-00889"/>
    <x v="1"/>
    <x v="14"/>
    <s v="KL"/>
    <x v="3"/>
    <s v="Thiruvananthapuram"/>
    <x v="2"/>
    <s v="P504"/>
    <s v="Cotton Bedsheet"/>
    <x v="4"/>
    <n v="1"/>
    <n v="1299"/>
    <n v="0"/>
    <n v="1299"/>
    <n v="0"/>
    <n v="1299"/>
    <n v="585"/>
    <n v="585"/>
    <n v="60"/>
    <n v="654"/>
    <n v="0.50346420323325636"/>
    <x v="3"/>
    <d v="2025-08-06T00:00:00"/>
    <n v="4"/>
    <x v="0"/>
    <n v="4"/>
    <n v="0"/>
  </r>
  <r>
    <s v="ORD-103556"/>
    <x v="575"/>
    <x v="1"/>
    <d v="2025-08-01T00:00:00"/>
    <n v="8"/>
    <s v="CUST-00255"/>
    <x v="0"/>
    <x v="17"/>
    <s v="TN"/>
    <x v="3"/>
    <s v="Chennai"/>
    <x v="0"/>
    <s v="P301"/>
    <s v="Cotton Oversized T-Shirt"/>
    <x v="1"/>
    <n v="1"/>
    <n v="799"/>
    <n v="0"/>
    <n v="799"/>
    <n v="0"/>
    <n v="799"/>
    <n v="320"/>
    <n v="320"/>
    <n v="60"/>
    <n v="419"/>
    <n v="0.52440550688360454"/>
    <x v="0"/>
    <d v="2025-08-04T00:00:00"/>
    <n v="2"/>
    <x v="1"/>
    <m/>
    <n v="0"/>
  </r>
  <r>
    <s v="ORD-103557"/>
    <x v="576"/>
    <x v="1"/>
    <d v="2025-08-01T00:00:00"/>
    <n v="8"/>
    <s v="CUST-01370"/>
    <x v="1"/>
    <x v="1"/>
    <s v="GJ"/>
    <x v="1"/>
    <s v="Surat"/>
    <x v="0"/>
    <s v="P704"/>
    <s v="Multivitamin Gummies"/>
    <x v="0"/>
    <n v="1"/>
    <n v="699"/>
    <n v="0.2"/>
    <n v="699"/>
    <n v="139.80000000000001"/>
    <n v="559.20000000000005"/>
    <n v="238"/>
    <n v="238"/>
    <n v="60"/>
    <n v="261.20000000000005"/>
    <n v="0.46709585121602293"/>
    <x v="3"/>
    <d v="2025-08-06T00:00:00"/>
    <n v="3"/>
    <x v="0"/>
    <n v="5"/>
    <n v="0"/>
  </r>
  <r>
    <s v="ORD-103558"/>
    <x v="576"/>
    <x v="1"/>
    <d v="2025-08-01T00:00:00"/>
    <n v="8"/>
    <s v="CUST-02930"/>
    <x v="1"/>
    <x v="13"/>
    <s v="MP"/>
    <x v="1"/>
    <s v="Bhopal"/>
    <x v="2"/>
    <s v="P404"/>
    <s v="Flip Flops"/>
    <x v="5"/>
    <n v="1"/>
    <n v="399"/>
    <n v="0.15"/>
    <n v="399"/>
    <n v="59.849999999999994"/>
    <n v="339.15"/>
    <n v="152"/>
    <n v="152"/>
    <n v="60"/>
    <n v="127.14999999999998"/>
    <n v="0.37490785787999409"/>
    <x v="0"/>
    <d v="2025-08-07T00:00:00"/>
    <n v="4"/>
    <x v="0"/>
    <m/>
    <n v="0"/>
  </r>
  <r>
    <s v="ORD-103559"/>
    <x v="576"/>
    <x v="1"/>
    <d v="2025-08-01T00:00:00"/>
    <n v="8"/>
    <s v="CUST-00336"/>
    <x v="1"/>
    <x v="7"/>
    <s v="JH"/>
    <x v="2"/>
    <s v="Ranchi"/>
    <x v="1"/>
    <s v="P401"/>
    <s v="Running Shoes"/>
    <x v="5"/>
    <n v="1"/>
    <n v="2999"/>
    <n v="0.15"/>
    <n v="2999"/>
    <n v="449.84999999999997"/>
    <n v="2549.15"/>
    <n v="1440"/>
    <n v="1440"/>
    <n v="60"/>
    <n v="1049.1500000000001"/>
    <n v="0.41156856206970954"/>
    <x v="0"/>
    <d v="2025-08-07T00:00:00"/>
    <n v="4"/>
    <x v="0"/>
    <n v="3"/>
    <n v="0"/>
  </r>
  <r>
    <s v="ORD-103560"/>
    <x v="576"/>
    <x v="1"/>
    <d v="2025-08-01T00:00:00"/>
    <n v="8"/>
    <s v="CUST-01016"/>
    <x v="1"/>
    <x v="18"/>
    <s v="WB"/>
    <x v="2"/>
    <s v="Kolkata"/>
    <x v="2"/>
    <s v="P701"/>
    <s v="Ashwagandha Capsules"/>
    <x v="0"/>
    <n v="1"/>
    <n v="499"/>
    <n v="0"/>
    <n v="499"/>
    <n v="0"/>
    <n v="499"/>
    <n v="150"/>
    <n v="150"/>
    <n v="60"/>
    <n v="289"/>
    <n v="0.57915831663326656"/>
    <x v="1"/>
    <d v="2025-08-09T00:00:00"/>
    <n v="6"/>
    <x v="2"/>
    <m/>
    <n v="0"/>
  </r>
  <r>
    <s v="ORD-103561"/>
    <x v="576"/>
    <x v="1"/>
    <d v="2025-08-01T00:00:00"/>
    <n v="8"/>
    <s v="CUST-02298"/>
    <x v="0"/>
    <x v="18"/>
    <s v="WB"/>
    <x v="2"/>
    <s v="Kolkata"/>
    <x v="4"/>
    <s v="P202"/>
    <s v="Argan Shampoo"/>
    <x v="6"/>
    <n v="2"/>
    <n v="449"/>
    <n v="0.15"/>
    <n v="898"/>
    <n v="134.69999999999999"/>
    <n v="763.3"/>
    <n v="148"/>
    <n v="296"/>
    <n v="60"/>
    <n v="407.29999999999995"/>
    <n v="0.53360408751473865"/>
    <x v="0"/>
    <d v="2025-08-05T00:00:00"/>
    <n v="2"/>
    <x v="1"/>
    <m/>
    <n v="0"/>
  </r>
  <r>
    <s v="ORD-103562"/>
    <x v="576"/>
    <x v="1"/>
    <d v="2025-08-01T00:00:00"/>
    <n v="8"/>
    <s v="CUST-01499"/>
    <x v="1"/>
    <x v="2"/>
    <s v="MH"/>
    <x v="1"/>
    <s v="Pune"/>
    <x v="1"/>
    <s v="P301"/>
    <s v="Cotton Oversized T-Shirt"/>
    <x v="1"/>
    <n v="1"/>
    <n v="799"/>
    <n v="0.05"/>
    <n v="799"/>
    <n v="39.950000000000003"/>
    <n v="759.05"/>
    <n v="320"/>
    <n v="320"/>
    <n v="60"/>
    <n v="379.04999999999995"/>
    <n v="0.49937421777221525"/>
    <x v="0"/>
    <d v="2025-08-04T00:00:00"/>
    <n v="1"/>
    <x v="1"/>
    <n v="5"/>
    <n v="0"/>
  </r>
  <r>
    <s v="ORD-103563"/>
    <x v="576"/>
    <x v="1"/>
    <d v="2025-08-01T00:00:00"/>
    <n v="8"/>
    <s v="CUST-02644"/>
    <x v="1"/>
    <x v="11"/>
    <s v="KA"/>
    <x v="3"/>
    <s v="Bengaluru"/>
    <x v="2"/>
    <s v="P504"/>
    <s v="Cotton Bedsheet"/>
    <x v="4"/>
    <n v="1"/>
    <n v="1299"/>
    <n v="0.05"/>
    <n v="1299"/>
    <n v="64.95"/>
    <n v="1234.05"/>
    <n v="585"/>
    <n v="585"/>
    <n v="60"/>
    <n v="589.04999999999995"/>
    <n v="0.47733074024553296"/>
    <x v="3"/>
    <d v="2025-08-05T00:00:00"/>
    <n v="2"/>
    <x v="1"/>
    <n v="5"/>
    <n v="0"/>
  </r>
  <r>
    <s v="ORD-103564"/>
    <x v="577"/>
    <x v="1"/>
    <d v="2025-08-01T00:00:00"/>
    <n v="8"/>
    <s v="CUST-00857"/>
    <x v="1"/>
    <x v="0"/>
    <s v="RJ"/>
    <x v="0"/>
    <s v="Udaipur"/>
    <x v="1"/>
    <s v="P404"/>
    <s v="Flip Flops"/>
    <x v="5"/>
    <n v="1"/>
    <n v="399"/>
    <n v="0.05"/>
    <n v="399"/>
    <n v="19.950000000000003"/>
    <n v="379.05"/>
    <n v="152"/>
    <n v="152"/>
    <n v="60"/>
    <n v="167.05"/>
    <n v="0.44070703073473161"/>
    <x v="0"/>
    <d v="2025-08-09T00:00:00"/>
    <n v="5"/>
    <x v="2"/>
    <m/>
    <n v="0"/>
  </r>
  <r>
    <s v="ORD-103565"/>
    <x v="577"/>
    <x v="1"/>
    <d v="2025-08-01T00:00:00"/>
    <n v="8"/>
    <s v="CUST-00309"/>
    <x v="1"/>
    <x v="15"/>
    <s v="HR"/>
    <x v="0"/>
    <s v="Faridabad"/>
    <x v="1"/>
    <s v="P301"/>
    <s v="Cotton Oversized T-Shirt"/>
    <x v="1"/>
    <n v="2"/>
    <n v="799"/>
    <n v="0.05"/>
    <n v="1598"/>
    <n v="79.900000000000006"/>
    <n v="1518.1"/>
    <n v="320"/>
    <n v="640"/>
    <n v="60"/>
    <n v="818.09999999999991"/>
    <n v="0.5388973058428298"/>
    <x v="3"/>
    <d v="2025-08-07T00:00:00"/>
    <n v="3"/>
    <x v="0"/>
    <n v="5"/>
    <n v="0"/>
  </r>
  <r>
    <s v="ORD-103566"/>
    <x v="577"/>
    <x v="1"/>
    <d v="2025-08-01T00:00:00"/>
    <n v="8"/>
    <s v="CUST-02380"/>
    <x v="0"/>
    <x v="18"/>
    <s v="WB"/>
    <x v="2"/>
    <s v="Kolkata"/>
    <x v="0"/>
    <s v="P404"/>
    <s v="Flip Flops"/>
    <x v="5"/>
    <n v="1"/>
    <n v="399"/>
    <n v="0.05"/>
    <n v="399"/>
    <n v="19.950000000000003"/>
    <n v="379.05"/>
    <n v="152"/>
    <n v="152"/>
    <n v="60"/>
    <n v="167.05"/>
    <n v="0.44070703073473161"/>
    <x v="1"/>
    <d v="2025-08-07T00:00:00"/>
    <n v="3"/>
    <x v="0"/>
    <n v="3"/>
    <n v="0"/>
  </r>
  <r>
    <s v="ORD-103567"/>
    <x v="577"/>
    <x v="1"/>
    <d v="2025-08-01T00:00:00"/>
    <n v="8"/>
    <s v="CUST-01182"/>
    <x v="1"/>
    <x v="21"/>
    <s v="TG"/>
    <x v="3"/>
    <s v="Hyderabad"/>
    <x v="3"/>
    <s v="P105"/>
    <s v="Retinol Night Cream"/>
    <x v="3"/>
    <n v="1"/>
    <n v="799"/>
    <n v="0"/>
    <n v="799"/>
    <n v="0"/>
    <n v="799"/>
    <n v="216"/>
    <n v="216"/>
    <n v="60"/>
    <n v="523"/>
    <n v="0.65456821026282852"/>
    <x v="0"/>
    <d v="2025-08-07T00:00:00"/>
    <n v="3"/>
    <x v="0"/>
    <n v="5"/>
    <n v="0"/>
  </r>
  <r>
    <s v="ORD-103568"/>
    <x v="577"/>
    <x v="1"/>
    <d v="2025-08-01T00:00:00"/>
    <n v="8"/>
    <s v="CUST-01141"/>
    <x v="1"/>
    <x v="3"/>
    <s v="OD"/>
    <x v="2"/>
    <s v="Bhubaneswar"/>
    <x v="0"/>
    <s v="P103"/>
    <s v="Niacinamide Toner"/>
    <x v="3"/>
    <n v="1"/>
    <n v="399"/>
    <n v="0.15"/>
    <n v="399"/>
    <n v="59.849999999999994"/>
    <n v="339.15"/>
    <n v="112"/>
    <n v="112"/>
    <n v="60"/>
    <n v="167.14999999999998"/>
    <n v="0.49284977148754233"/>
    <x v="1"/>
    <d v="2025-08-08T00:00:00"/>
    <n v="4"/>
    <x v="0"/>
    <m/>
    <n v="0"/>
  </r>
  <r>
    <s v="ORD-103569"/>
    <x v="578"/>
    <x v="1"/>
    <d v="2025-08-01T00:00:00"/>
    <n v="8"/>
    <s v="CUST-00844"/>
    <x v="1"/>
    <x v="19"/>
    <s v="PB"/>
    <x v="0"/>
    <s v="Ludhiana"/>
    <x v="0"/>
    <s v="P504"/>
    <s v="Cotton Bedsheet"/>
    <x v="4"/>
    <n v="2"/>
    <n v="1299"/>
    <n v="0"/>
    <n v="2598"/>
    <n v="0"/>
    <n v="2598"/>
    <n v="585"/>
    <n v="1170"/>
    <n v="60"/>
    <n v="1368"/>
    <n v="0.52655889145496537"/>
    <x v="3"/>
    <d v="2025-08-08T00:00:00"/>
    <n v="3"/>
    <x v="0"/>
    <m/>
    <n v="0"/>
  </r>
  <r>
    <s v="ORD-103570"/>
    <x v="578"/>
    <x v="1"/>
    <d v="2025-08-01T00:00:00"/>
    <n v="8"/>
    <s v="CUST-00442"/>
    <x v="1"/>
    <x v="15"/>
    <s v="HR"/>
    <x v="0"/>
    <s v="Faridabad"/>
    <x v="2"/>
    <s v="P104"/>
    <s v="Hydrating Face Wash"/>
    <x v="3"/>
    <n v="1"/>
    <n v="299"/>
    <n v="0"/>
    <n v="299"/>
    <n v="0"/>
    <n v="299"/>
    <n v="90"/>
    <n v="90"/>
    <n v="60"/>
    <n v="149"/>
    <n v="0.49832775919732442"/>
    <x v="4"/>
    <d v="2025-08-08T00:00:00"/>
    <n v="3"/>
    <x v="0"/>
    <n v="4"/>
    <n v="0"/>
  </r>
  <r>
    <s v="ORD-103571"/>
    <x v="578"/>
    <x v="1"/>
    <d v="2025-08-01T00:00:00"/>
    <n v="8"/>
    <s v="CUST-00557"/>
    <x v="1"/>
    <x v="2"/>
    <s v="MH"/>
    <x v="1"/>
    <s v="Mumbai"/>
    <x v="0"/>
    <s v="P104"/>
    <s v="Hydrating Face Wash"/>
    <x v="3"/>
    <n v="2"/>
    <n v="299"/>
    <n v="0.1"/>
    <n v="598"/>
    <n v="59.800000000000004"/>
    <n v="538.20000000000005"/>
    <n v="90"/>
    <n v="180"/>
    <n v="60"/>
    <n v="298.20000000000005"/>
    <n v="0.55406911928651059"/>
    <x v="0"/>
    <d v="2025-08-06T00:00:00"/>
    <n v="1"/>
    <x v="1"/>
    <m/>
    <n v="0"/>
  </r>
  <r>
    <s v="ORD-103572"/>
    <x v="578"/>
    <x v="1"/>
    <d v="2025-08-01T00:00:00"/>
    <n v="8"/>
    <s v="CUST-00110"/>
    <x v="1"/>
    <x v="2"/>
    <s v="MH"/>
    <x v="1"/>
    <s v="Mumbai"/>
    <x v="4"/>
    <s v="P105"/>
    <s v="Retinol Night Cream"/>
    <x v="3"/>
    <n v="4"/>
    <n v="799"/>
    <n v="0.05"/>
    <n v="3196"/>
    <n v="159.80000000000001"/>
    <n v="3036.2"/>
    <n v="216"/>
    <n v="864"/>
    <n v="60"/>
    <n v="2112.1999999999998"/>
    <n v="0.69567222185626765"/>
    <x v="0"/>
    <d v="2025-08-06T00:00:00"/>
    <n v="1"/>
    <x v="1"/>
    <m/>
    <n v="0"/>
  </r>
  <r>
    <s v="ORD-103573"/>
    <x v="578"/>
    <x v="1"/>
    <d v="2025-08-01T00:00:00"/>
    <n v="8"/>
    <s v="CUST-00393"/>
    <x v="1"/>
    <x v="2"/>
    <s v="MH"/>
    <x v="1"/>
    <s v="Pune"/>
    <x v="2"/>
    <s v="P703"/>
    <s v="Green Tea (100 bags)"/>
    <x v="0"/>
    <n v="2"/>
    <n v="399"/>
    <n v="0.4"/>
    <n v="798"/>
    <n v="319.20000000000005"/>
    <n v="478.79999999999995"/>
    <n v="128"/>
    <n v="256"/>
    <n v="60"/>
    <n v="162.79999999999995"/>
    <n v="0.34001670843776099"/>
    <x v="0"/>
    <d v="2025-08-08T00:00:00"/>
    <n v="3"/>
    <x v="0"/>
    <m/>
    <n v="0"/>
  </r>
  <r>
    <s v="ORD-103574"/>
    <x v="578"/>
    <x v="1"/>
    <d v="2025-08-01T00:00:00"/>
    <n v="8"/>
    <s v="CUST-01160"/>
    <x v="1"/>
    <x v="14"/>
    <s v="KL"/>
    <x v="3"/>
    <s v="Thiruvananthapuram"/>
    <x v="1"/>
    <s v="P303"/>
    <s v="Joggers"/>
    <x v="1"/>
    <n v="1"/>
    <n v="1199"/>
    <n v="0.05"/>
    <n v="1199"/>
    <n v="59.95"/>
    <n v="1139.05"/>
    <n v="492"/>
    <n v="492"/>
    <n v="60"/>
    <n v="587.04999999999995"/>
    <n v="0.51538562837452262"/>
    <x v="2"/>
    <d v="2025-08-07T00:00:00"/>
    <n v="2"/>
    <x v="1"/>
    <n v="4"/>
    <n v="0"/>
  </r>
  <r>
    <s v="ORD-103575"/>
    <x v="578"/>
    <x v="1"/>
    <d v="2025-08-01T00:00:00"/>
    <n v="8"/>
    <s v="CUST-01016"/>
    <x v="1"/>
    <x v="17"/>
    <s v="TN"/>
    <x v="3"/>
    <s v="Coimbatore"/>
    <x v="1"/>
    <s v="P301"/>
    <s v="Cotton Oversized T-Shirt"/>
    <x v="1"/>
    <n v="1"/>
    <n v="799"/>
    <n v="0"/>
    <n v="799"/>
    <n v="0"/>
    <n v="799"/>
    <n v="320"/>
    <n v="320"/>
    <n v="60"/>
    <n v="419"/>
    <n v="0.52440550688360454"/>
    <x v="1"/>
    <d v="2025-08-06T00:00:00"/>
    <n v="1"/>
    <x v="1"/>
    <n v="3"/>
    <n v="0"/>
  </r>
  <r>
    <s v="ORD-103576"/>
    <x v="579"/>
    <x v="1"/>
    <d v="2025-08-01T00:00:00"/>
    <n v="8"/>
    <s v="CUST-00743"/>
    <x v="0"/>
    <x v="16"/>
    <s v="UP"/>
    <x v="0"/>
    <s v="Kanpur"/>
    <x v="0"/>
    <s v="P603"/>
    <s v="Smartwatch Strap"/>
    <x v="2"/>
    <n v="1"/>
    <n v="499"/>
    <n v="0.1"/>
    <n v="499"/>
    <n v="49.900000000000006"/>
    <n v="449.1"/>
    <n v="200"/>
    <n v="200"/>
    <n v="120"/>
    <n v="129.10000000000002"/>
    <n v="0.28746381652193281"/>
    <x v="0"/>
    <d v="2025-08-10T00:00:00"/>
    <n v="4"/>
    <x v="0"/>
    <m/>
    <n v="1"/>
  </r>
  <r>
    <s v="ORD-103577"/>
    <x v="579"/>
    <x v="1"/>
    <d v="2025-08-01T00:00:00"/>
    <n v="8"/>
    <s v="CUST-00800"/>
    <x v="1"/>
    <x v="2"/>
    <s v="MH"/>
    <x v="1"/>
    <s v="Pune"/>
    <x v="4"/>
    <s v="P503"/>
    <s v="Scented Candle Set"/>
    <x v="4"/>
    <n v="1"/>
    <n v="699"/>
    <n v="0.25"/>
    <n v="699"/>
    <n v="174.75"/>
    <n v="524.25"/>
    <n v="245"/>
    <n v="245"/>
    <n v="120"/>
    <n v="159.25"/>
    <n v="0.30376728659990465"/>
    <x v="0"/>
    <d v="2025-08-08T00:00:00"/>
    <n v="2"/>
    <x v="1"/>
    <m/>
    <n v="1"/>
  </r>
  <r>
    <s v="ORD-103578"/>
    <x v="579"/>
    <x v="1"/>
    <d v="2025-08-01T00:00:00"/>
    <n v="8"/>
    <s v="CUST-00889"/>
    <x v="1"/>
    <x v="11"/>
    <s v="KA"/>
    <x v="3"/>
    <s v="Bengaluru"/>
    <x v="0"/>
    <s v="P203"/>
    <s v="Keratin Hair Mask"/>
    <x v="6"/>
    <n v="1"/>
    <n v="549"/>
    <n v="0.15"/>
    <n v="549"/>
    <n v="82.35"/>
    <n v="466.65"/>
    <n v="170"/>
    <n v="170"/>
    <n v="120"/>
    <n v="176.64999999999998"/>
    <n v="0.3785492339012107"/>
    <x v="0"/>
    <d v="2025-08-08T00:00:00"/>
    <n v="2"/>
    <x v="1"/>
    <n v="4"/>
    <n v="1"/>
  </r>
  <r>
    <s v="ORD-103579"/>
    <x v="579"/>
    <x v="1"/>
    <d v="2025-08-01T00:00:00"/>
    <n v="8"/>
    <s v="CUST-01860"/>
    <x v="1"/>
    <x v="11"/>
    <s v="KA"/>
    <x v="3"/>
    <s v="Mysuru"/>
    <x v="0"/>
    <s v="P701"/>
    <s v="Ashwagandha Capsules"/>
    <x v="0"/>
    <n v="1"/>
    <n v="499"/>
    <n v="0"/>
    <n v="499"/>
    <n v="0"/>
    <n v="499"/>
    <n v="150"/>
    <n v="150"/>
    <n v="60"/>
    <n v="289"/>
    <n v="0.57915831663326656"/>
    <x v="1"/>
    <d v="2025-08-09T00:00:00"/>
    <n v="3"/>
    <x v="0"/>
    <n v="5"/>
    <n v="0"/>
  </r>
  <r>
    <s v="ORD-103580"/>
    <x v="579"/>
    <x v="1"/>
    <d v="2025-08-01T00:00:00"/>
    <n v="8"/>
    <s v="CUST-00310"/>
    <x v="1"/>
    <x v="14"/>
    <s v="KL"/>
    <x v="3"/>
    <s v="Thiruvananthapuram"/>
    <x v="2"/>
    <s v="P703"/>
    <s v="Green Tea (100 bags)"/>
    <x v="0"/>
    <n v="5"/>
    <n v="399"/>
    <n v="0.3"/>
    <n v="1995"/>
    <n v="598.5"/>
    <n v="1396.5"/>
    <n v="128"/>
    <n v="640"/>
    <n v="60"/>
    <n v="696.5"/>
    <n v="0.49874686716791977"/>
    <x v="0"/>
    <d v="2025-08-11T00:00:00"/>
    <n v="5"/>
    <x v="2"/>
    <m/>
    <n v="0"/>
  </r>
  <r>
    <s v="ORD-103581"/>
    <x v="579"/>
    <x v="1"/>
    <d v="2025-08-01T00:00:00"/>
    <n v="8"/>
    <s v="CUST-00516"/>
    <x v="1"/>
    <x v="14"/>
    <s v="KL"/>
    <x v="3"/>
    <s v="Thiruvananthapuram"/>
    <x v="0"/>
    <s v="P302"/>
    <s v="Linen Kurta"/>
    <x v="1"/>
    <n v="1"/>
    <n v="1499"/>
    <n v="0.35"/>
    <n v="1499"/>
    <n v="524.65"/>
    <n v="974.35"/>
    <n v="630"/>
    <n v="630"/>
    <n v="120"/>
    <n v="224.35000000000002"/>
    <n v="0.23025606814799612"/>
    <x v="1"/>
    <d v="2025-08-12T00:00:00"/>
    <n v="6"/>
    <x v="2"/>
    <n v="3"/>
    <n v="1"/>
  </r>
  <r>
    <s v="ORD-103582"/>
    <x v="580"/>
    <x v="1"/>
    <d v="2025-08-01T00:00:00"/>
    <n v="8"/>
    <s v="CUST-00637"/>
    <x v="1"/>
    <x v="16"/>
    <s v="UP"/>
    <x v="0"/>
    <s v="Kanpur"/>
    <x v="0"/>
    <s v="P204"/>
    <s v="Anti-Dandruff Conditioner"/>
    <x v="6"/>
    <n v="2"/>
    <n v="399"/>
    <n v="0.35"/>
    <n v="798"/>
    <n v="279.29999999999995"/>
    <n v="518.70000000000005"/>
    <n v="136"/>
    <n v="272"/>
    <n v="60"/>
    <n v="186.70000000000005"/>
    <n v="0.35993830730672843"/>
    <x v="1"/>
    <d v="2025-08-09T00:00:00"/>
    <n v="2"/>
    <x v="1"/>
    <n v="4"/>
    <n v="0"/>
  </r>
  <r>
    <s v="ORD-103583"/>
    <x v="580"/>
    <x v="1"/>
    <d v="2025-08-01T00:00:00"/>
    <n v="8"/>
    <s v="CUST-00879"/>
    <x v="1"/>
    <x v="12"/>
    <s v="BR"/>
    <x v="2"/>
    <s v="Patna"/>
    <x v="0"/>
    <s v="P501"/>
    <s v="Copper Water Bottle"/>
    <x v="4"/>
    <n v="1"/>
    <n v="899"/>
    <n v="0.15"/>
    <n v="899"/>
    <n v="134.85"/>
    <n v="764.15"/>
    <n v="378"/>
    <n v="378"/>
    <n v="60"/>
    <n v="326.14999999999998"/>
    <n v="0.42681410717791007"/>
    <x v="1"/>
    <d v="2025-08-11T00:00:00"/>
    <n v="4"/>
    <x v="0"/>
    <n v="4"/>
    <n v="0"/>
  </r>
  <r>
    <s v="ORD-103584"/>
    <x v="580"/>
    <x v="1"/>
    <d v="2025-08-01T00:00:00"/>
    <n v="8"/>
    <s v="CUST-00270"/>
    <x v="0"/>
    <x v="18"/>
    <s v="WB"/>
    <x v="2"/>
    <s v="Kolkata"/>
    <x v="1"/>
    <s v="P404"/>
    <s v="Flip Flops"/>
    <x v="5"/>
    <n v="2"/>
    <n v="399"/>
    <n v="0.1"/>
    <n v="798"/>
    <n v="79.800000000000011"/>
    <n v="718.2"/>
    <n v="152"/>
    <n v="304"/>
    <n v="60"/>
    <n v="354.20000000000005"/>
    <n v="0.49317738791423005"/>
    <x v="1"/>
    <d v="2025-08-10T00:00:00"/>
    <n v="3"/>
    <x v="0"/>
    <n v="5"/>
    <n v="0"/>
  </r>
  <r>
    <s v="ORD-103585"/>
    <x v="580"/>
    <x v="1"/>
    <d v="2025-08-01T00:00:00"/>
    <n v="8"/>
    <s v="CUST-03019"/>
    <x v="0"/>
    <x v="8"/>
    <s v="AP"/>
    <x v="3"/>
    <s v="Vijayawada"/>
    <x v="2"/>
    <s v="P603"/>
    <s v="Smartwatch Strap"/>
    <x v="2"/>
    <n v="1"/>
    <n v="499"/>
    <n v="0.1"/>
    <n v="499"/>
    <n v="49.900000000000006"/>
    <n v="449.1"/>
    <n v="200"/>
    <n v="200"/>
    <n v="60"/>
    <n v="189.10000000000002"/>
    <n v="0.42106435092407041"/>
    <x v="1"/>
    <d v="2025-08-12T00:00:00"/>
    <n v="5"/>
    <x v="2"/>
    <n v="2"/>
    <n v="0"/>
  </r>
  <r>
    <s v="ORD-103586"/>
    <x v="580"/>
    <x v="1"/>
    <d v="2025-08-01T00:00:00"/>
    <n v="8"/>
    <s v="CUST-00825"/>
    <x v="1"/>
    <x v="17"/>
    <s v="TN"/>
    <x v="3"/>
    <s v="Coimbatore"/>
    <x v="1"/>
    <s v="P301"/>
    <s v="Cotton Oversized T-Shirt"/>
    <x v="1"/>
    <n v="1"/>
    <n v="799"/>
    <n v="0"/>
    <n v="799"/>
    <n v="0"/>
    <n v="799"/>
    <n v="320"/>
    <n v="320"/>
    <n v="60"/>
    <n v="419"/>
    <n v="0.52440550688360454"/>
    <x v="1"/>
    <d v="2025-08-10T00:00:00"/>
    <n v="3"/>
    <x v="0"/>
    <n v="4"/>
    <n v="0"/>
  </r>
  <r>
    <s v="ORD-103587"/>
    <x v="581"/>
    <x v="1"/>
    <d v="2025-08-01T00:00:00"/>
    <n v="8"/>
    <s v="CUST-00497"/>
    <x v="1"/>
    <x v="0"/>
    <s v="RJ"/>
    <x v="0"/>
    <s v="Udaipur"/>
    <x v="0"/>
    <s v="P201"/>
    <s v="Onion Hair Oil"/>
    <x v="6"/>
    <n v="1"/>
    <n v="349"/>
    <n v="0.25"/>
    <n v="349"/>
    <n v="87.25"/>
    <n v="261.75"/>
    <n v="105"/>
    <n v="105"/>
    <n v="120"/>
    <n v="36.75"/>
    <n v="0.14040114613180515"/>
    <x v="0"/>
    <d v="2025-08-13T00:00:00"/>
    <n v="5"/>
    <x v="2"/>
    <m/>
    <n v="1"/>
  </r>
  <r>
    <s v="ORD-103588"/>
    <x v="581"/>
    <x v="1"/>
    <d v="2025-08-01T00:00:00"/>
    <n v="8"/>
    <s v="CUST-00074"/>
    <x v="1"/>
    <x v="15"/>
    <s v="HR"/>
    <x v="0"/>
    <s v="Gurugram"/>
    <x v="0"/>
    <s v="P204"/>
    <s v="Anti-Dandruff Conditioner"/>
    <x v="6"/>
    <n v="1"/>
    <n v="399"/>
    <n v="0.45"/>
    <n v="399"/>
    <n v="179.55"/>
    <n v="219.45"/>
    <n v="136"/>
    <n v="136"/>
    <n v="60"/>
    <n v="23.449999999999989"/>
    <n v="0.10685805422647524"/>
    <x v="3"/>
    <d v="2025-08-09T00:00:00"/>
    <n v="1"/>
    <x v="1"/>
    <m/>
    <n v="0"/>
  </r>
  <r>
    <s v="ORD-103589"/>
    <x v="581"/>
    <x v="1"/>
    <d v="2025-08-01T00:00:00"/>
    <n v="8"/>
    <s v="CUST-00524"/>
    <x v="1"/>
    <x v="15"/>
    <s v="HR"/>
    <x v="0"/>
    <s v="Gurugram"/>
    <x v="4"/>
    <s v="P104"/>
    <s v="Hydrating Face Wash"/>
    <x v="3"/>
    <n v="1"/>
    <n v="299"/>
    <n v="0.1"/>
    <n v="299"/>
    <n v="29.900000000000002"/>
    <n v="269.10000000000002"/>
    <n v="90"/>
    <n v="90"/>
    <n v="60"/>
    <n v="119.10000000000002"/>
    <n v="0.4425863991081383"/>
    <x v="0"/>
    <d v="2025-08-11T00:00:00"/>
    <n v="3"/>
    <x v="0"/>
    <n v="4"/>
    <n v="0"/>
  </r>
  <r>
    <s v="ORD-103590"/>
    <x v="581"/>
    <x v="1"/>
    <d v="2025-08-01T00:00:00"/>
    <n v="8"/>
    <s v="CUST-00164"/>
    <x v="0"/>
    <x v="6"/>
    <s v="DL"/>
    <x v="0"/>
    <s v="New Delhi"/>
    <x v="2"/>
    <s v="P504"/>
    <s v="Cotton Bedsheet"/>
    <x v="4"/>
    <n v="1"/>
    <n v="1299"/>
    <n v="0"/>
    <n v="1299"/>
    <n v="0"/>
    <n v="1299"/>
    <n v="585"/>
    <n v="585"/>
    <n v="60"/>
    <n v="654"/>
    <n v="0.50346420323325636"/>
    <x v="1"/>
    <d v="2025-08-11T00:00:00"/>
    <n v="3"/>
    <x v="0"/>
    <n v="4"/>
    <n v="0"/>
  </r>
  <r>
    <s v="ORD-103591"/>
    <x v="581"/>
    <x v="1"/>
    <d v="2025-08-01T00:00:00"/>
    <n v="8"/>
    <s v="CUST-01399"/>
    <x v="1"/>
    <x v="6"/>
    <s v="DL"/>
    <x v="0"/>
    <s v="New Delhi"/>
    <x v="2"/>
    <s v="P701"/>
    <s v="Ashwagandha Capsules"/>
    <x v="0"/>
    <n v="3"/>
    <n v="499"/>
    <n v="0.05"/>
    <n v="1497"/>
    <n v="74.850000000000009"/>
    <n v="1422.15"/>
    <n v="150"/>
    <n v="450"/>
    <n v="60"/>
    <n v="912.15000000000009"/>
    <n v="0.64138803923636745"/>
    <x v="3"/>
    <d v="2025-08-09T00:00:00"/>
    <n v="1"/>
    <x v="1"/>
    <m/>
    <n v="0"/>
  </r>
  <r>
    <s v="ORD-103592"/>
    <x v="581"/>
    <x v="1"/>
    <d v="2025-08-01T00:00:00"/>
    <n v="8"/>
    <s v="CUST-00442"/>
    <x v="1"/>
    <x v="13"/>
    <s v="MP"/>
    <x v="1"/>
    <s v="Bhopal"/>
    <x v="0"/>
    <s v="P403"/>
    <s v="Kolhapuri Sandals"/>
    <x v="5"/>
    <n v="1"/>
    <n v="999"/>
    <n v="0.1"/>
    <n v="999"/>
    <n v="99.9"/>
    <n v="899.1"/>
    <n v="400"/>
    <n v="400"/>
    <n v="120"/>
    <n v="379.1"/>
    <n v="0.42164386608831056"/>
    <x v="2"/>
    <d v="2025-08-13T00:00:00"/>
    <n v="5"/>
    <x v="2"/>
    <n v="3"/>
    <n v="1"/>
  </r>
  <r>
    <s v="ORD-103593"/>
    <x v="581"/>
    <x v="1"/>
    <d v="2025-08-01T00:00:00"/>
    <n v="8"/>
    <s v="CUST-02215"/>
    <x v="0"/>
    <x v="13"/>
    <s v="MP"/>
    <x v="1"/>
    <s v="Indore"/>
    <x v="0"/>
    <s v="P601"/>
    <s v="Wireless Earbuds"/>
    <x v="2"/>
    <n v="3"/>
    <n v="1999"/>
    <n v="0.4"/>
    <n v="5997"/>
    <n v="2398.8000000000002"/>
    <n v="3598.2"/>
    <n v="1239"/>
    <n v="3717"/>
    <n v="60"/>
    <n v="-178.80000000000018"/>
    <n v="-4.9691512422878156E-2"/>
    <x v="0"/>
    <d v="2025-08-13T00:00:00"/>
    <n v="5"/>
    <x v="2"/>
    <n v="4"/>
    <n v="0"/>
  </r>
  <r>
    <s v="ORD-103594"/>
    <x v="581"/>
    <x v="1"/>
    <d v="2025-08-01T00:00:00"/>
    <n v="8"/>
    <s v="CUST-02783"/>
    <x v="0"/>
    <x v="2"/>
    <s v="MH"/>
    <x v="1"/>
    <s v="Nagpur"/>
    <x v="3"/>
    <s v="P703"/>
    <s v="Green Tea (100 bags)"/>
    <x v="0"/>
    <n v="2"/>
    <n v="399"/>
    <n v="0.35"/>
    <n v="798"/>
    <n v="279.29999999999995"/>
    <n v="518.70000000000005"/>
    <n v="128"/>
    <n v="256"/>
    <n v="60"/>
    <n v="202.70000000000005"/>
    <n v="0.39078465394254874"/>
    <x v="1"/>
    <d v="2025-08-09T00:00:00"/>
    <n v="1"/>
    <x v="1"/>
    <n v="5"/>
    <n v="0"/>
  </r>
  <r>
    <s v="ORD-103595"/>
    <x v="581"/>
    <x v="1"/>
    <d v="2025-08-01T00:00:00"/>
    <n v="8"/>
    <s v="CUST-01052"/>
    <x v="1"/>
    <x v="2"/>
    <s v="MH"/>
    <x v="1"/>
    <s v="Mumbai"/>
    <x v="4"/>
    <s v="P701"/>
    <s v="Ashwagandha Capsules"/>
    <x v="0"/>
    <n v="1"/>
    <n v="499"/>
    <n v="0.1"/>
    <n v="499"/>
    <n v="49.900000000000006"/>
    <n v="449.1"/>
    <n v="150"/>
    <n v="150"/>
    <n v="60"/>
    <n v="239.10000000000002"/>
    <n v="0.53239812959251842"/>
    <x v="1"/>
    <d v="2025-08-10T00:00:00"/>
    <n v="2"/>
    <x v="1"/>
    <n v="5"/>
    <n v="0"/>
  </r>
  <r>
    <s v="ORD-103596"/>
    <x v="581"/>
    <x v="1"/>
    <d v="2025-08-01T00:00:00"/>
    <n v="8"/>
    <s v="CUST-00401"/>
    <x v="1"/>
    <x v="2"/>
    <s v="MH"/>
    <x v="1"/>
    <s v="Mumbai"/>
    <x v="4"/>
    <s v="P401"/>
    <s v="Running Shoes"/>
    <x v="5"/>
    <n v="1"/>
    <n v="2999"/>
    <n v="0.15"/>
    <n v="2999"/>
    <n v="449.84999999999997"/>
    <n v="2549.15"/>
    <n v="1440"/>
    <n v="1440"/>
    <n v="120"/>
    <n v="989.15000000000009"/>
    <n v="0.3880313045524979"/>
    <x v="4"/>
    <d v="2025-08-11T00:00:00"/>
    <n v="3"/>
    <x v="0"/>
    <n v="4"/>
    <n v="1"/>
  </r>
  <r>
    <s v="ORD-103597"/>
    <x v="581"/>
    <x v="1"/>
    <d v="2025-08-01T00:00:00"/>
    <n v="8"/>
    <s v="CUST-00218"/>
    <x v="1"/>
    <x v="21"/>
    <s v="TG"/>
    <x v="3"/>
    <s v="Hyderabad"/>
    <x v="0"/>
    <s v="P104"/>
    <s v="Hydrating Face Wash"/>
    <x v="3"/>
    <n v="1"/>
    <n v="299"/>
    <n v="0.1"/>
    <n v="299"/>
    <n v="29.900000000000002"/>
    <n v="269.10000000000002"/>
    <n v="90"/>
    <n v="90"/>
    <n v="60"/>
    <n v="119.10000000000002"/>
    <n v="0.4425863991081383"/>
    <x v="0"/>
    <d v="2025-08-11T00:00:00"/>
    <n v="3"/>
    <x v="0"/>
    <m/>
    <n v="0"/>
  </r>
  <r>
    <s v="ORD-103598"/>
    <x v="581"/>
    <x v="1"/>
    <d v="2025-08-01T00:00:00"/>
    <n v="8"/>
    <s v="CUST-01475"/>
    <x v="0"/>
    <x v="3"/>
    <s v="OD"/>
    <x v="2"/>
    <s v="Bhubaneswar"/>
    <x v="0"/>
    <s v="P104"/>
    <s v="Hydrating Face Wash"/>
    <x v="3"/>
    <n v="1"/>
    <n v="299"/>
    <n v="0.05"/>
    <n v="299"/>
    <n v="14.950000000000001"/>
    <n v="284.05"/>
    <n v="90"/>
    <n v="90"/>
    <n v="120"/>
    <n v="74.050000000000011"/>
    <n v="0.26069353986974125"/>
    <x v="3"/>
    <d v="2025-08-11T00:00:00"/>
    <n v="3"/>
    <x v="0"/>
    <m/>
    <n v="1"/>
  </r>
  <r>
    <s v="ORD-103599"/>
    <x v="581"/>
    <x v="1"/>
    <d v="2025-08-01T00:00:00"/>
    <n v="8"/>
    <s v="CUST-00800"/>
    <x v="1"/>
    <x v="11"/>
    <s v="KA"/>
    <x v="3"/>
    <s v="Bengaluru"/>
    <x v="4"/>
    <s v="P204"/>
    <s v="Anti-Dandruff Conditioner"/>
    <x v="6"/>
    <n v="1"/>
    <n v="399"/>
    <n v="0.35"/>
    <n v="399"/>
    <n v="139.64999999999998"/>
    <n v="259.35000000000002"/>
    <n v="136"/>
    <n v="136"/>
    <n v="60"/>
    <n v="63.350000000000023"/>
    <n v="0.24426450742240222"/>
    <x v="3"/>
    <d v="2025-08-09T00:00:00"/>
    <n v="1"/>
    <x v="1"/>
    <n v="4"/>
    <n v="0"/>
  </r>
  <r>
    <s v="ORD-103600"/>
    <x v="582"/>
    <x v="1"/>
    <d v="2025-08-01T00:00:00"/>
    <n v="8"/>
    <s v="CUST-00207"/>
    <x v="1"/>
    <x v="15"/>
    <s v="HR"/>
    <x v="0"/>
    <s v="Faridabad"/>
    <x v="1"/>
    <s v="P403"/>
    <s v="Kolhapuri Sandals"/>
    <x v="5"/>
    <n v="1"/>
    <n v="999"/>
    <n v="0.05"/>
    <n v="999"/>
    <n v="49.95"/>
    <n v="949.05"/>
    <n v="400"/>
    <n v="400"/>
    <n v="60"/>
    <n v="489.04999999999995"/>
    <n v="0.5153047784626732"/>
    <x v="3"/>
    <d v="2025-08-11T00:00:00"/>
    <n v="2"/>
    <x v="1"/>
    <m/>
    <n v="0"/>
  </r>
  <r>
    <s v="ORD-103601"/>
    <x v="582"/>
    <x v="1"/>
    <d v="2025-08-01T00:00:00"/>
    <n v="8"/>
    <s v="CUST-01198"/>
    <x v="1"/>
    <x v="12"/>
    <s v="BR"/>
    <x v="2"/>
    <s v="Patna"/>
    <x v="4"/>
    <s v="P104"/>
    <s v="Hydrating Face Wash"/>
    <x v="3"/>
    <n v="1"/>
    <n v="299"/>
    <n v="0.1"/>
    <n v="299"/>
    <n v="29.900000000000002"/>
    <n v="269.10000000000002"/>
    <n v="90"/>
    <n v="90"/>
    <n v="60"/>
    <n v="119.10000000000002"/>
    <n v="0.4425863991081383"/>
    <x v="1"/>
    <d v="2025-08-13T00:00:00"/>
    <n v="4"/>
    <x v="0"/>
    <n v="3"/>
    <n v="0"/>
  </r>
  <r>
    <s v="ORD-103602"/>
    <x v="582"/>
    <x v="1"/>
    <d v="2025-08-01T00:00:00"/>
    <n v="8"/>
    <s v="CUST-02557"/>
    <x v="1"/>
    <x v="22"/>
    <s v="AS"/>
    <x v="2"/>
    <s v="Guwahati"/>
    <x v="4"/>
    <s v="P503"/>
    <s v="Scented Candle Set"/>
    <x v="4"/>
    <n v="1"/>
    <n v="699"/>
    <n v="0.2"/>
    <n v="699"/>
    <n v="139.80000000000001"/>
    <n v="559.20000000000005"/>
    <n v="245"/>
    <n v="245"/>
    <n v="60"/>
    <n v="254.20000000000005"/>
    <n v="0.45457796852646642"/>
    <x v="0"/>
    <d v="2025-08-18T00:00:00"/>
    <n v="9"/>
    <x v="2"/>
    <n v="3"/>
    <n v="0"/>
  </r>
  <r>
    <s v="ORD-103603"/>
    <x v="582"/>
    <x v="1"/>
    <d v="2025-08-01T00:00:00"/>
    <n v="8"/>
    <s v="CUST-00646"/>
    <x v="1"/>
    <x v="1"/>
    <s v="GJ"/>
    <x v="1"/>
    <s v="Surat"/>
    <x v="4"/>
    <s v="P202"/>
    <s v="Argan Shampoo"/>
    <x v="6"/>
    <n v="1"/>
    <n v="449"/>
    <n v="0.15"/>
    <n v="449"/>
    <n v="67.349999999999994"/>
    <n v="381.65"/>
    <n v="148"/>
    <n v="148"/>
    <n v="60"/>
    <n v="173.64999999999998"/>
    <n v="0.45499803484868334"/>
    <x v="0"/>
    <d v="2025-08-10T00:00:00"/>
    <n v="1"/>
    <x v="1"/>
    <n v="4"/>
    <n v="0"/>
  </r>
  <r>
    <s v="ORD-103604"/>
    <x v="582"/>
    <x v="1"/>
    <d v="2025-08-01T00:00:00"/>
    <n v="8"/>
    <s v="CUST-03047"/>
    <x v="0"/>
    <x v="13"/>
    <s v="MP"/>
    <x v="1"/>
    <s v="Bhopal"/>
    <x v="0"/>
    <s v="P204"/>
    <s v="Anti-Dandruff Conditioner"/>
    <x v="6"/>
    <n v="2"/>
    <n v="399"/>
    <n v="0.3"/>
    <n v="798"/>
    <n v="239.39999999999998"/>
    <n v="558.6"/>
    <n v="136"/>
    <n v="272"/>
    <n v="60"/>
    <n v="226.60000000000002"/>
    <n v="0.40565699964196206"/>
    <x v="2"/>
    <d v="2025-08-13T00:00:00"/>
    <n v="4"/>
    <x v="0"/>
    <m/>
    <n v="0"/>
  </r>
  <r>
    <s v="ORD-103605"/>
    <x v="582"/>
    <x v="1"/>
    <d v="2025-08-01T00:00:00"/>
    <n v="8"/>
    <s v="CUST-00079"/>
    <x v="1"/>
    <x v="18"/>
    <s v="WB"/>
    <x v="2"/>
    <s v="Kolkata"/>
    <x v="4"/>
    <s v="P204"/>
    <s v="Anti-Dandruff Conditioner"/>
    <x v="6"/>
    <n v="2"/>
    <n v="399"/>
    <n v="0.4"/>
    <n v="798"/>
    <n v="319.20000000000005"/>
    <n v="478.79999999999995"/>
    <n v="136"/>
    <n v="272"/>
    <n v="120"/>
    <n v="86.799999999999955"/>
    <n v="0.18128654970760227"/>
    <x v="0"/>
    <d v="2025-08-15T00:00:00"/>
    <n v="6"/>
    <x v="2"/>
    <m/>
    <n v="1"/>
  </r>
  <r>
    <s v="ORD-103606"/>
    <x v="582"/>
    <x v="1"/>
    <d v="2025-08-01T00:00:00"/>
    <n v="8"/>
    <s v="CUST-00632"/>
    <x v="1"/>
    <x v="2"/>
    <s v="MH"/>
    <x v="1"/>
    <s v="Mumbai"/>
    <x v="4"/>
    <s v="P103"/>
    <s v="Niacinamide Toner"/>
    <x v="3"/>
    <n v="2"/>
    <n v="399"/>
    <n v="0.15"/>
    <n v="798"/>
    <n v="119.69999999999999"/>
    <n v="678.3"/>
    <n v="112"/>
    <n v="224"/>
    <n v="60"/>
    <n v="394.29999999999995"/>
    <n v="0.58130620669320354"/>
    <x v="0"/>
    <d v="2025-08-12T00:00:00"/>
    <n v="3"/>
    <x v="0"/>
    <n v="4"/>
    <n v="0"/>
  </r>
  <r>
    <s v="ORD-103607"/>
    <x v="582"/>
    <x v="1"/>
    <d v="2025-08-01T00:00:00"/>
    <n v="8"/>
    <s v="CUST-01611"/>
    <x v="0"/>
    <x v="2"/>
    <s v="MH"/>
    <x v="1"/>
    <s v="Nagpur"/>
    <x v="4"/>
    <s v="P704"/>
    <s v="Multivitamin Gummies"/>
    <x v="0"/>
    <n v="1"/>
    <n v="699"/>
    <n v="0.2"/>
    <n v="699"/>
    <n v="139.80000000000001"/>
    <n v="559.20000000000005"/>
    <n v="238"/>
    <n v="238"/>
    <n v="60"/>
    <n v="261.20000000000005"/>
    <n v="0.46709585121602293"/>
    <x v="2"/>
    <d v="2025-08-10T00:00:00"/>
    <n v="1"/>
    <x v="1"/>
    <m/>
    <n v="0"/>
  </r>
  <r>
    <s v="ORD-103608"/>
    <x v="582"/>
    <x v="1"/>
    <d v="2025-08-01T00:00:00"/>
    <n v="8"/>
    <s v="CUST-00520"/>
    <x v="0"/>
    <x v="2"/>
    <s v="MH"/>
    <x v="1"/>
    <s v="Pune"/>
    <x v="4"/>
    <s v="P302"/>
    <s v="Linen Kurta"/>
    <x v="1"/>
    <n v="1"/>
    <n v="1499"/>
    <n v="0.3"/>
    <n v="1499"/>
    <n v="449.7"/>
    <n v="1049.3"/>
    <n v="630"/>
    <n v="630"/>
    <n v="60"/>
    <n v="359.29999999999995"/>
    <n v="0.34241875536071664"/>
    <x v="1"/>
    <d v="2025-08-10T00:00:00"/>
    <n v="1"/>
    <x v="1"/>
    <n v="5"/>
    <n v="0"/>
  </r>
  <r>
    <s v="ORD-103609"/>
    <x v="582"/>
    <x v="1"/>
    <d v="2025-08-01T00:00:00"/>
    <n v="8"/>
    <s v="CUST-00681"/>
    <x v="1"/>
    <x v="8"/>
    <s v="AP"/>
    <x v="3"/>
    <s v="Vijayawada"/>
    <x v="3"/>
    <s v="P202"/>
    <s v="Argan Shampoo"/>
    <x v="6"/>
    <n v="1"/>
    <n v="449"/>
    <n v="0.15"/>
    <n v="449"/>
    <n v="67.349999999999994"/>
    <n v="381.65"/>
    <n v="148"/>
    <n v="148"/>
    <n v="60"/>
    <n v="173.64999999999998"/>
    <n v="0.45499803484868334"/>
    <x v="0"/>
    <d v="2025-08-12T00:00:00"/>
    <n v="3"/>
    <x v="0"/>
    <n v="5"/>
    <n v="0"/>
  </r>
  <r>
    <s v="ORD-103610"/>
    <x v="582"/>
    <x v="1"/>
    <d v="2025-08-01T00:00:00"/>
    <n v="8"/>
    <s v="CUST-00429"/>
    <x v="0"/>
    <x v="8"/>
    <s v="AP"/>
    <x v="3"/>
    <s v="Visakhapatnam"/>
    <x v="3"/>
    <s v="P204"/>
    <s v="Anti-Dandruff Conditioner"/>
    <x v="6"/>
    <n v="2"/>
    <n v="399"/>
    <n v="0.45"/>
    <n v="798"/>
    <n v="359.1"/>
    <n v="438.9"/>
    <n v="136"/>
    <n v="272"/>
    <n v="60"/>
    <n v="106.89999999999998"/>
    <n v="0.24356345408976984"/>
    <x v="0"/>
    <d v="2025-08-13T00:00:00"/>
    <n v="4"/>
    <x v="0"/>
    <n v="2"/>
    <n v="0"/>
  </r>
  <r>
    <s v="ORD-103611"/>
    <x v="582"/>
    <x v="1"/>
    <d v="2025-08-01T00:00:00"/>
    <n v="8"/>
    <s v="CUST-00501"/>
    <x v="1"/>
    <x v="17"/>
    <s v="TN"/>
    <x v="3"/>
    <s v="Chennai"/>
    <x v="1"/>
    <s v="P302"/>
    <s v="Linen Kurta"/>
    <x v="1"/>
    <n v="2"/>
    <n v="1499"/>
    <n v="0.35"/>
    <n v="2998"/>
    <n v="1049.3"/>
    <n v="1948.7"/>
    <n v="630"/>
    <n v="1260"/>
    <n v="60"/>
    <n v="628.70000000000005"/>
    <n v="0.32262533997023657"/>
    <x v="0"/>
    <d v="2025-08-12T00:00:00"/>
    <n v="3"/>
    <x v="0"/>
    <m/>
    <n v="0"/>
  </r>
  <r>
    <s v="ORD-103612"/>
    <x v="583"/>
    <x v="1"/>
    <d v="2025-08-01T00:00:00"/>
    <n v="8"/>
    <s v="CUST-01096"/>
    <x v="1"/>
    <x v="5"/>
    <s v="HP"/>
    <x v="0"/>
    <s v="Shimla"/>
    <x v="2"/>
    <s v="P603"/>
    <s v="Smartwatch Strap"/>
    <x v="2"/>
    <n v="1"/>
    <n v="499"/>
    <n v="0.05"/>
    <n v="499"/>
    <n v="24.950000000000003"/>
    <n v="474.05"/>
    <n v="200"/>
    <n v="200"/>
    <n v="60"/>
    <n v="214.05"/>
    <n v="0.45153464824385614"/>
    <x v="3"/>
    <d v="2025-08-15T00:00:00"/>
    <n v="5"/>
    <x v="2"/>
    <n v="3"/>
    <n v="0"/>
  </r>
  <r>
    <s v="ORD-103613"/>
    <x v="583"/>
    <x v="1"/>
    <d v="2025-08-01T00:00:00"/>
    <n v="8"/>
    <s v="CUST-02934"/>
    <x v="1"/>
    <x v="16"/>
    <s v="UP"/>
    <x v="0"/>
    <s v="Kanpur"/>
    <x v="1"/>
    <s v="P404"/>
    <s v="Flip Flops"/>
    <x v="5"/>
    <n v="1"/>
    <n v="399"/>
    <n v="0.05"/>
    <n v="399"/>
    <n v="19.950000000000003"/>
    <n v="379.05"/>
    <n v="152"/>
    <n v="152"/>
    <n v="120"/>
    <n v="107.05000000000001"/>
    <n v="0.2824165677351273"/>
    <x v="3"/>
    <d v="2025-08-13T00:00:00"/>
    <n v="3"/>
    <x v="0"/>
    <n v="3"/>
    <n v="1"/>
  </r>
  <r>
    <s v="ORD-103614"/>
    <x v="583"/>
    <x v="1"/>
    <d v="2025-08-01T00:00:00"/>
    <n v="8"/>
    <s v="CUST-02167"/>
    <x v="1"/>
    <x v="18"/>
    <s v="WB"/>
    <x v="2"/>
    <s v="Kolkata"/>
    <x v="0"/>
    <s v="P202"/>
    <s v="Argan Shampoo"/>
    <x v="6"/>
    <n v="1"/>
    <n v="449"/>
    <n v="0.1"/>
    <n v="449"/>
    <n v="44.900000000000006"/>
    <n v="404.1"/>
    <n v="148"/>
    <n v="148"/>
    <n v="120"/>
    <n v="136.10000000000002"/>
    <n v="0.33679782232120764"/>
    <x v="0"/>
    <d v="2025-08-14T00:00:00"/>
    <n v="4"/>
    <x v="0"/>
    <n v="3"/>
    <n v="1"/>
  </r>
  <r>
    <s v="ORD-103615"/>
    <x v="583"/>
    <x v="1"/>
    <d v="2025-08-01T00:00:00"/>
    <n v="8"/>
    <s v="CUST-01784"/>
    <x v="0"/>
    <x v="11"/>
    <s v="KA"/>
    <x v="3"/>
    <s v="Mysuru"/>
    <x v="4"/>
    <s v="P104"/>
    <s v="Hydrating Face Wash"/>
    <x v="3"/>
    <n v="1"/>
    <n v="299"/>
    <n v="0.1"/>
    <n v="299"/>
    <n v="29.900000000000002"/>
    <n v="269.10000000000002"/>
    <n v="90"/>
    <n v="90"/>
    <n v="60"/>
    <n v="119.10000000000002"/>
    <n v="0.4425863991081383"/>
    <x v="0"/>
    <d v="2025-08-11T00:00:00"/>
    <n v="1"/>
    <x v="1"/>
    <m/>
    <n v="0"/>
  </r>
  <r>
    <s v="ORD-103616"/>
    <x v="583"/>
    <x v="1"/>
    <d v="2025-08-01T00:00:00"/>
    <n v="8"/>
    <s v="CUST-01972"/>
    <x v="1"/>
    <x v="11"/>
    <s v="KA"/>
    <x v="3"/>
    <s v="Mysuru"/>
    <x v="2"/>
    <s v="P504"/>
    <s v="Cotton Bedsheet"/>
    <x v="4"/>
    <n v="1"/>
    <n v="1299"/>
    <n v="0"/>
    <n v="1299"/>
    <n v="0"/>
    <n v="1299"/>
    <n v="585"/>
    <n v="585"/>
    <n v="60"/>
    <n v="654"/>
    <n v="0.50346420323325636"/>
    <x v="0"/>
    <d v="2025-08-14T00:00:00"/>
    <n v="4"/>
    <x v="0"/>
    <m/>
    <n v="0"/>
  </r>
  <r>
    <s v="ORD-103617"/>
    <x v="583"/>
    <x v="1"/>
    <d v="2025-08-01T00:00:00"/>
    <n v="8"/>
    <s v="CUST-00793"/>
    <x v="1"/>
    <x v="11"/>
    <s v="KA"/>
    <x v="3"/>
    <s v="Bengaluru"/>
    <x v="2"/>
    <s v="P103"/>
    <s v="Niacinamide Toner"/>
    <x v="3"/>
    <n v="1"/>
    <n v="399"/>
    <n v="0.1"/>
    <n v="399"/>
    <n v="39.900000000000006"/>
    <n v="359.1"/>
    <n v="112"/>
    <n v="112"/>
    <n v="60"/>
    <n v="187.10000000000002"/>
    <n v="0.52102478418267895"/>
    <x v="0"/>
    <d v="2025-08-15T00:00:00"/>
    <n v="5"/>
    <x v="2"/>
    <n v="3"/>
    <n v="0"/>
  </r>
  <r>
    <s v="ORD-103618"/>
    <x v="583"/>
    <x v="1"/>
    <d v="2025-08-01T00:00:00"/>
    <n v="8"/>
    <s v="CUST-01463"/>
    <x v="1"/>
    <x v="11"/>
    <s v="KA"/>
    <x v="3"/>
    <s v="Bengaluru"/>
    <x v="1"/>
    <s v="P301"/>
    <s v="Cotton Oversized T-Shirt"/>
    <x v="1"/>
    <n v="1"/>
    <n v="799"/>
    <n v="0"/>
    <n v="799"/>
    <n v="0"/>
    <n v="799"/>
    <n v="320"/>
    <n v="320"/>
    <n v="60"/>
    <n v="419"/>
    <n v="0.52440550688360454"/>
    <x v="0"/>
    <d v="2025-08-11T00:00:00"/>
    <n v="1"/>
    <x v="1"/>
    <n v="5"/>
    <n v="0"/>
  </r>
  <r>
    <s v="ORD-103619"/>
    <x v="583"/>
    <x v="1"/>
    <d v="2025-08-01T00:00:00"/>
    <n v="8"/>
    <s v="CUST-00612"/>
    <x v="1"/>
    <x v="8"/>
    <s v="AP"/>
    <x v="3"/>
    <s v="Visakhapatnam"/>
    <x v="0"/>
    <s v="P101"/>
    <s v="Vitamin C Face Serum"/>
    <x v="3"/>
    <n v="1"/>
    <n v="599"/>
    <n v="0.1"/>
    <n v="599"/>
    <n v="59.900000000000006"/>
    <n v="539.1"/>
    <n v="180"/>
    <n v="180"/>
    <n v="60"/>
    <n v="299.10000000000002"/>
    <n v="0.5548135781858653"/>
    <x v="0"/>
    <d v="2025-08-14T00:00:00"/>
    <n v="4"/>
    <x v="0"/>
    <n v="4"/>
    <n v="0"/>
  </r>
  <r>
    <s v="ORD-103620"/>
    <x v="584"/>
    <x v="1"/>
    <d v="2025-08-01T00:00:00"/>
    <n v="8"/>
    <s v="CUST-01186"/>
    <x v="1"/>
    <x v="13"/>
    <s v="MP"/>
    <x v="1"/>
    <s v="Indore"/>
    <x v="3"/>
    <s v="P104"/>
    <s v="Hydrating Face Wash"/>
    <x v="3"/>
    <n v="1"/>
    <n v="299"/>
    <n v="0"/>
    <n v="299"/>
    <n v="0"/>
    <n v="299"/>
    <n v="90"/>
    <n v="90"/>
    <n v="60"/>
    <n v="149"/>
    <n v="0.49832775919732442"/>
    <x v="0"/>
    <d v="2025-08-13T00:00:00"/>
    <n v="2"/>
    <x v="1"/>
    <n v="4"/>
    <n v="0"/>
  </r>
  <r>
    <s v="ORD-103621"/>
    <x v="584"/>
    <x v="1"/>
    <d v="2025-08-01T00:00:00"/>
    <n v="8"/>
    <s v="CUST-02985"/>
    <x v="0"/>
    <x v="2"/>
    <s v="MH"/>
    <x v="1"/>
    <s v="Nagpur"/>
    <x v="2"/>
    <s v="P601"/>
    <s v="Wireless Earbuds"/>
    <x v="2"/>
    <n v="4"/>
    <n v="1999"/>
    <n v="0.35"/>
    <n v="7996"/>
    <n v="2798.6"/>
    <n v="5197.3999999999996"/>
    <n v="1239"/>
    <n v="4956"/>
    <n v="60"/>
    <n v="181.39999999999964"/>
    <n v="3.4902066417824229E-2"/>
    <x v="0"/>
    <d v="2025-08-13T00:00:00"/>
    <n v="2"/>
    <x v="1"/>
    <n v="5"/>
    <n v="0"/>
  </r>
  <r>
    <s v="ORD-103622"/>
    <x v="584"/>
    <x v="1"/>
    <d v="2025-08-01T00:00:00"/>
    <n v="8"/>
    <s v="CUST-02588"/>
    <x v="1"/>
    <x v="21"/>
    <s v="TG"/>
    <x v="3"/>
    <s v="Hyderabad"/>
    <x v="2"/>
    <s v="P201"/>
    <s v="Onion Hair Oil"/>
    <x v="6"/>
    <n v="2"/>
    <n v="349"/>
    <n v="0.3"/>
    <n v="698"/>
    <n v="209.4"/>
    <n v="488.6"/>
    <n v="105"/>
    <n v="210"/>
    <n v="60"/>
    <n v="218.60000000000002"/>
    <n v="0.44740073679901765"/>
    <x v="0"/>
    <d v="2025-08-13T00:00:00"/>
    <n v="2"/>
    <x v="1"/>
    <n v="5"/>
    <n v="0"/>
  </r>
  <r>
    <s v="ORD-103623"/>
    <x v="584"/>
    <x v="1"/>
    <d v="2025-08-01T00:00:00"/>
    <n v="8"/>
    <s v="CUST-02442"/>
    <x v="0"/>
    <x v="21"/>
    <s v="TG"/>
    <x v="3"/>
    <s v="Hyderabad"/>
    <x v="0"/>
    <s v="P601"/>
    <s v="Wireless Earbuds"/>
    <x v="2"/>
    <n v="2"/>
    <n v="1999"/>
    <n v="0.35"/>
    <n v="3998"/>
    <n v="1399.3"/>
    <n v="2598.6999999999998"/>
    <n v="1239"/>
    <n v="2478"/>
    <n v="120"/>
    <n v="0.6999999999998181"/>
    <n v="2.6936545195667763E-4"/>
    <x v="3"/>
    <d v="2025-08-14T00:00:00"/>
    <n v="3"/>
    <x v="0"/>
    <n v="4"/>
    <n v="1"/>
  </r>
  <r>
    <s v="ORD-103624"/>
    <x v="584"/>
    <x v="1"/>
    <d v="2025-08-01T00:00:00"/>
    <n v="8"/>
    <s v="CUST-00511"/>
    <x v="0"/>
    <x v="21"/>
    <s v="TG"/>
    <x v="3"/>
    <s v="Hyderabad"/>
    <x v="0"/>
    <s v="P103"/>
    <s v="Niacinamide Toner"/>
    <x v="3"/>
    <n v="1"/>
    <n v="399"/>
    <n v="0.2"/>
    <n v="399"/>
    <n v="79.800000000000011"/>
    <n v="319.2"/>
    <n v="112"/>
    <n v="112"/>
    <n v="60"/>
    <n v="147.19999999999999"/>
    <n v="0.46115288220551376"/>
    <x v="0"/>
    <d v="2025-08-14T00:00:00"/>
    <n v="3"/>
    <x v="0"/>
    <n v="4"/>
    <n v="0"/>
  </r>
  <r>
    <s v="ORD-103625"/>
    <x v="584"/>
    <x v="1"/>
    <d v="2025-08-01T00:00:00"/>
    <n v="8"/>
    <s v="CUST-00871"/>
    <x v="1"/>
    <x v="11"/>
    <s v="KA"/>
    <x v="3"/>
    <s v="Mysuru"/>
    <x v="3"/>
    <s v="P701"/>
    <s v="Ashwagandha Capsules"/>
    <x v="0"/>
    <n v="3"/>
    <n v="499"/>
    <n v="0"/>
    <n v="1497"/>
    <n v="0"/>
    <n v="1497"/>
    <n v="150"/>
    <n v="450"/>
    <n v="60"/>
    <n v="987"/>
    <n v="0.65931863727454909"/>
    <x v="0"/>
    <d v="2025-08-13T00:00:00"/>
    <n v="2"/>
    <x v="1"/>
    <n v="3"/>
    <n v="0"/>
  </r>
  <r>
    <s v="ORD-103626"/>
    <x v="584"/>
    <x v="1"/>
    <d v="2025-08-01T00:00:00"/>
    <n v="8"/>
    <s v="CUST-02266"/>
    <x v="0"/>
    <x v="17"/>
    <s v="TN"/>
    <x v="3"/>
    <s v="Chennai"/>
    <x v="4"/>
    <s v="P202"/>
    <s v="Argan Shampoo"/>
    <x v="6"/>
    <n v="2"/>
    <n v="449"/>
    <n v="0.15"/>
    <n v="898"/>
    <n v="134.69999999999999"/>
    <n v="763.3"/>
    <n v="148"/>
    <n v="296"/>
    <n v="60"/>
    <n v="407.29999999999995"/>
    <n v="0.53360408751473865"/>
    <x v="0"/>
    <d v="2025-08-12T00:00:00"/>
    <n v="1"/>
    <x v="1"/>
    <m/>
    <n v="0"/>
  </r>
  <r>
    <s v="ORD-103627"/>
    <x v="585"/>
    <x v="1"/>
    <d v="2025-08-01T00:00:00"/>
    <n v="8"/>
    <s v="CUST-00423"/>
    <x v="1"/>
    <x v="15"/>
    <s v="HR"/>
    <x v="0"/>
    <s v="Faridabad"/>
    <x v="0"/>
    <s v="P204"/>
    <s v="Anti-Dandruff Conditioner"/>
    <x v="6"/>
    <n v="2"/>
    <n v="399"/>
    <n v="0.35"/>
    <n v="798"/>
    <n v="279.29999999999995"/>
    <n v="518.70000000000005"/>
    <n v="136"/>
    <n v="272"/>
    <n v="60"/>
    <n v="186.70000000000005"/>
    <n v="0.35993830730672843"/>
    <x v="3"/>
    <d v="2025-08-15T00:00:00"/>
    <n v="3"/>
    <x v="0"/>
    <n v="5"/>
    <n v="0"/>
  </r>
  <r>
    <s v="ORD-103628"/>
    <x v="585"/>
    <x v="1"/>
    <d v="2025-08-01T00:00:00"/>
    <n v="8"/>
    <s v="CUST-00790"/>
    <x v="1"/>
    <x v="16"/>
    <s v="UP"/>
    <x v="0"/>
    <s v="Noida"/>
    <x v="2"/>
    <s v="P701"/>
    <s v="Ashwagandha Capsules"/>
    <x v="0"/>
    <n v="1"/>
    <n v="499"/>
    <n v="0.05"/>
    <n v="499"/>
    <n v="24.950000000000003"/>
    <n v="474.05"/>
    <n v="150"/>
    <n v="150"/>
    <n v="60"/>
    <n v="264.05"/>
    <n v="0.55700875435080688"/>
    <x v="3"/>
    <d v="2025-08-15T00:00:00"/>
    <n v="3"/>
    <x v="0"/>
    <m/>
    <n v="0"/>
  </r>
  <r>
    <s v="ORD-103629"/>
    <x v="585"/>
    <x v="1"/>
    <d v="2025-08-01T00:00:00"/>
    <n v="8"/>
    <s v="CUST-01073"/>
    <x v="0"/>
    <x v="13"/>
    <s v="MP"/>
    <x v="1"/>
    <s v="Indore"/>
    <x v="3"/>
    <s v="P101"/>
    <s v="Vitamin C Face Serum"/>
    <x v="3"/>
    <n v="1"/>
    <n v="599"/>
    <n v="0.1"/>
    <n v="599"/>
    <n v="59.900000000000006"/>
    <n v="539.1"/>
    <n v="180"/>
    <n v="180"/>
    <n v="120"/>
    <n v="239.10000000000002"/>
    <n v="0.4435169727323317"/>
    <x v="1"/>
    <d v="2025-08-15T00:00:00"/>
    <n v="3"/>
    <x v="0"/>
    <n v="4"/>
    <n v="1"/>
  </r>
  <r>
    <s v="ORD-103630"/>
    <x v="585"/>
    <x v="1"/>
    <d v="2025-08-01T00:00:00"/>
    <n v="8"/>
    <s v="CUST-01159"/>
    <x v="1"/>
    <x v="18"/>
    <s v="WB"/>
    <x v="2"/>
    <s v="Kolkata"/>
    <x v="0"/>
    <s v="P102"/>
    <s v="Sunscreen SPF 50"/>
    <x v="3"/>
    <n v="1"/>
    <n v="449"/>
    <n v="0.05"/>
    <n v="449"/>
    <n v="22.450000000000003"/>
    <n v="426.55"/>
    <n v="144"/>
    <n v="144"/>
    <n v="60"/>
    <n v="222.55"/>
    <n v="0.52174422693705313"/>
    <x v="4"/>
    <d v="2025-08-14T00:00:00"/>
    <n v="2"/>
    <x v="1"/>
    <n v="5"/>
    <n v="0"/>
  </r>
  <r>
    <s v="ORD-103631"/>
    <x v="585"/>
    <x v="1"/>
    <d v="2025-08-01T00:00:00"/>
    <n v="8"/>
    <s v="CUST-00801"/>
    <x v="1"/>
    <x v="2"/>
    <s v="MH"/>
    <x v="1"/>
    <s v="Pune"/>
    <x v="4"/>
    <s v="P104"/>
    <s v="Hydrating Face Wash"/>
    <x v="3"/>
    <n v="2"/>
    <n v="299"/>
    <n v="0.1"/>
    <n v="598"/>
    <n v="59.800000000000004"/>
    <n v="538.20000000000005"/>
    <n v="90"/>
    <n v="180"/>
    <n v="120"/>
    <n v="238.20000000000005"/>
    <n v="0.4425863991081383"/>
    <x v="0"/>
    <d v="2025-08-13T00:00:00"/>
    <n v="1"/>
    <x v="1"/>
    <m/>
    <n v="1"/>
  </r>
  <r>
    <s v="ORD-103632"/>
    <x v="585"/>
    <x v="1"/>
    <d v="2025-08-01T00:00:00"/>
    <n v="8"/>
    <s v="CUST-01113"/>
    <x v="1"/>
    <x v="2"/>
    <s v="MH"/>
    <x v="1"/>
    <s v="Pune"/>
    <x v="2"/>
    <s v="P302"/>
    <s v="Linen Kurta"/>
    <x v="1"/>
    <n v="1"/>
    <n v="1499"/>
    <n v="0.2"/>
    <n v="1499"/>
    <n v="299.8"/>
    <n v="1199.2"/>
    <n v="630"/>
    <n v="630"/>
    <n v="60"/>
    <n v="509.20000000000005"/>
    <n v="0.42461641094062713"/>
    <x v="3"/>
    <d v="2025-08-14T00:00:00"/>
    <n v="2"/>
    <x v="1"/>
    <n v="4"/>
    <n v="0"/>
  </r>
  <r>
    <s v="ORD-103633"/>
    <x v="585"/>
    <x v="1"/>
    <d v="2025-08-01T00:00:00"/>
    <n v="8"/>
    <s v="CUST-01636"/>
    <x v="0"/>
    <x v="2"/>
    <s v="MH"/>
    <x v="1"/>
    <s v="Pune"/>
    <x v="4"/>
    <s v="P202"/>
    <s v="Argan Shampoo"/>
    <x v="6"/>
    <n v="1"/>
    <n v="449"/>
    <n v="0.1"/>
    <n v="449"/>
    <n v="44.900000000000006"/>
    <n v="404.1"/>
    <n v="148"/>
    <n v="148"/>
    <n v="60"/>
    <n v="196.10000000000002"/>
    <n v="0.48527592180153428"/>
    <x v="0"/>
    <d v="2025-08-14T00:00:00"/>
    <n v="2"/>
    <x v="1"/>
    <n v="5"/>
    <n v="0"/>
  </r>
  <r>
    <s v="ORD-103634"/>
    <x v="585"/>
    <x v="1"/>
    <d v="2025-08-01T00:00:00"/>
    <n v="8"/>
    <s v="CUST-00192"/>
    <x v="1"/>
    <x v="2"/>
    <s v="MH"/>
    <x v="1"/>
    <s v="Nagpur"/>
    <x v="3"/>
    <s v="P201"/>
    <s v="Onion Hair Oil"/>
    <x v="6"/>
    <n v="3"/>
    <n v="349"/>
    <n v="0.3"/>
    <n v="1047"/>
    <n v="314.09999999999997"/>
    <n v="732.90000000000009"/>
    <n v="105"/>
    <n v="315"/>
    <n v="60"/>
    <n v="357.90000000000009"/>
    <n v="0.48833401555464601"/>
    <x v="4"/>
    <d v="2025-08-15T00:00:00"/>
    <n v="3"/>
    <x v="0"/>
    <n v="4"/>
    <n v="0"/>
  </r>
  <r>
    <s v="ORD-103635"/>
    <x v="585"/>
    <x v="1"/>
    <d v="2025-08-01T00:00:00"/>
    <n v="8"/>
    <s v="CUST-00927"/>
    <x v="1"/>
    <x v="21"/>
    <s v="TG"/>
    <x v="3"/>
    <s v="Hyderabad"/>
    <x v="3"/>
    <s v="P204"/>
    <s v="Anti-Dandruff Conditioner"/>
    <x v="6"/>
    <n v="2"/>
    <n v="399"/>
    <n v="0.35"/>
    <n v="798"/>
    <n v="279.29999999999995"/>
    <n v="518.70000000000005"/>
    <n v="136"/>
    <n v="272"/>
    <n v="60"/>
    <n v="186.70000000000005"/>
    <n v="0.35993830730672843"/>
    <x v="4"/>
    <d v="2025-08-16T00:00:00"/>
    <n v="4"/>
    <x v="0"/>
    <m/>
    <n v="0"/>
  </r>
  <r>
    <s v="ORD-103636"/>
    <x v="585"/>
    <x v="1"/>
    <d v="2025-08-01T00:00:00"/>
    <n v="8"/>
    <s v="CUST-00263"/>
    <x v="1"/>
    <x v="14"/>
    <s v="KL"/>
    <x v="3"/>
    <s v="Thiruvananthapuram"/>
    <x v="2"/>
    <s v="P105"/>
    <s v="Retinol Night Cream"/>
    <x v="3"/>
    <n v="3"/>
    <n v="799"/>
    <n v="0"/>
    <n v="2397"/>
    <n v="0"/>
    <n v="2397"/>
    <n v="216"/>
    <n v="648"/>
    <n v="60"/>
    <n v="1689"/>
    <n v="0.70463078848560701"/>
    <x v="1"/>
    <d v="2025-08-18T00:00:00"/>
    <n v="6"/>
    <x v="2"/>
    <m/>
    <n v="0"/>
  </r>
  <r>
    <s v="ORD-103637"/>
    <x v="585"/>
    <x v="1"/>
    <d v="2025-08-01T00:00:00"/>
    <n v="8"/>
    <s v="CUST-03194"/>
    <x v="1"/>
    <x v="14"/>
    <s v="KL"/>
    <x v="3"/>
    <s v="Kochi"/>
    <x v="1"/>
    <s v="P301"/>
    <s v="Cotton Oversized T-Shirt"/>
    <x v="1"/>
    <n v="1"/>
    <n v="799"/>
    <n v="0"/>
    <n v="799"/>
    <n v="0"/>
    <n v="799"/>
    <n v="320"/>
    <n v="320"/>
    <n v="60"/>
    <n v="419"/>
    <n v="0.52440550688360454"/>
    <x v="0"/>
    <d v="2025-08-14T00:00:00"/>
    <n v="2"/>
    <x v="1"/>
    <n v="4"/>
    <n v="0"/>
  </r>
  <r>
    <s v="ORD-103638"/>
    <x v="585"/>
    <x v="1"/>
    <d v="2025-08-01T00:00:00"/>
    <n v="8"/>
    <s v="CUST-02145"/>
    <x v="1"/>
    <x v="17"/>
    <s v="TN"/>
    <x v="3"/>
    <s v="Coimbatore"/>
    <x v="2"/>
    <s v="P201"/>
    <s v="Onion Hair Oil"/>
    <x v="6"/>
    <n v="3"/>
    <n v="349"/>
    <n v="0.35"/>
    <n v="1047"/>
    <n v="366.45"/>
    <n v="680.55"/>
    <n v="105"/>
    <n v="315"/>
    <n v="60"/>
    <n v="305.54999999999995"/>
    <n v="0.44897509367423405"/>
    <x v="1"/>
    <d v="2025-08-14T00:00:00"/>
    <n v="2"/>
    <x v="1"/>
    <n v="4"/>
    <n v="0"/>
  </r>
  <r>
    <s v="ORD-103639"/>
    <x v="585"/>
    <x v="1"/>
    <d v="2025-08-01T00:00:00"/>
    <n v="8"/>
    <s v="CUST-00335"/>
    <x v="1"/>
    <x v="17"/>
    <s v="TN"/>
    <x v="3"/>
    <s v="Chennai"/>
    <x v="3"/>
    <s v="P103"/>
    <s v="Niacinamide Toner"/>
    <x v="3"/>
    <n v="2"/>
    <n v="399"/>
    <n v="0.2"/>
    <n v="798"/>
    <n v="159.60000000000002"/>
    <n v="638.4"/>
    <n v="112"/>
    <n v="224"/>
    <n v="60"/>
    <n v="354.4"/>
    <n v="0.55513784461152882"/>
    <x v="0"/>
    <d v="2025-08-15T00:00:00"/>
    <n v="3"/>
    <x v="0"/>
    <n v="4"/>
    <n v="0"/>
  </r>
  <r>
    <s v="ORD-103640"/>
    <x v="586"/>
    <x v="1"/>
    <d v="2025-08-01T00:00:00"/>
    <n v="8"/>
    <s v="CUST-03138"/>
    <x v="1"/>
    <x v="6"/>
    <s v="DL"/>
    <x v="0"/>
    <s v="New Delhi"/>
    <x v="0"/>
    <s v="P504"/>
    <s v="Cotton Bedsheet"/>
    <x v="4"/>
    <n v="1"/>
    <n v="1299"/>
    <n v="0"/>
    <n v="1299"/>
    <n v="0"/>
    <n v="1299"/>
    <n v="585"/>
    <n v="585"/>
    <n v="60"/>
    <n v="654"/>
    <n v="0.50346420323325636"/>
    <x v="1"/>
    <d v="2025-08-15T00:00:00"/>
    <n v="2"/>
    <x v="1"/>
    <m/>
    <n v="0"/>
  </r>
  <r>
    <s v="ORD-103641"/>
    <x v="586"/>
    <x v="1"/>
    <d v="2025-08-01T00:00:00"/>
    <n v="8"/>
    <s v="CUST-00680"/>
    <x v="1"/>
    <x v="6"/>
    <s v="DL"/>
    <x v="0"/>
    <s v="New Delhi"/>
    <x v="1"/>
    <s v="P403"/>
    <s v="Kolhapuri Sandals"/>
    <x v="5"/>
    <n v="3"/>
    <n v="999"/>
    <n v="0.05"/>
    <n v="2997"/>
    <n v="149.85"/>
    <n v="2847.15"/>
    <n v="400"/>
    <n v="1200"/>
    <n v="60"/>
    <n v="1587.15"/>
    <n v="0.55745218903113647"/>
    <x v="1"/>
    <d v="2025-08-16T00:00:00"/>
    <n v="3"/>
    <x v="0"/>
    <n v="4"/>
    <n v="0"/>
  </r>
  <r>
    <s v="ORD-103642"/>
    <x v="586"/>
    <x v="1"/>
    <d v="2025-08-01T00:00:00"/>
    <n v="8"/>
    <s v="CUST-00150"/>
    <x v="0"/>
    <x v="16"/>
    <s v="UP"/>
    <x v="0"/>
    <s v="Noida"/>
    <x v="2"/>
    <s v="P704"/>
    <s v="Multivitamin Gummies"/>
    <x v="0"/>
    <n v="1"/>
    <n v="699"/>
    <n v="0.2"/>
    <n v="699"/>
    <n v="139.80000000000001"/>
    <n v="559.20000000000005"/>
    <n v="238"/>
    <n v="238"/>
    <n v="60"/>
    <n v="261.20000000000005"/>
    <n v="0.46709585121602293"/>
    <x v="2"/>
    <d v="2025-08-18T00:00:00"/>
    <n v="5"/>
    <x v="2"/>
    <m/>
    <n v="0"/>
  </r>
  <r>
    <s v="ORD-103643"/>
    <x v="586"/>
    <x v="1"/>
    <d v="2025-08-01T00:00:00"/>
    <n v="8"/>
    <s v="CUST-01011"/>
    <x v="1"/>
    <x v="18"/>
    <s v="WB"/>
    <x v="2"/>
    <s v="Kolkata"/>
    <x v="4"/>
    <s v="P203"/>
    <s v="Keratin Hair Mask"/>
    <x v="6"/>
    <n v="1"/>
    <n v="549"/>
    <n v="0.25"/>
    <n v="549"/>
    <n v="137.25"/>
    <n v="411.75"/>
    <n v="170"/>
    <n v="170"/>
    <n v="60"/>
    <n v="181.75"/>
    <n v="0.44140862173649059"/>
    <x v="1"/>
    <d v="2025-08-16T00:00:00"/>
    <n v="3"/>
    <x v="0"/>
    <n v="4"/>
    <n v="0"/>
  </r>
  <r>
    <s v="ORD-103644"/>
    <x v="586"/>
    <x v="1"/>
    <d v="2025-08-01T00:00:00"/>
    <n v="8"/>
    <s v="CUST-00774"/>
    <x v="1"/>
    <x v="18"/>
    <s v="WB"/>
    <x v="2"/>
    <s v="Kolkata"/>
    <x v="0"/>
    <s v="P501"/>
    <s v="Copper Water Bottle"/>
    <x v="4"/>
    <n v="1"/>
    <n v="899"/>
    <n v="0.05"/>
    <n v="899"/>
    <n v="44.95"/>
    <n v="854.05"/>
    <n v="378"/>
    <n v="378"/>
    <n v="60"/>
    <n v="416.04999999999995"/>
    <n v="0.48714946431707745"/>
    <x v="3"/>
    <d v="2025-08-17T00:00:00"/>
    <n v="4"/>
    <x v="0"/>
    <n v="4"/>
    <n v="0"/>
  </r>
  <r>
    <s v="ORD-103645"/>
    <x v="586"/>
    <x v="1"/>
    <d v="2025-08-01T00:00:00"/>
    <n v="8"/>
    <s v="CUST-00321"/>
    <x v="1"/>
    <x v="18"/>
    <s v="WB"/>
    <x v="2"/>
    <s v="Kolkata"/>
    <x v="2"/>
    <s v="P701"/>
    <s v="Ashwagandha Capsules"/>
    <x v="0"/>
    <n v="3"/>
    <n v="499"/>
    <n v="0"/>
    <n v="1497"/>
    <n v="0"/>
    <n v="1497"/>
    <n v="150"/>
    <n v="450"/>
    <n v="60"/>
    <n v="987"/>
    <n v="0.65931863727454909"/>
    <x v="1"/>
    <d v="2025-08-18T00:00:00"/>
    <n v="5"/>
    <x v="2"/>
    <n v="5"/>
    <n v="0"/>
  </r>
  <r>
    <s v="ORD-103646"/>
    <x v="586"/>
    <x v="1"/>
    <d v="2025-08-01T00:00:00"/>
    <n v="8"/>
    <s v="CUST-01141"/>
    <x v="1"/>
    <x v="18"/>
    <s v="WB"/>
    <x v="2"/>
    <s v="Kolkata"/>
    <x v="4"/>
    <s v="P102"/>
    <s v="Sunscreen SPF 50"/>
    <x v="3"/>
    <n v="1"/>
    <n v="449"/>
    <n v="0.1"/>
    <n v="449"/>
    <n v="44.900000000000006"/>
    <n v="404.1"/>
    <n v="144"/>
    <n v="144"/>
    <n v="60"/>
    <n v="200.10000000000002"/>
    <n v="0.4951744617668894"/>
    <x v="0"/>
    <d v="2025-08-15T00:00:00"/>
    <n v="2"/>
    <x v="1"/>
    <m/>
    <n v="0"/>
  </r>
  <r>
    <s v="ORD-103647"/>
    <x v="586"/>
    <x v="1"/>
    <d v="2025-08-01T00:00:00"/>
    <n v="8"/>
    <s v="CUST-02497"/>
    <x v="0"/>
    <x v="2"/>
    <s v="MH"/>
    <x v="1"/>
    <s v="Pune"/>
    <x v="0"/>
    <s v="P604"/>
    <s v="Power Bank 20000mAh"/>
    <x v="2"/>
    <n v="1"/>
    <n v="1799"/>
    <n v="0.3"/>
    <n v="1799"/>
    <n v="539.69999999999993"/>
    <n v="1259.3000000000002"/>
    <n v="1079"/>
    <n v="1079"/>
    <n v="60"/>
    <n v="120.30000000000018"/>
    <n v="9.5529262288573141E-2"/>
    <x v="4"/>
    <d v="2025-08-14T00:00:00"/>
    <n v="1"/>
    <x v="1"/>
    <n v="5"/>
    <n v="0"/>
  </r>
  <r>
    <s v="ORD-103648"/>
    <x v="586"/>
    <x v="1"/>
    <d v="2025-08-01T00:00:00"/>
    <n v="8"/>
    <s v="CUST-02767"/>
    <x v="0"/>
    <x v="17"/>
    <s v="TN"/>
    <x v="3"/>
    <s v="Coimbatore"/>
    <x v="2"/>
    <s v="P701"/>
    <s v="Ashwagandha Capsules"/>
    <x v="0"/>
    <n v="1"/>
    <n v="499"/>
    <n v="0"/>
    <n v="499"/>
    <n v="0"/>
    <n v="499"/>
    <n v="150"/>
    <n v="150"/>
    <n v="120"/>
    <n v="229"/>
    <n v="0.4589178356713427"/>
    <x v="1"/>
    <d v="2025-08-17T00:00:00"/>
    <n v="4"/>
    <x v="0"/>
    <n v="3"/>
    <n v="1"/>
  </r>
  <r>
    <s v="ORD-103649"/>
    <x v="587"/>
    <x v="1"/>
    <d v="2025-08-01T00:00:00"/>
    <n v="8"/>
    <s v="CUST-00263"/>
    <x v="1"/>
    <x v="16"/>
    <s v="UP"/>
    <x v="0"/>
    <s v="Kanpur"/>
    <x v="0"/>
    <s v="P401"/>
    <s v="Running Shoes"/>
    <x v="5"/>
    <n v="1"/>
    <n v="2999"/>
    <n v="0.2"/>
    <n v="2999"/>
    <n v="599.80000000000007"/>
    <n v="2399.1999999999998"/>
    <n v="1440"/>
    <n v="1440"/>
    <n v="60"/>
    <n v="899.19999999999982"/>
    <n v="0.3747915971990663"/>
    <x v="0"/>
    <d v="2025-08-17T00:00:00"/>
    <n v="3"/>
    <x v="0"/>
    <n v="3"/>
    <n v="0"/>
  </r>
  <r>
    <s v="ORD-103650"/>
    <x v="587"/>
    <x v="1"/>
    <d v="2025-08-01T00:00:00"/>
    <n v="8"/>
    <s v="CUST-01110"/>
    <x v="1"/>
    <x v="21"/>
    <s v="TG"/>
    <x v="3"/>
    <s v="Hyderabad"/>
    <x v="1"/>
    <s v="P304"/>
    <s v="Denim Jacket"/>
    <x v="1"/>
    <n v="1"/>
    <n v="2499"/>
    <n v="0"/>
    <n v="2499"/>
    <n v="0"/>
    <n v="2499"/>
    <n v="1125"/>
    <n v="1125"/>
    <n v="60"/>
    <n v="1314"/>
    <n v="0.5258103241296519"/>
    <x v="0"/>
    <d v="2025-08-16T00:00:00"/>
    <n v="2"/>
    <x v="1"/>
    <m/>
    <n v="0"/>
  </r>
  <r>
    <s v="ORD-103651"/>
    <x v="587"/>
    <x v="1"/>
    <d v="2025-08-01T00:00:00"/>
    <n v="8"/>
    <s v="CUST-01090"/>
    <x v="1"/>
    <x v="21"/>
    <s v="TG"/>
    <x v="3"/>
    <s v="Hyderabad"/>
    <x v="1"/>
    <s v="P305"/>
    <s v="Printed Saree"/>
    <x v="1"/>
    <n v="1"/>
    <n v="1999"/>
    <n v="0"/>
    <n v="1999"/>
    <n v="0"/>
    <n v="1999"/>
    <n v="880"/>
    <n v="880"/>
    <n v="120"/>
    <n v="999"/>
    <n v="0.49974987493746875"/>
    <x v="1"/>
    <d v="2025-08-17T00:00:00"/>
    <n v="3"/>
    <x v="0"/>
    <m/>
    <n v="1"/>
  </r>
  <r>
    <s v="ORD-103652"/>
    <x v="587"/>
    <x v="1"/>
    <d v="2025-08-01T00:00:00"/>
    <n v="8"/>
    <s v="CUST-00974"/>
    <x v="1"/>
    <x v="11"/>
    <s v="KA"/>
    <x v="3"/>
    <s v="Bengaluru"/>
    <x v="3"/>
    <s v="P204"/>
    <s v="Anti-Dandruff Conditioner"/>
    <x v="6"/>
    <n v="1"/>
    <n v="399"/>
    <n v="0.35"/>
    <n v="399"/>
    <n v="139.64999999999998"/>
    <n v="259.35000000000002"/>
    <n v="136"/>
    <n v="136"/>
    <n v="60"/>
    <n v="63.350000000000023"/>
    <n v="0.24426450742240222"/>
    <x v="0"/>
    <d v="2025-08-15T00:00:00"/>
    <n v="1"/>
    <x v="1"/>
    <n v="4"/>
    <n v="0"/>
  </r>
  <r>
    <s v="ORD-103653"/>
    <x v="587"/>
    <x v="1"/>
    <d v="2025-08-01T00:00:00"/>
    <n v="8"/>
    <s v="CUST-01016"/>
    <x v="1"/>
    <x v="8"/>
    <s v="AP"/>
    <x v="3"/>
    <s v="Visakhapatnam"/>
    <x v="2"/>
    <s v="P601"/>
    <s v="Wireless Earbuds"/>
    <x v="2"/>
    <n v="1"/>
    <n v="1999"/>
    <n v="0.3"/>
    <n v="1999"/>
    <n v="599.69999999999993"/>
    <n v="1399.3000000000002"/>
    <n v="1239"/>
    <n v="1239"/>
    <n v="60"/>
    <n v="100.30000000000018"/>
    <n v="7.1678696491102811E-2"/>
    <x v="1"/>
    <d v="2025-08-18T00:00:00"/>
    <n v="4"/>
    <x v="0"/>
    <n v="4"/>
    <n v="0"/>
  </r>
  <r>
    <s v="ORD-103654"/>
    <x v="588"/>
    <x v="1"/>
    <d v="2025-08-01T00:00:00"/>
    <n v="8"/>
    <s v="CUST-00287"/>
    <x v="1"/>
    <x v="19"/>
    <s v="PB"/>
    <x v="0"/>
    <s v="Amritsar"/>
    <x v="4"/>
    <s v="P105"/>
    <s v="Retinol Night Cream"/>
    <x v="3"/>
    <n v="1"/>
    <n v="799"/>
    <n v="0"/>
    <n v="799"/>
    <n v="0"/>
    <n v="799"/>
    <n v="216"/>
    <n v="216"/>
    <n v="60"/>
    <n v="523"/>
    <n v="0.65456821026282852"/>
    <x v="4"/>
    <d v="2025-08-16T00:00:00"/>
    <n v="1"/>
    <x v="1"/>
    <n v="5"/>
    <n v="0"/>
  </r>
  <r>
    <s v="ORD-103655"/>
    <x v="588"/>
    <x v="1"/>
    <d v="2025-08-01T00:00:00"/>
    <n v="8"/>
    <s v="CUST-00877"/>
    <x v="1"/>
    <x v="18"/>
    <s v="WB"/>
    <x v="2"/>
    <s v="Kolkata"/>
    <x v="0"/>
    <s v="P202"/>
    <s v="Argan Shampoo"/>
    <x v="6"/>
    <n v="2"/>
    <n v="449"/>
    <n v="0"/>
    <n v="898"/>
    <n v="0"/>
    <n v="898"/>
    <n v="148"/>
    <n v="296"/>
    <n v="60"/>
    <n v="542"/>
    <n v="0.60356347438752789"/>
    <x v="3"/>
    <d v="2025-08-19T00:00:00"/>
    <n v="4"/>
    <x v="0"/>
    <n v="4"/>
    <n v="0"/>
  </r>
  <r>
    <s v="ORD-103656"/>
    <x v="588"/>
    <x v="1"/>
    <d v="2025-08-01T00:00:00"/>
    <n v="8"/>
    <s v="CUST-02067"/>
    <x v="1"/>
    <x v="21"/>
    <s v="TG"/>
    <x v="3"/>
    <s v="Hyderabad"/>
    <x v="4"/>
    <s v="P204"/>
    <s v="Anti-Dandruff Conditioner"/>
    <x v="6"/>
    <n v="2"/>
    <n v="399"/>
    <n v="0.3"/>
    <n v="798"/>
    <n v="239.39999999999998"/>
    <n v="558.6"/>
    <n v="136"/>
    <n v="272"/>
    <n v="60"/>
    <n v="226.60000000000002"/>
    <n v="0.40565699964196206"/>
    <x v="2"/>
    <d v="2025-08-17T00:00:00"/>
    <n v="2"/>
    <x v="1"/>
    <n v="4"/>
    <n v="0"/>
  </r>
  <r>
    <s v="ORD-103657"/>
    <x v="588"/>
    <x v="1"/>
    <d v="2025-08-01T00:00:00"/>
    <n v="8"/>
    <s v="CUST-00816"/>
    <x v="1"/>
    <x v="8"/>
    <s v="AP"/>
    <x v="3"/>
    <s v="Vijayawada"/>
    <x v="4"/>
    <s v="P604"/>
    <s v="Power Bank 20000mAh"/>
    <x v="2"/>
    <n v="2"/>
    <n v="1799"/>
    <n v="0.4"/>
    <n v="3598"/>
    <n v="1439.2"/>
    <n v="2158.8000000000002"/>
    <n v="1079"/>
    <n v="2158"/>
    <n v="60"/>
    <n v="-59.199999999999818"/>
    <n v="-2.742264220863434E-2"/>
    <x v="2"/>
    <d v="2025-08-18T00:00:00"/>
    <n v="3"/>
    <x v="0"/>
    <n v="3"/>
    <n v="0"/>
  </r>
  <r>
    <s v="ORD-103658"/>
    <x v="589"/>
    <x v="1"/>
    <d v="2025-08-01T00:00:00"/>
    <n v="8"/>
    <s v="CUST-01168"/>
    <x v="1"/>
    <x v="0"/>
    <s v="RJ"/>
    <x v="0"/>
    <s v="Jaipur"/>
    <x v="4"/>
    <s v="P105"/>
    <s v="Retinol Night Cream"/>
    <x v="3"/>
    <n v="1"/>
    <n v="799"/>
    <n v="0.15"/>
    <n v="799"/>
    <n v="119.85"/>
    <n v="679.15"/>
    <n v="216"/>
    <n v="216"/>
    <n v="60"/>
    <n v="403.15"/>
    <n v="0.59360965913273944"/>
    <x v="0"/>
    <d v="2025-08-19T00:00:00"/>
    <n v="3"/>
    <x v="0"/>
    <m/>
    <n v="0"/>
  </r>
  <r>
    <s v="ORD-103659"/>
    <x v="589"/>
    <x v="1"/>
    <d v="2025-08-01T00:00:00"/>
    <n v="8"/>
    <s v="CUST-02162"/>
    <x v="1"/>
    <x v="6"/>
    <s v="DL"/>
    <x v="0"/>
    <s v="New Delhi"/>
    <x v="1"/>
    <s v="P404"/>
    <s v="Flip Flops"/>
    <x v="5"/>
    <n v="1"/>
    <n v="399"/>
    <n v="0.2"/>
    <n v="399"/>
    <n v="79.800000000000011"/>
    <n v="319.2"/>
    <n v="152"/>
    <n v="152"/>
    <n v="60"/>
    <n v="107.19999999999999"/>
    <n v="0.33583959899749372"/>
    <x v="1"/>
    <d v="2025-08-17T00:00:00"/>
    <n v="1"/>
    <x v="1"/>
    <n v="3"/>
    <n v="0"/>
  </r>
  <r>
    <s v="ORD-103660"/>
    <x v="589"/>
    <x v="1"/>
    <d v="2025-08-01T00:00:00"/>
    <n v="8"/>
    <s v="CUST-00549"/>
    <x v="1"/>
    <x v="2"/>
    <s v="MH"/>
    <x v="1"/>
    <s v="Nagpur"/>
    <x v="2"/>
    <s v="P202"/>
    <s v="Argan Shampoo"/>
    <x v="6"/>
    <n v="1"/>
    <n v="449"/>
    <n v="0"/>
    <n v="449"/>
    <n v="0"/>
    <n v="449"/>
    <n v="148"/>
    <n v="148"/>
    <n v="60"/>
    <n v="241"/>
    <n v="0.53674832962138086"/>
    <x v="0"/>
    <d v="2025-08-19T00:00:00"/>
    <n v="3"/>
    <x v="0"/>
    <m/>
    <n v="0"/>
  </r>
  <r>
    <s v="ORD-103661"/>
    <x v="589"/>
    <x v="1"/>
    <d v="2025-08-01T00:00:00"/>
    <n v="8"/>
    <s v="CUST-00793"/>
    <x v="1"/>
    <x v="2"/>
    <s v="MH"/>
    <x v="1"/>
    <s v="Pune"/>
    <x v="0"/>
    <s v="P601"/>
    <s v="Wireless Earbuds"/>
    <x v="2"/>
    <n v="2"/>
    <n v="1999"/>
    <n v="0.35"/>
    <n v="3998"/>
    <n v="1399.3"/>
    <n v="2598.6999999999998"/>
    <n v="1239"/>
    <n v="2478"/>
    <n v="60"/>
    <n v="60.699999999999818"/>
    <n v="2.3357832762535044E-2"/>
    <x v="1"/>
    <d v="2025-08-18T00:00:00"/>
    <n v="2"/>
    <x v="1"/>
    <n v="5"/>
    <n v="0"/>
  </r>
  <r>
    <s v="ORD-103662"/>
    <x v="589"/>
    <x v="1"/>
    <d v="2025-08-01T00:00:00"/>
    <n v="8"/>
    <s v="CUST-03093"/>
    <x v="1"/>
    <x v="2"/>
    <s v="MH"/>
    <x v="1"/>
    <s v="Nagpur"/>
    <x v="0"/>
    <s v="P101"/>
    <s v="Vitamin C Face Serum"/>
    <x v="3"/>
    <n v="1"/>
    <n v="599"/>
    <n v="0.25"/>
    <n v="599"/>
    <n v="149.75"/>
    <n v="449.25"/>
    <n v="180"/>
    <n v="180"/>
    <n v="120"/>
    <n v="149.25"/>
    <n v="0.332220367278798"/>
    <x v="0"/>
    <d v="2025-08-17T00:00:00"/>
    <n v="1"/>
    <x v="1"/>
    <n v="5"/>
    <n v="1"/>
  </r>
  <r>
    <s v="ORD-103663"/>
    <x v="589"/>
    <x v="1"/>
    <d v="2025-08-01T00:00:00"/>
    <n v="8"/>
    <s v="CUST-00878"/>
    <x v="1"/>
    <x v="14"/>
    <s v="KL"/>
    <x v="3"/>
    <s v="Kochi"/>
    <x v="2"/>
    <s v="P102"/>
    <s v="Sunscreen SPF 50"/>
    <x v="3"/>
    <n v="1"/>
    <n v="449"/>
    <n v="0"/>
    <n v="449"/>
    <n v="0"/>
    <n v="449"/>
    <n v="144"/>
    <n v="144"/>
    <n v="60"/>
    <n v="245"/>
    <n v="0.54565701559020041"/>
    <x v="4"/>
    <d v="2025-08-21T00:00:00"/>
    <n v="5"/>
    <x v="2"/>
    <m/>
    <n v="0"/>
  </r>
  <r>
    <s v="ORD-103664"/>
    <x v="590"/>
    <x v="1"/>
    <d v="2025-08-01T00:00:00"/>
    <n v="8"/>
    <s v="CUST-00803"/>
    <x v="1"/>
    <x v="10"/>
    <s v="CG"/>
    <x v="2"/>
    <s v="Raipur"/>
    <x v="0"/>
    <s v="P305"/>
    <s v="Printed Saree"/>
    <x v="1"/>
    <n v="1"/>
    <n v="1999"/>
    <n v="0.05"/>
    <n v="1999"/>
    <n v="99.95"/>
    <n v="1899.05"/>
    <n v="880"/>
    <n v="880"/>
    <n v="60"/>
    <n v="959.05"/>
    <n v="0.50501566572760059"/>
    <x v="1"/>
    <d v="2025-08-21T00:00:00"/>
    <n v="4"/>
    <x v="0"/>
    <n v="3"/>
    <n v="0"/>
  </r>
  <r>
    <s v="ORD-103665"/>
    <x v="590"/>
    <x v="1"/>
    <d v="2025-08-01T00:00:00"/>
    <n v="8"/>
    <s v="CUST-02932"/>
    <x v="1"/>
    <x v="2"/>
    <s v="MH"/>
    <x v="1"/>
    <s v="Mumbai"/>
    <x v="1"/>
    <s v="P303"/>
    <s v="Joggers"/>
    <x v="1"/>
    <n v="1"/>
    <n v="1199"/>
    <n v="0.1"/>
    <n v="1199"/>
    <n v="119.9"/>
    <n v="1079.0999999999999"/>
    <n v="492"/>
    <n v="492"/>
    <n v="60"/>
    <n v="527.09999999999991"/>
    <n v="0.48846260772866273"/>
    <x v="3"/>
    <d v="2025-08-19T00:00:00"/>
    <n v="2"/>
    <x v="1"/>
    <m/>
    <n v="0"/>
  </r>
  <r>
    <s v="ORD-103666"/>
    <x v="590"/>
    <x v="1"/>
    <d v="2025-08-01T00:00:00"/>
    <n v="8"/>
    <s v="CUST-00541"/>
    <x v="1"/>
    <x v="11"/>
    <s v="KA"/>
    <x v="3"/>
    <s v="Bengaluru"/>
    <x v="1"/>
    <s v="P302"/>
    <s v="Linen Kurta"/>
    <x v="1"/>
    <n v="1"/>
    <n v="1499"/>
    <n v="0.25"/>
    <n v="1499"/>
    <n v="374.75"/>
    <n v="1124.25"/>
    <n v="630"/>
    <n v="630"/>
    <n v="60"/>
    <n v="434.25"/>
    <n v="0.38625750500333556"/>
    <x v="0"/>
    <d v="2025-08-20T00:00:00"/>
    <n v="3"/>
    <x v="0"/>
    <n v="4"/>
    <n v="0"/>
  </r>
  <r>
    <s v="ORD-103667"/>
    <x v="590"/>
    <x v="1"/>
    <d v="2025-08-01T00:00:00"/>
    <n v="8"/>
    <s v="CUST-00302"/>
    <x v="1"/>
    <x v="17"/>
    <s v="TN"/>
    <x v="3"/>
    <s v="Chennai"/>
    <x v="0"/>
    <s v="P404"/>
    <s v="Flip Flops"/>
    <x v="5"/>
    <n v="1"/>
    <n v="399"/>
    <n v="0.05"/>
    <n v="399"/>
    <n v="19.950000000000003"/>
    <n v="379.05"/>
    <n v="152"/>
    <n v="152"/>
    <n v="60"/>
    <n v="167.05"/>
    <n v="0.44070703073473161"/>
    <x v="4"/>
    <d v="2025-08-19T00:00:00"/>
    <n v="2"/>
    <x v="1"/>
    <n v="5"/>
    <n v="0"/>
  </r>
  <r>
    <s v="ORD-103668"/>
    <x v="590"/>
    <x v="1"/>
    <d v="2025-08-01T00:00:00"/>
    <n v="8"/>
    <s v="CUST-00327"/>
    <x v="1"/>
    <x v="17"/>
    <s v="TN"/>
    <x v="3"/>
    <s v="Coimbatore"/>
    <x v="3"/>
    <s v="P101"/>
    <s v="Vitamin C Face Serum"/>
    <x v="3"/>
    <n v="1"/>
    <n v="599"/>
    <n v="0.25"/>
    <n v="599"/>
    <n v="149.75"/>
    <n v="449.25"/>
    <n v="180"/>
    <n v="180"/>
    <n v="60"/>
    <n v="209.25"/>
    <n v="0.46577629382303842"/>
    <x v="3"/>
    <d v="2025-08-19T00:00:00"/>
    <n v="2"/>
    <x v="1"/>
    <n v="3"/>
    <n v="0"/>
  </r>
  <r>
    <s v="ORD-103669"/>
    <x v="591"/>
    <x v="1"/>
    <d v="2025-08-01T00:00:00"/>
    <n v="8"/>
    <s v="CUST-00214"/>
    <x v="1"/>
    <x v="0"/>
    <s v="RJ"/>
    <x v="0"/>
    <s v="Udaipur"/>
    <x v="0"/>
    <s v="P701"/>
    <s v="Ashwagandha Capsules"/>
    <x v="0"/>
    <n v="1"/>
    <n v="499"/>
    <n v="0"/>
    <n v="499"/>
    <n v="0"/>
    <n v="499"/>
    <n v="150"/>
    <n v="150"/>
    <n v="60"/>
    <n v="289"/>
    <n v="0.57915831663326656"/>
    <x v="3"/>
    <d v="2025-08-21T00:00:00"/>
    <n v="3"/>
    <x v="0"/>
    <n v="4"/>
    <n v="0"/>
  </r>
  <r>
    <s v="ORD-103670"/>
    <x v="591"/>
    <x v="1"/>
    <d v="2025-08-01T00:00:00"/>
    <n v="8"/>
    <s v="CUST-00565"/>
    <x v="1"/>
    <x v="15"/>
    <s v="HR"/>
    <x v="0"/>
    <s v="Gurugram"/>
    <x v="3"/>
    <s v="P203"/>
    <s v="Keratin Hair Mask"/>
    <x v="6"/>
    <n v="1"/>
    <n v="549"/>
    <n v="0.15"/>
    <n v="549"/>
    <n v="82.35"/>
    <n v="466.65"/>
    <n v="170"/>
    <n v="170"/>
    <n v="60"/>
    <n v="236.64999999999998"/>
    <n v="0.50712525447337398"/>
    <x v="3"/>
    <d v="2025-08-19T00:00:00"/>
    <n v="1"/>
    <x v="1"/>
    <m/>
    <n v="0"/>
  </r>
  <r>
    <s v="ORD-103671"/>
    <x v="591"/>
    <x v="1"/>
    <d v="2025-08-01T00:00:00"/>
    <n v="8"/>
    <s v="CUST-00819"/>
    <x v="1"/>
    <x v="10"/>
    <s v="CG"/>
    <x v="2"/>
    <s v="Raipur"/>
    <x v="0"/>
    <s v="P403"/>
    <s v="Kolhapuri Sandals"/>
    <x v="5"/>
    <n v="2"/>
    <n v="999"/>
    <n v="0.05"/>
    <n v="1998"/>
    <n v="99.9"/>
    <n v="1898.1"/>
    <n v="400"/>
    <n v="800"/>
    <n v="60"/>
    <n v="1038.0999999999999"/>
    <n v="0.54691533638902057"/>
    <x v="3"/>
    <d v="2025-08-23T00:00:00"/>
    <n v="5"/>
    <x v="2"/>
    <n v="4"/>
    <n v="0"/>
  </r>
  <r>
    <s v="ORD-103672"/>
    <x v="591"/>
    <x v="1"/>
    <d v="2025-08-01T00:00:00"/>
    <n v="8"/>
    <s v="CUST-01750"/>
    <x v="0"/>
    <x v="7"/>
    <s v="JH"/>
    <x v="2"/>
    <s v="Ranchi"/>
    <x v="1"/>
    <s v="P302"/>
    <s v="Linen Kurta"/>
    <x v="1"/>
    <n v="2"/>
    <n v="1499"/>
    <n v="0.25"/>
    <n v="2998"/>
    <n v="749.5"/>
    <n v="2248.5"/>
    <n v="630"/>
    <n v="1260"/>
    <n v="60"/>
    <n v="928.5"/>
    <n v="0.41294196130753835"/>
    <x v="2"/>
    <d v="2025-08-22T00:00:00"/>
    <n v="4"/>
    <x v="0"/>
    <n v="4"/>
    <n v="0"/>
  </r>
  <r>
    <s v="ORD-103673"/>
    <x v="591"/>
    <x v="1"/>
    <d v="2025-08-01T00:00:00"/>
    <n v="8"/>
    <s v="CUST-01077"/>
    <x v="1"/>
    <x v="18"/>
    <s v="WB"/>
    <x v="2"/>
    <s v="Kolkata"/>
    <x v="1"/>
    <s v="P302"/>
    <s v="Linen Kurta"/>
    <x v="1"/>
    <n v="1"/>
    <n v="1499"/>
    <n v="0.25"/>
    <n v="1499"/>
    <n v="374.75"/>
    <n v="1124.25"/>
    <n v="630"/>
    <n v="630"/>
    <n v="60"/>
    <n v="434.25"/>
    <n v="0.38625750500333556"/>
    <x v="3"/>
    <d v="2025-08-21T00:00:00"/>
    <n v="3"/>
    <x v="0"/>
    <m/>
    <n v="0"/>
  </r>
  <r>
    <s v="ORD-103674"/>
    <x v="591"/>
    <x v="1"/>
    <d v="2025-08-01T00:00:00"/>
    <n v="8"/>
    <s v="CUST-00823"/>
    <x v="1"/>
    <x v="18"/>
    <s v="WB"/>
    <x v="2"/>
    <s v="Kolkata"/>
    <x v="0"/>
    <s v="P503"/>
    <s v="Scented Candle Set"/>
    <x v="4"/>
    <n v="1"/>
    <n v="699"/>
    <n v="0.2"/>
    <n v="699"/>
    <n v="139.80000000000001"/>
    <n v="559.20000000000005"/>
    <n v="245"/>
    <n v="245"/>
    <n v="60"/>
    <n v="254.20000000000005"/>
    <n v="0.45457796852646642"/>
    <x v="0"/>
    <d v="2025-08-22T00:00:00"/>
    <n v="4"/>
    <x v="0"/>
    <n v="4"/>
    <n v="0"/>
  </r>
  <r>
    <s v="ORD-103675"/>
    <x v="591"/>
    <x v="1"/>
    <d v="2025-08-01T00:00:00"/>
    <n v="8"/>
    <s v="CUST-00584"/>
    <x v="0"/>
    <x v="21"/>
    <s v="TG"/>
    <x v="3"/>
    <s v="Hyderabad"/>
    <x v="2"/>
    <s v="P202"/>
    <s v="Argan Shampoo"/>
    <x v="6"/>
    <n v="1"/>
    <n v="449"/>
    <n v="0.05"/>
    <n v="449"/>
    <n v="22.450000000000003"/>
    <n v="426.55"/>
    <n v="148"/>
    <n v="148"/>
    <n v="60"/>
    <n v="218.55"/>
    <n v="0.51236666275934828"/>
    <x v="1"/>
    <d v="2025-08-22T00:00:00"/>
    <n v="4"/>
    <x v="0"/>
    <n v="4"/>
    <n v="0"/>
  </r>
  <r>
    <s v="ORD-103676"/>
    <x v="591"/>
    <x v="1"/>
    <d v="2025-08-01T00:00:00"/>
    <n v="8"/>
    <s v="CUST-00570"/>
    <x v="1"/>
    <x v="14"/>
    <s v="KL"/>
    <x v="3"/>
    <s v="Thiruvananthapuram"/>
    <x v="2"/>
    <s v="P101"/>
    <s v="Vitamin C Face Serum"/>
    <x v="3"/>
    <n v="1"/>
    <n v="599"/>
    <n v="0.2"/>
    <n v="599"/>
    <n v="119.80000000000001"/>
    <n v="479.2"/>
    <n v="180"/>
    <n v="180"/>
    <n v="60"/>
    <n v="239.2"/>
    <n v="0.4991652754590985"/>
    <x v="3"/>
    <d v="2025-08-21T00:00:00"/>
    <n v="3"/>
    <x v="0"/>
    <n v="4"/>
    <n v="0"/>
  </r>
  <r>
    <s v="ORD-103677"/>
    <x v="591"/>
    <x v="1"/>
    <d v="2025-08-01T00:00:00"/>
    <n v="8"/>
    <s v="CUST-00778"/>
    <x v="1"/>
    <x v="17"/>
    <s v="TN"/>
    <x v="3"/>
    <s v="Coimbatore"/>
    <x v="1"/>
    <s v="P303"/>
    <s v="Joggers"/>
    <x v="1"/>
    <n v="1"/>
    <n v="1199"/>
    <n v="0.15"/>
    <n v="1199"/>
    <n v="179.85"/>
    <n v="1019.15"/>
    <n v="492"/>
    <n v="492"/>
    <n v="120"/>
    <n v="407.15"/>
    <n v="0.3994995829858215"/>
    <x v="3"/>
    <d v="2025-08-19T00:00:00"/>
    <n v="1"/>
    <x v="1"/>
    <n v="5"/>
    <n v="1"/>
  </r>
  <r>
    <s v="ORD-103678"/>
    <x v="592"/>
    <x v="1"/>
    <d v="2025-08-01T00:00:00"/>
    <n v="8"/>
    <s v="CUST-00885"/>
    <x v="1"/>
    <x v="1"/>
    <s v="GJ"/>
    <x v="1"/>
    <s v="Ahmedabad"/>
    <x v="0"/>
    <s v="P701"/>
    <s v="Ashwagandha Capsules"/>
    <x v="0"/>
    <n v="1"/>
    <n v="499"/>
    <n v="0.05"/>
    <n v="499"/>
    <n v="24.950000000000003"/>
    <n v="474.05"/>
    <n v="150"/>
    <n v="150"/>
    <n v="60"/>
    <n v="264.05"/>
    <n v="0.55700875435080688"/>
    <x v="0"/>
    <d v="2025-08-22T00:00:00"/>
    <n v="3"/>
    <x v="0"/>
    <n v="3"/>
    <n v="0"/>
  </r>
  <r>
    <s v="ORD-103679"/>
    <x v="592"/>
    <x v="1"/>
    <d v="2025-08-01T00:00:00"/>
    <n v="8"/>
    <s v="CUST-00844"/>
    <x v="1"/>
    <x v="13"/>
    <s v="MP"/>
    <x v="1"/>
    <s v="Indore"/>
    <x v="2"/>
    <s v="P202"/>
    <s v="Argan Shampoo"/>
    <x v="6"/>
    <n v="1"/>
    <n v="449"/>
    <n v="0"/>
    <n v="449"/>
    <n v="0"/>
    <n v="449"/>
    <n v="148"/>
    <n v="148"/>
    <n v="60"/>
    <n v="241"/>
    <n v="0.53674832962138086"/>
    <x v="0"/>
    <d v="2025-08-22T00:00:00"/>
    <n v="3"/>
    <x v="0"/>
    <n v="5"/>
    <n v="0"/>
  </r>
  <r>
    <s v="ORD-103680"/>
    <x v="592"/>
    <x v="1"/>
    <d v="2025-08-01T00:00:00"/>
    <n v="8"/>
    <s v="CUST-00707"/>
    <x v="1"/>
    <x v="2"/>
    <s v="MH"/>
    <x v="1"/>
    <s v="Nagpur"/>
    <x v="3"/>
    <s v="P102"/>
    <s v="Sunscreen SPF 50"/>
    <x v="3"/>
    <n v="1"/>
    <n v="449"/>
    <n v="0"/>
    <n v="449"/>
    <n v="0"/>
    <n v="449"/>
    <n v="144"/>
    <n v="144"/>
    <n v="60"/>
    <n v="245"/>
    <n v="0.54565701559020041"/>
    <x v="0"/>
    <d v="2025-08-22T00:00:00"/>
    <n v="3"/>
    <x v="0"/>
    <m/>
    <n v="0"/>
  </r>
  <r>
    <s v="ORD-103681"/>
    <x v="592"/>
    <x v="1"/>
    <d v="2025-08-01T00:00:00"/>
    <n v="8"/>
    <s v="CUST-02940"/>
    <x v="0"/>
    <x v="3"/>
    <s v="OD"/>
    <x v="2"/>
    <s v="Bhubaneswar"/>
    <x v="0"/>
    <s v="P501"/>
    <s v="Copper Water Bottle"/>
    <x v="4"/>
    <n v="1"/>
    <n v="899"/>
    <n v="0.15"/>
    <n v="899"/>
    <n v="134.85"/>
    <n v="764.15"/>
    <n v="378"/>
    <n v="378"/>
    <n v="60"/>
    <n v="326.14999999999998"/>
    <n v="0.42681410717791007"/>
    <x v="3"/>
    <d v="2025-08-23T00:00:00"/>
    <n v="4"/>
    <x v="0"/>
    <m/>
    <n v="0"/>
  </r>
  <r>
    <s v="ORD-103682"/>
    <x v="592"/>
    <x v="1"/>
    <d v="2025-08-01T00:00:00"/>
    <n v="8"/>
    <s v="CUST-00054"/>
    <x v="1"/>
    <x v="14"/>
    <s v="KL"/>
    <x v="3"/>
    <s v="Kochi"/>
    <x v="2"/>
    <s v="P703"/>
    <s v="Green Tea (100 bags)"/>
    <x v="0"/>
    <n v="2"/>
    <n v="399"/>
    <n v="0.35"/>
    <n v="798"/>
    <n v="279.29999999999995"/>
    <n v="518.70000000000005"/>
    <n v="128"/>
    <n v="256"/>
    <n v="60"/>
    <n v="202.70000000000005"/>
    <n v="0.39078465394254874"/>
    <x v="1"/>
    <d v="2025-08-25T00:00:00"/>
    <n v="6"/>
    <x v="2"/>
    <n v="4"/>
    <n v="0"/>
  </r>
  <r>
    <s v="ORD-103683"/>
    <x v="593"/>
    <x v="1"/>
    <d v="2025-08-01T00:00:00"/>
    <n v="8"/>
    <s v="CUST-00408"/>
    <x v="1"/>
    <x v="4"/>
    <s v="JK"/>
    <x v="0"/>
    <s v="Srinagar"/>
    <x v="2"/>
    <s v="P201"/>
    <s v="Onion Hair Oil"/>
    <x v="6"/>
    <n v="1"/>
    <n v="349"/>
    <n v="0.25"/>
    <n v="349"/>
    <n v="87.25"/>
    <n v="261.75"/>
    <n v="105"/>
    <n v="105"/>
    <n v="60"/>
    <n v="96.75"/>
    <n v="0.36962750716332377"/>
    <x v="0"/>
    <d v="2025-08-26T00:00:00"/>
    <n v="6"/>
    <x v="2"/>
    <n v="4"/>
    <n v="0"/>
  </r>
  <r>
    <s v="ORD-103684"/>
    <x v="593"/>
    <x v="1"/>
    <d v="2025-08-01T00:00:00"/>
    <n v="8"/>
    <s v="CUST-00588"/>
    <x v="1"/>
    <x v="6"/>
    <s v="DL"/>
    <x v="0"/>
    <s v="New Delhi"/>
    <x v="0"/>
    <s v="P302"/>
    <s v="Linen Kurta"/>
    <x v="1"/>
    <n v="2"/>
    <n v="1499"/>
    <n v="0.4"/>
    <n v="2998"/>
    <n v="1199.2"/>
    <n v="1798.8"/>
    <n v="630"/>
    <n v="1260"/>
    <n v="60"/>
    <n v="478.79999999999995"/>
    <n v="0.26617745163442291"/>
    <x v="0"/>
    <d v="2025-08-23T00:00:00"/>
    <n v="3"/>
    <x v="0"/>
    <n v="3"/>
    <n v="0"/>
  </r>
  <r>
    <s v="ORD-103685"/>
    <x v="593"/>
    <x v="1"/>
    <d v="2025-08-01T00:00:00"/>
    <n v="8"/>
    <s v="CUST-00015"/>
    <x v="1"/>
    <x v="16"/>
    <s v="UP"/>
    <x v="0"/>
    <s v="Lucknow"/>
    <x v="2"/>
    <s v="P404"/>
    <s v="Flip Flops"/>
    <x v="5"/>
    <n v="2"/>
    <n v="399"/>
    <n v="0.15"/>
    <n v="798"/>
    <n v="119.69999999999999"/>
    <n v="678.3"/>
    <n v="152"/>
    <n v="304"/>
    <n v="60"/>
    <n v="314.29999999999995"/>
    <n v="0.4633642930856553"/>
    <x v="0"/>
    <d v="2025-08-24T00:00:00"/>
    <n v="4"/>
    <x v="0"/>
    <n v="3"/>
    <n v="0"/>
  </r>
  <r>
    <s v="ORD-103686"/>
    <x v="593"/>
    <x v="1"/>
    <d v="2025-08-01T00:00:00"/>
    <n v="8"/>
    <s v="CUST-00345"/>
    <x v="1"/>
    <x v="1"/>
    <s v="GJ"/>
    <x v="1"/>
    <s v="Surat"/>
    <x v="0"/>
    <s v="P402"/>
    <s v="Casual Sneakers"/>
    <x v="5"/>
    <n v="1"/>
    <n v="2199"/>
    <n v="0.3"/>
    <n v="2199"/>
    <n v="659.69999999999993"/>
    <n v="1539.3000000000002"/>
    <n v="1034"/>
    <n v="1034"/>
    <n v="60"/>
    <n v="445.30000000000018"/>
    <n v="0.28928733840057175"/>
    <x v="0"/>
    <d v="2025-08-23T00:00:00"/>
    <n v="3"/>
    <x v="0"/>
    <n v="4"/>
    <n v="0"/>
  </r>
  <r>
    <s v="ORD-103687"/>
    <x v="593"/>
    <x v="1"/>
    <d v="2025-08-01T00:00:00"/>
    <n v="8"/>
    <s v="CUST-02782"/>
    <x v="1"/>
    <x v="13"/>
    <s v="MP"/>
    <x v="1"/>
    <s v="Bhopal"/>
    <x v="0"/>
    <s v="P403"/>
    <s v="Kolhapuri Sandals"/>
    <x v="5"/>
    <n v="1"/>
    <n v="999"/>
    <n v="0"/>
    <n v="999"/>
    <n v="0"/>
    <n v="999"/>
    <n v="400"/>
    <n v="400"/>
    <n v="60"/>
    <n v="539"/>
    <n v="0.53953953953953959"/>
    <x v="1"/>
    <d v="2025-08-26T00:00:00"/>
    <n v="6"/>
    <x v="2"/>
    <n v="3"/>
    <n v="0"/>
  </r>
  <r>
    <s v="ORD-103688"/>
    <x v="593"/>
    <x v="1"/>
    <d v="2025-08-01T00:00:00"/>
    <n v="8"/>
    <s v="CUST-01105"/>
    <x v="1"/>
    <x v="10"/>
    <s v="CG"/>
    <x v="2"/>
    <s v="Raipur"/>
    <x v="0"/>
    <s v="P201"/>
    <s v="Onion Hair Oil"/>
    <x v="6"/>
    <n v="1"/>
    <n v="349"/>
    <n v="0.25"/>
    <n v="349"/>
    <n v="87.25"/>
    <n v="261.75"/>
    <n v="105"/>
    <n v="105"/>
    <n v="60"/>
    <n v="96.75"/>
    <n v="0.36962750716332377"/>
    <x v="0"/>
    <d v="2025-08-24T00:00:00"/>
    <n v="4"/>
    <x v="0"/>
    <n v="5"/>
    <n v="0"/>
  </r>
  <r>
    <s v="ORD-103689"/>
    <x v="593"/>
    <x v="1"/>
    <d v="2025-08-01T00:00:00"/>
    <n v="8"/>
    <s v="CUST-01033"/>
    <x v="1"/>
    <x v="2"/>
    <s v="MH"/>
    <x v="1"/>
    <s v="Nagpur"/>
    <x v="2"/>
    <s v="P105"/>
    <s v="Retinol Night Cream"/>
    <x v="3"/>
    <n v="2"/>
    <n v="799"/>
    <n v="0.05"/>
    <n v="1598"/>
    <n v="79.900000000000006"/>
    <n v="1518.1"/>
    <n v="216"/>
    <n v="432"/>
    <n v="60"/>
    <n v="1026.0999999999999"/>
    <n v="0.67591067782096037"/>
    <x v="0"/>
    <d v="2025-08-26T00:00:00"/>
    <n v="6"/>
    <x v="2"/>
    <n v="4"/>
    <n v="0"/>
  </r>
  <r>
    <s v="ORD-103690"/>
    <x v="593"/>
    <x v="1"/>
    <d v="2025-08-01T00:00:00"/>
    <n v="8"/>
    <s v="CUST-00077"/>
    <x v="0"/>
    <x v="2"/>
    <s v="MH"/>
    <x v="1"/>
    <s v="Pune"/>
    <x v="2"/>
    <s v="P404"/>
    <s v="Flip Flops"/>
    <x v="5"/>
    <n v="1"/>
    <n v="399"/>
    <n v="0.1"/>
    <n v="399"/>
    <n v="39.900000000000006"/>
    <n v="359.1"/>
    <n v="152"/>
    <n v="152"/>
    <n v="60"/>
    <n v="147.10000000000002"/>
    <n v="0.40963519910888335"/>
    <x v="0"/>
    <d v="2025-08-24T00:00:00"/>
    <n v="4"/>
    <x v="0"/>
    <n v="4"/>
    <n v="0"/>
  </r>
  <r>
    <s v="ORD-103691"/>
    <x v="593"/>
    <x v="1"/>
    <d v="2025-08-01T00:00:00"/>
    <n v="8"/>
    <s v="CUST-01005"/>
    <x v="1"/>
    <x v="11"/>
    <s v="KA"/>
    <x v="3"/>
    <s v="Bengaluru"/>
    <x v="4"/>
    <s v="P103"/>
    <s v="Niacinamide Toner"/>
    <x v="3"/>
    <n v="1"/>
    <n v="399"/>
    <n v="0.25"/>
    <n v="399"/>
    <n v="99.75"/>
    <n v="299.25"/>
    <n v="112"/>
    <n v="112"/>
    <n v="60"/>
    <n v="127.25"/>
    <n v="0.42522974101921468"/>
    <x v="4"/>
    <d v="2025-08-21T00:00:00"/>
    <n v="1"/>
    <x v="1"/>
    <n v="5"/>
    <n v="0"/>
  </r>
  <r>
    <s v="ORD-103692"/>
    <x v="593"/>
    <x v="1"/>
    <d v="2025-08-01T00:00:00"/>
    <n v="8"/>
    <s v="CUST-02326"/>
    <x v="1"/>
    <x v="11"/>
    <s v="KA"/>
    <x v="3"/>
    <s v="Bengaluru"/>
    <x v="1"/>
    <s v="P404"/>
    <s v="Flip Flops"/>
    <x v="5"/>
    <n v="1"/>
    <n v="399"/>
    <n v="0.05"/>
    <n v="399"/>
    <n v="19.950000000000003"/>
    <n v="379.05"/>
    <n v="152"/>
    <n v="152"/>
    <n v="120"/>
    <n v="107.05000000000001"/>
    <n v="0.2824165677351273"/>
    <x v="0"/>
    <d v="2025-08-24T00:00:00"/>
    <n v="4"/>
    <x v="0"/>
    <n v="4"/>
    <n v="1"/>
  </r>
  <r>
    <s v="ORD-103693"/>
    <x v="594"/>
    <x v="1"/>
    <d v="2025-08-01T00:00:00"/>
    <n v="8"/>
    <s v="CUST-01711"/>
    <x v="1"/>
    <x v="6"/>
    <s v="DL"/>
    <x v="0"/>
    <s v="New Delhi"/>
    <x v="0"/>
    <s v="P103"/>
    <s v="Niacinamide Toner"/>
    <x v="3"/>
    <n v="1"/>
    <n v="399"/>
    <n v="0.25"/>
    <n v="399"/>
    <n v="99.75"/>
    <n v="299.25"/>
    <n v="112"/>
    <n v="112"/>
    <n v="60"/>
    <n v="127.25"/>
    <n v="0.42522974101921468"/>
    <x v="2"/>
    <d v="2025-08-22T00:00:00"/>
    <n v="1"/>
    <x v="1"/>
    <m/>
    <n v="0"/>
  </r>
  <r>
    <s v="ORD-103694"/>
    <x v="594"/>
    <x v="1"/>
    <d v="2025-08-01T00:00:00"/>
    <n v="8"/>
    <s v="CUST-01035"/>
    <x v="1"/>
    <x v="6"/>
    <s v="DL"/>
    <x v="0"/>
    <s v="New Delhi"/>
    <x v="0"/>
    <s v="P105"/>
    <s v="Retinol Night Cream"/>
    <x v="3"/>
    <n v="1"/>
    <n v="799"/>
    <n v="0.05"/>
    <n v="799"/>
    <n v="39.950000000000003"/>
    <n v="759.05"/>
    <n v="216"/>
    <n v="216"/>
    <n v="60"/>
    <n v="483.04999999999995"/>
    <n v="0.63638758975034582"/>
    <x v="0"/>
    <d v="2025-08-24T00:00:00"/>
    <n v="3"/>
    <x v="0"/>
    <n v="4"/>
    <n v="0"/>
  </r>
  <r>
    <s v="ORD-103695"/>
    <x v="594"/>
    <x v="1"/>
    <d v="2025-08-01T00:00:00"/>
    <n v="8"/>
    <s v="CUST-00310"/>
    <x v="1"/>
    <x v="16"/>
    <s v="UP"/>
    <x v="0"/>
    <s v="Kanpur"/>
    <x v="1"/>
    <s v="P303"/>
    <s v="Joggers"/>
    <x v="1"/>
    <n v="3"/>
    <n v="1199"/>
    <n v="0.1"/>
    <n v="3597"/>
    <n v="359.70000000000005"/>
    <n v="3237.3"/>
    <n v="492"/>
    <n v="1476"/>
    <n v="60"/>
    <n v="1701.3000000000002"/>
    <n v="0.52553053470484667"/>
    <x v="4"/>
    <d v="2025-08-24T00:00:00"/>
    <n v="3"/>
    <x v="0"/>
    <n v="4"/>
    <n v="0"/>
  </r>
  <r>
    <s v="ORD-103696"/>
    <x v="594"/>
    <x v="1"/>
    <d v="2025-08-01T00:00:00"/>
    <n v="8"/>
    <s v="CUST-02025"/>
    <x v="0"/>
    <x v="12"/>
    <s v="BR"/>
    <x v="2"/>
    <s v="Patna"/>
    <x v="2"/>
    <s v="P603"/>
    <s v="Smartwatch Strap"/>
    <x v="2"/>
    <n v="2"/>
    <n v="499"/>
    <n v="0.05"/>
    <n v="998"/>
    <n v="49.900000000000006"/>
    <n v="948.1"/>
    <n v="200"/>
    <n v="400"/>
    <n v="60"/>
    <n v="488.1"/>
    <n v="0.51481911190802654"/>
    <x v="4"/>
    <d v="2025-08-26T00:00:00"/>
    <n v="5"/>
    <x v="2"/>
    <n v="3"/>
    <n v="0"/>
  </r>
  <r>
    <s v="ORD-103697"/>
    <x v="594"/>
    <x v="1"/>
    <d v="2025-08-01T00:00:00"/>
    <n v="8"/>
    <s v="CUST-00855"/>
    <x v="1"/>
    <x v="1"/>
    <s v="GJ"/>
    <x v="1"/>
    <s v="Surat"/>
    <x v="4"/>
    <s v="P701"/>
    <s v="Ashwagandha Capsules"/>
    <x v="0"/>
    <n v="1"/>
    <n v="499"/>
    <n v="0"/>
    <n v="499"/>
    <n v="0"/>
    <n v="499"/>
    <n v="150"/>
    <n v="150"/>
    <n v="60"/>
    <n v="289"/>
    <n v="0.57915831663326656"/>
    <x v="0"/>
    <d v="2025-08-25T00:00:00"/>
    <n v="4"/>
    <x v="0"/>
    <n v="4"/>
    <n v="0"/>
  </r>
  <r>
    <s v="ORD-103698"/>
    <x v="594"/>
    <x v="1"/>
    <d v="2025-08-01T00:00:00"/>
    <n v="8"/>
    <s v="CUST-00568"/>
    <x v="0"/>
    <x v="18"/>
    <s v="WB"/>
    <x v="2"/>
    <s v="Kolkata"/>
    <x v="0"/>
    <s v="P503"/>
    <s v="Scented Candle Set"/>
    <x v="4"/>
    <n v="1"/>
    <n v="699"/>
    <n v="0.2"/>
    <n v="699"/>
    <n v="139.80000000000001"/>
    <n v="559.20000000000005"/>
    <n v="245"/>
    <n v="245"/>
    <n v="60"/>
    <n v="254.20000000000005"/>
    <n v="0.45457796852646642"/>
    <x v="3"/>
    <d v="2025-08-24T00:00:00"/>
    <n v="3"/>
    <x v="0"/>
    <n v="4"/>
    <n v="0"/>
  </r>
  <r>
    <s v="ORD-103699"/>
    <x v="594"/>
    <x v="1"/>
    <d v="2025-08-01T00:00:00"/>
    <n v="8"/>
    <s v="CUST-01920"/>
    <x v="0"/>
    <x v="18"/>
    <s v="WB"/>
    <x v="2"/>
    <s v="Kolkata"/>
    <x v="3"/>
    <s v="P204"/>
    <s v="Anti-Dandruff Conditioner"/>
    <x v="6"/>
    <n v="4"/>
    <n v="399"/>
    <n v="0.35"/>
    <n v="1596"/>
    <n v="558.59999999999991"/>
    <n v="1037.4000000000001"/>
    <n v="136"/>
    <n v="544"/>
    <n v="60"/>
    <n v="433.40000000000009"/>
    <n v="0.4177752072488915"/>
    <x v="4"/>
    <d v="2025-08-24T00:00:00"/>
    <n v="3"/>
    <x v="0"/>
    <n v="4"/>
    <n v="0"/>
  </r>
  <r>
    <s v="ORD-103700"/>
    <x v="594"/>
    <x v="1"/>
    <d v="2025-08-01T00:00:00"/>
    <n v="8"/>
    <s v="CUST-00464"/>
    <x v="0"/>
    <x v="2"/>
    <s v="MH"/>
    <x v="1"/>
    <s v="Mumbai"/>
    <x v="2"/>
    <s v="P203"/>
    <s v="Keratin Hair Mask"/>
    <x v="6"/>
    <n v="4"/>
    <n v="549"/>
    <n v="0.1"/>
    <n v="2196"/>
    <n v="219.60000000000002"/>
    <n v="1976.4"/>
    <n v="170"/>
    <n v="680"/>
    <n v="60"/>
    <n v="1236.4000000000001"/>
    <n v="0.62558186601902455"/>
    <x v="0"/>
    <d v="2025-08-24T00:00:00"/>
    <n v="3"/>
    <x v="0"/>
    <m/>
    <n v="0"/>
  </r>
  <r>
    <s v="ORD-103701"/>
    <x v="594"/>
    <x v="1"/>
    <d v="2025-08-01T00:00:00"/>
    <n v="8"/>
    <s v="CUST-01376"/>
    <x v="1"/>
    <x v="17"/>
    <s v="TN"/>
    <x v="3"/>
    <s v="Coimbatore"/>
    <x v="1"/>
    <s v="P403"/>
    <s v="Kolhapuri Sandals"/>
    <x v="5"/>
    <n v="1"/>
    <n v="999"/>
    <n v="0"/>
    <n v="999"/>
    <n v="0"/>
    <n v="999"/>
    <n v="400"/>
    <n v="400"/>
    <n v="60"/>
    <n v="539"/>
    <n v="0.53953953953953959"/>
    <x v="2"/>
    <d v="2025-08-24T00:00:00"/>
    <n v="3"/>
    <x v="0"/>
    <m/>
    <n v="0"/>
  </r>
  <r>
    <s v="ORD-103702"/>
    <x v="595"/>
    <x v="1"/>
    <d v="2025-08-01T00:00:00"/>
    <n v="8"/>
    <s v="CUST-02085"/>
    <x v="1"/>
    <x v="12"/>
    <s v="BR"/>
    <x v="2"/>
    <s v="Patna"/>
    <x v="4"/>
    <s v="P302"/>
    <s v="Linen Kurta"/>
    <x v="1"/>
    <n v="2"/>
    <n v="1499"/>
    <n v="0.3"/>
    <n v="2998"/>
    <n v="899.4"/>
    <n v="2098.6"/>
    <n v="630"/>
    <n v="1260"/>
    <n v="60"/>
    <n v="778.59999999999991"/>
    <n v="0.3710092442580768"/>
    <x v="3"/>
    <d v="2025-08-27T00:00:00"/>
    <n v="5"/>
    <x v="2"/>
    <n v="4"/>
    <n v="0"/>
  </r>
  <r>
    <s v="ORD-103703"/>
    <x v="595"/>
    <x v="1"/>
    <d v="2025-08-01T00:00:00"/>
    <n v="8"/>
    <s v="CUST-00449"/>
    <x v="1"/>
    <x v="7"/>
    <s v="JH"/>
    <x v="2"/>
    <s v="Ranchi"/>
    <x v="1"/>
    <s v="P301"/>
    <s v="Cotton Oversized T-Shirt"/>
    <x v="1"/>
    <n v="1"/>
    <n v="799"/>
    <n v="0"/>
    <n v="799"/>
    <n v="0"/>
    <n v="799"/>
    <n v="320"/>
    <n v="320"/>
    <n v="60"/>
    <n v="419"/>
    <n v="0.52440550688360454"/>
    <x v="4"/>
    <d v="2025-08-27T00:00:00"/>
    <n v="5"/>
    <x v="2"/>
    <n v="4"/>
    <n v="0"/>
  </r>
  <r>
    <s v="ORD-103704"/>
    <x v="595"/>
    <x v="1"/>
    <d v="2025-08-01T00:00:00"/>
    <n v="8"/>
    <s v="CUST-00956"/>
    <x v="1"/>
    <x v="18"/>
    <s v="WB"/>
    <x v="2"/>
    <s v="Kolkata"/>
    <x v="1"/>
    <s v="P302"/>
    <s v="Linen Kurta"/>
    <x v="1"/>
    <n v="2"/>
    <n v="1499"/>
    <n v="0.3"/>
    <n v="2998"/>
    <n v="899.4"/>
    <n v="2098.6"/>
    <n v="630"/>
    <n v="1260"/>
    <n v="60"/>
    <n v="778.59999999999991"/>
    <n v="0.3710092442580768"/>
    <x v="0"/>
    <d v="2025-08-25T00:00:00"/>
    <n v="3"/>
    <x v="0"/>
    <n v="4"/>
    <n v="0"/>
  </r>
  <r>
    <s v="ORD-103705"/>
    <x v="595"/>
    <x v="1"/>
    <d v="2025-08-01T00:00:00"/>
    <n v="8"/>
    <s v="CUST-01155"/>
    <x v="1"/>
    <x v="2"/>
    <s v="MH"/>
    <x v="1"/>
    <s v="Pune"/>
    <x v="3"/>
    <s v="P201"/>
    <s v="Onion Hair Oil"/>
    <x v="6"/>
    <n v="2"/>
    <n v="349"/>
    <n v="0.3"/>
    <n v="698"/>
    <n v="209.4"/>
    <n v="488.6"/>
    <n v="105"/>
    <n v="210"/>
    <n v="60"/>
    <n v="218.60000000000002"/>
    <n v="0.44740073679901765"/>
    <x v="0"/>
    <d v="2025-08-23T00:00:00"/>
    <n v="1"/>
    <x v="1"/>
    <n v="5"/>
    <n v="0"/>
  </r>
  <r>
    <s v="ORD-103706"/>
    <x v="595"/>
    <x v="1"/>
    <d v="2025-08-01T00:00:00"/>
    <n v="8"/>
    <s v="CUST-00512"/>
    <x v="1"/>
    <x v="8"/>
    <s v="AP"/>
    <x v="3"/>
    <s v="Visakhapatnam"/>
    <x v="3"/>
    <s v="P704"/>
    <s v="Multivitamin Gummies"/>
    <x v="0"/>
    <n v="2"/>
    <n v="699"/>
    <n v="0.25"/>
    <n v="1398"/>
    <n v="349.5"/>
    <n v="1048.5"/>
    <n v="238"/>
    <n v="476"/>
    <n v="60"/>
    <n v="512.5"/>
    <n v="0.48879351454458753"/>
    <x v="0"/>
    <d v="2025-08-26T00:00:00"/>
    <n v="4"/>
    <x v="0"/>
    <n v="4"/>
    <n v="0"/>
  </r>
  <r>
    <s v="ORD-103707"/>
    <x v="595"/>
    <x v="1"/>
    <d v="2025-08-01T00:00:00"/>
    <n v="8"/>
    <s v="CUST-00837"/>
    <x v="1"/>
    <x v="8"/>
    <s v="AP"/>
    <x v="3"/>
    <s v="Visakhapatnam"/>
    <x v="0"/>
    <s v="P404"/>
    <s v="Flip Flops"/>
    <x v="5"/>
    <n v="2"/>
    <n v="399"/>
    <n v="0.1"/>
    <n v="798"/>
    <n v="79.800000000000011"/>
    <n v="718.2"/>
    <n v="152"/>
    <n v="304"/>
    <n v="60"/>
    <n v="354.20000000000005"/>
    <n v="0.49317738791423005"/>
    <x v="0"/>
    <d v="2025-08-27T00:00:00"/>
    <n v="5"/>
    <x v="2"/>
    <n v="4"/>
    <n v="0"/>
  </r>
  <r>
    <s v="ORD-103708"/>
    <x v="596"/>
    <x v="1"/>
    <d v="2025-08-01T00:00:00"/>
    <n v="8"/>
    <s v="CUST-00308"/>
    <x v="1"/>
    <x v="15"/>
    <s v="HR"/>
    <x v="0"/>
    <s v="Gurugram"/>
    <x v="3"/>
    <s v="P201"/>
    <s v="Onion Hair Oil"/>
    <x v="6"/>
    <n v="2"/>
    <n v="349"/>
    <n v="0.3"/>
    <n v="698"/>
    <n v="209.4"/>
    <n v="488.6"/>
    <n v="105"/>
    <n v="210"/>
    <n v="60"/>
    <n v="218.60000000000002"/>
    <n v="0.44740073679901765"/>
    <x v="0"/>
    <d v="2025-08-28T00:00:00"/>
    <n v="5"/>
    <x v="2"/>
    <n v="3"/>
    <n v="0"/>
  </r>
  <r>
    <s v="ORD-103709"/>
    <x v="596"/>
    <x v="1"/>
    <d v="2025-08-01T00:00:00"/>
    <n v="8"/>
    <s v="CUST-00048"/>
    <x v="0"/>
    <x v="16"/>
    <s v="UP"/>
    <x v="0"/>
    <s v="Kanpur"/>
    <x v="1"/>
    <s v="P404"/>
    <s v="Flip Flops"/>
    <x v="5"/>
    <n v="1"/>
    <n v="399"/>
    <n v="0.2"/>
    <n v="399"/>
    <n v="79.800000000000011"/>
    <n v="319.2"/>
    <n v="152"/>
    <n v="152"/>
    <n v="60"/>
    <n v="107.19999999999999"/>
    <n v="0.33583959899749372"/>
    <x v="0"/>
    <d v="2025-08-29T00:00:00"/>
    <n v="6"/>
    <x v="2"/>
    <n v="2"/>
    <n v="0"/>
  </r>
  <r>
    <s v="ORD-103710"/>
    <x v="596"/>
    <x v="1"/>
    <d v="2025-08-01T00:00:00"/>
    <n v="8"/>
    <s v="CUST-00316"/>
    <x v="1"/>
    <x v="12"/>
    <s v="BR"/>
    <x v="2"/>
    <s v="Patna"/>
    <x v="4"/>
    <s v="P201"/>
    <s v="Onion Hair Oil"/>
    <x v="6"/>
    <n v="1"/>
    <n v="349"/>
    <n v="0.3"/>
    <n v="349"/>
    <n v="104.7"/>
    <n v="244.3"/>
    <n v="105"/>
    <n v="105"/>
    <n v="60"/>
    <n v="79.300000000000011"/>
    <n v="0.32460090053213264"/>
    <x v="0"/>
    <d v="2025-08-27T00:00:00"/>
    <n v="4"/>
    <x v="0"/>
    <n v="4"/>
    <n v="0"/>
  </r>
  <r>
    <s v="ORD-103711"/>
    <x v="596"/>
    <x v="1"/>
    <d v="2025-08-01T00:00:00"/>
    <n v="8"/>
    <s v="CUST-01215"/>
    <x v="1"/>
    <x v="13"/>
    <s v="MP"/>
    <x v="1"/>
    <s v="Bhopal"/>
    <x v="3"/>
    <s v="P203"/>
    <s v="Keratin Hair Mask"/>
    <x v="6"/>
    <n v="2"/>
    <n v="549"/>
    <n v="0.2"/>
    <n v="1098"/>
    <n v="219.60000000000002"/>
    <n v="878.4"/>
    <n v="170"/>
    <n v="340"/>
    <n v="60"/>
    <n v="478.4"/>
    <n v="0.54462659380692169"/>
    <x v="1"/>
    <d v="2025-08-28T00:00:00"/>
    <n v="5"/>
    <x v="2"/>
    <n v="3"/>
    <n v="0"/>
  </r>
  <r>
    <s v="ORD-103712"/>
    <x v="596"/>
    <x v="1"/>
    <d v="2025-08-01T00:00:00"/>
    <n v="8"/>
    <s v="CUST-02208"/>
    <x v="1"/>
    <x v="7"/>
    <s v="JH"/>
    <x v="2"/>
    <s v="Ranchi"/>
    <x v="1"/>
    <s v="P303"/>
    <s v="Joggers"/>
    <x v="1"/>
    <n v="1"/>
    <n v="1199"/>
    <n v="0.1"/>
    <n v="1199"/>
    <n v="119.9"/>
    <n v="1079.0999999999999"/>
    <n v="492"/>
    <n v="492"/>
    <n v="120"/>
    <n v="467.09999999999991"/>
    <n v="0.43286071726438696"/>
    <x v="0"/>
    <d v="2025-08-28T00:00:00"/>
    <n v="5"/>
    <x v="2"/>
    <n v="3"/>
    <n v="1"/>
  </r>
  <r>
    <s v="ORD-103713"/>
    <x v="596"/>
    <x v="1"/>
    <d v="2025-08-01T00:00:00"/>
    <n v="8"/>
    <s v="CUST-02134"/>
    <x v="1"/>
    <x v="3"/>
    <s v="OD"/>
    <x v="2"/>
    <s v="Bhubaneswar"/>
    <x v="0"/>
    <s v="P201"/>
    <s v="Onion Hair Oil"/>
    <x v="6"/>
    <n v="2"/>
    <n v="349"/>
    <n v="0.4"/>
    <n v="698"/>
    <n v="279.2"/>
    <n v="418.8"/>
    <n v="105"/>
    <n v="210"/>
    <n v="60"/>
    <n v="148.80000000000001"/>
    <n v="0.35530085959885388"/>
    <x v="4"/>
    <d v="2025-08-28T00:00:00"/>
    <n v="5"/>
    <x v="2"/>
    <n v="4"/>
    <n v="0"/>
  </r>
  <r>
    <s v="ORD-103714"/>
    <x v="596"/>
    <x v="1"/>
    <d v="2025-08-01T00:00:00"/>
    <n v="8"/>
    <s v="CUST-02436"/>
    <x v="1"/>
    <x v="11"/>
    <s v="KA"/>
    <x v="3"/>
    <s v="Mysuru"/>
    <x v="0"/>
    <s v="P404"/>
    <s v="Flip Flops"/>
    <x v="5"/>
    <n v="2"/>
    <n v="399"/>
    <n v="0.1"/>
    <n v="798"/>
    <n v="79.800000000000011"/>
    <n v="718.2"/>
    <n v="152"/>
    <n v="304"/>
    <n v="60"/>
    <n v="354.20000000000005"/>
    <n v="0.49317738791423005"/>
    <x v="3"/>
    <d v="2025-08-26T00:00:00"/>
    <n v="3"/>
    <x v="0"/>
    <n v="4"/>
    <n v="0"/>
  </r>
  <r>
    <s v="ORD-103715"/>
    <x v="597"/>
    <x v="1"/>
    <d v="2025-08-01T00:00:00"/>
    <n v="8"/>
    <s v="CUST-00541"/>
    <x v="1"/>
    <x v="15"/>
    <s v="HR"/>
    <x v="0"/>
    <s v="Faridabad"/>
    <x v="4"/>
    <s v="P304"/>
    <s v="Denim Jacket"/>
    <x v="1"/>
    <n v="1"/>
    <n v="2499"/>
    <n v="0.05"/>
    <n v="2499"/>
    <n v="124.95"/>
    <n v="2374.0500000000002"/>
    <n v="1125"/>
    <n v="1125"/>
    <n v="60"/>
    <n v="1189.0500000000002"/>
    <n v="0.50085297276805463"/>
    <x v="0"/>
    <d v="2025-08-27T00:00:00"/>
    <n v="3"/>
    <x v="0"/>
    <m/>
    <n v="0"/>
  </r>
  <r>
    <s v="ORD-103716"/>
    <x v="597"/>
    <x v="1"/>
    <d v="2025-08-01T00:00:00"/>
    <n v="8"/>
    <s v="CUST-00044"/>
    <x v="1"/>
    <x v="12"/>
    <s v="BR"/>
    <x v="2"/>
    <s v="Patna"/>
    <x v="0"/>
    <s v="P202"/>
    <s v="Argan Shampoo"/>
    <x v="6"/>
    <n v="4"/>
    <n v="449"/>
    <n v="0.05"/>
    <n v="1796"/>
    <n v="89.800000000000011"/>
    <n v="1706.2"/>
    <n v="148"/>
    <n v="592"/>
    <n v="60"/>
    <n v="1054.2"/>
    <n v="0.61786425975852777"/>
    <x v="0"/>
    <d v="2025-08-28T00:00:00"/>
    <n v="4"/>
    <x v="0"/>
    <n v="3"/>
    <n v="0"/>
  </r>
  <r>
    <s v="ORD-103717"/>
    <x v="597"/>
    <x v="1"/>
    <d v="2025-08-01T00:00:00"/>
    <n v="8"/>
    <s v="CUST-02185"/>
    <x v="0"/>
    <x v="22"/>
    <s v="AS"/>
    <x v="2"/>
    <s v="Guwahati"/>
    <x v="0"/>
    <s v="P105"/>
    <s v="Retinol Night Cream"/>
    <x v="3"/>
    <n v="1"/>
    <n v="799"/>
    <n v="0.1"/>
    <n v="799"/>
    <n v="79.900000000000006"/>
    <n v="719.1"/>
    <n v="216"/>
    <n v="216"/>
    <n v="120"/>
    <n v="383.1"/>
    <n v="0.53274926992073424"/>
    <x v="0"/>
    <d v="2025-08-30T00:00:00"/>
    <n v="6"/>
    <x v="2"/>
    <m/>
    <n v="1"/>
  </r>
  <r>
    <s v="ORD-103718"/>
    <x v="597"/>
    <x v="1"/>
    <d v="2025-08-01T00:00:00"/>
    <n v="8"/>
    <s v="CUST-00134"/>
    <x v="1"/>
    <x v="1"/>
    <s v="GJ"/>
    <x v="1"/>
    <s v="Surat"/>
    <x v="0"/>
    <s v="P204"/>
    <s v="Anti-Dandruff Conditioner"/>
    <x v="6"/>
    <n v="2"/>
    <n v="399"/>
    <n v="0.35"/>
    <n v="798"/>
    <n v="279.29999999999995"/>
    <n v="518.70000000000005"/>
    <n v="136"/>
    <n v="272"/>
    <n v="60"/>
    <n v="186.70000000000005"/>
    <n v="0.35993830730672843"/>
    <x v="1"/>
    <d v="2025-08-27T00:00:00"/>
    <n v="3"/>
    <x v="0"/>
    <m/>
    <n v="0"/>
  </r>
  <r>
    <s v="ORD-103719"/>
    <x v="597"/>
    <x v="1"/>
    <d v="2025-08-01T00:00:00"/>
    <n v="8"/>
    <s v="CUST-02832"/>
    <x v="0"/>
    <x v="18"/>
    <s v="WB"/>
    <x v="2"/>
    <s v="Kolkata"/>
    <x v="1"/>
    <s v="P301"/>
    <s v="Cotton Oversized T-Shirt"/>
    <x v="1"/>
    <n v="1"/>
    <n v="799"/>
    <n v="0"/>
    <n v="799"/>
    <n v="0"/>
    <n v="799"/>
    <n v="320"/>
    <n v="320"/>
    <n v="60"/>
    <n v="419"/>
    <n v="0.52440550688360454"/>
    <x v="3"/>
    <d v="2025-08-27T00:00:00"/>
    <n v="3"/>
    <x v="0"/>
    <n v="5"/>
    <n v="0"/>
  </r>
  <r>
    <s v="ORD-103720"/>
    <x v="597"/>
    <x v="1"/>
    <d v="2025-08-01T00:00:00"/>
    <n v="8"/>
    <s v="CUST-00350"/>
    <x v="1"/>
    <x v="2"/>
    <s v="MH"/>
    <x v="1"/>
    <s v="Mumbai"/>
    <x v="1"/>
    <s v="P303"/>
    <s v="Joggers"/>
    <x v="1"/>
    <n v="2"/>
    <n v="1199"/>
    <n v="0.1"/>
    <n v="2398"/>
    <n v="239.8"/>
    <n v="2158.1999999999998"/>
    <n v="492"/>
    <n v="984"/>
    <n v="60"/>
    <n v="1114.1999999999998"/>
    <n v="0.51626355296080062"/>
    <x v="0"/>
    <d v="2025-08-25T00:00:00"/>
    <n v="1"/>
    <x v="1"/>
    <m/>
    <n v="0"/>
  </r>
  <r>
    <s v="ORD-103721"/>
    <x v="597"/>
    <x v="1"/>
    <d v="2025-08-01T00:00:00"/>
    <n v="8"/>
    <s v="CUST-01138"/>
    <x v="1"/>
    <x v="11"/>
    <s v="KA"/>
    <x v="3"/>
    <s v="Mysuru"/>
    <x v="3"/>
    <s v="P105"/>
    <s v="Retinol Night Cream"/>
    <x v="3"/>
    <n v="4"/>
    <n v="799"/>
    <n v="0.1"/>
    <n v="3196"/>
    <n v="319.60000000000002"/>
    <n v="2876.4"/>
    <n v="216"/>
    <n v="864"/>
    <n v="60"/>
    <n v="1952.4"/>
    <n v="0.67876512307050485"/>
    <x v="3"/>
    <d v="2025-08-25T00:00:00"/>
    <n v="1"/>
    <x v="1"/>
    <m/>
    <n v="0"/>
  </r>
  <r>
    <s v="ORD-103722"/>
    <x v="597"/>
    <x v="1"/>
    <d v="2025-08-01T00:00:00"/>
    <n v="8"/>
    <s v="CUST-01823"/>
    <x v="1"/>
    <x v="11"/>
    <s v="KA"/>
    <x v="3"/>
    <s v="Bengaluru"/>
    <x v="0"/>
    <s v="P602"/>
    <s v="Fast Charger 33W"/>
    <x v="2"/>
    <n v="1"/>
    <n v="899"/>
    <n v="0.15"/>
    <n v="899"/>
    <n v="134.85"/>
    <n v="764.15"/>
    <n v="494"/>
    <n v="494"/>
    <n v="60"/>
    <n v="210.14999999999998"/>
    <n v="0.27501145063142052"/>
    <x v="3"/>
    <d v="2025-08-26T00:00:00"/>
    <n v="2"/>
    <x v="1"/>
    <n v="5"/>
    <n v="0"/>
  </r>
  <r>
    <s v="ORD-103723"/>
    <x v="597"/>
    <x v="1"/>
    <d v="2025-08-01T00:00:00"/>
    <n v="8"/>
    <s v="CUST-00364"/>
    <x v="1"/>
    <x v="11"/>
    <s v="KA"/>
    <x v="3"/>
    <s v="Bengaluru"/>
    <x v="1"/>
    <s v="P404"/>
    <s v="Flip Flops"/>
    <x v="5"/>
    <n v="1"/>
    <n v="399"/>
    <n v="0.05"/>
    <n v="399"/>
    <n v="19.950000000000003"/>
    <n v="379.05"/>
    <n v="152"/>
    <n v="152"/>
    <n v="60"/>
    <n v="167.05"/>
    <n v="0.44070703073473161"/>
    <x v="0"/>
    <d v="2025-08-26T00:00:00"/>
    <n v="2"/>
    <x v="1"/>
    <m/>
    <n v="0"/>
  </r>
  <r>
    <s v="ORD-103724"/>
    <x v="597"/>
    <x v="1"/>
    <d v="2025-08-01T00:00:00"/>
    <n v="8"/>
    <s v="CUST-02514"/>
    <x v="0"/>
    <x v="14"/>
    <s v="KL"/>
    <x v="3"/>
    <s v="Thiruvananthapuram"/>
    <x v="0"/>
    <s v="P402"/>
    <s v="Casual Sneakers"/>
    <x v="5"/>
    <n v="1"/>
    <n v="2199"/>
    <n v="0.2"/>
    <n v="2199"/>
    <n v="439.8"/>
    <n v="1759.2"/>
    <n v="1034"/>
    <n v="1034"/>
    <n v="60"/>
    <n v="665.2"/>
    <n v="0.37812642110050027"/>
    <x v="3"/>
    <d v="2025-08-27T00:00:00"/>
    <n v="3"/>
    <x v="0"/>
    <n v="5"/>
    <n v="0"/>
  </r>
  <r>
    <s v="ORD-103725"/>
    <x v="598"/>
    <x v="1"/>
    <d v="2025-08-01T00:00:00"/>
    <n v="8"/>
    <s v="CUST-00294"/>
    <x v="1"/>
    <x v="19"/>
    <s v="PB"/>
    <x v="0"/>
    <s v="Ludhiana"/>
    <x v="4"/>
    <s v="P303"/>
    <s v="Joggers"/>
    <x v="1"/>
    <n v="1"/>
    <n v="1199"/>
    <n v="0.1"/>
    <n v="1199"/>
    <n v="119.9"/>
    <n v="1079.0999999999999"/>
    <n v="492"/>
    <n v="492"/>
    <n v="60"/>
    <n v="527.09999999999991"/>
    <n v="0.48846260772866273"/>
    <x v="0"/>
    <d v="2025-08-28T00:00:00"/>
    <n v="3"/>
    <x v="0"/>
    <n v="4"/>
    <n v="0"/>
  </r>
  <r>
    <s v="ORD-103726"/>
    <x v="598"/>
    <x v="1"/>
    <d v="2025-08-01T00:00:00"/>
    <n v="8"/>
    <s v="CUST-00962"/>
    <x v="1"/>
    <x v="15"/>
    <s v="HR"/>
    <x v="0"/>
    <s v="Gurugram"/>
    <x v="4"/>
    <s v="P703"/>
    <s v="Green Tea (100 bags)"/>
    <x v="0"/>
    <n v="4"/>
    <n v="399"/>
    <n v="0.3"/>
    <n v="1596"/>
    <n v="478.79999999999995"/>
    <n v="1117.2"/>
    <n v="128"/>
    <n v="512"/>
    <n v="60"/>
    <n v="545.20000000000005"/>
    <n v="0.4880057286072324"/>
    <x v="0"/>
    <d v="2025-08-28T00:00:00"/>
    <n v="3"/>
    <x v="0"/>
    <n v="3"/>
    <n v="0"/>
  </r>
  <r>
    <s v="ORD-103727"/>
    <x v="598"/>
    <x v="1"/>
    <d v="2025-08-01T00:00:00"/>
    <n v="8"/>
    <s v="CUST-00674"/>
    <x v="1"/>
    <x v="1"/>
    <s v="GJ"/>
    <x v="1"/>
    <s v="Ahmedabad"/>
    <x v="3"/>
    <s v="P103"/>
    <s v="Niacinamide Toner"/>
    <x v="3"/>
    <n v="2"/>
    <n v="399"/>
    <n v="0.3"/>
    <n v="798"/>
    <n v="239.39999999999998"/>
    <n v="558.6"/>
    <n v="112"/>
    <n v="224"/>
    <n v="60"/>
    <n v="274.60000000000002"/>
    <n v="0.49158610812746151"/>
    <x v="3"/>
    <d v="2025-08-27T00:00:00"/>
    <n v="2"/>
    <x v="1"/>
    <n v="5"/>
    <n v="0"/>
  </r>
  <r>
    <s v="ORD-103728"/>
    <x v="598"/>
    <x v="1"/>
    <d v="2025-08-01T00:00:00"/>
    <n v="8"/>
    <s v="CUST-02809"/>
    <x v="1"/>
    <x v="18"/>
    <s v="WB"/>
    <x v="2"/>
    <s v="Kolkata"/>
    <x v="0"/>
    <s v="P403"/>
    <s v="Kolhapuri Sandals"/>
    <x v="5"/>
    <n v="1"/>
    <n v="999"/>
    <n v="0.05"/>
    <n v="999"/>
    <n v="49.95"/>
    <n v="949.05"/>
    <n v="400"/>
    <n v="400"/>
    <n v="60"/>
    <n v="489.04999999999995"/>
    <n v="0.5153047784626732"/>
    <x v="0"/>
    <d v="2025-08-27T00:00:00"/>
    <n v="2"/>
    <x v="1"/>
    <m/>
    <n v="0"/>
  </r>
  <r>
    <s v="ORD-103729"/>
    <x v="598"/>
    <x v="1"/>
    <d v="2025-08-01T00:00:00"/>
    <n v="8"/>
    <s v="CUST-01132"/>
    <x v="1"/>
    <x v="2"/>
    <s v="MH"/>
    <x v="1"/>
    <s v="Mumbai"/>
    <x v="4"/>
    <s v="P102"/>
    <s v="Sunscreen SPF 50"/>
    <x v="3"/>
    <n v="1"/>
    <n v="449"/>
    <n v="0.05"/>
    <n v="449"/>
    <n v="22.450000000000003"/>
    <n v="426.55"/>
    <n v="144"/>
    <n v="144"/>
    <n v="60"/>
    <n v="222.55"/>
    <n v="0.52174422693705313"/>
    <x v="3"/>
    <d v="2025-08-28T00:00:00"/>
    <n v="3"/>
    <x v="0"/>
    <n v="4"/>
    <n v="0"/>
  </r>
  <r>
    <s v="ORD-103730"/>
    <x v="598"/>
    <x v="1"/>
    <d v="2025-08-01T00:00:00"/>
    <n v="8"/>
    <s v="CUST-00617"/>
    <x v="1"/>
    <x v="21"/>
    <s v="TG"/>
    <x v="3"/>
    <s v="Hyderabad"/>
    <x v="0"/>
    <s v="P604"/>
    <s v="Power Bank 20000mAh"/>
    <x v="2"/>
    <n v="2"/>
    <n v="1799"/>
    <n v="0.4"/>
    <n v="3598"/>
    <n v="1439.2"/>
    <n v="2158.8000000000002"/>
    <n v="1079"/>
    <n v="2158"/>
    <n v="60"/>
    <n v="-59.199999999999818"/>
    <n v="-2.742264220863434E-2"/>
    <x v="0"/>
    <d v="2025-08-28T00:00:00"/>
    <n v="3"/>
    <x v="0"/>
    <m/>
    <n v="0"/>
  </r>
  <r>
    <s v="ORD-103731"/>
    <x v="598"/>
    <x v="1"/>
    <d v="2025-08-01T00:00:00"/>
    <n v="8"/>
    <s v="CUST-02174"/>
    <x v="0"/>
    <x v="17"/>
    <s v="TN"/>
    <x v="3"/>
    <s v="Coimbatore"/>
    <x v="0"/>
    <s v="P503"/>
    <s v="Scented Candle Set"/>
    <x v="4"/>
    <n v="1"/>
    <n v="699"/>
    <n v="0.15"/>
    <n v="699"/>
    <n v="104.85"/>
    <n v="594.15"/>
    <n v="245"/>
    <n v="245"/>
    <n v="60"/>
    <n v="289.14999999999998"/>
    <n v="0.48666161743667424"/>
    <x v="2"/>
    <d v="2025-08-29T00:00:00"/>
    <n v="4"/>
    <x v="0"/>
    <n v="4"/>
    <n v="0"/>
  </r>
  <r>
    <s v="ORD-103732"/>
    <x v="599"/>
    <x v="1"/>
    <d v="2025-08-01T00:00:00"/>
    <n v="8"/>
    <s v="CUST-00207"/>
    <x v="1"/>
    <x v="0"/>
    <s v="RJ"/>
    <x v="0"/>
    <s v="Jaipur"/>
    <x v="2"/>
    <s v="P501"/>
    <s v="Copper Water Bottle"/>
    <x v="4"/>
    <n v="1"/>
    <n v="899"/>
    <n v="0"/>
    <n v="899"/>
    <n v="0"/>
    <n v="899"/>
    <n v="378"/>
    <n v="378"/>
    <n v="60"/>
    <n v="461"/>
    <n v="0.51279199110122353"/>
    <x v="3"/>
    <d v="2025-08-31T00:00:00"/>
    <n v="5"/>
    <x v="2"/>
    <n v="4"/>
    <n v="0"/>
  </r>
  <r>
    <s v="ORD-103733"/>
    <x v="599"/>
    <x v="1"/>
    <d v="2025-08-01T00:00:00"/>
    <n v="8"/>
    <s v="CUST-00093"/>
    <x v="1"/>
    <x v="18"/>
    <s v="WB"/>
    <x v="2"/>
    <s v="Kolkata"/>
    <x v="2"/>
    <s v="P601"/>
    <s v="Wireless Earbuds"/>
    <x v="2"/>
    <n v="2"/>
    <n v="1999"/>
    <n v="0.4"/>
    <n v="3998"/>
    <n v="1599.2"/>
    <n v="2398.8000000000002"/>
    <n v="1239"/>
    <n v="2478"/>
    <n v="120"/>
    <n v="-199.19999999999982"/>
    <n v="-8.3041520760380114E-2"/>
    <x v="0"/>
    <d v="2025-08-31T00:00:00"/>
    <n v="5"/>
    <x v="2"/>
    <n v="4"/>
    <n v="1"/>
  </r>
  <r>
    <s v="ORD-103734"/>
    <x v="599"/>
    <x v="1"/>
    <d v="2025-08-01T00:00:00"/>
    <n v="8"/>
    <s v="CUST-00922"/>
    <x v="1"/>
    <x v="18"/>
    <s v="WB"/>
    <x v="2"/>
    <s v="Kolkata"/>
    <x v="4"/>
    <s v="P703"/>
    <s v="Green Tea (100 bags)"/>
    <x v="0"/>
    <n v="2"/>
    <n v="399"/>
    <n v="0.4"/>
    <n v="798"/>
    <n v="319.20000000000005"/>
    <n v="478.79999999999995"/>
    <n v="128"/>
    <n v="256"/>
    <n v="60"/>
    <n v="162.79999999999995"/>
    <n v="0.34001670843776099"/>
    <x v="3"/>
    <d v="2025-08-30T00:00:00"/>
    <n v="4"/>
    <x v="0"/>
    <n v="3"/>
    <n v="0"/>
  </r>
  <r>
    <s v="ORD-103735"/>
    <x v="599"/>
    <x v="1"/>
    <d v="2025-08-01T00:00:00"/>
    <n v="8"/>
    <s v="CUST-02192"/>
    <x v="1"/>
    <x v="2"/>
    <s v="MH"/>
    <x v="1"/>
    <s v="Nagpur"/>
    <x v="4"/>
    <s v="P101"/>
    <s v="Vitamin C Face Serum"/>
    <x v="3"/>
    <n v="1"/>
    <n v="599"/>
    <n v="0.15"/>
    <n v="599"/>
    <n v="89.85"/>
    <n v="509.15"/>
    <n v="180"/>
    <n v="180"/>
    <n v="60"/>
    <n v="269.14999999999998"/>
    <n v="0.52862614160856325"/>
    <x v="3"/>
    <d v="2025-08-28T00:00:00"/>
    <n v="2"/>
    <x v="1"/>
    <n v="5"/>
    <n v="0"/>
  </r>
  <r>
    <s v="ORD-103736"/>
    <x v="599"/>
    <x v="1"/>
    <d v="2025-08-01T00:00:00"/>
    <n v="8"/>
    <s v="CUST-01043"/>
    <x v="1"/>
    <x v="21"/>
    <s v="TG"/>
    <x v="3"/>
    <s v="Hyderabad"/>
    <x v="3"/>
    <s v="P201"/>
    <s v="Onion Hair Oil"/>
    <x v="6"/>
    <n v="2"/>
    <n v="349"/>
    <n v="0.3"/>
    <n v="698"/>
    <n v="209.4"/>
    <n v="488.6"/>
    <n v="105"/>
    <n v="210"/>
    <n v="60"/>
    <n v="218.60000000000002"/>
    <n v="0.44740073679901765"/>
    <x v="2"/>
    <d v="2025-08-27T00:00:00"/>
    <n v="1"/>
    <x v="1"/>
    <n v="5"/>
    <n v="0"/>
  </r>
  <r>
    <s v="ORD-103737"/>
    <x v="599"/>
    <x v="1"/>
    <d v="2025-08-01T00:00:00"/>
    <n v="8"/>
    <s v="CUST-01378"/>
    <x v="0"/>
    <x v="17"/>
    <s v="TN"/>
    <x v="3"/>
    <s v="Chennai"/>
    <x v="3"/>
    <s v="P105"/>
    <s v="Retinol Night Cream"/>
    <x v="3"/>
    <n v="1"/>
    <n v="799"/>
    <n v="0.05"/>
    <n v="799"/>
    <n v="39.950000000000003"/>
    <n v="759.05"/>
    <n v="216"/>
    <n v="216"/>
    <n v="60"/>
    <n v="483.04999999999995"/>
    <n v="0.63638758975034582"/>
    <x v="0"/>
    <d v="2025-08-27T00:00:00"/>
    <n v="1"/>
    <x v="1"/>
    <n v="4"/>
    <n v="0"/>
  </r>
  <r>
    <s v="ORD-103738"/>
    <x v="599"/>
    <x v="1"/>
    <d v="2025-08-01T00:00:00"/>
    <n v="8"/>
    <s v="CUST-00726"/>
    <x v="1"/>
    <x v="17"/>
    <s v="TN"/>
    <x v="3"/>
    <s v="Coimbatore"/>
    <x v="0"/>
    <s v="P704"/>
    <s v="Multivitamin Gummies"/>
    <x v="0"/>
    <n v="1"/>
    <n v="699"/>
    <n v="0.2"/>
    <n v="699"/>
    <n v="139.80000000000001"/>
    <n v="559.20000000000005"/>
    <n v="238"/>
    <n v="238"/>
    <n v="60"/>
    <n v="261.20000000000005"/>
    <n v="0.46709585121602293"/>
    <x v="0"/>
    <d v="2025-08-29T00:00:00"/>
    <n v="3"/>
    <x v="0"/>
    <n v="4"/>
    <n v="0"/>
  </r>
  <r>
    <s v="ORD-103739"/>
    <x v="600"/>
    <x v="1"/>
    <d v="2025-08-01T00:00:00"/>
    <n v="8"/>
    <s v="CUST-01294"/>
    <x v="0"/>
    <x v="12"/>
    <s v="BR"/>
    <x v="2"/>
    <s v="Patna"/>
    <x v="4"/>
    <s v="P503"/>
    <s v="Scented Candle Set"/>
    <x v="4"/>
    <n v="1"/>
    <n v="699"/>
    <n v="0.15"/>
    <n v="699"/>
    <n v="104.85"/>
    <n v="594.15"/>
    <n v="245"/>
    <n v="245"/>
    <n v="60"/>
    <n v="289.14999999999998"/>
    <n v="0.48666161743667424"/>
    <x v="0"/>
    <d v="2025-09-01T00:00:00"/>
    <n v="5"/>
    <x v="2"/>
    <m/>
    <n v="0"/>
  </r>
  <r>
    <s v="ORD-103740"/>
    <x v="600"/>
    <x v="1"/>
    <d v="2025-08-01T00:00:00"/>
    <n v="8"/>
    <s v="CUST-00925"/>
    <x v="0"/>
    <x v="1"/>
    <s v="GJ"/>
    <x v="1"/>
    <s v="Ahmedabad"/>
    <x v="0"/>
    <s v="P201"/>
    <s v="Onion Hair Oil"/>
    <x v="6"/>
    <n v="3"/>
    <n v="349"/>
    <n v="0.35"/>
    <n v="1047"/>
    <n v="366.45"/>
    <n v="680.55"/>
    <n v="105"/>
    <n v="315"/>
    <n v="60"/>
    <n v="305.54999999999995"/>
    <n v="0.44897509367423405"/>
    <x v="1"/>
    <d v="2025-09-01T00:00:00"/>
    <n v="5"/>
    <x v="2"/>
    <m/>
    <n v="0"/>
  </r>
  <r>
    <s v="ORD-103741"/>
    <x v="600"/>
    <x v="1"/>
    <d v="2025-08-01T00:00:00"/>
    <n v="8"/>
    <s v="CUST-00920"/>
    <x v="1"/>
    <x v="13"/>
    <s v="MP"/>
    <x v="1"/>
    <s v="Indore"/>
    <x v="4"/>
    <s v="P104"/>
    <s v="Hydrating Face Wash"/>
    <x v="3"/>
    <n v="1"/>
    <n v="299"/>
    <n v="0"/>
    <n v="299"/>
    <n v="0"/>
    <n v="299"/>
    <n v="90"/>
    <n v="90"/>
    <n v="60"/>
    <n v="149"/>
    <n v="0.49832775919732442"/>
    <x v="0"/>
    <d v="2025-08-31T00:00:00"/>
    <n v="4"/>
    <x v="0"/>
    <n v="4"/>
    <n v="0"/>
  </r>
  <r>
    <s v="ORD-103742"/>
    <x v="600"/>
    <x v="1"/>
    <d v="2025-08-01T00:00:00"/>
    <n v="8"/>
    <s v="CUST-02142"/>
    <x v="1"/>
    <x v="7"/>
    <s v="JH"/>
    <x v="2"/>
    <s v="Ranchi"/>
    <x v="4"/>
    <s v="P402"/>
    <s v="Casual Sneakers"/>
    <x v="5"/>
    <n v="2"/>
    <n v="2199"/>
    <n v="0.3"/>
    <n v="4398"/>
    <n v="1319.3999999999999"/>
    <n v="3078.6000000000004"/>
    <n v="1034"/>
    <n v="2068"/>
    <n v="60"/>
    <n v="950.60000000000036"/>
    <n v="0.30877671668940437"/>
    <x v="0"/>
    <d v="2025-08-31T00:00:00"/>
    <n v="4"/>
    <x v="0"/>
    <n v="4"/>
    <n v="0"/>
  </r>
  <r>
    <s v="ORD-103743"/>
    <x v="600"/>
    <x v="1"/>
    <d v="2025-08-01T00:00:00"/>
    <n v="8"/>
    <s v="CUST-01532"/>
    <x v="1"/>
    <x v="18"/>
    <s v="WB"/>
    <x v="2"/>
    <s v="Kolkata"/>
    <x v="2"/>
    <s v="P202"/>
    <s v="Argan Shampoo"/>
    <x v="6"/>
    <n v="2"/>
    <n v="449"/>
    <n v="0"/>
    <n v="898"/>
    <n v="0"/>
    <n v="898"/>
    <n v="148"/>
    <n v="296"/>
    <n v="60"/>
    <n v="542"/>
    <n v="0.60356347438752789"/>
    <x v="0"/>
    <d v="2025-08-30T00:00:00"/>
    <n v="3"/>
    <x v="0"/>
    <n v="3"/>
    <n v="0"/>
  </r>
  <r>
    <s v="ORD-103744"/>
    <x v="600"/>
    <x v="1"/>
    <d v="2025-08-01T00:00:00"/>
    <n v="8"/>
    <s v="CUST-00318"/>
    <x v="1"/>
    <x v="18"/>
    <s v="WB"/>
    <x v="2"/>
    <s v="Kolkata"/>
    <x v="0"/>
    <s v="P101"/>
    <s v="Vitamin C Face Serum"/>
    <x v="3"/>
    <n v="1"/>
    <n v="599"/>
    <n v="0.15"/>
    <n v="599"/>
    <n v="89.85"/>
    <n v="509.15"/>
    <n v="180"/>
    <n v="180"/>
    <n v="60"/>
    <n v="269.14999999999998"/>
    <n v="0.52862614160856325"/>
    <x v="4"/>
    <d v="2025-08-29T00:00:00"/>
    <n v="2"/>
    <x v="1"/>
    <n v="5"/>
    <n v="0"/>
  </r>
  <r>
    <s v="ORD-103745"/>
    <x v="600"/>
    <x v="1"/>
    <d v="2025-08-01T00:00:00"/>
    <n v="8"/>
    <s v="CUST-00892"/>
    <x v="1"/>
    <x v="2"/>
    <s v="MH"/>
    <x v="1"/>
    <s v="Mumbai"/>
    <x v="2"/>
    <s v="P504"/>
    <s v="Cotton Bedsheet"/>
    <x v="4"/>
    <n v="2"/>
    <n v="1299"/>
    <n v="0"/>
    <n v="2598"/>
    <n v="0"/>
    <n v="2598"/>
    <n v="585"/>
    <n v="1170"/>
    <n v="60"/>
    <n v="1368"/>
    <n v="0.52655889145496537"/>
    <x v="0"/>
    <d v="2025-08-30T00:00:00"/>
    <n v="3"/>
    <x v="0"/>
    <m/>
    <n v="0"/>
  </r>
  <r>
    <s v="ORD-103746"/>
    <x v="600"/>
    <x v="1"/>
    <d v="2025-08-01T00:00:00"/>
    <n v="8"/>
    <s v="CUST-02388"/>
    <x v="1"/>
    <x v="21"/>
    <s v="TG"/>
    <x v="3"/>
    <s v="Hyderabad"/>
    <x v="2"/>
    <s v="P204"/>
    <s v="Anti-Dandruff Conditioner"/>
    <x v="6"/>
    <n v="1"/>
    <n v="399"/>
    <n v="0.25"/>
    <n v="399"/>
    <n v="99.75"/>
    <n v="299.25"/>
    <n v="136"/>
    <n v="136"/>
    <n v="60"/>
    <n v="103.25"/>
    <n v="0.34502923976608185"/>
    <x v="0"/>
    <d v="2025-08-30T00:00:00"/>
    <n v="3"/>
    <x v="0"/>
    <n v="4"/>
    <n v="0"/>
  </r>
  <r>
    <s v="ORD-103747"/>
    <x v="600"/>
    <x v="1"/>
    <d v="2025-08-01T00:00:00"/>
    <n v="8"/>
    <s v="CUST-02942"/>
    <x v="1"/>
    <x v="21"/>
    <s v="TG"/>
    <x v="3"/>
    <s v="Hyderabad"/>
    <x v="2"/>
    <s v="P603"/>
    <s v="Smartwatch Strap"/>
    <x v="2"/>
    <n v="1"/>
    <n v="499"/>
    <n v="0.1"/>
    <n v="499"/>
    <n v="49.900000000000006"/>
    <n v="449.1"/>
    <n v="200"/>
    <n v="200"/>
    <n v="60"/>
    <n v="189.10000000000002"/>
    <n v="0.42106435092407041"/>
    <x v="2"/>
    <d v="2025-08-29T00:00:00"/>
    <n v="2"/>
    <x v="1"/>
    <n v="5"/>
    <n v="0"/>
  </r>
  <r>
    <s v="ORD-103748"/>
    <x v="600"/>
    <x v="1"/>
    <d v="2025-08-01T00:00:00"/>
    <n v="8"/>
    <s v="CUST-01356"/>
    <x v="0"/>
    <x v="11"/>
    <s v="KA"/>
    <x v="3"/>
    <s v="Bengaluru"/>
    <x v="1"/>
    <s v="P301"/>
    <s v="Cotton Oversized T-Shirt"/>
    <x v="1"/>
    <n v="1"/>
    <n v="799"/>
    <n v="0"/>
    <n v="799"/>
    <n v="0"/>
    <n v="799"/>
    <n v="320"/>
    <n v="320"/>
    <n v="60"/>
    <n v="419"/>
    <n v="0.52440550688360454"/>
    <x v="3"/>
    <d v="2025-08-28T00:00:00"/>
    <n v="1"/>
    <x v="1"/>
    <n v="4"/>
    <n v="0"/>
  </r>
  <r>
    <s v="ORD-103749"/>
    <x v="600"/>
    <x v="1"/>
    <d v="2025-08-01T00:00:00"/>
    <n v="8"/>
    <s v="CUST-03172"/>
    <x v="1"/>
    <x v="11"/>
    <s v="KA"/>
    <x v="3"/>
    <s v="Mysuru"/>
    <x v="3"/>
    <s v="P102"/>
    <s v="Sunscreen SPF 50"/>
    <x v="3"/>
    <n v="1"/>
    <n v="449"/>
    <n v="0.15"/>
    <n v="449"/>
    <n v="67.349999999999994"/>
    <n v="381.65"/>
    <n v="144"/>
    <n v="144"/>
    <n v="60"/>
    <n v="177.64999999999998"/>
    <n v="0.465478841870824"/>
    <x v="0"/>
    <d v="2025-09-01T00:00:00"/>
    <n v="5"/>
    <x v="2"/>
    <n v="3"/>
    <n v="0"/>
  </r>
  <r>
    <s v="ORD-103750"/>
    <x v="600"/>
    <x v="1"/>
    <d v="2025-08-01T00:00:00"/>
    <n v="8"/>
    <s v="CUST-01247"/>
    <x v="0"/>
    <x v="8"/>
    <s v="AP"/>
    <x v="3"/>
    <s v="Vijayawada"/>
    <x v="3"/>
    <s v="P102"/>
    <s v="Sunscreen SPF 50"/>
    <x v="3"/>
    <n v="1"/>
    <n v="449"/>
    <n v="0.15"/>
    <n v="449"/>
    <n v="67.349999999999994"/>
    <n v="381.65"/>
    <n v="144"/>
    <n v="144"/>
    <n v="60"/>
    <n v="177.64999999999998"/>
    <n v="0.465478841870824"/>
    <x v="0"/>
    <d v="2025-08-29T00:00:00"/>
    <n v="2"/>
    <x v="1"/>
    <n v="4"/>
    <n v="0"/>
  </r>
  <r>
    <s v="ORD-103751"/>
    <x v="601"/>
    <x v="1"/>
    <d v="2025-08-01T00:00:00"/>
    <n v="8"/>
    <s v="CUST-01412"/>
    <x v="1"/>
    <x v="15"/>
    <s v="HR"/>
    <x v="0"/>
    <s v="Faridabad"/>
    <x v="4"/>
    <s v="P703"/>
    <s v="Green Tea (100 bags)"/>
    <x v="0"/>
    <n v="2"/>
    <n v="399"/>
    <n v="0.35"/>
    <n v="798"/>
    <n v="279.29999999999995"/>
    <n v="518.70000000000005"/>
    <n v="128"/>
    <n v="256"/>
    <n v="120"/>
    <n v="142.70000000000005"/>
    <n v="0.27511085405822255"/>
    <x v="0"/>
    <d v="2025-08-31T00:00:00"/>
    <n v="3"/>
    <x v="0"/>
    <n v="4"/>
    <n v="1"/>
  </r>
  <r>
    <s v="ORD-103752"/>
    <x v="601"/>
    <x v="1"/>
    <d v="2025-08-01T00:00:00"/>
    <n v="8"/>
    <s v="CUST-00513"/>
    <x v="1"/>
    <x v="1"/>
    <s v="GJ"/>
    <x v="1"/>
    <s v="Ahmedabad"/>
    <x v="4"/>
    <s v="P703"/>
    <s v="Green Tea (100 bags)"/>
    <x v="0"/>
    <n v="2"/>
    <n v="399"/>
    <n v="0.35"/>
    <n v="798"/>
    <n v="279.29999999999995"/>
    <n v="518.70000000000005"/>
    <n v="128"/>
    <n v="256"/>
    <n v="60"/>
    <n v="202.70000000000005"/>
    <n v="0.39078465394254874"/>
    <x v="0"/>
    <d v="2025-09-01T00:00:00"/>
    <n v="4"/>
    <x v="0"/>
    <m/>
    <n v="0"/>
  </r>
  <r>
    <s v="ORD-103753"/>
    <x v="601"/>
    <x v="1"/>
    <d v="2025-08-01T00:00:00"/>
    <n v="8"/>
    <s v="CUST-00377"/>
    <x v="0"/>
    <x v="21"/>
    <s v="TG"/>
    <x v="3"/>
    <s v="Hyderabad"/>
    <x v="3"/>
    <s v="P701"/>
    <s v="Ashwagandha Capsules"/>
    <x v="0"/>
    <n v="2"/>
    <n v="499"/>
    <n v="0"/>
    <n v="998"/>
    <n v="0"/>
    <n v="998"/>
    <n v="150"/>
    <n v="300"/>
    <n v="60"/>
    <n v="638"/>
    <n v="0.63927855711422843"/>
    <x v="0"/>
    <d v="2025-08-30T00:00:00"/>
    <n v="2"/>
    <x v="1"/>
    <m/>
    <n v="0"/>
  </r>
  <r>
    <s v="ORD-103754"/>
    <x v="601"/>
    <x v="1"/>
    <d v="2025-08-01T00:00:00"/>
    <n v="8"/>
    <s v="CUST-01980"/>
    <x v="0"/>
    <x v="21"/>
    <s v="TG"/>
    <x v="3"/>
    <s v="Hyderabad"/>
    <x v="1"/>
    <s v="P403"/>
    <s v="Kolhapuri Sandals"/>
    <x v="5"/>
    <n v="1"/>
    <n v="999"/>
    <n v="0"/>
    <n v="999"/>
    <n v="0"/>
    <n v="999"/>
    <n v="400"/>
    <n v="400"/>
    <n v="60"/>
    <n v="539"/>
    <n v="0.53953953953953959"/>
    <x v="0"/>
    <d v="2025-08-30T00:00:00"/>
    <n v="2"/>
    <x v="1"/>
    <n v="4"/>
    <n v="0"/>
  </r>
  <r>
    <s v="ORD-103755"/>
    <x v="601"/>
    <x v="1"/>
    <d v="2025-08-01T00:00:00"/>
    <n v="8"/>
    <s v="CUST-01151"/>
    <x v="1"/>
    <x v="11"/>
    <s v="KA"/>
    <x v="3"/>
    <s v="Mysuru"/>
    <x v="2"/>
    <s v="P404"/>
    <s v="Flip Flops"/>
    <x v="5"/>
    <n v="1"/>
    <n v="399"/>
    <n v="0.1"/>
    <n v="399"/>
    <n v="39.900000000000006"/>
    <n v="359.1"/>
    <n v="152"/>
    <n v="152"/>
    <n v="60"/>
    <n v="147.10000000000002"/>
    <n v="0.40963519910888335"/>
    <x v="0"/>
    <d v="2025-08-30T00:00:00"/>
    <n v="2"/>
    <x v="1"/>
    <m/>
    <n v="0"/>
  </r>
  <r>
    <s v="ORD-103756"/>
    <x v="601"/>
    <x v="1"/>
    <d v="2025-08-01T00:00:00"/>
    <n v="8"/>
    <s v="CUST-00338"/>
    <x v="1"/>
    <x v="14"/>
    <s v="KL"/>
    <x v="3"/>
    <s v="Thiruvananthapuram"/>
    <x v="1"/>
    <s v="P402"/>
    <s v="Casual Sneakers"/>
    <x v="5"/>
    <n v="1"/>
    <n v="2199"/>
    <n v="0.15"/>
    <n v="2199"/>
    <n v="329.84999999999997"/>
    <n v="1869.15"/>
    <n v="1034"/>
    <n v="1034"/>
    <n v="60"/>
    <n v="775.15000000000009"/>
    <n v="0.41470721985929437"/>
    <x v="0"/>
    <d v="2025-09-01T00:00:00"/>
    <n v="4"/>
    <x v="0"/>
    <n v="4"/>
    <n v="0"/>
  </r>
  <r>
    <s v="ORD-103757"/>
    <x v="602"/>
    <x v="1"/>
    <d v="2025-08-01T00:00:00"/>
    <n v="8"/>
    <s v="CUST-02565"/>
    <x v="0"/>
    <x v="15"/>
    <s v="HR"/>
    <x v="0"/>
    <s v="Gurugram"/>
    <x v="2"/>
    <s v="P302"/>
    <s v="Linen Kurta"/>
    <x v="1"/>
    <n v="1"/>
    <n v="1499"/>
    <n v="0.25"/>
    <n v="1499"/>
    <n v="374.75"/>
    <n v="1124.25"/>
    <n v="630"/>
    <n v="630"/>
    <n v="60"/>
    <n v="434.25"/>
    <n v="0.38625750500333556"/>
    <x v="0"/>
    <d v="2025-09-02T00:00:00"/>
    <n v="4"/>
    <x v="0"/>
    <n v="4"/>
    <n v="0"/>
  </r>
  <r>
    <s v="ORD-103758"/>
    <x v="602"/>
    <x v="1"/>
    <d v="2025-08-01T00:00:00"/>
    <n v="8"/>
    <s v="CUST-01720"/>
    <x v="1"/>
    <x v="16"/>
    <s v="UP"/>
    <x v="0"/>
    <s v="Noida"/>
    <x v="0"/>
    <s v="P701"/>
    <s v="Ashwagandha Capsules"/>
    <x v="0"/>
    <n v="4"/>
    <n v="499"/>
    <n v="0"/>
    <n v="1996"/>
    <n v="0"/>
    <n v="1996"/>
    <n v="150"/>
    <n v="600"/>
    <n v="60"/>
    <n v="1336"/>
    <n v="0.66933867735470942"/>
    <x v="3"/>
    <d v="2025-09-01T00:00:00"/>
    <n v="3"/>
    <x v="0"/>
    <m/>
    <n v="0"/>
  </r>
  <r>
    <s v="ORD-103759"/>
    <x v="602"/>
    <x v="1"/>
    <d v="2025-08-01T00:00:00"/>
    <n v="8"/>
    <s v="CUST-01189"/>
    <x v="1"/>
    <x v="21"/>
    <s v="TG"/>
    <x v="3"/>
    <s v="Hyderabad"/>
    <x v="4"/>
    <s v="P203"/>
    <s v="Keratin Hair Mask"/>
    <x v="6"/>
    <n v="1"/>
    <n v="549"/>
    <n v="0.2"/>
    <n v="549"/>
    <n v="109.80000000000001"/>
    <n v="439.2"/>
    <n v="170"/>
    <n v="170"/>
    <n v="60"/>
    <n v="209.2"/>
    <n v="0.47632058287795992"/>
    <x v="0"/>
    <d v="2025-09-01T00:00:00"/>
    <n v="3"/>
    <x v="0"/>
    <n v="3"/>
    <n v="0"/>
  </r>
  <r>
    <s v="ORD-103760"/>
    <x v="602"/>
    <x v="1"/>
    <d v="2025-08-01T00:00:00"/>
    <n v="8"/>
    <s v="CUST-01799"/>
    <x v="0"/>
    <x v="11"/>
    <s v="KA"/>
    <x v="3"/>
    <s v="Mysuru"/>
    <x v="1"/>
    <s v="P402"/>
    <s v="Casual Sneakers"/>
    <x v="5"/>
    <n v="1"/>
    <n v="2199"/>
    <n v="0.2"/>
    <n v="2199"/>
    <n v="439.8"/>
    <n v="1759.2"/>
    <n v="1034"/>
    <n v="1034"/>
    <n v="60"/>
    <n v="665.2"/>
    <n v="0.37812642110050027"/>
    <x v="3"/>
    <d v="2025-08-31T00:00:00"/>
    <n v="2"/>
    <x v="1"/>
    <m/>
    <n v="0"/>
  </r>
  <r>
    <s v="ORD-103761"/>
    <x v="603"/>
    <x v="1"/>
    <d v="2025-08-01T00:00:00"/>
    <n v="8"/>
    <s v="CUST-00631"/>
    <x v="1"/>
    <x v="9"/>
    <s v="UK"/>
    <x v="0"/>
    <s v="Dehradun"/>
    <x v="4"/>
    <s v="P101"/>
    <s v="Vitamin C Face Serum"/>
    <x v="3"/>
    <n v="1"/>
    <n v="599"/>
    <n v="0.2"/>
    <n v="599"/>
    <n v="119.80000000000001"/>
    <n v="479.2"/>
    <n v="180"/>
    <n v="180"/>
    <n v="60"/>
    <n v="239.2"/>
    <n v="0.4991652754590985"/>
    <x v="0"/>
    <d v="2025-09-04T00:00:00"/>
    <n v="5"/>
    <x v="2"/>
    <n v="4"/>
    <n v="0"/>
  </r>
  <r>
    <s v="ORD-103762"/>
    <x v="603"/>
    <x v="1"/>
    <d v="2025-08-01T00:00:00"/>
    <n v="8"/>
    <s v="CUST-00952"/>
    <x v="1"/>
    <x v="1"/>
    <s v="GJ"/>
    <x v="1"/>
    <s v="Ahmedabad"/>
    <x v="0"/>
    <s v="P101"/>
    <s v="Vitamin C Face Serum"/>
    <x v="3"/>
    <n v="2"/>
    <n v="599"/>
    <n v="0.1"/>
    <n v="1198"/>
    <n v="119.80000000000001"/>
    <n v="1078.2"/>
    <n v="180"/>
    <n v="360"/>
    <n v="60"/>
    <n v="658.2"/>
    <n v="0.6104618809126322"/>
    <x v="2"/>
    <d v="2025-09-04T00:00:00"/>
    <n v="5"/>
    <x v="2"/>
    <n v="3"/>
    <n v="0"/>
  </r>
  <r>
    <s v="ORD-103763"/>
    <x v="603"/>
    <x v="1"/>
    <d v="2025-08-01T00:00:00"/>
    <n v="8"/>
    <s v="CUST-00796"/>
    <x v="0"/>
    <x v="2"/>
    <s v="MH"/>
    <x v="1"/>
    <s v="Nagpur"/>
    <x v="4"/>
    <s v="P701"/>
    <s v="Ashwagandha Capsules"/>
    <x v="0"/>
    <n v="2"/>
    <n v="499"/>
    <n v="0"/>
    <n v="998"/>
    <n v="0"/>
    <n v="998"/>
    <n v="150"/>
    <n v="300"/>
    <n v="60"/>
    <n v="638"/>
    <n v="0.63927855711422843"/>
    <x v="4"/>
    <d v="2025-09-01T00:00:00"/>
    <n v="2"/>
    <x v="1"/>
    <n v="5"/>
    <n v="0"/>
  </r>
  <r>
    <s v="ORD-103764"/>
    <x v="603"/>
    <x v="1"/>
    <d v="2025-08-01T00:00:00"/>
    <n v="8"/>
    <s v="CUST-00285"/>
    <x v="1"/>
    <x v="11"/>
    <s v="KA"/>
    <x v="3"/>
    <s v="Bengaluru"/>
    <x v="3"/>
    <s v="P704"/>
    <s v="Multivitamin Gummies"/>
    <x v="0"/>
    <n v="1"/>
    <n v="699"/>
    <n v="0.25"/>
    <n v="699"/>
    <n v="174.75"/>
    <n v="524.25"/>
    <n v="238"/>
    <n v="238"/>
    <n v="60"/>
    <n v="226.25"/>
    <n v="0.43156890796375774"/>
    <x v="3"/>
    <d v="2025-08-31T00:00:00"/>
    <n v="1"/>
    <x v="1"/>
    <n v="4"/>
    <n v="0"/>
  </r>
  <r>
    <s v="ORD-103765"/>
    <x v="604"/>
    <x v="1"/>
    <d v="2025-08-01T00:00:00"/>
    <n v="8"/>
    <s v="CUST-02574"/>
    <x v="1"/>
    <x v="19"/>
    <s v="PB"/>
    <x v="0"/>
    <s v="Amritsar"/>
    <x v="2"/>
    <s v="P703"/>
    <s v="Green Tea (100 bags)"/>
    <x v="0"/>
    <n v="1"/>
    <n v="399"/>
    <n v="0.25"/>
    <n v="399"/>
    <n v="99.75"/>
    <n v="299.25"/>
    <n v="128"/>
    <n v="128"/>
    <n v="60"/>
    <n v="111.25"/>
    <n v="0.37176274018379279"/>
    <x v="0"/>
    <d v="2025-09-04T00:00:00"/>
    <n v="4"/>
    <x v="0"/>
    <m/>
    <n v="0"/>
  </r>
  <r>
    <s v="ORD-103766"/>
    <x v="604"/>
    <x v="1"/>
    <d v="2025-08-01T00:00:00"/>
    <n v="8"/>
    <s v="CUST-01388"/>
    <x v="0"/>
    <x v="6"/>
    <s v="DL"/>
    <x v="0"/>
    <s v="New Delhi"/>
    <x v="1"/>
    <s v="P404"/>
    <s v="Flip Flops"/>
    <x v="5"/>
    <n v="2"/>
    <n v="399"/>
    <n v="0.2"/>
    <n v="798"/>
    <n v="159.60000000000002"/>
    <n v="638.4"/>
    <n v="152"/>
    <n v="304"/>
    <n v="60"/>
    <n v="274.39999999999998"/>
    <n v="0.42982456140350878"/>
    <x v="0"/>
    <d v="2025-09-03T00:00:00"/>
    <n v="3"/>
    <x v="0"/>
    <n v="4"/>
    <n v="0"/>
  </r>
  <r>
    <s v="ORD-103767"/>
    <x v="604"/>
    <x v="1"/>
    <d v="2025-08-01T00:00:00"/>
    <n v="8"/>
    <s v="CUST-00842"/>
    <x v="1"/>
    <x v="2"/>
    <s v="MH"/>
    <x v="1"/>
    <s v="Mumbai"/>
    <x v="2"/>
    <s v="P701"/>
    <s v="Ashwagandha Capsules"/>
    <x v="0"/>
    <n v="1"/>
    <n v="499"/>
    <n v="0.05"/>
    <n v="499"/>
    <n v="24.950000000000003"/>
    <n v="474.05"/>
    <n v="150"/>
    <n v="150"/>
    <n v="60"/>
    <n v="264.05"/>
    <n v="0.55700875435080688"/>
    <x v="3"/>
    <d v="2025-09-03T00:00:00"/>
    <n v="3"/>
    <x v="0"/>
    <m/>
    <n v="0"/>
  </r>
  <r>
    <s v="ORD-103768"/>
    <x v="604"/>
    <x v="1"/>
    <d v="2025-08-01T00:00:00"/>
    <n v="8"/>
    <s v="CUST-02988"/>
    <x v="0"/>
    <x v="2"/>
    <s v="MH"/>
    <x v="1"/>
    <s v="Pune"/>
    <x v="2"/>
    <s v="P204"/>
    <s v="Anti-Dandruff Conditioner"/>
    <x v="6"/>
    <n v="1"/>
    <n v="399"/>
    <n v="0.35"/>
    <n v="399"/>
    <n v="139.64999999999998"/>
    <n v="259.35000000000002"/>
    <n v="136"/>
    <n v="136"/>
    <n v="60"/>
    <n v="63.350000000000023"/>
    <n v="0.24426450742240222"/>
    <x v="0"/>
    <d v="2025-09-03T00:00:00"/>
    <n v="3"/>
    <x v="0"/>
    <n v="4"/>
    <n v="0"/>
  </r>
  <r>
    <s v="ORD-103769"/>
    <x v="604"/>
    <x v="1"/>
    <d v="2025-08-01T00:00:00"/>
    <n v="8"/>
    <s v="CUST-00430"/>
    <x v="1"/>
    <x v="11"/>
    <s v="KA"/>
    <x v="3"/>
    <s v="Mysuru"/>
    <x v="4"/>
    <s v="P204"/>
    <s v="Anti-Dandruff Conditioner"/>
    <x v="6"/>
    <n v="1"/>
    <n v="399"/>
    <n v="0.35"/>
    <n v="399"/>
    <n v="139.64999999999998"/>
    <n v="259.35000000000002"/>
    <n v="136"/>
    <n v="136"/>
    <n v="120"/>
    <n v="3.3500000000000227"/>
    <n v="1.2916907653749846E-2"/>
    <x v="3"/>
    <d v="2025-09-03T00:00:00"/>
    <n v="3"/>
    <x v="0"/>
    <n v="4"/>
    <n v="1"/>
  </r>
  <r>
    <s v="ORD-103770"/>
    <x v="604"/>
    <x v="1"/>
    <d v="2025-08-01T00:00:00"/>
    <n v="8"/>
    <s v="CUST-01016"/>
    <x v="1"/>
    <x v="17"/>
    <s v="TN"/>
    <x v="3"/>
    <s v="Chennai"/>
    <x v="0"/>
    <s v="P704"/>
    <s v="Multivitamin Gummies"/>
    <x v="0"/>
    <n v="2"/>
    <n v="699"/>
    <n v="0.3"/>
    <n v="1398"/>
    <n v="419.4"/>
    <n v="978.6"/>
    <n v="238"/>
    <n v="476"/>
    <n v="60"/>
    <n v="442.6"/>
    <n v="0.45227876558348662"/>
    <x v="0"/>
    <d v="2025-09-01T00:00:00"/>
    <n v="1"/>
    <x v="1"/>
    <n v="4"/>
    <n v="0"/>
  </r>
  <r>
    <s v="ORD-103771"/>
    <x v="605"/>
    <x v="1"/>
    <d v="2025-09-01T00:00:00"/>
    <n v="9"/>
    <s v="CUST-00864"/>
    <x v="1"/>
    <x v="4"/>
    <s v="JK"/>
    <x v="0"/>
    <s v="Srinagar"/>
    <x v="0"/>
    <s v="P102"/>
    <s v="Sunscreen SPF 50"/>
    <x v="3"/>
    <n v="3"/>
    <n v="449"/>
    <n v="0.15"/>
    <n v="1347"/>
    <n v="202.04999999999998"/>
    <n v="1144.95"/>
    <n v="144"/>
    <n v="432"/>
    <n v="60"/>
    <n v="652.95000000000005"/>
    <n v="0.57028691209223115"/>
    <x v="0"/>
    <d v="2025-09-06T00:00:00"/>
    <n v="5"/>
    <x v="2"/>
    <n v="3"/>
    <n v="0"/>
  </r>
  <r>
    <s v="ORD-103772"/>
    <x v="605"/>
    <x v="1"/>
    <d v="2025-09-01T00:00:00"/>
    <n v="9"/>
    <s v="CUST-00011"/>
    <x v="1"/>
    <x v="6"/>
    <s v="DL"/>
    <x v="0"/>
    <s v="New Delhi"/>
    <x v="0"/>
    <s v="P503"/>
    <s v="Scented Candle Set"/>
    <x v="4"/>
    <n v="1"/>
    <n v="699"/>
    <n v="0.3"/>
    <n v="699"/>
    <n v="209.7"/>
    <n v="489.3"/>
    <n v="245"/>
    <n v="245"/>
    <n v="60"/>
    <n v="184.3"/>
    <n v="0.37666053545881872"/>
    <x v="4"/>
    <d v="2025-09-02T00:00:00"/>
    <n v="1"/>
    <x v="1"/>
    <n v="5"/>
    <n v="0"/>
  </r>
  <r>
    <s v="ORD-103773"/>
    <x v="605"/>
    <x v="1"/>
    <d v="2025-09-01T00:00:00"/>
    <n v="9"/>
    <s v="CUST-01097"/>
    <x v="1"/>
    <x v="6"/>
    <s v="DL"/>
    <x v="0"/>
    <s v="New Delhi"/>
    <x v="4"/>
    <s v="P201"/>
    <s v="Onion Hair Oil"/>
    <x v="6"/>
    <n v="2"/>
    <n v="349"/>
    <n v="0.3"/>
    <n v="698"/>
    <n v="209.4"/>
    <n v="488.6"/>
    <n v="105"/>
    <n v="210"/>
    <n v="60"/>
    <n v="218.60000000000002"/>
    <n v="0.44740073679901765"/>
    <x v="0"/>
    <d v="2025-09-04T00:00:00"/>
    <n v="3"/>
    <x v="0"/>
    <m/>
    <n v="0"/>
  </r>
  <r>
    <s v="ORD-103774"/>
    <x v="605"/>
    <x v="1"/>
    <d v="2025-09-01T00:00:00"/>
    <n v="9"/>
    <s v="CUST-01383"/>
    <x v="1"/>
    <x v="16"/>
    <s v="UP"/>
    <x v="0"/>
    <s v="Kanpur"/>
    <x v="2"/>
    <s v="P202"/>
    <s v="Argan Shampoo"/>
    <x v="6"/>
    <n v="1"/>
    <n v="449"/>
    <n v="0"/>
    <n v="449"/>
    <n v="0"/>
    <n v="449"/>
    <n v="148"/>
    <n v="148"/>
    <n v="60"/>
    <n v="241"/>
    <n v="0.53674832962138086"/>
    <x v="3"/>
    <d v="2025-09-03T00:00:00"/>
    <n v="2"/>
    <x v="1"/>
    <n v="4"/>
    <n v="0"/>
  </r>
  <r>
    <s v="ORD-103775"/>
    <x v="605"/>
    <x v="1"/>
    <d v="2025-09-01T00:00:00"/>
    <n v="9"/>
    <s v="CUST-00962"/>
    <x v="1"/>
    <x v="1"/>
    <s v="GJ"/>
    <x v="1"/>
    <s v="Ahmedabad"/>
    <x v="1"/>
    <s v="P402"/>
    <s v="Casual Sneakers"/>
    <x v="5"/>
    <n v="1"/>
    <n v="2199"/>
    <n v="0.2"/>
    <n v="2199"/>
    <n v="439.8"/>
    <n v="1759.2"/>
    <n v="1034"/>
    <n v="1034"/>
    <n v="60"/>
    <n v="665.2"/>
    <n v="0.37812642110050027"/>
    <x v="1"/>
    <d v="2025-09-05T00:00:00"/>
    <n v="4"/>
    <x v="0"/>
    <n v="4"/>
    <n v="0"/>
  </r>
  <r>
    <s v="ORD-103776"/>
    <x v="605"/>
    <x v="1"/>
    <d v="2025-09-01T00:00:00"/>
    <n v="9"/>
    <s v="CUST-02509"/>
    <x v="0"/>
    <x v="13"/>
    <s v="MP"/>
    <x v="1"/>
    <s v="Indore"/>
    <x v="4"/>
    <s v="P704"/>
    <s v="Multivitamin Gummies"/>
    <x v="0"/>
    <n v="2"/>
    <n v="699"/>
    <n v="0.25"/>
    <n v="1398"/>
    <n v="349.5"/>
    <n v="1048.5"/>
    <n v="238"/>
    <n v="476"/>
    <n v="60"/>
    <n v="512.5"/>
    <n v="0.48879351454458753"/>
    <x v="0"/>
    <d v="2025-09-04T00:00:00"/>
    <n v="3"/>
    <x v="0"/>
    <n v="4"/>
    <n v="0"/>
  </r>
  <r>
    <s v="ORD-103777"/>
    <x v="605"/>
    <x v="1"/>
    <d v="2025-09-01T00:00:00"/>
    <n v="9"/>
    <s v="CUST-03014"/>
    <x v="1"/>
    <x v="13"/>
    <s v="MP"/>
    <x v="1"/>
    <s v="Indore"/>
    <x v="2"/>
    <s v="P503"/>
    <s v="Scented Candle Set"/>
    <x v="4"/>
    <n v="1"/>
    <n v="699"/>
    <n v="0.1"/>
    <n v="699"/>
    <n v="69.900000000000006"/>
    <n v="629.1"/>
    <n v="245"/>
    <n v="245"/>
    <n v="60"/>
    <n v="324.10000000000002"/>
    <n v="0.51518041646797008"/>
    <x v="0"/>
    <d v="2025-09-04T00:00:00"/>
    <n v="3"/>
    <x v="0"/>
    <m/>
    <n v="0"/>
  </r>
  <r>
    <s v="ORD-103778"/>
    <x v="605"/>
    <x v="1"/>
    <d v="2025-09-01T00:00:00"/>
    <n v="9"/>
    <s v="CUST-00451"/>
    <x v="1"/>
    <x v="8"/>
    <s v="AP"/>
    <x v="3"/>
    <s v="Vijayawada"/>
    <x v="3"/>
    <s v="P704"/>
    <s v="Multivitamin Gummies"/>
    <x v="0"/>
    <n v="1"/>
    <n v="699"/>
    <n v="0.2"/>
    <n v="699"/>
    <n v="139.80000000000001"/>
    <n v="559.20000000000005"/>
    <n v="238"/>
    <n v="238"/>
    <n v="60"/>
    <n v="261.20000000000005"/>
    <n v="0.46709585121602293"/>
    <x v="0"/>
    <d v="2025-09-06T00:00:00"/>
    <n v="5"/>
    <x v="2"/>
    <m/>
    <n v="0"/>
  </r>
  <r>
    <s v="ORD-103779"/>
    <x v="605"/>
    <x v="1"/>
    <d v="2025-09-01T00:00:00"/>
    <n v="9"/>
    <s v="CUST-00336"/>
    <x v="1"/>
    <x v="17"/>
    <s v="TN"/>
    <x v="3"/>
    <s v="Chennai"/>
    <x v="0"/>
    <s v="P504"/>
    <s v="Cotton Bedsheet"/>
    <x v="4"/>
    <n v="2"/>
    <n v="1299"/>
    <n v="0"/>
    <n v="2598"/>
    <n v="0"/>
    <n v="2598"/>
    <n v="585"/>
    <n v="1170"/>
    <n v="60"/>
    <n v="1368"/>
    <n v="0.52655889145496537"/>
    <x v="0"/>
    <d v="2025-09-02T00:00:00"/>
    <n v="1"/>
    <x v="1"/>
    <n v="5"/>
    <n v="0"/>
  </r>
  <r>
    <s v="ORD-103780"/>
    <x v="606"/>
    <x v="1"/>
    <d v="2025-09-01T00:00:00"/>
    <n v="9"/>
    <s v="CUST-02773"/>
    <x v="1"/>
    <x v="0"/>
    <s v="RJ"/>
    <x v="0"/>
    <s v="Udaipur"/>
    <x v="0"/>
    <s v="P204"/>
    <s v="Anti-Dandruff Conditioner"/>
    <x v="6"/>
    <n v="2"/>
    <n v="399"/>
    <n v="0.45"/>
    <n v="798"/>
    <n v="359.1"/>
    <n v="438.9"/>
    <n v="136"/>
    <n v="272"/>
    <n v="60"/>
    <n v="106.89999999999998"/>
    <n v="0.24356345408976984"/>
    <x v="0"/>
    <d v="2025-09-06T00:00:00"/>
    <n v="4"/>
    <x v="0"/>
    <m/>
    <n v="0"/>
  </r>
  <r>
    <s v="ORD-103781"/>
    <x v="606"/>
    <x v="1"/>
    <d v="2025-09-01T00:00:00"/>
    <n v="9"/>
    <s v="CUST-01037"/>
    <x v="1"/>
    <x v="6"/>
    <s v="DL"/>
    <x v="0"/>
    <s v="New Delhi"/>
    <x v="4"/>
    <s v="P504"/>
    <s v="Cotton Bedsheet"/>
    <x v="4"/>
    <n v="3"/>
    <n v="1299"/>
    <n v="0"/>
    <n v="3897"/>
    <n v="0"/>
    <n v="3897"/>
    <n v="585"/>
    <n v="1755"/>
    <n v="60"/>
    <n v="2082"/>
    <n v="0.53425712086220167"/>
    <x v="0"/>
    <d v="2025-09-04T00:00:00"/>
    <n v="2"/>
    <x v="1"/>
    <n v="4"/>
    <n v="0"/>
  </r>
  <r>
    <s v="ORD-103782"/>
    <x v="606"/>
    <x v="1"/>
    <d v="2025-09-01T00:00:00"/>
    <n v="9"/>
    <s v="CUST-00702"/>
    <x v="0"/>
    <x v="16"/>
    <s v="UP"/>
    <x v="0"/>
    <s v="Lucknow"/>
    <x v="0"/>
    <s v="P404"/>
    <s v="Flip Flops"/>
    <x v="5"/>
    <n v="1"/>
    <n v="399"/>
    <n v="0.1"/>
    <n v="399"/>
    <n v="39.900000000000006"/>
    <n v="359.1"/>
    <n v="152"/>
    <n v="152"/>
    <n v="60"/>
    <n v="147.10000000000002"/>
    <n v="0.40963519910888335"/>
    <x v="1"/>
    <d v="2025-09-05T00:00:00"/>
    <n v="3"/>
    <x v="0"/>
    <m/>
    <n v="0"/>
  </r>
  <r>
    <s v="ORD-103783"/>
    <x v="606"/>
    <x v="1"/>
    <d v="2025-09-01T00:00:00"/>
    <n v="9"/>
    <s v="CUST-02455"/>
    <x v="0"/>
    <x v="1"/>
    <s v="GJ"/>
    <x v="1"/>
    <s v="Surat"/>
    <x v="0"/>
    <s v="P704"/>
    <s v="Multivitamin Gummies"/>
    <x v="0"/>
    <n v="1"/>
    <n v="699"/>
    <n v="0.2"/>
    <n v="699"/>
    <n v="139.80000000000001"/>
    <n v="559.20000000000005"/>
    <n v="238"/>
    <n v="238"/>
    <n v="60"/>
    <n v="261.20000000000005"/>
    <n v="0.46709585121602293"/>
    <x v="3"/>
    <d v="2025-09-04T00:00:00"/>
    <n v="2"/>
    <x v="1"/>
    <n v="3"/>
    <n v="0"/>
  </r>
  <r>
    <s v="ORD-103784"/>
    <x v="606"/>
    <x v="1"/>
    <d v="2025-09-01T00:00:00"/>
    <n v="9"/>
    <s v="CUST-01653"/>
    <x v="0"/>
    <x v="18"/>
    <s v="WB"/>
    <x v="2"/>
    <s v="Kolkata"/>
    <x v="4"/>
    <s v="P703"/>
    <s v="Green Tea (100 bags)"/>
    <x v="0"/>
    <n v="2"/>
    <n v="399"/>
    <n v="0.35"/>
    <n v="798"/>
    <n v="279.29999999999995"/>
    <n v="518.70000000000005"/>
    <n v="128"/>
    <n v="256"/>
    <n v="120"/>
    <n v="142.70000000000005"/>
    <n v="0.27511085405822255"/>
    <x v="0"/>
    <d v="2025-09-07T00:00:00"/>
    <n v="5"/>
    <x v="2"/>
    <m/>
    <n v="1"/>
  </r>
  <r>
    <s v="ORD-103785"/>
    <x v="606"/>
    <x v="1"/>
    <d v="2025-09-01T00:00:00"/>
    <n v="9"/>
    <s v="CUST-02535"/>
    <x v="0"/>
    <x v="2"/>
    <s v="MH"/>
    <x v="1"/>
    <s v="Nagpur"/>
    <x v="4"/>
    <s v="P103"/>
    <s v="Niacinamide Toner"/>
    <x v="3"/>
    <n v="2"/>
    <n v="399"/>
    <n v="0.3"/>
    <n v="798"/>
    <n v="239.39999999999998"/>
    <n v="558.6"/>
    <n v="112"/>
    <n v="224"/>
    <n v="60"/>
    <n v="274.60000000000002"/>
    <n v="0.49158610812746151"/>
    <x v="0"/>
    <d v="2025-09-04T00:00:00"/>
    <n v="2"/>
    <x v="1"/>
    <n v="5"/>
    <n v="0"/>
  </r>
  <r>
    <s v="ORD-103786"/>
    <x v="607"/>
    <x v="1"/>
    <d v="2025-09-01T00:00:00"/>
    <n v="9"/>
    <s v="CUST-00017"/>
    <x v="1"/>
    <x v="6"/>
    <s v="DL"/>
    <x v="0"/>
    <s v="New Delhi"/>
    <x v="4"/>
    <s v="P503"/>
    <s v="Scented Candle Set"/>
    <x v="4"/>
    <n v="5"/>
    <n v="699"/>
    <n v="0.3"/>
    <n v="3495"/>
    <n v="1048.5"/>
    <n v="2446.5"/>
    <n v="245"/>
    <n v="1225"/>
    <n v="60"/>
    <n v="1161.5"/>
    <n v="0.47475986102595547"/>
    <x v="3"/>
    <d v="2025-09-05T00:00:00"/>
    <n v="2"/>
    <x v="1"/>
    <m/>
    <n v="0"/>
  </r>
  <r>
    <s v="ORD-103787"/>
    <x v="607"/>
    <x v="1"/>
    <d v="2025-09-01T00:00:00"/>
    <n v="9"/>
    <s v="CUST-02165"/>
    <x v="0"/>
    <x v="6"/>
    <s v="DL"/>
    <x v="0"/>
    <s v="New Delhi"/>
    <x v="2"/>
    <s v="P704"/>
    <s v="Multivitamin Gummies"/>
    <x v="0"/>
    <n v="4"/>
    <n v="699"/>
    <n v="0.1"/>
    <n v="2796"/>
    <n v="279.60000000000002"/>
    <n v="2516.4"/>
    <n v="238"/>
    <n v="952"/>
    <n v="60"/>
    <n v="1504.4"/>
    <n v="0.59783818152916868"/>
    <x v="0"/>
    <d v="2025-09-05T00:00:00"/>
    <n v="2"/>
    <x v="1"/>
    <n v="5"/>
    <n v="0"/>
  </r>
  <r>
    <s v="ORD-103788"/>
    <x v="607"/>
    <x v="1"/>
    <d v="2025-09-01T00:00:00"/>
    <n v="9"/>
    <s v="CUST-00249"/>
    <x v="1"/>
    <x v="16"/>
    <s v="UP"/>
    <x v="0"/>
    <s v="Noida"/>
    <x v="4"/>
    <s v="P102"/>
    <s v="Sunscreen SPF 50"/>
    <x v="3"/>
    <n v="1"/>
    <n v="449"/>
    <n v="0.15"/>
    <n v="449"/>
    <n v="67.349999999999994"/>
    <n v="381.65"/>
    <n v="144"/>
    <n v="144"/>
    <n v="60"/>
    <n v="177.64999999999998"/>
    <n v="0.465478841870824"/>
    <x v="3"/>
    <d v="2025-09-04T00:00:00"/>
    <n v="1"/>
    <x v="1"/>
    <n v="4"/>
    <n v="0"/>
  </r>
  <r>
    <s v="ORD-103789"/>
    <x v="607"/>
    <x v="1"/>
    <d v="2025-09-01T00:00:00"/>
    <n v="9"/>
    <s v="CUST-00726"/>
    <x v="1"/>
    <x v="22"/>
    <s v="AS"/>
    <x v="2"/>
    <s v="Guwahati"/>
    <x v="3"/>
    <s v="P103"/>
    <s v="Niacinamide Toner"/>
    <x v="3"/>
    <n v="2"/>
    <n v="399"/>
    <n v="0.25"/>
    <n v="798"/>
    <n v="199.5"/>
    <n v="598.5"/>
    <n v="112"/>
    <n v="224"/>
    <n v="60"/>
    <n v="314.5"/>
    <n v="0.52548036758563077"/>
    <x v="3"/>
    <d v="2025-09-10T00:00:00"/>
    <n v="7"/>
    <x v="2"/>
    <n v="3"/>
    <n v="0"/>
  </r>
  <r>
    <s v="ORD-103790"/>
    <x v="607"/>
    <x v="1"/>
    <d v="2025-09-01T00:00:00"/>
    <n v="9"/>
    <s v="CUST-00784"/>
    <x v="1"/>
    <x v="18"/>
    <s v="WB"/>
    <x v="2"/>
    <s v="Kolkata"/>
    <x v="3"/>
    <s v="P701"/>
    <s v="Ashwagandha Capsules"/>
    <x v="0"/>
    <n v="4"/>
    <n v="499"/>
    <n v="0"/>
    <n v="1996"/>
    <n v="0"/>
    <n v="1996"/>
    <n v="150"/>
    <n v="600"/>
    <n v="60"/>
    <n v="1336"/>
    <n v="0.66933867735470942"/>
    <x v="3"/>
    <d v="2025-09-07T00:00:00"/>
    <n v="4"/>
    <x v="0"/>
    <n v="3"/>
    <n v="0"/>
  </r>
  <r>
    <s v="ORD-103791"/>
    <x v="607"/>
    <x v="1"/>
    <d v="2025-09-01T00:00:00"/>
    <n v="9"/>
    <s v="CUST-00685"/>
    <x v="1"/>
    <x v="2"/>
    <s v="MH"/>
    <x v="1"/>
    <s v="Mumbai"/>
    <x v="0"/>
    <s v="P201"/>
    <s v="Onion Hair Oil"/>
    <x v="6"/>
    <n v="2"/>
    <n v="349"/>
    <n v="0.3"/>
    <n v="698"/>
    <n v="209.4"/>
    <n v="488.6"/>
    <n v="105"/>
    <n v="210"/>
    <n v="60"/>
    <n v="218.60000000000002"/>
    <n v="0.44740073679901765"/>
    <x v="2"/>
    <d v="2025-09-07T00:00:00"/>
    <n v="4"/>
    <x v="0"/>
    <n v="5"/>
    <n v="0"/>
  </r>
  <r>
    <s v="ORD-103792"/>
    <x v="607"/>
    <x v="1"/>
    <d v="2025-09-01T00:00:00"/>
    <n v="9"/>
    <s v="CUST-01057"/>
    <x v="1"/>
    <x v="8"/>
    <s v="AP"/>
    <x v="3"/>
    <s v="Vijayawada"/>
    <x v="4"/>
    <s v="P104"/>
    <s v="Hydrating Face Wash"/>
    <x v="3"/>
    <n v="1"/>
    <n v="299"/>
    <n v="0"/>
    <n v="299"/>
    <n v="0"/>
    <n v="299"/>
    <n v="90"/>
    <n v="90"/>
    <n v="60"/>
    <n v="149"/>
    <n v="0.49832775919732442"/>
    <x v="3"/>
    <d v="2025-09-06T00:00:00"/>
    <n v="3"/>
    <x v="0"/>
    <m/>
    <n v="0"/>
  </r>
  <r>
    <s v="ORD-103793"/>
    <x v="607"/>
    <x v="1"/>
    <d v="2025-09-01T00:00:00"/>
    <n v="9"/>
    <s v="CUST-00957"/>
    <x v="0"/>
    <x v="14"/>
    <s v="KL"/>
    <x v="3"/>
    <s v="Thiruvananthapuram"/>
    <x v="4"/>
    <s v="P504"/>
    <s v="Cotton Bedsheet"/>
    <x v="4"/>
    <n v="1"/>
    <n v="1299"/>
    <n v="0.05"/>
    <n v="1299"/>
    <n v="64.95"/>
    <n v="1234.05"/>
    <n v="585"/>
    <n v="585"/>
    <n v="60"/>
    <n v="589.04999999999995"/>
    <n v="0.47733074024553296"/>
    <x v="3"/>
    <d v="2025-09-06T00:00:00"/>
    <n v="3"/>
    <x v="0"/>
    <n v="4"/>
    <n v="0"/>
  </r>
  <r>
    <s v="ORD-103794"/>
    <x v="608"/>
    <x v="1"/>
    <d v="2025-09-01T00:00:00"/>
    <n v="9"/>
    <s v="CUST-01758"/>
    <x v="1"/>
    <x v="6"/>
    <s v="DL"/>
    <x v="0"/>
    <s v="New Delhi"/>
    <x v="0"/>
    <s v="P404"/>
    <s v="Flip Flops"/>
    <x v="5"/>
    <n v="1"/>
    <n v="399"/>
    <n v="0.15"/>
    <n v="399"/>
    <n v="59.849999999999994"/>
    <n v="339.15"/>
    <n v="152"/>
    <n v="152"/>
    <n v="60"/>
    <n v="127.14999999999998"/>
    <n v="0.37490785787999409"/>
    <x v="3"/>
    <d v="2025-09-06T00:00:00"/>
    <n v="2"/>
    <x v="1"/>
    <n v="4"/>
    <n v="0"/>
  </r>
  <r>
    <s v="ORD-103795"/>
    <x v="608"/>
    <x v="1"/>
    <d v="2025-09-01T00:00:00"/>
    <n v="9"/>
    <s v="CUST-02888"/>
    <x v="1"/>
    <x v="16"/>
    <s v="UP"/>
    <x v="0"/>
    <s v="Noida"/>
    <x v="4"/>
    <s v="P202"/>
    <s v="Argan Shampoo"/>
    <x v="6"/>
    <n v="1"/>
    <n v="449"/>
    <n v="0"/>
    <n v="449"/>
    <n v="0"/>
    <n v="449"/>
    <n v="148"/>
    <n v="148"/>
    <n v="60"/>
    <n v="241"/>
    <n v="0.53674832962138086"/>
    <x v="0"/>
    <d v="2025-09-08T00:00:00"/>
    <n v="4"/>
    <x v="0"/>
    <n v="4"/>
    <n v="0"/>
  </r>
  <r>
    <s v="ORD-103796"/>
    <x v="608"/>
    <x v="1"/>
    <d v="2025-09-01T00:00:00"/>
    <n v="9"/>
    <s v="CUST-00705"/>
    <x v="1"/>
    <x v="3"/>
    <s v="OD"/>
    <x v="2"/>
    <s v="Bhubaneswar"/>
    <x v="4"/>
    <s v="P201"/>
    <s v="Onion Hair Oil"/>
    <x v="6"/>
    <n v="1"/>
    <n v="349"/>
    <n v="0.3"/>
    <n v="349"/>
    <n v="104.7"/>
    <n v="244.3"/>
    <n v="105"/>
    <n v="105"/>
    <n v="60"/>
    <n v="79.300000000000011"/>
    <n v="0.32460090053213264"/>
    <x v="0"/>
    <d v="2025-09-08T00:00:00"/>
    <n v="4"/>
    <x v="0"/>
    <m/>
    <n v="0"/>
  </r>
  <r>
    <s v="ORD-103797"/>
    <x v="608"/>
    <x v="1"/>
    <d v="2025-09-01T00:00:00"/>
    <n v="9"/>
    <s v="CUST-02853"/>
    <x v="0"/>
    <x v="17"/>
    <s v="TN"/>
    <x v="3"/>
    <s v="Coimbatore"/>
    <x v="2"/>
    <s v="P201"/>
    <s v="Onion Hair Oil"/>
    <x v="6"/>
    <n v="1"/>
    <n v="349"/>
    <n v="0.35"/>
    <n v="349"/>
    <n v="122.14999999999999"/>
    <n v="226.85000000000002"/>
    <n v="105"/>
    <n v="105"/>
    <n v="60"/>
    <n v="61.850000000000023"/>
    <n v="0.27264712364998905"/>
    <x v="4"/>
    <d v="2025-09-08T00:00:00"/>
    <n v="4"/>
    <x v="0"/>
    <n v="4"/>
    <n v="0"/>
  </r>
  <r>
    <s v="ORD-103798"/>
    <x v="608"/>
    <x v="1"/>
    <d v="2025-09-01T00:00:00"/>
    <n v="9"/>
    <s v="CUST-02834"/>
    <x v="0"/>
    <x v="17"/>
    <s v="TN"/>
    <x v="3"/>
    <s v="Coimbatore"/>
    <x v="4"/>
    <s v="P105"/>
    <s v="Retinol Night Cream"/>
    <x v="3"/>
    <n v="3"/>
    <n v="799"/>
    <n v="0.05"/>
    <n v="2397"/>
    <n v="119.85000000000001"/>
    <n v="2277.15"/>
    <n v="216"/>
    <n v="648"/>
    <n v="60"/>
    <n v="1569.15"/>
    <n v="0.68908504051116526"/>
    <x v="4"/>
    <d v="2025-09-05T00:00:00"/>
    <n v="1"/>
    <x v="1"/>
    <n v="5"/>
    <n v="0"/>
  </r>
  <r>
    <s v="ORD-103799"/>
    <x v="609"/>
    <x v="1"/>
    <d v="2025-09-01T00:00:00"/>
    <n v="9"/>
    <s v="CUST-00468"/>
    <x v="1"/>
    <x v="19"/>
    <s v="PB"/>
    <x v="0"/>
    <s v="Ludhiana"/>
    <x v="2"/>
    <s v="P403"/>
    <s v="Kolhapuri Sandals"/>
    <x v="5"/>
    <n v="1"/>
    <n v="999"/>
    <n v="0"/>
    <n v="999"/>
    <n v="0"/>
    <n v="999"/>
    <n v="400"/>
    <n v="400"/>
    <n v="60"/>
    <n v="539"/>
    <n v="0.53953953953953959"/>
    <x v="0"/>
    <d v="2025-09-08T00:00:00"/>
    <n v="3"/>
    <x v="0"/>
    <n v="4"/>
    <n v="0"/>
  </r>
  <r>
    <s v="ORD-103800"/>
    <x v="609"/>
    <x v="1"/>
    <d v="2025-09-01T00:00:00"/>
    <n v="9"/>
    <s v="CUST-00604"/>
    <x v="1"/>
    <x v="6"/>
    <s v="DL"/>
    <x v="0"/>
    <s v="New Delhi"/>
    <x v="4"/>
    <s v="P204"/>
    <s v="Anti-Dandruff Conditioner"/>
    <x v="6"/>
    <n v="1"/>
    <n v="399"/>
    <n v="0.4"/>
    <n v="399"/>
    <n v="159.60000000000002"/>
    <n v="239.39999999999998"/>
    <n v="136"/>
    <n v="136"/>
    <n v="60"/>
    <n v="43.399999999999977"/>
    <n v="0.18128654970760227"/>
    <x v="0"/>
    <d v="2025-09-09T00:00:00"/>
    <n v="4"/>
    <x v="0"/>
    <m/>
    <n v="0"/>
  </r>
  <r>
    <s v="ORD-103801"/>
    <x v="609"/>
    <x v="1"/>
    <d v="2025-09-01T00:00:00"/>
    <n v="9"/>
    <s v="CUST-02578"/>
    <x v="0"/>
    <x v="16"/>
    <s v="UP"/>
    <x v="0"/>
    <s v="Kanpur"/>
    <x v="4"/>
    <s v="P501"/>
    <s v="Copper Water Bottle"/>
    <x v="4"/>
    <n v="1"/>
    <n v="899"/>
    <n v="0.05"/>
    <n v="899"/>
    <n v="44.95"/>
    <n v="854.05"/>
    <n v="378"/>
    <n v="378"/>
    <n v="60"/>
    <n v="416.04999999999995"/>
    <n v="0.48714946431707745"/>
    <x v="0"/>
    <d v="2025-09-08T00:00:00"/>
    <n v="3"/>
    <x v="0"/>
    <n v="4"/>
    <n v="0"/>
  </r>
  <r>
    <s v="ORD-103802"/>
    <x v="609"/>
    <x v="1"/>
    <d v="2025-09-01T00:00:00"/>
    <n v="9"/>
    <s v="CUST-00307"/>
    <x v="1"/>
    <x v="13"/>
    <s v="MP"/>
    <x v="1"/>
    <s v="Indore"/>
    <x v="3"/>
    <s v="P105"/>
    <s v="Retinol Night Cream"/>
    <x v="3"/>
    <n v="1"/>
    <n v="799"/>
    <n v="0.05"/>
    <n v="799"/>
    <n v="39.950000000000003"/>
    <n v="759.05"/>
    <n v="216"/>
    <n v="216"/>
    <n v="60"/>
    <n v="483.04999999999995"/>
    <n v="0.63638758975034582"/>
    <x v="0"/>
    <d v="2025-09-10T00:00:00"/>
    <n v="5"/>
    <x v="2"/>
    <n v="3"/>
    <n v="0"/>
  </r>
  <r>
    <s v="ORD-103803"/>
    <x v="609"/>
    <x v="1"/>
    <d v="2025-09-01T00:00:00"/>
    <n v="9"/>
    <s v="CUST-01150"/>
    <x v="1"/>
    <x v="2"/>
    <s v="MH"/>
    <x v="1"/>
    <s v="Mumbai"/>
    <x v="3"/>
    <s v="P701"/>
    <s v="Ashwagandha Capsules"/>
    <x v="0"/>
    <n v="1"/>
    <n v="499"/>
    <n v="0"/>
    <n v="499"/>
    <n v="0"/>
    <n v="499"/>
    <n v="150"/>
    <n v="150"/>
    <n v="60"/>
    <n v="289"/>
    <n v="0.57915831663326656"/>
    <x v="1"/>
    <d v="2025-09-08T00:00:00"/>
    <n v="3"/>
    <x v="0"/>
    <n v="4"/>
    <n v="0"/>
  </r>
  <r>
    <s v="ORD-103804"/>
    <x v="609"/>
    <x v="1"/>
    <d v="2025-09-01T00:00:00"/>
    <n v="9"/>
    <s v="CUST-00903"/>
    <x v="1"/>
    <x v="8"/>
    <s v="AP"/>
    <x v="3"/>
    <s v="Vijayawada"/>
    <x v="0"/>
    <s v="P102"/>
    <s v="Sunscreen SPF 50"/>
    <x v="3"/>
    <n v="3"/>
    <n v="449"/>
    <n v="0.1"/>
    <n v="1347"/>
    <n v="134.70000000000002"/>
    <n v="1212.3"/>
    <n v="144"/>
    <n v="432"/>
    <n v="60"/>
    <n v="720.3"/>
    <n v="0.59415986142044042"/>
    <x v="0"/>
    <d v="2025-09-10T00:00:00"/>
    <n v="5"/>
    <x v="2"/>
    <n v="3"/>
    <n v="0"/>
  </r>
  <r>
    <s v="ORD-103805"/>
    <x v="609"/>
    <x v="1"/>
    <d v="2025-09-01T00:00:00"/>
    <n v="9"/>
    <s v="CUST-01449"/>
    <x v="0"/>
    <x v="14"/>
    <s v="KL"/>
    <x v="3"/>
    <s v="Kochi"/>
    <x v="4"/>
    <s v="P104"/>
    <s v="Hydrating Face Wash"/>
    <x v="3"/>
    <n v="1"/>
    <n v="299"/>
    <n v="0"/>
    <n v="299"/>
    <n v="0"/>
    <n v="299"/>
    <n v="90"/>
    <n v="90"/>
    <n v="60"/>
    <n v="149"/>
    <n v="0.49832775919732442"/>
    <x v="0"/>
    <d v="2025-09-08T00:00:00"/>
    <n v="3"/>
    <x v="0"/>
    <n v="4"/>
    <n v="0"/>
  </r>
  <r>
    <s v="ORD-103806"/>
    <x v="610"/>
    <x v="1"/>
    <d v="2025-09-01T00:00:00"/>
    <n v="9"/>
    <s v="CUST-00507"/>
    <x v="1"/>
    <x v="18"/>
    <s v="WB"/>
    <x v="2"/>
    <s v="Kolkata"/>
    <x v="2"/>
    <s v="P103"/>
    <s v="Niacinamide Toner"/>
    <x v="3"/>
    <n v="1"/>
    <n v="399"/>
    <n v="0.15"/>
    <n v="399"/>
    <n v="59.849999999999994"/>
    <n v="339.15"/>
    <n v="112"/>
    <n v="112"/>
    <n v="60"/>
    <n v="167.14999999999998"/>
    <n v="0.49284977148754233"/>
    <x v="4"/>
    <d v="2025-09-11T00:00:00"/>
    <n v="5"/>
    <x v="2"/>
    <m/>
    <n v="0"/>
  </r>
  <r>
    <s v="ORD-103807"/>
    <x v="611"/>
    <x v="1"/>
    <d v="2025-09-01T00:00:00"/>
    <n v="9"/>
    <s v="CUST-02226"/>
    <x v="0"/>
    <x v="6"/>
    <s v="DL"/>
    <x v="0"/>
    <s v="New Delhi"/>
    <x v="3"/>
    <s v="P105"/>
    <s v="Retinol Night Cream"/>
    <x v="3"/>
    <n v="1"/>
    <n v="799"/>
    <n v="0.05"/>
    <n v="799"/>
    <n v="39.950000000000003"/>
    <n v="759.05"/>
    <n v="216"/>
    <n v="216"/>
    <n v="60"/>
    <n v="483.04999999999995"/>
    <n v="0.63638758975034582"/>
    <x v="0"/>
    <d v="2025-09-09T00:00:00"/>
    <n v="2"/>
    <x v="1"/>
    <n v="3"/>
    <n v="0"/>
  </r>
  <r>
    <s v="ORD-103808"/>
    <x v="611"/>
    <x v="1"/>
    <d v="2025-09-01T00:00:00"/>
    <n v="9"/>
    <s v="CUST-02601"/>
    <x v="0"/>
    <x v="16"/>
    <s v="UP"/>
    <x v="0"/>
    <s v="Kanpur"/>
    <x v="0"/>
    <s v="P203"/>
    <s v="Keratin Hair Mask"/>
    <x v="6"/>
    <n v="1"/>
    <n v="549"/>
    <n v="0.25"/>
    <n v="549"/>
    <n v="137.25"/>
    <n v="411.75"/>
    <n v="170"/>
    <n v="170"/>
    <n v="60"/>
    <n v="181.75"/>
    <n v="0.44140862173649059"/>
    <x v="3"/>
    <d v="2025-09-10T00:00:00"/>
    <n v="3"/>
    <x v="0"/>
    <n v="3"/>
    <n v="0"/>
  </r>
  <r>
    <s v="ORD-103809"/>
    <x v="611"/>
    <x v="1"/>
    <d v="2025-09-01T00:00:00"/>
    <n v="9"/>
    <s v="CUST-00396"/>
    <x v="0"/>
    <x v="1"/>
    <s v="GJ"/>
    <x v="1"/>
    <s v="Surat"/>
    <x v="2"/>
    <s v="P104"/>
    <s v="Hydrating Face Wash"/>
    <x v="3"/>
    <n v="1"/>
    <n v="299"/>
    <n v="0"/>
    <n v="299"/>
    <n v="0"/>
    <n v="299"/>
    <n v="90"/>
    <n v="90"/>
    <n v="60"/>
    <n v="149"/>
    <n v="0.49832775919732442"/>
    <x v="0"/>
    <d v="2025-09-10T00:00:00"/>
    <n v="3"/>
    <x v="0"/>
    <n v="4"/>
    <n v="0"/>
  </r>
  <r>
    <s v="ORD-103810"/>
    <x v="611"/>
    <x v="1"/>
    <d v="2025-09-01T00:00:00"/>
    <n v="9"/>
    <s v="CUST-02608"/>
    <x v="0"/>
    <x v="8"/>
    <s v="AP"/>
    <x v="3"/>
    <s v="Visakhapatnam"/>
    <x v="2"/>
    <s v="P501"/>
    <s v="Copper Water Bottle"/>
    <x v="4"/>
    <n v="1"/>
    <n v="899"/>
    <n v="0"/>
    <n v="899"/>
    <n v="0"/>
    <n v="899"/>
    <n v="378"/>
    <n v="378"/>
    <n v="60"/>
    <n v="461"/>
    <n v="0.51279199110122353"/>
    <x v="3"/>
    <d v="2025-09-08T00:00:00"/>
    <n v="1"/>
    <x v="1"/>
    <n v="5"/>
    <n v="0"/>
  </r>
  <r>
    <s v="ORD-103811"/>
    <x v="611"/>
    <x v="1"/>
    <d v="2025-09-01T00:00:00"/>
    <n v="9"/>
    <s v="CUST-01032"/>
    <x v="1"/>
    <x v="14"/>
    <s v="KL"/>
    <x v="3"/>
    <s v="Kochi"/>
    <x v="0"/>
    <s v="P104"/>
    <s v="Hydrating Face Wash"/>
    <x v="3"/>
    <n v="1"/>
    <n v="299"/>
    <n v="0"/>
    <n v="299"/>
    <n v="0"/>
    <n v="299"/>
    <n v="90"/>
    <n v="90"/>
    <n v="60"/>
    <n v="149"/>
    <n v="0.49832775919732442"/>
    <x v="0"/>
    <d v="2025-09-11T00:00:00"/>
    <n v="4"/>
    <x v="0"/>
    <m/>
    <n v="0"/>
  </r>
  <r>
    <s v="ORD-103812"/>
    <x v="611"/>
    <x v="1"/>
    <d v="2025-09-01T00:00:00"/>
    <n v="9"/>
    <s v="CUST-00950"/>
    <x v="1"/>
    <x v="17"/>
    <s v="TN"/>
    <x v="3"/>
    <s v="Coimbatore"/>
    <x v="2"/>
    <s v="P503"/>
    <s v="Scented Candle Set"/>
    <x v="4"/>
    <n v="2"/>
    <n v="699"/>
    <n v="0.1"/>
    <n v="1398"/>
    <n v="139.80000000000001"/>
    <n v="1258.2"/>
    <n v="245"/>
    <n v="490"/>
    <n v="60"/>
    <n v="708.2"/>
    <n v="0.5628675886186616"/>
    <x v="3"/>
    <d v="2025-09-11T00:00:00"/>
    <n v="4"/>
    <x v="0"/>
    <n v="5"/>
    <n v="0"/>
  </r>
  <r>
    <s v="ORD-103813"/>
    <x v="612"/>
    <x v="1"/>
    <d v="2025-09-01T00:00:00"/>
    <n v="9"/>
    <s v="CUST-00314"/>
    <x v="0"/>
    <x v="15"/>
    <s v="HR"/>
    <x v="0"/>
    <s v="Faridabad"/>
    <x v="4"/>
    <s v="P704"/>
    <s v="Multivitamin Gummies"/>
    <x v="0"/>
    <n v="1"/>
    <n v="699"/>
    <n v="0.25"/>
    <n v="699"/>
    <n v="174.75"/>
    <n v="524.25"/>
    <n v="238"/>
    <n v="238"/>
    <n v="60"/>
    <n v="226.25"/>
    <n v="0.43156890796375774"/>
    <x v="0"/>
    <d v="2025-09-11T00:00:00"/>
    <n v="3"/>
    <x v="0"/>
    <n v="4"/>
    <n v="0"/>
  </r>
  <r>
    <s v="ORD-103814"/>
    <x v="612"/>
    <x v="1"/>
    <d v="2025-09-01T00:00:00"/>
    <n v="9"/>
    <s v="CUST-02113"/>
    <x v="0"/>
    <x v="15"/>
    <s v="HR"/>
    <x v="0"/>
    <s v="Gurugram"/>
    <x v="2"/>
    <s v="P102"/>
    <s v="Sunscreen SPF 50"/>
    <x v="3"/>
    <n v="2"/>
    <n v="449"/>
    <n v="0"/>
    <n v="898"/>
    <n v="0"/>
    <n v="898"/>
    <n v="144"/>
    <n v="288"/>
    <n v="60"/>
    <n v="550"/>
    <n v="0.61247216035634744"/>
    <x v="2"/>
    <d v="2025-09-11T00:00:00"/>
    <n v="3"/>
    <x v="0"/>
    <n v="4"/>
    <n v="0"/>
  </r>
  <r>
    <s v="ORD-103815"/>
    <x v="612"/>
    <x v="1"/>
    <d v="2025-09-01T00:00:00"/>
    <n v="9"/>
    <s v="CUST-01937"/>
    <x v="0"/>
    <x v="15"/>
    <s v="HR"/>
    <x v="0"/>
    <s v="Gurugram"/>
    <x v="0"/>
    <s v="P501"/>
    <s v="Copper Water Bottle"/>
    <x v="4"/>
    <n v="3"/>
    <n v="899"/>
    <n v="0"/>
    <n v="2697"/>
    <n v="0"/>
    <n v="2697"/>
    <n v="378"/>
    <n v="1134"/>
    <n v="60"/>
    <n v="1503"/>
    <n v="0.55728587319243605"/>
    <x v="4"/>
    <d v="2025-09-10T00:00:00"/>
    <n v="2"/>
    <x v="1"/>
    <m/>
    <n v="0"/>
  </r>
  <r>
    <s v="ORD-103816"/>
    <x v="612"/>
    <x v="1"/>
    <d v="2025-09-01T00:00:00"/>
    <n v="9"/>
    <s v="CUST-00387"/>
    <x v="1"/>
    <x v="12"/>
    <s v="BR"/>
    <x v="2"/>
    <s v="Patna"/>
    <x v="2"/>
    <s v="P504"/>
    <s v="Cotton Bedsheet"/>
    <x v="4"/>
    <n v="1"/>
    <n v="1299"/>
    <n v="0.05"/>
    <n v="1299"/>
    <n v="64.95"/>
    <n v="1234.05"/>
    <n v="585"/>
    <n v="585"/>
    <n v="60"/>
    <n v="589.04999999999995"/>
    <n v="0.47733074024553296"/>
    <x v="0"/>
    <d v="2025-09-13T00:00:00"/>
    <n v="5"/>
    <x v="2"/>
    <n v="3"/>
    <n v="0"/>
  </r>
  <r>
    <s v="ORD-103817"/>
    <x v="612"/>
    <x v="1"/>
    <d v="2025-09-01T00:00:00"/>
    <n v="9"/>
    <s v="CUST-00182"/>
    <x v="1"/>
    <x v="12"/>
    <s v="BR"/>
    <x v="2"/>
    <s v="Patna"/>
    <x v="4"/>
    <s v="P703"/>
    <s v="Green Tea (100 bags)"/>
    <x v="0"/>
    <n v="3"/>
    <n v="399"/>
    <n v="0.3"/>
    <n v="1197"/>
    <n v="359.09999999999997"/>
    <n v="837.90000000000009"/>
    <n v="128"/>
    <n v="384"/>
    <n v="120"/>
    <n v="333.90000000000009"/>
    <n v="0.39849624060150385"/>
    <x v="0"/>
    <d v="2025-09-13T00:00:00"/>
    <n v="5"/>
    <x v="2"/>
    <n v="4"/>
    <n v="1"/>
  </r>
  <r>
    <s v="ORD-103818"/>
    <x v="612"/>
    <x v="1"/>
    <d v="2025-09-01T00:00:00"/>
    <n v="9"/>
    <s v="CUST-02459"/>
    <x v="0"/>
    <x v="2"/>
    <s v="MH"/>
    <x v="1"/>
    <s v="Nagpur"/>
    <x v="0"/>
    <s v="P602"/>
    <s v="Fast Charger 33W"/>
    <x v="2"/>
    <n v="2"/>
    <n v="899"/>
    <n v="0.05"/>
    <n v="1798"/>
    <n v="89.9"/>
    <n v="1708.1"/>
    <n v="494"/>
    <n v="988"/>
    <n v="60"/>
    <n v="660.09999999999991"/>
    <n v="0.38645278379485976"/>
    <x v="4"/>
    <d v="2025-09-11T00:00:00"/>
    <n v="3"/>
    <x v="0"/>
    <n v="3"/>
    <n v="0"/>
  </r>
  <r>
    <s v="ORD-103819"/>
    <x v="612"/>
    <x v="1"/>
    <d v="2025-09-01T00:00:00"/>
    <n v="9"/>
    <s v="CUST-02937"/>
    <x v="1"/>
    <x v="2"/>
    <s v="MH"/>
    <x v="1"/>
    <s v="Pune"/>
    <x v="3"/>
    <s v="P102"/>
    <s v="Sunscreen SPF 50"/>
    <x v="3"/>
    <n v="2"/>
    <n v="449"/>
    <n v="0.15"/>
    <n v="898"/>
    <n v="134.69999999999999"/>
    <n v="763.3"/>
    <n v="144"/>
    <n v="288"/>
    <n v="60"/>
    <n v="415.29999999999995"/>
    <n v="0.54408489453687936"/>
    <x v="3"/>
    <d v="2025-09-09T00:00:00"/>
    <n v="1"/>
    <x v="1"/>
    <n v="5"/>
    <n v="0"/>
  </r>
  <r>
    <s v="ORD-103820"/>
    <x v="612"/>
    <x v="1"/>
    <d v="2025-09-01T00:00:00"/>
    <n v="9"/>
    <s v="CUST-01106"/>
    <x v="1"/>
    <x v="2"/>
    <s v="MH"/>
    <x v="1"/>
    <s v="Pune"/>
    <x v="0"/>
    <s v="P602"/>
    <s v="Fast Charger 33W"/>
    <x v="2"/>
    <n v="1"/>
    <n v="899"/>
    <n v="0.15"/>
    <n v="899"/>
    <n v="134.85"/>
    <n v="764.15"/>
    <n v="494"/>
    <n v="494"/>
    <n v="120"/>
    <n v="150.14999999999998"/>
    <n v="0.1964928351763397"/>
    <x v="3"/>
    <d v="2025-09-10T00:00:00"/>
    <n v="2"/>
    <x v="1"/>
    <n v="5"/>
    <n v="1"/>
  </r>
  <r>
    <s v="ORD-103821"/>
    <x v="612"/>
    <x v="1"/>
    <d v="2025-09-01T00:00:00"/>
    <n v="9"/>
    <s v="CUST-00071"/>
    <x v="0"/>
    <x v="2"/>
    <s v="MH"/>
    <x v="1"/>
    <s v="Mumbai"/>
    <x v="1"/>
    <s v="P402"/>
    <s v="Casual Sneakers"/>
    <x v="5"/>
    <n v="1"/>
    <n v="2199"/>
    <n v="0.25"/>
    <n v="2199"/>
    <n v="549.75"/>
    <n v="1649.25"/>
    <n v="1034"/>
    <n v="1034"/>
    <n v="60"/>
    <n v="555.25"/>
    <n v="0.33666818250720026"/>
    <x v="0"/>
    <d v="2025-09-12T00:00:00"/>
    <n v="4"/>
    <x v="0"/>
    <n v="5"/>
    <n v="0"/>
  </r>
  <r>
    <s v="ORD-103822"/>
    <x v="613"/>
    <x v="1"/>
    <d v="2025-09-01T00:00:00"/>
    <n v="9"/>
    <s v="CUST-00260"/>
    <x v="1"/>
    <x v="6"/>
    <s v="DL"/>
    <x v="0"/>
    <s v="New Delhi"/>
    <x v="0"/>
    <s v="P503"/>
    <s v="Scented Candle Set"/>
    <x v="4"/>
    <n v="1"/>
    <n v="699"/>
    <n v="0.15"/>
    <n v="699"/>
    <n v="104.85"/>
    <n v="594.15"/>
    <n v="245"/>
    <n v="245"/>
    <n v="60"/>
    <n v="289.14999999999998"/>
    <n v="0.48666161743667424"/>
    <x v="1"/>
    <d v="2025-09-11T00:00:00"/>
    <n v="2"/>
    <x v="1"/>
    <n v="5"/>
    <n v="0"/>
  </r>
  <r>
    <s v="ORD-103823"/>
    <x v="613"/>
    <x v="1"/>
    <d v="2025-09-01T00:00:00"/>
    <n v="9"/>
    <s v="CUST-00877"/>
    <x v="1"/>
    <x v="16"/>
    <s v="UP"/>
    <x v="0"/>
    <s v="Noida"/>
    <x v="4"/>
    <s v="P102"/>
    <s v="Sunscreen SPF 50"/>
    <x v="3"/>
    <n v="1"/>
    <n v="449"/>
    <n v="0.05"/>
    <n v="449"/>
    <n v="22.450000000000003"/>
    <n v="426.55"/>
    <n v="144"/>
    <n v="144"/>
    <n v="60"/>
    <n v="222.55"/>
    <n v="0.52174422693705313"/>
    <x v="3"/>
    <d v="2025-09-14T00:00:00"/>
    <n v="5"/>
    <x v="2"/>
    <n v="2"/>
    <n v="0"/>
  </r>
  <r>
    <s v="ORD-103824"/>
    <x v="613"/>
    <x v="1"/>
    <d v="2025-09-01T00:00:00"/>
    <n v="9"/>
    <s v="CUST-00604"/>
    <x v="1"/>
    <x v="12"/>
    <s v="BR"/>
    <x v="2"/>
    <s v="Patna"/>
    <x v="3"/>
    <s v="P103"/>
    <s v="Niacinamide Toner"/>
    <x v="3"/>
    <n v="1"/>
    <n v="399"/>
    <n v="0.2"/>
    <n v="399"/>
    <n v="79.800000000000011"/>
    <n v="319.2"/>
    <n v="112"/>
    <n v="112"/>
    <n v="60"/>
    <n v="147.19999999999999"/>
    <n v="0.46115288220551376"/>
    <x v="1"/>
    <d v="2025-09-11T00:00:00"/>
    <n v="2"/>
    <x v="1"/>
    <m/>
    <n v="0"/>
  </r>
  <r>
    <s v="ORD-103825"/>
    <x v="613"/>
    <x v="1"/>
    <d v="2025-09-01T00:00:00"/>
    <n v="9"/>
    <s v="CUST-00065"/>
    <x v="0"/>
    <x v="3"/>
    <s v="OD"/>
    <x v="2"/>
    <s v="Bhubaneswar"/>
    <x v="4"/>
    <s v="P703"/>
    <s v="Green Tea (100 bags)"/>
    <x v="0"/>
    <n v="3"/>
    <n v="399"/>
    <n v="0.45"/>
    <n v="1197"/>
    <n v="538.65"/>
    <n v="658.35"/>
    <n v="128"/>
    <n v="384"/>
    <n v="60"/>
    <n v="214.35000000000002"/>
    <n v="0.32558669400774665"/>
    <x v="1"/>
    <d v="2025-09-13T00:00:00"/>
    <n v="4"/>
    <x v="0"/>
    <n v="3"/>
    <n v="0"/>
  </r>
  <r>
    <s v="ORD-103826"/>
    <x v="613"/>
    <x v="1"/>
    <d v="2025-09-01T00:00:00"/>
    <n v="9"/>
    <s v="CUST-00740"/>
    <x v="1"/>
    <x v="17"/>
    <s v="TN"/>
    <x v="3"/>
    <s v="Coimbatore"/>
    <x v="4"/>
    <s v="P603"/>
    <s v="Smartwatch Strap"/>
    <x v="2"/>
    <n v="1"/>
    <n v="499"/>
    <n v="0.05"/>
    <n v="499"/>
    <n v="24.950000000000003"/>
    <n v="474.05"/>
    <n v="200"/>
    <n v="200"/>
    <n v="60"/>
    <n v="214.05"/>
    <n v="0.45153464824385614"/>
    <x v="2"/>
    <d v="2025-09-10T00:00:00"/>
    <n v="1"/>
    <x v="1"/>
    <n v="4"/>
    <n v="0"/>
  </r>
  <r>
    <s v="ORD-103827"/>
    <x v="613"/>
    <x v="1"/>
    <d v="2025-09-01T00:00:00"/>
    <n v="9"/>
    <s v="CUST-03070"/>
    <x v="1"/>
    <x v="17"/>
    <s v="TN"/>
    <x v="3"/>
    <s v="Chennai"/>
    <x v="2"/>
    <s v="P104"/>
    <s v="Hydrating Face Wash"/>
    <x v="3"/>
    <n v="4"/>
    <n v="299"/>
    <n v="0"/>
    <n v="1196"/>
    <n v="0"/>
    <n v="1196"/>
    <n v="90"/>
    <n v="360"/>
    <n v="60"/>
    <n v="776"/>
    <n v="0.6488294314381271"/>
    <x v="4"/>
    <d v="2025-09-12T00:00:00"/>
    <n v="3"/>
    <x v="0"/>
    <n v="5"/>
    <n v="0"/>
  </r>
  <r>
    <s v="ORD-103828"/>
    <x v="613"/>
    <x v="1"/>
    <d v="2025-09-01T00:00:00"/>
    <n v="9"/>
    <s v="CUST-01759"/>
    <x v="0"/>
    <x v="17"/>
    <s v="TN"/>
    <x v="3"/>
    <s v="Coimbatore"/>
    <x v="3"/>
    <s v="P202"/>
    <s v="Argan Shampoo"/>
    <x v="6"/>
    <n v="1"/>
    <n v="449"/>
    <n v="0.05"/>
    <n v="449"/>
    <n v="22.450000000000003"/>
    <n v="426.55"/>
    <n v="148"/>
    <n v="148"/>
    <n v="60"/>
    <n v="218.55"/>
    <n v="0.51236666275934828"/>
    <x v="0"/>
    <d v="2025-09-11T00:00:00"/>
    <n v="2"/>
    <x v="1"/>
    <n v="5"/>
    <n v="0"/>
  </r>
  <r>
    <s v="ORD-103829"/>
    <x v="614"/>
    <x v="1"/>
    <d v="2025-09-01T00:00:00"/>
    <n v="9"/>
    <s v="CUST-00233"/>
    <x v="1"/>
    <x v="15"/>
    <s v="HR"/>
    <x v="0"/>
    <s v="Gurugram"/>
    <x v="1"/>
    <s v="P404"/>
    <s v="Flip Flops"/>
    <x v="5"/>
    <n v="4"/>
    <n v="399"/>
    <n v="0.1"/>
    <n v="1596"/>
    <n v="159.60000000000002"/>
    <n v="1436.4"/>
    <n v="152"/>
    <n v="608"/>
    <n v="60"/>
    <n v="768.40000000000009"/>
    <n v="0.5349484823169034"/>
    <x v="0"/>
    <d v="2025-09-14T00:00:00"/>
    <n v="4"/>
    <x v="0"/>
    <n v="4"/>
    <n v="0"/>
  </r>
  <r>
    <s v="ORD-103830"/>
    <x v="614"/>
    <x v="1"/>
    <d v="2025-09-01T00:00:00"/>
    <n v="9"/>
    <s v="CUST-00704"/>
    <x v="1"/>
    <x v="22"/>
    <s v="AS"/>
    <x v="2"/>
    <s v="Guwahati"/>
    <x v="0"/>
    <s v="P303"/>
    <s v="Joggers"/>
    <x v="1"/>
    <n v="1"/>
    <n v="1199"/>
    <n v="0.2"/>
    <n v="1199"/>
    <n v="239.8"/>
    <n v="959.2"/>
    <n v="492"/>
    <n v="492"/>
    <n v="60"/>
    <n v="407.20000000000005"/>
    <n v="0.42452043369474562"/>
    <x v="1"/>
    <d v="2025-09-16T00:00:00"/>
    <n v="6"/>
    <x v="2"/>
    <n v="4"/>
    <n v="0"/>
  </r>
  <r>
    <s v="ORD-103831"/>
    <x v="614"/>
    <x v="1"/>
    <d v="2025-09-01T00:00:00"/>
    <n v="9"/>
    <s v="CUST-00544"/>
    <x v="1"/>
    <x v="22"/>
    <s v="AS"/>
    <x v="2"/>
    <s v="Guwahati"/>
    <x v="0"/>
    <s v="P201"/>
    <s v="Onion Hair Oil"/>
    <x v="6"/>
    <n v="3"/>
    <n v="349"/>
    <n v="0.35"/>
    <n v="1047"/>
    <n v="366.45"/>
    <n v="680.55"/>
    <n v="105"/>
    <n v="315"/>
    <n v="60"/>
    <n v="305.54999999999995"/>
    <n v="0.44897509367423405"/>
    <x v="2"/>
    <d v="2025-09-16T00:00:00"/>
    <n v="6"/>
    <x v="2"/>
    <n v="3"/>
    <n v="0"/>
  </r>
  <r>
    <s v="ORD-103832"/>
    <x v="614"/>
    <x v="1"/>
    <d v="2025-09-01T00:00:00"/>
    <n v="9"/>
    <s v="CUST-00715"/>
    <x v="1"/>
    <x v="11"/>
    <s v="KA"/>
    <x v="3"/>
    <s v="Mysuru"/>
    <x v="0"/>
    <s v="P701"/>
    <s v="Ashwagandha Capsules"/>
    <x v="0"/>
    <n v="1"/>
    <n v="499"/>
    <n v="0.1"/>
    <n v="499"/>
    <n v="49.900000000000006"/>
    <n v="449.1"/>
    <n v="150"/>
    <n v="150"/>
    <n v="60"/>
    <n v="239.10000000000002"/>
    <n v="0.53239812959251842"/>
    <x v="0"/>
    <d v="2025-09-12T00:00:00"/>
    <n v="2"/>
    <x v="1"/>
    <n v="4"/>
    <n v="0"/>
  </r>
  <r>
    <s v="ORD-103833"/>
    <x v="615"/>
    <x v="1"/>
    <d v="2025-09-01T00:00:00"/>
    <n v="9"/>
    <s v="CUST-01520"/>
    <x v="0"/>
    <x v="13"/>
    <s v="MP"/>
    <x v="1"/>
    <s v="Bhopal"/>
    <x v="2"/>
    <s v="P204"/>
    <s v="Anti-Dandruff Conditioner"/>
    <x v="6"/>
    <n v="1"/>
    <n v="399"/>
    <n v="0.25"/>
    <n v="399"/>
    <n v="99.75"/>
    <n v="299.25"/>
    <n v="136"/>
    <n v="136"/>
    <n v="60"/>
    <n v="103.25"/>
    <n v="0.34502923976608185"/>
    <x v="0"/>
    <d v="2025-09-17T00:00:00"/>
    <n v="6"/>
    <x v="2"/>
    <n v="3"/>
    <n v="0"/>
  </r>
  <r>
    <s v="ORD-103834"/>
    <x v="615"/>
    <x v="1"/>
    <d v="2025-09-01T00:00:00"/>
    <n v="9"/>
    <s v="CUST-02104"/>
    <x v="1"/>
    <x v="21"/>
    <s v="TG"/>
    <x v="3"/>
    <s v="Hyderabad"/>
    <x v="0"/>
    <s v="P204"/>
    <s v="Anti-Dandruff Conditioner"/>
    <x v="6"/>
    <n v="3"/>
    <n v="399"/>
    <n v="0.45"/>
    <n v="1197"/>
    <n v="538.65"/>
    <n v="658.35"/>
    <n v="136"/>
    <n v="408"/>
    <n v="60"/>
    <n v="190.35000000000002"/>
    <n v="0.28913192071086813"/>
    <x v="1"/>
    <d v="2025-09-14T00:00:00"/>
    <n v="3"/>
    <x v="0"/>
    <n v="4"/>
    <n v="0"/>
  </r>
  <r>
    <s v="ORD-103835"/>
    <x v="615"/>
    <x v="1"/>
    <d v="2025-09-01T00:00:00"/>
    <n v="9"/>
    <s v="CUST-00609"/>
    <x v="1"/>
    <x v="21"/>
    <s v="TG"/>
    <x v="3"/>
    <s v="Hyderabad"/>
    <x v="4"/>
    <s v="P603"/>
    <s v="Smartwatch Strap"/>
    <x v="2"/>
    <n v="1"/>
    <n v="499"/>
    <n v="0.05"/>
    <n v="499"/>
    <n v="24.950000000000003"/>
    <n v="474.05"/>
    <n v="200"/>
    <n v="200"/>
    <n v="60"/>
    <n v="214.05"/>
    <n v="0.45153464824385614"/>
    <x v="4"/>
    <d v="2025-09-16T00:00:00"/>
    <n v="5"/>
    <x v="2"/>
    <n v="4"/>
    <n v="0"/>
  </r>
  <r>
    <s v="ORD-103836"/>
    <x v="615"/>
    <x v="1"/>
    <d v="2025-09-01T00:00:00"/>
    <n v="9"/>
    <s v="CUST-02021"/>
    <x v="1"/>
    <x v="20"/>
    <s v="GA"/>
    <x v="1"/>
    <s v="Panaji"/>
    <x v="2"/>
    <s v="P101"/>
    <s v="Vitamin C Face Serum"/>
    <x v="3"/>
    <n v="1"/>
    <n v="599"/>
    <n v="0.2"/>
    <n v="599"/>
    <n v="119.80000000000001"/>
    <n v="479.2"/>
    <n v="180"/>
    <n v="180"/>
    <n v="60"/>
    <n v="239.2"/>
    <n v="0.4991652754590985"/>
    <x v="0"/>
    <d v="2025-09-15T00:00:00"/>
    <n v="4"/>
    <x v="0"/>
    <m/>
    <n v="0"/>
  </r>
  <r>
    <s v="ORD-103837"/>
    <x v="615"/>
    <x v="1"/>
    <d v="2025-09-01T00:00:00"/>
    <n v="9"/>
    <s v="CUST-02245"/>
    <x v="0"/>
    <x v="8"/>
    <s v="AP"/>
    <x v="3"/>
    <s v="Visakhapatnam"/>
    <x v="4"/>
    <s v="P104"/>
    <s v="Hydrating Face Wash"/>
    <x v="3"/>
    <n v="2"/>
    <n v="299"/>
    <n v="0"/>
    <n v="598"/>
    <n v="0"/>
    <n v="598"/>
    <n v="90"/>
    <n v="180"/>
    <n v="60"/>
    <n v="358"/>
    <n v="0.59866220735785958"/>
    <x v="0"/>
    <d v="2025-09-14T00:00:00"/>
    <n v="3"/>
    <x v="0"/>
    <n v="3"/>
    <n v="0"/>
  </r>
  <r>
    <s v="ORD-103838"/>
    <x v="615"/>
    <x v="1"/>
    <d v="2025-09-01T00:00:00"/>
    <n v="9"/>
    <s v="CUST-00763"/>
    <x v="1"/>
    <x v="8"/>
    <s v="AP"/>
    <x v="3"/>
    <s v="Vijayawada"/>
    <x v="3"/>
    <s v="P703"/>
    <s v="Green Tea (100 bags)"/>
    <x v="0"/>
    <n v="2"/>
    <n v="399"/>
    <n v="0.3"/>
    <n v="798"/>
    <n v="239.39999999999998"/>
    <n v="558.6"/>
    <n v="128"/>
    <n v="256"/>
    <n v="60"/>
    <n v="242.60000000000002"/>
    <n v="0.43430003580379523"/>
    <x v="1"/>
    <d v="2025-09-14T00:00:00"/>
    <n v="3"/>
    <x v="0"/>
    <n v="5"/>
    <n v="0"/>
  </r>
  <r>
    <s v="ORD-103839"/>
    <x v="616"/>
    <x v="1"/>
    <d v="2025-09-01T00:00:00"/>
    <n v="9"/>
    <s v="CUST-00018"/>
    <x v="1"/>
    <x v="6"/>
    <s v="DL"/>
    <x v="0"/>
    <s v="New Delhi"/>
    <x v="0"/>
    <s v="P203"/>
    <s v="Keratin Hair Mask"/>
    <x v="6"/>
    <n v="1"/>
    <n v="549"/>
    <n v="0.15"/>
    <n v="549"/>
    <n v="82.35"/>
    <n v="466.65"/>
    <n v="170"/>
    <n v="170"/>
    <n v="120"/>
    <n v="176.64999999999998"/>
    <n v="0.3785492339012107"/>
    <x v="0"/>
    <d v="2025-09-15T00:00:00"/>
    <n v="3"/>
    <x v="0"/>
    <n v="4"/>
    <n v="1"/>
  </r>
  <r>
    <s v="ORD-103840"/>
    <x v="616"/>
    <x v="1"/>
    <d v="2025-09-01T00:00:00"/>
    <n v="9"/>
    <s v="CUST-02814"/>
    <x v="0"/>
    <x v="13"/>
    <s v="MP"/>
    <x v="1"/>
    <s v="Indore"/>
    <x v="0"/>
    <s v="P504"/>
    <s v="Cotton Bedsheet"/>
    <x v="4"/>
    <n v="1"/>
    <n v="1299"/>
    <n v="0"/>
    <n v="1299"/>
    <n v="0"/>
    <n v="1299"/>
    <n v="585"/>
    <n v="585"/>
    <n v="60"/>
    <n v="654"/>
    <n v="0.50346420323325636"/>
    <x v="0"/>
    <d v="2025-09-14T00:00:00"/>
    <n v="2"/>
    <x v="1"/>
    <n v="4"/>
    <n v="0"/>
  </r>
  <r>
    <s v="ORD-103841"/>
    <x v="616"/>
    <x v="1"/>
    <d v="2025-09-01T00:00:00"/>
    <n v="9"/>
    <s v="CUST-00801"/>
    <x v="1"/>
    <x v="11"/>
    <s v="KA"/>
    <x v="3"/>
    <s v="Bengaluru"/>
    <x v="4"/>
    <s v="P603"/>
    <s v="Smartwatch Strap"/>
    <x v="2"/>
    <n v="1"/>
    <n v="499"/>
    <n v="0.05"/>
    <n v="499"/>
    <n v="24.950000000000003"/>
    <n v="474.05"/>
    <n v="200"/>
    <n v="200"/>
    <n v="60"/>
    <n v="214.05"/>
    <n v="0.45153464824385614"/>
    <x v="1"/>
    <d v="2025-09-14T00:00:00"/>
    <n v="2"/>
    <x v="1"/>
    <n v="5"/>
    <n v="0"/>
  </r>
  <r>
    <s v="ORD-103842"/>
    <x v="617"/>
    <x v="1"/>
    <d v="2025-09-01T00:00:00"/>
    <n v="9"/>
    <s v="CUST-03031"/>
    <x v="0"/>
    <x v="4"/>
    <s v="JK"/>
    <x v="0"/>
    <s v="Jammu"/>
    <x v="0"/>
    <s v="P604"/>
    <s v="Power Bank 20000mAh"/>
    <x v="2"/>
    <n v="2"/>
    <n v="1799"/>
    <n v="0.3"/>
    <n v="3598"/>
    <n v="1079.3999999999999"/>
    <n v="2518.6000000000004"/>
    <n v="1079"/>
    <n v="2158"/>
    <n v="60"/>
    <n v="300.60000000000036"/>
    <n v="0.11935202096402776"/>
    <x v="4"/>
    <d v="2025-09-19T00:00:00"/>
    <n v="6"/>
    <x v="2"/>
    <m/>
    <n v="0"/>
  </r>
  <r>
    <s v="ORD-103843"/>
    <x v="617"/>
    <x v="1"/>
    <d v="2025-09-01T00:00:00"/>
    <n v="9"/>
    <s v="CUST-00755"/>
    <x v="1"/>
    <x v="5"/>
    <s v="HP"/>
    <x v="0"/>
    <s v="Shimla"/>
    <x v="3"/>
    <s v="P203"/>
    <s v="Keratin Hair Mask"/>
    <x v="6"/>
    <n v="2"/>
    <n v="549"/>
    <n v="0.1"/>
    <n v="1098"/>
    <n v="109.80000000000001"/>
    <n v="988.2"/>
    <n v="170"/>
    <n v="340"/>
    <n v="60"/>
    <n v="588.20000000000005"/>
    <n v="0.59522363893948593"/>
    <x v="0"/>
    <d v="2025-09-19T00:00:00"/>
    <n v="6"/>
    <x v="2"/>
    <n v="4"/>
    <n v="0"/>
  </r>
  <r>
    <s v="ORD-103844"/>
    <x v="617"/>
    <x v="1"/>
    <d v="2025-09-01T00:00:00"/>
    <n v="9"/>
    <s v="CUST-00429"/>
    <x v="1"/>
    <x v="15"/>
    <s v="HR"/>
    <x v="0"/>
    <s v="Gurugram"/>
    <x v="2"/>
    <s v="P404"/>
    <s v="Flip Flops"/>
    <x v="5"/>
    <n v="1"/>
    <n v="399"/>
    <n v="0"/>
    <n v="399"/>
    <n v="0"/>
    <n v="399"/>
    <n v="152"/>
    <n v="152"/>
    <n v="60"/>
    <n v="187"/>
    <n v="0.46867167919799496"/>
    <x v="0"/>
    <d v="2025-09-16T00:00:00"/>
    <n v="3"/>
    <x v="0"/>
    <n v="5"/>
    <n v="0"/>
  </r>
  <r>
    <s v="ORD-103845"/>
    <x v="617"/>
    <x v="1"/>
    <d v="2025-09-01T00:00:00"/>
    <n v="9"/>
    <s v="CUST-00900"/>
    <x v="1"/>
    <x v="6"/>
    <s v="DL"/>
    <x v="0"/>
    <s v="New Delhi"/>
    <x v="4"/>
    <s v="P502"/>
    <s v="Ceramic Dinner Set"/>
    <x v="4"/>
    <n v="3"/>
    <n v="2499"/>
    <n v="0.35"/>
    <n v="7497"/>
    <n v="2623.95"/>
    <n v="4873.05"/>
    <n v="1250"/>
    <n v="3750"/>
    <n v="60"/>
    <n v="1063.0500000000002"/>
    <n v="0.21814879798073078"/>
    <x v="4"/>
    <d v="2025-09-14T00:00:00"/>
    <n v="1"/>
    <x v="1"/>
    <n v="4"/>
    <n v="0"/>
  </r>
  <r>
    <s v="ORD-103846"/>
    <x v="617"/>
    <x v="1"/>
    <d v="2025-09-01T00:00:00"/>
    <n v="9"/>
    <s v="CUST-02460"/>
    <x v="1"/>
    <x v="6"/>
    <s v="DL"/>
    <x v="0"/>
    <s v="New Delhi"/>
    <x v="4"/>
    <s v="P102"/>
    <s v="Sunscreen SPF 50"/>
    <x v="3"/>
    <n v="1"/>
    <n v="449"/>
    <n v="0"/>
    <n v="449"/>
    <n v="0"/>
    <n v="449"/>
    <n v="144"/>
    <n v="144"/>
    <n v="60"/>
    <n v="245"/>
    <n v="0.54565701559020041"/>
    <x v="0"/>
    <d v="2025-09-14T00:00:00"/>
    <n v="1"/>
    <x v="1"/>
    <m/>
    <n v="0"/>
  </r>
  <r>
    <s v="ORD-103847"/>
    <x v="617"/>
    <x v="1"/>
    <d v="2025-09-01T00:00:00"/>
    <n v="9"/>
    <s v="CUST-00502"/>
    <x v="1"/>
    <x v="6"/>
    <s v="DL"/>
    <x v="0"/>
    <s v="New Delhi"/>
    <x v="4"/>
    <s v="P105"/>
    <s v="Retinol Night Cream"/>
    <x v="3"/>
    <n v="1"/>
    <n v="799"/>
    <n v="0.1"/>
    <n v="799"/>
    <n v="79.900000000000006"/>
    <n v="719.1"/>
    <n v="216"/>
    <n v="216"/>
    <n v="60"/>
    <n v="443.1"/>
    <n v="0.61618690029203171"/>
    <x v="2"/>
    <d v="2025-09-14T00:00:00"/>
    <n v="1"/>
    <x v="1"/>
    <n v="5"/>
    <n v="0"/>
  </r>
  <r>
    <s v="ORD-103848"/>
    <x v="617"/>
    <x v="1"/>
    <d v="2025-09-01T00:00:00"/>
    <n v="9"/>
    <s v="CUST-02316"/>
    <x v="0"/>
    <x v="16"/>
    <s v="UP"/>
    <x v="0"/>
    <s v="Kanpur"/>
    <x v="1"/>
    <s v="P302"/>
    <s v="Linen Kurta"/>
    <x v="1"/>
    <n v="1"/>
    <n v="1499"/>
    <n v="0.4"/>
    <n v="1499"/>
    <n v="599.6"/>
    <n v="899.4"/>
    <n v="630"/>
    <n v="630"/>
    <n v="60"/>
    <n v="209.39999999999998"/>
    <n v="0.23282188125416942"/>
    <x v="0"/>
    <d v="2025-09-16T00:00:00"/>
    <n v="3"/>
    <x v="0"/>
    <n v="4"/>
    <n v="0"/>
  </r>
  <r>
    <s v="ORD-103849"/>
    <x v="617"/>
    <x v="1"/>
    <d v="2025-09-01T00:00:00"/>
    <n v="9"/>
    <s v="CUST-00335"/>
    <x v="1"/>
    <x v="13"/>
    <s v="MP"/>
    <x v="1"/>
    <s v="Indore"/>
    <x v="2"/>
    <s v="P404"/>
    <s v="Flip Flops"/>
    <x v="5"/>
    <n v="2"/>
    <n v="399"/>
    <n v="0"/>
    <n v="798"/>
    <n v="0"/>
    <n v="798"/>
    <n v="152"/>
    <n v="304"/>
    <n v="120"/>
    <n v="374"/>
    <n v="0.46867167919799496"/>
    <x v="4"/>
    <d v="2025-09-18T00:00:00"/>
    <n v="5"/>
    <x v="2"/>
    <n v="3"/>
    <n v="1"/>
  </r>
  <r>
    <s v="ORD-103850"/>
    <x v="617"/>
    <x v="1"/>
    <d v="2025-09-01T00:00:00"/>
    <n v="9"/>
    <s v="CUST-00764"/>
    <x v="1"/>
    <x v="18"/>
    <s v="WB"/>
    <x v="2"/>
    <s v="Kolkata"/>
    <x v="2"/>
    <s v="P503"/>
    <s v="Scented Candle Set"/>
    <x v="4"/>
    <n v="1"/>
    <n v="699"/>
    <n v="0.15"/>
    <n v="699"/>
    <n v="104.85"/>
    <n v="594.15"/>
    <n v="245"/>
    <n v="245"/>
    <n v="60"/>
    <n v="289.14999999999998"/>
    <n v="0.48666161743667424"/>
    <x v="0"/>
    <d v="2025-09-18T00:00:00"/>
    <n v="5"/>
    <x v="2"/>
    <m/>
    <n v="0"/>
  </r>
  <r>
    <s v="ORD-103851"/>
    <x v="617"/>
    <x v="1"/>
    <d v="2025-09-01T00:00:00"/>
    <n v="9"/>
    <s v="CUST-00557"/>
    <x v="1"/>
    <x v="2"/>
    <s v="MH"/>
    <x v="1"/>
    <s v="Nagpur"/>
    <x v="3"/>
    <s v="P701"/>
    <s v="Ashwagandha Capsules"/>
    <x v="0"/>
    <n v="1"/>
    <n v="499"/>
    <n v="0"/>
    <n v="499"/>
    <n v="0"/>
    <n v="499"/>
    <n v="150"/>
    <n v="150"/>
    <n v="60"/>
    <n v="289"/>
    <n v="0.57915831663326656"/>
    <x v="1"/>
    <d v="2025-09-16T00:00:00"/>
    <n v="3"/>
    <x v="0"/>
    <m/>
    <n v="0"/>
  </r>
  <r>
    <s v="ORD-103852"/>
    <x v="617"/>
    <x v="1"/>
    <d v="2025-09-01T00:00:00"/>
    <n v="9"/>
    <s v="CUST-01136"/>
    <x v="0"/>
    <x v="11"/>
    <s v="KA"/>
    <x v="3"/>
    <s v="Bengaluru"/>
    <x v="3"/>
    <s v="P701"/>
    <s v="Ashwagandha Capsules"/>
    <x v="0"/>
    <n v="2"/>
    <n v="499"/>
    <n v="0"/>
    <n v="998"/>
    <n v="0"/>
    <n v="998"/>
    <n v="150"/>
    <n v="300"/>
    <n v="60"/>
    <n v="638"/>
    <n v="0.63927855711422843"/>
    <x v="4"/>
    <d v="2025-09-14T00:00:00"/>
    <n v="1"/>
    <x v="1"/>
    <n v="5"/>
    <n v="0"/>
  </r>
  <r>
    <s v="ORD-103853"/>
    <x v="617"/>
    <x v="1"/>
    <d v="2025-09-01T00:00:00"/>
    <n v="9"/>
    <s v="CUST-01042"/>
    <x v="1"/>
    <x v="8"/>
    <s v="AP"/>
    <x v="3"/>
    <s v="Visakhapatnam"/>
    <x v="3"/>
    <s v="P703"/>
    <s v="Green Tea (100 bags)"/>
    <x v="0"/>
    <n v="3"/>
    <n v="399"/>
    <n v="0.45"/>
    <n v="1197"/>
    <n v="538.65"/>
    <n v="658.35"/>
    <n v="128"/>
    <n v="384"/>
    <n v="60"/>
    <n v="214.35000000000002"/>
    <n v="0.32558669400774665"/>
    <x v="2"/>
    <d v="2025-09-16T00:00:00"/>
    <n v="3"/>
    <x v="0"/>
    <n v="4"/>
    <n v="0"/>
  </r>
  <r>
    <s v="ORD-103854"/>
    <x v="617"/>
    <x v="1"/>
    <d v="2025-09-01T00:00:00"/>
    <n v="9"/>
    <s v="CUST-01908"/>
    <x v="1"/>
    <x v="14"/>
    <s v="KL"/>
    <x v="3"/>
    <s v="Kochi"/>
    <x v="4"/>
    <s v="P201"/>
    <s v="Onion Hair Oil"/>
    <x v="6"/>
    <n v="2"/>
    <n v="349"/>
    <n v="0.3"/>
    <n v="698"/>
    <n v="209.4"/>
    <n v="488.6"/>
    <n v="105"/>
    <n v="210"/>
    <n v="60"/>
    <n v="218.60000000000002"/>
    <n v="0.44740073679901765"/>
    <x v="4"/>
    <d v="2025-09-18T00:00:00"/>
    <n v="5"/>
    <x v="2"/>
    <n v="4"/>
    <n v="0"/>
  </r>
  <r>
    <s v="ORD-103855"/>
    <x v="618"/>
    <x v="1"/>
    <d v="2025-09-01T00:00:00"/>
    <n v="9"/>
    <s v="CUST-01035"/>
    <x v="1"/>
    <x v="12"/>
    <s v="BR"/>
    <x v="2"/>
    <s v="Patna"/>
    <x v="1"/>
    <s v="P302"/>
    <s v="Linen Kurta"/>
    <x v="1"/>
    <n v="2"/>
    <n v="1499"/>
    <n v="0.35"/>
    <n v="2998"/>
    <n v="1049.3"/>
    <n v="1948.7"/>
    <n v="630"/>
    <n v="1260"/>
    <n v="60"/>
    <n v="628.70000000000005"/>
    <n v="0.32262533997023657"/>
    <x v="0"/>
    <d v="2025-09-19T00:00:00"/>
    <n v="5"/>
    <x v="2"/>
    <n v="5"/>
    <n v="0"/>
  </r>
  <r>
    <s v="ORD-103856"/>
    <x v="618"/>
    <x v="1"/>
    <d v="2025-09-01T00:00:00"/>
    <n v="9"/>
    <s v="CUST-02247"/>
    <x v="1"/>
    <x v="21"/>
    <s v="TG"/>
    <x v="3"/>
    <s v="Hyderabad"/>
    <x v="0"/>
    <s v="P503"/>
    <s v="Scented Candle Set"/>
    <x v="4"/>
    <n v="1"/>
    <n v="699"/>
    <n v="0.2"/>
    <n v="699"/>
    <n v="139.80000000000001"/>
    <n v="559.20000000000005"/>
    <n v="245"/>
    <n v="245"/>
    <n v="60"/>
    <n v="254.20000000000005"/>
    <n v="0.45457796852646642"/>
    <x v="0"/>
    <d v="2025-09-16T00:00:00"/>
    <n v="2"/>
    <x v="1"/>
    <n v="4"/>
    <n v="0"/>
  </r>
  <r>
    <s v="ORD-103857"/>
    <x v="618"/>
    <x v="1"/>
    <d v="2025-09-01T00:00:00"/>
    <n v="9"/>
    <s v="CUST-01806"/>
    <x v="0"/>
    <x v="21"/>
    <s v="TG"/>
    <x v="3"/>
    <s v="Hyderabad"/>
    <x v="1"/>
    <s v="P401"/>
    <s v="Running Shoes"/>
    <x v="5"/>
    <n v="1"/>
    <n v="2999"/>
    <n v="0.25"/>
    <n v="2999"/>
    <n v="749.75"/>
    <n v="2249.25"/>
    <n v="1440"/>
    <n v="1440"/>
    <n v="60"/>
    <n v="749.25"/>
    <n v="0.33311103701233746"/>
    <x v="0"/>
    <d v="2025-09-19T00:00:00"/>
    <n v="5"/>
    <x v="2"/>
    <n v="4"/>
    <n v="0"/>
  </r>
  <r>
    <s v="ORD-103858"/>
    <x v="618"/>
    <x v="1"/>
    <d v="2025-09-01T00:00:00"/>
    <n v="9"/>
    <s v="CUST-01139"/>
    <x v="1"/>
    <x v="11"/>
    <s v="KA"/>
    <x v="3"/>
    <s v="Mysuru"/>
    <x v="2"/>
    <s v="P301"/>
    <s v="Cotton Oversized T-Shirt"/>
    <x v="1"/>
    <n v="1"/>
    <n v="799"/>
    <n v="0"/>
    <n v="799"/>
    <n v="0"/>
    <n v="799"/>
    <n v="320"/>
    <n v="320"/>
    <n v="120"/>
    <n v="359"/>
    <n v="0.44931163954943681"/>
    <x v="0"/>
    <d v="2025-09-15T00:00:00"/>
    <n v="1"/>
    <x v="1"/>
    <n v="5"/>
    <n v="1"/>
  </r>
  <r>
    <s v="ORD-103859"/>
    <x v="618"/>
    <x v="1"/>
    <d v="2025-09-01T00:00:00"/>
    <n v="9"/>
    <s v="CUST-00751"/>
    <x v="1"/>
    <x v="8"/>
    <s v="AP"/>
    <x v="3"/>
    <s v="Vijayawada"/>
    <x v="4"/>
    <s v="P502"/>
    <s v="Ceramic Dinner Set"/>
    <x v="4"/>
    <n v="2"/>
    <n v="2499"/>
    <n v="0.35"/>
    <n v="4998"/>
    <n v="1749.3"/>
    <n v="3248.7"/>
    <n v="1250"/>
    <n v="2500"/>
    <n v="60"/>
    <n v="688.69999999999982"/>
    <n v="0.21199248930341363"/>
    <x v="3"/>
    <d v="2025-09-18T00:00:00"/>
    <n v="4"/>
    <x v="0"/>
    <n v="4"/>
    <n v="0"/>
  </r>
  <r>
    <s v="ORD-103860"/>
    <x v="618"/>
    <x v="1"/>
    <d v="2025-09-01T00:00:00"/>
    <n v="9"/>
    <s v="CUST-00954"/>
    <x v="1"/>
    <x v="17"/>
    <s v="TN"/>
    <x v="3"/>
    <s v="Coimbatore"/>
    <x v="4"/>
    <s v="P503"/>
    <s v="Scented Candle Set"/>
    <x v="4"/>
    <n v="1"/>
    <n v="699"/>
    <n v="0.25"/>
    <n v="699"/>
    <n v="174.75"/>
    <n v="524.25"/>
    <n v="245"/>
    <n v="245"/>
    <n v="60"/>
    <n v="219.25"/>
    <n v="0.41821649976156416"/>
    <x v="0"/>
    <d v="2025-09-16T00:00:00"/>
    <n v="2"/>
    <x v="1"/>
    <n v="5"/>
    <n v="0"/>
  </r>
  <r>
    <s v="ORD-103861"/>
    <x v="619"/>
    <x v="1"/>
    <d v="2025-09-01T00:00:00"/>
    <n v="9"/>
    <s v="CUST-00055"/>
    <x v="1"/>
    <x v="0"/>
    <s v="RJ"/>
    <x v="0"/>
    <s v="Udaipur"/>
    <x v="3"/>
    <s v="P703"/>
    <s v="Green Tea (100 bags)"/>
    <x v="0"/>
    <n v="1"/>
    <n v="399"/>
    <n v="0.45"/>
    <n v="399"/>
    <n v="179.55"/>
    <n v="219.45"/>
    <n v="128"/>
    <n v="128"/>
    <n v="60"/>
    <n v="31.449999999999989"/>
    <n v="0.14331282752335381"/>
    <x v="0"/>
    <d v="2025-09-18T00:00:00"/>
    <n v="3"/>
    <x v="0"/>
    <m/>
    <n v="0"/>
  </r>
  <r>
    <s v="ORD-103862"/>
    <x v="619"/>
    <x v="1"/>
    <d v="2025-09-01T00:00:00"/>
    <n v="9"/>
    <s v="CUST-00630"/>
    <x v="1"/>
    <x v="16"/>
    <s v="UP"/>
    <x v="0"/>
    <s v="Lucknow"/>
    <x v="1"/>
    <s v="P404"/>
    <s v="Flip Flops"/>
    <x v="5"/>
    <n v="4"/>
    <n v="399"/>
    <n v="0.2"/>
    <n v="1596"/>
    <n v="319.20000000000005"/>
    <n v="1276.8"/>
    <n v="152"/>
    <n v="608"/>
    <n v="60"/>
    <n v="608.79999999999995"/>
    <n v="0.47681704260651625"/>
    <x v="0"/>
    <d v="2025-09-18T00:00:00"/>
    <n v="3"/>
    <x v="0"/>
    <n v="4"/>
    <n v="0"/>
  </r>
  <r>
    <s v="ORD-103863"/>
    <x v="619"/>
    <x v="1"/>
    <d v="2025-09-01T00:00:00"/>
    <n v="9"/>
    <s v="CUST-00677"/>
    <x v="1"/>
    <x v="16"/>
    <s v="UP"/>
    <x v="0"/>
    <s v="Noida"/>
    <x v="4"/>
    <s v="P703"/>
    <s v="Green Tea (100 bags)"/>
    <x v="0"/>
    <n v="2"/>
    <n v="399"/>
    <n v="0.4"/>
    <n v="798"/>
    <n v="319.20000000000005"/>
    <n v="478.79999999999995"/>
    <n v="128"/>
    <n v="256"/>
    <n v="60"/>
    <n v="162.79999999999995"/>
    <n v="0.34001670843776099"/>
    <x v="4"/>
    <d v="2025-09-19T00:00:00"/>
    <n v="4"/>
    <x v="0"/>
    <m/>
    <n v="0"/>
  </r>
  <r>
    <s v="ORD-103864"/>
    <x v="619"/>
    <x v="1"/>
    <d v="2025-09-01T00:00:00"/>
    <n v="9"/>
    <s v="CUST-02404"/>
    <x v="1"/>
    <x v="22"/>
    <s v="AS"/>
    <x v="2"/>
    <s v="Guwahati"/>
    <x v="4"/>
    <s v="P104"/>
    <s v="Hydrating Face Wash"/>
    <x v="3"/>
    <n v="1"/>
    <n v="299"/>
    <n v="0"/>
    <n v="299"/>
    <n v="0"/>
    <n v="299"/>
    <n v="90"/>
    <n v="90"/>
    <n v="120"/>
    <n v="89"/>
    <n v="0.2976588628762542"/>
    <x v="4"/>
    <d v="2025-09-22T00:00:00"/>
    <n v="7"/>
    <x v="2"/>
    <n v="3"/>
    <n v="1"/>
  </r>
  <r>
    <s v="ORD-103865"/>
    <x v="619"/>
    <x v="1"/>
    <d v="2025-09-01T00:00:00"/>
    <n v="9"/>
    <s v="CUST-00174"/>
    <x v="1"/>
    <x v="14"/>
    <s v="KL"/>
    <x v="3"/>
    <s v="Thiruvananthapuram"/>
    <x v="4"/>
    <s v="P303"/>
    <s v="Joggers"/>
    <x v="1"/>
    <n v="1"/>
    <n v="1199"/>
    <n v="0.15"/>
    <n v="1199"/>
    <n v="179.85"/>
    <n v="1019.15"/>
    <n v="492"/>
    <n v="492"/>
    <n v="60"/>
    <n v="467.15"/>
    <n v="0.45837217288917231"/>
    <x v="3"/>
    <d v="2025-09-19T00:00:00"/>
    <n v="4"/>
    <x v="0"/>
    <n v="3"/>
    <n v="0"/>
  </r>
  <r>
    <s v="ORD-103866"/>
    <x v="619"/>
    <x v="1"/>
    <d v="2025-09-01T00:00:00"/>
    <n v="9"/>
    <s v="CUST-01393"/>
    <x v="0"/>
    <x v="14"/>
    <s v="KL"/>
    <x v="3"/>
    <s v="Thiruvananthapuram"/>
    <x v="1"/>
    <s v="P402"/>
    <s v="Casual Sneakers"/>
    <x v="5"/>
    <n v="1"/>
    <n v="2199"/>
    <n v="0.2"/>
    <n v="2199"/>
    <n v="439.8"/>
    <n v="1759.2"/>
    <n v="1034"/>
    <n v="1034"/>
    <n v="60"/>
    <n v="665.2"/>
    <n v="0.37812642110050027"/>
    <x v="1"/>
    <d v="2025-09-19T00:00:00"/>
    <n v="4"/>
    <x v="0"/>
    <n v="3"/>
    <n v="0"/>
  </r>
  <r>
    <s v="ORD-103867"/>
    <x v="620"/>
    <x v="1"/>
    <d v="2025-09-01T00:00:00"/>
    <n v="9"/>
    <s v="CUST-01705"/>
    <x v="0"/>
    <x v="4"/>
    <s v="JK"/>
    <x v="0"/>
    <s v="Jammu"/>
    <x v="3"/>
    <s v="P202"/>
    <s v="Argan Shampoo"/>
    <x v="6"/>
    <n v="1"/>
    <n v="449"/>
    <n v="0"/>
    <n v="449"/>
    <n v="0"/>
    <n v="449"/>
    <n v="148"/>
    <n v="148"/>
    <n v="60"/>
    <n v="241"/>
    <n v="0.53674832962138086"/>
    <x v="2"/>
    <d v="2025-09-22T00:00:00"/>
    <n v="6"/>
    <x v="2"/>
    <n v="3"/>
    <n v="0"/>
  </r>
  <r>
    <s v="ORD-103868"/>
    <x v="620"/>
    <x v="1"/>
    <d v="2025-09-01T00:00:00"/>
    <n v="9"/>
    <s v="CUST-00162"/>
    <x v="1"/>
    <x v="6"/>
    <s v="DL"/>
    <x v="0"/>
    <s v="New Delhi"/>
    <x v="2"/>
    <s v="P403"/>
    <s v="Kolhapuri Sandals"/>
    <x v="5"/>
    <n v="1"/>
    <n v="999"/>
    <n v="0.1"/>
    <n v="999"/>
    <n v="99.9"/>
    <n v="899.1"/>
    <n v="400"/>
    <n v="400"/>
    <n v="60"/>
    <n v="439.1"/>
    <n v="0.48837726615504395"/>
    <x v="3"/>
    <d v="2025-09-17T00:00:00"/>
    <n v="1"/>
    <x v="1"/>
    <n v="5"/>
    <n v="0"/>
  </r>
  <r>
    <s v="ORD-103869"/>
    <x v="620"/>
    <x v="1"/>
    <d v="2025-09-01T00:00:00"/>
    <n v="9"/>
    <s v="CUST-00520"/>
    <x v="1"/>
    <x v="16"/>
    <s v="UP"/>
    <x v="0"/>
    <s v="Lucknow"/>
    <x v="3"/>
    <s v="P102"/>
    <s v="Sunscreen SPF 50"/>
    <x v="3"/>
    <n v="1"/>
    <n v="449"/>
    <n v="0.05"/>
    <n v="449"/>
    <n v="22.450000000000003"/>
    <n v="426.55"/>
    <n v="144"/>
    <n v="144"/>
    <n v="60"/>
    <n v="222.55"/>
    <n v="0.52174422693705313"/>
    <x v="0"/>
    <d v="2025-09-20T00:00:00"/>
    <n v="4"/>
    <x v="0"/>
    <n v="4"/>
    <n v="0"/>
  </r>
  <r>
    <s v="ORD-103870"/>
    <x v="620"/>
    <x v="1"/>
    <d v="2025-09-01T00:00:00"/>
    <n v="9"/>
    <s v="CUST-00153"/>
    <x v="1"/>
    <x v="12"/>
    <s v="BR"/>
    <x v="2"/>
    <s v="Patna"/>
    <x v="0"/>
    <s v="P404"/>
    <s v="Flip Flops"/>
    <x v="5"/>
    <n v="1"/>
    <n v="399"/>
    <n v="0.05"/>
    <n v="399"/>
    <n v="19.950000000000003"/>
    <n v="379.05"/>
    <n v="152"/>
    <n v="152"/>
    <n v="60"/>
    <n v="167.05"/>
    <n v="0.44070703073473161"/>
    <x v="0"/>
    <d v="2025-09-21T00:00:00"/>
    <n v="5"/>
    <x v="2"/>
    <n v="4"/>
    <n v="0"/>
  </r>
  <r>
    <s v="ORD-103871"/>
    <x v="620"/>
    <x v="1"/>
    <d v="2025-09-01T00:00:00"/>
    <n v="9"/>
    <s v="CUST-00921"/>
    <x v="1"/>
    <x v="13"/>
    <s v="MP"/>
    <x v="1"/>
    <s v="Indore"/>
    <x v="2"/>
    <s v="P701"/>
    <s v="Ashwagandha Capsules"/>
    <x v="0"/>
    <n v="2"/>
    <n v="499"/>
    <n v="0.05"/>
    <n v="998"/>
    <n v="49.900000000000006"/>
    <n v="948.1"/>
    <n v="150"/>
    <n v="300"/>
    <n v="120"/>
    <n v="528.1"/>
    <n v="0.55700875435080688"/>
    <x v="3"/>
    <d v="2025-09-18T00:00:00"/>
    <n v="2"/>
    <x v="1"/>
    <m/>
    <n v="1"/>
  </r>
  <r>
    <s v="ORD-103872"/>
    <x v="620"/>
    <x v="1"/>
    <d v="2025-09-01T00:00:00"/>
    <n v="9"/>
    <s v="CUST-00359"/>
    <x v="1"/>
    <x v="2"/>
    <s v="MH"/>
    <x v="1"/>
    <s v="Pune"/>
    <x v="1"/>
    <s v="P404"/>
    <s v="Flip Flops"/>
    <x v="5"/>
    <n v="1"/>
    <n v="399"/>
    <n v="0.1"/>
    <n v="399"/>
    <n v="39.900000000000006"/>
    <n v="359.1"/>
    <n v="152"/>
    <n v="152"/>
    <n v="120"/>
    <n v="87.100000000000023"/>
    <n v="0.24255082149818996"/>
    <x v="1"/>
    <d v="2025-09-19T00:00:00"/>
    <n v="3"/>
    <x v="0"/>
    <m/>
    <n v="1"/>
  </r>
  <r>
    <s v="ORD-103873"/>
    <x v="620"/>
    <x v="1"/>
    <d v="2025-09-01T00:00:00"/>
    <n v="9"/>
    <s v="CUST-01028"/>
    <x v="0"/>
    <x v="2"/>
    <s v="MH"/>
    <x v="1"/>
    <s v="Mumbai"/>
    <x v="1"/>
    <s v="P403"/>
    <s v="Kolhapuri Sandals"/>
    <x v="5"/>
    <n v="1"/>
    <n v="999"/>
    <n v="0.15"/>
    <n v="999"/>
    <n v="149.85"/>
    <n v="849.15"/>
    <n v="400"/>
    <n v="400"/>
    <n v="60"/>
    <n v="389.15"/>
    <n v="0.45828181122298767"/>
    <x v="3"/>
    <d v="2025-09-20T00:00:00"/>
    <n v="4"/>
    <x v="0"/>
    <m/>
    <n v="0"/>
  </r>
  <r>
    <s v="ORD-103874"/>
    <x v="620"/>
    <x v="1"/>
    <d v="2025-09-01T00:00:00"/>
    <n v="9"/>
    <s v="CUST-01091"/>
    <x v="1"/>
    <x v="11"/>
    <s v="KA"/>
    <x v="3"/>
    <s v="Bengaluru"/>
    <x v="4"/>
    <s v="P201"/>
    <s v="Onion Hair Oil"/>
    <x v="6"/>
    <n v="2"/>
    <n v="349"/>
    <n v="0.3"/>
    <n v="698"/>
    <n v="209.4"/>
    <n v="488.6"/>
    <n v="105"/>
    <n v="210"/>
    <n v="60"/>
    <n v="218.60000000000002"/>
    <n v="0.44740073679901765"/>
    <x v="0"/>
    <d v="2025-09-19T00:00:00"/>
    <n v="3"/>
    <x v="0"/>
    <n v="4"/>
    <n v="0"/>
  </r>
  <r>
    <s v="ORD-103875"/>
    <x v="620"/>
    <x v="1"/>
    <d v="2025-09-01T00:00:00"/>
    <n v="9"/>
    <s v="CUST-00705"/>
    <x v="1"/>
    <x v="11"/>
    <s v="KA"/>
    <x v="3"/>
    <s v="Bengaluru"/>
    <x v="2"/>
    <s v="P105"/>
    <s v="Retinol Night Cream"/>
    <x v="3"/>
    <n v="2"/>
    <n v="799"/>
    <n v="0"/>
    <n v="1598"/>
    <n v="0"/>
    <n v="1598"/>
    <n v="216"/>
    <n v="432"/>
    <n v="60"/>
    <n v="1106"/>
    <n v="0.69211514392991236"/>
    <x v="0"/>
    <d v="2025-09-20T00:00:00"/>
    <n v="4"/>
    <x v="0"/>
    <n v="3"/>
    <n v="0"/>
  </r>
  <r>
    <s v="ORD-103876"/>
    <x v="620"/>
    <x v="1"/>
    <d v="2025-09-01T00:00:00"/>
    <n v="9"/>
    <s v="CUST-00051"/>
    <x v="1"/>
    <x v="11"/>
    <s v="KA"/>
    <x v="3"/>
    <s v="Mysuru"/>
    <x v="3"/>
    <s v="P704"/>
    <s v="Multivitamin Gummies"/>
    <x v="0"/>
    <n v="2"/>
    <n v="699"/>
    <n v="0.25"/>
    <n v="1398"/>
    <n v="349.5"/>
    <n v="1048.5"/>
    <n v="238"/>
    <n v="476"/>
    <n v="60"/>
    <n v="512.5"/>
    <n v="0.48879351454458753"/>
    <x v="0"/>
    <d v="2025-09-17T00:00:00"/>
    <n v="1"/>
    <x v="1"/>
    <m/>
    <n v="0"/>
  </r>
  <r>
    <s v="ORD-103877"/>
    <x v="620"/>
    <x v="1"/>
    <d v="2025-09-01T00:00:00"/>
    <n v="9"/>
    <s v="CUST-00980"/>
    <x v="1"/>
    <x v="8"/>
    <s v="AP"/>
    <x v="3"/>
    <s v="Visakhapatnam"/>
    <x v="0"/>
    <s v="P302"/>
    <s v="Linen Kurta"/>
    <x v="1"/>
    <n v="1"/>
    <n v="1499"/>
    <n v="0.25"/>
    <n v="1499"/>
    <n v="374.75"/>
    <n v="1124.25"/>
    <n v="630"/>
    <n v="630"/>
    <n v="60"/>
    <n v="434.25"/>
    <n v="0.38625750500333556"/>
    <x v="4"/>
    <d v="2025-09-20T00:00:00"/>
    <n v="4"/>
    <x v="0"/>
    <n v="4"/>
    <n v="0"/>
  </r>
  <r>
    <s v="ORD-103878"/>
    <x v="621"/>
    <x v="1"/>
    <d v="2025-09-01T00:00:00"/>
    <n v="9"/>
    <s v="CUST-00536"/>
    <x v="1"/>
    <x v="19"/>
    <s v="PB"/>
    <x v="0"/>
    <s v="Ludhiana"/>
    <x v="2"/>
    <s v="P702"/>
    <s v="Whey Protein 1kg"/>
    <x v="0"/>
    <n v="2"/>
    <n v="2299"/>
    <n v="0.3"/>
    <n v="4598"/>
    <n v="1379.3999999999999"/>
    <n v="3218.6000000000004"/>
    <n v="1333"/>
    <n v="2666"/>
    <n v="60"/>
    <n v="492.60000000000036"/>
    <n v="0.15304790902877036"/>
    <x v="0"/>
    <d v="2025-09-23T00:00:00"/>
    <n v="6"/>
    <x v="2"/>
    <m/>
    <n v="0"/>
  </r>
  <r>
    <s v="ORD-103879"/>
    <x v="621"/>
    <x v="1"/>
    <d v="2025-09-01T00:00:00"/>
    <n v="9"/>
    <s v="CUST-01192"/>
    <x v="1"/>
    <x v="16"/>
    <s v="UP"/>
    <x v="0"/>
    <s v="Lucknow"/>
    <x v="1"/>
    <s v="P403"/>
    <s v="Kolhapuri Sandals"/>
    <x v="5"/>
    <n v="1"/>
    <n v="999"/>
    <n v="0.15"/>
    <n v="999"/>
    <n v="149.85"/>
    <n v="849.15"/>
    <n v="400"/>
    <n v="400"/>
    <n v="60"/>
    <n v="389.15"/>
    <n v="0.45828181122298767"/>
    <x v="2"/>
    <d v="2025-09-19T00:00:00"/>
    <n v="2"/>
    <x v="1"/>
    <m/>
    <n v="0"/>
  </r>
  <r>
    <s v="ORD-103880"/>
    <x v="621"/>
    <x v="1"/>
    <d v="2025-09-01T00:00:00"/>
    <n v="9"/>
    <s v="CUST-01959"/>
    <x v="0"/>
    <x v="12"/>
    <s v="BR"/>
    <x v="2"/>
    <s v="Patna"/>
    <x v="4"/>
    <s v="P201"/>
    <s v="Onion Hair Oil"/>
    <x v="6"/>
    <n v="2"/>
    <n v="349"/>
    <n v="0.4"/>
    <n v="698"/>
    <n v="279.2"/>
    <n v="418.8"/>
    <n v="105"/>
    <n v="210"/>
    <n v="60"/>
    <n v="148.80000000000001"/>
    <n v="0.35530085959885388"/>
    <x v="0"/>
    <d v="2025-09-22T00:00:00"/>
    <n v="5"/>
    <x v="2"/>
    <n v="3"/>
    <n v="0"/>
  </r>
  <r>
    <s v="ORD-103881"/>
    <x v="621"/>
    <x v="1"/>
    <d v="2025-09-01T00:00:00"/>
    <n v="9"/>
    <s v="CUST-00723"/>
    <x v="1"/>
    <x v="1"/>
    <s v="GJ"/>
    <x v="1"/>
    <s v="Surat"/>
    <x v="4"/>
    <s v="P701"/>
    <s v="Ashwagandha Capsules"/>
    <x v="0"/>
    <n v="1"/>
    <n v="499"/>
    <n v="0"/>
    <n v="499"/>
    <n v="0"/>
    <n v="499"/>
    <n v="150"/>
    <n v="150"/>
    <n v="60"/>
    <n v="289"/>
    <n v="0.57915831663326656"/>
    <x v="3"/>
    <d v="2025-09-19T00:00:00"/>
    <n v="2"/>
    <x v="1"/>
    <n v="4"/>
    <n v="0"/>
  </r>
  <r>
    <s v="ORD-103882"/>
    <x v="621"/>
    <x v="1"/>
    <d v="2025-09-01T00:00:00"/>
    <n v="9"/>
    <s v="CUST-00916"/>
    <x v="0"/>
    <x v="1"/>
    <s v="GJ"/>
    <x v="1"/>
    <s v="Surat"/>
    <x v="0"/>
    <s v="P203"/>
    <s v="Keratin Hair Mask"/>
    <x v="6"/>
    <n v="2"/>
    <n v="549"/>
    <n v="0.15"/>
    <n v="1098"/>
    <n v="164.7"/>
    <n v="933.3"/>
    <n v="170"/>
    <n v="340"/>
    <n v="60"/>
    <n v="533.29999999999995"/>
    <n v="0.57141326475945564"/>
    <x v="4"/>
    <d v="2025-09-19T00:00:00"/>
    <n v="2"/>
    <x v="1"/>
    <n v="4"/>
    <n v="0"/>
  </r>
  <r>
    <s v="ORD-103883"/>
    <x v="621"/>
    <x v="1"/>
    <d v="2025-09-01T00:00:00"/>
    <n v="9"/>
    <s v="CUST-00639"/>
    <x v="1"/>
    <x v="10"/>
    <s v="CG"/>
    <x v="2"/>
    <s v="Raipur"/>
    <x v="0"/>
    <s v="P103"/>
    <s v="Niacinamide Toner"/>
    <x v="3"/>
    <n v="3"/>
    <n v="399"/>
    <n v="0.3"/>
    <n v="1197"/>
    <n v="359.09999999999997"/>
    <n v="837.90000000000009"/>
    <n v="112"/>
    <n v="336"/>
    <n v="120"/>
    <n v="381.90000000000009"/>
    <n v="0.45578231292517013"/>
    <x v="1"/>
    <d v="2025-09-22T00:00:00"/>
    <n v="5"/>
    <x v="2"/>
    <n v="3"/>
    <n v="1"/>
  </r>
  <r>
    <s v="ORD-103884"/>
    <x v="621"/>
    <x v="1"/>
    <d v="2025-09-01T00:00:00"/>
    <n v="9"/>
    <s v="CUST-02160"/>
    <x v="1"/>
    <x v="18"/>
    <s v="WB"/>
    <x v="2"/>
    <s v="Kolkata"/>
    <x v="4"/>
    <s v="P404"/>
    <s v="Flip Flops"/>
    <x v="5"/>
    <n v="2"/>
    <n v="399"/>
    <n v="0.15"/>
    <n v="798"/>
    <n v="119.69999999999999"/>
    <n v="678.3"/>
    <n v="152"/>
    <n v="304"/>
    <n v="60"/>
    <n v="314.29999999999995"/>
    <n v="0.4633642930856553"/>
    <x v="4"/>
    <d v="2025-09-19T00:00:00"/>
    <n v="2"/>
    <x v="1"/>
    <n v="5"/>
    <n v="0"/>
  </r>
  <r>
    <s v="ORD-103885"/>
    <x v="621"/>
    <x v="1"/>
    <d v="2025-09-01T00:00:00"/>
    <n v="9"/>
    <s v="CUST-00593"/>
    <x v="1"/>
    <x v="2"/>
    <s v="MH"/>
    <x v="1"/>
    <s v="Nagpur"/>
    <x v="3"/>
    <s v="P202"/>
    <s v="Argan Shampoo"/>
    <x v="6"/>
    <n v="3"/>
    <n v="449"/>
    <n v="0.15"/>
    <n v="1347"/>
    <n v="202.04999999999998"/>
    <n v="1144.95"/>
    <n v="148"/>
    <n v="444"/>
    <n v="60"/>
    <n v="640.95000000000005"/>
    <n v="0.55980610507009043"/>
    <x v="0"/>
    <d v="2025-09-21T00:00:00"/>
    <n v="4"/>
    <x v="0"/>
    <n v="3"/>
    <n v="0"/>
  </r>
  <r>
    <s v="ORD-103886"/>
    <x v="621"/>
    <x v="1"/>
    <d v="2025-09-01T00:00:00"/>
    <n v="9"/>
    <s v="CUST-01085"/>
    <x v="1"/>
    <x v="2"/>
    <s v="MH"/>
    <x v="1"/>
    <s v="Pune"/>
    <x v="1"/>
    <s v="P305"/>
    <s v="Printed Saree"/>
    <x v="1"/>
    <n v="1"/>
    <n v="1999"/>
    <n v="0.05"/>
    <n v="1999"/>
    <n v="99.95"/>
    <n v="1899.05"/>
    <n v="880"/>
    <n v="880"/>
    <n v="60"/>
    <n v="959.05"/>
    <n v="0.50501566572760059"/>
    <x v="0"/>
    <d v="2025-09-18T00:00:00"/>
    <n v="1"/>
    <x v="1"/>
    <n v="3"/>
    <n v="0"/>
  </r>
  <r>
    <s v="ORD-103887"/>
    <x v="621"/>
    <x v="1"/>
    <d v="2025-09-01T00:00:00"/>
    <n v="9"/>
    <s v="CUST-03059"/>
    <x v="1"/>
    <x v="20"/>
    <s v="GA"/>
    <x v="1"/>
    <s v="Panaji"/>
    <x v="0"/>
    <s v="P103"/>
    <s v="Niacinamide Toner"/>
    <x v="3"/>
    <n v="2"/>
    <n v="399"/>
    <n v="0.2"/>
    <n v="798"/>
    <n v="159.60000000000002"/>
    <n v="638.4"/>
    <n v="112"/>
    <n v="224"/>
    <n v="60"/>
    <n v="354.4"/>
    <n v="0.55513784461152882"/>
    <x v="0"/>
    <d v="2025-09-19T00:00:00"/>
    <n v="2"/>
    <x v="1"/>
    <n v="3"/>
    <n v="0"/>
  </r>
  <r>
    <s v="ORD-103888"/>
    <x v="621"/>
    <x v="1"/>
    <d v="2025-09-01T00:00:00"/>
    <n v="9"/>
    <s v="CUST-00849"/>
    <x v="1"/>
    <x v="11"/>
    <s v="KA"/>
    <x v="3"/>
    <s v="Mysuru"/>
    <x v="2"/>
    <s v="P304"/>
    <s v="Denim Jacket"/>
    <x v="1"/>
    <n v="1"/>
    <n v="2499"/>
    <n v="0"/>
    <n v="2499"/>
    <n v="0"/>
    <n v="2499"/>
    <n v="1125"/>
    <n v="1125"/>
    <n v="60"/>
    <n v="1314"/>
    <n v="0.5258103241296519"/>
    <x v="3"/>
    <d v="2025-09-20T00:00:00"/>
    <n v="3"/>
    <x v="0"/>
    <n v="4"/>
    <n v="0"/>
  </r>
  <r>
    <s v="ORD-103889"/>
    <x v="621"/>
    <x v="1"/>
    <d v="2025-09-01T00:00:00"/>
    <n v="9"/>
    <s v="CUST-00872"/>
    <x v="1"/>
    <x v="17"/>
    <s v="TN"/>
    <x v="3"/>
    <s v="Coimbatore"/>
    <x v="1"/>
    <s v="P301"/>
    <s v="Cotton Oversized T-Shirt"/>
    <x v="1"/>
    <n v="1"/>
    <n v="799"/>
    <n v="0.1"/>
    <n v="799"/>
    <n v="79.900000000000006"/>
    <n v="719.1"/>
    <n v="320"/>
    <n v="320"/>
    <n v="120"/>
    <n v="279.10000000000002"/>
    <n v="0.38812404394381866"/>
    <x v="0"/>
    <d v="2025-09-19T00:00:00"/>
    <n v="2"/>
    <x v="1"/>
    <m/>
    <n v="1"/>
  </r>
  <r>
    <s v="ORD-103890"/>
    <x v="622"/>
    <x v="1"/>
    <d v="2025-09-01T00:00:00"/>
    <n v="9"/>
    <s v="CUST-00692"/>
    <x v="1"/>
    <x v="15"/>
    <s v="HR"/>
    <x v="0"/>
    <s v="Gurugram"/>
    <x v="4"/>
    <s v="P303"/>
    <s v="Joggers"/>
    <x v="1"/>
    <n v="2"/>
    <n v="1199"/>
    <n v="0.15"/>
    <n v="2398"/>
    <n v="359.7"/>
    <n v="2038.3"/>
    <n v="492"/>
    <n v="984"/>
    <n v="60"/>
    <n v="994.3"/>
    <n v="0.48780846784084775"/>
    <x v="0"/>
    <d v="2025-09-19T00:00:00"/>
    <n v="1"/>
    <x v="1"/>
    <n v="4"/>
    <n v="0"/>
  </r>
  <r>
    <s v="ORD-103891"/>
    <x v="622"/>
    <x v="1"/>
    <d v="2025-09-01T00:00:00"/>
    <n v="9"/>
    <s v="CUST-00444"/>
    <x v="1"/>
    <x v="6"/>
    <s v="DL"/>
    <x v="0"/>
    <s v="New Delhi"/>
    <x v="1"/>
    <s v="P305"/>
    <s v="Printed Saree"/>
    <x v="1"/>
    <n v="3"/>
    <n v="1999"/>
    <n v="0.05"/>
    <n v="5997"/>
    <n v="299.85000000000002"/>
    <n v="5697.15"/>
    <n v="880"/>
    <n v="2640"/>
    <n v="60"/>
    <n v="2997.1499999999996"/>
    <n v="0.52607882888812829"/>
    <x v="4"/>
    <d v="2025-09-19T00:00:00"/>
    <n v="1"/>
    <x v="1"/>
    <n v="5"/>
    <n v="0"/>
  </r>
  <r>
    <s v="ORD-103892"/>
    <x v="622"/>
    <x v="1"/>
    <d v="2025-09-01T00:00:00"/>
    <n v="9"/>
    <s v="CUST-02664"/>
    <x v="1"/>
    <x v="16"/>
    <s v="UP"/>
    <x v="0"/>
    <s v="Lucknow"/>
    <x v="0"/>
    <s v="P404"/>
    <s v="Flip Flops"/>
    <x v="5"/>
    <n v="1"/>
    <n v="399"/>
    <n v="0.15"/>
    <n v="399"/>
    <n v="59.849999999999994"/>
    <n v="339.15"/>
    <n v="152"/>
    <n v="152"/>
    <n v="60"/>
    <n v="127.14999999999998"/>
    <n v="0.37490785787999409"/>
    <x v="3"/>
    <d v="2025-09-24T00:00:00"/>
    <n v="6"/>
    <x v="2"/>
    <n v="4"/>
    <n v="0"/>
  </r>
  <r>
    <s v="ORD-103893"/>
    <x v="622"/>
    <x v="1"/>
    <d v="2025-09-01T00:00:00"/>
    <n v="9"/>
    <s v="CUST-00753"/>
    <x v="1"/>
    <x v="16"/>
    <s v="UP"/>
    <x v="0"/>
    <s v="Lucknow"/>
    <x v="3"/>
    <s v="P105"/>
    <s v="Retinol Night Cream"/>
    <x v="3"/>
    <n v="1"/>
    <n v="799"/>
    <n v="0.05"/>
    <n v="799"/>
    <n v="39.950000000000003"/>
    <n v="759.05"/>
    <n v="216"/>
    <n v="216"/>
    <n v="60"/>
    <n v="483.04999999999995"/>
    <n v="0.63638758975034582"/>
    <x v="0"/>
    <d v="2025-09-21T00:00:00"/>
    <n v="3"/>
    <x v="0"/>
    <m/>
    <n v="0"/>
  </r>
  <r>
    <s v="ORD-103894"/>
    <x v="622"/>
    <x v="1"/>
    <d v="2025-09-01T00:00:00"/>
    <n v="9"/>
    <s v="CUST-00474"/>
    <x v="1"/>
    <x v="12"/>
    <s v="BR"/>
    <x v="2"/>
    <s v="Patna"/>
    <x v="0"/>
    <s v="P703"/>
    <s v="Green Tea (100 bags)"/>
    <x v="0"/>
    <n v="1"/>
    <n v="399"/>
    <n v="0.4"/>
    <n v="399"/>
    <n v="159.60000000000002"/>
    <n v="239.39999999999998"/>
    <n v="128"/>
    <n v="128"/>
    <n v="60"/>
    <n v="51.399999999999977"/>
    <n v="0.21470342522974095"/>
    <x v="1"/>
    <d v="2025-09-21T00:00:00"/>
    <n v="3"/>
    <x v="0"/>
    <m/>
    <n v="0"/>
  </r>
  <r>
    <s v="ORD-103895"/>
    <x v="622"/>
    <x v="1"/>
    <d v="2025-09-01T00:00:00"/>
    <n v="9"/>
    <s v="CUST-00896"/>
    <x v="1"/>
    <x v="18"/>
    <s v="WB"/>
    <x v="2"/>
    <s v="Kolkata"/>
    <x v="4"/>
    <s v="P305"/>
    <s v="Printed Saree"/>
    <x v="1"/>
    <n v="2"/>
    <n v="1999"/>
    <n v="0.05"/>
    <n v="3998"/>
    <n v="199.9"/>
    <n v="3798.1"/>
    <n v="880"/>
    <n v="1760"/>
    <n v="60"/>
    <n v="1978.1"/>
    <n v="0.52081303809799639"/>
    <x v="0"/>
    <d v="2025-09-21T00:00:00"/>
    <n v="3"/>
    <x v="0"/>
    <n v="3"/>
    <n v="0"/>
  </r>
  <r>
    <s v="ORD-103896"/>
    <x v="622"/>
    <x v="1"/>
    <d v="2025-09-01T00:00:00"/>
    <n v="9"/>
    <s v="CUST-00128"/>
    <x v="1"/>
    <x v="21"/>
    <s v="TG"/>
    <x v="3"/>
    <s v="Hyderabad"/>
    <x v="0"/>
    <s v="P201"/>
    <s v="Onion Hair Oil"/>
    <x v="6"/>
    <n v="5"/>
    <n v="349"/>
    <n v="0.3"/>
    <n v="1745"/>
    <n v="523.5"/>
    <n v="1221.5"/>
    <n v="105"/>
    <n v="525"/>
    <n v="60"/>
    <n v="636.5"/>
    <n v="0.52108063855914855"/>
    <x v="1"/>
    <d v="2025-09-19T00:00:00"/>
    <n v="1"/>
    <x v="1"/>
    <n v="5"/>
    <n v="0"/>
  </r>
  <r>
    <s v="ORD-103897"/>
    <x v="622"/>
    <x v="1"/>
    <d v="2025-09-01T00:00:00"/>
    <n v="9"/>
    <s v="CUST-01176"/>
    <x v="1"/>
    <x v="17"/>
    <s v="TN"/>
    <x v="3"/>
    <s v="Coimbatore"/>
    <x v="0"/>
    <s v="P602"/>
    <s v="Fast Charger 33W"/>
    <x v="2"/>
    <n v="3"/>
    <n v="899"/>
    <n v="0.15"/>
    <n v="2697"/>
    <n v="404.55"/>
    <n v="2292.4499999999998"/>
    <n v="494"/>
    <n v="1482"/>
    <n v="60"/>
    <n v="750.44999999999982"/>
    <n v="0.32735719426814103"/>
    <x v="0"/>
    <d v="2025-09-21T00:00:00"/>
    <n v="3"/>
    <x v="0"/>
    <n v="4"/>
    <n v="0"/>
  </r>
  <r>
    <s v="ORD-103898"/>
    <x v="623"/>
    <x v="1"/>
    <d v="2025-09-01T00:00:00"/>
    <n v="9"/>
    <s v="CUST-00748"/>
    <x v="0"/>
    <x v="4"/>
    <s v="JK"/>
    <x v="0"/>
    <s v="Srinagar"/>
    <x v="2"/>
    <s v="P601"/>
    <s v="Wireless Earbuds"/>
    <x v="2"/>
    <n v="3"/>
    <n v="1999"/>
    <n v="0.3"/>
    <n v="5997"/>
    <n v="1799.1"/>
    <n v="4197.8999999999996"/>
    <n v="1239"/>
    <n v="3717"/>
    <n v="60"/>
    <n v="420.89999999999964"/>
    <n v="0.10026441792324726"/>
    <x v="3"/>
    <d v="2025-09-25T00:00:00"/>
    <n v="6"/>
    <x v="2"/>
    <n v="3"/>
    <n v="0"/>
  </r>
  <r>
    <s v="ORD-103899"/>
    <x v="623"/>
    <x v="1"/>
    <d v="2025-09-01T00:00:00"/>
    <n v="9"/>
    <s v="CUST-00101"/>
    <x v="1"/>
    <x v="0"/>
    <s v="RJ"/>
    <x v="0"/>
    <s v="Jaipur"/>
    <x v="1"/>
    <s v="P404"/>
    <s v="Flip Flops"/>
    <x v="5"/>
    <n v="1"/>
    <n v="399"/>
    <n v="0.15"/>
    <n v="399"/>
    <n v="59.849999999999994"/>
    <n v="339.15"/>
    <n v="152"/>
    <n v="152"/>
    <n v="60"/>
    <n v="127.14999999999998"/>
    <n v="0.37490785787999409"/>
    <x v="4"/>
    <d v="2025-09-20T00:00:00"/>
    <n v="1"/>
    <x v="1"/>
    <m/>
    <n v="0"/>
  </r>
  <r>
    <s v="ORD-103900"/>
    <x v="623"/>
    <x v="1"/>
    <d v="2025-09-01T00:00:00"/>
    <n v="9"/>
    <s v="CUST-00811"/>
    <x v="1"/>
    <x v="16"/>
    <s v="UP"/>
    <x v="0"/>
    <s v="Noida"/>
    <x v="2"/>
    <s v="P104"/>
    <s v="Hydrating Face Wash"/>
    <x v="3"/>
    <n v="1"/>
    <n v="299"/>
    <n v="0"/>
    <n v="299"/>
    <n v="0"/>
    <n v="299"/>
    <n v="90"/>
    <n v="90"/>
    <n v="60"/>
    <n v="149"/>
    <n v="0.49832775919732442"/>
    <x v="2"/>
    <d v="2025-09-25T00:00:00"/>
    <n v="6"/>
    <x v="2"/>
    <n v="3"/>
    <n v="0"/>
  </r>
  <r>
    <s v="ORD-103901"/>
    <x v="623"/>
    <x v="1"/>
    <d v="2025-09-01T00:00:00"/>
    <n v="9"/>
    <s v="CUST-00799"/>
    <x v="1"/>
    <x v="18"/>
    <s v="WB"/>
    <x v="2"/>
    <s v="Kolkata"/>
    <x v="0"/>
    <s v="P201"/>
    <s v="Onion Hair Oil"/>
    <x v="6"/>
    <n v="4"/>
    <n v="349"/>
    <n v="0.4"/>
    <n v="1396"/>
    <n v="558.4"/>
    <n v="837.6"/>
    <n v="105"/>
    <n v="420"/>
    <n v="60"/>
    <n v="357.6"/>
    <n v="0.42693409742120347"/>
    <x v="0"/>
    <d v="2025-09-20T00:00:00"/>
    <n v="1"/>
    <x v="1"/>
    <n v="4"/>
    <n v="0"/>
  </r>
  <r>
    <s v="ORD-103902"/>
    <x v="623"/>
    <x v="1"/>
    <d v="2025-09-01T00:00:00"/>
    <n v="9"/>
    <s v="CUST-01825"/>
    <x v="1"/>
    <x v="2"/>
    <s v="MH"/>
    <x v="1"/>
    <s v="Pune"/>
    <x v="0"/>
    <s v="P201"/>
    <s v="Onion Hair Oil"/>
    <x v="6"/>
    <n v="1"/>
    <n v="349"/>
    <n v="0.35"/>
    <n v="349"/>
    <n v="122.14999999999999"/>
    <n v="226.85000000000002"/>
    <n v="105"/>
    <n v="105"/>
    <n v="120"/>
    <n v="1.8500000000000227"/>
    <n v="8.1551686136214357E-3"/>
    <x v="0"/>
    <d v="2025-09-22T00:00:00"/>
    <n v="3"/>
    <x v="0"/>
    <m/>
    <n v="1"/>
  </r>
  <r>
    <s v="ORD-103903"/>
    <x v="623"/>
    <x v="1"/>
    <d v="2025-09-01T00:00:00"/>
    <n v="9"/>
    <s v="CUST-02151"/>
    <x v="0"/>
    <x v="2"/>
    <s v="MH"/>
    <x v="1"/>
    <s v="Mumbai"/>
    <x v="4"/>
    <s v="P102"/>
    <s v="Sunscreen SPF 50"/>
    <x v="3"/>
    <n v="1"/>
    <n v="449"/>
    <n v="0.1"/>
    <n v="449"/>
    <n v="44.900000000000006"/>
    <n v="404.1"/>
    <n v="144"/>
    <n v="144"/>
    <n v="60"/>
    <n v="200.10000000000002"/>
    <n v="0.4951744617668894"/>
    <x v="2"/>
    <d v="2025-09-22T00:00:00"/>
    <n v="3"/>
    <x v="0"/>
    <m/>
    <n v="0"/>
  </r>
  <r>
    <s v="ORD-103904"/>
    <x v="623"/>
    <x v="1"/>
    <d v="2025-09-01T00:00:00"/>
    <n v="9"/>
    <s v="CUST-02830"/>
    <x v="0"/>
    <x v="2"/>
    <s v="MH"/>
    <x v="1"/>
    <s v="Nagpur"/>
    <x v="2"/>
    <s v="P302"/>
    <s v="Linen Kurta"/>
    <x v="1"/>
    <n v="1"/>
    <n v="1499"/>
    <n v="0.25"/>
    <n v="1499"/>
    <n v="374.75"/>
    <n v="1124.25"/>
    <n v="630"/>
    <n v="630"/>
    <n v="60"/>
    <n v="434.25"/>
    <n v="0.38625750500333556"/>
    <x v="4"/>
    <d v="2025-09-23T00:00:00"/>
    <n v="4"/>
    <x v="0"/>
    <n v="4"/>
    <n v="0"/>
  </r>
  <r>
    <s v="ORD-103905"/>
    <x v="623"/>
    <x v="1"/>
    <d v="2025-09-01T00:00:00"/>
    <n v="9"/>
    <s v="CUST-00032"/>
    <x v="1"/>
    <x v="11"/>
    <s v="KA"/>
    <x v="3"/>
    <s v="Mysuru"/>
    <x v="4"/>
    <s v="P103"/>
    <s v="Niacinamide Toner"/>
    <x v="3"/>
    <n v="1"/>
    <n v="399"/>
    <n v="0.25"/>
    <n v="399"/>
    <n v="99.75"/>
    <n v="299.25"/>
    <n v="112"/>
    <n v="112"/>
    <n v="60"/>
    <n v="127.25"/>
    <n v="0.42522974101921468"/>
    <x v="2"/>
    <d v="2025-09-21T00:00:00"/>
    <n v="2"/>
    <x v="1"/>
    <n v="4"/>
    <n v="0"/>
  </r>
  <r>
    <s v="ORD-103906"/>
    <x v="623"/>
    <x v="1"/>
    <d v="2025-09-01T00:00:00"/>
    <n v="9"/>
    <s v="CUST-00726"/>
    <x v="1"/>
    <x v="11"/>
    <s v="KA"/>
    <x v="3"/>
    <s v="Bengaluru"/>
    <x v="3"/>
    <s v="P204"/>
    <s v="Anti-Dandruff Conditioner"/>
    <x v="6"/>
    <n v="2"/>
    <n v="399"/>
    <n v="0.35"/>
    <n v="798"/>
    <n v="279.29999999999995"/>
    <n v="518.70000000000005"/>
    <n v="136"/>
    <n v="272"/>
    <n v="60"/>
    <n v="186.70000000000005"/>
    <n v="0.35993830730672843"/>
    <x v="3"/>
    <d v="2025-09-22T00:00:00"/>
    <n v="3"/>
    <x v="0"/>
    <n v="4"/>
    <n v="0"/>
  </r>
  <r>
    <s v="ORD-103907"/>
    <x v="624"/>
    <x v="1"/>
    <d v="2025-09-01T00:00:00"/>
    <n v="9"/>
    <s v="CUST-00360"/>
    <x v="1"/>
    <x v="15"/>
    <s v="HR"/>
    <x v="0"/>
    <s v="Faridabad"/>
    <x v="4"/>
    <s v="P201"/>
    <s v="Onion Hair Oil"/>
    <x v="6"/>
    <n v="1"/>
    <n v="349"/>
    <n v="0.3"/>
    <n v="349"/>
    <n v="104.7"/>
    <n v="244.3"/>
    <n v="105"/>
    <n v="105"/>
    <n v="60"/>
    <n v="79.300000000000011"/>
    <n v="0.32460090053213264"/>
    <x v="3"/>
    <d v="2025-09-23T00:00:00"/>
    <n v="3"/>
    <x v="0"/>
    <n v="4"/>
    <n v="0"/>
  </r>
  <r>
    <s v="ORD-103908"/>
    <x v="624"/>
    <x v="1"/>
    <d v="2025-09-01T00:00:00"/>
    <n v="9"/>
    <s v="CUST-00766"/>
    <x v="0"/>
    <x v="16"/>
    <s v="UP"/>
    <x v="0"/>
    <s v="Noida"/>
    <x v="2"/>
    <s v="P603"/>
    <s v="Smartwatch Strap"/>
    <x v="2"/>
    <n v="1"/>
    <n v="499"/>
    <n v="0"/>
    <n v="499"/>
    <n v="0"/>
    <n v="499"/>
    <n v="200"/>
    <n v="200"/>
    <n v="60"/>
    <n v="239"/>
    <n v="0.47895791583166331"/>
    <x v="2"/>
    <d v="2025-09-26T00:00:00"/>
    <n v="6"/>
    <x v="2"/>
    <m/>
    <n v="0"/>
  </r>
  <r>
    <s v="ORD-103909"/>
    <x v="624"/>
    <x v="1"/>
    <d v="2025-09-01T00:00:00"/>
    <n v="9"/>
    <s v="CUST-00254"/>
    <x v="1"/>
    <x v="22"/>
    <s v="AS"/>
    <x v="2"/>
    <s v="Guwahati"/>
    <x v="1"/>
    <s v="P404"/>
    <s v="Flip Flops"/>
    <x v="5"/>
    <n v="1"/>
    <n v="399"/>
    <n v="0.05"/>
    <n v="399"/>
    <n v="19.950000000000003"/>
    <n v="379.05"/>
    <n v="152"/>
    <n v="152"/>
    <n v="60"/>
    <n v="167.05"/>
    <n v="0.44070703073473161"/>
    <x v="0"/>
    <d v="2025-09-28T00:00:00"/>
    <n v="8"/>
    <x v="2"/>
    <m/>
    <n v="0"/>
  </r>
  <r>
    <s v="ORD-103910"/>
    <x v="624"/>
    <x v="1"/>
    <d v="2025-09-01T00:00:00"/>
    <n v="9"/>
    <s v="CUST-02120"/>
    <x v="1"/>
    <x v="2"/>
    <s v="MH"/>
    <x v="1"/>
    <s v="Mumbai"/>
    <x v="0"/>
    <s v="P503"/>
    <s v="Scented Candle Set"/>
    <x v="4"/>
    <n v="4"/>
    <n v="699"/>
    <n v="0.2"/>
    <n v="2796"/>
    <n v="559.20000000000005"/>
    <n v="2236.8000000000002"/>
    <n v="245"/>
    <n v="980"/>
    <n v="60"/>
    <n v="1196.8000000000002"/>
    <n v="0.53505007153075823"/>
    <x v="0"/>
    <d v="2025-09-23T00:00:00"/>
    <n v="3"/>
    <x v="0"/>
    <n v="4"/>
    <n v="0"/>
  </r>
  <r>
    <s v="ORD-103911"/>
    <x v="624"/>
    <x v="1"/>
    <d v="2025-09-01T00:00:00"/>
    <n v="9"/>
    <s v="CUST-02745"/>
    <x v="0"/>
    <x v="2"/>
    <s v="MH"/>
    <x v="1"/>
    <s v="Nagpur"/>
    <x v="3"/>
    <s v="P201"/>
    <s v="Onion Hair Oil"/>
    <x v="6"/>
    <n v="1"/>
    <n v="349"/>
    <n v="0.35"/>
    <n v="349"/>
    <n v="122.14999999999999"/>
    <n v="226.85000000000002"/>
    <n v="105"/>
    <n v="105"/>
    <n v="60"/>
    <n v="61.850000000000023"/>
    <n v="0.27264712364998905"/>
    <x v="0"/>
    <d v="2025-09-25T00:00:00"/>
    <n v="5"/>
    <x v="2"/>
    <m/>
    <n v="0"/>
  </r>
  <r>
    <s v="ORD-103912"/>
    <x v="624"/>
    <x v="1"/>
    <d v="2025-09-01T00:00:00"/>
    <n v="9"/>
    <s v="CUST-00351"/>
    <x v="0"/>
    <x v="11"/>
    <s v="KA"/>
    <x v="3"/>
    <s v="Mysuru"/>
    <x v="2"/>
    <s v="P404"/>
    <s v="Flip Flops"/>
    <x v="5"/>
    <n v="1"/>
    <n v="399"/>
    <n v="0.05"/>
    <n v="399"/>
    <n v="19.950000000000003"/>
    <n v="379.05"/>
    <n v="152"/>
    <n v="152"/>
    <n v="60"/>
    <n v="167.05"/>
    <n v="0.44070703073473161"/>
    <x v="0"/>
    <d v="2025-09-25T00:00:00"/>
    <n v="5"/>
    <x v="2"/>
    <n v="4"/>
    <n v="0"/>
  </r>
  <r>
    <s v="ORD-103913"/>
    <x v="625"/>
    <x v="1"/>
    <d v="2025-09-01T00:00:00"/>
    <n v="9"/>
    <s v="CUST-00080"/>
    <x v="1"/>
    <x v="9"/>
    <s v="UK"/>
    <x v="0"/>
    <s v="Dehradun"/>
    <x v="0"/>
    <s v="P502"/>
    <s v="Ceramic Dinner Set"/>
    <x v="4"/>
    <n v="1"/>
    <n v="2499"/>
    <n v="0.25"/>
    <n v="2499"/>
    <n v="624.75"/>
    <n v="1874.25"/>
    <n v="1250"/>
    <n v="1250"/>
    <n v="60"/>
    <n v="564.25"/>
    <n v="0.30105375483526742"/>
    <x v="0"/>
    <d v="2025-09-25T00:00:00"/>
    <n v="4"/>
    <x v="0"/>
    <n v="4"/>
    <n v="0"/>
  </r>
  <r>
    <s v="ORD-103914"/>
    <x v="625"/>
    <x v="1"/>
    <d v="2025-09-01T00:00:00"/>
    <n v="9"/>
    <s v="CUST-00838"/>
    <x v="0"/>
    <x v="0"/>
    <s v="RJ"/>
    <x v="0"/>
    <s v="Jaipur"/>
    <x v="4"/>
    <s v="P104"/>
    <s v="Hydrating Face Wash"/>
    <x v="3"/>
    <n v="1"/>
    <n v="299"/>
    <n v="0"/>
    <n v="299"/>
    <n v="0"/>
    <n v="299"/>
    <n v="90"/>
    <n v="90"/>
    <n v="60"/>
    <n v="149"/>
    <n v="0.49832775919732442"/>
    <x v="0"/>
    <d v="2025-09-24T00:00:00"/>
    <n v="3"/>
    <x v="0"/>
    <n v="3"/>
    <n v="0"/>
  </r>
  <r>
    <s v="ORD-103915"/>
    <x v="625"/>
    <x v="1"/>
    <d v="2025-09-01T00:00:00"/>
    <n v="9"/>
    <s v="CUST-00263"/>
    <x v="1"/>
    <x v="0"/>
    <s v="RJ"/>
    <x v="0"/>
    <s v="Jaipur"/>
    <x v="0"/>
    <s v="P101"/>
    <s v="Vitamin C Face Serum"/>
    <x v="3"/>
    <n v="1"/>
    <n v="599"/>
    <n v="0.15"/>
    <n v="599"/>
    <n v="89.85"/>
    <n v="509.15"/>
    <n v="180"/>
    <n v="180"/>
    <n v="60"/>
    <n v="269.14999999999998"/>
    <n v="0.52862614160856325"/>
    <x v="0"/>
    <d v="2025-09-25T00:00:00"/>
    <n v="4"/>
    <x v="0"/>
    <n v="4"/>
    <n v="0"/>
  </r>
  <r>
    <s v="ORD-103916"/>
    <x v="625"/>
    <x v="1"/>
    <d v="2025-09-01T00:00:00"/>
    <n v="9"/>
    <s v="CUST-00315"/>
    <x v="1"/>
    <x v="6"/>
    <s v="DL"/>
    <x v="0"/>
    <s v="New Delhi"/>
    <x v="4"/>
    <s v="P603"/>
    <s v="Smartwatch Strap"/>
    <x v="2"/>
    <n v="1"/>
    <n v="499"/>
    <n v="0.2"/>
    <n v="499"/>
    <n v="99.800000000000011"/>
    <n v="399.2"/>
    <n v="200"/>
    <n v="200"/>
    <n v="60"/>
    <n v="139.19999999999999"/>
    <n v="0.34869739478957912"/>
    <x v="2"/>
    <d v="2025-09-23T00:00:00"/>
    <n v="2"/>
    <x v="1"/>
    <m/>
    <n v="0"/>
  </r>
  <r>
    <s v="ORD-103917"/>
    <x v="625"/>
    <x v="1"/>
    <d v="2025-09-01T00:00:00"/>
    <n v="9"/>
    <s v="CUST-00714"/>
    <x v="1"/>
    <x v="10"/>
    <s v="CG"/>
    <x v="2"/>
    <s v="Raipur"/>
    <x v="0"/>
    <s v="P201"/>
    <s v="Onion Hair Oil"/>
    <x v="6"/>
    <n v="3"/>
    <n v="349"/>
    <n v="0.3"/>
    <n v="1047"/>
    <n v="314.09999999999997"/>
    <n v="732.90000000000009"/>
    <n v="105"/>
    <n v="315"/>
    <n v="60"/>
    <n v="357.90000000000009"/>
    <n v="0.48833401555464601"/>
    <x v="3"/>
    <d v="2025-09-24T00:00:00"/>
    <n v="3"/>
    <x v="0"/>
    <n v="5"/>
    <n v="0"/>
  </r>
  <r>
    <s v="ORD-103918"/>
    <x v="625"/>
    <x v="1"/>
    <d v="2025-09-01T00:00:00"/>
    <n v="9"/>
    <s v="CUST-00326"/>
    <x v="1"/>
    <x v="7"/>
    <s v="JH"/>
    <x v="2"/>
    <s v="Ranchi"/>
    <x v="0"/>
    <s v="P101"/>
    <s v="Vitamin C Face Serum"/>
    <x v="3"/>
    <n v="1"/>
    <n v="599"/>
    <n v="0.15"/>
    <n v="599"/>
    <n v="89.85"/>
    <n v="509.15"/>
    <n v="180"/>
    <n v="180"/>
    <n v="60"/>
    <n v="269.14999999999998"/>
    <n v="0.52862614160856325"/>
    <x v="1"/>
    <d v="2025-09-25T00:00:00"/>
    <n v="4"/>
    <x v="0"/>
    <m/>
    <n v="0"/>
  </r>
  <r>
    <s v="ORD-103919"/>
    <x v="625"/>
    <x v="1"/>
    <d v="2025-09-01T00:00:00"/>
    <n v="9"/>
    <s v="CUST-00940"/>
    <x v="1"/>
    <x v="2"/>
    <s v="MH"/>
    <x v="1"/>
    <s v="Nagpur"/>
    <x v="1"/>
    <s v="P403"/>
    <s v="Kolhapuri Sandals"/>
    <x v="5"/>
    <n v="1"/>
    <n v="999"/>
    <n v="0.15"/>
    <n v="999"/>
    <n v="149.85"/>
    <n v="849.15"/>
    <n v="400"/>
    <n v="400"/>
    <n v="60"/>
    <n v="389.15"/>
    <n v="0.45828181122298767"/>
    <x v="3"/>
    <d v="2025-09-23T00:00:00"/>
    <n v="2"/>
    <x v="1"/>
    <m/>
    <n v="0"/>
  </r>
  <r>
    <s v="ORD-103920"/>
    <x v="625"/>
    <x v="1"/>
    <d v="2025-09-01T00:00:00"/>
    <n v="9"/>
    <s v="CUST-00094"/>
    <x v="1"/>
    <x v="2"/>
    <s v="MH"/>
    <x v="1"/>
    <s v="Pune"/>
    <x v="4"/>
    <s v="P101"/>
    <s v="Vitamin C Face Serum"/>
    <x v="3"/>
    <n v="1"/>
    <n v="599"/>
    <n v="0.1"/>
    <n v="599"/>
    <n v="59.900000000000006"/>
    <n v="539.1"/>
    <n v="180"/>
    <n v="180"/>
    <n v="60"/>
    <n v="299.10000000000002"/>
    <n v="0.5548135781858653"/>
    <x v="0"/>
    <d v="2025-09-22T00:00:00"/>
    <n v="1"/>
    <x v="1"/>
    <n v="5"/>
    <n v="0"/>
  </r>
  <r>
    <s v="ORD-103921"/>
    <x v="626"/>
    <x v="1"/>
    <d v="2025-09-01T00:00:00"/>
    <n v="9"/>
    <s v="CUST-00176"/>
    <x v="0"/>
    <x v="4"/>
    <s v="JK"/>
    <x v="0"/>
    <s v="Jammu"/>
    <x v="4"/>
    <s v="P503"/>
    <s v="Scented Candle Set"/>
    <x v="4"/>
    <n v="1"/>
    <n v="699"/>
    <n v="0.2"/>
    <n v="699"/>
    <n v="139.80000000000001"/>
    <n v="559.20000000000005"/>
    <n v="245"/>
    <n v="245"/>
    <n v="120"/>
    <n v="194.20000000000005"/>
    <n v="0.34728183118741063"/>
    <x v="3"/>
    <d v="2025-09-25T00:00:00"/>
    <n v="3"/>
    <x v="0"/>
    <m/>
    <n v="1"/>
  </r>
  <r>
    <s v="ORD-103922"/>
    <x v="626"/>
    <x v="1"/>
    <d v="2025-09-01T00:00:00"/>
    <n v="9"/>
    <s v="CUST-02832"/>
    <x v="1"/>
    <x v="5"/>
    <s v="HP"/>
    <x v="0"/>
    <s v="Shimla"/>
    <x v="4"/>
    <s v="P202"/>
    <s v="Argan Shampoo"/>
    <x v="6"/>
    <n v="1"/>
    <n v="449"/>
    <n v="0.05"/>
    <n v="449"/>
    <n v="22.450000000000003"/>
    <n v="426.55"/>
    <n v="148"/>
    <n v="148"/>
    <n v="60"/>
    <n v="218.55"/>
    <n v="0.51236666275934828"/>
    <x v="3"/>
    <d v="2025-09-28T00:00:00"/>
    <n v="6"/>
    <x v="2"/>
    <n v="3"/>
    <n v="0"/>
  </r>
  <r>
    <s v="ORD-103923"/>
    <x v="626"/>
    <x v="1"/>
    <d v="2025-09-01T00:00:00"/>
    <n v="9"/>
    <s v="CUST-01161"/>
    <x v="1"/>
    <x v="6"/>
    <s v="DL"/>
    <x v="0"/>
    <s v="New Delhi"/>
    <x v="0"/>
    <s v="P504"/>
    <s v="Cotton Bedsheet"/>
    <x v="4"/>
    <n v="1"/>
    <n v="1299"/>
    <n v="0.05"/>
    <n v="1299"/>
    <n v="64.95"/>
    <n v="1234.05"/>
    <n v="585"/>
    <n v="585"/>
    <n v="60"/>
    <n v="589.04999999999995"/>
    <n v="0.47733074024553296"/>
    <x v="0"/>
    <d v="2025-09-24T00:00:00"/>
    <n v="2"/>
    <x v="1"/>
    <n v="4"/>
    <n v="0"/>
  </r>
  <r>
    <s v="ORD-103924"/>
    <x v="626"/>
    <x v="1"/>
    <d v="2025-09-01T00:00:00"/>
    <n v="9"/>
    <s v="CUST-00502"/>
    <x v="1"/>
    <x v="6"/>
    <s v="DL"/>
    <x v="0"/>
    <s v="New Delhi"/>
    <x v="2"/>
    <s v="P204"/>
    <s v="Anti-Dandruff Conditioner"/>
    <x v="6"/>
    <n v="1"/>
    <n v="399"/>
    <n v="0.35"/>
    <n v="399"/>
    <n v="139.64999999999998"/>
    <n v="259.35000000000002"/>
    <n v="136"/>
    <n v="136"/>
    <n v="60"/>
    <n v="63.350000000000023"/>
    <n v="0.24426450742240222"/>
    <x v="3"/>
    <d v="2025-09-24T00:00:00"/>
    <n v="2"/>
    <x v="1"/>
    <n v="4"/>
    <n v="0"/>
  </r>
  <r>
    <s v="ORD-103925"/>
    <x v="626"/>
    <x v="1"/>
    <d v="2025-09-01T00:00:00"/>
    <n v="9"/>
    <s v="CUST-02364"/>
    <x v="1"/>
    <x v="16"/>
    <s v="UP"/>
    <x v="0"/>
    <s v="Noida"/>
    <x v="1"/>
    <s v="P403"/>
    <s v="Kolhapuri Sandals"/>
    <x v="5"/>
    <n v="1"/>
    <n v="999"/>
    <n v="0.05"/>
    <n v="999"/>
    <n v="49.95"/>
    <n v="949.05"/>
    <n v="400"/>
    <n v="400"/>
    <n v="60"/>
    <n v="489.04999999999995"/>
    <n v="0.5153047784626732"/>
    <x v="1"/>
    <d v="2025-09-26T00:00:00"/>
    <n v="4"/>
    <x v="0"/>
    <n v="3"/>
    <n v="0"/>
  </r>
  <r>
    <s v="ORD-103926"/>
    <x v="626"/>
    <x v="1"/>
    <d v="2025-09-01T00:00:00"/>
    <n v="9"/>
    <s v="CUST-00727"/>
    <x v="1"/>
    <x v="1"/>
    <s v="GJ"/>
    <x v="1"/>
    <s v="Surat"/>
    <x v="3"/>
    <s v="P701"/>
    <s v="Ashwagandha Capsules"/>
    <x v="0"/>
    <n v="1"/>
    <n v="499"/>
    <n v="0.1"/>
    <n v="499"/>
    <n v="49.900000000000006"/>
    <n v="449.1"/>
    <n v="150"/>
    <n v="150"/>
    <n v="60"/>
    <n v="239.10000000000002"/>
    <n v="0.53239812959251842"/>
    <x v="0"/>
    <d v="2025-09-25T00:00:00"/>
    <n v="3"/>
    <x v="0"/>
    <m/>
    <n v="0"/>
  </r>
  <r>
    <s v="ORD-103927"/>
    <x v="626"/>
    <x v="1"/>
    <d v="2025-09-01T00:00:00"/>
    <n v="9"/>
    <s v="CUST-01915"/>
    <x v="1"/>
    <x v="11"/>
    <s v="KA"/>
    <x v="3"/>
    <s v="Bengaluru"/>
    <x v="1"/>
    <s v="P404"/>
    <s v="Flip Flops"/>
    <x v="5"/>
    <n v="1"/>
    <n v="399"/>
    <n v="0.05"/>
    <n v="399"/>
    <n v="19.950000000000003"/>
    <n v="379.05"/>
    <n v="152"/>
    <n v="152"/>
    <n v="60"/>
    <n v="167.05"/>
    <n v="0.44070703073473161"/>
    <x v="1"/>
    <d v="2025-09-23T00:00:00"/>
    <n v="1"/>
    <x v="1"/>
    <m/>
    <n v="0"/>
  </r>
  <r>
    <s v="ORD-103928"/>
    <x v="627"/>
    <x v="1"/>
    <d v="2025-09-01T00:00:00"/>
    <n v="9"/>
    <s v="CUST-00815"/>
    <x v="1"/>
    <x v="6"/>
    <s v="DL"/>
    <x v="0"/>
    <s v="New Delhi"/>
    <x v="4"/>
    <s v="P304"/>
    <s v="Denim Jacket"/>
    <x v="1"/>
    <n v="1"/>
    <n v="2499"/>
    <n v="0"/>
    <n v="2499"/>
    <n v="0"/>
    <n v="2499"/>
    <n v="1125"/>
    <n v="1125"/>
    <n v="60"/>
    <n v="1314"/>
    <n v="0.5258103241296519"/>
    <x v="3"/>
    <d v="2025-09-26T00:00:00"/>
    <n v="3"/>
    <x v="0"/>
    <n v="4"/>
    <n v="0"/>
  </r>
  <r>
    <s v="ORD-103929"/>
    <x v="627"/>
    <x v="1"/>
    <d v="2025-09-01T00:00:00"/>
    <n v="9"/>
    <s v="CUST-03028"/>
    <x v="0"/>
    <x v="16"/>
    <s v="UP"/>
    <x v="0"/>
    <s v="Noida"/>
    <x v="0"/>
    <s v="P304"/>
    <s v="Denim Jacket"/>
    <x v="1"/>
    <n v="1"/>
    <n v="2499"/>
    <n v="0"/>
    <n v="2499"/>
    <n v="0"/>
    <n v="2499"/>
    <n v="1125"/>
    <n v="1125"/>
    <n v="60"/>
    <n v="1314"/>
    <n v="0.5258103241296519"/>
    <x v="1"/>
    <d v="2025-09-24T00:00:00"/>
    <n v="1"/>
    <x v="1"/>
    <n v="5"/>
    <n v="0"/>
  </r>
  <r>
    <s v="ORD-103930"/>
    <x v="627"/>
    <x v="1"/>
    <d v="2025-09-01T00:00:00"/>
    <n v="9"/>
    <s v="CUST-00958"/>
    <x v="1"/>
    <x v="16"/>
    <s v="UP"/>
    <x v="0"/>
    <s v="Kanpur"/>
    <x v="4"/>
    <s v="P704"/>
    <s v="Multivitamin Gummies"/>
    <x v="0"/>
    <n v="1"/>
    <n v="699"/>
    <n v="0.3"/>
    <n v="699"/>
    <n v="209.7"/>
    <n v="489.3"/>
    <n v="238"/>
    <n v="238"/>
    <n v="60"/>
    <n v="191.3"/>
    <n v="0.39096668710402616"/>
    <x v="0"/>
    <d v="2025-09-27T00:00:00"/>
    <n v="4"/>
    <x v="0"/>
    <n v="4"/>
    <n v="0"/>
  </r>
  <r>
    <s v="ORD-103931"/>
    <x v="627"/>
    <x v="1"/>
    <d v="2025-09-01T00:00:00"/>
    <n v="9"/>
    <s v="CUST-00803"/>
    <x v="1"/>
    <x v="12"/>
    <s v="BR"/>
    <x v="2"/>
    <s v="Patna"/>
    <x v="2"/>
    <s v="P703"/>
    <s v="Green Tea (100 bags)"/>
    <x v="0"/>
    <n v="5"/>
    <n v="399"/>
    <n v="0.35"/>
    <n v="1995"/>
    <n v="698.25"/>
    <n v="1296.75"/>
    <n v="128"/>
    <n v="640"/>
    <n v="60"/>
    <n v="596.75"/>
    <n v="0.46018893387314441"/>
    <x v="3"/>
    <d v="2025-09-25T00:00:00"/>
    <n v="2"/>
    <x v="1"/>
    <n v="3"/>
    <n v="0"/>
  </r>
  <r>
    <s v="ORD-103932"/>
    <x v="627"/>
    <x v="1"/>
    <d v="2025-09-01T00:00:00"/>
    <n v="9"/>
    <s v="CUST-00466"/>
    <x v="1"/>
    <x v="1"/>
    <s v="GJ"/>
    <x v="1"/>
    <s v="Ahmedabad"/>
    <x v="3"/>
    <s v="P102"/>
    <s v="Sunscreen SPF 50"/>
    <x v="3"/>
    <n v="3"/>
    <n v="449"/>
    <n v="0.15"/>
    <n v="1347"/>
    <n v="202.04999999999998"/>
    <n v="1144.95"/>
    <n v="144"/>
    <n v="432"/>
    <n v="60"/>
    <n v="652.95000000000005"/>
    <n v="0.57028691209223115"/>
    <x v="2"/>
    <d v="2025-09-26T00:00:00"/>
    <n v="3"/>
    <x v="0"/>
    <n v="4"/>
    <n v="0"/>
  </r>
  <r>
    <s v="ORD-103933"/>
    <x v="627"/>
    <x v="1"/>
    <d v="2025-09-01T00:00:00"/>
    <n v="9"/>
    <s v="CUST-00504"/>
    <x v="1"/>
    <x v="1"/>
    <s v="GJ"/>
    <x v="1"/>
    <s v="Ahmedabad"/>
    <x v="0"/>
    <s v="P304"/>
    <s v="Denim Jacket"/>
    <x v="1"/>
    <n v="1"/>
    <n v="2499"/>
    <n v="0.1"/>
    <n v="2499"/>
    <n v="249.9"/>
    <n v="2249.1"/>
    <n v="1125"/>
    <n v="1125"/>
    <n v="60"/>
    <n v="1064.0999999999999"/>
    <n v="0.4731225823662798"/>
    <x v="4"/>
    <d v="2025-09-26T00:00:00"/>
    <n v="3"/>
    <x v="0"/>
    <m/>
    <n v="0"/>
  </r>
  <r>
    <s v="ORD-103934"/>
    <x v="627"/>
    <x v="1"/>
    <d v="2025-09-01T00:00:00"/>
    <n v="9"/>
    <s v="CUST-01405"/>
    <x v="0"/>
    <x v="1"/>
    <s v="GJ"/>
    <x v="1"/>
    <s v="Ahmedabad"/>
    <x v="3"/>
    <s v="P105"/>
    <s v="Retinol Night Cream"/>
    <x v="3"/>
    <n v="2"/>
    <n v="799"/>
    <n v="0"/>
    <n v="1598"/>
    <n v="0"/>
    <n v="1598"/>
    <n v="216"/>
    <n v="432"/>
    <n v="120"/>
    <n v="1046"/>
    <n v="0.65456821026282852"/>
    <x v="2"/>
    <d v="2025-09-26T00:00:00"/>
    <n v="3"/>
    <x v="0"/>
    <n v="4"/>
    <n v="1"/>
  </r>
  <r>
    <s v="ORD-103935"/>
    <x v="627"/>
    <x v="1"/>
    <d v="2025-09-01T00:00:00"/>
    <n v="9"/>
    <s v="CUST-01611"/>
    <x v="1"/>
    <x v="2"/>
    <s v="MH"/>
    <x v="1"/>
    <s v="Nagpur"/>
    <x v="4"/>
    <s v="P404"/>
    <s v="Flip Flops"/>
    <x v="5"/>
    <n v="1"/>
    <n v="399"/>
    <n v="0.05"/>
    <n v="399"/>
    <n v="19.950000000000003"/>
    <n v="379.05"/>
    <n v="152"/>
    <n v="152"/>
    <n v="120"/>
    <n v="107.05000000000001"/>
    <n v="0.2824165677351273"/>
    <x v="0"/>
    <d v="2025-09-25T00:00:00"/>
    <n v="2"/>
    <x v="1"/>
    <n v="5"/>
    <n v="1"/>
  </r>
  <r>
    <s v="ORD-103936"/>
    <x v="627"/>
    <x v="1"/>
    <d v="2025-09-01T00:00:00"/>
    <n v="9"/>
    <s v="CUST-00853"/>
    <x v="1"/>
    <x v="17"/>
    <s v="TN"/>
    <x v="3"/>
    <s v="Coimbatore"/>
    <x v="0"/>
    <s v="P503"/>
    <s v="Scented Candle Set"/>
    <x v="4"/>
    <n v="1"/>
    <n v="699"/>
    <n v="0.2"/>
    <n v="699"/>
    <n v="139.80000000000001"/>
    <n v="559.20000000000005"/>
    <n v="245"/>
    <n v="245"/>
    <n v="60"/>
    <n v="254.20000000000005"/>
    <n v="0.45457796852646642"/>
    <x v="0"/>
    <d v="2025-09-24T00:00:00"/>
    <n v="1"/>
    <x v="1"/>
    <n v="5"/>
    <n v="0"/>
  </r>
  <r>
    <s v="ORD-103937"/>
    <x v="628"/>
    <x v="1"/>
    <d v="2025-09-01T00:00:00"/>
    <n v="9"/>
    <s v="CUST-01945"/>
    <x v="0"/>
    <x v="16"/>
    <s v="UP"/>
    <x v="0"/>
    <s v="Kanpur"/>
    <x v="0"/>
    <s v="P101"/>
    <s v="Vitamin C Face Serum"/>
    <x v="3"/>
    <n v="1"/>
    <n v="599"/>
    <n v="0.2"/>
    <n v="599"/>
    <n v="119.80000000000001"/>
    <n v="479.2"/>
    <n v="180"/>
    <n v="180"/>
    <n v="60"/>
    <n v="239.2"/>
    <n v="0.4991652754590985"/>
    <x v="3"/>
    <d v="2025-09-26T00:00:00"/>
    <n v="2"/>
    <x v="1"/>
    <n v="4"/>
    <n v="0"/>
  </r>
  <r>
    <s v="ORD-103938"/>
    <x v="628"/>
    <x v="1"/>
    <d v="2025-09-01T00:00:00"/>
    <n v="9"/>
    <s v="CUST-00621"/>
    <x v="0"/>
    <x v="12"/>
    <s v="BR"/>
    <x v="2"/>
    <s v="Patna"/>
    <x v="0"/>
    <s v="P603"/>
    <s v="Smartwatch Strap"/>
    <x v="2"/>
    <n v="1"/>
    <n v="499"/>
    <n v="0.2"/>
    <n v="499"/>
    <n v="99.800000000000011"/>
    <n v="399.2"/>
    <n v="200"/>
    <n v="200"/>
    <n v="60"/>
    <n v="139.19999999999999"/>
    <n v="0.34869739478957912"/>
    <x v="1"/>
    <d v="2025-09-30T00:00:00"/>
    <n v="6"/>
    <x v="2"/>
    <m/>
    <n v="0"/>
  </r>
  <r>
    <s v="ORD-103939"/>
    <x v="628"/>
    <x v="1"/>
    <d v="2025-09-01T00:00:00"/>
    <n v="9"/>
    <s v="CUST-01052"/>
    <x v="1"/>
    <x v="1"/>
    <s v="GJ"/>
    <x v="1"/>
    <s v="Ahmedabad"/>
    <x v="2"/>
    <s v="P305"/>
    <s v="Printed Saree"/>
    <x v="1"/>
    <n v="4"/>
    <n v="1999"/>
    <n v="0"/>
    <n v="7996"/>
    <n v="0"/>
    <n v="7996"/>
    <n v="880"/>
    <n v="3520"/>
    <n v="120"/>
    <n v="4356"/>
    <n v="0.54477238619309654"/>
    <x v="0"/>
    <d v="2025-09-27T00:00:00"/>
    <n v="3"/>
    <x v="0"/>
    <n v="4"/>
    <n v="1"/>
  </r>
  <r>
    <s v="ORD-103940"/>
    <x v="628"/>
    <x v="1"/>
    <d v="2025-09-01T00:00:00"/>
    <n v="9"/>
    <s v="CUST-01819"/>
    <x v="1"/>
    <x v="1"/>
    <s v="GJ"/>
    <x v="1"/>
    <s v="Ahmedabad"/>
    <x v="4"/>
    <s v="P503"/>
    <s v="Scented Candle Set"/>
    <x v="4"/>
    <n v="1"/>
    <n v="699"/>
    <n v="0.25"/>
    <n v="699"/>
    <n v="174.75"/>
    <n v="524.25"/>
    <n v="245"/>
    <n v="245"/>
    <n v="60"/>
    <n v="219.25"/>
    <n v="0.41821649976156416"/>
    <x v="1"/>
    <d v="2025-09-26T00:00:00"/>
    <n v="2"/>
    <x v="1"/>
    <m/>
    <n v="0"/>
  </r>
  <r>
    <s v="ORD-103941"/>
    <x v="628"/>
    <x v="1"/>
    <d v="2025-09-01T00:00:00"/>
    <n v="9"/>
    <s v="CUST-01378"/>
    <x v="1"/>
    <x v="20"/>
    <s v="GA"/>
    <x v="1"/>
    <s v="Panaji"/>
    <x v="1"/>
    <s v="P401"/>
    <s v="Running Shoes"/>
    <x v="5"/>
    <n v="1"/>
    <n v="2999"/>
    <n v="0.15"/>
    <n v="2999"/>
    <n v="449.84999999999997"/>
    <n v="2549.15"/>
    <n v="1440"/>
    <n v="1440"/>
    <n v="60"/>
    <n v="1049.1500000000001"/>
    <n v="0.41156856206970954"/>
    <x v="0"/>
    <d v="2025-09-26T00:00:00"/>
    <n v="2"/>
    <x v="1"/>
    <n v="4"/>
    <n v="0"/>
  </r>
  <r>
    <s v="ORD-103942"/>
    <x v="629"/>
    <x v="1"/>
    <d v="2025-09-01T00:00:00"/>
    <n v="9"/>
    <s v="CUST-01557"/>
    <x v="1"/>
    <x v="18"/>
    <s v="WB"/>
    <x v="2"/>
    <s v="Kolkata"/>
    <x v="0"/>
    <s v="P704"/>
    <s v="Multivitamin Gummies"/>
    <x v="0"/>
    <n v="2"/>
    <n v="699"/>
    <n v="0.3"/>
    <n v="1398"/>
    <n v="419.4"/>
    <n v="978.6"/>
    <n v="238"/>
    <n v="476"/>
    <n v="60"/>
    <n v="442.6"/>
    <n v="0.45227876558348662"/>
    <x v="2"/>
    <d v="2025-09-28T00:00:00"/>
    <n v="3"/>
    <x v="0"/>
    <m/>
    <n v="0"/>
  </r>
  <r>
    <s v="ORD-103943"/>
    <x v="629"/>
    <x v="1"/>
    <d v="2025-09-01T00:00:00"/>
    <n v="9"/>
    <s v="CUST-02830"/>
    <x v="1"/>
    <x v="3"/>
    <s v="OD"/>
    <x v="2"/>
    <s v="Bhubaneswar"/>
    <x v="0"/>
    <s v="P302"/>
    <s v="Linen Kurta"/>
    <x v="1"/>
    <n v="1"/>
    <n v="1499"/>
    <n v="0.25"/>
    <n v="1499"/>
    <n v="374.75"/>
    <n v="1124.25"/>
    <n v="630"/>
    <n v="630"/>
    <n v="60"/>
    <n v="434.25"/>
    <n v="0.38625750500333556"/>
    <x v="0"/>
    <d v="2025-09-30T00:00:00"/>
    <n v="5"/>
    <x v="2"/>
    <n v="3"/>
    <n v="0"/>
  </r>
  <r>
    <s v="ORD-103944"/>
    <x v="629"/>
    <x v="1"/>
    <d v="2025-09-01T00:00:00"/>
    <n v="9"/>
    <s v="CUST-00162"/>
    <x v="1"/>
    <x v="14"/>
    <s v="KL"/>
    <x v="3"/>
    <s v="Kochi"/>
    <x v="0"/>
    <s v="P301"/>
    <s v="Cotton Oversized T-Shirt"/>
    <x v="1"/>
    <n v="2"/>
    <n v="799"/>
    <n v="0"/>
    <n v="1598"/>
    <n v="0"/>
    <n v="1598"/>
    <n v="320"/>
    <n v="640"/>
    <n v="60"/>
    <n v="898"/>
    <n v="0.56195244055068838"/>
    <x v="0"/>
    <d v="2025-09-30T00:00:00"/>
    <n v="5"/>
    <x v="2"/>
    <n v="4"/>
    <n v="0"/>
  </r>
  <r>
    <s v="ORD-103945"/>
    <x v="629"/>
    <x v="1"/>
    <d v="2025-09-01T00:00:00"/>
    <n v="9"/>
    <s v="CUST-02191"/>
    <x v="1"/>
    <x v="17"/>
    <s v="TN"/>
    <x v="3"/>
    <s v="Chennai"/>
    <x v="3"/>
    <s v="P204"/>
    <s v="Anti-Dandruff Conditioner"/>
    <x v="6"/>
    <n v="1"/>
    <n v="399"/>
    <n v="0.3"/>
    <n v="399"/>
    <n v="119.69999999999999"/>
    <n v="279.3"/>
    <n v="136"/>
    <n v="136"/>
    <n v="120"/>
    <n v="23.300000000000011"/>
    <n v="8.3422842821339105E-2"/>
    <x v="0"/>
    <d v="2025-09-26T00:00:00"/>
    <n v="1"/>
    <x v="1"/>
    <n v="4"/>
    <n v="1"/>
  </r>
  <r>
    <s v="ORD-103946"/>
    <x v="630"/>
    <x v="1"/>
    <d v="2025-09-01T00:00:00"/>
    <n v="9"/>
    <s v="CUST-01156"/>
    <x v="1"/>
    <x v="6"/>
    <s v="DL"/>
    <x v="0"/>
    <s v="New Delhi"/>
    <x v="4"/>
    <s v="P404"/>
    <s v="Flip Flops"/>
    <x v="5"/>
    <n v="1"/>
    <n v="399"/>
    <n v="0.1"/>
    <n v="399"/>
    <n v="39.900000000000006"/>
    <n v="359.1"/>
    <n v="152"/>
    <n v="152"/>
    <n v="60"/>
    <n v="147.10000000000002"/>
    <n v="0.40963519910888335"/>
    <x v="0"/>
    <d v="2025-09-29T00:00:00"/>
    <n v="3"/>
    <x v="0"/>
    <n v="5"/>
    <n v="0"/>
  </r>
  <r>
    <s v="ORD-103947"/>
    <x v="630"/>
    <x v="1"/>
    <d v="2025-09-01T00:00:00"/>
    <n v="9"/>
    <s v="CUST-01089"/>
    <x v="1"/>
    <x v="12"/>
    <s v="BR"/>
    <x v="2"/>
    <s v="Patna"/>
    <x v="4"/>
    <s v="P202"/>
    <s v="Argan Shampoo"/>
    <x v="6"/>
    <n v="3"/>
    <n v="449"/>
    <n v="0.1"/>
    <n v="1347"/>
    <n v="134.70000000000002"/>
    <n v="1212.3"/>
    <n v="148"/>
    <n v="444"/>
    <n v="60"/>
    <n v="708.3"/>
    <n v="0.58426132145508536"/>
    <x v="3"/>
    <d v="2025-10-01T00:00:00"/>
    <n v="5"/>
    <x v="2"/>
    <n v="3"/>
    <n v="0"/>
  </r>
  <r>
    <s v="ORD-103948"/>
    <x v="630"/>
    <x v="1"/>
    <d v="2025-09-01T00:00:00"/>
    <n v="9"/>
    <s v="CUST-00147"/>
    <x v="0"/>
    <x v="18"/>
    <s v="WB"/>
    <x v="2"/>
    <s v="Kolkata"/>
    <x v="0"/>
    <s v="P202"/>
    <s v="Argan Shampoo"/>
    <x v="6"/>
    <n v="2"/>
    <n v="449"/>
    <n v="0.05"/>
    <n v="898"/>
    <n v="44.900000000000006"/>
    <n v="853.1"/>
    <n v="148"/>
    <n v="296"/>
    <n v="60"/>
    <n v="497.1"/>
    <n v="0.58269839409213453"/>
    <x v="0"/>
    <d v="2025-09-29T00:00:00"/>
    <n v="3"/>
    <x v="0"/>
    <m/>
    <n v="0"/>
  </r>
  <r>
    <s v="ORD-103949"/>
    <x v="630"/>
    <x v="1"/>
    <d v="2025-09-01T00:00:00"/>
    <n v="9"/>
    <s v="CUST-02429"/>
    <x v="0"/>
    <x v="18"/>
    <s v="WB"/>
    <x v="2"/>
    <s v="Kolkata"/>
    <x v="4"/>
    <s v="P403"/>
    <s v="Kolhapuri Sandals"/>
    <x v="5"/>
    <n v="1"/>
    <n v="999"/>
    <n v="0.05"/>
    <n v="999"/>
    <n v="49.95"/>
    <n v="949.05"/>
    <n v="400"/>
    <n v="400"/>
    <n v="60"/>
    <n v="489.04999999999995"/>
    <n v="0.5153047784626732"/>
    <x v="4"/>
    <d v="2025-09-28T00:00:00"/>
    <n v="2"/>
    <x v="1"/>
    <n v="5"/>
    <n v="0"/>
  </r>
  <r>
    <s v="ORD-103950"/>
    <x v="630"/>
    <x v="1"/>
    <d v="2025-09-01T00:00:00"/>
    <n v="9"/>
    <s v="CUST-01346"/>
    <x v="1"/>
    <x v="18"/>
    <s v="WB"/>
    <x v="2"/>
    <s v="Kolkata"/>
    <x v="0"/>
    <s v="P701"/>
    <s v="Ashwagandha Capsules"/>
    <x v="0"/>
    <n v="1"/>
    <n v="499"/>
    <n v="0"/>
    <n v="499"/>
    <n v="0"/>
    <n v="499"/>
    <n v="150"/>
    <n v="150"/>
    <n v="60"/>
    <n v="289"/>
    <n v="0.57915831663326656"/>
    <x v="2"/>
    <d v="2025-09-29T00:00:00"/>
    <n v="3"/>
    <x v="0"/>
    <m/>
    <n v="0"/>
  </r>
  <r>
    <s v="ORD-103951"/>
    <x v="630"/>
    <x v="1"/>
    <d v="2025-09-01T00:00:00"/>
    <n v="9"/>
    <s v="CUST-00618"/>
    <x v="1"/>
    <x v="2"/>
    <s v="MH"/>
    <x v="1"/>
    <s v="Pune"/>
    <x v="0"/>
    <s v="P703"/>
    <s v="Green Tea (100 bags)"/>
    <x v="0"/>
    <n v="2"/>
    <n v="399"/>
    <n v="0.35"/>
    <n v="798"/>
    <n v="279.29999999999995"/>
    <n v="518.70000000000005"/>
    <n v="128"/>
    <n v="256"/>
    <n v="60"/>
    <n v="202.70000000000005"/>
    <n v="0.39078465394254874"/>
    <x v="3"/>
    <d v="2025-09-28T00:00:00"/>
    <n v="2"/>
    <x v="1"/>
    <n v="5"/>
    <n v="0"/>
  </r>
  <r>
    <s v="ORD-103952"/>
    <x v="630"/>
    <x v="1"/>
    <d v="2025-09-01T00:00:00"/>
    <n v="9"/>
    <s v="CUST-01383"/>
    <x v="1"/>
    <x v="8"/>
    <s v="AP"/>
    <x v="3"/>
    <s v="Vijayawada"/>
    <x v="1"/>
    <s v="P304"/>
    <s v="Denim Jacket"/>
    <x v="1"/>
    <n v="2"/>
    <n v="2499"/>
    <n v="0.05"/>
    <n v="4998"/>
    <n v="249.9"/>
    <n v="4748.1000000000004"/>
    <n v="1125"/>
    <n v="2250"/>
    <n v="120"/>
    <n v="2378.1000000000004"/>
    <n v="0.50085297276805463"/>
    <x v="0"/>
    <d v="2025-09-29T00:00:00"/>
    <n v="3"/>
    <x v="0"/>
    <n v="5"/>
    <n v="1"/>
  </r>
  <r>
    <s v="ORD-103953"/>
    <x v="630"/>
    <x v="1"/>
    <d v="2025-09-01T00:00:00"/>
    <n v="9"/>
    <s v="CUST-02325"/>
    <x v="0"/>
    <x v="14"/>
    <s v="KL"/>
    <x v="3"/>
    <s v="Kochi"/>
    <x v="4"/>
    <s v="P203"/>
    <s v="Keratin Hair Mask"/>
    <x v="6"/>
    <n v="1"/>
    <n v="549"/>
    <n v="0.1"/>
    <n v="549"/>
    <n v="54.900000000000006"/>
    <n v="494.1"/>
    <n v="170"/>
    <n v="170"/>
    <n v="60"/>
    <n v="264.10000000000002"/>
    <n v="0.53450718478040882"/>
    <x v="2"/>
    <d v="2025-09-29T00:00:00"/>
    <n v="3"/>
    <x v="0"/>
    <m/>
    <n v="0"/>
  </r>
  <r>
    <s v="ORD-103954"/>
    <x v="631"/>
    <x v="1"/>
    <d v="2025-09-01T00:00:00"/>
    <n v="9"/>
    <s v="CUST-00916"/>
    <x v="1"/>
    <x v="6"/>
    <s v="DL"/>
    <x v="0"/>
    <s v="New Delhi"/>
    <x v="4"/>
    <s v="P204"/>
    <s v="Anti-Dandruff Conditioner"/>
    <x v="6"/>
    <n v="3"/>
    <n v="399"/>
    <n v="0.35"/>
    <n v="1197"/>
    <n v="418.95"/>
    <n v="778.05"/>
    <n v="136"/>
    <n v="408"/>
    <n v="60"/>
    <n v="310.04999999999995"/>
    <n v="0.39849624060150374"/>
    <x v="2"/>
    <d v="2025-09-28T00:00:00"/>
    <n v="1"/>
    <x v="1"/>
    <m/>
    <n v="0"/>
  </r>
  <r>
    <s v="ORD-103955"/>
    <x v="631"/>
    <x v="1"/>
    <d v="2025-09-01T00:00:00"/>
    <n v="9"/>
    <s v="CUST-00474"/>
    <x v="1"/>
    <x v="16"/>
    <s v="UP"/>
    <x v="0"/>
    <s v="Noida"/>
    <x v="3"/>
    <s v="P102"/>
    <s v="Sunscreen SPF 50"/>
    <x v="3"/>
    <n v="1"/>
    <n v="449"/>
    <n v="0.1"/>
    <n v="449"/>
    <n v="44.900000000000006"/>
    <n v="404.1"/>
    <n v="144"/>
    <n v="144"/>
    <n v="60"/>
    <n v="200.10000000000002"/>
    <n v="0.4951744617668894"/>
    <x v="1"/>
    <d v="2025-09-30T00:00:00"/>
    <n v="3"/>
    <x v="0"/>
    <m/>
    <n v="0"/>
  </r>
  <r>
    <s v="ORD-103956"/>
    <x v="631"/>
    <x v="1"/>
    <d v="2025-09-01T00:00:00"/>
    <n v="9"/>
    <s v="CUST-00197"/>
    <x v="1"/>
    <x v="16"/>
    <s v="UP"/>
    <x v="0"/>
    <s v="Kanpur"/>
    <x v="0"/>
    <s v="P202"/>
    <s v="Argan Shampoo"/>
    <x v="6"/>
    <n v="2"/>
    <n v="449"/>
    <n v="0.05"/>
    <n v="898"/>
    <n v="44.900000000000006"/>
    <n v="853.1"/>
    <n v="148"/>
    <n v="296"/>
    <n v="60"/>
    <n v="497.1"/>
    <n v="0.58269839409213453"/>
    <x v="3"/>
    <d v="2025-09-28T00:00:00"/>
    <n v="1"/>
    <x v="1"/>
    <n v="4"/>
    <n v="0"/>
  </r>
  <r>
    <s v="ORD-103957"/>
    <x v="631"/>
    <x v="1"/>
    <d v="2025-09-01T00:00:00"/>
    <n v="9"/>
    <s v="CUST-01104"/>
    <x v="1"/>
    <x v="1"/>
    <s v="GJ"/>
    <x v="1"/>
    <s v="Ahmedabad"/>
    <x v="2"/>
    <s v="P701"/>
    <s v="Ashwagandha Capsules"/>
    <x v="0"/>
    <n v="1"/>
    <n v="499"/>
    <n v="0.05"/>
    <n v="499"/>
    <n v="24.950000000000003"/>
    <n v="474.05"/>
    <n v="150"/>
    <n v="150"/>
    <n v="120"/>
    <n v="204.05"/>
    <n v="0.43043982702246597"/>
    <x v="0"/>
    <d v="2025-10-03T00:00:00"/>
    <n v="6"/>
    <x v="2"/>
    <n v="3"/>
    <n v="1"/>
  </r>
  <r>
    <s v="ORD-103958"/>
    <x v="631"/>
    <x v="1"/>
    <d v="2025-09-01T00:00:00"/>
    <n v="9"/>
    <s v="CUST-00965"/>
    <x v="1"/>
    <x v="2"/>
    <s v="MH"/>
    <x v="1"/>
    <s v="Mumbai"/>
    <x v="0"/>
    <s v="P704"/>
    <s v="Multivitamin Gummies"/>
    <x v="0"/>
    <n v="1"/>
    <n v="699"/>
    <n v="0.3"/>
    <n v="699"/>
    <n v="209.7"/>
    <n v="489.3"/>
    <n v="238"/>
    <n v="238"/>
    <n v="60"/>
    <n v="191.3"/>
    <n v="0.39096668710402616"/>
    <x v="0"/>
    <d v="2025-09-29T00:00:00"/>
    <n v="2"/>
    <x v="1"/>
    <n v="5"/>
    <n v="0"/>
  </r>
  <r>
    <s v="ORD-103959"/>
    <x v="631"/>
    <x v="1"/>
    <d v="2025-09-01T00:00:00"/>
    <n v="9"/>
    <s v="CUST-01542"/>
    <x v="0"/>
    <x v="2"/>
    <s v="MH"/>
    <x v="1"/>
    <s v="Pune"/>
    <x v="3"/>
    <s v="P105"/>
    <s v="Retinol Night Cream"/>
    <x v="3"/>
    <n v="3"/>
    <n v="799"/>
    <n v="0.1"/>
    <n v="2397"/>
    <n v="239.70000000000002"/>
    <n v="2157.3000000000002"/>
    <n v="216"/>
    <n v="648"/>
    <n v="60"/>
    <n v="1449.3000000000002"/>
    <n v="0.67181198720623003"/>
    <x v="0"/>
    <d v="2025-10-01T00:00:00"/>
    <n v="4"/>
    <x v="0"/>
    <n v="3"/>
    <n v="0"/>
  </r>
  <r>
    <s v="ORD-103960"/>
    <x v="631"/>
    <x v="1"/>
    <d v="2025-09-01T00:00:00"/>
    <n v="9"/>
    <s v="CUST-00008"/>
    <x v="1"/>
    <x v="21"/>
    <s v="TG"/>
    <x v="3"/>
    <s v="Hyderabad"/>
    <x v="3"/>
    <s v="P102"/>
    <s v="Sunscreen SPF 50"/>
    <x v="3"/>
    <n v="1"/>
    <n v="449"/>
    <n v="0.05"/>
    <n v="449"/>
    <n v="22.450000000000003"/>
    <n v="426.55"/>
    <n v="144"/>
    <n v="144"/>
    <n v="60"/>
    <n v="222.55"/>
    <n v="0.52174422693705313"/>
    <x v="0"/>
    <d v="2025-09-28T00:00:00"/>
    <n v="1"/>
    <x v="1"/>
    <n v="4"/>
    <n v="0"/>
  </r>
  <r>
    <s v="ORD-103961"/>
    <x v="631"/>
    <x v="1"/>
    <d v="2025-09-01T00:00:00"/>
    <n v="9"/>
    <s v="CUST-00103"/>
    <x v="1"/>
    <x v="21"/>
    <s v="TG"/>
    <x v="3"/>
    <s v="Hyderabad"/>
    <x v="0"/>
    <s v="P704"/>
    <s v="Multivitamin Gummies"/>
    <x v="0"/>
    <n v="1"/>
    <n v="699"/>
    <n v="0.2"/>
    <n v="699"/>
    <n v="139.80000000000001"/>
    <n v="559.20000000000005"/>
    <n v="238"/>
    <n v="238"/>
    <n v="60"/>
    <n v="261.20000000000005"/>
    <n v="0.46709585121602293"/>
    <x v="1"/>
    <d v="2025-09-29T00:00:00"/>
    <n v="2"/>
    <x v="1"/>
    <n v="4"/>
    <n v="0"/>
  </r>
  <r>
    <s v="ORD-103962"/>
    <x v="631"/>
    <x v="1"/>
    <d v="2025-09-01T00:00:00"/>
    <n v="9"/>
    <s v="CUST-00041"/>
    <x v="1"/>
    <x v="17"/>
    <s v="TN"/>
    <x v="3"/>
    <s v="Chennai"/>
    <x v="3"/>
    <s v="P203"/>
    <s v="Keratin Hair Mask"/>
    <x v="6"/>
    <n v="1"/>
    <n v="549"/>
    <n v="0.1"/>
    <n v="549"/>
    <n v="54.900000000000006"/>
    <n v="494.1"/>
    <n v="170"/>
    <n v="170"/>
    <n v="60"/>
    <n v="264.10000000000002"/>
    <n v="0.53450718478040882"/>
    <x v="3"/>
    <d v="2025-09-30T00:00:00"/>
    <n v="3"/>
    <x v="0"/>
    <m/>
    <n v="0"/>
  </r>
  <r>
    <s v="ORD-103963"/>
    <x v="631"/>
    <x v="1"/>
    <d v="2025-09-01T00:00:00"/>
    <n v="9"/>
    <s v="CUST-01015"/>
    <x v="0"/>
    <x v="17"/>
    <s v="TN"/>
    <x v="3"/>
    <s v="Coimbatore"/>
    <x v="0"/>
    <s v="P104"/>
    <s v="Hydrating Face Wash"/>
    <x v="3"/>
    <n v="2"/>
    <n v="299"/>
    <n v="0"/>
    <n v="598"/>
    <n v="0"/>
    <n v="598"/>
    <n v="90"/>
    <n v="180"/>
    <n v="60"/>
    <n v="358"/>
    <n v="0.59866220735785958"/>
    <x v="4"/>
    <d v="2025-09-30T00:00:00"/>
    <n v="3"/>
    <x v="0"/>
    <n v="4"/>
    <n v="0"/>
  </r>
  <r>
    <s v="ORD-103964"/>
    <x v="631"/>
    <x v="1"/>
    <d v="2025-09-01T00:00:00"/>
    <n v="9"/>
    <s v="CUST-00336"/>
    <x v="1"/>
    <x v="17"/>
    <s v="TN"/>
    <x v="3"/>
    <s v="Coimbatore"/>
    <x v="0"/>
    <s v="P502"/>
    <s v="Ceramic Dinner Set"/>
    <x v="4"/>
    <n v="1"/>
    <n v="2499"/>
    <n v="0.3"/>
    <n v="2499"/>
    <n v="749.69999999999993"/>
    <n v="1749.3000000000002"/>
    <n v="1250"/>
    <n v="1250"/>
    <n v="60"/>
    <n v="439.30000000000018"/>
    <n v="0.25112902303778661"/>
    <x v="2"/>
    <d v="2025-09-29T00:00:00"/>
    <n v="2"/>
    <x v="1"/>
    <n v="5"/>
    <n v="0"/>
  </r>
  <r>
    <s v="ORD-103965"/>
    <x v="632"/>
    <x v="1"/>
    <d v="2025-09-01T00:00:00"/>
    <n v="9"/>
    <s v="CUST-00001"/>
    <x v="1"/>
    <x v="6"/>
    <s v="DL"/>
    <x v="0"/>
    <s v="New Delhi"/>
    <x v="0"/>
    <s v="P404"/>
    <s v="Flip Flops"/>
    <x v="5"/>
    <n v="1"/>
    <n v="399"/>
    <n v="0.1"/>
    <n v="399"/>
    <n v="39.900000000000006"/>
    <n v="359.1"/>
    <n v="152"/>
    <n v="152"/>
    <n v="60"/>
    <n v="147.10000000000002"/>
    <n v="0.40963519910888335"/>
    <x v="3"/>
    <d v="2025-09-30T00:00:00"/>
    <n v="2"/>
    <x v="1"/>
    <n v="5"/>
    <n v="0"/>
  </r>
  <r>
    <s v="ORD-103966"/>
    <x v="632"/>
    <x v="1"/>
    <d v="2025-09-01T00:00:00"/>
    <n v="9"/>
    <s v="CUST-02699"/>
    <x v="1"/>
    <x v="16"/>
    <s v="UP"/>
    <x v="0"/>
    <s v="Noida"/>
    <x v="1"/>
    <s v="P403"/>
    <s v="Kolhapuri Sandals"/>
    <x v="5"/>
    <n v="4"/>
    <n v="999"/>
    <n v="0.15"/>
    <n v="3996"/>
    <n v="599.4"/>
    <n v="3396.6"/>
    <n v="400"/>
    <n v="1600"/>
    <n v="60"/>
    <n v="1736.6"/>
    <n v="0.51127598186421719"/>
    <x v="1"/>
    <d v="2025-10-02T00:00:00"/>
    <n v="4"/>
    <x v="0"/>
    <n v="5"/>
    <n v="0"/>
  </r>
  <r>
    <s v="ORD-103967"/>
    <x v="632"/>
    <x v="1"/>
    <d v="2025-09-01T00:00:00"/>
    <n v="9"/>
    <s v="CUST-00679"/>
    <x v="0"/>
    <x v="18"/>
    <s v="WB"/>
    <x v="2"/>
    <s v="Kolkata"/>
    <x v="3"/>
    <s v="P701"/>
    <s v="Ashwagandha Capsules"/>
    <x v="0"/>
    <n v="1"/>
    <n v="499"/>
    <n v="0"/>
    <n v="499"/>
    <n v="0"/>
    <n v="499"/>
    <n v="150"/>
    <n v="150"/>
    <n v="60"/>
    <n v="289"/>
    <n v="0.57915831663326656"/>
    <x v="0"/>
    <d v="2025-10-03T00:00:00"/>
    <n v="5"/>
    <x v="2"/>
    <n v="4"/>
    <n v="0"/>
  </r>
  <r>
    <s v="ORD-103968"/>
    <x v="632"/>
    <x v="1"/>
    <d v="2025-09-01T00:00:00"/>
    <n v="9"/>
    <s v="CUST-00680"/>
    <x v="1"/>
    <x v="2"/>
    <s v="MH"/>
    <x v="1"/>
    <s v="Mumbai"/>
    <x v="2"/>
    <s v="P103"/>
    <s v="Niacinamide Toner"/>
    <x v="3"/>
    <n v="1"/>
    <n v="399"/>
    <n v="0.25"/>
    <n v="399"/>
    <n v="99.75"/>
    <n v="299.25"/>
    <n v="112"/>
    <n v="112"/>
    <n v="60"/>
    <n v="127.25"/>
    <n v="0.42522974101921468"/>
    <x v="0"/>
    <d v="2025-10-02T00:00:00"/>
    <n v="4"/>
    <x v="0"/>
    <n v="4"/>
    <n v="0"/>
  </r>
  <r>
    <s v="ORD-103969"/>
    <x v="632"/>
    <x v="1"/>
    <d v="2025-09-01T00:00:00"/>
    <n v="9"/>
    <s v="CUST-02230"/>
    <x v="0"/>
    <x v="14"/>
    <s v="KL"/>
    <x v="3"/>
    <s v="Thiruvananthapuram"/>
    <x v="2"/>
    <s v="P601"/>
    <s v="Wireless Earbuds"/>
    <x v="2"/>
    <n v="2"/>
    <n v="1999"/>
    <n v="0.35"/>
    <n v="3998"/>
    <n v="1399.3"/>
    <n v="2598.6999999999998"/>
    <n v="1239"/>
    <n v="2478"/>
    <n v="60"/>
    <n v="60.699999999999818"/>
    <n v="2.3357832762535044E-2"/>
    <x v="3"/>
    <d v="2025-09-30T00:00:00"/>
    <n v="2"/>
    <x v="1"/>
    <n v="3"/>
    <n v="0"/>
  </r>
  <r>
    <s v="ORD-103970"/>
    <x v="633"/>
    <x v="1"/>
    <d v="2025-09-01T00:00:00"/>
    <n v="9"/>
    <s v="CUST-01960"/>
    <x v="0"/>
    <x v="16"/>
    <s v="UP"/>
    <x v="0"/>
    <s v="Noida"/>
    <x v="3"/>
    <s v="P703"/>
    <s v="Green Tea (100 bags)"/>
    <x v="0"/>
    <n v="2"/>
    <n v="399"/>
    <n v="0.35"/>
    <n v="798"/>
    <n v="279.29999999999995"/>
    <n v="518.70000000000005"/>
    <n v="128"/>
    <n v="256"/>
    <n v="60"/>
    <n v="202.70000000000005"/>
    <n v="0.39078465394254874"/>
    <x v="1"/>
    <d v="2025-10-03T00:00:00"/>
    <n v="4"/>
    <x v="0"/>
    <n v="3"/>
    <n v="0"/>
  </r>
  <r>
    <s v="ORD-103971"/>
    <x v="633"/>
    <x v="1"/>
    <d v="2025-09-01T00:00:00"/>
    <n v="9"/>
    <s v="CUST-00280"/>
    <x v="1"/>
    <x v="16"/>
    <s v="UP"/>
    <x v="0"/>
    <s v="Kanpur"/>
    <x v="0"/>
    <s v="P301"/>
    <s v="Cotton Oversized T-Shirt"/>
    <x v="1"/>
    <n v="1"/>
    <n v="799"/>
    <n v="0"/>
    <n v="799"/>
    <n v="0"/>
    <n v="799"/>
    <n v="320"/>
    <n v="320"/>
    <n v="60"/>
    <n v="419"/>
    <n v="0.52440550688360454"/>
    <x v="3"/>
    <d v="2025-10-01T00:00:00"/>
    <n v="2"/>
    <x v="1"/>
    <n v="4"/>
    <n v="0"/>
  </r>
  <r>
    <s v="ORD-103972"/>
    <x v="633"/>
    <x v="1"/>
    <d v="2025-09-01T00:00:00"/>
    <n v="9"/>
    <s v="CUST-01094"/>
    <x v="1"/>
    <x v="13"/>
    <s v="MP"/>
    <x v="1"/>
    <s v="Indore"/>
    <x v="4"/>
    <s v="P704"/>
    <s v="Multivitamin Gummies"/>
    <x v="0"/>
    <n v="1"/>
    <n v="699"/>
    <n v="0.15"/>
    <n v="699"/>
    <n v="104.85"/>
    <n v="594.15"/>
    <n v="238"/>
    <n v="238"/>
    <n v="60"/>
    <n v="296.14999999999998"/>
    <n v="0.49844315408566858"/>
    <x v="0"/>
    <d v="2025-10-04T00:00:00"/>
    <n v="5"/>
    <x v="2"/>
    <n v="4"/>
    <n v="0"/>
  </r>
  <r>
    <s v="ORD-103973"/>
    <x v="633"/>
    <x v="1"/>
    <d v="2025-09-01T00:00:00"/>
    <n v="9"/>
    <s v="CUST-01966"/>
    <x v="0"/>
    <x v="2"/>
    <s v="MH"/>
    <x v="1"/>
    <s v="Mumbai"/>
    <x v="1"/>
    <s v="P302"/>
    <s v="Linen Kurta"/>
    <x v="1"/>
    <n v="2"/>
    <n v="1499"/>
    <n v="0.3"/>
    <n v="2998"/>
    <n v="899.4"/>
    <n v="2098.6"/>
    <n v="630"/>
    <n v="1260"/>
    <n v="60"/>
    <n v="778.59999999999991"/>
    <n v="0.3710092442580768"/>
    <x v="0"/>
    <d v="2025-10-01T00:00:00"/>
    <n v="2"/>
    <x v="1"/>
    <n v="4"/>
    <n v="0"/>
  </r>
  <r>
    <s v="ORD-103974"/>
    <x v="634"/>
    <x v="1"/>
    <d v="2025-09-01T00:00:00"/>
    <n v="9"/>
    <s v="CUST-01811"/>
    <x v="1"/>
    <x v="19"/>
    <s v="PB"/>
    <x v="0"/>
    <s v="Amritsar"/>
    <x v="0"/>
    <s v="P204"/>
    <s v="Anti-Dandruff Conditioner"/>
    <x v="6"/>
    <n v="2"/>
    <n v="399"/>
    <n v="0.4"/>
    <n v="798"/>
    <n v="319.20000000000005"/>
    <n v="478.79999999999995"/>
    <n v="136"/>
    <n v="272"/>
    <n v="60"/>
    <n v="146.79999999999995"/>
    <n v="0.30659983291562232"/>
    <x v="4"/>
    <d v="2025-10-02T00:00:00"/>
    <n v="2"/>
    <x v="1"/>
    <n v="3"/>
    <n v="0"/>
  </r>
  <r>
    <s v="ORD-103975"/>
    <x v="634"/>
    <x v="1"/>
    <d v="2025-09-01T00:00:00"/>
    <n v="9"/>
    <s v="CUST-00779"/>
    <x v="1"/>
    <x v="9"/>
    <s v="UK"/>
    <x v="0"/>
    <s v="Dehradun"/>
    <x v="0"/>
    <s v="P403"/>
    <s v="Kolhapuri Sandals"/>
    <x v="5"/>
    <n v="1"/>
    <n v="999"/>
    <n v="0.05"/>
    <n v="999"/>
    <n v="49.95"/>
    <n v="949.05"/>
    <n v="400"/>
    <n v="400"/>
    <n v="60"/>
    <n v="489.04999999999995"/>
    <n v="0.5153047784626732"/>
    <x v="1"/>
    <d v="2025-10-04T00:00:00"/>
    <n v="4"/>
    <x v="0"/>
    <n v="3"/>
    <n v="0"/>
  </r>
  <r>
    <s v="ORD-103976"/>
    <x v="634"/>
    <x v="1"/>
    <d v="2025-09-01T00:00:00"/>
    <n v="9"/>
    <s v="CUST-00072"/>
    <x v="0"/>
    <x v="16"/>
    <s v="UP"/>
    <x v="0"/>
    <s v="Noida"/>
    <x v="3"/>
    <s v="P204"/>
    <s v="Anti-Dandruff Conditioner"/>
    <x v="6"/>
    <n v="1"/>
    <n v="399"/>
    <n v="0.3"/>
    <n v="399"/>
    <n v="119.69999999999999"/>
    <n v="279.3"/>
    <n v="136"/>
    <n v="136"/>
    <n v="60"/>
    <n v="83.300000000000011"/>
    <n v="0.29824561403508776"/>
    <x v="1"/>
    <d v="2025-10-04T00:00:00"/>
    <n v="4"/>
    <x v="0"/>
    <n v="3"/>
    <n v="0"/>
  </r>
  <r>
    <s v="ORD-103977"/>
    <x v="634"/>
    <x v="1"/>
    <d v="2025-09-01T00:00:00"/>
    <n v="9"/>
    <s v="CUST-00920"/>
    <x v="1"/>
    <x v="12"/>
    <s v="BR"/>
    <x v="2"/>
    <s v="Patna"/>
    <x v="4"/>
    <s v="P602"/>
    <s v="Fast Charger 33W"/>
    <x v="2"/>
    <n v="1"/>
    <n v="899"/>
    <n v="0.05"/>
    <n v="899"/>
    <n v="44.95"/>
    <n v="854.05"/>
    <n v="494"/>
    <n v="494"/>
    <n v="60"/>
    <n v="300.04999999999995"/>
    <n v="0.35132603477548152"/>
    <x v="0"/>
    <d v="2025-10-05T00:00:00"/>
    <n v="5"/>
    <x v="2"/>
    <n v="3"/>
    <n v="0"/>
  </r>
  <r>
    <s v="ORD-103978"/>
    <x v="634"/>
    <x v="1"/>
    <d v="2025-09-01T00:00:00"/>
    <n v="9"/>
    <s v="CUST-01875"/>
    <x v="1"/>
    <x v="22"/>
    <s v="AS"/>
    <x v="2"/>
    <s v="Guwahati"/>
    <x v="0"/>
    <s v="P105"/>
    <s v="Retinol Night Cream"/>
    <x v="3"/>
    <n v="1"/>
    <n v="799"/>
    <n v="0.1"/>
    <n v="799"/>
    <n v="79.900000000000006"/>
    <n v="719.1"/>
    <n v="216"/>
    <n v="216"/>
    <n v="60"/>
    <n v="443.1"/>
    <n v="0.61618690029203171"/>
    <x v="0"/>
    <d v="2025-10-08T00:00:00"/>
    <n v="8"/>
    <x v="2"/>
    <m/>
    <n v="0"/>
  </r>
  <r>
    <s v="ORD-103979"/>
    <x v="634"/>
    <x v="1"/>
    <d v="2025-09-01T00:00:00"/>
    <n v="9"/>
    <s v="CUST-00145"/>
    <x v="1"/>
    <x v="1"/>
    <s v="GJ"/>
    <x v="1"/>
    <s v="Ahmedabad"/>
    <x v="4"/>
    <s v="P402"/>
    <s v="Casual Sneakers"/>
    <x v="5"/>
    <n v="1"/>
    <n v="2199"/>
    <n v="0.25"/>
    <n v="2199"/>
    <n v="549.75"/>
    <n v="1649.25"/>
    <n v="1034"/>
    <n v="1034"/>
    <n v="60"/>
    <n v="555.25"/>
    <n v="0.33666818250720026"/>
    <x v="0"/>
    <d v="2025-10-03T00:00:00"/>
    <n v="3"/>
    <x v="0"/>
    <n v="4"/>
    <n v="0"/>
  </r>
  <r>
    <s v="ORD-103980"/>
    <x v="634"/>
    <x v="1"/>
    <d v="2025-09-01T00:00:00"/>
    <n v="9"/>
    <s v="CUST-01038"/>
    <x v="1"/>
    <x v="1"/>
    <s v="GJ"/>
    <x v="1"/>
    <s v="Surat"/>
    <x v="2"/>
    <s v="P603"/>
    <s v="Smartwatch Strap"/>
    <x v="2"/>
    <n v="1"/>
    <n v="499"/>
    <n v="0.1"/>
    <n v="499"/>
    <n v="49.900000000000006"/>
    <n v="449.1"/>
    <n v="200"/>
    <n v="200"/>
    <n v="60"/>
    <n v="189.10000000000002"/>
    <n v="0.42106435092407041"/>
    <x v="3"/>
    <d v="2025-10-04T00:00:00"/>
    <n v="4"/>
    <x v="0"/>
    <n v="4"/>
    <n v="0"/>
  </r>
  <r>
    <s v="ORD-103981"/>
    <x v="634"/>
    <x v="1"/>
    <d v="2025-09-01T00:00:00"/>
    <n v="9"/>
    <s v="CUST-00425"/>
    <x v="1"/>
    <x v="1"/>
    <s v="GJ"/>
    <x v="1"/>
    <s v="Surat"/>
    <x v="4"/>
    <s v="P704"/>
    <s v="Multivitamin Gummies"/>
    <x v="0"/>
    <n v="1"/>
    <n v="699"/>
    <n v="0.25"/>
    <n v="699"/>
    <n v="174.75"/>
    <n v="524.25"/>
    <n v="238"/>
    <n v="238"/>
    <n v="60"/>
    <n v="226.25"/>
    <n v="0.43156890796375774"/>
    <x v="0"/>
    <d v="2025-10-04T00:00:00"/>
    <n v="4"/>
    <x v="0"/>
    <n v="4"/>
    <n v="0"/>
  </r>
  <r>
    <s v="ORD-103982"/>
    <x v="634"/>
    <x v="1"/>
    <d v="2025-09-01T00:00:00"/>
    <n v="9"/>
    <s v="CUST-01008"/>
    <x v="1"/>
    <x v="18"/>
    <s v="WB"/>
    <x v="2"/>
    <s v="Kolkata"/>
    <x v="1"/>
    <s v="P401"/>
    <s v="Running Shoes"/>
    <x v="5"/>
    <n v="1"/>
    <n v="2999"/>
    <n v="0.25"/>
    <n v="2999"/>
    <n v="749.75"/>
    <n v="2249.25"/>
    <n v="1440"/>
    <n v="1440"/>
    <n v="60"/>
    <n v="749.25"/>
    <n v="0.33311103701233746"/>
    <x v="3"/>
    <d v="2025-10-03T00:00:00"/>
    <n v="3"/>
    <x v="0"/>
    <n v="4"/>
    <n v="0"/>
  </r>
  <r>
    <s v="ORD-103983"/>
    <x v="634"/>
    <x v="1"/>
    <d v="2025-09-01T00:00:00"/>
    <n v="9"/>
    <s v="CUST-02083"/>
    <x v="0"/>
    <x v="2"/>
    <s v="MH"/>
    <x v="1"/>
    <s v="Pune"/>
    <x v="4"/>
    <s v="P103"/>
    <s v="Niacinamide Toner"/>
    <x v="3"/>
    <n v="2"/>
    <n v="399"/>
    <n v="0.25"/>
    <n v="798"/>
    <n v="199.5"/>
    <n v="598.5"/>
    <n v="112"/>
    <n v="224"/>
    <n v="60"/>
    <n v="314.5"/>
    <n v="0.52548036758563077"/>
    <x v="0"/>
    <d v="2025-10-02T00:00:00"/>
    <n v="2"/>
    <x v="1"/>
    <n v="5"/>
    <n v="0"/>
  </r>
  <r>
    <s v="ORD-103984"/>
    <x v="634"/>
    <x v="1"/>
    <d v="2025-09-01T00:00:00"/>
    <n v="9"/>
    <s v="CUST-02523"/>
    <x v="1"/>
    <x v="11"/>
    <s v="KA"/>
    <x v="3"/>
    <s v="Mysuru"/>
    <x v="0"/>
    <s v="P103"/>
    <s v="Niacinamide Toner"/>
    <x v="3"/>
    <n v="1"/>
    <n v="399"/>
    <n v="0.2"/>
    <n v="399"/>
    <n v="79.800000000000011"/>
    <n v="319.2"/>
    <n v="112"/>
    <n v="112"/>
    <n v="60"/>
    <n v="147.19999999999999"/>
    <n v="0.46115288220551376"/>
    <x v="4"/>
    <d v="2025-10-03T00:00:00"/>
    <n v="3"/>
    <x v="0"/>
    <m/>
    <n v="0"/>
  </r>
  <r>
    <s v="ORD-103985"/>
    <x v="634"/>
    <x v="1"/>
    <d v="2025-09-01T00:00:00"/>
    <n v="9"/>
    <s v="CUST-00115"/>
    <x v="1"/>
    <x v="11"/>
    <s v="KA"/>
    <x v="3"/>
    <s v="Bengaluru"/>
    <x v="2"/>
    <s v="P204"/>
    <s v="Anti-Dandruff Conditioner"/>
    <x v="6"/>
    <n v="1"/>
    <n v="399"/>
    <n v="0.4"/>
    <n v="399"/>
    <n v="159.60000000000002"/>
    <n v="239.39999999999998"/>
    <n v="136"/>
    <n v="136"/>
    <n v="60"/>
    <n v="43.399999999999977"/>
    <n v="0.18128654970760227"/>
    <x v="2"/>
    <d v="2025-10-03T00:00:00"/>
    <n v="3"/>
    <x v="0"/>
    <n v="4"/>
    <n v="0"/>
  </r>
  <r>
    <s v="ORD-103986"/>
    <x v="634"/>
    <x v="1"/>
    <d v="2025-09-01T00:00:00"/>
    <n v="9"/>
    <s v="CUST-02008"/>
    <x v="0"/>
    <x v="14"/>
    <s v="KL"/>
    <x v="3"/>
    <s v="Thiruvananthapuram"/>
    <x v="0"/>
    <s v="P402"/>
    <s v="Casual Sneakers"/>
    <x v="5"/>
    <n v="1"/>
    <n v="2199"/>
    <n v="0.2"/>
    <n v="2199"/>
    <n v="439.8"/>
    <n v="1759.2"/>
    <n v="1034"/>
    <n v="1034"/>
    <n v="60"/>
    <n v="665.2"/>
    <n v="0.37812642110050027"/>
    <x v="3"/>
    <d v="2025-10-04T00:00:00"/>
    <n v="4"/>
    <x v="0"/>
    <m/>
    <n v="0"/>
  </r>
  <r>
    <s v="ORD-103987"/>
    <x v="634"/>
    <x v="1"/>
    <d v="2025-09-01T00:00:00"/>
    <n v="9"/>
    <s v="CUST-02543"/>
    <x v="0"/>
    <x v="17"/>
    <s v="TN"/>
    <x v="3"/>
    <s v="Chennai"/>
    <x v="0"/>
    <s v="P703"/>
    <s v="Green Tea (100 bags)"/>
    <x v="0"/>
    <n v="1"/>
    <n v="399"/>
    <n v="0.45"/>
    <n v="399"/>
    <n v="179.55"/>
    <n v="219.45"/>
    <n v="128"/>
    <n v="128"/>
    <n v="60"/>
    <n v="31.449999999999989"/>
    <n v="0.14331282752335381"/>
    <x v="0"/>
    <d v="2025-10-01T00:00:00"/>
    <n v="1"/>
    <x v="1"/>
    <n v="4"/>
    <n v="0"/>
  </r>
  <r>
    <s v="ORD-103988"/>
    <x v="634"/>
    <x v="1"/>
    <d v="2025-09-01T00:00:00"/>
    <n v="9"/>
    <s v="CUST-00850"/>
    <x v="1"/>
    <x v="17"/>
    <s v="TN"/>
    <x v="3"/>
    <s v="Chennai"/>
    <x v="4"/>
    <s v="P403"/>
    <s v="Kolhapuri Sandals"/>
    <x v="5"/>
    <n v="2"/>
    <n v="999"/>
    <n v="0.05"/>
    <n v="1998"/>
    <n v="99.9"/>
    <n v="1898.1"/>
    <n v="400"/>
    <n v="800"/>
    <n v="120"/>
    <n v="978.09999999999991"/>
    <n v="0.5153047784626732"/>
    <x v="0"/>
    <d v="2025-10-04T00:00:00"/>
    <n v="4"/>
    <x v="0"/>
    <m/>
    <n v="1"/>
  </r>
  <r>
    <s v="ORD-103989"/>
    <x v="635"/>
    <x v="1"/>
    <d v="2025-10-01T00:00:00"/>
    <n v="10"/>
    <s v="CUST-00727"/>
    <x v="1"/>
    <x v="16"/>
    <s v="UP"/>
    <x v="0"/>
    <s v="Lucknow"/>
    <x v="3"/>
    <s v="P104"/>
    <s v="Hydrating Face Wash"/>
    <x v="3"/>
    <n v="2"/>
    <n v="299"/>
    <n v="0.1"/>
    <n v="598"/>
    <n v="59.800000000000004"/>
    <n v="538.20000000000005"/>
    <n v="90"/>
    <n v="180"/>
    <n v="60"/>
    <n v="298.20000000000005"/>
    <n v="0.55406911928651059"/>
    <x v="0"/>
    <d v="2025-10-04T00:00:00"/>
    <n v="3"/>
    <x v="0"/>
    <m/>
    <n v="0"/>
  </r>
  <r>
    <s v="ORD-103990"/>
    <x v="635"/>
    <x v="1"/>
    <d v="2025-10-01T00:00:00"/>
    <n v="10"/>
    <s v="CUST-02473"/>
    <x v="1"/>
    <x v="16"/>
    <s v="UP"/>
    <x v="0"/>
    <s v="Kanpur"/>
    <x v="4"/>
    <s v="P604"/>
    <s v="Power Bank 20000mAh"/>
    <x v="2"/>
    <n v="3"/>
    <n v="1799"/>
    <n v="0.6"/>
    <n v="5397"/>
    <n v="3238.2"/>
    <n v="2158.8000000000002"/>
    <n v="1079"/>
    <n v="3237"/>
    <n v="120"/>
    <n v="-1198.1999999999998"/>
    <n v="-0.55503057254030008"/>
    <x v="3"/>
    <d v="2025-10-06T00:00:00"/>
    <n v="5"/>
    <x v="2"/>
    <m/>
    <n v="1"/>
  </r>
  <r>
    <s v="ORD-103991"/>
    <x v="635"/>
    <x v="1"/>
    <d v="2025-10-01T00:00:00"/>
    <n v="10"/>
    <s v="CUST-00611"/>
    <x v="0"/>
    <x v="16"/>
    <s v="UP"/>
    <x v="0"/>
    <s v="Kanpur"/>
    <x v="4"/>
    <s v="P603"/>
    <s v="Smartwatch Strap"/>
    <x v="2"/>
    <n v="2"/>
    <n v="499"/>
    <n v="0.25"/>
    <n v="998"/>
    <n v="249.5"/>
    <n v="748.5"/>
    <n v="200"/>
    <n v="400"/>
    <n v="60"/>
    <n v="288.5"/>
    <n v="0.38543754175016698"/>
    <x v="0"/>
    <d v="2025-10-04T00:00:00"/>
    <n v="3"/>
    <x v="0"/>
    <m/>
    <n v="0"/>
  </r>
  <r>
    <s v="ORD-103992"/>
    <x v="635"/>
    <x v="1"/>
    <d v="2025-10-01T00:00:00"/>
    <n v="10"/>
    <s v="CUST-00083"/>
    <x v="1"/>
    <x v="1"/>
    <s v="GJ"/>
    <x v="1"/>
    <s v="Ahmedabad"/>
    <x v="3"/>
    <s v="P204"/>
    <s v="Anti-Dandruff Conditioner"/>
    <x v="6"/>
    <n v="1"/>
    <n v="399"/>
    <n v="0.4"/>
    <n v="399"/>
    <n v="159.60000000000002"/>
    <n v="239.39999999999998"/>
    <n v="136"/>
    <n v="136"/>
    <n v="60"/>
    <n v="43.399999999999977"/>
    <n v="0.18128654970760227"/>
    <x v="0"/>
    <d v="2025-10-06T00:00:00"/>
    <n v="5"/>
    <x v="2"/>
    <m/>
    <n v="0"/>
  </r>
  <r>
    <s v="ORD-103993"/>
    <x v="635"/>
    <x v="1"/>
    <d v="2025-10-01T00:00:00"/>
    <n v="10"/>
    <s v="CUST-00285"/>
    <x v="1"/>
    <x v="13"/>
    <s v="MP"/>
    <x v="1"/>
    <s v="Indore"/>
    <x v="4"/>
    <s v="P105"/>
    <s v="Retinol Night Cream"/>
    <x v="3"/>
    <n v="2"/>
    <n v="799"/>
    <n v="0.1"/>
    <n v="1598"/>
    <n v="159.80000000000001"/>
    <n v="1438.2"/>
    <n v="216"/>
    <n v="432"/>
    <n v="60"/>
    <n v="946.2"/>
    <n v="0.6579057154776804"/>
    <x v="1"/>
    <d v="2025-10-08T00:00:00"/>
    <n v="7"/>
    <x v="2"/>
    <n v="3"/>
    <n v="0"/>
  </r>
  <r>
    <s v="ORD-103994"/>
    <x v="635"/>
    <x v="1"/>
    <d v="2025-10-01T00:00:00"/>
    <n v="10"/>
    <s v="CUST-00496"/>
    <x v="1"/>
    <x v="2"/>
    <s v="MH"/>
    <x v="1"/>
    <s v="Pune"/>
    <x v="0"/>
    <s v="P404"/>
    <s v="Flip Flops"/>
    <x v="5"/>
    <n v="2"/>
    <n v="399"/>
    <n v="0.3"/>
    <n v="798"/>
    <n v="239.39999999999998"/>
    <n v="558.6"/>
    <n v="152"/>
    <n v="304"/>
    <n v="60"/>
    <n v="194.60000000000002"/>
    <n v="0.34837092731829578"/>
    <x v="4"/>
    <d v="2025-10-02T00:00:00"/>
    <n v="1"/>
    <x v="1"/>
    <m/>
    <n v="0"/>
  </r>
  <r>
    <s v="ORD-103995"/>
    <x v="635"/>
    <x v="1"/>
    <d v="2025-10-01T00:00:00"/>
    <n v="10"/>
    <s v="CUST-00907"/>
    <x v="1"/>
    <x v="11"/>
    <s v="KA"/>
    <x v="3"/>
    <s v="Mysuru"/>
    <x v="3"/>
    <s v="P204"/>
    <s v="Anti-Dandruff Conditioner"/>
    <x v="6"/>
    <n v="3"/>
    <n v="399"/>
    <n v="0.4"/>
    <n v="1197"/>
    <n v="478.8"/>
    <n v="718.2"/>
    <n v="136"/>
    <n v="408"/>
    <n v="60"/>
    <n v="250.20000000000005"/>
    <n v="0.34837092731829578"/>
    <x v="1"/>
    <d v="2025-10-03T00:00:00"/>
    <n v="2"/>
    <x v="1"/>
    <m/>
    <n v="0"/>
  </r>
  <r>
    <s v="ORD-103996"/>
    <x v="635"/>
    <x v="1"/>
    <d v="2025-10-01T00:00:00"/>
    <n v="10"/>
    <s v="CUST-00530"/>
    <x v="1"/>
    <x v="8"/>
    <s v="AP"/>
    <x v="3"/>
    <s v="Visakhapatnam"/>
    <x v="0"/>
    <s v="P301"/>
    <s v="Cotton Oversized T-Shirt"/>
    <x v="1"/>
    <n v="1"/>
    <n v="799"/>
    <n v="0.2"/>
    <n v="799"/>
    <n v="159.80000000000001"/>
    <n v="639.20000000000005"/>
    <n v="320"/>
    <n v="320"/>
    <n v="60"/>
    <n v="259.20000000000005"/>
    <n v="0.40550688360450565"/>
    <x v="0"/>
    <d v="2025-10-05T00:00:00"/>
    <n v="4"/>
    <x v="0"/>
    <n v="3"/>
    <n v="0"/>
  </r>
  <r>
    <s v="ORD-103997"/>
    <x v="635"/>
    <x v="1"/>
    <d v="2025-10-01T00:00:00"/>
    <n v="10"/>
    <s v="CUST-00475"/>
    <x v="1"/>
    <x v="14"/>
    <s v="KL"/>
    <x v="3"/>
    <s v="Kochi"/>
    <x v="0"/>
    <s v="P703"/>
    <s v="Green Tea (100 bags)"/>
    <x v="0"/>
    <n v="2"/>
    <n v="399"/>
    <n v="0.4"/>
    <n v="798"/>
    <n v="319.20000000000005"/>
    <n v="478.79999999999995"/>
    <n v="128"/>
    <n v="256"/>
    <n v="120"/>
    <n v="102.79999999999995"/>
    <n v="0.21470342522974095"/>
    <x v="3"/>
    <d v="2025-10-03T00:00:00"/>
    <n v="2"/>
    <x v="1"/>
    <n v="4"/>
    <n v="1"/>
  </r>
  <r>
    <s v="ORD-103998"/>
    <x v="636"/>
    <x v="1"/>
    <d v="2025-10-01T00:00:00"/>
    <n v="10"/>
    <s v="CUST-00507"/>
    <x v="1"/>
    <x v="9"/>
    <s v="UK"/>
    <x v="0"/>
    <s v="Dehradun"/>
    <x v="4"/>
    <s v="P103"/>
    <s v="Niacinamide Toner"/>
    <x v="3"/>
    <n v="1"/>
    <n v="399"/>
    <n v="0.3"/>
    <n v="399"/>
    <n v="119.69999999999999"/>
    <n v="279.3"/>
    <n v="112"/>
    <n v="112"/>
    <n v="120"/>
    <n v="47.300000000000011"/>
    <n v="0.16935195130683856"/>
    <x v="3"/>
    <d v="2025-10-06T00:00:00"/>
    <n v="4"/>
    <x v="0"/>
    <n v="3"/>
    <n v="1"/>
  </r>
  <r>
    <s v="ORD-103999"/>
    <x v="636"/>
    <x v="1"/>
    <d v="2025-10-01T00:00:00"/>
    <n v="10"/>
    <s v="CUST-01649"/>
    <x v="0"/>
    <x v="0"/>
    <s v="RJ"/>
    <x v="0"/>
    <s v="Udaipur"/>
    <x v="3"/>
    <s v="P704"/>
    <s v="Multivitamin Gummies"/>
    <x v="0"/>
    <n v="1"/>
    <n v="699"/>
    <n v="0.45"/>
    <n v="699"/>
    <n v="314.55"/>
    <n v="384.45"/>
    <n v="238"/>
    <n v="238"/>
    <n v="60"/>
    <n v="86.449999999999989"/>
    <n v="0.22486669267785145"/>
    <x v="0"/>
    <d v="2025-10-07T00:00:00"/>
    <n v="5"/>
    <x v="2"/>
    <m/>
    <n v="0"/>
  </r>
  <r>
    <s v="ORD-104000"/>
    <x v="636"/>
    <x v="1"/>
    <d v="2025-10-01T00:00:00"/>
    <n v="10"/>
    <s v="CUST-00328"/>
    <x v="0"/>
    <x v="6"/>
    <s v="DL"/>
    <x v="0"/>
    <s v="New Delhi"/>
    <x v="1"/>
    <s v="P302"/>
    <s v="Linen Kurta"/>
    <x v="1"/>
    <n v="2"/>
    <n v="1499"/>
    <n v="0.4"/>
    <n v="2998"/>
    <n v="1199.2"/>
    <n v="1798.8"/>
    <n v="630"/>
    <n v="1260"/>
    <n v="60"/>
    <n v="478.79999999999995"/>
    <n v="0.26617745163442291"/>
    <x v="0"/>
    <d v="2025-10-05T00:00:00"/>
    <n v="3"/>
    <x v="0"/>
    <m/>
    <n v="0"/>
  </r>
  <r>
    <s v="ORD-104001"/>
    <x v="636"/>
    <x v="1"/>
    <d v="2025-10-01T00:00:00"/>
    <n v="10"/>
    <s v="CUST-01192"/>
    <x v="1"/>
    <x v="6"/>
    <s v="DL"/>
    <x v="0"/>
    <s v="New Delhi"/>
    <x v="0"/>
    <s v="P102"/>
    <s v="Sunscreen SPF 50"/>
    <x v="3"/>
    <n v="2"/>
    <n v="449"/>
    <n v="0.25"/>
    <n v="898"/>
    <n v="224.5"/>
    <n v="673.5"/>
    <n v="144"/>
    <n v="288"/>
    <n v="60"/>
    <n v="325.5"/>
    <n v="0.48329621380846327"/>
    <x v="0"/>
    <d v="2025-10-03T00:00:00"/>
    <n v="1"/>
    <x v="1"/>
    <m/>
    <n v="0"/>
  </r>
  <r>
    <s v="ORD-104002"/>
    <x v="636"/>
    <x v="1"/>
    <d v="2025-10-01T00:00:00"/>
    <n v="10"/>
    <s v="CUST-00504"/>
    <x v="1"/>
    <x v="6"/>
    <s v="DL"/>
    <x v="0"/>
    <s v="New Delhi"/>
    <x v="2"/>
    <s v="P701"/>
    <s v="Ashwagandha Capsules"/>
    <x v="0"/>
    <n v="1"/>
    <n v="499"/>
    <n v="0.15"/>
    <n v="499"/>
    <n v="74.849999999999994"/>
    <n v="424.15"/>
    <n v="150"/>
    <n v="150"/>
    <n v="60"/>
    <n v="214.14999999999998"/>
    <n v="0.50489213721560766"/>
    <x v="0"/>
    <d v="2025-10-06T00:00:00"/>
    <n v="4"/>
    <x v="0"/>
    <n v="4"/>
    <n v="0"/>
  </r>
  <r>
    <s v="ORD-104003"/>
    <x v="636"/>
    <x v="1"/>
    <d v="2025-10-01T00:00:00"/>
    <n v="10"/>
    <s v="CUST-02109"/>
    <x v="0"/>
    <x v="6"/>
    <s v="DL"/>
    <x v="0"/>
    <s v="New Delhi"/>
    <x v="3"/>
    <s v="P701"/>
    <s v="Ashwagandha Capsules"/>
    <x v="0"/>
    <n v="3"/>
    <n v="499"/>
    <n v="0.15"/>
    <n v="1497"/>
    <n v="224.54999999999998"/>
    <n v="1272.45"/>
    <n v="150"/>
    <n v="450"/>
    <n v="60"/>
    <n v="762.45"/>
    <n v="0.59919839679358722"/>
    <x v="3"/>
    <d v="2025-10-03T00:00:00"/>
    <n v="1"/>
    <x v="1"/>
    <n v="4"/>
    <n v="0"/>
  </r>
  <r>
    <s v="ORD-104004"/>
    <x v="636"/>
    <x v="1"/>
    <d v="2025-10-01T00:00:00"/>
    <n v="10"/>
    <s v="CUST-01807"/>
    <x v="1"/>
    <x v="16"/>
    <s v="UP"/>
    <x v="0"/>
    <s v="Lucknow"/>
    <x v="1"/>
    <s v="P402"/>
    <s v="Casual Sneakers"/>
    <x v="5"/>
    <n v="2"/>
    <n v="2199"/>
    <n v="0.5"/>
    <n v="4398"/>
    <n v="2199"/>
    <n v="2199"/>
    <n v="1034"/>
    <n v="2068"/>
    <n v="60"/>
    <n v="71"/>
    <n v="3.2287403365165987E-2"/>
    <x v="3"/>
    <d v="2025-10-07T00:00:00"/>
    <n v="5"/>
    <x v="2"/>
    <n v="4"/>
    <n v="0"/>
  </r>
  <r>
    <s v="ORD-104005"/>
    <x v="636"/>
    <x v="1"/>
    <d v="2025-10-01T00:00:00"/>
    <n v="10"/>
    <s v="CUST-03022"/>
    <x v="1"/>
    <x v="16"/>
    <s v="UP"/>
    <x v="0"/>
    <s v="Kanpur"/>
    <x v="1"/>
    <s v="P302"/>
    <s v="Linen Kurta"/>
    <x v="1"/>
    <n v="4"/>
    <n v="1499"/>
    <n v="0.5"/>
    <n v="5996"/>
    <n v="2998"/>
    <n v="2998"/>
    <n v="630"/>
    <n v="2520"/>
    <n v="60"/>
    <n v="418"/>
    <n v="0.13942628418945963"/>
    <x v="1"/>
    <d v="2025-10-04T00:00:00"/>
    <n v="2"/>
    <x v="1"/>
    <m/>
    <n v="0"/>
  </r>
  <r>
    <s v="ORD-104006"/>
    <x v="636"/>
    <x v="1"/>
    <d v="2025-10-01T00:00:00"/>
    <n v="10"/>
    <s v="CUST-01031"/>
    <x v="1"/>
    <x v="1"/>
    <s v="GJ"/>
    <x v="1"/>
    <s v="Ahmedabad"/>
    <x v="4"/>
    <s v="P303"/>
    <s v="Joggers"/>
    <x v="1"/>
    <n v="1"/>
    <n v="1199"/>
    <n v="0.25"/>
    <n v="1199"/>
    <n v="299.75"/>
    <n v="899.25"/>
    <n v="492"/>
    <n v="492"/>
    <n v="120"/>
    <n v="287.25"/>
    <n v="0.3194328607172644"/>
    <x v="1"/>
    <d v="2025-10-05T00:00:00"/>
    <n v="3"/>
    <x v="0"/>
    <n v="3"/>
    <n v="1"/>
  </r>
  <r>
    <s v="ORD-104007"/>
    <x v="636"/>
    <x v="1"/>
    <d v="2025-10-01T00:00:00"/>
    <n v="10"/>
    <s v="CUST-01873"/>
    <x v="0"/>
    <x v="2"/>
    <s v="MH"/>
    <x v="1"/>
    <s v="Mumbai"/>
    <x v="0"/>
    <s v="P105"/>
    <s v="Retinol Night Cream"/>
    <x v="3"/>
    <n v="1"/>
    <n v="799"/>
    <n v="0.25"/>
    <n v="799"/>
    <n v="199.75"/>
    <n v="599.25"/>
    <n v="216"/>
    <n v="216"/>
    <n v="60"/>
    <n v="323.25"/>
    <n v="0.5394242803504381"/>
    <x v="4"/>
    <d v="2025-10-05T00:00:00"/>
    <n v="3"/>
    <x v="0"/>
    <n v="3"/>
    <n v="0"/>
  </r>
  <r>
    <s v="ORD-104008"/>
    <x v="636"/>
    <x v="1"/>
    <d v="2025-10-01T00:00:00"/>
    <n v="10"/>
    <s v="CUST-00279"/>
    <x v="1"/>
    <x v="2"/>
    <s v="MH"/>
    <x v="1"/>
    <s v="Pune"/>
    <x v="0"/>
    <s v="P503"/>
    <s v="Scented Candle Set"/>
    <x v="4"/>
    <n v="3"/>
    <n v="699"/>
    <n v="0.35"/>
    <n v="2097"/>
    <n v="733.94999999999993"/>
    <n v="1363.0500000000002"/>
    <n v="245"/>
    <n v="735"/>
    <n v="60"/>
    <n v="568.05000000000018"/>
    <n v="0.41674920215692757"/>
    <x v="0"/>
    <d v="2025-10-04T00:00:00"/>
    <n v="2"/>
    <x v="1"/>
    <n v="5"/>
    <n v="0"/>
  </r>
  <r>
    <s v="ORD-104009"/>
    <x v="636"/>
    <x v="1"/>
    <d v="2025-10-01T00:00:00"/>
    <n v="10"/>
    <s v="CUST-00511"/>
    <x v="1"/>
    <x v="21"/>
    <s v="TG"/>
    <x v="3"/>
    <s v="Hyderabad"/>
    <x v="1"/>
    <s v="P301"/>
    <s v="Cotton Oversized T-Shirt"/>
    <x v="1"/>
    <n v="1"/>
    <n v="799"/>
    <n v="0.25"/>
    <n v="799"/>
    <n v="199.75"/>
    <n v="599.25"/>
    <n v="320"/>
    <n v="320"/>
    <n v="60"/>
    <n v="219.25"/>
    <n v="0.36587400917813934"/>
    <x v="2"/>
    <d v="2025-10-05T00:00:00"/>
    <n v="3"/>
    <x v="0"/>
    <n v="4"/>
    <n v="0"/>
  </r>
  <r>
    <s v="ORD-104010"/>
    <x v="637"/>
    <x v="1"/>
    <d v="2025-10-01T00:00:00"/>
    <n v="10"/>
    <s v="CUST-02445"/>
    <x v="1"/>
    <x v="15"/>
    <s v="HR"/>
    <x v="0"/>
    <s v="Gurugram"/>
    <x v="4"/>
    <s v="P305"/>
    <s v="Printed Saree"/>
    <x v="1"/>
    <n v="3"/>
    <n v="1999"/>
    <n v="0.25"/>
    <n v="5997"/>
    <n v="1499.25"/>
    <n v="4497.75"/>
    <n v="880"/>
    <n v="2640"/>
    <n v="120"/>
    <n v="1737.75"/>
    <n v="0.38635984658996164"/>
    <x v="1"/>
    <d v="2025-10-06T00:00:00"/>
    <n v="3"/>
    <x v="0"/>
    <n v="4"/>
    <n v="1"/>
  </r>
  <r>
    <s v="ORD-104011"/>
    <x v="637"/>
    <x v="1"/>
    <d v="2025-10-01T00:00:00"/>
    <n v="10"/>
    <s v="CUST-00543"/>
    <x v="1"/>
    <x v="6"/>
    <s v="DL"/>
    <x v="0"/>
    <s v="New Delhi"/>
    <x v="2"/>
    <s v="P302"/>
    <s v="Linen Kurta"/>
    <x v="1"/>
    <n v="2"/>
    <n v="1499"/>
    <n v="0.45"/>
    <n v="2998"/>
    <n v="1349.1000000000001"/>
    <n v="1648.8999999999999"/>
    <n v="630"/>
    <n v="1260"/>
    <n v="60"/>
    <n v="328.89999999999986"/>
    <n v="0.19946631087391586"/>
    <x v="2"/>
    <d v="2025-10-07T00:00:00"/>
    <n v="4"/>
    <x v="0"/>
    <m/>
    <n v="0"/>
  </r>
  <r>
    <s v="ORD-104012"/>
    <x v="637"/>
    <x v="1"/>
    <d v="2025-10-01T00:00:00"/>
    <n v="10"/>
    <s v="CUST-00278"/>
    <x v="1"/>
    <x v="16"/>
    <s v="UP"/>
    <x v="0"/>
    <s v="Lucknow"/>
    <x v="2"/>
    <s v="P504"/>
    <s v="Cotton Bedsheet"/>
    <x v="4"/>
    <n v="2"/>
    <n v="1299"/>
    <n v="0.05"/>
    <n v="2598"/>
    <n v="129.9"/>
    <n v="2468.1"/>
    <n v="585"/>
    <n v="1170"/>
    <n v="60"/>
    <n v="1238.0999999999999"/>
    <n v="0.50164093837364776"/>
    <x v="2"/>
    <d v="2025-10-10T00:00:00"/>
    <n v="7"/>
    <x v="2"/>
    <m/>
    <n v="0"/>
  </r>
  <r>
    <s v="ORD-104013"/>
    <x v="637"/>
    <x v="1"/>
    <d v="2025-10-01T00:00:00"/>
    <n v="10"/>
    <s v="CUST-00817"/>
    <x v="1"/>
    <x v="12"/>
    <s v="BR"/>
    <x v="2"/>
    <s v="Patna"/>
    <x v="4"/>
    <s v="P503"/>
    <s v="Scented Candle Set"/>
    <x v="4"/>
    <n v="2"/>
    <n v="699"/>
    <n v="0.35"/>
    <n v="1398"/>
    <n v="489.29999999999995"/>
    <n v="908.7"/>
    <n v="245"/>
    <n v="490"/>
    <n v="60"/>
    <n v="358.70000000000005"/>
    <n v="0.39473973808737761"/>
    <x v="0"/>
    <d v="2025-10-08T00:00:00"/>
    <n v="5"/>
    <x v="2"/>
    <m/>
    <n v="0"/>
  </r>
  <r>
    <s v="ORD-104014"/>
    <x v="637"/>
    <x v="1"/>
    <d v="2025-10-01T00:00:00"/>
    <n v="10"/>
    <s v="CUST-03123"/>
    <x v="1"/>
    <x v="13"/>
    <s v="MP"/>
    <x v="1"/>
    <s v="Indore"/>
    <x v="2"/>
    <s v="P504"/>
    <s v="Cotton Bedsheet"/>
    <x v="4"/>
    <n v="1"/>
    <n v="1299"/>
    <n v="0.15"/>
    <n v="1299"/>
    <n v="194.85"/>
    <n v="1104.1500000000001"/>
    <n v="585"/>
    <n v="585"/>
    <n v="60"/>
    <n v="459.15000000000009"/>
    <n v="0.41584023909794871"/>
    <x v="3"/>
    <d v="2025-10-08T00:00:00"/>
    <n v="5"/>
    <x v="2"/>
    <n v="4"/>
    <n v="0"/>
  </r>
  <r>
    <s v="ORD-104015"/>
    <x v="637"/>
    <x v="1"/>
    <d v="2025-10-01T00:00:00"/>
    <n v="10"/>
    <s v="CUST-01286"/>
    <x v="0"/>
    <x v="3"/>
    <s v="OD"/>
    <x v="2"/>
    <s v="Bhubaneswar"/>
    <x v="0"/>
    <s v="P302"/>
    <s v="Linen Kurta"/>
    <x v="1"/>
    <n v="2"/>
    <n v="1499"/>
    <n v="0.5"/>
    <n v="2998"/>
    <n v="1499"/>
    <n v="1499"/>
    <n v="630"/>
    <n v="1260"/>
    <n v="60"/>
    <n v="179"/>
    <n v="0.11941294196130754"/>
    <x v="2"/>
    <d v="2025-10-07T00:00:00"/>
    <n v="4"/>
    <x v="0"/>
    <m/>
    <n v="0"/>
  </r>
  <r>
    <s v="ORD-104016"/>
    <x v="637"/>
    <x v="1"/>
    <d v="2025-10-01T00:00:00"/>
    <n v="10"/>
    <s v="CUST-01238"/>
    <x v="1"/>
    <x v="17"/>
    <s v="TN"/>
    <x v="3"/>
    <s v="Coimbatore"/>
    <x v="0"/>
    <s v="P103"/>
    <s v="Niacinamide Toner"/>
    <x v="3"/>
    <n v="3"/>
    <n v="399"/>
    <n v="0.35"/>
    <n v="1197"/>
    <n v="418.95"/>
    <n v="778.05"/>
    <n v="112"/>
    <n v="336"/>
    <n v="60"/>
    <n v="382.04999999999995"/>
    <n v="0.49103528050896467"/>
    <x v="3"/>
    <d v="2025-10-08T00:00:00"/>
    <n v="5"/>
    <x v="2"/>
    <m/>
    <n v="0"/>
  </r>
  <r>
    <s v="ORD-104017"/>
    <x v="637"/>
    <x v="1"/>
    <d v="2025-10-01T00:00:00"/>
    <n v="10"/>
    <s v="CUST-01711"/>
    <x v="1"/>
    <x v="17"/>
    <s v="TN"/>
    <x v="3"/>
    <s v="Coimbatore"/>
    <x v="4"/>
    <s v="P102"/>
    <s v="Sunscreen SPF 50"/>
    <x v="3"/>
    <n v="2"/>
    <n v="449"/>
    <n v="0.15"/>
    <n v="898"/>
    <n v="134.69999999999999"/>
    <n v="763.3"/>
    <n v="144"/>
    <n v="288"/>
    <n v="60"/>
    <n v="415.29999999999995"/>
    <n v="0.54408489453687936"/>
    <x v="2"/>
    <d v="2025-10-06T00:00:00"/>
    <n v="3"/>
    <x v="0"/>
    <n v="3"/>
    <n v="0"/>
  </r>
  <r>
    <s v="ORD-104018"/>
    <x v="638"/>
    <x v="1"/>
    <d v="2025-10-01T00:00:00"/>
    <n v="10"/>
    <s v="CUST-00381"/>
    <x v="1"/>
    <x v="9"/>
    <s v="UK"/>
    <x v="0"/>
    <s v="Dehradun"/>
    <x v="4"/>
    <s v="P105"/>
    <s v="Retinol Night Cream"/>
    <x v="3"/>
    <n v="1"/>
    <n v="799"/>
    <n v="0.2"/>
    <n v="799"/>
    <n v="159.80000000000001"/>
    <n v="639.20000000000005"/>
    <n v="216"/>
    <n v="216"/>
    <n v="60"/>
    <n v="363.20000000000005"/>
    <n v="0.56821026282853571"/>
    <x v="0"/>
    <d v="2025-10-08T00:00:00"/>
    <n v="4"/>
    <x v="0"/>
    <n v="4"/>
    <n v="0"/>
  </r>
  <r>
    <s v="ORD-104019"/>
    <x v="638"/>
    <x v="1"/>
    <d v="2025-10-01T00:00:00"/>
    <n v="10"/>
    <s v="CUST-00087"/>
    <x v="1"/>
    <x v="0"/>
    <s v="RJ"/>
    <x v="0"/>
    <s v="Udaipur"/>
    <x v="0"/>
    <s v="P201"/>
    <s v="Onion Hair Oil"/>
    <x v="6"/>
    <n v="2"/>
    <n v="349"/>
    <n v="0.45"/>
    <n v="698"/>
    <n v="314.10000000000002"/>
    <n v="383.9"/>
    <n v="105"/>
    <n v="210"/>
    <n v="60"/>
    <n v="113.89999999999998"/>
    <n v="0.29669184683511329"/>
    <x v="0"/>
    <d v="2025-10-08T00:00:00"/>
    <n v="4"/>
    <x v="0"/>
    <n v="4"/>
    <n v="0"/>
  </r>
  <r>
    <s v="ORD-104020"/>
    <x v="638"/>
    <x v="1"/>
    <d v="2025-10-01T00:00:00"/>
    <n v="10"/>
    <s v="CUST-00420"/>
    <x v="1"/>
    <x v="0"/>
    <s v="RJ"/>
    <x v="0"/>
    <s v="Jaipur"/>
    <x v="4"/>
    <s v="P301"/>
    <s v="Cotton Oversized T-Shirt"/>
    <x v="1"/>
    <n v="1"/>
    <n v="799"/>
    <n v="0.2"/>
    <n v="799"/>
    <n v="159.80000000000001"/>
    <n v="639.20000000000005"/>
    <n v="320"/>
    <n v="320"/>
    <n v="60"/>
    <n v="259.20000000000005"/>
    <n v="0.40550688360450565"/>
    <x v="1"/>
    <d v="2025-10-08T00:00:00"/>
    <n v="4"/>
    <x v="0"/>
    <n v="3"/>
    <n v="0"/>
  </r>
  <r>
    <s v="ORD-104021"/>
    <x v="638"/>
    <x v="1"/>
    <d v="2025-10-01T00:00:00"/>
    <n v="10"/>
    <s v="CUST-00153"/>
    <x v="1"/>
    <x v="6"/>
    <s v="DL"/>
    <x v="0"/>
    <s v="New Delhi"/>
    <x v="4"/>
    <s v="P104"/>
    <s v="Hydrating Face Wash"/>
    <x v="3"/>
    <n v="1"/>
    <n v="299"/>
    <n v="0.1"/>
    <n v="299"/>
    <n v="29.900000000000002"/>
    <n v="269.10000000000002"/>
    <n v="90"/>
    <n v="90"/>
    <n v="60"/>
    <n v="119.10000000000002"/>
    <n v="0.4425863991081383"/>
    <x v="3"/>
    <d v="2025-10-06T00:00:00"/>
    <n v="2"/>
    <x v="1"/>
    <n v="3"/>
    <n v="0"/>
  </r>
  <r>
    <s v="ORD-104022"/>
    <x v="638"/>
    <x v="1"/>
    <d v="2025-10-01T00:00:00"/>
    <n v="10"/>
    <s v="CUST-00819"/>
    <x v="1"/>
    <x v="1"/>
    <s v="GJ"/>
    <x v="1"/>
    <s v="Surat"/>
    <x v="2"/>
    <s v="P203"/>
    <s v="Keratin Hair Mask"/>
    <x v="6"/>
    <n v="1"/>
    <n v="549"/>
    <n v="0.2"/>
    <n v="549"/>
    <n v="109.80000000000001"/>
    <n v="439.2"/>
    <n v="170"/>
    <n v="170"/>
    <n v="60"/>
    <n v="209.2"/>
    <n v="0.47632058287795992"/>
    <x v="1"/>
    <d v="2025-10-09T00:00:00"/>
    <n v="5"/>
    <x v="2"/>
    <n v="2"/>
    <n v="0"/>
  </r>
  <r>
    <s v="ORD-104023"/>
    <x v="638"/>
    <x v="1"/>
    <d v="2025-10-01T00:00:00"/>
    <n v="10"/>
    <s v="CUST-01182"/>
    <x v="1"/>
    <x v="1"/>
    <s v="GJ"/>
    <x v="1"/>
    <s v="Surat"/>
    <x v="2"/>
    <s v="P503"/>
    <s v="Scented Candle Set"/>
    <x v="4"/>
    <n v="3"/>
    <n v="699"/>
    <n v="0.3"/>
    <n v="2097"/>
    <n v="629.1"/>
    <n v="1467.9"/>
    <n v="245"/>
    <n v="735"/>
    <n v="60"/>
    <n v="672.90000000000009"/>
    <n v="0.45840997343143269"/>
    <x v="0"/>
    <d v="2025-10-08T00:00:00"/>
    <n v="4"/>
    <x v="0"/>
    <n v="5"/>
    <n v="0"/>
  </r>
  <r>
    <s v="ORD-104024"/>
    <x v="638"/>
    <x v="1"/>
    <d v="2025-10-01T00:00:00"/>
    <n v="10"/>
    <s v="CUST-00146"/>
    <x v="1"/>
    <x v="1"/>
    <s v="GJ"/>
    <x v="1"/>
    <s v="Ahmedabad"/>
    <x v="2"/>
    <s v="P201"/>
    <s v="Onion Hair Oil"/>
    <x v="6"/>
    <n v="2"/>
    <n v="349"/>
    <n v="0.35"/>
    <n v="698"/>
    <n v="244.29999999999998"/>
    <n v="453.70000000000005"/>
    <n v="105"/>
    <n v="210"/>
    <n v="60"/>
    <n v="183.70000000000005"/>
    <n v="0.40489310116817284"/>
    <x v="0"/>
    <d v="2025-10-06T00:00:00"/>
    <n v="2"/>
    <x v="1"/>
    <n v="5"/>
    <n v="0"/>
  </r>
  <r>
    <s v="ORD-104025"/>
    <x v="638"/>
    <x v="1"/>
    <d v="2025-10-01T00:00:00"/>
    <n v="10"/>
    <s v="CUST-01781"/>
    <x v="0"/>
    <x v="13"/>
    <s v="MP"/>
    <x v="1"/>
    <s v="Bhopal"/>
    <x v="3"/>
    <s v="P105"/>
    <s v="Retinol Night Cream"/>
    <x v="3"/>
    <n v="2"/>
    <n v="799"/>
    <n v="0.3"/>
    <n v="1598"/>
    <n v="479.4"/>
    <n v="1118.5999999999999"/>
    <n v="216"/>
    <n v="432"/>
    <n v="60"/>
    <n v="626.59999999999991"/>
    <n v="0.56016449132844626"/>
    <x v="4"/>
    <d v="2025-10-08T00:00:00"/>
    <n v="4"/>
    <x v="0"/>
    <m/>
    <n v="0"/>
  </r>
  <r>
    <s v="ORD-104026"/>
    <x v="638"/>
    <x v="1"/>
    <d v="2025-10-01T00:00:00"/>
    <n v="10"/>
    <s v="CUST-01230"/>
    <x v="0"/>
    <x v="10"/>
    <s v="CG"/>
    <x v="2"/>
    <s v="Raipur"/>
    <x v="1"/>
    <s v="P403"/>
    <s v="Kolhapuri Sandals"/>
    <x v="5"/>
    <n v="1"/>
    <n v="999"/>
    <n v="0.25"/>
    <n v="999"/>
    <n v="249.75"/>
    <n v="749.25"/>
    <n v="400"/>
    <n v="400"/>
    <n v="60"/>
    <n v="289.25"/>
    <n v="0.38605271938605273"/>
    <x v="0"/>
    <d v="2025-10-09T00:00:00"/>
    <n v="5"/>
    <x v="2"/>
    <n v="4"/>
    <n v="0"/>
  </r>
  <r>
    <s v="ORD-104027"/>
    <x v="638"/>
    <x v="1"/>
    <d v="2025-10-01T00:00:00"/>
    <n v="10"/>
    <s v="CUST-00620"/>
    <x v="1"/>
    <x v="2"/>
    <s v="MH"/>
    <x v="1"/>
    <s v="Pune"/>
    <x v="1"/>
    <s v="P304"/>
    <s v="Denim Jacket"/>
    <x v="1"/>
    <n v="1"/>
    <n v="2499"/>
    <n v="0.1"/>
    <n v="2499"/>
    <n v="249.9"/>
    <n v="2249.1"/>
    <n v="1125"/>
    <n v="1125"/>
    <n v="60"/>
    <n v="1064.0999999999999"/>
    <n v="0.4731225823662798"/>
    <x v="0"/>
    <d v="2025-10-06T00:00:00"/>
    <n v="2"/>
    <x v="1"/>
    <m/>
    <n v="0"/>
  </r>
  <r>
    <s v="ORD-104028"/>
    <x v="638"/>
    <x v="1"/>
    <d v="2025-10-01T00:00:00"/>
    <n v="10"/>
    <s v="CUST-03142"/>
    <x v="0"/>
    <x v="3"/>
    <s v="OD"/>
    <x v="2"/>
    <s v="Bhubaneswar"/>
    <x v="4"/>
    <s v="P102"/>
    <s v="Sunscreen SPF 50"/>
    <x v="3"/>
    <n v="2"/>
    <n v="449"/>
    <n v="0.2"/>
    <n v="898"/>
    <n v="179.60000000000002"/>
    <n v="718.4"/>
    <n v="144"/>
    <n v="288"/>
    <n v="60"/>
    <n v="370.4"/>
    <n v="0.51559020044543424"/>
    <x v="0"/>
    <d v="2025-10-08T00:00:00"/>
    <n v="4"/>
    <x v="0"/>
    <m/>
    <n v="0"/>
  </r>
  <r>
    <s v="ORD-104029"/>
    <x v="638"/>
    <x v="1"/>
    <d v="2025-10-01T00:00:00"/>
    <n v="10"/>
    <s v="CUST-01344"/>
    <x v="1"/>
    <x v="14"/>
    <s v="KL"/>
    <x v="3"/>
    <s v="Thiruvananthapuram"/>
    <x v="0"/>
    <s v="P104"/>
    <s v="Hydrating Face Wash"/>
    <x v="3"/>
    <n v="1"/>
    <n v="299"/>
    <n v="0.25"/>
    <n v="299"/>
    <n v="74.75"/>
    <n v="224.25"/>
    <n v="90"/>
    <n v="90"/>
    <n v="60"/>
    <n v="74.25"/>
    <n v="0.33110367892976589"/>
    <x v="0"/>
    <d v="2025-10-06T00:00:00"/>
    <n v="2"/>
    <x v="1"/>
    <n v="4"/>
    <n v="0"/>
  </r>
  <r>
    <s v="ORD-104030"/>
    <x v="638"/>
    <x v="1"/>
    <d v="2025-10-01T00:00:00"/>
    <n v="10"/>
    <s v="CUST-00658"/>
    <x v="1"/>
    <x v="17"/>
    <s v="TN"/>
    <x v="3"/>
    <s v="Coimbatore"/>
    <x v="3"/>
    <s v="P103"/>
    <s v="Niacinamide Toner"/>
    <x v="3"/>
    <n v="2"/>
    <n v="399"/>
    <n v="0.2"/>
    <n v="798"/>
    <n v="159.60000000000002"/>
    <n v="638.4"/>
    <n v="112"/>
    <n v="224"/>
    <n v="60"/>
    <n v="354.4"/>
    <n v="0.55513784461152882"/>
    <x v="0"/>
    <d v="2025-10-08T00:00:00"/>
    <n v="4"/>
    <x v="0"/>
    <n v="4"/>
    <n v="0"/>
  </r>
  <r>
    <s v="ORD-104031"/>
    <x v="639"/>
    <x v="1"/>
    <d v="2025-10-01T00:00:00"/>
    <n v="10"/>
    <s v="CUST-00416"/>
    <x v="1"/>
    <x v="5"/>
    <s v="HP"/>
    <x v="0"/>
    <s v="Shimla"/>
    <x v="4"/>
    <s v="P204"/>
    <s v="Anti-Dandruff Conditioner"/>
    <x v="6"/>
    <n v="1"/>
    <n v="399"/>
    <n v="0.6"/>
    <n v="399"/>
    <n v="239.39999999999998"/>
    <n v="159.60000000000002"/>
    <n v="136"/>
    <n v="136"/>
    <n v="60"/>
    <n v="-36.399999999999977"/>
    <n v="-0.22807017543859631"/>
    <x v="3"/>
    <d v="2025-10-11T00:00:00"/>
    <n v="6"/>
    <x v="2"/>
    <n v="3"/>
    <n v="0"/>
  </r>
  <r>
    <s v="ORD-104032"/>
    <x v="639"/>
    <x v="1"/>
    <d v="2025-10-01T00:00:00"/>
    <n v="10"/>
    <s v="CUST-00336"/>
    <x v="1"/>
    <x v="6"/>
    <s v="DL"/>
    <x v="0"/>
    <s v="New Delhi"/>
    <x v="3"/>
    <s v="P104"/>
    <s v="Hydrating Face Wash"/>
    <x v="3"/>
    <n v="1"/>
    <n v="299"/>
    <n v="0.15"/>
    <n v="299"/>
    <n v="44.85"/>
    <n v="254.15"/>
    <n v="90"/>
    <n v="90"/>
    <n v="60"/>
    <n v="104.15"/>
    <n v="0.40979736376155818"/>
    <x v="3"/>
    <d v="2025-10-06T00:00:00"/>
    <n v="1"/>
    <x v="1"/>
    <n v="5"/>
    <n v="0"/>
  </r>
  <r>
    <s v="ORD-104033"/>
    <x v="639"/>
    <x v="1"/>
    <d v="2025-10-01T00:00:00"/>
    <n v="10"/>
    <s v="CUST-01810"/>
    <x v="0"/>
    <x v="16"/>
    <s v="UP"/>
    <x v="0"/>
    <s v="Noida"/>
    <x v="1"/>
    <s v="P301"/>
    <s v="Cotton Oversized T-Shirt"/>
    <x v="1"/>
    <n v="1"/>
    <n v="799"/>
    <n v="0.1"/>
    <n v="799"/>
    <n v="79.900000000000006"/>
    <n v="719.1"/>
    <n v="320"/>
    <n v="320"/>
    <n v="60"/>
    <n v="339.1"/>
    <n v="0.47156167431511614"/>
    <x v="0"/>
    <d v="2025-10-09T00:00:00"/>
    <n v="4"/>
    <x v="0"/>
    <m/>
    <n v="0"/>
  </r>
  <r>
    <s v="ORD-104034"/>
    <x v="639"/>
    <x v="1"/>
    <d v="2025-10-01T00:00:00"/>
    <n v="10"/>
    <s v="CUST-00413"/>
    <x v="1"/>
    <x v="12"/>
    <s v="BR"/>
    <x v="2"/>
    <s v="Patna"/>
    <x v="2"/>
    <s v="P402"/>
    <s v="Casual Sneakers"/>
    <x v="5"/>
    <n v="2"/>
    <n v="2199"/>
    <n v="0.3"/>
    <n v="4398"/>
    <n v="1319.3999999999999"/>
    <n v="3078.6000000000004"/>
    <n v="1034"/>
    <n v="2068"/>
    <n v="120"/>
    <n v="890.60000000000036"/>
    <n v="0.28928733840057175"/>
    <x v="4"/>
    <d v="2025-10-12T00:00:00"/>
    <n v="7"/>
    <x v="2"/>
    <n v="2"/>
    <n v="1"/>
  </r>
  <r>
    <s v="ORD-104035"/>
    <x v="639"/>
    <x v="1"/>
    <d v="2025-10-01T00:00:00"/>
    <n v="10"/>
    <s v="CUST-01727"/>
    <x v="1"/>
    <x v="22"/>
    <s v="AS"/>
    <x v="2"/>
    <s v="Guwahati"/>
    <x v="0"/>
    <s v="P503"/>
    <s v="Scented Candle Set"/>
    <x v="4"/>
    <n v="2"/>
    <n v="699"/>
    <n v="0.4"/>
    <n v="1398"/>
    <n v="559.20000000000005"/>
    <n v="838.8"/>
    <n v="245"/>
    <n v="490"/>
    <n v="60"/>
    <n v="288.79999999999995"/>
    <n v="0.34430138292799234"/>
    <x v="0"/>
    <d v="2025-10-10T00:00:00"/>
    <n v="5"/>
    <x v="2"/>
    <n v="4"/>
    <n v="0"/>
  </r>
  <r>
    <s v="ORD-104036"/>
    <x v="639"/>
    <x v="1"/>
    <d v="2025-10-01T00:00:00"/>
    <n v="10"/>
    <s v="CUST-00389"/>
    <x v="1"/>
    <x v="14"/>
    <s v="KL"/>
    <x v="3"/>
    <s v="Kochi"/>
    <x v="1"/>
    <s v="P304"/>
    <s v="Denim Jacket"/>
    <x v="1"/>
    <n v="2"/>
    <n v="2499"/>
    <n v="0.1"/>
    <n v="4998"/>
    <n v="499.8"/>
    <n v="4498.2"/>
    <n v="1125"/>
    <n v="2250"/>
    <n v="60"/>
    <n v="2188.1999999999998"/>
    <n v="0.48646125116713351"/>
    <x v="2"/>
    <d v="2025-10-09T00:00:00"/>
    <n v="4"/>
    <x v="0"/>
    <n v="4"/>
    <n v="0"/>
  </r>
  <r>
    <s v="ORD-104037"/>
    <x v="639"/>
    <x v="1"/>
    <d v="2025-10-01T00:00:00"/>
    <n v="10"/>
    <s v="CUST-00254"/>
    <x v="1"/>
    <x v="17"/>
    <s v="TN"/>
    <x v="3"/>
    <s v="Chennai"/>
    <x v="0"/>
    <s v="P704"/>
    <s v="Multivitamin Gummies"/>
    <x v="0"/>
    <n v="1"/>
    <n v="699"/>
    <n v="0.35"/>
    <n v="699"/>
    <n v="244.64999999999998"/>
    <n v="454.35"/>
    <n v="238"/>
    <n v="238"/>
    <n v="60"/>
    <n v="156.35000000000002"/>
    <n v="0.34411797072741285"/>
    <x v="0"/>
    <d v="2025-10-10T00:00:00"/>
    <n v="5"/>
    <x v="2"/>
    <n v="3"/>
    <n v="0"/>
  </r>
  <r>
    <s v="ORD-104038"/>
    <x v="640"/>
    <x v="1"/>
    <d v="2025-10-01T00:00:00"/>
    <n v="10"/>
    <s v="CUST-01914"/>
    <x v="0"/>
    <x v="15"/>
    <s v="HR"/>
    <x v="0"/>
    <s v="Gurugram"/>
    <x v="2"/>
    <s v="P604"/>
    <s v="Power Bank 20000mAh"/>
    <x v="2"/>
    <n v="1"/>
    <n v="1799"/>
    <n v="0.6"/>
    <n v="1799"/>
    <n v="1079.3999999999999"/>
    <n v="719.60000000000014"/>
    <n v="1079"/>
    <n v="1079"/>
    <n v="60"/>
    <n v="-419.39999999999986"/>
    <n v="-0.58282379099499693"/>
    <x v="0"/>
    <d v="2025-10-11T00:00:00"/>
    <n v="5"/>
    <x v="2"/>
    <n v="4"/>
    <n v="0"/>
  </r>
  <r>
    <s v="ORD-104039"/>
    <x v="640"/>
    <x v="1"/>
    <d v="2025-10-01T00:00:00"/>
    <n v="10"/>
    <s v="CUST-01063"/>
    <x v="1"/>
    <x v="6"/>
    <s v="DL"/>
    <x v="0"/>
    <s v="New Delhi"/>
    <x v="4"/>
    <s v="P701"/>
    <s v="Ashwagandha Capsules"/>
    <x v="0"/>
    <n v="2"/>
    <n v="499"/>
    <n v="0.05"/>
    <n v="998"/>
    <n v="49.900000000000006"/>
    <n v="948.1"/>
    <n v="150"/>
    <n v="300"/>
    <n v="60"/>
    <n v="588.1"/>
    <n v="0.62029321801497728"/>
    <x v="3"/>
    <d v="2025-10-08T00:00:00"/>
    <n v="2"/>
    <x v="1"/>
    <n v="4"/>
    <n v="0"/>
  </r>
  <r>
    <s v="ORD-104040"/>
    <x v="640"/>
    <x v="1"/>
    <d v="2025-10-01T00:00:00"/>
    <n v="10"/>
    <s v="CUST-00284"/>
    <x v="1"/>
    <x v="6"/>
    <s v="DL"/>
    <x v="0"/>
    <s v="New Delhi"/>
    <x v="0"/>
    <s v="P401"/>
    <s v="Running Shoes"/>
    <x v="5"/>
    <n v="1"/>
    <n v="2999"/>
    <n v="0.25"/>
    <n v="2999"/>
    <n v="749.75"/>
    <n v="2249.25"/>
    <n v="1440"/>
    <n v="1440"/>
    <n v="60"/>
    <n v="749.25"/>
    <n v="0.33311103701233746"/>
    <x v="3"/>
    <d v="2025-10-08T00:00:00"/>
    <n v="2"/>
    <x v="1"/>
    <n v="4"/>
    <n v="0"/>
  </r>
  <r>
    <s v="ORD-104041"/>
    <x v="640"/>
    <x v="1"/>
    <d v="2025-10-01T00:00:00"/>
    <n v="10"/>
    <s v="CUST-00694"/>
    <x v="1"/>
    <x v="16"/>
    <s v="UP"/>
    <x v="0"/>
    <s v="Noida"/>
    <x v="0"/>
    <s v="P603"/>
    <s v="Smartwatch Strap"/>
    <x v="2"/>
    <n v="1"/>
    <n v="499"/>
    <n v="0.2"/>
    <n v="499"/>
    <n v="99.800000000000011"/>
    <n v="399.2"/>
    <n v="200"/>
    <n v="200"/>
    <n v="60"/>
    <n v="139.19999999999999"/>
    <n v="0.34869739478957912"/>
    <x v="0"/>
    <d v="2025-10-10T00:00:00"/>
    <n v="4"/>
    <x v="0"/>
    <n v="4"/>
    <n v="0"/>
  </r>
  <r>
    <s v="ORD-104042"/>
    <x v="640"/>
    <x v="1"/>
    <d v="2025-10-01T00:00:00"/>
    <n v="10"/>
    <s v="CUST-00774"/>
    <x v="1"/>
    <x v="12"/>
    <s v="BR"/>
    <x v="2"/>
    <s v="Patna"/>
    <x v="1"/>
    <s v="P302"/>
    <s v="Linen Kurta"/>
    <x v="1"/>
    <n v="2"/>
    <n v="1499"/>
    <n v="0.45"/>
    <n v="2998"/>
    <n v="1349.1000000000001"/>
    <n v="1648.8999999999999"/>
    <n v="630"/>
    <n v="1260"/>
    <n v="60"/>
    <n v="328.89999999999986"/>
    <n v="0.19946631087391586"/>
    <x v="3"/>
    <d v="2025-10-11T00:00:00"/>
    <n v="5"/>
    <x v="2"/>
    <m/>
    <n v="0"/>
  </r>
  <r>
    <s v="ORD-104043"/>
    <x v="640"/>
    <x v="1"/>
    <d v="2025-10-01T00:00:00"/>
    <n v="10"/>
    <s v="CUST-00042"/>
    <x v="0"/>
    <x v="1"/>
    <s v="GJ"/>
    <x v="1"/>
    <s v="Surat"/>
    <x v="0"/>
    <s v="P304"/>
    <s v="Denim Jacket"/>
    <x v="1"/>
    <n v="1"/>
    <n v="2499"/>
    <n v="0.15"/>
    <n v="2499"/>
    <n v="374.84999999999997"/>
    <n v="2124.15"/>
    <n v="1125"/>
    <n v="1125"/>
    <n v="120"/>
    <n v="879.15000000000009"/>
    <n v="0.41388320033895915"/>
    <x v="1"/>
    <d v="2025-10-09T00:00:00"/>
    <n v="3"/>
    <x v="0"/>
    <m/>
    <n v="1"/>
  </r>
  <r>
    <s v="ORD-104044"/>
    <x v="640"/>
    <x v="1"/>
    <d v="2025-10-01T00:00:00"/>
    <n v="10"/>
    <s v="CUST-00645"/>
    <x v="1"/>
    <x v="8"/>
    <s v="AP"/>
    <x v="3"/>
    <s v="Visakhapatnam"/>
    <x v="4"/>
    <s v="P101"/>
    <s v="Vitamin C Face Serum"/>
    <x v="3"/>
    <n v="2"/>
    <n v="599"/>
    <n v="0.35"/>
    <n v="1198"/>
    <n v="419.29999999999995"/>
    <n v="778.7"/>
    <n v="180"/>
    <n v="360"/>
    <n v="60"/>
    <n v="358.70000000000005"/>
    <n v="0.4606395274174907"/>
    <x v="2"/>
    <d v="2025-10-12T00:00:00"/>
    <n v="6"/>
    <x v="2"/>
    <n v="3"/>
    <n v="0"/>
  </r>
  <r>
    <s v="ORD-104045"/>
    <x v="640"/>
    <x v="1"/>
    <d v="2025-10-01T00:00:00"/>
    <n v="10"/>
    <s v="CUST-00852"/>
    <x v="1"/>
    <x v="8"/>
    <s v="AP"/>
    <x v="3"/>
    <s v="Visakhapatnam"/>
    <x v="1"/>
    <s v="P401"/>
    <s v="Running Shoes"/>
    <x v="5"/>
    <n v="2"/>
    <n v="2999"/>
    <n v="0.35"/>
    <n v="5998"/>
    <n v="2099.2999999999997"/>
    <n v="3898.7000000000003"/>
    <n v="1440"/>
    <n v="2880"/>
    <n v="120"/>
    <n v="898.70000000000027"/>
    <n v="0.23051273501423558"/>
    <x v="1"/>
    <d v="2025-10-10T00:00:00"/>
    <n v="4"/>
    <x v="0"/>
    <n v="2"/>
    <n v="1"/>
  </r>
  <r>
    <s v="ORD-104046"/>
    <x v="640"/>
    <x v="1"/>
    <d v="2025-10-01T00:00:00"/>
    <n v="10"/>
    <s v="CUST-00603"/>
    <x v="1"/>
    <x v="8"/>
    <s v="AP"/>
    <x v="3"/>
    <s v="Visakhapatnam"/>
    <x v="0"/>
    <s v="P101"/>
    <s v="Vitamin C Face Serum"/>
    <x v="3"/>
    <n v="2"/>
    <n v="599"/>
    <n v="0.3"/>
    <n v="1198"/>
    <n v="359.4"/>
    <n v="838.6"/>
    <n v="180"/>
    <n v="360"/>
    <n v="60"/>
    <n v="418.6"/>
    <n v="0.4991652754590985"/>
    <x v="3"/>
    <d v="2025-10-09T00:00:00"/>
    <n v="3"/>
    <x v="0"/>
    <n v="4"/>
    <n v="0"/>
  </r>
  <r>
    <s v="ORD-104047"/>
    <x v="640"/>
    <x v="1"/>
    <d v="2025-10-01T00:00:00"/>
    <n v="10"/>
    <s v="CUST-01416"/>
    <x v="0"/>
    <x v="14"/>
    <s v="KL"/>
    <x v="3"/>
    <s v="Kochi"/>
    <x v="2"/>
    <s v="P101"/>
    <s v="Vitamin C Face Serum"/>
    <x v="3"/>
    <n v="2"/>
    <n v="599"/>
    <n v="0.35"/>
    <n v="1198"/>
    <n v="419.29999999999995"/>
    <n v="778.7"/>
    <n v="180"/>
    <n v="360"/>
    <n v="60"/>
    <n v="358.70000000000005"/>
    <n v="0.4606395274174907"/>
    <x v="0"/>
    <d v="2025-10-12T00:00:00"/>
    <n v="6"/>
    <x v="2"/>
    <m/>
    <n v="0"/>
  </r>
  <r>
    <s v="ORD-104048"/>
    <x v="640"/>
    <x v="1"/>
    <d v="2025-10-01T00:00:00"/>
    <n v="10"/>
    <s v="CUST-00732"/>
    <x v="1"/>
    <x v="17"/>
    <s v="TN"/>
    <x v="3"/>
    <s v="Chennai"/>
    <x v="0"/>
    <s v="P304"/>
    <s v="Denim Jacket"/>
    <x v="1"/>
    <n v="1"/>
    <n v="2499"/>
    <n v="0.1"/>
    <n v="2499"/>
    <n v="249.9"/>
    <n v="2249.1"/>
    <n v="1125"/>
    <n v="1125"/>
    <n v="60"/>
    <n v="1064.0999999999999"/>
    <n v="0.4731225823662798"/>
    <x v="2"/>
    <d v="2025-10-10T00:00:00"/>
    <n v="4"/>
    <x v="0"/>
    <n v="4"/>
    <n v="0"/>
  </r>
  <r>
    <s v="ORD-104049"/>
    <x v="641"/>
    <x v="1"/>
    <d v="2025-10-01T00:00:00"/>
    <n v="10"/>
    <s v="CUST-00281"/>
    <x v="1"/>
    <x v="6"/>
    <s v="DL"/>
    <x v="0"/>
    <s v="New Delhi"/>
    <x v="3"/>
    <s v="P202"/>
    <s v="Argan Shampoo"/>
    <x v="6"/>
    <n v="2"/>
    <n v="449"/>
    <n v="0.2"/>
    <n v="898"/>
    <n v="179.60000000000002"/>
    <n v="718.4"/>
    <n v="148"/>
    <n v="296"/>
    <n v="60"/>
    <n v="362.4"/>
    <n v="0.50445434298440983"/>
    <x v="0"/>
    <d v="2025-10-11T00:00:00"/>
    <n v="4"/>
    <x v="0"/>
    <n v="3"/>
    <n v="0"/>
  </r>
  <r>
    <s v="ORD-104050"/>
    <x v="641"/>
    <x v="1"/>
    <d v="2025-10-01T00:00:00"/>
    <n v="10"/>
    <s v="CUST-01466"/>
    <x v="1"/>
    <x v="6"/>
    <s v="DL"/>
    <x v="0"/>
    <s v="New Delhi"/>
    <x v="3"/>
    <s v="P101"/>
    <s v="Vitamin C Face Serum"/>
    <x v="3"/>
    <n v="1"/>
    <n v="599"/>
    <n v="0.25"/>
    <n v="599"/>
    <n v="149.75"/>
    <n v="449.25"/>
    <n v="180"/>
    <n v="180"/>
    <n v="60"/>
    <n v="209.25"/>
    <n v="0.46577629382303842"/>
    <x v="1"/>
    <d v="2025-10-10T00:00:00"/>
    <n v="3"/>
    <x v="0"/>
    <n v="4"/>
    <n v="0"/>
  </r>
  <r>
    <s v="ORD-104051"/>
    <x v="641"/>
    <x v="1"/>
    <d v="2025-10-01T00:00:00"/>
    <n v="10"/>
    <s v="CUST-00731"/>
    <x v="1"/>
    <x v="16"/>
    <s v="UP"/>
    <x v="0"/>
    <s v="Kanpur"/>
    <x v="0"/>
    <s v="P201"/>
    <s v="Onion Hair Oil"/>
    <x v="6"/>
    <n v="1"/>
    <n v="349"/>
    <n v="0.5"/>
    <n v="349"/>
    <n v="174.5"/>
    <n v="174.5"/>
    <n v="105"/>
    <n v="105"/>
    <n v="60"/>
    <n v="9.5"/>
    <n v="5.4441260744985676E-2"/>
    <x v="1"/>
    <d v="2025-10-13T00:00:00"/>
    <n v="6"/>
    <x v="2"/>
    <n v="4"/>
    <n v="0"/>
  </r>
  <r>
    <s v="ORD-104052"/>
    <x v="641"/>
    <x v="1"/>
    <d v="2025-10-01T00:00:00"/>
    <n v="10"/>
    <s v="CUST-01186"/>
    <x v="1"/>
    <x v="13"/>
    <s v="MP"/>
    <x v="1"/>
    <s v="Bhopal"/>
    <x v="4"/>
    <s v="P503"/>
    <s v="Scented Candle Set"/>
    <x v="4"/>
    <n v="1"/>
    <n v="699"/>
    <n v="0.35"/>
    <n v="699"/>
    <n v="244.64999999999998"/>
    <n v="454.35"/>
    <n v="245"/>
    <n v="245"/>
    <n v="60"/>
    <n v="149.35000000000002"/>
    <n v="0.32871134587872791"/>
    <x v="1"/>
    <d v="2025-10-09T00:00:00"/>
    <n v="2"/>
    <x v="1"/>
    <m/>
    <n v="0"/>
  </r>
  <r>
    <s v="ORD-104053"/>
    <x v="641"/>
    <x v="1"/>
    <d v="2025-10-01T00:00:00"/>
    <n v="10"/>
    <s v="CUST-01614"/>
    <x v="1"/>
    <x v="18"/>
    <s v="WB"/>
    <x v="2"/>
    <s v="Kolkata"/>
    <x v="0"/>
    <s v="P104"/>
    <s v="Hydrating Face Wash"/>
    <x v="3"/>
    <n v="4"/>
    <n v="299"/>
    <n v="0.1"/>
    <n v="1196"/>
    <n v="119.60000000000001"/>
    <n v="1076.4000000000001"/>
    <n v="90"/>
    <n v="360"/>
    <n v="60"/>
    <n v="656.40000000000009"/>
    <n v="0.60981047937569677"/>
    <x v="0"/>
    <d v="2025-10-11T00:00:00"/>
    <n v="4"/>
    <x v="0"/>
    <n v="4"/>
    <n v="0"/>
  </r>
  <r>
    <s v="ORD-104054"/>
    <x v="641"/>
    <x v="1"/>
    <d v="2025-10-01T00:00:00"/>
    <n v="10"/>
    <s v="CUST-01144"/>
    <x v="1"/>
    <x v="2"/>
    <s v="MH"/>
    <x v="1"/>
    <s v="Pune"/>
    <x v="3"/>
    <s v="P203"/>
    <s v="Keratin Hair Mask"/>
    <x v="6"/>
    <n v="2"/>
    <n v="549"/>
    <n v="0.3"/>
    <n v="1098"/>
    <n v="329.4"/>
    <n v="768.6"/>
    <n v="170"/>
    <n v="340"/>
    <n v="60"/>
    <n v="368.6"/>
    <n v="0.47957325006505336"/>
    <x v="1"/>
    <d v="2025-10-10T00:00:00"/>
    <n v="3"/>
    <x v="0"/>
    <m/>
    <n v="0"/>
  </r>
  <r>
    <s v="ORD-104055"/>
    <x v="641"/>
    <x v="1"/>
    <d v="2025-10-01T00:00:00"/>
    <n v="10"/>
    <s v="CUST-00294"/>
    <x v="1"/>
    <x v="3"/>
    <s v="OD"/>
    <x v="2"/>
    <s v="Bhubaneswar"/>
    <x v="4"/>
    <s v="P302"/>
    <s v="Linen Kurta"/>
    <x v="1"/>
    <n v="1"/>
    <n v="1499"/>
    <n v="0.4"/>
    <n v="1499"/>
    <n v="599.6"/>
    <n v="899.4"/>
    <n v="630"/>
    <n v="630"/>
    <n v="60"/>
    <n v="209.39999999999998"/>
    <n v="0.23282188125416942"/>
    <x v="0"/>
    <d v="2025-10-12T00:00:00"/>
    <n v="5"/>
    <x v="2"/>
    <n v="3"/>
    <n v="0"/>
  </r>
  <r>
    <s v="ORD-104056"/>
    <x v="642"/>
    <x v="1"/>
    <d v="2025-10-01T00:00:00"/>
    <n v="10"/>
    <s v="CUST-02270"/>
    <x v="0"/>
    <x v="4"/>
    <s v="JK"/>
    <x v="0"/>
    <s v="Srinagar"/>
    <x v="3"/>
    <s v="P201"/>
    <s v="Onion Hair Oil"/>
    <x v="6"/>
    <n v="3"/>
    <n v="349"/>
    <n v="0.4"/>
    <n v="1047"/>
    <n v="418.8"/>
    <n v="628.20000000000005"/>
    <n v="105"/>
    <n v="315"/>
    <n v="60"/>
    <n v="253.20000000000005"/>
    <n v="0.40305635148042029"/>
    <x v="4"/>
    <d v="2025-10-16T00:00:00"/>
    <n v="8"/>
    <x v="2"/>
    <n v="2"/>
    <n v="0"/>
  </r>
  <r>
    <s v="ORD-104057"/>
    <x v="642"/>
    <x v="1"/>
    <d v="2025-10-01T00:00:00"/>
    <n v="10"/>
    <s v="CUST-02854"/>
    <x v="0"/>
    <x v="5"/>
    <s v="HP"/>
    <x v="0"/>
    <s v="Shimla"/>
    <x v="1"/>
    <s v="P302"/>
    <s v="Linen Kurta"/>
    <x v="1"/>
    <n v="2"/>
    <n v="1499"/>
    <n v="0.35"/>
    <n v="2998"/>
    <n v="1049.3"/>
    <n v="1948.7"/>
    <n v="630"/>
    <n v="1260"/>
    <n v="60"/>
    <n v="628.70000000000005"/>
    <n v="0.32262533997023657"/>
    <x v="1"/>
    <d v="2025-10-12T00:00:00"/>
    <n v="4"/>
    <x v="0"/>
    <n v="4"/>
    <n v="0"/>
  </r>
  <r>
    <s v="ORD-104058"/>
    <x v="642"/>
    <x v="1"/>
    <d v="2025-10-01T00:00:00"/>
    <n v="10"/>
    <s v="CUST-00611"/>
    <x v="1"/>
    <x v="15"/>
    <s v="HR"/>
    <x v="0"/>
    <s v="Gurugram"/>
    <x v="0"/>
    <s v="P404"/>
    <s v="Flip Flops"/>
    <x v="5"/>
    <n v="1"/>
    <n v="399"/>
    <n v="0.25"/>
    <n v="399"/>
    <n v="99.75"/>
    <n v="299.25"/>
    <n v="152"/>
    <n v="152"/>
    <n v="60"/>
    <n v="87.25"/>
    <n v="0.29156223893065997"/>
    <x v="4"/>
    <d v="2025-10-12T00:00:00"/>
    <n v="4"/>
    <x v="0"/>
    <n v="3"/>
    <n v="0"/>
  </r>
  <r>
    <s v="ORD-104059"/>
    <x v="642"/>
    <x v="1"/>
    <d v="2025-10-01T00:00:00"/>
    <n v="10"/>
    <s v="CUST-02538"/>
    <x v="0"/>
    <x v="6"/>
    <s v="DL"/>
    <x v="0"/>
    <s v="New Delhi"/>
    <x v="0"/>
    <s v="P201"/>
    <s v="Onion Hair Oil"/>
    <x v="6"/>
    <n v="2"/>
    <n v="349"/>
    <n v="0.35"/>
    <n v="698"/>
    <n v="244.29999999999998"/>
    <n v="453.70000000000005"/>
    <n v="105"/>
    <n v="210"/>
    <n v="60"/>
    <n v="183.70000000000005"/>
    <n v="0.40489310116817284"/>
    <x v="1"/>
    <d v="2025-10-11T00:00:00"/>
    <n v="3"/>
    <x v="0"/>
    <m/>
    <n v="0"/>
  </r>
  <r>
    <s v="ORD-104060"/>
    <x v="642"/>
    <x v="1"/>
    <d v="2025-10-01T00:00:00"/>
    <n v="10"/>
    <s v="CUST-02139"/>
    <x v="0"/>
    <x v="6"/>
    <s v="DL"/>
    <x v="0"/>
    <s v="New Delhi"/>
    <x v="4"/>
    <s v="P203"/>
    <s v="Keratin Hair Mask"/>
    <x v="6"/>
    <n v="1"/>
    <n v="549"/>
    <n v="0.2"/>
    <n v="549"/>
    <n v="109.80000000000001"/>
    <n v="439.2"/>
    <n v="170"/>
    <n v="170"/>
    <n v="60"/>
    <n v="209.2"/>
    <n v="0.47632058287795992"/>
    <x v="3"/>
    <d v="2025-10-09T00:00:00"/>
    <n v="1"/>
    <x v="1"/>
    <n v="4"/>
    <n v="0"/>
  </r>
  <r>
    <s v="ORD-104061"/>
    <x v="642"/>
    <x v="1"/>
    <d v="2025-10-01T00:00:00"/>
    <n v="10"/>
    <s v="CUST-00124"/>
    <x v="1"/>
    <x v="6"/>
    <s v="DL"/>
    <x v="0"/>
    <s v="New Delhi"/>
    <x v="1"/>
    <s v="P301"/>
    <s v="Cotton Oversized T-Shirt"/>
    <x v="1"/>
    <n v="1"/>
    <n v="799"/>
    <n v="0.15"/>
    <n v="799"/>
    <n v="119.85"/>
    <n v="679.15"/>
    <n v="320"/>
    <n v="320"/>
    <n v="60"/>
    <n v="299.14999999999998"/>
    <n v="0.44047706692188765"/>
    <x v="1"/>
    <d v="2025-10-11T00:00:00"/>
    <n v="3"/>
    <x v="0"/>
    <n v="4"/>
    <n v="0"/>
  </r>
  <r>
    <s v="ORD-104062"/>
    <x v="642"/>
    <x v="1"/>
    <d v="2025-10-01T00:00:00"/>
    <n v="10"/>
    <s v="CUST-00896"/>
    <x v="1"/>
    <x v="12"/>
    <s v="BR"/>
    <x v="2"/>
    <s v="Patna"/>
    <x v="0"/>
    <s v="P105"/>
    <s v="Retinol Night Cream"/>
    <x v="3"/>
    <n v="2"/>
    <n v="799"/>
    <n v="0.25"/>
    <n v="1598"/>
    <n v="399.5"/>
    <n v="1198.5"/>
    <n v="216"/>
    <n v="432"/>
    <n v="60"/>
    <n v="706.5"/>
    <n v="0.58948685857321648"/>
    <x v="3"/>
    <d v="2025-10-14T00:00:00"/>
    <n v="6"/>
    <x v="2"/>
    <n v="4"/>
    <n v="0"/>
  </r>
  <r>
    <s v="ORD-104063"/>
    <x v="642"/>
    <x v="1"/>
    <d v="2025-10-01T00:00:00"/>
    <n v="10"/>
    <s v="CUST-00085"/>
    <x v="1"/>
    <x v="22"/>
    <s v="AS"/>
    <x v="2"/>
    <s v="Guwahati"/>
    <x v="4"/>
    <s v="P502"/>
    <s v="Ceramic Dinner Set"/>
    <x v="4"/>
    <n v="2"/>
    <n v="2499"/>
    <n v="0.5"/>
    <n v="4998"/>
    <n v="2499"/>
    <n v="2499"/>
    <n v="1250"/>
    <n v="2500"/>
    <n v="60"/>
    <n v="-61"/>
    <n v="-2.4409763905562223E-2"/>
    <x v="3"/>
    <d v="2025-10-15T00:00:00"/>
    <n v="7"/>
    <x v="2"/>
    <n v="3"/>
    <n v="0"/>
  </r>
  <r>
    <s v="ORD-104064"/>
    <x v="642"/>
    <x v="1"/>
    <d v="2025-10-01T00:00:00"/>
    <n v="10"/>
    <s v="CUST-02599"/>
    <x v="1"/>
    <x v="1"/>
    <s v="GJ"/>
    <x v="1"/>
    <s v="Surat"/>
    <x v="2"/>
    <s v="P105"/>
    <s v="Retinol Night Cream"/>
    <x v="3"/>
    <n v="1"/>
    <n v="799"/>
    <n v="0.2"/>
    <n v="799"/>
    <n v="159.80000000000001"/>
    <n v="639.20000000000005"/>
    <n v="216"/>
    <n v="216"/>
    <n v="60"/>
    <n v="363.20000000000005"/>
    <n v="0.56821026282853571"/>
    <x v="4"/>
    <d v="2025-10-14T00:00:00"/>
    <n v="6"/>
    <x v="2"/>
    <n v="3"/>
    <n v="0"/>
  </r>
  <r>
    <s v="ORD-104065"/>
    <x v="642"/>
    <x v="1"/>
    <d v="2025-10-01T00:00:00"/>
    <n v="10"/>
    <s v="CUST-00908"/>
    <x v="1"/>
    <x v="13"/>
    <s v="MP"/>
    <x v="1"/>
    <s v="Bhopal"/>
    <x v="2"/>
    <s v="P401"/>
    <s v="Running Shoes"/>
    <x v="5"/>
    <n v="4"/>
    <n v="2999"/>
    <n v="0.2"/>
    <n v="11996"/>
    <n v="2399.2000000000003"/>
    <n v="9596.7999999999993"/>
    <n v="1440"/>
    <n v="5760"/>
    <n v="60"/>
    <n v="3776.7999999999993"/>
    <n v="0.39354784928309433"/>
    <x v="3"/>
    <d v="2025-10-14T00:00:00"/>
    <n v="6"/>
    <x v="2"/>
    <n v="3"/>
    <n v="0"/>
  </r>
  <r>
    <s v="ORD-104066"/>
    <x v="642"/>
    <x v="1"/>
    <d v="2025-10-01T00:00:00"/>
    <n v="10"/>
    <s v="CUST-00363"/>
    <x v="1"/>
    <x v="2"/>
    <s v="MH"/>
    <x v="1"/>
    <s v="Pune"/>
    <x v="2"/>
    <s v="P203"/>
    <s v="Keratin Hair Mask"/>
    <x v="6"/>
    <n v="3"/>
    <n v="549"/>
    <n v="0.35"/>
    <n v="1647"/>
    <n v="576.44999999999993"/>
    <n v="1070.5500000000002"/>
    <n v="170"/>
    <n v="510"/>
    <n v="60"/>
    <n v="500.55000000000018"/>
    <n v="0.46756340198963159"/>
    <x v="3"/>
    <d v="2025-10-11T00:00:00"/>
    <n v="3"/>
    <x v="0"/>
    <n v="4"/>
    <n v="0"/>
  </r>
  <r>
    <s v="ORD-104067"/>
    <x v="642"/>
    <x v="1"/>
    <d v="2025-10-01T00:00:00"/>
    <n v="10"/>
    <s v="CUST-00082"/>
    <x v="1"/>
    <x v="3"/>
    <s v="OD"/>
    <x v="2"/>
    <s v="Bhubaneswar"/>
    <x v="4"/>
    <s v="P103"/>
    <s v="Niacinamide Toner"/>
    <x v="3"/>
    <n v="3"/>
    <n v="399"/>
    <n v="0.4"/>
    <n v="1197"/>
    <n v="478.8"/>
    <n v="718.2"/>
    <n v="112"/>
    <n v="336"/>
    <n v="60"/>
    <n v="322.20000000000005"/>
    <n v="0.44862155388471181"/>
    <x v="0"/>
    <d v="2025-10-13T00:00:00"/>
    <n v="5"/>
    <x v="2"/>
    <n v="3"/>
    <n v="0"/>
  </r>
  <r>
    <s v="ORD-104068"/>
    <x v="642"/>
    <x v="1"/>
    <d v="2025-10-01T00:00:00"/>
    <n v="10"/>
    <s v="CUST-00279"/>
    <x v="1"/>
    <x v="14"/>
    <s v="KL"/>
    <x v="3"/>
    <s v="Thiruvananthapuram"/>
    <x v="3"/>
    <s v="P201"/>
    <s v="Onion Hair Oil"/>
    <x v="6"/>
    <n v="3"/>
    <n v="349"/>
    <n v="0.5"/>
    <n v="1047"/>
    <n v="523.5"/>
    <n v="523.5"/>
    <n v="105"/>
    <n v="315"/>
    <n v="60"/>
    <n v="148.5"/>
    <n v="0.28366762177650429"/>
    <x v="0"/>
    <d v="2025-10-12T00:00:00"/>
    <n v="4"/>
    <x v="0"/>
    <n v="4"/>
    <n v="0"/>
  </r>
  <r>
    <s v="ORD-104069"/>
    <x v="642"/>
    <x v="1"/>
    <d v="2025-10-01T00:00:00"/>
    <n v="10"/>
    <s v="CUST-01590"/>
    <x v="0"/>
    <x v="17"/>
    <s v="TN"/>
    <x v="3"/>
    <s v="Coimbatore"/>
    <x v="4"/>
    <s v="P702"/>
    <s v="Whey Protein 1kg"/>
    <x v="0"/>
    <n v="2"/>
    <n v="2299"/>
    <n v="0.45"/>
    <n v="4598"/>
    <n v="2069.1"/>
    <n v="2528.9"/>
    <n v="1333"/>
    <n v="2666"/>
    <n v="60"/>
    <n v="-197.09999999999991"/>
    <n v="-7.7939024872474158E-2"/>
    <x v="0"/>
    <d v="2025-10-10T00:00:00"/>
    <n v="2"/>
    <x v="1"/>
    <n v="5"/>
    <n v="0"/>
  </r>
  <r>
    <s v="ORD-104070"/>
    <x v="642"/>
    <x v="1"/>
    <d v="2025-10-01T00:00:00"/>
    <n v="10"/>
    <s v="CUST-02655"/>
    <x v="0"/>
    <x v="17"/>
    <s v="TN"/>
    <x v="3"/>
    <s v="Chennai"/>
    <x v="3"/>
    <s v="P704"/>
    <s v="Multivitamin Gummies"/>
    <x v="0"/>
    <n v="2"/>
    <n v="699"/>
    <n v="0.25"/>
    <n v="1398"/>
    <n v="349.5"/>
    <n v="1048.5"/>
    <n v="238"/>
    <n v="476"/>
    <n v="60"/>
    <n v="512.5"/>
    <n v="0.48879351454458753"/>
    <x v="3"/>
    <d v="2025-10-10T00:00:00"/>
    <n v="2"/>
    <x v="1"/>
    <m/>
    <n v="0"/>
  </r>
  <r>
    <s v="ORD-104071"/>
    <x v="643"/>
    <x v="1"/>
    <d v="2025-10-01T00:00:00"/>
    <n v="10"/>
    <s v="CUST-00585"/>
    <x v="0"/>
    <x v="4"/>
    <s v="JK"/>
    <x v="0"/>
    <s v="Srinagar"/>
    <x v="0"/>
    <s v="P204"/>
    <s v="Anti-Dandruff Conditioner"/>
    <x v="6"/>
    <n v="2"/>
    <n v="399"/>
    <n v="0.5"/>
    <n v="798"/>
    <n v="399"/>
    <n v="399"/>
    <n v="136"/>
    <n v="272"/>
    <n v="60"/>
    <n v="67"/>
    <n v="0.16791979949874686"/>
    <x v="1"/>
    <d v="2025-10-15T00:00:00"/>
    <n v="6"/>
    <x v="2"/>
    <n v="4"/>
    <n v="0"/>
  </r>
  <r>
    <s v="ORD-104072"/>
    <x v="643"/>
    <x v="1"/>
    <d v="2025-10-01T00:00:00"/>
    <n v="10"/>
    <s v="CUST-00559"/>
    <x v="1"/>
    <x v="0"/>
    <s v="RJ"/>
    <x v="0"/>
    <s v="Jaipur"/>
    <x v="3"/>
    <s v="P103"/>
    <s v="Niacinamide Toner"/>
    <x v="3"/>
    <n v="3"/>
    <n v="399"/>
    <n v="0.45"/>
    <n v="1197"/>
    <n v="538.65"/>
    <n v="658.35"/>
    <n v="112"/>
    <n v="336"/>
    <n v="60"/>
    <n v="262.35000000000002"/>
    <n v="0.39849624060150379"/>
    <x v="0"/>
    <d v="2025-10-13T00:00:00"/>
    <n v="4"/>
    <x v="0"/>
    <n v="5"/>
    <n v="0"/>
  </r>
  <r>
    <s v="ORD-104073"/>
    <x v="643"/>
    <x v="1"/>
    <d v="2025-10-01T00:00:00"/>
    <n v="10"/>
    <s v="CUST-02457"/>
    <x v="1"/>
    <x v="6"/>
    <s v="DL"/>
    <x v="0"/>
    <s v="New Delhi"/>
    <x v="1"/>
    <s v="P404"/>
    <s v="Flip Flops"/>
    <x v="5"/>
    <n v="2"/>
    <n v="399"/>
    <n v="0.3"/>
    <n v="798"/>
    <n v="239.39999999999998"/>
    <n v="558.6"/>
    <n v="152"/>
    <n v="304"/>
    <n v="60"/>
    <n v="194.60000000000002"/>
    <n v="0.34837092731829578"/>
    <x v="3"/>
    <d v="2025-10-12T00:00:00"/>
    <n v="3"/>
    <x v="0"/>
    <n v="4"/>
    <n v="0"/>
  </r>
  <r>
    <s v="ORD-104074"/>
    <x v="643"/>
    <x v="1"/>
    <d v="2025-10-01T00:00:00"/>
    <n v="10"/>
    <s v="CUST-01693"/>
    <x v="1"/>
    <x v="6"/>
    <s v="DL"/>
    <x v="0"/>
    <s v="New Delhi"/>
    <x v="2"/>
    <s v="P201"/>
    <s v="Onion Hair Oil"/>
    <x v="6"/>
    <n v="1"/>
    <n v="349"/>
    <n v="0.35"/>
    <n v="349"/>
    <n v="122.14999999999999"/>
    <n v="226.85000000000002"/>
    <n v="105"/>
    <n v="105"/>
    <n v="60"/>
    <n v="61.850000000000023"/>
    <n v="0.27264712364998905"/>
    <x v="1"/>
    <d v="2025-10-11T00:00:00"/>
    <n v="2"/>
    <x v="1"/>
    <n v="4"/>
    <n v="0"/>
  </r>
  <r>
    <s v="ORD-104075"/>
    <x v="643"/>
    <x v="1"/>
    <d v="2025-10-01T00:00:00"/>
    <n v="10"/>
    <s v="CUST-00767"/>
    <x v="1"/>
    <x v="16"/>
    <s v="UP"/>
    <x v="0"/>
    <s v="Noida"/>
    <x v="2"/>
    <s v="P105"/>
    <s v="Retinol Night Cream"/>
    <x v="3"/>
    <n v="3"/>
    <n v="799"/>
    <n v="0.2"/>
    <n v="2397"/>
    <n v="479.40000000000003"/>
    <n v="1917.6"/>
    <n v="216"/>
    <n v="648"/>
    <n v="60"/>
    <n v="1209.5999999999999"/>
    <n v="0.63078848560700873"/>
    <x v="1"/>
    <d v="2025-10-13T00:00:00"/>
    <n v="4"/>
    <x v="0"/>
    <m/>
    <n v="0"/>
  </r>
  <r>
    <s v="ORD-104076"/>
    <x v="643"/>
    <x v="1"/>
    <d v="2025-10-01T00:00:00"/>
    <n v="10"/>
    <s v="CUST-00993"/>
    <x v="1"/>
    <x v="12"/>
    <s v="BR"/>
    <x v="2"/>
    <s v="Patna"/>
    <x v="2"/>
    <s v="P404"/>
    <s v="Flip Flops"/>
    <x v="5"/>
    <n v="1"/>
    <n v="399"/>
    <n v="0.2"/>
    <n v="399"/>
    <n v="79.800000000000011"/>
    <n v="319.2"/>
    <n v="152"/>
    <n v="152"/>
    <n v="120"/>
    <n v="47.199999999999989"/>
    <n v="0.14786967418546362"/>
    <x v="4"/>
    <d v="2025-10-15T00:00:00"/>
    <n v="6"/>
    <x v="2"/>
    <m/>
    <n v="1"/>
  </r>
  <r>
    <s v="ORD-104077"/>
    <x v="643"/>
    <x v="1"/>
    <d v="2025-10-01T00:00:00"/>
    <n v="10"/>
    <s v="CUST-00019"/>
    <x v="1"/>
    <x v="1"/>
    <s v="GJ"/>
    <x v="1"/>
    <s v="Surat"/>
    <x v="1"/>
    <s v="P303"/>
    <s v="Joggers"/>
    <x v="1"/>
    <n v="2"/>
    <n v="1199"/>
    <n v="0.3"/>
    <n v="2398"/>
    <n v="719.4"/>
    <n v="1678.6"/>
    <n v="492"/>
    <n v="984"/>
    <n v="60"/>
    <n v="634.59999999999991"/>
    <n v="0.37805313952102937"/>
    <x v="0"/>
    <d v="2025-10-13T00:00:00"/>
    <n v="4"/>
    <x v="0"/>
    <n v="4"/>
    <n v="0"/>
  </r>
  <r>
    <s v="ORD-104078"/>
    <x v="643"/>
    <x v="1"/>
    <d v="2025-10-01T00:00:00"/>
    <n v="10"/>
    <s v="CUST-02210"/>
    <x v="0"/>
    <x v="1"/>
    <s v="GJ"/>
    <x v="1"/>
    <s v="Ahmedabad"/>
    <x v="1"/>
    <s v="P305"/>
    <s v="Printed Saree"/>
    <x v="1"/>
    <n v="3"/>
    <n v="1999"/>
    <n v="0.3"/>
    <n v="5997"/>
    <n v="1799.1"/>
    <n v="4197.8999999999996"/>
    <n v="880"/>
    <n v="2640"/>
    <n v="60"/>
    <n v="1497.8999999999996"/>
    <n v="0.35682126777674544"/>
    <x v="0"/>
    <d v="2025-10-11T00:00:00"/>
    <n v="2"/>
    <x v="1"/>
    <n v="4"/>
    <n v="0"/>
  </r>
  <r>
    <s v="ORD-104079"/>
    <x v="643"/>
    <x v="1"/>
    <d v="2025-10-01T00:00:00"/>
    <n v="10"/>
    <s v="CUST-00435"/>
    <x v="1"/>
    <x v="13"/>
    <s v="MP"/>
    <x v="1"/>
    <s v="Bhopal"/>
    <x v="3"/>
    <s v="P103"/>
    <s v="Niacinamide Toner"/>
    <x v="3"/>
    <n v="1"/>
    <n v="399"/>
    <n v="0.25"/>
    <n v="399"/>
    <n v="99.75"/>
    <n v="299.25"/>
    <n v="112"/>
    <n v="112"/>
    <n v="60"/>
    <n v="127.25"/>
    <n v="0.42522974101921468"/>
    <x v="0"/>
    <d v="2025-10-12T00:00:00"/>
    <n v="3"/>
    <x v="0"/>
    <m/>
    <n v="0"/>
  </r>
  <r>
    <s v="ORD-104080"/>
    <x v="643"/>
    <x v="1"/>
    <d v="2025-10-01T00:00:00"/>
    <n v="10"/>
    <s v="CUST-00917"/>
    <x v="1"/>
    <x v="13"/>
    <s v="MP"/>
    <x v="1"/>
    <s v="Bhopal"/>
    <x v="0"/>
    <s v="P503"/>
    <s v="Scented Candle Set"/>
    <x v="4"/>
    <n v="3"/>
    <n v="699"/>
    <n v="0.35"/>
    <n v="2097"/>
    <n v="733.94999999999993"/>
    <n v="1363.0500000000002"/>
    <n v="245"/>
    <n v="735"/>
    <n v="60"/>
    <n v="568.05000000000018"/>
    <n v="0.41674920215692757"/>
    <x v="0"/>
    <d v="2025-10-14T00:00:00"/>
    <n v="5"/>
    <x v="2"/>
    <n v="4"/>
    <n v="0"/>
  </r>
  <r>
    <s v="ORD-104081"/>
    <x v="643"/>
    <x v="1"/>
    <d v="2025-10-01T00:00:00"/>
    <n v="10"/>
    <s v="CUST-02220"/>
    <x v="0"/>
    <x v="8"/>
    <s v="AP"/>
    <x v="3"/>
    <s v="Vijayawada"/>
    <x v="3"/>
    <s v="P105"/>
    <s v="Retinol Night Cream"/>
    <x v="3"/>
    <n v="2"/>
    <n v="799"/>
    <n v="0.35"/>
    <n v="1598"/>
    <n v="559.29999999999995"/>
    <n v="1038.7"/>
    <n v="216"/>
    <n v="432"/>
    <n v="60"/>
    <n v="546.70000000000005"/>
    <n v="0.52633099066140365"/>
    <x v="1"/>
    <d v="2025-10-12T00:00:00"/>
    <n v="3"/>
    <x v="0"/>
    <m/>
    <n v="0"/>
  </r>
  <r>
    <s v="ORD-104082"/>
    <x v="643"/>
    <x v="1"/>
    <d v="2025-10-01T00:00:00"/>
    <n v="10"/>
    <s v="CUST-00022"/>
    <x v="1"/>
    <x v="8"/>
    <s v="AP"/>
    <x v="3"/>
    <s v="Vijayawada"/>
    <x v="4"/>
    <s v="P103"/>
    <s v="Niacinamide Toner"/>
    <x v="3"/>
    <n v="1"/>
    <n v="399"/>
    <n v="0.3"/>
    <n v="399"/>
    <n v="119.69999999999999"/>
    <n v="279.3"/>
    <n v="112"/>
    <n v="112"/>
    <n v="120"/>
    <n v="47.300000000000011"/>
    <n v="0.16935195130683856"/>
    <x v="1"/>
    <d v="2025-10-12T00:00:00"/>
    <n v="3"/>
    <x v="0"/>
    <m/>
    <n v="1"/>
  </r>
  <r>
    <s v="ORD-104083"/>
    <x v="644"/>
    <x v="1"/>
    <d v="2025-10-01T00:00:00"/>
    <n v="10"/>
    <s v="CUST-01058"/>
    <x v="1"/>
    <x v="0"/>
    <s v="RJ"/>
    <x v="0"/>
    <s v="Udaipur"/>
    <x v="0"/>
    <s v="P302"/>
    <s v="Linen Kurta"/>
    <x v="1"/>
    <n v="2"/>
    <n v="1499"/>
    <n v="0.5"/>
    <n v="2998"/>
    <n v="1499"/>
    <n v="1499"/>
    <n v="630"/>
    <n v="1260"/>
    <n v="60"/>
    <n v="179"/>
    <n v="0.11941294196130754"/>
    <x v="3"/>
    <d v="2025-10-14T00:00:00"/>
    <n v="4"/>
    <x v="0"/>
    <n v="4"/>
    <n v="0"/>
  </r>
  <r>
    <s v="ORD-104084"/>
    <x v="644"/>
    <x v="1"/>
    <d v="2025-10-01T00:00:00"/>
    <n v="10"/>
    <s v="CUST-00617"/>
    <x v="1"/>
    <x v="15"/>
    <s v="HR"/>
    <x v="0"/>
    <s v="Faridabad"/>
    <x v="2"/>
    <s v="P103"/>
    <s v="Niacinamide Toner"/>
    <x v="3"/>
    <n v="1"/>
    <n v="399"/>
    <n v="0.2"/>
    <n v="399"/>
    <n v="79.800000000000011"/>
    <n v="319.2"/>
    <n v="112"/>
    <n v="112"/>
    <n v="60"/>
    <n v="147.19999999999999"/>
    <n v="0.46115288220551376"/>
    <x v="1"/>
    <d v="2025-10-13T00:00:00"/>
    <n v="3"/>
    <x v="0"/>
    <n v="4"/>
    <n v="0"/>
  </r>
  <r>
    <s v="ORD-104085"/>
    <x v="644"/>
    <x v="1"/>
    <d v="2025-10-01T00:00:00"/>
    <n v="10"/>
    <s v="CUST-02234"/>
    <x v="0"/>
    <x v="16"/>
    <s v="UP"/>
    <x v="0"/>
    <s v="Noida"/>
    <x v="2"/>
    <s v="P604"/>
    <s v="Power Bank 20000mAh"/>
    <x v="2"/>
    <n v="2"/>
    <n v="1799"/>
    <n v="0.45"/>
    <n v="3598"/>
    <n v="1619.1000000000001"/>
    <n v="1978.8999999999999"/>
    <n v="1079"/>
    <n v="2158"/>
    <n v="60"/>
    <n v="-239.10000000000014"/>
    <n v="-0.12082470059123764"/>
    <x v="1"/>
    <d v="2025-10-14T00:00:00"/>
    <n v="4"/>
    <x v="0"/>
    <n v="3"/>
    <n v="0"/>
  </r>
  <r>
    <s v="ORD-104086"/>
    <x v="644"/>
    <x v="1"/>
    <d v="2025-10-01T00:00:00"/>
    <n v="10"/>
    <s v="CUST-00514"/>
    <x v="1"/>
    <x v="16"/>
    <s v="UP"/>
    <x v="0"/>
    <s v="Lucknow"/>
    <x v="1"/>
    <s v="P301"/>
    <s v="Cotton Oversized T-Shirt"/>
    <x v="1"/>
    <n v="1"/>
    <n v="799"/>
    <n v="0.2"/>
    <n v="799"/>
    <n v="159.80000000000001"/>
    <n v="639.20000000000005"/>
    <n v="320"/>
    <n v="320"/>
    <n v="120"/>
    <n v="199.20000000000005"/>
    <n v="0.31163954943679606"/>
    <x v="1"/>
    <d v="2025-10-14T00:00:00"/>
    <n v="4"/>
    <x v="0"/>
    <n v="5"/>
    <n v="1"/>
  </r>
  <r>
    <s v="ORD-104087"/>
    <x v="644"/>
    <x v="1"/>
    <d v="2025-10-01T00:00:00"/>
    <n v="10"/>
    <s v="CUST-00487"/>
    <x v="1"/>
    <x v="16"/>
    <s v="UP"/>
    <x v="0"/>
    <s v="Lucknow"/>
    <x v="0"/>
    <s v="P102"/>
    <s v="Sunscreen SPF 50"/>
    <x v="3"/>
    <n v="1"/>
    <n v="449"/>
    <n v="0.3"/>
    <n v="449"/>
    <n v="134.69999999999999"/>
    <n v="314.3"/>
    <n v="144"/>
    <n v="144"/>
    <n v="60"/>
    <n v="110.30000000000001"/>
    <n v="0.35093859370028635"/>
    <x v="0"/>
    <d v="2025-10-15T00:00:00"/>
    <n v="5"/>
    <x v="2"/>
    <n v="4"/>
    <n v="0"/>
  </r>
  <r>
    <s v="ORD-104088"/>
    <x v="644"/>
    <x v="1"/>
    <d v="2025-10-01T00:00:00"/>
    <n v="10"/>
    <s v="CUST-00260"/>
    <x v="1"/>
    <x v="12"/>
    <s v="BR"/>
    <x v="2"/>
    <s v="Patna"/>
    <x v="4"/>
    <s v="P303"/>
    <s v="Joggers"/>
    <x v="1"/>
    <n v="1"/>
    <n v="1199"/>
    <n v="0.25"/>
    <n v="1199"/>
    <n v="299.75"/>
    <n v="899.25"/>
    <n v="492"/>
    <n v="492"/>
    <n v="60"/>
    <n v="347.25"/>
    <n v="0.38615512927439533"/>
    <x v="4"/>
    <d v="2025-10-15T00:00:00"/>
    <n v="5"/>
    <x v="2"/>
    <n v="4"/>
    <n v="0"/>
  </r>
  <r>
    <s v="ORD-104089"/>
    <x v="644"/>
    <x v="1"/>
    <d v="2025-10-01T00:00:00"/>
    <n v="10"/>
    <s v="CUST-00022"/>
    <x v="1"/>
    <x v="13"/>
    <s v="MP"/>
    <x v="1"/>
    <s v="Bhopal"/>
    <x v="4"/>
    <s v="P103"/>
    <s v="Niacinamide Toner"/>
    <x v="3"/>
    <n v="4"/>
    <n v="399"/>
    <n v="0.4"/>
    <n v="1596"/>
    <n v="638.40000000000009"/>
    <n v="957.59999999999991"/>
    <n v="112"/>
    <n v="448"/>
    <n v="60"/>
    <n v="449.59999999999991"/>
    <n v="0.46950710108604843"/>
    <x v="3"/>
    <d v="2025-10-14T00:00:00"/>
    <n v="4"/>
    <x v="0"/>
    <n v="4"/>
    <n v="0"/>
  </r>
  <r>
    <s v="ORD-104090"/>
    <x v="644"/>
    <x v="1"/>
    <d v="2025-10-01T00:00:00"/>
    <n v="10"/>
    <s v="CUST-02755"/>
    <x v="0"/>
    <x v="2"/>
    <s v="MH"/>
    <x v="1"/>
    <s v="Nagpur"/>
    <x v="0"/>
    <s v="P101"/>
    <s v="Vitamin C Face Serum"/>
    <x v="3"/>
    <n v="1"/>
    <n v="599"/>
    <n v="0.3"/>
    <n v="599"/>
    <n v="179.7"/>
    <n v="419.3"/>
    <n v="180"/>
    <n v="180"/>
    <n v="60"/>
    <n v="179.3"/>
    <n v="0.42761745766754117"/>
    <x v="1"/>
    <d v="2025-10-13T00:00:00"/>
    <n v="3"/>
    <x v="0"/>
    <m/>
    <n v="0"/>
  </r>
  <r>
    <s v="ORD-104091"/>
    <x v="644"/>
    <x v="1"/>
    <d v="2025-10-01T00:00:00"/>
    <n v="10"/>
    <s v="CUST-00911"/>
    <x v="1"/>
    <x v="11"/>
    <s v="KA"/>
    <x v="3"/>
    <s v="Bengaluru"/>
    <x v="2"/>
    <s v="P201"/>
    <s v="Onion Hair Oil"/>
    <x v="6"/>
    <n v="1"/>
    <n v="349"/>
    <n v="0.4"/>
    <n v="349"/>
    <n v="139.6"/>
    <n v="209.4"/>
    <n v="105"/>
    <n v="105"/>
    <n v="60"/>
    <n v="44.400000000000006"/>
    <n v="0.21203438395415475"/>
    <x v="0"/>
    <d v="2025-10-14T00:00:00"/>
    <n v="4"/>
    <x v="0"/>
    <n v="4"/>
    <n v="0"/>
  </r>
  <r>
    <s v="ORD-104092"/>
    <x v="644"/>
    <x v="1"/>
    <d v="2025-10-01T00:00:00"/>
    <n v="10"/>
    <s v="CUST-01056"/>
    <x v="0"/>
    <x v="8"/>
    <s v="AP"/>
    <x v="3"/>
    <s v="Visakhapatnam"/>
    <x v="1"/>
    <s v="P404"/>
    <s v="Flip Flops"/>
    <x v="5"/>
    <n v="2"/>
    <n v="399"/>
    <n v="0.35"/>
    <n v="798"/>
    <n v="279.29999999999995"/>
    <n v="518.70000000000005"/>
    <n v="152"/>
    <n v="304"/>
    <n v="60"/>
    <n v="154.70000000000005"/>
    <n v="0.29824561403508776"/>
    <x v="0"/>
    <d v="2025-10-13T00:00:00"/>
    <n v="3"/>
    <x v="0"/>
    <n v="4"/>
    <n v="0"/>
  </r>
  <r>
    <s v="ORD-104093"/>
    <x v="645"/>
    <x v="1"/>
    <d v="2025-10-01T00:00:00"/>
    <n v="10"/>
    <s v="CUST-02451"/>
    <x v="0"/>
    <x v="0"/>
    <s v="RJ"/>
    <x v="0"/>
    <s v="Jaipur"/>
    <x v="0"/>
    <s v="P103"/>
    <s v="Niacinamide Toner"/>
    <x v="3"/>
    <n v="3"/>
    <n v="399"/>
    <n v="0.45"/>
    <n v="1197"/>
    <n v="538.65"/>
    <n v="658.35"/>
    <n v="112"/>
    <n v="336"/>
    <n v="60"/>
    <n v="262.35000000000002"/>
    <n v="0.39849624060150379"/>
    <x v="0"/>
    <d v="2025-10-14T00:00:00"/>
    <n v="3"/>
    <x v="0"/>
    <n v="3"/>
    <n v="0"/>
  </r>
  <r>
    <s v="ORD-104094"/>
    <x v="645"/>
    <x v="1"/>
    <d v="2025-10-01T00:00:00"/>
    <n v="10"/>
    <s v="CUST-00850"/>
    <x v="1"/>
    <x v="6"/>
    <s v="DL"/>
    <x v="0"/>
    <s v="New Delhi"/>
    <x v="1"/>
    <s v="P304"/>
    <s v="Denim Jacket"/>
    <x v="1"/>
    <n v="1"/>
    <n v="2499"/>
    <n v="0.15"/>
    <n v="2499"/>
    <n v="374.84999999999997"/>
    <n v="2124.15"/>
    <n v="1125"/>
    <n v="1125"/>
    <n v="60"/>
    <n v="939.15000000000009"/>
    <n v="0.44212979309370809"/>
    <x v="1"/>
    <d v="2025-10-14T00:00:00"/>
    <n v="3"/>
    <x v="0"/>
    <n v="4"/>
    <n v="0"/>
  </r>
  <r>
    <s v="ORD-104095"/>
    <x v="645"/>
    <x v="1"/>
    <d v="2025-10-01T00:00:00"/>
    <n v="10"/>
    <s v="CUST-02598"/>
    <x v="0"/>
    <x v="6"/>
    <s v="DL"/>
    <x v="0"/>
    <s v="New Delhi"/>
    <x v="0"/>
    <s v="P102"/>
    <s v="Sunscreen SPF 50"/>
    <x v="3"/>
    <n v="1"/>
    <n v="449"/>
    <n v="0.2"/>
    <n v="449"/>
    <n v="89.800000000000011"/>
    <n v="359.2"/>
    <n v="144"/>
    <n v="144"/>
    <n v="60"/>
    <n v="155.19999999999999"/>
    <n v="0.43207126948775054"/>
    <x v="2"/>
    <d v="2025-10-13T00:00:00"/>
    <n v="2"/>
    <x v="1"/>
    <n v="5"/>
    <n v="0"/>
  </r>
  <r>
    <s v="ORD-104096"/>
    <x v="645"/>
    <x v="1"/>
    <d v="2025-10-01T00:00:00"/>
    <n v="10"/>
    <s v="CUST-00117"/>
    <x v="1"/>
    <x v="16"/>
    <s v="UP"/>
    <x v="0"/>
    <s v="Kanpur"/>
    <x v="0"/>
    <s v="P302"/>
    <s v="Linen Kurta"/>
    <x v="1"/>
    <n v="2"/>
    <n v="1499"/>
    <n v="0.45"/>
    <n v="2998"/>
    <n v="1349.1000000000001"/>
    <n v="1648.8999999999999"/>
    <n v="630"/>
    <n v="1260"/>
    <n v="60"/>
    <n v="328.89999999999986"/>
    <n v="0.19946631087391586"/>
    <x v="0"/>
    <d v="2025-10-14T00:00:00"/>
    <n v="3"/>
    <x v="0"/>
    <n v="3"/>
    <n v="0"/>
  </r>
  <r>
    <s v="ORD-104097"/>
    <x v="645"/>
    <x v="1"/>
    <d v="2025-10-01T00:00:00"/>
    <n v="10"/>
    <s v="CUST-00990"/>
    <x v="1"/>
    <x v="16"/>
    <s v="UP"/>
    <x v="0"/>
    <s v="Kanpur"/>
    <x v="0"/>
    <s v="P301"/>
    <s v="Cotton Oversized T-Shirt"/>
    <x v="1"/>
    <n v="1"/>
    <n v="799"/>
    <n v="0.2"/>
    <n v="799"/>
    <n v="159.80000000000001"/>
    <n v="639.20000000000005"/>
    <n v="320"/>
    <n v="320"/>
    <n v="60"/>
    <n v="259.20000000000005"/>
    <n v="0.40550688360450565"/>
    <x v="0"/>
    <d v="2025-10-15T00:00:00"/>
    <n v="4"/>
    <x v="0"/>
    <n v="4"/>
    <n v="0"/>
  </r>
  <r>
    <s v="ORD-104098"/>
    <x v="645"/>
    <x v="1"/>
    <d v="2025-10-01T00:00:00"/>
    <n v="10"/>
    <s v="CUST-01673"/>
    <x v="0"/>
    <x v="16"/>
    <s v="UP"/>
    <x v="0"/>
    <s v="Noida"/>
    <x v="1"/>
    <s v="P404"/>
    <s v="Flip Flops"/>
    <x v="5"/>
    <n v="4"/>
    <n v="399"/>
    <n v="0.2"/>
    <n v="1596"/>
    <n v="319.20000000000005"/>
    <n v="1276.8"/>
    <n v="152"/>
    <n v="608"/>
    <n v="60"/>
    <n v="608.79999999999995"/>
    <n v="0.47681704260651625"/>
    <x v="3"/>
    <d v="2025-10-14T00:00:00"/>
    <n v="3"/>
    <x v="0"/>
    <n v="4"/>
    <n v="0"/>
  </r>
  <r>
    <s v="ORD-104099"/>
    <x v="645"/>
    <x v="1"/>
    <d v="2025-10-01T00:00:00"/>
    <n v="10"/>
    <s v="CUST-02590"/>
    <x v="0"/>
    <x v="12"/>
    <s v="BR"/>
    <x v="2"/>
    <s v="Patna"/>
    <x v="1"/>
    <s v="P402"/>
    <s v="Casual Sneakers"/>
    <x v="5"/>
    <n v="2"/>
    <n v="2199"/>
    <n v="0.45"/>
    <n v="4398"/>
    <n v="1979.1000000000001"/>
    <n v="2418.8999999999996"/>
    <n v="1034"/>
    <n v="2068"/>
    <n v="60"/>
    <n v="290.89999999999964"/>
    <n v="0.1202612757865144"/>
    <x v="3"/>
    <d v="2025-10-17T00:00:00"/>
    <n v="6"/>
    <x v="2"/>
    <n v="3"/>
    <n v="0"/>
  </r>
  <r>
    <s v="ORD-104100"/>
    <x v="645"/>
    <x v="1"/>
    <d v="2025-10-01T00:00:00"/>
    <n v="10"/>
    <s v="CUST-00203"/>
    <x v="1"/>
    <x v="1"/>
    <s v="GJ"/>
    <x v="1"/>
    <s v="Ahmedabad"/>
    <x v="0"/>
    <s v="P704"/>
    <s v="Multivitamin Gummies"/>
    <x v="0"/>
    <n v="2"/>
    <n v="699"/>
    <n v="0.5"/>
    <n v="1398"/>
    <n v="699"/>
    <n v="699"/>
    <n v="238"/>
    <n v="476"/>
    <n v="60"/>
    <n v="163"/>
    <n v="0.23319027181688126"/>
    <x v="1"/>
    <d v="2025-10-14T00:00:00"/>
    <n v="3"/>
    <x v="0"/>
    <n v="5"/>
    <n v="0"/>
  </r>
  <r>
    <s v="ORD-104101"/>
    <x v="645"/>
    <x v="1"/>
    <d v="2025-10-01T00:00:00"/>
    <n v="10"/>
    <s v="CUST-00313"/>
    <x v="1"/>
    <x v="7"/>
    <s v="JH"/>
    <x v="2"/>
    <s v="Ranchi"/>
    <x v="4"/>
    <s v="P103"/>
    <s v="Niacinamide Toner"/>
    <x v="3"/>
    <n v="2"/>
    <n v="399"/>
    <n v="0.4"/>
    <n v="798"/>
    <n v="319.20000000000005"/>
    <n v="478.79999999999995"/>
    <n v="112"/>
    <n v="224"/>
    <n v="60"/>
    <n v="194.79999999999995"/>
    <n v="0.40685045948203835"/>
    <x v="2"/>
    <d v="2025-10-15T00:00:00"/>
    <n v="4"/>
    <x v="0"/>
    <n v="3"/>
    <n v="0"/>
  </r>
  <r>
    <s v="ORD-104102"/>
    <x v="645"/>
    <x v="1"/>
    <d v="2025-10-01T00:00:00"/>
    <n v="10"/>
    <s v="CUST-01023"/>
    <x v="1"/>
    <x v="2"/>
    <s v="MH"/>
    <x v="1"/>
    <s v="Mumbai"/>
    <x v="2"/>
    <s v="P701"/>
    <s v="Ashwagandha Capsules"/>
    <x v="0"/>
    <n v="1"/>
    <n v="499"/>
    <n v="0.15"/>
    <n v="499"/>
    <n v="74.849999999999994"/>
    <n v="424.15"/>
    <n v="150"/>
    <n v="150"/>
    <n v="60"/>
    <n v="214.14999999999998"/>
    <n v="0.50489213721560766"/>
    <x v="0"/>
    <d v="2025-10-12T00:00:00"/>
    <n v="1"/>
    <x v="1"/>
    <n v="4"/>
    <n v="0"/>
  </r>
  <r>
    <s v="ORD-104103"/>
    <x v="645"/>
    <x v="1"/>
    <d v="2025-10-01T00:00:00"/>
    <n v="10"/>
    <s v="CUST-00008"/>
    <x v="1"/>
    <x v="2"/>
    <s v="MH"/>
    <x v="1"/>
    <s v="Mumbai"/>
    <x v="2"/>
    <s v="P202"/>
    <s v="Argan Shampoo"/>
    <x v="6"/>
    <n v="1"/>
    <n v="449"/>
    <n v="0.2"/>
    <n v="449"/>
    <n v="89.800000000000011"/>
    <n v="359.2"/>
    <n v="148"/>
    <n v="148"/>
    <n v="60"/>
    <n v="151.19999999999999"/>
    <n v="0.42093541202672602"/>
    <x v="0"/>
    <d v="2025-10-15T00:00:00"/>
    <n v="4"/>
    <x v="0"/>
    <n v="4"/>
    <n v="0"/>
  </r>
  <r>
    <s v="ORD-104104"/>
    <x v="645"/>
    <x v="1"/>
    <d v="2025-10-01T00:00:00"/>
    <n v="10"/>
    <s v="CUST-00883"/>
    <x v="1"/>
    <x v="17"/>
    <s v="TN"/>
    <x v="3"/>
    <s v="Chennai"/>
    <x v="3"/>
    <s v="P104"/>
    <s v="Hydrating Face Wash"/>
    <x v="3"/>
    <n v="1"/>
    <n v="299"/>
    <n v="0.25"/>
    <n v="299"/>
    <n v="74.75"/>
    <n v="224.25"/>
    <n v="90"/>
    <n v="90"/>
    <n v="60"/>
    <n v="74.25"/>
    <n v="0.33110367892976589"/>
    <x v="0"/>
    <d v="2025-10-16T00:00:00"/>
    <n v="5"/>
    <x v="2"/>
    <n v="4"/>
    <n v="0"/>
  </r>
  <r>
    <s v="ORD-104105"/>
    <x v="646"/>
    <x v="1"/>
    <d v="2025-10-01T00:00:00"/>
    <n v="10"/>
    <s v="CUST-02166"/>
    <x v="1"/>
    <x v="0"/>
    <s v="RJ"/>
    <x v="0"/>
    <s v="Udaipur"/>
    <x v="0"/>
    <s v="P404"/>
    <s v="Flip Flops"/>
    <x v="5"/>
    <n v="1"/>
    <n v="399"/>
    <n v="0.3"/>
    <n v="399"/>
    <n v="119.69999999999999"/>
    <n v="279.3"/>
    <n v="152"/>
    <n v="152"/>
    <n v="60"/>
    <n v="67.300000000000011"/>
    <n v="0.24095954171142145"/>
    <x v="0"/>
    <d v="2025-10-17T00:00:00"/>
    <n v="5"/>
    <x v="2"/>
    <n v="4"/>
    <n v="0"/>
  </r>
  <r>
    <s v="ORD-104106"/>
    <x v="646"/>
    <x v="1"/>
    <d v="2025-10-01T00:00:00"/>
    <n v="10"/>
    <s v="CUST-02468"/>
    <x v="0"/>
    <x v="15"/>
    <s v="HR"/>
    <x v="0"/>
    <s v="Faridabad"/>
    <x v="0"/>
    <s v="P101"/>
    <s v="Vitamin C Face Serum"/>
    <x v="3"/>
    <n v="1"/>
    <n v="599"/>
    <n v="0.2"/>
    <n v="599"/>
    <n v="119.80000000000001"/>
    <n v="479.2"/>
    <n v="180"/>
    <n v="180"/>
    <n v="60"/>
    <n v="239.2"/>
    <n v="0.4991652754590985"/>
    <x v="4"/>
    <d v="2025-10-15T00:00:00"/>
    <n v="3"/>
    <x v="0"/>
    <n v="3"/>
    <n v="0"/>
  </r>
  <r>
    <s v="ORD-104107"/>
    <x v="646"/>
    <x v="1"/>
    <d v="2025-10-01T00:00:00"/>
    <n v="10"/>
    <s v="CUST-01431"/>
    <x v="1"/>
    <x v="6"/>
    <s v="DL"/>
    <x v="0"/>
    <s v="New Delhi"/>
    <x v="2"/>
    <s v="P202"/>
    <s v="Argan Shampoo"/>
    <x v="6"/>
    <n v="1"/>
    <n v="449"/>
    <n v="0.3"/>
    <n v="449"/>
    <n v="134.69999999999999"/>
    <n v="314.3"/>
    <n v="148"/>
    <n v="148"/>
    <n v="60"/>
    <n v="106.30000000000001"/>
    <n v="0.33821189945911551"/>
    <x v="0"/>
    <d v="2025-10-13T00:00:00"/>
    <n v="1"/>
    <x v="1"/>
    <n v="4"/>
    <n v="0"/>
  </r>
  <r>
    <s v="ORD-104108"/>
    <x v="646"/>
    <x v="1"/>
    <d v="2025-10-01T00:00:00"/>
    <n v="10"/>
    <s v="CUST-00988"/>
    <x v="1"/>
    <x v="12"/>
    <s v="BR"/>
    <x v="2"/>
    <s v="Patna"/>
    <x v="0"/>
    <s v="P503"/>
    <s v="Scented Candle Set"/>
    <x v="4"/>
    <n v="2"/>
    <n v="699"/>
    <n v="0.4"/>
    <n v="1398"/>
    <n v="559.20000000000005"/>
    <n v="838.8"/>
    <n v="245"/>
    <n v="490"/>
    <n v="60"/>
    <n v="288.79999999999995"/>
    <n v="0.34430138292799234"/>
    <x v="1"/>
    <d v="2025-10-15T00:00:00"/>
    <n v="3"/>
    <x v="0"/>
    <n v="4"/>
    <n v="0"/>
  </r>
  <r>
    <s v="ORD-104109"/>
    <x v="646"/>
    <x v="1"/>
    <d v="2025-10-01T00:00:00"/>
    <n v="10"/>
    <s v="CUST-03126"/>
    <x v="0"/>
    <x v="1"/>
    <s v="GJ"/>
    <x v="1"/>
    <s v="Surat"/>
    <x v="1"/>
    <s v="P401"/>
    <s v="Running Shoes"/>
    <x v="5"/>
    <n v="2"/>
    <n v="2999"/>
    <n v="0.35"/>
    <n v="5998"/>
    <n v="2099.2999999999997"/>
    <n v="3898.7000000000003"/>
    <n v="1440"/>
    <n v="2880"/>
    <n v="60"/>
    <n v="958.70000000000027"/>
    <n v="0.24590248031395084"/>
    <x v="0"/>
    <d v="2025-10-16T00:00:00"/>
    <n v="4"/>
    <x v="0"/>
    <n v="4"/>
    <n v="0"/>
  </r>
  <r>
    <s v="ORD-104110"/>
    <x v="646"/>
    <x v="1"/>
    <d v="2025-10-01T00:00:00"/>
    <n v="10"/>
    <s v="CUST-02897"/>
    <x v="1"/>
    <x v="1"/>
    <s v="GJ"/>
    <x v="1"/>
    <s v="Surat"/>
    <x v="4"/>
    <s v="P504"/>
    <s v="Cotton Bedsheet"/>
    <x v="4"/>
    <n v="1"/>
    <n v="1299"/>
    <n v="0.05"/>
    <n v="1299"/>
    <n v="64.95"/>
    <n v="1234.05"/>
    <n v="585"/>
    <n v="585"/>
    <n v="60"/>
    <n v="589.04999999999995"/>
    <n v="0.47733074024553296"/>
    <x v="3"/>
    <d v="2025-10-14T00:00:00"/>
    <n v="2"/>
    <x v="1"/>
    <n v="4"/>
    <n v="0"/>
  </r>
  <r>
    <s v="ORD-104111"/>
    <x v="646"/>
    <x v="1"/>
    <d v="2025-10-01T00:00:00"/>
    <n v="10"/>
    <s v="CUST-00382"/>
    <x v="1"/>
    <x v="18"/>
    <s v="WB"/>
    <x v="2"/>
    <s v="Kolkata"/>
    <x v="0"/>
    <s v="P704"/>
    <s v="Multivitamin Gummies"/>
    <x v="0"/>
    <n v="2"/>
    <n v="699"/>
    <n v="0.35"/>
    <n v="1398"/>
    <n v="489.29999999999995"/>
    <n v="908.7"/>
    <n v="238"/>
    <n v="476"/>
    <n v="60"/>
    <n v="372.70000000000005"/>
    <n v="0.41014636293606255"/>
    <x v="3"/>
    <d v="2025-10-15T00:00:00"/>
    <n v="3"/>
    <x v="0"/>
    <n v="4"/>
    <n v="0"/>
  </r>
  <r>
    <s v="ORD-104112"/>
    <x v="646"/>
    <x v="1"/>
    <d v="2025-10-01T00:00:00"/>
    <n v="10"/>
    <s v="CUST-02594"/>
    <x v="1"/>
    <x v="18"/>
    <s v="WB"/>
    <x v="2"/>
    <s v="Kolkata"/>
    <x v="1"/>
    <s v="P404"/>
    <s v="Flip Flops"/>
    <x v="5"/>
    <n v="1"/>
    <n v="399"/>
    <n v="0.2"/>
    <n v="399"/>
    <n v="79.800000000000011"/>
    <n v="319.2"/>
    <n v="152"/>
    <n v="152"/>
    <n v="60"/>
    <n v="107.19999999999999"/>
    <n v="0.33583959899749372"/>
    <x v="0"/>
    <d v="2025-10-15T00:00:00"/>
    <n v="3"/>
    <x v="0"/>
    <n v="4"/>
    <n v="0"/>
  </r>
  <r>
    <s v="ORD-104113"/>
    <x v="646"/>
    <x v="1"/>
    <d v="2025-10-01T00:00:00"/>
    <n v="10"/>
    <s v="CUST-00916"/>
    <x v="1"/>
    <x v="2"/>
    <s v="MH"/>
    <x v="1"/>
    <s v="Pune"/>
    <x v="2"/>
    <s v="P203"/>
    <s v="Keratin Hair Mask"/>
    <x v="6"/>
    <n v="1"/>
    <n v="549"/>
    <n v="0.25"/>
    <n v="549"/>
    <n v="137.25"/>
    <n v="411.75"/>
    <n v="170"/>
    <n v="170"/>
    <n v="60"/>
    <n v="181.75"/>
    <n v="0.44140862173649059"/>
    <x v="0"/>
    <d v="2025-10-15T00:00:00"/>
    <n v="3"/>
    <x v="0"/>
    <n v="4"/>
    <n v="0"/>
  </r>
  <r>
    <s v="ORD-104114"/>
    <x v="646"/>
    <x v="1"/>
    <d v="2025-10-01T00:00:00"/>
    <n v="10"/>
    <s v="CUST-02897"/>
    <x v="1"/>
    <x v="2"/>
    <s v="MH"/>
    <x v="1"/>
    <s v="Pune"/>
    <x v="0"/>
    <s v="P604"/>
    <s v="Power Bank 20000mAh"/>
    <x v="2"/>
    <n v="3"/>
    <n v="1799"/>
    <n v="0.45"/>
    <n v="5397"/>
    <n v="2428.65"/>
    <n v="2968.35"/>
    <n v="1079"/>
    <n v="3237"/>
    <n v="60"/>
    <n v="-328.65000000000009"/>
    <n v="-0.11071807569862048"/>
    <x v="0"/>
    <d v="2025-10-15T00:00:00"/>
    <n v="3"/>
    <x v="0"/>
    <n v="4"/>
    <n v="0"/>
  </r>
  <r>
    <s v="ORD-104115"/>
    <x v="646"/>
    <x v="1"/>
    <d v="2025-10-01T00:00:00"/>
    <n v="10"/>
    <s v="CUST-00192"/>
    <x v="1"/>
    <x v="2"/>
    <s v="MH"/>
    <x v="1"/>
    <s v="Nagpur"/>
    <x v="2"/>
    <s v="P103"/>
    <s v="Niacinamide Toner"/>
    <x v="3"/>
    <n v="1"/>
    <n v="399"/>
    <n v="0.25"/>
    <n v="399"/>
    <n v="99.75"/>
    <n v="299.25"/>
    <n v="112"/>
    <n v="112"/>
    <n v="60"/>
    <n v="127.25"/>
    <n v="0.42522974101921468"/>
    <x v="0"/>
    <d v="2025-10-14T00:00:00"/>
    <n v="2"/>
    <x v="1"/>
    <m/>
    <n v="0"/>
  </r>
  <r>
    <s v="ORD-104116"/>
    <x v="646"/>
    <x v="1"/>
    <d v="2025-10-01T00:00:00"/>
    <n v="10"/>
    <s v="CUST-01618"/>
    <x v="0"/>
    <x v="2"/>
    <s v="MH"/>
    <x v="1"/>
    <s v="Mumbai"/>
    <x v="0"/>
    <s v="P403"/>
    <s v="Kolhapuri Sandals"/>
    <x v="5"/>
    <n v="1"/>
    <n v="999"/>
    <n v="0.1"/>
    <n v="999"/>
    <n v="99.9"/>
    <n v="899.1"/>
    <n v="400"/>
    <n v="400"/>
    <n v="60"/>
    <n v="439.1"/>
    <n v="0.48837726615504395"/>
    <x v="0"/>
    <d v="2025-10-14T00:00:00"/>
    <n v="2"/>
    <x v="1"/>
    <n v="4"/>
    <n v="0"/>
  </r>
  <r>
    <s v="ORD-104117"/>
    <x v="646"/>
    <x v="1"/>
    <d v="2025-10-01T00:00:00"/>
    <n v="10"/>
    <s v="CUST-01996"/>
    <x v="1"/>
    <x v="2"/>
    <s v="MH"/>
    <x v="1"/>
    <s v="Pune"/>
    <x v="2"/>
    <s v="P202"/>
    <s v="Argan Shampoo"/>
    <x v="6"/>
    <n v="2"/>
    <n v="449"/>
    <n v="0.05"/>
    <n v="898"/>
    <n v="44.900000000000006"/>
    <n v="853.1"/>
    <n v="148"/>
    <n v="296"/>
    <n v="60"/>
    <n v="497.1"/>
    <n v="0.58269839409213453"/>
    <x v="1"/>
    <d v="2025-10-16T00:00:00"/>
    <n v="4"/>
    <x v="0"/>
    <n v="4"/>
    <n v="0"/>
  </r>
  <r>
    <s v="ORD-104118"/>
    <x v="646"/>
    <x v="1"/>
    <d v="2025-10-01T00:00:00"/>
    <n v="10"/>
    <s v="CUST-00618"/>
    <x v="1"/>
    <x v="21"/>
    <s v="TG"/>
    <x v="3"/>
    <s v="Hyderabad"/>
    <x v="4"/>
    <s v="P101"/>
    <s v="Vitamin C Face Serum"/>
    <x v="3"/>
    <n v="1"/>
    <n v="599"/>
    <n v="0.2"/>
    <n v="599"/>
    <n v="119.80000000000001"/>
    <n v="479.2"/>
    <n v="180"/>
    <n v="180"/>
    <n v="60"/>
    <n v="239.2"/>
    <n v="0.4991652754590985"/>
    <x v="1"/>
    <d v="2025-10-13T00:00:00"/>
    <n v="1"/>
    <x v="1"/>
    <m/>
    <n v="0"/>
  </r>
  <r>
    <s v="ORD-104119"/>
    <x v="646"/>
    <x v="1"/>
    <d v="2025-10-01T00:00:00"/>
    <n v="10"/>
    <s v="CUST-01912"/>
    <x v="1"/>
    <x v="21"/>
    <s v="TG"/>
    <x v="3"/>
    <s v="Hyderabad"/>
    <x v="3"/>
    <s v="P204"/>
    <s v="Anti-Dandruff Conditioner"/>
    <x v="6"/>
    <n v="3"/>
    <n v="399"/>
    <n v="0.45"/>
    <n v="1197"/>
    <n v="538.65"/>
    <n v="658.35"/>
    <n v="136"/>
    <n v="408"/>
    <n v="120"/>
    <n v="130.35000000000002"/>
    <n v="0.1979949874686717"/>
    <x v="3"/>
    <d v="2025-10-14T00:00:00"/>
    <n v="2"/>
    <x v="1"/>
    <n v="4"/>
    <n v="1"/>
  </r>
  <r>
    <s v="ORD-104120"/>
    <x v="646"/>
    <x v="1"/>
    <d v="2025-10-01T00:00:00"/>
    <n v="10"/>
    <s v="CUST-00971"/>
    <x v="1"/>
    <x v="20"/>
    <s v="GA"/>
    <x v="1"/>
    <s v="Panaji"/>
    <x v="3"/>
    <s v="P101"/>
    <s v="Vitamin C Face Serum"/>
    <x v="3"/>
    <n v="2"/>
    <n v="599"/>
    <n v="0.35"/>
    <n v="1198"/>
    <n v="419.29999999999995"/>
    <n v="778.7"/>
    <n v="180"/>
    <n v="360"/>
    <n v="60"/>
    <n v="358.70000000000005"/>
    <n v="0.4606395274174907"/>
    <x v="3"/>
    <d v="2025-10-15T00:00:00"/>
    <n v="3"/>
    <x v="0"/>
    <n v="4"/>
    <n v="0"/>
  </r>
  <r>
    <s v="ORD-104121"/>
    <x v="646"/>
    <x v="1"/>
    <d v="2025-10-01T00:00:00"/>
    <n v="10"/>
    <s v="CUST-00380"/>
    <x v="1"/>
    <x v="11"/>
    <s v="KA"/>
    <x v="3"/>
    <s v="Bengaluru"/>
    <x v="4"/>
    <s v="P503"/>
    <s v="Scented Candle Set"/>
    <x v="4"/>
    <n v="3"/>
    <n v="699"/>
    <n v="0.35"/>
    <n v="2097"/>
    <n v="733.94999999999993"/>
    <n v="1363.0500000000002"/>
    <n v="245"/>
    <n v="735"/>
    <n v="60"/>
    <n v="568.05000000000018"/>
    <n v="0.41674920215692757"/>
    <x v="0"/>
    <d v="2025-10-17T00:00:00"/>
    <n v="5"/>
    <x v="2"/>
    <n v="4"/>
    <n v="0"/>
  </r>
  <r>
    <s v="ORD-104122"/>
    <x v="646"/>
    <x v="1"/>
    <d v="2025-10-01T00:00:00"/>
    <n v="10"/>
    <s v="CUST-00002"/>
    <x v="1"/>
    <x v="17"/>
    <s v="TN"/>
    <x v="3"/>
    <s v="Coimbatore"/>
    <x v="2"/>
    <s v="P703"/>
    <s v="Green Tea (100 bags)"/>
    <x v="0"/>
    <n v="2"/>
    <n v="399"/>
    <n v="0.55000000000000004"/>
    <n v="798"/>
    <n v="438.90000000000003"/>
    <n v="359.09999999999997"/>
    <n v="128"/>
    <n v="256"/>
    <n v="60"/>
    <n v="43.099999999999966"/>
    <n v="0.12002227791701467"/>
    <x v="0"/>
    <d v="2025-10-17T00:00:00"/>
    <n v="5"/>
    <x v="2"/>
    <n v="4"/>
    <n v="0"/>
  </r>
  <r>
    <s v="ORD-104123"/>
    <x v="647"/>
    <x v="1"/>
    <d v="2025-10-01T00:00:00"/>
    <n v="10"/>
    <s v="CUST-02615"/>
    <x v="1"/>
    <x v="0"/>
    <s v="RJ"/>
    <x v="0"/>
    <s v="Jaipur"/>
    <x v="0"/>
    <s v="P504"/>
    <s v="Cotton Bedsheet"/>
    <x v="4"/>
    <n v="1"/>
    <n v="1299"/>
    <n v="0.2"/>
    <n v="1299"/>
    <n v="259.8"/>
    <n v="1039.2"/>
    <n v="585"/>
    <n v="585"/>
    <n v="60"/>
    <n v="394.20000000000005"/>
    <n v="0.37933025404157045"/>
    <x v="1"/>
    <d v="2025-10-17T00:00:00"/>
    <n v="4"/>
    <x v="0"/>
    <n v="5"/>
    <n v="0"/>
  </r>
  <r>
    <s v="ORD-104124"/>
    <x v="647"/>
    <x v="1"/>
    <d v="2025-10-01T00:00:00"/>
    <n v="10"/>
    <s v="CUST-02003"/>
    <x v="1"/>
    <x v="15"/>
    <s v="HR"/>
    <x v="0"/>
    <s v="Faridabad"/>
    <x v="0"/>
    <s v="P602"/>
    <s v="Fast Charger 33W"/>
    <x v="2"/>
    <n v="1"/>
    <n v="899"/>
    <n v="0.15"/>
    <n v="899"/>
    <n v="134.85"/>
    <n v="764.15"/>
    <n v="494"/>
    <n v="494"/>
    <n v="60"/>
    <n v="210.14999999999998"/>
    <n v="0.27501145063142052"/>
    <x v="3"/>
    <d v="2025-10-16T00:00:00"/>
    <n v="3"/>
    <x v="0"/>
    <n v="4"/>
    <n v="0"/>
  </r>
  <r>
    <s v="ORD-104125"/>
    <x v="647"/>
    <x v="1"/>
    <d v="2025-10-01T00:00:00"/>
    <n v="10"/>
    <s v="CUST-00353"/>
    <x v="1"/>
    <x v="6"/>
    <s v="DL"/>
    <x v="0"/>
    <s v="New Delhi"/>
    <x v="4"/>
    <s v="P101"/>
    <s v="Vitamin C Face Serum"/>
    <x v="3"/>
    <n v="1"/>
    <n v="599"/>
    <n v="0.25"/>
    <n v="599"/>
    <n v="149.75"/>
    <n v="449.25"/>
    <n v="180"/>
    <n v="180"/>
    <n v="60"/>
    <n v="209.25"/>
    <n v="0.46577629382303842"/>
    <x v="4"/>
    <d v="2025-10-15T00:00:00"/>
    <n v="2"/>
    <x v="1"/>
    <m/>
    <n v="0"/>
  </r>
  <r>
    <s v="ORD-104126"/>
    <x v="647"/>
    <x v="1"/>
    <d v="2025-10-01T00:00:00"/>
    <n v="10"/>
    <s v="CUST-00491"/>
    <x v="1"/>
    <x v="12"/>
    <s v="BR"/>
    <x v="2"/>
    <s v="Patna"/>
    <x v="0"/>
    <s v="P303"/>
    <s v="Joggers"/>
    <x v="1"/>
    <n v="2"/>
    <n v="1199"/>
    <n v="0.35"/>
    <n v="2398"/>
    <n v="839.3"/>
    <n v="1558.7"/>
    <n v="492"/>
    <n v="984"/>
    <n v="60"/>
    <n v="514.70000000000005"/>
    <n v="0.33021107333033939"/>
    <x v="4"/>
    <d v="2025-10-18T00:00:00"/>
    <n v="5"/>
    <x v="2"/>
    <n v="3"/>
    <n v="0"/>
  </r>
  <r>
    <s v="ORD-104127"/>
    <x v="647"/>
    <x v="1"/>
    <d v="2025-10-01T00:00:00"/>
    <n v="10"/>
    <s v="CUST-02068"/>
    <x v="0"/>
    <x v="1"/>
    <s v="GJ"/>
    <x v="1"/>
    <s v="Surat"/>
    <x v="3"/>
    <s v="P202"/>
    <s v="Argan Shampoo"/>
    <x v="6"/>
    <n v="1"/>
    <n v="449"/>
    <n v="0.15"/>
    <n v="449"/>
    <n v="67.349999999999994"/>
    <n v="381.65"/>
    <n v="148"/>
    <n v="148"/>
    <n v="60"/>
    <n v="173.64999999999998"/>
    <n v="0.45499803484868334"/>
    <x v="0"/>
    <d v="2025-10-16T00:00:00"/>
    <n v="3"/>
    <x v="0"/>
    <n v="5"/>
    <n v="0"/>
  </r>
  <r>
    <s v="ORD-104128"/>
    <x v="647"/>
    <x v="1"/>
    <d v="2025-10-01T00:00:00"/>
    <n v="10"/>
    <s v="CUST-01120"/>
    <x v="1"/>
    <x v="1"/>
    <s v="GJ"/>
    <x v="1"/>
    <s v="Ahmedabad"/>
    <x v="4"/>
    <s v="P204"/>
    <s v="Anti-Dandruff Conditioner"/>
    <x v="6"/>
    <n v="3"/>
    <n v="399"/>
    <n v="0.6"/>
    <n v="1197"/>
    <n v="718.19999999999993"/>
    <n v="478.80000000000007"/>
    <n v="136"/>
    <n v="408"/>
    <n v="60"/>
    <n v="10.800000000000068"/>
    <n v="2.2556390977443747E-2"/>
    <x v="3"/>
    <d v="2025-10-19T00:00:00"/>
    <n v="6"/>
    <x v="2"/>
    <n v="3"/>
    <n v="0"/>
  </r>
  <r>
    <s v="ORD-104129"/>
    <x v="647"/>
    <x v="1"/>
    <d v="2025-10-01T00:00:00"/>
    <n v="10"/>
    <s v="CUST-01625"/>
    <x v="1"/>
    <x v="21"/>
    <s v="TG"/>
    <x v="3"/>
    <s v="Hyderabad"/>
    <x v="2"/>
    <s v="P203"/>
    <s v="Keratin Hair Mask"/>
    <x v="6"/>
    <n v="1"/>
    <n v="549"/>
    <n v="0.2"/>
    <n v="549"/>
    <n v="109.80000000000001"/>
    <n v="439.2"/>
    <n v="170"/>
    <n v="170"/>
    <n v="60"/>
    <n v="209.2"/>
    <n v="0.47632058287795992"/>
    <x v="4"/>
    <d v="2025-10-16T00:00:00"/>
    <n v="3"/>
    <x v="0"/>
    <n v="4"/>
    <n v="0"/>
  </r>
  <r>
    <s v="ORD-104130"/>
    <x v="647"/>
    <x v="1"/>
    <d v="2025-10-01T00:00:00"/>
    <n v="10"/>
    <s v="CUST-00576"/>
    <x v="1"/>
    <x v="21"/>
    <s v="TG"/>
    <x v="3"/>
    <s v="Hyderabad"/>
    <x v="2"/>
    <s v="P204"/>
    <s v="Anti-Dandruff Conditioner"/>
    <x v="6"/>
    <n v="2"/>
    <n v="399"/>
    <n v="0.45"/>
    <n v="798"/>
    <n v="359.1"/>
    <n v="438.9"/>
    <n v="136"/>
    <n v="272"/>
    <n v="60"/>
    <n v="106.89999999999998"/>
    <n v="0.24356345408976984"/>
    <x v="0"/>
    <d v="2025-10-18T00:00:00"/>
    <n v="5"/>
    <x v="2"/>
    <m/>
    <n v="0"/>
  </r>
  <r>
    <s v="ORD-104131"/>
    <x v="647"/>
    <x v="1"/>
    <d v="2025-10-01T00:00:00"/>
    <n v="10"/>
    <s v="CUST-00725"/>
    <x v="1"/>
    <x v="11"/>
    <s v="KA"/>
    <x v="3"/>
    <s v="Bengaluru"/>
    <x v="2"/>
    <s v="P402"/>
    <s v="Casual Sneakers"/>
    <x v="5"/>
    <n v="3"/>
    <n v="2199"/>
    <n v="0.2"/>
    <n v="6597"/>
    <n v="1319.4"/>
    <n v="5277.6"/>
    <n v="1034"/>
    <n v="3102"/>
    <n v="120"/>
    <n v="2055.6000000000004"/>
    <n v="0.38949522510231926"/>
    <x v="1"/>
    <d v="2025-10-17T00:00:00"/>
    <n v="4"/>
    <x v="0"/>
    <m/>
    <n v="1"/>
  </r>
  <r>
    <s v="ORD-104132"/>
    <x v="648"/>
    <x v="1"/>
    <d v="2025-10-01T00:00:00"/>
    <n v="10"/>
    <s v="CUST-00528"/>
    <x v="1"/>
    <x v="0"/>
    <s v="RJ"/>
    <x v="0"/>
    <s v="Jaipur"/>
    <x v="3"/>
    <s v="P104"/>
    <s v="Hydrating Face Wash"/>
    <x v="3"/>
    <n v="1"/>
    <n v="299"/>
    <n v="0.2"/>
    <n v="299"/>
    <n v="59.800000000000004"/>
    <n v="239.2"/>
    <n v="90"/>
    <n v="90"/>
    <n v="120"/>
    <n v="29.199999999999989"/>
    <n v="0.12207357859531769"/>
    <x v="3"/>
    <d v="2025-10-19T00:00:00"/>
    <n v="5"/>
    <x v="2"/>
    <m/>
    <n v="1"/>
  </r>
  <r>
    <s v="ORD-104133"/>
    <x v="648"/>
    <x v="1"/>
    <d v="2025-10-01T00:00:00"/>
    <n v="10"/>
    <s v="CUST-03139"/>
    <x v="0"/>
    <x v="6"/>
    <s v="DL"/>
    <x v="0"/>
    <s v="New Delhi"/>
    <x v="2"/>
    <s v="P204"/>
    <s v="Anti-Dandruff Conditioner"/>
    <x v="6"/>
    <n v="1"/>
    <n v="399"/>
    <n v="0.45"/>
    <n v="399"/>
    <n v="179.55"/>
    <n v="219.45"/>
    <n v="136"/>
    <n v="136"/>
    <n v="60"/>
    <n v="23.449999999999989"/>
    <n v="0.10685805422647524"/>
    <x v="0"/>
    <d v="2025-10-19T00:00:00"/>
    <n v="5"/>
    <x v="2"/>
    <n v="2"/>
    <n v="0"/>
  </r>
  <r>
    <s v="ORD-104134"/>
    <x v="648"/>
    <x v="1"/>
    <d v="2025-10-01T00:00:00"/>
    <n v="10"/>
    <s v="CUST-00739"/>
    <x v="1"/>
    <x v="6"/>
    <s v="DL"/>
    <x v="0"/>
    <s v="New Delhi"/>
    <x v="2"/>
    <s v="P603"/>
    <s v="Smartwatch Strap"/>
    <x v="2"/>
    <n v="1"/>
    <n v="499"/>
    <n v="0.15"/>
    <n v="499"/>
    <n v="74.849999999999994"/>
    <n v="424.15"/>
    <n v="200"/>
    <n v="200"/>
    <n v="60"/>
    <n v="164.14999999999998"/>
    <n v="0.38700931274313327"/>
    <x v="3"/>
    <d v="2025-10-18T00:00:00"/>
    <n v="4"/>
    <x v="0"/>
    <n v="3"/>
    <n v="0"/>
  </r>
  <r>
    <s v="ORD-104135"/>
    <x v="648"/>
    <x v="1"/>
    <d v="2025-10-01T00:00:00"/>
    <n v="10"/>
    <s v="CUST-00064"/>
    <x v="1"/>
    <x v="16"/>
    <s v="UP"/>
    <x v="0"/>
    <s v="Kanpur"/>
    <x v="3"/>
    <s v="P201"/>
    <s v="Onion Hair Oil"/>
    <x v="6"/>
    <n v="2"/>
    <n v="349"/>
    <n v="0.6"/>
    <n v="698"/>
    <n v="418.8"/>
    <n v="279.2"/>
    <n v="105"/>
    <n v="210"/>
    <n v="60"/>
    <n v="9.1999999999999886"/>
    <n v="3.2951289398280764E-2"/>
    <x v="3"/>
    <d v="2025-10-18T00:00:00"/>
    <n v="4"/>
    <x v="0"/>
    <n v="3"/>
    <n v="0"/>
  </r>
  <r>
    <s v="ORD-104136"/>
    <x v="648"/>
    <x v="1"/>
    <d v="2025-10-01T00:00:00"/>
    <n v="10"/>
    <s v="CUST-00001"/>
    <x v="1"/>
    <x v="1"/>
    <s v="GJ"/>
    <x v="1"/>
    <s v="Surat"/>
    <x v="3"/>
    <s v="P701"/>
    <s v="Ashwagandha Capsules"/>
    <x v="0"/>
    <n v="1"/>
    <n v="499"/>
    <n v="0.1"/>
    <n v="499"/>
    <n v="49.900000000000006"/>
    <n v="449.1"/>
    <n v="150"/>
    <n v="150"/>
    <n v="60"/>
    <n v="239.10000000000002"/>
    <n v="0.53239812959251842"/>
    <x v="0"/>
    <d v="2025-10-18T00:00:00"/>
    <n v="4"/>
    <x v="0"/>
    <n v="3"/>
    <n v="0"/>
  </r>
  <r>
    <s v="ORD-104137"/>
    <x v="648"/>
    <x v="1"/>
    <d v="2025-10-01T00:00:00"/>
    <n v="10"/>
    <s v="CUST-00761"/>
    <x v="1"/>
    <x v="1"/>
    <s v="GJ"/>
    <x v="1"/>
    <s v="Ahmedabad"/>
    <x v="4"/>
    <s v="P403"/>
    <s v="Kolhapuri Sandals"/>
    <x v="5"/>
    <n v="1"/>
    <n v="999"/>
    <n v="0.25"/>
    <n v="999"/>
    <n v="249.75"/>
    <n v="749.25"/>
    <n v="400"/>
    <n v="400"/>
    <n v="60"/>
    <n v="289.25"/>
    <n v="0.38605271938605273"/>
    <x v="1"/>
    <d v="2025-10-18T00:00:00"/>
    <n v="4"/>
    <x v="0"/>
    <m/>
    <n v="0"/>
  </r>
  <r>
    <s v="ORD-104138"/>
    <x v="648"/>
    <x v="1"/>
    <d v="2025-10-01T00:00:00"/>
    <n v="10"/>
    <s v="CUST-00845"/>
    <x v="0"/>
    <x v="1"/>
    <s v="GJ"/>
    <x v="1"/>
    <s v="Surat"/>
    <x v="2"/>
    <s v="P503"/>
    <s v="Scented Candle Set"/>
    <x v="4"/>
    <n v="3"/>
    <n v="699"/>
    <n v="0.25"/>
    <n v="2097"/>
    <n v="524.25"/>
    <n v="1572.75"/>
    <n v="245"/>
    <n v="735"/>
    <n v="60"/>
    <n v="777.75"/>
    <n v="0.49451597520267049"/>
    <x v="1"/>
    <d v="2025-10-18T00:00:00"/>
    <n v="4"/>
    <x v="0"/>
    <n v="4"/>
    <n v="0"/>
  </r>
  <r>
    <s v="ORD-104139"/>
    <x v="648"/>
    <x v="1"/>
    <d v="2025-10-01T00:00:00"/>
    <n v="10"/>
    <s v="CUST-00633"/>
    <x v="1"/>
    <x v="13"/>
    <s v="MP"/>
    <x v="1"/>
    <s v="Indore"/>
    <x v="4"/>
    <s v="P501"/>
    <s v="Copper Water Bottle"/>
    <x v="4"/>
    <n v="1"/>
    <n v="899"/>
    <n v="0.1"/>
    <n v="899"/>
    <n v="89.9"/>
    <n v="809.1"/>
    <n v="378"/>
    <n v="378"/>
    <n v="60"/>
    <n v="371.1"/>
    <n v="0.45865776789024842"/>
    <x v="3"/>
    <d v="2025-10-18T00:00:00"/>
    <n v="4"/>
    <x v="0"/>
    <n v="3"/>
    <n v="0"/>
  </r>
  <r>
    <s v="ORD-104140"/>
    <x v="648"/>
    <x v="1"/>
    <d v="2025-10-01T00:00:00"/>
    <n v="10"/>
    <s v="CUST-01990"/>
    <x v="1"/>
    <x v="2"/>
    <s v="MH"/>
    <x v="1"/>
    <s v="Nagpur"/>
    <x v="3"/>
    <s v="P102"/>
    <s v="Sunscreen SPF 50"/>
    <x v="3"/>
    <n v="1"/>
    <n v="449"/>
    <n v="0.25"/>
    <n v="449"/>
    <n v="112.25"/>
    <n v="336.75"/>
    <n v="144"/>
    <n v="144"/>
    <n v="60"/>
    <n v="132.75"/>
    <n v="0.39420935412026725"/>
    <x v="3"/>
    <d v="2025-10-16T00:00:00"/>
    <n v="2"/>
    <x v="1"/>
    <n v="5"/>
    <n v="0"/>
  </r>
  <r>
    <s v="ORD-104141"/>
    <x v="648"/>
    <x v="1"/>
    <d v="2025-10-01T00:00:00"/>
    <n v="10"/>
    <s v="CUST-00457"/>
    <x v="1"/>
    <x v="2"/>
    <s v="MH"/>
    <x v="1"/>
    <s v="Mumbai"/>
    <x v="4"/>
    <s v="P103"/>
    <s v="Niacinamide Toner"/>
    <x v="3"/>
    <n v="1"/>
    <n v="399"/>
    <n v="0.4"/>
    <n v="399"/>
    <n v="159.60000000000002"/>
    <n v="239.39999999999998"/>
    <n v="112"/>
    <n v="112"/>
    <n v="60"/>
    <n v="67.399999999999977"/>
    <n v="0.28153717627401831"/>
    <x v="3"/>
    <d v="2025-10-18T00:00:00"/>
    <n v="4"/>
    <x v="0"/>
    <m/>
    <n v="0"/>
  </r>
  <r>
    <s v="ORD-104142"/>
    <x v="648"/>
    <x v="1"/>
    <d v="2025-10-01T00:00:00"/>
    <n v="10"/>
    <s v="CUST-02816"/>
    <x v="1"/>
    <x v="11"/>
    <s v="KA"/>
    <x v="3"/>
    <s v="Bengaluru"/>
    <x v="4"/>
    <s v="P701"/>
    <s v="Ashwagandha Capsules"/>
    <x v="0"/>
    <n v="1"/>
    <n v="499"/>
    <n v="0.05"/>
    <n v="499"/>
    <n v="24.950000000000003"/>
    <n v="474.05"/>
    <n v="150"/>
    <n v="150"/>
    <n v="60"/>
    <n v="264.05"/>
    <n v="0.55700875435080688"/>
    <x v="1"/>
    <d v="2025-10-17T00:00:00"/>
    <n v="3"/>
    <x v="0"/>
    <m/>
    <n v="0"/>
  </r>
  <r>
    <s v="ORD-104143"/>
    <x v="648"/>
    <x v="1"/>
    <d v="2025-10-01T00:00:00"/>
    <n v="10"/>
    <s v="CUST-00480"/>
    <x v="0"/>
    <x v="14"/>
    <s v="KL"/>
    <x v="3"/>
    <s v="Kochi"/>
    <x v="2"/>
    <s v="P304"/>
    <s v="Denim Jacket"/>
    <x v="1"/>
    <n v="4"/>
    <n v="2499"/>
    <n v="0.2"/>
    <n v="9996"/>
    <n v="1999.2"/>
    <n v="7996.8"/>
    <n v="1125"/>
    <n v="4500"/>
    <n v="60"/>
    <n v="3436.8"/>
    <n v="0.42977190876350541"/>
    <x v="0"/>
    <d v="2025-10-21T00:00:00"/>
    <n v="7"/>
    <x v="2"/>
    <n v="4"/>
    <n v="0"/>
  </r>
  <r>
    <s v="ORD-104144"/>
    <x v="648"/>
    <x v="1"/>
    <d v="2025-10-01T00:00:00"/>
    <n v="10"/>
    <s v="CUST-02994"/>
    <x v="0"/>
    <x v="17"/>
    <s v="TN"/>
    <x v="3"/>
    <s v="Chennai"/>
    <x v="2"/>
    <s v="P102"/>
    <s v="Sunscreen SPF 50"/>
    <x v="3"/>
    <n v="1"/>
    <n v="449"/>
    <n v="0.2"/>
    <n v="449"/>
    <n v="89.800000000000011"/>
    <n v="359.2"/>
    <n v="144"/>
    <n v="144"/>
    <n v="60"/>
    <n v="155.19999999999999"/>
    <n v="0.43207126948775054"/>
    <x v="3"/>
    <d v="2025-10-19T00:00:00"/>
    <n v="5"/>
    <x v="2"/>
    <n v="3"/>
    <n v="0"/>
  </r>
  <r>
    <s v="ORD-104145"/>
    <x v="649"/>
    <x v="1"/>
    <d v="2025-10-01T00:00:00"/>
    <n v="10"/>
    <s v="CUST-00918"/>
    <x v="0"/>
    <x v="16"/>
    <s v="UP"/>
    <x v="0"/>
    <s v="Lucknow"/>
    <x v="0"/>
    <s v="P103"/>
    <s v="Niacinamide Toner"/>
    <x v="3"/>
    <n v="1"/>
    <n v="399"/>
    <n v="0.25"/>
    <n v="399"/>
    <n v="99.75"/>
    <n v="299.25"/>
    <n v="112"/>
    <n v="112"/>
    <n v="60"/>
    <n v="127.25"/>
    <n v="0.42522974101921468"/>
    <x v="0"/>
    <d v="2025-10-19T00:00:00"/>
    <n v="4"/>
    <x v="0"/>
    <m/>
    <n v="0"/>
  </r>
  <r>
    <s v="ORD-104146"/>
    <x v="649"/>
    <x v="1"/>
    <d v="2025-10-01T00:00:00"/>
    <n v="10"/>
    <s v="CUST-02091"/>
    <x v="1"/>
    <x v="16"/>
    <s v="UP"/>
    <x v="0"/>
    <s v="Lucknow"/>
    <x v="0"/>
    <s v="P503"/>
    <s v="Scented Candle Set"/>
    <x v="4"/>
    <n v="4"/>
    <n v="699"/>
    <n v="0.3"/>
    <n v="2796"/>
    <n v="838.8"/>
    <n v="1957.2"/>
    <n v="245"/>
    <n v="980"/>
    <n v="60"/>
    <n v="917.2"/>
    <n v="0.46862865317800939"/>
    <x v="0"/>
    <d v="2025-10-19T00:00:00"/>
    <n v="4"/>
    <x v="0"/>
    <n v="4"/>
    <n v="0"/>
  </r>
  <r>
    <s v="ORD-104147"/>
    <x v="649"/>
    <x v="1"/>
    <d v="2025-10-01T00:00:00"/>
    <n v="10"/>
    <s v="CUST-03128"/>
    <x v="1"/>
    <x v="22"/>
    <s v="AS"/>
    <x v="2"/>
    <s v="Guwahati"/>
    <x v="0"/>
    <s v="P701"/>
    <s v="Ashwagandha Capsules"/>
    <x v="0"/>
    <n v="1"/>
    <n v="499"/>
    <n v="0.2"/>
    <n v="499"/>
    <n v="99.800000000000011"/>
    <n v="399.2"/>
    <n v="150"/>
    <n v="150"/>
    <n v="60"/>
    <n v="189.2"/>
    <n v="0.47394789579158314"/>
    <x v="0"/>
    <d v="2025-10-22T00:00:00"/>
    <n v="7"/>
    <x v="2"/>
    <n v="3"/>
    <n v="0"/>
  </r>
  <r>
    <s v="ORD-104148"/>
    <x v="649"/>
    <x v="1"/>
    <d v="2025-10-01T00:00:00"/>
    <n v="10"/>
    <s v="CUST-02544"/>
    <x v="1"/>
    <x v="1"/>
    <s v="GJ"/>
    <x v="1"/>
    <s v="Surat"/>
    <x v="0"/>
    <s v="P701"/>
    <s v="Ashwagandha Capsules"/>
    <x v="0"/>
    <n v="1"/>
    <n v="499"/>
    <n v="0.1"/>
    <n v="499"/>
    <n v="49.900000000000006"/>
    <n v="449.1"/>
    <n v="150"/>
    <n v="150"/>
    <n v="60"/>
    <n v="239.10000000000002"/>
    <n v="0.53239812959251842"/>
    <x v="0"/>
    <d v="2025-10-19T00:00:00"/>
    <n v="4"/>
    <x v="0"/>
    <n v="4"/>
    <n v="0"/>
  </r>
  <r>
    <s v="ORD-104149"/>
    <x v="649"/>
    <x v="1"/>
    <d v="2025-10-01T00:00:00"/>
    <n v="10"/>
    <s v="CUST-01013"/>
    <x v="1"/>
    <x v="18"/>
    <s v="WB"/>
    <x v="2"/>
    <s v="Kolkata"/>
    <x v="3"/>
    <s v="P104"/>
    <s v="Hydrating Face Wash"/>
    <x v="3"/>
    <n v="1"/>
    <n v="299"/>
    <n v="0.15"/>
    <n v="299"/>
    <n v="44.85"/>
    <n v="254.15"/>
    <n v="90"/>
    <n v="90"/>
    <n v="60"/>
    <n v="104.15"/>
    <n v="0.40979736376155818"/>
    <x v="0"/>
    <d v="2025-10-18T00:00:00"/>
    <n v="3"/>
    <x v="0"/>
    <n v="4"/>
    <n v="0"/>
  </r>
  <r>
    <s v="ORD-104150"/>
    <x v="649"/>
    <x v="1"/>
    <d v="2025-10-01T00:00:00"/>
    <n v="10"/>
    <s v="CUST-00933"/>
    <x v="1"/>
    <x v="3"/>
    <s v="OD"/>
    <x v="2"/>
    <s v="Bhubaneswar"/>
    <x v="4"/>
    <s v="P602"/>
    <s v="Fast Charger 33W"/>
    <x v="2"/>
    <n v="3"/>
    <n v="899"/>
    <n v="0.15"/>
    <n v="2697"/>
    <n v="404.55"/>
    <n v="2292.4499999999998"/>
    <n v="494"/>
    <n v="1482"/>
    <n v="60"/>
    <n v="750.44999999999982"/>
    <n v="0.32735719426814103"/>
    <x v="4"/>
    <d v="2025-10-19T00:00:00"/>
    <n v="4"/>
    <x v="0"/>
    <m/>
    <n v="0"/>
  </r>
  <r>
    <s v="ORD-104151"/>
    <x v="649"/>
    <x v="1"/>
    <d v="2025-10-01T00:00:00"/>
    <n v="10"/>
    <s v="CUST-01856"/>
    <x v="0"/>
    <x v="11"/>
    <s v="KA"/>
    <x v="3"/>
    <s v="Bengaluru"/>
    <x v="3"/>
    <s v="P104"/>
    <s v="Hydrating Face Wash"/>
    <x v="3"/>
    <n v="1"/>
    <n v="299"/>
    <n v="0.15"/>
    <n v="299"/>
    <n v="44.85"/>
    <n v="254.15"/>
    <n v="90"/>
    <n v="90"/>
    <n v="60"/>
    <n v="104.15"/>
    <n v="0.40979736376155818"/>
    <x v="0"/>
    <d v="2025-10-18T00:00:00"/>
    <n v="3"/>
    <x v="0"/>
    <n v="4"/>
    <n v="0"/>
  </r>
  <r>
    <s v="ORD-104152"/>
    <x v="649"/>
    <x v="1"/>
    <d v="2025-10-01T00:00:00"/>
    <n v="10"/>
    <s v="CUST-00063"/>
    <x v="1"/>
    <x v="17"/>
    <s v="TN"/>
    <x v="3"/>
    <s v="Chennai"/>
    <x v="0"/>
    <s v="P201"/>
    <s v="Onion Hair Oil"/>
    <x v="6"/>
    <n v="1"/>
    <n v="349"/>
    <n v="0.45"/>
    <n v="349"/>
    <n v="157.05000000000001"/>
    <n v="191.95"/>
    <n v="105"/>
    <n v="105"/>
    <n v="60"/>
    <n v="26.949999999999989"/>
    <n v="0.1404011461318051"/>
    <x v="0"/>
    <d v="2025-10-16T00:00:00"/>
    <n v="1"/>
    <x v="1"/>
    <n v="4"/>
    <n v="0"/>
  </r>
  <r>
    <s v="ORD-104153"/>
    <x v="650"/>
    <x v="1"/>
    <d v="2025-10-01T00:00:00"/>
    <n v="10"/>
    <s v="CUST-02371"/>
    <x v="1"/>
    <x v="9"/>
    <s v="UK"/>
    <x v="0"/>
    <s v="Dehradun"/>
    <x v="0"/>
    <s v="P202"/>
    <s v="Argan Shampoo"/>
    <x v="6"/>
    <n v="1"/>
    <n v="449"/>
    <n v="0.2"/>
    <n v="449"/>
    <n v="89.800000000000011"/>
    <n v="359.2"/>
    <n v="148"/>
    <n v="148"/>
    <n v="60"/>
    <n v="151.19999999999999"/>
    <n v="0.42093541202672602"/>
    <x v="3"/>
    <d v="2025-10-20T00:00:00"/>
    <n v="4"/>
    <x v="0"/>
    <m/>
    <n v="0"/>
  </r>
  <r>
    <s v="ORD-104154"/>
    <x v="650"/>
    <x v="1"/>
    <d v="2025-10-01T00:00:00"/>
    <n v="10"/>
    <s v="CUST-01714"/>
    <x v="0"/>
    <x v="16"/>
    <s v="UP"/>
    <x v="0"/>
    <s v="Kanpur"/>
    <x v="0"/>
    <s v="P501"/>
    <s v="Copper Water Bottle"/>
    <x v="4"/>
    <n v="2"/>
    <n v="899"/>
    <n v="0.3"/>
    <n v="1798"/>
    <n v="539.4"/>
    <n v="1258.5999999999999"/>
    <n v="378"/>
    <n v="756"/>
    <n v="60"/>
    <n v="442.59999999999991"/>
    <n v="0.35166057524233268"/>
    <x v="0"/>
    <d v="2025-10-20T00:00:00"/>
    <n v="4"/>
    <x v="0"/>
    <n v="4"/>
    <n v="0"/>
  </r>
  <r>
    <s v="ORD-104155"/>
    <x v="650"/>
    <x v="1"/>
    <d v="2025-10-01T00:00:00"/>
    <n v="10"/>
    <s v="CUST-00851"/>
    <x v="1"/>
    <x v="1"/>
    <s v="GJ"/>
    <x v="1"/>
    <s v="Surat"/>
    <x v="2"/>
    <s v="P703"/>
    <s v="Green Tea (100 bags)"/>
    <x v="0"/>
    <n v="3"/>
    <n v="399"/>
    <n v="0.4"/>
    <n v="1197"/>
    <n v="478.8"/>
    <n v="718.2"/>
    <n v="128"/>
    <n v="384"/>
    <n v="120"/>
    <n v="214.20000000000005"/>
    <n v="0.29824561403508776"/>
    <x v="0"/>
    <d v="2025-10-23T00:00:00"/>
    <n v="7"/>
    <x v="2"/>
    <n v="3"/>
    <n v="1"/>
  </r>
  <r>
    <s v="ORD-104156"/>
    <x v="650"/>
    <x v="1"/>
    <d v="2025-10-01T00:00:00"/>
    <n v="10"/>
    <s v="CUST-00811"/>
    <x v="1"/>
    <x v="1"/>
    <s v="GJ"/>
    <x v="1"/>
    <s v="Ahmedabad"/>
    <x v="1"/>
    <s v="P303"/>
    <s v="Joggers"/>
    <x v="1"/>
    <n v="1"/>
    <n v="1199"/>
    <n v="0.15"/>
    <n v="1199"/>
    <n v="179.85"/>
    <n v="1019.15"/>
    <n v="492"/>
    <n v="492"/>
    <n v="60"/>
    <n v="467.15"/>
    <n v="0.45837217288917231"/>
    <x v="3"/>
    <d v="2025-10-20T00:00:00"/>
    <n v="4"/>
    <x v="0"/>
    <n v="5"/>
    <n v="0"/>
  </r>
  <r>
    <s v="ORD-104157"/>
    <x v="650"/>
    <x v="1"/>
    <d v="2025-10-01T00:00:00"/>
    <n v="10"/>
    <s v="CUST-00576"/>
    <x v="1"/>
    <x v="1"/>
    <s v="GJ"/>
    <x v="1"/>
    <s v="Surat"/>
    <x v="0"/>
    <s v="P501"/>
    <s v="Copper Water Bottle"/>
    <x v="4"/>
    <n v="1"/>
    <n v="899"/>
    <n v="0.1"/>
    <n v="899"/>
    <n v="89.9"/>
    <n v="809.1"/>
    <n v="378"/>
    <n v="378"/>
    <n v="60"/>
    <n v="371.1"/>
    <n v="0.45865776789024842"/>
    <x v="3"/>
    <d v="2025-10-22T00:00:00"/>
    <n v="6"/>
    <x v="2"/>
    <n v="3"/>
    <n v="0"/>
  </r>
  <r>
    <s v="ORD-104158"/>
    <x v="650"/>
    <x v="1"/>
    <d v="2025-10-01T00:00:00"/>
    <n v="10"/>
    <s v="CUST-00271"/>
    <x v="1"/>
    <x v="18"/>
    <s v="WB"/>
    <x v="2"/>
    <s v="Kolkata"/>
    <x v="0"/>
    <s v="P401"/>
    <s v="Running Shoes"/>
    <x v="5"/>
    <n v="1"/>
    <n v="2999"/>
    <n v="0.25"/>
    <n v="2999"/>
    <n v="749.75"/>
    <n v="2249.25"/>
    <n v="1440"/>
    <n v="1440"/>
    <n v="60"/>
    <n v="749.25"/>
    <n v="0.33311103701233746"/>
    <x v="1"/>
    <d v="2025-10-20T00:00:00"/>
    <n v="4"/>
    <x v="0"/>
    <n v="4"/>
    <n v="0"/>
  </r>
  <r>
    <s v="ORD-104159"/>
    <x v="650"/>
    <x v="1"/>
    <d v="2025-10-01T00:00:00"/>
    <n v="10"/>
    <s v="CUST-03172"/>
    <x v="1"/>
    <x v="2"/>
    <s v="MH"/>
    <x v="1"/>
    <s v="Nagpur"/>
    <x v="4"/>
    <s v="P202"/>
    <s v="Argan Shampoo"/>
    <x v="6"/>
    <n v="1"/>
    <n v="449"/>
    <n v="0.2"/>
    <n v="449"/>
    <n v="89.800000000000011"/>
    <n v="359.2"/>
    <n v="148"/>
    <n v="148"/>
    <n v="60"/>
    <n v="151.19999999999999"/>
    <n v="0.42093541202672602"/>
    <x v="1"/>
    <d v="2025-10-18T00:00:00"/>
    <n v="2"/>
    <x v="1"/>
    <n v="4"/>
    <n v="0"/>
  </r>
  <r>
    <s v="ORD-104160"/>
    <x v="650"/>
    <x v="1"/>
    <d v="2025-10-01T00:00:00"/>
    <n v="10"/>
    <s v="CUST-00833"/>
    <x v="1"/>
    <x v="21"/>
    <s v="TG"/>
    <x v="3"/>
    <s v="Hyderabad"/>
    <x v="1"/>
    <s v="P401"/>
    <s v="Running Shoes"/>
    <x v="5"/>
    <n v="2"/>
    <n v="2999"/>
    <n v="0.4"/>
    <n v="5998"/>
    <n v="2399.2000000000003"/>
    <n v="3598.7999999999997"/>
    <n v="1440"/>
    <n v="2880"/>
    <n v="60"/>
    <n v="658.79999999999973"/>
    <n v="0.18306102034011332"/>
    <x v="1"/>
    <d v="2025-10-20T00:00:00"/>
    <n v="4"/>
    <x v="0"/>
    <n v="4"/>
    <n v="0"/>
  </r>
  <r>
    <s v="ORD-104161"/>
    <x v="650"/>
    <x v="1"/>
    <d v="2025-10-01T00:00:00"/>
    <n v="10"/>
    <s v="CUST-01063"/>
    <x v="1"/>
    <x v="17"/>
    <s v="TN"/>
    <x v="3"/>
    <s v="Coimbatore"/>
    <x v="1"/>
    <s v="P301"/>
    <s v="Cotton Oversized T-Shirt"/>
    <x v="1"/>
    <n v="2"/>
    <n v="799"/>
    <n v="0.1"/>
    <n v="1598"/>
    <n v="159.80000000000001"/>
    <n v="1438.2"/>
    <n v="320"/>
    <n v="640"/>
    <n v="60"/>
    <n v="738.2"/>
    <n v="0.51328048950076488"/>
    <x v="0"/>
    <d v="2025-10-19T00:00:00"/>
    <n v="3"/>
    <x v="0"/>
    <n v="5"/>
    <n v="0"/>
  </r>
  <r>
    <s v="ORD-104162"/>
    <x v="651"/>
    <x v="1"/>
    <d v="2025-10-01T00:00:00"/>
    <n v="10"/>
    <s v="CUST-00369"/>
    <x v="1"/>
    <x v="19"/>
    <s v="PB"/>
    <x v="0"/>
    <s v="Ludhiana"/>
    <x v="2"/>
    <s v="P101"/>
    <s v="Vitamin C Face Serum"/>
    <x v="3"/>
    <n v="2"/>
    <n v="599"/>
    <n v="0.35"/>
    <n v="1198"/>
    <n v="419.29999999999995"/>
    <n v="778.7"/>
    <n v="180"/>
    <n v="360"/>
    <n v="60"/>
    <n v="358.70000000000005"/>
    <n v="0.4606395274174907"/>
    <x v="0"/>
    <d v="2025-10-21T00:00:00"/>
    <n v="4"/>
    <x v="0"/>
    <n v="3"/>
    <n v="0"/>
  </r>
  <r>
    <s v="ORD-104163"/>
    <x v="651"/>
    <x v="1"/>
    <d v="2025-10-01T00:00:00"/>
    <n v="10"/>
    <s v="CUST-00340"/>
    <x v="1"/>
    <x v="6"/>
    <s v="DL"/>
    <x v="0"/>
    <s v="New Delhi"/>
    <x v="0"/>
    <s v="P203"/>
    <s v="Keratin Hair Mask"/>
    <x v="6"/>
    <n v="2"/>
    <n v="549"/>
    <n v="0.35"/>
    <n v="1098"/>
    <n v="384.29999999999995"/>
    <n v="713.7"/>
    <n v="170"/>
    <n v="340"/>
    <n v="60"/>
    <n v="313.70000000000005"/>
    <n v="0.43954042314698055"/>
    <x v="4"/>
    <d v="2025-10-20T00:00:00"/>
    <n v="3"/>
    <x v="0"/>
    <n v="4"/>
    <n v="0"/>
  </r>
  <r>
    <s v="ORD-104164"/>
    <x v="651"/>
    <x v="1"/>
    <d v="2025-10-01T00:00:00"/>
    <n v="10"/>
    <s v="CUST-00806"/>
    <x v="1"/>
    <x v="6"/>
    <s v="DL"/>
    <x v="0"/>
    <s v="New Delhi"/>
    <x v="3"/>
    <s v="P704"/>
    <s v="Multivitamin Gummies"/>
    <x v="0"/>
    <n v="1"/>
    <n v="699"/>
    <n v="0.3"/>
    <n v="699"/>
    <n v="209.7"/>
    <n v="489.3"/>
    <n v="238"/>
    <n v="238"/>
    <n v="60"/>
    <n v="191.3"/>
    <n v="0.39096668710402616"/>
    <x v="3"/>
    <d v="2025-10-18T00:00:00"/>
    <n v="1"/>
    <x v="1"/>
    <n v="5"/>
    <n v="0"/>
  </r>
  <r>
    <s v="ORD-104165"/>
    <x v="651"/>
    <x v="1"/>
    <d v="2025-10-01T00:00:00"/>
    <n v="10"/>
    <s v="CUST-02697"/>
    <x v="0"/>
    <x v="12"/>
    <s v="BR"/>
    <x v="2"/>
    <s v="Patna"/>
    <x v="4"/>
    <s v="P603"/>
    <s v="Smartwatch Strap"/>
    <x v="2"/>
    <n v="1"/>
    <n v="499"/>
    <n v="0.25"/>
    <n v="499"/>
    <n v="124.75"/>
    <n v="374.25"/>
    <n v="200"/>
    <n v="200"/>
    <n v="60"/>
    <n v="114.25"/>
    <n v="0.30527722110888444"/>
    <x v="0"/>
    <d v="2025-10-21T00:00:00"/>
    <n v="4"/>
    <x v="0"/>
    <m/>
    <n v="0"/>
  </r>
  <r>
    <s v="ORD-104166"/>
    <x v="651"/>
    <x v="1"/>
    <d v="2025-10-01T00:00:00"/>
    <n v="10"/>
    <s v="CUST-02596"/>
    <x v="0"/>
    <x v="22"/>
    <s v="AS"/>
    <x v="2"/>
    <s v="Guwahati"/>
    <x v="0"/>
    <s v="P104"/>
    <s v="Hydrating Face Wash"/>
    <x v="3"/>
    <n v="1"/>
    <n v="299"/>
    <n v="0.25"/>
    <n v="299"/>
    <n v="74.75"/>
    <n v="224.25"/>
    <n v="90"/>
    <n v="90"/>
    <n v="60"/>
    <n v="74.25"/>
    <n v="0.33110367892976589"/>
    <x v="0"/>
    <d v="2025-10-25T00:00:00"/>
    <n v="8"/>
    <x v="2"/>
    <n v="2"/>
    <n v="0"/>
  </r>
  <r>
    <s v="ORD-104167"/>
    <x v="651"/>
    <x v="1"/>
    <d v="2025-10-01T00:00:00"/>
    <n v="10"/>
    <s v="CUST-00152"/>
    <x v="1"/>
    <x v="1"/>
    <s v="GJ"/>
    <x v="1"/>
    <s v="Surat"/>
    <x v="1"/>
    <s v="P302"/>
    <s v="Linen Kurta"/>
    <x v="1"/>
    <n v="2"/>
    <n v="1499"/>
    <n v="0.4"/>
    <n v="2998"/>
    <n v="1199.2"/>
    <n v="1798.8"/>
    <n v="630"/>
    <n v="1260"/>
    <n v="120"/>
    <n v="418.79999999999995"/>
    <n v="0.23282188125416942"/>
    <x v="3"/>
    <d v="2025-10-23T00:00:00"/>
    <n v="6"/>
    <x v="2"/>
    <n v="3"/>
    <n v="1"/>
  </r>
  <r>
    <s v="ORD-104168"/>
    <x v="651"/>
    <x v="1"/>
    <d v="2025-10-01T00:00:00"/>
    <n v="10"/>
    <s v="CUST-00013"/>
    <x v="1"/>
    <x v="1"/>
    <s v="GJ"/>
    <x v="1"/>
    <s v="Surat"/>
    <x v="3"/>
    <s v="P202"/>
    <s v="Argan Shampoo"/>
    <x v="6"/>
    <n v="1"/>
    <n v="449"/>
    <n v="0.15"/>
    <n v="449"/>
    <n v="67.349999999999994"/>
    <n v="381.65"/>
    <n v="148"/>
    <n v="148"/>
    <n v="60"/>
    <n v="173.64999999999998"/>
    <n v="0.45499803484868334"/>
    <x v="3"/>
    <d v="2025-10-20T00:00:00"/>
    <n v="3"/>
    <x v="0"/>
    <m/>
    <n v="0"/>
  </r>
  <r>
    <s v="ORD-104169"/>
    <x v="651"/>
    <x v="1"/>
    <d v="2025-10-01T00:00:00"/>
    <n v="10"/>
    <s v="CUST-00920"/>
    <x v="1"/>
    <x v="13"/>
    <s v="MP"/>
    <x v="1"/>
    <s v="Bhopal"/>
    <x v="1"/>
    <s v="P302"/>
    <s v="Linen Kurta"/>
    <x v="1"/>
    <n v="1"/>
    <n v="1499"/>
    <n v="0.35"/>
    <n v="1499"/>
    <n v="524.65"/>
    <n v="974.35"/>
    <n v="630"/>
    <n v="630"/>
    <n v="60"/>
    <n v="284.35000000000002"/>
    <n v="0.29183558269615645"/>
    <x v="1"/>
    <d v="2025-10-22T00:00:00"/>
    <n v="5"/>
    <x v="2"/>
    <n v="4"/>
    <n v="0"/>
  </r>
  <r>
    <s v="ORD-104170"/>
    <x v="651"/>
    <x v="1"/>
    <d v="2025-10-01T00:00:00"/>
    <n v="10"/>
    <s v="CUST-00573"/>
    <x v="1"/>
    <x v="2"/>
    <s v="MH"/>
    <x v="1"/>
    <s v="Pune"/>
    <x v="4"/>
    <s v="P102"/>
    <s v="Sunscreen SPF 50"/>
    <x v="3"/>
    <n v="3"/>
    <n v="449"/>
    <n v="0.1"/>
    <n v="1347"/>
    <n v="134.70000000000002"/>
    <n v="1212.3"/>
    <n v="144"/>
    <n v="432"/>
    <n v="60"/>
    <n v="720.3"/>
    <n v="0.59415986142044042"/>
    <x v="2"/>
    <d v="2025-10-19T00:00:00"/>
    <n v="2"/>
    <x v="1"/>
    <n v="4"/>
    <n v="0"/>
  </r>
  <r>
    <s v="ORD-104171"/>
    <x v="651"/>
    <x v="1"/>
    <d v="2025-10-01T00:00:00"/>
    <n v="10"/>
    <s v="CUST-01130"/>
    <x v="0"/>
    <x v="11"/>
    <s v="KA"/>
    <x v="3"/>
    <s v="Mysuru"/>
    <x v="3"/>
    <s v="P105"/>
    <s v="Retinol Night Cream"/>
    <x v="3"/>
    <n v="1"/>
    <n v="799"/>
    <n v="0.1"/>
    <n v="799"/>
    <n v="79.900000000000006"/>
    <n v="719.1"/>
    <n v="216"/>
    <n v="216"/>
    <n v="60"/>
    <n v="443.1"/>
    <n v="0.61618690029203171"/>
    <x v="0"/>
    <d v="2025-10-18T00:00:00"/>
    <n v="1"/>
    <x v="1"/>
    <n v="5"/>
    <n v="0"/>
  </r>
  <r>
    <s v="ORD-104172"/>
    <x v="651"/>
    <x v="1"/>
    <d v="2025-10-01T00:00:00"/>
    <n v="10"/>
    <s v="CUST-03156"/>
    <x v="1"/>
    <x v="17"/>
    <s v="TN"/>
    <x v="3"/>
    <s v="Chennai"/>
    <x v="0"/>
    <s v="P603"/>
    <s v="Smartwatch Strap"/>
    <x v="2"/>
    <n v="2"/>
    <n v="499"/>
    <n v="0.3"/>
    <n v="998"/>
    <n v="299.39999999999998"/>
    <n v="698.6"/>
    <n v="200"/>
    <n v="400"/>
    <n v="60"/>
    <n v="238.60000000000002"/>
    <n v="0.34154022330375039"/>
    <x v="0"/>
    <d v="2025-10-20T00:00:00"/>
    <n v="3"/>
    <x v="0"/>
    <m/>
    <n v="0"/>
  </r>
  <r>
    <s v="ORD-104173"/>
    <x v="651"/>
    <x v="1"/>
    <d v="2025-10-01T00:00:00"/>
    <n v="10"/>
    <s v="CUST-02066"/>
    <x v="0"/>
    <x v="17"/>
    <s v="TN"/>
    <x v="3"/>
    <s v="Coimbatore"/>
    <x v="0"/>
    <s v="P302"/>
    <s v="Linen Kurta"/>
    <x v="1"/>
    <n v="2"/>
    <n v="1499"/>
    <n v="0.45"/>
    <n v="2998"/>
    <n v="1349.1000000000001"/>
    <n v="1648.8999999999999"/>
    <n v="630"/>
    <n v="1260"/>
    <n v="60"/>
    <n v="328.89999999999986"/>
    <n v="0.19946631087391586"/>
    <x v="0"/>
    <d v="2025-10-22T00:00:00"/>
    <n v="5"/>
    <x v="2"/>
    <n v="4"/>
    <n v="0"/>
  </r>
  <r>
    <s v="ORD-104174"/>
    <x v="652"/>
    <x v="1"/>
    <d v="2025-10-01T00:00:00"/>
    <n v="10"/>
    <s v="CUST-01138"/>
    <x v="1"/>
    <x v="0"/>
    <s v="RJ"/>
    <x v="0"/>
    <s v="Udaipur"/>
    <x v="3"/>
    <s v="P201"/>
    <s v="Onion Hair Oil"/>
    <x v="6"/>
    <n v="2"/>
    <n v="349"/>
    <n v="0.45"/>
    <n v="698"/>
    <n v="314.10000000000002"/>
    <n v="383.9"/>
    <n v="105"/>
    <n v="210"/>
    <n v="60"/>
    <n v="113.89999999999998"/>
    <n v="0.29669184683511329"/>
    <x v="0"/>
    <d v="2025-10-24T00:00:00"/>
    <n v="6"/>
    <x v="2"/>
    <n v="3"/>
    <n v="0"/>
  </r>
  <r>
    <s v="ORD-104175"/>
    <x v="652"/>
    <x v="1"/>
    <d v="2025-10-01T00:00:00"/>
    <n v="10"/>
    <s v="CUST-00725"/>
    <x v="1"/>
    <x v="15"/>
    <s v="HR"/>
    <x v="0"/>
    <s v="Gurugram"/>
    <x v="4"/>
    <s v="P301"/>
    <s v="Cotton Oversized T-Shirt"/>
    <x v="1"/>
    <n v="1"/>
    <n v="799"/>
    <n v="0.15"/>
    <n v="799"/>
    <n v="119.85"/>
    <n v="679.15"/>
    <n v="320"/>
    <n v="320"/>
    <n v="60"/>
    <n v="299.14999999999998"/>
    <n v="0.44047706692188765"/>
    <x v="3"/>
    <d v="2025-10-23T00:00:00"/>
    <n v="5"/>
    <x v="2"/>
    <n v="4"/>
    <n v="0"/>
  </r>
  <r>
    <s v="ORD-104176"/>
    <x v="652"/>
    <x v="1"/>
    <d v="2025-10-01T00:00:00"/>
    <n v="10"/>
    <s v="CUST-01526"/>
    <x v="0"/>
    <x v="2"/>
    <s v="MH"/>
    <x v="1"/>
    <s v="Nagpur"/>
    <x v="1"/>
    <s v="P305"/>
    <s v="Printed Saree"/>
    <x v="1"/>
    <n v="1"/>
    <n v="1999"/>
    <n v="0.1"/>
    <n v="1999"/>
    <n v="199.9"/>
    <n v="1799.1"/>
    <n v="880"/>
    <n v="880"/>
    <n v="120"/>
    <n v="799.09999999999991"/>
    <n v="0.44416652770829856"/>
    <x v="0"/>
    <d v="2025-10-19T00:00:00"/>
    <n v="1"/>
    <x v="1"/>
    <m/>
    <n v="1"/>
  </r>
  <r>
    <s v="ORD-104177"/>
    <x v="652"/>
    <x v="1"/>
    <d v="2025-10-01T00:00:00"/>
    <n v="10"/>
    <s v="CUST-00378"/>
    <x v="1"/>
    <x v="2"/>
    <s v="MH"/>
    <x v="1"/>
    <s v="Nagpur"/>
    <x v="1"/>
    <s v="P301"/>
    <s v="Cotton Oversized T-Shirt"/>
    <x v="1"/>
    <n v="1"/>
    <n v="799"/>
    <n v="0.1"/>
    <n v="799"/>
    <n v="79.900000000000006"/>
    <n v="719.1"/>
    <n v="320"/>
    <n v="320"/>
    <n v="60"/>
    <n v="339.1"/>
    <n v="0.47156167431511614"/>
    <x v="4"/>
    <d v="2025-10-20T00:00:00"/>
    <n v="2"/>
    <x v="1"/>
    <m/>
    <n v="0"/>
  </r>
  <r>
    <s v="ORD-104178"/>
    <x v="652"/>
    <x v="1"/>
    <d v="2025-10-01T00:00:00"/>
    <n v="10"/>
    <s v="CUST-00466"/>
    <x v="1"/>
    <x v="2"/>
    <s v="MH"/>
    <x v="1"/>
    <s v="Nagpur"/>
    <x v="0"/>
    <s v="P105"/>
    <s v="Retinol Night Cream"/>
    <x v="3"/>
    <n v="2"/>
    <n v="799"/>
    <n v="0.2"/>
    <n v="1598"/>
    <n v="319.60000000000002"/>
    <n v="1278.4000000000001"/>
    <n v="216"/>
    <n v="432"/>
    <n v="120"/>
    <n v="726.40000000000009"/>
    <n v="0.56821026282853571"/>
    <x v="0"/>
    <d v="2025-10-20T00:00:00"/>
    <n v="2"/>
    <x v="1"/>
    <n v="5"/>
    <n v="1"/>
  </r>
  <r>
    <s v="ORD-104179"/>
    <x v="652"/>
    <x v="1"/>
    <d v="2025-10-01T00:00:00"/>
    <n v="10"/>
    <s v="CUST-02148"/>
    <x v="1"/>
    <x v="2"/>
    <s v="MH"/>
    <x v="1"/>
    <s v="Nagpur"/>
    <x v="4"/>
    <s v="P703"/>
    <s v="Green Tea (100 bags)"/>
    <x v="0"/>
    <n v="3"/>
    <n v="399"/>
    <n v="0.45"/>
    <n v="1197"/>
    <n v="538.65"/>
    <n v="658.35"/>
    <n v="128"/>
    <n v="384"/>
    <n v="60"/>
    <n v="214.35000000000002"/>
    <n v="0.32558669400774665"/>
    <x v="1"/>
    <d v="2025-10-20T00:00:00"/>
    <n v="2"/>
    <x v="1"/>
    <n v="4"/>
    <n v="0"/>
  </r>
  <r>
    <s v="ORD-104180"/>
    <x v="652"/>
    <x v="1"/>
    <d v="2025-10-01T00:00:00"/>
    <n v="10"/>
    <s v="CUST-00258"/>
    <x v="1"/>
    <x v="11"/>
    <s v="KA"/>
    <x v="3"/>
    <s v="Bengaluru"/>
    <x v="1"/>
    <s v="P403"/>
    <s v="Kolhapuri Sandals"/>
    <x v="5"/>
    <n v="1"/>
    <n v="999"/>
    <n v="0.2"/>
    <n v="999"/>
    <n v="199.8"/>
    <n v="799.2"/>
    <n v="400"/>
    <n v="400"/>
    <n v="60"/>
    <n v="339.20000000000005"/>
    <n v="0.42442442442442446"/>
    <x v="3"/>
    <d v="2025-10-22T00:00:00"/>
    <n v="4"/>
    <x v="0"/>
    <n v="4"/>
    <n v="0"/>
  </r>
  <r>
    <s v="ORD-104181"/>
    <x v="653"/>
    <x v="1"/>
    <d v="2025-10-01T00:00:00"/>
    <n v="10"/>
    <s v="CUST-00401"/>
    <x v="1"/>
    <x v="15"/>
    <s v="HR"/>
    <x v="0"/>
    <s v="Faridabad"/>
    <x v="0"/>
    <s v="P701"/>
    <s v="Ashwagandha Capsules"/>
    <x v="0"/>
    <n v="2"/>
    <n v="499"/>
    <n v="0.05"/>
    <n v="998"/>
    <n v="49.900000000000006"/>
    <n v="948.1"/>
    <n v="150"/>
    <n v="300"/>
    <n v="60"/>
    <n v="588.1"/>
    <n v="0.62029321801497728"/>
    <x v="4"/>
    <d v="2025-10-22T00:00:00"/>
    <n v="3"/>
    <x v="0"/>
    <n v="5"/>
    <n v="0"/>
  </r>
  <r>
    <s v="ORD-104182"/>
    <x v="653"/>
    <x v="1"/>
    <d v="2025-10-01T00:00:00"/>
    <n v="10"/>
    <s v="CUST-02990"/>
    <x v="0"/>
    <x v="6"/>
    <s v="DL"/>
    <x v="0"/>
    <s v="New Delhi"/>
    <x v="0"/>
    <s v="P104"/>
    <s v="Hydrating Face Wash"/>
    <x v="3"/>
    <n v="1"/>
    <n v="299"/>
    <n v="0.15"/>
    <n v="299"/>
    <n v="44.85"/>
    <n v="254.15"/>
    <n v="90"/>
    <n v="90"/>
    <n v="60"/>
    <n v="104.15"/>
    <n v="0.40979736376155818"/>
    <x v="0"/>
    <d v="2025-10-20T00:00:00"/>
    <n v="1"/>
    <x v="1"/>
    <m/>
    <n v="0"/>
  </r>
  <r>
    <s v="ORD-104183"/>
    <x v="653"/>
    <x v="1"/>
    <d v="2025-10-01T00:00:00"/>
    <n v="10"/>
    <s v="CUST-01101"/>
    <x v="0"/>
    <x v="16"/>
    <s v="UP"/>
    <x v="0"/>
    <s v="Lucknow"/>
    <x v="1"/>
    <s v="P301"/>
    <s v="Cotton Oversized T-Shirt"/>
    <x v="1"/>
    <n v="1"/>
    <n v="799"/>
    <n v="0.2"/>
    <n v="799"/>
    <n v="159.80000000000001"/>
    <n v="639.20000000000005"/>
    <n v="320"/>
    <n v="320"/>
    <n v="60"/>
    <n v="259.20000000000005"/>
    <n v="0.40550688360450565"/>
    <x v="0"/>
    <d v="2025-10-22T00:00:00"/>
    <n v="3"/>
    <x v="0"/>
    <m/>
    <n v="0"/>
  </r>
  <r>
    <s v="ORD-104184"/>
    <x v="653"/>
    <x v="1"/>
    <d v="2025-10-01T00:00:00"/>
    <n v="10"/>
    <s v="CUST-02834"/>
    <x v="1"/>
    <x v="12"/>
    <s v="BR"/>
    <x v="2"/>
    <s v="Patna"/>
    <x v="0"/>
    <s v="P603"/>
    <s v="Smartwatch Strap"/>
    <x v="2"/>
    <n v="2"/>
    <n v="499"/>
    <n v="0.25"/>
    <n v="998"/>
    <n v="249.5"/>
    <n v="748.5"/>
    <n v="200"/>
    <n v="400"/>
    <n v="60"/>
    <n v="288.5"/>
    <n v="0.38543754175016698"/>
    <x v="0"/>
    <d v="2025-10-25T00:00:00"/>
    <n v="6"/>
    <x v="2"/>
    <m/>
    <n v="0"/>
  </r>
  <r>
    <s v="ORD-104185"/>
    <x v="653"/>
    <x v="1"/>
    <d v="2025-10-01T00:00:00"/>
    <n v="10"/>
    <s v="CUST-00622"/>
    <x v="1"/>
    <x v="13"/>
    <s v="MP"/>
    <x v="1"/>
    <s v="Indore"/>
    <x v="0"/>
    <s v="P204"/>
    <s v="Anti-Dandruff Conditioner"/>
    <x v="6"/>
    <n v="2"/>
    <n v="399"/>
    <n v="0.55000000000000004"/>
    <n v="798"/>
    <n v="438.90000000000003"/>
    <n v="359.09999999999997"/>
    <n v="136"/>
    <n v="272"/>
    <n v="60"/>
    <n v="27.099999999999966"/>
    <n v="7.5466443887496432E-2"/>
    <x v="0"/>
    <d v="2025-10-23T00:00:00"/>
    <n v="4"/>
    <x v="0"/>
    <n v="3"/>
    <n v="0"/>
  </r>
  <r>
    <s v="ORD-104186"/>
    <x v="653"/>
    <x v="1"/>
    <d v="2025-10-01T00:00:00"/>
    <n v="10"/>
    <s v="CUST-00390"/>
    <x v="1"/>
    <x v="21"/>
    <s v="TG"/>
    <x v="3"/>
    <s v="Hyderabad"/>
    <x v="2"/>
    <s v="P602"/>
    <s v="Fast Charger 33W"/>
    <x v="2"/>
    <n v="1"/>
    <n v="899"/>
    <n v="0.15"/>
    <n v="899"/>
    <n v="134.85"/>
    <n v="764.15"/>
    <n v="494"/>
    <n v="494"/>
    <n v="60"/>
    <n v="210.14999999999998"/>
    <n v="0.27501145063142052"/>
    <x v="3"/>
    <d v="2025-10-24T00:00:00"/>
    <n v="5"/>
    <x v="2"/>
    <m/>
    <n v="0"/>
  </r>
  <r>
    <s v="ORD-104187"/>
    <x v="653"/>
    <x v="1"/>
    <d v="2025-10-01T00:00:00"/>
    <n v="10"/>
    <s v="CUST-02326"/>
    <x v="1"/>
    <x v="17"/>
    <s v="TN"/>
    <x v="3"/>
    <s v="Coimbatore"/>
    <x v="4"/>
    <s v="P103"/>
    <s v="Niacinamide Toner"/>
    <x v="3"/>
    <n v="1"/>
    <n v="399"/>
    <n v="0.35"/>
    <n v="399"/>
    <n v="139.64999999999998"/>
    <n v="259.35000000000002"/>
    <n v="112"/>
    <n v="112"/>
    <n v="60"/>
    <n v="87.350000000000023"/>
    <n v="0.33680354732986317"/>
    <x v="0"/>
    <d v="2025-10-22T00:00:00"/>
    <n v="3"/>
    <x v="0"/>
    <n v="4"/>
    <n v="0"/>
  </r>
  <r>
    <s v="ORD-104188"/>
    <x v="653"/>
    <x v="1"/>
    <d v="2025-10-01T00:00:00"/>
    <n v="10"/>
    <s v="CUST-00437"/>
    <x v="1"/>
    <x v="17"/>
    <s v="TN"/>
    <x v="3"/>
    <s v="Chennai"/>
    <x v="4"/>
    <s v="P103"/>
    <s v="Niacinamide Toner"/>
    <x v="3"/>
    <n v="4"/>
    <n v="399"/>
    <n v="0.35"/>
    <n v="1596"/>
    <n v="558.59999999999991"/>
    <n v="1037.4000000000001"/>
    <n v="112"/>
    <n v="448"/>
    <n v="60"/>
    <n v="529.40000000000009"/>
    <n v="0.51031424715635243"/>
    <x v="0"/>
    <d v="2025-10-23T00:00:00"/>
    <n v="4"/>
    <x v="0"/>
    <m/>
    <n v="0"/>
  </r>
  <r>
    <s v="ORD-104189"/>
    <x v="654"/>
    <x v="1"/>
    <d v="2025-10-01T00:00:00"/>
    <n v="10"/>
    <s v="CUST-01004"/>
    <x v="1"/>
    <x v="6"/>
    <s v="DL"/>
    <x v="0"/>
    <s v="New Delhi"/>
    <x v="2"/>
    <s v="P203"/>
    <s v="Keratin Hair Mask"/>
    <x v="6"/>
    <n v="3"/>
    <n v="549"/>
    <n v="0.1"/>
    <n v="1647"/>
    <n v="164.70000000000002"/>
    <n v="1482.3"/>
    <n v="170"/>
    <n v="510"/>
    <n v="60"/>
    <n v="912.3"/>
    <n v="0.61546245699251168"/>
    <x v="3"/>
    <d v="2025-10-23T00:00:00"/>
    <n v="3"/>
    <x v="0"/>
    <n v="5"/>
    <n v="0"/>
  </r>
  <r>
    <s v="ORD-104190"/>
    <x v="654"/>
    <x v="1"/>
    <d v="2025-10-01T00:00:00"/>
    <n v="10"/>
    <s v="CUST-01153"/>
    <x v="1"/>
    <x v="16"/>
    <s v="UP"/>
    <x v="0"/>
    <s v="Kanpur"/>
    <x v="0"/>
    <s v="P602"/>
    <s v="Fast Charger 33W"/>
    <x v="2"/>
    <n v="1"/>
    <n v="899"/>
    <n v="0.15"/>
    <n v="899"/>
    <n v="134.85"/>
    <n v="764.15"/>
    <n v="494"/>
    <n v="494"/>
    <n v="60"/>
    <n v="210.14999999999998"/>
    <n v="0.27501145063142052"/>
    <x v="3"/>
    <d v="2025-10-24T00:00:00"/>
    <n v="4"/>
    <x v="0"/>
    <m/>
    <n v="0"/>
  </r>
  <r>
    <s v="ORD-104191"/>
    <x v="654"/>
    <x v="1"/>
    <d v="2025-10-01T00:00:00"/>
    <n v="10"/>
    <s v="CUST-00099"/>
    <x v="1"/>
    <x v="12"/>
    <s v="BR"/>
    <x v="2"/>
    <s v="Patna"/>
    <x v="2"/>
    <s v="P704"/>
    <s v="Multivitamin Gummies"/>
    <x v="0"/>
    <n v="1"/>
    <n v="699"/>
    <n v="0.4"/>
    <n v="699"/>
    <n v="279.60000000000002"/>
    <n v="419.4"/>
    <n v="238"/>
    <n v="238"/>
    <n v="60"/>
    <n v="121.39999999999998"/>
    <n v="0.28946113495469716"/>
    <x v="0"/>
    <d v="2025-10-26T00:00:00"/>
    <n v="6"/>
    <x v="2"/>
    <n v="4"/>
    <n v="0"/>
  </r>
  <r>
    <s v="ORD-104192"/>
    <x v="654"/>
    <x v="1"/>
    <d v="2025-10-01T00:00:00"/>
    <n v="10"/>
    <s v="CUST-00682"/>
    <x v="0"/>
    <x v="12"/>
    <s v="BR"/>
    <x v="2"/>
    <s v="Patna"/>
    <x v="1"/>
    <s v="P301"/>
    <s v="Cotton Oversized T-Shirt"/>
    <x v="1"/>
    <n v="1"/>
    <n v="799"/>
    <n v="0.25"/>
    <n v="799"/>
    <n v="199.75"/>
    <n v="599.25"/>
    <n v="320"/>
    <n v="320"/>
    <n v="60"/>
    <n v="219.25"/>
    <n v="0.36587400917813934"/>
    <x v="0"/>
    <d v="2025-10-25T00:00:00"/>
    <n v="5"/>
    <x v="2"/>
    <n v="5"/>
    <n v="0"/>
  </r>
  <r>
    <s v="ORD-104193"/>
    <x v="654"/>
    <x v="1"/>
    <d v="2025-10-01T00:00:00"/>
    <n v="10"/>
    <s v="CUST-00329"/>
    <x v="1"/>
    <x v="22"/>
    <s v="AS"/>
    <x v="2"/>
    <s v="Guwahati"/>
    <x v="4"/>
    <s v="P602"/>
    <s v="Fast Charger 33W"/>
    <x v="2"/>
    <n v="1"/>
    <n v="899"/>
    <n v="0.25"/>
    <n v="899"/>
    <n v="224.75"/>
    <n v="674.25"/>
    <n v="494"/>
    <n v="494"/>
    <n v="60"/>
    <n v="120.25"/>
    <n v="0.17834631071560994"/>
    <x v="3"/>
    <d v="2025-10-25T00:00:00"/>
    <n v="5"/>
    <x v="2"/>
    <n v="3"/>
    <n v="0"/>
  </r>
  <r>
    <s v="ORD-104194"/>
    <x v="654"/>
    <x v="1"/>
    <d v="2025-10-01T00:00:00"/>
    <n v="10"/>
    <s v="CUST-00324"/>
    <x v="1"/>
    <x v="2"/>
    <s v="MH"/>
    <x v="1"/>
    <s v="Mumbai"/>
    <x v="0"/>
    <s v="P504"/>
    <s v="Cotton Bedsheet"/>
    <x v="4"/>
    <n v="1"/>
    <n v="1299"/>
    <n v="0.05"/>
    <n v="1299"/>
    <n v="64.95"/>
    <n v="1234.05"/>
    <n v="585"/>
    <n v="585"/>
    <n v="60"/>
    <n v="589.04999999999995"/>
    <n v="0.47733074024553296"/>
    <x v="0"/>
    <d v="2025-10-22T00:00:00"/>
    <n v="2"/>
    <x v="1"/>
    <n v="4"/>
    <n v="0"/>
  </r>
  <r>
    <s v="ORD-104195"/>
    <x v="654"/>
    <x v="1"/>
    <d v="2025-10-01T00:00:00"/>
    <n v="10"/>
    <s v="CUST-00328"/>
    <x v="1"/>
    <x v="21"/>
    <s v="TG"/>
    <x v="3"/>
    <s v="Hyderabad"/>
    <x v="0"/>
    <s v="P602"/>
    <s v="Fast Charger 33W"/>
    <x v="2"/>
    <n v="1"/>
    <n v="899"/>
    <n v="0.1"/>
    <n v="899"/>
    <n v="89.9"/>
    <n v="809.1"/>
    <n v="494"/>
    <n v="494"/>
    <n v="60"/>
    <n v="255.10000000000002"/>
    <n v="0.31528859226300832"/>
    <x v="0"/>
    <d v="2025-10-24T00:00:00"/>
    <n v="4"/>
    <x v="0"/>
    <m/>
    <n v="0"/>
  </r>
  <r>
    <s v="ORD-104196"/>
    <x v="654"/>
    <x v="1"/>
    <d v="2025-10-01T00:00:00"/>
    <n v="10"/>
    <s v="CUST-00079"/>
    <x v="1"/>
    <x v="17"/>
    <s v="TN"/>
    <x v="3"/>
    <s v="Chennai"/>
    <x v="0"/>
    <s v="P203"/>
    <s v="Keratin Hair Mask"/>
    <x v="6"/>
    <n v="1"/>
    <n v="549"/>
    <n v="0.3"/>
    <n v="549"/>
    <n v="164.7"/>
    <n v="384.3"/>
    <n v="170"/>
    <n v="170"/>
    <n v="60"/>
    <n v="154.30000000000001"/>
    <n v="0.40150923757481138"/>
    <x v="4"/>
    <d v="2025-10-23T00:00:00"/>
    <n v="3"/>
    <x v="0"/>
    <m/>
    <n v="0"/>
  </r>
  <r>
    <s v="ORD-104197"/>
    <x v="654"/>
    <x v="1"/>
    <d v="2025-10-01T00:00:00"/>
    <n v="10"/>
    <s v="CUST-02118"/>
    <x v="0"/>
    <x v="17"/>
    <s v="TN"/>
    <x v="3"/>
    <s v="Coimbatore"/>
    <x v="4"/>
    <s v="P403"/>
    <s v="Kolhapuri Sandals"/>
    <x v="5"/>
    <n v="1"/>
    <n v="999"/>
    <n v="0.2"/>
    <n v="999"/>
    <n v="199.8"/>
    <n v="799.2"/>
    <n v="400"/>
    <n v="400"/>
    <n v="60"/>
    <n v="339.20000000000005"/>
    <n v="0.42442442442442446"/>
    <x v="3"/>
    <d v="2025-10-22T00:00:00"/>
    <n v="2"/>
    <x v="1"/>
    <n v="5"/>
    <n v="0"/>
  </r>
  <r>
    <s v="ORD-104198"/>
    <x v="655"/>
    <x v="1"/>
    <d v="2025-10-01T00:00:00"/>
    <n v="10"/>
    <s v="CUST-01411"/>
    <x v="1"/>
    <x v="11"/>
    <s v="KA"/>
    <x v="3"/>
    <s v="Bengaluru"/>
    <x v="4"/>
    <s v="P704"/>
    <s v="Multivitamin Gummies"/>
    <x v="0"/>
    <n v="4"/>
    <n v="699"/>
    <n v="0.25"/>
    <n v="2796"/>
    <n v="699"/>
    <n v="2097"/>
    <n v="238"/>
    <n v="952"/>
    <n v="60"/>
    <n v="1085"/>
    <n v="0.51740581783500239"/>
    <x v="1"/>
    <d v="2025-10-22T00:00:00"/>
    <n v="1"/>
    <x v="1"/>
    <n v="4"/>
    <n v="0"/>
  </r>
  <r>
    <s v="ORD-104199"/>
    <x v="655"/>
    <x v="1"/>
    <d v="2025-10-01T00:00:00"/>
    <n v="10"/>
    <s v="CUST-00397"/>
    <x v="1"/>
    <x v="11"/>
    <s v="KA"/>
    <x v="3"/>
    <s v="Mysuru"/>
    <x v="0"/>
    <s v="P204"/>
    <s v="Anti-Dandruff Conditioner"/>
    <x v="6"/>
    <n v="2"/>
    <n v="399"/>
    <n v="0.45"/>
    <n v="798"/>
    <n v="359.1"/>
    <n v="438.9"/>
    <n v="136"/>
    <n v="272"/>
    <n v="60"/>
    <n v="106.89999999999998"/>
    <n v="0.24356345408976984"/>
    <x v="3"/>
    <d v="2025-10-24T00:00:00"/>
    <n v="3"/>
    <x v="0"/>
    <n v="4"/>
    <n v="0"/>
  </r>
  <r>
    <s v="ORD-104200"/>
    <x v="656"/>
    <x v="1"/>
    <d v="2025-10-01T00:00:00"/>
    <n v="10"/>
    <s v="CUST-01225"/>
    <x v="0"/>
    <x v="0"/>
    <s v="RJ"/>
    <x v="0"/>
    <s v="Jaipur"/>
    <x v="2"/>
    <s v="P101"/>
    <s v="Vitamin C Face Serum"/>
    <x v="3"/>
    <n v="2"/>
    <n v="599"/>
    <n v="0.25"/>
    <n v="1198"/>
    <n v="299.5"/>
    <n v="898.5"/>
    <n v="180"/>
    <n v="360"/>
    <n v="60"/>
    <n v="478.5"/>
    <n v="0.53255425709515858"/>
    <x v="1"/>
    <d v="2025-10-28T00:00:00"/>
    <n v="6"/>
    <x v="2"/>
    <n v="4"/>
    <n v="0"/>
  </r>
  <r>
    <s v="ORD-104201"/>
    <x v="656"/>
    <x v="1"/>
    <d v="2025-10-01T00:00:00"/>
    <n v="10"/>
    <s v="CUST-02226"/>
    <x v="1"/>
    <x v="16"/>
    <s v="UP"/>
    <x v="0"/>
    <s v="Kanpur"/>
    <x v="1"/>
    <s v="P402"/>
    <s v="Casual Sneakers"/>
    <x v="5"/>
    <n v="1"/>
    <n v="2199"/>
    <n v="0.45"/>
    <n v="2199"/>
    <n v="989.55000000000007"/>
    <n v="1209.4499999999998"/>
    <n v="1034"/>
    <n v="1034"/>
    <n v="60"/>
    <n v="115.44999999999982"/>
    <n v="9.5456612509818378E-2"/>
    <x v="3"/>
    <d v="2025-10-26T00:00:00"/>
    <n v="4"/>
    <x v="0"/>
    <n v="5"/>
    <n v="0"/>
  </r>
  <r>
    <s v="ORD-104202"/>
    <x v="656"/>
    <x v="1"/>
    <d v="2025-10-01T00:00:00"/>
    <n v="10"/>
    <s v="CUST-01394"/>
    <x v="0"/>
    <x v="16"/>
    <s v="UP"/>
    <x v="0"/>
    <s v="Noida"/>
    <x v="4"/>
    <s v="P302"/>
    <s v="Linen Kurta"/>
    <x v="1"/>
    <n v="2"/>
    <n v="1499"/>
    <n v="0.5"/>
    <n v="2998"/>
    <n v="1499"/>
    <n v="1499"/>
    <n v="630"/>
    <n v="1260"/>
    <n v="60"/>
    <n v="179"/>
    <n v="0.11941294196130754"/>
    <x v="3"/>
    <d v="2025-10-27T00:00:00"/>
    <n v="5"/>
    <x v="2"/>
    <n v="3"/>
    <n v="0"/>
  </r>
  <r>
    <s v="ORD-104203"/>
    <x v="656"/>
    <x v="1"/>
    <d v="2025-10-01T00:00:00"/>
    <n v="10"/>
    <s v="CUST-03196"/>
    <x v="1"/>
    <x v="22"/>
    <s v="AS"/>
    <x v="2"/>
    <s v="Guwahati"/>
    <x v="1"/>
    <s v="P303"/>
    <s v="Joggers"/>
    <x v="1"/>
    <n v="1"/>
    <n v="1199"/>
    <n v="0.3"/>
    <n v="1199"/>
    <n v="359.7"/>
    <n v="839.3"/>
    <n v="492"/>
    <n v="492"/>
    <n v="120"/>
    <n v="227.29999999999995"/>
    <n v="0.27082092219706894"/>
    <x v="0"/>
    <d v="2025-10-28T00:00:00"/>
    <n v="6"/>
    <x v="2"/>
    <n v="3"/>
    <n v="1"/>
  </r>
  <r>
    <s v="ORD-104204"/>
    <x v="656"/>
    <x v="1"/>
    <d v="2025-10-01T00:00:00"/>
    <n v="10"/>
    <s v="CUST-00550"/>
    <x v="1"/>
    <x v="1"/>
    <s v="GJ"/>
    <x v="1"/>
    <s v="Ahmedabad"/>
    <x v="4"/>
    <s v="P404"/>
    <s v="Flip Flops"/>
    <x v="5"/>
    <n v="1"/>
    <n v="399"/>
    <n v="0.2"/>
    <n v="399"/>
    <n v="79.800000000000011"/>
    <n v="319.2"/>
    <n v="152"/>
    <n v="152"/>
    <n v="60"/>
    <n v="107.19999999999999"/>
    <n v="0.33583959899749372"/>
    <x v="0"/>
    <d v="2025-10-26T00:00:00"/>
    <n v="4"/>
    <x v="0"/>
    <n v="3"/>
    <n v="0"/>
  </r>
  <r>
    <s v="ORD-104205"/>
    <x v="656"/>
    <x v="1"/>
    <d v="2025-10-01T00:00:00"/>
    <n v="10"/>
    <s v="CUST-00577"/>
    <x v="1"/>
    <x v="1"/>
    <s v="GJ"/>
    <x v="1"/>
    <s v="Ahmedabad"/>
    <x v="0"/>
    <s v="P303"/>
    <s v="Joggers"/>
    <x v="1"/>
    <n v="1"/>
    <n v="1199"/>
    <n v="0.15"/>
    <n v="1199"/>
    <n v="179.85"/>
    <n v="1019.15"/>
    <n v="492"/>
    <n v="492"/>
    <n v="60"/>
    <n v="467.15"/>
    <n v="0.45837217288917231"/>
    <x v="0"/>
    <d v="2025-10-25T00:00:00"/>
    <n v="3"/>
    <x v="0"/>
    <m/>
    <n v="0"/>
  </r>
  <r>
    <s v="ORD-104206"/>
    <x v="656"/>
    <x v="1"/>
    <d v="2025-10-01T00:00:00"/>
    <n v="10"/>
    <s v="CUST-02164"/>
    <x v="1"/>
    <x v="13"/>
    <s v="MP"/>
    <x v="1"/>
    <s v="Indore"/>
    <x v="1"/>
    <s v="P305"/>
    <s v="Printed Saree"/>
    <x v="1"/>
    <n v="1"/>
    <n v="1999"/>
    <n v="0.25"/>
    <n v="1999"/>
    <n v="499.75"/>
    <n v="1499.25"/>
    <n v="880"/>
    <n v="880"/>
    <n v="60"/>
    <n v="559.25"/>
    <n v="0.37301984325496079"/>
    <x v="4"/>
    <d v="2025-10-26T00:00:00"/>
    <n v="4"/>
    <x v="0"/>
    <m/>
    <n v="0"/>
  </r>
  <r>
    <s v="ORD-104207"/>
    <x v="656"/>
    <x v="1"/>
    <d v="2025-10-01T00:00:00"/>
    <n v="10"/>
    <s v="CUST-00035"/>
    <x v="1"/>
    <x v="18"/>
    <s v="WB"/>
    <x v="2"/>
    <s v="Kolkata"/>
    <x v="4"/>
    <s v="P602"/>
    <s v="Fast Charger 33W"/>
    <x v="2"/>
    <n v="1"/>
    <n v="899"/>
    <n v="0.2"/>
    <n v="899"/>
    <n v="179.8"/>
    <n v="719.2"/>
    <n v="494"/>
    <n v="494"/>
    <n v="60"/>
    <n v="165.20000000000005"/>
    <n v="0.22969966629588437"/>
    <x v="0"/>
    <d v="2025-10-28T00:00:00"/>
    <n v="6"/>
    <x v="2"/>
    <n v="2"/>
    <n v="0"/>
  </r>
  <r>
    <s v="ORD-104208"/>
    <x v="656"/>
    <x v="1"/>
    <d v="2025-10-01T00:00:00"/>
    <n v="10"/>
    <s v="CUST-00317"/>
    <x v="0"/>
    <x v="18"/>
    <s v="WB"/>
    <x v="2"/>
    <s v="Kolkata"/>
    <x v="0"/>
    <s v="P603"/>
    <s v="Smartwatch Strap"/>
    <x v="2"/>
    <n v="1"/>
    <n v="499"/>
    <n v="0.25"/>
    <n v="499"/>
    <n v="124.75"/>
    <n v="374.25"/>
    <n v="200"/>
    <n v="200"/>
    <n v="60"/>
    <n v="114.25"/>
    <n v="0.30527722110888444"/>
    <x v="3"/>
    <d v="2025-10-26T00:00:00"/>
    <n v="4"/>
    <x v="0"/>
    <n v="4"/>
    <n v="0"/>
  </r>
  <r>
    <s v="ORD-104209"/>
    <x v="656"/>
    <x v="1"/>
    <d v="2025-10-01T00:00:00"/>
    <n v="10"/>
    <s v="CUST-02652"/>
    <x v="1"/>
    <x v="8"/>
    <s v="AP"/>
    <x v="3"/>
    <s v="Vijayawada"/>
    <x v="2"/>
    <s v="P403"/>
    <s v="Kolhapuri Sandals"/>
    <x v="5"/>
    <n v="1"/>
    <n v="999"/>
    <n v="0.1"/>
    <n v="999"/>
    <n v="99.9"/>
    <n v="899.1"/>
    <n v="400"/>
    <n v="400"/>
    <n v="60"/>
    <n v="439.1"/>
    <n v="0.48837726615504395"/>
    <x v="3"/>
    <d v="2025-10-27T00:00:00"/>
    <n v="5"/>
    <x v="2"/>
    <n v="3"/>
    <n v="0"/>
  </r>
  <r>
    <s v="ORD-104210"/>
    <x v="656"/>
    <x v="1"/>
    <d v="2025-10-01T00:00:00"/>
    <n v="10"/>
    <s v="CUST-00223"/>
    <x v="1"/>
    <x v="17"/>
    <s v="TN"/>
    <x v="3"/>
    <s v="Chennai"/>
    <x v="2"/>
    <s v="P603"/>
    <s v="Smartwatch Strap"/>
    <x v="2"/>
    <n v="1"/>
    <n v="499"/>
    <n v="0.25"/>
    <n v="499"/>
    <n v="124.75"/>
    <n v="374.25"/>
    <n v="200"/>
    <n v="200"/>
    <n v="60"/>
    <n v="114.25"/>
    <n v="0.30527722110888444"/>
    <x v="3"/>
    <d v="2025-10-25T00:00:00"/>
    <n v="3"/>
    <x v="0"/>
    <n v="3"/>
    <n v="0"/>
  </r>
  <r>
    <s v="ORD-104211"/>
    <x v="657"/>
    <x v="1"/>
    <d v="2025-10-01T00:00:00"/>
    <n v="10"/>
    <s v="CUST-00788"/>
    <x v="1"/>
    <x v="19"/>
    <s v="PB"/>
    <x v="0"/>
    <s v="Amritsar"/>
    <x v="2"/>
    <s v="P404"/>
    <s v="Flip Flops"/>
    <x v="5"/>
    <n v="2"/>
    <n v="399"/>
    <n v="0.2"/>
    <n v="798"/>
    <n v="159.60000000000002"/>
    <n v="638.4"/>
    <n v="152"/>
    <n v="304"/>
    <n v="120"/>
    <n v="214.39999999999998"/>
    <n v="0.33583959899749372"/>
    <x v="0"/>
    <d v="2025-10-27T00:00:00"/>
    <n v="4"/>
    <x v="0"/>
    <n v="4"/>
    <n v="1"/>
  </r>
  <r>
    <s v="ORD-104212"/>
    <x v="657"/>
    <x v="1"/>
    <d v="2025-10-01T00:00:00"/>
    <n v="10"/>
    <s v="CUST-00232"/>
    <x v="0"/>
    <x v="6"/>
    <s v="DL"/>
    <x v="0"/>
    <s v="New Delhi"/>
    <x v="0"/>
    <s v="P603"/>
    <s v="Smartwatch Strap"/>
    <x v="2"/>
    <n v="1"/>
    <n v="499"/>
    <n v="0.15"/>
    <n v="499"/>
    <n v="74.849999999999994"/>
    <n v="424.15"/>
    <n v="200"/>
    <n v="200"/>
    <n v="60"/>
    <n v="164.14999999999998"/>
    <n v="0.38700931274313327"/>
    <x v="0"/>
    <d v="2025-10-24T00:00:00"/>
    <n v="1"/>
    <x v="1"/>
    <n v="5"/>
    <n v="0"/>
  </r>
  <r>
    <s v="ORD-104213"/>
    <x v="657"/>
    <x v="1"/>
    <d v="2025-10-01T00:00:00"/>
    <n v="10"/>
    <s v="CUST-00114"/>
    <x v="1"/>
    <x v="6"/>
    <s v="DL"/>
    <x v="0"/>
    <s v="New Delhi"/>
    <x v="2"/>
    <s v="P603"/>
    <s v="Smartwatch Strap"/>
    <x v="2"/>
    <n v="2"/>
    <n v="499"/>
    <n v="0.1"/>
    <n v="998"/>
    <n v="99.800000000000011"/>
    <n v="898.2"/>
    <n v="200"/>
    <n v="400"/>
    <n v="60"/>
    <n v="438.20000000000005"/>
    <n v="0.4878646181251392"/>
    <x v="1"/>
    <d v="2025-10-25T00:00:00"/>
    <n v="2"/>
    <x v="1"/>
    <n v="3"/>
    <n v="0"/>
  </r>
  <r>
    <s v="ORD-104214"/>
    <x v="657"/>
    <x v="1"/>
    <d v="2025-10-01T00:00:00"/>
    <n v="10"/>
    <s v="CUST-00015"/>
    <x v="1"/>
    <x v="16"/>
    <s v="UP"/>
    <x v="0"/>
    <s v="Kanpur"/>
    <x v="0"/>
    <s v="P401"/>
    <s v="Running Shoes"/>
    <x v="5"/>
    <n v="1"/>
    <n v="2999"/>
    <n v="0.4"/>
    <n v="2999"/>
    <n v="1199.6000000000001"/>
    <n v="1799.3999999999999"/>
    <n v="1440"/>
    <n v="1440"/>
    <n v="120"/>
    <n v="239.39999999999986"/>
    <n v="0.1330443481160386"/>
    <x v="3"/>
    <d v="2025-10-27T00:00:00"/>
    <n v="4"/>
    <x v="0"/>
    <m/>
    <n v="1"/>
  </r>
  <r>
    <s v="ORD-104215"/>
    <x v="657"/>
    <x v="1"/>
    <d v="2025-10-01T00:00:00"/>
    <n v="10"/>
    <s v="CUST-01252"/>
    <x v="0"/>
    <x v="1"/>
    <s v="GJ"/>
    <x v="1"/>
    <s v="Surat"/>
    <x v="0"/>
    <s v="P303"/>
    <s v="Joggers"/>
    <x v="1"/>
    <n v="2"/>
    <n v="1199"/>
    <n v="0.25"/>
    <n v="2398"/>
    <n v="599.5"/>
    <n v="1798.5"/>
    <n v="492"/>
    <n v="984"/>
    <n v="60"/>
    <n v="754.5"/>
    <n v="0.41951626355296079"/>
    <x v="1"/>
    <d v="2025-10-26T00:00:00"/>
    <n v="3"/>
    <x v="0"/>
    <m/>
    <n v="0"/>
  </r>
  <r>
    <s v="ORD-104216"/>
    <x v="657"/>
    <x v="1"/>
    <d v="2025-10-01T00:00:00"/>
    <n v="10"/>
    <s v="CUST-00511"/>
    <x v="1"/>
    <x v="2"/>
    <s v="MH"/>
    <x v="1"/>
    <s v="Pune"/>
    <x v="4"/>
    <s v="P304"/>
    <s v="Denim Jacket"/>
    <x v="1"/>
    <n v="1"/>
    <n v="2499"/>
    <n v="0.2"/>
    <n v="2499"/>
    <n v="499.8"/>
    <n v="1999.2"/>
    <n v="1125"/>
    <n v="1125"/>
    <n v="120"/>
    <n v="754.2"/>
    <n v="0.37725090036014408"/>
    <x v="4"/>
    <d v="2025-10-25T00:00:00"/>
    <n v="2"/>
    <x v="1"/>
    <n v="3"/>
    <n v="1"/>
  </r>
  <r>
    <s v="ORD-104217"/>
    <x v="657"/>
    <x v="1"/>
    <d v="2025-10-01T00:00:00"/>
    <n v="10"/>
    <s v="CUST-02241"/>
    <x v="0"/>
    <x v="21"/>
    <s v="TG"/>
    <x v="3"/>
    <s v="Hyderabad"/>
    <x v="4"/>
    <s v="P303"/>
    <s v="Joggers"/>
    <x v="1"/>
    <n v="3"/>
    <n v="1199"/>
    <n v="0.15"/>
    <n v="3597"/>
    <n v="539.54999999999995"/>
    <n v="3057.45"/>
    <n v="492"/>
    <n v="1476"/>
    <n v="60"/>
    <n v="1521.4499999999998"/>
    <n v="0.49762056615807287"/>
    <x v="0"/>
    <d v="2025-10-25T00:00:00"/>
    <n v="2"/>
    <x v="1"/>
    <n v="4"/>
    <n v="0"/>
  </r>
  <r>
    <s v="ORD-104218"/>
    <x v="657"/>
    <x v="1"/>
    <d v="2025-10-01T00:00:00"/>
    <n v="10"/>
    <s v="CUST-02265"/>
    <x v="0"/>
    <x v="21"/>
    <s v="TG"/>
    <x v="3"/>
    <s v="Hyderabad"/>
    <x v="4"/>
    <s v="P704"/>
    <s v="Multivitamin Gummies"/>
    <x v="0"/>
    <n v="5"/>
    <n v="699"/>
    <n v="0.3"/>
    <n v="3495"/>
    <n v="1048.5"/>
    <n v="2446.5"/>
    <n v="238"/>
    <n v="1190"/>
    <n v="60"/>
    <n v="1196.5"/>
    <n v="0.4890660126711629"/>
    <x v="1"/>
    <d v="2025-10-27T00:00:00"/>
    <n v="4"/>
    <x v="0"/>
    <n v="4"/>
    <n v="0"/>
  </r>
  <r>
    <s v="ORD-104219"/>
    <x v="657"/>
    <x v="1"/>
    <d v="2025-10-01T00:00:00"/>
    <n v="10"/>
    <s v="CUST-01061"/>
    <x v="1"/>
    <x v="20"/>
    <s v="GA"/>
    <x v="1"/>
    <s v="Panaji"/>
    <x v="4"/>
    <s v="P403"/>
    <s v="Kolhapuri Sandals"/>
    <x v="5"/>
    <n v="2"/>
    <n v="999"/>
    <n v="0.35"/>
    <n v="1998"/>
    <n v="699.3"/>
    <n v="1298.7"/>
    <n v="400"/>
    <n v="800"/>
    <n v="60"/>
    <n v="438.70000000000005"/>
    <n v="0.3377993377993378"/>
    <x v="2"/>
    <d v="2025-10-25T00:00:00"/>
    <n v="2"/>
    <x v="1"/>
    <n v="4"/>
    <n v="0"/>
  </r>
  <r>
    <s v="ORD-104220"/>
    <x v="657"/>
    <x v="1"/>
    <d v="2025-10-01T00:00:00"/>
    <n v="10"/>
    <s v="CUST-00934"/>
    <x v="1"/>
    <x v="8"/>
    <s v="AP"/>
    <x v="3"/>
    <s v="Visakhapatnam"/>
    <x v="0"/>
    <s v="P101"/>
    <s v="Vitamin C Face Serum"/>
    <x v="3"/>
    <n v="3"/>
    <n v="599"/>
    <n v="0.25"/>
    <n v="1797"/>
    <n v="449.25"/>
    <n v="1347.75"/>
    <n v="180"/>
    <n v="540"/>
    <n v="60"/>
    <n v="747.75"/>
    <n v="0.5548135781858653"/>
    <x v="2"/>
    <d v="2025-10-27T00:00:00"/>
    <n v="4"/>
    <x v="0"/>
    <n v="4"/>
    <n v="0"/>
  </r>
  <r>
    <s v="ORD-104221"/>
    <x v="657"/>
    <x v="1"/>
    <d v="2025-10-01T00:00:00"/>
    <n v="10"/>
    <s v="CUST-00488"/>
    <x v="1"/>
    <x v="14"/>
    <s v="KL"/>
    <x v="3"/>
    <s v="Thiruvananthapuram"/>
    <x v="1"/>
    <s v="P304"/>
    <s v="Denim Jacket"/>
    <x v="1"/>
    <n v="1"/>
    <n v="2499"/>
    <n v="0.1"/>
    <n v="2499"/>
    <n v="249.9"/>
    <n v="2249.1"/>
    <n v="1125"/>
    <n v="1125"/>
    <n v="60"/>
    <n v="1064.0999999999999"/>
    <n v="0.4731225823662798"/>
    <x v="3"/>
    <d v="2025-10-28T00:00:00"/>
    <n v="5"/>
    <x v="2"/>
    <n v="4"/>
    <n v="0"/>
  </r>
  <r>
    <s v="ORD-104222"/>
    <x v="658"/>
    <x v="1"/>
    <d v="2025-10-01T00:00:00"/>
    <n v="10"/>
    <s v="CUST-00522"/>
    <x v="1"/>
    <x v="4"/>
    <s v="JK"/>
    <x v="0"/>
    <s v="Srinagar"/>
    <x v="2"/>
    <s v="P703"/>
    <s v="Green Tea (100 bags)"/>
    <x v="0"/>
    <n v="1"/>
    <n v="399"/>
    <n v="0.55000000000000004"/>
    <n v="399"/>
    <n v="219.45000000000002"/>
    <n v="179.54999999999998"/>
    <n v="128"/>
    <n v="128"/>
    <n v="60"/>
    <n v="-8.4500000000000171"/>
    <n v="-4.7062099693678743E-2"/>
    <x v="3"/>
    <d v="2025-10-29T00:00:00"/>
    <n v="5"/>
    <x v="2"/>
    <n v="3"/>
    <n v="0"/>
  </r>
  <r>
    <s v="ORD-104223"/>
    <x v="658"/>
    <x v="1"/>
    <d v="2025-10-01T00:00:00"/>
    <n v="10"/>
    <s v="CUST-01091"/>
    <x v="1"/>
    <x v="6"/>
    <s v="DL"/>
    <x v="0"/>
    <s v="New Delhi"/>
    <x v="4"/>
    <s v="P104"/>
    <s v="Hydrating Face Wash"/>
    <x v="3"/>
    <n v="1"/>
    <n v="299"/>
    <n v="0.15"/>
    <n v="299"/>
    <n v="44.85"/>
    <n v="254.15"/>
    <n v="90"/>
    <n v="90"/>
    <n v="60"/>
    <n v="104.15"/>
    <n v="0.40979736376155818"/>
    <x v="3"/>
    <d v="2025-10-25T00:00:00"/>
    <n v="1"/>
    <x v="1"/>
    <n v="4"/>
    <n v="0"/>
  </r>
  <r>
    <s v="ORD-104224"/>
    <x v="658"/>
    <x v="1"/>
    <d v="2025-10-01T00:00:00"/>
    <n v="10"/>
    <s v="CUST-01066"/>
    <x v="0"/>
    <x v="13"/>
    <s v="MP"/>
    <x v="1"/>
    <s v="Bhopal"/>
    <x v="0"/>
    <s v="P305"/>
    <s v="Printed Saree"/>
    <x v="1"/>
    <n v="2"/>
    <n v="1999"/>
    <n v="0.3"/>
    <n v="3998"/>
    <n v="1199.3999999999999"/>
    <n v="2798.6000000000004"/>
    <n v="880"/>
    <n v="1760"/>
    <n v="60"/>
    <n v="978.60000000000036"/>
    <n v="0.34967483741870942"/>
    <x v="1"/>
    <d v="2025-10-27T00:00:00"/>
    <n v="3"/>
    <x v="0"/>
    <n v="4"/>
    <n v="0"/>
  </r>
  <r>
    <s v="ORD-104225"/>
    <x v="658"/>
    <x v="1"/>
    <d v="2025-10-01T00:00:00"/>
    <n v="10"/>
    <s v="CUST-01786"/>
    <x v="0"/>
    <x v="13"/>
    <s v="MP"/>
    <x v="1"/>
    <s v="Bhopal"/>
    <x v="0"/>
    <s v="P105"/>
    <s v="Retinol Night Cream"/>
    <x v="3"/>
    <n v="3"/>
    <n v="799"/>
    <n v="0.3"/>
    <n v="2397"/>
    <n v="719.1"/>
    <n v="1677.9"/>
    <n v="216"/>
    <n v="648"/>
    <n v="120"/>
    <n v="909.90000000000009"/>
    <n v="0.54228499910602546"/>
    <x v="4"/>
    <d v="2025-10-28T00:00:00"/>
    <n v="4"/>
    <x v="0"/>
    <m/>
    <n v="1"/>
  </r>
  <r>
    <s v="ORD-104226"/>
    <x v="658"/>
    <x v="1"/>
    <d v="2025-10-01T00:00:00"/>
    <n v="10"/>
    <s v="CUST-02448"/>
    <x v="1"/>
    <x v="18"/>
    <s v="WB"/>
    <x v="2"/>
    <s v="Kolkata"/>
    <x v="0"/>
    <s v="P103"/>
    <s v="Niacinamide Toner"/>
    <x v="3"/>
    <n v="2"/>
    <n v="399"/>
    <n v="0.4"/>
    <n v="798"/>
    <n v="319.20000000000005"/>
    <n v="478.79999999999995"/>
    <n v="112"/>
    <n v="224"/>
    <n v="120"/>
    <n v="134.79999999999995"/>
    <n v="0.28153717627401831"/>
    <x v="3"/>
    <d v="2025-10-28T00:00:00"/>
    <n v="4"/>
    <x v="0"/>
    <n v="4"/>
    <n v="1"/>
  </r>
  <r>
    <s v="ORD-104227"/>
    <x v="658"/>
    <x v="1"/>
    <d v="2025-10-01T00:00:00"/>
    <n v="10"/>
    <s v="CUST-03031"/>
    <x v="1"/>
    <x v="2"/>
    <s v="MH"/>
    <x v="1"/>
    <s v="Nagpur"/>
    <x v="0"/>
    <s v="P702"/>
    <s v="Whey Protein 1kg"/>
    <x v="0"/>
    <n v="4"/>
    <n v="2299"/>
    <n v="0.55000000000000004"/>
    <n v="9196"/>
    <n v="5057.8"/>
    <n v="4138.2"/>
    <n v="1333"/>
    <n v="5332"/>
    <n v="60"/>
    <n v="-1253.8000000000002"/>
    <n v="-0.3029819728384322"/>
    <x v="0"/>
    <d v="2025-10-26T00:00:00"/>
    <n v="2"/>
    <x v="1"/>
    <n v="4"/>
    <n v="0"/>
  </r>
  <r>
    <s v="ORD-104228"/>
    <x v="658"/>
    <x v="1"/>
    <d v="2025-10-01T00:00:00"/>
    <n v="10"/>
    <s v="CUST-02794"/>
    <x v="1"/>
    <x v="17"/>
    <s v="TN"/>
    <x v="3"/>
    <s v="Chennai"/>
    <x v="2"/>
    <s v="P701"/>
    <s v="Ashwagandha Capsules"/>
    <x v="0"/>
    <n v="1"/>
    <n v="499"/>
    <n v="0.1"/>
    <n v="499"/>
    <n v="49.900000000000006"/>
    <n v="449.1"/>
    <n v="150"/>
    <n v="150"/>
    <n v="60"/>
    <n v="239.10000000000002"/>
    <n v="0.53239812959251842"/>
    <x v="0"/>
    <d v="2025-10-28T00:00:00"/>
    <n v="4"/>
    <x v="0"/>
    <n v="4"/>
    <n v="0"/>
  </r>
  <r>
    <s v="ORD-104229"/>
    <x v="659"/>
    <x v="1"/>
    <d v="2025-10-01T00:00:00"/>
    <n v="10"/>
    <s v="CUST-01819"/>
    <x v="1"/>
    <x v="0"/>
    <s v="RJ"/>
    <x v="0"/>
    <s v="Udaipur"/>
    <x v="1"/>
    <s v="P303"/>
    <s v="Joggers"/>
    <x v="1"/>
    <n v="2"/>
    <n v="1199"/>
    <n v="0.3"/>
    <n v="2398"/>
    <n v="719.4"/>
    <n v="1678.6"/>
    <n v="492"/>
    <n v="984"/>
    <n v="120"/>
    <n v="574.59999999999991"/>
    <n v="0.34230906707970926"/>
    <x v="4"/>
    <d v="2025-10-30T00:00:00"/>
    <n v="5"/>
    <x v="2"/>
    <n v="4"/>
    <n v="1"/>
  </r>
  <r>
    <s v="ORD-104230"/>
    <x v="659"/>
    <x v="1"/>
    <d v="2025-10-01T00:00:00"/>
    <n v="10"/>
    <s v="CUST-01552"/>
    <x v="1"/>
    <x v="15"/>
    <s v="HR"/>
    <x v="0"/>
    <s v="Faridabad"/>
    <x v="4"/>
    <s v="P101"/>
    <s v="Vitamin C Face Serum"/>
    <x v="3"/>
    <n v="1"/>
    <n v="599"/>
    <n v="0.2"/>
    <n v="599"/>
    <n v="119.80000000000001"/>
    <n v="479.2"/>
    <n v="180"/>
    <n v="180"/>
    <n v="60"/>
    <n v="239.2"/>
    <n v="0.4991652754590985"/>
    <x v="0"/>
    <d v="2025-10-29T00:00:00"/>
    <n v="4"/>
    <x v="0"/>
    <n v="3"/>
    <n v="0"/>
  </r>
  <r>
    <s v="ORD-104231"/>
    <x v="659"/>
    <x v="1"/>
    <d v="2025-10-01T00:00:00"/>
    <n v="10"/>
    <s v="CUST-00587"/>
    <x v="1"/>
    <x v="6"/>
    <s v="DL"/>
    <x v="0"/>
    <s v="New Delhi"/>
    <x v="1"/>
    <s v="P302"/>
    <s v="Linen Kurta"/>
    <x v="1"/>
    <n v="2"/>
    <n v="1499"/>
    <n v="0.5"/>
    <n v="2998"/>
    <n v="1499"/>
    <n v="1499"/>
    <n v="630"/>
    <n v="1260"/>
    <n v="60"/>
    <n v="179"/>
    <n v="0.11941294196130754"/>
    <x v="2"/>
    <d v="2025-10-26T00:00:00"/>
    <n v="1"/>
    <x v="1"/>
    <m/>
    <n v="0"/>
  </r>
  <r>
    <s v="ORD-104232"/>
    <x v="659"/>
    <x v="1"/>
    <d v="2025-10-01T00:00:00"/>
    <n v="10"/>
    <s v="CUST-00270"/>
    <x v="1"/>
    <x v="6"/>
    <s v="DL"/>
    <x v="0"/>
    <s v="New Delhi"/>
    <x v="3"/>
    <s v="P204"/>
    <s v="Anti-Dandruff Conditioner"/>
    <x v="6"/>
    <n v="2"/>
    <n v="399"/>
    <n v="0.45"/>
    <n v="798"/>
    <n v="359.1"/>
    <n v="438.9"/>
    <n v="136"/>
    <n v="272"/>
    <n v="60"/>
    <n v="106.89999999999998"/>
    <n v="0.24356345408976984"/>
    <x v="0"/>
    <d v="2025-10-29T00:00:00"/>
    <n v="4"/>
    <x v="0"/>
    <n v="3"/>
    <n v="0"/>
  </r>
  <r>
    <s v="ORD-104233"/>
    <x v="659"/>
    <x v="1"/>
    <d v="2025-10-01T00:00:00"/>
    <n v="10"/>
    <s v="CUST-01133"/>
    <x v="1"/>
    <x v="12"/>
    <s v="BR"/>
    <x v="2"/>
    <s v="Patna"/>
    <x v="0"/>
    <s v="P702"/>
    <s v="Whey Protein 1kg"/>
    <x v="0"/>
    <n v="2"/>
    <n v="2299"/>
    <n v="0.5"/>
    <n v="4598"/>
    <n v="2299"/>
    <n v="2299"/>
    <n v="1333"/>
    <n v="2666"/>
    <n v="60"/>
    <n v="-427"/>
    <n v="-0.18573292735972161"/>
    <x v="1"/>
    <d v="2025-11-01T00:00:00"/>
    <n v="7"/>
    <x v="2"/>
    <n v="3"/>
    <n v="0"/>
  </r>
  <r>
    <s v="ORD-104234"/>
    <x v="659"/>
    <x v="1"/>
    <d v="2025-10-01T00:00:00"/>
    <n v="10"/>
    <s v="CUST-00371"/>
    <x v="1"/>
    <x v="18"/>
    <s v="WB"/>
    <x v="2"/>
    <s v="Kolkata"/>
    <x v="3"/>
    <s v="P104"/>
    <s v="Hydrating Face Wash"/>
    <x v="3"/>
    <n v="1"/>
    <n v="299"/>
    <n v="0.2"/>
    <n v="299"/>
    <n v="59.800000000000004"/>
    <n v="239.2"/>
    <n v="90"/>
    <n v="90"/>
    <n v="60"/>
    <n v="89.199999999999989"/>
    <n v="0.37290969899665549"/>
    <x v="3"/>
    <d v="2025-10-30T00:00:00"/>
    <n v="5"/>
    <x v="2"/>
    <m/>
    <n v="0"/>
  </r>
  <r>
    <s v="ORD-104235"/>
    <x v="659"/>
    <x v="1"/>
    <d v="2025-10-01T00:00:00"/>
    <n v="10"/>
    <s v="CUST-02407"/>
    <x v="1"/>
    <x v="2"/>
    <s v="MH"/>
    <x v="1"/>
    <s v="Nagpur"/>
    <x v="2"/>
    <s v="P203"/>
    <s v="Keratin Hair Mask"/>
    <x v="6"/>
    <n v="2"/>
    <n v="549"/>
    <n v="0.35"/>
    <n v="1098"/>
    <n v="384.29999999999995"/>
    <n v="713.7"/>
    <n v="170"/>
    <n v="340"/>
    <n v="60"/>
    <n v="313.70000000000005"/>
    <n v="0.43954042314698055"/>
    <x v="0"/>
    <d v="2025-10-29T00:00:00"/>
    <n v="4"/>
    <x v="0"/>
    <n v="5"/>
    <n v="0"/>
  </r>
  <r>
    <s v="ORD-104236"/>
    <x v="660"/>
    <x v="1"/>
    <d v="2025-10-01T00:00:00"/>
    <n v="10"/>
    <s v="CUST-00082"/>
    <x v="1"/>
    <x v="6"/>
    <s v="DL"/>
    <x v="0"/>
    <s v="New Delhi"/>
    <x v="4"/>
    <s v="P302"/>
    <s v="Linen Kurta"/>
    <x v="1"/>
    <n v="1"/>
    <n v="1499"/>
    <n v="0.4"/>
    <n v="1499"/>
    <n v="599.6"/>
    <n v="899.4"/>
    <n v="630"/>
    <n v="630"/>
    <n v="60"/>
    <n v="209.39999999999998"/>
    <n v="0.23282188125416942"/>
    <x v="0"/>
    <d v="2025-10-28T00:00:00"/>
    <n v="2"/>
    <x v="1"/>
    <n v="4"/>
    <n v="0"/>
  </r>
  <r>
    <s v="ORD-104237"/>
    <x v="660"/>
    <x v="1"/>
    <d v="2025-10-01T00:00:00"/>
    <n v="10"/>
    <s v="CUST-00378"/>
    <x v="1"/>
    <x v="6"/>
    <s v="DL"/>
    <x v="0"/>
    <s v="New Delhi"/>
    <x v="0"/>
    <s v="P504"/>
    <s v="Cotton Bedsheet"/>
    <x v="4"/>
    <n v="3"/>
    <n v="1299"/>
    <n v="0.1"/>
    <n v="3897"/>
    <n v="389.70000000000005"/>
    <n v="3507.3"/>
    <n v="585"/>
    <n v="1755"/>
    <n v="60"/>
    <n v="1692.3000000000002"/>
    <n v="0.48250791206911303"/>
    <x v="3"/>
    <d v="2025-10-28T00:00:00"/>
    <n v="2"/>
    <x v="1"/>
    <n v="4"/>
    <n v="0"/>
  </r>
  <r>
    <s v="ORD-104238"/>
    <x v="660"/>
    <x v="1"/>
    <d v="2025-10-01T00:00:00"/>
    <n v="10"/>
    <s v="CUST-02439"/>
    <x v="0"/>
    <x v="6"/>
    <s v="DL"/>
    <x v="0"/>
    <s v="New Delhi"/>
    <x v="2"/>
    <s v="P103"/>
    <s v="Niacinamide Toner"/>
    <x v="3"/>
    <n v="1"/>
    <n v="399"/>
    <n v="0.15"/>
    <n v="399"/>
    <n v="59.849999999999994"/>
    <n v="339.15"/>
    <n v="112"/>
    <n v="112"/>
    <n v="60"/>
    <n v="167.14999999999998"/>
    <n v="0.49284977148754233"/>
    <x v="4"/>
    <d v="2025-10-30T00:00:00"/>
    <n v="4"/>
    <x v="0"/>
    <m/>
    <n v="0"/>
  </r>
  <r>
    <s v="ORD-104239"/>
    <x v="660"/>
    <x v="1"/>
    <d v="2025-10-01T00:00:00"/>
    <n v="10"/>
    <s v="CUST-02234"/>
    <x v="1"/>
    <x v="21"/>
    <s v="TG"/>
    <x v="3"/>
    <s v="Hyderabad"/>
    <x v="0"/>
    <s v="P503"/>
    <s v="Scented Candle Set"/>
    <x v="4"/>
    <n v="2"/>
    <n v="699"/>
    <n v="0.35"/>
    <n v="1398"/>
    <n v="489.29999999999995"/>
    <n v="908.7"/>
    <n v="245"/>
    <n v="490"/>
    <n v="60"/>
    <n v="358.70000000000005"/>
    <n v="0.39473973808737761"/>
    <x v="0"/>
    <d v="2025-10-29T00:00:00"/>
    <n v="3"/>
    <x v="0"/>
    <n v="4"/>
    <n v="0"/>
  </r>
  <r>
    <s v="ORD-104240"/>
    <x v="660"/>
    <x v="1"/>
    <d v="2025-10-01T00:00:00"/>
    <n v="10"/>
    <s v="CUST-02772"/>
    <x v="1"/>
    <x v="21"/>
    <s v="TG"/>
    <x v="3"/>
    <s v="Hyderabad"/>
    <x v="4"/>
    <s v="P603"/>
    <s v="Smartwatch Strap"/>
    <x v="2"/>
    <n v="1"/>
    <n v="499"/>
    <n v="0.2"/>
    <n v="499"/>
    <n v="99.800000000000011"/>
    <n v="399.2"/>
    <n v="200"/>
    <n v="200"/>
    <n v="60"/>
    <n v="139.19999999999999"/>
    <n v="0.34869739478957912"/>
    <x v="3"/>
    <d v="2025-10-28T00:00:00"/>
    <n v="2"/>
    <x v="1"/>
    <n v="4"/>
    <n v="0"/>
  </r>
  <r>
    <s v="ORD-104241"/>
    <x v="660"/>
    <x v="1"/>
    <d v="2025-10-01T00:00:00"/>
    <n v="10"/>
    <s v="CUST-00271"/>
    <x v="1"/>
    <x v="11"/>
    <s v="KA"/>
    <x v="3"/>
    <s v="Bengaluru"/>
    <x v="4"/>
    <s v="P701"/>
    <s v="Ashwagandha Capsules"/>
    <x v="0"/>
    <n v="1"/>
    <n v="499"/>
    <n v="0.15"/>
    <n v="499"/>
    <n v="74.849999999999994"/>
    <n v="424.15"/>
    <n v="150"/>
    <n v="150"/>
    <n v="60"/>
    <n v="214.14999999999998"/>
    <n v="0.50489213721560766"/>
    <x v="2"/>
    <d v="2025-10-28T00:00:00"/>
    <n v="2"/>
    <x v="1"/>
    <n v="5"/>
    <n v="0"/>
  </r>
  <r>
    <s v="ORD-104242"/>
    <x v="660"/>
    <x v="1"/>
    <d v="2025-10-01T00:00:00"/>
    <n v="10"/>
    <s v="CUST-00588"/>
    <x v="1"/>
    <x v="11"/>
    <s v="KA"/>
    <x v="3"/>
    <s v="Mysuru"/>
    <x v="0"/>
    <s v="P204"/>
    <s v="Anti-Dandruff Conditioner"/>
    <x v="6"/>
    <n v="2"/>
    <n v="399"/>
    <n v="0.5"/>
    <n v="798"/>
    <n v="399"/>
    <n v="399"/>
    <n v="136"/>
    <n v="272"/>
    <n v="60"/>
    <n v="67"/>
    <n v="0.16791979949874686"/>
    <x v="0"/>
    <d v="2025-10-29T00:00:00"/>
    <n v="3"/>
    <x v="0"/>
    <m/>
    <n v="0"/>
  </r>
  <r>
    <s v="ORD-104243"/>
    <x v="660"/>
    <x v="1"/>
    <d v="2025-10-01T00:00:00"/>
    <n v="10"/>
    <s v="CUST-01175"/>
    <x v="1"/>
    <x v="14"/>
    <s v="KL"/>
    <x v="3"/>
    <s v="Kochi"/>
    <x v="1"/>
    <s v="P404"/>
    <s v="Flip Flops"/>
    <x v="5"/>
    <n v="2"/>
    <n v="399"/>
    <n v="0.3"/>
    <n v="798"/>
    <n v="239.39999999999998"/>
    <n v="558.6"/>
    <n v="152"/>
    <n v="304"/>
    <n v="60"/>
    <n v="194.60000000000002"/>
    <n v="0.34837092731829578"/>
    <x v="3"/>
    <d v="2025-10-29T00:00:00"/>
    <n v="3"/>
    <x v="0"/>
    <n v="4"/>
    <n v="0"/>
  </r>
  <r>
    <s v="ORD-104244"/>
    <x v="660"/>
    <x v="1"/>
    <d v="2025-10-01T00:00:00"/>
    <n v="10"/>
    <s v="CUST-00699"/>
    <x v="1"/>
    <x v="17"/>
    <s v="TN"/>
    <x v="3"/>
    <s v="Coimbatore"/>
    <x v="1"/>
    <s v="P304"/>
    <s v="Denim Jacket"/>
    <x v="1"/>
    <n v="1"/>
    <n v="2499"/>
    <n v="0.15"/>
    <n v="2499"/>
    <n v="374.84999999999997"/>
    <n v="2124.15"/>
    <n v="1125"/>
    <n v="1125"/>
    <n v="60"/>
    <n v="939.15000000000009"/>
    <n v="0.44212979309370809"/>
    <x v="4"/>
    <d v="2025-10-29T00:00:00"/>
    <n v="3"/>
    <x v="0"/>
    <m/>
    <n v="0"/>
  </r>
  <r>
    <s v="ORD-104245"/>
    <x v="661"/>
    <x v="1"/>
    <d v="2025-10-01T00:00:00"/>
    <n v="10"/>
    <s v="CUST-00097"/>
    <x v="0"/>
    <x v="0"/>
    <s v="RJ"/>
    <x v="0"/>
    <s v="Jaipur"/>
    <x v="2"/>
    <s v="P105"/>
    <s v="Retinol Night Cream"/>
    <x v="3"/>
    <n v="1"/>
    <n v="799"/>
    <n v="0.15"/>
    <n v="799"/>
    <n v="119.85"/>
    <n v="679.15"/>
    <n v="216"/>
    <n v="216"/>
    <n v="60"/>
    <n v="403.15"/>
    <n v="0.59360965913273944"/>
    <x v="4"/>
    <d v="2025-11-01T00:00:00"/>
    <n v="5"/>
    <x v="2"/>
    <n v="2"/>
    <n v="0"/>
  </r>
  <r>
    <s v="ORD-104246"/>
    <x v="661"/>
    <x v="1"/>
    <d v="2025-10-01T00:00:00"/>
    <n v="10"/>
    <s v="CUST-00731"/>
    <x v="1"/>
    <x v="6"/>
    <s v="DL"/>
    <x v="0"/>
    <s v="New Delhi"/>
    <x v="0"/>
    <s v="P202"/>
    <s v="Argan Shampoo"/>
    <x v="6"/>
    <n v="1"/>
    <n v="449"/>
    <n v="0.1"/>
    <n v="449"/>
    <n v="44.900000000000006"/>
    <n v="404.1"/>
    <n v="148"/>
    <n v="148"/>
    <n v="60"/>
    <n v="196.10000000000002"/>
    <n v="0.48527592180153428"/>
    <x v="0"/>
    <d v="2025-10-30T00:00:00"/>
    <n v="3"/>
    <x v="0"/>
    <m/>
    <n v="0"/>
  </r>
  <r>
    <s v="ORD-104247"/>
    <x v="661"/>
    <x v="1"/>
    <d v="2025-10-01T00:00:00"/>
    <n v="10"/>
    <s v="CUST-00348"/>
    <x v="1"/>
    <x v="6"/>
    <s v="DL"/>
    <x v="0"/>
    <s v="New Delhi"/>
    <x v="0"/>
    <s v="P303"/>
    <s v="Joggers"/>
    <x v="1"/>
    <n v="1"/>
    <n v="1199"/>
    <n v="0.25"/>
    <n v="1199"/>
    <n v="299.75"/>
    <n v="899.25"/>
    <n v="492"/>
    <n v="492"/>
    <n v="60"/>
    <n v="347.25"/>
    <n v="0.38615512927439533"/>
    <x v="3"/>
    <d v="2025-10-28T00:00:00"/>
    <n v="1"/>
    <x v="1"/>
    <m/>
    <n v="0"/>
  </r>
  <r>
    <s v="ORD-104248"/>
    <x v="661"/>
    <x v="1"/>
    <d v="2025-10-01T00:00:00"/>
    <n v="10"/>
    <s v="CUST-01058"/>
    <x v="1"/>
    <x v="16"/>
    <s v="UP"/>
    <x v="0"/>
    <s v="Lucknow"/>
    <x v="4"/>
    <s v="P201"/>
    <s v="Onion Hair Oil"/>
    <x v="6"/>
    <n v="2"/>
    <n v="349"/>
    <n v="0.55000000000000004"/>
    <n v="698"/>
    <n v="383.90000000000003"/>
    <n v="314.09999999999997"/>
    <n v="105"/>
    <n v="210"/>
    <n v="60"/>
    <n v="44.099999999999966"/>
    <n v="0.14040114613180507"/>
    <x v="1"/>
    <d v="2025-10-31T00:00:00"/>
    <n v="4"/>
    <x v="0"/>
    <m/>
    <n v="0"/>
  </r>
  <r>
    <s v="ORD-104249"/>
    <x v="661"/>
    <x v="1"/>
    <d v="2025-10-01T00:00:00"/>
    <n v="10"/>
    <s v="CUST-02391"/>
    <x v="0"/>
    <x v="16"/>
    <s v="UP"/>
    <x v="0"/>
    <s v="Kanpur"/>
    <x v="4"/>
    <s v="P303"/>
    <s v="Joggers"/>
    <x v="1"/>
    <n v="2"/>
    <n v="1199"/>
    <n v="0.1"/>
    <n v="2398"/>
    <n v="239.8"/>
    <n v="2158.1999999999998"/>
    <n v="492"/>
    <n v="984"/>
    <n v="120"/>
    <n v="1054.1999999999998"/>
    <n v="0.48846260772866273"/>
    <x v="2"/>
    <d v="2025-10-30T00:00:00"/>
    <n v="3"/>
    <x v="0"/>
    <n v="4"/>
    <n v="1"/>
  </r>
  <r>
    <s v="ORD-104250"/>
    <x v="661"/>
    <x v="1"/>
    <d v="2025-10-01T00:00:00"/>
    <n v="10"/>
    <s v="CUST-00078"/>
    <x v="1"/>
    <x v="12"/>
    <s v="BR"/>
    <x v="2"/>
    <s v="Patna"/>
    <x v="4"/>
    <s v="P601"/>
    <s v="Wireless Earbuds"/>
    <x v="2"/>
    <n v="1"/>
    <n v="1999"/>
    <n v="0.4"/>
    <n v="1999"/>
    <n v="799.6"/>
    <n v="1199.4000000000001"/>
    <n v="1239"/>
    <n v="1239"/>
    <n v="60"/>
    <n v="-99.599999999999909"/>
    <n v="-8.3041520760380114E-2"/>
    <x v="3"/>
    <d v="2025-11-02T00:00:00"/>
    <n v="6"/>
    <x v="2"/>
    <n v="4"/>
    <n v="0"/>
  </r>
  <r>
    <s v="ORD-104251"/>
    <x v="661"/>
    <x v="1"/>
    <d v="2025-10-01T00:00:00"/>
    <n v="10"/>
    <s v="CUST-02883"/>
    <x v="0"/>
    <x v="1"/>
    <s v="GJ"/>
    <x v="1"/>
    <s v="Surat"/>
    <x v="2"/>
    <s v="P202"/>
    <s v="Argan Shampoo"/>
    <x v="6"/>
    <n v="1"/>
    <n v="449"/>
    <n v="0.25"/>
    <n v="449"/>
    <n v="112.25"/>
    <n v="336.75"/>
    <n v="148"/>
    <n v="148"/>
    <n v="60"/>
    <n v="128.75"/>
    <n v="0.38233110616184113"/>
    <x v="0"/>
    <d v="2025-11-01T00:00:00"/>
    <n v="5"/>
    <x v="2"/>
    <n v="4"/>
    <n v="0"/>
  </r>
  <r>
    <s v="ORD-104252"/>
    <x v="661"/>
    <x v="1"/>
    <d v="2025-10-01T00:00:00"/>
    <n v="10"/>
    <s v="CUST-00506"/>
    <x v="1"/>
    <x v="1"/>
    <s v="GJ"/>
    <x v="1"/>
    <s v="Ahmedabad"/>
    <x v="0"/>
    <s v="P101"/>
    <s v="Vitamin C Face Serum"/>
    <x v="3"/>
    <n v="2"/>
    <n v="599"/>
    <n v="0.35"/>
    <n v="1198"/>
    <n v="419.29999999999995"/>
    <n v="778.7"/>
    <n v="180"/>
    <n v="360"/>
    <n v="60"/>
    <n v="358.70000000000005"/>
    <n v="0.4606395274174907"/>
    <x v="2"/>
    <d v="2025-10-30T00:00:00"/>
    <n v="3"/>
    <x v="0"/>
    <n v="3"/>
    <n v="0"/>
  </r>
  <r>
    <s v="ORD-104253"/>
    <x v="661"/>
    <x v="1"/>
    <d v="2025-10-01T00:00:00"/>
    <n v="10"/>
    <s v="CUST-00382"/>
    <x v="1"/>
    <x v="13"/>
    <s v="MP"/>
    <x v="1"/>
    <s v="Bhopal"/>
    <x v="4"/>
    <s v="P702"/>
    <s v="Whey Protein 1kg"/>
    <x v="0"/>
    <n v="2"/>
    <n v="2299"/>
    <n v="0.6"/>
    <n v="4598"/>
    <n v="2758.7999999999997"/>
    <n v="1839.2000000000003"/>
    <n v="1333"/>
    <n v="2666"/>
    <n v="60"/>
    <n v="-886.79999999999973"/>
    <n v="-0.48216615919965178"/>
    <x v="2"/>
    <d v="2025-11-01T00:00:00"/>
    <n v="5"/>
    <x v="2"/>
    <n v="3"/>
    <n v="0"/>
  </r>
  <r>
    <s v="ORD-104254"/>
    <x v="661"/>
    <x v="1"/>
    <d v="2025-10-01T00:00:00"/>
    <n v="10"/>
    <s v="CUST-00670"/>
    <x v="1"/>
    <x v="2"/>
    <s v="MH"/>
    <x v="1"/>
    <s v="Nagpur"/>
    <x v="1"/>
    <s v="P302"/>
    <s v="Linen Kurta"/>
    <x v="1"/>
    <n v="1"/>
    <n v="1499"/>
    <n v="0.4"/>
    <n v="1499"/>
    <n v="599.6"/>
    <n v="899.4"/>
    <n v="630"/>
    <n v="630"/>
    <n v="120"/>
    <n v="149.39999999999998"/>
    <n v="0.16611074049366242"/>
    <x v="0"/>
    <d v="2025-10-30T00:00:00"/>
    <n v="3"/>
    <x v="0"/>
    <n v="4"/>
    <n v="1"/>
  </r>
  <r>
    <s v="ORD-104255"/>
    <x v="661"/>
    <x v="1"/>
    <d v="2025-10-01T00:00:00"/>
    <n v="10"/>
    <s v="CUST-02818"/>
    <x v="0"/>
    <x v="2"/>
    <s v="MH"/>
    <x v="1"/>
    <s v="Mumbai"/>
    <x v="4"/>
    <s v="P701"/>
    <s v="Ashwagandha Capsules"/>
    <x v="0"/>
    <n v="2"/>
    <n v="499"/>
    <n v="0.1"/>
    <n v="998"/>
    <n v="99.800000000000011"/>
    <n v="898.2"/>
    <n v="150"/>
    <n v="300"/>
    <n v="60"/>
    <n v="538.20000000000005"/>
    <n v="0.59919839679358722"/>
    <x v="0"/>
    <d v="2025-10-28T00:00:00"/>
    <n v="1"/>
    <x v="1"/>
    <n v="4"/>
    <n v="0"/>
  </r>
  <r>
    <s v="ORD-104256"/>
    <x v="661"/>
    <x v="1"/>
    <d v="2025-10-01T00:00:00"/>
    <n v="10"/>
    <s v="CUST-00176"/>
    <x v="1"/>
    <x v="2"/>
    <s v="MH"/>
    <x v="1"/>
    <s v="Nagpur"/>
    <x v="0"/>
    <s v="P301"/>
    <s v="Cotton Oversized T-Shirt"/>
    <x v="1"/>
    <n v="2"/>
    <n v="799"/>
    <n v="0.25"/>
    <n v="1598"/>
    <n v="399.5"/>
    <n v="1198.5"/>
    <n v="320"/>
    <n v="640"/>
    <n v="60"/>
    <n v="498.5"/>
    <n v="0.41593658740091782"/>
    <x v="0"/>
    <d v="2025-10-30T00:00:00"/>
    <n v="3"/>
    <x v="0"/>
    <n v="4"/>
    <n v="0"/>
  </r>
  <r>
    <s v="ORD-104257"/>
    <x v="661"/>
    <x v="1"/>
    <d v="2025-10-01T00:00:00"/>
    <n v="10"/>
    <s v="CUST-00463"/>
    <x v="1"/>
    <x v="2"/>
    <s v="MH"/>
    <x v="1"/>
    <s v="Pune"/>
    <x v="2"/>
    <s v="P603"/>
    <s v="Smartwatch Strap"/>
    <x v="2"/>
    <n v="1"/>
    <n v="499"/>
    <n v="0.2"/>
    <n v="499"/>
    <n v="99.800000000000011"/>
    <n v="399.2"/>
    <n v="200"/>
    <n v="200"/>
    <n v="60"/>
    <n v="139.19999999999999"/>
    <n v="0.34869739478957912"/>
    <x v="0"/>
    <d v="2025-10-31T00:00:00"/>
    <n v="4"/>
    <x v="0"/>
    <m/>
    <n v="0"/>
  </r>
  <r>
    <s v="ORD-104258"/>
    <x v="661"/>
    <x v="1"/>
    <d v="2025-10-01T00:00:00"/>
    <n v="10"/>
    <s v="CUST-02589"/>
    <x v="1"/>
    <x v="21"/>
    <s v="TG"/>
    <x v="3"/>
    <s v="Hyderabad"/>
    <x v="2"/>
    <s v="P403"/>
    <s v="Kolhapuri Sandals"/>
    <x v="5"/>
    <n v="1"/>
    <n v="999"/>
    <n v="0.05"/>
    <n v="999"/>
    <n v="49.95"/>
    <n v="949.05"/>
    <n v="400"/>
    <n v="400"/>
    <n v="120"/>
    <n v="429.04999999999995"/>
    <n v="0.4520836626099784"/>
    <x v="0"/>
    <d v="2025-11-01T00:00:00"/>
    <n v="5"/>
    <x v="2"/>
    <n v="3"/>
    <n v="1"/>
  </r>
  <r>
    <s v="ORD-104259"/>
    <x v="661"/>
    <x v="1"/>
    <d v="2025-10-01T00:00:00"/>
    <n v="10"/>
    <s v="CUST-00655"/>
    <x v="1"/>
    <x v="3"/>
    <s v="OD"/>
    <x v="2"/>
    <s v="Bhubaneswar"/>
    <x v="0"/>
    <s v="P703"/>
    <s v="Green Tea (100 bags)"/>
    <x v="0"/>
    <n v="1"/>
    <n v="399"/>
    <n v="0.4"/>
    <n v="399"/>
    <n v="159.60000000000002"/>
    <n v="239.39999999999998"/>
    <n v="128"/>
    <n v="128"/>
    <n v="60"/>
    <n v="51.399999999999977"/>
    <n v="0.21470342522974095"/>
    <x v="0"/>
    <d v="2025-11-01T00:00:00"/>
    <n v="5"/>
    <x v="2"/>
    <n v="3"/>
    <n v="0"/>
  </r>
  <r>
    <s v="ORD-104260"/>
    <x v="661"/>
    <x v="1"/>
    <d v="2025-10-01T00:00:00"/>
    <n v="10"/>
    <s v="CUST-00965"/>
    <x v="1"/>
    <x v="11"/>
    <s v="KA"/>
    <x v="3"/>
    <s v="Bengaluru"/>
    <x v="1"/>
    <s v="P404"/>
    <s v="Flip Flops"/>
    <x v="5"/>
    <n v="3"/>
    <n v="399"/>
    <n v="0.15"/>
    <n v="1197"/>
    <n v="179.54999999999998"/>
    <n v="1017.45"/>
    <n v="152"/>
    <n v="456"/>
    <n v="60"/>
    <n v="501.45000000000005"/>
    <n v="0.49284977148754239"/>
    <x v="0"/>
    <d v="2025-10-29T00:00:00"/>
    <n v="2"/>
    <x v="1"/>
    <n v="5"/>
    <n v="0"/>
  </r>
  <r>
    <s v="ORD-104261"/>
    <x v="661"/>
    <x v="1"/>
    <d v="2025-10-01T00:00:00"/>
    <n v="10"/>
    <s v="CUST-00736"/>
    <x v="1"/>
    <x v="17"/>
    <s v="TN"/>
    <x v="3"/>
    <s v="Chennai"/>
    <x v="4"/>
    <s v="P102"/>
    <s v="Sunscreen SPF 50"/>
    <x v="3"/>
    <n v="1"/>
    <n v="449"/>
    <n v="0.1"/>
    <n v="449"/>
    <n v="44.900000000000006"/>
    <n v="404.1"/>
    <n v="144"/>
    <n v="144"/>
    <n v="60"/>
    <n v="200.10000000000002"/>
    <n v="0.4951744617668894"/>
    <x v="0"/>
    <d v="2025-11-01T00:00:00"/>
    <n v="5"/>
    <x v="2"/>
    <n v="4"/>
    <n v="0"/>
  </r>
  <r>
    <s v="ORD-104262"/>
    <x v="662"/>
    <x v="1"/>
    <d v="2025-10-01T00:00:00"/>
    <n v="10"/>
    <s v="CUST-00668"/>
    <x v="1"/>
    <x v="6"/>
    <s v="DL"/>
    <x v="0"/>
    <s v="New Delhi"/>
    <x v="3"/>
    <s v="P104"/>
    <s v="Hydrating Face Wash"/>
    <x v="3"/>
    <n v="2"/>
    <n v="299"/>
    <n v="0.2"/>
    <n v="598"/>
    <n v="119.60000000000001"/>
    <n v="478.4"/>
    <n v="90"/>
    <n v="180"/>
    <n v="60"/>
    <n v="238.39999999999998"/>
    <n v="0.49832775919732442"/>
    <x v="1"/>
    <d v="2025-10-30T00:00:00"/>
    <n v="2"/>
    <x v="1"/>
    <n v="5"/>
    <n v="0"/>
  </r>
  <r>
    <s v="ORD-104263"/>
    <x v="662"/>
    <x v="1"/>
    <d v="2025-10-01T00:00:00"/>
    <n v="10"/>
    <s v="CUST-00594"/>
    <x v="1"/>
    <x v="16"/>
    <s v="UP"/>
    <x v="0"/>
    <s v="Kanpur"/>
    <x v="0"/>
    <s v="P204"/>
    <s v="Anti-Dandruff Conditioner"/>
    <x v="6"/>
    <n v="1"/>
    <n v="399"/>
    <n v="0.4"/>
    <n v="399"/>
    <n v="159.60000000000002"/>
    <n v="239.39999999999998"/>
    <n v="136"/>
    <n v="136"/>
    <n v="60"/>
    <n v="43.399999999999977"/>
    <n v="0.18128654970760227"/>
    <x v="1"/>
    <d v="2025-11-01T00:00:00"/>
    <n v="4"/>
    <x v="0"/>
    <n v="4"/>
    <n v="0"/>
  </r>
  <r>
    <s v="ORD-104264"/>
    <x v="662"/>
    <x v="1"/>
    <d v="2025-10-01T00:00:00"/>
    <n v="10"/>
    <s v="CUST-01024"/>
    <x v="1"/>
    <x v="1"/>
    <s v="GJ"/>
    <x v="1"/>
    <s v="Ahmedabad"/>
    <x v="4"/>
    <s v="P604"/>
    <s v="Power Bank 20000mAh"/>
    <x v="2"/>
    <n v="4"/>
    <n v="1799"/>
    <n v="0.6"/>
    <n v="7196"/>
    <n v="4317.5999999999995"/>
    <n v="2878.4000000000005"/>
    <n v="1079"/>
    <n v="4316"/>
    <n v="60"/>
    <n v="-1497.5999999999995"/>
    <n v="-0.52028904947192856"/>
    <x v="0"/>
    <d v="2025-10-30T00:00:00"/>
    <n v="2"/>
    <x v="1"/>
    <m/>
    <n v="0"/>
  </r>
  <r>
    <s v="ORD-104265"/>
    <x v="662"/>
    <x v="1"/>
    <d v="2025-10-01T00:00:00"/>
    <n v="10"/>
    <s v="CUST-02239"/>
    <x v="1"/>
    <x v="18"/>
    <s v="WB"/>
    <x v="2"/>
    <s v="Kolkata"/>
    <x v="4"/>
    <s v="P503"/>
    <s v="Scented Candle Set"/>
    <x v="4"/>
    <n v="1"/>
    <n v="699"/>
    <n v="0.35"/>
    <n v="699"/>
    <n v="244.64999999999998"/>
    <n v="454.35"/>
    <n v="245"/>
    <n v="245"/>
    <n v="60"/>
    <n v="149.35000000000002"/>
    <n v="0.32871134587872791"/>
    <x v="0"/>
    <d v="2025-11-01T00:00:00"/>
    <n v="4"/>
    <x v="0"/>
    <m/>
    <n v="0"/>
  </r>
  <r>
    <s v="ORD-104266"/>
    <x v="662"/>
    <x v="1"/>
    <d v="2025-10-01T00:00:00"/>
    <n v="10"/>
    <s v="CUST-01701"/>
    <x v="0"/>
    <x v="2"/>
    <s v="MH"/>
    <x v="1"/>
    <s v="Pune"/>
    <x v="4"/>
    <s v="P101"/>
    <s v="Vitamin C Face Serum"/>
    <x v="3"/>
    <n v="2"/>
    <n v="599"/>
    <n v="0.4"/>
    <n v="1198"/>
    <n v="479.20000000000005"/>
    <n v="718.8"/>
    <n v="180"/>
    <n v="360"/>
    <n v="60"/>
    <n v="298.79999999999995"/>
    <n v="0.4156928213689482"/>
    <x v="0"/>
    <d v="2025-10-31T00:00:00"/>
    <n v="3"/>
    <x v="0"/>
    <n v="4"/>
    <n v="0"/>
  </r>
  <r>
    <s v="ORD-104267"/>
    <x v="662"/>
    <x v="1"/>
    <d v="2025-10-01T00:00:00"/>
    <n v="10"/>
    <s v="CUST-00917"/>
    <x v="1"/>
    <x v="21"/>
    <s v="TG"/>
    <x v="3"/>
    <s v="Hyderabad"/>
    <x v="4"/>
    <s v="P204"/>
    <s v="Anti-Dandruff Conditioner"/>
    <x v="6"/>
    <n v="2"/>
    <n v="399"/>
    <n v="0.6"/>
    <n v="798"/>
    <n v="478.79999999999995"/>
    <n v="319.20000000000005"/>
    <n v="136"/>
    <n v="272"/>
    <n v="60"/>
    <n v="-12.799999999999955"/>
    <n v="-4.0100250626566268E-2"/>
    <x v="0"/>
    <d v="2025-10-31T00:00:00"/>
    <n v="3"/>
    <x v="0"/>
    <n v="3"/>
    <n v="0"/>
  </r>
  <r>
    <s v="ORD-104268"/>
    <x v="662"/>
    <x v="1"/>
    <d v="2025-10-01T00:00:00"/>
    <n v="10"/>
    <s v="CUST-01788"/>
    <x v="0"/>
    <x v="3"/>
    <s v="OD"/>
    <x v="2"/>
    <s v="Bhubaneswar"/>
    <x v="2"/>
    <s v="P103"/>
    <s v="Niacinamide Toner"/>
    <x v="3"/>
    <n v="3"/>
    <n v="399"/>
    <n v="0.3"/>
    <n v="1197"/>
    <n v="359.09999999999997"/>
    <n v="837.90000000000009"/>
    <n v="112"/>
    <n v="336"/>
    <n v="120"/>
    <n v="381.90000000000009"/>
    <n v="0.45578231292517013"/>
    <x v="0"/>
    <d v="2025-11-02T00:00:00"/>
    <n v="5"/>
    <x v="2"/>
    <n v="4"/>
    <n v="1"/>
  </r>
  <r>
    <s v="ORD-104269"/>
    <x v="662"/>
    <x v="1"/>
    <d v="2025-10-01T00:00:00"/>
    <n v="10"/>
    <s v="CUST-02803"/>
    <x v="1"/>
    <x v="11"/>
    <s v="KA"/>
    <x v="3"/>
    <s v="Mysuru"/>
    <x v="1"/>
    <s v="P401"/>
    <s v="Running Shoes"/>
    <x v="5"/>
    <n v="3"/>
    <n v="2999"/>
    <n v="0.35"/>
    <n v="8997"/>
    <n v="3148.95"/>
    <n v="5848.05"/>
    <n v="1440"/>
    <n v="4320"/>
    <n v="120"/>
    <n v="1408.0500000000002"/>
    <n v="0.24077256521404572"/>
    <x v="0"/>
    <d v="2025-10-30T00:00:00"/>
    <n v="2"/>
    <x v="1"/>
    <m/>
    <n v="1"/>
  </r>
  <r>
    <s v="ORD-104270"/>
    <x v="662"/>
    <x v="1"/>
    <d v="2025-10-01T00:00:00"/>
    <n v="10"/>
    <s v="CUST-00592"/>
    <x v="1"/>
    <x v="17"/>
    <s v="TN"/>
    <x v="3"/>
    <s v="Chennai"/>
    <x v="2"/>
    <s v="P104"/>
    <s v="Hydrating Face Wash"/>
    <x v="3"/>
    <n v="1"/>
    <n v="299"/>
    <n v="0.2"/>
    <n v="299"/>
    <n v="59.800000000000004"/>
    <n v="239.2"/>
    <n v="90"/>
    <n v="90"/>
    <n v="60"/>
    <n v="89.199999999999989"/>
    <n v="0.37290969899665549"/>
    <x v="1"/>
    <d v="2025-11-02T00:00:00"/>
    <n v="5"/>
    <x v="2"/>
    <n v="4"/>
    <n v="0"/>
  </r>
  <r>
    <s v="ORD-104271"/>
    <x v="662"/>
    <x v="1"/>
    <d v="2025-10-01T00:00:00"/>
    <n v="10"/>
    <s v="CUST-00245"/>
    <x v="1"/>
    <x v="17"/>
    <s v="TN"/>
    <x v="3"/>
    <s v="Coimbatore"/>
    <x v="0"/>
    <s v="P203"/>
    <s v="Keratin Hair Mask"/>
    <x v="6"/>
    <n v="2"/>
    <n v="549"/>
    <n v="0.3"/>
    <n v="1098"/>
    <n v="329.4"/>
    <n v="768.6"/>
    <n v="170"/>
    <n v="340"/>
    <n v="60"/>
    <n v="368.6"/>
    <n v="0.47957325006505336"/>
    <x v="0"/>
    <d v="2025-11-01T00:00:00"/>
    <n v="4"/>
    <x v="0"/>
    <n v="5"/>
    <n v="0"/>
  </r>
  <r>
    <s v="ORD-104272"/>
    <x v="663"/>
    <x v="1"/>
    <d v="2025-10-01T00:00:00"/>
    <n v="10"/>
    <s v="CUST-01189"/>
    <x v="1"/>
    <x v="6"/>
    <s v="DL"/>
    <x v="0"/>
    <s v="New Delhi"/>
    <x v="4"/>
    <s v="P101"/>
    <s v="Vitamin C Face Serum"/>
    <x v="3"/>
    <n v="2"/>
    <n v="599"/>
    <n v="0.3"/>
    <n v="1198"/>
    <n v="359.4"/>
    <n v="838.6"/>
    <n v="180"/>
    <n v="360"/>
    <n v="60"/>
    <n v="418.6"/>
    <n v="0.4991652754590985"/>
    <x v="0"/>
    <d v="2025-10-31T00:00:00"/>
    <n v="2"/>
    <x v="1"/>
    <n v="3"/>
    <n v="0"/>
  </r>
  <r>
    <s v="ORD-104273"/>
    <x v="663"/>
    <x v="1"/>
    <d v="2025-10-01T00:00:00"/>
    <n v="10"/>
    <s v="CUST-00782"/>
    <x v="1"/>
    <x v="6"/>
    <s v="DL"/>
    <x v="0"/>
    <s v="New Delhi"/>
    <x v="4"/>
    <s v="P303"/>
    <s v="Joggers"/>
    <x v="1"/>
    <n v="3"/>
    <n v="1199"/>
    <n v="0.25"/>
    <n v="3597"/>
    <n v="899.25"/>
    <n v="2697.75"/>
    <n v="492"/>
    <n v="1476"/>
    <n v="60"/>
    <n v="1161.75"/>
    <n v="0.43063664164581594"/>
    <x v="1"/>
    <d v="2025-11-02T00:00:00"/>
    <n v="4"/>
    <x v="0"/>
    <n v="5"/>
    <n v="0"/>
  </r>
  <r>
    <s v="ORD-104274"/>
    <x v="663"/>
    <x v="1"/>
    <d v="2025-10-01T00:00:00"/>
    <n v="10"/>
    <s v="CUST-01883"/>
    <x v="0"/>
    <x v="16"/>
    <s v="UP"/>
    <x v="0"/>
    <s v="Noida"/>
    <x v="1"/>
    <s v="P404"/>
    <s v="Flip Flops"/>
    <x v="5"/>
    <n v="2"/>
    <n v="399"/>
    <n v="0.3"/>
    <n v="798"/>
    <n v="239.39999999999998"/>
    <n v="558.6"/>
    <n v="152"/>
    <n v="304"/>
    <n v="60"/>
    <n v="194.60000000000002"/>
    <n v="0.34837092731829578"/>
    <x v="0"/>
    <d v="2025-10-31T00:00:00"/>
    <n v="2"/>
    <x v="1"/>
    <m/>
    <n v="0"/>
  </r>
  <r>
    <s v="ORD-104275"/>
    <x v="663"/>
    <x v="1"/>
    <d v="2025-10-01T00:00:00"/>
    <n v="10"/>
    <s v="CUST-01003"/>
    <x v="0"/>
    <x v="16"/>
    <s v="UP"/>
    <x v="0"/>
    <s v="Lucknow"/>
    <x v="0"/>
    <s v="P504"/>
    <s v="Cotton Bedsheet"/>
    <x v="4"/>
    <n v="1"/>
    <n v="1299"/>
    <n v="0.2"/>
    <n v="1299"/>
    <n v="259.8"/>
    <n v="1039.2"/>
    <n v="585"/>
    <n v="585"/>
    <n v="60"/>
    <n v="394.20000000000005"/>
    <n v="0.37933025404157045"/>
    <x v="1"/>
    <d v="2025-11-04T00:00:00"/>
    <n v="6"/>
    <x v="2"/>
    <m/>
    <n v="0"/>
  </r>
  <r>
    <s v="ORD-104276"/>
    <x v="663"/>
    <x v="1"/>
    <d v="2025-10-01T00:00:00"/>
    <n v="10"/>
    <s v="CUST-01020"/>
    <x v="1"/>
    <x v="16"/>
    <s v="UP"/>
    <x v="0"/>
    <s v="Noida"/>
    <x v="0"/>
    <s v="P602"/>
    <s v="Fast Charger 33W"/>
    <x v="2"/>
    <n v="1"/>
    <n v="899"/>
    <n v="0.2"/>
    <n v="899"/>
    <n v="179.8"/>
    <n v="719.2"/>
    <n v="494"/>
    <n v="494"/>
    <n v="60"/>
    <n v="165.20000000000005"/>
    <n v="0.22969966629588437"/>
    <x v="0"/>
    <d v="2025-11-02T00:00:00"/>
    <n v="4"/>
    <x v="0"/>
    <m/>
    <n v="0"/>
  </r>
  <r>
    <s v="ORD-104277"/>
    <x v="663"/>
    <x v="1"/>
    <d v="2025-10-01T00:00:00"/>
    <n v="10"/>
    <s v="CUST-00096"/>
    <x v="1"/>
    <x v="13"/>
    <s v="MP"/>
    <x v="1"/>
    <s v="Bhopal"/>
    <x v="1"/>
    <s v="P403"/>
    <s v="Kolhapuri Sandals"/>
    <x v="5"/>
    <n v="1"/>
    <n v="999"/>
    <n v="0.25"/>
    <n v="999"/>
    <n v="249.75"/>
    <n v="749.25"/>
    <n v="400"/>
    <n v="400"/>
    <n v="60"/>
    <n v="289.25"/>
    <n v="0.38605271938605273"/>
    <x v="4"/>
    <d v="2025-10-31T00:00:00"/>
    <n v="2"/>
    <x v="1"/>
    <n v="5"/>
    <n v="0"/>
  </r>
  <r>
    <s v="ORD-104278"/>
    <x v="663"/>
    <x v="1"/>
    <d v="2025-10-01T00:00:00"/>
    <n v="10"/>
    <s v="CUST-02224"/>
    <x v="1"/>
    <x v="13"/>
    <s v="MP"/>
    <x v="1"/>
    <s v="Indore"/>
    <x v="4"/>
    <s v="P404"/>
    <s v="Flip Flops"/>
    <x v="5"/>
    <n v="2"/>
    <n v="399"/>
    <n v="0.15"/>
    <n v="798"/>
    <n v="119.69999999999999"/>
    <n v="678.3"/>
    <n v="152"/>
    <n v="304"/>
    <n v="60"/>
    <n v="314.29999999999995"/>
    <n v="0.4633642930856553"/>
    <x v="0"/>
    <d v="2025-11-02T00:00:00"/>
    <n v="4"/>
    <x v="0"/>
    <n v="4"/>
    <n v="0"/>
  </r>
  <r>
    <s v="ORD-104279"/>
    <x v="663"/>
    <x v="1"/>
    <d v="2025-10-01T00:00:00"/>
    <n v="10"/>
    <s v="CUST-01069"/>
    <x v="1"/>
    <x v="14"/>
    <s v="KL"/>
    <x v="3"/>
    <s v="Thiruvananthapuram"/>
    <x v="1"/>
    <s v="P402"/>
    <s v="Casual Sneakers"/>
    <x v="5"/>
    <n v="3"/>
    <n v="2199"/>
    <n v="0.3"/>
    <n v="6597"/>
    <n v="1979.1"/>
    <n v="4617.8999999999996"/>
    <n v="1034"/>
    <n v="3102"/>
    <n v="120"/>
    <n v="1395.8999999999996"/>
    <n v="0.30228025725979335"/>
    <x v="0"/>
    <d v="2025-11-04T00:00:00"/>
    <n v="6"/>
    <x v="2"/>
    <n v="3"/>
    <n v="1"/>
  </r>
  <r>
    <s v="ORD-104280"/>
    <x v="663"/>
    <x v="1"/>
    <d v="2025-10-01T00:00:00"/>
    <n v="10"/>
    <s v="CUST-02894"/>
    <x v="0"/>
    <x v="17"/>
    <s v="TN"/>
    <x v="3"/>
    <s v="Chennai"/>
    <x v="3"/>
    <s v="P102"/>
    <s v="Sunscreen SPF 50"/>
    <x v="3"/>
    <n v="2"/>
    <n v="449"/>
    <n v="0.25"/>
    <n v="898"/>
    <n v="224.5"/>
    <n v="673.5"/>
    <n v="144"/>
    <n v="288"/>
    <n v="60"/>
    <n v="325.5"/>
    <n v="0.48329621380846327"/>
    <x v="3"/>
    <d v="2025-11-01T00:00:00"/>
    <n v="3"/>
    <x v="0"/>
    <n v="4"/>
    <n v="0"/>
  </r>
  <r>
    <s v="ORD-104281"/>
    <x v="664"/>
    <x v="1"/>
    <d v="2025-10-01T00:00:00"/>
    <n v="10"/>
    <s v="CUST-00500"/>
    <x v="0"/>
    <x v="6"/>
    <s v="DL"/>
    <x v="0"/>
    <s v="New Delhi"/>
    <x v="4"/>
    <s v="P203"/>
    <s v="Keratin Hair Mask"/>
    <x v="6"/>
    <n v="1"/>
    <n v="549"/>
    <n v="0.35"/>
    <n v="549"/>
    <n v="192.14999999999998"/>
    <n v="356.85"/>
    <n v="170"/>
    <n v="170"/>
    <n v="60"/>
    <n v="126.85000000000002"/>
    <n v="0.35547148661902767"/>
    <x v="0"/>
    <d v="2025-10-31T00:00:00"/>
    <n v="1"/>
    <x v="1"/>
    <n v="5"/>
    <n v="0"/>
  </r>
  <r>
    <s v="ORD-104282"/>
    <x v="664"/>
    <x v="1"/>
    <d v="2025-10-01T00:00:00"/>
    <n v="10"/>
    <s v="CUST-00063"/>
    <x v="1"/>
    <x v="6"/>
    <s v="DL"/>
    <x v="0"/>
    <s v="New Delhi"/>
    <x v="2"/>
    <s v="P502"/>
    <s v="Ceramic Dinner Set"/>
    <x v="4"/>
    <n v="2"/>
    <n v="2499"/>
    <n v="0.4"/>
    <n v="4998"/>
    <n v="1999.2"/>
    <n v="2998.8"/>
    <n v="1250"/>
    <n v="2500"/>
    <n v="60"/>
    <n v="438.80000000000018"/>
    <n v="0.14632519674536487"/>
    <x v="1"/>
    <d v="2025-11-03T00:00:00"/>
    <n v="4"/>
    <x v="0"/>
    <n v="4"/>
    <n v="0"/>
  </r>
  <r>
    <s v="ORD-104283"/>
    <x v="664"/>
    <x v="1"/>
    <d v="2025-10-01T00:00:00"/>
    <n v="10"/>
    <s v="CUST-00904"/>
    <x v="1"/>
    <x v="6"/>
    <s v="DL"/>
    <x v="0"/>
    <s v="New Delhi"/>
    <x v="0"/>
    <s v="P703"/>
    <s v="Green Tea (100 bags)"/>
    <x v="0"/>
    <n v="1"/>
    <n v="399"/>
    <n v="0.35"/>
    <n v="399"/>
    <n v="139.64999999999998"/>
    <n v="259.35000000000002"/>
    <n v="128"/>
    <n v="128"/>
    <n v="60"/>
    <n v="71.350000000000023"/>
    <n v="0.27511085405822255"/>
    <x v="0"/>
    <d v="2025-11-02T00:00:00"/>
    <n v="3"/>
    <x v="0"/>
    <m/>
    <n v="0"/>
  </r>
  <r>
    <s v="ORD-104284"/>
    <x v="664"/>
    <x v="1"/>
    <d v="2025-10-01T00:00:00"/>
    <n v="10"/>
    <s v="CUST-00018"/>
    <x v="1"/>
    <x v="6"/>
    <s v="DL"/>
    <x v="0"/>
    <s v="New Delhi"/>
    <x v="3"/>
    <s v="P704"/>
    <s v="Multivitamin Gummies"/>
    <x v="0"/>
    <n v="2"/>
    <n v="699"/>
    <n v="0.4"/>
    <n v="1398"/>
    <n v="559.20000000000005"/>
    <n v="838.8"/>
    <n v="238"/>
    <n v="476"/>
    <n v="120"/>
    <n v="242.79999999999995"/>
    <n v="0.28946113495469716"/>
    <x v="0"/>
    <d v="2025-11-02T00:00:00"/>
    <n v="3"/>
    <x v="0"/>
    <n v="4"/>
    <n v="1"/>
  </r>
  <r>
    <s v="ORD-104285"/>
    <x v="664"/>
    <x v="1"/>
    <d v="2025-10-01T00:00:00"/>
    <n v="10"/>
    <s v="CUST-01048"/>
    <x v="1"/>
    <x v="16"/>
    <s v="UP"/>
    <x v="0"/>
    <s v="Lucknow"/>
    <x v="2"/>
    <s v="P502"/>
    <s v="Ceramic Dinner Set"/>
    <x v="4"/>
    <n v="2"/>
    <n v="2499"/>
    <n v="0.35"/>
    <n v="4998"/>
    <n v="1749.3"/>
    <n v="3248.7"/>
    <n v="1250"/>
    <n v="2500"/>
    <n v="60"/>
    <n v="688.69999999999982"/>
    <n v="0.21199248930341363"/>
    <x v="2"/>
    <d v="2025-11-03T00:00:00"/>
    <n v="4"/>
    <x v="0"/>
    <n v="5"/>
    <n v="0"/>
  </r>
  <r>
    <s v="ORD-104286"/>
    <x v="664"/>
    <x v="1"/>
    <d v="2025-10-01T00:00:00"/>
    <n v="10"/>
    <s v="CUST-00445"/>
    <x v="1"/>
    <x v="1"/>
    <s v="GJ"/>
    <x v="1"/>
    <s v="Ahmedabad"/>
    <x v="0"/>
    <s v="P401"/>
    <s v="Running Shoes"/>
    <x v="5"/>
    <n v="1"/>
    <n v="2999"/>
    <n v="0.25"/>
    <n v="2999"/>
    <n v="749.75"/>
    <n v="2249.25"/>
    <n v="1440"/>
    <n v="1440"/>
    <n v="120"/>
    <n v="689.25"/>
    <n v="0.30643547849283093"/>
    <x v="1"/>
    <d v="2025-11-02T00:00:00"/>
    <n v="3"/>
    <x v="0"/>
    <n v="3"/>
    <n v="1"/>
  </r>
  <r>
    <s v="ORD-104287"/>
    <x v="664"/>
    <x v="1"/>
    <d v="2025-10-01T00:00:00"/>
    <n v="10"/>
    <s v="CUST-02147"/>
    <x v="0"/>
    <x v="1"/>
    <s v="GJ"/>
    <x v="1"/>
    <s v="Surat"/>
    <x v="4"/>
    <s v="P704"/>
    <s v="Multivitamin Gummies"/>
    <x v="0"/>
    <n v="3"/>
    <n v="699"/>
    <n v="0.45"/>
    <n v="2097"/>
    <n v="943.65"/>
    <n v="1153.3499999999999"/>
    <n v="238"/>
    <n v="714"/>
    <n v="60"/>
    <n v="379.34999999999991"/>
    <n v="0.3289114319157237"/>
    <x v="0"/>
    <d v="2025-11-02T00:00:00"/>
    <n v="3"/>
    <x v="0"/>
    <m/>
    <n v="0"/>
  </r>
  <r>
    <s v="ORD-104288"/>
    <x v="664"/>
    <x v="1"/>
    <d v="2025-10-01T00:00:00"/>
    <n v="10"/>
    <s v="CUST-03197"/>
    <x v="0"/>
    <x v="1"/>
    <s v="GJ"/>
    <x v="1"/>
    <s v="Ahmedabad"/>
    <x v="4"/>
    <s v="P704"/>
    <s v="Multivitamin Gummies"/>
    <x v="0"/>
    <n v="1"/>
    <n v="699"/>
    <n v="0.25"/>
    <n v="699"/>
    <n v="174.75"/>
    <n v="524.25"/>
    <n v="238"/>
    <n v="238"/>
    <n v="60"/>
    <n v="226.25"/>
    <n v="0.43156890796375774"/>
    <x v="0"/>
    <d v="2025-11-02T00:00:00"/>
    <n v="3"/>
    <x v="0"/>
    <m/>
    <n v="0"/>
  </r>
  <r>
    <s v="ORD-104289"/>
    <x v="664"/>
    <x v="1"/>
    <d v="2025-10-01T00:00:00"/>
    <n v="10"/>
    <s v="CUST-00289"/>
    <x v="1"/>
    <x v="13"/>
    <s v="MP"/>
    <x v="1"/>
    <s v="Bhopal"/>
    <x v="3"/>
    <s v="P203"/>
    <s v="Keratin Hair Mask"/>
    <x v="6"/>
    <n v="2"/>
    <n v="549"/>
    <n v="0.3"/>
    <n v="1098"/>
    <n v="329.4"/>
    <n v="768.6"/>
    <n v="170"/>
    <n v="340"/>
    <n v="60"/>
    <n v="368.6"/>
    <n v="0.47957325006505336"/>
    <x v="1"/>
    <d v="2025-11-04T00:00:00"/>
    <n v="5"/>
    <x v="2"/>
    <n v="4"/>
    <n v="0"/>
  </r>
  <r>
    <s v="ORD-104290"/>
    <x v="664"/>
    <x v="1"/>
    <d v="2025-10-01T00:00:00"/>
    <n v="10"/>
    <s v="CUST-00826"/>
    <x v="1"/>
    <x v="2"/>
    <s v="MH"/>
    <x v="1"/>
    <s v="Nagpur"/>
    <x v="4"/>
    <s v="P101"/>
    <s v="Vitamin C Face Serum"/>
    <x v="3"/>
    <n v="2"/>
    <n v="599"/>
    <n v="0.4"/>
    <n v="1198"/>
    <n v="479.20000000000005"/>
    <n v="718.8"/>
    <n v="180"/>
    <n v="360"/>
    <n v="120"/>
    <n v="238.79999999999995"/>
    <n v="0.33222036727879795"/>
    <x v="3"/>
    <d v="2025-11-02T00:00:00"/>
    <n v="3"/>
    <x v="0"/>
    <n v="4"/>
    <n v="1"/>
  </r>
  <r>
    <s v="ORD-104291"/>
    <x v="664"/>
    <x v="1"/>
    <d v="2025-10-01T00:00:00"/>
    <n v="10"/>
    <s v="CUST-00851"/>
    <x v="1"/>
    <x v="11"/>
    <s v="KA"/>
    <x v="3"/>
    <s v="Bengaluru"/>
    <x v="2"/>
    <s v="P401"/>
    <s v="Running Shoes"/>
    <x v="5"/>
    <n v="2"/>
    <n v="2999"/>
    <n v="0.25"/>
    <n v="5998"/>
    <n v="1499.5"/>
    <n v="4498.5"/>
    <n v="1440"/>
    <n v="2880"/>
    <n v="60"/>
    <n v="1558.5"/>
    <n v="0.34644881627209068"/>
    <x v="2"/>
    <d v="2025-11-03T00:00:00"/>
    <n v="4"/>
    <x v="0"/>
    <n v="4"/>
    <n v="0"/>
  </r>
  <r>
    <s v="ORD-104292"/>
    <x v="664"/>
    <x v="1"/>
    <d v="2025-10-01T00:00:00"/>
    <n v="10"/>
    <s v="CUST-00373"/>
    <x v="1"/>
    <x v="17"/>
    <s v="TN"/>
    <x v="3"/>
    <s v="Chennai"/>
    <x v="4"/>
    <s v="P303"/>
    <s v="Joggers"/>
    <x v="1"/>
    <n v="2"/>
    <n v="1199"/>
    <n v="0.15"/>
    <n v="2398"/>
    <n v="359.7"/>
    <n v="2038.3"/>
    <n v="492"/>
    <n v="984"/>
    <n v="120"/>
    <n v="934.3"/>
    <n v="0.45837217288917231"/>
    <x v="2"/>
    <d v="2025-11-01T00:00:00"/>
    <n v="2"/>
    <x v="1"/>
    <n v="5"/>
    <n v="1"/>
  </r>
  <r>
    <s v="ORD-104293"/>
    <x v="665"/>
    <x v="1"/>
    <d v="2025-10-01T00:00:00"/>
    <n v="10"/>
    <s v="CUST-01737"/>
    <x v="1"/>
    <x v="6"/>
    <s v="DL"/>
    <x v="0"/>
    <s v="New Delhi"/>
    <x v="4"/>
    <s v="P201"/>
    <s v="Onion Hair Oil"/>
    <x v="6"/>
    <n v="1"/>
    <n v="349"/>
    <n v="0.45"/>
    <n v="349"/>
    <n v="157.05000000000001"/>
    <n v="191.95"/>
    <n v="105"/>
    <n v="105"/>
    <n v="60"/>
    <n v="26.949999999999989"/>
    <n v="0.1404011461318051"/>
    <x v="1"/>
    <d v="2025-11-03T00:00:00"/>
    <n v="3"/>
    <x v="0"/>
    <m/>
    <n v="0"/>
  </r>
  <r>
    <s v="ORD-104294"/>
    <x v="665"/>
    <x v="1"/>
    <d v="2025-10-01T00:00:00"/>
    <n v="10"/>
    <s v="CUST-00999"/>
    <x v="1"/>
    <x v="16"/>
    <s v="UP"/>
    <x v="0"/>
    <s v="Lucknow"/>
    <x v="0"/>
    <s v="P101"/>
    <s v="Vitamin C Face Serum"/>
    <x v="3"/>
    <n v="1"/>
    <n v="599"/>
    <n v="0.35"/>
    <n v="599"/>
    <n v="209.64999999999998"/>
    <n v="389.35"/>
    <n v="180"/>
    <n v="180"/>
    <n v="60"/>
    <n v="149.35000000000002"/>
    <n v="0.3835880313342751"/>
    <x v="0"/>
    <d v="2025-11-02T00:00:00"/>
    <n v="2"/>
    <x v="1"/>
    <m/>
    <n v="0"/>
  </r>
  <r>
    <s v="ORD-104295"/>
    <x v="665"/>
    <x v="1"/>
    <d v="2025-10-01T00:00:00"/>
    <n v="10"/>
    <s v="CUST-01997"/>
    <x v="1"/>
    <x v="16"/>
    <s v="UP"/>
    <x v="0"/>
    <s v="Kanpur"/>
    <x v="2"/>
    <s v="P401"/>
    <s v="Running Shoes"/>
    <x v="5"/>
    <n v="2"/>
    <n v="2999"/>
    <n v="0.2"/>
    <n v="5998"/>
    <n v="1199.6000000000001"/>
    <n v="4798.3999999999996"/>
    <n v="1440"/>
    <n v="2880"/>
    <n v="60"/>
    <n v="1858.3999999999996"/>
    <n v="0.38729576525508497"/>
    <x v="0"/>
    <d v="2025-11-04T00:00:00"/>
    <n v="4"/>
    <x v="0"/>
    <n v="4"/>
    <n v="0"/>
  </r>
  <r>
    <s v="ORD-104296"/>
    <x v="665"/>
    <x v="1"/>
    <d v="2025-10-01T00:00:00"/>
    <n v="10"/>
    <s v="CUST-02295"/>
    <x v="0"/>
    <x v="16"/>
    <s v="UP"/>
    <x v="0"/>
    <s v="Kanpur"/>
    <x v="0"/>
    <s v="P103"/>
    <s v="Niacinamide Toner"/>
    <x v="3"/>
    <n v="2"/>
    <n v="399"/>
    <n v="0.3"/>
    <n v="798"/>
    <n v="239.39999999999998"/>
    <n v="558.6"/>
    <n v="112"/>
    <n v="224"/>
    <n v="60"/>
    <n v="274.60000000000002"/>
    <n v="0.49158610812746151"/>
    <x v="3"/>
    <d v="2025-11-03T00:00:00"/>
    <n v="3"/>
    <x v="0"/>
    <n v="4"/>
    <n v="0"/>
  </r>
  <r>
    <s v="ORD-104297"/>
    <x v="665"/>
    <x v="1"/>
    <d v="2025-10-01T00:00:00"/>
    <n v="10"/>
    <s v="CUST-00081"/>
    <x v="1"/>
    <x v="16"/>
    <s v="UP"/>
    <x v="0"/>
    <s v="Kanpur"/>
    <x v="4"/>
    <s v="P401"/>
    <s v="Running Shoes"/>
    <x v="5"/>
    <n v="1"/>
    <n v="2999"/>
    <n v="0.3"/>
    <n v="2999"/>
    <n v="899.69999999999993"/>
    <n v="2099.3000000000002"/>
    <n v="1440"/>
    <n v="1440"/>
    <n v="60"/>
    <n v="599.30000000000018"/>
    <n v="0.28547611108464732"/>
    <x v="0"/>
    <d v="2025-11-02T00:00:00"/>
    <n v="2"/>
    <x v="1"/>
    <n v="4"/>
    <n v="0"/>
  </r>
  <r>
    <s v="ORD-104298"/>
    <x v="665"/>
    <x v="1"/>
    <d v="2025-10-01T00:00:00"/>
    <n v="10"/>
    <s v="CUST-00822"/>
    <x v="1"/>
    <x v="18"/>
    <s v="WB"/>
    <x v="2"/>
    <s v="Kolkata"/>
    <x v="3"/>
    <s v="P702"/>
    <s v="Whey Protein 1kg"/>
    <x v="0"/>
    <n v="2"/>
    <n v="2299"/>
    <n v="0.45"/>
    <n v="4598"/>
    <n v="2069.1"/>
    <n v="2528.9"/>
    <n v="1333"/>
    <n v="2666"/>
    <n v="120"/>
    <n v="-257.09999999999991"/>
    <n v="-0.10166475542726082"/>
    <x v="3"/>
    <d v="2025-11-06T00:00:00"/>
    <n v="6"/>
    <x v="2"/>
    <n v="3"/>
    <n v="1"/>
  </r>
  <r>
    <s v="ORD-104299"/>
    <x v="665"/>
    <x v="1"/>
    <d v="2025-10-01T00:00:00"/>
    <n v="10"/>
    <s v="CUST-01849"/>
    <x v="1"/>
    <x v="21"/>
    <s v="TG"/>
    <x v="3"/>
    <s v="Hyderabad"/>
    <x v="3"/>
    <s v="P103"/>
    <s v="Niacinamide Toner"/>
    <x v="3"/>
    <n v="4"/>
    <n v="399"/>
    <n v="0.45"/>
    <n v="1596"/>
    <n v="718.2"/>
    <n v="877.8"/>
    <n v="112"/>
    <n v="448"/>
    <n v="60"/>
    <n v="369.79999999999995"/>
    <n v="0.42128047391205281"/>
    <x v="0"/>
    <d v="2025-11-04T00:00:00"/>
    <n v="4"/>
    <x v="0"/>
    <m/>
    <n v="0"/>
  </r>
  <r>
    <s v="ORD-104300"/>
    <x v="665"/>
    <x v="1"/>
    <d v="2025-10-01T00:00:00"/>
    <n v="10"/>
    <s v="CUST-00991"/>
    <x v="1"/>
    <x v="17"/>
    <s v="TN"/>
    <x v="3"/>
    <s v="Coimbatore"/>
    <x v="4"/>
    <s v="P302"/>
    <s v="Linen Kurta"/>
    <x v="1"/>
    <n v="5"/>
    <n v="1499"/>
    <n v="0.5"/>
    <n v="7495"/>
    <n v="3747.5"/>
    <n v="3747.5"/>
    <n v="630"/>
    <n v="3150"/>
    <n v="60"/>
    <n v="537.5"/>
    <n v="0.14342895263509006"/>
    <x v="3"/>
    <d v="2025-11-02T00:00:00"/>
    <n v="2"/>
    <x v="1"/>
    <m/>
    <n v="0"/>
  </r>
  <r>
    <s v="ORD-104301"/>
    <x v="666"/>
    <x v="1"/>
    <d v="2025-11-01T00:00:00"/>
    <n v="11"/>
    <s v="CUST-02355"/>
    <x v="0"/>
    <x v="19"/>
    <s v="PB"/>
    <x v="0"/>
    <s v="Ludhiana"/>
    <x v="0"/>
    <s v="P602"/>
    <s v="Fast Charger 33W"/>
    <x v="2"/>
    <n v="1"/>
    <n v="899"/>
    <n v="0.2"/>
    <n v="899"/>
    <n v="179.8"/>
    <n v="719.2"/>
    <n v="494"/>
    <n v="494"/>
    <n v="60"/>
    <n v="165.20000000000005"/>
    <n v="0.22969966629588437"/>
    <x v="3"/>
    <d v="2025-11-07T00:00:00"/>
    <n v="6"/>
    <x v="2"/>
    <n v="3"/>
    <n v="0"/>
  </r>
  <r>
    <s v="ORD-104302"/>
    <x v="666"/>
    <x v="1"/>
    <d v="2025-11-01T00:00:00"/>
    <n v="11"/>
    <s v="CUST-01900"/>
    <x v="0"/>
    <x v="15"/>
    <s v="HR"/>
    <x v="0"/>
    <s v="Gurugram"/>
    <x v="3"/>
    <s v="P703"/>
    <s v="Green Tea (100 bags)"/>
    <x v="0"/>
    <n v="1"/>
    <n v="399"/>
    <n v="0.5"/>
    <n v="399"/>
    <n v="199.5"/>
    <n v="199.5"/>
    <n v="128"/>
    <n v="128"/>
    <n v="60"/>
    <n v="11.5"/>
    <n v="5.764411027568922E-2"/>
    <x v="0"/>
    <d v="2025-11-04T00:00:00"/>
    <n v="3"/>
    <x v="0"/>
    <n v="4"/>
    <n v="0"/>
  </r>
  <r>
    <s v="ORD-104303"/>
    <x v="666"/>
    <x v="1"/>
    <d v="2025-11-01T00:00:00"/>
    <n v="11"/>
    <s v="CUST-01005"/>
    <x v="1"/>
    <x v="6"/>
    <s v="DL"/>
    <x v="0"/>
    <s v="New Delhi"/>
    <x v="0"/>
    <s v="P402"/>
    <s v="Casual Sneakers"/>
    <x v="5"/>
    <n v="3"/>
    <n v="2199"/>
    <n v="0.4"/>
    <n v="6597"/>
    <n v="2638.8"/>
    <n v="3958.2"/>
    <n v="1034"/>
    <n v="3102"/>
    <n v="60"/>
    <n v="796.19999999999982"/>
    <n v="0.20115203880551763"/>
    <x v="3"/>
    <d v="2025-11-03T00:00:00"/>
    <n v="2"/>
    <x v="1"/>
    <m/>
    <n v="0"/>
  </r>
  <r>
    <s v="ORD-104304"/>
    <x v="666"/>
    <x v="1"/>
    <d v="2025-11-01T00:00:00"/>
    <n v="11"/>
    <s v="CUST-00472"/>
    <x v="1"/>
    <x v="13"/>
    <s v="MP"/>
    <x v="1"/>
    <s v="Bhopal"/>
    <x v="3"/>
    <s v="P101"/>
    <s v="Vitamin C Face Serum"/>
    <x v="3"/>
    <n v="2"/>
    <n v="599"/>
    <n v="0.3"/>
    <n v="1198"/>
    <n v="359.4"/>
    <n v="838.6"/>
    <n v="180"/>
    <n v="360"/>
    <n v="60"/>
    <n v="418.6"/>
    <n v="0.4991652754590985"/>
    <x v="2"/>
    <d v="2025-11-05T00:00:00"/>
    <n v="4"/>
    <x v="0"/>
    <m/>
    <n v="0"/>
  </r>
  <r>
    <s v="ORD-104305"/>
    <x v="666"/>
    <x v="1"/>
    <d v="2025-11-01T00:00:00"/>
    <n v="11"/>
    <s v="CUST-00223"/>
    <x v="1"/>
    <x v="7"/>
    <s v="JH"/>
    <x v="2"/>
    <s v="Ranchi"/>
    <x v="4"/>
    <s v="P204"/>
    <s v="Anti-Dandruff Conditioner"/>
    <x v="6"/>
    <n v="4"/>
    <n v="399"/>
    <n v="0.4"/>
    <n v="1596"/>
    <n v="638.40000000000009"/>
    <n v="957.59999999999991"/>
    <n v="136"/>
    <n v="544"/>
    <n v="60"/>
    <n v="353.59999999999991"/>
    <n v="0.36925647451963234"/>
    <x v="0"/>
    <d v="2025-11-04T00:00:00"/>
    <n v="3"/>
    <x v="0"/>
    <n v="4"/>
    <n v="0"/>
  </r>
  <r>
    <s v="ORD-104306"/>
    <x v="666"/>
    <x v="1"/>
    <d v="2025-11-01T00:00:00"/>
    <n v="11"/>
    <s v="CUST-00748"/>
    <x v="1"/>
    <x v="18"/>
    <s v="WB"/>
    <x v="2"/>
    <s v="Kolkata"/>
    <x v="1"/>
    <s v="P402"/>
    <s v="Casual Sneakers"/>
    <x v="5"/>
    <n v="2"/>
    <n v="2199"/>
    <n v="0.3"/>
    <n v="4398"/>
    <n v="1319.3999999999999"/>
    <n v="3078.6000000000004"/>
    <n v="1034"/>
    <n v="2068"/>
    <n v="60"/>
    <n v="950.60000000000036"/>
    <n v="0.30877671668940437"/>
    <x v="0"/>
    <d v="2025-11-07T00:00:00"/>
    <n v="6"/>
    <x v="2"/>
    <n v="3"/>
    <n v="0"/>
  </r>
  <r>
    <s v="ORD-104307"/>
    <x v="666"/>
    <x v="1"/>
    <d v="2025-11-01T00:00:00"/>
    <n v="11"/>
    <s v="CUST-00175"/>
    <x v="0"/>
    <x v="20"/>
    <s v="GA"/>
    <x v="1"/>
    <s v="Panaji"/>
    <x v="4"/>
    <s v="P301"/>
    <s v="Cotton Oversized T-Shirt"/>
    <x v="1"/>
    <n v="1"/>
    <n v="799"/>
    <n v="0.05"/>
    <n v="799"/>
    <n v="39.950000000000003"/>
    <n v="759.05"/>
    <n v="320"/>
    <n v="320"/>
    <n v="60"/>
    <n v="379.04999999999995"/>
    <n v="0.49937421777221525"/>
    <x v="0"/>
    <d v="2025-11-05T00:00:00"/>
    <n v="4"/>
    <x v="0"/>
    <n v="4"/>
    <n v="0"/>
  </r>
  <r>
    <s v="ORD-104308"/>
    <x v="666"/>
    <x v="1"/>
    <d v="2025-11-01T00:00:00"/>
    <n v="11"/>
    <s v="CUST-00157"/>
    <x v="1"/>
    <x v="11"/>
    <s v="KA"/>
    <x v="3"/>
    <s v="Bengaluru"/>
    <x v="4"/>
    <s v="P603"/>
    <s v="Smartwatch Strap"/>
    <x v="2"/>
    <n v="1"/>
    <n v="499"/>
    <n v="0.25"/>
    <n v="499"/>
    <n v="124.75"/>
    <n v="374.25"/>
    <n v="200"/>
    <n v="200"/>
    <n v="60"/>
    <n v="114.25"/>
    <n v="0.30527722110888444"/>
    <x v="3"/>
    <d v="2025-11-02T00:00:00"/>
    <n v="1"/>
    <x v="1"/>
    <n v="5"/>
    <n v="0"/>
  </r>
  <r>
    <s v="ORD-104309"/>
    <x v="666"/>
    <x v="1"/>
    <d v="2025-11-01T00:00:00"/>
    <n v="11"/>
    <s v="CUST-00199"/>
    <x v="1"/>
    <x v="8"/>
    <s v="AP"/>
    <x v="3"/>
    <s v="Visakhapatnam"/>
    <x v="2"/>
    <s v="P104"/>
    <s v="Hydrating Face Wash"/>
    <x v="3"/>
    <n v="2"/>
    <n v="299"/>
    <n v="0.1"/>
    <n v="598"/>
    <n v="59.800000000000004"/>
    <n v="538.20000000000005"/>
    <n v="90"/>
    <n v="180"/>
    <n v="60"/>
    <n v="298.20000000000005"/>
    <n v="0.55406911928651059"/>
    <x v="3"/>
    <d v="2025-11-06T00:00:00"/>
    <n v="5"/>
    <x v="2"/>
    <n v="4"/>
    <n v="0"/>
  </r>
  <r>
    <s v="ORD-104310"/>
    <x v="667"/>
    <x v="1"/>
    <d v="2025-11-01T00:00:00"/>
    <n v="11"/>
    <s v="CUST-00081"/>
    <x v="1"/>
    <x v="19"/>
    <s v="PB"/>
    <x v="0"/>
    <s v="Amritsar"/>
    <x v="1"/>
    <s v="P402"/>
    <s v="Casual Sneakers"/>
    <x v="5"/>
    <n v="1"/>
    <n v="2199"/>
    <n v="0.45"/>
    <n v="2199"/>
    <n v="989.55000000000007"/>
    <n v="1209.4499999999998"/>
    <n v="1034"/>
    <n v="1034"/>
    <n v="60"/>
    <n v="115.44999999999982"/>
    <n v="9.5456612509818378E-2"/>
    <x v="3"/>
    <d v="2025-11-06T00:00:00"/>
    <n v="4"/>
    <x v="0"/>
    <n v="4"/>
    <n v="0"/>
  </r>
  <r>
    <s v="ORD-104311"/>
    <x v="667"/>
    <x v="1"/>
    <d v="2025-11-01T00:00:00"/>
    <n v="11"/>
    <s v="CUST-02821"/>
    <x v="0"/>
    <x v="0"/>
    <s v="RJ"/>
    <x v="0"/>
    <s v="Jaipur"/>
    <x v="0"/>
    <s v="P503"/>
    <s v="Scented Candle Set"/>
    <x v="4"/>
    <n v="4"/>
    <n v="699"/>
    <n v="0.35"/>
    <n v="2796"/>
    <n v="978.59999999999991"/>
    <n v="1817.4"/>
    <n v="245"/>
    <n v="980"/>
    <n v="60"/>
    <n v="777.40000000000009"/>
    <n v="0.42775393419170243"/>
    <x v="0"/>
    <d v="2025-11-05T00:00:00"/>
    <n v="3"/>
    <x v="0"/>
    <n v="4"/>
    <n v="0"/>
  </r>
  <r>
    <s v="ORD-104312"/>
    <x v="667"/>
    <x v="1"/>
    <d v="2025-11-01T00:00:00"/>
    <n v="11"/>
    <s v="CUST-02478"/>
    <x v="1"/>
    <x v="15"/>
    <s v="HR"/>
    <x v="0"/>
    <s v="Faridabad"/>
    <x v="0"/>
    <s v="P305"/>
    <s v="Printed Saree"/>
    <x v="1"/>
    <n v="1"/>
    <n v="1999"/>
    <n v="0.15"/>
    <n v="1999"/>
    <n v="299.84999999999997"/>
    <n v="1699.15"/>
    <n v="880"/>
    <n v="880"/>
    <n v="60"/>
    <n v="759.15000000000009"/>
    <n v="0.44678221463673018"/>
    <x v="4"/>
    <d v="2025-11-05T00:00:00"/>
    <n v="3"/>
    <x v="0"/>
    <m/>
    <n v="0"/>
  </r>
  <r>
    <s v="ORD-104313"/>
    <x v="667"/>
    <x v="1"/>
    <d v="2025-11-01T00:00:00"/>
    <n v="11"/>
    <s v="CUST-02911"/>
    <x v="0"/>
    <x v="6"/>
    <s v="DL"/>
    <x v="0"/>
    <s v="New Delhi"/>
    <x v="4"/>
    <s v="P204"/>
    <s v="Anti-Dandruff Conditioner"/>
    <x v="6"/>
    <n v="2"/>
    <n v="399"/>
    <n v="0.5"/>
    <n v="798"/>
    <n v="399"/>
    <n v="399"/>
    <n v="136"/>
    <n v="272"/>
    <n v="60"/>
    <n v="67"/>
    <n v="0.16791979949874686"/>
    <x v="3"/>
    <d v="2025-11-04T00:00:00"/>
    <n v="2"/>
    <x v="1"/>
    <n v="4"/>
    <n v="0"/>
  </r>
  <r>
    <s v="ORD-104314"/>
    <x v="667"/>
    <x v="1"/>
    <d v="2025-11-01T00:00:00"/>
    <n v="11"/>
    <s v="CUST-03004"/>
    <x v="0"/>
    <x v="12"/>
    <s v="BR"/>
    <x v="2"/>
    <s v="Patna"/>
    <x v="0"/>
    <s v="P201"/>
    <s v="Onion Hair Oil"/>
    <x v="6"/>
    <n v="3"/>
    <n v="349"/>
    <n v="0.45"/>
    <n v="1047"/>
    <n v="471.15000000000003"/>
    <n v="575.84999999999991"/>
    <n v="105"/>
    <n v="315"/>
    <n v="60"/>
    <n v="200.84999999999991"/>
    <n v="0.34878874706954927"/>
    <x v="1"/>
    <d v="2025-11-07T00:00:00"/>
    <n v="5"/>
    <x v="2"/>
    <n v="3"/>
    <n v="0"/>
  </r>
  <r>
    <s v="ORD-104315"/>
    <x v="667"/>
    <x v="1"/>
    <d v="2025-11-01T00:00:00"/>
    <n v="11"/>
    <s v="CUST-00267"/>
    <x v="1"/>
    <x v="13"/>
    <s v="MP"/>
    <x v="1"/>
    <s v="Indore"/>
    <x v="3"/>
    <s v="P103"/>
    <s v="Niacinamide Toner"/>
    <x v="3"/>
    <n v="2"/>
    <n v="399"/>
    <n v="0.4"/>
    <n v="798"/>
    <n v="319.20000000000005"/>
    <n v="478.79999999999995"/>
    <n v="112"/>
    <n v="224"/>
    <n v="60"/>
    <n v="194.79999999999995"/>
    <n v="0.40685045948203835"/>
    <x v="0"/>
    <d v="2025-11-07T00:00:00"/>
    <n v="5"/>
    <x v="2"/>
    <n v="3"/>
    <n v="0"/>
  </r>
  <r>
    <s v="ORD-104316"/>
    <x v="667"/>
    <x v="1"/>
    <d v="2025-11-01T00:00:00"/>
    <n v="11"/>
    <s v="CUST-01017"/>
    <x v="1"/>
    <x v="7"/>
    <s v="JH"/>
    <x v="2"/>
    <s v="Ranchi"/>
    <x v="4"/>
    <s v="P102"/>
    <s v="Sunscreen SPF 50"/>
    <x v="3"/>
    <n v="4"/>
    <n v="449"/>
    <n v="0.15"/>
    <n v="1796"/>
    <n v="269.39999999999998"/>
    <n v="1526.6"/>
    <n v="144"/>
    <n v="576"/>
    <n v="60"/>
    <n v="890.59999999999991"/>
    <n v="0.58338792086990698"/>
    <x v="0"/>
    <d v="2025-11-08T00:00:00"/>
    <n v="6"/>
    <x v="2"/>
    <m/>
    <n v="0"/>
  </r>
  <r>
    <s v="ORD-104317"/>
    <x v="667"/>
    <x v="1"/>
    <d v="2025-11-01T00:00:00"/>
    <n v="11"/>
    <s v="CUST-01624"/>
    <x v="0"/>
    <x v="18"/>
    <s v="WB"/>
    <x v="2"/>
    <s v="Kolkata"/>
    <x v="3"/>
    <s v="P101"/>
    <s v="Vitamin C Face Serum"/>
    <x v="3"/>
    <n v="3"/>
    <n v="599"/>
    <n v="0.35"/>
    <n v="1797"/>
    <n v="628.94999999999993"/>
    <n v="1168.0500000000002"/>
    <n v="180"/>
    <n v="540"/>
    <n v="60"/>
    <n v="568.05000000000018"/>
    <n v="0.48632335944522931"/>
    <x v="2"/>
    <d v="2025-11-07T00:00:00"/>
    <n v="5"/>
    <x v="2"/>
    <n v="4"/>
    <n v="0"/>
  </r>
  <r>
    <s v="ORD-104318"/>
    <x v="667"/>
    <x v="1"/>
    <d v="2025-11-01T00:00:00"/>
    <n v="11"/>
    <s v="CUST-00475"/>
    <x v="1"/>
    <x v="21"/>
    <s v="TG"/>
    <x v="3"/>
    <s v="Hyderabad"/>
    <x v="4"/>
    <s v="P202"/>
    <s v="Argan Shampoo"/>
    <x v="6"/>
    <n v="1"/>
    <n v="449"/>
    <n v="0.15"/>
    <n v="449"/>
    <n v="67.349999999999994"/>
    <n v="381.65"/>
    <n v="148"/>
    <n v="148"/>
    <n v="60"/>
    <n v="173.64999999999998"/>
    <n v="0.45499803484868334"/>
    <x v="3"/>
    <d v="2025-11-03T00:00:00"/>
    <n v="1"/>
    <x v="1"/>
    <n v="5"/>
    <n v="0"/>
  </r>
  <r>
    <s v="ORD-104319"/>
    <x v="667"/>
    <x v="1"/>
    <d v="2025-11-01T00:00:00"/>
    <n v="11"/>
    <s v="CUST-01686"/>
    <x v="1"/>
    <x v="8"/>
    <s v="AP"/>
    <x v="3"/>
    <s v="Visakhapatnam"/>
    <x v="0"/>
    <s v="P501"/>
    <s v="Copper Water Bottle"/>
    <x v="4"/>
    <n v="1"/>
    <n v="899"/>
    <n v="0.3"/>
    <n v="899"/>
    <n v="269.7"/>
    <n v="629.29999999999995"/>
    <n v="378"/>
    <n v="378"/>
    <n v="60"/>
    <n v="191.29999999999995"/>
    <n v="0.30398855871603364"/>
    <x v="1"/>
    <d v="2025-11-06T00:00:00"/>
    <n v="4"/>
    <x v="0"/>
    <n v="5"/>
    <n v="0"/>
  </r>
  <r>
    <s v="ORD-104320"/>
    <x v="668"/>
    <x v="1"/>
    <d v="2025-11-01T00:00:00"/>
    <n v="11"/>
    <s v="CUST-00674"/>
    <x v="1"/>
    <x v="0"/>
    <s v="RJ"/>
    <x v="0"/>
    <s v="Udaipur"/>
    <x v="2"/>
    <s v="P403"/>
    <s v="Kolhapuri Sandals"/>
    <x v="5"/>
    <n v="1"/>
    <n v="999"/>
    <n v="0.2"/>
    <n v="999"/>
    <n v="199.8"/>
    <n v="799.2"/>
    <n v="400"/>
    <n v="400"/>
    <n v="60"/>
    <n v="339.20000000000005"/>
    <n v="0.42442442442442446"/>
    <x v="0"/>
    <d v="2025-11-07T00:00:00"/>
    <n v="4"/>
    <x v="0"/>
    <n v="4"/>
    <n v="0"/>
  </r>
  <r>
    <s v="ORD-104321"/>
    <x v="668"/>
    <x v="1"/>
    <d v="2025-11-01T00:00:00"/>
    <n v="11"/>
    <s v="CUST-01900"/>
    <x v="1"/>
    <x v="15"/>
    <s v="HR"/>
    <x v="0"/>
    <s v="Gurugram"/>
    <x v="3"/>
    <s v="P703"/>
    <s v="Green Tea (100 bags)"/>
    <x v="0"/>
    <n v="2"/>
    <n v="399"/>
    <n v="0.6"/>
    <n v="798"/>
    <n v="478.79999999999995"/>
    <n v="319.20000000000005"/>
    <n v="128"/>
    <n v="256"/>
    <n v="60"/>
    <n v="3.2000000000000455"/>
    <n v="1.0025062656641746E-2"/>
    <x v="3"/>
    <d v="2025-11-05T00:00:00"/>
    <n v="2"/>
    <x v="1"/>
    <m/>
    <n v="0"/>
  </r>
  <r>
    <s v="ORD-104322"/>
    <x v="668"/>
    <x v="1"/>
    <d v="2025-11-01T00:00:00"/>
    <n v="11"/>
    <s v="CUST-01196"/>
    <x v="1"/>
    <x v="15"/>
    <s v="HR"/>
    <x v="0"/>
    <s v="Gurugram"/>
    <x v="2"/>
    <s v="P104"/>
    <s v="Hydrating Face Wash"/>
    <x v="3"/>
    <n v="4"/>
    <n v="299"/>
    <n v="0.05"/>
    <n v="1196"/>
    <n v="59.800000000000004"/>
    <n v="1136.2"/>
    <n v="90"/>
    <n v="360"/>
    <n v="60"/>
    <n v="716.2"/>
    <n v="0.6303467699348706"/>
    <x v="2"/>
    <d v="2025-11-06T00:00:00"/>
    <n v="3"/>
    <x v="0"/>
    <m/>
    <n v="0"/>
  </r>
  <r>
    <s v="ORD-104323"/>
    <x v="668"/>
    <x v="1"/>
    <d v="2025-11-01T00:00:00"/>
    <n v="11"/>
    <s v="CUST-00720"/>
    <x v="1"/>
    <x v="15"/>
    <s v="HR"/>
    <x v="0"/>
    <s v="Faridabad"/>
    <x v="4"/>
    <s v="P103"/>
    <s v="Niacinamide Toner"/>
    <x v="3"/>
    <n v="3"/>
    <n v="399"/>
    <n v="0.35"/>
    <n v="1197"/>
    <n v="418.95"/>
    <n v="778.05"/>
    <n v="112"/>
    <n v="336"/>
    <n v="60"/>
    <n v="382.04999999999995"/>
    <n v="0.49103528050896467"/>
    <x v="3"/>
    <d v="2025-11-07T00:00:00"/>
    <n v="4"/>
    <x v="0"/>
    <n v="4"/>
    <n v="0"/>
  </r>
  <r>
    <s v="ORD-104324"/>
    <x v="668"/>
    <x v="1"/>
    <d v="2025-11-01T00:00:00"/>
    <n v="11"/>
    <s v="CUST-00451"/>
    <x v="1"/>
    <x v="12"/>
    <s v="BR"/>
    <x v="2"/>
    <s v="Patna"/>
    <x v="4"/>
    <s v="P303"/>
    <s v="Joggers"/>
    <x v="1"/>
    <n v="1"/>
    <n v="1199"/>
    <n v="0.3"/>
    <n v="1199"/>
    <n v="359.7"/>
    <n v="839.3"/>
    <n v="492"/>
    <n v="492"/>
    <n v="60"/>
    <n v="287.29999999999995"/>
    <n v="0.34230906707970926"/>
    <x v="0"/>
    <d v="2025-11-08T00:00:00"/>
    <n v="5"/>
    <x v="2"/>
    <m/>
    <n v="0"/>
  </r>
  <r>
    <s v="ORD-104325"/>
    <x v="668"/>
    <x v="1"/>
    <d v="2025-11-01T00:00:00"/>
    <n v="11"/>
    <s v="CUST-01491"/>
    <x v="0"/>
    <x v="7"/>
    <s v="JH"/>
    <x v="2"/>
    <s v="Ranchi"/>
    <x v="0"/>
    <s v="P102"/>
    <s v="Sunscreen SPF 50"/>
    <x v="3"/>
    <n v="3"/>
    <n v="449"/>
    <n v="0.2"/>
    <n v="1347"/>
    <n v="269.40000000000003"/>
    <n v="1077.5999999999999"/>
    <n v="144"/>
    <n v="432"/>
    <n v="60"/>
    <n v="585.59999999999991"/>
    <n v="0.54342984409799555"/>
    <x v="3"/>
    <d v="2025-11-08T00:00:00"/>
    <n v="5"/>
    <x v="2"/>
    <n v="4"/>
    <n v="0"/>
  </r>
  <r>
    <s v="ORD-104326"/>
    <x v="668"/>
    <x v="1"/>
    <d v="2025-11-01T00:00:00"/>
    <n v="11"/>
    <s v="CUST-00126"/>
    <x v="0"/>
    <x v="2"/>
    <s v="MH"/>
    <x v="1"/>
    <s v="Pune"/>
    <x v="3"/>
    <s v="P203"/>
    <s v="Keratin Hair Mask"/>
    <x v="6"/>
    <n v="2"/>
    <n v="549"/>
    <n v="0.3"/>
    <n v="1098"/>
    <n v="329.4"/>
    <n v="768.6"/>
    <n v="170"/>
    <n v="340"/>
    <n v="60"/>
    <n v="368.6"/>
    <n v="0.47957325006505336"/>
    <x v="1"/>
    <d v="2025-11-05T00:00:00"/>
    <n v="2"/>
    <x v="1"/>
    <n v="4"/>
    <n v="0"/>
  </r>
  <r>
    <s v="ORD-104327"/>
    <x v="668"/>
    <x v="1"/>
    <d v="2025-11-01T00:00:00"/>
    <n v="11"/>
    <s v="CUST-00822"/>
    <x v="1"/>
    <x v="14"/>
    <s v="KL"/>
    <x v="3"/>
    <s v="Kochi"/>
    <x v="1"/>
    <s v="P404"/>
    <s v="Flip Flops"/>
    <x v="5"/>
    <n v="2"/>
    <n v="399"/>
    <n v="0.2"/>
    <n v="798"/>
    <n v="159.60000000000002"/>
    <n v="638.4"/>
    <n v="152"/>
    <n v="304"/>
    <n v="60"/>
    <n v="274.39999999999998"/>
    <n v="0.42982456140350878"/>
    <x v="0"/>
    <d v="2025-11-05T00:00:00"/>
    <n v="2"/>
    <x v="1"/>
    <n v="4"/>
    <n v="0"/>
  </r>
  <r>
    <s v="ORD-104328"/>
    <x v="669"/>
    <x v="1"/>
    <d v="2025-11-01T00:00:00"/>
    <n v="11"/>
    <s v="CUST-02187"/>
    <x v="1"/>
    <x v="19"/>
    <s v="PB"/>
    <x v="0"/>
    <s v="Ludhiana"/>
    <x v="0"/>
    <s v="P501"/>
    <s v="Copper Water Bottle"/>
    <x v="4"/>
    <n v="1"/>
    <n v="899"/>
    <n v="0.05"/>
    <n v="899"/>
    <n v="44.95"/>
    <n v="854.05"/>
    <n v="378"/>
    <n v="378"/>
    <n v="60"/>
    <n v="416.04999999999995"/>
    <n v="0.48714946431707745"/>
    <x v="2"/>
    <d v="2025-11-07T00:00:00"/>
    <n v="3"/>
    <x v="0"/>
    <n v="4"/>
    <n v="0"/>
  </r>
  <r>
    <s v="ORD-104329"/>
    <x v="669"/>
    <x v="1"/>
    <d v="2025-11-01T00:00:00"/>
    <n v="11"/>
    <s v="CUST-00395"/>
    <x v="0"/>
    <x v="16"/>
    <s v="UP"/>
    <x v="0"/>
    <s v="Noida"/>
    <x v="1"/>
    <s v="P401"/>
    <s v="Running Shoes"/>
    <x v="5"/>
    <n v="4"/>
    <n v="2999"/>
    <n v="0.45"/>
    <n v="11996"/>
    <n v="5398.2"/>
    <n v="6597.8"/>
    <n v="1440"/>
    <n v="5760"/>
    <n v="60"/>
    <n v="777.80000000000018"/>
    <n v="0.11788778077541001"/>
    <x v="0"/>
    <d v="2025-11-06T00:00:00"/>
    <n v="2"/>
    <x v="1"/>
    <n v="4"/>
    <n v="0"/>
  </r>
  <r>
    <s v="ORD-104330"/>
    <x v="669"/>
    <x v="1"/>
    <d v="2025-11-01T00:00:00"/>
    <n v="11"/>
    <s v="CUST-03127"/>
    <x v="0"/>
    <x v="13"/>
    <s v="MP"/>
    <x v="1"/>
    <s v="Bhopal"/>
    <x v="0"/>
    <s v="P103"/>
    <s v="Niacinamide Toner"/>
    <x v="3"/>
    <n v="2"/>
    <n v="399"/>
    <n v="0.3"/>
    <n v="798"/>
    <n v="239.39999999999998"/>
    <n v="558.6"/>
    <n v="112"/>
    <n v="224"/>
    <n v="60"/>
    <n v="274.60000000000002"/>
    <n v="0.49158610812746151"/>
    <x v="3"/>
    <d v="2025-11-09T00:00:00"/>
    <n v="5"/>
    <x v="2"/>
    <n v="3"/>
    <n v="0"/>
  </r>
  <r>
    <s v="ORD-104331"/>
    <x v="669"/>
    <x v="1"/>
    <d v="2025-11-01T00:00:00"/>
    <n v="11"/>
    <s v="CUST-02382"/>
    <x v="0"/>
    <x v="2"/>
    <s v="MH"/>
    <x v="1"/>
    <s v="Pune"/>
    <x v="4"/>
    <s v="P103"/>
    <s v="Niacinamide Toner"/>
    <x v="3"/>
    <n v="2"/>
    <n v="399"/>
    <n v="0.5"/>
    <n v="798"/>
    <n v="399"/>
    <n v="399"/>
    <n v="112"/>
    <n v="224"/>
    <n v="60"/>
    <n v="115"/>
    <n v="0.2882205513784461"/>
    <x v="0"/>
    <d v="2025-11-05T00:00:00"/>
    <n v="1"/>
    <x v="1"/>
    <m/>
    <n v="0"/>
  </r>
  <r>
    <s v="ORD-104332"/>
    <x v="669"/>
    <x v="1"/>
    <d v="2025-11-01T00:00:00"/>
    <n v="11"/>
    <s v="CUST-01717"/>
    <x v="1"/>
    <x v="2"/>
    <s v="MH"/>
    <x v="1"/>
    <s v="Nagpur"/>
    <x v="2"/>
    <s v="P102"/>
    <s v="Sunscreen SPF 50"/>
    <x v="3"/>
    <n v="1"/>
    <n v="449"/>
    <n v="0.1"/>
    <n v="449"/>
    <n v="44.900000000000006"/>
    <n v="404.1"/>
    <n v="144"/>
    <n v="144"/>
    <n v="60"/>
    <n v="200.10000000000002"/>
    <n v="0.4951744617668894"/>
    <x v="4"/>
    <d v="2025-11-07T00:00:00"/>
    <n v="3"/>
    <x v="0"/>
    <n v="5"/>
    <n v="0"/>
  </r>
  <r>
    <s v="ORD-104333"/>
    <x v="669"/>
    <x v="1"/>
    <d v="2025-11-01T00:00:00"/>
    <n v="11"/>
    <s v="CUST-02591"/>
    <x v="0"/>
    <x v="2"/>
    <s v="MH"/>
    <x v="1"/>
    <s v="Nagpur"/>
    <x v="0"/>
    <s v="P204"/>
    <s v="Anti-Dandruff Conditioner"/>
    <x v="6"/>
    <n v="1"/>
    <n v="399"/>
    <n v="0.55000000000000004"/>
    <n v="399"/>
    <n v="219.45000000000002"/>
    <n v="179.54999999999998"/>
    <n v="136"/>
    <n v="136"/>
    <n v="120"/>
    <n v="-76.450000000000017"/>
    <n v="-0.42578668894458382"/>
    <x v="3"/>
    <d v="2025-11-06T00:00:00"/>
    <n v="2"/>
    <x v="1"/>
    <n v="4"/>
    <n v="1"/>
  </r>
  <r>
    <s v="ORD-104334"/>
    <x v="669"/>
    <x v="1"/>
    <d v="2025-11-01T00:00:00"/>
    <n v="11"/>
    <s v="CUST-02488"/>
    <x v="1"/>
    <x v="14"/>
    <s v="KL"/>
    <x v="3"/>
    <s v="Kochi"/>
    <x v="2"/>
    <s v="P503"/>
    <s v="Scented Candle Set"/>
    <x v="4"/>
    <n v="1"/>
    <n v="699"/>
    <n v="0.25"/>
    <n v="699"/>
    <n v="174.75"/>
    <n v="524.25"/>
    <n v="245"/>
    <n v="245"/>
    <n v="60"/>
    <n v="219.25"/>
    <n v="0.41821649976156416"/>
    <x v="0"/>
    <d v="2025-11-09T00:00:00"/>
    <n v="5"/>
    <x v="2"/>
    <m/>
    <n v="0"/>
  </r>
  <r>
    <s v="ORD-104335"/>
    <x v="669"/>
    <x v="1"/>
    <d v="2025-11-01T00:00:00"/>
    <n v="11"/>
    <s v="CUST-00721"/>
    <x v="1"/>
    <x v="17"/>
    <s v="TN"/>
    <x v="3"/>
    <s v="Coimbatore"/>
    <x v="4"/>
    <s v="P701"/>
    <s v="Ashwagandha Capsules"/>
    <x v="0"/>
    <n v="4"/>
    <n v="499"/>
    <n v="0.15"/>
    <n v="1996"/>
    <n v="299.39999999999998"/>
    <n v="1696.6"/>
    <n v="150"/>
    <n v="600"/>
    <n v="60"/>
    <n v="1036.5999999999999"/>
    <n v="0.61098667924083461"/>
    <x v="3"/>
    <d v="2025-11-09T00:00:00"/>
    <n v="5"/>
    <x v="2"/>
    <n v="5"/>
    <n v="0"/>
  </r>
  <r>
    <s v="ORD-104336"/>
    <x v="669"/>
    <x v="1"/>
    <d v="2025-11-01T00:00:00"/>
    <n v="11"/>
    <s v="CUST-00669"/>
    <x v="1"/>
    <x v="17"/>
    <s v="TN"/>
    <x v="3"/>
    <s v="Coimbatore"/>
    <x v="4"/>
    <s v="P404"/>
    <s v="Flip Flops"/>
    <x v="5"/>
    <n v="2"/>
    <n v="399"/>
    <n v="0.2"/>
    <n v="798"/>
    <n v="159.60000000000002"/>
    <n v="638.4"/>
    <n v="152"/>
    <n v="304"/>
    <n v="60"/>
    <n v="274.39999999999998"/>
    <n v="0.42982456140350878"/>
    <x v="0"/>
    <d v="2025-11-07T00:00:00"/>
    <n v="3"/>
    <x v="0"/>
    <n v="3"/>
    <n v="0"/>
  </r>
  <r>
    <s v="ORD-104337"/>
    <x v="670"/>
    <x v="1"/>
    <d v="2025-11-01T00:00:00"/>
    <n v="11"/>
    <s v="CUST-02675"/>
    <x v="0"/>
    <x v="6"/>
    <s v="DL"/>
    <x v="0"/>
    <s v="New Delhi"/>
    <x v="2"/>
    <s v="P102"/>
    <s v="Sunscreen SPF 50"/>
    <x v="3"/>
    <n v="1"/>
    <n v="449"/>
    <n v="0.1"/>
    <n v="449"/>
    <n v="44.900000000000006"/>
    <n v="404.1"/>
    <n v="144"/>
    <n v="144"/>
    <n v="60"/>
    <n v="200.10000000000002"/>
    <n v="0.4951744617668894"/>
    <x v="0"/>
    <d v="2025-11-09T00:00:00"/>
    <n v="4"/>
    <x v="0"/>
    <m/>
    <n v="0"/>
  </r>
  <r>
    <s v="ORD-104338"/>
    <x v="670"/>
    <x v="1"/>
    <d v="2025-11-01T00:00:00"/>
    <n v="11"/>
    <s v="CUST-00948"/>
    <x v="1"/>
    <x v="13"/>
    <s v="MP"/>
    <x v="1"/>
    <s v="Bhopal"/>
    <x v="2"/>
    <s v="P404"/>
    <s v="Flip Flops"/>
    <x v="5"/>
    <n v="1"/>
    <n v="399"/>
    <n v="0.15"/>
    <n v="399"/>
    <n v="59.849999999999994"/>
    <n v="339.15"/>
    <n v="152"/>
    <n v="152"/>
    <n v="120"/>
    <n v="67.149999999999977"/>
    <n v="0.19799498746867161"/>
    <x v="3"/>
    <d v="2025-11-10T00:00:00"/>
    <n v="5"/>
    <x v="2"/>
    <n v="5"/>
    <n v="1"/>
  </r>
  <r>
    <s v="ORD-104339"/>
    <x v="670"/>
    <x v="1"/>
    <d v="2025-11-01T00:00:00"/>
    <n v="11"/>
    <s v="CUST-00099"/>
    <x v="1"/>
    <x v="13"/>
    <s v="MP"/>
    <x v="1"/>
    <s v="Bhopal"/>
    <x v="1"/>
    <s v="P303"/>
    <s v="Joggers"/>
    <x v="1"/>
    <n v="1"/>
    <n v="1199"/>
    <n v="0.25"/>
    <n v="1199"/>
    <n v="299.75"/>
    <n v="899.25"/>
    <n v="492"/>
    <n v="492"/>
    <n v="60"/>
    <n v="347.25"/>
    <n v="0.38615512927439533"/>
    <x v="0"/>
    <d v="2025-11-10T00:00:00"/>
    <n v="5"/>
    <x v="2"/>
    <m/>
    <n v="0"/>
  </r>
  <r>
    <s v="ORD-104340"/>
    <x v="670"/>
    <x v="1"/>
    <d v="2025-11-01T00:00:00"/>
    <n v="11"/>
    <s v="CUST-00265"/>
    <x v="1"/>
    <x v="10"/>
    <s v="CG"/>
    <x v="2"/>
    <s v="Raipur"/>
    <x v="2"/>
    <s v="P503"/>
    <s v="Scented Candle Set"/>
    <x v="4"/>
    <n v="3"/>
    <n v="699"/>
    <n v="0.4"/>
    <n v="2097"/>
    <n v="838.80000000000007"/>
    <n v="1258.1999999999998"/>
    <n v="245"/>
    <n v="735"/>
    <n v="60"/>
    <n v="463.19999999999982"/>
    <n v="0.36814496900333799"/>
    <x v="0"/>
    <d v="2025-11-10T00:00:00"/>
    <n v="5"/>
    <x v="2"/>
    <n v="4"/>
    <n v="0"/>
  </r>
  <r>
    <s v="ORD-104341"/>
    <x v="670"/>
    <x v="1"/>
    <d v="2025-11-01T00:00:00"/>
    <n v="11"/>
    <s v="CUST-00325"/>
    <x v="1"/>
    <x v="21"/>
    <s v="TG"/>
    <x v="3"/>
    <s v="Hyderabad"/>
    <x v="4"/>
    <s v="P102"/>
    <s v="Sunscreen SPF 50"/>
    <x v="3"/>
    <n v="1"/>
    <n v="449"/>
    <n v="0.2"/>
    <n v="449"/>
    <n v="89.800000000000011"/>
    <n v="359.2"/>
    <n v="144"/>
    <n v="144"/>
    <n v="60"/>
    <n v="155.19999999999999"/>
    <n v="0.43207126948775054"/>
    <x v="1"/>
    <d v="2025-11-07T00:00:00"/>
    <n v="2"/>
    <x v="1"/>
    <n v="5"/>
    <n v="0"/>
  </r>
  <r>
    <s v="ORD-104342"/>
    <x v="670"/>
    <x v="1"/>
    <d v="2025-11-01T00:00:00"/>
    <n v="11"/>
    <s v="CUST-01703"/>
    <x v="0"/>
    <x v="17"/>
    <s v="TN"/>
    <x v="3"/>
    <s v="Coimbatore"/>
    <x v="0"/>
    <s v="P504"/>
    <s v="Cotton Bedsheet"/>
    <x v="4"/>
    <n v="4"/>
    <n v="1299"/>
    <n v="0.15"/>
    <n v="5196"/>
    <n v="779.4"/>
    <n v="4416.6000000000004"/>
    <n v="585"/>
    <n v="2340"/>
    <n v="60"/>
    <n v="2016.6000000000004"/>
    <n v="0.45659557125390576"/>
    <x v="1"/>
    <d v="2025-11-09T00:00:00"/>
    <n v="4"/>
    <x v="0"/>
    <n v="3"/>
    <n v="0"/>
  </r>
  <r>
    <s v="ORD-104343"/>
    <x v="671"/>
    <x v="1"/>
    <d v="2025-11-01T00:00:00"/>
    <n v="11"/>
    <s v="CUST-00396"/>
    <x v="1"/>
    <x v="1"/>
    <s v="GJ"/>
    <x v="1"/>
    <s v="Ahmedabad"/>
    <x v="0"/>
    <s v="P104"/>
    <s v="Hydrating Face Wash"/>
    <x v="3"/>
    <n v="1"/>
    <n v="299"/>
    <n v="0.15"/>
    <n v="299"/>
    <n v="44.85"/>
    <n v="254.15"/>
    <n v="90"/>
    <n v="90"/>
    <n v="120"/>
    <n v="44.150000000000006"/>
    <n v="0.1737163092661814"/>
    <x v="4"/>
    <d v="2025-11-10T00:00:00"/>
    <n v="4"/>
    <x v="0"/>
    <n v="4"/>
    <n v="1"/>
  </r>
  <r>
    <s v="ORD-104344"/>
    <x v="671"/>
    <x v="1"/>
    <d v="2025-11-01T00:00:00"/>
    <n v="11"/>
    <s v="CUST-00427"/>
    <x v="0"/>
    <x v="13"/>
    <s v="MP"/>
    <x v="1"/>
    <s v="Indore"/>
    <x v="4"/>
    <s v="P702"/>
    <s v="Whey Protein 1kg"/>
    <x v="0"/>
    <n v="3"/>
    <n v="2299"/>
    <n v="0.55000000000000004"/>
    <n v="6897"/>
    <n v="3793.3500000000004"/>
    <n v="3103.6499999999996"/>
    <n v="1333"/>
    <n v="3999"/>
    <n v="60"/>
    <n v="-955.35000000000036"/>
    <n v="-0.30781499202551849"/>
    <x v="3"/>
    <d v="2025-11-10T00:00:00"/>
    <n v="4"/>
    <x v="0"/>
    <m/>
    <n v="0"/>
  </r>
  <r>
    <s v="ORD-104345"/>
    <x v="671"/>
    <x v="1"/>
    <d v="2025-11-01T00:00:00"/>
    <n v="11"/>
    <s v="CUST-01048"/>
    <x v="1"/>
    <x v="13"/>
    <s v="MP"/>
    <x v="1"/>
    <s v="Indore"/>
    <x v="4"/>
    <s v="P304"/>
    <s v="Denim Jacket"/>
    <x v="1"/>
    <n v="1"/>
    <n v="2499"/>
    <n v="0.25"/>
    <n v="2499"/>
    <n v="624.75"/>
    <n v="1874.25"/>
    <n v="1125"/>
    <n v="1125"/>
    <n v="60"/>
    <n v="689.25"/>
    <n v="0.36774709883953582"/>
    <x v="2"/>
    <d v="2025-11-10T00:00:00"/>
    <n v="4"/>
    <x v="0"/>
    <n v="4"/>
    <n v="0"/>
  </r>
  <r>
    <s v="ORD-104346"/>
    <x v="671"/>
    <x v="1"/>
    <d v="2025-11-01T00:00:00"/>
    <n v="11"/>
    <s v="CUST-01829"/>
    <x v="1"/>
    <x v="10"/>
    <s v="CG"/>
    <x v="2"/>
    <s v="Raipur"/>
    <x v="0"/>
    <s v="P204"/>
    <s v="Anti-Dandruff Conditioner"/>
    <x v="6"/>
    <n v="2"/>
    <n v="399"/>
    <n v="0.45"/>
    <n v="798"/>
    <n v="359.1"/>
    <n v="438.9"/>
    <n v="136"/>
    <n v="272"/>
    <n v="60"/>
    <n v="106.89999999999998"/>
    <n v="0.24356345408976984"/>
    <x v="0"/>
    <d v="2025-11-10T00:00:00"/>
    <n v="4"/>
    <x v="0"/>
    <n v="4"/>
    <n v="0"/>
  </r>
  <r>
    <s v="ORD-104347"/>
    <x v="671"/>
    <x v="1"/>
    <d v="2025-11-01T00:00:00"/>
    <n v="11"/>
    <s v="CUST-02034"/>
    <x v="1"/>
    <x v="2"/>
    <s v="MH"/>
    <x v="1"/>
    <s v="Nagpur"/>
    <x v="4"/>
    <s v="P103"/>
    <s v="Niacinamide Toner"/>
    <x v="3"/>
    <n v="2"/>
    <n v="399"/>
    <n v="0.45"/>
    <n v="798"/>
    <n v="359.1"/>
    <n v="438.9"/>
    <n v="112"/>
    <n v="224"/>
    <n v="60"/>
    <n v="154.89999999999998"/>
    <n v="0.35292777398040553"/>
    <x v="0"/>
    <d v="2025-11-10T00:00:00"/>
    <n v="4"/>
    <x v="0"/>
    <n v="3"/>
    <n v="0"/>
  </r>
  <r>
    <s v="ORD-104348"/>
    <x v="671"/>
    <x v="1"/>
    <d v="2025-11-01T00:00:00"/>
    <n v="11"/>
    <s v="CUST-01249"/>
    <x v="1"/>
    <x v="21"/>
    <s v="TG"/>
    <x v="3"/>
    <s v="Hyderabad"/>
    <x v="3"/>
    <s v="P102"/>
    <s v="Sunscreen SPF 50"/>
    <x v="3"/>
    <n v="2"/>
    <n v="449"/>
    <n v="0.3"/>
    <n v="898"/>
    <n v="269.39999999999998"/>
    <n v="628.6"/>
    <n v="144"/>
    <n v="288"/>
    <n v="60"/>
    <n v="280.60000000000002"/>
    <n v="0.44638880050906776"/>
    <x v="0"/>
    <d v="2025-11-10T00:00:00"/>
    <n v="4"/>
    <x v="0"/>
    <n v="4"/>
    <n v="0"/>
  </r>
  <r>
    <s v="ORD-104349"/>
    <x v="671"/>
    <x v="1"/>
    <d v="2025-11-01T00:00:00"/>
    <n v="11"/>
    <s v="CUST-01777"/>
    <x v="1"/>
    <x v="11"/>
    <s v="KA"/>
    <x v="3"/>
    <s v="Bengaluru"/>
    <x v="4"/>
    <s v="P403"/>
    <s v="Kolhapuri Sandals"/>
    <x v="5"/>
    <n v="2"/>
    <n v="999"/>
    <n v="0.2"/>
    <n v="1998"/>
    <n v="399.6"/>
    <n v="1598.4"/>
    <n v="400"/>
    <n v="800"/>
    <n v="60"/>
    <n v="738.40000000000009"/>
    <n v="0.46196196196196199"/>
    <x v="0"/>
    <d v="2025-11-10T00:00:00"/>
    <n v="4"/>
    <x v="0"/>
    <m/>
    <n v="0"/>
  </r>
  <r>
    <s v="ORD-104350"/>
    <x v="671"/>
    <x v="1"/>
    <d v="2025-11-01T00:00:00"/>
    <n v="11"/>
    <s v="CUST-02934"/>
    <x v="1"/>
    <x v="8"/>
    <s v="AP"/>
    <x v="3"/>
    <s v="Vijayawada"/>
    <x v="2"/>
    <s v="P101"/>
    <s v="Vitamin C Face Serum"/>
    <x v="3"/>
    <n v="1"/>
    <n v="599"/>
    <n v="0.25"/>
    <n v="599"/>
    <n v="149.75"/>
    <n v="449.25"/>
    <n v="180"/>
    <n v="180"/>
    <n v="60"/>
    <n v="209.25"/>
    <n v="0.46577629382303842"/>
    <x v="0"/>
    <d v="2025-11-10T00:00:00"/>
    <n v="4"/>
    <x v="0"/>
    <n v="3"/>
    <n v="0"/>
  </r>
  <r>
    <s v="ORD-104351"/>
    <x v="671"/>
    <x v="1"/>
    <d v="2025-11-01T00:00:00"/>
    <n v="11"/>
    <s v="CUST-00934"/>
    <x v="1"/>
    <x v="17"/>
    <s v="TN"/>
    <x v="3"/>
    <s v="Chennai"/>
    <x v="0"/>
    <s v="P503"/>
    <s v="Scented Candle Set"/>
    <x v="4"/>
    <n v="2"/>
    <n v="699"/>
    <n v="0.45"/>
    <n v="1398"/>
    <n v="629.1"/>
    <n v="768.9"/>
    <n v="245"/>
    <n v="490"/>
    <n v="60"/>
    <n v="218.89999999999998"/>
    <n v="0.284692417739628"/>
    <x v="2"/>
    <d v="2025-11-10T00:00:00"/>
    <n v="4"/>
    <x v="0"/>
    <n v="3"/>
    <n v="0"/>
  </r>
  <r>
    <s v="ORD-104352"/>
    <x v="672"/>
    <x v="1"/>
    <d v="2025-11-01T00:00:00"/>
    <n v="11"/>
    <s v="CUST-00186"/>
    <x v="1"/>
    <x v="4"/>
    <s v="JK"/>
    <x v="0"/>
    <s v="Srinagar"/>
    <x v="4"/>
    <s v="P603"/>
    <s v="Smartwatch Strap"/>
    <x v="2"/>
    <n v="2"/>
    <n v="499"/>
    <n v="0.3"/>
    <n v="998"/>
    <n v="299.39999999999998"/>
    <n v="698.6"/>
    <n v="200"/>
    <n v="400"/>
    <n v="60"/>
    <n v="238.60000000000002"/>
    <n v="0.34154022330375039"/>
    <x v="2"/>
    <d v="2025-11-15T00:00:00"/>
    <n v="8"/>
    <x v="2"/>
    <n v="3"/>
    <n v="0"/>
  </r>
  <r>
    <s v="ORD-104353"/>
    <x v="672"/>
    <x v="1"/>
    <d v="2025-11-01T00:00:00"/>
    <n v="11"/>
    <s v="CUST-02020"/>
    <x v="1"/>
    <x v="19"/>
    <s v="PB"/>
    <x v="0"/>
    <s v="Ludhiana"/>
    <x v="2"/>
    <s v="P503"/>
    <s v="Scented Candle Set"/>
    <x v="4"/>
    <n v="2"/>
    <n v="699"/>
    <n v="0.45"/>
    <n v="1398"/>
    <n v="629.1"/>
    <n v="768.9"/>
    <n v="245"/>
    <n v="490"/>
    <n v="60"/>
    <n v="218.89999999999998"/>
    <n v="0.284692417739628"/>
    <x v="3"/>
    <d v="2025-11-12T00:00:00"/>
    <n v="5"/>
    <x v="2"/>
    <n v="4"/>
    <n v="0"/>
  </r>
  <r>
    <s v="ORD-104354"/>
    <x v="672"/>
    <x v="1"/>
    <d v="2025-11-01T00:00:00"/>
    <n v="11"/>
    <s v="CUST-00031"/>
    <x v="1"/>
    <x v="15"/>
    <s v="HR"/>
    <x v="0"/>
    <s v="Gurugram"/>
    <x v="4"/>
    <s v="P703"/>
    <s v="Green Tea (100 bags)"/>
    <x v="0"/>
    <n v="2"/>
    <n v="399"/>
    <n v="0.45"/>
    <n v="798"/>
    <n v="359.1"/>
    <n v="438.9"/>
    <n v="128"/>
    <n v="256"/>
    <n v="60"/>
    <n v="122.89999999999998"/>
    <n v="0.28001822738664839"/>
    <x v="0"/>
    <d v="2025-11-09T00:00:00"/>
    <n v="2"/>
    <x v="1"/>
    <m/>
    <n v="0"/>
  </r>
  <r>
    <s v="ORD-104355"/>
    <x v="672"/>
    <x v="1"/>
    <d v="2025-11-01T00:00:00"/>
    <n v="11"/>
    <s v="CUST-00058"/>
    <x v="0"/>
    <x v="15"/>
    <s v="HR"/>
    <x v="0"/>
    <s v="Gurugram"/>
    <x v="2"/>
    <s v="P602"/>
    <s v="Fast Charger 33W"/>
    <x v="2"/>
    <n v="1"/>
    <n v="899"/>
    <n v="0.15"/>
    <n v="899"/>
    <n v="134.85"/>
    <n v="764.15"/>
    <n v="494"/>
    <n v="494"/>
    <n v="60"/>
    <n v="210.14999999999998"/>
    <n v="0.27501145063142052"/>
    <x v="0"/>
    <d v="2025-11-10T00:00:00"/>
    <n v="3"/>
    <x v="0"/>
    <n v="4"/>
    <n v="0"/>
  </r>
  <r>
    <s v="ORD-104356"/>
    <x v="672"/>
    <x v="1"/>
    <d v="2025-11-01T00:00:00"/>
    <n v="11"/>
    <s v="CUST-00905"/>
    <x v="1"/>
    <x v="6"/>
    <s v="DL"/>
    <x v="0"/>
    <s v="New Delhi"/>
    <x v="3"/>
    <s v="P204"/>
    <s v="Anti-Dandruff Conditioner"/>
    <x v="6"/>
    <n v="3"/>
    <n v="399"/>
    <n v="0.55000000000000004"/>
    <n v="1197"/>
    <n v="658.35"/>
    <n v="538.65"/>
    <n v="136"/>
    <n v="408"/>
    <n v="60"/>
    <n v="70.649999999999977"/>
    <n v="0.13116123642439428"/>
    <x v="3"/>
    <d v="2025-11-09T00:00:00"/>
    <n v="2"/>
    <x v="1"/>
    <m/>
    <n v="0"/>
  </r>
  <r>
    <s v="ORD-104357"/>
    <x v="672"/>
    <x v="1"/>
    <d v="2025-11-01T00:00:00"/>
    <n v="11"/>
    <s v="CUST-00574"/>
    <x v="1"/>
    <x v="13"/>
    <s v="MP"/>
    <x v="1"/>
    <s v="Bhopal"/>
    <x v="0"/>
    <s v="P103"/>
    <s v="Niacinamide Toner"/>
    <x v="3"/>
    <n v="2"/>
    <n v="399"/>
    <n v="0.45"/>
    <n v="798"/>
    <n v="359.1"/>
    <n v="438.9"/>
    <n v="112"/>
    <n v="224"/>
    <n v="60"/>
    <n v="154.89999999999998"/>
    <n v="0.35292777398040553"/>
    <x v="0"/>
    <d v="2025-11-14T00:00:00"/>
    <n v="7"/>
    <x v="2"/>
    <n v="3"/>
    <n v="0"/>
  </r>
  <r>
    <s v="ORD-104358"/>
    <x v="672"/>
    <x v="1"/>
    <d v="2025-11-01T00:00:00"/>
    <n v="11"/>
    <s v="CUST-00995"/>
    <x v="1"/>
    <x v="7"/>
    <s v="JH"/>
    <x v="2"/>
    <s v="Ranchi"/>
    <x v="0"/>
    <s v="P503"/>
    <s v="Scented Candle Set"/>
    <x v="4"/>
    <n v="2"/>
    <n v="699"/>
    <n v="0.35"/>
    <n v="1398"/>
    <n v="489.29999999999995"/>
    <n v="908.7"/>
    <n v="245"/>
    <n v="490"/>
    <n v="60"/>
    <n v="358.70000000000005"/>
    <n v="0.39473973808737761"/>
    <x v="0"/>
    <d v="2025-11-14T00:00:00"/>
    <n v="7"/>
    <x v="2"/>
    <m/>
    <n v="0"/>
  </r>
  <r>
    <s v="ORD-104359"/>
    <x v="672"/>
    <x v="1"/>
    <d v="2025-11-01T00:00:00"/>
    <n v="11"/>
    <s v="CUST-00914"/>
    <x v="1"/>
    <x v="2"/>
    <s v="MH"/>
    <x v="1"/>
    <s v="Mumbai"/>
    <x v="4"/>
    <s v="P701"/>
    <s v="Ashwagandha Capsules"/>
    <x v="0"/>
    <n v="1"/>
    <n v="499"/>
    <n v="0.1"/>
    <n v="499"/>
    <n v="49.900000000000006"/>
    <n v="449.1"/>
    <n v="150"/>
    <n v="150"/>
    <n v="60"/>
    <n v="239.10000000000002"/>
    <n v="0.53239812959251842"/>
    <x v="4"/>
    <d v="2025-11-10T00:00:00"/>
    <n v="3"/>
    <x v="0"/>
    <n v="4"/>
    <n v="0"/>
  </r>
  <r>
    <s v="ORD-104360"/>
    <x v="672"/>
    <x v="1"/>
    <d v="2025-11-01T00:00:00"/>
    <n v="11"/>
    <s v="CUST-00538"/>
    <x v="1"/>
    <x v="21"/>
    <s v="TG"/>
    <x v="3"/>
    <s v="Hyderabad"/>
    <x v="0"/>
    <s v="P104"/>
    <s v="Hydrating Face Wash"/>
    <x v="3"/>
    <n v="1"/>
    <n v="299"/>
    <n v="0.2"/>
    <n v="299"/>
    <n v="59.800000000000004"/>
    <n v="239.2"/>
    <n v="90"/>
    <n v="90"/>
    <n v="60"/>
    <n v="89.199999999999989"/>
    <n v="0.37290969899665549"/>
    <x v="0"/>
    <d v="2025-11-11T00:00:00"/>
    <n v="4"/>
    <x v="0"/>
    <m/>
    <n v="0"/>
  </r>
  <r>
    <s v="ORD-104361"/>
    <x v="672"/>
    <x v="1"/>
    <d v="2025-11-01T00:00:00"/>
    <n v="11"/>
    <s v="CUST-01729"/>
    <x v="0"/>
    <x v="21"/>
    <s v="TG"/>
    <x v="3"/>
    <s v="Hyderabad"/>
    <x v="3"/>
    <s v="P201"/>
    <s v="Onion Hair Oil"/>
    <x v="6"/>
    <n v="2"/>
    <n v="349"/>
    <n v="0.5"/>
    <n v="698"/>
    <n v="349"/>
    <n v="349"/>
    <n v="105"/>
    <n v="210"/>
    <n v="60"/>
    <n v="79"/>
    <n v="0.22636103151862463"/>
    <x v="0"/>
    <d v="2025-11-09T00:00:00"/>
    <n v="2"/>
    <x v="1"/>
    <m/>
    <n v="0"/>
  </r>
  <r>
    <s v="ORD-104362"/>
    <x v="672"/>
    <x v="1"/>
    <d v="2025-11-01T00:00:00"/>
    <n v="11"/>
    <s v="CUST-00478"/>
    <x v="1"/>
    <x v="21"/>
    <s v="TG"/>
    <x v="3"/>
    <s v="Hyderabad"/>
    <x v="0"/>
    <s v="P201"/>
    <s v="Onion Hair Oil"/>
    <x v="6"/>
    <n v="1"/>
    <n v="349"/>
    <n v="0.5"/>
    <n v="349"/>
    <n v="174.5"/>
    <n v="174.5"/>
    <n v="105"/>
    <n v="105"/>
    <n v="60"/>
    <n v="9.5"/>
    <n v="5.4441260744985676E-2"/>
    <x v="4"/>
    <d v="2025-11-10T00:00:00"/>
    <n v="3"/>
    <x v="0"/>
    <n v="3"/>
    <n v="0"/>
  </r>
  <r>
    <s v="ORD-104363"/>
    <x v="672"/>
    <x v="1"/>
    <d v="2025-11-01T00:00:00"/>
    <n v="11"/>
    <s v="CUST-01016"/>
    <x v="1"/>
    <x v="20"/>
    <s v="GA"/>
    <x v="1"/>
    <s v="Panaji"/>
    <x v="0"/>
    <s v="P202"/>
    <s v="Argan Shampoo"/>
    <x v="6"/>
    <n v="1"/>
    <n v="449"/>
    <n v="0.1"/>
    <n v="449"/>
    <n v="44.900000000000006"/>
    <n v="404.1"/>
    <n v="148"/>
    <n v="148"/>
    <n v="60"/>
    <n v="196.10000000000002"/>
    <n v="0.48527592180153428"/>
    <x v="2"/>
    <d v="2025-11-10T00:00:00"/>
    <n v="3"/>
    <x v="0"/>
    <n v="4"/>
    <n v="0"/>
  </r>
  <r>
    <s v="ORD-104364"/>
    <x v="672"/>
    <x v="1"/>
    <d v="2025-11-01T00:00:00"/>
    <n v="11"/>
    <s v="CUST-01072"/>
    <x v="1"/>
    <x v="20"/>
    <s v="GA"/>
    <x v="1"/>
    <s v="Panaji"/>
    <x v="0"/>
    <s v="P101"/>
    <s v="Vitamin C Face Serum"/>
    <x v="3"/>
    <n v="2"/>
    <n v="599"/>
    <n v="0.3"/>
    <n v="1198"/>
    <n v="359.4"/>
    <n v="838.6"/>
    <n v="180"/>
    <n v="360"/>
    <n v="60"/>
    <n v="418.6"/>
    <n v="0.4991652754590985"/>
    <x v="4"/>
    <d v="2025-11-11T00:00:00"/>
    <n v="4"/>
    <x v="0"/>
    <m/>
    <n v="0"/>
  </r>
  <r>
    <s v="ORD-104365"/>
    <x v="672"/>
    <x v="1"/>
    <d v="2025-11-01T00:00:00"/>
    <n v="11"/>
    <s v="CUST-01281"/>
    <x v="0"/>
    <x v="20"/>
    <s v="GA"/>
    <x v="1"/>
    <s v="Panaji"/>
    <x v="0"/>
    <s v="P603"/>
    <s v="Smartwatch Strap"/>
    <x v="2"/>
    <n v="1"/>
    <n v="499"/>
    <n v="0.2"/>
    <n v="499"/>
    <n v="99.800000000000011"/>
    <n v="399.2"/>
    <n v="200"/>
    <n v="200"/>
    <n v="60"/>
    <n v="139.19999999999999"/>
    <n v="0.34869739478957912"/>
    <x v="2"/>
    <d v="2025-11-11T00:00:00"/>
    <n v="4"/>
    <x v="0"/>
    <n v="3"/>
    <n v="0"/>
  </r>
  <r>
    <s v="ORD-104366"/>
    <x v="672"/>
    <x v="1"/>
    <d v="2025-11-01T00:00:00"/>
    <n v="11"/>
    <s v="CUST-01147"/>
    <x v="0"/>
    <x v="11"/>
    <s v="KA"/>
    <x v="3"/>
    <s v="Bengaluru"/>
    <x v="2"/>
    <s v="P402"/>
    <s v="Casual Sneakers"/>
    <x v="5"/>
    <n v="2"/>
    <n v="2199"/>
    <n v="0.3"/>
    <n v="4398"/>
    <n v="1319.3999999999999"/>
    <n v="3078.6000000000004"/>
    <n v="1034"/>
    <n v="2068"/>
    <n v="120"/>
    <n v="890.60000000000036"/>
    <n v="0.28928733840057175"/>
    <x v="0"/>
    <d v="2025-11-12T00:00:00"/>
    <n v="5"/>
    <x v="2"/>
    <m/>
    <n v="1"/>
  </r>
  <r>
    <s v="ORD-104367"/>
    <x v="672"/>
    <x v="1"/>
    <d v="2025-11-01T00:00:00"/>
    <n v="11"/>
    <s v="CUST-00662"/>
    <x v="1"/>
    <x v="11"/>
    <s v="KA"/>
    <x v="3"/>
    <s v="Mysuru"/>
    <x v="4"/>
    <s v="P105"/>
    <s v="Retinol Night Cream"/>
    <x v="3"/>
    <n v="2"/>
    <n v="799"/>
    <n v="0.3"/>
    <n v="1598"/>
    <n v="479.4"/>
    <n v="1118.5999999999999"/>
    <n v="216"/>
    <n v="432"/>
    <n v="60"/>
    <n v="626.59999999999991"/>
    <n v="0.56016449132844626"/>
    <x v="0"/>
    <d v="2025-11-09T00:00:00"/>
    <n v="2"/>
    <x v="1"/>
    <n v="4"/>
    <n v="0"/>
  </r>
  <r>
    <s v="ORD-104368"/>
    <x v="672"/>
    <x v="1"/>
    <d v="2025-11-01T00:00:00"/>
    <n v="11"/>
    <s v="CUST-01194"/>
    <x v="1"/>
    <x v="8"/>
    <s v="AP"/>
    <x v="3"/>
    <s v="Vijayawada"/>
    <x v="0"/>
    <s v="P404"/>
    <s v="Flip Flops"/>
    <x v="5"/>
    <n v="4"/>
    <n v="399"/>
    <n v="0.3"/>
    <n v="1596"/>
    <n v="478.79999999999995"/>
    <n v="1117.2"/>
    <n v="152"/>
    <n v="608"/>
    <n v="60"/>
    <n v="449.20000000000005"/>
    <n v="0.40207662012173295"/>
    <x v="3"/>
    <d v="2025-11-10T00:00:00"/>
    <n v="3"/>
    <x v="0"/>
    <n v="4"/>
    <n v="0"/>
  </r>
  <r>
    <s v="ORD-104369"/>
    <x v="672"/>
    <x v="1"/>
    <d v="2025-11-01T00:00:00"/>
    <n v="11"/>
    <s v="CUST-02830"/>
    <x v="1"/>
    <x v="14"/>
    <s v="KL"/>
    <x v="3"/>
    <s v="Kochi"/>
    <x v="0"/>
    <s v="P101"/>
    <s v="Vitamin C Face Serum"/>
    <x v="3"/>
    <n v="3"/>
    <n v="599"/>
    <n v="0.3"/>
    <n v="1797"/>
    <n v="539.1"/>
    <n v="1257.9000000000001"/>
    <n v="180"/>
    <n v="540"/>
    <n v="60"/>
    <n v="657.90000000000009"/>
    <n v="0.52301454805628433"/>
    <x v="1"/>
    <d v="2025-11-11T00:00:00"/>
    <n v="4"/>
    <x v="0"/>
    <n v="4"/>
    <n v="0"/>
  </r>
  <r>
    <s v="ORD-104370"/>
    <x v="672"/>
    <x v="1"/>
    <d v="2025-11-01T00:00:00"/>
    <n v="11"/>
    <s v="CUST-01048"/>
    <x v="1"/>
    <x v="14"/>
    <s v="KL"/>
    <x v="3"/>
    <s v="Thiruvananthapuram"/>
    <x v="2"/>
    <s v="P704"/>
    <s v="Multivitamin Gummies"/>
    <x v="0"/>
    <n v="2"/>
    <n v="699"/>
    <n v="0.25"/>
    <n v="1398"/>
    <n v="349.5"/>
    <n v="1048.5"/>
    <n v="238"/>
    <n v="476"/>
    <n v="60"/>
    <n v="512.5"/>
    <n v="0.48879351454458753"/>
    <x v="1"/>
    <d v="2025-11-11T00:00:00"/>
    <n v="4"/>
    <x v="0"/>
    <m/>
    <n v="0"/>
  </r>
  <r>
    <s v="ORD-104371"/>
    <x v="672"/>
    <x v="1"/>
    <d v="2025-11-01T00:00:00"/>
    <n v="11"/>
    <s v="CUST-00573"/>
    <x v="1"/>
    <x v="17"/>
    <s v="TN"/>
    <x v="3"/>
    <s v="Coimbatore"/>
    <x v="4"/>
    <s v="P404"/>
    <s v="Flip Flops"/>
    <x v="5"/>
    <n v="4"/>
    <n v="399"/>
    <n v="0.25"/>
    <n v="1596"/>
    <n v="399"/>
    <n v="1197"/>
    <n v="152"/>
    <n v="608"/>
    <n v="60"/>
    <n v="529"/>
    <n v="0.44193817878028402"/>
    <x v="0"/>
    <d v="2025-11-08T00:00:00"/>
    <n v="1"/>
    <x v="1"/>
    <m/>
    <n v="0"/>
  </r>
  <r>
    <s v="ORD-104372"/>
    <x v="673"/>
    <x v="1"/>
    <d v="2025-11-01T00:00:00"/>
    <n v="11"/>
    <s v="CUST-00983"/>
    <x v="1"/>
    <x v="6"/>
    <s v="DL"/>
    <x v="0"/>
    <s v="New Delhi"/>
    <x v="0"/>
    <s v="P302"/>
    <s v="Linen Kurta"/>
    <x v="1"/>
    <n v="2"/>
    <n v="1499"/>
    <n v="0.4"/>
    <n v="2998"/>
    <n v="1199.2"/>
    <n v="1798.8"/>
    <n v="630"/>
    <n v="1260"/>
    <n v="120"/>
    <n v="418.79999999999995"/>
    <n v="0.23282188125416942"/>
    <x v="0"/>
    <d v="2025-11-11T00:00:00"/>
    <n v="3"/>
    <x v="0"/>
    <n v="4"/>
    <n v="1"/>
  </r>
  <r>
    <s v="ORD-104373"/>
    <x v="673"/>
    <x v="1"/>
    <d v="2025-11-01T00:00:00"/>
    <n v="11"/>
    <s v="CUST-01613"/>
    <x v="1"/>
    <x v="13"/>
    <s v="MP"/>
    <x v="1"/>
    <s v="Bhopal"/>
    <x v="3"/>
    <s v="P701"/>
    <s v="Ashwagandha Capsules"/>
    <x v="0"/>
    <n v="1"/>
    <n v="499"/>
    <n v="0.2"/>
    <n v="499"/>
    <n v="99.800000000000011"/>
    <n v="399.2"/>
    <n v="150"/>
    <n v="150"/>
    <n v="60"/>
    <n v="189.2"/>
    <n v="0.47394789579158314"/>
    <x v="0"/>
    <d v="2025-11-12T00:00:00"/>
    <n v="4"/>
    <x v="0"/>
    <m/>
    <n v="0"/>
  </r>
  <r>
    <s v="ORD-104374"/>
    <x v="673"/>
    <x v="1"/>
    <d v="2025-11-01T00:00:00"/>
    <n v="11"/>
    <s v="CUST-00783"/>
    <x v="1"/>
    <x v="13"/>
    <s v="MP"/>
    <x v="1"/>
    <s v="Indore"/>
    <x v="1"/>
    <s v="P303"/>
    <s v="Joggers"/>
    <x v="1"/>
    <n v="1"/>
    <n v="1199"/>
    <n v="0.25"/>
    <n v="1199"/>
    <n v="299.75"/>
    <n v="899.25"/>
    <n v="492"/>
    <n v="492"/>
    <n v="60"/>
    <n v="347.25"/>
    <n v="0.38615512927439533"/>
    <x v="3"/>
    <d v="2025-11-13T00:00:00"/>
    <n v="5"/>
    <x v="2"/>
    <n v="3"/>
    <n v="0"/>
  </r>
  <r>
    <s v="ORD-104375"/>
    <x v="673"/>
    <x v="1"/>
    <d v="2025-11-01T00:00:00"/>
    <n v="11"/>
    <s v="CUST-02976"/>
    <x v="0"/>
    <x v="13"/>
    <s v="MP"/>
    <x v="1"/>
    <s v="Indore"/>
    <x v="0"/>
    <s v="P703"/>
    <s v="Green Tea (100 bags)"/>
    <x v="0"/>
    <n v="1"/>
    <n v="399"/>
    <n v="0.5"/>
    <n v="399"/>
    <n v="199.5"/>
    <n v="199.5"/>
    <n v="128"/>
    <n v="128"/>
    <n v="60"/>
    <n v="11.5"/>
    <n v="5.764411027568922E-2"/>
    <x v="3"/>
    <d v="2025-11-12T00:00:00"/>
    <n v="4"/>
    <x v="0"/>
    <n v="3"/>
    <n v="0"/>
  </r>
  <r>
    <s v="ORD-104376"/>
    <x v="673"/>
    <x v="1"/>
    <d v="2025-11-01T00:00:00"/>
    <n v="11"/>
    <s v="CUST-00215"/>
    <x v="1"/>
    <x v="2"/>
    <s v="MH"/>
    <x v="1"/>
    <s v="Pune"/>
    <x v="4"/>
    <s v="P303"/>
    <s v="Joggers"/>
    <x v="1"/>
    <n v="1"/>
    <n v="1199"/>
    <n v="0.35"/>
    <n v="1199"/>
    <n v="419.65"/>
    <n v="779.35"/>
    <n v="492"/>
    <n v="492"/>
    <n v="60"/>
    <n v="227.35000000000002"/>
    <n v="0.29171745685507156"/>
    <x v="3"/>
    <d v="2025-11-11T00:00:00"/>
    <n v="3"/>
    <x v="0"/>
    <m/>
    <n v="0"/>
  </r>
  <r>
    <s v="ORD-104377"/>
    <x v="673"/>
    <x v="1"/>
    <d v="2025-11-01T00:00:00"/>
    <n v="11"/>
    <s v="CUST-00844"/>
    <x v="1"/>
    <x v="21"/>
    <s v="TG"/>
    <x v="3"/>
    <s v="Hyderabad"/>
    <x v="3"/>
    <s v="P701"/>
    <s v="Ashwagandha Capsules"/>
    <x v="0"/>
    <n v="1"/>
    <n v="499"/>
    <n v="0.05"/>
    <n v="499"/>
    <n v="24.950000000000003"/>
    <n v="474.05"/>
    <n v="150"/>
    <n v="150"/>
    <n v="60"/>
    <n v="264.05"/>
    <n v="0.55700875435080688"/>
    <x v="0"/>
    <d v="2025-11-10T00:00:00"/>
    <n v="2"/>
    <x v="1"/>
    <m/>
    <n v="0"/>
  </r>
  <r>
    <s v="ORD-104378"/>
    <x v="673"/>
    <x v="1"/>
    <d v="2025-11-01T00:00:00"/>
    <n v="11"/>
    <s v="CUST-00937"/>
    <x v="1"/>
    <x v="21"/>
    <s v="TG"/>
    <x v="3"/>
    <s v="Hyderabad"/>
    <x v="0"/>
    <s v="P404"/>
    <s v="Flip Flops"/>
    <x v="5"/>
    <n v="1"/>
    <n v="399"/>
    <n v="0.3"/>
    <n v="399"/>
    <n v="119.69999999999999"/>
    <n v="279.3"/>
    <n v="152"/>
    <n v="152"/>
    <n v="60"/>
    <n v="67.300000000000011"/>
    <n v="0.24095954171142145"/>
    <x v="0"/>
    <d v="2025-11-12T00:00:00"/>
    <n v="4"/>
    <x v="0"/>
    <n v="5"/>
    <n v="0"/>
  </r>
  <r>
    <s v="ORD-104379"/>
    <x v="673"/>
    <x v="1"/>
    <d v="2025-11-01T00:00:00"/>
    <n v="11"/>
    <s v="CUST-02755"/>
    <x v="1"/>
    <x v="21"/>
    <s v="TG"/>
    <x v="3"/>
    <s v="Hyderabad"/>
    <x v="2"/>
    <s v="P701"/>
    <s v="Ashwagandha Capsules"/>
    <x v="0"/>
    <n v="1"/>
    <n v="499"/>
    <n v="0.1"/>
    <n v="499"/>
    <n v="49.900000000000006"/>
    <n v="449.1"/>
    <n v="150"/>
    <n v="150"/>
    <n v="60"/>
    <n v="239.10000000000002"/>
    <n v="0.53239812959251842"/>
    <x v="0"/>
    <d v="2025-11-13T00:00:00"/>
    <n v="5"/>
    <x v="2"/>
    <n v="3"/>
    <n v="0"/>
  </r>
  <r>
    <s v="ORD-104380"/>
    <x v="673"/>
    <x v="1"/>
    <d v="2025-11-01T00:00:00"/>
    <n v="11"/>
    <s v="CUST-00617"/>
    <x v="1"/>
    <x v="8"/>
    <s v="AP"/>
    <x v="3"/>
    <s v="Visakhapatnam"/>
    <x v="4"/>
    <s v="P204"/>
    <s v="Anti-Dandruff Conditioner"/>
    <x v="6"/>
    <n v="4"/>
    <n v="399"/>
    <n v="0.5"/>
    <n v="1596"/>
    <n v="798"/>
    <n v="798"/>
    <n v="136"/>
    <n v="544"/>
    <n v="60"/>
    <n v="194"/>
    <n v="0.24310776942355888"/>
    <x v="0"/>
    <d v="2025-11-12T00:00:00"/>
    <n v="4"/>
    <x v="0"/>
    <n v="4"/>
    <n v="0"/>
  </r>
  <r>
    <s v="ORD-104381"/>
    <x v="673"/>
    <x v="1"/>
    <d v="2025-11-01T00:00:00"/>
    <n v="11"/>
    <s v="CUST-00180"/>
    <x v="1"/>
    <x v="17"/>
    <s v="TN"/>
    <x v="3"/>
    <s v="Chennai"/>
    <x v="4"/>
    <s v="P104"/>
    <s v="Hydrating Face Wash"/>
    <x v="3"/>
    <n v="2"/>
    <n v="299"/>
    <n v="0.15"/>
    <n v="598"/>
    <n v="89.7"/>
    <n v="508.3"/>
    <n v="90"/>
    <n v="180"/>
    <n v="60"/>
    <n v="268.3"/>
    <n v="0.5278378910092465"/>
    <x v="0"/>
    <d v="2025-11-12T00:00:00"/>
    <n v="4"/>
    <x v="0"/>
    <n v="4"/>
    <n v="0"/>
  </r>
  <r>
    <s v="ORD-104382"/>
    <x v="673"/>
    <x v="1"/>
    <d v="2025-11-01T00:00:00"/>
    <n v="11"/>
    <s v="CUST-01372"/>
    <x v="0"/>
    <x v="17"/>
    <s v="TN"/>
    <x v="3"/>
    <s v="Chennai"/>
    <x v="3"/>
    <s v="P204"/>
    <s v="Anti-Dandruff Conditioner"/>
    <x v="6"/>
    <n v="1"/>
    <n v="399"/>
    <n v="0.45"/>
    <n v="399"/>
    <n v="179.55"/>
    <n v="219.45"/>
    <n v="136"/>
    <n v="136"/>
    <n v="120"/>
    <n v="-36.550000000000011"/>
    <n v="-0.16655274550011398"/>
    <x v="0"/>
    <d v="2025-11-10T00:00:00"/>
    <n v="2"/>
    <x v="1"/>
    <n v="3"/>
    <n v="1"/>
  </r>
  <r>
    <s v="ORD-104383"/>
    <x v="674"/>
    <x v="1"/>
    <d v="2025-11-01T00:00:00"/>
    <n v="11"/>
    <s v="CUST-01901"/>
    <x v="0"/>
    <x v="19"/>
    <s v="PB"/>
    <x v="0"/>
    <s v="Ludhiana"/>
    <x v="4"/>
    <s v="P704"/>
    <s v="Multivitamin Gummies"/>
    <x v="0"/>
    <n v="3"/>
    <n v="699"/>
    <n v="0.2"/>
    <n v="2097"/>
    <n v="419.40000000000003"/>
    <n v="1677.6"/>
    <n v="238"/>
    <n v="714"/>
    <n v="60"/>
    <n v="903.59999999999991"/>
    <n v="0.53862660944206009"/>
    <x v="1"/>
    <d v="2025-11-10T00:00:00"/>
    <n v="1"/>
    <x v="1"/>
    <m/>
    <n v="0"/>
  </r>
  <r>
    <s v="ORD-104384"/>
    <x v="674"/>
    <x v="1"/>
    <d v="2025-11-01T00:00:00"/>
    <n v="11"/>
    <s v="CUST-00485"/>
    <x v="1"/>
    <x v="6"/>
    <s v="DL"/>
    <x v="0"/>
    <s v="New Delhi"/>
    <x v="2"/>
    <s v="P104"/>
    <s v="Hydrating Face Wash"/>
    <x v="3"/>
    <n v="1"/>
    <n v="299"/>
    <n v="0.2"/>
    <n v="299"/>
    <n v="59.800000000000004"/>
    <n v="239.2"/>
    <n v="90"/>
    <n v="90"/>
    <n v="60"/>
    <n v="89.199999999999989"/>
    <n v="0.37290969899665549"/>
    <x v="0"/>
    <d v="2025-11-12T00:00:00"/>
    <n v="3"/>
    <x v="0"/>
    <n v="4"/>
    <n v="0"/>
  </r>
  <r>
    <s v="ORD-104385"/>
    <x v="674"/>
    <x v="1"/>
    <d v="2025-11-01T00:00:00"/>
    <n v="11"/>
    <s v="CUST-00070"/>
    <x v="1"/>
    <x v="16"/>
    <s v="UP"/>
    <x v="0"/>
    <s v="Kanpur"/>
    <x v="0"/>
    <s v="P102"/>
    <s v="Sunscreen SPF 50"/>
    <x v="3"/>
    <n v="4"/>
    <n v="449"/>
    <n v="0.2"/>
    <n v="1796"/>
    <n v="359.20000000000005"/>
    <n v="1436.8"/>
    <n v="144"/>
    <n v="576"/>
    <n v="60"/>
    <n v="800.8"/>
    <n v="0.55734966592427615"/>
    <x v="3"/>
    <d v="2025-11-13T00:00:00"/>
    <n v="4"/>
    <x v="0"/>
    <n v="4"/>
    <n v="0"/>
  </r>
  <r>
    <s v="ORD-104386"/>
    <x v="674"/>
    <x v="1"/>
    <d v="2025-11-01T00:00:00"/>
    <n v="11"/>
    <s v="CUST-00933"/>
    <x v="1"/>
    <x v="18"/>
    <s v="WB"/>
    <x v="2"/>
    <s v="Kolkata"/>
    <x v="1"/>
    <s v="P404"/>
    <s v="Flip Flops"/>
    <x v="5"/>
    <n v="2"/>
    <n v="399"/>
    <n v="0.15"/>
    <n v="798"/>
    <n v="119.69999999999999"/>
    <n v="678.3"/>
    <n v="152"/>
    <n v="304"/>
    <n v="60"/>
    <n v="314.29999999999995"/>
    <n v="0.4633642930856553"/>
    <x v="0"/>
    <d v="2025-11-13T00:00:00"/>
    <n v="4"/>
    <x v="0"/>
    <n v="5"/>
    <n v="0"/>
  </r>
  <r>
    <s v="ORD-104387"/>
    <x v="674"/>
    <x v="1"/>
    <d v="2025-11-01T00:00:00"/>
    <n v="11"/>
    <s v="CUST-00160"/>
    <x v="0"/>
    <x v="18"/>
    <s v="WB"/>
    <x v="2"/>
    <s v="Kolkata"/>
    <x v="1"/>
    <s v="P301"/>
    <s v="Cotton Oversized T-Shirt"/>
    <x v="1"/>
    <n v="1"/>
    <n v="799"/>
    <n v="0.2"/>
    <n v="799"/>
    <n v="159.80000000000001"/>
    <n v="639.20000000000005"/>
    <n v="320"/>
    <n v="320"/>
    <n v="60"/>
    <n v="259.20000000000005"/>
    <n v="0.40550688360450565"/>
    <x v="0"/>
    <d v="2025-11-12T00:00:00"/>
    <n v="3"/>
    <x v="0"/>
    <m/>
    <n v="0"/>
  </r>
  <r>
    <s v="ORD-104388"/>
    <x v="674"/>
    <x v="1"/>
    <d v="2025-11-01T00:00:00"/>
    <n v="11"/>
    <s v="CUST-02181"/>
    <x v="0"/>
    <x v="2"/>
    <s v="MH"/>
    <x v="1"/>
    <s v="Mumbai"/>
    <x v="3"/>
    <s v="P101"/>
    <s v="Vitamin C Face Serum"/>
    <x v="3"/>
    <n v="1"/>
    <n v="599"/>
    <n v="0.25"/>
    <n v="599"/>
    <n v="149.75"/>
    <n v="449.25"/>
    <n v="180"/>
    <n v="180"/>
    <n v="60"/>
    <n v="209.25"/>
    <n v="0.46577629382303842"/>
    <x v="0"/>
    <d v="2025-11-13T00:00:00"/>
    <n v="4"/>
    <x v="0"/>
    <m/>
    <n v="0"/>
  </r>
  <r>
    <s v="ORD-104389"/>
    <x v="674"/>
    <x v="1"/>
    <d v="2025-11-01T00:00:00"/>
    <n v="11"/>
    <s v="CUST-01094"/>
    <x v="1"/>
    <x v="21"/>
    <s v="TG"/>
    <x v="3"/>
    <s v="Hyderabad"/>
    <x v="3"/>
    <s v="P703"/>
    <s v="Green Tea (100 bags)"/>
    <x v="0"/>
    <n v="1"/>
    <n v="399"/>
    <n v="0.4"/>
    <n v="399"/>
    <n v="159.60000000000002"/>
    <n v="239.39999999999998"/>
    <n v="128"/>
    <n v="128"/>
    <n v="60"/>
    <n v="51.399999999999977"/>
    <n v="0.21470342522974095"/>
    <x v="0"/>
    <d v="2025-11-12T00:00:00"/>
    <n v="3"/>
    <x v="0"/>
    <n v="4"/>
    <n v="0"/>
  </r>
  <r>
    <s v="ORD-104390"/>
    <x v="674"/>
    <x v="1"/>
    <d v="2025-11-01T00:00:00"/>
    <n v="11"/>
    <s v="CUST-00213"/>
    <x v="1"/>
    <x v="11"/>
    <s v="KA"/>
    <x v="3"/>
    <s v="Mysuru"/>
    <x v="3"/>
    <s v="P702"/>
    <s v="Whey Protein 1kg"/>
    <x v="0"/>
    <n v="1"/>
    <n v="2299"/>
    <n v="0.4"/>
    <n v="2299"/>
    <n v="919.6"/>
    <n v="1379.4"/>
    <n v="1333"/>
    <n v="1333"/>
    <n v="60"/>
    <n v="-13.599999999999909"/>
    <n v="-9.8593591416557252E-3"/>
    <x v="0"/>
    <d v="2025-11-12T00:00:00"/>
    <n v="3"/>
    <x v="0"/>
    <n v="3"/>
    <n v="0"/>
  </r>
  <r>
    <s v="ORD-104391"/>
    <x v="674"/>
    <x v="1"/>
    <d v="2025-11-01T00:00:00"/>
    <n v="11"/>
    <s v="CUST-00821"/>
    <x v="1"/>
    <x v="11"/>
    <s v="KA"/>
    <x v="3"/>
    <s v="Bengaluru"/>
    <x v="1"/>
    <s v="P301"/>
    <s v="Cotton Oversized T-Shirt"/>
    <x v="1"/>
    <n v="1"/>
    <n v="799"/>
    <n v="0.2"/>
    <n v="799"/>
    <n v="159.80000000000001"/>
    <n v="639.20000000000005"/>
    <n v="320"/>
    <n v="320"/>
    <n v="60"/>
    <n v="259.20000000000005"/>
    <n v="0.40550688360450565"/>
    <x v="2"/>
    <d v="2025-11-10T00:00:00"/>
    <n v="1"/>
    <x v="1"/>
    <m/>
    <n v="0"/>
  </r>
  <r>
    <s v="ORD-104392"/>
    <x v="674"/>
    <x v="1"/>
    <d v="2025-11-01T00:00:00"/>
    <n v="11"/>
    <s v="CUST-00429"/>
    <x v="1"/>
    <x v="8"/>
    <s v="AP"/>
    <x v="3"/>
    <s v="Vijayawada"/>
    <x v="3"/>
    <s v="P203"/>
    <s v="Keratin Hair Mask"/>
    <x v="6"/>
    <n v="1"/>
    <n v="549"/>
    <n v="0.2"/>
    <n v="549"/>
    <n v="109.80000000000001"/>
    <n v="439.2"/>
    <n v="170"/>
    <n v="170"/>
    <n v="60"/>
    <n v="209.2"/>
    <n v="0.47632058287795992"/>
    <x v="0"/>
    <d v="2025-11-14T00:00:00"/>
    <n v="5"/>
    <x v="2"/>
    <n v="4"/>
    <n v="0"/>
  </r>
  <r>
    <s v="ORD-104393"/>
    <x v="674"/>
    <x v="1"/>
    <d v="2025-11-01T00:00:00"/>
    <n v="11"/>
    <s v="CUST-00217"/>
    <x v="1"/>
    <x v="8"/>
    <s v="AP"/>
    <x v="3"/>
    <s v="Vijayawada"/>
    <x v="3"/>
    <s v="P104"/>
    <s v="Hydrating Face Wash"/>
    <x v="3"/>
    <n v="2"/>
    <n v="299"/>
    <n v="0.3"/>
    <n v="598"/>
    <n v="179.4"/>
    <n v="418.6"/>
    <n v="90"/>
    <n v="180"/>
    <n v="60"/>
    <n v="178.60000000000002"/>
    <n v="0.42666029622551366"/>
    <x v="0"/>
    <d v="2025-11-14T00:00:00"/>
    <n v="5"/>
    <x v="2"/>
    <n v="4"/>
    <n v="0"/>
  </r>
  <r>
    <s v="ORD-104394"/>
    <x v="674"/>
    <x v="1"/>
    <d v="2025-11-01T00:00:00"/>
    <n v="11"/>
    <s v="CUST-00752"/>
    <x v="1"/>
    <x v="8"/>
    <s v="AP"/>
    <x v="3"/>
    <s v="Vijayawada"/>
    <x v="4"/>
    <s v="P101"/>
    <s v="Vitamin C Face Serum"/>
    <x v="3"/>
    <n v="1"/>
    <n v="599"/>
    <n v="0.25"/>
    <n v="599"/>
    <n v="149.75"/>
    <n v="449.25"/>
    <n v="180"/>
    <n v="180"/>
    <n v="60"/>
    <n v="209.25"/>
    <n v="0.46577629382303842"/>
    <x v="3"/>
    <d v="2025-11-15T00:00:00"/>
    <n v="6"/>
    <x v="2"/>
    <n v="4"/>
    <n v="0"/>
  </r>
  <r>
    <s v="ORD-104395"/>
    <x v="674"/>
    <x v="1"/>
    <d v="2025-11-01T00:00:00"/>
    <n v="11"/>
    <s v="CUST-00140"/>
    <x v="1"/>
    <x v="14"/>
    <s v="KL"/>
    <x v="3"/>
    <s v="Kochi"/>
    <x v="3"/>
    <s v="P201"/>
    <s v="Onion Hair Oil"/>
    <x v="6"/>
    <n v="3"/>
    <n v="349"/>
    <n v="0.3"/>
    <n v="1047"/>
    <n v="314.09999999999997"/>
    <n v="732.90000000000009"/>
    <n v="105"/>
    <n v="315"/>
    <n v="60"/>
    <n v="357.90000000000009"/>
    <n v="0.48833401555464601"/>
    <x v="3"/>
    <d v="2025-11-12T00:00:00"/>
    <n v="3"/>
    <x v="0"/>
    <m/>
    <n v="0"/>
  </r>
  <r>
    <s v="ORD-104396"/>
    <x v="675"/>
    <x v="1"/>
    <d v="2025-11-01T00:00:00"/>
    <n v="11"/>
    <s v="CUST-00211"/>
    <x v="1"/>
    <x v="19"/>
    <s v="PB"/>
    <x v="0"/>
    <s v="Amritsar"/>
    <x v="3"/>
    <s v="P704"/>
    <s v="Multivitamin Gummies"/>
    <x v="0"/>
    <n v="1"/>
    <n v="699"/>
    <n v="0.45"/>
    <n v="699"/>
    <n v="314.55"/>
    <n v="384.45"/>
    <n v="238"/>
    <n v="238"/>
    <n v="60"/>
    <n v="86.449999999999989"/>
    <n v="0.22486669267785145"/>
    <x v="0"/>
    <d v="2025-11-16T00:00:00"/>
    <n v="6"/>
    <x v="2"/>
    <n v="4"/>
    <n v="0"/>
  </r>
  <r>
    <s v="ORD-104397"/>
    <x v="675"/>
    <x v="1"/>
    <d v="2025-11-01T00:00:00"/>
    <n v="11"/>
    <s v="CUST-00385"/>
    <x v="1"/>
    <x v="0"/>
    <s v="RJ"/>
    <x v="0"/>
    <s v="Jaipur"/>
    <x v="2"/>
    <s v="P105"/>
    <s v="Retinol Night Cream"/>
    <x v="3"/>
    <n v="1"/>
    <n v="799"/>
    <n v="0.2"/>
    <n v="799"/>
    <n v="159.80000000000001"/>
    <n v="639.20000000000005"/>
    <n v="216"/>
    <n v="216"/>
    <n v="60"/>
    <n v="363.20000000000005"/>
    <n v="0.56821026282853571"/>
    <x v="3"/>
    <d v="2025-11-16T00:00:00"/>
    <n v="6"/>
    <x v="2"/>
    <n v="4"/>
    <n v="0"/>
  </r>
  <r>
    <s v="ORD-104398"/>
    <x v="675"/>
    <x v="1"/>
    <d v="2025-11-01T00:00:00"/>
    <n v="11"/>
    <s v="CUST-00626"/>
    <x v="1"/>
    <x v="15"/>
    <s v="HR"/>
    <x v="0"/>
    <s v="Gurugram"/>
    <x v="4"/>
    <s v="P201"/>
    <s v="Onion Hair Oil"/>
    <x v="6"/>
    <n v="2"/>
    <n v="349"/>
    <n v="0.45"/>
    <n v="698"/>
    <n v="314.10000000000002"/>
    <n v="383.9"/>
    <n v="105"/>
    <n v="210"/>
    <n v="60"/>
    <n v="113.89999999999998"/>
    <n v="0.29669184683511329"/>
    <x v="0"/>
    <d v="2025-11-13T00:00:00"/>
    <n v="3"/>
    <x v="0"/>
    <m/>
    <n v="0"/>
  </r>
  <r>
    <s v="ORD-104399"/>
    <x v="675"/>
    <x v="1"/>
    <d v="2025-11-01T00:00:00"/>
    <n v="11"/>
    <s v="CUST-02007"/>
    <x v="0"/>
    <x v="15"/>
    <s v="HR"/>
    <x v="0"/>
    <s v="Faridabad"/>
    <x v="1"/>
    <s v="P401"/>
    <s v="Running Shoes"/>
    <x v="5"/>
    <n v="2"/>
    <n v="2999"/>
    <n v="0.35"/>
    <n v="5998"/>
    <n v="2099.2999999999997"/>
    <n v="3898.7000000000003"/>
    <n v="1440"/>
    <n v="2880"/>
    <n v="120"/>
    <n v="898.70000000000027"/>
    <n v="0.23051273501423558"/>
    <x v="0"/>
    <d v="2025-11-15T00:00:00"/>
    <n v="5"/>
    <x v="2"/>
    <m/>
    <n v="1"/>
  </r>
  <r>
    <s v="ORD-104400"/>
    <x v="675"/>
    <x v="1"/>
    <d v="2025-11-01T00:00:00"/>
    <n v="11"/>
    <s v="CUST-00858"/>
    <x v="1"/>
    <x v="6"/>
    <s v="DL"/>
    <x v="0"/>
    <s v="New Delhi"/>
    <x v="3"/>
    <s v="P201"/>
    <s v="Onion Hair Oil"/>
    <x v="6"/>
    <n v="1"/>
    <n v="349"/>
    <n v="0.55000000000000004"/>
    <n v="349"/>
    <n v="191.95000000000002"/>
    <n v="157.04999999999998"/>
    <n v="105"/>
    <n v="105"/>
    <n v="60"/>
    <n v="-7.9500000000000171"/>
    <n v="-5.0620821394460475E-2"/>
    <x v="1"/>
    <d v="2025-11-14T00:00:00"/>
    <n v="4"/>
    <x v="0"/>
    <n v="3"/>
    <n v="0"/>
  </r>
  <r>
    <s v="ORD-104401"/>
    <x v="675"/>
    <x v="1"/>
    <d v="2025-11-01T00:00:00"/>
    <n v="11"/>
    <s v="CUST-00063"/>
    <x v="1"/>
    <x v="6"/>
    <s v="DL"/>
    <x v="0"/>
    <s v="New Delhi"/>
    <x v="2"/>
    <s v="P203"/>
    <s v="Keratin Hair Mask"/>
    <x v="6"/>
    <n v="3"/>
    <n v="549"/>
    <n v="0.3"/>
    <n v="1647"/>
    <n v="494.09999999999997"/>
    <n v="1152.9000000000001"/>
    <n v="170"/>
    <n v="510"/>
    <n v="60"/>
    <n v="582.90000000000009"/>
    <n v="0.50559458756180076"/>
    <x v="3"/>
    <d v="2025-11-12T00:00:00"/>
    <n v="2"/>
    <x v="1"/>
    <n v="5"/>
    <n v="0"/>
  </r>
  <r>
    <s v="ORD-104402"/>
    <x v="675"/>
    <x v="1"/>
    <d v="2025-11-01T00:00:00"/>
    <n v="11"/>
    <s v="CUST-00654"/>
    <x v="1"/>
    <x v="12"/>
    <s v="BR"/>
    <x v="2"/>
    <s v="Patna"/>
    <x v="1"/>
    <s v="P401"/>
    <s v="Running Shoes"/>
    <x v="5"/>
    <n v="1"/>
    <n v="2999"/>
    <n v="0.35"/>
    <n v="2999"/>
    <n v="1049.6499999999999"/>
    <n v="1949.3500000000001"/>
    <n v="1440"/>
    <n v="1440"/>
    <n v="60"/>
    <n v="449.35000000000014"/>
    <n v="0.23051273501423558"/>
    <x v="0"/>
    <d v="2025-11-12T00:00:00"/>
    <n v="2"/>
    <x v="1"/>
    <n v="4"/>
    <n v="0"/>
  </r>
  <r>
    <s v="ORD-104403"/>
    <x v="675"/>
    <x v="1"/>
    <d v="2025-11-01T00:00:00"/>
    <n v="11"/>
    <s v="CUST-00882"/>
    <x v="1"/>
    <x v="12"/>
    <s v="BR"/>
    <x v="2"/>
    <s v="Patna"/>
    <x v="3"/>
    <s v="P101"/>
    <s v="Vitamin C Face Serum"/>
    <x v="3"/>
    <n v="2"/>
    <n v="599"/>
    <n v="0.4"/>
    <n v="1198"/>
    <n v="479.20000000000005"/>
    <n v="718.8"/>
    <n v="180"/>
    <n v="360"/>
    <n v="60"/>
    <n v="298.79999999999995"/>
    <n v="0.4156928213689482"/>
    <x v="0"/>
    <d v="2025-11-15T00:00:00"/>
    <n v="5"/>
    <x v="2"/>
    <n v="3"/>
    <n v="0"/>
  </r>
  <r>
    <s v="ORD-104404"/>
    <x v="675"/>
    <x v="1"/>
    <d v="2025-11-01T00:00:00"/>
    <n v="11"/>
    <s v="CUST-02151"/>
    <x v="1"/>
    <x v="1"/>
    <s v="GJ"/>
    <x v="1"/>
    <s v="Ahmedabad"/>
    <x v="4"/>
    <s v="P503"/>
    <s v="Scented Candle Set"/>
    <x v="4"/>
    <n v="3"/>
    <n v="699"/>
    <n v="0.25"/>
    <n v="2097"/>
    <n v="524.25"/>
    <n v="1572.75"/>
    <n v="245"/>
    <n v="735"/>
    <n v="60"/>
    <n v="777.75"/>
    <n v="0.49451597520267049"/>
    <x v="3"/>
    <d v="2025-11-12T00:00:00"/>
    <n v="2"/>
    <x v="1"/>
    <m/>
    <n v="0"/>
  </r>
  <r>
    <s v="ORD-104405"/>
    <x v="675"/>
    <x v="1"/>
    <d v="2025-11-01T00:00:00"/>
    <n v="11"/>
    <s v="CUST-00380"/>
    <x v="1"/>
    <x v="13"/>
    <s v="MP"/>
    <x v="1"/>
    <s v="Bhopal"/>
    <x v="3"/>
    <s v="P203"/>
    <s v="Keratin Hair Mask"/>
    <x v="6"/>
    <n v="1"/>
    <n v="549"/>
    <n v="0.25"/>
    <n v="549"/>
    <n v="137.25"/>
    <n v="411.75"/>
    <n v="170"/>
    <n v="170"/>
    <n v="60"/>
    <n v="181.75"/>
    <n v="0.44140862173649059"/>
    <x v="0"/>
    <d v="2025-11-17T00:00:00"/>
    <n v="7"/>
    <x v="2"/>
    <n v="3"/>
    <n v="0"/>
  </r>
  <r>
    <s v="ORD-104406"/>
    <x v="675"/>
    <x v="1"/>
    <d v="2025-11-01T00:00:00"/>
    <n v="11"/>
    <s v="CUST-00053"/>
    <x v="1"/>
    <x v="13"/>
    <s v="MP"/>
    <x v="1"/>
    <s v="Indore"/>
    <x v="2"/>
    <s v="P603"/>
    <s v="Smartwatch Strap"/>
    <x v="2"/>
    <n v="1"/>
    <n v="499"/>
    <n v="0.2"/>
    <n v="499"/>
    <n v="99.800000000000011"/>
    <n v="399.2"/>
    <n v="200"/>
    <n v="200"/>
    <n v="60"/>
    <n v="139.19999999999999"/>
    <n v="0.34869739478957912"/>
    <x v="0"/>
    <d v="2025-11-16T00:00:00"/>
    <n v="6"/>
    <x v="2"/>
    <n v="4"/>
    <n v="0"/>
  </r>
  <r>
    <s v="ORD-104407"/>
    <x v="675"/>
    <x v="1"/>
    <d v="2025-11-01T00:00:00"/>
    <n v="11"/>
    <s v="CUST-00918"/>
    <x v="1"/>
    <x v="18"/>
    <s v="WB"/>
    <x v="2"/>
    <s v="Kolkata"/>
    <x v="1"/>
    <s v="P404"/>
    <s v="Flip Flops"/>
    <x v="5"/>
    <n v="2"/>
    <n v="399"/>
    <n v="0.1"/>
    <n v="798"/>
    <n v="79.800000000000011"/>
    <n v="718.2"/>
    <n v="152"/>
    <n v="304"/>
    <n v="120"/>
    <n v="294.20000000000005"/>
    <n v="0.40963519910888335"/>
    <x v="2"/>
    <d v="2025-11-14T00:00:00"/>
    <n v="4"/>
    <x v="0"/>
    <m/>
    <n v="1"/>
  </r>
  <r>
    <s v="ORD-104408"/>
    <x v="675"/>
    <x v="1"/>
    <d v="2025-11-01T00:00:00"/>
    <n v="11"/>
    <s v="CUST-01524"/>
    <x v="0"/>
    <x v="18"/>
    <s v="WB"/>
    <x v="2"/>
    <s v="Kolkata"/>
    <x v="2"/>
    <s v="P101"/>
    <s v="Vitamin C Face Serum"/>
    <x v="3"/>
    <n v="2"/>
    <n v="599"/>
    <n v="0.3"/>
    <n v="1198"/>
    <n v="359.4"/>
    <n v="838.6"/>
    <n v="180"/>
    <n v="360"/>
    <n v="60"/>
    <n v="418.6"/>
    <n v="0.4991652754590985"/>
    <x v="3"/>
    <d v="2025-11-15T00:00:00"/>
    <n v="5"/>
    <x v="2"/>
    <n v="5"/>
    <n v="0"/>
  </r>
  <r>
    <s v="ORD-104409"/>
    <x v="675"/>
    <x v="1"/>
    <d v="2025-11-01T00:00:00"/>
    <n v="11"/>
    <s v="CUST-00766"/>
    <x v="1"/>
    <x v="21"/>
    <s v="TG"/>
    <x v="3"/>
    <s v="Hyderabad"/>
    <x v="2"/>
    <s v="P202"/>
    <s v="Argan Shampoo"/>
    <x v="6"/>
    <n v="1"/>
    <n v="449"/>
    <n v="0.05"/>
    <n v="449"/>
    <n v="22.450000000000003"/>
    <n v="426.55"/>
    <n v="148"/>
    <n v="148"/>
    <n v="60"/>
    <n v="218.55"/>
    <n v="0.51236666275934828"/>
    <x v="0"/>
    <d v="2025-11-12T00:00:00"/>
    <n v="2"/>
    <x v="1"/>
    <m/>
    <n v="0"/>
  </r>
  <r>
    <s v="ORD-104410"/>
    <x v="675"/>
    <x v="1"/>
    <d v="2025-11-01T00:00:00"/>
    <n v="11"/>
    <s v="CUST-00053"/>
    <x v="1"/>
    <x v="11"/>
    <s v="KA"/>
    <x v="3"/>
    <s v="Mysuru"/>
    <x v="3"/>
    <s v="P203"/>
    <s v="Keratin Hair Mask"/>
    <x v="6"/>
    <n v="1"/>
    <n v="549"/>
    <n v="0.35"/>
    <n v="549"/>
    <n v="192.14999999999998"/>
    <n v="356.85"/>
    <n v="170"/>
    <n v="170"/>
    <n v="60"/>
    <n v="126.85000000000002"/>
    <n v="0.35547148661902767"/>
    <x v="0"/>
    <d v="2025-11-12T00:00:00"/>
    <n v="2"/>
    <x v="1"/>
    <n v="4"/>
    <n v="0"/>
  </r>
  <r>
    <s v="ORD-104411"/>
    <x v="675"/>
    <x v="1"/>
    <d v="2025-11-01T00:00:00"/>
    <n v="11"/>
    <s v="CUST-01885"/>
    <x v="1"/>
    <x v="11"/>
    <s v="KA"/>
    <x v="3"/>
    <s v="Mysuru"/>
    <x v="0"/>
    <s v="P101"/>
    <s v="Vitamin C Face Serum"/>
    <x v="3"/>
    <n v="2"/>
    <n v="599"/>
    <n v="0.25"/>
    <n v="1198"/>
    <n v="299.5"/>
    <n v="898.5"/>
    <n v="180"/>
    <n v="360"/>
    <n v="60"/>
    <n v="478.5"/>
    <n v="0.53255425709515858"/>
    <x v="0"/>
    <d v="2025-11-14T00:00:00"/>
    <n v="4"/>
    <x v="0"/>
    <n v="5"/>
    <n v="0"/>
  </r>
  <r>
    <s v="ORD-104412"/>
    <x v="676"/>
    <x v="1"/>
    <d v="2025-11-01T00:00:00"/>
    <n v="11"/>
    <s v="CUST-01074"/>
    <x v="0"/>
    <x v="4"/>
    <s v="JK"/>
    <x v="0"/>
    <s v="Srinagar"/>
    <x v="4"/>
    <s v="P203"/>
    <s v="Keratin Hair Mask"/>
    <x v="6"/>
    <n v="2"/>
    <n v="549"/>
    <n v="0.3"/>
    <n v="1098"/>
    <n v="329.4"/>
    <n v="768.6"/>
    <n v="170"/>
    <n v="340"/>
    <n v="60"/>
    <n v="368.6"/>
    <n v="0.47957325006505336"/>
    <x v="4"/>
    <d v="2025-11-17T00:00:00"/>
    <n v="6"/>
    <x v="2"/>
    <n v="3"/>
    <n v="0"/>
  </r>
  <r>
    <s v="ORD-104413"/>
    <x v="676"/>
    <x v="1"/>
    <d v="2025-11-01T00:00:00"/>
    <n v="11"/>
    <s v="CUST-01022"/>
    <x v="0"/>
    <x v="6"/>
    <s v="DL"/>
    <x v="0"/>
    <s v="New Delhi"/>
    <x v="4"/>
    <s v="P204"/>
    <s v="Anti-Dandruff Conditioner"/>
    <x v="6"/>
    <n v="2"/>
    <n v="399"/>
    <n v="0.35"/>
    <n v="798"/>
    <n v="279.29999999999995"/>
    <n v="518.70000000000005"/>
    <n v="136"/>
    <n v="272"/>
    <n v="60"/>
    <n v="186.70000000000005"/>
    <n v="0.35993830730672843"/>
    <x v="0"/>
    <d v="2025-11-13T00:00:00"/>
    <n v="2"/>
    <x v="1"/>
    <n v="4"/>
    <n v="0"/>
  </r>
  <r>
    <s v="ORD-104414"/>
    <x v="676"/>
    <x v="1"/>
    <d v="2025-11-01T00:00:00"/>
    <n v="11"/>
    <s v="CUST-01524"/>
    <x v="1"/>
    <x v="16"/>
    <s v="UP"/>
    <x v="0"/>
    <s v="Noida"/>
    <x v="2"/>
    <s v="P301"/>
    <s v="Cotton Oversized T-Shirt"/>
    <x v="1"/>
    <n v="1"/>
    <n v="799"/>
    <n v="0.1"/>
    <n v="799"/>
    <n v="79.900000000000006"/>
    <n v="719.1"/>
    <n v="320"/>
    <n v="320"/>
    <n v="60"/>
    <n v="339.1"/>
    <n v="0.47156167431511614"/>
    <x v="0"/>
    <d v="2025-11-17T00:00:00"/>
    <n v="6"/>
    <x v="2"/>
    <m/>
    <n v="0"/>
  </r>
  <r>
    <s v="ORD-104415"/>
    <x v="676"/>
    <x v="1"/>
    <d v="2025-11-01T00:00:00"/>
    <n v="11"/>
    <s v="CUST-01325"/>
    <x v="1"/>
    <x v="1"/>
    <s v="GJ"/>
    <x v="1"/>
    <s v="Ahmedabad"/>
    <x v="1"/>
    <s v="P403"/>
    <s v="Kolhapuri Sandals"/>
    <x v="5"/>
    <n v="1"/>
    <n v="999"/>
    <n v="0.25"/>
    <n v="999"/>
    <n v="249.75"/>
    <n v="749.25"/>
    <n v="400"/>
    <n v="400"/>
    <n v="60"/>
    <n v="289.25"/>
    <n v="0.38605271938605273"/>
    <x v="3"/>
    <d v="2025-11-15T00:00:00"/>
    <n v="4"/>
    <x v="0"/>
    <n v="3"/>
    <n v="0"/>
  </r>
  <r>
    <s v="ORD-104416"/>
    <x v="676"/>
    <x v="1"/>
    <d v="2025-11-01T00:00:00"/>
    <n v="11"/>
    <s v="CUST-02596"/>
    <x v="1"/>
    <x v="1"/>
    <s v="GJ"/>
    <x v="1"/>
    <s v="Ahmedabad"/>
    <x v="2"/>
    <s v="P201"/>
    <s v="Onion Hair Oil"/>
    <x v="6"/>
    <n v="1"/>
    <n v="349"/>
    <n v="0.45"/>
    <n v="349"/>
    <n v="157.05000000000001"/>
    <n v="191.95"/>
    <n v="105"/>
    <n v="105"/>
    <n v="60"/>
    <n v="26.949999999999989"/>
    <n v="0.1404011461318051"/>
    <x v="0"/>
    <d v="2025-11-17T00:00:00"/>
    <n v="6"/>
    <x v="2"/>
    <n v="3"/>
    <n v="0"/>
  </r>
  <r>
    <s v="ORD-104417"/>
    <x v="676"/>
    <x v="1"/>
    <d v="2025-11-01T00:00:00"/>
    <n v="11"/>
    <s v="CUST-01716"/>
    <x v="0"/>
    <x v="18"/>
    <s v="WB"/>
    <x v="2"/>
    <s v="Kolkata"/>
    <x v="0"/>
    <s v="P703"/>
    <s v="Green Tea (100 bags)"/>
    <x v="0"/>
    <n v="2"/>
    <n v="399"/>
    <n v="0.55000000000000004"/>
    <n v="798"/>
    <n v="438.90000000000003"/>
    <n v="359.09999999999997"/>
    <n v="128"/>
    <n v="256"/>
    <n v="60"/>
    <n v="43.099999999999966"/>
    <n v="0.12002227791701467"/>
    <x v="3"/>
    <d v="2025-11-15T00:00:00"/>
    <n v="4"/>
    <x v="0"/>
    <m/>
    <n v="0"/>
  </r>
  <r>
    <s v="ORD-104418"/>
    <x v="676"/>
    <x v="1"/>
    <d v="2025-11-01T00:00:00"/>
    <n v="11"/>
    <s v="CUST-01054"/>
    <x v="1"/>
    <x v="2"/>
    <s v="MH"/>
    <x v="1"/>
    <s v="Pune"/>
    <x v="0"/>
    <s v="P101"/>
    <s v="Vitamin C Face Serum"/>
    <x v="3"/>
    <n v="1"/>
    <n v="599"/>
    <n v="0.3"/>
    <n v="599"/>
    <n v="179.7"/>
    <n v="419.3"/>
    <n v="180"/>
    <n v="180"/>
    <n v="60"/>
    <n v="179.3"/>
    <n v="0.42761745766754117"/>
    <x v="0"/>
    <d v="2025-11-13T00:00:00"/>
    <n v="2"/>
    <x v="1"/>
    <m/>
    <n v="0"/>
  </r>
  <r>
    <s v="ORD-104419"/>
    <x v="676"/>
    <x v="1"/>
    <d v="2025-11-01T00:00:00"/>
    <n v="11"/>
    <s v="CUST-02886"/>
    <x v="1"/>
    <x v="2"/>
    <s v="MH"/>
    <x v="1"/>
    <s v="Nagpur"/>
    <x v="0"/>
    <s v="P404"/>
    <s v="Flip Flops"/>
    <x v="5"/>
    <n v="1"/>
    <n v="399"/>
    <n v="0.3"/>
    <n v="399"/>
    <n v="119.69999999999999"/>
    <n v="279.3"/>
    <n v="152"/>
    <n v="152"/>
    <n v="120"/>
    <n v="7.3000000000000114"/>
    <n v="2.6136770497672792E-2"/>
    <x v="0"/>
    <d v="2025-11-14T00:00:00"/>
    <n v="3"/>
    <x v="0"/>
    <n v="4"/>
    <n v="1"/>
  </r>
  <r>
    <s v="ORD-104420"/>
    <x v="676"/>
    <x v="1"/>
    <d v="2025-11-01T00:00:00"/>
    <n v="11"/>
    <s v="CUST-00312"/>
    <x v="1"/>
    <x v="11"/>
    <s v="KA"/>
    <x v="3"/>
    <s v="Bengaluru"/>
    <x v="2"/>
    <s v="P701"/>
    <s v="Ashwagandha Capsules"/>
    <x v="0"/>
    <n v="1"/>
    <n v="499"/>
    <n v="0.05"/>
    <n v="499"/>
    <n v="24.950000000000003"/>
    <n v="474.05"/>
    <n v="150"/>
    <n v="150"/>
    <n v="60"/>
    <n v="264.05"/>
    <n v="0.55700875435080688"/>
    <x v="3"/>
    <d v="2025-11-14T00:00:00"/>
    <n v="3"/>
    <x v="0"/>
    <n v="5"/>
    <n v="0"/>
  </r>
  <r>
    <s v="ORD-104421"/>
    <x v="676"/>
    <x v="1"/>
    <d v="2025-11-01T00:00:00"/>
    <n v="11"/>
    <s v="CUST-00486"/>
    <x v="1"/>
    <x v="8"/>
    <s v="AP"/>
    <x v="3"/>
    <s v="Visakhapatnam"/>
    <x v="4"/>
    <s v="P204"/>
    <s v="Anti-Dandruff Conditioner"/>
    <x v="6"/>
    <n v="1"/>
    <n v="399"/>
    <n v="0.6"/>
    <n v="399"/>
    <n v="239.39999999999998"/>
    <n v="159.60000000000002"/>
    <n v="136"/>
    <n v="136"/>
    <n v="60"/>
    <n v="-36.399999999999977"/>
    <n v="-0.22807017543859631"/>
    <x v="0"/>
    <d v="2025-11-15T00:00:00"/>
    <n v="4"/>
    <x v="0"/>
    <n v="4"/>
    <n v="0"/>
  </r>
  <r>
    <s v="ORD-104422"/>
    <x v="676"/>
    <x v="1"/>
    <d v="2025-11-01T00:00:00"/>
    <n v="11"/>
    <s v="CUST-02921"/>
    <x v="0"/>
    <x v="14"/>
    <s v="KL"/>
    <x v="3"/>
    <s v="Kochi"/>
    <x v="0"/>
    <s v="P302"/>
    <s v="Linen Kurta"/>
    <x v="1"/>
    <n v="2"/>
    <n v="1499"/>
    <n v="0.5"/>
    <n v="2998"/>
    <n v="1499"/>
    <n v="1499"/>
    <n v="630"/>
    <n v="1260"/>
    <n v="60"/>
    <n v="179"/>
    <n v="0.11941294196130754"/>
    <x v="0"/>
    <d v="2025-11-13T00:00:00"/>
    <n v="2"/>
    <x v="1"/>
    <n v="3"/>
    <n v="0"/>
  </r>
  <r>
    <s v="ORD-104423"/>
    <x v="676"/>
    <x v="1"/>
    <d v="2025-11-01T00:00:00"/>
    <n v="11"/>
    <s v="CUST-00443"/>
    <x v="1"/>
    <x v="14"/>
    <s v="KL"/>
    <x v="3"/>
    <s v="Kochi"/>
    <x v="0"/>
    <s v="P601"/>
    <s v="Wireless Earbuds"/>
    <x v="2"/>
    <n v="2"/>
    <n v="1999"/>
    <n v="0.5"/>
    <n v="3998"/>
    <n v="1999"/>
    <n v="1999"/>
    <n v="1239"/>
    <n v="2478"/>
    <n v="60"/>
    <n v="-539"/>
    <n v="-0.26963481740870437"/>
    <x v="0"/>
    <d v="2025-11-15T00:00:00"/>
    <n v="4"/>
    <x v="0"/>
    <m/>
    <n v="0"/>
  </r>
  <r>
    <s v="ORD-104424"/>
    <x v="676"/>
    <x v="1"/>
    <d v="2025-11-01T00:00:00"/>
    <n v="11"/>
    <s v="CUST-01127"/>
    <x v="1"/>
    <x v="17"/>
    <s v="TN"/>
    <x v="3"/>
    <s v="Coimbatore"/>
    <x v="2"/>
    <s v="P101"/>
    <s v="Vitamin C Face Serum"/>
    <x v="3"/>
    <n v="1"/>
    <n v="599"/>
    <n v="0.4"/>
    <n v="599"/>
    <n v="239.60000000000002"/>
    <n v="359.4"/>
    <n v="180"/>
    <n v="180"/>
    <n v="60"/>
    <n v="119.39999999999998"/>
    <n v="0.33222036727879795"/>
    <x v="0"/>
    <d v="2025-11-14T00:00:00"/>
    <n v="3"/>
    <x v="0"/>
    <n v="4"/>
    <n v="0"/>
  </r>
  <r>
    <s v="ORD-104425"/>
    <x v="676"/>
    <x v="1"/>
    <d v="2025-11-01T00:00:00"/>
    <n v="11"/>
    <s v="CUST-00467"/>
    <x v="1"/>
    <x v="17"/>
    <s v="TN"/>
    <x v="3"/>
    <s v="Coimbatore"/>
    <x v="2"/>
    <s v="P104"/>
    <s v="Hydrating Face Wash"/>
    <x v="3"/>
    <n v="3"/>
    <n v="299"/>
    <n v="0.1"/>
    <n v="897"/>
    <n v="89.7"/>
    <n v="807.3"/>
    <n v="90"/>
    <n v="270"/>
    <n v="60"/>
    <n v="477.29999999999995"/>
    <n v="0.59123002601263464"/>
    <x v="1"/>
    <d v="2025-11-16T00:00:00"/>
    <n v="5"/>
    <x v="2"/>
    <n v="3"/>
    <n v="0"/>
  </r>
  <r>
    <s v="ORD-104426"/>
    <x v="677"/>
    <x v="1"/>
    <d v="2025-11-01T00:00:00"/>
    <n v="11"/>
    <s v="CUST-01563"/>
    <x v="1"/>
    <x v="19"/>
    <s v="PB"/>
    <x v="0"/>
    <s v="Ludhiana"/>
    <x v="4"/>
    <s v="P302"/>
    <s v="Linen Kurta"/>
    <x v="1"/>
    <n v="1"/>
    <n v="1499"/>
    <n v="0.45"/>
    <n v="1499"/>
    <n v="674.55000000000007"/>
    <n v="824.44999999999993"/>
    <n v="630"/>
    <n v="630"/>
    <n v="60"/>
    <n v="134.44999999999993"/>
    <n v="0.16307841591363934"/>
    <x v="1"/>
    <d v="2025-11-16T00:00:00"/>
    <n v="4"/>
    <x v="0"/>
    <n v="4"/>
    <n v="0"/>
  </r>
  <r>
    <s v="ORD-104427"/>
    <x v="677"/>
    <x v="1"/>
    <d v="2025-11-01T00:00:00"/>
    <n v="11"/>
    <s v="CUST-00278"/>
    <x v="1"/>
    <x v="5"/>
    <s v="HP"/>
    <x v="0"/>
    <s v="Shimla"/>
    <x v="1"/>
    <s v="P301"/>
    <s v="Cotton Oversized T-Shirt"/>
    <x v="1"/>
    <n v="1"/>
    <n v="799"/>
    <n v="0.05"/>
    <n v="799"/>
    <n v="39.950000000000003"/>
    <n v="759.05"/>
    <n v="320"/>
    <n v="320"/>
    <n v="60"/>
    <n v="379.04999999999995"/>
    <n v="0.49937421777221525"/>
    <x v="0"/>
    <d v="2025-11-17T00:00:00"/>
    <n v="5"/>
    <x v="2"/>
    <n v="3"/>
    <n v="0"/>
  </r>
  <r>
    <s v="ORD-104428"/>
    <x v="677"/>
    <x v="1"/>
    <d v="2025-11-01T00:00:00"/>
    <n v="11"/>
    <s v="CUST-01495"/>
    <x v="1"/>
    <x v="15"/>
    <s v="HR"/>
    <x v="0"/>
    <s v="Faridabad"/>
    <x v="3"/>
    <s v="P703"/>
    <s v="Green Tea (100 bags)"/>
    <x v="0"/>
    <n v="1"/>
    <n v="399"/>
    <n v="0.4"/>
    <n v="399"/>
    <n v="159.60000000000002"/>
    <n v="239.39999999999998"/>
    <n v="128"/>
    <n v="128"/>
    <n v="60"/>
    <n v="51.399999999999977"/>
    <n v="0.21470342522974095"/>
    <x v="0"/>
    <d v="2025-11-15T00:00:00"/>
    <n v="3"/>
    <x v="0"/>
    <n v="4"/>
    <n v="0"/>
  </r>
  <r>
    <s v="ORD-104429"/>
    <x v="677"/>
    <x v="1"/>
    <d v="2025-11-01T00:00:00"/>
    <n v="11"/>
    <s v="CUST-01121"/>
    <x v="1"/>
    <x v="16"/>
    <s v="UP"/>
    <x v="0"/>
    <s v="Noida"/>
    <x v="4"/>
    <s v="P203"/>
    <s v="Keratin Hair Mask"/>
    <x v="6"/>
    <n v="1"/>
    <n v="549"/>
    <n v="0.15"/>
    <n v="549"/>
    <n v="82.35"/>
    <n v="466.65"/>
    <n v="170"/>
    <n v="170"/>
    <n v="60"/>
    <n v="236.64999999999998"/>
    <n v="0.50712525447337398"/>
    <x v="4"/>
    <d v="2025-11-14T00:00:00"/>
    <n v="2"/>
    <x v="1"/>
    <n v="5"/>
    <n v="0"/>
  </r>
  <r>
    <s v="ORD-104430"/>
    <x v="677"/>
    <x v="1"/>
    <d v="2025-11-01T00:00:00"/>
    <n v="11"/>
    <s v="CUST-00988"/>
    <x v="1"/>
    <x v="18"/>
    <s v="WB"/>
    <x v="2"/>
    <s v="Kolkata"/>
    <x v="4"/>
    <s v="P304"/>
    <s v="Denim Jacket"/>
    <x v="1"/>
    <n v="1"/>
    <n v="2499"/>
    <n v="0.1"/>
    <n v="2499"/>
    <n v="249.9"/>
    <n v="2249.1"/>
    <n v="1125"/>
    <n v="1125"/>
    <n v="120"/>
    <n v="1004.0999999999999"/>
    <n v="0.44644524476457248"/>
    <x v="0"/>
    <d v="2025-11-17T00:00:00"/>
    <n v="5"/>
    <x v="2"/>
    <n v="3"/>
    <n v="1"/>
  </r>
  <r>
    <s v="ORD-104431"/>
    <x v="677"/>
    <x v="1"/>
    <d v="2025-11-01T00:00:00"/>
    <n v="11"/>
    <s v="CUST-00546"/>
    <x v="1"/>
    <x v="2"/>
    <s v="MH"/>
    <x v="1"/>
    <s v="Pune"/>
    <x v="1"/>
    <s v="P301"/>
    <s v="Cotton Oversized T-Shirt"/>
    <x v="1"/>
    <n v="2"/>
    <n v="799"/>
    <n v="0.05"/>
    <n v="1598"/>
    <n v="79.900000000000006"/>
    <n v="1518.1"/>
    <n v="320"/>
    <n v="640"/>
    <n v="60"/>
    <n v="818.09999999999991"/>
    <n v="0.5388973058428298"/>
    <x v="0"/>
    <d v="2025-11-15T00:00:00"/>
    <n v="3"/>
    <x v="0"/>
    <n v="3"/>
    <n v="0"/>
  </r>
  <r>
    <s v="ORD-104432"/>
    <x v="677"/>
    <x v="1"/>
    <d v="2025-11-01T00:00:00"/>
    <n v="11"/>
    <s v="CUST-02351"/>
    <x v="0"/>
    <x v="21"/>
    <s v="TG"/>
    <x v="3"/>
    <s v="Hyderabad"/>
    <x v="0"/>
    <s v="P201"/>
    <s v="Onion Hair Oil"/>
    <x v="6"/>
    <n v="1"/>
    <n v="349"/>
    <n v="0.5"/>
    <n v="349"/>
    <n v="174.5"/>
    <n v="174.5"/>
    <n v="105"/>
    <n v="105"/>
    <n v="120"/>
    <n v="-50.5"/>
    <n v="-0.28939828080229224"/>
    <x v="0"/>
    <d v="2025-11-14T00:00:00"/>
    <n v="2"/>
    <x v="1"/>
    <n v="4"/>
    <n v="1"/>
  </r>
  <r>
    <s v="ORD-104433"/>
    <x v="677"/>
    <x v="1"/>
    <d v="2025-11-01T00:00:00"/>
    <n v="11"/>
    <s v="CUST-02089"/>
    <x v="0"/>
    <x v="17"/>
    <s v="TN"/>
    <x v="3"/>
    <s v="Chennai"/>
    <x v="1"/>
    <s v="P404"/>
    <s v="Flip Flops"/>
    <x v="5"/>
    <n v="2"/>
    <n v="399"/>
    <n v="0.2"/>
    <n v="798"/>
    <n v="159.60000000000002"/>
    <n v="638.4"/>
    <n v="152"/>
    <n v="304"/>
    <n v="120"/>
    <n v="214.39999999999998"/>
    <n v="0.33583959899749372"/>
    <x v="0"/>
    <d v="2025-11-15T00:00:00"/>
    <n v="3"/>
    <x v="0"/>
    <m/>
    <n v="1"/>
  </r>
  <r>
    <s v="ORD-104434"/>
    <x v="677"/>
    <x v="1"/>
    <d v="2025-11-01T00:00:00"/>
    <n v="11"/>
    <s v="CUST-01260"/>
    <x v="1"/>
    <x v="17"/>
    <s v="TN"/>
    <x v="3"/>
    <s v="Chennai"/>
    <x v="2"/>
    <s v="P305"/>
    <s v="Printed Saree"/>
    <x v="1"/>
    <n v="1"/>
    <n v="1999"/>
    <n v="0.15"/>
    <n v="1999"/>
    <n v="299.84999999999997"/>
    <n v="1699.15"/>
    <n v="880"/>
    <n v="880"/>
    <n v="60"/>
    <n v="759.15000000000009"/>
    <n v="0.44678221463673018"/>
    <x v="1"/>
    <d v="2025-11-14T00:00:00"/>
    <n v="2"/>
    <x v="1"/>
    <n v="4"/>
    <n v="0"/>
  </r>
  <r>
    <s v="ORD-104435"/>
    <x v="677"/>
    <x v="1"/>
    <d v="2025-11-01T00:00:00"/>
    <n v="11"/>
    <s v="CUST-01988"/>
    <x v="0"/>
    <x v="17"/>
    <s v="TN"/>
    <x v="3"/>
    <s v="Coimbatore"/>
    <x v="3"/>
    <s v="P104"/>
    <s v="Hydrating Face Wash"/>
    <x v="3"/>
    <n v="1"/>
    <n v="299"/>
    <n v="0.05"/>
    <n v="299"/>
    <n v="14.950000000000001"/>
    <n v="284.05"/>
    <n v="90"/>
    <n v="90"/>
    <n v="60"/>
    <n v="134.05000000000001"/>
    <n v="0.47192395704981521"/>
    <x v="0"/>
    <d v="2025-11-16T00:00:00"/>
    <n v="4"/>
    <x v="0"/>
    <m/>
    <n v="0"/>
  </r>
  <r>
    <s v="ORD-104436"/>
    <x v="678"/>
    <x v="1"/>
    <d v="2025-11-01T00:00:00"/>
    <n v="11"/>
    <s v="CUST-00885"/>
    <x v="1"/>
    <x v="4"/>
    <s v="JK"/>
    <x v="0"/>
    <s v="Srinagar"/>
    <x v="0"/>
    <s v="P601"/>
    <s v="Wireless Earbuds"/>
    <x v="2"/>
    <n v="2"/>
    <n v="1999"/>
    <n v="0.55000000000000004"/>
    <n v="3998"/>
    <n v="2198.9"/>
    <n v="1799.1"/>
    <n v="1239"/>
    <n v="2478"/>
    <n v="60"/>
    <n v="-738.90000000000009"/>
    <n v="-0.41070535267633823"/>
    <x v="0"/>
    <d v="2025-11-21T00:00:00"/>
    <n v="8"/>
    <x v="2"/>
    <n v="2"/>
    <n v="0"/>
  </r>
  <r>
    <s v="ORD-104437"/>
    <x v="678"/>
    <x v="1"/>
    <d v="2025-11-01T00:00:00"/>
    <n v="11"/>
    <s v="CUST-00066"/>
    <x v="1"/>
    <x v="0"/>
    <s v="RJ"/>
    <x v="0"/>
    <s v="Jaipur"/>
    <x v="0"/>
    <s v="P101"/>
    <s v="Vitamin C Face Serum"/>
    <x v="3"/>
    <n v="2"/>
    <n v="599"/>
    <n v="0.3"/>
    <n v="1198"/>
    <n v="359.4"/>
    <n v="838.6"/>
    <n v="180"/>
    <n v="360"/>
    <n v="60"/>
    <n v="418.6"/>
    <n v="0.4991652754590985"/>
    <x v="0"/>
    <d v="2025-11-17T00:00:00"/>
    <n v="4"/>
    <x v="0"/>
    <m/>
    <n v="0"/>
  </r>
  <r>
    <s v="ORD-104438"/>
    <x v="678"/>
    <x v="1"/>
    <d v="2025-11-01T00:00:00"/>
    <n v="11"/>
    <s v="CUST-00775"/>
    <x v="1"/>
    <x v="6"/>
    <s v="DL"/>
    <x v="0"/>
    <s v="New Delhi"/>
    <x v="0"/>
    <s v="P201"/>
    <s v="Onion Hair Oil"/>
    <x v="6"/>
    <n v="1"/>
    <n v="349"/>
    <n v="0.35"/>
    <n v="349"/>
    <n v="122.14999999999999"/>
    <n v="226.85000000000002"/>
    <n v="105"/>
    <n v="105"/>
    <n v="60"/>
    <n v="61.850000000000023"/>
    <n v="0.27264712364998905"/>
    <x v="1"/>
    <d v="2025-11-16T00:00:00"/>
    <n v="3"/>
    <x v="0"/>
    <m/>
    <n v="0"/>
  </r>
  <r>
    <s v="ORD-104439"/>
    <x v="678"/>
    <x v="1"/>
    <d v="2025-11-01T00:00:00"/>
    <n v="11"/>
    <s v="CUST-00466"/>
    <x v="1"/>
    <x v="13"/>
    <s v="MP"/>
    <x v="1"/>
    <s v="Bhopal"/>
    <x v="2"/>
    <s v="P403"/>
    <s v="Kolhapuri Sandals"/>
    <x v="5"/>
    <n v="1"/>
    <n v="999"/>
    <n v="0.25"/>
    <n v="999"/>
    <n v="249.75"/>
    <n v="749.25"/>
    <n v="400"/>
    <n v="400"/>
    <n v="60"/>
    <n v="289.25"/>
    <n v="0.38605271938605273"/>
    <x v="0"/>
    <d v="2025-11-18T00:00:00"/>
    <n v="5"/>
    <x v="2"/>
    <n v="4"/>
    <n v="0"/>
  </r>
  <r>
    <s v="ORD-104440"/>
    <x v="678"/>
    <x v="1"/>
    <d v="2025-11-01T00:00:00"/>
    <n v="11"/>
    <s v="CUST-03027"/>
    <x v="0"/>
    <x v="13"/>
    <s v="MP"/>
    <x v="1"/>
    <s v="Indore"/>
    <x v="0"/>
    <s v="P102"/>
    <s v="Sunscreen SPF 50"/>
    <x v="3"/>
    <n v="3"/>
    <n v="449"/>
    <n v="0.2"/>
    <n v="1347"/>
    <n v="269.40000000000003"/>
    <n v="1077.5999999999999"/>
    <n v="144"/>
    <n v="432"/>
    <n v="60"/>
    <n v="585.59999999999991"/>
    <n v="0.54342984409799555"/>
    <x v="0"/>
    <d v="2025-11-21T00:00:00"/>
    <n v="8"/>
    <x v="2"/>
    <n v="3"/>
    <n v="0"/>
  </r>
  <r>
    <s v="ORD-104441"/>
    <x v="678"/>
    <x v="1"/>
    <d v="2025-11-01T00:00:00"/>
    <n v="11"/>
    <s v="CUST-02685"/>
    <x v="1"/>
    <x v="21"/>
    <s v="TG"/>
    <x v="3"/>
    <s v="Hyderabad"/>
    <x v="0"/>
    <s v="P201"/>
    <s v="Onion Hair Oil"/>
    <x v="6"/>
    <n v="2"/>
    <n v="349"/>
    <n v="0.45"/>
    <n v="698"/>
    <n v="314.10000000000002"/>
    <n v="383.9"/>
    <n v="105"/>
    <n v="210"/>
    <n v="60"/>
    <n v="113.89999999999998"/>
    <n v="0.29669184683511329"/>
    <x v="1"/>
    <d v="2025-11-15T00:00:00"/>
    <n v="2"/>
    <x v="1"/>
    <n v="4"/>
    <n v="0"/>
  </r>
  <r>
    <s v="ORD-104442"/>
    <x v="678"/>
    <x v="1"/>
    <d v="2025-11-01T00:00:00"/>
    <n v="11"/>
    <s v="CUST-00896"/>
    <x v="1"/>
    <x v="21"/>
    <s v="TG"/>
    <x v="3"/>
    <s v="Hyderabad"/>
    <x v="4"/>
    <s v="P504"/>
    <s v="Cotton Bedsheet"/>
    <x v="4"/>
    <n v="1"/>
    <n v="1299"/>
    <n v="0.1"/>
    <n v="1299"/>
    <n v="129.9"/>
    <n v="1169.0999999999999"/>
    <n v="585"/>
    <n v="585"/>
    <n v="60"/>
    <n v="524.09999999999991"/>
    <n v="0.44829355914806257"/>
    <x v="3"/>
    <d v="2025-11-16T00:00:00"/>
    <n v="3"/>
    <x v="0"/>
    <n v="5"/>
    <n v="0"/>
  </r>
  <r>
    <s v="ORD-104443"/>
    <x v="678"/>
    <x v="1"/>
    <d v="2025-11-01T00:00:00"/>
    <n v="11"/>
    <s v="CUST-00830"/>
    <x v="1"/>
    <x v="11"/>
    <s v="KA"/>
    <x v="3"/>
    <s v="Mysuru"/>
    <x v="0"/>
    <s v="P502"/>
    <s v="Ceramic Dinner Set"/>
    <x v="4"/>
    <n v="2"/>
    <n v="2499"/>
    <n v="0.4"/>
    <n v="4998"/>
    <n v="1999.2"/>
    <n v="2998.8"/>
    <n v="1250"/>
    <n v="2500"/>
    <n v="60"/>
    <n v="438.80000000000018"/>
    <n v="0.14632519674536487"/>
    <x v="2"/>
    <d v="2025-11-15T00:00:00"/>
    <n v="2"/>
    <x v="1"/>
    <n v="3"/>
    <n v="0"/>
  </r>
  <r>
    <s v="ORD-104444"/>
    <x v="678"/>
    <x v="1"/>
    <d v="2025-11-01T00:00:00"/>
    <n v="11"/>
    <s v="CUST-01425"/>
    <x v="0"/>
    <x v="8"/>
    <s v="AP"/>
    <x v="3"/>
    <s v="Vijayawada"/>
    <x v="2"/>
    <s v="P504"/>
    <s v="Cotton Bedsheet"/>
    <x v="4"/>
    <n v="2"/>
    <n v="1299"/>
    <n v="0.05"/>
    <n v="2598"/>
    <n v="129.9"/>
    <n v="2468.1"/>
    <n v="585"/>
    <n v="1170"/>
    <n v="60"/>
    <n v="1238.0999999999999"/>
    <n v="0.50164093837364776"/>
    <x v="1"/>
    <d v="2025-11-18T00:00:00"/>
    <n v="5"/>
    <x v="2"/>
    <n v="3"/>
    <n v="0"/>
  </r>
  <r>
    <s v="ORD-104445"/>
    <x v="678"/>
    <x v="1"/>
    <d v="2025-11-01T00:00:00"/>
    <n v="11"/>
    <s v="CUST-01576"/>
    <x v="0"/>
    <x v="14"/>
    <s v="KL"/>
    <x v="3"/>
    <s v="Thiruvananthapuram"/>
    <x v="4"/>
    <s v="P302"/>
    <s v="Linen Kurta"/>
    <x v="1"/>
    <n v="2"/>
    <n v="1499"/>
    <n v="0.5"/>
    <n v="2998"/>
    <n v="1499"/>
    <n v="1499"/>
    <n v="630"/>
    <n v="1260"/>
    <n v="60"/>
    <n v="179"/>
    <n v="0.11941294196130754"/>
    <x v="0"/>
    <d v="2025-11-18T00:00:00"/>
    <n v="5"/>
    <x v="2"/>
    <m/>
    <n v="0"/>
  </r>
  <r>
    <s v="ORD-104446"/>
    <x v="678"/>
    <x v="1"/>
    <d v="2025-11-01T00:00:00"/>
    <n v="11"/>
    <s v="CUST-00296"/>
    <x v="0"/>
    <x v="17"/>
    <s v="TN"/>
    <x v="3"/>
    <s v="Chennai"/>
    <x v="4"/>
    <s v="P701"/>
    <s v="Ashwagandha Capsules"/>
    <x v="0"/>
    <n v="1"/>
    <n v="499"/>
    <n v="0.2"/>
    <n v="499"/>
    <n v="99.800000000000011"/>
    <n v="399.2"/>
    <n v="150"/>
    <n v="150"/>
    <n v="60"/>
    <n v="189.2"/>
    <n v="0.47394789579158314"/>
    <x v="0"/>
    <d v="2025-11-16T00:00:00"/>
    <n v="3"/>
    <x v="0"/>
    <n v="4"/>
    <n v="0"/>
  </r>
  <r>
    <s v="ORD-104447"/>
    <x v="679"/>
    <x v="1"/>
    <d v="2025-11-01T00:00:00"/>
    <n v="11"/>
    <s v="CUST-00943"/>
    <x v="1"/>
    <x v="6"/>
    <s v="DL"/>
    <x v="0"/>
    <s v="New Delhi"/>
    <x v="0"/>
    <s v="P602"/>
    <s v="Fast Charger 33W"/>
    <x v="2"/>
    <n v="1"/>
    <n v="899"/>
    <n v="0.15"/>
    <n v="899"/>
    <n v="134.85"/>
    <n v="764.15"/>
    <n v="494"/>
    <n v="494"/>
    <n v="60"/>
    <n v="210.14999999999998"/>
    <n v="0.27501145063142052"/>
    <x v="0"/>
    <d v="2025-11-17T00:00:00"/>
    <n v="3"/>
    <x v="0"/>
    <n v="4"/>
    <n v="0"/>
  </r>
  <r>
    <s v="ORD-104448"/>
    <x v="679"/>
    <x v="1"/>
    <d v="2025-11-01T00:00:00"/>
    <n v="11"/>
    <s v="CUST-00315"/>
    <x v="1"/>
    <x v="1"/>
    <s v="GJ"/>
    <x v="1"/>
    <s v="Ahmedabad"/>
    <x v="0"/>
    <s v="P704"/>
    <s v="Multivitamin Gummies"/>
    <x v="0"/>
    <n v="1"/>
    <n v="699"/>
    <n v="0.45"/>
    <n v="699"/>
    <n v="314.55"/>
    <n v="384.45"/>
    <n v="238"/>
    <n v="238"/>
    <n v="60"/>
    <n v="86.449999999999989"/>
    <n v="0.22486669267785145"/>
    <x v="1"/>
    <d v="2025-11-18T00:00:00"/>
    <n v="4"/>
    <x v="0"/>
    <n v="3"/>
    <n v="0"/>
  </r>
  <r>
    <s v="ORD-104449"/>
    <x v="679"/>
    <x v="1"/>
    <d v="2025-11-01T00:00:00"/>
    <n v="11"/>
    <s v="CUST-00467"/>
    <x v="1"/>
    <x v="1"/>
    <s v="GJ"/>
    <x v="1"/>
    <s v="Ahmedabad"/>
    <x v="1"/>
    <s v="P404"/>
    <s v="Flip Flops"/>
    <x v="5"/>
    <n v="1"/>
    <n v="399"/>
    <n v="0.3"/>
    <n v="399"/>
    <n v="119.69999999999999"/>
    <n v="279.3"/>
    <n v="152"/>
    <n v="152"/>
    <n v="60"/>
    <n v="67.300000000000011"/>
    <n v="0.24095954171142145"/>
    <x v="1"/>
    <d v="2025-11-18T00:00:00"/>
    <n v="4"/>
    <x v="0"/>
    <n v="4"/>
    <n v="0"/>
  </r>
  <r>
    <s v="ORD-104450"/>
    <x v="679"/>
    <x v="1"/>
    <d v="2025-11-01T00:00:00"/>
    <n v="11"/>
    <s v="CUST-00666"/>
    <x v="1"/>
    <x v="13"/>
    <s v="MP"/>
    <x v="1"/>
    <s v="Bhopal"/>
    <x v="2"/>
    <s v="P303"/>
    <s v="Joggers"/>
    <x v="1"/>
    <n v="1"/>
    <n v="1199"/>
    <n v="0.15"/>
    <n v="1199"/>
    <n v="179.85"/>
    <n v="1019.15"/>
    <n v="492"/>
    <n v="492"/>
    <n v="60"/>
    <n v="467.15"/>
    <n v="0.45837217288917231"/>
    <x v="1"/>
    <d v="2025-11-19T00:00:00"/>
    <n v="5"/>
    <x v="2"/>
    <n v="4"/>
    <n v="0"/>
  </r>
  <r>
    <s v="ORD-104451"/>
    <x v="679"/>
    <x v="1"/>
    <d v="2025-11-01T00:00:00"/>
    <n v="11"/>
    <s v="CUST-00417"/>
    <x v="1"/>
    <x v="18"/>
    <s v="WB"/>
    <x v="2"/>
    <s v="Kolkata"/>
    <x v="0"/>
    <s v="P105"/>
    <s v="Retinol Night Cream"/>
    <x v="3"/>
    <n v="3"/>
    <n v="799"/>
    <n v="0.15"/>
    <n v="2397"/>
    <n v="359.55"/>
    <n v="2037.45"/>
    <n v="216"/>
    <n v="648"/>
    <n v="60"/>
    <n v="1329.45"/>
    <n v="0.65250680998306709"/>
    <x v="3"/>
    <d v="2025-11-18T00:00:00"/>
    <n v="4"/>
    <x v="0"/>
    <m/>
    <n v="0"/>
  </r>
  <r>
    <s v="ORD-104452"/>
    <x v="679"/>
    <x v="1"/>
    <d v="2025-11-01T00:00:00"/>
    <n v="11"/>
    <s v="CUST-02264"/>
    <x v="0"/>
    <x v="18"/>
    <s v="WB"/>
    <x v="2"/>
    <s v="Kolkata"/>
    <x v="4"/>
    <s v="P404"/>
    <s v="Flip Flops"/>
    <x v="5"/>
    <n v="1"/>
    <n v="399"/>
    <n v="0.15"/>
    <n v="399"/>
    <n v="59.849999999999994"/>
    <n v="339.15"/>
    <n v="152"/>
    <n v="152"/>
    <n v="60"/>
    <n v="127.14999999999998"/>
    <n v="0.37490785787999409"/>
    <x v="0"/>
    <d v="2025-11-17T00:00:00"/>
    <n v="3"/>
    <x v="0"/>
    <m/>
    <n v="0"/>
  </r>
  <r>
    <s v="ORD-104453"/>
    <x v="679"/>
    <x v="1"/>
    <d v="2025-11-01T00:00:00"/>
    <n v="11"/>
    <s v="CUST-01424"/>
    <x v="0"/>
    <x v="21"/>
    <s v="TG"/>
    <x v="3"/>
    <s v="Hyderabad"/>
    <x v="0"/>
    <s v="P101"/>
    <s v="Vitamin C Face Serum"/>
    <x v="3"/>
    <n v="1"/>
    <n v="599"/>
    <n v="0.4"/>
    <n v="599"/>
    <n v="239.60000000000002"/>
    <n v="359.4"/>
    <n v="180"/>
    <n v="180"/>
    <n v="60"/>
    <n v="119.39999999999998"/>
    <n v="0.33222036727879795"/>
    <x v="0"/>
    <d v="2025-11-18T00:00:00"/>
    <n v="4"/>
    <x v="0"/>
    <n v="3"/>
    <n v="0"/>
  </r>
  <r>
    <s v="ORD-104454"/>
    <x v="679"/>
    <x v="1"/>
    <d v="2025-11-01T00:00:00"/>
    <n v="11"/>
    <s v="CUST-00741"/>
    <x v="1"/>
    <x v="11"/>
    <s v="KA"/>
    <x v="3"/>
    <s v="Mysuru"/>
    <x v="4"/>
    <s v="P202"/>
    <s v="Argan Shampoo"/>
    <x v="6"/>
    <n v="1"/>
    <n v="449"/>
    <n v="0.15"/>
    <n v="449"/>
    <n v="67.349999999999994"/>
    <n v="381.65"/>
    <n v="148"/>
    <n v="148"/>
    <n v="60"/>
    <n v="173.64999999999998"/>
    <n v="0.45499803484868334"/>
    <x v="2"/>
    <d v="2025-11-18T00:00:00"/>
    <n v="4"/>
    <x v="0"/>
    <n v="3"/>
    <n v="0"/>
  </r>
  <r>
    <s v="ORD-104455"/>
    <x v="680"/>
    <x v="1"/>
    <d v="2025-11-01T00:00:00"/>
    <n v="11"/>
    <s v="CUST-02499"/>
    <x v="1"/>
    <x v="19"/>
    <s v="PB"/>
    <x v="0"/>
    <s v="Ludhiana"/>
    <x v="2"/>
    <s v="P103"/>
    <s v="Niacinamide Toner"/>
    <x v="3"/>
    <n v="2"/>
    <n v="399"/>
    <n v="0.35"/>
    <n v="798"/>
    <n v="279.29999999999995"/>
    <n v="518.70000000000005"/>
    <n v="112"/>
    <n v="224"/>
    <n v="60"/>
    <n v="234.70000000000005"/>
    <n v="0.45247734721418936"/>
    <x v="0"/>
    <d v="2025-11-20T00:00:00"/>
    <n v="5"/>
    <x v="2"/>
    <n v="4"/>
    <n v="0"/>
  </r>
  <r>
    <s v="ORD-104456"/>
    <x v="680"/>
    <x v="1"/>
    <d v="2025-11-01T00:00:00"/>
    <n v="11"/>
    <s v="CUST-02175"/>
    <x v="0"/>
    <x v="6"/>
    <s v="DL"/>
    <x v="0"/>
    <s v="New Delhi"/>
    <x v="0"/>
    <s v="P301"/>
    <s v="Cotton Oversized T-Shirt"/>
    <x v="1"/>
    <n v="1"/>
    <n v="799"/>
    <n v="0.25"/>
    <n v="799"/>
    <n v="199.75"/>
    <n v="599.25"/>
    <n v="320"/>
    <n v="320"/>
    <n v="120"/>
    <n v="159.25"/>
    <n v="0.26574885273258242"/>
    <x v="4"/>
    <d v="2025-11-16T00:00:00"/>
    <n v="1"/>
    <x v="1"/>
    <n v="4"/>
    <n v="1"/>
  </r>
  <r>
    <s v="ORD-104457"/>
    <x v="680"/>
    <x v="1"/>
    <d v="2025-11-01T00:00:00"/>
    <n v="11"/>
    <s v="CUST-01073"/>
    <x v="1"/>
    <x v="1"/>
    <s v="GJ"/>
    <x v="1"/>
    <s v="Surat"/>
    <x v="3"/>
    <s v="P703"/>
    <s v="Green Tea (100 bags)"/>
    <x v="0"/>
    <n v="1"/>
    <n v="399"/>
    <n v="0.55000000000000004"/>
    <n v="399"/>
    <n v="219.45000000000002"/>
    <n v="179.54999999999998"/>
    <n v="128"/>
    <n v="128"/>
    <n v="60"/>
    <n v="-8.4500000000000171"/>
    <n v="-4.7062099693678743E-2"/>
    <x v="4"/>
    <d v="2025-11-19T00:00:00"/>
    <n v="4"/>
    <x v="0"/>
    <m/>
    <n v="0"/>
  </r>
  <r>
    <s v="ORD-104458"/>
    <x v="680"/>
    <x v="1"/>
    <d v="2025-11-01T00:00:00"/>
    <n v="11"/>
    <s v="CUST-01963"/>
    <x v="1"/>
    <x v="18"/>
    <s v="WB"/>
    <x v="2"/>
    <s v="Kolkata"/>
    <x v="3"/>
    <s v="P703"/>
    <s v="Green Tea (100 bags)"/>
    <x v="0"/>
    <n v="2"/>
    <n v="399"/>
    <n v="0.6"/>
    <n v="798"/>
    <n v="478.79999999999995"/>
    <n v="319.20000000000005"/>
    <n v="128"/>
    <n v="256"/>
    <n v="60"/>
    <n v="3.2000000000000455"/>
    <n v="1.0025062656641746E-2"/>
    <x v="0"/>
    <d v="2025-11-19T00:00:00"/>
    <n v="4"/>
    <x v="0"/>
    <m/>
    <n v="0"/>
  </r>
  <r>
    <s v="ORD-104459"/>
    <x v="680"/>
    <x v="1"/>
    <d v="2025-11-01T00:00:00"/>
    <n v="11"/>
    <s v="CUST-00721"/>
    <x v="1"/>
    <x v="3"/>
    <s v="OD"/>
    <x v="2"/>
    <s v="Bhubaneswar"/>
    <x v="4"/>
    <s v="P204"/>
    <s v="Anti-Dandruff Conditioner"/>
    <x v="6"/>
    <n v="2"/>
    <n v="399"/>
    <n v="0.55000000000000004"/>
    <n v="798"/>
    <n v="438.90000000000003"/>
    <n v="359.09999999999997"/>
    <n v="136"/>
    <n v="272"/>
    <n v="60"/>
    <n v="27.099999999999966"/>
    <n v="7.5466443887496432E-2"/>
    <x v="1"/>
    <d v="2025-11-21T00:00:00"/>
    <n v="6"/>
    <x v="2"/>
    <n v="3"/>
    <n v="0"/>
  </r>
  <r>
    <s v="ORD-104460"/>
    <x v="680"/>
    <x v="1"/>
    <d v="2025-11-01T00:00:00"/>
    <n v="11"/>
    <s v="CUST-00273"/>
    <x v="1"/>
    <x v="11"/>
    <s v="KA"/>
    <x v="3"/>
    <s v="Mysuru"/>
    <x v="0"/>
    <s v="P202"/>
    <s v="Argan Shampoo"/>
    <x v="6"/>
    <n v="1"/>
    <n v="449"/>
    <n v="0.1"/>
    <n v="449"/>
    <n v="44.900000000000006"/>
    <n v="404.1"/>
    <n v="148"/>
    <n v="148"/>
    <n v="60"/>
    <n v="196.10000000000002"/>
    <n v="0.48527592180153428"/>
    <x v="4"/>
    <d v="2025-11-19T00:00:00"/>
    <n v="4"/>
    <x v="0"/>
    <n v="2"/>
    <n v="0"/>
  </r>
  <r>
    <s v="ORD-104461"/>
    <x v="680"/>
    <x v="1"/>
    <d v="2025-11-01T00:00:00"/>
    <n v="11"/>
    <s v="CUST-00118"/>
    <x v="1"/>
    <x v="8"/>
    <s v="AP"/>
    <x v="3"/>
    <s v="Visakhapatnam"/>
    <x v="1"/>
    <s v="P402"/>
    <s v="Casual Sneakers"/>
    <x v="5"/>
    <n v="3"/>
    <n v="2199"/>
    <n v="0.3"/>
    <n v="6597"/>
    <n v="1979.1"/>
    <n v="4617.8999999999996"/>
    <n v="1034"/>
    <n v="3102"/>
    <n v="60"/>
    <n v="1455.8999999999996"/>
    <n v="0.31527317611901506"/>
    <x v="1"/>
    <d v="2025-11-17T00:00:00"/>
    <n v="2"/>
    <x v="1"/>
    <m/>
    <n v="0"/>
  </r>
  <r>
    <s v="ORD-104462"/>
    <x v="680"/>
    <x v="1"/>
    <d v="2025-11-01T00:00:00"/>
    <n v="11"/>
    <s v="CUST-00803"/>
    <x v="1"/>
    <x v="17"/>
    <s v="TN"/>
    <x v="3"/>
    <s v="Coimbatore"/>
    <x v="1"/>
    <s v="P403"/>
    <s v="Kolhapuri Sandals"/>
    <x v="5"/>
    <n v="1"/>
    <n v="999"/>
    <n v="0.3"/>
    <n v="999"/>
    <n v="299.7"/>
    <n v="699.3"/>
    <n v="400"/>
    <n v="400"/>
    <n v="60"/>
    <n v="239.29999999999995"/>
    <n v="0.34219934219934217"/>
    <x v="0"/>
    <d v="2025-11-19T00:00:00"/>
    <n v="4"/>
    <x v="0"/>
    <m/>
    <n v="0"/>
  </r>
  <r>
    <s v="ORD-104463"/>
    <x v="680"/>
    <x v="1"/>
    <d v="2025-11-01T00:00:00"/>
    <n v="11"/>
    <s v="CUST-00569"/>
    <x v="1"/>
    <x v="17"/>
    <s v="TN"/>
    <x v="3"/>
    <s v="Chennai"/>
    <x v="4"/>
    <s v="P704"/>
    <s v="Multivitamin Gummies"/>
    <x v="0"/>
    <n v="2"/>
    <n v="699"/>
    <n v="0.4"/>
    <n v="1398"/>
    <n v="559.20000000000005"/>
    <n v="838.8"/>
    <n v="238"/>
    <n v="476"/>
    <n v="60"/>
    <n v="302.79999999999995"/>
    <n v="0.36099189318073432"/>
    <x v="1"/>
    <d v="2025-11-18T00:00:00"/>
    <n v="3"/>
    <x v="0"/>
    <n v="3"/>
    <n v="0"/>
  </r>
  <r>
    <s v="ORD-104464"/>
    <x v="680"/>
    <x v="1"/>
    <d v="2025-11-01T00:00:00"/>
    <n v="11"/>
    <s v="CUST-01486"/>
    <x v="1"/>
    <x v="17"/>
    <s v="TN"/>
    <x v="3"/>
    <s v="Chennai"/>
    <x v="0"/>
    <s v="P603"/>
    <s v="Smartwatch Strap"/>
    <x v="2"/>
    <n v="2"/>
    <n v="499"/>
    <n v="0.3"/>
    <n v="998"/>
    <n v="299.39999999999998"/>
    <n v="698.6"/>
    <n v="200"/>
    <n v="400"/>
    <n v="60"/>
    <n v="238.60000000000002"/>
    <n v="0.34154022330375039"/>
    <x v="3"/>
    <d v="2025-11-17T00:00:00"/>
    <n v="2"/>
    <x v="1"/>
    <n v="5"/>
    <n v="0"/>
  </r>
  <r>
    <s v="ORD-104465"/>
    <x v="681"/>
    <x v="1"/>
    <d v="2025-11-01T00:00:00"/>
    <n v="11"/>
    <s v="CUST-00332"/>
    <x v="0"/>
    <x v="4"/>
    <s v="JK"/>
    <x v="0"/>
    <s v="Srinagar"/>
    <x v="0"/>
    <s v="P202"/>
    <s v="Argan Shampoo"/>
    <x v="6"/>
    <n v="1"/>
    <n v="449"/>
    <n v="0.2"/>
    <n v="449"/>
    <n v="89.800000000000011"/>
    <n v="359.2"/>
    <n v="148"/>
    <n v="148"/>
    <n v="60"/>
    <n v="151.19999999999999"/>
    <n v="0.42093541202672602"/>
    <x v="0"/>
    <d v="2025-11-22T00:00:00"/>
    <n v="6"/>
    <x v="2"/>
    <n v="3"/>
    <n v="0"/>
  </r>
  <r>
    <s v="ORD-104466"/>
    <x v="681"/>
    <x v="1"/>
    <d v="2025-11-01T00:00:00"/>
    <n v="11"/>
    <s v="CUST-03085"/>
    <x v="0"/>
    <x v="16"/>
    <s v="UP"/>
    <x v="0"/>
    <s v="Noida"/>
    <x v="1"/>
    <s v="P303"/>
    <s v="Joggers"/>
    <x v="1"/>
    <n v="2"/>
    <n v="1199"/>
    <n v="0.35"/>
    <n v="2398"/>
    <n v="839.3"/>
    <n v="1558.7"/>
    <n v="492"/>
    <n v="984"/>
    <n v="120"/>
    <n v="454.70000000000005"/>
    <n v="0.29171745685507156"/>
    <x v="0"/>
    <d v="2025-11-20T00:00:00"/>
    <n v="4"/>
    <x v="0"/>
    <m/>
    <n v="1"/>
  </r>
  <r>
    <s v="ORD-104467"/>
    <x v="681"/>
    <x v="1"/>
    <d v="2025-11-01T00:00:00"/>
    <n v="11"/>
    <s v="CUST-01127"/>
    <x v="1"/>
    <x v="13"/>
    <s v="MP"/>
    <x v="1"/>
    <s v="Indore"/>
    <x v="2"/>
    <s v="P701"/>
    <s v="Ashwagandha Capsules"/>
    <x v="0"/>
    <n v="1"/>
    <n v="499"/>
    <n v="0.15"/>
    <n v="499"/>
    <n v="74.849999999999994"/>
    <n v="424.15"/>
    <n v="150"/>
    <n v="150"/>
    <n v="60"/>
    <n v="214.14999999999998"/>
    <n v="0.50489213721560766"/>
    <x v="0"/>
    <d v="2025-11-22T00:00:00"/>
    <n v="6"/>
    <x v="2"/>
    <n v="3"/>
    <n v="0"/>
  </r>
  <r>
    <s v="ORD-104468"/>
    <x v="681"/>
    <x v="1"/>
    <d v="2025-11-01T00:00:00"/>
    <n v="11"/>
    <s v="CUST-02189"/>
    <x v="0"/>
    <x v="10"/>
    <s v="CG"/>
    <x v="2"/>
    <s v="Raipur"/>
    <x v="0"/>
    <s v="P102"/>
    <s v="Sunscreen SPF 50"/>
    <x v="3"/>
    <n v="4"/>
    <n v="449"/>
    <n v="0.25"/>
    <n v="1796"/>
    <n v="449"/>
    <n v="1347"/>
    <n v="144"/>
    <n v="576"/>
    <n v="60"/>
    <n v="711"/>
    <n v="0.5278396436525612"/>
    <x v="0"/>
    <d v="2025-11-20T00:00:00"/>
    <n v="4"/>
    <x v="0"/>
    <m/>
    <n v="0"/>
  </r>
  <r>
    <s v="ORD-104469"/>
    <x v="681"/>
    <x v="1"/>
    <d v="2025-11-01T00:00:00"/>
    <n v="11"/>
    <s v="CUST-00114"/>
    <x v="1"/>
    <x v="7"/>
    <s v="JH"/>
    <x v="2"/>
    <s v="Ranchi"/>
    <x v="0"/>
    <s v="P403"/>
    <s v="Kolhapuri Sandals"/>
    <x v="5"/>
    <n v="1"/>
    <n v="999"/>
    <n v="0.15"/>
    <n v="999"/>
    <n v="149.85"/>
    <n v="849.15"/>
    <n v="400"/>
    <n v="400"/>
    <n v="120"/>
    <n v="329.15"/>
    <n v="0.38762291703468171"/>
    <x v="3"/>
    <d v="2025-11-21T00:00:00"/>
    <n v="5"/>
    <x v="2"/>
    <n v="4"/>
    <n v="1"/>
  </r>
  <r>
    <s v="ORD-104470"/>
    <x v="681"/>
    <x v="1"/>
    <d v="2025-11-01T00:00:00"/>
    <n v="11"/>
    <s v="CUST-02475"/>
    <x v="0"/>
    <x v="18"/>
    <s v="WB"/>
    <x v="2"/>
    <s v="Kolkata"/>
    <x v="3"/>
    <s v="P102"/>
    <s v="Sunscreen SPF 50"/>
    <x v="3"/>
    <n v="1"/>
    <n v="449"/>
    <n v="0.25"/>
    <n v="449"/>
    <n v="112.25"/>
    <n v="336.75"/>
    <n v="144"/>
    <n v="144"/>
    <n v="60"/>
    <n v="132.75"/>
    <n v="0.39420935412026725"/>
    <x v="0"/>
    <d v="2025-11-21T00:00:00"/>
    <n v="5"/>
    <x v="2"/>
    <n v="3"/>
    <n v="0"/>
  </r>
  <r>
    <s v="ORD-104471"/>
    <x v="681"/>
    <x v="1"/>
    <d v="2025-11-01T00:00:00"/>
    <n v="11"/>
    <s v="CUST-02529"/>
    <x v="0"/>
    <x v="18"/>
    <s v="WB"/>
    <x v="2"/>
    <s v="Kolkata"/>
    <x v="1"/>
    <s v="P301"/>
    <s v="Cotton Oversized T-Shirt"/>
    <x v="1"/>
    <n v="1"/>
    <n v="799"/>
    <n v="0.15"/>
    <n v="799"/>
    <n v="119.85"/>
    <n v="679.15"/>
    <n v="320"/>
    <n v="320"/>
    <n v="60"/>
    <n v="299.14999999999998"/>
    <n v="0.44047706692188765"/>
    <x v="0"/>
    <d v="2025-11-18T00:00:00"/>
    <n v="2"/>
    <x v="1"/>
    <n v="5"/>
    <n v="0"/>
  </r>
  <r>
    <s v="ORD-104472"/>
    <x v="681"/>
    <x v="1"/>
    <d v="2025-11-01T00:00:00"/>
    <n v="11"/>
    <s v="CUST-00507"/>
    <x v="1"/>
    <x v="18"/>
    <s v="WB"/>
    <x v="2"/>
    <s v="Kolkata"/>
    <x v="1"/>
    <s v="P302"/>
    <s v="Linen Kurta"/>
    <x v="1"/>
    <n v="2"/>
    <n v="1499"/>
    <n v="0.55000000000000004"/>
    <n v="2998"/>
    <n v="1648.9"/>
    <n v="1349.1"/>
    <n v="630"/>
    <n v="1260"/>
    <n v="60"/>
    <n v="29.099999999999909"/>
    <n v="2.1569935512563865E-2"/>
    <x v="2"/>
    <d v="2025-11-20T00:00:00"/>
    <n v="4"/>
    <x v="0"/>
    <n v="4"/>
    <n v="0"/>
  </r>
  <r>
    <s v="ORD-104473"/>
    <x v="681"/>
    <x v="1"/>
    <d v="2025-11-01T00:00:00"/>
    <n v="11"/>
    <s v="CUST-00575"/>
    <x v="1"/>
    <x v="17"/>
    <s v="TN"/>
    <x v="3"/>
    <s v="Coimbatore"/>
    <x v="4"/>
    <s v="P104"/>
    <s v="Hydrating Face Wash"/>
    <x v="3"/>
    <n v="2"/>
    <n v="299"/>
    <n v="0.25"/>
    <n v="598"/>
    <n v="149.5"/>
    <n v="448.5"/>
    <n v="90"/>
    <n v="180"/>
    <n v="60"/>
    <n v="208.5"/>
    <n v="0.46488294314381273"/>
    <x v="0"/>
    <d v="2025-11-19T00:00:00"/>
    <n v="3"/>
    <x v="0"/>
    <m/>
    <n v="0"/>
  </r>
  <r>
    <s v="ORD-104474"/>
    <x v="681"/>
    <x v="1"/>
    <d v="2025-11-01T00:00:00"/>
    <n v="11"/>
    <s v="CUST-01186"/>
    <x v="1"/>
    <x v="17"/>
    <s v="TN"/>
    <x v="3"/>
    <s v="Chennai"/>
    <x v="0"/>
    <s v="P702"/>
    <s v="Whey Protein 1kg"/>
    <x v="0"/>
    <n v="2"/>
    <n v="2299"/>
    <n v="0.5"/>
    <n v="4598"/>
    <n v="2299"/>
    <n v="2299"/>
    <n v="1333"/>
    <n v="2666"/>
    <n v="60"/>
    <n v="-427"/>
    <n v="-0.18573292735972161"/>
    <x v="0"/>
    <d v="2025-11-19T00:00:00"/>
    <n v="3"/>
    <x v="0"/>
    <n v="5"/>
    <n v="0"/>
  </r>
  <r>
    <s v="ORD-104475"/>
    <x v="682"/>
    <x v="1"/>
    <d v="2025-11-01T00:00:00"/>
    <n v="11"/>
    <s v="CUST-00192"/>
    <x v="1"/>
    <x v="19"/>
    <s v="PB"/>
    <x v="0"/>
    <s v="Ludhiana"/>
    <x v="0"/>
    <s v="P203"/>
    <s v="Keratin Hair Mask"/>
    <x v="6"/>
    <n v="1"/>
    <n v="549"/>
    <n v="0.2"/>
    <n v="549"/>
    <n v="109.80000000000001"/>
    <n v="439.2"/>
    <n v="170"/>
    <n v="170"/>
    <n v="60"/>
    <n v="209.2"/>
    <n v="0.47632058287795992"/>
    <x v="0"/>
    <d v="2025-11-21T00:00:00"/>
    <n v="4"/>
    <x v="0"/>
    <m/>
    <n v="0"/>
  </r>
  <r>
    <s v="ORD-104476"/>
    <x v="682"/>
    <x v="1"/>
    <d v="2025-11-01T00:00:00"/>
    <n v="11"/>
    <s v="CUST-01144"/>
    <x v="1"/>
    <x v="0"/>
    <s v="RJ"/>
    <x v="0"/>
    <s v="Jaipur"/>
    <x v="0"/>
    <s v="P204"/>
    <s v="Anti-Dandruff Conditioner"/>
    <x v="6"/>
    <n v="5"/>
    <n v="399"/>
    <n v="0.5"/>
    <n v="1995"/>
    <n v="997.5"/>
    <n v="997.5"/>
    <n v="136"/>
    <n v="680"/>
    <n v="60"/>
    <n v="257.5"/>
    <n v="0.25814536340852129"/>
    <x v="0"/>
    <d v="2025-11-22T00:00:00"/>
    <n v="5"/>
    <x v="2"/>
    <n v="3"/>
    <n v="0"/>
  </r>
  <r>
    <s v="ORD-104477"/>
    <x v="682"/>
    <x v="1"/>
    <d v="2025-11-01T00:00:00"/>
    <n v="11"/>
    <s v="CUST-00469"/>
    <x v="0"/>
    <x v="12"/>
    <s v="BR"/>
    <x v="2"/>
    <s v="Patna"/>
    <x v="2"/>
    <s v="P204"/>
    <s v="Anti-Dandruff Conditioner"/>
    <x v="6"/>
    <n v="4"/>
    <n v="399"/>
    <n v="0.35"/>
    <n v="1596"/>
    <n v="558.59999999999991"/>
    <n v="1037.4000000000001"/>
    <n v="136"/>
    <n v="544"/>
    <n v="60"/>
    <n v="433.40000000000009"/>
    <n v="0.4177752072488915"/>
    <x v="0"/>
    <d v="2025-11-22T00:00:00"/>
    <n v="5"/>
    <x v="2"/>
    <m/>
    <n v="0"/>
  </r>
  <r>
    <s v="ORD-104478"/>
    <x v="682"/>
    <x v="1"/>
    <d v="2025-11-01T00:00:00"/>
    <n v="11"/>
    <s v="CUST-00035"/>
    <x v="1"/>
    <x v="21"/>
    <s v="TG"/>
    <x v="3"/>
    <s v="Hyderabad"/>
    <x v="1"/>
    <s v="P404"/>
    <s v="Flip Flops"/>
    <x v="5"/>
    <n v="1"/>
    <n v="399"/>
    <n v="0.1"/>
    <n v="399"/>
    <n v="39.900000000000006"/>
    <n v="359.1"/>
    <n v="152"/>
    <n v="152"/>
    <n v="120"/>
    <n v="87.100000000000023"/>
    <n v="0.24255082149818996"/>
    <x v="0"/>
    <d v="2025-11-18T00:00:00"/>
    <n v="1"/>
    <x v="1"/>
    <m/>
    <n v="1"/>
  </r>
  <r>
    <s v="ORD-104479"/>
    <x v="682"/>
    <x v="1"/>
    <d v="2025-11-01T00:00:00"/>
    <n v="11"/>
    <s v="CUST-00261"/>
    <x v="1"/>
    <x v="21"/>
    <s v="TG"/>
    <x v="3"/>
    <s v="Hyderabad"/>
    <x v="0"/>
    <s v="P403"/>
    <s v="Kolhapuri Sandals"/>
    <x v="5"/>
    <n v="2"/>
    <n v="999"/>
    <n v="0.1"/>
    <n v="1998"/>
    <n v="199.8"/>
    <n v="1798.2"/>
    <n v="400"/>
    <n v="800"/>
    <n v="60"/>
    <n v="938.2"/>
    <n v="0.52174396618841068"/>
    <x v="0"/>
    <d v="2025-11-20T00:00:00"/>
    <n v="3"/>
    <x v="0"/>
    <m/>
    <n v="0"/>
  </r>
  <r>
    <s v="ORD-104480"/>
    <x v="682"/>
    <x v="1"/>
    <d v="2025-11-01T00:00:00"/>
    <n v="11"/>
    <s v="CUST-01173"/>
    <x v="0"/>
    <x v="11"/>
    <s v="KA"/>
    <x v="3"/>
    <s v="Mysuru"/>
    <x v="4"/>
    <s v="P102"/>
    <s v="Sunscreen SPF 50"/>
    <x v="3"/>
    <n v="2"/>
    <n v="449"/>
    <n v="0.15"/>
    <n v="898"/>
    <n v="134.69999999999999"/>
    <n v="763.3"/>
    <n v="144"/>
    <n v="288"/>
    <n v="60"/>
    <n v="415.29999999999995"/>
    <n v="0.54408489453687936"/>
    <x v="1"/>
    <d v="2025-11-19T00:00:00"/>
    <n v="2"/>
    <x v="1"/>
    <n v="4"/>
    <n v="0"/>
  </r>
  <r>
    <s v="ORD-104481"/>
    <x v="682"/>
    <x v="1"/>
    <d v="2025-11-01T00:00:00"/>
    <n v="11"/>
    <s v="CUST-01180"/>
    <x v="1"/>
    <x v="8"/>
    <s v="AP"/>
    <x v="3"/>
    <s v="Visakhapatnam"/>
    <x v="0"/>
    <s v="P603"/>
    <s v="Smartwatch Strap"/>
    <x v="2"/>
    <n v="1"/>
    <n v="499"/>
    <n v="0.3"/>
    <n v="499"/>
    <n v="149.69999999999999"/>
    <n v="349.3"/>
    <n v="200"/>
    <n v="200"/>
    <n v="60"/>
    <n v="89.300000000000011"/>
    <n v="0.25565416547380476"/>
    <x v="0"/>
    <d v="2025-11-21T00:00:00"/>
    <n v="4"/>
    <x v="0"/>
    <m/>
    <n v="0"/>
  </r>
  <r>
    <s v="ORD-104482"/>
    <x v="682"/>
    <x v="1"/>
    <d v="2025-11-01T00:00:00"/>
    <n v="11"/>
    <s v="CUST-00777"/>
    <x v="0"/>
    <x v="14"/>
    <s v="KL"/>
    <x v="3"/>
    <s v="Kochi"/>
    <x v="1"/>
    <s v="P302"/>
    <s v="Linen Kurta"/>
    <x v="1"/>
    <n v="2"/>
    <n v="1499"/>
    <n v="0.45"/>
    <n v="2998"/>
    <n v="1349.1000000000001"/>
    <n v="1648.8999999999999"/>
    <n v="630"/>
    <n v="1260"/>
    <n v="60"/>
    <n v="328.89999999999986"/>
    <n v="0.19946631087391586"/>
    <x v="0"/>
    <d v="2025-11-20T00:00:00"/>
    <n v="3"/>
    <x v="0"/>
    <m/>
    <n v="0"/>
  </r>
  <r>
    <s v="ORD-104483"/>
    <x v="683"/>
    <x v="1"/>
    <d v="2025-11-01T00:00:00"/>
    <n v="11"/>
    <s v="CUST-00125"/>
    <x v="0"/>
    <x v="15"/>
    <s v="HR"/>
    <x v="0"/>
    <s v="Faridabad"/>
    <x v="4"/>
    <s v="P302"/>
    <s v="Linen Kurta"/>
    <x v="1"/>
    <n v="1"/>
    <n v="1499"/>
    <n v="0.4"/>
    <n v="1499"/>
    <n v="599.6"/>
    <n v="899.4"/>
    <n v="630"/>
    <n v="630"/>
    <n v="60"/>
    <n v="209.39999999999998"/>
    <n v="0.23282188125416942"/>
    <x v="3"/>
    <d v="2025-11-22T00:00:00"/>
    <n v="4"/>
    <x v="0"/>
    <n v="2"/>
    <n v="0"/>
  </r>
  <r>
    <s v="ORD-104484"/>
    <x v="683"/>
    <x v="1"/>
    <d v="2025-11-01T00:00:00"/>
    <n v="11"/>
    <s v="CUST-00986"/>
    <x v="1"/>
    <x v="15"/>
    <s v="HR"/>
    <x v="0"/>
    <s v="Gurugram"/>
    <x v="0"/>
    <s v="P701"/>
    <s v="Ashwagandha Capsules"/>
    <x v="0"/>
    <n v="2"/>
    <n v="499"/>
    <n v="0.2"/>
    <n v="998"/>
    <n v="199.60000000000002"/>
    <n v="798.4"/>
    <n v="150"/>
    <n v="300"/>
    <n v="60"/>
    <n v="438.4"/>
    <n v="0.54909819639278556"/>
    <x v="0"/>
    <d v="2025-11-22T00:00:00"/>
    <n v="4"/>
    <x v="0"/>
    <m/>
    <n v="0"/>
  </r>
  <r>
    <s v="ORD-104485"/>
    <x v="683"/>
    <x v="1"/>
    <d v="2025-11-01T00:00:00"/>
    <n v="11"/>
    <s v="CUST-00269"/>
    <x v="1"/>
    <x v="6"/>
    <s v="DL"/>
    <x v="0"/>
    <s v="New Delhi"/>
    <x v="0"/>
    <s v="P703"/>
    <s v="Green Tea (100 bags)"/>
    <x v="0"/>
    <n v="1"/>
    <n v="399"/>
    <n v="0.4"/>
    <n v="399"/>
    <n v="159.60000000000002"/>
    <n v="239.39999999999998"/>
    <n v="128"/>
    <n v="128"/>
    <n v="60"/>
    <n v="51.399999999999977"/>
    <n v="0.21470342522974095"/>
    <x v="2"/>
    <d v="2025-11-22T00:00:00"/>
    <n v="4"/>
    <x v="0"/>
    <n v="3"/>
    <n v="0"/>
  </r>
  <r>
    <s v="ORD-104486"/>
    <x v="683"/>
    <x v="1"/>
    <d v="2025-11-01T00:00:00"/>
    <n v="11"/>
    <s v="CUST-01401"/>
    <x v="0"/>
    <x v="12"/>
    <s v="BR"/>
    <x v="2"/>
    <s v="Patna"/>
    <x v="4"/>
    <s v="P401"/>
    <s v="Running Shoes"/>
    <x v="5"/>
    <n v="2"/>
    <n v="2999"/>
    <n v="0.3"/>
    <n v="5998"/>
    <n v="1799.3999999999999"/>
    <n v="4198.6000000000004"/>
    <n v="1440"/>
    <n v="2880"/>
    <n v="60"/>
    <n v="1258.6000000000004"/>
    <n v="0.29976658886295438"/>
    <x v="0"/>
    <d v="2025-11-23T00:00:00"/>
    <n v="5"/>
    <x v="2"/>
    <m/>
    <n v="0"/>
  </r>
  <r>
    <s v="ORD-104487"/>
    <x v="683"/>
    <x v="1"/>
    <d v="2025-11-01T00:00:00"/>
    <n v="11"/>
    <s v="CUST-00269"/>
    <x v="1"/>
    <x v="18"/>
    <s v="WB"/>
    <x v="2"/>
    <s v="Kolkata"/>
    <x v="0"/>
    <s v="P304"/>
    <s v="Denim Jacket"/>
    <x v="1"/>
    <n v="1"/>
    <n v="2499"/>
    <n v="0.15"/>
    <n v="2499"/>
    <n v="374.84999999999997"/>
    <n v="2124.15"/>
    <n v="1125"/>
    <n v="1125"/>
    <n v="60"/>
    <n v="939.15000000000009"/>
    <n v="0.44212979309370809"/>
    <x v="0"/>
    <d v="2025-11-22T00:00:00"/>
    <n v="4"/>
    <x v="0"/>
    <n v="4"/>
    <n v="0"/>
  </r>
  <r>
    <s v="ORD-104488"/>
    <x v="683"/>
    <x v="1"/>
    <d v="2025-11-01T00:00:00"/>
    <n v="11"/>
    <s v="CUST-01865"/>
    <x v="0"/>
    <x v="21"/>
    <s v="TG"/>
    <x v="3"/>
    <s v="Hyderabad"/>
    <x v="4"/>
    <s v="P601"/>
    <s v="Wireless Earbuds"/>
    <x v="2"/>
    <n v="2"/>
    <n v="1999"/>
    <n v="0.6"/>
    <n v="3998"/>
    <n v="2398.7999999999997"/>
    <n v="1599.2000000000003"/>
    <n v="1239"/>
    <n v="2478"/>
    <n v="120"/>
    <n v="-998.79999999999973"/>
    <n v="-0.62456228114057"/>
    <x v="3"/>
    <d v="2025-11-21T00:00:00"/>
    <n v="3"/>
    <x v="0"/>
    <n v="4"/>
    <n v="1"/>
  </r>
  <r>
    <s v="ORD-104489"/>
    <x v="683"/>
    <x v="1"/>
    <d v="2025-11-01T00:00:00"/>
    <n v="11"/>
    <s v="CUST-03185"/>
    <x v="0"/>
    <x v="11"/>
    <s v="KA"/>
    <x v="3"/>
    <s v="Mysuru"/>
    <x v="0"/>
    <s v="P602"/>
    <s v="Fast Charger 33W"/>
    <x v="2"/>
    <n v="1"/>
    <n v="899"/>
    <n v="0.1"/>
    <n v="899"/>
    <n v="89.9"/>
    <n v="809.1"/>
    <n v="494"/>
    <n v="494"/>
    <n v="60"/>
    <n v="255.10000000000002"/>
    <n v="0.31528859226300832"/>
    <x v="0"/>
    <d v="2025-11-20T00:00:00"/>
    <n v="2"/>
    <x v="1"/>
    <m/>
    <n v="0"/>
  </r>
  <r>
    <s v="ORD-104490"/>
    <x v="683"/>
    <x v="1"/>
    <d v="2025-11-01T00:00:00"/>
    <n v="11"/>
    <s v="CUST-00827"/>
    <x v="1"/>
    <x v="14"/>
    <s v="KL"/>
    <x v="3"/>
    <s v="Thiruvananthapuram"/>
    <x v="0"/>
    <s v="P201"/>
    <s v="Onion Hair Oil"/>
    <x v="6"/>
    <n v="2"/>
    <n v="349"/>
    <n v="0.5"/>
    <n v="698"/>
    <n v="349"/>
    <n v="349"/>
    <n v="105"/>
    <n v="210"/>
    <n v="60"/>
    <n v="79"/>
    <n v="0.22636103151862463"/>
    <x v="0"/>
    <d v="2025-11-23T00:00:00"/>
    <n v="5"/>
    <x v="2"/>
    <n v="4"/>
    <n v="0"/>
  </r>
  <r>
    <s v="ORD-104491"/>
    <x v="683"/>
    <x v="1"/>
    <d v="2025-11-01T00:00:00"/>
    <n v="11"/>
    <s v="CUST-00955"/>
    <x v="1"/>
    <x v="17"/>
    <s v="TN"/>
    <x v="3"/>
    <s v="Chennai"/>
    <x v="2"/>
    <s v="P501"/>
    <s v="Copper Water Bottle"/>
    <x v="4"/>
    <n v="3"/>
    <n v="899"/>
    <n v="0.2"/>
    <n v="2697"/>
    <n v="539.4"/>
    <n v="2157.6"/>
    <n v="378"/>
    <n v="1134"/>
    <n v="60"/>
    <n v="963.59999999999991"/>
    <n v="0.44660734149054504"/>
    <x v="4"/>
    <d v="2025-11-22T00:00:00"/>
    <n v="4"/>
    <x v="0"/>
    <n v="4"/>
    <n v="0"/>
  </r>
  <r>
    <s v="ORD-104492"/>
    <x v="683"/>
    <x v="1"/>
    <d v="2025-11-01T00:00:00"/>
    <n v="11"/>
    <s v="CUST-02477"/>
    <x v="1"/>
    <x v="17"/>
    <s v="TN"/>
    <x v="3"/>
    <s v="Chennai"/>
    <x v="3"/>
    <s v="P702"/>
    <s v="Whey Protein 1kg"/>
    <x v="0"/>
    <n v="2"/>
    <n v="2299"/>
    <n v="0.5"/>
    <n v="4598"/>
    <n v="2299"/>
    <n v="2299"/>
    <n v="1333"/>
    <n v="2666"/>
    <n v="60"/>
    <n v="-427"/>
    <n v="-0.18573292735972161"/>
    <x v="0"/>
    <d v="2025-11-22T00:00:00"/>
    <n v="4"/>
    <x v="0"/>
    <n v="3"/>
    <n v="0"/>
  </r>
  <r>
    <s v="ORD-104493"/>
    <x v="683"/>
    <x v="1"/>
    <d v="2025-11-01T00:00:00"/>
    <n v="11"/>
    <s v="CUST-02740"/>
    <x v="0"/>
    <x v="17"/>
    <s v="TN"/>
    <x v="3"/>
    <s v="Chennai"/>
    <x v="1"/>
    <s v="P305"/>
    <s v="Printed Saree"/>
    <x v="1"/>
    <n v="1"/>
    <n v="1999"/>
    <n v="0.25"/>
    <n v="1999"/>
    <n v="499.75"/>
    <n v="1499.25"/>
    <n v="880"/>
    <n v="880"/>
    <n v="60"/>
    <n v="559.25"/>
    <n v="0.37301984325496079"/>
    <x v="1"/>
    <d v="2025-11-19T00:00:00"/>
    <n v="1"/>
    <x v="1"/>
    <n v="5"/>
    <n v="0"/>
  </r>
  <r>
    <s v="ORD-104494"/>
    <x v="684"/>
    <x v="1"/>
    <d v="2025-11-01T00:00:00"/>
    <n v="11"/>
    <s v="CUST-00725"/>
    <x v="1"/>
    <x v="15"/>
    <s v="HR"/>
    <x v="0"/>
    <s v="Gurugram"/>
    <x v="4"/>
    <s v="P102"/>
    <s v="Sunscreen SPF 50"/>
    <x v="3"/>
    <n v="1"/>
    <n v="449"/>
    <n v="0.25"/>
    <n v="449"/>
    <n v="112.25"/>
    <n v="336.75"/>
    <n v="144"/>
    <n v="144"/>
    <n v="60"/>
    <n v="132.75"/>
    <n v="0.39420935412026725"/>
    <x v="4"/>
    <d v="2025-11-24T00:00:00"/>
    <n v="5"/>
    <x v="2"/>
    <m/>
    <n v="0"/>
  </r>
  <r>
    <s v="ORD-104495"/>
    <x v="684"/>
    <x v="1"/>
    <d v="2025-11-01T00:00:00"/>
    <n v="11"/>
    <s v="CUST-00415"/>
    <x v="1"/>
    <x v="13"/>
    <s v="MP"/>
    <x v="1"/>
    <s v="Bhopal"/>
    <x v="3"/>
    <s v="P103"/>
    <s v="Niacinamide Toner"/>
    <x v="3"/>
    <n v="1"/>
    <n v="399"/>
    <n v="0.25"/>
    <n v="399"/>
    <n v="99.75"/>
    <n v="299.25"/>
    <n v="112"/>
    <n v="112"/>
    <n v="60"/>
    <n v="127.25"/>
    <n v="0.42522974101921468"/>
    <x v="0"/>
    <d v="2025-11-22T00:00:00"/>
    <n v="3"/>
    <x v="0"/>
    <m/>
    <n v="0"/>
  </r>
  <r>
    <s v="ORD-104496"/>
    <x v="684"/>
    <x v="1"/>
    <d v="2025-11-01T00:00:00"/>
    <n v="11"/>
    <s v="CUST-02777"/>
    <x v="1"/>
    <x v="13"/>
    <s v="MP"/>
    <x v="1"/>
    <s v="Bhopal"/>
    <x v="0"/>
    <s v="P602"/>
    <s v="Fast Charger 33W"/>
    <x v="2"/>
    <n v="1"/>
    <n v="899"/>
    <n v="0.1"/>
    <n v="899"/>
    <n v="89.9"/>
    <n v="809.1"/>
    <n v="494"/>
    <n v="494"/>
    <n v="60"/>
    <n v="255.10000000000002"/>
    <n v="0.31528859226300832"/>
    <x v="1"/>
    <d v="2025-11-26T00:00:00"/>
    <n v="7"/>
    <x v="2"/>
    <m/>
    <n v="0"/>
  </r>
  <r>
    <s v="ORD-104497"/>
    <x v="684"/>
    <x v="1"/>
    <d v="2025-11-01T00:00:00"/>
    <n v="11"/>
    <s v="CUST-00321"/>
    <x v="1"/>
    <x v="11"/>
    <s v="KA"/>
    <x v="3"/>
    <s v="Mysuru"/>
    <x v="1"/>
    <s v="P302"/>
    <s v="Linen Kurta"/>
    <x v="1"/>
    <n v="1"/>
    <n v="1499"/>
    <n v="0.55000000000000004"/>
    <n v="1499"/>
    <n v="824.45"/>
    <n v="674.55"/>
    <n v="630"/>
    <n v="630"/>
    <n v="60"/>
    <n v="-15.450000000000045"/>
    <n v="-2.2904158327774142E-2"/>
    <x v="2"/>
    <d v="2025-11-22T00:00:00"/>
    <n v="3"/>
    <x v="0"/>
    <n v="4"/>
    <n v="0"/>
  </r>
  <r>
    <s v="ORD-104498"/>
    <x v="684"/>
    <x v="1"/>
    <d v="2025-11-01T00:00:00"/>
    <n v="11"/>
    <s v="CUST-01106"/>
    <x v="1"/>
    <x v="8"/>
    <s v="AP"/>
    <x v="3"/>
    <s v="Visakhapatnam"/>
    <x v="4"/>
    <s v="P603"/>
    <s v="Smartwatch Strap"/>
    <x v="2"/>
    <n v="2"/>
    <n v="499"/>
    <n v="0.25"/>
    <n v="998"/>
    <n v="249.5"/>
    <n v="748.5"/>
    <n v="200"/>
    <n v="400"/>
    <n v="60"/>
    <n v="288.5"/>
    <n v="0.38543754175016698"/>
    <x v="1"/>
    <d v="2025-11-21T00:00:00"/>
    <n v="2"/>
    <x v="1"/>
    <n v="5"/>
    <n v="0"/>
  </r>
  <r>
    <s v="ORD-104499"/>
    <x v="684"/>
    <x v="1"/>
    <d v="2025-11-01T00:00:00"/>
    <n v="11"/>
    <s v="CUST-00935"/>
    <x v="1"/>
    <x v="17"/>
    <s v="TN"/>
    <x v="3"/>
    <s v="Coimbatore"/>
    <x v="1"/>
    <s v="P302"/>
    <s v="Linen Kurta"/>
    <x v="1"/>
    <n v="2"/>
    <n v="1499"/>
    <n v="0.45"/>
    <n v="2998"/>
    <n v="1349.1000000000001"/>
    <n v="1648.8999999999999"/>
    <n v="630"/>
    <n v="1260"/>
    <n v="60"/>
    <n v="328.89999999999986"/>
    <n v="0.19946631087391586"/>
    <x v="1"/>
    <d v="2025-11-22T00:00:00"/>
    <n v="3"/>
    <x v="0"/>
    <n v="4"/>
    <n v="0"/>
  </r>
  <r>
    <s v="ORD-104500"/>
    <x v="685"/>
    <x v="1"/>
    <d v="2025-11-01T00:00:00"/>
    <n v="11"/>
    <s v="CUST-01156"/>
    <x v="1"/>
    <x v="19"/>
    <s v="PB"/>
    <x v="0"/>
    <s v="Amritsar"/>
    <x v="1"/>
    <s v="P305"/>
    <s v="Printed Saree"/>
    <x v="1"/>
    <n v="2"/>
    <n v="1999"/>
    <n v="0.15"/>
    <n v="3998"/>
    <n v="599.69999999999993"/>
    <n v="3398.3"/>
    <n v="880"/>
    <n v="1760"/>
    <n v="60"/>
    <n v="1578.3000000000002"/>
    <n v="0.464438101403643"/>
    <x v="0"/>
    <d v="2025-11-24T00:00:00"/>
    <n v="4"/>
    <x v="0"/>
    <n v="5"/>
    <n v="0"/>
  </r>
  <r>
    <s v="ORD-104501"/>
    <x v="685"/>
    <x v="1"/>
    <d v="2025-11-01T00:00:00"/>
    <n v="11"/>
    <s v="CUST-01506"/>
    <x v="0"/>
    <x v="6"/>
    <s v="DL"/>
    <x v="0"/>
    <s v="New Delhi"/>
    <x v="2"/>
    <s v="P103"/>
    <s v="Niacinamide Toner"/>
    <x v="3"/>
    <n v="2"/>
    <n v="399"/>
    <n v="0.4"/>
    <n v="798"/>
    <n v="319.20000000000005"/>
    <n v="478.79999999999995"/>
    <n v="112"/>
    <n v="224"/>
    <n v="60"/>
    <n v="194.79999999999995"/>
    <n v="0.40685045948203835"/>
    <x v="0"/>
    <d v="2025-11-23T00:00:00"/>
    <n v="3"/>
    <x v="0"/>
    <n v="3"/>
    <n v="0"/>
  </r>
  <r>
    <s v="ORD-104502"/>
    <x v="685"/>
    <x v="1"/>
    <d v="2025-11-01T00:00:00"/>
    <n v="11"/>
    <s v="CUST-00099"/>
    <x v="1"/>
    <x v="6"/>
    <s v="DL"/>
    <x v="0"/>
    <s v="New Delhi"/>
    <x v="1"/>
    <s v="P404"/>
    <s v="Flip Flops"/>
    <x v="5"/>
    <n v="2"/>
    <n v="399"/>
    <n v="0.3"/>
    <n v="798"/>
    <n v="239.39999999999998"/>
    <n v="558.6"/>
    <n v="152"/>
    <n v="304"/>
    <n v="60"/>
    <n v="194.60000000000002"/>
    <n v="0.34837092731829578"/>
    <x v="4"/>
    <d v="2025-11-21T00:00:00"/>
    <n v="1"/>
    <x v="1"/>
    <n v="5"/>
    <n v="0"/>
  </r>
  <r>
    <s v="ORD-104503"/>
    <x v="685"/>
    <x v="1"/>
    <d v="2025-11-01T00:00:00"/>
    <n v="11"/>
    <s v="CUST-00017"/>
    <x v="1"/>
    <x v="6"/>
    <s v="DL"/>
    <x v="0"/>
    <s v="New Delhi"/>
    <x v="2"/>
    <s v="P302"/>
    <s v="Linen Kurta"/>
    <x v="1"/>
    <n v="2"/>
    <n v="1499"/>
    <n v="0.4"/>
    <n v="2998"/>
    <n v="1199.2"/>
    <n v="1798.8"/>
    <n v="630"/>
    <n v="1260"/>
    <n v="60"/>
    <n v="478.79999999999995"/>
    <n v="0.26617745163442291"/>
    <x v="0"/>
    <d v="2025-11-23T00:00:00"/>
    <n v="3"/>
    <x v="0"/>
    <m/>
    <n v="0"/>
  </r>
  <r>
    <s v="ORD-104504"/>
    <x v="685"/>
    <x v="1"/>
    <d v="2025-11-01T00:00:00"/>
    <n v="11"/>
    <s v="CUST-01231"/>
    <x v="1"/>
    <x v="12"/>
    <s v="BR"/>
    <x v="2"/>
    <s v="Patna"/>
    <x v="0"/>
    <s v="P204"/>
    <s v="Anti-Dandruff Conditioner"/>
    <x v="6"/>
    <n v="2"/>
    <n v="399"/>
    <n v="0.4"/>
    <n v="798"/>
    <n v="319.20000000000005"/>
    <n v="478.79999999999995"/>
    <n v="136"/>
    <n v="272"/>
    <n v="120"/>
    <n v="86.799999999999955"/>
    <n v="0.18128654970760227"/>
    <x v="3"/>
    <d v="2025-11-23T00:00:00"/>
    <n v="3"/>
    <x v="0"/>
    <m/>
    <n v="1"/>
  </r>
  <r>
    <s v="ORD-104505"/>
    <x v="685"/>
    <x v="1"/>
    <d v="2025-11-01T00:00:00"/>
    <n v="11"/>
    <s v="CUST-00499"/>
    <x v="1"/>
    <x v="13"/>
    <s v="MP"/>
    <x v="1"/>
    <s v="Indore"/>
    <x v="0"/>
    <s v="P404"/>
    <s v="Flip Flops"/>
    <x v="5"/>
    <n v="1"/>
    <n v="399"/>
    <n v="0.1"/>
    <n v="399"/>
    <n v="39.900000000000006"/>
    <n v="359.1"/>
    <n v="152"/>
    <n v="152"/>
    <n v="120"/>
    <n v="87.100000000000023"/>
    <n v="0.24255082149818996"/>
    <x v="2"/>
    <d v="2025-11-23T00:00:00"/>
    <n v="3"/>
    <x v="0"/>
    <n v="4"/>
    <n v="1"/>
  </r>
  <r>
    <s v="ORD-104506"/>
    <x v="685"/>
    <x v="1"/>
    <d v="2025-11-01T00:00:00"/>
    <n v="11"/>
    <s v="CUST-00637"/>
    <x v="1"/>
    <x v="2"/>
    <s v="MH"/>
    <x v="1"/>
    <s v="Mumbai"/>
    <x v="0"/>
    <s v="P601"/>
    <s v="Wireless Earbuds"/>
    <x v="2"/>
    <n v="2"/>
    <n v="1999"/>
    <n v="0.45"/>
    <n v="3998"/>
    <n v="1799.1000000000001"/>
    <n v="2198.8999999999996"/>
    <n v="1239"/>
    <n v="2478"/>
    <n v="60"/>
    <n v="-339.10000000000036"/>
    <n v="-0.15421347037154962"/>
    <x v="3"/>
    <d v="2025-11-22T00:00:00"/>
    <n v="2"/>
    <x v="1"/>
    <m/>
    <n v="0"/>
  </r>
  <r>
    <s v="ORD-104507"/>
    <x v="685"/>
    <x v="1"/>
    <d v="2025-11-01T00:00:00"/>
    <n v="11"/>
    <s v="CUST-00093"/>
    <x v="1"/>
    <x v="21"/>
    <s v="TG"/>
    <x v="3"/>
    <s v="Hyderabad"/>
    <x v="0"/>
    <s v="P602"/>
    <s v="Fast Charger 33W"/>
    <x v="2"/>
    <n v="3"/>
    <n v="899"/>
    <n v="0.25"/>
    <n v="2697"/>
    <n v="674.25"/>
    <n v="2022.75"/>
    <n v="494"/>
    <n v="1482"/>
    <n v="60"/>
    <n v="480.75"/>
    <n v="0.23767148683722655"/>
    <x v="1"/>
    <d v="2025-11-22T00:00:00"/>
    <n v="2"/>
    <x v="1"/>
    <m/>
    <n v="0"/>
  </r>
  <r>
    <s v="ORD-104508"/>
    <x v="686"/>
    <x v="1"/>
    <d v="2025-11-01T00:00:00"/>
    <n v="11"/>
    <s v="CUST-00684"/>
    <x v="1"/>
    <x v="19"/>
    <s v="PB"/>
    <x v="0"/>
    <s v="Ludhiana"/>
    <x v="0"/>
    <s v="P403"/>
    <s v="Kolhapuri Sandals"/>
    <x v="5"/>
    <n v="2"/>
    <n v="999"/>
    <n v="0.25"/>
    <n v="1998"/>
    <n v="499.5"/>
    <n v="1498.5"/>
    <n v="400"/>
    <n v="800"/>
    <n v="60"/>
    <n v="638.5"/>
    <n v="0.42609275942609276"/>
    <x v="0"/>
    <d v="2025-11-26T00:00:00"/>
    <n v="5"/>
    <x v="2"/>
    <m/>
    <n v="0"/>
  </r>
  <r>
    <s v="ORD-104509"/>
    <x v="686"/>
    <x v="1"/>
    <d v="2025-11-01T00:00:00"/>
    <n v="11"/>
    <s v="CUST-00382"/>
    <x v="1"/>
    <x v="5"/>
    <s v="HP"/>
    <x v="0"/>
    <s v="Shimla"/>
    <x v="3"/>
    <s v="P204"/>
    <s v="Anti-Dandruff Conditioner"/>
    <x v="6"/>
    <n v="3"/>
    <n v="399"/>
    <n v="0.5"/>
    <n v="1197"/>
    <n v="598.5"/>
    <n v="598.5"/>
    <n v="136"/>
    <n v="408"/>
    <n v="60"/>
    <n v="130.5"/>
    <n v="0.21804511278195488"/>
    <x v="3"/>
    <d v="2025-11-26T00:00:00"/>
    <n v="5"/>
    <x v="2"/>
    <n v="4"/>
    <n v="0"/>
  </r>
  <r>
    <s v="ORD-104510"/>
    <x v="686"/>
    <x v="1"/>
    <d v="2025-11-01T00:00:00"/>
    <n v="11"/>
    <s v="CUST-02233"/>
    <x v="0"/>
    <x v="15"/>
    <s v="HR"/>
    <x v="0"/>
    <s v="Gurugram"/>
    <x v="4"/>
    <s v="P101"/>
    <s v="Vitamin C Face Serum"/>
    <x v="3"/>
    <n v="1"/>
    <n v="599"/>
    <n v="0.4"/>
    <n v="599"/>
    <n v="239.60000000000002"/>
    <n v="359.4"/>
    <n v="180"/>
    <n v="180"/>
    <n v="120"/>
    <n v="59.399999999999977"/>
    <n v="0.16527545909849745"/>
    <x v="3"/>
    <d v="2025-11-25T00:00:00"/>
    <n v="4"/>
    <x v="0"/>
    <n v="4"/>
    <n v="1"/>
  </r>
  <r>
    <s v="ORD-104511"/>
    <x v="686"/>
    <x v="1"/>
    <d v="2025-11-01T00:00:00"/>
    <n v="11"/>
    <s v="CUST-01448"/>
    <x v="0"/>
    <x v="12"/>
    <s v="BR"/>
    <x v="2"/>
    <s v="Patna"/>
    <x v="3"/>
    <s v="P701"/>
    <s v="Ashwagandha Capsules"/>
    <x v="0"/>
    <n v="2"/>
    <n v="499"/>
    <n v="0.2"/>
    <n v="998"/>
    <n v="199.60000000000002"/>
    <n v="798.4"/>
    <n v="150"/>
    <n v="300"/>
    <n v="60"/>
    <n v="438.4"/>
    <n v="0.54909819639278556"/>
    <x v="0"/>
    <d v="2025-11-27T00:00:00"/>
    <n v="6"/>
    <x v="2"/>
    <m/>
    <n v="0"/>
  </r>
  <r>
    <s v="ORD-104512"/>
    <x v="686"/>
    <x v="1"/>
    <d v="2025-11-01T00:00:00"/>
    <n v="11"/>
    <s v="CUST-01019"/>
    <x v="1"/>
    <x v="22"/>
    <s v="AS"/>
    <x v="2"/>
    <s v="Guwahati"/>
    <x v="0"/>
    <s v="P204"/>
    <s v="Anti-Dandruff Conditioner"/>
    <x v="6"/>
    <n v="1"/>
    <n v="399"/>
    <n v="0.45"/>
    <n v="399"/>
    <n v="179.55"/>
    <n v="219.45"/>
    <n v="136"/>
    <n v="136"/>
    <n v="60"/>
    <n v="23.449999999999989"/>
    <n v="0.10685805422647524"/>
    <x v="3"/>
    <d v="2025-11-27T00:00:00"/>
    <n v="6"/>
    <x v="2"/>
    <n v="4"/>
    <n v="0"/>
  </r>
  <r>
    <s v="ORD-104513"/>
    <x v="686"/>
    <x v="1"/>
    <d v="2025-11-01T00:00:00"/>
    <n v="11"/>
    <s v="CUST-00112"/>
    <x v="1"/>
    <x v="22"/>
    <s v="AS"/>
    <x v="2"/>
    <s v="Guwahati"/>
    <x v="0"/>
    <s v="P101"/>
    <s v="Vitamin C Face Serum"/>
    <x v="3"/>
    <n v="1"/>
    <n v="599"/>
    <n v="0.25"/>
    <n v="599"/>
    <n v="149.75"/>
    <n v="449.25"/>
    <n v="180"/>
    <n v="180"/>
    <n v="60"/>
    <n v="209.25"/>
    <n v="0.46577629382303842"/>
    <x v="1"/>
    <d v="2025-11-28T00:00:00"/>
    <n v="7"/>
    <x v="2"/>
    <n v="3"/>
    <n v="0"/>
  </r>
  <r>
    <s v="ORD-104514"/>
    <x v="686"/>
    <x v="1"/>
    <d v="2025-11-01T00:00:00"/>
    <n v="11"/>
    <s v="CUST-03179"/>
    <x v="0"/>
    <x v="13"/>
    <s v="MP"/>
    <x v="1"/>
    <s v="Bhopal"/>
    <x v="3"/>
    <s v="P105"/>
    <s v="Retinol Night Cream"/>
    <x v="3"/>
    <n v="2"/>
    <n v="799"/>
    <n v="0.15"/>
    <n v="1598"/>
    <n v="239.7"/>
    <n v="1358.3"/>
    <n v="216"/>
    <n v="432"/>
    <n v="60"/>
    <n v="866.3"/>
    <n v="0.63778252227048515"/>
    <x v="0"/>
    <d v="2025-11-26T00:00:00"/>
    <n v="5"/>
    <x v="2"/>
    <m/>
    <n v="0"/>
  </r>
  <r>
    <s v="ORD-104515"/>
    <x v="686"/>
    <x v="1"/>
    <d v="2025-11-01T00:00:00"/>
    <n v="11"/>
    <s v="CUST-00039"/>
    <x v="1"/>
    <x v="10"/>
    <s v="CG"/>
    <x v="2"/>
    <s v="Raipur"/>
    <x v="0"/>
    <s v="P401"/>
    <s v="Running Shoes"/>
    <x v="5"/>
    <n v="1"/>
    <n v="2999"/>
    <n v="0.3"/>
    <n v="2999"/>
    <n v="899.69999999999993"/>
    <n v="2099.3000000000002"/>
    <n v="1440"/>
    <n v="1440"/>
    <n v="60"/>
    <n v="599.30000000000018"/>
    <n v="0.28547611108464732"/>
    <x v="1"/>
    <d v="2025-11-27T00:00:00"/>
    <n v="6"/>
    <x v="2"/>
    <n v="3"/>
    <n v="0"/>
  </r>
  <r>
    <s v="ORD-104516"/>
    <x v="686"/>
    <x v="1"/>
    <d v="2025-11-01T00:00:00"/>
    <n v="11"/>
    <s v="CUST-01002"/>
    <x v="1"/>
    <x v="21"/>
    <s v="TG"/>
    <x v="3"/>
    <s v="Hyderabad"/>
    <x v="1"/>
    <s v="P301"/>
    <s v="Cotton Oversized T-Shirt"/>
    <x v="1"/>
    <n v="1"/>
    <n v="799"/>
    <n v="0.1"/>
    <n v="799"/>
    <n v="79.900000000000006"/>
    <n v="719.1"/>
    <n v="320"/>
    <n v="320"/>
    <n v="60"/>
    <n v="339.1"/>
    <n v="0.47156167431511614"/>
    <x v="0"/>
    <d v="2025-11-23T00:00:00"/>
    <n v="2"/>
    <x v="1"/>
    <n v="4"/>
    <n v="0"/>
  </r>
  <r>
    <s v="ORD-104517"/>
    <x v="686"/>
    <x v="1"/>
    <d v="2025-11-01T00:00:00"/>
    <n v="11"/>
    <s v="CUST-01985"/>
    <x v="0"/>
    <x v="21"/>
    <s v="TG"/>
    <x v="3"/>
    <s v="Hyderabad"/>
    <x v="4"/>
    <s v="P703"/>
    <s v="Green Tea (100 bags)"/>
    <x v="0"/>
    <n v="3"/>
    <n v="399"/>
    <n v="0.55000000000000004"/>
    <n v="1197"/>
    <n v="658.35"/>
    <n v="538.65"/>
    <n v="128"/>
    <n v="384"/>
    <n v="60"/>
    <n v="94.649999999999977"/>
    <n v="0.17571707045391252"/>
    <x v="1"/>
    <d v="2025-11-25T00:00:00"/>
    <n v="4"/>
    <x v="0"/>
    <m/>
    <n v="0"/>
  </r>
  <r>
    <s v="ORD-104518"/>
    <x v="686"/>
    <x v="1"/>
    <d v="2025-11-01T00:00:00"/>
    <n v="11"/>
    <s v="CUST-00328"/>
    <x v="1"/>
    <x v="11"/>
    <s v="KA"/>
    <x v="3"/>
    <s v="Mysuru"/>
    <x v="0"/>
    <s v="P105"/>
    <s v="Retinol Night Cream"/>
    <x v="3"/>
    <n v="2"/>
    <n v="799"/>
    <n v="0.2"/>
    <n v="1598"/>
    <n v="319.60000000000002"/>
    <n v="1278.4000000000001"/>
    <n v="216"/>
    <n v="432"/>
    <n v="60"/>
    <n v="786.40000000000009"/>
    <n v="0.61514392991239053"/>
    <x v="0"/>
    <d v="2025-11-24T00:00:00"/>
    <n v="3"/>
    <x v="0"/>
    <n v="4"/>
    <n v="0"/>
  </r>
  <r>
    <s v="ORD-104519"/>
    <x v="686"/>
    <x v="1"/>
    <d v="2025-11-01T00:00:00"/>
    <n v="11"/>
    <s v="CUST-00341"/>
    <x v="1"/>
    <x v="8"/>
    <s v="AP"/>
    <x v="3"/>
    <s v="Vijayawada"/>
    <x v="4"/>
    <s v="P403"/>
    <s v="Kolhapuri Sandals"/>
    <x v="5"/>
    <n v="1"/>
    <n v="999"/>
    <n v="0.05"/>
    <n v="999"/>
    <n v="49.95"/>
    <n v="949.05"/>
    <n v="400"/>
    <n v="400"/>
    <n v="60"/>
    <n v="489.04999999999995"/>
    <n v="0.5153047784626732"/>
    <x v="0"/>
    <d v="2025-11-25T00:00:00"/>
    <n v="4"/>
    <x v="0"/>
    <n v="4"/>
    <n v="0"/>
  </r>
  <r>
    <s v="ORD-104520"/>
    <x v="686"/>
    <x v="1"/>
    <d v="2025-11-01T00:00:00"/>
    <n v="11"/>
    <s v="CUST-00309"/>
    <x v="1"/>
    <x v="8"/>
    <s v="AP"/>
    <x v="3"/>
    <s v="Vijayawada"/>
    <x v="0"/>
    <s v="P302"/>
    <s v="Linen Kurta"/>
    <x v="1"/>
    <n v="2"/>
    <n v="1499"/>
    <n v="0.3"/>
    <n v="2998"/>
    <n v="899.4"/>
    <n v="2098.6"/>
    <n v="630"/>
    <n v="1260"/>
    <n v="120"/>
    <n v="718.59999999999991"/>
    <n v="0.34241875536071664"/>
    <x v="3"/>
    <d v="2025-11-26T00:00:00"/>
    <n v="5"/>
    <x v="2"/>
    <m/>
    <n v="1"/>
  </r>
  <r>
    <s v="ORD-104521"/>
    <x v="686"/>
    <x v="1"/>
    <d v="2025-11-01T00:00:00"/>
    <n v="11"/>
    <s v="CUST-00048"/>
    <x v="1"/>
    <x v="14"/>
    <s v="KL"/>
    <x v="3"/>
    <s v="Thiruvananthapuram"/>
    <x v="1"/>
    <s v="P302"/>
    <s v="Linen Kurta"/>
    <x v="1"/>
    <n v="2"/>
    <n v="1499"/>
    <n v="0.6"/>
    <n v="2998"/>
    <n v="1798.8"/>
    <n v="1199.2"/>
    <n v="630"/>
    <n v="1260"/>
    <n v="60"/>
    <n v="-120.79999999999995"/>
    <n v="-0.10073382254836553"/>
    <x v="0"/>
    <d v="2025-11-24T00:00:00"/>
    <n v="3"/>
    <x v="0"/>
    <n v="4"/>
    <n v="0"/>
  </r>
  <r>
    <s v="ORD-104522"/>
    <x v="687"/>
    <x v="1"/>
    <d v="2025-11-01T00:00:00"/>
    <n v="11"/>
    <s v="CUST-00721"/>
    <x v="1"/>
    <x v="1"/>
    <s v="GJ"/>
    <x v="1"/>
    <s v="Ahmedabad"/>
    <x v="4"/>
    <s v="P303"/>
    <s v="Joggers"/>
    <x v="1"/>
    <n v="2"/>
    <n v="1199"/>
    <n v="0.25"/>
    <n v="2398"/>
    <n v="599.5"/>
    <n v="1798.5"/>
    <n v="492"/>
    <n v="984"/>
    <n v="60"/>
    <n v="754.5"/>
    <n v="0.41951626355296079"/>
    <x v="0"/>
    <d v="2025-11-24T00:00:00"/>
    <n v="2"/>
    <x v="1"/>
    <m/>
    <n v="0"/>
  </r>
  <r>
    <s v="ORD-104523"/>
    <x v="687"/>
    <x v="1"/>
    <d v="2025-11-01T00:00:00"/>
    <n v="11"/>
    <s v="CUST-00381"/>
    <x v="1"/>
    <x v="18"/>
    <s v="WB"/>
    <x v="2"/>
    <s v="Kolkata"/>
    <x v="2"/>
    <s v="P404"/>
    <s v="Flip Flops"/>
    <x v="5"/>
    <n v="2"/>
    <n v="399"/>
    <n v="0.25"/>
    <n v="798"/>
    <n v="199.5"/>
    <n v="598.5"/>
    <n v="152"/>
    <n v="304"/>
    <n v="60"/>
    <n v="234.5"/>
    <n v="0.391812865497076"/>
    <x v="0"/>
    <d v="2025-11-27T00:00:00"/>
    <n v="5"/>
    <x v="2"/>
    <n v="3"/>
    <n v="0"/>
  </r>
  <r>
    <s v="ORD-104524"/>
    <x v="687"/>
    <x v="1"/>
    <d v="2025-11-01T00:00:00"/>
    <n v="11"/>
    <s v="CUST-02442"/>
    <x v="1"/>
    <x v="18"/>
    <s v="WB"/>
    <x v="2"/>
    <s v="Kolkata"/>
    <x v="4"/>
    <s v="P602"/>
    <s v="Fast Charger 33W"/>
    <x v="2"/>
    <n v="1"/>
    <n v="899"/>
    <n v="0.05"/>
    <n v="899"/>
    <n v="44.95"/>
    <n v="854.05"/>
    <n v="494"/>
    <n v="494"/>
    <n v="60"/>
    <n v="300.04999999999995"/>
    <n v="0.35132603477548152"/>
    <x v="0"/>
    <d v="2025-11-25T00:00:00"/>
    <n v="3"/>
    <x v="0"/>
    <n v="5"/>
    <n v="0"/>
  </r>
  <r>
    <s v="ORD-104525"/>
    <x v="687"/>
    <x v="1"/>
    <d v="2025-11-01T00:00:00"/>
    <n v="11"/>
    <s v="CUST-00404"/>
    <x v="1"/>
    <x v="21"/>
    <s v="TG"/>
    <x v="3"/>
    <s v="Hyderabad"/>
    <x v="0"/>
    <s v="P103"/>
    <s v="Niacinamide Toner"/>
    <x v="3"/>
    <n v="1"/>
    <n v="399"/>
    <n v="0.35"/>
    <n v="399"/>
    <n v="139.64999999999998"/>
    <n v="259.35000000000002"/>
    <n v="112"/>
    <n v="112"/>
    <n v="60"/>
    <n v="87.350000000000023"/>
    <n v="0.33680354732986317"/>
    <x v="0"/>
    <d v="2025-11-24T00:00:00"/>
    <n v="2"/>
    <x v="1"/>
    <m/>
    <n v="0"/>
  </r>
  <r>
    <s v="ORD-104526"/>
    <x v="687"/>
    <x v="1"/>
    <d v="2025-11-01T00:00:00"/>
    <n v="11"/>
    <s v="CUST-00234"/>
    <x v="1"/>
    <x v="14"/>
    <s v="KL"/>
    <x v="3"/>
    <s v="Thiruvananthapuram"/>
    <x v="1"/>
    <s v="P403"/>
    <s v="Kolhapuri Sandals"/>
    <x v="5"/>
    <n v="4"/>
    <n v="999"/>
    <n v="0.2"/>
    <n v="3996"/>
    <n v="799.2"/>
    <n v="3196.8"/>
    <n v="400"/>
    <n v="1600"/>
    <n v="60"/>
    <n v="1536.8000000000002"/>
    <n v="0.48073073073073075"/>
    <x v="1"/>
    <d v="2025-11-26T00:00:00"/>
    <n v="4"/>
    <x v="0"/>
    <n v="4"/>
    <n v="0"/>
  </r>
  <r>
    <s v="ORD-104527"/>
    <x v="687"/>
    <x v="1"/>
    <d v="2025-11-01T00:00:00"/>
    <n v="11"/>
    <s v="CUST-01912"/>
    <x v="1"/>
    <x v="14"/>
    <s v="KL"/>
    <x v="3"/>
    <s v="Thiruvananthapuram"/>
    <x v="4"/>
    <s v="P502"/>
    <s v="Ceramic Dinner Set"/>
    <x v="4"/>
    <n v="1"/>
    <n v="2499"/>
    <n v="0.3"/>
    <n v="2499"/>
    <n v="749.69999999999993"/>
    <n v="1749.3000000000002"/>
    <n v="1250"/>
    <n v="1250"/>
    <n v="60"/>
    <n v="439.30000000000018"/>
    <n v="0.25112902303778661"/>
    <x v="0"/>
    <d v="2025-11-26T00:00:00"/>
    <n v="4"/>
    <x v="0"/>
    <n v="3"/>
    <n v="0"/>
  </r>
  <r>
    <s v="ORD-104528"/>
    <x v="688"/>
    <x v="1"/>
    <d v="2025-11-01T00:00:00"/>
    <n v="11"/>
    <s v="CUST-00249"/>
    <x v="1"/>
    <x v="19"/>
    <s v="PB"/>
    <x v="0"/>
    <s v="Amritsar"/>
    <x v="0"/>
    <s v="P204"/>
    <s v="Anti-Dandruff Conditioner"/>
    <x v="6"/>
    <n v="1"/>
    <n v="399"/>
    <n v="0.4"/>
    <n v="399"/>
    <n v="159.60000000000002"/>
    <n v="239.39999999999998"/>
    <n v="136"/>
    <n v="136"/>
    <n v="60"/>
    <n v="43.399999999999977"/>
    <n v="0.18128654970760227"/>
    <x v="3"/>
    <d v="2025-11-24T00:00:00"/>
    <n v="1"/>
    <x v="1"/>
    <m/>
    <n v="0"/>
  </r>
  <r>
    <s v="ORD-104529"/>
    <x v="688"/>
    <x v="1"/>
    <d v="2025-11-01T00:00:00"/>
    <n v="11"/>
    <s v="CUST-01521"/>
    <x v="1"/>
    <x v="0"/>
    <s v="RJ"/>
    <x v="0"/>
    <s v="Jaipur"/>
    <x v="3"/>
    <s v="P701"/>
    <s v="Ashwagandha Capsules"/>
    <x v="0"/>
    <n v="3"/>
    <n v="499"/>
    <n v="0.2"/>
    <n v="1497"/>
    <n v="299.40000000000003"/>
    <n v="1197.5999999999999"/>
    <n v="150"/>
    <n v="450"/>
    <n v="60"/>
    <n v="687.59999999999991"/>
    <n v="0.57414829659318634"/>
    <x v="1"/>
    <d v="2025-11-26T00:00:00"/>
    <n v="3"/>
    <x v="0"/>
    <n v="4"/>
    <n v="0"/>
  </r>
  <r>
    <s v="ORD-104530"/>
    <x v="688"/>
    <x v="1"/>
    <d v="2025-11-01T00:00:00"/>
    <n v="11"/>
    <s v="CUST-01129"/>
    <x v="1"/>
    <x v="15"/>
    <s v="HR"/>
    <x v="0"/>
    <s v="Faridabad"/>
    <x v="3"/>
    <s v="P701"/>
    <s v="Ashwagandha Capsules"/>
    <x v="0"/>
    <n v="1"/>
    <n v="499"/>
    <n v="0.2"/>
    <n v="499"/>
    <n v="99.800000000000011"/>
    <n v="399.2"/>
    <n v="150"/>
    <n v="150"/>
    <n v="60"/>
    <n v="189.2"/>
    <n v="0.47394789579158314"/>
    <x v="0"/>
    <d v="2025-11-25T00:00:00"/>
    <n v="2"/>
    <x v="1"/>
    <n v="4"/>
    <n v="0"/>
  </r>
  <r>
    <s v="ORD-104531"/>
    <x v="688"/>
    <x v="1"/>
    <d v="2025-11-01T00:00:00"/>
    <n v="11"/>
    <s v="CUST-00661"/>
    <x v="0"/>
    <x v="6"/>
    <s v="DL"/>
    <x v="0"/>
    <s v="New Delhi"/>
    <x v="0"/>
    <s v="P702"/>
    <s v="Whey Protein 1kg"/>
    <x v="0"/>
    <n v="2"/>
    <n v="2299"/>
    <n v="0.5"/>
    <n v="4598"/>
    <n v="2299"/>
    <n v="2299"/>
    <n v="1333"/>
    <n v="2666"/>
    <n v="60"/>
    <n v="-427"/>
    <n v="-0.18573292735972161"/>
    <x v="1"/>
    <d v="2025-11-25T00:00:00"/>
    <n v="2"/>
    <x v="1"/>
    <n v="4"/>
    <n v="0"/>
  </r>
  <r>
    <s v="ORD-104532"/>
    <x v="688"/>
    <x v="1"/>
    <d v="2025-11-01T00:00:00"/>
    <n v="11"/>
    <s v="CUST-00613"/>
    <x v="0"/>
    <x v="16"/>
    <s v="UP"/>
    <x v="0"/>
    <s v="Kanpur"/>
    <x v="2"/>
    <s v="P503"/>
    <s v="Scented Candle Set"/>
    <x v="4"/>
    <n v="2"/>
    <n v="699"/>
    <n v="0.25"/>
    <n v="1398"/>
    <n v="349.5"/>
    <n v="1048.5"/>
    <n v="245"/>
    <n v="490"/>
    <n v="60"/>
    <n v="498.5"/>
    <n v="0.47544110634239389"/>
    <x v="0"/>
    <d v="2025-11-28T00:00:00"/>
    <n v="5"/>
    <x v="2"/>
    <m/>
    <n v="0"/>
  </r>
  <r>
    <s v="ORD-104533"/>
    <x v="688"/>
    <x v="1"/>
    <d v="2025-11-01T00:00:00"/>
    <n v="11"/>
    <s v="CUST-00225"/>
    <x v="1"/>
    <x v="12"/>
    <s v="BR"/>
    <x v="2"/>
    <s v="Patna"/>
    <x v="3"/>
    <s v="P704"/>
    <s v="Multivitamin Gummies"/>
    <x v="0"/>
    <n v="3"/>
    <n v="699"/>
    <n v="0.4"/>
    <n v="2097"/>
    <n v="838.80000000000007"/>
    <n v="1258.1999999999998"/>
    <n v="238"/>
    <n v="714"/>
    <n v="60"/>
    <n v="484.19999999999982"/>
    <n v="0.38483547925608003"/>
    <x v="1"/>
    <d v="2025-11-28T00:00:00"/>
    <n v="5"/>
    <x v="2"/>
    <m/>
    <n v="0"/>
  </r>
  <r>
    <s v="ORD-104534"/>
    <x v="688"/>
    <x v="1"/>
    <d v="2025-11-01T00:00:00"/>
    <n v="11"/>
    <s v="CUST-00692"/>
    <x v="1"/>
    <x v="12"/>
    <s v="BR"/>
    <x v="2"/>
    <s v="Patna"/>
    <x v="2"/>
    <s v="P101"/>
    <s v="Vitamin C Face Serum"/>
    <x v="3"/>
    <n v="2"/>
    <n v="599"/>
    <n v="0.2"/>
    <n v="1198"/>
    <n v="239.60000000000002"/>
    <n v="958.4"/>
    <n v="180"/>
    <n v="360"/>
    <n v="60"/>
    <n v="538.4"/>
    <n v="0.56176961602671116"/>
    <x v="0"/>
    <d v="2025-11-29T00:00:00"/>
    <n v="6"/>
    <x v="2"/>
    <m/>
    <n v="0"/>
  </r>
  <r>
    <s v="ORD-104535"/>
    <x v="688"/>
    <x v="1"/>
    <d v="2025-11-01T00:00:00"/>
    <n v="11"/>
    <s v="CUST-00694"/>
    <x v="1"/>
    <x v="1"/>
    <s v="GJ"/>
    <x v="1"/>
    <s v="Surat"/>
    <x v="2"/>
    <s v="P502"/>
    <s v="Ceramic Dinner Set"/>
    <x v="4"/>
    <n v="2"/>
    <n v="2499"/>
    <n v="0.45"/>
    <n v="4998"/>
    <n v="2249.1"/>
    <n v="2748.9"/>
    <n v="1250"/>
    <n v="2500"/>
    <n v="60"/>
    <n v="188.90000000000009"/>
    <n v="6.8718396449488919E-2"/>
    <x v="1"/>
    <d v="2025-11-26T00:00:00"/>
    <n v="3"/>
    <x v="0"/>
    <m/>
    <n v="0"/>
  </r>
  <r>
    <s v="ORD-104536"/>
    <x v="688"/>
    <x v="1"/>
    <d v="2025-11-01T00:00:00"/>
    <n v="11"/>
    <s v="CUST-01384"/>
    <x v="0"/>
    <x v="13"/>
    <s v="MP"/>
    <x v="1"/>
    <s v="Indore"/>
    <x v="1"/>
    <s v="P301"/>
    <s v="Cotton Oversized T-Shirt"/>
    <x v="1"/>
    <n v="1"/>
    <n v="799"/>
    <n v="0.25"/>
    <n v="799"/>
    <n v="199.75"/>
    <n v="599.25"/>
    <n v="320"/>
    <n v="320"/>
    <n v="60"/>
    <n v="219.25"/>
    <n v="0.36587400917813934"/>
    <x v="0"/>
    <d v="2025-11-25T00:00:00"/>
    <n v="2"/>
    <x v="1"/>
    <n v="4"/>
    <n v="0"/>
  </r>
  <r>
    <s v="ORD-104537"/>
    <x v="688"/>
    <x v="1"/>
    <d v="2025-11-01T00:00:00"/>
    <n v="11"/>
    <s v="CUST-00988"/>
    <x v="1"/>
    <x v="13"/>
    <s v="MP"/>
    <x v="1"/>
    <s v="Indore"/>
    <x v="1"/>
    <s v="P302"/>
    <s v="Linen Kurta"/>
    <x v="1"/>
    <n v="3"/>
    <n v="1499"/>
    <n v="0.35"/>
    <n v="4497"/>
    <n v="1573.9499999999998"/>
    <n v="2923.05"/>
    <n v="630"/>
    <n v="1890"/>
    <n v="120"/>
    <n v="913.05000000000018"/>
    <n v="0.31236208754554323"/>
    <x v="3"/>
    <d v="2025-11-27T00:00:00"/>
    <n v="4"/>
    <x v="0"/>
    <n v="5"/>
    <n v="1"/>
  </r>
  <r>
    <s v="ORD-104538"/>
    <x v="688"/>
    <x v="1"/>
    <d v="2025-11-01T00:00:00"/>
    <n v="11"/>
    <s v="CUST-02437"/>
    <x v="0"/>
    <x v="7"/>
    <s v="JH"/>
    <x v="2"/>
    <s v="Ranchi"/>
    <x v="0"/>
    <s v="P604"/>
    <s v="Power Bank 20000mAh"/>
    <x v="2"/>
    <n v="5"/>
    <n v="1799"/>
    <n v="0.4"/>
    <n v="8995"/>
    <n v="3598"/>
    <n v="5397"/>
    <n v="1079"/>
    <n v="5395"/>
    <n v="60"/>
    <n v="-58"/>
    <n v="-1.0746711135816194E-2"/>
    <x v="0"/>
    <d v="2025-11-30T00:00:00"/>
    <n v="7"/>
    <x v="2"/>
    <m/>
    <n v="0"/>
  </r>
  <r>
    <s v="ORD-104539"/>
    <x v="688"/>
    <x v="1"/>
    <d v="2025-11-01T00:00:00"/>
    <n v="11"/>
    <s v="CUST-00813"/>
    <x v="1"/>
    <x v="21"/>
    <s v="TG"/>
    <x v="3"/>
    <s v="Hyderabad"/>
    <x v="4"/>
    <s v="P704"/>
    <s v="Multivitamin Gummies"/>
    <x v="0"/>
    <n v="1"/>
    <n v="699"/>
    <n v="0.5"/>
    <n v="699"/>
    <n v="349.5"/>
    <n v="349.5"/>
    <n v="238"/>
    <n v="238"/>
    <n v="60"/>
    <n v="51.5"/>
    <n v="0.14735336194563661"/>
    <x v="0"/>
    <d v="2025-11-27T00:00:00"/>
    <n v="4"/>
    <x v="0"/>
    <n v="3"/>
    <n v="0"/>
  </r>
  <r>
    <s v="ORD-104540"/>
    <x v="688"/>
    <x v="1"/>
    <d v="2025-11-01T00:00:00"/>
    <n v="11"/>
    <s v="CUST-00069"/>
    <x v="1"/>
    <x v="11"/>
    <s v="KA"/>
    <x v="3"/>
    <s v="Bengaluru"/>
    <x v="0"/>
    <s v="P101"/>
    <s v="Vitamin C Face Serum"/>
    <x v="3"/>
    <n v="2"/>
    <n v="599"/>
    <n v="0.35"/>
    <n v="1198"/>
    <n v="419.29999999999995"/>
    <n v="778.7"/>
    <n v="180"/>
    <n v="360"/>
    <n v="60"/>
    <n v="358.70000000000005"/>
    <n v="0.4606395274174907"/>
    <x v="0"/>
    <d v="2025-11-24T00:00:00"/>
    <n v="1"/>
    <x v="1"/>
    <n v="5"/>
    <n v="0"/>
  </r>
  <r>
    <s v="ORD-104541"/>
    <x v="688"/>
    <x v="1"/>
    <d v="2025-11-01T00:00:00"/>
    <n v="11"/>
    <s v="CUST-00135"/>
    <x v="0"/>
    <x v="11"/>
    <s v="KA"/>
    <x v="3"/>
    <s v="Mysuru"/>
    <x v="0"/>
    <s v="P401"/>
    <s v="Running Shoes"/>
    <x v="5"/>
    <n v="2"/>
    <n v="2999"/>
    <n v="0.35"/>
    <n v="5998"/>
    <n v="2099.2999999999997"/>
    <n v="3898.7000000000003"/>
    <n v="1440"/>
    <n v="2880"/>
    <n v="60"/>
    <n v="958.70000000000027"/>
    <n v="0.24590248031395084"/>
    <x v="1"/>
    <d v="2025-11-25T00:00:00"/>
    <n v="2"/>
    <x v="1"/>
    <m/>
    <n v="0"/>
  </r>
  <r>
    <s v="ORD-104542"/>
    <x v="688"/>
    <x v="1"/>
    <d v="2025-11-01T00:00:00"/>
    <n v="11"/>
    <s v="CUST-00058"/>
    <x v="1"/>
    <x v="11"/>
    <s v="KA"/>
    <x v="3"/>
    <s v="Bengaluru"/>
    <x v="0"/>
    <s v="P402"/>
    <s v="Casual Sneakers"/>
    <x v="5"/>
    <n v="3"/>
    <n v="2199"/>
    <n v="0.25"/>
    <n v="6597"/>
    <n v="1649.25"/>
    <n v="4947.75"/>
    <n v="1034"/>
    <n v="3102"/>
    <n v="60"/>
    <n v="1785.75"/>
    <n v="0.3609216310444141"/>
    <x v="0"/>
    <d v="2025-11-24T00:00:00"/>
    <n v="1"/>
    <x v="1"/>
    <m/>
    <n v="0"/>
  </r>
  <r>
    <s v="ORD-104543"/>
    <x v="688"/>
    <x v="1"/>
    <d v="2025-11-01T00:00:00"/>
    <n v="11"/>
    <s v="CUST-01325"/>
    <x v="1"/>
    <x v="11"/>
    <s v="KA"/>
    <x v="3"/>
    <s v="Bengaluru"/>
    <x v="4"/>
    <s v="P303"/>
    <s v="Joggers"/>
    <x v="1"/>
    <n v="1"/>
    <n v="1199"/>
    <n v="0.25"/>
    <n v="1199"/>
    <n v="299.75"/>
    <n v="899.25"/>
    <n v="492"/>
    <n v="492"/>
    <n v="60"/>
    <n v="347.25"/>
    <n v="0.38615512927439533"/>
    <x v="1"/>
    <d v="2025-11-27T00:00:00"/>
    <n v="4"/>
    <x v="0"/>
    <m/>
    <n v="0"/>
  </r>
  <r>
    <s v="ORD-104544"/>
    <x v="688"/>
    <x v="1"/>
    <d v="2025-11-01T00:00:00"/>
    <n v="11"/>
    <s v="CUST-00667"/>
    <x v="1"/>
    <x v="8"/>
    <s v="AP"/>
    <x v="3"/>
    <s v="Visakhapatnam"/>
    <x v="0"/>
    <s v="P102"/>
    <s v="Sunscreen SPF 50"/>
    <x v="3"/>
    <n v="1"/>
    <n v="449"/>
    <n v="0.15"/>
    <n v="449"/>
    <n v="67.349999999999994"/>
    <n v="381.65"/>
    <n v="144"/>
    <n v="144"/>
    <n v="120"/>
    <n v="117.64999999999998"/>
    <n v="0.30826673653871345"/>
    <x v="0"/>
    <d v="2025-11-29T00:00:00"/>
    <n v="6"/>
    <x v="2"/>
    <n v="3"/>
    <n v="1"/>
  </r>
  <r>
    <s v="ORD-104545"/>
    <x v="688"/>
    <x v="1"/>
    <d v="2025-11-01T00:00:00"/>
    <n v="11"/>
    <s v="CUST-00749"/>
    <x v="1"/>
    <x v="14"/>
    <s v="KL"/>
    <x v="3"/>
    <s v="Thiruvananthapuram"/>
    <x v="4"/>
    <s v="P404"/>
    <s v="Flip Flops"/>
    <x v="5"/>
    <n v="2"/>
    <n v="399"/>
    <n v="0.3"/>
    <n v="798"/>
    <n v="239.39999999999998"/>
    <n v="558.6"/>
    <n v="152"/>
    <n v="304"/>
    <n v="60"/>
    <n v="194.60000000000002"/>
    <n v="0.34837092731829578"/>
    <x v="2"/>
    <d v="2025-11-27T00:00:00"/>
    <n v="4"/>
    <x v="0"/>
    <m/>
    <n v="0"/>
  </r>
  <r>
    <s v="ORD-104546"/>
    <x v="689"/>
    <x v="1"/>
    <d v="2025-11-01T00:00:00"/>
    <n v="11"/>
    <s v="CUST-03101"/>
    <x v="0"/>
    <x v="5"/>
    <s v="HP"/>
    <x v="0"/>
    <s v="Shimla"/>
    <x v="4"/>
    <s v="P404"/>
    <s v="Flip Flops"/>
    <x v="5"/>
    <n v="1"/>
    <n v="399"/>
    <n v="0.25"/>
    <n v="399"/>
    <n v="99.75"/>
    <n v="299.25"/>
    <n v="152"/>
    <n v="152"/>
    <n v="120"/>
    <n v="27.25"/>
    <n v="9.1060985797827898E-2"/>
    <x v="1"/>
    <d v="2025-11-29T00:00:00"/>
    <n v="5"/>
    <x v="2"/>
    <n v="4"/>
    <n v="1"/>
  </r>
  <r>
    <s v="ORD-104547"/>
    <x v="689"/>
    <x v="1"/>
    <d v="2025-11-01T00:00:00"/>
    <n v="11"/>
    <s v="CUST-00806"/>
    <x v="1"/>
    <x v="9"/>
    <s v="UK"/>
    <x v="0"/>
    <s v="Dehradun"/>
    <x v="0"/>
    <s v="P103"/>
    <s v="Niacinamide Toner"/>
    <x v="3"/>
    <n v="2"/>
    <n v="399"/>
    <n v="0.25"/>
    <n v="798"/>
    <n v="199.5"/>
    <n v="598.5"/>
    <n v="112"/>
    <n v="224"/>
    <n v="60"/>
    <n v="314.5"/>
    <n v="0.52548036758563077"/>
    <x v="0"/>
    <d v="2025-11-29T00:00:00"/>
    <n v="5"/>
    <x v="2"/>
    <n v="4"/>
    <n v="0"/>
  </r>
  <r>
    <s v="ORD-104548"/>
    <x v="689"/>
    <x v="1"/>
    <d v="2025-11-01T00:00:00"/>
    <n v="11"/>
    <s v="CUST-02177"/>
    <x v="1"/>
    <x v="16"/>
    <s v="UP"/>
    <x v="0"/>
    <s v="Noida"/>
    <x v="0"/>
    <s v="P404"/>
    <s v="Flip Flops"/>
    <x v="5"/>
    <n v="2"/>
    <n v="399"/>
    <n v="0.4"/>
    <n v="798"/>
    <n v="319.20000000000005"/>
    <n v="478.79999999999995"/>
    <n v="152"/>
    <n v="304"/>
    <n v="60"/>
    <n v="114.79999999999995"/>
    <n v="0.23976608187134496"/>
    <x v="1"/>
    <d v="2025-11-29T00:00:00"/>
    <n v="5"/>
    <x v="2"/>
    <n v="3"/>
    <n v="0"/>
  </r>
  <r>
    <s v="ORD-104549"/>
    <x v="689"/>
    <x v="1"/>
    <d v="2025-11-01T00:00:00"/>
    <n v="11"/>
    <s v="CUST-02197"/>
    <x v="1"/>
    <x v="13"/>
    <s v="MP"/>
    <x v="1"/>
    <s v="Indore"/>
    <x v="1"/>
    <s v="P303"/>
    <s v="Joggers"/>
    <x v="1"/>
    <n v="2"/>
    <n v="1199"/>
    <n v="0.3"/>
    <n v="2398"/>
    <n v="719.4"/>
    <n v="1678.6"/>
    <n v="492"/>
    <n v="984"/>
    <n v="60"/>
    <n v="634.59999999999991"/>
    <n v="0.37805313952102937"/>
    <x v="0"/>
    <d v="2025-11-28T00:00:00"/>
    <n v="4"/>
    <x v="0"/>
    <n v="4"/>
    <n v="0"/>
  </r>
  <r>
    <s v="ORD-104550"/>
    <x v="689"/>
    <x v="1"/>
    <d v="2025-11-01T00:00:00"/>
    <n v="11"/>
    <s v="CUST-00890"/>
    <x v="1"/>
    <x v="7"/>
    <s v="JH"/>
    <x v="2"/>
    <s v="Ranchi"/>
    <x v="3"/>
    <s v="P103"/>
    <s v="Niacinamide Toner"/>
    <x v="3"/>
    <n v="2"/>
    <n v="399"/>
    <n v="0.4"/>
    <n v="798"/>
    <n v="319.20000000000005"/>
    <n v="478.79999999999995"/>
    <n v="112"/>
    <n v="224"/>
    <n v="60"/>
    <n v="194.79999999999995"/>
    <n v="0.40685045948203835"/>
    <x v="0"/>
    <d v="2025-11-29T00:00:00"/>
    <n v="5"/>
    <x v="2"/>
    <m/>
    <n v="0"/>
  </r>
  <r>
    <s v="ORD-104551"/>
    <x v="689"/>
    <x v="1"/>
    <d v="2025-11-01T00:00:00"/>
    <n v="11"/>
    <s v="CUST-01942"/>
    <x v="0"/>
    <x v="18"/>
    <s v="WB"/>
    <x v="2"/>
    <s v="Kolkata"/>
    <x v="4"/>
    <s v="P603"/>
    <s v="Smartwatch Strap"/>
    <x v="2"/>
    <n v="2"/>
    <n v="499"/>
    <n v="0.4"/>
    <n v="998"/>
    <n v="399.20000000000005"/>
    <n v="598.79999999999995"/>
    <n v="200"/>
    <n v="400"/>
    <n v="60"/>
    <n v="138.79999999999995"/>
    <n v="0.2317969271877087"/>
    <x v="0"/>
    <d v="2025-11-29T00:00:00"/>
    <n v="5"/>
    <x v="2"/>
    <m/>
    <n v="0"/>
  </r>
  <r>
    <s v="ORD-104552"/>
    <x v="689"/>
    <x v="1"/>
    <d v="2025-11-01T00:00:00"/>
    <n v="11"/>
    <s v="CUST-00980"/>
    <x v="1"/>
    <x v="21"/>
    <s v="TG"/>
    <x v="3"/>
    <s v="Hyderabad"/>
    <x v="4"/>
    <s v="P302"/>
    <s v="Linen Kurta"/>
    <x v="1"/>
    <n v="1"/>
    <n v="1499"/>
    <n v="0.35"/>
    <n v="1499"/>
    <n v="524.65"/>
    <n v="974.35"/>
    <n v="630"/>
    <n v="630"/>
    <n v="60"/>
    <n v="284.35000000000002"/>
    <n v="0.29183558269615645"/>
    <x v="0"/>
    <d v="2025-11-26T00:00:00"/>
    <n v="2"/>
    <x v="1"/>
    <m/>
    <n v="0"/>
  </r>
  <r>
    <s v="ORD-104553"/>
    <x v="689"/>
    <x v="1"/>
    <d v="2025-11-01T00:00:00"/>
    <n v="11"/>
    <s v="CUST-00219"/>
    <x v="1"/>
    <x v="21"/>
    <s v="TG"/>
    <x v="3"/>
    <s v="Hyderabad"/>
    <x v="1"/>
    <s v="P403"/>
    <s v="Kolhapuri Sandals"/>
    <x v="5"/>
    <n v="1"/>
    <n v="999"/>
    <n v="0.2"/>
    <n v="999"/>
    <n v="199.8"/>
    <n v="799.2"/>
    <n v="400"/>
    <n v="400"/>
    <n v="60"/>
    <n v="339.20000000000005"/>
    <n v="0.42442442442442446"/>
    <x v="4"/>
    <d v="2025-11-27T00:00:00"/>
    <n v="3"/>
    <x v="0"/>
    <n v="5"/>
    <n v="0"/>
  </r>
  <r>
    <s v="ORD-104554"/>
    <x v="689"/>
    <x v="1"/>
    <d v="2025-11-01T00:00:00"/>
    <n v="11"/>
    <s v="CUST-00025"/>
    <x v="1"/>
    <x v="21"/>
    <s v="TG"/>
    <x v="3"/>
    <s v="Hyderabad"/>
    <x v="4"/>
    <s v="P103"/>
    <s v="Niacinamide Toner"/>
    <x v="3"/>
    <n v="3"/>
    <n v="399"/>
    <n v="0.3"/>
    <n v="1197"/>
    <n v="359.09999999999997"/>
    <n v="837.90000000000009"/>
    <n v="112"/>
    <n v="336"/>
    <n v="60"/>
    <n v="441.90000000000009"/>
    <n v="0.527389903329753"/>
    <x v="0"/>
    <d v="2025-11-26T00:00:00"/>
    <n v="2"/>
    <x v="1"/>
    <n v="5"/>
    <n v="0"/>
  </r>
  <r>
    <s v="ORD-104555"/>
    <x v="689"/>
    <x v="1"/>
    <d v="2025-11-01T00:00:00"/>
    <n v="11"/>
    <s v="CUST-03183"/>
    <x v="1"/>
    <x v="11"/>
    <s v="KA"/>
    <x v="3"/>
    <s v="Bengaluru"/>
    <x v="3"/>
    <s v="P701"/>
    <s v="Ashwagandha Capsules"/>
    <x v="0"/>
    <n v="2"/>
    <n v="499"/>
    <n v="0.15"/>
    <n v="998"/>
    <n v="149.69999999999999"/>
    <n v="848.3"/>
    <n v="150"/>
    <n v="300"/>
    <n v="60"/>
    <n v="488.29999999999995"/>
    <n v="0.57562183189909233"/>
    <x v="3"/>
    <d v="2025-11-25T00:00:00"/>
    <n v="1"/>
    <x v="1"/>
    <n v="4"/>
    <n v="0"/>
  </r>
  <r>
    <s v="ORD-104556"/>
    <x v="689"/>
    <x v="1"/>
    <d v="2025-11-01T00:00:00"/>
    <n v="11"/>
    <s v="CUST-02844"/>
    <x v="0"/>
    <x v="11"/>
    <s v="KA"/>
    <x v="3"/>
    <s v="Bengaluru"/>
    <x v="1"/>
    <s v="P302"/>
    <s v="Linen Kurta"/>
    <x v="1"/>
    <n v="2"/>
    <n v="1499"/>
    <n v="0.5"/>
    <n v="2998"/>
    <n v="1499"/>
    <n v="1499"/>
    <n v="630"/>
    <n v="1260"/>
    <n v="60"/>
    <n v="179"/>
    <n v="0.11941294196130754"/>
    <x v="3"/>
    <d v="2025-11-27T00:00:00"/>
    <n v="3"/>
    <x v="0"/>
    <n v="5"/>
    <n v="0"/>
  </r>
  <r>
    <s v="ORD-104557"/>
    <x v="689"/>
    <x v="1"/>
    <d v="2025-11-01T00:00:00"/>
    <n v="11"/>
    <s v="CUST-02091"/>
    <x v="1"/>
    <x v="8"/>
    <s v="AP"/>
    <x v="3"/>
    <s v="Vijayawada"/>
    <x v="4"/>
    <s v="P701"/>
    <s v="Ashwagandha Capsules"/>
    <x v="0"/>
    <n v="1"/>
    <n v="499"/>
    <n v="0.2"/>
    <n v="499"/>
    <n v="99.800000000000011"/>
    <n v="399.2"/>
    <n v="150"/>
    <n v="150"/>
    <n v="60"/>
    <n v="189.2"/>
    <n v="0.47394789579158314"/>
    <x v="3"/>
    <d v="2025-11-27T00:00:00"/>
    <n v="3"/>
    <x v="0"/>
    <n v="5"/>
    <n v="0"/>
  </r>
  <r>
    <s v="ORD-104558"/>
    <x v="690"/>
    <x v="1"/>
    <d v="2025-11-01T00:00:00"/>
    <n v="11"/>
    <s v="CUST-00392"/>
    <x v="1"/>
    <x v="0"/>
    <s v="RJ"/>
    <x v="0"/>
    <s v="Jaipur"/>
    <x v="1"/>
    <s v="P301"/>
    <s v="Cotton Oversized T-Shirt"/>
    <x v="1"/>
    <n v="2"/>
    <n v="799"/>
    <n v="0.3"/>
    <n v="1598"/>
    <n v="479.4"/>
    <n v="1118.5999999999999"/>
    <n v="320"/>
    <n v="640"/>
    <n v="60"/>
    <n v="418.59999999999991"/>
    <n v="0.37421777221526903"/>
    <x v="0"/>
    <d v="2025-11-28T00:00:00"/>
    <n v="3"/>
    <x v="0"/>
    <n v="3"/>
    <n v="0"/>
  </r>
  <r>
    <s v="ORD-104559"/>
    <x v="690"/>
    <x v="1"/>
    <d v="2025-11-01T00:00:00"/>
    <n v="11"/>
    <s v="CUST-02766"/>
    <x v="0"/>
    <x v="6"/>
    <s v="DL"/>
    <x v="0"/>
    <s v="New Delhi"/>
    <x v="0"/>
    <s v="P201"/>
    <s v="Onion Hair Oil"/>
    <x v="6"/>
    <n v="1"/>
    <n v="349"/>
    <n v="0.4"/>
    <n v="349"/>
    <n v="139.6"/>
    <n v="209.4"/>
    <n v="105"/>
    <n v="105"/>
    <n v="120"/>
    <n v="-15.599999999999994"/>
    <n v="-7.4498567335243529E-2"/>
    <x v="1"/>
    <d v="2025-11-29T00:00:00"/>
    <n v="4"/>
    <x v="0"/>
    <m/>
    <n v="1"/>
  </r>
  <r>
    <s v="ORD-104560"/>
    <x v="690"/>
    <x v="1"/>
    <d v="2025-11-01T00:00:00"/>
    <n v="11"/>
    <s v="CUST-00814"/>
    <x v="0"/>
    <x v="16"/>
    <s v="UP"/>
    <x v="0"/>
    <s v="Noida"/>
    <x v="4"/>
    <s v="P105"/>
    <s v="Retinol Night Cream"/>
    <x v="3"/>
    <n v="2"/>
    <n v="799"/>
    <n v="0.1"/>
    <n v="1598"/>
    <n v="159.80000000000001"/>
    <n v="1438.2"/>
    <n v="216"/>
    <n v="432"/>
    <n v="60"/>
    <n v="946.2"/>
    <n v="0.6579057154776804"/>
    <x v="2"/>
    <d v="2025-11-30T00:00:00"/>
    <n v="5"/>
    <x v="2"/>
    <n v="3"/>
    <n v="0"/>
  </r>
  <r>
    <s v="ORD-104561"/>
    <x v="690"/>
    <x v="1"/>
    <d v="2025-11-01T00:00:00"/>
    <n v="11"/>
    <s v="CUST-02094"/>
    <x v="0"/>
    <x v="1"/>
    <s v="GJ"/>
    <x v="1"/>
    <s v="Surat"/>
    <x v="4"/>
    <s v="P602"/>
    <s v="Fast Charger 33W"/>
    <x v="2"/>
    <n v="1"/>
    <n v="899"/>
    <n v="0.15"/>
    <n v="899"/>
    <n v="134.85"/>
    <n v="764.15"/>
    <n v="494"/>
    <n v="494"/>
    <n v="120"/>
    <n v="150.14999999999998"/>
    <n v="0.1964928351763397"/>
    <x v="0"/>
    <d v="2025-11-29T00:00:00"/>
    <n v="4"/>
    <x v="0"/>
    <n v="5"/>
    <n v="1"/>
  </r>
  <r>
    <s v="ORD-104562"/>
    <x v="690"/>
    <x v="1"/>
    <d v="2025-11-01T00:00:00"/>
    <n v="11"/>
    <s v="CUST-01667"/>
    <x v="1"/>
    <x v="13"/>
    <s v="MP"/>
    <x v="1"/>
    <s v="Bhopal"/>
    <x v="4"/>
    <s v="P701"/>
    <s v="Ashwagandha Capsules"/>
    <x v="0"/>
    <n v="1"/>
    <n v="499"/>
    <n v="0.2"/>
    <n v="499"/>
    <n v="99.800000000000011"/>
    <n v="399.2"/>
    <n v="150"/>
    <n v="150"/>
    <n v="60"/>
    <n v="189.2"/>
    <n v="0.47394789579158314"/>
    <x v="0"/>
    <d v="2025-11-28T00:00:00"/>
    <n v="3"/>
    <x v="0"/>
    <n v="4"/>
    <n v="0"/>
  </r>
  <r>
    <s v="ORD-104563"/>
    <x v="690"/>
    <x v="1"/>
    <d v="2025-11-01T00:00:00"/>
    <n v="11"/>
    <s v="CUST-00085"/>
    <x v="1"/>
    <x v="13"/>
    <s v="MP"/>
    <x v="1"/>
    <s v="Bhopal"/>
    <x v="1"/>
    <s v="P404"/>
    <s v="Flip Flops"/>
    <x v="5"/>
    <n v="2"/>
    <n v="399"/>
    <n v="0.3"/>
    <n v="798"/>
    <n v="239.39999999999998"/>
    <n v="558.6"/>
    <n v="152"/>
    <n v="304"/>
    <n v="120"/>
    <n v="134.60000000000002"/>
    <n v="0.24095954171142145"/>
    <x v="3"/>
    <d v="2025-11-30T00:00:00"/>
    <n v="5"/>
    <x v="2"/>
    <n v="3"/>
    <n v="1"/>
  </r>
  <r>
    <s v="ORD-104564"/>
    <x v="690"/>
    <x v="1"/>
    <d v="2025-11-01T00:00:00"/>
    <n v="11"/>
    <s v="CUST-00283"/>
    <x v="1"/>
    <x v="21"/>
    <s v="TG"/>
    <x v="3"/>
    <s v="Hyderabad"/>
    <x v="4"/>
    <s v="P603"/>
    <s v="Smartwatch Strap"/>
    <x v="2"/>
    <n v="1"/>
    <n v="499"/>
    <n v="0.25"/>
    <n v="499"/>
    <n v="124.75"/>
    <n v="374.25"/>
    <n v="200"/>
    <n v="200"/>
    <n v="60"/>
    <n v="114.25"/>
    <n v="0.30527722110888444"/>
    <x v="4"/>
    <d v="2025-11-30T00:00:00"/>
    <n v="5"/>
    <x v="2"/>
    <n v="3"/>
    <n v="0"/>
  </r>
  <r>
    <s v="ORD-104565"/>
    <x v="690"/>
    <x v="1"/>
    <d v="2025-11-01T00:00:00"/>
    <n v="11"/>
    <s v="CUST-02474"/>
    <x v="0"/>
    <x v="11"/>
    <s v="KA"/>
    <x v="3"/>
    <s v="Bengaluru"/>
    <x v="3"/>
    <s v="P104"/>
    <s v="Hydrating Face Wash"/>
    <x v="3"/>
    <n v="1"/>
    <n v="299"/>
    <n v="0.15"/>
    <n v="299"/>
    <n v="44.85"/>
    <n v="254.15"/>
    <n v="90"/>
    <n v="90"/>
    <n v="60"/>
    <n v="104.15"/>
    <n v="0.40979736376155818"/>
    <x v="1"/>
    <d v="2025-11-27T00:00:00"/>
    <n v="2"/>
    <x v="1"/>
    <m/>
    <n v="0"/>
  </r>
  <r>
    <s v="ORD-104566"/>
    <x v="690"/>
    <x v="1"/>
    <d v="2025-11-01T00:00:00"/>
    <n v="11"/>
    <s v="CUST-01852"/>
    <x v="0"/>
    <x v="14"/>
    <s v="KL"/>
    <x v="3"/>
    <s v="Thiruvananthapuram"/>
    <x v="0"/>
    <s v="P303"/>
    <s v="Joggers"/>
    <x v="1"/>
    <n v="1"/>
    <n v="1199"/>
    <n v="0.35"/>
    <n v="1199"/>
    <n v="419.65"/>
    <n v="779.35"/>
    <n v="492"/>
    <n v="492"/>
    <n v="60"/>
    <n v="227.35000000000002"/>
    <n v="0.29171745685507156"/>
    <x v="1"/>
    <d v="2025-12-01T00:00:00"/>
    <n v="6"/>
    <x v="2"/>
    <n v="4"/>
    <n v="0"/>
  </r>
  <r>
    <s v="ORD-104567"/>
    <x v="690"/>
    <x v="1"/>
    <d v="2025-11-01T00:00:00"/>
    <n v="11"/>
    <s v="CUST-00667"/>
    <x v="1"/>
    <x v="17"/>
    <s v="TN"/>
    <x v="3"/>
    <s v="Coimbatore"/>
    <x v="1"/>
    <s v="P404"/>
    <s v="Flip Flops"/>
    <x v="5"/>
    <n v="2"/>
    <n v="399"/>
    <n v="0.4"/>
    <n v="798"/>
    <n v="319.20000000000005"/>
    <n v="478.79999999999995"/>
    <n v="152"/>
    <n v="304"/>
    <n v="60"/>
    <n v="114.79999999999995"/>
    <n v="0.23976608187134496"/>
    <x v="3"/>
    <d v="2025-11-28T00:00:00"/>
    <n v="3"/>
    <x v="0"/>
    <n v="4"/>
    <n v="0"/>
  </r>
  <r>
    <s v="ORD-104568"/>
    <x v="691"/>
    <x v="1"/>
    <d v="2025-11-01T00:00:00"/>
    <n v="11"/>
    <s v="CUST-02830"/>
    <x v="1"/>
    <x v="6"/>
    <s v="DL"/>
    <x v="0"/>
    <s v="New Delhi"/>
    <x v="0"/>
    <s v="P202"/>
    <s v="Argan Shampoo"/>
    <x v="6"/>
    <n v="2"/>
    <n v="449"/>
    <n v="0.3"/>
    <n v="898"/>
    <n v="269.39999999999998"/>
    <n v="628.6"/>
    <n v="148"/>
    <n v="296"/>
    <n v="60"/>
    <n v="272.60000000000002"/>
    <n v="0.43366210626789692"/>
    <x v="2"/>
    <d v="2025-11-30T00:00:00"/>
    <n v="4"/>
    <x v="0"/>
    <n v="5"/>
    <n v="0"/>
  </r>
  <r>
    <s v="ORD-104569"/>
    <x v="691"/>
    <x v="1"/>
    <d v="2025-11-01T00:00:00"/>
    <n v="11"/>
    <s v="CUST-01053"/>
    <x v="1"/>
    <x v="16"/>
    <s v="UP"/>
    <x v="0"/>
    <s v="Noida"/>
    <x v="4"/>
    <s v="P102"/>
    <s v="Sunscreen SPF 50"/>
    <x v="3"/>
    <n v="1"/>
    <n v="449"/>
    <n v="0.25"/>
    <n v="449"/>
    <n v="112.25"/>
    <n v="336.75"/>
    <n v="144"/>
    <n v="144"/>
    <n v="60"/>
    <n v="132.75"/>
    <n v="0.39420935412026725"/>
    <x v="1"/>
    <d v="2025-11-30T00:00:00"/>
    <n v="4"/>
    <x v="0"/>
    <m/>
    <n v="0"/>
  </r>
  <r>
    <s v="ORD-104570"/>
    <x v="691"/>
    <x v="1"/>
    <d v="2025-11-01T00:00:00"/>
    <n v="11"/>
    <s v="CUST-01342"/>
    <x v="0"/>
    <x v="12"/>
    <s v="BR"/>
    <x v="2"/>
    <s v="Patna"/>
    <x v="0"/>
    <s v="P105"/>
    <s v="Retinol Night Cream"/>
    <x v="3"/>
    <n v="2"/>
    <n v="799"/>
    <n v="0.15"/>
    <n v="1598"/>
    <n v="239.7"/>
    <n v="1358.3"/>
    <n v="216"/>
    <n v="432"/>
    <n v="120"/>
    <n v="806.3"/>
    <n v="0.59360965913273944"/>
    <x v="3"/>
    <d v="2025-12-02T00:00:00"/>
    <n v="6"/>
    <x v="2"/>
    <n v="4"/>
    <n v="1"/>
  </r>
  <r>
    <s v="ORD-104571"/>
    <x v="691"/>
    <x v="1"/>
    <d v="2025-11-01T00:00:00"/>
    <n v="11"/>
    <s v="CUST-02900"/>
    <x v="1"/>
    <x v="12"/>
    <s v="BR"/>
    <x v="2"/>
    <s v="Patna"/>
    <x v="1"/>
    <s v="P303"/>
    <s v="Joggers"/>
    <x v="1"/>
    <n v="1"/>
    <n v="1199"/>
    <n v="0.2"/>
    <n v="1199"/>
    <n v="239.8"/>
    <n v="959.2"/>
    <n v="492"/>
    <n v="492"/>
    <n v="60"/>
    <n v="407.20000000000005"/>
    <n v="0.42452043369474562"/>
    <x v="0"/>
    <d v="2025-11-30T00:00:00"/>
    <n v="4"/>
    <x v="0"/>
    <m/>
    <n v="0"/>
  </r>
  <r>
    <s v="ORD-104572"/>
    <x v="691"/>
    <x v="1"/>
    <d v="2025-11-01T00:00:00"/>
    <n v="11"/>
    <s v="CUST-00925"/>
    <x v="1"/>
    <x v="1"/>
    <s v="GJ"/>
    <x v="1"/>
    <s v="Ahmedabad"/>
    <x v="4"/>
    <s v="P203"/>
    <s v="Keratin Hair Mask"/>
    <x v="6"/>
    <n v="1"/>
    <n v="549"/>
    <n v="0.15"/>
    <n v="549"/>
    <n v="82.35"/>
    <n v="466.65"/>
    <n v="170"/>
    <n v="170"/>
    <n v="60"/>
    <n v="236.64999999999998"/>
    <n v="0.50712525447337398"/>
    <x v="0"/>
    <d v="2025-11-29T00:00:00"/>
    <n v="3"/>
    <x v="0"/>
    <n v="5"/>
    <n v="0"/>
  </r>
  <r>
    <s v="ORD-104573"/>
    <x v="691"/>
    <x v="1"/>
    <d v="2025-11-01T00:00:00"/>
    <n v="11"/>
    <s v="CUST-00198"/>
    <x v="1"/>
    <x v="13"/>
    <s v="MP"/>
    <x v="1"/>
    <s v="Bhopal"/>
    <x v="0"/>
    <s v="P301"/>
    <s v="Cotton Oversized T-Shirt"/>
    <x v="1"/>
    <n v="2"/>
    <n v="799"/>
    <n v="0.15"/>
    <n v="1598"/>
    <n v="239.7"/>
    <n v="1358.3"/>
    <n v="320"/>
    <n v="640"/>
    <n v="60"/>
    <n v="658.3"/>
    <n v="0.48464993005963336"/>
    <x v="0"/>
    <d v="2025-11-30T00:00:00"/>
    <n v="4"/>
    <x v="0"/>
    <n v="5"/>
    <n v="0"/>
  </r>
  <r>
    <s v="ORD-104574"/>
    <x v="691"/>
    <x v="1"/>
    <d v="2025-11-01T00:00:00"/>
    <n v="11"/>
    <s v="CUST-00545"/>
    <x v="1"/>
    <x v="13"/>
    <s v="MP"/>
    <x v="1"/>
    <s v="Bhopal"/>
    <x v="4"/>
    <s v="P202"/>
    <s v="Argan Shampoo"/>
    <x v="6"/>
    <n v="2"/>
    <n v="449"/>
    <n v="0.2"/>
    <n v="898"/>
    <n v="179.60000000000002"/>
    <n v="718.4"/>
    <n v="148"/>
    <n v="296"/>
    <n v="60"/>
    <n v="362.4"/>
    <n v="0.50445434298440983"/>
    <x v="0"/>
    <d v="2025-11-30T00:00:00"/>
    <n v="4"/>
    <x v="0"/>
    <n v="4"/>
    <n v="0"/>
  </r>
  <r>
    <s v="ORD-104575"/>
    <x v="691"/>
    <x v="1"/>
    <d v="2025-11-01T00:00:00"/>
    <n v="11"/>
    <s v="CUST-00658"/>
    <x v="1"/>
    <x v="7"/>
    <s v="JH"/>
    <x v="2"/>
    <s v="Ranchi"/>
    <x v="0"/>
    <s v="P604"/>
    <s v="Power Bank 20000mAh"/>
    <x v="2"/>
    <n v="2"/>
    <n v="1799"/>
    <n v="0.5"/>
    <n v="3598"/>
    <n v="1799"/>
    <n v="1799"/>
    <n v="1079"/>
    <n v="2158"/>
    <n v="60"/>
    <n v="-419"/>
    <n v="-0.23290717065036132"/>
    <x v="3"/>
    <d v="2025-11-29T00:00:00"/>
    <n v="3"/>
    <x v="0"/>
    <n v="4"/>
    <n v="0"/>
  </r>
  <r>
    <s v="ORD-104576"/>
    <x v="691"/>
    <x v="1"/>
    <d v="2025-11-01T00:00:00"/>
    <n v="11"/>
    <s v="CUST-00174"/>
    <x v="1"/>
    <x v="20"/>
    <s v="GA"/>
    <x v="1"/>
    <s v="Panaji"/>
    <x v="3"/>
    <s v="P102"/>
    <s v="Sunscreen SPF 50"/>
    <x v="3"/>
    <n v="3"/>
    <n v="449"/>
    <n v="0.15"/>
    <n v="1347"/>
    <n v="202.04999999999998"/>
    <n v="1144.95"/>
    <n v="144"/>
    <n v="432"/>
    <n v="60"/>
    <n v="652.95000000000005"/>
    <n v="0.57028691209223115"/>
    <x v="0"/>
    <d v="2025-12-01T00:00:00"/>
    <n v="5"/>
    <x v="2"/>
    <n v="4"/>
    <n v="0"/>
  </r>
  <r>
    <s v="ORD-104577"/>
    <x v="691"/>
    <x v="1"/>
    <d v="2025-11-01T00:00:00"/>
    <n v="11"/>
    <s v="CUST-01102"/>
    <x v="0"/>
    <x v="8"/>
    <s v="AP"/>
    <x v="3"/>
    <s v="Vijayawada"/>
    <x v="0"/>
    <s v="P303"/>
    <s v="Joggers"/>
    <x v="1"/>
    <n v="1"/>
    <n v="1199"/>
    <n v="0.25"/>
    <n v="1199"/>
    <n v="299.75"/>
    <n v="899.25"/>
    <n v="492"/>
    <n v="492"/>
    <n v="60"/>
    <n v="347.25"/>
    <n v="0.38615512927439533"/>
    <x v="3"/>
    <d v="2025-11-30T00:00:00"/>
    <n v="4"/>
    <x v="0"/>
    <n v="4"/>
    <n v="0"/>
  </r>
  <r>
    <s v="ORD-104578"/>
    <x v="691"/>
    <x v="1"/>
    <d v="2025-11-01T00:00:00"/>
    <n v="11"/>
    <s v="CUST-00773"/>
    <x v="1"/>
    <x v="14"/>
    <s v="KL"/>
    <x v="3"/>
    <s v="Kochi"/>
    <x v="0"/>
    <s v="P303"/>
    <s v="Joggers"/>
    <x v="1"/>
    <n v="1"/>
    <n v="1199"/>
    <n v="0.25"/>
    <n v="1199"/>
    <n v="299.75"/>
    <n v="899.25"/>
    <n v="492"/>
    <n v="492"/>
    <n v="60"/>
    <n v="347.25"/>
    <n v="0.38615512927439533"/>
    <x v="3"/>
    <d v="2025-12-02T00:00:00"/>
    <n v="6"/>
    <x v="2"/>
    <n v="4"/>
    <n v="0"/>
  </r>
  <r>
    <s v="ORD-104579"/>
    <x v="691"/>
    <x v="1"/>
    <d v="2025-11-01T00:00:00"/>
    <n v="11"/>
    <s v="CUST-01191"/>
    <x v="1"/>
    <x v="14"/>
    <s v="KL"/>
    <x v="3"/>
    <s v="Thiruvananthapuram"/>
    <x v="4"/>
    <s v="P102"/>
    <s v="Sunscreen SPF 50"/>
    <x v="3"/>
    <n v="1"/>
    <n v="449"/>
    <n v="0.3"/>
    <n v="449"/>
    <n v="134.69999999999999"/>
    <n v="314.3"/>
    <n v="144"/>
    <n v="144"/>
    <n v="60"/>
    <n v="110.30000000000001"/>
    <n v="0.35093859370028635"/>
    <x v="1"/>
    <d v="2025-11-28T00:00:00"/>
    <n v="2"/>
    <x v="1"/>
    <n v="4"/>
    <n v="0"/>
  </r>
  <r>
    <s v="ORD-104580"/>
    <x v="691"/>
    <x v="1"/>
    <d v="2025-11-01T00:00:00"/>
    <n v="11"/>
    <s v="CUST-02954"/>
    <x v="0"/>
    <x v="17"/>
    <s v="TN"/>
    <x v="3"/>
    <s v="Coimbatore"/>
    <x v="2"/>
    <s v="P203"/>
    <s v="Keratin Hair Mask"/>
    <x v="6"/>
    <n v="2"/>
    <n v="549"/>
    <n v="0.35"/>
    <n v="1098"/>
    <n v="384.29999999999995"/>
    <n v="713.7"/>
    <n v="170"/>
    <n v="340"/>
    <n v="60"/>
    <n v="313.70000000000005"/>
    <n v="0.43954042314698055"/>
    <x v="0"/>
    <d v="2025-11-28T00:00:00"/>
    <n v="2"/>
    <x v="1"/>
    <n v="4"/>
    <n v="0"/>
  </r>
  <r>
    <s v="ORD-104581"/>
    <x v="691"/>
    <x v="1"/>
    <d v="2025-11-01T00:00:00"/>
    <n v="11"/>
    <s v="CUST-00652"/>
    <x v="1"/>
    <x v="17"/>
    <s v="TN"/>
    <x v="3"/>
    <s v="Chennai"/>
    <x v="0"/>
    <s v="P703"/>
    <s v="Green Tea (100 bags)"/>
    <x v="0"/>
    <n v="2"/>
    <n v="399"/>
    <n v="0.5"/>
    <n v="798"/>
    <n v="399"/>
    <n v="399"/>
    <n v="128"/>
    <n v="256"/>
    <n v="60"/>
    <n v="83"/>
    <n v="0.20802005012531327"/>
    <x v="1"/>
    <d v="2025-11-29T00:00:00"/>
    <n v="3"/>
    <x v="0"/>
    <m/>
    <n v="0"/>
  </r>
  <r>
    <s v="ORD-104582"/>
    <x v="692"/>
    <x v="1"/>
    <d v="2025-11-01T00:00:00"/>
    <n v="11"/>
    <s v="CUST-01493"/>
    <x v="0"/>
    <x v="19"/>
    <s v="PB"/>
    <x v="0"/>
    <s v="Ludhiana"/>
    <x v="0"/>
    <s v="P403"/>
    <s v="Kolhapuri Sandals"/>
    <x v="5"/>
    <n v="3"/>
    <n v="999"/>
    <n v="0.15"/>
    <n v="2997"/>
    <n v="449.55"/>
    <n v="2547.4499999999998"/>
    <n v="400"/>
    <n v="1200"/>
    <n v="60"/>
    <n v="1287.4499999999998"/>
    <n v="0.50538774068185832"/>
    <x v="2"/>
    <d v="2025-11-30T00:00:00"/>
    <n v="3"/>
    <x v="0"/>
    <n v="5"/>
    <n v="0"/>
  </r>
  <r>
    <s v="ORD-104583"/>
    <x v="692"/>
    <x v="1"/>
    <d v="2025-11-01T00:00:00"/>
    <n v="11"/>
    <s v="CUST-00725"/>
    <x v="1"/>
    <x v="0"/>
    <s v="RJ"/>
    <x v="0"/>
    <s v="Jaipur"/>
    <x v="0"/>
    <s v="P602"/>
    <s v="Fast Charger 33W"/>
    <x v="2"/>
    <n v="2"/>
    <n v="899"/>
    <n v="0.3"/>
    <n v="1798"/>
    <n v="539.4"/>
    <n v="1258.5999999999999"/>
    <n v="494"/>
    <n v="988"/>
    <n v="60"/>
    <n v="210.59999999999991"/>
    <n v="0.16732877800730964"/>
    <x v="2"/>
    <d v="2025-11-30T00:00:00"/>
    <n v="3"/>
    <x v="0"/>
    <n v="4"/>
    <n v="0"/>
  </r>
  <r>
    <s v="ORD-104584"/>
    <x v="692"/>
    <x v="1"/>
    <d v="2025-11-01T00:00:00"/>
    <n v="11"/>
    <s v="CUST-02024"/>
    <x v="0"/>
    <x v="6"/>
    <s v="DL"/>
    <x v="0"/>
    <s v="New Delhi"/>
    <x v="0"/>
    <s v="P305"/>
    <s v="Printed Saree"/>
    <x v="1"/>
    <n v="1"/>
    <n v="1999"/>
    <n v="0.2"/>
    <n v="1999"/>
    <n v="399.8"/>
    <n v="1599.2"/>
    <n v="880"/>
    <n v="880"/>
    <n v="60"/>
    <n v="659.2"/>
    <n v="0.41220610305152577"/>
    <x v="4"/>
    <d v="2025-11-30T00:00:00"/>
    <n v="3"/>
    <x v="0"/>
    <m/>
    <n v="0"/>
  </r>
  <r>
    <s v="ORD-104585"/>
    <x v="692"/>
    <x v="1"/>
    <d v="2025-11-01T00:00:00"/>
    <n v="11"/>
    <s v="CUST-00918"/>
    <x v="1"/>
    <x v="6"/>
    <s v="DL"/>
    <x v="0"/>
    <s v="New Delhi"/>
    <x v="4"/>
    <s v="P603"/>
    <s v="Smartwatch Strap"/>
    <x v="2"/>
    <n v="2"/>
    <n v="499"/>
    <n v="0.3"/>
    <n v="998"/>
    <n v="299.39999999999998"/>
    <n v="698.6"/>
    <n v="200"/>
    <n v="400"/>
    <n v="60"/>
    <n v="238.60000000000002"/>
    <n v="0.34154022330375039"/>
    <x v="3"/>
    <d v="2025-11-28T00:00:00"/>
    <n v="1"/>
    <x v="1"/>
    <n v="5"/>
    <n v="0"/>
  </r>
  <r>
    <s v="ORD-104586"/>
    <x v="692"/>
    <x v="1"/>
    <d v="2025-11-01T00:00:00"/>
    <n v="11"/>
    <s v="CUST-00613"/>
    <x v="1"/>
    <x v="6"/>
    <s v="DL"/>
    <x v="0"/>
    <s v="New Delhi"/>
    <x v="2"/>
    <s v="P202"/>
    <s v="Argan Shampoo"/>
    <x v="6"/>
    <n v="1"/>
    <n v="449"/>
    <n v="0.2"/>
    <n v="449"/>
    <n v="89.800000000000011"/>
    <n v="359.2"/>
    <n v="148"/>
    <n v="148"/>
    <n v="60"/>
    <n v="151.19999999999999"/>
    <n v="0.42093541202672602"/>
    <x v="3"/>
    <d v="2025-11-29T00:00:00"/>
    <n v="2"/>
    <x v="1"/>
    <m/>
    <n v="0"/>
  </r>
  <r>
    <s v="ORD-104587"/>
    <x v="692"/>
    <x v="1"/>
    <d v="2025-11-01T00:00:00"/>
    <n v="11"/>
    <s v="CUST-02102"/>
    <x v="0"/>
    <x v="10"/>
    <s v="CG"/>
    <x v="2"/>
    <s v="Raipur"/>
    <x v="0"/>
    <s v="P402"/>
    <s v="Casual Sneakers"/>
    <x v="5"/>
    <n v="2"/>
    <n v="2199"/>
    <n v="0.4"/>
    <n v="4398"/>
    <n v="1759.2"/>
    <n v="2638.8"/>
    <n v="1034"/>
    <n v="2068"/>
    <n v="60"/>
    <n v="510.80000000000018"/>
    <n v="0.19357283613763837"/>
    <x v="0"/>
    <d v="2025-12-03T00:00:00"/>
    <n v="6"/>
    <x v="2"/>
    <n v="3"/>
    <n v="0"/>
  </r>
  <r>
    <s v="ORD-104588"/>
    <x v="692"/>
    <x v="1"/>
    <d v="2025-11-01T00:00:00"/>
    <n v="11"/>
    <s v="CUST-01613"/>
    <x v="1"/>
    <x v="7"/>
    <s v="JH"/>
    <x v="2"/>
    <s v="Ranchi"/>
    <x v="4"/>
    <s v="P204"/>
    <s v="Anti-Dandruff Conditioner"/>
    <x v="6"/>
    <n v="2"/>
    <n v="399"/>
    <n v="0.5"/>
    <n v="798"/>
    <n v="399"/>
    <n v="399"/>
    <n v="136"/>
    <n v="272"/>
    <n v="60"/>
    <n v="67"/>
    <n v="0.16791979949874686"/>
    <x v="1"/>
    <d v="2025-12-03T00:00:00"/>
    <n v="6"/>
    <x v="2"/>
    <n v="2"/>
    <n v="0"/>
  </r>
  <r>
    <s v="ORD-104589"/>
    <x v="692"/>
    <x v="1"/>
    <d v="2025-11-01T00:00:00"/>
    <n v="11"/>
    <s v="CUST-00969"/>
    <x v="0"/>
    <x v="2"/>
    <s v="MH"/>
    <x v="1"/>
    <s v="Pune"/>
    <x v="0"/>
    <s v="P201"/>
    <s v="Onion Hair Oil"/>
    <x v="6"/>
    <n v="1"/>
    <n v="349"/>
    <n v="0.4"/>
    <n v="349"/>
    <n v="139.6"/>
    <n v="209.4"/>
    <n v="105"/>
    <n v="105"/>
    <n v="60"/>
    <n v="44.400000000000006"/>
    <n v="0.21203438395415475"/>
    <x v="4"/>
    <d v="2025-11-30T00:00:00"/>
    <n v="3"/>
    <x v="0"/>
    <m/>
    <n v="0"/>
  </r>
  <r>
    <s v="ORD-104590"/>
    <x v="692"/>
    <x v="1"/>
    <d v="2025-11-01T00:00:00"/>
    <n v="11"/>
    <s v="CUST-00103"/>
    <x v="1"/>
    <x v="21"/>
    <s v="TG"/>
    <x v="3"/>
    <s v="Hyderabad"/>
    <x v="2"/>
    <s v="P501"/>
    <s v="Copper Water Bottle"/>
    <x v="4"/>
    <n v="1"/>
    <n v="899"/>
    <n v="0.15"/>
    <n v="899"/>
    <n v="134.85"/>
    <n v="764.15"/>
    <n v="378"/>
    <n v="378"/>
    <n v="60"/>
    <n v="326.14999999999998"/>
    <n v="0.42681410717791007"/>
    <x v="3"/>
    <d v="2025-11-29T00:00:00"/>
    <n v="2"/>
    <x v="1"/>
    <m/>
    <n v="0"/>
  </r>
  <r>
    <s v="ORD-104591"/>
    <x v="692"/>
    <x v="1"/>
    <d v="2025-11-01T00:00:00"/>
    <n v="11"/>
    <s v="CUST-01185"/>
    <x v="0"/>
    <x v="11"/>
    <s v="KA"/>
    <x v="3"/>
    <s v="Bengaluru"/>
    <x v="0"/>
    <s v="P201"/>
    <s v="Onion Hair Oil"/>
    <x v="6"/>
    <n v="2"/>
    <n v="349"/>
    <n v="0.35"/>
    <n v="698"/>
    <n v="244.29999999999998"/>
    <n v="453.70000000000005"/>
    <n v="105"/>
    <n v="210"/>
    <n v="60"/>
    <n v="183.70000000000005"/>
    <n v="0.40489310116817284"/>
    <x v="0"/>
    <d v="2025-11-30T00:00:00"/>
    <n v="3"/>
    <x v="0"/>
    <m/>
    <n v="0"/>
  </r>
  <r>
    <s v="ORD-104592"/>
    <x v="692"/>
    <x v="1"/>
    <d v="2025-11-01T00:00:00"/>
    <n v="11"/>
    <s v="CUST-01831"/>
    <x v="1"/>
    <x v="11"/>
    <s v="KA"/>
    <x v="3"/>
    <s v="Bengaluru"/>
    <x v="3"/>
    <s v="P101"/>
    <s v="Vitamin C Face Serum"/>
    <x v="3"/>
    <n v="1"/>
    <n v="599"/>
    <n v="0.25"/>
    <n v="599"/>
    <n v="149.75"/>
    <n v="449.25"/>
    <n v="180"/>
    <n v="180"/>
    <n v="60"/>
    <n v="209.25"/>
    <n v="0.46577629382303842"/>
    <x v="1"/>
    <d v="2025-11-29T00:00:00"/>
    <n v="2"/>
    <x v="1"/>
    <n v="3"/>
    <n v="0"/>
  </r>
  <r>
    <s v="ORD-104593"/>
    <x v="692"/>
    <x v="1"/>
    <d v="2025-11-01T00:00:00"/>
    <n v="11"/>
    <s v="CUST-00718"/>
    <x v="1"/>
    <x v="8"/>
    <s v="AP"/>
    <x v="3"/>
    <s v="Vijayawada"/>
    <x v="2"/>
    <s v="P302"/>
    <s v="Linen Kurta"/>
    <x v="1"/>
    <n v="2"/>
    <n v="1499"/>
    <n v="0.35"/>
    <n v="2998"/>
    <n v="1049.3"/>
    <n v="1948.7"/>
    <n v="630"/>
    <n v="1260"/>
    <n v="60"/>
    <n v="628.70000000000005"/>
    <n v="0.32262533997023657"/>
    <x v="0"/>
    <d v="2025-11-30T00:00:00"/>
    <n v="3"/>
    <x v="0"/>
    <m/>
    <n v="0"/>
  </r>
  <r>
    <s v="ORD-104594"/>
    <x v="692"/>
    <x v="1"/>
    <d v="2025-11-01T00:00:00"/>
    <n v="11"/>
    <s v="CUST-00946"/>
    <x v="0"/>
    <x v="14"/>
    <s v="KL"/>
    <x v="3"/>
    <s v="Kochi"/>
    <x v="3"/>
    <s v="P201"/>
    <s v="Onion Hair Oil"/>
    <x v="6"/>
    <n v="1"/>
    <n v="349"/>
    <n v="0.45"/>
    <n v="349"/>
    <n v="157.05000000000001"/>
    <n v="191.95"/>
    <n v="105"/>
    <n v="105"/>
    <n v="60"/>
    <n v="26.949999999999989"/>
    <n v="0.1404011461318051"/>
    <x v="1"/>
    <d v="2025-11-30T00:00:00"/>
    <n v="3"/>
    <x v="0"/>
    <n v="3"/>
    <n v="0"/>
  </r>
  <r>
    <s v="ORD-104595"/>
    <x v="692"/>
    <x v="1"/>
    <d v="2025-11-01T00:00:00"/>
    <n v="11"/>
    <s v="CUST-03072"/>
    <x v="0"/>
    <x v="17"/>
    <s v="TN"/>
    <x v="3"/>
    <s v="Coimbatore"/>
    <x v="4"/>
    <s v="P105"/>
    <s v="Retinol Night Cream"/>
    <x v="3"/>
    <n v="1"/>
    <n v="799"/>
    <n v="0.25"/>
    <n v="799"/>
    <n v="199.75"/>
    <n v="599.25"/>
    <n v="216"/>
    <n v="216"/>
    <n v="60"/>
    <n v="323.25"/>
    <n v="0.5394242803504381"/>
    <x v="3"/>
    <d v="2025-12-02T00:00:00"/>
    <n v="5"/>
    <x v="2"/>
    <n v="4"/>
    <n v="0"/>
  </r>
  <r>
    <s v="ORD-104596"/>
    <x v="692"/>
    <x v="1"/>
    <d v="2025-11-01T00:00:00"/>
    <n v="11"/>
    <s v="CUST-02518"/>
    <x v="1"/>
    <x v="17"/>
    <s v="TN"/>
    <x v="3"/>
    <s v="Coimbatore"/>
    <x v="2"/>
    <s v="P105"/>
    <s v="Retinol Night Cream"/>
    <x v="3"/>
    <n v="3"/>
    <n v="799"/>
    <n v="0.2"/>
    <n v="2397"/>
    <n v="479.40000000000003"/>
    <n v="1917.6"/>
    <n v="216"/>
    <n v="648"/>
    <n v="60"/>
    <n v="1209.5999999999999"/>
    <n v="0.63078848560700873"/>
    <x v="1"/>
    <d v="2025-12-01T00:00:00"/>
    <n v="4"/>
    <x v="0"/>
    <n v="4"/>
    <n v="0"/>
  </r>
  <r>
    <s v="ORD-104597"/>
    <x v="693"/>
    <x v="1"/>
    <d v="2025-11-01T00:00:00"/>
    <n v="11"/>
    <s v="CUST-00838"/>
    <x v="1"/>
    <x v="1"/>
    <s v="GJ"/>
    <x v="1"/>
    <s v="Ahmedabad"/>
    <x v="1"/>
    <s v="P404"/>
    <s v="Flip Flops"/>
    <x v="5"/>
    <n v="1"/>
    <n v="399"/>
    <n v="0.3"/>
    <n v="399"/>
    <n v="119.69999999999999"/>
    <n v="279.3"/>
    <n v="152"/>
    <n v="152"/>
    <n v="60"/>
    <n v="67.300000000000011"/>
    <n v="0.24095954171142145"/>
    <x v="0"/>
    <d v="2025-11-30T00:00:00"/>
    <n v="2"/>
    <x v="1"/>
    <m/>
    <n v="0"/>
  </r>
  <r>
    <s v="ORD-104598"/>
    <x v="693"/>
    <x v="1"/>
    <d v="2025-11-01T00:00:00"/>
    <n v="11"/>
    <s v="CUST-02712"/>
    <x v="0"/>
    <x v="18"/>
    <s v="WB"/>
    <x v="2"/>
    <s v="Kolkata"/>
    <x v="2"/>
    <s v="P703"/>
    <s v="Green Tea (100 bags)"/>
    <x v="0"/>
    <n v="2"/>
    <n v="399"/>
    <n v="0.55000000000000004"/>
    <n v="798"/>
    <n v="438.90000000000003"/>
    <n v="359.09999999999997"/>
    <n v="128"/>
    <n v="256"/>
    <n v="60"/>
    <n v="43.099999999999966"/>
    <n v="0.12002227791701467"/>
    <x v="4"/>
    <d v="2025-12-02T00:00:00"/>
    <n v="4"/>
    <x v="0"/>
    <m/>
    <n v="0"/>
  </r>
  <r>
    <s v="ORD-104599"/>
    <x v="693"/>
    <x v="1"/>
    <d v="2025-11-01T00:00:00"/>
    <n v="11"/>
    <s v="CUST-00113"/>
    <x v="1"/>
    <x v="18"/>
    <s v="WB"/>
    <x v="2"/>
    <s v="Kolkata"/>
    <x v="3"/>
    <s v="P703"/>
    <s v="Green Tea (100 bags)"/>
    <x v="0"/>
    <n v="1"/>
    <n v="399"/>
    <n v="0.5"/>
    <n v="399"/>
    <n v="199.5"/>
    <n v="199.5"/>
    <n v="128"/>
    <n v="128"/>
    <n v="60"/>
    <n v="11.5"/>
    <n v="5.764411027568922E-2"/>
    <x v="1"/>
    <d v="2025-12-01T00:00:00"/>
    <n v="3"/>
    <x v="0"/>
    <n v="2"/>
    <n v="0"/>
  </r>
  <r>
    <s v="ORD-104600"/>
    <x v="693"/>
    <x v="1"/>
    <d v="2025-11-01T00:00:00"/>
    <n v="11"/>
    <s v="CUST-01579"/>
    <x v="0"/>
    <x v="2"/>
    <s v="MH"/>
    <x v="1"/>
    <s v="Mumbai"/>
    <x v="0"/>
    <s v="P303"/>
    <s v="Joggers"/>
    <x v="1"/>
    <n v="2"/>
    <n v="1199"/>
    <n v="0.2"/>
    <n v="2398"/>
    <n v="479.6"/>
    <n v="1918.4"/>
    <n v="492"/>
    <n v="984"/>
    <n v="60"/>
    <n v="874.40000000000009"/>
    <n v="0.45579649708090075"/>
    <x v="1"/>
    <d v="2025-11-30T00:00:00"/>
    <n v="2"/>
    <x v="1"/>
    <n v="5"/>
    <n v="0"/>
  </r>
  <r>
    <s v="ORD-104601"/>
    <x v="693"/>
    <x v="1"/>
    <d v="2025-11-01T00:00:00"/>
    <n v="11"/>
    <s v="CUST-01185"/>
    <x v="1"/>
    <x v="3"/>
    <s v="OD"/>
    <x v="2"/>
    <s v="Bhubaneswar"/>
    <x v="1"/>
    <s v="P402"/>
    <s v="Casual Sneakers"/>
    <x v="5"/>
    <n v="2"/>
    <n v="2199"/>
    <n v="0.45"/>
    <n v="4398"/>
    <n v="1979.1000000000001"/>
    <n v="2418.8999999999996"/>
    <n v="1034"/>
    <n v="2068"/>
    <n v="60"/>
    <n v="290.89999999999964"/>
    <n v="0.1202612757865144"/>
    <x v="2"/>
    <d v="2025-12-02T00:00:00"/>
    <n v="4"/>
    <x v="0"/>
    <m/>
    <n v="0"/>
  </r>
  <r>
    <s v="ORD-104602"/>
    <x v="693"/>
    <x v="1"/>
    <d v="2025-11-01T00:00:00"/>
    <n v="11"/>
    <s v="CUST-00981"/>
    <x v="0"/>
    <x v="11"/>
    <s v="KA"/>
    <x v="3"/>
    <s v="Bengaluru"/>
    <x v="4"/>
    <s v="P504"/>
    <s v="Cotton Bedsheet"/>
    <x v="4"/>
    <n v="4"/>
    <n v="1299"/>
    <n v="0.15"/>
    <n v="5196"/>
    <n v="779.4"/>
    <n v="4416.6000000000004"/>
    <n v="585"/>
    <n v="2340"/>
    <n v="60"/>
    <n v="2016.6000000000004"/>
    <n v="0.45659557125390576"/>
    <x v="0"/>
    <d v="2025-12-01T00:00:00"/>
    <n v="3"/>
    <x v="0"/>
    <n v="4"/>
    <n v="0"/>
  </r>
  <r>
    <s v="ORD-104603"/>
    <x v="693"/>
    <x v="1"/>
    <d v="2025-11-01T00:00:00"/>
    <n v="11"/>
    <s v="CUST-02326"/>
    <x v="1"/>
    <x v="8"/>
    <s v="AP"/>
    <x v="3"/>
    <s v="Vijayawada"/>
    <x v="4"/>
    <s v="P105"/>
    <s v="Retinol Night Cream"/>
    <x v="3"/>
    <n v="3"/>
    <n v="799"/>
    <n v="0.15"/>
    <n v="2397"/>
    <n v="359.55"/>
    <n v="2037.45"/>
    <n v="216"/>
    <n v="648"/>
    <n v="60"/>
    <n v="1329.45"/>
    <n v="0.65250680998306709"/>
    <x v="0"/>
    <d v="2025-12-04T00:00:00"/>
    <n v="6"/>
    <x v="2"/>
    <n v="3"/>
    <n v="0"/>
  </r>
  <r>
    <s v="ORD-104604"/>
    <x v="693"/>
    <x v="1"/>
    <d v="2025-11-01T00:00:00"/>
    <n v="11"/>
    <s v="CUST-00373"/>
    <x v="1"/>
    <x v="17"/>
    <s v="TN"/>
    <x v="3"/>
    <s v="Coimbatore"/>
    <x v="2"/>
    <s v="P403"/>
    <s v="Kolhapuri Sandals"/>
    <x v="5"/>
    <n v="4"/>
    <n v="999"/>
    <n v="0.15"/>
    <n v="3996"/>
    <n v="599.4"/>
    <n v="3396.6"/>
    <n v="400"/>
    <n v="1600"/>
    <n v="60"/>
    <n v="1736.6"/>
    <n v="0.51127598186421719"/>
    <x v="0"/>
    <d v="2025-12-01T00:00:00"/>
    <n v="3"/>
    <x v="0"/>
    <n v="4"/>
    <n v="0"/>
  </r>
  <r>
    <s v="ORD-104605"/>
    <x v="694"/>
    <x v="1"/>
    <d v="2025-11-01T00:00:00"/>
    <n v="11"/>
    <s v="CUST-00797"/>
    <x v="1"/>
    <x v="19"/>
    <s v="PB"/>
    <x v="0"/>
    <s v="Amritsar"/>
    <x v="2"/>
    <s v="P404"/>
    <s v="Flip Flops"/>
    <x v="5"/>
    <n v="1"/>
    <n v="399"/>
    <n v="0.15"/>
    <n v="399"/>
    <n v="59.849999999999994"/>
    <n v="339.15"/>
    <n v="152"/>
    <n v="152"/>
    <n v="60"/>
    <n v="127.14999999999998"/>
    <n v="0.37490785787999409"/>
    <x v="3"/>
    <d v="2025-12-04T00:00:00"/>
    <n v="5"/>
    <x v="2"/>
    <m/>
    <n v="0"/>
  </r>
  <r>
    <s v="ORD-104606"/>
    <x v="694"/>
    <x v="1"/>
    <d v="2025-11-01T00:00:00"/>
    <n v="11"/>
    <s v="CUST-00333"/>
    <x v="1"/>
    <x v="15"/>
    <s v="HR"/>
    <x v="0"/>
    <s v="Faridabad"/>
    <x v="4"/>
    <s v="P501"/>
    <s v="Copper Water Bottle"/>
    <x v="4"/>
    <n v="1"/>
    <n v="899"/>
    <n v="0.1"/>
    <n v="899"/>
    <n v="89.9"/>
    <n v="809.1"/>
    <n v="378"/>
    <n v="378"/>
    <n v="60"/>
    <n v="371.1"/>
    <n v="0.45865776789024842"/>
    <x v="4"/>
    <d v="2025-12-02T00:00:00"/>
    <n v="3"/>
    <x v="0"/>
    <m/>
    <n v="0"/>
  </r>
  <r>
    <s v="ORD-104607"/>
    <x v="694"/>
    <x v="1"/>
    <d v="2025-11-01T00:00:00"/>
    <n v="11"/>
    <s v="CUST-00354"/>
    <x v="1"/>
    <x v="6"/>
    <s v="DL"/>
    <x v="0"/>
    <s v="New Delhi"/>
    <x v="4"/>
    <s v="P304"/>
    <s v="Denim Jacket"/>
    <x v="1"/>
    <n v="2"/>
    <n v="2499"/>
    <n v="0.2"/>
    <n v="4998"/>
    <n v="999.6"/>
    <n v="3998.4"/>
    <n v="1125"/>
    <n v="2250"/>
    <n v="60"/>
    <n v="1688.4"/>
    <n v="0.42226890756302521"/>
    <x v="4"/>
    <d v="2025-12-02T00:00:00"/>
    <n v="3"/>
    <x v="0"/>
    <n v="4"/>
    <n v="0"/>
  </r>
  <r>
    <s v="ORD-104608"/>
    <x v="694"/>
    <x v="1"/>
    <d v="2025-11-01T00:00:00"/>
    <n v="11"/>
    <s v="CUST-00798"/>
    <x v="1"/>
    <x v="6"/>
    <s v="DL"/>
    <x v="0"/>
    <s v="New Delhi"/>
    <x v="1"/>
    <s v="P403"/>
    <s v="Kolhapuri Sandals"/>
    <x v="5"/>
    <n v="1"/>
    <n v="999"/>
    <n v="0.3"/>
    <n v="999"/>
    <n v="299.7"/>
    <n v="699.3"/>
    <n v="400"/>
    <n v="400"/>
    <n v="60"/>
    <n v="239.29999999999995"/>
    <n v="0.34219934219934217"/>
    <x v="0"/>
    <d v="2025-12-03T00:00:00"/>
    <n v="4"/>
    <x v="0"/>
    <n v="4"/>
    <n v="0"/>
  </r>
  <r>
    <s v="ORD-104609"/>
    <x v="694"/>
    <x v="1"/>
    <d v="2025-11-01T00:00:00"/>
    <n v="11"/>
    <s v="CUST-00811"/>
    <x v="1"/>
    <x v="12"/>
    <s v="BR"/>
    <x v="2"/>
    <s v="Patna"/>
    <x v="4"/>
    <s v="P102"/>
    <s v="Sunscreen SPF 50"/>
    <x v="3"/>
    <n v="2"/>
    <n v="449"/>
    <n v="0.2"/>
    <n v="898"/>
    <n v="179.60000000000002"/>
    <n v="718.4"/>
    <n v="144"/>
    <n v="288"/>
    <n v="60"/>
    <n v="370.4"/>
    <n v="0.51559020044543424"/>
    <x v="1"/>
    <d v="2025-12-06T00:00:00"/>
    <n v="7"/>
    <x v="2"/>
    <n v="4"/>
    <n v="0"/>
  </r>
  <r>
    <s v="ORD-104610"/>
    <x v="694"/>
    <x v="1"/>
    <d v="2025-11-01T00:00:00"/>
    <n v="11"/>
    <s v="CUST-00921"/>
    <x v="1"/>
    <x v="13"/>
    <s v="MP"/>
    <x v="1"/>
    <s v="Bhopal"/>
    <x v="2"/>
    <s v="P701"/>
    <s v="Ashwagandha Capsules"/>
    <x v="0"/>
    <n v="1"/>
    <n v="499"/>
    <n v="0.25"/>
    <n v="499"/>
    <n v="124.75"/>
    <n v="374.25"/>
    <n v="150"/>
    <n v="150"/>
    <n v="60"/>
    <n v="164.25"/>
    <n v="0.43887775551102204"/>
    <x v="2"/>
    <d v="2025-12-04T00:00:00"/>
    <n v="5"/>
    <x v="2"/>
    <n v="3"/>
    <n v="0"/>
  </r>
  <r>
    <s v="ORD-104611"/>
    <x v="694"/>
    <x v="1"/>
    <d v="2025-11-01T00:00:00"/>
    <n v="11"/>
    <s v="CUST-00974"/>
    <x v="1"/>
    <x v="7"/>
    <s v="JH"/>
    <x v="2"/>
    <s v="Ranchi"/>
    <x v="0"/>
    <s v="P102"/>
    <s v="Sunscreen SPF 50"/>
    <x v="3"/>
    <n v="1"/>
    <n v="449"/>
    <n v="0.1"/>
    <n v="449"/>
    <n v="44.900000000000006"/>
    <n v="404.1"/>
    <n v="144"/>
    <n v="144"/>
    <n v="60"/>
    <n v="200.10000000000002"/>
    <n v="0.4951744617668894"/>
    <x v="0"/>
    <d v="2025-12-04T00:00:00"/>
    <n v="5"/>
    <x v="2"/>
    <m/>
    <n v="0"/>
  </r>
  <r>
    <s v="ORD-104612"/>
    <x v="694"/>
    <x v="1"/>
    <d v="2025-11-01T00:00:00"/>
    <n v="11"/>
    <s v="CUST-00393"/>
    <x v="1"/>
    <x v="18"/>
    <s v="WB"/>
    <x v="2"/>
    <s v="Kolkata"/>
    <x v="1"/>
    <s v="P304"/>
    <s v="Denim Jacket"/>
    <x v="1"/>
    <n v="1"/>
    <n v="2499"/>
    <n v="0.1"/>
    <n v="2499"/>
    <n v="249.9"/>
    <n v="2249.1"/>
    <n v="1125"/>
    <n v="1125"/>
    <n v="60"/>
    <n v="1064.0999999999999"/>
    <n v="0.4731225823662798"/>
    <x v="1"/>
    <d v="2025-12-02T00:00:00"/>
    <n v="3"/>
    <x v="0"/>
    <m/>
    <n v="0"/>
  </r>
  <r>
    <s v="ORD-104613"/>
    <x v="694"/>
    <x v="1"/>
    <d v="2025-11-01T00:00:00"/>
    <n v="11"/>
    <s v="CUST-00280"/>
    <x v="1"/>
    <x v="18"/>
    <s v="WB"/>
    <x v="2"/>
    <s v="Kolkata"/>
    <x v="3"/>
    <s v="P204"/>
    <s v="Anti-Dandruff Conditioner"/>
    <x v="6"/>
    <n v="2"/>
    <n v="399"/>
    <n v="0.55000000000000004"/>
    <n v="798"/>
    <n v="438.90000000000003"/>
    <n v="359.09999999999997"/>
    <n v="136"/>
    <n v="272"/>
    <n v="60"/>
    <n v="27.099999999999966"/>
    <n v="7.5466443887496432E-2"/>
    <x v="0"/>
    <d v="2025-12-04T00:00:00"/>
    <n v="5"/>
    <x v="2"/>
    <n v="3"/>
    <n v="0"/>
  </r>
  <r>
    <s v="ORD-104614"/>
    <x v="694"/>
    <x v="1"/>
    <d v="2025-11-01T00:00:00"/>
    <n v="11"/>
    <s v="CUST-00193"/>
    <x v="1"/>
    <x v="8"/>
    <s v="AP"/>
    <x v="3"/>
    <s v="Visakhapatnam"/>
    <x v="4"/>
    <s v="P403"/>
    <s v="Kolhapuri Sandals"/>
    <x v="5"/>
    <n v="1"/>
    <n v="999"/>
    <n v="0.25"/>
    <n v="999"/>
    <n v="249.75"/>
    <n v="749.25"/>
    <n v="400"/>
    <n v="400"/>
    <n v="120"/>
    <n v="229.25"/>
    <n v="0.30597263930597263"/>
    <x v="3"/>
    <d v="2025-12-04T00:00:00"/>
    <n v="5"/>
    <x v="2"/>
    <m/>
    <n v="1"/>
  </r>
  <r>
    <s v="ORD-104615"/>
    <x v="694"/>
    <x v="1"/>
    <d v="2025-11-01T00:00:00"/>
    <n v="11"/>
    <s v="CUST-00561"/>
    <x v="1"/>
    <x v="8"/>
    <s v="AP"/>
    <x v="3"/>
    <s v="Visakhapatnam"/>
    <x v="4"/>
    <s v="P101"/>
    <s v="Vitamin C Face Serum"/>
    <x v="3"/>
    <n v="1"/>
    <n v="599"/>
    <n v="0.25"/>
    <n v="599"/>
    <n v="149.75"/>
    <n v="449.25"/>
    <n v="180"/>
    <n v="180"/>
    <n v="60"/>
    <n v="209.25"/>
    <n v="0.46577629382303842"/>
    <x v="0"/>
    <d v="2025-12-02T00:00:00"/>
    <n v="3"/>
    <x v="0"/>
    <n v="4"/>
    <n v="0"/>
  </r>
  <r>
    <s v="ORD-104616"/>
    <x v="694"/>
    <x v="1"/>
    <d v="2025-11-01T00:00:00"/>
    <n v="11"/>
    <s v="CUST-00424"/>
    <x v="1"/>
    <x v="14"/>
    <s v="KL"/>
    <x v="3"/>
    <s v="Kochi"/>
    <x v="3"/>
    <s v="P204"/>
    <s v="Anti-Dandruff Conditioner"/>
    <x v="6"/>
    <n v="2"/>
    <n v="399"/>
    <n v="0.55000000000000004"/>
    <n v="798"/>
    <n v="438.90000000000003"/>
    <n v="359.09999999999997"/>
    <n v="136"/>
    <n v="272"/>
    <n v="120"/>
    <n v="-32.900000000000034"/>
    <n v="-9.1617933723196987E-2"/>
    <x v="2"/>
    <d v="2025-12-05T00:00:00"/>
    <n v="6"/>
    <x v="2"/>
    <n v="3"/>
    <n v="1"/>
  </r>
  <r>
    <s v="ORD-104617"/>
    <x v="695"/>
    <x v="1"/>
    <d v="2025-11-01T00:00:00"/>
    <n v="11"/>
    <s v="CUST-00024"/>
    <x v="0"/>
    <x v="5"/>
    <s v="HP"/>
    <x v="0"/>
    <s v="Shimla"/>
    <x v="3"/>
    <s v="P203"/>
    <s v="Keratin Hair Mask"/>
    <x v="6"/>
    <n v="3"/>
    <n v="549"/>
    <n v="0.2"/>
    <n v="1647"/>
    <n v="329.40000000000003"/>
    <n v="1317.6"/>
    <n v="170"/>
    <n v="510"/>
    <n v="60"/>
    <n v="747.59999999999991"/>
    <n v="0.56739526411657559"/>
    <x v="4"/>
    <d v="2025-12-06T00:00:00"/>
    <n v="6"/>
    <x v="2"/>
    <m/>
    <n v="0"/>
  </r>
  <r>
    <s v="ORD-104618"/>
    <x v="695"/>
    <x v="1"/>
    <d v="2025-11-01T00:00:00"/>
    <n v="11"/>
    <s v="CUST-00597"/>
    <x v="1"/>
    <x v="6"/>
    <s v="DL"/>
    <x v="0"/>
    <s v="New Delhi"/>
    <x v="4"/>
    <s v="P601"/>
    <s v="Wireless Earbuds"/>
    <x v="2"/>
    <n v="1"/>
    <n v="1999"/>
    <n v="0.4"/>
    <n v="1999"/>
    <n v="799.6"/>
    <n v="1199.4000000000001"/>
    <n v="1239"/>
    <n v="1239"/>
    <n v="60"/>
    <n v="-99.599999999999909"/>
    <n v="-8.3041520760380114E-2"/>
    <x v="0"/>
    <d v="2025-12-02T00:00:00"/>
    <n v="2"/>
    <x v="1"/>
    <m/>
    <n v="0"/>
  </r>
  <r>
    <s v="ORD-104619"/>
    <x v="695"/>
    <x v="1"/>
    <d v="2025-11-01T00:00:00"/>
    <n v="11"/>
    <s v="CUST-00208"/>
    <x v="1"/>
    <x v="6"/>
    <s v="DL"/>
    <x v="0"/>
    <s v="New Delhi"/>
    <x v="0"/>
    <s v="P604"/>
    <s v="Power Bank 20000mAh"/>
    <x v="2"/>
    <n v="1"/>
    <n v="1799"/>
    <n v="0.45"/>
    <n v="1799"/>
    <n v="809.55000000000007"/>
    <n v="989.44999999999993"/>
    <n v="1079"/>
    <n v="1079"/>
    <n v="60"/>
    <n v="-149.55000000000007"/>
    <n v="-0.15114457526908898"/>
    <x v="2"/>
    <d v="2025-12-06T00:00:00"/>
    <n v="6"/>
    <x v="2"/>
    <n v="3"/>
    <n v="0"/>
  </r>
  <r>
    <s v="ORD-104620"/>
    <x v="695"/>
    <x v="1"/>
    <d v="2025-11-01T00:00:00"/>
    <n v="11"/>
    <s v="CUST-00752"/>
    <x v="1"/>
    <x v="12"/>
    <s v="BR"/>
    <x v="2"/>
    <s v="Patna"/>
    <x v="0"/>
    <s v="P101"/>
    <s v="Vitamin C Face Serum"/>
    <x v="3"/>
    <n v="1"/>
    <n v="599"/>
    <n v="0.35"/>
    <n v="599"/>
    <n v="209.64999999999998"/>
    <n v="389.35"/>
    <n v="180"/>
    <n v="180"/>
    <n v="60"/>
    <n v="149.35000000000002"/>
    <n v="0.3835880313342751"/>
    <x v="0"/>
    <d v="2025-12-04T00:00:00"/>
    <n v="4"/>
    <x v="0"/>
    <m/>
    <n v="0"/>
  </r>
  <r>
    <s v="ORD-104621"/>
    <x v="695"/>
    <x v="1"/>
    <d v="2025-11-01T00:00:00"/>
    <n v="11"/>
    <s v="CUST-00989"/>
    <x v="0"/>
    <x v="12"/>
    <s v="BR"/>
    <x v="2"/>
    <s v="Patna"/>
    <x v="0"/>
    <s v="P602"/>
    <s v="Fast Charger 33W"/>
    <x v="2"/>
    <n v="1"/>
    <n v="899"/>
    <n v="0.3"/>
    <n v="899"/>
    <n v="269.7"/>
    <n v="629.29999999999995"/>
    <n v="494"/>
    <n v="494"/>
    <n v="60"/>
    <n v="75.299999999999955"/>
    <n v="0.11965676148101058"/>
    <x v="4"/>
    <d v="2025-12-05T00:00:00"/>
    <n v="5"/>
    <x v="2"/>
    <n v="3"/>
    <n v="0"/>
  </r>
  <r>
    <s v="ORD-104622"/>
    <x v="695"/>
    <x v="1"/>
    <d v="2025-11-01T00:00:00"/>
    <n v="11"/>
    <s v="CUST-00418"/>
    <x v="0"/>
    <x v="13"/>
    <s v="MP"/>
    <x v="1"/>
    <s v="Bhopal"/>
    <x v="4"/>
    <s v="P703"/>
    <s v="Green Tea (100 bags)"/>
    <x v="0"/>
    <n v="2"/>
    <n v="399"/>
    <n v="0.45"/>
    <n v="798"/>
    <n v="359.1"/>
    <n v="438.9"/>
    <n v="128"/>
    <n v="256"/>
    <n v="60"/>
    <n v="122.89999999999998"/>
    <n v="0.28001822738664839"/>
    <x v="0"/>
    <d v="2025-12-05T00:00:00"/>
    <n v="5"/>
    <x v="2"/>
    <m/>
    <n v="0"/>
  </r>
  <r>
    <s v="ORD-104623"/>
    <x v="695"/>
    <x v="1"/>
    <d v="2025-11-01T00:00:00"/>
    <n v="11"/>
    <s v="CUST-00191"/>
    <x v="1"/>
    <x v="13"/>
    <s v="MP"/>
    <x v="1"/>
    <s v="Bhopal"/>
    <x v="2"/>
    <s v="P102"/>
    <s v="Sunscreen SPF 50"/>
    <x v="3"/>
    <n v="1"/>
    <n v="449"/>
    <n v="0.1"/>
    <n v="449"/>
    <n v="44.900000000000006"/>
    <n v="404.1"/>
    <n v="144"/>
    <n v="144"/>
    <n v="60"/>
    <n v="200.10000000000002"/>
    <n v="0.4951744617668894"/>
    <x v="0"/>
    <d v="2025-12-05T00:00:00"/>
    <n v="5"/>
    <x v="2"/>
    <n v="3"/>
    <n v="0"/>
  </r>
  <r>
    <s v="ORD-104624"/>
    <x v="695"/>
    <x v="1"/>
    <d v="2025-11-01T00:00:00"/>
    <n v="11"/>
    <s v="CUST-02541"/>
    <x v="1"/>
    <x v="13"/>
    <s v="MP"/>
    <x v="1"/>
    <s v="Bhopal"/>
    <x v="0"/>
    <s v="P104"/>
    <s v="Hydrating Face Wash"/>
    <x v="3"/>
    <n v="1"/>
    <n v="299"/>
    <n v="0.15"/>
    <n v="299"/>
    <n v="44.85"/>
    <n v="254.15"/>
    <n v="90"/>
    <n v="90"/>
    <n v="60"/>
    <n v="104.15"/>
    <n v="0.40979736376155818"/>
    <x v="0"/>
    <d v="2025-12-04T00:00:00"/>
    <n v="4"/>
    <x v="0"/>
    <n v="5"/>
    <n v="0"/>
  </r>
  <r>
    <s v="ORD-104625"/>
    <x v="695"/>
    <x v="1"/>
    <d v="2025-11-01T00:00:00"/>
    <n v="11"/>
    <s v="CUST-00511"/>
    <x v="1"/>
    <x v="18"/>
    <s v="WB"/>
    <x v="2"/>
    <s v="Kolkata"/>
    <x v="2"/>
    <s v="P303"/>
    <s v="Joggers"/>
    <x v="1"/>
    <n v="1"/>
    <n v="1199"/>
    <n v="0.2"/>
    <n v="1199"/>
    <n v="239.8"/>
    <n v="959.2"/>
    <n v="492"/>
    <n v="492"/>
    <n v="60"/>
    <n v="407.20000000000005"/>
    <n v="0.42452043369474562"/>
    <x v="3"/>
    <d v="2025-12-06T00:00:00"/>
    <n v="6"/>
    <x v="2"/>
    <m/>
    <n v="0"/>
  </r>
  <r>
    <s v="ORD-104626"/>
    <x v="695"/>
    <x v="1"/>
    <d v="2025-11-01T00:00:00"/>
    <n v="11"/>
    <s v="CUST-00120"/>
    <x v="0"/>
    <x v="2"/>
    <s v="MH"/>
    <x v="1"/>
    <s v="Nagpur"/>
    <x v="4"/>
    <s v="P703"/>
    <s v="Green Tea (100 bags)"/>
    <x v="0"/>
    <n v="2"/>
    <n v="399"/>
    <n v="0.45"/>
    <n v="798"/>
    <n v="359.1"/>
    <n v="438.9"/>
    <n v="128"/>
    <n v="256"/>
    <n v="60"/>
    <n v="122.89999999999998"/>
    <n v="0.28001822738664839"/>
    <x v="1"/>
    <d v="2025-12-04T00:00:00"/>
    <n v="4"/>
    <x v="0"/>
    <n v="4"/>
    <n v="0"/>
  </r>
  <r>
    <s v="ORD-104627"/>
    <x v="695"/>
    <x v="1"/>
    <d v="2025-11-01T00:00:00"/>
    <n v="11"/>
    <s v="CUST-00067"/>
    <x v="1"/>
    <x v="2"/>
    <s v="MH"/>
    <x v="1"/>
    <s v="Nagpur"/>
    <x v="2"/>
    <s v="P502"/>
    <s v="Ceramic Dinner Set"/>
    <x v="4"/>
    <n v="1"/>
    <n v="2499"/>
    <n v="0.3"/>
    <n v="2499"/>
    <n v="749.69999999999993"/>
    <n v="1749.3000000000002"/>
    <n v="1250"/>
    <n v="1250"/>
    <n v="60"/>
    <n v="439.30000000000018"/>
    <n v="0.25112902303778661"/>
    <x v="3"/>
    <d v="2025-12-04T00:00:00"/>
    <n v="4"/>
    <x v="0"/>
    <m/>
    <n v="0"/>
  </r>
  <r>
    <s v="ORD-104628"/>
    <x v="695"/>
    <x v="1"/>
    <d v="2025-11-01T00:00:00"/>
    <n v="11"/>
    <s v="CUST-00674"/>
    <x v="1"/>
    <x v="21"/>
    <s v="TG"/>
    <x v="3"/>
    <s v="Hyderabad"/>
    <x v="3"/>
    <s v="P202"/>
    <s v="Argan Shampoo"/>
    <x v="6"/>
    <n v="1"/>
    <n v="449"/>
    <n v="0.05"/>
    <n v="449"/>
    <n v="22.450000000000003"/>
    <n v="426.55"/>
    <n v="148"/>
    <n v="148"/>
    <n v="60"/>
    <n v="218.55"/>
    <n v="0.51236666275934828"/>
    <x v="2"/>
    <d v="2025-12-03T00:00:00"/>
    <n v="3"/>
    <x v="0"/>
    <m/>
    <n v="0"/>
  </r>
  <r>
    <s v="ORD-104629"/>
    <x v="695"/>
    <x v="1"/>
    <d v="2025-11-01T00:00:00"/>
    <n v="11"/>
    <s v="CUST-00615"/>
    <x v="1"/>
    <x v="21"/>
    <s v="TG"/>
    <x v="3"/>
    <s v="Hyderabad"/>
    <x v="0"/>
    <s v="P104"/>
    <s v="Hydrating Face Wash"/>
    <x v="3"/>
    <n v="1"/>
    <n v="299"/>
    <n v="0.15"/>
    <n v="299"/>
    <n v="44.85"/>
    <n v="254.15"/>
    <n v="90"/>
    <n v="90"/>
    <n v="120"/>
    <n v="44.150000000000006"/>
    <n v="0.1737163092661814"/>
    <x v="0"/>
    <d v="2025-12-04T00:00:00"/>
    <n v="4"/>
    <x v="0"/>
    <m/>
    <n v="1"/>
  </r>
  <r>
    <s v="ORD-104630"/>
    <x v="695"/>
    <x v="1"/>
    <d v="2025-11-01T00:00:00"/>
    <n v="11"/>
    <s v="CUST-00621"/>
    <x v="1"/>
    <x v="14"/>
    <s v="KL"/>
    <x v="3"/>
    <s v="Kochi"/>
    <x v="4"/>
    <s v="P603"/>
    <s v="Smartwatch Strap"/>
    <x v="2"/>
    <n v="1"/>
    <n v="499"/>
    <n v="0.2"/>
    <n v="499"/>
    <n v="99.800000000000011"/>
    <n v="399.2"/>
    <n v="200"/>
    <n v="200"/>
    <n v="60"/>
    <n v="139.19999999999999"/>
    <n v="0.34869739478957912"/>
    <x v="1"/>
    <d v="2025-12-05T00:00:00"/>
    <n v="5"/>
    <x v="2"/>
    <m/>
    <n v="0"/>
  </r>
  <r>
    <s v="ORD-104631"/>
    <x v="695"/>
    <x v="1"/>
    <d v="2025-11-01T00:00:00"/>
    <n v="11"/>
    <s v="CUST-00693"/>
    <x v="1"/>
    <x v="17"/>
    <s v="TN"/>
    <x v="3"/>
    <s v="Coimbatore"/>
    <x v="0"/>
    <s v="P301"/>
    <s v="Cotton Oversized T-Shirt"/>
    <x v="1"/>
    <n v="1"/>
    <n v="799"/>
    <n v="0.05"/>
    <n v="799"/>
    <n v="39.950000000000003"/>
    <n v="759.05"/>
    <n v="320"/>
    <n v="320"/>
    <n v="60"/>
    <n v="379.04999999999995"/>
    <n v="0.49937421777221525"/>
    <x v="3"/>
    <d v="2025-12-01T00:00:00"/>
    <n v="1"/>
    <x v="1"/>
    <m/>
    <n v="0"/>
  </r>
  <r>
    <s v="ORD-104632"/>
    <x v="695"/>
    <x v="1"/>
    <d v="2025-11-01T00:00:00"/>
    <n v="11"/>
    <s v="CUST-00099"/>
    <x v="1"/>
    <x v="17"/>
    <s v="TN"/>
    <x v="3"/>
    <s v="Coimbatore"/>
    <x v="1"/>
    <s v="P303"/>
    <s v="Joggers"/>
    <x v="1"/>
    <n v="1"/>
    <n v="1199"/>
    <n v="0.25"/>
    <n v="1199"/>
    <n v="299.75"/>
    <n v="899.25"/>
    <n v="492"/>
    <n v="492"/>
    <n v="60"/>
    <n v="347.25"/>
    <n v="0.38615512927439533"/>
    <x v="0"/>
    <d v="2025-12-01T00:00:00"/>
    <n v="1"/>
    <x v="1"/>
    <m/>
    <n v="0"/>
  </r>
  <r>
    <s v="ORD-104633"/>
    <x v="696"/>
    <x v="1"/>
    <d v="2025-12-01T00:00:00"/>
    <n v="12"/>
    <s v="CUST-02862"/>
    <x v="0"/>
    <x v="4"/>
    <s v="JK"/>
    <x v="0"/>
    <s v="Srinagar"/>
    <x v="1"/>
    <s v="P302"/>
    <s v="Linen Kurta"/>
    <x v="1"/>
    <n v="1"/>
    <n v="1499"/>
    <n v="0.25"/>
    <n v="1499"/>
    <n v="374.75"/>
    <n v="1124.25"/>
    <n v="630"/>
    <n v="630"/>
    <n v="120"/>
    <n v="374.25"/>
    <n v="0.33288859239492996"/>
    <x v="0"/>
    <d v="2025-12-06T00:00:00"/>
    <n v="5"/>
    <x v="2"/>
    <n v="4"/>
    <n v="1"/>
  </r>
  <r>
    <s v="ORD-104634"/>
    <x v="696"/>
    <x v="1"/>
    <d v="2025-12-01T00:00:00"/>
    <n v="12"/>
    <s v="CUST-00101"/>
    <x v="1"/>
    <x v="15"/>
    <s v="HR"/>
    <x v="0"/>
    <s v="Gurugram"/>
    <x v="0"/>
    <s v="P103"/>
    <s v="Niacinamide Toner"/>
    <x v="3"/>
    <n v="2"/>
    <n v="399"/>
    <n v="0.3"/>
    <n v="798"/>
    <n v="239.39999999999998"/>
    <n v="558.6"/>
    <n v="112"/>
    <n v="224"/>
    <n v="60"/>
    <n v="274.60000000000002"/>
    <n v="0.49158610812746151"/>
    <x v="2"/>
    <d v="2025-12-02T00:00:00"/>
    <n v="1"/>
    <x v="1"/>
    <m/>
    <n v="0"/>
  </r>
  <r>
    <s v="ORD-104635"/>
    <x v="696"/>
    <x v="1"/>
    <d v="2025-12-01T00:00:00"/>
    <n v="12"/>
    <s v="CUST-02328"/>
    <x v="1"/>
    <x v="12"/>
    <s v="BR"/>
    <x v="2"/>
    <s v="Patna"/>
    <x v="3"/>
    <s v="P704"/>
    <s v="Multivitamin Gummies"/>
    <x v="0"/>
    <n v="1"/>
    <n v="699"/>
    <n v="0.25"/>
    <n v="699"/>
    <n v="174.75"/>
    <n v="524.25"/>
    <n v="238"/>
    <n v="238"/>
    <n v="60"/>
    <n v="226.25"/>
    <n v="0.43156890796375774"/>
    <x v="3"/>
    <d v="2025-12-04T00:00:00"/>
    <n v="3"/>
    <x v="0"/>
    <n v="4"/>
    <n v="0"/>
  </r>
  <r>
    <s v="ORD-104636"/>
    <x v="696"/>
    <x v="1"/>
    <d v="2025-12-01T00:00:00"/>
    <n v="12"/>
    <s v="CUST-00394"/>
    <x v="1"/>
    <x v="1"/>
    <s v="GJ"/>
    <x v="1"/>
    <s v="Surat"/>
    <x v="0"/>
    <s v="P603"/>
    <s v="Smartwatch Strap"/>
    <x v="2"/>
    <n v="1"/>
    <n v="499"/>
    <n v="0.1"/>
    <n v="499"/>
    <n v="49.900000000000006"/>
    <n v="449.1"/>
    <n v="200"/>
    <n v="200"/>
    <n v="60"/>
    <n v="189.10000000000002"/>
    <n v="0.42106435092407041"/>
    <x v="4"/>
    <d v="2025-12-05T00:00:00"/>
    <n v="4"/>
    <x v="0"/>
    <m/>
    <n v="0"/>
  </r>
  <r>
    <s v="ORD-104637"/>
    <x v="696"/>
    <x v="1"/>
    <d v="2025-12-01T00:00:00"/>
    <n v="12"/>
    <s v="CUST-00535"/>
    <x v="1"/>
    <x v="10"/>
    <s v="CG"/>
    <x v="2"/>
    <s v="Raipur"/>
    <x v="2"/>
    <s v="P704"/>
    <s v="Multivitamin Gummies"/>
    <x v="0"/>
    <n v="1"/>
    <n v="699"/>
    <n v="0.15"/>
    <n v="699"/>
    <n v="104.85"/>
    <n v="594.15"/>
    <n v="238"/>
    <n v="238"/>
    <n v="60"/>
    <n v="296.14999999999998"/>
    <n v="0.49844315408566858"/>
    <x v="0"/>
    <d v="2025-12-06T00:00:00"/>
    <n v="5"/>
    <x v="2"/>
    <m/>
    <n v="0"/>
  </r>
  <r>
    <s v="ORD-104638"/>
    <x v="696"/>
    <x v="1"/>
    <d v="2025-12-01T00:00:00"/>
    <n v="12"/>
    <s v="CUST-00027"/>
    <x v="1"/>
    <x v="20"/>
    <s v="GA"/>
    <x v="1"/>
    <s v="Panaji"/>
    <x v="3"/>
    <s v="P102"/>
    <s v="Sunscreen SPF 50"/>
    <x v="3"/>
    <n v="1"/>
    <n v="449"/>
    <n v="0.1"/>
    <n v="449"/>
    <n v="44.900000000000006"/>
    <n v="404.1"/>
    <n v="144"/>
    <n v="144"/>
    <n v="60"/>
    <n v="200.10000000000002"/>
    <n v="0.4951744617668894"/>
    <x v="4"/>
    <d v="2025-12-03T00:00:00"/>
    <n v="2"/>
    <x v="1"/>
    <n v="5"/>
    <n v="0"/>
  </r>
  <r>
    <s v="ORD-104639"/>
    <x v="696"/>
    <x v="1"/>
    <d v="2025-12-01T00:00:00"/>
    <n v="12"/>
    <s v="CUST-00887"/>
    <x v="1"/>
    <x v="11"/>
    <s v="KA"/>
    <x v="3"/>
    <s v="Bengaluru"/>
    <x v="1"/>
    <s v="P401"/>
    <s v="Running Shoes"/>
    <x v="5"/>
    <n v="1"/>
    <n v="2999"/>
    <n v="0.2"/>
    <n v="2999"/>
    <n v="599.80000000000007"/>
    <n v="2399.1999999999998"/>
    <n v="1440"/>
    <n v="1440"/>
    <n v="120"/>
    <n v="839.19999999999982"/>
    <n v="0.34978326108702895"/>
    <x v="0"/>
    <d v="2025-12-03T00:00:00"/>
    <n v="2"/>
    <x v="1"/>
    <m/>
    <n v="1"/>
  </r>
  <r>
    <s v="ORD-104640"/>
    <x v="696"/>
    <x v="1"/>
    <d v="2025-12-01T00:00:00"/>
    <n v="12"/>
    <s v="CUST-00712"/>
    <x v="1"/>
    <x v="14"/>
    <s v="KL"/>
    <x v="3"/>
    <s v="Thiruvananthapuram"/>
    <x v="1"/>
    <s v="P404"/>
    <s v="Flip Flops"/>
    <x v="5"/>
    <n v="1"/>
    <n v="399"/>
    <n v="0.05"/>
    <n v="399"/>
    <n v="19.950000000000003"/>
    <n v="379.05"/>
    <n v="152"/>
    <n v="152"/>
    <n v="60"/>
    <n v="167.05"/>
    <n v="0.44070703073473161"/>
    <x v="1"/>
    <d v="2025-12-04T00:00:00"/>
    <n v="3"/>
    <x v="0"/>
    <n v="4"/>
    <n v="0"/>
  </r>
  <r>
    <s v="ORD-104641"/>
    <x v="697"/>
    <x v="1"/>
    <d v="2025-12-01T00:00:00"/>
    <n v="12"/>
    <s v="CUST-00336"/>
    <x v="1"/>
    <x v="9"/>
    <s v="UK"/>
    <x v="0"/>
    <s v="Dehradun"/>
    <x v="2"/>
    <s v="P305"/>
    <s v="Printed Saree"/>
    <x v="1"/>
    <n v="1"/>
    <n v="1999"/>
    <n v="0"/>
    <n v="1999"/>
    <n v="0"/>
    <n v="1999"/>
    <n v="880"/>
    <n v="880"/>
    <n v="60"/>
    <n v="1059"/>
    <n v="0.52976488244122066"/>
    <x v="1"/>
    <d v="2025-12-07T00:00:00"/>
    <n v="5"/>
    <x v="2"/>
    <m/>
    <n v="0"/>
  </r>
  <r>
    <s v="ORD-104642"/>
    <x v="697"/>
    <x v="1"/>
    <d v="2025-12-01T00:00:00"/>
    <n v="12"/>
    <s v="CUST-00432"/>
    <x v="1"/>
    <x v="15"/>
    <s v="HR"/>
    <x v="0"/>
    <s v="Faridabad"/>
    <x v="2"/>
    <s v="P203"/>
    <s v="Keratin Hair Mask"/>
    <x v="6"/>
    <n v="1"/>
    <n v="549"/>
    <n v="0.05"/>
    <n v="549"/>
    <n v="27.450000000000003"/>
    <n v="521.54999999999995"/>
    <n v="170"/>
    <n v="170"/>
    <n v="60"/>
    <n v="291.54999999999995"/>
    <n v="0.55900680663407143"/>
    <x v="0"/>
    <d v="2025-12-04T00:00:00"/>
    <n v="2"/>
    <x v="1"/>
    <n v="4"/>
    <n v="0"/>
  </r>
  <r>
    <s v="ORD-104643"/>
    <x v="697"/>
    <x v="1"/>
    <d v="2025-12-01T00:00:00"/>
    <n v="12"/>
    <s v="CUST-02307"/>
    <x v="0"/>
    <x v="6"/>
    <s v="DL"/>
    <x v="0"/>
    <s v="New Delhi"/>
    <x v="0"/>
    <s v="P702"/>
    <s v="Whey Protein 1kg"/>
    <x v="0"/>
    <n v="2"/>
    <n v="2299"/>
    <n v="0.4"/>
    <n v="4598"/>
    <n v="1839.2"/>
    <n v="2758.8"/>
    <n v="1333"/>
    <n v="2666"/>
    <n v="60"/>
    <n v="32.800000000000182"/>
    <n v="1.188922720023205E-2"/>
    <x v="0"/>
    <d v="2025-12-03T00:00:00"/>
    <n v="1"/>
    <x v="1"/>
    <m/>
    <n v="0"/>
  </r>
  <r>
    <s v="ORD-104644"/>
    <x v="697"/>
    <x v="1"/>
    <d v="2025-12-01T00:00:00"/>
    <n v="12"/>
    <s v="CUST-00924"/>
    <x v="1"/>
    <x v="12"/>
    <s v="BR"/>
    <x v="2"/>
    <s v="Patna"/>
    <x v="2"/>
    <s v="P101"/>
    <s v="Vitamin C Face Serum"/>
    <x v="3"/>
    <n v="1"/>
    <n v="599"/>
    <n v="0.15"/>
    <n v="599"/>
    <n v="89.85"/>
    <n v="509.15"/>
    <n v="180"/>
    <n v="180"/>
    <n v="60"/>
    <n v="269.14999999999998"/>
    <n v="0.52862614160856325"/>
    <x v="0"/>
    <d v="2025-12-05T00:00:00"/>
    <n v="3"/>
    <x v="0"/>
    <m/>
    <n v="0"/>
  </r>
  <r>
    <s v="ORD-104645"/>
    <x v="697"/>
    <x v="1"/>
    <d v="2025-12-01T00:00:00"/>
    <n v="12"/>
    <s v="CUST-00033"/>
    <x v="1"/>
    <x v="13"/>
    <s v="MP"/>
    <x v="1"/>
    <s v="Indore"/>
    <x v="2"/>
    <s v="P702"/>
    <s v="Whey Protein 1kg"/>
    <x v="0"/>
    <n v="1"/>
    <n v="2299"/>
    <n v="0.4"/>
    <n v="2299"/>
    <n v="919.6"/>
    <n v="1379.4"/>
    <n v="1333"/>
    <n v="1333"/>
    <n v="60"/>
    <n v="-13.599999999999909"/>
    <n v="-9.8593591416557252E-3"/>
    <x v="0"/>
    <d v="2025-12-08T00:00:00"/>
    <n v="6"/>
    <x v="2"/>
    <m/>
    <n v="0"/>
  </r>
  <r>
    <s v="ORD-104646"/>
    <x v="697"/>
    <x v="1"/>
    <d v="2025-12-01T00:00:00"/>
    <n v="12"/>
    <s v="CUST-00341"/>
    <x v="1"/>
    <x v="18"/>
    <s v="WB"/>
    <x v="2"/>
    <s v="Kolkata"/>
    <x v="4"/>
    <s v="P504"/>
    <s v="Cotton Bedsheet"/>
    <x v="4"/>
    <n v="2"/>
    <n v="1299"/>
    <n v="0.05"/>
    <n v="2598"/>
    <n v="129.9"/>
    <n v="2468.1"/>
    <n v="585"/>
    <n v="1170"/>
    <n v="120"/>
    <n v="1178.0999999999999"/>
    <n v="0.47733074024553296"/>
    <x v="3"/>
    <d v="2025-12-04T00:00:00"/>
    <n v="2"/>
    <x v="1"/>
    <n v="5"/>
    <n v="1"/>
  </r>
  <r>
    <s v="ORD-104647"/>
    <x v="697"/>
    <x v="1"/>
    <d v="2025-12-01T00:00:00"/>
    <n v="12"/>
    <s v="CUST-00490"/>
    <x v="1"/>
    <x v="2"/>
    <s v="MH"/>
    <x v="1"/>
    <s v="Pune"/>
    <x v="1"/>
    <s v="P404"/>
    <s v="Flip Flops"/>
    <x v="5"/>
    <n v="1"/>
    <n v="399"/>
    <n v="0.05"/>
    <n v="399"/>
    <n v="19.950000000000003"/>
    <n v="379.05"/>
    <n v="152"/>
    <n v="152"/>
    <n v="60"/>
    <n v="167.05"/>
    <n v="0.44070703073473161"/>
    <x v="0"/>
    <d v="2025-12-05T00:00:00"/>
    <n v="3"/>
    <x v="0"/>
    <n v="3"/>
    <n v="0"/>
  </r>
  <r>
    <s v="ORD-104648"/>
    <x v="697"/>
    <x v="1"/>
    <d v="2025-12-01T00:00:00"/>
    <n v="12"/>
    <s v="CUST-01784"/>
    <x v="1"/>
    <x v="3"/>
    <s v="OD"/>
    <x v="2"/>
    <s v="Bhubaneswar"/>
    <x v="3"/>
    <s v="P101"/>
    <s v="Vitamin C Face Serum"/>
    <x v="3"/>
    <n v="2"/>
    <n v="599"/>
    <n v="0.15"/>
    <n v="1198"/>
    <n v="179.7"/>
    <n v="1018.3"/>
    <n v="180"/>
    <n v="360"/>
    <n v="60"/>
    <n v="598.29999999999995"/>
    <n v="0.58754787390749286"/>
    <x v="1"/>
    <d v="2025-12-06T00:00:00"/>
    <n v="4"/>
    <x v="0"/>
    <n v="4"/>
    <n v="0"/>
  </r>
  <r>
    <s v="ORD-104649"/>
    <x v="697"/>
    <x v="1"/>
    <d v="2025-12-01T00:00:00"/>
    <n v="12"/>
    <s v="CUST-02678"/>
    <x v="0"/>
    <x v="8"/>
    <s v="AP"/>
    <x v="3"/>
    <s v="Vijayawada"/>
    <x v="1"/>
    <s v="P403"/>
    <s v="Kolhapuri Sandals"/>
    <x v="5"/>
    <n v="2"/>
    <n v="999"/>
    <n v="0.15"/>
    <n v="1998"/>
    <n v="299.7"/>
    <n v="1698.3"/>
    <n v="400"/>
    <n v="800"/>
    <n v="120"/>
    <n v="778.3"/>
    <n v="0.45828181122298767"/>
    <x v="4"/>
    <d v="2025-12-07T00:00:00"/>
    <n v="5"/>
    <x v="2"/>
    <n v="4"/>
    <n v="1"/>
  </r>
  <r>
    <s v="ORD-104650"/>
    <x v="698"/>
    <x v="1"/>
    <d v="2025-12-01T00:00:00"/>
    <n v="12"/>
    <s v="CUST-00959"/>
    <x v="0"/>
    <x v="15"/>
    <s v="HR"/>
    <x v="0"/>
    <s v="Gurugram"/>
    <x v="0"/>
    <s v="P303"/>
    <s v="Joggers"/>
    <x v="1"/>
    <n v="1"/>
    <n v="1199"/>
    <n v="0.1"/>
    <n v="1199"/>
    <n v="119.9"/>
    <n v="1079.0999999999999"/>
    <n v="492"/>
    <n v="492"/>
    <n v="60"/>
    <n v="527.09999999999991"/>
    <n v="0.48846260772866273"/>
    <x v="0"/>
    <d v="2025-12-04T00:00:00"/>
    <n v="1"/>
    <x v="1"/>
    <n v="5"/>
    <n v="0"/>
  </r>
  <r>
    <s v="ORD-104651"/>
    <x v="698"/>
    <x v="1"/>
    <d v="2025-12-01T00:00:00"/>
    <n v="12"/>
    <s v="CUST-01153"/>
    <x v="1"/>
    <x v="11"/>
    <s v="KA"/>
    <x v="3"/>
    <s v="Mysuru"/>
    <x v="4"/>
    <s v="P204"/>
    <s v="Anti-Dandruff Conditioner"/>
    <x v="6"/>
    <n v="3"/>
    <n v="399"/>
    <n v="0.35"/>
    <n v="1197"/>
    <n v="418.95"/>
    <n v="778.05"/>
    <n v="136"/>
    <n v="408"/>
    <n v="60"/>
    <n v="310.04999999999995"/>
    <n v="0.39849624060150374"/>
    <x v="3"/>
    <d v="2025-12-05T00:00:00"/>
    <n v="2"/>
    <x v="1"/>
    <m/>
    <n v="0"/>
  </r>
  <r>
    <s v="ORD-104652"/>
    <x v="698"/>
    <x v="1"/>
    <d v="2025-12-01T00:00:00"/>
    <n v="12"/>
    <s v="CUST-01257"/>
    <x v="1"/>
    <x v="8"/>
    <s v="AP"/>
    <x v="3"/>
    <s v="Vijayawada"/>
    <x v="3"/>
    <s v="P104"/>
    <s v="Hydrating Face Wash"/>
    <x v="3"/>
    <n v="2"/>
    <n v="299"/>
    <n v="0"/>
    <n v="598"/>
    <n v="0"/>
    <n v="598"/>
    <n v="90"/>
    <n v="180"/>
    <n v="120"/>
    <n v="298"/>
    <n v="0.49832775919732442"/>
    <x v="3"/>
    <d v="2025-12-07T00:00:00"/>
    <n v="4"/>
    <x v="0"/>
    <n v="5"/>
    <n v="1"/>
  </r>
  <r>
    <s v="ORD-104653"/>
    <x v="698"/>
    <x v="1"/>
    <d v="2025-12-01T00:00:00"/>
    <n v="12"/>
    <s v="CUST-01498"/>
    <x v="0"/>
    <x v="14"/>
    <s v="KL"/>
    <x v="3"/>
    <s v="Kochi"/>
    <x v="3"/>
    <s v="P201"/>
    <s v="Onion Hair Oil"/>
    <x v="6"/>
    <n v="2"/>
    <n v="349"/>
    <n v="0.35"/>
    <n v="698"/>
    <n v="244.29999999999998"/>
    <n v="453.70000000000005"/>
    <n v="105"/>
    <n v="210"/>
    <n v="60"/>
    <n v="183.70000000000005"/>
    <n v="0.40489310116817284"/>
    <x v="0"/>
    <d v="2025-12-05T00:00:00"/>
    <n v="2"/>
    <x v="1"/>
    <m/>
    <n v="0"/>
  </r>
  <r>
    <s v="ORD-104654"/>
    <x v="698"/>
    <x v="1"/>
    <d v="2025-12-01T00:00:00"/>
    <n v="12"/>
    <s v="CUST-02819"/>
    <x v="1"/>
    <x v="14"/>
    <s v="KL"/>
    <x v="3"/>
    <s v="Thiruvananthapuram"/>
    <x v="4"/>
    <s v="P303"/>
    <s v="Joggers"/>
    <x v="1"/>
    <n v="2"/>
    <n v="1199"/>
    <n v="0.2"/>
    <n v="2398"/>
    <n v="479.6"/>
    <n v="1918.4"/>
    <n v="492"/>
    <n v="984"/>
    <n v="60"/>
    <n v="874.40000000000009"/>
    <n v="0.45579649708090075"/>
    <x v="1"/>
    <d v="2025-12-05T00:00:00"/>
    <n v="2"/>
    <x v="1"/>
    <n v="4"/>
    <n v="0"/>
  </r>
  <r>
    <s v="ORD-104655"/>
    <x v="698"/>
    <x v="1"/>
    <d v="2025-12-01T00:00:00"/>
    <n v="12"/>
    <s v="CUST-01190"/>
    <x v="1"/>
    <x v="14"/>
    <s v="KL"/>
    <x v="3"/>
    <s v="Thiruvananthapuram"/>
    <x v="0"/>
    <s v="P302"/>
    <s v="Linen Kurta"/>
    <x v="1"/>
    <n v="4"/>
    <n v="1499"/>
    <n v="0.3"/>
    <n v="5996"/>
    <n v="1798.8"/>
    <n v="4197.2"/>
    <n v="630"/>
    <n v="2520"/>
    <n v="60"/>
    <n v="1617.1999999999998"/>
    <n v="0.38530448870675688"/>
    <x v="0"/>
    <d v="2025-12-07T00:00:00"/>
    <n v="4"/>
    <x v="0"/>
    <n v="3"/>
    <n v="0"/>
  </r>
  <r>
    <s v="ORD-104656"/>
    <x v="698"/>
    <x v="1"/>
    <d v="2025-12-01T00:00:00"/>
    <n v="12"/>
    <s v="CUST-02634"/>
    <x v="0"/>
    <x v="17"/>
    <s v="TN"/>
    <x v="3"/>
    <s v="Coimbatore"/>
    <x v="0"/>
    <s v="P503"/>
    <s v="Scented Candle Set"/>
    <x v="4"/>
    <n v="2"/>
    <n v="699"/>
    <n v="0.25"/>
    <n v="1398"/>
    <n v="349.5"/>
    <n v="1048.5"/>
    <n v="245"/>
    <n v="490"/>
    <n v="60"/>
    <n v="498.5"/>
    <n v="0.47544110634239389"/>
    <x v="0"/>
    <d v="2025-12-07T00:00:00"/>
    <n v="4"/>
    <x v="0"/>
    <m/>
    <n v="0"/>
  </r>
  <r>
    <s v="ORD-104657"/>
    <x v="699"/>
    <x v="1"/>
    <d v="2025-12-01T00:00:00"/>
    <n v="12"/>
    <s v="CUST-01887"/>
    <x v="0"/>
    <x v="4"/>
    <s v="JK"/>
    <x v="0"/>
    <s v="Jammu"/>
    <x v="2"/>
    <s v="P401"/>
    <s v="Running Shoes"/>
    <x v="5"/>
    <n v="1"/>
    <n v="2999"/>
    <n v="0.25"/>
    <n v="2999"/>
    <n v="749.75"/>
    <n v="2249.25"/>
    <n v="1440"/>
    <n v="1440"/>
    <n v="60"/>
    <n v="749.25"/>
    <n v="0.33311103701233746"/>
    <x v="0"/>
    <d v="2025-12-09T00:00:00"/>
    <n v="5"/>
    <x v="2"/>
    <n v="4"/>
    <n v="0"/>
  </r>
  <r>
    <s v="ORD-104658"/>
    <x v="699"/>
    <x v="1"/>
    <d v="2025-12-01T00:00:00"/>
    <n v="12"/>
    <s v="CUST-01125"/>
    <x v="1"/>
    <x v="5"/>
    <s v="HP"/>
    <x v="0"/>
    <s v="Shimla"/>
    <x v="0"/>
    <s v="P305"/>
    <s v="Printed Saree"/>
    <x v="1"/>
    <n v="3"/>
    <n v="1999"/>
    <n v="0.15"/>
    <n v="5997"/>
    <n v="899.55"/>
    <n v="5097.45"/>
    <n v="880"/>
    <n v="2640"/>
    <n v="120"/>
    <n v="2337.4499999999998"/>
    <n v="0.458552805814672"/>
    <x v="1"/>
    <d v="2025-12-08T00:00:00"/>
    <n v="4"/>
    <x v="0"/>
    <n v="4"/>
    <n v="1"/>
  </r>
  <r>
    <s v="ORD-104659"/>
    <x v="699"/>
    <x v="1"/>
    <d v="2025-12-01T00:00:00"/>
    <n v="12"/>
    <s v="CUST-02883"/>
    <x v="1"/>
    <x v="15"/>
    <s v="HR"/>
    <x v="0"/>
    <s v="Gurugram"/>
    <x v="1"/>
    <s v="P304"/>
    <s v="Denim Jacket"/>
    <x v="1"/>
    <n v="1"/>
    <n v="2499"/>
    <n v="0.05"/>
    <n v="2499"/>
    <n v="124.95"/>
    <n v="2374.0500000000002"/>
    <n v="1125"/>
    <n v="1125"/>
    <n v="60"/>
    <n v="1189.0500000000002"/>
    <n v="0.50085297276805463"/>
    <x v="1"/>
    <d v="2025-12-05T00:00:00"/>
    <n v="1"/>
    <x v="1"/>
    <n v="5"/>
    <n v="0"/>
  </r>
  <r>
    <s v="ORD-104660"/>
    <x v="699"/>
    <x v="1"/>
    <d v="2025-12-01T00:00:00"/>
    <n v="12"/>
    <s v="CUST-01185"/>
    <x v="1"/>
    <x v="6"/>
    <s v="DL"/>
    <x v="0"/>
    <s v="New Delhi"/>
    <x v="1"/>
    <s v="P301"/>
    <s v="Cotton Oversized T-Shirt"/>
    <x v="1"/>
    <n v="1"/>
    <n v="799"/>
    <n v="0"/>
    <n v="799"/>
    <n v="0"/>
    <n v="799"/>
    <n v="320"/>
    <n v="320"/>
    <n v="60"/>
    <n v="419"/>
    <n v="0.52440550688360454"/>
    <x v="0"/>
    <d v="2025-12-05T00:00:00"/>
    <n v="1"/>
    <x v="1"/>
    <m/>
    <n v="0"/>
  </r>
  <r>
    <s v="ORD-104661"/>
    <x v="699"/>
    <x v="1"/>
    <d v="2025-12-01T00:00:00"/>
    <n v="12"/>
    <s v="CUST-00477"/>
    <x v="1"/>
    <x v="2"/>
    <s v="MH"/>
    <x v="1"/>
    <s v="Mumbai"/>
    <x v="4"/>
    <s v="P204"/>
    <s v="Anti-Dandruff Conditioner"/>
    <x v="6"/>
    <n v="2"/>
    <n v="399"/>
    <n v="0.35"/>
    <n v="798"/>
    <n v="279.29999999999995"/>
    <n v="518.70000000000005"/>
    <n v="136"/>
    <n v="272"/>
    <n v="60"/>
    <n v="186.70000000000005"/>
    <n v="0.35993830730672843"/>
    <x v="4"/>
    <d v="2025-12-06T00:00:00"/>
    <n v="2"/>
    <x v="1"/>
    <n v="5"/>
    <n v="0"/>
  </r>
  <r>
    <s v="ORD-104662"/>
    <x v="699"/>
    <x v="1"/>
    <d v="2025-12-01T00:00:00"/>
    <n v="12"/>
    <s v="CUST-00377"/>
    <x v="1"/>
    <x v="2"/>
    <s v="MH"/>
    <x v="1"/>
    <s v="Pune"/>
    <x v="2"/>
    <s v="P504"/>
    <s v="Cotton Bedsheet"/>
    <x v="4"/>
    <n v="1"/>
    <n v="1299"/>
    <n v="0"/>
    <n v="1299"/>
    <n v="0"/>
    <n v="1299"/>
    <n v="585"/>
    <n v="585"/>
    <n v="60"/>
    <n v="654"/>
    <n v="0.50346420323325636"/>
    <x v="4"/>
    <d v="2025-12-06T00:00:00"/>
    <n v="2"/>
    <x v="1"/>
    <n v="5"/>
    <n v="0"/>
  </r>
  <r>
    <s v="ORD-104663"/>
    <x v="699"/>
    <x v="1"/>
    <d v="2025-12-01T00:00:00"/>
    <n v="12"/>
    <s v="CUST-01629"/>
    <x v="1"/>
    <x v="11"/>
    <s v="KA"/>
    <x v="3"/>
    <s v="Bengaluru"/>
    <x v="0"/>
    <s v="P202"/>
    <s v="Argan Shampoo"/>
    <x v="6"/>
    <n v="4"/>
    <n v="449"/>
    <n v="0.15"/>
    <n v="1796"/>
    <n v="269.39999999999998"/>
    <n v="1526.6"/>
    <n v="148"/>
    <n v="592"/>
    <n v="60"/>
    <n v="874.59999999999991"/>
    <n v="0.57290711384776627"/>
    <x v="1"/>
    <d v="2025-12-06T00:00:00"/>
    <n v="2"/>
    <x v="1"/>
    <n v="4"/>
    <n v="0"/>
  </r>
  <r>
    <s v="ORD-104664"/>
    <x v="700"/>
    <x v="1"/>
    <d v="2025-12-01T00:00:00"/>
    <n v="12"/>
    <s v="CUST-02259"/>
    <x v="1"/>
    <x v="4"/>
    <s v="JK"/>
    <x v="0"/>
    <s v="Srinagar"/>
    <x v="2"/>
    <s v="P704"/>
    <s v="Multivitamin Gummies"/>
    <x v="0"/>
    <n v="3"/>
    <n v="699"/>
    <n v="0.1"/>
    <n v="2097"/>
    <n v="209.70000000000002"/>
    <n v="1887.3"/>
    <n v="238"/>
    <n v="714"/>
    <n v="60"/>
    <n v="1113.3"/>
    <n v="0.58989031950405335"/>
    <x v="1"/>
    <d v="2025-12-12T00:00:00"/>
    <n v="7"/>
    <x v="2"/>
    <m/>
    <n v="0"/>
  </r>
  <r>
    <s v="ORD-104665"/>
    <x v="700"/>
    <x v="1"/>
    <d v="2025-12-01T00:00:00"/>
    <n v="12"/>
    <s v="CUST-02605"/>
    <x v="0"/>
    <x v="12"/>
    <s v="BR"/>
    <x v="2"/>
    <s v="Patna"/>
    <x v="0"/>
    <s v="P404"/>
    <s v="Flip Flops"/>
    <x v="5"/>
    <n v="1"/>
    <n v="399"/>
    <n v="0.1"/>
    <n v="399"/>
    <n v="39.900000000000006"/>
    <n v="359.1"/>
    <n v="152"/>
    <n v="152"/>
    <n v="120"/>
    <n v="87.100000000000023"/>
    <n v="0.24255082149818996"/>
    <x v="0"/>
    <d v="2025-12-08T00:00:00"/>
    <n v="3"/>
    <x v="0"/>
    <m/>
    <n v="1"/>
  </r>
  <r>
    <s v="ORD-104666"/>
    <x v="700"/>
    <x v="1"/>
    <d v="2025-12-01T00:00:00"/>
    <n v="12"/>
    <s v="CUST-02936"/>
    <x v="0"/>
    <x v="22"/>
    <s v="AS"/>
    <x v="2"/>
    <s v="Guwahati"/>
    <x v="1"/>
    <s v="P303"/>
    <s v="Joggers"/>
    <x v="1"/>
    <n v="1"/>
    <n v="1199"/>
    <n v="0.05"/>
    <n v="1199"/>
    <n v="59.95"/>
    <n v="1139.05"/>
    <n v="492"/>
    <n v="492"/>
    <n v="60"/>
    <n v="587.04999999999995"/>
    <n v="0.51538562837452262"/>
    <x v="3"/>
    <d v="2025-12-11T00:00:00"/>
    <n v="6"/>
    <x v="2"/>
    <n v="4"/>
    <n v="0"/>
  </r>
  <r>
    <s v="ORD-104667"/>
    <x v="700"/>
    <x v="1"/>
    <d v="2025-12-01T00:00:00"/>
    <n v="12"/>
    <s v="CUST-00038"/>
    <x v="1"/>
    <x v="1"/>
    <s v="GJ"/>
    <x v="1"/>
    <s v="Ahmedabad"/>
    <x v="3"/>
    <s v="P204"/>
    <s v="Anti-Dandruff Conditioner"/>
    <x v="6"/>
    <n v="1"/>
    <n v="399"/>
    <n v="0.3"/>
    <n v="399"/>
    <n v="119.69999999999999"/>
    <n v="279.3"/>
    <n v="136"/>
    <n v="136"/>
    <n v="120"/>
    <n v="23.300000000000011"/>
    <n v="8.3422842821339105E-2"/>
    <x v="3"/>
    <d v="2025-12-08T00:00:00"/>
    <n v="3"/>
    <x v="0"/>
    <n v="4"/>
    <n v="1"/>
  </r>
  <r>
    <s v="ORD-104668"/>
    <x v="700"/>
    <x v="1"/>
    <d v="2025-12-01T00:00:00"/>
    <n v="12"/>
    <s v="CUST-01892"/>
    <x v="1"/>
    <x v="2"/>
    <s v="MH"/>
    <x v="1"/>
    <s v="Nagpur"/>
    <x v="3"/>
    <s v="P203"/>
    <s v="Keratin Hair Mask"/>
    <x v="6"/>
    <n v="1"/>
    <n v="549"/>
    <n v="0.15"/>
    <n v="549"/>
    <n v="82.35"/>
    <n v="466.65"/>
    <n v="170"/>
    <n v="170"/>
    <n v="60"/>
    <n v="236.64999999999998"/>
    <n v="0.50712525447337398"/>
    <x v="0"/>
    <d v="2025-12-08T00:00:00"/>
    <n v="3"/>
    <x v="0"/>
    <n v="4"/>
    <n v="0"/>
  </r>
  <r>
    <s v="ORD-104669"/>
    <x v="701"/>
    <x v="1"/>
    <d v="2025-12-01T00:00:00"/>
    <n v="12"/>
    <s v="CUST-02948"/>
    <x v="1"/>
    <x v="18"/>
    <s v="WB"/>
    <x v="2"/>
    <s v="Kolkata"/>
    <x v="4"/>
    <s v="P501"/>
    <s v="Copper Water Bottle"/>
    <x v="4"/>
    <n v="1"/>
    <n v="899"/>
    <n v="0"/>
    <n v="899"/>
    <n v="0"/>
    <n v="899"/>
    <n v="378"/>
    <n v="378"/>
    <n v="60"/>
    <n v="461"/>
    <n v="0.51279199110122353"/>
    <x v="3"/>
    <d v="2025-12-09T00:00:00"/>
    <n v="3"/>
    <x v="0"/>
    <n v="3"/>
    <n v="0"/>
  </r>
  <r>
    <s v="ORD-104670"/>
    <x v="701"/>
    <x v="1"/>
    <d v="2025-12-01T00:00:00"/>
    <n v="12"/>
    <s v="CUST-01867"/>
    <x v="0"/>
    <x v="2"/>
    <s v="MH"/>
    <x v="1"/>
    <s v="Mumbai"/>
    <x v="0"/>
    <s v="P501"/>
    <s v="Copper Water Bottle"/>
    <x v="4"/>
    <n v="1"/>
    <n v="899"/>
    <n v="0.15"/>
    <n v="899"/>
    <n v="134.85"/>
    <n v="764.15"/>
    <n v="378"/>
    <n v="378"/>
    <n v="60"/>
    <n v="326.14999999999998"/>
    <n v="0.42681410717791007"/>
    <x v="2"/>
    <d v="2025-12-10T00:00:00"/>
    <n v="4"/>
    <x v="0"/>
    <m/>
    <n v="0"/>
  </r>
  <r>
    <s v="ORD-104671"/>
    <x v="701"/>
    <x v="1"/>
    <d v="2025-12-01T00:00:00"/>
    <n v="12"/>
    <s v="CUST-01780"/>
    <x v="1"/>
    <x v="21"/>
    <s v="TG"/>
    <x v="3"/>
    <s v="Hyderabad"/>
    <x v="2"/>
    <s v="P603"/>
    <s v="Smartwatch Strap"/>
    <x v="2"/>
    <n v="1"/>
    <n v="499"/>
    <n v="0.1"/>
    <n v="499"/>
    <n v="49.900000000000006"/>
    <n v="449.1"/>
    <n v="200"/>
    <n v="200"/>
    <n v="60"/>
    <n v="189.10000000000002"/>
    <n v="0.42106435092407041"/>
    <x v="0"/>
    <d v="2025-12-10T00:00:00"/>
    <n v="4"/>
    <x v="0"/>
    <m/>
    <n v="0"/>
  </r>
  <r>
    <s v="ORD-104672"/>
    <x v="701"/>
    <x v="1"/>
    <d v="2025-12-01T00:00:00"/>
    <n v="12"/>
    <s v="CUST-00378"/>
    <x v="1"/>
    <x v="17"/>
    <s v="TN"/>
    <x v="3"/>
    <s v="Chennai"/>
    <x v="2"/>
    <s v="P102"/>
    <s v="Sunscreen SPF 50"/>
    <x v="3"/>
    <n v="2"/>
    <n v="449"/>
    <n v="0"/>
    <n v="898"/>
    <n v="0"/>
    <n v="898"/>
    <n v="144"/>
    <n v="288"/>
    <n v="120"/>
    <n v="490"/>
    <n v="0.54565701559020041"/>
    <x v="1"/>
    <d v="2025-12-10T00:00:00"/>
    <n v="4"/>
    <x v="0"/>
    <n v="5"/>
    <n v="1"/>
  </r>
  <r>
    <s v="ORD-104673"/>
    <x v="702"/>
    <x v="1"/>
    <d v="2025-12-01T00:00:00"/>
    <n v="12"/>
    <s v="CUST-00553"/>
    <x v="1"/>
    <x v="19"/>
    <s v="PB"/>
    <x v="0"/>
    <s v="Amritsar"/>
    <x v="4"/>
    <s v="P204"/>
    <s v="Anti-Dandruff Conditioner"/>
    <x v="6"/>
    <n v="2"/>
    <n v="399"/>
    <n v="0.45"/>
    <n v="798"/>
    <n v="359.1"/>
    <n v="438.9"/>
    <n v="136"/>
    <n v="272"/>
    <n v="60"/>
    <n v="106.89999999999998"/>
    <n v="0.24356345408976984"/>
    <x v="0"/>
    <d v="2025-12-11T00:00:00"/>
    <n v="4"/>
    <x v="0"/>
    <n v="4"/>
    <n v="0"/>
  </r>
  <r>
    <s v="ORD-104674"/>
    <x v="702"/>
    <x v="1"/>
    <d v="2025-12-01T00:00:00"/>
    <n v="12"/>
    <s v="CUST-02225"/>
    <x v="1"/>
    <x v="7"/>
    <s v="JH"/>
    <x v="2"/>
    <s v="Ranchi"/>
    <x v="1"/>
    <s v="P303"/>
    <s v="Joggers"/>
    <x v="1"/>
    <n v="1"/>
    <n v="1199"/>
    <n v="0.05"/>
    <n v="1199"/>
    <n v="59.95"/>
    <n v="1139.05"/>
    <n v="492"/>
    <n v="492"/>
    <n v="120"/>
    <n v="527.04999999999995"/>
    <n v="0.46271015319784026"/>
    <x v="3"/>
    <d v="2025-12-12T00:00:00"/>
    <n v="5"/>
    <x v="2"/>
    <n v="3"/>
    <n v="1"/>
  </r>
  <r>
    <s v="ORD-104675"/>
    <x v="702"/>
    <x v="1"/>
    <d v="2025-12-01T00:00:00"/>
    <n v="12"/>
    <s v="CUST-02196"/>
    <x v="1"/>
    <x v="2"/>
    <s v="MH"/>
    <x v="1"/>
    <s v="Pune"/>
    <x v="2"/>
    <s v="P101"/>
    <s v="Vitamin C Face Serum"/>
    <x v="3"/>
    <n v="2"/>
    <n v="599"/>
    <n v="0.1"/>
    <n v="1198"/>
    <n v="119.80000000000001"/>
    <n v="1078.2"/>
    <n v="180"/>
    <n v="360"/>
    <n v="60"/>
    <n v="658.2"/>
    <n v="0.6104618809126322"/>
    <x v="0"/>
    <d v="2025-12-10T00:00:00"/>
    <n v="3"/>
    <x v="0"/>
    <n v="4"/>
    <n v="0"/>
  </r>
  <r>
    <s v="ORD-104676"/>
    <x v="702"/>
    <x v="1"/>
    <d v="2025-12-01T00:00:00"/>
    <n v="12"/>
    <s v="CUST-00831"/>
    <x v="1"/>
    <x v="2"/>
    <s v="MH"/>
    <x v="1"/>
    <s v="Pune"/>
    <x v="2"/>
    <s v="P104"/>
    <s v="Hydrating Face Wash"/>
    <x v="3"/>
    <n v="1"/>
    <n v="299"/>
    <n v="0"/>
    <n v="299"/>
    <n v="0"/>
    <n v="299"/>
    <n v="90"/>
    <n v="90"/>
    <n v="60"/>
    <n v="149"/>
    <n v="0.49832775919732442"/>
    <x v="2"/>
    <d v="2025-12-12T00:00:00"/>
    <n v="5"/>
    <x v="2"/>
    <m/>
    <n v="0"/>
  </r>
  <r>
    <s v="ORD-104677"/>
    <x v="702"/>
    <x v="1"/>
    <d v="2025-12-01T00:00:00"/>
    <n v="12"/>
    <s v="CUST-00772"/>
    <x v="1"/>
    <x v="21"/>
    <s v="TG"/>
    <x v="3"/>
    <s v="Hyderabad"/>
    <x v="4"/>
    <s v="P604"/>
    <s v="Power Bank 20000mAh"/>
    <x v="2"/>
    <n v="2"/>
    <n v="1799"/>
    <n v="0.4"/>
    <n v="3598"/>
    <n v="1439.2"/>
    <n v="2158.8000000000002"/>
    <n v="1079"/>
    <n v="2158"/>
    <n v="60"/>
    <n v="-59.199999999999818"/>
    <n v="-2.742264220863434E-2"/>
    <x v="3"/>
    <d v="2025-12-10T00:00:00"/>
    <n v="3"/>
    <x v="0"/>
    <n v="3"/>
    <n v="0"/>
  </r>
  <r>
    <s v="ORD-104678"/>
    <x v="702"/>
    <x v="1"/>
    <d v="2025-12-01T00:00:00"/>
    <n v="12"/>
    <s v="CUST-01132"/>
    <x v="1"/>
    <x v="11"/>
    <s v="KA"/>
    <x v="3"/>
    <s v="Mysuru"/>
    <x v="3"/>
    <s v="P204"/>
    <s v="Anti-Dandruff Conditioner"/>
    <x v="6"/>
    <n v="1"/>
    <n v="399"/>
    <n v="0.35"/>
    <n v="399"/>
    <n v="139.64999999999998"/>
    <n v="259.35000000000002"/>
    <n v="136"/>
    <n v="136"/>
    <n v="60"/>
    <n v="63.350000000000023"/>
    <n v="0.24426450742240222"/>
    <x v="3"/>
    <d v="2025-12-10T00:00:00"/>
    <n v="3"/>
    <x v="0"/>
    <n v="4"/>
    <n v="0"/>
  </r>
  <r>
    <s v="ORD-104679"/>
    <x v="703"/>
    <x v="1"/>
    <d v="2025-12-01T00:00:00"/>
    <n v="12"/>
    <s v="CUST-00808"/>
    <x v="1"/>
    <x v="16"/>
    <s v="UP"/>
    <x v="0"/>
    <s v="Lucknow"/>
    <x v="0"/>
    <s v="P703"/>
    <s v="Green Tea (100 bags)"/>
    <x v="0"/>
    <n v="1"/>
    <n v="399"/>
    <n v="0.3"/>
    <n v="399"/>
    <n v="119.69999999999999"/>
    <n v="279.3"/>
    <n v="128"/>
    <n v="128"/>
    <n v="60"/>
    <n v="91.300000000000011"/>
    <n v="0.32688865019692093"/>
    <x v="4"/>
    <d v="2025-12-12T00:00:00"/>
    <n v="4"/>
    <x v="0"/>
    <m/>
    <n v="0"/>
  </r>
  <r>
    <s v="ORD-104680"/>
    <x v="703"/>
    <x v="1"/>
    <d v="2025-12-01T00:00:00"/>
    <n v="12"/>
    <s v="CUST-03141"/>
    <x v="1"/>
    <x v="12"/>
    <s v="BR"/>
    <x v="2"/>
    <s v="Patna"/>
    <x v="0"/>
    <s v="P303"/>
    <s v="Joggers"/>
    <x v="1"/>
    <n v="1"/>
    <n v="1199"/>
    <n v="0.15"/>
    <n v="1199"/>
    <n v="179.85"/>
    <n v="1019.15"/>
    <n v="492"/>
    <n v="492"/>
    <n v="60"/>
    <n v="467.15"/>
    <n v="0.45837217288917231"/>
    <x v="3"/>
    <d v="2025-12-13T00:00:00"/>
    <n v="5"/>
    <x v="2"/>
    <n v="4"/>
    <n v="0"/>
  </r>
  <r>
    <s v="ORD-104681"/>
    <x v="703"/>
    <x v="1"/>
    <d v="2025-12-01T00:00:00"/>
    <n v="12"/>
    <s v="CUST-01498"/>
    <x v="1"/>
    <x v="13"/>
    <s v="MP"/>
    <x v="1"/>
    <s v="Bhopal"/>
    <x v="4"/>
    <s v="P704"/>
    <s v="Multivitamin Gummies"/>
    <x v="0"/>
    <n v="1"/>
    <n v="699"/>
    <n v="0.2"/>
    <n v="699"/>
    <n v="139.80000000000001"/>
    <n v="559.20000000000005"/>
    <n v="238"/>
    <n v="238"/>
    <n v="120"/>
    <n v="201.20000000000005"/>
    <n v="0.35979971387696713"/>
    <x v="0"/>
    <d v="2025-12-13T00:00:00"/>
    <n v="5"/>
    <x v="2"/>
    <n v="2"/>
    <n v="1"/>
  </r>
  <r>
    <s v="ORD-104682"/>
    <x v="703"/>
    <x v="1"/>
    <d v="2025-12-01T00:00:00"/>
    <n v="12"/>
    <s v="CUST-00533"/>
    <x v="1"/>
    <x v="14"/>
    <s v="KL"/>
    <x v="3"/>
    <s v="Thiruvananthapuram"/>
    <x v="0"/>
    <s v="P704"/>
    <s v="Multivitamin Gummies"/>
    <x v="0"/>
    <n v="1"/>
    <n v="699"/>
    <n v="0.2"/>
    <n v="699"/>
    <n v="139.80000000000001"/>
    <n v="559.20000000000005"/>
    <n v="238"/>
    <n v="238"/>
    <n v="60"/>
    <n v="261.20000000000005"/>
    <n v="0.46709585121602293"/>
    <x v="0"/>
    <d v="2025-12-12T00:00:00"/>
    <n v="4"/>
    <x v="0"/>
    <m/>
    <n v="0"/>
  </r>
  <r>
    <s v="ORD-104683"/>
    <x v="704"/>
    <x v="1"/>
    <d v="2025-12-01T00:00:00"/>
    <n v="12"/>
    <s v="CUST-00871"/>
    <x v="1"/>
    <x v="4"/>
    <s v="JK"/>
    <x v="0"/>
    <s v="Jammu"/>
    <x v="3"/>
    <s v="P105"/>
    <s v="Retinol Night Cream"/>
    <x v="3"/>
    <n v="1"/>
    <n v="799"/>
    <n v="0.1"/>
    <n v="799"/>
    <n v="79.900000000000006"/>
    <n v="719.1"/>
    <n v="216"/>
    <n v="216"/>
    <n v="60"/>
    <n v="443.1"/>
    <n v="0.61618690029203171"/>
    <x v="0"/>
    <d v="2025-12-16T00:00:00"/>
    <n v="7"/>
    <x v="2"/>
    <m/>
    <n v="0"/>
  </r>
  <r>
    <s v="ORD-104684"/>
    <x v="704"/>
    <x v="1"/>
    <d v="2025-12-01T00:00:00"/>
    <n v="12"/>
    <s v="CUST-01758"/>
    <x v="1"/>
    <x v="15"/>
    <s v="HR"/>
    <x v="0"/>
    <s v="Faridabad"/>
    <x v="3"/>
    <s v="P202"/>
    <s v="Argan Shampoo"/>
    <x v="6"/>
    <n v="1"/>
    <n v="449"/>
    <n v="0.05"/>
    <n v="449"/>
    <n v="22.450000000000003"/>
    <n v="426.55"/>
    <n v="148"/>
    <n v="148"/>
    <n v="60"/>
    <n v="218.55"/>
    <n v="0.51236666275934828"/>
    <x v="0"/>
    <d v="2025-12-12T00:00:00"/>
    <n v="3"/>
    <x v="0"/>
    <n v="3"/>
    <n v="0"/>
  </r>
  <r>
    <s v="ORD-104685"/>
    <x v="704"/>
    <x v="1"/>
    <d v="2025-12-01T00:00:00"/>
    <n v="12"/>
    <s v="CUST-00378"/>
    <x v="1"/>
    <x v="16"/>
    <s v="UP"/>
    <x v="0"/>
    <s v="Lucknow"/>
    <x v="2"/>
    <s v="P203"/>
    <s v="Keratin Hair Mask"/>
    <x v="6"/>
    <n v="1"/>
    <n v="549"/>
    <n v="0.05"/>
    <n v="549"/>
    <n v="27.450000000000003"/>
    <n v="521.54999999999995"/>
    <n v="170"/>
    <n v="170"/>
    <n v="60"/>
    <n v="291.54999999999995"/>
    <n v="0.55900680663407143"/>
    <x v="3"/>
    <d v="2025-12-13T00:00:00"/>
    <n v="4"/>
    <x v="0"/>
    <n v="4"/>
    <n v="0"/>
  </r>
  <r>
    <s v="ORD-104686"/>
    <x v="704"/>
    <x v="1"/>
    <d v="2025-12-01T00:00:00"/>
    <n v="12"/>
    <s v="CUST-00657"/>
    <x v="1"/>
    <x v="18"/>
    <s v="WB"/>
    <x v="2"/>
    <s v="Kolkata"/>
    <x v="1"/>
    <s v="P303"/>
    <s v="Joggers"/>
    <x v="1"/>
    <n v="1"/>
    <n v="1199"/>
    <n v="0.15"/>
    <n v="1199"/>
    <n v="179.85"/>
    <n v="1019.15"/>
    <n v="492"/>
    <n v="492"/>
    <n v="60"/>
    <n v="467.15"/>
    <n v="0.45837217288917231"/>
    <x v="3"/>
    <d v="2025-12-13T00:00:00"/>
    <n v="4"/>
    <x v="0"/>
    <n v="4"/>
    <n v="0"/>
  </r>
  <r>
    <s v="ORD-104687"/>
    <x v="704"/>
    <x v="1"/>
    <d v="2025-12-01T00:00:00"/>
    <n v="12"/>
    <s v="CUST-01115"/>
    <x v="1"/>
    <x v="18"/>
    <s v="WB"/>
    <x v="2"/>
    <s v="Kolkata"/>
    <x v="2"/>
    <s v="P704"/>
    <s v="Multivitamin Gummies"/>
    <x v="0"/>
    <n v="1"/>
    <n v="699"/>
    <n v="0.1"/>
    <n v="699"/>
    <n v="69.900000000000006"/>
    <n v="629.1"/>
    <n v="238"/>
    <n v="238"/>
    <n v="60"/>
    <n v="331.1"/>
    <n v="0.52630742330313152"/>
    <x v="4"/>
    <d v="2025-12-11T00:00:00"/>
    <n v="2"/>
    <x v="1"/>
    <n v="5"/>
    <n v="0"/>
  </r>
  <r>
    <s v="ORD-104688"/>
    <x v="704"/>
    <x v="1"/>
    <d v="2025-12-01T00:00:00"/>
    <n v="12"/>
    <s v="CUST-00914"/>
    <x v="1"/>
    <x v="2"/>
    <s v="MH"/>
    <x v="1"/>
    <s v="Mumbai"/>
    <x v="0"/>
    <s v="P102"/>
    <s v="Sunscreen SPF 50"/>
    <x v="3"/>
    <n v="1"/>
    <n v="449"/>
    <n v="0.1"/>
    <n v="449"/>
    <n v="44.900000000000006"/>
    <n v="404.1"/>
    <n v="144"/>
    <n v="144"/>
    <n v="60"/>
    <n v="200.10000000000002"/>
    <n v="0.4951744617668894"/>
    <x v="2"/>
    <d v="2025-12-11T00:00:00"/>
    <n v="2"/>
    <x v="1"/>
    <n v="5"/>
    <n v="0"/>
  </r>
  <r>
    <s v="ORD-104689"/>
    <x v="704"/>
    <x v="1"/>
    <d v="2025-12-01T00:00:00"/>
    <n v="12"/>
    <s v="CUST-00029"/>
    <x v="1"/>
    <x v="14"/>
    <s v="KL"/>
    <x v="3"/>
    <s v="Kochi"/>
    <x v="2"/>
    <s v="P604"/>
    <s v="Power Bank 20000mAh"/>
    <x v="2"/>
    <n v="1"/>
    <n v="1799"/>
    <n v="0.25"/>
    <n v="1799"/>
    <n v="449.75"/>
    <n v="1349.25"/>
    <n v="1079"/>
    <n v="1079"/>
    <n v="60"/>
    <n v="210.25"/>
    <n v="0.15582731146933482"/>
    <x v="4"/>
    <d v="2025-12-14T00:00:00"/>
    <n v="5"/>
    <x v="2"/>
    <n v="3"/>
    <n v="0"/>
  </r>
  <r>
    <s v="ORD-104690"/>
    <x v="705"/>
    <x v="1"/>
    <d v="2025-12-01T00:00:00"/>
    <n v="12"/>
    <s v="CUST-01551"/>
    <x v="0"/>
    <x v="1"/>
    <s v="GJ"/>
    <x v="1"/>
    <s v="Ahmedabad"/>
    <x v="0"/>
    <s v="P101"/>
    <s v="Vitamin C Face Serum"/>
    <x v="3"/>
    <n v="1"/>
    <n v="599"/>
    <n v="0.2"/>
    <n v="599"/>
    <n v="119.80000000000001"/>
    <n v="479.2"/>
    <n v="180"/>
    <n v="180"/>
    <n v="60"/>
    <n v="239.2"/>
    <n v="0.4991652754590985"/>
    <x v="1"/>
    <d v="2025-12-12T00:00:00"/>
    <n v="2"/>
    <x v="1"/>
    <m/>
    <n v="0"/>
  </r>
  <r>
    <s v="ORD-104691"/>
    <x v="705"/>
    <x v="1"/>
    <d v="2025-12-01T00:00:00"/>
    <n v="12"/>
    <s v="CUST-03189"/>
    <x v="0"/>
    <x v="13"/>
    <s v="MP"/>
    <x v="1"/>
    <s v="Indore"/>
    <x v="3"/>
    <s v="P704"/>
    <s v="Multivitamin Gummies"/>
    <x v="0"/>
    <n v="2"/>
    <n v="699"/>
    <n v="0.2"/>
    <n v="1398"/>
    <n v="279.60000000000002"/>
    <n v="1118.4000000000001"/>
    <n v="238"/>
    <n v="476"/>
    <n v="60"/>
    <n v="582.40000000000009"/>
    <n v="0.5207439198855508"/>
    <x v="0"/>
    <d v="2025-12-14T00:00:00"/>
    <n v="4"/>
    <x v="0"/>
    <n v="3"/>
    <n v="0"/>
  </r>
  <r>
    <s v="ORD-104692"/>
    <x v="705"/>
    <x v="1"/>
    <d v="2025-12-01T00:00:00"/>
    <n v="12"/>
    <s v="CUST-00960"/>
    <x v="1"/>
    <x v="2"/>
    <s v="MH"/>
    <x v="1"/>
    <s v="Mumbai"/>
    <x v="4"/>
    <s v="P105"/>
    <s v="Retinol Night Cream"/>
    <x v="3"/>
    <n v="1"/>
    <n v="799"/>
    <n v="0"/>
    <n v="799"/>
    <n v="0"/>
    <n v="799"/>
    <n v="216"/>
    <n v="216"/>
    <n v="60"/>
    <n v="523"/>
    <n v="0.65456821026282852"/>
    <x v="0"/>
    <d v="2025-12-12T00:00:00"/>
    <n v="2"/>
    <x v="1"/>
    <n v="3"/>
    <n v="0"/>
  </r>
  <r>
    <s v="ORD-104693"/>
    <x v="705"/>
    <x v="1"/>
    <d v="2025-12-01T00:00:00"/>
    <n v="12"/>
    <s v="CUST-01756"/>
    <x v="0"/>
    <x v="2"/>
    <s v="MH"/>
    <x v="1"/>
    <s v="Nagpur"/>
    <x v="4"/>
    <s v="P701"/>
    <s v="Ashwagandha Capsules"/>
    <x v="0"/>
    <n v="2"/>
    <n v="499"/>
    <n v="0.05"/>
    <n v="998"/>
    <n v="49.900000000000006"/>
    <n v="948.1"/>
    <n v="150"/>
    <n v="300"/>
    <n v="60"/>
    <n v="588.1"/>
    <n v="0.62029321801497728"/>
    <x v="0"/>
    <d v="2025-12-11T00:00:00"/>
    <n v="1"/>
    <x v="1"/>
    <n v="4"/>
    <n v="0"/>
  </r>
  <r>
    <s v="ORD-104694"/>
    <x v="705"/>
    <x v="1"/>
    <d v="2025-12-01T00:00:00"/>
    <n v="12"/>
    <s v="CUST-02600"/>
    <x v="1"/>
    <x v="8"/>
    <s v="AP"/>
    <x v="3"/>
    <s v="Vijayawada"/>
    <x v="3"/>
    <s v="P703"/>
    <s v="Green Tea (100 bags)"/>
    <x v="0"/>
    <n v="2"/>
    <n v="399"/>
    <n v="0.35"/>
    <n v="798"/>
    <n v="279.29999999999995"/>
    <n v="518.70000000000005"/>
    <n v="128"/>
    <n v="256"/>
    <n v="60"/>
    <n v="202.70000000000005"/>
    <n v="0.39078465394254874"/>
    <x v="2"/>
    <d v="2025-12-13T00:00:00"/>
    <n v="3"/>
    <x v="0"/>
    <n v="5"/>
    <n v="0"/>
  </r>
  <r>
    <s v="ORD-104695"/>
    <x v="705"/>
    <x v="1"/>
    <d v="2025-12-01T00:00:00"/>
    <n v="12"/>
    <s v="CUST-02228"/>
    <x v="0"/>
    <x v="14"/>
    <s v="KL"/>
    <x v="3"/>
    <s v="Kochi"/>
    <x v="4"/>
    <s v="P701"/>
    <s v="Ashwagandha Capsules"/>
    <x v="0"/>
    <n v="1"/>
    <n v="499"/>
    <n v="0"/>
    <n v="499"/>
    <n v="0"/>
    <n v="499"/>
    <n v="150"/>
    <n v="150"/>
    <n v="60"/>
    <n v="289"/>
    <n v="0.57915831663326656"/>
    <x v="0"/>
    <d v="2025-12-12T00:00:00"/>
    <n v="2"/>
    <x v="1"/>
    <n v="4"/>
    <n v="0"/>
  </r>
  <r>
    <s v="ORD-104696"/>
    <x v="706"/>
    <x v="1"/>
    <d v="2025-12-01T00:00:00"/>
    <n v="12"/>
    <s v="CUST-00867"/>
    <x v="1"/>
    <x v="0"/>
    <s v="RJ"/>
    <x v="0"/>
    <s v="Udaipur"/>
    <x v="2"/>
    <s v="P603"/>
    <s v="Smartwatch Strap"/>
    <x v="2"/>
    <n v="1"/>
    <n v="499"/>
    <n v="0.1"/>
    <n v="499"/>
    <n v="49.900000000000006"/>
    <n v="449.1"/>
    <n v="200"/>
    <n v="200"/>
    <n v="120"/>
    <n v="129.10000000000002"/>
    <n v="0.28746381652193281"/>
    <x v="0"/>
    <d v="2025-12-15T00:00:00"/>
    <n v="4"/>
    <x v="0"/>
    <n v="5"/>
    <n v="1"/>
  </r>
  <r>
    <s v="ORD-104697"/>
    <x v="706"/>
    <x v="1"/>
    <d v="2025-12-01T00:00:00"/>
    <n v="12"/>
    <s v="CUST-01200"/>
    <x v="1"/>
    <x v="1"/>
    <s v="GJ"/>
    <x v="1"/>
    <s v="Ahmedabad"/>
    <x v="4"/>
    <s v="P202"/>
    <s v="Argan Shampoo"/>
    <x v="6"/>
    <n v="1"/>
    <n v="449"/>
    <n v="0"/>
    <n v="449"/>
    <n v="0"/>
    <n v="449"/>
    <n v="148"/>
    <n v="148"/>
    <n v="60"/>
    <n v="241"/>
    <n v="0.53674832962138086"/>
    <x v="0"/>
    <d v="2025-12-14T00:00:00"/>
    <n v="3"/>
    <x v="0"/>
    <n v="3"/>
    <n v="0"/>
  </r>
  <r>
    <s v="ORD-104698"/>
    <x v="706"/>
    <x v="1"/>
    <d v="2025-12-01T00:00:00"/>
    <n v="12"/>
    <s v="CUST-01010"/>
    <x v="1"/>
    <x v="18"/>
    <s v="WB"/>
    <x v="2"/>
    <s v="Kolkata"/>
    <x v="4"/>
    <s v="P304"/>
    <s v="Denim Jacket"/>
    <x v="1"/>
    <n v="1"/>
    <n v="2499"/>
    <n v="0"/>
    <n v="2499"/>
    <n v="0"/>
    <n v="2499"/>
    <n v="1125"/>
    <n v="1125"/>
    <n v="60"/>
    <n v="1314"/>
    <n v="0.5258103241296519"/>
    <x v="4"/>
    <d v="2025-12-14T00:00:00"/>
    <n v="3"/>
    <x v="0"/>
    <m/>
    <n v="0"/>
  </r>
  <r>
    <s v="ORD-104699"/>
    <x v="706"/>
    <x v="1"/>
    <d v="2025-12-01T00:00:00"/>
    <n v="12"/>
    <s v="CUST-00961"/>
    <x v="1"/>
    <x v="2"/>
    <s v="MH"/>
    <x v="1"/>
    <s v="Pune"/>
    <x v="1"/>
    <s v="P403"/>
    <s v="Kolhapuri Sandals"/>
    <x v="5"/>
    <n v="2"/>
    <n v="999"/>
    <n v="0"/>
    <n v="1998"/>
    <n v="0"/>
    <n v="1998"/>
    <n v="400"/>
    <n v="800"/>
    <n v="60"/>
    <n v="1138"/>
    <n v="0.56956956956956961"/>
    <x v="3"/>
    <d v="2025-12-15T00:00:00"/>
    <n v="4"/>
    <x v="0"/>
    <m/>
    <n v="0"/>
  </r>
  <r>
    <s v="ORD-104700"/>
    <x v="706"/>
    <x v="1"/>
    <d v="2025-12-01T00:00:00"/>
    <n v="12"/>
    <s v="CUST-00969"/>
    <x v="1"/>
    <x v="2"/>
    <s v="MH"/>
    <x v="1"/>
    <s v="Nagpur"/>
    <x v="4"/>
    <s v="P101"/>
    <s v="Vitamin C Face Serum"/>
    <x v="3"/>
    <n v="1"/>
    <n v="599"/>
    <n v="0.2"/>
    <n v="599"/>
    <n v="119.80000000000001"/>
    <n v="479.2"/>
    <n v="180"/>
    <n v="180"/>
    <n v="60"/>
    <n v="239.2"/>
    <n v="0.4991652754590985"/>
    <x v="3"/>
    <d v="2025-12-14T00:00:00"/>
    <n v="3"/>
    <x v="0"/>
    <n v="4"/>
    <n v="0"/>
  </r>
  <r>
    <s v="ORD-104701"/>
    <x v="706"/>
    <x v="1"/>
    <d v="2025-12-01T00:00:00"/>
    <n v="12"/>
    <s v="CUST-00362"/>
    <x v="1"/>
    <x v="2"/>
    <s v="MH"/>
    <x v="1"/>
    <s v="Mumbai"/>
    <x v="4"/>
    <s v="P603"/>
    <s v="Smartwatch Strap"/>
    <x v="2"/>
    <n v="2"/>
    <n v="499"/>
    <n v="0.1"/>
    <n v="998"/>
    <n v="99.800000000000011"/>
    <n v="898.2"/>
    <n v="200"/>
    <n v="400"/>
    <n v="60"/>
    <n v="438.20000000000005"/>
    <n v="0.4878646181251392"/>
    <x v="0"/>
    <d v="2025-12-16T00:00:00"/>
    <n v="5"/>
    <x v="2"/>
    <n v="5"/>
    <n v="0"/>
  </r>
  <r>
    <s v="ORD-104702"/>
    <x v="706"/>
    <x v="1"/>
    <d v="2025-12-01T00:00:00"/>
    <n v="12"/>
    <s v="CUST-02477"/>
    <x v="1"/>
    <x v="11"/>
    <s v="KA"/>
    <x v="3"/>
    <s v="Bengaluru"/>
    <x v="4"/>
    <s v="P201"/>
    <s v="Onion Hair Oil"/>
    <x v="6"/>
    <n v="4"/>
    <n v="349"/>
    <n v="0.3"/>
    <n v="1396"/>
    <n v="418.8"/>
    <n v="977.2"/>
    <n v="105"/>
    <n v="420"/>
    <n v="60"/>
    <n v="497.20000000000005"/>
    <n v="0.50880065493246007"/>
    <x v="2"/>
    <d v="2025-12-13T00:00:00"/>
    <n v="2"/>
    <x v="1"/>
    <n v="4"/>
    <n v="0"/>
  </r>
  <r>
    <s v="ORD-104703"/>
    <x v="706"/>
    <x v="1"/>
    <d v="2025-12-01T00:00:00"/>
    <n v="12"/>
    <s v="CUST-03039"/>
    <x v="0"/>
    <x v="11"/>
    <s v="KA"/>
    <x v="3"/>
    <s v="Mysuru"/>
    <x v="4"/>
    <s v="P204"/>
    <s v="Anti-Dandruff Conditioner"/>
    <x v="6"/>
    <n v="2"/>
    <n v="399"/>
    <n v="0.35"/>
    <n v="798"/>
    <n v="279.29999999999995"/>
    <n v="518.70000000000005"/>
    <n v="136"/>
    <n v="272"/>
    <n v="60"/>
    <n v="186.70000000000005"/>
    <n v="0.35993830730672843"/>
    <x v="1"/>
    <d v="2025-12-12T00:00:00"/>
    <n v="1"/>
    <x v="1"/>
    <n v="5"/>
    <n v="0"/>
  </r>
  <r>
    <s v="ORD-104704"/>
    <x v="706"/>
    <x v="1"/>
    <d v="2025-12-01T00:00:00"/>
    <n v="12"/>
    <s v="CUST-03140"/>
    <x v="0"/>
    <x v="14"/>
    <s v="KL"/>
    <x v="3"/>
    <s v="Kochi"/>
    <x v="2"/>
    <s v="P103"/>
    <s v="Niacinamide Toner"/>
    <x v="3"/>
    <n v="1"/>
    <n v="399"/>
    <n v="0.15"/>
    <n v="399"/>
    <n v="59.849999999999994"/>
    <n v="339.15"/>
    <n v="112"/>
    <n v="112"/>
    <n v="60"/>
    <n v="167.14999999999998"/>
    <n v="0.49284977148754233"/>
    <x v="0"/>
    <d v="2025-12-14T00:00:00"/>
    <n v="3"/>
    <x v="0"/>
    <n v="3"/>
    <n v="0"/>
  </r>
  <r>
    <s v="ORD-104705"/>
    <x v="707"/>
    <x v="1"/>
    <d v="2025-12-01T00:00:00"/>
    <n v="12"/>
    <s v="CUST-00575"/>
    <x v="1"/>
    <x v="19"/>
    <s v="PB"/>
    <x v="0"/>
    <s v="Ludhiana"/>
    <x v="1"/>
    <s v="P301"/>
    <s v="Cotton Oversized T-Shirt"/>
    <x v="1"/>
    <n v="4"/>
    <n v="799"/>
    <n v="0"/>
    <n v="3196"/>
    <n v="0"/>
    <n v="3196"/>
    <n v="320"/>
    <n v="1280"/>
    <n v="60"/>
    <n v="1856"/>
    <n v="0.58072590738423024"/>
    <x v="3"/>
    <d v="2025-12-16T00:00:00"/>
    <n v="4"/>
    <x v="0"/>
    <n v="3"/>
    <n v="0"/>
  </r>
  <r>
    <s v="ORD-104706"/>
    <x v="707"/>
    <x v="1"/>
    <d v="2025-12-01T00:00:00"/>
    <n v="12"/>
    <s v="CUST-02319"/>
    <x v="0"/>
    <x v="0"/>
    <s v="RJ"/>
    <x v="0"/>
    <s v="Jaipur"/>
    <x v="4"/>
    <s v="P204"/>
    <s v="Anti-Dandruff Conditioner"/>
    <x v="6"/>
    <n v="1"/>
    <n v="399"/>
    <n v="0.35"/>
    <n v="399"/>
    <n v="139.64999999999998"/>
    <n v="259.35000000000002"/>
    <n v="136"/>
    <n v="136"/>
    <n v="60"/>
    <n v="63.350000000000023"/>
    <n v="0.24426450742240222"/>
    <x v="0"/>
    <d v="2025-12-17T00:00:00"/>
    <n v="5"/>
    <x v="2"/>
    <m/>
    <n v="0"/>
  </r>
  <r>
    <s v="ORD-104707"/>
    <x v="707"/>
    <x v="1"/>
    <d v="2025-12-01T00:00:00"/>
    <n v="12"/>
    <s v="CUST-02610"/>
    <x v="1"/>
    <x v="6"/>
    <s v="DL"/>
    <x v="0"/>
    <s v="New Delhi"/>
    <x v="3"/>
    <s v="P102"/>
    <s v="Sunscreen SPF 50"/>
    <x v="3"/>
    <n v="1"/>
    <n v="449"/>
    <n v="0.05"/>
    <n v="449"/>
    <n v="22.450000000000003"/>
    <n v="426.55"/>
    <n v="144"/>
    <n v="144"/>
    <n v="60"/>
    <n v="222.55"/>
    <n v="0.52174422693705313"/>
    <x v="3"/>
    <d v="2025-12-14T00:00:00"/>
    <n v="2"/>
    <x v="1"/>
    <n v="5"/>
    <n v="0"/>
  </r>
  <r>
    <s v="ORD-104708"/>
    <x v="707"/>
    <x v="1"/>
    <d v="2025-12-01T00:00:00"/>
    <n v="12"/>
    <s v="CUST-00384"/>
    <x v="1"/>
    <x v="12"/>
    <s v="BR"/>
    <x v="2"/>
    <s v="Patna"/>
    <x v="4"/>
    <s v="P103"/>
    <s v="Niacinamide Toner"/>
    <x v="3"/>
    <n v="1"/>
    <n v="399"/>
    <n v="0.15"/>
    <n v="399"/>
    <n v="59.849999999999994"/>
    <n v="339.15"/>
    <n v="112"/>
    <n v="112"/>
    <n v="60"/>
    <n v="167.14999999999998"/>
    <n v="0.49284977148754233"/>
    <x v="3"/>
    <d v="2025-12-18T00:00:00"/>
    <n v="6"/>
    <x v="2"/>
    <n v="5"/>
    <n v="0"/>
  </r>
  <r>
    <s v="ORD-104709"/>
    <x v="707"/>
    <x v="1"/>
    <d v="2025-12-01T00:00:00"/>
    <n v="12"/>
    <s v="CUST-00968"/>
    <x v="1"/>
    <x v="2"/>
    <s v="MH"/>
    <x v="1"/>
    <s v="Pune"/>
    <x v="0"/>
    <s v="P503"/>
    <s v="Scented Candle Set"/>
    <x v="4"/>
    <n v="4"/>
    <n v="699"/>
    <n v="0.2"/>
    <n v="2796"/>
    <n v="559.20000000000005"/>
    <n v="2236.8000000000002"/>
    <n v="245"/>
    <n v="980"/>
    <n v="60"/>
    <n v="1196.8000000000002"/>
    <n v="0.53505007153075823"/>
    <x v="1"/>
    <d v="2025-12-14T00:00:00"/>
    <n v="2"/>
    <x v="1"/>
    <n v="3"/>
    <n v="0"/>
  </r>
  <r>
    <s v="ORD-104710"/>
    <x v="707"/>
    <x v="1"/>
    <d v="2025-12-01T00:00:00"/>
    <n v="12"/>
    <s v="CUST-00021"/>
    <x v="1"/>
    <x v="21"/>
    <s v="TG"/>
    <x v="3"/>
    <s v="Hyderabad"/>
    <x v="3"/>
    <s v="P204"/>
    <s v="Anti-Dandruff Conditioner"/>
    <x v="6"/>
    <n v="2"/>
    <n v="399"/>
    <n v="0.35"/>
    <n v="798"/>
    <n v="279.29999999999995"/>
    <n v="518.70000000000005"/>
    <n v="136"/>
    <n v="272"/>
    <n v="60"/>
    <n v="186.70000000000005"/>
    <n v="0.35993830730672843"/>
    <x v="3"/>
    <d v="2025-12-13T00:00:00"/>
    <n v="1"/>
    <x v="1"/>
    <m/>
    <n v="0"/>
  </r>
  <r>
    <s v="ORD-104711"/>
    <x v="708"/>
    <x v="1"/>
    <d v="2025-12-01T00:00:00"/>
    <n v="12"/>
    <s v="CUST-01147"/>
    <x v="1"/>
    <x v="1"/>
    <s v="GJ"/>
    <x v="1"/>
    <s v="Surat"/>
    <x v="4"/>
    <s v="P104"/>
    <s v="Hydrating Face Wash"/>
    <x v="3"/>
    <n v="1"/>
    <n v="299"/>
    <n v="0"/>
    <n v="299"/>
    <n v="0"/>
    <n v="299"/>
    <n v="90"/>
    <n v="90"/>
    <n v="60"/>
    <n v="149"/>
    <n v="0.49832775919732442"/>
    <x v="4"/>
    <d v="2025-12-16T00:00:00"/>
    <n v="3"/>
    <x v="0"/>
    <m/>
    <n v="0"/>
  </r>
  <r>
    <s v="ORD-104712"/>
    <x v="708"/>
    <x v="1"/>
    <d v="2025-12-01T00:00:00"/>
    <n v="12"/>
    <s v="CUST-02827"/>
    <x v="0"/>
    <x v="1"/>
    <s v="GJ"/>
    <x v="1"/>
    <s v="Ahmedabad"/>
    <x v="0"/>
    <s v="P201"/>
    <s v="Onion Hair Oil"/>
    <x v="6"/>
    <n v="1"/>
    <n v="349"/>
    <n v="0.25"/>
    <n v="349"/>
    <n v="87.25"/>
    <n v="261.75"/>
    <n v="105"/>
    <n v="105"/>
    <n v="60"/>
    <n v="96.75"/>
    <n v="0.36962750716332377"/>
    <x v="4"/>
    <d v="2025-12-17T00:00:00"/>
    <n v="4"/>
    <x v="0"/>
    <m/>
    <n v="0"/>
  </r>
  <r>
    <s v="ORD-104713"/>
    <x v="708"/>
    <x v="1"/>
    <d v="2025-12-01T00:00:00"/>
    <n v="12"/>
    <s v="CUST-00948"/>
    <x v="1"/>
    <x v="18"/>
    <s v="WB"/>
    <x v="2"/>
    <s v="Kolkata"/>
    <x v="1"/>
    <s v="P303"/>
    <s v="Joggers"/>
    <x v="1"/>
    <n v="1"/>
    <n v="1199"/>
    <n v="0.1"/>
    <n v="1199"/>
    <n v="119.9"/>
    <n v="1079.0999999999999"/>
    <n v="492"/>
    <n v="492"/>
    <n v="60"/>
    <n v="527.09999999999991"/>
    <n v="0.48846260772866273"/>
    <x v="0"/>
    <d v="2025-12-17T00:00:00"/>
    <n v="4"/>
    <x v="0"/>
    <n v="3"/>
    <n v="0"/>
  </r>
  <r>
    <s v="ORD-104714"/>
    <x v="708"/>
    <x v="1"/>
    <d v="2025-12-01T00:00:00"/>
    <n v="12"/>
    <s v="CUST-00760"/>
    <x v="1"/>
    <x v="2"/>
    <s v="MH"/>
    <x v="1"/>
    <s v="Nagpur"/>
    <x v="1"/>
    <s v="P302"/>
    <s v="Linen Kurta"/>
    <x v="1"/>
    <n v="2"/>
    <n v="1499"/>
    <n v="0.3"/>
    <n v="2998"/>
    <n v="899.4"/>
    <n v="2098.6"/>
    <n v="630"/>
    <n v="1260"/>
    <n v="60"/>
    <n v="778.59999999999991"/>
    <n v="0.3710092442580768"/>
    <x v="3"/>
    <d v="2025-12-14T00:00:00"/>
    <n v="1"/>
    <x v="1"/>
    <n v="4"/>
    <n v="0"/>
  </r>
  <r>
    <s v="ORD-104715"/>
    <x v="708"/>
    <x v="1"/>
    <d v="2025-12-01T00:00:00"/>
    <n v="12"/>
    <s v="CUST-00934"/>
    <x v="1"/>
    <x v="20"/>
    <s v="GA"/>
    <x v="1"/>
    <s v="Panaji"/>
    <x v="1"/>
    <s v="P305"/>
    <s v="Printed Saree"/>
    <x v="1"/>
    <n v="1"/>
    <n v="1999"/>
    <n v="0.1"/>
    <n v="1999"/>
    <n v="199.9"/>
    <n v="1799.1"/>
    <n v="880"/>
    <n v="880"/>
    <n v="60"/>
    <n v="859.09999999999991"/>
    <n v="0.47751653604580063"/>
    <x v="3"/>
    <d v="2025-12-17T00:00:00"/>
    <n v="4"/>
    <x v="0"/>
    <n v="4"/>
    <n v="0"/>
  </r>
  <r>
    <s v="ORD-104716"/>
    <x v="709"/>
    <x v="1"/>
    <d v="2025-12-01T00:00:00"/>
    <n v="12"/>
    <s v="CUST-01035"/>
    <x v="1"/>
    <x v="0"/>
    <s v="RJ"/>
    <x v="0"/>
    <s v="Jaipur"/>
    <x v="0"/>
    <s v="P104"/>
    <s v="Hydrating Face Wash"/>
    <x v="3"/>
    <n v="1"/>
    <n v="299"/>
    <n v="0"/>
    <n v="299"/>
    <n v="0"/>
    <n v="299"/>
    <n v="90"/>
    <n v="90"/>
    <n v="60"/>
    <n v="149"/>
    <n v="0.49832775919732442"/>
    <x v="0"/>
    <d v="2025-12-18T00:00:00"/>
    <n v="4"/>
    <x v="0"/>
    <n v="4"/>
    <n v="0"/>
  </r>
  <r>
    <s v="ORD-104717"/>
    <x v="709"/>
    <x v="1"/>
    <d v="2025-12-01T00:00:00"/>
    <n v="12"/>
    <s v="CUST-02888"/>
    <x v="1"/>
    <x v="0"/>
    <s v="RJ"/>
    <x v="0"/>
    <s v="Udaipur"/>
    <x v="0"/>
    <s v="P403"/>
    <s v="Kolhapuri Sandals"/>
    <x v="5"/>
    <n v="3"/>
    <n v="999"/>
    <n v="0.15"/>
    <n v="2997"/>
    <n v="449.55"/>
    <n v="2547.4499999999998"/>
    <n v="400"/>
    <n v="1200"/>
    <n v="60"/>
    <n v="1287.4499999999998"/>
    <n v="0.50538774068185832"/>
    <x v="3"/>
    <d v="2025-12-19T00:00:00"/>
    <n v="5"/>
    <x v="2"/>
    <n v="4"/>
    <n v="0"/>
  </r>
  <r>
    <s v="ORD-104718"/>
    <x v="709"/>
    <x v="1"/>
    <d v="2025-12-01T00:00:00"/>
    <n v="12"/>
    <s v="CUST-02059"/>
    <x v="1"/>
    <x v="15"/>
    <s v="HR"/>
    <x v="0"/>
    <s v="Faridabad"/>
    <x v="2"/>
    <s v="P301"/>
    <s v="Cotton Oversized T-Shirt"/>
    <x v="1"/>
    <n v="2"/>
    <n v="799"/>
    <n v="0"/>
    <n v="1598"/>
    <n v="0"/>
    <n v="1598"/>
    <n v="320"/>
    <n v="640"/>
    <n v="60"/>
    <n v="898"/>
    <n v="0.56195244055068838"/>
    <x v="1"/>
    <d v="2025-12-17T00:00:00"/>
    <n v="3"/>
    <x v="0"/>
    <n v="3"/>
    <n v="0"/>
  </r>
  <r>
    <s v="ORD-104719"/>
    <x v="709"/>
    <x v="1"/>
    <d v="2025-12-01T00:00:00"/>
    <n v="12"/>
    <s v="CUST-01807"/>
    <x v="1"/>
    <x v="6"/>
    <s v="DL"/>
    <x v="0"/>
    <s v="New Delhi"/>
    <x v="1"/>
    <s v="P404"/>
    <s v="Flip Flops"/>
    <x v="5"/>
    <n v="1"/>
    <n v="399"/>
    <n v="0.1"/>
    <n v="399"/>
    <n v="39.900000000000006"/>
    <n v="359.1"/>
    <n v="152"/>
    <n v="152"/>
    <n v="60"/>
    <n v="147.10000000000002"/>
    <n v="0.40963519910888335"/>
    <x v="0"/>
    <d v="2025-12-15T00:00:00"/>
    <n v="1"/>
    <x v="1"/>
    <m/>
    <n v="0"/>
  </r>
  <r>
    <s v="ORD-104720"/>
    <x v="709"/>
    <x v="1"/>
    <d v="2025-12-01T00:00:00"/>
    <n v="12"/>
    <s v="CUST-01204"/>
    <x v="1"/>
    <x v="6"/>
    <s v="DL"/>
    <x v="0"/>
    <s v="New Delhi"/>
    <x v="1"/>
    <s v="P403"/>
    <s v="Kolhapuri Sandals"/>
    <x v="5"/>
    <n v="4"/>
    <n v="999"/>
    <n v="0.15"/>
    <n v="3996"/>
    <n v="599.4"/>
    <n v="3396.6"/>
    <n v="400"/>
    <n v="1600"/>
    <n v="60"/>
    <n v="1736.6"/>
    <n v="0.51127598186421719"/>
    <x v="3"/>
    <d v="2025-12-17T00:00:00"/>
    <n v="3"/>
    <x v="0"/>
    <n v="5"/>
    <n v="0"/>
  </r>
  <r>
    <s v="ORD-104721"/>
    <x v="709"/>
    <x v="1"/>
    <d v="2025-12-01T00:00:00"/>
    <n v="12"/>
    <s v="CUST-00859"/>
    <x v="1"/>
    <x v="16"/>
    <s v="UP"/>
    <x v="0"/>
    <s v="Kanpur"/>
    <x v="0"/>
    <s v="P301"/>
    <s v="Cotton Oversized T-Shirt"/>
    <x v="1"/>
    <n v="1"/>
    <n v="799"/>
    <n v="0.1"/>
    <n v="799"/>
    <n v="79.900000000000006"/>
    <n v="719.1"/>
    <n v="320"/>
    <n v="320"/>
    <n v="60"/>
    <n v="339.1"/>
    <n v="0.47156167431511614"/>
    <x v="4"/>
    <d v="2025-12-18T00:00:00"/>
    <n v="4"/>
    <x v="0"/>
    <n v="4"/>
    <n v="0"/>
  </r>
  <r>
    <s v="ORD-104722"/>
    <x v="709"/>
    <x v="1"/>
    <d v="2025-12-01T00:00:00"/>
    <n v="12"/>
    <s v="CUST-01013"/>
    <x v="1"/>
    <x v="12"/>
    <s v="BR"/>
    <x v="2"/>
    <s v="Patna"/>
    <x v="3"/>
    <s v="P703"/>
    <s v="Green Tea (100 bags)"/>
    <x v="0"/>
    <n v="2"/>
    <n v="399"/>
    <n v="0.3"/>
    <n v="798"/>
    <n v="239.39999999999998"/>
    <n v="558.6"/>
    <n v="128"/>
    <n v="256"/>
    <n v="60"/>
    <n v="242.60000000000002"/>
    <n v="0.43430003580379523"/>
    <x v="0"/>
    <d v="2025-12-19T00:00:00"/>
    <n v="5"/>
    <x v="2"/>
    <n v="3"/>
    <n v="0"/>
  </r>
  <r>
    <s v="ORD-104723"/>
    <x v="709"/>
    <x v="1"/>
    <d v="2025-12-01T00:00:00"/>
    <n v="12"/>
    <s v="CUST-00131"/>
    <x v="1"/>
    <x v="22"/>
    <s v="AS"/>
    <x v="2"/>
    <s v="Guwahati"/>
    <x v="0"/>
    <s v="P702"/>
    <s v="Whey Protein 1kg"/>
    <x v="0"/>
    <n v="2"/>
    <n v="2299"/>
    <n v="0.3"/>
    <n v="4598"/>
    <n v="1379.3999999999999"/>
    <n v="3218.6000000000004"/>
    <n v="1333"/>
    <n v="2666"/>
    <n v="60"/>
    <n v="492.60000000000036"/>
    <n v="0.15304790902877036"/>
    <x v="0"/>
    <d v="2025-12-22T00:00:00"/>
    <n v="8"/>
    <x v="2"/>
    <n v="3"/>
    <n v="0"/>
  </r>
  <r>
    <s v="ORD-104724"/>
    <x v="709"/>
    <x v="1"/>
    <d v="2025-12-01T00:00:00"/>
    <n v="12"/>
    <s v="CUST-00853"/>
    <x v="1"/>
    <x v="1"/>
    <s v="GJ"/>
    <x v="1"/>
    <s v="Surat"/>
    <x v="0"/>
    <s v="P203"/>
    <s v="Keratin Hair Mask"/>
    <x v="6"/>
    <n v="1"/>
    <n v="549"/>
    <n v="0.15"/>
    <n v="549"/>
    <n v="82.35"/>
    <n v="466.65"/>
    <n v="170"/>
    <n v="170"/>
    <n v="60"/>
    <n v="236.64999999999998"/>
    <n v="0.50712525447337398"/>
    <x v="0"/>
    <d v="2025-12-19T00:00:00"/>
    <n v="5"/>
    <x v="2"/>
    <n v="3"/>
    <n v="0"/>
  </r>
  <r>
    <s v="ORD-104725"/>
    <x v="709"/>
    <x v="1"/>
    <d v="2025-12-01T00:00:00"/>
    <n v="12"/>
    <s v="CUST-01348"/>
    <x v="1"/>
    <x v="13"/>
    <s v="MP"/>
    <x v="1"/>
    <s v="Indore"/>
    <x v="0"/>
    <s v="P503"/>
    <s v="Scented Candle Set"/>
    <x v="4"/>
    <n v="1"/>
    <n v="699"/>
    <n v="0.2"/>
    <n v="699"/>
    <n v="139.80000000000001"/>
    <n v="559.20000000000005"/>
    <n v="245"/>
    <n v="245"/>
    <n v="60"/>
    <n v="254.20000000000005"/>
    <n v="0.45457796852646642"/>
    <x v="3"/>
    <d v="2025-12-18T00:00:00"/>
    <n v="4"/>
    <x v="0"/>
    <n v="3"/>
    <n v="0"/>
  </r>
  <r>
    <s v="ORD-104726"/>
    <x v="709"/>
    <x v="1"/>
    <d v="2025-12-01T00:00:00"/>
    <n v="12"/>
    <s v="CUST-00627"/>
    <x v="1"/>
    <x v="18"/>
    <s v="WB"/>
    <x v="2"/>
    <s v="Kolkata"/>
    <x v="0"/>
    <s v="P104"/>
    <s v="Hydrating Face Wash"/>
    <x v="3"/>
    <n v="1"/>
    <n v="299"/>
    <n v="0.1"/>
    <n v="299"/>
    <n v="29.900000000000002"/>
    <n v="269.10000000000002"/>
    <n v="90"/>
    <n v="90"/>
    <n v="60"/>
    <n v="119.10000000000002"/>
    <n v="0.4425863991081383"/>
    <x v="0"/>
    <d v="2025-12-18T00:00:00"/>
    <n v="4"/>
    <x v="0"/>
    <n v="4"/>
    <n v="0"/>
  </r>
  <r>
    <s v="ORD-104727"/>
    <x v="709"/>
    <x v="1"/>
    <d v="2025-12-01T00:00:00"/>
    <n v="12"/>
    <s v="CUST-00614"/>
    <x v="1"/>
    <x v="20"/>
    <s v="GA"/>
    <x v="1"/>
    <s v="Panaji"/>
    <x v="2"/>
    <s v="P303"/>
    <s v="Joggers"/>
    <x v="1"/>
    <n v="3"/>
    <n v="1199"/>
    <n v="0.15"/>
    <n v="3597"/>
    <n v="539.54999999999995"/>
    <n v="3057.45"/>
    <n v="492"/>
    <n v="1476"/>
    <n v="60"/>
    <n v="1521.4499999999998"/>
    <n v="0.49762056615807287"/>
    <x v="1"/>
    <d v="2025-12-19T00:00:00"/>
    <n v="5"/>
    <x v="2"/>
    <n v="3"/>
    <n v="0"/>
  </r>
  <r>
    <s v="ORD-104728"/>
    <x v="709"/>
    <x v="1"/>
    <d v="2025-12-01T00:00:00"/>
    <n v="12"/>
    <s v="CUST-00909"/>
    <x v="1"/>
    <x v="17"/>
    <s v="TN"/>
    <x v="3"/>
    <s v="Chennai"/>
    <x v="4"/>
    <s v="P504"/>
    <s v="Cotton Bedsheet"/>
    <x v="4"/>
    <n v="1"/>
    <n v="1299"/>
    <n v="0"/>
    <n v="1299"/>
    <n v="0"/>
    <n v="1299"/>
    <n v="585"/>
    <n v="585"/>
    <n v="120"/>
    <n v="594"/>
    <n v="0.45727482678983833"/>
    <x v="0"/>
    <d v="2025-12-16T00:00:00"/>
    <n v="2"/>
    <x v="1"/>
    <n v="5"/>
    <n v="1"/>
  </r>
  <r>
    <s v="ORD-104729"/>
    <x v="710"/>
    <x v="1"/>
    <d v="2025-12-01T00:00:00"/>
    <n v="12"/>
    <s v="CUST-02465"/>
    <x v="1"/>
    <x v="3"/>
    <s v="OD"/>
    <x v="2"/>
    <s v="Bhubaneswar"/>
    <x v="4"/>
    <s v="P301"/>
    <s v="Cotton Oversized T-Shirt"/>
    <x v="1"/>
    <n v="2"/>
    <n v="799"/>
    <n v="0"/>
    <n v="1598"/>
    <n v="0"/>
    <n v="1598"/>
    <n v="320"/>
    <n v="640"/>
    <n v="60"/>
    <n v="898"/>
    <n v="0.56195244055068838"/>
    <x v="0"/>
    <d v="2025-12-20T00:00:00"/>
    <n v="5"/>
    <x v="2"/>
    <n v="3"/>
    <n v="0"/>
  </r>
  <r>
    <s v="ORD-104730"/>
    <x v="710"/>
    <x v="1"/>
    <d v="2025-12-01T00:00:00"/>
    <n v="12"/>
    <s v="CUST-01087"/>
    <x v="1"/>
    <x v="11"/>
    <s v="KA"/>
    <x v="3"/>
    <s v="Bengaluru"/>
    <x v="3"/>
    <s v="P201"/>
    <s v="Onion Hair Oil"/>
    <x v="6"/>
    <n v="2"/>
    <n v="349"/>
    <n v="0.4"/>
    <n v="698"/>
    <n v="279.2"/>
    <n v="418.8"/>
    <n v="105"/>
    <n v="210"/>
    <n v="60"/>
    <n v="148.80000000000001"/>
    <n v="0.35530085959885388"/>
    <x v="3"/>
    <d v="2025-12-17T00:00:00"/>
    <n v="2"/>
    <x v="1"/>
    <m/>
    <n v="0"/>
  </r>
  <r>
    <s v="ORD-104731"/>
    <x v="710"/>
    <x v="1"/>
    <d v="2025-12-01T00:00:00"/>
    <n v="12"/>
    <s v="CUST-01656"/>
    <x v="0"/>
    <x v="8"/>
    <s v="AP"/>
    <x v="3"/>
    <s v="Visakhapatnam"/>
    <x v="2"/>
    <s v="P704"/>
    <s v="Multivitamin Gummies"/>
    <x v="0"/>
    <n v="2"/>
    <n v="699"/>
    <n v="0.25"/>
    <n v="1398"/>
    <n v="349.5"/>
    <n v="1048.5"/>
    <n v="238"/>
    <n v="476"/>
    <n v="60"/>
    <n v="512.5"/>
    <n v="0.48879351454458753"/>
    <x v="0"/>
    <d v="2025-12-20T00:00:00"/>
    <n v="5"/>
    <x v="2"/>
    <n v="3"/>
    <n v="0"/>
  </r>
  <r>
    <s v="ORD-104732"/>
    <x v="711"/>
    <x v="1"/>
    <d v="2025-12-01T00:00:00"/>
    <n v="12"/>
    <s v="CUST-00743"/>
    <x v="1"/>
    <x v="1"/>
    <s v="GJ"/>
    <x v="1"/>
    <s v="Ahmedabad"/>
    <x v="4"/>
    <s v="P105"/>
    <s v="Retinol Night Cream"/>
    <x v="3"/>
    <n v="1"/>
    <n v="799"/>
    <n v="0.05"/>
    <n v="799"/>
    <n v="39.950000000000003"/>
    <n v="759.05"/>
    <n v="216"/>
    <n v="216"/>
    <n v="60"/>
    <n v="483.04999999999995"/>
    <n v="0.63638758975034582"/>
    <x v="3"/>
    <d v="2025-12-20T00:00:00"/>
    <n v="4"/>
    <x v="0"/>
    <n v="2"/>
    <n v="0"/>
  </r>
  <r>
    <s v="ORD-104733"/>
    <x v="711"/>
    <x v="1"/>
    <d v="2025-12-01T00:00:00"/>
    <n v="12"/>
    <s v="CUST-00299"/>
    <x v="1"/>
    <x v="3"/>
    <s v="OD"/>
    <x v="2"/>
    <s v="Bhubaneswar"/>
    <x v="3"/>
    <s v="P101"/>
    <s v="Vitamin C Face Serum"/>
    <x v="3"/>
    <n v="2"/>
    <n v="599"/>
    <n v="0.15"/>
    <n v="1198"/>
    <n v="179.7"/>
    <n v="1018.3"/>
    <n v="180"/>
    <n v="360"/>
    <n v="60"/>
    <n v="598.29999999999995"/>
    <n v="0.58754787390749286"/>
    <x v="0"/>
    <d v="2025-12-20T00:00:00"/>
    <n v="4"/>
    <x v="0"/>
    <n v="4"/>
    <n v="0"/>
  </r>
  <r>
    <s v="ORD-104734"/>
    <x v="711"/>
    <x v="1"/>
    <d v="2025-12-01T00:00:00"/>
    <n v="12"/>
    <s v="CUST-00026"/>
    <x v="1"/>
    <x v="11"/>
    <s v="KA"/>
    <x v="3"/>
    <s v="Mysuru"/>
    <x v="2"/>
    <s v="P301"/>
    <s v="Cotton Oversized T-Shirt"/>
    <x v="1"/>
    <n v="1"/>
    <n v="799"/>
    <n v="0"/>
    <n v="799"/>
    <n v="0"/>
    <n v="799"/>
    <n v="320"/>
    <n v="320"/>
    <n v="60"/>
    <n v="419"/>
    <n v="0.52440550688360454"/>
    <x v="0"/>
    <d v="2025-12-19T00:00:00"/>
    <n v="3"/>
    <x v="0"/>
    <n v="4"/>
    <n v="0"/>
  </r>
  <r>
    <s v="ORD-104735"/>
    <x v="712"/>
    <x v="1"/>
    <d v="2025-12-01T00:00:00"/>
    <n v="12"/>
    <s v="CUST-01925"/>
    <x v="0"/>
    <x v="6"/>
    <s v="DL"/>
    <x v="0"/>
    <s v="New Delhi"/>
    <x v="2"/>
    <s v="P501"/>
    <s v="Copper Water Bottle"/>
    <x v="4"/>
    <n v="1"/>
    <n v="899"/>
    <n v="0.1"/>
    <n v="899"/>
    <n v="89.9"/>
    <n v="809.1"/>
    <n v="378"/>
    <n v="378"/>
    <n v="60"/>
    <n v="371.1"/>
    <n v="0.45865776789024842"/>
    <x v="0"/>
    <d v="2025-12-18T00:00:00"/>
    <n v="1"/>
    <x v="1"/>
    <n v="5"/>
    <n v="0"/>
  </r>
  <r>
    <s v="ORD-104736"/>
    <x v="712"/>
    <x v="1"/>
    <d v="2025-12-01T00:00:00"/>
    <n v="12"/>
    <s v="CUST-03006"/>
    <x v="0"/>
    <x v="1"/>
    <s v="GJ"/>
    <x v="1"/>
    <s v="Surat"/>
    <x v="0"/>
    <s v="P602"/>
    <s v="Fast Charger 33W"/>
    <x v="2"/>
    <n v="1"/>
    <n v="899"/>
    <n v="0.15"/>
    <n v="899"/>
    <n v="134.85"/>
    <n v="764.15"/>
    <n v="494"/>
    <n v="494"/>
    <n v="60"/>
    <n v="210.14999999999998"/>
    <n v="0.27501145063142052"/>
    <x v="2"/>
    <d v="2025-12-20T00:00:00"/>
    <n v="3"/>
    <x v="0"/>
    <m/>
    <n v="0"/>
  </r>
  <r>
    <s v="ORD-104737"/>
    <x v="712"/>
    <x v="1"/>
    <d v="2025-12-01T00:00:00"/>
    <n v="12"/>
    <s v="CUST-00906"/>
    <x v="1"/>
    <x v="13"/>
    <s v="MP"/>
    <x v="1"/>
    <s v="Bhopal"/>
    <x v="0"/>
    <s v="P504"/>
    <s v="Cotton Bedsheet"/>
    <x v="4"/>
    <n v="1"/>
    <n v="1299"/>
    <n v="0"/>
    <n v="1299"/>
    <n v="0"/>
    <n v="1299"/>
    <n v="585"/>
    <n v="585"/>
    <n v="60"/>
    <n v="654"/>
    <n v="0.50346420323325636"/>
    <x v="0"/>
    <d v="2025-12-19T00:00:00"/>
    <n v="2"/>
    <x v="1"/>
    <n v="4"/>
    <n v="0"/>
  </r>
  <r>
    <s v="ORD-104738"/>
    <x v="712"/>
    <x v="1"/>
    <d v="2025-12-01T00:00:00"/>
    <n v="12"/>
    <s v="CUST-03028"/>
    <x v="1"/>
    <x v="7"/>
    <s v="JH"/>
    <x v="2"/>
    <s v="Ranchi"/>
    <x v="0"/>
    <s v="P603"/>
    <s v="Smartwatch Strap"/>
    <x v="2"/>
    <n v="1"/>
    <n v="499"/>
    <n v="0.15"/>
    <n v="499"/>
    <n v="74.849999999999994"/>
    <n v="424.15"/>
    <n v="200"/>
    <n v="200"/>
    <n v="60"/>
    <n v="164.14999999999998"/>
    <n v="0.38700931274313327"/>
    <x v="2"/>
    <d v="2025-12-23T00:00:00"/>
    <n v="6"/>
    <x v="2"/>
    <m/>
    <n v="0"/>
  </r>
  <r>
    <s v="ORD-104739"/>
    <x v="712"/>
    <x v="1"/>
    <d v="2025-12-01T00:00:00"/>
    <n v="12"/>
    <s v="CUST-00355"/>
    <x v="1"/>
    <x v="18"/>
    <s v="WB"/>
    <x v="2"/>
    <s v="Kolkata"/>
    <x v="0"/>
    <s v="P704"/>
    <s v="Multivitamin Gummies"/>
    <x v="0"/>
    <n v="1"/>
    <n v="699"/>
    <n v="0.25"/>
    <n v="699"/>
    <n v="174.75"/>
    <n v="524.25"/>
    <n v="238"/>
    <n v="238"/>
    <n v="60"/>
    <n v="226.25"/>
    <n v="0.43156890796375774"/>
    <x v="2"/>
    <d v="2025-12-22T00:00:00"/>
    <n v="5"/>
    <x v="2"/>
    <m/>
    <n v="0"/>
  </r>
  <r>
    <s v="ORD-104740"/>
    <x v="712"/>
    <x v="1"/>
    <d v="2025-12-01T00:00:00"/>
    <n v="12"/>
    <s v="CUST-02357"/>
    <x v="0"/>
    <x v="18"/>
    <s v="WB"/>
    <x v="2"/>
    <s v="Kolkata"/>
    <x v="0"/>
    <s v="P503"/>
    <s v="Scented Candle Set"/>
    <x v="4"/>
    <n v="1"/>
    <n v="699"/>
    <n v="0.15"/>
    <n v="699"/>
    <n v="104.85"/>
    <n v="594.15"/>
    <n v="245"/>
    <n v="245"/>
    <n v="60"/>
    <n v="289.14999999999998"/>
    <n v="0.48666161743667424"/>
    <x v="0"/>
    <d v="2025-12-21T00:00:00"/>
    <n v="4"/>
    <x v="0"/>
    <m/>
    <n v="0"/>
  </r>
  <r>
    <s v="ORD-104741"/>
    <x v="712"/>
    <x v="1"/>
    <d v="2025-12-01T00:00:00"/>
    <n v="12"/>
    <s v="CUST-00604"/>
    <x v="1"/>
    <x v="3"/>
    <s v="OD"/>
    <x v="2"/>
    <s v="Bhubaneswar"/>
    <x v="1"/>
    <s v="P302"/>
    <s v="Linen Kurta"/>
    <x v="1"/>
    <n v="1"/>
    <n v="1499"/>
    <n v="0.25"/>
    <n v="1499"/>
    <n v="374.75"/>
    <n v="1124.25"/>
    <n v="630"/>
    <n v="630"/>
    <n v="120"/>
    <n v="374.25"/>
    <n v="0.33288859239492996"/>
    <x v="1"/>
    <d v="2025-12-22T00:00:00"/>
    <n v="5"/>
    <x v="2"/>
    <m/>
    <n v="1"/>
  </r>
  <r>
    <s v="ORD-104742"/>
    <x v="712"/>
    <x v="1"/>
    <d v="2025-12-01T00:00:00"/>
    <n v="12"/>
    <s v="CUST-00186"/>
    <x v="1"/>
    <x v="8"/>
    <s v="AP"/>
    <x v="3"/>
    <s v="Vijayawada"/>
    <x v="2"/>
    <s v="P503"/>
    <s v="Scented Candle Set"/>
    <x v="4"/>
    <n v="2"/>
    <n v="699"/>
    <n v="0.1"/>
    <n v="1398"/>
    <n v="139.80000000000001"/>
    <n v="1258.2"/>
    <n v="245"/>
    <n v="490"/>
    <n v="60"/>
    <n v="708.2"/>
    <n v="0.5628675886186616"/>
    <x v="3"/>
    <d v="2025-12-20T00:00:00"/>
    <n v="3"/>
    <x v="0"/>
    <n v="4"/>
    <n v="0"/>
  </r>
  <r>
    <s v="ORD-104743"/>
    <x v="713"/>
    <x v="1"/>
    <d v="2025-12-01T00:00:00"/>
    <n v="12"/>
    <s v="CUST-00475"/>
    <x v="1"/>
    <x v="0"/>
    <s v="RJ"/>
    <x v="0"/>
    <s v="Udaipur"/>
    <x v="4"/>
    <s v="P103"/>
    <s v="Niacinamide Toner"/>
    <x v="3"/>
    <n v="1"/>
    <n v="399"/>
    <n v="0.15"/>
    <n v="399"/>
    <n v="59.849999999999994"/>
    <n v="339.15"/>
    <n v="112"/>
    <n v="112"/>
    <n v="60"/>
    <n v="167.14999999999998"/>
    <n v="0.49284977148754233"/>
    <x v="0"/>
    <d v="2025-12-21T00:00:00"/>
    <n v="3"/>
    <x v="0"/>
    <m/>
    <n v="0"/>
  </r>
  <r>
    <s v="ORD-104744"/>
    <x v="713"/>
    <x v="1"/>
    <d v="2025-12-01T00:00:00"/>
    <n v="12"/>
    <s v="CUST-00350"/>
    <x v="1"/>
    <x v="15"/>
    <s v="HR"/>
    <x v="0"/>
    <s v="Faridabad"/>
    <x v="0"/>
    <s v="P704"/>
    <s v="Multivitamin Gummies"/>
    <x v="0"/>
    <n v="1"/>
    <n v="699"/>
    <n v="0.2"/>
    <n v="699"/>
    <n v="139.80000000000001"/>
    <n v="559.20000000000005"/>
    <n v="238"/>
    <n v="238"/>
    <n v="60"/>
    <n v="261.20000000000005"/>
    <n v="0.46709585121602293"/>
    <x v="1"/>
    <d v="2025-12-22T00:00:00"/>
    <n v="4"/>
    <x v="0"/>
    <n v="4"/>
    <n v="0"/>
  </r>
  <r>
    <s v="ORD-104745"/>
    <x v="713"/>
    <x v="1"/>
    <d v="2025-12-01T00:00:00"/>
    <n v="12"/>
    <s v="CUST-00679"/>
    <x v="1"/>
    <x v="6"/>
    <s v="DL"/>
    <x v="0"/>
    <s v="New Delhi"/>
    <x v="2"/>
    <s v="P503"/>
    <s v="Scented Candle Set"/>
    <x v="4"/>
    <n v="3"/>
    <n v="699"/>
    <n v="0.2"/>
    <n v="2097"/>
    <n v="419.40000000000003"/>
    <n v="1677.6"/>
    <n v="245"/>
    <n v="735"/>
    <n v="60"/>
    <n v="882.59999999999991"/>
    <n v="0.52610872675250353"/>
    <x v="3"/>
    <d v="2025-12-19T00:00:00"/>
    <n v="1"/>
    <x v="1"/>
    <n v="5"/>
    <n v="0"/>
  </r>
  <r>
    <s v="ORD-104746"/>
    <x v="713"/>
    <x v="1"/>
    <d v="2025-12-01T00:00:00"/>
    <n v="12"/>
    <s v="CUST-02074"/>
    <x v="1"/>
    <x v="6"/>
    <s v="DL"/>
    <x v="0"/>
    <s v="New Delhi"/>
    <x v="0"/>
    <s v="P701"/>
    <s v="Ashwagandha Capsules"/>
    <x v="0"/>
    <n v="1"/>
    <n v="499"/>
    <n v="0"/>
    <n v="499"/>
    <n v="0"/>
    <n v="499"/>
    <n v="150"/>
    <n v="150"/>
    <n v="60"/>
    <n v="289"/>
    <n v="0.57915831663326656"/>
    <x v="3"/>
    <d v="2025-12-19T00:00:00"/>
    <n v="1"/>
    <x v="1"/>
    <m/>
    <n v="0"/>
  </r>
  <r>
    <s v="ORD-104747"/>
    <x v="713"/>
    <x v="1"/>
    <d v="2025-12-01T00:00:00"/>
    <n v="12"/>
    <s v="CUST-00664"/>
    <x v="1"/>
    <x v="6"/>
    <s v="DL"/>
    <x v="0"/>
    <s v="New Delhi"/>
    <x v="0"/>
    <s v="P303"/>
    <s v="Joggers"/>
    <x v="1"/>
    <n v="1"/>
    <n v="1199"/>
    <n v="0.05"/>
    <n v="1199"/>
    <n v="59.95"/>
    <n v="1139.05"/>
    <n v="492"/>
    <n v="492"/>
    <n v="60"/>
    <n v="587.04999999999995"/>
    <n v="0.51538562837452262"/>
    <x v="0"/>
    <d v="2025-12-21T00:00:00"/>
    <n v="3"/>
    <x v="0"/>
    <n v="3"/>
    <n v="0"/>
  </r>
  <r>
    <s v="ORD-104748"/>
    <x v="713"/>
    <x v="1"/>
    <d v="2025-12-01T00:00:00"/>
    <n v="12"/>
    <s v="CUST-00423"/>
    <x v="1"/>
    <x v="12"/>
    <s v="BR"/>
    <x v="2"/>
    <s v="Patna"/>
    <x v="4"/>
    <s v="P603"/>
    <s v="Smartwatch Strap"/>
    <x v="2"/>
    <n v="1"/>
    <n v="499"/>
    <n v="0.1"/>
    <n v="499"/>
    <n v="49.900000000000006"/>
    <n v="449.1"/>
    <n v="200"/>
    <n v="200"/>
    <n v="60"/>
    <n v="189.10000000000002"/>
    <n v="0.42106435092407041"/>
    <x v="0"/>
    <d v="2025-12-22T00:00:00"/>
    <n v="4"/>
    <x v="0"/>
    <m/>
    <n v="0"/>
  </r>
  <r>
    <s v="ORD-104749"/>
    <x v="713"/>
    <x v="1"/>
    <d v="2025-12-01T00:00:00"/>
    <n v="12"/>
    <s v="CUST-00684"/>
    <x v="1"/>
    <x v="18"/>
    <s v="WB"/>
    <x v="2"/>
    <s v="Kolkata"/>
    <x v="0"/>
    <s v="P202"/>
    <s v="Argan Shampoo"/>
    <x v="6"/>
    <n v="2"/>
    <n v="449"/>
    <n v="0"/>
    <n v="898"/>
    <n v="0"/>
    <n v="898"/>
    <n v="148"/>
    <n v="296"/>
    <n v="60"/>
    <n v="542"/>
    <n v="0.60356347438752789"/>
    <x v="0"/>
    <d v="2025-12-21T00:00:00"/>
    <n v="3"/>
    <x v="0"/>
    <n v="5"/>
    <n v="0"/>
  </r>
  <r>
    <s v="ORD-104750"/>
    <x v="713"/>
    <x v="1"/>
    <d v="2025-12-01T00:00:00"/>
    <n v="12"/>
    <s v="CUST-02144"/>
    <x v="0"/>
    <x v="18"/>
    <s v="WB"/>
    <x v="2"/>
    <s v="Kolkata"/>
    <x v="0"/>
    <s v="P102"/>
    <s v="Sunscreen SPF 50"/>
    <x v="3"/>
    <n v="1"/>
    <n v="449"/>
    <n v="0.05"/>
    <n v="449"/>
    <n v="22.450000000000003"/>
    <n v="426.55"/>
    <n v="144"/>
    <n v="144"/>
    <n v="60"/>
    <n v="222.55"/>
    <n v="0.52174422693705313"/>
    <x v="0"/>
    <d v="2025-12-20T00:00:00"/>
    <n v="2"/>
    <x v="1"/>
    <n v="4"/>
    <n v="0"/>
  </r>
  <r>
    <s v="ORD-104751"/>
    <x v="713"/>
    <x v="1"/>
    <d v="2025-12-01T00:00:00"/>
    <n v="12"/>
    <s v="CUST-00035"/>
    <x v="1"/>
    <x v="11"/>
    <s v="KA"/>
    <x v="3"/>
    <s v="Bengaluru"/>
    <x v="1"/>
    <s v="P302"/>
    <s v="Linen Kurta"/>
    <x v="1"/>
    <n v="2"/>
    <n v="1499"/>
    <n v="0.35"/>
    <n v="2998"/>
    <n v="1049.3"/>
    <n v="1948.7"/>
    <n v="630"/>
    <n v="1260"/>
    <n v="60"/>
    <n v="628.70000000000005"/>
    <n v="0.32262533997023657"/>
    <x v="3"/>
    <d v="2025-12-21T00:00:00"/>
    <n v="3"/>
    <x v="0"/>
    <n v="4"/>
    <n v="0"/>
  </r>
  <r>
    <s v="ORD-104752"/>
    <x v="713"/>
    <x v="1"/>
    <d v="2025-12-01T00:00:00"/>
    <n v="12"/>
    <s v="CUST-02360"/>
    <x v="0"/>
    <x v="17"/>
    <s v="TN"/>
    <x v="3"/>
    <s v="Coimbatore"/>
    <x v="0"/>
    <s v="P703"/>
    <s v="Green Tea (100 bags)"/>
    <x v="0"/>
    <n v="2"/>
    <n v="399"/>
    <n v="0.45"/>
    <n v="798"/>
    <n v="359.1"/>
    <n v="438.9"/>
    <n v="128"/>
    <n v="256"/>
    <n v="60"/>
    <n v="122.89999999999998"/>
    <n v="0.28001822738664839"/>
    <x v="3"/>
    <d v="2025-12-20T00:00:00"/>
    <n v="2"/>
    <x v="1"/>
    <m/>
    <n v="0"/>
  </r>
  <r>
    <s v="ORD-104753"/>
    <x v="714"/>
    <x v="1"/>
    <d v="2025-12-01T00:00:00"/>
    <n v="12"/>
    <s v="CUST-01119"/>
    <x v="1"/>
    <x v="16"/>
    <s v="UP"/>
    <x v="0"/>
    <s v="Noida"/>
    <x v="2"/>
    <s v="P105"/>
    <s v="Retinol Night Cream"/>
    <x v="3"/>
    <n v="3"/>
    <n v="799"/>
    <n v="0"/>
    <n v="2397"/>
    <n v="0"/>
    <n v="2397"/>
    <n v="216"/>
    <n v="648"/>
    <n v="60"/>
    <n v="1689"/>
    <n v="0.70463078848560701"/>
    <x v="0"/>
    <d v="2025-12-23T00:00:00"/>
    <n v="4"/>
    <x v="0"/>
    <n v="4"/>
    <n v="0"/>
  </r>
  <r>
    <s v="ORD-104754"/>
    <x v="714"/>
    <x v="1"/>
    <d v="2025-12-01T00:00:00"/>
    <n v="12"/>
    <s v="CUST-02484"/>
    <x v="1"/>
    <x v="12"/>
    <s v="BR"/>
    <x v="2"/>
    <s v="Patna"/>
    <x v="3"/>
    <s v="P703"/>
    <s v="Green Tea (100 bags)"/>
    <x v="0"/>
    <n v="2"/>
    <n v="399"/>
    <n v="0.35"/>
    <n v="798"/>
    <n v="279.29999999999995"/>
    <n v="518.70000000000005"/>
    <n v="128"/>
    <n v="256"/>
    <n v="60"/>
    <n v="202.70000000000005"/>
    <n v="0.39078465394254874"/>
    <x v="0"/>
    <d v="2025-12-24T00:00:00"/>
    <n v="5"/>
    <x v="2"/>
    <n v="4"/>
    <n v="0"/>
  </r>
  <r>
    <s v="ORD-104755"/>
    <x v="714"/>
    <x v="1"/>
    <d v="2025-12-01T00:00:00"/>
    <n v="12"/>
    <s v="CUST-00864"/>
    <x v="1"/>
    <x v="10"/>
    <s v="CG"/>
    <x v="2"/>
    <s v="Raipur"/>
    <x v="3"/>
    <s v="P105"/>
    <s v="Retinol Night Cream"/>
    <x v="3"/>
    <n v="1"/>
    <n v="799"/>
    <n v="0"/>
    <n v="799"/>
    <n v="0"/>
    <n v="799"/>
    <n v="216"/>
    <n v="216"/>
    <n v="60"/>
    <n v="523"/>
    <n v="0.65456821026282852"/>
    <x v="3"/>
    <d v="2025-12-22T00:00:00"/>
    <n v="3"/>
    <x v="0"/>
    <n v="4"/>
    <n v="0"/>
  </r>
  <r>
    <s v="ORD-104756"/>
    <x v="714"/>
    <x v="1"/>
    <d v="2025-12-01T00:00:00"/>
    <n v="12"/>
    <s v="CUST-00979"/>
    <x v="1"/>
    <x v="2"/>
    <s v="MH"/>
    <x v="1"/>
    <s v="Nagpur"/>
    <x v="0"/>
    <s v="P503"/>
    <s v="Scented Candle Set"/>
    <x v="4"/>
    <n v="1"/>
    <n v="699"/>
    <n v="0.15"/>
    <n v="699"/>
    <n v="104.85"/>
    <n v="594.15"/>
    <n v="245"/>
    <n v="245"/>
    <n v="60"/>
    <n v="289.14999999999998"/>
    <n v="0.48666161743667424"/>
    <x v="3"/>
    <d v="2025-12-21T00:00:00"/>
    <n v="2"/>
    <x v="1"/>
    <n v="4"/>
    <n v="0"/>
  </r>
  <r>
    <s v="ORD-104757"/>
    <x v="714"/>
    <x v="1"/>
    <d v="2025-12-01T00:00:00"/>
    <n v="12"/>
    <s v="CUST-02704"/>
    <x v="0"/>
    <x v="8"/>
    <s v="AP"/>
    <x v="3"/>
    <s v="Vijayawada"/>
    <x v="4"/>
    <s v="P404"/>
    <s v="Flip Flops"/>
    <x v="5"/>
    <n v="1"/>
    <n v="399"/>
    <n v="0.2"/>
    <n v="399"/>
    <n v="79.800000000000011"/>
    <n v="319.2"/>
    <n v="152"/>
    <n v="152"/>
    <n v="60"/>
    <n v="107.19999999999999"/>
    <n v="0.33583959899749372"/>
    <x v="2"/>
    <d v="2025-12-23T00:00:00"/>
    <n v="4"/>
    <x v="0"/>
    <n v="3"/>
    <n v="0"/>
  </r>
  <r>
    <s v="ORD-104758"/>
    <x v="714"/>
    <x v="1"/>
    <d v="2025-12-01T00:00:00"/>
    <n v="12"/>
    <s v="CUST-03138"/>
    <x v="1"/>
    <x v="17"/>
    <s v="TN"/>
    <x v="3"/>
    <s v="Coimbatore"/>
    <x v="4"/>
    <s v="P104"/>
    <s v="Hydrating Face Wash"/>
    <x v="3"/>
    <n v="1"/>
    <n v="299"/>
    <n v="0"/>
    <n v="299"/>
    <n v="0"/>
    <n v="299"/>
    <n v="90"/>
    <n v="90"/>
    <n v="60"/>
    <n v="149"/>
    <n v="0.49832775919732442"/>
    <x v="3"/>
    <d v="2025-12-21T00:00:00"/>
    <n v="2"/>
    <x v="1"/>
    <n v="5"/>
    <n v="0"/>
  </r>
  <r>
    <s v="ORD-104759"/>
    <x v="715"/>
    <x v="1"/>
    <d v="2025-12-01T00:00:00"/>
    <n v="12"/>
    <s v="CUST-00261"/>
    <x v="1"/>
    <x v="19"/>
    <s v="PB"/>
    <x v="0"/>
    <s v="Amritsar"/>
    <x v="4"/>
    <s v="P202"/>
    <s v="Argan Shampoo"/>
    <x v="6"/>
    <n v="1"/>
    <n v="449"/>
    <n v="0.15"/>
    <n v="449"/>
    <n v="67.349999999999994"/>
    <n v="381.65"/>
    <n v="148"/>
    <n v="148"/>
    <n v="60"/>
    <n v="173.64999999999998"/>
    <n v="0.45499803484868334"/>
    <x v="4"/>
    <d v="2025-12-23T00:00:00"/>
    <n v="3"/>
    <x v="0"/>
    <m/>
    <n v="0"/>
  </r>
  <r>
    <s v="ORD-104760"/>
    <x v="715"/>
    <x v="1"/>
    <d v="2025-12-01T00:00:00"/>
    <n v="12"/>
    <s v="CUST-02251"/>
    <x v="0"/>
    <x v="1"/>
    <s v="GJ"/>
    <x v="1"/>
    <s v="Ahmedabad"/>
    <x v="1"/>
    <s v="P301"/>
    <s v="Cotton Oversized T-Shirt"/>
    <x v="1"/>
    <n v="1"/>
    <n v="799"/>
    <n v="0"/>
    <n v="799"/>
    <n v="0"/>
    <n v="799"/>
    <n v="320"/>
    <n v="320"/>
    <n v="60"/>
    <n v="419"/>
    <n v="0.52440550688360454"/>
    <x v="3"/>
    <d v="2025-12-23T00:00:00"/>
    <n v="3"/>
    <x v="0"/>
    <n v="4"/>
    <n v="0"/>
  </r>
  <r>
    <s v="ORD-104761"/>
    <x v="715"/>
    <x v="1"/>
    <d v="2025-12-01T00:00:00"/>
    <n v="12"/>
    <s v="CUST-01050"/>
    <x v="0"/>
    <x v="18"/>
    <s v="WB"/>
    <x v="2"/>
    <s v="Kolkata"/>
    <x v="1"/>
    <s v="P305"/>
    <s v="Printed Saree"/>
    <x v="1"/>
    <n v="1"/>
    <n v="1999"/>
    <n v="0.05"/>
    <n v="1999"/>
    <n v="99.95"/>
    <n v="1899.05"/>
    <n v="880"/>
    <n v="880"/>
    <n v="60"/>
    <n v="959.05"/>
    <n v="0.50501566572760059"/>
    <x v="1"/>
    <d v="2025-12-23T00:00:00"/>
    <n v="3"/>
    <x v="0"/>
    <n v="3"/>
    <n v="0"/>
  </r>
  <r>
    <s v="ORD-104762"/>
    <x v="715"/>
    <x v="1"/>
    <d v="2025-12-01T00:00:00"/>
    <n v="12"/>
    <s v="CUST-01058"/>
    <x v="1"/>
    <x v="3"/>
    <s v="OD"/>
    <x v="2"/>
    <s v="Bhubaneswar"/>
    <x v="4"/>
    <s v="P104"/>
    <s v="Hydrating Face Wash"/>
    <x v="3"/>
    <n v="1"/>
    <n v="299"/>
    <n v="0"/>
    <n v="299"/>
    <n v="0"/>
    <n v="299"/>
    <n v="90"/>
    <n v="90"/>
    <n v="60"/>
    <n v="149"/>
    <n v="0.49832775919732442"/>
    <x v="1"/>
    <d v="2025-12-26T00:00:00"/>
    <n v="6"/>
    <x v="2"/>
    <m/>
    <n v="0"/>
  </r>
  <r>
    <s v="ORD-104763"/>
    <x v="715"/>
    <x v="1"/>
    <d v="2025-12-01T00:00:00"/>
    <n v="12"/>
    <s v="CUST-00497"/>
    <x v="1"/>
    <x v="8"/>
    <s v="AP"/>
    <x v="3"/>
    <s v="Vijayawada"/>
    <x v="4"/>
    <s v="P503"/>
    <s v="Scented Candle Set"/>
    <x v="4"/>
    <n v="1"/>
    <n v="699"/>
    <n v="0.25"/>
    <n v="699"/>
    <n v="174.75"/>
    <n v="524.25"/>
    <n v="245"/>
    <n v="245"/>
    <n v="60"/>
    <n v="219.25"/>
    <n v="0.41821649976156416"/>
    <x v="1"/>
    <d v="2025-12-22T00:00:00"/>
    <n v="2"/>
    <x v="1"/>
    <n v="4"/>
    <n v="0"/>
  </r>
  <r>
    <s v="ORD-104764"/>
    <x v="715"/>
    <x v="1"/>
    <d v="2025-12-01T00:00:00"/>
    <n v="12"/>
    <s v="CUST-02870"/>
    <x v="0"/>
    <x v="14"/>
    <s v="KL"/>
    <x v="3"/>
    <s v="Kochi"/>
    <x v="2"/>
    <s v="P103"/>
    <s v="Niacinamide Toner"/>
    <x v="3"/>
    <n v="1"/>
    <n v="399"/>
    <n v="0.1"/>
    <n v="399"/>
    <n v="39.900000000000006"/>
    <n v="359.1"/>
    <n v="112"/>
    <n v="112"/>
    <n v="60"/>
    <n v="187.10000000000002"/>
    <n v="0.52102478418267895"/>
    <x v="2"/>
    <d v="2025-12-25T00:00:00"/>
    <n v="5"/>
    <x v="2"/>
    <n v="4"/>
    <n v="0"/>
  </r>
  <r>
    <s v="ORD-104765"/>
    <x v="715"/>
    <x v="1"/>
    <d v="2025-12-01T00:00:00"/>
    <n v="12"/>
    <s v="CUST-00698"/>
    <x v="1"/>
    <x v="17"/>
    <s v="TN"/>
    <x v="3"/>
    <s v="Chennai"/>
    <x v="4"/>
    <s v="P103"/>
    <s v="Niacinamide Toner"/>
    <x v="3"/>
    <n v="1"/>
    <n v="399"/>
    <n v="0.2"/>
    <n v="399"/>
    <n v="79.800000000000011"/>
    <n v="319.2"/>
    <n v="112"/>
    <n v="112"/>
    <n v="60"/>
    <n v="147.19999999999999"/>
    <n v="0.46115288220551376"/>
    <x v="3"/>
    <d v="2025-12-24T00:00:00"/>
    <n v="4"/>
    <x v="0"/>
    <n v="5"/>
    <n v="0"/>
  </r>
  <r>
    <s v="ORD-104766"/>
    <x v="716"/>
    <x v="1"/>
    <d v="2025-12-01T00:00:00"/>
    <n v="12"/>
    <s v="CUST-00012"/>
    <x v="0"/>
    <x v="12"/>
    <s v="BR"/>
    <x v="2"/>
    <s v="Patna"/>
    <x v="4"/>
    <s v="P202"/>
    <s v="Argan Shampoo"/>
    <x v="6"/>
    <n v="2"/>
    <n v="449"/>
    <n v="0"/>
    <n v="898"/>
    <n v="0"/>
    <n v="898"/>
    <n v="148"/>
    <n v="296"/>
    <n v="60"/>
    <n v="542"/>
    <n v="0.60356347438752789"/>
    <x v="2"/>
    <d v="2025-12-25T00:00:00"/>
    <n v="4"/>
    <x v="0"/>
    <n v="3"/>
    <n v="0"/>
  </r>
  <r>
    <s v="ORD-104767"/>
    <x v="716"/>
    <x v="1"/>
    <d v="2025-12-01T00:00:00"/>
    <n v="12"/>
    <s v="CUST-01151"/>
    <x v="1"/>
    <x v="13"/>
    <s v="MP"/>
    <x v="1"/>
    <s v="Indore"/>
    <x v="3"/>
    <s v="P701"/>
    <s v="Ashwagandha Capsules"/>
    <x v="0"/>
    <n v="2"/>
    <n v="499"/>
    <n v="0"/>
    <n v="998"/>
    <n v="0"/>
    <n v="998"/>
    <n v="150"/>
    <n v="300"/>
    <n v="60"/>
    <n v="638"/>
    <n v="0.63927855711422843"/>
    <x v="0"/>
    <d v="2025-12-26T00:00:00"/>
    <n v="5"/>
    <x v="2"/>
    <m/>
    <n v="0"/>
  </r>
  <r>
    <s v="ORD-104768"/>
    <x v="716"/>
    <x v="1"/>
    <d v="2025-12-01T00:00:00"/>
    <n v="12"/>
    <s v="CUST-02562"/>
    <x v="1"/>
    <x v="14"/>
    <s v="KL"/>
    <x v="3"/>
    <s v="Thiruvananthapuram"/>
    <x v="0"/>
    <s v="P102"/>
    <s v="Sunscreen SPF 50"/>
    <x v="3"/>
    <n v="1"/>
    <n v="449"/>
    <n v="0.05"/>
    <n v="449"/>
    <n v="22.450000000000003"/>
    <n v="426.55"/>
    <n v="144"/>
    <n v="144"/>
    <n v="120"/>
    <n v="162.55000000000001"/>
    <n v="0.38108076427148052"/>
    <x v="3"/>
    <d v="2025-12-24T00:00:00"/>
    <n v="3"/>
    <x v="0"/>
    <n v="4"/>
    <n v="1"/>
  </r>
  <r>
    <s v="ORD-104769"/>
    <x v="717"/>
    <x v="1"/>
    <d v="2025-12-01T00:00:00"/>
    <n v="12"/>
    <s v="CUST-00269"/>
    <x v="1"/>
    <x v="0"/>
    <s v="RJ"/>
    <x v="0"/>
    <s v="Udaipur"/>
    <x v="4"/>
    <s v="P204"/>
    <s v="Anti-Dandruff Conditioner"/>
    <x v="6"/>
    <n v="2"/>
    <n v="399"/>
    <n v="0.3"/>
    <n v="798"/>
    <n v="239.39999999999998"/>
    <n v="558.6"/>
    <n v="136"/>
    <n v="272"/>
    <n v="60"/>
    <n v="226.60000000000002"/>
    <n v="0.40565699964196206"/>
    <x v="0"/>
    <d v="2025-12-26T00:00:00"/>
    <n v="3"/>
    <x v="0"/>
    <n v="4"/>
    <n v="0"/>
  </r>
  <r>
    <s v="ORD-104770"/>
    <x v="717"/>
    <x v="1"/>
    <d v="2025-12-01T00:00:00"/>
    <n v="12"/>
    <s v="CUST-00976"/>
    <x v="1"/>
    <x v="6"/>
    <s v="DL"/>
    <x v="0"/>
    <s v="New Delhi"/>
    <x v="3"/>
    <s v="P103"/>
    <s v="Niacinamide Toner"/>
    <x v="3"/>
    <n v="1"/>
    <n v="399"/>
    <n v="0.2"/>
    <n v="399"/>
    <n v="79.800000000000011"/>
    <n v="319.2"/>
    <n v="112"/>
    <n v="112"/>
    <n v="60"/>
    <n v="147.19999999999999"/>
    <n v="0.46115288220551376"/>
    <x v="2"/>
    <d v="2025-12-26T00:00:00"/>
    <n v="3"/>
    <x v="0"/>
    <n v="4"/>
    <n v="0"/>
  </r>
  <r>
    <s v="ORD-104771"/>
    <x v="717"/>
    <x v="1"/>
    <d v="2025-12-01T00:00:00"/>
    <n v="12"/>
    <s v="CUST-00148"/>
    <x v="1"/>
    <x v="6"/>
    <s v="DL"/>
    <x v="0"/>
    <s v="New Delhi"/>
    <x v="0"/>
    <s v="P104"/>
    <s v="Hydrating Face Wash"/>
    <x v="3"/>
    <n v="1"/>
    <n v="299"/>
    <n v="0"/>
    <n v="299"/>
    <n v="0"/>
    <n v="299"/>
    <n v="90"/>
    <n v="90"/>
    <n v="60"/>
    <n v="149"/>
    <n v="0.49832775919732442"/>
    <x v="0"/>
    <d v="2025-12-26T00:00:00"/>
    <n v="3"/>
    <x v="0"/>
    <n v="4"/>
    <n v="0"/>
  </r>
  <r>
    <s v="ORD-104772"/>
    <x v="717"/>
    <x v="1"/>
    <d v="2025-12-01T00:00:00"/>
    <n v="12"/>
    <s v="CUST-00436"/>
    <x v="1"/>
    <x v="6"/>
    <s v="DL"/>
    <x v="0"/>
    <s v="New Delhi"/>
    <x v="1"/>
    <s v="P302"/>
    <s v="Linen Kurta"/>
    <x v="1"/>
    <n v="2"/>
    <n v="1499"/>
    <n v="0.3"/>
    <n v="2998"/>
    <n v="899.4"/>
    <n v="2098.6"/>
    <n v="630"/>
    <n v="1260"/>
    <n v="60"/>
    <n v="778.59999999999991"/>
    <n v="0.3710092442580768"/>
    <x v="1"/>
    <d v="2025-12-24T00:00:00"/>
    <n v="1"/>
    <x v="1"/>
    <m/>
    <n v="0"/>
  </r>
  <r>
    <s v="ORD-104773"/>
    <x v="717"/>
    <x v="1"/>
    <d v="2025-12-01T00:00:00"/>
    <n v="12"/>
    <s v="CUST-00367"/>
    <x v="1"/>
    <x v="12"/>
    <s v="BR"/>
    <x v="2"/>
    <s v="Patna"/>
    <x v="4"/>
    <s v="P701"/>
    <s v="Ashwagandha Capsules"/>
    <x v="0"/>
    <n v="1"/>
    <n v="499"/>
    <n v="0.1"/>
    <n v="499"/>
    <n v="49.900000000000006"/>
    <n v="449.1"/>
    <n v="150"/>
    <n v="150"/>
    <n v="60"/>
    <n v="239.10000000000002"/>
    <n v="0.53239812959251842"/>
    <x v="1"/>
    <d v="2025-12-28T00:00:00"/>
    <n v="5"/>
    <x v="2"/>
    <m/>
    <n v="0"/>
  </r>
  <r>
    <s v="ORD-104774"/>
    <x v="717"/>
    <x v="1"/>
    <d v="2025-12-01T00:00:00"/>
    <n v="12"/>
    <s v="CUST-02742"/>
    <x v="1"/>
    <x v="11"/>
    <s v="KA"/>
    <x v="3"/>
    <s v="Mysuru"/>
    <x v="0"/>
    <s v="P504"/>
    <s v="Cotton Bedsheet"/>
    <x v="4"/>
    <n v="1"/>
    <n v="1299"/>
    <n v="0"/>
    <n v="1299"/>
    <n v="0"/>
    <n v="1299"/>
    <n v="585"/>
    <n v="585"/>
    <n v="60"/>
    <n v="654"/>
    <n v="0.50346420323325636"/>
    <x v="0"/>
    <d v="2025-12-25T00:00:00"/>
    <n v="2"/>
    <x v="1"/>
    <m/>
    <n v="0"/>
  </r>
  <r>
    <s v="ORD-104775"/>
    <x v="717"/>
    <x v="1"/>
    <d v="2025-12-01T00:00:00"/>
    <n v="12"/>
    <s v="CUST-02965"/>
    <x v="0"/>
    <x v="14"/>
    <s v="KL"/>
    <x v="3"/>
    <s v="Kochi"/>
    <x v="3"/>
    <s v="P702"/>
    <s v="Whey Protein 1kg"/>
    <x v="0"/>
    <n v="2"/>
    <n v="2299"/>
    <n v="0.35"/>
    <n v="4598"/>
    <n v="1609.3"/>
    <n v="2988.7"/>
    <n v="1333"/>
    <n v="2666"/>
    <n v="60"/>
    <n v="262.69999999999982"/>
    <n v="8.7897748184829469E-2"/>
    <x v="3"/>
    <d v="2025-12-25T00:00:00"/>
    <n v="2"/>
    <x v="1"/>
    <n v="3"/>
    <n v="0"/>
  </r>
  <r>
    <s v="ORD-104776"/>
    <x v="718"/>
    <x v="1"/>
    <d v="2025-12-01T00:00:00"/>
    <n v="12"/>
    <s v="CUST-01057"/>
    <x v="1"/>
    <x v="0"/>
    <s v="RJ"/>
    <x v="0"/>
    <s v="Udaipur"/>
    <x v="4"/>
    <s v="P401"/>
    <s v="Running Shoes"/>
    <x v="5"/>
    <n v="2"/>
    <n v="2999"/>
    <n v="0.3"/>
    <n v="5998"/>
    <n v="1799.3999999999999"/>
    <n v="4198.6000000000004"/>
    <n v="1440"/>
    <n v="2880"/>
    <n v="60"/>
    <n v="1258.6000000000004"/>
    <n v="0.29976658886295438"/>
    <x v="2"/>
    <d v="2025-12-28T00:00:00"/>
    <n v="4"/>
    <x v="0"/>
    <m/>
    <n v="0"/>
  </r>
  <r>
    <s v="ORD-104777"/>
    <x v="718"/>
    <x v="1"/>
    <d v="2025-12-01T00:00:00"/>
    <n v="12"/>
    <s v="CUST-00762"/>
    <x v="1"/>
    <x v="15"/>
    <s v="HR"/>
    <x v="0"/>
    <s v="Faridabad"/>
    <x v="2"/>
    <s v="P204"/>
    <s v="Anti-Dandruff Conditioner"/>
    <x v="6"/>
    <n v="1"/>
    <n v="399"/>
    <n v="0.3"/>
    <n v="399"/>
    <n v="119.69999999999999"/>
    <n v="279.3"/>
    <n v="136"/>
    <n v="136"/>
    <n v="60"/>
    <n v="83.300000000000011"/>
    <n v="0.29824561403508776"/>
    <x v="0"/>
    <d v="2025-12-25T00:00:00"/>
    <n v="1"/>
    <x v="1"/>
    <m/>
    <n v="0"/>
  </r>
  <r>
    <s v="ORD-104778"/>
    <x v="718"/>
    <x v="1"/>
    <d v="2025-12-01T00:00:00"/>
    <n v="12"/>
    <s v="CUST-00420"/>
    <x v="1"/>
    <x v="6"/>
    <s v="DL"/>
    <x v="0"/>
    <s v="New Delhi"/>
    <x v="1"/>
    <s v="P303"/>
    <s v="Joggers"/>
    <x v="1"/>
    <n v="1"/>
    <n v="1199"/>
    <n v="0.1"/>
    <n v="1199"/>
    <n v="119.9"/>
    <n v="1079.0999999999999"/>
    <n v="492"/>
    <n v="492"/>
    <n v="60"/>
    <n v="527.09999999999991"/>
    <n v="0.48846260772866273"/>
    <x v="0"/>
    <d v="2025-12-26T00:00:00"/>
    <n v="2"/>
    <x v="1"/>
    <n v="4"/>
    <n v="0"/>
  </r>
  <r>
    <s v="ORD-104779"/>
    <x v="718"/>
    <x v="1"/>
    <d v="2025-12-01T00:00:00"/>
    <n v="12"/>
    <s v="CUST-01342"/>
    <x v="1"/>
    <x v="12"/>
    <s v="BR"/>
    <x v="2"/>
    <s v="Patna"/>
    <x v="1"/>
    <s v="P301"/>
    <s v="Cotton Oversized T-Shirt"/>
    <x v="1"/>
    <n v="1"/>
    <n v="799"/>
    <n v="0"/>
    <n v="799"/>
    <n v="0"/>
    <n v="799"/>
    <n v="320"/>
    <n v="320"/>
    <n v="60"/>
    <n v="419"/>
    <n v="0.52440550688360454"/>
    <x v="0"/>
    <d v="2025-12-29T00:00:00"/>
    <n v="5"/>
    <x v="2"/>
    <m/>
    <n v="0"/>
  </r>
  <r>
    <s v="ORD-104780"/>
    <x v="718"/>
    <x v="1"/>
    <d v="2025-12-01T00:00:00"/>
    <n v="12"/>
    <s v="CUST-00890"/>
    <x v="1"/>
    <x v="13"/>
    <s v="MP"/>
    <x v="1"/>
    <s v="Indore"/>
    <x v="4"/>
    <s v="P104"/>
    <s v="Hydrating Face Wash"/>
    <x v="3"/>
    <n v="1"/>
    <n v="299"/>
    <n v="0.1"/>
    <n v="299"/>
    <n v="29.900000000000002"/>
    <n v="269.10000000000002"/>
    <n v="90"/>
    <n v="90"/>
    <n v="120"/>
    <n v="59.100000000000023"/>
    <n v="0.21962095875139359"/>
    <x v="3"/>
    <d v="2025-12-28T00:00:00"/>
    <n v="4"/>
    <x v="0"/>
    <n v="4"/>
    <n v="1"/>
  </r>
  <r>
    <s v="ORD-104781"/>
    <x v="718"/>
    <x v="1"/>
    <d v="2025-12-01T00:00:00"/>
    <n v="12"/>
    <s v="CUST-00868"/>
    <x v="1"/>
    <x v="2"/>
    <s v="MH"/>
    <x v="1"/>
    <s v="Mumbai"/>
    <x v="0"/>
    <s v="P104"/>
    <s v="Hydrating Face Wash"/>
    <x v="3"/>
    <n v="1"/>
    <n v="299"/>
    <n v="0"/>
    <n v="299"/>
    <n v="0"/>
    <n v="299"/>
    <n v="90"/>
    <n v="90"/>
    <n v="60"/>
    <n v="149"/>
    <n v="0.49832775919732442"/>
    <x v="4"/>
    <d v="2025-12-25T00:00:00"/>
    <n v="1"/>
    <x v="1"/>
    <n v="4"/>
    <n v="0"/>
  </r>
  <r>
    <s v="ORD-104782"/>
    <x v="718"/>
    <x v="1"/>
    <d v="2025-12-01T00:00:00"/>
    <n v="12"/>
    <s v="CUST-01141"/>
    <x v="1"/>
    <x v="14"/>
    <s v="KL"/>
    <x v="3"/>
    <s v="Kochi"/>
    <x v="2"/>
    <s v="P601"/>
    <s v="Wireless Earbuds"/>
    <x v="2"/>
    <n v="2"/>
    <n v="1999"/>
    <n v="0.35"/>
    <n v="3998"/>
    <n v="1399.3"/>
    <n v="2598.6999999999998"/>
    <n v="1239"/>
    <n v="2478"/>
    <n v="60"/>
    <n v="60.699999999999818"/>
    <n v="2.3357832762535044E-2"/>
    <x v="1"/>
    <d v="2025-12-28T00:00:00"/>
    <n v="4"/>
    <x v="0"/>
    <m/>
    <n v="0"/>
  </r>
  <r>
    <s v="ORD-104783"/>
    <x v="718"/>
    <x v="1"/>
    <d v="2025-12-01T00:00:00"/>
    <n v="12"/>
    <s v="CUST-00166"/>
    <x v="1"/>
    <x v="17"/>
    <s v="TN"/>
    <x v="3"/>
    <s v="Coimbatore"/>
    <x v="2"/>
    <s v="P702"/>
    <s v="Whey Protein 1kg"/>
    <x v="0"/>
    <n v="1"/>
    <n v="2299"/>
    <n v="0.35"/>
    <n v="2299"/>
    <n v="804.65"/>
    <n v="1494.35"/>
    <n v="1333"/>
    <n v="1333"/>
    <n v="60"/>
    <n v="101.34999999999991"/>
    <n v="6.7822130023086902E-2"/>
    <x v="3"/>
    <d v="2025-12-27T00:00:00"/>
    <n v="3"/>
    <x v="0"/>
    <n v="5"/>
    <n v="0"/>
  </r>
  <r>
    <s v="ORD-104784"/>
    <x v="719"/>
    <x v="1"/>
    <d v="2025-12-01T00:00:00"/>
    <n v="12"/>
    <s v="CUST-01099"/>
    <x v="1"/>
    <x v="15"/>
    <s v="HR"/>
    <x v="0"/>
    <s v="Gurugram"/>
    <x v="4"/>
    <s v="P204"/>
    <s v="Anti-Dandruff Conditioner"/>
    <x v="6"/>
    <n v="2"/>
    <n v="399"/>
    <n v="0.35"/>
    <n v="798"/>
    <n v="279.29999999999995"/>
    <n v="518.70000000000005"/>
    <n v="136"/>
    <n v="272"/>
    <n v="60"/>
    <n v="186.70000000000005"/>
    <n v="0.35993830730672843"/>
    <x v="0"/>
    <d v="2025-12-28T00:00:00"/>
    <n v="3"/>
    <x v="0"/>
    <m/>
    <n v="0"/>
  </r>
  <r>
    <s v="ORD-104785"/>
    <x v="719"/>
    <x v="1"/>
    <d v="2025-12-01T00:00:00"/>
    <n v="12"/>
    <s v="CUST-00825"/>
    <x v="1"/>
    <x v="2"/>
    <s v="MH"/>
    <x v="1"/>
    <s v="Mumbai"/>
    <x v="4"/>
    <s v="P102"/>
    <s v="Sunscreen SPF 50"/>
    <x v="3"/>
    <n v="1"/>
    <n v="449"/>
    <n v="0"/>
    <n v="449"/>
    <n v="0"/>
    <n v="449"/>
    <n v="144"/>
    <n v="144"/>
    <n v="60"/>
    <n v="245"/>
    <n v="0.54565701559020041"/>
    <x v="3"/>
    <d v="2025-12-26T00:00:00"/>
    <n v="1"/>
    <x v="1"/>
    <n v="4"/>
    <n v="0"/>
  </r>
  <r>
    <s v="ORD-104786"/>
    <x v="719"/>
    <x v="1"/>
    <d v="2025-12-01T00:00:00"/>
    <n v="12"/>
    <s v="CUST-00698"/>
    <x v="1"/>
    <x v="2"/>
    <s v="MH"/>
    <x v="1"/>
    <s v="Pune"/>
    <x v="1"/>
    <s v="P301"/>
    <s v="Cotton Oversized T-Shirt"/>
    <x v="1"/>
    <n v="1"/>
    <n v="799"/>
    <n v="0.05"/>
    <n v="799"/>
    <n v="39.950000000000003"/>
    <n v="759.05"/>
    <n v="320"/>
    <n v="320"/>
    <n v="60"/>
    <n v="379.04999999999995"/>
    <n v="0.49937421777221525"/>
    <x v="4"/>
    <d v="2025-12-29T00:00:00"/>
    <n v="4"/>
    <x v="0"/>
    <m/>
    <n v="0"/>
  </r>
  <r>
    <s v="ORD-104787"/>
    <x v="719"/>
    <x v="1"/>
    <d v="2025-12-01T00:00:00"/>
    <n v="12"/>
    <s v="CUST-03062"/>
    <x v="0"/>
    <x v="3"/>
    <s v="OD"/>
    <x v="2"/>
    <s v="Bhubaneswar"/>
    <x v="4"/>
    <s v="P203"/>
    <s v="Keratin Hair Mask"/>
    <x v="6"/>
    <n v="3"/>
    <n v="549"/>
    <n v="0.1"/>
    <n v="1647"/>
    <n v="164.70000000000002"/>
    <n v="1482.3"/>
    <n v="170"/>
    <n v="510"/>
    <n v="60"/>
    <n v="912.3"/>
    <n v="0.61546245699251168"/>
    <x v="0"/>
    <d v="2025-12-31T00:00:00"/>
    <n v="6"/>
    <x v="2"/>
    <n v="2"/>
    <n v="0"/>
  </r>
  <r>
    <s v="ORD-104788"/>
    <x v="719"/>
    <x v="1"/>
    <d v="2025-12-01T00:00:00"/>
    <n v="12"/>
    <s v="CUST-00947"/>
    <x v="1"/>
    <x v="8"/>
    <s v="AP"/>
    <x v="3"/>
    <s v="Visakhapatnam"/>
    <x v="2"/>
    <s v="P404"/>
    <s v="Flip Flops"/>
    <x v="5"/>
    <n v="1"/>
    <n v="399"/>
    <n v="0.05"/>
    <n v="399"/>
    <n v="19.950000000000003"/>
    <n v="379.05"/>
    <n v="152"/>
    <n v="152"/>
    <n v="60"/>
    <n v="167.05"/>
    <n v="0.44070703073473161"/>
    <x v="4"/>
    <d v="2025-12-29T00:00:00"/>
    <n v="4"/>
    <x v="0"/>
    <n v="4"/>
    <n v="0"/>
  </r>
  <r>
    <s v="ORD-104789"/>
    <x v="719"/>
    <x v="1"/>
    <d v="2025-12-01T00:00:00"/>
    <n v="12"/>
    <s v="CUST-01935"/>
    <x v="1"/>
    <x v="17"/>
    <s v="TN"/>
    <x v="3"/>
    <s v="Coimbatore"/>
    <x v="1"/>
    <s v="P403"/>
    <s v="Kolhapuri Sandals"/>
    <x v="5"/>
    <n v="1"/>
    <n v="999"/>
    <n v="0"/>
    <n v="999"/>
    <n v="0"/>
    <n v="999"/>
    <n v="400"/>
    <n v="400"/>
    <n v="60"/>
    <n v="539"/>
    <n v="0.53953953953953959"/>
    <x v="1"/>
    <d v="2025-12-28T00:00:00"/>
    <n v="3"/>
    <x v="0"/>
    <n v="4"/>
    <n v="0"/>
  </r>
  <r>
    <s v="ORD-104790"/>
    <x v="720"/>
    <x v="1"/>
    <d v="2025-12-01T00:00:00"/>
    <n v="12"/>
    <s v="CUST-00466"/>
    <x v="1"/>
    <x v="5"/>
    <s v="HP"/>
    <x v="0"/>
    <s v="Shimla"/>
    <x v="4"/>
    <s v="P101"/>
    <s v="Vitamin C Face Serum"/>
    <x v="3"/>
    <n v="1"/>
    <n v="599"/>
    <n v="0.15"/>
    <n v="599"/>
    <n v="89.85"/>
    <n v="509.15"/>
    <n v="180"/>
    <n v="180"/>
    <n v="60"/>
    <n v="269.14999999999998"/>
    <n v="0.52862614160856325"/>
    <x v="0"/>
    <d v="2025-12-31T00:00:00"/>
    <n v="5"/>
    <x v="2"/>
    <m/>
    <n v="0"/>
  </r>
  <r>
    <s v="ORD-104791"/>
    <x v="720"/>
    <x v="1"/>
    <d v="2025-12-01T00:00:00"/>
    <n v="12"/>
    <s v="CUST-01826"/>
    <x v="1"/>
    <x v="0"/>
    <s v="RJ"/>
    <x v="0"/>
    <s v="Udaipur"/>
    <x v="2"/>
    <s v="P601"/>
    <s v="Wireless Earbuds"/>
    <x v="2"/>
    <n v="1"/>
    <n v="1999"/>
    <n v="0.3"/>
    <n v="1999"/>
    <n v="599.69999999999993"/>
    <n v="1399.3000000000002"/>
    <n v="1239"/>
    <n v="1239"/>
    <n v="60"/>
    <n v="100.30000000000018"/>
    <n v="7.1678696491102811E-2"/>
    <x v="3"/>
    <d v="2025-12-31T00:00:00"/>
    <n v="5"/>
    <x v="2"/>
    <m/>
    <n v="0"/>
  </r>
  <r>
    <s v="ORD-104792"/>
    <x v="720"/>
    <x v="1"/>
    <d v="2025-12-01T00:00:00"/>
    <n v="12"/>
    <s v="CUST-01688"/>
    <x v="1"/>
    <x v="0"/>
    <s v="RJ"/>
    <x v="0"/>
    <s v="Jaipur"/>
    <x v="2"/>
    <s v="P604"/>
    <s v="Power Bank 20000mAh"/>
    <x v="2"/>
    <n v="1"/>
    <n v="1799"/>
    <n v="0.25"/>
    <n v="1799"/>
    <n v="449.75"/>
    <n v="1349.25"/>
    <n v="1079"/>
    <n v="1079"/>
    <n v="60"/>
    <n v="210.25"/>
    <n v="0.15582731146933482"/>
    <x v="0"/>
    <d v="2025-12-30T00:00:00"/>
    <n v="4"/>
    <x v="0"/>
    <n v="4"/>
    <n v="0"/>
  </r>
  <r>
    <s v="ORD-104793"/>
    <x v="720"/>
    <x v="1"/>
    <d v="2025-12-01T00:00:00"/>
    <n v="12"/>
    <s v="CUST-02972"/>
    <x v="1"/>
    <x v="1"/>
    <s v="GJ"/>
    <x v="1"/>
    <s v="Ahmedabad"/>
    <x v="0"/>
    <s v="P103"/>
    <s v="Niacinamide Toner"/>
    <x v="3"/>
    <n v="1"/>
    <n v="399"/>
    <n v="0.15"/>
    <n v="399"/>
    <n v="59.849999999999994"/>
    <n v="339.15"/>
    <n v="112"/>
    <n v="112"/>
    <n v="60"/>
    <n v="167.14999999999998"/>
    <n v="0.49284977148754233"/>
    <x v="1"/>
    <d v="2025-12-28T00:00:00"/>
    <n v="2"/>
    <x v="1"/>
    <n v="3"/>
    <n v="0"/>
  </r>
  <r>
    <s v="ORD-104794"/>
    <x v="720"/>
    <x v="1"/>
    <d v="2025-12-01T00:00:00"/>
    <n v="12"/>
    <s v="CUST-00842"/>
    <x v="1"/>
    <x v="18"/>
    <s v="WB"/>
    <x v="2"/>
    <s v="Kolkata"/>
    <x v="4"/>
    <s v="P501"/>
    <s v="Copper Water Bottle"/>
    <x v="4"/>
    <n v="1"/>
    <n v="899"/>
    <n v="0"/>
    <n v="899"/>
    <n v="0"/>
    <n v="899"/>
    <n v="378"/>
    <n v="378"/>
    <n v="60"/>
    <n v="461"/>
    <n v="0.51279199110122353"/>
    <x v="2"/>
    <d v="2025-12-28T00:00:00"/>
    <n v="2"/>
    <x v="1"/>
    <m/>
    <n v="0"/>
  </r>
  <r>
    <s v="ORD-104795"/>
    <x v="720"/>
    <x v="1"/>
    <d v="2025-12-01T00:00:00"/>
    <n v="12"/>
    <s v="CUST-00979"/>
    <x v="1"/>
    <x v="2"/>
    <s v="MH"/>
    <x v="1"/>
    <s v="Mumbai"/>
    <x v="4"/>
    <s v="P603"/>
    <s v="Smartwatch Strap"/>
    <x v="2"/>
    <n v="1"/>
    <n v="499"/>
    <n v="0.15"/>
    <n v="499"/>
    <n v="74.849999999999994"/>
    <n v="424.15"/>
    <n v="200"/>
    <n v="200"/>
    <n v="60"/>
    <n v="164.14999999999998"/>
    <n v="0.38700931274313327"/>
    <x v="0"/>
    <d v="2025-12-27T00:00:00"/>
    <n v="1"/>
    <x v="1"/>
    <n v="4"/>
    <n v="0"/>
  </r>
  <r>
    <s v="ORD-104796"/>
    <x v="720"/>
    <x v="1"/>
    <d v="2025-12-01T00:00:00"/>
    <n v="12"/>
    <s v="CUST-00014"/>
    <x v="0"/>
    <x v="11"/>
    <s v="KA"/>
    <x v="3"/>
    <s v="Bengaluru"/>
    <x v="1"/>
    <s v="P304"/>
    <s v="Denim Jacket"/>
    <x v="1"/>
    <n v="2"/>
    <n v="2499"/>
    <n v="0"/>
    <n v="4998"/>
    <n v="0"/>
    <n v="4998"/>
    <n v="1125"/>
    <n v="2250"/>
    <n v="60"/>
    <n v="2688"/>
    <n v="0.53781512605042014"/>
    <x v="3"/>
    <d v="2025-12-27T00:00:00"/>
    <n v="1"/>
    <x v="1"/>
    <n v="5"/>
    <n v="0"/>
  </r>
  <r>
    <s v="ORD-104797"/>
    <x v="720"/>
    <x v="1"/>
    <d v="2025-12-01T00:00:00"/>
    <n v="12"/>
    <s v="CUST-00583"/>
    <x v="1"/>
    <x v="14"/>
    <s v="KL"/>
    <x v="3"/>
    <s v="Kochi"/>
    <x v="1"/>
    <s v="P404"/>
    <s v="Flip Flops"/>
    <x v="5"/>
    <n v="1"/>
    <n v="399"/>
    <n v="0.1"/>
    <n v="399"/>
    <n v="39.900000000000006"/>
    <n v="359.1"/>
    <n v="152"/>
    <n v="152"/>
    <n v="60"/>
    <n v="147.10000000000002"/>
    <n v="0.40963519910888335"/>
    <x v="0"/>
    <d v="2025-12-27T00:00:00"/>
    <n v="1"/>
    <x v="1"/>
    <n v="5"/>
    <n v="0"/>
  </r>
  <r>
    <s v="ORD-104798"/>
    <x v="720"/>
    <x v="1"/>
    <d v="2025-12-01T00:00:00"/>
    <n v="12"/>
    <s v="CUST-00850"/>
    <x v="1"/>
    <x v="17"/>
    <s v="TN"/>
    <x v="3"/>
    <s v="Coimbatore"/>
    <x v="0"/>
    <s v="P704"/>
    <s v="Multivitamin Gummies"/>
    <x v="0"/>
    <n v="3"/>
    <n v="699"/>
    <n v="0.2"/>
    <n v="2097"/>
    <n v="419.40000000000003"/>
    <n v="1677.6"/>
    <n v="238"/>
    <n v="714"/>
    <n v="60"/>
    <n v="903.59999999999991"/>
    <n v="0.53862660944206009"/>
    <x v="0"/>
    <d v="2025-12-29T00:00:00"/>
    <n v="3"/>
    <x v="0"/>
    <n v="5"/>
    <n v="0"/>
  </r>
  <r>
    <s v="ORD-104799"/>
    <x v="721"/>
    <x v="1"/>
    <d v="2025-12-01T00:00:00"/>
    <n v="12"/>
    <s v="CUST-03136"/>
    <x v="0"/>
    <x v="15"/>
    <s v="HR"/>
    <x v="0"/>
    <s v="Faridabad"/>
    <x v="2"/>
    <s v="P104"/>
    <s v="Hydrating Face Wash"/>
    <x v="3"/>
    <n v="2"/>
    <n v="299"/>
    <n v="0.05"/>
    <n v="598"/>
    <n v="29.900000000000002"/>
    <n v="568.1"/>
    <n v="90"/>
    <n v="180"/>
    <n v="60"/>
    <n v="328.1"/>
    <n v="0.57753916563985219"/>
    <x v="0"/>
    <d v="2025-12-29T00:00:00"/>
    <n v="2"/>
    <x v="1"/>
    <n v="5"/>
    <n v="0"/>
  </r>
  <r>
    <s v="ORD-104800"/>
    <x v="721"/>
    <x v="1"/>
    <d v="2025-12-01T00:00:00"/>
    <n v="12"/>
    <s v="CUST-00574"/>
    <x v="1"/>
    <x v="22"/>
    <s v="AS"/>
    <x v="2"/>
    <s v="Guwahati"/>
    <x v="3"/>
    <s v="P102"/>
    <s v="Sunscreen SPF 50"/>
    <x v="3"/>
    <n v="1"/>
    <n v="449"/>
    <n v="0.1"/>
    <n v="449"/>
    <n v="44.900000000000006"/>
    <n v="404.1"/>
    <n v="144"/>
    <n v="144"/>
    <n v="60"/>
    <n v="200.10000000000002"/>
    <n v="0.4951744617668894"/>
    <x v="1"/>
    <d v="2026-01-03T00:00:00"/>
    <n v="7"/>
    <x v="2"/>
    <m/>
    <n v="0"/>
  </r>
  <r>
    <s v="ORD-104801"/>
    <x v="721"/>
    <x v="1"/>
    <d v="2025-12-01T00:00:00"/>
    <n v="12"/>
    <s v="CUST-01466"/>
    <x v="1"/>
    <x v="22"/>
    <s v="AS"/>
    <x v="2"/>
    <s v="Guwahati"/>
    <x v="3"/>
    <s v="P204"/>
    <s v="Anti-Dandruff Conditioner"/>
    <x v="6"/>
    <n v="1"/>
    <n v="399"/>
    <n v="0.45"/>
    <n v="399"/>
    <n v="179.55"/>
    <n v="219.45"/>
    <n v="136"/>
    <n v="136"/>
    <n v="60"/>
    <n v="23.449999999999989"/>
    <n v="0.10685805422647524"/>
    <x v="4"/>
    <d v="2026-01-02T00:00:00"/>
    <n v="6"/>
    <x v="2"/>
    <n v="4"/>
    <n v="0"/>
  </r>
  <r>
    <s v="ORD-104802"/>
    <x v="721"/>
    <x v="1"/>
    <d v="2025-12-01T00:00:00"/>
    <n v="12"/>
    <s v="CUST-01903"/>
    <x v="1"/>
    <x v="3"/>
    <s v="OD"/>
    <x v="2"/>
    <s v="Bhubaneswar"/>
    <x v="4"/>
    <s v="P201"/>
    <s v="Onion Hair Oil"/>
    <x v="6"/>
    <n v="3"/>
    <n v="349"/>
    <n v="0.3"/>
    <n v="1047"/>
    <n v="314.09999999999997"/>
    <n v="732.90000000000009"/>
    <n v="105"/>
    <n v="315"/>
    <n v="60"/>
    <n v="357.90000000000009"/>
    <n v="0.48833401555464601"/>
    <x v="0"/>
    <d v="2025-12-31T00:00:00"/>
    <n v="4"/>
    <x v="0"/>
    <n v="4"/>
    <n v="0"/>
  </r>
  <r>
    <s v="ORD-104803"/>
    <x v="721"/>
    <x v="1"/>
    <d v="2025-12-01T00:00:00"/>
    <n v="12"/>
    <s v="CUST-00967"/>
    <x v="1"/>
    <x v="8"/>
    <s v="AP"/>
    <x v="3"/>
    <s v="Visakhapatnam"/>
    <x v="0"/>
    <s v="P201"/>
    <s v="Onion Hair Oil"/>
    <x v="6"/>
    <n v="1"/>
    <n v="349"/>
    <n v="0.3"/>
    <n v="349"/>
    <n v="104.7"/>
    <n v="244.3"/>
    <n v="105"/>
    <n v="105"/>
    <n v="60"/>
    <n v="79.300000000000011"/>
    <n v="0.32460090053213264"/>
    <x v="0"/>
    <d v="2025-12-30T00:00:00"/>
    <n v="3"/>
    <x v="0"/>
    <n v="3"/>
    <n v="0"/>
  </r>
  <r>
    <s v="ORD-104804"/>
    <x v="721"/>
    <x v="1"/>
    <d v="2025-12-01T00:00:00"/>
    <n v="12"/>
    <s v="CUST-02618"/>
    <x v="1"/>
    <x v="17"/>
    <s v="TN"/>
    <x v="3"/>
    <s v="Coimbatore"/>
    <x v="1"/>
    <s v="P402"/>
    <s v="Casual Sneakers"/>
    <x v="5"/>
    <n v="1"/>
    <n v="2199"/>
    <n v="0.2"/>
    <n v="2199"/>
    <n v="439.8"/>
    <n v="1759.2"/>
    <n v="1034"/>
    <n v="1034"/>
    <n v="60"/>
    <n v="665.2"/>
    <n v="0.37812642110050027"/>
    <x v="1"/>
    <d v="2025-12-29T00:00:00"/>
    <n v="2"/>
    <x v="1"/>
    <n v="5"/>
    <n v="0"/>
  </r>
  <r>
    <s v="ORD-104805"/>
    <x v="722"/>
    <x v="1"/>
    <d v="2025-12-01T00:00:00"/>
    <n v="12"/>
    <s v="CUST-01944"/>
    <x v="1"/>
    <x v="0"/>
    <s v="RJ"/>
    <x v="0"/>
    <s v="Jaipur"/>
    <x v="1"/>
    <s v="P404"/>
    <s v="Flip Flops"/>
    <x v="5"/>
    <n v="1"/>
    <n v="399"/>
    <n v="0.1"/>
    <n v="399"/>
    <n v="39.900000000000006"/>
    <n v="359.1"/>
    <n v="152"/>
    <n v="152"/>
    <n v="60"/>
    <n v="147.10000000000002"/>
    <n v="0.40963519910888335"/>
    <x v="4"/>
    <d v="2026-01-01T00:00:00"/>
    <n v="4"/>
    <x v="0"/>
    <n v="3"/>
    <n v="0"/>
  </r>
  <r>
    <s v="ORD-104806"/>
    <x v="722"/>
    <x v="1"/>
    <d v="2025-12-01T00:00:00"/>
    <n v="12"/>
    <s v="CUST-02679"/>
    <x v="1"/>
    <x v="12"/>
    <s v="BR"/>
    <x v="2"/>
    <s v="Patna"/>
    <x v="0"/>
    <s v="P102"/>
    <s v="Sunscreen SPF 50"/>
    <x v="3"/>
    <n v="3"/>
    <n v="449"/>
    <n v="0.15"/>
    <n v="1347"/>
    <n v="202.04999999999998"/>
    <n v="1144.95"/>
    <n v="144"/>
    <n v="432"/>
    <n v="60"/>
    <n v="652.95000000000005"/>
    <n v="0.57028691209223115"/>
    <x v="4"/>
    <d v="2026-01-04T00:00:00"/>
    <n v="7"/>
    <x v="2"/>
    <n v="3"/>
    <n v="0"/>
  </r>
  <r>
    <s v="ORD-104807"/>
    <x v="722"/>
    <x v="1"/>
    <d v="2025-12-01T00:00:00"/>
    <n v="12"/>
    <s v="CUST-02243"/>
    <x v="0"/>
    <x v="22"/>
    <s v="AS"/>
    <x v="2"/>
    <s v="Guwahati"/>
    <x v="0"/>
    <s v="P702"/>
    <s v="Whey Protein 1kg"/>
    <x v="0"/>
    <n v="1"/>
    <n v="2299"/>
    <n v="0.35"/>
    <n v="2299"/>
    <n v="804.65"/>
    <n v="1494.35"/>
    <n v="1333"/>
    <n v="1333"/>
    <n v="60"/>
    <n v="101.34999999999991"/>
    <n v="6.7822130023086902E-2"/>
    <x v="1"/>
    <d v="2026-01-04T00:00:00"/>
    <n v="7"/>
    <x v="2"/>
    <n v="4"/>
    <n v="0"/>
  </r>
  <r>
    <s v="ORD-104808"/>
    <x v="722"/>
    <x v="1"/>
    <d v="2025-12-01T00:00:00"/>
    <n v="12"/>
    <s v="CUST-00141"/>
    <x v="1"/>
    <x v="3"/>
    <s v="OD"/>
    <x v="2"/>
    <s v="Bhubaneswar"/>
    <x v="1"/>
    <s v="P304"/>
    <s v="Denim Jacket"/>
    <x v="1"/>
    <n v="1"/>
    <n v="2499"/>
    <n v="0"/>
    <n v="2499"/>
    <n v="0"/>
    <n v="2499"/>
    <n v="1125"/>
    <n v="1125"/>
    <n v="60"/>
    <n v="1314"/>
    <n v="0.5258103241296519"/>
    <x v="0"/>
    <d v="2026-01-02T00:00:00"/>
    <n v="5"/>
    <x v="2"/>
    <m/>
    <n v="0"/>
  </r>
  <r>
    <s v="ORD-104809"/>
    <x v="723"/>
    <x v="1"/>
    <d v="2025-12-01T00:00:00"/>
    <n v="12"/>
    <s v="CUST-00795"/>
    <x v="1"/>
    <x v="19"/>
    <s v="PB"/>
    <x v="0"/>
    <s v="Amritsar"/>
    <x v="3"/>
    <s v="P104"/>
    <s v="Hydrating Face Wash"/>
    <x v="3"/>
    <n v="1"/>
    <n v="299"/>
    <n v="0"/>
    <n v="299"/>
    <n v="0"/>
    <n v="299"/>
    <n v="90"/>
    <n v="90"/>
    <n v="60"/>
    <n v="149"/>
    <n v="0.49832775919732442"/>
    <x v="0"/>
    <d v="2026-01-02T00:00:00"/>
    <n v="4"/>
    <x v="0"/>
    <n v="4"/>
    <n v="0"/>
  </r>
  <r>
    <s v="ORD-104810"/>
    <x v="723"/>
    <x v="1"/>
    <d v="2025-12-01T00:00:00"/>
    <n v="12"/>
    <s v="CUST-00184"/>
    <x v="1"/>
    <x v="12"/>
    <s v="BR"/>
    <x v="2"/>
    <s v="Patna"/>
    <x v="3"/>
    <s v="P203"/>
    <s v="Keratin Hair Mask"/>
    <x v="6"/>
    <n v="1"/>
    <n v="549"/>
    <n v="0.2"/>
    <n v="549"/>
    <n v="109.80000000000001"/>
    <n v="439.2"/>
    <n v="170"/>
    <n v="170"/>
    <n v="60"/>
    <n v="209.2"/>
    <n v="0.47632058287795992"/>
    <x v="0"/>
    <d v="2026-01-03T00:00:00"/>
    <n v="5"/>
    <x v="2"/>
    <m/>
    <n v="0"/>
  </r>
  <r>
    <s v="ORD-104811"/>
    <x v="723"/>
    <x v="1"/>
    <d v="2025-12-01T00:00:00"/>
    <n v="12"/>
    <s v="CUST-01045"/>
    <x v="0"/>
    <x v="18"/>
    <s v="WB"/>
    <x v="2"/>
    <s v="Kolkata"/>
    <x v="4"/>
    <s v="P103"/>
    <s v="Niacinamide Toner"/>
    <x v="3"/>
    <n v="3"/>
    <n v="399"/>
    <n v="0.3"/>
    <n v="1197"/>
    <n v="359.09999999999997"/>
    <n v="837.90000000000009"/>
    <n v="112"/>
    <n v="336"/>
    <n v="60"/>
    <n v="441.90000000000009"/>
    <n v="0.527389903329753"/>
    <x v="3"/>
    <d v="2026-01-02T00:00:00"/>
    <n v="4"/>
    <x v="0"/>
    <m/>
    <n v="0"/>
  </r>
  <r>
    <s v="ORD-104812"/>
    <x v="723"/>
    <x v="1"/>
    <d v="2025-12-01T00:00:00"/>
    <n v="12"/>
    <s v="CUST-00447"/>
    <x v="1"/>
    <x v="21"/>
    <s v="TG"/>
    <x v="3"/>
    <s v="Hyderabad"/>
    <x v="0"/>
    <s v="P404"/>
    <s v="Flip Flops"/>
    <x v="5"/>
    <n v="1"/>
    <n v="399"/>
    <n v="0.1"/>
    <n v="399"/>
    <n v="39.900000000000006"/>
    <n v="359.1"/>
    <n v="152"/>
    <n v="152"/>
    <n v="60"/>
    <n v="147.10000000000002"/>
    <n v="0.40963519910888335"/>
    <x v="0"/>
    <d v="2026-01-02T00:00:00"/>
    <n v="4"/>
    <x v="0"/>
    <m/>
    <n v="0"/>
  </r>
  <r>
    <s v="ORD-104813"/>
    <x v="723"/>
    <x v="1"/>
    <d v="2025-12-01T00:00:00"/>
    <n v="12"/>
    <s v="CUST-00077"/>
    <x v="1"/>
    <x v="17"/>
    <s v="TN"/>
    <x v="3"/>
    <s v="Coimbatore"/>
    <x v="1"/>
    <s v="P403"/>
    <s v="Kolhapuri Sandals"/>
    <x v="5"/>
    <n v="1"/>
    <n v="999"/>
    <n v="0.15"/>
    <n v="999"/>
    <n v="149.85"/>
    <n v="849.15"/>
    <n v="400"/>
    <n v="400"/>
    <n v="60"/>
    <n v="389.15"/>
    <n v="0.45828181122298767"/>
    <x v="3"/>
    <d v="2026-01-02T00:00:00"/>
    <n v="4"/>
    <x v="0"/>
    <m/>
    <n v="0"/>
  </r>
  <r>
    <s v="ORD-104814"/>
    <x v="724"/>
    <x v="1"/>
    <d v="2025-12-01T00:00:00"/>
    <n v="12"/>
    <s v="CUST-00320"/>
    <x v="1"/>
    <x v="0"/>
    <s v="RJ"/>
    <x v="0"/>
    <s v="Udaipur"/>
    <x v="2"/>
    <s v="P604"/>
    <s v="Power Bank 20000mAh"/>
    <x v="2"/>
    <n v="1"/>
    <n v="1799"/>
    <n v="0.25"/>
    <n v="1799"/>
    <n v="449.75"/>
    <n v="1349.25"/>
    <n v="1079"/>
    <n v="1079"/>
    <n v="60"/>
    <n v="210.25"/>
    <n v="0.15582731146933482"/>
    <x v="3"/>
    <d v="2026-01-06T00:00:00"/>
    <n v="7"/>
    <x v="2"/>
    <n v="3"/>
    <n v="0"/>
  </r>
  <r>
    <s v="ORD-104815"/>
    <x v="724"/>
    <x v="1"/>
    <d v="2025-12-01T00:00:00"/>
    <n v="12"/>
    <s v="CUST-01023"/>
    <x v="1"/>
    <x v="1"/>
    <s v="GJ"/>
    <x v="1"/>
    <s v="Ahmedabad"/>
    <x v="1"/>
    <s v="P302"/>
    <s v="Linen Kurta"/>
    <x v="1"/>
    <n v="2"/>
    <n v="1499"/>
    <n v="0.35"/>
    <n v="2998"/>
    <n v="1049.3"/>
    <n v="1948.7"/>
    <n v="630"/>
    <n v="1260"/>
    <n v="60"/>
    <n v="628.70000000000005"/>
    <n v="0.32262533997023657"/>
    <x v="0"/>
    <d v="2026-01-03T00:00:00"/>
    <n v="4"/>
    <x v="0"/>
    <n v="4"/>
    <n v="0"/>
  </r>
  <r>
    <s v="ORD-104816"/>
    <x v="724"/>
    <x v="1"/>
    <d v="2025-12-01T00:00:00"/>
    <n v="12"/>
    <s v="CUST-02408"/>
    <x v="1"/>
    <x v="18"/>
    <s v="WB"/>
    <x v="2"/>
    <s v="Kolkata"/>
    <x v="3"/>
    <s v="P203"/>
    <s v="Keratin Hair Mask"/>
    <x v="6"/>
    <n v="1"/>
    <n v="549"/>
    <n v="0.1"/>
    <n v="549"/>
    <n v="54.900000000000006"/>
    <n v="494.1"/>
    <n v="170"/>
    <n v="170"/>
    <n v="60"/>
    <n v="264.10000000000002"/>
    <n v="0.53450718478040882"/>
    <x v="1"/>
    <d v="2026-01-02T00:00:00"/>
    <n v="3"/>
    <x v="0"/>
    <n v="4"/>
    <n v="0"/>
  </r>
  <r>
    <s v="ORD-104817"/>
    <x v="724"/>
    <x v="1"/>
    <d v="2025-12-01T00:00:00"/>
    <n v="12"/>
    <s v="CUST-02139"/>
    <x v="1"/>
    <x v="2"/>
    <s v="MH"/>
    <x v="1"/>
    <s v="Nagpur"/>
    <x v="4"/>
    <s v="P701"/>
    <s v="Ashwagandha Capsules"/>
    <x v="0"/>
    <n v="2"/>
    <n v="499"/>
    <n v="0"/>
    <n v="998"/>
    <n v="0"/>
    <n v="998"/>
    <n v="150"/>
    <n v="300"/>
    <n v="120"/>
    <n v="578"/>
    <n v="0.57915831663326656"/>
    <x v="0"/>
    <d v="2026-01-01T00:00:00"/>
    <n v="2"/>
    <x v="1"/>
    <m/>
    <n v="1"/>
  </r>
  <r>
    <s v="ORD-104818"/>
    <x v="724"/>
    <x v="1"/>
    <d v="2025-12-01T00:00:00"/>
    <n v="12"/>
    <s v="CUST-00400"/>
    <x v="1"/>
    <x v="2"/>
    <s v="MH"/>
    <x v="1"/>
    <s v="Nagpur"/>
    <x v="3"/>
    <s v="P201"/>
    <s v="Onion Hair Oil"/>
    <x v="6"/>
    <n v="1"/>
    <n v="349"/>
    <n v="0.25"/>
    <n v="349"/>
    <n v="87.25"/>
    <n v="261.75"/>
    <n v="105"/>
    <n v="105"/>
    <n v="60"/>
    <n v="96.75"/>
    <n v="0.36962750716332377"/>
    <x v="0"/>
    <d v="2026-01-01T00:00:00"/>
    <n v="2"/>
    <x v="1"/>
    <n v="4"/>
    <n v="0"/>
  </r>
  <r>
    <s v="ORD-104819"/>
    <x v="724"/>
    <x v="1"/>
    <d v="2025-12-01T00:00:00"/>
    <n v="12"/>
    <s v="CUST-01360"/>
    <x v="0"/>
    <x v="8"/>
    <s v="AP"/>
    <x v="3"/>
    <s v="Visakhapatnam"/>
    <x v="0"/>
    <s v="P203"/>
    <s v="Keratin Hair Mask"/>
    <x v="6"/>
    <n v="1"/>
    <n v="549"/>
    <n v="0.15"/>
    <n v="549"/>
    <n v="82.35"/>
    <n v="466.65"/>
    <n v="170"/>
    <n v="170"/>
    <n v="60"/>
    <n v="236.64999999999998"/>
    <n v="0.50712525447337398"/>
    <x v="0"/>
    <d v="2026-01-03T00:00:00"/>
    <n v="4"/>
    <x v="0"/>
    <n v="4"/>
    <n v="0"/>
  </r>
  <r>
    <s v="ORD-104820"/>
    <x v="724"/>
    <x v="1"/>
    <d v="2025-12-01T00:00:00"/>
    <n v="12"/>
    <s v="CUST-02746"/>
    <x v="0"/>
    <x v="8"/>
    <s v="AP"/>
    <x v="3"/>
    <s v="Vijayawada"/>
    <x v="4"/>
    <s v="P704"/>
    <s v="Multivitamin Gummies"/>
    <x v="0"/>
    <n v="2"/>
    <n v="699"/>
    <n v="0.3"/>
    <n v="1398"/>
    <n v="419.4"/>
    <n v="978.6"/>
    <n v="238"/>
    <n v="476"/>
    <n v="60"/>
    <n v="442.6"/>
    <n v="0.45227876558348662"/>
    <x v="0"/>
    <d v="2026-01-03T00:00:00"/>
    <n v="4"/>
    <x v="0"/>
    <n v="4"/>
    <n v="0"/>
  </r>
  <r>
    <s v="ORD-104821"/>
    <x v="725"/>
    <x v="1"/>
    <d v="2025-12-01T00:00:00"/>
    <n v="12"/>
    <s v="CUST-00224"/>
    <x v="1"/>
    <x v="4"/>
    <s v="JK"/>
    <x v="0"/>
    <s v="Srinagar"/>
    <x v="4"/>
    <s v="P101"/>
    <s v="Vitamin C Face Serum"/>
    <x v="3"/>
    <n v="3"/>
    <n v="599"/>
    <n v="0.2"/>
    <n v="1797"/>
    <n v="359.40000000000003"/>
    <n v="1437.6"/>
    <n v="180"/>
    <n v="540"/>
    <n v="60"/>
    <n v="837.59999999999991"/>
    <n v="0.58263772954924875"/>
    <x v="2"/>
    <d v="2026-01-04T00:00:00"/>
    <n v="4"/>
    <x v="0"/>
    <n v="3"/>
    <n v="0"/>
  </r>
  <r>
    <s v="ORD-104822"/>
    <x v="725"/>
    <x v="1"/>
    <d v="2025-12-01T00:00:00"/>
    <n v="12"/>
    <s v="CUST-00781"/>
    <x v="1"/>
    <x v="0"/>
    <s v="RJ"/>
    <x v="0"/>
    <s v="Jaipur"/>
    <x v="4"/>
    <s v="P104"/>
    <s v="Hydrating Face Wash"/>
    <x v="3"/>
    <n v="2"/>
    <n v="299"/>
    <n v="0"/>
    <n v="598"/>
    <n v="0"/>
    <n v="598"/>
    <n v="90"/>
    <n v="180"/>
    <n v="60"/>
    <n v="358"/>
    <n v="0.59866220735785958"/>
    <x v="0"/>
    <d v="2026-01-03T00:00:00"/>
    <n v="3"/>
    <x v="0"/>
    <n v="4"/>
    <n v="0"/>
  </r>
  <r>
    <s v="ORD-104823"/>
    <x v="725"/>
    <x v="1"/>
    <d v="2025-12-01T00:00:00"/>
    <n v="12"/>
    <s v="CUST-02020"/>
    <x v="1"/>
    <x v="0"/>
    <s v="RJ"/>
    <x v="0"/>
    <s v="Jaipur"/>
    <x v="0"/>
    <s v="P603"/>
    <s v="Smartwatch Strap"/>
    <x v="2"/>
    <n v="2"/>
    <n v="499"/>
    <n v="0.1"/>
    <n v="998"/>
    <n v="99.800000000000011"/>
    <n v="898.2"/>
    <n v="200"/>
    <n v="400"/>
    <n v="60"/>
    <n v="438.20000000000005"/>
    <n v="0.4878646181251392"/>
    <x v="2"/>
    <d v="2026-01-05T00:00:00"/>
    <n v="5"/>
    <x v="2"/>
    <n v="4"/>
    <n v="0"/>
  </r>
  <r>
    <s v="ORD-104824"/>
    <x v="725"/>
    <x v="1"/>
    <d v="2025-12-01T00:00:00"/>
    <n v="12"/>
    <s v="CUST-01100"/>
    <x v="1"/>
    <x v="12"/>
    <s v="BR"/>
    <x v="2"/>
    <s v="Patna"/>
    <x v="4"/>
    <s v="P404"/>
    <s v="Flip Flops"/>
    <x v="5"/>
    <n v="1"/>
    <n v="399"/>
    <n v="0.15"/>
    <n v="399"/>
    <n v="59.849999999999994"/>
    <n v="339.15"/>
    <n v="152"/>
    <n v="152"/>
    <n v="60"/>
    <n v="127.14999999999998"/>
    <n v="0.37490785787999409"/>
    <x v="3"/>
    <d v="2026-01-05T00:00:00"/>
    <n v="5"/>
    <x v="2"/>
    <n v="2"/>
    <n v="0"/>
  </r>
  <r>
    <s v="ORD-104825"/>
    <x v="725"/>
    <x v="1"/>
    <d v="2025-12-01T00:00:00"/>
    <n v="12"/>
    <s v="CUST-01423"/>
    <x v="1"/>
    <x v="22"/>
    <s v="AS"/>
    <x v="2"/>
    <s v="Guwahati"/>
    <x v="1"/>
    <s v="P404"/>
    <s v="Flip Flops"/>
    <x v="5"/>
    <n v="1"/>
    <n v="399"/>
    <n v="0.1"/>
    <n v="399"/>
    <n v="39.900000000000006"/>
    <n v="359.1"/>
    <n v="152"/>
    <n v="152"/>
    <n v="120"/>
    <n v="87.100000000000023"/>
    <n v="0.24255082149818996"/>
    <x v="4"/>
    <d v="2026-01-08T00:00:00"/>
    <n v="8"/>
    <x v="2"/>
    <n v="3"/>
    <n v="1"/>
  </r>
  <r>
    <s v="ORD-104826"/>
    <x v="725"/>
    <x v="1"/>
    <d v="2025-12-01T00:00:00"/>
    <n v="12"/>
    <s v="CUST-00499"/>
    <x v="1"/>
    <x v="2"/>
    <s v="MH"/>
    <x v="1"/>
    <s v="Nagpur"/>
    <x v="4"/>
    <s v="P201"/>
    <s v="Onion Hair Oil"/>
    <x v="6"/>
    <n v="2"/>
    <n v="349"/>
    <n v="0.3"/>
    <n v="698"/>
    <n v="209.4"/>
    <n v="488.6"/>
    <n v="105"/>
    <n v="210"/>
    <n v="60"/>
    <n v="218.60000000000002"/>
    <n v="0.44740073679901765"/>
    <x v="4"/>
    <d v="2026-01-01T00:00:00"/>
    <n v="1"/>
    <x v="1"/>
    <n v="4"/>
    <n v="0"/>
  </r>
  <r>
    <s v="ORD-104827"/>
    <x v="725"/>
    <x v="1"/>
    <d v="2025-12-01T00:00:00"/>
    <n v="12"/>
    <s v="CUST-02047"/>
    <x v="0"/>
    <x v="2"/>
    <s v="MH"/>
    <x v="1"/>
    <s v="Mumbai"/>
    <x v="3"/>
    <s v="P201"/>
    <s v="Onion Hair Oil"/>
    <x v="6"/>
    <n v="3"/>
    <n v="349"/>
    <n v="0.4"/>
    <n v="1047"/>
    <n v="418.8"/>
    <n v="628.20000000000005"/>
    <n v="105"/>
    <n v="315"/>
    <n v="60"/>
    <n v="253.20000000000005"/>
    <n v="0.40305635148042029"/>
    <x v="0"/>
    <d v="2026-01-02T00:00:00"/>
    <n v="2"/>
    <x v="1"/>
    <m/>
    <n v="0"/>
  </r>
  <r>
    <s v="ORD-104828"/>
    <x v="725"/>
    <x v="1"/>
    <d v="2025-12-01T00:00:00"/>
    <n v="12"/>
    <s v="CUST-01920"/>
    <x v="1"/>
    <x v="21"/>
    <s v="TG"/>
    <x v="3"/>
    <s v="Hyderabad"/>
    <x v="0"/>
    <s v="P403"/>
    <s v="Kolhapuri Sandals"/>
    <x v="5"/>
    <n v="3"/>
    <n v="999"/>
    <n v="0"/>
    <n v="2997"/>
    <n v="0"/>
    <n v="2997"/>
    <n v="400"/>
    <n v="1200"/>
    <n v="60"/>
    <n v="1737"/>
    <n v="0.57957957957957962"/>
    <x v="0"/>
    <d v="2026-01-02T00:00:00"/>
    <n v="2"/>
    <x v="1"/>
    <n v="4"/>
    <n v="0"/>
  </r>
  <r>
    <s v="ORD-104829"/>
    <x v="725"/>
    <x v="1"/>
    <d v="2025-12-01T00:00:00"/>
    <n v="12"/>
    <s v="CUST-00424"/>
    <x v="1"/>
    <x v="21"/>
    <s v="TG"/>
    <x v="3"/>
    <s v="Hyderabad"/>
    <x v="0"/>
    <s v="P201"/>
    <s v="Onion Hair Oil"/>
    <x v="6"/>
    <n v="1"/>
    <n v="349"/>
    <n v="0.3"/>
    <n v="349"/>
    <n v="104.7"/>
    <n v="244.3"/>
    <n v="105"/>
    <n v="105"/>
    <n v="60"/>
    <n v="79.300000000000011"/>
    <n v="0.32460090053213264"/>
    <x v="0"/>
    <d v="2026-01-02T00:00:00"/>
    <n v="2"/>
    <x v="1"/>
    <n v="5"/>
    <n v="0"/>
  </r>
  <r>
    <s v="ORD-104830"/>
    <x v="725"/>
    <x v="1"/>
    <d v="2025-12-01T00:00:00"/>
    <n v="12"/>
    <s v="CUST-01394"/>
    <x v="1"/>
    <x v="20"/>
    <s v="GA"/>
    <x v="1"/>
    <s v="Panaji"/>
    <x v="0"/>
    <s v="P702"/>
    <s v="Whey Protein 1kg"/>
    <x v="0"/>
    <n v="5"/>
    <n v="2299"/>
    <n v="0.3"/>
    <n v="11495"/>
    <n v="3448.5"/>
    <n v="8046.5"/>
    <n v="1333"/>
    <n v="6665"/>
    <n v="60"/>
    <n v="1321.5"/>
    <n v="0.16423289629031257"/>
    <x v="0"/>
    <d v="2026-01-02T00:00:00"/>
    <n v="2"/>
    <x v="1"/>
    <m/>
    <n v="0"/>
  </r>
  <r>
    <s v="ORD-104831"/>
    <x v="725"/>
    <x v="1"/>
    <d v="2025-12-01T00:00:00"/>
    <n v="12"/>
    <s v="CUST-00953"/>
    <x v="1"/>
    <x v="11"/>
    <s v="KA"/>
    <x v="3"/>
    <s v="Bengaluru"/>
    <x v="1"/>
    <s v="P305"/>
    <s v="Printed Saree"/>
    <x v="1"/>
    <n v="1"/>
    <n v="1999"/>
    <n v="0.05"/>
    <n v="1999"/>
    <n v="99.95"/>
    <n v="1899.05"/>
    <n v="880"/>
    <n v="880"/>
    <n v="120"/>
    <n v="899.05"/>
    <n v="0.47342092098680916"/>
    <x v="3"/>
    <d v="2026-01-01T00:00:00"/>
    <n v="1"/>
    <x v="1"/>
    <m/>
    <n v="1"/>
  </r>
  <r>
    <s v="ORD-104832"/>
    <x v="725"/>
    <x v="1"/>
    <d v="2025-12-01T00:00:00"/>
    <n v="12"/>
    <s v="CUST-00018"/>
    <x v="1"/>
    <x v="14"/>
    <s v="KL"/>
    <x v="3"/>
    <s v="Kochi"/>
    <x v="1"/>
    <s v="P401"/>
    <s v="Running Shoes"/>
    <x v="5"/>
    <n v="1"/>
    <n v="2999"/>
    <n v="0.25"/>
    <n v="2999"/>
    <n v="749.75"/>
    <n v="2249.25"/>
    <n v="1440"/>
    <n v="1440"/>
    <n v="60"/>
    <n v="749.25"/>
    <n v="0.33311103701233746"/>
    <x v="2"/>
    <d v="2026-01-03T00:00:00"/>
    <n v="3"/>
    <x v="0"/>
    <n v="4"/>
    <n v="0"/>
  </r>
  <r>
    <s v="ORD-104833"/>
    <x v="725"/>
    <x v="1"/>
    <d v="2025-12-01T00:00:00"/>
    <n v="12"/>
    <s v="CUST-00190"/>
    <x v="1"/>
    <x v="17"/>
    <s v="TN"/>
    <x v="3"/>
    <s v="Chennai"/>
    <x v="2"/>
    <s v="P202"/>
    <s v="Argan Shampoo"/>
    <x v="6"/>
    <n v="1"/>
    <n v="449"/>
    <n v="0"/>
    <n v="449"/>
    <n v="0"/>
    <n v="449"/>
    <n v="148"/>
    <n v="148"/>
    <n v="60"/>
    <n v="241"/>
    <n v="0.53674832962138086"/>
    <x v="0"/>
    <d v="2026-01-04T00:00:00"/>
    <n v="4"/>
    <x v="0"/>
    <n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9F1238-20D4-40A5-BC1A-D4D49D9BE418}" name="PT_Category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colHeaderCaption="Sales Channel">
  <location ref="F10:L19" firstHeaderRow="1" firstDataRow="2" firstDataCol="1"/>
  <pivotFields count="35">
    <pivotField showAll="0"/>
    <pivotField numFmtId="14" showAll="0">
      <items count="7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t="default"/>
      </items>
    </pivotField>
    <pivotField showAll="0"/>
    <pivotField numFmtId="164" showAll="0"/>
    <pivotField showAll="0"/>
    <pivotField showAll="0"/>
    <pivotField showAll="0"/>
    <pivotField showAll="0"/>
    <pivotField showAll="0"/>
    <pivotField showAll="0">
      <items count="5">
        <item x="2"/>
        <item x="0"/>
        <item x="3"/>
        <item x="1"/>
        <item t="default"/>
      </items>
    </pivotField>
    <pivotField showAll="0"/>
    <pivotField axis="axisCol" showAll="0">
      <items count="6">
        <item x="0"/>
        <item x="4"/>
        <item x="1"/>
        <item x="3"/>
        <item x="2"/>
        <item t="default"/>
      </items>
    </pivotField>
    <pivotField showAll="0"/>
    <pivotField showAll="0"/>
    <pivotField axis="axisRow" showAll="0">
      <items count="8">
        <item x="1"/>
        <item x="2"/>
        <item x="5"/>
        <item x="6"/>
        <item x="4"/>
        <item x="3"/>
        <item x="0"/>
        <item t="default"/>
      </items>
    </pivotField>
    <pivotField showAll="0"/>
    <pivotField numFmtId="166" showAll="0"/>
    <pivotField numFmtId="9" showAll="0"/>
    <pivotField numFmtId="166" showAll="0"/>
    <pivotField numFmtId="166" showAll="0"/>
    <pivotField numFmtId="166" showAll="0"/>
    <pivotField numFmtId="165" showAll="0"/>
    <pivotField numFmtId="165" showAll="0"/>
    <pivotField numFmtId="165" showAll="0"/>
    <pivotField dataField="1" numFmtId="166" showAll="0"/>
    <pivotField numFmtId="167" showAll="0"/>
    <pivotField showAll="0"/>
    <pivotField numFmtId="1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8">
    <i>
      <x/>
    </i>
    <i>
      <x v="1"/>
    </i>
    <i>
      <x v="2"/>
    </i>
    <i>
      <x v="3"/>
    </i>
    <i>
      <x v="4"/>
    </i>
    <i>
      <x v="5"/>
    </i>
    <i>
      <x v="6"/>
    </i>
    <i t="grand">
      <x/>
    </i>
  </rowItems>
  <colFields count="1">
    <field x="11"/>
  </colFields>
  <colItems count="6">
    <i>
      <x/>
    </i>
    <i>
      <x v="1"/>
    </i>
    <i>
      <x v="2"/>
    </i>
    <i>
      <x v="3"/>
    </i>
    <i>
      <x v="4"/>
    </i>
    <i t="grand">
      <x/>
    </i>
  </colItems>
  <dataFields count="1">
    <dataField name="Profit each Channel" fld="24" baseField="0" baseItem="0" numFmtId="166"/>
  </dataFields>
  <formats count="12">
    <format dxfId="338">
      <pivotArea type="all" dataOnly="0" outline="0" fieldPosition="0"/>
    </format>
    <format dxfId="337">
      <pivotArea outline="0" collapsedLevelsAreSubtotals="1" fieldPosition="0"/>
    </format>
    <format dxfId="336">
      <pivotArea dataOnly="0" labelOnly="1" grandRow="1" outline="0" fieldPosition="0"/>
    </format>
    <format dxfId="335">
      <pivotArea collapsedLevelsAreSubtotals="1" fieldPosition="0">
        <references count="1">
          <reference field="14" count="0"/>
        </references>
      </pivotArea>
    </format>
    <format dxfId="334">
      <pivotArea type="origin" dataOnly="0" labelOnly="1" outline="0" fieldPosition="0"/>
    </format>
    <format dxfId="333">
      <pivotArea field="14" type="button" dataOnly="0" labelOnly="1" outline="0" axis="axisRow" fieldPosition="0"/>
    </format>
    <format dxfId="332">
      <pivotArea dataOnly="0" labelOnly="1" fieldPosition="0">
        <references count="1">
          <reference field="14" count="0"/>
        </references>
      </pivotArea>
    </format>
    <format dxfId="331">
      <pivotArea field="11" type="button" dataOnly="0" labelOnly="1" outline="0" axis="axisCol" fieldPosition="0"/>
    </format>
    <format dxfId="330">
      <pivotArea type="topRight" dataOnly="0" labelOnly="1" outline="0" fieldPosition="0"/>
    </format>
    <format dxfId="329">
      <pivotArea dataOnly="0" labelOnly="1" fieldPosition="0">
        <references count="1">
          <reference field="11" count="0"/>
        </references>
      </pivotArea>
    </format>
    <format dxfId="328">
      <pivotArea dataOnly="0" labelOnly="1" grandCol="1" outline="0" fieldPosition="0"/>
    </format>
    <format dxfId="32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21FC2-01A1-4FA6-8C25-FBD8B106AFEB}" name="PT_Revune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 Month" colHeaderCaption="Sales Channel">
  <location ref="F35:G38" firstHeaderRow="1" firstDataRow="1" firstDataCol="1"/>
  <pivotFields count="35">
    <pivotField showAll="0"/>
    <pivotField numFmtId="14" showAll="0">
      <items count="7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t="default"/>
      </items>
    </pivotField>
    <pivotField showAll="0"/>
    <pivotField numFmtId="164" showAll="0"/>
    <pivotField showAll="0"/>
    <pivotField showAll="0"/>
    <pivotField showAll="0"/>
    <pivotField showAll="0"/>
    <pivotField showAll="0"/>
    <pivotField showAll="0">
      <items count="5">
        <item x="2"/>
        <item x="0"/>
        <item x="3"/>
        <item x="1"/>
        <item t="default"/>
      </items>
    </pivotField>
    <pivotField showAll="0"/>
    <pivotField showAll="0">
      <items count="6">
        <item x="0"/>
        <item x="4"/>
        <item x="1"/>
        <item x="3"/>
        <item x="2"/>
        <item t="default"/>
      </items>
    </pivotField>
    <pivotField showAll="0"/>
    <pivotField showAll="0"/>
    <pivotField showAll="0">
      <items count="8">
        <item x="1"/>
        <item x="2"/>
        <item x="5"/>
        <item x="6"/>
        <item x="4"/>
        <item x="3"/>
        <item x="0"/>
        <item t="default"/>
      </items>
    </pivotField>
    <pivotField showAll="0"/>
    <pivotField numFmtId="166" showAll="0"/>
    <pivotField numFmtId="9" showAll="0"/>
    <pivotField numFmtId="166" showAll="0"/>
    <pivotField numFmtId="166" showAll="0"/>
    <pivotField dataField="1" numFmtId="166" showAll="0"/>
    <pivotField numFmtId="165" showAll="0"/>
    <pivotField numFmtId="165" showAll="0"/>
    <pivotField numFmtId="165" showAll="0"/>
    <pivotField numFmtId="166" showAll="0"/>
    <pivotField numFmtId="167" showAll="0"/>
    <pivotField showAll="0"/>
    <pivotField numFmtId="15"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34"/>
    <field x="32"/>
  </rowFields>
  <rowItems count="3">
    <i>
      <x v="1"/>
    </i>
    <i>
      <x v="2"/>
    </i>
    <i t="grand">
      <x/>
    </i>
  </rowItems>
  <colItems count="1">
    <i/>
  </colItems>
  <dataFields count="1">
    <dataField name="Sum of Net Revenue" fld="20" baseField="0" baseItem="0" numFmtId="166"/>
  </dataFields>
  <formats count="6">
    <format dxfId="344">
      <pivotArea type="all" dataOnly="0" outline="0" fieldPosition="0"/>
    </format>
    <format dxfId="343">
      <pivotArea outline="0" collapsedLevelsAreSubtotals="1" fieldPosition="0"/>
    </format>
    <format dxfId="342">
      <pivotArea field="34" type="button" dataOnly="0" labelOnly="1" outline="0" axis="axisRow" fieldPosition="0"/>
    </format>
    <format dxfId="341">
      <pivotArea dataOnly="0" labelOnly="1" fieldPosition="0">
        <references count="1">
          <reference field="34" count="2">
            <x v="1"/>
            <x v="2"/>
          </reference>
        </references>
      </pivotArea>
    </format>
    <format dxfId="340">
      <pivotArea dataOnly="0" labelOnly="1" grandRow="1" outline="0" fieldPosition="0"/>
    </format>
    <format dxfId="3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378158-ABFA-49C4-992F-3A16F7AD3443}" name="PT_Region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e by Region" colHeaderCaption="Year">
  <location ref="A10:D39" firstHeaderRow="1" firstDataRow="2" firstDataCol="1"/>
  <pivotFields count="35">
    <pivotField showAll="0"/>
    <pivotField numFmtId="14" showAll="0">
      <items count="7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t="default"/>
      </items>
    </pivotField>
    <pivotField axis="axisCol" showAll="0">
      <items count="3">
        <item x="0"/>
        <item x="1"/>
        <item t="default"/>
      </items>
    </pivotField>
    <pivotField numFmtId="164" showAll="0"/>
    <pivotField showAll="0"/>
    <pivotField showAll="0"/>
    <pivotField showAll="0"/>
    <pivotField axis="axisRow" showAll="0">
      <items count="24">
        <item x="8"/>
        <item x="22"/>
        <item x="12"/>
        <item x="10"/>
        <item x="6"/>
        <item x="20"/>
        <item x="1"/>
        <item x="15"/>
        <item x="5"/>
        <item x="4"/>
        <item x="7"/>
        <item x="11"/>
        <item x="14"/>
        <item x="13"/>
        <item x="2"/>
        <item x="3"/>
        <item x="19"/>
        <item x="0"/>
        <item x="17"/>
        <item x="21"/>
        <item x="16"/>
        <item x="9"/>
        <item x="18"/>
        <item t="default"/>
      </items>
    </pivotField>
    <pivotField showAll="0"/>
    <pivotField axis="axisRow" showAll="0">
      <items count="5">
        <item x="2"/>
        <item x="0"/>
        <item x="3"/>
        <item x="1"/>
        <item t="default"/>
      </items>
    </pivotField>
    <pivotField showAll="0"/>
    <pivotField showAll="0">
      <items count="6">
        <item x="0"/>
        <item x="4"/>
        <item x="1"/>
        <item x="3"/>
        <item x="2"/>
        <item t="default"/>
      </items>
    </pivotField>
    <pivotField showAll="0"/>
    <pivotField showAll="0"/>
    <pivotField showAll="0">
      <items count="8">
        <item x="1"/>
        <item x="2"/>
        <item x="5"/>
        <item x="6"/>
        <item x="4"/>
        <item x="3"/>
        <item x="0"/>
        <item t="default"/>
      </items>
    </pivotField>
    <pivotField showAll="0"/>
    <pivotField numFmtId="166" showAll="0"/>
    <pivotField numFmtId="9" showAll="0"/>
    <pivotField numFmtId="166" showAll="0"/>
    <pivotField numFmtId="166" showAll="0"/>
    <pivotField dataField="1" numFmtId="166" showAll="0"/>
    <pivotField numFmtId="165" showAll="0"/>
    <pivotField numFmtId="165" showAll="0"/>
    <pivotField numFmtId="165" showAll="0"/>
    <pivotField numFmtId="166" showAll="0"/>
    <pivotField numFmtId="167" showAll="0"/>
    <pivotField showAll="0"/>
    <pivotField numFmtId="1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9"/>
    <field x="7"/>
  </rowFields>
  <rowItems count="28">
    <i>
      <x/>
    </i>
    <i r="1">
      <x v="1"/>
    </i>
    <i r="1">
      <x v="2"/>
    </i>
    <i r="1">
      <x v="3"/>
    </i>
    <i r="1">
      <x v="10"/>
    </i>
    <i r="1">
      <x v="15"/>
    </i>
    <i r="1">
      <x v="22"/>
    </i>
    <i>
      <x v="1"/>
    </i>
    <i r="1">
      <x v="4"/>
    </i>
    <i r="1">
      <x v="7"/>
    </i>
    <i r="1">
      <x v="8"/>
    </i>
    <i r="1">
      <x v="9"/>
    </i>
    <i r="1">
      <x v="16"/>
    </i>
    <i r="1">
      <x v="17"/>
    </i>
    <i r="1">
      <x v="20"/>
    </i>
    <i r="1">
      <x v="21"/>
    </i>
    <i>
      <x v="2"/>
    </i>
    <i r="1">
      <x/>
    </i>
    <i r="1">
      <x v="11"/>
    </i>
    <i r="1">
      <x v="12"/>
    </i>
    <i r="1">
      <x v="18"/>
    </i>
    <i r="1">
      <x v="19"/>
    </i>
    <i>
      <x v="3"/>
    </i>
    <i r="1">
      <x v="5"/>
    </i>
    <i r="1">
      <x v="6"/>
    </i>
    <i r="1">
      <x v="13"/>
    </i>
    <i r="1">
      <x v="14"/>
    </i>
    <i t="grand">
      <x/>
    </i>
  </rowItems>
  <colFields count="1">
    <field x="2"/>
  </colFields>
  <colItems count="3">
    <i>
      <x/>
    </i>
    <i>
      <x v="1"/>
    </i>
    <i t="grand">
      <x/>
    </i>
  </colItems>
  <dataFields count="1">
    <dataField name="Revenue by Region &amp; Year" fld="20" baseField="0" baseItem="0" numFmtId="166"/>
  </dataFields>
  <formats count="14">
    <format dxfId="358">
      <pivotArea type="all" dataOnly="0" outline="0" fieldPosition="0"/>
    </format>
    <format dxfId="357">
      <pivotArea type="origin" dataOnly="0" labelOnly="1" outline="0" fieldPosition="0"/>
    </format>
    <format dxfId="356">
      <pivotArea field="9" type="button" dataOnly="0" labelOnly="1" outline="0" axis="axisRow" fieldPosition="0"/>
    </format>
    <format dxfId="355">
      <pivotArea dataOnly="0" labelOnly="1" fieldPosition="0">
        <references count="1">
          <reference field="9" count="0"/>
        </references>
      </pivotArea>
    </format>
    <format dxfId="354">
      <pivotArea dataOnly="0" labelOnly="1" grandRow="1" outline="0" fieldPosition="0"/>
    </format>
    <format dxfId="353">
      <pivotArea dataOnly="0" labelOnly="1" fieldPosition="0">
        <references count="2">
          <reference field="7" count="6">
            <x v="1"/>
            <x v="2"/>
            <x v="3"/>
            <x v="10"/>
            <x v="15"/>
            <x v="22"/>
          </reference>
          <reference field="9" count="1" selected="0">
            <x v="0"/>
          </reference>
        </references>
      </pivotArea>
    </format>
    <format dxfId="352">
      <pivotArea dataOnly="0" labelOnly="1" fieldPosition="0">
        <references count="2">
          <reference field="7" count="8">
            <x v="4"/>
            <x v="7"/>
            <x v="8"/>
            <x v="9"/>
            <x v="16"/>
            <x v="17"/>
            <x v="20"/>
            <x v="21"/>
          </reference>
          <reference field="9" count="1" selected="0">
            <x v="1"/>
          </reference>
        </references>
      </pivotArea>
    </format>
    <format dxfId="351">
      <pivotArea dataOnly="0" labelOnly="1" fieldPosition="0">
        <references count="2">
          <reference field="7" count="5">
            <x v="0"/>
            <x v="11"/>
            <x v="12"/>
            <x v="18"/>
            <x v="19"/>
          </reference>
          <reference field="9" count="1" selected="0">
            <x v="2"/>
          </reference>
        </references>
      </pivotArea>
    </format>
    <format dxfId="350">
      <pivotArea dataOnly="0" labelOnly="1" fieldPosition="0">
        <references count="2">
          <reference field="7" count="4">
            <x v="5"/>
            <x v="6"/>
            <x v="13"/>
            <x v="14"/>
          </reference>
          <reference field="9" count="1" selected="0">
            <x v="3"/>
          </reference>
        </references>
      </pivotArea>
    </format>
    <format dxfId="349">
      <pivotArea outline="0" collapsedLevelsAreSubtotals="1" fieldPosition="0"/>
    </format>
    <format dxfId="348">
      <pivotArea dataOnly="0" labelOnly="1" fieldPosition="0">
        <references count="1">
          <reference field="2" count="0"/>
        </references>
      </pivotArea>
    </format>
    <format dxfId="347">
      <pivotArea dataOnly="0" labelOnly="1" grandCol="1" outline="0" fieldPosition="0"/>
    </format>
    <format dxfId="346">
      <pivotArea field="2" type="button" dataOnly="0" labelOnly="1" outline="0" axis="axisCol" fieldPosition="0"/>
    </format>
    <format dxfId="345">
      <pivotArea field="2" type="button" dataOnly="0" labelOnly="1" outline="0" axis="axisCol" fieldPosition="0"/>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04E595-BBC1-42E4-A4AD-03573425590B}" name="PT_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F30:H33" firstHeaderRow="0" firstDataRow="1" firstDataCol="1"/>
  <pivotFields count="35">
    <pivotField dataField="1" showAll="0"/>
    <pivotField numFmtId="14" showAll="0">
      <items count="7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t="default"/>
      </items>
    </pivotField>
    <pivotField showAll="0"/>
    <pivotField numFmtId="164" showAll="0"/>
    <pivotField showAll="0"/>
    <pivotField showAll="0"/>
    <pivotField axis="axisRow" showAll="0">
      <items count="3">
        <item x="0"/>
        <item x="1"/>
        <item t="default"/>
      </items>
    </pivotField>
    <pivotField showAll="0"/>
    <pivotField showAll="0"/>
    <pivotField showAll="0">
      <items count="5">
        <item x="2"/>
        <item x="0"/>
        <item x="3"/>
        <item x="1"/>
        <item t="default"/>
      </items>
    </pivotField>
    <pivotField showAll="0"/>
    <pivotField showAll="0">
      <items count="6">
        <item x="0"/>
        <item x="4"/>
        <item x="1"/>
        <item x="3"/>
        <item x="2"/>
        <item t="default"/>
      </items>
    </pivotField>
    <pivotField showAll="0"/>
    <pivotField showAll="0"/>
    <pivotField showAll="0">
      <items count="8">
        <item x="1"/>
        <item x="2"/>
        <item x="5"/>
        <item x="6"/>
        <item x="4"/>
        <item x="3"/>
        <item x="0"/>
        <item t="default"/>
      </items>
    </pivotField>
    <pivotField showAll="0"/>
    <pivotField numFmtId="166" showAll="0"/>
    <pivotField numFmtId="9" showAll="0"/>
    <pivotField numFmtId="166" showAll="0"/>
    <pivotField numFmtId="166" showAll="0"/>
    <pivotField dataField="1" numFmtId="166" showAll="0"/>
    <pivotField numFmtId="165" showAll="0"/>
    <pivotField numFmtId="165" showAll="0"/>
    <pivotField numFmtId="165" showAll="0"/>
    <pivotField numFmtId="166" showAll="0"/>
    <pivotField numFmtId="167" showAll="0"/>
    <pivotField showAll="0"/>
    <pivotField numFmtId="1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Fields count="1">
    <field x="-2"/>
  </colFields>
  <colItems count="2">
    <i>
      <x/>
    </i>
    <i i="1">
      <x v="1"/>
    </i>
  </colItems>
  <dataFields count="2">
    <dataField name="Sum of Net Revenue" fld="20" baseField="0" baseItem="0" numFmtId="166"/>
    <dataField name="Count of Order ID" fld="0" subtotal="count" baseField="6" baseItem="0"/>
  </dataFields>
  <formats count="6">
    <format dxfId="364">
      <pivotArea type="all" dataOnly="0" outline="0" fieldPosition="0"/>
    </format>
    <format dxfId="363">
      <pivotArea outline="0" collapsedLevelsAreSubtotals="1" fieldPosition="0"/>
    </format>
    <format dxfId="362">
      <pivotArea field="6" type="button" dataOnly="0" labelOnly="1" outline="0" axis="axisRow" fieldPosition="0"/>
    </format>
    <format dxfId="361">
      <pivotArea dataOnly="0" labelOnly="1" fieldPosition="0">
        <references count="1">
          <reference field="6" count="0"/>
        </references>
      </pivotArea>
    </format>
    <format dxfId="360">
      <pivotArea dataOnly="0" labelOnly="1" grandRow="1" outline="0" fieldPosition="0"/>
    </format>
    <format dxfId="3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0A2EE1-EDB5-46F0-AAB1-296D348EFF8B}" name="PT_Return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ode" colHeaderCaption="Delivery Speed">
  <location ref="F21:J28" firstHeaderRow="1" firstDataRow="2" firstDataCol="1"/>
  <pivotFields count="35">
    <pivotField showAll="0"/>
    <pivotField numFmtId="14" showAll="0">
      <items count="7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t="default"/>
      </items>
    </pivotField>
    <pivotField showAll="0"/>
    <pivotField numFmtId="164" showAll="0"/>
    <pivotField showAll="0"/>
    <pivotField showAll="0"/>
    <pivotField showAll="0"/>
    <pivotField showAll="0"/>
    <pivotField showAll="0"/>
    <pivotField showAll="0">
      <items count="5">
        <item x="2"/>
        <item x="0"/>
        <item x="3"/>
        <item x="1"/>
        <item t="default"/>
      </items>
    </pivotField>
    <pivotField showAll="0"/>
    <pivotField showAll="0">
      <items count="6">
        <item x="0"/>
        <item x="4"/>
        <item x="1"/>
        <item x="3"/>
        <item x="2"/>
        <item t="default"/>
      </items>
    </pivotField>
    <pivotField showAll="0"/>
    <pivotField showAll="0"/>
    <pivotField showAll="0">
      <items count="8">
        <item x="1"/>
        <item x="2"/>
        <item x="5"/>
        <item x="6"/>
        <item x="4"/>
        <item x="3"/>
        <item x="0"/>
        <item t="default"/>
      </items>
    </pivotField>
    <pivotField showAll="0"/>
    <pivotField numFmtId="166" showAll="0"/>
    <pivotField numFmtId="9" showAll="0"/>
    <pivotField numFmtId="166" showAll="0"/>
    <pivotField numFmtId="166" showAll="0"/>
    <pivotField numFmtId="166" showAll="0"/>
    <pivotField numFmtId="165" showAll="0"/>
    <pivotField numFmtId="165" showAll="0"/>
    <pivotField numFmtId="165" showAll="0"/>
    <pivotField numFmtId="166" showAll="0"/>
    <pivotField numFmtId="167" showAll="0"/>
    <pivotField axis="axisRow" showAll="0">
      <items count="6">
        <item x="3"/>
        <item x="1"/>
        <item x="4"/>
        <item x="0"/>
        <item x="2"/>
        <item t="default"/>
      </items>
    </pivotField>
    <pivotField numFmtId="15" showAll="0"/>
    <pivotField showAll="0"/>
    <pivotField axis="axisCol" showAll="0">
      <items count="4">
        <item x="2"/>
        <item x="1"/>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6">
    <i>
      <x/>
    </i>
    <i>
      <x v="1"/>
    </i>
    <i>
      <x v="2"/>
    </i>
    <i>
      <x v="3"/>
    </i>
    <i>
      <x v="4"/>
    </i>
    <i t="grand">
      <x/>
    </i>
  </rowItems>
  <colFields count="1">
    <field x="29"/>
  </colFields>
  <colItems count="4">
    <i>
      <x/>
    </i>
    <i>
      <x v="1"/>
    </i>
    <i>
      <x v="2"/>
    </i>
    <i t="grand">
      <x/>
    </i>
  </colItems>
  <dataFields count="1">
    <dataField name="Returned Rate " fld="31" baseField="0" baseItem="0"/>
  </dataFields>
  <formats count="7">
    <format dxfId="371">
      <pivotArea type="all" dataOnly="0" outline="0" fieldPosition="0"/>
    </format>
    <format dxfId="370">
      <pivotArea outline="0" collapsedLevelsAreSubtotals="1" fieldPosition="0"/>
    </format>
    <format dxfId="369">
      <pivotArea type="origin" dataOnly="0" labelOnly="1" outline="0" fieldPosition="0"/>
    </format>
    <format dxfId="368">
      <pivotArea field="29" type="button" dataOnly="0" labelOnly="1" outline="0" axis="axisCol" fieldPosition="0"/>
    </format>
    <format dxfId="367">
      <pivotArea type="topRight" dataOnly="0" labelOnly="1" outline="0" fieldPosition="0"/>
    </format>
    <format dxfId="366">
      <pivotArea field="26" type="button" dataOnly="0" labelOnly="1" outline="0" axis="axisRow" fieldPosition="0"/>
    </format>
    <format dxfId="365">
      <pivotArea dataOnly="0" labelOnly="1" fieldPosition="0">
        <references count="1">
          <reference field="2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1F4247-C71D-4470-B25C-BEDB5044043A}" autoFormatId="16" applyNumberFormats="0" applyBorderFormats="0" applyFontFormats="0" applyPatternFormats="0" applyAlignmentFormats="0" applyWidthHeightFormats="0">
  <queryTableRefresh nextId="66">
    <queryTableFields count="32">
      <queryTableField id="1" name="Order ID" tableColumnId="1"/>
      <queryTableField id="2" name="Order Date" tableColumnId="2"/>
      <queryTableField id="22" dataBound="0" tableColumnId="24"/>
      <queryTableField id="21" dataBound="0" tableColumnId="25"/>
      <queryTableField id="20" dataBound="0" tableColumnId="26"/>
      <queryTableField id="3" name="Customer ID" tableColumnId="3"/>
      <queryTableField id="37" dataBound="0" tableColumnId="41"/>
      <queryTableField id="4" name="State" tableColumnId="4"/>
      <queryTableField id="24" dataBound="0" tableColumnId="27"/>
      <queryTableField id="23" dataBound="0" tableColumnId="28"/>
      <queryTableField id="5" name="City" tableColumnId="5"/>
      <queryTableField id="6" name="Sales Channel" tableColumnId="6"/>
      <queryTableField id="7" name="Product ID" tableColumnId="7"/>
      <queryTableField id="26" dataBound="0" tableColumnId="29"/>
      <queryTableField id="25" dataBound="0" tableColumnId="30"/>
      <queryTableField id="8" name="Quantity" tableColumnId="8"/>
      <queryTableField id="9" name="Unit Price" tableColumnId="9"/>
      <queryTableField id="52" dataBound="0" tableColumnId="44"/>
      <queryTableField id="29" dataBound="0" tableColumnId="32"/>
      <queryTableField id="28" dataBound="0" tableColumnId="33"/>
      <queryTableField id="30" dataBound="0" tableColumnId="34"/>
      <queryTableField id="27" dataBound="0" tableColumnId="31"/>
      <queryTableField id="33" dataBound="0" tableColumnId="35"/>
      <queryTableField id="32" dataBound="0" tableColumnId="36"/>
      <queryTableField id="31" dataBound="0" tableColumnId="37"/>
      <queryTableField id="34" dataBound="0" tableColumnId="38"/>
      <queryTableField id="65" dataBound="0" tableColumnId="17"/>
      <queryTableField id="53" dataBound="0" tableColumnId="45"/>
      <queryTableField id="36" dataBound="0" tableColumnId="39"/>
      <queryTableField id="35" dataBound="0" tableColumnId="40"/>
      <queryTableField id="14" name="Customer Rating" tableColumnId="14"/>
      <queryTableField id="16" name="Returned_Flag" tableColumnId="16"/>
    </queryTableFields>
    <queryTableDeletedFields count="11">
      <deletedField name="Discount"/>
      <deletedField name="Returned?"/>
      <deletedField name="Returned?"/>
      <deletedField name="Discount"/>
      <deletedField name="Discount_Clean"/>
      <deletedField name="Delivery Date"/>
      <deletedField name="Discount"/>
      <deletedField name="Discount_Clean"/>
      <deletedField name="Payment Method"/>
      <deletedField name="Delivery Date"/>
      <deletedField name="Returned?"/>
    </queryTableDeletedFields>
  </queryTableRefresh>
  <extLst>
    <ext xmlns:x15="http://schemas.microsoft.com/office/spreadsheetml/2010/11/main" uri="{883FBD77-0823-4a55-B5E3-86C4891E6966}">
      <x15:queryTable sourceDataName="Query - Orders_Expor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34C79CA-E503-477A-A35B-236F50ED26A0}" autoFormatId="16" applyNumberFormats="0" applyBorderFormats="0" applyFontFormats="0" applyPatternFormats="0" applyAlignmentFormats="0" applyWidthHeightFormats="0">
  <queryTableRefresh nextId="6">
    <queryTableFields count="5">
      <queryTableField id="1" name="Product ID" tableColumnId="1"/>
      <queryTableField id="2" name="Product Name" tableColumnId="2"/>
      <queryTableField id="3" name="Category" tableColumnId="3"/>
      <queryTableField id="4" name="MRP (₹)" tableColumnId="4"/>
      <queryTableField id="5" name="Unit Cost (₹)" tableColumnId="5"/>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A16953F-8B12-4B5F-BBFA-087FE5F1DBF9}" autoFormatId="16" applyNumberFormats="0" applyBorderFormats="0" applyFontFormats="0" applyPatternFormats="0" applyAlignmentFormats="0" applyWidthHeightFormats="0">
  <queryTableRefresh nextId="7">
    <queryTableFields count="3">
      <queryTableField id="4" name="State" tableColumnId="1"/>
      <queryTableField id="5" name="State Code" tableColumnId="2"/>
      <queryTableField id="6" name="Region" tableColumnId="3"/>
    </queryTableFields>
  </queryTableRefresh>
  <extLst>
    <ext xmlns:x15="http://schemas.microsoft.com/office/spreadsheetml/2010/11/main" uri="{883FBD77-0823-4a55-B5E3-86C4891E6966}">
      <x15:queryTable sourceDataName="Query - State_Reg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BD62BB-1A2F-4515-B7DB-8023CBF2686A}" sourceName="Category">
  <pivotTables>
    <pivotTable tabId="8" name="PT_RegionYear"/>
    <pivotTable tabId="8" name="PT_CategoryChannel"/>
    <pivotTable tabId="8" name="PT_ReturnRate"/>
    <pivotTable tabId="8" name="PT_Customer"/>
    <pivotTable tabId="8" name="PT_Revune_Month"/>
  </pivotTables>
  <data>
    <tabular pivotCacheId="525450177">
      <items count="7">
        <i x="1" s="1"/>
        <i x="2" s="1"/>
        <i x="5" s="1"/>
        <i x="6"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08D849-C9C3-480A-AC26-9AEEDF862B9D}" sourceName="Region">
  <pivotTables>
    <pivotTable tabId="8" name="PT_RegionYear"/>
    <pivotTable tabId="8" name="PT_CategoryChannel"/>
    <pivotTable tabId="8" name="PT_ReturnRate"/>
    <pivotTable tabId="8" name="PT_Customer"/>
    <pivotTable tabId="8" name="PT_Revune_Month"/>
  </pivotTables>
  <data>
    <tabular pivotCacheId="525450177">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947A1F1-5760-4FB3-9CB2-01ED93A5EBED}" sourceName="Sales Channel">
  <pivotTables>
    <pivotTable tabId="8" name="PT_RegionYear"/>
    <pivotTable tabId="8" name="PT_CategoryChannel"/>
    <pivotTable tabId="8" name="PT_ReturnRate"/>
    <pivotTable tabId="8" name="PT_Customer"/>
    <pivotTable tabId="8" name="PT_Revune_Month"/>
  </pivotTables>
  <data>
    <tabular pivotCacheId="525450177">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1ADCDD1-4F84-410F-A176-700B3BB24F7D}" cache="Slicer_Category" caption="Category" rowHeight="234950"/>
  <slicer name="Region" xr10:uid="{EFD4D969-BAB2-4647-A639-29A571658797}" cache="Slicer_Region" caption="Region" rowHeight="234950"/>
  <slicer name="Sales Channel" xr10:uid="{417015C2-4E8D-4088-8C88-89C93D5FE63A}" cache="Slicer_Sales_Channel" caption="Sales Channel"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98E815-1892-4851-AB71-907CAD7A411F}" name="Table6" displayName="Table6" ref="A3:AF141" totalsRowShown="0">
  <autoFilter ref="A3:AF141" xr:uid="{DE98E815-1892-4851-AB71-907CAD7A411F}"/>
  <tableColumns count="32">
    <tableColumn id="1" xr3:uid="{BFDC089F-0BA5-4A0D-B0A1-DF7B79F7A362}" name="Order ID"/>
    <tableColumn id="2" xr3:uid="{AD206774-43E0-495B-AC4C-9A5995948B67}" name="Order Date" dataDxfId="381"/>
    <tableColumn id="3" xr3:uid="{2740C698-2D04-4DF2-BC76-FD20FD1B9B28}" name="Year"/>
    <tableColumn id="4" xr3:uid="{08394E72-61B2-400B-A2FF-85BB48B59E2B}" name="Month" dataDxfId="380"/>
    <tableColumn id="5" xr3:uid="{BD0D9942-C528-455E-873D-769D80D6C191}" name="Month No"/>
    <tableColumn id="6" xr3:uid="{A261FDC2-8FDB-4185-B7C6-F09674D8ED4A}" name="Customer ID"/>
    <tableColumn id="7" xr3:uid="{14A9A3CA-354C-48C2-AEE2-E6AB1740C399}" name="Customer Type"/>
    <tableColumn id="8" xr3:uid="{9F8EE95C-9125-42AD-8ED4-001C12A7033F}" name="State"/>
    <tableColumn id="9" xr3:uid="{3F3D56D5-CF8A-4C69-9B64-190F714F5F06}" name="State Code"/>
    <tableColumn id="10" xr3:uid="{B3A2B47A-4C11-43EF-988E-02078E154DA6}" name="Region"/>
    <tableColumn id="11" xr3:uid="{E26B29E4-AA5D-4D90-AD1E-E4BDE9297EA6}" name="City"/>
    <tableColumn id="12" xr3:uid="{2104F97B-7D12-42B2-860E-80802B7AD5DD}" name="Sales Channel"/>
    <tableColumn id="13" xr3:uid="{79D7BE34-4095-403E-BC45-922E89B270D3}" name="Product ID"/>
    <tableColumn id="14" xr3:uid="{18FDA049-1A52-4776-BF61-D74D99A7059A}" name="Product Name"/>
    <tableColumn id="15" xr3:uid="{3CFD17CD-2ED1-4D81-9AAB-40798E8BE4CD}" name="Category"/>
    <tableColumn id="16" xr3:uid="{D8A4DFD4-1FA6-46E4-948C-7238EB7A963E}" name="Quantity"/>
    <tableColumn id="17" xr3:uid="{B90FDD99-9606-463A-8B4B-3B8A6C1B0786}" name="Unit Price"/>
    <tableColumn id="18" xr3:uid="{1B66EA82-7701-4447-A0FB-DD0746008C8B}" name="Discount %"/>
    <tableColumn id="19" xr3:uid="{245E1697-EDBD-481D-96BD-0AE33845AC1A}" name="Gross Sale"/>
    <tableColumn id="20" xr3:uid="{CD527417-DF9C-408C-A192-781773520856}" name="Discount Amount"/>
    <tableColumn id="21" xr3:uid="{A9C1C3C1-2117-406D-B745-B525BFDEC8BA}" name="Net Revenue"/>
    <tableColumn id="22" xr3:uid="{6685AD73-AD00-459D-BA82-0FB7E2178794}" name="Unit Cost"/>
    <tableColumn id="23" xr3:uid="{96FF1FAF-E09F-4831-86D7-FE70B46C7625}" name="COGS"/>
    <tableColumn id="24" xr3:uid="{96E0FBF6-598A-4564-9B8D-49A8C6939003}" name="Shipping Cost"/>
    <tableColumn id="25" xr3:uid="{7A734879-7325-4892-9EEE-0D002351BDFF}" name="Profit Margin"/>
    <tableColumn id="26" xr3:uid="{2184CB53-A962-421A-85C7-9BA62EB88FBF}" name="Margin %"/>
    <tableColumn id="27" xr3:uid="{71AF2E85-78B5-4045-B4F0-27D57DA2D3C9}" name="Payment Method"/>
    <tableColumn id="28" xr3:uid="{5233A414-28C1-4413-81AD-A0E6513ADD1D}" name="Delivery Date" dataDxfId="379"/>
    <tableColumn id="29" xr3:uid="{2BBF34B6-7FFB-47C4-AB05-AB47059D309F}" name="Delivery Days"/>
    <tableColumn id="30" xr3:uid="{83D47E6D-E46A-4F97-AB1F-8482F6450C0E}" name="Delivery Speed"/>
    <tableColumn id="31" xr3:uid="{E5045A2E-AFBB-471B-9D15-D608AA414E3F}" name="Customer Rating"/>
    <tableColumn id="32" xr3:uid="{2D10575C-3239-4EDD-8522-DB62998CBF4D}" name="Return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41929E-B4DB-495C-8FC3-B1EC2FB996D0}" name="Table5" displayName="Table5" ref="A3:AF46" totalsRowShown="0">
  <autoFilter ref="A3:AF46" xr:uid="{3041929E-B4DB-495C-8FC3-B1EC2FB996D0}"/>
  <tableColumns count="32">
    <tableColumn id="1" xr3:uid="{03E6BD31-DB51-425B-B069-B707478A6DFE}" name="Order ID"/>
    <tableColumn id="2" xr3:uid="{DFDE749F-EDDC-45DA-9BC7-A14825C6CF04}" name="Order Date" dataDxfId="378"/>
    <tableColumn id="3" xr3:uid="{2F389D03-6C9F-4CAA-99DB-CFAB06A3CD67}" name="Year"/>
    <tableColumn id="4" xr3:uid="{88FA7B85-3591-4320-9869-F8EF4D18FE9F}" name="Month" dataDxfId="377"/>
    <tableColumn id="5" xr3:uid="{3FE2EBB7-FF62-47DA-BA36-EE81AA22D8DE}" name="Month No"/>
    <tableColumn id="6" xr3:uid="{F81B1C1E-F937-4F5B-ADDE-F77F1DFF2666}" name="Customer ID"/>
    <tableColumn id="7" xr3:uid="{7509B076-F304-4FE8-8328-DEC2D89D3464}" name="Customer Type"/>
    <tableColumn id="8" xr3:uid="{4BDCEFA9-C5E8-4211-BBD6-AE9588990783}" name="State"/>
    <tableColumn id="9" xr3:uid="{3E84B503-8E18-4AB5-9DCA-5E21F379486E}" name="State Code"/>
    <tableColumn id="10" xr3:uid="{EC59340D-487E-4741-BBD6-1AD8F43CC90B}" name="Region"/>
    <tableColumn id="11" xr3:uid="{9BF4C810-35E2-4EBE-B02F-D0526795D244}" name="City"/>
    <tableColumn id="12" xr3:uid="{34C746D2-7BB8-4F40-B4D4-6117E806485F}" name="Sales Channel"/>
    <tableColumn id="13" xr3:uid="{354CE682-0C9D-438F-A0A4-7A41614006B4}" name="Product ID"/>
    <tableColumn id="14" xr3:uid="{EEB8403B-684F-44D6-A2F9-ED56CA03E5C7}" name="Product Name"/>
    <tableColumn id="15" xr3:uid="{E68B4BCD-E2AA-4B5E-B8C9-4B8CE76ACDC7}" name="Category"/>
    <tableColumn id="16" xr3:uid="{ED882394-FBB4-45FE-BD01-B951ABD85DAA}" name="Quantity"/>
    <tableColumn id="17" xr3:uid="{4F6D7568-D801-4E89-9DFA-00139AB52762}" name="Unit Price"/>
    <tableColumn id="18" xr3:uid="{4D319826-C71E-46FA-945A-4473C85FE7CB}" name="Discount %"/>
    <tableColumn id="19" xr3:uid="{31578C29-99A4-4132-BFED-A699E79432BE}" name="Gross Sale"/>
    <tableColumn id="20" xr3:uid="{6BC3F8B2-600A-4956-A0F6-E5C495534C35}" name="Discount Amount"/>
    <tableColumn id="21" xr3:uid="{55709168-784C-4B52-AAE3-49DECFA69171}" name="Net Revenue"/>
    <tableColumn id="22" xr3:uid="{15B377BE-6B44-4C18-B6C9-8D953106170E}" name="Unit Cost"/>
    <tableColumn id="23" xr3:uid="{429CE9C6-E698-4B47-AA7F-4EDA9A363C32}" name="COGS"/>
    <tableColumn id="24" xr3:uid="{F74012C2-1E23-4382-9EF9-C1D53D4C08AE}" name="Shipping Cost"/>
    <tableColumn id="25" xr3:uid="{8D9C0EA9-C757-4F2E-9E14-B31EA5132FC8}" name="Profit Margin"/>
    <tableColumn id="26" xr3:uid="{A0067D32-011A-4C55-9F9F-B6B8E86FD92B}" name="Margin %"/>
    <tableColumn id="27" xr3:uid="{4F878CC6-AD3D-456B-9262-C217531D488D}" name="Payment Method"/>
    <tableColumn id="28" xr3:uid="{40B85E92-26AD-462F-B55C-B84433536A78}" name="Delivery Date" dataDxfId="376"/>
    <tableColumn id="29" xr3:uid="{758E8A0C-6B0C-4F9E-B11D-ED89C45F17C7}" name="Delivery Days"/>
    <tableColumn id="30" xr3:uid="{05210B7D-9478-4306-9B5B-E6E155B1DE07}" name="Delivery Speed"/>
    <tableColumn id="31" xr3:uid="{6B6F58C3-A118-44C1-A85C-10F9818D0E3D}" name="Customer Rating"/>
    <tableColumn id="32" xr3:uid="{6D4C1A56-70D2-4596-AD93-C3D88579F19B}" name="Return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F57BBD-483F-4089-AD8E-7BA98452EDF7}" name="Table7" displayName="Table7" ref="A3:AJ202" totalsRowShown="0">
  <autoFilter ref="A3:AJ202" xr:uid="{BCF57BBD-483F-4089-AD8E-7BA98452EDF7}"/>
  <tableColumns count="36">
    <tableColumn id="1" xr3:uid="{6ECC9364-DA04-4D96-B1B2-4078C7C296A4}" name="Order ID"/>
    <tableColumn id="2" xr3:uid="{8A4EBD33-58CE-4E5A-99C3-BB082A8498CF}" name="Order Date" dataDxfId="375"/>
    <tableColumn id="3" xr3:uid="{BA7844DE-B71E-4E89-8E6D-782C0D960DE3}" name="Year"/>
    <tableColumn id="4" xr3:uid="{1B78B272-D754-45F0-A945-D587961941B0}" name="Month" dataDxfId="374"/>
    <tableColumn id="5" xr3:uid="{C65E0211-E2CF-4B13-8325-54F4E8418185}" name="Month No"/>
    <tableColumn id="6" xr3:uid="{77517CAF-AAF1-454F-94E7-3558E14B64CA}" name="Customer ID"/>
    <tableColumn id="7" xr3:uid="{2E7F67D2-B07B-495F-9C3C-5DCDA105EA78}" name="Customer Type"/>
    <tableColumn id="8" xr3:uid="{11A97F68-11CB-46E6-8E74-B33DFD56E606}" name="State"/>
    <tableColumn id="9" xr3:uid="{5E44600D-706C-4DEB-A164-39A702D7BB4D}" name="State Code"/>
    <tableColumn id="10" xr3:uid="{FA8A14C4-902B-43C5-B40F-D30CC938690D}" name="Region"/>
    <tableColumn id="11" xr3:uid="{3A9835F1-3F2D-41B6-813E-5DD6A1171FAB}" name="City"/>
    <tableColumn id="12" xr3:uid="{9C0DB7B2-B69B-4AD0-8507-96E2EE287EA0}" name="Sales Channel"/>
    <tableColumn id="13" xr3:uid="{494437FE-F8C6-4661-B591-CE862E656E16}" name="Product ID"/>
    <tableColumn id="14" xr3:uid="{A11BDDE4-111D-444C-AD88-D5DC4F5CA467}" name="Product Name"/>
    <tableColumn id="15" xr3:uid="{6D9C08F3-74AE-4724-9C60-69D33F7DE23E}" name="Category"/>
    <tableColumn id="16" xr3:uid="{C59A07BA-4127-4EED-A265-6E8DA3734966}" name="Quantity"/>
    <tableColumn id="17" xr3:uid="{3A880B70-7F64-4E42-8CFF-0CA4F414C059}" name="Unit Price"/>
    <tableColumn id="18" xr3:uid="{DC7B08C2-CFCE-4C8F-80D2-30BBC44848A0}" name="Discount %"/>
    <tableColumn id="19" xr3:uid="{2D47DC06-1072-4616-AE35-11D709DEEC5D}" name="Gross Sale"/>
    <tableColumn id="20" xr3:uid="{2C39B0C6-2CA6-495E-9E0F-1E23438DF159}" name="Discount Amount"/>
    <tableColumn id="21" xr3:uid="{78EB7C88-BFA3-47F2-91A9-A1BF2B04E28E}" name="Net Revenue"/>
    <tableColumn id="22" xr3:uid="{A16E2FE9-FE79-4180-8738-7A484A75B291}" name="Unit Cost"/>
    <tableColumn id="23" xr3:uid="{BF47C54A-186B-4C30-90F3-74D4349BAE84}" name="COGS"/>
    <tableColumn id="24" xr3:uid="{29C6B078-218D-4E63-8CAA-34F1F6EB592B}" name="Shipping Cost"/>
    <tableColumn id="25" xr3:uid="{9FBAD5B4-3DE6-4543-83E9-5DE8E72F0710}" name="Profit"/>
    <tableColumn id="26" xr3:uid="{4071E3A2-14F8-4DE3-AF5D-D02F87F42F1E}" name="Margin %"/>
    <tableColumn id="27" xr3:uid="{4506D5C9-F99F-46EA-BF46-A4D42ECF14CA}" name="Discount"/>
    <tableColumn id="28" xr3:uid="{C033F4FD-FAF6-4962-B4B8-B303A0E1EE5F}" name="Delivery Date" dataDxfId="373"/>
    <tableColumn id="29" xr3:uid="{46C33633-C7B6-4827-AAD8-F725416AA63A}" name="Delivery Days"/>
    <tableColumn id="30" xr3:uid="{AAD04411-D56A-4C83-AA2F-C30E5CF45E74}" name="Delivery Speed"/>
    <tableColumn id="31" xr3:uid="{0349F98D-C085-468B-A59F-0CE67E9207B5}" name="Discount_Clean"/>
    <tableColumn id="32" xr3:uid="{8A64CB33-838C-43AA-AFB6-41303B693172}" name="Payment Method"/>
    <tableColumn id="33" xr3:uid="{FB62F238-09D5-472C-9786-F06148BA31E1}" name="Delivery Date2" dataDxfId="372"/>
    <tableColumn id="34" xr3:uid="{F71B8C75-D0AC-4AFC-86CB-F1344AD905A8}" name="Customer Rating"/>
    <tableColumn id="35" xr3:uid="{7F39EC4E-41CE-407A-BDB2-544C06CC0395}" name="Returned?"/>
    <tableColumn id="36" xr3:uid="{498EB8BF-ED3C-4386-B6AF-A88662AB2A67}" name="Returned_Fla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A7641-42C7-4997-AB7A-9841B7A51D14}" name="OrdersTable" displayName="OrdersTable" ref="A1:AF4834" tableType="queryTable" dataDxfId="326" totalsRowDxfId="325">
  <sortState xmlns:xlrd2="http://schemas.microsoft.com/office/spreadsheetml/2017/richdata2" ref="A2:AF4834">
    <sortCondition ref="A1:A4834"/>
  </sortState>
  <tableColumns count="32">
    <tableColumn id="1" xr3:uid="{D2E278AF-BFFA-410C-831C-4A029C2B75E1}" uniqueName="1" name="Order ID" totalsRowLabel="Total" queryTableFieldId="1" dataDxfId="324" totalsRowDxfId="323"/>
    <tableColumn id="2" xr3:uid="{424B3D8F-5F09-4622-AB03-6A140BE9B844}" uniqueName="2" name="Order Date" queryTableFieldId="2" dataDxfId="322" totalsRowDxfId="321"/>
    <tableColumn id="24" xr3:uid="{928B2B88-EBB8-4621-AEF2-8FBD0F6EA098}" uniqueName="24" name="Year" queryTableFieldId="22" dataDxfId="320" totalsRowDxfId="319">
      <calculatedColumnFormula>YEAR(OrdersTable[[#This Row],[Order Date]])</calculatedColumnFormula>
    </tableColumn>
    <tableColumn id="25" xr3:uid="{240F1A1D-A0F2-4833-A264-D9DAC71E1D63}" uniqueName="25" name="Month" queryTableFieldId="21" dataDxfId="318" totalsRowDxfId="317">
      <calculatedColumnFormula>DATE(YEAR(OrdersTable[[#This Row],[Order Date]]),MONTH(OrdersTable[[#This Row],[Order Date]]),1)</calculatedColumnFormula>
    </tableColumn>
    <tableColumn id="26" xr3:uid="{4ABF58F6-5470-48D5-B450-A08F4EDBCF39}" uniqueName="26" name="Month No" queryTableFieldId="20" dataDxfId="316" totalsRowDxfId="315">
      <calculatedColumnFormula>MONTH(OrdersTable[[#This Row],[Order Date]])</calculatedColumnFormula>
    </tableColumn>
    <tableColumn id="3" xr3:uid="{01A91360-4E9E-46EC-AA53-27FDB22FBC94}" uniqueName="3" name="Customer ID" queryTableFieldId="3" dataDxfId="314" totalsRowDxfId="313"/>
    <tableColumn id="41" xr3:uid="{06FD9E21-5232-4CA6-A09A-ECF5D0A94C12}" uniqueName="41" name="Customer Type" queryTableFieldId="37" dataDxfId="0" totalsRowDxfId="312">
      <calculatedColumnFormula>IF(OrdersTable[[#This Row],[Order Date]]=_xlfn.MINIFS(Order_Date, Customer_ID, OrdersTable[[#This Row],[Customer ID]]), "New", "Repeat")</calculatedColumnFormula>
    </tableColumn>
    <tableColumn id="4" xr3:uid="{64F50CFE-1180-478A-BB5D-D2CFAF36FA17}" uniqueName="4" name="State" queryTableFieldId="4" dataDxfId="311" totalsRowDxfId="310"/>
    <tableColumn id="27" xr3:uid="{6DC7565A-93D1-4E3E-A7CC-686A6AD91096}" uniqueName="27" name="State Code" queryTableFieldId="24" dataDxfId="309" totalsRowDxfId="308">
      <calculatedColumnFormula>INDEX(State!B:B,MATCH(OrdersTable[[#This Row],[State]],State!A:A,0))</calculatedColumnFormula>
    </tableColumn>
    <tableColumn id="28" xr3:uid="{371B2E4D-A2BA-42A9-9487-02F31E85DA53}" uniqueName="28" name="Region" queryTableFieldId="23" dataDxfId="307" totalsRowDxfId="306">
      <calculatedColumnFormula>INDEX(State!C:C,MATCH(OrdersTable[[#This Row],[State Code]],State!B:B,0))</calculatedColumnFormula>
    </tableColumn>
    <tableColumn id="5" xr3:uid="{26D6C8B3-2A1A-429C-BAC7-993CB0D018BD}" uniqueName="5" name="City" queryTableFieldId="5" dataDxfId="305" totalsRowDxfId="304"/>
    <tableColumn id="6" xr3:uid="{8F47089B-FA4E-4815-A2BA-8CADBF25BABA}" uniqueName="6" name="Sales Channel" queryTableFieldId="6" dataDxfId="303" totalsRowDxfId="302"/>
    <tableColumn id="7" xr3:uid="{F1327490-F217-4D3F-A8C6-D74BD0F3EE70}" uniqueName="7" name="Product ID" queryTableFieldId="7" dataDxfId="301" totalsRowDxfId="300"/>
    <tableColumn id="29" xr3:uid="{0FF9D781-5AE3-4E34-8264-7C87CB38BE72}" uniqueName="29" name="Product Name" queryTableFieldId="26" dataDxfId="299" totalsRowDxfId="298">
      <calculatedColumnFormula>INDEX(Products!B:B,MATCH(OrdersTable[[#This Row],[Product ID]],Products!A:A,0))</calculatedColumnFormula>
    </tableColumn>
    <tableColumn id="30" xr3:uid="{23C26635-F1AB-4A0A-8250-EAB8994927BE}" uniqueName="30" name="Category" queryTableFieldId="25" dataDxfId="297" totalsRowDxfId="296">
      <calculatedColumnFormula>INDEX(Products!C:C,MATCH(OrdersTable[[#This Row],[Product ID]],Products!A:A,0))</calculatedColumnFormula>
    </tableColumn>
    <tableColumn id="8" xr3:uid="{9E18E40A-E5CE-4E12-BD59-D2DD793FC0D9}" uniqueName="8" name="Quantity" totalsRowFunction="sum" queryTableFieldId="8" dataDxfId="295" totalsRowDxfId="294"/>
    <tableColumn id="9" xr3:uid="{90591E60-2847-475B-BC62-250E9187284D}" uniqueName="9" name="Unit Price" totalsRowFunction="sum" queryTableFieldId="9" dataDxfId="293" totalsRowDxfId="292"/>
    <tableColumn id="44" xr3:uid="{C7BE37C8-48EB-4079-985A-802D39CC2106}" uniqueName="44" name="Discount_Clean2" queryTableFieldId="52" dataDxfId="291" totalsRowDxfId="290" dataCellStyle="Percent"/>
    <tableColumn id="32" xr3:uid="{B7C5764E-6A44-4D77-B9BA-03B876DD4130}" uniqueName="32" name="Gross Sale" totalsRowFunction="sum" queryTableFieldId="29" dataDxfId="289" totalsRowDxfId="288" dataCellStyle="Currency">
      <calculatedColumnFormula>OrdersTable[[#This Row],[Quantity]]*OrdersTable[[#This Row],[Unit Price]]</calculatedColumnFormula>
    </tableColumn>
    <tableColumn id="33" xr3:uid="{00FAFE63-31FC-4221-93AF-967FB6881540}" uniqueName="33" name="Discount Amount" totalsRowFunction="sum" queryTableFieldId="28" dataDxfId="287" totalsRowDxfId="286" dataCellStyle="Currency">
      <calculatedColumnFormula>OrdersTable[[#This Row],[Gross Sale]]*OrdersTable[[#This Row],[Discount_Clean2]]</calculatedColumnFormula>
    </tableColumn>
    <tableColumn id="34" xr3:uid="{B7FA3B1B-A844-4906-AE71-120BF54F54B5}" uniqueName="34" name="Net Revenue" totalsRowFunction="sum" queryTableFieldId="30" dataDxfId="285" totalsRowDxfId="284">
      <calculatedColumnFormula>OrdersTable[[#This Row],[Gross Sale]]-OrdersTable[[#This Row],[Discount Amount]]</calculatedColumnFormula>
    </tableColumn>
    <tableColumn id="31" xr3:uid="{BA0CD9A0-082E-495C-9C6E-D9345308B097}" uniqueName="31" name="Unit Cost" totalsRowFunction="sum" queryTableFieldId="27" dataDxfId="283" totalsRowDxfId="282">
      <calculatedColumnFormula>INDEX(Products!E:E,MATCH(OrdersTable[[#This Row],[Product ID]],Products!A:A,0))</calculatedColumnFormula>
    </tableColumn>
    <tableColumn id="35" xr3:uid="{810B9160-D86B-4F43-AD27-DB404BCBEE78}" uniqueName="35" name="COGS" totalsRowFunction="sum" queryTableFieldId="33" dataDxfId="281" totalsRowDxfId="280">
      <calculatedColumnFormula>OrdersTable[[#This Row],[Quantity]]*OrdersTable[[#This Row],[Unit Cost]]</calculatedColumnFormula>
    </tableColumn>
    <tableColumn id="36" xr3:uid="{952347FD-213D-4318-B063-ED7F9FD78450}" uniqueName="36" name="Shipping Cost" totalsRowFunction="sum" queryTableFieldId="32" dataDxfId="279" totalsRowDxfId="278">
      <calculatedColumnFormula>'Dropdown Lists'!$I$2*(1+OrdersTable[[#This Row],[Returned]])</calculatedColumnFormula>
    </tableColumn>
    <tableColumn id="37" xr3:uid="{43CCC867-D3B3-411B-9A80-445C68D4D35A}" uniqueName="37" name="Profit" totalsRowFunction="sum" queryTableFieldId="31" dataDxfId="277" totalsRowDxfId="276">
      <calculatedColumnFormula>OrdersTable[[#This Row],[Net Revenue]]-OrdersTable[[#This Row],[COGS]]-OrdersTable[[#This Row],[Shipping Cost]]</calculatedColumnFormula>
    </tableColumn>
    <tableColumn id="38" xr3:uid="{15B6FDE6-CF1C-476A-8DF0-95F24E58B5FF}" uniqueName="38" name="Margin %" totalsRowFunction="custom" queryTableFieldId="34" dataDxfId="275" totalsRowDxfId="274" dataCellStyle="Percent">
      <calculatedColumnFormula>IFERROR(OrdersTable[[#This Row],[Profit]]/OrdersTable[[#This Row],[Net Revenue]],0)</calculatedColumnFormula>
      <totalsRowFormula>IFERROR(OrdersTable[[#Totals],[Profit]]/OrdersTable[[#Totals],[Net Revenue]],0)</totalsRowFormula>
    </tableColumn>
    <tableColumn id="17" xr3:uid="{932A219F-92C7-4F91-888F-6895BFFAD48D}" uniqueName="17" name="Payment Method" queryTableFieldId="65" dataDxfId="273" totalsRowDxfId="272" dataCellStyle="Percent"/>
    <tableColumn id="45" xr3:uid="{659BD16D-4A42-4ADF-86AF-DB57F705313F}" uniqueName="45" name="Delivery Date" queryTableFieldId="53" dataDxfId="271" totalsRowDxfId="270"/>
    <tableColumn id="39" xr3:uid="{301BF100-29BB-4158-AAE8-8AA0653FD737}" uniqueName="39" name="Delivery Days" queryTableFieldId="36" dataDxfId="269" totalsRowDxfId="268">
      <calculatedColumnFormula>OrdersTable[[#This Row],[Delivery Date]]-OrdersTable[[#This Row],[Order Date]]</calculatedColumnFormula>
    </tableColumn>
    <tableColumn id="40" xr3:uid="{3B04CF80-F511-478F-A530-BD217A764622}" uniqueName="40" name="Delivery Speed" queryTableFieldId="35" dataDxfId="226" totalsRowDxfId="267">
      <calculatedColumnFormula>IF(OrdersTable[[#This Row],[Delivery Days]]&lt;=2, "Express (≤2d)", IF(OrdersTable[[#This Row],[Delivery Days]]&lt;=4, "Standard (3-4d)", "Delayed (5d+)"))</calculatedColumnFormula>
    </tableColumn>
    <tableColumn id="14" xr3:uid="{3549E65C-999F-439C-8D93-D948F6310BEB}" uniqueName="14" name="Customer Rating" queryTableFieldId="14" dataDxfId="266" totalsRowDxfId="265"/>
    <tableColumn id="16" xr3:uid="{4FE32B7E-9EAF-43F3-B501-7B171D602A73}" uniqueName="16" name="Returned" queryTableFieldId="16" dataDxfId="264" totalsRowDxfId="263"/>
  </tableColumns>
  <tableStyleInfo name="TableStyleMedium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D578A8-CFB7-4123-A3BC-513D2B6D7DB6}" name="ProductsTable" displayName="ProductsTable" ref="A1:E31" tableType="queryTable" totalsRowShown="0">
  <autoFilter ref="A1:E31" xr:uid="{13D578A8-CFB7-4123-A3BC-513D2B6D7DB6}"/>
  <tableColumns count="5">
    <tableColumn id="1" xr3:uid="{C2048838-0758-4052-9729-A039C95343E0}" uniqueName="1" name="Product ID" queryTableFieldId="1" dataDxfId="262"/>
    <tableColumn id="2" xr3:uid="{87E262AE-A69D-4FCF-9928-DD6DB46D38D0}" uniqueName="2" name="Product Name" queryTableFieldId="2" dataDxfId="261"/>
    <tableColumn id="3" xr3:uid="{D6F5AD15-C0E9-4447-AD7A-D3D02A67E2BC}" uniqueName="3" name="Category" queryTableFieldId="3" dataDxfId="260"/>
    <tableColumn id="4" xr3:uid="{6ACE3887-E477-4777-9477-B0BCDBA1A476}" uniqueName="4" name="MRP (₹)" queryTableFieldId="4" dataDxfId="259"/>
    <tableColumn id="5" xr3:uid="{DE134758-50B4-4B18-96D7-FE583D5F21C0}" uniqueName="5" name="Unit Cost (₹)" queryTableFieldId="5" dataDxfId="2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390D20-824E-4B4B-B25B-6416C2A7D717}" name="State_RegionTable" displayName="State_RegionTable" ref="A1:C24" tableType="queryTable" totalsRowShown="0">
  <autoFilter ref="A1:C24" xr:uid="{B7390D20-824E-4B4B-B25B-6416C2A7D717}"/>
  <tableColumns count="3">
    <tableColumn id="1" xr3:uid="{3803010C-385F-459E-9EE5-42FD1AFB8B59}" uniqueName="1" name="State" queryTableFieldId="4" dataDxfId="257"/>
    <tableColumn id="2" xr3:uid="{9DA3A0F7-0A6D-440D-8C4F-8CBBAF09A770}" uniqueName="2" name="State Code" queryTableFieldId="5" dataDxfId="256"/>
    <tableColumn id="3" xr3:uid="{CAF4CB04-1CDD-4C30-A1D4-24585CCC590B}" uniqueName="3" name="Region" queryTableFieldId="6" dataDxfId="25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3F7075-944E-4CB8-98A9-8156A03917AE}" name="Marketing_SpendTable" displayName="Marketing_SpendTable" ref="A1:F553" totalsRowShown="0" headerRowBorderDxfId="254" tableBorderDxfId="253">
  <autoFilter ref="A1:F553" xr:uid="{273F7075-944E-4CB8-98A9-8156A03917AE}"/>
  <tableColumns count="6">
    <tableColumn id="1" xr3:uid="{6B2C08E9-4F91-4467-B290-547446B394CD}" name="Ad Month" dataDxfId="252"/>
    <tableColumn id="2" xr3:uid="{8F5735DF-E2FA-4AFA-8B8F-D299D2FCD9BB}" name="Ad State" dataDxfId="251"/>
    <tableColumn id="3" xr3:uid="{B66ABC60-932C-42B7-986D-86A954DBC5AA}" name="Ad State Code"/>
    <tableColumn id="4" xr3:uid="{8516D2E2-C5E8-450A-860E-CA2C0DB4A98D}" name="Ad Region">
      <calculatedColumnFormula>INDEX(State!$C$2:$C$24,MATCH(C2,State!$B$2:$B$24,0))</calculatedColumnFormula>
    </tableColumn>
    <tableColumn id="5" xr3:uid="{497D8304-39E4-4838-8365-7929D69D12B8}" name="Ad Year">
      <calculatedColumnFormula>YEAR(A2)</calculatedColumnFormula>
    </tableColumn>
    <tableColumn id="6" xr3:uid="{6416A1A1-AEA8-4C23-9434-75E5892FEA45}" name="Ad Spend (₹)" dataDxfId="2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6FC1B-CE16-4F2B-AFED-D0389A4F0090}">
  <dimension ref="A1:AF141"/>
  <sheetViews>
    <sheetView workbookViewId="0">
      <selection activeCell="A3" sqref="A3:AF141"/>
    </sheetView>
  </sheetViews>
  <sheetFormatPr defaultRowHeight="14.4" x14ac:dyDescent="0.3"/>
  <cols>
    <col min="1" max="1" width="11.33203125" bestFit="1" customWidth="1"/>
    <col min="2" max="2" width="12.33203125" bestFit="1" customWidth="1"/>
    <col min="3" max="3" width="9" bestFit="1" customWidth="1"/>
    <col min="4" max="4" width="10.33203125" bestFit="1" customWidth="1"/>
    <col min="5" max="5" width="11.88671875" bestFit="1" customWidth="1"/>
    <col min="6" max="6" width="13.5546875" bestFit="1" customWidth="1"/>
    <col min="7" max="7" width="16" bestFit="1" customWidth="1"/>
    <col min="8" max="8" width="15.5546875" bestFit="1" customWidth="1"/>
    <col min="9" max="9" width="12.33203125" bestFit="1" customWidth="1"/>
    <col min="10" max="10" width="9" bestFit="1" customWidth="1"/>
    <col min="11" max="11" width="18.109375" bestFit="1" customWidth="1"/>
    <col min="12" max="12" width="14.77734375" bestFit="1" customWidth="1"/>
    <col min="13" max="13" width="12.109375" bestFit="1" customWidth="1"/>
    <col min="14" max="14" width="22.44140625" bestFit="1" customWidth="1"/>
    <col min="15" max="15" width="14.21875" bestFit="1" customWidth="1"/>
    <col min="16" max="16" width="10.5546875" bestFit="1" customWidth="1"/>
    <col min="17" max="17" width="11.33203125" bestFit="1" customWidth="1"/>
    <col min="18" max="18" width="12.44140625" bestFit="1" customWidth="1"/>
    <col min="19" max="19" width="11.6640625" bestFit="1" customWidth="1"/>
    <col min="20" max="20" width="18" bestFit="1" customWidth="1"/>
    <col min="21" max="21" width="14" bestFit="1" customWidth="1"/>
    <col min="22" max="22" width="10.88671875" bestFit="1" customWidth="1"/>
    <col min="23" max="23" width="9" bestFit="1" customWidth="1"/>
    <col min="24" max="24" width="14.6640625" bestFit="1" customWidth="1"/>
    <col min="25" max="25" width="14.33203125" bestFit="1" customWidth="1"/>
    <col min="26" max="26" width="11.109375" bestFit="1" customWidth="1"/>
    <col min="27" max="27" width="18.109375" bestFit="1" customWidth="1"/>
    <col min="28" max="28" width="14.33203125" bestFit="1" customWidth="1"/>
    <col min="29" max="29" width="14.44140625" bestFit="1" customWidth="1"/>
    <col min="30" max="30" width="15.77734375" bestFit="1" customWidth="1"/>
    <col min="31" max="31" width="17.21875" bestFit="1" customWidth="1"/>
    <col min="32" max="32" width="11" bestFit="1" customWidth="1"/>
  </cols>
  <sheetData>
    <row r="1" spans="1:32" x14ac:dyDescent="0.3">
      <c r="A1" s="25" t="s">
        <v>7342</v>
      </c>
    </row>
    <row r="3" spans="1:32" x14ac:dyDescent="0.3">
      <c r="A3" t="s">
        <v>0</v>
      </c>
      <c r="B3" t="s">
        <v>1</v>
      </c>
      <c r="C3" t="s">
        <v>7241</v>
      </c>
      <c r="D3" t="s">
        <v>7238</v>
      </c>
      <c r="E3" t="s">
        <v>7240</v>
      </c>
      <c r="F3" t="s">
        <v>2</v>
      </c>
      <c r="G3" t="s">
        <v>7334</v>
      </c>
      <c r="H3" t="s">
        <v>3</v>
      </c>
      <c r="I3" t="s">
        <v>7209</v>
      </c>
      <c r="J3" t="s">
        <v>7210</v>
      </c>
      <c r="K3" t="s">
        <v>4</v>
      </c>
      <c r="L3" t="s">
        <v>5</v>
      </c>
      <c r="M3" t="s">
        <v>6</v>
      </c>
      <c r="N3" t="s">
        <v>7168</v>
      </c>
      <c r="O3" t="s">
        <v>7169</v>
      </c>
      <c r="P3" t="s">
        <v>7</v>
      </c>
      <c r="Q3" t="s">
        <v>8</v>
      </c>
      <c r="R3" t="s">
        <v>7332</v>
      </c>
      <c r="S3" t="s">
        <v>7243</v>
      </c>
      <c r="T3" t="s">
        <v>7244</v>
      </c>
      <c r="U3" t="s">
        <v>7245</v>
      </c>
      <c r="V3" t="s">
        <v>7242</v>
      </c>
      <c r="W3" t="s">
        <v>7246</v>
      </c>
      <c r="X3" t="s">
        <v>7247</v>
      </c>
      <c r="Y3" t="s">
        <v>7335</v>
      </c>
      <c r="Z3" t="s">
        <v>7249</v>
      </c>
      <c r="AA3" t="s">
        <v>9</v>
      </c>
      <c r="AB3" t="s">
        <v>10</v>
      </c>
      <c r="AC3" t="s">
        <v>7264</v>
      </c>
      <c r="AD3" t="s">
        <v>7265</v>
      </c>
      <c r="AE3" t="s">
        <v>11</v>
      </c>
      <c r="AF3" t="s">
        <v>7333</v>
      </c>
    </row>
    <row r="4" spans="1:32" x14ac:dyDescent="0.3">
      <c r="A4" t="s">
        <v>3957</v>
      </c>
      <c r="B4" s="1">
        <v>45352</v>
      </c>
      <c r="C4">
        <v>2024</v>
      </c>
      <c r="D4" s="1">
        <v>45352</v>
      </c>
      <c r="E4">
        <v>3</v>
      </c>
      <c r="F4" t="s">
        <v>1808</v>
      </c>
      <c r="G4" t="s">
        <v>7338</v>
      </c>
      <c r="H4" t="s">
        <v>167</v>
      </c>
      <c r="I4" t="s">
        <v>7234</v>
      </c>
      <c r="J4" t="s">
        <v>7231</v>
      </c>
      <c r="K4" t="s">
        <v>190</v>
      </c>
      <c r="L4" t="s">
        <v>23</v>
      </c>
      <c r="M4" t="s">
        <v>34</v>
      </c>
      <c r="N4" t="s">
        <v>7193</v>
      </c>
      <c r="O4" t="s">
        <v>7190</v>
      </c>
      <c r="P4">
        <v>1</v>
      </c>
      <c r="Q4">
        <v>399</v>
      </c>
      <c r="R4">
        <v>0.05</v>
      </c>
      <c r="S4">
        <v>399</v>
      </c>
      <c r="T4">
        <v>19.950000000000003</v>
      </c>
      <c r="U4">
        <v>379.05</v>
      </c>
      <c r="V4">
        <v>152</v>
      </c>
      <c r="W4">
        <v>152</v>
      </c>
      <c r="X4">
        <v>60</v>
      </c>
      <c r="Y4">
        <v>167.05</v>
      </c>
      <c r="Z4">
        <v>0.44070703073473161</v>
      </c>
      <c r="AA4" t="s">
        <v>3495</v>
      </c>
      <c r="AB4" s="1">
        <v>45355</v>
      </c>
      <c r="AC4">
        <v>3</v>
      </c>
      <c r="AD4" t="s">
        <v>7310</v>
      </c>
      <c r="AE4">
        <v>5</v>
      </c>
      <c r="AF4">
        <v>0</v>
      </c>
    </row>
    <row r="5" spans="1:32" x14ac:dyDescent="0.3">
      <c r="A5" t="s">
        <v>6044</v>
      </c>
      <c r="B5" s="1">
        <v>45352</v>
      </c>
      <c r="C5">
        <v>2024</v>
      </c>
      <c r="D5" s="1">
        <v>45352</v>
      </c>
      <c r="E5">
        <v>3</v>
      </c>
      <c r="F5" t="s">
        <v>2260</v>
      </c>
      <c r="G5" t="s">
        <v>7338</v>
      </c>
      <c r="H5" t="s">
        <v>14</v>
      </c>
      <c r="I5" t="s">
        <v>7232</v>
      </c>
      <c r="J5" t="s">
        <v>7221</v>
      </c>
      <c r="K5" t="s">
        <v>15</v>
      </c>
      <c r="L5" t="s">
        <v>65</v>
      </c>
      <c r="M5" t="s">
        <v>56</v>
      </c>
      <c r="N5" t="s">
        <v>7172</v>
      </c>
      <c r="O5" t="s">
        <v>7173</v>
      </c>
      <c r="P5">
        <v>2</v>
      </c>
      <c r="Q5">
        <v>599</v>
      </c>
      <c r="R5">
        <v>0.2</v>
      </c>
      <c r="S5">
        <v>1198</v>
      </c>
      <c r="T5">
        <v>239.60000000000002</v>
      </c>
      <c r="U5">
        <v>958.4</v>
      </c>
      <c r="V5">
        <v>180</v>
      </c>
      <c r="W5">
        <v>360</v>
      </c>
      <c r="X5">
        <v>60</v>
      </c>
      <c r="Y5">
        <v>538.4</v>
      </c>
      <c r="Z5">
        <v>0.56176961602671116</v>
      </c>
      <c r="AA5" t="s">
        <v>18</v>
      </c>
      <c r="AB5" s="1">
        <v>45355</v>
      </c>
      <c r="AC5">
        <v>3</v>
      </c>
      <c r="AD5" t="s">
        <v>7310</v>
      </c>
      <c r="AE5">
        <v>4</v>
      </c>
      <c r="AF5">
        <v>0</v>
      </c>
    </row>
    <row r="6" spans="1:32" x14ac:dyDescent="0.3">
      <c r="A6" t="s">
        <v>3395</v>
      </c>
      <c r="B6" s="1">
        <v>45352</v>
      </c>
      <c r="C6">
        <v>2024</v>
      </c>
      <c r="D6" s="1">
        <v>45352</v>
      </c>
      <c r="E6">
        <v>3</v>
      </c>
      <c r="F6" t="s">
        <v>2928</v>
      </c>
      <c r="G6" t="s">
        <v>7338</v>
      </c>
      <c r="H6" t="s">
        <v>95</v>
      </c>
      <c r="I6" t="s">
        <v>7230</v>
      </c>
      <c r="J6" t="s">
        <v>7231</v>
      </c>
      <c r="K6" t="s">
        <v>96</v>
      </c>
      <c r="L6" t="s">
        <v>65</v>
      </c>
      <c r="M6" t="s">
        <v>106</v>
      </c>
      <c r="N6" t="s">
        <v>7181</v>
      </c>
      <c r="O6" t="s">
        <v>7179</v>
      </c>
      <c r="P6">
        <v>1</v>
      </c>
      <c r="Q6">
        <v>549</v>
      </c>
      <c r="R6">
        <v>0.2</v>
      </c>
      <c r="S6">
        <v>549</v>
      </c>
      <c r="T6">
        <v>109.80000000000001</v>
      </c>
      <c r="U6">
        <v>439.2</v>
      </c>
      <c r="V6">
        <v>170</v>
      </c>
      <c r="W6">
        <v>170</v>
      </c>
      <c r="X6">
        <v>60</v>
      </c>
      <c r="Y6">
        <v>209.2</v>
      </c>
      <c r="Z6">
        <v>0.47632058287795992</v>
      </c>
      <c r="AA6" t="s">
        <v>2522</v>
      </c>
      <c r="AB6" s="1">
        <v>45354</v>
      </c>
      <c r="AC6">
        <v>2</v>
      </c>
      <c r="AD6" t="s">
        <v>7309</v>
      </c>
      <c r="AE6">
        <v>4</v>
      </c>
      <c r="AF6">
        <v>0</v>
      </c>
    </row>
    <row r="7" spans="1:32" x14ac:dyDescent="0.3">
      <c r="A7" t="s">
        <v>4457</v>
      </c>
      <c r="B7" s="1">
        <v>45352</v>
      </c>
      <c r="C7">
        <v>2024</v>
      </c>
      <c r="D7" s="1">
        <v>45352</v>
      </c>
      <c r="E7">
        <v>3</v>
      </c>
      <c r="F7" t="s">
        <v>2662</v>
      </c>
      <c r="G7" t="s">
        <v>7338</v>
      </c>
      <c r="H7" t="s">
        <v>71</v>
      </c>
      <c r="I7" t="s">
        <v>7229</v>
      </c>
      <c r="J7" t="s">
        <v>7224</v>
      </c>
      <c r="K7" t="s">
        <v>102</v>
      </c>
      <c r="L7" t="s">
        <v>16</v>
      </c>
      <c r="M7" t="s">
        <v>255</v>
      </c>
      <c r="N7" t="s">
        <v>7183</v>
      </c>
      <c r="O7" t="s">
        <v>7184</v>
      </c>
      <c r="P7">
        <v>1</v>
      </c>
      <c r="Q7">
        <v>799</v>
      </c>
      <c r="R7">
        <v>0.1</v>
      </c>
      <c r="S7">
        <v>799</v>
      </c>
      <c r="T7">
        <v>79.900000000000006</v>
      </c>
      <c r="U7">
        <v>719.1</v>
      </c>
      <c r="V7">
        <v>320</v>
      </c>
      <c r="W7">
        <v>320</v>
      </c>
      <c r="X7">
        <v>60</v>
      </c>
      <c r="Y7">
        <v>339.1</v>
      </c>
      <c r="Z7">
        <v>0.47156167431511614</v>
      </c>
      <c r="AA7" t="s">
        <v>4450</v>
      </c>
      <c r="AB7" s="1">
        <v>45353</v>
      </c>
      <c r="AC7">
        <v>1</v>
      </c>
      <c r="AD7" t="s">
        <v>7309</v>
      </c>
      <c r="AE7">
        <v>4</v>
      </c>
      <c r="AF7">
        <v>0</v>
      </c>
    </row>
    <row r="8" spans="1:32" x14ac:dyDescent="0.3">
      <c r="A8" t="s">
        <v>2879</v>
      </c>
      <c r="B8" s="1">
        <v>45352</v>
      </c>
      <c r="C8">
        <v>2024</v>
      </c>
      <c r="D8" s="1">
        <v>45352</v>
      </c>
      <c r="E8">
        <v>3</v>
      </c>
      <c r="F8" t="s">
        <v>1717</v>
      </c>
      <c r="G8" t="s">
        <v>7338</v>
      </c>
      <c r="H8" t="s">
        <v>27</v>
      </c>
      <c r="I8" t="s">
        <v>7228</v>
      </c>
      <c r="J8" t="s">
        <v>7221</v>
      </c>
      <c r="K8" t="s">
        <v>28</v>
      </c>
      <c r="L8" t="s">
        <v>23</v>
      </c>
      <c r="M8" t="s">
        <v>29</v>
      </c>
      <c r="N8" t="s">
        <v>7186</v>
      </c>
      <c r="O8" t="s">
        <v>7184</v>
      </c>
      <c r="P8">
        <v>1</v>
      </c>
      <c r="Q8">
        <v>1199</v>
      </c>
      <c r="R8">
        <v>0.05</v>
      </c>
      <c r="S8">
        <v>1199</v>
      </c>
      <c r="T8">
        <v>59.95</v>
      </c>
      <c r="U8">
        <v>1139.05</v>
      </c>
      <c r="V8">
        <v>492</v>
      </c>
      <c r="W8">
        <v>492</v>
      </c>
      <c r="X8">
        <v>120</v>
      </c>
      <c r="Y8">
        <v>527.04999999999995</v>
      </c>
      <c r="Z8">
        <v>0.46271015319784026</v>
      </c>
      <c r="AA8" t="s">
        <v>2522</v>
      </c>
      <c r="AB8" s="1">
        <v>45353</v>
      </c>
      <c r="AC8">
        <v>1</v>
      </c>
      <c r="AD8" t="s">
        <v>7309</v>
      </c>
      <c r="AF8">
        <v>1</v>
      </c>
    </row>
    <row r="9" spans="1:32" x14ac:dyDescent="0.3">
      <c r="A9" t="s">
        <v>4455</v>
      </c>
      <c r="B9" s="1">
        <v>45352</v>
      </c>
      <c r="C9">
        <v>2024</v>
      </c>
      <c r="D9" s="1">
        <v>45352</v>
      </c>
      <c r="E9">
        <v>3</v>
      </c>
      <c r="F9" t="s">
        <v>4456</v>
      </c>
      <c r="G9" t="s">
        <v>7338</v>
      </c>
      <c r="H9" t="s">
        <v>43</v>
      </c>
      <c r="I9" t="s">
        <v>7225</v>
      </c>
      <c r="J9" t="s">
        <v>7224</v>
      </c>
      <c r="K9" t="s">
        <v>250</v>
      </c>
      <c r="L9" t="s">
        <v>39</v>
      </c>
      <c r="M9" t="s">
        <v>179</v>
      </c>
      <c r="N9" t="s">
        <v>7206</v>
      </c>
      <c r="O9" t="s">
        <v>7205</v>
      </c>
      <c r="P9">
        <v>1</v>
      </c>
      <c r="Q9">
        <v>2299</v>
      </c>
      <c r="R9">
        <v>0.25</v>
      </c>
      <c r="S9">
        <v>2299</v>
      </c>
      <c r="T9">
        <v>574.75</v>
      </c>
      <c r="U9">
        <v>1724.25</v>
      </c>
      <c r="V9">
        <v>1333</v>
      </c>
      <c r="W9">
        <v>1333</v>
      </c>
      <c r="X9">
        <v>60</v>
      </c>
      <c r="Y9">
        <v>331.25</v>
      </c>
      <c r="Z9">
        <v>0.19211251268667537</v>
      </c>
      <c r="AA9" t="s">
        <v>4450</v>
      </c>
      <c r="AB9" s="1">
        <v>45356</v>
      </c>
      <c r="AC9">
        <v>4</v>
      </c>
      <c r="AD9" t="s">
        <v>7310</v>
      </c>
      <c r="AE9">
        <v>4</v>
      </c>
      <c r="AF9">
        <v>0</v>
      </c>
    </row>
    <row r="10" spans="1:32" x14ac:dyDescent="0.3">
      <c r="A10" t="s">
        <v>2222</v>
      </c>
      <c r="B10" s="1">
        <v>45353</v>
      </c>
      <c r="C10">
        <v>2024</v>
      </c>
      <c r="D10" s="1">
        <v>45352</v>
      </c>
      <c r="E10">
        <v>3</v>
      </c>
      <c r="F10" t="s">
        <v>405</v>
      </c>
      <c r="G10" t="s">
        <v>7338</v>
      </c>
      <c r="H10" t="s">
        <v>59</v>
      </c>
      <c r="I10" t="s">
        <v>7237</v>
      </c>
      <c r="J10" t="s">
        <v>7231</v>
      </c>
      <c r="K10" t="s">
        <v>60</v>
      </c>
      <c r="L10" t="s">
        <v>16</v>
      </c>
      <c r="M10" t="s">
        <v>34</v>
      </c>
      <c r="N10" t="s">
        <v>7193</v>
      </c>
      <c r="O10" t="s">
        <v>7190</v>
      </c>
      <c r="P10">
        <v>1</v>
      </c>
      <c r="Q10">
        <v>399</v>
      </c>
      <c r="R10">
        <v>0.15</v>
      </c>
      <c r="S10">
        <v>399</v>
      </c>
      <c r="T10">
        <v>59.849999999999994</v>
      </c>
      <c r="U10">
        <v>339.15</v>
      </c>
      <c r="V10">
        <v>152</v>
      </c>
      <c r="W10">
        <v>152</v>
      </c>
      <c r="X10">
        <v>60</v>
      </c>
      <c r="Y10">
        <v>127.14999999999998</v>
      </c>
      <c r="Z10">
        <v>0.37490785787999409</v>
      </c>
      <c r="AA10" t="s">
        <v>18</v>
      </c>
      <c r="AB10" s="1">
        <v>45355</v>
      </c>
      <c r="AC10">
        <v>2</v>
      </c>
      <c r="AD10" t="s">
        <v>7309</v>
      </c>
      <c r="AE10">
        <v>5</v>
      </c>
      <c r="AF10">
        <v>0</v>
      </c>
    </row>
    <row r="11" spans="1:32" x14ac:dyDescent="0.3">
      <c r="A11" t="s">
        <v>3396</v>
      </c>
      <c r="B11" s="1">
        <v>45353</v>
      </c>
      <c r="C11">
        <v>2024</v>
      </c>
      <c r="D11" s="1">
        <v>45352</v>
      </c>
      <c r="E11">
        <v>3</v>
      </c>
      <c r="F11" t="s">
        <v>3397</v>
      </c>
      <c r="G11" t="s">
        <v>7338</v>
      </c>
      <c r="H11" t="s">
        <v>316</v>
      </c>
      <c r="I11" t="s">
        <v>7236</v>
      </c>
      <c r="J11" t="s">
        <v>7231</v>
      </c>
      <c r="K11" t="s">
        <v>317</v>
      </c>
      <c r="L11" t="s">
        <v>65</v>
      </c>
      <c r="M11" t="s">
        <v>125</v>
      </c>
      <c r="N11" t="s">
        <v>7194</v>
      </c>
      <c r="O11" t="s">
        <v>7195</v>
      </c>
      <c r="P11">
        <v>1</v>
      </c>
      <c r="Q11">
        <v>899</v>
      </c>
      <c r="R11">
        <v>0.05</v>
      </c>
      <c r="S11">
        <v>899</v>
      </c>
      <c r="T11">
        <v>44.95</v>
      </c>
      <c r="U11">
        <v>854.05</v>
      </c>
      <c r="V11">
        <v>378</v>
      </c>
      <c r="W11">
        <v>378</v>
      </c>
      <c r="X11">
        <v>120</v>
      </c>
      <c r="Y11">
        <v>356.04999999999995</v>
      </c>
      <c r="Z11">
        <v>0.41689596627832093</v>
      </c>
      <c r="AA11" t="s">
        <v>2522</v>
      </c>
      <c r="AB11" s="1">
        <v>45357</v>
      </c>
      <c r="AC11">
        <v>4</v>
      </c>
      <c r="AD11" t="s">
        <v>7310</v>
      </c>
      <c r="AE11">
        <v>4</v>
      </c>
      <c r="AF11">
        <v>1</v>
      </c>
    </row>
    <row r="12" spans="1:32" x14ac:dyDescent="0.3">
      <c r="A12" t="s">
        <v>1838</v>
      </c>
      <c r="B12" s="1">
        <v>45353</v>
      </c>
      <c r="C12">
        <v>2024</v>
      </c>
      <c r="D12" s="1">
        <v>45352</v>
      </c>
      <c r="E12">
        <v>3</v>
      </c>
      <c r="F12" t="s">
        <v>1839</v>
      </c>
      <c r="G12" t="s">
        <v>7338</v>
      </c>
      <c r="H12" t="s">
        <v>71</v>
      </c>
      <c r="I12" t="s">
        <v>7229</v>
      </c>
      <c r="J12" t="s">
        <v>7224</v>
      </c>
      <c r="K12" t="s">
        <v>81</v>
      </c>
      <c r="L12" t="s">
        <v>23</v>
      </c>
      <c r="M12" t="s">
        <v>29</v>
      </c>
      <c r="N12" t="s">
        <v>7186</v>
      </c>
      <c r="O12" t="s">
        <v>7184</v>
      </c>
      <c r="P12">
        <v>1</v>
      </c>
      <c r="Q12">
        <v>1199</v>
      </c>
      <c r="R12">
        <v>0.2</v>
      </c>
      <c r="S12">
        <v>1199</v>
      </c>
      <c r="T12">
        <v>239.8</v>
      </c>
      <c r="U12">
        <v>959.2</v>
      </c>
      <c r="V12">
        <v>492</v>
      </c>
      <c r="W12">
        <v>492</v>
      </c>
      <c r="X12">
        <v>60</v>
      </c>
      <c r="Y12">
        <v>407.20000000000005</v>
      </c>
      <c r="Z12">
        <v>0.42452043369474562</v>
      </c>
      <c r="AA12" t="s">
        <v>18</v>
      </c>
      <c r="AB12" s="1">
        <v>45355</v>
      </c>
      <c r="AC12">
        <v>2</v>
      </c>
      <c r="AD12" t="s">
        <v>7309</v>
      </c>
      <c r="AE12">
        <v>3</v>
      </c>
      <c r="AF12">
        <v>0</v>
      </c>
    </row>
    <row r="13" spans="1:32" x14ac:dyDescent="0.3">
      <c r="A13" t="s">
        <v>3153</v>
      </c>
      <c r="B13" s="1">
        <v>45354</v>
      </c>
      <c r="C13">
        <v>2024</v>
      </c>
      <c r="D13" s="1">
        <v>45352</v>
      </c>
      <c r="E13">
        <v>3</v>
      </c>
      <c r="F13" t="s">
        <v>3154</v>
      </c>
      <c r="G13" t="s">
        <v>7338</v>
      </c>
      <c r="H13" t="s">
        <v>167</v>
      </c>
      <c r="I13" t="s">
        <v>7234</v>
      </c>
      <c r="J13" t="s">
        <v>7231</v>
      </c>
      <c r="K13" t="s">
        <v>168</v>
      </c>
      <c r="L13" t="s">
        <v>50</v>
      </c>
      <c r="M13" t="s">
        <v>40</v>
      </c>
      <c r="N13" t="s">
        <v>7204</v>
      </c>
      <c r="O13" t="s">
        <v>7205</v>
      </c>
      <c r="P13">
        <v>1</v>
      </c>
      <c r="Q13">
        <v>499</v>
      </c>
      <c r="R13">
        <v>0</v>
      </c>
      <c r="S13">
        <v>499</v>
      </c>
      <c r="T13">
        <v>0</v>
      </c>
      <c r="U13">
        <v>499</v>
      </c>
      <c r="V13">
        <v>150</v>
      </c>
      <c r="W13">
        <v>150</v>
      </c>
      <c r="X13">
        <v>60</v>
      </c>
      <c r="Y13">
        <v>289</v>
      </c>
      <c r="Z13">
        <v>0.57915831663326656</v>
      </c>
      <c r="AA13" t="s">
        <v>2522</v>
      </c>
      <c r="AB13" s="1">
        <v>45357</v>
      </c>
      <c r="AC13">
        <v>3</v>
      </c>
      <c r="AD13" t="s">
        <v>7310</v>
      </c>
      <c r="AE13">
        <v>4</v>
      </c>
      <c r="AF13">
        <v>0</v>
      </c>
    </row>
    <row r="14" spans="1:32" x14ac:dyDescent="0.3">
      <c r="A14" t="s">
        <v>5072</v>
      </c>
      <c r="B14" s="1">
        <v>45354</v>
      </c>
      <c r="C14">
        <v>2024</v>
      </c>
      <c r="D14" s="1">
        <v>45352</v>
      </c>
      <c r="E14">
        <v>3</v>
      </c>
      <c r="F14" t="s">
        <v>4145</v>
      </c>
      <c r="G14" t="s">
        <v>7338</v>
      </c>
      <c r="H14" t="s">
        <v>71</v>
      </c>
      <c r="I14" t="s">
        <v>7229</v>
      </c>
      <c r="J14" t="s">
        <v>7224</v>
      </c>
      <c r="K14" t="s">
        <v>81</v>
      </c>
      <c r="L14" t="s">
        <v>16</v>
      </c>
      <c r="M14" t="s">
        <v>29</v>
      </c>
      <c r="N14" t="s">
        <v>7186</v>
      </c>
      <c r="O14" t="s">
        <v>7184</v>
      </c>
      <c r="P14">
        <v>2</v>
      </c>
      <c r="Q14">
        <v>1199</v>
      </c>
      <c r="R14">
        <v>0.15</v>
      </c>
      <c r="S14">
        <v>2398</v>
      </c>
      <c r="T14">
        <v>359.7</v>
      </c>
      <c r="U14">
        <v>2038.3</v>
      </c>
      <c r="V14">
        <v>492</v>
      </c>
      <c r="W14">
        <v>984</v>
      </c>
      <c r="X14">
        <v>60</v>
      </c>
      <c r="Y14">
        <v>994.3</v>
      </c>
      <c r="Z14">
        <v>0.48780846784084775</v>
      </c>
      <c r="AA14" t="s">
        <v>3495</v>
      </c>
      <c r="AB14" s="1">
        <v>45357</v>
      </c>
      <c r="AC14">
        <v>3</v>
      </c>
      <c r="AD14" t="s">
        <v>7310</v>
      </c>
      <c r="AE14">
        <v>4</v>
      </c>
      <c r="AF14">
        <v>0</v>
      </c>
    </row>
    <row r="15" spans="1:32" x14ac:dyDescent="0.3">
      <c r="A15" t="s">
        <v>6845</v>
      </c>
      <c r="B15" s="1">
        <v>45354</v>
      </c>
      <c r="C15">
        <v>2024</v>
      </c>
      <c r="D15" s="1">
        <v>45352</v>
      </c>
      <c r="E15">
        <v>3</v>
      </c>
      <c r="F15" t="s">
        <v>6846</v>
      </c>
      <c r="G15" t="s">
        <v>7338</v>
      </c>
      <c r="H15" t="s">
        <v>27</v>
      </c>
      <c r="I15" t="s">
        <v>7228</v>
      </c>
      <c r="J15" t="s">
        <v>7221</v>
      </c>
      <c r="K15" t="s">
        <v>28</v>
      </c>
      <c r="L15" t="s">
        <v>65</v>
      </c>
      <c r="M15" t="s">
        <v>29</v>
      </c>
      <c r="N15" t="s">
        <v>7186</v>
      </c>
      <c r="O15" t="s">
        <v>7184</v>
      </c>
      <c r="P15">
        <v>3</v>
      </c>
      <c r="Q15">
        <v>1199</v>
      </c>
      <c r="R15">
        <v>0.2</v>
      </c>
      <c r="S15">
        <v>3597</v>
      </c>
      <c r="T15">
        <v>719.40000000000009</v>
      </c>
      <c r="U15">
        <v>2877.6</v>
      </c>
      <c r="V15">
        <v>492</v>
      </c>
      <c r="W15">
        <v>1476</v>
      </c>
      <c r="X15">
        <v>120</v>
      </c>
      <c r="Y15">
        <v>1281.5999999999999</v>
      </c>
      <c r="Z15">
        <v>0.44537114261884903</v>
      </c>
      <c r="AA15" t="s">
        <v>4074</v>
      </c>
      <c r="AB15" s="1">
        <v>45356</v>
      </c>
      <c r="AC15">
        <v>2</v>
      </c>
      <c r="AD15" t="s">
        <v>7309</v>
      </c>
      <c r="AF15">
        <v>1</v>
      </c>
    </row>
    <row r="16" spans="1:32" x14ac:dyDescent="0.3">
      <c r="A16" t="s">
        <v>4334</v>
      </c>
      <c r="B16" s="1">
        <v>45354</v>
      </c>
      <c r="C16">
        <v>2024</v>
      </c>
      <c r="D16" s="1">
        <v>45352</v>
      </c>
      <c r="E16">
        <v>3</v>
      </c>
      <c r="F16" t="s">
        <v>3586</v>
      </c>
      <c r="G16" t="s">
        <v>7338</v>
      </c>
      <c r="H16" t="s">
        <v>128</v>
      </c>
      <c r="I16" t="s">
        <v>7218</v>
      </c>
      <c r="J16" t="s">
        <v>7212</v>
      </c>
      <c r="K16" t="s">
        <v>129</v>
      </c>
      <c r="L16" t="s">
        <v>16</v>
      </c>
      <c r="M16" t="s">
        <v>205</v>
      </c>
      <c r="N16" t="s">
        <v>7189</v>
      </c>
      <c r="O16" t="s">
        <v>7190</v>
      </c>
      <c r="P16">
        <v>1</v>
      </c>
      <c r="Q16">
        <v>2999</v>
      </c>
      <c r="R16">
        <v>0.2</v>
      </c>
      <c r="S16">
        <v>2999</v>
      </c>
      <c r="T16">
        <v>599.80000000000007</v>
      </c>
      <c r="U16">
        <v>2399.1999999999998</v>
      </c>
      <c r="V16">
        <v>1440</v>
      </c>
      <c r="W16">
        <v>1440</v>
      </c>
      <c r="X16">
        <v>60</v>
      </c>
      <c r="Y16">
        <v>899.19999999999982</v>
      </c>
      <c r="Z16">
        <v>0.3747915971990663</v>
      </c>
      <c r="AA16" t="s">
        <v>4074</v>
      </c>
      <c r="AB16" s="1">
        <v>45356</v>
      </c>
      <c r="AC16">
        <v>2</v>
      </c>
      <c r="AD16" t="s">
        <v>7309</v>
      </c>
      <c r="AE16">
        <v>4</v>
      </c>
      <c r="AF16">
        <v>0</v>
      </c>
    </row>
    <row r="17" spans="1:32" x14ac:dyDescent="0.3">
      <c r="A17" t="s">
        <v>4904</v>
      </c>
      <c r="B17" s="1">
        <v>45355</v>
      </c>
      <c r="C17">
        <v>2024</v>
      </c>
      <c r="D17" s="1">
        <v>45352</v>
      </c>
      <c r="E17">
        <v>3</v>
      </c>
      <c r="F17" t="s">
        <v>4905</v>
      </c>
      <c r="G17" t="s">
        <v>7338</v>
      </c>
      <c r="H17" t="s">
        <v>27</v>
      </c>
      <c r="I17" t="s">
        <v>7228</v>
      </c>
      <c r="J17" t="s">
        <v>7221</v>
      </c>
      <c r="K17" t="s">
        <v>28</v>
      </c>
      <c r="L17" t="s">
        <v>16</v>
      </c>
      <c r="M17" t="s">
        <v>87</v>
      </c>
      <c r="N17" t="s">
        <v>7185</v>
      </c>
      <c r="O17" t="s">
        <v>7184</v>
      </c>
      <c r="P17">
        <v>2</v>
      </c>
      <c r="Q17">
        <v>1499</v>
      </c>
      <c r="R17">
        <v>0.4</v>
      </c>
      <c r="S17">
        <v>2998</v>
      </c>
      <c r="T17">
        <v>1199.2</v>
      </c>
      <c r="U17">
        <v>1798.8</v>
      </c>
      <c r="V17">
        <v>630</v>
      </c>
      <c r="W17">
        <v>1260</v>
      </c>
      <c r="X17">
        <v>60</v>
      </c>
      <c r="Y17">
        <v>478.79999999999995</v>
      </c>
      <c r="Z17">
        <v>0.26617745163442291</v>
      </c>
      <c r="AA17" t="s">
        <v>4074</v>
      </c>
      <c r="AB17" s="1">
        <v>45359</v>
      </c>
      <c r="AC17">
        <v>4</v>
      </c>
      <c r="AD17" t="s">
        <v>7310</v>
      </c>
      <c r="AE17">
        <v>3</v>
      </c>
      <c r="AF17">
        <v>0</v>
      </c>
    </row>
    <row r="18" spans="1:32" x14ac:dyDescent="0.3">
      <c r="A18" t="s">
        <v>3155</v>
      </c>
      <c r="B18" s="1">
        <v>45355</v>
      </c>
      <c r="C18">
        <v>2024</v>
      </c>
      <c r="D18" s="1">
        <v>45352</v>
      </c>
      <c r="E18">
        <v>3</v>
      </c>
      <c r="F18" t="s">
        <v>1089</v>
      </c>
      <c r="G18" t="s">
        <v>7338</v>
      </c>
      <c r="H18" t="s">
        <v>482</v>
      </c>
      <c r="I18" t="s">
        <v>7226</v>
      </c>
      <c r="J18" t="s">
        <v>7221</v>
      </c>
      <c r="K18" t="s">
        <v>483</v>
      </c>
      <c r="L18" t="s">
        <v>39</v>
      </c>
      <c r="M18" t="s">
        <v>228</v>
      </c>
      <c r="N18" t="s">
        <v>7201</v>
      </c>
      <c r="O18" t="s">
        <v>7200</v>
      </c>
      <c r="P18">
        <v>1</v>
      </c>
      <c r="Q18">
        <v>899</v>
      </c>
      <c r="R18">
        <v>0</v>
      </c>
      <c r="S18">
        <v>899</v>
      </c>
      <c r="T18">
        <v>0</v>
      </c>
      <c r="U18">
        <v>899</v>
      </c>
      <c r="V18">
        <v>494</v>
      </c>
      <c r="W18">
        <v>494</v>
      </c>
      <c r="X18">
        <v>60</v>
      </c>
      <c r="Y18">
        <v>345</v>
      </c>
      <c r="Z18">
        <v>0.38375973303670746</v>
      </c>
      <c r="AA18" t="s">
        <v>2522</v>
      </c>
      <c r="AB18" s="1">
        <v>45359</v>
      </c>
      <c r="AC18">
        <v>4</v>
      </c>
      <c r="AD18" t="s">
        <v>7310</v>
      </c>
      <c r="AE18">
        <v>4</v>
      </c>
      <c r="AF18">
        <v>0</v>
      </c>
    </row>
    <row r="19" spans="1:32" x14ac:dyDescent="0.3">
      <c r="A19" t="s">
        <v>5856</v>
      </c>
      <c r="B19" s="1">
        <v>45355</v>
      </c>
      <c r="C19">
        <v>2024</v>
      </c>
      <c r="D19" s="1">
        <v>45352</v>
      </c>
      <c r="E19">
        <v>3</v>
      </c>
      <c r="F19" t="s">
        <v>3705</v>
      </c>
      <c r="G19" t="s">
        <v>7339</v>
      </c>
      <c r="H19" t="s">
        <v>76</v>
      </c>
      <c r="I19" t="s">
        <v>7219</v>
      </c>
      <c r="J19" t="s">
        <v>7212</v>
      </c>
      <c r="K19" t="s">
        <v>118</v>
      </c>
      <c r="L19" t="s">
        <v>65</v>
      </c>
      <c r="M19" t="s">
        <v>125</v>
      </c>
      <c r="N19" t="s">
        <v>7194</v>
      </c>
      <c r="O19" t="s">
        <v>7195</v>
      </c>
      <c r="P19">
        <v>2</v>
      </c>
      <c r="Q19">
        <v>899</v>
      </c>
      <c r="R19">
        <v>0.05</v>
      </c>
      <c r="S19">
        <v>1798</v>
      </c>
      <c r="T19">
        <v>89.9</v>
      </c>
      <c r="U19">
        <v>1708.1</v>
      </c>
      <c r="V19">
        <v>378</v>
      </c>
      <c r="W19">
        <v>756</v>
      </c>
      <c r="X19">
        <v>120</v>
      </c>
      <c r="Y19">
        <v>832.09999999999991</v>
      </c>
      <c r="Z19">
        <v>0.48714946431707745</v>
      </c>
      <c r="AA19" t="s">
        <v>18</v>
      </c>
      <c r="AB19" s="1">
        <v>45359</v>
      </c>
      <c r="AC19">
        <v>4</v>
      </c>
      <c r="AD19" t="s">
        <v>7310</v>
      </c>
      <c r="AF19">
        <v>1</v>
      </c>
    </row>
    <row r="20" spans="1:32" x14ac:dyDescent="0.3">
      <c r="A20" t="s">
        <v>5303</v>
      </c>
      <c r="B20" s="1">
        <v>45355</v>
      </c>
      <c r="C20">
        <v>2024</v>
      </c>
      <c r="D20" s="1">
        <v>45352</v>
      </c>
      <c r="E20">
        <v>3</v>
      </c>
      <c r="F20" t="s">
        <v>1148</v>
      </c>
      <c r="G20" t="s">
        <v>7338</v>
      </c>
      <c r="H20" t="s">
        <v>54</v>
      </c>
      <c r="I20" t="s">
        <v>7216</v>
      </c>
      <c r="J20" t="s">
        <v>7212</v>
      </c>
      <c r="K20" t="s">
        <v>55</v>
      </c>
      <c r="L20" t="s">
        <v>65</v>
      </c>
      <c r="M20" t="s">
        <v>179</v>
      </c>
      <c r="N20" t="s">
        <v>7206</v>
      </c>
      <c r="O20" t="s">
        <v>7205</v>
      </c>
      <c r="P20">
        <v>2</v>
      </c>
      <c r="Q20">
        <v>2299</v>
      </c>
      <c r="R20">
        <v>0.4</v>
      </c>
      <c r="S20">
        <v>4598</v>
      </c>
      <c r="T20">
        <v>1839.2</v>
      </c>
      <c r="U20">
        <v>2758.8</v>
      </c>
      <c r="V20">
        <v>1333</v>
      </c>
      <c r="W20">
        <v>2666</v>
      </c>
      <c r="X20">
        <v>60</v>
      </c>
      <c r="Y20">
        <v>32.800000000000182</v>
      </c>
      <c r="Z20">
        <v>1.188922720023205E-2</v>
      </c>
      <c r="AA20" t="s">
        <v>2522</v>
      </c>
      <c r="AB20" s="1">
        <v>45360</v>
      </c>
      <c r="AC20">
        <v>5</v>
      </c>
      <c r="AD20" t="s">
        <v>7311</v>
      </c>
      <c r="AE20">
        <v>3</v>
      </c>
      <c r="AF20">
        <v>0</v>
      </c>
    </row>
    <row r="21" spans="1:32" x14ac:dyDescent="0.3">
      <c r="A21" t="s">
        <v>3851</v>
      </c>
      <c r="B21" s="1">
        <v>45356</v>
      </c>
      <c r="C21">
        <v>2024</v>
      </c>
      <c r="D21" s="1">
        <v>45352</v>
      </c>
      <c r="E21">
        <v>3</v>
      </c>
      <c r="F21" t="s">
        <v>3852</v>
      </c>
      <c r="G21" t="s">
        <v>7338</v>
      </c>
      <c r="H21" t="s">
        <v>27</v>
      </c>
      <c r="I21" t="s">
        <v>7228</v>
      </c>
      <c r="J21" t="s">
        <v>7221</v>
      </c>
      <c r="K21" t="s">
        <v>28</v>
      </c>
      <c r="L21" t="s">
        <v>23</v>
      </c>
      <c r="M21" t="s">
        <v>34</v>
      </c>
      <c r="N21" t="s">
        <v>7193</v>
      </c>
      <c r="O21" t="s">
        <v>7190</v>
      </c>
      <c r="P21">
        <v>1</v>
      </c>
      <c r="Q21">
        <v>399</v>
      </c>
      <c r="R21">
        <v>0.1</v>
      </c>
      <c r="S21">
        <v>399</v>
      </c>
      <c r="T21">
        <v>39.900000000000006</v>
      </c>
      <c r="U21">
        <v>359.1</v>
      </c>
      <c r="V21">
        <v>152</v>
      </c>
      <c r="W21">
        <v>152</v>
      </c>
      <c r="X21">
        <v>60</v>
      </c>
      <c r="Y21">
        <v>147.10000000000002</v>
      </c>
      <c r="Z21">
        <v>0.40963519910888335</v>
      </c>
      <c r="AA21" t="s">
        <v>3495</v>
      </c>
      <c r="AB21" s="1">
        <v>45361</v>
      </c>
      <c r="AC21">
        <v>5</v>
      </c>
      <c r="AD21" t="s">
        <v>7311</v>
      </c>
      <c r="AE21">
        <v>3</v>
      </c>
      <c r="AF21">
        <v>0</v>
      </c>
    </row>
    <row r="22" spans="1:32" x14ac:dyDescent="0.3">
      <c r="A22" t="s">
        <v>5304</v>
      </c>
      <c r="B22" s="1">
        <v>45356</v>
      </c>
      <c r="C22">
        <v>2024</v>
      </c>
      <c r="D22" s="1">
        <v>45352</v>
      </c>
      <c r="E22">
        <v>3</v>
      </c>
      <c r="F22" t="s">
        <v>1682</v>
      </c>
      <c r="G22" t="s">
        <v>7338</v>
      </c>
      <c r="H22" t="s">
        <v>43</v>
      </c>
      <c r="I22" t="s">
        <v>7225</v>
      </c>
      <c r="J22" t="s">
        <v>7224</v>
      </c>
      <c r="K22" t="s">
        <v>44</v>
      </c>
      <c r="L22" t="s">
        <v>16</v>
      </c>
      <c r="M22" t="s">
        <v>87</v>
      </c>
      <c r="N22" t="s">
        <v>7185</v>
      </c>
      <c r="O22" t="s">
        <v>7184</v>
      </c>
      <c r="P22">
        <v>2</v>
      </c>
      <c r="Q22">
        <v>1499</v>
      </c>
      <c r="R22">
        <v>0.4</v>
      </c>
      <c r="S22">
        <v>2998</v>
      </c>
      <c r="T22">
        <v>1199.2</v>
      </c>
      <c r="U22">
        <v>1798.8</v>
      </c>
      <c r="V22">
        <v>630</v>
      </c>
      <c r="W22">
        <v>1260</v>
      </c>
      <c r="X22">
        <v>60</v>
      </c>
      <c r="Y22">
        <v>478.79999999999995</v>
      </c>
      <c r="Z22">
        <v>0.26617745163442291</v>
      </c>
      <c r="AA22" t="s">
        <v>2522</v>
      </c>
      <c r="AB22" s="1">
        <v>45359</v>
      </c>
      <c r="AC22">
        <v>3</v>
      </c>
      <c r="AD22" t="s">
        <v>7310</v>
      </c>
      <c r="AF22">
        <v>0</v>
      </c>
    </row>
    <row r="23" spans="1:32" x14ac:dyDescent="0.3">
      <c r="A23" t="s">
        <v>3850</v>
      </c>
      <c r="B23" s="1">
        <v>45356</v>
      </c>
      <c r="C23">
        <v>2024</v>
      </c>
      <c r="D23" s="1">
        <v>45352</v>
      </c>
      <c r="E23">
        <v>3</v>
      </c>
      <c r="F23" t="s">
        <v>1801</v>
      </c>
      <c r="G23" t="s">
        <v>7338</v>
      </c>
      <c r="H23" t="s">
        <v>128</v>
      </c>
      <c r="I23" t="s">
        <v>7218</v>
      </c>
      <c r="J23" t="s">
        <v>7212</v>
      </c>
      <c r="K23" t="s">
        <v>129</v>
      </c>
      <c r="L23" t="s">
        <v>65</v>
      </c>
      <c r="M23" t="s">
        <v>148</v>
      </c>
      <c r="N23" t="s">
        <v>7202</v>
      </c>
      <c r="O23" t="s">
        <v>7200</v>
      </c>
      <c r="P23">
        <v>1</v>
      </c>
      <c r="Q23">
        <v>499</v>
      </c>
      <c r="R23">
        <v>0.05</v>
      </c>
      <c r="S23">
        <v>499</v>
      </c>
      <c r="T23">
        <v>24.950000000000003</v>
      </c>
      <c r="U23">
        <v>474.05</v>
      </c>
      <c r="V23">
        <v>200</v>
      </c>
      <c r="W23">
        <v>200</v>
      </c>
      <c r="X23">
        <v>60</v>
      </c>
      <c r="Y23">
        <v>214.05</v>
      </c>
      <c r="Z23">
        <v>0.45153464824385614</v>
      </c>
      <c r="AA23" t="s">
        <v>3495</v>
      </c>
      <c r="AB23" s="1">
        <v>45359</v>
      </c>
      <c r="AC23">
        <v>3</v>
      </c>
      <c r="AD23" t="s">
        <v>7310</v>
      </c>
      <c r="AE23">
        <v>3</v>
      </c>
      <c r="AF23">
        <v>0</v>
      </c>
    </row>
    <row r="24" spans="1:32" x14ac:dyDescent="0.3">
      <c r="A24" t="s">
        <v>6470</v>
      </c>
      <c r="B24" s="1">
        <v>45357</v>
      </c>
      <c r="C24">
        <v>2024</v>
      </c>
      <c r="D24" s="1">
        <v>45352</v>
      </c>
      <c r="E24">
        <v>3</v>
      </c>
      <c r="F24" t="s">
        <v>2073</v>
      </c>
      <c r="G24" t="s">
        <v>7338</v>
      </c>
      <c r="H24" t="s">
        <v>71</v>
      </c>
      <c r="I24" t="s">
        <v>7229</v>
      </c>
      <c r="J24" t="s">
        <v>7224</v>
      </c>
      <c r="K24" t="s">
        <v>72</v>
      </c>
      <c r="L24" t="s">
        <v>65</v>
      </c>
      <c r="M24" t="s">
        <v>73</v>
      </c>
      <c r="N24" t="s">
        <v>7176</v>
      </c>
      <c r="O24" t="s">
        <v>7173</v>
      </c>
      <c r="P24">
        <v>3</v>
      </c>
      <c r="Q24">
        <v>299</v>
      </c>
      <c r="R24">
        <v>0</v>
      </c>
      <c r="S24">
        <v>897</v>
      </c>
      <c r="T24">
        <v>0</v>
      </c>
      <c r="U24">
        <v>897</v>
      </c>
      <c r="V24">
        <v>90</v>
      </c>
      <c r="W24">
        <v>270</v>
      </c>
      <c r="X24">
        <v>60</v>
      </c>
      <c r="Y24">
        <v>567</v>
      </c>
      <c r="Z24">
        <v>0.63210702341137126</v>
      </c>
      <c r="AA24" t="s">
        <v>18</v>
      </c>
      <c r="AB24" s="1">
        <v>45358</v>
      </c>
      <c r="AC24">
        <v>1</v>
      </c>
      <c r="AD24" t="s">
        <v>7309</v>
      </c>
      <c r="AE24">
        <v>5</v>
      </c>
      <c r="AF24">
        <v>0</v>
      </c>
    </row>
    <row r="25" spans="1:32" x14ac:dyDescent="0.3">
      <c r="A25" t="s">
        <v>5755</v>
      </c>
      <c r="B25" s="1">
        <v>45357</v>
      </c>
      <c r="C25">
        <v>2024</v>
      </c>
      <c r="D25" s="1">
        <v>45352</v>
      </c>
      <c r="E25">
        <v>3</v>
      </c>
      <c r="F25" t="s">
        <v>3117</v>
      </c>
      <c r="G25" t="s">
        <v>7338</v>
      </c>
      <c r="H25" t="s">
        <v>27</v>
      </c>
      <c r="I25" t="s">
        <v>7228</v>
      </c>
      <c r="J25" t="s">
        <v>7221</v>
      </c>
      <c r="K25" t="s">
        <v>28</v>
      </c>
      <c r="L25" t="s">
        <v>50</v>
      </c>
      <c r="M25" t="s">
        <v>40</v>
      </c>
      <c r="N25" t="s">
        <v>7204</v>
      </c>
      <c r="O25" t="s">
        <v>7205</v>
      </c>
      <c r="P25">
        <v>2</v>
      </c>
      <c r="Q25">
        <v>499</v>
      </c>
      <c r="R25">
        <v>0.05</v>
      </c>
      <c r="S25">
        <v>998</v>
      </c>
      <c r="T25">
        <v>49.900000000000006</v>
      </c>
      <c r="U25">
        <v>948.1</v>
      </c>
      <c r="V25">
        <v>150</v>
      </c>
      <c r="W25">
        <v>300</v>
      </c>
      <c r="X25">
        <v>60</v>
      </c>
      <c r="Y25">
        <v>588.1</v>
      </c>
      <c r="Z25">
        <v>0.62029321801497728</v>
      </c>
      <c r="AA25" t="s">
        <v>18</v>
      </c>
      <c r="AB25" s="1">
        <v>45360</v>
      </c>
      <c r="AC25">
        <v>3</v>
      </c>
      <c r="AD25" t="s">
        <v>7310</v>
      </c>
      <c r="AE25">
        <v>5</v>
      </c>
      <c r="AF25">
        <v>0</v>
      </c>
    </row>
    <row r="26" spans="1:32" x14ac:dyDescent="0.3">
      <c r="A26" t="s">
        <v>3508</v>
      </c>
      <c r="B26" s="1">
        <v>45357</v>
      </c>
      <c r="C26">
        <v>2024</v>
      </c>
      <c r="D26" s="1">
        <v>45352</v>
      </c>
      <c r="E26">
        <v>3</v>
      </c>
      <c r="F26" t="s">
        <v>1328</v>
      </c>
      <c r="G26" t="s">
        <v>7338</v>
      </c>
      <c r="H26" t="s">
        <v>76</v>
      </c>
      <c r="I26" t="s">
        <v>7219</v>
      </c>
      <c r="J26" t="s">
        <v>7212</v>
      </c>
      <c r="K26" t="s">
        <v>77</v>
      </c>
      <c r="L26" t="s">
        <v>39</v>
      </c>
      <c r="M26" t="s">
        <v>160</v>
      </c>
      <c r="N26" t="s">
        <v>7175</v>
      </c>
      <c r="O26" t="s">
        <v>7173</v>
      </c>
      <c r="P26">
        <v>1</v>
      </c>
      <c r="Q26">
        <v>399</v>
      </c>
      <c r="R26">
        <v>0.15</v>
      </c>
      <c r="S26">
        <v>399</v>
      </c>
      <c r="T26">
        <v>59.849999999999994</v>
      </c>
      <c r="U26">
        <v>339.15</v>
      </c>
      <c r="V26">
        <v>112</v>
      </c>
      <c r="W26">
        <v>112</v>
      </c>
      <c r="X26">
        <v>60</v>
      </c>
      <c r="Y26">
        <v>167.14999999999998</v>
      </c>
      <c r="Z26">
        <v>0.49284977148754233</v>
      </c>
      <c r="AA26" t="s">
        <v>3495</v>
      </c>
      <c r="AB26" s="1">
        <v>45362</v>
      </c>
      <c r="AC26">
        <v>5</v>
      </c>
      <c r="AD26" t="s">
        <v>7311</v>
      </c>
      <c r="AE26">
        <v>4</v>
      </c>
      <c r="AF26">
        <v>0</v>
      </c>
    </row>
    <row r="27" spans="1:32" x14ac:dyDescent="0.3">
      <c r="A27" t="s">
        <v>4335</v>
      </c>
      <c r="B27" s="1">
        <v>45357</v>
      </c>
      <c r="C27">
        <v>2024</v>
      </c>
      <c r="D27" s="1">
        <v>45352</v>
      </c>
      <c r="E27">
        <v>3</v>
      </c>
      <c r="F27" t="s">
        <v>1071</v>
      </c>
      <c r="G27" t="s">
        <v>7339</v>
      </c>
      <c r="H27" t="s">
        <v>128</v>
      </c>
      <c r="I27" t="s">
        <v>7218</v>
      </c>
      <c r="J27" t="s">
        <v>7212</v>
      </c>
      <c r="K27" t="s">
        <v>129</v>
      </c>
      <c r="L27" t="s">
        <v>23</v>
      </c>
      <c r="M27" t="s">
        <v>78</v>
      </c>
      <c r="N27" t="s">
        <v>7177</v>
      </c>
      <c r="O27" t="s">
        <v>7173</v>
      </c>
      <c r="P27">
        <v>1</v>
      </c>
      <c r="Q27">
        <v>799</v>
      </c>
      <c r="R27">
        <v>0.1</v>
      </c>
      <c r="S27">
        <v>799</v>
      </c>
      <c r="T27">
        <v>79.900000000000006</v>
      </c>
      <c r="U27">
        <v>719.1</v>
      </c>
      <c r="V27">
        <v>216</v>
      </c>
      <c r="W27">
        <v>216</v>
      </c>
      <c r="X27">
        <v>60</v>
      </c>
      <c r="Y27">
        <v>443.1</v>
      </c>
      <c r="Z27">
        <v>0.61618690029203171</v>
      </c>
      <c r="AA27" t="s">
        <v>4074</v>
      </c>
      <c r="AB27" s="1">
        <v>45358</v>
      </c>
      <c r="AC27">
        <v>1</v>
      </c>
      <c r="AD27" t="s">
        <v>7309</v>
      </c>
      <c r="AE27">
        <v>4</v>
      </c>
      <c r="AF27">
        <v>0</v>
      </c>
    </row>
    <row r="28" spans="1:32" x14ac:dyDescent="0.3">
      <c r="A28" t="s">
        <v>6258</v>
      </c>
      <c r="B28" s="1">
        <v>45357</v>
      </c>
      <c r="C28">
        <v>2024</v>
      </c>
      <c r="D28" s="1">
        <v>45352</v>
      </c>
      <c r="E28">
        <v>3</v>
      </c>
      <c r="F28" t="s">
        <v>1725</v>
      </c>
      <c r="G28" t="s">
        <v>7338</v>
      </c>
      <c r="H28" t="s">
        <v>158</v>
      </c>
      <c r="I28" t="s">
        <v>7214</v>
      </c>
      <c r="J28" t="s">
        <v>7212</v>
      </c>
      <c r="K28" t="s">
        <v>159</v>
      </c>
      <c r="L28" t="s">
        <v>65</v>
      </c>
      <c r="M28" t="s">
        <v>51</v>
      </c>
      <c r="N28" t="s">
        <v>7182</v>
      </c>
      <c r="O28" t="s">
        <v>7179</v>
      </c>
      <c r="P28">
        <v>2</v>
      </c>
      <c r="Q28">
        <v>399</v>
      </c>
      <c r="R28">
        <v>0.3</v>
      </c>
      <c r="S28">
        <v>798</v>
      </c>
      <c r="T28">
        <v>239.39999999999998</v>
      </c>
      <c r="U28">
        <v>558.6</v>
      </c>
      <c r="V28">
        <v>136</v>
      </c>
      <c r="W28">
        <v>272</v>
      </c>
      <c r="X28">
        <v>60</v>
      </c>
      <c r="Y28">
        <v>226.60000000000002</v>
      </c>
      <c r="Z28">
        <v>0.40565699964196206</v>
      </c>
      <c r="AA28" t="s">
        <v>18</v>
      </c>
      <c r="AB28" s="1">
        <v>45360</v>
      </c>
      <c r="AC28">
        <v>3</v>
      </c>
      <c r="AD28" t="s">
        <v>7310</v>
      </c>
      <c r="AE28">
        <v>4</v>
      </c>
      <c r="AF28">
        <v>0</v>
      </c>
    </row>
    <row r="29" spans="1:32" x14ac:dyDescent="0.3">
      <c r="A29" t="s">
        <v>5305</v>
      </c>
      <c r="B29" s="1">
        <v>45358</v>
      </c>
      <c r="C29">
        <v>2024</v>
      </c>
      <c r="D29" s="1">
        <v>45352</v>
      </c>
      <c r="E29">
        <v>3</v>
      </c>
      <c r="F29" t="s">
        <v>1479</v>
      </c>
      <c r="G29" t="s">
        <v>7338</v>
      </c>
      <c r="H29" t="s">
        <v>37</v>
      </c>
      <c r="I29" t="s">
        <v>7223</v>
      </c>
      <c r="J29" t="s">
        <v>7224</v>
      </c>
      <c r="K29" t="s">
        <v>247</v>
      </c>
      <c r="L29" t="s">
        <v>23</v>
      </c>
      <c r="M29" t="s">
        <v>228</v>
      </c>
      <c r="N29" t="s">
        <v>7201</v>
      </c>
      <c r="O29" t="s">
        <v>7200</v>
      </c>
      <c r="P29">
        <v>2</v>
      </c>
      <c r="Q29">
        <v>899</v>
      </c>
      <c r="R29">
        <v>0.05</v>
      </c>
      <c r="S29">
        <v>1798</v>
      </c>
      <c r="T29">
        <v>89.9</v>
      </c>
      <c r="U29">
        <v>1708.1</v>
      </c>
      <c r="V29">
        <v>494</v>
      </c>
      <c r="W29">
        <v>988</v>
      </c>
      <c r="X29">
        <v>60</v>
      </c>
      <c r="Y29">
        <v>660.09999999999991</v>
      </c>
      <c r="Z29">
        <v>0.38645278379485976</v>
      </c>
      <c r="AA29" t="s">
        <v>2522</v>
      </c>
      <c r="AB29" s="1">
        <v>45361</v>
      </c>
      <c r="AC29">
        <v>3</v>
      </c>
      <c r="AD29" t="s">
        <v>7310</v>
      </c>
      <c r="AE29">
        <v>5</v>
      </c>
      <c r="AF29">
        <v>0</v>
      </c>
    </row>
    <row r="30" spans="1:32" x14ac:dyDescent="0.3">
      <c r="A30" t="s">
        <v>1634</v>
      </c>
      <c r="B30" s="1">
        <v>45358</v>
      </c>
      <c r="C30">
        <v>2024</v>
      </c>
      <c r="D30" s="1">
        <v>45352</v>
      </c>
      <c r="E30">
        <v>3</v>
      </c>
      <c r="F30" t="s">
        <v>224</v>
      </c>
      <c r="G30" t="s">
        <v>7339</v>
      </c>
      <c r="H30" t="s">
        <v>128</v>
      </c>
      <c r="I30" t="s">
        <v>7218</v>
      </c>
      <c r="J30" t="s">
        <v>7212</v>
      </c>
      <c r="K30" t="s">
        <v>129</v>
      </c>
      <c r="L30" t="s">
        <v>65</v>
      </c>
      <c r="M30" t="s">
        <v>66</v>
      </c>
      <c r="N30" t="s">
        <v>7174</v>
      </c>
      <c r="O30" t="s">
        <v>7173</v>
      </c>
      <c r="P30">
        <v>1</v>
      </c>
      <c r="Q30">
        <v>449</v>
      </c>
      <c r="R30">
        <v>0.1</v>
      </c>
      <c r="S30">
        <v>449</v>
      </c>
      <c r="T30">
        <v>44.900000000000006</v>
      </c>
      <c r="U30">
        <v>404.1</v>
      </c>
      <c r="V30">
        <v>144</v>
      </c>
      <c r="W30">
        <v>144</v>
      </c>
      <c r="X30">
        <v>60</v>
      </c>
      <c r="Y30">
        <v>200.10000000000002</v>
      </c>
      <c r="Z30">
        <v>0.4951744617668894</v>
      </c>
      <c r="AA30" t="s">
        <v>18</v>
      </c>
      <c r="AB30" s="1">
        <v>45359</v>
      </c>
      <c r="AC30">
        <v>1</v>
      </c>
      <c r="AD30" t="s">
        <v>7309</v>
      </c>
      <c r="AF30">
        <v>0</v>
      </c>
    </row>
    <row r="31" spans="1:32" x14ac:dyDescent="0.3">
      <c r="A31" t="s">
        <v>4081</v>
      </c>
      <c r="B31" s="1">
        <v>45358</v>
      </c>
      <c r="C31">
        <v>2024</v>
      </c>
      <c r="D31" s="1">
        <v>45352</v>
      </c>
      <c r="E31">
        <v>3</v>
      </c>
      <c r="F31" t="s">
        <v>333</v>
      </c>
      <c r="G31" t="s">
        <v>7338</v>
      </c>
      <c r="H31" t="s">
        <v>128</v>
      </c>
      <c r="I31" t="s">
        <v>7218</v>
      </c>
      <c r="J31" t="s">
        <v>7212</v>
      </c>
      <c r="K31" t="s">
        <v>129</v>
      </c>
      <c r="L31" t="s">
        <v>50</v>
      </c>
      <c r="M31" t="s">
        <v>66</v>
      </c>
      <c r="N31" t="s">
        <v>7174</v>
      </c>
      <c r="O31" t="s">
        <v>7173</v>
      </c>
      <c r="P31">
        <v>1</v>
      </c>
      <c r="Q31">
        <v>449</v>
      </c>
      <c r="R31">
        <v>0.05</v>
      </c>
      <c r="S31">
        <v>449</v>
      </c>
      <c r="T31">
        <v>22.450000000000003</v>
      </c>
      <c r="U31">
        <v>426.55</v>
      </c>
      <c r="V31">
        <v>144</v>
      </c>
      <c r="W31">
        <v>144</v>
      </c>
      <c r="X31">
        <v>60</v>
      </c>
      <c r="Y31">
        <v>222.55</v>
      </c>
      <c r="Z31">
        <v>0.52174422693705313</v>
      </c>
      <c r="AA31" t="s">
        <v>4074</v>
      </c>
      <c r="AB31" s="1">
        <v>45359</v>
      </c>
      <c r="AC31">
        <v>1</v>
      </c>
      <c r="AD31" t="s">
        <v>7309</v>
      </c>
      <c r="AE31">
        <v>5</v>
      </c>
      <c r="AF31">
        <v>0</v>
      </c>
    </row>
    <row r="32" spans="1:32" x14ac:dyDescent="0.3">
      <c r="A32" t="s">
        <v>2223</v>
      </c>
      <c r="B32" s="1">
        <v>45358</v>
      </c>
      <c r="C32">
        <v>2024</v>
      </c>
      <c r="D32" s="1">
        <v>45352</v>
      </c>
      <c r="E32">
        <v>3</v>
      </c>
      <c r="F32" t="s">
        <v>2224</v>
      </c>
      <c r="G32" t="s">
        <v>7338</v>
      </c>
      <c r="H32" t="s">
        <v>48</v>
      </c>
      <c r="I32" t="s">
        <v>7217</v>
      </c>
      <c r="J32" t="s">
        <v>7212</v>
      </c>
      <c r="K32" t="s">
        <v>49</v>
      </c>
      <c r="L32" t="s">
        <v>65</v>
      </c>
      <c r="M32" t="s">
        <v>34</v>
      </c>
      <c r="N32" t="s">
        <v>7193</v>
      </c>
      <c r="O32" t="s">
        <v>7190</v>
      </c>
      <c r="P32">
        <v>1</v>
      </c>
      <c r="Q32">
        <v>399</v>
      </c>
      <c r="R32">
        <v>0.15</v>
      </c>
      <c r="S32">
        <v>399</v>
      </c>
      <c r="T32">
        <v>59.849999999999994</v>
      </c>
      <c r="U32">
        <v>339.15</v>
      </c>
      <c r="V32">
        <v>152</v>
      </c>
      <c r="W32">
        <v>152</v>
      </c>
      <c r="X32">
        <v>120</v>
      </c>
      <c r="Y32">
        <v>67.149999999999977</v>
      </c>
      <c r="Z32">
        <v>0.19799498746867161</v>
      </c>
      <c r="AA32" t="s">
        <v>18</v>
      </c>
      <c r="AB32" s="1">
        <v>45360</v>
      </c>
      <c r="AC32">
        <v>2</v>
      </c>
      <c r="AD32" t="s">
        <v>7309</v>
      </c>
      <c r="AE32">
        <v>5</v>
      </c>
      <c r="AF32">
        <v>1</v>
      </c>
    </row>
    <row r="33" spans="1:32" x14ac:dyDescent="0.3">
      <c r="A33" t="s">
        <v>7048</v>
      </c>
      <c r="B33" s="1">
        <v>45358</v>
      </c>
      <c r="C33">
        <v>2024</v>
      </c>
      <c r="D33" s="1">
        <v>45352</v>
      </c>
      <c r="E33">
        <v>3</v>
      </c>
      <c r="F33" t="s">
        <v>440</v>
      </c>
      <c r="G33" t="s">
        <v>7339</v>
      </c>
      <c r="H33" t="s">
        <v>54</v>
      </c>
      <c r="I33" t="s">
        <v>7216</v>
      </c>
      <c r="J33" t="s">
        <v>7212</v>
      </c>
      <c r="K33" t="s">
        <v>55</v>
      </c>
      <c r="L33" t="s">
        <v>23</v>
      </c>
      <c r="M33" t="s">
        <v>34</v>
      </c>
      <c r="N33" t="s">
        <v>7193</v>
      </c>
      <c r="O33" t="s">
        <v>7190</v>
      </c>
      <c r="P33">
        <v>4</v>
      </c>
      <c r="Q33">
        <v>399</v>
      </c>
      <c r="R33">
        <v>0.05</v>
      </c>
      <c r="S33">
        <v>1596</v>
      </c>
      <c r="T33">
        <v>79.800000000000011</v>
      </c>
      <c r="U33">
        <v>1516.2</v>
      </c>
      <c r="V33">
        <v>152</v>
      </c>
      <c r="W33">
        <v>608</v>
      </c>
      <c r="X33">
        <v>60</v>
      </c>
      <c r="Y33">
        <v>848.2</v>
      </c>
      <c r="Z33">
        <v>0.55942487798443474</v>
      </c>
      <c r="AA33" t="s">
        <v>18</v>
      </c>
      <c r="AB33" s="1">
        <v>45362</v>
      </c>
      <c r="AC33">
        <v>4</v>
      </c>
      <c r="AD33" t="s">
        <v>7310</v>
      </c>
      <c r="AF33">
        <v>0</v>
      </c>
    </row>
    <row r="34" spans="1:32" x14ac:dyDescent="0.3">
      <c r="A34" t="s">
        <v>5857</v>
      </c>
      <c r="B34" s="1">
        <v>45359</v>
      </c>
      <c r="C34">
        <v>2024</v>
      </c>
      <c r="D34" s="1">
        <v>45352</v>
      </c>
      <c r="E34">
        <v>3</v>
      </c>
      <c r="F34" t="s">
        <v>1406</v>
      </c>
      <c r="G34" t="s">
        <v>7338</v>
      </c>
      <c r="H34" t="s">
        <v>95</v>
      </c>
      <c r="I34" t="s">
        <v>7230</v>
      </c>
      <c r="J34" t="s">
        <v>7231</v>
      </c>
      <c r="K34" t="s">
        <v>96</v>
      </c>
      <c r="L34" t="s">
        <v>39</v>
      </c>
      <c r="M34" t="s">
        <v>61</v>
      </c>
      <c r="N34" t="s">
        <v>7208</v>
      </c>
      <c r="O34" t="s">
        <v>7205</v>
      </c>
      <c r="P34">
        <v>2</v>
      </c>
      <c r="Q34">
        <v>699</v>
      </c>
      <c r="R34">
        <v>0.15</v>
      </c>
      <c r="S34">
        <v>1398</v>
      </c>
      <c r="T34">
        <v>209.7</v>
      </c>
      <c r="U34">
        <v>1188.3</v>
      </c>
      <c r="V34">
        <v>238</v>
      </c>
      <c r="W34">
        <v>476</v>
      </c>
      <c r="X34">
        <v>60</v>
      </c>
      <c r="Y34">
        <v>652.29999999999995</v>
      </c>
      <c r="Z34">
        <v>0.54893545400993016</v>
      </c>
      <c r="AA34" t="s">
        <v>18</v>
      </c>
      <c r="AB34" s="1">
        <v>45363</v>
      </c>
      <c r="AC34">
        <v>4</v>
      </c>
      <c r="AD34" t="s">
        <v>7310</v>
      </c>
      <c r="AF34">
        <v>0</v>
      </c>
    </row>
    <row r="35" spans="1:32" x14ac:dyDescent="0.3">
      <c r="A35" t="s">
        <v>6663</v>
      </c>
      <c r="B35" s="1">
        <v>45359</v>
      </c>
      <c r="C35">
        <v>2024</v>
      </c>
      <c r="D35" s="1">
        <v>45352</v>
      </c>
      <c r="E35">
        <v>3</v>
      </c>
      <c r="F35" t="s">
        <v>4753</v>
      </c>
      <c r="G35" t="s">
        <v>7338</v>
      </c>
      <c r="H35" t="s">
        <v>27</v>
      </c>
      <c r="I35" t="s">
        <v>7228</v>
      </c>
      <c r="J35" t="s">
        <v>7221</v>
      </c>
      <c r="K35" t="s">
        <v>28</v>
      </c>
      <c r="L35" t="s">
        <v>50</v>
      </c>
      <c r="M35" t="s">
        <v>40</v>
      </c>
      <c r="N35" t="s">
        <v>7204</v>
      </c>
      <c r="O35" t="s">
        <v>7205</v>
      </c>
      <c r="P35">
        <v>3</v>
      </c>
      <c r="Q35">
        <v>499</v>
      </c>
      <c r="R35">
        <v>0.1</v>
      </c>
      <c r="S35">
        <v>1497</v>
      </c>
      <c r="T35">
        <v>149.70000000000002</v>
      </c>
      <c r="U35">
        <v>1347.3</v>
      </c>
      <c r="V35">
        <v>150</v>
      </c>
      <c r="W35">
        <v>450</v>
      </c>
      <c r="X35">
        <v>60</v>
      </c>
      <c r="Y35">
        <v>837.3</v>
      </c>
      <c r="Z35">
        <v>0.62146515252727674</v>
      </c>
      <c r="AA35" t="s">
        <v>2522</v>
      </c>
      <c r="AB35" s="1">
        <v>45362</v>
      </c>
      <c r="AC35">
        <v>3</v>
      </c>
      <c r="AD35" t="s">
        <v>7310</v>
      </c>
      <c r="AE35">
        <v>4</v>
      </c>
      <c r="AF35">
        <v>0</v>
      </c>
    </row>
    <row r="36" spans="1:32" x14ac:dyDescent="0.3">
      <c r="A36" t="s">
        <v>3156</v>
      </c>
      <c r="B36" s="1">
        <v>45359</v>
      </c>
      <c r="C36">
        <v>2024</v>
      </c>
      <c r="D36" s="1">
        <v>45352</v>
      </c>
      <c r="E36">
        <v>3</v>
      </c>
      <c r="F36" t="s">
        <v>3157</v>
      </c>
      <c r="G36" t="s">
        <v>7338</v>
      </c>
      <c r="H36" t="s">
        <v>27</v>
      </c>
      <c r="I36" t="s">
        <v>7228</v>
      </c>
      <c r="J36" t="s">
        <v>7221</v>
      </c>
      <c r="K36" t="s">
        <v>28</v>
      </c>
      <c r="L36" t="s">
        <v>39</v>
      </c>
      <c r="M36" t="s">
        <v>78</v>
      </c>
      <c r="N36" t="s">
        <v>7177</v>
      </c>
      <c r="O36" t="s">
        <v>7173</v>
      </c>
      <c r="P36">
        <v>1</v>
      </c>
      <c r="Q36">
        <v>799</v>
      </c>
      <c r="R36">
        <v>0</v>
      </c>
      <c r="S36">
        <v>799</v>
      </c>
      <c r="T36">
        <v>0</v>
      </c>
      <c r="U36">
        <v>799</v>
      </c>
      <c r="V36">
        <v>216</v>
      </c>
      <c r="W36">
        <v>216</v>
      </c>
      <c r="X36">
        <v>60</v>
      </c>
      <c r="Y36">
        <v>523</v>
      </c>
      <c r="Z36">
        <v>0.65456821026282852</v>
      </c>
      <c r="AA36" t="s">
        <v>2522</v>
      </c>
      <c r="AB36" s="1">
        <v>45361</v>
      </c>
      <c r="AC36">
        <v>2</v>
      </c>
      <c r="AD36" t="s">
        <v>7309</v>
      </c>
      <c r="AE36">
        <v>4</v>
      </c>
      <c r="AF36">
        <v>0</v>
      </c>
    </row>
    <row r="37" spans="1:32" x14ac:dyDescent="0.3">
      <c r="A37" t="s">
        <v>2495</v>
      </c>
      <c r="B37" s="1">
        <v>45359</v>
      </c>
      <c r="C37">
        <v>2024</v>
      </c>
      <c r="D37" s="1">
        <v>45352</v>
      </c>
      <c r="E37">
        <v>3</v>
      </c>
      <c r="F37" t="s">
        <v>2496</v>
      </c>
      <c r="G37" t="s">
        <v>7338</v>
      </c>
      <c r="H37" t="s">
        <v>132</v>
      </c>
      <c r="I37" t="s">
        <v>7222</v>
      </c>
      <c r="J37" t="s">
        <v>7221</v>
      </c>
      <c r="K37" t="s">
        <v>133</v>
      </c>
      <c r="L37" t="s">
        <v>16</v>
      </c>
      <c r="M37" t="s">
        <v>87</v>
      </c>
      <c r="N37" t="s">
        <v>7185</v>
      </c>
      <c r="O37" t="s">
        <v>7184</v>
      </c>
      <c r="P37">
        <v>1</v>
      </c>
      <c r="Q37">
        <v>1499</v>
      </c>
      <c r="R37">
        <v>0.4</v>
      </c>
      <c r="S37">
        <v>1499</v>
      </c>
      <c r="T37">
        <v>599.6</v>
      </c>
      <c r="U37">
        <v>899.4</v>
      </c>
      <c r="V37">
        <v>630</v>
      </c>
      <c r="W37">
        <v>630</v>
      </c>
      <c r="X37">
        <v>60</v>
      </c>
      <c r="Y37">
        <v>209.39999999999998</v>
      </c>
      <c r="Z37">
        <v>0.23282188125416942</v>
      </c>
      <c r="AA37" t="s">
        <v>18</v>
      </c>
      <c r="AB37" s="1">
        <v>45364</v>
      </c>
      <c r="AC37">
        <v>5</v>
      </c>
      <c r="AD37" t="s">
        <v>7311</v>
      </c>
      <c r="AE37">
        <v>2</v>
      </c>
      <c r="AF37">
        <v>0</v>
      </c>
    </row>
    <row r="38" spans="1:32" x14ac:dyDescent="0.3">
      <c r="A38" t="s">
        <v>3398</v>
      </c>
      <c r="B38" s="1">
        <v>45360</v>
      </c>
      <c r="C38">
        <v>2024</v>
      </c>
      <c r="D38" s="1">
        <v>45352</v>
      </c>
      <c r="E38">
        <v>3</v>
      </c>
      <c r="F38" t="s">
        <v>3399</v>
      </c>
      <c r="G38" t="s">
        <v>7338</v>
      </c>
      <c r="H38" t="s">
        <v>275</v>
      </c>
      <c r="I38" t="s">
        <v>7235</v>
      </c>
      <c r="J38" t="s">
        <v>7231</v>
      </c>
      <c r="K38" t="s">
        <v>276</v>
      </c>
      <c r="L38" t="s">
        <v>65</v>
      </c>
      <c r="M38" t="s">
        <v>40</v>
      </c>
      <c r="N38" t="s">
        <v>7204</v>
      </c>
      <c r="O38" t="s">
        <v>7205</v>
      </c>
      <c r="P38">
        <v>1</v>
      </c>
      <c r="Q38">
        <v>499</v>
      </c>
      <c r="R38">
        <v>0</v>
      </c>
      <c r="S38">
        <v>499</v>
      </c>
      <c r="T38">
        <v>0</v>
      </c>
      <c r="U38">
        <v>499</v>
      </c>
      <c r="V38">
        <v>150</v>
      </c>
      <c r="W38">
        <v>150</v>
      </c>
      <c r="X38">
        <v>120</v>
      </c>
      <c r="Y38">
        <v>229</v>
      </c>
      <c r="Z38">
        <v>0.4589178356713427</v>
      </c>
      <c r="AA38" t="s">
        <v>2522</v>
      </c>
      <c r="AB38" s="1">
        <v>45365</v>
      </c>
      <c r="AC38">
        <v>5</v>
      </c>
      <c r="AD38" t="s">
        <v>7311</v>
      </c>
      <c r="AE38">
        <v>4</v>
      </c>
      <c r="AF38">
        <v>1</v>
      </c>
    </row>
    <row r="39" spans="1:32" x14ac:dyDescent="0.3">
      <c r="A39" t="s">
        <v>5073</v>
      </c>
      <c r="B39" s="1">
        <v>45360</v>
      </c>
      <c r="C39">
        <v>2024</v>
      </c>
      <c r="D39" s="1">
        <v>45352</v>
      </c>
      <c r="E39">
        <v>3</v>
      </c>
      <c r="F39" t="s">
        <v>2889</v>
      </c>
      <c r="G39" t="s">
        <v>7338</v>
      </c>
      <c r="H39" t="s">
        <v>95</v>
      </c>
      <c r="I39" t="s">
        <v>7230</v>
      </c>
      <c r="J39" t="s">
        <v>7231</v>
      </c>
      <c r="K39" t="s">
        <v>96</v>
      </c>
      <c r="L39" t="s">
        <v>65</v>
      </c>
      <c r="M39" t="s">
        <v>87</v>
      </c>
      <c r="N39" t="s">
        <v>7185</v>
      </c>
      <c r="O39" t="s">
        <v>7184</v>
      </c>
      <c r="P39">
        <v>2</v>
      </c>
      <c r="Q39">
        <v>1499</v>
      </c>
      <c r="R39">
        <v>0.4</v>
      </c>
      <c r="S39">
        <v>2998</v>
      </c>
      <c r="T39">
        <v>1199.2</v>
      </c>
      <c r="U39">
        <v>1798.8</v>
      </c>
      <c r="V39">
        <v>630</v>
      </c>
      <c r="W39">
        <v>1260</v>
      </c>
      <c r="X39">
        <v>60</v>
      </c>
      <c r="Y39">
        <v>478.79999999999995</v>
      </c>
      <c r="Z39">
        <v>0.26617745163442291</v>
      </c>
      <c r="AA39" t="s">
        <v>3495</v>
      </c>
      <c r="AB39" s="1">
        <v>45361</v>
      </c>
      <c r="AC39">
        <v>1</v>
      </c>
      <c r="AD39" t="s">
        <v>7309</v>
      </c>
      <c r="AE39">
        <v>5</v>
      </c>
      <c r="AF39">
        <v>0</v>
      </c>
    </row>
    <row r="40" spans="1:32" x14ac:dyDescent="0.3">
      <c r="A40" t="s">
        <v>2225</v>
      </c>
      <c r="B40" s="1">
        <v>45360</v>
      </c>
      <c r="C40">
        <v>2024</v>
      </c>
      <c r="D40" s="1">
        <v>45352</v>
      </c>
      <c r="E40">
        <v>3</v>
      </c>
      <c r="F40" t="s">
        <v>2226</v>
      </c>
      <c r="G40" t="s">
        <v>7338</v>
      </c>
      <c r="H40" t="s">
        <v>27</v>
      </c>
      <c r="I40" t="s">
        <v>7228</v>
      </c>
      <c r="J40" t="s">
        <v>7221</v>
      </c>
      <c r="K40" t="s">
        <v>28</v>
      </c>
      <c r="L40" t="s">
        <v>16</v>
      </c>
      <c r="M40" t="s">
        <v>255</v>
      </c>
      <c r="N40" t="s">
        <v>7183</v>
      </c>
      <c r="O40" t="s">
        <v>7184</v>
      </c>
      <c r="P40">
        <v>1</v>
      </c>
      <c r="Q40">
        <v>799</v>
      </c>
      <c r="R40">
        <v>0</v>
      </c>
      <c r="S40">
        <v>799</v>
      </c>
      <c r="T40">
        <v>0</v>
      </c>
      <c r="U40">
        <v>799</v>
      </c>
      <c r="V40">
        <v>320</v>
      </c>
      <c r="W40">
        <v>320</v>
      </c>
      <c r="X40">
        <v>60</v>
      </c>
      <c r="Y40">
        <v>419</v>
      </c>
      <c r="Z40">
        <v>0.52440550688360454</v>
      </c>
      <c r="AA40" t="s">
        <v>18</v>
      </c>
      <c r="AB40" s="1">
        <v>45361</v>
      </c>
      <c r="AC40">
        <v>1</v>
      </c>
      <c r="AD40" t="s">
        <v>7309</v>
      </c>
      <c r="AE40">
        <v>5</v>
      </c>
      <c r="AF40">
        <v>0</v>
      </c>
    </row>
    <row r="41" spans="1:32" x14ac:dyDescent="0.3">
      <c r="A41" t="s">
        <v>4336</v>
      </c>
      <c r="B41" s="1">
        <v>45360</v>
      </c>
      <c r="C41">
        <v>2024</v>
      </c>
      <c r="D41" s="1">
        <v>45352</v>
      </c>
      <c r="E41">
        <v>3</v>
      </c>
      <c r="F41" t="s">
        <v>4185</v>
      </c>
      <c r="G41" t="s">
        <v>7338</v>
      </c>
      <c r="H41" t="s">
        <v>128</v>
      </c>
      <c r="I41" t="s">
        <v>7218</v>
      </c>
      <c r="J41" t="s">
        <v>7212</v>
      </c>
      <c r="K41" t="s">
        <v>129</v>
      </c>
      <c r="L41" t="s">
        <v>65</v>
      </c>
      <c r="M41" t="s">
        <v>17</v>
      </c>
      <c r="N41" t="s">
        <v>7191</v>
      </c>
      <c r="O41" t="s">
        <v>7190</v>
      </c>
      <c r="P41">
        <v>1</v>
      </c>
      <c r="Q41">
        <v>2199</v>
      </c>
      <c r="R41">
        <v>0.2</v>
      </c>
      <c r="S41">
        <v>2199</v>
      </c>
      <c r="T41">
        <v>439.8</v>
      </c>
      <c r="U41">
        <v>1759.2</v>
      </c>
      <c r="V41">
        <v>1034</v>
      </c>
      <c r="W41">
        <v>1034</v>
      </c>
      <c r="X41">
        <v>60</v>
      </c>
      <c r="Y41">
        <v>665.2</v>
      </c>
      <c r="Z41">
        <v>0.37812642110050027</v>
      </c>
      <c r="AA41" t="s">
        <v>4074</v>
      </c>
      <c r="AB41" s="1">
        <v>45363</v>
      </c>
      <c r="AC41">
        <v>3</v>
      </c>
      <c r="AD41" t="s">
        <v>7310</v>
      </c>
      <c r="AE41">
        <v>4</v>
      </c>
      <c r="AF41">
        <v>0</v>
      </c>
    </row>
    <row r="42" spans="1:32" x14ac:dyDescent="0.3">
      <c r="A42" t="s">
        <v>3400</v>
      </c>
      <c r="B42" s="1">
        <v>45361</v>
      </c>
      <c r="C42">
        <v>2024</v>
      </c>
      <c r="D42" s="1">
        <v>45352</v>
      </c>
      <c r="E42">
        <v>3</v>
      </c>
      <c r="F42" t="s">
        <v>1808</v>
      </c>
      <c r="G42" t="s">
        <v>7339</v>
      </c>
      <c r="H42" t="s">
        <v>59</v>
      </c>
      <c r="I42" t="s">
        <v>7237</v>
      </c>
      <c r="J42" t="s">
        <v>7231</v>
      </c>
      <c r="K42" t="s">
        <v>60</v>
      </c>
      <c r="L42" t="s">
        <v>65</v>
      </c>
      <c r="M42" t="s">
        <v>205</v>
      </c>
      <c r="N42" t="s">
        <v>7189</v>
      </c>
      <c r="O42" t="s">
        <v>7190</v>
      </c>
      <c r="P42">
        <v>1</v>
      </c>
      <c r="Q42">
        <v>2999</v>
      </c>
      <c r="R42">
        <v>0.15</v>
      </c>
      <c r="S42">
        <v>2999</v>
      </c>
      <c r="T42">
        <v>449.84999999999997</v>
      </c>
      <c r="U42">
        <v>2549.15</v>
      </c>
      <c r="V42">
        <v>1440</v>
      </c>
      <c r="W42">
        <v>1440</v>
      </c>
      <c r="X42">
        <v>120</v>
      </c>
      <c r="Y42">
        <v>989.15000000000009</v>
      </c>
      <c r="Z42">
        <v>0.3880313045524979</v>
      </c>
      <c r="AA42" t="s">
        <v>2522</v>
      </c>
      <c r="AB42" s="1">
        <v>45362</v>
      </c>
      <c r="AC42">
        <v>1</v>
      </c>
      <c r="AD42" t="s">
        <v>7309</v>
      </c>
      <c r="AE42">
        <v>4</v>
      </c>
      <c r="AF42">
        <v>1</v>
      </c>
    </row>
    <row r="43" spans="1:32" x14ac:dyDescent="0.3">
      <c r="A43" t="s">
        <v>79</v>
      </c>
      <c r="B43" s="1">
        <v>45361</v>
      </c>
      <c r="C43">
        <v>2024</v>
      </c>
      <c r="D43" s="1">
        <v>45352</v>
      </c>
      <c r="E43">
        <v>3</v>
      </c>
      <c r="F43" t="s">
        <v>80</v>
      </c>
      <c r="G43" t="s">
        <v>7338</v>
      </c>
      <c r="H43" t="s">
        <v>71</v>
      </c>
      <c r="I43" t="s">
        <v>7229</v>
      </c>
      <c r="J43" t="s">
        <v>7224</v>
      </c>
      <c r="K43" t="s">
        <v>81</v>
      </c>
      <c r="L43" t="s">
        <v>39</v>
      </c>
      <c r="M43" t="s">
        <v>34</v>
      </c>
      <c r="N43" t="s">
        <v>7193</v>
      </c>
      <c r="O43" t="s">
        <v>7190</v>
      </c>
      <c r="P43">
        <v>1</v>
      </c>
      <c r="Q43">
        <v>399</v>
      </c>
      <c r="R43">
        <v>0.1</v>
      </c>
      <c r="S43">
        <v>399</v>
      </c>
      <c r="T43">
        <v>39.900000000000006</v>
      </c>
      <c r="U43">
        <v>359.1</v>
      </c>
      <c r="V43">
        <v>152</v>
      </c>
      <c r="W43">
        <v>152</v>
      </c>
      <c r="X43">
        <v>60</v>
      </c>
      <c r="Y43">
        <v>147.10000000000002</v>
      </c>
      <c r="Z43">
        <v>0.40963519910888335</v>
      </c>
      <c r="AA43" t="s">
        <v>18</v>
      </c>
      <c r="AB43" s="1">
        <v>45366</v>
      </c>
      <c r="AC43">
        <v>5</v>
      </c>
      <c r="AD43" t="s">
        <v>7311</v>
      </c>
      <c r="AE43">
        <v>4</v>
      </c>
      <c r="AF43">
        <v>0</v>
      </c>
    </row>
    <row r="44" spans="1:32" x14ac:dyDescent="0.3">
      <c r="A44" t="s">
        <v>2229</v>
      </c>
      <c r="B44" s="1">
        <v>45361</v>
      </c>
      <c r="C44">
        <v>2024</v>
      </c>
      <c r="D44" s="1">
        <v>45352</v>
      </c>
      <c r="E44">
        <v>3</v>
      </c>
      <c r="F44" t="s">
        <v>1237</v>
      </c>
      <c r="G44" t="s">
        <v>7338</v>
      </c>
      <c r="H44" t="s">
        <v>71</v>
      </c>
      <c r="I44" t="s">
        <v>7229</v>
      </c>
      <c r="J44" t="s">
        <v>7224</v>
      </c>
      <c r="K44" t="s">
        <v>102</v>
      </c>
      <c r="L44" t="s">
        <v>16</v>
      </c>
      <c r="M44" t="s">
        <v>29</v>
      </c>
      <c r="N44" t="s">
        <v>7186</v>
      </c>
      <c r="O44" t="s">
        <v>7184</v>
      </c>
      <c r="P44">
        <v>1</v>
      </c>
      <c r="Q44">
        <v>1199</v>
      </c>
      <c r="R44">
        <v>0.15</v>
      </c>
      <c r="S44">
        <v>1199</v>
      </c>
      <c r="T44">
        <v>179.85</v>
      </c>
      <c r="U44">
        <v>1019.15</v>
      </c>
      <c r="V44">
        <v>492</v>
      </c>
      <c r="W44">
        <v>492</v>
      </c>
      <c r="X44">
        <v>120</v>
      </c>
      <c r="Y44">
        <v>407.15</v>
      </c>
      <c r="Z44">
        <v>0.3994995829858215</v>
      </c>
      <c r="AA44" t="s">
        <v>18</v>
      </c>
      <c r="AB44" s="1">
        <v>45362</v>
      </c>
      <c r="AC44">
        <v>1</v>
      </c>
      <c r="AD44" t="s">
        <v>7309</v>
      </c>
      <c r="AE44">
        <v>5</v>
      </c>
      <c r="AF44">
        <v>1</v>
      </c>
    </row>
    <row r="45" spans="1:32" x14ac:dyDescent="0.3">
      <c r="A45" t="s">
        <v>7049</v>
      </c>
      <c r="B45" s="1">
        <v>45361</v>
      </c>
      <c r="C45">
        <v>2024</v>
      </c>
      <c r="D45" s="1">
        <v>45352</v>
      </c>
      <c r="E45">
        <v>3</v>
      </c>
      <c r="F45" t="s">
        <v>3869</v>
      </c>
      <c r="G45" t="s">
        <v>7338</v>
      </c>
      <c r="H45" t="s">
        <v>132</v>
      </c>
      <c r="I45" t="s">
        <v>7222</v>
      </c>
      <c r="J45" t="s">
        <v>7221</v>
      </c>
      <c r="K45" t="s">
        <v>133</v>
      </c>
      <c r="L45" t="s">
        <v>50</v>
      </c>
      <c r="M45" t="s">
        <v>160</v>
      </c>
      <c r="N45" t="s">
        <v>7175</v>
      </c>
      <c r="O45" t="s">
        <v>7173</v>
      </c>
      <c r="P45">
        <v>4</v>
      </c>
      <c r="Q45">
        <v>399</v>
      </c>
      <c r="R45">
        <v>0.2</v>
      </c>
      <c r="S45">
        <v>1596</v>
      </c>
      <c r="T45">
        <v>319.20000000000005</v>
      </c>
      <c r="U45">
        <v>1276.8</v>
      </c>
      <c r="V45">
        <v>112</v>
      </c>
      <c r="W45">
        <v>448</v>
      </c>
      <c r="X45">
        <v>60</v>
      </c>
      <c r="Y45">
        <v>768.8</v>
      </c>
      <c r="Z45">
        <v>0.60213032581453629</v>
      </c>
      <c r="AA45" t="s">
        <v>18</v>
      </c>
      <c r="AB45" s="1">
        <v>45367</v>
      </c>
      <c r="AC45">
        <v>6</v>
      </c>
      <c r="AD45" t="s">
        <v>7311</v>
      </c>
      <c r="AE45">
        <v>3</v>
      </c>
      <c r="AF45">
        <v>0</v>
      </c>
    </row>
    <row r="46" spans="1:32" x14ac:dyDescent="0.3">
      <c r="A46" t="s">
        <v>6664</v>
      </c>
      <c r="B46" s="1">
        <v>45361</v>
      </c>
      <c r="C46">
        <v>2024</v>
      </c>
      <c r="D46" s="1">
        <v>45352</v>
      </c>
      <c r="E46">
        <v>3</v>
      </c>
      <c r="F46" t="s">
        <v>615</v>
      </c>
      <c r="G46" t="s">
        <v>7338</v>
      </c>
      <c r="H46" t="s">
        <v>128</v>
      </c>
      <c r="I46" t="s">
        <v>7218</v>
      </c>
      <c r="J46" t="s">
        <v>7212</v>
      </c>
      <c r="K46" t="s">
        <v>129</v>
      </c>
      <c r="L46" t="s">
        <v>23</v>
      </c>
      <c r="M46" t="s">
        <v>40</v>
      </c>
      <c r="N46" t="s">
        <v>7204</v>
      </c>
      <c r="O46" t="s">
        <v>7205</v>
      </c>
      <c r="P46">
        <v>3</v>
      </c>
      <c r="Q46">
        <v>499</v>
      </c>
      <c r="R46">
        <v>0</v>
      </c>
      <c r="S46">
        <v>1497</v>
      </c>
      <c r="T46">
        <v>0</v>
      </c>
      <c r="U46">
        <v>1497</v>
      </c>
      <c r="V46">
        <v>150</v>
      </c>
      <c r="W46">
        <v>450</v>
      </c>
      <c r="X46">
        <v>60</v>
      </c>
      <c r="Y46">
        <v>987</v>
      </c>
      <c r="Z46">
        <v>0.65931863727454909</v>
      </c>
      <c r="AA46" t="s">
        <v>2522</v>
      </c>
      <c r="AB46" s="1">
        <v>45363</v>
      </c>
      <c r="AC46">
        <v>2</v>
      </c>
      <c r="AD46" t="s">
        <v>7309</v>
      </c>
      <c r="AE46">
        <v>5</v>
      </c>
      <c r="AF46">
        <v>0</v>
      </c>
    </row>
    <row r="47" spans="1:32" x14ac:dyDescent="0.3">
      <c r="A47" t="s">
        <v>2227</v>
      </c>
      <c r="B47" s="1">
        <v>45361</v>
      </c>
      <c r="C47">
        <v>2024</v>
      </c>
      <c r="D47" s="1">
        <v>45352</v>
      </c>
      <c r="E47">
        <v>3</v>
      </c>
      <c r="F47" t="s">
        <v>2228</v>
      </c>
      <c r="G47" t="s">
        <v>7338</v>
      </c>
      <c r="H47" t="s">
        <v>48</v>
      </c>
      <c r="I47" t="s">
        <v>7217</v>
      </c>
      <c r="J47" t="s">
        <v>7212</v>
      </c>
      <c r="K47" t="s">
        <v>151</v>
      </c>
      <c r="L47" t="s">
        <v>16</v>
      </c>
      <c r="M47" t="s">
        <v>34</v>
      </c>
      <c r="N47" t="s">
        <v>7193</v>
      </c>
      <c r="O47" t="s">
        <v>7190</v>
      </c>
      <c r="P47">
        <v>1</v>
      </c>
      <c r="Q47">
        <v>399</v>
      </c>
      <c r="R47">
        <v>0.1</v>
      </c>
      <c r="S47">
        <v>399</v>
      </c>
      <c r="T47">
        <v>39.900000000000006</v>
      </c>
      <c r="U47">
        <v>359.1</v>
      </c>
      <c r="V47">
        <v>152</v>
      </c>
      <c r="W47">
        <v>152</v>
      </c>
      <c r="X47">
        <v>60</v>
      </c>
      <c r="Y47">
        <v>147.10000000000002</v>
      </c>
      <c r="Z47">
        <v>0.40963519910888335</v>
      </c>
      <c r="AA47" t="s">
        <v>18</v>
      </c>
      <c r="AB47" s="1">
        <v>45362</v>
      </c>
      <c r="AC47">
        <v>1</v>
      </c>
      <c r="AD47" t="s">
        <v>7309</v>
      </c>
      <c r="AE47">
        <v>5</v>
      </c>
      <c r="AF47">
        <v>0</v>
      </c>
    </row>
    <row r="48" spans="1:32" x14ac:dyDescent="0.3">
      <c r="A48" t="s">
        <v>6942</v>
      </c>
      <c r="B48" s="1">
        <v>45361</v>
      </c>
      <c r="C48">
        <v>2024</v>
      </c>
      <c r="D48" s="1">
        <v>45352</v>
      </c>
      <c r="E48">
        <v>3</v>
      </c>
      <c r="F48" t="s">
        <v>3177</v>
      </c>
      <c r="G48" t="s">
        <v>7339</v>
      </c>
      <c r="H48" t="s">
        <v>54</v>
      </c>
      <c r="I48" t="s">
        <v>7216</v>
      </c>
      <c r="J48" t="s">
        <v>7212</v>
      </c>
      <c r="K48" t="s">
        <v>55</v>
      </c>
      <c r="L48" t="s">
        <v>16</v>
      </c>
      <c r="M48" t="s">
        <v>87</v>
      </c>
      <c r="N48" t="s">
        <v>7185</v>
      </c>
      <c r="O48" t="s">
        <v>7184</v>
      </c>
      <c r="P48">
        <v>4</v>
      </c>
      <c r="Q48">
        <v>1499</v>
      </c>
      <c r="R48">
        <v>0.3</v>
      </c>
      <c r="S48">
        <v>5996</v>
      </c>
      <c r="T48">
        <v>1798.8</v>
      </c>
      <c r="U48">
        <v>4197.2</v>
      </c>
      <c r="V48">
        <v>630</v>
      </c>
      <c r="W48">
        <v>2520</v>
      </c>
      <c r="X48">
        <v>60</v>
      </c>
      <c r="Y48">
        <v>1617.1999999999998</v>
      </c>
      <c r="Z48">
        <v>0.38530448870675688</v>
      </c>
      <c r="AA48" t="s">
        <v>4450</v>
      </c>
      <c r="AB48" s="1">
        <v>45362</v>
      </c>
      <c r="AC48">
        <v>1</v>
      </c>
      <c r="AD48" t="s">
        <v>7309</v>
      </c>
      <c r="AE48">
        <v>4</v>
      </c>
      <c r="AF48">
        <v>0</v>
      </c>
    </row>
    <row r="49" spans="1:32" x14ac:dyDescent="0.3">
      <c r="A49" t="s">
        <v>2545</v>
      </c>
      <c r="B49" s="1">
        <v>45361</v>
      </c>
      <c r="C49">
        <v>2024</v>
      </c>
      <c r="D49" s="1">
        <v>45352</v>
      </c>
      <c r="E49">
        <v>3</v>
      </c>
      <c r="F49" t="s">
        <v>2546</v>
      </c>
      <c r="G49" t="s">
        <v>7338</v>
      </c>
      <c r="H49" t="s">
        <v>184</v>
      </c>
      <c r="I49" t="s">
        <v>7215</v>
      </c>
      <c r="J49" t="s">
        <v>7212</v>
      </c>
      <c r="K49" t="s">
        <v>185</v>
      </c>
      <c r="L49" t="s">
        <v>50</v>
      </c>
      <c r="M49" t="s">
        <v>78</v>
      </c>
      <c r="N49" t="s">
        <v>7177</v>
      </c>
      <c r="O49" t="s">
        <v>7173</v>
      </c>
      <c r="P49">
        <v>1</v>
      </c>
      <c r="Q49">
        <v>799</v>
      </c>
      <c r="R49">
        <v>0.05</v>
      </c>
      <c r="S49">
        <v>799</v>
      </c>
      <c r="T49">
        <v>39.950000000000003</v>
      </c>
      <c r="U49">
        <v>759.05</v>
      </c>
      <c r="V49">
        <v>216</v>
      </c>
      <c r="W49">
        <v>216</v>
      </c>
      <c r="X49">
        <v>60</v>
      </c>
      <c r="Y49">
        <v>483.04999999999995</v>
      </c>
      <c r="Z49">
        <v>0.63638758975034582</v>
      </c>
      <c r="AA49" t="s">
        <v>2522</v>
      </c>
      <c r="AB49" s="1">
        <v>45364</v>
      </c>
      <c r="AC49">
        <v>3</v>
      </c>
      <c r="AD49" t="s">
        <v>7310</v>
      </c>
      <c r="AE49">
        <v>5</v>
      </c>
      <c r="AF49">
        <v>0</v>
      </c>
    </row>
    <row r="50" spans="1:32" x14ac:dyDescent="0.3">
      <c r="A50" t="s">
        <v>443</v>
      </c>
      <c r="B50" s="1">
        <v>45362</v>
      </c>
      <c r="C50">
        <v>2024</v>
      </c>
      <c r="D50" s="1">
        <v>45352</v>
      </c>
      <c r="E50">
        <v>3</v>
      </c>
      <c r="F50" t="s">
        <v>444</v>
      </c>
      <c r="G50" t="s">
        <v>7338</v>
      </c>
      <c r="H50" t="s">
        <v>59</v>
      </c>
      <c r="I50" t="s">
        <v>7237</v>
      </c>
      <c r="J50" t="s">
        <v>7231</v>
      </c>
      <c r="K50" t="s">
        <v>64</v>
      </c>
      <c r="L50" t="s">
        <v>23</v>
      </c>
      <c r="M50" t="s">
        <v>78</v>
      </c>
      <c r="N50" t="s">
        <v>7177</v>
      </c>
      <c r="O50" t="s">
        <v>7173</v>
      </c>
      <c r="P50">
        <v>1</v>
      </c>
      <c r="Q50">
        <v>799</v>
      </c>
      <c r="R50">
        <v>0.1</v>
      </c>
      <c r="S50">
        <v>799</v>
      </c>
      <c r="T50">
        <v>79.900000000000006</v>
      </c>
      <c r="U50">
        <v>719.1</v>
      </c>
      <c r="V50">
        <v>216</v>
      </c>
      <c r="W50">
        <v>216</v>
      </c>
      <c r="X50">
        <v>60</v>
      </c>
      <c r="Y50">
        <v>443.1</v>
      </c>
      <c r="Z50">
        <v>0.61618690029203171</v>
      </c>
      <c r="AA50" t="s">
        <v>18</v>
      </c>
      <c r="AB50" s="1">
        <v>45364</v>
      </c>
      <c r="AC50">
        <v>2</v>
      </c>
      <c r="AD50" t="s">
        <v>7309</v>
      </c>
      <c r="AE50">
        <v>4</v>
      </c>
      <c r="AF50">
        <v>0</v>
      </c>
    </row>
    <row r="51" spans="1:32" x14ac:dyDescent="0.3">
      <c r="A51" t="s">
        <v>82</v>
      </c>
      <c r="B51" s="1">
        <v>45362</v>
      </c>
      <c r="C51">
        <v>2024</v>
      </c>
      <c r="D51" s="1">
        <v>45352</v>
      </c>
      <c r="E51">
        <v>3</v>
      </c>
      <c r="F51" t="s">
        <v>83</v>
      </c>
      <c r="G51" t="s">
        <v>7338</v>
      </c>
      <c r="H51" t="s">
        <v>59</v>
      </c>
      <c r="I51" t="s">
        <v>7237</v>
      </c>
      <c r="J51" t="s">
        <v>7231</v>
      </c>
      <c r="K51" t="s">
        <v>64</v>
      </c>
      <c r="L51" t="s">
        <v>39</v>
      </c>
      <c r="M51" t="s">
        <v>84</v>
      </c>
      <c r="N51" t="s">
        <v>7198</v>
      </c>
      <c r="O51" t="s">
        <v>7195</v>
      </c>
      <c r="P51">
        <v>1</v>
      </c>
      <c r="Q51">
        <v>1299</v>
      </c>
      <c r="R51">
        <v>0</v>
      </c>
      <c r="S51">
        <v>1299</v>
      </c>
      <c r="T51">
        <v>0</v>
      </c>
      <c r="U51">
        <v>1299</v>
      </c>
      <c r="V51">
        <v>585</v>
      </c>
      <c r="W51">
        <v>585</v>
      </c>
      <c r="X51">
        <v>60</v>
      </c>
      <c r="Y51">
        <v>654</v>
      </c>
      <c r="Z51">
        <v>0.50346420323325636</v>
      </c>
      <c r="AA51" t="s">
        <v>18</v>
      </c>
      <c r="AB51" s="1">
        <v>45365</v>
      </c>
      <c r="AC51">
        <v>3</v>
      </c>
      <c r="AD51" t="s">
        <v>7310</v>
      </c>
      <c r="AE51">
        <v>4</v>
      </c>
      <c r="AF51">
        <v>0</v>
      </c>
    </row>
    <row r="52" spans="1:32" x14ac:dyDescent="0.3">
      <c r="A52" t="s">
        <v>4458</v>
      </c>
      <c r="B52" s="1">
        <v>45362</v>
      </c>
      <c r="C52">
        <v>2024</v>
      </c>
      <c r="D52" s="1">
        <v>45352</v>
      </c>
      <c r="E52">
        <v>3</v>
      </c>
      <c r="F52" t="s">
        <v>4459</v>
      </c>
      <c r="G52" t="s">
        <v>7338</v>
      </c>
      <c r="H52" t="s">
        <v>27</v>
      </c>
      <c r="I52" t="s">
        <v>7228</v>
      </c>
      <c r="J52" t="s">
        <v>7221</v>
      </c>
      <c r="K52" t="s">
        <v>28</v>
      </c>
      <c r="L52" t="s">
        <v>16</v>
      </c>
      <c r="M52" t="s">
        <v>176</v>
      </c>
      <c r="N52" t="s">
        <v>7187</v>
      </c>
      <c r="O52" t="s">
        <v>7184</v>
      </c>
      <c r="P52">
        <v>1</v>
      </c>
      <c r="Q52">
        <v>2499</v>
      </c>
      <c r="R52">
        <v>0</v>
      </c>
      <c r="S52">
        <v>2499</v>
      </c>
      <c r="T52">
        <v>0</v>
      </c>
      <c r="U52">
        <v>2499</v>
      </c>
      <c r="V52">
        <v>1125</v>
      </c>
      <c r="W52">
        <v>1125</v>
      </c>
      <c r="X52">
        <v>60</v>
      </c>
      <c r="Y52">
        <v>1314</v>
      </c>
      <c r="Z52">
        <v>0.5258103241296519</v>
      </c>
      <c r="AA52" t="s">
        <v>4450</v>
      </c>
      <c r="AB52" s="1">
        <v>45364</v>
      </c>
      <c r="AC52">
        <v>2</v>
      </c>
      <c r="AD52" t="s">
        <v>7309</v>
      </c>
      <c r="AE52">
        <v>4</v>
      </c>
      <c r="AF52">
        <v>0</v>
      </c>
    </row>
    <row r="53" spans="1:32" x14ac:dyDescent="0.3">
      <c r="A53" t="s">
        <v>441</v>
      </c>
      <c r="B53" s="1">
        <v>45362</v>
      </c>
      <c r="C53">
        <v>2024</v>
      </c>
      <c r="D53" s="1">
        <v>45352</v>
      </c>
      <c r="E53">
        <v>3</v>
      </c>
      <c r="F53" t="s">
        <v>442</v>
      </c>
      <c r="G53" t="s">
        <v>7339</v>
      </c>
      <c r="H53" t="s">
        <v>43</v>
      </c>
      <c r="I53" t="s">
        <v>7225</v>
      </c>
      <c r="J53" t="s">
        <v>7224</v>
      </c>
      <c r="K53" t="s">
        <v>250</v>
      </c>
      <c r="L53" t="s">
        <v>65</v>
      </c>
      <c r="M53" t="s">
        <v>255</v>
      </c>
      <c r="N53" t="s">
        <v>7183</v>
      </c>
      <c r="O53" t="s">
        <v>7184</v>
      </c>
      <c r="P53">
        <v>1</v>
      </c>
      <c r="Q53">
        <v>799</v>
      </c>
      <c r="R53">
        <v>0</v>
      </c>
      <c r="S53">
        <v>799</v>
      </c>
      <c r="T53">
        <v>0</v>
      </c>
      <c r="U53">
        <v>799</v>
      </c>
      <c r="V53">
        <v>320</v>
      </c>
      <c r="W53">
        <v>320</v>
      </c>
      <c r="X53">
        <v>60</v>
      </c>
      <c r="Y53">
        <v>419</v>
      </c>
      <c r="Z53">
        <v>0.52440550688360454</v>
      </c>
      <c r="AA53" t="s">
        <v>18</v>
      </c>
      <c r="AB53" s="1">
        <v>45366</v>
      </c>
      <c r="AC53">
        <v>4</v>
      </c>
      <c r="AD53" t="s">
        <v>7310</v>
      </c>
      <c r="AE53">
        <v>4</v>
      </c>
      <c r="AF53">
        <v>0</v>
      </c>
    </row>
    <row r="54" spans="1:32" x14ac:dyDescent="0.3">
      <c r="A54" t="s">
        <v>5074</v>
      </c>
      <c r="B54" s="1">
        <v>45362</v>
      </c>
      <c r="C54">
        <v>2024</v>
      </c>
      <c r="D54" s="1">
        <v>45352</v>
      </c>
      <c r="E54">
        <v>3</v>
      </c>
      <c r="F54" t="s">
        <v>5075</v>
      </c>
      <c r="G54" t="s">
        <v>7338</v>
      </c>
      <c r="H54" t="s">
        <v>132</v>
      </c>
      <c r="I54" t="s">
        <v>7222</v>
      </c>
      <c r="J54" t="s">
        <v>7221</v>
      </c>
      <c r="K54" t="s">
        <v>133</v>
      </c>
      <c r="L54" t="s">
        <v>23</v>
      </c>
      <c r="M54" t="s">
        <v>160</v>
      </c>
      <c r="N54" t="s">
        <v>7175</v>
      </c>
      <c r="O54" t="s">
        <v>7173</v>
      </c>
      <c r="P54">
        <v>2</v>
      </c>
      <c r="Q54">
        <v>399</v>
      </c>
      <c r="R54">
        <v>0.3</v>
      </c>
      <c r="S54">
        <v>798</v>
      </c>
      <c r="T54">
        <v>239.39999999999998</v>
      </c>
      <c r="U54">
        <v>558.6</v>
      </c>
      <c r="V54">
        <v>112</v>
      </c>
      <c r="W54">
        <v>224</v>
      </c>
      <c r="X54">
        <v>60</v>
      </c>
      <c r="Y54">
        <v>274.60000000000002</v>
      </c>
      <c r="Z54">
        <v>0.49158610812746151</v>
      </c>
      <c r="AA54" t="s">
        <v>3495</v>
      </c>
      <c r="AB54" s="1">
        <v>45368</v>
      </c>
      <c r="AC54">
        <v>6</v>
      </c>
      <c r="AD54" t="s">
        <v>7311</v>
      </c>
      <c r="AE54">
        <v>3</v>
      </c>
      <c r="AF54">
        <v>0</v>
      </c>
    </row>
    <row r="55" spans="1:32" x14ac:dyDescent="0.3">
      <c r="A55" t="s">
        <v>6259</v>
      </c>
      <c r="B55" s="1">
        <v>45362</v>
      </c>
      <c r="C55">
        <v>2024</v>
      </c>
      <c r="D55" s="1">
        <v>45352</v>
      </c>
      <c r="E55">
        <v>3</v>
      </c>
      <c r="F55" t="s">
        <v>3637</v>
      </c>
      <c r="G55" t="s">
        <v>7338</v>
      </c>
      <c r="H55" t="s">
        <v>210</v>
      </c>
      <c r="I55" t="s">
        <v>7211</v>
      </c>
      <c r="J55" t="s">
        <v>7212</v>
      </c>
      <c r="K55" t="s">
        <v>211</v>
      </c>
      <c r="L55" t="s">
        <v>23</v>
      </c>
      <c r="M55" t="s">
        <v>34</v>
      </c>
      <c r="N55" t="s">
        <v>7193</v>
      </c>
      <c r="O55" t="s">
        <v>7190</v>
      </c>
      <c r="P55">
        <v>2</v>
      </c>
      <c r="Q55">
        <v>399</v>
      </c>
      <c r="R55">
        <v>0.2</v>
      </c>
      <c r="S55">
        <v>798</v>
      </c>
      <c r="T55">
        <v>159.60000000000002</v>
      </c>
      <c r="U55">
        <v>638.4</v>
      </c>
      <c r="V55">
        <v>152</v>
      </c>
      <c r="W55">
        <v>304</v>
      </c>
      <c r="X55">
        <v>120</v>
      </c>
      <c r="Y55">
        <v>214.39999999999998</v>
      </c>
      <c r="Z55">
        <v>0.33583959899749372</v>
      </c>
      <c r="AA55" t="s">
        <v>18</v>
      </c>
      <c r="AB55" s="1">
        <v>45368</v>
      </c>
      <c r="AC55">
        <v>6</v>
      </c>
      <c r="AD55" t="s">
        <v>7311</v>
      </c>
      <c r="AE55">
        <v>4</v>
      </c>
      <c r="AF55">
        <v>1</v>
      </c>
    </row>
    <row r="56" spans="1:32" x14ac:dyDescent="0.3">
      <c r="A56" t="s">
        <v>6471</v>
      </c>
      <c r="B56" s="1">
        <v>45363</v>
      </c>
      <c r="C56">
        <v>2024</v>
      </c>
      <c r="D56" s="1">
        <v>45352</v>
      </c>
      <c r="E56">
        <v>3</v>
      </c>
      <c r="F56" t="s">
        <v>2594</v>
      </c>
      <c r="G56" t="s">
        <v>7338</v>
      </c>
      <c r="H56" t="s">
        <v>167</v>
      </c>
      <c r="I56" t="s">
        <v>7234</v>
      </c>
      <c r="J56" t="s">
        <v>7231</v>
      </c>
      <c r="K56" t="s">
        <v>168</v>
      </c>
      <c r="L56" t="s">
        <v>39</v>
      </c>
      <c r="M56" t="s">
        <v>160</v>
      </c>
      <c r="N56" t="s">
        <v>7175</v>
      </c>
      <c r="O56" t="s">
        <v>7173</v>
      </c>
      <c r="P56">
        <v>3</v>
      </c>
      <c r="Q56">
        <v>399</v>
      </c>
      <c r="R56">
        <v>0.25</v>
      </c>
      <c r="S56">
        <v>1197</v>
      </c>
      <c r="T56">
        <v>299.25</v>
      </c>
      <c r="U56">
        <v>897.75</v>
      </c>
      <c r="V56">
        <v>112</v>
      </c>
      <c r="W56">
        <v>336</v>
      </c>
      <c r="X56">
        <v>60</v>
      </c>
      <c r="Y56">
        <v>501.75</v>
      </c>
      <c r="Z56">
        <v>0.55889724310776945</v>
      </c>
      <c r="AA56" t="s">
        <v>18</v>
      </c>
      <c r="AB56" s="1">
        <v>45366</v>
      </c>
      <c r="AC56">
        <v>3</v>
      </c>
      <c r="AD56" t="s">
        <v>7310</v>
      </c>
      <c r="AF56">
        <v>0</v>
      </c>
    </row>
    <row r="57" spans="1:32" x14ac:dyDescent="0.3">
      <c r="A57" t="s">
        <v>5858</v>
      </c>
      <c r="B57" s="1">
        <v>45363</v>
      </c>
      <c r="C57">
        <v>2024</v>
      </c>
      <c r="D57" s="1">
        <v>45352</v>
      </c>
      <c r="E57">
        <v>3</v>
      </c>
      <c r="F57" t="s">
        <v>893</v>
      </c>
      <c r="G57" t="s">
        <v>7339</v>
      </c>
      <c r="H57" t="s">
        <v>95</v>
      </c>
      <c r="I57" t="s">
        <v>7230</v>
      </c>
      <c r="J57" t="s">
        <v>7231</v>
      </c>
      <c r="K57" t="s">
        <v>96</v>
      </c>
      <c r="L57" t="s">
        <v>23</v>
      </c>
      <c r="M57" t="s">
        <v>148</v>
      </c>
      <c r="N57" t="s">
        <v>7202</v>
      </c>
      <c r="O57" t="s">
        <v>7200</v>
      </c>
      <c r="P57">
        <v>2</v>
      </c>
      <c r="Q57">
        <v>499</v>
      </c>
      <c r="R57">
        <v>0.15</v>
      </c>
      <c r="S57">
        <v>998</v>
      </c>
      <c r="T57">
        <v>149.69999999999999</v>
      </c>
      <c r="U57">
        <v>848.3</v>
      </c>
      <c r="V57">
        <v>200</v>
      </c>
      <c r="W57">
        <v>400</v>
      </c>
      <c r="X57">
        <v>60</v>
      </c>
      <c r="Y57">
        <v>388.29999999999995</v>
      </c>
      <c r="Z57">
        <v>0.45773900742661794</v>
      </c>
      <c r="AA57" t="s">
        <v>18</v>
      </c>
      <c r="AB57" s="1">
        <v>45367</v>
      </c>
      <c r="AC57">
        <v>4</v>
      </c>
      <c r="AD57" t="s">
        <v>7310</v>
      </c>
      <c r="AF57">
        <v>0</v>
      </c>
    </row>
    <row r="58" spans="1:32" x14ac:dyDescent="0.3">
      <c r="A58" t="s">
        <v>1469</v>
      </c>
      <c r="B58" s="1">
        <v>45363</v>
      </c>
      <c r="C58">
        <v>2024</v>
      </c>
      <c r="D58" s="1">
        <v>45352</v>
      </c>
      <c r="E58">
        <v>3</v>
      </c>
      <c r="F58" t="s">
        <v>1470</v>
      </c>
      <c r="G58" t="s">
        <v>7338</v>
      </c>
      <c r="H58" t="s">
        <v>37</v>
      </c>
      <c r="I58" t="s">
        <v>7223</v>
      </c>
      <c r="J58" t="s">
        <v>7224</v>
      </c>
      <c r="K58" t="s">
        <v>247</v>
      </c>
      <c r="L58" t="s">
        <v>39</v>
      </c>
      <c r="M58" t="s">
        <v>61</v>
      </c>
      <c r="N58" t="s">
        <v>7208</v>
      </c>
      <c r="O58" t="s">
        <v>7205</v>
      </c>
      <c r="P58">
        <v>1</v>
      </c>
      <c r="Q58">
        <v>699</v>
      </c>
      <c r="R58">
        <v>0.2</v>
      </c>
      <c r="S58">
        <v>699</v>
      </c>
      <c r="T58">
        <v>139.80000000000001</v>
      </c>
      <c r="U58">
        <v>559.20000000000005</v>
      </c>
      <c r="V58">
        <v>238</v>
      </c>
      <c r="W58">
        <v>238</v>
      </c>
      <c r="X58">
        <v>60</v>
      </c>
      <c r="Y58">
        <v>261.20000000000005</v>
      </c>
      <c r="Z58">
        <v>0.46709585121602293</v>
      </c>
      <c r="AA58" t="s">
        <v>18</v>
      </c>
      <c r="AB58" s="1">
        <v>45366</v>
      </c>
      <c r="AC58">
        <v>3</v>
      </c>
      <c r="AD58" t="s">
        <v>7310</v>
      </c>
      <c r="AF58">
        <v>0</v>
      </c>
    </row>
    <row r="59" spans="1:32" x14ac:dyDescent="0.3">
      <c r="A59" t="s">
        <v>3853</v>
      </c>
      <c r="B59" s="1">
        <v>45363</v>
      </c>
      <c r="C59">
        <v>2024</v>
      </c>
      <c r="D59" s="1">
        <v>45352</v>
      </c>
      <c r="E59">
        <v>3</v>
      </c>
      <c r="F59" t="s">
        <v>3854</v>
      </c>
      <c r="G59" t="s">
        <v>7338</v>
      </c>
      <c r="H59" t="s">
        <v>132</v>
      </c>
      <c r="I59" t="s">
        <v>7222</v>
      </c>
      <c r="J59" t="s">
        <v>7221</v>
      </c>
      <c r="K59" t="s">
        <v>133</v>
      </c>
      <c r="L59" t="s">
        <v>65</v>
      </c>
      <c r="M59" t="s">
        <v>148</v>
      </c>
      <c r="N59" t="s">
        <v>7202</v>
      </c>
      <c r="O59" t="s">
        <v>7200</v>
      </c>
      <c r="P59">
        <v>1</v>
      </c>
      <c r="Q59">
        <v>499</v>
      </c>
      <c r="R59">
        <v>0.15</v>
      </c>
      <c r="S59">
        <v>499</v>
      </c>
      <c r="T59">
        <v>74.849999999999994</v>
      </c>
      <c r="U59">
        <v>424.15</v>
      </c>
      <c r="V59">
        <v>200</v>
      </c>
      <c r="W59">
        <v>200</v>
      </c>
      <c r="X59">
        <v>60</v>
      </c>
      <c r="Y59">
        <v>164.14999999999998</v>
      </c>
      <c r="Z59">
        <v>0.38700931274313327</v>
      </c>
      <c r="AA59" t="s">
        <v>3495</v>
      </c>
      <c r="AB59" s="1">
        <v>45370</v>
      </c>
      <c r="AC59">
        <v>7</v>
      </c>
      <c r="AD59" t="s">
        <v>7311</v>
      </c>
      <c r="AE59">
        <v>3</v>
      </c>
      <c r="AF59">
        <v>0</v>
      </c>
    </row>
    <row r="60" spans="1:32" x14ac:dyDescent="0.3">
      <c r="A60" t="s">
        <v>3958</v>
      </c>
      <c r="B60" s="1">
        <v>45364</v>
      </c>
      <c r="C60">
        <v>2024</v>
      </c>
      <c r="D60" s="1">
        <v>45352</v>
      </c>
      <c r="E60">
        <v>3</v>
      </c>
      <c r="F60" t="s">
        <v>3256</v>
      </c>
      <c r="G60" t="s">
        <v>7338</v>
      </c>
      <c r="H60" t="s">
        <v>275</v>
      </c>
      <c r="I60" t="s">
        <v>7235</v>
      </c>
      <c r="J60" t="s">
        <v>7231</v>
      </c>
      <c r="K60" t="s">
        <v>276</v>
      </c>
      <c r="L60" t="s">
        <v>50</v>
      </c>
      <c r="M60" t="s">
        <v>45</v>
      </c>
      <c r="N60" t="s">
        <v>7180</v>
      </c>
      <c r="O60" t="s">
        <v>7179</v>
      </c>
      <c r="P60">
        <v>1</v>
      </c>
      <c r="Q60">
        <v>449</v>
      </c>
      <c r="R60">
        <v>0.15</v>
      </c>
      <c r="S60">
        <v>449</v>
      </c>
      <c r="T60">
        <v>67.349999999999994</v>
      </c>
      <c r="U60">
        <v>381.65</v>
      </c>
      <c r="V60">
        <v>148</v>
      </c>
      <c r="W60">
        <v>148</v>
      </c>
      <c r="X60">
        <v>60</v>
      </c>
      <c r="Y60">
        <v>173.64999999999998</v>
      </c>
      <c r="Z60">
        <v>0.45499803484868334</v>
      </c>
      <c r="AA60" t="s">
        <v>3495</v>
      </c>
      <c r="AB60" s="1">
        <v>45367</v>
      </c>
      <c r="AC60">
        <v>3</v>
      </c>
      <c r="AD60" t="s">
        <v>7310</v>
      </c>
      <c r="AE60">
        <v>5</v>
      </c>
      <c r="AF60">
        <v>0</v>
      </c>
    </row>
    <row r="61" spans="1:32" x14ac:dyDescent="0.3">
      <c r="A61" t="s">
        <v>2547</v>
      </c>
      <c r="B61" s="1">
        <v>45364</v>
      </c>
      <c r="C61">
        <v>2024</v>
      </c>
      <c r="D61" s="1">
        <v>45352</v>
      </c>
      <c r="E61">
        <v>3</v>
      </c>
      <c r="F61" t="s">
        <v>2548</v>
      </c>
      <c r="G61" t="s">
        <v>7338</v>
      </c>
      <c r="H61" t="s">
        <v>48</v>
      </c>
      <c r="I61" t="s">
        <v>7217</v>
      </c>
      <c r="J61" t="s">
        <v>7212</v>
      </c>
      <c r="K61" t="s">
        <v>49</v>
      </c>
      <c r="L61" t="s">
        <v>65</v>
      </c>
      <c r="M61" t="s">
        <v>176</v>
      </c>
      <c r="N61" t="s">
        <v>7187</v>
      </c>
      <c r="O61" t="s">
        <v>7184</v>
      </c>
      <c r="P61">
        <v>1</v>
      </c>
      <c r="Q61">
        <v>2499</v>
      </c>
      <c r="R61">
        <v>0.05</v>
      </c>
      <c r="S61">
        <v>2499</v>
      </c>
      <c r="T61">
        <v>124.95</v>
      </c>
      <c r="U61">
        <v>2374.0500000000002</v>
      </c>
      <c r="V61">
        <v>1125</v>
      </c>
      <c r="W61">
        <v>1125</v>
      </c>
      <c r="X61">
        <v>60</v>
      </c>
      <c r="Y61">
        <v>1189.0500000000002</v>
      </c>
      <c r="Z61">
        <v>0.50085297276805463</v>
      </c>
      <c r="AA61" t="s">
        <v>2522</v>
      </c>
      <c r="AB61" s="1">
        <v>45365</v>
      </c>
      <c r="AC61">
        <v>1</v>
      </c>
      <c r="AD61" t="s">
        <v>7309</v>
      </c>
      <c r="AE61">
        <v>5</v>
      </c>
      <c r="AF61">
        <v>0</v>
      </c>
    </row>
    <row r="62" spans="1:32" x14ac:dyDescent="0.3">
      <c r="A62" t="s">
        <v>2230</v>
      </c>
      <c r="B62" s="1">
        <v>45364</v>
      </c>
      <c r="C62">
        <v>2024</v>
      </c>
      <c r="D62" s="1">
        <v>45352</v>
      </c>
      <c r="E62">
        <v>3</v>
      </c>
      <c r="F62" t="s">
        <v>2231</v>
      </c>
      <c r="G62" t="s">
        <v>7338</v>
      </c>
      <c r="H62" t="s">
        <v>158</v>
      </c>
      <c r="I62" t="s">
        <v>7214</v>
      </c>
      <c r="J62" t="s">
        <v>7212</v>
      </c>
      <c r="K62" t="s">
        <v>159</v>
      </c>
      <c r="L62" t="s">
        <v>65</v>
      </c>
      <c r="M62" t="s">
        <v>56</v>
      </c>
      <c r="N62" t="s">
        <v>7172</v>
      </c>
      <c r="O62" t="s">
        <v>7173</v>
      </c>
      <c r="P62">
        <v>1</v>
      </c>
      <c r="Q62">
        <v>599</v>
      </c>
      <c r="R62">
        <v>0.15</v>
      </c>
      <c r="S62">
        <v>599</v>
      </c>
      <c r="T62">
        <v>89.85</v>
      </c>
      <c r="U62">
        <v>509.15</v>
      </c>
      <c r="V62">
        <v>180</v>
      </c>
      <c r="W62">
        <v>180</v>
      </c>
      <c r="X62">
        <v>60</v>
      </c>
      <c r="Y62">
        <v>269.14999999999998</v>
      </c>
      <c r="Z62">
        <v>0.52862614160856325</v>
      </c>
      <c r="AA62" t="s">
        <v>18</v>
      </c>
      <c r="AB62" s="1">
        <v>45368</v>
      </c>
      <c r="AC62">
        <v>4</v>
      </c>
      <c r="AD62" t="s">
        <v>7310</v>
      </c>
      <c r="AE62">
        <v>5</v>
      </c>
      <c r="AF62">
        <v>0</v>
      </c>
    </row>
    <row r="63" spans="1:32" x14ac:dyDescent="0.3">
      <c r="A63" t="s">
        <v>4751</v>
      </c>
      <c r="B63" s="1">
        <v>45364</v>
      </c>
      <c r="C63">
        <v>2024</v>
      </c>
      <c r="D63" s="1">
        <v>45352</v>
      </c>
      <c r="E63">
        <v>3</v>
      </c>
      <c r="F63" t="s">
        <v>2129</v>
      </c>
      <c r="G63" t="s">
        <v>7338</v>
      </c>
      <c r="H63" t="s">
        <v>21</v>
      </c>
      <c r="I63" t="s">
        <v>7213</v>
      </c>
      <c r="J63" t="s">
        <v>7212</v>
      </c>
      <c r="K63" t="s">
        <v>22</v>
      </c>
      <c r="L63" t="s">
        <v>65</v>
      </c>
      <c r="M63" t="s">
        <v>24</v>
      </c>
      <c r="N63" t="s">
        <v>7197</v>
      </c>
      <c r="O63" t="s">
        <v>7195</v>
      </c>
      <c r="P63">
        <v>2</v>
      </c>
      <c r="Q63">
        <v>699</v>
      </c>
      <c r="R63">
        <v>0.2</v>
      </c>
      <c r="S63">
        <v>1398</v>
      </c>
      <c r="T63">
        <v>279.60000000000002</v>
      </c>
      <c r="U63">
        <v>1118.4000000000001</v>
      </c>
      <c r="V63">
        <v>245</v>
      </c>
      <c r="W63">
        <v>490</v>
      </c>
      <c r="X63">
        <v>60</v>
      </c>
      <c r="Y63">
        <v>568.40000000000009</v>
      </c>
      <c r="Z63">
        <v>0.50822603719599435</v>
      </c>
      <c r="AA63" t="s">
        <v>4450</v>
      </c>
      <c r="AB63" s="1">
        <v>45367</v>
      </c>
      <c r="AC63">
        <v>3</v>
      </c>
      <c r="AD63" t="s">
        <v>7310</v>
      </c>
      <c r="AE63">
        <v>4</v>
      </c>
      <c r="AF63">
        <v>0</v>
      </c>
    </row>
    <row r="64" spans="1:32" x14ac:dyDescent="0.3">
      <c r="A64" t="s">
        <v>1635</v>
      </c>
      <c r="B64" s="1">
        <v>45365</v>
      </c>
      <c r="C64">
        <v>2024</v>
      </c>
      <c r="D64" s="1">
        <v>45352</v>
      </c>
      <c r="E64">
        <v>3</v>
      </c>
      <c r="F64" t="s">
        <v>1636</v>
      </c>
      <c r="G64" t="s">
        <v>7338</v>
      </c>
      <c r="H64" t="s">
        <v>316</v>
      </c>
      <c r="I64" t="s">
        <v>7236</v>
      </c>
      <c r="J64" t="s">
        <v>7231</v>
      </c>
      <c r="K64" t="s">
        <v>317</v>
      </c>
      <c r="L64" t="s">
        <v>65</v>
      </c>
      <c r="M64" t="s">
        <v>56</v>
      </c>
      <c r="N64" t="s">
        <v>7172</v>
      </c>
      <c r="O64" t="s">
        <v>7173</v>
      </c>
      <c r="P64">
        <v>1</v>
      </c>
      <c r="Q64">
        <v>599</v>
      </c>
      <c r="R64">
        <v>0.25</v>
      </c>
      <c r="S64">
        <v>599</v>
      </c>
      <c r="T64">
        <v>149.75</v>
      </c>
      <c r="U64">
        <v>449.25</v>
      </c>
      <c r="V64">
        <v>180</v>
      </c>
      <c r="W64">
        <v>180</v>
      </c>
      <c r="X64">
        <v>60</v>
      </c>
      <c r="Y64">
        <v>209.25</v>
      </c>
      <c r="Z64">
        <v>0.46577629382303842</v>
      </c>
      <c r="AA64" t="s">
        <v>18</v>
      </c>
      <c r="AB64" s="1">
        <v>45368</v>
      </c>
      <c r="AC64">
        <v>3</v>
      </c>
      <c r="AD64" t="s">
        <v>7310</v>
      </c>
      <c r="AF64">
        <v>0</v>
      </c>
    </row>
    <row r="65" spans="1:32" x14ac:dyDescent="0.3">
      <c r="A65" t="s">
        <v>85</v>
      </c>
      <c r="B65" s="1">
        <v>45366</v>
      </c>
      <c r="C65">
        <v>2024</v>
      </c>
      <c r="D65" s="1">
        <v>45352</v>
      </c>
      <c r="E65">
        <v>3</v>
      </c>
      <c r="F65" t="s">
        <v>86</v>
      </c>
      <c r="G65" t="s">
        <v>7339</v>
      </c>
      <c r="H65" t="s">
        <v>59</v>
      </c>
      <c r="I65" t="s">
        <v>7237</v>
      </c>
      <c r="J65" t="s">
        <v>7231</v>
      </c>
      <c r="K65" t="s">
        <v>60</v>
      </c>
      <c r="L65" t="s">
        <v>16</v>
      </c>
      <c r="M65" t="s">
        <v>87</v>
      </c>
      <c r="N65" t="s">
        <v>7185</v>
      </c>
      <c r="O65" t="s">
        <v>7184</v>
      </c>
      <c r="P65">
        <v>1</v>
      </c>
      <c r="Q65">
        <v>1499</v>
      </c>
      <c r="R65">
        <v>0.25</v>
      </c>
      <c r="S65">
        <v>1499</v>
      </c>
      <c r="T65">
        <v>374.75</v>
      </c>
      <c r="U65">
        <v>1124.25</v>
      </c>
      <c r="V65">
        <v>630</v>
      </c>
      <c r="W65">
        <v>630</v>
      </c>
      <c r="X65">
        <v>60</v>
      </c>
      <c r="Y65">
        <v>434.25</v>
      </c>
      <c r="Z65">
        <v>0.38625750500333556</v>
      </c>
      <c r="AA65" t="s">
        <v>18</v>
      </c>
      <c r="AB65" s="1">
        <v>45367</v>
      </c>
      <c r="AC65">
        <v>1</v>
      </c>
      <c r="AD65" t="s">
        <v>7309</v>
      </c>
      <c r="AE65">
        <v>4</v>
      </c>
      <c r="AF65">
        <v>0</v>
      </c>
    </row>
    <row r="66" spans="1:32" x14ac:dyDescent="0.3">
      <c r="A66" t="s">
        <v>1471</v>
      </c>
      <c r="B66" s="1">
        <v>45366</v>
      </c>
      <c r="C66">
        <v>2024</v>
      </c>
      <c r="D66" s="1">
        <v>45352</v>
      </c>
      <c r="E66">
        <v>3</v>
      </c>
      <c r="F66" t="s">
        <v>1472</v>
      </c>
      <c r="G66" t="s">
        <v>7338</v>
      </c>
      <c r="H66" t="s">
        <v>316</v>
      </c>
      <c r="I66" t="s">
        <v>7236</v>
      </c>
      <c r="J66" t="s">
        <v>7231</v>
      </c>
      <c r="K66" t="s">
        <v>338</v>
      </c>
      <c r="L66" t="s">
        <v>39</v>
      </c>
      <c r="M66" t="s">
        <v>106</v>
      </c>
      <c r="N66" t="s">
        <v>7181</v>
      </c>
      <c r="O66" t="s">
        <v>7179</v>
      </c>
      <c r="P66">
        <v>1</v>
      </c>
      <c r="Q66">
        <v>549</v>
      </c>
      <c r="R66">
        <v>0.1</v>
      </c>
      <c r="S66">
        <v>549</v>
      </c>
      <c r="T66">
        <v>54.900000000000006</v>
      </c>
      <c r="U66">
        <v>494.1</v>
      </c>
      <c r="V66">
        <v>170</v>
      </c>
      <c r="W66">
        <v>170</v>
      </c>
      <c r="X66">
        <v>120</v>
      </c>
      <c r="Y66">
        <v>204.10000000000002</v>
      </c>
      <c r="Z66">
        <v>0.41307427646225464</v>
      </c>
      <c r="AA66" t="s">
        <v>18</v>
      </c>
      <c r="AB66" s="1">
        <v>45371</v>
      </c>
      <c r="AC66">
        <v>5</v>
      </c>
      <c r="AD66" t="s">
        <v>7311</v>
      </c>
      <c r="AF66">
        <v>1</v>
      </c>
    </row>
    <row r="67" spans="1:32" x14ac:dyDescent="0.3">
      <c r="A67" t="s">
        <v>5306</v>
      </c>
      <c r="B67" s="1">
        <v>45366</v>
      </c>
      <c r="C67">
        <v>2024</v>
      </c>
      <c r="D67" s="1">
        <v>45352</v>
      </c>
      <c r="E67">
        <v>3</v>
      </c>
      <c r="F67" t="s">
        <v>5307</v>
      </c>
      <c r="G67" t="s">
        <v>7338</v>
      </c>
      <c r="H67" t="s">
        <v>95</v>
      </c>
      <c r="I67" t="s">
        <v>7230</v>
      </c>
      <c r="J67" t="s">
        <v>7231</v>
      </c>
      <c r="K67" t="s">
        <v>96</v>
      </c>
      <c r="L67" t="s">
        <v>65</v>
      </c>
      <c r="M67" t="s">
        <v>40</v>
      </c>
      <c r="N67" t="s">
        <v>7204</v>
      </c>
      <c r="O67" t="s">
        <v>7205</v>
      </c>
      <c r="P67">
        <v>2</v>
      </c>
      <c r="Q67">
        <v>499</v>
      </c>
      <c r="R67">
        <v>0.1</v>
      </c>
      <c r="S67">
        <v>998</v>
      </c>
      <c r="T67">
        <v>99.800000000000011</v>
      </c>
      <c r="U67">
        <v>898.2</v>
      </c>
      <c r="V67">
        <v>150</v>
      </c>
      <c r="W67">
        <v>300</v>
      </c>
      <c r="X67">
        <v>60</v>
      </c>
      <c r="Y67">
        <v>538.20000000000005</v>
      </c>
      <c r="Z67">
        <v>0.59919839679358722</v>
      </c>
      <c r="AA67" t="s">
        <v>2522</v>
      </c>
      <c r="AB67" s="1">
        <v>45369</v>
      </c>
      <c r="AC67">
        <v>3</v>
      </c>
      <c r="AD67" t="s">
        <v>7310</v>
      </c>
      <c r="AE67">
        <v>3</v>
      </c>
      <c r="AF67">
        <v>0</v>
      </c>
    </row>
    <row r="68" spans="1:32" x14ac:dyDescent="0.3">
      <c r="A68" t="s">
        <v>6260</v>
      </c>
      <c r="B68" s="1">
        <v>45366</v>
      </c>
      <c r="C68">
        <v>2024</v>
      </c>
      <c r="D68" s="1">
        <v>45352</v>
      </c>
      <c r="E68">
        <v>3</v>
      </c>
      <c r="F68" t="s">
        <v>6261</v>
      </c>
      <c r="G68" t="s">
        <v>7338</v>
      </c>
      <c r="H68" t="s">
        <v>123</v>
      </c>
      <c r="I68" t="s">
        <v>7227</v>
      </c>
      <c r="J68" t="s">
        <v>7221</v>
      </c>
      <c r="K68" t="s">
        <v>124</v>
      </c>
      <c r="L68" t="s">
        <v>65</v>
      </c>
      <c r="M68" t="s">
        <v>34</v>
      </c>
      <c r="N68" t="s">
        <v>7193</v>
      </c>
      <c r="O68" t="s">
        <v>7190</v>
      </c>
      <c r="P68">
        <v>2</v>
      </c>
      <c r="Q68">
        <v>399</v>
      </c>
      <c r="R68">
        <v>0.1</v>
      </c>
      <c r="S68">
        <v>798</v>
      </c>
      <c r="T68">
        <v>79.800000000000011</v>
      </c>
      <c r="U68">
        <v>718.2</v>
      </c>
      <c r="V68">
        <v>152</v>
      </c>
      <c r="W68">
        <v>304</v>
      </c>
      <c r="X68">
        <v>120</v>
      </c>
      <c r="Y68">
        <v>294.20000000000005</v>
      </c>
      <c r="Z68">
        <v>0.40963519910888335</v>
      </c>
      <c r="AA68" t="s">
        <v>18</v>
      </c>
      <c r="AB68" s="1">
        <v>45370</v>
      </c>
      <c r="AC68">
        <v>4</v>
      </c>
      <c r="AD68" t="s">
        <v>7310</v>
      </c>
      <c r="AE68">
        <v>4</v>
      </c>
      <c r="AF68">
        <v>1</v>
      </c>
    </row>
    <row r="69" spans="1:32" x14ac:dyDescent="0.3">
      <c r="A69" t="s">
        <v>5076</v>
      </c>
      <c r="B69" s="1">
        <v>45366</v>
      </c>
      <c r="C69">
        <v>2024</v>
      </c>
      <c r="D69" s="1">
        <v>45352</v>
      </c>
      <c r="E69">
        <v>3</v>
      </c>
      <c r="F69" t="s">
        <v>4963</v>
      </c>
      <c r="G69" t="s">
        <v>7338</v>
      </c>
      <c r="H69" t="s">
        <v>54</v>
      </c>
      <c r="I69" t="s">
        <v>7216</v>
      </c>
      <c r="J69" t="s">
        <v>7212</v>
      </c>
      <c r="K69" t="s">
        <v>227</v>
      </c>
      <c r="L69" t="s">
        <v>65</v>
      </c>
      <c r="M69" t="s">
        <v>576</v>
      </c>
      <c r="N69" t="s">
        <v>7188</v>
      </c>
      <c r="O69" t="s">
        <v>7184</v>
      </c>
      <c r="P69">
        <v>2</v>
      </c>
      <c r="Q69">
        <v>1999</v>
      </c>
      <c r="R69">
        <v>0.05</v>
      </c>
      <c r="S69">
        <v>3998</v>
      </c>
      <c r="T69">
        <v>199.9</v>
      </c>
      <c r="U69">
        <v>3798.1</v>
      </c>
      <c r="V69">
        <v>880</v>
      </c>
      <c r="W69">
        <v>1760</v>
      </c>
      <c r="X69">
        <v>120</v>
      </c>
      <c r="Y69">
        <v>1918.1</v>
      </c>
      <c r="Z69">
        <v>0.50501566572760059</v>
      </c>
      <c r="AA69" t="s">
        <v>3495</v>
      </c>
      <c r="AB69" s="1">
        <v>45371</v>
      </c>
      <c r="AC69">
        <v>5</v>
      </c>
      <c r="AD69" t="s">
        <v>7311</v>
      </c>
      <c r="AE69">
        <v>4</v>
      </c>
      <c r="AF69">
        <v>1</v>
      </c>
    </row>
    <row r="70" spans="1:32" x14ac:dyDescent="0.3">
      <c r="A70" t="s">
        <v>6045</v>
      </c>
      <c r="B70" s="1">
        <v>45367</v>
      </c>
      <c r="C70">
        <v>2024</v>
      </c>
      <c r="D70" s="1">
        <v>45352</v>
      </c>
      <c r="E70">
        <v>3</v>
      </c>
      <c r="F70" t="s">
        <v>479</v>
      </c>
      <c r="G70" t="s">
        <v>7338</v>
      </c>
      <c r="H70" t="s">
        <v>316</v>
      </c>
      <c r="I70" t="s">
        <v>7236</v>
      </c>
      <c r="J70" t="s">
        <v>7231</v>
      </c>
      <c r="K70" t="s">
        <v>338</v>
      </c>
      <c r="L70" t="s">
        <v>39</v>
      </c>
      <c r="M70" t="s">
        <v>109</v>
      </c>
      <c r="N70" t="s">
        <v>7178</v>
      </c>
      <c r="O70" t="s">
        <v>7179</v>
      </c>
      <c r="P70">
        <v>2</v>
      </c>
      <c r="Q70">
        <v>349</v>
      </c>
      <c r="R70">
        <v>0.35</v>
      </c>
      <c r="S70">
        <v>698</v>
      </c>
      <c r="T70">
        <v>244.29999999999998</v>
      </c>
      <c r="U70">
        <v>453.70000000000005</v>
      </c>
      <c r="V70">
        <v>105</v>
      </c>
      <c r="W70">
        <v>210</v>
      </c>
      <c r="X70">
        <v>60</v>
      </c>
      <c r="Y70">
        <v>183.70000000000005</v>
      </c>
      <c r="Z70">
        <v>0.40489310116817284</v>
      </c>
      <c r="AA70" t="s">
        <v>18</v>
      </c>
      <c r="AB70" s="1">
        <v>45371</v>
      </c>
      <c r="AC70">
        <v>4</v>
      </c>
      <c r="AD70" t="s">
        <v>7310</v>
      </c>
      <c r="AE70">
        <v>4</v>
      </c>
      <c r="AF70">
        <v>0</v>
      </c>
    </row>
    <row r="71" spans="1:32" x14ac:dyDescent="0.3">
      <c r="A71" t="s">
        <v>6665</v>
      </c>
      <c r="B71" s="1">
        <v>45367</v>
      </c>
      <c r="C71">
        <v>2024</v>
      </c>
      <c r="D71" s="1">
        <v>45352</v>
      </c>
      <c r="E71">
        <v>3</v>
      </c>
      <c r="F71" t="s">
        <v>111</v>
      </c>
      <c r="G71" t="s">
        <v>7338</v>
      </c>
      <c r="H71" t="s">
        <v>275</v>
      </c>
      <c r="I71" t="s">
        <v>7235</v>
      </c>
      <c r="J71" t="s">
        <v>7231</v>
      </c>
      <c r="K71" t="s">
        <v>491</v>
      </c>
      <c r="L71" t="s">
        <v>23</v>
      </c>
      <c r="M71" t="s">
        <v>160</v>
      </c>
      <c r="N71" t="s">
        <v>7175</v>
      </c>
      <c r="O71" t="s">
        <v>7173</v>
      </c>
      <c r="P71">
        <v>3</v>
      </c>
      <c r="Q71">
        <v>399</v>
      </c>
      <c r="R71">
        <v>0.3</v>
      </c>
      <c r="S71">
        <v>1197</v>
      </c>
      <c r="T71">
        <v>359.09999999999997</v>
      </c>
      <c r="U71">
        <v>837.90000000000009</v>
      </c>
      <c r="V71">
        <v>112</v>
      </c>
      <c r="W71">
        <v>336</v>
      </c>
      <c r="X71">
        <v>60</v>
      </c>
      <c r="Y71">
        <v>441.90000000000009</v>
      </c>
      <c r="Z71">
        <v>0.527389903329753</v>
      </c>
      <c r="AA71" t="s">
        <v>2522</v>
      </c>
      <c r="AB71" s="1">
        <v>45369</v>
      </c>
      <c r="AC71">
        <v>2</v>
      </c>
      <c r="AD71" t="s">
        <v>7309</v>
      </c>
      <c r="AE71">
        <v>4</v>
      </c>
      <c r="AF71">
        <v>0</v>
      </c>
    </row>
    <row r="72" spans="1:32" x14ac:dyDescent="0.3">
      <c r="A72" t="s">
        <v>3855</v>
      </c>
      <c r="B72" s="1">
        <v>45367</v>
      </c>
      <c r="C72">
        <v>2024</v>
      </c>
      <c r="D72" s="1">
        <v>45352</v>
      </c>
      <c r="E72">
        <v>3</v>
      </c>
      <c r="F72" t="s">
        <v>3383</v>
      </c>
      <c r="G72" t="s">
        <v>7338</v>
      </c>
      <c r="H72" t="s">
        <v>43</v>
      </c>
      <c r="I72" t="s">
        <v>7225</v>
      </c>
      <c r="J72" t="s">
        <v>7224</v>
      </c>
      <c r="K72" t="s">
        <v>250</v>
      </c>
      <c r="L72" t="s">
        <v>65</v>
      </c>
      <c r="M72" t="s">
        <v>73</v>
      </c>
      <c r="N72" t="s">
        <v>7176</v>
      </c>
      <c r="O72" t="s">
        <v>7173</v>
      </c>
      <c r="P72">
        <v>1</v>
      </c>
      <c r="Q72">
        <v>299</v>
      </c>
      <c r="R72">
        <v>0.1</v>
      </c>
      <c r="S72">
        <v>299</v>
      </c>
      <c r="T72">
        <v>29.900000000000002</v>
      </c>
      <c r="U72">
        <v>269.10000000000002</v>
      </c>
      <c r="V72">
        <v>90</v>
      </c>
      <c r="W72">
        <v>90</v>
      </c>
      <c r="X72">
        <v>60</v>
      </c>
      <c r="Y72">
        <v>119.10000000000002</v>
      </c>
      <c r="Z72">
        <v>0.4425863991081383</v>
      </c>
      <c r="AA72" t="s">
        <v>3495</v>
      </c>
      <c r="AB72" s="1">
        <v>45371</v>
      </c>
      <c r="AC72">
        <v>4</v>
      </c>
      <c r="AD72" t="s">
        <v>7310</v>
      </c>
      <c r="AE72">
        <v>3</v>
      </c>
      <c r="AF72">
        <v>0</v>
      </c>
    </row>
    <row r="73" spans="1:32" x14ac:dyDescent="0.3">
      <c r="A73" t="s">
        <v>445</v>
      </c>
      <c r="B73" s="1">
        <v>45367</v>
      </c>
      <c r="C73">
        <v>2024</v>
      </c>
      <c r="D73" s="1">
        <v>45352</v>
      </c>
      <c r="E73">
        <v>3</v>
      </c>
      <c r="F73" t="s">
        <v>446</v>
      </c>
      <c r="G73" t="s">
        <v>7338</v>
      </c>
      <c r="H73" t="s">
        <v>128</v>
      </c>
      <c r="I73" t="s">
        <v>7218</v>
      </c>
      <c r="J73" t="s">
        <v>7212</v>
      </c>
      <c r="K73" t="s">
        <v>129</v>
      </c>
      <c r="L73" t="s">
        <v>50</v>
      </c>
      <c r="M73" t="s">
        <v>152</v>
      </c>
      <c r="N73" t="s">
        <v>7207</v>
      </c>
      <c r="O73" t="s">
        <v>7205</v>
      </c>
      <c r="P73">
        <v>1</v>
      </c>
      <c r="Q73">
        <v>399</v>
      </c>
      <c r="R73">
        <v>0.45</v>
      </c>
      <c r="S73">
        <v>399</v>
      </c>
      <c r="T73">
        <v>179.55</v>
      </c>
      <c r="U73">
        <v>219.45</v>
      </c>
      <c r="V73">
        <v>128</v>
      </c>
      <c r="W73">
        <v>128</v>
      </c>
      <c r="X73">
        <v>60</v>
      </c>
      <c r="Y73">
        <v>31.449999999999989</v>
      </c>
      <c r="Z73">
        <v>0.14331282752335381</v>
      </c>
      <c r="AA73" t="s">
        <v>18</v>
      </c>
      <c r="AB73" s="1">
        <v>45368</v>
      </c>
      <c r="AC73">
        <v>1</v>
      </c>
      <c r="AD73" t="s">
        <v>7309</v>
      </c>
      <c r="AE73">
        <v>4</v>
      </c>
      <c r="AF73">
        <v>0</v>
      </c>
    </row>
    <row r="74" spans="1:32" x14ac:dyDescent="0.3">
      <c r="A74" t="s">
        <v>5658</v>
      </c>
      <c r="B74" s="1">
        <v>45367</v>
      </c>
      <c r="C74">
        <v>2024</v>
      </c>
      <c r="D74" s="1">
        <v>45352</v>
      </c>
      <c r="E74">
        <v>3</v>
      </c>
      <c r="F74" t="s">
        <v>354</v>
      </c>
      <c r="G74" t="s">
        <v>7338</v>
      </c>
      <c r="H74" t="s">
        <v>210</v>
      </c>
      <c r="I74" t="s">
        <v>7211</v>
      </c>
      <c r="J74" t="s">
        <v>7212</v>
      </c>
      <c r="K74" t="s">
        <v>415</v>
      </c>
      <c r="L74" t="s">
        <v>39</v>
      </c>
      <c r="M74" t="s">
        <v>228</v>
      </c>
      <c r="N74" t="s">
        <v>7201</v>
      </c>
      <c r="O74" t="s">
        <v>7200</v>
      </c>
      <c r="P74">
        <v>2</v>
      </c>
      <c r="Q74">
        <v>899</v>
      </c>
      <c r="R74">
        <v>0</v>
      </c>
      <c r="S74">
        <v>1798</v>
      </c>
      <c r="T74">
        <v>0</v>
      </c>
      <c r="U74">
        <v>1798</v>
      </c>
      <c r="V74">
        <v>494</v>
      </c>
      <c r="W74">
        <v>988</v>
      </c>
      <c r="X74">
        <v>60</v>
      </c>
      <c r="Y74">
        <v>750</v>
      </c>
      <c r="Z74">
        <v>0.41713014460511677</v>
      </c>
      <c r="AA74" t="s">
        <v>18</v>
      </c>
      <c r="AB74" s="1">
        <v>45374</v>
      </c>
      <c r="AC74">
        <v>7</v>
      </c>
      <c r="AD74" t="s">
        <v>7311</v>
      </c>
      <c r="AE74">
        <v>3</v>
      </c>
      <c r="AF74">
        <v>0</v>
      </c>
    </row>
    <row r="75" spans="1:32" x14ac:dyDescent="0.3">
      <c r="A75" t="s">
        <v>4460</v>
      </c>
      <c r="B75" s="1">
        <v>45368</v>
      </c>
      <c r="C75">
        <v>2024</v>
      </c>
      <c r="D75" s="1">
        <v>45352</v>
      </c>
      <c r="E75">
        <v>3</v>
      </c>
      <c r="F75" t="s">
        <v>3707</v>
      </c>
      <c r="G75" t="s">
        <v>7339</v>
      </c>
      <c r="H75" t="s">
        <v>59</v>
      </c>
      <c r="I75" t="s">
        <v>7237</v>
      </c>
      <c r="J75" t="s">
        <v>7231</v>
      </c>
      <c r="K75" t="s">
        <v>64</v>
      </c>
      <c r="L75" t="s">
        <v>39</v>
      </c>
      <c r="M75" t="s">
        <v>45</v>
      </c>
      <c r="N75" t="s">
        <v>7180</v>
      </c>
      <c r="O75" t="s">
        <v>7179</v>
      </c>
      <c r="P75">
        <v>1</v>
      </c>
      <c r="Q75">
        <v>449</v>
      </c>
      <c r="R75">
        <v>0.1</v>
      </c>
      <c r="S75">
        <v>449</v>
      </c>
      <c r="T75">
        <v>44.900000000000006</v>
      </c>
      <c r="U75">
        <v>404.1</v>
      </c>
      <c r="V75">
        <v>148</v>
      </c>
      <c r="W75">
        <v>148</v>
      </c>
      <c r="X75">
        <v>60</v>
      </c>
      <c r="Y75">
        <v>196.10000000000002</v>
      </c>
      <c r="Z75">
        <v>0.48527592180153428</v>
      </c>
      <c r="AA75" t="s">
        <v>4450</v>
      </c>
      <c r="AB75" s="1">
        <v>45372</v>
      </c>
      <c r="AC75">
        <v>4</v>
      </c>
      <c r="AD75" t="s">
        <v>7310</v>
      </c>
      <c r="AE75">
        <v>4</v>
      </c>
      <c r="AF75">
        <v>0</v>
      </c>
    </row>
    <row r="76" spans="1:32" x14ac:dyDescent="0.3">
      <c r="A76" t="s">
        <v>6473</v>
      </c>
      <c r="B76" s="1">
        <v>45368</v>
      </c>
      <c r="C76">
        <v>2024</v>
      </c>
      <c r="D76" s="1">
        <v>45352</v>
      </c>
      <c r="E76">
        <v>3</v>
      </c>
      <c r="F76" t="s">
        <v>5346</v>
      </c>
      <c r="G76" t="s">
        <v>7338</v>
      </c>
      <c r="H76" t="s">
        <v>59</v>
      </c>
      <c r="I76" t="s">
        <v>7237</v>
      </c>
      <c r="J76" t="s">
        <v>7231</v>
      </c>
      <c r="K76" t="s">
        <v>60</v>
      </c>
      <c r="L76" t="s">
        <v>23</v>
      </c>
      <c r="M76" t="s">
        <v>40</v>
      </c>
      <c r="N76" t="s">
        <v>7204</v>
      </c>
      <c r="O76" t="s">
        <v>7205</v>
      </c>
      <c r="P76">
        <v>3</v>
      </c>
      <c r="Q76">
        <v>499</v>
      </c>
      <c r="R76">
        <v>0</v>
      </c>
      <c r="S76">
        <v>1497</v>
      </c>
      <c r="T76">
        <v>0</v>
      </c>
      <c r="U76">
        <v>1497</v>
      </c>
      <c r="V76">
        <v>150</v>
      </c>
      <c r="W76">
        <v>450</v>
      </c>
      <c r="X76">
        <v>60</v>
      </c>
      <c r="Y76">
        <v>987</v>
      </c>
      <c r="Z76">
        <v>0.65931863727454909</v>
      </c>
      <c r="AA76" t="s">
        <v>18</v>
      </c>
      <c r="AB76" s="1">
        <v>45370</v>
      </c>
      <c r="AC76">
        <v>2</v>
      </c>
      <c r="AD76" t="s">
        <v>7309</v>
      </c>
      <c r="AF76">
        <v>0</v>
      </c>
    </row>
    <row r="77" spans="1:32" x14ac:dyDescent="0.3">
      <c r="A77" t="s">
        <v>6847</v>
      </c>
      <c r="B77" s="1">
        <v>45368</v>
      </c>
      <c r="C77">
        <v>2024</v>
      </c>
      <c r="D77" s="1">
        <v>45352</v>
      </c>
      <c r="E77">
        <v>3</v>
      </c>
      <c r="F77" t="s">
        <v>6848</v>
      </c>
      <c r="G77" t="s">
        <v>7338</v>
      </c>
      <c r="H77" t="s">
        <v>275</v>
      </c>
      <c r="I77" t="s">
        <v>7235</v>
      </c>
      <c r="J77" t="s">
        <v>7231</v>
      </c>
      <c r="K77" t="s">
        <v>491</v>
      </c>
      <c r="L77" t="s">
        <v>65</v>
      </c>
      <c r="M77" t="s">
        <v>152</v>
      </c>
      <c r="N77" t="s">
        <v>7207</v>
      </c>
      <c r="O77" t="s">
        <v>7205</v>
      </c>
      <c r="P77">
        <v>3</v>
      </c>
      <c r="Q77">
        <v>399</v>
      </c>
      <c r="R77">
        <v>0.35</v>
      </c>
      <c r="S77">
        <v>1197</v>
      </c>
      <c r="T77">
        <v>418.95</v>
      </c>
      <c r="U77">
        <v>778.05</v>
      </c>
      <c r="V77">
        <v>128</v>
      </c>
      <c r="W77">
        <v>384</v>
      </c>
      <c r="X77">
        <v>60</v>
      </c>
      <c r="Y77">
        <v>334.04999999999995</v>
      </c>
      <c r="Z77">
        <v>0.42934258723732405</v>
      </c>
      <c r="AA77" t="s">
        <v>4450</v>
      </c>
      <c r="AB77" s="1">
        <v>45371</v>
      </c>
      <c r="AC77">
        <v>3</v>
      </c>
      <c r="AD77" t="s">
        <v>7310</v>
      </c>
      <c r="AF77">
        <v>0</v>
      </c>
    </row>
    <row r="78" spans="1:32" x14ac:dyDescent="0.3">
      <c r="A78" t="s">
        <v>4652</v>
      </c>
      <c r="B78" s="1">
        <v>45368</v>
      </c>
      <c r="C78">
        <v>2024</v>
      </c>
      <c r="D78" s="1">
        <v>45352</v>
      </c>
      <c r="E78">
        <v>3</v>
      </c>
      <c r="F78" t="s">
        <v>843</v>
      </c>
      <c r="G78" t="s">
        <v>7338</v>
      </c>
      <c r="H78" t="s">
        <v>132</v>
      </c>
      <c r="I78" t="s">
        <v>7222</v>
      </c>
      <c r="J78" t="s">
        <v>7221</v>
      </c>
      <c r="K78" t="s">
        <v>133</v>
      </c>
      <c r="L78" t="s">
        <v>50</v>
      </c>
      <c r="M78" t="s">
        <v>45</v>
      </c>
      <c r="N78" t="s">
        <v>7180</v>
      </c>
      <c r="O78" t="s">
        <v>7179</v>
      </c>
      <c r="P78">
        <v>1</v>
      </c>
      <c r="Q78">
        <v>449</v>
      </c>
      <c r="R78">
        <v>0.05</v>
      </c>
      <c r="S78">
        <v>449</v>
      </c>
      <c r="T78">
        <v>22.450000000000003</v>
      </c>
      <c r="U78">
        <v>426.55</v>
      </c>
      <c r="V78">
        <v>148</v>
      </c>
      <c r="W78">
        <v>148</v>
      </c>
      <c r="X78">
        <v>60</v>
      </c>
      <c r="Y78">
        <v>218.55</v>
      </c>
      <c r="Z78">
        <v>0.51236666275934828</v>
      </c>
      <c r="AA78" t="s">
        <v>4450</v>
      </c>
      <c r="AB78" s="1">
        <v>45373</v>
      </c>
      <c r="AC78">
        <v>5</v>
      </c>
      <c r="AD78" t="s">
        <v>7311</v>
      </c>
      <c r="AE78">
        <v>3</v>
      </c>
      <c r="AF78">
        <v>0</v>
      </c>
    </row>
    <row r="79" spans="1:32" x14ac:dyDescent="0.3">
      <c r="A79" t="s">
        <v>1840</v>
      </c>
      <c r="B79" s="1">
        <v>45368</v>
      </c>
      <c r="C79">
        <v>2024</v>
      </c>
      <c r="D79" s="1">
        <v>45352</v>
      </c>
      <c r="E79">
        <v>3</v>
      </c>
      <c r="F79" t="s">
        <v>204</v>
      </c>
      <c r="G79" t="s">
        <v>7338</v>
      </c>
      <c r="H79" t="s">
        <v>76</v>
      </c>
      <c r="I79" t="s">
        <v>7219</v>
      </c>
      <c r="J79" t="s">
        <v>7212</v>
      </c>
      <c r="K79" t="s">
        <v>118</v>
      </c>
      <c r="L79" t="s">
        <v>65</v>
      </c>
      <c r="M79" t="s">
        <v>24</v>
      </c>
      <c r="N79" t="s">
        <v>7197</v>
      </c>
      <c r="O79" t="s">
        <v>7195</v>
      </c>
      <c r="P79">
        <v>1</v>
      </c>
      <c r="Q79">
        <v>699</v>
      </c>
      <c r="R79">
        <v>0.25</v>
      </c>
      <c r="S79">
        <v>699</v>
      </c>
      <c r="T79">
        <v>174.75</v>
      </c>
      <c r="U79">
        <v>524.25</v>
      </c>
      <c r="V79">
        <v>245</v>
      </c>
      <c r="W79">
        <v>245</v>
      </c>
      <c r="X79">
        <v>60</v>
      </c>
      <c r="Y79">
        <v>219.25</v>
      </c>
      <c r="Z79">
        <v>0.41821649976156416</v>
      </c>
      <c r="AA79" t="s">
        <v>18</v>
      </c>
      <c r="AB79" s="1">
        <v>45374</v>
      </c>
      <c r="AC79">
        <v>6</v>
      </c>
      <c r="AD79" t="s">
        <v>7311</v>
      </c>
      <c r="AE79">
        <v>3</v>
      </c>
      <c r="AF79">
        <v>0</v>
      </c>
    </row>
    <row r="80" spans="1:32" x14ac:dyDescent="0.3">
      <c r="A80" t="s">
        <v>6472</v>
      </c>
      <c r="B80" s="1">
        <v>45368</v>
      </c>
      <c r="C80">
        <v>2024</v>
      </c>
      <c r="D80" s="1">
        <v>45352</v>
      </c>
      <c r="E80">
        <v>3</v>
      </c>
      <c r="F80" t="s">
        <v>1717</v>
      </c>
      <c r="G80" t="s">
        <v>7339</v>
      </c>
      <c r="H80" t="s">
        <v>76</v>
      </c>
      <c r="I80" t="s">
        <v>7219</v>
      </c>
      <c r="J80" t="s">
        <v>7212</v>
      </c>
      <c r="K80" t="s">
        <v>105</v>
      </c>
      <c r="L80" t="s">
        <v>23</v>
      </c>
      <c r="M80" t="s">
        <v>29</v>
      </c>
      <c r="N80" t="s">
        <v>7186</v>
      </c>
      <c r="O80" t="s">
        <v>7184</v>
      </c>
      <c r="P80">
        <v>3</v>
      </c>
      <c r="Q80">
        <v>1199</v>
      </c>
      <c r="R80">
        <v>0.05</v>
      </c>
      <c r="S80">
        <v>3597</v>
      </c>
      <c r="T80">
        <v>179.85000000000002</v>
      </c>
      <c r="U80">
        <v>3417.15</v>
      </c>
      <c r="V80">
        <v>492</v>
      </c>
      <c r="W80">
        <v>1476</v>
      </c>
      <c r="X80">
        <v>60</v>
      </c>
      <c r="Y80">
        <v>1881.15</v>
      </c>
      <c r="Z80">
        <v>0.55050261182564419</v>
      </c>
      <c r="AA80" t="s">
        <v>18</v>
      </c>
      <c r="AB80" s="1">
        <v>45371</v>
      </c>
      <c r="AC80">
        <v>3</v>
      </c>
      <c r="AD80" t="s">
        <v>7310</v>
      </c>
      <c r="AE80">
        <v>4</v>
      </c>
      <c r="AF80">
        <v>0</v>
      </c>
    </row>
    <row r="81" spans="1:32" x14ac:dyDescent="0.3">
      <c r="A81" t="s">
        <v>5473</v>
      </c>
      <c r="B81" s="1">
        <v>45368</v>
      </c>
      <c r="C81">
        <v>2024</v>
      </c>
      <c r="D81" s="1">
        <v>45352</v>
      </c>
      <c r="E81">
        <v>3</v>
      </c>
      <c r="F81" t="s">
        <v>3150</v>
      </c>
      <c r="G81" t="s">
        <v>7339</v>
      </c>
      <c r="H81" t="s">
        <v>128</v>
      </c>
      <c r="I81" t="s">
        <v>7218</v>
      </c>
      <c r="J81" t="s">
        <v>7212</v>
      </c>
      <c r="K81" t="s">
        <v>129</v>
      </c>
      <c r="L81" t="s">
        <v>65</v>
      </c>
      <c r="M81" t="s">
        <v>45</v>
      </c>
      <c r="N81" t="s">
        <v>7180</v>
      </c>
      <c r="O81" t="s">
        <v>7179</v>
      </c>
      <c r="P81">
        <v>2</v>
      </c>
      <c r="Q81">
        <v>449</v>
      </c>
      <c r="R81">
        <v>0.1</v>
      </c>
      <c r="S81">
        <v>898</v>
      </c>
      <c r="T81">
        <v>89.800000000000011</v>
      </c>
      <c r="U81">
        <v>808.2</v>
      </c>
      <c r="V81">
        <v>148</v>
      </c>
      <c r="W81">
        <v>296</v>
      </c>
      <c r="X81">
        <v>60</v>
      </c>
      <c r="Y81">
        <v>452.20000000000005</v>
      </c>
      <c r="Z81">
        <v>0.5595149715416976</v>
      </c>
      <c r="AA81" t="s">
        <v>2522</v>
      </c>
      <c r="AB81" s="1">
        <v>45369</v>
      </c>
      <c r="AC81">
        <v>1</v>
      </c>
      <c r="AD81" t="s">
        <v>7309</v>
      </c>
      <c r="AE81">
        <v>4</v>
      </c>
      <c r="AF81">
        <v>0</v>
      </c>
    </row>
    <row r="82" spans="1:32" x14ac:dyDescent="0.3">
      <c r="A82" t="s">
        <v>6263</v>
      </c>
      <c r="B82" s="1">
        <v>45369</v>
      </c>
      <c r="C82">
        <v>2024</v>
      </c>
      <c r="D82" s="1">
        <v>45352</v>
      </c>
      <c r="E82">
        <v>3</v>
      </c>
      <c r="F82" t="s">
        <v>6264</v>
      </c>
      <c r="G82" t="s">
        <v>7338</v>
      </c>
      <c r="H82" t="s">
        <v>167</v>
      </c>
      <c r="I82" t="s">
        <v>7234</v>
      </c>
      <c r="J82" t="s">
        <v>7231</v>
      </c>
      <c r="K82" t="s">
        <v>168</v>
      </c>
      <c r="L82" t="s">
        <v>23</v>
      </c>
      <c r="M82" t="s">
        <v>51</v>
      </c>
      <c r="N82" t="s">
        <v>7182</v>
      </c>
      <c r="O82" t="s">
        <v>7179</v>
      </c>
      <c r="P82">
        <v>2</v>
      </c>
      <c r="Q82">
        <v>399</v>
      </c>
      <c r="R82">
        <v>0.45</v>
      </c>
      <c r="S82">
        <v>798</v>
      </c>
      <c r="T82">
        <v>359.1</v>
      </c>
      <c r="U82">
        <v>438.9</v>
      </c>
      <c r="V82">
        <v>136</v>
      </c>
      <c r="W82">
        <v>272</v>
      </c>
      <c r="X82">
        <v>60</v>
      </c>
      <c r="Y82">
        <v>106.89999999999998</v>
      </c>
      <c r="Z82">
        <v>0.24356345408976984</v>
      </c>
      <c r="AA82" t="s">
        <v>18</v>
      </c>
      <c r="AB82" s="1">
        <v>45371</v>
      </c>
      <c r="AC82">
        <v>2</v>
      </c>
      <c r="AD82" t="s">
        <v>7309</v>
      </c>
      <c r="AE82">
        <v>4</v>
      </c>
      <c r="AF82">
        <v>0</v>
      </c>
    </row>
    <row r="83" spans="1:32" x14ac:dyDescent="0.3">
      <c r="A83" t="s">
        <v>731</v>
      </c>
      <c r="B83" s="1">
        <v>45369</v>
      </c>
      <c r="C83">
        <v>2024</v>
      </c>
      <c r="D83" s="1">
        <v>45352</v>
      </c>
      <c r="E83">
        <v>3</v>
      </c>
      <c r="F83" t="s">
        <v>335</v>
      </c>
      <c r="G83" t="s">
        <v>7338</v>
      </c>
      <c r="H83" t="s">
        <v>167</v>
      </c>
      <c r="I83" t="s">
        <v>7234</v>
      </c>
      <c r="J83" t="s">
        <v>7231</v>
      </c>
      <c r="K83" t="s">
        <v>190</v>
      </c>
      <c r="L83" t="s">
        <v>50</v>
      </c>
      <c r="M83" t="s">
        <v>61</v>
      </c>
      <c r="N83" t="s">
        <v>7208</v>
      </c>
      <c r="O83" t="s">
        <v>7205</v>
      </c>
      <c r="P83">
        <v>1</v>
      </c>
      <c r="Q83">
        <v>699</v>
      </c>
      <c r="R83">
        <v>0.3</v>
      </c>
      <c r="S83">
        <v>699</v>
      </c>
      <c r="T83">
        <v>209.7</v>
      </c>
      <c r="U83">
        <v>489.3</v>
      </c>
      <c r="V83">
        <v>238</v>
      </c>
      <c r="W83">
        <v>238</v>
      </c>
      <c r="X83">
        <v>60</v>
      </c>
      <c r="Y83">
        <v>191.3</v>
      </c>
      <c r="Z83">
        <v>0.39096668710402616</v>
      </c>
      <c r="AA83" t="s">
        <v>18</v>
      </c>
      <c r="AB83" s="1">
        <v>45370</v>
      </c>
      <c r="AC83">
        <v>1</v>
      </c>
      <c r="AD83" t="s">
        <v>7309</v>
      </c>
      <c r="AE83">
        <v>4</v>
      </c>
      <c r="AF83">
        <v>0</v>
      </c>
    </row>
    <row r="84" spans="1:32" x14ac:dyDescent="0.3">
      <c r="A84" t="s">
        <v>1841</v>
      </c>
      <c r="B84" s="1">
        <v>45369</v>
      </c>
      <c r="C84">
        <v>2024</v>
      </c>
      <c r="D84" s="1">
        <v>45352</v>
      </c>
      <c r="E84">
        <v>3</v>
      </c>
      <c r="F84" t="s">
        <v>1842</v>
      </c>
      <c r="G84" t="s">
        <v>7338</v>
      </c>
      <c r="H84" t="s">
        <v>71</v>
      </c>
      <c r="I84" t="s">
        <v>7229</v>
      </c>
      <c r="J84" t="s">
        <v>7224</v>
      </c>
      <c r="K84" t="s">
        <v>102</v>
      </c>
      <c r="L84" t="s">
        <v>39</v>
      </c>
      <c r="M84" t="s">
        <v>66</v>
      </c>
      <c r="N84" t="s">
        <v>7174</v>
      </c>
      <c r="O84" t="s">
        <v>7173</v>
      </c>
      <c r="P84">
        <v>1</v>
      </c>
      <c r="Q84">
        <v>449</v>
      </c>
      <c r="R84">
        <v>0</v>
      </c>
      <c r="S84">
        <v>449</v>
      </c>
      <c r="T84">
        <v>0</v>
      </c>
      <c r="U84">
        <v>449</v>
      </c>
      <c r="V84">
        <v>144</v>
      </c>
      <c r="W84">
        <v>144</v>
      </c>
      <c r="X84">
        <v>60</v>
      </c>
      <c r="Y84">
        <v>245</v>
      </c>
      <c r="Z84">
        <v>0.54565701559020041</v>
      </c>
      <c r="AA84" t="s">
        <v>18</v>
      </c>
      <c r="AB84" s="1">
        <v>45374</v>
      </c>
      <c r="AC84">
        <v>5</v>
      </c>
      <c r="AD84" t="s">
        <v>7311</v>
      </c>
      <c r="AE84">
        <v>3</v>
      </c>
      <c r="AF84">
        <v>0</v>
      </c>
    </row>
    <row r="85" spans="1:32" x14ac:dyDescent="0.3">
      <c r="A85" t="s">
        <v>1217</v>
      </c>
      <c r="B85" s="1">
        <v>45369</v>
      </c>
      <c r="C85">
        <v>2024</v>
      </c>
      <c r="D85" s="1">
        <v>45352</v>
      </c>
      <c r="E85">
        <v>3</v>
      </c>
      <c r="F85" t="s">
        <v>1218</v>
      </c>
      <c r="G85" t="s">
        <v>7338</v>
      </c>
      <c r="H85" t="s">
        <v>27</v>
      </c>
      <c r="I85" t="s">
        <v>7228</v>
      </c>
      <c r="J85" t="s">
        <v>7221</v>
      </c>
      <c r="K85" t="s">
        <v>28</v>
      </c>
      <c r="L85" t="s">
        <v>16</v>
      </c>
      <c r="M85" t="s">
        <v>205</v>
      </c>
      <c r="N85" t="s">
        <v>7189</v>
      </c>
      <c r="O85" t="s">
        <v>7190</v>
      </c>
      <c r="P85">
        <v>1</v>
      </c>
      <c r="Q85">
        <v>2999</v>
      </c>
      <c r="R85">
        <v>0.25</v>
      </c>
      <c r="S85">
        <v>2999</v>
      </c>
      <c r="T85">
        <v>749.75</v>
      </c>
      <c r="U85">
        <v>2249.25</v>
      </c>
      <c r="V85">
        <v>1440</v>
      </c>
      <c r="W85">
        <v>1440</v>
      </c>
      <c r="X85">
        <v>120</v>
      </c>
      <c r="Y85">
        <v>689.25</v>
      </c>
      <c r="Z85">
        <v>0.30643547849283093</v>
      </c>
      <c r="AA85" t="s">
        <v>18</v>
      </c>
      <c r="AB85" s="1">
        <v>45371</v>
      </c>
      <c r="AC85">
        <v>2</v>
      </c>
      <c r="AD85" t="s">
        <v>7309</v>
      </c>
      <c r="AF85">
        <v>1</v>
      </c>
    </row>
    <row r="86" spans="1:32" x14ac:dyDescent="0.3">
      <c r="A86" t="s">
        <v>6262</v>
      </c>
      <c r="B86" s="1">
        <v>45369</v>
      </c>
      <c r="C86">
        <v>2024</v>
      </c>
      <c r="D86" s="1">
        <v>45352</v>
      </c>
      <c r="E86">
        <v>3</v>
      </c>
      <c r="F86" t="s">
        <v>313</v>
      </c>
      <c r="G86" t="s">
        <v>7338</v>
      </c>
      <c r="H86" t="s">
        <v>123</v>
      </c>
      <c r="I86" t="s">
        <v>7227</v>
      </c>
      <c r="J86" t="s">
        <v>7221</v>
      </c>
      <c r="K86" t="s">
        <v>124</v>
      </c>
      <c r="L86" t="s">
        <v>23</v>
      </c>
      <c r="M86" t="s">
        <v>152</v>
      </c>
      <c r="N86" t="s">
        <v>7207</v>
      </c>
      <c r="O86" t="s">
        <v>7205</v>
      </c>
      <c r="P86">
        <v>2</v>
      </c>
      <c r="Q86">
        <v>399</v>
      </c>
      <c r="R86">
        <v>0.4</v>
      </c>
      <c r="S86">
        <v>798</v>
      </c>
      <c r="T86">
        <v>319.20000000000005</v>
      </c>
      <c r="U86">
        <v>478.79999999999995</v>
      </c>
      <c r="V86">
        <v>128</v>
      </c>
      <c r="W86">
        <v>256</v>
      </c>
      <c r="X86">
        <v>60</v>
      </c>
      <c r="Y86">
        <v>162.79999999999995</v>
      </c>
      <c r="Z86">
        <v>0.34001670843776099</v>
      </c>
      <c r="AA86" t="s">
        <v>18</v>
      </c>
      <c r="AB86" s="1">
        <v>45372</v>
      </c>
      <c r="AC86">
        <v>3</v>
      </c>
      <c r="AD86" t="s">
        <v>7310</v>
      </c>
      <c r="AE86">
        <v>4</v>
      </c>
      <c r="AF86">
        <v>0</v>
      </c>
    </row>
    <row r="87" spans="1:32" x14ac:dyDescent="0.3">
      <c r="A87" t="s">
        <v>4082</v>
      </c>
      <c r="B87" s="1">
        <v>45369</v>
      </c>
      <c r="C87">
        <v>2024</v>
      </c>
      <c r="D87" s="1">
        <v>45352</v>
      </c>
      <c r="E87">
        <v>3</v>
      </c>
      <c r="F87" t="s">
        <v>4083</v>
      </c>
      <c r="G87" t="s">
        <v>7339</v>
      </c>
      <c r="H87" t="s">
        <v>128</v>
      </c>
      <c r="I87" t="s">
        <v>7218</v>
      </c>
      <c r="J87" t="s">
        <v>7212</v>
      </c>
      <c r="K87" t="s">
        <v>129</v>
      </c>
      <c r="L87" t="s">
        <v>16</v>
      </c>
      <c r="M87" t="s">
        <v>255</v>
      </c>
      <c r="N87" t="s">
        <v>7183</v>
      </c>
      <c r="O87" t="s">
        <v>7184</v>
      </c>
      <c r="P87">
        <v>1</v>
      </c>
      <c r="Q87">
        <v>799</v>
      </c>
      <c r="R87">
        <v>0.1</v>
      </c>
      <c r="S87">
        <v>799</v>
      </c>
      <c r="T87">
        <v>79.900000000000006</v>
      </c>
      <c r="U87">
        <v>719.1</v>
      </c>
      <c r="V87">
        <v>320</v>
      </c>
      <c r="W87">
        <v>320</v>
      </c>
      <c r="X87">
        <v>60</v>
      </c>
      <c r="Y87">
        <v>339.1</v>
      </c>
      <c r="Z87">
        <v>0.47156167431511614</v>
      </c>
      <c r="AA87" t="s">
        <v>4074</v>
      </c>
      <c r="AB87" s="1">
        <v>45370</v>
      </c>
      <c r="AC87">
        <v>1</v>
      </c>
      <c r="AD87" t="s">
        <v>7309</v>
      </c>
      <c r="AE87">
        <v>5</v>
      </c>
      <c r="AF87">
        <v>0</v>
      </c>
    </row>
    <row r="88" spans="1:32" x14ac:dyDescent="0.3">
      <c r="A88" t="s">
        <v>5659</v>
      </c>
      <c r="B88" s="1">
        <v>45370</v>
      </c>
      <c r="C88">
        <v>2024</v>
      </c>
      <c r="D88" s="1">
        <v>45352</v>
      </c>
      <c r="E88">
        <v>3</v>
      </c>
      <c r="F88" t="s">
        <v>2884</v>
      </c>
      <c r="G88" t="s">
        <v>7338</v>
      </c>
      <c r="H88" t="s">
        <v>14</v>
      </c>
      <c r="I88" t="s">
        <v>7232</v>
      </c>
      <c r="J88" t="s">
        <v>7221</v>
      </c>
      <c r="K88" t="s">
        <v>15</v>
      </c>
      <c r="L88" t="s">
        <v>16</v>
      </c>
      <c r="M88" t="s">
        <v>255</v>
      </c>
      <c r="N88" t="s">
        <v>7183</v>
      </c>
      <c r="O88" t="s">
        <v>7184</v>
      </c>
      <c r="P88">
        <v>2</v>
      </c>
      <c r="Q88">
        <v>799</v>
      </c>
      <c r="R88">
        <v>0.1</v>
      </c>
      <c r="S88">
        <v>1598</v>
      </c>
      <c r="T88">
        <v>159.80000000000001</v>
      </c>
      <c r="U88">
        <v>1438.2</v>
      </c>
      <c r="V88">
        <v>320</v>
      </c>
      <c r="W88">
        <v>640</v>
      </c>
      <c r="X88">
        <v>60</v>
      </c>
      <c r="Y88">
        <v>738.2</v>
      </c>
      <c r="Z88">
        <v>0.51328048950076488</v>
      </c>
      <c r="AA88" t="s">
        <v>18</v>
      </c>
      <c r="AB88" s="1">
        <v>45375</v>
      </c>
      <c r="AC88">
        <v>5</v>
      </c>
      <c r="AD88" t="s">
        <v>7311</v>
      </c>
      <c r="AE88">
        <v>3</v>
      </c>
      <c r="AF88">
        <v>0</v>
      </c>
    </row>
    <row r="89" spans="1:32" x14ac:dyDescent="0.3">
      <c r="A89" t="s">
        <v>6475</v>
      </c>
      <c r="B89" s="1">
        <v>45370</v>
      </c>
      <c r="C89">
        <v>2024</v>
      </c>
      <c r="D89" s="1">
        <v>45352</v>
      </c>
      <c r="E89">
        <v>3</v>
      </c>
      <c r="F89" t="s">
        <v>6476</v>
      </c>
      <c r="G89" t="s">
        <v>7338</v>
      </c>
      <c r="H89" t="s">
        <v>43</v>
      </c>
      <c r="I89" t="s">
        <v>7225</v>
      </c>
      <c r="J89" t="s">
        <v>7224</v>
      </c>
      <c r="K89" t="s">
        <v>44</v>
      </c>
      <c r="L89" t="s">
        <v>23</v>
      </c>
      <c r="M89" t="s">
        <v>73</v>
      </c>
      <c r="N89" t="s">
        <v>7176</v>
      </c>
      <c r="O89" t="s">
        <v>7173</v>
      </c>
      <c r="P89">
        <v>3</v>
      </c>
      <c r="Q89">
        <v>299</v>
      </c>
      <c r="R89">
        <v>0</v>
      </c>
      <c r="S89">
        <v>897</v>
      </c>
      <c r="T89">
        <v>0</v>
      </c>
      <c r="U89">
        <v>897</v>
      </c>
      <c r="V89">
        <v>90</v>
      </c>
      <c r="W89">
        <v>270</v>
      </c>
      <c r="X89">
        <v>60</v>
      </c>
      <c r="Y89">
        <v>567</v>
      </c>
      <c r="Z89">
        <v>0.63210702341137126</v>
      </c>
      <c r="AA89" t="s">
        <v>18</v>
      </c>
      <c r="AB89" s="1">
        <v>45374</v>
      </c>
      <c r="AC89">
        <v>4</v>
      </c>
      <c r="AD89" t="s">
        <v>7310</v>
      </c>
      <c r="AE89">
        <v>3</v>
      </c>
      <c r="AF89">
        <v>0</v>
      </c>
    </row>
    <row r="90" spans="1:32" x14ac:dyDescent="0.3">
      <c r="A90" t="s">
        <v>6474</v>
      </c>
      <c r="B90" s="1">
        <v>45370</v>
      </c>
      <c r="C90">
        <v>2024</v>
      </c>
      <c r="D90" s="1">
        <v>45352</v>
      </c>
      <c r="E90">
        <v>3</v>
      </c>
      <c r="F90" t="s">
        <v>819</v>
      </c>
      <c r="G90" t="s">
        <v>7338</v>
      </c>
      <c r="H90" t="s">
        <v>37</v>
      </c>
      <c r="I90" t="s">
        <v>7223</v>
      </c>
      <c r="J90" t="s">
        <v>7224</v>
      </c>
      <c r="K90" t="s">
        <v>247</v>
      </c>
      <c r="L90" t="s">
        <v>39</v>
      </c>
      <c r="M90" t="s">
        <v>61</v>
      </c>
      <c r="N90" t="s">
        <v>7208</v>
      </c>
      <c r="O90" t="s">
        <v>7205</v>
      </c>
      <c r="P90">
        <v>3</v>
      </c>
      <c r="Q90">
        <v>699</v>
      </c>
      <c r="R90">
        <v>0.15</v>
      </c>
      <c r="S90">
        <v>2097</v>
      </c>
      <c r="T90">
        <v>314.55</v>
      </c>
      <c r="U90">
        <v>1782.45</v>
      </c>
      <c r="V90">
        <v>238</v>
      </c>
      <c r="W90">
        <v>714</v>
      </c>
      <c r="X90">
        <v>60</v>
      </c>
      <c r="Y90">
        <v>1008.45</v>
      </c>
      <c r="Z90">
        <v>0.56576622065135063</v>
      </c>
      <c r="AA90" t="s">
        <v>18</v>
      </c>
      <c r="AB90" s="1">
        <v>45373</v>
      </c>
      <c r="AC90">
        <v>3</v>
      </c>
      <c r="AD90" t="s">
        <v>7310</v>
      </c>
      <c r="AF90">
        <v>0</v>
      </c>
    </row>
    <row r="91" spans="1:32" x14ac:dyDescent="0.3">
      <c r="A91" t="s">
        <v>1843</v>
      </c>
      <c r="B91" s="1">
        <v>45370</v>
      </c>
      <c r="C91">
        <v>2024</v>
      </c>
      <c r="D91" s="1">
        <v>45352</v>
      </c>
      <c r="E91">
        <v>3</v>
      </c>
      <c r="F91" t="s">
        <v>1844</v>
      </c>
      <c r="G91" t="s">
        <v>7338</v>
      </c>
      <c r="H91" t="s">
        <v>158</v>
      </c>
      <c r="I91" t="s">
        <v>7214</v>
      </c>
      <c r="J91" t="s">
        <v>7212</v>
      </c>
      <c r="K91" t="s">
        <v>159</v>
      </c>
      <c r="L91" t="s">
        <v>50</v>
      </c>
      <c r="M91" t="s">
        <v>106</v>
      </c>
      <c r="N91" t="s">
        <v>7181</v>
      </c>
      <c r="O91" t="s">
        <v>7179</v>
      </c>
      <c r="P91">
        <v>1</v>
      </c>
      <c r="Q91">
        <v>549</v>
      </c>
      <c r="R91">
        <v>0.1</v>
      </c>
      <c r="S91">
        <v>549</v>
      </c>
      <c r="T91">
        <v>54.900000000000006</v>
      </c>
      <c r="U91">
        <v>494.1</v>
      </c>
      <c r="V91">
        <v>170</v>
      </c>
      <c r="W91">
        <v>170</v>
      </c>
      <c r="X91">
        <v>120</v>
      </c>
      <c r="Y91">
        <v>204.10000000000002</v>
      </c>
      <c r="Z91">
        <v>0.41307427646225464</v>
      </c>
      <c r="AA91" t="s">
        <v>18</v>
      </c>
      <c r="AB91" s="1">
        <v>45375</v>
      </c>
      <c r="AC91">
        <v>5</v>
      </c>
      <c r="AD91" t="s">
        <v>7311</v>
      </c>
      <c r="AE91">
        <v>3</v>
      </c>
      <c r="AF91">
        <v>1</v>
      </c>
    </row>
    <row r="92" spans="1:32" x14ac:dyDescent="0.3">
      <c r="A92" t="s">
        <v>1333</v>
      </c>
      <c r="B92" s="1">
        <v>45371</v>
      </c>
      <c r="C92">
        <v>2024</v>
      </c>
      <c r="D92" s="1">
        <v>45352</v>
      </c>
      <c r="E92">
        <v>3</v>
      </c>
      <c r="F92" t="s">
        <v>1334</v>
      </c>
      <c r="G92" t="s">
        <v>7338</v>
      </c>
      <c r="H92" t="s">
        <v>59</v>
      </c>
      <c r="I92" t="s">
        <v>7237</v>
      </c>
      <c r="J92" t="s">
        <v>7231</v>
      </c>
      <c r="K92" t="s">
        <v>60</v>
      </c>
      <c r="L92" t="s">
        <v>23</v>
      </c>
      <c r="M92" t="s">
        <v>228</v>
      </c>
      <c r="N92" t="s">
        <v>7201</v>
      </c>
      <c r="O92" t="s">
        <v>7200</v>
      </c>
      <c r="P92">
        <v>1</v>
      </c>
      <c r="Q92">
        <v>899</v>
      </c>
      <c r="R92">
        <v>0.05</v>
      </c>
      <c r="S92">
        <v>899</v>
      </c>
      <c r="T92">
        <v>44.95</v>
      </c>
      <c r="U92">
        <v>854.05</v>
      </c>
      <c r="V92">
        <v>494</v>
      </c>
      <c r="W92">
        <v>494</v>
      </c>
      <c r="X92">
        <v>60</v>
      </c>
      <c r="Y92">
        <v>300.04999999999995</v>
      </c>
      <c r="Z92">
        <v>0.35132603477548152</v>
      </c>
      <c r="AA92" t="s">
        <v>18</v>
      </c>
      <c r="AB92" s="1">
        <v>45375</v>
      </c>
      <c r="AC92">
        <v>4</v>
      </c>
      <c r="AD92" t="s">
        <v>7310</v>
      </c>
      <c r="AF92">
        <v>0</v>
      </c>
    </row>
    <row r="93" spans="1:32" x14ac:dyDescent="0.3">
      <c r="A93" t="s">
        <v>2232</v>
      </c>
      <c r="B93" s="1">
        <v>45371</v>
      </c>
      <c r="C93">
        <v>2024</v>
      </c>
      <c r="D93" s="1">
        <v>45352</v>
      </c>
      <c r="E93">
        <v>3</v>
      </c>
      <c r="F93" t="s">
        <v>2233</v>
      </c>
      <c r="G93" t="s">
        <v>7338</v>
      </c>
      <c r="H93" t="s">
        <v>95</v>
      </c>
      <c r="I93" t="s">
        <v>7230</v>
      </c>
      <c r="J93" t="s">
        <v>7231</v>
      </c>
      <c r="K93" t="s">
        <v>96</v>
      </c>
      <c r="L93" t="s">
        <v>65</v>
      </c>
      <c r="M93" t="s">
        <v>109</v>
      </c>
      <c r="N93" t="s">
        <v>7178</v>
      </c>
      <c r="O93" t="s">
        <v>7179</v>
      </c>
      <c r="P93">
        <v>1</v>
      </c>
      <c r="Q93">
        <v>349</v>
      </c>
      <c r="R93">
        <v>0.3</v>
      </c>
      <c r="S93">
        <v>349</v>
      </c>
      <c r="T93">
        <v>104.7</v>
      </c>
      <c r="U93">
        <v>244.3</v>
      </c>
      <c r="V93">
        <v>105</v>
      </c>
      <c r="W93">
        <v>105</v>
      </c>
      <c r="X93">
        <v>60</v>
      </c>
      <c r="Y93">
        <v>79.300000000000011</v>
      </c>
      <c r="Z93">
        <v>0.32460090053213264</v>
      </c>
      <c r="AA93" t="s">
        <v>18</v>
      </c>
      <c r="AB93" s="1">
        <v>45373</v>
      </c>
      <c r="AC93">
        <v>2</v>
      </c>
      <c r="AD93" t="s">
        <v>7309</v>
      </c>
      <c r="AE93">
        <v>5</v>
      </c>
      <c r="AF93">
        <v>0</v>
      </c>
    </row>
    <row r="94" spans="1:32" x14ac:dyDescent="0.3">
      <c r="A94" t="s">
        <v>2698</v>
      </c>
      <c r="B94" s="1">
        <v>45371</v>
      </c>
      <c r="C94">
        <v>2024</v>
      </c>
      <c r="D94" s="1">
        <v>45352</v>
      </c>
      <c r="E94">
        <v>3</v>
      </c>
      <c r="F94" t="s">
        <v>2304</v>
      </c>
      <c r="G94" t="s">
        <v>7339</v>
      </c>
      <c r="H94" t="s">
        <v>43</v>
      </c>
      <c r="I94" t="s">
        <v>7225</v>
      </c>
      <c r="J94" t="s">
        <v>7224</v>
      </c>
      <c r="K94" t="s">
        <v>44</v>
      </c>
      <c r="L94" t="s">
        <v>50</v>
      </c>
      <c r="M94" t="s">
        <v>160</v>
      </c>
      <c r="N94" t="s">
        <v>7175</v>
      </c>
      <c r="O94" t="s">
        <v>7173</v>
      </c>
      <c r="P94">
        <v>1</v>
      </c>
      <c r="Q94">
        <v>399</v>
      </c>
      <c r="R94">
        <v>0.2</v>
      </c>
      <c r="S94">
        <v>399</v>
      </c>
      <c r="T94">
        <v>79.800000000000011</v>
      </c>
      <c r="U94">
        <v>319.2</v>
      </c>
      <c r="V94">
        <v>112</v>
      </c>
      <c r="W94">
        <v>112</v>
      </c>
      <c r="X94">
        <v>60</v>
      </c>
      <c r="Y94">
        <v>147.19999999999999</v>
      </c>
      <c r="Z94">
        <v>0.46115288220551376</v>
      </c>
      <c r="AA94" t="s">
        <v>2522</v>
      </c>
      <c r="AB94" s="1">
        <v>45373</v>
      </c>
      <c r="AC94">
        <v>2</v>
      </c>
      <c r="AD94" t="s">
        <v>7309</v>
      </c>
      <c r="AE94">
        <v>3</v>
      </c>
      <c r="AF94">
        <v>0</v>
      </c>
    </row>
    <row r="95" spans="1:32" x14ac:dyDescent="0.3">
      <c r="A95" t="s">
        <v>5308</v>
      </c>
      <c r="B95" s="1">
        <v>45371</v>
      </c>
      <c r="C95">
        <v>2024</v>
      </c>
      <c r="D95" s="1">
        <v>45352</v>
      </c>
      <c r="E95">
        <v>3</v>
      </c>
      <c r="F95" t="s">
        <v>3842</v>
      </c>
      <c r="G95" t="s">
        <v>7339</v>
      </c>
      <c r="H95" t="s">
        <v>37</v>
      </c>
      <c r="I95" t="s">
        <v>7223</v>
      </c>
      <c r="J95" t="s">
        <v>7224</v>
      </c>
      <c r="K95" t="s">
        <v>247</v>
      </c>
      <c r="L95" t="s">
        <v>23</v>
      </c>
      <c r="M95" t="s">
        <v>40</v>
      </c>
      <c r="N95" t="s">
        <v>7204</v>
      </c>
      <c r="O95" t="s">
        <v>7205</v>
      </c>
      <c r="P95">
        <v>2</v>
      </c>
      <c r="Q95">
        <v>499</v>
      </c>
      <c r="R95">
        <v>0</v>
      </c>
      <c r="S95">
        <v>998</v>
      </c>
      <c r="T95">
        <v>0</v>
      </c>
      <c r="U95">
        <v>998</v>
      </c>
      <c r="V95">
        <v>150</v>
      </c>
      <c r="W95">
        <v>300</v>
      </c>
      <c r="X95">
        <v>60</v>
      </c>
      <c r="Y95">
        <v>638</v>
      </c>
      <c r="Z95">
        <v>0.63927855711422843</v>
      </c>
      <c r="AA95" t="s">
        <v>2522</v>
      </c>
      <c r="AB95" s="1">
        <v>45374</v>
      </c>
      <c r="AC95">
        <v>3</v>
      </c>
      <c r="AD95" t="s">
        <v>7310</v>
      </c>
      <c r="AF95">
        <v>0</v>
      </c>
    </row>
    <row r="96" spans="1:32" x14ac:dyDescent="0.3">
      <c r="A96" t="s">
        <v>88</v>
      </c>
      <c r="B96" s="1">
        <v>45372</v>
      </c>
      <c r="C96">
        <v>2024</v>
      </c>
      <c r="D96" s="1">
        <v>45352</v>
      </c>
      <c r="E96">
        <v>3</v>
      </c>
      <c r="F96" t="s">
        <v>89</v>
      </c>
      <c r="G96" t="s">
        <v>7338</v>
      </c>
      <c r="H96" t="s">
        <v>90</v>
      </c>
      <c r="I96" t="s">
        <v>7233</v>
      </c>
      <c r="J96" t="s">
        <v>7224</v>
      </c>
      <c r="K96" t="s">
        <v>91</v>
      </c>
      <c r="L96" t="s">
        <v>16</v>
      </c>
      <c r="M96" t="s">
        <v>92</v>
      </c>
      <c r="N96" t="s">
        <v>7192</v>
      </c>
      <c r="O96" t="s">
        <v>7190</v>
      </c>
      <c r="P96">
        <v>1</v>
      </c>
      <c r="Q96">
        <v>999</v>
      </c>
      <c r="R96">
        <v>0.1</v>
      </c>
      <c r="S96">
        <v>999</v>
      </c>
      <c r="T96">
        <v>99.9</v>
      </c>
      <c r="U96">
        <v>899.1</v>
      </c>
      <c r="V96">
        <v>400</v>
      </c>
      <c r="W96">
        <v>400</v>
      </c>
      <c r="X96">
        <v>60</v>
      </c>
      <c r="Y96">
        <v>439.1</v>
      </c>
      <c r="Z96">
        <v>0.48837726615504395</v>
      </c>
      <c r="AA96" t="s">
        <v>18</v>
      </c>
      <c r="AB96" s="1">
        <v>45374</v>
      </c>
      <c r="AC96">
        <v>2</v>
      </c>
      <c r="AD96" t="s">
        <v>7309</v>
      </c>
      <c r="AE96">
        <v>4</v>
      </c>
      <c r="AF96">
        <v>0</v>
      </c>
    </row>
    <row r="97" spans="1:32" x14ac:dyDescent="0.3">
      <c r="A97" t="s">
        <v>4339</v>
      </c>
      <c r="B97" s="1">
        <v>45372</v>
      </c>
      <c r="C97">
        <v>2024</v>
      </c>
      <c r="D97" s="1">
        <v>45352</v>
      </c>
      <c r="E97">
        <v>3</v>
      </c>
      <c r="F97" t="s">
        <v>843</v>
      </c>
      <c r="G97" t="s">
        <v>7339</v>
      </c>
      <c r="H97" t="s">
        <v>14</v>
      </c>
      <c r="I97" t="s">
        <v>7232</v>
      </c>
      <c r="J97" t="s">
        <v>7221</v>
      </c>
      <c r="K97" t="s">
        <v>15</v>
      </c>
      <c r="L97" t="s">
        <v>65</v>
      </c>
      <c r="M97" t="s">
        <v>92</v>
      </c>
      <c r="N97" t="s">
        <v>7192</v>
      </c>
      <c r="O97" t="s">
        <v>7190</v>
      </c>
      <c r="P97">
        <v>1</v>
      </c>
      <c r="Q97">
        <v>999</v>
      </c>
      <c r="R97">
        <v>0.1</v>
      </c>
      <c r="S97">
        <v>999</v>
      </c>
      <c r="T97">
        <v>99.9</v>
      </c>
      <c r="U97">
        <v>899.1</v>
      </c>
      <c r="V97">
        <v>400</v>
      </c>
      <c r="W97">
        <v>400</v>
      </c>
      <c r="X97">
        <v>60</v>
      </c>
      <c r="Y97">
        <v>439.1</v>
      </c>
      <c r="Z97">
        <v>0.48837726615504395</v>
      </c>
      <c r="AA97" t="s">
        <v>4074</v>
      </c>
      <c r="AB97" s="1">
        <v>45378</v>
      </c>
      <c r="AC97">
        <v>6</v>
      </c>
      <c r="AD97" t="s">
        <v>7311</v>
      </c>
      <c r="AE97">
        <v>4</v>
      </c>
      <c r="AF97">
        <v>0</v>
      </c>
    </row>
    <row r="98" spans="1:32" x14ac:dyDescent="0.3">
      <c r="A98" t="s">
        <v>2699</v>
      </c>
      <c r="B98" s="1">
        <v>45372</v>
      </c>
      <c r="C98">
        <v>2024</v>
      </c>
      <c r="D98" s="1">
        <v>45352</v>
      </c>
      <c r="E98">
        <v>3</v>
      </c>
      <c r="F98" t="s">
        <v>127</v>
      </c>
      <c r="G98" t="s">
        <v>7338</v>
      </c>
      <c r="H98" t="s">
        <v>43</v>
      </c>
      <c r="I98" t="s">
        <v>7225</v>
      </c>
      <c r="J98" t="s">
        <v>7224</v>
      </c>
      <c r="K98" t="s">
        <v>44</v>
      </c>
      <c r="L98" t="s">
        <v>39</v>
      </c>
      <c r="M98" t="s">
        <v>17</v>
      </c>
      <c r="N98" t="s">
        <v>7191</v>
      </c>
      <c r="O98" t="s">
        <v>7190</v>
      </c>
      <c r="P98">
        <v>1</v>
      </c>
      <c r="Q98">
        <v>2199</v>
      </c>
      <c r="R98">
        <v>0.15</v>
      </c>
      <c r="S98">
        <v>2199</v>
      </c>
      <c r="T98">
        <v>329.84999999999997</v>
      </c>
      <c r="U98">
        <v>1869.15</v>
      </c>
      <c r="V98">
        <v>1034</v>
      </c>
      <c r="W98">
        <v>1034</v>
      </c>
      <c r="X98">
        <v>60</v>
      </c>
      <c r="Y98">
        <v>775.15000000000009</v>
      </c>
      <c r="Z98">
        <v>0.41470721985929437</v>
      </c>
      <c r="AA98" t="s">
        <v>2522</v>
      </c>
      <c r="AB98" s="1">
        <v>45378</v>
      </c>
      <c r="AC98">
        <v>6</v>
      </c>
      <c r="AD98" t="s">
        <v>7311</v>
      </c>
      <c r="AE98">
        <v>3</v>
      </c>
      <c r="AF98">
        <v>0</v>
      </c>
    </row>
    <row r="99" spans="1:32" x14ac:dyDescent="0.3">
      <c r="A99" t="s">
        <v>4337</v>
      </c>
      <c r="B99" s="1">
        <v>45372</v>
      </c>
      <c r="C99">
        <v>2024</v>
      </c>
      <c r="D99" s="1">
        <v>45352</v>
      </c>
      <c r="E99">
        <v>3</v>
      </c>
      <c r="F99" t="s">
        <v>4338</v>
      </c>
      <c r="G99" t="s">
        <v>7338</v>
      </c>
      <c r="H99" t="s">
        <v>158</v>
      </c>
      <c r="I99" t="s">
        <v>7214</v>
      </c>
      <c r="J99" t="s">
        <v>7212</v>
      </c>
      <c r="K99" t="s">
        <v>159</v>
      </c>
      <c r="L99" t="s">
        <v>39</v>
      </c>
      <c r="M99" t="s">
        <v>45</v>
      </c>
      <c r="N99" t="s">
        <v>7180</v>
      </c>
      <c r="O99" t="s">
        <v>7179</v>
      </c>
      <c r="P99">
        <v>1</v>
      </c>
      <c r="Q99">
        <v>449</v>
      </c>
      <c r="R99">
        <v>0.1</v>
      </c>
      <c r="S99">
        <v>449</v>
      </c>
      <c r="T99">
        <v>44.900000000000006</v>
      </c>
      <c r="U99">
        <v>404.1</v>
      </c>
      <c r="V99">
        <v>148</v>
      </c>
      <c r="W99">
        <v>148</v>
      </c>
      <c r="X99">
        <v>60</v>
      </c>
      <c r="Y99">
        <v>196.10000000000002</v>
      </c>
      <c r="Z99">
        <v>0.48527592180153428</v>
      </c>
      <c r="AA99" t="s">
        <v>4074</v>
      </c>
      <c r="AB99" s="1">
        <v>45375</v>
      </c>
      <c r="AC99">
        <v>3</v>
      </c>
      <c r="AD99" t="s">
        <v>7310</v>
      </c>
      <c r="AE99">
        <v>4</v>
      </c>
      <c r="AF99">
        <v>0</v>
      </c>
    </row>
    <row r="100" spans="1:32" x14ac:dyDescent="0.3">
      <c r="A100" t="s">
        <v>6666</v>
      </c>
      <c r="B100" s="1">
        <v>45372</v>
      </c>
      <c r="C100">
        <v>2024</v>
      </c>
      <c r="D100" s="1">
        <v>45352</v>
      </c>
      <c r="E100">
        <v>3</v>
      </c>
      <c r="F100" t="s">
        <v>3842</v>
      </c>
      <c r="G100" t="s">
        <v>7339</v>
      </c>
      <c r="H100" t="s">
        <v>158</v>
      </c>
      <c r="I100" t="s">
        <v>7214</v>
      </c>
      <c r="J100" t="s">
        <v>7212</v>
      </c>
      <c r="K100" t="s">
        <v>159</v>
      </c>
      <c r="L100" t="s">
        <v>23</v>
      </c>
      <c r="M100" t="s">
        <v>92</v>
      </c>
      <c r="N100" t="s">
        <v>7192</v>
      </c>
      <c r="O100" t="s">
        <v>7190</v>
      </c>
      <c r="P100">
        <v>3</v>
      </c>
      <c r="Q100">
        <v>999</v>
      </c>
      <c r="R100">
        <v>0.05</v>
      </c>
      <c r="S100">
        <v>2997</v>
      </c>
      <c r="T100">
        <v>149.85</v>
      </c>
      <c r="U100">
        <v>2847.15</v>
      </c>
      <c r="V100">
        <v>400</v>
      </c>
      <c r="W100">
        <v>1200</v>
      </c>
      <c r="X100">
        <v>60</v>
      </c>
      <c r="Y100">
        <v>1587.15</v>
      </c>
      <c r="Z100">
        <v>0.55745218903113647</v>
      </c>
      <c r="AA100" t="s">
        <v>2522</v>
      </c>
      <c r="AB100" s="1">
        <v>45374</v>
      </c>
      <c r="AC100">
        <v>2</v>
      </c>
      <c r="AD100" t="s">
        <v>7309</v>
      </c>
      <c r="AE100">
        <v>3</v>
      </c>
      <c r="AF100">
        <v>0</v>
      </c>
    </row>
    <row r="101" spans="1:32" x14ac:dyDescent="0.3">
      <c r="A101" t="s">
        <v>3959</v>
      </c>
      <c r="B101" s="1">
        <v>45373</v>
      </c>
      <c r="C101">
        <v>2024</v>
      </c>
      <c r="D101" s="1">
        <v>45352</v>
      </c>
      <c r="E101">
        <v>3</v>
      </c>
      <c r="F101" t="s">
        <v>31</v>
      </c>
      <c r="G101" t="s">
        <v>7339</v>
      </c>
      <c r="H101" t="s">
        <v>59</v>
      </c>
      <c r="I101" t="s">
        <v>7237</v>
      </c>
      <c r="J101" t="s">
        <v>7231</v>
      </c>
      <c r="K101" t="s">
        <v>60</v>
      </c>
      <c r="L101" t="s">
        <v>23</v>
      </c>
      <c r="M101" t="s">
        <v>17</v>
      </c>
      <c r="N101" t="s">
        <v>7191</v>
      </c>
      <c r="O101" t="s">
        <v>7190</v>
      </c>
      <c r="P101">
        <v>1</v>
      </c>
      <c r="Q101">
        <v>2199</v>
      </c>
      <c r="R101">
        <v>0.3</v>
      </c>
      <c r="S101">
        <v>2199</v>
      </c>
      <c r="T101">
        <v>659.69999999999993</v>
      </c>
      <c r="U101">
        <v>1539.3000000000002</v>
      </c>
      <c r="V101">
        <v>1034</v>
      </c>
      <c r="W101">
        <v>1034</v>
      </c>
      <c r="X101">
        <v>60</v>
      </c>
      <c r="Y101">
        <v>445.30000000000018</v>
      </c>
      <c r="Z101">
        <v>0.28928733840057175</v>
      </c>
      <c r="AA101" t="s">
        <v>3495</v>
      </c>
      <c r="AB101" s="1">
        <v>45376</v>
      </c>
      <c r="AC101">
        <v>3</v>
      </c>
      <c r="AD101" t="s">
        <v>7310</v>
      </c>
      <c r="AE101">
        <v>5</v>
      </c>
      <c r="AF101">
        <v>0</v>
      </c>
    </row>
    <row r="102" spans="1:32" x14ac:dyDescent="0.3">
      <c r="A102" t="s">
        <v>4217</v>
      </c>
      <c r="B102" s="1">
        <v>45373</v>
      </c>
      <c r="C102">
        <v>2024</v>
      </c>
      <c r="D102" s="1">
        <v>45352</v>
      </c>
      <c r="E102">
        <v>3</v>
      </c>
      <c r="F102" t="s">
        <v>2715</v>
      </c>
      <c r="G102" t="s">
        <v>7338</v>
      </c>
      <c r="H102" t="s">
        <v>316</v>
      </c>
      <c r="I102" t="s">
        <v>7236</v>
      </c>
      <c r="J102" t="s">
        <v>7231</v>
      </c>
      <c r="K102" t="s">
        <v>317</v>
      </c>
      <c r="L102" t="s">
        <v>65</v>
      </c>
      <c r="M102" t="s">
        <v>51</v>
      </c>
      <c r="N102" t="s">
        <v>7182</v>
      </c>
      <c r="O102" t="s">
        <v>7179</v>
      </c>
      <c r="P102">
        <v>1</v>
      </c>
      <c r="Q102">
        <v>399</v>
      </c>
      <c r="R102">
        <v>0.45</v>
      </c>
      <c r="S102">
        <v>399</v>
      </c>
      <c r="T102">
        <v>179.55</v>
      </c>
      <c r="U102">
        <v>219.45</v>
      </c>
      <c r="V102">
        <v>136</v>
      </c>
      <c r="W102">
        <v>136</v>
      </c>
      <c r="X102">
        <v>60</v>
      </c>
      <c r="Y102">
        <v>23.449999999999989</v>
      </c>
      <c r="Z102">
        <v>0.10685805422647524</v>
      </c>
      <c r="AA102" t="s">
        <v>4074</v>
      </c>
      <c r="AB102" s="1">
        <v>45376</v>
      </c>
      <c r="AC102">
        <v>3</v>
      </c>
      <c r="AD102" t="s">
        <v>7310</v>
      </c>
      <c r="AF102">
        <v>0</v>
      </c>
    </row>
    <row r="103" spans="1:32" x14ac:dyDescent="0.3">
      <c r="A103" t="s">
        <v>2880</v>
      </c>
      <c r="B103" s="1">
        <v>45373</v>
      </c>
      <c r="C103">
        <v>2024</v>
      </c>
      <c r="D103" s="1">
        <v>45352</v>
      </c>
      <c r="E103">
        <v>3</v>
      </c>
      <c r="F103" t="s">
        <v>1923</v>
      </c>
      <c r="G103" t="s">
        <v>7338</v>
      </c>
      <c r="H103" t="s">
        <v>95</v>
      </c>
      <c r="I103" t="s">
        <v>7230</v>
      </c>
      <c r="J103" t="s">
        <v>7231</v>
      </c>
      <c r="K103" t="s">
        <v>96</v>
      </c>
      <c r="L103" t="s">
        <v>50</v>
      </c>
      <c r="M103" t="s">
        <v>109</v>
      </c>
      <c r="N103" t="s">
        <v>7178</v>
      </c>
      <c r="O103" t="s">
        <v>7179</v>
      </c>
      <c r="P103">
        <v>1</v>
      </c>
      <c r="Q103">
        <v>349</v>
      </c>
      <c r="R103">
        <v>0.3</v>
      </c>
      <c r="S103">
        <v>349</v>
      </c>
      <c r="T103">
        <v>104.7</v>
      </c>
      <c r="U103">
        <v>244.3</v>
      </c>
      <c r="V103">
        <v>105</v>
      </c>
      <c r="W103">
        <v>105</v>
      </c>
      <c r="X103">
        <v>60</v>
      </c>
      <c r="Y103">
        <v>79.300000000000011</v>
      </c>
      <c r="Z103">
        <v>0.32460090053213264</v>
      </c>
      <c r="AA103" t="s">
        <v>2522</v>
      </c>
      <c r="AB103" s="1">
        <v>45375</v>
      </c>
      <c r="AC103">
        <v>2</v>
      </c>
      <c r="AD103" t="s">
        <v>7309</v>
      </c>
      <c r="AF103">
        <v>0</v>
      </c>
    </row>
    <row r="104" spans="1:32" x14ac:dyDescent="0.3">
      <c r="A104" t="s">
        <v>1128</v>
      </c>
      <c r="B104" s="1">
        <v>45373</v>
      </c>
      <c r="C104">
        <v>2024</v>
      </c>
      <c r="D104" s="1">
        <v>45352</v>
      </c>
      <c r="E104">
        <v>3</v>
      </c>
      <c r="F104" t="s">
        <v>1129</v>
      </c>
      <c r="G104" t="s">
        <v>7338</v>
      </c>
      <c r="H104" t="s">
        <v>43</v>
      </c>
      <c r="I104" t="s">
        <v>7225</v>
      </c>
      <c r="J104" t="s">
        <v>7224</v>
      </c>
      <c r="K104" t="s">
        <v>250</v>
      </c>
      <c r="L104" t="s">
        <v>50</v>
      </c>
      <c r="M104" t="s">
        <v>66</v>
      </c>
      <c r="N104" t="s">
        <v>7174</v>
      </c>
      <c r="O104" t="s">
        <v>7173</v>
      </c>
      <c r="P104">
        <v>1</v>
      </c>
      <c r="Q104">
        <v>449</v>
      </c>
      <c r="R104">
        <v>0.1</v>
      </c>
      <c r="S104">
        <v>449</v>
      </c>
      <c r="T104">
        <v>44.900000000000006</v>
      </c>
      <c r="U104">
        <v>404.1</v>
      </c>
      <c r="V104">
        <v>144</v>
      </c>
      <c r="W104">
        <v>144</v>
      </c>
      <c r="X104">
        <v>60</v>
      </c>
      <c r="Y104">
        <v>200.10000000000002</v>
      </c>
      <c r="Z104">
        <v>0.4951744617668894</v>
      </c>
      <c r="AA104" t="s">
        <v>18</v>
      </c>
      <c r="AB104" s="1">
        <v>45376</v>
      </c>
      <c r="AC104">
        <v>3</v>
      </c>
      <c r="AD104" t="s">
        <v>7310</v>
      </c>
      <c r="AF104">
        <v>0</v>
      </c>
    </row>
    <row r="105" spans="1:32" x14ac:dyDescent="0.3">
      <c r="A105" t="s">
        <v>6760</v>
      </c>
      <c r="B105" s="1">
        <v>45373</v>
      </c>
      <c r="C105">
        <v>2024</v>
      </c>
      <c r="D105" s="1">
        <v>45352</v>
      </c>
      <c r="E105">
        <v>3</v>
      </c>
      <c r="F105" t="s">
        <v>6086</v>
      </c>
      <c r="G105" t="s">
        <v>7338</v>
      </c>
      <c r="H105" t="s">
        <v>48</v>
      </c>
      <c r="I105" t="s">
        <v>7217</v>
      </c>
      <c r="J105" t="s">
        <v>7212</v>
      </c>
      <c r="K105" t="s">
        <v>49</v>
      </c>
      <c r="L105" t="s">
        <v>65</v>
      </c>
      <c r="M105" t="s">
        <v>160</v>
      </c>
      <c r="N105" t="s">
        <v>7175</v>
      </c>
      <c r="O105" t="s">
        <v>7173</v>
      </c>
      <c r="P105">
        <v>3</v>
      </c>
      <c r="Q105">
        <v>399</v>
      </c>
      <c r="R105">
        <v>0.2</v>
      </c>
      <c r="S105">
        <v>1197</v>
      </c>
      <c r="T105">
        <v>239.4</v>
      </c>
      <c r="U105">
        <v>957.6</v>
      </c>
      <c r="V105">
        <v>112</v>
      </c>
      <c r="W105">
        <v>336</v>
      </c>
      <c r="X105">
        <v>60</v>
      </c>
      <c r="Y105">
        <v>561.6</v>
      </c>
      <c r="Z105">
        <v>0.5864661654135338</v>
      </c>
      <c r="AA105" t="s">
        <v>3495</v>
      </c>
      <c r="AB105" s="1">
        <v>45374</v>
      </c>
      <c r="AC105">
        <v>1</v>
      </c>
      <c r="AD105" t="s">
        <v>7309</v>
      </c>
      <c r="AE105">
        <v>3</v>
      </c>
      <c r="AF105">
        <v>0</v>
      </c>
    </row>
    <row r="106" spans="1:32" x14ac:dyDescent="0.3">
      <c r="A106" t="s">
        <v>1845</v>
      </c>
      <c r="B106" s="1">
        <v>45373</v>
      </c>
      <c r="C106">
        <v>2024</v>
      </c>
      <c r="D106" s="1">
        <v>45352</v>
      </c>
      <c r="E106">
        <v>3</v>
      </c>
      <c r="F106" t="s">
        <v>1846</v>
      </c>
      <c r="G106" t="s">
        <v>7338</v>
      </c>
      <c r="H106" t="s">
        <v>54</v>
      </c>
      <c r="I106" t="s">
        <v>7216</v>
      </c>
      <c r="J106" t="s">
        <v>7212</v>
      </c>
      <c r="K106" t="s">
        <v>55</v>
      </c>
      <c r="L106" t="s">
        <v>23</v>
      </c>
      <c r="M106" t="s">
        <v>24</v>
      </c>
      <c r="N106" t="s">
        <v>7197</v>
      </c>
      <c r="O106" t="s">
        <v>7195</v>
      </c>
      <c r="P106">
        <v>1</v>
      </c>
      <c r="Q106">
        <v>699</v>
      </c>
      <c r="R106">
        <v>0.15</v>
      </c>
      <c r="S106">
        <v>699</v>
      </c>
      <c r="T106">
        <v>104.85</v>
      </c>
      <c r="U106">
        <v>594.15</v>
      </c>
      <c r="V106">
        <v>245</v>
      </c>
      <c r="W106">
        <v>245</v>
      </c>
      <c r="X106">
        <v>60</v>
      </c>
      <c r="Y106">
        <v>289.14999999999998</v>
      </c>
      <c r="Z106">
        <v>0.48666161743667424</v>
      </c>
      <c r="AA106" t="s">
        <v>18</v>
      </c>
      <c r="AB106" s="1">
        <v>45377</v>
      </c>
      <c r="AC106">
        <v>4</v>
      </c>
      <c r="AD106" t="s">
        <v>7310</v>
      </c>
      <c r="AE106">
        <v>3</v>
      </c>
      <c r="AF106">
        <v>0</v>
      </c>
    </row>
    <row r="107" spans="1:32" x14ac:dyDescent="0.3">
      <c r="A107" t="s">
        <v>4215</v>
      </c>
      <c r="B107" s="1">
        <v>45373</v>
      </c>
      <c r="C107">
        <v>2024</v>
      </c>
      <c r="D107" s="1">
        <v>45352</v>
      </c>
      <c r="E107">
        <v>3</v>
      </c>
      <c r="F107" t="s">
        <v>4216</v>
      </c>
      <c r="G107" t="s">
        <v>7338</v>
      </c>
      <c r="H107" t="s">
        <v>184</v>
      </c>
      <c r="I107" t="s">
        <v>7215</v>
      </c>
      <c r="J107" t="s">
        <v>7212</v>
      </c>
      <c r="K107" t="s">
        <v>185</v>
      </c>
      <c r="L107" t="s">
        <v>65</v>
      </c>
      <c r="M107" t="s">
        <v>61</v>
      </c>
      <c r="N107" t="s">
        <v>7208</v>
      </c>
      <c r="O107" t="s">
        <v>7205</v>
      </c>
      <c r="P107">
        <v>1</v>
      </c>
      <c r="Q107">
        <v>699</v>
      </c>
      <c r="R107">
        <v>0.25</v>
      </c>
      <c r="S107">
        <v>699</v>
      </c>
      <c r="T107">
        <v>174.75</v>
      </c>
      <c r="U107">
        <v>524.25</v>
      </c>
      <c r="V107">
        <v>238</v>
      </c>
      <c r="W107">
        <v>238</v>
      </c>
      <c r="X107">
        <v>60</v>
      </c>
      <c r="Y107">
        <v>226.25</v>
      </c>
      <c r="Z107">
        <v>0.43156890796375774</v>
      </c>
      <c r="AA107" t="s">
        <v>4074</v>
      </c>
      <c r="AB107" s="1">
        <v>45378</v>
      </c>
      <c r="AC107">
        <v>5</v>
      </c>
      <c r="AD107" t="s">
        <v>7311</v>
      </c>
      <c r="AF107">
        <v>0</v>
      </c>
    </row>
    <row r="108" spans="1:32" x14ac:dyDescent="0.3">
      <c r="A108" t="s">
        <v>2234</v>
      </c>
      <c r="B108" s="1">
        <v>45374</v>
      </c>
      <c r="C108">
        <v>2024</v>
      </c>
      <c r="D108" s="1">
        <v>45352</v>
      </c>
      <c r="E108">
        <v>3</v>
      </c>
      <c r="F108" t="s">
        <v>2235</v>
      </c>
      <c r="G108" t="s">
        <v>7338</v>
      </c>
      <c r="H108" t="s">
        <v>95</v>
      </c>
      <c r="I108" t="s">
        <v>7230</v>
      </c>
      <c r="J108" t="s">
        <v>7231</v>
      </c>
      <c r="K108" t="s">
        <v>96</v>
      </c>
      <c r="L108" t="s">
        <v>50</v>
      </c>
      <c r="M108" t="s">
        <v>106</v>
      </c>
      <c r="N108" t="s">
        <v>7181</v>
      </c>
      <c r="O108" t="s">
        <v>7179</v>
      </c>
      <c r="P108">
        <v>1</v>
      </c>
      <c r="Q108">
        <v>549</v>
      </c>
      <c r="R108">
        <v>0.15</v>
      </c>
      <c r="S108">
        <v>549</v>
      </c>
      <c r="T108">
        <v>82.35</v>
      </c>
      <c r="U108">
        <v>466.65</v>
      </c>
      <c r="V108">
        <v>170</v>
      </c>
      <c r="W108">
        <v>170</v>
      </c>
      <c r="X108">
        <v>60</v>
      </c>
      <c r="Y108">
        <v>236.64999999999998</v>
      </c>
      <c r="Z108">
        <v>0.50712525447337398</v>
      </c>
      <c r="AA108" t="s">
        <v>18</v>
      </c>
      <c r="AB108" s="1">
        <v>45376</v>
      </c>
      <c r="AC108">
        <v>2</v>
      </c>
      <c r="AD108" t="s">
        <v>7309</v>
      </c>
      <c r="AE108">
        <v>5</v>
      </c>
      <c r="AF108">
        <v>0</v>
      </c>
    </row>
    <row r="109" spans="1:32" x14ac:dyDescent="0.3">
      <c r="A109" t="s">
        <v>5859</v>
      </c>
      <c r="B109" s="1">
        <v>45374</v>
      </c>
      <c r="C109">
        <v>2024</v>
      </c>
      <c r="D109" s="1">
        <v>45352</v>
      </c>
      <c r="E109">
        <v>3</v>
      </c>
      <c r="F109" t="s">
        <v>200</v>
      </c>
      <c r="G109" t="s">
        <v>7338</v>
      </c>
      <c r="H109" t="s">
        <v>132</v>
      </c>
      <c r="I109" t="s">
        <v>7222</v>
      </c>
      <c r="J109" t="s">
        <v>7221</v>
      </c>
      <c r="K109" t="s">
        <v>133</v>
      </c>
      <c r="L109" t="s">
        <v>39</v>
      </c>
      <c r="M109" t="s">
        <v>125</v>
      </c>
      <c r="N109" t="s">
        <v>7194</v>
      </c>
      <c r="O109" t="s">
        <v>7195</v>
      </c>
      <c r="P109">
        <v>2</v>
      </c>
      <c r="Q109">
        <v>899</v>
      </c>
      <c r="R109">
        <v>0</v>
      </c>
      <c r="S109">
        <v>1798</v>
      </c>
      <c r="T109">
        <v>0</v>
      </c>
      <c r="U109">
        <v>1798</v>
      </c>
      <c r="V109">
        <v>378</v>
      </c>
      <c r="W109">
        <v>756</v>
      </c>
      <c r="X109">
        <v>60</v>
      </c>
      <c r="Y109">
        <v>982</v>
      </c>
      <c r="Z109">
        <v>0.5461624026696329</v>
      </c>
      <c r="AA109" t="s">
        <v>18</v>
      </c>
      <c r="AB109" s="1">
        <v>45380</v>
      </c>
      <c r="AC109">
        <v>6</v>
      </c>
      <c r="AD109" t="s">
        <v>7311</v>
      </c>
      <c r="AF109">
        <v>0</v>
      </c>
    </row>
    <row r="110" spans="1:32" x14ac:dyDescent="0.3">
      <c r="A110" t="s">
        <v>6849</v>
      </c>
      <c r="B110" s="1">
        <v>45374</v>
      </c>
      <c r="C110">
        <v>2024</v>
      </c>
      <c r="D110" s="1">
        <v>45352</v>
      </c>
      <c r="E110">
        <v>3</v>
      </c>
      <c r="F110" t="s">
        <v>5121</v>
      </c>
      <c r="G110" t="s">
        <v>7338</v>
      </c>
      <c r="H110" t="s">
        <v>76</v>
      </c>
      <c r="I110" t="s">
        <v>7219</v>
      </c>
      <c r="J110" t="s">
        <v>7212</v>
      </c>
      <c r="K110" t="s">
        <v>118</v>
      </c>
      <c r="L110" t="s">
        <v>65</v>
      </c>
      <c r="M110" t="s">
        <v>160</v>
      </c>
      <c r="N110" t="s">
        <v>7175</v>
      </c>
      <c r="O110" t="s">
        <v>7173</v>
      </c>
      <c r="P110">
        <v>3</v>
      </c>
      <c r="Q110">
        <v>399</v>
      </c>
      <c r="R110">
        <v>0.25</v>
      </c>
      <c r="S110">
        <v>1197</v>
      </c>
      <c r="T110">
        <v>299.25</v>
      </c>
      <c r="U110">
        <v>897.75</v>
      </c>
      <c r="V110">
        <v>112</v>
      </c>
      <c r="W110">
        <v>336</v>
      </c>
      <c r="X110">
        <v>60</v>
      </c>
      <c r="Y110">
        <v>501.75</v>
      </c>
      <c r="Z110">
        <v>0.55889724310776945</v>
      </c>
      <c r="AA110" t="s">
        <v>4450</v>
      </c>
      <c r="AB110" s="1">
        <v>45378</v>
      </c>
      <c r="AC110">
        <v>4</v>
      </c>
      <c r="AD110" t="s">
        <v>7310</v>
      </c>
      <c r="AE110">
        <v>4</v>
      </c>
      <c r="AF110">
        <v>0</v>
      </c>
    </row>
    <row r="111" spans="1:32" x14ac:dyDescent="0.3">
      <c r="A111" t="s">
        <v>1130</v>
      </c>
      <c r="B111" s="1">
        <v>45374</v>
      </c>
      <c r="C111">
        <v>2024</v>
      </c>
      <c r="D111" s="1">
        <v>45352</v>
      </c>
      <c r="E111">
        <v>3</v>
      </c>
      <c r="F111" t="s">
        <v>1131</v>
      </c>
      <c r="G111" t="s">
        <v>7338</v>
      </c>
      <c r="H111" t="s">
        <v>54</v>
      </c>
      <c r="I111" t="s">
        <v>7216</v>
      </c>
      <c r="J111" t="s">
        <v>7212</v>
      </c>
      <c r="K111" t="s">
        <v>227</v>
      </c>
      <c r="L111" t="s">
        <v>50</v>
      </c>
      <c r="M111" t="s">
        <v>73</v>
      </c>
      <c r="N111" t="s">
        <v>7176</v>
      </c>
      <c r="O111" t="s">
        <v>7173</v>
      </c>
      <c r="P111">
        <v>1</v>
      </c>
      <c r="Q111">
        <v>299</v>
      </c>
      <c r="R111">
        <v>0.1</v>
      </c>
      <c r="S111">
        <v>299</v>
      </c>
      <c r="T111">
        <v>29.900000000000002</v>
      </c>
      <c r="U111">
        <v>269.10000000000002</v>
      </c>
      <c r="V111">
        <v>90</v>
      </c>
      <c r="W111">
        <v>90</v>
      </c>
      <c r="X111">
        <v>60</v>
      </c>
      <c r="Y111">
        <v>119.10000000000002</v>
      </c>
      <c r="Z111">
        <v>0.4425863991081383</v>
      </c>
      <c r="AA111" t="s">
        <v>18</v>
      </c>
      <c r="AB111" s="1">
        <v>45379</v>
      </c>
      <c r="AC111">
        <v>5</v>
      </c>
      <c r="AD111" t="s">
        <v>7311</v>
      </c>
      <c r="AF111">
        <v>0</v>
      </c>
    </row>
    <row r="112" spans="1:32" x14ac:dyDescent="0.3">
      <c r="A112" t="s">
        <v>4559</v>
      </c>
      <c r="B112" s="1">
        <v>45375</v>
      </c>
      <c r="C112">
        <v>2024</v>
      </c>
      <c r="D112" s="1">
        <v>45352</v>
      </c>
      <c r="E112">
        <v>3</v>
      </c>
      <c r="F112" t="s">
        <v>1744</v>
      </c>
      <c r="G112" t="s">
        <v>7338</v>
      </c>
      <c r="H112" t="s">
        <v>59</v>
      </c>
      <c r="I112" t="s">
        <v>7237</v>
      </c>
      <c r="J112" t="s">
        <v>7231</v>
      </c>
      <c r="K112" t="s">
        <v>60</v>
      </c>
      <c r="L112" t="s">
        <v>65</v>
      </c>
      <c r="M112" t="s">
        <v>73</v>
      </c>
      <c r="N112" t="s">
        <v>7176</v>
      </c>
      <c r="O112" t="s">
        <v>7173</v>
      </c>
      <c r="P112">
        <v>1</v>
      </c>
      <c r="Q112">
        <v>299</v>
      </c>
      <c r="R112">
        <v>0</v>
      </c>
      <c r="S112">
        <v>299</v>
      </c>
      <c r="T112">
        <v>0</v>
      </c>
      <c r="U112">
        <v>299</v>
      </c>
      <c r="V112">
        <v>90</v>
      </c>
      <c r="W112">
        <v>90</v>
      </c>
      <c r="X112">
        <v>60</v>
      </c>
      <c r="Y112">
        <v>149</v>
      </c>
      <c r="Z112">
        <v>0.49832775919732442</v>
      </c>
      <c r="AA112" t="s">
        <v>4450</v>
      </c>
      <c r="AB112" s="1">
        <v>45376</v>
      </c>
      <c r="AC112">
        <v>1</v>
      </c>
      <c r="AD112" t="s">
        <v>7309</v>
      </c>
      <c r="AF112">
        <v>0</v>
      </c>
    </row>
    <row r="113" spans="1:32" x14ac:dyDescent="0.3">
      <c r="A113" t="s">
        <v>4558</v>
      </c>
      <c r="B113" s="1">
        <v>45375</v>
      </c>
      <c r="C113">
        <v>2024</v>
      </c>
      <c r="D113" s="1">
        <v>45352</v>
      </c>
      <c r="E113">
        <v>3</v>
      </c>
      <c r="F113" t="s">
        <v>4193</v>
      </c>
      <c r="G113" t="s">
        <v>7338</v>
      </c>
      <c r="H113" t="s">
        <v>71</v>
      </c>
      <c r="I113" t="s">
        <v>7229</v>
      </c>
      <c r="J113" t="s">
        <v>7224</v>
      </c>
      <c r="K113" t="s">
        <v>102</v>
      </c>
      <c r="L113" t="s">
        <v>65</v>
      </c>
      <c r="M113" t="s">
        <v>56</v>
      </c>
      <c r="N113" t="s">
        <v>7172</v>
      </c>
      <c r="O113" t="s">
        <v>7173</v>
      </c>
      <c r="P113">
        <v>1</v>
      </c>
      <c r="Q113">
        <v>599</v>
      </c>
      <c r="R113">
        <v>0.1</v>
      </c>
      <c r="S113">
        <v>599</v>
      </c>
      <c r="T113">
        <v>59.900000000000006</v>
      </c>
      <c r="U113">
        <v>539.1</v>
      </c>
      <c r="V113">
        <v>180</v>
      </c>
      <c r="W113">
        <v>180</v>
      </c>
      <c r="X113">
        <v>60</v>
      </c>
      <c r="Y113">
        <v>299.10000000000002</v>
      </c>
      <c r="Z113">
        <v>0.5548135781858653</v>
      </c>
      <c r="AA113" t="s">
        <v>4450</v>
      </c>
      <c r="AB113" s="1">
        <v>45377</v>
      </c>
      <c r="AC113">
        <v>2</v>
      </c>
      <c r="AD113" t="s">
        <v>7309</v>
      </c>
      <c r="AF113">
        <v>0</v>
      </c>
    </row>
    <row r="114" spans="1:32" x14ac:dyDescent="0.3">
      <c r="A114" t="s">
        <v>1335</v>
      </c>
      <c r="B114" s="1">
        <v>45375</v>
      </c>
      <c r="C114">
        <v>2024</v>
      </c>
      <c r="D114" s="1">
        <v>45352</v>
      </c>
      <c r="E114">
        <v>3</v>
      </c>
      <c r="F114" t="s">
        <v>1336</v>
      </c>
      <c r="G114" t="s">
        <v>7338</v>
      </c>
      <c r="H114" t="s">
        <v>32</v>
      </c>
      <c r="I114" t="s">
        <v>7220</v>
      </c>
      <c r="J114" t="s">
        <v>7221</v>
      </c>
      <c r="K114" t="s">
        <v>33</v>
      </c>
      <c r="L114" t="s">
        <v>23</v>
      </c>
      <c r="M114" t="s">
        <v>29</v>
      </c>
      <c r="N114" t="s">
        <v>7186</v>
      </c>
      <c r="O114" t="s">
        <v>7184</v>
      </c>
      <c r="P114">
        <v>1</v>
      </c>
      <c r="Q114">
        <v>1199</v>
      </c>
      <c r="R114">
        <v>0.2</v>
      </c>
      <c r="S114">
        <v>1199</v>
      </c>
      <c r="T114">
        <v>239.8</v>
      </c>
      <c r="U114">
        <v>959.2</v>
      </c>
      <c r="V114">
        <v>492</v>
      </c>
      <c r="W114">
        <v>492</v>
      </c>
      <c r="X114">
        <v>60</v>
      </c>
      <c r="Y114">
        <v>407.20000000000005</v>
      </c>
      <c r="Z114">
        <v>0.42452043369474562</v>
      </c>
      <c r="AA114" t="s">
        <v>18</v>
      </c>
      <c r="AB114" s="1">
        <v>45380</v>
      </c>
      <c r="AC114">
        <v>5</v>
      </c>
      <c r="AD114" t="s">
        <v>7311</v>
      </c>
      <c r="AF114">
        <v>0</v>
      </c>
    </row>
    <row r="115" spans="1:32" x14ac:dyDescent="0.3">
      <c r="A115" t="s">
        <v>2071</v>
      </c>
      <c r="B115" s="1">
        <v>45375</v>
      </c>
      <c r="C115">
        <v>2024</v>
      </c>
      <c r="D115" s="1">
        <v>45352</v>
      </c>
      <c r="E115">
        <v>3</v>
      </c>
      <c r="F115" t="s">
        <v>767</v>
      </c>
      <c r="G115" t="s">
        <v>7339</v>
      </c>
      <c r="H115" t="s">
        <v>210</v>
      </c>
      <c r="I115" t="s">
        <v>7211</v>
      </c>
      <c r="J115" t="s">
        <v>7212</v>
      </c>
      <c r="K115" t="s">
        <v>211</v>
      </c>
      <c r="L115" t="s">
        <v>23</v>
      </c>
      <c r="M115" t="s">
        <v>125</v>
      </c>
      <c r="N115" t="s">
        <v>7194</v>
      </c>
      <c r="O115" t="s">
        <v>7195</v>
      </c>
      <c r="P115">
        <v>1</v>
      </c>
      <c r="Q115">
        <v>899</v>
      </c>
      <c r="R115">
        <v>0.1</v>
      </c>
      <c r="S115">
        <v>899</v>
      </c>
      <c r="T115">
        <v>89.9</v>
      </c>
      <c r="U115">
        <v>809.1</v>
      </c>
      <c r="V115">
        <v>378</v>
      </c>
      <c r="W115">
        <v>378</v>
      </c>
      <c r="X115">
        <v>60</v>
      </c>
      <c r="Y115">
        <v>371.1</v>
      </c>
      <c r="Z115">
        <v>0.45865776789024842</v>
      </c>
      <c r="AA115" t="s">
        <v>18</v>
      </c>
      <c r="AB115" s="1">
        <v>45380</v>
      </c>
      <c r="AC115">
        <v>5</v>
      </c>
      <c r="AD115" t="s">
        <v>7311</v>
      </c>
      <c r="AE115">
        <v>3</v>
      </c>
      <c r="AF115">
        <v>0</v>
      </c>
    </row>
    <row r="116" spans="1:32" x14ac:dyDescent="0.3">
      <c r="A116" t="s">
        <v>1219</v>
      </c>
      <c r="B116" s="1">
        <v>45376</v>
      </c>
      <c r="C116">
        <v>2024</v>
      </c>
      <c r="D116" s="1">
        <v>45352</v>
      </c>
      <c r="E116">
        <v>3</v>
      </c>
      <c r="F116" t="s">
        <v>1220</v>
      </c>
      <c r="G116" t="s">
        <v>7339</v>
      </c>
      <c r="H116" t="s">
        <v>316</v>
      </c>
      <c r="I116" t="s">
        <v>7236</v>
      </c>
      <c r="J116" t="s">
        <v>7231</v>
      </c>
      <c r="K116" t="s">
        <v>317</v>
      </c>
      <c r="L116" t="s">
        <v>16</v>
      </c>
      <c r="M116" t="s">
        <v>87</v>
      </c>
      <c r="N116" t="s">
        <v>7185</v>
      </c>
      <c r="O116" t="s">
        <v>7184</v>
      </c>
      <c r="P116">
        <v>1</v>
      </c>
      <c r="Q116">
        <v>1499</v>
      </c>
      <c r="R116">
        <v>0.35</v>
      </c>
      <c r="S116">
        <v>1499</v>
      </c>
      <c r="T116">
        <v>524.65</v>
      </c>
      <c r="U116">
        <v>974.35</v>
      </c>
      <c r="V116">
        <v>630</v>
      </c>
      <c r="W116">
        <v>630</v>
      </c>
      <c r="X116">
        <v>60</v>
      </c>
      <c r="Y116">
        <v>284.35000000000002</v>
      </c>
      <c r="Z116">
        <v>0.29183558269615645</v>
      </c>
      <c r="AA116" t="s">
        <v>18</v>
      </c>
      <c r="AB116" s="1">
        <v>45379</v>
      </c>
      <c r="AC116">
        <v>3</v>
      </c>
      <c r="AD116" t="s">
        <v>7310</v>
      </c>
      <c r="AF116">
        <v>0</v>
      </c>
    </row>
    <row r="117" spans="1:32" x14ac:dyDescent="0.3">
      <c r="A117" t="s">
        <v>93</v>
      </c>
      <c r="B117" s="1">
        <v>45376</v>
      </c>
      <c r="C117">
        <v>2024</v>
      </c>
      <c r="D117" s="1">
        <v>45352</v>
      </c>
      <c r="E117">
        <v>3</v>
      </c>
      <c r="F117" t="s">
        <v>94</v>
      </c>
      <c r="G117" t="s">
        <v>7339</v>
      </c>
      <c r="H117" t="s">
        <v>95</v>
      </c>
      <c r="I117" t="s">
        <v>7230</v>
      </c>
      <c r="J117" t="s">
        <v>7231</v>
      </c>
      <c r="K117" t="s">
        <v>96</v>
      </c>
      <c r="L117" t="s">
        <v>39</v>
      </c>
      <c r="M117" t="s">
        <v>66</v>
      </c>
      <c r="N117" t="s">
        <v>7174</v>
      </c>
      <c r="O117" t="s">
        <v>7173</v>
      </c>
      <c r="P117">
        <v>1</v>
      </c>
      <c r="Q117">
        <v>449</v>
      </c>
      <c r="R117">
        <v>0</v>
      </c>
      <c r="S117">
        <v>449</v>
      </c>
      <c r="T117">
        <v>0</v>
      </c>
      <c r="U117">
        <v>449</v>
      </c>
      <c r="V117">
        <v>144</v>
      </c>
      <c r="W117">
        <v>144</v>
      </c>
      <c r="X117">
        <v>60</v>
      </c>
      <c r="Y117">
        <v>245</v>
      </c>
      <c r="Z117">
        <v>0.54565701559020041</v>
      </c>
      <c r="AA117" t="s">
        <v>18</v>
      </c>
      <c r="AB117" s="1">
        <v>45379</v>
      </c>
      <c r="AC117">
        <v>3</v>
      </c>
      <c r="AD117" t="s">
        <v>7310</v>
      </c>
      <c r="AE117">
        <v>4</v>
      </c>
      <c r="AF117">
        <v>0</v>
      </c>
    </row>
    <row r="118" spans="1:32" x14ac:dyDescent="0.3">
      <c r="A118" t="s">
        <v>2881</v>
      </c>
      <c r="B118" s="1">
        <v>45376</v>
      </c>
      <c r="C118">
        <v>2024</v>
      </c>
      <c r="D118" s="1">
        <v>45352</v>
      </c>
      <c r="E118">
        <v>3</v>
      </c>
      <c r="F118" t="s">
        <v>2882</v>
      </c>
      <c r="G118" t="s">
        <v>7338</v>
      </c>
      <c r="H118" t="s">
        <v>71</v>
      </c>
      <c r="I118" t="s">
        <v>7229</v>
      </c>
      <c r="J118" t="s">
        <v>7224</v>
      </c>
      <c r="K118" t="s">
        <v>72</v>
      </c>
      <c r="L118" t="s">
        <v>39</v>
      </c>
      <c r="M118" t="s">
        <v>29</v>
      </c>
      <c r="N118" t="s">
        <v>7186</v>
      </c>
      <c r="O118" t="s">
        <v>7184</v>
      </c>
      <c r="P118">
        <v>1</v>
      </c>
      <c r="Q118">
        <v>1199</v>
      </c>
      <c r="R118">
        <v>0.05</v>
      </c>
      <c r="S118">
        <v>1199</v>
      </c>
      <c r="T118">
        <v>59.95</v>
      </c>
      <c r="U118">
        <v>1139.05</v>
      </c>
      <c r="V118">
        <v>492</v>
      </c>
      <c r="W118">
        <v>492</v>
      </c>
      <c r="X118">
        <v>120</v>
      </c>
      <c r="Y118">
        <v>527.04999999999995</v>
      </c>
      <c r="Z118">
        <v>0.46271015319784026</v>
      </c>
      <c r="AA118" t="s">
        <v>2522</v>
      </c>
      <c r="AB118" s="1">
        <v>45380</v>
      </c>
      <c r="AC118">
        <v>4</v>
      </c>
      <c r="AD118" t="s">
        <v>7310</v>
      </c>
      <c r="AF118">
        <v>1</v>
      </c>
    </row>
    <row r="119" spans="1:32" x14ac:dyDescent="0.3">
      <c r="A119" t="s">
        <v>5860</v>
      </c>
      <c r="B119" s="1">
        <v>45376</v>
      </c>
      <c r="C119">
        <v>2024</v>
      </c>
      <c r="D119" s="1">
        <v>45352</v>
      </c>
      <c r="E119">
        <v>3</v>
      </c>
      <c r="F119" t="s">
        <v>1150</v>
      </c>
      <c r="G119" t="s">
        <v>7338</v>
      </c>
      <c r="H119" t="s">
        <v>37</v>
      </c>
      <c r="I119" t="s">
        <v>7223</v>
      </c>
      <c r="J119" t="s">
        <v>7224</v>
      </c>
      <c r="K119" t="s">
        <v>247</v>
      </c>
      <c r="L119" t="s">
        <v>50</v>
      </c>
      <c r="M119" t="s">
        <v>106</v>
      </c>
      <c r="N119" t="s">
        <v>7181</v>
      </c>
      <c r="O119" t="s">
        <v>7179</v>
      </c>
      <c r="P119">
        <v>2</v>
      </c>
      <c r="Q119">
        <v>549</v>
      </c>
      <c r="R119">
        <v>0.15</v>
      </c>
      <c r="S119">
        <v>1098</v>
      </c>
      <c r="T119">
        <v>164.7</v>
      </c>
      <c r="U119">
        <v>933.3</v>
      </c>
      <c r="V119">
        <v>170</v>
      </c>
      <c r="W119">
        <v>340</v>
      </c>
      <c r="X119">
        <v>60</v>
      </c>
      <c r="Y119">
        <v>533.29999999999995</v>
      </c>
      <c r="Z119">
        <v>0.57141326475945564</v>
      </c>
      <c r="AA119" t="s">
        <v>18</v>
      </c>
      <c r="AB119" s="1">
        <v>45377</v>
      </c>
      <c r="AC119">
        <v>1</v>
      </c>
      <c r="AD119" t="s">
        <v>7309</v>
      </c>
      <c r="AF119">
        <v>0</v>
      </c>
    </row>
    <row r="120" spans="1:32" x14ac:dyDescent="0.3">
      <c r="A120" t="s">
        <v>447</v>
      </c>
      <c r="B120" s="1">
        <v>45376</v>
      </c>
      <c r="C120">
        <v>2024</v>
      </c>
      <c r="D120" s="1">
        <v>45352</v>
      </c>
      <c r="E120">
        <v>3</v>
      </c>
      <c r="F120" t="s">
        <v>448</v>
      </c>
      <c r="G120" t="s">
        <v>7338</v>
      </c>
      <c r="H120" t="s">
        <v>48</v>
      </c>
      <c r="I120" t="s">
        <v>7217</v>
      </c>
      <c r="J120" t="s">
        <v>7212</v>
      </c>
      <c r="K120" t="s">
        <v>49</v>
      </c>
      <c r="L120" t="s">
        <v>50</v>
      </c>
      <c r="M120" t="s">
        <v>109</v>
      </c>
      <c r="N120" t="s">
        <v>7178</v>
      </c>
      <c r="O120" t="s">
        <v>7179</v>
      </c>
      <c r="P120">
        <v>1</v>
      </c>
      <c r="Q120">
        <v>349</v>
      </c>
      <c r="R120">
        <v>0.3</v>
      </c>
      <c r="S120">
        <v>349</v>
      </c>
      <c r="T120">
        <v>104.7</v>
      </c>
      <c r="U120">
        <v>244.3</v>
      </c>
      <c r="V120">
        <v>105</v>
      </c>
      <c r="W120">
        <v>105</v>
      </c>
      <c r="X120">
        <v>60</v>
      </c>
      <c r="Y120">
        <v>79.300000000000011</v>
      </c>
      <c r="Z120">
        <v>0.32460090053213264</v>
      </c>
      <c r="AA120" t="s">
        <v>18</v>
      </c>
      <c r="AB120" s="1">
        <v>45379</v>
      </c>
      <c r="AC120">
        <v>3</v>
      </c>
      <c r="AD120" t="s">
        <v>7310</v>
      </c>
      <c r="AE120">
        <v>4</v>
      </c>
      <c r="AF120">
        <v>0</v>
      </c>
    </row>
    <row r="121" spans="1:32" x14ac:dyDescent="0.3">
      <c r="A121" t="s">
        <v>3509</v>
      </c>
      <c r="B121" s="1">
        <v>45376</v>
      </c>
      <c r="C121">
        <v>2024</v>
      </c>
      <c r="D121" s="1">
        <v>45352</v>
      </c>
      <c r="E121">
        <v>3</v>
      </c>
      <c r="F121" t="s">
        <v>3510</v>
      </c>
      <c r="G121" t="s">
        <v>7338</v>
      </c>
      <c r="H121" t="s">
        <v>54</v>
      </c>
      <c r="I121" t="s">
        <v>7216</v>
      </c>
      <c r="J121" t="s">
        <v>7212</v>
      </c>
      <c r="K121" t="s">
        <v>55</v>
      </c>
      <c r="L121" t="s">
        <v>23</v>
      </c>
      <c r="M121" t="s">
        <v>255</v>
      </c>
      <c r="N121" t="s">
        <v>7183</v>
      </c>
      <c r="O121" t="s">
        <v>7184</v>
      </c>
      <c r="P121">
        <v>1</v>
      </c>
      <c r="Q121">
        <v>799</v>
      </c>
      <c r="R121">
        <v>0.05</v>
      </c>
      <c r="S121">
        <v>799</v>
      </c>
      <c r="T121">
        <v>39.950000000000003</v>
      </c>
      <c r="U121">
        <v>759.05</v>
      </c>
      <c r="V121">
        <v>320</v>
      </c>
      <c r="W121">
        <v>320</v>
      </c>
      <c r="X121">
        <v>60</v>
      </c>
      <c r="Y121">
        <v>379.04999999999995</v>
      </c>
      <c r="Z121">
        <v>0.49937421777221525</v>
      </c>
      <c r="AA121" t="s">
        <v>3495</v>
      </c>
      <c r="AB121" s="1">
        <v>45380</v>
      </c>
      <c r="AC121">
        <v>4</v>
      </c>
      <c r="AD121" t="s">
        <v>7310</v>
      </c>
      <c r="AE121">
        <v>4</v>
      </c>
      <c r="AF121">
        <v>0</v>
      </c>
    </row>
    <row r="122" spans="1:32" x14ac:dyDescent="0.3">
      <c r="A122" t="s">
        <v>7144</v>
      </c>
      <c r="B122" s="1">
        <v>45378</v>
      </c>
      <c r="C122">
        <v>2024</v>
      </c>
      <c r="D122" s="1">
        <v>45352</v>
      </c>
      <c r="E122">
        <v>3</v>
      </c>
      <c r="F122" t="s">
        <v>3761</v>
      </c>
      <c r="G122" t="s">
        <v>7338</v>
      </c>
      <c r="H122" t="s">
        <v>27</v>
      </c>
      <c r="I122" t="s">
        <v>7228</v>
      </c>
      <c r="J122" t="s">
        <v>7221</v>
      </c>
      <c r="K122" t="s">
        <v>28</v>
      </c>
      <c r="L122" t="s">
        <v>16</v>
      </c>
      <c r="M122" t="s">
        <v>17</v>
      </c>
      <c r="N122" t="s">
        <v>7191</v>
      </c>
      <c r="O122" t="s">
        <v>7190</v>
      </c>
      <c r="P122">
        <v>5</v>
      </c>
      <c r="Q122">
        <v>2199</v>
      </c>
      <c r="R122">
        <v>0.3</v>
      </c>
      <c r="S122">
        <v>10995</v>
      </c>
      <c r="T122">
        <v>3298.5</v>
      </c>
      <c r="U122">
        <v>7696.5</v>
      </c>
      <c r="V122">
        <v>1034</v>
      </c>
      <c r="W122">
        <v>5170</v>
      </c>
      <c r="X122">
        <v>60</v>
      </c>
      <c r="Y122">
        <v>2466.5</v>
      </c>
      <c r="Z122">
        <v>0.32047034366270383</v>
      </c>
      <c r="AA122" t="s">
        <v>3495</v>
      </c>
      <c r="AB122" s="1">
        <v>45383</v>
      </c>
      <c r="AC122">
        <v>5</v>
      </c>
      <c r="AD122" t="s">
        <v>7311</v>
      </c>
      <c r="AF122">
        <v>0</v>
      </c>
    </row>
    <row r="123" spans="1:32" x14ac:dyDescent="0.3">
      <c r="A123" t="s">
        <v>5077</v>
      </c>
      <c r="B123" s="1">
        <v>45379</v>
      </c>
      <c r="C123">
        <v>2024</v>
      </c>
      <c r="D123" s="1">
        <v>45352</v>
      </c>
      <c r="E123">
        <v>3</v>
      </c>
      <c r="F123" t="s">
        <v>4463</v>
      </c>
      <c r="G123" t="s">
        <v>7338</v>
      </c>
      <c r="H123" t="s">
        <v>59</v>
      </c>
      <c r="I123" t="s">
        <v>7237</v>
      </c>
      <c r="J123" t="s">
        <v>7231</v>
      </c>
      <c r="K123" t="s">
        <v>64</v>
      </c>
      <c r="L123" t="s">
        <v>39</v>
      </c>
      <c r="M123" t="s">
        <v>34</v>
      </c>
      <c r="N123" t="s">
        <v>7193</v>
      </c>
      <c r="O123" t="s">
        <v>7190</v>
      </c>
      <c r="P123">
        <v>2</v>
      </c>
      <c r="Q123">
        <v>399</v>
      </c>
      <c r="R123">
        <v>0.15</v>
      </c>
      <c r="S123">
        <v>798</v>
      </c>
      <c r="T123">
        <v>119.69999999999999</v>
      </c>
      <c r="U123">
        <v>678.3</v>
      </c>
      <c r="V123">
        <v>152</v>
      </c>
      <c r="W123">
        <v>304</v>
      </c>
      <c r="X123">
        <v>120</v>
      </c>
      <c r="Y123">
        <v>254.29999999999995</v>
      </c>
      <c r="Z123">
        <v>0.37490785787999409</v>
      </c>
      <c r="AA123" t="s">
        <v>3495</v>
      </c>
      <c r="AB123" s="1">
        <v>45382</v>
      </c>
      <c r="AC123">
        <v>3</v>
      </c>
      <c r="AD123" t="s">
        <v>7310</v>
      </c>
      <c r="AE123">
        <v>4</v>
      </c>
      <c r="AF123">
        <v>1</v>
      </c>
    </row>
    <row r="124" spans="1:32" x14ac:dyDescent="0.3">
      <c r="A124" t="s">
        <v>5474</v>
      </c>
      <c r="B124" s="1">
        <v>45379</v>
      </c>
      <c r="C124">
        <v>2024</v>
      </c>
      <c r="D124" s="1">
        <v>45352</v>
      </c>
      <c r="E124">
        <v>3</v>
      </c>
      <c r="F124" t="s">
        <v>5475</v>
      </c>
      <c r="G124" t="s">
        <v>7338</v>
      </c>
      <c r="H124" t="s">
        <v>95</v>
      </c>
      <c r="I124" t="s">
        <v>7230</v>
      </c>
      <c r="J124" t="s">
        <v>7231</v>
      </c>
      <c r="K124" t="s">
        <v>96</v>
      </c>
      <c r="L124" t="s">
        <v>39</v>
      </c>
      <c r="M124" t="s">
        <v>565</v>
      </c>
      <c r="N124" t="s">
        <v>7196</v>
      </c>
      <c r="O124" t="s">
        <v>7195</v>
      </c>
      <c r="P124">
        <v>2</v>
      </c>
      <c r="Q124">
        <v>2499</v>
      </c>
      <c r="R124">
        <v>0.3</v>
      </c>
      <c r="S124">
        <v>4998</v>
      </c>
      <c r="T124">
        <v>1499.3999999999999</v>
      </c>
      <c r="U124">
        <v>3498.6000000000004</v>
      </c>
      <c r="V124">
        <v>1250</v>
      </c>
      <c r="W124">
        <v>2500</v>
      </c>
      <c r="X124">
        <v>60</v>
      </c>
      <c r="Y124">
        <v>938.60000000000036</v>
      </c>
      <c r="Z124">
        <v>0.26827874006745561</v>
      </c>
      <c r="AA124" t="s">
        <v>2522</v>
      </c>
      <c r="AB124" s="1">
        <v>45381</v>
      </c>
      <c r="AC124">
        <v>2</v>
      </c>
      <c r="AD124" t="s">
        <v>7309</v>
      </c>
      <c r="AE124">
        <v>4</v>
      </c>
      <c r="AF124">
        <v>0</v>
      </c>
    </row>
    <row r="125" spans="1:32" x14ac:dyDescent="0.3">
      <c r="A125" t="s">
        <v>4560</v>
      </c>
      <c r="B125" s="1">
        <v>45379</v>
      </c>
      <c r="C125">
        <v>2024</v>
      </c>
      <c r="D125" s="1">
        <v>45352</v>
      </c>
      <c r="E125">
        <v>3</v>
      </c>
      <c r="F125" t="s">
        <v>4561</v>
      </c>
      <c r="G125" t="s">
        <v>7338</v>
      </c>
      <c r="H125" t="s">
        <v>27</v>
      </c>
      <c r="I125" t="s">
        <v>7228</v>
      </c>
      <c r="J125" t="s">
        <v>7221</v>
      </c>
      <c r="K125" t="s">
        <v>28</v>
      </c>
      <c r="L125" t="s">
        <v>39</v>
      </c>
      <c r="M125" t="s">
        <v>255</v>
      </c>
      <c r="N125" t="s">
        <v>7183</v>
      </c>
      <c r="O125" t="s">
        <v>7184</v>
      </c>
      <c r="P125">
        <v>1</v>
      </c>
      <c r="Q125">
        <v>799</v>
      </c>
      <c r="R125">
        <v>0</v>
      </c>
      <c r="S125">
        <v>799</v>
      </c>
      <c r="T125">
        <v>0</v>
      </c>
      <c r="U125">
        <v>799</v>
      </c>
      <c r="V125">
        <v>320</v>
      </c>
      <c r="W125">
        <v>320</v>
      </c>
      <c r="X125">
        <v>60</v>
      </c>
      <c r="Y125">
        <v>419</v>
      </c>
      <c r="Z125">
        <v>0.52440550688360454</v>
      </c>
      <c r="AA125" t="s">
        <v>4450</v>
      </c>
      <c r="AB125" s="1">
        <v>45384</v>
      </c>
      <c r="AC125">
        <v>5</v>
      </c>
      <c r="AD125" t="s">
        <v>7311</v>
      </c>
      <c r="AF125">
        <v>0</v>
      </c>
    </row>
    <row r="126" spans="1:32" x14ac:dyDescent="0.3">
      <c r="A126" t="s">
        <v>3512</v>
      </c>
      <c r="B126" s="1">
        <v>45380</v>
      </c>
      <c r="C126">
        <v>2024</v>
      </c>
      <c r="D126" s="1">
        <v>45352</v>
      </c>
      <c r="E126">
        <v>3</v>
      </c>
      <c r="F126" t="s">
        <v>3513</v>
      </c>
      <c r="G126" t="s">
        <v>7338</v>
      </c>
      <c r="H126" t="s">
        <v>275</v>
      </c>
      <c r="I126" t="s">
        <v>7235</v>
      </c>
      <c r="J126" t="s">
        <v>7231</v>
      </c>
      <c r="K126" t="s">
        <v>491</v>
      </c>
      <c r="L126" t="s">
        <v>39</v>
      </c>
      <c r="M126" t="s">
        <v>106</v>
      </c>
      <c r="N126" t="s">
        <v>7181</v>
      </c>
      <c r="O126" t="s">
        <v>7179</v>
      </c>
      <c r="P126">
        <v>1</v>
      </c>
      <c r="Q126">
        <v>549</v>
      </c>
      <c r="R126">
        <v>0.2</v>
      </c>
      <c r="S126">
        <v>549</v>
      </c>
      <c r="T126">
        <v>109.80000000000001</v>
      </c>
      <c r="U126">
        <v>439.2</v>
      </c>
      <c r="V126">
        <v>170</v>
      </c>
      <c r="W126">
        <v>170</v>
      </c>
      <c r="X126">
        <v>60</v>
      </c>
      <c r="Y126">
        <v>209.2</v>
      </c>
      <c r="Z126">
        <v>0.47632058287795992</v>
      </c>
      <c r="AA126" t="s">
        <v>3495</v>
      </c>
      <c r="AB126" s="1">
        <v>45384</v>
      </c>
      <c r="AC126">
        <v>4</v>
      </c>
      <c r="AD126" t="s">
        <v>7310</v>
      </c>
      <c r="AE126">
        <v>4</v>
      </c>
      <c r="AF126">
        <v>0</v>
      </c>
    </row>
    <row r="127" spans="1:32" x14ac:dyDescent="0.3">
      <c r="A127" t="s">
        <v>3511</v>
      </c>
      <c r="B127" s="1">
        <v>45380</v>
      </c>
      <c r="C127">
        <v>2024</v>
      </c>
      <c r="D127" s="1">
        <v>45352</v>
      </c>
      <c r="E127">
        <v>3</v>
      </c>
      <c r="F127" t="s">
        <v>1214</v>
      </c>
      <c r="G127" t="s">
        <v>7339</v>
      </c>
      <c r="H127" t="s">
        <v>275</v>
      </c>
      <c r="I127" t="s">
        <v>7235</v>
      </c>
      <c r="J127" t="s">
        <v>7231</v>
      </c>
      <c r="K127" t="s">
        <v>491</v>
      </c>
      <c r="L127" t="s">
        <v>23</v>
      </c>
      <c r="M127" t="s">
        <v>56</v>
      </c>
      <c r="N127" t="s">
        <v>7172</v>
      </c>
      <c r="O127" t="s">
        <v>7173</v>
      </c>
      <c r="P127">
        <v>1</v>
      </c>
      <c r="Q127">
        <v>599</v>
      </c>
      <c r="R127">
        <v>0.2</v>
      </c>
      <c r="S127">
        <v>599</v>
      </c>
      <c r="T127">
        <v>119.80000000000001</v>
      </c>
      <c r="U127">
        <v>479.2</v>
      </c>
      <c r="V127">
        <v>180</v>
      </c>
      <c r="W127">
        <v>180</v>
      </c>
      <c r="X127">
        <v>60</v>
      </c>
      <c r="Y127">
        <v>239.2</v>
      </c>
      <c r="Z127">
        <v>0.4991652754590985</v>
      </c>
      <c r="AA127" t="s">
        <v>3495</v>
      </c>
      <c r="AB127" s="1">
        <v>45383</v>
      </c>
      <c r="AC127">
        <v>3</v>
      </c>
      <c r="AD127" t="s">
        <v>7310</v>
      </c>
      <c r="AE127">
        <v>4</v>
      </c>
      <c r="AF127">
        <v>0</v>
      </c>
    </row>
    <row r="128" spans="1:32" x14ac:dyDescent="0.3">
      <c r="A128" t="s">
        <v>2236</v>
      </c>
      <c r="B128" s="1">
        <v>45380</v>
      </c>
      <c r="C128">
        <v>2024</v>
      </c>
      <c r="D128" s="1">
        <v>45352</v>
      </c>
      <c r="E128">
        <v>3</v>
      </c>
      <c r="F128" t="s">
        <v>1416</v>
      </c>
      <c r="G128" t="s">
        <v>7338</v>
      </c>
      <c r="H128" t="s">
        <v>275</v>
      </c>
      <c r="I128" t="s">
        <v>7235</v>
      </c>
      <c r="J128" t="s">
        <v>7231</v>
      </c>
      <c r="K128" t="s">
        <v>491</v>
      </c>
      <c r="L128" t="s">
        <v>65</v>
      </c>
      <c r="M128" t="s">
        <v>160</v>
      </c>
      <c r="N128" t="s">
        <v>7175</v>
      </c>
      <c r="O128" t="s">
        <v>7173</v>
      </c>
      <c r="P128">
        <v>1</v>
      </c>
      <c r="Q128">
        <v>399</v>
      </c>
      <c r="R128">
        <v>0.25</v>
      </c>
      <c r="S128">
        <v>399</v>
      </c>
      <c r="T128">
        <v>99.75</v>
      </c>
      <c r="U128">
        <v>299.25</v>
      </c>
      <c r="V128">
        <v>112</v>
      </c>
      <c r="W128">
        <v>112</v>
      </c>
      <c r="X128">
        <v>60</v>
      </c>
      <c r="Y128">
        <v>127.25</v>
      </c>
      <c r="Z128">
        <v>0.42522974101921468</v>
      </c>
      <c r="AA128" t="s">
        <v>18</v>
      </c>
      <c r="AB128" s="1">
        <v>45381</v>
      </c>
      <c r="AC128">
        <v>1</v>
      </c>
      <c r="AD128" t="s">
        <v>7309</v>
      </c>
      <c r="AE128">
        <v>5</v>
      </c>
      <c r="AF128">
        <v>0</v>
      </c>
    </row>
    <row r="129" spans="1:32" x14ac:dyDescent="0.3">
      <c r="A129" t="s">
        <v>1637</v>
      </c>
      <c r="B129" s="1">
        <v>45380</v>
      </c>
      <c r="C129">
        <v>2024</v>
      </c>
      <c r="D129" s="1">
        <v>45352</v>
      </c>
      <c r="E129">
        <v>3</v>
      </c>
      <c r="F129" t="s">
        <v>1007</v>
      </c>
      <c r="G129" t="s">
        <v>7338</v>
      </c>
      <c r="H129" t="s">
        <v>27</v>
      </c>
      <c r="I129" t="s">
        <v>7228</v>
      </c>
      <c r="J129" t="s">
        <v>7221</v>
      </c>
      <c r="K129" t="s">
        <v>28</v>
      </c>
      <c r="L129" t="s">
        <v>65</v>
      </c>
      <c r="M129" t="s">
        <v>56</v>
      </c>
      <c r="N129" t="s">
        <v>7172</v>
      </c>
      <c r="O129" t="s">
        <v>7173</v>
      </c>
      <c r="P129">
        <v>1</v>
      </c>
      <c r="Q129">
        <v>599</v>
      </c>
      <c r="R129">
        <v>0.25</v>
      </c>
      <c r="S129">
        <v>599</v>
      </c>
      <c r="T129">
        <v>149.75</v>
      </c>
      <c r="U129">
        <v>449.25</v>
      </c>
      <c r="V129">
        <v>180</v>
      </c>
      <c r="W129">
        <v>180</v>
      </c>
      <c r="X129">
        <v>60</v>
      </c>
      <c r="Y129">
        <v>209.25</v>
      </c>
      <c r="Z129">
        <v>0.46577629382303842</v>
      </c>
      <c r="AA129" t="s">
        <v>18</v>
      </c>
      <c r="AB129" s="1">
        <v>45383</v>
      </c>
      <c r="AC129">
        <v>3</v>
      </c>
      <c r="AD129" t="s">
        <v>7310</v>
      </c>
      <c r="AF129">
        <v>0</v>
      </c>
    </row>
    <row r="130" spans="1:32" x14ac:dyDescent="0.3">
      <c r="A130" t="s">
        <v>6943</v>
      </c>
      <c r="B130" s="1">
        <v>45380</v>
      </c>
      <c r="C130">
        <v>2024</v>
      </c>
      <c r="D130" s="1">
        <v>45352</v>
      </c>
      <c r="E130">
        <v>3</v>
      </c>
      <c r="F130" t="s">
        <v>3637</v>
      </c>
      <c r="G130" t="s">
        <v>7339</v>
      </c>
      <c r="H130" t="s">
        <v>37</v>
      </c>
      <c r="I130" t="s">
        <v>7223</v>
      </c>
      <c r="J130" t="s">
        <v>7224</v>
      </c>
      <c r="K130" t="s">
        <v>38</v>
      </c>
      <c r="L130" t="s">
        <v>23</v>
      </c>
      <c r="M130" t="s">
        <v>51</v>
      </c>
      <c r="N130" t="s">
        <v>7182</v>
      </c>
      <c r="O130" t="s">
        <v>7179</v>
      </c>
      <c r="P130">
        <v>4</v>
      </c>
      <c r="Q130">
        <v>399</v>
      </c>
      <c r="R130">
        <v>0.4</v>
      </c>
      <c r="S130">
        <v>1596</v>
      </c>
      <c r="T130">
        <v>638.40000000000009</v>
      </c>
      <c r="U130">
        <v>957.59999999999991</v>
      </c>
      <c r="V130">
        <v>136</v>
      </c>
      <c r="W130">
        <v>544</v>
      </c>
      <c r="X130">
        <v>60</v>
      </c>
      <c r="Y130">
        <v>353.59999999999991</v>
      </c>
      <c r="Z130">
        <v>0.36925647451963234</v>
      </c>
      <c r="AA130" t="s">
        <v>2522</v>
      </c>
      <c r="AB130" s="1">
        <v>45382</v>
      </c>
      <c r="AC130">
        <v>2</v>
      </c>
      <c r="AD130" t="s">
        <v>7309</v>
      </c>
      <c r="AF130">
        <v>0</v>
      </c>
    </row>
    <row r="131" spans="1:32" x14ac:dyDescent="0.3">
      <c r="A131" t="s">
        <v>6477</v>
      </c>
      <c r="B131" s="1">
        <v>45380</v>
      </c>
      <c r="C131">
        <v>2024</v>
      </c>
      <c r="D131" s="1">
        <v>45352</v>
      </c>
      <c r="E131">
        <v>3</v>
      </c>
      <c r="F131" t="s">
        <v>3219</v>
      </c>
      <c r="G131" t="s">
        <v>7338</v>
      </c>
      <c r="H131" t="s">
        <v>54</v>
      </c>
      <c r="I131" t="s">
        <v>7216</v>
      </c>
      <c r="J131" t="s">
        <v>7212</v>
      </c>
      <c r="K131" t="s">
        <v>55</v>
      </c>
      <c r="L131" t="s">
        <v>50</v>
      </c>
      <c r="M131" t="s">
        <v>160</v>
      </c>
      <c r="N131" t="s">
        <v>7175</v>
      </c>
      <c r="O131" t="s">
        <v>7173</v>
      </c>
      <c r="P131">
        <v>3</v>
      </c>
      <c r="Q131">
        <v>399</v>
      </c>
      <c r="R131">
        <v>0.2</v>
      </c>
      <c r="S131">
        <v>1197</v>
      </c>
      <c r="T131">
        <v>239.4</v>
      </c>
      <c r="U131">
        <v>957.6</v>
      </c>
      <c r="V131">
        <v>112</v>
      </c>
      <c r="W131">
        <v>336</v>
      </c>
      <c r="X131">
        <v>60</v>
      </c>
      <c r="Y131">
        <v>561.6</v>
      </c>
      <c r="Z131">
        <v>0.5864661654135338</v>
      </c>
      <c r="AA131" t="s">
        <v>18</v>
      </c>
      <c r="AB131" s="1">
        <v>45385</v>
      </c>
      <c r="AC131">
        <v>5</v>
      </c>
      <c r="AD131" t="s">
        <v>7311</v>
      </c>
      <c r="AE131">
        <v>5</v>
      </c>
      <c r="AF131">
        <v>0</v>
      </c>
    </row>
    <row r="132" spans="1:32" x14ac:dyDescent="0.3">
      <c r="A132" t="s">
        <v>4752</v>
      </c>
      <c r="B132" s="1">
        <v>45380</v>
      </c>
      <c r="C132">
        <v>2024</v>
      </c>
      <c r="D132" s="1">
        <v>45352</v>
      </c>
      <c r="E132">
        <v>3</v>
      </c>
      <c r="F132" t="s">
        <v>4753</v>
      </c>
      <c r="G132" t="s">
        <v>7339</v>
      </c>
      <c r="H132" t="s">
        <v>210</v>
      </c>
      <c r="I132" t="s">
        <v>7211</v>
      </c>
      <c r="J132" t="s">
        <v>7212</v>
      </c>
      <c r="K132" t="s">
        <v>211</v>
      </c>
      <c r="L132" t="s">
        <v>39</v>
      </c>
      <c r="M132" t="s">
        <v>87</v>
      </c>
      <c r="N132" t="s">
        <v>7185</v>
      </c>
      <c r="O132" t="s">
        <v>7184</v>
      </c>
      <c r="P132">
        <v>2</v>
      </c>
      <c r="Q132">
        <v>1499</v>
      </c>
      <c r="R132">
        <v>0.35</v>
      </c>
      <c r="S132">
        <v>2998</v>
      </c>
      <c r="T132">
        <v>1049.3</v>
      </c>
      <c r="U132">
        <v>1948.7</v>
      </c>
      <c r="V132">
        <v>630</v>
      </c>
      <c r="W132">
        <v>1260</v>
      </c>
      <c r="X132">
        <v>60</v>
      </c>
      <c r="Y132">
        <v>628.70000000000005</v>
      </c>
      <c r="Z132">
        <v>0.32262533997023657</v>
      </c>
      <c r="AA132" t="s">
        <v>4450</v>
      </c>
      <c r="AB132" s="1">
        <v>45386</v>
      </c>
      <c r="AC132">
        <v>6</v>
      </c>
      <c r="AD132" t="s">
        <v>7311</v>
      </c>
      <c r="AE132">
        <v>4</v>
      </c>
      <c r="AF132">
        <v>0</v>
      </c>
    </row>
    <row r="133" spans="1:32" x14ac:dyDescent="0.3">
      <c r="A133" t="s">
        <v>5078</v>
      </c>
      <c r="B133" s="1">
        <v>45381</v>
      </c>
      <c r="C133">
        <v>2024</v>
      </c>
      <c r="D133" s="1">
        <v>45352</v>
      </c>
      <c r="E133">
        <v>3</v>
      </c>
      <c r="F133" t="s">
        <v>5079</v>
      </c>
      <c r="G133" t="s">
        <v>7339</v>
      </c>
      <c r="H133" t="s">
        <v>167</v>
      </c>
      <c r="I133" t="s">
        <v>7234</v>
      </c>
      <c r="J133" t="s">
        <v>7231</v>
      </c>
      <c r="K133" t="s">
        <v>190</v>
      </c>
      <c r="L133" t="s">
        <v>65</v>
      </c>
      <c r="M133" t="s">
        <v>40</v>
      </c>
      <c r="N133" t="s">
        <v>7204</v>
      </c>
      <c r="O133" t="s">
        <v>7205</v>
      </c>
      <c r="P133">
        <v>2</v>
      </c>
      <c r="Q133">
        <v>499</v>
      </c>
      <c r="R133">
        <v>0.05</v>
      </c>
      <c r="S133">
        <v>998</v>
      </c>
      <c r="T133">
        <v>49.900000000000006</v>
      </c>
      <c r="U133">
        <v>948.1</v>
      </c>
      <c r="V133">
        <v>150</v>
      </c>
      <c r="W133">
        <v>300</v>
      </c>
      <c r="X133">
        <v>60</v>
      </c>
      <c r="Y133">
        <v>588.1</v>
      </c>
      <c r="Z133">
        <v>0.62029321801497728</v>
      </c>
      <c r="AA133" t="s">
        <v>3495</v>
      </c>
      <c r="AB133" s="1">
        <v>45384</v>
      </c>
      <c r="AC133">
        <v>3</v>
      </c>
      <c r="AD133" t="s">
        <v>7310</v>
      </c>
      <c r="AE133">
        <v>5</v>
      </c>
      <c r="AF133">
        <v>0</v>
      </c>
    </row>
    <row r="134" spans="1:32" x14ac:dyDescent="0.3">
      <c r="A134" t="s">
        <v>3158</v>
      </c>
      <c r="B134" s="1">
        <v>45381</v>
      </c>
      <c r="C134">
        <v>2024</v>
      </c>
      <c r="D134" s="1">
        <v>45352</v>
      </c>
      <c r="E134">
        <v>3</v>
      </c>
      <c r="F134" t="s">
        <v>3159</v>
      </c>
      <c r="G134" t="s">
        <v>7338</v>
      </c>
      <c r="H134" t="s">
        <v>76</v>
      </c>
      <c r="I134" t="s">
        <v>7219</v>
      </c>
      <c r="J134" t="s">
        <v>7212</v>
      </c>
      <c r="K134" t="s">
        <v>118</v>
      </c>
      <c r="L134" t="s">
        <v>23</v>
      </c>
      <c r="M134" t="s">
        <v>34</v>
      </c>
      <c r="N134" t="s">
        <v>7193</v>
      </c>
      <c r="O134" t="s">
        <v>7190</v>
      </c>
      <c r="P134">
        <v>1</v>
      </c>
      <c r="Q134">
        <v>399</v>
      </c>
      <c r="R134">
        <v>0.2</v>
      </c>
      <c r="S134">
        <v>399</v>
      </c>
      <c r="T134">
        <v>79.800000000000011</v>
      </c>
      <c r="U134">
        <v>319.2</v>
      </c>
      <c r="V134">
        <v>152</v>
      </c>
      <c r="W134">
        <v>152</v>
      </c>
      <c r="X134">
        <v>120</v>
      </c>
      <c r="Y134">
        <v>47.199999999999989</v>
      </c>
      <c r="Z134">
        <v>0.14786967418546362</v>
      </c>
      <c r="AA134" t="s">
        <v>2522</v>
      </c>
      <c r="AB134" s="1">
        <v>45383</v>
      </c>
      <c r="AC134">
        <v>2</v>
      </c>
      <c r="AD134" t="s">
        <v>7309</v>
      </c>
      <c r="AE134">
        <v>4</v>
      </c>
      <c r="AF134">
        <v>1</v>
      </c>
    </row>
    <row r="135" spans="1:32" x14ac:dyDescent="0.3">
      <c r="A135" t="s">
        <v>2237</v>
      </c>
      <c r="B135" s="1">
        <v>45381</v>
      </c>
      <c r="C135">
        <v>2024</v>
      </c>
      <c r="D135" s="1">
        <v>45352</v>
      </c>
      <c r="E135">
        <v>3</v>
      </c>
      <c r="F135" t="s">
        <v>2238</v>
      </c>
      <c r="G135" t="s">
        <v>7338</v>
      </c>
      <c r="H135" t="s">
        <v>128</v>
      </c>
      <c r="I135" t="s">
        <v>7218</v>
      </c>
      <c r="J135" t="s">
        <v>7212</v>
      </c>
      <c r="K135" t="s">
        <v>129</v>
      </c>
      <c r="L135" t="s">
        <v>50</v>
      </c>
      <c r="M135" t="s">
        <v>56</v>
      </c>
      <c r="N135" t="s">
        <v>7172</v>
      </c>
      <c r="O135" t="s">
        <v>7173</v>
      </c>
      <c r="P135">
        <v>1</v>
      </c>
      <c r="Q135">
        <v>599</v>
      </c>
      <c r="R135">
        <v>0.15</v>
      </c>
      <c r="S135">
        <v>599</v>
      </c>
      <c r="T135">
        <v>89.85</v>
      </c>
      <c r="U135">
        <v>509.15</v>
      </c>
      <c r="V135">
        <v>180</v>
      </c>
      <c r="W135">
        <v>180</v>
      </c>
      <c r="X135">
        <v>60</v>
      </c>
      <c r="Y135">
        <v>269.14999999999998</v>
      </c>
      <c r="Z135">
        <v>0.52862614160856325</v>
      </c>
      <c r="AA135" t="s">
        <v>18</v>
      </c>
      <c r="AB135" s="1">
        <v>45383</v>
      </c>
      <c r="AC135">
        <v>2</v>
      </c>
      <c r="AD135" t="s">
        <v>7309</v>
      </c>
      <c r="AE135">
        <v>5</v>
      </c>
      <c r="AF135">
        <v>0</v>
      </c>
    </row>
    <row r="136" spans="1:32" x14ac:dyDescent="0.3">
      <c r="A136" t="s">
        <v>6478</v>
      </c>
      <c r="B136" s="1">
        <v>45381</v>
      </c>
      <c r="C136">
        <v>2024</v>
      </c>
      <c r="D136" s="1">
        <v>45352</v>
      </c>
      <c r="E136">
        <v>3</v>
      </c>
      <c r="F136" t="s">
        <v>2546</v>
      </c>
      <c r="G136" t="s">
        <v>7339</v>
      </c>
      <c r="H136" t="s">
        <v>21</v>
      </c>
      <c r="I136" t="s">
        <v>7213</v>
      </c>
      <c r="J136" t="s">
        <v>7212</v>
      </c>
      <c r="K136" t="s">
        <v>260</v>
      </c>
      <c r="L136" t="s">
        <v>23</v>
      </c>
      <c r="M136" t="s">
        <v>152</v>
      </c>
      <c r="N136" t="s">
        <v>7207</v>
      </c>
      <c r="O136" t="s">
        <v>7205</v>
      </c>
      <c r="P136">
        <v>3</v>
      </c>
      <c r="Q136">
        <v>399</v>
      </c>
      <c r="R136">
        <v>0.35</v>
      </c>
      <c r="S136">
        <v>1197</v>
      </c>
      <c r="T136">
        <v>418.95</v>
      </c>
      <c r="U136">
        <v>778.05</v>
      </c>
      <c r="V136">
        <v>128</v>
      </c>
      <c r="W136">
        <v>384</v>
      </c>
      <c r="X136">
        <v>60</v>
      </c>
      <c r="Y136">
        <v>334.04999999999995</v>
      </c>
      <c r="Z136">
        <v>0.42934258723732405</v>
      </c>
      <c r="AA136" t="s">
        <v>18</v>
      </c>
      <c r="AB136" s="1">
        <v>45385</v>
      </c>
      <c r="AC136">
        <v>4</v>
      </c>
      <c r="AD136" t="s">
        <v>7310</v>
      </c>
      <c r="AE136">
        <v>4</v>
      </c>
      <c r="AF136">
        <v>0</v>
      </c>
    </row>
    <row r="137" spans="1:32" x14ac:dyDescent="0.3">
      <c r="A137" t="s">
        <v>5080</v>
      </c>
      <c r="B137" s="1">
        <v>45382</v>
      </c>
      <c r="C137">
        <v>2024</v>
      </c>
      <c r="D137" s="1">
        <v>45352</v>
      </c>
      <c r="E137">
        <v>3</v>
      </c>
      <c r="F137" t="s">
        <v>1073</v>
      </c>
      <c r="G137" t="s">
        <v>7338</v>
      </c>
      <c r="H137" t="s">
        <v>90</v>
      </c>
      <c r="I137" t="s">
        <v>7233</v>
      </c>
      <c r="J137" t="s">
        <v>7224</v>
      </c>
      <c r="K137" t="s">
        <v>91</v>
      </c>
      <c r="L137" t="s">
        <v>50</v>
      </c>
      <c r="M137" t="s">
        <v>56</v>
      </c>
      <c r="N137" t="s">
        <v>7172</v>
      </c>
      <c r="O137" t="s">
        <v>7173</v>
      </c>
      <c r="P137">
        <v>2</v>
      </c>
      <c r="Q137">
        <v>599</v>
      </c>
      <c r="R137">
        <v>0.1</v>
      </c>
      <c r="S137">
        <v>1198</v>
      </c>
      <c r="T137">
        <v>119.80000000000001</v>
      </c>
      <c r="U137">
        <v>1078.2</v>
      </c>
      <c r="V137">
        <v>180</v>
      </c>
      <c r="W137">
        <v>360</v>
      </c>
      <c r="X137">
        <v>60</v>
      </c>
      <c r="Y137">
        <v>658.2</v>
      </c>
      <c r="Z137">
        <v>0.6104618809126322</v>
      </c>
      <c r="AA137" t="s">
        <v>3495</v>
      </c>
      <c r="AB137" s="1">
        <v>45387</v>
      </c>
      <c r="AC137">
        <v>5</v>
      </c>
      <c r="AD137" t="s">
        <v>7311</v>
      </c>
      <c r="AE137">
        <v>5</v>
      </c>
      <c r="AF137">
        <v>0</v>
      </c>
    </row>
    <row r="138" spans="1:32" x14ac:dyDescent="0.3">
      <c r="A138" t="s">
        <v>900</v>
      </c>
      <c r="B138" s="1">
        <v>45382</v>
      </c>
      <c r="C138">
        <v>2024</v>
      </c>
      <c r="D138" s="1">
        <v>45352</v>
      </c>
      <c r="E138">
        <v>3</v>
      </c>
      <c r="F138" t="s">
        <v>901</v>
      </c>
      <c r="G138" t="s">
        <v>7339</v>
      </c>
      <c r="H138" t="s">
        <v>95</v>
      </c>
      <c r="I138" t="s">
        <v>7230</v>
      </c>
      <c r="J138" t="s">
        <v>7231</v>
      </c>
      <c r="K138" t="s">
        <v>96</v>
      </c>
      <c r="L138" t="s">
        <v>65</v>
      </c>
      <c r="M138" t="s">
        <v>176</v>
      </c>
      <c r="N138" t="s">
        <v>7187</v>
      </c>
      <c r="O138" t="s">
        <v>7184</v>
      </c>
      <c r="P138">
        <v>1</v>
      </c>
      <c r="Q138">
        <v>2499</v>
      </c>
      <c r="R138">
        <v>0</v>
      </c>
      <c r="S138">
        <v>2499</v>
      </c>
      <c r="T138">
        <v>0</v>
      </c>
      <c r="U138">
        <v>2499</v>
      </c>
      <c r="V138">
        <v>1125</v>
      </c>
      <c r="W138">
        <v>1125</v>
      </c>
      <c r="X138">
        <v>60</v>
      </c>
      <c r="Y138">
        <v>1314</v>
      </c>
      <c r="Z138">
        <v>0.5258103241296519</v>
      </c>
      <c r="AA138" t="s">
        <v>18</v>
      </c>
      <c r="AB138" s="1">
        <v>45385</v>
      </c>
      <c r="AC138">
        <v>3</v>
      </c>
      <c r="AD138" t="s">
        <v>7310</v>
      </c>
      <c r="AE138">
        <v>4</v>
      </c>
      <c r="AF138">
        <v>0</v>
      </c>
    </row>
    <row r="139" spans="1:32" x14ac:dyDescent="0.3">
      <c r="A139" t="s">
        <v>1043</v>
      </c>
      <c r="B139" s="1">
        <v>45382</v>
      </c>
      <c r="C139">
        <v>2024</v>
      </c>
      <c r="D139" s="1">
        <v>45352</v>
      </c>
      <c r="E139">
        <v>3</v>
      </c>
      <c r="F139" t="s">
        <v>1044</v>
      </c>
      <c r="G139" t="s">
        <v>7338</v>
      </c>
      <c r="H139" t="s">
        <v>37</v>
      </c>
      <c r="I139" t="s">
        <v>7223</v>
      </c>
      <c r="J139" t="s">
        <v>7224</v>
      </c>
      <c r="K139" t="s">
        <v>247</v>
      </c>
      <c r="L139" t="s">
        <v>65</v>
      </c>
      <c r="M139" t="s">
        <v>66</v>
      </c>
      <c r="N139" t="s">
        <v>7174</v>
      </c>
      <c r="O139" t="s">
        <v>7173</v>
      </c>
      <c r="P139">
        <v>1</v>
      </c>
      <c r="Q139">
        <v>449</v>
      </c>
      <c r="R139">
        <v>0.05</v>
      </c>
      <c r="S139">
        <v>449</v>
      </c>
      <c r="T139">
        <v>22.450000000000003</v>
      </c>
      <c r="U139">
        <v>426.55</v>
      </c>
      <c r="V139">
        <v>144</v>
      </c>
      <c r="W139">
        <v>144</v>
      </c>
      <c r="X139">
        <v>120</v>
      </c>
      <c r="Y139">
        <v>162.55000000000001</v>
      </c>
      <c r="Z139">
        <v>0.38108076427148052</v>
      </c>
      <c r="AA139" t="s">
        <v>18</v>
      </c>
      <c r="AB139" s="1">
        <v>45385</v>
      </c>
      <c r="AC139">
        <v>3</v>
      </c>
      <c r="AD139" t="s">
        <v>7310</v>
      </c>
      <c r="AE139">
        <v>4</v>
      </c>
      <c r="AF139">
        <v>1</v>
      </c>
    </row>
    <row r="140" spans="1:32" x14ac:dyDescent="0.3">
      <c r="A140" t="s">
        <v>6479</v>
      </c>
      <c r="B140" s="1">
        <v>45382</v>
      </c>
      <c r="C140">
        <v>2024</v>
      </c>
      <c r="D140" s="1">
        <v>45352</v>
      </c>
      <c r="E140">
        <v>3</v>
      </c>
      <c r="F140" t="s">
        <v>2891</v>
      </c>
      <c r="G140" t="s">
        <v>7338</v>
      </c>
      <c r="H140" t="s">
        <v>132</v>
      </c>
      <c r="I140" t="s">
        <v>7222</v>
      </c>
      <c r="J140" t="s">
        <v>7221</v>
      </c>
      <c r="K140" t="s">
        <v>133</v>
      </c>
      <c r="L140" t="s">
        <v>23</v>
      </c>
      <c r="M140" t="s">
        <v>565</v>
      </c>
      <c r="N140" t="s">
        <v>7196</v>
      </c>
      <c r="O140" t="s">
        <v>7195</v>
      </c>
      <c r="P140">
        <v>3</v>
      </c>
      <c r="Q140">
        <v>2499</v>
      </c>
      <c r="R140">
        <v>0.4</v>
      </c>
      <c r="S140">
        <v>7497</v>
      </c>
      <c r="T140">
        <v>2998.8</v>
      </c>
      <c r="U140">
        <v>4498.2</v>
      </c>
      <c r="V140">
        <v>1250</v>
      </c>
      <c r="W140">
        <v>3750</v>
      </c>
      <c r="X140">
        <v>60</v>
      </c>
      <c r="Y140">
        <v>688.19999999999982</v>
      </c>
      <c r="Z140">
        <v>0.15299453114579162</v>
      </c>
      <c r="AA140" t="s">
        <v>18</v>
      </c>
      <c r="AB140" s="1">
        <v>45386</v>
      </c>
      <c r="AC140">
        <v>4</v>
      </c>
      <c r="AD140" t="s">
        <v>7310</v>
      </c>
      <c r="AE140">
        <v>3</v>
      </c>
      <c r="AF140">
        <v>0</v>
      </c>
    </row>
    <row r="141" spans="1:32" x14ac:dyDescent="0.3">
      <c r="A141" t="s">
        <v>3710</v>
      </c>
      <c r="B141" s="1">
        <v>45382</v>
      </c>
      <c r="C141">
        <v>2024</v>
      </c>
      <c r="D141" s="1">
        <v>45352</v>
      </c>
      <c r="E141">
        <v>3</v>
      </c>
      <c r="F141" t="s">
        <v>309</v>
      </c>
      <c r="G141" t="s">
        <v>7338</v>
      </c>
      <c r="H141" t="s">
        <v>54</v>
      </c>
      <c r="I141" t="s">
        <v>7216</v>
      </c>
      <c r="J141" t="s">
        <v>7212</v>
      </c>
      <c r="K141" t="s">
        <v>55</v>
      </c>
      <c r="L141" t="s">
        <v>23</v>
      </c>
      <c r="M141" t="s">
        <v>24</v>
      </c>
      <c r="N141" t="s">
        <v>7197</v>
      </c>
      <c r="O141" t="s">
        <v>7195</v>
      </c>
      <c r="P141">
        <v>1</v>
      </c>
      <c r="Q141">
        <v>699</v>
      </c>
      <c r="R141">
        <v>0.25</v>
      </c>
      <c r="S141">
        <v>699</v>
      </c>
      <c r="T141">
        <v>174.75</v>
      </c>
      <c r="U141">
        <v>524.25</v>
      </c>
      <c r="V141">
        <v>245</v>
      </c>
      <c r="W141">
        <v>245</v>
      </c>
      <c r="X141">
        <v>120</v>
      </c>
      <c r="Y141">
        <v>159.25</v>
      </c>
      <c r="Z141">
        <v>0.30376728659990465</v>
      </c>
      <c r="AA141" t="s">
        <v>3495</v>
      </c>
      <c r="AB141" s="1">
        <v>45384</v>
      </c>
      <c r="AC141">
        <v>2</v>
      </c>
      <c r="AD141" t="s">
        <v>7309</v>
      </c>
      <c r="AF14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44FE-4278-4202-8354-F5971A8C7838}">
  <dimension ref="A1:AA149"/>
  <sheetViews>
    <sheetView showGridLines="0" tabSelected="1" zoomScale="80" zoomScaleNormal="80" workbookViewId="0">
      <pane ySplit="5" topLeftCell="A107" activePane="bottomLeft" state="frozen"/>
      <selection pane="bottomLeft" activeCell="N118" sqref="N118"/>
    </sheetView>
  </sheetViews>
  <sheetFormatPr defaultColWidth="10.33203125" defaultRowHeight="14.4" x14ac:dyDescent="0.3"/>
  <cols>
    <col min="1" max="1" width="2.109375" style="26" customWidth="1"/>
    <col min="2" max="2" width="10.33203125" customWidth="1"/>
    <col min="18" max="19" width="10.33203125" customWidth="1"/>
    <col min="23" max="23" width="10.33203125" customWidth="1"/>
  </cols>
  <sheetData>
    <row r="1" spans="1:27" s="105" customFormat="1" ht="19.95" customHeight="1" x14ac:dyDescent="0.3">
      <c r="B1" s="167" t="s">
        <v>7357</v>
      </c>
      <c r="C1" s="167"/>
      <c r="D1" s="167"/>
      <c r="E1" s="167"/>
      <c r="F1" s="167"/>
      <c r="G1" s="167"/>
      <c r="H1" s="167"/>
      <c r="I1" s="167"/>
      <c r="J1" s="167"/>
      <c r="K1" s="167"/>
      <c r="L1" s="167"/>
      <c r="M1" s="167"/>
      <c r="N1" s="167"/>
      <c r="O1" s="167"/>
      <c r="P1" s="167"/>
      <c r="Q1" s="167"/>
      <c r="R1" s="167"/>
      <c r="S1" s="167"/>
      <c r="T1" s="167"/>
      <c r="U1" s="167"/>
      <c r="V1" s="167"/>
      <c r="W1" s="167"/>
      <c r="X1" s="167"/>
      <c r="Y1" s="167"/>
      <c r="Z1" s="167"/>
      <c r="AA1" s="138"/>
    </row>
    <row r="2" spans="1:27" s="105" customFormat="1" ht="19.95" customHeight="1" x14ac:dyDescent="0.3">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38"/>
    </row>
    <row r="3" spans="1:27" s="105" customFormat="1" x14ac:dyDescent="0.3">
      <c r="B3" s="139" t="str">
        <f>"Showing: "&amp;IF(selYear="All","2024–2025",selYear)&amp;"  •  Region: "&amp;selRegion&amp;"  •  Channel: "&amp;selChannel&amp;"  •  Category: "&amp;selCategory&amp;"  •  "&amp;TEXT(Analysis!B14,"#,##0")&amp;" orders"</f>
        <v>Showing: 2024–2025  •  Region: All  •  Channel: All  •  Category: All  •  4,833 orders</v>
      </c>
      <c r="C3" s="139"/>
      <c r="D3" s="139"/>
      <c r="E3" s="139"/>
      <c r="F3" s="139"/>
      <c r="G3" s="139"/>
      <c r="H3" s="139"/>
      <c r="I3" s="139"/>
      <c r="J3" s="139"/>
      <c r="K3" s="139"/>
      <c r="L3" s="139"/>
      <c r="M3" s="139"/>
      <c r="N3" s="139"/>
      <c r="O3" s="139"/>
      <c r="P3" s="139"/>
      <c r="Q3" s="139"/>
      <c r="R3" s="139"/>
      <c r="S3" s="139"/>
      <c r="T3" s="139"/>
      <c r="U3" s="139"/>
      <c r="V3" s="139"/>
      <c r="W3" s="139"/>
      <c r="X3" s="139"/>
      <c r="Y3" s="139"/>
      <c r="Z3" s="139"/>
    </row>
    <row r="4" spans="1:27" s="108" customFormat="1" ht="15.6" x14ac:dyDescent="0.3">
      <c r="A4" s="107"/>
      <c r="D4" s="142" t="s">
        <v>7405</v>
      </c>
      <c r="E4" s="142"/>
      <c r="F4" s="106"/>
      <c r="H4" s="142" t="s">
        <v>7406</v>
      </c>
      <c r="I4" s="142"/>
      <c r="L4" s="109" t="s">
        <v>7358</v>
      </c>
      <c r="P4" s="142" t="s">
        <v>7407</v>
      </c>
      <c r="Q4" s="142"/>
      <c r="T4" s="142" t="s">
        <v>7408</v>
      </c>
      <c r="U4" s="142"/>
      <c r="X4" s="142" t="s">
        <v>7409</v>
      </c>
      <c r="Y4" s="142"/>
    </row>
    <row r="5" spans="1:27" s="110" customFormat="1" ht="25.8" customHeight="1" thickBot="1" x14ac:dyDescent="0.35">
      <c r="D5" s="140" t="s">
        <v>7255</v>
      </c>
      <c r="E5" s="141"/>
      <c r="H5" s="140" t="s">
        <v>7255</v>
      </c>
      <c r="I5" s="141"/>
      <c r="L5" s="140" t="s">
        <v>7255</v>
      </c>
      <c r="M5" s="141"/>
      <c r="P5" s="140" t="s">
        <v>7255</v>
      </c>
      <c r="Q5" s="141"/>
      <c r="T5" s="140" t="s">
        <v>7261</v>
      </c>
      <c r="U5" s="141"/>
      <c r="X5" s="140">
        <v>15</v>
      </c>
      <c r="Y5" s="141"/>
    </row>
    <row r="6" spans="1:27" x14ac:dyDescent="0.3">
      <c r="B6" s="26"/>
      <c r="C6" s="26"/>
      <c r="D6" s="26"/>
      <c r="E6" s="26"/>
      <c r="F6" s="26"/>
      <c r="G6" s="26"/>
      <c r="H6" s="26"/>
      <c r="I6" s="26"/>
      <c r="J6" s="26"/>
      <c r="K6" s="26"/>
      <c r="L6" s="26"/>
      <c r="M6" s="26"/>
      <c r="N6" s="26"/>
      <c r="O6" s="26"/>
      <c r="P6" s="26"/>
      <c r="Q6" s="26"/>
      <c r="R6" s="26"/>
      <c r="S6" s="26"/>
      <c r="T6" s="26"/>
      <c r="U6" s="26"/>
      <c r="V6" s="26"/>
      <c r="W6" s="26"/>
      <c r="X6" s="26"/>
      <c r="Y6" s="26"/>
      <c r="Z6" s="26"/>
    </row>
    <row r="7" spans="1:27" ht="14.4" customHeight="1" x14ac:dyDescent="0.3">
      <c r="B7" s="152" t="s">
        <v>7377</v>
      </c>
      <c r="C7" s="153"/>
      <c r="D7" s="154"/>
      <c r="E7" s="155" t="s">
        <v>7378</v>
      </c>
      <c r="F7" s="156"/>
      <c r="G7" s="157"/>
      <c r="H7" s="158" t="s">
        <v>7379</v>
      </c>
      <c r="I7" s="159"/>
      <c r="J7" s="160"/>
      <c r="K7" s="161" t="s">
        <v>7380</v>
      </c>
      <c r="L7" s="162"/>
      <c r="M7" s="163"/>
      <c r="N7" s="164" t="s">
        <v>7381</v>
      </c>
      <c r="O7" s="165"/>
      <c r="P7" s="166"/>
      <c r="Q7" s="143" t="s">
        <v>7374</v>
      </c>
      <c r="R7" s="144"/>
      <c r="S7" s="145"/>
      <c r="T7" s="146" t="s">
        <v>7375</v>
      </c>
      <c r="U7" s="147"/>
      <c r="V7" s="148"/>
      <c r="W7" s="149" t="s">
        <v>7376</v>
      </c>
      <c r="X7" s="150"/>
      <c r="Y7" s="151"/>
      <c r="Z7" s="26"/>
    </row>
    <row r="8" spans="1:27" ht="14.4" customHeight="1" x14ac:dyDescent="0.3">
      <c r="B8" s="123">
        <f>Analysis!B11</f>
        <v>5156142.4500000011</v>
      </c>
      <c r="C8" s="124"/>
      <c r="D8" s="125"/>
      <c r="E8" s="126">
        <f>Analysis!B12</f>
        <v>2083254.4500000053</v>
      </c>
      <c r="F8" s="127"/>
      <c r="G8" s="128"/>
      <c r="H8" s="129">
        <f>Analysis!B13</f>
        <v>0.40403353285943544</v>
      </c>
      <c r="I8" s="130"/>
      <c r="J8" s="131"/>
      <c r="K8" s="132">
        <f>Analysis!B14</f>
        <v>4833</v>
      </c>
      <c r="L8" s="133"/>
      <c r="M8" s="134"/>
      <c r="N8" s="135">
        <f>Analysis!B16</f>
        <v>1066.8616697703292</v>
      </c>
      <c r="O8" s="136"/>
      <c r="P8" s="137"/>
      <c r="Q8" s="111">
        <f>Analysis!B17</f>
        <v>3.9144602851323831</v>
      </c>
      <c r="R8" s="112"/>
      <c r="S8" s="113"/>
      <c r="T8" s="114">
        <f>Analysis!B18</f>
        <v>0.10407614318228843</v>
      </c>
      <c r="U8" s="115"/>
      <c r="V8" s="116"/>
      <c r="W8" s="117">
        <f>Analysis!B19</f>
        <v>3.3279536519759985</v>
      </c>
      <c r="X8" s="118"/>
      <c r="Y8" s="119"/>
      <c r="Z8" s="26"/>
    </row>
    <row r="9" spans="1:27" ht="14.4" customHeight="1" x14ac:dyDescent="0.3">
      <c r="B9" s="123"/>
      <c r="C9" s="124"/>
      <c r="D9" s="125"/>
      <c r="E9" s="126"/>
      <c r="F9" s="127"/>
      <c r="G9" s="128"/>
      <c r="H9" s="129"/>
      <c r="I9" s="130"/>
      <c r="J9" s="131"/>
      <c r="K9" s="132"/>
      <c r="L9" s="133"/>
      <c r="M9" s="134"/>
      <c r="N9" s="135"/>
      <c r="O9" s="136"/>
      <c r="P9" s="137"/>
      <c r="Q9" s="111"/>
      <c r="R9" s="112"/>
      <c r="S9" s="113"/>
      <c r="T9" s="114"/>
      <c r="U9" s="115"/>
      <c r="V9" s="116"/>
      <c r="W9" s="117"/>
      <c r="X9" s="118"/>
      <c r="Y9" s="119"/>
      <c r="Z9" s="26"/>
    </row>
    <row r="10" spans="1:27" x14ac:dyDescent="0.3">
      <c r="B10" s="120">
        <f>IF(Analysis!E11="","",Analysis!E11)</f>
        <v>0.28487948768000848</v>
      </c>
      <c r="C10" s="121"/>
      <c r="D10" s="122"/>
      <c r="E10" s="120">
        <f>Analysis!E12</f>
        <v>0.29280918464435324</v>
      </c>
      <c r="F10" s="121"/>
      <c r="G10" s="122"/>
      <c r="H10" s="174">
        <f>Analysis!E13</f>
        <v>2.4848889914307337E-3</v>
      </c>
      <c r="I10" s="175"/>
      <c r="J10" s="176"/>
      <c r="K10" s="174">
        <f>Analysis!E14</f>
        <v>0.27328316086547511</v>
      </c>
      <c r="L10" s="175"/>
      <c r="M10" s="176"/>
      <c r="N10" s="174">
        <f>Analysis!E16</f>
        <v>9.1074217981892414E-3</v>
      </c>
      <c r="O10" s="175"/>
      <c r="P10" s="176"/>
      <c r="Q10" s="171">
        <f>Analysis!E17</f>
        <v>-1.0029005253976209E-2</v>
      </c>
      <c r="R10" s="172"/>
      <c r="S10" s="173"/>
      <c r="T10" s="174">
        <f>Analysis!E18</f>
        <v>-8.1745142814646371E-3</v>
      </c>
      <c r="U10" s="175"/>
      <c r="V10" s="176"/>
      <c r="W10" s="171">
        <f>Analysis!E19</f>
        <v>-4.8459778679084131E-3</v>
      </c>
      <c r="X10" s="172"/>
      <c r="Y10" s="173"/>
      <c r="Z10" s="26"/>
    </row>
    <row r="11" spans="1:27" ht="25.95" customHeight="1" x14ac:dyDescent="0.3">
      <c r="B11" s="168"/>
      <c r="C11" s="169"/>
      <c r="D11" s="170"/>
      <c r="E11" s="126"/>
      <c r="F11" s="127"/>
      <c r="G11" s="128"/>
      <c r="H11" s="129"/>
      <c r="I11" s="130"/>
      <c r="J11" s="131"/>
      <c r="K11" s="168"/>
      <c r="L11" s="169"/>
      <c r="M11" s="170"/>
      <c r="N11" s="168"/>
      <c r="O11" s="169"/>
      <c r="P11" s="170"/>
      <c r="Q11" s="168"/>
      <c r="R11" s="169"/>
      <c r="S11" s="170"/>
      <c r="T11" s="168"/>
      <c r="U11" s="169"/>
      <c r="V11" s="170"/>
      <c r="W11" s="168"/>
      <c r="X11" s="169"/>
      <c r="Y11" s="170"/>
      <c r="Z11" s="26"/>
    </row>
    <row r="12" spans="1:27" x14ac:dyDescent="0.3">
      <c r="B12" s="31" t="s">
        <v>7382</v>
      </c>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7" ht="19.2" customHeight="1" x14ac:dyDescent="0.35">
      <c r="B13" s="33" t="s">
        <v>7383</v>
      </c>
      <c r="C13" s="32"/>
      <c r="D13" s="32"/>
      <c r="E13" s="32"/>
      <c r="F13" s="32"/>
      <c r="G13" s="32"/>
      <c r="H13" s="32"/>
      <c r="I13" s="32"/>
      <c r="J13" s="32"/>
      <c r="K13" s="32"/>
      <c r="L13" s="32"/>
      <c r="M13" s="32"/>
      <c r="N13" s="32"/>
      <c r="O13" s="32"/>
      <c r="P13" s="32"/>
      <c r="Q13" s="32"/>
      <c r="R13" s="32"/>
      <c r="S13" s="32"/>
      <c r="T13" s="32"/>
      <c r="U13" s="32"/>
      <c r="V13" s="32"/>
      <c r="W13" s="32"/>
      <c r="X13" s="32"/>
      <c r="Y13" s="32"/>
      <c r="Z13" s="32"/>
    </row>
    <row r="14" spans="1:27" ht="14.4" customHeight="1" x14ac:dyDescent="0.3">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7" ht="14.4" customHeight="1" x14ac:dyDescent="0.3">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7" ht="14.4" customHeight="1" x14ac:dyDescent="0.3">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2:26" ht="14.4" customHeight="1" x14ac:dyDescent="0.3">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2:26" ht="14.4" customHeight="1" x14ac:dyDescent="0.3">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2:26" ht="14.4" customHeight="1" x14ac:dyDescent="0.3">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2:26" ht="14.4" customHeight="1" x14ac:dyDescent="0.3">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2:26" ht="14.4" customHeight="1" x14ac:dyDescent="0.3">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2:26" ht="14.4" customHeight="1" x14ac:dyDescent="0.3">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2:26" ht="14.4" customHeight="1" x14ac:dyDescent="0.3">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2:26" ht="14.4" customHeight="1" x14ac:dyDescent="0.3">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2:26" ht="14.4" customHeight="1" x14ac:dyDescent="0.3">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2:26" ht="14.4" customHeight="1" x14ac:dyDescent="0.3">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2:26" ht="14.4" customHeight="1" x14ac:dyDescent="0.3">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2:26" ht="14.4" customHeight="1" x14ac:dyDescent="0.3">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2:26" ht="14.4" customHeight="1" x14ac:dyDescent="0.3">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2:26" ht="14.4" customHeight="1" x14ac:dyDescent="0.3">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2:26" ht="21" customHeight="1" x14ac:dyDescent="0.35">
      <c r="B31" s="33" t="s">
        <v>7384</v>
      </c>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2:26" ht="14.4" customHeight="1" x14ac:dyDescent="0.3">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2:26" ht="14.4" customHeight="1" x14ac:dyDescent="0.3">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2:26" ht="14.4" customHeight="1" x14ac:dyDescent="0.3">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2:26" ht="14.4" customHeight="1" x14ac:dyDescent="0.3">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2:26" ht="14.4" customHeight="1" x14ac:dyDescent="0.3">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2:26" ht="14.4" customHeight="1" x14ac:dyDescent="0.3">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2:26" ht="14.4" customHeight="1" x14ac:dyDescent="0.3">
      <c r="B38" s="26"/>
      <c r="C38" s="26"/>
      <c r="D38" s="26"/>
      <c r="E38" s="26"/>
      <c r="F38" s="26"/>
      <c r="G38" s="26"/>
      <c r="H38" s="26"/>
      <c r="I38" s="26"/>
      <c r="J38" s="26"/>
      <c r="K38" s="26"/>
      <c r="L38" s="26"/>
      <c r="M38" s="26"/>
      <c r="N38" s="26"/>
      <c r="O38" s="26"/>
      <c r="P38" s="26"/>
      <c r="Q38" s="34"/>
      <c r="R38" s="26"/>
      <c r="S38" s="26"/>
      <c r="T38" s="26"/>
      <c r="U38" s="26"/>
      <c r="V38" s="26"/>
      <c r="W38" s="26"/>
      <c r="X38" s="26"/>
      <c r="Y38" s="26"/>
      <c r="Z38" s="26"/>
    </row>
    <row r="39" spans="2:26" ht="14.4" customHeight="1" x14ac:dyDescent="0.3">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2:26" ht="14.4" customHeight="1" x14ac:dyDescent="0.3">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2:26" ht="14.4" customHeight="1" x14ac:dyDescent="0.3">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2:26" ht="14.4" customHeight="1" x14ac:dyDescent="0.3">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2:26" ht="14.4" customHeight="1" x14ac:dyDescent="0.3">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2:26" ht="14.4" customHeight="1" x14ac:dyDescent="0.3">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2:26" ht="14.4" customHeight="1" x14ac:dyDescent="0.3">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2:26" ht="14.4" customHeight="1" x14ac:dyDescent="0.3">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2:26" ht="14.4" customHeight="1" x14ac:dyDescent="0.3">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2:26" ht="14.4" customHeight="1" x14ac:dyDescent="0.3">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2:26" ht="22.2" customHeight="1" x14ac:dyDescent="0.35">
      <c r="B49" s="33" t="s">
        <v>7388</v>
      </c>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2:26" ht="14.4" customHeight="1" x14ac:dyDescent="0.3">
      <c r="B50" s="60" t="str">
        <f>"India map – "&amp;selMetric&amp;"  "</f>
        <v xml:space="preserve">India map – Return Rate %  </v>
      </c>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2:26" ht="34.049999999999997" customHeight="1" x14ac:dyDescent="0.3">
      <c r="B51" s="26"/>
      <c r="C51" s="26"/>
      <c r="D51" s="26"/>
      <c r="E51" s="26"/>
      <c r="F51" s="26"/>
      <c r="G51" s="37">
        <f>INDEX(Analysis!$L$122:$L$144,MATCH("JK",Analysis!$B$122:$B$144,0))</f>
        <v>15.625</v>
      </c>
      <c r="H51" s="26"/>
      <c r="I51" s="26"/>
      <c r="J51" s="26"/>
      <c r="K51" s="26"/>
      <c r="L51" s="26"/>
      <c r="M51" s="26"/>
      <c r="N51" s="26"/>
      <c r="O51" s="26"/>
      <c r="P51" s="26"/>
      <c r="Q51" s="26"/>
      <c r="R51" s="26"/>
      <c r="S51" s="26"/>
      <c r="T51" s="26"/>
      <c r="U51" s="26"/>
      <c r="V51" s="26"/>
      <c r="W51" s="26"/>
      <c r="X51" s="26"/>
      <c r="Y51" s="26"/>
      <c r="Z51" s="26"/>
    </row>
    <row r="52" spans="2:26" ht="34.049999999999997" customHeight="1" x14ac:dyDescent="0.3">
      <c r="B52" s="26"/>
      <c r="C52" s="26"/>
      <c r="D52" s="26"/>
      <c r="E52" s="26"/>
      <c r="F52" s="38">
        <f>INDEX(Analysis!$L$122:$L$144,MATCH("PB",Analysis!$B$122:$B$144,0))</f>
        <v>11.363636363636363</v>
      </c>
      <c r="G52" s="39">
        <f>INDEX(Analysis!$L$122:$L$144,MATCH("HP",Analysis!$B$122:$B$144,0))</f>
        <v>20</v>
      </c>
      <c r="H52" s="40">
        <f>INDEX(Analysis!$L$122:$L$144,MATCH("UK",Analysis!$B$122:$B$144,0))</f>
        <v>1.5151515151515151</v>
      </c>
      <c r="I52" s="26"/>
      <c r="J52" s="26"/>
      <c r="K52" s="26"/>
      <c r="L52" s="26"/>
      <c r="M52" s="26"/>
      <c r="N52" s="26"/>
      <c r="O52" s="26"/>
      <c r="P52" s="26"/>
      <c r="Q52" s="26"/>
      <c r="R52" s="26"/>
      <c r="S52" s="26"/>
      <c r="T52" s="26"/>
      <c r="U52" s="26"/>
      <c r="V52" s="26"/>
      <c r="W52" s="26"/>
      <c r="X52" s="26"/>
      <c r="Y52" s="26"/>
      <c r="Z52" s="26"/>
    </row>
    <row r="53" spans="2:26" ht="34.049999999999997" customHeight="1" x14ac:dyDescent="0.3">
      <c r="B53" s="26"/>
      <c r="C53" s="26"/>
      <c r="D53" s="26"/>
      <c r="E53" s="41">
        <f>INDEX(Analysis!$L$122:$L$144,MATCH("RJ",Analysis!$B$122:$B$144,0))</f>
        <v>9.9236641221374047</v>
      </c>
      <c r="F53" s="42">
        <f>INDEX(Analysis!$L$122:$L$144,MATCH("HR",Analysis!$B$122:$B$144,0))</f>
        <v>9.1954022988505741</v>
      </c>
      <c r="G53" s="43">
        <f>INDEX(Analysis!$L$122:$L$144,MATCH("DL",Analysis!$B$122:$B$144,0))</f>
        <v>9.3150684931506849</v>
      </c>
      <c r="H53" s="44">
        <f>INDEX(Analysis!$L$122:$L$144,MATCH("UP",Analysis!$B$122:$B$144,0))</f>
        <v>10.364145658263306</v>
      </c>
      <c r="I53" s="45">
        <f>INDEX(Analysis!$L$122:$L$144,MATCH("BR",Analysis!$B$122:$B$144,0))</f>
        <v>8.3333333333333321</v>
      </c>
      <c r="J53" s="26"/>
      <c r="K53" s="46">
        <f>INDEX(Analysis!$L$122:$L$144,MATCH("AS",Analysis!$B$122:$B$144,0))</f>
        <v>12.987012987012985</v>
      </c>
      <c r="L53" s="26"/>
      <c r="M53" s="26"/>
      <c r="N53" s="26"/>
      <c r="O53" s="26"/>
      <c r="P53" s="26"/>
      <c r="Q53" s="26"/>
      <c r="R53" s="26"/>
      <c r="S53" s="26"/>
      <c r="T53" s="26"/>
      <c r="U53" s="26"/>
      <c r="V53" s="26"/>
      <c r="W53" s="26"/>
      <c r="X53" s="26"/>
      <c r="Y53" s="26"/>
      <c r="Z53" s="26"/>
    </row>
    <row r="54" spans="2:26" ht="34.049999999999997" customHeight="1" x14ac:dyDescent="0.3">
      <c r="B54" s="26"/>
      <c r="C54" s="26"/>
      <c r="D54" s="47">
        <f>INDEX(Analysis!$L$122:$L$144,MATCH("GJ",Analysis!$B$122:$B$144,0))</f>
        <v>14.114114114114114</v>
      </c>
      <c r="E54" s="26"/>
      <c r="F54" s="48">
        <f>INDEX(Analysis!$L$122:$L$144,MATCH("MP",Analysis!$B$122:$B$144,0))</f>
        <v>12.062256809338521</v>
      </c>
      <c r="G54" s="49">
        <f>INDEX(Analysis!$L$122:$L$144,MATCH("CG",Analysis!$B$122:$B$144,0))</f>
        <v>15.584415584415584</v>
      </c>
      <c r="H54" s="50">
        <f>INDEX(Analysis!$L$122:$L$144,MATCH("JH",Analysis!$B$122:$B$144,0))</f>
        <v>12.345679012345679</v>
      </c>
      <c r="I54" s="51">
        <f>INDEX(Analysis!$L$122:$L$144,MATCH("WB",Analysis!$B$122:$B$144,0))</f>
        <v>8.360128617363344</v>
      </c>
      <c r="J54" s="26"/>
      <c r="K54" s="26"/>
      <c r="L54" s="26"/>
      <c r="M54" s="26"/>
      <c r="N54" s="26"/>
      <c r="O54" s="26"/>
      <c r="P54" s="26"/>
      <c r="Q54" s="26"/>
      <c r="R54" s="26"/>
      <c r="S54" s="26"/>
      <c r="T54" s="26"/>
      <c r="U54" s="26"/>
      <c r="V54" s="26"/>
      <c r="W54" s="26"/>
      <c r="X54" s="26"/>
      <c r="Y54" s="26"/>
      <c r="Z54" s="26"/>
    </row>
    <row r="55" spans="2:26" ht="34.049999999999997" customHeight="1" x14ac:dyDescent="0.3">
      <c r="B55" s="26"/>
      <c r="C55" s="26"/>
      <c r="D55" s="26"/>
      <c r="E55" s="52">
        <f>INDEX(Analysis!$L$122:$L$144,MATCH("MH",Analysis!$B$122:$B$144,0))</f>
        <v>10.344827586206897</v>
      </c>
      <c r="F55" s="53">
        <f>INDEX(Analysis!$L$122:$L$144,MATCH("TG",Analysis!$B$122:$B$144,0))</f>
        <v>11.067193675889328</v>
      </c>
      <c r="G55" s="26"/>
      <c r="H55" s="54">
        <f>INDEX(Analysis!$L$122:$L$144,MATCH("OD",Analysis!$B$122:$B$144,0))</f>
        <v>10.112359550561797</v>
      </c>
      <c r="I55" s="26"/>
      <c r="J55" s="26"/>
      <c r="K55" s="26"/>
      <c r="L55" s="26"/>
      <c r="M55" s="26"/>
      <c r="N55" s="26"/>
      <c r="O55" s="26"/>
      <c r="P55" s="26"/>
      <c r="Q55" s="26"/>
      <c r="R55" s="26"/>
      <c r="S55" s="26"/>
      <c r="T55" s="26"/>
      <c r="U55" s="26"/>
      <c r="V55" s="26"/>
      <c r="W55" s="26"/>
      <c r="X55" s="26"/>
      <c r="Y55" s="26"/>
      <c r="Z55" s="26"/>
    </row>
    <row r="56" spans="2:26" ht="34.049999999999997" customHeight="1" x14ac:dyDescent="0.3">
      <c r="B56" s="26"/>
      <c r="C56" s="26"/>
      <c r="D56" s="26"/>
      <c r="E56" s="55">
        <f>INDEX(Analysis!$L$122:$L$144,MATCH("GA",Analysis!$B$122:$B$144,0))</f>
        <v>8.6206896551724146</v>
      </c>
      <c r="F56" s="56">
        <f>INDEX(Analysis!$L$122:$L$144,MATCH("KA",Analysis!$B$122:$B$144,0))</f>
        <v>7.3417721518987342</v>
      </c>
      <c r="G56" s="57">
        <f>INDEX(Analysis!$L$122:$L$144,MATCH("AP",Analysis!$B$122:$B$144,0))</f>
        <v>11.274509803921569</v>
      </c>
      <c r="H56" s="26"/>
      <c r="I56" s="26"/>
      <c r="J56" s="26"/>
      <c r="K56" s="26"/>
      <c r="L56" s="26"/>
      <c r="M56" s="26"/>
      <c r="N56" s="26"/>
      <c r="O56" s="26"/>
      <c r="P56" s="26"/>
      <c r="Q56" s="26"/>
      <c r="R56" s="26"/>
      <c r="S56" s="26"/>
      <c r="T56" s="26"/>
      <c r="U56" s="26"/>
      <c r="V56" s="26"/>
      <c r="W56" s="26"/>
      <c r="X56" s="26"/>
      <c r="Y56" s="26"/>
      <c r="Z56" s="26"/>
    </row>
    <row r="57" spans="2:26" ht="34.049999999999997" customHeight="1" x14ac:dyDescent="0.3">
      <c r="B57" s="26"/>
      <c r="C57" s="26"/>
      <c r="D57" s="26"/>
      <c r="E57" s="26"/>
      <c r="F57" s="58">
        <f>INDEX(Analysis!$L$122:$L$144,MATCH("KL",Analysis!$B$122:$B$144,0))</f>
        <v>8.791208791208792</v>
      </c>
      <c r="G57" s="59">
        <f>INDEX(Analysis!$L$122:$L$144,MATCH("TN",Analysis!$B$122:$B$144,0))</f>
        <v>11.111111111111111</v>
      </c>
      <c r="H57" s="26"/>
      <c r="I57" s="26"/>
      <c r="J57" s="26"/>
      <c r="K57" s="26"/>
      <c r="L57" s="26"/>
      <c r="M57" s="26"/>
      <c r="N57" s="26"/>
      <c r="O57" s="26"/>
      <c r="P57" s="26"/>
      <c r="Q57" s="26"/>
      <c r="R57" s="26"/>
      <c r="S57" s="26"/>
      <c r="T57" s="26"/>
      <c r="U57" s="26"/>
      <c r="V57" s="26"/>
      <c r="W57" s="26"/>
      <c r="X57" s="26"/>
      <c r="Y57" s="26"/>
      <c r="Z57" s="26"/>
    </row>
    <row r="58" spans="2:26" x14ac:dyDescent="0.3">
      <c r="B58" s="26"/>
      <c r="C58" s="26" t="str">
        <f>"🏆 Highest "&amp;selMetric&amp;": "&amp;INDEX(Analysis!$A$122:$A$144,MATCH(MAX(Analysis!$L$122:$L$144),Analysis!$L$122:$L$144,0))&amp;"   ⚠ Lowest "&amp;selMetric&amp;": "&amp;INDEX(Analysis!$A$122:$A$144,MATCH(MIN(Analysis!$L$122:$L$144),Analysis!$L$122:$L$144,0))</f>
        <v>🏆 Highest Return Rate %: Himachal Pradesh   ⚠ Lowest Return Rate %: Uttarakhand</v>
      </c>
      <c r="D58" s="26"/>
      <c r="E58" s="26"/>
      <c r="F58" s="26"/>
      <c r="G58" s="26"/>
      <c r="H58" s="26"/>
      <c r="I58" s="26"/>
      <c r="J58" s="26"/>
      <c r="K58" s="26"/>
      <c r="L58" s="26"/>
      <c r="M58" s="36" t="str">
        <f>IF(OR(selChannel&lt;&gt;"All",selCategory&lt;&gt;"All"),"Select All channels and categories for overall advertising analysis.",IFERROR("Across states, each additional ₹1 of ad spend is associated with ₹"&amp;TEXT(Analysis!B147,"0.00")&amp;" of revenue change. R² = "&amp;TEXT(Analysis!B149,"0.00")&amp;"; r = "&amp;TEXT(Analysis!B150,"0.00")&amp;". Region filter ignored.","Insufficient data for advertising analysis."))</f>
        <v>Across states, each additional ₹1 of ad spend is associated with ₹4.38 of revenue change. R² = 0.99; r = 0.99. Region filter ignored.</v>
      </c>
      <c r="N58" s="26"/>
      <c r="O58" s="26"/>
      <c r="P58" s="26"/>
      <c r="Q58" s="26"/>
      <c r="R58" s="26"/>
      <c r="S58" s="26"/>
      <c r="T58" s="26"/>
      <c r="U58" s="26"/>
      <c r="V58" s="26"/>
      <c r="W58" s="26"/>
      <c r="X58" s="26"/>
      <c r="Y58" s="26"/>
      <c r="Z58" s="26"/>
    </row>
    <row r="59" spans="2:26" ht="22.2" customHeight="1" x14ac:dyDescent="0.35">
      <c r="B59" s="33" t="s">
        <v>7389</v>
      </c>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2:26" ht="14.4" customHeight="1" x14ac:dyDescent="0.3">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2:26" ht="14.4" customHeight="1" x14ac:dyDescent="0.3">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2:26" ht="14.4" customHeight="1" x14ac:dyDescent="0.3">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2:26" ht="14.4" customHeight="1" x14ac:dyDescent="0.3">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2:26" ht="14.4" customHeight="1" x14ac:dyDescent="0.3">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2:26" ht="14.4" customHeight="1" x14ac:dyDescent="0.3">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2:26" ht="14.4" customHeight="1" x14ac:dyDescent="0.3">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2:26" ht="14.4" customHeight="1" x14ac:dyDescent="0.3">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2:26" ht="14.4" customHeight="1" x14ac:dyDescent="0.3">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2:26" ht="14.4" customHeight="1" x14ac:dyDescent="0.3">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2:26" ht="14.4" customHeight="1" x14ac:dyDescent="0.3">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2:26" ht="14.4" customHeight="1" x14ac:dyDescent="0.3">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2:26" ht="14.4" customHeight="1" x14ac:dyDescent="0.3">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2:26" ht="14.4" customHeight="1" x14ac:dyDescent="0.3">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2:26" ht="14.4" customHeight="1" x14ac:dyDescent="0.3">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2:26" ht="14.4" customHeight="1" x14ac:dyDescent="0.3">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2:26" ht="14.4" customHeight="1" x14ac:dyDescent="0.3">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2:26" ht="14.4" customHeight="1" x14ac:dyDescent="0.3">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2:26" ht="14.4" customHeight="1" x14ac:dyDescent="0.3">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2:26" ht="14.4" customHeight="1" x14ac:dyDescent="0.3">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2:26" ht="14.4" customHeight="1" x14ac:dyDescent="0.3">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2:26" ht="22.2" customHeight="1" x14ac:dyDescent="0.35">
      <c r="B81" s="33" t="s">
        <v>7390</v>
      </c>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2:26" ht="14.4" customHeight="1" x14ac:dyDescent="0.3">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2:26" ht="14.4" customHeight="1" x14ac:dyDescent="0.3">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2:26" ht="14.4" customHeight="1" x14ac:dyDescent="0.3">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2:26" ht="14.4" customHeight="1" x14ac:dyDescent="0.3">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2:26" ht="14.4" customHeight="1" x14ac:dyDescent="0.3">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2:26" x14ac:dyDescent="0.3">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2:26" x14ac:dyDescent="0.3">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2:26" x14ac:dyDescent="0.3">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2:26" x14ac:dyDescent="0.3">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2:26" x14ac:dyDescent="0.3">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2:26" x14ac:dyDescent="0.3">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2:26" x14ac:dyDescent="0.3">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2:26" x14ac:dyDescent="0.3">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2:26" x14ac:dyDescent="0.3">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2:26" x14ac:dyDescent="0.3">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x14ac:dyDescent="0.3">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x14ac:dyDescent="0.3">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x14ac:dyDescent="0.3">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x14ac:dyDescent="0.3">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s="63" customFormat="1" ht="19.8" customHeight="1" x14ac:dyDescent="0.3">
      <c r="A101" s="26"/>
      <c r="B101" s="61" t="str">
        <f>IF(OR(Analysis!B190="",Analysis!B191=""),"Insufficient data to estimate the discount–margin relationship.","Each +10 percentage points of discount is associated with "&amp;TEXT(Analysis!B190*10,"+0.0;-0.0;0.0")&amp;" margin points (R² "&amp;TEXT(Analysis!B191,"0.00")&amp;").")</f>
        <v>Each +10 percentage points of discount is associated with -10.5 margin points (R² 0.59).</v>
      </c>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22.2" customHeight="1" x14ac:dyDescent="0.35">
      <c r="B102" s="33" t="s">
        <v>7391</v>
      </c>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26.4" x14ac:dyDescent="0.3">
      <c r="B103" s="179" t="s">
        <v>7169</v>
      </c>
      <c r="C103" s="180"/>
      <c r="D103" s="14" t="s">
        <v>7288</v>
      </c>
      <c r="E103" s="14" t="s">
        <v>7289</v>
      </c>
      <c r="F103" s="14" t="s">
        <v>7290</v>
      </c>
      <c r="G103" s="14" t="s">
        <v>7291</v>
      </c>
      <c r="H103" s="14" t="s">
        <v>7292</v>
      </c>
      <c r="I103" s="14" t="s">
        <v>7293</v>
      </c>
      <c r="J103" s="14" t="s">
        <v>7294</v>
      </c>
      <c r="K103" s="14" t="s">
        <v>7295</v>
      </c>
      <c r="L103" s="14" t="s">
        <v>7296</v>
      </c>
      <c r="M103" s="14" t="s">
        <v>7297</v>
      </c>
      <c r="N103" s="14" t="s">
        <v>7298</v>
      </c>
      <c r="O103" s="14" t="s">
        <v>7299</v>
      </c>
      <c r="P103" s="26"/>
      <c r="Q103" s="64" t="str">
        <f>Analysis!A79</f>
        <v>Channel</v>
      </c>
      <c r="R103" s="64" t="str">
        <f>Analysis!B79</f>
        <v>Revenue</v>
      </c>
      <c r="S103" s="64" t="str">
        <f>Analysis!H79</f>
        <v>Share %</v>
      </c>
      <c r="T103" s="64" t="str">
        <f>Analysis!D79</f>
        <v>Margin %</v>
      </c>
      <c r="U103" s="64" t="s">
        <v>7392</v>
      </c>
      <c r="V103" s="64" t="s">
        <v>7394</v>
      </c>
      <c r="W103" s="64" t="s">
        <v>7393</v>
      </c>
      <c r="X103" s="26"/>
      <c r="Y103" s="26"/>
      <c r="Z103" s="26"/>
    </row>
    <row r="104" spans="1:26" ht="19.8" customHeight="1" x14ac:dyDescent="0.3">
      <c r="B104" s="181" t="s">
        <v>7173</v>
      </c>
      <c r="C104" s="182"/>
      <c r="D104" s="70">
        <f>Analysis!B96</f>
        <v>56494.200000000012</v>
      </c>
      <c r="E104" s="70">
        <f>Analysis!C96</f>
        <v>44310.049999999988</v>
      </c>
      <c r="F104" s="70">
        <f>Analysis!D96</f>
        <v>43426.050000000032</v>
      </c>
      <c r="G104" s="70">
        <f>Analysis!E96</f>
        <v>56952.450000000004</v>
      </c>
      <c r="H104" s="70">
        <f>Analysis!F96</f>
        <v>40215.300000000003</v>
      </c>
      <c r="I104" s="70">
        <f>Analysis!G96</f>
        <v>42008.250000000007</v>
      </c>
      <c r="J104" s="70">
        <f>Analysis!H96</f>
        <v>45046.950000000004</v>
      </c>
      <c r="K104" s="70">
        <f>Analysis!I96</f>
        <v>47869.999999999993</v>
      </c>
      <c r="L104" s="70">
        <f>Analysis!J96</f>
        <v>54808.65</v>
      </c>
      <c r="M104" s="70">
        <f>Analysis!K96</f>
        <v>77146.349999999977</v>
      </c>
      <c r="N104" s="70">
        <f>Analysis!L96</f>
        <v>76625.3</v>
      </c>
      <c r="O104" s="70">
        <f>Analysis!M96</f>
        <v>51003.349999999991</v>
      </c>
      <c r="P104" s="26"/>
      <c r="Q104" s="65" t="str">
        <f>Analysis!A80</f>
        <v>Amazon</v>
      </c>
      <c r="R104" s="66">
        <f>Analysis!B80</f>
        <v>1447389.6999999993</v>
      </c>
      <c r="S104" s="67">
        <f>Analysis!H80</f>
        <v>0.28071173634855628</v>
      </c>
      <c r="T104" s="68">
        <f>Analysis!D80</f>
        <v>0.38105611778223963</v>
      </c>
      <c r="U104" s="68">
        <f>Analysis!F80</f>
        <v>0.1107242339832869</v>
      </c>
      <c r="V104" s="69">
        <f>Analysis!G80</f>
        <v>3.941468253968254</v>
      </c>
      <c r="W104" s="68">
        <f>Analysis!I80</f>
        <v>0.23660598957907536</v>
      </c>
      <c r="X104" s="26"/>
      <c r="Y104" s="26"/>
      <c r="Z104" s="26"/>
    </row>
    <row r="105" spans="1:26" ht="19.8" customHeight="1" x14ac:dyDescent="0.3">
      <c r="B105" s="181" t="s">
        <v>7179</v>
      </c>
      <c r="C105" s="182" t="s">
        <v>7179</v>
      </c>
      <c r="D105" s="70">
        <f>Analysis!B97</f>
        <v>24364.149999999998</v>
      </c>
      <c r="E105" s="70">
        <f>Analysis!C97</f>
        <v>27617.200000000004</v>
      </c>
      <c r="F105" s="70">
        <f>Analysis!D97</f>
        <v>25422.299999999988</v>
      </c>
      <c r="G105" s="70">
        <f>Analysis!E97</f>
        <v>34087.499999999993</v>
      </c>
      <c r="H105" s="70">
        <f>Analysis!F97</f>
        <v>27512.800000000003</v>
      </c>
      <c r="I105" s="70">
        <f>Analysis!G97</f>
        <v>32450.400000000009</v>
      </c>
      <c r="J105" s="70">
        <f>Analysis!H97</f>
        <v>30616.299999999992</v>
      </c>
      <c r="K105" s="70">
        <f>Analysis!I97</f>
        <v>38731.899999999987</v>
      </c>
      <c r="L105" s="70">
        <f>Analysis!J97</f>
        <v>39547.999999999993</v>
      </c>
      <c r="M105" s="70">
        <f>Analysis!K97</f>
        <v>44517.999999999985</v>
      </c>
      <c r="N105" s="70">
        <f>Analysis!L97</f>
        <v>47622.349999999991</v>
      </c>
      <c r="O105" s="70">
        <f>Analysis!M97</f>
        <v>45629.799999999996</v>
      </c>
      <c r="P105" s="26"/>
      <c r="Q105" s="65" t="str">
        <f>Analysis!A81</f>
        <v>Flipkart</v>
      </c>
      <c r="R105" s="66">
        <f>Analysis!B81</f>
        <v>1180727.3499999999</v>
      </c>
      <c r="S105" s="67">
        <f>Analysis!H81</f>
        <v>0.22899432307189255</v>
      </c>
      <c r="T105" s="68">
        <f>Analysis!D81</f>
        <v>0.3902470371335085</v>
      </c>
      <c r="U105" s="68">
        <f>Analysis!F81</f>
        <v>9.4405594405594401E-2</v>
      </c>
      <c r="V105" s="69">
        <f>Analysis!G81</f>
        <v>3.9167657550535075</v>
      </c>
      <c r="W105" s="68">
        <f>Analysis!I81</f>
        <v>0.22718366120705008</v>
      </c>
      <c r="X105" s="26"/>
      <c r="Y105" s="26"/>
      <c r="Z105" s="26"/>
    </row>
    <row r="106" spans="1:26" ht="19.8" customHeight="1" x14ac:dyDescent="0.3">
      <c r="B106" s="181" t="s">
        <v>7184</v>
      </c>
      <c r="C106" s="182" t="s">
        <v>7184</v>
      </c>
      <c r="D106" s="70">
        <f>Analysis!B98</f>
        <v>136340</v>
      </c>
      <c r="E106" s="70">
        <f>Analysis!C98</f>
        <v>86478.949999999983</v>
      </c>
      <c r="F106" s="70">
        <f>Analysis!D98</f>
        <v>140923.35000000006</v>
      </c>
      <c r="G106" s="70">
        <f>Analysis!E98</f>
        <v>115921.20000000004</v>
      </c>
      <c r="H106" s="70">
        <f>Analysis!F98</f>
        <v>98493.35000000002</v>
      </c>
      <c r="I106" s="70">
        <f>Analysis!G98</f>
        <v>117220.70000000001</v>
      </c>
      <c r="J106" s="70">
        <f>Analysis!H98</f>
        <v>99421.05</v>
      </c>
      <c r="K106" s="70">
        <f>Analysis!I98</f>
        <v>82505.700000000026</v>
      </c>
      <c r="L106" s="70">
        <f>Analysis!J98</f>
        <v>115069.55</v>
      </c>
      <c r="M106" s="70">
        <f>Analysis!K98</f>
        <v>176213.25</v>
      </c>
      <c r="N106" s="70">
        <f>Analysis!L98</f>
        <v>147365.90000000002</v>
      </c>
      <c r="O106" s="70">
        <f>Analysis!M98</f>
        <v>117284.95000000004</v>
      </c>
      <c r="P106" s="26"/>
      <c r="Q106" s="65" t="str">
        <f>Analysis!A82</f>
        <v>Website</v>
      </c>
      <c r="R106" s="66">
        <f>Analysis!B82</f>
        <v>914734.4499999996</v>
      </c>
      <c r="S106" s="67">
        <f>Analysis!H82</f>
        <v>0.17740674523063252</v>
      </c>
      <c r="T106" s="68">
        <f>Analysis!D82</f>
        <v>0.42344688122328855</v>
      </c>
      <c r="U106" s="68">
        <f>Analysis!F82</f>
        <v>9.4951923076923073E-2</v>
      </c>
      <c r="V106" s="69">
        <f>Analysis!G82</f>
        <v>3.8010471204188483</v>
      </c>
      <c r="W106" s="68">
        <f>Analysis!I82</f>
        <v>0.17940355372071332</v>
      </c>
      <c r="X106" s="26"/>
      <c r="Y106" s="26"/>
      <c r="Z106" s="26"/>
    </row>
    <row r="107" spans="1:26" ht="19.8" customHeight="1" x14ac:dyDescent="0.3">
      <c r="B107" s="181" t="s">
        <v>7190</v>
      </c>
      <c r="C107" s="182" t="s">
        <v>7190</v>
      </c>
      <c r="D107" s="70">
        <f>Analysis!B99</f>
        <v>93629.800000000032</v>
      </c>
      <c r="E107" s="70">
        <f>Analysis!C99</f>
        <v>52407.999999999993</v>
      </c>
      <c r="F107" s="70">
        <f>Analysis!D99</f>
        <v>68164.900000000009</v>
      </c>
      <c r="G107" s="70">
        <f>Analysis!E99</f>
        <v>62253.4</v>
      </c>
      <c r="H107" s="70">
        <f>Analysis!F99</f>
        <v>64323.800000000017</v>
      </c>
      <c r="I107" s="70">
        <f>Analysis!G99</f>
        <v>73525.150000000009</v>
      </c>
      <c r="J107" s="70">
        <f>Analysis!H99</f>
        <v>70950.349999999977</v>
      </c>
      <c r="K107" s="70">
        <f>Analysis!I99</f>
        <v>76241.000000000015</v>
      </c>
      <c r="L107" s="70">
        <f>Analysis!J99</f>
        <v>66739.500000000029</v>
      </c>
      <c r="M107" s="70">
        <f>Analysis!K99</f>
        <v>130555.65</v>
      </c>
      <c r="N107" s="70">
        <f>Analysis!L99</f>
        <v>119055.75000000004</v>
      </c>
      <c r="O107" s="70">
        <f>Analysis!M99</f>
        <v>91036.950000000026</v>
      </c>
      <c r="P107" s="26"/>
      <c r="Q107" s="65" t="str">
        <f>Analysis!A83</f>
        <v>Myntra</v>
      </c>
      <c r="R107" s="66">
        <f>Analysis!B83</f>
        <v>1162695.8500000008</v>
      </c>
      <c r="S107" s="67">
        <f>Analysis!H83</f>
        <v>0.22549723194711205</v>
      </c>
      <c r="T107" s="68">
        <f>Analysis!D83</f>
        <v>0.41746932355525224</v>
      </c>
      <c r="U107" s="68">
        <f>Analysis!F83</f>
        <v>0.14049586776859505</v>
      </c>
      <c r="V107" s="69">
        <f>Analysis!G83</f>
        <v>4</v>
      </c>
      <c r="W107" s="68">
        <f>Analysis!I83</f>
        <v>0.19759349652970212</v>
      </c>
      <c r="X107" s="26"/>
      <c r="Y107" s="26"/>
      <c r="Z107" s="26"/>
    </row>
    <row r="108" spans="1:26" ht="19.8" customHeight="1" x14ac:dyDescent="0.3">
      <c r="B108" s="181" t="s">
        <v>7195</v>
      </c>
      <c r="C108" s="182" t="s">
        <v>7195</v>
      </c>
      <c r="D108" s="70">
        <f>Analysis!B100</f>
        <v>57522.55</v>
      </c>
      <c r="E108" s="70">
        <f>Analysis!C100</f>
        <v>35114.300000000003</v>
      </c>
      <c r="F108" s="70">
        <f>Analysis!D100</f>
        <v>57594.349999999991</v>
      </c>
      <c r="G108" s="70">
        <f>Analysis!E100</f>
        <v>61113.650000000009</v>
      </c>
      <c r="H108" s="70">
        <f>Analysis!F100</f>
        <v>41554.000000000007</v>
      </c>
      <c r="I108" s="70">
        <f>Analysis!G100</f>
        <v>34798.300000000003</v>
      </c>
      <c r="J108" s="70">
        <f>Analysis!H100</f>
        <v>29631.650000000005</v>
      </c>
      <c r="K108" s="70">
        <f>Analysis!I100</f>
        <v>36695.100000000006</v>
      </c>
      <c r="L108" s="70">
        <f>Analysis!J100</f>
        <v>63430.150000000009</v>
      </c>
      <c r="M108" s="70">
        <f>Analysis!K100</f>
        <v>72330.900000000009</v>
      </c>
      <c r="N108" s="70">
        <f>Analysis!L100</f>
        <v>71089.550000000032</v>
      </c>
      <c r="O108" s="70">
        <f>Analysis!M100</f>
        <v>42850.7</v>
      </c>
      <c r="P108" s="26"/>
      <c r="Q108" s="65" t="str">
        <f>Analysis!A84</f>
        <v>Nykaa</v>
      </c>
      <c r="R108" s="66">
        <f>Analysis!B84</f>
        <v>450595.10000000033</v>
      </c>
      <c r="S108" s="67">
        <f>Analysis!H84</f>
        <v>8.7389963401806367E-2</v>
      </c>
      <c r="T108" s="68">
        <f>Analysis!D84</f>
        <v>0.4398873844833201</v>
      </c>
      <c r="U108" s="68">
        <f>Analysis!F84</f>
        <v>7.9136690647482008E-2</v>
      </c>
      <c r="V108" s="69">
        <f>Analysis!G84</f>
        <v>3.896969696969697</v>
      </c>
      <c r="W108" s="68">
        <f>Analysis!I84</f>
        <v>0.24173386689642642</v>
      </c>
      <c r="X108" s="26"/>
      <c r="Y108" s="26"/>
      <c r="Z108" s="26"/>
    </row>
    <row r="109" spans="1:26" ht="19.8" customHeight="1" x14ac:dyDescent="0.3">
      <c r="B109" s="181" t="s">
        <v>7200</v>
      </c>
      <c r="C109" s="182" t="s">
        <v>7200</v>
      </c>
      <c r="D109" s="70">
        <f>Analysis!B101</f>
        <v>41145.149999999994</v>
      </c>
      <c r="E109" s="70">
        <f>Analysis!C101</f>
        <v>20743.449999999997</v>
      </c>
      <c r="F109" s="70">
        <f>Analysis!D101</f>
        <v>30318.349999999995</v>
      </c>
      <c r="G109" s="70">
        <f>Analysis!E101</f>
        <v>26749.699999999993</v>
      </c>
      <c r="H109" s="70">
        <f>Analysis!F101</f>
        <v>32747.55</v>
      </c>
      <c r="I109" s="70">
        <f>Analysis!G101</f>
        <v>36285.250000000007</v>
      </c>
      <c r="J109" s="70">
        <f>Analysis!H101</f>
        <v>39309.75</v>
      </c>
      <c r="K109" s="70">
        <f>Analysis!I101</f>
        <v>46878.75</v>
      </c>
      <c r="L109" s="70">
        <f>Analysis!J101</f>
        <v>43608.849999999991</v>
      </c>
      <c r="M109" s="70">
        <f>Analysis!K101</f>
        <v>46794.049999999988</v>
      </c>
      <c r="N109" s="70">
        <f>Analysis!L101</f>
        <v>62472.85</v>
      </c>
      <c r="O109" s="70">
        <f>Analysis!M101</f>
        <v>28466.500000000004</v>
      </c>
      <c r="P109" s="26"/>
      <c r="Q109" s="26"/>
      <c r="R109" s="26"/>
      <c r="S109" s="26"/>
      <c r="T109" s="26"/>
      <c r="U109" s="26"/>
      <c r="V109" s="26"/>
      <c r="W109" s="26"/>
      <c r="X109" s="26"/>
      <c r="Y109" s="26"/>
      <c r="Z109" s="26"/>
    </row>
    <row r="110" spans="1:26" ht="19.8" customHeight="1" x14ac:dyDescent="0.3">
      <c r="B110" s="181" t="s">
        <v>7205</v>
      </c>
      <c r="C110" s="182" t="s">
        <v>7205</v>
      </c>
      <c r="D110" s="70">
        <f>Analysis!B102</f>
        <v>61986.549999999981</v>
      </c>
      <c r="E110" s="70">
        <f>Analysis!C102</f>
        <v>21309.150000000005</v>
      </c>
      <c r="F110" s="70">
        <f>Analysis!D102</f>
        <v>48593.4</v>
      </c>
      <c r="G110" s="70">
        <f>Analysis!E102</f>
        <v>56784.5</v>
      </c>
      <c r="H110" s="70">
        <f>Analysis!F102</f>
        <v>36962.799999999996</v>
      </c>
      <c r="I110" s="70">
        <f>Analysis!G102</f>
        <v>55240.199999999983</v>
      </c>
      <c r="J110" s="70">
        <f>Analysis!H102</f>
        <v>46515.299999999996</v>
      </c>
      <c r="K110" s="70">
        <f>Analysis!I102</f>
        <v>50153.7</v>
      </c>
      <c r="L110" s="70">
        <f>Analysis!J102</f>
        <v>52122.249999999993</v>
      </c>
      <c r="M110" s="70">
        <f>Analysis!K102</f>
        <v>79301.049999999974</v>
      </c>
      <c r="N110" s="70">
        <f>Analysis!L102</f>
        <v>63716.399999999994</v>
      </c>
      <c r="O110" s="70">
        <f>Analysis!M102</f>
        <v>68061.949999999983</v>
      </c>
      <c r="P110" s="26"/>
      <c r="Q110" s="26"/>
      <c r="R110" s="26"/>
      <c r="S110" s="26"/>
      <c r="T110" s="26"/>
      <c r="U110" s="26"/>
      <c r="V110" s="26"/>
      <c r="W110" s="26"/>
      <c r="X110" s="26"/>
      <c r="Y110" s="26"/>
      <c r="Z110" s="26"/>
    </row>
    <row r="111" spans="1:26" x14ac:dyDescent="0.3">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22.2" customHeight="1" x14ac:dyDescent="0.35">
      <c r="B112" s="33" t="s">
        <v>7410</v>
      </c>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2:26" x14ac:dyDescent="0.3">
      <c r="B113" s="71" t="s">
        <v>7395</v>
      </c>
      <c r="C113" s="183" t="s">
        <v>7321</v>
      </c>
      <c r="D113" s="184"/>
      <c r="E113" s="184"/>
      <c r="F113" s="183" t="s">
        <v>7169</v>
      </c>
      <c r="G113" s="184"/>
      <c r="H113" s="183" t="s">
        <v>7279</v>
      </c>
      <c r="I113" s="184"/>
      <c r="J113" s="71" t="s">
        <v>7248</v>
      </c>
      <c r="K113" s="71" t="s">
        <v>7249</v>
      </c>
      <c r="L113" s="71" t="s">
        <v>7280</v>
      </c>
      <c r="M113" s="71" t="s">
        <v>7394</v>
      </c>
      <c r="N113" s="71" t="s">
        <v>7392</v>
      </c>
      <c r="O113" s="183" t="s">
        <v>7396</v>
      </c>
      <c r="P113" s="184"/>
      <c r="Q113" s="184"/>
      <c r="R113" s="183" t="s">
        <v>7397</v>
      </c>
      <c r="S113" s="184"/>
      <c r="T113" s="184"/>
      <c r="U113" s="26"/>
      <c r="V113" s="26"/>
      <c r="W113" s="26"/>
      <c r="X113" s="26"/>
      <c r="Y113" s="26"/>
      <c r="Z113" s="26"/>
    </row>
    <row r="114" spans="2:26" ht="16.8" customHeight="1" x14ac:dyDescent="0.3">
      <c r="B114" s="90">
        <f>IF(Analysis!$K195,Analysis!A195,"")</f>
        <v>1</v>
      </c>
      <c r="C114" s="195" t="str">
        <f>IF(Analysis!$K195,Analysis!B195,"")</f>
        <v>Linen Kurta</v>
      </c>
      <c r="D114" s="186"/>
      <c r="E114" s="186"/>
      <c r="F114" s="192" t="str">
        <f>IF(Analysis!$K195,Analysis!C195,"")</f>
        <v>Apparel</v>
      </c>
      <c r="G114" s="186"/>
      <c r="H114" s="185">
        <f>IF(Analysis!$K195,Analysis!D195,"")</f>
        <v>361333.94999999995</v>
      </c>
      <c r="I114" s="186"/>
      <c r="J114" s="91">
        <f>IF(Analysis!$K195,Analysis!E195,"")</f>
        <v>111673.95000000001</v>
      </c>
      <c r="K114" s="92">
        <f>IF(Analysis!$K195,Analysis!F195,"")</f>
        <v>0.30906021977730025</v>
      </c>
      <c r="L114" s="93">
        <f>IF(Analysis!$K195,Analysis!G195,"")</f>
        <v>374</v>
      </c>
      <c r="M114" s="94">
        <f>IF(Analysis!$K195,Analysis!H195,"")</f>
        <v>3.8407643312101909</v>
      </c>
      <c r="N114" s="92">
        <f>IF(Analysis!$K195,Analysis!I195,"")</f>
        <v>0.125</v>
      </c>
      <c r="O114" s="177"/>
      <c r="P114" s="177"/>
      <c r="Q114" s="177"/>
      <c r="R114" s="177"/>
      <c r="S114" s="177"/>
      <c r="T114" s="177"/>
      <c r="U114" s="26"/>
      <c r="V114" s="26"/>
      <c r="W114" s="26"/>
      <c r="X114" s="26"/>
      <c r="Y114" s="26"/>
      <c r="Z114" s="26"/>
    </row>
    <row r="115" spans="2:26" ht="16.8" customHeight="1" x14ac:dyDescent="0.3">
      <c r="B115" s="95">
        <f>IF(Analysis!$K196,Analysis!A196,"")</f>
        <v>2</v>
      </c>
      <c r="C115" s="196" t="str">
        <f>IF(Analysis!$K196,Analysis!B196,"")</f>
        <v>Running Shoes</v>
      </c>
      <c r="D115" s="188"/>
      <c r="E115" s="188"/>
      <c r="F115" s="193" t="str">
        <f>IF(Analysis!$K196,Analysis!C196,"")</f>
        <v>Footwear</v>
      </c>
      <c r="G115" s="188"/>
      <c r="H115" s="187">
        <f>IF(Analysis!$K196,Analysis!D196,"")</f>
        <v>346234.55000000005</v>
      </c>
      <c r="I115" s="188"/>
      <c r="J115" s="96">
        <f>IF(Analysis!$K196,Analysis!E196,"")</f>
        <v>118354.54999999994</v>
      </c>
      <c r="K115" s="97">
        <f>IF(Analysis!$K196,Analysis!F196,"")</f>
        <v>0.34183344787514686</v>
      </c>
      <c r="L115" s="98">
        <f>IF(Analysis!$K196,Analysis!G196,"")</f>
        <v>153</v>
      </c>
      <c r="M115" s="99">
        <f>IF(Analysis!$K196,Analysis!H196,"")</f>
        <v>3.8536585365853657</v>
      </c>
      <c r="N115" s="97">
        <f>IF(Analysis!$K196,Analysis!I196,"")</f>
        <v>0.18867924528301888</v>
      </c>
      <c r="O115" s="177"/>
      <c r="P115" s="177"/>
      <c r="Q115" s="177"/>
      <c r="R115" s="178"/>
      <c r="S115" s="178"/>
      <c r="T115" s="178"/>
      <c r="U115" s="26"/>
      <c r="V115" s="26"/>
      <c r="W115" s="26"/>
      <c r="X115" s="26"/>
      <c r="Y115" s="26"/>
      <c r="Z115" s="26"/>
    </row>
    <row r="116" spans="2:26" ht="16.8" customHeight="1" x14ac:dyDescent="0.3">
      <c r="B116" s="100">
        <f>IF(Analysis!$K197,Analysis!A197,"")</f>
        <v>3</v>
      </c>
      <c r="C116" s="191" t="str">
        <f>IF(Analysis!$K197,Analysis!B197,"")</f>
        <v>Denim Jacket</v>
      </c>
      <c r="D116" s="190"/>
      <c r="E116" s="190"/>
      <c r="F116" s="194" t="str">
        <f>IF(Analysis!$K197,Analysis!C197,"")</f>
        <v>Apparel</v>
      </c>
      <c r="G116" s="190"/>
      <c r="H116" s="189">
        <f>IF(Analysis!$K197,Analysis!D197,"")</f>
        <v>310500.75000000012</v>
      </c>
      <c r="I116" s="190"/>
      <c r="J116" s="101">
        <f>IF(Analysis!$K197,Analysis!E197,"")</f>
        <v>153795.75000000006</v>
      </c>
      <c r="K116" s="102">
        <f>IF(Analysis!$K197,Analysis!F197,"")</f>
        <v>0.49531522870717704</v>
      </c>
      <c r="L116" s="103">
        <f>IF(Analysis!$K197,Analysis!G197,"")</f>
        <v>133</v>
      </c>
      <c r="M116" s="104">
        <f>IF(Analysis!$K197,Analysis!H197,"")</f>
        <v>3.9864864864864864</v>
      </c>
      <c r="N116" s="102">
        <f>IF(Analysis!$K197,Analysis!I197,"")</f>
        <v>0.18</v>
      </c>
      <c r="O116" s="177"/>
      <c r="P116" s="177"/>
      <c r="Q116" s="177"/>
      <c r="R116" s="178"/>
      <c r="S116" s="178"/>
      <c r="T116" s="178"/>
      <c r="U116" s="26"/>
      <c r="V116" s="26"/>
      <c r="W116" s="26"/>
      <c r="X116" s="26"/>
      <c r="Y116" s="26"/>
      <c r="Z116" s="26"/>
    </row>
    <row r="117" spans="2:26" ht="16.8" customHeight="1" x14ac:dyDescent="0.3">
      <c r="B117" s="100">
        <f>IF(Analysis!$K198,Analysis!A198,"")</f>
        <v>4</v>
      </c>
      <c r="C117" s="191" t="str">
        <f>IF(Analysis!$K198,Analysis!B198,"")</f>
        <v>Joggers</v>
      </c>
      <c r="D117" s="190"/>
      <c r="E117" s="190"/>
      <c r="F117" s="194" t="str">
        <f>IF(Analysis!$K198,Analysis!C198,"")</f>
        <v>Apparel</v>
      </c>
      <c r="G117" s="190"/>
      <c r="H117" s="189">
        <f>IF(Analysis!$K198,Analysis!D198,"")</f>
        <v>301908.2</v>
      </c>
      <c r="I117" s="190"/>
      <c r="J117" s="101">
        <f>IF(Analysis!$K198,Analysis!E198,"")</f>
        <v>142644.20000000004</v>
      </c>
      <c r="K117" s="102">
        <f>IF(Analysis!$K198,Analysis!F198,"")</f>
        <v>0.47247540808762412</v>
      </c>
      <c r="L117" s="103">
        <f>IF(Analysis!$K198,Analysis!G198,"")</f>
        <v>297</v>
      </c>
      <c r="M117" s="104">
        <f>IF(Analysis!$K198,Analysis!H198,"")</f>
        <v>3.9007092198581561</v>
      </c>
      <c r="N117" s="102">
        <f>IF(Analysis!$K198,Analysis!I198,"")</f>
        <v>0.14659685863874344</v>
      </c>
      <c r="O117" s="177"/>
      <c r="P117" s="177"/>
      <c r="Q117" s="177"/>
      <c r="R117" s="178"/>
      <c r="S117" s="178"/>
      <c r="T117" s="178"/>
      <c r="U117" s="26"/>
      <c r="V117" s="26"/>
      <c r="W117" s="26"/>
      <c r="X117" s="26"/>
      <c r="Y117" s="26"/>
      <c r="Z117" s="26"/>
    </row>
    <row r="118" spans="2:26" ht="16.8" customHeight="1" x14ac:dyDescent="0.3">
      <c r="B118" s="100">
        <f>IF(Analysis!$K199,Analysis!A199,"")</f>
        <v>5</v>
      </c>
      <c r="C118" s="191" t="str">
        <f>IF(Analysis!$K199,Analysis!B199,"")</f>
        <v>Printed Saree</v>
      </c>
      <c r="D118" s="190"/>
      <c r="E118" s="190"/>
      <c r="F118" s="194" t="str">
        <f>IF(Analysis!$K199,Analysis!C199,"")</f>
        <v>Apparel</v>
      </c>
      <c r="G118" s="190"/>
      <c r="H118" s="189">
        <f>IF(Analysis!$K199,Analysis!D199,"")</f>
        <v>253073.39999999994</v>
      </c>
      <c r="I118" s="190"/>
      <c r="J118" s="101">
        <f>IF(Analysis!$K199,Analysis!E199,"")</f>
        <v>123033.40000000005</v>
      </c>
      <c r="K118" s="102">
        <f>IF(Analysis!$K199,Analysis!F199,"")</f>
        <v>0.48615698054398482</v>
      </c>
      <c r="L118" s="103">
        <f>IF(Analysis!$K199,Analysis!G199,"")</f>
        <v>140</v>
      </c>
      <c r="M118" s="104">
        <f>IF(Analysis!$K199,Analysis!H199,"")</f>
        <v>4</v>
      </c>
      <c r="N118" s="102">
        <f>IF(Analysis!$K199,Analysis!I199,"")</f>
        <v>0.21276595744680851</v>
      </c>
      <c r="O118" s="177"/>
      <c r="P118" s="177"/>
      <c r="Q118" s="177"/>
      <c r="R118" s="178"/>
      <c r="S118" s="178"/>
      <c r="T118" s="178"/>
      <c r="U118" s="26"/>
      <c r="V118" s="26"/>
      <c r="W118" s="26"/>
      <c r="X118" s="26"/>
      <c r="Y118" s="26"/>
      <c r="Z118" s="26"/>
    </row>
    <row r="119" spans="2:26" ht="16.8" customHeight="1" x14ac:dyDescent="0.3">
      <c r="B119" s="100">
        <f>IF(Analysis!$K200,Analysis!A200,"")</f>
        <v>6</v>
      </c>
      <c r="C119" s="191" t="str">
        <f>IF(Analysis!$K200,Analysis!B200,"")</f>
        <v>Kolhapuri Sandals</v>
      </c>
      <c r="D119" s="190"/>
      <c r="E119" s="190"/>
      <c r="F119" s="194" t="str">
        <f>IF(Analysis!$K200,Analysis!C200,"")</f>
        <v>Footwear</v>
      </c>
      <c r="G119" s="190"/>
      <c r="H119" s="189">
        <f>IF(Analysis!$K200,Analysis!D200,"")</f>
        <v>246453.29999999993</v>
      </c>
      <c r="I119" s="190"/>
      <c r="J119" s="101">
        <f>IF(Analysis!$K200,Analysis!E200,"")</f>
        <v>124153.30000000012</v>
      </c>
      <c r="K119" s="102">
        <f>IF(Analysis!$K200,Analysis!F200,"")</f>
        <v>0.50375994153862069</v>
      </c>
      <c r="L119" s="103">
        <f>IF(Analysis!$K200,Analysis!G200,"")</f>
        <v>272</v>
      </c>
      <c r="M119" s="104">
        <f>IF(Analysis!$K200,Analysis!H200,"")</f>
        <v>4.0273972602739727</v>
      </c>
      <c r="N119" s="102">
        <f>IF(Analysis!$K200,Analysis!I200,"")</f>
        <v>0.14795918367346939</v>
      </c>
      <c r="O119" s="177"/>
      <c r="P119" s="177"/>
      <c r="Q119" s="177"/>
      <c r="R119" s="178"/>
      <c r="S119" s="178"/>
      <c r="T119" s="178"/>
      <c r="U119" s="26"/>
      <c r="V119" s="26"/>
      <c r="W119" s="26"/>
      <c r="X119" s="26"/>
      <c r="Y119" s="26"/>
      <c r="Z119" s="26"/>
    </row>
    <row r="120" spans="2:26" ht="16.8" customHeight="1" x14ac:dyDescent="0.3">
      <c r="B120" s="100">
        <f>IF(Analysis!$K201,Analysis!A201,"")</f>
        <v>7</v>
      </c>
      <c r="C120" s="191" t="str">
        <f>IF(Analysis!$K201,Analysis!B201,"")</f>
        <v>Casual Sneakers</v>
      </c>
      <c r="D120" s="190"/>
      <c r="E120" s="190"/>
      <c r="F120" s="194" t="str">
        <f>IF(Analysis!$K201,Analysis!C201,"")</f>
        <v>Footwear</v>
      </c>
      <c r="G120" s="190"/>
      <c r="H120" s="189">
        <f>IF(Analysis!$K201,Analysis!D201,"")</f>
        <v>223858.20000000004</v>
      </c>
      <c r="I120" s="190"/>
      <c r="J120" s="101">
        <f>IF(Analysis!$K201,Analysis!E201,"")</f>
        <v>75406.199999999968</v>
      </c>
      <c r="K120" s="102">
        <f>IF(Analysis!$K201,Analysis!F201,"")</f>
        <v>0.33684805827975012</v>
      </c>
      <c r="L120" s="103">
        <f>IF(Analysis!$K201,Analysis!G201,"")</f>
        <v>138</v>
      </c>
      <c r="M120" s="104">
        <f>IF(Analysis!$K201,Analysis!H201,"")</f>
        <v>3.9206349206349205</v>
      </c>
      <c r="N120" s="102">
        <f>IF(Analysis!$K201,Analysis!I201,"")</f>
        <v>0.10344827586206896</v>
      </c>
      <c r="O120" s="177"/>
      <c r="P120" s="177"/>
      <c r="Q120" s="177"/>
      <c r="R120" s="178"/>
      <c r="S120" s="178"/>
      <c r="T120" s="178"/>
      <c r="U120" s="26"/>
      <c r="V120" s="26"/>
      <c r="W120" s="26"/>
      <c r="X120" s="26"/>
      <c r="Y120" s="26"/>
      <c r="Z120" s="26"/>
    </row>
    <row r="121" spans="2:26" ht="16.8" customHeight="1" x14ac:dyDescent="0.3">
      <c r="B121" s="100">
        <f>IF(Analysis!$K202,Analysis!A202,"")</f>
        <v>8</v>
      </c>
      <c r="C121" s="191" t="str">
        <f>IF(Analysis!$K202,Analysis!B202,"")</f>
        <v>Cotton Oversized T-Shirt</v>
      </c>
      <c r="D121" s="190"/>
      <c r="E121" s="190"/>
      <c r="F121" s="194" t="str">
        <f>IF(Analysis!$K202,Analysis!C202,"")</f>
        <v>Apparel</v>
      </c>
      <c r="G121" s="190"/>
      <c r="H121" s="189">
        <f>IF(Analysis!$K202,Analysis!D202,"")</f>
        <v>206421.65000000017</v>
      </c>
      <c r="I121" s="190"/>
      <c r="J121" s="101">
        <f>IF(Analysis!$K202,Analysis!E202,"")</f>
        <v>104021.65000000005</v>
      </c>
      <c r="K121" s="102">
        <f>IF(Analysis!$K202,Analysis!F202,"")</f>
        <v>0.50392800367597079</v>
      </c>
      <c r="L121" s="103">
        <f>IF(Analysis!$K202,Analysis!G202,"")</f>
        <v>275</v>
      </c>
      <c r="M121" s="104">
        <f>IF(Analysis!$K202,Analysis!H202,"")</f>
        <v>4.0069930069930066</v>
      </c>
      <c r="N121" s="102">
        <f>IF(Analysis!$K202,Analysis!I202,"")</f>
        <v>0.15384615384615385</v>
      </c>
      <c r="O121" s="177"/>
      <c r="P121" s="177"/>
      <c r="Q121" s="177"/>
      <c r="R121" s="178"/>
      <c r="S121" s="178"/>
      <c r="T121" s="178"/>
      <c r="U121" s="26"/>
      <c r="V121" s="26"/>
      <c r="W121" s="26"/>
      <c r="X121" s="26"/>
      <c r="Y121" s="26"/>
      <c r="Z121" s="26"/>
    </row>
    <row r="122" spans="2:26" ht="16.8" customHeight="1" x14ac:dyDescent="0.3">
      <c r="B122" s="100">
        <f>IF(Analysis!$K203,Analysis!A203,"")</f>
        <v>9</v>
      </c>
      <c r="C122" s="191" t="str">
        <f>IF(Analysis!$K203,Analysis!B203,"")</f>
        <v>Whey Protein 1kg</v>
      </c>
      <c r="D122" s="190"/>
      <c r="E122" s="190"/>
      <c r="F122" s="194" t="str">
        <f>IF(Analysis!$K203,Analysis!C203,"")</f>
        <v>Wellness</v>
      </c>
      <c r="G122" s="190"/>
      <c r="H122" s="189">
        <f>IF(Analysis!$K203,Analysis!D203,"")</f>
        <v>202426.95000000004</v>
      </c>
      <c r="I122" s="190"/>
      <c r="J122" s="101">
        <f>IF(Analysis!$K203,Analysis!E203,"")</f>
        <v>4401.9499999999989</v>
      </c>
      <c r="K122" s="102">
        <f>IF(Analysis!$K203,Analysis!F203,"")</f>
        <v>2.1745869312361808E-2</v>
      </c>
      <c r="L122" s="103">
        <f>IF(Analysis!$K203,Analysis!G203,"")</f>
        <v>145</v>
      </c>
      <c r="M122" s="104">
        <f>IF(Analysis!$K203,Analysis!H203,"")</f>
        <v>3.8269230769230771</v>
      </c>
      <c r="N122" s="102">
        <f>IF(Analysis!$K203,Analysis!I203,"")</f>
        <v>0.11267605633802817</v>
      </c>
      <c r="O122" s="177"/>
      <c r="P122" s="177"/>
      <c r="Q122" s="177"/>
      <c r="R122" s="178"/>
      <c r="S122" s="178"/>
      <c r="T122" s="178"/>
      <c r="U122" s="26"/>
      <c r="V122" s="26"/>
      <c r="W122" s="26"/>
      <c r="X122" s="26"/>
      <c r="Y122" s="26"/>
      <c r="Z122" s="26"/>
    </row>
    <row r="123" spans="2:26" ht="16.8" customHeight="1" x14ac:dyDescent="0.3">
      <c r="B123" s="100">
        <f>IF(Analysis!$K204,Analysis!A204,"")</f>
        <v>10</v>
      </c>
      <c r="C123" s="191" t="str">
        <f>IF(Analysis!$K204,Analysis!B204,"")</f>
        <v>Cotton Bedsheet</v>
      </c>
      <c r="D123" s="190"/>
      <c r="E123" s="190"/>
      <c r="F123" s="194" t="str">
        <f>IF(Analysis!$K204,Analysis!C204,"")</f>
        <v>Home &amp; Kitchen</v>
      </c>
      <c r="G123" s="190"/>
      <c r="H123" s="189">
        <f>IF(Analysis!$K204,Analysis!D204,"")</f>
        <v>193291.19999999998</v>
      </c>
      <c r="I123" s="190"/>
      <c r="J123" s="101">
        <f>IF(Analysis!$K204,Analysis!E204,"")</f>
        <v>93946.200000000041</v>
      </c>
      <c r="K123" s="102">
        <f>IF(Analysis!$K204,Analysis!F204,"")</f>
        <v>0.48603454270034047</v>
      </c>
      <c r="L123" s="103">
        <f>IF(Analysis!$K204,Analysis!G204,"")</f>
        <v>157</v>
      </c>
      <c r="M123" s="104">
        <f>IF(Analysis!$K204,Analysis!H204,"")</f>
        <v>3.9444444444444446</v>
      </c>
      <c r="N123" s="102">
        <f>IF(Analysis!$K204,Analysis!I204,"")</f>
        <v>0.15740740740740741</v>
      </c>
      <c r="O123" s="177"/>
      <c r="P123" s="177"/>
      <c r="Q123" s="177"/>
      <c r="R123" s="178"/>
      <c r="S123" s="178"/>
      <c r="T123" s="178"/>
      <c r="U123" s="26"/>
      <c r="V123" s="26"/>
      <c r="W123" s="26"/>
      <c r="X123" s="26"/>
      <c r="Y123" s="26"/>
      <c r="Z123" s="26"/>
    </row>
    <row r="124" spans="2:26" ht="16.8" customHeight="1" x14ac:dyDescent="0.3">
      <c r="B124" s="100">
        <f>IF(Analysis!$K205,Analysis!A205,"")</f>
        <v>11</v>
      </c>
      <c r="C124" s="191" t="str">
        <f>IF(Analysis!$K205,Analysis!B205,"")</f>
        <v>Multivitamin Gummies</v>
      </c>
      <c r="D124" s="190"/>
      <c r="E124" s="190"/>
      <c r="F124" s="194" t="str">
        <f>IF(Analysis!$K205,Analysis!C205,"")</f>
        <v>Wellness</v>
      </c>
      <c r="G124" s="190"/>
      <c r="H124" s="189">
        <f>IF(Analysis!$K205,Analysis!D205,"")</f>
        <v>178314.9</v>
      </c>
      <c r="I124" s="190"/>
      <c r="J124" s="101">
        <f>IF(Analysis!$K205,Analysis!E205,"")</f>
        <v>83950.89999999998</v>
      </c>
      <c r="K124" s="102">
        <f>IF(Analysis!$K205,Analysis!F205,"")</f>
        <v>0.47080137442244019</v>
      </c>
      <c r="L124" s="103">
        <f>IF(Analysis!$K205,Analysis!G205,"")</f>
        <v>338</v>
      </c>
      <c r="M124" s="104">
        <f>IF(Analysis!$K205,Analysis!H205,"")</f>
        <v>3.925925925925926</v>
      </c>
      <c r="N124" s="102">
        <f>IF(Analysis!$K205,Analysis!I205,"")</f>
        <v>6.9124423963133647E-2</v>
      </c>
      <c r="O124" s="177"/>
      <c r="P124" s="177"/>
      <c r="Q124" s="177"/>
      <c r="R124" s="178"/>
      <c r="S124" s="178"/>
      <c r="T124" s="178"/>
      <c r="U124" s="26"/>
      <c r="V124" s="26"/>
      <c r="W124" s="26"/>
      <c r="X124" s="26"/>
      <c r="Y124" s="26"/>
      <c r="Z124" s="26"/>
    </row>
    <row r="125" spans="2:26" ht="16.8" customHeight="1" x14ac:dyDescent="0.3">
      <c r="B125" s="100">
        <f>IF(Analysis!$K206,Analysis!A206,"")</f>
        <v>12</v>
      </c>
      <c r="C125" s="191" t="str">
        <f>IF(Analysis!$K206,Analysis!B206,"")</f>
        <v>Ashwagandha Capsules</v>
      </c>
      <c r="D125" s="190"/>
      <c r="E125" s="190"/>
      <c r="F125" s="194" t="str">
        <f>IF(Analysis!$K206,Analysis!C206,"")</f>
        <v>Wellness</v>
      </c>
      <c r="G125" s="190"/>
      <c r="H125" s="189">
        <f>IF(Analysis!$K206,Analysis!D206,"")</f>
        <v>163347.6500000002</v>
      </c>
      <c r="I125" s="190"/>
      <c r="J125" s="101">
        <f>IF(Analysis!$K206,Analysis!E206,"")</f>
        <v>96597.650000000052</v>
      </c>
      <c r="K125" s="102">
        <f>IF(Analysis!$K206,Analysis!F206,"")</f>
        <v>0.59136234895329032</v>
      </c>
      <c r="L125" s="103">
        <f>IF(Analysis!$K206,Analysis!G206,"")</f>
        <v>347</v>
      </c>
      <c r="M125" s="104">
        <f>IF(Analysis!$K206,Analysis!H206,"")</f>
        <v>4.0308641975308639</v>
      </c>
      <c r="N125" s="102">
        <f>IF(Analysis!$K206,Analysis!I206,"")</f>
        <v>7.9295154185022032E-2</v>
      </c>
      <c r="O125" s="177"/>
      <c r="P125" s="177"/>
      <c r="Q125" s="177"/>
      <c r="R125" s="178"/>
      <c r="S125" s="178"/>
      <c r="T125" s="178"/>
      <c r="U125" s="26"/>
      <c r="V125" s="26"/>
      <c r="W125" s="26"/>
      <c r="X125" s="26"/>
      <c r="Y125" s="26"/>
      <c r="Z125" s="26"/>
    </row>
    <row r="126" spans="2:26" ht="16.8" customHeight="1" x14ac:dyDescent="0.3">
      <c r="B126" s="100">
        <f>IF(Analysis!$K207,Analysis!A207,"")</f>
        <v>13</v>
      </c>
      <c r="C126" s="191" t="str">
        <f>IF(Analysis!$K207,Analysis!B207,"")</f>
        <v>Vitamin C Face Serum</v>
      </c>
      <c r="D126" s="190"/>
      <c r="E126" s="190"/>
      <c r="F126" s="194" t="str">
        <f>IF(Analysis!$K207,Analysis!C207,"")</f>
        <v>Skincare</v>
      </c>
      <c r="G126" s="190"/>
      <c r="H126" s="189">
        <f>IF(Analysis!$K207,Analysis!D207,"")</f>
        <v>158914.69999999984</v>
      </c>
      <c r="I126" s="190"/>
      <c r="J126" s="101">
        <f>IF(Analysis!$K207,Analysis!E207,"")</f>
        <v>84454.699999999953</v>
      </c>
      <c r="K126" s="102">
        <f>IF(Analysis!$K207,Analysis!F207,"")</f>
        <v>0.53144674470014441</v>
      </c>
      <c r="L126" s="103">
        <f>IF(Analysis!$K207,Analysis!G207,"")</f>
        <v>332</v>
      </c>
      <c r="M126" s="104">
        <f>IF(Analysis!$K207,Analysis!H207,"")</f>
        <v>3.8734177215189876</v>
      </c>
      <c r="N126" s="102">
        <f>IF(Analysis!$K207,Analysis!I207,"")</f>
        <v>7.4561403508771926E-2</v>
      </c>
      <c r="O126" s="177"/>
      <c r="P126" s="177"/>
      <c r="Q126" s="177"/>
      <c r="R126" s="178"/>
      <c r="S126" s="178"/>
      <c r="T126" s="178"/>
      <c r="U126" s="26"/>
      <c r="V126" s="26"/>
      <c r="W126" s="26"/>
      <c r="X126" s="26"/>
      <c r="Y126" s="26"/>
      <c r="Z126" s="26"/>
    </row>
    <row r="127" spans="2:26" ht="16.8" customHeight="1" x14ac:dyDescent="0.3">
      <c r="B127" s="100">
        <f>IF(Analysis!$K208,Analysis!A208,"")</f>
        <v>14</v>
      </c>
      <c r="C127" s="191" t="str">
        <f>IF(Analysis!$K208,Analysis!B208,"")</f>
        <v>Retinol Night Cream</v>
      </c>
      <c r="D127" s="190"/>
      <c r="E127" s="190"/>
      <c r="F127" s="194" t="str">
        <f>IF(Analysis!$K208,Analysis!C208,"")</f>
        <v>Skincare</v>
      </c>
      <c r="G127" s="190"/>
      <c r="H127" s="189">
        <f>IF(Analysis!$K208,Analysis!D208,"")</f>
        <v>154366.80000000005</v>
      </c>
      <c r="I127" s="190"/>
      <c r="J127" s="101">
        <f>IF(Analysis!$K208,Analysis!E208,"")</f>
        <v>98134.800000000032</v>
      </c>
      <c r="K127" s="102">
        <f>IF(Analysis!$K208,Analysis!F208,"")</f>
        <v>0.63572478019885104</v>
      </c>
      <c r="L127" s="103">
        <f>IF(Analysis!$K208,Analysis!G208,"")</f>
        <v>217</v>
      </c>
      <c r="M127" s="104">
        <f>IF(Analysis!$K208,Analysis!H208,"")</f>
        <v>3.9142857142857141</v>
      </c>
      <c r="N127" s="102">
        <f>IF(Analysis!$K208,Analysis!I208,"")</f>
        <v>0.10638297872340426</v>
      </c>
      <c r="O127" s="177"/>
      <c r="P127" s="177"/>
      <c r="Q127" s="177"/>
      <c r="R127" s="178"/>
      <c r="S127" s="178"/>
      <c r="T127" s="178"/>
      <c r="U127" s="26"/>
      <c r="V127" s="26"/>
      <c r="W127" s="26"/>
      <c r="X127" s="26"/>
      <c r="Y127" s="26"/>
      <c r="Z127" s="26"/>
    </row>
    <row r="128" spans="2:26" ht="16.8" customHeight="1" x14ac:dyDescent="0.3">
      <c r="B128" s="100">
        <f>IF(Analysis!$K209,Analysis!A209,"")</f>
        <v>15</v>
      </c>
      <c r="C128" s="191" t="str">
        <f>IF(Analysis!$K209,Analysis!B209,"")</f>
        <v>Flip Flops</v>
      </c>
      <c r="D128" s="190"/>
      <c r="E128" s="190"/>
      <c r="F128" s="194" t="str">
        <f>IF(Analysis!$K209,Analysis!C209,"")</f>
        <v>Footwear</v>
      </c>
      <c r="G128" s="190"/>
      <c r="H128" s="189">
        <f>IF(Analysis!$K209,Analysis!D209,"")</f>
        <v>152338.2000000001</v>
      </c>
      <c r="I128" s="190"/>
      <c r="J128" s="101">
        <f>IF(Analysis!$K209,Analysis!E209,"")</f>
        <v>61926.19999999999</v>
      </c>
      <c r="K128" s="102">
        <f>IF(Analysis!$K209,Analysis!F209,"")</f>
        <v>0.40650473748541044</v>
      </c>
      <c r="L128" s="103">
        <f>IF(Analysis!$K209,Analysis!G209,"")</f>
        <v>446</v>
      </c>
      <c r="M128" s="104">
        <f>IF(Analysis!$K209,Analysis!H209,"")</f>
        <v>3.9525862068965516</v>
      </c>
      <c r="N128" s="102">
        <f>IF(Analysis!$K209,Analysis!I209,"")</f>
        <v>0.1892744479495268</v>
      </c>
      <c r="O128" s="177"/>
      <c r="P128" s="177"/>
      <c r="Q128" s="177"/>
      <c r="R128" s="178"/>
      <c r="S128" s="178"/>
      <c r="T128" s="178"/>
      <c r="U128" s="26"/>
      <c r="V128" s="26"/>
      <c r="W128" s="26"/>
      <c r="X128" s="26"/>
      <c r="Y128" s="26"/>
      <c r="Z128" s="26"/>
    </row>
    <row r="129" spans="2:26" ht="22.2" customHeight="1" x14ac:dyDescent="0.35">
      <c r="B129" s="89" t="s">
        <v>7398</v>
      </c>
      <c r="C129" s="89"/>
      <c r="D129" s="89"/>
      <c r="E129" s="89"/>
      <c r="F129" s="89"/>
      <c r="G129" s="89"/>
      <c r="H129" s="89"/>
      <c r="I129" s="89"/>
      <c r="J129" s="89"/>
      <c r="K129" s="89"/>
      <c r="L129" s="89"/>
      <c r="M129" s="89"/>
      <c r="N129" s="89"/>
      <c r="O129" s="89"/>
      <c r="P129" s="89"/>
      <c r="Q129" s="89"/>
      <c r="R129" s="89"/>
      <c r="S129" s="89"/>
      <c r="T129" s="89"/>
      <c r="U129" s="33"/>
      <c r="V129" s="33"/>
      <c r="W129" s="33"/>
      <c r="X129" s="33"/>
      <c r="Y129" s="33"/>
      <c r="Z129" s="33"/>
    </row>
    <row r="130" spans="2:26" ht="15.6" x14ac:dyDescent="0.3">
      <c r="B130" s="197" t="str">
        <f>"1. Revenue ₹"&amp;TEXT(Analysis!B11/100000,"0.0")&amp;" lakh with "&amp;TEXT(Analysis!B13,"0.0%")&amp;" profit margin. "&amp;IF(Analysis!E11="","YoY comparison unavailable.","2025 revenue "&amp;IF(Analysis!E11&gt;=0,"grew ","declined ")&amp;TEXT(ABS(Analysis!E11),"0.0%")&amp;" versus 2024.")</f>
        <v>1. Revenue ₹51.6 lakh with 40.4% profit margin. 2025 revenue grew 28.5% versus 2024.</v>
      </c>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row>
    <row r="131" spans="2:26" ht="15.6" x14ac:dyDescent="0.3">
      <c r="B131" s="197" t="str">
        <f>IF(Analysis!B11=0,"2. No revenue for the selected filters.","2. Top channel: "&amp;INDEX(Analysis!A80:A84,MATCH(MAX(Analysis!B80:B84),Analysis!B80:B84,0))&amp;". Top product: "&amp;Analysis!B195&amp;", contributing "&amp;TEXT(Analysis!D195/Analysis!B11,"0.0%")&amp;" of selected revenue.")</f>
        <v>2. Top channel: Amazon. Top product: Linen Kurta, contributing 7.0% of selected revenue.</v>
      </c>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row>
    <row r="132" spans="2:26" ht="15.6" x14ac:dyDescent="0.3">
      <c r="B132" s="197" t="str">
        <f>IF(OR(selChannel&lt;&gt;"All",selCategory&lt;&gt;"All"),"3. Select All channels and categories for a comparable state advertising analysis.",IFERROR("3. Across states, each additional ₹1 of ad spend is associated with ₹"&amp;TEXT(Analysis!B147,"0.00")&amp;" of revenue change (R² "&amp;TEXT(Analysis!B149,"0.00")&amp;"). Region filter ignored.","3. Insufficient data for advertising analysis."))</f>
        <v>3. Across states, each additional ₹1 of ad spend is associated with ₹4.38 of revenue change (R² 0.99). Region filter ignored.</v>
      </c>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row>
    <row r="133" spans="2:26" ht="15.6" x14ac:dyDescent="0.3">
      <c r="B133" s="197" t="str">
        <f>IF(OR(Analysis!B116=0,Analysis!B118=0),"4. Insufficient orders to compare Express and Delayed deliveries.","4. Express deliveries average "&amp;TEXT(Analysis!C116,"0.00")&amp;" stars versus "&amp;TEXT(Analysis!C118,"0.00")&amp;" for 5+ day deliveries. Return rates are "&amp;TEXT(Analysis!D116,"0.0%")&amp;" versus "&amp;TEXT(Analysis!D118,"0.0%")&amp;".")</f>
        <v>4. Express deliveries average 4.29 stars versus 3.45 for 5+ day deliveries. Return rates are 10.1% versus 12.6%.</v>
      </c>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row>
    <row r="134" spans="2:26" ht="15.6" x14ac:dyDescent="0.3">
      <c r="B134" s="197" t="str">
        <f>IFERROR("5. Each +10 percentage points of discount is associated with "&amp;TEXT(Analysis!B190*10,"+0.0;-0.0;0.0")&amp;" margin points (R² "&amp;TEXT(Analysis!B191,"0.00")&amp;"). Top 15 products contribute "&amp;TEXT(Analysis!J209,"0.0%")&amp;" of selected revenue.","5. Insufficient data for discount or product concentration analysis.")</f>
        <v>5. Each +10 percentage points of discount is associated with -10.5 margin points (R² 0.59). Top 15 products contribute 67.0% of selected revenue.</v>
      </c>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row>
    <row r="135" spans="2:26" ht="15.6" x14ac:dyDescent="0.3">
      <c r="B135" s="197" t="str">
        <f>IF(Analysis!B14=0,"6. No orders for the selected filters.","6. Repeat customers contribute "&amp;TEXT(Analysis!B20,"0.0%")&amp;" of revenue. Average order value is ₹"&amp;TEXT(Analysis!B16,"#,##0")&amp;" across "&amp;TEXT(Analysis!B14,"#,##0")&amp;" orders.")</f>
        <v>6. Repeat customers contribute 53.1% of revenue. Average order value is ₹1,067 across 4,833 orders.</v>
      </c>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row>
    <row r="136" spans="2:26" s="73" customFormat="1" ht="3" customHeight="1" x14ac:dyDescent="0.3"/>
    <row r="137" spans="2:26" x14ac:dyDescent="0.3">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2:26" x14ac:dyDescent="0.3">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2:26" x14ac:dyDescent="0.3">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2:26" x14ac:dyDescent="0.3">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2:26" x14ac:dyDescent="0.3">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2:26" x14ac:dyDescent="0.3">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2:26" x14ac:dyDescent="0.3">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2:26" x14ac:dyDescent="0.3">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2:26" x14ac:dyDescent="0.3">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2:26" x14ac:dyDescent="0.3">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2:26" x14ac:dyDescent="0.3">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2:26" x14ac:dyDescent="0.3">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2:26" x14ac:dyDescent="0.3">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sheetData>
  <mergeCells count="140">
    <mergeCell ref="B132:Z132"/>
    <mergeCell ref="B131:Z131"/>
    <mergeCell ref="B133:Z133"/>
    <mergeCell ref="B134:Z134"/>
    <mergeCell ref="B135:Z135"/>
    <mergeCell ref="O127:Q127"/>
    <mergeCell ref="R127:T127"/>
    <mergeCell ref="O128:Q128"/>
    <mergeCell ref="R128:T128"/>
    <mergeCell ref="B130:Z130"/>
    <mergeCell ref="H128:I128"/>
    <mergeCell ref="F127:G127"/>
    <mergeCell ref="F128:G128"/>
    <mergeCell ref="O124:Q124"/>
    <mergeCell ref="R124:T124"/>
    <mergeCell ref="O125:Q125"/>
    <mergeCell ref="R125:T125"/>
    <mergeCell ref="O126:Q126"/>
    <mergeCell ref="R126:T126"/>
    <mergeCell ref="R121:T121"/>
    <mergeCell ref="O122:Q122"/>
    <mergeCell ref="R122:T122"/>
    <mergeCell ref="O123:Q123"/>
    <mergeCell ref="R123:T123"/>
    <mergeCell ref="O121:Q121"/>
    <mergeCell ref="H117:I117"/>
    <mergeCell ref="H118:I118"/>
    <mergeCell ref="H119:I119"/>
    <mergeCell ref="H120:I120"/>
    <mergeCell ref="H121:I121"/>
    <mergeCell ref="H122:I122"/>
    <mergeCell ref="O117:Q117"/>
    <mergeCell ref="R117:T117"/>
    <mergeCell ref="O118:Q118"/>
    <mergeCell ref="R118:T118"/>
    <mergeCell ref="O119:Q119"/>
    <mergeCell ref="R119:T119"/>
    <mergeCell ref="O120:Q120"/>
    <mergeCell ref="R120:T120"/>
    <mergeCell ref="H123:I123"/>
    <mergeCell ref="H124:I124"/>
    <mergeCell ref="H125:I125"/>
    <mergeCell ref="H126:I126"/>
    <mergeCell ref="H127:I127"/>
    <mergeCell ref="C126:E126"/>
    <mergeCell ref="C127:E127"/>
    <mergeCell ref="C128:E128"/>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C114:E114"/>
    <mergeCell ref="C115:E115"/>
    <mergeCell ref="C116:E116"/>
    <mergeCell ref="C117:E117"/>
    <mergeCell ref="C118:E118"/>
    <mergeCell ref="C119:E119"/>
    <mergeCell ref="C120:E120"/>
    <mergeCell ref="C121:E121"/>
    <mergeCell ref="C122:E122"/>
    <mergeCell ref="C123:E123"/>
    <mergeCell ref="C124:E124"/>
    <mergeCell ref="C125:E125"/>
    <mergeCell ref="O114:Q114"/>
    <mergeCell ref="R114:T114"/>
    <mergeCell ref="O115:Q115"/>
    <mergeCell ref="R115:T115"/>
    <mergeCell ref="O116:Q116"/>
    <mergeCell ref="R116:T116"/>
    <mergeCell ref="B103:C103"/>
    <mergeCell ref="B104:C104"/>
    <mergeCell ref="B105:C105"/>
    <mergeCell ref="B106:C106"/>
    <mergeCell ref="F113:G113"/>
    <mergeCell ref="H113:I113"/>
    <mergeCell ref="O113:Q113"/>
    <mergeCell ref="R113:T113"/>
    <mergeCell ref="B107:C107"/>
    <mergeCell ref="B108:C108"/>
    <mergeCell ref="B109:C109"/>
    <mergeCell ref="B110:C110"/>
    <mergeCell ref="C113:E113"/>
    <mergeCell ref="H114:I114"/>
    <mergeCell ref="H115:I115"/>
    <mergeCell ref="H116:I116"/>
    <mergeCell ref="T11:V11"/>
    <mergeCell ref="W10:Y10"/>
    <mergeCell ref="B11:D11"/>
    <mergeCell ref="E11:G11"/>
    <mergeCell ref="H11:J11"/>
    <mergeCell ref="K11:M11"/>
    <mergeCell ref="N11:P11"/>
    <mergeCell ref="Q11:S11"/>
    <mergeCell ref="W11:Y11"/>
    <mergeCell ref="H10:J10"/>
    <mergeCell ref="K10:M10"/>
    <mergeCell ref="N10:P10"/>
    <mergeCell ref="Q10:S10"/>
    <mergeCell ref="T10:V10"/>
    <mergeCell ref="Q7:S7"/>
    <mergeCell ref="T7:V7"/>
    <mergeCell ref="W7:Y7"/>
    <mergeCell ref="B7:D7"/>
    <mergeCell ref="E7:G7"/>
    <mergeCell ref="H7:J7"/>
    <mergeCell ref="K7:M7"/>
    <mergeCell ref="N7:P7"/>
    <mergeCell ref="B1:Z2"/>
    <mergeCell ref="AA1:AA2"/>
    <mergeCell ref="B3:Z3"/>
    <mergeCell ref="D5:E5"/>
    <mergeCell ref="H5:I5"/>
    <mergeCell ref="L5:M5"/>
    <mergeCell ref="P5:Q5"/>
    <mergeCell ref="T5:U5"/>
    <mergeCell ref="X5:Y5"/>
    <mergeCell ref="P4:Q4"/>
    <mergeCell ref="T4:U4"/>
    <mergeCell ref="X4:Y4"/>
    <mergeCell ref="D4:E4"/>
    <mergeCell ref="H4:I4"/>
    <mergeCell ref="Q8:S9"/>
    <mergeCell ref="T8:V9"/>
    <mergeCell ref="W8:Y9"/>
    <mergeCell ref="B10:D10"/>
    <mergeCell ref="E10:G10"/>
    <mergeCell ref="B8:D9"/>
    <mergeCell ref="E8:G9"/>
    <mergeCell ref="H8:J9"/>
    <mergeCell ref="K8:M9"/>
    <mergeCell ref="N8:P9"/>
  </mergeCells>
  <conditionalFormatting sqref="B10">
    <cfRule type="cellIs" dxfId="249" priority="39" operator="greaterThan">
      <formula>0</formula>
    </cfRule>
    <cfRule type="cellIs" dxfId="248" priority="40" operator="lessThan">
      <formula>0</formula>
    </cfRule>
  </conditionalFormatting>
  <conditionalFormatting sqref="B114:N128">
    <cfRule type="expression" dxfId="247" priority="6">
      <formula>$B114=""</formula>
    </cfRule>
  </conditionalFormatting>
  <conditionalFormatting sqref="C58:J58 D51:K57">
    <cfRule type="colorScale" priority="16">
      <colorScale>
        <cfvo type="min"/>
        <cfvo type="percentile" val="50"/>
        <cfvo type="max"/>
        <color theme="8" tint="0.79998168889431442"/>
        <color theme="8" tint="0.39997558519241921"/>
        <color theme="8" tint="-0.249977111117893"/>
      </colorScale>
    </cfRule>
  </conditionalFormatting>
  <conditionalFormatting sqref="D104:O110">
    <cfRule type="colorScale" priority="7">
      <colorScale>
        <cfvo type="min"/>
        <cfvo type="percentile" val="50"/>
        <cfvo type="max"/>
        <color rgb="FFF8696B"/>
        <color rgb="FFFFEB84"/>
        <color rgb="FF63BE7B"/>
      </colorScale>
    </cfRule>
  </conditionalFormatting>
  <conditionalFormatting sqref="E10">
    <cfRule type="cellIs" dxfId="246" priority="37" operator="greaterThan">
      <formula>0</formula>
    </cfRule>
    <cfRule type="cellIs" dxfId="245" priority="38" operator="lessThan">
      <formula>0</formula>
    </cfRule>
  </conditionalFormatting>
  <conditionalFormatting sqref="H10">
    <cfRule type="cellIs" dxfId="244" priority="35" operator="greaterThan">
      <formula>0</formula>
    </cfRule>
    <cfRule type="cellIs" dxfId="243" priority="36" operator="lessThan">
      <formula>0</formula>
    </cfRule>
  </conditionalFormatting>
  <conditionalFormatting sqref="H114:H128">
    <cfRule type="dataBar" priority="1">
      <dataBar>
        <cfvo type="num" val="0"/>
        <cfvo type="max"/>
        <color rgb="FF5B9BD5"/>
      </dataBar>
    </cfRule>
  </conditionalFormatting>
  <conditionalFormatting sqref="J114:J128">
    <cfRule type="dataBar" priority="2">
      <dataBar>
        <cfvo type="num" val="0"/>
        <cfvo type="max"/>
        <color rgb="FF70AD47"/>
      </dataBar>
    </cfRule>
  </conditionalFormatting>
  <conditionalFormatting sqref="K10">
    <cfRule type="cellIs" dxfId="242" priority="33" operator="greaterThan">
      <formula>0</formula>
    </cfRule>
    <cfRule type="cellIs" dxfId="241" priority="34" operator="lessThan">
      <formula>0</formula>
    </cfRule>
  </conditionalFormatting>
  <conditionalFormatting sqref="K114:K128">
    <cfRule type="iconSet" priority="3">
      <iconSet>
        <cfvo type="num" val="0"/>
        <cfvo type="num" val="0.35"/>
        <cfvo type="num" val="0.45"/>
      </iconSet>
    </cfRule>
  </conditionalFormatting>
  <conditionalFormatting sqref="M114:M128">
    <cfRule type="colorScale" priority="4">
      <colorScale>
        <cfvo type="min"/>
        <cfvo type="percentile" val="50"/>
        <cfvo type="max"/>
        <color rgb="FFF8696B"/>
        <color rgb="FFFFEB84"/>
        <color rgb="FF63BE7B"/>
      </colorScale>
    </cfRule>
  </conditionalFormatting>
  <conditionalFormatting sqref="N10">
    <cfRule type="cellIs" dxfId="240" priority="31" operator="greaterThan">
      <formula>0</formula>
    </cfRule>
    <cfRule type="cellIs" dxfId="239" priority="32" operator="lessThan">
      <formula>0</formula>
    </cfRule>
  </conditionalFormatting>
  <conditionalFormatting sqref="N114:N128">
    <cfRule type="expression" dxfId="238" priority="5">
      <formula>AND(ISNUMBER(N114),N114&gt;0.15)</formula>
    </cfRule>
  </conditionalFormatting>
  <conditionalFormatting sqref="Q10">
    <cfRule type="cellIs" dxfId="237" priority="23" operator="greaterThan">
      <formula>0</formula>
    </cfRule>
    <cfRule type="cellIs" dxfId="236" priority="24" operator="lessThan">
      <formula>0</formula>
    </cfRule>
  </conditionalFormatting>
  <conditionalFormatting sqref="R104:R108">
    <cfRule type="dataBar" priority="8">
      <dataBar>
        <cfvo type="num" val="0"/>
        <cfvo type="max"/>
        <color rgb="FF5B9BD5"/>
      </dataBar>
    </cfRule>
  </conditionalFormatting>
  <conditionalFormatting sqref="S104:S108">
    <cfRule type="dataBar" priority="9">
      <dataBar>
        <cfvo type="num" val="0"/>
        <cfvo type="num" val="1"/>
        <color rgb="FFA9D08E"/>
      </dataBar>
    </cfRule>
  </conditionalFormatting>
  <conditionalFormatting sqref="T10">
    <cfRule type="cellIs" dxfId="235" priority="21" operator="lessThan">
      <formula>0</formula>
    </cfRule>
    <cfRule type="cellIs" dxfId="234" priority="22" operator="greaterThan">
      <formula>0</formula>
    </cfRule>
  </conditionalFormatting>
  <conditionalFormatting sqref="T104:T108">
    <cfRule type="iconSet" priority="10">
      <iconSet iconSet="3Arrows">
        <cfvo type="percent" val="0"/>
        <cfvo type="percent" val="33"/>
        <cfvo type="percent" val="67"/>
      </iconSet>
    </cfRule>
  </conditionalFormatting>
  <conditionalFormatting sqref="U104:U108">
    <cfRule type="colorScale" priority="11">
      <colorScale>
        <cfvo type="min"/>
        <cfvo type="max"/>
        <color rgb="FF63BE7B"/>
        <color rgb="FFF8696B"/>
      </colorScale>
    </cfRule>
  </conditionalFormatting>
  <conditionalFormatting sqref="V104:V108">
    <cfRule type="iconSet" priority="12">
      <iconSet iconSet="3Symbols2">
        <cfvo type="num" val="0"/>
        <cfvo type="num" val="4"/>
        <cfvo type="num" val="4.1500000000000004"/>
      </iconSet>
    </cfRule>
  </conditionalFormatting>
  <conditionalFormatting sqref="W10">
    <cfRule type="cellIs" dxfId="233" priority="17" operator="lessThan">
      <formula>0</formula>
    </cfRule>
    <cfRule type="cellIs" dxfId="232" priority="18" operator="greaterThan">
      <formula>0</formula>
    </cfRule>
  </conditionalFormatting>
  <conditionalFormatting sqref="W104:W108">
    <cfRule type="cellIs" dxfId="231" priority="13" operator="greaterThan">
      <formula>0.15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11279D57-6E45-4287-B45C-F7BC956ABD84}">
          <x14:formula1>
            <xm:f>'Dropdown Lists'!$A$2:$A$4</xm:f>
          </x14:formula1>
          <xm:sqref>D5:E5</xm:sqref>
        </x14:dataValidation>
        <x14:dataValidation type="list" allowBlank="1" showInputMessage="1" showErrorMessage="1" xr:uid="{D4BA2A75-A772-4F16-BDFE-80295A2AA7B5}">
          <x14:formula1>
            <xm:f>'Dropdown Lists'!$B$2:$B$6</xm:f>
          </x14:formula1>
          <xm:sqref>H5:I5</xm:sqref>
        </x14:dataValidation>
        <x14:dataValidation type="list" allowBlank="1" showInputMessage="1" showErrorMessage="1" xr:uid="{04ADFD2C-D398-4B6D-8731-A4BEB1816204}">
          <x14:formula1>
            <xm:f>'Dropdown Lists'!$C$2:$C$7</xm:f>
          </x14:formula1>
          <xm:sqref>L5:M5</xm:sqref>
        </x14:dataValidation>
        <x14:dataValidation type="list" allowBlank="1" showInputMessage="1" showErrorMessage="1" xr:uid="{B4F48786-9D1E-4085-A97C-F34AD1834C67}">
          <x14:formula1>
            <xm:f>'Dropdown Lists'!$D$2:$D$9</xm:f>
          </x14:formula1>
          <xm:sqref>P5:Q5</xm:sqref>
        </x14:dataValidation>
        <x14:dataValidation type="list" allowBlank="1" showInputMessage="1" showErrorMessage="1" xr:uid="{84C88C67-011E-4085-8BA1-470E9D3F04DF}">
          <x14:formula1>
            <xm:f>'Dropdown Lists'!$E$2:$E$8</xm:f>
          </x14:formula1>
          <xm:sqref>T5:U5</xm:sqref>
        </x14:dataValidation>
        <x14:dataValidation type="list" allowBlank="1" showInputMessage="1" showErrorMessage="1" xr:uid="{698616F4-41DF-4067-A745-33D8655F4755}">
          <x14:formula1>
            <xm:f>'Dropdown Lists'!$F$2:$F$4</xm:f>
          </x14:formula1>
          <xm:sqref>X5:Y5</xm:sqref>
        </x14:dataValidation>
      </x14:dataValidations>
    </ext>
    <ext xmlns:x14="http://schemas.microsoft.com/office/spreadsheetml/2009/9/main" uri="{05C60535-1F16-4fd2-B633-F4F36F0B64E0}">
      <x14:sparklineGroups xmlns:xm="http://schemas.microsoft.com/office/excel/2006/main">
        <x14:sparklineGroup type="column" displayEmptyCellsAs="gap" negative="1" xr2:uid="{217B382D-07CD-4842-904C-B9F510FFDC26}">
          <x14:colorSeries theme="9"/>
          <x14:colorNegative rgb="FFD00000"/>
          <x14:colorAxis rgb="FF000000"/>
          <x14:colorMarkers rgb="FFD00000"/>
          <x14:colorFirst rgb="FFD00000"/>
          <x14:colorLast rgb="FFD00000"/>
          <x14:colorHigh rgb="FFD00000"/>
          <x14:colorLow rgb="FFD00000"/>
          <x14:sparklines>
            <x14:sparkline>
              <xm:f>Analysis!AJ195:BG195</xm:f>
              <xm:sqref>R114</xm:sqref>
            </x14:sparkline>
            <x14:sparkline>
              <xm:f>Analysis!AJ196:BG196</xm:f>
              <xm:sqref>R115</xm:sqref>
            </x14:sparkline>
            <x14:sparkline>
              <xm:f>Analysis!AJ197:BG197</xm:f>
              <xm:sqref>R116</xm:sqref>
            </x14:sparkline>
            <x14:sparkline>
              <xm:f>Analysis!AJ198:BG198</xm:f>
              <xm:sqref>R117</xm:sqref>
            </x14:sparkline>
            <x14:sparkline>
              <xm:f>Analysis!AJ199:BG199</xm:f>
              <xm:sqref>R118</xm:sqref>
            </x14:sparkline>
            <x14:sparkline>
              <xm:f>Analysis!AJ200:BG200</xm:f>
              <xm:sqref>R119</xm:sqref>
            </x14:sparkline>
            <x14:sparkline>
              <xm:f>Analysis!AJ201:BG201</xm:f>
              <xm:sqref>R120</xm:sqref>
            </x14:sparkline>
            <x14:sparkline>
              <xm:f>Analysis!AJ202:BG202</xm:f>
              <xm:sqref>R121</xm:sqref>
            </x14:sparkline>
            <x14:sparkline>
              <xm:f>Analysis!AJ203:BG203</xm:f>
              <xm:sqref>R122</xm:sqref>
            </x14:sparkline>
            <x14:sparkline>
              <xm:f>Analysis!AJ204:BG204</xm:f>
              <xm:sqref>R123</xm:sqref>
            </x14:sparkline>
            <x14:sparkline>
              <xm:f>Analysis!AJ205:BG205</xm:f>
              <xm:sqref>R124</xm:sqref>
            </x14:sparkline>
            <x14:sparkline>
              <xm:f>Analysis!AJ206:BG206</xm:f>
              <xm:sqref>R125</xm:sqref>
            </x14:sparkline>
            <x14:sparkline>
              <xm:f>Analysis!AJ207:BG207</xm:f>
              <xm:sqref>R126</xm:sqref>
            </x14:sparkline>
            <x14:sparkline>
              <xm:f>Analysis!AJ208:BG208</xm:f>
              <xm:sqref>R127</xm:sqref>
            </x14:sparkline>
            <x14:sparkline>
              <xm:f>Analysis!AJ209:BG209</xm:f>
              <xm:sqref>R128</xm:sqref>
            </x14:sparkline>
          </x14:sparklines>
        </x14:sparklineGroup>
        <x14:sparklineGroup displayEmptyCellsAs="gap" high="1" low="1" negative="1" xr2:uid="{A87493E4-2EC2-4E35-81B1-509CFE2904FD}">
          <x14:colorSeries rgb="FF376092"/>
          <x14:colorNegative rgb="FFD00000"/>
          <x14:colorAxis rgb="FF000000"/>
          <x14:colorMarkers rgb="FFD00000"/>
          <x14:colorFirst rgb="FFD00000"/>
          <x14:colorLast rgb="FFD00000"/>
          <x14:colorHigh rgb="FFD00000"/>
          <x14:colorLow rgb="FFD00000"/>
          <x14:sparklines>
            <x14:sparkline>
              <xm:f>Analysis!AJ195:BG195</xm:f>
              <xm:sqref>O114</xm:sqref>
            </x14:sparkline>
            <x14:sparkline>
              <xm:f>Analysis!AJ196:BG196</xm:f>
              <xm:sqref>O115</xm:sqref>
            </x14:sparkline>
            <x14:sparkline>
              <xm:f>Analysis!AJ197:BG197</xm:f>
              <xm:sqref>O116</xm:sqref>
            </x14:sparkline>
            <x14:sparkline>
              <xm:f>Analysis!AJ198:BG198</xm:f>
              <xm:sqref>O117</xm:sqref>
            </x14:sparkline>
            <x14:sparkline>
              <xm:f>Analysis!AJ199:BG199</xm:f>
              <xm:sqref>O118</xm:sqref>
            </x14:sparkline>
            <x14:sparkline>
              <xm:f>Analysis!AJ200:BG200</xm:f>
              <xm:sqref>O119</xm:sqref>
            </x14:sparkline>
            <x14:sparkline>
              <xm:f>Analysis!AJ201:BG201</xm:f>
              <xm:sqref>O120</xm:sqref>
            </x14:sparkline>
            <x14:sparkline>
              <xm:f>Analysis!AJ202:BG202</xm:f>
              <xm:sqref>O121</xm:sqref>
            </x14:sparkline>
            <x14:sparkline>
              <xm:f>Analysis!AJ203:BG203</xm:f>
              <xm:sqref>O122</xm:sqref>
            </x14:sparkline>
            <x14:sparkline>
              <xm:f>Analysis!AJ204:BG204</xm:f>
              <xm:sqref>O123</xm:sqref>
            </x14:sparkline>
            <x14:sparkline>
              <xm:f>Analysis!AJ205:BG205</xm:f>
              <xm:sqref>O124</xm:sqref>
            </x14:sparkline>
            <x14:sparkline>
              <xm:f>Analysis!AJ206:BG206</xm:f>
              <xm:sqref>O125</xm:sqref>
            </x14:sparkline>
            <x14:sparkline>
              <xm:f>Analysis!AJ207:BG207</xm:f>
              <xm:sqref>O126</xm:sqref>
            </x14:sparkline>
            <x14:sparkline>
              <xm:f>Analysis!AJ208:BG208</xm:f>
              <xm:sqref>O127</xm:sqref>
            </x14:sparkline>
            <x14:sparkline>
              <xm:f>Analysis!AJ209:BG209</xm:f>
              <xm:sqref>O128</xm:sqref>
            </x14:sparkline>
          </x14:sparklines>
        </x14:sparklineGroup>
        <x14:sparklineGroup lineWeight="1.5" displayEmptyCellsAs="gap" high="1" low="1" xr2:uid="{340635D5-68AA-45AF-B6BE-D16F53F2EFDF}">
          <x14:colorSeries rgb="FF404040"/>
          <x14:colorNegative rgb="FFC00000"/>
          <x14:colorAxis rgb="FF000000"/>
          <x14:colorMarkers rgb="FF404040"/>
          <x14:colorFirst rgb="FF404040"/>
          <x14:colorLast rgb="FF404040"/>
          <x14:colorHigh rgb="FF00B050"/>
          <x14:colorLow rgb="FFC00000"/>
          <x14:sparklines>
            <x14:sparkline>
              <xm:f>Analysis!I26:I49</xm:f>
              <xm:sqref>W11</xm:sqref>
            </x14:sparkline>
          </x14:sparklines>
        </x14:sparklineGroup>
        <x14:sparklineGroup lineWeight="1.5" displayEmptyCellsAs="gap" high="1" low="1" xr2:uid="{360E880A-53D7-4C51-AD0B-9ED9F848EF17}">
          <x14:colorSeries rgb="FFC00000"/>
          <x14:colorNegative rgb="FFC00000"/>
          <x14:colorAxis rgb="FF000000"/>
          <x14:colorMarkers rgb="FFC00000"/>
          <x14:colorFirst rgb="FFC00000"/>
          <x14:colorLast rgb="FFC00000"/>
          <x14:colorHigh rgb="FF00B050"/>
          <x14:colorLow rgb="FFC00000"/>
          <x14:sparklines>
            <x14:sparkline>
              <xm:f>Analysis!G26:G49</xm:f>
              <xm:sqref>Q11</xm:sqref>
            </x14:sparkline>
          </x14:sparklines>
        </x14:sparklineGroup>
        <x14:sparklineGroup lineWeight="1.5" displayEmptyCellsAs="gap" high="1" low="1" xr2:uid="{92FD47DB-411E-4D72-A1C3-7748E82880EC}">
          <x14:colorSeries rgb="FF002060"/>
          <x14:colorNegative rgb="FFC00000"/>
          <x14:colorAxis rgb="FF000000"/>
          <x14:colorMarkers rgb="FFBF8F00"/>
          <x14:colorFirst rgb="FFBF8F00"/>
          <x14:colorLast rgb="FFBF8F00"/>
          <x14:colorHigh rgb="FF00B050"/>
          <x14:colorLow rgb="FFC00000"/>
          <x14:sparklines>
            <x14:sparkline>
              <xm:f>Analysis!F26:F49</xm:f>
              <xm:sqref>N11</xm:sqref>
            </x14:sparkline>
          </x14:sparklines>
        </x14:sparklineGroup>
        <x14:sparklineGroup lineWeight="1.5" displayEmptyCellsAs="gap" high="1" low="1" xr2:uid="{00058FFE-7E1C-42F6-B631-B850043BE7FD}">
          <x14:colorSeries rgb="FF7030A0"/>
          <x14:colorNegative rgb="FFC00000"/>
          <x14:colorAxis rgb="FF000000"/>
          <x14:colorMarkers rgb="FF2F5597"/>
          <x14:colorFirst rgb="FF2F5597"/>
          <x14:colorLast rgb="FF2F5597"/>
          <x14:colorHigh rgb="FF00B050"/>
          <x14:colorLow rgb="FFC00000"/>
          <x14:sparklines>
            <x14:sparkline>
              <xm:f>Analysis!E26:E49</xm:f>
              <xm:sqref>K11</xm:sqref>
            </x14:sparkline>
          </x14:sparklines>
        </x14:sparklineGroup>
        <x14:sparklineGroup lineWeight="1.5" displayEmptyCellsAs="gap" high="1" low="1" xr2:uid="{33C524D2-598E-438A-8634-28DEBD2C0FEF}">
          <x14:colorSeries rgb="FF00B050"/>
          <x14:colorNegative rgb="FFC00000"/>
          <x14:colorAxis rgb="FF000000"/>
          <x14:colorMarkers rgb="FF7030A0"/>
          <x14:colorFirst rgb="FF7030A0"/>
          <x14:colorLast rgb="FF7030A0"/>
          <x14:colorHigh rgb="FF00B050"/>
          <x14:colorLow rgb="FFC00000"/>
          <x14:sparklines>
            <x14:sparkline>
              <xm:f>Analysis!D26:D49</xm:f>
              <xm:sqref>H11</xm:sqref>
            </x14:sparkline>
          </x14:sparklines>
        </x14:sparklineGroup>
        <x14:sparklineGroup lineWeight="1.5" displayEmptyCellsAs="gap" high="1" low="1" xr2:uid="{26B2B96A-07D3-4002-8002-FC28D2AB9F11}">
          <x14:colorSeries rgb="FF548235"/>
          <x14:colorNegative rgb="FFC00000"/>
          <x14:colorAxis rgb="FF000000"/>
          <x14:colorMarkers rgb="FF548235"/>
          <x14:colorFirst rgb="FF548235"/>
          <x14:colorLast rgb="FF548235"/>
          <x14:colorHigh rgb="FF00B050"/>
          <x14:colorLow rgb="FFC00000"/>
          <x14:sparklines>
            <x14:sparkline>
              <xm:f>Analysis!C26:C49</xm:f>
              <xm:sqref>E11</xm:sqref>
            </x14:sparkline>
          </x14:sparklines>
        </x14:sparklineGroup>
        <x14:sparklineGroup lineWeight="1.5" displayEmptyCellsAs="gap" high="1" low="1" xr2:uid="{9241B09C-89BE-4FDF-84C4-0A508BA8321E}">
          <x14:colorSeries rgb="FF404040"/>
          <x14:colorNegative rgb="FFC00000"/>
          <x14:colorAxis rgb="FF000000"/>
          <x14:colorMarkers rgb="FF404040"/>
          <x14:colorFirst rgb="FF404040"/>
          <x14:colorLast rgb="FF404040"/>
          <x14:colorHigh rgb="FF00B050"/>
          <x14:colorLow rgb="FFC00000"/>
          <x14:sparklines>
            <x14:sparkline>
              <xm:f>Analysis!H26:H49</xm:f>
              <xm:sqref>T11</xm:sqref>
            </x14:sparkline>
          </x14:sparklines>
        </x14:sparklineGroup>
        <x14:sparklineGroup lineWeight="1.5" displayEmptyCellsAs="gap" high="1" low="1" xr2:uid="{609B6E6A-CEFF-4395-A072-C62218E78690}">
          <x14:colorSeries rgb="FF2E75B6"/>
          <x14:colorNegative rgb="FFC00000"/>
          <x14:colorAxis rgb="FF000000"/>
          <x14:colorMarkers rgb="FF2E75B6"/>
          <x14:colorFirst rgb="FF2E75B6"/>
          <x14:colorLast rgb="FF2E75B6"/>
          <x14:colorHigh rgb="FF00B050"/>
          <x14:colorLow rgb="FFC00000"/>
          <x14:sparklines>
            <x14:sparkline>
              <xm:f>Analysis!B26:B49</xm:f>
              <xm:sqref>B11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D3D5-B85A-4B4A-A3AB-AB1F4F765290}">
  <dimension ref="A1:AF46"/>
  <sheetViews>
    <sheetView workbookViewId="0">
      <selection activeCell="C14" sqref="C14"/>
    </sheetView>
  </sheetViews>
  <sheetFormatPr defaultRowHeight="14.4" x14ac:dyDescent="0.3"/>
  <cols>
    <col min="1" max="1" width="11.33203125" bestFit="1" customWidth="1"/>
    <col min="2" max="2" width="12.33203125" bestFit="1" customWidth="1"/>
    <col min="3" max="3" width="9" bestFit="1" customWidth="1"/>
    <col min="4" max="4" width="10.33203125" bestFit="1" customWidth="1"/>
    <col min="5" max="5" width="11.88671875" bestFit="1" customWidth="1"/>
    <col min="6" max="6" width="13.5546875" bestFit="1" customWidth="1"/>
    <col min="7" max="7" width="16" bestFit="1" customWidth="1"/>
    <col min="8" max="8" width="9" bestFit="1" customWidth="1"/>
    <col min="9" max="9" width="12.33203125" bestFit="1" customWidth="1"/>
    <col min="10" max="10" width="9" bestFit="1" customWidth="1"/>
    <col min="11" max="11" width="12" bestFit="1" customWidth="1"/>
    <col min="12" max="12" width="14.77734375" bestFit="1" customWidth="1"/>
    <col min="13" max="13" width="12.109375" bestFit="1" customWidth="1"/>
    <col min="14" max="14" width="22.44140625" bestFit="1" customWidth="1"/>
    <col min="15" max="15" width="14.21875" bestFit="1" customWidth="1"/>
    <col min="16" max="16" width="10.5546875" bestFit="1" customWidth="1"/>
    <col min="17" max="17" width="11.33203125" bestFit="1" customWidth="1"/>
    <col min="18" max="18" width="12.44140625" bestFit="1" customWidth="1"/>
    <col min="19" max="19" width="11.6640625" bestFit="1" customWidth="1"/>
    <col min="20" max="20" width="18" bestFit="1" customWidth="1"/>
    <col min="21" max="21" width="14" bestFit="1" customWidth="1"/>
    <col min="22" max="22" width="10.88671875" bestFit="1" customWidth="1"/>
    <col min="23" max="23" width="9" bestFit="1" customWidth="1"/>
    <col min="24" max="24" width="14.6640625" bestFit="1" customWidth="1"/>
    <col min="25" max="25" width="14.33203125" bestFit="1" customWidth="1"/>
    <col min="26" max="26" width="11.109375" bestFit="1" customWidth="1"/>
    <col min="27" max="27" width="18.109375" bestFit="1" customWidth="1"/>
    <col min="28" max="28" width="14.33203125" bestFit="1" customWidth="1"/>
    <col min="29" max="29" width="14.44140625" bestFit="1" customWidth="1"/>
    <col min="30" max="30" width="15.77734375" bestFit="1" customWidth="1"/>
    <col min="31" max="31" width="17.21875" bestFit="1" customWidth="1"/>
    <col min="32" max="32" width="11" bestFit="1" customWidth="1"/>
  </cols>
  <sheetData>
    <row r="1" spans="1:32" x14ac:dyDescent="0.3">
      <c r="A1" s="25" t="s">
        <v>7341</v>
      </c>
    </row>
    <row r="3" spans="1:32" x14ac:dyDescent="0.3">
      <c r="A3" t="s">
        <v>0</v>
      </c>
      <c r="B3" t="s">
        <v>1</v>
      </c>
      <c r="C3" t="s">
        <v>7241</v>
      </c>
      <c r="D3" t="s">
        <v>7238</v>
      </c>
      <c r="E3" t="s">
        <v>7240</v>
      </c>
      <c r="F3" t="s">
        <v>2</v>
      </c>
      <c r="G3" t="s">
        <v>7334</v>
      </c>
      <c r="H3" t="s">
        <v>3</v>
      </c>
      <c r="I3" t="s">
        <v>7209</v>
      </c>
      <c r="J3" t="s">
        <v>7210</v>
      </c>
      <c r="K3" t="s">
        <v>4</v>
      </c>
      <c r="L3" t="s">
        <v>5</v>
      </c>
      <c r="M3" t="s">
        <v>6</v>
      </c>
      <c r="N3" t="s">
        <v>7168</v>
      </c>
      <c r="O3" t="s">
        <v>7169</v>
      </c>
      <c r="P3" t="s">
        <v>7</v>
      </c>
      <c r="Q3" t="s">
        <v>8</v>
      </c>
      <c r="R3" t="s">
        <v>7332</v>
      </c>
      <c r="S3" t="s">
        <v>7243</v>
      </c>
      <c r="T3" t="s">
        <v>7244</v>
      </c>
      <c r="U3" t="s">
        <v>7245</v>
      </c>
      <c r="V3" t="s">
        <v>7242</v>
      </c>
      <c r="W3" t="s">
        <v>7246</v>
      </c>
      <c r="X3" t="s">
        <v>7247</v>
      </c>
      <c r="Y3" t="s">
        <v>7335</v>
      </c>
      <c r="Z3" t="s">
        <v>7249</v>
      </c>
      <c r="AA3" t="s">
        <v>9</v>
      </c>
      <c r="AB3" t="s">
        <v>10</v>
      </c>
      <c r="AC3" t="s">
        <v>7264</v>
      </c>
      <c r="AD3" t="s">
        <v>7265</v>
      </c>
      <c r="AE3" t="s">
        <v>11</v>
      </c>
      <c r="AF3" t="s">
        <v>7333</v>
      </c>
    </row>
    <row r="4" spans="1:32" x14ac:dyDescent="0.3">
      <c r="A4" t="s">
        <v>4261</v>
      </c>
      <c r="B4" s="1">
        <v>45636</v>
      </c>
      <c r="C4">
        <v>2024</v>
      </c>
      <c r="D4" s="1">
        <v>45627</v>
      </c>
      <c r="E4">
        <v>12</v>
      </c>
      <c r="F4" t="s">
        <v>4262</v>
      </c>
      <c r="G4" t="s">
        <v>7338</v>
      </c>
      <c r="H4" t="s">
        <v>14</v>
      </c>
      <c r="I4" t="s">
        <v>7232</v>
      </c>
      <c r="J4" t="s">
        <v>7221</v>
      </c>
      <c r="K4" t="s">
        <v>15</v>
      </c>
      <c r="L4" t="s">
        <v>16</v>
      </c>
      <c r="M4" t="s">
        <v>17</v>
      </c>
      <c r="N4" t="s">
        <v>7191</v>
      </c>
      <c r="O4" t="s">
        <v>7190</v>
      </c>
      <c r="P4">
        <v>1</v>
      </c>
      <c r="Q4">
        <v>2199</v>
      </c>
      <c r="R4">
        <v>0.25</v>
      </c>
      <c r="S4">
        <v>2199</v>
      </c>
      <c r="T4">
        <v>549.75</v>
      </c>
      <c r="U4">
        <v>1649.25</v>
      </c>
      <c r="V4">
        <v>1034</v>
      </c>
      <c r="W4">
        <v>1034</v>
      </c>
      <c r="X4">
        <v>60</v>
      </c>
      <c r="Y4">
        <v>555.25</v>
      </c>
      <c r="Z4">
        <v>0.33666818250720026</v>
      </c>
      <c r="AA4" t="s">
        <v>4074</v>
      </c>
      <c r="AB4" s="1">
        <v>45640</v>
      </c>
      <c r="AC4">
        <v>4</v>
      </c>
      <c r="AD4" t="s">
        <v>7310</v>
      </c>
      <c r="AF4">
        <v>0</v>
      </c>
    </row>
    <row r="5" spans="1:32" x14ac:dyDescent="0.3">
      <c r="A5" t="s">
        <v>221</v>
      </c>
      <c r="B5" s="1">
        <v>45613</v>
      </c>
      <c r="C5">
        <v>2024</v>
      </c>
      <c r="D5" s="1">
        <v>45597</v>
      </c>
      <c r="E5">
        <v>11</v>
      </c>
      <c r="F5" t="s">
        <v>222</v>
      </c>
      <c r="G5" t="s">
        <v>7338</v>
      </c>
      <c r="H5" t="s">
        <v>14</v>
      </c>
      <c r="I5" t="s">
        <v>7232</v>
      </c>
      <c r="J5" t="s">
        <v>7221</v>
      </c>
      <c r="K5" t="s">
        <v>15</v>
      </c>
      <c r="L5" t="s">
        <v>65</v>
      </c>
      <c r="M5" t="s">
        <v>106</v>
      </c>
      <c r="N5" t="s">
        <v>7181</v>
      </c>
      <c r="O5" t="s">
        <v>7179</v>
      </c>
      <c r="P5">
        <v>1</v>
      </c>
      <c r="Q5">
        <v>549</v>
      </c>
      <c r="R5">
        <v>0.4</v>
      </c>
      <c r="S5">
        <v>549</v>
      </c>
      <c r="T5">
        <v>219.60000000000002</v>
      </c>
      <c r="U5">
        <v>329.4</v>
      </c>
      <c r="V5">
        <v>170</v>
      </c>
      <c r="W5">
        <v>170</v>
      </c>
      <c r="X5">
        <v>60</v>
      </c>
      <c r="Y5">
        <v>99.399999999999977</v>
      </c>
      <c r="Z5">
        <v>0.30176077717061317</v>
      </c>
      <c r="AA5" t="s">
        <v>18</v>
      </c>
      <c r="AB5" s="1">
        <v>45618</v>
      </c>
      <c r="AC5">
        <v>5</v>
      </c>
      <c r="AD5" t="s">
        <v>7311</v>
      </c>
      <c r="AE5">
        <v>4</v>
      </c>
      <c r="AF5">
        <v>0</v>
      </c>
    </row>
    <row r="6" spans="1:32" x14ac:dyDescent="0.3">
      <c r="A6" t="s">
        <v>527</v>
      </c>
      <c r="B6" s="1">
        <v>45601</v>
      </c>
      <c r="C6">
        <v>2024</v>
      </c>
      <c r="D6" s="1">
        <v>45597</v>
      </c>
      <c r="E6">
        <v>11</v>
      </c>
      <c r="F6" t="s">
        <v>528</v>
      </c>
      <c r="G6" t="s">
        <v>7338</v>
      </c>
      <c r="H6" t="s">
        <v>14</v>
      </c>
      <c r="I6" t="s">
        <v>7232</v>
      </c>
      <c r="J6" t="s">
        <v>7221</v>
      </c>
      <c r="K6" t="s">
        <v>15</v>
      </c>
      <c r="L6" t="s">
        <v>39</v>
      </c>
      <c r="M6" t="s">
        <v>176</v>
      </c>
      <c r="N6" t="s">
        <v>7187</v>
      </c>
      <c r="O6" t="s">
        <v>7184</v>
      </c>
      <c r="P6">
        <v>1</v>
      </c>
      <c r="Q6">
        <v>2499</v>
      </c>
      <c r="R6">
        <v>0.1</v>
      </c>
      <c r="S6">
        <v>2499</v>
      </c>
      <c r="T6">
        <v>249.9</v>
      </c>
      <c r="U6">
        <v>2249.1</v>
      </c>
      <c r="V6">
        <v>1125</v>
      </c>
      <c r="W6">
        <v>1125</v>
      </c>
      <c r="X6">
        <v>60</v>
      </c>
      <c r="Y6">
        <v>1064.0999999999999</v>
      </c>
      <c r="Z6">
        <v>0.4731225823662798</v>
      </c>
      <c r="AA6" t="s">
        <v>18</v>
      </c>
      <c r="AB6" s="1">
        <v>45604</v>
      </c>
      <c r="AC6">
        <v>3</v>
      </c>
      <c r="AD6" t="s">
        <v>7310</v>
      </c>
      <c r="AE6">
        <v>4</v>
      </c>
      <c r="AF6">
        <v>0</v>
      </c>
    </row>
    <row r="7" spans="1:32" x14ac:dyDescent="0.3">
      <c r="A7" t="s">
        <v>1238</v>
      </c>
      <c r="B7" s="1">
        <v>45600</v>
      </c>
      <c r="C7">
        <v>2024</v>
      </c>
      <c r="D7" s="1">
        <v>45597</v>
      </c>
      <c r="E7">
        <v>11</v>
      </c>
      <c r="F7" t="s">
        <v>1239</v>
      </c>
      <c r="G7" t="s">
        <v>7338</v>
      </c>
      <c r="H7" t="s">
        <v>14</v>
      </c>
      <c r="I7" t="s">
        <v>7232</v>
      </c>
      <c r="J7" t="s">
        <v>7221</v>
      </c>
      <c r="K7" t="s">
        <v>15</v>
      </c>
      <c r="L7" t="s">
        <v>16</v>
      </c>
      <c r="M7" t="s">
        <v>255</v>
      </c>
      <c r="N7" t="s">
        <v>7183</v>
      </c>
      <c r="O7" t="s">
        <v>7184</v>
      </c>
      <c r="P7">
        <v>1</v>
      </c>
      <c r="Q7">
        <v>799</v>
      </c>
      <c r="R7">
        <v>0.15</v>
      </c>
      <c r="S7">
        <v>799</v>
      </c>
      <c r="T7">
        <v>119.85</v>
      </c>
      <c r="U7">
        <v>679.15</v>
      </c>
      <c r="V7">
        <v>320</v>
      </c>
      <c r="W7">
        <v>320</v>
      </c>
      <c r="X7">
        <v>120</v>
      </c>
      <c r="Y7">
        <v>239.14999999999998</v>
      </c>
      <c r="Z7">
        <v>0.35213134064639623</v>
      </c>
      <c r="AA7" t="s">
        <v>18</v>
      </c>
      <c r="AB7" s="1">
        <v>45604</v>
      </c>
      <c r="AC7">
        <v>4</v>
      </c>
      <c r="AD7" t="s">
        <v>7310</v>
      </c>
      <c r="AF7">
        <v>1</v>
      </c>
    </row>
    <row r="8" spans="1:32" x14ac:dyDescent="0.3">
      <c r="A8" t="s">
        <v>3838</v>
      </c>
      <c r="B8" s="1">
        <v>45292</v>
      </c>
      <c r="C8">
        <v>2024</v>
      </c>
      <c r="D8" s="1">
        <v>45292</v>
      </c>
      <c r="E8">
        <v>1</v>
      </c>
      <c r="F8" t="s">
        <v>3839</v>
      </c>
      <c r="G8" t="s">
        <v>7338</v>
      </c>
      <c r="H8" t="s">
        <v>14</v>
      </c>
      <c r="I8" t="s">
        <v>7232</v>
      </c>
      <c r="J8" t="s">
        <v>7221</v>
      </c>
      <c r="K8" t="s">
        <v>15</v>
      </c>
      <c r="L8" t="s">
        <v>39</v>
      </c>
      <c r="M8" t="s">
        <v>29</v>
      </c>
      <c r="N8" t="s">
        <v>7186</v>
      </c>
      <c r="O8" t="s">
        <v>7184</v>
      </c>
      <c r="P8">
        <v>1</v>
      </c>
      <c r="Q8">
        <v>1199</v>
      </c>
      <c r="R8">
        <v>0.15</v>
      </c>
      <c r="S8">
        <v>1199</v>
      </c>
      <c r="T8">
        <v>179.85</v>
      </c>
      <c r="U8">
        <v>1019.15</v>
      </c>
      <c r="V8">
        <v>492</v>
      </c>
      <c r="W8">
        <v>492</v>
      </c>
      <c r="X8">
        <v>60</v>
      </c>
      <c r="Y8">
        <v>467.15</v>
      </c>
      <c r="Z8">
        <v>0.45837217288917231</v>
      </c>
      <c r="AA8" t="s">
        <v>3495</v>
      </c>
      <c r="AB8" s="1">
        <v>45298</v>
      </c>
      <c r="AC8">
        <v>6</v>
      </c>
      <c r="AD8" t="s">
        <v>7311</v>
      </c>
      <c r="AE8">
        <v>3</v>
      </c>
      <c r="AF8">
        <v>0</v>
      </c>
    </row>
    <row r="9" spans="1:32" x14ac:dyDescent="0.3">
      <c r="A9" t="s">
        <v>4801</v>
      </c>
      <c r="B9" s="1">
        <v>45593</v>
      </c>
      <c r="C9">
        <v>2024</v>
      </c>
      <c r="D9" s="1">
        <v>45566</v>
      </c>
      <c r="E9">
        <v>10</v>
      </c>
      <c r="F9" t="s">
        <v>4802</v>
      </c>
      <c r="G9" t="s">
        <v>7338</v>
      </c>
      <c r="H9" t="s">
        <v>14</v>
      </c>
      <c r="I9" t="s">
        <v>7232</v>
      </c>
      <c r="J9" t="s">
        <v>7221</v>
      </c>
      <c r="K9" t="s">
        <v>15</v>
      </c>
      <c r="L9" t="s">
        <v>23</v>
      </c>
      <c r="M9" t="s">
        <v>24</v>
      </c>
      <c r="N9" t="s">
        <v>7197</v>
      </c>
      <c r="O9" t="s">
        <v>7195</v>
      </c>
      <c r="P9">
        <v>2</v>
      </c>
      <c r="Q9">
        <v>699</v>
      </c>
      <c r="R9">
        <v>0.4</v>
      </c>
      <c r="S9">
        <v>1398</v>
      </c>
      <c r="T9">
        <v>559.20000000000005</v>
      </c>
      <c r="U9">
        <v>838.8</v>
      </c>
      <c r="V9">
        <v>245</v>
      </c>
      <c r="W9">
        <v>490</v>
      </c>
      <c r="X9">
        <v>60</v>
      </c>
      <c r="Y9">
        <v>288.79999999999995</v>
      </c>
      <c r="Z9">
        <v>0.34430138292799234</v>
      </c>
      <c r="AA9" t="s">
        <v>4450</v>
      </c>
      <c r="AB9" s="1">
        <v>45598</v>
      </c>
      <c r="AC9">
        <v>5</v>
      </c>
      <c r="AD9" t="s">
        <v>7311</v>
      </c>
      <c r="AE9">
        <v>4</v>
      </c>
      <c r="AF9">
        <v>0</v>
      </c>
    </row>
    <row r="10" spans="1:32" x14ac:dyDescent="0.3">
      <c r="A10" t="s">
        <v>778</v>
      </c>
      <c r="B10" s="1">
        <v>45593</v>
      </c>
      <c r="C10">
        <v>2024</v>
      </c>
      <c r="D10" s="1">
        <v>45566</v>
      </c>
      <c r="E10">
        <v>10</v>
      </c>
      <c r="F10" t="s">
        <v>779</v>
      </c>
      <c r="G10" t="s">
        <v>7338</v>
      </c>
      <c r="H10" t="s">
        <v>14</v>
      </c>
      <c r="I10" t="s">
        <v>7232</v>
      </c>
      <c r="J10" t="s">
        <v>7221</v>
      </c>
      <c r="K10" t="s">
        <v>15</v>
      </c>
      <c r="L10" t="s">
        <v>23</v>
      </c>
      <c r="M10" t="s">
        <v>148</v>
      </c>
      <c r="N10" t="s">
        <v>7202</v>
      </c>
      <c r="O10" t="s">
        <v>7200</v>
      </c>
      <c r="P10">
        <v>1</v>
      </c>
      <c r="Q10">
        <v>499</v>
      </c>
      <c r="R10">
        <v>0.15</v>
      </c>
      <c r="S10">
        <v>499</v>
      </c>
      <c r="T10">
        <v>74.849999999999994</v>
      </c>
      <c r="U10">
        <v>424.15</v>
      </c>
      <c r="V10">
        <v>200</v>
      </c>
      <c r="W10">
        <v>200</v>
      </c>
      <c r="X10">
        <v>60</v>
      </c>
      <c r="Y10">
        <v>164.14999999999998</v>
      </c>
      <c r="Z10">
        <v>0.38700931274313327</v>
      </c>
      <c r="AA10" t="s">
        <v>18</v>
      </c>
      <c r="AB10" s="1">
        <v>45598</v>
      </c>
      <c r="AC10">
        <v>5</v>
      </c>
      <c r="AD10" t="s">
        <v>7311</v>
      </c>
      <c r="AE10">
        <v>4</v>
      </c>
      <c r="AF10">
        <v>0</v>
      </c>
    </row>
    <row r="11" spans="1:32" x14ac:dyDescent="0.3">
      <c r="A11" t="s">
        <v>6097</v>
      </c>
      <c r="B11" s="1">
        <v>45579</v>
      </c>
      <c r="C11">
        <v>2024</v>
      </c>
      <c r="D11" s="1">
        <v>45566</v>
      </c>
      <c r="E11">
        <v>10</v>
      </c>
      <c r="F11" t="s">
        <v>1866</v>
      </c>
      <c r="G11" t="s">
        <v>7339</v>
      </c>
      <c r="H11" t="s">
        <v>14</v>
      </c>
      <c r="I11" t="s">
        <v>7232</v>
      </c>
      <c r="J11" t="s">
        <v>7221</v>
      </c>
      <c r="K11" t="s">
        <v>15</v>
      </c>
      <c r="L11" t="s">
        <v>39</v>
      </c>
      <c r="M11" t="s">
        <v>24</v>
      </c>
      <c r="N11" t="s">
        <v>7197</v>
      </c>
      <c r="O11" t="s">
        <v>7195</v>
      </c>
      <c r="P11">
        <v>2</v>
      </c>
      <c r="Q11">
        <v>699</v>
      </c>
      <c r="R11">
        <v>0.25</v>
      </c>
      <c r="S11">
        <v>1398</v>
      </c>
      <c r="T11">
        <v>349.5</v>
      </c>
      <c r="U11">
        <v>1048.5</v>
      </c>
      <c r="V11">
        <v>245</v>
      </c>
      <c r="W11">
        <v>490</v>
      </c>
      <c r="X11">
        <v>60</v>
      </c>
      <c r="Y11">
        <v>498.5</v>
      </c>
      <c r="Z11">
        <v>0.47544110634239389</v>
      </c>
      <c r="AA11" t="s">
        <v>18</v>
      </c>
      <c r="AB11" s="1">
        <v>45582</v>
      </c>
      <c r="AC11">
        <v>3</v>
      </c>
      <c r="AD11" t="s">
        <v>7310</v>
      </c>
      <c r="AE11">
        <v>4</v>
      </c>
      <c r="AF11">
        <v>0</v>
      </c>
    </row>
    <row r="12" spans="1:32" x14ac:dyDescent="0.3">
      <c r="A12" t="s">
        <v>5893</v>
      </c>
      <c r="B12" s="1">
        <v>45572</v>
      </c>
      <c r="C12">
        <v>2024</v>
      </c>
      <c r="D12" s="1">
        <v>45566</v>
      </c>
      <c r="E12">
        <v>10</v>
      </c>
      <c r="F12" t="s">
        <v>5894</v>
      </c>
      <c r="G12" t="s">
        <v>7338</v>
      </c>
      <c r="H12" t="s">
        <v>14</v>
      </c>
      <c r="I12" t="s">
        <v>7232</v>
      </c>
      <c r="J12" t="s">
        <v>7221</v>
      </c>
      <c r="K12" t="s">
        <v>15</v>
      </c>
      <c r="L12" t="s">
        <v>23</v>
      </c>
      <c r="M12" t="s">
        <v>45</v>
      </c>
      <c r="N12" t="s">
        <v>7180</v>
      </c>
      <c r="O12" t="s">
        <v>7179</v>
      </c>
      <c r="P12">
        <v>2</v>
      </c>
      <c r="Q12">
        <v>449</v>
      </c>
      <c r="R12">
        <v>0.3</v>
      </c>
      <c r="S12">
        <v>898</v>
      </c>
      <c r="T12">
        <v>269.39999999999998</v>
      </c>
      <c r="U12">
        <v>628.6</v>
      </c>
      <c r="V12">
        <v>148</v>
      </c>
      <c r="W12">
        <v>296</v>
      </c>
      <c r="X12">
        <v>60</v>
      </c>
      <c r="Y12">
        <v>272.60000000000002</v>
      </c>
      <c r="Z12">
        <v>0.43366210626789692</v>
      </c>
      <c r="AA12" t="s">
        <v>18</v>
      </c>
      <c r="AB12" s="1">
        <v>45576</v>
      </c>
      <c r="AC12">
        <v>4</v>
      </c>
      <c r="AD12" t="s">
        <v>7310</v>
      </c>
      <c r="AF12">
        <v>0</v>
      </c>
    </row>
    <row r="13" spans="1:32" x14ac:dyDescent="0.3">
      <c r="A13" t="s">
        <v>5677</v>
      </c>
      <c r="B13" s="1">
        <v>45563</v>
      </c>
      <c r="C13">
        <v>2024</v>
      </c>
      <c r="D13" s="1">
        <v>45536</v>
      </c>
      <c r="E13">
        <v>9</v>
      </c>
      <c r="F13" t="s">
        <v>1608</v>
      </c>
      <c r="G13" t="s">
        <v>7339</v>
      </c>
      <c r="H13" t="s">
        <v>14</v>
      </c>
      <c r="I13" t="s">
        <v>7232</v>
      </c>
      <c r="J13" t="s">
        <v>7221</v>
      </c>
      <c r="K13" t="s">
        <v>15</v>
      </c>
      <c r="L13" t="s">
        <v>65</v>
      </c>
      <c r="M13" t="s">
        <v>78</v>
      </c>
      <c r="N13" t="s">
        <v>7177</v>
      </c>
      <c r="O13" t="s">
        <v>7173</v>
      </c>
      <c r="P13">
        <v>2</v>
      </c>
      <c r="Q13">
        <v>799</v>
      </c>
      <c r="R13">
        <v>0.05</v>
      </c>
      <c r="S13">
        <v>1598</v>
      </c>
      <c r="T13">
        <v>79.900000000000006</v>
      </c>
      <c r="U13">
        <v>1518.1</v>
      </c>
      <c r="V13">
        <v>216</v>
      </c>
      <c r="W13">
        <v>432</v>
      </c>
      <c r="X13">
        <v>60</v>
      </c>
      <c r="Y13">
        <v>1026.0999999999999</v>
      </c>
      <c r="Z13">
        <v>0.67591067782096037</v>
      </c>
      <c r="AA13" t="s">
        <v>18</v>
      </c>
      <c r="AB13" s="1">
        <v>45568</v>
      </c>
      <c r="AC13">
        <v>5</v>
      </c>
      <c r="AD13" t="s">
        <v>7311</v>
      </c>
      <c r="AE13">
        <v>3</v>
      </c>
      <c r="AF13">
        <v>0</v>
      </c>
    </row>
    <row r="14" spans="1:32" x14ac:dyDescent="0.3">
      <c r="A14" t="s">
        <v>5676</v>
      </c>
      <c r="B14" s="1">
        <v>45562</v>
      </c>
      <c r="C14">
        <v>2024</v>
      </c>
      <c r="D14" s="1">
        <v>45536</v>
      </c>
      <c r="E14">
        <v>9</v>
      </c>
      <c r="F14" t="s">
        <v>804</v>
      </c>
      <c r="G14" t="s">
        <v>7338</v>
      </c>
      <c r="H14" t="s">
        <v>14</v>
      </c>
      <c r="I14" t="s">
        <v>7232</v>
      </c>
      <c r="J14" t="s">
        <v>7221</v>
      </c>
      <c r="K14" t="s">
        <v>15</v>
      </c>
      <c r="L14" t="s">
        <v>65</v>
      </c>
      <c r="M14" t="s">
        <v>87</v>
      </c>
      <c r="N14" t="s">
        <v>7185</v>
      </c>
      <c r="O14" t="s">
        <v>7184</v>
      </c>
      <c r="P14">
        <v>2</v>
      </c>
      <c r="Q14">
        <v>1499</v>
      </c>
      <c r="R14">
        <v>0.3</v>
      </c>
      <c r="S14">
        <v>2998</v>
      </c>
      <c r="T14">
        <v>899.4</v>
      </c>
      <c r="U14">
        <v>2098.6</v>
      </c>
      <c r="V14">
        <v>630</v>
      </c>
      <c r="W14">
        <v>1260</v>
      </c>
      <c r="X14">
        <v>60</v>
      </c>
      <c r="Y14">
        <v>778.59999999999991</v>
      </c>
      <c r="Z14">
        <v>0.3710092442580768</v>
      </c>
      <c r="AA14" t="s">
        <v>18</v>
      </c>
      <c r="AB14" s="1">
        <v>45568</v>
      </c>
      <c r="AC14">
        <v>6</v>
      </c>
      <c r="AD14" t="s">
        <v>7311</v>
      </c>
      <c r="AE14">
        <v>3</v>
      </c>
      <c r="AF14">
        <v>0</v>
      </c>
    </row>
    <row r="15" spans="1:32" x14ac:dyDescent="0.3">
      <c r="A15" t="s">
        <v>6862</v>
      </c>
      <c r="B15" s="1">
        <v>45556</v>
      </c>
      <c r="C15">
        <v>2024</v>
      </c>
      <c r="D15" s="1">
        <v>45536</v>
      </c>
      <c r="E15">
        <v>9</v>
      </c>
      <c r="F15" t="s">
        <v>6863</v>
      </c>
      <c r="G15" t="s">
        <v>7338</v>
      </c>
      <c r="H15" t="s">
        <v>14</v>
      </c>
      <c r="I15" t="s">
        <v>7232</v>
      </c>
      <c r="J15" t="s">
        <v>7221</v>
      </c>
      <c r="K15" t="s">
        <v>15</v>
      </c>
      <c r="L15" t="s">
        <v>39</v>
      </c>
      <c r="M15" t="s">
        <v>73</v>
      </c>
      <c r="N15" t="s">
        <v>7176</v>
      </c>
      <c r="O15" t="s">
        <v>7173</v>
      </c>
      <c r="P15">
        <v>3</v>
      </c>
      <c r="Q15">
        <v>299</v>
      </c>
      <c r="R15">
        <v>0</v>
      </c>
      <c r="S15">
        <v>897</v>
      </c>
      <c r="T15">
        <v>0</v>
      </c>
      <c r="U15">
        <v>897</v>
      </c>
      <c r="V15">
        <v>90</v>
      </c>
      <c r="W15">
        <v>270</v>
      </c>
      <c r="X15">
        <v>60</v>
      </c>
      <c r="Y15">
        <v>567</v>
      </c>
      <c r="Z15">
        <v>0.63210702341137126</v>
      </c>
      <c r="AA15" t="s">
        <v>4450</v>
      </c>
      <c r="AB15" s="1">
        <v>45559</v>
      </c>
      <c r="AC15">
        <v>3</v>
      </c>
      <c r="AD15" t="s">
        <v>7310</v>
      </c>
      <c r="AE15">
        <v>3</v>
      </c>
      <c r="AF15">
        <v>0</v>
      </c>
    </row>
    <row r="16" spans="1:32" x14ac:dyDescent="0.3">
      <c r="A16" t="s">
        <v>6963</v>
      </c>
      <c r="B16" s="1">
        <v>45530</v>
      </c>
      <c r="C16">
        <v>2024</v>
      </c>
      <c r="D16" s="1">
        <v>45505</v>
      </c>
      <c r="E16">
        <v>8</v>
      </c>
      <c r="F16" t="s">
        <v>2292</v>
      </c>
      <c r="G16" t="s">
        <v>7339</v>
      </c>
      <c r="H16" t="s">
        <v>14</v>
      </c>
      <c r="I16" t="s">
        <v>7232</v>
      </c>
      <c r="J16" t="s">
        <v>7221</v>
      </c>
      <c r="K16" t="s">
        <v>15</v>
      </c>
      <c r="L16" t="s">
        <v>23</v>
      </c>
      <c r="M16" t="s">
        <v>148</v>
      </c>
      <c r="N16" t="s">
        <v>7202</v>
      </c>
      <c r="O16" t="s">
        <v>7200</v>
      </c>
      <c r="P16">
        <v>4</v>
      </c>
      <c r="Q16">
        <v>499</v>
      </c>
      <c r="R16">
        <v>0.1</v>
      </c>
      <c r="S16">
        <v>1996</v>
      </c>
      <c r="T16">
        <v>199.60000000000002</v>
      </c>
      <c r="U16">
        <v>1796.4</v>
      </c>
      <c r="V16">
        <v>200</v>
      </c>
      <c r="W16">
        <v>800</v>
      </c>
      <c r="X16">
        <v>60</v>
      </c>
      <c r="Y16">
        <v>936.40000000000009</v>
      </c>
      <c r="Z16">
        <v>0.52126475172567355</v>
      </c>
      <c r="AA16" t="s">
        <v>3495</v>
      </c>
      <c r="AB16" s="1">
        <v>45533</v>
      </c>
      <c r="AC16">
        <v>3</v>
      </c>
      <c r="AD16" t="s">
        <v>7310</v>
      </c>
      <c r="AF16">
        <v>0</v>
      </c>
    </row>
    <row r="17" spans="1:32" x14ac:dyDescent="0.3">
      <c r="A17" t="s">
        <v>3554</v>
      </c>
      <c r="B17" s="1">
        <v>45505</v>
      </c>
      <c r="C17">
        <v>2024</v>
      </c>
      <c r="D17" s="1">
        <v>45505</v>
      </c>
      <c r="E17">
        <v>8</v>
      </c>
      <c r="F17" t="s">
        <v>2851</v>
      </c>
      <c r="G17" t="s">
        <v>7338</v>
      </c>
      <c r="H17" t="s">
        <v>14</v>
      </c>
      <c r="I17" t="s">
        <v>7232</v>
      </c>
      <c r="J17" t="s">
        <v>7221</v>
      </c>
      <c r="K17" t="s">
        <v>15</v>
      </c>
      <c r="L17" t="s">
        <v>16</v>
      </c>
      <c r="M17" t="s">
        <v>255</v>
      </c>
      <c r="N17" t="s">
        <v>7183</v>
      </c>
      <c r="O17" t="s">
        <v>7184</v>
      </c>
      <c r="P17">
        <v>1</v>
      </c>
      <c r="Q17">
        <v>799</v>
      </c>
      <c r="R17">
        <v>0</v>
      </c>
      <c r="S17">
        <v>799</v>
      </c>
      <c r="T17">
        <v>0</v>
      </c>
      <c r="U17">
        <v>799</v>
      </c>
      <c r="V17">
        <v>320</v>
      </c>
      <c r="W17">
        <v>320</v>
      </c>
      <c r="X17">
        <v>60</v>
      </c>
      <c r="Y17">
        <v>419</v>
      </c>
      <c r="Z17">
        <v>0.52440550688360454</v>
      </c>
      <c r="AA17" t="s">
        <v>3495</v>
      </c>
      <c r="AB17" s="1">
        <v>45509</v>
      </c>
      <c r="AC17">
        <v>4</v>
      </c>
      <c r="AD17" t="s">
        <v>7310</v>
      </c>
      <c r="AE17">
        <v>4</v>
      </c>
      <c r="AF17">
        <v>0</v>
      </c>
    </row>
    <row r="18" spans="1:32" x14ac:dyDescent="0.3">
      <c r="A18" t="s">
        <v>12</v>
      </c>
      <c r="B18" s="1">
        <v>45294</v>
      </c>
      <c r="C18">
        <v>2024</v>
      </c>
      <c r="D18" s="1">
        <v>45292</v>
      </c>
      <c r="E18">
        <v>1</v>
      </c>
      <c r="F18" t="s">
        <v>13</v>
      </c>
      <c r="G18" t="s">
        <v>7338</v>
      </c>
      <c r="H18" t="s">
        <v>14</v>
      </c>
      <c r="I18" t="s">
        <v>7232</v>
      </c>
      <c r="J18" t="s">
        <v>7221</v>
      </c>
      <c r="K18" t="s">
        <v>15</v>
      </c>
      <c r="L18" t="s">
        <v>16</v>
      </c>
      <c r="M18" t="s">
        <v>17</v>
      </c>
      <c r="N18" t="s">
        <v>7191</v>
      </c>
      <c r="O18" t="s">
        <v>7190</v>
      </c>
      <c r="P18">
        <v>1</v>
      </c>
      <c r="Q18">
        <v>2199</v>
      </c>
      <c r="R18">
        <v>0.25</v>
      </c>
      <c r="S18">
        <v>2199</v>
      </c>
      <c r="T18">
        <v>549.75</v>
      </c>
      <c r="U18">
        <v>1649.25</v>
      </c>
      <c r="V18">
        <v>1034</v>
      </c>
      <c r="W18">
        <v>1034</v>
      </c>
      <c r="X18">
        <v>60</v>
      </c>
      <c r="Y18">
        <v>555.25</v>
      </c>
      <c r="Z18">
        <v>0.33666818250720026</v>
      </c>
      <c r="AA18" t="s">
        <v>18</v>
      </c>
      <c r="AB18" s="1">
        <v>45300</v>
      </c>
      <c r="AC18">
        <v>6</v>
      </c>
      <c r="AD18" t="s">
        <v>7311</v>
      </c>
      <c r="AE18">
        <v>4</v>
      </c>
      <c r="AF18">
        <v>0</v>
      </c>
    </row>
    <row r="19" spans="1:32" x14ac:dyDescent="0.3">
      <c r="A19" t="s">
        <v>3190</v>
      </c>
      <c r="B19" s="1">
        <v>45493</v>
      </c>
      <c r="C19">
        <v>2024</v>
      </c>
      <c r="D19" s="1">
        <v>45474</v>
      </c>
      <c r="E19">
        <v>7</v>
      </c>
      <c r="F19" t="s">
        <v>891</v>
      </c>
      <c r="G19" t="s">
        <v>7339</v>
      </c>
      <c r="H19" t="s">
        <v>14</v>
      </c>
      <c r="I19" t="s">
        <v>7232</v>
      </c>
      <c r="J19" t="s">
        <v>7221</v>
      </c>
      <c r="K19" t="s">
        <v>15</v>
      </c>
      <c r="L19" t="s">
        <v>16</v>
      </c>
      <c r="M19" t="s">
        <v>92</v>
      </c>
      <c r="N19" t="s">
        <v>7192</v>
      </c>
      <c r="O19" t="s">
        <v>7190</v>
      </c>
      <c r="P19">
        <v>1</v>
      </c>
      <c r="Q19">
        <v>999</v>
      </c>
      <c r="R19">
        <v>0.05</v>
      </c>
      <c r="S19">
        <v>999</v>
      </c>
      <c r="T19">
        <v>49.95</v>
      </c>
      <c r="U19">
        <v>949.05</v>
      </c>
      <c r="V19">
        <v>400</v>
      </c>
      <c r="W19">
        <v>400</v>
      </c>
      <c r="X19">
        <v>60</v>
      </c>
      <c r="Y19">
        <v>489.04999999999995</v>
      </c>
      <c r="Z19">
        <v>0.5153047784626732</v>
      </c>
      <c r="AA19" t="s">
        <v>2522</v>
      </c>
      <c r="AB19" s="1">
        <v>45496</v>
      </c>
      <c r="AC19">
        <v>3</v>
      </c>
      <c r="AD19" t="s">
        <v>7310</v>
      </c>
      <c r="AE19">
        <v>4</v>
      </c>
      <c r="AF19">
        <v>0</v>
      </c>
    </row>
    <row r="20" spans="1:32" x14ac:dyDescent="0.3">
      <c r="A20" t="s">
        <v>6290</v>
      </c>
      <c r="B20" s="1">
        <v>45490</v>
      </c>
      <c r="C20">
        <v>2024</v>
      </c>
      <c r="D20" s="1">
        <v>45474</v>
      </c>
      <c r="E20">
        <v>7</v>
      </c>
      <c r="F20" t="s">
        <v>1729</v>
      </c>
      <c r="G20" t="s">
        <v>7338</v>
      </c>
      <c r="H20" t="s">
        <v>14</v>
      </c>
      <c r="I20" t="s">
        <v>7232</v>
      </c>
      <c r="J20" t="s">
        <v>7221</v>
      </c>
      <c r="K20" t="s">
        <v>15</v>
      </c>
      <c r="L20" t="s">
        <v>50</v>
      </c>
      <c r="M20" t="s">
        <v>51</v>
      </c>
      <c r="N20" t="s">
        <v>7182</v>
      </c>
      <c r="O20" t="s">
        <v>7179</v>
      </c>
      <c r="P20">
        <v>2</v>
      </c>
      <c r="Q20">
        <v>399</v>
      </c>
      <c r="R20">
        <v>0.35</v>
      </c>
      <c r="S20">
        <v>798</v>
      </c>
      <c r="T20">
        <v>279.29999999999995</v>
      </c>
      <c r="U20">
        <v>518.70000000000005</v>
      </c>
      <c r="V20">
        <v>136</v>
      </c>
      <c r="W20">
        <v>272</v>
      </c>
      <c r="X20">
        <v>60</v>
      </c>
      <c r="Y20">
        <v>186.70000000000005</v>
      </c>
      <c r="Z20">
        <v>0.35993830730672843</v>
      </c>
      <c r="AA20" t="s">
        <v>18</v>
      </c>
      <c r="AB20" s="1">
        <v>45493</v>
      </c>
      <c r="AC20">
        <v>3</v>
      </c>
      <c r="AD20" t="s">
        <v>7310</v>
      </c>
      <c r="AE20">
        <v>3</v>
      </c>
      <c r="AF20">
        <v>0</v>
      </c>
    </row>
    <row r="21" spans="1:32" x14ac:dyDescent="0.3">
      <c r="A21" t="s">
        <v>7062</v>
      </c>
      <c r="B21" s="1">
        <v>45490</v>
      </c>
      <c r="C21">
        <v>2024</v>
      </c>
      <c r="D21" s="1">
        <v>45474</v>
      </c>
      <c r="E21">
        <v>7</v>
      </c>
      <c r="F21" t="s">
        <v>5587</v>
      </c>
      <c r="G21" t="s">
        <v>7338</v>
      </c>
      <c r="H21" t="s">
        <v>14</v>
      </c>
      <c r="I21" t="s">
        <v>7232</v>
      </c>
      <c r="J21" t="s">
        <v>7221</v>
      </c>
      <c r="K21" t="s">
        <v>15</v>
      </c>
      <c r="L21" t="s">
        <v>16</v>
      </c>
      <c r="M21" t="s">
        <v>87</v>
      </c>
      <c r="N21" t="s">
        <v>7185</v>
      </c>
      <c r="O21" t="s">
        <v>7184</v>
      </c>
      <c r="P21">
        <v>4</v>
      </c>
      <c r="Q21">
        <v>1499</v>
      </c>
      <c r="R21">
        <v>0.4</v>
      </c>
      <c r="S21">
        <v>5996</v>
      </c>
      <c r="T21">
        <v>2398.4</v>
      </c>
      <c r="U21">
        <v>3597.6</v>
      </c>
      <c r="V21">
        <v>630</v>
      </c>
      <c r="W21">
        <v>2520</v>
      </c>
      <c r="X21">
        <v>60</v>
      </c>
      <c r="Y21">
        <v>1017.5999999999999</v>
      </c>
      <c r="Z21">
        <v>0.28285523682454966</v>
      </c>
      <c r="AA21" t="s">
        <v>18</v>
      </c>
      <c r="AB21" s="1">
        <v>45494</v>
      </c>
      <c r="AC21">
        <v>4</v>
      </c>
      <c r="AD21" t="s">
        <v>7310</v>
      </c>
      <c r="AE21">
        <v>3</v>
      </c>
      <c r="AF21">
        <v>0</v>
      </c>
    </row>
    <row r="22" spans="1:32" x14ac:dyDescent="0.3">
      <c r="A22" t="s">
        <v>1482</v>
      </c>
      <c r="B22" s="1">
        <v>45486</v>
      </c>
      <c r="C22">
        <v>2024</v>
      </c>
      <c r="D22" s="1">
        <v>45474</v>
      </c>
      <c r="E22">
        <v>7</v>
      </c>
      <c r="F22" t="s">
        <v>1108</v>
      </c>
      <c r="G22" t="s">
        <v>7339</v>
      </c>
      <c r="H22" t="s">
        <v>14</v>
      </c>
      <c r="I22" t="s">
        <v>7232</v>
      </c>
      <c r="J22" t="s">
        <v>7221</v>
      </c>
      <c r="K22" t="s">
        <v>15</v>
      </c>
      <c r="L22" t="s">
        <v>39</v>
      </c>
      <c r="M22" t="s">
        <v>423</v>
      </c>
      <c r="N22" t="s">
        <v>7203</v>
      </c>
      <c r="O22" t="s">
        <v>7200</v>
      </c>
      <c r="P22">
        <v>1</v>
      </c>
      <c r="Q22">
        <v>1799</v>
      </c>
      <c r="R22">
        <v>0.35</v>
      </c>
      <c r="S22">
        <v>1799</v>
      </c>
      <c r="T22">
        <v>629.65</v>
      </c>
      <c r="U22">
        <v>1169.3499999999999</v>
      </c>
      <c r="V22">
        <v>1079</v>
      </c>
      <c r="W22">
        <v>1079</v>
      </c>
      <c r="X22">
        <v>60</v>
      </c>
      <c r="Y22">
        <v>30.349999999999909</v>
      </c>
      <c r="Z22">
        <v>2.5954590156924712E-2</v>
      </c>
      <c r="AA22" t="s">
        <v>18</v>
      </c>
      <c r="AB22" s="1">
        <v>45491</v>
      </c>
      <c r="AC22">
        <v>5</v>
      </c>
      <c r="AD22" t="s">
        <v>7311</v>
      </c>
      <c r="AF22">
        <v>0</v>
      </c>
    </row>
    <row r="23" spans="1:32" x14ac:dyDescent="0.3">
      <c r="A23" t="s">
        <v>2282</v>
      </c>
      <c r="B23" s="1">
        <v>45480</v>
      </c>
      <c r="C23">
        <v>2024</v>
      </c>
      <c r="D23" s="1">
        <v>45474</v>
      </c>
      <c r="E23">
        <v>7</v>
      </c>
      <c r="F23" t="s">
        <v>2283</v>
      </c>
      <c r="G23" t="s">
        <v>7339</v>
      </c>
      <c r="H23" t="s">
        <v>14</v>
      </c>
      <c r="I23" t="s">
        <v>7232</v>
      </c>
      <c r="J23" t="s">
        <v>7221</v>
      </c>
      <c r="K23" t="s">
        <v>15</v>
      </c>
      <c r="L23" t="s">
        <v>50</v>
      </c>
      <c r="M23" t="s">
        <v>73</v>
      </c>
      <c r="N23" t="s">
        <v>7176</v>
      </c>
      <c r="O23" t="s">
        <v>7173</v>
      </c>
      <c r="P23">
        <v>1</v>
      </c>
      <c r="Q23">
        <v>299</v>
      </c>
      <c r="R23">
        <v>0</v>
      </c>
      <c r="S23">
        <v>299</v>
      </c>
      <c r="T23">
        <v>0</v>
      </c>
      <c r="U23">
        <v>299</v>
      </c>
      <c r="V23">
        <v>90</v>
      </c>
      <c r="W23">
        <v>90</v>
      </c>
      <c r="X23">
        <v>60</v>
      </c>
      <c r="Y23">
        <v>149</v>
      </c>
      <c r="Z23">
        <v>0.49832775919732442</v>
      </c>
      <c r="AA23" t="s">
        <v>18</v>
      </c>
      <c r="AB23" s="1">
        <v>45485</v>
      </c>
      <c r="AC23">
        <v>5</v>
      </c>
      <c r="AD23" t="s">
        <v>7311</v>
      </c>
      <c r="AE23">
        <v>5</v>
      </c>
      <c r="AF23">
        <v>0</v>
      </c>
    </row>
    <row r="24" spans="1:32" x14ac:dyDescent="0.3">
      <c r="A24" t="s">
        <v>2194</v>
      </c>
      <c r="B24" s="1">
        <v>45295</v>
      </c>
      <c r="C24">
        <v>2024</v>
      </c>
      <c r="D24" s="1">
        <v>45292</v>
      </c>
      <c r="E24">
        <v>1</v>
      </c>
      <c r="F24" t="s">
        <v>2195</v>
      </c>
      <c r="G24" t="s">
        <v>7338</v>
      </c>
      <c r="H24" t="s">
        <v>14</v>
      </c>
      <c r="I24" t="s">
        <v>7232</v>
      </c>
      <c r="J24" t="s">
        <v>7221</v>
      </c>
      <c r="K24" t="s">
        <v>15</v>
      </c>
      <c r="L24" t="s">
        <v>65</v>
      </c>
      <c r="M24" t="s">
        <v>152</v>
      </c>
      <c r="N24" t="s">
        <v>7207</v>
      </c>
      <c r="O24" t="s">
        <v>7205</v>
      </c>
      <c r="P24">
        <v>1</v>
      </c>
      <c r="Q24">
        <v>399</v>
      </c>
      <c r="R24">
        <v>0.3</v>
      </c>
      <c r="S24">
        <v>399</v>
      </c>
      <c r="T24">
        <v>119.69999999999999</v>
      </c>
      <c r="U24">
        <v>279.3</v>
      </c>
      <c r="V24">
        <v>128</v>
      </c>
      <c r="W24">
        <v>128</v>
      </c>
      <c r="X24">
        <v>60</v>
      </c>
      <c r="Y24">
        <v>91.300000000000011</v>
      </c>
      <c r="Z24">
        <v>0.32688865019692093</v>
      </c>
      <c r="AA24" t="s">
        <v>18</v>
      </c>
      <c r="AB24" s="1">
        <v>45298</v>
      </c>
      <c r="AC24">
        <v>3</v>
      </c>
      <c r="AD24" t="s">
        <v>7310</v>
      </c>
      <c r="AE24">
        <v>5</v>
      </c>
      <c r="AF24">
        <v>0</v>
      </c>
    </row>
    <row r="25" spans="1:32" x14ac:dyDescent="0.3">
      <c r="A25" t="s">
        <v>5667</v>
      </c>
      <c r="B25" s="1">
        <v>45479</v>
      </c>
      <c r="C25">
        <v>2024</v>
      </c>
      <c r="D25" s="1">
        <v>45474</v>
      </c>
      <c r="E25">
        <v>7</v>
      </c>
      <c r="F25" t="s">
        <v>2423</v>
      </c>
      <c r="G25" t="s">
        <v>7338</v>
      </c>
      <c r="H25" t="s">
        <v>14</v>
      </c>
      <c r="I25" t="s">
        <v>7232</v>
      </c>
      <c r="J25" t="s">
        <v>7221</v>
      </c>
      <c r="K25" t="s">
        <v>15</v>
      </c>
      <c r="L25" t="s">
        <v>39</v>
      </c>
      <c r="M25" t="s">
        <v>228</v>
      </c>
      <c r="N25" t="s">
        <v>7201</v>
      </c>
      <c r="O25" t="s">
        <v>7200</v>
      </c>
      <c r="P25">
        <v>2</v>
      </c>
      <c r="Q25">
        <v>899</v>
      </c>
      <c r="R25">
        <v>0</v>
      </c>
      <c r="S25">
        <v>1798</v>
      </c>
      <c r="T25">
        <v>0</v>
      </c>
      <c r="U25">
        <v>1798</v>
      </c>
      <c r="V25">
        <v>494</v>
      </c>
      <c r="W25">
        <v>988</v>
      </c>
      <c r="X25">
        <v>60</v>
      </c>
      <c r="Y25">
        <v>750</v>
      </c>
      <c r="Z25">
        <v>0.41713014460511677</v>
      </c>
      <c r="AA25" t="s">
        <v>18</v>
      </c>
      <c r="AB25" s="1">
        <v>45484</v>
      </c>
      <c r="AC25">
        <v>5</v>
      </c>
      <c r="AD25" t="s">
        <v>7311</v>
      </c>
      <c r="AE25">
        <v>3</v>
      </c>
      <c r="AF25">
        <v>0</v>
      </c>
    </row>
    <row r="26" spans="1:32" x14ac:dyDescent="0.3">
      <c r="A26" t="s">
        <v>6495</v>
      </c>
      <c r="B26" s="1">
        <v>45457</v>
      </c>
      <c r="C26">
        <v>2024</v>
      </c>
      <c r="D26" s="1">
        <v>45444</v>
      </c>
      <c r="E26">
        <v>6</v>
      </c>
      <c r="F26" t="s">
        <v>2536</v>
      </c>
      <c r="G26" t="s">
        <v>7338</v>
      </c>
      <c r="H26" t="s">
        <v>14</v>
      </c>
      <c r="I26" t="s">
        <v>7232</v>
      </c>
      <c r="J26" t="s">
        <v>7221</v>
      </c>
      <c r="K26" t="s">
        <v>15</v>
      </c>
      <c r="L26" t="s">
        <v>65</v>
      </c>
      <c r="M26" t="s">
        <v>160</v>
      </c>
      <c r="N26" t="s">
        <v>7175</v>
      </c>
      <c r="O26" t="s">
        <v>7173</v>
      </c>
      <c r="P26">
        <v>3</v>
      </c>
      <c r="Q26">
        <v>399</v>
      </c>
      <c r="R26">
        <v>0.15</v>
      </c>
      <c r="S26">
        <v>1197</v>
      </c>
      <c r="T26">
        <v>179.54999999999998</v>
      </c>
      <c r="U26">
        <v>1017.45</v>
      </c>
      <c r="V26">
        <v>112</v>
      </c>
      <c r="W26">
        <v>336</v>
      </c>
      <c r="X26">
        <v>60</v>
      </c>
      <c r="Y26">
        <v>621.45000000000005</v>
      </c>
      <c r="Z26">
        <v>0.61079168509509063</v>
      </c>
      <c r="AA26" t="s">
        <v>18</v>
      </c>
      <c r="AB26" s="1">
        <v>45463</v>
      </c>
      <c r="AC26">
        <v>6</v>
      </c>
      <c r="AD26" t="s">
        <v>7311</v>
      </c>
      <c r="AE26">
        <v>3</v>
      </c>
      <c r="AF26">
        <v>0</v>
      </c>
    </row>
    <row r="27" spans="1:32" x14ac:dyDescent="0.3">
      <c r="A27" t="s">
        <v>3176</v>
      </c>
      <c r="B27" s="1">
        <v>45449</v>
      </c>
      <c r="C27">
        <v>2024</v>
      </c>
      <c r="D27" s="1">
        <v>45444</v>
      </c>
      <c r="E27">
        <v>6</v>
      </c>
      <c r="F27" t="s">
        <v>3177</v>
      </c>
      <c r="G27" t="s">
        <v>7339</v>
      </c>
      <c r="H27" t="s">
        <v>14</v>
      </c>
      <c r="I27" t="s">
        <v>7232</v>
      </c>
      <c r="J27" t="s">
        <v>7221</v>
      </c>
      <c r="K27" t="s">
        <v>15</v>
      </c>
      <c r="L27" t="s">
        <v>50</v>
      </c>
      <c r="M27" t="s">
        <v>40</v>
      </c>
      <c r="N27" t="s">
        <v>7204</v>
      </c>
      <c r="O27" t="s">
        <v>7205</v>
      </c>
      <c r="P27">
        <v>1</v>
      </c>
      <c r="Q27">
        <v>499</v>
      </c>
      <c r="R27">
        <v>0</v>
      </c>
      <c r="S27">
        <v>499</v>
      </c>
      <c r="T27">
        <v>0</v>
      </c>
      <c r="U27">
        <v>499</v>
      </c>
      <c r="V27">
        <v>150</v>
      </c>
      <c r="W27">
        <v>150</v>
      </c>
      <c r="X27">
        <v>60</v>
      </c>
      <c r="Y27">
        <v>289</v>
      </c>
      <c r="Z27">
        <v>0.57915831663326656</v>
      </c>
      <c r="AA27" t="s">
        <v>2522</v>
      </c>
      <c r="AB27" s="1">
        <v>45454</v>
      </c>
      <c r="AC27">
        <v>5</v>
      </c>
      <c r="AD27" t="s">
        <v>7311</v>
      </c>
      <c r="AE27">
        <v>4</v>
      </c>
      <c r="AF27">
        <v>0</v>
      </c>
    </row>
    <row r="28" spans="1:32" x14ac:dyDescent="0.3">
      <c r="A28" t="s">
        <v>6486</v>
      </c>
      <c r="B28" s="1">
        <v>45430</v>
      </c>
      <c r="C28">
        <v>2024</v>
      </c>
      <c r="D28" s="1">
        <v>45413</v>
      </c>
      <c r="E28">
        <v>5</v>
      </c>
      <c r="F28" t="s">
        <v>4756</v>
      </c>
      <c r="G28" t="s">
        <v>7339</v>
      </c>
      <c r="H28" t="s">
        <v>14</v>
      </c>
      <c r="I28" t="s">
        <v>7232</v>
      </c>
      <c r="J28" t="s">
        <v>7221</v>
      </c>
      <c r="K28" t="s">
        <v>15</v>
      </c>
      <c r="L28" t="s">
        <v>50</v>
      </c>
      <c r="M28" t="s">
        <v>66</v>
      </c>
      <c r="N28" t="s">
        <v>7174</v>
      </c>
      <c r="O28" t="s">
        <v>7173</v>
      </c>
      <c r="P28">
        <v>3</v>
      </c>
      <c r="Q28">
        <v>449</v>
      </c>
      <c r="R28">
        <v>0.15</v>
      </c>
      <c r="S28">
        <v>1347</v>
      </c>
      <c r="T28">
        <v>202.04999999999998</v>
      </c>
      <c r="U28">
        <v>1144.95</v>
      </c>
      <c r="V28">
        <v>144</v>
      </c>
      <c r="W28">
        <v>432</v>
      </c>
      <c r="X28">
        <v>60</v>
      </c>
      <c r="Y28">
        <v>652.95000000000005</v>
      </c>
      <c r="Z28">
        <v>0.57028691209223115</v>
      </c>
      <c r="AA28" t="s">
        <v>18</v>
      </c>
      <c r="AB28" s="1">
        <v>45432</v>
      </c>
      <c r="AC28">
        <v>2</v>
      </c>
      <c r="AD28" t="s">
        <v>7309</v>
      </c>
      <c r="AF28">
        <v>0</v>
      </c>
    </row>
    <row r="29" spans="1:32" x14ac:dyDescent="0.3">
      <c r="A29" t="s">
        <v>110</v>
      </c>
      <c r="B29" s="1">
        <v>45413</v>
      </c>
      <c r="C29">
        <v>2024</v>
      </c>
      <c r="D29" s="1">
        <v>45413</v>
      </c>
      <c r="E29">
        <v>5</v>
      </c>
      <c r="F29" t="s">
        <v>111</v>
      </c>
      <c r="G29" t="s">
        <v>7339</v>
      </c>
      <c r="H29" t="s">
        <v>14</v>
      </c>
      <c r="I29" t="s">
        <v>7232</v>
      </c>
      <c r="J29" t="s">
        <v>7221</v>
      </c>
      <c r="K29" t="s">
        <v>15</v>
      </c>
      <c r="L29" t="s">
        <v>50</v>
      </c>
      <c r="M29" t="s">
        <v>73</v>
      </c>
      <c r="N29" t="s">
        <v>7176</v>
      </c>
      <c r="O29" t="s">
        <v>7173</v>
      </c>
      <c r="P29">
        <v>1</v>
      </c>
      <c r="Q29">
        <v>299</v>
      </c>
      <c r="R29">
        <v>0.05</v>
      </c>
      <c r="S29">
        <v>299</v>
      </c>
      <c r="T29">
        <v>14.950000000000001</v>
      </c>
      <c r="U29">
        <v>284.05</v>
      </c>
      <c r="V29">
        <v>90</v>
      </c>
      <c r="W29">
        <v>90</v>
      </c>
      <c r="X29">
        <v>60</v>
      </c>
      <c r="Y29">
        <v>134.05000000000001</v>
      </c>
      <c r="Z29">
        <v>0.47192395704981521</v>
      </c>
      <c r="AA29" t="s">
        <v>18</v>
      </c>
      <c r="AB29" s="1">
        <v>45417</v>
      </c>
      <c r="AC29">
        <v>4</v>
      </c>
      <c r="AD29" t="s">
        <v>7310</v>
      </c>
      <c r="AE29">
        <v>4</v>
      </c>
      <c r="AF29">
        <v>0</v>
      </c>
    </row>
    <row r="30" spans="1:32" x14ac:dyDescent="0.3">
      <c r="A30" t="s">
        <v>1221</v>
      </c>
      <c r="B30" s="1">
        <v>45407</v>
      </c>
      <c r="C30">
        <v>2024</v>
      </c>
      <c r="D30" s="1">
        <v>45383</v>
      </c>
      <c r="E30">
        <v>4</v>
      </c>
      <c r="F30" t="s">
        <v>1222</v>
      </c>
      <c r="G30" t="s">
        <v>7338</v>
      </c>
      <c r="H30" t="s">
        <v>14</v>
      </c>
      <c r="I30" t="s">
        <v>7232</v>
      </c>
      <c r="J30" t="s">
        <v>7221</v>
      </c>
      <c r="K30" t="s">
        <v>15</v>
      </c>
      <c r="L30" t="s">
        <v>16</v>
      </c>
      <c r="M30" t="s">
        <v>87</v>
      </c>
      <c r="N30" t="s">
        <v>7185</v>
      </c>
      <c r="O30" t="s">
        <v>7184</v>
      </c>
      <c r="P30">
        <v>1</v>
      </c>
      <c r="Q30">
        <v>1499</v>
      </c>
      <c r="R30">
        <v>0.25</v>
      </c>
      <c r="S30">
        <v>1499</v>
      </c>
      <c r="T30">
        <v>374.75</v>
      </c>
      <c r="U30">
        <v>1124.25</v>
      </c>
      <c r="V30">
        <v>630</v>
      </c>
      <c r="W30">
        <v>630</v>
      </c>
      <c r="X30">
        <v>60</v>
      </c>
      <c r="Y30">
        <v>434.25</v>
      </c>
      <c r="Z30">
        <v>0.38625750500333556</v>
      </c>
      <c r="AA30" t="s">
        <v>18</v>
      </c>
      <c r="AB30" s="1">
        <v>45410</v>
      </c>
      <c r="AC30">
        <v>3</v>
      </c>
      <c r="AD30" t="s">
        <v>7310</v>
      </c>
      <c r="AF30">
        <v>0</v>
      </c>
    </row>
    <row r="31" spans="1:32" x14ac:dyDescent="0.3">
      <c r="A31" t="s">
        <v>6945</v>
      </c>
      <c r="B31" s="1">
        <v>45395</v>
      </c>
      <c r="C31">
        <v>2024</v>
      </c>
      <c r="D31" s="1">
        <v>45383</v>
      </c>
      <c r="E31">
        <v>4</v>
      </c>
      <c r="F31" t="s">
        <v>58</v>
      </c>
      <c r="G31" t="s">
        <v>7339</v>
      </c>
      <c r="H31" t="s">
        <v>14</v>
      </c>
      <c r="I31" t="s">
        <v>7232</v>
      </c>
      <c r="J31" t="s">
        <v>7221</v>
      </c>
      <c r="K31" t="s">
        <v>15</v>
      </c>
      <c r="L31" t="s">
        <v>39</v>
      </c>
      <c r="M31" t="s">
        <v>173</v>
      </c>
      <c r="N31" t="s">
        <v>7199</v>
      </c>
      <c r="O31" t="s">
        <v>7200</v>
      </c>
      <c r="P31">
        <v>4</v>
      </c>
      <c r="Q31">
        <v>1999</v>
      </c>
      <c r="R31">
        <v>0.25</v>
      </c>
      <c r="S31">
        <v>7996</v>
      </c>
      <c r="T31">
        <v>1999</v>
      </c>
      <c r="U31">
        <v>5997</v>
      </c>
      <c r="V31">
        <v>1239</v>
      </c>
      <c r="W31">
        <v>4956</v>
      </c>
      <c r="X31">
        <v>60</v>
      </c>
      <c r="Y31">
        <v>981</v>
      </c>
      <c r="Z31">
        <v>0.16358179089544772</v>
      </c>
      <c r="AA31" t="s">
        <v>3495</v>
      </c>
      <c r="AB31" s="1">
        <v>45401</v>
      </c>
      <c r="AC31">
        <v>6</v>
      </c>
      <c r="AD31" t="s">
        <v>7311</v>
      </c>
      <c r="AE31">
        <v>3</v>
      </c>
      <c r="AF31">
        <v>0</v>
      </c>
    </row>
    <row r="32" spans="1:32" x14ac:dyDescent="0.3">
      <c r="A32" t="s">
        <v>3516</v>
      </c>
      <c r="B32" s="1">
        <v>45390</v>
      </c>
      <c r="C32">
        <v>2024</v>
      </c>
      <c r="D32" s="1">
        <v>45383</v>
      </c>
      <c r="E32">
        <v>4</v>
      </c>
      <c r="F32" t="s">
        <v>1454</v>
      </c>
      <c r="G32" t="s">
        <v>7339</v>
      </c>
      <c r="H32" t="s">
        <v>14</v>
      </c>
      <c r="I32" t="s">
        <v>7232</v>
      </c>
      <c r="J32" t="s">
        <v>7221</v>
      </c>
      <c r="K32" t="s">
        <v>15</v>
      </c>
      <c r="L32" t="s">
        <v>23</v>
      </c>
      <c r="M32" t="s">
        <v>125</v>
      </c>
      <c r="N32" t="s">
        <v>7194</v>
      </c>
      <c r="O32" t="s">
        <v>7195</v>
      </c>
      <c r="P32">
        <v>1</v>
      </c>
      <c r="Q32">
        <v>899</v>
      </c>
      <c r="R32">
        <v>0</v>
      </c>
      <c r="S32">
        <v>899</v>
      </c>
      <c r="T32">
        <v>0</v>
      </c>
      <c r="U32">
        <v>899</v>
      </c>
      <c r="V32">
        <v>378</v>
      </c>
      <c r="W32">
        <v>378</v>
      </c>
      <c r="X32">
        <v>60</v>
      </c>
      <c r="Y32">
        <v>461</v>
      </c>
      <c r="Z32">
        <v>0.51279199110122353</v>
      </c>
      <c r="AA32" t="s">
        <v>3495</v>
      </c>
      <c r="AB32" s="1">
        <v>45395</v>
      </c>
      <c r="AC32">
        <v>5</v>
      </c>
      <c r="AD32" t="s">
        <v>7311</v>
      </c>
      <c r="AE32">
        <v>4</v>
      </c>
      <c r="AF32">
        <v>0</v>
      </c>
    </row>
    <row r="33" spans="1:32" x14ac:dyDescent="0.3">
      <c r="A33" t="s">
        <v>5570</v>
      </c>
      <c r="B33" s="1">
        <v>45388</v>
      </c>
      <c r="C33">
        <v>2024</v>
      </c>
      <c r="D33" s="1">
        <v>45383</v>
      </c>
      <c r="E33">
        <v>4</v>
      </c>
      <c r="F33" t="s">
        <v>5571</v>
      </c>
      <c r="G33" t="s">
        <v>7338</v>
      </c>
      <c r="H33" t="s">
        <v>14</v>
      </c>
      <c r="I33" t="s">
        <v>7232</v>
      </c>
      <c r="J33" t="s">
        <v>7221</v>
      </c>
      <c r="K33" t="s">
        <v>15</v>
      </c>
      <c r="L33" t="s">
        <v>65</v>
      </c>
      <c r="M33" t="s">
        <v>152</v>
      </c>
      <c r="N33" t="s">
        <v>7207</v>
      </c>
      <c r="O33" t="s">
        <v>7205</v>
      </c>
      <c r="P33">
        <v>2</v>
      </c>
      <c r="Q33">
        <v>399</v>
      </c>
      <c r="R33">
        <v>0.45</v>
      </c>
      <c r="S33">
        <v>798</v>
      </c>
      <c r="T33">
        <v>359.1</v>
      </c>
      <c r="U33">
        <v>438.9</v>
      </c>
      <c r="V33">
        <v>128</v>
      </c>
      <c r="W33">
        <v>256</v>
      </c>
      <c r="X33">
        <v>60</v>
      </c>
      <c r="Y33">
        <v>122.89999999999998</v>
      </c>
      <c r="Z33">
        <v>0.28001822738664839</v>
      </c>
      <c r="AA33" t="s">
        <v>2522</v>
      </c>
      <c r="AB33" s="1">
        <v>45395</v>
      </c>
      <c r="AC33">
        <v>7</v>
      </c>
      <c r="AD33" t="s">
        <v>7311</v>
      </c>
      <c r="AE33">
        <v>4</v>
      </c>
      <c r="AF33">
        <v>0</v>
      </c>
    </row>
    <row r="34" spans="1:32" x14ac:dyDescent="0.3">
      <c r="A34" t="s">
        <v>6944</v>
      </c>
      <c r="B34" s="1">
        <v>45385</v>
      </c>
      <c r="C34">
        <v>2024</v>
      </c>
      <c r="D34" s="1">
        <v>45383</v>
      </c>
      <c r="E34">
        <v>4</v>
      </c>
      <c r="F34" t="s">
        <v>487</v>
      </c>
      <c r="G34" t="s">
        <v>7338</v>
      </c>
      <c r="H34" t="s">
        <v>14</v>
      </c>
      <c r="I34" t="s">
        <v>7232</v>
      </c>
      <c r="J34" t="s">
        <v>7221</v>
      </c>
      <c r="K34" t="s">
        <v>15</v>
      </c>
      <c r="L34" t="s">
        <v>23</v>
      </c>
      <c r="M34" t="s">
        <v>179</v>
      </c>
      <c r="N34" t="s">
        <v>7206</v>
      </c>
      <c r="O34" t="s">
        <v>7205</v>
      </c>
      <c r="P34">
        <v>4</v>
      </c>
      <c r="Q34">
        <v>2299</v>
      </c>
      <c r="R34">
        <v>0.4</v>
      </c>
      <c r="S34">
        <v>9196</v>
      </c>
      <c r="T34">
        <v>3678.4</v>
      </c>
      <c r="U34">
        <v>5517.6</v>
      </c>
      <c r="V34">
        <v>1333</v>
      </c>
      <c r="W34">
        <v>5332</v>
      </c>
      <c r="X34">
        <v>60</v>
      </c>
      <c r="Y34">
        <v>125.60000000000036</v>
      </c>
      <c r="Z34">
        <v>2.276352037117594E-2</v>
      </c>
      <c r="AA34" t="s">
        <v>2522</v>
      </c>
      <c r="AB34" s="1">
        <v>45389</v>
      </c>
      <c r="AC34">
        <v>4</v>
      </c>
      <c r="AD34" t="s">
        <v>7310</v>
      </c>
      <c r="AE34">
        <v>4</v>
      </c>
      <c r="AF34">
        <v>0</v>
      </c>
    </row>
    <row r="35" spans="1:32" x14ac:dyDescent="0.3">
      <c r="A35" t="s">
        <v>6046</v>
      </c>
      <c r="B35" s="1">
        <v>45385</v>
      </c>
      <c r="C35">
        <v>2024</v>
      </c>
      <c r="D35" s="1">
        <v>45383</v>
      </c>
      <c r="E35">
        <v>4</v>
      </c>
      <c r="F35" t="s">
        <v>883</v>
      </c>
      <c r="G35" t="s">
        <v>7338</v>
      </c>
      <c r="H35" t="s">
        <v>14</v>
      </c>
      <c r="I35" t="s">
        <v>7232</v>
      </c>
      <c r="J35" t="s">
        <v>7221</v>
      </c>
      <c r="K35" t="s">
        <v>15</v>
      </c>
      <c r="L35" t="s">
        <v>65</v>
      </c>
      <c r="M35" t="s">
        <v>24</v>
      </c>
      <c r="N35" t="s">
        <v>7197</v>
      </c>
      <c r="O35" t="s">
        <v>7195</v>
      </c>
      <c r="P35">
        <v>2</v>
      </c>
      <c r="Q35">
        <v>699</v>
      </c>
      <c r="R35">
        <v>0.2</v>
      </c>
      <c r="S35">
        <v>1398</v>
      </c>
      <c r="T35">
        <v>279.60000000000002</v>
      </c>
      <c r="U35">
        <v>1118.4000000000001</v>
      </c>
      <c r="V35">
        <v>245</v>
      </c>
      <c r="W35">
        <v>490</v>
      </c>
      <c r="X35">
        <v>60</v>
      </c>
      <c r="Y35">
        <v>568.40000000000009</v>
      </c>
      <c r="Z35">
        <v>0.50822603719599435</v>
      </c>
      <c r="AA35" t="s">
        <v>18</v>
      </c>
      <c r="AB35" s="1">
        <v>45388</v>
      </c>
      <c r="AC35">
        <v>3</v>
      </c>
      <c r="AD35" t="s">
        <v>7310</v>
      </c>
      <c r="AE35">
        <v>4</v>
      </c>
      <c r="AF35">
        <v>0</v>
      </c>
    </row>
    <row r="36" spans="1:32" x14ac:dyDescent="0.3">
      <c r="A36" t="s">
        <v>4339</v>
      </c>
      <c r="B36" s="1">
        <v>45372</v>
      </c>
      <c r="C36">
        <v>2024</v>
      </c>
      <c r="D36" s="1">
        <v>45352</v>
      </c>
      <c r="E36">
        <v>3</v>
      </c>
      <c r="F36" t="s">
        <v>843</v>
      </c>
      <c r="G36" t="s">
        <v>7339</v>
      </c>
      <c r="H36" t="s">
        <v>14</v>
      </c>
      <c r="I36" t="s">
        <v>7232</v>
      </c>
      <c r="J36" t="s">
        <v>7221</v>
      </c>
      <c r="K36" t="s">
        <v>15</v>
      </c>
      <c r="L36" t="s">
        <v>65</v>
      </c>
      <c r="M36" t="s">
        <v>92</v>
      </c>
      <c r="N36" t="s">
        <v>7192</v>
      </c>
      <c r="O36" t="s">
        <v>7190</v>
      </c>
      <c r="P36">
        <v>1</v>
      </c>
      <c r="Q36">
        <v>999</v>
      </c>
      <c r="R36">
        <v>0.1</v>
      </c>
      <c r="S36">
        <v>999</v>
      </c>
      <c r="T36">
        <v>99.9</v>
      </c>
      <c r="U36">
        <v>899.1</v>
      </c>
      <c r="V36">
        <v>400</v>
      </c>
      <c r="W36">
        <v>400</v>
      </c>
      <c r="X36">
        <v>60</v>
      </c>
      <c r="Y36">
        <v>439.1</v>
      </c>
      <c r="Z36">
        <v>0.48837726615504395</v>
      </c>
      <c r="AA36" t="s">
        <v>4074</v>
      </c>
      <c r="AB36" s="1">
        <v>45378</v>
      </c>
      <c r="AC36">
        <v>6</v>
      </c>
      <c r="AD36" t="s">
        <v>7311</v>
      </c>
      <c r="AE36">
        <v>4</v>
      </c>
      <c r="AF36">
        <v>0</v>
      </c>
    </row>
    <row r="37" spans="1:32" x14ac:dyDescent="0.3">
      <c r="A37" t="s">
        <v>5659</v>
      </c>
      <c r="B37" s="1">
        <v>45370</v>
      </c>
      <c r="C37">
        <v>2024</v>
      </c>
      <c r="D37" s="1">
        <v>45352</v>
      </c>
      <c r="E37">
        <v>3</v>
      </c>
      <c r="F37" t="s">
        <v>2884</v>
      </c>
      <c r="G37" t="s">
        <v>7338</v>
      </c>
      <c r="H37" t="s">
        <v>14</v>
      </c>
      <c r="I37" t="s">
        <v>7232</v>
      </c>
      <c r="J37" t="s">
        <v>7221</v>
      </c>
      <c r="K37" t="s">
        <v>15</v>
      </c>
      <c r="L37" t="s">
        <v>16</v>
      </c>
      <c r="M37" t="s">
        <v>255</v>
      </c>
      <c r="N37" t="s">
        <v>7183</v>
      </c>
      <c r="O37" t="s">
        <v>7184</v>
      </c>
      <c r="P37">
        <v>2</v>
      </c>
      <c r="Q37">
        <v>799</v>
      </c>
      <c r="R37">
        <v>0.1</v>
      </c>
      <c r="S37">
        <v>1598</v>
      </c>
      <c r="T37">
        <v>159.80000000000001</v>
      </c>
      <c r="U37">
        <v>1438.2</v>
      </c>
      <c r="V37">
        <v>320</v>
      </c>
      <c r="W37">
        <v>640</v>
      </c>
      <c r="X37">
        <v>60</v>
      </c>
      <c r="Y37">
        <v>738.2</v>
      </c>
      <c r="Z37">
        <v>0.51328048950076488</v>
      </c>
      <c r="AA37" t="s">
        <v>18</v>
      </c>
      <c r="AB37" s="1">
        <v>45375</v>
      </c>
      <c r="AC37">
        <v>5</v>
      </c>
      <c r="AD37" t="s">
        <v>7311</v>
      </c>
      <c r="AE37">
        <v>3</v>
      </c>
      <c r="AF37">
        <v>0</v>
      </c>
    </row>
    <row r="38" spans="1:32" x14ac:dyDescent="0.3">
      <c r="A38" t="s">
        <v>6044</v>
      </c>
      <c r="B38" s="1">
        <v>45352</v>
      </c>
      <c r="C38">
        <v>2024</v>
      </c>
      <c r="D38" s="1">
        <v>45352</v>
      </c>
      <c r="E38">
        <v>3</v>
      </c>
      <c r="F38" t="s">
        <v>2260</v>
      </c>
      <c r="G38" t="s">
        <v>7338</v>
      </c>
      <c r="H38" t="s">
        <v>14</v>
      </c>
      <c r="I38" t="s">
        <v>7232</v>
      </c>
      <c r="J38" t="s">
        <v>7221</v>
      </c>
      <c r="K38" t="s">
        <v>15</v>
      </c>
      <c r="L38" t="s">
        <v>65</v>
      </c>
      <c r="M38" t="s">
        <v>56</v>
      </c>
      <c r="N38" t="s">
        <v>7172</v>
      </c>
      <c r="O38" t="s">
        <v>7173</v>
      </c>
      <c r="P38">
        <v>2</v>
      </c>
      <c r="Q38">
        <v>599</v>
      </c>
      <c r="R38">
        <v>0.2</v>
      </c>
      <c r="S38">
        <v>1198</v>
      </c>
      <c r="T38">
        <v>239.60000000000002</v>
      </c>
      <c r="U38">
        <v>958.4</v>
      </c>
      <c r="V38">
        <v>180</v>
      </c>
      <c r="W38">
        <v>360</v>
      </c>
      <c r="X38">
        <v>60</v>
      </c>
      <c r="Y38">
        <v>538.4</v>
      </c>
      <c r="Z38">
        <v>0.56176961602671116</v>
      </c>
      <c r="AA38" t="s">
        <v>18</v>
      </c>
      <c r="AB38" s="1">
        <v>45355</v>
      </c>
      <c r="AC38">
        <v>3</v>
      </c>
      <c r="AD38" t="s">
        <v>7310</v>
      </c>
      <c r="AE38">
        <v>4</v>
      </c>
      <c r="AF38">
        <v>0</v>
      </c>
    </row>
    <row r="39" spans="1:32" x14ac:dyDescent="0.3">
      <c r="A39" t="s">
        <v>1329</v>
      </c>
      <c r="B39" s="1">
        <v>45323</v>
      </c>
      <c r="C39">
        <v>2024</v>
      </c>
      <c r="D39" s="1">
        <v>45323</v>
      </c>
      <c r="E39">
        <v>2</v>
      </c>
      <c r="F39" t="s">
        <v>1330</v>
      </c>
      <c r="G39" t="s">
        <v>7338</v>
      </c>
      <c r="H39" t="s">
        <v>14</v>
      </c>
      <c r="I39" t="s">
        <v>7232</v>
      </c>
      <c r="J39" t="s">
        <v>7221</v>
      </c>
      <c r="K39" t="s">
        <v>15</v>
      </c>
      <c r="L39" t="s">
        <v>23</v>
      </c>
      <c r="M39" t="s">
        <v>40</v>
      </c>
      <c r="N39" t="s">
        <v>7204</v>
      </c>
      <c r="O39" t="s">
        <v>7205</v>
      </c>
      <c r="P39">
        <v>1</v>
      </c>
      <c r="Q39">
        <v>499</v>
      </c>
      <c r="R39">
        <v>0.05</v>
      </c>
      <c r="S39">
        <v>499</v>
      </c>
      <c r="T39">
        <v>24.950000000000003</v>
      </c>
      <c r="U39">
        <v>474.05</v>
      </c>
      <c r="V39">
        <v>150</v>
      </c>
      <c r="W39">
        <v>150</v>
      </c>
      <c r="X39">
        <v>60</v>
      </c>
      <c r="Y39">
        <v>264.05</v>
      </c>
      <c r="Z39">
        <v>0.55700875435080688</v>
      </c>
      <c r="AA39" t="s">
        <v>18</v>
      </c>
      <c r="AB39" s="1">
        <v>45328</v>
      </c>
      <c r="AC39">
        <v>5</v>
      </c>
      <c r="AD39" t="s">
        <v>7311</v>
      </c>
      <c r="AF39">
        <v>0</v>
      </c>
    </row>
    <row r="40" spans="1:32" x14ac:dyDescent="0.3">
      <c r="A40" t="s">
        <v>436</v>
      </c>
      <c r="B40" s="1">
        <v>45321</v>
      </c>
      <c r="C40">
        <v>2024</v>
      </c>
      <c r="D40" s="1">
        <v>45292</v>
      </c>
      <c r="E40">
        <v>1</v>
      </c>
      <c r="F40" t="s">
        <v>86</v>
      </c>
      <c r="G40" t="s">
        <v>7338</v>
      </c>
      <c r="H40" t="s">
        <v>14</v>
      </c>
      <c r="I40" t="s">
        <v>7232</v>
      </c>
      <c r="J40" t="s">
        <v>7221</v>
      </c>
      <c r="K40" t="s">
        <v>15</v>
      </c>
      <c r="L40" t="s">
        <v>65</v>
      </c>
      <c r="M40" t="s">
        <v>45</v>
      </c>
      <c r="N40" t="s">
        <v>7180</v>
      </c>
      <c r="O40" t="s">
        <v>7179</v>
      </c>
      <c r="P40">
        <v>1</v>
      </c>
      <c r="Q40">
        <v>449</v>
      </c>
      <c r="R40">
        <v>0.05</v>
      </c>
      <c r="S40">
        <v>449</v>
      </c>
      <c r="T40">
        <v>22.450000000000003</v>
      </c>
      <c r="U40">
        <v>426.55</v>
      </c>
      <c r="V40">
        <v>148</v>
      </c>
      <c r="W40">
        <v>148</v>
      </c>
      <c r="X40">
        <v>60</v>
      </c>
      <c r="Y40">
        <v>218.55</v>
      </c>
      <c r="Z40">
        <v>0.51236666275934828</v>
      </c>
      <c r="AA40" t="s">
        <v>18</v>
      </c>
      <c r="AB40" s="1">
        <v>45324</v>
      </c>
      <c r="AC40">
        <v>3</v>
      </c>
      <c r="AD40" t="s">
        <v>7310</v>
      </c>
      <c r="AE40">
        <v>4</v>
      </c>
      <c r="AF40">
        <v>0</v>
      </c>
    </row>
    <row r="41" spans="1:32" x14ac:dyDescent="0.3">
      <c r="A41" t="s">
        <v>3146</v>
      </c>
      <c r="B41" s="1">
        <v>45319</v>
      </c>
      <c r="C41">
        <v>2024</v>
      </c>
      <c r="D41" s="1">
        <v>45292</v>
      </c>
      <c r="E41">
        <v>1</v>
      </c>
      <c r="F41" t="s">
        <v>573</v>
      </c>
      <c r="G41" t="s">
        <v>7338</v>
      </c>
      <c r="H41" t="s">
        <v>14</v>
      </c>
      <c r="I41" t="s">
        <v>7232</v>
      </c>
      <c r="J41" t="s">
        <v>7221</v>
      </c>
      <c r="K41" t="s">
        <v>15</v>
      </c>
      <c r="L41" t="s">
        <v>16</v>
      </c>
      <c r="M41" t="s">
        <v>255</v>
      </c>
      <c r="N41" t="s">
        <v>7183</v>
      </c>
      <c r="O41" t="s">
        <v>7184</v>
      </c>
      <c r="P41">
        <v>1</v>
      </c>
      <c r="Q41">
        <v>799</v>
      </c>
      <c r="R41">
        <v>0.1</v>
      </c>
      <c r="S41">
        <v>799</v>
      </c>
      <c r="T41">
        <v>79.900000000000006</v>
      </c>
      <c r="U41">
        <v>719.1</v>
      </c>
      <c r="V41">
        <v>320</v>
      </c>
      <c r="W41">
        <v>320</v>
      </c>
      <c r="X41">
        <v>120</v>
      </c>
      <c r="Y41">
        <v>279.10000000000002</v>
      </c>
      <c r="Z41">
        <v>0.38812404394381866</v>
      </c>
      <c r="AA41" t="s">
        <v>2522</v>
      </c>
      <c r="AB41" s="1">
        <v>45323</v>
      </c>
      <c r="AC41">
        <v>4</v>
      </c>
      <c r="AD41" t="s">
        <v>7310</v>
      </c>
      <c r="AE41">
        <v>4</v>
      </c>
      <c r="AF41">
        <v>1</v>
      </c>
    </row>
    <row r="42" spans="1:32" x14ac:dyDescent="0.3">
      <c r="A42" t="s">
        <v>4211</v>
      </c>
      <c r="B42" s="1">
        <v>45317</v>
      </c>
      <c r="C42">
        <v>2024</v>
      </c>
      <c r="D42" s="1">
        <v>45292</v>
      </c>
      <c r="E42">
        <v>1</v>
      </c>
      <c r="F42" t="s">
        <v>3688</v>
      </c>
      <c r="G42" t="s">
        <v>7338</v>
      </c>
      <c r="H42" t="s">
        <v>14</v>
      </c>
      <c r="I42" t="s">
        <v>7232</v>
      </c>
      <c r="J42" t="s">
        <v>7221</v>
      </c>
      <c r="K42" t="s">
        <v>15</v>
      </c>
      <c r="L42" t="s">
        <v>65</v>
      </c>
      <c r="M42" t="s">
        <v>92</v>
      </c>
      <c r="N42" t="s">
        <v>7192</v>
      </c>
      <c r="O42" t="s">
        <v>7190</v>
      </c>
      <c r="P42">
        <v>1</v>
      </c>
      <c r="Q42">
        <v>999</v>
      </c>
      <c r="R42">
        <v>0</v>
      </c>
      <c r="S42">
        <v>999</v>
      </c>
      <c r="T42">
        <v>0</v>
      </c>
      <c r="U42">
        <v>999</v>
      </c>
      <c r="V42">
        <v>400</v>
      </c>
      <c r="W42">
        <v>400</v>
      </c>
      <c r="X42">
        <v>120</v>
      </c>
      <c r="Y42">
        <v>479</v>
      </c>
      <c r="Z42">
        <v>0.4794794794794795</v>
      </c>
      <c r="AA42" t="s">
        <v>4074</v>
      </c>
      <c r="AB42" s="1">
        <v>45322</v>
      </c>
      <c r="AC42">
        <v>5</v>
      </c>
      <c r="AD42" t="s">
        <v>7311</v>
      </c>
      <c r="AF42">
        <v>1</v>
      </c>
    </row>
    <row r="43" spans="1:32" x14ac:dyDescent="0.3">
      <c r="A43" t="s">
        <v>3843</v>
      </c>
      <c r="B43" s="1">
        <v>45309</v>
      </c>
      <c r="C43">
        <v>2024</v>
      </c>
      <c r="D43" s="1">
        <v>45292</v>
      </c>
      <c r="E43">
        <v>1</v>
      </c>
      <c r="F43" t="s">
        <v>3844</v>
      </c>
      <c r="G43" t="s">
        <v>7338</v>
      </c>
      <c r="H43" t="s">
        <v>14</v>
      </c>
      <c r="I43" t="s">
        <v>7232</v>
      </c>
      <c r="J43" t="s">
        <v>7221</v>
      </c>
      <c r="K43" t="s">
        <v>15</v>
      </c>
      <c r="L43" t="s">
        <v>23</v>
      </c>
      <c r="M43" t="s">
        <v>160</v>
      </c>
      <c r="N43" t="s">
        <v>7175</v>
      </c>
      <c r="O43" t="s">
        <v>7173</v>
      </c>
      <c r="P43">
        <v>1</v>
      </c>
      <c r="Q43">
        <v>399</v>
      </c>
      <c r="R43">
        <v>0.2</v>
      </c>
      <c r="S43">
        <v>399</v>
      </c>
      <c r="T43">
        <v>79.800000000000011</v>
      </c>
      <c r="U43">
        <v>319.2</v>
      </c>
      <c r="V43">
        <v>112</v>
      </c>
      <c r="W43">
        <v>112</v>
      </c>
      <c r="X43">
        <v>120</v>
      </c>
      <c r="Y43">
        <v>87.199999999999989</v>
      </c>
      <c r="Z43">
        <v>0.27318295739348369</v>
      </c>
      <c r="AA43" t="s">
        <v>3495</v>
      </c>
      <c r="AB43" s="1">
        <v>45312</v>
      </c>
      <c r="AC43">
        <v>3</v>
      </c>
      <c r="AD43" t="s">
        <v>7310</v>
      </c>
      <c r="AE43">
        <v>3</v>
      </c>
      <c r="AF43">
        <v>1</v>
      </c>
    </row>
    <row r="44" spans="1:32" x14ac:dyDescent="0.3">
      <c r="A44" t="s">
        <v>5848</v>
      </c>
      <c r="B44" s="1">
        <v>45309</v>
      </c>
      <c r="C44">
        <v>2024</v>
      </c>
      <c r="D44" s="1">
        <v>45292</v>
      </c>
      <c r="E44">
        <v>1</v>
      </c>
      <c r="F44" t="s">
        <v>4793</v>
      </c>
      <c r="G44" t="s">
        <v>7338</v>
      </c>
      <c r="H44" t="s">
        <v>14</v>
      </c>
      <c r="I44" t="s">
        <v>7232</v>
      </c>
      <c r="J44" t="s">
        <v>7221</v>
      </c>
      <c r="K44" t="s">
        <v>15</v>
      </c>
      <c r="L44" t="s">
        <v>65</v>
      </c>
      <c r="M44" t="s">
        <v>78</v>
      </c>
      <c r="N44" t="s">
        <v>7177</v>
      </c>
      <c r="O44" t="s">
        <v>7173</v>
      </c>
      <c r="P44">
        <v>2</v>
      </c>
      <c r="Q44">
        <v>799</v>
      </c>
      <c r="R44">
        <v>0.15</v>
      </c>
      <c r="S44">
        <v>1598</v>
      </c>
      <c r="T44">
        <v>239.7</v>
      </c>
      <c r="U44">
        <v>1358.3</v>
      </c>
      <c r="V44">
        <v>216</v>
      </c>
      <c r="W44">
        <v>432</v>
      </c>
      <c r="X44">
        <v>60</v>
      </c>
      <c r="Y44">
        <v>866.3</v>
      </c>
      <c r="Z44">
        <v>0.63778252227048515</v>
      </c>
      <c r="AA44" t="s">
        <v>18</v>
      </c>
      <c r="AB44" s="1">
        <v>45315</v>
      </c>
      <c r="AC44">
        <v>6</v>
      </c>
      <c r="AD44" t="s">
        <v>7311</v>
      </c>
      <c r="AF44">
        <v>0</v>
      </c>
    </row>
    <row r="45" spans="1:32" x14ac:dyDescent="0.3">
      <c r="A45" t="s">
        <v>4321</v>
      </c>
      <c r="B45" s="1">
        <v>45303</v>
      </c>
      <c r="C45">
        <v>2024</v>
      </c>
      <c r="D45" s="1">
        <v>45292</v>
      </c>
      <c r="E45">
        <v>1</v>
      </c>
      <c r="F45" t="s">
        <v>2926</v>
      </c>
      <c r="G45" t="s">
        <v>7338</v>
      </c>
      <c r="H45" t="s">
        <v>14</v>
      </c>
      <c r="I45" t="s">
        <v>7232</v>
      </c>
      <c r="J45" t="s">
        <v>7221</v>
      </c>
      <c r="K45" t="s">
        <v>15</v>
      </c>
      <c r="L45" t="s">
        <v>65</v>
      </c>
      <c r="M45" t="s">
        <v>148</v>
      </c>
      <c r="N45" t="s">
        <v>7202</v>
      </c>
      <c r="O45" t="s">
        <v>7200</v>
      </c>
      <c r="P45">
        <v>1</v>
      </c>
      <c r="Q45">
        <v>499</v>
      </c>
      <c r="R45">
        <v>0.1</v>
      </c>
      <c r="S45">
        <v>499</v>
      </c>
      <c r="T45">
        <v>49.900000000000006</v>
      </c>
      <c r="U45">
        <v>449.1</v>
      </c>
      <c r="V45">
        <v>200</v>
      </c>
      <c r="W45">
        <v>200</v>
      </c>
      <c r="X45">
        <v>60</v>
      </c>
      <c r="Y45">
        <v>189.10000000000002</v>
      </c>
      <c r="Z45">
        <v>0.42106435092407041</v>
      </c>
      <c r="AA45" t="s">
        <v>4074</v>
      </c>
      <c r="AB45" s="1">
        <v>45308</v>
      </c>
      <c r="AC45">
        <v>5</v>
      </c>
      <c r="AD45" t="s">
        <v>7311</v>
      </c>
      <c r="AE45">
        <v>4</v>
      </c>
      <c r="AF45">
        <v>0</v>
      </c>
    </row>
    <row r="46" spans="1:32" x14ac:dyDescent="0.3">
      <c r="A46" t="s">
        <v>6455</v>
      </c>
      <c r="B46" s="1">
        <v>45302</v>
      </c>
      <c r="C46">
        <v>2024</v>
      </c>
      <c r="D46" s="1">
        <v>45292</v>
      </c>
      <c r="E46">
        <v>1</v>
      </c>
      <c r="F46" t="s">
        <v>617</v>
      </c>
      <c r="G46" t="s">
        <v>7338</v>
      </c>
      <c r="H46" t="s">
        <v>14</v>
      </c>
      <c r="I46" t="s">
        <v>7232</v>
      </c>
      <c r="J46" t="s">
        <v>7221</v>
      </c>
      <c r="K46" t="s">
        <v>15</v>
      </c>
      <c r="L46" t="s">
        <v>23</v>
      </c>
      <c r="M46" t="s">
        <v>61</v>
      </c>
      <c r="N46" t="s">
        <v>7208</v>
      </c>
      <c r="O46" t="s">
        <v>7205</v>
      </c>
      <c r="P46">
        <v>3</v>
      </c>
      <c r="Q46">
        <v>699</v>
      </c>
      <c r="R46">
        <v>0.3</v>
      </c>
      <c r="S46">
        <v>2097</v>
      </c>
      <c r="T46">
        <v>629.1</v>
      </c>
      <c r="U46">
        <v>1467.9</v>
      </c>
      <c r="V46">
        <v>238</v>
      </c>
      <c r="W46">
        <v>714</v>
      </c>
      <c r="X46">
        <v>60</v>
      </c>
      <c r="Y46">
        <v>693.90000000000009</v>
      </c>
      <c r="Z46">
        <v>0.47271612507664013</v>
      </c>
      <c r="AA46" t="s">
        <v>18</v>
      </c>
      <c r="AB46" s="1">
        <v>45307</v>
      </c>
      <c r="AC46">
        <v>5</v>
      </c>
      <c r="AD46" t="s">
        <v>7311</v>
      </c>
      <c r="AE46">
        <v>2</v>
      </c>
      <c r="AF46">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4DDDD-097C-43FE-9A10-8CD22D7F4542}">
  <dimension ref="A1:BJ227"/>
  <sheetViews>
    <sheetView topLeftCell="A25" zoomScaleNormal="100" workbookViewId="0">
      <selection activeCell="B26" sqref="B26"/>
    </sheetView>
  </sheetViews>
  <sheetFormatPr defaultColWidth="15.5546875" defaultRowHeight="14.4" x14ac:dyDescent="0.3"/>
  <sheetData>
    <row r="1" spans="1:6" ht="31.2" x14ac:dyDescent="0.6">
      <c r="A1" s="12" t="s">
        <v>7267</v>
      </c>
    </row>
    <row r="3" spans="1:6" x14ac:dyDescent="0.3">
      <c r="A3" s="6" t="s">
        <v>7268</v>
      </c>
    </row>
    <row r="4" spans="1:6" x14ac:dyDescent="0.3">
      <c r="A4" t="s">
        <v>7269</v>
      </c>
      <c r="B4" t="str">
        <f>IF(OR(selYear="All",selYear=""),"&lt;&gt;",selYear)</f>
        <v>&lt;&gt;</v>
      </c>
    </row>
    <row r="5" spans="1:6" x14ac:dyDescent="0.3">
      <c r="A5" t="s">
        <v>7270</v>
      </c>
      <c r="B5" t="str">
        <f>IF(OR(selRegion="All",selRegion=""),"&lt;&gt;",selRegion)</f>
        <v>&lt;&gt;</v>
      </c>
    </row>
    <row r="6" spans="1:6" x14ac:dyDescent="0.3">
      <c r="A6" t="s">
        <v>7271</v>
      </c>
      <c r="B6" t="str">
        <f>IF(OR(selChannel="All",selChannel=""),"&lt;&gt;",selChannel)</f>
        <v>&lt;&gt;</v>
      </c>
    </row>
    <row r="7" spans="1:6" x14ac:dyDescent="0.3">
      <c r="A7" t="s">
        <v>7272</v>
      </c>
      <c r="B7" t="str">
        <f>IF(OR(selCategory="All",selCategory=""),"&lt;&gt;",selCategory)</f>
        <v>&lt;&gt;</v>
      </c>
    </row>
    <row r="9" spans="1:6" x14ac:dyDescent="0.3">
      <c r="A9" s="13" t="s">
        <v>7273</v>
      </c>
    </row>
    <row r="10" spans="1:6" x14ac:dyDescent="0.3">
      <c r="A10" s="14" t="s">
        <v>7274</v>
      </c>
      <c r="B10" s="14" t="s">
        <v>7275</v>
      </c>
      <c r="C10" s="14">
        <v>2024</v>
      </c>
      <c r="D10" s="14">
        <v>2025</v>
      </c>
      <c r="E10" s="14" t="s">
        <v>7278</v>
      </c>
      <c r="F10" s="27"/>
    </row>
    <row r="11" spans="1:6" ht="15" x14ac:dyDescent="0.35">
      <c r="A11" t="s">
        <v>7279</v>
      </c>
      <c r="B11" s="3">
        <f>SUMIFS(Net_Revenue,Year,cYear,Region,cRegion,Sales_Channel,cChannel,Category,cCat)</f>
        <v>5156142.4500000011</v>
      </c>
      <c r="C11" s="3">
        <f>SUMIFS(Net_Revenue,Year,C$10,Region,cRegion,Sales_Channel,cChannel,Category,cCat)</f>
        <v>2256636.5000000033</v>
      </c>
      <c r="D11" s="3">
        <f>SUMIFS(Net_Revenue,Year,D$10,Region,cRegion,Sales_Channel,cChannel,Category,cCat)</f>
        <v>2899505.9500000118</v>
      </c>
      <c r="E11" s="8">
        <f>IF(C11=0,"",D11/C11-1)</f>
        <v>0.28487948768000848</v>
      </c>
      <c r="F11" s="28"/>
    </row>
    <row r="12" spans="1:6" ht="15" x14ac:dyDescent="0.35">
      <c r="A12" t="s">
        <v>7248</v>
      </c>
      <c r="B12" s="3">
        <f>SUMIFS(Profit,Year,cYear,Region,cRegion,Sales_Channel,cChannel,Category,cCat)</f>
        <v>2083254.4500000053</v>
      </c>
      <c r="C12" s="3">
        <f>SUMIFS(Profit,Year,C$10,Region,cRegion,Sales_Channel,cChannel,Category,cCat)</f>
        <v>908603.49999999488</v>
      </c>
      <c r="D12" s="3">
        <f>SUMIFS(Profit,Year,D$10,Region,cRegion,Sales_Channel,cChannel,Category,cCat)</f>
        <v>1174650.949999999</v>
      </c>
      <c r="E12" s="8">
        <f>IF(C12=0,"",D12/C12-1)</f>
        <v>0.29280918464435324</v>
      </c>
      <c r="F12" s="28"/>
    </row>
    <row r="13" spans="1:6" ht="15" x14ac:dyDescent="0.35">
      <c r="A13" t="s">
        <v>7249</v>
      </c>
      <c r="B13" s="4">
        <f>IFERROR(B12/B11,0)</f>
        <v>0.40403353285943544</v>
      </c>
      <c r="C13" s="4">
        <f>IFERROR(C12/C11,0)</f>
        <v>0.40263617999619944</v>
      </c>
      <c r="D13" s="4">
        <f>IFERROR(D12/D11,0)</f>
        <v>0.40512106898763017</v>
      </c>
      <c r="E13" s="8">
        <f>D13-C13</f>
        <v>2.4848889914307337E-3</v>
      </c>
      <c r="F13" s="28"/>
    </row>
    <row r="14" spans="1:6" ht="15" x14ac:dyDescent="0.35">
      <c r="A14" t="s">
        <v>7259</v>
      </c>
      <c r="B14" s="29">
        <f>COUNTIFS(Year,cYear,Region,cRegion,Sales_Channel,cChannel,Category,cCat)</f>
        <v>4833</v>
      </c>
      <c r="C14" s="29">
        <f>COUNTIFS(Year,C$10,Region,cRegion,Sales_Channel,cChannel,Category,cCat)</f>
        <v>2126</v>
      </c>
      <c r="D14" s="29">
        <f>COUNTIFS(Year,D$10,Region,cRegion,Sales_Channel,cChannel,Category,cCat)</f>
        <v>2707</v>
      </c>
      <c r="E14" s="8">
        <f>IF(C14=0,"",D14/C14-1)</f>
        <v>0.27328316086547511</v>
      </c>
      <c r="F14" s="28"/>
    </row>
    <row r="15" spans="1:6" ht="15" x14ac:dyDescent="0.35">
      <c r="A15" t="s">
        <v>7280</v>
      </c>
      <c r="B15" s="29">
        <f>SUMIFS(Quantity,Year,cYear,Region,cRegion,Sales_Channel,cChannel,Category,cCat)</f>
        <v>7559</v>
      </c>
      <c r="C15" s="29">
        <f>SUMIFS(Quantity,Year,C$10,Region,cRegion,Sales_Channel,cChannel,Category,cCat)</f>
        <v>3303</v>
      </c>
      <c r="D15" s="29">
        <f>SUMIFS(Quantity,Year,D$10,Region,cRegion,Sales_Channel,cChannel,Category,cCat)</f>
        <v>4256</v>
      </c>
      <c r="E15" s="8">
        <f>IF(C15=0,"",D15/C15-1)</f>
        <v>0.28852558280351204</v>
      </c>
      <c r="F15" s="28"/>
    </row>
    <row r="16" spans="1:6" ht="15" x14ac:dyDescent="0.35">
      <c r="A16" t="s">
        <v>7281</v>
      </c>
      <c r="B16" s="3">
        <f>IFERROR(B11/B14,0)</f>
        <v>1066.8616697703292</v>
      </c>
      <c r="C16" s="3">
        <f>IFERROR(C11/C14,0)</f>
        <v>1061.4470837253073</v>
      </c>
      <c r="D16" s="3">
        <f>IFERROR(D11/D14,0)</f>
        <v>1071.1141300332515</v>
      </c>
      <c r="E16" s="8">
        <f>IF(C16=0,"",D16/C16-1)</f>
        <v>9.1074217981892414E-3</v>
      </c>
      <c r="F16" s="28"/>
    </row>
    <row r="17" spans="1:11" x14ac:dyDescent="0.3">
      <c r="A17" t="s">
        <v>7260</v>
      </c>
      <c r="B17" s="18">
        <f>IFERROR(AVERAGEIFS(Customer_Rating,Year,cYear,Region,cRegion,Sales_Channel,cChannel,Category,cCat),0)</f>
        <v>3.9144602851323831</v>
      </c>
      <c r="C17" s="18">
        <f>IFERROR(AVERAGEIFS(Customer_Rating,Year,C$10,Region,cRegion,Sales_Channel,cChannel,Category,cCat),0)</f>
        <v>3.9201065246338214</v>
      </c>
      <c r="D17" s="18">
        <f>IFERROR(AVERAGEIFS(Customer_Rating,Year,D$10,Region,cRegion,Sales_Channel,cChannel,Category,cCat),0)</f>
        <v>3.9100775193798452</v>
      </c>
      <c r="E17" s="9">
        <f>D17-C17</f>
        <v>-1.0029005253976209E-2</v>
      </c>
      <c r="F17" s="28"/>
    </row>
    <row r="18" spans="1:11" x14ac:dyDescent="0.3">
      <c r="A18" t="s">
        <v>7282</v>
      </c>
      <c r="B18" s="4">
        <f>IFERROR(SUMIFS(Returned,Year,cYear,Region,cRegion,Sales_Channel,cChannel,Category,cCat)/B14,0)</f>
        <v>0.10407614318228843</v>
      </c>
      <c r="C18" s="4">
        <f>IFERROR(SUMIFS(Returned,Year,C$10,Region,cRegion,Sales_Channel,cChannel,Category,cCat)/C14,0)</f>
        <v>0.10865475070555033</v>
      </c>
      <c r="D18" s="4">
        <f>IFERROR(SUMIFS(Returned,Year,D$10,Region,cRegion,Sales_Channel,cChannel,Category,cCat)/D14,0)</f>
        <v>0.1004802364240857</v>
      </c>
      <c r="E18" s="9">
        <f>D18-C18</f>
        <v>-8.1745142814646371E-3</v>
      </c>
      <c r="F18" s="28"/>
      <c r="G18" t="str">
        <f t="shared" ref="G18" si="0">IF($K210,$B210,"")</f>
        <v/>
      </c>
    </row>
    <row r="19" spans="1:11" x14ac:dyDescent="0.3">
      <c r="A19" t="s">
        <v>7262</v>
      </c>
      <c r="B19" s="18">
        <f>IFERROR(AVERAGEIFS(Delivery_Days,Year,cYear,Region,cRegion,Sales_Channel,cChannel,Category,cCat),0)</f>
        <v>3.3279536519759985</v>
      </c>
      <c r="C19" s="18">
        <f>IFERROR(AVERAGEIFS(Delivery_Days,Year,C$10,Region,cRegion,Sales_Channel,cChannel,Category,cCat),0)</f>
        <v>3.330667920978363</v>
      </c>
      <c r="D19" s="18">
        <f>IFERROR(AVERAGEIFS(Delivery_Days,Year,D$10,Region,cRegion,Sales_Channel,cChannel,Category,cCat),0)</f>
        <v>3.3258219431104545</v>
      </c>
      <c r="E19" s="9">
        <f>D19-C19</f>
        <v>-4.8459778679084131E-3</v>
      </c>
      <c r="F19" s="28"/>
    </row>
    <row r="20" spans="1:11" x14ac:dyDescent="0.3">
      <c r="A20" t="s">
        <v>7359</v>
      </c>
      <c r="B20" s="4">
        <f>IFERROR(SUMIFS(Net_Revenue,Year,cYear,Region,cRegion,Sales_Channel,cChannel,Category,cCat,Customer_Type,"Repeat")/B11,0)</f>
        <v>0.53148684827355985</v>
      </c>
      <c r="C20" s="4">
        <f>IFERROR(SUMIFS(Net_Revenue,Year,C$10,Region,cRegion,Sales_Channel,cChannel,Category,cCat,Customer_Type,"Repeat")/C11,0)</f>
        <v>0.32793192434847113</v>
      </c>
      <c r="D20" s="4">
        <f>IFERROR(SUMIFS(Net_Revenue,Year,D$10,Region,cRegion,Sales_Channel,cChannel,Category,cCat,Customer_Type,"Repeat")/D11,0)</f>
        <v>0.68991020694404659</v>
      </c>
      <c r="E20" s="9">
        <f>D20-C20</f>
        <v>0.36197828259557546</v>
      </c>
      <c r="F20" s="28"/>
    </row>
    <row r="21" spans="1:11" x14ac:dyDescent="0.3">
      <c r="A21" t="s">
        <v>7283</v>
      </c>
      <c r="B21" s="4">
        <f>IFERROR(SUMIFS(Discount_Amount,Year,cYear,Region,cRegion,Sales_Channel,cChannel,Category,cCat)/SUMIFS(Gross_Sale,Year,cYear,Region,cRegion,Sales_Channel,cChannel,Category,cCat),0)</f>
        <v>0.21660495600665533</v>
      </c>
      <c r="C21" s="4">
        <f>IFERROR(SUMIFS(Discount_Amount,Year,C$10,Region,cRegion,Sales_Channel,cChannel,Category,cCat)/SUMIFS(Gross_Sale,Year,C$10,Region,cRegion,Sales_Channel,cChannel,Category,cCat),0)</f>
        <v>0.21530048887317174</v>
      </c>
      <c r="D21" s="4">
        <f>IFERROR(SUMIFS(Discount_Amount,Year,D$10,Region,cRegion,Sales_Channel,cChannel,Category,cCat)/SUMIFS(Gross_Sale,Year,D$10,Region,cRegion,Sales_Channel,cChannel,Category,cCat),0)</f>
        <v>0.21761720337377827</v>
      </c>
      <c r="E21" s="9">
        <f>D21-C21</f>
        <v>2.316714500606526E-3</v>
      </c>
      <c r="F21" s="28"/>
    </row>
    <row r="22" spans="1:11" x14ac:dyDescent="0.3">
      <c r="A22" s="20"/>
      <c r="F22" s="28"/>
    </row>
    <row r="24" spans="1:11" x14ac:dyDescent="0.3">
      <c r="A24" s="13" t="s">
        <v>7360</v>
      </c>
    </row>
    <row r="25" spans="1:11" x14ac:dyDescent="0.3">
      <c r="A25" s="14" t="s">
        <v>7238</v>
      </c>
      <c r="B25" s="14" t="s">
        <v>7279</v>
      </c>
      <c r="C25" s="14" t="s">
        <v>7248</v>
      </c>
      <c r="D25" s="14" t="s">
        <v>7249</v>
      </c>
      <c r="E25" s="14" t="s">
        <v>7259</v>
      </c>
      <c r="F25" s="14" t="s">
        <v>7281</v>
      </c>
      <c r="G25" s="14" t="s">
        <v>7260</v>
      </c>
      <c r="H25" s="14" t="s">
        <v>7282</v>
      </c>
      <c r="I25" s="14" t="s">
        <v>7262</v>
      </c>
      <c r="J25" s="14" t="s">
        <v>7280</v>
      </c>
      <c r="K25" s="14" t="s">
        <v>7284</v>
      </c>
    </row>
    <row r="26" spans="1:11" ht="15" x14ac:dyDescent="0.3">
      <c r="A26" s="30">
        <f>DATE(2024,1,1)</f>
        <v>45292</v>
      </c>
      <c r="B26" s="17">
        <f t="shared" ref="B26:B49" si="1">SUMIFS(Net_Revenue,Order_Date,"&gt;="&amp;$A26,Order_Date,"&lt;"&amp;EDATE($A26,1),Year,cYear,Region,cRegion,Sales_Channel,cChannel,Category,cCat)</f>
        <v>219793.3</v>
      </c>
      <c r="C26" s="17">
        <f t="shared" ref="C26:C49" si="2">SUMIFS(Profit,Order_Date,"&gt;="&amp;$A26,Order_Date,"&lt;"&amp;EDATE($A26,1),Year,cYear,Region,cRegion,Sales_Channel,cChannel,Category,cCat)</f>
        <v>98308.300000000076</v>
      </c>
      <c r="D26" s="15">
        <f t="shared" ref="D26:D49" si="3">IFERROR(C26/B26,0)</f>
        <v>0.44727614536020927</v>
      </c>
      <c r="E26" s="16">
        <f t="shared" ref="E26:E49" si="4">COUNTIFS(Order_Date,"&gt;="&amp;$A26,Order_Date,"&lt;"&amp;EDATE($A26,1),Year,cYear,Region,cRegion,Sales_Channel,cChannel,Category,cCat)</f>
        <v>184</v>
      </c>
      <c r="F26" s="17">
        <f t="shared" ref="F26:F49" si="5">IFERROR(B26/E26,0)</f>
        <v>1194.5288043478261</v>
      </c>
      <c r="G26" s="18">
        <f t="shared" ref="G26:G49" si="6">IFERROR(AVERAGEIFS(Customer_Rating,Order_Date,"&gt;="&amp;$A26,Order_Date,"&lt;"&amp;EDATE($A26,1),Year,cYear,Region,cRegion,Sales_Channel,cChannel,Category,cCat),0)</f>
        <v>3.925925925925926</v>
      </c>
      <c r="H26" s="15">
        <f t="shared" ref="H26:H49" si="7">IFERROR(SUMIFS(Returned,Order_Date,"&gt;="&amp;$A26,Order_Date,"&lt;"&amp;EDATE($A26,1),Year,cYear,Region,cRegion,Sales_Channel,cChannel,Category,cCat)/COUNTIFS(Order_Date,"&gt;="&amp;$A26,Order_Date,"&lt;"&amp;EDATE($A26,1),Year,cYear,Region,cRegion,Sales_Channel,cChannel,Category,cCat),0)</f>
        <v>0.11413043478260869</v>
      </c>
      <c r="I26" s="19">
        <f t="shared" ref="I26:I49" si="8">IFERROR(AVERAGEIFS(Delivery_Days,Order_Date,"&gt;="&amp;$A26,Order_Date,"&lt;"&amp;EDATE($A26,1),Year,cYear,Region,cRegion,Sales_Channel,cChannel,Category,cCat),0)</f>
        <v>3.2989130434782608</v>
      </c>
      <c r="J26" s="16">
        <f t="shared" ref="J26:J49" si="9">SUMIFS(Quantity,Order_Date,"&gt;="&amp;$A26,Order_Date,"&lt;"&amp;EDATE($A26,1),Year,cYear,Region,cRegion,Sales_Channel,cChannel,Category,cCat)</f>
        <v>290</v>
      </c>
      <c r="K26" s="17">
        <f t="shared" ref="K26:K49" si="10">SUMIFS(Ad_Spend,Ad_Month,"&gt;="&amp;$A26,Ad_Month,"&lt;"&amp;EDATE($A26,1),Ad_Year,cYear,Ad_Region,cRegion)</f>
        <v>42510</v>
      </c>
    </row>
    <row r="27" spans="1:11" ht="15" x14ac:dyDescent="0.3">
      <c r="A27" s="30">
        <f>EDATE(A26,1)</f>
        <v>45323</v>
      </c>
      <c r="B27" s="17">
        <f t="shared" si="1"/>
        <v>97871.10000000002</v>
      </c>
      <c r="C27" s="17">
        <f t="shared" si="2"/>
        <v>43244.1</v>
      </c>
      <c r="D27" s="15">
        <f t="shared" si="3"/>
        <v>0.44184749124103018</v>
      </c>
      <c r="E27" s="16">
        <f t="shared" si="4"/>
        <v>107</v>
      </c>
      <c r="F27" s="17">
        <f t="shared" si="5"/>
        <v>914.68317757009368</v>
      </c>
      <c r="G27" s="18">
        <f t="shared" si="6"/>
        <v>4</v>
      </c>
      <c r="H27" s="15">
        <f t="shared" si="7"/>
        <v>0.12149532710280374</v>
      </c>
      <c r="I27" s="19">
        <f t="shared" si="8"/>
        <v>3.0747663551401869</v>
      </c>
      <c r="J27" s="16">
        <f t="shared" si="9"/>
        <v>162</v>
      </c>
      <c r="K27" s="17">
        <f t="shared" si="10"/>
        <v>28210</v>
      </c>
    </row>
    <row r="28" spans="1:11" ht="15" x14ac:dyDescent="0.3">
      <c r="A28" s="30">
        <f t="shared" ref="A28:A49" si="11">EDATE(A27,1)</f>
        <v>45352</v>
      </c>
      <c r="B28" s="17">
        <f t="shared" si="1"/>
        <v>150200.35000000009</v>
      </c>
      <c r="C28" s="17">
        <f t="shared" si="2"/>
        <v>65213.349999999991</v>
      </c>
      <c r="D28" s="15">
        <f t="shared" si="3"/>
        <v>0.43417575258646168</v>
      </c>
      <c r="E28" s="16">
        <f t="shared" si="4"/>
        <v>138</v>
      </c>
      <c r="F28" s="17">
        <f t="shared" si="5"/>
        <v>1088.408333333334</v>
      </c>
      <c r="G28" s="18">
        <f t="shared" si="6"/>
        <v>3.9902912621359223</v>
      </c>
      <c r="H28" s="15">
        <f t="shared" si="7"/>
        <v>0.13768115942028986</v>
      </c>
      <c r="I28" s="19">
        <f t="shared" si="8"/>
        <v>3.181159420289855</v>
      </c>
      <c r="J28" s="16">
        <f t="shared" si="9"/>
        <v>220</v>
      </c>
      <c r="K28" s="17">
        <f t="shared" si="10"/>
        <v>32350</v>
      </c>
    </row>
    <row r="29" spans="1:11" ht="15" x14ac:dyDescent="0.3">
      <c r="A29" s="30">
        <f t="shared" si="11"/>
        <v>45383</v>
      </c>
      <c r="B29" s="17">
        <f t="shared" si="1"/>
        <v>160817.20000000001</v>
      </c>
      <c r="C29" s="17">
        <f t="shared" si="2"/>
        <v>67672.200000000012</v>
      </c>
      <c r="D29" s="15">
        <f t="shared" si="3"/>
        <v>0.42080200376576637</v>
      </c>
      <c r="E29" s="16">
        <f t="shared" si="4"/>
        <v>146</v>
      </c>
      <c r="F29" s="17">
        <f t="shared" si="5"/>
        <v>1101.4876712328769</v>
      </c>
      <c r="G29" s="18">
        <f t="shared" si="6"/>
        <v>4.0291262135922334</v>
      </c>
      <c r="H29" s="15">
        <f t="shared" si="7"/>
        <v>8.9041095890410954E-2</v>
      </c>
      <c r="I29" s="19">
        <f t="shared" si="8"/>
        <v>3.2191780821917808</v>
      </c>
      <c r="J29" s="16">
        <f t="shared" si="9"/>
        <v>226</v>
      </c>
      <c r="K29" s="17">
        <f t="shared" si="10"/>
        <v>32260</v>
      </c>
    </row>
    <row r="30" spans="1:11" ht="15" x14ac:dyDescent="0.3">
      <c r="A30" s="30">
        <f t="shared" si="11"/>
        <v>45413</v>
      </c>
      <c r="B30" s="17">
        <f t="shared" si="1"/>
        <v>174244.50000000006</v>
      </c>
      <c r="C30" s="17">
        <f t="shared" si="2"/>
        <v>73698.499999999985</v>
      </c>
      <c r="D30" s="15">
        <f t="shared" si="3"/>
        <v>0.42296026560379213</v>
      </c>
      <c r="E30" s="16">
        <f t="shared" si="4"/>
        <v>155</v>
      </c>
      <c r="F30" s="17">
        <f t="shared" si="5"/>
        <v>1124.1580645161293</v>
      </c>
      <c r="G30" s="18">
        <f t="shared" si="6"/>
        <v>4.05</v>
      </c>
      <c r="H30" s="15">
        <f t="shared" si="7"/>
        <v>7.7419354838709681E-2</v>
      </c>
      <c r="I30" s="19">
        <f t="shared" si="8"/>
        <v>3.161290322580645</v>
      </c>
      <c r="J30" s="16">
        <f t="shared" si="9"/>
        <v>242</v>
      </c>
      <c r="K30" s="17">
        <f t="shared" si="10"/>
        <v>34050</v>
      </c>
    </row>
    <row r="31" spans="1:11" ht="15" x14ac:dyDescent="0.3">
      <c r="A31" s="30">
        <f t="shared" si="11"/>
        <v>45444</v>
      </c>
      <c r="B31" s="17">
        <f t="shared" si="1"/>
        <v>161054.00000000003</v>
      </c>
      <c r="C31" s="17">
        <f t="shared" si="2"/>
        <v>67487.000000000015</v>
      </c>
      <c r="D31" s="15">
        <f t="shared" si="3"/>
        <v>0.41903336769033989</v>
      </c>
      <c r="E31" s="16">
        <f t="shared" si="4"/>
        <v>153</v>
      </c>
      <c r="F31" s="17">
        <f t="shared" si="5"/>
        <v>1052.6405228758172</v>
      </c>
      <c r="G31" s="18">
        <f t="shared" si="6"/>
        <v>3.8672566371681416</v>
      </c>
      <c r="H31" s="15">
        <f t="shared" si="7"/>
        <v>0.1111111111111111</v>
      </c>
      <c r="I31" s="19">
        <f t="shared" si="8"/>
        <v>3.2418300653594772</v>
      </c>
      <c r="J31" s="16">
        <f t="shared" si="9"/>
        <v>236</v>
      </c>
      <c r="K31" s="17">
        <f t="shared" si="10"/>
        <v>32060</v>
      </c>
    </row>
    <row r="32" spans="1:11" ht="15" x14ac:dyDescent="0.3">
      <c r="A32" s="30">
        <f t="shared" si="11"/>
        <v>45474</v>
      </c>
      <c r="B32" s="17">
        <f t="shared" si="1"/>
        <v>171014.2</v>
      </c>
      <c r="C32" s="17">
        <f t="shared" si="2"/>
        <v>73967.199999999997</v>
      </c>
      <c r="D32" s="15">
        <f t="shared" si="3"/>
        <v>0.4325208082135869</v>
      </c>
      <c r="E32" s="16">
        <f t="shared" si="4"/>
        <v>172</v>
      </c>
      <c r="F32" s="17">
        <f t="shared" si="5"/>
        <v>994.26860465116283</v>
      </c>
      <c r="G32" s="18">
        <f t="shared" si="6"/>
        <v>3.901639344262295</v>
      </c>
      <c r="H32" s="15">
        <f t="shared" si="7"/>
        <v>0.10465116279069768</v>
      </c>
      <c r="I32" s="19">
        <f t="shared" si="8"/>
        <v>3.2674418604651163</v>
      </c>
      <c r="J32" s="16">
        <f t="shared" si="9"/>
        <v>243</v>
      </c>
      <c r="K32" s="17">
        <f t="shared" si="10"/>
        <v>37030</v>
      </c>
    </row>
    <row r="33" spans="1:11" ht="15" x14ac:dyDescent="0.3">
      <c r="A33" s="30">
        <f t="shared" si="11"/>
        <v>45505</v>
      </c>
      <c r="B33" s="17">
        <f t="shared" si="1"/>
        <v>154762.2000000001</v>
      </c>
      <c r="C33" s="17">
        <f t="shared" si="2"/>
        <v>64085.199999999983</v>
      </c>
      <c r="D33" s="15">
        <f t="shared" si="3"/>
        <v>0.41408819466252056</v>
      </c>
      <c r="E33" s="16">
        <f t="shared" si="4"/>
        <v>144</v>
      </c>
      <c r="F33" s="17">
        <f t="shared" si="5"/>
        <v>1074.7375000000006</v>
      </c>
      <c r="G33" s="18">
        <f t="shared" si="6"/>
        <v>4.0101010101010104</v>
      </c>
      <c r="H33" s="15">
        <f t="shared" si="7"/>
        <v>0.11805555555555555</v>
      </c>
      <c r="I33" s="19">
        <f t="shared" si="8"/>
        <v>3.0763888888888888</v>
      </c>
      <c r="J33" s="16">
        <f t="shared" si="9"/>
        <v>214</v>
      </c>
      <c r="K33" s="17">
        <f t="shared" si="10"/>
        <v>34130</v>
      </c>
    </row>
    <row r="34" spans="1:11" ht="15" x14ac:dyDescent="0.3">
      <c r="A34" s="30">
        <f t="shared" si="11"/>
        <v>45536</v>
      </c>
      <c r="B34" s="17">
        <f t="shared" si="1"/>
        <v>210860.2500000002</v>
      </c>
      <c r="C34" s="17">
        <f t="shared" si="2"/>
        <v>88211.250000000044</v>
      </c>
      <c r="D34" s="15">
        <f t="shared" si="3"/>
        <v>0.41833987202424333</v>
      </c>
      <c r="E34" s="16">
        <f t="shared" si="4"/>
        <v>189</v>
      </c>
      <c r="F34" s="17">
        <f t="shared" si="5"/>
        <v>1115.6626984126995</v>
      </c>
      <c r="G34" s="18">
        <f t="shared" si="6"/>
        <v>3.9477611940298507</v>
      </c>
      <c r="H34" s="15">
        <f t="shared" si="7"/>
        <v>9.5238095238095233E-2</v>
      </c>
      <c r="I34" s="19">
        <f t="shared" si="8"/>
        <v>3.1904761904761907</v>
      </c>
      <c r="J34" s="16">
        <f t="shared" si="9"/>
        <v>286</v>
      </c>
      <c r="K34" s="17">
        <f t="shared" si="10"/>
        <v>41190</v>
      </c>
    </row>
    <row r="35" spans="1:11" ht="15" x14ac:dyDescent="0.3">
      <c r="A35" s="30">
        <f t="shared" si="11"/>
        <v>45566</v>
      </c>
      <c r="B35" s="17">
        <f t="shared" si="1"/>
        <v>274168.75</v>
      </c>
      <c r="C35" s="17">
        <f t="shared" si="2"/>
        <v>89216.750000000015</v>
      </c>
      <c r="D35" s="15">
        <f t="shared" si="3"/>
        <v>0.32540816559144692</v>
      </c>
      <c r="E35" s="16">
        <f t="shared" si="4"/>
        <v>286</v>
      </c>
      <c r="F35" s="17">
        <f t="shared" si="5"/>
        <v>958.63199300699296</v>
      </c>
      <c r="G35" s="18">
        <f t="shared" si="6"/>
        <v>3.7250000000000001</v>
      </c>
      <c r="H35" s="15">
        <f t="shared" si="7"/>
        <v>0.11538461538461539</v>
      </c>
      <c r="I35" s="19">
        <f t="shared" si="8"/>
        <v>3.7377622377622379</v>
      </c>
      <c r="J35" s="16">
        <f t="shared" si="9"/>
        <v>451</v>
      </c>
      <c r="K35" s="17">
        <f t="shared" si="10"/>
        <v>55090</v>
      </c>
    </row>
    <row r="36" spans="1:11" ht="15" x14ac:dyDescent="0.3">
      <c r="A36" s="30">
        <f t="shared" si="11"/>
        <v>45597</v>
      </c>
      <c r="B36" s="17">
        <f t="shared" si="1"/>
        <v>252007.25000000009</v>
      </c>
      <c r="C36" s="17">
        <f t="shared" si="2"/>
        <v>79336.25</v>
      </c>
      <c r="D36" s="15">
        <f t="shared" si="3"/>
        <v>0.31481733164422837</v>
      </c>
      <c r="E36" s="16">
        <f t="shared" si="4"/>
        <v>233</v>
      </c>
      <c r="F36" s="17">
        <f t="shared" si="5"/>
        <v>1081.5761802575112</v>
      </c>
      <c r="G36" s="18">
        <f t="shared" si="6"/>
        <v>3.8466257668711656</v>
      </c>
      <c r="H36" s="15">
        <f t="shared" si="7"/>
        <v>0.12446351931330472</v>
      </c>
      <c r="I36" s="19">
        <f t="shared" si="8"/>
        <v>3.7682403433476397</v>
      </c>
      <c r="J36" s="16">
        <f t="shared" si="9"/>
        <v>394</v>
      </c>
      <c r="K36" s="17">
        <f t="shared" si="10"/>
        <v>54530</v>
      </c>
    </row>
    <row r="37" spans="1:11" ht="15" x14ac:dyDescent="0.3">
      <c r="A37" s="30">
        <f t="shared" si="11"/>
        <v>45627</v>
      </c>
      <c r="B37" s="17">
        <f t="shared" si="1"/>
        <v>229843.40000000002</v>
      </c>
      <c r="C37" s="17">
        <f t="shared" si="2"/>
        <v>98163.400000000052</v>
      </c>
      <c r="D37" s="15">
        <f t="shared" si="3"/>
        <v>0.4270881826495781</v>
      </c>
      <c r="E37" s="16">
        <f t="shared" si="4"/>
        <v>219</v>
      </c>
      <c r="F37" s="17">
        <f t="shared" si="5"/>
        <v>1049.5132420091325</v>
      </c>
      <c r="G37" s="18">
        <f t="shared" si="6"/>
        <v>3.9735099337748343</v>
      </c>
      <c r="H37" s="15">
        <f t="shared" si="7"/>
        <v>9.5890410958904104E-2</v>
      </c>
      <c r="I37" s="19">
        <f t="shared" si="8"/>
        <v>3.1735159817351599</v>
      </c>
      <c r="J37" s="16">
        <f t="shared" si="9"/>
        <v>339</v>
      </c>
      <c r="K37" s="17">
        <f t="shared" si="10"/>
        <v>42120</v>
      </c>
    </row>
    <row r="38" spans="1:11" ht="15" x14ac:dyDescent="0.3">
      <c r="A38" s="30">
        <f t="shared" si="11"/>
        <v>45658</v>
      </c>
      <c r="B38" s="17">
        <f t="shared" si="1"/>
        <v>251689.1</v>
      </c>
      <c r="C38" s="17">
        <f t="shared" si="2"/>
        <v>106402.10000000005</v>
      </c>
      <c r="D38" s="15">
        <f t="shared" si="3"/>
        <v>0.42275211759269687</v>
      </c>
      <c r="E38" s="16">
        <f t="shared" si="4"/>
        <v>216</v>
      </c>
      <c r="F38" s="17">
        <f t="shared" si="5"/>
        <v>1165.2273148148149</v>
      </c>
      <c r="G38" s="18">
        <f t="shared" si="6"/>
        <v>3.82</v>
      </c>
      <c r="H38" s="15">
        <f t="shared" si="7"/>
        <v>0.1111111111111111</v>
      </c>
      <c r="I38" s="19">
        <f t="shared" si="8"/>
        <v>3.2407407407407409</v>
      </c>
      <c r="J38" s="16">
        <f t="shared" si="9"/>
        <v>339</v>
      </c>
      <c r="K38" s="17">
        <f t="shared" si="10"/>
        <v>48100</v>
      </c>
    </row>
    <row r="39" spans="1:11" ht="15" x14ac:dyDescent="0.3">
      <c r="A39" s="30">
        <f t="shared" si="11"/>
        <v>45689</v>
      </c>
      <c r="B39" s="17">
        <f t="shared" si="1"/>
        <v>190110</v>
      </c>
      <c r="C39" s="17">
        <f t="shared" si="2"/>
        <v>81429.999999999985</v>
      </c>
      <c r="D39" s="15">
        <f t="shared" si="3"/>
        <v>0.42833096628267836</v>
      </c>
      <c r="E39" s="16">
        <f t="shared" si="4"/>
        <v>174</v>
      </c>
      <c r="F39" s="17">
        <f t="shared" si="5"/>
        <v>1092.5862068965516</v>
      </c>
      <c r="G39" s="18">
        <f t="shared" si="6"/>
        <v>3.925925925925926</v>
      </c>
      <c r="H39" s="15">
        <f t="shared" si="7"/>
        <v>9.1954022988505746E-2</v>
      </c>
      <c r="I39" s="19">
        <f t="shared" si="8"/>
        <v>3.1896551724137931</v>
      </c>
      <c r="J39" s="16">
        <f t="shared" si="9"/>
        <v>265</v>
      </c>
      <c r="K39" s="17">
        <f t="shared" si="10"/>
        <v>41840</v>
      </c>
    </row>
    <row r="40" spans="1:11" ht="15" x14ac:dyDescent="0.3">
      <c r="A40" s="30">
        <f t="shared" si="11"/>
        <v>45717</v>
      </c>
      <c r="B40" s="17">
        <f t="shared" si="1"/>
        <v>264242.34999999998</v>
      </c>
      <c r="C40" s="17">
        <f t="shared" si="2"/>
        <v>115466.35000000014</v>
      </c>
      <c r="D40" s="15">
        <f t="shared" si="3"/>
        <v>0.43697140144265351</v>
      </c>
      <c r="E40" s="16">
        <f t="shared" si="4"/>
        <v>218</v>
      </c>
      <c r="F40" s="17">
        <f t="shared" si="5"/>
        <v>1212.1208715596329</v>
      </c>
      <c r="G40" s="18">
        <f t="shared" si="6"/>
        <v>3.9559748427672954</v>
      </c>
      <c r="H40" s="15">
        <f t="shared" si="7"/>
        <v>7.3394495412844041E-2</v>
      </c>
      <c r="I40" s="19">
        <f t="shared" si="8"/>
        <v>2.977064220183486</v>
      </c>
      <c r="J40" s="16">
        <f t="shared" si="9"/>
        <v>335</v>
      </c>
      <c r="K40" s="17">
        <f t="shared" si="10"/>
        <v>46590</v>
      </c>
    </row>
    <row r="41" spans="1:11" ht="15" x14ac:dyDescent="0.3">
      <c r="A41" s="30">
        <f t="shared" si="11"/>
        <v>45748</v>
      </c>
      <c r="B41" s="17">
        <f t="shared" si="1"/>
        <v>253045.19999999995</v>
      </c>
      <c r="C41" s="17">
        <f t="shared" si="2"/>
        <v>107683.20000000003</v>
      </c>
      <c r="D41" s="15">
        <f t="shared" si="3"/>
        <v>0.42554926945857913</v>
      </c>
      <c r="E41" s="16">
        <f t="shared" si="4"/>
        <v>243</v>
      </c>
      <c r="F41" s="17">
        <f t="shared" si="5"/>
        <v>1041.338271604938</v>
      </c>
      <c r="G41" s="18">
        <f t="shared" si="6"/>
        <v>3.9337349397590362</v>
      </c>
      <c r="H41" s="15">
        <f t="shared" si="7"/>
        <v>0.102880658436214</v>
      </c>
      <c r="I41" s="19">
        <f t="shared" si="8"/>
        <v>3.213991769547325</v>
      </c>
      <c r="J41" s="16">
        <f t="shared" si="9"/>
        <v>376</v>
      </c>
      <c r="K41" s="17">
        <f t="shared" si="10"/>
        <v>43040</v>
      </c>
    </row>
    <row r="42" spans="1:11" ht="15" x14ac:dyDescent="0.3">
      <c r="A42" s="30">
        <f t="shared" si="11"/>
        <v>45778</v>
      </c>
      <c r="B42" s="17">
        <f t="shared" si="1"/>
        <v>167565.09999999995</v>
      </c>
      <c r="C42" s="17">
        <f t="shared" si="2"/>
        <v>70129.100000000035</v>
      </c>
      <c r="D42" s="15">
        <f t="shared" si="3"/>
        <v>0.41851853399067024</v>
      </c>
      <c r="E42" s="16">
        <f t="shared" si="4"/>
        <v>159</v>
      </c>
      <c r="F42" s="17">
        <f t="shared" si="5"/>
        <v>1053.8685534591191</v>
      </c>
      <c r="G42" s="18">
        <f t="shared" si="6"/>
        <v>3.9917355371900825</v>
      </c>
      <c r="H42" s="15">
        <f t="shared" si="7"/>
        <v>8.1761006289308172E-2</v>
      </c>
      <c r="I42" s="19">
        <f t="shared" si="8"/>
        <v>3.3522012578616351</v>
      </c>
      <c r="J42" s="16">
        <f t="shared" si="9"/>
        <v>232</v>
      </c>
      <c r="K42" s="17">
        <f t="shared" si="10"/>
        <v>37840</v>
      </c>
    </row>
    <row r="43" spans="1:11" ht="15" x14ac:dyDescent="0.3">
      <c r="A43" s="30">
        <f t="shared" si="11"/>
        <v>45809</v>
      </c>
      <c r="B43" s="17">
        <f t="shared" si="1"/>
        <v>230474.25000000012</v>
      </c>
      <c r="C43" s="17">
        <f t="shared" si="2"/>
        <v>103821.24999999996</v>
      </c>
      <c r="D43" s="15">
        <f t="shared" si="3"/>
        <v>0.45046789391873454</v>
      </c>
      <c r="E43" s="16">
        <f t="shared" si="4"/>
        <v>204</v>
      </c>
      <c r="F43" s="17">
        <f t="shared" si="5"/>
        <v>1129.7757352941182</v>
      </c>
      <c r="G43" s="18">
        <f t="shared" si="6"/>
        <v>3.9161290322580644</v>
      </c>
      <c r="H43" s="15">
        <f t="shared" si="7"/>
        <v>0.10294117647058823</v>
      </c>
      <c r="I43" s="19">
        <f t="shared" si="8"/>
        <v>3.1225490196078431</v>
      </c>
      <c r="J43" s="16">
        <f t="shared" si="9"/>
        <v>317</v>
      </c>
      <c r="K43" s="17">
        <f t="shared" si="10"/>
        <v>43060</v>
      </c>
    </row>
    <row r="44" spans="1:11" ht="15" x14ac:dyDescent="0.3">
      <c r="A44" s="30">
        <f t="shared" si="11"/>
        <v>45839</v>
      </c>
      <c r="B44" s="17">
        <f t="shared" si="1"/>
        <v>190477.15000000008</v>
      </c>
      <c r="C44" s="17">
        <f t="shared" si="2"/>
        <v>81396.149999999951</v>
      </c>
      <c r="D44" s="15">
        <f t="shared" si="3"/>
        <v>0.42732763483703906</v>
      </c>
      <c r="E44" s="16">
        <f t="shared" si="4"/>
        <v>195</v>
      </c>
      <c r="F44" s="17">
        <f t="shared" si="5"/>
        <v>976.8058974358978</v>
      </c>
      <c r="G44" s="18">
        <f t="shared" si="6"/>
        <v>3.9716312056737588</v>
      </c>
      <c r="H44" s="15">
        <f t="shared" si="7"/>
        <v>0.12820512820512819</v>
      </c>
      <c r="I44" s="19">
        <f t="shared" si="8"/>
        <v>3.2461538461538462</v>
      </c>
      <c r="J44" s="16">
        <f t="shared" si="9"/>
        <v>280</v>
      </c>
      <c r="K44" s="17">
        <f t="shared" si="10"/>
        <v>43280</v>
      </c>
    </row>
    <row r="45" spans="1:11" ht="15" x14ac:dyDescent="0.3">
      <c r="A45" s="30">
        <f t="shared" si="11"/>
        <v>45870</v>
      </c>
      <c r="B45" s="17">
        <f t="shared" si="1"/>
        <v>224313.95</v>
      </c>
      <c r="C45" s="17">
        <f t="shared" si="2"/>
        <v>93441.95</v>
      </c>
      <c r="D45" s="15">
        <f t="shared" si="3"/>
        <v>0.41656771680940929</v>
      </c>
      <c r="E45" s="16">
        <f t="shared" si="4"/>
        <v>235</v>
      </c>
      <c r="F45" s="17">
        <f t="shared" si="5"/>
        <v>954.52744680851072</v>
      </c>
      <c r="G45" s="18">
        <f t="shared" si="6"/>
        <v>3.9760479041916166</v>
      </c>
      <c r="H45" s="15">
        <f t="shared" si="7"/>
        <v>0.11063829787234042</v>
      </c>
      <c r="I45" s="19">
        <f t="shared" si="8"/>
        <v>3.1319148936170214</v>
      </c>
      <c r="J45" s="16">
        <f t="shared" si="9"/>
        <v>351</v>
      </c>
      <c r="K45" s="17">
        <f t="shared" si="10"/>
        <v>48160</v>
      </c>
    </row>
    <row r="46" spans="1:11" ht="15" x14ac:dyDescent="0.3">
      <c r="A46" s="30">
        <f t="shared" si="11"/>
        <v>45901</v>
      </c>
      <c r="B46" s="17">
        <f t="shared" si="1"/>
        <v>224466.7</v>
      </c>
      <c r="C46" s="17">
        <f t="shared" si="2"/>
        <v>100976.70000000011</v>
      </c>
      <c r="D46" s="15">
        <f t="shared" si="3"/>
        <v>0.44985158154862215</v>
      </c>
      <c r="E46" s="16">
        <f t="shared" si="4"/>
        <v>218</v>
      </c>
      <c r="F46" s="17">
        <f t="shared" si="5"/>
        <v>1029.66376146789</v>
      </c>
      <c r="G46" s="18">
        <f t="shared" si="6"/>
        <v>3.9753086419753085</v>
      </c>
      <c r="H46" s="15">
        <f t="shared" si="7"/>
        <v>9.1743119266055051E-2</v>
      </c>
      <c r="I46" s="19">
        <f t="shared" si="8"/>
        <v>3.2155963302752295</v>
      </c>
      <c r="J46" s="16">
        <f t="shared" si="9"/>
        <v>347</v>
      </c>
      <c r="K46" s="17">
        <f t="shared" si="10"/>
        <v>55690</v>
      </c>
    </row>
    <row r="47" spans="1:11" ht="15" x14ac:dyDescent="0.3">
      <c r="A47" s="30">
        <f t="shared" si="11"/>
        <v>45931</v>
      </c>
      <c r="B47" s="17">
        <f t="shared" si="1"/>
        <v>352690.50000000029</v>
      </c>
      <c r="C47" s="17">
        <f t="shared" si="2"/>
        <v>114549.49999999991</v>
      </c>
      <c r="D47" s="15">
        <f t="shared" si="3"/>
        <v>0.32478759705747623</v>
      </c>
      <c r="E47" s="16">
        <f t="shared" si="4"/>
        <v>312</v>
      </c>
      <c r="F47" s="17">
        <f t="shared" si="5"/>
        <v>1130.4182692307702</v>
      </c>
      <c r="G47" s="18">
        <f t="shared" si="6"/>
        <v>3.8157894736842106</v>
      </c>
      <c r="H47" s="15">
        <f t="shared" si="7"/>
        <v>0.11538461538461539</v>
      </c>
      <c r="I47" s="19">
        <f t="shared" si="8"/>
        <v>3.6602564102564101</v>
      </c>
      <c r="J47" s="16">
        <f t="shared" si="9"/>
        <v>539</v>
      </c>
      <c r="K47" s="17">
        <f t="shared" si="10"/>
        <v>70130</v>
      </c>
    </row>
    <row r="48" spans="1:11" ht="15" x14ac:dyDescent="0.3">
      <c r="A48" s="30">
        <f t="shared" si="11"/>
        <v>45962</v>
      </c>
      <c r="B48" s="17">
        <f t="shared" si="1"/>
        <v>335940.85</v>
      </c>
      <c r="C48" s="17">
        <f t="shared" si="2"/>
        <v>108499.85000000003</v>
      </c>
      <c r="D48" s="15">
        <f t="shared" si="3"/>
        <v>0.32297307695685129</v>
      </c>
      <c r="E48" s="16">
        <f t="shared" si="4"/>
        <v>332</v>
      </c>
      <c r="F48" s="17">
        <f t="shared" si="5"/>
        <v>1011.8700301204818</v>
      </c>
      <c r="G48" s="18">
        <f t="shared" si="6"/>
        <v>3.816901408450704</v>
      </c>
      <c r="H48" s="15">
        <f t="shared" si="7"/>
        <v>9.337349397590361E-2</v>
      </c>
      <c r="I48" s="19">
        <f t="shared" si="8"/>
        <v>3.7590361445783134</v>
      </c>
      <c r="J48" s="16">
        <f t="shared" si="9"/>
        <v>572</v>
      </c>
      <c r="K48" s="17">
        <f t="shared" si="10"/>
        <v>67970</v>
      </c>
    </row>
    <row r="49" spans="1:11" ht="15" x14ac:dyDescent="0.3">
      <c r="A49" s="30">
        <f t="shared" si="11"/>
        <v>45992</v>
      </c>
      <c r="B49" s="17">
        <f t="shared" si="1"/>
        <v>214490.8000000001</v>
      </c>
      <c r="C49" s="17">
        <f t="shared" si="2"/>
        <v>90854.800000000017</v>
      </c>
      <c r="D49" s="15">
        <f t="shared" si="3"/>
        <v>0.42358366885665943</v>
      </c>
      <c r="E49" s="16">
        <f t="shared" si="4"/>
        <v>201</v>
      </c>
      <c r="F49" s="17">
        <f t="shared" si="5"/>
        <v>1067.1184079601994</v>
      </c>
      <c r="G49" s="18">
        <f t="shared" si="6"/>
        <v>3.9130434782608696</v>
      </c>
      <c r="H49" s="15">
        <f t="shared" si="7"/>
        <v>9.4527363184079602E-2</v>
      </c>
      <c r="I49" s="19">
        <f t="shared" si="8"/>
        <v>3.4228855721393034</v>
      </c>
      <c r="J49" s="16">
        <f t="shared" si="9"/>
        <v>303</v>
      </c>
      <c r="K49" s="17">
        <f t="shared" si="10"/>
        <v>49620</v>
      </c>
    </row>
    <row r="51" spans="1:11" x14ac:dyDescent="0.3">
      <c r="A51" s="13" t="s">
        <v>7366</v>
      </c>
    </row>
    <row r="52" spans="1:11" x14ac:dyDescent="0.3">
      <c r="A52" s="14" t="s">
        <v>7238</v>
      </c>
      <c r="B52" s="14" t="s">
        <v>7285</v>
      </c>
      <c r="C52" s="14" t="s">
        <v>7286</v>
      </c>
      <c r="D52" s="14" t="s">
        <v>7287</v>
      </c>
    </row>
    <row r="53" spans="1:11" x14ac:dyDescent="0.3">
      <c r="A53" t="s">
        <v>7288</v>
      </c>
      <c r="B53" s="17">
        <f>SUMIFS(Net_Revenue,Order_Date,"&gt;="&amp;DATE(2024,ROWS($A$53:A53),1),Order_Date,"&lt;"&amp;EDATE(DATE(2024,ROWS($A$53:A53),1),1),Region,cRegion,Sales_Channel,cChannel,Category,cCat)</f>
        <v>219793.3</v>
      </c>
      <c r="C53" s="17">
        <f>SUMIFS(Net_Revenue,Order_Date,"&gt;="&amp;DATE(2025,ROWS($A$53:A53),1),Order_Date,"&lt;"&amp;EDATE(DATE(2025,ROWS($A$53:A53),1),1),Region,cRegion,Sales_Channel,cChannel,Category,cCat)</f>
        <v>251689.1</v>
      </c>
      <c r="D53" s="15">
        <f>IF(B53=0,"",C53/B53-1)</f>
        <v>0.14511725334666714</v>
      </c>
    </row>
    <row r="54" spans="1:11" x14ac:dyDescent="0.3">
      <c r="A54" t="s">
        <v>7289</v>
      </c>
      <c r="B54" s="17">
        <f>SUMIFS(Net_Revenue,Order_Date,"&gt;="&amp;DATE(2024,ROWS($A$53:A54),1),Order_Date,"&lt;"&amp;EDATE(DATE(2024,ROWS($A$53:A54),1),1),Region,cRegion,Sales_Channel,cChannel,Category,cCat)</f>
        <v>97871.10000000002</v>
      </c>
      <c r="C54" s="17">
        <f>SUMIFS(Net_Revenue,Order_Date,"&gt;="&amp;DATE(2025,ROWS($A$53:A54),1),Order_Date,"&lt;"&amp;EDATE(DATE(2025,ROWS($A$53:A54),1),1),Region,cRegion,Sales_Channel,cChannel,Category,cCat)</f>
        <v>190110</v>
      </c>
      <c r="D54" s="15">
        <f t="shared" ref="D54:D64" si="12">IF(B54=0,"",C54/B54-1)</f>
        <v>0.94245287934844879</v>
      </c>
    </row>
    <row r="55" spans="1:11" x14ac:dyDescent="0.3">
      <c r="A55" t="s">
        <v>7290</v>
      </c>
      <c r="B55" s="17">
        <f>SUMIFS(Net_Revenue,Order_Date,"&gt;="&amp;DATE(2024,ROWS($A$53:A55),1),Order_Date,"&lt;"&amp;EDATE(DATE(2024,ROWS($A$53:A55),1),1),Region,cRegion,Sales_Channel,cChannel,Category,cCat)</f>
        <v>150200.35000000009</v>
      </c>
      <c r="C55" s="17">
        <f>SUMIFS(Net_Revenue,Order_Date,"&gt;="&amp;DATE(2025,ROWS($A$53:A55),1),Order_Date,"&lt;"&amp;EDATE(DATE(2025,ROWS($A$53:A55),1),1),Region,cRegion,Sales_Channel,cChannel,Category,cCat)</f>
        <v>264242.34999999998</v>
      </c>
      <c r="D55" s="15">
        <f t="shared" si="12"/>
        <v>0.75926587388111821</v>
      </c>
    </row>
    <row r="56" spans="1:11" x14ac:dyDescent="0.3">
      <c r="A56" t="s">
        <v>7291</v>
      </c>
      <c r="B56" s="17">
        <f>SUMIFS(Net_Revenue,Order_Date,"&gt;="&amp;DATE(2024,ROWS($A$53:A56),1),Order_Date,"&lt;"&amp;EDATE(DATE(2024,ROWS($A$53:A56),1),1),Region,cRegion,Sales_Channel,cChannel,Category,cCat)</f>
        <v>160817.20000000001</v>
      </c>
      <c r="C56" s="17">
        <f>SUMIFS(Net_Revenue,Order_Date,"&gt;="&amp;DATE(2025,ROWS($A$53:A56),1),Order_Date,"&lt;"&amp;EDATE(DATE(2025,ROWS($A$53:A56),1),1),Region,cRegion,Sales_Channel,cChannel,Category,cCat)</f>
        <v>253045.19999999995</v>
      </c>
      <c r="D56" s="15">
        <f t="shared" si="12"/>
        <v>0.57349586984476741</v>
      </c>
    </row>
    <row r="57" spans="1:11" x14ac:dyDescent="0.3">
      <c r="A57" t="s">
        <v>7292</v>
      </c>
      <c r="B57" s="17">
        <f>SUMIFS(Net_Revenue,Order_Date,"&gt;="&amp;DATE(2024,ROWS($A$53:A57),1),Order_Date,"&lt;"&amp;EDATE(DATE(2024,ROWS($A$53:A57),1),1),Region,cRegion,Sales_Channel,cChannel,Category,cCat)</f>
        <v>174244.50000000006</v>
      </c>
      <c r="C57" s="17">
        <f>SUMIFS(Net_Revenue,Order_Date,"&gt;="&amp;DATE(2025,ROWS($A$53:A57),1),Order_Date,"&lt;"&amp;EDATE(DATE(2025,ROWS($A$53:A57),1),1),Region,cRegion,Sales_Channel,cChannel,Category,cCat)</f>
        <v>167565.09999999995</v>
      </c>
      <c r="D57" s="15">
        <f t="shared" si="12"/>
        <v>-3.83334911575407E-2</v>
      </c>
    </row>
    <row r="58" spans="1:11" x14ac:dyDescent="0.3">
      <c r="A58" t="s">
        <v>7293</v>
      </c>
      <c r="B58" s="17">
        <f>SUMIFS(Net_Revenue,Order_Date,"&gt;="&amp;DATE(2024,ROWS($A$53:A58),1),Order_Date,"&lt;"&amp;EDATE(DATE(2024,ROWS($A$53:A58),1),1),Region,cRegion,Sales_Channel,cChannel,Category,cCat)</f>
        <v>161054.00000000003</v>
      </c>
      <c r="C58" s="17">
        <f>SUMIFS(Net_Revenue,Order_Date,"&gt;="&amp;DATE(2025,ROWS($A$53:A58),1),Order_Date,"&lt;"&amp;EDATE(DATE(2025,ROWS($A$53:A58),1),1),Region,cRegion,Sales_Channel,cChannel,Category,cCat)</f>
        <v>230474.25000000012</v>
      </c>
      <c r="D58" s="15">
        <f t="shared" si="12"/>
        <v>0.43103710556707742</v>
      </c>
    </row>
    <row r="59" spans="1:11" x14ac:dyDescent="0.3">
      <c r="A59" t="s">
        <v>7294</v>
      </c>
      <c r="B59" s="17">
        <f>SUMIFS(Net_Revenue,Order_Date,"&gt;="&amp;DATE(2024,ROWS($A$53:A59),1),Order_Date,"&lt;"&amp;EDATE(DATE(2024,ROWS($A$53:A59),1),1),Region,cRegion,Sales_Channel,cChannel,Category,cCat)</f>
        <v>171014.2</v>
      </c>
      <c r="C59" s="17">
        <f>SUMIFS(Net_Revenue,Order_Date,"&gt;="&amp;DATE(2025,ROWS($A$53:A59),1),Order_Date,"&lt;"&amp;EDATE(DATE(2025,ROWS($A$53:A59),1),1),Region,cRegion,Sales_Channel,cChannel,Category,cCat)</f>
        <v>190477.15000000008</v>
      </c>
      <c r="D59" s="15">
        <f t="shared" si="12"/>
        <v>0.11380897024925463</v>
      </c>
    </row>
    <row r="60" spans="1:11" x14ac:dyDescent="0.3">
      <c r="A60" t="s">
        <v>7295</v>
      </c>
      <c r="B60" s="17">
        <f>SUMIFS(Net_Revenue,Order_Date,"&gt;="&amp;DATE(2024,ROWS($A$53:A60),1),Order_Date,"&lt;"&amp;EDATE(DATE(2024,ROWS($A$53:A60),1),1),Region,cRegion,Sales_Channel,cChannel,Category,cCat)</f>
        <v>154762.2000000001</v>
      </c>
      <c r="C60" s="17">
        <f>SUMIFS(Net_Revenue,Order_Date,"&gt;="&amp;DATE(2025,ROWS($A$53:A60),1),Order_Date,"&lt;"&amp;EDATE(DATE(2025,ROWS($A$53:A60),1),1),Region,cRegion,Sales_Channel,cChannel,Category,cCat)</f>
        <v>224313.95</v>
      </c>
      <c r="D60" s="15">
        <f t="shared" si="12"/>
        <v>0.44941045035544769</v>
      </c>
    </row>
    <row r="61" spans="1:11" x14ac:dyDescent="0.3">
      <c r="A61" t="s">
        <v>7296</v>
      </c>
      <c r="B61" s="17">
        <f>SUMIFS(Net_Revenue,Order_Date,"&gt;="&amp;DATE(2024,ROWS($A$53:A61),1),Order_Date,"&lt;"&amp;EDATE(DATE(2024,ROWS($A$53:A61),1),1),Region,cRegion,Sales_Channel,cChannel,Category,cCat)</f>
        <v>210860.2500000002</v>
      </c>
      <c r="C61" s="17">
        <f>SUMIFS(Net_Revenue,Order_Date,"&gt;="&amp;DATE(2025,ROWS($A$53:A61),1),Order_Date,"&lt;"&amp;EDATE(DATE(2025,ROWS($A$53:A61),1),1),Region,cRegion,Sales_Channel,cChannel,Category,cCat)</f>
        <v>224466.7</v>
      </c>
      <c r="D61" s="15">
        <f t="shared" si="12"/>
        <v>6.4528283543246356E-2</v>
      </c>
    </row>
    <row r="62" spans="1:11" x14ac:dyDescent="0.3">
      <c r="A62" t="s">
        <v>7297</v>
      </c>
      <c r="B62" s="17">
        <f>SUMIFS(Net_Revenue,Order_Date,"&gt;="&amp;DATE(2024,ROWS($A$53:A62),1),Order_Date,"&lt;"&amp;EDATE(DATE(2024,ROWS($A$53:A62),1),1),Region,cRegion,Sales_Channel,cChannel,Category,cCat)</f>
        <v>274168.75</v>
      </c>
      <c r="C62" s="17">
        <f>SUMIFS(Net_Revenue,Order_Date,"&gt;="&amp;DATE(2025,ROWS($A$53:A62),1),Order_Date,"&lt;"&amp;EDATE(DATE(2025,ROWS($A$53:A62),1),1),Region,cRegion,Sales_Channel,cChannel,Category,cCat)</f>
        <v>352690.50000000029</v>
      </c>
      <c r="D62" s="15">
        <f t="shared" si="12"/>
        <v>0.28639934347003559</v>
      </c>
    </row>
    <row r="63" spans="1:11" x14ac:dyDescent="0.3">
      <c r="A63" t="s">
        <v>7298</v>
      </c>
      <c r="B63" s="17">
        <f>SUMIFS(Net_Revenue,Order_Date,"&gt;="&amp;DATE(2024,ROWS($A$53:A63),1),Order_Date,"&lt;"&amp;EDATE(DATE(2024,ROWS($A$53:A63),1),1),Region,cRegion,Sales_Channel,cChannel,Category,cCat)</f>
        <v>252007.25000000009</v>
      </c>
      <c r="C63" s="17">
        <f>SUMIFS(Net_Revenue,Order_Date,"&gt;="&amp;DATE(2025,ROWS($A$53:A63),1),Order_Date,"&lt;"&amp;EDATE(DATE(2025,ROWS($A$53:A63),1),1),Region,cRegion,Sales_Channel,cChannel,Category,cCat)</f>
        <v>335940.85</v>
      </c>
      <c r="D63" s="15">
        <f t="shared" si="12"/>
        <v>0.3330602591790508</v>
      </c>
    </row>
    <row r="64" spans="1:11" x14ac:dyDescent="0.3">
      <c r="A64" t="s">
        <v>7299</v>
      </c>
      <c r="B64" s="17">
        <f>SUMIFS(Net_Revenue,Order_Date,"&gt;="&amp;DATE(2024,ROWS($A$53:A64),1),Order_Date,"&lt;"&amp;EDATE(DATE(2024,ROWS($A$53:A64),1),1),Region,cRegion,Sales_Channel,cChannel,Category,cCat)</f>
        <v>229843.40000000002</v>
      </c>
      <c r="C64" s="17">
        <f>SUMIFS(Net_Revenue,Order_Date,"&gt;="&amp;DATE(2025,ROWS($A$53:A64),1),Order_Date,"&lt;"&amp;EDATE(DATE(2025,ROWS($A$53:A64),1),1),Region,cRegion,Sales_Channel,cChannel,Category,cCat)</f>
        <v>214490.8000000001</v>
      </c>
      <c r="D64" s="15">
        <f t="shared" si="12"/>
        <v>-6.6795914087591446E-2</v>
      </c>
    </row>
    <row r="67" spans="1:9" x14ac:dyDescent="0.3">
      <c r="A67" s="13" t="s">
        <v>7367</v>
      </c>
    </row>
    <row r="68" spans="1:9" x14ac:dyDescent="0.3">
      <c r="A68" s="14" t="s">
        <v>7169</v>
      </c>
      <c r="B68" s="14" t="s">
        <v>7279</v>
      </c>
      <c r="C68" s="14" t="s">
        <v>7248</v>
      </c>
      <c r="D68" s="14" t="s">
        <v>7249</v>
      </c>
      <c r="E68" s="14" t="s">
        <v>7259</v>
      </c>
      <c r="F68" s="14" t="s">
        <v>7282</v>
      </c>
      <c r="G68" s="14" t="s">
        <v>7260</v>
      </c>
      <c r="H68" s="14" t="s">
        <v>7300</v>
      </c>
    </row>
    <row r="69" spans="1:9" x14ac:dyDescent="0.3">
      <c r="A69" t="s">
        <v>7173</v>
      </c>
      <c r="B69" s="17">
        <f t="shared" ref="B69:B75" si="13">SUMIFS(Net_Revenue,Year,cYear,Region,cRegion,Sales_Channel,cChannel,Category,cCat,Category,A69)</f>
        <v>635906.9</v>
      </c>
      <c r="C69" s="17">
        <f t="shared" ref="C69:C75" si="14">SUMIFS(Profit,Year,cYear,Region,cRegion,Sales_Channel,cChannel,Category,cCat,Category,A69)</f>
        <v>348934.89999999991</v>
      </c>
      <c r="D69" s="15">
        <f t="shared" ref="D69:D75" si="15">IFERROR(C69/B69,0)</f>
        <v>0.54872010352458811</v>
      </c>
      <c r="E69" s="16">
        <f t="shared" ref="E69:E75" si="16">COUNTIFS(Year,cYear,Region,cRegion,Sales_Channel,cChannel,Category,cCat,Category,A69)</f>
        <v>1014</v>
      </c>
      <c r="F69" s="15">
        <f t="shared" ref="F69:F75" si="17">IFERROR(SUMIFS(Returned,Year,cYear,Region,cRegion,Sales_Channel,cChannel,Category,cCat,Category,$A69)/E69,0)</f>
        <v>8.9743589743589744E-2</v>
      </c>
      <c r="G69" s="18">
        <f t="shared" ref="G69:G75" si="18">IFERROR(AVERAGEIFS(Customer_Rating,Year,cYear,Region,cRegion,Sales_Channel,cChannel,Category,cCat,Category,A69),0)</f>
        <v>3.9170068027210885</v>
      </c>
      <c r="H69" s="15">
        <f>IFERROR(B69/$B$11,0)</f>
        <v>0.12332997122684225</v>
      </c>
    </row>
    <row r="70" spans="1:9" x14ac:dyDescent="0.3">
      <c r="A70" t="s">
        <v>7179</v>
      </c>
      <c r="B70" s="17">
        <f t="shared" si="13"/>
        <v>418120.70000000019</v>
      </c>
      <c r="C70" s="17">
        <f t="shared" si="14"/>
        <v>183751.70000000013</v>
      </c>
      <c r="D70" s="15">
        <f t="shared" si="15"/>
        <v>0.43947046869480522</v>
      </c>
      <c r="E70" s="16">
        <f t="shared" si="16"/>
        <v>806</v>
      </c>
      <c r="F70" s="15">
        <f t="shared" si="17"/>
        <v>7.6923076923076927E-2</v>
      </c>
      <c r="G70" s="18">
        <f t="shared" si="18"/>
        <v>3.8619469026548674</v>
      </c>
      <c r="H70" s="15">
        <f t="shared" ref="H70:H75" si="19">IFERROR(B70/$B$11,0)</f>
        <v>8.1091766578326424E-2</v>
      </c>
    </row>
    <row r="71" spans="1:9" x14ac:dyDescent="0.3">
      <c r="A71" t="s">
        <v>7184</v>
      </c>
      <c r="B71" s="17">
        <f t="shared" si="13"/>
        <v>1433237.9500000011</v>
      </c>
      <c r="C71" s="17">
        <f t="shared" si="14"/>
        <v>635168.94999999856</v>
      </c>
      <c r="D71" s="15">
        <f t="shared" si="15"/>
        <v>0.44317061936575014</v>
      </c>
      <c r="E71" s="16">
        <f t="shared" si="16"/>
        <v>801</v>
      </c>
      <c r="F71" s="15">
        <f t="shared" si="17"/>
        <v>0.15480649188514356</v>
      </c>
      <c r="G71" s="18">
        <f t="shared" si="18"/>
        <v>3.9320557491289199</v>
      </c>
      <c r="H71" s="15">
        <f t="shared" si="19"/>
        <v>0.27796709728219415</v>
      </c>
    </row>
    <row r="72" spans="1:9" x14ac:dyDescent="0.3">
      <c r="A72" t="s">
        <v>7190</v>
      </c>
      <c r="B72" s="17">
        <f t="shared" si="13"/>
        <v>968884.25000000012</v>
      </c>
      <c r="C72" s="17">
        <f t="shared" si="14"/>
        <v>379840.24999999971</v>
      </c>
      <c r="D72" s="15">
        <f t="shared" si="15"/>
        <v>0.39203883229601438</v>
      </c>
      <c r="E72" s="16">
        <f t="shared" si="16"/>
        <v>706</v>
      </c>
      <c r="F72" s="15">
        <f t="shared" si="17"/>
        <v>0.16713881019830029</v>
      </c>
      <c r="G72" s="18">
        <f t="shared" si="18"/>
        <v>3.9541108986615678</v>
      </c>
      <c r="H72" s="15">
        <f t="shared" si="19"/>
        <v>0.18790874367716506</v>
      </c>
    </row>
    <row r="73" spans="1:9" x14ac:dyDescent="0.3">
      <c r="A73" t="s">
        <v>7195</v>
      </c>
      <c r="B73" s="17">
        <f t="shared" si="13"/>
        <v>603725.20000000007</v>
      </c>
      <c r="C73" s="17">
        <f t="shared" si="14"/>
        <v>247922.19999999998</v>
      </c>
      <c r="D73" s="15">
        <f t="shared" si="15"/>
        <v>0.41065405253913528</v>
      </c>
      <c r="E73" s="16">
        <f t="shared" si="16"/>
        <v>424</v>
      </c>
      <c r="F73" s="15">
        <f t="shared" si="17"/>
        <v>8.0188679245283015E-2</v>
      </c>
      <c r="G73" s="18">
        <f t="shared" si="18"/>
        <v>3.9133574007220218</v>
      </c>
      <c r="H73" s="15">
        <f t="shared" si="19"/>
        <v>0.1170885416480299</v>
      </c>
    </row>
    <row r="74" spans="1:9" x14ac:dyDescent="0.3">
      <c r="A74" t="s">
        <v>7200</v>
      </c>
      <c r="B74" s="17">
        <f t="shared" si="13"/>
        <v>455520.1999999999</v>
      </c>
      <c r="C74" s="17">
        <f t="shared" si="14"/>
        <v>68540.199999999953</v>
      </c>
      <c r="D74" s="15">
        <f t="shared" si="15"/>
        <v>0.15046577517308776</v>
      </c>
      <c r="E74" s="16">
        <f t="shared" si="16"/>
        <v>366</v>
      </c>
      <c r="F74" s="15">
        <f t="shared" si="17"/>
        <v>6.0109289617486336E-2</v>
      </c>
      <c r="G74" s="18">
        <f t="shared" si="18"/>
        <v>3.9027237354085602</v>
      </c>
      <c r="H74" s="15">
        <f t="shared" si="19"/>
        <v>8.8345154234441253E-2</v>
      </c>
    </row>
    <row r="75" spans="1:9" x14ac:dyDescent="0.3">
      <c r="A75" t="s">
        <v>7205</v>
      </c>
      <c r="B75" s="17">
        <f t="shared" si="13"/>
        <v>640747.24999999942</v>
      </c>
      <c r="C75" s="17">
        <f t="shared" si="14"/>
        <v>219096.25000000047</v>
      </c>
      <c r="D75" s="15">
        <f t="shared" si="15"/>
        <v>0.34193865053654254</v>
      </c>
      <c r="E75" s="16">
        <f t="shared" si="16"/>
        <v>716</v>
      </c>
      <c r="F75" s="15">
        <f t="shared" si="17"/>
        <v>7.2625698324022353E-2</v>
      </c>
      <c r="G75" s="18">
        <f t="shared" si="18"/>
        <v>3.9150197628458496</v>
      </c>
      <c r="H75" s="15">
        <f t="shared" si="19"/>
        <v>0.12426872535300092</v>
      </c>
    </row>
    <row r="78" spans="1:9" x14ac:dyDescent="0.3">
      <c r="A78" s="13" t="s">
        <v>7368</v>
      </c>
    </row>
    <row r="79" spans="1:9" x14ac:dyDescent="0.3">
      <c r="A79" s="14" t="s">
        <v>7250</v>
      </c>
      <c r="B79" s="14" t="s">
        <v>7279</v>
      </c>
      <c r="C79" s="14" t="s">
        <v>7248</v>
      </c>
      <c r="D79" s="14" t="s">
        <v>7249</v>
      </c>
      <c r="E79" s="14" t="s">
        <v>7259</v>
      </c>
      <c r="F79" s="14" t="s">
        <v>7282</v>
      </c>
      <c r="G79" s="14" t="s">
        <v>7260</v>
      </c>
      <c r="H79" s="14" t="s">
        <v>7300</v>
      </c>
      <c r="I79" s="14" t="s">
        <v>7283</v>
      </c>
    </row>
    <row r="80" spans="1:9" x14ac:dyDescent="0.3">
      <c r="A80" t="s">
        <v>65</v>
      </c>
      <c r="B80" s="5">
        <f>SUMIFS(Net_Revenue,Year,cYear,Region,cRegion,Sales_Channel,cChannel,Category,cCat,Sales_Channel,$A80)</f>
        <v>1447389.6999999993</v>
      </c>
      <c r="C80" s="5">
        <f>SUMIFS(Profit,Year,cYear,Region,cRegion,Sales_Channel,cChannel,Category,cCat,Sales_Channel,$A80)</f>
        <v>551536.70000000019</v>
      </c>
      <c r="D80" s="9">
        <f>IFERROR(C80/B80,0)</f>
        <v>0.38105611778223963</v>
      </c>
      <c r="E80" s="16">
        <f>COUNTIFS(Year,cYear,Region,cRegion,Sales_Channel,cChannel,Category,cCat,Sales_Channel,$A80)</f>
        <v>1436</v>
      </c>
      <c r="F80" s="9">
        <f>IFERROR(SUMIFS(Returned,Year,cYear,Region,cRegion,Sales_Channel,cChannel,Category,cCat,Sales_Channel,$A80)/E80,0)</f>
        <v>0.1107242339832869</v>
      </c>
      <c r="G80" s="18">
        <f>IFERROR(AVERAGEIFS(Customer_Rating,Year,cYear,Region,cRegion,Sales_Channel,cChannel,Category,cCat,Sales_Channel,$A80),0)</f>
        <v>3.941468253968254</v>
      </c>
      <c r="H80" s="9">
        <f>IFERROR(B80/$B$11,0)</f>
        <v>0.28071173634855628</v>
      </c>
      <c r="I80" s="9">
        <f>IFERROR(SUMIFS(Discount_Amount,Year,cYear,Region,cRegion,Sales_Channel,cChannel,Category,cCat,Sales_Channel,$A80)/SUMIFS(Gross_Sale,Year,cYear,Region,cRegion,Sales_Channel,cChannel,Category,cCat,Sales_Channel,$A80),0)</f>
        <v>0.23660598957907536</v>
      </c>
    </row>
    <row r="81" spans="1:14" x14ac:dyDescent="0.3">
      <c r="A81" t="s">
        <v>23</v>
      </c>
      <c r="B81" s="5">
        <f>SUMIFS(Net_Revenue,Year,cYear,Region,cRegion,Sales_Channel,cChannel,Category,cCat,Sales_Channel,$A81)</f>
        <v>1180727.3499999999</v>
      </c>
      <c r="C81" s="5">
        <f>SUMIFS(Profit,Year,cYear,Region,cRegion,Sales_Channel,cChannel,Category,cCat,Sales_Channel,$A81)</f>
        <v>460775.34999999905</v>
      </c>
      <c r="D81" s="9">
        <f t="shared" ref="D81:D84" si="20">IFERROR(C81/B81,0)</f>
        <v>0.3902470371335085</v>
      </c>
      <c r="E81" s="16">
        <f>COUNTIFS(Year,cYear,Region,cRegion,Sales_Channel,cChannel,Category,cCat,Sales_Channel,$A81)</f>
        <v>1144</v>
      </c>
      <c r="F81" s="9">
        <f>IFERROR(SUMIFS(Returned,Year,cYear,Region,cRegion,Sales_Channel,cChannel,Category,cCat,Sales_Channel,$A81)/E81,0)</f>
        <v>9.4405594405594401E-2</v>
      </c>
      <c r="G81" s="18">
        <f>IFERROR(AVERAGEIFS(Customer_Rating,Year,cYear,Region,cRegion,Sales_Channel,cChannel,Category,cCat,Sales_Channel,$A81),0)</f>
        <v>3.9167657550535075</v>
      </c>
      <c r="H81" s="9">
        <f t="shared" ref="H81:H84" si="21">IFERROR(B81/$B$11,0)</f>
        <v>0.22899432307189255</v>
      </c>
      <c r="I81" s="9">
        <f>IFERROR(SUMIFS(Discount_Amount,Year,cYear,Region,cRegion,Sales_Channel,cChannel,Category,cCat,Sales_Channel,$A81)/SUMIFS(Gross_Sale,Year,cYear,Region,cRegion,Sales_Channel,cChannel,Category,cCat,Sales_Channel,$A81),0)</f>
        <v>0.22718366120705008</v>
      </c>
    </row>
    <row r="82" spans="1:14" x14ac:dyDescent="0.3">
      <c r="A82" t="s">
        <v>39</v>
      </c>
      <c r="B82" s="5">
        <f>SUMIFS(Net_Revenue,Year,cYear,Region,cRegion,Sales_Channel,cChannel,Category,cCat,Sales_Channel,$A82)</f>
        <v>914734.4499999996</v>
      </c>
      <c r="C82" s="5">
        <f>SUMIFS(Profit,Year,cYear,Region,cRegion,Sales_Channel,cChannel,Category,cCat,Sales_Channel,$A82)</f>
        <v>387341.45</v>
      </c>
      <c r="D82" s="9">
        <f t="shared" si="20"/>
        <v>0.42344688122328855</v>
      </c>
      <c r="E82" s="16">
        <f>COUNTIFS(Year,cYear,Region,cRegion,Sales_Channel,cChannel,Category,cCat,Sales_Channel,$A82)</f>
        <v>832</v>
      </c>
      <c r="F82" s="9">
        <f>IFERROR(SUMIFS(Returned,Year,cYear,Region,cRegion,Sales_Channel,cChannel,Category,cCat,Sales_Channel,$A82)/E82,0)</f>
        <v>9.4951923076923073E-2</v>
      </c>
      <c r="G82" s="18">
        <f>IFERROR(AVERAGEIFS(Customer_Rating,Year,cYear,Region,cRegion,Sales_Channel,cChannel,Category,cCat,Sales_Channel,$A82),0)</f>
        <v>3.8010471204188483</v>
      </c>
      <c r="H82" s="9">
        <f t="shared" si="21"/>
        <v>0.17740674523063252</v>
      </c>
      <c r="I82" s="9">
        <f>IFERROR(SUMIFS(Discount_Amount,Year,cYear,Region,cRegion,Sales_Channel,cChannel,Category,cCat,Sales_Channel,$A82)/SUMIFS(Gross_Sale,Year,cYear,Region,cRegion,Sales_Channel,cChannel,Category,cCat,Sales_Channel,$A82),0)</f>
        <v>0.17940355372071332</v>
      </c>
    </row>
    <row r="83" spans="1:14" x14ac:dyDescent="0.3">
      <c r="A83" t="s">
        <v>16</v>
      </c>
      <c r="B83" s="5">
        <f>SUMIFS(Net_Revenue,Year,cYear,Region,cRegion,Sales_Channel,cChannel,Category,cCat,Sales_Channel,$A83)</f>
        <v>1162695.8500000008</v>
      </c>
      <c r="C83" s="5">
        <f>SUMIFS(Profit,Year,cYear,Region,cRegion,Sales_Channel,cChannel,Category,cCat,Sales_Channel,$A83)</f>
        <v>485389.84999999934</v>
      </c>
      <c r="D83" s="9">
        <f t="shared" si="20"/>
        <v>0.41746932355525224</v>
      </c>
      <c r="E83" s="16">
        <f>COUNTIFS(Year,cYear,Region,cRegion,Sales_Channel,cChannel,Category,cCat,Sales_Channel,$A83)</f>
        <v>726</v>
      </c>
      <c r="F83" s="9">
        <f>IFERROR(SUMIFS(Returned,Year,cYear,Region,cRegion,Sales_Channel,cChannel,Category,cCat,Sales_Channel,$A83)/E83,0)</f>
        <v>0.14049586776859505</v>
      </c>
      <c r="G83" s="18">
        <f>IFERROR(AVERAGEIFS(Customer_Rating,Year,cYear,Region,cRegion,Sales_Channel,cChannel,Category,cCat,Sales_Channel,$A83),0)</f>
        <v>4</v>
      </c>
      <c r="H83" s="9">
        <f t="shared" si="21"/>
        <v>0.22549723194711205</v>
      </c>
      <c r="I83" s="9">
        <f>IFERROR(SUMIFS(Discount_Amount,Year,cYear,Region,cRegion,Sales_Channel,cChannel,Category,cCat,Sales_Channel,$A83)/SUMIFS(Gross_Sale,Year,cYear,Region,cRegion,Sales_Channel,cChannel,Category,cCat,Sales_Channel,$A83),0)</f>
        <v>0.19759349652970212</v>
      </c>
    </row>
    <row r="84" spans="1:14" x14ac:dyDescent="0.3">
      <c r="A84" t="s">
        <v>50</v>
      </c>
      <c r="B84" s="5">
        <f>SUMIFS(Net_Revenue,Year,cYear,Region,cRegion,Sales_Channel,cChannel,Category,cCat,Sales_Channel,$A84)</f>
        <v>450595.10000000033</v>
      </c>
      <c r="C84" s="5">
        <f>SUMIFS(Profit,Year,cYear,Region,cRegion,Sales_Channel,cChannel,Category,cCat,Sales_Channel,$A84)</f>
        <v>198211.10000000021</v>
      </c>
      <c r="D84" s="9">
        <f t="shared" si="20"/>
        <v>0.4398873844833201</v>
      </c>
      <c r="E84" s="16">
        <f>COUNTIFS(Year,cYear,Region,cRegion,Sales_Channel,cChannel,Category,cCat,Sales_Channel,$A84)</f>
        <v>695</v>
      </c>
      <c r="F84" s="9">
        <f>IFERROR(SUMIFS(Returned,Year,cYear,Region,cRegion,Sales_Channel,cChannel,Category,cCat,Sales_Channel,$A84)/E84,0)</f>
        <v>7.9136690647482008E-2</v>
      </c>
      <c r="G84" s="18">
        <f>IFERROR(AVERAGEIFS(Customer_Rating,Year,cYear,Region,cRegion,Sales_Channel,cChannel,Category,cCat,Sales_Channel,$A84),0)</f>
        <v>3.896969696969697</v>
      </c>
      <c r="H84" s="9">
        <f t="shared" si="21"/>
        <v>8.7389963401806367E-2</v>
      </c>
      <c r="I84" s="9">
        <f>IFERROR(SUMIFS(Discount_Amount,Year,cYear,Region,cRegion,Sales_Channel,cChannel,Category,cCat,Sales_Channel,$A84)/SUMIFS(Gross_Sale,Year,cYear,Region,cRegion,Sales_Channel,cChannel,Category,cCat,Sales_Channel,$A84),0)</f>
        <v>0.24173386689642642</v>
      </c>
    </row>
    <row r="87" spans="1:14" x14ac:dyDescent="0.3">
      <c r="A87" s="13" t="s">
        <v>7369</v>
      </c>
    </row>
    <row r="88" spans="1:14" x14ac:dyDescent="0.3">
      <c r="A88" s="14" t="s">
        <v>7210</v>
      </c>
      <c r="B88" s="14" t="s">
        <v>18</v>
      </c>
      <c r="C88" s="14" t="s">
        <v>2522</v>
      </c>
      <c r="D88" s="14" t="s">
        <v>3495</v>
      </c>
      <c r="E88" s="14" t="s">
        <v>4074</v>
      </c>
      <c r="F88" s="14" t="s">
        <v>4450</v>
      </c>
    </row>
    <row r="89" spans="1:14" x14ac:dyDescent="0.3">
      <c r="A89" t="s">
        <v>7212</v>
      </c>
      <c r="B89">
        <f t="shared" ref="B89:F92" si="22">COUNTIFS(Year,cYear,Region,cRegion,Sales_Channel,cChannel,Category,cCat,Region,$A89,Payment_Method,B$88)</f>
        <v>680</v>
      </c>
      <c r="C89">
        <f t="shared" si="22"/>
        <v>343</v>
      </c>
      <c r="D89">
        <f t="shared" si="22"/>
        <v>199</v>
      </c>
      <c r="E89">
        <f t="shared" si="22"/>
        <v>137</v>
      </c>
      <c r="F89">
        <f t="shared" si="22"/>
        <v>116</v>
      </c>
    </row>
    <row r="90" spans="1:14" x14ac:dyDescent="0.3">
      <c r="A90" t="s">
        <v>7231</v>
      </c>
      <c r="B90">
        <f t="shared" si="22"/>
        <v>646</v>
      </c>
      <c r="C90">
        <f t="shared" si="22"/>
        <v>296</v>
      </c>
      <c r="D90">
        <f t="shared" si="22"/>
        <v>199</v>
      </c>
      <c r="E90">
        <f t="shared" si="22"/>
        <v>130</v>
      </c>
      <c r="F90">
        <f t="shared" si="22"/>
        <v>114</v>
      </c>
    </row>
    <row r="91" spans="1:14" x14ac:dyDescent="0.3">
      <c r="A91" t="s">
        <v>7221</v>
      </c>
      <c r="B91">
        <f t="shared" si="22"/>
        <v>380</v>
      </c>
      <c r="C91">
        <f t="shared" si="22"/>
        <v>170</v>
      </c>
      <c r="D91">
        <f t="shared" si="22"/>
        <v>124</v>
      </c>
      <c r="E91">
        <f t="shared" si="22"/>
        <v>78</v>
      </c>
      <c r="F91">
        <f t="shared" si="22"/>
        <v>51</v>
      </c>
    </row>
    <row r="92" spans="1:14" x14ac:dyDescent="0.3">
      <c r="A92" t="s">
        <v>7224</v>
      </c>
      <c r="B92">
        <f t="shared" si="22"/>
        <v>550</v>
      </c>
      <c r="C92">
        <f t="shared" si="22"/>
        <v>245</v>
      </c>
      <c r="D92">
        <f t="shared" si="22"/>
        <v>174</v>
      </c>
      <c r="E92">
        <f t="shared" si="22"/>
        <v>112</v>
      </c>
      <c r="F92">
        <f t="shared" si="22"/>
        <v>89</v>
      </c>
    </row>
    <row r="94" spans="1:14" x14ac:dyDescent="0.3">
      <c r="A94" s="13" t="s">
        <v>7370</v>
      </c>
    </row>
    <row r="95" spans="1:14" x14ac:dyDescent="0.3">
      <c r="A95" s="14" t="s">
        <v>7169</v>
      </c>
      <c r="B95" s="14" t="s">
        <v>7288</v>
      </c>
      <c r="C95" s="14" t="s">
        <v>7289</v>
      </c>
      <c r="D95" s="14" t="s">
        <v>7290</v>
      </c>
      <c r="E95" s="14" t="s">
        <v>7291</v>
      </c>
      <c r="F95" s="14" t="s">
        <v>7292</v>
      </c>
      <c r="G95" s="14" t="s">
        <v>7293</v>
      </c>
      <c r="H95" s="14" t="s">
        <v>7294</v>
      </c>
      <c r="I95" s="14" t="s">
        <v>7295</v>
      </c>
      <c r="J95" s="14" t="s">
        <v>7296</v>
      </c>
      <c r="K95" s="14" t="s">
        <v>7297</v>
      </c>
      <c r="L95" s="14" t="s">
        <v>7298</v>
      </c>
      <c r="M95" s="14" t="s">
        <v>7299</v>
      </c>
      <c r="N95" s="14" t="s">
        <v>7266</v>
      </c>
    </row>
    <row r="96" spans="1:14" x14ac:dyDescent="0.3">
      <c r="A96" t="s">
        <v>7173</v>
      </c>
      <c r="B96" s="17">
        <f t="shared" ref="B96:M102" si="23">SUMIFS(Net_Revenue,Year,cYear,Region,cRegion,Sales_Channel,cChannel,Category,cCat,Category,$A96,Month_No,COLUMN()-COLUMN($B$95)+1)</f>
        <v>56494.200000000012</v>
      </c>
      <c r="C96" s="17">
        <f t="shared" si="23"/>
        <v>44310.049999999988</v>
      </c>
      <c r="D96" s="17">
        <f t="shared" si="23"/>
        <v>43426.050000000032</v>
      </c>
      <c r="E96" s="17">
        <f t="shared" si="23"/>
        <v>56952.450000000004</v>
      </c>
      <c r="F96" s="17">
        <f t="shared" si="23"/>
        <v>40215.300000000003</v>
      </c>
      <c r="G96" s="17">
        <f t="shared" si="23"/>
        <v>42008.250000000007</v>
      </c>
      <c r="H96" s="17">
        <f t="shared" si="23"/>
        <v>45046.950000000004</v>
      </c>
      <c r="I96" s="17">
        <f t="shared" si="23"/>
        <v>47869.999999999993</v>
      </c>
      <c r="J96" s="17">
        <f t="shared" si="23"/>
        <v>54808.65</v>
      </c>
      <c r="K96" s="17">
        <f t="shared" si="23"/>
        <v>77146.349999999977</v>
      </c>
      <c r="L96" s="17">
        <f t="shared" si="23"/>
        <v>76625.3</v>
      </c>
      <c r="M96" s="17">
        <f t="shared" si="23"/>
        <v>51003.349999999991</v>
      </c>
      <c r="N96" s="5">
        <f t="shared" ref="N96:N102" si="24">SUM(B96:M96)</f>
        <v>635906.9</v>
      </c>
    </row>
    <row r="97" spans="1:14" x14ac:dyDescent="0.3">
      <c r="A97" t="s">
        <v>7179</v>
      </c>
      <c r="B97" s="17">
        <f t="shared" si="23"/>
        <v>24364.149999999998</v>
      </c>
      <c r="C97" s="17">
        <f t="shared" si="23"/>
        <v>27617.200000000004</v>
      </c>
      <c r="D97" s="17">
        <f t="shared" si="23"/>
        <v>25422.299999999988</v>
      </c>
      <c r="E97" s="17">
        <f t="shared" si="23"/>
        <v>34087.499999999993</v>
      </c>
      <c r="F97" s="17">
        <f t="shared" si="23"/>
        <v>27512.800000000003</v>
      </c>
      <c r="G97" s="17">
        <f t="shared" si="23"/>
        <v>32450.400000000009</v>
      </c>
      <c r="H97" s="17">
        <f t="shared" si="23"/>
        <v>30616.299999999992</v>
      </c>
      <c r="I97" s="17">
        <f t="shared" si="23"/>
        <v>38731.899999999987</v>
      </c>
      <c r="J97" s="17">
        <f t="shared" si="23"/>
        <v>39547.999999999993</v>
      </c>
      <c r="K97" s="17">
        <f t="shared" si="23"/>
        <v>44517.999999999985</v>
      </c>
      <c r="L97" s="17">
        <f t="shared" si="23"/>
        <v>47622.349999999991</v>
      </c>
      <c r="M97" s="17">
        <f t="shared" si="23"/>
        <v>45629.799999999996</v>
      </c>
      <c r="N97" s="5">
        <f t="shared" si="24"/>
        <v>418120.69999999995</v>
      </c>
    </row>
    <row r="98" spans="1:14" x14ac:dyDescent="0.3">
      <c r="A98" t="s">
        <v>7184</v>
      </c>
      <c r="B98" s="17">
        <f t="shared" si="23"/>
        <v>136340</v>
      </c>
      <c r="C98" s="17">
        <f t="shared" si="23"/>
        <v>86478.949999999983</v>
      </c>
      <c r="D98" s="17">
        <f t="shared" si="23"/>
        <v>140923.35000000006</v>
      </c>
      <c r="E98" s="17">
        <f t="shared" si="23"/>
        <v>115921.20000000004</v>
      </c>
      <c r="F98" s="17">
        <f t="shared" si="23"/>
        <v>98493.35000000002</v>
      </c>
      <c r="G98" s="17">
        <f t="shared" si="23"/>
        <v>117220.70000000001</v>
      </c>
      <c r="H98" s="17">
        <f t="shared" si="23"/>
        <v>99421.05</v>
      </c>
      <c r="I98" s="17">
        <f t="shared" si="23"/>
        <v>82505.700000000026</v>
      </c>
      <c r="J98" s="17">
        <f t="shared" si="23"/>
        <v>115069.55</v>
      </c>
      <c r="K98" s="17">
        <f t="shared" si="23"/>
        <v>176213.25</v>
      </c>
      <c r="L98" s="17">
        <f t="shared" si="23"/>
        <v>147365.90000000002</v>
      </c>
      <c r="M98" s="17">
        <f t="shared" si="23"/>
        <v>117284.95000000004</v>
      </c>
      <c r="N98" s="5">
        <f t="shared" si="24"/>
        <v>1433237.95</v>
      </c>
    </row>
    <row r="99" spans="1:14" x14ac:dyDescent="0.3">
      <c r="A99" t="s">
        <v>7190</v>
      </c>
      <c r="B99" s="17">
        <f t="shared" si="23"/>
        <v>93629.800000000032</v>
      </c>
      <c r="C99" s="17">
        <f t="shared" si="23"/>
        <v>52407.999999999993</v>
      </c>
      <c r="D99" s="17">
        <f t="shared" si="23"/>
        <v>68164.900000000009</v>
      </c>
      <c r="E99" s="17">
        <f t="shared" si="23"/>
        <v>62253.4</v>
      </c>
      <c r="F99" s="17">
        <f t="shared" si="23"/>
        <v>64323.800000000017</v>
      </c>
      <c r="G99" s="17">
        <f t="shared" si="23"/>
        <v>73525.150000000009</v>
      </c>
      <c r="H99" s="17">
        <f t="shared" si="23"/>
        <v>70950.349999999977</v>
      </c>
      <c r="I99" s="17">
        <f t="shared" si="23"/>
        <v>76241.000000000015</v>
      </c>
      <c r="J99" s="17">
        <f t="shared" si="23"/>
        <v>66739.500000000029</v>
      </c>
      <c r="K99" s="17">
        <f t="shared" si="23"/>
        <v>130555.65</v>
      </c>
      <c r="L99" s="17">
        <f t="shared" si="23"/>
        <v>119055.75000000004</v>
      </c>
      <c r="M99" s="17">
        <f t="shared" si="23"/>
        <v>91036.950000000026</v>
      </c>
      <c r="N99" s="5">
        <f t="shared" si="24"/>
        <v>968884.25000000012</v>
      </c>
    </row>
    <row r="100" spans="1:14" x14ac:dyDescent="0.3">
      <c r="A100" t="s">
        <v>7195</v>
      </c>
      <c r="B100" s="17">
        <f t="shared" si="23"/>
        <v>57522.55</v>
      </c>
      <c r="C100" s="17">
        <f t="shared" si="23"/>
        <v>35114.300000000003</v>
      </c>
      <c r="D100" s="17">
        <f t="shared" si="23"/>
        <v>57594.349999999991</v>
      </c>
      <c r="E100" s="17">
        <f t="shared" si="23"/>
        <v>61113.650000000009</v>
      </c>
      <c r="F100" s="17">
        <f t="shared" si="23"/>
        <v>41554.000000000007</v>
      </c>
      <c r="G100" s="17">
        <f t="shared" si="23"/>
        <v>34798.300000000003</v>
      </c>
      <c r="H100" s="17">
        <f t="shared" si="23"/>
        <v>29631.650000000005</v>
      </c>
      <c r="I100" s="17">
        <f t="shared" si="23"/>
        <v>36695.100000000006</v>
      </c>
      <c r="J100" s="17">
        <f t="shared" si="23"/>
        <v>63430.150000000009</v>
      </c>
      <c r="K100" s="17">
        <f t="shared" si="23"/>
        <v>72330.900000000009</v>
      </c>
      <c r="L100" s="17">
        <f t="shared" si="23"/>
        <v>71089.550000000032</v>
      </c>
      <c r="M100" s="17">
        <f t="shared" si="23"/>
        <v>42850.7</v>
      </c>
      <c r="N100" s="5">
        <f t="shared" si="24"/>
        <v>603725.20000000007</v>
      </c>
    </row>
    <row r="101" spans="1:14" x14ac:dyDescent="0.3">
      <c r="A101" t="s">
        <v>7200</v>
      </c>
      <c r="B101" s="17">
        <f t="shared" si="23"/>
        <v>41145.149999999994</v>
      </c>
      <c r="C101" s="17">
        <f t="shared" si="23"/>
        <v>20743.449999999997</v>
      </c>
      <c r="D101" s="17">
        <f t="shared" si="23"/>
        <v>30318.349999999995</v>
      </c>
      <c r="E101" s="17">
        <f t="shared" si="23"/>
        <v>26749.699999999993</v>
      </c>
      <c r="F101" s="17">
        <f t="shared" si="23"/>
        <v>32747.55</v>
      </c>
      <c r="G101" s="17">
        <f t="shared" si="23"/>
        <v>36285.250000000007</v>
      </c>
      <c r="H101" s="17">
        <f t="shared" si="23"/>
        <v>39309.75</v>
      </c>
      <c r="I101" s="17">
        <f t="shared" si="23"/>
        <v>46878.75</v>
      </c>
      <c r="J101" s="17">
        <f t="shared" si="23"/>
        <v>43608.849999999991</v>
      </c>
      <c r="K101" s="17">
        <f t="shared" si="23"/>
        <v>46794.049999999988</v>
      </c>
      <c r="L101" s="17">
        <f t="shared" si="23"/>
        <v>62472.85</v>
      </c>
      <c r="M101" s="17">
        <f t="shared" si="23"/>
        <v>28466.500000000004</v>
      </c>
      <c r="N101" s="5">
        <f t="shared" si="24"/>
        <v>455520.1999999999</v>
      </c>
    </row>
    <row r="102" spans="1:14" x14ac:dyDescent="0.3">
      <c r="A102" t="s">
        <v>7205</v>
      </c>
      <c r="B102" s="17">
        <f t="shared" si="23"/>
        <v>61986.549999999981</v>
      </c>
      <c r="C102" s="17">
        <f t="shared" si="23"/>
        <v>21309.150000000005</v>
      </c>
      <c r="D102" s="17">
        <f t="shared" si="23"/>
        <v>48593.4</v>
      </c>
      <c r="E102" s="17">
        <f t="shared" si="23"/>
        <v>56784.5</v>
      </c>
      <c r="F102" s="17">
        <f t="shared" si="23"/>
        <v>36962.799999999996</v>
      </c>
      <c r="G102" s="17">
        <f t="shared" si="23"/>
        <v>55240.199999999983</v>
      </c>
      <c r="H102" s="17">
        <f t="shared" si="23"/>
        <v>46515.299999999996</v>
      </c>
      <c r="I102" s="17">
        <f t="shared" si="23"/>
        <v>50153.7</v>
      </c>
      <c r="J102" s="17">
        <f t="shared" si="23"/>
        <v>52122.249999999993</v>
      </c>
      <c r="K102" s="17">
        <f t="shared" si="23"/>
        <v>79301.049999999974</v>
      </c>
      <c r="L102" s="17">
        <f t="shared" si="23"/>
        <v>63716.399999999994</v>
      </c>
      <c r="M102" s="17">
        <f t="shared" si="23"/>
        <v>68061.949999999983</v>
      </c>
      <c r="N102" s="5">
        <f t="shared" si="24"/>
        <v>640747.24999999988</v>
      </c>
    </row>
    <row r="104" spans="1:14" x14ac:dyDescent="0.3">
      <c r="A104" s="13" t="s">
        <v>7371</v>
      </c>
    </row>
    <row r="105" spans="1:14" x14ac:dyDescent="0.3">
      <c r="A105" s="14" t="s">
        <v>7264</v>
      </c>
      <c r="B105" s="14" t="s">
        <v>7259</v>
      </c>
      <c r="C105" s="14" t="s">
        <v>7260</v>
      </c>
      <c r="D105" s="14" t="s">
        <v>7282</v>
      </c>
    </row>
    <row r="106" spans="1:14" x14ac:dyDescent="0.3">
      <c r="A106" t="s">
        <v>7301</v>
      </c>
      <c r="B106">
        <f t="shared" ref="B106:B112" si="25">COUNTIFS(Year,cYear,Region,cRegion,Sales_Channel,cChannel,Category,cCat,Delivery_Days,VALUE(LEFT($A106,1)))</f>
        <v>533</v>
      </c>
      <c r="C106" s="18">
        <f t="shared" ref="C106:C112" si="26">IFERROR(AVERAGEIFS(Customer_Rating,Year,cYear,Region,cRegion,Sales_Channel,cChannel,Category,cCat,Delivery_Days,VALUE(LEFT($A106,1))),0)</f>
        <v>4.4005167958656335</v>
      </c>
      <c r="D106" s="15">
        <f t="shared" ref="D106:D112" si="27">IFERROR(SUMIFS(Returned,Year,cYear,Region,cRegion,Sales_Channel,cChannel,Category,cCat,Delivery_Days,VALUE(LEFT($A106,1)))/B106,0)</f>
        <v>0.10318949343339587</v>
      </c>
    </row>
    <row r="107" spans="1:14" x14ac:dyDescent="0.3">
      <c r="A107" t="s">
        <v>7302</v>
      </c>
      <c r="B107">
        <f t="shared" si="25"/>
        <v>942</v>
      </c>
      <c r="C107" s="18">
        <f t="shared" si="26"/>
        <v>4.2204142011834316</v>
      </c>
      <c r="D107" s="15">
        <f t="shared" si="27"/>
        <v>9.9787685774946927E-2</v>
      </c>
    </row>
    <row r="108" spans="1:14" x14ac:dyDescent="0.3">
      <c r="A108" t="s">
        <v>7303</v>
      </c>
      <c r="B108">
        <f t="shared" si="25"/>
        <v>1250</v>
      </c>
      <c r="C108" s="18">
        <f t="shared" si="26"/>
        <v>3.9660633484162897</v>
      </c>
      <c r="D108" s="15">
        <f t="shared" si="27"/>
        <v>9.5200000000000007E-2</v>
      </c>
    </row>
    <row r="109" spans="1:14" x14ac:dyDescent="0.3">
      <c r="A109" t="s">
        <v>7304</v>
      </c>
      <c r="B109">
        <f t="shared" si="25"/>
        <v>1103</v>
      </c>
      <c r="C109" s="18">
        <f t="shared" si="26"/>
        <v>3.7713178294573644</v>
      </c>
      <c r="D109" s="15">
        <f t="shared" si="27"/>
        <v>9.7914777878513146E-2</v>
      </c>
    </row>
    <row r="110" spans="1:14" x14ac:dyDescent="0.3">
      <c r="A110" t="s">
        <v>7305</v>
      </c>
      <c r="B110">
        <f t="shared" si="25"/>
        <v>642</v>
      </c>
      <c r="C110" s="18">
        <f t="shared" si="26"/>
        <v>3.534782608695652</v>
      </c>
      <c r="D110" s="15">
        <f t="shared" si="27"/>
        <v>0.12305295950155763</v>
      </c>
    </row>
    <row r="111" spans="1:14" x14ac:dyDescent="0.3">
      <c r="A111" t="s">
        <v>7306</v>
      </c>
      <c r="B111">
        <f t="shared" si="25"/>
        <v>268</v>
      </c>
      <c r="C111" s="18">
        <f t="shared" si="26"/>
        <v>3.4064171122994651</v>
      </c>
      <c r="D111" s="15">
        <f t="shared" si="27"/>
        <v>0.13805970149253732</v>
      </c>
    </row>
    <row r="112" spans="1:14" x14ac:dyDescent="0.3">
      <c r="A112" t="s">
        <v>7307</v>
      </c>
      <c r="B112">
        <f t="shared" si="25"/>
        <v>75</v>
      </c>
      <c r="C112" s="18">
        <f t="shared" si="26"/>
        <v>3.1346153846153846</v>
      </c>
      <c r="D112" s="15">
        <f t="shared" si="27"/>
        <v>0.12</v>
      </c>
    </row>
    <row r="113" spans="1:14" x14ac:dyDescent="0.3">
      <c r="A113" t="s">
        <v>7308</v>
      </c>
      <c r="B113">
        <f>COUNTIFS(Year,cYear,Region,cRegion,Sales_Channel,cChannel,Category,cCat,Delivery_Days,"&gt;=8")</f>
        <v>20</v>
      </c>
      <c r="C113" s="18">
        <f>IFERROR(AVERAGEIFS(Customer_Rating,Year,cYear,Region,cRegion,Sales_Channel,cChannel,Category,cCat,Delivery_Days,"&gt;=8"),0)</f>
        <v>2.7647058823529411</v>
      </c>
      <c r="D113" s="15">
        <f>IFERROR(SUMIFS(Returned,Year,cYear,Region,cRegion,Sales_Channel,cChannel,Category,cCat,Delivery_Days,"&gt;=8")/B113,0)</f>
        <v>0.1</v>
      </c>
    </row>
    <row r="115" spans="1:14" x14ac:dyDescent="0.3">
      <c r="A115" s="14" t="s">
        <v>7265</v>
      </c>
      <c r="B115" s="14" t="s">
        <v>7259</v>
      </c>
      <c r="C115" s="14" t="s">
        <v>7260</v>
      </c>
      <c r="D115" s="14" t="s">
        <v>7282</v>
      </c>
    </row>
    <row r="116" spans="1:14" x14ac:dyDescent="0.3">
      <c r="A116" t="s">
        <v>7309</v>
      </c>
      <c r="B116">
        <f>COUNTIFS(Year,cYear,Region,cRegion,Sales_Channel,cChannel,Category,cCat,Delivery_Days,"&gt;=1",Delivery_Days,"&lt;=2")</f>
        <v>1475</v>
      </c>
      <c r="C116" s="18">
        <f>IFERROR(AVERAGEIFS(Customer_Rating,Year,cYear,Region,cRegion,Sales_Channel,cChannel,Category,cCat,Delivery_Days,"&gt;=1",Delivery_Days,"&lt;=2"),0)</f>
        <v>4.285983066792098</v>
      </c>
      <c r="D116" s="15">
        <f>IFERROR(SUMIFS(Returned,Year,cYear,Region,cRegion,Sales_Channel,cChannel,Category,cCat,Delivery_Days,"&gt;=1",Delivery_Days,"&lt;=2")/B116,0)</f>
        <v>0.10101694915254238</v>
      </c>
    </row>
    <row r="117" spans="1:14" x14ac:dyDescent="0.3">
      <c r="A117" t="s">
        <v>7310</v>
      </c>
      <c r="B117">
        <f>COUNTIFS(Year,cYear,Region,cRegion,Sales_Channel,cChannel,Category,cCat,Delivery_Days,"&gt;=3",Delivery_Days,"&lt;=4")</f>
        <v>2353</v>
      </c>
      <c r="C117" s="18">
        <f>IFERROR(AVERAGEIFS(Customer_Rating,Year,cYear,Region,cRegion,Sales_Channel,cChannel,Category,cCat,Delivery_Days,"&gt;=3",Delivery_Days,"&lt;=4"),0)</f>
        <v>3.8751507840772015</v>
      </c>
      <c r="D117" s="15">
        <f>IFERROR(SUMIFS(Returned,Year,cYear,Region,cRegion,Sales_Channel,cChannel,Category,cCat,Delivery_Days,"&gt;=3",Delivery_Days,"&lt;=4")/B117,0)</f>
        <v>9.6472588185295374E-2</v>
      </c>
    </row>
    <row r="118" spans="1:14" x14ac:dyDescent="0.3">
      <c r="A118" t="s">
        <v>7311</v>
      </c>
      <c r="B118">
        <f>COUNTIFS(Year,cYear,Region,cRegion,Sales_Channel,cChannel,Category,cCat,Delivery_Days,"&gt;=5")</f>
        <v>1005</v>
      </c>
      <c r="C118" s="18">
        <f>IFERROR(AVERAGEIFS(Customer_Rating,Year,cYear,Region,cRegion,Sales_Channel,cChannel,Category,cCat,Delivery_Days,"&gt;=5"),0)</f>
        <v>3.4539106145251397</v>
      </c>
      <c r="D118" s="15">
        <f>IFERROR(SUMIFS(Returned,Year,cYear,Region,cRegion,Sales_Channel,cChannel,Category,cCat,Delivery_Days,"&gt;=5")/B118,0)</f>
        <v>0.12636815920398009</v>
      </c>
    </row>
    <row r="120" spans="1:14" x14ac:dyDescent="0.3">
      <c r="A120" s="13" t="s">
        <v>7372</v>
      </c>
    </row>
    <row r="121" spans="1:14" ht="26.4" x14ac:dyDescent="0.3">
      <c r="A121" s="14" t="s">
        <v>3</v>
      </c>
      <c r="B121" s="14" t="s">
        <v>7312</v>
      </c>
      <c r="C121" s="14" t="s">
        <v>7210</v>
      </c>
      <c r="D121" s="14" t="s">
        <v>7279</v>
      </c>
      <c r="E121" s="14" t="s">
        <v>7248</v>
      </c>
      <c r="F121" s="14" t="s">
        <v>7259</v>
      </c>
      <c r="G121" s="14" t="s">
        <v>7260</v>
      </c>
      <c r="H121" s="14" t="s">
        <v>7282</v>
      </c>
      <c r="I121" s="14" t="s">
        <v>7262</v>
      </c>
      <c r="J121" s="14" t="s">
        <v>7284</v>
      </c>
      <c r="K121" s="14" t="s">
        <v>7313</v>
      </c>
      <c r="L121" s="14" t="s">
        <v>7314</v>
      </c>
      <c r="M121" s="14" t="s">
        <v>7256</v>
      </c>
      <c r="N121" s="14" t="s">
        <v>7315</v>
      </c>
    </row>
    <row r="122" spans="1:14" x14ac:dyDescent="0.3">
      <c r="A122" t="s">
        <v>210</v>
      </c>
      <c r="B122" t="s">
        <v>7211</v>
      </c>
      <c r="C122" t="str">
        <f>INDEX(State!$C$2:$C$24,MATCH($A122,State!$A$2:$A$24,0))</f>
        <v>North</v>
      </c>
      <c r="D122" s="17">
        <f t="shared" ref="D122:D144" si="28">SUMIFS(Net_Revenue,Year,cYear,Sales_Channel,cChannel,Category,cCat,State,$A122)</f>
        <v>78172.750000000029</v>
      </c>
      <c r="E122" s="17">
        <f t="shared" ref="E122:E144" si="29">SUMIFS(Profit,Year,cYear,Sales_Channel,cChannel,Category,cCat,State,$A122)</f>
        <v>29030.749999999989</v>
      </c>
      <c r="F122" s="16">
        <f t="shared" ref="F122:F144" si="30">COUNTIFS(Year,cYear,Sales_Channel,cChannel,Category,cCat,State,$A122)</f>
        <v>64</v>
      </c>
      <c r="G122" s="18">
        <f t="shared" ref="G122:G144" si="31">IFERROR(AVERAGEIFS(Customer_Rating,Year,cYear,Sales_Channel,cChannel,Category,cCat,State,$A122),0)</f>
        <v>3.2272727272727271</v>
      </c>
      <c r="H122" s="9">
        <f t="shared" ref="H122:H144" si="32">IFERROR(SUMIFS(Returned,Year,cYear,Sales_Channel,cChannel,Category,cCat,State,$A122)/F122,0)</f>
        <v>0.15625</v>
      </c>
      <c r="I122" s="19">
        <f t="shared" ref="I122:I144" si="33">IFERROR(AVERAGEIFS(Delivery_Days,Year,cYear,Sales_Channel,cChannel,Category,cCat,State,$A122),0)</f>
        <v>5.84375</v>
      </c>
      <c r="J122" s="17">
        <f t="shared" ref="J122:J144" si="34">SUMIFS(Ad_Spend,Ad_Year,cYear,Ad_State,$A122)</f>
        <v>15070</v>
      </c>
      <c r="K122" s="19">
        <f t="shared" ref="K122" si="35">IFERROR(D122/J122,0)</f>
        <v>5.1873092236230942</v>
      </c>
      <c r="L122" s="19">
        <f>CHOOSE(MATCH(selMetric,'Dropdown Lists'!$E$2:$E$8,0),D122/100000,E122/100000,F122,G122,H122*100,I122,K122)</f>
        <v>15.625</v>
      </c>
      <c r="M122" s="19">
        <f>D122/100000</f>
        <v>0.78172750000000024</v>
      </c>
      <c r="N122" s="19">
        <f>J122/100000</f>
        <v>0.1507</v>
      </c>
    </row>
    <row r="123" spans="1:14" x14ac:dyDescent="0.3">
      <c r="A123" t="s">
        <v>21</v>
      </c>
      <c r="B123" t="s">
        <v>7213</v>
      </c>
      <c r="C123" t="str">
        <f>INDEX(State!$C$2:$C$24,MATCH($A123,State!$A$2:$A$24,0))</f>
        <v>North</v>
      </c>
      <c r="D123" s="17">
        <f t="shared" si="28"/>
        <v>138094.9</v>
      </c>
      <c r="E123" s="17">
        <f t="shared" si="29"/>
        <v>59868.899999999994</v>
      </c>
      <c r="F123" s="16">
        <f t="shared" si="30"/>
        <v>132</v>
      </c>
      <c r="G123" s="18">
        <f t="shared" si="31"/>
        <v>3.9555555555555557</v>
      </c>
      <c r="H123" s="15">
        <f t="shared" si="32"/>
        <v>0.11363636363636363</v>
      </c>
      <c r="I123" s="19">
        <f t="shared" si="33"/>
        <v>3.5378787878787881</v>
      </c>
      <c r="J123" s="17">
        <f t="shared" si="34"/>
        <v>28070</v>
      </c>
      <c r="K123" s="19">
        <f t="shared" ref="K123:K144" si="36">IFERROR(D123/J123,0)</f>
        <v>4.9196615603847524</v>
      </c>
      <c r="L123" s="19">
        <f>CHOOSE(MATCH(selMetric,'Dropdown Lists'!$E$2:$E$8,0),D123/100000,E123/100000,F123,G123,H123*100,I123,K123)</f>
        <v>11.363636363636363</v>
      </c>
      <c r="M123" s="19">
        <f t="shared" ref="M123:M144" si="37">D123/100000</f>
        <v>1.380949</v>
      </c>
      <c r="N123" s="19">
        <f t="shared" ref="N123:N144" si="38">J123/100000</f>
        <v>0.28070000000000001</v>
      </c>
    </row>
    <row r="124" spans="1:14" x14ac:dyDescent="0.3">
      <c r="A124" t="s">
        <v>158</v>
      </c>
      <c r="B124" t="s">
        <v>7214</v>
      </c>
      <c r="C124" t="str">
        <f>INDEX(State!$C$2:$C$24,MATCH($A124,State!$A$2:$A$24,0))</f>
        <v>North</v>
      </c>
      <c r="D124" s="17">
        <f t="shared" si="28"/>
        <v>57713.9</v>
      </c>
      <c r="E124" s="17">
        <f t="shared" si="29"/>
        <v>24148.899999999998</v>
      </c>
      <c r="F124" s="16">
        <f t="shared" si="30"/>
        <v>55</v>
      </c>
      <c r="G124" s="18">
        <f t="shared" si="31"/>
        <v>3.6744186046511627</v>
      </c>
      <c r="H124" s="15">
        <f t="shared" si="32"/>
        <v>0.2</v>
      </c>
      <c r="I124" s="19">
        <f t="shared" si="33"/>
        <v>4.6909090909090905</v>
      </c>
      <c r="J124" s="17">
        <f t="shared" si="34"/>
        <v>11810</v>
      </c>
      <c r="K124" s="19">
        <f t="shared" si="36"/>
        <v>4.8868670618120236</v>
      </c>
      <c r="L124" s="19">
        <f>CHOOSE(MATCH(selMetric,'Dropdown Lists'!$E$2:$E$8,0),D124/100000,E124/100000,F124,G124,H124*100,I124,K124)</f>
        <v>20</v>
      </c>
      <c r="M124" s="19">
        <f t="shared" si="37"/>
        <v>0.57713900000000007</v>
      </c>
      <c r="N124" s="19">
        <f t="shared" si="38"/>
        <v>0.1181</v>
      </c>
    </row>
    <row r="125" spans="1:14" x14ac:dyDescent="0.3">
      <c r="A125" t="s">
        <v>184</v>
      </c>
      <c r="B125" t="s">
        <v>7215</v>
      </c>
      <c r="C125" t="str">
        <f>INDEX(State!$C$2:$C$24,MATCH($A125,State!$A$2:$A$24,0))</f>
        <v>North</v>
      </c>
      <c r="D125" s="17">
        <f t="shared" si="28"/>
        <v>76231.35000000002</v>
      </c>
      <c r="E125" s="17">
        <f t="shared" si="29"/>
        <v>31942.350000000002</v>
      </c>
      <c r="F125" s="16">
        <f t="shared" si="30"/>
        <v>66</v>
      </c>
      <c r="G125" s="18">
        <f t="shared" si="31"/>
        <v>3.652173913043478</v>
      </c>
      <c r="H125" s="15">
        <f t="shared" si="32"/>
        <v>1.5151515151515152E-2</v>
      </c>
      <c r="I125" s="19">
        <f t="shared" si="33"/>
        <v>4.2424242424242422</v>
      </c>
      <c r="J125" s="17">
        <f t="shared" si="34"/>
        <v>15300</v>
      </c>
      <c r="K125" s="19">
        <f t="shared" si="36"/>
        <v>4.9824411764705898</v>
      </c>
      <c r="L125" s="19">
        <f>CHOOSE(MATCH(selMetric,'Dropdown Lists'!$E$2:$E$8,0),D125/100000,E125/100000,F125,G125,H125*100,I125,K125)</f>
        <v>1.5151515151515151</v>
      </c>
      <c r="M125" s="19">
        <f t="shared" si="37"/>
        <v>0.7623135000000002</v>
      </c>
      <c r="N125" s="19">
        <f t="shared" si="38"/>
        <v>0.153</v>
      </c>
    </row>
    <row r="126" spans="1:14" x14ac:dyDescent="0.3">
      <c r="A126" t="s">
        <v>54</v>
      </c>
      <c r="B126" t="s">
        <v>7216</v>
      </c>
      <c r="C126" t="str">
        <f>INDEX(State!$C$2:$C$24,MATCH($A126,State!$A$2:$A$24,0))</f>
        <v>North</v>
      </c>
      <c r="D126" s="17">
        <f t="shared" si="28"/>
        <v>261745.45000000022</v>
      </c>
      <c r="E126" s="17">
        <f t="shared" si="29"/>
        <v>102186.45</v>
      </c>
      <c r="F126" s="16">
        <f t="shared" si="30"/>
        <v>262</v>
      </c>
      <c r="G126" s="18">
        <f t="shared" si="31"/>
        <v>3.7407407407407409</v>
      </c>
      <c r="H126" s="15">
        <f t="shared" si="32"/>
        <v>9.9236641221374045E-2</v>
      </c>
      <c r="I126" s="19">
        <f t="shared" si="33"/>
        <v>4.0648854961832059</v>
      </c>
      <c r="J126" s="17">
        <f t="shared" si="34"/>
        <v>51590</v>
      </c>
      <c r="K126" s="19">
        <f t="shared" si="36"/>
        <v>5.0735694902112858</v>
      </c>
      <c r="L126" s="19">
        <f>CHOOSE(MATCH(selMetric,'Dropdown Lists'!$E$2:$E$8,0),D126/100000,E126/100000,F126,G126,H126*100,I126,K126)</f>
        <v>9.9236641221374047</v>
      </c>
      <c r="M126" s="19">
        <f t="shared" si="37"/>
        <v>2.6174545000000022</v>
      </c>
      <c r="N126" s="19">
        <f t="shared" si="38"/>
        <v>0.51590000000000003</v>
      </c>
    </row>
    <row r="127" spans="1:14" x14ac:dyDescent="0.3">
      <c r="A127" t="s">
        <v>48</v>
      </c>
      <c r="B127" t="s">
        <v>7217</v>
      </c>
      <c r="C127" t="str">
        <f>INDEX(State!$C$2:$C$24,MATCH($A127,State!$A$2:$A$24,0))</f>
        <v>North</v>
      </c>
      <c r="D127" s="17">
        <f t="shared" si="28"/>
        <v>171508.65</v>
      </c>
      <c r="E127" s="17">
        <f t="shared" si="29"/>
        <v>69025.64999999998</v>
      </c>
      <c r="F127" s="16">
        <f t="shared" si="30"/>
        <v>174</v>
      </c>
      <c r="G127" s="18">
        <f t="shared" si="31"/>
        <v>4.016</v>
      </c>
      <c r="H127" s="15">
        <f t="shared" si="32"/>
        <v>9.1954022988505746E-2</v>
      </c>
      <c r="I127" s="19">
        <f t="shared" si="33"/>
        <v>2.8333333333333335</v>
      </c>
      <c r="J127" s="17">
        <f t="shared" si="34"/>
        <v>35530</v>
      </c>
      <c r="K127" s="19">
        <f t="shared" si="36"/>
        <v>4.8271502955249082</v>
      </c>
      <c r="L127" s="19">
        <f>CHOOSE(MATCH(selMetric,'Dropdown Lists'!$E$2:$E$8,0),D127/100000,E127/100000,F127,G127,H127*100,I127,K127)</f>
        <v>9.1954022988505741</v>
      </c>
      <c r="M127" s="19">
        <f t="shared" si="37"/>
        <v>1.7150865</v>
      </c>
      <c r="N127" s="19">
        <f t="shared" si="38"/>
        <v>0.3553</v>
      </c>
    </row>
    <row r="128" spans="1:14" x14ac:dyDescent="0.3">
      <c r="A128" t="s">
        <v>128</v>
      </c>
      <c r="B128" t="s">
        <v>7218</v>
      </c>
      <c r="C128" t="str">
        <f>INDEX(State!$C$2:$C$24,MATCH($A128,State!$A$2:$A$24,0))</f>
        <v>North</v>
      </c>
      <c r="D128" s="17">
        <f t="shared" si="28"/>
        <v>402609.6500000002</v>
      </c>
      <c r="E128" s="17">
        <f t="shared" si="29"/>
        <v>170261.64999999997</v>
      </c>
      <c r="F128" s="16">
        <f t="shared" si="30"/>
        <v>365</v>
      </c>
      <c r="G128" s="18">
        <f t="shared" si="31"/>
        <v>4.1259541984732824</v>
      </c>
      <c r="H128" s="15">
        <f t="shared" si="32"/>
        <v>9.3150684931506855E-2</v>
      </c>
      <c r="I128" s="19">
        <f t="shared" si="33"/>
        <v>2.1534246575342464</v>
      </c>
      <c r="J128" s="17">
        <f t="shared" si="34"/>
        <v>87680</v>
      </c>
      <c r="K128" s="19">
        <f t="shared" si="36"/>
        <v>4.5918071395985427</v>
      </c>
      <c r="L128" s="19">
        <f>CHOOSE(MATCH(selMetric,'Dropdown Lists'!$E$2:$E$8,0),D128/100000,E128/100000,F128,G128,H128*100,I128,K128)</f>
        <v>9.3150684931506849</v>
      </c>
      <c r="M128" s="19">
        <f t="shared" si="37"/>
        <v>4.0260965000000022</v>
      </c>
      <c r="N128" s="19">
        <f t="shared" si="38"/>
        <v>0.87680000000000002</v>
      </c>
    </row>
    <row r="129" spans="1:14" x14ac:dyDescent="0.3">
      <c r="A129" t="s">
        <v>76</v>
      </c>
      <c r="B129" t="s">
        <v>7219</v>
      </c>
      <c r="C129" t="str">
        <f>INDEX(State!$C$2:$C$24,MATCH($A129,State!$A$2:$A$24,0))</f>
        <v>North</v>
      </c>
      <c r="D129" s="17">
        <f t="shared" si="28"/>
        <v>389577.74999999983</v>
      </c>
      <c r="E129" s="17">
        <f t="shared" si="29"/>
        <v>166020.75000000003</v>
      </c>
      <c r="F129" s="16">
        <f t="shared" si="30"/>
        <v>357</v>
      </c>
      <c r="G129" s="18">
        <f t="shared" si="31"/>
        <v>3.8532818532818531</v>
      </c>
      <c r="H129" s="15">
        <f t="shared" si="32"/>
        <v>0.10364145658263306</v>
      </c>
      <c r="I129" s="19">
        <f t="shared" si="33"/>
        <v>3.6834733893557421</v>
      </c>
      <c r="J129" s="17">
        <f t="shared" si="34"/>
        <v>75950</v>
      </c>
      <c r="K129" s="19">
        <f t="shared" si="36"/>
        <v>5.1293976300197475</v>
      </c>
      <c r="L129" s="19">
        <f>CHOOSE(MATCH(selMetric,'Dropdown Lists'!$E$2:$E$8,0),D129/100000,E129/100000,F129,G129,H129*100,I129,K129)</f>
        <v>10.364145658263306</v>
      </c>
      <c r="M129" s="19">
        <f t="shared" si="37"/>
        <v>3.8957774999999981</v>
      </c>
      <c r="N129" s="19">
        <f t="shared" si="38"/>
        <v>0.75949999999999995</v>
      </c>
    </row>
    <row r="130" spans="1:14" x14ac:dyDescent="0.3">
      <c r="A130" t="s">
        <v>32</v>
      </c>
      <c r="B130" t="s">
        <v>7220</v>
      </c>
      <c r="C130" t="str">
        <f>INDEX(State!$C$2:$C$24,MATCH($A130,State!$A$2:$A$24,0))</f>
        <v>East</v>
      </c>
      <c r="D130" s="17">
        <f t="shared" si="28"/>
        <v>180087.75000000003</v>
      </c>
      <c r="E130" s="17">
        <f t="shared" si="29"/>
        <v>62011.75</v>
      </c>
      <c r="F130" s="16">
        <f t="shared" si="30"/>
        <v>168</v>
      </c>
      <c r="G130" s="18">
        <f t="shared" si="31"/>
        <v>3.6037735849056602</v>
      </c>
      <c r="H130" s="15">
        <f t="shared" si="32"/>
        <v>8.3333333333333329E-2</v>
      </c>
      <c r="I130" s="19">
        <f t="shared" si="33"/>
        <v>4.8214285714285712</v>
      </c>
      <c r="J130" s="17">
        <f t="shared" si="34"/>
        <v>32860</v>
      </c>
      <c r="K130" s="19">
        <f t="shared" si="36"/>
        <v>5.480454960438224</v>
      </c>
      <c r="L130" s="19">
        <f>CHOOSE(MATCH(selMetric,'Dropdown Lists'!$E$2:$E$8,0),D130/100000,E130/100000,F130,G130,H130*100,I130,K130)</f>
        <v>8.3333333333333321</v>
      </c>
      <c r="M130" s="19">
        <f t="shared" si="37"/>
        <v>1.8008775000000004</v>
      </c>
      <c r="N130" s="19">
        <f t="shared" si="38"/>
        <v>0.3286</v>
      </c>
    </row>
    <row r="131" spans="1:14" x14ac:dyDescent="0.3">
      <c r="A131" t="s">
        <v>132</v>
      </c>
      <c r="B131" t="s">
        <v>7222</v>
      </c>
      <c r="C131" t="str">
        <f>INDEX(State!$C$2:$C$24,MATCH($A131,State!$A$2:$A$24,0))</f>
        <v>East</v>
      </c>
      <c r="D131" s="17">
        <f t="shared" si="28"/>
        <v>77828.75</v>
      </c>
      <c r="E131" s="17">
        <f t="shared" si="29"/>
        <v>30884.749999999989</v>
      </c>
      <c r="F131" s="16">
        <f t="shared" si="30"/>
        <v>77</v>
      </c>
      <c r="G131" s="18">
        <f t="shared" si="31"/>
        <v>3.3157894736842106</v>
      </c>
      <c r="H131" s="15">
        <f t="shared" si="32"/>
        <v>0.12987012987012986</v>
      </c>
      <c r="I131" s="19">
        <f t="shared" si="33"/>
        <v>6.3246753246753249</v>
      </c>
      <c r="J131" s="17">
        <f t="shared" si="34"/>
        <v>17410</v>
      </c>
      <c r="K131" s="19">
        <f t="shared" si="36"/>
        <v>4.4703475014359562</v>
      </c>
      <c r="L131" s="19">
        <f>CHOOSE(MATCH(selMetric,'Dropdown Lists'!$E$2:$E$8,0),D131/100000,E131/100000,F131,G131,H131*100,I131,K131)</f>
        <v>12.987012987012985</v>
      </c>
      <c r="M131" s="19">
        <f t="shared" si="37"/>
        <v>0.77828750000000002</v>
      </c>
      <c r="N131" s="19">
        <f t="shared" si="38"/>
        <v>0.1741</v>
      </c>
    </row>
    <row r="132" spans="1:14" x14ac:dyDescent="0.3">
      <c r="A132" t="s">
        <v>37</v>
      </c>
      <c r="B132" t="s">
        <v>7223</v>
      </c>
      <c r="C132" t="str">
        <f>INDEX(State!$C$2:$C$24,MATCH($A132,State!$A$2:$A$24,0))</f>
        <v>West</v>
      </c>
      <c r="D132" s="17">
        <f t="shared" si="28"/>
        <v>363778.10000000033</v>
      </c>
      <c r="E132" s="17">
        <f t="shared" si="29"/>
        <v>150674.1</v>
      </c>
      <c r="F132" s="16">
        <f t="shared" si="30"/>
        <v>333</v>
      </c>
      <c r="G132" s="18">
        <f t="shared" si="31"/>
        <v>3.8870292887029287</v>
      </c>
      <c r="H132" s="15">
        <f t="shared" si="32"/>
        <v>0.14114114114114115</v>
      </c>
      <c r="I132" s="19">
        <f t="shared" si="33"/>
        <v>3.1621621621621623</v>
      </c>
      <c r="J132" s="17">
        <f t="shared" si="34"/>
        <v>71500</v>
      </c>
      <c r="K132" s="19">
        <f t="shared" si="36"/>
        <v>5.0878055944055989</v>
      </c>
      <c r="L132" s="19">
        <f>CHOOSE(MATCH(selMetric,'Dropdown Lists'!$E$2:$E$8,0),D132/100000,E132/100000,F132,G132,H132*100,I132,K132)</f>
        <v>14.114114114114114</v>
      </c>
      <c r="M132" s="19">
        <f t="shared" si="37"/>
        <v>3.637781000000003</v>
      </c>
      <c r="N132" s="19">
        <f t="shared" si="38"/>
        <v>0.71499999999999997</v>
      </c>
    </row>
    <row r="133" spans="1:14" x14ac:dyDescent="0.3">
      <c r="A133" t="s">
        <v>43</v>
      </c>
      <c r="B133" t="s">
        <v>7225</v>
      </c>
      <c r="C133" t="str">
        <f>INDEX(State!$C$2:$C$24,MATCH($A133,State!$A$2:$A$24,0))</f>
        <v>West</v>
      </c>
      <c r="D133" s="17">
        <f t="shared" si="28"/>
        <v>261441.10000000003</v>
      </c>
      <c r="E133" s="17">
        <f t="shared" si="29"/>
        <v>104676.10000000002</v>
      </c>
      <c r="F133" s="16">
        <f t="shared" si="30"/>
        <v>257</v>
      </c>
      <c r="G133" s="18">
        <f t="shared" si="31"/>
        <v>3.7362637362637363</v>
      </c>
      <c r="H133" s="15">
        <f t="shared" si="32"/>
        <v>0.12062256809338522</v>
      </c>
      <c r="I133" s="19">
        <f t="shared" si="33"/>
        <v>3.9338521400778208</v>
      </c>
      <c r="J133" s="17">
        <f t="shared" si="34"/>
        <v>42230</v>
      </c>
      <c r="K133" s="19">
        <f t="shared" si="36"/>
        <v>6.1908856263319922</v>
      </c>
      <c r="L133" s="19">
        <f>CHOOSE(MATCH(selMetric,'Dropdown Lists'!$E$2:$E$8,0),D133/100000,E133/100000,F133,G133,H133*100,I133,K133)</f>
        <v>12.062256809338521</v>
      </c>
      <c r="M133" s="19">
        <f t="shared" si="37"/>
        <v>2.6144110000000005</v>
      </c>
      <c r="N133" s="19">
        <f t="shared" si="38"/>
        <v>0.42230000000000001</v>
      </c>
    </row>
    <row r="134" spans="1:14" x14ac:dyDescent="0.3">
      <c r="A134" t="s">
        <v>482</v>
      </c>
      <c r="B134" t="s">
        <v>7226</v>
      </c>
      <c r="C134" t="str">
        <f>INDEX(State!$C$2:$C$24,MATCH($A134,State!$A$2:$A$24,0))</f>
        <v>East</v>
      </c>
      <c r="D134" s="17">
        <f t="shared" si="28"/>
        <v>75860.149999999994</v>
      </c>
      <c r="E134" s="17">
        <f t="shared" si="29"/>
        <v>31480.150000000009</v>
      </c>
      <c r="F134" s="16">
        <f t="shared" si="30"/>
        <v>77</v>
      </c>
      <c r="G134" s="18">
        <f t="shared" si="31"/>
        <v>3.7241379310344827</v>
      </c>
      <c r="H134" s="15">
        <f t="shared" si="32"/>
        <v>0.15584415584415584</v>
      </c>
      <c r="I134" s="19">
        <f t="shared" si="33"/>
        <v>4.6883116883116882</v>
      </c>
      <c r="J134" s="17">
        <f t="shared" si="34"/>
        <v>16860</v>
      </c>
      <c r="K134" s="19">
        <f t="shared" si="36"/>
        <v>4.4994157769869512</v>
      </c>
      <c r="L134" s="19">
        <f>CHOOSE(MATCH(selMetric,'Dropdown Lists'!$E$2:$E$8,0),D134/100000,E134/100000,F134,G134,H134*100,I134,K134)</f>
        <v>15.584415584415584</v>
      </c>
      <c r="M134" s="19">
        <f t="shared" si="37"/>
        <v>0.75860149999999993</v>
      </c>
      <c r="N134" s="19">
        <f t="shared" si="38"/>
        <v>0.1686</v>
      </c>
    </row>
    <row r="135" spans="1:14" x14ac:dyDescent="0.3">
      <c r="A135" t="s">
        <v>123</v>
      </c>
      <c r="B135" t="s">
        <v>7227</v>
      </c>
      <c r="C135" t="str">
        <f>INDEX(State!$C$2:$C$24,MATCH($A135,State!$A$2:$A$24,0))</f>
        <v>East</v>
      </c>
      <c r="D135" s="17">
        <f t="shared" si="28"/>
        <v>99597.750000000029</v>
      </c>
      <c r="E135" s="17">
        <f t="shared" si="29"/>
        <v>36289.750000000007</v>
      </c>
      <c r="F135" s="16">
        <f t="shared" si="30"/>
        <v>81</v>
      </c>
      <c r="G135" s="18">
        <f t="shared" si="31"/>
        <v>3.6274509803921569</v>
      </c>
      <c r="H135" s="15">
        <f t="shared" si="32"/>
        <v>0.12345679012345678</v>
      </c>
      <c r="I135" s="19">
        <f t="shared" si="33"/>
        <v>4.5679012345679011</v>
      </c>
      <c r="J135" s="17">
        <f t="shared" si="34"/>
        <v>18850</v>
      </c>
      <c r="K135" s="19">
        <f t="shared" si="36"/>
        <v>5.2837002652519907</v>
      </c>
      <c r="L135" s="19">
        <f>CHOOSE(MATCH(selMetric,'Dropdown Lists'!$E$2:$E$8,0),D135/100000,E135/100000,F135,G135,H135*100,I135,K135)</f>
        <v>12.345679012345679</v>
      </c>
      <c r="M135" s="19">
        <f t="shared" si="37"/>
        <v>0.99597750000000029</v>
      </c>
      <c r="N135" s="19">
        <f t="shared" si="38"/>
        <v>0.1885</v>
      </c>
    </row>
    <row r="136" spans="1:14" x14ac:dyDescent="0.3">
      <c r="A136" t="s">
        <v>27</v>
      </c>
      <c r="B136" t="s">
        <v>7228</v>
      </c>
      <c r="C136" t="str">
        <f>INDEX(State!$C$2:$C$24,MATCH($A136,State!$A$2:$A$24,0))</f>
        <v>East</v>
      </c>
      <c r="D136" s="17">
        <f t="shared" si="28"/>
        <v>327128.14999999991</v>
      </c>
      <c r="E136" s="17">
        <f t="shared" si="29"/>
        <v>134653.15000000005</v>
      </c>
      <c r="F136" s="16">
        <f t="shared" si="30"/>
        <v>311</v>
      </c>
      <c r="G136" s="18">
        <f t="shared" si="31"/>
        <v>3.8952380952380952</v>
      </c>
      <c r="H136" s="15">
        <f t="shared" si="32"/>
        <v>8.3601286173633438E-2</v>
      </c>
      <c r="I136" s="19">
        <f t="shared" si="33"/>
        <v>3.572347266881029</v>
      </c>
      <c r="J136" s="17">
        <f t="shared" si="34"/>
        <v>67150</v>
      </c>
      <c r="K136" s="19">
        <f t="shared" si="36"/>
        <v>4.8716031273268792</v>
      </c>
      <c r="L136" s="19">
        <f>CHOOSE(MATCH(selMetric,'Dropdown Lists'!$E$2:$E$8,0),D136/100000,E136/100000,F136,G136,H136*100,I136,K136)</f>
        <v>8.360128617363344</v>
      </c>
      <c r="M136" s="19">
        <f t="shared" si="37"/>
        <v>3.2712814999999993</v>
      </c>
      <c r="N136" s="19">
        <f t="shared" si="38"/>
        <v>0.67149999999999999</v>
      </c>
    </row>
    <row r="137" spans="1:14" x14ac:dyDescent="0.3">
      <c r="A137" t="s">
        <v>71</v>
      </c>
      <c r="B137" t="s">
        <v>7229</v>
      </c>
      <c r="C137" t="str">
        <f>INDEX(State!$C$2:$C$24,MATCH($A137,State!$A$2:$A$24,0))</f>
        <v>West</v>
      </c>
      <c r="D137" s="17">
        <f t="shared" si="28"/>
        <v>513147.29999999952</v>
      </c>
      <c r="E137" s="17">
        <f t="shared" si="29"/>
        <v>204771.30000000005</v>
      </c>
      <c r="F137" s="16">
        <f t="shared" si="30"/>
        <v>522</v>
      </c>
      <c r="G137" s="18">
        <f t="shared" si="31"/>
        <v>4.1653333333333338</v>
      </c>
      <c r="H137" s="15">
        <f t="shared" si="32"/>
        <v>0.10344827586206896</v>
      </c>
      <c r="I137" s="19">
        <f t="shared" si="33"/>
        <v>2.3563218390804597</v>
      </c>
      <c r="J137" s="17">
        <f t="shared" si="34"/>
        <v>117140</v>
      </c>
      <c r="K137" s="19">
        <f t="shared" si="36"/>
        <v>4.3806325764042988</v>
      </c>
      <c r="L137" s="19">
        <f>CHOOSE(MATCH(selMetric,'Dropdown Lists'!$E$2:$E$8,0),D137/100000,E137/100000,F137,G137,H137*100,I137,K137)</f>
        <v>10.344827586206897</v>
      </c>
      <c r="M137" s="19">
        <f t="shared" si="37"/>
        <v>5.1314729999999953</v>
      </c>
      <c r="N137" s="19">
        <f t="shared" si="38"/>
        <v>1.1714</v>
      </c>
    </row>
    <row r="138" spans="1:14" x14ac:dyDescent="0.3">
      <c r="A138" t="s">
        <v>95</v>
      </c>
      <c r="B138" t="s">
        <v>7230</v>
      </c>
      <c r="C138" t="str">
        <f>INDEX(State!$C$2:$C$24,MATCH($A138,State!$A$2:$A$24,0))</f>
        <v>South</v>
      </c>
      <c r="D138" s="17">
        <f t="shared" si="28"/>
        <v>289658.15000000008</v>
      </c>
      <c r="E138" s="17">
        <f t="shared" si="29"/>
        <v>109439.1500000001</v>
      </c>
      <c r="F138" s="16">
        <f t="shared" si="30"/>
        <v>253</v>
      </c>
      <c r="G138" s="18">
        <f t="shared" si="31"/>
        <v>4.0747126436781613</v>
      </c>
      <c r="H138" s="15">
        <f t="shared" si="32"/>
        <v>0.11067193675889328</v>
      </c>
      <c r="I138" s="19">
        <f t="shared" si="33"/>
        <v>2.7193675889328062</v>
      </c>
      <c r="J138" s="17">
        <f t="shared" si="34"/>
        <v>61160</v>
      </c>
      <c r="K138" s="19">
        <f t="shared" si="36"/>
        <v>4.7360717789404854</v>
      </c>
      <c r="L138" s="19">
        <f>CHOOSE(MATCH(selMetric,'Dropdown Lists'!$E$2:$E$8,0),D138/100000,E138/100000,F138,G138,H138*100,I138,K138)</f>
        <v>11.067193675889328</v>
      </c>
      <c r="M138" s="19">
        <f t="shared" si="37"/>
        <v>2.8965815000000008</v>
      </c>
      <c r="N138" s="19">
        <f t="shared" si="38"/>
        <v>0.61160000000000003</v>
      </c>
    </row>
    <row r="139" spans="1:14" x14ac:dyDescent="0.3">
      <c r="A139" t="s">
        <v>14</v>
      </c>
      <c r="B139" t="s">
        <v>7232</v>
      </c>
      <c r="C139" t="str">
        <f>INDEX(State!$C$2:$C$24,MATCH($A139,State!$A$2:$A$24,0))</f>
        <v>East</v>
      </c>
      <c r="D139" s="17">
        <f t="shared" si="28"/>
        <v>108028.99999999996</v>
      </c>
      <c r="E139" s="17">
        <f t="shared" si="29"/>
        <v>41873.000000000022</v>
      </c>
      <c r="F139" s="16">
        <f t="shared" si="30"/>
        <v>89</v>
      </c>
      <c r="G139" s="18">
        <f t="shared" si="31"/>
        <v>3.5833333333333335</v>
      </c>
      <c r="H139" s="15">
        <f t="shared" si="32"/>
        <v>0.10112359550561797</v>
      </c>
      <c r="I139" s="19">
        <f t="shared" si="33"/>
        <v>4.4943820224719104</v>
      </c>
      <c r="J139" s="17">
        <f t="shared" si="34"/>
        <v>21820</v>
      </c>
      <c r="K139" s="19">
        <f t="shared" si="36"/>
        <v>4.950916590284141</v>
      </c>
      <c r="L139" s="19">
        <f>CHOOSE(MATCH(selMetric,'Dropdown Lists'!$E$2:$E$8,0),D139/100000,E139/100000,F139,G139,H139*100,I139,K139)</f>
        <v>10.112359550561797</v>
      </c>
      <c r="M139" s="19">
        <f t="shared" si="37"/>
        <v>1.0802899999999995</v>
      </c>
      <c r="N139" s="19">
        <f t="shared" si="38"/>
        <v>0.21820000000000001</v>
      </c>
    </row>
    <row r="140" spans="1:14" x14ac:dyDescent="0.3">
      <c r="A140" t="s">
        <v>90</v>
      </c>
      <c r="B140" t="s">
        <v>7233</v>
      </c>
      <c r="C140" t="str">
        <f>INDEX(State!$C$2:$C$24,MATCH($A140,State!$A$2:$A$24,0))</f>
        <v>West</v>
      </c>
      <c r="D140" s="17">
        <f t="shared" si="28"/>
        <v>75897.549999999988</v>
      </c>
      <c r="E140" s="17">
        <f t="shared" si="29"/>
        <v>23452.549999999992</v>
      </c>
      <c r="F140" s="16">
        <f t="shared" si="30"/>
        <v>58</v>
      </c>
      <c r="G140" s="18">
        <f t="shared" si="31"/>
        <v>3.8139534883720931</v>
      </c>
      <c r="H140" s="15">
        <f t="shared" si="32"/>
        <v>8.6206896551724144E-2</v>
      </c>
      <c r="I140" s="19">
        <f t="shared" si="33"/>
        <v>3.3793103448275863</v>
      </c>
      <c r="J140" s="17">
        <f t="shared" si="34"/>
        <v>12150</v>
      </c>
      <c r="K140" s="19">
        <f t="shared" si="36"/>
        <v>6.2467119341563775</v>
      </c>
      <c r="L140" s="19">
        <f>CHOOSE(MATCH(selMetric,'Dropdown Lists'!$E$2:$E$8,0),D140/100000,E140/100000,F140,G140,H140*100,I140,K140)</f>
        <v>8.6206896551724146</v>
      </c>
      <c r="M140" s="19">
        <f t="shared" si="37"/>
        <v>0.75897549999999991</v>
      </c>
      <c r="N140" s="19">
        <f t="shared" si="38"/>
        <v>0.1215</v>
      </c>
    </row>
    <row r="141" spans="1:14" x14ac:dyDescent="0.3">
      <c r="A141" t="s">
        <v>167</v>
      </c>
      <c r="B141" t="s">
        <v>7234</v>
      </c>
      <c r="C141" t="str">
        <f>INDEX(State!$C$2:$C$24,MATCH($A141,State!$A$2:$A$24,0))</f>
        <v>South</v>
      </c>
      <c r="D141" s="17">
        <f t="shared" si="28"/>
        <v>404609.5999999998</v>
      </c>
      <c r="E141" s="17">
        <f t="shared" si="29"/>
        <v>163239.60000000015</v>
      </c>
      <c r="F141" s="16">
        <f t="shared" si="30"/>
        <v>395</v>
      </c>
      <c r="G141" s="18">
        <f t="shared" si="31"/>
        <v>4.0945454545454547</v>
      </c>
      <c r="H141" s="15">
        <f t="shared" si="32"/>
        <v>7.3417721518987344E-2</v>
      </c>
      <c r="I141" s="19">
        <f t="shared" si="33"/>
        <v>2.3645569620253166</v>
      </c>
      <c r="J141" s="17">
        <f t="shared" si="34"/>
        <v>99370</v>
      </c>
      <c r="K141" s="19">
        <f t="shared" si="36"/>
        <v>4.0717480124786132</v>
      </c>
      <c r="L141" s="19">
        <f>CHOOSE(MATCH(selMetric,'Dropdown Lists'!$E$2:$E$8,0),D141/100000,E141/100000,F141,G141,H141*100,I141,K141)</f>
        <v>7.3417721518987342</v>
      </c>
      <c r="M141" s="19">
        <f t="shared" si="37"/>
        <v>4.0460959999999977</v>
      </c>
      <c r="N141" s="19">
        <f t="shared" si="38"/>
        <v>0.99370000000000003</v>
      </c>
    </row>
    <row r="142" spans="1:14" x14ac:dyDescent="0.3">
      <c r="A142" t="s">
        <v>275</v>
      </c>
      <c r="B142" t="s">
        <v>7235</v>
      </c>
      <c r="C142" t="str">
        <f>INDEX(State!$C$2:$C$24,MATCH($A142,State!$A$2:$A$24,0))</f>
        <v>South</v>
      </c>
      <c r="D142" s="17">
        <f t="shared" si="28"/>
        <v>213421.25000000012</v>
      </c>
      <c r="E142" s="17">
        <f t="shared" si="29"/>
        <v>93304.249999999971</v>
      </c>
      <c r="F142" s="16">
        <f t="shared" si="30"/>
        <v>204</v>
      </c>
      <c r="G142" s="18">
        <f t="shared" si="31"/>
        <v>3.8662420382165603</v>
      </c>
      <c r="H142" s="15">
        <f t="shared" si="32"/>
        <v>0.11274509803921569</v>
      </c>
      <c r="I142" s="19">
        <f t="shared" si="33"/>
        <v>3.5735294117647061</v>
      </c>
      <c r="J142" s="17">
        <f t="shared" si="34"/>
        <v>38630</v>
      </c>
      <c r="K142" s="19">
        <f t="shared" si="36"/>
        <v>5.5247540771421209</v>
      </c>
      <c r="L142" s="19">
        <f>CHOOSE(MATCH(selMetric,'Dropdown Lists'!$E$2:$E$8,0),D142/100000,E142/100000,F142,G142,H142*100,I142,K142)</f>
        <v>11.274509803921569</v>
      </c>
      <c r="M142" s="19">
        <f t="shared" si="37"/>
        <v>2.1342125000000012</v>
      </c>
      <c r="N142" s="19">
        <f t="shared" si="38"/>
        <v>0.38629999999999998</v>
      </c>
    </row>
    <row r="143" spans="1:14" x14ac:dyDescent="0.3">
      <c r="A143" t="s">
        <v>316</v>
      </c>
      <c r="B143" t="s">
        <v>7236</v>
      </c>
      <c r="C143" t="str">
        <f>INDEX(State!$C$2:$C$24,MATCH($A143,State!$A$2:$A$24,0))</f>
        <v>South</v>
      </c>
      <c r="D143" s="17">
        <f t="shared" si="28"/>
        <v>205049.20000000007</v>
      </c>
      <c r="E143" s="17">
        <f t="shared" si="29"/>
        <v>82230.2</v>
      </c>
      <c r="F143" s="16">
        <f t="shared" si="30"/>
        <v>182</v>
      </c>
      <c r="G143" s="18">
        <f t="shared" si="31"/>
        <v>3.7716535433070866</v>
      </c>
      <c r="H143" s="15">
        <f t="shared" si="32"/>
        <v>8.7912087912087919E-2</v>
      </c>
      <c r="I143" s="19">
        <f t="shared" si="33"/>
        <v>3.7307692307692308</v>
      </c>
      <c r="J143" s="17">
        <f t="shared" si="34"/>
        <v>39890</v>
      </c>
      <c r="K143" s="19">
        <f t="shared" si="36"/>
        <v>5.140366006517926</v>
      </c>
      <c r="L143" s="19">
        <f>CHOOSE(MATCH(selMetric,'Dropdown Lists'!$E$2:$E$8,0),D143/100000,E143/100000,F143,G143,H143*100,I143,K143)</f>
        <v>8.791208791208792</v>
      </c>
      <c r="M143" s="19">
        <f t="shared" si="37"/>
        <v>2.0504920000000006</v>
      </c>
      <c r="N143" s="19">
        <f t="shared" si="38"/>
        <v>0.39889999999999998</v>
      </c>
    </row>
    <row r="144" spans="1:14" x14ac:dyDescent="0.3">
      <c r="A144" t="s">
        <v>59</v>
      </c>
      <c r="B144" t="s">
        <v>7237</v>
      </c>
      <c r="C144" t="str">
        <f>INDEX(State!$C$2:$C$24,MATCH($A144,State!$A$2:$A$24,0))</f>
        <v>South</v>
      </c>
      <c r="D144" s="17">
        <f t="shared" si="28"/>
        <v>384954.24999999988</v>
      </c>
      <c r="E144" s="17">
        <f t="shared" si="29"/>
        <v>161789.25</v>
      </c>
      <c r="F144" s="16">
        <f t="shared" si="30"/>
        <v>351</v>
      </c>
      <c r="G144" s="18">
        <f t="shared" si="31"/>
        <v>4.0792452830188681</v>
      </c>
      <c r="H144" s="15">
        <f t="shared" si="32"/>
        <v>0.1111111111111111</v>
      </c>
      <c r="I144" s="19">
        <f t="shared" si="33"/>
        <v>2.8119658119658117</v>
      </c>
      <c r="J144" s="17">
        <f t="shared" si="34"/>
        <v>82830</v>
      </c>
      <c r="K144" s="19">
        <f t="shared" si="36"/>
        <v>4.6475220330798006</v>
      </c>
      <c r="L144" s="19">
        <f>CHOOSE(MATCH(selMetric,'Dropdown Lists'!$E$2:$E$8,0),D144/100000,E144/100000,F144,G144,H144*100,I144,K144)</f>
        <v>11.111111111111111</v>
      </c>
      <c r="M144" s="19">
        <f t="shared" si="37"/>
        <v>3.8495424999999988</v>
      </c>
      <c r="N144" s="19">
        <f t="shared" si="38"/>
        <v>0.82830000000000004</v>
      </c>
    </row>
    <row r="146" spans="1:14" x14ac:dyDescent="0.3">
      <c r="A146" s="6" t="s">
        <v>7316</v>
      </c>
    </row>
    <row r="147" spans="1:14" x14ac:dyDescent="0.3">
      <c r="A147" t="s">
        <v>7317</v>
      </c>
      <c r="B147" s="18">
        <f>IFERROR(SLOPE(D122:D144, J122:J144), 0)</f>
        <v>4.3757177685429216</v>
      </c>
    </row>
    <row r="148" spans="1:14" x14ac:dyDescent="0.3">
      <c r="A148" t="s">
        <v>7318</v>
      </c>
      <c r="B148" s="18">
        <f>IFERROR(RSQ(D122:D144, J122:J144), 0)</f>
        <v>0.97387107931728811</v>
      </c>
    </row>
    <row r="149" spans="1:14" ht="15" x14ac:dyDescent="0.3">
      <c r="A149" t="s">
        <v>7319</v>
      </c>
      <c r="B149" s="201">
        <f>IFERROR(CORREL(D122:D144, J122:J144), 0)</f>
        <v>0.98684906612778844</v>
      </c>
    </row>
    <row r="150" spans="1:14" x14ac:dyDescent="0.3">
      <c r="A150" t="s">
        <v>7320</v>
      </c>
      <c r="B150" s="18">
        <f>CORREL(D122:D144,J122:J144)</f>
        <v>0.98684906612778844</v>
      </c>
    </row>
    <row r="156" spans="1:14" x14ac:dyDescent="0.3">
      <c r="A156" s="13" t="s">
        <v>7373</v>
      </c>
    </row>
    <row r="157" spans="1:14" ht="26.4" x14ac:dyDescent="0.3">
      <c r="A157" s="14" t="s">
        <v>7321</v>
      </c>
      <c r="B157" s="14" t="s">
        <v>7169</v>
      </c>
      <c r="C157" s="14" t="s">
        <v>7279</v>
      </c>
      <c r="D157" s="14" t="s">
        <v>7248</v>
      </c>
      <c r="E157" s="14" t="s">
        <v>7249</v>
      </c>
      <c r="F157" s="14" t="s">
        <v>7280</v>
      </c>
      <c r="G157" s="14" t="s">
        <v>7283</v>
      </c>
      <c r="H157" s="14" t="s">
        <v>7260</v>
      </c>
      <c r="I157" s="14" t="s">
        <v>7282</v>
      </c>
      <c r="J157" s="14" t="s">
        <v>7259</v>
      </c>
      <c r="K157" s="14" t="s">
        <v>7322</v>
      </c>
      <c r="L157" s="14" t="s">
        <v>7323</v>
      </c>
      <c r="M157" s="14" t="s">
        <v>7324</v>
      </c>
      <c r="N157" s="14" t="s">
        <v>7325</v>
      </c>
    </row>
    <row r="158" spans="1:14" x14ac:dyDescent="0.3">
      <c r="A158" t="s">
        <v>7172</v>
      </c>
      <c r="B158" t="s">
        <v>7173</v>
      </c>
      <c r="C158" s="17">
        <f t="shared" ref="C158:C187" si="39">SUMIFS(Net_Revenue,Year,cYear,Region,cRegion,Sales_Channel,cChannel,Category,cCat,Product_Name,$A158)</f>
        <v>158914.69999999984</v>
      </c>
      <c r="D158" s="17">
        <f t="shared" ref="D158:D187" si="40">SUMIFS(Profit,Year,cYear,Region,cRegion,Sales_Channel,cChannel,Category,cCat,Product_Name,$A158)</f>
        <v>84454.699999999953</v>
      </c>
      <c r="E158" s="15">
        <f>IFERROR(D158/C158,0)</f>
        <v>0.53144674470014441</v>
      </c>
      <c r="F158" s="16">
        <f t="shared" ref="F158:F187" si="41">SUMIFS(Quantity,Year,cYear,Region,cRegion,Sales_Channel,cChannel,Category,cCat,Product_Name,$A158)</f>
        <v>332</v>
      </c>
      <c r="G158" s="15">
        <f t="shared" ref="G158:G187" si="42">IFERROR(SUMIFS(Discount_Amount,Year,cYear,Region,cRegion,Sales_Channel,cChannel,Category,cCat,Product_Name,$A158)/SUMIFS(Gross_Sale,Year,cYear,Region,cRegion,Sales_Channel,cChannel,Category,cCat,Product_Name,$A158),0)</f>
        <v>0.20090361445783111</v>
      </c>
      <c r="H158" s="18">
        <f t="shared" ref="H158:H187" si="43">IFERROR(AVERAGEIFS(Customer_Rating,Year,cYear,Region,cRegion,Sales_Channel,cChannel,Category,cCat,Product_Name,$A158),0)</f>
        <v>3.8734177215189876</v>
      </c>
      <c r="I158" s="15">
        <f t="shared" ref="I158:I187" si="44">IFERROR(SUMIFS(Returned,Year,cYear,Region,cRegion,Sales_Channel,cChannel,Category,cCat,Product_Name,$A158)/J158,0)</f>
        <v>7.4561403508771926E-2</v>
      </c>
      <c r="J158">
        <f t="shared" ref="J158:J187" si="45">COUNTIFS(Year,cYear,Region,cRegion,Sales_Channel,cChannel,Category,cCat,Product_Name,$A158)</f>
        <v>228</v>
      </c>
      <c r="K158" s="18">
        <f>C158+(ROW()-ROW($A$158)+1)/1000000</f>
        <v>158914.70000099984</v>
      </c>
      <c r="L158">
        <f>RANK(K158,$K$158:$K$187,0)</f>
        <v>13</v>
      </c>
      <c r="M158" s="15">
        <f>IF(J158&gt;0,G158,NA())</f>
        <v>0.20090361445783111</v>
      </c>
      <c r="N158" s="15">
        <f>IF(J158&gt;0,E158,NA())</f>
        <v>0.53144674470014441</v>
      </c>
    </row>
    <row r="159" spans="1:14" x14ac:dyDescent="0.3">
      <c r="A159" t="s">
        <v>7174</v>
      </c>
      <c r="B159" t="s">
        <v>7173</v>
      </c>
      <c r="C159" s="17">
        <f t="shared" si="39"/>
        <v>132589.70000000019</v>
      </c>
      <c r="D159" s="17">
        <f t="shared" si="40"/>
        <v>71137.700000000084</v>
      </c>
      <c r="E159" s="15">
        <f t="shared" ref="E159:E187" si="46">IFERROR(D159/C159,0)</f>
        <v>0.53652508452768188</v>
      </c>
      <c r="F159" s="16">
        <f t="shared" si="41"/>
        <v>328</v>
      </c>
      <c r="G159" s="15">
        <f t="shared" si="42"/>
        <v>9.9695121951219504E-2</v>
      </c>
      <c r="H159" s="18">
        <f t="shared" si="43"/>
        <v>3.9807692307692308</v>
      </c>
      <c r="I159" s="15">
        <f t="shared" si="44"/>
        <v>8.7155963302752298E-2</v>
      </c>
      <c r="J159">
        <f t="shared" si="45"/>
        <v>218</v>
      </c>
      <c r="K159" s="18">
        <f t="shared" ref="K159:K187" si="47">C159+(ROW()-ROW($A$158)+1)/1000000</f>
        <v>132589.70000200017</v>
      </c>
      <c r="L159">
        <f t="shared" ref="L159:L187" si="48">RANK(K159,$K$158:$K$187,0)</f>
        <v>18</v>
      </c>
      <c r="M159" s="15">
        <f t="shared" ref="M159:M187" si="49">IF(J159&gt;0,G159,NA())</f>
        <v>9.9695121951219504E-2</v>
      </c>
      <c r="N159" s="15">
        <f t="shared" ref="N159:N187" si="50">IF(J159&gt;0,E159,NA())</f>
        <v>0.53652508452768188</v>
      </c>
    </row>
    <row r="160" spans="1:14" x14ac:dyDescent="0.3">
      <c r="A160" t="s">
        <v>7175</v>
      </c>
      <c r="B160" t="s">
        <v>7173</v>
      </c>
      <c r="C160" s="17">
        <f t="shared" si="39"/>
        <v>102922.04999999994</v>
      </c>
      <c r="D160" s="17">
        <f t="shared" si="40"/>
        <v>50154.050000000039</v>
      </c>
      <c r="E160" s="15">
        <f t="shared" si="46"/>
        <v>0.48730131201234395</v>
      </c>
      <c r="F160" s="16">
        <f t="shared" si="41"/>
        <v>349</v>
      </c>
      <c r="G160" s="15">
        <f t="shared" si="42"/>
        <v>0.26088825214899702</v>
      </c>
      <c r="H160" s="18">
        <f t="shared" si="43"/>
        <v>3.8670886075949369</v>
      </c>
      <c r="I160" s="15">
        <f t="shared" si="44"/>
        <v>8.0568720379146919E-2</v>
      </c>
      <c r="J160">
        <f t="shared" si="45"/>
        <v>211</v>
      </c>
      <c r="K160" s="18">
        <f t="shared" si="47"/>
        <v>102922.05000299994</v>
      </c>
      <c r="L160">
        <f t="shared" si="48"/>
        <v>24</v>
      </c>
      <c r="M160" s="15">
        <f t="shared" si="49"/>
        <v>0.26088825214899702</v>
      </c>
      <c r="N160" s="15">
        <f t="shared" si="50"/>
        <v>0.48730131201234395</v>
      </c>
    </row>
    <row r="161" spans="1:14" x14ac:dyDescent="0.3">
      <c r="A161" t="s">
        <v>7176</v>
      </c>
      <c r="B161" t="s">
        <v>7173</v>
      </c>
      <c r="C161" s="17">
        <f t="shared" si="39"/>
        <v>87113.64999999998</v>
      </c>
      <c r="D161" s="17">
        <f t="shared" si="40"/>
        <v>45053.64999999998</v>
      </c>
      <c r="E161" s="15">
        <f t="shared" si="46"/>
        <v>0.51718243926181473</v>
      </c>
      <c r="F161" s="16">
        <f t="shared" si="41"/>
        <v>308</v>
      </c>
      <c r="G161" s="15">
        <f t="shared" si="42"/>
        <v>5.4058441558441556E-2</v>
      </c>
      <c r="H161" s="18">
        <f t="shared" si="43"/>
        <v>3.9493670886075951</v>
      </c>
      <c r="I161" s="15">
        <f t="shared" si="44"/>
        <v>0.10648148148148148</v>
      </c>
      <c r="J161">
        <f t="shared" si="45"/>
        <v>216</v>
      </c>
      <c r="K161" s="18">
        <f t="shared" si="47"/>
        <v>87113.650003999981</v>
      </c>
      <c r="L161">
        <f t="shared" si="48"/>
        <v>29</v>
      </c>
      <c r="M161" s="15">
        <f t="shared" si="49"/>
        <v>5.4058441558441556E-2</v>
      </c>
      <c r="N161" s="15">
        <f t="shared" si="50"/>
        <v>0.51718243926181473</v>
      </c>
    </row>
    <row r="162" spans="1:14" x14ac:dyDescent="0.3">
      <c r="A162" t="s">
        <v>7177</v>
      </c>
      <c r="B162" t="s">
        <v>7173</v>
      </c>
      <c r="C162" s="17">
        <f t="shared" si="39"/>
        <v>154366.80000000005</v>
      </c>
      <c r="D162" s="17">
        <f t="shared" si="40"/>
        <v>98134.800000000032</v>
      </c>
      <c r="E162" s="15">
        <f t="shared" si="46"/>
        <v>0.63572478019885104</v>
      </c>
      <c r="F162" s="16">
        <f t="shared" si="41"/>
        <v>217</v>
      </c>
      <c r="G162" s="15">
        <f t="shared" si="42"/>
        <v>0.10967741935483875</v>
      </c>
      <c r="H162" s="18">
        <f t="shared" si="43"/>
        <v>3.9142857142857141</v>
      </c>
      <c r="I162" s="15">
        <f t="shared" si="44"/>
        <v>0.10638297872340426</v>
      </c>
      <c r="J162">
        <f t="shared" si="45"/>
        <v>141</v>
      </c>
      <c r="K162" s="18">
        <f t="shared" si="47"/>
        <v>154366.80000500006</v>
      </c>
      <c r="L162">
        <f t="shared" si="48"/>
        <v>14</v>
      </c>
      <c r="M162" s="15">
        <f t="shared" si="49"/>
        <v>0.10967741935483875</v>
      </c>
      <c r="N162" s="15">
        <f t="shared" si="50"/>
        <v>0.63572478019885104</v>
      </c>
    </row>
    <row r="163" spans="1:14" x14ac:dyDescent="0.3">
      <c r="A163" t="s">
        <v>7178</v>
      </c>
      <c r="B163" t="s">
        <v>7179</v>
      </c>
      <c r="C163" s="17">
        <f t="shared" si="39"/>
        <v>85958.7</v>
      </c>
      <c r="D163" s="17">
        <f t="shared" si="40"/>
        <v>33173.69999999999</v>
      </c>
      <c r="E163" s="15">
        <f t="shared" si="46"/>
        <v>0.38592603191998009</v>
      </c>
      <c r="F163" s="16">
        <f t="shared" si="41"/>
        <v>377</v>
      </c>
      <c r="G163" s="15">
        <f t="shared" si="42"/>
        <v>0.34668435013262627</v>
      </c>
      <c r="H163" s="18">
        <f t="shared" si="43"/>
        <v>3.920863309352518</v>
      </c>
      <c r="I163" s="15">
        <f t="shared" si="44"/>
        <v>7.3170731707317069E-2</v>
      </c>
      <c r="J163">
        <f t="shared" si="45"/>
        <v>205</v>
      </c>
      <c r="K163" s="18">
        <f t="shared" si="47"/>
        <v>85958.700005999999</v>
      </c>
      <c r="L163">
        <f t="shared" si="48"/>
        <v>30</v>
      </c>
      <c r="M163" s="15">
        <f t="shared" si="49"/>
        <v>0.34668435013262627</v>
      </c>
      <c r="N163" s="15">
        <f t="shared" si="50"/>
        <v>0.38592603191998009</v>
      </c>
    </row>
    <row r="164" spans="1:14" x14ac:dyDescent="0.3">
      <c r="A164" t="s">
        <v>7180</v>
      </c>
      <c r="B164" t="s">
        <v>7179</v>
      </c>
      <c r="C164" s="17">
        <f t="shared" si="39"/>
        <v>107468.15000000005</v>
      </c>
      <c r="D164" s="17">
        <f t="shared" si="40"/>
        <v>56636.15</v>
      </c>
      <c r="E164" s="15">
        <f t="shared" si="46"/>
        <v>0.52700404724562555</v>
      </c>
      <c r="F164" s="16">
        <f t="shared" si="41"/>
        <v>264</v>
      </c>
      <c r="G164" s="15">
        <f t="shared" si="42"/>
        <v>9.3371212121212091E-2</v>
      </c>
      <c r="H164" s="18">
        <f t="shared" si="43"/>
        <v>3.9133858267716537</v>
      </c>
      <c r="I164" s="15">
        <f t="shared" si="44"/>
        <v>4.2553191489361701E-2</v>
      </c>
      <c r="J164">
        <f t="shared" si="45"/>
        <v>188</v>
      </c>
      <c r="K164" s="18">
        <f t="shared" si="47"/>
        <v>107468.15000700005</v>
      </c>
      <c r="L164">
        <f t="shared" si="48"/>
        <v>23</v>
      </c>
      <c r="M164" s="15">
        <f t="shared" si="49"/>
        <v>9.3371212121212091E-2</v>
      </c>
      <c r="N164" s="15">
        <f t="shared" si="50"/>
        <v>0.52700404724562555</v>
      </c>
    </row>
    <row r="165" spans="1:14" x14ac:dyDescent="0.3">
      <c r="A165" t="s">
        <v>7181</v>
      </c>
      <c r="B165" t="s">
        <v>7179</v>
      </c>
      <c r="C165" s="17">
        <f t="shared" si="39"/>
        <v>130689.4499999999</v>
      </c>
      <c r="D165" s="17">
        <f t="shared" si="40"/>
        <v>67109.449999999968</v>
      </c>
      <c r="E165" s="15">
        <f t="shared" si="46"/>
        <v>0.51350319402216493</v>
      </c>
      <c r="F165" s="16">
        <f t="shared" si="41"/>
        <v>296</v>
      </c>
      <c r="G165" s="15">
        <f t="shared" si="42"/>
        <v>0.19577702702702687</v>
      </c>
      <c r="H165" s="18">
        <f t="shared" si="43"/>
        <v>3.8590604026845639</v>
      </c>
      <c r="I165" s="15">
        <f t="shared" si="44"/>
        <v>8.8669950738916259E-2</v>
      </c>
      <c r="J165">
        <f t="shared" si="45"/>
        <v>203</v>
      </c>
      <c r="K165" s="18">
        <f t="shared" si="47"/>
        <v>130689.4500079999</v>
      </c>
      <c r="L165">
        <f t="shared" si="48"/>
        <v>19</v>
      </c>
      <c r="M165" s="15">
        <f t="shared" si="49"/>
        <v>0.19577702702702687</v>
      </c>
      <c r="N165" s="15">
        <f t="shared" si="50"/>
        <v>0.51350319402216493</v>
      </c>
    </row>
    <row r="166" spans="1:14" x14ac:dyDescent="0.3">
      <c r="A166" t="s">
        <v>7182</v>
      </c>
      <c r="B166" t="s">
        <v>7179</v>
      </c>
      <c r="C166" s="17">
        <f t="shared" si="39"/>
        <v>94004.39999999998</v>
      </c>
      <c r="D166" s="17">
        <f t="shared" si="40"/>
        <v>26832.400000000009</v>
      </c>
      <c r="E166" s="15">
        <f t="shared" si="46"/>
        <v>0.28543770291603388</v>
      </c>
      <c r="F166" s="16">
        <f t="shared" si="41"/>
        <v>392</v>
      </c>
      <c r="G166" s="15">
        <f t="shared" si="42"/>
        <v>0.39897959183673487</v>
      </c>
      <c r="H166" s="18">
        <f t="shared" si="43"/>
        <v>3.7666666666666666</v>
      </c>
      <c r="I166" s="15">
        <f t="shared" si="44"/>
        <v>0.1</v>
      </c>
      <c r="J166">
        <f t="shared" si="45"/>
        <v>210</v>
      </c>
      <c r="K166" s="18">
        <f t="shared" si="47"/>
        <v>94004.400008999975</v>
      </c>
      <c r="L166">
        <f t="shared" si="48"/>
        <v>28</v>
      </c>
      <c r="M166" s="15">
        <f t="shared" si="49"/>
        <v>0.39897959183673487</v>
      </c>
      <c r="N166" s="15">
        <f t="shared" si="50"/>
        <v>0.28543770291603388</v>
      </c>
    </row>
    <row r="167" spans="1:14" x14ac:dyDescent="0.3">
      <c r="A167" t="s">
        <v>7183</v>
      </c>
      <c r="B167" t="s">
        <v>7184</v>
      </c>
      <c r="C167" s="17">
        <f t="shared" si="39"/>
        <v>206421.65000000017</v>
      </c>
      <c r="D167" s="17">
        <f t="shared" si="40"/>
        <v>104021.65000000005</v>
      </c>
      <c r="E167" s="15">
        <f t="shared" si="46"/>
        <v>0.50392800367597079</v>
      </c>
      <c r="F167" s="16">
        <f t="shared" si="41"/>
        <v>275</v>
      </c>
      <c r="G167" s="15">
        <f t="shared" si="42"/>
        <v>6.0545454545454507E-2</v>
      </c>
      <c r="H167" s="18">
        <f t="shared" si="43"/>
        <v>4.0069930069930066</v>
      </c>
      <c r="I167" s="15">
        <f t="shared" si="44"/>
        <v>0.15384615384615385</v>
      </c>
      <c r="J167">
        <f t="shared" si="45"/>
        <v>208</v>
      </c>
      <c r="K167" s="18">
        <f t="shared" si="47"/>
        <v>206421.65001000016</v>
      </c>
      <c r="L167">
        <f t="shared" si="48"/>
        <v>8</v>
      </c>
      <c r="M167" s="15">
        <f t="shared" si="49"/>
        <v>6.0545454545454507E-2</v>
      </c>
      <c r="N167" s="15">
        <f t="shared" si="50"/>
        <v>0.50392800367597079</v>
      </c>
    </row>
    <row r="168" spans="1:14" x14ac:dyDescent="0.3">
      <c r="A168" t="s">
        <v>7185</v>
      </c>
      <c r="B168" t="s">
        <v>7184</v>
      </c>
      <c r="C168" s="17">
        <f t="shared" si="39"/>
        <v>361333.94999999995</v>
      </c>
      <c r="D168" s="17">
        <f t="shared" si="40"/>
        <v>111673.95000000001</v>
      </c>
      <c r="E168" s="15">
        <f t="shared" si="46"/>
        <v>0.30906021977730025</v>
      </c>
      <c r="F168" s="16">
        <f t="shared" si="41"/>
        <v>374</v>
      </c>
      <c r="G168" s="15">
        <f t="shared" si="42"/>
        <v>0.35548128342245972</v>
      </c>
      <c r="H168" s="18">
        <f t="shared" si="43"/>
        <v>3.8407643312101909</v>
      </c>
      <c r="I168" s="15">
        <f t="shared" si="44"/>
        <v>0.125</v>
      </c>
      <c r="J168">
        <f t="shared" si="45"/>
        <v>208</v>
      </c>
      <c r="K168" s="18">
        <f t="shared" si="47"/>
        <v>361333.95001099998</v>
      </c>
      <c r="L168">
        <f t="shared" si="48"/>
        <v>1</v>
      </c>
      <c r="M168" s="15">
        <f t="shared" si="49"/>
        <v>0.35548128342245972</v>
      </c>
      <c r="N168" s="15">
        <f t="shared" si="50"/>
        <v>0.30906021977730025</v>
      </c>
    </row>
    <row r="169" spans="1:14" x14ac:dyDescent="0.3">
      <c r="A169" t="s">
        <v>7186</v>
      </c>
      <c r="B169" t="s">
        <v>7184</v>
      </c>
      <c r="C169" s="17">
        <f t="shared" si="39"/>
        <v>301908.2</v>
      </c>
      <c r="D169" s="17">
        <f t="shared" si="40"/>
        <v>142644.20000000004</v>
      </c>
      <c r="E169" s="15">
        <f t="shared" si="46"/>
        <v>0.47247540808762412</v>
      </c>
      <c r="F169" s="16">
        <f t="shared" si="41"/>
        <v>297</v>
      </c>
      <c r="G169" s="15">
        <f t="shared" si="42"/>
        <v>0.15218855218855218</v>
      </c>
      <c r="H169" s="18">
        <f t="shared" si="43"/>
        <v>3.9007092198581561</v>
      </c>
      <c r="I169" s="15">
        <f t="shared" si="44"/>
        <v>0.14659685863874344</v>
      </c>
      <c r="J169">
        <f t="shared" si="45"/>
        <v>191</v>
      </c>
      <c r="K169" s="18">
        <f t="shared" si="47"/>
        <v>301908.20001199999</v>
      </c>
      <c r="L169">
        <f t="shared" si="48"/>
        <v>4</v>
      </c>
      <c r="M169" s="15">
        <f t="shared" si="49"/>
        <v>0.15218855218855218</v>
      </c>
      <c r="N169" s="15">
        <f t="shared" si="50"/>
        <v>0.47247540808762412</v>
      </c>
    </row>
    <row r="170" spans="1:14" x14ac:dyDescent="0.3">
      <c r="A170" t="s">
        <v>7187</v>
      </c>
      <c r="B170" t="s">
        <v>7184</v>
      </c>
      <c r="C170" s="17">
        <f t="shared" si="39"/>
        <v>310500.75000000012</v>
      </c>
      <c r="D170" s="17">
        <f t="shared" si="40"/>
        <v>153795.75000000006</v>
      </c>
      <c r="E170" s="15">
        <f t="shared" si="46"/>
        <v>0.49531522870717704</v>
      </c>
      <c r="F170" s="16">
        <f t="shared" si="41"/>
        <v>133</v>
      </c>
      <c r="G170" s="15">
        <f t="shared" si="42"/>
        <v>6.5789473684210509E-2</v>
      </c>
      <c r="H170" s="18">
        <f t="shared" si="43"/>
        <v>3.9864864864864864</v>
      </c>
      <c r="I170" s="15">
        <f t="shared" si="44"/>
        <v>0.18</v>
      </c>
      <c r="J170">
        <f t="shared" si="45"/>
        <v>100</v>
      </c>
      <c r="K170" s="18">
        <f t="shared" si="47"/>
        <v>310500.7500130001</v>
      </c>
      <c r="L170">
        <f t="shared" si="48"/>
        <v>3</v>
      </c>
      <c r="M170" s="15">
        <f t="shared" si="49"/>
        <v>6.5789473684210509E-2</v>
      </c>
      <c r="N170" s="15">
        <f t="shared" si="50"/>
        <v>0.49531522870717704</v>
      </c>
    </row>
    <row r="171" spans="1:14" x14ac:dyDescent="0.3">
      <c r="A171" t="s">
        <v>7188</v>
      </c>
      <c r="B171" t="s">
        <v>7184</v>
      </c>
      <c r="C171" s="17">
        <f t="shared" si="39"/>
        <v>253073.39999999994</v>
      </c>
      <c r="D171" s="17">
        <f t="shared" si="40"/>
        <v>123033.40000000005</v>
      </c>
      <c r="E171" s="15">
        <f t="shared" si="46"/>
        <v>0.48615698054398482</v>
      </c>
      <c r="F171" s="16">
        <f t="shared" si="41"/>
        <v>140</v>
      </c>
      <c r="G171" s="15">
        <f t="shared" si="42"/>
        <v>9.5714285714285752E-2</v>
      </c>
      <c r="H171" s="18">
        <f t="shared" si="43"/>
        <v>4</v>
      </c>
      <c r="I171" s="15">
        <f t="shared" si="44"/>
        <v>0.21276595744680851</v>
      </c>
      <c r="J171">
        <f t="shared" si="45"/>
        <v>94</v>
      </c>
      <c r="K171" s="18">
        <f t="shared" si="47"/>
        <v>253073.40001399993</v>
      </c>
      <c r="L171">
        <f t="shared" si="48"/>
        <v>5</v>
      </c>
      <c r="M171" s="15">
        <f t="shared" si="49"/>
        <v>9.5714285714285752E-2</v>
      </c>
      <c r="N171" s="15">
        <f t="shared" si="50"/>
        <v>0.48615698054398482</v>
      </c>
    </row>
    <row r="172" spans="1:14" x14ac:dyDescent="0.3">
      <c r="A172" t="s">
        <v>7189</v>
      </c>
      <c r="B172" t="s">
        <v>7190</v>
      </c>
      <c r="C172" s="17">
        <f t="shared" si="39"/>
        <v>346234.55000000005</v>
      </c>
      <c r="D172" s="17">
        <f t="shared" si="40"/>
        <v>118354.54999999994</v>
      </c>
      <c r="E172" s="15">
        <f t="shared" si="46"/>
        <v>0.34183344787514686</v>
      </c>
      <c r="F172" s="16">
        <f t="shared" si="41"/>
        <v>153</v>
      </c>
      <c r="G172" s="15">
        <f t="shared" si="42"/>
        <v>0.24542483660130732</v>
      </c>
      <c r="H172" s="18">
        <f t="shared" si="43"/>
        <v>3.8536585365853657</v>
      </c>
      <c r="I172" s="15">
        <f t="shared" si="44"/>
        <v>0.18867924528301888</v>
      </c>
      <c r="J172">
        <f t="shared" si="45"/>
        <v>106</v>
      </c>
      <c r="K172" s="18">
        <f t="shared" si="47"/>
        <v>346234.55001500004</v>
      </c>
      <c r="L172">
        <f t="shared" si="48"/>
        <v>2</v>
      </c>
      <c r="M172" s="15">
        <f t="shared" si="49"/>
        <v>0.24542483660130732</v>
      </c>
      <c r="N172" s="15">
        <f t="shared" si="50"/>
        <v>0.34183344787514686</v>
      </c>
    </row>
    <row r="173" spans="1:14" x14ac:dyDescent="0.3">
      <c r="A173" t="s">
        <v>7191</v>
      </c>
      <c r="B173" t="s">
        <v>7190</v>
      </c>
      <c r="C173" s="17">
        <f t="shared" si="39"/>
        <v>223858.20000000004</v>
      </c>
      <c r="D173" s="17">
        <f t="shared" si="40"/>
        <v>75406.199999999968</v>
      </c>
      <c r="E173" s="15">
        <f t="shared" si="46"/>
        <v>0.33684805827975012</v>
      </c>
      <c r="F173" s="16">
        <f t="shared" si="41"/>
        <v>138</v>
      </c>
      <c r="G173" s="15">
        <f t="shared" si="42"/>
        <v>0.26231884057971022</v>
      </c>
      <c r="H173" s="18">
        <f t="shared" si="43"/>
        <v>3.9206349206349205</v>
      </c>
      <c r="I173" s="15">
        <f t="shared" si="44"/>
        <v>0.10344827586206896</v>
      </c>
      <c r="J173">
        <f t="shared" si="45"/>
        <v>87</v>
      </c>
      <c r="K173" s="18">
        <f t="shared" si="47"/>
        <v>223858.20001600005</v>
      </c>
      <c r="L173">
        <f t="shared" si="48"/>
        <v>7</v>
      </c>
      <c r="M173" s="15">
        <f t="shared" si="49"/>
        <v>0.26231884057971022</v>
      </c>
      <c r="N173" s="15">
        <f t="shared" si="50"/>
        <v>0.33684805827975012</v>
      </c>
    </row>
    <row r="174" spans="1:14" x14ac:dyDescent="0.3">
      <c r="A174" t="s">
        <v>7192</v>
      </c>
      <c r="B174" t="s">
        <v>7190</v>
      </c>
      <c r="C174" s="17">
        <f t="shared" si="39"/>
        <v>246453.29999999993</v>
      </c>
      <c r="D174" s="17">
        <f t="shared" si="40"/>
        <v>124153.30000000012</v>
      </c>
      <c r="E174" s="15">
        <f t="shared" si="46"/>
        <v>0.50375994153862069</v>
      </c>
      <c r="F174" s="16">
        <f t="shared" si="41"/>
        <v>272</v>
      </c>
      <c r="G174" s="15">
        <f t="shared" si="42"/>
        <v>9.3014705882352999E-2</v>
      </c>
      <c r="H174" s="18">
        <f t="shared" si="43"/>
        <v>4.0273972602739727</v>
      </c>
      <c r="I174" s="15">
        <f t="shared" si="44"/>
        <v>0.14795918367346939</v>
      </c>
      <c r="J174">
        <f t="shared" si="45"/>
        <v>196</v>
      </c>
      <c r="K174" s="18">
        <f t="shared" si="47"/>
        <v>246453.30001699994</v>
      </c>
      <c r="L174">
        <f t="shared" si="48"/>
        <v>6</v>
      </c>
      <c r="M174" s="15">
        <f t="shared" si="49"/>
        <v>9.3014705882352999E-2</v>
      </c>
      <c r="N174" s="15">
        <f t="shared" si="50"/>
        <v>0.50375994153862069</v>
      </c>
    </row>
    <row r="175" spans="1:14" x14ac:dyDescent="0.3">
      <c r="A175" t="s">
        <v>7193</v>
      </c>
      <c r="B175" t="s">
        <v>7190</v>
      </c>
      <c r="C175" s="17">
        <f t="shared" si="39"/>
        <v>152338.2000000001</v>
      </c>
      <c r="D175" s="17">
        <f t="shared" si="40"/>
        <v>61926.19999999999</v>
      </c>
      <c r="E175" s="15">
        <f t="shared" si="46"/>
        <v>0.40650473748541044</v>
      </c>
      <c r="F175" s="16">
        <f t="shared" si="41"/>
        <v>446</v>
      </c>
      <c r="G175" s="15">
        <f t="shared" si="42"/>
        <v>0.1439461883408073</v>
      </c>
      <c r="H175" s="18">
        <f t="shared" si="43"/>
        <v>3.9525862068965516</v>
      </c>
      <c r="I175" s="15">
        <f t="shared" si="44"/>
        <v>0.1892744479495268</v>
      </c>
      <c r="J175">
        <f t="shared" si="45"/>
        <v>317</v>
      </c>
      <c r="K175" s="18">
        <f t="shared" si="47"/>
        <v>152338.20001800009</v>
      </c>
      <c r="L175">
        <f t="shared" si="48"/>
        <v>15</v>
      </c>
      <c r="M175" s="15">
        <f t="shared" si="49"/>
        <v>0.1439461883408073</v>
      </c>
      <c r="N175" s="15">
        <f t="shared" si="50"/>
        <v>0.40650473748541044</v>
      </c>
    </row>
    <row r="176" spans="1:14" x14ac:dyDescent="0.3">
      <c r="A176" t="s">
        <v>7194</v>
      </c>
      <c r="B176" t="s">
        <v>7195</v>
      </c>
      <c r="C176" s="17">
        <f t="shared" si="39"/>
        <v>110352.25000000007</v>
      </c>
      <c r="D176" s="17">
        <f t="shared" si="40"/>
        <v>52944.250000000029</v>
      </c>
      <c r="E176" s="15">
        <f t="shared" si="46"/>
        <v>0.47977499326021894</v>
      </c>
      <c r="F176" s="16">
        <f t="shared" si="41"/>
        <v>136</v>
      </c>
      <c r="G176" s="15">
        <f t="shared" si="42"/>
        <v>9.7426470588235364E-2</v>
      </c>
      <c r="H176" s="18">
        <f t="shared" si="43"/>
        <v>3.95</v>
      </c>
      <c r="I176" s="15">
        <f t="shared" si="44"/>
        <v>7.5268817204301078E-2</v>
      </c>
      <c r="J176">
        <f t="shared" si="45"/>
        <v>93</v>
      </c>
      <c r="K176" s="18">
        <f t="shared" si="47"/>
        <v>110352.25001900007</v>
      </c>
      <c r="L176">
        <f t="shared" si="48"/>
        <v>22</v>
      </c>
      <c r="M176" s="15">
        <f t="shared" si="49"/>
        <v>9.7426470588235364E-2</v>
      </c>
      <c r="N176" s="15">
        <f t="shared" si="50"/>
        <v>0.47977499326021894</v>
      </c>
    </row>
    <row r="177" spans="1:14" x14ac:dyDescent="0.3">
      <c r="A177" t="s">
        <v>7196</v>
      </c>
      <c r="B177" t="s">
        <v>7195</v>
      </c>
      <c r="C177" s="17">
        <f t="shared" si="39"/>
        <v>151439.39999999997</v>
      </c>
      <c r="D177" s="17">
        <f t="shared" si="40"/>
        <v>33199.4</v>
      </c>
      <c r="E177" s="15">
        <f t="shared" si="46"/>
        <v>0.2192256440530008</v>
      </c>
      <c r="F177" s="16">
        <f t="shared" si="41"/>
        <v>92</v>
      </c>
      <c r="G177" s="15">
        <f t="shared" si="42"/>
        <v>0.34130434782608693</v>
      </c>
      <c r="H177" s="18">
        <f t="shared" si="43"/>
        <v>3.6842105263157894</v>
      </c>
      <c r="I177" s="15">
        <f t="shared" si="44"/>
        <v>1.8867924528301886E-2</v>
      </c>
      <c r="J177">
        <f t="shared" si="45"/>
        <v>53</v>
      </c>
      <c r="K177" s="18">
        <f t="shared" si="47"/>
        <v>151439.40001999997</v>
      </c>
      <c r="L177">
        <f t="shared" si="48"/>
        <v>16</v>
      </c>
      <c r="M177" s="15">
        <f t="shared" si="49"/>
        <v>0.34130434782608693</v>
      </c>
      <c r="N177" s="15">
        <f t="shared" si="50"/>
        <v>0.2192256440530008</v>
      </c>
    </row>
    <row r="178" spans="1:14" x14ac:dyDescent="0.3">
      <c r="A178" t="s">
        <v>7197</v>
      </c>
      <c r="B178" t="s">
        <v>7195</v>
      </c>
      <c r="C178" s="17">
        <f t="shared" si="39"/>
        <v>148642.34999999992</v>
      </c>
      <c r="D178" s="17">
        <f t="shared" si="40"/>
        <v>67832.349999999948</v>
      </c>
      <c r="E178" s="15">
        <f t="shared" si="46"/>
        <v>0.45634605480874046</v>
      </c>
      <c r="F178" s="16">
        <f t="shared" si="41"/>
        <v>286</v>
      </c>
      <c r="G178" s="15">
        <f t="shared" si="42"/>
        <v>0.25646853146853149</v>
      </c>
      <c r="H178" s="18">
        <f t="shared" si="43"/>
        <v>3.9532710280373831</v>
      </c>
      <c r="I178" s="15">
        <f t="shared" si="44"/>
        <v>5.2941176470588235E-2</v>
      </c>
      <c r="J178">
        <f t="shared" si="45"/>
        <v>170</v>
      </c>
      <c r="K178" s="18">
        <f t="shared" si="47"/>
        <v>148642.35002099993</v>
      </c>
      <c r="L178">
        <f t="shared" si="48"/>
        <v>17</v>
      </c>
      <c r="M178" s="15">
        <f t="shared" si="49"/>
        <v>0.25646853146853149</v>
      </c>
      <c r="N178" s="15">
        <f t="shared" si="50"/>
        <v>0.45634605480874046</v>
      </c>
    </row>
    <row r="179" spans="1:14" x14ac:dyDescent="0.3">
      <c r="A179" t="s">
        <v>7198</v>
      </c>
      <c r="B179" t="s">
        <v>7195</v>
      </c>
      <c r="C179" s="17">
        <f t="shared" si="39"/>
        <v>193291.19999999998</v>
      </c>
      <c r="D179" s="17">
        <f t="shared" si="40"/>
        <v>93946.200000000041</v>
      </c>
      <c r="E179" s="15">
        <f t="shared" si="46"/>
        <v>0.48603454270034047</v>
      </c>
      <c r="F179" s="16">
        <f t="shared" si="41"/>
        <v>157</v>
      </c>
      <c r="G179" s="15">
        <f t="shared" si="42"/>
        <v>5.2229299363057306E-2</v>
      </c>
      <c r="H179" s="18">
        <f t="shared" si="43"/>
        <v>3.9444444444444446</v>
      </c>
      <c r="I179" s="15">
        <f t="shared" si="44"/>
        <v>0.15740740740740741</v>
      </c>
      <c r="J179">
        <f t="shared" si="45"/>
        <v>108</v>
      </c>
      <c r="K179" s="18">
        <f t="shared" si="47"/>
        <v>193291.20002199998</v>
      </c>
      <c r="L179">
        <f t="shared" si="48"/>
        <v>10</v>
      </c>
      <c r="M179" s="15">
        <f t="shared" si="49"/>
        <v>5.2229299363057306E-2</v>
      </c>
      <c r="N179" s="15">
        <f t="shared" si="50"/>
        <v>0.48603454270034047</v>
      </c>
    </row>
    <row r="180" spans="1:14" x14ac:dyDescent="0.3">
      <c r="A180" t="s">
        <v>7199</v>
      </c>
      <c r="B180" t="s">
        <v>7200</v>
      </c>
      <c r="C180" s="17">
        <f t="shared" si="39"/>
        <v>129535.19999999994</v>
      </c>
      <c r="D180" s="17">
        <f t="shared" si="40"/>
        <v>-4099.8000000000011</v>
      </c>
      <c r="E180" s="15">
        <f t="shared" si="46"/>
        <v>-3.1650084301409989E-2</v>
      </c>
      <c r="F180" s="16">
        <f t="shared" si="41"/>
        <v>105</v>
      </c>
      <c r="G180" s="15">
        <f t="shared" si="42"/>
        <v>0.38285714285714295</v>
      </c>
      <c r="H180" s="18">
        <f t="shared" si="43"/>
        <v>3.8</v>
      </c>
      <c r="I180" s="15">
        <f t="shared" si="44"/>
        <v>9.2592592592592587E-2</v>
      </c>
      <c r="J180">
        <f t="shared" si="45"/>
        <v>54</v>
      </c>
      <c r="K180" s="18">
        <f t="shared" si="47"/>
        <v>129535.20002299994</v>
      </c>
      <c r="L180">
        <f t="shared" si="48"/>
        <v>20</v>
      </c>
      <c r="M180" s="15">
        <f t="shared" si="49"/>
        <v>0.38285714285714295</v>
      </c>
      <c r="N180" s="15">
        <f t="shared" si="50"/>
        <v>-3.1650084301409989E-2</v>
      </c>
    </row>
    <row r="181" spans="1:14" x14ac:dyDescent="0.3">
      <c r="A181" t="s">
        <v>7201</v>
      </c>
      <c r="B181" t="s">
        <v>7200</v>
      </c>
      <c r="C181" s="17">
        <f t="shared" si="39"/>
        <v>98305.64999999998</v>
      </c>
      <c r="D181" s="17">
        <f t="shared" si="40"/>
        <v>32083.65</v>
      </c>
      <c r="E181" s="15">
        <f t="shared" si="46"/>
        <v>0.32636628718695221</v>
      </c>
      <c r="F181" s="16">
        <f t="shared" si="41"/>
        <v>123</v>
      </c>
      <c r="G181" s="15">
        <f t="shared" si="42"/>
        <v>0.11097560975609755</v>
      </c>
      <c r="H181" s="18">
        <f t="shared" si="43"/>
        <v>3.9</v>
      </c>
      <c r="I181" s="15">
        <f t="shared" si="44"/>
        <v>7.0588235294117646E-2</v>
      </c>
      <c r="J181">
        <f t="shared" si="45"/>
        <v>85</v>
      </c>
      <c r="K181" s="18">
        <f t="shared" si="47"/>
        <v>98305.650023999973</v>
      </c>
      <c r="L181">
        <f t="shared" si="48"/>
        <v>26</v>
      </c>
      <c r="M181" s="15">
        <f t="shared" si="49"/>
        <v>0.11097560975609755</v>
      </c>
      <c r="N181" s="15">
        <f t="shared" si="50"/>
        <v>0.32636628718695221</v>
      </c>
    </row>
    <row r="182" spans="1:14" x14ac:dyDescent="0.3">
      <c r="A182" t="s">
        <v>7202</v>
      </c>
      <c r="B182" t="s">
        <v>7200</v>
      </c>
      <c r="C182" s="17">
        <f t="shared" si="39"/>
        <v>99500.60000000002</v>
      </c>
      <c r="D182" s="17">
        <f t="shared" si="40"/>
        <v>42460.599999999962</v>
      </c>
      <c r="E182" s="15">
        <f t="shared" si="46"/>
        <v>0.42673712520326462</v>
      </c>
      <c r="F182" s="16">
        <f t="shared" si="41"/>
        <v>233</v>
      </c>
      <c r="G182" s="15">
        <f t="shared" si="42"/>
        <v>0.1442060085836909</v>
      </c>
      <c r="H182" s="18">
        <f t="shared" si="43"/>
        <v>3.9823008849557522</v>
      </c>
      <c r="I182" s="15">
        <f t="shared" si="44"/>
        <v>4.8192771084337352E-2</v>
      </c>
      <c r="J182">
        <f t="shared" si="45"/>
        <v>166</v>
      </c>
      <c r="K182" s="18">
        <f t="shared" si="47"/>
        <v>99500.600025000022</v>
      </c>
      <c r="L182">
        <f t="shared" si="48"/>
        <v>25</v>
      </c>
      <c r="M182" s="15">
        <f t="shared" si="49"/>
        <v>0.1442060085836909</v>
      </c>
      <c r="N182" s="15">
        <f t="shared" si="50"/>
        <v>0.42673712520326462</v>
      </c>
    </row>
    <row r="183" spans="1:14" x14ac:dyDescent="0.3">
      <c r="A183" t="s">
        <v>7203</v>
      </c>
      <c r="B183" t="s">
        <v>7200</v>
      </c>
      <c r="C183" s="17">
        <f t="shared" si="39"/>
        <v>128178.75000000004</v>
      </c>
      <c r="D183" s="17">
        <f t="shared" si="40"/>
        <v>-1904.2499999999964</v>
      </c>
      <c r="E183" s="15">
        <f t="shared" si="46"/>
        <v>-1.4856206664521192E-2</v>
      </c>
      <c r="F183" s="16">
        <f t="shared" si="41"/>
        <v>117</v>
      </c>
      <c r="G183" s="15">
        <f t="shared" si="42"/>
        <v>0.39102564102564108</v>
      </c>
      <c r="H183" s="18">
        <f t="shared" si="43"/>
        <v>3.7954545454545454</v>
      </c>
      <c r="I183" s="15">
        <f t="shared" si="44"/>
        <v>4.9180327868852458E-2</v>
      </c>
      <c r="J183">
        <f t="shared" si="45"/>
        <v>61</v>
      </c>
      <c r="K183" s="18">
        <f t="shared" si="47"/>
        <v>128178.75002600004</v>
      </c>
      <c r="L183">
        <f t="shared" si="48"/>
        <v>21</v>
      </c>
      <c r="M183" s="15">
        <f t="shared" si="49"/>
        <v>0.39102564102564108</v>
      </c>
      <c r="N183" s="15">
        <f t="shared" si="50"/>
        <v>-1.4856206664521192E-2</v>
      </c>
    </row>
    <row r="184" spans="1:14" x14ac:dyDescent="0.3">
      <c r="A184" t="s">
        <v>7204</v>
      </c>
      <c r="B184" t="s">
        <v>7205</v>
      </c>
      <c r="C184" s="17">
        <f t="shared" si="39"/>
        <v>163347.6500000002</v>
      </c>
      <c r="D184" s="17">
        <f t="shared" si="40"/>
        <v>96597.650000000052</v>
      </c>
      <c r="E184" s="15">
        <f t="shared" si="46"/>
        <v>0.59136234895329032</v>
      </c>
      <c r="F184" s="16">
        <f t="shared" si="41"/>
        <v>347</v>
      </c>
      <c r="G184" s="15">
        <f t="shared" si="42"/>
        <v>5.6628242074927893E-2</v>
      </c>
      <c r="H184" s="18">
        <f t="shared" si="43"/>
        <v>4.0308641975308639</v>
      </c>
      <c r="I184" s="15">
        <f t="shared" si="44"/>
        <v>7.9295154185022032E-2</v>
      </c>
      <c r="J184">
        <f t="shared" si="45"/>
        <v>227</v>
      </c>
      <c r="K184" s="18">
        <f t="shared" si="47"/>
        <v>163347.6500270002</v>
      </c>
      <c r="L184">
        <f t="shared" si="48"/>
        <v>12</v>
      </c>
      <c r="M184" s="15">
        <f t="shared" si="49"/>
        <v>5.6628242074927893E-2</v>
      </c>
      <c r="N184" s="15">
        <f t="shared" si="50"/>
        <v>0.59136234895329032</v>
      </c>
    </row>
    <row r="185" spans="1:14" x14ac:dyDescent="0.3">
      <c r="A185" t="s">
        <v>7206</v>
      </c>
      <c r="B185" t="s">
        <v>7205</v>
      </c>
      <c r="C185" s="17">
        <f t="shared" si="39"/>
        <v>202426.95000000004</v>
      </c>
      <c r="D185" s="17">
        <f t="shared" si="40"/>
        <v>4401.9499999999989</v>
      </c>
      <c r="E185" s="15">
        <f t="shared" si="46"/>
        <v>2.1745869312361808E-2</v>
      </c>
      <c r="F185" s="16">
        <f t="shared" si="41"/>
        <v>145</v>
      </c>
      <c r="G185" s="15">
        <f t="shared" si="42"/>
        <v>0.39275862068965522</v>
      </c>
      <c r="H185" s="18">
        <f t="shared" si="43"/>
        <v>3.8269230769230771</v>
      </c>
      <c r="I185" s="15">
        <f t="shared" si="44"/>
        <v>0.11267605633802817</v>
      </c>
      <c r="J185">
        <f t="shared" si="45"/>
        <v>71</v>
      </c>
      <c r="K185" s="18">
        <f t="shared" si="47"/>
        <v>202426.95002800005</v>
      </c>
      <c r="L185">
        <f t="shared" si="48"/>
        <v>9</v>
      </c>
      <c r="M185" s="15">
        <f t="shared" si="49"/>
        <v>0.39275862068965522</v>
      </c>
      <c r="N185" s="15">
        <f t="shared" si="50"/>
        <v>2.1745869312361808E-2</v>
      </c>
    </row>
    <row r="186" spans="1:14" x14ac:dyDescent="0.3">
      <c r="A186" t="s">
        <v>7207</v>
      </c>
      <c r="B186" t="s">
        <v>7205</v>
      </c>
      <c r="C186" s="17">
        <f t="shared" si="39"/>
        <v>96657.749999999956</v>
      </c>
      <c r="D186" s="17">
        <f t="shared" si="40"/>
        <v>34145.75</v>
      </c>
      <c r="E186" s="15">
        <f t="shared" si="46"/>
        <v>0.35326448215481959</v>
      </c>
      <c r="F186" s="16">
        <f t="shared" si="41"/>
        <v>389</v>
      </c>
      <c r="G186" s="15">
        <f t="shared" si="42"/>
        <v>0.37724935732647841</v>
      </c>
      <c r="H186" s="18">
        <f t="shared" si="43"/>
        <v>3.7923076923076922</v>
      </c>
      <c r="I186" s="15">
        <f t="shared" si="44"/>
        <v>5.4726368159203981E-2</v>
      </c>
      <c r="J186">
        <f t="shared" si="45"/>
        <v>201</v>
      </c>
      <c r="K186" s="18">
        <f t="shared" si="47"/>
        <v>96657.750028999959</v>
      </c>
      <c r="L186">
        <f t="shared" si="48"/>
        <v>27</v>
      </c>
      <c r="M186" s="15">
        <f t="shared" si="49"/>
        <v>0.37724935732647841</v>
      </c>
      <c r="N186" s="15">
        <f t="shared" si="50"/>
        <v>0.35326448215481959</v>
      </c>
    </row>
    <row r="187" spans="1:14" x14ac:dyDescent="0.3">
      <c r="A187" t="s">
        <v>7208</v>
      </c>
      <c r="B187" t="s">
        <v>7205</v>
      </c>
      <c r="C187" s="17">
        <f t="shared" si="39"/>
        <v>178314.9</v>
      </c>
      <c r="D187" s="17">
        <f t="shared" si="40"/>
        <v>83950.89999999998</v>
      </c>
      <c r="E187" s="15">
        <f t="shared" si="46"/>
        <v>0.47080137442244019</v>
      </c>
      <c r="F187" s="16">
        <f t="shared" si="41"/>
        <v>338</v>
      </c>
      <c r="G187" s="15">
        <f t="shared" si="42"/>
        <v>0.24526627218934929</v>
      </c>
      <c r="H187" s="18">
        <f t="shared" si="43"/>
        <v>3.925925925925926</v>
      </c>
      <c r="I187" s="15">
        <f t="shared" si="44"/>
        <v>6.9124423963133647E-2</v>
      </c>
      <c r="J187">
        <f t="shared" si="45"/>
        <v>217</v>
      </c>
      <c r="K187" s="18">
        <f t="shared" si="47"/>
        <v>178314.90002999999</v>
      </c>
      <c r="L187">
        <f t="shared" si="48"/>
        <v>11</v>
      </c>
      <c r="M187" s="15">
        <f t="shared" si="49"/>
        <v>0.24526627218934929</v>
      </c>
      <c r="N187" s="15">
        <f t="shared" si="50"/>
        <v>0.47080137442244019</v>
      </c>
    </row>
    <row r="189" spans="1:14" x14ac:dyDescent="0.3">
      <c r="A189" s="6" t="s">
        <v>7326</v>
      </c>
    </row>
    <row r="190" spans="1:14" x14ac:dyDescent="0.3">
      <c r="A190" t="s">
        <v>7327</v>
      </c>
      <c r="B190" s="18">
        <f t="array" ref="B190">IFERROR(SLOPE(IF(ISNUMBER($N$158:$N$187),$N$158:$N$187),IF(ISNUMBER($M$158:$M$187),$M$158:$M$187)),0)</f>
        <v>-1.0477553142112506</v>
      </c>
    </row>
    <row r="191" spans="1:14" x14ac:dyDescent="0.3">
      <c r="A191" t="s">
        <v>7328</v>
      </c>
      <c r="B191" s="18">
        <f t="array" ref="B191">IFERROR(RSQ(IF(ISNUMBER($N$158:$N$187),$N$158:$N$187),IF(ISNUMBER($M$158:$M$187),$M$158:$M$187)),0)</f>
        <v>0.59052827421559217</v>
      </c>
    </row>
    <row r="193" spans="1:62" ht="26.4" x14ac:dyDescent="0.3">
      <c r="A193" s="13" t="s">
        <v>7386</v>
      </c>
      <c r="L193" s="14" t="s">
        <v>7329</v>
      </c>
    </row>
    <row r="194" spans="1:62" x14ac:dyDescent="0.3">
      <c r="A194" s="14" t="s">
        <v>7323</v>
      </c>
      <c r="B194" s="14" t="s">
        <v>7321</v>
      </c>
      <c r="C194" s="14" t="s">
        <v>7169</v>
      </c>
      <c r="D194" s="14" t="s">
        <v>7279</v>
      </c>
      <c r="E194" s="14" t="s">
        <v>7248</v>
      </c>
      <c r="F194" s="14" t="s">
        <v>7249</v>
      </c>
      <c r="G194" s="14" t="s">
        <v>7280</v>
      </c>
      <c r="H194" s="14" t="s">
        <v>7260</v>
      </c>
      <c r="I194" s="14" t="s">
        <v>7282</v>
      </c>
      <c r="J194" s="14" t="s">
        <v>7330</v>
      </c>
      <c r="K194" s="14" t="s">
        <v>7331</v>
      </c>
      <c r="L194" s="21">
        <v>45292</v>
      </c>
      <c r="M194" s="21">
        <v>45323</v>
      </c>
      <c r="N194" s="21">
        <v>45352</v>
      </c>
      <c r="O194" s="21">
        <v>45383</v>
      </c>
      <c r="P194" s="21">
        <v>45413</v>
      </c>
      <c r="Q194" s="21">
        <v>45444</v>
      </c>
      <c r="R194" s="21">
        <v>45474</v>
      </c>
      <c r="S194" s="21">
        <v>45505</v>
      </c>
      <c r="T194" s="21">
        <v>45536</v>
      </c>
      <c r="U194" s="21">
        <v>45566</v>
      </c>
      <c r="V194" s="21">
        <v>45597</v>
      </c>
      <c r="W194" s="21">
        <v>45627</v>
      </c>
      <c r="X194" s="21">
        <v>45658</v>
      </c>
      <c r="Y194" s="21">
        <v>45689</v>
      </c>
      <c r="Z194" s="21">
        <v>45717</v>
      </c>
      <c r="AA194" s="21">
        <v>45748</v>
      </c>
      <c r="AB194" s="21">
        <v>45778</v>
      </c>
      <c r="AC194" s="21">
        <v>45809</v>
      </c>
      <c r="AD194" s="21">
        <v>45839</v>
      </c>
      <c r="AE194" s="21">
        <v>45870</v>
      </c>
      <c r="AF194" s="21">
        <v>45901</v>
      </c>
      <c r="AG194" s="21">
        <v>45931</v>
      </c>
      <c r="AH194" s="21">
        <v>45962</v>
      </c>
      <c r="AI194" s="21">
        <v>45992</v>
      </c>
      <c r="AJ194" s="21">
        <v>45292</v>
      </c>
      <c r="AK194" s="21">
        <v>45323</v>
      </c>
      <c r="AL194" s="21">
        <v>45352</v>
      </c>
      <c r="AM194" s="21">
        <v>45383</v>
      </c>
      <c r="AN194" s="21">
        <v>45413</v>
      </c>
      <c r="AO194" s="21">
        <v>45444</v>
      </c>
      <c r="AP194" s="21">
        <v>45474</v>
      </c>
      <c r="AQ194" s="21">
        <v>45505</v>
      </c>
      <c r="AR194" s="21">
        <v>45536</v>
      </c>
      <c r="AS194" s="21">
        <v>45566</v>
      </c>
      <c r="AT194" s="21">
        <v>45597</v>
      </c>
      <c r="AU194" s="21">
        <v>45627</v>
      </c>
      <c r="AV194" s="21">
        <v>45658</v>
      </c>
      <c r="AW194" s="21">
        <v>45689</v>
      </c>
      <c r="AX194" s="21">
        <v>45717</v>
      </c>
      <c r="AY194" s="21">
        <v>45748</v>
      </c>
      <c r="AZ194" s="21">
        <v>45778</v>
      </c>
      <c r="BA194" s="21">
        <v>45809</v>
      </c>
      <c r="BB194" s="21">
        <v>45839</v>
      </c>
      <c r="BC194" s="21">
        <v>45870</v>
      </c>
      <c r="BD194" s="21">
        <v>45901</v>
      </c>
      <c r="BE194" s="21">
        <v>45931</v>
      </c>
      <c r="BF194" s="21">
        <v>45962</v>
      </c>
      <c r="BG194" s="21">
        <v>45992</v>
      </c>
    </row>
    <row r="195" spans="1:62" ht="15" x14ac:dyDescent="0.3">
      <c r="A195">
        <v>1</v>
      </c>
      <c r="B195" t="str">
        <f t="shared" ref="B195:B209" si="51">INDEX($A$158:$A$187,MATCH($A195,$L$158:$L$187,0))</f>
        <v>Linen Kurta</v>
      </c>
      <c r="C195" t="str">
        <f t="shared" ref="C195:C209" si="52">INDEX($B$158:$B$187,MATCH($A195,$L$158:$L$187,0))</f>
        <v>Apparel</v>
      </c>
      <c r="D195" s="17">
        <f t="shared" ref="D195:D209" si="53">INDEX($C$158:$C$187,MATCH($A195,$L$158:$L$187,0))</f>
        <v>361333.94999999995</v>
      </c>
      <c r="E195" s="17">
        <f t="shared" ref="E195:E209" si="54">INDEX($D$158:$D$187,MATCH($A195,$L$158:$L$187,0))</f>
        <v>111673.95000000001</v>
      </c>
      <c r="F195" s="15">
        <f t="shared" ref="F195:F209" si="55">INDEX($E$158:$E$187,MATCH($A195,$L$158:$L$187,0))</f>
        <v>0.30906021977730025</v>
      </c>
      <c r="G195" s="16">
        <f t="shared" ref="G195:G209" si="56">INDEX($F$158:$F$187,MATCH($A195,$L$158:$L$187,0))</f>
        <v>374</v>
      </c>
      <c r="H195" s="18">
        <f t="shared" ref="H195:H209" si="57">INDEX($H$158:$H$187,MATCH($A195,$L$158:$L$187,0))</f>
        <v>3.8407643312101909</v>
      </c>
      <c r="I195" s="15">
        <f t="shared" ref="I195:I209" si="58">INDEX($I$158:$I$187,MATCH($A195,$L$158:$L$187,0))</f>
        <v>0.125</v>
      </c>
      <c r="J195" s="15">
        <f>IFERROR(SUM($D$195:D195)/SUM($C$158:$C$187),0)</f>
        <v>7.0078348979671801E-2</v>
      </c>
      <c r="K195" t="b">
        <f t="shared" ref="K195:K209" si="59">AND(A195&lt;=selTopN,D195&gt;0)</f>
        <v>1</v>
      </c>
      <c r="L195" s="16">
        <f>SUMIFS(Net_Revenue,Product_Name,$B195,Order_Date,"&gt;="&amp;L$194,Order_Date,"&lt;"&amp;EDATE(L$194,1),Year,cYear,Region,cRegion,Sales_Channel,cChannel,Category,cCat)</f>
        <v>12216.849999999999</v>
      </c>
      <c r="M195" s="16">
        <f t="shared" ref="L195:AA209" si="60">SUMIFS(Net_Revenue,Product_Name,$B195,Order_Date,"&gt;="&amp;M$194,Order_Date,"&lt;"&amp;EDATE(M$194,1),Year,cYear,Region,cRegion,Sales_Channel,cChannel,Category,cCat)</f>
        <v>10343.099999999999</v>
      </c>
      <c r="N195" s="16">
        <f t="shared" si="60"/>
        <v>14540.300000000001</v>
      </c>
      <c r="O195" s="16">
        <f t="shared" si="60"/>
        <v>1124.25</v>
      </c>
      <c r="P195" s="16">
        <f t="shared" si="60"/>
        <v>8019.6500000000005</v>
      </c>
      <c r="Q195" s="16">
        <f t="shared" si="60"/>
        <v>9893.4000000000015</v>
      </c>
      <c r="R195" s="16">
        <f t="shared" si="60"/>
        <v>8619.25</v>
      </c>
      <c r="S195" s="16">
        <f t="shared" si="60"/>
        <v>13116.25</v>
      </c>
      <c r="T195" s="16">
        <f t="shared" si="60"/>
        <v>13565.950000000003</v>
      </c>
      <c r="U195" s="16">
        <f t="shared" si="60"/>
        <v>24958.35</v>
      </c>
      <c r="V195" s="16">
        <f t="shared" si="60"/>
        <v>16788.800000000003</v>
      </c>
      <c r="W195" s="16">
        <f t="shared" si="60"/>
        <v>10567.949999999999</v>
      </c>
      <c r="X195" s="16">
        <f t="shared" si="60"/>
        <v>15439.7</v>
      </c>
      <c r="Y195" s="16">
        <f t="shared" si="60"/>
        <v>16863.75</v>
      </c>
      <c r="Z195" s="16">
        <f t="shared" si="60"/>
        <v>20611.25</v>
      </c>
      <c r="AA195" s="16">
        <f t="shared" si="60"/>
        <v>24958.35</v>
      </c>
      <c r="AB195" s="16">
        <f t="shared" ref="AB195:AI209" si="61">SUMIFS(Net_Revenue,Product_Name,$B195,Order_Date,"&gt;="&amp;AB$194,Order_Date,"&lt;"&amp;EDATE(AB$194,1),Year,cYear,Region,cRegion,Sales_Channel,cChannel,Category,cCat)</f>
        <v>12366.75</v>
      </c>
      <c r="AC195" s="16">
        <f t="shared" si="61"/>
        <v>19337.099999999999</v>
      </c>
      <c r="AD195" s="16">
        <f t="shared" si="61"/>
        <v>12366.750000000002</v>
      </c>
      <c r="AE195" s="16">
        <f t="shared" si="61"/>
        <v>19936.699999999997</v>
      </c>
      <c r="AF195" s="16">
        <f t="shared" si="61"/>
        <v>8319.4500000000007</v>
      </c>
      <c r="AG195" s="16">
        <f t="shared" si="61"/>
        <v>28555.950000000004</v>
      </c>
      <c r="AH195" s="16">
        <f t="shared" si="61"/>
        <v>24283.799999999996</v>
      </c>
      <c r="AI195" s="16">
        <f t="shared" si="61"/>
        <v>14540.300000000001</v>
      </c>
      <c r="AJ195" s="72">
        <f>IF($K195,L195,NA())</f>
        <v>12216.849999999999</v>
      </c>
      <c r="AK195" s="72">
        <f t="shared" ref="AK195:BG206" si="62">IF($K195,M195,NA())</f>
        <v>10343.099999999999</v>
      </c>
      <c r="AL195" s="72">
        <f t="shared" si="62"/>
        <v>14540.300000000001</v>
      </c>
      <c r="AM195" s="72">
        <f t="shared" si="62"/>
        <v>1124.25</v>
      </c>
      <c r="AN195" s="72">
        <f t="shared" si="62"/>
        <v>8019.6500000000005</v>
      </c>
      <c r="AO195" s="72">
        <f t="shared" si="62"/>
        <v>9893.4000000000015</v>
      </c>
      <c r="AP195" s="72">
        <f t="shared" si="62"/>
        <v>8619.25</v>
      </c>
      <c r="AQ195" s="72">
        <f t="shared" si="62"/>
        <v>13116.25</v>
      </c>
      <c r="AR195" s="72">
        <f t="shared" si="62"/>
        <v>13565.950000000003</v>
      </c>
      <c r="AS195" s="72">
        <f t="shared" si="62"/>
        <v>24958.35</v>
      </c>
      <c r="AT195" s="72">
        <f t="shared" si="62"/>
        <v>16788.800000000003</v>
      </c>
      <c r="AU195" s="72">
        <f t="shared" si="62"/>
        <v>10567.949999999999</v>
      </c>
      <c r="AV195" s="72">
        <f t="shared" si="62"/>
        <v>15439.7</v>
      </c>
      <c r="AW195" s="72">
        <f t="shared" si="62"/>
        <v>16863.75</v>
      </c>
      <c r="AX195" s="72">
        <f t="shared" si="62"/>
        <v>20611.25</v>
      </c>
      <c r="AY195" s="72">
        <f t="shared" si="62"/>
        <v>24958.35</v>
      </c>
      <c r="AZ195" s="72">
        <f t="shared" si="62"/>
        <v>12366.75</v>
      </c>
      <c r="BA195" s="72">
        <f t="shared" si="62"/>
        <v>19337.099999999999</v>
      </c>
      <c r="BB195" s="72">
        <f t="shared" si="62"/>
        <v>12366.750000000002</v>
      </c>
      <c r="BC195" s="72">
        <f t="shared" si="62"/>
        <v>19936.699999999997</v>
      </c>
      <c r="BD195" s="72">
        <f t="shared" si="62"/>
        <v>8319.4500000000007</v>
      </c>
      <c r="BE195" s="72">
        <f t="shared" si="62"/>
        <v>28555.950000000004</v>
      </c>
      <c r="BF195" s="72">
        <f t="shared" si="62"/>
        <v>24283.799999999996</v>
      </c>
      <c r="BG195" s="72">
        <f t="shared" si="62"/>
        <v>14540.300000000001</v>
      </c>
      <c r="BH195" s="72"/>
      <c r="BI195" s="72"/>
      <c r="BJ195" s="72"/>
    </row>
    <row r="196" spans="1:62" ht="15" x14ac:dyDescent="0.3">
      <c r="A196">
        <v>2</v>
      </c>
      <c r="B196" t="str">
        <f t="shared" si="51"/>
        <v>Running Shoes</v>
      </c>
      <c r="C196" t="str">
        <f t="shared" si="52"/>
        <v>Footwear</v>
      </c>
      <c r="D196" s="17">
        <f t="shared" si="53"/>
        <v>346234.55000000005</v>
      </c>
      <c r="E196" s="17">
        <f t="shared" si="54"/>
        <v>118354.54999999994</v>
      </c>
      <c r="F196" s="15">
        <f t="shared" si="55"/>
        <v>0.34183344787514686</v>
      </c>
      <c r="G196" s="16">
        <f t="shared" si="56"/>
        <v>153</v>
      </c>
      <c r="H196" s="18">
        <f t="shared" si="57"/>
        <v>3.8536585365853657</v>
      </c>
      <c r="I196" s="15">
        <f t="shared" si="58"/>
        <v>0.18867924528301888</v>
      </c>
      <c r="J196" s="15">
        <f>IFERROR(SUM($D$195:D196)/SUM($C$158:$C$187),0)</f>
        <v>0.1372282683927788</v>
      </c>
      <c r="K196" t="b">
        <f t="shared" si="59"/>
        <v>1</v>
      </c>
      <c r="L196" s="16">
        <f t="shared" si="60"/>
        <v>19343.55</v>
      </c>
      <c r="M196" s="16">
        <f t="shared" si="60"/>
        <v>2549.15</v>
      </c>
      <c r="N196" s="16">
        <f t="shared" si="60"/>
        <v>7197.6</v>
      </c>
      <c r="O196" s="16">
        <f t="shared" si="60"/>
        <v>4798.3999999999996</v>
      </c>
      <c r="P196" s="16">
        <f t="shared" si="60"/>
        <v>21592.800000000003</v>
      </c>
      <c r="Q196" s="16">
        <f t="shared" si="60"/>
        <v>2549.15</v>
      </c>
      <c r="R196" s="16">
        <f t="shared" si="60"/>
        <v>14095.300000000001</v>
      </c>
      <c r="S196" s="16">
        <f t="shared" si="60"/>
        <v>12595.800000000001</v>
      </c>
      <c r="T196" s="16">
        <f t="shared" si="60"/>
        <v>9596.7999999999993</v>
      </c>
      <c r="U196" s="16">
        <f t="shared" si="60"/>
        <v>14395.2</v>
      </c>
      <c r="V196" s="16">
        <f t="shared" si="60"/>
        <v>7047.65</v>
      </c>
      <c r="W196" s="16">
        <f t="shared" si="60"/>
        <v>23092.3</v>
      </c>
      <c r="X196" s="16">
        <f t="shared" si="60"/>
        <v>14545.149999999998</v>
      </c>
      <c r="Y196" s="16">
        <f t="shared" si="60"/>
        <v>13795.400000000001</v>
      </c>
      <c r="Z196" s="16">
        <f t="shared" si="60"/>
        <v>24441.85</v>
      </c>
      <c r="AA196" s="16">
        <f t="shared" si="60"/>
        <v>16494.5</v>
      </c>
      <c r="AB196" s="16">
        <f t="shared" si="61"/>
        <v>14695.099999999999</v>
      </c>
      <c r="AC196" s="16">
        <f t="shared" si="61"/>
        <v>16044.65</v>
      </c>
      <c r="AD196" s="16">
        <f t="shared" si="61"/>
        <v>12295.900000000001</v>
      </c>
      <c r="AE196" s="16">
        <f t="shared" si="61"/>
        <v>7497.5</v>
      </c>
      <c r="AF196" s="16">
        <f t="shared" si="61"/>
        <v>7047.65</v>
      </c>
      <c r="AG196" s="16">
        <f t="shared" si="61"/>
        <v>46784.400000000009</v>
      </c>
      <c r="AH196" s="16">
        <f t="shared" si="61"/>
        <v>22642.45</v>
      </c>
      <c r="AI196" s="16">
        <f t="shared" si="61"/>
        <v>11096.3</v>
      </c>
      <c r="AJ196" s="72">
        <f t="shared" ref="AJ196:AJ209" si="63">IF($K196,L196,NA())</f>
        <v>19343.55</v>
      </c>
      <c r="AK196" s="72">
        <f t="shared" si="62"/>
        <v>2549.15</v>
      </c>
      <c r="AL196" s="72">
        <f t="shared" si="62"/>
        <v>7197.6</v>
      </c>
      <c r="AM196" s="72">
        <f t="shared" si="62"/>
        <v>4798.3999999999996</v>
      </c>
      <c r="AN196" s="72">
        <f t="shared" si="62"/>
        <v>21592.800000000003</v>
      </c>
      <c r="AO196" s="72">
        <f t="shared" si="62"/>
        <v>2549.15</v>
      </c>
      <c r="AP196" s="72">
        <f t="shared" si="62"/>
        <v>14095.300000000001</v>
      </c>
      <c r="AQ196" s="72">
        <f t="shared" si="62"/>
        <v>12595.800000000001</v>
      </c>
      <c r="AR196" s="72">
        <f t="shared" si="62"/>
        <v>9596.7999999999993</v>
      </c>
      <c r="AS196" s="72">
        <f t="shared" si="62"/>
        <v>14395.2</v>
      </c>
      <c r="AT196" s="72">
        <f t="shared" si="62"/>
        <v>7047.65</v>
      </c>
      <c r="AU196" s="72">
        <f t="shared" si="62"/>
        <v>23092.3</v>
      </c>
      <c r="AV196" s="72">
        <f t="shared" si="62"/>
        <v>14545.149999999998</v>
      </c>
      <c r="AW196" s="72">
        <f t="shared" si="62"/>
        <v>13795.400000000001</v>
      </c>
      <c r="AX196" s="72">
        <f t="shared" si="62"/>
        <v>24441.85</v>
      </c>
      <c r="AY196" s="72">
        <f t="shared" si="62"/>
        <v>16494.5</v>
      </c>
      <c r="AZ196" s="72">
        <f t="shared" si="62"/>
        <v>14695.099999999999</v>
      </c>
      <c r="BA196" s="72">
        <f t="shared" si="62"/>
        <v>16044.65</v>
      </c>
      <c r="BB196" s="72">
        <f t="shared" si="62"/>
        <v>12295.900000000001</v>
      </c>
      <c r="BC196" s="72">
        <f t="shared" si="62"/>
        <v>7497.5</v>
      </c>
      <c r="BD196" s="72">
        <f t="shared" si="62"/>
        <v>7047.65</v>
      </c>
      <c r="BE196" s="72">
        <f t="shared" si="62"/>
        <v>46784.400000000009</v>
      </c>
      <c r="BF196" s="72">
        <f t="shared" si="62"/>
        <v>22642.45</v>
      </c>
      <c r="BG196" s="72">
        <f t="shared" si="62"/>
        <v>11096.3</v>
      </c>
      <c r="BH196" s="72"/>
      <c r="BI196" s="72"/>
      <c r="BJ196" s="72"/>
    </row>
    <row r="197" spans="1:62" ht="15" x14ac:dyDescent="0.3">
      <c r="A197">
        <v>3</v>
      </c>
      <c r="B197" t="str">
        <f t="shared" si="51"/>
        <v>Denim Jacket</v>
      </c>
      <c r="C197" t="str">
        <f t="shared" si="52"/>
        <v>Apparel</v>
      </c>
      <c r="D197" s="17">
        <f t="shared" si="53"/>
        <v>310500.75000000012</v>
      </c>
      <c r="E197" s="17">
        <f t="shared" si="54"/>
        <v>153795.75000000006</v>
      </c>
      <c r="F197" s="15">
        <f t="shared" si="55"/>
        <v>0.49531522870717704</v>
      </c>
      <c r="G197" s="16">
        <f t="shared" si="56"/>
        <v>133</v>
      </c>
      <c r="H197" s="18">
        <f t="shared" si="57"/>
        <v>3.9864864864864864</v>
      </c>
      <c r="I197" s="15">
        <f t="shared" si="58"/>
        <v>0.18</v>
      </c>
      <c r="J197" s="15">
        <f>IFERROR(SUM($D$195:D197)/SUM($C$158:$C$187),0)</f>
        <v>0.19744785173652449</v>
      </c>
      <c r="K197" t="b">
        <f t="shared" si="59"/>
        <v>1</v>
      </c>
      <c r="L197" s="16">
        <f t="shared" si="60"/>
        <v>19492.2</v>
      </c>
      <c r="M197" s="16">
        <f t="shared" si="60"/>
        <v>4998</v>
      </c>
      <c r="N197" s="16">
        <f t="shared" si="60"/>
        <v>7372.05</v>
      </c>
      <c r="O197" s="16">
        <f t="shared" si="60"/>
        <v>16618.349999999999</v>
      </c>
      <c r="P197" s="16">
        <f t="shared" si="60"/>
        <v>11995.2</v>
      </c>
      <c r="Q197" s="16">
        <f t="shared" si="60"/>
        <v>2374.0500000000002</v>
      </c>
      <c r="R197" s="16">
        <f t="shared" si="60"/>
        <v>9246.2999999999993</v>
      </c>
      <c r="S197" s="16">
        <f t="shared" si="60"/>
        <v>4998</v>
      </c>
      <c r="T197" s="16">
        <f t="shared" si="60"/>
        <v>12120.150000000001</v>
      </c>
      <c r="U197" s="16">
        <f t="shared" si="60"/>
        <v>15868.650000000001</v>
      </c>
      <c r="V197" s="16">
        <f t="shared" si="60"/>
        <v>25239.9</v>
      </c>
      <c r="W197" s="16">
        <f t="shared" si="60"/>
        <v>9871.0499999999993</v>
      </c>
      <c r="X197" s="16">
        <f t="shared" si="60"/>
        <v>9996</v>
      </c>
      <c r="Y197" s="16">
        <f t="shared" si="60"/>
        <v>9746.1</v>
      </c>
      <c r="Z197" s="16">
        <f t="shared" si="60"/>
        <v>31237.5</v>
      </c>
      <c r="AA197" s="16">
        <f t="shared" si="60"/>
        <v>13994.4</v>
      </c>
      <c r="AB197" s="16">
        <f t="shared" si="61"/>
        <v>9496.2000000000007</v>
      </c>
      <c r="AC197" s="16">
        <f t="shared" si="61"/>
        <v>11995.2</v>
      </c>
      <c r="AD197" s="16">
        <f t="shared" si="61"/>
        <v>11995.2</v>
      </c>
      <c r="AE197" s="16">
        <f t="shared" si="61"/>
        <v>4873.05</v>
      </c>
      <c r="AF197" s="16">
        <f t="shared" si="61"/>
        <v>14494.2</v>
      </c>
      <c r="AG197" s="16">
        <f t="shared" si="61"/>
        <v>27613.95</v>
      </c>
      <c r="AH197" s="16">
        <f t="shared" si="61"/>
        <v>12495</v>
      </c>
      <c r="AI197" s="16">
        <f t="shared" si="61"/>
        <v>12370.05</v>
      </c>
      <c r="AJ197" s="72">
        <f t="shared" si="63"/>
        <v>19492.2</v>
      </c>
      <c r="AK197" s="72">
        <f t="shared" si="62"/>
        <v>4998</v>
      </c>
      <c r="AL197" s="72">
        <f t="shared" si="62"/>
        <v>7372.05</v>
      </c>
      <c r="AM197" s="72">
        <f t="shared" si="62"/>
        <v>16618.349999999999</v>
      </c>
      <c r="AN197" s="72">
        <f t="shared" si="62"/>
        <v>11995.2</v>
      </c>
      <c r="AO197" s="72">
        <f t="shared" si="62"/>
        <v>2374.0500000000002</v>
      </c>
      <c r="AP197" s="72">
        <f t="shared" si="62"/>
        <v>9246.2999999999993</v>
      </c>
      <c r="AQ197" s="72">
        <f t="shared" si="62"/>
        <v>4998</v>
      </c>
      <c r="AR197" s="72">
        <f t="shared" si="62"/>
        <v>12120.150000000001</v>
      </c>
      <c r="AS197" s="72">
        <f t="shared" si="62"/>
        <v>15868.650000000001</v>
      </c>
      <c r="AT197" s="72">
        <f t="shared" si="62"/>
        <v>25239.9</v>
      </c>
      <c r="AU197" s="72">
        <f t="shared" si="62"/>
        <v>9871.0499999999993</v>
      </c>
      <c r="AV197" s="72">
        <f t="shared" si="62"/>
        <v>9996</v>
      </c>
      <c r="AW197" s="72">
        <f t="shared" si="62"/>
        <v>9746.1</v>
      </c>
      <c r="AX197" s="72">
        <f t="shared" si="62"/>
        <v>31237.5</v>
      </c>
      <c r="AY197" s="72">
        <f t="shared" si="62"/>
        <v>13994.4</v>
      </c>
      <c r="AZ197" s="72">
        <f t="shared" si="62"/>
        <v>9496.2000000000007</v>
      </c>
      <c r="BA197" s="72">
        <f t="shared" si="62"/>
        <v>11995.2</v>
      </c>
      <c r="BB197" s="72">
        <f t="shared" si="62"/>
        <v>11995.2</v>
      </c>
      <c r="BC197" s="72">
        <f t="shared" si="62"/>
        <v>4873.05</v>
      </c>
      <c r="BD197" s="72">
        <f t="shared" si="62"/>
        <v>14494.2</v>
      </c>
      <c r="BE197" s="72">
        <f t="shared" si="62"/>
        <v>27613.95</v>
      </c>
      <c r="BF197" s="72">
        <f t="shared" si="62"/>
        <v>12495</v>
      </c>
      <c r="BG197" s="72">
        <f t="shared" si="62"/>
        <v>12370.05</v>
      </c>
      <c r="BH197" s="72"/>
      <c r="BI197" s="72"/>
      <c r="BJ197" s="72"/>
    </row>
    <row r="198" spans="1:62" ht="15" x14ac:dyDescent="0.3">
      <c r="A198">
        <v>4</v>
      </c>
      <c r="B198" t="str">
        <f t="shared" si="51"/>
        <v>Joggers</v>
      </c>
      <c r="C198" t="str">
        <f t="shared" si="52"/>
        <v>Apparel</v>
      </c>
      <c r="D198" s="17">
        <f t="shared" si="53"/>
        <v>301908.2</v>
      </c>
      <c r="E198" s="17">
        <f t="shared" si="54"/>
        <v>142644.20000000004</v>
      </c>
      <c r="F198" s="15">
        <f t="shared" si="55"/>
        <v>0.47247540808762412</v>
      </c>
      <c r="G198" s="16">
        <f t="shared" si="56"/>
        <v>297</v>
      </c>
      <c r="H198" s="18">
        <f t="shared" si="57"/>
        <v>3.9007092198581561</v>
      </c>
      <c r="I198" s="15">
        <f t="shared" si="58"/>
        <v>0.14659685863874344</v>
      </c>
      <c r="J198" s="15">
        <f>IFERROR(SUM($D$195:D198)/SUM($C$158:$C$187),0)</f>
        <v>0.2560009663813691</v>
      </c>
      <c r="K198" t="b">
        <f t="shared" si="59"/>
        <v>1</v>
      </c>
      <c r="L198" s="16">
        <f t="shared" si="60"/>
        <v>11750.2</v>
      </c>
      <c r="M198" s="16">
        <f t="shared" si="60"/>
        <v>2997.5</v>
      </c>
      <c r="N198" s="16">
        <f t="shared" si="60"/>
        <v>13548.7</v>
      </c>
      <c r="O198" s="16">
        <f t="shared" si="60"/>
        <v>7613.65</v>
      </c>
      <c r="P198" s="16">
        <f t="shared" si="60"/>
        <v>17925.05</v>
      </c>
      <c r="Q198" s="16">
        <f t="shared" si="60"/>
        <v>5215.6499999999996</v>
      </c>
      <c r="R198" s="16">
        <f t="shared" si="60"/>
        <v>8572.8499999999985</v>
      </c>
      <c r="S198" s="16">
        <f t="shared" si="60"/>
        <v>5515.4</v>
      </c>
      <c r="T198" s="16">
        <f t="shared" si="60"/>
        <v>16666.099999999999</v>
      </c>
      <c r="U198" s="16">
        <f t="shared" si="60"/>
        <v>10611.149999999998</v>
      </c>
      <c r="V198" s="16">
        <f t="shared" si="60"/>
        <v>14388.000000000002</v>
      </c>
      <c r="W198" s="16">
        <f t="shared" si="60"/>
        <v>15287.25</v>
      </c>
      <c r="X198" s="16">
        <f t="shared" si="60"/>
        <v>15347.2</v>
      </c>
      <c r="Y198" s="16">
        <f t="shared" si="60"/>
        <v>10671.1</v>
      </c>
      <c r="Z198" s="16">
        <f t="shared" si="60"/>
        <v>22481.249999999996</v>
      </c>
      <c r="AA198" s="16">
        <f t="shared" si="60"/>
        <v>16486.25</v>
      </c>
      <c r="AB198" s="16">
        <f t="shared" si="61"/>
        <v>14747.699999999999</v>
      </c>
      <c r="AC198" s="16">
        <f t="shared" si="61"/>
        <v>17025.8</v>
      </c>
      <c r="AD198" s="16">
        <f t="shared" si="61"/>
        <v>6654.4499999999989</v>
      </c>
      <c r="AE198" s="16">
        <f t="shared" si="61"/>
        <v>10791.000000000002</v>
      </c>
      <c r="AF198" s="16">
        <f t="shared" si="61"/>
        <v>4016.6499999999996</v>
      </c>
      <c r="AG198" s="16">
        <f t="shared" si="61"/>
        <v>22241.449999999997</v>
      </c>
      <c r="AH198" s="16">
        <f t="shared" si="61"/>
        <v>17685.25</v>
      </c>
      <c r="AI198" s="16">
        <f t="shared" si="61"/>
        <v>13668.6</v>
      </c>
      <c r="AJ198" s="72">
        <f t="shared" si="63"/>
        <v>11750.2</v>
      </c>
      <c r="AK198" s="72">
        <f t="shared" si="62"/>
        <v>2997.5</v>
      </c>
      <c r="AL198" s="72">
        <f t="shared" si="62"/>
        <v>13548.7</v>
      </c>
      <c r="AM198" s="72">
        <f t="shared" si="62"/>
        <v>7613.65</v>
      </c>
      <c r="AN198" s="72">
        <f t="shared" si="62"/>
        <v>17925.05</v>
      </c>
      <c r="AO198" s="72">
        <f t="shared" si="62"/>
        <v>5215.6499999999996</v>
      </c>
      <c r="AP198" s="72">
        <f t="shared" si="62"/>
        <v>8572.8499999999985</v>
      </c>
      <c r="AQ198" s="72">
        <f t="shared" si="62"/>
        <v>5515.4</v>
      </c>
      <c r="AR198" s="72">
        <f t="shared" si="62"/>
        <v>16666.099999999999</v>
      </c>
      <c r="AS198" s="72">
        <f t="shared" si="62"/>
        <v>10611.149999999998</v>
      </c>
      <c r="AT198" s="72">
        <f t="shared" si="62"/>
        <v>14388.000000000002</v>
      </c>
      <c r="AU198" s="72">
        <f t="shared" si="62"/>
        <v>15287.25</v>
      </c>
      <c r="AV198" s="72">
        <f t="shared" si="62"/>
        <v>15347.2</v>
      </c>
      <c r="AW198" s="72">
        <f t="shared" si="62"/>
        <v>10671.1</v>
      </c>
      <c r="AX198" s="72">
        <f t="shared" si="62"/>
        <v>22481.249999999996</v>
      </c>
      <c r="AY198" s="72">
        <f t="shared" si="62"/>
        <v>16486.25</v>
      </c>
      <c r="AZ198" s="72">
        <f t="shared" si="62"/>
        <v>14747.699999999999</v>
      </c>
      <c r="BA198" s="72">
        <f t="shared" si="62"/>
        <v>17025.8</v>
      </c>
      <c r="BB198" s="72">
        <f t="shared" si="62"/>
        <v>6654.4499999999989</v>
      </c>
      <c r="BC198" s="72">
        <f t="shared" si="62"/>
        <v>10791.000000000002</v>
      </c>
      <c r="BD198" s="72">
        <f t="shared" si="62"/>
        <v>4016.6499999999996</v>
      </c>
      <c r="BE198" s="72">
        <f t="shared" si="62"/>
        <v>22241.449999999997</v>
      </c>
      <c r="BF198" s="72">
        <f t="shared" si="62"/>
        <v>17685.25</v>
      </c>
      <c r="BG198" s="72">
        <f t="shared" si="62"/>
        <v>13668.6</v>
      </c>
      <c r="BH198" s="72"/>
      <c r="BI198" s="72"/>
      <c r="BJ198" s="72"/>
    </row>
    <row r="199" spans="1:62" ht="15" x14ac:dyDescent="0.3">
      <c r="A199">
        <v>5</v>
      </c>
      <c r="B199" t="str">
        <f t="shared" si="51"/>
        <v>Printed Saree</v>
      </c>
      <c r="C199" t="str">
        <f t="shared" si="52"/>
        <v>Apparel</v>
      </c>
      <c r="D199" s="17">
        <f t="shared" si="53"/>
        <v>253073.39999999994</v>
      </c>
      <c r="E199" s="17">
        <f t="shared" si="54"/>
        <v>123033.40000000005</v>
      </c>
      <c r="F199" s="15">
        <f t="shared" si="55"/>
        <v>0.48615698054398482</v>
      </c>
      <c r="G199" s="16">
        <f t="shared" si="56"/>
        <v>140</v>
      </c>
      <c r="H199" s="18">
        <f t="shared" si="57"/>
        <v>4</v>
      </c>
      <c r="I199" s="15">
        <f t="shared" si="58"/>
        <v>0.21276595744680851</v>
      </c>
      <c r="J199" s="15">
        <f>IFERROR(SUM($D$195:D199)/SUM($C$158:$C$187),0)</f>
        <v>0.30508289195927857</v>
      </c>
      <c r="K199" t="b">
        <f t="shared" si="59"/>
        <v>1</v>
      </c>
      <c r="L199" s="16">
        <f t="shared" si="60"/>
        <v>12593.7</v>
      </c>
      <c r="M199" s="16">
        <f t="shared" si="60"/>
        <v>11494.25</v>
      </c>
      <c r="N199" s="16">
        <f t="shared" si="60"/>
        <v>3798.1</v>
      </c>
      <c r="O199" s="16">
        <f t="shared" si="60"/>
        <v>7596.2</v>
      </c>
      <c r="P199" s="16">
        <f t="shared" si="60"/>
        <v>9395.3000000000011</v>
      </c>
      <c r="Q199" s="16">
        <f t="shared" si="60"/>
        <v>5397.2999999999993</v>
      </c>
      <c r="R199" s="16">
        <f t="shared" si="60"/>
        <v>15192.4</v>
      </c>
      <c r="S199" s="16">
        <f t="shared" si="60"/>
        <v>1999</v>
      </c>
      <c r="T199" s="16">
        <f t="shared" si="60"/>
        <v>13193.4</v>
      </c>
      <c r="U199" s="16">
        <f t="shared" si="60"/>
        <v>14192.9</v>
      </c>
      <c r="V199" s="16">
        <f t="shared" si="60"/>
        <v>4497.75</v>
      </c>
      <c r="W199" s="16">
        <f t="shared" si="60"/>
        <v>1999</v>
      </c>
      <c r="X199" s="16">
        <f t="shared" si="60"/>
        <v>18090.949999999997</v>
      </c>
      <c r="Y199" s="16">
        <f t="shared" si="60"/>
        <v>12493.75</v>
      </c>
      <c r="Z199" s="16">
        <f t="shared" si="60"/>
        <v>11194.4</v>
      </c>
      <c r="AA199" s="16">
        <f t="shared" si="60"/>
        <v>5597.2</v>
      </c>
      <c r="AB199" s="16">
        <f t="shared" si="61"/>
        <v>7596.2</v>
      </c>
      <c r="AC199" s="16">
        <f t="shared" si="61"/>
        <v>26286.85</v>
      </c>
      <c r="AD199" s="16">
        <f t="shared" si="61"/>
        <v>9795.1</v>
      </c>
      <c r="AE199" s="16">
        <f t="shared" si="61"/>
        <v>3898.05</v>
      </c>
      <c r="AF199" s="16">
        <f t="shared" si="61"/>
        <v>19390.3</v>
      </c>
      <c r="AG199" s="16">
        <f t="shared" si="61"/>
        <v>14792.6</v>
      </c>
      <c r="AH199" s="16">
        <f t="shared" si="61"/>
        <v>9895.0500000000011</v>
      </c>
      <c r="AI199" s="16">
        <f t="shared" si="61"/>
        <v>12693.649999999998</v>
      </c>
      <c r="AJ199" s="72">
        <f t="shared" si="63"/>
        <v>12593.7</v>
      </c>
      <c r="AK199" s="72">
        <f t="shared" si="62"/>
        <v>11494.25</v>
      </c>
      <c r="AL199" s="72">
        <f t="shared" si="62"/>
        <v>3798.1</v>
      </c>
      <c r="AM199" s="72">
        <f t="shared" si="62"/>
        <v>7596.2</v>
      </c>
      <c r="AN199" s="72">
        <f t="shared" si="62"/>
        <v>9395.3000000000011</v>
      </c>
      <c r="AO199" s="72">
        <f t="shared" si="62"/>
        <v>5397.2999999999993</v>
      </c>
      <c r="AP199" s="72">
        <f t="shared" si="62"/>
        <v>15192.4</v>
      </c>
      <c r="AQ199" s="72">
        <f t="shared" si="62"/>
        <v>1999</v>
      </c>
      <c r="AR199" s="72">
        <f t="shared" si="62"/>
        <v>13193.4</v>
      </c>
      <c r="AS199" s="72">
        <f t="shared" si="62"/>
        <v>14192.9</v>
      </c>
      <c r="AT199" s="72">
        <f t="shared" si="62"/>
        <v>4497.75</v>
      </c>
      <c r="AU199" s="72">
        <f t="shared" si="62"/>
        <v>1999</v>
      </c>
      <c r="AV199" s="72">
        <f t="shared" si="62"/>
        <v>18090.949999999997</v>
      </c>
      <c r="AW199" s="72">
        <f t="shared" si="62"/>
        <v>12493.75</v>
      </c>
      <c r="AX199" s="72">
        <f t="shared" si="62"/>
        <v>11194.4</v>
      </c>
      <c r="AY199" s="72">
        <f t="shared" si="62"/>
        <v>5597.2</v>
      </c>
      <c r="AZ199" s="72">
        <f t="shared" si="62"/>
        <v>7596.2</v>
      </c>
      <c r="BA199" s="72">
        <f t="shared" si="62"/>
        <v>26286.85</v>
      </c>
      <c r="BB199" s="72">
        <f t="shared" si="62"/>
        <v>9795.1</v>
      </c>
      <c r="BC199" s="72">
        <f t="shared" si="62"/>
        <v>3898.05</v>
      </c>
      <c r="BD199" s="72">
        <f t="shared" si="62"/>
        <v>19390.3</v>
      </c>
      <c r="BE199" s="72">
        <f t="shared" si="62"/>
        <v>14792.6</v>
      </c>
      <c r="BF199" s="72">
        <f t="shared" si="62"/>
        <v>9895.0500000000011</v>
      </c>
      <c r="BG199" s="72">
        <f t="shared" si="62"/>
        <v>12693.649999999998</v>
      </c>
      <c r="BH199" s="72"/>
      <c r="BI199" s="72"/>
      <c r="BJ199" s="72"/>
    </row>
    <row r="200" spans="1:62" ht="15" x14ac:dyDescent="0.3">
      <c r="A200">
        <v>6</v>
      </c>
      <c r="B200" t="str">
        <f t="shared" si="51"/>
        <v>Kolhapuri Sandals</v>
      </c>
      <c r="C200" t="str">
        <f t="shared" si="52"/>
        <v>Footwear</v>
      </c>
      <c r="D200" s="17">
        <f t="shared" si="53"/>
        <v>246453.29999999993</v>
      </c>
      <c r="E200" s="17">
        <f t="shared" si="54"/>
        <v>124153.30000000012</v>
      </c>
      <c r="F200" s="15">
        <f t="shared" si="55"/>
        <v>0.50375994153862069</v>
      </c>
      <c r="G200" s="16">
        <f t="shared" si="56"/>
        <v>272</v>
      </c>
      <c r="H200" s="18">
        <f t="shared" si="57"/>
        <v>4.0273972602739727</v>
      </c>
      <c r="I200" s="15">
        <f t="shared" si="58"/>
        <v>0.14795918367346939</v>
      </c>
      <c r="J200" s="15">
        <f>IFERROR(SUM($D$195:D200)/SUM($C$158:$C$187),0)</f>
        <v>0.35288089257502958</v>
      </c>
      <c r="K200" t="b">
        <f t="shared" si="59"/>
        <v>1</v>
      </c>
      <c r="L200" s="16">
        <f t="shared" si="60"/>
        <v>16533.45</v>
      </c>
      <c r="M200" s="16">
        <f t="shared" si="60"/>
        <v>1898.1</v>
      </c>
      <c r="N200" s="16">
        <f t="shared" si="60"/>
        <v>4645.3500000000004</v>
      </c>
      <c r="O200" s="16">
        <f t="shared" si="60"/>
        <v>10189.799999999999</v>
      </c>
      <c r="P200" s="16">
        <f t="shared" si="60"/>
        <v>3746.25</v>
      </c>
      <c r="Q200" s="16">
        <f t="shared" si="60"/>
        <v>17082.899999999998</v>
      </c>
      <c r="R200" s="16">
        <f t="shared" si="60"/>
        <v>11338.65</v>
      </c>
      <c r="S200" s="16">
        <f t="shared" si="60"/>
        <v>10389.6</v>
      </c>
      <c r="T200" s="16">
        <f t="shared" si="60"/>
        <v>8641.35</v>
      </c>
      <c r="U200" s="16">
        <f t="shared" si="60"/>
        <v>10389.6</v>
      </c>
      <c r="V200" s="16">
        <f t="shared" si="60"/>
        <v>11538.45</v>
      </c>
      <c r="W200" s="16">
        <f t="shared" si="60"/>
        <v>12937.05</v>
      </c>
      <c r="X200" s="16">
        <f t="shared" si="60"/>
        <v>10489.5</v>
      </c>
      <c r="Y200" s="16">
        <f t="shared" si="60"/>
        <v>11338.65</v>
      </c>
      <c r="Z200" s="16">
        <f t="shared" si="60"/>
        <v>6493.5000000000009</v>
      </c>
      <c r="AA200" s="16">
        <f t="shared" si="60"/>
        <v>6643.35</v>
      </c>
      <c r="AB200" s="16">
        <f t="shared" si="61"/>
        <v>11538.449999999999</v>
      </c>
      <c r="AC200" s="16">
        <f t="shared" si="61"/>
        <v>4745.25</v>
      </c>
      <c r="AD200" s="16">
        <f t="shared" si="61"/>
        <v>6443.55</v>
      </c>
      <c r="AE200" s="16">
        <f t="shared" si="61"/>
        <v>13386.599999999999</v>
      </c>
      <c r="AF200" s="16">
        <f t="shared" si="61"/>
        <v>12587.4</v>
      </c>
      <c r="AG200" s="16">
        <f t="shared" si="61"/>
        <v>7892.1</v>
      </c>
      <c r="AH200" s="16">
        <f t="shared" si="61"/>
        <v>21078.899999999998</v>
      </c>
      <c r="AI200" s="16">
        <f t="shared" si="61"/>
        <v>14485.5</v>
      </c>
      <c r="AJ200" s="72">
        <f t="shared" si="63"/>
        <v>16533.45</v>
      </c>
      <c r="AK200" s="72">
        <f t="shared" si="62"/>
        <v>1898.1</v>
      </c>
      <c r="AL200" s="72">
        <f t="shared" si="62"/>
        <v>4645.3500000000004</v>
      </c>
      <c r="AM200" s="72">
        <f t="shared" si="62"/>
        <v>10189.799999999999</v>
      </c>
      <c r="AN200" s="72">
        <f t="shared" si="62"/>
        <v>3746.25</v>
      </c>
      <c r="AO200" s="72">
        <f t="shared" si="62"/>
        <v>17082.899999999998</v>
      </c>
      <c r="AP200" s="72">
        <f t="shared" si="62"/>
        <v>11338.65</v>
      </c>
      <c r="AQ200" s="72">
        <f t="shared" si="62"/>
        <v>10389.6</v>
      </c>
      <c r="AR200" s="72">
        <f t="shared" si="62"/>
        <v>8641.35</v>
      </c>
      <c r="AS200" s="72">
        <f t="shared" si="62"/>
        <v>10389.6</v>
      </c>
      <c r="AT200" s="72">
        <f t="shared" si="62"/>
        <v>11538.45</v>
      </c>
      <c r="AU200" s="72">
        <f t="shared" si="62"/>
        <v>12937.05</v>
      </c>
      <c r="AV200" s="72">
        <f t="shared" si="62"/>
        <v>10489.5</v>
      </c>
      <c r="AW200" s="72">
        <f t="shared" si="62"/>
        <v>11338.65</v>
      </c>
      <c r="AX200" s="72">
        <f t="shared" si="62"/>
        <v>6493.5000000000009</v>
      </c>
      <c r="AY200" s="72">
        <f t="shared" si="62"/>
        <v>6643.35</v>
      </c>
      <c r="AZ200" s="72">
        <f t="shared" si="62"/>
        <v>11538.449999999999</v>
      </c>
      <c r="BA200" s="72">
        <f t="shared" si="62"/>
        <v>4745.25</v>
      </c>
      <c r="BB200" s="72">
        <f t="shared" si="62"/>
        <v>6443.55</v>
      </c>
      <c r="BC200" s="72">
        <f t="shared" si="62"/>
        <v>13386.599999999999</v>
      </c>
      <c r="BD200" s="72">
        <f t="shared" si="62"/>
        <v>12587.4</v>
      </c>
      <c r="BE200" s="72">
        <f t="shared" si="62"/>
        <v>7892.1</v>
      </c>
      <c r="BF200" s="72">
        <f t="shared" si="62"/>
        <v>21078.899999999998</v>
      </c>
      <c r="BG200" s="72">
        <f t="shared" si="62"/>
        <v>14485.5</v>
      </c>
      <c r="BH200" s="72"/>
      <c r="BI200" s="72"/>
      <c r="BJ200" s="72"/>
    </row>
    <row r="201" spans="1:62" ht="15" x14ac:dyDescent="0.3">
      <c r="A201">
        <v>7</v>
      </c>
      <c r="B201" t="str">
        <f t="shared" si="51"/>
        <v>Casual Sneakers</v>
      </c>
      <c r="C201" t="str">
        <f t="shared" si="52"/>
        <v>Footwear</v>
      </c>
      <c r="D201" s="17">
        <f t="shared" si="53"/>
        <v>223858.20000000004</v>
      </c>
      <c r="E201" s="17">
        <f t="shared" si="54"/>
        <v>75406.199999999968</v>
      </c>
      <c r="F201" s="15">
        <f t="shared" si="55"/>
        <v>0.33684805827975012</v>
      </c>
      <c r="G201" s="16">
        <f t="shared" si="56"/>
        <v>138</v>
      </c>
      <c r="H201" s="18">
        <f t="shared" si="57"/>
        <v>3.9206349206349205</v>
      </c>
      <c r="I201" s="15">
        <f t="shared" si="58"/>
        <v>0.10344827586206896</v>
      </c>
      <c r="J201" s="15">
        <f>IFERROR(SUM($D$195:D201)/SUM($C$158:$C$187),0)</f>
        <v>0.39629672178665271</v>
      </c>
      <c r="K201" t="b">
        <f t="shared" si="59"/>
        <v>1</v>
      </c>
      <c r="L201" s="16">
        <f t="shared" si="60"/>
        <v>10665.15</v>
      </c>
      <c r="M201" s="16">
        <f t="shared" si="60"/>
        <v>0</v>
      </c>
      <c r="N201" s="16">
        <f t="shared" si="60"/>
        <v>12864.150000000001</v>
      </c>
      <c r="O201" s="16">
        <f t="shared" si="60"/>
        <v>1759.2</v>
      </c>
      <c r="P201" s="16">
        <f t="shared" si="60"/>
        <v>1539.3000000000002</v>
      </c>
      <c r="Q201" s="16">
        <f t="shared" si="60"/>
        <v>12644.25</v>
      </c>
      <c r="R201" s="16">
        <f t="shared" si="60"/>
        <v>3628.35</v>
      </c>
      <c r="S201" s="16">
        <f t="shared" si="60"/>
        <v>9015.9</v>
      </c>
      <c r="T201" s="16">
        <f t="shared" si="60"/>
        <v>5387.55</v>
      </c>
      <c r="U201" s="16">
        <f t="shared" si="60"/>
        <v>16492.5</v>
      </c>
      <c r="V201" s="16">
        <f t="shared" si="60"/>
        <v>13303.949999999999</v>
      </c>
      <c r="W201" s="16">
        <f t="shared" si="60"/>
        <v>12644.25</v>
      </c>
      <c r="X201" s="16">
        <f t="shared" si="60"/>
        <v>8905.9500000000007</v>
      </c>
      <c r="Y201" s="16">
        <f t="shared" si="60"/>
        <v>11654.7</v>
      </c>
      <c r="Z201" s="16">
        <f t="shared" si="60"/>
        <v>1869.15</v>
      </c>
      <c r="AA201" s="16">
        <f t="shared" si="60"/>
        <v>6926.85</v>
      </c>
      <c r="AB201" s="16">
        <f t="shared" si="61"/>
        <v>0</v>
      </c>
      <c r="AC201" s="16">
        <f t="shared" si="61"/>
        <v>14733.300000000001</v>
      </c>
      <c r="AD201" s="16">
        <f t="shared" si="61"/>
        <v>12974.1</v>
      </c>
      <c r="AE201" s="16">
        <f t="shared" si="61"/>
        <v>11764.650000000001</v>
      </c>
      <c r="AF201" s="16">
        <f t="shared" si="61"/>
        <v>8576.1</v>
      </c>
      <c r="AG201" s="16">
        <f t="shared" si="61"/>
        <v>18801.449999999997</v>
      </c>
      <c r="AH201" s="16">
        <f t="shared" si="61"/>
        <v>25948.199999999997</v>
      </c>
      <c r="AI201" s="16">
        <f t="shared" si="61"/>
        <v>1759.2</v>
      </c>
      <c r="AJ201" s="72">
        <f t="shared" si="63"/>
        <v>10665.15</v>
      </c>
      <c r="AK201" s="72">
        <f t="shared" si="62"/>
        <v>0</v>
      </c>
      <c r="AL201" s="72">
        <f t="shared" si="62"/>
        <v>12864.150000000001</v>
      </c>
      <c r="AM201" s="72">
        <f t="shared" si="62"/>
        <v>1759.2</v>
      </c>
      <c r="AN201" s="72">
        <f t="shared" si="62"/>
        <v>1539.3000000000002</v>
      </c>
      <c r="AO201" s="72">
        <f t="shared" si="62"/>
        <v>12644.25</v>
      </c>
      <c r="AP201" s="72">
        <f t="shared" si="62"/>
        <v>3628.35</v>
      </c>
      <c r="AQ201" s="72">
        <f t="shared" si="62"/>
        <v>9015.9</v>
      </c>
      <c r="AR201" s="72">
        <f t="shared" si="62"/>
        <v>5387.55</v>
      </c>
      <c r="AS201" s="72">
        <f t="shared" si="62"/>
        <v>16492.5</v>
      </c>
      <c r="AT201" s="72">
        <f t="shared" si="62"/>
        <v>13303.949999999999</v>
      </c>
      <c r="AU201" s="72">
        <f t="shared" si="62"/>
        <v>12644.25</v>
      </c>
      <c r="AV201" s="72">
        <f t="shared" si="62"/>
        <v>8905.9500000000007</v>
      </c>
      <c r="AW201" s="72">
        <f t="shared" si="62"/>
        <v>11654.7</v>
      </c>
      <c r="AX201" s="72">
        <f t="shared" si="62"/>
        <v>1869.15</v>
      </c>
      <c r="AY201" s="72">
        <f t="shared" si="62"/>
        <v>6926.85</v>
      </c>
      <c r="AZ201" s="72">
        <f t="shared" si="62"/>
        <v>0</v>
      </c>
      <c r="BA201" s="72">
        <f t="shared" si="62"/>
        <v>14733.300000000001</v>
      </c>
      <c r="BB201" s="72">
        <f t="shared" si="62"/>
        <v>12974.1</v>
      </c>
      <c r="BC201" s="72">
        <f t="shared" si="62"/>
        <v>11764.650000000001</v>
      </c>
      <c r="BD201" s="72">
        <f t="shared" si="62"/>
        <v>8576.1</v>
      </c>
      <c r="BE201" s="72">
        <f t="shared" si="62"/>
        <v>18801.449999999997</v>
      </c>
      <c r="BF201" s="72">
        <f t="shared" si="62"/>
        <v>25948.199999999997</v>
      </c>
      <c r="BG201" s="72">
        <f t="shared" si="62"/>
        <v>1759.2</v>
      </c>
      <c r="BH201" s="72"/>
      <c r="BI201" s="72"/>
      <c r="BJ201" s="72"/>
    </row>
    <row r="202" spans="1:62" ht="15" x14ac:dyDescent="0.3">
      <c r="A202">
        <v>8</v>
      </c>
      <c r="B202" t="str">
        <f t="shared" si="51"/>
        <v>Cotton Oversized T-Shirt</v>
      </c>
      <c r="C202" t="str">
        <f t="shared" si="52"/>
        <v>Apparel</v>
      </c>
      <c r="D202" s="17">
        <f t="shared" si="53"/>
        <v>206421.65000000017</v>
      </c>
      <c r="E202" s="17">
        <f t="shared" si="54"/>
        <v>104021.65000000005</v>
      </c>
      <c r="F202" s="15">
        <f t="shared" si="55"/>
        <v>0.50392800367597079</v>
      </c>
      <c r="G202" s="16">
        <f t="shared" si="56"/>
        <v>275</v>
      </c>
      <c r="H202" s="18">
        <f t="shared" si="57"/>
        <v>4.0069930069930066</v>
      </c>
      <c r="I202" s="15">
        <f t="shared" si="58"/>
        <v>0.15384615384615385</v>
      </c>
      <c r="J202" s="15">
        <f>IFERROR(SUM($D$195:D202)/SUM($C$158:$C$187),0)</f>
        <v>0.43633084652267506</v>
      </c>
      <c r="K202" t="b">
        <f t="shared" si="59"/>
        <v>1</v>
      </c>
      <c r="L202" s="16">
        <f t="shared" si="60"/>
        <v>5912.6</v>
      </c>
      <c r="M202" s="16">
        <f t="shared" si="60"/>
        <v>2237.1999999999998</v>
      </c>
      <c r="N202" s="16">
        <f t="shared" si="60"/>
        <v>6032.45</v>
      </c>
      <c r="O202" s="16">
        <f t="shared" si="60"/>
        <v>6112.3499999999995</v>
      </c>
      <c r="P202" s="16">
        <f t="shared" si="60"/>
        <v>3036.2</v>
      </c>
      <c r="Q202" s="16">
        <f t="shared" si="60"/>
        <v>2197.25</v>
      </c>
      <c r="R202" s="16">
        <f t="shared" si="60"/>
        <v>7670.4000000000005</v>
      </c>
      <c r="S202" s="16">
        <f t="shared" si="60"/>
        <v>8709.1</v>
      </c>
      <c r="T202" s="16">
        <f t="shared" si="60"/>
        <v>9388.25</v>
      </c>
      <c r="U202" s="16">
        <f t="shared" si="60"/>
        <v>7550.55</v>
      </c>
      <c r="V202" s="16">
        <f t="shared" si="60"/>
        <v>11225.95</v>
      </c>
      <c r="W202" s="16">
        <f t="shared" si="60"/>
        <v>15220.95</v>
      </c>
      <c r="X202" s="16">
        <f t="shared" si="60"/>
        <v>15500.599999999999</v>
      </c>
      <c r="Y202" s="16">
        <f t="shared" si="60"/>
        <v>4634.2</v>
      </c>
      <c r="Z202" s="16">
        <f t="shared" si="60"/>
        <v>10107.35</v>
      </c>
      <c r="AA202" s="16">
        <f t="shared" si="60"/>
        <v>15820.199999999999</v>
      </c>
      <c r="AB202" s="16">
        <f t="shared" si="61"/>
        <v>3915.1</v>
      </c>
      <c r="AC202" s="16">
        <f t="shared" si="61"/>
        <v>17498.100000000002</v>
      </c>
      <c r="AD202" s="16">
        <f t="shared" si="61"/>
        <v>9308.35</v>
      </c>
      <c r="AE202" s="16">
        <f t="shared" si="61"/>
        <v>8669.15</v>
      </c>
      <c r="AF202" s="16">
        <f t="shared" si="61"/>
        <v>3915.1</v>
      </c>
      <c r="AG202" s="16">
        <f t="shared" si="61"/>
        <v>9827.7000000000007</v>
      </c>
      <c r="AH202" s="16">
        <f t="shared" si="61"/>
        <v>10866.4</v>
      </c>
      <c r="AI202" s="16">
        <f t="shared" si="61"/>
        <v>11066.15</v>
      </c>
      <c r="AJ202" s="72">
        <f t="shared" si="63"/>
        <v>5912.6</v>
      </c>
      <c r="AK202" s="72">
        <f t="shared" si="62"/>
        <v>2237.1999999999998</v>
      </c>
      <c r="AL202" s="72">
        <f t="shared" si="62"/>
        <v>6032.45</v>
      </c>
      <c r="AM202" s="72">
        <f t="shared" si="62"/>
        <v>6112.3499999999995</v>
      </c>
      <c r="AN202" s="72">
        <f t="shared" si="62"/>
        <v>3036.2</v>
      </c>
      <c r="AO202" s="72">
        <f t="shared" si="62"/>
        <v>2197.25</v>
      </c>
      <c r="AP202" s="72">
        <f t="shared" si="62"/>
        <v>7670.4000000000005</v>
      </c>
      <c r="AQ202" s="72">
        <f t="shared" si="62"/>
        <v>8709.1</v>
      </c>
      <c r="AR202" s="72">
        <f t="shared" si="62"/>
        <v>9388.25</v>
      </c>
      <c r="AS202" s="72">
        <f t="shared" si="62"/>
        <v>7550.55</v>
      </c>
      <c r="AT202" s="72">
        <f t="shared" si="62"/>
        <v>11225.95</v>
      </c>
      <c r="AU202" s="72">
        <f t="shared" si="62"/>
        <v>15220.95</v>
      </c>
      <c r="AV202" s="72">
        <f t="shared" si="62"/>
        <v>15500.599999999999</v>
      </c>
      <c r="AW202" s="72">
        <f t="shared" si="62"/>
        <v>4634.2</v>
      </c>
      <c r="AX202" s="72">
        <f t="shared" si="62"/>
        <v>10107.35</v>
      </c>
      <c r="AY202" s="72">
        <f t="shared" si="62"/>
        <v>15820.199999999999</v>
      </c>
      <c r="AZ202" s="72">
        <f t="shared" si="62"/>
        <v>3915.1</v>
      </c>
      <c r="BA202" s="72">
        <f t="shared" si="62"/>
        <v>17498.100000000002</v>
      </c>
      <c r="BB202" s="72">
        <f t="shared" si="62"/>
        <v>9308.35</v>
      </c>
      <c r="BC202" s="72">
        <f t="shared" si="62"/>
        <v>8669.15</v>
      </c>
      <c r="BD202" s="72">
        <f t="shared" si="62"/>
        <v>3915.1</v>
      </c>
      <c r="BE202" s="72">
        <f t="shared" si="62"/>
        <v>9827.7000000000007</v>
      </c>
      <c r="BF202" s="72">
        <f t="shared" si="62"/>
        <v>10866.4</v>
      </c>
      <c r="BG202" s="72">
        <f t="shared" si="62"/>
        <v>11066.15</v>
      </c>
      <c r="BH202" s="72"/>
      <c r="BI202" s="72"/>
      <c r="BJ202" s="72"/>
    </row>
    <row r="203" spans="1:62" ht="15" x14ac:dyDescent="0.3">
      <c r="A203">
        <v>9</v>
      </c>
      <c r="B203" t="str">
        <f t="shared" si="51"/>
        <v>Whey Protein 1kg</v>
      </c>
      <c r="C203" t="str">
        <f t="shared" si="52"/>
        <v>Wellness</v>
      </c>
      <c r="D203" s="17">
        <f t="shared" si="53"/>
        <v>202426.95000000004</v>
      </c>
      <c r="E203" s="17">
        <f t="shared" si="54"/>
        <v>4401.9499999999989</v>
      </c>
      <c r="F203" s="15">
        <f t="shared" si="55"/>
        <v>2.1745869312361808E-2</v>
      </c>
      <c r="G203" s="16">
        <f t="shared" si="56"/>
        <v>145</v>
      </c>
      <c r="H203" s="18">
        <f t="shared" si="57"/>
        <v>3.8269230769230771</v>
      </c>
      <c r="I203" s="15">
        <f t="shared" si="58"/>
        <v>0.11267605633802817</v>
      </c>
      <c r="J203" s="15">
        <f>IFERROR(SUM($D$195:D203)/SUM($C$158:$C$187),0)</f>
        <v>0.47559022540193785</v>
      </c>
      <c r="K203" t="b">
        <f t="shared" si="59"/>
        <v>1</v>
      </c>
      <c r="L203" s="16">
        <f t="shared" si="60"/>
        <v>11839.849999999999</v>
      </c>
      <c r="M203" s="16">
        <f t="shared" si="60"/>
        <v>0</v>
      </c>
      <c r="N203" s="16">
        <f t="shared" si="60"/>
        <v>4483.05</v>
      </c>
      <c r="O203" s="16">
        <f t="shared" si="60"/>
        <v>11724.900000000001</v>
      </c>
      <c r="P203" s="16">
        <f t="shared" si="60"/>
        <v>4368.1000000000004</v>
      </c>
      <c r="Q203" s="16">
        <f t="shared" si="60"/>
        <v>2758.8</v>
      </c>
      <c r="R203" s="16">
        <f t="shared" si="60"/>
        <v>7471.75</v>
      </c>
      <c r="S203" s="16">
        <f t="shared" si="60"/>
        <v>2758.8</v>
      </c>
      <c r="T203" s="16">
        <f t="shared" si="60"/>
        <v>8046.5000000000009</v>
      </c>
      <c r="U203" s="16">
        <f t="shared" si="60"/>
        <v>18736.849999999999</v>
      </c>
      <c r="V203" s="16">
        <f t="shared" si="60"/>
        <v>12414.6</v>
      </c>
      <c r="W203" s="16">
        <f t="shared" si="60"/>
        <v>10345.5</v>
      </c>
      <c r="X203" s="16">
        <f t="shared" si="60"/>
        <v>13219.25</v>
      </c>
      <c r="Y203" s="16">
        <f t="shared" si="60"/>
        <v>0</v>
      </c>
      <c r="Z203" s="16">
        <f t="shared" ref="Q203:AA209" si="64">SUMIFS(Net_Revenue,Product_Name,$B203,Order_Date,"&gt;="&amp;Z$194,Order_Date,"&lt;"&amp;EDATE(Z$194,1),Year,cYear,Region,cRegion,Sales_Channel,cChannel,Category,cCat)</f>
        <v>7356.7999999999993</v>
      </c>
      <c r="AA203" s="16">
        <f t="shared" si="64"/>
        <v>14368.75</v>
      </c>
      <c r="AB203" s="16">
        <f t="shared" si="61"/>
        <v>5632.55</v>
      </c>
      <c r="AC203" s="16">
        <f t="shared" si="61"/>
        <v>5632.5499999999993</v>
      </c>
      <c r="AD203" s="16">
        <f t="shared" si="61"/>
        <v>4712.9500000000007</v>
      </c>
      <c r="AE203" s="16">
        <f t="shared" si="61"/>
        <v>7241.85</v>
      </c>
      <c r="AF203" s="16">
        <f t="shared" si="61"/>
        <v>3218.6000000000004</v>
      </c>
      <c r="AG203" s="16">
        <f t="shared" si="61"/>
        <v>13334.2</v>
      </c>
      <c r="AH203" s="16">
        <f t="shared" si="61"/>
        <v>11380.05</v>
      </c>
      <c r="AI203" s="16">
        <f t="shared" si="61"/>
        <v>21380.7</v>
      </c>
      <c r="AJ203" s="72">
        <f t="shared" si="63"/>
        <v>11839.849999999999</v>
      </c>
      <c r="AK203" s="72">
        <f t="shared" si="62"/>
        <v>0</v>
      </c>
      <c r="AL203" s="72">
        <f t="shared" si="62"/>
        <v>4483.05</v>
      </c>
      <c r="AM203" s="72">
        <f t="shared" si="62"/>
        <v>11724.900000000001</v>
      </c>
      <c r="AN203" s="72">
        <f t="shared" si="62"/>
        <v>4368.1000000000004</v>
      </c>
      <c r="AO203" s="72">
        <f t="shared" si="62"/>
        <v>2758.8</v>
      </c>
      <c r="AP203" s="72">
        <f t="shared" si="62"/>
        <v>7471.75</v>
      </c>
      <c r="AQ203" s="72">
        <f t="shared" si="62"/>
        <v>2758.8</v>
      </c>
      <c r="AR203" s="72">
        <f t="shared" si="62"/>
        <v>8046.5000000000009</v>
      </c>
      <c r="AS203" s="72">
        <f t="shared" si="62"/>
        <v>18736.849999999999</v>
      </c>
      <c r="AT203" s="72">
        <f t="shared" si="62"/>
        <v>12414.6</v>
      </c>
      <c r="AU203" s="72">
        <f t="shared" si="62"/>
        <v>10345.5</v>
      </c>
      <c r="AV203" s="72">
        <f t="shared" si="62"/>
        <v>13219.25</v>
      </c>
      <c r="AW203" s="72">
        <f t="shared" si="62"/>
        <v>0</v>
      </c>
      <c r="AX203" s="72">
        <f t="shared" si="62"/>
        <v>7356.7999999999993</v>
      </c>
      <c r="AY203" s="72">
        <f t="shared" si="62"/>
        <v>14368.75</v>
      </c>
      <c r="AZ203" s="72">
        <f t="shared" si="62"/>
        <v>5632.55</v>
      </c>
      <c r="BA203" s="72">
        <f t="shared" si="62"/>
        <v>5632.5499999999993</v>
      </c>
      <c r="BB203" s="72">
        <f t="shared" si="62"/>
        <v>4712.9500000000007</v>
      </c>
      <c r="BC203" s="72">
        <f t="shared" si="62"/>
        <v>7241.85</v>
      </c>
      <c r="BD203" s="72">
        <f t="shared" si="62"/>
        <v>3218.6000000000004</v>
      </c>
      <c r="BE203" s="72">
        <f t="shared" si="62"/>
        <v>13334.2</v>
      </c>
      <c r="BF203" s="72">
        <f t="shared" si="62"/>
        <v>11380.05</v>
      </c>
      <c r="BG203" s="72">
        <f t="shared" si="62"/>
        <v>21380.7</v>
      </c>
      <c r="BH203" s="72"/>
      <c r="BI203" s="72"/>
      <c r="BJ203" s="72"/>
    </row>
    <row r="204" spans="1:62" ht="15" x14ac:dyDescent="0.3">
      <c r="A204">
        <v>10</v>
      </c>
      <c r="B204" t="str">
        <f t="shared" si="51"/>
        <v>Cotton Bedsheet</v>
      </c>
      <c r="C204" t="str">
        <f t="shared" si="52"/>
        <v>Home &amp; Kitchen</v>
      </c>
      <c r="D204" s="17">
        <f t="shared" si="53"/>
        <v>193291.19999999998</v>
      </c>
      <c r="E204" s="17">
        <f t="shared" si="54"/>
        <v>93946.200000000041</v>
      </c>
      <c r="F204" s="15">
        <f t="shared" si="55"/>
        <v>0.48603454270034047</v>
      </c>
      <c r="G204" s="16">
        <f t="shared" si="56"/>
        <v>157</v>
      </c>
      <c r="H204" s="18">
        <f t="shared" si="57"/>
        <v>3.9444444444444446</v>
      </c>
      <c r="I204" s="15">
        <f t="shared" si="58"/>
        <v>0.15740740740740741</v>
      </c>
      <c r="J204" s="15">
        <f>IFERROR(SUM($D$195:D204)/SUM($C$158:$C$187),0)</f>
        <v>0.51307778550610061</v>
      </c>
      <c r="K204" t="b">
        <f t="shared" si="59"/>
        <v>1</v>
      </c>
      <c r="L204" s="16">
        <f t="shared" si="60"/>
        <v>7664.1</v>
      </c>
      <c r="M204" s="16">
        <f t="shared" si="60"/>
        <v>0</v>
      </c>
      <c r="N204" s="16">
        <f t="shared" si="60"/>
        <v>1299</v>
      </c>
      <c r="O204" s="16">
        <f t="shared" si="60"/>
        <v>10327.049999999999</v>
      </c>
      <c r="P204" s="16">
        <f t="shared" si="60"/>
        <v>5001.1499999999996</v>
      </c>
      <c r="Q204" s="16">
        <f t="shared" si="64"/>
        <v>7404.3</v>
      </c>
      <c r="R204" s="16">
        <f t="shared" si="64"/>
        <v>2403.1499999999996</v>
      </c>
      <c r="S204" s="16">
        <f t="shared" si="64"/>
        <v>8703.2999999999993</v>
      </c>
      <c r="T204" s="16">
        <f t="shared" si="64"/>
        <v>7664.1</v>
      </c>
      <c r="U204" s="16">
        <f t="shared" si="64"/>
        <v>9547.6500000000015</v>
      </c>
      <c r="V204" s="16">
        <f t="shared" si="64"/>
        <v>13379.700000000003</v>
      </c>
      <c r="W204" s="16">
        <f t="shared" si="64"/>
        <v>3897</v>
      </c>
      <c r="X204" s="16">
        <f t="shared" si="64"/>
        <v>10392</v>
      </c>
      <c r="Y204" s="16">
        <f t="shared" si="64"/>
        <v>6170.25</v>
      </c>
      <c r="Z204" s="16">
        <f t="shared" si="64"/>
        <v>16692.150000000001</v>
      </c>
      <c r="AA204" s="16">
        <f t="shared" si="64"/>
        <v>5066.1000000000004</v>
      </c>
      <c r="AB204" s="16">
        <f t="shared" si="61"/>
        <v>10067.25</v>
      </c>
      <c r="AC204" s="16">
        <f t="shared" si="61"/>
        <v>8833.2000000000007</v>
      </c>
      <c r="AD204" s="16">
        <f t="shared" si="61"/>
        <v>3897</v>
      </c>
      <c r="AE204" s="16">
        <f t="shared" si="61"/>
        <v>11626.05</v>
      </c>
      <c r="AF204" s="16">
        <f t="shared" si="61"/>
        <v>11496.15</v>
      </c>
      <c r="AG204" s="16">
        <f t="shared" si="61"/>
        <v>11626.050000000001</v>
      </c>
      <c r="AH204" s="16">
        <f t="shared" si="61"/>
        <v>12470.400000000001</v>
      </c>
      <c r="AI204" s="16">
        <f t="shared" si="61"/>
        <v>7664.1</v>
      </c>
      <c r="AJ204" s="72">
        <f t="shared" si="63"/>
        <v>7664.1</v>
      </c>
      <c r="AK204" s="72">
        <f t="shared" si="62"/>
        <v>0</v>
      </c>
      <c r="AL204" s="72">
        <f t="shared" si="62"/>
        <v>1299</v>
      </c>
      <c r="AM204" s="72">
        <f t="shared" si="62"/>
        <v>10327.049999999999</v>
      </c>
      <c r="AN204" s="72">
        <f t="shared" si="62"/>
        <v>5001.1499999999996</v>
      </c>
      <c r="AO204" s="72">
        <f t="shared" si="62"/>
        <v>7404.3</v>
      </c>
      <c r="AP204" s="72">
        <f t="shared" si="62"/>
        <v>2403.1499999999996</v>
      </c>
      <c r="AQ204" s="72">
        <f t="shared" si="62"/>
        <v>8703.2999999999993</v>
      </c>
      <c r="AR204" s="72">
        <f t="shared" si="62"/>
        <v>7664.1</v>
      </c>
      <c r="AS204" s="72">
        <f t="shared" si="62"/>
        <v>9547.6500000000015</v>
      </c>
      <c r="AT204" s="72">
        <f t="shared" si="62"/>
        <v>13379.700000000003</v>
      </c>
      <c r="AU204" s="72">
        <f t="shared" si="62"/>
        <v>3897</v>
      </c>
      <c r="AV204" s="72">
        <f t="shared" si="62"/>
        <v>10392</v>
      </c>
      <c r="AW204" s="72">
        <f t="shared" si="62"/>
        <v>6170.25</v>
      </c>
      <c r="AX204" s="72">
        <f t="shared" si="62"/>
        <v>16692.150000000001</v>
      </c>
      <c r="AY204" s="72">
        <f t="shared" si="62"/>
        <v>5066.1000000000004</v>
      </c>
      <c r="AZ204" s="72">
        <f t="shared" si="62"/>
        <v>10067.25</v>
      </c>
      <c r="BA204" s="72">
        <f t="shared" si="62"/>
        <v>8833.2000000000007</v>
      </c>
      <c r="BB204" s="72">
        <f t="shared" si="62"/>
        <v>3897</v>
      </c>
      <c r="BC204" s="72">
        <f t="shared" si="62"/>
        <v>11626.05</v>
      </c>
      <c r="BD204" s="72">
        <f t="shared" si="62"/>
        <v>11496.15</v>
      </c>
      <c r="BE204" s="72">
        <f t="shared" si="62"/>
        <v>11626.050000000001</v>
      </c>
      <c r="BF204" s="72">
        <f t="shared" si="62"/>
        <v>12470.400000000001</v>
      </c>
      <c r="BG204" s="72">
        <f t="shared" si="62"/>
        <v>7664.1</v>
      </c>
      <c r="BH204" s="72"/>
      <c r="BI204" s="72"/>
      <c r="BJ204" s="72"/>
    </row>
    <row r="205" spans="1:62" ht="15" x14ac:dyDescent="0.3">
      <c r="A205">
        <v>11</v>
      </c>
      <c r="B205" t="str">
        <f t="shared" si="51"/>
        <v>Multivitamin Gummies</v>
      </c>
      <c r="C205" t="str">
        <f t="shared" si="52"/>
        <v>Wellness</v>
      </c>
      <c r="D205" s="17">
        <f t="shared" si="53"/>
        <v>178314.9</v>
      </c>
      <c r="E205" s="17">
        <f t="shared" si="54"/>
        <v>83950.89999999998</v>
      </c>
      <c r="F205" s="15">
        <f t="shared" si="55"/>
        <v>0.47080137442244019</v>
      </c>
      <c r="G205" s="16">
        <f t="shared" si="56"/>
        <v>338</v>
      </c>
      <c r="H205" s="18">
        <f t="shared" si="57"/>
        <v>3.925925925925926</v>
      </c>
      <c r="I205" s="15">
        <f t="shared" si="58"/>
        <v>6.9124423963133647E-2</v>
      </c>
      <c r="J205" s="15">
        <f>IFERROR(SUM($D$195:D205)/SUM($C$158:$C$187),0)</f>
        <v>0.54766079048106986</v>
      </c>
      <c r="K205" t="b">
        <f t="shared" si="59"/>
        <v>1</v>
      </c>
      <c r="L205" s="16">
        <f t="shared" si="60"/>
        <v>4823.1000000000004</v>
      </c>
      <c r="M205" s="16">
        <f t="shared" si="60"/>
        <v>5102.7000000000007</v>
      </c>
      <c r="N205" s="16">
        <f t="shared" si="60"/>
        <v>4543.5</v>
      </c>
      <c r="O205" s="16">
        <f t="shared" si="60"/>
        <v>5836.6500000000005</v>
      </c>
      <c r="P205" s="16">
        <f t="shared" si="60"/>
        <v>4019.25</v>
      </c>
      <c r="Q205" s="16">
        <f t="shared" si="64"/>
        <v>10310.25</v>
      </c>
      <c r="R205" s="16">
        <f t="shared" si="64"/>
        <v>4019.25</v>
      </c>
      <c r="S205" s="16">
        <f t="shared" si="64"/>
        <v>8597.7000000000007</v>
      </c>
      <c r="T205" s="16">
        <f t="shared" si="64"/>
        <v>5312.4</v>
      </c>
      <c r="U205" s="16">
        <f t="shared" si="64"/>
        <v>12686.85</v>
      </c>
      <c r="V205" s="16">
        <f t="shared" si="64"/>
        <v>11708.25</v>
      </c>
      <c r="W205" s="16">
        <f t="shared" si="64"/>
        <v>9226.7999999999993</v>
      </c>
      <c r="X205" s="16">
        <f t="shared" si="64"/>
        <v>8213.2499999999982</v>
      </c>
      <c r="Y205" s="16">
        <f t="shared" si="64"/>
        <v>3390.15</v>
      </c>
      <c r="Z205" s="16">
        <f t="shared" si="64"/>
        <v>7758.9</v>
      </c>
      <c r="AA205" s="16">
        <f t="shared" si="64"/>
        <v>4962.9000000000005</v>
      </c>
      <c r="AB205" s="16">
        <f t="shared" si="61"/>
        <v>4438.6499999999996</v>
      </c>
      <c r="AC205" s="16">
        <f t="shared" si="61"/>
        <v>11323.8</v>
      </c>
      <c r="AD205" s="16">
        <f t="shared" si="61"/>
        <v>9296.6999999999989</v>
      </c>
      <c r="AE205" s="16">
        <f t="shared" si="61"/>
        <v>4788.1500000000005</v>
      </c>
      <c r="AF205" s="16">
        <f t="shared" si="61"/>
        <v>9890.85</v>
      </c>
      <c r="AG205" s="16">
        <f t="shared" si="61"/>
        <v>11463.6</v>
      </c>
      <c r="AH205" s="16">
        <f t="shared" si="61"/>
        <v>5941.4999999999991</v>
      </c>
      <c r="AI205" s="16">
        <f t="shared" si="61"/>
        <v>10659.75</v>
      </c>
      <c r="AJ205" s="72">
        <f t="shared" si="63"/>
        <v>4823.1000000000004</v>
      </c>
      <c r="AK205" s="72">
        <f t="shared" si="62"/>
        <v>5102.7000000000007</v>
      </c>
      <c r="AL205" s="72">
        <f t="shared" si="62"/>
        <v>4543.5</v>
      </c>
      <c r="AM205" s="72">
        <f t="shared" si="62"/>
        <v>5836.6500000000005</v>
      </c>
      <c r="AN205" s="72">
        <f t="shared" si="62"/>
        <v>4019.25</v>
      </c>
      <c r="AO205" s="72">
        <f t="shared" si="62"/>
        <v>10310.25</v>
      </c>
      <c r="AP205" s="72">
        <f t="shared" si="62"/>
        <v>4019.25</v>
      </c>
      <c r="AQ205" s="72">
        <f t="shared" si="62"/>
        <v>8597.7000000000007</v>
      </c>
      <c r="AR205" s="72">
        <f t="shared" si="62"/>
        <v>5312.4</v>
      </c>
      <c r="AS205" s="72">
        <f t="shared" si="62"/>
        <v>12686.85</v>
      </c>
      <c r="AT205" s="72">
        <f t="shared" si="62"/>
        <v>11708.25</v>
      </c>
      <c r="AU205" s="72">
        <f t="shared" si="62"/>
        <v>9226.7999999999993</v>
      </c>
      <c r="AV205" s="72">
        <f t="shared" si="62"/>
        <v>8213.2499999999982</v>
      </c>
      <c r="AW205" s="72">
        <f t="shared" si="62"/>
        <v>3390.15</v>
      </c>
      <c r="AX205" s="72">
        <f t="shared" si="62"/>
        <v>7758.9</v>
      </c>
      <c r="AY205" s="72">
        <f t="shared" si="62"/>
        <v>4962.9000000000005</v>
      </c>
      <c r="AZ205" s="72">
        <f t="shared" si="62"/>
        <v>4438.6499999999996</v>
      </c>
      <c r="BA205" s="72">
        <f t="shared" si="62"/>
        <v>11323.8</v>
      </c>
      <c r="BB205" s="72">
        <f t="shared" si="62"/>
        <v>9296.6999999999989</v>
      </c>
      <c r="BC205" s="72">
        <f t="shared" si="62"/>
        <v>4788.1500000000005</v>
      </c>
      <c r="BD205" s="72">
        <f t="shared" si="62"/>
        <v>9890.85</v>
      </c>
      <c r="BE205" s="72">
        <f t="shared" si="62"/>
        <v>11463.6</v>
      </c>
      <c r="BF205" s="72">
        <f t="shared" si="62"/>
        <v>5941.4999999999991</v>
      </c>
      <c r="BG205" s="72">
        <f t="shared" si="62"/>
        <v>10659.75</v>
      </c>
      <c r="BH205" s="72"/>
      <c r="BI205" s="72"/>
      <c r="BJ205" s="72"/>
    </row>
    <row r="206" spans="1:62" ht="15" x14ac:dyDescent="0.3">
      <c r="A206">
        <v>12</v>
      </c>
      <c r="B206" t="str">
        <f t="shared" si="51"/>
        <v>Ashwagandha Capsules</v>
      </c>
      <c r="C206" t="str">
        <f t="shared" si="52"/>
        <v>Wellness</v>
      </c>
      <c r="D206" s="17">
        <f t="shared" si="53"/>
        <v>163347.6500000002</v>
      </c>
      <c r="E206" s="17">
        <f t="shared" si="54"/>
        <v>96597.650000000052</v>
      </c>
      <c r="F206" s="15">
        <f t="shared" si="55"/>
        <v>0.59136234895329032</v>
      </c>
      <c r="G206" s="16">
        <f t="shared" si="56"/>
        <v>347</v>
      </c>
      <c r="H206" s="18">
        <f t="shared" si="57"/>
        <v>4.0308641975308639</v>
      </c>
      <c r="I206" s="15">
        <f t="shared" si="58"/>
        <v>7.9295154185022032E-2</v>
      </c>
      <c r="J206" s="15">
        <f>IFERROR(SUM($D$195:D206)/SUM($C$158:$C$187),0)</f>
        <v>0.57934099551497076</v>
      </c>
      <c r="K206" t="b">
        <f t="shared" si="59"/>
        <v>1</v>
      </c>
      <c r="L206" s="16">
        <f t="shared" si="60"/>
        <v>8033.9000000000005</v>
      </c>
      <c r="M206" s="16">
        <f t="shared" si="60"/>
        <v>4865.25</v>
      </c>
      <c r="N206" s="16">
        <f t="shared" si="60"/>
        <v>9131.6999999999989</v>
      </c>
      <c r="O206" s="16">
        <f t="shared" si="60"/>
        <v>4640.7000000000007</v>
      </c>
      <c r="P206" s="16">
        <f t="shared" si="60"/>
        <v>6511.9500000000007</v>
      </c>
      <c r="Q206" s="16">
        <f t="shared" si="64"/>
        <v>7260.4500000000007</v>
      </c>
      <c r="R206" s="16">
        <f t="shared" si="64"/>
        <v>9181.6000000000022</v>
      </c>
      <c r="S206" s="16">
        <f t="shared" si="64"/>
        <v>5713.55</v>
      </c>
      <c r="T206" s="16">
        <f t="shared" si="64"/>
        <v>8507.9500000000007</v>
      </c>
      <c r="U206" s="16">
        <f t="shared" si="64"/>
        <v>7160.65</v>
      </c>
      <c r="V206" s="16">
        <f t="shared" si="64"/>
        <v>5588.7999999999993</v>
      </c>
      <c r="W206" s="16">
        <f t="shared" si="64"/>
        <v>6412.1500000000005</v>
      </c>
      <c r="X206" s="16">
        <f t="shared" si="64"/>
        <v>3867.25</v>
      </c>
      <c r="Y206" s="16">
        <f t="shared" si="64"/>
        <v>1946.1</v>
      </c>
      <c r="Z206" s="16">
        <f t="shared" si="64"/>
        <v>5663.6500000000005</v>
      </c>
      <c r="AA206" s="16">
        <f t="shared" si="64"/>
        <v>7609.7500000000009</v>
      </c>
      <c r="AB206" s="16">
        <f t="shared" si="61"/>
        <v>4690.6000000000004</v>
      </c>
      <c r="AC206" s="16">
        <f t="shared" si="61"/>
        <v>8657.6500000000015</v>
      </c>
      <c r="AD206" s="16">
        <f t="shared" si="61"/>
        <v>5389.2000000000007</v>
      </c>
      <c r="AE206" s="16">
        <f t="shared" si="61"/>
        <v>12774.4</v>
      </c>
      <c r="AF206" s="16">
        <f t="shared" si="61"/>
        <v>7809.3500000000013</v>
      </c>
      <c r="AG206" s="16">
        <f t="shared" si="61"/>
        <v>7559.85</v>
      </c>
      <c r="AH206" s="16">
        <f t="shared" si="61"/>
        <v>9980</v>
      </c>
      <c r="AI206" s="16">
        <f t="shared" si="61"/>
        <v>4391.2</v>
      </c>
      <c r="AJ206" s="72">
        <f t="shared" si="63"/>
        <v>8033.9000000000005</v>
      </c>
      <c r="AK206" s="72">
        <f t="shared" si="62"/>
        <v>4865.25</v>
      </c>
      <c r="AL206" s="72">
        <f t="shared" si="62"/>
        <v>9131.6999999999989</v>
      </c>
      <c r="AM206" s="72">
        <f t="shared" ref="AM206:AM209" si="65">IF($K206,O206,NA())</f>
        <v>4640.7000000000007</v>
      </c>
      <c r="AN206" s="72">
        <f t="shared" ref="AN206:AN209" si="66">IF($K206,P206,NA())</f>
        <v>6511.9500000000007</v>
      </c>
      <c r="AO206" s="72">
        <f t="shared" ref="AO206:AO209" si="67">IF($K206,Q206,NA())</f>
        <v>7260.4500000000007</v>
      </c>
      <c r="AP206" s="72">
        <f t="shared" ref="AP206:AP209" si="68">IF($K206,R206,NA())</f>
        <v>9181.6000000000022</v>
      </c>
      <c r="AQ206" s="72">
        <f t="shared" ref="AQ206:AQ209" si="69">IF($K206,S206,NA())</f>
        <v>5713.55</v>
      </c>
      <c r="AR206" s="72">
        <f t="shared" ref="AR206:AR209" si="70">IF($K206,T206,NA())</f>
        <v>8507.9500000000007</v>
      </c>
      <c r="AS206" s="72">
        <f t="shared" ref="AS206:AS209" si="71">IF($K206,U206,NA())</f>
        <v>7160.65</v>
      </c>
      <c r="AT206" s="72">
        <f t="shared" ref="AT206:AT209" si="72">IF($K206,V206,NA())</f>
        <v>5588.7999999999993</v>
      </c>
      <c r="AU206" s="72">
        <f t="shared" ref="AU206:AU209" si="73">IF($K206,W206,NA())</f>
        <v>6412.1500000000005</v>
      </c>
      <c r="AV206" s="72">
        <f t="shared" ref="AV206:AV209" si="74">IF($K206,X206,NA())</f>
        <v>3867.25</v>
      </c>
      <c r="AW206" s="72">
        <f t="shared" ref="AW206:AW209" si="75">IF($K206,Y206,NA())</f>
        <v>1946.1</v>
      </c>
      <c r="AX206" s="72">
        <f t="shared" ref="AX206:AX209" si="76">IF($K206,Z206,NA())</f>
        <v>5663.6500000000005</v>
      </c>
      <c r="AY206" s="72">
        <f t="shared" ref="AY206:AY209" si="77">IF($K206,AA206,NA())</f>
        <v>7609.7500000000009</v>
      </c>
      <c r="AZ206" s="72">
        <f t="shared" ref="AZ206:AZ209" si="78">IF($K206,AB206,NA())</f>
        <v>4690.6000000000004</v>
      </c>
      <c r="BA206" s="72">
        <f t="shared" ref="BA206:BA209" si="79">IF($K206,AC206,NA())</f>
        <v>8657.6500000000015</v>
      </c>
      <c r="BB206" s="72">
        <f t="shared" ref="BB206:BB209" si="80">IF($K206,AD206,NA())</f>
        <v>5389.2000000000007</v>
      </c>
      <c r="BC206" s="72">
        <f t="shared" ref="BC206:BC209" si="81">IF($K206,AE206,NA())</f>
        <v>12774.4</v>
      </c>
      <c r="BD206" s="72">
        <f t="shared" ref="BD206:BD209" si="82">IF($K206,AF206,NA())</f>
        <v>7809.3500000000013</v>
      </c>
      <c r="BE206" s="72">
        <f t="shared" ref="BE206:BE209" si="83">IF($K206,AG206,NA())</f>
        <v>7559.85</v>
      </c>
      <c r="BF206" s="72">
        <f t="shared" ref="BF206:BF209" si="84">IF($K206,AH206,NA())</f>
        <v>9980</v>
      </c>
      <c r="BG206" s="72">
        <f t="shared" ref="BG206:BG209" si="85">IF($K206,AI206,NA())</f>
        <v>4391.2</v>
      </c>
      <c r="BH206" s="72"/>
      <c r="BI206" s="72"/>
      <c r="BJ206" s="72"/>
    </row>
    <row r="207" spans="1:62" ht="15" x14ac:dyDescent="0.3">
      <c r="A207">
        <v>13</v>
      </c>
      <c r="B207" t="str">
        <f t="shared" si="51"/>
        <v>Vitamin C Face Serum</v>
      </c>
      <c r="C207" t="str">
        <f t="shared" si="52"/>
        <v>Skincare</v>
      </c>
      <c r="D207" s="17">
        <f t="shared" si="53"/>
        <v>158914.69999999984</v>
      </c>
      <c r="E207" s="17">
        <f t="shared" si="54"/>
        <v>84454.699999999953</v>
      </c>
      <c r="F207" s="15">
        <f t="shared" si="55"/>
        <v>0.53144674470014441</v>
      </c>
      <c r="G207" s="16">
        <f t="shared" si="56"/>
        <v>332</v>
      </c>
      <c r="H207" s="18">
        <f t="shared" si="57"/>
        <v>3.8734177215189876</v>
      </c>
      <c r="I207" s="15">
        <f t="shared" si="58"/>
        <v>7.4561403508771926E-2</v>
      </c>
      <c r="J207" s="15">
        <f>IFERROR(SUM($D$195:D207)/SUM($C$158:$C$187),0)</f>
        <v>0.61016145897986207</v>
      </c>
      <c r="K207" t="b">
        <f t="shared" si="59"/>
        <v>1</v>
      </c>
      <c r="L207" s="16">
        <f t="shared" si="60"/>
        <v>10392.65</v>
      </c>
      <c r="M207" s="16">
        <f t="shared" si="60"/>
        <v>3504.1499999999996</v>
      </c>
      <c r="N207" s="16">
        <f t="shared" si="60"/>
        <v>4971.7</v>
      </c>
      <c r="O207" s="16">
        <f t="shared" si="60"/>
        <v>6678.8499999999985</v>
      </c>
      <c r="P207" s="16">
        <f t="shared" si="60"/>
        <v>7038.2499999999991</v>
      </c>
      <c r="Q207" s="16">
        <f t="shared" si="64"/>
        <v>7966.7</v>
      </c>
      <c r="R207" s="16">
        <f t="shared" si="64"/>
        <v>5930.1</v>
      </c>
      <c r="S207" s="16">
        <f t="shared" si="64"/>
        <v>3084.85</v>
      </c>
      <c r="T207" s="16">
        <f t="shared" si="64"/>
        <v>2425.9499999999998</v>
      </c>
      <c r="U207" s="16">
        <f t="shared" si="64"/>
        <v>9314.4499999999989</v>
      </c>
      <c r="V207" s="16">
        <f t="shared" si="64"/>
        <v>3294.5</v>
      </c>
      <c r="W207" s="16">
        <f t="shared" si="64"/>
        <v>6948.4000000000005</v>
      </c>
      <c r="X207" s="16">
        <f t="shared" si="64"/>
        <v>2965.05</v>
      </c>
      <c r="Y207" s="16">
        <f t="shared" si="64"/>
        <v>9524.1</v>
      </c>
      <c r="Z207" s="16">
        <f t="shared" si="64"/>
        <v>4522.45</v>
      </c>
      <c r="AA207" s="16">
        <f t="shared" si="64"/>
        <v>13866.849999999999</v>
      </c>
      <c r="AB207" s="16">
        <f t="shared" si="61"/>
        <v>2485.85</v>
      </c>
      <c r="AC207" s="16">
        <f t="shared" si="61"/>
        <v>4941.7499999999991</v>
      </c>
      <c r="AD207" s="16">
        <f t="shared" si="61"/>
        <v>7906.8</v>
      </c>
      <c r="AE207" s="16">
        <f t="shared" si="61"/>
        <v>5989.9999999999991</v>
      </c>
      <c r="AF207" s="16">
        <f t="shared" si="61"/>
        <v>2515.7999999999997</v>
      </c>
      <c r="AG207" s="16">
        <f t="shared" si="61"/>
        <v>12399.3</v>
      </c>
      <c r="AH207" s="16">
        <f t="shared" si="61"/>
        <v>13717.1</v>
      </c>
      <c r="AI207" s="16">
        <f t="shared" si="61"/>
        <v>6529.0999999999985</v>
      </c>
      <c r="AJ207" s="72">
        <f t="shared" si="63"/>
        <v>10392.65</v>
      </c>
      <c r="AK207" s="72">
        <f t="shared" ref="AK207:AK209" si="86">IF($K207,M207,NA())</f>
        <v>3504.1499999999996</v>
      </c>
      <c r="AL207" s="72">
        <f t="shared" ref="AL207:AL209" si="87">IF($K207,N207,NA())</f>
        <v>4971.7</v>
      </c>
      <c r="AM207" s="72">
        <f t="shared" si="65"/>
        <v>6678.8499999999985</v>
      </c>
      <c r="AN207" s="72">
        <f t="shared" si="66"/>
        <v>7038.2499999999991</v>
      </c>
      <c r="AO207" s="72">
        <f t="shared" si="67"/>
        <v>7966.7</v>
      </c>
      <c r="AP207" s="72">
        <f t="shared" si="68"/>
        <v>5930.1</v>
      </c>
      <c r="AQ207" s="72">
        <f t="shared" si="69"/>
        <v>3084.85</v>
      </c>
      <c r="AR207" s="72">
        <f t="shared" si="70"/>
        <v>2425.9499999999998</v>
      </c>
      <c r="AS207" s="72">
        <f t="shared" si="71"/>
        <v>9314.4499999999989</v>
      </c>
      <c r="AT207" s="72">
        <f t="shared" si="72"/>
        <v>3294.5</v>
      </c>
      <c r="AU207" s="72">
        <f t="shared" si="73"/>
        <v>6948.4000000000005</v>
      </c>
      <c r="AV207" s="72">
        <f t="shared" si="74"/>
        <v>2965.05</v>
      </c>
      <c r="AW207" s="72">
        <f t="shared" si="75"/>
        <v>9524.1</v>
      </c>
      <c r="AX207" s="72">
        <f t="shared" si="76"/>
        <v>4522.45</v>
      </c>
      <c r="AY207" s="72">
        <f t="shared" si="77"/>
        <v>13866.849999999999</v>
      </c>
      <c r="AZ207" s="72">
        <f t="shared" si="78"/>
        <v>2485.85</v>
      </c>
      <c r="BA207" s="72">
        <f t="shared" si="79"/>
        <v>4941.7499999999991</v>
      </c>
      <c r="BB207" s="72">
        <f t="shared" si="80"/>
        <v>7906.8</v>
      </c>
      <c r="BC207" s="72">
        <f t="shared" si="81"/>
        <v>5989.9999999999991</v>
      </c>
      <c r="BD207" s="72">
        <f t="shared" si="82"/>
        <v>2515.7999999999997</v>
      </c>
      <c r="BE207" s="72">
        <f t="shared" si="83"/>
        <v>12399.3</v>
      </c>
      <c r="BF207" s="72">
        <f t="shared" si="84"/>
        <v>13717.1</v>
      </c>
      <c r="BG207" s="72">
        <f t="shared" si="85"/>
        <v>6529.0999999999985</v>
      </c>
      <c r="BH207" s="72"/>
      <c r="BI207" s="72"/>
      <c r="BJ207" s="72"/>
    </row>
    <row r="208" spans="1:62" ht="15" x14ac:dyDescent="0.3">
      <c r="A208">
        <v>14</v>
      </c>
      <c r="B208" t="str">
        <f t="shared" si="51"/>
        <v>Retinol Night Cream</v>
      </c>
      <c r="C208" t="str">
        <f t="shared" si="52"/>
        <v>Skincare</v>
      </c>
      <c r="D208" s="17">
        <f t="shared" si="53"/>
        <v>154366.80000000005</v>
      </c>
      <c r="E208" s="17">
        <f t="shared" si="54"/>
        <v>98134.800000000032</v>
      </c>
      <c r="F208" s="15">
        <f t="shared" si="55"/>
        <v>0.63572478019885104</v>
      </c>
      <c r="G208" s="16">
        <f t="shared" si="56"/>
        <v>217</v>
      </c>
      <c r="H208" s="18">
        <f t="shared" si="57"/>
        <v>3.9142857142857141</v>
      </c>
      <c r="I208" s="15">
        <f t="shared" si="58"/>
        <v>0.10638297872340426</v>
      </c>
      <c r="J208" s="15">
        <f>IFERROR(SUM($D$195:D208)/SUM($C$158:$C$187),0)</f>
        <v>0.64009988707740217</v>
      </c>
      <c r="K208" t="b">
        <f t="shared" si="59"/>
        <v>1</v>
      </c>
      <c r="L208" s="16">
        <f t="shared" si="60"/>
        <v>8709.1</v>
      </c>
      <c r="M208" s="16">
        <f t="shared" si="60"/>
        <v>2197.25</v>
      </c>
      <c r="N208" s="16">
        <f t="shared" si="60"/>
        <v>2996.2499999999995</v>
      </c>
      <c r="O208" s="16">
        <f t="shared" si="60"/>
        <v>1558.05</v>
      </c>
      <c r="P208" s="16">
        <f t="shared" si="60"/>
        <v>3036.2</v>
      </c>
      <c r="Q208" s="16">
        <f t="shared" si="64"/>
        <v>6032.45</v>
      </c>
      <c r="R208" s="16">
        <f t="shared" si="64"/>
        <v>3555.55</v>
      </c>
      <c r="S208" s="16">
        <f t="shared" si="64"/>
        <v>4873.8999999999996</v>
      </c>
      <c r="T208" s="16">
        <f t="shared" si="64"/>
        <v>9308.35</v>
      </c>
      <c r="U208" s="16">
        <f t="shared" si="64"/>
        <v>6711.5999999999995</v>
      </c>
      <c r="V208" s="16">
        <f t="shared" si="64"/>
        <v>9588</v>
      </c>
      <c r="W208" s="16">
        <f t="shared" si="64"/>
        <v>4594.25</v>
      </c>
      <c r="X208" s="16">
        <f t="shared" si="64"/>
        <v>9028.7000000000007</v>
      </c>
      <c r="Y208" s="16">
        <f t="shared" si="64"/>
        <v>4594.25</v>
      </c>
      <c r="Z208" s="16">
        <f t="shared" si="64"/>
        <v>5273.4</v>
      </c>
      <c r="AA208" s="16">
        <f t="shared" si="64"/>
        <v>7830.2</v>
      </c>
      <c r="AB208" s="16">
        <f t="shared" si="61"/>
        <v>3635.45</v>
      </c>
      <c r="AC208" s="16">
        <f t="shared" si="61"/>
        <v>2277.1499999999996</v>
      </c>
      <c r="AD208" s="16">
        <f t="shared" si="61"/>
        <v>679.15</v>
      </c>
      <c r="AE208" s="16">
        <f t="shared" si="61"/>
        <v>14342.049999999997</v>
      </c>
      <c r="AF208" s="16">
        <f t="shared" si="61"/>
        <v>11345.800000000001</v>
      </c>
      <c r="AG208" s="16">
        <f t="shared" si="61"/>
        <v>12943.8</v>
      </c>
      <c r="AH208" s="16">
        <f t="shared" si="61"/>
        <v>13782.750000000002</v>
      </c>
      <c r="AI208" s="16">
        <f t="shared" si="61"/>
        <v>5473.15</v>
      </c>
      <c r="AJ208" s="72">
        <f t="shared" si="63"/>
        <v>8709.1</v>
      </c>
      <c r="AK208" s="72">
        <f t="shared" si="86"/>
        <v>2197.25</v>
      </c>
      <c r="AL208" s="72">
        <f t="shared" si="87"/>
        <v>2996.2499999999995</v>
      </c>
      <c r="AM208" s="72">
        <f t="shared" si="65"/>
        <v>1558.05</v>
      </c>
      <c r="AN208" s="72">
        <f t="shared" si="66"/>
        <v>3036.2</v>
      </c>
      <c r="AO208" s="72">
        <f t="shared" si="67"/>
        <v>6032.45</v>
      </c>
      <c r="AP208" s="72">
        <f t="shared" si="68"/>
        <v>3555.55</v>
      </c>
      <c r="AQ208" s="72">
        <f t="shared" si="69"/>
        <v>4873.8999999999996</v>
      </c>
      <c r="AR208" s="72">
        <f t="shared" si="70"/>
        <v>9308.35</v>
      </c>
      <c r="AS208" s="72">
        <f t="shared" si="71"/>
        <v>6711.5999999999995</v>
      </c>
      <c r="AT208" s="72">
        <f t="shared" si="72"/>
        <v>9588</v>
      </c>
      <c r="AU208" s="72">
        <f t="shared" si="73"/>
        <v>4594.25</v>
      </c>
      <c r="AV208" s="72">
        <f t="shared" si="74"/>
        <v>9028.7000000000007</v>
      </c>
      <c r="AW208" s="72">
        <f t="shared" si="75"/>
        <v>4594.25</v>
      </c>
      <c r="AX208" s="72">
        <f t="shared" si="76"/>
        <v>5273.4</v>
      </c>
      <c r="AY208" s="72">
        <f t="shared" si="77"/>
        <v>7830.2</v>
      </c>
      <c r="AZ208" s="72">
        <f t="shared" si="78"/>
        <v>3635.45</v>
      </c>
      <c r="BA208" s="72">
        <f t="shared" si="79"/>
        <v>2277.1499999999996</v>
      </c>
      <c r="BB208" s="72">
        <f t="shared" si="80"/>
        <v>679.15</v>
      </c>
      <c r="BC208" s="72">
        <f t="shared" si="81"/>
        <v>14342.049999999997</v>
      </c>
      <c r="BD208" s="72">
        <f t="shared" si="82"/>
        <v>11345.800000000001</v>
      </c>
      <c r="BE208" s="72">
        <f t="shared" si="83"/>
        <v>12943.8</v>
      </c>
      <c r="BF208" s="72">
        <f t="shared" si="84"/>
        <v>13782.750000000002</v>
      </c>
      <c r="BG208" s="72">
        <f t="shared" si="85"/>
        <v>5473.15</v>
      </c>
      <c r="BH208" s="72"/>
      <c r="BI208" s="72"/>
      <c r="BJ208" s="72"/>
    </row>
    <row r="209" spans="1:62" ht="15" x14ac:dyDescent="0.3">
      <c r="A209">
        <v>15</v>
      </c>
      <c r="B209" t="str">
        <f t="shared" si="51"/>
        <v>Flip Flops</v>
      </c>
      <c r="C209" t="str">
        <f t="shared" si="52"/>
        <v>Footwear</v>
      </c>
      <c r="D209" s="17">
        <f t="shared" si="53"/>
        <v>152338.2000000001</v>
      </c>
      <c r="E209" s="17">
        <f t="shared" si="54"/>
        <v>61926.19999999999</v>
      </c>
      <c r="F209" s="15">
        <f t="shared" si="55"/>
        <v>0.40650473748541044</v>
      </c>
      <c r="G209" s="16">
        <f t="shared" si="56"/>
        <v>446</v>
      </c>
      <c r="H209" s="18">
        <f t="shared" si="57"/>
        <v>3.9525862068965516</v>
      </c>
      <c r="I209" s="15">
        <f t="shared" si="58"/>
        <v>0.1892744479495268</v>
      </c>
      <c r="J209" s="15">
        <f>IFERROR(SUM($D$195:D209)/SUM($C$158:$C$187),0)</f>
        <v>0.66964488151408619</v>
      </c>
      <c r="K209" t="b">
        <f t="shared" si="59"/>
        <v>1</v>
      </c>
      <c r="L209" s="16">
        <f t="shared" si="60"/>
        <v>7022.4000000000005</v>
      </c>
      <c r="M209" s="16">
        <f t="shared" si="60"/>
        <v>6822.9000000000005</v>
      </c>
      <c r="N209" s="16">
        <f t="shared" si="60"/>
        <v>6004.95</v>
      </c>
      <c r="O209" s="16">
        <f t="shared" si="60"/>
        <v>7441.3500000000013</v>
      </c>
      <c r="P209" s="16">
        <f t="shared" si="60"/>
        <v>6024.9000000000005</v>
      </c>
      <c r="Q209" s="16">
        <f t="shared" si="64"/>
        <v>3271.8</v>
      </c>
      <c r="R209" s="16">
        <f t="shared" si="64"/>
        <v>4189.5</v>
      </c>
      <c r="S209" s="16">
        <f t="shared" si="64"/>
        <v>4149.5999999999995</v>
      </c>
      <c r="T209" s="16">
        <f t="shared" si="64"/>
        <v>5965.0500000000011</v>
      </c>
      <c r="U209" s="16">
        <f t="shared" si="64"/>
        <v>7900.2</v>
      </c>
      <c r="V209" s="16">
        <f t="shared" si="64"/>
        <v>5486.2499999999991</v>
      </c>
      <c r="W209" s="16">
        <f t="shared" si="64"/>
        <v>11072.250000000002</v>
      </c>
      <c r="X209" s="16">
        <f t="shared" si="64"/>
        <v>6124.6500000000005</v>
      </c>
      <c r="Y209" s="16">
        <f t="shared" si="64"/>
        <v>4349.1000000000004</v>
      </c>
      <c r="Z209" s="16">
        <f t="shared" si="64"/>
        <v>4648.3499999999995</v>
      </c>
      <c r="AA209" s="16">
        <f t="shared" si="64"/>
        <v>7999.9500000000007</v>
      </c>
      <c r="AB209" s="16">
        <f t="shared" si="61"/>
        <v>5187.0000000000009</v>
      </c>
      <c r="AC209" s="16">
        <f t="shared" si="61"/>
        <v>2453.8500000000004</v>
      </c>
      <c r="AD209" s="16">
        <f t="shared" si="61"/>
        <v>5985</v>
      </c>
      <c r="AE209" s="16">
        <f t="shared" si="61"/>
        <v>7441.3499999999995</v>
      </c>
      <c r="AF209" s="16">
        <f t="shared" si="61"/>
        <v>8937.6</v>
      </c>
      <c r="AG209" s="16">
        <f t="shared" si="61"/>
        <v>7900.2000000000007</v>
      </c>
      <c r="AH209" s="16">
        <f t="shared" si="61"/>
        <v>12009.899999999998</v>
      </c>
      <c r="AI209" s="16">
        <f t="shared" si="61"/>
        <v>3950.1</v>
      </c>
      <c r="AJ209" s="72">
        <f t="shared" si="63"/>
        <v>7022.4000000000005</v>
      </c>
      <c r="AK209" s="72">
        <f t="shared" si="86"/>
        <v>6822.9000000000005</v>
      </c>
      <c r="AL209" s="72">
        <f t="shared" si="87"/>
        <v>6004.95</v>
      </c>
      <c r="AM209" s="72">
        <f t="shared" si="65"/>
        <v>7441.3500000000013</v>
      </c>
      <c r="AN209" s="72">
        <f t="shared" si="66"/>
        <v>6024.9000000000005</v>
      </c>
      <c r="AO209" s="72">
        <f t="shared" si="67"/>
        <v>3271.8</v>
      </c>
      <c r="AP209" s="72">
        <f t="shared" si="68"/>
        <v>4189.5</v>
      </c>
      <c r="AQ209" s="72">
        <f t="shared" si="69"/>
        <v>4149.5999999999995</v>
      </c>
      <c r="AR209" s="72">
        <f t="shared" si="70"/>
        <v>5965.0500000000011</v>
      </c>
      <c r="AS209" s="72">
        <f t="shared" si="71"/>
        <v>7900.2</v>
      </c>
      <c r="AT209" s="72">
        <f t="shared" si="72"/>
        <v>5486.2499999999991</v>
      </c>
      <c r="AU209" s="72">
        <f t="shared" si="73"/>
        <v>11072.250000000002</v>
      </c>
      <c r="AV209" s="72">
        <f t="shared" si="74"/>
        <v>6124.6500000000005</v>
      </c>
      <c r="AW209" s="72">
        <f t="shared" si="75"/>
        <v>4349.1000000000004</v>
      </c>
      <c r="AX209" s="72">
        <f t="shared" si="76"/>
        <v>4648.3499999999995</v>
      </c>
      <c r="AY209" s="72">
        <f t="shared" si="77"/>
        <v>7999.9500000000007</v>
      </c>
      <c r="AZ209" s="72">
        <f t="shared" si="78"/>
        <v>5187.0000000000009</v>
      </c>
      <c r="BA209" s="72">
        <f t="shared" si="79"/>
        <v>2453.8500000000004</v>
      </c>
      <c r="BB209" s="72">
        <f t="shared" si="80"/>
        <v>5985</v>
      </c>
      <c r="BC209" s="72">
        <f t="shared" si="81"/>
        <v>7441.3499999999995</v>
      </c>
      <c r="BD209" s="72">
        <f t="shared" si="82"/>
        <v>8937.6</v>
      </c>
      <c r="BE209" s="72">
        <f t="shared" si="83"/>
        <v>7900.2000000000007</v>
      </c>
      <c r="BF209" s="72">
        <f t="shared" si="84"/>
        <v>12009.899999999998</v>
      </c>
      <c r="BG209" s="72">
        <f t="shared" si="85"/>
        <v>3950.1</v>
      </c>
      <c r="BH209" s="72"/>
      <c r="BI209" s="72"/>
      <c r="BJ209" s="72"/>
    </row>
    <row r="211" spans="1:62" x14ac:dyDescent="0.3">
      <c r="A211" s="13" t="s">
        <v>7387</v>
      </c>
    </row>
    <row r="212" spans="1:62" x14ac:dyDescent="0.3">
      <c r="A212" s="35" t="s">
        <v>7385</v>
      </c>
      <c r="B212" s="35" t="s">
        <v>7279</v>
      </c>
      <c r="C212" s="35" t="s">
        <v>7330</v>
      </c>
    </row>
    <row r="213" spans="1:62" x14ac:dyDescent="0.3">
      <c r="A213" t="str">
        <f t="shared" ref="A213:A227" si="88">IF($K195,$B195,"")</f>
        <v>Linen Kurta</v>
      </c>
      <c r="B213">
        <f t="shared" ref="B213:B227" si="89">IF($K195,$D195,NA())</f>
        <v>361333.94999999995</v>
      </c>
      <c r="C213" s="4">
        <f t="shared" ref="C213:C227" si="90">IF($K195,$J195,NA())</f>
        <v>7.0078348979671801E-2</v>
      </c>
    </row>
    <row r="214" spans="1:62" x14ac:dyDescent="0.3">
      <c r="A214" t="str">
        <f t="shared" si="88"/>
        <v>Running Shoes</v>
      </c>
      <c r="B214">
        <f t="shared" si="89"/>
        <v>346234.55000000005</v>
      </c>
      <c r="C214" s="4">
        <f t="shared" si="90"/>
        <v>0.1372282683927788</v>
      </c>
    </row>
    <row r="215" spans="1:62" x14ac:dyDescent="0.3">
      <c r="A215" t="str">
        <f t="shared" si="88"/>
        <v>Denim Jacket</v>
      </c>
      <c r="B215">
        <f t="shared" si="89"/>
        <v>310500.75000000012</v>
      </c>
      <c r="C215" s="4">
        <f t="shared" si="90"/>
        <v>0.19744785173652449</v>
      </c>
    </row>
    <row r="216" spans="1:62" x14ac:dyDescent="0.3">
      <c r="A216" t="str">
        <f t="shared" si="88"/>
        <v>Joggers</v>
      </c>
      <c r="B216">
        <f t="shared" si="89"/>
        <v>301908.2</v>
      </c>
      <c r="C216" s="4">
        <f t="shared" si="90"/>
        <v>0.2560009663813691</v>
      </c>
    </row>
    <row r="217" spans="1:62" x14ac:dyDescent="0.3">
      <c r="A217" t="str">
        <f t="shared" si="88"/>
        <v>Printed Saree</v>
      </c>
      <c r="B217">
        <f t="shared" si="89"/>
        <v>253073.39999999994</v>
      </c>
      <c r="C217" s="4">
        <f t="shared" si="90"/>
        <v>0.30508289195927857</v>
      </c>
    </row>
    <row r="218" spans="1:62" x14ac:dyDescent="0.3">
      <c r="A218" t="str">
        <f t="shared" si="88"/>
        <v>Kolhapuri Sandals</v>
      </c>
      <c r="B218">
        <f t="shared" si="89"/>
        <v>246453.29999999993</v>
      </c>
      <c r="C218" s="4">
        <f t="shared" si="90"/>
        <v>0.35288089257502958</v>
      </c>
    </row>
    <row r="219" spans="1:62" x14ac:dyDescent="0.3">
      <c r="A219" t="str">
        <f t="shared" si="88"/>
        <v>Casual Sneakers</v>
      </c>
      <c r="B219">
        <f t="shared" si="89"/>
        <v>223858.20000000004</v>
      </c>
      <c r="C219" s="4">
        <f t="shared" si="90"/>
        <v>0.39629672178665271</v>
      </c>
    </row>
    <row r="220" spans="1:62" x14ac:dyDescent="0.3">
      <c r="A220" t="str">
        <f t="shared" si="88"/>
        <v>Cotton Oversized T-Shirt</v>
      </c>
      <c r="B220">
        <f t="shared" si="89"/>
        <v>206421.65000000017</v>
      </c>
      <c r="C220" s="4">
        <f t="shared" si="90"/>
        <v>0.43633084652267506</v>
      </c>
    </row>
    <row r="221" spans="1:62" x14ac:dyDescent="0.3">
      <c r="A221" t="str">
        <f t="shared" si="88"/>
        <v>Whey Protein 1kg</v>
      </c>
      <c r="B221">
        <f t="shared" si="89"/>
        <v>202426.95000000004</v>
      </c>
      <c r="C221" s="4">
        <f t="shared" si="90"/>
        <v>0.47559022540193785</v>
      </c>
    </row>
    <row r="222" spans="1:62" x14ac:dyDescent="0.3">
      <c r="A222" t="str">
        <f t="shared" si="88"/>
        <v>Cotton Bedsheet</v>
      </c>
      <c r="B222">
        <f t="shared" si="89"/>
        <v>193291.19999999998</v>
      </c>
      <c r="C222" s="4">
        <f t="shared" si="90"/>
        <v>0.51307778550610061</v>
      </c>
    </row>
    <row r="223" spans="1:62" x14ac:dyDescent="0.3">
      <c r="A223" t="str">
        <f t="shared" si="88"/>
        <v>Multivitamin Gummies</v>
      </c>
      <c r="B223">
        <f t="shared" si="89"/>
        <v>178314.9</v>
      </c>
      <c r="C223" s="4">
        <f t="shared" si="90"/>
        <v>0.54766079048106986</v>
      </c>
    </row>
    <row r="224" spans="1:62" x14ac:dyDescent="0.3">
      <c r="A224" t="str">
        <f t="shared" si="88"/>
        <v>Ashwagandha Capsules</v>
      </c>
      <c r="B224">
        <f t="shared" si="89"/>
        <v>163347.6500000002</v>
      </c>
      <c r="C224" s="4">
        <f t="shared" si="90"/>
        <v>0.57934099551497076</v>
      </c>
    </row>
    <row r="225" spans="1:3" x14ac:dyDescent="0.3">
      <c r="A225" t="str">
        <f t="shared" si="88"/>
        <v>Vitamin C Face Serum</v>
      </c>
      <c r="B225">
        <f t="shared" si="89"/>
        <v>158914.69999999984</v>
      </c>
      <c r="C225" s="4">
        <f t="shared" si="90"/>
        <v>0.61016145897986207</v>
      </c>
    </row>
    <row r="226" spans="1:3" x14ac:dyDescent="0.3">
      <c r="A226" t="str">
        <f t="shared" si="88"/>
        <v>Retinol Night Cream</v>
      </c>
      <c r="B226">
        <f t="shared" si="89"/>
        <v>154366.80000000005</v>
      </c>
      <c r="C226" s="4">
        <f t="shared" si="90"/>
        <v>0.64009988707740217</v>
      </c>
    </row>
    <row r="227" spans="1:3" x14ac:dyDescent="0.3">
      <c r="A227" t="str">
        <f t="shared" si="88"/>
        <v>Flip Flops</v>
      </c>
      <c r="B227">
        <f t="shared" si="89"/>
        <v>152338.2000000001</v>
      </c>
      <c r="C227" s="4">
        <f t="shared" si="90"/>
        <v>0.66964488151408619</v>
      </c>
    </row>
  </sheetData>
  <pageMargins left="0.7" right="0.7" top="0.75" bottom="0.75" header="0.3" footer="0.3"/>
  <ignoredErrors>
    <ignoredError sqref="E1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CE2F-F30B-4FA2-9154-BE1BB8F8EDA1}">
  <dimension ref="A3:AJ202"/>
  <sheetViews>
    <sheetView workbookViewId="0">
      <selection activeCell="A3" sqref="A3:AJ202"/>
    </sheetView>
  </sheetViews>
  <sheetFormatPr defaultRowHeight="14.4" x14ac:dyDescent="0.3"/>
  <cols>
    <col min="1" max="1" width="11.33203125" bestFit="1" customWidth="1"/>
    <col min="2" max="2" width="12.33203125" bestFit="1" customWidth="1"/>
    <col min="3" max="3" width="9" bestFit="1" customWidth="1"/>
    <col min="4" max="4" width="10.33203125" bestFit="1" customWidth="1"/>
    <col min="5" max="5" width="11.88671875" bestFit="1" customWidth="1"/>
    <col min="6" max="6" width="13.5546875" bestFit="1" customWidth="1"/>
    <col min="7" max="7" width="16" bestFit="1" customWidth="1"/>
    <col min="8" max="8" width="15.5546875" bestFit="1" customWidth="1"/>
    <col min="9" max="9" width="12.33203125" bestFit="1" customWidth="1"/>
    <col min="10" max="10" width="9" bestFit="1" customWidth="1"/>
    <col min="11" max="11" width="18.109375" bestFit="1" customWidth="1"/>
    <col min="12" max="12" width="14.77734375" bestFit="1" customWidth="1"/>
    <col min="13" max="13" width="12.109375" bestFit="1" customWidth="1"/>
    <col min="14" max="14" width="18.109375" bestFit="1" customWidth="1"/>
    <col min="15" max="15" width="14.21875" bestFit="1" customWidth="1"/>
    <col min="16" max="16" width="10.5546875" bestFit="1" customWidth="1"/>
    <col min="17" max="17" width="11.33203125" bestFit="1" customWidth="1"/>
    <col min="18" max="18" width="12.44140625" bestFit="1" customWidth="1"/>
    <col min="19" max="19" width="11.6640625" bestFit="1" customWidth="1"/>
    <col min="20" max="20" width="18" bestFit="1" customWidth="1"/>
    <col min="21" max="21" width="14" bestFit="1" customWidth="1"/>
    <col min="22" max="22" width="10.88671875" bestFit="1" customWidth="1"/>
    <col min="23" max="23" width="9" bestFit="1" customWidth="1"/>
    <col min="24" max="24" width="14.6640625" bestFit="1" customWidth="1"/>
    <col min="25" max="25" width="9" bestFit="1" customWidth="1"/>
    <col min="26" max="26" width="11.109375" bestFit="1" customWidth="1"/>
    <col min="27" max="27" width="10.5546875" bestFit="1" customWidth="1"/>
    <col min="28" max="28" width="14.33203125" bestFit="1" customWidth="1"/>
    <col min="29" max="29" width="14.44140625" bestFit="1" customWidth="1"/>
    <col min="30" max="30" width="15.77734375" bestFit="1" customWidth="1"/>
    <col min="31" max="31" width="16.33203125" bestFit="1" customWidth="1"/>
    <col min="32" max="32" width="18.109375" bestFit="1" customWidth="1"/>
    <col min="33" max="33" width="15.44140625" bestFit="1" customWidth="1"/>
    <col min="34" max="34" width="17.21875" bestFit="1" customWidth="1"/>
    <col min="35" max="35" width="11.88671875" bestFit="1" customWidth="1"/>
    <col min="36" max="36" width="15.44140625" bestFit="1" customWidth="1"/>
  </cols>
  <sheetData>
    <row r="3" spans="1:36" x14ac:dyDescent="0.3">
      <c r="A3" t="s">
        <v>0</v>
      </c>
      <c r="B3" t="s">
        <v>1</v>
      </c>
      <c r="C3" t="s">
        <v>7241</v>
      </c>
      <c r="D3" t="s">
        <v>7238</v>
      </c>
      <c r="E3" t="s">
        <v>7240</v>
      </c>
      <c r="F3" t="s">
        <v>2</v>
      </c>
      <c r="G3" t="s">
        <v>7334</v>
      </c>
      <c r="H3" t="s">
        <v>3</v>
      </c>
      <c r="I3" t="s">
        <v>7209</v>
      </c>
      <c r="J3" t="s">
        <v>7210</v>
      </c>
      <c r="K3" t="s">
        <v>4</v>
      </c>
      <c r="L3" t="s">
        <v>5</v>
      </c>
      <c r="M3" t="s">
        <v>6</v>
      </c>
      <c r="N3" t="s">
        <v>7168</v>
      </c>
      <c r="O3" t="s">
        <v>7169</v>
      </c>
      <c r="P3" t="s">
        <v>7</v>
      </c>
      <c r="Q3" t="s">
        <v>8</v>
      </c>
      <c r="R3" t="s">
        <v>7332</v>
      </c>
      <c r="S3" t="s">
        <v>7243</v>
      </c>
      <c r="T3" t="s">
        <v>7244</v>
      </c>
      <c r="U3" t="s">
        <v>7245</v>
      </c>
      <c r="V3" t="s">
        <v>7242</v>
      </c>
      <c r="W3" t="s">
        <v>7246</v>
      </c>
      <c r="X3" t="s">
        <v>7247</v>
      </c>
      <c r="Y3" t="s">
        <v>7248</v>
      </c>
      <c r="Z3" t="s">
        <v>7249</v>
      </c>
      <c r="AA3" t="s">
        <v>7344</v>
      </c>
      <c r="AB3" t="s">
        <v>10</v>
      </c>
      <c r="AC3" t="s">
        <v>7264</v>
      </c>
      <c r="AD3" t="s">
        <v>7265</v>
      </c>
      <c r="AE3" t="s">
        <v>7345</v>
      </c>
      <c r="AF3" t="s">
        <v>9</v>
      </c>
      <c r="AG3" t="s">
        <v>7355</v>
      </c>
      <c r="AH3" t="s">
        <v>11</v>
      </c>
      <c r="AI3" t="s">
        <v>7346</v>
      </c>
      <c r="AJ3" t="s">
        <v>7347</v>
      </c>
    </row>
    <row r="4" spans="1:36" x14ac:dyDescent="0.3">
      <c r="A4" t="s">
        <v>1820</v>
      </c>
      <c r="B4" s="1">
        <v>46014</v>
      </c>
      <c r="C4">
        <v>2025</v>
      </c>
      <c r="D4" s="1">
        <v>45992</v>
      </c>
      <c r="E4">
        <v>12</v>
      </c>
      <c r="F4" t="s">
        <v>1821</v>
      </c>
      <c r="G4" t="s">
        <v>7339</v>
      </c>
      <c r="H4" t="s">
        <v>167</v>
      </c>
      <c r="I4" t="s">
        <v>7234</v>
      </c>
      <c r="J4" t="s">
        <v>7231</v>
      </c>
      <c r="K4" t="s">
        <v>190</v>
      </c>
      <c r="L4" t="s">
        <v>65</v>
      </c>
      <c r="M4" t="s">
        <v>84</v>
      </c>
      <c r="N4" t="s">
        <v>7198</v>
      </c>
      <c r="O4" t="s">
        <v>7195</v>
      </c>
      <c r="P4">
        <v>1</v>
      </c>
      <c r="Q4">
        <v>1299</v>
      </c>
      <c r="R4">
        <v>0.3</v>
      </c>
      <c r="S4">
        <v>1299</v>
      </c>
      <c r="T4">
        <v>389.7</v>
      </c>
      <c r="U4">
        <v>909.3</v>
      </c>
      <c r="V4">
        <v>585</v>
      </c>
      <c r="W4">
        <v>585</v>
      </c>
      <c r="X4">
        <v>60</v>
      </c>
      <c r="Y4">
        <v>264.29999999999995</v>
      </c>
      <c r="Z4">
        <v>0.29066314747608046</v>
      </c>
      <c r="AA4">
        <v>0</v>
      </c>
      <c r="AB4" s="1">
        <v>45485</v>
      </c>
      <c r="AC4">
        <v>-529</v>
      </c>
      <c r="AD4" t="s">
        <v>7309</v>
      </c>
      <c r="AE4">
        <v>0</v>
      </c>
      <c r="AF4" t="s">
        <v>18</v>
      </c>
      <c r="AG4" s="1">
        <v>46016</v>
      </c>
      <c r="AI4" t="s">
        <v>7350</v>
      </c>
      <c r="AJ4">
        <v>0</v>
      </c>
    </row>
    <row r="5" spans="1:36" x14ac:dyDescent="0.3">
      <c r="A5" t="s">
        <v>3491</v>
      </c>
      <c r="B5" s="1">
        <v>46010</v>
      </c>
      <c r="C5">
        <v>2025</v>
      </c>
      <c r="D5" s="1">
        <v>45992</v>
      </c>
      <c r="E5">
        <v>12</v>
      </c>
      <c r="F5" t="s">
        <v>719</v>
      </c>
      <c r="G5" t="s">
        <v>7339</v>
      </c>
      <c r="H5" t="s">
        <v>71</v>
      </c>
      <c r="I5" t="s">
        <v>7229</v>
      </c>
      <c r="J5" t="s">
        <v>7224</v>
      </c>
      <c r="K5" t="s">
        <v>72</v>
      </c>
      <c r="L5" t="s">
        <v>65</v>
      </c>
      <c r="M5" t="s">
        <v>24</v>
      </c>
      <c r="N5" t="s">
        <v>7197</v>
      </c>
      <c r="O5" t="s">
        <v>7195</v>
      </c>
      <c r="P5">
        <v>1</v>
      </c>
      <c r="Q5">
        <v>699</v>
      </c>
      <c r="R5">
        <v>0.2</v>
      </c>
      <c r="S5">
        <v>699</v>
      </c>
      <c r="T5">
        <v>139.80000000000001</v>
      </c>
      <c r="U5">
        <v>559.20000000000005</v>
      </c>
      <c r="V5">
        <v>245</v>
      </c>
      <c r="W5">
        <v>245</v>
      </c>
      <c r="X5">
        <v>60</v>
      </c>
      <c r="Y5">
        <v>254.20000000000005</v>
      </c>
      <c r="Z5">
        <v>0.45457796852646642</v>
      </c>
      <c r="AA5">
        <v>15</v>
      </c>
      <c r="AB5" s="1">
        <v>45644</v>
      </c>
      <c r="AC5">
        <v>-366</v>
      </c>
      <c r="AD5" t="s">
        <v>7309</v>
      </c>
      <c r="AE5">
        <v>0.15</v>
      </c>
      <c r="AF5" t="s">
        <v>2522</v>
      </c>
      <c r="AG5" s="1">
        <v>46012</v>
      </c>
      <c r="AH5">
        <v>4</v>
      </c>
      <c r="AI5" t="s">
        <v>7350</v>
      </c>
      <c r="AJ5">
        <v>0</v>
      </c>
    </row>
    <row r="6" spans="1:36" x14ac:dyDescent="0.3">
      <c r="A6" t="s">
        <v>1818</v>
      </c>
      <c r="B6" s="1">
        <v>46008</v>
      </c>
      <c r="C6">
        <v>2025</v>
      </c>
      <c r="D6" s="1">
        <v>45992</v>
      </c>
      <c r="E6">
        <v>12</v>
      </c>
      <c r="F6" t="s">
        <v>1819</v>
      </c>
      <c r="G6" t="s">
        <v>7338</v>
      </c>
      <c r="H6" t="s">
        <v>27</v>
      </c>
      <c r="I6" t="s">
        <v>7228</v>
      </c>
      <c r="J6" t="s">
        <v>7221</v>
      </c>
      <c r="K6" t="s">
        <v>28</v>
      </c>
      <c r="L6" t="s">
        <v>65</v>
      </c>
      <c r="M6" t="s">
        <v>24</v>
      </c>
      <c r="N6" t="s">
        <v>7197</v>
      </c>
      <c r="O6" t="s">
        <v>7195</v>
      </c>
      <c r="P6">
        <v>1</v>
      </c>
      <c r="Q6">
        <v>699</v>
      </c>
      <c r="R6">
        <v>0.15</v>
      </c>
      <c r="S6">
        <v>699</v>
      </c>
      <c r="T6">
        <v>104.85</v>
      </c>
      <c r="U6">
        <v>594.15</v>
      </c>
      <c r="V6">
        <v>245</v>
      </c>
      <c r="W6">
        <v>245</v>
      </c>
      <c r="X6">
        <v>60</v>
      </c>
      <c r="Y6">
        <v>289.14999999999998</v>
      </c>
      <c r="Z6">
        <v>0.48666161743667424</v>
      </c>
      <c r="AA6">
        <v>15</v>
      </c>
      <c r="AB6" s="1">
        <v>45486</v>
      </c>
      <c r="AC6">
        <v>-522</v>
      </c>
      <c r="AD6" t="s">
        <v>7309</v>
      </c>
      <c r="AE6">
        <v>0.15</v>
      </c>
      <c r="AF6" t="s">
        <v>18</v>
      </c>
      <c r="AG6" s="1">
        <v>46012</v>
      </c>
      <c r="AI6" t="s">
        <v>7349</v>
      </c>
      <c r="AJ6">
        <v>0</v>
      </c>
    </row>
    <row r="7" spans="1:36" x14ac:dyDescent="0.3">
      <c r="A7" t="s">
        <v>420</v>
      </c>
      <c r="B7" s="1">
        <v>46008</v>
      </c>
      <c r="C7">
        <v>2025</v>
      </c>
      <c r="D7" s="1">
        <v>45992</v>
      </c>
      <c r="E7">
        <v>12</v>
      </c>
      <c r="F7" t="s">
        <v>164</v>
      </c>
      <c r="G7" t="s">
        <v>7339</v>
      </c>
      <c r="H7" t="s">
        <v>43</v>
      </c>
      <c r="I7" t="s">
        <v>7225</v>
      </c>
      <c r="J7" t="s">
        <v>7224</v>
      </c>
      <c r="K7" t="s">
        <v>250</v>
      </c>
      <c r="L7" t="s">
        <v>65</v>
      </c>
      <c r="M7" t="s">
        <v>84</v>
      </c>
      <c r="N7" t="s">
        <v>7198</v>
      </c>
      <c r="O7" t="s">
        <v>7195</v>
      </c>
      <c r="P7">
        <v>1</v>
      </c>
      <c r="Q7">
        <v>1299</v>
      </c>
      <c r="R7">
        <v>0.05</v>
      </c>
      <c r="S7">
        <v>1299</v>
      </c>
      <c r="T7">
        <v>64.95</v>
      </c>
      <c r="U7">
        <v>1234.05</v>
      </c>
      <c r="V7">
        <v>585</v>
      </c>
      <c r="W7">
        <v>585</v>
      </c>
      <c r="X7">
        <v>60</v>
      </c>
      <c r="Y7">
        <v>589.04999999999995</v>
      </c>
      <c r="Z7">
        <v>0.47733074024553296</v>
      </c>
      <c r="AA7">
        <v>0</v>
      </c>
      <c r="AB7" s="1">
        <v>45325</v>
      </c>
      <c r="AC7">
        <v>-683</v>
      </c>
      <c r="AD7" t="s">
        <v>7309</v>
      </c>
      <c r="AE7">
        <v>0</v>
      </c>
      <c r="AF7" t="s">
        <v>18</v>
      </c>
      <c r="AG7" s="1">
        <v>46010</v>
      </c>
      <c r="AH7">
        <v>4</v>
      </c>
      <c r="AI7" t="s">
        <v>7348</v>
      </c>
      <c r="AJ7">
        <v>0</v>
      </c>
    </row>
    <row r="8" spans="1:36" x14ac:dyDescent="0.3">
      <c r="A8" t="s">
        <v>2861</v>
      </c>
      <c r="B8" s="1">
        <v>46005</v>
      </c>
      <c r="C8">
        <v>2025</v>
      </c>
      <c r="D8" s="1">
        <v>45992</v>
      </c>
      <c r="E8">
        <v>12</v>
      </c>
      <c r="F8" t="s">
        <v>2207</v>
      </c>
      <c r="G8" t="s">
        <v>7339</v>
      </c>
      <c r="H8" t="s">
        <v>43</v>
      </c>
      <c r="I8" t="s">
        <v>7225</v>
      </c>
      <c r="J8" t="s">
        <v>7224</v>
      </c>
      <c r="K8" t="s">
        <v>44</v>
      </c>
      <c r="L8" t="s">
        <v>65</v>
      </c>
      <c r="M8" t="s">
        <v>24</v>
      </c>
      <c r="N8" t="s">
        <v>7197</v>
      </c>
      <c r="O8" t="s">
        <v>7195</v>
      </c>
      <c r="P8">
        <v>1</v>
      </c>
      <c r="Q8">
        <v>699</v>
      </c>
      <c r="R8">
        <v>0.2</v>
      </c>
      <c r="S8">
        <v>699</v>
      </c>
      <c r="T8">
        <v>139.80000000000001</v>
      </c>
      <c r="U8">
        <v>559.20000000000005</v>
      </c>
      <c r="V8">
        <v>245</v>
      </c>
      <c r="W8">
        <v>245</v>
      </c>
      <c r="X8">
        <v>60</v>
      </c>
      <c r="Y8">
        <v>254.20000000000005</v>
      </c>
      <c r="Z8">
        <v>0.45457796852646642</v>
      </c>
      <c r="AA8">
        <v>0.2</v>
      </c>
      <c r="AB8" s="1">
        <v>45588</v>
      </c>
      <c r="AC8">
        <v>-417</v>
      </c>
      <c r="AD8" t="s">
        <v>7309</v>
      </c>
      <c r="AE8">
        <v>0.2</v>
      </c>
      <c r="AF8" t="s">
        <v>2522</v>
      </c>
      <c r="AG8" s="1">
        <v>46009</v>
      </c>
      <c r="AH8">
        <v>3</v>
      </c>
      <c r="AI8" t="s">
        <v>7350</v>
      </c>
      <c r="AJ8">
        <v>0</v>
      </c>
    </row>
    <row r="9" spans="1:36" x14ac:dyDescent="0.3">
      <c r="A9" t="s">
        <v>7043</v>
      </c>
      <c r="B9" s="1">
        <v>46003</v>
      </c>
      <c r="C9">
        <v>2025</v>
      </c>
      <c r="D9" s="1">
        <v>45992</v>
      </c>
      <c r="E9">
        <v>12</v>
      </c>
      <c r="F9" t="s">
        <v>3219</v>
      </c>
      <c r="G9" t="s">
        <v>7339</v>
      </c>
      <c r="H9" t="s">
        <v>71</v>
      </c>
      <c r="I9" t="s">
        <v>7229</v>
      </c>
      <c r="J9" t="s">
        <v>7224</v>
      </c>
      <c r="K9" t="s">
        <v>81</v>
      </c>
      <c r="L9" t="s">
        <v>65</v>
      </c>
      <c r="M9" t="s">
        <v>24</v>
      </c>
      <c r="N9" t="s">
        <v>7197</v>
      </c>
      <c r="O9" t="s">
        <v>7195</v>
      </c>
      <c r="P9">
        <v>4</v>
      </c>
      <c r="Q9">
        <v>699</v>
      </c>
      <c r="R9">
        <v>0.25</v>
      </c>
      <c r="S9">
        <v>2796</v>
      </c>
      <c r="T9">
        <v>699</v>
      </c>
      <c r="U9">
        <v>2097</v>
      </c>
      <c r="V9">
        <v>245</v>
      </c>
      <c r="W9">
        <v>980</v>
      </c>
      <c r="X9">
        <v>60</v>
      </c>
      <c r="Y9">
        <v>1057</v>
      </c>
      <c r="Z9">
        <v>0.50405340963280876</v>
      </c>
      <c r="AA9">
        <v>0.2</v>
      </c>
      <c r="AB9" s="1">
        <v>46011</v>
      </c>
      <c r="AC9">
        <v>8</v>
      </c>
      <c r="AD9" t="s">
        <v>7311</v>
      </c>
      <c r="AE9">
        <v>0.2</v>
      </c>
      <c r="AF9" t="s">
        <v>3495</v>
      </c>
      <c r="AG9" s="1">
        <v>46005</v>
      </c>
      <c r="AH9">
        <v>3</v>
      </c>
      <c r="AJ9">
        <v>0</v>
      </c>
    </row>
    <row r="10" spans="1:36" x14ac:dyDescent="0.3">
      <c r="A10" t="s">
        <v>4636</v>
      </c>
      <c r="B10" s="1">
        <v>45997</v>
      </c>
      <c r="C10">
        <v>2025</v>
      </c>
      <c r="D10" s="1">
        <v>45992</v>
      </c>
      <c r="E10">
        <v>12</v>
      </c>
      <c r="F10" t="s">
        <v>4637</v>
      </c>
      <c r="G10" t="s">
        <v>7338</v>
      </c>
      <c r="H10" t="s">
        <v>71</v>
      </c>
      <c r="I10" t="s">
        <v>7229</v>
      </c>
      <c r="J10" t="s">
        <v>7224</v>
      </c>
      <c r="K10" t="s">
        <v>102</v>
      </c>
      <c r="L10" t="s">
        <v>65</v>
      </c>
      <c r="M10" t="s">
        <v>125</v>
      </c>
      <c r="N10" t="s">
        <v>7194</v>
      </c>
      <c r="O10" t="s">
        <v>7195</v>
      </c>
      <c r="P10">
        <v>1</v>
      </c>
      <c r="Q10">
        <v>899</v>
      </c>
      <c r="R10">
        <v>0.3</v>
      </c>
      <c r="S10">
        <v>899</v>
      </c>
      <c r="T10">
        <v>269.7</v>
      </c>
      <c r="U10">
        <v>629.29999999999995</v>
      </c>
      <c r="V10">
        <v>378</v>
      </c>
      <c r="W10">
        <v>378</v>
      </c>
      <c r="X10">
        <v>60</v>
      </c>
      <c r="Y10">
        <v>191.29999999999995</v>
      </c>
      <c r="Z10">
        <v>0.30398855871603364</v>
      </c>
      <c r="AA10">
        <v>15</v>
      </c>
      <c r="AB10" s="1">
        <v>45764</v>
      </c>
      <c r="AC10">
        <v>-233</v>
      </c>
      <c r="AD10" t="s">
        <v>7309</v>
      </c>
      <c r="AE10">
        <v>0.15</v>
      </c>
      <c r="AF10" t="s">
        <v>4450</v>
      </c>
      <c r="AG10" s="1">
        <v>46001</v>
      </c>
      <c r="AJ10">
        <v>0</v>
      </c>
    </row>
    <row r="11" spans="1:36" x14ac:dyDescent="0.3">
      <c r="A11" t="s">
        <v>6033</v>
      </c>
      <c r="B11" s="1">
        <v>45994</v>
      </c>
      <c r="C11">
        <v>2025</v>
      </c>
      <c r="D11" s="1">
        <v>45992</v>
      </c>
      <c r="E11">
        <v>12</v>
      </c>
      <c r="F11" t="s">
        <v>6034</v>
      </c>
      <c r="G11" t="s">
        <v>7338</v>
      </c>
      <c r="H11" t="s">
        <v>59</v>
      </c>
      <c r="I11" t="s">
        <v>7237</v>
      </c>
      <c r="J11" t="s">
        <v>7231</v>
      </c>
      <c r="K11" t="s">
        <v>64</v>
      </c>
      <c r="L11" t="s">
        <v>65</v>
      </c>
      <c r="M11" t="s">
        <v>24</v>
      </c>
      <c r="N11" t="s">
        <v>7197</v>
      </c>
      <c r="O11" t="s">
        <v>7195</v>
      </c>
      <c r="P11">
        <v>2</v>
      </c>
      <c r="Q11">
        <v>699</v>
      </c>
      <c r="R11">
        <v>0.05</v>
      </c>
      <c r="S11">
        <v>1398</v>
      </c>
      <c r="T11">
        <v>69.900000000000006</v>
      </c>
      <c r="U11">
        <v>1328.1</v>
      </c>
      <c r="V11">
        <v>245</v>
      </c>
      <c r="W11">
        <v>490</v>
      </c>
      <c r="X11">
        <v>60</v>
      </c>
      <c r="Y11">
        <v>778.09999999999991</v>
      </c>
      <c r="Z11">
        <v>0.58587455763873197</v>
      </c>
      <c r="AA11">
        <v>0.25</v>
      </c>
      <c r="AB11" s="1">
        <v>45925</v>
      </c>
      <c r="AC11">
        <v>-69</v>
      </c>
      <c r="AD11" t="s">
        <v>7309</v>
      </c>
      <c r="AE11">
        <v>0.25</v>
      </c>
      <c r="AF11" t="s">
        <v>18</v>
      </c>
      <c r="AG11" s="1">
        <v>45998</v>
      </c>
      <c r="AI11" t="s">
        <v>7349</v>
      </c>
      <c r="AJ11">
        <v>0</v>
      </c>
    </row>
    <row r="12" spans="1:36" x14ac:dyDescent="0.3">
      <c r="A12" t="s">
        <v>4882</v>
      </c>
      <c r="B12" s="1">
        <v>45974</v>
      </c>
      <c r="C12">
        <v>2025</v>
      </c>
      <c r="D12" s="1">
        <v>45962</v>
      </c>
      <c r="E12">
        <v>11</v>
      </c>
      <c r="F12" t="s">
        <v>2621</v>
      </c>
      <c r="G12" t="s">
        <v>7339</v>
      </c>
      <c r="H12" t="s">
        <v>167</v>
      </c>
      <c r="I12" t="s">
        <v>7234</v>
      </c>
      <c r="J12" t="s">
        <v>7231</v>
      </c>
      <c r="K12" t="s">
        <v>190</v>
      </c>
      <c r="L12" t="s">
        <v>65</v>
      </c>
      <c r="M12" t="s">
        <v>565</v>
      </c>
      <c r="N12" t="s">
        <v>7196</v>
      </c>
      <c r="O12" t="s">
        <v>7195</v>
      </c>
      <c r="P12">
        <v>2</v>
      </c>
      <c r="Q12">
        <v>2499</v>
      </c>
      <c r="R12">
        <v>0.15</v>
      </c>
      <c r="S12">
        <v>4998</v>
      </c>
      <c r="T12">
        <v>749.69999999999993</v>
      </c>
      <c r="U12">
        <v>4248.3</v>
      </c>
      <c r="V12">
        <v>1250</v>
      </c>
      <c r="W12">
        <v>2500</v>
      </c>
      <c r="X12">
        <v>60</v>
      </c>
      <c r="Y12">
        <v>1688.3000000000002</v>
      </c>
      <c r="Z12">
        <v>0.39740602123202223</v>
      </c>
      <c r="AA12">
        <v>0.4</v>
      </c>
      <c r="AB12" s="1">
        <v>45788</v>
      </c>
      <c r="AC12">
        <v>-186</v>
      </c>
      <c r="AD12" t="s">
        <v>7309</v>
      </c>
      <c r="AE12">
        <v>0.4</v>
      </c>
      <c r="AF12" t="s">
        <v>4450</v>
      </c>
      <c r="AG12" s="1">
        <v>45976</v>
      </c>
      <c r="AH12">
        <v>3</v>
      </c>
      <c r="AI12" t="s">
        <v>7350</v>
      </c>
      <c r="AJ12">
        <v>0</v>
      </c>
    </row>
    <row r="13" spans="1:36" x14ac:dyDescent="0.3">
      <c r="A13" t="s">
        <v>5997</v>
      </c>
      <c r="B13" s="1">
        <v>45968</v>
      </c>
      <c r="C13">
        <v>2025</v>
      </c>
      <c r="D13" s="1">
        <v>45962</v>
      </c>
      <c r="E13">
        <v>11</v>
      </c>
      <c r="F13" t="s">
        <v>1396</v>
      </c>
      <c r="G13" t="s">
        <v>7339</v>
      </c>
      <c r="H13" t="s">
        <v>123</v>
      </c>
      <c r="I13" t="s">
        <v>7227</v>
      </c>
      <c r="J13" t="s">
        <v>7221</v>
      </c>
      <c r="K13" t="s">
        <v>124</v>
      </c>
      <c r="L13" t="s">
        <v>65</v>
      </c>
      <c r="M13" t="s">
        <v>24</v>
      </c>
      <c r="N13" t="s">
        <v>7197</v>
      </c>
      <c r="O13" t="s">
        <v>7195</v>
      </c>
      <c r="P13">
        <v>2</v>
      </c>
      <c r="Q13">
        <v>699</v>
      </c>
      <c r="R13">
        <v>0.05</v>
      </c>
      <c r="S13">
        <v>1398</v>
      </c>
      <c r="T13">
        <v>69.900000000000006</v>
      </c>
      <c r="U13">
        <v>1328.1</v>
      </c>
      <c r="V13">
        <v>245</v>
      </c>
      <c r="W13">
        <v>490</v>
      </c>
      <c r="X13">
        <v>60</v>
      </c>
      <c r="Y13">
        <v>778.09999999999991</v>
      </c>
      <c r="Z13">
        <v>0.58587455763873197</v>
      </c>
      <c r="AA13">
        <v>35</v>
      </c>
      <c r="AB13" s="1">
        <v>45918</v>
      </c>
      <c r="AC13">
        <v>-50</v>
      </c>
      <c r="AD13" t="s">
        <v>7309</v>
      </c>
      <c r="AE13">
        <v>0.35</v>
      </c>
      <c r="AF13" t="s">
        <v>18</v>
      </c>
      <c r="AG13" s="1">
        <v>45975</v>
      </c>
      <c r="AI13" t="s">
        <v>7349</v>
      </c>
      <c r="AJ13">
        <v>0</v>
      </c>
    </row>
    <row r="14" spans="1:36" x14ac:dyDescent="0.3">
      <c r="A14" t="s">
        <v>4878</v>
      </c>
      <c r="B14" s="1">
        <v>45967</v>
      </c>
      <c r="C14">
        <v>2025</v>
      </c>
      <c r="D14" s="1">
        <v>45962</v>
      </c>
      <c r="E14">
        <v>11</v>
      </c>
      <c r="F14" t="s">
        <v>588</v>
      </c>
      <c r="G14" t="s">
        <v>7339</v>
      </c>
      <c r="H14" t="s">
        <v>59</v>
      </c>
      <c r="I14" t="s">
        <v>7237</v>
      </c>
      <c r="J14" t="s">
        <v>7231</v>
      </c>
      <c r="K14" t="s">
        <v>60</v>
      </c>
      <c r="L14" t="s">
        <v>65</v>
      </c>
      <c r="M14" t="s">
        <v>24</v>
      </c>
      <c r="N14" t="s">
        <v>7197</v>
      </c>
      <c r="O14" t="s">
        <v>7195</v>
      </c>
      <c r="P14">
        <v>2</v>
      </c>
      <c r="Q14">
        <v>699</v>
      </c>
      <c r="R14">
        <v>0.1</v>
      </c>
      <c r="S14">
        <v>1398</v>
      </c>
      <c r="T14">
        <v>139.80000000000001</v>
      </c>
      <c r="U14">
        <v>1258.2</v>
      </c>
      <c r="V14">
        <v>245</v>
      </c>
      <c r="W14">
        <v>490</v>
      </c>
      <c r="X14">
        <v>60</v>
      </c>
      <c r="Y14">
        <v>708.2</v>
      </c>
      <c r="Z14">
        <v>0.5628675886186616</v>
      </c>
      <c r="AA14">
        <v>0.45</v>
      </c>
      <c r="AB14" s="1">
        <v>45786</v>
      </c>
      <c r="AC14">
        <v>-181</v>
      </c>
      <c r="AD14" t="s">
        <v>7309</v>
      </c>
      <c r="AE14">
        <v>0.45</v>
      </c>
      <c r="AF14" t="s">
        <v>4450</v>
      </c>
      <c r="AG14" s="1">
        <v>45971</v>
      </c>
      <c r="AH14">
        <v>3</v>
      </c>
      <c r="AJ14">
        <v>0</v>
      </c>
    </row>
    <row r="15" spans="1:36" x14ac:dyDescent="0.3">
      <c r="A15" t="s">
        <v>7035</v>
      </c>
      <c r="B15" s="1">
        <v>45966</v>
      </c>
      <c r="C15">
        <v>2025</v>
      </c>
      <c r="D15" s="1">
        <v>45962</v>
      </c>
      <c r="E15">
        <v>11</v>
      </c>
      <c r="F15" t="s">
        <v>7036</v>
      </c>
      <c r="G15" t="s">
        <v>7338</v>
      </c>
      <c r="H15" t="s">
        <v>59</v>
      </c>
      <c r="I15" t="s">
        <v>7237</v>
      </c>
      <c r="J15" t="s">
        <v>7231</v>
      </c>
      <c r="K15" t="s">
        <v>64</v>
      </c>
      <c r="L15" t="s">
        <v>65</v>
      </c>
      <c r="M15" t="s">
        <v>84</v>
      </c>
      <c r="N15" t="s">
        <v>7198</v>
      </c>
      <c r="O15" t="s">
        <v>7195</v>
      </c>
      <c r="P15">
        <v>4</v>
      </c>
      <c r="Q15">
        <v>1299</v>
      </c>
      <c r="R15">
        <v>0.15</v>
      </c>
      <c r="S15">
        <v>5196</v>
      </c>
      <c r="T15">
        <v>779.4</v>
      </c>
      <c r="U15">
        <v>4416.6000000000004</v>
      </c>
      <c r="V15">
        <v>585</v>
      </c>
      <c r="W15">
        <v>2340</v>
      </c>
      <c r="X15">
        <v>60</v>
      </c>
      <c r="Y15">
        <v>2016.6000000000004</v>
      </c>
      <c r="Z15">
        <v>0.45659557125390576</v>
      </c>
      <c r="AA15">
        <v>0.15</v>
      </c>
      <c r="AB15" s="1">
        <v>46010</v>
      </c>
      <c r="AC15">
        <v>44</v>
      </c>
      <c r="AD15" t="s">
        <v>7311</v>
      </c>
      <c r="AE15">
        <v>0.15</v>
      </c>
      <c r="AF15" t="s">
        <v>3495</v>
      </c>
      <c r="AG15" s="1">
        <v>45970</v>
      </c>
      <c r="AH15">
        <v>3</v>
      </c>
      <c r="AI15" t="s">
        <v>7349</v>
      </c>
      <c r="AJ15">
        <v>0</v>
      </c>
    </row>
    <row r="16" spans="1:36" x14ac:dyDescent="0.3">
      <c r="A16" t="s">
        <v>4542</v>
      </c>
      <c r="B16" s="1">
        <v>45965</v>
      </c>
      <c r="C16">
        <v>2025</v>
      </c>
      <c r="D16" s="1">
        <v>45962</v>
      </c>
      <c r="E16">
        <v>11</v>
      </c>
      <c r="F16" t="s">
        <v>4543</v>
      </c>
      <c r="G16" t="s">
        <v>7339</v>
      </c>
      <c r="H16" t="s">
        <v>21</v>
      </c>
      <c r="I16" t="s">
        <v>7213</v>
      </c>
      <c r="J16" t="s">
        <v>7212</v>
      </c>
      <c r="K16" t="s">
        <v>260</v>
      </c>
      <c r="L16" t="s">
        <v>65</v>
      </c>
      <c r="M16" t="s">
        <v>125</v>
      </c>
      <c r="N16" t="s">
        <v>7194</v>
      </c>
      <c r="O16" t="s">
        <v>7195</v>
      </c>
      <c r="P16">
        <v>1</v>
      </c>
      <c r="Q16">
        <v>899</v>
      </c>
      <c r="R16">
        <v>0.2</v>
      </c>
      <c r="S16">
        <v>899</v>
      </c>
      <c r="T16">
        <v>179.8</v>
      </c>
      <c r="U16">
        <v>719.2</v>
      </c>
      <c r="V16">
        <v>378</v>
      </c>
      <c r="W16">
        <v>378</v>
      </c>
      <c r="X16">
        <v>60</v>
      </c>
      <c r="Y16">
        <v>281.20000000000005</v>
      </c>
      <c r="Z16">
        <v>0.39098998887652953</v>
      </c>
      <c r="AA16">
        <v>0.05</v>
      </c>
      <c r="AB16" s="1">
        <v>45757</v>
      </c>
      <c r="AC16">
        <v>-208</v>
      </c>
      <c r="AD16" t="s">
        <v>7309</v>
      </c>
      <c r="AE16">
        <v>0.05</v>
      </c>
      <c r="AF16" t="s">
        <v>4450</v>
      </c>
      <c r="AG16" s="1">
        <v>45968</v>
      </c>
      <c r="AH16">
        <v>4</v>
      </c>
      <c r="AI16" t="s">
        <v>7348</v>
      </c>
      <c r="AJ16">
        <v>0</v>
      </c>
    </row>
    <row r="17" spans="1:36" x14ac:dyDescent="0.3">
      <c r="A17" t="s">
        <v>7127</v>
      </c>
      <c r="B17" s="1">
        <v>45963</v>
      </c>
      <c r="C17">
        <v>2025</v>
      </c>
      <c r="D17" s="1">
        <v>45962</v>
      </c>
      <c r="E17">
        <v>11</v>
      </c>
      <c r="F17" t="s">
        <v>7128</v>
      </c>
      <c r="G17" t="s">
        <v>7338</v>
      </c>
      <c r="H17" t="s">
        <v>54</v>
      </c>
      <c r="I17" t="s">
        <v>7216</v>
      </c>
      <c r="J17" t="s">
        <v>7212</v>
      </c>
      <c r="K17" t="s">
        <v>227</v>
      </c>
      <c r="L17" t="s">
        <v>65</v>
      </c>
      <c r="M17" t="s">
        <v>24</v>
      </c>
      <c r="N17" t="s">
        <v>7197</v>
      </c>
      <c r="O17" t="s">
        <v>7195</v>
      </c>
      <c r="P17">
        <v>4</v>
      </c>
      <c r="Q17">
        <v>699</v>
      </c>
      <c r="R17">
        <v>0.2</v>
      </c>
      <c r="S17">
        <v>2796</v>
      </c>
      <c r="T17">
        <v>559.20000000000005</v>
      </c>
      <c r="U17">
        <v>2236.8000000000002</v>
      </c>
      <c r="V17">
        <v>245</v>
      </c>
      <c r="W17">
        <v>980</v>
      </c>
      <c r="X17">
        <v>60</v>
      </c>
      <c r="Y17">
        <v>1196.8000000000002</v>
      </c>
      <c r="Z17">
        <v>0.53505007153075823</v>
      </c>
      <c r="AA17">
        <v>0.35</v>
      </c>
      <c r="AB17" s="1">
        <v>46020</v>
      </c>
      <c r="AC17">
        <v>57</v>
      </c>
      <c r="AD17" t="s">
        <v>7311</v>
      </c>
      <c r="AE17">
        <v>0.35</v>
      </c>
      <c r="AF17" t="s">
        <v>18</v>
      </c>
      <c r="AG17" s="1">
        <v>45966</v>
      </c>
      <c r="AH17">
        <v>4</v>
      </c>
      <c r="AI17" t="s">
        <v>7348</v>
      </c>
      <c r="AJ17">
        <v>0</v>
      </c>
    </row>
    <row r="18" spans="1:36" x14ac:dyDescent="0.3">
      <c r="A18" t="s">
        <v>4055</v>
      </c>
      <c r="B18" s="1">
        <v>45963</v>
      </c>
      <c r="C18">
        <v>2025</v>
      </c>
      <c r="D18" s="1">
        <v>45962</v>
      </c>
      <c r="E18">
        <v>11</v>
      </c>
      <c r="F18" t="s">
        <v>4056</v>
      </c>
      <c r="G18" t="s">
        <v>7339</v>
      </c>
      <c r="H18" t="s">
        <v>275</v>
      </c>
      <c r="I18" t="s">
        <v>7235</v>
      </c>
      <c r="J18" t="s">
        <v>7231</v>
      </c>
      <c r="K18" t="s">
        <v>276</v>
      </c>
      <c r="L18" t="s">
        <v>65</v>
      </c>
      <c r="M18" t="s">
        <v>125</v>
      </c>
      <c r="N18" t="s">
        <v>7194</v>
      </c>
      <c r="O18" t="s">
        <v>7195</v>
      </c>
      <c r="P18">
        <v>1</v>
      </c>
      <c r="Q18">
        <v>899</v>
      </c>
      <c r="R18">
        <v>0.15</v>
      </c>
      <c r="S18">
        <v>899</v>
      </c>
      <c r="T18">
        <v>134.85</v>
      </c>
      <c r="U18">
        <v>764.15</v>
      </c>
      <c r="V18">
        <v>378</v>
      </c>
      <c r="W18">
        <v>378</v>
      </c>
      <c r="X18">
        <v>60</v>
      </c>
      <c r="Y18">
        <v>326.14999999999998</v>
      </c>
      <c r="Z18">
        <v>0.42681410717791007</v>
      </c>
      <c r="AA18">
        <v>30</v>
      </c>
      <c r="AB18" s="1">
        <v>45706</v>
      </c>
      <c r="AC18">
        <v>-257</v>
      </c>
      <c r="AD18" t="s">
        <v>7309</v>
      </c>
      <c r="AE18">
        <v>0.3</v>
      </c>
      <c r="AF18" t="s">
        <v>3495</v>
      </c>
      <c r="AG18" s="1">
        <v>45967</v>
      </c>
      <c r="AH18">
        <v>5</v>
      </c>
      <c r="AI18" t="s">
        <v>7348</v>
      </c>
      <c r="AJ18">
        <v>0</v>
      </c>
    </row>
    <row r="19" spans="1:36" x14ac:dyDescent="0.3">
      <c r="A19" t="s">
        <v>3817</v>
      </c>
      <c r="B19" s="1">
        <v>45959</v>
      </c>
      <c r="C19">
        <v>2025</v>
      </c>
      <c r="D19" s="1">
        <v>45931</v>
      </c>
      <c r="E19">
        <v>10</v>
      </c>
      <c r="F19" t="s">
        <v>3818</v>
      </c>
      <c r="G19" t="s">
        <v>7338</v>
      </c>
      <c r="H19" t="s">
        <v>76</v>
      </c>
      <c r="I19" t="s">
        <v>7219</v>
      </c>
      <c r="J19" t="s">
        <v>7212</v>
      </c>
      <c r="K19" t="s">
        <v>118</v>
      </c>
      <c r="L19" t="s">
        <v>65</v>
      </c>
      <c r="M19" t="s">
        <v>84</v>
      </c>
      <c r="N19" t="s">
        <v>7198</v>
      </c>
      <c r="O19" t="s">
        <v>7195</v>
      </c>
      <c r="P19">
        <v>1</v>
      </c>
      <c r="Q19">
        <v>1299</v>
      </c>
      <c r="R19">
        <v>0.2</v>
      </c>
      <c r="S19">
        <v>1299</v>
      </c>
      <c r="T19">
        <v>259.8</v>
      </c>
      <c r="U19">
        <v>1039.2</v>
      </c>
      <c r="V19">
        <v>585</v>
      </c>
      <c r="W19">
        <v>585</v>
      </c>
      <c r="X19">
        <v>60</v>
      </c>
      <c r="Y19">
        <v>394.20000000000005</v>
      </c>
      <c r="Z19">
        <v>0.37933025404157045</v>
      </c>
      <c r="AA19">
        <v>0.2</v>
      </c>
      <c r="AB19" s="1">
        <v>45679</v>
      </c>
      <c r="AC19">
        <v>-280</v>
      </c>
      <c r="AD19" t="s">
        <v>7309</v>
      </c>
      <c r="AE19">
        <v>0.2</v>
      </c>
      <c r="AF19" t="s">
        <v>3495</v>
      </c>
      <c r="AG19" s="1">
        <v>45965</v>
      </c>
      <c r="AJ19">
        <v>0</v>
      </c>
    </row>
    <row r="20" spans="1:36" x14ac:dyDescent="0.3">
      <c r="A20" t="s">
        <v>6736</v>
      </c>
      <c r="B20" s="1">
        <v>45956</v>
      </c>
      <c r="C20">
        <v>2025</v>
      </c>
      <c r="D20" s="1">
        <v>45931</v>
      </c>
      <c r="E20">
        <v>10</v>
      </c>
      <c r="F20" t="s">
        <v>3377</v>
      </c>
      <c r="G20" t="s">
        <v>7339</v>
      </c>
      <c r="H20" t="s">
        <v>128</v>
      </c>
      <c r="I20" t="s">
        <v>7218</v>
      </c>
      <c r="J20" t="s">
        <v>7212</v>
      </c>
      <c r="K20" t="s">
        <v>129</v>
      </c>
      <c r="L20" t="s">
        <v>65</v>
      </c>
      <c r="M20" t="s">
        <v>84</v>
      </c>
      <c r="N20" t="s">
        <v>7198</v>
      </c>
      <c r="O20" t="s">
        <v>7195</v>
      </c>
      <c r="P20">
        <v>3</v>
      </c>
      <c r="Q20">
        <v>1299</v>
      </c>
      <c r="R20">
        <v>0.5</v>
      </c>
      <c r="S20">
        <v>3897</v>
      </c>
      <c r="T20">
        <v>1948.5</v>
      </c>
      <c r="U20">
        <v>1948.5</v>
      </c>
      <c r="V20">
        <v>585</v>
      </c>
      <c r="W20">
        <v>1755</v>
      </c>
      <c r="X20">
        <v>60</v>
      </c>
      <c r="Y20">
        <v>133.5</v>
      </c>
      <c r="Z20">
        <v>6.8514241724403388E-2</v>
      </c>
      <c r="AA20">
        <v>0.1</v>
      </c>
      <c r="AB20" s="1">
        <v>45980</v>
      </c>
      <c r="AC20">
        <v>24</v>
      </c>
      <c r="AD20" t="s">
        <v>7311</v>
      </c>
      <c r="AE20">
        <v>0.1</v>
      </c>
      <c r="AF20" t="s">
        <v>2522</v>
      </c>
      <c r="AG20" s="1">
        <v>45958</v>
      </c>
      <c r="AH20">
        <v>4</v>
      </c>
      <c r="AI20" t="s">
        <v>7348</v>
      </c>
      <c r="AJ20">
        <v>0</v>
      </c>
    </row>
    <row r="21" spans="1:36" x14ac:dyDescent="0.3">
      <c r="A21" t="s">
        <v>6216</v>
      </c>
      <c r="B21" s="1">
        <v>45956</v>
      </c>
      <c r="C21">
        <v>2025</v>
      </c>
      <c r="D21" s="1">
        <v>45931</v>
      </c>
      <c r="E21">
        <v>10</v>
      </c>
      <c r="F21" t="s">
        <v>5241</v>
      </c>
      <c r="G21" t="s">
        <v>7339</v>
      </c>
      <c r="H21" t="s">
        <v>95</v>
      </c>
      <c r="I21" t="s">
        <v>7230</v>
      </c>
      <c r="J21" t="s">
        <v>7231</v>
      </c>
      <c r="K21" t="s">
        <v>96</v>
      </c>
      <c r="L21" t="s">
        <v>65</v>
      </c>
      <c r="M21" t="s">
        <v>24</v>
      </c>
      <c r="N21" t="s">
        <v>7197</v>
      </c>
      <c r="O21" t="s">
        <v>7195</v>
      </c>
      <c r="P21">
        <v>2</v>
      </c>
      <c r="Q21">
        <v>699</v>
      </c>
      <c r="R21">
        <v>0.1</v>
      </c>
      <c r="S21">
        <v>1398</v>
      </c>
      <c r="T21">
        <v>139.80000000000001</v>
      </c>
      <c r="U21">
        <v>1258.2</v>
      </c>
      <c r="V21">
        <v>245</v>
      </c>
      <c r="W21">
        <v>490</v>
      </c>
      <c r="X21">
        <v>60</v>
      </c>
      <c r="Y21">
        <v>708.2</v>
      </c>
      <c r="Z21">
        <v>0.5628675886186616</v>
      </c>
      <c r="AA21">
        <v>0.35</v>
      </c>
      <c r="AB21" s="1">
        <v>45941</v>
      </c>
      <c r="AC21">
        <v>-15</v>
      </c>
      <c r="AD21" t="s">
        <v>7309</v>
      </c>
      <c r="AE21">
        <v>0.35</v>
      </c>
      <c r="AF21" t="s">
        <v>18</v>
      </c>
      <c r="AG21" s="1">
        <v>45959</v>
      </c>
      <c r="AH21">
        <v>4</v>
      </c>
      <c r="AI21" t="s">
        <v>7348</v>
      </c>
      <c r="AJ21">
        <v>0</v>
      </c>
    </row>
    <row r="22" spans="1:36" x14ac:dyDescent="0.3">
      <c r="A22" t="s">
        <v>875</v>
      </c>
      <c r="B22" s="1">
        <v>45950</v>
      </c>
      <c r="C22">
        <v>2025</v>
      </c>
      <c r="D22" s="1">
        <v>45931</v>
      </c>
      <c r="E22">
        <v>10</v>
      </c>
      <c r="F22" t="s">
        <v>479</v>
      </c>
      <c r="G22" t="s">
        <v>7339</v>
      </c>
      <c r="H22" t="s">
        <v>71</v>
      </c>
      <c r="I22" t="s">
        <v>7229</v>
      </c>
      <c r="J22" t="s">
        <v>7224</v>
      </c>
      <c r="K22" t="s">
        <v>102</v>
      </c>
      <c r="L22" t="s">
        <v>65</v>
      </c>
      <c r="M22" t="s">
        <v>84</v>
      </c>
      <c r="N22" t="s">
        <v>7198</v>
      </c>
      <c r="O22" t="s">
        <v>7195</v>
      </c>
      <c r="P22">
        <v>1</v>
      </c>
      <c r="Q22">
        <v>1299</v>
      </c>
      <c r="R22">
        <v>0.15</v>
      </c>
      <c r="S22">
        <v>1299</v>
      </c>
      <c r="T22">
        <v>194.85</v>
      </c>
      <c r="U22">
        <v>1104.1500000000001</v>
      </c>
      <c r="V22">
        <v>585</v>
      </c>
      <c r="W22">
        <v>585</v>
      </c>
      <c r="X22">
        <v>60</v>
      </c>
      <c r="Y22">
        <v>459.15000000000009</v>
      </c>
      <c r="Z22">
        <v>0.41584023909794871</v>
      </c>
      <c r="AA22">
        <v>5</v>
      </c>
      <c r="AB22" s="1">
        <v>45377</v>
      </c>
      <c r="AC22">
        <v>-573</v>
      </c>
      <c r="AD22" t="s">
        <v>7309</v>
      </c>
      <c r="AE22">
        <v>0.05</v>
      </c>
      <c r="AF22" t="s">
        <v>18</v>
      </c>
      <c r="AG22" s="1">
        <v>45952</v>
      </c>
      <c r="AH22">
        <v>4</v>
      </c>
      <c r="AI22" t="s">
        <v>7349</v>
      </c>
      <c r="AJ22">
        <v>0</v>
      </c>
    </row>
    <row r="23" spans="1:36" x14ac:dyDescent="0.3">
      <c r="A23" t="s">
        <v>6212</v>
      </c>
      <c r="B23" s="1">
        <v>45946</v>
      </c>
      <c r="C23">
        <v>2025</v>
      </c>
      <c r="D23" s="1">
        <v>45931</v>
      </c>
      <c r="E23">
        <v>10</v>
      </c>
      <c r="F23" t="s">
        <v>6213</v>
      </c>
      <c r="G23" t="s">
        <v>7338</v>
      </c>
      <c r="H23" t="s">
        <v>76</v>
      </c>
      <c r="I23" t="s">
        <v>7219</v>
      </c>
      <c r="J23" t="s">
        <v>7212</v>
      </c>
      <c r="K23" t="s">
        <v>77</v>
      </c>
      <c r="L23" t="s">
        <v>65</v>
      </c>
      <c r="M23" t="s">
        <v>125</v>
      </c>
      <c r="N23" t="s">
        <v>7194</v>
      </c>
      <c r="O23" t="s">
        <v>7195</v>
      </c>
      <c r="P23">
        <v>2</v>
      </c>
      <c r="Q23">
        <v>899</v>
      </c>
      <c r="R23">
        <v>0.5</v>
      </c>
      <c r="S23">
        <v>1798</v>
      </c>
      <c r="T23">
        <v>899</v>
      </c>
      <c r="U23">
        <v>899</v>
      </c>
      <c r="V23">
        <v>378</v>
      </c>
      <c r="W23">
        <v>756</v>
      </c>
      <c r="X23">
        <v>60</v>
      </c>
      <c r="Y23">
        <v>83</v>
      </c>
      <c r="Z23">
        <v>9.2324805339265847E-2</v>
      </c>
      <c r="AA23">
        <v>0.3</v>
      </c>
      <c r="AB23" s="1">
        <v>45943</v>
      </c>
      <c r="AC23">
        <v>-3</v>
      </c>
      <c r="AD23" t="s">
        <v>7309</v>
      </c>
      <c r="AE23">
        <v>0.3</v>
      </c>
      <c r="AF23" t="s">
        <v>18</v>
      </c>
      <c r="AG23" s="1">
        <v>45950</v>
      </c>
      <c r="AH23">
        <v>4</v>
      </c>
      <c r="AI23" t="s">
        <v>7348</v>
      </c>
      <c r="AJ23">
        <v>0</v>
      </c>
    </row>
    <row r="24" spans="1:36" x14ac:dyDescent="0.3">
      <c r="A24" t="s">
        <v>2845</v>
      </c>
      <c r="B24" s="1">
        <v>45946</v>
      </c>
      <c r="C24">
        <v>2025</v>
      </c>
      <c r="D24" s="1">
        <v>45931</v>
      </c>
      <c r="E24">
        <v>10</v>
      </c>
      <c r="F24" t="s">
        <v>325</v>
      </c>
      <c r="G24" t="s">
        <v>7339</v>
      </c>
      <c r="H24" t="s">
        <v>37</v>
      </c>
      <c r="I24" t="s">
        <v>7223</v>
      </c>
      <c r="J24" t="s">
        <v>7224</v>
      </c>
      <c r="K24" t="s">
        <v>247</v>
      </c>
      <c r="L24" t="s">
        <v>65</v>
      </c>
      <c r="M24" t="s">
        <v>125</v>
      </c>
      <c r="N24" t="s">
        <v>7194</v>
      </c>
      <c r="O24" t="s">
        <v>7195</v>
      </c>
      <c r="P24">
        <v>1</v>
      </c>
      <c r="Q24">
        <v>899</v>
      </c>
      <c r="R24">
        <v>0.2</v>
      </c>
      <c r="S24">
        <v>899</v>
      </c>
      <c r="T24">
        <v>179.8</v>
      </c>
      <c r="U24">
        <v>719.2</v>
      </c>
      <c r="V24">
        <v>378</v>
      </c>
      <c r="W24">
        <v>378</v>
      </c>
      <c r="X24">
        <v>60</v>
      </c>
      <c r="Y24">
        <v>281.20000000000005</v>
      </c>
      <c r="Z24">
        <v>0.39098998887652953</v>
      </c>
      <c r="AA24">
        <v>0.1</v>
      </c>
      <c r="AB24" s="1">
        <v>45586</v>
      </c>
      <c r="AC24">
        <v>-360</v>
      </c>
      <c r="AD24" t="s">
        <v>7309</v>
      </c>
      <c r="AE24">
        <v>0.1</v>
      </c>
      <c r="AF24" t="s">
        <v>2522</v>
      </c>
      <c r="AG24" s="1">
        <v>45952</v>
      </c>
      <c r="AH24">
        <v>3</v>
      </c>
      <c r="AI24" t="s">
        <v>7349</v>
      </c>
      <c r="AJ24">
        <v>0</v>
      </c>
    </row>
    <row r="25" spans="1:36" x14ac:dyDescent="0.3">
      <c r="A25" t="s">
        <v>7121</v>
      </c>
      <c r="B25" s="1">
        <v>45945</v>
      </c>
      <c r="C25">
        <v>2025</v>
      </c>
      <c r="D25" s="1">
        <v>45931</v>
      </c>
      <c r="E25">
        <v>10</v>
      </c>
      <c r="F25" t="s">
        <v>2676</v>
      </c>
      <c r="G25" t="s">
        <v>7339</v>
      </c>
      <c r="H25" t="s">
        <v>76</v>
      </c>
      <c r="I25" t="s">
        <v>7219</v>
      </c>
      <c r="J25" t="s">
        <v>7212</v>
      </c>
      <c r="K25" t="s">
        <v>118</v>
      </c>
      <c r="L25" t="s">
        <v>65</v>
      </c>
      <c r="M25" t="s">
        <v>24</v>
      </c>
      <c r="N25" t="s">
        <v>7197</v>
      </c>
      <c r="O25" t="s">
        <v>7195</v>
      </c>
      <c r="P25">
        <v>4</v>
      </c>
      <c r="Q25">
        <v>699</v>
      </c>
      <c r="R25">
        <v>0.2</v>
      </c>
      <c r="S25">
        <v>2796</v>
      </c>
      <c r="T25">
        <v>559.20000000000005</v>
      </c>
      <c r="U25">
        <v>2236.8000000000002</v>
      </c>
      <c r="V25">
        <v>245</v>
      </c>
      <c r="W25">
        <v>980</v>
      </c>
      <c r="X25">
        <v>60</v>
      </c>
      <c r="Y25">
        <v>1196.8000000000002</v>
      </c>
      <c r="Z25">
        <v>0.53505007153075823</v>
      </c>
      <c r="AA25">
        <v>0.3</v>
      </c>
      <c r="AB25" s="1">
        <v>46020</v>
      </c>
      <c r="AC25">
        <v>75</v>
      </c>
      <c r="AD25" t="s">
        <v>7311</v>
      </c>
      <c r="AE25">
        <v>0.3</v>
      </c>
      <c r="AF25" t="s">
        <v>18</v>
      </c>
      <c r="AG25" s="1">
        <v>45949</v>
      </c>
      <c r="AH25">
        <v>4</v>
      </c>
      <c r="AI25" t="s">
        <v>7348</v>
      </c>
      <c r="AJ25">
        <v>0</v>
      </c>
    </row>
    <row r="26" spans="1:36" x14ac:dyDescent="0.3">
      <c r="A26" t="s">
        <v>4053</v>
      </c>
      <c r="B26" s="1">
        <v>45943</v>
      </c>
      <c r="C26">
        <v>2025</v>
      </c>
      <c r="D26" s="1">
        <v>45931</v>
      </c>
      <c r="E26">
        <v>10</v>
      </c>
      <c r="F26" t="s">
        <v>4054</v>
      </c>
      <c r="G26" t="s">
        <v>7339</v>
      </c>
      <c r="H26" t="s">
        <v>54</v>
      </c>
      <c r="I26" t="s">
        <v>7216</v>
      </c>
      <c r="J26" t="s">
        <v>7212</v>
      </c>
      <c r="K26" t="s">
        <v>227</v>
      </c>
      <c r="L26" t="s">
        <v>65</v>
      </c>
      <c r="M26" t="s">
        <v>84</v>
      </c>
      <c r="N26" t="s">
        <v>7198</v>
      </c>
      <c r="O26" t="s">
        <v>7195</v>
      </c>
      <c r="P26">
        <v>1</v>
      </c>
      <c r="Q26">
        <v>1299</v>
      </c>
      <c r="R26">
        <v>0.2</v>
      </c>
      <c r="S26">
        <v>1299</v>
      </c>
      <c r="T26">
        <v>259.8</v>
      </c>
      <c r="U26">
        <v>1039.2</v>
      </c>
      <c r="V26">
        <v>585</v>
      </c>
      <c r="W26">
        <v>585</v>
      </c>
      <c r="X26">
        <v>60</v>
      </c>
      <c r="Y26">
        <v>394.20000000000005</v>
      </c>
      <c r="Z26">
        <v>0.37933025404157045</v>
      </c>
      <c r="AA26">
        <v>0.2</v>
      </c>
      <c r="AB26" s="1">
        <v>45703</v>
      </c>
      <c r="AC26">
        <v>-240</v>
      </c>
      <c r="AD26" t="s">
        <v>7309</v>
      </c>
      <c r="AE26">
        <v>0.2</v>
      </c>
      <c r="AF26" t="s">
        <v>3495</v>
      </c>
      <c r="AG26" s="1">
        <v>45947</v>
      </c>
      <c r="AH26">
        <v>5</v>
      </c>
      <c r="AJ26">
        <v>0</v>
      </c>
    </row>
    <row r="27" spans="1:36" x14ac:dyDescent="0.3">
      <c r="A27" t="s">
        <v>5243</v>
      </c>
      <c r="B27" s="1">
        <v>45942</v>
      </c>
      <c r="C27">
        <v>2025</v>
      </c>
      <c r="D27" s="1">
        <v>45931</v>
      </c>
      <c r="E27">
        <v>10</v>
      </c>
      <c r="F27" t="s">
        <v>2049</v>
      </c>
      <c r="G27" t="s">
        <v>7339</v>
      </c>
      <c r="H27" t="s">
        <v>32</v>
      </c>
      <c r="I27" t="s">
        <v>7220</v>
      </c>
      <c r="J27" t="s">
        <v>7221</v>
      </c>
      <c r="K27" t="s">
        <v>33</v>
      </c>
      <c r="L27" t="s">
        <v>65</v>
      </c>
      <c r="M27" t="s">
        <v>24</v>
      </c>
      <c r="N27" t="s">
        <v>7197</v>
      </c>
      <c r="O27" t="s">
        <v>7195</v>
      </c>
      <c r="P27">
        <v>2</v>
      </c>
      <c r="Q27">
        <v>699</v>
      </c>
      <c r="R27">
        <v>0.1</v>
      </c>
      <c r="S27">
        <v>1398</v>
      </c>
      <c r="T27">
        <v>139.80000000000001</v>
      </c>
      <c r="U27">
        <v>1258.2</v>
      </c>
      <c r="V27">
        <v>245</v>
      </c>
      <c r="W27">
        <v>490</v>
      </c>
      <c r="X27">
        <v>60</v>
      </c>
      <c r="Y27">
        <v>708.2</v>
      </c>
      <c r="Z27">
        <v>0.5628675886186616</v>
      </c>
      <c r="AA27">
        <v>0.4</v>
      </c>
      <c r="AB27" s="1">
        <v>45833</v>
      </c>
      <c r="AC27">
        <v>-109</v>
      </c>
      <c r="AD27" t="s">
        <v>7309</v>
      </c>
      <c r="AE27">
        <v>0.4</v>
      </c>
      <c r="AF27" t="s">
        <v>3495</v>
      </c>
      <c r="AG27" s="1">
        <v>45945</v>
      </c>
      <c r="AH27">
        <v>4</v>
      </c>
      <c r="AI27" t="s">
        <v>7350</v>
      </c>
      <c r="AJ27">
        <v>0</v>
      </c>
    </row>
    <row r="28" spans="1:36" x14ac:dyDescent="0.3">
      <c r="A28" t="s">
        <v>6628</v>
      </c>
      <c r="B28" s="1">
        <v>45939</v>
      </c>
      <c r="C28">
        <v>2025</v>
      </c>
      <c r="D28" s="1">
        <v>45931</v>
      </c>
      <c r="E28">
        <v>10</v>
      </c>
      <c r="F28" t="s">
        <v>2981</v>
      </c>
      <c r="G28" t="s">
        <v>7339</v>
      </c>
      <c r="H28" t="s">
        <v>43</v>
      </c>
      <c r="I28" t="s">
        <v>7225</v>
      </c>
      <c r="J28" t="s">
        <v>7224</v>
      </c>
      <c r="K28" t="s">
        <v>250</v>
      </c>
      <c r="L28" t="s">
        <v>65</v>
      </c>
      <c r="M28" t="s">
        <v>24</v>
      </c>
      <c r="N28" t="s">
        <v>7197</v>
      </c>
      <c r="O28" t="s">
        <v>7195</v>
      </c>
      <c r="P28">
        <v>3</v>
      </c>
      <c r="Q28">
        <v>699</v>
      </c>
      <c r="R28">
        <v>0.25</v>
      </c>
      <c r="S28">
        <v>2097</v>
      </c>
      <c r="T28">
        <v>524.25</v>
      </c>
      <c r="U28">
        <v>1572.75</v>
      </c>
      <c r="V28">
        <v>245</v>
      </c>
      <c r="W28">
        <v>735</v>
      </c>
      <c r="X28">
        <v>60</v>
      </c>
      <c r="Y28">
        <v>777.75</v>
      </c>
      <c r="Z28">
        <v>0.49451597520267049</v>
      </c>
      <c r="AA28">
        <v>0.35</v>
      </c>
      <c r="AB28" s="1">
        <v>45974</v>
      </c>
      <c r="AC28">
        <v>35</v>
      </c>
      <c r="AD28" t="s">
        <v>7311</v>
      </c>
      <c r="AE28">
        <v>0.35</v>
      </c>
      <c r="AF28" t="s">
        <v>18</v>
      </c>
      <c r="AG28" s="1">
        <v>45944</v>
      </c>
      <c r="AH28">
        <v>4</v>
      </c>
      <c r="AJ28">
        <v>0</v>
      </c>
    </row>
    <row r="29" spans="1:36" x14ac:dyDescent="0.3">
      <c r="A29" t="s">
        <v>6208</v>
      </c>
      <c r="B29" s="1">
        <v>45935</v>
      </c>
      <c r="C29">
        <v>2025</v>
      </c>
      <c r="D29" s="1">
        <v>45931</v>
      </c>
      <c r="E29">
        <v>10</v>
      </c>
      <c r="F29" t="s">
        <v>3421</v>
      </c>
      <c r="G29" t="s">
        <v>7339</v>
      </c>
      <c r="H29" t="s">
        <v>132</v>
      </c>
      <c r="I29" t="s">
        <v>7222</v>
      </c>
      <c r="J29" t="s">
        <v>7221</v>
      </c>
      <c r="K29" t="s">
        <v>133</v>
      </c>
      <c r="L29" t="s">
        <v>65</v>
      </c>
      <c r="M29" t="s">
        <v>24</v>
      </c>
      <c r="N29" t="s">
        <v>7197</v>
      </c>
      <c r="O29" t="s">
        <v>7195</v>
      </c>
      <c r="P29">
        <v>2</v>
      </c>
      <c r="Q29">
        <v>699</v>
      </c>
      <c r="R29">
        <v>0.1</v>
      </c>
      <c r="S29">
        <v>1398</v>
      </c>
      <c r="T29">
        <v>139.80000000000001</v>
      </c>
      <c r="U29">
        <v>1258.2</v>
      </c>
      <c r="V29">
        <v>245</v>
      </c>
      <c r="W29">
        <v>490</v>
      </c>
      <c r="X29">
        <v>60</v>
      </c>
      <c r="Y29">
        <v>708.2</v>
      </c>
      <c r="Z29">
        <v>0.5628675886186616</v>
      </c>
      <c r="AA29">
        <v>0.4</v>
      </c>
      <c r="AB29" s="1">
        <v>45940</v>
      </c>
      <c r="AC29">
        <v>5</v>
      </c>
      <c r="AD29" t="s">
        <v>7311</v>
      </c>
      <c r="AE29">
        <v>0.4</v>
      </c>
      <c r="AF29" t="s">
        <v>18</v>
      </c>
      <c r="AG29" s="1">
        <v>45940</v>
      </c>
      <c r="AH29">
        <v>4</v>
      </c>
      <c r="AI29" t="s">
        <v>7349</v>
      </c>
      <c r="AJ29">
        <v>0</v>
      </c>
    </row>
    <row r="30" spans="1:36" x14ac:dyDescent="0.3">
      <c r="A30" t="s">
        <v>6621</v>
      </c>
      <c r="B30" s="1">
        <v>45932</v>
      </c>
      <c r="C30">
        <v>2025</v>
      </c>
      <c r="D30" s="1">
        <v>45931</v>
      </c>
      <c r="E30">
        <v>10</v>
      </c>
      <c r="F30" t="s">
        <v>3573</v>
      </c>
      <c r="G30" t="s">
        <v>7339</v>
      </c>
      <c r="H30" t="s">
        <v>71</v>
      </c>
      <c r="I30" t="s">
        <v>7229</v>
      </c>
      <c r="J30" t="s">
        <v>7224</v>
      </c>
      <c r="K30" t="s">
        <v>81</v>
      </c>
      <c r="L30" t="s">
        <v>65</v>
      </c>
      <c r="M30" t="s">
        <v>24</v>
      </c>
      <c r="N30" t="s">
        <v>7197</v>
      </c>
      <c r="O30" t="s">
        <v>7195</v>
      </c>
      <c r="P30">
        <v>3</v>
      </c>
      <c r="Q30">
        <v>699</v>
      </c>
      <c r="R30">
        <v>0.45</v>
      </c>
      <c r="S30">
        <v>2097</v>
      </c>
      <c r="T30">
        <v>943.65</v>
      </c>
      <c r="U30">
        <v>1153.3499999999999</v>
      </c>
      <c r="V30">
        <v>245</v>
      </c>
      <c r="W30">
        <v>735</v>
      </c>
      <c r="X30">
        <v>60</v>
      </c>
      <c r="Y30">
        <v>358.34999999999991</v>
      </c>
      <c r="Z30">
        <v>0.31070360254909607</v>
      </c>
      <c r="AA30">
        <v>0.35</v>
      </c>
      <c r="AB30" s="1">
        <v>45971</v>
      </c>
      <c r="AC30">
        <v>39</v>
      </c>
      <c r="AD30" t="s">
        <v>7311</v>
      </c>
      <c r="AE30">
        <v>0.35</v>
      </c>
      <c r="AF30" t="s">
        <v>18</v>
      </c>
      <c r="AG30" s="1">
        <v>45934</v>
      </c>
      <c r="AH30">
        <v>5</v>
      </c>
      <c r="AI30" t="s">
        <v>7350</v>
      </c>
      <c r="AJ30">
        <v>0</v>
      </c>
    </row>
    <row r="31" spans="1:36" x14ac:dyDescent="0.3">
      <c r="A31" t="s">
        <v>4726</v>
      </c>
      <c r="B31" s="1">
        <v>45927</v>
      </c>
      <c r="C31">
        <v>2025</v>
      </c>
      <c r="D31" s="1">
        <v>45901</v>
      </c>
      <c r="E31">
        <v>9</v>
      </c>
      <c r="F31" t="s">
        <v>2014</v>
      </c>
      <c r="G31" t="s">
        <v>7339</v>
      </c>
      <c r="H31" t="s">
        <v>59</v>
      </c>
      <c r="I31" t="s">
        <v>7237</v>
      </c>
      <c r="J31" t="s">
        <v>7231</v>
      </c>
      <c r="K31" t="s">
        <v>64</v>
      </c>
      <c r="L31" t="s">
        <v>65</v>
      </c>
      <c r="M31" t="s">
        <v>565</v>
      </c>
      <c r="N31" t="s">
        <v>7196</v>
      </c>
      <c r="O31" t="s">
        <v>7195</v>
      </c>
      <c r="P31">
        <v>1</v>
      </c>
      <c r="Q31">
        <v>2499</v>
      </c>
      <c r="R31">
        <v>0.15</v>
      </c>
      <c r="S31">
        <v>2499</v>
      </c>
      <c r="T31">
        <v>374.84999999999997</v>
      </c>
      <c r="U31">
        <v>2124.15</v>
      </c>
      <c r="V31">
        <v>1250</v>
      </c>
      <c r="W31">
        <v>1250</v>
      </c>
      <c r="X31">
        <v>60</v>
      </c>
      <c r="Y31">
        <v>814.15000000000009</v>
      </c>
      <c r="Z31">
        <v>0.38328272485464776</v>
      </c>
      <c r="AA31">
        <v>0.3</v>
      </c>
      <c r="AB31" s="1">
        <v>45775</v>
      </c>
      <c r="AC31">
        <v>-152</v>
      </c>
      <c r="AD31" t="s">
        <v>7309</v>
      </c>
      <c r="AE31">
        <v>0.3</v>
      </c>
      <c r="AF31" t="s">
        <v>4450</v>
      </c>
      <c r="AG31" s="1">
        <v>45929</v>
      </c>
      <c r="AH31">
        <v>5</v>
      </c>
      <c r="AI31" t="s">
        <v>7349</v>
      </c>
      <c r="AJ31">
        <v>0</v>
      </c>
    </row>
    <row r="32" spans="1:36" x14ac:dyDescent="0.3">
      <c r="A32" t="s">
        <v>2460</v>
      </c>
      <c r="B32" s="1">
        <v>45923</v>
      </c>
      <c r="C32">
        <v>2025</v>
      </c>
      <c r="D32" s="1">
        <v>45901</v>
      </c>
      <c r="E32">
        <v>9</v>
      </c>
      <c r="F32" t="s">
        <v>2068</v>
      </c>
      <c r="G32" t="s">
        <v>7339</v>
      </c>
      <c r="H32" t="s">
        <v>59</v>
      </c>
      <c r="I32" t="s">
        <v>7237</v>
      </c>
      <c r="J32" t="s">
        <v>7231</v>
      </c>
      <c r="K32" t="s">
        <v>64</v>
      </c>
      <c r="L32" t="s">
        <v>65</v>
      </c>
      <c r="M32" t="s">
        <v>24</v>
      </c>
      <c r="N32" t="s">
        <v>7197</v>
      </c>
      <c r="O32" t="s">
        <v>7195</v>
      </c>
      <c r="P32">
        <v>1</v>
      </c>
      <c r="Q32">
        <v>699</v>
      </c>
      <c r="R32">
        <v>0.25</v>
      </c>
      <c r="S32">
        <v>699</v>
      </c>
      <c r="T32">
        <v>174.75</v>
      </c>
      <c r="U32">
        <v>524.25</v>
      </c>
      <c r="V32">
        <v>245</v>
      </c>
      <c r="W32">
        <v>245</v>
      </c>
      <c r="X32">
        <v>60</v>
      </c>
      <c r="Y32">
        <v>219.25</v>
      </c>
      <c r="Z32">
        <v>0.41821649976156416</v>
      </c>
      <c r="AA32">
        <v>0.2</v>
      </c>
      <c r="AB32" s="1">
        <v>45558</v>
      </c>
      <c r="AC32">
        <v>-365</v>
      </c>
      <c r="AD32" t="s">
        <v>7309</v>
      </c>
      <c r="AE32">
        <v>0.2</v>
      </c>
      <c r="AF32" t="s">
        <v>18</v>
      </c>
      <c r="AG32" s="1">
        <v>45924</v>
      </c>
      <c r="AH32">
        <v>5</v>
      </c>
      <c r="AJ32">
        <v>0</v>
      </c>
    </row>
    <row r="33" spans="1:36" x14ac:dyDescent="0.3">
      <c r="A33" t="s">
        <v>670</v>
      </c>
      <c r="B33" s="1">
        <v>45922</v>
      </c>
      <c r="C33">
        <v>2025</v>
      </c>
      <c r="D33" s="1">
        <v>45901</v>
      </c>
      <c r="E33">
        <v>9</v>
      </c>
      <c r="F33" t="s">
        <v>671</v>
      </c>
      <c r="G33" t="s">
        <v>7339</v>
      </c>
      <c r="H33" t="s">
        <v>128</v>
      </c>
      <c r="I33" t="s">
        <v>7218</v>
      </c>
      <c r="J33" t="s">
        <v>7212</v>
      </c>
      <c r="K33" t="s">
        <v>129</v>
      </c>
      <c r="L33" t="s">
        <v>65</v>
      </c>
      <c r="M33" t="s">
        <v>84</v>
      </c>
      <c r="N33" t="s">
        <v>7198</v>
      </c>
      <c r="O33" t="s">
        <v>7195</v>
      </c>
      <c r="P33">
        <v>1</v>
      </c>
      <c r="Q33">
        <v>1299</v>
      </c>
      <c r="R33">
        <v>0.05</v>
      </c>
      <c r="S33">
        <v>1299</v>
      </c>
      <c r="T33">
        <v>64.95</v>
      </c>
      <c r="U33">
        <v>1234.05</v>
      </c>
      <c r="V33">
        <v>585</v>
      </c>
      <c r="W33">
        <v>585</v>
      </c>
      <c r="X33">
        <v>60</v>
      </c>
      <c r="Y33">
        <v>589.04999999999995</v>
      </c>
      <c r="Z33">
        <v>0.47733074024553296</v>
      </c>
      <c r="AA33">
        <v>0.05</v>
      </c>
      <c r="AB33" s="1">
        <v>45353</v>
      </c>
      <c r="AC33">
        <v>-569</v>
      </c>
      <c r="AD33" t="s">
        <v>7309</v>
      </c>
      <c r="AE33">
        <v>0.05</v>
      </c>
      <c r="AF33" t="s">
        <v>18</v>
      </c>
      <c r="AG33" s="1">
        <v>45924</v>
      </c>
      <c r="AH33">
        <v>4</v>
      </c>
      <c r="AJ33">
        <v>0</v>
      </c>
    </row>
    <row r="34" spans="1:36" x14ac:dyDescent="0.3">
      <c r="A34" t="s">
        <v>1018</v>
      </c>
      <c r="B34" s="1">
        <v>45921</v>
      </c>
      <c r="C34">
        <v>2025</v>
      </c>
      <c r="D34" s="1">
        <v>45901</v>
      </c>
      <c r="E34">
        <v>9</v>
      </c>
      <c r="F34" t="s">
        <v>1019</v>
      </c>
      <c r="G34" t="s">
        <v>7339</v>
      </c>
      <c r="H34" t="s">
        <v>184</v>
      </c>
      <c r="I34" t="s">
        <v>7215</v>
      </c>
      <c r="J34" t="s">
        <v>7212</v>
      </c>
      <c r="K34" t="s">
        <v>185</v>
      </c>
      <c r="L34" t="s">
        <v>65</v>
      </c>
      <c r="M34" t="s">
        <v>565</v>
      </c>
      <c r="N34" t="s">
        <v>7196</v>
      </c>
      <c r="O34" t="s">
        <v>7195</v>
      </c>
      <c r="P34">
        <v>1</v>
      </c>
      <c r="Q34">
        <v>2499</v>
      </c>
      <c r="R34">
        <v>0.1</v>
      </c>
      <c r="S34">
        <v>2499</v>
      </c>
      <c r="T34">
        <v>249.9</v>
      </c>
      <c r="U34">
        <v>2249.1</v>
      </c>
      <c r="V34">
        <v>1250</v>
      </c>
      <c r="W34">
        <v>1250</v>
      </c>
      <c r="X34">
        <v>60</v>
      </c>
      <c r="Y34">
        <v>939.09999999999991</v>
      </c>
      <c r="Z34">
        <v>0.41754479569605618</v>
      </c>
      <c r="AA34">
        <v>0.25</v>
      </c>
      <c r="AB34" s="1">
        <v>45400</v>
      </c>
      <c r="AC34">
        <v>-521</v>
      </c>
      <c r="AD34" t="s">
        <v>7309</v>
      </c>
      <c r="AE34">
        <v>0.25</v>
      </c>
      <c r="AF34" t="s">
        <v>18</v>
      </c>
      <c r="AG34" s="1">
        <v>45925</v>
      </c>
      <c r="AH34">
        <v>4</v>
      </c>
      <c r="AI34" t="s">
        <v>7350</v>
      </c>
      <c r="AJ34">
        <v>0</v>
      </c>
    </row>
    <row r="35" spans="1:36" x14ac:dyDescent="0.3">
      <c r="A35" t="s">
        <v>7116</v>
      </c>
      <c r="B35" s="1">
        <v>45920</v>
      </c>
      <c r="C35">
        <v>2025</v>
      </c>
      <c r="D35" s="1">
        <v>45901</v>
      </c>
      <c r="E35">
        <v>9</v>
      </c>
      <c r="F35" t="s">
        <v>1990</v>
      </c>
      <c r="G35" t="s">
        <v>7339</v>
      </c>
      <c r="H35" t="s">
        <v>71</v>
      </c>
      <c r="I35" t="s">
        <v>7229</v>
      </c>
      <c r="J35" t="s">
        <v>7224</v>
      </c>
      <c r="K35" t="s">
        <v>102</v>
      </c>
      <c r="L35" t="s">
        <v>65</v>
      </c>
      <c r="M35" t="s">
        <v>24</v>
      </c>
      <c r="N35" t="s">
        <v>7197</v>
      </c>
      <c r="O35" t="s">
        <v>7195</v>
      </c>
      <c r="P35">
        <v>4</v>
      </c>
      <c r="Q35">
        <v>699</v>
      </c>
      <c r="R35">
        <v>0</v>
      </c>
      <c r="S35">
        <v>2796</v>
      </c>
      <c r="T35">
        <v>0</v>
      </c>
      <c r="U35">
        <v>2796</v>
      </c>
      <c r="V35">
        <v>245</v>
      </c>
      <c r="W35">
        <v>980</v>
      </c>
      <c r="X35">
        <v>60</v>
      </c>
      <c r="Y35">
        <v>1756</v>
      </c>
      <c r="Z35">
        <v>0.62804005722460654</v>
      </c>
      <c r="AA35">
        <v>0.2</v>
      </c>
      <c r="AB35" s="1">
        <v>46019</v>
      </c>
      <c r="AC35">
        <v>99</v>
      </c>
      <c r="AD35" t="s">
        <v>7311</v>
      </c>
      <c r="AE35">
        <v>0.2</v>
      </c>
      <c r="AF35" t="s">
        <v>18</v>
      </c>
      <c r="AG35" s="1">
        <v>45923</v>
      </c>
      <c r="AH35">
        <v>4</v>
      </c>
      <c r="AJ35">
        <v>0</v>
      </c>
    </row>
    <row r="36" spans="1:36" x14ac:dyDescent="0.3">
      <c r="A36" t="s">
        <v>665</v>
      </c>
      <c r="B36" s="1">
        <v>45914</v>
      </c>
      <c r="C36">
        <v>2025</v>
      </c>
      <c r="D36" s="1">
        <v>45901</v>
      </c>
      <c r="E36">
        <v>9</v>
      </c>
      <c r="F36" t="s">
        <v>666</v>
      </c>
      <c r="G36" t="s">
        <v>7339</v>
      </c>
      <c r="H36" t="s">
        <v>95</v>
      </c>
      <c r="I36" t="s">
        <v>7230</v>
      </c>
      <c r="J36" t="s">
        <v>7231</v>
      </c>
      <c r="K36" t="s">
        <v>96</v>
      </c>
      <c r="L36" t="s">
        <v>65</v>
      </c>
      <c r="M36" t="s">
        <v>24</v>
      </c>
      <c r="N36" t="s">
        <v>7197</v>
      </c>
      <c r="O36" t="s">
        <v>7195</v>
      </c>
      <c r="P36">
        <v>1</v>
      </c>
      <c r="Q36">
        <v>699</v>
      </c>
      <c r="R36">
        <v>0.1</v>
      </c>
      <c r="S36">
        <v>699</v>
      </c>
      <c r="T36">
        <v>69.900000000000006</v>
      </c>
      <c r="U36">
        <v>629.1</v>
      </c>
      <c r="V36">
        <v>245</v>
      </c>
      <c r="W36">
        <v>245</v>
      </c>
      <c r="X36">
        <v>60</v>
      </c>
      <c r="Y36">
        <v>324.10000000000002</v>
      </c>
      <c r="Z36">
        <v>0.51518041646797008</v>
      </c>
      <c r="AA36">
        <v>20</v>
      </c>
      <c r="AB36" s="1">
        <v>45352</v>
      </c>
      <c r="AC36">
        <v>-562</v>
      </c>
      <c r="AD36" t="s">
        <v>7309</v>
      </c>
      <c r="AE36">
        <v>0.2</v>
      </c>
      <c r="AF36" t="s">
        <v>18</v>
      </c>
      <c r="AG36" s="1">
        <v>45916</v>
      </c>
      <c r="AH36">
        <v>4</v>
      </c>
      <c r="AJ36">
        <v>0</v>
      </c>
    </row>
    <row r="37" spans="1:36" x14ac:dyDescent="0.3">
      <c r="A37" t="s">
        <v>367</v>
      </c>
      <c r="B37" s="1">
        <v>45912</v>
      </c>
      <c r="C37">
        <v>2025</v>
      </c>
      <c r="D37" s="1">
        <v>45901</v>
      </c>
      <c r="E37">
        <v>9</v>
      </c>
      <c r="F37" t="s">
        <v>368</v>
      </c>
      <c r="G37" t="s">
        <v>7338</v>
      </c>
      <c r="H37" t="s">
        <v>43</v>
      </c>
      <c r="I37" t="s">
        <v>7225</v>
      </c>
      <c r="J37" t="s">
        <v>7224</v>
      </c>
      <c r="K37" t="s">
        <v>44</v>
      </c>
      <c r="L37" t="s">
        <v>65</v>
      </c>
      <c r="M37" t="s">
        <v>84</v>
      </c>
      <c r="N37" t="s">
        <v>7198</v>
      </c>
      <c r="O37" t="s">
        <v>7195</v>
      </c>
      <c r="P37">
        <v>1</v>
      </c>
      <c r="Q37">
        <v>1299</v>
      </c>
      <c r="R37">
        <v>0.2</v>
      </c>
      <c r="S37">
        <v>1299</v>
      </c>
      <c r="T37">
        <v>259.8</v>
      </c>
      <c r="U37">
        <v>1039.2</v>
      </c>
      <c r="V37">
        <v>585</v>
      </c>
      <c r="W37">
        <v>585</v>
      </c>
      <c r="X37">
        <v>60</v>
      </c>
      <c r="Y37">
        <v>394.20000000000005</v>
      </c>
      <c r="Z37">
        <v>0.37933025404157045</v>
      </c>
      <c r="AA37">
        <v>0</v>
      </c>
      <c r="AB37" s="1">
        <v>45316</v>
      </c>
      <c r="AC37">
        <v>-596</v>
      </c>
      <c r="AD37" t="s">
        <v>7309</v>
      </c>
      <c r="AE37">
        <v>0</v>
      </c>
      <c r="AF37" t="s">
        <v>18</v>
      </c>
      <c r="AG37" s="1">
        <v>45914</v>
      </c>
      <c r="AH37">
        <v>4</v>
      </c>
      <c r="AI37" t="s">
        <v>7348</v>
      </c>
      <c r="AJ37">
        <v>0</v>
      </c>
    </row>
    <row r="38" spans="1:36" x14ac:dyDescent="0.3">
      <c r="A38" t="s">
        <v>4047</v>
      </c>
      <c r="B38" s="1">
        <v>45909</v>
      </c>
      <c r="C38">
        <v>2025</v>
      </c>
      <c r="D38" s="1">
        <v>45901</v>
      </c>
      <c r="E38">
        <v>9</v>
      </c>
      <c r="F38" t="s">
        <v>3456</v>
      </c>
      <c r="G38" t="s">
        <v>7339</v>
      </c>
      <c r="H38" t="s">
        <v>128</v>
      </c>
      <c r="I38" t="s">
        <v>7218</v>
      </c>
      <c r="J38" t="s">
        <v>7212</v>
      </c>
      <c r="K38" t="s">
        <v>129</v>
      </c>
      <c r="L38" t="s">
        <v>65</v>
      </c>
      <c r="M38" t="s">
        <v>24</v>
      </c>
      <c r="N38" t="s">
        <v>7197</v>
      </c>
      <c r="O38" t="s">
        <v>7195</v>
      </c>
      <c r="P38">
        <v>1</v>
      </c>
      <c r="Q38">
        <v>699</v>
      </c>
      <c r="R38">
        <v>0.05</v>
      </c>
      <c r="S38">
        <v>699</v>
      </c>
      <c r="T38">
        <v>34.950000000000003</v>
      </c>
      <c r="U38">
        <v>664.05</v>
      </c>
      <c r="V38">
        <v>245</v>
      </c>
      <c r="W38">
        <v>245</v>
      </c>
      <c r="X38">
        <v>60</v>
      </c>
      <c r="Y38">
        <v>359.04999999999995</v>
      </c>
      <c r="Z38">
        <v>0.54069723665386638</v>
      </c>
      <c r="AA38">
        <v>15</v>
      </c>
      <c r="AB38" s="1">
        <v>45702</v>
      </c>
      <c r="AC38">
        <v>-207</v>
      </c>
      <c r="AD38" t="s">
        <v>7309</v>
      </c>
      <c r="AE38">
        <v>0.15</v>
      </c>
      <c r="AF38" t="s">
        <v>3495</v>
      </c>
      <c r="AG38" s="1">
        <v>45911</v>
      </c>
      <c r="AH38">
        <v>5</v>
      </c>
      <c r="AI38" t="s">
        <v>7348</v>
      </c>
      <c r="AJ38">
        <v>0</v>
      </c>
    </row>
    <row r="39" spans="1:36" x14ac:dyDescent="0.3">
      <c r="A39" t="s">
        <v>6911</v>
      </c>
      <c r="B39" s="1">
        <v>45908</v>
      </c>
      <c r="C39">
        <v>2025</v>
      </c>
      <c r="D39" s="1">
        <v>45901</v>
      </c>
      <c r="E39">
        <v>9</v>
      </c>
      <c r="F39" t="s">
        <v>6912</v>
      </c>
      <c r="G39" t="s">
        <v>7338</v>
      </c>
      <c r="H39" t="s">
        <v>48</v>
      </c>
      <c r="I39" t="s">
        <v>7217</v>
      </c>
      <c r="J39" t="s">
        <v>7212</v>
      </c>
      <c r="K39" t="s">
        <v>151</v>
      </c>
      <c r="L39" t="s">
        <v>65</v>
      </c>
      <c r="M39" t="s">
        <v>125</v>
      </c>
      <c r="N39" t="s">
        <v>7194</v>
      </c>
      <c r="O39" t="s">
        <v>7195</v>
      </c>
      <c r="P39">
        <v>3</v>
      </c>
      <c r="Q39">
        <v>899</v>
      </c>
      <c r="R39">
        <v>0.4</v>
      </c>
      <c r="S39">
        <v>2697</v>
      </c>
      <c r="T39">
        <v>1078.8</v>
      </c>
      <c r="U39">
        <v>1618.2</v>
      </c>
      <c r="V39">
        <v>378</v>
      </c>
      <c r="W39">
        <v>1134</v>
      </c>
      <c r="X39">
        <v>60</v>
      </c>
      <c r="Y39">
        <v>424.20000000000005</v>
      </c>
      <c r="Z39">
        <v>0.26214312198739342</v>
      </c>
      <c r="AA39">
        <v>0</v>
      </c>
      <c r="AB39" s="1">
        <v>45993</v>
      </c>
      <c r="AC39">
        <v>85</v>
      </c>
      <c r="AD39" t="s">
        <v>7311</v>
      </c>
      <c r="AE39">
        <v>0</v>
      </c>
      <c r="AF39" t="s">
        <v>4074</v>
      </c>
      <c r="AG39" s="1">
        <v>45910</v>
      </c>
      <c r="AI39" t="s">
        <v>7350</v>
      </c>
      <c r="AJ39">
        <v>0</v>
      </c>
    </row>
    <row r="40" spans="1:36" x14ac:dyDescent="0.3">
      <c r="A40" t="s">
        <v>5826</v>
      </c>
      <c r="B40" s="1">
        <v>45901</v>
      </c>
      <c r="C40">
        <v>2025</v>
      </c>
      <c r="D40" s="1">
        <v>45901</v>
      </c>
      <c r="E40">
        <v>9</v>
      </c>
      <c r="F40" t="s">
        <v>2014</v>
      </c>
      <c r="G40" t="s">
        <v>7339</v>
      </c>
      <c r="H40" t="s">
        <v>59</v>
      </c>
      <c r="I40" t="s">
        <v>7237</v>
      </c>
      <c r="J40" t="s">
        <v>7231</v>
      </c>
      <c r="K40" t="s">
        <v>60</v>
      </c>
      <c r="L40" t="s">
        <v>65</v>
      </c>
      <c r="M40" t="s">
        <v>84</v>
      </c>
      <c r="N40" t="s">
        <v>7198</v>
      </c>
      <c r="O40" t="s">
        <v>7195</v>
      </c>
      <c r="P40">
        <v>2</v>
      </c>
      <c r="Q40">
        <v>1299</v>
      </c>
      <c r="R40">
        <v>0.15</v>
      </c>
      <c r="S40">
        <v>2598</v>
      </c>
      <c r="T40">
        <v>389.7</v>
      </c>
      <c r="U40">
        <v>2208.3000000000002</v>
      </c>
      <c r="V40">
        <v>585</v>
      </c>
      <c r="W40">
        <v>1170</v>
      </c>
      <c r="X40">
        <v>60</v>
      </c>
      <c r="Y40">
        <v>978.30000000000018</v>
      </c>
      <c r="Z40">
        <v>0.44301046053525339</v>
      </c>
      <c r="AA40">
        <v>0</v>
      </c>
      <c r="AB40" s="1">
        <v>45901</v>
      </c>
      <c r="AC40">
        <v>0</v>
      </c>
      <c r="AD40" t="s">
        <v>7309</v>
      </c>
      <c r="AE40">
        <v>0</v>
      </c>
      <c r="AF40" t="s">
        <v>18</v>
      </c>
      <c r="AG40" s="1">
        <v>45902</v>
      </c>
      <c r="AH40">
        <v>5</v>
      </c>
      <c r="AJ40">
        <v>0</v>
      </c>
    </row>
    <row r="41" spans="1:36" x14ac:dyDescent="0.3">
      <c r="A41" t="s">
        <v>5060</v>
      </c>
      <c r="B41" s="1">
        <v>45297</v>
      </c>
      <c r="C41">
        <v>2024</v>
      </c>
      <c r="D41" s="1">
        <v>45292</v>
      </c>
      <c r="E41">
        <v>1</v>
      </c>
      <c r="F41" t="s">
        <v>442</v>
      </c>
      <c r="G41" t="s">
        <v>7338</v>
      </c>
      <c r="H41" t="s">
        <v>71</v>
      </c>
      <c r="I41" t="s">
        <v>7229</v>
      </c>
      <c r="J41" t="s">
        <v>7224</v>
      </c>
      <c r="K41" t="s">
        <v>81</v>
      </c>
      <c r="L41" t="s">
        <v>65</v>
      </c>
      <c r="M41" t="s">
        <v>24</v>
      </c>
      <c r="N41" t="s">
        <v>7197</v>
      </c>
      <c r="O41" t="s">
        <v>7195</v>
      </c>
      <c r="P41">
        <v>2</v>
      </c>
      <c r="Q41">
        <v>699</v>
      </c>
      <c r="R41">
        <v>0.35</v>
      </c>
      <c r="S41">
        <v>1398</v>
      </c>
      <c r="T41">
        <v>489.29999999999995</v>
      </c>
      <c r="U41">
        <v>908.7</v>
      </c>
      <c r="V41">
        <v>245</v>
      </c>
      <c r="W41">
        <v>490</v>
      </c>
      <c r="X41">
        <v>60</v>
      </c>
      <c r="Y41">
        <v>358.70000000000005</v>
      </c>
      <c r="Z41">
        <v>0.39473973808737761</v>
      </c>
      <c r="AA41">
        <v>0.2</v>
      </c>
      <c r="AB41" s="1">
        <v>45816</v>
      </c>
      <c r="AC41">
        <v>519</v>
      </c>
      <c r="AD41" t="s">
        <v>7311</v>
      </c>
      <c r="AE41">
        <v>0.2</v>
      </c>
      <c r="AF41" t="s">
        <v>3495</v>
      </c>
      <c r="AG41" s="1">
        <v>45299</v>
      </c>
      <c r="AI41" t="s">
        <v>7348</v>
      </c>
      <c r="AJ41">
        <v>0</v>
      </c>
    </row>
    <row r="42" spans="1:36" x14ac:dyDescent="0.3">
      <c r="A42" t="s">
        <v>4175</v>
      </c>
      <c r="B42" s="1">
        <v>45901</v>
      </c>
      <c r="C42">
        <v>2025</v>
      </c>
      <c r="D42" s="1">
        <v>45901</v>
      </c>
      <c r="E42">
        <v>9</v>
      </c>
      <c r="F42" t="s">
        <v>2708</v>
      </c>
      <c r="G42" t="s">
        <v>7339</v>
      </c>
      <c r="H42" t="s">
        <v>128</v>
      </c>
      <c r="I42" t="s">
        <v>7218</v>
      </c>
      <c r="J42" t="s">
        <v>7212</v>
      </c>
      <c r="K42" t="s">
        <v>129</v>
      </c>
      <c r="L42" t="s">
        <v>65</v>
      </c>
      <c r="M42" t="s">
        <v>24</v>
      </c>
      <c r="N42" t="s">
        <v>7197</v>
      </c>
      <c r="O42" t="s">
        <v>7195</v>
      </c>
      <c r="P42">
        <v>1</v>
      </c>
      <c r="Q42">
        <v>699</v>
      </c>
      <c r="R42">
        <v>0.2</v>
      </c>
      <c r="S42">
        <v>699</v>
      </c>
      <c r="T42">
        <v>139.80000000000001</v>
      </c>
      <c r="U42">
        <v>559.20000000000005</v>
      </c>
      <c r="V42">
        <v>245</v>
      </c>
      <c r="W42">
        <v>245</v>
      </c>
      <c r="X42">
        <v>60</v>
      </c>
      <c r="Y42">
        <v>254.20000000000005</v>
      </c>
      <c r="Z42">
        <v>0.45457796852646642</v>
      </c>
      <c r="AA42">
        <v>0.3</v>
      </c>
      <c r="AB42" s="1">
        <v>45717</v>
      </c>
      <c r="AC42">
        <v>-184</v>
      </c>
      <c r="AD42" t="s">
        <v>7309</v>
      </c>
      <c r="AE42">
        <v>0.3</v>
      </c>
      <c r="AF42" t="s">
        <v>4074</v>
      </c>
      <c r="AG42" s="1">
        <v>45902</v>
      </c>
      <c r="AH42">
        <v>5</v>
      </c>
      <c r="AJ42">
        <v>0</v>
      </c>
    </row>
    <row r="43" spans="1:36" x14ac:dyDescent="0.3">
      <c r="A43" t="s">
        <v>4534</v>
      </c>
      <c r="B43" s="1">
        <v>45894</v>
      </c>
      <c r="C43">
        <v>2025</v>
      </c>
      <c r="D43" s="1">
        <v>45870</v>
      </c>
      <c r="E43">
        <v>8</v>
      </c>
      <c r="F43" t="s">
        <v>4535</v>
      </c>
      <c r="G43" t="s">
        <v>7338</v>
      </c>
      <c r="H43" t="s">
        <v>59</v>
      </c>
      <c r="I43" t="s">
        <v>7237</v>
      </c>
      <c r="J43" t="s">
        <v>7231</v>
      </c>
      <c r="K43" t="s">
        <v>64</v>
      </c>
      <c r="L43" t="s">
        <v>65</v>
      </c>
      <c r="M43" t="s">
        <v>24</v>
      </c>
      <c r="N43" t="s">
        <v>7197</v>
      </c>
      <c r="O43" t="s">
        <v>7195</v>
      </c>
      <c r="P43">
        <v>1</v>
      </c>
      <c r="Q43">
        <v>699</v>
      </c>
      <c r="R43">
        <v>0.15</v>
      </c>
      <c r="S43">
        <v>699</v>
      </c>
      <c r="T43">
        <v>104.85</v>
      </c>
      <c r="U43">
        <v>594.15</v>
      </c>
      <c r="V43">
        <v>245</v>
      </c>
      <c r="W43">
        <v>245</v>
      </c>
      <c r="X43">
        <v>60</v>
      </c>
      <c r="Y43">
        <v>289.14999999999998</v>
      </c>
      <c r="Z43">
        <v>0.48666161743667424</v>
      </c>
      <c r="AA43">
        <v>0.15</v>
      </c>
      <c r="AB43" s="1">
        <v>45758</v>
      </c>
      <c r="AC43">
        <v>-136</v>
      </c>
      <c r="AD43" t="s">
        <v>7309</v>
      </c>
      <c r="AE43">
        <v>0.15</v>
      </c>
      <c r="AF43" t="s">
        <v>4450</v>
      </c>
      <c r="AG43" s="1">
        <v>45898</v>
      </c>
      <c r="AH43">
        <v>4</v>
      </c>
      <c r="AI43" t="s">
        <v>7350</v>
      </c>
      <c r="AJ43">
        <v>0</v>
      </c>
    </row>
    <row r="44" spans="1:36" x14ac:dyDescent="0.3">
      <c r="A44" t="s">
        <v>3468</v>
      </c>
      <c r="B44" s="1">
        <v>45890</v>
      </c>
      <c r="C44">
        <v>2025</v>
      </c>
      <c r="D44" s="1">
        <v>45870</v>
      </c>
      <c r="E44">
        <v>8</v>
      </c>
      <c r="F44" t="s">
        <v>3469</v>
      </c>
      <c r="G44" t="s">
        <v>7338</v>
      </c>
      <c r="H44" t="s">
        <v>27</v>
      </c>
      <c r="I44" t="s">
        <v>7228</v>
      </c>
      <c r="J44" t="s">
        <v>7221</v>
      </c>
      <c r="K44" t="s">
        <v>28</v>
      </c>
      <c r="L44" t="s">
        <v>65</v>
      </c>
      <c r="M44" t="s">
        <v>24</v>
      </c>
      <c r="N44" t="s">
        <v>7197</v>
      </c>
      <c r="O44" t="s">
        <v>7195</v>
      </c>
      <c r="P44">
        <v>1</v>
      </c>
      <c r="Q44">
        <v>699</v>
      </c>
      <c r="R44">
        <v>0.1</v>
      </c>
      <c r="S44">
        <v>699</v>
      </c>
      <c r="T44">
        <v>69.900000000000006</v>
      </c>
      <c r="U44">
        <v>629.1</v>
      </c>
      <c r="V44">
        <v>245</v>
      </c>
      <c r="W44">
        <v>245</v>
      </c>
      <c r="X44">
        <v>60</v>
      </c>
      <c r="Y44">
        <v>324.10000000000002</v>
      </c>
      <c r="Z44">
        <v>0.51518041646797008</v>
      </c>
      <c r="AA44">
        <v>20</v>
      </c>
      <c r="AB44" s="1">
        <v>45644</v>
      </c>
      <c r="AC44">
        <v>-246</v>
      </c>
      <c r="AD44" t="s">
        <v>7309</v>
      </c>
      <c r="AE44">
        <v>0.2</v>
      </c>
      <c r="AF44" t="s">
        <v>2522</v>
      </c>
      <c r="AG44" s="1">
        <v>45893</v>
      </c>
      <c r="AH44">
        <v>4</v>
      </c>
      <c r="AI44" t="s">
        <v>7348</v>
      </c>
      <c r="AJ44">
        <v>0</v>
      </c>
    </row>
    <row r="45" spans="1:36" x14ac:dyDescent="0.3">
      <c r="A45" t="s">
        <v>3096</v>
      </c>
      <c r="B45" s="1">
        <v>45888</v>
      </c>
      <c r="C45">
        <v>2025</v>
      </c>
      <c r="D45" s="1">
        <v>45870</v>
      </c>
      <c r="E45">
        <v>8</v>
      </c>
      <c r="F45" t="s">
        <v>3097</v>
      </c>
      <c r="G45" t="s">
        <v>7338</v>
      </c>
      <c r="H45" t="s">
        <v>14</v>
      </c>
      <c r="I45" t="s">
        <v>7232</v>
      </c>
      <c r="J45" t="s">
        <v>7221</v>
      </c>
      <c r="K45" t="s">
        <v>15</v>
      </c>
      <c r="L45" t="s">
        <v>65</v>
      </c>
      <c r="M45" t="s">
        <v>125</v>
      </c>
      <c r="N45" t="s">
        <v>7194</v>
      </c>
      <c r="O45" t="s">
        <v>7195</v>
      </c>
      <c r="P45">
        <v>1</v>
      </c>
      <c r="Q45">
        <v>899</v>
      </c>
      <c r="R45">
        <v>0.1</v>
      </c>
      <c r="S45">
        <v>899</v>
      </c>
      <c r="T45">
        <v>89.9</v>
      </c>
      <c r="U45">
        <v>809.1</v>
      </c>
      <c r="V45">
        <v>378</v>
      </c>
      <c r="W45">
        <v>378</v>
      </c>
      <c r="X45">
        <v>60</v>
      </c>
      <c r="Y45">
        <v>371.1</v>
      </c>
      <c r="Z45">
        <v>0.45865776789024842</v>
      </c>
      <c r="AA45">
        <v>0.15</v>
      </c>
      <c r="AB45" s="1">
        <v>45603</v>
      </c>
      <c r="AC45">
        <v>-285</v>
      </c>
      <c r="AD45" t="s">
        <v>7309</v>
      </c>
      <c r="AE45">
        <v>0.15</v>
      </c>
      <c r="AF45" t="s">
        <v>2522</v>
      </c>
      <c r="AG45" s="1">
        <v>45892</v>
      </c>
      <c r="AI45" t="s">
        <v>7349</v>
      </c>
      <c r="AJ45">
        <v>0</v>
      </c>
    </row>
    <row r="46" spans="1:36" x14ac:dyDescent="0.3">
      <c r="A46" t="s">
        <v>353</v>
      </c>
      <c r="B46" s="1">
        <v>45887</v>
      </c>
      <c r="C46">
        <v>2025</v>
      </c>
      <c r="D46" s="1">
        <v>45870</v>
      </c>
      <c r="E46">
        <v>8</v>
      </c>
      <c r="F46" t="s">
        <v>354</v>
      </c>
      <c r="G46" t="s">
        <v>7339</v>
      </c>
      <c r="H46" t="s">
        <v>27</v>
      </c>
      <c r="I46" t="s">
        <v>7228</v>
      </c>
      <c r="J46" t="s">
        <v>7221</v>
      </c>
      <c r="K46" t="s">
        <v>28</v>
      </c>
      <c r="L46" t="s">
        <v>65</v>
      </c>
      <c r="M46" t="s">
        <v>24</v>
      </c>
      <c r="N46" t="s">
        <v>7197</v>
      </c>
      <c r="O46" t="s">
        <v>7195</v>
      </c>
      <c r="P46">
        <v>1</v>
      </c>
      <c r="Q46">
        <v>699</v>
      </c>
      <c r="R46">
        <v>0.1</v>
      </c>
      <c r="S46">
        <v>699</v>
      </c>
      <c r="T46">
        <v>69.900000000000006</v>
      </c>
      <c r="U46">
        <v>629.1</v>
      </c>
      <c r="V46">
        <v>245</v>
      </c>
      <c r="W46">
        <v>245</v>
      </c>
      <c r="X46">
        <v>60</v>
      </c>
      <c r="Y46">
        <v>324.10000000000002</v>
      </c>
      <c r="Z46">
        <v>0.51518041646797008</v>
      </c>
      <c r="AA46">
        <v>0.2</v>
      </c>
      <c r="AB46" s="1">
        <v>45315</v>
      </c>
      <c r="AC46">
        <v>-572</v>
      </c>
      <c r="AD46" t="s">
        <v>7309</v>
      </c>
      <c r="AE46">
        <v>0.2</v>
      </c>
      <c r="AF46" t="s">
        <v>18</v>
      </c>
      <c r="AG46" s="1">
        <v>45891</v>
      </c>
      <c r="AH46">
        <v>4</v>
      </c>
      <c r="AI46" t="s">
        <v>7348</v>
      </c>
      <c r="AJ46">
        <v>0</v>
      </c>
    </row>
    <row r="47" spans="1:36" x14ac:dyDescent="0.3">
      <c r="A47" t="s">
        <v>3792</v>
      </c>
      <c r="B47" s="1">
        <v>45882</v>
      </c>
      <c r="C47">
        <v>2025</v>
      </c>
      <c r="D47" s="1">
        <v>45870</v>
      </c>
      <c r="E47">
        <v>8</v>
      </c>
      <c r="F47" t="s">
        <v>2682</v>
      </c>
      <c r="G47" t="s">
        <v>7339</v>
      </c>
      <c r="H47" t="s">
        <v>128</v>
      </c>
      <c r="I47" t="s">
        <v>7218</v>
      </c>
      <c r="J47" t="s">
        <v>7212</v>
      </c>
      <c r="K47" t="s">
        <v>129</v>
      </c>
      <c r="L47" t="s">
        <v>65</v>
      </c>
      <c r="M47" t="s">
        <v>84</v>
      </c>
      <c r="N47" t="s">
        <v>7198</v>
      </c>
      <c r="O47" t="s">
        <v>7195</v>
      </c>
      <c r="P47">
        <v>1</v>
      </c>
      <c r="Q47">
        <v>1299</v>
      </c>
      <c r="R47">
        <v>0.15</v>
      </c>
      <c r="S47">
        <v>1299</v>
      </c>
      <c r="T47">
        <v>194.85</v>
      </c>
      <c r="U47">
        <v>1104.1500000000001</v>
      </c>
      <c r="V47">
        <v>585</v>
      </c>
      <c r="W47">
        <v>585</v>
      </c>
      <c r="X47">
        <v>60</v>
      </c>
      <c r="Y47">
        <v>459.15000000000009</v>
      </c>
      <c r="Z47">
        <v>0.41584023909794871</v>
      </c>
      <c r="AA47">
        <v>0</v>
      </c>
      <c r="AB47" s="1">
        <v>45678</v>
      </c>
      <c r="AC47">
        <v>-204</v>
      </c>
      <c r="AD47" t="s">
        <v>7309</v>
      </c>
      <c r="AE47">
        <v>0</v>
      </c>
      <c r="AF47" t="s">
        <v>3495</v>
      </c>
      <c r="AG47" s="1">
        <v>45884</v>
      </c>
      <c r="AI47" t="s">
        <v>7350</v>
      </c>
      <c r="AJ47">
        <v>0</v>
      </c>
    </row>
    <row r="48" spans="1:36" x14ac:dyDescent="0.3">
      <c r="A48" t="s">
        <v>3465</v>
      </c>
      <c r="B48" s="1">
        <v>45882</v>
      </c>
      <c r="C48">
        <v>2025</v>
      </c>
      <c r="D48" s="1">
        <v>45870</v>
      </c>
      <c r="E48">
        <v>8</v>
      </c>
      <c r="F48" t="s">
        <v>2133</v>
      </c>
      <c r="G48" t="s">
        <v>7339</v>
      </c>
      <c r="H48" t="s">
        <v>27</v>
      </c>
      <c r="I48" t="s">
        <v>7228</v>
      </c>
      <c r="J48" t="s">
        <v>7221</v>
      </c>
      <c r="K48" t="s">
        <v>28</v>
      </c>
      <c r="L48" t="s">
        <v>65</v>
      </c>
      <c r="M48" t="s">
        <v>125</v>
      </c>
      <c r="N48" t="s">
        <v>7194</v>
      </c>
      <c r="O48" t="s">
        <v>7195</v>
      </c>
      <c r="P48">
        <v>1</v>
      </c>
      <c r="Q48">
        <v>899</v>
      </c>
      <c r="R48">
        <v>0.25</v>
      </c>
      <c r="S48">
        <v>899</v>
      </c>
      <c r="T48">
        <v>224.75</v>
      </c>
      <c r="U48">
        <v>674.25</v>
      </c>
      <c r="V48">
        <v>378</v>
      </c>
      <c r="W48">
        <v>378</v>
      </c>
      <c r="X48">
        <v>60</v>
      </c>
      <c r="Y48">
        <v>236.25</v>
      </c>
      <c r="Z48">
        <v>0.3503893214682981</v>
      </c>
      <c r="AA48">
        <v>5</v>
      </c>
      <c r="AB48" s="1">
        <v>45643</v>
      </c>
      <c r="AC48">
        <v>-239</v>
      </c>
      <c r="AD48" t="s">
        <v>7309</v>
      </c>
      <c r="AE48">
        <v>0.05</v>
      </c>
      <c r="AF48" t="s">
        <v>2522</v>
      </c>
      <c r="AG48" s="1">
        <v>45886</v>
      </c>
      <c r="AH48">
        <v>4</v>
      </c>
      <c r="AJ48">
        <v>0</v>
      </c>
    </row>
    <row r="49" spans="1:36" x14ac:dyDescent="0.3">
      <c r="A49" t="s">
        <v>3655</v>
      </c>
      <c r="B49" s="1">
        <v>45876</v>
      </c>
      <c r="C49">
        <v>2025</v>
      </c>
      <c r="D49" s="1">
        <v>45870</v>
      </c>
      <c r="E49">
        <v>8</v>
      </c>
      <c r="F49" t="s">
        <v>1832</v>
      </c>
      <c r="G49" t="s">
        <v>7339</v>
      </c>
      <c r="H49" t="s">
        <v>32</v>
      </c>
      <c r="I49" t="s">
        <v>7220</v>
      </c>
      <c r="J49" t="s">
        <v>7221</v>
      </c>
      <c r="K49" t="s">
        <v>33</v>
      </c>
      <c r="L49" t="s">
        <v>65</v>
      </c>
      <c r="M49" t="s">
        <v>125</v>
      </c>
      <c r="N49" t="s">
        <v>7194</v>
      </c>
      <c r="O49" t="s">
        <v>7195</v>
      </c>
      <c r="P49">
        <v>1</v>
      </c>
      <c r="Q49">
        <v>899</v>
      </c>
      <c r="R49">
        <v>0.45</v>
      </c>
      <c r="S49">
        <v>899</v>
      </c>
      <c r="T49">
        <v>404.55</v>
      </c>
      <c r="U49">
        <v>494.45</v>
      </c>
      <c r="V49">
        <v>378</v>
      </c>
      <c r="W49">
        <v>378</v>
      </c>
      <c r="X49">
        <v>60</v>
      </c>
      <c r="Y49">
        <v>56.449999999999989</v>
      </c>
      <c r="Z49">
        <v>0.11416725654767922</v>
      </c>
      <c r="AA49">
        <v>15</v>
      </c>
      <c r="AB49" s="1">
        <v>45659</v>
      </c>
      <c r="AC49">
        <v>-217</v>
      </c>
      <c r="AD49" t="s">
        <v>7309</v>
      </c>
      <c r="AE49">
        <v>0.15</v>
      </c>
      <c r="AF49" t="s">
        <v>3495</v>
      </c>
      <c r="AG49" s="1">
        <v>45880</v>
      </c>
      <c r="AH49">
        <v>4</v>
      </c>
      <c r="AJ49">
        <v>0</v>
      </c>
    </row>
    <row r="50" spans="1:36" x14ac:dyDescent="0.3">
      <c r="A50" t="s">
        <v>5434</v>
      </c>
      <c r="B50" s="1">
        <v>45874</v>
      </c>
      <c r="C50">
        <v>2025</v>
      </c>
      <c r="D50" s="1">
        <v>45870</v>
      </c>
      <c r="E50">
        <v>8</v>
      </c>
      <c r="F50" t="s">
        <v>1200</v>
      </c>
      <c r="G50" t="s">
        <v>7339</v>
      </c>
      <c r="H50" t="s">
        <v>21</v>
      </c>
      <c r="I50" t="s">
        <v>7213</v>
      </c>
      <c r="J50" t="s">
        <v>7212</v>
      </c>
      <c r="K50" t="s">
        <v>260</v>
      </c>
      <c r="L50" t="s">
        <v>65</v>
      </c>
      <c r="M50" t="s">
        <v>84</v>
      </c>
      <c r="N50" t="s">
        <v>7198</v>
      </c>
      <c r="O50" t="s">
        <v>7195</v>
      </c>
      <c r="P50">
        <v>2</v>
      </c>
      <c r="Q50">
        <v>1299</v>
      </c>
      <c r="R50">
        <v>0</v>
      </c>
      <c r="S50">
        <v>2598</v>
      </c>
      <c r="T50">
        <v>0</v>
      </c>
      <c r="U50">
        <v>2598</v>
      </c>
      <c r="V50">
        <v>585</v>
      </c>
      <c r="W50">
        <v>1170</v>
      </c>
      <c r="X50">
        <v>60</v>
      </c>
      <c r="Y50">
        <v>1368</v>
      </c>
      <c r="Z50">
        <v>0.52655889145496537</v>
      </c>
      <c r="AA50">
        <v>0</v>
      </c>
      <c r="AB50" s="1">
        <v>45859</v>
      </c>
      <c r="AC50">
        <v>-15</v>
      </c>
      <c r="AD50" t="s">
        <v>7309</v>
      </c>
      <c r="AE50">
        <v>0</v>
      </c>
      <c r="AF50" t="s">
        <v>2522</v>
      </c>
      <c r="AG50" s="1">
        <v>45877</v>
      </c>
      <c r="AJ50">
        <v>0</v>
      </c>
    </row>
    <row r="51" spans="1:36" x14ac:dyDescent="0.3">
      <c r="A51" t="s">
        <v>3651</v>
      </c>
      <c r="B51" s="1">
        <v>45866</v>
      </c>
      <c r="C51">
        <v>2025</v>
      </c>
      <c r="D51" s="1">
        <v>45839</v>
      </c>
      <c r="E51">
        <v>7</v>
      </c>
      <c r="F51" t="s">
        <v>3652</v>
      </c>
      <c r="G51" t="s">
        <v>7338</v>
      </c>
      <c r="H51" t="s">
        <v>71</v>
      </c>
      <c r="I51" t="s">
        <v>7229</v>
      </c>
      <c r="J51" t="s">
        <v>7224</v>
      </c>
      <c r="K51" t="s">
        <v>72</v>
      </c>
      <c r="L51" t="s">
        <v>65</v>
      </c>
      <c r="M51" t="s">
        <v>125</v>
      </c>
      <c r="N51" t="s">
        <v>7194</v>
      </c>
      <c r="O51" t="s">
        <v>7195</v>
      </c>
      <c r="P51">
        <v>1</v>
      </c>
      <c r="Q51">
        <v>899</v>
      </c>
      <c r="R51">
        <v>0.1</v>
      </c>
      <c r="S51">
        <v>899</v>
      </c>
      <c r="T51">
        <v>89.9</v>
      </c>
      <c r="U51">
        <v>809.1</v>
      </c>
      <c r="V51">
        <v>378</v>
      </c>
      <c r="W51">
        <v>378</v>
      </c>
      <c r="X51">
        <v>60</v>
      </c>
      <c r="Y51">
        <v>371.1</v>
      </c>
      <c r="Z51">
        <v>0.45865776789024842</v>
      </c>
      <c r="AA51">
        <v>0.15</v>
      </c>
      <c r="AB51" s="1">
        <v>45658</v>
      </c>
      <c r="AC51">
        <v>-208</v>
      </c>
      <c r="AD51" t="s">
        <v>7309</v>
      </c>
      <c r="AE51">
        <v>0.15</v>
      </c>
      <c r="AF51" t="s">
        <v>3495</v>
      </c>
      <c r="AG51" s="1">
        <v>45869</v>
      </c>
      <c r="AH51">
        <v>4</v>
      </c>
      <c r="AI51" t="s">
        <v>7348</v>
      </c>
      <c r="AJ51">
        <v>0</v>
      </c>
    </row>
    <row r="52" spans="1:36" x14ac:dyDescent="0.3">
      <c r="A52" t="s">
        <v>3084</v>
      </c>
      <c r="B52" s="1">
        <v>45866</v>
      </c>
      <c r="C52">
        <v>2025</v>
      </c>
      <c r="D52" s="1">
        <v>45839</v>
      </c>
      <c r="E52">
        <v>7</v>
      </c>
      <c r="F52" t="s">
        <v>521</v>
      </c>
      <c r="G52" t="s">
        <v>7339</v>
      </c>
      <c r="H52" t="s">
        <v>14</v>
      </c>
      <c r="I52" t="s">
        <v>7232</v>
      </c>
      <c r="J52" t="s">
        <v>7221</v>
      </c>
      <c r="K52" t="s">
        <v>15</v>
      </c>
      <c r="L52" t="s">
        <v>65</v>
      </c>
      <c r="M52" t="s">
        <v>24</v>
      </c>
      <c r="N52" t="s">
        <v>7197</v>
      </c>
      <c r="O52" t="s">
        <v>7195</v>
      </c>
      <c r="P52">
        <v>1</v>
      </c>
      <c r="Q52">
        <v>699</v>
      </c>
      <c r="R52">
        <v>0.4</v>
      </c>
      <c r="S52">
        <v>699</v>
      </c>
      <c r="T52">
        <v>279.60000000000002</v>
      </c>
      <c r="U52">
        <v>419.4</v>
      </c>
      <c r="V52">
        <v>245</v>
      </c>
      <c r="W52">
        <v>245</v>
      </c>
      <c r="X52">
        <v>60</v>
      </c>
      <c r="Y52">
        <v>114.39999999999998</v>
      </c>
      <c r="Z52">
        <v>0.27277062470195512</v>
      </c>
      <c r="AA52">
        <v>0.2</v>
      </c>
      <c r="AB52" s="1">
        <v>45607</v>
      </c>
      <c r="AC52">
        <v>-259</v>
      </c>
      <c r="AD52" t="s">
        <v>7309</v>
      </c>
      <c r="AE52">
        <v>0.2</v>
      </c>
      <c r="AF52" t="s">
        <v>2522</v>
      </c>
      <c r="AG52" s="1">
        <v>45872</v>
      </c>
      <c r="AI52" t="s">
        <v>7350</v>
      </c>
      <c r="AJ52">
        <v>0</v>
      </c>
    </row>
    <row r="53" spans="1:36" x14ac:dyDescent="0.3">
      <c r="A53" t="s">
        <v>3082</v>
      </c>
      <c r="B53" s="1">
        <v>45861</v>
      </c>
      <c r="C53">
        <v>2025</v>
      </c>
      <c r="D53" s="1">
        <v>45839</v>
      </c>
      <c r="E53">
        <v>7</v>
      </c>
      <c r="F53" t="s">
        <v>3083</v>
      </c>
      <c r="G53" t="s">
        <v>7338</v>
      </c>
      <c r="H53" t="s">
        <v>43</v>
      </c>
      <c r="I53" t="s">
        <v>7225</v>
      </c>
      <c r="J53" t="s">
        <v>7224</v>
      </c>
      <c r="K53" t="s">
        <v>44</v>
      </c>
      <c r="L53" t="s">
        <v>65</v>
      </c>
      <c r="M53" t="s">
        <v>125</v>
      </c>
      <c r="N53" t="s">
        <v>7194</v>
      </c>
      <c r="O53" t="s">
        <v>7195</v>
      </c>
      <c r="P53">
        <v>1</v>
      </c>
      <c r="Q53">
        <v>899</v>
      </c>
      <c r="R53">
        <v>0.3</v>
      </c>
      <c r="S53">
        <v>899</v>
      </c>
      <c r="T53">
        <v>269.7</v>
      </c>
      <c r="U53">
        <v>629.29999999999995</v>
      </c>
      <c r="V53">
        <v>378</v>
      </c>
      <c r="W53">
        <v>378</v>
      </c>
      <c r="X53">
        <v>60</v>
      </c>
      <c r="Y53">
        <v>191.29999999999995</v>
      </c>
      <c r="Z53">
        <v>0.30398855871603364</v>
      </c>
      <c r="AA53">
        <v>5</v>
      </c>
      <c r="AB53" s="1">
        <v>45605</v>
      </c>
      <c r="AC53">
        <v>-256</v>
      </c>
      <c r="AD53" t="s">
        <v>7309</v>
      </c>
      <c r="AE53">
        <v>0.05</v>
      </c>
      <c r="AF53" t="s">
        <v>2522</v>
      </c>
      <c r="AG53" s="1">
        <v>45864</v>
      </c>
      <c r="AI53" t="s">
        <v>7348</v>
      </c>
      <c r="AJ53">
        <v>0</v>
      </c>
    </row>
    <row r="54" spans="1:36" x14ac:dyDescent="0.3">
      <c r="A54" t="s">
        <v>3081</v>
      </c>
      <c r="B54" s="1">
        <v>45856</v>
      </c>
      <c r="C54">
        <v>2025</v>
      </c>
      <c r="D54" s="1">
        <v>45839</v>
      </c>
      <c r="E54">
        <v>7</v>
      </c>
      <c r="F54" t="s">
        <v>1505</v>
      </c>
      <c r="G54" t="s">
        <v>7339</v>
      </c>
      <c r="H54" t="s">
        <v>27</v>
      </c>
      <c r="I54" t="s">
        <v>7228</v>
      </c>
      <c r="J54" t="s">
        <v>7221</v>
      </c>
      <c r="K54" t="s">
        <v>28</v>
      </c>
      <c r="L54" t="s">
        <v>65</v>
      </c>
      <c r="M54" t="s">
        <v>24</v>
      </c>
      <c r="N54" t="s">
        <v>7197</v>
      </c>
      <c r="O54" t="s">
        <v>7195</v>
      </c>
      <c r="P54">
        <v>1</v>
      </c>
      <c r="Q54">
        <v>699</v>
      </c>
      <c r="R54">
        <v>0.45</v>
      </c>
      <c r="S54">
        <v>699</v>
      </c>
      <c r="T54">
        <v>314.55</v>
      </c>
      <c r="U54">
        <v>384.45</v>
      </c>
      <c r="V54">
        <v>245</v>
      </c>
      <c r="W54">
        <v>245</v>
      </c>
      <c r="X54">
        <v>60</v>
      </c>
      <c r="Y54">
        <v>79.449999999999989</v>
      </c>
      <c r="Z54">
        <v>0.20665886331122379</v>
      </c>
      <c r="AA54">
        <v>25</v>
      </c>
      <c r="AB54" s="1">
        <v>45606</v>
      </c>
      <c r="AC54">
        <v>-250</v>
      </c>
      <c r="AD54" t="s">
        <v>7309</v>
      </c>
      <c r="AE54">
        <v>0.25</v>
      </c>
      <c r="AF54" t="s">
        <v>2522</v>
      </c>
      <c r="AG54" s="1">
        <v>45860</v>
      </c>
      <c r="AI54" t="s">
        <v>7348</v>
      </c>
      <c r="AJ54">
        <v>0</v>
      </c>
    </row>
    <row r="55" spans="1:36" x14ac:dyDescent="0.3">
      <c r="A55" t="s">
        <v>4040</v>
      </c>
      <c r="B55" s="1">
        <v>45855</v>
      </c>
      <c r="C55">
        <v>2025</v>
      </c>
      <c r="D55" s="1">
        <v>45839</v>
      </c>
      <c r="E55">
        <v>7</v>
      </c>
      <c r="F55" t="s">
        <v>806</v>
      </c>
      <c r="G55" t="s">
        <v>7339</v>
      </c>
      <c r="H55" t="s">
        <v>128</v>
      </c>
      <c r="I55" t="s">
        <v>7218</v>
      </c>
      <c r="J55" t="s">
        <v>7212</v>
      </c>
      <c r="K55" t="s">
        <v>129</v>
      </c>
      <c r="L55" t="s">
        <v>65</v>
      </c>
      <c r="M55" t="s">
        <v>24</v>
      </c>
      <c r="N55" t="s">
        <v>7197</v>
      </c>
      <c r="O55" t="s">
        <v>7195</v>
      </c>
      <c r="P55">
        <v>1</v>
      </c>
      <c r="Q55">
        <v>699</v>
      </c>
      <c r="R55">
        <v>0.15</v>
      </c>
      <c r="S55">
        <v>699</v>
      </c>
      <c r="T55">
        <v>104.85</v>
      </c>
      <c r="U55">
        <v>594.15</v>
      </c>
      <c r="V55">
        <v>245</v>
      </c>
      <c r="W55">
        <v>245</v>
      </c>
      <c r="X55">
        <v>60</v>
      </c>
      <c r="Y55">
        <v>289.14999999999998</v>
      </c>
      <c r="Z55">
        <v>0.48666161743667424</v>
      </c>
      <c r="AA55">
        <v>0.2</v>
      </c>
      <c r="AB55" s="1">
        <v>45705</v>
      </c>
      <c r="AC55">
        <v>-150</v>
      </c>
      <c r="AD55" t="s">
        <v>7309</v>
      </c>
      <c r="AE55">
        <v>0.2</v>
      </c>
      <c r="AF55" t="s">
        <v>3495</v>
      </c>
      <c r="AG55" s="1">
        <v>45856</v>
      </c>
      <c r="AH55">
        <v>5</v>
      </c>
      <c r="AJ55">
        <v>0</v>
      </c>
    </row>
    <row r="56" spans="1:36" x14ac:dyDescent="0.3">
      <c r="A56" t="s">
        <v>5429</v>
      </c>
      <c r="B56" s="1">
        <v>45854</v>
      </c>
      <c r="C56">
        <v>2025</v>
      </c>
      <c r="D56" s="1">
        <v>45839</v>
      </c>
      <c r="E56">
        <v>7</v>
      </c>
      <c r="F56" t="s">
        <v>5430</v>
      </c>
      <c r="G56" t="s">
        <v>7338</v>
      </c>
      <c r="H56" t="s">
        <v>184</v>
      </c>
      <c r="I56" t="s">
        <v>7215</v>
      </c>
      <c r="J56" t="s">
        <v>7212</v>
      </c>
      <c r="K56" t="s">
        <v>185</v>
      </c>
      <c r="L56" t="s">
        <v>65</v>
      </c>
      <c r="M56" t="s">
        <v>84</v>
      </c>
      <c r="N56" t="s">
        <v>7198</v>
      </c>
      <c r="O56" t="s">
        <v>7195</v>
      </c>
      <c r="P56">
        <v>2</v>
      </c>
      <c r="Q56">
        <v>1299</v>
      </c>
      <c r="R56">
        <v>0.3</v>
      </c>
      <c r="S56">
        <v>2598</v>
      </c>
      <c r="T56">
        <v>779.4</v>
      </c>
      <c r="U56">
        <v>1818.6</v>
      </c>
      <c r="V56">
        <v>585</v>
      </c>
      <c r="W56">
        <v>1170</v>
      </c>
      <c r="X56">
        <v>60</v>
      </c>
      <c r="Y56">
        <v>588.59999999999991</v>
      </c>
      <c r="Z56">
        <v>0.32365555922137906</v>
      </c>
      <c r="AA56">
        <v>0</v>
      </c>
      <c r="AB56" s="1">
        <v>45859</v>
      </c>
      <c r="AC56">
        <v>5</v>
      </c>
      <c r="AD56" t="s">
        <v>7311</v>
      </c>
      <c r="AE56">
        <v>0</v>
      </c>
      <c r="AF56" t="s">
        <v>2522</v>
      </c>
      <c r="AG56" s="1">
        <v>45856</v>
      </c>
      <c r="AJ56">
        <v>0</v>
      </c>
    </row>
    <row r="57" spans="1:36" x14ac:dyDescent="0.3">
      <c r="A57" t="s">
        <v>5008</v>
      </c>
      <c r="B57" s="1">
        <v>45845</v>
      </c>
      <c r="C57">
        <v>2025</v>
      </c>
      <c r="D57" s="1">
        <v>45839</v>
      </c>
      <c r="E57">
        <v>7</v>
      </c>
      <c r="F57" t="s">
        <v>5009</v>
      </c>
      <c r="G57" t="s">
        <v>7338</v>
      </c>
      <c r="H57" t="s">
        <v>167</v>
      </c>
      <c r="I57" t="s">
        <v>7234</v>
      </c>
      <c r="J57" t="s">
        <v>7231</v>
      </c>
      <c r="K57" t="s">
        <v>190</v>
      </c>
      <c r="L57" t="s">
        <v>65</v>
      </c>
      <c r="M57" t="s">
        <v>24</v>
      </c>
      <c r="N57" t="s">
        <v>7197</v>
      </c>
      <c r="O57" t="s">
        <v>7195</v>
      </c>
      <c r="P57">
        <v>2</v>
      </c>
      <c r="Q57">
        <v>699</v>
      </c>
      <c r="R57">
        <v>0.15</v>
      </c>
      <c r="S57">
        <v>1398</v>
      </c>
      <c r="T57">
        <v>209.7</v>
      </c>
      <c r="U57">
        <v>1188.3</v>
      </c>
      <c r="V57">
        <v>245</v>
      </c>
      <c r="W57">
        <v>490</v>
      </c>
      <c r="X57">
        <v>60</v>
      </c>
      <c r="Y57">
        <v>638.29999999999995</v>
      </c>
      <c r="Z57">
        <v>0.53715391736093576</v>
      </c>
      <c r="AA57">
        <v>0.2</v>
      </c>
      <c r="AB57" s="1">
        <v>45806</v>
      </c>
      <c r="AC57">
        <v>-39</v>
      </c>
      <c r="AD57" t="s">
        <v>7309</v>
      </c>
      <c r="AE57">
        <v>0.2</v>
      </c>
      <c r="AF57" t="s">
        <v>4074</v>
      </c>
      <c r="AG57" s="1">
        <v>45847</v>
      </c>
      <c r="AH57">
        <v>5</v>
      </c>
      <c r="AI57" t="s">
        <v>7349</v>
      </c>
      <c r="AJ57">
        <v>0</v>
      </c>
    </row>
    <row r="58" spans="1:36" x14ac:dyDescent="0.3">
      <c r="A58" t="s">
        <v>2638</v>
      </c>
      <c r="B58" s="1">
        <v>45845</v>
      </c>
      <c r="C58">
        <v>2025</v>
      </c>
      <c r="D58" s="1">
        <v>45839</v>
      </c>
      <c r="E58">
        <v>7</v>
      </c>
      <c r="F58" t="s">
        <v>2639</v>
      </c>
      <c r="G58" t="s">
        <v>7339</v>
      </c>
      <c r="H58" t="s">
        <v>128</v>
      </c>
      <c r="I58" t="s">
        <v>7218</v>
      </c>
      <c r="J58" t="s">
        <v>7212</v>
      </c>
      <c r="K58" t="s">
        <v>129</v>
      </c>
      <c r="L58" t="s">
        <v>65</v>
      </c>
      <c r="M58" t="s">
        <v>125</v>
      </c>
      <c r="N58" t="s">
        <v>7194</v>
      </c>
      <c r="O58" t="s">
        <v>7195</v>
      </c>
      <c r="P58">
        <v>1</v>
      </c>
      <c r="Q58">
        <v>899</v>
      </c>
      <c r="R58">
        <v>0.25</v>
      </c>
      <c r="S58">
        <v>899</v>
      </c>
      <c r="T58">
        <v>224.75</v>
      </c>
      <c r="U58">
        <v>674.25</v>
      </c>
      <c r="V58">
        <v>378</v>
      </c>
      <c r="W58">
        <v>378</v>
      </c>
      <c r="X58">
        <v>120</v>
      </c>
      <c r="Y58">
        <v>176.25</v>
      </c>
      <c r="Z58">
        <v>0.26140155728587317</v>
      </c>
      <c r="AA58">
        <v>0.1</v>
      </c>
      <c r="AB58" s="1">
        <v>45575</v>
      </c>
      <c r="AC58">
        <v>-270</v>
      </c>
      <c r="AD58" t="s">
        <v>7309</v>
      </c>
      <c r="AE58">
        <v>0.1</v>
      </c>
      <c r="AF58" t="s">
        <v>2522</v>
      </c>
      <c r="AG58" s="1">
        <v>45847</v>
      </c>
      <c r="AH58">
        <v>5</v>
      </c>
      <c r="AI58" t="s">
        <v>7352</v>
      </c>
      <c r="AJ58">
        <v>1</v>
      </c>
    </row>
    <row r="59" spans="1:36" x14ac:dyDescent="0.3">
      <c r="A59" t="s">
        <v>4165</v>
      </c>
      <c r="B59" s="1">
        <v>45844</v>
      </c>
      <c r="C59">
        <v>2025</v>
      </c>
      <c r="D59" s="1">
        <v>45839</v>
      </c>
      <c r="E59">
        <v>7</v>
      </c>
      <c r="F59" t="s">
        <v>1152</v>
      </c>
      <c r="G59" t="s">
        <v>7339</v>
      </c>
      <c r="H59" t="s">
        <v>184</v>
      </c>
      <c r="I59" t="s">
        <v>7215</v>
      </c>
      <c r="J59" t="s">
        <v>7212</v>
      </c>
      <c r="K59" t="s">
        <v>185</v>
      </c>
      <c r="L59" t="s">
        <v>65</v>
      </c>
      <c r="M59" t="s">
        <v>125</v>
      </c>
      <c r="N59" t="s">
        <v>7194</v>
      </c>
      <c r="O59" t="s">
        <v>7195</v>
      </c>
      <c r="P59">
        <v>1</v>
      </c>
      <c r="Q59">
        <v>899</v>
      </c>
      <c r="R59">
        <v>0.1</v>
      </c>
      <c r="S59">
        <v>899</v>
      </c>
      <c r="T59">
        <v>89.9</v>
      </c>
      <c r="U59">
        <v>809.1</v>
      </c>
      <c r="V59">
        <v>378</v>
      </c>
      <c r="W59">
        <v>378</v>
      </c>
      <c r="X59">
        <v>60</v>
      </c>
      <c r="Y59">
        <v>371.1</v>
      </c>
      <c r="Z59">
        <v>0.45865776789024842</v>
      </c>
      <c r="AA59">
        <v>0</v>
      </c>
      <c r="AB59" s="1">
        <v>45717</v>
      </c>
      <c r="AC59">
        <v>-127</v>
      </c>
      <c r="AD59" t="s">
        <v>7309</v>
      </c>
      <c r="AE59">
        <v>0</v>
      </c>
      <c r="AF59" t="s">
        <v>4074</v>
      </c>
      <c r="AG59" s="1">
        <v>45851</v>
      </c>
      <c r="AH59">
        <v>3</v>
      </c>
      <c r="AJ59">
        <v>0</v>
      </c>
    </row>
    <row r="60" spans="1:36" x14ac:dyDescent="0.3">
      <c r="A60" t="s">
        <v>1757</v>
      </c>
      <c r="B60" s="1">
        <v>45834</v>
      </c>
      <c r="C60">
        <v>2025</v>
      </c>
      <c r="D60" s="1">
        <v>45809</v>
      </c>
      <c r="E60">
        <v>6</v>
      </c>
      <c r="F60" t="s">
        <v>915</v>
      </c>
      <c r="G60" t="s">
        <v>7339</v>
      </c>
      <c r="H60" t="s">
        <v>21</v>
      </c>
      <c r="I60" t="s">
        <v>7213</v>
      </c>
      <c r="J60" t="s">
        <v>7212</v>
      </c>
      <c r="K60" t="s">
        <v>22</v>
      </c>
      <c r="L60" t="s">
        <v>65</v>
      </c>
      <c r="M60" t="s">
        <v>24</v>
      </c>
      <c r="N60" t="s">
        <v>7197</v>
      </c>
      <c r="O60" t="s">
        <v>7195</v>
      </c>
      <c r="P60">
        <v>1</v>
      </c>
      <c r="Q60">
        <v>699</v>
      </c>
      <c r="R60">
        <v>0.15</v>
      </c>
      <c r="S60">
        <v>699</v>
      </c>
      <c r="T60">
        <v>104.85</v>
      </c>
      <c r="U60">
        <v>594.15</v>
      </c>
      <c r="V60">
        <v>245</v>
      </c>
      <c r="W60">
        <v>245</v>
      </c>
      <c r="X60">
        <v>60</v>
      </c>
      <c r="Y60">
        <v>289.14999999999998</v>
      </c>
      <c r="Z60">
        <v>0.48666161743667424</v>
      </c>
      <c r="AA60">
        <v>0.2</v>
      </c>
      <c r="AB60" s="1">
        <v>45481</v>
      </c>
      <c r="AC60">
        <v>-353</v>
      </c>
      <c r="AD60" t="s">
        <v>7309</v>
      </c>
      <c r="AE60">
        <v>0.2</v>
      </c>
      <c r="AF60" t="s">
        <v>18</v>
      </c>
      <c r="AG60" s="1">
        <v>45840</v>
      </c>
      <c r="AJ60">
        <v>0</v>
      </c>
    </row>
    <row r="61" spans="1:36" x14ac:dyDescent="0.3">
      <c r="A61" t="s">
        <v>838</v>
      </c>
      <c r="B61" s="1">
        <v>45830</v>
      </c>
      <c r="C61">
        <v>2025</v>
      </c>
      <c r="D61" s="1">
        <v>45809</v>
      </c>
      <c r="E61">
        <v>6</v>
      </c>
      <c r="F61" t="s">
        <v>839</v>
      </c>
      <c r="G61" t="s">
        <v>7338</v>
      </c>
      <c r="H61" t="s">
        <v>59</v>
      </c>
      <c r="I61" t="s">
        <v>7237</v>
      </c>
      <c r="J61" t="s">
        <v>7231</v>
      </c>
      <c r="K61" t="s">
        <v>64</v>
      </c>
      <c r="L61" t="s">
        <v>65</v>
      </c>
      <c r="M61" t="s">
        <v>84</v>
      </c>
      <c r="N61" t="s">
        <v>7198</v>
      </c>
      <c r="O61" t="s">
        <v>7195</v>
      </c>
      <c r="P61">
        <v>1</v>
      </c>
      <c r="Q61">
        <v>1299</v>
      </c>
      <c r="R61">
        <v>0.15</v>
      </c>
      <c r="S61">
        <v>1299</v>
      </c>
      <c r="T61">
        <v>194.85</v>
      </c>
      <c r="U61">
        <v>1104.1500000000001</v>
      </c>
      <c r="V61">
        <v>585</v>
      </c>
      <c r="W61">
        <v>585</v>
      </c>
      <c r="X61">
        <v>60</v>
      </c>
      <c r="Y61">
        <v>459.15000000000009</v>
      </c>
      <c r="Z61">
        <v>0.41584023909794871</v>
      </c>
      <c r="AA61">
        <v>0</v>
      </c>
      <c r="AB61" s="1">
        <v>45378</v>
      </c>
      <c r="AC61">
        <v>-452</v>
      </c>
      <c r="AD61" t="s">
        <v>7309</v>
      </c>
      <c r="AE61">
        <v>0</v>
      </c>
      <c r="AF61" t="s">
        <v>18</v>
      </c>
      <c r="AG61" s="1">
        <v>45833</v>
      </c>
      <c r="AH61">
        <v>4</v>
      </c>
      <c r="AI61" t="s">
        <v>7349</v>
      </c>
      <c r="AJ61">
        <v>0</v>
      </c>
    </row>
    <row r="62" spans="1:36" x14ac:dyDescent="0.3">
      <c r="A62" t="s">
        <v>1751</v>
      </c>
      <c r="B62" s="1">
        <v>45827</v>
      </c>
      <c r="C62">
        <v>2025</v>
      </c>
      <c r="D62" s="1">
        <v>45809</v>
      </c>
      <c r="E62">
        <v>6</v>
      </c>
      <c r="F62" t="s">
        <v>1752</v>
      </c>
      <c r="G62" t="s">
        <v>7339</v>
      </c>
      <c r="H62" t="s">
        <v>59</v>
      </c>
      <c r="I62" t="s">
        <v>7237</v>
      </c>
      <c r="J62" t="s">
        <v>7231</v>
      </c>
      <c r="K62" t="s">
        <v>64</v>
      </c>
      <c r="L62" t="s">
        <v>65</v>
      </c>
      <c r="M62" t="s">
        <v>24</v>
      </c>
      <c r="N62" t="s">
        <v>7197</v>
      </c>
      <c r="O62" t="s">
        <v>7195</v>
      </c>
      <c r="P62">
        <v>1</v>
      </c>
      <c r="Q62">
        <v>699</v>
      </c>
      <c r="R62">
        <v>0</v>
      </c>
      <c r="S62">
        <v>699</v>
      </c>
      <c r="T62">
        <v>0</v>
      </c>
      <c r="U62">
        <v>699</v>
      </c>
      <c r="V62">
        <v>245</v>
      </c>
      <c r="W62">
        <v>245</v>
      </c>
      <c r="X62">
        <v>60</v>
      </c>
      <c r="Y62">
        <v>394</v>
      </c>
      <c r="Z62">
        <v>0.5636623748211731</v>
      </c>
      <c r="AA62">
        <v>0.2</v>
      </c>
      <c r="AB62" s="1">
        <v>45479</v>
      </c>
      <c r="AC62">
        <v>-348</v>
      </c>
      <c r="AD62" t="s">
        <v>7309</v>
      </c>
      <c r="AE62">
        <v>0.2</v>
      </c>
      <c r="AF62" t="s">
        <v>18</v>
      </c>
      <c r="AG62" s="1">
        <v>45830</v>
      </c>
      <c r="AI62" t="s">
        <v>7348</v>
      </c>
      <c r="AJ62">
        <v>0</v>
      </c>
    </row>
    <row r="63" spans="1:36" x14ac:dyDescent="0.3">
      <c r="A63" t="s">
        <v>4157</v>
      </c>
      <c r="B63" s="1">
        <v>45825</v>
      </c>
      <c r="C63">
        <v>2025</v>
      </c>
      <c r="D63" s="1">
        <v>45809</v>
      </c>
      <c r="E63">
        <v>6</v>
      </c>
      <c r="F63" t="s">
        <v>4158</v>
      </c>
      <c r="G63" t="s">
        <v>7338</v>
      </c>
      <c r="H63" t="s">
        <v>37</v>
      </c>
      <c r="I63" t="s">
        <v>7223</v>
      </c>
      <c r="J63" t="s">
        <v>7224</v>
      </c>
      <c r="K63" t="s">
        <v>38</v>
      </c>
      <c r="L63" t="s">
        <v>65</v>
      </c>
      <c r="M63" t="s">
        <v>24</v>
      </c>
      <c r="N63" t="s">
        <v>7197</v>
      </c>
      <c r="O63" t="s">
        <v>7195</v>
      </c>
      <c r="P63">
        <v>1</v>
      </c>
      <c r="Q63">
        <v>699</v>
      </c>
      <c r="R63">
        <v>0.05</v>
      </c>
      <c r="S63">
        <v>699</v>
      </c>
      <c r="T63">
        <v>34.950000000000003</v>
      </c>
      <c r="U63">
        <v>664.05</v>
      </c>
      <c r="V63">
        <v>245</v>
      </c>
      <c r="W63">
        <v>245</v>
      </c>
      <c r="X63">
        <v>60</v>
      </c>
      <c r="Y63">
        <v>359.04999999999995</v>
      </c>
      <c r="Z63">
        <v>0.54069723665386638</v>
      </c>
      <c r="AA63">
        <v>0.2</v>
      </c>
      <c r="AB63" s="1">
        <v>45716</v>
      </c>
      <c r="AC63">
        <v>-109</v>
      </c>
      <c r="AD63" t="s">
        <v>7309</v>
      </c>
      <c r="AE63">
        <v>0.2</v>
      </c>
      <c r="AF63" t="s">
        <v>4074</v>
      </c>
      <c r="AG63" s="1">
        <v>45827</v>
      </c>
      <c r="AH63">
        <v>5</v>
      </c>
      <c r="AI63" t="s">
        <v>7349</v>
      </c>
      <c r="AJ63">
        <v>0</v>
      </c>
    </row>
    <row r="64" spans="1:36" x14ac:dyDescent="0.3">
      <c r="A64" t="s">
        <v>3449</v>
      </c>
      <c r="B64" s="1">
        <v>45824</v>
      </c>
      <c r="C64">
        <v>2025</v>
      </c>
      <c r="D64" s="1">
        <v>45809</v>
      </c>
      <c r="E64">
        <v>6</v>
      </c>
      <c r="F64" t="s">
        <v>354</v>
      </c>
      <c r="G64" t="s">
        <v>7339</v>
      </c>
      <c r="H64" t="s">
        <v>158</v>
      </c>
      <c r="I64" t="s">
        <v>7214</v>
      </c>
      <c r="J64" t="s">
        <v>7212</v>
      </c>
      <c r="K64" t="s">
        <v>159</v>
      </c>
      <c r="L64" t="s">
        <v>65</v>
      </c>
      <c r="M64" t="s">
        <v>84</v>
      </c>
      <c r="N64" t="s">
        <v>7198</v>
      </c>
      <c r="O64" t="s">
        <v>7195</v>
      </c>
      <c r="P64">
        <v>1</v>
      </c>
      <c r="Q64">
        <v>1299</v>
      </c>
      <c r="R64">
        <v>0.05</v>
      </c>
      <c r="S64">
        <v>1299</v>
      </c>
      <c r="T64">
        <v>64.95</v>
      </c>
      <c r="U64">
        <v>1234.05</v>
      </c>
      <c r="V64">
        <v>585</v>
      </c>
      <c r="W64">
        <v>585</v>
      </c>
      <c r="X64">
        <v>120</v>
      </c>
      <c r="Y64">
        <v>529.04999999999995</v>
      </c>
      <c r="Z64">
        <v>0.42871034398930347</v>
      </c>
      <c r="AA64">
        <v>0</v>
      </c>
      <c r="AB64" s="1">
        <v>45642</v>
      </c>
      <c r="AC64">
        <v>-182</v>
      </c>
      <c r="AD64" t="s">
        <v>7309</v>
      </c>
      <c r="AE64">
        <v>0</v>
      </c>
      <c r="AF64" t="s">
        <v>2522</v>
      </c>
      <c r="AG64" s="1">
        <v>45830</v>
      </c>
      <c r="AH64">
        <v>4</v>
      </c>
      <c r="AI64" t="s">
        <v>7351</v>
      </c>
      <c r="AJ64">
        <v>1</v>
      </c>
    </row>
    <row r="65" spans="1:36" x14ac:dyDescent="0.3">
      <c r="A65" t="s">
        <v>7012</v>
      </c>
      <c r="B65" s="1">
        <v>45817</v>
      </c>
      <c r="C65">
        <v>2025</v>
      </c>
      <c r="D65" s="1">
        <v>45809</v>
      </c>
      <c r="E65">
        <v>6</v>
      </c>
      <c r="F65" t="s">
        <v>6095</v>
      </c>
      <c r="G65" t="s">
        <v>7339</v>
      </c>
      <c r="H65" t="s">
        <v>54</v>
      </c>
      <c r="I65" t="s">
        <v>7216</v>
      </c>
      <c r="J65" t="s">
        <v>7212</v>
      </c>
      <c r="K65" t="s">
        <v>55</v>
      </c>
      <c r="L65" t="s">
        <v>65</v>
      </c>
      <c r="M65" t="s">
        <v>24</v>
      </c>
      <c r="N65" t="s">
        <v>7197</v>
      </c>
      <c r="O65" t="s">
        <v>7195</v>
      </c>
      <c r="P65">
        <v>4</v>
      </c>
      <c r="Q65">
        <v>699</v>
      </c>
      <c r="R65">
        <v>0.35</v>
      </c>
      <c r="S65">
        <v>2796</v>
      </c>
      <c r="T65">
        <v>978.59999999999991</v>
      </c>
      <c r="U65">
        <v>1817.4</v>
      </c>
      <c r="V65">
        <v>245</v>
      </c>
      <c r="W65">
        <v>980</v>
      </c>
      <c r="X65">
        <v>60</v>
      </c>
      <c r="Y65">
        <v>777.40000000000009</v>
      </c>
      <c r="Z65">
        <v>0.42775393419170243</v>
      </c>
      <c r="AA65">
        <v>0.3</v>
      </c>
      <c r="AB65" s="1">
        <v>46003</v>
      </c>
      <c r="AC65">
        <v>186</v>
      </c>
      <c r="AD65" t="s">
        <v>7311</v>
      </c>
      <c r="AE65">
        <v>0.3</v>
      </c>
      <c r="AF65" t="s">
        <v>2522</v>
      </c>
      <c r="AG65" s="1">
        <v>45823</v>
      </c>
      <c r="AH65">
        <v>4</v>
      </c>
      <c r="AJ65">
        <v>0</v>
      </c>
    </row>
    <row r="66" spans="1:36" x14ac:dyDescent="0.3">
      <c r="A66" t="s">
        <v>5818</v>
      </c>
      <c r="B66" s="1">
        <v>45809</v>
      </c>
      <c r="C66">
        <v>2025</v>
      </c>
      <c r="D66" s="1">
        <v>45809</v>
      </c>
      <c r="E66">
        <v>6</v>
      </c>
      <c r="F66" t="s">
        <v>3983</v>
      </c>
      <c r="G66" t="s">
        <v>7339</v>
      </c>
      <c r="H66" t="s">
        <v>128</v>
      </c>
      <c r="I66" t="s">
        <v>7218</v>
      </c>
      <c r="J66" t="s">
        <v>7212</v>
      </c>
      <c r="K66" t="s">
        <v>129</v>
      </c>
      <c r="L66" t="s">
        <v>65</v>
      </c>
      <c r="M66" t="s">
        <v>84</v>
      </c>
      <c r="N66" t="s">
        <v>7198</v>
      </c>
      <c r="O66" t="s">
        <v>7195</v>
      </c>
      <c r="P66">
        <v>2</v>
      </c>
      <c r="Q66">
        <v>1299</v>
      </c>
      <c r="R66">
        <v>0.3</v>
      </c>
      <c r="S66">
        <v>2598</v>
      </c>
      <c r="T66">
        <v>779.4</v>
      </c>
      <c r="U66">
        <v>1818.6</v>
      </c>
      <c r="V66">
        <v>585</v>
      </c>
      <c r="W66">
        <v>1170</v>
      </c>
      <c r="X66">
        <v>60</v>
      </c>
      <c r="Y66">
        <v>588.59999999999991</v>
      </c>
      <c r="Z66">
        <v>0.32365555922137906</v>
      </c>
      <c r="AA66">
        <v>0.1</v>
      </c>
      <c r="AB66" s="1">
        <v>45900</v>
      </c>
      <c r="AC66">
        <v>91</v>
      </c>
      <c r="AD66" t="s">
        <v>7311</v>
      </c>
      <c r="AE66">
        <v>0.1</v>
      </c>
      <c r="AF66" t="s">
        <v>18</v>
      </c>
      <c r="AG66" s="1">
        <v>45810</v>
      </c>
      <c r="AH66">
        <v>5</v>
      </c>
      <c r="AI66" t="s">
        <v>7348</v>
      </c>
      <c r="AJ66">
        <v>0</v>
      </c>
    </row>
    <row r="67" spans="1:36" x14ac:dyDescent="0.3">
      <c r="A67" t="s">
        <v>826</v>
      </c>
      <c r="B67" s="1">
        <v>45802</v>
      </c>
      <c r="C67">
        <v>2025</v>
      </c>
      <c r="D67" s="1">
        <v>45778</v>
      </c>
      <c r="E67">
        <v>5</v>
      </c>
      <c r="F67" t="s">
        <v>827</v>
      </c>
      <c r="G67" t="s">
        <v>7339</v>
      </c>
      <c r="H67" t="s">
        <v>14</v>
      </c>
      <c r="I67" t="s">
        <v>7232</v>
      </c>
      <c r="J67" t="s">
        <v>7221</v>
      </c>
      <c r="K67" t="s">
        <v>15</v>
      </c>
      <c r="L67" t="s">
        <v>65</v>
      </c>
      <c r="M67" t="s">
        <v>125</v>
      </c>
      <c r="N67" t="s">
        <v>7194</v>
      </c>
      <c r="O67" t="s">
        <v>7195</v>
      </c>
      <c r="P67">
        <v>1</v>
      </c>
      <c r="Q67">
        <v>899</v>
      </c>
      <c r="R67">
        <v>0</v>
      </c>
      <c r="S67">
        <v>899</v>
      </c>
      <c r="T67">
        <v>0</v>
      </c>
      <c r="U67">
        <v>899</v>
      </c>
      <c r="V67">
        <v>378</v>
      </c>
      <c r="W67">
        <v>378</v>
      </c>
      <c r="X67">
        <v>60</v>
      </c>
      <c r="Y67">
        <v>461</v>
      </c>
      <c r="Z67">
        <v>0.51279199110122353</v>
      </c>
      <c r="AA67">
        <v>5</v>
      </c>
      <c r="AB67" s="1">
        <v>45374</v>
      </c>
      <c r="AC67">
        <v>-428</v>
      </c>
      <c r="AD67" t="s">
        <v>7309</v>
      </c>
      <c r="AE67">
        <v>0.05</v>
      </c>
      <c r="AF67" t="s">
        <v>18</v>
      </c>
      <c r="AG67" s="1">
        <v>45805</v>
      </c>
      <c r="AH67">
        <v>4</v>
      </c>
      <c r="AI67" t="s">
        <v>7349</v>
      </c>
      <c r="AJ67">
        <v>0</v>
      </c>
    </row>
    <row r="68" spans="1:36" x14ac:dyDescent="0.3">
      <c r="A68" t="s">
        <v>2510</v>
      </c>
      <c r="B68" s="1">
        <v>45793</v>
      </c>
      <c r="C68">
        <v>2025</v>
      </c>
      <c r="D68" s="1">
        <v>45778</v>
      </c>
      <c r="E68">
        <v>5</v>
      </c>
      <c r="F68" t="s">
        <v>2511</v>
      </c>
      <c r="G68" t="s">
        <v>7339</v>
      </c>
      <c r="H68" t="s">
        <v>210</v>
      </c>
      <c r="I68" t="s">
        <v>7211</v>
      </c>
      <c r="J68" t="s">
        <v>7212</v>
      </c>
      <c r="K68" t="s">
        <v>211</v>
      </c>
      <c r="L68" t="s">
        <v>65</v>
      </c>
      <c r="M68" t="s">
        <v>565</v>
      </c>
      <c r="N68" t="s">
        <v>7196</v>
      </c>
      <c r="O68" t="s">
        <v>7195</v>
      </c>
      <c r="P68">
        <v>1</v>
      </c>
      <c r="Q68">
        <v>2499</v>
      </c>
      <c r="R68">
        <v>0.1</v>
      </c>
      <c r="S68">
        <v>2499</v>
      </c>
      <c r="T68">
        <v>249.9</v>
      </c>
      <c r="U68">
        <v>2249.1</v>
      </c>
      <c r="V68">
        <v>1250</v>
      </c>
      <c r="W68">
        <v>1250</v>
      </c>
      <c r="X68">
        <v>60</v>
      </c>
      <c r="Y68">
        <v>939.09999999999991</v>
      </c>
      <c r="Z68">
        <v>0.41754479569605618</v>
      </c>
      <c r="AA68">
        <v>0.3</v>
      </c>
      <c r="AB68" s="1">
        <v>45562</v>
      </c>
      <c r="AC68">
        <v>-231</v>
      </c>
      <c r="AD68" t="s">
        <v>7309</v>
      </c>
      <c r="AE68">
        <v>0.3</v>
      </c>
      <c r="AF68" t="s">
        <v>18</v>
      </c>
      <c r="AG68" s="1">
        <v>45799</v>
      </c>
      <c r="AH68">
        <v>2</v>
      </c>
      <c r="AI68" t="s">
        <v>7350</v>
      </c>
      <c r="AJ68">
        <v>0</v>
      </c>
    </row>
    <row r="69" spans="1:36" x14ac:dyDescent="0.3">
      <c r="A69" t="s">
        <v>5521</v>
      </c>
      <c r="B69" s="1">
        <v>45791</v>
      </c>
      <c r="C69">
        <v>2025</v>
      </c>
      <c r="D69" s="1">
        <v>45778</v>
      </c>
      <c r="E69">
        <v>5</v>
      </c>
      <c r="F69" t="s">
        <v>2332</v>
      </c>
      <c r="G69" t="s">
        <v>7339</v>
      </c>
      <c r="H69" t="s">
        <v>128</v>
      </c>
      <c r="I69" t="s">
        <v>7218</v>
      </c>
      <c r="J69" t="s">
        <v>7212</v>
      </c>
      <c r="K69" t="s">
        <v>129</v>
      </c>
      <c r="L69" t="s">
        <v>65</v>
      </c>
      <c r="M69" t="s">
        <v>84</v>
      </c>
      <c r="N69" t="s">
        <v>7198</v>
      </c>
      <c r="O69" t="s">
        <v>7195</v>
      </c>
      <c r="P69">
        <v>2</v>
      </c>
      <c r="Q69">
        <v>1299</v>
      </c>
      <c r="R69">
        <v>0.15</v>
      </c>
      <c r="S69">
        <v>2598</v>
      </c>
      <c r="T69">
        <v>389.7</v>
      </c>
      <c r="U69">
        <v>2208.3000000000002</v>
      </c>
      <c r="V69">
        <v>585</v>
      </c>
      <c r="W69">
        <v>1170</v>
      </c>
      <c r="X69">
        <v>60</v>
      </c>
      <c r="Y69">
        <v>978.30000000000018</v>
      </c>
      <c r="Z69">
        <v>0.44301046053525339</v>
      </c>
      <c r="AA69">
        <v>0.05</v>
      </c>
      <c r="AB69" s="1">
        <v>45867</v>
      </c>
      <c r="AC69">
        <v>76</v>
      </c>
      <c r="AD69" t="s">
        <v>7311</v>
      </c>
      <c r="AE69">
        <v>0.05</v>
      </c>
      <c r="AF69" t="s">
        <v>2522</v>
      </c>
      <c r="AG69" s="1">
        <v>45793</v>
      </c>
      <c r="AH69">
        <v>4</v>
      </c>
      <c r="AI69" t="s">
        <v>7348</v>
      </c>
      <c r="AJ69">
        <v>0</v>
      </c>
    </row>
    <row r="70" spans="1:36" x14ac:dyDescent="0.3">
      <c r="A70" t="s">
        <v>5711</v>
      </c>
      <c r="B70" s="1">
        <v>45788</v>
      </c>
      <c r="C70">
        <v>2025</v>
      </c>
      <c r="D70" s="1">
        <v>45778</v>
      </c>
      <c r="E70">
        <v>5</v>
      </c>
      <c r="F70" t="s">
        <v>2094</v>
      </c>
      <c r="G70" t="s">
        <v>7339</v>
      </c>
      <c r="H70" t="s">
        <v>54</v>
      </c>
      <c r="I70" t="s">
        <v>7216</v>
      </c>
      <c r="J70" t="s">
        <v>7212</v>
      </c>
      <c r="K70" t="s">
        <v>227</v>
      </c>
      <c r="L70" t="s">
        <v>65</v>
      </c>
      <c r="M70" t="s">
        <v>565</v>
      </c>
      <c r="N70" t="s">
        <v>7196</v>
      </c>
      <c r="O70" t="s">
        <v>7195</v>
      </c>
      <c r="P70">
        <v>2</v>
      </c>
      <c r="Q70">
        <v>2499</v>
      </c>
      <c r="R70">
        <v>0</v>
      </c>
      <c r="S70">
        <v>4998</v>
      </c>
      <c r="T70">
        <v>0</v>
      </c>
      <c r="U70">
        <v>4998</v>
      </c>
      <c r="V70">
        <v>1250</v>
      </c>
      <c r="W70">
        <v>2500</v>
      </c>
      <c r="X70">
        <v>60</v>
      </c>
      <c r="Y70">
        <v>2438</v>
      </c>
      <c r="Z70">
        <v>0.48779511804721887</v>
      </c>
      <c r="AA70">
        <v>0.3</v>
      </c>
      <c r="AB70" s="1">
        <v>45888</v>
      </c>
      <c r="AC70">
        <v>100</v>
      </c>
      <c r="AD70" t="s">
        <v>7311</v>
      </c>
      <c r="AE70">
        <v>0.3</v>
      </c>
      <c r="AF70" t="s">
        <v>18</v>
      </c>
      <c r="AG70" s="1">
        <v>45792</v>
      </c>
      <c r="AH70">
        <v>3</v>
      </c>
      <c r="AI70" t="s">
        <v>7348</v>
      </c>
      <c r="AJ70">
        <v>0</v>
      </c>
    </row>
    <row r="71" spans="1:36" x14ac:dyDescent="0.3">
      <c r="A71" t="s">
        <v>3390</v>
      </c>
      <c r="B71" s="1">
        <v>45302</v>
      </c>
      <c r="C71">
        <v>2024</v>
      </c>
      <c r="D71" s="1">
        <v>45292</v>
      </c>
      <c r="E71">
        <v>1</v>
      </c>
      <c r="F71" t="s">
        <v>3377</v>
      </c>
      <c r="G71" t="s">
        <v>7338</v>
      </c>
      <c r="H71" t="s">
        <v>167</v>
      </c>
      <c r="I71" t="s">
        <v>7234</v>
      </c>
      <c r="J71" t="s">
        <v>7231</v>
      </c>
      <c r="K71" t="s">
        <v>190</v>
      </c>
      <c r="L71" t="s">
        <v>65</v>
      </c>
      <c r="M71" t="s">
        <v>24</v>
      </c>
      <c r="N71" t="s">
        <v>7197</v>
      </c>
      <c r="O71" t="s">
        <v>7195</v>
      </c>
      <c r="P71">
        <v>1</v>
      </c>
      <c r="Q71">
        <v>699</v>
      </c>
      <c r="R71">
        <v>0</v>
      </c>
      <c r="S71">
        <v>699</v>
      </c>
      <c r="T71">
        <v>0</v>
      </c>
      <c r="U71">
        <v>699</v>
      </c>
      <c r="V71">
        <v>245</v>
      </c>
      <c r="W71">
        <v>245</v>
      </c>
      <c r="X71">
        <v>120</v>
      </c>
      <c r="Y71">
        <v>334</v>
      </c>
      <c r="Z71">
        <v>0.47782546494992845</v>
      </c>
      <c r="AA71">
        <v>0.25</v>
      </c>
      <c r="AB71" s="1">
        <v>45636</v>
      </c>
      <c r="AC71">
        <v>334</v>
      </c>
      <c r="AD71" t="s">
        <v>7311</v>
      </c>
      <c r="AE71">
        <v>0.25</v>
      </c>
      <c r="AF71" t="s">
        <v>2522</v>
      </c>
      <c r="AG71" s="1">
        <v>45305</v>
      </c>
      <c r="AH71">
        <v>4</v>
      </c>
      <c r="AI71" t="s">
        <v>7353</v>
      </c>
      <c r="AJ71">
        <v>1</v>
      </c>
    </row>
    <row r="72" spans="1:36" x14ac:dyDescent="0.3">
      <c r="A72" t="s">
        <v>6166</v>
      </c>
      <c r="B72" s="1">
        <v>45787</v>
      </c>
      <c r="C72">
        <v>2025</v>
      </c>
      <c r="D72" s="1">
        <v>45778</v>
      </c>
      <c r="E72">
        <v>5</v>
      </c>
      <c r="F72" t="s">
        <v>1615</v>
      </c>
      <c r="G72" t="s">
        <v>7339</v>
      </c>
      <c r="H72" t="s">
        <v>128</v>
      </c>
      <c r="I72" t="s">
        <v>7218</v>
      </c>
      <c r="J72" t="s">
        <v>7212</v>
      </c>
      <c r="K72" t="s">
        <v>129</v>
      </c>
      <c r="L72" t="s">
        <v>65</v>
      </c>
      <c r="M72" t="s">
        <v>125</v>
      </c>
      <c r="N72" t="s">
        <v>7194</v>
      </c>
      <c r="O72" t="s">
        <v>7195</v>
      </c>
      <c r="P72">
        <v>2</v>
      </c>
      <c r="Q72">
        <v>899</v>
      </c>
      <c r="R72">
        <v>0.35</v>
      </c>
      <c r="S72">
        <v>1798</v>
      </c>
      <c r="T72">
        <v>629.29999999999995</v>
      </c>
      <c r="U72">
        <v>1168.7</v>
      </c>
      <c r="V72">
        <v>378</v>
      </c>
      <c r="W72">
        <v>756</v>
      </c>
      <c r="X72">
        <v>60</v>
      </c>
      <c r="Y72">
        <v>352.70000000000005</v>
      </c>
      <c r="Z72">
        <v>0.30178831179943527</v>
      </c>
      <c r="AA72">
        <v>0.05</v>
      </c>
      <c r="AB72" s="1">
        <v>45938</v>
      </c>
      <c r="AC72">
        <v>151</v>
      </c>
      <c r="AD72" t="s">
        <v>7311</v>
      </c>
      <c r="AE72">
        <v>0.05</v>
      </c>
      <c r="AF72" t="s">
        <v>18</v>
      </c>
      <c r="AG72" s="1">
        <v>45788</v>
      </c>
      <c r="AH72">
        <v>4</v>
      </c>
      <c r="AJ72">
        <v>0</v>
      </c>
    </row>
    <row r="73" spans="1:36" x14ac:dyDescent="0.3">
      <c r="A73" t="s">
        <v>7096</v>
      </c>
      <c r="B73" s="1">
        <v>45785</v>
      </c>
      <c r="C73">
        <v>2025</v>
      </c>
      <c r="D73" s="1">
        <v>45778</v>
      </c>
      <c r="E73">
        <v>5</v>
      </c>
      <c r="F73" t="s">
        <v>2199</v>
      </c>
      <c r="G73" t="s">
        <v>7339</v>
      </c>
      <c r="H73" t="s">
        <v>275</v>
      </c>
      <c r="I73" t="s">
        <v>7235</v>
      </c>
      <c r="J73" t="s">
        <v>7231</v>
      </c>
      <c r="K73" t="s">
        <v>491</v>
      </c>
      <c r="L73" t="s">
        <v>65</v>
      </c>
      <c r="M73" t="s">
        <v>24</v>
      </c>
      <c r="N73" t="s">
        <v>7197</v>
      </c>
      <c r="O73" t="s">
        <v>7195</v>
      </c>
      <c r="P73">
        <v>4</v>
      </c>
      <c r="Q73">
        <v>699</v>
      </c>
      <c r="R73">
        <v>0.3</v>
      </c>
      <c r="S73">
        <v>2796</v>
      </c>
      <c r="T73">
        <v>838.8</v>
      </c>
      <c r="U73">
        <v>1957.2</v>
      </c>
      <c r="V73">
        <v>245</v>
      </c>
      <c r="W73">
        <v>980</v>
      </c>
      <c r="X73">
        <v>60</v>
      </c>
      <c r="Y73">
        <v>917.2</v>
      </c>
      <c r="Z73">
        <v>0.46862865317800939</v>
      </c>
      <c r="AA73">
        <v>0.3</v>
      </c>
      <c r="AB73" s="1">
        <v>46016</v>
      </c>
      <c r="AC73">
        <v>231</v>
      </c>
      <c r="AD73" t="s">
        <v>7311</v>
      </c>
      <c r="AE73">
        <v>0.3</v>
      </c>
      <c r="AF73" t="s">
        <v>18</v>
      </c>
      <c r="AG73" s="1">
        <v>45788</v>
      </c>
      <c r="AH73">
        <v>4</v>
      </c>
      <c r="AJ73">
        <v>0</v>
      </c>
    </row>
    <row r="74" spans="1:36" x14ac:dyDescent="0.3">
      <c r="A74" t="s">
        <v>3059</v>
      </c>
      <c r="B74" s="1">
        <v>45784</v>
      </c>
      <c r="C74">
        <v>2025</v>
      </c>
      <c r="D74" s="1">
        <v>45778</v>
      </c>
      <c r="E74">
        <v>5</v>
      </c>
      <c r="F74" t="s">
        <v>1669</v>
      </c>
      <c r="G74" t="s">
        <v>7339</v>
      </c>
      <c r="H74" t="s">
        <v>123</v>
      </c>
      <c r="I74" t="s">
        <v>7227</v>
      </c>
      <c r="J74" t="s">
        <v>7221</v>
      </c>
      <c r="K74" t="s">
        <v>124</v>
      </c>
      <c r="L74" t="s">
        <v>65</v>
      </c>
      <c r="M74" t="s">
        <v>84</v>
      </c>
      <c r="N74" t="s">
        <v>7198</v>
      </c>
      <c r="O74" t="s">
        <v>7195</v>
      </c>
      <c r="P74">
        <v>1</v>
      </c>
      <c r="Q74">
        <v>1299</v>
      </c>
      <c r="R74">
        <v>0.6</v>
      </c>
      <c r="S74">
        <v>1299</v>
      </c>
      <c r="T74">
        <v>779.4</v>
      </c>
      <c r="U74">
        <v>519.6</v>
      </c>
      <c r="V74">
        <v>585</v>
      </c>
      <c r="W74">
        <v>585</v>
      </c>
      <c r="X74">
        <v>60</v>
      </c>
      <c r="Y74">
        <v>-125.39999999999998</v>
      </c>
      <c r="Z74">
        <v>-0.24133949191685908</v>
      </c>
      <c r="AA74">
        <v>5</v>
      </c>
      <c r="AB74" s="1">
        <v>45603</v>
      </c>
      <c r="AC74">
        <v>-181</v>
      </c>
      <c r="AD74" t="s">
        <v>7309</v>
      </c>
      <c r="AE74">
        <v>0.05</v>
      </c>
      <c r="AF74" t="s">
        <v>2522</v>
      </c>
      <c r="AG74" s="1">
        <v>45789</v>
      </c>
      <c r="AJ74">
        <v>0</v>
      </c>
    </row>
    <row r="75" spans="1:36" x14ac:dyDescent="0.3">
      <c r="A75" t="s">
        <v>5194</v>
      </c>
      <c r="B75" s="1">
        <v>45783</v>
      </c>
      <c r="C75">
        <v>2025</v>
      </c>
      <c r="D75" s="1">
        <v>45778</v>
      </c>
      <c r="E75">
        <v>5</v>
      </c>
      <c r="F75" t="s">
        <v>5195</v>
      </c>
      <c r="G75" t="s">
        <v>7338</v>
      </c>
      <c r="H75" t="s">
        <v>128</v>
      </c>
      <c r="I75" t="s">
        <v>7218</v>
      </c>
      <c r="J75" t="s">
        <v>7212</v>
      </c>
      <c r="K75" t="s">
        <v>129</v>
      </c>
      <c r="L75" t="s">
        <v>65</v>
      </c>
      <c r="M75" t="s">
        <v>24</v>
      </c>
      <c r="N75" t="s">
        <v>7197</v>
      </c>
      <c r="O75" t="s">
        <v>7195</v>
      </c>
      <c r="P75">
        <v>2</v>
      </c>
      <c r="Q75">
        <v>699</v>
      </c>
      <c r="R75">
        <v>0.05</v>
      </c>
      <c r="S75">
        <v>1398</v>
      </c>
      <c r="T75">
        <v>69.900000000000006</v>
      </c>
      <c r="U75">
        <v>1328.1</v>
      </c>
      <c r="V75">
        <v>245</v>
      </c>
      <c r="W75">
        <v>490</v>
      </c>
      <c r="X75">
        <v>60</v>
      </c>
      <c r="Y75">
        <v>778.09999999999991</v>
      </c>
      <c r="Z75">
        <v>0.58587455763873197</v>
      </c>
      <c r="AA75">
        <v>30</v>
      </c>
      <c r="AB75" s="1">
        <v>45827</v>
      </c>
      <c r="AC75">
        <v>44</v>
      </c>
      <c r="AD75" t="s">
        <v>7311</v>
      </c>
      <c r="AE75">
        <v>0.3</v>
      </c>
      <c r="AF75" t="s">
        <v>3495</v>
      </c>
      <c r="AG75" s="1">
        <v>45785</v>
      </c>
      <c r="AH75">
        <v>5</v>
      </c>
      <c r="AJ75">
        <v>0</v>
      </c>
    </row>
    <row r="76" spans="1:36" x14ac:dyDescent="0.3">
      <c r="A76" t="s">
        <v>3447</v>
      </c>
      <c r="B76" s="1">
        <v>45773</v>
      </c>
      <c r="C76">
        <v>2025</v>
      </c>
      <c r="D76" s="1">
        <v>45748</v>
      </c>
      <c r="E76">
        <v>4</v>
      </c>
      <c r="F76" t="s">
        <v>957</v>
      </c>
      <c r="G76" t="s">
        <v>7339</v>
      </c>
      <c r="H76" t="s">
        <v>76</v>
      </c>
      <c r="I76" t="s">
        <v>7219</v>
      </c>
      <c r="J76" t="s">
        <v>7212</v>
      </c>
      <c r="K76" t="s">
        <v>77</v>
      </c>
      <c r="L76" t="s">
        <v>65</v>
      </c>
      <c r="M76" t="s">
        <v>84</v>
      </c>
      <c r="N76" t="s">
        <v>7198</v>
      </c>
      <c r="O76" t="s">
        <v>7195</v>
      </c>
      <c r="P76">
        <v>1</v>
      </c>
      <c r="Q76">
        <v>1299</v>
      </c>
      <c r="R76">
        <v>0.15</v>
      </c>
      <c r="S76">
        <v>1299</v>
      </c>
      <c r="T76">
        <v>194.85</v>
      </c>
      <c r="U76">
        <v>1104.1500000000001</v>
      </c>
      <c r="V76">
        <v>585</v>
      </c>
      <c r="W76">
        <v>585</v>
      </c>
      <c r="X76">
        <v>120</v>
      </c>
      <c r="Y76">
        <v>399.15000000000009</v>
      </c>
      <c r="Z76">
        <v>0.36149979622333928</v>
      </c>
      <c r="AA76">
        <v>0</v>
      </c>
      <c r="AB76" s="1">
        <v>45641</v>
      </c>
      <c r="AC76">
        <v>-132</v>
      </c>
      <c r="AD76" t="s">
        <v>7309</v>
      </c>
      <c r="AE76">
        <v>0</v>
      </c>
      <c r="AF76" t="s">
        <v>2522</v>
      </c>
      <c r="AG76" s="1">
        <v>45777</v>
      </c>
      <c r="AH76">
        <v>4</v>
      </c>
      <c r="AI76" t="s">
        <v>7353</v>
      </c>
      <c r="AJ76">
        <v>1</v>
      </c>
    </row>
    <row r="77" spans="1:36" x14ac:dyDescent="0.3">
      <c r="A77" t="s">
        <v>5187</v>
      </c>
      <c r="B77" s="1">
        <v>45770</v>
      </c>
      <c r="C77">
        <v>2025</v>
      </c>
      <c r="D77" s="1">
        <v>45748</v>
      </c>
      <c r="E77">
        <v>4</v>
      </c>
      <c r="F77" t="s">
        <v>5188</v>
      </c>
      <c r="G77" t="s">
        <v>7338</v>
      </c>
      <c r="H77" t="s">
        <v>27</v>
      </c>
      <c r="I77" t="s">
        <v>7228</v>
      </c>
      <c r="J77" t="s">
        <v>7221</v>
      </c>
      <c r="K77" t="s">
        <v>28</v>
      </c>
      <c r="L77" t="s">
        <v>65</v>
      </c>
      <c r="M77" t="s">
        <v>125</v>
      </c>
      <c r="N77" t="s">
        <v>7194</v>
      </c>
      <c r="O77" t="s">
        <v>7195</v>
      </c>
      <c r="P77">
        <v>2</v>
      </c>
      <c r="Q77">
        <v>899</v>
      </c>
      <c r="R77">
        <v>0.05</v>
      </c>
      <c r="S77">
        <v>1798</v>
      </c>
      <c r="T77">
        <v>89.9</v>
      </c>
      <c r="U77">
        <v>1708.1</v>
      </c>
      <c r="V77">
        <v>378</v>
      </c>
      <c r="W77">
        <v>756</v>
      </c>
      <c r="X77">
        <v>60</v>
      </c>
      <c r="Y77">
        <v>892.09999999999991</v>
      </c>
      <c r="Z77">
        <v>0.52227621333645569</v>
      </c>
      <c r="AA77">
        <v>0.05</v>
      </c>
      <c r="AB77" s="1">
        <v>45828</v>
      </c>
      <c r="AC77">
        <v>58</v>
      </c>
      <c r="AD77" t="s">
        <v>7311</v>
      </c>
      <c r="AE77">
        <v>0.05</v>
      </c>
      <c r="AF77" t="s">
        <v>3495</v>
      </c>
      <c r="AG77" s="1">
        <v>45773</v>
      </c>
      <c r="AI77" t="s">
        <v>7348</v>
      </c>
      <c r="AJ77">
        <v>0</v>
      </c>
    </row>
    <row r="78" spans="1:36" x14ac:dyDescent="0.3">
      <c r="A78" t="s">
        <v>4699</v>
      </c>
      <c r="B78" s="1">
        <v>45765</v>
      </c>
      <c r="C78">
        <v>2025</v>
      </c>
      <c r="D78" s="1">
        <v>45748</v>
      </c>
      <c r="E78">
        <v>4</v>
      </c>
      <c r="F78" t="s">
        <v>4095</v>
      </c>
      <c r="G78" t="s">
        <v>7339</v>
      </c>
      <c r="H78" t="s">
        <v>76</v>
      </c>
      <c r="I78" t="s">
        <v>7219</v>
      </c>
      <c r="J78" t="s">
        <v>7212</v>
      </c>
      <c r="K78" t="s">
        <v>77</v>
      </c>
      <c r="L78" t="s">
        <v>65</v>
      </c>
      <c r="M78" t="s">
        <v>84</v>
      </c>
      <c r="N78" t="s">
        <v>7198</v>
      </c>
      <c r="O78" t="s">
        <v>7195</v>
      </c>
      <c r="P78">
        <v>1</v>
      </c>
      <c r="Q78">
        <v>1299</v>
      </c>
      <c r="R78">
        <v>0.05</v>
      </c>
      <c r="S78">
        <v>1299</v>
      </c>
      <c r="T78">
        <v>64.95</v>
      </c>
      <c r="U78">
        <v>1234.05</v>
      </c>
      <c r="V78">
        <v>585</v>
      </c>
      <c r="W78">
        <v>585</v>
      </c>
      <c r="X78">
        <v>60</v>
      </c>
      <c r="Y78">
        <v>589.04999999999995</v>
      </c>
      <c r="Z78">
        <v>0.47733074024553296</v>
      </c>
      <c r="AA78">
        <v>10</v>
      </c>
      <c r="AB78" s="1">
        <v>45772</v>
      </c>
      <c r="AC78">
        <v>7</v>
      </c>
      <c r="AD78" t="s">
        <v>7311</v>
      </c>
      <c r="AE78">
        <v>0.1</v>
      </c>
      <c r="AF78" t="s">
        <v>4450</v>
      </c>
      <c r="AG78" s="1">
        <v>45769</v>
      </c>
      <c r="AH78">
        <v>3</v>
      </c>
      <c r="AJ78">
        <v>0</v>
      </c>
    </row>
    <row r="79" spans="1:36" x14ac:dyDescent="0.3">
      <c r="A79" t="s">
        <v>7003</v>
      </c>
      <c r="B79" s="1">
        <v>45762</v>
      </c>
      <c r="C79">
        <v>2025</v>
      </c>
      <c r="D79" s="1">
        <v>45748</v>
      </c>
      <c r="E79">
        <v>4</v>
      </c>
      <c r="F79" t="s">
        <v>1580</v>
      </c>
      <c r="G79" t="s">
        <v>7339</v>
      </c>
      <c r="H79" t="s">
        <v>95</v>
      </c>
      <c r="I79" t="s">
        <v>7230</v>
      </c>
      <c r="J79" t="s">
        <v>7231</v>
      </c>
      <c r="K79" t="s">
        <v>96</v>
      </c>
      <c r="L79" t="s">
        <v>65</v>
      </c>
      <c r="M79" t="s">
        <v>24</v>
      </c>
      <c r="N79" t="s">
        <v>7197</v>
      </c>
      <c r="O79" t="s">
        <v>7195</v>
      </c>
      <c r="P79">
        <v>4</v>
      </c>
      <c r="Q79">
        <v>699</v>
      </c>
      <c r="R79">
        <v>0</v>
      </c>
      <c r="S79">
        <v>2796</v>
      </c>
      <c r="T79">
        <v>0</v>
      </c>
      <c r="U79">
        <v>2796</v>
      </c>
      <c r="V79">
        <v>245</v>
      </c>
      <c r="W79">
        <v>980</v>
      </c>
      <c r="X79">
        <v>60</v>
      </c>
      <c r="Y79">
        <v>1756</v>
      </c>
      <c r="Z79">
        <v>0.62804005722460654</v>
      </c>
      <c r="AA79">
        <v>0.3</v>
      </c>
      <c r="AB79" s="1">
        <v>46003</v>
      </c>
      <c r="AC79">
        <v>241</v>
      </c>
      <c r="AD79" t="s">
        <v>7311</v>
      </c>
      <c r="AE79">
        <v>0.3</v>
      </c>
      <c r="AF79" t="s">
        <v>2522</v>
      </c>
      <c r="AG79" s="1">
        <v>45764</v>
      </c>
      <c r="AI79" t="s">
        <v>7348</v>
      </c>
      <c r="AJ79">
        <v>0</v>
      </c>
    </row>
    <row r="80" spans="1:36" x14ac:dyDescent="0.3">
      <c r="A80" t="s">
        <v>1732</v>
      </c>
      <c r="B80" s="1">
        <v>45758</v>
      </c>
      <c r="C80">
        <v>2025</v>
      </c>
      <c r="D80" s="1">
        <v>45748</v>
      </c>
      <c r="E80">
        <v>4</v>
      </c>
      <c r="F80" t="s">
        <v>1733</v>
      </c>
      <c r="G80" t="s">
        <v>7339</v>
      </c>
      <c r="H80" t="s">
        <v>14</v>
      </c>
      <c r="I80" t="s">
        <v>7232</v>
      </c>
      <c r="J80" t="s">
        <v>7221</v>
      </c>
      <c r="K80" t="s">
        <v>15</v>
      </c>
      <c r="L80" t="s">
        <v>65</v>
      </c>
      <c r="M80" t="s">
        <v>24</v>
      </c>
      <c r="N80" t="s">
        <v>7197</v>
      </c>
      <c r="O80" t="s">
        <v>7195</v>
      </c>
      <c r="P80">
        <v>1</v>
      </c>
      <c r="Q80">
        <v>699</v>
      </c>
      <c r="R80">
        <v>0.1</v>
      </c>
      <c r="S80">
        <v>699</v>
      </c>
      <c r="T80">
        <v>69.900000000000006</v>
      </c>
      <c r="U80">
        <v>629.1</v>
      </c>
      <c r="V80">
        <v>245</v>
      </c>
      <c r="W80">
        <v>245</v>
      </c>
      <c r="X80">
        <v>60</v>
      </c>
      <c r="Y80">
        <v>324.10000000000002</v>
      </c>
      <c r="Z80">
        <v>0.51518041646797008</v>
      </c>
      <c r="AA80">
        <v>0.15</v>
      </c>
      <c r="AB80" s="1">
        <v>45476</v>
      </c>
      <c r="AC80">
        <v>-282</v>
      </c>
      <c r="AD80" t="s">
        <v>7309</v>
      </c>
      <c r="AE80">
        <v>0.15</v>
      </c>
      <c r="AF80" t="s">
        <v>18</v>
      </c>
      <c r="AG80" s="1">
        <v>45761</v>
      </c>
      <c r="AJ80">
        <v>0</v>
      </c>
    </row>
    <row r="81" spans="1:36" x14ac:dyDescent="0.3">
      <c r="A81" t="s">
        <v>4407</v>
      </c>
      <c r="B81" s="1">
        <v>45754</v>
      </c>
      <c r="C81">
        <v>2025</v>
      </c>
      <c r="D81" s="1">
        <v>45748</v>
      </c>
      <c r="E81">
        <v>4</v>
      </c>
      <c r="F81" t="s">
        <v>297</v>
      </c>
      <c r="G81" t="s">
        <v>7339</v>
      </c>
      <c r="H81" t="s">
        <v>167</v>
      </c>
      <c r="I81" t="s">
        <v>7234</v>
      </c>
      <c r="J81" t="s">
        <v>7231</v>
      </c>
      <c r="K81" t="s">
        <v>168</v>
      </c>
      <c r="L81" t="s">
        <v>65</v>
      </c>
      <c r="M81" t="s">
        <v>84</v>
      </c>
      <c r="N81" t="s">
        <v>7198</v>
      </c>
      <c r="O81" t="s">
        <v>7195</v>
      </c>
      <c r="P81">
        <v>1</v>
      </c>
      <c r="Q81">
        <v>1299</v>
      </c>
      <c r="R81">
        <v>0.35</v>
      </c>
      <c r="S81">
        <v>1299</v>
      </c>
      <c r="T81">
        <v>454.65</v>
      </c>
      <c r="U81">
        <v>844.35</v>
      </c>
      <c r="V81">
        <v>585</v>
      </c>
      <c r="W81">
        <v>585</v>
      </c>
      <c r="X81">
        <v>60</v>
      </c>
      <c r="Y81">
        <v>199.35000000000002</v>
      </c>
      <c r="Z81">
        <v>0.2360987742050098</v>
      </c>
      <c r="AA81">
        <v>0</v>
      </c>
      <c r="AB81" s="1">
        <v>45742</v>
      </c>
      <c r="AC81">
        <v>-12</v>
      </c>
      <c r="AD81" t="s">
        <v>7309</v>
      </c>
      <c r="AE81">
        <v>0</v>
      </c>
      <c r="AF81" t="s">
        <v>4074</v>
      </c>
      <c r="AG81" s="1">
        <v>45756</v>
      </c>
      <c r="AH81">
        <v>4</v>
      </c>
      <c r="AJ81">
        <v>0</v>
      </c>
    </row>
    <row r="82" spans="1:36" x14ac:dyDescent="0.3">
      <c r="A82" t="s">
        <v>1721</v>
      </c>
      <c r="B82" s="1">
        <v>45747</v>
      </c>
      <c r="C82">
        <v>2025</v>
      </c>
      <c r="D82" s="1">
        <v>45717</v>
      </c>
      <c r="E82">
        <v>3</v>
      </c>
      <c r="F82" t="s">
        <v>1539</v>
      </c>
      <c r="G82" t="s">
        <v>7339</v>
      </c>
      <c r="H82" t="s">
        <v>37</v>
      </c>
      <c r="I82" t="s">
        <v>7223</v>
      </c>
      <c r="J82" t="s">
        <v>7224</v>
      </c>
      <c r="K82" t="s">
        <v>38</v>
      </c>
      <c r="L82" t="s">
        <v>65</v>
      </c>
      <c r="M82" t="s">
        <v>125</v>
      </c>
      <c r="N82" t="s">
        <v>7194</v>
      </c>
      <c r="O82" t="s">
        <v>7195</v>
      </c>
      <c r="P82">
        <v>1</v>
      </c>
      <c r="Q82">
        <v>899</v>
      </c>
      <c r="R82">
        <v>0.05</v>
      </c>
      <c r="S82">
        <v>899</v>
      </c>
      <c r="T82">
        <v>44.95</v>
      </c>
      <c r="U82">
        <v>854.05</v>
      </c>
      <c r="V82">
        <v>378</v>
      </c>
      <c r="W82">
        <v>378</v>
      </c>
      <c r="X82">
        <v>60</v>
      </c>
      <c r="Y82">
        <v>416.04999999999995</v>
      </c>
      <c r="Z82">
        <v>0.48714946431707745</v>
      </c>
      <c r="AA82">
        <v>0.1</v>
      </c>
      <c r="AB82" s="1">
        <v>45477</v>
      </c>
      <c r="AC82">
        <v>-270</v>
      </c>
      <c r="AD82" t="s">
        <v>7309</v>
      </c>
      <c r="AE82">
        <v>0.1</v>
      </c>
      <c r="AF82" t="s">
        <v>18</v>
      </c>
      <c r="AG82" s="1">
        <v>45749</v>
      </c>
      <c r="AI82" t="s">
        <v>7350</v>
      </c>
      <c r="AJ82">
        <v>0</v>
      </c>
    </row>
    <row r="83" spans="1:36" x14ac:dyDescent="0.3">
      <c r="A83" t="s">
        <v>6710</v>
      </c>
      <c r="B83" s="1">
        <v>45746</v>
      </c>
      <c r="C83">
        <v>2025</v>
      </c>
      <c r="D83" s="1">
        <v>45717</v>
      </c>
      <c r="E83">
        <v>3</v>
      </c>
      <c r="F83" t="s">
        <v>2406</v>
      </c>
      <c r="G83" t="s">
        <v>7339</v>
      </c>
      <c r="H83" t="s">
        <v>167</v>
      </c>
      <c r="I83" t="s">
        <v>7234</v>
      </c>
      <c r="J83" t="s">
        <v>7231</v>
      </c>
      <c r="K83" t="s">
        <v>168</v>
      </c>
      <c r="L83" t="s">
        <v>65</v>
      </c>
      <c r="M83" t="s">
        <v>125</v>
      </c>
      <c r="N83" t="s">
        <v>7194</v>
      </c>
      <c r="O83" t="s">
        <v>7195</v>
      </c>
      <c r="P83">
        <v>3</v>
      </c>
      <c r="Q83">
        <v>899</v>
      </c>
      <c r="R83">
        <v>0.15</v>
      </c>
      <c r="S83">
        <v>2697</v>
      </c>
      <c r="T83">
        <v>404.55</v>
      </c>
      <c r="U83">
        <v>2292.4499999999998</v>
      </c>
      <c r="V83">
        <v>378</v>
      </c>
      <c r="W83">
        <v>1134</v>
      </c>
      <c r="X83">
        <v>60</v>
      </c>
      <c r="Y83">
        <v>1098.4499999999998</v>
      </c>
      <c r="Z83">
        <v>0.47915985081463058</v>
      </c>
      <c r="AA83">
        <v>5</v>
      </c>
      <c r="AB83" s="1">
        <v>45979</v>
      </c>
      <c r="AC83">
        <v>233</v>
      </c>
      <c r="AD83" t="s">
        <v>7311</v>
      </c>
      <c r="AE83">
        <v>0.05</v>
      </c>
      <c r="AF83" t="s">
        <v>2522</v>
      </c>
      <c r="AG83" s="1">
        <v>45749</v>
      </c>
      <c r="AH83">
        <v>4</v>
      </c>
      <c r="AJ83">
        <v>0</v>
      </c>
    </row>
    <row r="84" spans="1:36" x14ac:dyDescent="0.3">
      <c r="A84" t="s">
        <v>267</v>
      </c>
      <c r="B84" s="1">
        <v>45734</v>
      </c>
      <c r="C84">
        <v>2025</v>
      </c>
      <c r="D84" s="1">
        <v>45717</v>
      </c>
      <c r="E84">
        <v>3</v>
      </c>
      <c r="F84" t="s">
        <v>268</v>
      </c>
      <c r="G84" t="s">
        <v>7339</v>
      </c>
      <c r="H84" t="s">
        <v>167</v>
      </c>
      <c r="I84" t="s">
        <v>7234</v>
      </c>
      <c r="J84" t="s">
        <v>7231</v>
      </c>
      <c r="K84" t="s">
        <v>168</v>
      </c>
      <c r="L84" t="s">
        <v>65</v>
      </c>
      <c r="M84" t="s">
        <v>24</v>
      </c>
      <c r="N84" t="s">
        <v>7197</v>
      </c>
      <c r="O84" t="s">
        <v>7195</v>
      </c>
      <c r="P84">
        <v>1</v>
      </c>
      <c r="Q84">
        <v>699</v>
      </c>
      <c r="R84">
        <v>0.15</v>
      </c>
      <c r="S84">
        <v>699</v>
      </c>
      <c r="T84">
        <v>104.85</v>
      </c>
      <c r="U84">
        <v>594.15</v>
      </c>
      <c r="V84">
        <v>245</v>
      </c>
      <c r="W84">
        <v>245</v>
      </c>
      <c r="X84">
        <v>60</v>
      </c>
      <c r="Y84">
        <v>289.14999999999998</v>
      </c>
      <c r="Z84">
        <v>0.48666161743667424</v>
      </c>
      <c r="AA84">
        <v>0.2</v>
      </c>
      <c r="AB84" s="1">
        <v>45309</v>
      </c>
      <c r="AC84">
        <v>-425</v>
      </c>
      <c r="AD84" t="s">
        <v>7309</v>
      </c>
      <c r="AE84">
        <v>0.2</v>
      </c>
      <c r="AF84" t="s">
        <v>18</v>
      </c>
      <c r="AG84" s="1">
        <v>45736</v>
      </c>
      <c r="AH84">
        <v>4</v>
      </c>
      <c r="AI84" t="s">
        <v>7348</v>
      </c>
      <c r="AJ84">
        <v>0</v>
      </c>
    </row>
    <row r="85" spans="1:36" x14ac:dyDescent="0.3">
      <c r="A85" t="s">
        <v>6577</v>
      </c>
      <c r="B85" s="1">
        <v>45733</v>
      </c>
      <c r="C85">
        <v>2025</v>
      </c>
      <c r="D85" s="1">
        <v>45717</v>
      </c>
      <c r="E85">
        <v>3</v>
      </c>
      <c r="F85" t="s">
        <v>1035</v>
      </c>
      <c r="G85" t="s">
        <v>7338</v>
      </c>
      <c r="H85" t="s">
        <v>71</v>
      </c>
      <c r="I85" t="s">
        <v>7229</v>
      </c>
      <c r="J85" t="s">
        <v>7224</v>
      </c>
      <c r="K85" t="s">
        <v>81</v>
      </c>
      <c r="L85" t="s">
        <v>65</v>
      </c>
      <c r="M85" t="s">
        <v>84</v>
      </c>
      <c r="N85" t="s">
        <v>7198</v>
      </c>
      <c r="O85" t="s">
        <v>7195</v>
      </c>
      <c r="P85">
        <v>3</v>
      </c>
      <c r="Q85">
        <v>1299</v>
      </c>
      <c r="R85">
        <v>0.15</v>
      </c>
      <c r="S85">
        <v>3897</v>
      </c>
      <c r="T85">
        <v>584.54999999999995</v>
      </c>
      <c r="U85">
        <v>3312.45</v>
      </c>
      <c r="V85">
        <v>585</v>
      </c>
      <c r="W85">
        <v>1755</v>
      </c>
      <c r="X85">
        <v>60</v>
      </c>
      <c r="Y85">
        <v>1497.4499999999998</v>
      </c>
      <c r="Z85">
        <v>0.45206720101435488</v>
      </c>
      <c r="AA85">
        <v>0</v>
      </c>
      <c r="AB85" s="1">
        <v>45971</v>
      </c>
      <c r="AC85">
        <v>238</v>
      </c>
      <c r="AD85" t="s">
        <v>7311</v>
      </c>
      <c r="AE85">
        <v>0</v>
      </c>
      <c r="AF85" t="s">
        <v>18</v>
      </c>
      <c r="AG85" s="1">
        <v>45735</v>
      </c>
      <c r="AH85">
        <v>4</v>
      </c>
      <c r="AI85" t="s">
        <v>7348</v>
      </c>
      <c r="AJ85">
        <v>0</v>
      </c>
    </row>
    <row r="86" spans="1:36" x14ac:dyDescent="0.3">
      <c r="A86" t="s">
        <v>4272</v>
      </c>
      <c r="B86" s="1">
        <v>45731</v>
      </c>
      <c r="C86">
        <v>2025</v>
      </c>
      <c r="D86" s="1">
        <v>45717</v>
      </c>
      <c r="E86">
        <v>3</v>
      </c>
      <c r="F86" t="s">
        <v>3685</v>
      </c>
      <c r="G86" t="s">
        <v>7339</v>
      </c>
      <c r="H86" t="s">
        <v>59</v>
      </c>
      <c r="I86" t="s">
        <v>7237</v>
      </c>
      <c r="J86" t="s">
        <v>7231</v>
      </c>
      <c r="K86" t="s">
        <v>64</v>
      </c>
      <c r="L86" t="s">
        <v>65</v>
      </c>
      <c r="M86" t="s">
        <v>24</v>
      </c>
      <c r="N86" t="s">
        <v>7197</v>
      </c>
      <c r="O86" t="s">
        <v>7195</v>
      </c>
      <c r="P86">
        <v>1</v>
      </c>
      <c r="Q86">
        <v>699</v>
      </c>
      <c r="R86">
        <v>0.3</v>
      </c>
      <c r="S86">
        <v>699</v>
      </c>
      <c r="T86">
        <v>209.7</v>
      </c>
      <c r="U86">
        <v>489.3</v>
      </c>
      <c r="V86">
        <v>245</v>
      </c>
      <c r="W86">
        <v>245</v>
      </c>
      <c r="X86">
        <v>60</v>
      </c>
      <c r="Y86">
        <v>184.3</v>
      </c>
      <c r="Z86">
        <v>0.37666053545881872</v>
      </c>
      <c r="AA86">
        <v>0.2</v>
      </c>
      <c r="AB86" s="1">
        <v>45727</v>
      </c>
      <c r="AC86">
        <v>-4</v>
      </c>
      <c r="AD86" t="s">
        <v>7309</v>
      </c>
      <c r="AE86">
        <v>0.2</v>
      </c>
      <c r="AF86" t="s">
        <v>4074</v>
      </c>
      <c r="AG86" s="1">
        <v>45732</v>
      </c>
      <c r="AI86" t="s">
        <v>7348</v>
      </c>
      <c r="AJ86">
        <v>0</v>
      </c>
    </row>
    <row r="87" spans="1:36" x14ac:dyDescent="0.3">
      <c r="A87" t="s">
        <v>4553</v>
      </c>
      <c r="B87" s="1">
        <v>45305</v>
      </c>
      <c r="C87">
        <v>2024</v>
      </c>
      <c r="D87" s="1">
        <v>45292</v>
      </c>
      <c r="E87">
        <v>1</v>
      </c>
      <c r="F87" t="s">
        <v>3973</v>
      </c>
      <c r="G87" t="s">
        <v>7338</v>
      </c>
      <c r="H87" t="s">
        <v>54</v>
      </c>
      <c r="I87" t="s">
        <v>7216</v>
      </c>
      <c r="J87" t="s">
        <v>7212</v>
      </c>
      <c r="K87" t="s">
        <v>227</v>
      </c>
      <c r="L87" t="s">
        <v>65</v>
      </c>
      <c r="M87" t="s">
        <v>125</v>
      </c>
      <c r="N87" t="s">
        <v>7194</v>
      </c>
      <c r="O87" t="s">
        <v>7195</v>
      </c>
      <c r="P87">
        <v>1</v>
      </c>
      <c r="Q87">
        <v>899</v>
      </c>
      <c r="R87">
        <v>0</v>
      </c>
      <c r="S87">
        <v>899</v>
      </c>
      <c r="T87">
        <v>0</v>
      </c>
      <c r="U87">
        <v>899</v>
      </c>
      <c r="V87">
        <v>378</v>
      </c>
      <c r="W87">
        <v>378</v>
      </c>
      <c r="X87">
        <v>60</v>
      </c>
      <c r="Y87">
        <v>461</v>
      </c>
      <c r="Z87">
        <v>0.51279199110122353</v>
      </c>
      <c r="AA87">
        <v>15</v>
      </c>
      <c r="AB87" s="1">
        <v>45756</v>
      </c>
      <c r="AC87">
        <v>451</v>
      </c>
      <c r="AD87" t="s">
        <v>7311</v>
      </c>
      <c r="AE87">
        <v>0.15</v>
      </c>
      <c r="AF87" t="s">
        <v>4450</v>
      </c>
      <c r="AG87" s="1">
        <v>45309</v>
      </c>
      <c r="AI87" t="s">
        <v>7348</v>
      </c>
      <c r="AJ87">
        <v>0</v>
      </c>
    </row>
    <row r="88" spans="1:36" x14ac:dyDescent="0.3">
      <c r="A88" t="s">
        <v>5516</v>
      </c>
      <c r="B88" s="1">
        <v>45723</v>
      </c>
      <c r="C88">
        <v>2025</v>
      </c>
      <c r="D88" s="1">
        <v>45717</v>
      </c>
      <c r="E88">
        <v>3</v>
      </c>
      <c r="F88" t="s">
        <v>456</v>
      </c>
      <c r="G88" t="s">
        <v>7339</v>
      </c>
      <c r="H88" t="s">
        <v>59</v>
      </c>
      <c r="I88" t="s">
        <v>7237</v>
      </c>
      <c r="J88" t="s">
        <v>7231</v>
      </c>
      <c r="K88" t="s">
        <v>64</v>
      </c>
      <c r="L88" t="s">
        <v>65</v>
      </c>
      <c r="M88" t="s">
        <v>24</v>
      </c>
      <c r="N88" t="s">
        <v>7197</v>
      </c>
      <c r="O88" t="s">
        <v>7195</v>
      </c>
      <c r="P88">
        <v>2</v>
      </c>
      <c r="Q88">
        <v>699</v>
      </c>
      <c r="R88">
        <v>0.1</v>
      </c>
      <c r="S88">
        <v>1398</v>
      </c>
      <c r="T88">
        <v>139.80000000000001</v>
      </c>
      <c r="U88">
        <v>1258.2</v>
      </c>
      <c r="V88">
        <v>245</v>
      </c>
      <c r="W88">
        <v>490</v>
      </c>
      <c r="X88">
        <v>60</v>
      </c>
      <c r="Y88">
        <v>708.2</v>
      </c>
      <c r="Z88">
        <v>0.5628675886186616</v>
      </c>
      <c r="AA88">
        <v>0.3</v>
      </c>
      <c r="AB88" s="1">
        <v>45866</v>
      </c>
      <c r="AC88">
        <v>143</v>
      </c>
      <c r="AD88" t="s">
        <v>7311</v>
      </c>
      <c r="AE88">
        <v>0.3</v>
      </c>
      <c r="AF88" t="s">
        <v>2522</v>
      </c>
      <c r="AG88" s="1">
        <v>45724</v>
      </c>
      <c r="AH88">
        <v>4</v>
      </c>
      <c r="AI88" t="s">
        <v>7350</v>
      </c>
      <c r="AJ88">
        <v>0</v>
      </c>
    </row>
    <row r="89" spans="1:36" x14ac:dyDescent="0.3">
      <c r="A89" t="s">
        <v>7088</v>
      </c>
      <c r="B89" s="1">
        <v>45720</v>
      </c>
      <c r="C89">
        <v>2025</v>
      </c>
      <c r="D89" s="1">
        <v>45717</v>
      </c>
      <c r="E89">
        <v>3</v>
      </c>
      <c r="F89" t="s">
        <v>3225</v>
      </c>
      <c r="G89" t="s">
        <v>7339</v>
      </c>
      <c r="H89" t="s">
        <v>95</v>
      </c>
      <c r="I89" t="s">
        <v>7230</v>
      </c>
      <c r="J89" t="s">
        <v>7231</v>
      </c>
      <c r="K89" t="s">
        <v>96</v>
      </c>
      <c r="L89" t="s">
        <v>65</v>
      </c>
      <c r="M89" t="s">
        <v>24</v>
      </c>
      <c r="N89" t="s">
        <v>7197</v>
      </c>
      <c r="O89" t="s">
        <v>7195</v>
      </c>
      <c r="P89">
        <v>4</v>
      </c>
      <c r="Q89">
        <v>699</v>
      </c>
      <c r="R89">
        <v>0</v>
      </c>
      <c r="S89">
        <v>2796</v>
      </c>
      <c r="T89">
        <v>0</v>
      </c>
      <c r="U89">
        <v>2796</v>
      </c>
      <c r="V89">
        <v>245</v>
      </c>
      <c r="W89">
        <v>980</v>
      </c>
      <c r="X89">
        <v>60</v>
      </c>
      <c r="Y89">
        <v>1756</v>
      </c>
      <c r="Z89">
        <v>0.62804005722460654</v>
      </c>
      <c r="AA89">
        <v>0.3</v>
      </c>
      <c r="AB89" s="1">
        <v>46017</v>
      </c>
      <c r="AC89">
        <v>297</v>
      </c>
      <c r="AD89" t="s">
        <v>7311</v>
      </c>
      <c r="AE89">
        <v>0.3</v>
      </c>
      <c r="AF89" t="s">
        <v>18</v>
      </c>
      <c r="AG89" s="1">
        <v>45724</v>
      </c>
      <c r="AH89">
        <v>5</v>
      </c>
      <c r="AI89" t="s">
        <v>7349</v>
      </c>
      <c r="AJ89">
        <v>0</v>
      </c>
    </row>
    <row r="90" spans="1:36" x14ac:dyDescent="0.3">
      <c r="A90" t="s">
        <v>1711</v>
      </c>
      <c r="B90" s="1">
        <v>45719</v>
      </c>
      <c r="C90">
        <v>2025</v>
      </c>
      <c r="D90" s="1">
        <v>45717</v>
      </c>
      <c r="E90">
        <v>3</v>
      </c>
      <c r="F90" t="s">
        <v>366</v>
      </c>
      <c r="G90" t="s">
        <v>7339</v>
      </c>
      <c r="H90" t="s">
        <v>128</v>
      </c>
      <c r="I90" t="s">
        <v>7218</v>
      </c>
      <c r="J90" t="s">
        <v>7212</v>
      </c>
      <c r="K90" t="s">
        <v>129</v>
      </c>
      <c r="L90" t="s">
        <v>65</v>
      </c>
      <c r="M90" t="s">
        <v>84</v>
      </c>
      <c r="N90" t="s">
        <v>7198</v>
      </c>
      <c r="O90" t="s">
        <v>7195</v>
      </c>
      <c r="P90">
        <v>1</v>
      </c>
      <c r="Q90">
        <v>1299</v>
      </c>
      <c r="R90">
        <v>0.2</v>
      </c>
      <c r="S90">
        <v>1299</v>
      </c>
      <c r="T90">
        <v>259.8</v>
      </c>
      <c r="U90">
        <v>1039.2</v>
      </c>
      <c r="V90">
        <v>585</v>
      </c>
      <c r="W90">
        <v>585</v>
      </c>
      <c r="X90">
        <v>60</v>
      </c>
      <c r="Y90">
        <v>394.20000000000005</v>
      </c>
      <c r="Z90">
        <v>0.37933025404157045</v>
      </c>
      <c r="AA90">
        <v>0</v>
      </c>
      <c r="AB90" s="1">
        <v>45474</v>
      </c>
      <c r="AC90">
        <v>-245</v>
      </c>
      <c r="AD90" t="s">
        <v>7309</v>
      </c>
      <c r="AE90">
        <v>0</v>
      </c>
      <c r="AF90" t="s">
        <v>18</v>
      </c>
      <c r="AG90" s="1">
        <v>45721</v>
      </c>
      <c r="AI90" t="s">
        <v>7348</v>
      </c>
      <c r="AJ90">
        <v>0</v>
      </c>
    </row>
    <row r="91" spans="1:36" x14ac:dyDescent="0.3">
      <c r="A91" t="s">
        <v>5511</v>
      </c>
      <c r="B91" s="1">
        <v>45716</v>
      </c>
      <c r="C91">
        <v>2025</v>
      </c>
      <c r="D91" s="1">
        <v>45689</v>
      </c>
      <c r="E91">
        <v>2</v>
      </c>
      <c r="F91" t="s">
        <v>1154</v>
      </c>
      <c r="G91" t="s">
        <v>7339</v>
      </c>
      <c r="H91" t="s">
        <v>21</v>
      </c>
      <c r="I91" t="s">
        <v>7213</v>
      </c>
      <c r="J91" t="s">
        <v>7212</v>
      </c>
      <c r="K91" t="s">
        <v>22</v>
      </c>
      <c r="L91" t="s">
        <v>65</v>
      </c>
      <c r="M91" t="s">
        <v>84</v>
      </c>
      <c r="N91" t="s">
        <v>7198</v>
      </c>
      <c r="O91" t="s">
        <v>7195</v>
      </c>
      <c r="P91">
        <v>2</v>
      </c>
      <c r="Q91">
        <v>1299</v>
      </c>
      <c r="R91">
        <v>0.2</v>
      </c>
      <c r="S91">
        <v>2598</v>
      </c>
      <c r="T91">
        <v>519.6</v>
      </c>
      <c r="U91">
        <v>2078.4</v>
      </c>
      <c r="V91">
        <v>585</v>
      </c>
      <c r="W91">
        <v>1170</v>
      </c>
      <c r="X91">
        <v>60</v>
      </c>
      <c r="Y91">
        <v>848.40000000000009</v>
      </c>
      <c r="Z91">
        <v>0.40819861431870674</v>
      </c>
      <c r="AA91">
        <v>0.1</v>
      </c>
      <c r="AB91" s="1">
        <v>45868</v>
      </c>
      <c r="AC91">
        <v>152</v>
      </c>
      <c r="AD91" t="s">
        <v>7311</v>
      </c>
      <c r="AE91">
        <v>0.1</v>
      </c>
      <c r="AF91" t="s">
        <v>2522</v>
      </c>
      <c r="AG91" s="1">
        <v>45720</v>
      </c>
      <c r="AH91">
        <v>4</v>
      </c>
      <c r="AI91" t="s">
        <v>7348</v>
      </c>
      <c r="AJ91">
        <v>0</v>
      </c>
    </row>
    <row r="92" spans="1:36" x14ac:dyDescent="0.3">
      <c r="A92" t="s">
        <v>3607</v>
      </c>
      <c r="B92" s="1">
        <v>45716</v>
      </c>
      <c r="C92">
        <v>2025</v>
      </c>
      <c r="D92" s="1">
        <v>45689</v>
      </c>
      <c r="E92">
        <v>2</v>
      </c>
      <c r="F92" t="s">
        <v>3608</v>
      </c>
      <c r="G92" t="s">
        <v>7339</v>
      </c>
      <c r="H92" t="s">
        <v>76</v>
      </c>
      <c r="I92" t="s">
        <v>7219</v>
      </c>
      <c r="J92" t="s">
        <v>7212</v>
      </c>
      <c r="K92" t="s">
        <v>77</v>
      </c>
      <c r="L92" t="s">
        <v>65</v>
      </c>
      <c r="M92" t="s">
        <v>84</v>
      </c>
      <c r="N92" t="s">
        <v>7198</v>
      </c>
      <c r="O92" t="s">
        <v>7195</v>
      </c>
      <c r="P92">
        <v>1</v>
      </c>
      <c r="Q92">
        <v>1299</v>
      </c>
      <c r="R92">
        <v>0</v>
      </c>
      <c r="S92">
        <v>1299</v>
      </c>
      <c r="T92">
        <v>0</v>
      </c>
      <c r="U92">
        <v>1299</v>
      </c>
      <c r="V92">
        <v>585</v>
      </c>
      <c r="W92">
        <v>585</v>
      </c>
      <c r="X92">
        <v>60</v>
      </c>
      <c r="Y92">
        <v>654</v>
      </c>
      <c r="Z92">
        <v>0.50346420323325636</v>
      </c>
      <c r="AA92">
        <v>0</v>
      </c>
      <c r="AB92" s="1">
        <v>45655</v>
      </c>
      <c r="AC92">
        <v>-61</v>
      </c>
      <c r="AD92" t="s">
        <v>7309</v>
      </c>
      <c r="AE92">
        <v>0</v>
      </c>
      <c r="AF92" t="s">
        <v>3495</v>
      </c>
      <c r="AG92" s="1">
        <v>45721</v>
      </c>
      <c r="AH92">
        <v>4</v>
      </c>
      <c r="AI92" t="s">
        <v>7348</v>
      </c>
      <c r="AJ92">
        <v>0</v>
      </c>
    </row>
    <row r="93" spans="1:36" x14ac:dyDescent="0.3">
      <c r="A93" t="s">
        <v>5061</v>
      </c>
      <c r="B93" s="1">
        <v>45306</v>
      </c>
      <c r="C93">
        <v>2024</v>
      </c>
      <c r="D93" s="1">
        <v>45292</v>
      </c>
      <c r="E93">
        <v>1</v>
      </c>
      <c r="F93" t="s">
        <v>376</v>
      </c>
      <c r="G93" t="s">
        <v>7338</v>
      </c>
      <c r="H93" t="s">
        <v>32</v>
      </c>
      <c r="I93" t="s">
        <v>7220</v>
      </c>
      <c r="J93" t="s">
        <v>7221</v>
      </c>
      <c r="K93" t="s">
        <v>33</v>
      </c>
      <c r="L93" t="s">
        <v>65</v>
      </c>
      <c r="M93" t="s">
        <v>125</v>
      </c>
      <c r="N93" t="s">
        <v>7194</v>
      </c>
      <c r="O93" t="s">
        <v>7195</v>
      </c>
      <c r="P93">
        <v>2</v>
      </c>
      <c r="Q93">
        <v>899</v>
      </c>
      <c r="R93">
        <v>0.05</v>
      </c>
      <c r="S93">
        <v>1798</v>
      </c>
      <c r="T93">
        <v>89.9</v>
      </c>
      <c r="U93">
        <v>1708.1</v>
      </c>
      <c r="V93">
        <v>378</v>
      </c>
      <c r="W93">
        <v>756</v>
      </c>
      <c r="X93">
        <v>60</v>
      </c>
      <c r="Y93">
        <v>892.09999999999991</v>
      </c>
      <c r="Z93">
        <v>0.52227621333645569</v>
      </c>
      <c r="AA93">
        <v>0.05</v>
      </c>
      <c r="AB93" s="1">
        <v>45817</v>
      </c>
      <c r="AC93">
        <v>511</v>
      </c>
      <c r="AD93" t="s">
        <v>7311</v>
      </c>
      <c r="AE93">
        <v>0.05</v>
      </c>
      <c r="AF93" t="s">
        <v>3495</v>
      </c>
      <c r="AG93" s="1">
        <v>45309</v>
      </c>
      <c r="AH93">
        <v>4</v>
      </c>
      <c r="AJ93">
        <v>0</v>
      </c>
    </row>
    <row r="94" spans="1:36" x14ac:dyDescent="0.3">
      <c r="A94" t="s">
        <v>3028</v>
      </c>
      <c r="B94" s="1">
        <v>45714</v>
      </c>
      <c r="C94">
        <v>2025</v>
      </c>
      <c r="D94" s="1">
        <v>45689</v>
      </c>
      <c r="E94">
        <v>2</v>
      </c>
      <c r="F94" t="s">
        <v>3029</v>
      </c>
      <c r="G94" t="s">
        <v>7338</v>
      </c>
      <c r="H94" t="s">
        <v>54</v>
      </c>
      <c r="I94" t="s">
        <v>7216</v>
      </c>
      <c r="J94" t="s">
        <v>7212</v>
      </c>
      <c r="K94" t="s">
        <v>227</v>
      </c>
      <c r="L94" t="s">
        <v>65</v>
      </c>
      <c r="M94" t="s">
        <v>84</v>
      </c>
      <c r="N94" t="s">
        <v>7198</v>
      </c>
      <c r="O94" t="s">
        <v>7195</v>
      </c>
      <c r="P94">
        <v>1</v>
      </c>
      <c r="Q94">
        <v>1299</v>
      </c>
      <c r="R94">
        <v>0.2</v>
      </c>
      <c r="S94">
        <v>1299</v>
      </c>
      <c r="T94">
        <v>259.8</v>
      </c>
      <c r="U94">
        <v>1039.2</v>
      </c>
      <c r="V94">
        <v>585</v>
      </c>
      <c r="W94">
        <v>585</v>
      </c>
      <c r="X94">
        <v>60</v>
      </c>
      <c r="Y94">
        <v>394.20000000000005</v>
      </c>
      <c r="Z94">
        <v>0.37933025404157045</v>
      </c>
      <c r="AA94">
        <v>0</v>
      </c>
      <c r="AB94" s="1">
        <v>45604</v>
      </c>
      <c r="AC94">
        <v>-110</v>
      </c>
      <c r="AD94" t="s">
        <v>7309</v>
      </c>
      <c r="AE94">
        <v>0</v>
      </c>
      <c r="AF94" t="s">
        <v>2522</v>
      </c>
      <c r="AG94" s="1">
        <v>45716</v>
      </c>
      <c r="AJ94">
        <v>0</v>
      </c>
    </row>
    <row r="95" spans="1:36" x14ac:dyDescent="0.3">
      <c r="A95" t="s">
        <v>3603</v>
      </c>
      <c r="B95" s="1">
        <v>45712</v>
      </c>
      <c r="C95">
        <v>2025</v>
      </c>
      <c r="D95" s="1">
        <v>45689</v>
      </c>
      <c r="E95">
        <v>2</v>
      </c>
      <c r="F95" t="s">
        <v>3604</v>
      </c>
      <c r="G95" t="s">
        <v>7338</v>
      </c>
      <c r="H95" t="s">
        <v>32</v>
      </c>
      <c r="I95" t="s">
        <v>7220</v>
      </c>
      <c r="J95" t="s">
        <v>7221</v>
      </c>
      <c r="K95" t="s">
        <v>33</v>
      </c>
      <c r="L95" t="s">
        <v>65</v>
      </c>
      <c r="M95" t="s">
        <v>24</v>
      </c>
      <c r="N95" t="s">
        <v>7197</v>
      </c>
      <c r="O95" t="s">
        <v>7195</v>
      </c>
      <c r="P95">
        <v>1</v>
      </c>
      <c r="Q95">
        <v>699</v>
      </c>
      <c r="R95">
        <v>0.2</v>
      </c>
      <c r="S95">
        <v>699</v>
      </c>
      <c r="T95">
        <v>139.80000000000001</v>
      </c>
      <c r="U95">
        <v>559.20000000000005</v>
      </c>
      <c r="V95">
        <v>245</v>
      </c>
      <c r="W95">
        <v>245</v>
      </c>
      <c r="X95">
        <v>60</v>
      </c>
      <c r="Y95">
        <v>254.20000000000005</v>
      </c>
      <c r="Z95">
        <v>0.45457796852646642</v>
      </c>
      <c r="AA95">
        <v>0.2</v>
      </c>
      <c r="AB95" s="1">
        <v>45653</v>
      </c>
      <c r="AC95">
        <v>-59</v>
      </c>
      <c r="AD95" t="s">
        <v>7309</v>
      </c>
      <c r="AE95">
        <v>0.2</v>
      </c>
      <c r="AF95" t="s">
        <v>3495</v>
      </c>
      <c r="AG95" s="1">
        <v>45716</v>
      </c>
      <c r="AH95">
        <v>4</v>
      </c>
      <c r="AJ95">
        <v>0</v>
      </c>
    </row>
    <row r="96" spans="1:36" x14ac:dyDescent="0.3">
      <c r="A96" t="s">
        <v>1618</v>
      </c>
      <c r="B96" s="1">
        <v>45307</v>
      </c>
      <c r="C96">
        <v>2024</v>
      </c>
      <c r="D96" s="1">
        <v>45292</v>
      </c>
      <c r="E96">
        <v>1</v>
      </c>
      <c r="F96" t="s">
        <v>621</v>
      </c>
      <c r="G96" t="s">
        <v>7338</v>
      </c>
      <c r="H96" t="s">
        <v>27</v>
      </c>
      <c r="I96" t="s">
        <v>7228</v>
      </c>
      <c r="J96" t="s">
        <v>7221</v>
      </c>
      <c r="K96" t="s">
        <v>28</v>
      </c>
      <c r="L96" t="s">
        <v>65</v>
      </c>
      <c r="M96" t="s">
        <v>24</v>
      </c>
      <c r="N96" t="s">
        <v>7197</v>
      </c>
      <c r="O96" t="s">
        <v>7195</v>
      </c>
      <c r="P96">
        <v>1</v>
      </c>
      <c r="Q96">
        <v>699</v>
      </c>
      <c r="R96">
        <v>0.25</v>
      </c>
      <c r="S96">
        <v>699</v>
      </c>
      <c r="T96">
        <v>174.75</v>
      </c>
      <c r="U96">
        <v>524.25</v>
      </c>
      <c r="V96">
        <v>245</v>
      </c>
      <c r="W96">
        <v>245</v>
      </c>
      <c r="X96">
        <v>60</v>
      </c>
      <c r="Y96">
        <v>219.25</v>
      </c>
      <c r="Z96">
        <v>0.41821649976156416</v>
      </c>
      <c r="AA96">
        <v>0.15</v>
      </c>
      <c r="AB96" s="1">
        <v>45462</v>
      </c>
      <c r="AC96">
        <v>155</v>
      </c>
      <c r="AD96" t="s">
        <v>7311</v>
      </c>
      <c r="AE96">
        <v>0.15</v>
      </c>
      <c r="AF96" t="s">
        <v>18</v>
      </c>
      <c r="AG96" s="1">
        <v>45312</v>
      </c>
      <c r="AJ96">
        <v>0</v>
      </c>
    </row>
    <row r="97" spans="1:36" x14ac:dyDescent="0.3">
      <c r="A97" t="s">
        <v>2365</v>
      </c>
      <c r="B97" s="1">
        <v>45709</v>
      </c>
      <c r="C97">
        <v>2025</v>
      </c>
      <c r="D97" s="1">
        <v>45689</v>
      </c>
      <c r="E97">
        <v>2</v>
      </c>
      <c r="F97" t="s">
        <v>2366</v>
      </c>
      <c r="G97" t="s">
        <v>7338</v>
      </c>
      <c r="H97" t="s">
        <v>123</v>
      </c>
      <c r="I97" t="s">
        <v>7227</v>
      </c>
      <c r="J97" t="s">
        <v>7221</v>
      </c>
      <c r="K97" t="s">
        <v>124</v>
      </c>
      <c r="L97" t="s">
        <v>65</v>
      </c>
      <c r="M97" t="s">
        <v>24</v>
      </c>
      <c r="N97" t="s">
        <v>7197</v>
      </c>
      <c r="O97" t="s">
        <v>7195</v>
      </c>
      <c r="P97">
        <v>1</v>
      </c>
      <c r="Q97">
        <v>699</v>
      </c>
      <c r="R97">
        <v>0</v>
      </c>
      <c r="S97">
        <v>699</v>
      </c>
      <c r="T97">
        <v>0</v>
      </c>
      <c r="U97">
        <v>699</v>
      </c>
      <c r="V97">
        <v>245</v>
      </c>
      <c r="W97">
        <v>245</v>
      </c>
      <c r="X97">
        <v>60</v>
      </c>
      <c r="Y97">
        <v>394</v>
      </c>
      <c r="Z97">
        <v>0.5636623748211731</v>
      </c>
      <c r="AA97">
        <v>25</v>
      </c>
      <c r="AB97" s="1">
        <v>45547</v>
      </c>
      <c r="AC97">
        <v>-162</v>
      </c>
      <c r="AD97" t="s">
        <v>7309</v>
      </c>
      <c r="AE97">
        <v>0.25</v>
      </c>
      <c r="AF97" t="s">
        <v>18</v>
      </c>
      <c r="AG97" s="1">
        <v>45712</v>
      </c>
      <c r="AH97">
        <v>5</v>
      </c>
      <c r="AI97" t="s">
        <v>7350</v>
      </c>
      <c r="AJ97">
        <v>0</v>
      </c>
    </row>
    <row r="98" spans="1:36" x14ac:dyDescent="0.3">
      <c r="A98" t="s">
        <v>4982</v>
      </c>
      <c r="B98" s="1">
        <v>45705</v>
      </c>
      <c r="C98">
        <v>2025</v>
      </c>
      <c r="D98" s="1">
        <v>45689</v>
      </c>
      <c r="E98">
        <v>2</v>
      </c>
      <c r="F98" t="s">
        <v>4258</v>
      </c>
      <c r="G98" t="s">
        <v>7339</v>
      </c>
      <c r="H98" t="s">
        <v>71</v>
      </c>
      <c r="I98" t="s">
        <v>7229</v>
      </c>
      <c r="J98" t="s">
        <v>7224</v>
      </c>
      <c r="K98" t="s">
        <v>102</v>
      </c>
      <c r="L98" t="s">
        <v>65</v>
      </c>
      <c r="M98" t="s">
        <v>565</v>
      </c>
      <c r="N98" t="s">
        <v>7196</v>
      </c>
      <c r="O98" t="s">
        <v>7195</v>
      </c>
      <c r="P98">
        <v>2</v>
      </c>
      <c r="Q98">
        <v>2499</v>
      </c>
      <c r="R98">
        <v>0.45</v>
      </c>
      <c r="S98">
        <v>4998</v>
      </c>
      <c r="T98">
        <v>2249.1</v>
      </c>
      <c r="U98">
        <v>2748.9</v>
      </c>
      <c r="V98">
        <v>1250</v>
      </c>
      <c r="W98">
        <v>2500</v>
      </c>
      <c r="X98">
        <v>60</v>
      </c>
      <c r="Y98">
        <v>188.90000000000009</v>
      </c>
      <c r="Z98">
        <v>6.8718396449488919E-2</v>
      </c>
      <c r="AA98">
        <v>0.3</v>
      </c>
      <c r="AB98" s="1">
        <v>45806</v>
      </c>
      <c r="AC98">
        <v>101</v>
      </c>
      <c r="AD98" t="s">
        <v>7311</v>
      </c>
      <c r="AE98">
        <v>0.3</v>
      </c>
      <c r="AF98" t="s">
        <v>4074</v>
      </c>
      <c r="AG98" s="1">
        <v>45707</v>
      </c>
      <c r="AH98">
        <v>4</v>
      </c>
      <c r="AJ98">
        <v>0</v>
      </c>
    </row>
    <row r="99" spans="1:36" x14ac:dyDescent="0.3">
      <c r="A99" t="s">
        <v>4506</v>
      </c>
      <c r="B99" s="1">
        <v>45703</v>
      </c>
      <c r="C99">
        <v>2025</v>
      </c>
      <c r="D99" s="1">
        <v>45689</v>
      </c>
      <c r="E99">
        <v>2</v>
      </c>
      <c r="F99" t="s">
        <v>4507</v>
      </c>
      <c r="G99" t="s">
        <v>7338</v>
      </c>
      <c r="H99" t="s">
        <v>37</v>
      </c>
      <c r="I99" t="s">
        <v>7223</v>
      </c>
      <c r="J99" t="s">
        <v>7224</v>
      </c>
      <c r="K99" t="s">
        <v>247</v>
      </c>
      <c r="L99" t="s">
        <v>65</v>
      </c>
      <c r="M99" t="s">
        <v>125</v>
      </c>
      <c r="N99" t="s">
        <v>7194</v>
      </c>
      <c r="O99" t="s">
        <v>7195</v>
      </c>
      <c r="P99">
        <v>1</v>
      </c>
      <c r="Q99">
        <v>899</v>
      </c>
      <c r="R99">
        <v>0.2</v>
      </c>
      <c r="S99">
        <v>899</v>
      </c>
      <c r="T99">
        <v>179.8</v>
      </c>
      <c r="U99">
        <v>719.2</v>
      </c>
      <c r="V99">
        <v>378</v>
      </c>
      <c r="W99">
        <v>378</v>
      </c>
      <c r="X99">
        <v>60</v>
      </c>
      <c r="Y99">
        <v>281.20000000000005</v>
      </c>
      <c r="Z99">
        <v>0.39098998887652953</v>
      </c>
      <c r="AA99">
        <v>15</v>
      </c>
      <c r="AB99" s="1">
        <v>45754</v>
      </c>
      <c r="AC99">
        <v>51</v>
      </c>
      <c r="AD99" t="s">
        <v>7311</v>
      </c>
      <c r="AE99">
        <v>0.15</v>
      </c>
      <c r="AF99" t="s">
        <v>4450</v>
      </c>
      <c r="AG99" s="1">
        <v>45708</v>
      </c>
      <c r="AH99">
        <v>4</v>
      </c>
      <c r="AJ99">
        <v>0</v>
      </c>
    </row>
    <row r="100" spans="1:36" x14ac:dyDescent="0.3">
      <c r="A100" t="s">
        <v>3897</v>
      </c>
      <c r="B100" s="1">
        <v>45702</v>
      </c>
      <c r="C100">
        <v>2025</v>
      </c>
      <c r="D100" s="1">
        <v>45689</v>
      </c>
      <c r="E100">
        <v>2</v>
      </c>
      <c r="F100" t="s">
        <v>3682</v>
      </c>
      <c r="G100" t="s">
        <v>7338</v>
      </c>
      <c r="H100" t="s">
        <v>132</v>
      </c>
      <c r="I100" t="s">
        <v>7222</v>
      </c>
      <c r="J100" t="s">
        <v>7221</v>
      </c>
      <c r="K100" t="s">
        <v>133</v>
      </c>
      <c r="L100" t="s">
        <v>65</v>
      </c>
      <c r="M100" t="s">
        <v>24</v>
      </c>
      <c r="N100" t="s">
        <v>7197</v>
      </c>
      <c r="O100" t="s">
        <v>7195</v>
      </c>
      <c r="P100">
        <v>1</v>
      </c>
      <c r="Q100">
        <v>699</v>
      </c>
      <c r="R100">
        <v>0</v>
      </c>
      <c r="S100">
        <v>699</v>
      </c>
      <c r="T100">
        <v>0</v>
      </c>
      <c r="U100">
        <v>699</v>
      </c>
      <c r="V100">
        <v>245</v>
      </c>
      <c r="W100">
        <v>245</v>
      </c>
      <c r="X100">
        <v>60</v>
      </c>
      <c r="Y100">
        <v>394</v>
      </c>
      <c r="Z100">
        <v>0.5636623748211731</v>
      </c>
      <c r="AA100">
        <v>0.25</v>
      </c>
      <c r="AB100" s="1">
        <v>45687</v>
      </c>
      <c r="AC100">
        <v>-15</v>
      </c>
      <c r="AD100" t="s">
        <v>7309</v>
      </c>
      <c r="AE100">
        <v>0.25</v>
      </c>
      <c r="AF100" t="s">
        <v>3495</v>
      </c>
      <c r="AG100" s="1">
        <v>45709</v>
      </c>
      <c r="AH100">
        <v>3</v>
      </c>
      <c r="AJ100">
        <v>0</v>
      </c>
    </row>
    <row r="101" spans="1:36" x14ac:dyDescent="0.3">
      <c r="A101" t="s">
        <v>1709</v>
      </c>
      <c r="B101" s="1">
        <v>45694</v>
      </c>
      <c r="C101">
        <v>2025</v>
      </c>
      <c r="D101" s="1">
        <v>45689</v>
      </c>
      <c r="E101">
        <v>2</v>
      </c>
      <c r="F101" t="s">
        <v>972</v>
      </c>
      <c r="G101" t="s">
        <v>7339</v>
      </c>
      <c r="H101" t="s">
        <v>21</v>
      </c>
      <c r="I101" t="s">
        <v>7213</v>
      </c>
      <c r="J101" t="s">
        <v>7212</v>
      </c>
      <c r="K101" t="s">
        <v>22</v>
      </c>
      <c r="L101" t="s">
        <v>65</v>
      </c>
      <c r="M101" t="s">
        <v>24</v>
      </c>
      <c r="N101" t="s">
        <v>7197</v>
      </c>
      <c r="O101" t="s">
        <v>7195</v>
      </c>
      <c r="P101">
        <v>1</v>
      </c>
      <c r="Q101">
        <v>699</v>
      </c>
      <c r="R101">
        <v>0.05</v>
      </c>
      <c r="S101">
        <v>699</v>
      </c>
      <c r="T101">
        <v>34.950000000000003</v>
      </c>
      <c r="U101">
        <v>664.05</v>
      </c>
      <c r="V101">
        <v>245</v>
      </c>
      <c r="W101">
        <v>245</v>
      </c>
      <c r="X101">
        <v>60</v>
      </c>
      <c r="Y101">
        <v>359.04999999999995</v>
      </c>
      <c r="Z101">
        <v>0.54069723665386638</v>
      </c>
      <c r="AA101">
        <v>0.2</v>
      </c>
      <c r="AB101" s="1">
        <v>45479</v>
      </c>
      <c r="AC101">
        <v>-215</v>
      </c>
      <c r="AD101" t="s">
        <v>7309</v>
      </c>
      <c r="AE101">
        <v>0.2</v>
      </c>
      <c r="AF101" t="s">
        <v>18</v>
      </c>
      <c r="AG101" s="1">
        <v>45697</v>
      </c>
      <c r="AI101" t="s">
        <v>7348</v>
      </c>
      <c r="AJ101">
        <v>0</v>
      </c>
    </row>
    <row r="102" spans="1:36" x14ac:dyDescent="0.3">
      <c r="A102" t="s">
        <v>5386</v>
      </c>
      <c r="B102" s="1">
        <v>45692</v>
      </c>
      <c r="C102">
        <v>2025</v>
      </c>
      <c r="D102" s="1">
        <v>45689</v>
      </c>
      <c r="E102">
        <v>2</v>
      </c>
      <c r="F102" t="s">
        <v>5387</v>
      </c>
      <c r="G102" t="s">
        <v>7338</v>
      </c>
      <c r="H102" t="s">
        <v>184</v>
      </c>
      <c r="I102" t="s">
        <v>7215</v>
      </c>
      <c r="J102" t="s">
        <v>7212</v>
      </c>
      <c r="K102" t="s">
        <v>185</v>
      </c>
      <c r="L102" t="s">
        <v>65</v>
      </c>
      <c r="M102" t="s">
        <v>565</v>
      </c>
      <c r="N102" t="s">
        <v>7196</v>
      </c>
      <c r="O102" t="s">
        <v>7195</v>
      </c>
      <c r="P102">
        <v>2</v>
      </c>
      <c r="Q102">
        <v>2499</v>
      </c>
      <c r="R102">
        <v>0</v>
      </c>
      <c r="S102">
        <v>4998</v>
      </c>
      <c r="T102">
        <v>0</v>
      </c>
      <c r="U102">
        <v>4998</v>
      </c>
      <c r="V102">
        <v>1250</v>
      </c>
      <c r="W102">
        <v>2500</v>
      </c>
      <c r="X102">
        <v>60</v>
      </c>
      <c r="Y102">
        <v>2438</v>
      </c>
      <c r="Z102">
        <v>0.48779511804721887</v>
      </c>
      <c r="AA102">
        <v>0.4</v>
      </c>
      <c r="AB102" s="1">
        <v>45848</v>
      </c>
      <c r="AC102">
        <v>156</v>
      </c>
      <c r="AD102" t="s">
        <v>7311</v>
      </c>
      <c r="AE102">
        <v>0.4</v>
      </c>
      <c r="AF102" t="s">
        <v>2522</v>
      </c>
      <c r="AG102" s="1">
        <v>45696</v>
      </c>
      <c r="AH102">
        <v>3</v>
      </c>
      <c r="AI102" t="s">
        <v>7349</v>
      </c>
      <c r="AJ102">
        <v>0</v>
      </c>
    </row>
    <row r="103" spans="1:36" x14ac:dyDescent="0.3">
      <c r="A103" t="s">
        <v>6144</v>
      </c>
      <c r="B103" s="1">
        <v>45686</v>
      </c>
      <c r="C103">
        <v>2025</v>
      </c>
      <c r="D103" s="1">
        <v>45658</v>
      </c>
      <c r="E103">
        <v>1</v>
      </c>
      <c r="F103" t="s">
        <v>3360</v>
      </c>
      <c r="G103" t="s">
        <v>7338</v>
      </c>
      <c r="H103" t="s">
        <v>95</v>
      </c>
      <c r="I103" t="s">
        <v>7230</v>
      </c>
      <c r="J103" t="s">
        <v>7231</v>
      </c>
      <c r="K103" t="s">
        <v>96</v>
      </c>
      <c r="L103" t="s">
        <v>65</v>
      </c>
      <c r="M103" t="s">
        <v>125</v>
      </c>
      <c r="N103" t="s">
        <v>7194</v>
      </c>
      <c r="O103" t="s">
        <v>7195</v>
      </c>
      <c r="P103">
        <v>2</v>
      </c>
      <c r="Q103">
        <v>899</v>
      </c>
      <c r="R103">
        <v>0.2</v>
      </c>
      <c r="S103">
        <v>1798</v>
      </c>
      <c r="T103">
        <v>359.6</v>
      </c>
      <c r="U103">
        <v>1438.4</v>
      </c>
      <c r="V103">
        <v>378</v>
      </c>
      <c r="W103">
        <v>756</v>
      </c>
      <c r="X103">
        <v>60</v>
      </c>
      <c r="Y103">
        <v>622.40000000000009</v>
      </c>
      <c r="Z103">
        <v>0.4327030033370412</v>
      </c>
      <c r="AA103">
        <v>0.15</v>
      </c>
      <c r="AB103" s="1">
        <v>45935</v>
      </c>
      <c r="AC103">
        <v>249</v>
      </c>
      <c r="AD103" t="s">
        <v>7311</v>
      </c>
      <c r="AE103">
        <v>0.15</v>
      </c>
      <c r="AF103" t="s">
        <v>18</v>
      </c>
      <c r="AG103" s="1">
        <v>45689</v>
      </c>
      <c r="AH103">
        <v>4</v>
      </c>
      <c r="AI103" t="s">
        <v>7348</v>
      </c>
      <c r="AJ103">
        <v>0</v>
      </c>
    </row>
    <row r="104" spans="1:36" x14ac:dyDescent="0.3">
      <c r="A104" t="s">
        <v>5168</v>
      </c>
      <c r="B104" s="1">
        <v>45684</v>
      </c>
      <c r="C104">
        <v>2025</v>
      </c>
      <c r="D104" s="1">
        <v>45658</v>
      </c>
      <c r="E104">
        <v>1</v>
      </c>
      <c r="F104" t="s">
        <v>1917</v>
      </c>
      <c r="G104" t="s">
        <v>7339</v>
      </c>
      <c r="H104" t="s">
        <v>275</v>
      </c>
      <c r="I104" t="s">
        <v>7235</v>
      </c>
      <c r="J104" t="s">
        <v>7231</v>
      </c>
      <c r="K104" t="s">
        <v>276</v>
      </c>
      <c r="L104" t="s">
        <v>65</v>
      </c>
      <c r="M104" t="s">
        <v>24</v>
      </c>
      <c r="N104" t="s">
        <v>7197</v>
      </c>
      <c r="O104" t="s">
        <v>7195</v>
      </c>
      <c r="P104">
        <v>2</v>
      </c>
      <c r="Q104">
        <v>699</v>
      </c>
      <c r="R104">
        <v>0.1</v>
      </c>
      <c r="S104">
        <v>1398</v>
      </c>
      <c r="T104">
        <v>139.80000000000001</v>
      </c>
      <c r="U104">
        <v>1258.2</v>
      </c>
      <c r="V104">
        <v>245</v>
      </c>
      <c r="W104">
        <v>490</v>
      </c>
      <c r="X104">
        <v>60</v>
      </c>
      <c r="Y104">
        <v>708.2</v>
      </c>
      <c r="Z104">
        <v>0.5628675886186616</v>
      </c>
      <c r="AA104">
        <v>0.2</v>
      </c>
      <c r="AB104" s="1">
        <v>45825</v>
      </c>
      <c r="AC104">
        <v>141</v>
      </c>
      <c r="AD104" t="s">
        <v>7311</v>
      </c>
      <c r="AE104">
        <v>0.2</v>
      </c>
      <c r="AF104" t="s">
        <v>3495</v>
      </c>
      <c r="AG104" s="1">
        <v>45689</v>
      </c>
      <c r="AJ104">
        <v>0</v>
      </c>
    </row>
    <row r="105" spans="1:36" x14ac:dyDescent="0.3">
      <c r="A105" t="s">
        <v>4820</v>
      </c>
      <c r="B105" s="1">
        <v>45682</v>
      </c>
      <c r="C105">
        <v>2025</v>
      </c>
      <c r="D105" s="1">
        <v>45658</v>
      </c>
      <c r="E105">
        <v>1</v>
      </c>
      <c r="F105" t="s">
        <v>4821</v>
      </c>
      <c r="G105" t="s">
        <v>7338</v>
      </c>
      <c r="H105" t="s">
        <v>27</v>
      </c>
      <c r="I105" t="s">
        <v>7228</v>
      </c>
      <c r="J105" t="s">
        <v>7221</v>
      </c>
      <c r="K105" t="s">
        <v>28</v>
      </c>
      <c r="L105" t="s">
        <v>65</v>
      </c>
      <c r="M105" t="s">
        <v>565</v>
      </c>
      <c r="N105" t="s">
        <v>7196</v>
      </c>
      <c r="O105" t="s">
        <v>7195</v>
      </c>
      <c r="P105">
        <v>2</v>
      </c>
      <c r="Q105">
        <v>2499</v>
      </c>
      <c r="R105">
        <v>0.25</v>
      </c>
      <c r="S105">
        <v>4998</v>
      </c>
      <c r="T105">
        <v>1249.5</v>
      </c>
      <c r="U105">
        <v>3748.5</v>
      </c>
      <c r="V105">
        <v>1250</v>
      </c>
      <c r="W105">
        <v>2500</v>
      </c>
      <c r="X105">
        <v>60</v>
      </c>
      <c r="Y105">
        <v>1188.5</v>
      </c>
      <c r="Z105">
        <v>0.31706015739629184</v>
      </c>
      <c r="AA105">
        <v>0.3</v>
      </c>
      <c r="AB105" s="1">
        <v>45778</v>
      </c>
      <c r="AC105">
        <v>96</v>
      </c>
      <c r="AD105" t="s">
        <v>7311</v>
      </c>
      <c r="AE105">
        <v>0.3</v>
      </c>
      <c r="AF105" t="s">
        <v>4450</v>
      </c>
      <c r="AG105" s="1">
        <v>45685</v>
      </c>
      <c r="AH105">
        <v>5</v>
      </c>
      <c r="AI105" t="s">
        <v>7348</v>
      </c>
      <c r="AJ105">
        <v>0</v>
      </c>
    </row>
    <row r="106" spans="1:36" x14ac:dyDescent="0.3">
      <c r="A106" t="s">
        <v>563</v>
      </c>
      <c r="B106" s="1">
        <v>45681</v>
      </c>
      <c r="C106">
        <v>2025</v>
      </c>
      <c r="D106" s="1">
        <v>45658</v>
      </c>
      <c r="E106">
        <v>1</v>
      </c>
      <c r="F106" t="s">
        <v>564</v>
      </c>
      <c r="G106" t="s">
        <v>7339</v>
      </c>
      <c r="H106" t="s">
        <v>95</v>
      </c>
      <c r="I106" t="s">
        <v>7230</v>
      </c>
      <c r="J106" t="s">
        <v>7231</v>
      </c>
      <c r="K106" t="s">
        <v>96</v>
      </c>
      <c r="L106" t="s">
        <v>65</v>
      </c>
      <c r="M106" t="s">
        <v>565</v>
      </c>
      <c r="N106" t="s">
        <v>7196</v>
      </c>
      <c r="O106" t="s">
        <v>7195</v>
      </c>
      <c r="P106">
        <v>1</v>
      </c>
      <c r="Q106">
        <v>2499</v>
      </c>
      <c r="R106">
        <v>0</v>
      </c>
      <c r="S106">
        <v>2499</v>
      </c>
      <c r="T106">
        <v>0</v>
      </c>
      <c r="U106">
        <v>2499</v>
      </c>
      <c r="V106">
        <v>1250</v>
      </c>
      <c r="W106">
        <v>1250</v>
      </c>
      <c r="X106">
        <v>60</v>
      </c>
      <c r="Y106">
        <v>1189</v>
      </c>
      <c r="Z106">
        <v>0.47579031612645056</v>
      </c>
      <c r="AA106">
        <v>0.25</v>
      </c>
      <c r="AB106" s="1">
        <v>45340</v>
      </c>
      <c r="AC106">
        <v>-341</v>
      </c>
      <c r="AD106" t="s">
        <v>7309</v>
      </c>
      <c r="AE106">
        <v>0.25</v>
      </c>
      <c r="AF106" t="s">
        <v>18</v>
      </c>
      <c r="AG106" s="1">
        <v>45683</v>
      </c>
      <c r="AH106">
        <v>4</v>
      </c>
      <c r="AJ106">
        <v>0</v>
      </c>
    </row>
    <row r="107" spans="1:36" x14ac:dyDescent="0.3">
      <c r="A107" t="s">
        <v>1707</v>
      </c>
      <c r="B107" s="1">
        <v>45678</v>
      </c>
      <c r="C107">
        <v>2025</v>
      </c>
      <c r="D107" s="1">
        <v>45658</v>
      </c>
      <c r="E107">
        <v>1</v>
      </c>
      <c r="F107" t="s">
        <v>1708</v>
      </c>
      <c r="G107" t="s">
        <v>7339</v>
      </c>
      <c r="H107" t="s">
        <v>71</v>
      </c>
      <c r="I107" t="s">
        <v>7229</v>
      </c>
      <c r="J107" t="s">
        <v>7224</v>
      </c>
      <c r="K107" t="s">
        <v>72</v>
      </c>
      <c r="L107" t="s">
        <v>65</v>
      </c>
      <c r="M107" t="s">
        <v>125</v>
      </c>
      <c r="N107" t="s">
        <v>7194</v>
      </c>
      <c r="O107" t="s">
        <v>7195</v>
      </c>
      <c r="P107">
        <v>1</v>
      </c>
      <c r="Q107">
        <v>899</v>
      </c>
      <c r="R107">
        <v>0.05</v>
      </c>
      <c r="S107">
        <v>899</v>
      </c>
      <c r="T107">
        <v>44.95</v>
      </c>
      <c r="U107">
        <v>854.05</v>
      </c>
      <c r="V107">
        <v>378</v>
      </c>
      <c r="W107">
        <v>378</v>
      </c>
      <c r="X107">
        <v>60</v>
      </c>
      <c r="Y107">
        <v>416.04999999999995</v>
      </c>
      <c r="Z107">
        <v>0.48714946431707745</v>
      </c>
      <c r="AA107">
        <v>0.15</v>
      </c>
      <c r="AB107" s="1">
        <v>45474</v>
      </c>
      <c r="AC107">
        <v>-204</v>
      </c>
      <c r="AD107" t="s">
        <v>7309</v>
      </c>
      <c r="AE107">
        <v>0.15</v>
      </c>
      <c r="AF107" t="s">
        <v>18</v>
      </c>
      <c r="AG107" s="1">
        <v>45679</v>
      </c>
      <c r="AI107" t="s">
        <v>7348</v>
      </c>
      <c r="AJ107">
        <v>0</v>
      </c>
    </row>
    <row r="108" spans="1:36" x14ac:dyDescent="0.3">
      <c r="A108" t="s">
        <v>5165</v>
      </c>
      <c r="B108" s="1">
        <v>45677</v>
      </c>
      <c r="C108">
        <v>2025</v>
      </c>
      <c r="D108" s="1">
        <v>45658</v>
      </c>
      <c r="E108">
        <v>1</v>
      </c>
      <c r="F108" t="s">
        <v>5166</v>
      </c>
      <c r="G108" t="s">
        <v>7338</v>
      </c>
      <c r="H108" t="s">
        <v>275</v>
      </c>
      <c r="I108" t="s">
        <v>7235</v>
      </c>
      <c r="J108" t="s">
        <v>7231</v>
      </c>
      <c r="K108" t="s">
        <v>491</v>
      </c>
      <c r="L108" t="s">
        <v>65</v>
      </c>
      <c r="M108" t="s">
        <v>24</v>
      </c>
      <c r="N108" t="s">
        <v>7197</v>
      </c>
      <c r="O108" t="s">
        <v>7195</v>
      </c>
      <c r="P108">
        <v>2</v>
      </c>
      <c r="Q108">
        <v>699</v>
      </c>
      <c r="R108">
        <v>0.35</v>
      </c>
      <c r="S108">
        <v>1398</v>
      </c>
      <c r="T108">
        <v>489.29999999999995</v>
      </c>
      <c r="U108">
        <v>908.7</v>
      </c>
      <c r="V108">
        <v>245</v>
      </c>
      <c r="W108">
        <v>490</v>
      </c>
      <c r="X108">
        <v>60</v>
      </c>
      <c r="Y108">
        <v>358.70000000000005</v>
      </c>
      <c r="Z108">
        <v>0.39473973808737761</v>
      </c>
      <c r="AA108">
        <v>0.3</v>
      </c>
      <c r="AB108" s="1">
        <v>45825</v>
      </c>
      <c r="AC108">
        <v>148</v>
      </c>
      <c r="AD108" t="s">
        <v>7311</v>
      </c>
      <c r="AE108">
        <v>0.3</v>
      </c>
      <c r="AF108" t="s">
        <v>3495</v>
      </c>
      <c r="AG108" s="1">
        <v>45681</v>
      </c>
      <c r="AI108" t="s">
        <v>7348</v>
      </c>
      <c r="AJ108">
        <v>0</v>
      </c>
    </row>
    <row r="109" spans="1:36" x14ac:dyDescent="0.3">
      <c r="A109" t="s">
        <v>2525</v>
      </c>
      <c r="B109" s="1">
        <v>45675</v>
      </c>
      <c r="C109">
        <v>2025</v>
      </c>
      <c r="D109" s="1">
        <v>45658</v>
      </c>
      <c r="E109">
        <v>1</v>
      </c>
      <c r="F109" t="s">
        <v>1571</v>
      </c>
      <c r="G109" t="s">
        <v>7339</v>
      </c>
      <c r="H109" t="s">
        <v>210</v>
      </c>
      <c r="I109" t="s">
        <v>7211</v>
      </c>
      <c r="J109" t="s">
        <v>7212</v>
      </c>
      <c r="K109" t="s">
        <v>211</v>
      </c>
      <c r="L109" t="s">
        <v>65</v>
      </c>
      <c r="M109" t="s">
        <v>24</v>
      </c>
      <c r="N109" t="s">
        <v>7197</v>
      </c>
      <c r="O109" t="s">
        <v>7195</v>
      </c>
      <c r="P109">
        <v>1</v>
      </c>
      <c r="Q109">
        <v>699</v>
      </c>
      <c r="R109">
        <v>0.25</v>
      </c>
      <c r="S109">
        <v>699</v>
      </c>
      <c r="T109">
        <v>174.75</v>
      </c>
      <c r="U109">
        <v>524.25</v>
      </c>
      <c r="V109">
        <v>245</v>
      </c>
      <c r="W109">
        <v>245</v>
      </c>
      <c r="X109">
        <v>60</v>
      </c>
      <c r="Y109">
        <v>219.25</v>
      </c>
      <c r="Z109">
        <v>0.41821649976156416</v>
      </c>
      <c r="AA109">
        <v>0.25</v>
      </c>
      <c r="AB109" s="1">
        <v>45564</v>
      </c>
      <c r="AC109">
        <v>-111</v>
      </c>
      <c r="AD109" t="s">
        <v>7309</v>
      </c>
      <c r="AE109">
        <v>0.25</v>
      </c>
      <c r="AF109" t="s">
        <v>2522</v>
      </c>
      <c r="AG109" s="1">
        <v>45682</v>
      </c>
      <c r="AH109">
        <v>2</v>
      </c>
      <c r="AI109" t="s">
        <v>7348</v>
      </c>
      <c r="AJ109">
        <v>0</v>
      </c>
    </row>
    <row r="110" spans="1:36" x14ac:dyDescent="0.3">
      <c r="A110" t="s">
        <v>2350</v>
      </c>
      <c r="B110" s="1">
        <v>45673</v>
      </c>
      <c r="C110">
        <v>2025</v>
      </c>
      <c r="D110" s="1">
        <v>45658</v>
      </c>
      <c r="E110">
        <v>1</v>
      </c>
      <c r="F110" t="s">
        <v>2351</v>
      </c>
      <c r="G110" t="s">
        <v>7338</v>
      </c>
      <c r="H110" t="s">
        <v>167</v>
      </c>
      <c r="I110" t="s">
        <v>7234</v>
      </c>
      <c r="J110" t="s">
        <v>7231</v>
      </c>
      <c r="K110" t="s">
        <v>168</v>
      </c>
      <c r="L110" t="s">
        <v>65</v>
      </c>
      <c r="M110" t="s">
        <v>24</v>
      </c>
      <c r="N110" t="s">
        <v>7197</v>
      </c>
      <c r="O110" t="s">
        <v>7195</v>
      </c>
      <c r="P110">
        <v>1</v>
      </c>
      <c r="Q110">
        <v>699</v>
      </c>
      <c r="R110">
        <v>0.4</v>
      </c>
      <c r="S110">
        <v>699</v>
      </c>
      <c r="T110">
        <v>279.60000000000002</v>
      </c>
      <c r="U110">
        <v>419.4</v>
      </c>
      <c r="V110">
        <v>245</v>
      </c>
      <c r="W110">
        <v>245</v>
      </c>
      <c r="X110">
        <v>60</v>
      </c>
      <c r="Y110">
        <v>114.39999999999998</v>
      </c>
      <c r="Z110">
        <v>0.27277062470195512</v>
      </c>
      <c r="AA110">
        <v>0.2</v>
      </c>
      <c r="AB110" s="1">
        <v>45545</v>
      </c>
      <c r="AC110">
        <v>-128</v>
      </c>
      <c r="AD110" t="s">
        <v>7309</v>
      </c>
      <c r="AE110">
        <v>0.2</v>
      </c>
      <c r="AF110" t="s">
        <v>18</v>
      </c>
      <c r="AG110" s="1">
        <v>45674</v>
      </c>
      <c r="AH110">
        <v>5</v>
      </c>
      <c r="AI110" t="s">
        <v>7350</v>
      </c>
      <c r="AJ110">
        <v>0</v>
      </c>
    </row>
    <row r="111" spans="1:36" x14ac:dyDescent="0.3">
      <c r="A111" t="s">
        <v>2500</v>
      </c>
      <c r="B111" s="1">
        <v>45664</v>
      </c>
      <c r="C111">
        <v>2025</v>
      </c>
      <c r="D111" s="1">
        <v>45658</v>
      </c>
      <c r="E111">
        <v>1</v>
      </c>
      <c r="F111" t="s">
        <v>2501</v>
      </c>
      <c r="G111" t="s">
        <v>7339</v>
      </c>
      <c r="H111" t="s">
        <v>54</v>
      </c>
      <c r="I111" t="s">
        <v>7216</v>
      </c>
      <c r="J111" t="s">
        <v>7212</v>
      </c>
      <c r="K111" t="s">
        <v>227</v>
      </c>
      <c r="L111" t="s">
        <v>65</v>
      </c>
      <c r="M111" t="s">
        <v>84</v>
      </c>
      <c r="N111" t="s">
        <v>7198</v>
      </c>
      <c r="O111" t="s">
        <v>7195</v>
      </c>
      <c r="P111">
        <v>1</v>
      </c>
      <c r="Q111">
        <v>1299</v>
      </c>
      <c r="R111">
        <v>0</v>
      </c>
      <c r="S111">
        <v>1299</v>
      </c>
      <c r="T111">
        <v>0</v>
      </c>
      <c r="U111">
        <v>1299</v>
      </c>
      <c r="V111">
        <v>585</v>
      </c>
      <c r="W111">
        <v>585</v>
      </c>
      <c r="X111">
        <v>120</v>
      </c>
      <c r="Y111">
        <v>594</v>
      </c>
      <c r="Z111">
        <v>0.45727482678983833</v>
      </c>
      <c r="AA111">
        <v>0</v>
      </c>
      <c r="AB111" s="1">
        <v>45563</v>
      </c>
      <c r="AC111">
        <v>-101</v>
      </c>
      <c r="AD111" t="s">
        <v>7309</v>
      </c>
      <c r="AE111">
        <v>0</v>
      </c>
      <c r="AF111" t="s">
        <v>18</v>
      </c>
      <c r="AG111" s="1">
        <v>45669</v>
      </c>
      <c r="AH111">
        <v>2</v>
      </c>
      <c r="AI111" t="s">
        <v>7353</v>
      </c>
      <c r="AJ111">
        <v>1</v>
      </c>
    </row>
    <row r="112" spans="1:36" x14ac:dyDescent="0.3">
      <c r="A112" t="s">
        <v>4967</v>
      </c>
      <c r="B112" s="1">
        <v>45663</v>
      </c>
      <c r="C112">
        <v>2025</v>
      </c>
      <c r="D112" s="1">
        <v>45658</v>
      </c>
      <c r="E112">
        <v>1</v>
      </c>
      <c r="F112" t="s">
        <v>4968</v>
      </c>
      <c r="G112" t="s">
        <v>7338</v>
      </c>
      <c r="H112" t="s">
        <v>128</v>
      </c>
      <c r="I112" t="s">
        <v>7218</v>
      </c>
      <c r="J112" t="s">
        <v>7212</v>
      </c>
      <c r="K112" t="s">
        <v>129</v>
      </c>
      <c r="L112" t="s">
        <v>65</v>
      </c>
      <c r="M112" t="s">
        <v>84</v>
      </c>
      <c r="N112" t="s">
        <v>7198</v>
      </c>
      <c r="O112" t="s">
        <v>7195</v>
      </c>
      <c r="P112">
        <v>2</v>
      </c>
      <c r="Q112">
        <v>1299</v>
      </c>
      <c r="R112">
        <v>0.15</v>
      </c>
      <c r="S112">
        <v>2598</v>
      </c>
      <c r="T112">
        <v>389.7</v>
      </c>
      <c r="U112">
        <v>2208.3000000000002</v>
      </c>
      <c r="V112">
        <v>585</v>
      </c>
      <c r="W112">
        <v>1170</v>
      </c>
      <c r="X112">
        <v>120</v>
      </c>
      <c r="Y112">
        <v>918.30000000000018</v>
      </c>
      <c r="Z112">
        <v>0.41584023909794871</v>
      </c>
      <c r="AA112">
        <v>0</v>
      </c>
      <c r="AB112" s="1">
        <v>45805</v>
      </c>
      <c r="AC112">
        <v>142</v>
      </c>
      <c r="AD112" t="s">
        <v>7311</v>
      </c>
      <c r="AE112">
        <v>0</v>
      </c>
      <c r="AF112" t="s">
        <v>4074</v>
      </c>
      <c r="AG112" s="1">
        <v>45664</v>
      </c>
      <c r="AI112" t="s">
        <v>7352</v>
      </c>
      <c r="AJ112">
        <v>1</v>
      </c>
    </row>
    <row r="113" spans="1:36" x14ac:dyDescent="0.3">
      <c r="A113" t="s">
        <v>1703</v>
      </c>
      <c r="B113" s="1">
        <v>45662</v>
      </c>
      <c r="C113">
        <v>2025</v>
      </c>
      <c r="D113" s="1">
        <v>45658</v>
      </c>
      <c r="E113">
        <v>1</v>
      </c>
      <c r="F113" t="s">
        <v>1704</v>
      </c>
      <c r="G113" t="s">
        <v>7339</v>
      </c>
      <c r="H113" t="s">
        <v>275</v>
      </c>
      <c r="I113" t="s">
        <v>7235</v>
      </c>
      <c r="J113" t="s">
        <v>7231</v>
      </c>
      <c r="K113" t="s">
        <v>491</v>
      </c>
      <c r="L113" t="s">
        <v>65</v>
      </c>
      <c r="M113" t="s">
        <v>24</v>
      </c>
      <c r="N113" t="s">
        <v>7197</v>
      </c>
      <c r="O113" t="s">
        <v>7195</v>
      </c>
      <c r="P113">
        <v>1</v>
      </c>
      <c r="Q113">
        <v>699</v>
      </c>
      <c r="R113">
        <v>0.05</v>
      </c>
      <c r="S113">
        <v>699</v>
      </c>
      <c r="T113">
        <v>34.950000000000003</v>
      </c>
      <c r="U113">
        <v>664.05</v>
      </c>
      <c r="V113">
        <v>245</v>
      </c>
      <c r="W113">
        <v>245</v>
      </c>
      <c r="X113">
        <v>60</v>
      </c>
      <c r="Y113">
        <v>359.04999999999995</v>
      </c>
      <c r="Z113">
        <v>0.54069723665386638</v>
      </c>
      <c r="AA113">
        <v>0.2</v>
      </c>
      <c r="AB113" s="1">
        <v>45471</v>
      </c>
      <c r="AC113">
        <v>-191</v>
      </c>
      <c r="AD113" t="s">
        <v>7309</v>
      </c>
      <c r="AE113">
        <v>0.2</v>
      </c>
      <c r="AF113" t="s">
        <v>18</v>
      </c>
      <c r="AG113" s="1">
        <v>45665</v>
      </c>
      <c r="AI113" t="s">
        <v>7348</v>
      </c>
      <c r="AJ113">
        <v>0</v>
      </c>
    </row>
    <row r="114" spans="1:36" x14ac:dyDescent="0.3">
      <c r="A114" t="s">
        <v>2130</v>
      </c>
      <c r="B114" s="1">
        <v>45661</v>
      </c>
      <c r="C114">
        <v>2025</v>
      </c>
      <c r="D114" s="1">
        <v>45658</v>
      </c>
      <c r="E114">
        <v>1</v>
      </c>
      <c r="F114" t="s">
        <v>2131</v>
      </c>
      <c r="G114" t="s">
        <v>7339</v>
      </c>
      <c r="H114" t="s">
        <v>167</v>
      </c>
      <c r="I114" t="s">
        <v>7234</v>
      </c>
      <c r="J114" t="s">
        <v>7231</v>
      </c>
      <c r="K114" t="s">
        <v>190</v>
      </c>
      <c r="L114" t="s">
        <v>65</v>
      </c>
      <c r="M114" t="s">
        <v>24</v>
      </c>
      <c r="N114" t="s">
        <v>7197</v>
      </c>
      <c r="O114" t="s">
        <v>7195</v>
      </c>
      <c r="P114">
        <v>1</v>
      </c>
      <c r="Q114">
        <v>699</v>
      </c>
      <c r="R114">
        <v>0.4</v>
      </c>
      <c r="S114">
        <v>699</v>
      </c>
      <c r="T114">
        <v>279.60000000000002</v>
      </c>
      <c r="U114">
        <v>419.4</v>
      </c>
      <c r="V114">
        <v>245</v>
      </c>
      <c r="W114">
        <v>245</v>
      </c>
      <c r="X114">
        <v>60</v>
      </c>
      <c r="Y114">
        <v>114.39999999999998</v>
      </c>
      <c r="Z114">
        <v>0.27277062470195512</v>
      </c>
      <c r="AA114">
        <v>25</v>
      </c>
      <c r="AB114" s="1">
        <v>45522</v>
      </c>
      <c r="AC114">
        <v>-139</v>
      </c>
      <c r="AD114" t="s">
        <v>7309</v>
      </c>
      <c r="AE114">
        <v>0.25</v>
      </c>
      <c r="AF114" t="s">
        <v>18</v>
      </c>
      <c r="AG114" s="1">
        <v>45665</v>
      </c>
      <c r="AH114">
        <v>3</v>
      </c>
      <c r="AI114" t="s">
        <v>7348</v>
      </c>
      <c r="AJ114">
        <v>0</v>
      </c>
    </row>
    <row r="115" spans="1:36" x14ac:dyDescent="0.3">
      <c r="A115" t="s">
        <v>5161</v>
      </c>
      <c r="B115" s="1">
        <v>45651</v>
      </c>
      <c r="C115">
        <v>2024</v>
      </c>
      <c r="D115" s="1">
        <v>45627</v>
      </c>
      <c r="E115">
        <v>12</v>
      </c>
      <c r="F115" t="s">
        <v>1218</v>
      </c>
      <c r="G115" t="s">
        <v>7339</v>
      </c>
      <c r="H115" t="s">
        <v>27</v>
      </c>
      <c r="I115" t="s">
        <v>7228</v>
      </c>
      <c r="J115" t="s">
        <v>7221</v>
      </c>
      <c r="K115" t="s">
        <v>28</v>
      </c>
      <c r="L115" t="s">
        <v>65</v>
      </c>
      <c r="M115" t="s">
        <v>565</v>
      </c>
      <c r="N115" t="s">
        <v>7196</v>
      </c>
      <c r="O115" t="s">
        <v>7195</v>
      </c>
      <c r="P115">
        <v>2</v>
      </c>
      <c r="Q115">
        <v>2499</v>
      </c>
      <c r="R115">
        <v>0.1</v>
      </c>
      <c r="S115">
        <v>4998</v>
      </c>
      <c r="T115">
        <v>499.8</v>
      </c>
      <c r="U115">
        <v>4498.2</v>
      </c>
      <c r="V115">
        <v>1250</v>
      </c>
      <c r="W115">
        <v>2500</v>
      </c>
      <c r="X115">
        <v>60</v>
      </c>
      <c r="Y115">
        <v>1938.1999999999998</v>
      </c>
      <c r="Z115">
        <v>0.43088346449690984</v>
      </c>
      <c r="AA115">
        <v>0.3</v>
      </c>
      <c r="AB115" s="1">
        <v>45826</v>
      </c>
      <c r="AC115">
        <v>175</v>
      </c>
      <c r="AD115" t="s">
        <v>7311</v>
      </c>
      <c r="AE115">
        <v>0.3</v>
      </c>
      <c r="AF115" t="s">
        <v>3495</v>
      </c>
      <c r="AG115" s="1">
        <v>45654</v>
      </c>
      <c r="AH115">
        <v>4</v>
      </c>
      <c r="AI115" t="s">
        <v>7348</v>
      </c>
      <c r="AJ115">
        <v>0</v>
      </c>
    </row>
    <row r="116" spans="1:36" x14ac:dyDescent="0.3">
      <c r="A116" t="s">
        <v>3432</v>
      </c>
      <c r="B116" s="1">
        <v>45649</v>
      </c>
      <c r="C116">
        <v>2024</v>
      </c>
      <c r="D116" s="1">
        <v>45627</v>
      </c>
      <c r="E116">
        <v>12</v>
      </c>
      <c r="F116" t="s">
        <v>506</v>
      </c>
      <c r="G116" t="s">
        <v>7339</v>
      </c>
      <c r="H116" t="s">
        <v>71</v>
      </c>
      <c r="I116" t="s">
        <v>7229</v>
      </c>
      <c r="J116" t="s">
        <v>7224</v>
      </c>
      <c r="K116" t="s">
        <v>102</v>
      </c>
      <c r="L116" t="s">
        <v>65</v>
      </c>
      <c r="M116" t="s">
        <v>84</v>
      </c>
      <c r="N116" t="s">
        <v>7198</v>
      </c>
      <c r="O116" t="s">
        <v>7195</v>
      </c>
      <c r="P116">
        <v>1</v>
      </c>
      <c r="Q116">
        <v>1299</v>
      </c>
      <c r="R116">
        <v>0</v>
      </c>
      <c r="S116">
        <v>1299</v>
      </c>
      <c r="T116">
        <v>0</v>
      </c>
      <c r="U116">
        <v>1299</v>
      </c>
      <c r="V116">
        <v>585</v>
      </c>
      <c r="W116">
        <v>585</v>
      </c>
      <c r="X116">
        <v>60</v>
      </c>
      <c r="Y116">
        <v>654</v>
      </c>
      <c r="Z116">
        <v>0.50346420323325636</v>
      </c>
      <c r="AA116">
        <v>0</v>
      </c>
      <c r="AB116" s="1">
        <v>45639</v>
      </c>
      <c r="AC116">
        <v>-10</v>
      </c>
      <c r="AD116" t="s">
        <v>7309</v>
      </c>
      <c r="AE116">
        <v>0</v>
      </c>
      <c r="AF116" t="s">
        <v>2522</v>
      </c>
      <c r="AG116" s="1">
        <v>45651</v>
      </c>
      <c r="AH116">
        <v>4</v>
      </c>
      <c r="AI116" t="s">
        <v>7349</v>
      </c>
      <c r="AJ116">
        <v>0</v>
      </c>
    </row>
    <row r="117" spans="1:36" x14ac:dyDescent="0.3">
      <c r="A117" t="s">
        <v>3005</v>
      </c>
      <c r="B117" s="1">
        <v>45649</v>
      </c>
      <c r="C117">
        <v>2024</v>
      </c>
      <c r="D117" s="1">
        <v>45627</v>
      </c>
      <c r="E117">
        <v>12</v>
      </c>
      <c r="F117" t="s">
        <v>3006</v>
      </c>
      <c r="G117" t="s">
        <v>7338</v>
      </c>
      <c r="H117" t="s">
        <v>27</v>
      </c>
      <c r="I117" t="s">
        <v>7228</v>
      </c>
      <c r="J117" t="s">
        <v>7221</v>
      </c>
      <c r="K117" t="s">
        <v>28</v>
      </c>
      <c r="L117" t="s">
        <v>65</v>
      </c>
      <c r="M117" t="s">
        <v>84</v>
      </c>
      <c r="N117" t="s">
        <v>7198</v>
      </c>
      <c r="O117" t="s">
        <v>7195</v>
      </c>
      <c r="P117">
        <v>1</v>
      </c>
      <c r="Q117">
        <v>1299</v>
      </c>
      <c r="R117">
        <v>0.2</v>
      </c>
      <c r="S117">
        <v>1299</v>
      </c>
      <c r="T117">
        <v>259.8</v>
      </c>
      <c r="U117">
        <v>1039.2</v>
      </c>
      <c r="V117">
        <v>585</v>
      </c>
      <c r="W117">
        <v>585</v>
      </c>
      <c r="X117">
        <v>60</v>
      </c>
      <c r="Y117">
        <v>394.20000000000005</v>
      </c>
      <c r="Z117">
        <v>0.37933025404157045</v>
      </c>
      <c r="AA117">
        <v>0</v>
      </c>
      <c r="AB117" s="1">
        <v>45601</v>
      </c>
      <c r="AC117">
        <v>-48</v>
      </c>
      <c r="AD117" t="s">
        <v>7309</v>
      </c>
      <c r="AE117">
        <v>0</v>
      </c>
      <c r="AF117" t="s">
        <v>2522</v>
      </c>
      <c r="AG117" s="1">
        <v>45652</v>
      </c>
      <c r="AI117" t="s">
        <v>7349</v>
      </c>
      <c r="AJ117">
        <v>0</v>
      </c>
    </row>
    <row r="118" spans="1:36" x14ac:dyDescent="0.3">
      <c r="A118" t="s">
        <v>2764</v>
      </c>
      <c r="B118" s="1">
        <v>45645</v>
      </c>
      <c r="C118">
        <v>2024</v>
      </c>
      <c r="D118" s="1">
        <v>45627</v>
      </c>
      <c r="E118">
        <v>12</v>
      </c>
      <c r="F118" t="s">
        <v>2765</v>
      </c>
      <c r="G118" t="s">
        <v>7339</v>
      </c>
      <c r="H118" t="s">
        <v>275</v>
      </c>
      <c r="I118" t="s">
        <v>7235</v>
      </c>
      <c r="J118" t="s">
        <v>7231</v>
      </c>
      <c r="K118" t="s">
        <v>491</v>
      </c>
      <c r="L118" t="s">
        <v>65</v>
      </c>
      <c r="M118" t="s">
        <v>24</v>
      </c>
      <c r="N118" t="s">
        <v>7197</v>
      </c>
      <c r="O118" t="s">
        <v>7195</v>
      </c>
      <c r="P118">
        <v>1</v>
      </c>
      <c r="Q118">
        <v>699</v>
      </c>
      <c r="R118">
        <v>0.45</v>
      </c>
      <c r="S118">
        <v>699</v>
      </c>
      <c r="T118">
        <v>314.55</v>
      </c>
      <c r="U118">
        <v>384.45</v>
      </c>
      <c r="V118">
        <v>245</v>
      </c>
      <c r="W118">
        <v>245</v>
      </c>
      <c r="X118">
        <v>60</v>
      </c>
      <c r="Y118">
        <v>79.449999999999989</v>
      </c>
      <c r="Z118">
        <v>0.20665886331122379</v>
      </c>
      <c r="AA118">
        <v>0.2</v>
      </c>
      <c r="AB118" s="1">
        <v>45586</v>
      </c>
      <c r="AC118">
        <v>-59</v>
      </c>
      <c r="AD118" t="s">
        <v>7309</v>
      </c>
      <c r="AE118">
        <v>0.2</v>
      </c>
      <c r="AF118" t="s">
        <v>2522</v>
      </c>
      <c r="AG118" s="1">
        <v>45649</v>
      </c>
      <c r="AH118">
        <v>3</v>
      </c>
      <c r="AI118" t="s">
        <v>7350</v>
      </c>
      <c r="AJ118">
        <v>0</v>
      </c>
    </row>
    <row r="119" spans="1:36" x14ac:dyDescent="0.3">
      <c r="A119" t="s">
        <v>5916</v>
      </c>
      <c r="B119" s="1">
        <v>45637</v>
      </c>
      <c r="C119">
        <v>2024</v>
      </c>
      <c r="D119" s="1">
        <v>45627</v>
      </c>
      <c r="E119">
        <v>12</v>
      </c>
      <c r="F119" t="s">
        <v>5144</v>
      </c>
      <c r="G119" t="s">
        <v>7339</v>
      </c>
      <c r="H119" t="s">
        <v>59</v>
      </c>
      <c r="I119" t="s">
        <v>7237</v>
      </c>
      <c r="J119" t="s">
        <v>7231</v>
      </c>
      <c r="K119" t="s">
        <v>60</v>
      </c>
      <c r="L119" t="s">
        <v>65</v>
      </c>
      <c r="M119" t="s">
        <v>24</v>
      </c>
      <c r="N119" t="s">
        <v>7197</v>
      </c>
      <c r="O119" t="s">
        <v>7195</v>
      </c>
      <c r="P119">
        <v>2</v>
      </c>
      <c r="Q119">
        <v>699</v>
      </c>
      <c r="R119">
        <v>0.15</v>
      </c>
      <c r="S119">
        <v>1398</v>
      </c>
      <c r="T119">
        <v>209.7</v>
      </c>
      <c r="U119">
        <v>1188.3</v>
      </c>
      <c r="V119">
        <v>245</v>
      </c>
      <c r="W119">
        <v>490</v>
      </c>
      <c r="X119">
        <v>60</v>
      </c>
      <c r="Y119">
        <v>638.29999999999995</v>
      </c>
      <c r="Z119">
        <v>0.53715391736093576</v>
      </c>
      <c r="AA119">
        <v>0.3</v>
      </c>
      <c r="AB119" s="1">
        <v>45909</v>
      </c>
      <c r="AC119">
        <v>272</v>
      </c>
      <c r="AD119" t="s">
        <v>7311</v>
      </c>
      <c r="AE119">
        <v>0.3</v>
      </c>
      <c r="AF119" t="s">
        <v>18</v>
      </c>
      <c r="AG119" s="1">
        <v>45639</v>
      </c>
      <c r="AI119" t="s">
        <v>7350</v>
      </c>
      <c r="AJ119">
        <v>0</v>
      </c>
    </row>
    <row r="120" spans="1:36" x14ac:dyDescent="0.3">
      <c r="A120" t="s">
        <v>2995</v>
      </c>
      <c r="B120" s="1">
        <v>45637</v>
      </c>
      <c r="C120">
        <v>2024</v>
      </c>
      <c r="D120" s="1">
        <v>45627</v>
      </c>
      <c r="E120">
        <v>12</v>
      </c>
      <c r="F120" t="s">
        <v>2996</v>
      </c>
      <c r="G120" t="s">
        <v>7338</v>
      </c>
      <c r="H120" t="s">
        <v>48</v>
      </c>
      <c r="I120" t="s">
        <v>7217</v>
      </c>
      <c r="J120" t="s">
        <v>7212</v>
      </c>
      <c r="K120" t="s">
        <v>49</v>
      </c>
      <c r="L120" t="s">
        <v>65</v>
      </c>
      <c r="M120" t="s">
        <v>565</v>
      </c>
      <c r="N120" t="s">
        <v>7196</v>
      </c>
      <c r="O120" t="s">
        <v>7195</v>
      </c>
      <c r="P120">
        <v>1</v>
      </c>
      <c r="Q120">
        <v>2499</v>
      </c>
      <c r="R120">
        <v>0.2</v>
      </c>
      <c r="S120">
        <v>2499</v>
      </c>
      <c r="T120">
        <v>499.8</v>
      </c>
      <c r="U120">
        <v>1999.2</v>
      </c>
      <c r="V120">
        <v>1250</v>
      </c>
      <c r="W120">
        <v>1250</v>
      </c>
      <c r="X120">
        <v>60</v>
      </c>
      <c r="Y120">
        <v>689.2</v>
      </c>
      <c r="Z120">
        <v>0.34473789515806325</v>
      </c>
      <c r="AA120">
        <v>25</v>
      </c>
      <c r="AB120" s="1">
        <v>45600</v>
      </c>
      <c r="AC120">
        <v>-37</v>
      </c>
      <c r="AD120" t="s">
        <v>7309</v>
      </c>
      <c r="AE120">
        <v>0.25</v>
      </c>
      <c r="AF120" t="s">
        <v>2522</v>
      </c>
      <c r="AG120" s="1">
        <v>45641</v>
      </c>
      <c r="AI120" t="s">
        <v>7348</v>
      </c>
      <c r="AJ120">
        <v>0</v>
      </c>
    </row>
    <row r="121" spans="1:36" x14ac:dyDescent="0.3">
      <c r="A121" t="s">
        <v>4959</v>
      </c>
      <c r="B121" s="1">
        <v>45633</v>
      </c>
      <c r="C121">
        <v>2024</v>
      </c>
      <c r="D121" s="1">
        <v>45627</v>
      </c>
      <c r="E121">
        <v>12</v>
      </c>
      <c r="F121" t="s">
        <v>217</v>
      </c>
      <c r="G121" t="s">
        <v>7339</v>
      </c>
      <c r="H121" t="s">
        <v>32</v>
      </c>
      <c r="I121" t="s">
        <v>7220</v>
      </c>
      <c r="J121" t="s">
        <v>7221</v>
      </c>
      <c r="K121" t="s">
        <v>33</v>
      </c>
      <c r="L121" t="s">
        <v>65</v>
      </c>
      <c r="M121" t="s">
        <v>565</v>
      </c>
      <c r="N121" t="s">
        <v>7196</v>
      </c>
      <c r="O121" t="s">
        <v>7195</v>
      </c>
      <c r="P121">
        <v>2</v>
      </c>
      <c r="Q121">
        <v>2499</v>
      </c>
      <c r="R121">
        <v>0.3</v>
      </c>
      <c r="S121">
        <v>4998</v>
      </c>
      <c r="T121">
        <v>1499.3999999999999</v>
      </c>
      <c r="U121">
        <v>3498.6000000000004</v>
      </c>
      <c r="V121">
        <v>1250</v>
      </c>
      <c r="W121">
        <v>2500</v>
      </c>
      <c r="X121">
        <v>60</v>
      </c>
      <c r="Y121">
        <v>938.60000000000036</v>
      </c>
      <c r="Z121">
        <v>0.26827874006745561</v>
      </c>
      <c r="AA121">
        <v>35</v>
      </c>
      <c r="AB121" s="1">
        <v>45803</v>
      </c>
      <c r="AC121">
        <v>170</v>
      </c>
      <c r="AD121" t="s">
        <v>7311</v>
      </c>
      <c r="AE121">
        <v>0.35</v>
      </c>
      <c r="AF121" t="s">
        <v>4074</v>
      </c>
      <c r="AG121" s="1">
        <v>45638</v>
      </c>
      <c r="AH121">
        <v>4</v>
      </c>
      <c r="AI121" t="s">
        <v>7349</v>
      </c>
      <c r="AJ121">
        <v>0</v>
      </c>
    </row>
    <row r="122" spans="1:36" x14ac:dyDescent="0.3">
      <c r="A122" t="s">
        <v>3427</v>
      </c>
      <c r="B122" s="1">
        <v>45626</v>
      </c>
      <c r="C122">
        <v>2024</v>
      </c>
      <c r="D122" s="1">
        <v>45597</v>
      </c>
      <c r="E122">
        <v>11</v>
      </c>
      <c r="F122" t="s">
        <v>3428</v>
      </c>
      <c r="G122" t="s">
        <v>7338</v>
      </c>
      <c r="H122" t="s">
        <v>27</v>
      </c>
      <c r="I122" t="s">
        <v>7228</v>
      </c>
      <c r="J122" t="s">
        <v>7221</v>
      </c>
      <c r="K122" t="s">
        <v>28</v>
      </c>
      <c r="L122" t="s">
        <v>65</v>
      </c>
      <c r="M122" t="s">
        <v>84</v>
      </c>
      <c r="N122" t="s">
        <v>7198</v>
      </c>
      <c r="O122" t="s">
        <v>7195</v>
      </c>
      <c r="P122">
        <v>1</v>
      </c>
      <c r="Q122">
        <v>1299</v>
      </c>
      <c r="R122">
        <v>0.35</v>
      </c>
      <c r="S122">
        <v>1299</v>
      </c>
      <c r="T122">
        <v>454.65</v>
      </c>
      <c r="U122">
        <v>844.35</v>
      </c>
      <c r="V122">
        <v>585</v>
      </c>
      <c r="W122">
        <v>585</v>
      </c>
      <c r="X122">
        <v>120</v>
      </c>
      <c r="Y122">
        <v>139.35000000000002</v>
      </c>
      <c r="Z122">
        <v>0.16503819506128978</v>
      </c>
      <c r="AA122">
        <v>10</v>
      </c>
      <c r="AB122" s="1">
        <v>45639</v>
      </c>
      <c r="AC122">
        <v>13</v>
      </c>
      <c r="AD122" t="s">
        <v>7311</v>
      </c>
      <c r="AE122">
        <v>0.1</v>
      </c>
      <c r="AF122" t="s">
        <v>2522</v>
      </c>
      <c r="AG122" s="1">
        <v>45630</v>
      </c>
      <c r="AH122">
        <v>4</v>
      </c>
      <c r="AI122" t="s">
        <v>7354</v>
      </c>
      <c r="AJ122">
        <v>1</v>
      </c>
    </row>
    <row r="123" spans="1:36" x14ac:dyDescent="0.3">
      <c r="A123" t="s">
        <v>1928</v>
      </c>
      <c r="B123" s="1">
        <v>45626</v>
      </c>
      <c r="C123">
        <v>2024</v>
      </c>
      <c r="D123" s="1">
        <v>45597</v>
      </c>
      <c r="E123">
        <v>11</v>
      </c>
      <c r="F123" t="s">
        <v>1929</v>
      </c>
      <c r="G123" t="s">
        <v>7339</v>
      </c>
      <c r="H123" t="s">
        <v>128</v>
      </c>
      <c r="I123" t="s">
        <v>7218</v>
      </c>
      <c r="J123" t="s">
        <v>7212</v>
      </c>
      <c r="K123" t="s">
        <v>129</v>
      </c>
      <c r="L123" t="s">
        <v>65</v>
      </c>
      <c r="M123" t="s">
        <v>24</v>
      </c>
      <c r="N123" t="s">
        <v>7197</v>
      </c>
      <c r="O123" t="s">
        <v>7195</v>
      </c>
      <c r="P123">
        <v>1</v>
      </c>
      <c r="Q123">
        <v>699</v>
      </c>
      <c r="R123">
        <v>0</v>
      </c>
      <c r="S123">
        <v>699</v>
      </c>
      <c r="T123">
        <v>0</v>
      </c>
      <c r="U123">
        <v>699</v>
      </c>
      <c r="V123">
        <v>245</v>
      </c>
      <c r="W123">
        <v>245</v>
      </c>
      <c r="X123">
        <v>60</v>
      </c>
      <c r="Y123">
        <v>394</v>
      </c>
      <c r="Z123">
        <v>0.5636623748211731</v>
      </c>
      <c r="AA123">
        <v>0.3</v>
      </c>
      <c r="AB123" s="1">
        <v>45497</v>
      </c>
      <c r="AC123">
        <v>-129</v>
      </c>
      <c r="AD123" t="s">
        <v>7309</v>
      </c>
      <c r="AE123">
        <v>0.3</v>
      </c>
      <c r="AF123" t="s">
        <v>18</v>
      </c>
      <c r="AG123" s="1">
        <v>45629</v>
      </c>
      <c r="AH123">
        <v>3</v>
      </c>
      <c r="AJ123">
        <v>0</v>
      </c>
    </row>
    <row r="124" spans="1:36" x14ac:dyDescent="0.3">
      <c r="A124" t="s">
        <v>5694</v>
      </c>
      <c r="B124" s="1">
        <v>45625</v>
      </c>
      <c r="C124">
        <v>2024</v>
      </c>
      <c r="D124" s="1">
        <v>45597</v>
      </c>
      <c r="E124">
        <v>11</v>
      </c>
      <c r="F124" t="s">
        <v>321</v>
      </c>
      <c r="G124" t="s">
        <v>7339</v>
      </c>
      <c r="H124" t="s">
        <v>128</v>
      </c>
      <c r="I124" t="s">
        <v>7218</v>
      </c>
      <c r="J124" t="s">
        <v>7212</v>
      </c>
      <c r="K124" t="s">
        <v>129</v>
      </c>
      <c r="L124" t="s">
        <v>65</v>
      </c>
      <c r="M124" t="s">
        <v>24</v>
      </c>
      <c r="N124" t="s">
        <v>7197</v>
      </c>
      <c r="O124" t="s">
        <v>7195</v>
      </c>
      <c r="P124">
        <v>2</v>
      </c>
      <c r="Q124">
        <v>699</v>
      </c>
      <c r="R124">
        <v>0.25</v>
      </c>
      <c r="S124">
        <v>1398</v>
      </c>
      <c r="T124">
        <v>349.5</v>
      </c>
      <c r="U124">
        <v>1048.5</v>
      </c>
      <c r="V124">
        <v>245</v>
      </c>
      <c r="W124">
        <v>490</v>
      </c>
      <c r="X124">
        <v>60</v>
      </c>
      <c r="Y124">
        <v>498.5</v>
      </c>
      <c r="Z124">
        <v>0.47544110634239389</v>
      </c>
      <c r="AA124">
        <v>0.5</v>
      </c>
      <c r="AB124" s="1">
        <v>45885</v>
      </c>
      <c r="AC124">
        <v>260</v>
      </c>
      <c r="AD124" t="s">
        <v>7311</v>
      </c>
      <c r="AE124">
        <v>0.5</v>
      </c>
      <c r="AF124" t="s">
        <v>18</v>
      </c>
      <c r="AG124" s="1">
        <v>45628</v>
      </c>
      <c r="AH124">
        <v>3</v>
      </c>
      <c r="AJ124">
        <v>0</v>
      </c>
    </row>
    <row r="125" spans="1:36" x14ac:dyDescent="0.3">
      <c r="A125" t="s">
        <v>5691</v>
      </c>
      <c r="B125" s="1">
        <v>45624</v>
      </c>
      <c r="C125">
        <v>2024</v>
      </c>
      <c r="D125" s="1">
        <v>45597</v>
      </c>
      <c r="E125">
        <v>11</v>
      </c>
      <c r="F125" t="s">
        <v>5692</v>
      </c>
      <c r="G125" t="s">
        <v>7338</v>
      </c>
      <c r="H125" t="s">
        <v>132</v>
      </c>
      <c r="I125" t="s">
        <v>7222</v>
      </c>
      <c r="J125" t="s">
        <v>7221</v>
      </c>
      <c r="K125" t="s">
        <v>133</v>
      </c>
      <c r="L125" t="s">
        <v>65</v>
      </c>
      <c r="M125" t="s">
        <v>24</v>
      </c>
      <c r="N125" t="s">
        <v>7197</v>
      </c>
      <c r="O125" t="s">
        <v>7195</v>
      </c>
      <c r="P125">
        <v>2</v>
      </c>
      <c r="Q125">
        <v>699</v>
      </c>
      <c r="R125">
        <v>0.05</v>
      </c>
      <c r="S125">
        <v>1398</v>
      </c>
      <c r="T125">
        <v>69.900000000000006</v>
      </c>
      <c r="U125">
        <v>1328.1</v>
      </c>
      <c r="V125">
        <v>245</v>
      </c>
      <c r="W125">
        <v>490</v>
      </c>
      <c r="X125">
        <v>60</v>
      </c>
      <c r="Y125">
        <v>778.09999999999991</v>
      </c>
      <c r="Z125">
        <v>0.58587455763873197</v>
      </c>
      <c r="AA125">
        <v>0.2</v>
      </c>
      <c r="AB125" s="1">
        <v>45885</v>
      </c>
      <c r="AC125">
        <v>261</v>
      </c>
      <c r="AD125" t="s">
        <v>7311</v>
      </c>
      <c r="AE125">
        <v>0.2</v>
      </c>
      <c r="AF125" t="s">
        <v>18</v>
      </c>
      <c r="AG125" s="1">
        <v>45631</v>
      </c>
      <c r="AH125">
        <v>3</v>
      </c>
      <c r="AI125" t="s">
        <v>7348</v>
      </c>
      <c r="AJ125">
        <v>0</v>
      </c>
    </row>
    <row r="126" spans="1:36" x14ac:dyDescent="0.3">
      <c r="A126" t="s">
        <v>5689</v>
      </c>
      <c r="B126" s="1">
        <v>45622</v>
      </c>
      <c r="C126">
        <v>2024</v>
      </c>
      <c r="D126" s="1">
        <v>45597</v>
      </c>
      <c r="E126">
        <v>11</v>
      </c>
      <c r="F126" t="s">
        <v>2062</v>
      </c>
      <c r="G126" t="s">
        <v>7338</v>
      </c>
      <c r="H126" t="s">
        <v>27</v>
      </c>
      <c r="I126" t="s">
        <v>7228</v>
      </c>
      <c r="J126" t="s">
        <v>7221</v>
      </c>
      <c r="K126" t="s">
        <v>28</v>
      </c>
      <c r="L126" t="s">
        <v>65</v>
      </c>
      <c r="M126" t="s">
        <v>24</v>
      </c>
      <c r="N126" t="s">
        <v>7197</v>
      </c>
      <c r="O126" t="s">
        <v>7195</v>
      </c>
      <c r="P126">
        <v>2</v>
      </c>
      <c r="Q126">
        <v>699</v>
      </c>
      <c r="R126">
        <v>0.2</v>
      </c>
      <c r="S126">
        <v>1398</v>
      </c>
      <c r="T126">
        <v>279.60000000000002</v>
      </c>
      <c r="U126">
        <v>1118.4000000000001</v>
      </c>
      <c r="V126">
        <v>245</v>
      </c>
      <c r="W126">
        <v>490</v>
      </c>
      <c r="X126">
        <v>60</v>
      </c>
      <c r="Y126">
        <v>568.40000000000009</v>
      </c>
      <c r="Z126">
        <v>0.50822603719599435</v>
      </c>
      <c r="AA126">
        <v>0.3</v>
      </c>
      <c r="AB126" s="1">
        <v>45884</v>
      </c>
      <c r="AC126">
        <v>262</v>
      </c>
      <c r="AD126" t="s">
        <v>7311</v>
      </c>
      <c r="AE126">
        <v>0.3</v>
      </c>
      <c r="AF126" t="s">
        <v>18</v>
      </c>
      <c r="AG126" s="1">
        <v>45627</v>
      </c>
      <c r="AH126">
        <v>3</v>
      </c>
      <c r="AI126" t="s">
        <v>7348</v>
      </c>
      <c r="AJ126">
        <v>0</v>
      </c>
    </row>
    <row r="127" spans="1:36" x14ac:dyDescent="0.3">
      <c r="A127" t="s">
        <v>5911</v>
      </c>
      <c r="B127" s="1">
        <v>45618</v>
      </c>
      <c r="C127">
        <v>2024</v>
      </c>
      <c r="D127" s="1">
        <v>45597</v>
      </c>
      <c r="E127">
        <v>11</v>
      </c>
      <c r="F127" t="s">
        <v>5912</v>
      </c>
      <c r="G127" t="s">
        <v>7338</v>
      </c>
      <c r="H127" t="s">
        <v>167</v>
      </c>
      <c r="I127" t="s">
        <v>7234</v>
      </c>
      <c r="J127" t="s">
        <v>7231</v>
      </c>
      <c r="K127" t="s">
        <v>168</v>
      </c>
      <c r="L127" t="s">
        <v>65</v>
      </c>
      <c r="M127" t="s">
        <v>84</v>
      </c>
      <c r="N127" t="s">
        <v>7198</v>
      </c>
      <c r="O127" t="s">
        <v>7195</v>
      </c>
      <c r="P127">
        <v>2</v>
      </c>
      <c r="Q127">
        <v>1299</v>
      </c>
      <c r="R127">
        <v>0.05</v>
      </c>
      <c r="S127">
        <v>2598</v>
      </c>
      <c r="T127">
        <v>129.9</v>
      </c>
      <c r="U127">
        <v>2468.1</v>
      </c>
      <c r="V127">
        <v>585</v>
      </c>
      <c r="W127">
        <v>1170</v>
      </c>
      <c r="X127">
        <v>60</v>
      </c>
      <c r="Y127">
        <v>1238.0999999999999</v>
      </c>
      <c r="Z127">
        <v>0.50164093837364776</v>
      </c>
      <c r="AA127">
        <v>0.1</v>
      </c>
      <c r="AB127" s="1">
        <v>45913</v>
      </c>
      <c r="AC127">
        <v>295</v>
      </c>
      <c r="AD127" t="s">
        <v>7311</v>
      </c>
      <c r="AE127">
        <v>0.1</v>
      </c>
      <c r="AF127" t="s">
        <v>18</v>
      </c>
      <c r="AG127" s="1">
        <v>45621</v>
      </c>
      <c r="AI127" t="s">
        <v>7349</v>
      </c>
      <c r="AJ127">
        <v>0</v>
      </c>
    </row>
    <row r="128" spans="1:36" x14ac:dyDescent="0.3">
      <c r="A128" t="s">
        <v>3998</v>
      </c>
      <c r="B128" s="1">
        <v>45616</v>
      </c>
      <c r="C128">
        <v>2024</v>
      </c>
      <c r="D128" s="1">
        <v>45597</v>
      </c>
      <c r="E128">
        <v>11</v>
      </c>
      <c r="F128" t="s">
        <v>3999</v>
      </c>
      <c r="G128" t="s">
        <v>7338</v>
      </c>
      <c r="H128" t="s">
        <v>71</v>
      </c>
      <c r="I128" t="s">
        <v>7229</v>
      </c>
      <c r="J128" t="s">
        <v>7224</v>
      </c>
      <c r="K128" t="s">
        <v>72</v>
      </c>
      <c r="L128" t="s">
        <v>65</v>
      </c>
      <c r="M128" t="s">
        <v>24</v>
      </c>
      <c r="N128" t="s">
        <v>7197</v>
      </c>
      <c r="O128" t="s">
        <v>7195</v>
      </c>
      <c r="P128">
        <v>1</v>
      </c>
      <c r="Q128">
        <v>699</v>
      </c>
      <c r="R128">
        <v>0.3</v>
      </c>
      <c r="S128">
        <v>699</v>
      </c>
      <c r="T128">
        <v>209.7</v>
      </c>
      <c r="U128">
        <v>489.3</v>
      </c>
      <c r="V128">
        <v>245</v>
      </c>
      <c r="W128">
        <v>245</v>
      </c>
      <c r="X128">
        <v>60</v>
      </c>
      <c r="Y128">
        <v>184.3</v>
      </c>
      <c r="Z128">
        <v>0.37666053545881872</v>
      </c>
      <c r="AA128">
        <v>0.35</v>
      </c>
      <c r="AB128" s="1">
        <v>45699</v>
      </c>
      <c r="AC128">
        <v>83</v>
      </c>
      <c r="AD128" t="s">
        <v>7311</v>
      </c>
      <c r="AE128">
        <v>0.35</v>
      </c>
      <c r="AF128" t="s">
        <v>3495</v>
      </c>
      <c r="AG128" s="1">
        <v>45617</v>
      </c>
      <c r="AH128">
        <v>5</v>
      </c>
      <c r="AI128" t="s">
        <v>7349</v>
      </c>
      <c r="AJ128">
        <v>0</v>
      </c>
    </row>
    <row r="129" spans="1:36" x14ac:dyDescent="0.3">
      <c r="A129" t="s">
        <v>223</v>
      </c>
      <c r="B129" s="1">
        <v>45614</v>
      </c>
      <c r="C129">
        <v>2024</v>
      </c>
      <c r="D129" s="1">
        <v>45597</v>
      </c>
      <c r="E129">
        <v>11</v>
      </c>
      <c r="F129" t="s">
        <v>224</v>
      </c>
      <c r="G129" t="s">
        <v>7339</v>
      </c>
      <c r="H129" t="s">
        <v>71</v>
      </c>
      <c r="I129" t="s">
        <v>7229</v>
      </c>
      <c r="J129" t="s">
        <v>7224</v>
      </c>
      <c r="K129" t="s">
        <v>102</v>
      </c>
      <c r="L129" t="s">
        <v>65</v>
      </c>
      <c r="M129" t="s">
        <v>125</v>
      </c>
      <c r="N129" t="s">
        <v>7194</v>
      </c>
      <c r="O129" t="s">
        <v>7195</v>
      </c>
      <c r="P129">
        <v>1</v>
      </c>
      <c r="Q129">
        <v>899</v>
      </c>
      <c r="R129">
        <v>0.25</v>
      </c>
      <c r="S129">
        <v>899</v>
      </c>
      <c r="T129">
        <v>224.75</v>
      </c>
      <c r="U129">
        <v>674.25</v>
      </c>
      <c r="V129">
        <v>378</v>
      </c>
      <c r="W129">
        <v>378</v>
      </c>
      <c r="X129">
        <v>60</v>
      </c>
      <c r="Y129">
        <v>236.25</v>
      </c>
      <c r="Z129">
        <v>0.3503893214682981</v>
      </c>
      <c r="AA129">
        <v>0.35</v>
      </c>
      <c r="AB129" s="1">
        <v>45305</v>
      </c>
      <c r="AC129">
        <v>-309</v>
      </c>
      <c r="AD129" t="s">
        <v>7309</v>
      </c>
      <c r="AE129">
        <v>0.35</v>
      </c>
      <c r="AF129" t="s">
        <v>18</v>
      </c>
      <c r="AG129" s="1">
        <v>45616</v>
      </c>
      <c r="AH129">
        <v>4</v>
      </c>
      <c r="AI129" t="s">
        <v>7348</v>
      </c>
      <c r="AJ129">
        <v>0</v>
      </c>
    </row>
    <row r="130" spans="1:36" x14ac:dyDescent="0.3">
      <c r="A130" t="s">
        <v>5908</v>
      </c>
      <c r="B130" s="1">
        <v>45612</v>
      </c>
      <c r="C130">
        <v>2024</v>
      </c>
      <c r="D130" s="1">
        <v>45597</v>
      </c>
      <c r="E130">
        <v>11</v>
      </c>
      <c r="F130" t="s">
        <v>4359</v>
      </c>
      <c r="G130" t="s">
        <v>7339</v>
      </c>
      <c r="H130" t="s">
        <v>128</v>
      </c>
      <c r="I130" t="s">
        <v>7218</v>
      </c>
      <c r="J130" t="s">
        <v>7212</v>
      </c>
      <c r="K130" t="s">
        <v>129</v>
      </c>
      <c r="L130" t="s">
        <v>65</v>
      </c>
      <c r="M130" t="s">
        <v>84</v>
      </c>
      <c r="N130" t="s">
        <v>7198</v>
      </c>
      <c r="O130" t="s">
        <v>7195</v>
      </c>
      <c r="P130">
        <v>2</v>
      </c>
      <c r="Q130">
        <v>1299</v>
      </c>
      <c r="R130">
        <v>0</v>
      </c>
      <c r="S130">
        <v>2598</v>
      </c>
      <c r="T130">
        <v>0</v>
      </c>
      <c r="U130">
        <v>2598</v>
      </c>
      <c r="V130">
        <v>585</v>
      </c>
      <c r="W130">
        <v>1170</v>
      </c>
      <c r="X130">
        <v>60</v>
      </c>
      <c r="Y130">
        <v>1368</v>
      </c>
      <c r="Z130">
        <v>0.52655889145496537</v>
      </c>
      <c r="AA130">
        <v>0.15</v>
      </c>
      <c r="AB130" s="1">
        <v>45911</v>
      </c>
      <c r="AC130">
        <v>299</v>
      </c>
      <c r="AD130" t="s">
        <v>7311</v>
      </c>
      <c r="AE130">
        <v>0.15</v>
      </c>
      <c r="AF130" t="s">
        <v>18</v>
      </c>
      <c r="AG130" s="1">
        <v>45615</v>
      </c>
      <c r="AJ130">
        <v>0</v>
      </c>
    </row>
    <row r="131" spans="1:36" x14ac:dyDescent="0.3">
      <c r="A131" t="s">
        <v>3704</v>
      </c>
      <c r="B131" s="1">
        <v>45313</v>
      </c>
      <c r="C131">
        <v>2024</v>
      </c>
      <c r="D131" s="1">
        <v>45292</v>
      </c>
      <c r="E131">
        <v>1</v>
      </c>
      <c r="F131" t="s">
        <v>3705</v>
      </c>
      <c r="G131" t="s">
        <v>7338</v>
      </c>
      <c r="H131" t="s">
        <v>59</v>
      </c>
      <c r="I131" t="s">
        <v>7237</v>
      </c>
      <c r="J131" t="s">
        <v>7231</v>
      </c>
      <c r="K131" t="s">
        <v>64</v>
      </c>
      <c r="L131" t="s">
        <v>65</v>
      </c>
      <c r="M131" t="s">
        <v>84</v>
      </c>
      <c r="N131" t="s">
        <v>7198</v>
      </c>
      <c r="O131" t="s">
        <v>7195</v>
      </c>
      <c r="P131">
        <v>1</v>
      </c>
      <c r="Q131">
        <v>1299</v>
      </c>
      <c r="R131">
        <v>0</v>
      </c>
      <c r="S131">
        <v>1299</v>
      </c>
      <c r="T131">
        <v>0</v>
      </c>
      <c r="U131">
        <v>1299</v>
      </c>
      <c r="V131">
        <v>585</v>
      </c>
      <c r="W131">
        <v>585</v>
      </c>
      <c r="X131">
        <v>60</v>
      </c>
      <c r="Y131">
        <v>654</v>
      </c>
      <c r="Z131">
        <v>0.50346420323325636</v>
      </c>
      <c r="AA131">
        <v>0</v>
      </c>
      <c r="AB131" s="1">
        <v>45664</v>
      </c>
      <c r="AC131">
        <v>351</v>
      </c>
      <c r="AD131" t="s">
        <v>7311</v>
      </c>
      <c r="AE131">
        <v>0</v>
      </c>
      <c r="AF131" t="s">
        <v>3495</v>
      </c>
      <c r="AG131" s="1">
        <v>45316</v>
      </c>
      <c r="AI131" t="s">
        <v>7350</v>
      </c>
      <c r="AJ131">
        <v>0</v>
      </c>
    </row>
    <row r="132" spans="1:36" x14ac:dyDescent="0.3">
      <c r="A132" t="s">
        <v>1924</v>
      </c>
      <c r="B132" s="1">
        <v>45612</v>
      </c>
      <c r="C132">
        <v>2024</v>
      </c>
      <c r="D132" s="1">
        <v>45597</v>
      </c>
      <c r="E132">
        <v>11</v>
      </c>
      <c r="F132" t="s">
        <v>1686</v>
      </c>
      <c r="G132" t="s">
        <v>7339</v>
      </c>
      <c r="H132" t="s">
        <v>132</v>
      </c>
      <c r="I132" t="s">
        <v>7222</v>
      </c>
      <c r="J132" t="s">
        <v>7221</v>
      </c>
      <c r="K132" t="s">
        <v>133</v>
      </c>
      <c r="L132" t="s">
        <v>65</v>
      </c>
      <c r="M132" t="s">
        <v>125</v>
      </c>
      <c r="N132" t="s">
        <v>7194</v>
      </c>
      <c r="O132" t="s">
        <v>7195</v>
      </c>
      <c r="P132">
        <v>1</v>
      </c>
      <c r="Q132">
        <v>899</v>
      </c>
      <c r="R132">
        <v>0.05</v>
      </c>
      <c r="S132">
        <v>899</v>
      </c>
      <c r="T132">
        <v>44.95</v>
      </c>
      <c r="U132">
        <v>854.05</v>
      </c>
      <c r="V132">
        <v>378</v>
      </c>
      <c r="W132">
        <v>378</v>
      </c>
      <c r="X132">
        <v>60</v>
      </c>
      <c r="Y132">
        <v>416.04999999999995</v>
      </c>
      <c r="Z132">
        <v>0.48714946431707745</v>
      </c>
      <c r="AA132">
        <v>15</v>
      </c>
      <c r="AB132" s="1">
        <v>45494</v>
      </c>
      <c r="AC132">
        <v>-118</v>
      </c>
      <c r="AD132" t="s">
        <v>7309</v>
      </c>
      <c r="AE132">
        <v>0.15</v>
      </c>
      <c r="AF132" t="s">
        <v>18</v>
      </c>
      <c r="AG132" s="1">
        <v>45619</v>
      </c>
      <c r="AH132">
        <v>3</v>
      </c>
      <c r="AJ132">
        <v>0</v>
      </c>
    </row>
    <row r="133" spans="1:36" x14ac:dyDescent="0.3">
      <c r="A133" t="s">
        <v>6526</v>
      </c>
      <c r="B133" s="1">
        <v>45610</v>
      </c>
      <c r="C133">
        <v>2024</v>
      </c>
      <c r="D133" s="1">
        <v>45597</v>
      </c>
      <c r="E133">
        <v>11</v>
      </c>
      <c r="F133" t="s">
        <v>3778</v>
      </c>
      <c r="G133" t="s">
        <v>7338</v>
      </c>
      <c r="H133" t="s">
        <v>43</v>
      </c>
      <c r="I133" t="s">
        <v>7225</v>
      </c>
      <c r="J133" t="s">
        <v>7224</v>
      </c>
      <c r="K133" t="s">
        <v>250</v>
      </c>
      <c r="L133" t="s">
        <v>65</v>
      </c>
      <c r="M133" t="s">
        <v>24</v>
      </c>
      <c r="N133" t="s">
        <v>7197</v>
      </c>
      <c r="O133" t="s">
        <v>7195</v>
      </c>
      <c r="P133">
        <v>3</v>
      </c>
      <c r="Q133">
        <v>699</v>
      </c>
      <c r="R133">
        <v>0.4</v>
      </c>
      <c r="S133">
        <v>2097</v>
      </c>
      <c r="T133">
        <v>838.80000000000007</v>
      </c>
      <c r="U133">
        <v>1258.1999999999998</v>
      </c>
      <c r="V133">
        <v>245</v>
      </c>
      <c r="W133">
        <v>735</v>
      </c>
      <c r="X133">
        <v>120</v>
      </c>
      <c r="Y133">
        <v>403.19999999999982</v>
      </c>
      <c r="Z133">
        <v>0.32045779685264653</v>
      </c>
      <c r="AA133">
        <v>0.3</v>
      </c>
      <c r="AB133" s="1">
        <v>45964</v>
      </c>
      <c r="AC133">
        <v>354</v>
      </c>
      <c r="AD133" t="s">
        <v>7311</v>
      </c>
      <c r="AE133">
        <v>0.3</v>
      </c>
      <c r="AF133" t="s">
        <v>18</v>
      </c>
      <c r="AG133" s="1">
        <v>45613</v>
      </c>
      <c r="AH133">
        <v>3</v>
      </c>
      <c r="AI133" t="s">
        <v>7352</v>
      </c>
      <c r="AJ133">
        <v>1</v>
      </c>
    </row>
    <row r="134" spans="1:36" x14ac:dyDescent="0.3">
      <c r="A134" t="s">
        <v>3879</v>
      </c>
      <c r="B134" s="1">
        <v>45610</v>
      </c>
      <c r="C134">
        <v>2024</v>
      </c>
      <c r="D134" s="1">
        <v>45597</v>
      </c>
      <c r="E134">
        <v>11</v>
      </c>
      <c r="F134" t="s">
        <v>3880</v>
      </c>
      <c r="G134" t="s">
        <v>7339</v>
      </c>
      <c r="H134" t="s">
        <v>90</v>
      </c>
      <c r="I134" t="s">
        <v>7233</v>
      </c>
      <c r="J134" t="s">
        <v>7224</v>
      </c>
      <c r="K134" t="s">
        <v>91</v>
      </c>
      <c r="L134" t="s">
        <v>65</v>
      </c>
      <c r="M134" t="s">
        <v>84</v>
      </c>
      <c r="N134" t="s">
        <v>7198</v>
      </c>
      <c r="O134" t="s">
        <v>7195</v>
      </c>
      <c r="P134">
        <v>1</v>
      </c>
      <c r="Q134">
        <v>1299</v>
      </c>
      <c r="R134">
        <v>0</v>
      </c>
      <c r="S134">
        <v>1299</v>
      </c>
      <c r="T134">
        <v>0</v>
      </c>
      <c r="U134">
        <v>1299</v>
      </c>
      <c r="V134">
        <v>585</v>
      </c>
      <c r="W134">
        <v>585</v>
      </c>
      <c r="X134">
        <v>60</v>
      </c>
      <c r="Y134">
        <v>654</v>
      </c>
      <c r="Z134">
        <v>0.50346420323325636</v>
      </c>
      <c r="AA134">
        <v>20</v>
      </c>
      <c r="AB134" s="1">
        <v>45685</v>
      </c>
      <c r="AC134">
        <v>75</v>
      </c>
      <c r="AD134" t="s">
        <v>7311</v>
      </c>
      <c r="AE134">
        <v>0.2</v>
      </c>
      <c r="AF134" t="s">
        <v>3495</v>
      </c>
      <c r="AG134" s="1">
        <v>45614</v>
      </c>
      <c r="AH134">
        <v>3</v>
      </c>
      <c r="AI134" t="s">
        <v>7348</v>
      </c>
      <c r="AJ134">
        <v>0</v>
      </c>
    </row>
    <row r="135" spans="1:36" x14ac:dyDescent="0.3">
      <c r="A135" t="s">
        <v>5851</v>
      </c>
      <c r="B135" s="1">
        <v>45313</v>
      </c>
      <c r="C135">
        <v>2024</v>
      </c>
      <c r="D135" s="1">
        <v>45292</v>
      </c>
      <c r="E135">
        <v>1</v>
      </c>
      <c r="F135" t="s">
        <v>3759</v>
      </c>
      <c r="G135" t="s">
        <v>7339</v>
      </c>
      <c r="H135" t="s">
        <v>123</v>
      </c>
      <c r="I135" t="s">
        <v>7227</v>
      </c>
      <c r="J135" t="s">
        <v>7221</v>
      </c>
      <c r="K135" t="s">
        <v>124</v>
      </c>
      <c r="L135" t="s">
        <v>65</v>
      </c>
      <c r="M135" t="s">
        <v>84</v>
      </c>
      <c r="N135" t="s">
        <v>7198</v>
      </c>
      <c r="O135" t="s">
        <v>7195</v>
      </c>
      <c r="P135">
        <v>2</v>
      </c>
      <c r="Q135">
        <v>1299</v>
      </c>
      <c r="R135">
        <v>0.3</v>
      </c>
      <c r="S135">
        <v>2598</v>
      </c>
      <c r="T135">
        <v>779.4</v>
      </c>
      <c r="U135">
        <v>1818.6</v>
      </c>
      <c r="V135">
        <v>585</v>
      </c>
      <c r="W135">
        <v>1170</v>
      </c>
      <c r="X135">
        <v>120</v>
      </c>
      <c r="Y135">
        <v>528.59999999999991</v>
      </c>
      <c r="Z135">
        <v>0.29066314747608046</v>
      </c>
      <c r="AA135">
        <v>0</v>
      </c>
      <c r="AB135" s="1">
        <v>45901</v>
      </c>
      <c r="AC135">
        <v>588</v>
      </c>
      <c r="AD135" t="s">
        <v>7311</v>
      </c>
      <c r="AE135">
        <v>0</v>
      </c>
      <c r="AF135" t="s">
        <v>18</v>
      </c>
      <c r="AG135" s="1">
        <v>45317</v>
      </c>
      <c r="AI135" t="s">
        <v>7353</v>
      </c>
      <c r="AJ135">
        <v>1</v>
      </c>
    </row>
    <row r="136" spans="1:36" x14ac:dyDescent="0.3">
      <c r="A136" t="s">
        <v>6976</v>
      </c>
      <c r="B136" s="1">
        <v>45609</v>
      </c>
      <c r="C136">
        <v>2024</v>
      </c>
      <c r="D136" s="1">
        <v>45597</v>
      </c>
      <c r="E136">
        <v>11</v>
      </c>
      <c r="F136" t="s">
        <v>4352</v>
      </c>
      <c r="G136" t="s">
        <v>7339</v>
      </c>
      <c r="H136" t="s">
        <v>128</v>
      </c>
      <c r="I136" t="s">
        <v>7218</v>
      </c>
      <c r="J136" t="s">
        <v>7212</v>
      </c>
      <c r="K136" t="s">
        <v>129</v>
      </c>
      <c r="L136" t="s">
        <v>65</v>
      </c>
      <c r="M136" t="s">
        <v>565</v>
      </c>
      <c r="N136" t="s">
        <v>7196</v>
      </c>
      <c r="O136" t="s">
        <v>7195</v>
      </c>
      <c r="P136">
        <v>4</v>
      </c>
      <c r="Q136">
        <v>2499</v>
      </c>
      <c r="R136">
        <v>0</v>
      </c>
      <c r="S136">
        <v>9996</v>
      </c>
      <c r="T136">
        <v>0</v>
      </c>
      <c r="U136">
        <v>9996</v>
      </c>
      <c r="V136">
        <v>1250</v>
      </c>
      <c r="W136">
        <v>5000</v>
      </c>
      <c r="X136">
        <v>60</v>
      </c>
      <c r="Y136">
        <v>4936</v>
      </c>
      <c r="Z136">
        <v>0.49379751900760305</v>
      </c>
      <c r="AA136">
        <v>0.45</v>
      </c>
      <c r="AB136" s="1">
        <v>46000</v>
      </c>
      <c r="AC136">
        <v>391</v>
      </c>
      <c r="AD136" t="s">
        <v>7311</v>
      </c>
      <c r="AE136">
        <v>0.45</v>
      </c>
      <c r="AF136" t="s">
        <v>3495</v>
      </c>
      <c r="AG136" s="1">
        <v>45612</v>
      </c>
      <c r="AH136">
        <v>4</v>
      </c>
      <c r="AI136" t="s">
        <v>7348</v>
      </c>
      <c r="AJ136">
        <v>0</v>
      </c>
    </row>
    <row r="137" spans="1:36" x14ac:dyDescent="0.3">
      <c r="A137" t="s">
        <v>1922</v>
      </c>
      <c r="B137" s="1">
        <v>45609</v>
      </c>
      <c r="C137">
        <v>2024</v>
      </c>
      <c r="D137" s="1">
        <v>45597</v>
      </c>
      <c r="E137">
        <v>11</v>
      </c>
      <c r="F137" t="s">
        <v>1923</v>
      </c>
      <c r="G137" t="s">
        <v>7339</v>
      </c>
      <c r="H137" t="s">
        <v>54</v>
      </c>
      <c r="I137" t="s">
        <v>7216</v>
      </c>
      <c r="J137" t="s">
        <v>7212</v>
      </c>
      <c r="K137" t="s">
        <v>55</v>
      </c>
      <c r="L137" t="s">
        <v>65</v>
      </c>
      <c r="M137" t="s">
        <v>84</v>
      </c>
      <c r="N137" t="s">
        <v>7198</v>
      </c>
      <c r="O137" t="s">
        <v>7195</v>
      </c>
      <c r="P137">
        <v>1</v>
      </c>
      <c r="Q137">
        <v>1299</v>
      </c>
      <c r="R137">
        <v>0</v>
      </c>
      <c r="S137">
        <v>1299</v>
      </c>
      <c r="T137">
        <v>0</v>
      </c>
      <c r="U137">
        <v>1299</v>
      </c>
      <c r="V137">
        <v>585</v>
      </c>
      <c r="W137">
        <v>585</v>
      </c>
      <c r="X137">
        <v>60</v>
      </c>
      <c r="Y137">
        <v>654</v>
      </c>
      <c r="Z137">
        <v>0.50346420323325636</v>
      </c>
      <c r="AA137">
        <v>0.15</v>
      </c>
      <c r="AB137" s="1">
        <v>45493</v>
      </c>
      <c r="AC137">
        <v>-116</v>
      </c>
      <c r="AD137" t="s">
        <v>7309</v>
      </c>
      <c r="AE137">
        <v>0.15</v>
      </c>
      <c r="AF137" t="s">
        <v>18</v>
      </c>
      <c r="AG137" s="1">
        <v>45615</v>
      </c>
      <c r="AH137">
        <v>3</v>
      </c>
      <c r="AI137" t="s">
        <v>7349</v>
      </c>
      <c r="AJ137">
        <v>0</v>
      </c>
    </row>
    <row r="138" spans="1:36" x14ac:dyDescent="0.3">
      <c r="A138" t="s">
        <v>7074</v>
      </c>
      <c r="B138" s="1">
        <v>45606</v>
      </c>
      <c r="C138">
        <v>2024</v>
      </c>
      <c r="D138" s="1">
        <v>45597</v>
      </c>
      <c r="E138">
        <v>11</v>
      </c>
      <c r="F138" t="s">
        <v>603</v>
      </c>
      <c r="G138" t="s">
        <v>7339</v>
      </c>
      <c r="H138" t="s">
        <v>37</v>
      </c>
      <c r="I138" t="s">
        <v>7223</v>
      </c>
      <c r="J138" t="s">
        <v>7224</v>
      </c>
      <c r="K138" t="s">
        <v>38</v>
      </c>
      <c r="L138" t="s">
        <v>65</v>
      </c>
      <c r="M138" t="s">
        <v>125</v>
      </c>
      <c r="N138" t="s">
        <v>7194</v>
      </c>
      <c r="O138" t="s">
        <v>7195</v>
      </c>
      <c r="P138">
        <v>4</v>
      </c>
      <c r="Q138">
        <v>899</v>
      </c>
      <c r="R138">
        <v>0</v>
      </c>
      <c r="S138">
        <v>3596</v>
      </c>
      <c r="T138">
        <v>0</v>
      </c>
      <c r="U138">
        <v>3596</v>
      </c>
      <c r="V138">
        <v>378</v>
      </c>
      <c r="W138">
        <v>1512</v>
      </c>
      <c r="X138">
        <v>60</v>
      </c>
      <c r="Y138">
        <v>2024</v>
      </c>
      <c r="Z138">
        <v>0.56284760845383763</v>
      </c>
      <c r="AA138">
        <v>0.3</v>
      </c>
      <c r="AB138" s="1">
        <v>46012</v>
      </c>
      <c r="AC138">
        <v>406</v>
      </c>
      <c r="AD138" t="s">
        <v>7311</v>
      </c>
      <c r="AE138">
        <v>0.3</v>
      </c>
      <c r="AF138" t="s">
        <v>18</v>
      </c>
      <c r="AG138" s="1">
        <v>45610</v>
      </c>
      <c r="AJ138">
        <v>0</v>
      </c>
    </row>
    <row r="139" spans="1:36" x14ac:dyDescent="0.3">
      <c r="A139" t="s">
        <v>4489</v>
      </c>
      <c r="B139" s="1">
        <v>45604</v>
      </c>
      <c r="C139">
        <v>2024</v>
      </c>
      <c r="D139" s="1">
        <v>45597</v>
      </c>
      <c r="E139">
        <v>11</v>
      </c>
      <c r="F139" t="s">
        <v>1791</v>
      </c>
      <c r="G139" t="s">
        <v>7338</v>
      </c>
      <c r="H139" t="s">
        <v>128</v>
      </c>
      <c r="I139" t="s">
        <v>7218</v>
      </c>
      <c r="J139" t="s">
        <v>7212</v>
      </c>
      <c r="K139" t="s">
        <v>129</v>
      </c>
      <c r="L139" t="s">
        <v>65</v>
      </c>
      <c r="M139" t="s">
        <v>84</v>
      </c>
      <c r="N139" t="s">
        <v>7198</v>
      </c>
      <c r="O139" t="s">
        <v>7195</v>
      </c>
      <c r="P139">
        <v>1</v>
      </c>
      <c r="Q139">
        <v>1299</v>
      </c>
      <c r="R139">
        <v>0</v>
      </c>
      <c r="S139">
        <v>1299</v>
      </c>
      <c r="T139">
        <v>0</v>
      </c>
      <c r="U139">
        <v>1299</v>
      </c>
      <c r="V139">
        <v>585</v>
      </c>
      <c r="W139">
        <v>585</v>
      </c>
      <c r="X139">
        <v>60</v>
      </c>
      <c r="Y139">
        <v>654</v>
      </c>
      <c r="Z139">
        <v>0.50346420323325636</v>
      </c>
      <c r="AA139">
        <v>0.2</v>
      </c>
      <c r="AB139" s="1">
        <v>45750</v>
      </c>
      <c r="AC139">
        <v>146</v>
      </c>
      <c r="AD139" t="s">
        <v>7311</v>
      </c>
      <c r="AE139">
        <v>0.2</v>
      </c>
      <c r="AF139" t="s">
        <v>4450</v>
      </c>
      <c r="AG139" s="1">
        <v>45607</v>
      </c>
      <c r="AH139">
        <v>4</v>
      </c>
      <c r="AI139" t="s">
        <v>7350</v>
      </c>
      <c r="AJ139">
        <v>0</v>
      </c>
    </row>
    <row r="140" spans="1:36" x14ac:dyDescent="0.3">
      <c r="A140" t="s">
        <v>2204</v>
      </c>
      <c r="B140" s="1">
        <v>45314</v>
      </c>
      <c r="C140">
        <v>2024</v>
      </c>
      <c r="D140" s="1">
        <v>45292</v>
      </c>
      <c r="E140">
        <v>1</v>
      </c>
      <c r="F140" t="s">
        <v>2205</v>
      </c>
      <c r="G140" t="s">
        <v>7338</v>
      </c>
      <c r="H140" t="s">
        <v>21</v>
      </c>
      <c r="I140" t="s">
        <v>7213</v>
      </c>
      <c r="J140" t="s">
        <v>7212</v>
      </c>
      <c r="K140" t="s">
        <v>22</v>
      </c>
      <c r="L140" t="s">
        <v>65</v>
      </c>
      <c r="M140" t="s">
        <v>24</v>
      </c>
      <c r="N140" t="s">
        <v>7197</v>
      </c>
      <c r="O140" t="s">
        <v>7195</v>
      </c>
      <c r="P140">
        <v>1</v>
      </c>
      <c r="Q140">
        <v>699</v>
      </c>
      <c r="R140">
        <v>0.15</v>
      </c>
      <c r="S140">
        <v>699</v>
      </c>
      <c r="T140">
        <v>104.85</v>
      </c>
      <c r="U140">
        <v>594.15</v>
      </c>
      <c r="V140">
        <v>245</v>
      </c>
      <c r="W140">
        <v>245</v>
      </c>
      <c r="X140">
        <v>60</v>
      </c>
      <c r="Y140">
        <v>289.14999999999998</v>
      </c>
      <c r="Z140">
        <v>0.48666161743667424</v>
      </c>
      <c r="AA140">
        <v>0.2</v>
      </c>
      <c r="AB140" s="1">
        <v>45534</v>
      </c>
      <c r="AC140">
        <v>220</v>
      </c>
      <c r="AD140" t="s">
        <v>7311</v>
      </c>
      <c r="AE140">
        <v>0.2</v>
      </c>
      <c r="AF140" t="s">
        <v>18</v>
      </c>
      <c r="AG140" s="1">
        <v>45316</v>
      </c>
      <c r="AH140">
        <v>5</v>
      </c>
      <c r="AI140" t="s">
        <v>7349</v>
      </c>
      <c r="AJ140">
        <v>0</v>
      </c>
    </row>
    <row r="141" spans="1:36" x14ac:dyDescent="0.3">
      <c r="A141" t="s">
        <v>2979</v>
      </c>
      <c r="B141" s="1">
        <v>45601</v>
      </c>
      <c r="C141">
        <v>2024</v>
      </c>
      <c r="D141" s="1">
        <v>45597</v>
      </c>
      <c r="E141">
        <v>11</v>
      </c>
      <c r="F141" t="s">
        <v>1406</v>
      </c>
      <c r="G141" t="s">
        <v>7339</v>
      </c>
      <c r="H141" t="s">
        <v>210</v>
      </c>
      <c r="I141" t="s">
        <v>7211</v>
      </c>
      <c r="J141" t="s">
        <v>7212</v>
      </c>
      <c r="K141" t="s">
        <v>211</v>
      </c>
      <c r="L141" t="s">
        <v>65</v>
      </c>
      <c r="M141" t="s">
        <v>84</v>
      </c>
      <c r="N141" t="s">
        <v>7198</v>
      </c>
      <c r="O141" t="s">
        <v>7195</v>
      </c>
      <c r="P141">
        <v>1</v>
      </c>
      <c r="Q141">
        <v>1299</v>
      </c>
      <c r="R141">
        <v>0.3</v>
      </c>
      <c r="S141">
        <v>1299</v>
      </c>
      <c r="T141">
        <v>389.7</v>
      </c>
      <c r="U141">
        <v>909.3</v>
      </c>
      <c r="V141">
        <v>585</v>
      </c>
      <c r="W141">
        <v>585</v>
      </c>
      <c r="X141">
        <v>60</v>
      </c>
      <c r="Y141">
        <v>264.29999999999995</v>
      </c>
      <c r="Z141">
        <v>0.29066314747608046</v>
      </c>
      <c r="AA141">
        <v>0.15</v>
      </c>
      <c r="AB141" s="1">
        <v>45597</v>
      </c>
      <c r="AC141">
        <v>-4</v>
      </c>
      <c r="AD141" t="s">
        <v>7309</v>
      </c>
      <c r="AE141">
        <v>0.15</v>
      </c>
      <c r="AF141" t="s">
        <v>2522</v>
      </c>
      <c r="AG141" s="1">
        <v>45608</v>
      </c>
      <c r="AJ141">
        <v>0</v>
      </c>
    </row>
    <row r="142" spans="1:36" x14ac:dyDescent="0.3">
      <c r="A142" t="s">
        <v>1693</v>
      </c>
      <c r="B142" s="1">
        <v>45597</v>
      </c>
      <c r="C142">
        <v>2024</v>
      </c>
      <c r="D142" s="1">
        <v>45597</v>
      </c>
      <c r="E142">
        <v>11</v>
      </c>
      <c r="F142" t="s">
        <v>1694</v>
      </c>
      <c r="G142" t="s">
        <v>7339</v>
      </c>
      <c r="H142" t="s">
        <v>48</v>
      </c>
      <c r="I142" t="s">
        <v>7217</v>
      </c>
      <c r="J142" t="s">
        <v>7212</v>
      </c>
      <c r="K142" t="s">
        <v>49</v>
      </c>
      <c r="L142" t="s">
        <v>65</v>
      </c>
      <c r="M142" t="s">
        <v>84</v>
      </c>
      <c r="N142" t="s">
        <v>7198</v>
      </c>
      <c r="O142" t="s">
        <v>7195</v>
      </c>
      <c r="P142">
        <v>1</v>
      </c>
      <c r="Q142">
        <v>1299</v>
      </c>
      <c r="R142">
        <v>0.45</v>
      </c>
      <c r="S142">
        <v>1299</v>
      </c>
      <c r="T142">
        <v>584.55000000000007</v>
      </c>
      <c r="U142">
        <v>714.44999999999993</v>
      </c>
      <c r="V142">
        <v>585</v>
      </c>
      <c r="W142">
        <v>585</v>
      </c>
      <c r="X142">
        <v>60</v>
      </c>
      <c r="Y142">
        <v>69.449999999999932</v>
      </c>
      <c r="Z142">
        <v>9.720764224228419E-2</v>
      </c>
      <c r="AA142">
        <v>0.2</v>
      </c>
      <c r="AB142" s="1">
        <v>45474</v>
      </c>
      <c r="AC142">
        <v>-123</v>
      </c>
      <c r="AD142" t="s">
        <v>7309</v>
      </c>
      <c r="AE142">
        <v>0.2</v>
      </c>
      <c r="AF142" t="s">
        <v>18</v>
      </c>
      <c r="AG142" s="1">
        <v>45601</v>
      </c>
      <c r="AJ142">
        <v>0</v>
      </c>
    </row>
    <row r="143" spans="1:36" x14ac:dyDescent="0.3">
      <c r="A143" t="s">
        <v>5362</v>
      </c>
      <c r="B143" s="1">
        <v>45596</v>
      </c>
      <c r="C143">
        <v>2024</v>
      </c>
      <c r="D143" s="1">
        <v>45566</v>
      </c>
      <c r="E143">
        <v>10</v>
      </c>
      <c r="F143" t="s">
        <v>5363</v>
      </c>
      <c r="G143" t="s">
        <v>7338</v>
      </c>
      <c r="H143" t="s">
        <v>167</v>
      </c>
      <c r="I143" t="s">
        <v>7234</v>
      </c>
      <c r="J143" t="s">
        <v>7231</v>
      </c>
      <c r="K143" t="s">
        <v>190</v>
      </c>
      <c r="L143" t="s">
        <v>65</v>
      </c>
      <c r="M143" t="s">
        <v>24</v>
      </c>
      <c r="N143" t="s">
        <v>7197</v>
      </c>
      <c r="O143" t="s">
        <v>7195</v>
      </c>
      <c r="P143">
        <v>2</v>
      </c>
      <c r="Q143">
        <v>699</v>
      </c>
      <c r="R143">
        <v>0.1</v>
      </c>
      <c r="S143">
        <v>1398</v>
      </c>
      <c r="T143">
        <v>139.80000000000001</v>
      </c>
      <c r="U143">
        <v>1258.2</v>
      </c>
      <c r="V143">
        <v>245</v>
      </c>
      <c r="W143">
        <v>490</v>
      </c>
      <c r="X143">
        <v>60</v>
      </c>
      <c r="Y143">
        <v>708.2</v>
      </c>
      <c r="Z143">
        <v>0.5628675886186616</v>
      </c>
      <c r="AA143">
        <v>0.4</v>
      </c>
      <c r="AB143" s="1">
        <v>45847</v>
      </c>
      <c r="AC143">
        <v>251</v>
      </c>
      <c r="AD143" t="s">
        <v>7311</v>
      </c>
      <c r="AE143">
        <v>0.4</v>
      </c>
      <c r="AF143" t="s">
        <v>2522</v>
      </c>
      <c r="AG143" s="1">
        <v>45599</v>
      </c>
      <c r="AI143" t="s">
        <v>7349</v>
      </c>
      <c r="AJ143">
        <v>0</v>
      </c>
    </row>
    <row r="144" spans="1:36" x14ac:dyDescent="0.3">
      <c r="A144" t="s">
        <v>2326</v>
      </c>
      <c r="B144" s="1">
        <v>45595</v>
      </c>
      <c r="C144">
        <v>2024</v>
      </c>
      <c r="D144" s="1">
        <v>45566</v>
      </c>
      <c r="E144">
        <v>10</v>
      </c>
      <c r="F144" t="s">
        <v>2327</v>
      </c>
      <c r="G144" t="s">
        <v>7338</v>
      </c>
      <c r="H144" t="s">
        <v>482</v>
      </c>
      <c r="I144" t="s">
        <v>7226</v>
      </c>
      <c r="J144" t="s">
        <v>7221</v>
      </c>
      <c r="K144" t="s">
        <v>483</v>
      </c>
      <c r="L144" t="s">
        <v>65</v>
      </c>
      <c r="M144" t="s">
        <v>84</v>
      </c>
      <c r="N144" t="s">
        <v>7198</v>
      </c>
      <c r="O144" t="s">
        <v>7195</v>
      </c>
      <c r="P144">
        <v>1</v>
      </c>
      <c r="Q144">
        <v>1299</v>
      </c>
      <c r="R144">
        <v>0.15</v>
      </c>
      <c r="S144">
        <v>1299</v>
      </c>
      <c r="T144">
        <v>194.85</v>
      </c>
      <c r="U144">
        <v>1104.1500000000001</v>
      </c>
      <c r="V144">
        <v>585</v>
      </c>
      <c r="W144">
        <v>585</v>
      </c>
      <c r="X144">
        <v>60</v>
      </c>
      <c r="Y144">
        <v>459.15000000000009</v>
      </c>
      <c r="Z144">
        <v>0.41584023909794871</v>
      </c>
      <c r="AA144">
        <v>0.1</v>
      </c>
      <c r="AB144" s="1">
        <v>45545</v>
      </c>
      <c r="AC144">
        <v>-50</v>
      </c>
      <c r="AD144" t="s">
        <v>7309</v>
      </c>
      <c r="AE144">
        <v>0.1</v>
      </c>
      <c r="AF144" t="s">
        <v>18</v>
      </c>
      <c r="AG144" s="1">
        <v>45601</v>
      </c>
      <c r="AH144">
        <v>5</v>
      </c>
      <c r="AI144" t="s">
        <v>7348</v>
      </c>
      <c r="AJ144">
        <v>0</v>
      </c>
    </row>
    <row r="145" spans="1:36" x14ac:dyDescent="0.3">
      <c r="A145" t="s">
        <v>5684</v>
      </c>
      <c r="B145" s="1">
        <v>45594</v>
      </c>
      <c r="C145">
        <v>2024</v>
      </c>
      <c r="D145" s="1">
        <v>45566</v>
      </c>
      <c r="E145">
        <v>10</v>
      </c>
      <c r="F145" t="s">
        <v>47</v>
      </c>
      <c r="G145" t="s">
        <v>7339</v>
      </c>
      <c r="H145" t="s">
        <v>167</v>
      </c>
      <c r="I145" t="s">
        <v>7234</v>
      </c>
      <c r="J145" t="s">
        <v>7231</v>
      </c>
      <c r="K145" t="s">
        <v>168</v>
      </c>
      <c r="L145" t="s">
        <v>65</v>
      </c>
      <c r="M145" t="s">
        <v>565</v>
      </c>
      <c r="N145" t="s">
        <v>7196</v>
      </c>
      <c r="O145" t="s">
        <v>7195</v>
      </c>
      <c r="P145">
        <v>2</v>
      </c>
      <c r="Q145">
        <v>2499</v>
      </c>
      <c r="R145">
        <v>0.3</v>
      </c>
      <c r="S145">
        <v>4998</v>
      </c>
      <c r="T145">
        <v>1499.3999999999999</v>
      </c>
      <c r="U145">
        <v>3498.6000000000004</v>
      </c>
      <c r="V145">
        <v>1250</v>
      </c>
      <c r="W145">
        <v>2500</v>
      </c>
      <c r="X145">
        <v>60</v>
      </c>
      <c r="Y145">
        <v>938.60000000000036</v>
      </c>
      <c r="Z145">
        <v>0.26827874006745561</v>
      </c>
      <c r="AA145">
        <v>0.4</v>
      </c>
      <c r="AB145" s="1">
        <v>45884</v>
      </c>
      <c r="AC145">
        <v>290</v>
      </c>
      <c r="AD145" t="s">
        <v>7311</v>
      </c>
      <c r="AE145">
        <v>0.4</v>
      </c>
      <c r="AF145" t="s">
        <v>18</v>
      </c>
      <c r="AG145" s="1">
        <v>45597</v>
      </c>
      <c r="AH145">
        <v>3</v>
      </c>
      <c r="AJ145">
        <v>0</v>
      </c>
    </row>
    <row r="146" spans="1:36" x14ac:dyDescent="0.3">
      <c r="A146" t="s">
        <v>5494</v>
      </c>
      <c r="B146" s="1">
        <v>45591</v>
      </c>
      <c r="C146">
        <v>2024</v>
      </c>
      <c r="D146" s="1">
        <v>45566</v>
      </c>
      <c r="E146">
        <v>10</v>
      </c>
      <c r="F146" t="s">
        <v>2201</v>
      </c>
      <c r="G146" t="s">
        <v>7339</v>
      </c>
      <c r="H146" t="s">
        <v>71</v>
      </c>
      <c r="I146" t="s">
        <v>7229</v>
      </c>
      <c r="J146" t="s">
        <v>7224</v>
      </c>
      <c r="K146" t="s">
        <v>72</v>
      </c>
      <c r="L146" t="s">
        <v>65</v>
      </c>
      <c r="M146" t="s">
        <v>84</v>
      </c>
      <c r="N146" t="s">
        <v>7198</v>
      </c>
      <c r="O146" t="s">
        <v>7195</v>
      </c>
      <c r="P146">
        <v>2</v>
      </c>
      <c r="Q146">
        <v>1299</v>
      </c>
      <c r="R146">
        <v>0.3</v>
      </c>
      <c r="S146">
        <v>2598</v>
      </c>
      <c r="T146">
        <v>779.4</v>
      </c>
      <c r="U146">
        <v>1818.6</v>
      </c>
      <c r="V146">
        <v>585</v>
      </c>
      <c r="W146">
        <v>1170</v>
      </c>
      <c r="X146">
        <v>60</v>
      </c>
      <c r="Y146">
        <v>588.59999999999991</v>
      </c>
      <c r="Z146">
        <v>0.32365555922137906</v>
      </c>
      <c r="AA146">
        <v>0.3</v>
      </c>
      <c r="AB146" s="1">
        <v>45865</v>
      </c>
      <c r="AC146">
        <v>274</v>
      </c>
      <c r="AD146" t="s">
        <v>7311</v>
      </c>
      <c r="AE146">
        <v>0.3</v>
      </c>
      <c r="AF146" t="s">
        <v>2522</v>
      </c>
      <c r="AG146" s="1">
        <v>45593</v>
      </c>
      <c r="AH146">
        <v>4</v>
      </c>
      <c r="AI146" t="s">
        <v>7349</v>
      </c>
      <c r="AJ146">
        <v>0</v>
      </c>
    </row>
    <row r="147" spans="1:36" x14ac:dyDescent="0.3">
      <c r="A147" t="s">
        <v>1687</v>
      </c>
      <c r="B147" s="1">
        <v>45591</v>
      </c>
      <c r="C147">
        <v>2024</v>
      </c>
      <c r="D147" s="1">
        <v>45566</v>
      </c>
      <c r="E147">
        <v>10</v>
      </c>
      <c r="F147" t="s">
        <v>170</v>
      </c>
      <c r="G147" t="s">
        <v>7339</v>
      </c>
      <c r="H147" t="s">
        <v>43</v>
      </c>
      <c r="I147" t="s">
        <v>7225</v>
      </c>
      <c r="J147" t="s">
        <v>7224</v>
      </c>
      <c r="K147" t="s">
        <v>250</v>
      </c>
      <c r="L147" t="s">
        <v>65</v>
      </c>
      <c r="M147" t="s">
        <v>24</v>
      </c>
      <c r="N147" t="s">
        <v>7197</v>
      </c>
      <c r="O147" t="s">
        <v>7195</v>
      </c>
      <c r="P147">
        <v>1</v>
      </c>
      <c r="Q147">
        <v>699</v>
      </c>
      <c r="R147">
        <v>0.05</v>
      </c>
      <c r="S147">
        <v>699</v>
      </c>
      <c r="T147">
        <v>34.950000000000003</v>
      </c>
      <c r="U147">
        <v>664.05</v>
      </c>
      <c r="V147">
        <v>245</v>
      </c>
      <c r="W147">
        <v>245</v>
      </c>
      <c r="X147">
        <v>60</v>
      </c>
      <c r="Y147">
        <v>359.04999999999995</v>
      </c>
      <c r="Z147">
        <v>0.54069723665386638</v>
      </c>
      <c r="AA147">
        <v>35</v>
      </c>
      <c r="AB147" s="1">
        <v>45472</v>
      </c>
      <c r="AC147">
        <v>-119</v>
      </c>
      <c r="AD147" t="s">
        <v>7309</v>
      </c>
      <c r="AE147">
        <v>0.35</v>
      </c>
      <c r="AF147" t="s">
        <v>18</v>
      </c>
      <c r="AG147" s="1">
        <v>45597</v>
      </c>
      <c r="AI147" t="s">
        <v>7348</v>
      </c>
      <c r="AJ147">
        <v>0</v>
      </c>
    </row>
    <row r="148" spans="1:36" x14ac:dyDescent="0.3">
      <c r="A148" t="s">
        <v>5897</v>
      </c>
      <c r="B148" s="1">
        <v>45588</v>
      </c>
      <c r="C148">
        <v>2024</v>
      </c>
      <c r="D148" s="1">
        <v>45566</v>
      </c>
      <c r="E148">
        <v>10</v>
      </c>
      <c r="F148" t="s">
        <v>1117</v>
      </c>
      <c r="G148" t="s">
        <v>7338</v>
      </c>
      <c r="H148" t="s">
        <v>27</v>
      </c>
      <c r="I148" t="s">
        <v>7228</v>
      </c>
      <c r="J148" t="s">
        <v>7221</v>
      </c>
      <c r="K148" t="s">
        <v>28</v>
      </c>
      <c r="L148" t="s">
        <v>65</v>
      </c>
      <c r="M148" t="s">
        <v>125</v>
      </c>
      <c r="N148" t="s">
        <v>7194</v>
      </c>
      <c r="O148" t="s">
        <v>7195</v>
      </c>
      <c r="P148">
        <v>2</v>
      </c>
      <c r="Q148">
        <v>899</v>
      </c>
      <c r="R148">
        <v>0</v>
      </c>
      <c r="S148">
        <v>1798</v>
      </c>
      <c r="T148">
        <v>0</v>
      </c>
      <c r="U148">
        <v>1798</v>
      </c>
      <c r="V148">
        <v>378</v>
      </c>
      <c r="W148">
        <v>756</v>
      </c>
      <c r="X148">
        <v>60</v>
      </c>
      <c r="Y148">
        <v>982</v>
      </c>
      <c r="Z148">
        <v>0.5461624026696329</v>
      </c>
      <c r="AA148">
        <v>0.3</v>
      </c>
      <c r="AB148" s="1">
        <v>45908</v>
      </c>
      <c r="AC148">
        <v>320</v>
      </c>
      <c r="AD148" t="s">
        <v>7311</v>
      </c>
      <c r="AE148">
        <v>0.3</v>
      </c>
      <c r="AF148" t="s">
        <v>18</v>
      </c>
      <c r="AG148" s="1">
        <v>45592</v>
      </c>
      <c r="AI148" t="s">
        <v>7350</v>
      </c>
      <c r="AJ148">
        <v>0</v>
      </c>
    </row>
    <row r="149" spans="1:36" x14ac:dyDescent="0.3">
      <c r="A149" t="s">
        <v>6101</v>
      </c>
      <c r="B149" s="1">
        <v>45583</v>
      </c>
      <c r="C149">
        <v>2024</v>
      </c>
      <c r="D149" s="1">
        <v>45566</v>
      </c>
      <c r="E149">
        <v>10</v>
      </c>
      <c r="F149" t="s">
        <v>1119</v>
      </c>
      <c r="G149" t="s">
        <v>7339</v>
      </c>
      <c r="H149" t="s">
        <v>32</v>
      </c>
      <c r="I149" t="s">
        <v>7220</v>
      </c>
      <c r="J149" t="s">
        <v>7221</v>
      </c>
      <c r="K149" t="s">
        <v>33</v>
      </c>
      <c r="L149" t="s">
        <v>65</v>
      </c>
      <c r="M149" t="s">
        <v>125</v>
      </c>
      <c r="N149" t="s">
        <v>7194</v>
      </c>
      <c r="O149" t="s">
        <v>7195</v>
      </c>
      <c r="P149">
        <v>2</v>
      </c>
      <c r="Q149">
        <v>899</v>
      </c>
      <c r="R149">
        <v>0.3</v>
      </c>
      <c r="S149">
        <v>1798</v>
      </c>
      <c r="T149">
        <v>539.4</v>
      </c>
      <c r="U149">
        <v>1258.5999999999999</v>
      </c>
      <c r="V149">
        <v>378</v>
      </c>
      <c r="W149">
        <v>756</v>
      </c>
      <c r="X149">
        <v>60</v>
      </c>
      <c r="Y149">
        <v>442.59999999999991</v>
      </c>
      <c r="Z149">
        <v>0.35166057524233268</v>
      </c>
      <c r="AA149">
        <v>0.2</v>
      </c>
      <c r="AB149" s="1">
        <v>45929</v>
      </c>
      <c r="AC149">
        <v>346</v>
      </c>
      <c r="AD149" t="s">
        <v>7311</v>
      </c>
      <c r="AE149">
        <v>0.2</v>
      </c>
      <c r="AF149" t="s">
        <v>18</v>
      </c>
      <c r="AG149" s="1">
        <v>45590</v>
      </c>
      <c r="AH149">
        <v>4</v>
      </c>
      <c r="AJ149">
        <v>0</v>
      </c>
    </row>
    <row r="150" spans="1:36" x14ac:dyDescent="0.3">
      <c r="A150" t="s">
        <v>3740</v>
      </c>
      <c r="B150" s="1">
        <v>45583</v>
      </c>
      <c r="C150">
        <v>2024</v>
      </c>
      <c r="D150" s="1">
        <v>45566</v>
      </c>
      <c r="E150">
        <v>10</v>
      </c>
      <c r="F150" t="s">
        <v>1382</v>
      </c>
      <c r="G150" t="s">
        <v>7339</v>
      </c>
      <c r="H150" t="s">
        <v>32</v>
      </c>
      <c r="I150" t="s">
        <v>7220</v>
      </c>
      <c r="J150" t="s">
        <v>7221</v>
      </c>
      <c r="K150" t="s">
        <v>33</v>
      </c>
      <c r="L150" t="s">
        <v>65</v>
      </c>
      <c r="M150" t="s">
        <v>565</v>
      </c>
      <c r="N150" t="s">
        <v>7196</v>
      </c>
      <c r="O150" t="s">
        <v>7195</v>
      </c>
      <c r="P150">
        <v>1</v>
      </c>
      <c r="Q150">
        <v>2499</v>
      </c>
      <c r="R150">
        <v>0</v>
      </c>
      <c r="S150">
        <v>2499</v>
      </c>
      <c r="T150">
        <v>0</v>
      </c>
      <c r="U150">
        <v>2499</v>
      </c>
      <c r="V150">
        <v>1250</v>
      </c>
      <c r="W150">
        <v>1250</v>
      </c>
      <c r="X150">
        <v>60</v>
      </c>
      <c r="Y150">
        <v>1189</v>
      </c>
      <c r="Z150">
        <v>0.47579031612645056</v>
      </c>
      <c r="AA150">
        <v>0.55000000000000004</v>
      </c>
      <c r="AB150" s="1">
        <v>45674</v>
      </c>
      <c r="AC150">
        <v>91</v>
      </c>
      <c r="AD150" t="s">
        <v>7311</v>
      </c>
      <c r="AE150">
        <v>0.55000000000000004</v>
      </c>
      <c r="AF150" t="s">
        <v>3495</v>
      </c>
      <c r="AG150" s="1">
        <v>45587</v>
      </c>
      <c r="AI150" t="s">
        <v>7348</v>
      </c>
      <c r="AJ150">
        <v>0</v>
      </c>
    </row>
    <row r="151" spans="1:36" x14ac:dyDescent="0.3">
      <c r="A151" t="s">
        <v>5781</v>
      </c>
      <c r="B151" s="1">
        <v>45580</v>
      </c>
      <c r="C151">
        <v>2024</v>
      </c>
      <c r="D151" s="1">
        <v>45566</v>
      </c>
      <c r="E151">
        <v>10</v>
      </c>
      <c r="F151" t="s">
        <v>1005</v>
      </c>
      <c r="G151" t="s">
        <v>7338</v>
      </c>
      <c r="H151" t="s">
        <v>54</v>
      </c>
      <c r="I151" t="s">
        <v>7216</v>
      </c>
      <c r="J151" t="s">
        <v>7212</v>
      </c>
      <c r="K151" t="s">
        <v>227</v>
      </c>
      <c r="L151" t="s">
        <v>65</v>
      </c>
      <c r="M151" t="s">
        <v>565</v>
      </c>
      <c r="N151" t="s">
        <v>7196</v>
      </c>
      <c r="O151" t="s">
        <v>7195</v>
      </c>
      <c r="P151">
        <v>2</v>
      </c>
      <c r="Q151">
        <v>2499</v>
      </c>
      <c r="R151">
        <v>0.2</v>
      </c>
      <c r="S151">
        <v>4998</v>
      </c>
      <c r="T151">
        <v>999.6</v>
      </c>
      <c r="U151">
        <v>3998.4</v>
      </c>
      <c r="V151">
        <v>1250</v>
      </c>
      <c r="W151">
        <v>2500</v>
      </c>
      <c r="X151">
        <v>60</v>
      </c>
      <c r="Y151">
        <v>1438.4</v>
      </c>
      <c r="Z151">
        <v>0.35974389755902364</v>
      </c>
      <c r="AA151">
        <v>0.55000000000000004</v>
      </c>
      <c r="AB151" s="1">
        <v>45897</v>
      </c>
      <c r="AC151">
        <v>317</v>
      </c>
      <c r="AD151" t="s">
        <v>7311</v>
      </c>
      <c r="AE151">
        <v>0.55000000000000004</v>
      </c>
      <c r="AF151" t="s">
        <v>18</v>
      </c>
      <c r="AG151" s="1">
        <v>45585</v>
      </c>
      <c r="AH151">
        <v>5</v>
      </c>
      <c r="AI151" t="s">
        <v>7348</v>
      </c>
      <c r="AJ151">
        <v>0</v>
      </c>
    </row>
    <row r="152" spans="1:36" x14ac:dyDescent="0.3">
      <c r="A152" t="s">
        <v>3738</v>
      </c>
      <c r="B152" s="1">
        <v>45579</v>
      </c>
      <c r="C152">
        <v>2024</v>
      </c>
      <c r="D152" s="1">
        <v>45566</v>
      </c>
      <c r="E152">
        <v>10</v>
      </c>
      <c r="F152" t="s">
        <v>3739</v>
      </c>
      <c r="G152" t="s">
        <v>7339</v>
      </c>
      <c r="H152" t="s">
        <v>59</v>
      </c>
      <c r="I152" t="s">
        <v>7237</v>
      </c>
      <c r="J152" t="s">
        <v>7231</v>
      </c>
      <c r="K152" t="s">
        <v>64</v>
      </c>
      <c r="L152" t="s">
        <v>65</v>
      </c>
      <c r="M152" t="s">
        <v>24</v>
      </c>
      <c r="N152" t="s">
        <v>7197</v>
      </c>
      <c r="O152" t="s">
        <v>7195</v>
      </c>
      <c r="P152">
        <v>1</v>
      </c>
      <c r="Q152">
        <v>699</v>
      </c>
      <c r="R152">
        <v>0.2</v>
      </c>
      <c r="S152">
        <v>699</v>
      </c>
      <c r="T152">
        <v>139.80000000000001</v>
      </c>
      <c r="U152">
        <v>559.20000000000005</v>
      </c>
      <c r="V152">
        <v>245</v>
      </c>
      <c r="W152">
        <v>245</v>
      </c>
      <c r="X152">
        <v>60</v>
      </c>
      <c r="Y152">
        <v>254.20000000000005</v>
      </c>
      <c r="Z152">
        <v>0.45457796852646642</v>
      </c>
      <c r="AA152">
        <v>0.4</v>
      </c>
      <c r="AB152" s="1">
        <v>45672</v>
      </c>
      <c r="AC152">
        <v>93</v>
      </c>
      <c r="AD152" t="s">
        <v>7311</v>
      </c>
      <c r="AE152">
        <v>0.4</v>
      </c>
      <c r="AF152" t="s">
        <v>3495</v>
      </c>
      <c r="AG152" s="1">
        <v>45581</v>
      </c>
      <c r="AI152" t="s">
        <v>7350</v>
      </c>
      <c r="AJ152">
        <v>0</v>
      </c>
    </row>
    <row r="153" spans="1:36" x14ac:dyDescent="0.3">
      <c r="A153" t="s">
        <v>3993</v>
      </c>
      <c r="B153" s="1">
        <v>45572</v>
      </c>
      <c r="C153">
        <v>2024</v>
      </c>
      <c r="D153" s="1">
        <v>45566</v>
      </c>
      <c r="E153">
        <v>10</v>
      </c>
      <c r="F153" t="s">
        <v>2270</v>
      </c>
      <c r="G153" t="s">
        <v>7339</v>
      </c>
      <c r="H153" t="s">
        <v>71</v>
      </c>
      <c r="I153" t="s">
        <v>7229</v>
      </c>
      <c r="J153" t="s">
        <v>7224</v>
      </c>
      <c r="K153" t="s">
        <v>102</v>
      </c>
      <c r="L153" t="s">
        <v>65</v>
      </c>
      <c r="M153" t="s">
        <v>24</v>
      </c>
      <c r="N153" t="s">
        <v>7197</v>
      </c>
      <c r="O153" t="s">
        <v>7195</v>
      </c>
      <c r="P153">
        <v>1</v>
      </c>
      <c r="Q153">
        <v>699</v>
      </c>
      <c r="R153">
        <v>0.1</v>
      </c>
      <c r="S153">
        <v>699</v>
      </c>
      <c r="T153">
        <v>69.900000000000006</v>
      </c>
      <c r="U153">
        <v>629.1</v>
      </c>
      <c r="V153">
        <v>245</v>
      </c>
      <c r="W153">
        <v>245</v>
      </c>
      <c r="X153">
        <v>60</v>
      </c>
      <c r="Y153">
        <v>324.10000000000002</v>
      </c>
      <c r="Z153">
        <v>0.51518041646797008</v>
      </c>
      <c r="AA153">
        <v>0.25</v>
      </c>
      <c r="AB153" s="1">
        <v>45697</v>
      </c>
      <c r="AC153">
        <v>125</v>
      </c>
      <c r="AD153" t="s">
        <v>7311</v>
      </c>
      <c r="AE153">
        <v>0.25</v>
      </c>
      <c r="AF153" t="s">
        <v>3495</v>
      </c>
      <c r="AG153" s="1">
        <v>45575</v>
      </c>
      <c r="AH153">
        <v>5</v>
      </c>
      <c r="AI153" t="s">
        <v>7348</v>
      </c>
      <c r="AJ153">
        <v>0</v>
      </c>
    </row>
    <row r="154" spans="1:36" x14ac:dyDescent="0.3">
      <c r="A154" t="s">
        <v>5350</v>
      </c>
      <c r="B154" s="1">
        <v>45571</v>
      </c>
      <c r="C154">
        <v>2024</v>
      </c>
      <c r="D154" s="1">
        <v>45566</v>
      </c>
      <c r="E154">
        <v>10</v>
      </c>
      <c r="F154" t="s">
        <v>1811</v>
      </c>
      <c r="G154" t="s">
        <v>7338</v>
      </c>
      <c r="H154" t="s">
        <v>37</v>
      </c>
      <c r="I154" t="s">
        <v>7223</v>
      </c>
      <c r="J154" t="s">
        <v>7224</v>
      </c>
      <c r="K154" t="s">
        <v>38</v>
      </c>
      <c r="L154" t="s">
        <v>65</v>
      </c>
      <c r="M154" t="s">
        <v>24</v>
      </c>
      <c r="N154" t="s">
        <v>7197</v>
      </c>
      <c r="O154" t="s">
        <v>7195</v>
      </c>
      <c r="P154">
        <v>2</v>
      </c>
      <c r="Q154">
        <v>699</v>
      </c>
      <c r="R154">
        <v>0.45</v>
      </c>
      <c r="S154">
        <v>1398</v>
      </c>
      <c r="T154">
        <v>629.1</v>
      </c>
      <c r="U154">
        <v>768.9</v>
      </c>
      <c r="V154">
        <v>245</v>
      </c>
      <c r="W154">
        <v>490</v>
      </c>
      <c r="X154">
        <v>60</v>
      </c>
      <c r="Y154">
        <v>218.89999999999998</v>
      </c>
      <c r="Z154">
        <v>0.284692417739628</v>
      </c>
      <c r="AA154">
        <v>0.35</v>
      </c>
      <c r="AB154" s="1">
        <v>45846</v>
      </c>
      <c r="AC154">
        <v>275</v>
      </c>
      <c r="AD154" t="s">
        <v>7311</v>
      </c>
      <c r="AE154">
        <v>0.35</v>
      </c>
      <c r="AF154" t="s">
        <v>2522</v>
      </c>
      <c r="AG154" s="1">
        <v>45573</v>
      </c>
      <c r="AH154">
        <v>3</v>
      </c>
      <c r="AI154" t="s">
        <v>7349</v>
      </c>
      <c r="AJ154">
        <v>0</v>
      </c>
    </row>
    <row r="155" spans="1:36" x14ac:dyDescent="0.3">
      <c r="A155" t="s">
        <v>5678</v>
      </c>
      <c r="B155" s="1">
        <v>45567</v>
      </c>
      <c r="C155">
        <v>2024</v>
      </c>
      <c r="D155" s="1">
        <v>45566</v>
      </c>
      <c r="E155">
        <v>10</v>
      </c>
      <c r="F155" t="s">
        <v>131</v>
      </c>
      <c r="G155" t="s">
        <v>7339</v>
      </c>
      <c r="H155" t="s">
        <v>76</v>
      </c>
      <c r="I155" t="s">
        <v>7219</v>
      </c>
      <c r="J155" t="s">
        <v>7212</v>
      </c>
      <c r="K155" t="s">
        <v>77</v>
      </c>
      <c r="L155" t="s">
        <v>65</v>
      </c>
      <c r="M155" t="s">
        <v>84</v>
      </c>
      <c r="N155" t="s">
        <v>7198</v>
      </c>
      <c r="O155" t="s">
        <v>7195</v>
      </c>
      <c r="P155">
        <v>2</v>
      </c>
      <c r="Q155">
        <v>1299</v>
      </c>
      <c r="R155">
        <v>0.05</v>
      </c>
      <c r="S155">
        <v>2598</v>
      </c>
      <c r="T155">
        <v>129.9</v>
      </c>
      <c r="U155">
        <v>2468.1</v>
      </c>
      <c r="V155">
        <v>585</v>
      </c>
      <c r="W155">
        <v>1170</v>
      </c>
      <c r="X155">
        <v>60</v>
      </c>
      <c r="Y155">
        <v>1238.0999999999999</v>
      </c>
      <c r="Z155">
        <v>0.50164093837364776</v>
      </c>
      <c r="AA155">
        <v>0.2</v>
      </c>
      <c r="AB155" s="1">
        <v>45883</v>
      </c>
      <c r="AC155">
        <v>316</v>
      </c>
      <c r="AD155" t="s">
        <v>7311</v>
      </c>
      <c r="AE155">
        <v>0.2</v>
      </c>
      <c r="AF155" t="s">
        <v>18</v>
      </c>
      <c r="AG155" s="1">
        <v>45571</v>
      </c>
      <c r="AH155">
        <v>3</v>
      </c>
      <c r="AI155" t="s">
        <v>7349</v>
      </c>
      <c r="AJ155">
        <v>0</v>
      </c>
    </row>
    <row r="156" spans="1:36" x14ac:dyDescent="0.3">
      <c r="A156" t="s">
        <v>4931</v>
      </c>
      <c r="B156" s="1">
        <v>45567</v>
      </c>
      <c r="C156">
        <v>2024</v>
      </c>
      <c r="D156" s="1">
        <v>45566</v>
      </c>
      <c r="E156">
        <v>10</v>
      </c>
      <c r="F156" t="s">
        <v>3528</v>
      </c>
      <c r="G156" t="s">
        <v>7339</v>
      </c>
      <c r="H156" t="s">
        <v>76</v>
      </c>
      <c r="I156" t="s">
        <v>7219</v>
      </c>
      <c r="J156" t="s">
        <v>7212</v>
      </c>
      <c r="K156" t="s">
        <v>118</v>
      </c>
      <c r="L156" t="s">
        <v>65</v>
      </c>
      <c r="M156" t="s">
        <v>24</v>
      </c>
      <c r="N156" t="s">
        <v>7197</v>
      </c>
      <c r="O156" t="s">
        <v>7195</v>
      </c>
      <c r="P156">
        <v>2</v>
      </c>
      <c r="Q156">
        <v>699</v>
      </c>
      <c r="R156">
        <v>0</v>
      </c>
      <c r="S156">
        <v>1398</v>
      </c>
      <c r="T156">
        <v>0</v>
      </c>
      <c r="U156">
        <v>1398</v>
      </c>
      <c r="V156">
        <v>245</v>
      </c>
      <c r="W156">
        <v>490</v>
      </c>
      <c r="X156">
        <v>60</v>
      </c>
      <c r="Y156">
        <v>848</v>
      </c>
      <c r="Z156">
        <v>0.60658082975679539</v>
      </c>
      <c r="AA156">
        <v>0.25</v>
      </c>
      <c r="AB156" s="1">
        <v>45795</v>
      </c>
      <c r="AC156">
        <v>228</v>
      </c>
      <c r="AD156" t="s">
        <v>7311</v>
      </c>
      <c r="AE156">
        <v>0.25</v>
      </c>
      <c r="AF156" t="s">
        <v>4074</v>
      </c>
      <c r="AG156" s="1">
        <v>45571</v>
      </c>
      <c r="AH156">
        <v>4</v>
      </c>
      <c r="AJ156">
        <v>0</v>
      </c>
    </row>
    <row r="157" spans="1:36" x14ac:dyDescent="0.3">
      <c r="A157" t="s">
        <v>2099</v>
      </c>
      <c r="B157" s="1">
        <v>45567</v>
      </c>
      <c r="C157">
        <v>2024</v>
      </c>
      <c r="D157" s="1">
        <v>45566</v>
      </c>
      <c r="E157">
        <v>10</v>
      </c>
      <c r="F157" t="s">
        <v>2100</v>
      </c>
      <c r="G157" t="s">
        <v>7339</v>
      </c>
      <c r="H157" t="s">
        <v>27</v>
      </c>
      <c r="I157" t="s">
        <v>7228</v>
      </c>
      <c r="J157" t="s">
        <v>7221</v>
      </c>
      <c r="K157" t="s">
        <v>28</v>
      </c>
      <c r="L157" t="s">
        <v>65</v>
      </c>
      <c r="M157" t="s">
        <v>24</v>
      </c>
      <c r="N157" t="s">
        <v>7197</v>
      </c>
      <c r="O157" t="s">
        <v>7195</v>
      </c>
      <c r="P157">
        <v>1</v>
      </c>
      <c r="Q157">
        <v>699</v>
      </c>
      <c r="R157">
        <v>0.1</v>
      </c>
      <c r="S157">
        <v>699</v>
      </c>
      <c r="T157">
        <v>69.900000000000006</v>
      </c>
      <c r="U157">
        <v>629.1</v>
      </c>
      <c r="V157">
        <v>245</v>
      </c>
      <c r="W157">
        <v>245</v>
      </c>
      <c r="X157">
        <v>60</v>
      </c>
      <c r="Y157">
        <v>324.10000000000002</v>
      </c>
      <c r="Z157">
        <v>0.51518041646797008</v>
      </c>
      <c r="AA157">
        <v>0.25</v>
      </c>
      <c r="AB157" s="1">
        <v>45518</v>
      </c>
      <c r="AC157">
        <v>-49</v>
      </c>
      <c r="AD157" t="s">
        <v>7309</v>
      </c>
      <c r="AE157">
        <v>0.25</v>
      </c>
      <c r="AF157" t="s">
        <v>18</v>
      </c>
      <c r="AG157" s="1">
        <v>45572</v>
      </c>
      <c r="AH157">
        <v>3</v>
      </c>
      <c r="AI157" t="s">
        <v>7348</v>
      </c>
      <c r="AJ157">
        <v>0</v>
      </c>
    </row>
    <row r="158" spans="1:36" x14ac:dyDescent="0.3">
      <c r="A158" t="s">
        <v>1678</v>
      </c>
      <c r="B158" s="1">
        <v>45566</v>
      </c>
      <c r="C158">
        <v>2024</v>
      </c>
      <c r="D158" s="1">
        <v>45566</v>
      </c>
      <c r="E158">
        <v>10</v>
      </c>
      <c r="F158" t="s">
        <v>1490</v>
      </c>
      <c r="G158" t="s">
        <v>7339</v>
      </c>
      <c r="H158" t="s">
        <v>37</v>
      </c>
      <c r="I158" t="s">
        <v>7223</v>
      </c>
      <c r="J158" t="s">
        <v>7224</v>
      </c>
      <c r="K158" t="s">
        <v>38</v>
      </c>
      <c r="L158" t="s">
        <v>65</v>
      </c>
      <c r="M158" t="s">
        <v>125</v>
      </c>
      <c r="N158" t="s">
        <v>7194</v>
      </c>
      <c r="O158" t="s">
        <v>7195</v>
      </c>
      <c r="P158">
        <v>1</v>
      </c>
      <c r="Q158">
        <v>899</v>
      </c>
      <c r="R158">
        <v>0.25</v>
      </c>
      <c r="S158">
        <v>899</v>
      </c>
      <c r="T158">
        <v>224.75</v>
      </c>
      <c r="U158">
        <v>674.25</v>
      </c>
      <c r="V158">
        <v>378</v>
      </c>
      <c r="W158">
        <v>378</v>
      </c>
      <c r="X158">
        <v>60</v>
      </c>
      <c r="Y158">
        <v>236.25</v>
      </c>
      <c r="Z158">
        <v>0.3503893214682981</v>
      </c>
      <c r="AA158">
        <v>15</v>
      </c>
      <c r="AB158" s="1">
        <v>45470</v>
      </c>
      <c r="AC158">
        <v>-96</v>
      </c>
      <c r="AD158" t="s">
        <v>7309</v>
      </c>
      <c r="AE158">
        <v>0.15</v>
      </c>
      <c r="AF158" t="s">
        <v>18</v>
      </c>
      <c r="AG158" s="1">
        <v>45570</v>
      </c>
      <c r="AI158" t="s">
        <v>7350</v>
      </c>
      <c r="AJ158">
        <v>0</v>
      </c>
    </row>
    <row r="159" spans="1:36" x14ac:dyDescent="0.3">
      <c r="A159" t="s">
        <v>936</v>
      </c>
      <c r="B159" s="1">
        <v>45564</v>
      </c>
      <c r="C159">
        <v>2024</v>
      </c>
      <c r="D159" s="1">
        <v>45536</v>
      </c>
      <c r="E159">
        <v>9</v>
      </c>
      <c r="F159" t="s">
        <v>575</v>
      </c>
      <c r="G159" t="s">
        <v>7338</v>
      </c>
      <c r="H159" t="s">
        <v>316</v>
      </c>
      <c r="I159" t="s">
        <v>7236</v>
      </c>
      <c r="J159" t="s">
        <v>7231</v>
      </c>
      <c r="K159" t="s">
        <v>317</v>
      </c>
      <c r="L159" t="s">
        <v>65</v>
      </c>
      <c r="M159" t="s">
        <v>125</v>
      </c>
      <c r="N159" t="s">
        <v>7194</v>
      </c>
      <c r="O159" t="s">
        <v>7195</v>
      </c>
      <c r="P159">
        <v>1</v>
      </c>
      <c r="Q159">
        <v>899</v>
      </c>
      <c r="R159">
        <v>0.3</v>
      </c>
      <c r="S159">
        <v>899</v>
      </c>
      <c r="T159">
        <v>269.7</v>
      </c>
      <c r="U159">
        <v>629.29999999999995</v>
      </c>
      <c r="V159">
        <v>378</v>
      </c>
      <c r="W159">
        <v>378</v>
      </c>
      <c r="X159">
        <v>60</v>
      </c>
      <c r="Y159">
        <v>191.29999999999995</v>
      </c>
      <c r="Z159">
        <v>0.30398855871603364</v>
      </c>
      <c r="AA159">
        <v>0.05</v>
      </c>
      <c r="AB159" s="1">
        <v>45389</v>
      </c>
      <c r="AC159">
        <v>-175</v>
      </c>
      <c r="AD159" t="s">
        <v>7309</v>
      </c>
      <c r="AE159">
        <v>0.05</v>
      </c>
      <c r="AF159" t="s">
        <v>18</v>
      </c>
      <c r="AG159" s="1">
        <v>45568</v>
      </c>
      <c r="AH159">
        <v>4</v>
      </c>
      <c r="AI159" t="s">
        <v>7350</v>
      </c>
      <c r="AJ159">
        <v>0</v>
      </c>
    </row>
    <row r="160" spans="1:36" x14ac:dyDescent="0.3">
      <c r="A160" t="s">
        <v>930</v>
      </c>
      <c r="B160" s="1">
        <v>45558</v>
      </c>
      <c r="C160">
        <v>2024</v>
      </c>
      <c r="D160" s="1">
        <v>45536</v>
      </c>
      <c r="E160">
        <v>9</v>
      </c>
      <c r="F160" t="s">
        <v>931</v>
      </c>
      <c r="G160" t="s">
        <v>7338</v>
      </c>
      <c r="H160" t="s">
        <v>71</v>
      </c>
      <c r="I160" t="s">
        <v>7229</v>
      </c>
      <c r="J160" t="s">
        <v>7224</v>
      </c>
      <c r="K160" t="s">
        <v>81</v>
      </c>
      <c r="L160" t="s">
        <v>65</v>
      </c>
      <c r="M160" t="s">
        <v>24</v>
      </c>
      <c r="N160" t="s">
        <v>7197</v>
      </c>
      <c r="O160" t="s">
        <v>7195</v>
      </c>
      <c r="P160">
        <v>1</v>
      </c>
      <c r="Q160">
        <v>699</v>
      </c>
      <c r="R160">
        <v>0.15</v>
      </c>
      <c r="S160">
        <v>699</v>
      </c>
      <c r="T160">
        <v>104.85</v>
      </c>
      <c r="U160">
        <v>594.15</v>
      </c>
      <c r="V160">
        <v>245</v>
      </c>
      <c r="W160">
        <v>245</v>
      </c>
      <c r="X160">
        <v>60</v>
      </c>
      <c r="Y160">
        <v>289.14999999999998</v>
      </c>
      <c r="Z160">
        <v>0.48666161743667424</v>
      </c>
      <c r="AA160">
        <v>0.2</v>
      </c>
      <c r="AB160" s="1">
        <v>45387</v>
      </c>
      <c r="AC160">
        <v>-171</v>
      </c>
      <c r="AD160" t="s">
        <v>7309</v>
      </c>
      <c r="AE160">
        <v>0.2</v>
      </c>
      <c r="AF160" t="s">
        <v>18</v>
      </c>
      <c r="AG160" s="1">
        <v>45563</v>
      </c>
      <c r="AH160">
        <v>4</v>
      </c>
      <c r="AI160" t="s">
        <v>7350</v>
      </c>
      <c r="AJ160">
        <v>0</v>
      </c>
    </row>
    <row r="161" spans="1:36" x14ac:dyDescent="0.3">
      <c r="A161" t="s">
        <v>928</v>
      </c>
      <c r="B161" s="1">
        <v>45555</v>
      </c>
      <c r="C161">
        <v>2024</v>
      </c>
      <c r="D161" s="1">
        <v>45536</v>
      </c>
      <c r="E161">
        <v>9</v>
      </c>
      <c r="F161" t="s">
        <v>929</v>
      </c>
      <c r="G161" t="s">
        <v>7338</v>
      </c>
      <c r="H161" t="s">
        <v>128</v>
      </c>
      <c r="I161" t="s">
        <v>7218</v>
      </c>
      <c r="J161" t="s">
        <v>7212</v>
      </c>
      <c r="K161" t="s">
        <v>129</v>
      </c>
      <c r="L161" t="s">
        <v>65</v>
      </c>
      <c r="M161" t="s">
        <v>24</v>
      </c>
      <c r="N161" t="s">
        <v>7197</v>
      </c>
      <c r="O161" t="s">
        <v>7195</v>
      </c>
      <c r="P161">
        <v>1</v>
      </c>
      <c r="Q161">
        <v>699</v>
      </c>
      <c r="R161">
        <v>0.05</v>
      </c>
      <c r="S161">
        <v>699</v>
      </c>
      <c r="T161">
        <v>34.950000000000003</v>
      </c>
      <c r="U161">
        <v>664.05</v>
      </c>
      <c r="V161">
        <v>245</v>
      </c>
      <c r="W161">
        <v>245</v>
      </c>
      <c r="X161">
        <v>60</v>
      </c>
      <c r="Y161">
        <v>359.04999999999995</v>
      </c>
      <c r="Z161">
        <v>0.54069723665386638</v>
      </c>
      <c r="AA161">
        <v>0.2</v>
      </c>
      <c r="AB161" s="1">
        <v>45386</v>
      </c>
      <c r="AC161">
        <v>-169</v>
      </c>
      <c r="AD161" t="s">
        <v>7309</v>
      </c>
      <c r="AE161">
        <v>0.2</v>
      </c>
      <c r="AF161" t="s">
        <v>18</v>
      </c>
      <c r="AG161" s="1">
        <v>45556</v>
      </c>
      <c r="AH161">
        <v>4</v>
      </c>
      <c r="AI161" t="s">
        <v>7350</v>
      </c>
      <c r="AJ161">
        <v>0</v>
      </c>
    </row>
    <row r="162" spans="1:36" x14ac:dyDescent="0.3">
      <c r="A162" t="s">
        <v>5889</v>
      </c>
      <c r="B162" s="1">
        <v>45549</v>
      </c>
      <c r="C162">
        <v>2024</v>
      </c>
      <c r="D162" s="1">
        <v>45536</v>
      </c>
      <c r="E162">
        <v>9</v>
      </c>
      <c r="F162" t="s">
        <v>5890</v>
      </c>
      <c r="G162" t="s">
        <v>7339</v>
      </c>
      <c r="H162" t="s">
        <v>184</v>
      </c>
      <c r="I162" t="s">
        <v>7215</v>
      </c>
      <c r="J162" t="s">
        <v>7212</v>
      </c>
      <c r="K162" t="s">
        <v>185</v>
      </c>
      <c r="L162" t="s">
        <v>65</v>
      </c>
      <c r="M162" t="s">
        <v>24</v>
      </c>
      <c r="N162" t="s">
        <v>7197</v>
      </c>
      <c r="O162" t="s">
        <v>7195</v>
      </c>
      <c r="P162">
        <v>2</v>
      </c>
      <c r="Q162">
        <v>699</v>
      </c>
      <c r="R162">
        <v>0</v>
      </c>
      <c r="S162">
        <v>1398</v>
      </c>
      <c r="T162">
        <v>0</v>
      </c>
      <c r="U162">
        <v>1398</v>
      </c>
      <c r="V162">
        <v>245</v>
      </c>
      <c r="W162">
        <v>490</v>
      </c>
      <c r="X162">
        <v>60</v>
      </c>
      <c r="Y162">
        <v>848</v>
      </c>
      <c r="Z162">
        <v>0.60658082975679539</v>
      </c>
      <c r="AA162">
        <v>0.3</v>
      </c>
      <c r="AB162" s="1">
        <v>45908</v>
      </c>
      <c r="AC162">
        <v>359</v>
      </c>
      <c r="AD162" t="s">
        <v>7311</v>
      </c>
      <c r="AE162">
        <v>0.3</v>
      </c>
      <c r="AF162" t="s">
        <v>18</v>
      </c>
      <c r="AG162" s="1">
        <v>45554</v>
      </c>
      <c r="AI162" t="s">
        <v>7350</v>
      </c>
      <c r="AJ162">
        <v>0</v>
      </c>
    </row>
    <row r="163" spans="1:36" x14ac:dyDescent="0.3">
      <c r="A163" t="s">
        <v>2570</v>
      </c>
      <c r="B163" s="1">
        <v>45543</v>
      </c>
      <c r="C163">
        <v>2024</v>
      </c>
      <c r="D163" s="1">
        <v>45536</v>
      </c>
      <c r="E163">
        <v>9</v>
      </c>
      <c r="F163" t="s">
        <v>2571</v>
      </c>
      <c r="G163" t="s">
        <v>7339</v>
      </c>
      <c r="H163" t="s">
        <v>76</v>
      </c>
      <c r="I163" t="s">
        <v>7219</v>
      </c>
      <c r="J163" t="s">
        <v>7212</v>
      </c>
      <c r="K163" t="s">
        <v>118</v>
      </c>
      <c r="L163" t="s">
        <v>65</v>
      </c>
      <c r="M163" t="s">
        <v>125</v>
      </c>
      <c r="N163" t="s">
        <v>7194</v>
      </c>
      <c r="O163" t="s">
        <v>7195</v>
      </c>
      <c r="P163">
        <v>1</v>
      </c>
      <c r="Q163">
        <v>899</v>
      </c>
      <c r="R163">
        <v>0.1</v>
      </c>
      <c r="S163">
        <v>899</v>
      </c>
      <c r="T163">
        <v>89.9</v>
      </c>
      <c r="U163">
        <v>809.1</v>
      </c>
      <c r="V163">
        <v>378</v>
      </c>
      <c r="W163">
        <v>378</v>
      </c>
      <c r="X163">
        <v>60</v>
      </c>
      <c r="Y163">
        <v>371.1</v>
      </c>
      <c r="Z163">
        <v>0.45865776789024842</v>
      </c>
      <c r="AA163">
        <v>0.05</v>
      </c>
      <c r="AB163" s="1">
        <v>45572</v>
      </c>
      <c r="AC163">
        <v>29</v>
      </c>
      <c r="AD163" t="s">
        <v>7311</v>
      </c>
      <c r="AE163">
        <v>0.05</v>
      </c>
      <c r="AF163" t="s">
        <v>2522</v>
      </c>
      <c r="AG163" s="1">
        <v>45546</v>
      </c>
      <c r="AH163">
        <v>5</v>
      </c>
      <c r="AI163" t="s">
        <v>7349</v>
      </c>
      <c r="AJ163">
        <v>0</v>
      </c>
    </row>
    <row r="164" spans="1:36" x14ac:dyDescent="0.3">
      <c r="A164" t="s">
        <v>5882</v>
      </c>
      <c r="B164" s="1">
        <v>45537</v>
      </c>
      <c r="C164">
        <v>2024</v>
      </c>
      <c r="D164" s="1">
        <v>45536</v>
      </c>
      <c r="E164">
        <v>9</v>
      </c>
      <c r="F164" t="s">
        <v>821</v>
      </c>
      <c r="G164" t="s">
        <v>7338</v>
      </c>
      <c r="H164" t="s">
        <v>167</v>
      </c>
      <c r="I164" t="s">
        <v>7234</v>
      </c>
      <c r="J164" t="s">
        <v>7231</v>
      </c>
      <c r="K164" t="s">
        <v>168</v>
      </c>
      <c r="L164" t="s">
        <v>65</v>
      </c>
      <c r="M164" t="s">
        <v>84</v>
      </c>
      <c r="N164" t="s">
        <v>7198</v>
      </c>
      <c r="O164" t="s">
        <v>7195</v>
      </c>
      <c r="P164">
        <v>2</v>
      </c>
      <c r="Q164">
        <v>1299</v>
      </c>
      <c r="R164">
        <v>0</v>
      </c>
      <c r="S164">
        <v>2598</v>
      </c>
      <c r="T164">
        <v>0</v>
      </c>
      <c r="U164">
        <v>2598</v>
      </c>
      <c r="V164">
        <v>585</v>
      </c>
      <c r="W164">
        <v>1170</v>
      </c>
      <c r="X164">
        <v>60</v>
      </c>
      <c r="Y164">
        <v>1368</v>
      </c>
      <c r="Z164">
        <v>0.52655889145496537</v>
      </c>
      <c r="AA164">
        <v>0.05</v>
      </c>
      <c r="AB164" s="1">
        <v>45908</v>
      </c>
      <c r="AC164">
        <v>371</v>
      </c>
      <c r="AD164" t="s">
        <v>7311</v>
      </c>
      <c r="AE164">
        <v>0.05</v>
      </c>
      <c r="AF164" t="s">
        <v>18</v>
      </c>
      <c r="AG164" s="1">
        <v>45538</v>
      </c>
      <c r="AI164" t="s">
        <v>7348</v>
      </c>
      <c r="AJ164">
        <v>0</v>
      </c>
    </row>
    <row r="165" spans="1:36" x14ac:dyDescent="0.3">
      <c r="A165" t="s">
        <v>1886</v>
      </c>
      <c r="B165" s="1">
        <v>45537</v>
      </c>
      <c r="C165">
        <v>2024</v>
      </c>
      <c r="D165" s="1">
        <v>45536</v>
      </c>
      <c r="E165">
        <v>9</v>
      </c>
      <c r="F165" t="s">
        <v>1887</v>
      </c>
      <c r="G165" t="s">
        <v>7338</v>
      </c>
      <c r="H165" t="s">
        <v>184</v>
      </c>
      <c r="I165" t="s">
        <v>7215</v>
      </c>
      <c r="J165" t="s">
        <v>7212</v>
      </c>
      <c r="K165" t="s">
        <v>185</v>
      </c>
      <c r="L165" t="s">
        <v>65</v>
      </c>
      <c r="M165" t="s">
        <v>24</v>
      </c>
      <c r="N165" t="s">
        <v>7197</v>
      </c>
      <c r="O165" t="s">
        <v>7195</v>
      </c>
      <c r="P165">
        <v>1</v>
      </c>
      <c r="Q165">
        <v>699</v>
      </c>
      <c r="R165">
        <v>0.3</v>
      </c>
      <c r="S165">
        <v>699</v>
      </c>
      <c r="T165">
        <v>209.7</v>
      </c>
      <c r="U165">
        <v>489.3</v>
      </c>
      <c r="V165">
        <v>245</v>
      </c>
      <c r="W165">
        <v>245</v>
      </c>
      <c r="X165">
        <v>60</v>
      </c>
      <c r="Y165">
        <v>184.3</v>
      </c>
      <c r="Z165">
        <v>0.37666053545881872</v>
      </c>
      <c r="AA165">
        <v>0.2</v>
      </c>
      <c r="AB165" s="1">
        <v>45492</v>
      </c>
      <c r="AC165">
        <v>-45</v>
      </c>
      <c r="AD165" t="s">
        <v>7309</v>
      </c>
      <c r="AE165">
        <v>0.2</v>
      </c>
      <c r="AF165" t="s">
        <v>18</v>
      </c>
      <c r="AG165" s="1">
        <v>45543</v>
      </c>
      <c r="AH165">
        <v>3</v>
      </c>
      <c r="AJ165">
        <v>0</v>
      </c>
    </row>
    <row r="166" spans="1:36" x14ac:dyDescent="0.3">
      <c r="A166" t="s">
        <v>1665</v>
      </c>
      <c r="B166" s="1">
        <v>45535</v>
      </c>
      <c r="C166">
        <v>2024</v>
      </c>
      <c r="D166" s="1">
        <v>45505</v>
      </c>
      <c r="E166">
        <v>8</v>
      </c>
      <c r="F166" t="s">
        <v>1666</v>
      </c>
      <c r="G166" t="s">
        <v>7338</v>
      </c>
      <c r="H166" t="s">
        <v>128</v>
      </c>
      <c r="I166" t="s">
        <v>7218</v>
      </c>
      <c r="J166" t="s">
        <v>7212</v>
      </c>
      <c r="K166" t="s">
        <v>129</v>
      </c>
      <c r="L166" t="s">
        <v>65</v>
      </c>
      <c r="M166" t="s">
        <v>84</v>
      </c>
      <c r="N166" t="s">
        <v>7198</v>
      </c>
      <c r="O166" t="s">
        <v>7195</v>
      </c>
      <c r="P166">
        <v>1</v>
      </c>
      <c r="Q166">
        <v>1299</v>
      </c>
      <c r="R166">
        <v>0.1</v>
      </c>
      <c r="S166">
        <v>1299</v>
      </c>
      <c r="T166">
        <v>129.9</v>
      </c>
      <c r="U166">
        <v>1169.0999999999999</v>
      </c>
      <c r="V166">
        <v>585</v>
      </c>
      <c r="W166">
        <v>585</v>
      </c>
      <c r="X166">
        <v>60</v>
      </c>
      <c r="Y166">
        <v>524.09999999999991</v>
      </c>
      <c r="Z166">
        <v>0.44829355914806257</v>
      </c>
      <c r="AA166">
        <v>0</v>
      </c>
      <c r="AB166" s="1">
        <v>45470</v>
      </c>
      <c r="AC166">
        <v>-65</v>
      </c>
      <c r="AD166" t="s">
        <v>7309</v>
      </c>
      <c r="AE166">
        <v>0</v>
      </c>
      <c r="AF166" t="s">
        <v>18</v>
      </c>
      <c r="AG166" s="1">
        <v>45536</v>
      </c>
      <c r="AI166" t="s">
        <v>7350</v>
      </c>
      <c r="AJ166">
        <v>0</v>
      </c>
    </row>
    <row r="167" spans="1:36" x14ac:dyDescent="0.3">
      <c r="A167" t="s">
        <v>1882</v>
      </c>
      <c r="B167" s="1">
        <v>45534</v>
      </c>
      <c r="C167">
        <v>2024</v>
      </c>
      <c r="D167" s="1">
        <v>45505</v>
      </c>
      <c r="E167">
        <v>8</v>
      </c>
      <c r="F167" t="s">
        <v>1883</v>
      </c>
      <c r="G167" t="s">
        <v>7338</v>
      </c>
      <c r="H167" t="s">
        <v>210</v>
      </c>
      <c r="I167" t="s">
        <v>7211</v>
      </c>
      <c r="J167" t="s">
        <v>7212</v>
      </c>
      <c r="K167" t="s">
        <v>415</v>
      </c>
      <c r="L167" t="s">
        <v>65</v>
      </c>
      <c r="M167" t="s">
        <v>24</v>
      </c>
      <c r="N167" t="s">
        <v>7197</v>
      </c>
      <c r="O167" t="s">
        <v>7195</v>
      </c>
      <c r="P167">
        <v>1</v>
      </c>
      <c r="Q167">
        <v>699</v>
      </c>
      <c r="R167">
        <v>0</v>
      </c>
      <c r="S167">
        <v>699</v>
      </c>
      <c r="T167">
        <v>0</v>
      </c>
      <c r="U167">
        <v>699</v>
      </c>
      <c r="V167">
        <v>245</v>
      </c>
      <c r="W167">
        <v>245</v>
      </c>
      <c r="X167">
        <v>60</v>
      </c>
      <c r="Y167">
        <v>394</v>
      </c>
      <c r="Z167">
        <v>0.5636623748211731</v>
      </c>
      <c r="AA167">
        <v>0.2</v>
      </c>
      <c r="AB167" s="1">
        <v>45493</v>
      </c>
      <c r="AC167">
        <v>-41</v>
      </c>
      <c r="AD167" t="s">
        <v>7309</v>
      </c>
      <c r="AE167">
        <v>0.2</v>
      </c>
      <c r="AF167" t="s">
        <v>18</v>
      </c>
      <c r="AG167" s="1">
        <v>45539</v>
      </c>
      <c r="AH167">
        <v>3</v>
      </c>
      <c r="AI167" t="s">
        <v>7350</v>
      </c>
      <c r="AJ167">
        <v>0</v>
      </c>
    </row>
    <row r="168" spans="1:36" x14ac:dyDescent="0.3">
      <c r="A168" t="s">
        <v>3417</v>
      </c>
      <c r="B168" s="1">
        <v>45528</v>
      </c>
      <c r="C168">
        <v>2024</v>
      </c>
      <c r="D168" s="1">
        <v>45505</v>
      </c>
      <c r="E168">
        <v>8</v>
      </c>
      <c r="F168" t="s">
        <v>3057</v>
      </c>
      <c r="G168" t="s">
        <v>7338</v>
      </c>
      <c r="H168" t="s">
        <v>123</v>
      </c>
      <c r="I168" t="s">
        <v>7227</v>
      </c>
      <c r="J168" t="s">
        <v>7221</v>
      </c>
      <c r="K168" t="s">
        <v>124</v>
      </c>
      <c r="L168" t="s">
        <v>65</v>
      </c>
      <c r="M168" t="s">
        <v>24</v>
      </c>
      <c r="N168" t="s">
        <v>7197</v>
      </c>
      <c r="O168" t="s">
        <v>7195</v>
      </c>
      <c r="P168">
        <v>1</v>
      </c>
      <c r="Q168">
        <v>699</v>
      </c>
      <c r="R168">
        <v>0.3</v>
      </c>
      <c r="S168">
        <v>699</v>
      </c>
      <c r="T168">
        <v>209.7</v>
      </c>
      <c r="U168">
        <v>489.3</v>
      </c>
      <c r="V168">
        <v>245</v>
      </c>
      <c r="W168">
        <v>245</v>
      </c>
      <c r="X168">
        <v>120</v>
      </c>
      <c r="Y168">
        <v>124.30000000000001</v>
      </c>
      <c r="Z168">
        <v>0.25403637849989785</v>
      </c>
      <c r="AA168">
        <v>0.15</v>
      </c>
      <c r="AB168" s="1">
        <v>45636</v>
      </c>
      <c r="AC168">
        <v>108</v>
      </c>
      <c r="AD168" t="s">
        <v>7311</v>
      </c>
      <c r="AE168">
        <v>0.15</v>
      </c>
      <c r="AF168" t="s">
        <v>2522</v>
      </c>
      <c r="AG168" s="1">
        <v>45533</v>
      </c>
      <c r="AH168">
        <v>4</v>
      </c>
      <c r="AI168" t="s">
        <v>7351</v>
      </c>
      <c r="AJ168">
        <v>1</v>
      </c>
    </row>
    <row r="169" spans="1:36" x14ac:dyDescent="0.3">
      <c r="A169" t="s">
        <v>1660</v>
      </c>
      <c r="B169" s="1">
        <v>45525</v>
      </c>
      <c r="C169">
        <v>2024</v>
      </c>
      <c r="D169" s="1">
        <v>45505</v>
      </c>
      <c r="E169">
        <v>8</v>
      </c>
      <c r="F169" t="s">
        <v>433</v>
      </c>
      <c r="G169" t="s">
        <v>7339</v>
      </c>
      <c r="H169" t="s">
        <v>71</v>
      </c>
      <c r="I169" t="s">
        <v>7229</v>
      </c>
      <c r="J169" t="s">
        <v>7224</v>
      </c>
      <c r="K169" t="s">
        <v>81</v>
      </c>
      <c r="L169" t="s">
        <v>65</v>
      </c>
      <c r="M169" t="s">
        <v>24</v>
      </c>
      <c r="N169" t="s">
        <v>7197</v>
      </c>
      <c r="O169" t="s">
        <v>7195</v>
      </c>
      <c r="P169">
        <v>1</v>
      </c>
      <c r="Q169">
        <v>699</v>
      </c>
      <c r="R169">
        <v>0.1</v>
      </c>
      <c r="S169">
        <v>699</v>
      </c>
      <c r="T169">
        <v>69.900000000000006</v>
      </c>
      <c r="U169">
        <v>629.1</v>
      </c>
      <c r="V169">
        <v>245</v>
      </c>
      <c r="W169">
        <v>245</v>
      </c>
      <c r="X169">
        <v>60</v>
      </c>
      <c r="Y169">
        <v>324.10000000000002</v>
      </c>
      <c r="Z169">
        <v>0.51518041646797008</v>
      </c>
      <c r="AA169">
        <v>0.15</v>
      </c>
      <c r="AB169" s="1">
        <v>45467</v>
      </c>
      <c r="AC169">
        <v>-58</v>
      </c>
      <c r="AD169" t="s">
        <v>7309</v>
      </c>
      <c r="AE169">
        <v>0.15</v>
      </c>
      <c r="AF169" t="s">
        <v>18</v>
      </c>
      <c r="AG169" s="1">
        <v>45526</v>
      </c>
      <c r="AI169" t="s">
        <v>7349</v>
      </c>
      <c r="AJ169">
        <v>0</v>
      </c>
    </row>
    <row r="170" spans="1:36" x14ac:dyDescent="0.3">
      <c r="A170" t="s">
        <v>6860</v>
      </c>
      <c r="B170" s="1">
        <v>45520</v>
      </c>
      <c r="C170">
        <v>2024</v>
      </c>
      <c r="D170" s="1">
        <v>45505</v>
      </c>
      <c r="E170">
        <v>8</v>
      </c>
      <c r="F170" t="s">
        <v>1733</v>
      </c>
      <c r="G170" t="s">
        <v>7338</v>
      </c>
      <c r="H170" t="s">
        <v>316</v>
      </c>
      <c r="I170" t="s">
        <v>7236</v>
      </c>
      <c r="J170" t="s">
        <v>7231</v>
      </c>
      <c r="K170" t="s">
        <v>338</v>
      </c>
      <c r="L170" t="s">
        <v>65</v>
      </c>
      <c r="M170" t="s">
        <v>24</v>
      </c>
      <c r="N170" t="s">
        <v>7197</v>
      </c>
      <c r="O170" t="s">
        <v>7195</v>
      </c>
      <c r="P170">
        <v>3</v>
      </c>
      <c r="Q170">
        <v>699</v>
      </c>
      <c r="R170">
        <v>0.25</v>
      </c>
      <c r="S170">
        <v>2097</v>
      </c>
      <c r="T170">
        <v>524.25</v>
      </c>
      <c r="U170">
        <v>1572.75</v>
      </c>
      <c r="V170">
        <v>245</v>
      </c>
      <c r="W170">
        <v>735</v>
      </c>
      <c r="X170">
        <v>60</v>
      </c>
      <c r="Y170">
        <v>777.75</v>
      </c>
      <c r="Z170">
        <v>0.49451597520267049</v>
      </c>
      <c r="AA170">
        <v>0.3</v>
      </c>
      <c r="AB170" s="1">
        <v>45991</v>
      </c>
      <c r="AC170">
        <v>471</v>
      </c>
      <c r="AD170" t="s">
        <v>7311</v>
      </c>
      <c r="AE170">
        <v>0.3</v>
      </c>
      <c r="AF170" t="s">
        <v>4074</v>
      </c>
      <c r="AG170" s="1">
        <v>45524</v>
      </c>
      <c r="AH170">
        <v>4</v>
      </c>
      <c r="AJ170">
        <v>0</v>
      </c>
    </row>
    <row r="171" spans="1:36" x14ac:dyDescent="0.3">
      <c r="A171" t="s">
        <v>5335</v>
      </c>
      <c r="B171" s="1">
        <v>45517</v>
      </c>
      <c r="C171">
        <v>2024</v>
      </c>
      <c r="D171" s="1">
        <v>45505</v>
      </c>
      <c r="E171">
        <v>8</v>
      </c>
      <c r="F171" t="s">
        <v>323</v>
      </c>
      <c r="G171" t="s">
        <v>7338</v>
      </c>
      <c r="H171" t="s">
        <v>71</v>
      </c>
      <c r="I171" t="s">
        <v>7229</v>
      </c>
      <c r="J171" t="s">
        <v>7224</v>
      </c>
      <c r="K171" t="s">
        <v>81</v>
      </c>
      <c r="L171" t="s">
        <v>65</v>
      </c>
      <c r="M171" t="s">
        <v>84</v>
      </c>
      <c r="N171" t="s">
        <v>7198</v>
      </c>
      <c r="O171" t="s">
        <v>7195</v>
      </c>
      <c r="P171">
        <v>2</v>
      </c>
      <c r="Q171">
        <v>1299</v>
      </c>
      <c r="R171">
        <v>0.15</v>
      </c>
      <c r="S171">
        <v>2598</v>
      </c>
      <c r="T171">
        <v>389.7</v>
      </c>
      <c r="U171">
        <v>2208.3000000000002</v>
      </c>
      <c r="V171">
        <v>585</v>
      </c>
      <c r="W171">
        <v>1170</v>
      </c>
      <c r="X171">
        <v>60</v>
      </c>
      <c r="Y171">
        <v>978.30000000000018</v>
      </c>
      <c r="Z171">
        <v>0.44301046053525339</v>
      </c>
      <c r="AA171">
        <v>0.1</v>
      </c>
      <c r="AB171" s="1">
        <v>45843</v>
      </c>
      <c r="AC171">
        <v>326</v>
      </c>
      <c r="AD171" t="s">
        <v>7311</v>
      </c>
      <c r="AE171">
        <v>0.1</v>
      </c>
      <c r="AF171" t="s">
        <v>2522</v>
      </c>
      <c r="AG171" s="1">
        <v>45519</v>
      </c>
      <c r="AH171">
        <v>3</v>
      </c>
      <c r="AJ171">
        <v>0</v>
      </c>
    </row>
    <row r="172" spans="1:36" x14ac:dyDescent="0.3">
      <c r="A172" t="s">
        <v>1875</v>
      </c>
      <c r="B172" s="1">
        <v>45513</v>
      </c>
      <c r="C172">
        <v>2024</v>
      </c>
      <c r="D172" s="1">
        <v>45505</v>
      </c>
      <c r="E172">
        <v>8</v>
      </c>
      <c r="F172" t="s">
        <v>1408</v>
      </c>
      <c r="G172" t="s">
        <v>7338</v>
      </c>
      <c r="H172" t="s">
        <v>167</v>
      </c>
      <c r="I172" t="s">
        <v>7234</v>
      </c>
      <c r="J172" t="s">
        <v>7231</v>
      </c>
      <c r="K172" t="s">
        <v>168</v>
      </c>
      <c r="L172" t="s">
        <v>65</v>
      </c>
      <c r="M172" t="s">
        <v>84</v>
      </c>
      <c r="N172" t="s">
        <v>7198</v>
      </c>
      <c r="O172" t="s">
        <v>7195</v>
      </c>
      <c r="P172">
        <v>1</v>
      </c>
      <c r="Q172">
        <v>1299</v>
      </c>
      <c r="R172">
        <v>0</v>
      </c>
      <c r="S172">
        <v>1299</v>
      </c>
      <c r="T172">
        <v>0</v>
      </c>
      <c r="U172">
        <v>1299</v>
      </c>
      <c r="V172">
        <v>585</v>
      </c>
      <c r="W172">
        <v>585</v>
      </c>
      <c r="X172">
        <v>120</v>
      </c>
      <c r="Y172">
        <v>594</v>
      </c>
      <c r="Z172">
        <v>0.45727482678983833</v>
      </c>
      <c r="AA172">
        <v>0</v>
      </c>
      <c r="AB172" s="1">
        <v>45495</v>
      </c>
      <c r="AC172">
        <v>-18</v>
      </c>
      <c r="AD172" t="s">
        <v>7309</v>
      </c>
      <c r="AE172">
        <v>0</v>
      </c>
      <c r="AF172" t="s">
        <v>18</v>
      </c>
      <c r="AG172" s="1">
        <v>45515</v>
      </c>
      <c r="AH172">
        <v>3</v>
      </c>
      <c r="AI172" t="s">
        <v>7353</v>
      </c>
      <c r="AJ172">
        <v>1</v>
      </c>
    </row>
    <row r="173" spans="1:36" x14ac:dyDescent="0.3">
      <c r="A173" t="s">
        <v>5093</v>
      </c>
      <c r="B173" s="1">
        <v>45510</v>
      </c>
      <c r="C173">
        <v>2024</v>
      </c>
      <c r="D173" s="1">
        <v>45505</v>
      </c>
      <c r="E173">
        <v>8</v>
      </c>
      <c r="F173" t="s">
        <v>3200</v>
      </c>
      <c r="G173" t="s">
        <v>7338</v>
      </c>
      <c r="H173" t="s">
        <v>76</v>
      </c>
      <c r="I173" t="s">
        <v>7219</v>
      </c>
      <c r="J173" t="s">
        <v>7212</v>
      </c>
      <c r="K173" t="s">
        <v>77</v>
      </c>
      <c r="L173" t="s">
        <v>65</v>
      </c>
      <c r="M173" t="s">
        <v>125</v>
      </c>
      <c r="N173" t="s">
        <v>7194</v>
      </c>
      <c r="O173" t="s">
        <v>7195</v>
      </c>
      <c r="P173">
        <v>2</v>
      </c>
      <c r="Q173">
        <v>899</v>
      </c>
      <c r="R173">
        <v>0.1</v>
      </c>
      <c r="S173">
        <v>1798</v>
      </c>
      <c r="T173">
        <v>179.8</v>
      </c>
      <c r="U173">
        <v>1618.2</v>
      </c>
      <c r="V173">
        <v>378</v>
      </c>
      <c r="W173">
        <v>756</v>
      </c>
      <c r="X173">
        <v>60</v>
      </c>
      <c r="Y173">
        <v>802.2</v>
      </c>
      <c r="Z173">
        <v>0.4957360029662588</v>
      </c>
      <c r="AA173">
        <v>0.1</v>
      </c>
      <c r="AB173" s="1">
        <v>45820</v>
      </c>
      <c r="AC173">
        <v>310</v>
      </c>
      <c r="AD173" t="s">
        <v>7311</v>
      </c>
      <c r="AE173">
        <v>0.1</v>
      </c>
      <c r="AF173" t="s">
        <v>3495</v>
      </c>
      <c r="AG173" s="1">
        <v>45512</v>
      </c>
      <c r="AI173" t="s">
        <v>7348</v>
      </c>
      <c r="AJ173">
        <v>0</v>
      </c>
    </row>
    <row r="174" spans="1:36" x14ac:dyDescent="0.3">
      <c r="A174" t="s">
        <v>5875</v>
      </c>
      <c r="B174" s="1">
        <v>45496</v>
      </c>
      <c r="C174">
        <v>2024</v>
      </c>
      <c r="D174" s="1">
        <v>45474</v>
      </c>
      <c r="E174">
        <v>7</v>
      </c>
      <c r="F174" t="s">
        <v>5876</v>
      </c>
      <c r="G174" t="s">
        <v>7338</v>
      </c>
      <c r="H174" t="s">
        <v>71</v>
      </c>
      <c r="I174" t="s">
        <v>7229</v>
      </c>
      <c r="J174" t="s">
        <v>7224</v>
      </c>
      <c r="K174" t="s">
        <v>72</v>
      </c>
      <c r="L174" t="s">
        <v>65</v>
      </c>
      <c r="M174" t="s">
        <v>24</v>
      </c>
      <c r="N174" t="s">
        <v>7197</v>
      </c>
      <c r="O174" t="s">
        <v>7195</v>
      </c>
      <c r="P174">
        <v>2</v>
      </c>
      <c r="Q174">
        <v>699</v>
      </c>
      <c r="R174">
        <v>0</v>
      </c>
      <c r="S174">
        <v>1398</v>
      </c>
      <c r="T174">
        <v>0</v>
      </c>
      <c r="U174">
        <v>1398</v>
      </c>
      <c r="V174">
        <v>245</v>
      </c>
      <c r="W174">
        <v>490</v>
      </c>
      <c r="X174">
        <v>60</v>
      </c>
      <c r="Y174">
        <v>848</v>
      </c>
      <c r="Z174">
        <v>0.60658082975679539</v>
      </c>
      <c r="AA174">
        <v>0.25</v>
      </c>
      <c r="AB174" s="1">
        <v>45907</v>
      </c>
      <c r="AC174">
        <v>411</v>
      </c>
      <c r="AD174" t="s">
        <v>7311</v>
      </c>
      <c r="AE174">
        <v>0.25</v>
      </c>
      <c r="AF174" t="s">
        <v>18</v>
      </c>
      <c r="AG174" s="1">
        <v>45498</v>
      </c>
      <c r="AJ174">
        <v>0</v>
      </c>
    </row>
    <row r="175" spans="1:36" x14ac:dyDescent="0.3">
      <c r="A175" t="s">
        <v>3413</v>
      </c>
      <c r="B175" s="1">
        <v>45496</v>
      </c>
      <c r="C175">
        <v>2024</v>
      </c>
      <c r="D175" s="1">
        <v>45474</v>
      </c>
      <c r="E175">
        <v>7</v>
      </c>
      <c r="F175" t="s">
        <v>1073</v>
      </c>
      <c r="G175" t="s">
        <v>7339</v>
      </c>
      <c r="H175" t="s">
        <v>71</v>
      </c>
      <c r="I175" t="s">
        <v>7229</v>
      </c>
      <c r="J175" t="s">
        <v>7224</v>
      </c>
      <c r="K175" t="s">
        <v>102</v>
      </c>
      <c r="L175" t="s">
        <v>65</v>
      </c>
      <c r="M175" t="s">
        <v>565</v>
      </c>
      <c r="N175" t="s">
        <v>7196</v>
      </c>
      <c r="O175" t="s">
        <v>7195</v>
      </c>
      <c r="P175">
        <v>1</v>
      </c>
      <c r="Q175">
        <v>2499</v>
      </c>
      <c r="R175">
        <v>0.35</v>
      </c>
      <c r="S175">
        <v>2499</v>
      </c>
      <c r="T175">
        <v>874.65</v>
      </c>
      <c r="U175">
        <v>1624.35</v>
      </c>
      <c r="V175">
        <v>1250</v>
      </c>
      <c r="W175">
        <v>1250</v>
      </c>
      <c r="X175">
        <v>60</v>
      </c>
      <c r="Y175">
        <v>314.34999999999991</v>
      </c>
      <c r="Z175">
        <v>0.19352356327146239</v>
      </c>
      <c r="AA175">
        <v>0.35</v>
      </c>
      <c r="AB175" s="1">
        <v>45639</v>
      </c>
      <c r="AC175">
        <v>143</v>
      </c>
      <c r="AD175" t="s">
        <v>7311</v>
      </c>
      <c r="AE175">
        <v>0.35</v>
      </c>
      <c r="AF175" t="s">
        <v>2522</v>
      </c>
      <c r="AG175" s="1">
        <v>45497</v>
      </c>
      <c r="AH175">
        <v>4</v>
      </c>
      <c r="AJ175">
        <v>0</v>
      </c>
    </row>
    <row r="176" spans="1:36" x14ac:dyDescent="0.3">
      <c r="A176" t="s">
        <v>1650</v>
      </c>
      <c r="B176" s="1">
        <v>45479</v>
      </c>
      <c r="C176">
        <v>2024</v>
      </c>
      <c r="D176" s="1">
        <v>45474</v>
      </c>
      <c r="E176">
        <v>7</v>
      </c>
      <c r="F176" t="s">
        <v>1651</v>
      </c>
      <c r="G176" t="s">
        <v>7338</v>
      </c>
      <c r="H176" t="s">
        <v>71</v>
      </c>
      <c r="I176" t="s">
        <v>7229</v>
      </c>
      <c r="J176" t="s">
        <v>7224</v>
      </c>
      <c r="K176" t="s">
        <v>72</v>
      </c>
      <c r="L176" t="s">
        <v>65</v>
      </c>
      <c r="M176" t="s">
        <v>125</v>
      </c>
      <c r="N176" t="s">
        <v>7194</v>
      </c>
      <c r="O176" t="s">
        <v>7195</v>
      </c>
      <c r="P176">
        <v>1</v>
      </c>
      <c r="Q176">
        <v>899</v>
      </c>
      <c r="R176">
        <v>0.15</v>
      </c>
      <c r="S176">
        <v>899</v>
      </c>
      <c r="T176">
        <v>134.85</v>
      </c>
      <c r="U176">
        <v>764.15</v>
      </c>
      <c r="V176">
        <v>378</v>
      </c>
      <c r="W176">
        <v>378</v>
      </c>
      <c r="X176">
        <v>60</v>
      </c>
      <c r="Y176">
        <v>326.14999999999998</v>
      </c>
      <c r="Z176">
        <v>0.42681410717791007</v>
      </c>
      <c r="AA176">
        <v>0.05</v>
      </c>
      <c r="AB176" s="1">
        <v>45467</v>
      </c>
      <c r="AC176">
        <v>-12</v>
      </c>
      <c r="AD176" t="s">
        <v>7309</v>
      </c>
      <c r="AE176">
        <v>0.05</v>
      </c>
      <c r="AF176" t="s">
        <v>18</v>
      </c>
      <c r="AG176" s="1">
        <v>45482</v>
      </c>
      <c r="AI176" t="s">
        <v>7349</v>
      </c>
      <c r="AJ176">
        <v>0</v>
      </c>
    </row>
    <row r="177" spans="1:36" x14ac:dyDescent="0.3">
      <c r="A177" t="s">
        <v>5330</v>
      </c>
      <c r="B177" s="1">
        <v>45477</v>
      </c>
      <c r="C177">
        <v>2024</v>
      </c>
      <c r="D177" s="1">
        <v>45474</v>
      </c>
      <c r="E177">
        <v>7</v>
      </c>
      <c r="F177" t="s">
        <v>4326</v>
      </c>
      <c r="G177" t="s">
        <v>7339</v>
      </c>
      <c r="H177" t="s">
        <v>167</v>
      </c>
      <c r="I177" t="s">
        <v>7234</v>
      </c>
      <c r="J177" t="s">
        <v>7231</v>
      </c>
      <c r="K177" t="s">
        <v>190</v>
      </c>
      <c r="L177" t="s">
        <v>65</v>
      </c>
      <c r="M177" t="s">
        <v>24</v>
      </c>
      <c r="N177" t="s">
        <v>7197</v>
      </c>
      <c r="O177" t="s">
        <v>7195</v>
      </c>
      <c r="P177">
        <v>2</v>
      </c>
      <c r="Q177">
        <v>699</v>
      </c>
      <c r="R177">
        <v>0.2</v>
      </c>
      <c r="S177">
        <v>1398</v>
      </c>
      <c r="T177">
        <v>279.60000000000002</v>
      </c>
      <c r="U177">
        <v>1118.4000000000001</v>
      </c>
      <c r="V177">
        <v>245</v>
      </c>
      <c r="W177">
        <v>490</v>
      </c>
      <c r="X177">
        <v>60</v>
      </c>
      <c r="Y177">
        <v>568.40000000000009</v>
      </c>
      <c r="Z177">
        <v>0.50822603719599435</v>
      </c>
      <c r="AA177">
        <v>20</v>
      </c>
      <c r="AB177" s="1">
        <v>45846</v>
      </c>
      <c r="AC177">
        <v>369</v>
      </c>
      <c r="AD177" t="s">
        <v>7311</v>
      </c>
      <c r="AE177">
        <v>0.2</v>
      </c>
      <c r="AF177" t="s">
        <v>2522</v>
      </c>
      <c r="AG177" s="1">
        <v>45480</v>
      </c>
      <c r="AH177">
        <v>5</v>
      </c>
      <c r="AI177" t="s">
        <v>7349</v>
      </c>
      <c r="AJ177">
        <v>0</v>
      </c>
    </row>
    <row r="178" spans="1:36" x14ac:dyDescent="0.3">
      <c r="A178" t="s">
        <v>3411</v>
      </c>
      <c r="B178" s="1">
        <v>45472</v>
      </c>
      <c r="C178">
        <v>2024</v>
      </c>
      <c r="D178" s="1">
        <v>45444</v>
      </c>
      <c r="E178">
        <v>6</v>
      </c>
      <c r="F178" t="s">
        <v>2349</v>
      </c>
      <c r="G178" t="s">
        <v>7339</v>
      </c>
      <c r="H178" t="s">
        <v>59</v>
      </c>
      <c r="I178" t="s">
        <v>7237</v>
      </c>
      <c r="J178" t="s">
        <v>7231</v>
      </c>
      <c r="K178" t="s">
        <v>60</v>
      </c>
      <c r="L178" t="s">
        <v>65</v>
      </c>
      <c r="M178" t="s">
        <v>84</v>
      </c>
      <c r="N178" t="s">
        <v>7198</v>
      </c>
      <c r="O178" t="s">
        <v>7195</v>
      </c>
      <c r="P178">
        <v>1</v>
      </c>
      <c r="Q178">
        <v>1299</v>
      </c>
      <c r="R178">
        <v>0.2</v>
      </c>
      <c r="S178">
        <v>1299</v>
      </c>
      <c r="T178">
        <v>259.8</v>
      </c>
      <c r="U178">
        <v>1039.2</v>
      </c>
      <c r="V178">
        <v>585</v>
      </c>
      <c r="W178">
        <v>585</v>
      </c>
      <c r="X178">
        <v>60</v>
      </c>
      <c r="Y178">
        <v>394.20000000000005</v>
      </c>
      <c r="Z178">
        <v>0.37933025404157045</v>
      </c>
      <c r="AA178">
        <v>0.05</v>
      </c>
      <c r="AB178" s="1">
        <v>45641</v>
      </c>
      <c r="AC178">
        <v>169</v>
      </c>
      <c r="AD178" t="s">
        <v>7311</v>
      </c>
      <c r="AE178">
        <v>0.05</v>
      </c>
      <c r="AF178" t="s">
        <v>2522</v>
      </c>
      <c r="AG178" s="1">
        <v>45475</v>
      </c>
      <c r="AH178">
        <v>4</v>
      </c>
      <c r="AJ178">
        <v>0</v>
      </c>
    </row>
    <row r="179" spans="1:36" x14ac:dyDescent="0.3">
      <c r="A179" t="s">
        <v>5870</v>
      </c>
      <c r="B179" s="1">
        <v>45460</v>
      </c>
      <c r="C179">
        <v>2024</v>
      </c>
      <c r="D179" s="1">
        <v>45444</v>
      </c>
      <c r="E179">
        <v>6</v>
      </c>
      <c r="F179" t="s">
        <v>5871</v>
      </c>
      <c r="G179" t="s">
        <v>7338</v>
      </c>
      <c r="H179" t="s">
        <v>167</v>
      </c>
      <c r="I179" t="s">
        <v>7234</v>
      </c>
      <c r="J179" t="s">
        <v>7231</v>
      </c>
      <c r="K179" t="s">
        <v>190</v>
      </c>
      <c r="L179" t="s">
        <v>65</v>
      </c>
      <c r="M179" t="s">
        <v>24</v>
      </c>
      <c r="N179" t="s">
        <v>7197</v>
      </c>
      <c r="O179" t="s">
        <v>7195</v>
      </c>
      <c r="P179">
        <v>2</v>
      </c>
      <c r="Q179">
        <v>699</v>
      </c>
      <c r="R179">
        <v>0.3</v>
      </c>
      <c r="S179">
        <v>1398</v>
      </c>
      <c r="T179">
        <v>419.4</v>
      </c>
      <c r="U179">
        <v>978.6</v>
      </c>
      <c r="V179">
        <v>245</v>
      </c>
      <c r="W179">
        <v>490</v>
      </c>
      <c r="X179">
        <v>60</v>
      </c>
      <c r="Y179">
        <v>428.6</v>
      </c>
      <c r="Z179">
        <v>0.43797261393827919</v>
      </c>
      <c r="AA179">
        <v>0.15</v>
      </c>
      <c r="AB179" s="1">
        <v>45905</v>
      </c>
      <c r="AC179">
        <v>445</v>
      </c>
      <c r="AD179" t="s">
        <v>7311</v>
      </c>
      <c r="AE179">
        <v>0.15</v>
      </c>
      <c r="AF179" t="s">
        <v>18</v>
      </c>
      <c r="AG179" s="1">
        <v>45463</v>
      </c>
      <c r="AI179" t="s">
        <v>7350</v>
      </c>
      <c r="AJ179">
        <v>0</v>
      </c>
    </row>
    <row r="180" spans="1:36" x14ac:dyDescent="0.3">
      <c r="A180" t="s">
        <v>5328</v>
      </c>
      <c r="B180" s="1">
        <v>45460</v>
      </c>
      <c r="C180">
        <v>2024</v>
      </c>
      <c r="D180" s="1">
        <v>45444</v>
      </c>
      <c r="E180">
        <v>6</v>
      </c>
      <c r="F180" t="s">
        <v>5329</v>
      </c>
      <c r="G180" t="s">
        <v>7338</v>
      </c>
      <c r="H180" t="s">
        <v>37</v>
      </c>
      <c r="I180" t="s">
        <v>7223</v>
      </c>
      <c r="J180" t="s">
        <v>7224</v>
      </c>
      <c r="K180" t="s">
        <v>38</v>
      </c>
      <c r="L180" t="s">
        <v>65</v>
      </c>
      <c r="M180" t="s">
        <v>84</v>
      </c>
      <c r="N180" t="s">
        <v>7198</v>
      </c>
      <c r="O180" t="s">
        <v>7195</v>
      </c>
      <c r="P180">
        <v>2</v>
      </c>
      <c r="Q180">
        <v>1299</v>
      </c>
      <c r="R180">
        <v>0.05</v>
      </c>
      <c r="S180">
        <v>2598</v>
      </c>
      <c r="T180">
        <v>129.9</v>
      </c>
      <c r="U180">
        <v>2468.1</v>
      </c>
      <c r="V180">
        <v>585</v>
      </c>
      <c r="W180">
        <v>1170</v>
      </c>
      <c r="X180">
        <v>120</v>
      </c>
      <c r="Y180">
        <v>1178.0999999999999</v>
      </c>
      <c r="Z180">
        <v>0.47733074024553296</v>
      </c>
      <c r="AA180">
        <v>0.1</v>
      </c>
      <c r="AB180" s="1">
        <v>45847</v>
      </c>
      <c r="AC180">
        <v>387</v>
      </c>
      <c r="AD180" t="s">
        <v>7311</v>
      </c>
      <c r="AE180">
        <v>0.1</v>
      </c>
      <c r="AF180" t="s">
        <v>2522</v>
      </c>
      <c r="AG180" s="1">
        <v>45464</v>
      </c>
      <c r="AH180">
        <v>3</v>
      </c>
      <c r="AI180" t="s">
        <v>7353</v>
      </c>
      <c r="AJ180">
        <v>1</v>
      </c>
    </row>
    <row r="181" spans="1:36" x14ac:dyDescent="0.3">
      <c r="A181" t="s">
        <v>121</v>
      </c>
      <c r="B181" s="1">
        <v>45456</v>
      </c>
      <c r="C181">
        <v>2024</v>
      </c>
      <c r="D181" s="1">
        <v>45444</v>
      </c>
      <c r="E181">
        <v>6</v>
      </c>
      <c r="F181" t="s">
        <v>122</v>
      </c>
      <c r="G181" t="s">
        <v>7338</v>
      </c>
      <c r="H181" t="s">
        <v>123</v>
      </c>
      <c r="I181" t="s">
        <v>7227</v>
      </c>
      <c r="J181" t="s">
        <v>7221</v>
      </c>
      <c r="K181" t="s">
        <v>124</v>
      </c>
      <c r="L181" t="s">
        <v>65</v>
      </c>
      <c r="M181" t="s">
        <v>125</v>
      </c>
      <c r="N181" t="s">
        <v>7194</v>
      </c>
      <c r="O181" t="s">
        <v>7195</v>
      </c>
      <c r="P181">
        <v>1</v>
      </c>
      <c r="Q181">
        <v>899</v>
      </c>
      <c r="R181">
        <v>0.1</v>
      </c>
      <c r="S181">
        <v>899</v>
      </c>
      <c r="T181">
        <v>89.9</v>
      </c>
      <c r="U181">
        <v>809.1</v>
      </c>
      <c r="V181">
        <v>378</v>
      </c>
      <c r="W181">
        <v>378</v>
      </c>
      <c r="X181">
        <v>60</v>
      </c>
      <c r="Y181">
        <v>371.1</v>
      </c>
      <c r="Z181">
        <v>0.45865776789024842</v>
      </c>
      <c r="AA181">
        <v>0.05</v>
      </c>
      <c r="AB181" s="1">
        <v>45297</v>
      </c>
      <c r="AC181">
        <v>-159</v>
      </c>
      <c r="AD181" t="s">
        <v>7309</v>
      </c>
      <c r="AE181">
        <v>0.05</v>
      </c>
      <c r="AF181" t="s">
        <v>18</v>
      </c>
      <c r="AG181" s="1">
        <v>45457</v>
      </c>
      <c r="AH181">
        <v>4</v>
      </c>
      <c r="AI181" t="s">
        <v>7348</v>
      </c>
      <c r="AJ181">
        <v>0</v>
      </c>
    </row>
    <row r="182" spans="1:36" x14ac:dyDescent="0.3">
      <c r="A182" t="s">
        <v>116</v>
      </c>
      <c r="B182" s="1">
        <v>45455</v>
      </c>
      <c r="C182">
        <v>2024</v>
      </c>
      <c r="D182" s="1">
        <v>45444</v>
      </c>
      <c r="E182">
        <v>6</v>
      </c>
      <c r="F182" t="s">
        <v>117</v>
      </c>
      <c r="G182" t="s">
        <v>7339</v>
      </c>
      <c r="H182" t="s">
        <v>76</v>
      </c>
      <c r="I182" t="s">
        <v>7219</v>
      </c>
      <c r="J182" t="s">
        <v>7212</v>
      </c>
      <c r="K182" t="s">
        <v>118</v>
      </c>
      <c r="L182" t="s">
        <v>65</v>
      </c>
      <c r="M182" t="s">
        <v>24</v>
      </c>
      <c r="N182" t="s">
        <v>7197</v>
      </c>
      <c r="O182" t="s">
        <v>7195</v>
      </c>
      <c r="P182">
        <v>1</v>
      </c>
      <c r="Q182">
        <v>699</v>
      </c>
      <c r="R182">
        <v>0.3</v>
      </c>
      <c r="S182">
        <v>699</v>
      </c>
      <c r="T182">
        <v>209.7</v>
      </c>
      <c r="U182">
        <v>489.3</v>
      </c>
      <c r="V182">
        <v>245</v>
      </c>
      <c r="W182">
        <v>245</v>
      </c>
      <c r="X182">
        <v>60</v>
      </c>
      <c r="Y182">
        <v>184.3</v>
      </c>
      <c r="Z182">
        <v>0.37666053545881872</v>
      </c>
      <c r="AA182">
        <v>0.15</v>
      </c>
      <c r="AB182" s="1">
        <v>45301</v>
      </c>
      <c r="AC182">
        <v>-154</v>
      </c>
      <c r="AD182" t="s">
        <v>7309</v>
      </c>
      <c r="AE182">
        <v>0.15</v>
      </c>
      <c r="AF182" t="s">
        <v>18</v>
      </c>
      <c r="AG182" s="1">
        <v>45458</v>
      </c>
      <c r="AH182">
        <v>4</v>
      </c>
      <c r="AI182" t="s">
        <v>7348</v>
      </c>
      <c r="AJ182">
        <v>0</v>
      </c>
    </row>
    <row r="183" spans="1:36" x14ac:dyDescent="0.3">
      <c r="A183" t="s">
        <v>2711</v>
      </c>
      <c r="B183" s="1">
        <v>45454</v>
      </c>
      <c r="C183">
        <v>2024</v>
      </c>
      <c r="D183" s="1">
        <v>45444</v>
      </c>
      <c r="E183">
        <v>6</v>
      </c>
      <c r="F183" t="s">
        <v>2270</v>
      </c>
      <c r="G183" t="s">
        <v>7338</v>
      </c>
      <c r="H183" t="s">
        <v>48</v>
      </c>
      <c r="I183" t="s">
        <v>7217</v>
      </c>
      <c r="J183" t="s">
        <v>7212</v>
      </c>
      <c r="K183" t="s">
        <v>151</v>
      </c>
      <c r="L183" t="s">
        <v>65</v>
      </c>
      <c r="M183" t="s">
        <v>125</v>
      </c>
      <c r="N183" t="s">
        <v>7194</v>
      </c>
      <c r="O183" t="s">
        <v>7195</v>
      </c>
      <c r="P183">
        <v>1</v>
      </c>
      <c r="Q183">
        <v>899</v>
      </c>
      <c r="R183">
        <v>0.3</v>
      </c>
      <c r="S183">
        <v>899</v>
      </c>
      <c r="T183">
        <v>269.7</v>
      </c>
      <c r="U183">
        <v>629.29999999999995</v>
      </c>
      <c r="V183">
        <v>378</v>
      </c>
      <c r="W183">
        <v>378</v>
      </c>
      <c r="X183">
        <v>60</v>
      </c>
      <c r="Y183">
        <v>191.29999999999995</v>
      </c>
      <c r="Z183">
        <v>0.30398855871603364</v>
      </c>
      <c r="AA183">
        <v>0.05</v>
      </c>
      <c r="AB183" s="1">
        <v>45579</v>
      </c>
      <c r="AC183">
        <v>125</v>
      </c>
      <c r="AD183" t="s">
        <v>7311</v>
      </c>
      <c r="AE183">
        <v>0.05</v>
      </c>
      <c r="AF183" t="s">
        <v>2522</v>
      </c>
      <c r="AG183" s="1">
        <v>45455</v>
      </c>
      <c r="AH183">
        <v>3</v>
      </c>
      <c r="AJ183">
        <v>0</v>
      </c>
    </row>
    <row r="184" spans="1:36" x14ac:dyDescent="0.3">
      <c r="A184" t="s">
        <v>1621</v>
      </c>
      <c r="B184" s="1">
        <v>45322</v>
      </c>
      <c r="C184">
        <v>2024</v>
      </c>
      <c r="D184" s="1">
        <v>45292</v>
      </c>
      <c r="E184">
        <v>1</v>
      </c>
      <c r="F184" t="s">
        <v>1622</v>
      </c>
      <c r="G184" t="s">
        <v>7338</v>
      </c>
      <c r="H184" t="s">
        <v>59</v>
      </c>
      <c r="I184" t="s">
        <v>7237</v>
      </c>
      <c r="J184" t="s">
        <v>7231</v>
      </c>
      <c r="K184" t="s">
        <v>60</v>
      </c>
      <c r="L184" t="s">
        <v>65</v>
      </c>
      <c r="M184" t="s">
        <v>24</v>
      </c>
      <c r="N184" t="s">
        <v>7197</v>
      </c>
      <c r="O184" t="s">
        <v>7195</v>
      </c>
      <c r="P184">
        <v>1</v>
      </c>
      <c r="Q184">
        <v>699</v>
      </c>
      <c r="R184">
        <v>0.05</v>
      </c>
      <c r="S184">
        <v>699</v>
      </c>
      <c r="T184">
        <v>34.950000000000003</v>
      </c>
      <c r="U184">
        <v>664.05</v>
      </c>
      <c r="V184">
        <v>245</v>
      </c>
      <c r="W184">
        <v>245</v>
      </c>
      <c r="X184">
        <v>60</v>
      </c>
      <c r="Y184">
        <v>359.04999999999995</v>
      </c>
      <c r="Z184">
        <v>0.54069723665386638</v>
      </c>
      <c r="AA184">
        <v>0.2</v>
      </c>
      <c r="AB184" s="1">
        <v>45467</v>
      </c>
      <c r="AC184">
        <v>145</v>
      </c>
      <c r="AD184" t="s">
        <v>7311</v>
      </c>
      <c r="AE184">
        <v>0.2</v>
      </c>
      <c r="AF184" t="s">
        <v>18</v>
      </c>
      <c r="AG184" s="1">
        <v>45325</v>
      </c>
      <c r="AJ184">
        <v>0</v>
      </c>
    </row>
    <row r="185" spans="1:36" x14ac:dyDescent="0.3">
      <c r="A185" t="s">
        <v>2081</v>
      </c>
      <c r="B185" s="1">
        <v>45444</v>
      </c>
      <c r="C185">
        <v>2024</v>
      </c>
      <c r="D185" s="1">
        <v>45444</v>
      </c>
      <c r="E185">
        <v>6</v>
      </c>
      <c r="F185" t="s">
        <v>189</v>
      </c>
      <c r="G185" t="s">
        <v>7338</v>
      </c>
      <c r="H185" t="s">
        <v>32</v>
      </c>
      <c r="I185" t="s">
        <v>7220</v>
      </c>
      <c r="J185" t="s">
        <v>7221</v>
      </c>
      <c r="K185" t="s">
        <v>33</v>
      </c>
      <c r="L185" t="s">
        <v>65</v>
      </c>
      <c r="M185" t="s">
        <v>565</v>
      </c>
      <c r="N185" t="s">
        <v>7196</v>
      </c>
      <c r="O185" t="s">
        <v>7195</v>
      </c>
      <c r="P185">
        <v>1</v>
      </c>
      <c r="Q185">
        <v>2499</v>
      </c>
      <c r="R185">
        <v>0.15</v>
      </c>
      <c r="S185">
        <v>2499</v>
      </c>
      <c r="T185">
        <v>374.84999999999997</v>
      </c>
      <c r="U185">
        <v>2124.15</v>
      </c>
      <c r="V185">
        <v>1250</v>
      </c>
      <c r="W185">
        <v>1250</v>
      </c>
      <c r="X185">
        <v>60</v>
      </c>
      <c r="Y185">
        <v>814.15000000000009</v>
      </c>
      <c r="Z185">
        <v>0.38328272485464776</v>
      </c>
      <c r="AA185">
        <v>40</v>
      </c>
      <c r="AB185" s="1">
        <v>45517</v>
      </c>
      <c r="AC185">
        <v>73</v>
      </c>
      <c r="AD185" t="s">
        <v>7311</v>
      </c>
      <c r="AE185">
        <v>0.4</v>
      </c>
      <c r="AF185" t="s">
        <v>18</v>
      </c>
      <c r="AG185" s="1">
        <v>45449</v>
      </c>
      <c r="AH185">
        <v>3</v>
      </c>
      <c r="AI185" t="s">
        <v>7348</v>
      </c>
      <c r="AJ185">
        <v>0</v>
      </c>
    </row>
    <row r="186" spans="1:36" x14ac:dyDescent="0.3">
      <c r="A186" t="s">
        <v>1644</v>
      </c>
      <c r="B186" s="1">
        <v>45434</v>
      </c>
      <c r="C186">
        <v>2024</v>
      </c>
      <c r="D186" s="1">
        <v>45413</v>
      </c>
      <c r="E186">
        <v>5</v>
      </c>
      <c r="F186" t="s">
        <v>1365</v>
      </c>
      <c r="G186" t="s">
        <v>7338</v>
      </c>
      <c r="H186" t="s">
        <v>167</v>
      </c>
      <c r="I186" t="s">
        <v>7234</v>
      </c>
      <c r="J186" t="s">
        <v>7231</v>
      </c>
      <c r="K186" t="s">
        <v>168</v>
      </c>
      <c r="L186" t="s">
        <v>65</v>
      </c>
      <c r="M186" t="s">
        <v>84</v>
      </c>
      <c r="N186" t="s">
        <v>7198</v>
      </c>
      <c r="O186" t="s">
        <v>7195</v>
      </c>
      <c r="P186">
        <v>1</v>
      </c>
      <c r="Q186">
        <v>1299</v>
      </c>
      <c r="R186">
        <v>0.15</v>
      </c>
      <c r="S186">
        <v>1299</v>
      </c>
      <c r="T186">
        <v>194.85</v>
      </c>
      <c r="U186">
        <v>1104.1500000000001</v>
      </c>
      <c r="V186">
        <v>585</v>
      </c>
      <c r="W186">
        <v>585</v>
      </c>
      <c r="X186">
        <v>60</v>
      </c>
      <c r="Y186">
        <v>459.15000000000009</v>
      </c>
      <c r="Z186">
        <v>0.41584023909794871</v>
      </c>
      <c r="AA186">
        <v>0.05</v>
      </c>
      <c r="AB186" s="1">
        <v>45465</v>
      </c>
      <c r="AC186">
        <v>31</v>
      </c>
      <c r="AD186" t="s">
        <v>7311</v>
      </c>
      <c r="AE186">
        <v>0.05</v>
      </c>
      <c r="AF186" t="s">
        <v>18</v>
      </c>
      <c r="AG186" s="1">
        <v>45437</v>
      </c>
      <c r="AJ186">
        <v>0</v>
      </c>
    </row>
    <row r="187" spans="1:36" x14ac:dyDescent="0.3">
      <c r="A187" t="s">
        <v>4761</v>
      </c>
      <c r="B187" s="1">
        <v>45413</v>
      </c>
      <c r="C187">
        <v>2024</v>
      </c>
      <c r="D187" s="1">
        <v>45413</v>
      </c>
      <c r="E187">
        <v>5</v>
      </c>
      <c r="F187" t="s">
        <v>309</v>
      </c>
      <c r="G187" t="s">
        <v>7339</v>
      </c>
      <c r="H187" t="s">
        <v>37</v>
      </c>
      <c r="I187" t="s">
        <v>7223</v>
      </c>
      <c r="J187" t="s">
        <v>7224</v>
      </c>
      <c r="K187" t="s">
        <v>247</v>
      </c>
      <c r="L187" t="s">
        <v>65</v>
      </c>
      <c r="M187" t="s">
        <v>24</v>
      </c>
      <c r="N187" t="s">
        <v>7197</v>
      </c>
      <c r="O187" t="s">
        <v>7195</v>
      </c>
      <c r="P187">
        <v>2</v>
      </c>
      <c r="Q187">
        <v>699</v>
      </c>
      <c r="R187">
        <v>0</v>
      </c>
      <c r="S187">
        <v>1398</v>
      </c>
      <c r="T187">
        <v>0</v>
      </c>
      <c r="U187">
        <v>1398</v>
      </c>
      <c r="V187">
        <v>245</v>
      </c>
      <c r="W187">
        <v>490</v>
      </c>
      <c r="X187">
        <v>60</v>
      </c>
      <c r="Y187">
        <v>848</v>
      </c>
      <c r="Z187">
        <v>0.60658082975679539</v>
      </c>
      <c r="AA187">
        <v>0.3</v>
      </c>
      <c r="AB187" s="1">
        <v>45774</v>
      </c>
      <c r="AC187">
        <v>361</v>
      </c>
      <c r="AD187" t="s">
        <v>7311</v>
      </c>
      <c r="AE187">
        <v>0.3</v>
      </c>
      <c r="AF187" t="s">
        <v>4450</v>
      </c>
      <c r="AG187" s="1">
        <v>45416</v>
      </c>
      <c r="AH187">
        <v>4</v>
      </c>
      <c r="AJ187">
        <v>0</v>
      </c>
    </row>
    <row r="188" spans="1:36" x14ac:dyDescent="0.3">
      <c r="A188" t="s">
        <v>2898</v>
      </c>
      <c r="B188" s="1">
        <v>45412</v>
      </c>
      <c r="C188">
        <v>2024</v>
      </c>
      <c r="D188" s="1">
        <v>45383</v>
      </c>
      <c r="E188">
        <v>4</v>
      </c>
      <c r="F188" t="s">
        <v>845</v>
      </c>
      <c r="G188" t="s">
        <v>7338</v>
      </c>
      <c r="H188" t="s">
        <v>37</v>
      </c>
      <c r="I188" t="s">
        <v>7223</v>
      </c>
      <c r="J188" t="s">
        <v>7224</v>
      </c>
      <c r="K188" t="s">
        <v>38</v>
      </c>
      <c r="L188" t="s">
        <v>65</v>
      </c>
      <c r="M188" t="s">
        <v>24</v>
      </c>
      <c r="N188" t="s">
        <v>7197</v>
      </c>
      <c r="O188" t="s">
        <v>7195</v>
      </c>
      <c r="P188">
        <v>1</v>
      </c>
      <c r="Q188">
        <v>699</v>
      </c>
      <c r="R188">
        <v>0.3</v>
      </c>
      <c r="S188">
        <v>699</v>
      </c>
      <c r="T188">
        <v>209.7</v>
      </c>
      <c r="U188">
        <v>489.3</v>
      </c>
      <c r="V188">
        <v>245</v>
      </c>
      <c r="W188">
        <v>245</v>
      </c>
      <c r="X188">
        <v>60</v>
      </c>
      <c r="Y188">
        <v>184.3</v>
      </c>
      <c r="Z188">
        <v>0.37666053545881872</v>
      </c>
      <c r="AA188">
        <v>0.15</v>
      </c>
      <c r="AB188" s="1">
        <v>45592</v>
      </c>
      <c r="AC188">
        <v>180</v>
      </c>
      <c r="AD188" t="s">
        <v>7311</v>
      </c>
      <c r="AE188">
        <v>0.15</v>
      </c>
      <c r="AF188" t="s">
        <v>2522</v>
      </c>
      <c r="AG188" s="1">
        <v>45415</v>
      </c>
      <c r="AI188" t="s">
        <v>7349</v>
      </c>
      <c r="AJ188">
        <v>0</v>
      </c>
    </row>
    <row r="189" spans="1:36" x14ac:dyDescent="0.3">
      <c r="A189" t="s">
        <v>2895</v>
      </c>
      <c r="B189" s="1">
        <v>45408</v>
      </c>
      <c r="C189">
        <v>2024</v>
      </c>
      <c r="D189" s="1">
        <v>45383</v>
      </c>
      <c r="E189">
        <v>4</v>
      </c>
      <c r="F189" t="s">
        <v>2896</v>
      </c>
      <c r="G189" t="s">
        <v>7338</v>
      </c>
      <c r="H189" t="s">
        <v>59</v>
      </c>
      <c r="I189" t="s">
        <v>7237</v>
      </c>
      <c r="J189" t="s">
        <v>7231</v>
      </c>
      <c r="K189" t="s">
        <v>60</v>
      </c>
      <c r="L189" t="s">
        <v>65</v>
      </c>
      <c r="M189" t="s">
        <v>24</v>
      </c>
      <c r="N189" t="s">
        <v>7197</v>
      </c>
      <c r="O189" t="s">
        <v>7195</v>
      </c>
      <c r="P189">
        <v>1</v>
      </c>
      <c r="Q189">
        <v>699</v>
      </c>
      <c r="R189">
        <v>0.3</v>
      </c>
      <c r="S189">
        <v>699</v>
      </c>
      <c r="T189">
        <v>209.7</v>
      </c>
      <c r="U189">
        <v>489.3</v>
      </c>
      <c r="V189">
        <v>245</v>
      </c>
      <c r="W189">
        <v>245</v>
      </c>
      <c r="X189">
        <v>120</v>
      </c>
      <c r="Y189">
        <v>124.30000000000001</v>
      </c>
      <c r="Z189">
        <v>0.25403637849989785</v>
      </c>
      <c r="AA189">
        <v>0.15</v>
      </c>
      <c r="AB189" s="1">
        <v>45591</v>
      </c>
      <c r="AC189">
        <v>183</v>
      </c>
      <c r="AD189" t="s">
        <v>7311</v>
      </c>
      <c r="AE189">
        <v>0.15</v>
      </c>
      <c r="AF189" t="s">
        <v>2522</v>
      </c>
      <c r="AG189" s="1">
        <v>45412</v>
      </c>
      <c r="AI189" t="s">
        <v>7351</v>
      </c>
      <c r="AJ189">
        <v>1</v>
      </c>
    </row>
    <row r="190" spans="1:36" x14ac:dyDescent="0.3">
      <c r="A190" t="s">
        <v>4219</v>
      </c>
      <c r="B190" s="1">
        <v>45401</v>
      </c>
      <c r="C190">
        <v>2024</v>
      </c>
      <c r="D190" s="1">
        <v>45383</v>
      </c>
      <c r="E190">
        <v>4</v>
      </c>
      <c r="F190" t="s">
        <v>4220</v>
      </c>
      <c r="G190" t="s">
        <v>7338</v>
      </c>
      <c r="H190" t="s">
        <v>48</v>
      </c>
      <c r="I190" t="s">
        <v>7217</v>
      </c>
      <c r="J190" t="s">
        <v>7212</v>
      </c>
      <c r="K190" t="s">
        <v>49</v>
      </c>
      <c r="L190" t="s">
        <v>65</v>
      </c>
      <c r="M190" t="s">
        <v>24</v>
      </c>
      <c r="N190" t="s">
        <v>7197</v>
      </c>
      <c r="O190" t="s">
        <v>7195</v>
      </c>
      <c r="P190">
        <v>1</v>
      </c>
      <c r="Q190">
        <v>699</v>
      </c>
      <c r="R190">
        <v>0.15</v>
      </c>
      <c r="S190">
        <v>699</v>
      </c>
      <c r="T190">
        <v>104.85</v>
      </c>
      <c r="U190">
        <v>594.15</v>
      </c>
      <c r="V190">
        <v>245</v>
      </c>
      <c r="W190">
        <v>245</v>
      </c>
      <c r="X190">
        <v>60</v>
      </c>
      <c r="Y190">
        <v>289.14999999999998</v>
      </c>
      <c r="Z190">
        <v>0.48666161743667424</v>
      </c>
      <c r="AA190">
        <v>0.25</v>
      </c>
      <c r="AB190" s="1">
        <v>45725</v>
      </c>
      <c r="AC190">
        <v>324</v>
      </c>
      <c r="AD190" t="s">
        <v>7311</v>
      </c>
      <c r="AE190">
        <v>0.25</v>
      </c>
      <c r="AF190" t="s">
        <v>4074</v>
      </c>
      <c r="AG190" s="1">
        <v>45405</v>
      </c>
      <c r="AI190" t="s">
        <v>7349</v>
      </c>
      <c r="AJ190">
        <v>0</v>
      </c>
    </row>
    <row r="191" spans="1:36" x14ac:dyDescent="0.3">
      <c r="A191" t="s">
        <v>2885</v>
      </c>
      <c r="B191" s="1">
        <v>45392</v>
      </c>
      <c r="C191">
        <v>2024</v>
      </c>
      <c r="D191" s="1">
        <v>45383</v>
      </c>
      <c r="E191">
        <v>4</v>
      </c>
      <c r="F191" t="s">
        <v>1854</v>
      </c>
      <c r="G191" t="s">
        <v>7338</v>
      </c>
      <c r="H191" t="s">
        <v>32</v>
      </c>
      <c r="I191" t="s">
        <v>7220</v>
      </c>
      <c r="J191" t="s">
        <v>7221</v>
      </c>
      <c r="K191" t="s">
        <v>33</v>
      </c>
      <c r="L191" t="s">
        <v>65</v>
      </c>
      <c r="M191" t="s">
        <v>565</v>
      </c>
      <c r="N191" t="s">
        <v>7196</v>
      </c>
      <c r="O191" t="s">
        <v>7195</v>
      </c>
      <c r="P191">
        <v>1</v>
      </c>
      <c r="Q191">
        <v>2499</v>
      </c>
      <c r="R191">
        <v>0.25</v>
      </c>
      <c r="S191">
        <v>2499</v>
      </c>
      <c r="T191">
        <v>624.75</v>
      </c>
      <c r="U191">
        <v>1874.25</v>
      </c>
      <c r="V191">
        <v>1250</v>
      </c>
      <c r="W191">
        <v>1250</v>
      </c>
      <c r="X191">
        <v>60</v>
      </c>
      <c r="Y191">
        <v>564.25</v>
      </c>
      <c r="Z191">
        <v>0.30105375483526742</v>
      </c>
      <c r="AA191">
        <v>0.25</v>
      </c>
      <c r="AB191" s="1">
        <v>45592</v>
      </c>
      <c r="AC191">
        <v>200</v>
      </c>
      <c r="AD191" t="s">
        <v>7311</v>
      </c>
      <c r="AE191">
        <v>0.25</v>
      </c>
      <c r="AF191" t="s">
        <v>2522</v>
      </c>
      <c r="AG191" s="1">
        <v>45397</v>
      </c>
      <c r="AJ191">
        <v>0</v>
      </c>
    </row>
    <row r="192" spans="1:36" x14ac:dyDescent="0.3">
      <c r="A192" t="s">
        <v>4218</v>
      </c>
      <c r="B192" s="1">
        <v>45391</v>
      </c>
      <c r="C192">
        <v>2024</v>
      </c>
      <c r="D192" s="1">
        <v>45383</v>
      </c>
      <c r="E192">
        <v>4</v>
      </c>
      <c r="F192" t="s">
        <v>3869</v>
      </c>
      <c r="G192" t="s">
        <v>7339</v>
      </c>
      <c r="H192" t="s">
        <v>316</v>
      </c>
      <c r="I192" t="s">
        <v>7236</v>
      </c>
      <c r="J192" t="s">
        <v>7231</v>
      </c>
      <c r="K192" t="s">
        <v>338</v>
      </c>
      <c r="L192" t="s">
        <v>65</v>
      </c>
      <c r="M192" t="s">
        <v>84</v>
      </c>
      <c r="N192" t="s">
        <v>7198</v>
      </c>
      <c r="O192" t="s">
        <v>7195</v>
      </c>
      <c r="P192">
        <v>1</v>
      </c>
      <c r="Q192">
        <v>1299</v>
      </c>
      <c r="R192">
        <v>0</v>
      </c>
      <c r="S192">
        <v>1299</v>
      </c>
      <c r="T192">
        <v>0</v>
      </c>
      <c r="U192">
        <v>1299</v>
      </c>
      <c r="V192">
        <v>585</v>
      </c>
      <c r="W192">
        <v>585</v>
      </c>
      <c r="X192">
        <v>60</v>
      </c>
      <c r="Y192">
        <v>654</v>
      </c>
      <c r="Z192">
        <v>0.50346420323325636</v>
      </c>
      <c r="AA192">
        <v>0</v>
      </c>
      <c r="AB192" s="1">
        <v>45723</v>
      </c>
      <c r="AC192">
        <v>332</v>
      </c>
      <c r="AD192" t="s">
        <v>7311</v>
      </c>
      <c r="AE192">
        <v>0</v>
      </c>
      <c r="AF192" t="s">
        <v>4074</v>
      </c>
      <c r="AG192" s="1">
        <v>45393</v>
      </c>
      <c r="AJ192">
        <v>0</v>
      </c>
    </row>
    <row r="193" spans="1:36" x14ac:dyDescent="0.3">
      <c r="A193" t="s">
        <v>6046</v>
      </c>
      <c r="B193" s="1">
        <v>45385</v>
      </c>
      <c r="C193">
        <v>2024</v>
      </c>
      <c r="D193" s="1">
        <v>45383</v>
      </c>
      <c r="E193">
        <v>4</v>
      </c>
      <c r="F193" t="s">
        <v>883</v>
      </c>
      <c r="G193" t="s">
        <v>7338</v>
      </c>
      <c r="H193" t="s">
        <v>14</v>
      </c>
      <c r="I193" t="s">
        <v>7232</v>
      </c>
      <c r="J193" t="s">
        <v>7221</v>
      </c>
      <c r="K193" t="s">
        <v>15</v>
      </c>
      <c r="L193" t="s">
        <v>65</v>
      </c>
      <c r="M193" t="s">
        <v>24</v>
      </c>
      <c r="N193" t="s">
        <v>7197</v>
      </c>
      <c r="O193" t="s">
        <v>7195</v>
      </c>
      <c r="P193">
        <v>2</v>
      </c>
      <c r="Q193">
        <v>699</v>
      </c>
      <c r="R193">
        <v>0.05</v>
      </c>
      <c r="S193">
        <v>1398</v>
      </c>
      <c r="T193">
        <v>69.900000000000006</v>
      </c>
      <c r="U193">
        <v>1328.1</v>
      </c>
      <c r="V193">
        <v>245</v>
      </c>
      <c r="W193">
        <v>490</v>
      </c>
      <c r="X193">
        <v>60</v>
      </c>
      <c r="Y193">
        <v>778.09999999999991</v>
      </c>
      <c r="Z193">
        <v>0.58587455763873197</v>
      </c>
      <c r="AA193">
        <v>0.2</v>
      </c>
      <c r="AB193" s="1">
        <v>45924</v>
      </c>
      <c r="AC193">
        <v>539</v>
      </c>
      <c r="AD193" t="s">
        <v>7311</v>
      </c>
      <c r="AE193">
        <v>0.2</v>
      </c>
      <c r="AF193" t="s">
        <v>18</v>
      </c>
      <c r="AG193" s="1">
        <v>45388</v>
      </c>
      <c r="AH193">
        <v>4</v>
      </c>
      <c r="AJ193">
        <v>0</v>
      </c>
    </row>
    <row r="194" spans="1:36" x14ac:dyDescent="0.3">
      <c r="A194" t="s">
        <v>7050</v>
      </c>
      <c r="B194" s="1">
        <v>45384</v>
      </c>
      <c r="C194">
        <v>2024</v>
      </c>
      <c r="D194" s="1">
        <v>45383</v>
      </c>
      <c r="E194">
        <v>4</v>
      </c>
      <c r="F194" t="s">
        <v>1232</v>
      </c>
      <c r="G194" t="s">
        <v>7338</v>
      </c>
      <c r="H194" t="s">
        <v>21</v>
      </c>
      <c r="I194" t="s">
        <v>7213</v>
      </c>
      <c r="J194" t="s">
        <v>7212</v>
      </c>
      <c r="K194" t="s">
        <v>260</v>
      </c>
      <c r="L194" t="s">
        <v>65</v>
      </c>
      <c r="M194" t="s">
        <v>84</v>
      </c>
      <c r="N194" t="s">
        <v>7198</v>
      </c>
      <c r="O194" t="s">
        <v>7195</v>
      </c>
      <c r="P194">
        <v>4</v>
      </c>
      <c r="Q194">
        <v>1299</v>
      </c>
      <c r="R194">
        <v>0</v>
      </c>
      <c r="S194">
        <v>5196</v>
      </c>
      <c r="T194">
        <v>0</v>
      </c>
      <c r="U194">
        <v>5196</v>
      </c>
      <c r="V194">
        <v>585</v>
      </c>
      <c r="W194">
        <v>2340</v>
      </c>
      <c r="X194">
        <v>60</v>
      </c>
      <c r="Y194">
        <v>2796</v>
      </c>
      <c r="Z194">
        <v>0.53810623556581982</v>
      </c>
      <c r="AA194">
        <v>0</v>
      </c>
      <c r="AB194" s="1">
        <v>46010</v>
      </c>
      <c r="AC194">
        <v>626</v>
      </c>
      <c r="AD194" t="s">
        <v>7311</v>
      </c>
      <c r="AE194">
        <v>0</v>
      </c>
      <c r="AF194" t="s">
        <v>18</v>
      </c>
      <c r="AG194" s="1">
        <v>45387</v>
      </c>
      <c r="AH194">
        <v>4</v>
      </c>
      <c r="AI194" t="s">
        <v>7348</v>
      </c>
      <c r="AJ194">
        <v>0</v>
      </c>
    </row>
    <row r="195" spans="1:36" x14ac:dyDescent="0.3">
      <c r="A195" t="s">
        <v>5861</v>
      </c>
      <c r="B195" s="1">
        <v>45384</v>
      </c>
      <c r="C195">
        <v>2024</v>
      </c>
      <c r="D195" s="1">
        <v>45383</v>
      </c>
      <c r="E195">
        <v>4</v>
      </c>
      <c r="F195" t="s">
        <v>5862</v>
      </c>
      <c r="G195" t="s">
        <v>7338</v>
      </c>
      <c r="H195" t="s">
        <v>71</v>
      </c>
      <c r="I195" t="s">
        <v>7229</v>
      </c>
      <c r="J195" t="s">
        <v>7224</v>
      </c>
      <c r="K195" t="s">
        <v>102</v>
      </c>
      <c r="L195" t="s">
        <v>65</v>
      </c>
      <c r="M195" t="s">
        <v>24</v>
      </c>
      <c r="N195" t="s">
        <v>7197</v>
      </c>
      <c r="O195" t="s">
        <v>7195</v>
      </c>
      <c r="P195">
        <v>2</v>
      </c>
      <c r="Q195">
        <v>699</v>
      </c>
      <c r="R195">
        <v>0</v>
      </c>
      <c r="S195">
        <v>1398</v>
      </c>
      <c r="T195">
        <v>0</v>
      </c>
      <c r="U195">
        <v>1398</v>
      </c>
      <c r="V195">
        <v>245</v>
      </c>
      <c r="W195">
        <v>490</v>
      </c>
      <c r="X195">
        <v>60</v>
      </c>
      <c r="Y195">
        <v>848</v>
      </c>
      <c r="Z195">
        <v>0.60658082975679539</v>
      </c>
      <c r="AA195">
        <v>30</v>
      </c>
      <c r="AB195" s="1">
        <v>45902</v>
      </c>
      <c r="AC195">
        <v>518</v>
      </c>
      <c r="AD195" t="s">
        <v>7311</v>
      </c>
      <c r="AE195">
        <v>0.3</v>
      </c>
      <c r="AF195" t="s">
        <v>18</v>
      </c>
      <c r="AG195" s="1">
        <v>45389</v>
      </c>
      <c r="AI195" t="s">
        <v>7348</v>
      </c>
      <c r="AJ195">
        <v>0</v>
      </c>
    </row>
    <row r="196" spans="1:36" x14ac:dyDescent="0.3">
      <c r="A196" t="s">
        <v>5660</v>
      </c>
      <c r="B196" s="1">
        <v>45384</v>
      </c>
      <c r="C196">
        <v>2024</v>
      </c>
      <c r="D196" s="1">
        <v>45383</v>
      </c>
      <c r="E196">
        <v>4</v>
      </c>
      <c r="F196" t="s">
        <v>5661</v>
      </c>
      <c r="G196" t="s">
        <v>7338</v>
      </c>
      <c r="H196" t="s">
        <v>71</v>
      </c>
      <c r="I196" t="s">
        <v>7229</v>
      </c>
      <c r="J196" t="s">
        <v>7224</v>
      </c>
      <c r="K196" t="s">
        <v>72</v>
      </c>
      <c r="L196" t="s">
        <v>65</v>
      </c>
      <c r="M196" t="s">
        <v>565</v>
      </c>
      <c r="N196" t="s">
        <v>7196</v>
      </c>
      <c r="O196" t="s">
        <v>7195</v>
      </c>
      <c r="P196">
        <v>2</v>
      </c>
      <c r="Q196">
        <v>2499</v>
      </c>
      <c r="R196">
        <v>0</v>
      </c>
      <c r="S196">
        <v>4998</v>
      </c>
      <c r="T196">
        <v>0</v>
      </c>
      <c r="U196">
        <v>4998</v>
      </c>
      <c r="V196">
        <v>1250</v>
      </c>
      <c r="W196">
        <v>2500</v>
      </c>
      <c r="X196">
        <v>60</v>
      </c>
      <c r="Y196">
        <v>2438</v>
      </c>
      <c r="Z196">
        <v>0.48779511804721887</v>
      </c>
      <c r="AA196">
        <v>0.35</v>
      </c>
      <c r="AB196" s="1">
        <v>45883</v>
      </c>
      <c r="AC196">
        <v>499</v>
      </c>
      <c r="AD196" t="s">
        <v>7311</v>
      </c>
      <c r="AE196">
        <v>0.35</v>
      </c>
      <c r="AF196" t="s">
        <v>18</v>
      </c>
      <c r="AG196" s="1">
        <v>45385</v>
      </c>
      <c r="AH196">
        <v>3</v>
      </c>
      <c r="AJ196">
        <v>0</v>
      </c>
    </row>
    <row r="197" spans="1:36" x14ac:dyDescent="0.3">
      <c r="A197" t="s">
        <v>5309</v>
      </c>
      <c r="B197" s="1">
        <v>45383</v>
      </c>
      <c r="C197">
        <v>2024</v>
      </c>
      <c r="D197" s="1">
        <v>45383</v>
      </c>
      <c r="E197">
        <v>4</v>
      </c>
      <c r="F197" t="s">
        <v>2803</v>
      </c>
      <c r="G197" t="s">
        <v>7338</v>
      </c>
      <c r="H197" t="s">
        <v>316</v>
      </c>
      <c r="I197" t="s">
        <v>7236</v>
      </c>
      <c r="J197" t="s">
        <v>7231</v>
      </c>
      <c r="K197" t="s">
        <v>338</v>
      </c>
      <c r="L197" t="s">
        <v>65</v>
      </c>
      <c r="M197" t="s">
        <v>125</v>
      </c>
      <c r="N197" t="s">
        <v>7194</v>
      </c>
      <c r="O197" t="s">
        <v>7195</v>
      </c>
      <c r="P197">
        <v>2</v>
      </c>
      <c r="Q197">
        <v>899</v>
      </c>
      <c r="R197">
        <v>0</v>
      </c>
      <c r="S197">
        <v>1798</v>
      </c>
      <c r="T197">
        <v>0</v>
      </c>
      <c r="U197">
        <v>1798</v>
      </c>
      <c r="V197">
        <v>378</v>
      </c>
      <c r="W197">
        <v>756</v>
      </c>
      <c r="X197">
        <v>60</v>
      </c>
      <c r="Y197">
        <v>982</v>
      </c>
      <c r="Z197">
        <v>0.5461624026696329</v>
      </c>
      <c r="AA197">
        <v>0.1</v>
      </c>
      <c r="AB197" s="1">
        <v>45839</v>
      </c>
      <c r="AC197">
        <v>456</v>
      </c>
      <c r="AD197" t="s">
        <v>7311</v>
      </c>
      <c r="AE197">
        <v>0.1</v>
      </c>
      <c r="AF197" t="s">
        <v>2522</v>
      </c>
      <c r="AG197" s="1">
        <v>45389</v>
      </c>
      <c r="AH197">
        <v>3</v>
      </c>
      <c r="AI197" t="s">
        <v>7349</v>
      </c>
      <c r="AJ197">
        <v>0</v>
      </c>
    </row>
    <row r="198" spans="1:36" x14ac:dyDescent="0.3">
      <c r="A198" t="s">
        <v>1840</v>
      </c>
      <c r="B198" s="1">
        <v>45368</v>
      </c>
      <c r="C198">
        <v>2024</v>
      </c>
      <c r="D198" s="1">
        <v>45352</v>
      </c>
      <c r="E198">
        <v>3</v>
      </c>
      <c r="F198" t="s">
        <v>204</v>
      </c>
      <c r="G198" t="s">
        <v>7338</v>
      </c>
      <c r="H198" t="s">
        <v>76</v>
      </c>
      <c r="I198" t="s">
        <v>7219</v>
      </c>
      <c r="J198" t="s">
        <v>7212</v>
      </c>
      <c r="K198" t="s">
        <v>118</v>
      </c>
      <c r="L198" t="s">
        <v>65</v>
      </c>
      <c r="M198" t="s">
        <v>24</v>
      </c>
      <c r="N198" t="s">
        <v>7197</v>
      </c>
      <c r="O198" t="s">
        <v>7195</v>
      </c>
      <c r="P198">
        <v>1</v>
      </c>
      <c r="Q198">
        <v>699</v>
      </c>
      <c r="R198">
        <v>0.1</v>
      </c>
      <c r="S198">
        <v>699</v>
      </c>
      <c r="T198">
        <v>69.900000000000006</v>
      </c>
      <c r="U198">
        <v>629.1</v>
      </c>
      <c r="V198">
        <v>245</v>
      </c>
      <c r="W198">
        <v>245</v>
      </c>
      <c r="X198">
        <v>60</v>
      </c>
      <c r="Y198">
        <v>324.10000000000002</v>
      </c>
      <c r="Z198">
        <v>0.51518041646797008</v>
      </c>
      <c r="AA198">
        <v>25</v>
      </c>
      <c r="AB198" s="1">
        <v>45488</v>
      </c>
      <c r="AC198">
        <v>120</v>
      </c>
      <c r="AD198" t="s">
        <v>7311</v>
      </c>
      <c r="AE198">
        <v>0.25</v>
      </c>
      <c r="AF198" t="s">
        <v>18</v>
      </c>
      <c r="AG198" s="1">
        <v>45374</v>
      </c>
      <c r="AH198">
        <v>3</v>
      </c>
      <c r="AI198" t="s">
        <v>7349</v>
      </c>
      <c r="AJ198">
        <v>0</v>
      </c>
    </row>
    <row r="199" spans="1:36" x14ac:dyDescent="0.3">
      <c r="A199" t="s">
        <v>4751</v>
      </c>
      <c r="B199" s="1">
        <v>45364</v>
      </c>
      <c r="C199">
        <v>2024</v>
      </c>
      <c r="D199" s="1">
        <v>45352</v>
      </c>
      <c r="E199">
        <v>3</v>
      </c>
      <c r="F199" t="s">
        <v>2129</v>
      </c>
      <c r="G199" t="s">
        <v>7338</v>
      </c>
      <c r="H199" t="s">
        <v>21</v>
      </c>
      <c r="I199" t="s">
        <v>7213</v>
      </c>
      <c r="J199" t="s">
        <v>7212</v>
      </c>
      <c r="K199" t="s">
        <v>22</v>
      </c>
      <c r="L199" t="s">
        <v>65</v>
      </c>
      <c r="M199" t="s">
        <v>24</v>
      </c>
      <c r="N199" t="s">
        <v>7197</v>
      </c>
      <c r="O199" t="s">
        <v>7195</v>
      </c>
      <c r="P199">
        <v>2</v>
      </c>
      <c r="Q199">
        <v>699</v>
      </c>
      <c r="R199">
        <v>0</v>
      </c>
      <c r="S199">
        <v>1398</v>
      </c>
      <c r="T199">
        <v>0</v>
      </c>
      <c r="U199">
        <v>1398</v>
      </c>
      <c r="V199">
        <v>245</v>
      </c>
      <c r="W199">
        <v>490</v>
      </c>
      <c r="X199">
        <v>60</v>
      </c>
      <c r="Y199">
        <v>848</v>
      </c>
      <c r="Z199">
        <v>0.60658082975679539</v>
      </c>
      <c r="AA199">
        <v>0.2</v>
      </c>
      <c r="AB199" s="1">
        <v>45775</v>
      </c>
      <c r="AC199">
        <v>411</v>
      </c>
      <c r="AD199" t="s">
        <v>7311</v>
      </c>
      <c r="AE199">
        <v>0.2</v>
      </c>
      <c r="AF199" t="s">
        <v>4450</v>
      </c>
      <c r="AG199" s="1">
        <v>45367</v>
      </c>
      <c r="AH199">
        <v>4</v>
      </c>
      <c r="AI199" t="s">
        <v>7349</v>
      </c>
      <c r="AJ199">
        <v>0</v>
      </c>
    </row>
    <row r="200" spans="1:36" x14ac:dyDescent="0.3">
      <c r="A200" t="s">
        <v>5856</v>
      </c>
      <c r="B200" s="1">
        <v>45355</v>
      </c>
      <c r="C200">
        <v>2024</v>
      </c>
      <c r="D200" s="1">
        <v>45352</v>
      </c>
      <c r="E200">
        <v>3</v>
      </c>
      <c r="F200" t="s">
        <v>3705</v>
      </c>
      <c r="G200" t="s">
        <v>7339</v>
      </c>
      <c r="H200" t="s">
        <v>76</v>
      </c>
      <c r="I200" t="s">
        <v>7219</v>
      </c>
      <c r="J200" t="s">
        <v>7212</v>
      </c>
      <c r="K200" t="s">
        <v>118</v>
      </c>
      <c r="L200" t="s">
        <v>65</v>
      </c>
      <c r="M200" t="s">
        <v>125</v>
      </c>
      <c r="N200" t="s">
        <v>7194</v>
      </c>
      <c r="O200" t="s">
        <v>7195</v>
      </c>
      <c r="P200">
        <v>2</v>
      </c>
      <c r="Q200">
        <v>899</v>
      </c>
      <c r="R200">
        <v>0</v>
      </c>
      <c r="S200">
        <v>1798</v>
      </c>
      <c r="T200">
        <v>0</v>
      </c>
      <c r="U200">
        <v>1798</v>
      </c>
      <c r="V200">
        <v>378</v>
      </c>
      <c r="W200">
        <v>756</v>
      </c>
      <c r="X200">
        <v>120</v>
      </c>
      <c r="Y200">
        <v>922</v>
      </c>
      <c r="Z200">
        <v>0.51279199110122353</v>
      </c>
      <c r="AA200">
        <v>5</v>
      </c>
      <c r="AB200" s="1">
        <v>45903</v>
      </c>
      <c r="AC200">
        <v>548</v>
      </c>
      <c r="AD200" t="s">
        <v>7311</v>
      </c>
      <c r="AE200">
        <v>0.05</v>
      </c>
      <c r="AF200" t="s">
        <v>18</v>
      </c>
      <c r="AG200" s="1">
        <v>45359</v>
      </c>
      <c r="AI200" t="s">
        <v>7351</v>
      </c>
      <c r="AJ200">
        <v>1</v>
      </c>
    </row>
    <row r="201" spans="1:36" x14ac:dyDescent="0.3">
      <c r="A201" t="s">
        <v>3396</v>
      </c>
      <c r="B201" s="1">
        <v>45353</v>
      </c>
      <c r="C201">
        <v>2024</v>
      </c>
      <c r="D201" s="1">
        <v>45352</v>
      </c>
      <c r="E201">
        <v>3</v>
      </c>
      <c r="F201" t="s">
        <v>3397</v>
      </c>
      <c r="G201" t="s">
        <v>7338</v>
      </c>
      <c r="H201" t="s">
        <v>316</v>
      </c>
      <c r="I201" t="s">
        <v>7236</v>
      </c>
      <c r="J201" t="s">
        <v>7231</v>
      </c>
      <c r="K201" t="s">
        <v>317</v>
      </c>
      <c r="L201" t="s">
        <v>65</v>
      </c>
      <c r="M201" t="s">
        <v>125</v>
      </c>
      <c r="N201" t="s">
        <v>7194</v>
      </c>
      <c r="O201" t="s">
        <v>7195</v>
      </c>
      <c r="P201">
        <v>1</v>
      </c>
      <c r="Q201">
        <v>899</v>
      </c>
      <c r="R201">
        <v>0.2</v>
      </c>
      <c r="S201">
        <v>899</v>
      </c>
      <c r="T201">
        <v>179.8</v>
      </c>
      <c r="U201">
        <v>719.2</v>
      </c>
      <c r="V201">
        <v>378</v>
      </c>
      <c r="W201">
        <v>378</v>
      </c>
      <c r="X201">
        <v>120</v>
      </c>
      <c r="Y201">
        <v>221.20000000000005</v>
      </c>
      <c r="Z201">
        <v>0.30756395995550617</v>
      </c>
      <c r="AA201">
        <v>0.05</v>
      </c>
      <c r="AB201" s="1">
        <v>45635</v>
      </c>
      <c r="AC201">
        <v>282</v>
      </c>
      <c r="AD201" t="s">
        <v>7311</v>
      </c>
      <c r="AE201">
        <v>0.05</v>
      </c>
      <c r="AF201" t="s">
        <v>2522</v>
      </c>
      <c r="AG201" s="1">
        <v>45357</v>
      </c>
      <c r="AH201">
        <v>4</v>
      </c>
      <c r="AI201" t="s">
        <v>7353</v>
      </c>
      <c r="AJ201">
        <v>1</v>
      </c>
    </row>
    <row r="202" spans="1:36" x14ac:dyDescent="0.3">
      <c r="A202" t="s">
        <v>5071</v>
      </c>
      <c r="B202" s="1">
        <v>45350</v>
      </c>
      <c r="C202">
        <v>2024</v>
      </c>
      <c r="D202" s="1">
        <v>45323</v>
      </c>
      <c r="E202">
        <v>2</v>
      </c>
      <c r="F202" t="s">
        <v>4865</v>
      </c>
      <c r="G202" t="s">
        <v>7338</v>
      </c>
      <c r="H202" t="s">
        <v>71</v>
      </c>
      <c r="I202" t="s">
        <v>7229</v>
      </c>
      <c r="J202" t="s">
        <v>7224</v>
      </c>
      <c r="K202" t="s">
        <v>81</v>
      </c>
      <c r="L202" t="s">
        <v>65</v>
      </c>
      <c r="M202" t="s">
        <v>565</v>
      </c>
      <c r="N202" t="s">
        <v>7196</v>
      </c>
      <c r="O202" t="s">
        <v>7195</v>
      </c>
      <c r="P202">
        <v>2</v>
      </c>
      <c r="Q202">
        <v>2499</v>
      </c>
      <c r="R202">
        <v>0.1</v>
      </c>
      <c r="S202">
        <v>4998</v>
      </c>
      <c r="T202">
        <v>499.8</v>
      </c>
      <c r="U202">
        <v>4498.2</v>
      </c>
      <c r="V202">
        <v>1250</v>
      </c>
      <c r="W202">
        <v>2500</v>
      </c>
      <c r="X202">
        <v>60</v>
      </c>
      <c r="Y202">
        <v>1938.1999999999998</v>
      </c>
      <c r="Z202">
        <v>0.43088346449690984</v>
      </c>
      <c r="AA202">
        <v>0.4</v>
      </c>
      <c r="AB202" s="1">
        <v>45816</v>
      </c>
      <c r="AC202">
        <v>466</v>
      </c>
      <c r="AD202" t="s">
        <v>7311</v>
      </c>
      <c r="AE202">
        <v>0.4</v>
      </c>
      <c r="AF202" t="s">
        <v>3495</v>
      </c>
      <c r="AG202" s="1">
        <v>45353</v>
      </c>
      <c r="AI202" t="s">
        <v>7349</v>
      </c>
      <c r="AJ20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E4B1-D70D-4047-86BE-5D4BC4B32BF5}">
  <dimension ref="A9:L41"/>
  <sheetViews>
    <sheetView topLeftCell="A15" workbookViewId="0">
      <selection activeCell="G36" sqref="G36"/>
    </sheetView>
  </sheetViews>
  <sheetFormatPr defaultRowHeight="14.4" x14ac:dyDescent="0.3"/>
  <cols>
    <col min="1" max="1" width="23.44140625" style="23" bestFit="1" customWidth="1"/>
    <col min="2" max="3" width="10.5546875" style="87" bestFit="1" customWidth="1"/>
    <col min="4" max="4" width="10.77734375" style="87" bestFit="1" customWidth="1"/>
    <col min="5" max="5" width="3.33203125" style="23" customWidth="1"/>
    <col min="6" max="6" width="14.44140625" style="23" bestFit="1" customWidth="1"/>
    <col min="7" max="7" width="18.44140625" style="23" bestFit="1" customWidth="1"/>
    <col min="8" max="8" width="15.88671875" style="23" bestFit="1" customWidth="1"/>
    <col min="9" max="9" width="14.33203125" style="23" bestFit="1" customWidth="1"/>
    <col min="10" max="10" width="10.77734375" style="23" bestFit="1" customWidth="1"/>
    <col min="11" max="11" width="9.5546875" style="23" bestFit="1" customWidth="1"/>
    <col min="12" max="12" width="10.77734375" style="23" bestFit="1" customWidth="1"/>
    <col min="13" max="13" width="4.109375" style="23" customWidth="1"/>
    <col min="14" max="14" width="14.44140625" style="23" bestFit="1" customWidth="1"/>
    <col min="15" max="15" width="18.44140625" style="23" bestFit="1" customWidth="1"/>
    <col min="16" max="16" width="12.109375" style="23" bestFit="1" customWidth="1"/>
    <col min="17" max="17" width="14.33203125" style="23" bestFit="1" customWidth="1"/>
    <col min="18" max="18" width="11.88671875" style="23" bestFit="1" customWidth="1"/>
    <col min="19" max="19" width="12.6640625" style="23" bestFit="1" customWidth="1"/>
    <col min="20" max="20" width="12.109375" style="23" bestFit="1" customWidth="1"/>
    <col min="21" max="21" width="14.33203125" style="23" bestFit="1" customWidth="1"/>
    <col min="22" max="22" width="11" style="23" bestFit="1" customWidth="1"/>
    <col min="23" max="23" width="12.6640625" style="23" bestFit="1" customWidth="1"/>
    <col min="24" max="24" width="12.109375" style="23" bestFit="1" customWidth="1"/>
    <col min="25" max="25" width="14.33203125" style="23" bestFit="1" customWidth="1"/>
    <col min="26" max="26" width="12.44140625" style="23" bestFit="1" customWidth="1"/>
    <col min="27" max="27" width="10.77734375" style="23" bestFit="1" customWidth="1"/>
    <col min="28" max="16384" width="8.88671875" style="23"/>
  </cols>
  <sheetData>
    <row r="9" spans="1:12" ht="16.8" customHeight="1" x14ac:dyDescent="0.3"/>
    <row r="10" spans="1:12" x14ac:dyDescent="0.3">
      <c r="A10" s="85" t="s">
        <v>7399</v>
      </c>
      <c r="B10" s="84" t="s">
        <v>7241</v>
      </c>
      <c r="C10" s="23"/>
      <c r="D10" s="23"/>
      <c r="F10" s="198" t="s">
        <v>7404</v>
      </c>
      <c r="G10" s="198" t="s">
        <v>5</v>
      </c>
      <c r="H10" s="199"/>
      <c r="I10" s="199"/>
      <c r="J10" s="199"/>
      <c r="K10" s="199"/>
      <c r="L10" s="199"/>
    </row>
    <row r="11" spans="1:12" x14ac:dyDescent="0.3">
      <c r="A11" s="85" t="s">
        <v>7400</v>
      </c>
      <c r="B11" s="87">
        <v>2024</v>
      </c>
      <c r="C11" s="87">
        <v>2025</v>
      </c>
      <c r="D11" s="87" t="s">
        <v>7336</v>
      </c>
      <c r="F11" s="198" t="s">
        <v>7403</v>
      </c>
      <c r="G11" s="199" t="s">
        <v>65</v>
      </c>
      <c r="H11" s="199" t="s">
        <v>23</v>
      </c>
      <c r="I11" s="199" t="s">
        <v>16</v>
      </c>
      <c r="J11" s="199" t="s">
        <v>50</v>
      </c>
      <c r="K11" s="199" t="s">
        <v>39</v>
      </c>
      <c r="L11" s="199" t="s">
        <v>7336</v>
      </c>
    </row>
    <row r="12" spans="1:12" x14ac:dyDescent="0.3">
      <c r="A12" s="23" t="s">
        <v>7221</v>
      </c>
      <c r="B12" s="88">
        <v>406753.60000000009</v>
      </c>
      <c r="C12" s="88">
        <v>461777.95</v>
      </c>
      <c r="D12" s="88">
        <v>868531.55</v>
      </c>
      <c r="F12" s="199" t="s">
        <v>7184</v>
      </c>
      <c r="G12" s="88">
        <v>125477.05000000005</v>
      </c>
      <c r="H12" s="88">
        <v>105193.94999999998</v>
      </c>
      <c r="I12" s="88">
        <v>305578.54999999993</v>
      </c>
      <c r="J12" s="88"/>
      <c r="K12" s="88">
        <v>98919.4</v>
      </c>
      <c r="L12" s="88">
        <v>635168.94999999995</v>
      </c>
    </row>
    <row r="13" spans="1:12" x14ac:dyDescent="0.3">
      <c r="A13" s="24" t="s">
        <v>132</v>
      </c>
      <c r="B13" s="88">
        <v>38309.999999999993</v>
      </c>
      <c r="C13" s="88">
        <v>39518.749999999985</v>
      </c>
      <c r="D13" s="88">
        <v>77828.749999999971</v>
      </c>
      <c r="F13" s="199" t="s">
        <v>7200</v>
      </c>
      <c r="G13" s="88">
        <v>23665.599999999995</v>
      </c>
      <c r="H13" s="88">
        <v>22659.44999999999</v>
      </c>
      <c r="I13" s="88"/>
      <c r="J13" s="88"/>
      <c r="K13" s="88">
        <v>22215.15</v>
      </c>
      <c r="L13" s="88">
        <v>68540.199999999983</v>
      </c>
    </row>
    <row r="14" spans="1:12" x14ac:dyDescent="0.3">
      <c r="A14" s="24" t="s">
        <v>32</v>
      </c>
      <c r="B14" s="88">
        <v>76953.300000000017</v>
      </c>
      <c r="C14" s="88">
        <v>103134.44999999998</v>
      </c>
      <c r="D14" s="88">
        <v>180087.75</v>
      </c>
      <c r="F14" s="199" t="s">
        <v>7190</v>
      </c>
      <c r="G14" s="88">
        <v>77701.35000000002</v>
      </c>
      <c r="H14" s="88">
        <v>68360.500000000015</v>
      </c>
      <c r="I14" s="88">
        <v>179811.29999999996</v>
      </c>
      <c r="J14" s="88"/>
      <c r="K14" s="88">
        <v>53967.100000000006</v>
      </c>
      <c r="L14" s="88">
        <v>379840.25</v>
      </c>
    </row>
    <row r="15" spans="1:12" x14ac:dyDescent="0.3">
      <c r="A15" s="24" t="s">
        <v>482</v>
      </c>
      <c r="B15" s="88">
        <v>31920.7</v>
      </c>
      <c r="C15" s="88">
        <v>43939.450000000012</v>
      </c>
      <c r="D15" s="88">
        <v>75860.150000000009</v>
      </c>
      <c r="F15" s="199" t="s">
        <v>7179</v>
      </c>
      <c r="G15" s="88">
        <v>52745.849999999962</v>
      </c>
      <c r="H15" s="88">
        <v>47382.200000000019</v>
      </c>
      <c r="I15" s="88"/>
      <c r="J15" s="88">
        <v>49789.299999999981</v>
      </c>
      <c r="K15" s="88">
        <v>33834.35</v>
      </c>
      <c r="L15" s="88">
        <v>183751.69999999998</v>
      </c>
    </row>
    <row r="16" spans="1:12" x14ac:dyDescent="0.3">
      <c r="A16" s="24" t="s">
        <v>123</v>
      </c>
      <c r="B16" s="88">
        <v>38098.600000000013</v>
      </c>
      <c r="C16" s="88">
        <v>61499.150000000009</v>
      </c>
      <c r="D16" s="88">
        <v>99597.750000000029</v>
      </c>
      <c r="F16" s="199" t="s">
        <v>7195</v>
      </c>
      <c r="G16" s="88">
        <v>108915.04999999997</v>
      </c>
      <c r="H16" s="88">
        <v>73718.000000000058</v>
      </c>
      <c r="I16" s="88"/>
      <c r="J16" s="88"/>
      <c r="K16" s="88">
        <v>65289.150000000016</v>
      </c>
      <c r="L16" s="88">
        <v>247922.20000000007</v>
      </c>
    </row>
    <row r="17" spans="1:12" x14ac:dyDescent="0.3">
      <c r="A17" s="24" t="s">
        <v>14</v>
      </c>
      <c r="B17" s="88">
        <v>53784.950000000004</v>
      </c>
      <c r="C17" s="88">
        <v>54244.050000000017</v>
      </c>
      <c r="D17" s="88">
        <v>108029.00000000003</v>
      </c>
      <c r="F17" s="199" t="s">
        <v>7173</v>
      </c>
      <c r="G17" s="88">
        <v>105358.94999999998</v>
      </c>
      <c r="H17" s="88">
        <v>95260.60000000002</v>
      </c>
      <c r="I17" s="88"/>
      <c r="J17" s="88">
        <v>88393.200000000026</v>
      </c>
      <c r="K17" s="88">
        <v>59922.149999999965</v>
      </c>
      <c r="L17" s="88">
        <v>348934.89999999997</v>
      </c>
    </row>
    <row r="18" spans="1:12" x14ac:dyDescent="0.3">
      <c r="A18" s="24" t="s">
        <v>27</v>
      </c>
      <c r="B18" s="88">
        <v>167686.05000000002</v>
      </c>
      <c r="C18" s="88">
        <v>159442.10000000003</v>
      </c>
      <c r="D18" s="88">
        <v>327128.15000000002</v>
      </c>
      <c r="F18" s="199" t="s">
        <v>7205</v>
      </c>
      <c r="G18" s="88">
        <v>57672.849999999948</v>
      </c>
      <c r="H18" s="88">
        <v>48200.649999999958</v>
      </c>
      <c r="I18" s="88"/>
      <c r="J18" s="88">
        <v>60028.59999999994</v>
      </c>
      <c r="K18" s="88">
        <v>53194.150000000016</v>
      </c>
      <c r="L18" s="88">
        <v>219096.24999999988</v>
      </c>
    </row>
    <row r="19" spans="1:12" x14ac:dyDescent="0.3">
      <c r="A19" s="23" t="s">
        <v>7212</v>
      </c>
      <c r="B19" s="88">
        <v>666329.05000000016</v>
      </c>
      <c r="C19" s="88">
        <v>909325.34999999963</v>
      </c>
      <c r="D19" s="88">
        <v>1575654.3999999999</v>
      </c>
      <c r="F19" s="23" t="s">
        <v>7336</v>
      </c>
      <c r="G19" s="88">
        <v>551536.69999999995</v>
      </c>
      <c r="H19" s="88">
        <v>460775.35000000003</v>
      </c>
      <c r="I19" s="88">
        <v>485389.84999999986</v>
      </c>
      <c r="J19" s="88">
        <v>198211.09999999995</v>
      </c>
      <c r="K19" s="88">
        <v>387341.45</v>
      </c>
      <c r="L19" s="88">
        <v>2083254.4499999997</v>
      </c>
    </row>
    <row r="20" spans="1:12" x14ac:dyDescent="0.3">
      <c r="A20" s="24" t="s">
        <v>128</v>
      </c>
      <c r="B20" s="88">
        <v>126759.50000000007</v>
      </c>
      <c r="C20" s="88">
        <v>275850.14999999973</v>
      </c>
      <c r="D20" s="88">
        <v>402609.64999999979</v>
      </c>
    </row>
    <row r="21" spans="1:12" x14ac:dyDescent="0.3">
      <c r="A21" s="24" t="s">
        <v>48</v>
      </c>
      <c r="B21" s="88">
        <v>81540.649999999994</v>
      </c>
      <c r="C21" s="88">
        <v>89967.999999999956</v>
      </c>
      <c r="D21" s="88">
        <v>171508.64999999997</v>
      </c>
      <c r="F21" s="198" t="s">
        <v>7402</v>
      </c>
      <c r="G21" s="198" t="s">
        <v>7265</v>
      </c>
      <c r="H21" s="199"/>
      <c r="I21" s="199"/>
      <c r="J21" s="199"/>
    </row>
    <row r="22" spans="1:12" x14ac:dyDescent="0.3">
      <c r="A22" s="24" t="s">
        <v>158</v>
      </c>
      <c r="B22" s="88">
        <v>30547.350000000002</v>
      </c>
      <c r="C22" s="88">
        <v>27166.55</v>
      </c>
      <c r="D22" s="88">
        <v>57713.9</v>
      </c>
      <c r="F22" s="198" t="s">
        <v>7401</v>
      </c>
      <c r="G22" s="199" t="s">
        <v>7311</v>
      </c>
      <c r="H22" s="199" t="s">
        <v>7309</v>
      </c>
      <c r="I22" s="199" t="s">
        <v>7310</v>
      </c>
      <c r="J22" s="23" t="s">
        <v>7336</v>
      </c>
    </row>
    <row r="23" spans="1:12" x14ac:dyDescent="0.3">
      <c r="A23" s="24" t="s">
        <v>210</v>
      </c>
      <c r="B23" s="88">
        <v>23446.1</v>
      </c>
      <c r="C23" s="88">
        <v>54726.649999999987</v>
      </c>
      <c r="D23" s="88">
        <v>78172.749999999985</v>
      </c>
      <c r="F23" s="23" t="s">
        <v>2522</v>
      </c>
      <c r="G23" s="200">
        <v>35</v>
      </c>
      <c r="H23" s="200">
        <v>46</v>
      </c>
      <c r="I23" s="200">
        <v>88</v>
      </c>
      <c r="J23" s="200">
        <v>169</v>
      </c>
    </row>
    <row r="24" spans="1:12" x14ac:dyDescent="0.3">
      <c r="A24" s="24" t="s">
        <v>21</v>
      </c>
      <c r="B24" s="88">
        <v>51962.19999999999</v>
      </c>
      <c r="C24" s="88">
        <v>86132.699999999968</v>
      </c>
      <c r="D24" s="88">
        <v>138094.89999999997</v>
      </c>
      <c r="F24" s="23" t="s">
        <v>3495</v>
      </c>
      <c r="G24" s="200">
        <v>16</v>
      </c>
      <c r="H24" s="200">
        <v>14</v>
      </c>
      <c r="I24" s="200">
        <v>33</v>
      </c>
      <c r="J24" s="200">
        <v>63</v>
      </c>
    </row>
    <row r="25" spans="1:12" x14ac:dyDescent="0.3">
      <c r="A25" s="24" t="s">
        <v>54</v>
      </c>
      <c r="B25" s="88">
        <v>128421.9</v>
      </c>
      <c r="C25" s="88">
        <v>133323.54999999999</v>
      </c>
      <c r="D25" s="88">
        <v>261745.44999999998</v>
      </c>
      <c r="F25" s="23" t="s">
        <v>4074</v>
      </c>
      <c r="G25" s="200">
        <v>16</v>
      </c>
      <c r="H25" s="200">
        <v>18</v>
      </c>
      <c r="I25" s="200">
        <v>11</v>
      </c>
      <c r="J25" s="200">
        <v>45</v>
      </c>
    </row>
    <row r="26" spans="1:12" x14ac:dyDescent="0.3">
      <c r="A26" s="24" t="s">
        <v>76</v>
      </c>
      <c r="B26" s="88">
        <v>181546.25000000009</v>
      </c>
      <c r="C26" s="88">
        <v>208031.50000000006</v>
      </c>
      <c r="D26" s="88">
        <v>389577.75000000012</v>
      </c>
      <c r="F26" s="23" t="s">
        <v>18</v>
      </c>
      <c r="G26" s="200">
        <v>56</v>
      </c>
      <c r="H26" s="200">
        <v>67</v>
      </c>
      <c r="I26" s="200">
        <v>77</v>
      </c>
      <c r="J26" s="200">
        <v>200</v>
      </c>
    </row>
    <row r="27" spans="1:12" x14ac:dyDescent="0.3">
      <c r="A27" s="24" t="s">
        <v>184</v>
      </c>
      <c r="B27" s="88">
        <v>42105.100000000006</v>
      </c>
      <c r="C27" s="88">
        <v>34126.25</v>
      </c>
      <c r="D27" s="88">
        <v>76231.350000000006</v>
      </c>
      <c r="F27" s="23" t="s">
        <v>4450</v>
      </c>
      <c r="G27" s="200">
        <v>4</v>
      </c>
      <c r="H27" s="200">
        <v>4</v>
      </c>
      <c r="I27" s="200">
        <v>18</v>
      </c>
      <c r="J27" s="200">
        <v>26</v>
      </c>
    </row>
    <row r="28" spans="1:12" x14ac:dyDescent="0.3">
      <c r="A28" s="23" t="s">
        <v>7231</v>
      </c>
      <c r="B28" s="88">
        <v>613236.5</v>
      </c>
      <c r="C28" s="88">
        <v>884455.9500000003</v>
      </c>
      <c r="D28" s="88">
        <v>1497692.4500000004</v>
      </c>
      <c r="F28" s="23" t="s">
        <v>7336</v>
      </c>
      <c r="G28" s="200">
        <v>127</v>
      </c>
      <c r="H28" s="200">
        <v>149</v>
      </c>
      <c r="I28" s="200">
        <v>227</v>
      </c>
      <c r="J28" s="200">
        <v>503</v>
      </c>
    </row>
    <row r="29" spans="1:12" x14ac:dyDescent="0.3">
      <c r="A29" s="24" t="s">
        <v>275</v>
      </c>
      <c r="B29" s="88">
        <v>71368.549999999974</v>
      </c>
      <c r="C29" s="88">
        <v>142052.70000000001</v>
      </c>
      <c r="D29" s="88">
        <v>213421.25</v>
      </c>
    </row>
    <row r="30" spans="1:12" x14ac:dyDescent="0.3">
      <c r="A30" s="24" t="s">
        <v>167</v>
      </c>
      <c r="B30" s="88">
        <v>188827.70000000004</v>
      </c>
      <c r="C30" s="88">
        <v>215781.90000000008</v>
      </c>
      <c r="D30" s="88">
        <v>404609.60000000009</v>
      </c>
      <c r="F30" s="198" t="s">
        <v>7334</v>
      </c>
      <c r="G30" s="23" t="s">
        <v>7337</v>
      </c>
      <c r="H30" s="23" t="s">
        <v>7340</v>
      </c>
      <c r="I30"/>
    </row>
    <row r="31" spans="1:12" x14ac:dyDescent="0.3">
      <c r="A31" s="24" t="s">
        <v>316</v>
      </c>
      <c r="B31" s="88">
        <v>59706.749999999971</v>
      </c>
      <c r="C31" s="88">
        <v>145342.45000000001</v>
      </c>
      <c r="D31" s="88">
        <v>205049.19999999998</v>
      </c>
      <c r="F31" s="199" t="s">
        <v>7338</v>
      </c>
      <c r="G31" s="88">
        <v>2415017.3000000091</v>
      </c>
      <c r="H31" s="200">
        <v>2223</v>
      </c>
      <c r="I31"/>
    </row>
    <row r="32" spans="1:12" x14ac:dyDescent="0.3">
      <c r="A32" s="24" t="s">
        <v>59</v>
      </c>
      <c r="B32" s="88">
        <v>166882.05000000005</v>
      </c>
      <c r="C32" s="88">
        <v>218072.20000000007</v>
      </c>
      <c r="D32" s="88">
        <v>384954.25000000012</v>
      </c>
      <c r="F32" s="199" t="s">
        <v>7339</v>
      </c>
      <c r="G32" s="88">
        <v>2741125.150000012</v>
      </c>
      <c r="H32" s="200">
        <v>2610</v>
      </c>
      <c r="I32"/>
    </row>
    <row r="33" spans="1:9" x14ac:dyDescent="0.3">
      <c r="A33" s="24" t="s">
        <v>95</v>
      </c>
      <c r="B33" s="88">
        <v>126451.45000000001</v>
      </c>
      <c r="C33" s="88">
        <v>163206.70000000007</v>
      </c>
      <c r="D33" s="88">
        <v>289658.15000000008</v>
      </c>
      <c r="F33" s="199" t="s">
        <v>7336</v>
      </c>
      <c r="G33" s="88">
        <v>5156142.450000002</v>
      </c>
      <c r="H33" s="200">
        <v>4833</v>
      </c>
      <c r="I33"/>
    </row>
    <row r="34" spans="1:9" x14ac:dyDescent="0.3">
      <c r="A34" s="23" t="s">
        <v>7224</v>
      </c>
      <c r="B34" s="88">
        <v>570317.35000000033</v>
      </c>
      <c r="C34" s="88">
        <v>643946.70000000019</v>
      </c>
      <c r="D34" s="88">
        <v>1214264.0500000003</v>
      </c>
      <c r="F34"/>
      <c r="G34"/>
      <c r="H34"/>
      <c r="I34"/>
    </row>
    <row r="35" spans="1:9" x14ac:dyDescent="0.3">
      <c r="A35" s="24" t="s">
        <v>90</v>
      </c>
      <c r="B35" s="88">
        <v>33272.250000000007</v>
      </c>
      <c r="C35" s="88">
        <v>42625.3</v>
      </c>
      <c r="D35" s="88">
        <v>75897.550000000017</v>
      </c>
      <c r="F35" s="85" t="s">
        <v>7343</v>
      </c>
      <c r="G35" s="23" t="s">
        <v>7337</v>
      </c>
      <c r="H35"/>
      <c r="I35"/>
    </row>
    <row r="36" spans="1:9" x14ac:dyDescent="0.3">
      <c r="A36" s="24" t="s">
        <v>37</v>
      </c>
      <c r="B36" s="88">
        <v>174041.80000000008</v>
      </c>
      <c r="C36" s="88">
        <v>189736.29999999996</v>
      </c>
      <c r="D36" s="88">
        <v>363778.10000000003</v>
      </c>
      <c r="F36" s="23" t="s">
        <v>7276</v>
      </c>
      <c r="G36" s="86">
        <v>2256636.5000000033</v>
      </c>
      <c r="H36"/>
      <c r="I36"/>
    </row>
    <row r="37" spans="1:9" x14ac:dyDescent="0.3">
      <c r="A37" s="24" t="s">
        <v>43</v>
      </c>
      <c r="B37" s="88">
        <v>132072.95000000004</v>
      </c>
      <c r="C37" s="88">
        <v>129368.15000000004</v>
      </c>
      <c r="D37" s="88">
        <v>261441.10000000009</v>
      </c>
      <c r="F37" s="23" t="s">
        <v>7277</v>
      </c>
      <c r="G37" s="86">
        <v>2899505.9500000118</v>
      </c>
      <c r="H37" s="87"/>
      <c r="I37" s="87"/>
    </row>
    <row r="38" spans="1:9" x14ac:dyDescent="0.3">
      <c r="A38" s="24" t="s">
        <v>71</v>
      </c>
      <c r="B38" s="88">
        <v>230930.35000000018</v>
      </c>
      <c r="C38" s="88">
        <v>282216.95000000013</v>
      </c>
      <c r="D38" s="88">
        <v>513147.30000000028</v>
      </c>
      <c r="F38" s="23" t="s">
        <v>7336</v>
      </c>
      <c r="G38" s="86">
        <v>5156142.4500000151</v>
      </c>
      <c r="I38" s="87"/>
    </row>
    <row r="39" spans="1:9" x14ac:dyDescent="0.3">
      <c r="A39" s="23" t="s">
        <v>7336</v>
      </c>
      <c r="B39" s="88">
        <v>2256636.5000000005</v>
      </c>
      <c r="C39" s="88">
        <v>2899505.9499999997</v>
      </c>
      <c r="D39" s="88">
        <v>5156142.4500000011</v>
      </c>
      <c r="I39" s="87"/>
    </row>
    <row r="40" spans="1:9" x14ac:dyDescent="0.3">
      <c r="I40" s="87"/>
    </row>
    <row r="41" spans="1:9" x14ac:dyDescent="0.3">
      <c r="I41" s="87"/>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0A3C-76B2-4567-A295-39131F075131}">
  <dimension ref="A1:AF4834"/>
  <sheetViews>
    <sheetView zoomScale="85" zoomScaleNormal="85" workbookViewId="0">
      <pane xSplit="2" ySplit="1" topLeftCell="C2" activePane="bottomRight" state="frozen"/>
      <selection pane="topRight" activeCell="C1" sqref="C1"/>
      <selection pane="bottomLeft" activeCell="A2" sqref="A2"/>
      <selection pane="bottomRight" activeCell="I2" sqref="I2"/>
    </sheetView>
  </sheetViews>
  <sheetFormatPr defaultRowHeight="14.4" x14ac:dyDescent="0.3"/>
  <cols>
    <col min="1" max="1" width="11.77734375" bestFit="1" customWidth="1"/>
    <col min="2" max="2" width="13.44140625" bestFit="1" customWidth="1"/>
    <col min="3" max="3" width="7.44140625" bestFit="1" customWidth="1"/>
    <col min="4" max="4" width="9.6640625" style="2" bestFit="1" customWidth="1"/>
    <col min="5" max="5" width="12.77734375" bestFit="1" customWidth="1"/>
    <col min="6" max="6" width="14.33203125" bestFit="1" customWidth="1"/>
    <col min="7" max="7" width="17" bestFit="1" customWidth="1"/>
    <col min="8" max="8" width="16.33203125" bestFit="1" customWidth="1"/>
    <col min="9" max="9" width="13.21875" bestFit="1" customWidth="1"/>
    <col min="10" max="10" width="9.6640625" bestFit="1" customWidth="1"/>
    <col min="11" max="11" width="18.6640625" bestFit="1" customWidth="1"/>
    <col min="12" max="12" width="15.6640625" bestFit="1" customWidth="1"/>
    <col min="13" max="13" width="13" bestFit="1" customWidth="1"/>
    <col min="14" max="14" width="23.109375" bestFit="1" customWidth="1"/>
    <col min="15" max="15" width="14.77734375" bestFit="1" customWidth="1"/>
    <col min="16" max="16" width="11.44140625" bestFit="1" customWidth="1"/>
    <col min="17" max="17" width="12.21875" style="5" bestFit="1" customWidth="1"/>
    <col min="18" max="18" width="13.44140625" style="3" bestFit="1" customWidth="1"/>
    <col min="19" max="19" width="12.5546875" style="75" bestFit="1" customWidth="1"/>
    <col min="20" max="20" width="19.33203125" style="5" bestFit="1" customWidth="1"/>
    <col min="21" max="21" width="15" style="5" bestFit="1" customWidth="1"/>
    <col min="22" max="23" width="13.5546875" style="3" bestFit="1" customWidth="1"/>
    <col min="24" max="24" width="15.6640625" style="3" bestFit="1" customWidth="1"/>
    <col min="25" max="25" width="13.5546875" style="5" bestFit="1" customWidth="1"/>
    <col min="26" max="26" width="12" style="83" bestFit="1" customWidth="1"/>
    <col min="27" max="27" width="12" style="83" customWidth="1"/>
    <col min="28" max="28" width="15.5546875" style="10" bestFit="1" customWidth="1"/>
    <col min="29" max="29" width="15.5546875" bestFit="1" customWidth="1"/>
    <col min="30" max="30" width="17" style="10" bestFit="1" customWidth="1"/>
    <col min="31" max="31" width="18.44140625" bestFit="1" customWidth="1"/>
    <col min="32" max="32" width="16.5546875" customWidth="1"/>
  </cols>
  <sheetData>
    <row r="1" spans="1:32" x14ac:dyDescent="0.3">
      <c r="A1" t="s">
        <v>0</v>
      </c>
      <c r="B1" t="s">
        <v>1</v>
      </c>
      <c r="C1" t="s">
        <v>7241</v>
      </c>
      <c r="D1" s="2" t="s">
        <v>7238</v>
      </c>
      <c r="E1" t="s">
        <v>7240</v>
      </c>
      <c r="F1" t="s">
        <v>2</v>
      </c>
      <c r="G1" t="s">
        <v>7334</v>
      </c>
      <c r="H1" t="s">
        <v>3</v>
      </c>
      <c r="I1" t="s">
        <v>7209</v>
      </c>
      <c r="J1" t="s">
        <v>7210</v>
      </c>
      <c r="K1" t="s">
        <v>4</v>
      </c>
      <c r="L1" t="s">
        <v>5</v>
      </c>
      <c r="M1" t="s">
        <v>6</v>
      </c>
      <c r="N1" t="s">
        <v>7168</v>
      </c>
      <c r="O1" t="s">
        <v>7169</v>
      </c>
      <c r="P1" t="s">
        <v>7</v>
      </c>
      <c r="Q1" s="5" t="s">
        <v>8</v>
      </c>
      <c r="R1" s="4" t="s">
        <v>7356</v>
      </c>
      <c r="S1" s="22" t="s">
        <v>7243</v>
      </c>
      <c r="T1" s="5" t="s">
        <v>7244</v>
      </c>
      <c r="U1" s="5" t="s">
        <v>7245</v>
      </c>
      <c r="V1" s="3" t="s">
        <v>7242</v>
      </c>
      <c r="W1" s="3" t="s">
        <v>7246</v>
      </c>
      <c r="X1" s="3" t="s">
        <v>7247</v>
      </c>
      <c r="Y1" s="5" t="s">
        <v>7248</v>
      </c>
      <c r="Z1" s="11" t="s">
        <v>7249</v>
      </c>
      <c r="AA1" t="s">
        <v>9</v>
      </c>
      <c r="AB1" t="s">
        <v>10</v>
      </c>
      <c r="AC1" t="s">
        <v>7264</v>
      </c>
      <c r="AD1" s="10" t="s">
        <v>7265</v>
      </c>
      <c r="AE1" t="s">
        <v>11</v>
      </c>
      <c r="AF1" t="s">
        <v>7333</v>
      </c>
    </row>
    <row r="2" spans="1:32" ht="15" x14ac:dyDescent="0.35">
      <c r="A2" t="s">
        <v>2193</v>
      </c>
      <c r="B2" s="1">
        <v>45292</v>
      </c>
      <c r="C2">
        <f>YEAR(OrdersTable[[#This Row],[Order Date]])</f>
        <v>2024</v>
      </c>
      <c r="D2" s="2">
        <f>DATE(YEAR(OrdersTable[[#This Row],[Order Date]]),MONTH(OrdersTable[[#This Row],[Order Date]]),1)</f>
        <v>45292</v>
      </c>
      <c r="E2">
        <f>MONTH(OrdersTable[[#This Row],[Order Date]])</f>
        <v>1</v>
      </c>
      <c r="F2" t="s">
        <v>1896</v>
      </c>
      <c r="G2" t="str">
        <f>IF(OrdersTable[[#This Row],[Order Date]]=_xlfn.MINIFS(Order_Date, Customer_ID, OrdersTable[[#This Row],[Customer ID]]), "New", "Repeat")</f>
        <v>New</v>
      </c>
      <c r="H2" t="s">
        <v>54</v>
      </c>
      <c r="I2" t="str">
        <f>INDEX(State!B:B,MATCH(OrdersTable[[#This Row],[State]],State!A:A,0))</f>
        <v>RJ</v>
      </c>
      <c r="J2" t="str">
        <f>INDEX(State!C:C,MATCH(OrdersTable[[#This Row],[State Code]],State!B:B,0))</f>
        <v>North</v>
      </c>
      <c r="K2" t="s">
        <v>227</v>
      </c>
      <c r="L2" t="s">
        <v>65</v>
      </c>
      <c r="M2" t="s">
        <v>152</v>
      </c>
      <c r="N2" t="str">
        <f>INDEX(Products!B:B,MATCH(OrdersTable[[#This Row],[Product ID]],Products!A:A,0))</f>
        <v>Green Tea (100 bags)</v>
      </c>
      <c r="O2" t="str">
        <f>INDEX(Products!C:C,MATCH(OrdersTable[[#This Row],[Product ID]],Products!A:A,0))</f>
        <v>Wellness</v>
      </c>
      <c r="P2">
        <v>1</v>
      </c>
      <c r="Q2" s="5">
        <v>399</v>
      </c>
      <c r="R2" s="74">
        <v>0.4</v>
      </c>
      <c r="S2" s="75">
        <f>OrdersTable[[#This Row],[Quantity]]*OrdersTable[[#This Row],[Unit Price]]</f>
        <v>399</v>
      </c>
      <c r="T2" s="5">
        <f>OrdersTable[[#This Row],[Gross Sale]]*OrdersTable[[#This Row],[Discount_Clean2]]</f>
        <v>159.60000000000002</v>
      </c>
      <c r="U2" s="76">
        <f>OrdersTable[[#This Row],[Gross Sale]]-OrdersTable[[#This Row],[Discount Amount]]</f>
        <v>239.39999999999998</v>
      </c>
      <c r="V2" s="77">
        <f>INDEX(Products!E:E,MATCH(OrdersTable[[#This Row],[Product ID]],Products!A:A,0))</f>
        <v>128</v>
      </c>
      <c r="W2" s="77">
        <f>OrdersTable[[#This Row],[Quantity]]*OrdersTable[[#This Row],[Unit Cost]]</f>
        <v>128</v>
      </c>
      <c r="X2" s="77">
        <f>'Dropdown Lists'!$I$2*(1+OrdersTable[[#This Row],[Returned]])</f>
        <v>60</v>
      </c>
      <c r="Y2" s="76">
        <f>OrdersTable[[#This Row],[Net Revenue]]-OrdersTable[[#This Row],[COGS]]-OrdersTable[[#This Row],[Shipping Cost]]</f>
        <v>51.399999999999977</v>
      </c>
      <c r="Z2" s="78">
        <f>IFERROR(OrdersTable[[#This Row],[Profit]]/OrdersTable[[#This Row],[Net Revenue]],0)</f>
        <v>0.21470342522974095</v>
      </c>
      <c r="AA2" t="s">
        <v>18</v>
      </c>
      <c r="AB2" s="79">
        <v>45295</v>
      </c>
      <c r="AC2">
        <f>OrdersTable[[#This Row],[Delivery Date]]-OrdersTable[[#This Row],[Order Date]]</f>
        <v>3</v>
      </c>
      <c r="AD2" t="str">
        <f>IF(OrdersTable[[#This Row],[Delivery Days]]&lt;=2, "Express (≤2d)", IF(OrdersTable[[#This Row],[Delivery Days]]&lt;=4, "Standard (3-4d)", "Delayed (5d+)"))</f>
        <v>Standard (3-4d)</v>
      </c>
      <c r="AE2">
        <v>5</v>
      </c>
      <c r="AF2">
        <v>0</v>
      </c>
    </row>
    <row r="3" spans="1:32" ht="15" x14ac:dyDescent="0.35">
      <c r="A3" t="s">
        <v>3702</v>
      </c>
      <c r="B3" s="1">
        <v>45292</v>
      </c>
      <c r="C3">
        <f>YEAR(OrdersTable[[#This Row],[Order Date]])</f>
        <v>2024</v>
      </c>
      <c r="D3" s="2">
        <f>DATE(YEAR(OrdersTable[[#This Row],[Order Date]]),MONTH(OrdersTable[[#This Row],[Order Date]]),1)</f>
        <v>45292</v>
      </c>
      <c r="E3">
        <f>MONTH(OrdersTable[[#This Row],[Order Date]])</f>
        <v>1</v>
      </c>
      <c r="F3" t="s">
        <v>2038</v>
      </c>
      <c r="G3" t="str">
        <f>IF(OrdersTable[[#This Row],[Order Date]]=_xlfn.MINIFS(Order_Date, Customer_ID, OrdersTable[[#This Row],[Customer ID]]), "New", "Repeat")</f>
        <v>New</v>
      </c>
      <c r="H3" t="s">
        <v>37</v>
      </c>
      <c r="I3" t="str">
        <f>INDEX(State!B:B,MATCH(OrdersTable[[#This Row],[State]],State!A:A,0))</f>
        <v>GJ</v>
      </c>
      <c r="J3" t="str">
        <f>INDEX(State!C:C,MATCH(OrdersTable[[#This Row],[State Code]],State!B:B,0))</f>
        <v>West</v>
      </c>
      <c r="K3" t="s">
        <v>247</v>
      </c>
      <c r="L3" t="s">
        <v>16</v>
      </c>
      <c r="M3" t="s">
        <v>176</v>
      </c>
      <c r="N3" t="str">
        <f>INDEX(Products!B:B,MATCH(OrdersTable[[#This Row],[Product ID]],Products!A:A,0))</f>
        <v>Denim Jacket</v>
      </c>
      <c r="O3" t="str">
        <f>INDEX(Products!C:C,MATCH(OrdersTable[[#This Row],[Product ID]],Products!A:A,0))</f>
        <v>Apparel</v>
      </c>
      <c r="P3">
        <v>1</v>
      </c>
      <c r="Q3" s="5">
        <v>2499</v>
      </c>
      <c r="R3" s="74">
        <v>0</v>
      </c>
      <c r="S3" s="75">
        <f>OrdersTable[[#This Row],[Quantity]]*OrdersTable[[#This Row],[Unit Price]]</f>
        <v>2499</v>
      </c>
      <c r="T3" s="5">
        <f>OrdersTable[[#This Row],[Gross Sale]]*OrdersTable[[#This Row],[Discount_Clean2]]</f>
        <v>0</v>
      </c>
      <c r="U3" s="5">
        <f>OrdersTable[[#This Row],[Gross Sale]]-OrdersTable[[#This Row],[Discount Amount]]</f>
        <v>2499</v>
      </c>
      <c r="V3" s="77">
        <f>INDEX(Products!E:E,MATCH(OrdersTable[[#This Row],[Product ID]],Products!A:A,0))</f>
        <v>1125</v>
      </c>
      <c r="W3" s="77">
        <f>OrdersTable[[#This Row],[Quantity]]*OrdersTable[[#This Row],[Unit Cost]]</f>
        <v>1125</v>
      </c>
      <c r="X3" s="77">
        <f>'Dropdown Lists'!$I$2*(1+OrdersTable[[#This Row],[Returned]])</f>
        <v>120</v>
      </c>
      <c r="Y3" s="76">
        <f>OrdersTable[[#This Row],[Net Revenue]]-OrdersTable[[#This Row],[COGS]]-OrdersTable[[#This Row],[Shipping Cost]]</f>
        <v>1254</v>
      </c>
      <c r="Z3" s="78">
        <f>IFERROR(OrdersTable[[#This Row],[Profit]]/OrdersTable[[#This Row],[Net Revenue]],0)</f>
        <v>0.50180072028811529</v>
      </c>
      <c r="AA3" t="s">
        <v>3495</v>
      </c>
      <c r="AB3" s="79">
        <v>45296</v>
      </c>
      <c r="AC3">
        <f>OrdersTable[[#This Row],[Delivery Date]]-OrdersTable[[#This Row],[Order Date]]</f>
        <v>4</v>
      </c>
      <c r="AD3" t="str">
        <f>IF(OrdersTable[[#This Row],[Delivery Days]]&lt;=2, "Express (≤2d)", IF(OrdersTable[[#This Row],[Delivery Days]]&lt;=4, "Standard (3-4d)", "Delayed (5d+)"))</f>
        <v>Standard (3-4d)</v>
      </c>
      <c r="AF3">
        <v>1</v>
      </c>
    </row>
    <row r="4" spans="1:32" ht="15" x14ac:dyDescent="0.35">
      <c r="A4" t="s">
        <v>4739</v>
      </c>
      <c r="B4" s="1">
        <v>45292</v>
      </c>
      <c r="C4">
        <f>YEAR(OrdersTable[[#This Row],[Order Date]])</f>
        <v>2024</v>
      </c>
      <c r="D4" s="2">
        <f>DATE(YEAR(OrdersTable[[#This Row],[Order Date]]),MONTH(OrdersTable[[#This Row],[Order Date]]),1)</f>
        <v>45292</v>
      </c>
      <c r="E4">
        <f>MONTH(OrdersTable[[#This Row],[Order Date]])</f>
        <v>1</v>
      </c>
      <c r="F4" t="s">
        <v>3177</v>
      </c>
      <c r="G4" t="str">
        <f>IF(OrdersTable[[#This Row],[Order Date]]=_xlfn.MINIFS(Order_Date, Customer_ID, OrdersTable[[#This Row],[Customer ID]]), "New", "Repeat")</f>
        <v>New</v>
      </c>
      <c r="H4" t="s">
        <v>71</v>
      </c>
      <c r="I4" t="str">
        <f>INDEX(State!B:B,MATCH(OrdersTable[[#This Row],[State]],State!A:A,0))</f>
        <v>MH</v>
      </c>
      <c r="J4" t="str">
        <f>INDEX(State!C:C,MATCH(OrdersTable[[#This Row],[State Code]],State!B:B,0))</f>
        <v>West</v>
      </c>
      <c r="K4" t="s">
        <v>72</v>
      </c>
      <c r="L4" t="s">
        <v>39</v>
      </c>
      <c r="M4" t="s">
        <v>87</v>
      </c>
      <c r="N4" t="str">
        <f>INDEX(Products!B:B,MATCH(OrdersTable[[#This Row],[Product ID]],Products!A:A,0))</f>
        <v>Linen Kurta</v>
      </c>
      <c r="O4" t="str">
        <f>INDEX(Products!C:C,MATCH(OrdersTable[[#This Row],[Product ID]],Products!A:A,0))</f>
        <v>Apparel</v>
      </c>
      <c r="P4">
        <v>2</v>
      </c>
      <c r="Q4" s="5">
        <v>1499</v>
      </c>
      <c r="R4" s="74">
        <v>0.25</v>
      </c>
      <c r="S4" s="75">
        <f>OrdersTable[[#This Row],[Quantity]]*OrdersTable[[#This Row],[Unit Price]]</f>
        <v>2998</v>
      </c>
      <c r="T4" s="5">
        <f>OrdersTable[[#This Row],[Gross Sale]]*OrdersTable[[#This Row],[Discount_Clean2]]</f>
        <v>749.5</v>
      </c>
      <c r="U4" s="5">
        <f>OrdersTable[[#This Row],[Gross Sale]]-OrdersTable[[#This Row],[Discount Amount]]</f>
        <v>2248.5</v>
      </c>
      <c r="V4" s="77">
        <f>INDEX(Products!E:E,MATCH(OrdersTable[[#This Row],[Product ID]],Products!A:A,0))</f>
        <v>630</v>
      </c>
      <c r="W4" s="77">
        <f>OrdersTable[[#This Row],[Quantity]]*OrdersTable[[#This Row],[Unit Cost]]</f>
        <v>1260</v>
      </c>
      <c r="X4" s="77">
        <f>'Dropdown Lists'!$I$2*(1+OrdersTable[[#This Row],[Returned]])</f>
        <v>60</v>
      </c>
      <c r="Y4" s="76">
        <f>OrdersTable[[#This Row],[Net Revenue]]-OrdersTable[[#This Row],[COGS]]-OrdersTable[[#This Row],[Shipping Cost]]</f>
        <v>928.5</v>
      </c>
      <c r="Z4" s="78">
        <f>IFERROR(OrdersTable[[#This Row],[Profit]]/OrdersTable[[#This Row],[Net Revenue]],0)</f>
        <v>0.41294196130753835</v>
      </c>
      <c r="AA4" t="s">
        <v>4450</v>
      </c>
      <c r="AB4" s="79">
        <v>45294</v>
      </c>
      <c r="AC4">
        <f>OrdersTable[[#This Row],[Delivery Date]]-OrdersTable[[#This Row],[Order Date]]</f>
        <v>2</v>
      </c>
      <c r="AD4" t="str">
        <f>IF(OrdersTable[[#This Row],[Delivery Days]]&lt;=2, "Express (≤2d)", IF(OrdersTable[[#This Row],[Delivery Days]]&lt;=4, "Standard (3-4d)", "Delayed (5d+)"))</f>
        <v>Express (≤2d)</v>
      </c>
      <c r="AE4">
        <v>4</v>
      </c>
      <c r="AF4">
        <v>0</v>
      </c>
    </row>
    <row r="5" spans="1:32" ht="15" x14ac:dyDescent="0.35">
      <c r="A5" t="s">
        <v>4740</v>
      </c>
      <c r="B5" s="1">
        <v>45292</v>
      </c>
      <c r="C5">
        <f>YEAR(OrdersTable[[#This Row],[Order Date]])</f>
        <v>2024</v>
      </c>
      <c r="D5" s="2">
        <f>DATE(YEAR(OrdersTable[[#This Row],[Order Date]]),MONTH(OrdersTable[[#This Row],[Order Date]]),1)</f>
        <v>45292</v>
      </c>
      <c r="E5">
        <f>MONTH(OrdersTable[[#This Row],[Order Date]])</f>
        <v>1</v>
      </c>
      <c r="F5" t="s">
        <v>1301</v>
      </c>
      <c r="G5" t="str">
        <f>IF(OrdersTable[[#This Row],[Order Date]]=_xlfn.MINIFS(Order_Date, Customer_ID, OrdersTable[[#This Row],[Customer ID]]), "New", "Repeat")</f>
        <v>New</v>
      </c>
      <c r="H5" t="s">
        <v>71</v>
      </c>
      <c r="I5" t="str">
        <f>INDEX(State!B:B,MATCH(OrdersTable[[#This Row],[State]],State!A:A,0))</f>
        <v>MH</v>
      </c>
      <c r="J5" t="str">
        <f>INDEX(State!C:C,MATCH(OrdersTable[[#This Row],[State Code]],State!B:B,0))</f>
        <v>West</v>
      </c>
      <c r="K5" t="s">
        <v>81</v>
      </c>
      <c r="L5" t="s">
        <v>65</v>
      </c>
      <c r="M5" t="s">
        <v>148</v>
      </c>
      <c r="N5" t="str">
        <f>INDEX(Products!B:B,MATCH(OrdersTable[[#This Row],[Product ID]],Products!A:A,0))</f>
        <v>Smartwatch Strap</v>
      </c>
      <c r="O5" t="str">
        <f>INDEX(Products!C:C,MATCH(OrdersTable[[#This Row],[Product ID]],Products!A:A,0))</f>
        <v>Electronics</v>
      </c>
      <c r="P5">
        <v>2</v>
      </c>
      <c r="Q5" s="5">
        <v>499</v>
      </c>
      <c r="R5" s="74">
        <v>0.05</v>
      </c>
      <c r="S5" s="75">
        <f>OrdersTable[[#This Row],[Quantity]]*OrdersTable[[#This Row],[Unit Price]]</f>
        <v>998</v>
      </c>
      <c r="T5" s="5">
        <f>OrdersTable[[#This Row],[Gross Sale]]*OrdersTable[[#This Row],[Discount_Clean2]]</f>
        <v>49.900000000000006</v>
      </c>
      <c r="U5" s="5">
        <f>OrdersTable[[#This Row],[Gross Sale]]-OrdersTable[[#This Row],[Discount Amount]]</f>
        <v>948.1</v>
      </c>
      <c r="V5" s="77">
        <f>INDEX(Products!E:E,MATCH(OrdersTable[[#This Row],[Product ID]],Products!A:A,0))</f>
        <v>200</v>
      </c>
      <c r="W5" s="77">
        <f>OrdersTable[[#This Row],[Quantity]]*OrdersTable[[#This Row],[Unit Cost]]</f>
        <v>400</v>
      </c>
      <c r="X5" s="77">
        <f>'Dropdown Lists'!$I$2*(1+OrdersTable[[#This Row],[Returned]])</f>
        <v>60</v>
      </c>
      <c r="Y5" s="76">
        <f>OrdersTable[[#This Row],[Net Revenue]]-OrdersTable[[#This Row],[COGS]]-OrdersTable[[#This Row],[Shipping Cost]]</f>
        <v>488.1</v>
      </c>
      <c r="Z5" s="78">
        <f>IFERROR(OrdersTable[[#This Row],[Profit]]/OrdersTable[[#This Row],[Net Revenue]],0)</f>
        <v>0.51481911190802654</v>
      </c>
      <c r="AA5" t="s">
        <v>4450</v>
      </c>
      <c r="AB5" s="79">
        <v>45294</v>
      </c>
      <c r="AC5">
        <f>OrdersTable[[#This Row],[Delivery Date]]-OrdersTable[[#This Row],[Order Date]]</f>
        <v>2</v>
      </c>
      <c r="AD5" t="str">
        <f>IF(OrdersTable[[#This Row],[Delivery Days]]&lt;=2, "Express (≤2d)", IF(OrdersTable[[#This Row],[Delivery Days]]&lt;=4, "Standard (3-4d)", "Delayed (5d+)"))</f>
        <v>Express (≤2d)</v>
      </c>
      <c r="AE5">
        <v>5</v>
      </c>
      <c r="AF5">
        <v>0</v>
      </c>
    </row>
    <row r="6" spans="1:32" ht="15" x14ac:dyDescent="0.35">
      <c r="A6" t="s">
        <v>3838</v>
      </c>
      <c r="B6" s="1">
        <v>45292</v>
      </c>
      <c r="C6">
        <f>YEAR(OrdersTable[[#This Row],[Order Date]])</f>
        <v>2024</v>
      </c>
      <c r="D6" s="2">
        <f>DATE(YEAR(OrdersTable[[#This Row],[Order Date]]),MONTH(OrdersTable[[#This Row],[Order Date]]),1)</f>
        <v>45292</v>
      </c>
      <c r="E6">
        <f>MONTH(OrdersTable[[#This Row],[Order Date]])</f>
        <v>1</v>
      </c>
      <c r="F6" t="s">
        <v>3839</v>
      </c>
      <c r="G6" t="str">
        <f>IF(OrdersTable[[#This Row],[Order Date]]=_xlfn.MINIFS(Order_Date, Customer_ID, OrdersTable[[#This Row],[Customer ID]]), "New", "Repeat")</f>
        <v>New</v>
      </c>
      <c r="H6" t="s">
        <v>14</v>
      </c>
      <c r="I6" t="str">
        <f>INDEX(State!B:B,MATCH(OrdersTable[[#This Row],[State]],State!A:A,0))</f>
        <v>OD</v>
      </c>
      <c r="J6" t="str">
        <f>INDEX(State!C:C,MATCH(OrdersTable[[#This Row],[State Code]],State!B:B,0))</f>
        <v>East</v>
      </c>
      <c r="K6" t="s">
        <v>15</v>
      </c>
      <c r="L6" t="s">
        <v>39</v>
      </c>
      <c r="M6" t="s">
        <v>29</v>
      </c>
      <c r="N6" t="str">
        <f>INDEX(Products!B:B,MATCH(OrdersTable[[#This Row],[Product ID]],Products!A:A,0))</f>
        <v>Joggers</v>
      </c>
      <c r="O6" t="str">
        <f>INDEX(Products!C:C,MATCH(OrdersTable[[#This Row],[Product ID]],Products!A:A,0))</f>
        <v>Apparel</v>
      </c>
      <c r="P6">
        <v>1</v>
      </c>
      <c r="Q6" s="5">
        <v>1199</v>
      </c>
      <c r="R6" s="74">
        <v>0.15</v>
      </c>
      <c r="S6" s="75">
        <f>OrdersTable[[#This Row],[Quantity]]*OrdersTable[[#This Row],[Unit Price]]</f>
        <v>1199</v>
      </c>
      <c r="T6" s="5">
        <f>OrdersTable[[#This Row],[Gross Sale]]*OrdersTable[[#This Row],[Discount_Clean2]]</f>
        <v>179.85</v>
      </c>
      <c r="U6" s="5">
        <f>OrdersTable[[#This Row],[Gross Sale]]-OrdersTable[[#This Row],[Discount Amount]]</f>
        <v>1019.15</v>
      </c>
      <c r="V6" s="77">
        <f>INDEX(Products!E:E,MATCH(OrdersTable[[#This Row],[Product ID]],Products!A:A,0))</f>
        <v>492</v>
      </c>
      <c r="W6" s="77">
        <f>OrdersTable[[#This Row],[Quantity]]*OrdersTable[[#This Row],[Unit Cost]]</f>
        <v>492</v>
      </c>
      <c r="X6" s="77">
        <f>'Dropdown Lists'!$I$2*(1+OrdersTable[[#This Row],[Returned]])</f>
        <v>60</v>
      </c>
      <c r="Y6" s="76">
        <f>OrdersTable[[#This Row],[Net Revenue]]-OrdersTable[[#This Row],[COGS]]-OrdersTable[[#This Row],[Shipping Cost]]</f>
        <v>467.15</v>
      </c>
      <c r="Z6" s="78">
        <f>IFERROR(OrdersTable[[#This Row],[Profit]]/OrdersTable[[#This Row],[Net Revenue]],0)</f>
        <v>0.45837217288917231</v>
      </c>
      <c r="AA6" t="s">
        <v>3495</v>
      </c>
      <c r="AB6" s="79">
        <v>45298</v>
      </c>
      <c r="AC6">
        <f>OrdersTable[[#This Row],[Delivery Date]]-OrdersTable[[#This Row],[Order Date]]</f>
        <v>6</v>
      </c>
      <c r="AD6" t="str">
        <f>IF(OrdersTable[[#This Row],[Delivery Days]]&lt;=2, "Express (≤2d)", IF(OrdersTable[[#This Row],[Delivery Days]]&lt;=4, "Standard (3-4d)", "Delayed (5d+)"))</f>
        <v>Delayed (5d+)</v>
      </c>
      <c r="AE6">
        <v>3</v>
      </c>
      <c r="AF6">
        <v>0</v>
      </c>
    </row>
    <row r="7" spans="1:32" ht="15" x14ac:dyDescent="0.35">
      <c r="A7" t="s">
        <v>1823</v>
      </c>
      <c r="B7" s="1">
        <v>45293</v>
      </c>
      <c r="C7">
        <f>YEAR(OrdersTable[[#This Row],[Order Date]])</f>
        <v>2024</v>
      </c>
      <c r="D7" s="2">
        <f>DATE(YEAR(OrdersTable[[#This Row],[Order Date]]),MONTH(OrdersTable[[#This Row],[Order Date]]),1)</f>
        <v>45292</v>
      </c>
      <c r="E7">
        <f>MONTH(OrdersTable[[#This Row],[Order Date]])</f>
        <v>1</v>
      </c>
      <c r="F7" t="s">
        <v>1824</v>
      </c>
      <c r="G7" t="str">
        <f>IF(OrdersTable[[#This Row],[Order Date]]=_xlfn.MINIFS(Order_Date, Customer_ID, OrdersTable[[#This Row],[Customer ID]]), "New", "Repeat")</f>
        <v>New</v>
      </c>
      <c r="H7" t="s">
        <v>210</v>
      </c>
      <c r="I7" t="str">
        <f>INDEX(State!B:B,MATCH(OrdersTable[[#This Row],[State]],State!A:A,0))</f>
        <v>JK</v>
      </c>
      <c r="J7" t="str">
        <f>INDEX(State!C:C,MATCH(OrdersTable[[#This Row],[State Code]],State!B:B,0))</f>
        <v>North</v>
      </c>
      <c r="K7" t="s">
        <v>211</v>
      </c>
      <c r="L7" t="s">
        <v>50</v>
      </c>
      <c r="M7" t="s">
        <v>56</v>
      </c>
      <c r="N7" t="str">
        <f>INDEX(Products!B:B,MATCH(OrdersTable[[#This Row],[Product ID]],Products!A:A,0))</f>
        <v>Vitamin C Face Serum</v>
      </c>
      <c r="O7" t="str">
        <f>INDEX(Products!C:C,MATCH(OrdersTable[[#This Row],[Product ID]],Products!A:A,0))</f>
        <v>Skincare</v>
      </c>
      <c r="P7">
        <v>1</v>
      </c>
      <c r="Q7" s="5">
        <v>599</v>
      </c>
      <c r="R7" s="74">
        <v>0.15</v>
      </c>
      <c r="S7" s="75">
        <f>OrdersTable[[#This Row],[Quantity]]*OrdersTable[[#This Row],[Unit Price]]</f>
        <v>599</v>
      </c>
      <c r="T7" s="5">
        <f>OrdersTable[[#This Row],[Gross Sale]]*OrdersTable[[#This Row],[Discount_Clean2]]</f>
        <v>89.85</v>
      </c>
      <c r="U7" s="5">
        <f>OrdersTable[[#This Row],[Gross Sale]]-OrdersTable[[#This Row],[Discount Amount]]</f>
        <v>509.15</v>
      </c>
      <c r="V7" s="77">
        <f>INDEX(Products!E:E,MATCH(OrdersTable[[#This Row],[Product ID]],Products!A:A,0))</f>
        <v>180</v>
      </c>
      <c r="W7" s="77">
        <f>OrdersTable[[#This Row],[Quantity]]*OrdersTable[[#This Row],[Unit Cost]]</f>
        <v>180</v>
      </c>
      <c r="X7" s="77">
        <f>'Dropdown Lists'!$I$2*(1+OrdersTable[[#This Row],[Returned]])</f>
        <v>60</v>
      </c>
      <c r="Y7" s="76">
        <f>OrdersTable[[#This Row],[Net Revenue]]-OrdersTable[[#This Row],[COGS]]-OrdersTable[[#This Row],[Shipping Cost]]</f>
        <v>269.14999999999998</v>
      </c>
      <c r="Z7" s="78">
        <f>IFERROR(OrdersTable[[#This Row],[Profit]]/OrdersTable[[#This Row],[Net Revenue]],0)</f>
        <v>0.52862614160856325</v>
      </c>
      <c r="AA7" t="s">
        <v>18</v>
      </c>
      <c r="AB7" s="79">
        <v>45298</v>
      </c>
      <c r="AC7">
        <f>OrdersTable[[#This Row],[Delivery Date]]-OrdersTable[[#This Row],[Order Date]]</f>
        <v>5</v>
      </c>
      <c r="AD7" t="str">
        <f>IF(OrdersTable[[#This Row],[Delivery Days]]&lt;=2, "Express (≤2d)", IF(OrdersTable[[#This Row],[Delivery Days]]&lt;=4, "Standard (3-4d)", "Delayed (5d+)"))</f>
        <v>Delayed (5d+)</v>
      </c>
      <c r="AE7">
        <v>3</v>
      </c>
      <c r="AF7">
        <v>0</v>
      </c>
    </row>
    <row r="8" spans="1:32" ht="15" x14ac:dyDescent="0.35">
      <c r="A8" t="s">
        <v>6935</v>
      </c>
      <c r="B8" s="1">
        <v>45293</v>
      </c>
      <c r="C8">
        <f>YEAR(OrdersTable[[#This Row],[Order Date]])</f>
        <v>2024</v>
      </c>
      <c r="D8" s="2">
        <f>DATE(YEAR(OrdersTable[[#This Row],[Order Date]]),MONTH(OrdersTable[[#This Row],[Order Date]]),1)</f>
        <v>45292</v>
      </c>
      <c r="E8">
        <f>MONTH(OrdersTable[[#This Row],[Order Date]])</f>
        <v>1</v>
      </c>
      <c r="F8" t="s">
        <v>6936</v>
      </c>
      <c r="G8" t="str">
        <f>IF(OrdersTable[[#This Row],[Order Date]]=_xlfn.MINIFS(Order_Date, Customer_ID, OrdersTable[[#This Row],[Customer ID]]), "New", "Repeat")</f>
        <v>New</v>
      </c>
      <c r="H8" t="s">
        <v>158</v>
      </c>
      <c r="I8" t="str">
        <f>INDEX(State!B:B,MATCH(OrdersTable[[#This Row],[State]],State!A:A,0))</f>
        <v>HP</v>
      </c>
      <c r="J8" t="str">
        <f>INDEX(State!C:C,MATCH(OrdersTable[[#This Row],[State Code]],State!B:B,0))</f>
        <v>North</v>
      </c>
      <c r="K8" t="s">
        <v>159</v>
      </c>
      <c r="L8" t="s">
        <v>65</v>
      </c>
      <c r="M8" t="s">
        <v>179</v>
      </c>
      <c r="N8" t="str">
        <f>INDEX(Products!B:B,MATCH(OrdersTable[[#This Row],[Product ID]],Products!A:A,0))</f>
        <v>Whey Protein 1kg</v>
      </c>
      <c r="O8" t="str">
        <f>INDEX(Products!C:C,MATCH(OrdersTable[[#This Row],[Product ID]],Products!A:A,0))</f>
        <v>Wellness</v>
      </c>
      <c r="P8">
        <v>4</v>
      </c>
      <c r="Q8" s="5">
        <v>2299</v>
      </c>
      <c r="R8" s="74">
        <v>0.35</v>
      </c>
      <c r="S8" s="75">
        <f>OrdersTable[[#This Row],[Quantity]]*OrdersTable[[#This Row],[Unit Price]]</f>
        <v>9196</v>
      </c>
      <c r="T8" s="5">
        <f>OrdersTable[[#This Row],[Gross Sale]]*OrdersTable[[#This Row],[Discount_Clean2]]</f>
        <v>3218.6</v>
      </c>
      <c r="U8" s="5">
        <f>OrdersTable[[#This Row],[Gross Sale]]-OrdersTable[[#This Row],[Discount Amount]]</f>
        <v>5977.4</v>
      </c>
      <c r="V8" s="77">
        <f>INDEX(Products!E:E,MATCH(OrdersTable[[#This Row],[Product ID]],Products!A:A,0))</f>
        <v>1333</v>
      </c>
      <c r="W8" s="77">
        <f>OrdersTable[[#This Row],[Quantity]]*OrdersTable[[#This Row],[Unit Cost]]</f>
        <v>5332</v>
      </c>
      <c r="X8" s="77">
        <f>'Dropdown Lists'!$I$2*(1+OrdersTable[[#This Row],[Returned]])</f>
        <v>60</v>
      </c>
      <c r="Y8" s="76">
        <f>OrdersTable[[#This Row],[Net Revenue]]-OrdersTable[[#This Row],[COGS]]-OrdersTable[[#This Row],[Shipping Cost]]</f>
        <v>585.39999999999964</v>
      </c>
      <c r="Z8" s="78">
        <f>IFERROR(OrdersTable[[#This Row],[Profit]]/OrdersTable[[#This Row],[Net Revenue]],0)</f>
        <v>9.7935557265700746E-2</v>
      </c>
      <c r="AA8" t="s">
        <v>2522</v>
      </c>
      <c r="AB8" s="79">
        <v>45298</v>
      </c>
      <c r="AC8">
        <f>OrdersTable[[#This Row],[Delivery Date]]-OrdersTable[[#This Row],[Order Date]]</f>
        <v>5</v>
      </c>
      <c r="AD8" t="str">
        <f>IF(OrdersTable[[#This Row],[Delivery Days]]&lt;=2, "Express (≤2d)", IF(OrdersTable[[#This Row],[Delivery Days]]&lt;=4, "Standard (3-4d)", "Delayed (5d+)"))</f>
        <v>Delayed (5d+)</v>
      </c>
      <c r="AE8">
        <v>4</v>
      </c>
      <c r="AF8">
        <v>0</v>
      </c>
    </row>
    <row r="9" spans="1:32" ht="15" x14ac:dyDescent="0.35">
      <c r="A9" t="s">
        <v>5469</v>
      </c>
      <c r="B9" s="1">
        <v>45293</v>
      </c>
      <c r="C9">
        <f>YEAR(OrdersTable[[#This Row],[Order Date]])</f>
        <v>2024</v>
      </c>
      <c r="D9" s="2">
        <f>DATE(YEAR(OrdersTable[[#This Row],[Order Date]]),MONTH(OrdersTable[[#This Row],[Order Date]]),1)</f>
        <v>45292</v>
      </c>
      <c r="E9">
        <f>MONTH(OrdersTable[[#This Row],[Order Date]])</f>
        <v>1</v>
      </c>
      <c r="F9" t="s">
        <v>1230</v>
      </c>
      <c r="G9" t="str">
        <f>IF(OrdersTable[[#This Row],[Order Date]]=_xlfn.MINIFS(Order_Date, Customer_ID, OrdersTable[[#This Row],[Customer ID]]), "New", "Repeat")</f>
        <v>New</v>
      </c>
      <c r="H9" t="s">
        <v>128</v>
      </c>
      <c r="I9" t="str">
        <f>INDEX(State!B:B,MATCH(OrdersTable[[#This Row],[State]],State!A:A,0))</f>
        <v>DL</v>
      </c>
      <c r="J9" t="str">
        <f>INDEX(State!C:C,MATCH(OrdersTable[[#This Row],[State Code]],State!B:B,0))</f>
        <v>North</v>
      </c>
      <c r="K9" t="s">
        <v>129</v>
      </c>
      <c r="L9" t="s">
        <v>39</v>
      </c>
      <c r="M9" t="s">
        <v>176</v>
      </c>
      <c r="N9" t="str">
        <f>INDEX(Products!B:B,MATCH(OrdersTable[[#This Row],[Product ID]],Products!A:A,0))</f>
        <v>Denim Jacket</v>
      </c>
      <c r="O9" t="str">
        <f>INDEX(Products!C:C,MATCH(OrdersTable[[#This Row],[Product ID]],Products!A:A,0))</f>
        <v>Apparel</v>
      </c>
      <c r="P9">
        <v>2</v>
      </c>
      <c r="Q9" s="5">
        <v>2499</v>
      </c>
      <c r="R9" s="74">
        <v>0.05</v>
      </c>
      <c r="S9" s="75">
        <f>OrdersTable[[#This Row],[Quantity]]*OrdersTable[[#This Row],[Unit Price]]</f>
        <v>4998</v>
      </c>
      <c r="T9" s="5">
        <f>OrdersTable[[#This Row],[Gross Sale]]*OrdersTable[[#This Row],[Discount_Clean2]]</f>
        <v>249.9</v>
      </c>
      <c r="U9" s="5">
        <f>OrdersTable[[#This Row],[Gross Sale]]-OrdersTable[[#This Row],[Discount Amount]]</f>
        <v>4748.1000000000004</v>
      </c>
      <c r="V9" s="77">
        <f>INDEX(Products!E:E,MATCH(OrdersTable[[#This Row],[Product ID]],Products!A:A,0))</f>
        <v>1125</v>
      </c>
      <c r="W9" s="77">
        <f>OrdersTable[[#This Row],[Quantity]]*OrdersTable[[#This Row],[Unit Cost]]</f>
        <v>2250</v>
      </c>
      <c r="X9" s="77">
        <f>'Dropdown Lists'!$I$2*(1+OrdersTable[[#This Row],[Returned]])</f>
        <v>60</v>
      </c>
      <c r="Y9" s="76">
        <f>OrdersTable[[#This Row],[Net Revenue]]-OrdersTable[[#This Row],[COGS]]-OrdersTable[[#This Row],[Shipping Cost]]</f>
        <v>2438.1000000000004</v>
      </c>
      <c r="Z9" s="78">
        <f>IFERROR(OrdersTable[[#This Row],[Profit]]/OrdersTable[[#This Row],[Net Revenue]],0)</f>
        <v>0.51348960636886343</v>
      </c>
      <c r="AA9" t="s">
        <v>2522</v>
      </c>
      <c r="AB9" s="79">
        <v>45295</v>
      </c>
      <c r="AC9">
        <f>OrdersTable[[#This Row],[Delivery Date]]-OrdersTable[[#This Row],[Order Date]]</f>
        <v>2</v>
      </c>
      <c r="AD9" t="str">
        <f>IF(OrdersTable[[#This Row],[Delivery Days]]&lt;=2, "Express (≤2d)", IF(OrdersTable[[#This Row],[Delivery Days]]&lt;=4, "Standard (3-4d)", "Delayed (5d+)"))</f>
        <v>Express (≤2d)</v>
      </c>
      <c r="AE9">
        <v>4</v>
      </c>
      <c r="AF9">
        <v>0</v>
      </c>
    </row>
    <row r="10" spans="1:32" ht="15" x14ac:dyDescent="0.35">
      <c r="A10" t="s">
        <v>1825</v>
      </c>
      <c r="B10" s="1">
        <v>45293</v>
      </c>
      <c r="C10">
        <f>YEAR(OrdersTable[[#This Row],[Order Date]])</f>
        <v>2024</v>
      </c>
      <c r="D10" s="2">
        <f>DATE(YEAR(OrdersTable[[#This Row],[Order Date]]),MONTH(OrdersTable[[#This Row],[Order Date]]),1)</f>
        <v>45292</v>
      </c>
      <c r="E10">
        <f>MONTH(OrdersTable[[#This Row],[Order Date]])</f>
        <v>1</v>
      </c>
      <c r="F10" t="s">
        <v>1796</v>
      </c>
      <c r="G10" t="str">
        <f>IF(OrdersTable[[#This Row],[Order Date]]=_xlfn.MINIFS(Order_Date, Customer_ID, OrdersTable[[#This Row],[Customer ID]]), "New", "Repeat")</f>
        <v>New</v>
      </c>
      <c r="H10" t="s">
        <v>123</v>
      </c>
      <c r="I10" t="str">
        <f>INDEX(State!B:B,MATCH(OrdersTable[[#This Row],[State]],State!A:A,0))</f>
        <v>JH</v>
      </c>
      <c r="J10" t="str">
        <f>INDEX(State!C:C,MATCH(OrdersTable[[#This Row],[State Code]],State!B:B,0))</f>
        <v>East</v>
      </c>
      <c r="K10" t="s">
        <v>124</v>
      </c>
      <c r="L10" t="s">
        <v>65</v>
      </c>
      <c r="M10" t="s">
        <v>152</v>
      </c>
      <c r="N10" t="str">
        <f>INDEX(Products!B:B,MATCH(OrdersTable[[#This Row],[Product ID]],Products!A:A,0))</f>
        <v>Green Tea (100 bags)</v>
      </c>
      <c r="O10" t="str">
        <f>INDEX(Products!C:C,MATCH(OrdersTable[[#This Row],[Product ID]],Products!A:A,0))</f>
        <v>Wellness</v>
      </c>
      <c r="P10">
        <v>1</v>
      </c>
      <c r="Q10" s="5">
        <v>399</v>
      </c>
      <c r="R10" s="74">
        <v>0.35</v>
      </c>
      <c r="S10" s="75">
        <f>OrdersTable[[#This Row],[Quantity]]*OrdersTable[[#This Row],[Unit Price]]</f>
        <v>399</v>
      </c>
      <c r="T10" s="5">
        <f>OrdersTable[[#This Row],[Gross Sale]]*OrdersTable[[#This Row],[Discount_Clean2]]</f>
        <v>139.64999999999998</v>
      </c>
      <c r="U10" s="5">
        <f>OrdersTable[[#This Row],[Gross Sale]]-OrdersTable[[#This Row],[Discount Amount]]</f>
        <v>259.35000000000002</v>
      </c>
      <c r="V10" s="77">
        <f>INDEX(Products!E:E,MATCH(OrdersTable[[#This Row],[Product ID]],Products!A:A,0))</f>
        <v>128</v>
      </c>
      <c r="W10" s="77">
        <f>OrdersTable[[#This Row],[Quantity]]*OrdersTable[[#This Row],[Unit Cost]]</f>
        <v>128</v>
      </c>
      <c r="X10" s="77">
        <f>'Dropdown Lists'!$I$2*(1+OrdersTable[[#This Row],[Returned]])</f>
        <v>60</v>
      </c>
      <c r="Y10" s="76">
        <f>OrdersTable[[#This Row],[Net Revenue]]-OrdersTable[[#This Row],[COGS]]-OrdersTable[[#This Row],[Shipping Cost]]</f>
        <v>71.350000000000023</v>
      </c>
      <c r="Z10" s="78">
        <f>IFERROR(OrdersTable[[#This Row],[Profit]]/OrdersTable[[#This Row],[Net Revenue]],0)</f>
        <v>0.27511085405822255</v>
      </c>
      <c r="AA10" t="s">
        <v>18</v>
      </c>
      <c r="AB10" s="79">
        <v>45298</v>
      </c>
      <c r="AC10">
        <f>OrdersTable[[#This Row],[Delivery Date]]-OrdersTable[[#This Row],[Order Date]]</f>
        <v>5</v>
      </c>
      <c r="AD10" t="str">
        <f>IF(OrdersTable[[#This Row],[Delivery Days]]&lt;=2, "Express (≤2d)", IF(OrdersTable[[#This Row],[Delivery Days]]&lt;=4, "Standard (3-4d)", "Delayed (5d+)"))</f>
        <v>Delayed (5d+)</v>
      </c>
      <c r="AE10">
        <v>3</v>
      </c>
      <c r="AF10">
        <v>0</v>
      </c>
    </row>
    <row r="11" spans="1:32" ht="15" x14ac:dyDescent="0.35">
      <c r="A11" t="s">
        <v>3141</v>
      </c>
      <c r="B11" s="1">
        <v>45293</v>
      </c>
      <c r="C11">
        <f>YEAR(OrdersTable[[#This Row],[Order Date]])</f>
        <v>2024</v>
      </c>
      <c r="D11" s="2">
        <f>DATE(YEAR(OrdersTable[[#This Row],[Order Date]]),MONTH(OrdersTable[[#This Row],[Order Date]]),1)</f>
        <v>45292</v>
      </c>
      <c r="E11">
        <f>MONTH(OrdersTable[[#This Row],[Order Date]])</f>
        <v>1</v>
      </c>
      <c r="F11" t="s">
        <v>3142</v>
      </c>
      <c r="G11" t="str">
        <f>IF(OrdersTable[[#This Row],[Order Date]]=_xlfn.MINIFS(Order_Date, Customer_ID, OrdersTable[[#This Row],[Customer ID]]), "New", "Repeat")</f>
        <v>New</v>
      </c>
      <c r="H11" t="s">
        <v>71</v>
      </c>
      <c r="I11" t="str">
        <f>INDEX(State!B:B,MATCH(OrdersTable[[#This Row],[State]],State!A:A,0))</f>
        <v>MH</v>
      </c>
      <c r="J11" t="str">
        <f>INDEX(State!C:C,MATCH(OrdersTable[[#This Row],[State Code]],State!B:B,0))</f>
        <v>West</v>
      </c>
      <c r="K11" t="s">
        <v>102</v>
      </c>
      <c r="L11" t="s">
        <v>23</v>
      </c>
      <c r="M11" t="s">
        <v>56</v>
      </c>
      <c r="N11" t="str">
        <f>INDEX(Products!B:B,MATCH(OrdersTable[[#This Row],[Product ID]],Products!A:A,0))</f>
        <v>Vitamin C Face Serum</v>
      </c>
      <c r="O11" t="str">
        <f>INDEX(Products!C:C,MATCH(OrdersTable[[#This Row],[Product ID]],Products!A:A,0))</f>
        <v>Skincare</v>
      </c>
      <c r="P11">
        <v>1</v>
      </c>
      <c r="Q11" s="5">
        <v>599</v>
      </c>
      <c r="R11" s="74">
        <v>0.15</v>
      </c>
      <c r="S11" s="75">
        <f>OrdersTable[[#This Row],[Quantity]]*OrdersTable[[#This Row],[Unit Price]]</f>
        <v>599</v>
      </c>
      <c r="T11" s="5">
        <f>OrdersTable[[#This Row],[Gross Sale]]*OrdersTable[[#This Row],[Discount_Clean2]]</f>
        <v>89.85</v>
      </c>
      <c r="U11" s="5">
        <f>OrdersTable[[#This Row],[Gross Sale]]-OrdersTable[[#This Row],[Discount Amount]]</f>
        <v>509.15</v>
      </c>
      <c r="V11" s="77">
        <f>INDEX(Products!E:E,MATCH(OrdersTable[[#This Row],[Product ID]],Products!A:A,0))</f>
        <v>180</v>
      </c>
      <c r="W11" s="77">
        <f>OrdersTable[[#This Row],[Quantity]]*OrdersTable[[#This Row],[Unit Cost]]</f>
        <v>180</v>
      </c>
      <c r="X11" s="77">
        <f>'Dropdown Lists'!$I$2*(1+OrdersTable[[#This Row],[Returned]])</f>
        <v>60</v>
      </c>
      <c r="Y11" s="76">
        <f>OrdersTable[[#This Row],[Net Revenue]]-OrdersTable[[#This Row],[COGS]]-OrdersTable[[#This Row],[Shipping Cost]]</f>
        <v>269.14999999999998</v>
      </c>
      <c r="Z11" s="78">
        <f>IFERROR(OrdersTable[[#This Row],[Profit]]/OrdersTable[[#This Row],[Net Revenue]],0)</f>
        <v>0.52862614160856325</v>
      </c>
      <c r="AA11" t="s">
        <v>2522</v>
      </c>
      <c r="AB11" s="79">
        <v>45296</v>
      </c>
      <c r="AC11">
        <f>OrdersTable[[#This Row],[Delivery Date]]-OrdersTable[[#This Row],[Order Date]]</f>
        <v>3</v>
      </c>
      <c r="AD11" t="str">
        <f>IF(OrdersTable[[#This Row],[Delivery Days]]&lt;=2, "Express (≤2d)", IF(OrdersTable[[#This Row],[Delivery Days]]&lt;=4, "Standard (3-4d)", "Delayed (5d+)"))</f>
        <v>Standard (3-4d)</v>
      </c>
      <c r="AE11">
        <v>4</v>
      </c>
      <c r="AF11">
        <v>0</v>
      </c>
    </row>
    <row r="12" spans="1:32" ht="15" x14ac:dyDescent="0.35">
      <c r="A12" t="s">
        <v>3143</v>
      </c>
      <c r="B12" s="1">
        <v>45293</v>
      </c>
      <c r="C12">
        <f>YEAR(OrdersTable[[#This Row],[Order Date]])</f>
        <v>2024</v>
      </c>
      <c r="D12" s="2">
        <f>DATE(YEAR(OrdersTable[[#This Row],[Order Date]]),MONTH(OrdersTable[[#This Row],[Order Date]]),1)</f>
        <v>45292</v>
      </c>
      <c r="E12">
        <f>MONTH(OrdersTable[[#This Row],[Order Date]])</f>
        <v>1</v>
      </c>
      <c r="F12" t="s">
        <v>70</v>
      </c>
      <c r="G12" t="str">
        <f>IF(OrdersTable[[#This Row],[Order Date]]=_xlfn.MINIFS(Order_Date, Customer_ID, OrdersTable[[#This Row],[Customer ID]]), "New", "Repeat")</f>
        <v>New</v>
      </c>
      <c r="H12" t="s">
        <v>275</v>
      </c>
      <c r="I12" t="str">
        <f>INDEX(State!B:B,MATCH(OrdersTable[[#This Row],[State]],State!A:A,0))</f>
        <v>AP</v>
      </c>
      <c r="J12" t="str">
        <f>INDEX(State!C:C,MATCH(OrdersTable[[#This Row],[State Code]],State!B:B,0))</f>
        <v>South</v>
      </c>
      <c r="K12" t="s">
        <v>276</v>
      </c>
      <c r="L12" t="s">
        <v>23</v>
      </c>
      <c r="M12" t="s">
        <v>84</v>
      </c>
      <c r="N12" t="str">
        <f>INDEX(Products!B:B,MATCH(OrdersTable[[#This Row],[Product ID]],Products!A:A,0))</f>
        <v>Cotton Bedsheet</v>
      </c>
      <c r="O12" t="str">
        <f>INDEX(Products!C:C,MATCH(OrdersTable[[#This Row],[Product ID]],Products!A:A,0))</f>
        <v>Home &amp; Kitchen</v>
      </c>
      <c r="P12">
        <v>1</v>
      </c>
      <c r="Q12" s="5">
        <v>1299</v>
      </c>
      <c r="R12" s="74">
        <v>0.05</v>
      </c>
      <c r="S12" s="75">
        <f>OrdersTable[[#This Row],[Quantity]]*OrdersTable[[#This Row],[Unit Price]]</f>
        <v>1299</v>
      </c>
      <c r="T12" s="5">
        <f>OrdersTable[[#This Row],[Gross Sale]]*OrdersTable[[#This Row],[Discount_Clean2]]</f>
        <v>64.95</v>
      </c>
      <c r="U12" s="5">
        <f>OrdersTable[[#This Row],[Gross Sale]]-OrdersTable[[#This Row],[Discount Amount]]</f>
        <v>1234.05</v>
      </c>
      <c r="V12" s="77">
        <f>INDEX(Products!E:E,MATCH(OrdersTable[[#This Row],[Product ID]],Products!A:A,0))</f>
        <v>585</v>
      </c>
      <c r="W12" s="77">
        <f>OrdersTable[[#This Row],[Quantity]]*OrdersTable[[#This Row],[Unit Cost]]</f>
        <v>585</v>
      </c>
      <c r="X12" s="77">
        <f>'Dropdown Lists'!$I$2*(1+OrdersTable[[#This Row],[Returned]])</f>
        <v>120</v>
      </c>
      <c r="Y12" s="76">
        <f>OrdersTable[[#This Row],[Net Revenue]]-OrdersTable[[#This Row],[COGS]]-OrdersTable[[#This Row],[Shipping Cost]]</f>
        <v>529.04999999999995</v>
      </c>
      <c r="Z12" s="78">
        <f>IFERROR(OrdersTable[[#This Row],[Profit]]/OrdersTable[[#This Row],[Net Revenue]],0)</f>
        <v>0.42871034398930347</v>
      </c>
      <c r="AA12" t="s">
        <v>2522</v>
      </c>
      <c r="AB12" s="79">
        <v>45296</v>
      </c>
      <c r="AC12">
        <f>OrdersTable[[#This Row],[Delivery Date]]-OrdersTable[[#This Row],[Order Date]]</f>
        <v>3</v>
      </c>
      <c r="AD12" t="str">
        <f>IF(OrdersTable[[#This Row],[Delivery Days]]&lt;=2, "Express (≤2d)", IF(OrdersTable[[#This Row],[Delivery Days]]&lt;=4, "Standard (3-4d)", "Delayed (5d+)"))</f>
        <v>Standard (3-4d)</v>
      </c>
      <c r="AE12">
        <v>4</v>
      </c>
      <c r="AF12">
        <v>1</v>
      </c>
    </row>
    <row r="13" spans="1:32" ht="15" x14ac:dyDescent="0.35">
      <c r="A13" t="s">
        <v>4741</v>
      </c>
      <c r="B13" s="1">
        <v>45294</v>
      </c>
      <c r="C13" s="80">
        <f>YEAR(OrdersTable[[#This Row],[Order Date]])</f>
        <v>2024</v>
      </c>
      <c r="D13" s="81">
        <f>DATE(YEAR(OrdersTable[[#This Row],[Order Date]]),MONTH(OrdersTable[[#This Row],[Order Date]]),1)</f>
        <v>45292</v>
      </c>
      <c r="E13" s="82">
        <f>MONTH(OrdersTable[[#This Row],[Order Date]])</f>
        <v>1</v>
      </c>
      <c r="F13" t="s">
        <v>2414</v>
      </c>
      <c r="G13" t="str">
        <f>IF(OrdersTable[[#This Row],[Order Date]]=_xlfn.MINIFS(Order_Date, Customer_ID, OrdersTable[[#This Row],[Customer ID]]), "New", "Repeat")</f>
        <v>New</v>
      </c>
      <c r="H13" t="s">
        <v>158</v>
      </c>
      <c r="I13" t="str">
        <f>INDEX(State!B:B,MATCH(OrdersTable[[#This Row],[State]],State!A:A,0))</f>
        <v>HP</v>
      </c>
      <c r="J13" t="str">
        <f>INDEX(State!C:C,MATCH(OrdersTable[[#This Row],[State Code]],State!B:B,0))</f>
        <v>North</v>
      </c>
      <c r="K13" t="s">
        <v>159</v>
      </c>
      <c r="L13" t="s">
        <v>16</v>
      </c>
      <c r="M13" t="s">
        <v>29</v>
      </c>
      <c r="N13" s="82" t="str">
        <f>INDEX(Products!B:B,MATCH(OrdersTable[[#This Row],[Product ID]],Products!A:A,0))</f>
        <v>Joggers</v>
      </c>
      <c r="O13" s="82" t="str">
        <f>INDEX(Products!C:C,MATCH(OrdersTable[[#This Row],[Product ID]],Products!A:A,0))</f>
        <v>Apparel</v>
      </c>
      <c r="P13">
        <v>2</v>
      </c>
      <c r="Q13" s="5">
        <v>1199</v>
      </c>
      <c r="R13" s="74">
        <v>0.2</v>
      </c>
      <c r="S13" s="75">
        <f>OrdersTable[[#This Row],[Quantity]]*OrdersTable[[#This Row],[Unit Price]]</f>
        <v>2398</v>
      </c>
      <c r="T13" s="5">
        <f>OrdersTable[[#This Row],[Gross Sale]]*OrdersTable[[#This Row],[Discount_Clean2]]</f>
        <v>479.6</v>
      </c>
      <c r="U13" s="5">
        <f>OrdersTable[[#This Row],[Gross Sale]]-OrdersTable[[#This Row],[Discount Amount]]</f>
        <v>1918.4</v>
      </c>
      <c r="V13" s="77">
        <f>INDEX(Products!E:E,MATCH(OrdersTable[[#This Row],[Product ID]],Products!A:A,0))</f>
        <v>492</v>
      </c>
      <c r="W13" s="77">
        <f>OrdersTable[[#This Row],[Quantity]]*OrdersTable[[#This Row],[Unit Cost]]</f>
        <v>984</v>
      </c>
      <c r="X13" s="77">
        <f>'Dropdown Lists'!$I$2*(1+OrdersTable[[#This Row],[Returned]])</f>
        <v>60</v>
      </c>
      <c r="Y13" s="76">
        <f>OrdersTable[[#This Row],[Net Revenue]]-OrdersTable[[#This Row],[COGS]]-OrdersTable[[#This Row],[Shipping Cost]]</f>
        <v>874.40000000000009</v>
      </c>
      <c r="Z13" s="78">
        <f>IFERROR(OrdersTable[[#This Row],[Profit]]/OrdersTable[[#This Row],[Net Revenue]],0)</f>
        <v>0.45579649708090075</v>
      </c>
      <c r="AA13" t="s">
        <v>4450</v>
      </c>
      <c r="AB13" s="79">
        <v>45300</v>
      </c>
      <c r="AC13">
        <f>OrdersTable[[#This Row],[Delivery Date]]-OrdersTable[[#This Row],[Order Date]]</f>
        <v>6</v>
      </c>
      <c r="AD13" t="str">
        <f>IF(OrdersTable[[#This Row],[Delivery Days]]&lt;=2, "Express (≤2d)", IF(OrdersTable[[#This Row],[Delivery Days]]&lt;=4, "Standard (3-4d)", "Delayed (5d+)"))</f>
        <v>Delayed (5d+)</v>
      </c>
      <c r="AE13">
        <v>3</v>
      </c>
      <c r="AF13">
        <v>0</v>
      </c>
    </row>
    <row r="14" spans="1:32" ht="15" x14ac:dyDescent="0.35">
      <c r="A14" t="s">
        <v>2863</v>
      </c>
      <c r="B14" s="1">
        <v>45294</v>
      </c>
      <c r="C14">
        <f>YEAR(OrdersTable[[#This Row],[Order Date]])</f>
        <v>2024</v>
      </c>
      <c r="D14" s="2">
        <f>DATE(YEAR(OrdersTable[[#This Row],[Order Date]]),MONTH(OrdersTable[[#This Row],[Order Date]]),1)</f>
        <v>45292</v>
      </c>
      <c r="E14">
        <f>MONTH(OrdersTable[[#This Row],[Order Date]])</f>
        <v>1</v>
      </c>
      <c r="F14" t="s">
        <v>1543</v>
      </c>
      <c r="G14" t="str">
        <f>IF(OrdersTable[[#This Row],[Order Date]]=_xlfn.MINIFS(Order_Date, Customer_ID, OrdersTable[[#This Row],[Customer ID]]), "New", "Repeat")</f>
        <v>New</v>
      </c>
      <c r="H14" t="s">
        <v>184</v>
      </c>
      <c r="I14" t="str">
        <f>INDEX(State!B:B,MATCH(OrdersTable[[#This Row],[State]],State!A:A,0))</f>
        <v>UK</v>
      </c>
      <c r="J14" t="str">
        <f>INDEX(State!C:C,MATCH(OrdersTable[[#This Row],[State Code]],State!B:B,0))</f>
        <v>North</v>
      </c>
      <c r="K14" t="s">
        <v>185</v>
      </c>
      <c r="L14" t="s">
        <v>39</v>
      </c>
      <c r="M14" t="s">
        <v>148</v>
      </c>
      <c r="N14" t="str">
        <f>INDEX(Products!B:B,MATCH(OrdersTable[[#This Row],[Product ID]],Products!A:A,0))</f>
        <v>Smartwatch Strap</v>
      </c>
      <c r="O14" t="str">
        <f>INDEX(Products!C:C,MATCH(OrdersTable[[#This Row],[Product ID]],Products!A:A,0))</f>
        <v>Electronics</v>
      </c>
      <c r="P14">
        <v>1</v>
      </c>
      <c r="Q14" s="5">
        <v>499</v>
      </c>
      <c r="R14" s="74">
        <v>0.15</v>
      </c>
      <c r="S14" s="75">
        <f>OrdersTable[[#This Row],[Quantity]]*OrdersTable[[#This Row],[Unit Price]]</f>
        <v>499</v>
      </c>
      <c r="T14" s="5">
        <f>OrdersTable[[#This Row],[Gross Sale]]*OrdersTable[[#This Row],[Discount_Clean2]]</f>
        <v>74.849999999999994</v>
      </c>
      <c r="U14" s="5">
        <f>OrdersTable[[#This Row],[Gross Sale]]-OrdersTable[[#This Row],[Discount Amount]]</f>
        <v>424.15</v>
      </c>
      <c r="V14" s="77">
        <f>INDEX(Products!E:E,MATCH(OrdersTable[[#This Row],[Product ID]],Products!A:A,0))</f>
        <v>200</v>
      </c>
      <c r="W14" s="77">
        <f>OrdersTable[[#This Row],[Quantity]]*OrdersTable[[#This Row],[Unit Cost]]</f>
        <v>200</v>
      </c>
      <c r="X14" s="77">
        <f>'Dropdown Lists'!$I$2*(1+OrdersTable[[#This Row],[Returned]])</f>
        <v>60</v>
      </c>
      <c r="Y14" s="76">
        <f>OrdersTable[[#This Row],[Net Revenue]]-OrdersTable[[#This Row],[COGS]]-OrdersTable[[#This Row],[Shipping Cost]]</f>
        <v>164.14999999999998</v>
      </c>
      <c r="Z14" s="78">
        <f>IFERROR(OrdersTable[[#This Row],[Profit]]/OrdersTable[[#This Row],[Net Revenue]],0)</f>
        <v>0.38700931274313327</v>
      </c>
      <c r="AA14" t="s">
        <v>2522</v>
      </c>
      <c r="AB14" s="79">
        <v>45298</v>
      </c>
      <c r="AC14">
        <f>OrdersTable[[#This Row],[Delivery Date]]-OrdersTable[[#This Row],[Order Date]]</f>
        <v>4</v>
      </c>
      <c r="AD14" t="str">
        <f>IF(OrdersTable[[#This Row],[Delivery Days]]&lt;=2, "Express (≤2d)", IF(OrdersTable[[#This Row],[Delivery Days]]&lt;=4, "Standard (3-4d)", "Delayed (5d+)"))</f>
        <v>Standard (3-4d)</v>
      </c>
      <c r="AF14">
        <v>0</v>
      </c>
    </row>
    <row r="15" spans="1:32" ht="15" x14ac:dyDescent="0.35">
      <c r="A15" t="s">
        <v>3494</v>
      </c>
      <c r="B15" s="1">
        <v>45294</v>
      </c>
      <c r="C15">
        <f>YEAR(OrdersTable[[#This Row],[Order Date]])</f>
        <v>2024</v>
      </c>
      <c r="D15" s="2">
        <f>DATE(YEAR(OrdersTable[[#This Row],[Order Date]]),MONTH(OrdersTable[[#This Row],[Order Date]]),1)</f>
        <v>45292</v>
      </c>
      <c r="E15">
        <f>MONTH(OrdersTable[[#This Row],[Order Date]])</f>
        <v>1</v>
      </c>
      <c r="F15" t="s">
        <v>686</v>
      </c>
      <c r="G15" t="str">
        <f>IF(OrdersTable[[#This Row],[Order Date]]=_xlfn.MINIFS(Order_Date, Customer_ID, OrdersTable[[#This Row],[Customer ID]]), "New", "Repeat")</f>
        <v>New</v>
      </c>
      <c r="H15" t="s">
        <v>482</v>
      </c>
      <c r="I15" t="str">
        <f>INDEX(State!B:B,MATCH(OrdersTable[[#This Row],[State]],State!A:A,0))</f>
        <v>CG</v>
      </c>
      <c r="J15" t="str">
        <f>INDEX(State!C:C,MATCH(OrdersTable[[#This Row],[State Code]],State!B:B,0))</f>
        <v>East</v>
      </c>
      <c r="K15" t="s">
        <v>483</v>
      </c>
      <c r="L15" t="s">
        <v>23</v>
      </c>
      <c r="M15" t="s">
        <v>205</v>
      </c>
      <c r="N15" t="str">
        <f>INDEX(Products!B:B,MATCH(OrdersTable[[#This Row],[Product ID]],Products!A:A,0))</f>
        <v>Running Shoes</v>
      </c>
      <c r="O15" t="str">
        <f>INDEX(Products!C:C,MATCH(OrdersTable[[#This Row],[Product ID]],Products!A:A,0))</f>
        <v>Footwear</v>
      </c>
      <c r="P15">
        <v>1</v>
      </c>
      <c r="Q15" s="5">
        <v>2999</v>
      </c>
      <c r="R15" s="74">
        <v>0.25</v>
      </c>
      <c r="S15" s="75">
        <f>OrdersTable[[#This Row],[Quantity]]*OrdersTable[[#This Row],[Unit Price]]</f>
        <v>2999</v>
      </c>
      <c r="T15" s="5">
        <f>OrdersTable[[#This Row],[Gross Sale]]*OrdersTable[[#This Row],[Discount_Clean2]]</f>
        <v>749.75</v>
      </c>
      <c r="U15" s="5">
        <f>OrdersTable[[#This Row],[Gross Sale]]-OrdersTable[[#This Row],[Discount Amount]]</f>
        <v>2249.25</v>
      </c>
      <c r="V15" s="77">
        <f>INDEX(Products!E:E,MATCH(OrdersTable[[#This Row],[Product ID]],Products!A:A,0))</f>
        <v>1440</v>
      </c>
      <c r="W15" s="77">
        <f>OrdersTable[[#This Row],[Quantity]]*OrdersTable[[#This Row],[Unit Cost]]</f>
        <v>1440</v>
      </c>
      <c r="X15" s="77">
        <f>'Dropdown Lists'!$I$2*(1+OrdersTable[[#This Row],[Returned]])</f>
        <v>60</v>
      </c>
      <c r="Y15" s="76">
        <f>OrdersTable[[#This Row],[Net Revenue]]-OrdersTable[[#This Row],[COGS]]-OrdersTable[[#This Row],[Shipping Cost]]</f>
        <v>749.25</v>
      </c>
      <c r="Z15" s="78">
        <f>IFERROR(OrdersTable[[#This Row],[Profit]]/OrdersTable[[#This Row],[Net Revenue]],0)</f>
        <v>0.33311103701233746</v>
      </c>
      <c r="AA15" t="s">
        <v>3495</v>
      </c>
      <c r="AB15" s="79">
        <v>45298</v>
      </c>
      <c r="AC15">
        <f>OrdersTable[[#This Row],[Delivery Date]]-OrdersTable[[#This Row],[Order Date]]</f>
        <v>4</v>
      </c>
      <c r="AD15" t="str">
        <f>IF(OrdersTable[[#This Row],[Delivery Days]]&lt;=2, "Express (≤2d)", IF(OrdersTable[[#This Row],[Delivery Days]]&lt;=4, "Standard (3-4d)", "Delayed (5d+)"))</f>
        <v>Standard (3-4d)</v>
      </c>
      <c r="AE15">
        <v>4</v>
      </c>
      <c r="AF15">
        <v>0</v>
      </c>
    </row>
    <row r="16" spans="1:32" ht="15" x14ac:dyDescent="0.35">
      <c r="A16" t="s">
        <v>12</v>
      </c>
      <c r="B16" s="1">
        <v>45294</v>
      </c>
      <c r="C16">
        <f>YEAR(OrdersTable[[#This Row],[Order Date]])</f>
        <v>2024</v>
      </c>
      <c r="D16" s="2">
        <f>DATE(YEAR(OrdersTable[[#This Row],[Order Date]]),MONTH(OrdersTable[[#This Row],[Order Date]]),1)</f>
        <v>45292</v>
      </c>
      <c r="E16">
        <f>MONTH(OrdersTable[[#This Row],[Order Date]])</f>
        <v>1</v>
      </c>
      <c r="F16" t="s">
        <v>13</v>
      </c>
      <c r="G16" t="str">
        <f>IF(OrdersTable[[#This Row],[Order Date]]=_xlfn.MINIFS(Order_Date, Customer_ID, OrdersTable[[#This Row],[Customer ID]]), "New", "Repeat")</f>
        <v>New</v>
      </c>
      <c r="H16" t="s">
        <v>14</v>
      </c>
      <c r="I16" t="str">
        <f>INDEX(State!B:B,MATCH(OrdersTable[[#This Row],[State]],State!A:A,0))</f>
        <v>OD</v>
      </c>
      <c r="J16" t="str">
        <f>INDEX(State!C:C,MATCH(OrdersTable[[#This Row],[State Code]],State!B:B,0))</f>
        <v>East</v>
      </c>
      <c r="K16" t="s">
        <v>15</v>
      </c>
      <c r="L16" t="s">
        <v>16</v>
      </c>
      <c r="M16" t="s">
        <v>17</v>
      </c>
      <c r="N16" t="str">
        <f>INDEX(Products!B:B,MATCH(OrdersTable[[#This Row],[Product ID]],Products!A:A,0))</f>
        <v>Casual Sneakers</v>
      </c>
      <c r="O16" t="str">
        <f>INDEX(Products!C:C,MATCH(OrdersTable[[#This Row],[Product ID]],Products!A:A,0))</f>
        <v>Footwear</v>
      </c>
      <c r="P16">
        <v>1</v>
      </c>
      <c r="Q16" s="5">
        <v>2199</v>
      </c>
      <c r="R16" s="74">
        <v>0.25</v>
      </c>
      <c r="S16" s="75">
        <f>OrdersTable[[#This Row],[Quantity]]*OrdersTable[[#This Row],[Unit Price]]</f>
        <v>2199</v>
      </c>
      <c r="T16" s="5">
        <f>OrdersTable[[#This Row],[Gross Sale]]*OrdersTable[[#This Row],[Discount_Clean2]]</f>
        <v>549.75</v>
      </c>
      <c r="U16" s="5">
        <f>OrdersTable[[#This Row],[Gross Sale]]-OrdersTable[[#This Row],[Discount Amount]]</f>
        <v>1649.25</v>
      </c>
      <c r="V16" s="77">
        <f>INDEX(Products!E:E,MATCH(OrdersTable[[#This Row],[Product ID]],Products!A:A,0))</f>
        <v>1034</v>
      </c>
      <c r="W16" s="77">
        <f>OrdersTable[[#This Row],[Quantity]]*OrdersTable[[#This Row],[Unit Cost]]</f>
        <v>1034</v>
      </c>
      <c r="X16" s="77">
        <f>'Dropdown Lists'!$I$2*(1+OrdersTable[[#This Row],[Returned]])</f>
        <v>60</v>
      </c>
      <c r="Y16" s="76">
        <f>OrdersTable[[#This Row],[Net Revenue]]-OrdersTable[[#This Row],[COGS]]-OrdersTable[[#This Row],[Shipping Cost]]</f>
        <v>555.25</v>
      </c>
      <c r="Z16" s="78">
        <f>IFERROR(OrdersTable[[#This Row],[Profit]]/OrdersTable[[#This Row],[Net Revenue]],0)</f>
        <v>0.33666818250720026</v>
      </c>
      <c r="AA16" t="s">
        <v>18</v>
      </c>
      <c r="AB16" s="79">
        <v>45300</v>
      </c>
      <c r="AC16">
        <f>OrdersTable[[#This Row],[Delivery Date]]-OrdersTable[[#This Row],[Order Date]]</f>
        <v>6</v>
      </c>
      <c r="AD16" t="str">
        <f>IF(OrdersTable[[#This Row],[Delivery Days]]&lt;=2, "Express (≤2d)", IF(OrdersTable[[#This Row],[Delivery Days]]&lt;=4, "Standard (3-4d)", "Delayed (5d+)"))</f>
        <v>Delayed (5d+)</v>
      </c>
      <c r="AE16">
        <v>4</v>
      </c>
      <c r="AF16">
        <v>0</v>
      </c>
    </row>
    <row r="17" spans="1:32" ht="15" x14ac:dyDescent="0.35">
      <c r="A17" t="s">
        <v>4644</v>
      </c>
      <c r="B17" s="1">
        <v>45294</v>
      </c>
      <c r="C17">
        <f>YEAR(OrdersTable[[#This Row],[Order Date]])</f>
        <v>2024</v>
      </c>
      <c r="D17" s="2">
        <f>DATE(YEAR(OrdersTable[[#This Row],[Order Date]]),MONTH(OrdersTable[[#This Row],[Order Date]]),1)</f>
        <v>45292</v>
      </c>
      <c r="E17">
        <f>MONTH(OrdersTable[[#This Row],[Order Date]])</f>
        <v>1</v>
      </c>
      <c r="F17" t="s">
        <v>4645</v>
      </c>
      <c r="G17" t="str">
        <f>IF(OrdersTable[[#This Row],[Order Date]]=_xlfn.MINIFS(Order_Date, Customer_ID, OrdersTable[[#This Row],[Customer ID]]), "New", "Repeat")</f>
        <v>New</v>
      </c>
      <c r="H17" t="s">
        <v>167</v>
      </c>
      <c r="I17" t="str">
        <f>INDEX(State!B:B,MATCH(OrdersTable[[#This Row],[State]],State!A:A,0))</f>
        <v>KA</v>
      </c>
      <c r="J17" t="str">
        <f>INDEX(State!C:C,MATCH(OrdersTable[[#This Row],[State Code]],State!B:B,0))</f>
        <v>South</v>
      </c>
      <c r="K17" t="s">
        <v>190</v>
      </c>
      <c r="L17" t="s">
        <v>39</v>
      </c>
      <c r="M17" t="s">
        <v>24</v>
      </c>
      <c r="N17" t="str">
        <f>INDEX(Products!B:B,MATCH(OrdersTable[[#This Row],[Product ID]],Products!A:A,0))</f>
        <v>Scented Candle Set</v>
      </c>
      <c r="O17" t="str">
        <f>INDEX(Products!C:C,MATCH(OrdersTable[[#This Row],[Product ID]],Products!A:A,0))</f>
        <v>Home &amp; Kitchen</v>
      </c>
      <c r="P17">
        <v>1</v>
      </c>
      <c r="Q17" s="5">
        <v>699</v>
      </c>
      <c r="R17" s="74">
        <v>0.1</v>
      </c>
      <c r="S17" s="75">
        <f>OrdersTable[[#This Row],[Quantity]]*OrdersTable[[#This Row],[Unit Price]]</f>
        <v>699</v>
      </c>
      <c r="T17" s="5">
        <f>OrdersTable[[#This Row],[Gross Sale]]*OrdersTable[[#This Row],[Discount_Clean2]]</f>
        <v>69.900000000000006</v>
      </c>
      <c r="U17" s="5">
        <f>OrdersTable[[#This Row],[Gross Sale]]-OrdersTable[[#This Row],[Discount Amount]]</f>
        <v>629.1</v>
      </c>
      <c r="V17" s="77">
        <f>INDEX(Products!E:E,MATCH(OrdersTable[[#This Row],[Product ID]],Products!A:A,0))</f>
        <v>245</v>
      </c>
      <c r="W17" s="77">
        <f>OrdersTable[[#This Row],[Quantity]]*OrdersTable[[#This Row],[Unit Cost]]</f>
        <v>245</v>
      </c>
      <c r="X17" s="77">
        <f>'Dropdown Lists'!$I$2*(1+OrdersTable[[#This Row],[Returned]])</f>
        <v>60</v>
      </c>
      <c r="Y17" s="76">
        <f>OrdersTable[[#This Row],[Net Revenue]]-OrdersTable[[#This Row],[COGS]]-OrdersTable[[#This Row],[Shipping Cost]]</f>
        <v>324.10000000000002</v>
      </c>
      <c r="Z17" s="78">
        <f>IFERROR(OrdersTable[[#This Row],[Profit]]/OrdersTable[[#This Row],[Net Revenue]],0)</f>
        <v>0.51518041646797008</v>
      </c>
      <c r="AA17" t="s">
        <v>4450</v>
      </c>
      <c r="AB17" s="79">
        <v>45296</v>
      </c>
      <c r="AC17">
        <f>OrdersTable[[#This Row],[Delivery Date]]-OrdersTable[[#This Row],[Order Date]]</f>
        <v>2</v>
      </c>
      <c r="AD17" t="str">
        <f>IF(OrdersTable[[#This Row],[Delivery Days]]&lt;=2, "Express (≤2d)", IF(OrdersTable[[#This Row],[Delivery Days]]&lt;=4, "Standard (3-4d)", "Delayed (5d+)"))</f>
        <v>Express (≤2d)</v>
      </c>
      <c r="AE17">
        <v>3</v>
      </c>
      <c r="AF17">
        <v>0</v>
      </c>
    </row>
    <row r="18" spans="1:32" ht="15" x14ac:dyDescent="0.35">
      <c r="A18" t="s">
        <v>6837</v>
      </c>
      <c r="B18" s="1">
        <v>45295</v>
      </c>
      <c r="C18">
        <f>YEAR(OrdersTable[[#This Row],[Order Date]])</f>
        <v>2024</v>
      </c>
      <c r="D18" s="2">
        <f>DATE(YEAR(OrdersTable[[#This Row],[Order Date]]),MONTH(OrdersTable[[#This Row],[Order Date]]),1)</f>
        <v>45292</v>
      </c>
      <c r="E18">
        <f>MONTH(OrdersTable[[#This Row],[Order Date]])</f>
        <v>1</v>
      </c>
      <c r="F18" t="s">
        <v>2542</v>
      </c>
      <c r="G18" t="str">
        <f>IF(OrdersTable[[#This Row],[Order Date]]=_xlfn.MINIFS(Order_Date, Customer_ID, OrdersTable[[#This Row],[Customer ID]]), "New", "Repeat")</f>
        <v>New</v>
      </c>
      <c r="H18" t="s">
        <v>128</v>
      </c>
      <c r="I18" t="str">
        <f>INDEX(State!B:B,MATCH(OrdersTable[[#This Row],[State]],State!A:A,0))</f>
        <v>DL</v>
      </c>
      <c r="J18" t="str">
        <f>INDEX(State!C:C,MATCH(OrdersTable[[#This Row],[State Code]],State!B:B,0))</f>
        <v>North</v>
      </c>
      <c r="K18" t="s">
        <v>129</v>
      </c>
      <c r="L18" t="s">
        <v>65</v>
      </c>
      <c r="M18" t="s">
        <v>87</v>
      </c>
      <c r="N18" t="str">
        <f>INDEX(Products!B:B,MATCH(OrdersTable[[#This Row],[Product ID]],Products!A:A,0))</f>
        <v>Linen Kurta</v>
      </c>
      <c r="O18" t="str">
        <f>INDEX(Products!C:C,MATCH(OrdersTable[[#This Row],[Product ID]],Products!A:A,0))</f>
        <v>Apparel</v>
      </c>
      <c r="P18">
        <v>3</v>
      </c>
      <c r="Q18" s="5">
        <v>1499</v>
      </c>
      <c r="R18" s="74">
        <v>0.4</v>
      </c>
      <c r="S18" s="75">
        <f>OrdersTable[[#This Row],[Quantity]]*OrdersTable[[#This Row],[Unit Price]]</f>
        <v>4497</v>
      </c>
      <c r="T18" s="5">
        <f>OrdersTable[[#This Row],[Gross Sale]]*OrdersTable[[#This Row],[Discount_Clean2]]</f>
        <v>1798.8000000000002</v>
      </c>
      <c r="U18" s="5">
        <f>OrdersTable[[#This Row],[Gross Sale]]-OrdersTable[[#This Row],[Discount Amount]]</f>
        <v>2698.2</v>
      </c>
      <c r="V18" s="77">
        <f>INDEX(Products!E:E,MATCH(OrdersTable[[#This Row],[Product ID]],Products!A:A,0))</f>
        <v>630</v>
      </c>
      <c r="W18" s="77">
        <f>OrdersTable[[#This Row],[Quantity]]*OrdersTable[[#This Row],[Unit Cost]]</f>
        <v>1890</v>
      </c>
      <c r="X18" s="77">
        <f>'Dropdown Lists'!$I$2*(1+OrdersTable[[#This Row],[Returned]])</f>
        <v>60</v>
      </c>
      <c r="Y18" s="76">
        <f>OrdersTable[[#This Row],[Net Revenue]]-OrdersTable[[#This Row],[COGS]]-OrdersTable[[#This Row],[Shipping Cost]]</f>
        <v>748.19999999999982</v>
      </c>
      <c r="Z18" s="78">
        <f>IFERROR(OrdersTable[[#This Row],[Profit]]/OrdersTable[[#This Row],[Net Revenue]],0)</f>
        <v>0.27729597509450737</v>
      </c>
      <c r="AA18" t="s">
        <v>4074</v>
      </c>
      <c r="AB18" s="79">
        <v>45296</v>
      </c>
      <c r="AC18">
        <f>OrdersTable[[#This Row],[Delivery Date]]-OrdersTable[[#This Row],[Order Date]]</f>
        <v>1</v>
      </c>
      <c r="AD18" t="str">
        <f>IF(OrdersTable[[#This Row],[Delivery Days]]&lt;=2, "Express (≤2d)", IF(OrdersTable[[#This Row],[Delivery Days]]&lt;=4, "Standard (3-4d)", "Delayed (5d+)"))</f>
        <v>Express (≤2d)</v>
      </c>
      <c r="AE18">
        <v>4</v>
      </c>
      <c r="AF18">
        <v>0</v>
      </c>
    </row>
    <row r="19" spans="1:32" ht="15" x14ac:dyDescent="0.35">
      <c r="A19" t="s">
        <v>6755</v>
      </c>
      <c r="B19" s="1">
        <v>45295</v>
      </c>
      <c r="C19">
        <f>YEAR(OrdersTable[[#This Row],[Order Date]])</f>
        <v>2024</v>
      </c>
      <c r="D19" s="2">
        <f>DATE(YEAR(OrdersTable[[#This Row],[Order Date]]),MONTH(OrdersTable[[#This Row],[Order Date]]),1)</f>
        <v>45292</v>
      </c>
      <c r="E19">
        <f>MONTH(OrdersTable[[#This Row],[Order Date]])</f>
        <v>1</v>
      </c>
      <c r="F19" t="s">
        <v>5959</v>
      </c>
      <c r="G19" t="str">
        <f>IF(OrdersTable[[#This Row],[Order Date]]=_xlfn.MINIFS(Order_Date, Customer_ID, OrdersTable[[#This Row],[Customer ID]]), "New", "Repeat")</f>
        <v>New</v>
      </c>
      <c r="H19" t="s">
        <v>32</v>
      </c>
      <c r="I19" t="str">
        <f>INDEX(State!B:B,MATCH(OrdersTable[[#This Row],[State]],State!A:A,0))</f>
        <v>BR</v>
      </c>
      <c r="J19" t="str">
        <f>INDEX(State!C:C,MATCH(OrdersTable[[#This Row],[State Code]],State!B:B,0))</f>
        <v>East</v>
      </c>
      <c r="K19" t="s">
        <v>33</v>
      </c>
      <c r="L19" t="s">
        <v>23</v>
      </c>
      <c r="M19" t="s">
        <v>92</v>
      </c>
      <c r="N19" t="str">
        <f>INDEX(Products!B:B,MATCH(OrdersTable[[#This Row],[Product ID]],Products!A:A,0))</f>
        <v>Kolhapuri Sandals</v>
      </c>
      <c r="O19" t="str">
        <f>INDEX(Products!C:C,MATCH(OrdersTable[[#This Row],[Product ID]],Products!A:A,0))</f>
        <v>Footwear</v>
      </c>
      <c r="P19">
        <v>3</v>
      </c>
      <c r="Q19" s="5">
        <v>999</v>
      </c>
      <c r="R19" s="74">
        <v>0.1</v>
      </c>
      <c r="S19" s="75">
        <f>OrdersTable[[#This Row],[Quantity]]*OrdersTable[[#This Row],[Unit Price]]</f>
        <v>2997</v>
      </c>
      <c r="T19" s="5">
        <f>OrdersTable[[#This Row],[Gross Sale]]*OrdersTable[[#This Row],[Discount_Clean2]]</f>
        <v>299.7</v>
      </c>
      <c r="U19" s="5">
        <f>OrdersTable[[#This Row],[Gross Sale]]-OrdersTable[[#This Row],[Discount Amount]]</f>
        <v>2697.3</v>
      </c>
      <c r="V19" s="77">
        <f>INDEX(Products!E:E,MATCH(OrdersTable[[#This Row],[Product ID]],Products!A:A,0))</f>
        <v>400</v>
      </c>
      <c r="W19" s="77">
        <f>OrdersTable[[#This Row],[Quantity]]*OrdersTable[[#This Row],[Unit Cost]]</f>
        <v>1200</v>
      </c>
      <c r="X19" s="77">
        <f>'Dropdown Lists'!$I$2*(1+OrdersTable[[#This Row],[Returned]])</f>
        <v>120</v>
      </c>
      <c r="Y19" s="76">
        <f>OrdersTable[[#This Row],[Net Revenue]]-OrdersTable[[#This Row],[COGS]]-OrdersTable[[#This Row],[Shipping Cost]]</f>
        <v>1377.3000000000002</v>
      </c>
      <c r="Z19" s="78">
        <f>IFERROR(OrdersTable[[#This Row],[Profit]]/OrdersTable[[#This Row],[Net Revenue]],0)</f>
        <v>0.51062173284395507</v>
      </c>
      <c r="AA19" t="s">
        <v>3495</v>
      </c>
      <c r="AB19" s="79">
        <v>45300</v>
      </c>
      <c r="AC19">
        <f>OrdersTable[[#This Row],[Delivery Date]]-OrdersTable[[#This Row],[Order Date]]</f>
        <v>5</v>
      </c>
      <c r="AD19" t="str">
        <f>IF(OrdersTable[[#This Row],[Delivery Days]]&lt;=2, "Express (≤2d)", IF(OrdersTable[[#This Row],[Delivery Days]]&lt;=4, "Standard (3-4d)", "Delayed (5d+)"))</f>
        <v>Delayed (5d+)</v>
      </c>
      <c r="AE19">
        <v>4</v>
      </c>
      <c r="AF19">
        <v>1</v>
      </c>
    </row>
    <row r="20" spans="1:32" ht="15" x14ac:dyDescent="0.35">
      <c r="A20" t="s">
        <v>5653</v>
      </c>
      <c r="B20" s="1">
        <v>45295</v>
      </c>
      <c r="C20">
        <f>YEAR(OrdersTable[[#This Row],[Order Date]])</f>
        <v>2024</v>
      </c>
      <c r="D20" s="2">
        <f>DATE(YEAR(OrdersTable[[#This Row],[Order Date]]),MONTH(OrdersTable[[#This Row],[Order Date]]),1)</f>
        <v>45292</v>
      </c>
      <c r="E20">
        <f>MONTH(OrdersTable[[#This Row],[Order Date]])</f>
        <v>1</v>
      </c>
      <c r="F20" t="s">
        <v>135</v>
      </c>
      <c r="G20" t="str">
        <f>IF(OrdersTable[[#This Row],[Order Date]]=_xlfn.MINIFS(Order_Date, Customer_ID, OrdersTable[[#This Row],[Customer ID]]), "New", "Repeat")</f>
        <v>New</v>
      </c>
      <c r="H20" t="s">
        <v>32</v>
      </c>
      <c r="I20" t="str">
        <f>INDEX(State!B:B,MATCH(OrdersTable[[#This Row],[State]],State!A:A,0))</f>
        <v>BR</v>
      </c>
      <c r="J20" t="str">
        <f>INDEX(State!C:C,MATCH(OrdersTable[[#This Row],[State Code]],State!B:B,0))</f>
        <v>East</v>
      </c>
      <c r="K20" t="s">
        <v>33</v>
      </c>
      <c r="L20" t="s">
        <v>50</v>
      </c>
      <c r="M20" t="s">
        <v>106</v>
      </c>
      <c r="N20" t="str">
        <f>INDEX(Products!B:B,MATCH(OrdersTable[[#This Row],[Product ID]],Products!A:A,0))</f>
        <v>Keratin Hair Mask</v>
      </c>
      <c r="O20" t="str">
        <f>INDEX(Products!C:C,MATCH(OrdersTable[[#This Row],[Product ID]],Products!A:A,0))</f>
        <v>Haircare</v>
      </c>
      <c r="P20">
        <v>2</v>
      </c>
      <c r="Q20" s="5">
        <v>549</v>
      </c>
      <c r="R20" s="74">
        <v>0.2</v>
      </c>
      <c r="S20" s="75">
        <f>OrdersTable[[#This Row],[Quantity]]*OrdersTable[[#This Row],[Unit Price]]</f>
        <v>1098</v>
      </c>
      <c r="T20" s="5">
        <f>OrdersTable[[#This Row],[Gross Sale]]*OrdersTable[[#This Row],[Discount_Clean2]]</f>
        <v>219.60000000000002</v>
      </c>
      <c r="U20" s="5">
        <f>OrdersTable[[#This Row],[Gross Sale]]-OrdersTable[[#This Row],[Discount Amount]]</f>
        <v>878.4</v>
      </c>
      <c r="V20" s="77">
        <f>INDEX(Products!E:E,MATCH(OrdersTable[[#This Row],[Product ID]],Products!A:A,0))</f>
        <v>170</v>
      </c>
      <c r="W20" s="77">
        <f>OrdersTable[[#This Row],[Quantity]]*OrdersTable[[#This Row],[Unit Cost]]</f>
        <v>340</v>
      </c>
      <c r="X20" s="77">
        <f>'Dropdown Lists'!$I$2*(1+OrdersTable[[#This Row],[Returned]])</f>
        <v>60</v>
      </c>
      <c r="Y20" s="76">
        <f>OrdersTable[[#This Row],[Net Revenue]]-OrdersTable[[#This Row],[COGS]]-OrdersTable[[#This Row],[Shipping Cost]]</f>
        <v>478.4</v>
      </c>
      <c r="Z20" s="78">
        <f>IFERROR(OrdersTable[[#This Row],[Profit]]/OrdersTable[[#This Row],[Net Revenue]],0)</f>
        <v>0.54462659380692169</v>
      </c>
      <c r="AA20" t="s">
        <v>18</v>
      </c>
      <c r="AB20" s="79">
        <v>45300</v>
      </c>
      <c r="AC20">
        <f>OrdersTable[[#This Row],[Delivery Date]]-OrdersTable[[#This Row],[Order Date]]</f>
        <v>5</v>
      </c>
      <c r="AD20" t="str">
        <f>IF(OrdersTable[[#This Row],[Delivery Days]]&lt;=2, "Express (≤2d)", IF(OrdersTable[[#This Row],[Delivery Days]]&lt;=4, "Standard (3-4d)", "Delayed (5d+)"))</f>
        <v>Delayed (5d+)</v>
      </c>
      <c r="AE20">
        <v>3</v>
      </c>
      <c r="AF20">
        <v>0</v>
      </c>
    </row>
    <row r="21" spans="1:32" ht="15" x14ac:dyDescent="0.35">
      <c r="A21" t="s">
        <v>3840</v>
      </c>
      <c r="B21" s="1">
        <v>45295</v>
      </c>
      <c r="C21">
        <f>YEAR(OrdersTable[[#This Row],[Order Date]])</f>
        <v>2024</v>
      </c>
      <c r="D21" s="2">
        <f>DATE(YEAR(OrdersTable[[#This Row],[Order Date]]),MONTH(OrdersTable[[#This Row],[Order Date]]),1)</f>
        <v>45292</v>
      </c>
      <c r="E21">
        <f>MONTH(OrdersTable[[#This Row],[Order Date]])</f>
        <v>1</v>
      </c>
      <c r="F21" t="s">
        <v>1037</v>
      </c>
      <c r="G21" t="str">
        <f>IF(OrdersTable[[#This Row],[Order Date]]=_xlfn.MINIFS(Order_Date, Customer_ID, OrdersTable[[#This Row],[Customer ID]]), "New", "Repeat")</f>
        <v>New</v>
      </c>
      <c r="H21" t="s">
        <v>43</v>
      </c>
      <c r="I21" t="str">
        <f>INDEX(State!B:B,MATCH(OrdersTable[[#This Row],[State]],State!A:A,0))</f>
        <v>MP</v>
      </c>
      <c r="J21" t="str">
        <f>INDEX(State!C:C,MATCH(OrdersTable[[#This Row],[State Code]],State!B:B,0))</f>
        <v>West</v>
      </c>
      <c r="K21" t="s">
        <v>250</v>
      </c>
      <c r="L21" t="s">
        <v>39</v>
      </c>
      <c r="M21" t="s">
        <v>125</v>
      </c>
      <c r="N21" t="str">
        <f>INDEX(Products!B:B,MATCH(OrdersTable[[#This Row],[Product ID]],Products!A:A,0))</f>
        <v>Copper Water Bottle</v>
      </c>
      <c r="O21" t="str">
        <f>INDEX(Products!C:C,MATCH(OrdersTable[[#This Row],[Product ID]],Products!A:A,0))</f>
        <v>Home &amp; Kitchen</v>
      </c>
      <c r="P21">
        <v>1</v>
      </c>
      <c r="Q21" s="5">
        <v>899</v>
      </c>
      <c r="R21" s="74">
        <v>0.1</v>
      </c>
      <c r="S21" s="75">
        <f>OrdersTable[[#This Row],[Quantity]]*OrdersTable[[#This Row],[Unit Price]]</f>
        <v>899</v>
      </c>
      <c r="T21" s="5">
        <f>OrdersTable[[#This Row],[Gross Sale]]*OrdersTable[[#This Row],[Discount_Clean2]]</f>
        <v>89.9</v>
      </c>
      <c r="U21" s="5">
        <f>OrdersTable[[#This Row],[Gross Sale]]-OrdersTable[[#This Row],[Discount Amount]]</f>
        <v>809.1</v>
      </c>
      <c r="V21" s="77">
        <f>INDEX(Products!E:E,MATCH(OrdersTable[[#This Row],[Product ID]],Products!A:A,0))</f>
        <v>378</v>
      </c>
      <c r="W21" s="77">
        <f>OrdersTable[[#This Row],[Quantity]]*OrdersTable[[#This Row],[Unit Cost]]</f>
        <v>378</v>
      </c>
      <c r="X21" s="77">
        <f>'Dropdown Lists'!$I$2*(1+OrdersTable[[#This Row],[Returned]])</f>
        <v>60</v>
      </c>
      <c r="Y21" s="76">
        <f>OrdersTable[[#This Row],[Net Revenue]]-OrdersTable[[#This Row],[COGS]]-OrdersTable[[#This Row],[Shipping Cost]]</f>
        <v>371.1</v>
      </c>
      <c r="Z21" s="78">
        <f>IFERROR(OrdersTable[[#This Row],[Profit]]/OrdersTable[[#This Row],[Net Revenue]],0)</f>
        <v>0.45865776789024842</v>
      </c>
      <c r="AA21" t="s">
        <v>3495</v>
      </c>
      <c r="AB21" s="79">
        <v>45298</v>
      </c>
      <c r="AC21">
        <f>OrdersTable[[#This Row],[Delivery Date]]-OrdersTable[[#This Row],[Order Date]]</f>
        <v>3</v>
      </c>
      <c r="AD21" t="str">
        <f>IF(OrdersTable[[#This Row],[Delivery Days]]&lt;=2, "Express (≤2d)", IF(OrdersTable[[#This Row],[Delivery Days]]&lt;=4, "Standard (3-4d)", "Delayed (5d+)"))</f>
        <v>Standard (3-4d)</v>
      </c>
      <c r="AE21">
        <v>3</v>
      </c>
      <c r="AF21">
        <v>0</v>
      </c>
    </row>
    <row r="22" spans="1:32" ht="15" x14ac:dyDescent="0.35">
      <c r="A22" t="s">
        <v>2194</v>
      </c>
      <c r="B22" s="1">
        <v>45295</v>
      </c>
      <c r="C22">
        <f>YEAR(OrdersTable[[#This Row],[Order Date]])</f>
        <v>2024</v>
      </c>
      <c r="D22" s="2">
        <f>DATE(YEAR(OrdersTable[[#This Row],[Order Date]]),MONTH(OrdersTable[[#This Row],[Order Date]]),1)</f>
        <v>45292</v>
      </c>
      <c r="E22">
        <f>MONTH(OrdersTable[[#This Row],[Order Date]])</f>
        <v>1</v>
      </c>
      <c r="F22" t="s">
        <v>2195</v>
      </c>
      <c r="G22" t="str">
        <f>IF(OrdersTable[[#This Row],[Order Date]]=_xlfn.MINIFS(Order_Date, Customer_ID, OrdersTable[[#This Row],[Customer ID]]), "New", "Repeat")</f>
        <v>New</v>
      </c>
      <c r="H22" t="s">
        <v>14</v>
      </c>
      <c r="I22" t="str">
        <f>INDEX(State!B:B,MATCH(OrdersTable[[#This Row],[State]],State!A:A,0))</f>
        <v>OD</v>
      </c>
      <c r="J22" t="str">
        <f>INDEX(State!C:C,MATCH(OrdersTable[[#This Row],[State Code]],State!B:B,0))</f>
        <v>East</v>
      </c>
      <c r="K22" t="s">
        <v>15</v>
      </c>
      <c r="L22" t="s">
        <v>65</v>
      </c>
      <c r="M22" t="s">
        <v>152</v>
      </c>
      <c r="N22" t="str">
        <f>INDEX(Products!B:B,MATCH(OrdersTable[[#This Row],[Product ID]],Products!A:A,0))</f>
        <v>Green Tea (100 bags)</v>
      </c>
      <c r="O22" t="str">
        <f>INDEX(Products!C:C,MATCH(OrdersTable[[#This Row],[Product ID]],Products!A:A,0))</f>
        <v>Wellness</v>
      </c>
      <c r="P22">
        <v>1</v>
      </c>
      <c r="Q22" s="5">
        <v>399</v>
      </c>
      <c r="R22" s="74">
        <v>0.3</v>
      </c>
      <c r="S22" s="75">
        <f>OrdersTable[[#This Row],[Quantity]]*OrdersTable[[#This Row],[Unit Price]]</f>
        <v>399</v>
      </c>
      <c r="T22" s="5">
        <f>OrdersTable[[#This Row],[Gross Sale]]*OrdersTable[[#This Row],[Discount_Clean2]]</f>
        <v>119.69999999999999</v>
      </c>
      <c r="U22" s="5">
        <f>OrdersTable[[#This Row],[Gross Sale]]-OrdersTable[[#This Row],[Discount Amount]]</f>
        <v>279.3</v>
      </c>
      <c r="V22" s="77">
        <f>INDEX(Products!E:E,MATCH(OrdersTable[[#This Row],[Product ID]],Products!A:A,0))</f>
        <v>128</v>
      </c>
      <c r="W22" s="77">
        <f>OrdersTable[[#This Row],[Quantity]]*OrdersTable[[#This Row],[Unit Cost]]</f>
        <v>128</v>
      </c>
      <c r="X22" s="77">
        <f>'Dropdown Lists'!$I$2*(1+OrdersTable[[#This Row],[Returned]])</f>
        <v>60</v>
      </c>
      <c r="Y22" s="76">
        <f>OrdersTable[[#This Row],[Net Revenue]]-OrdersTable[[#This Row],[COGS]]-OrdersTable[[#This Row],[Shipping Cost]]</f>
        <v>91.300000000000011</v>
      </c>
      <c r="Z22" s="78">
        <f>IFERROR(OrdersTable[[#This Row],[Profit]]/OrdersTable[[#This Row],[Net Revenue]],0)</f>
        <v>0.32688865019692093</v>
      </c>
      <c r="AA22" t="s">
        <v>18</v>
      </c>
      <c r="AB22" s="79">
        <v>45298</v>
      </c>
      <c r="AC22">
        <f>OrdersTable[[#This Row],[Delivery Date]]-OrdersTable[[#This Row],[Order Date]]</f>
        <v>3</v>
      </c>
      <c r="AD22" t="str">
        <f>IF(OrdersTable[[#This Row],[Delivery Days]]&lt;=2, "Express (≤2d)", IF(OrdersTable[[#This Row],[Delivery Days]]&lt;=4, "Standard (3-4d)", "Delayed (5d+)"))</f>
        <v>Standard (3-4d)</v>
      </c>
      <c r="AE22">
        <v>5</v>
      </c>
      <c r="AF22">
        <v>0</v>
      </c>
    </row>
    <row r="23" spans="1:32" ht="15" x14ac:dyDescent="0.35">
      <c r="A23" t="s">
        <v>6659</v>
      </c>
      <c r="B23" s="1">
        <v>45295</v>
      </c>
      <c r="C23">
        <f>YEAR(OrdersTable[[#This Row],[Order Date]])</f>
        <v>2024</v>
      </c>
      <c r="D23" s="2">
        <f>DATE(YEAR(OrdersTable[[#This Row],[Order Date]]),MONTH(OrdersTable[[#This Row],[Order Date]]),1)</f>
        <v>45292</v>
      </c>
      <c r="E23">
        <f>MONTH(OrdersTable[[#This Row],[Order Date]])</f>
        <v>1</v>
      </c>
      <c r="F23" t="s">
        <v>611</v>
      </c>
      <c r="G23" t="str">
        <f>IF(OrdersTable[[#This Row],[Order Date]]=_xlfn.MINIFS(Order_Date, Customer_ID, OrdersTable[[#This Row],[Customer ID]]), "New", "Repeat")</f>
        <v>New</v>
      </c>
      <c r="H23" t="s">
        <v>167</v>
      </c>
      <c r="I23" t="str">
        <f>INDEX(State!B:B,MATCH(OrdersTable[[#This Row],[State]],State!A:A,0))</f>
        <v>KA</v>
      </c>
      <c r="J23" t="str">
        <f>INDEX(State!C:C,MATCH(OrdersTable[[#This Row],[State Code]],State!B:B,0))</f>
        <v>South</v>
      </c>
      <c r="K23" t="s">
        <v>190</v>
      </c>
      <c r="L23" t="s">
        <v>39</v>
      </c>
      <c r="M23" t="s">
        <v>576</v>
      </c>
      <c r="N23" t="str">
        <f>INDEX(Products!B:B,MATCH(OrdersTable[[#This Row],[Product ID]],Products!A:A,0))</f>
        <v>Printed Saree</v>
      </c>
      <c r="O23" t="str">
        <f>INDEX(Products!C:C,MATCH(OrdersTable[[#This Row],[Product ID]],Products!A:A,0))</f>
        <v>Apparel</v>
      </c>
      <c r="P23">
        <v>3</v>
      </c>
      <c r="Q23" s="5">
        <v>1999</v>
      </c>
      <c r="R23" s="74">
        <v>0.1</v>
      </c>
      <c r="S23" s="75">
        <f>OrdersTable[[#This Row],[Quantity]]*OrdersTable[[#This Row],[Unit Price]]</f>
        <v>5997</v>
      </c>
      <c r="T23" s="5">
        <f>OrdersTable[[#This Row],[Gross Sale]]*OrdersTable[[#This Row],[Discount_Clean2]]</f>
        <v>599.70000000000005</v>
      </c>
      <c r="U23" s="5">
        <f>OrdersTable[[#This Row],[Gross Sale]]-OrdersTable[[#This Row],[Discount Amount]]</f>
        <v>5397.3</v>
      </c>
      <c r="V23" s="77">
        <f>INDEX(Products!E:E,MATCH(OrdersTable[[#This Row],[Product ID]],Products!A:A,0))</f>
        <v>880</v>
      </c>
      <c r="W23" s="77">
        <f>OrdersTable[[#This Row],[Quantity]]*OrdersTable[[#This Row],[Unit Cost]]</f>
        <v>2640</v>
      </c>
      <c r="X23" s="77">
        <f>'Dropdown Lists'!$I$2*(1+OrdersTable[[#This Row],[Returned]])</f>
        <v>60</v>
      </c>
      <c r="Y23" s="76">
        <f>OrdersTable[[#This Row],[Net Revenue]]-OrdersTable[[#This Row],[COGS]]-OrdersTable[[#This Row],[Shipping Cost]]</f>
        <v>2697.3</v>
      </c>
      <c r="Z23" s="78">
        <f>IFERROR(OrdersTable[[#This Row],[Profit]]/OrdersTable[[#This Row],[Net Revenue]],0)</f>
        <v>0.49974987493746875</v>
      </c>
      <c r="AA23" t="s">
        <v>2522</v>
      </c>
      <c r="AB23" s="79">
        <v>45298</v>
      </c>
      <c r="AC23">
        <f>OrdersTable[[#This Row],[Delivery Date]]-OrdersTable[[#This Row],[Order Date]]</f>
        <v>3</v>
      </c>
      <c r="AD23" t="str">
        <f>IF(OrdersTable[[#This Row],[Delivery Days]]&lt;=2, "Express (≤2d)", IF(OrdersTable[[#This Row],[Delivery Days]]&lt;=4, "Standard (3-4d)", "Delayed (5d+)"))</f>
        <v>Standard (3-4d)</v>
      </c>
      <c r="AE23">
        <v>4</v>
      </c>
      <c r="AF23">
        <v>0</v>
      </c>
    </row>
    <row r="24" spans="1:32" ht="15" x14ac:dyDescent="0.35">
      <c r="A24" t="s">
        <v>1616</v>
      </c>
      <c r="B24" s="1">
        <v>45295</v>
      </c>
      <c r="C24">
        <f>YEAR(OrdersTable[[#This Row],[Order Date]])</f>
        <v>2024</v>
      </c>
      <c r="D24" s="2">
        <f>DATE(YEAR(OrdersTable[[#This Row],[Order Date]]),MONTH(OrdersTable[[#This Row],[Order Date]]),1)</f>
        <v>45292</v>
      </c>
      <c r="E24">
        <f>MONTH(OrdersTable[[#This Row],[Order Date]])</f>
        <v>1</v>
      </c>
      <c r="F24" t="s">
        <v>1617</v>
      </c>
      <c r="G24" t="str">
        <f>IF(OrdersTable[[#This Row],[Order Date]]=_xlfn.MINIFS(Order_Date, Customer_ID, OrdersTable[[#This Row],[Customer ID]]), "New", "Repeat")</f>
        <v>New</v>
      </c>
      <c r="H24" t="s">
        <v>167</v>
      </c>
      <c r="I24" t="str">
        <f>INDEX(State!B:B,MATCH(OrdersTable[[#This Row],[State]],State!A:A,0))</f>
        <v>KA</v>
      </c>
      <c r="J24" t="str">
        <f>INDEX(State!C:C,MATCH(OrdersTable[[#This Row],[State Code]],State!B:B,0))</f>
        <v>South</v>
      </c>
      <c r="K24" t="s">
        <v>190</v>
      </c>
      <c r="L24" t="s">
        <v>65</v>
      </c>
      <c r="M24" t="s">
        <v>106</v>
      </c>
      <c r="N24" t="str">
        <f>INDEX(Products!B:B,MATCH(OrdersTable[[#This Row],[Product ID]],Products!A:A,0))</f>
        <v>Keratin Hair Mask</v>
      </c>
      <c r="O24" t="str">
        <f>INDEX(Products!C:C,MATCH(OrdersTable[[#This Row],[Product ID]],Products!A:A,0))</f>
        <v>Haircare</v>
      </c>
      <c r="P24">
        <v>1</v>
      </c>
      <c r="Q24" s="5">
        <v>549</v>
      </c>
      <c r="R24" s="74">
        <v>0.25</v>
      </c>
      <c r="S24" s="75">
        <f>OrdersTable[[#This Row],[Quantity]]*OrdersTable[[#This Row],[Unit Price]]</f>
        <v>549</v>
      </c>
      <c r="T24" s="5">
        <f>OrdersTable[[#This Row],[Gross Sale]]*OrdersTable[[#This Row],[Discount_Clean2]]</f>
        <v>137.25</v>
      </c>
      <c r="U24" s="5">
        <f>OrdersTable[[#This Row],[Gross Sale]]-OrdersTable[[#This Row],[Discount Amount]]</f>
        <v>411.75</v>
      </c>
      <c r="V24" s="77">
        <f>INDEX(Products!E:E,MATCH(OrdersTable[[#This Row],[Product ID]],Products!A:A,0))</f>
        <v>170</v>
      </c>
      <c r="W24" s="77">
        <f>OrdersTable[[#This Row],[Quantity]]*OrdersTable[[#This Row],[Unit Cost]]</f>
        <v>170</v>
      </c>
      <c r="X24" s="77">
        <f>'Dropdown Lists'!$I$2*(1+OrdersTable[[#This Row],[Returned]])</f>
        <v>60</v>
      </c>
      <c r="Y24" s="76">
        <f>OrdersTable[[#This Row],[Net Revenue]]-OrdersTable[[#This Row],[COGS]]-OrdersTable[[#This Row],[Shipping Cost]]</f>
        <v>181.75</v>
      </c>
      <c r="Z24" s="78">
        <f>IFERROR(OrdersTable[[#This Row],[Profit]]/OrdersTable[[#This Row],[Net Revenue]],0)</f>
        <v>0.44140862173649059</v>
      </c>
      <c r="AA24" t="s">
        <v>18</v>
      </c>
      <c r="AB24" s="79">
        <v>45297</v>
      </c>
      <c r="AC24">
        <f>OrdersTable[[#This Row],[Delivery Date]]-OrdersTable[[#This Row],[Order Date]]</f>
        <v>2</v>
      </c>
      <c r="AD24" t="str">
        <f>IF(OrdersTable[[#This Row],[Delivery Days]]&lt;=2, "Express (≤2d)", IF(OrdersTable[[#This Row],[Delivery Days]]&lt;=4, "Standard (3-4d)", "Delayed (5d+)"))</f>
        <v>Express (≤2d)</v>
      </c>
      <c r="AF24">
        <v>0</v>
      </c>
    </row>
    <row r="25" spans="1:32" ht="15" x14ac:dyDescent="0.35">
      <c r="A25" t="s">
        <v>4742</v>
      </c>
      <c r="B25" s="1">
        <v>45295</v>
      </c>
      <c r="C25">
        <f>YEAR(OrdersTable[[#This Row],[Order Date]])</f>
        <v>2024</v>
      </c>
      <c r="D25" s="2">
        <f>DATE(YEAR(OrdersTable[[#This Row],[Order Date]]),MONTH(OrdersTable[[#This Row],[Order Date]]),1)</f>
        <v>45292</v>
      </c>
      <c r="E25">
        <f>MONTH(OrdersTable[[#This Row],[Order Date]])</f>
        <v>1</v>
      </c>
      <c r="F25" t="s">
        <v>4743</v>
      </c>
      <c r="G25" t="str">
        <f>IF(OrdersTable[[#This Row],[Order Date]]=_xlfn.MINIFS(Order_Date, Customer_ID, OrdersTable[[#This Row],[Customer ID]]), "New", "Repeat")</f>
        <v>New</v>
      </c>
      <c r="H25" t="s">
        <v>316</v>
      </c>
      <c r="I25" t="str">
        <f>INDEX(State!B:B,MATCH(OrdersTable[[#This Row],[State]],State!A:A,0))</f>
        <v>KL</v>
      </c>
      <c r="J25" t="str">
        <f>INDEX(State!C:C,MATCH(OrdersTable[[#This Row],[State Code]],State!B:B,0))</f>
        <v>South</v>
      </c>
      <c r="K25" t="s">
        <v>317</v>
      </c>
      <c r="L25" t="s">
        <v>23</v>
      </c>
      <c r="M25" t="s">
        <v>66</v>
      </c>
      <c r="N25" t="str">
        <f>INDEX(Products!B:B,MATCH(OrdersTable[[#This Row],[Product ID]],Products!A:A,0))</f>
        <v>Sunscreen SPF 50</v>
      </c>
      <c r="O25" t="str">
        <f>INDEX(Products!C:C,MATCH(OrdersTable[[#This Row],[Product ID]],Products!A:A,0))</f>
        <v>Skincare</v>
      </c>
      <c r="P25">
        <v>2</v>
      </c>
      <c r="Q25" s="5">
        <v>449</v>
      </c>
      <c r="R25" s="74">
        <v>0.05</v>
      </c>
      <c r="S25" s="75">
        <f>OrdersTable[[#This Row],[Quantity]]*OrdersTable[[#This Row],[Unit Price]]</f>
        <v>898</v>
      </c>
      <c r="T25" s="5">
        <f>OrdersTable[[#This Row],[Gross Sale]]*OrdersTable[[#This Row],[Discount_Clean2]]</f>
        <v>44.900000000000006</v>
      </c>
      <c r="U25" s="5">
        <f>OrdersTable[[#This Row],[Gross Sale]]-OrdersTable[[#This Row],[Discount Amount]]</f>
        <v>853.1</v>
      </c>
      <c r="V25" s="77">
        <f>INDEX(Products!E:E,MATCH(OrdersTable[[#This Row],[Product ID]],Products!A:A,0))</f>
        <v>144</v>
      </c>
      <c r="W25" s="77">
        <f>OrdersTable[[#This Row],[Quantity]]*OrdersTable[[#This Row],[Unit Cost]]</f>
        <v>288</v>
      </c>
      <c r="X25" s="77">
        <f>'Dropdown Lists'!$I$2*(1+OrdersTable[[#This Row],[Returned]])</f>
        <v>60</v>
      </c>
      <c r="Y25" s="76">
        <f>OrdersTable[[#This Row],[Net Revenue]]-OrdersTable[[#This Row],[COGS]]-OrdersTable[[#This Row],[Shipping Cost]]</f>
        <v>505.1</v>
      </c>
      <c r="Z25" s="78">
        <f>IFERROR(OrdersTable[[#This Row],[Profit]]/OrdersTable[[#This Row],[Net Revenue]],0)</f>
        <v>0.59207595826983939</v>
      </c>
      <c r="AA25" t="s">
        <v>4450</v>
      </c>
      <c r="AB25" s="79">
        <v>45297</v>
      </c>
      <c r="AC25">
        <f>OrdersTable[[#This Row],[Delivery Date]]-OrdersTable[[#This Row],[Order Date]]</f>
        <v>2</v>
      </c>
      <c r="AD25" t="str">
        <f>IF(OrdersTable[[#This Row],[Delivery Days]]&lt;=2, "Express (≤2d)", IF(OrdersTable[[#This Row],[Delivery Days]]&lt;=4, "Standard (3-4d)", "Delayed (5d+)"))</f>
        <v>Express (≤2d)</v>
      </c>
      <c r="AE25">
        <v>3</v>
      </c>
      <c r="AF25">
        <v>0</v>
      </c>
    </row>
    <row r="26" spans="1:32" ht="15" x14ac:dyDescent="0.35">
      <c r="A26" t="s">
        <v>2196</v>
      </c>
      <c r="B26" s="1">
        <v>45296</v>
      </c>
      <c r="C26">
        <f>YEAR(OrdersTable[[#This Row],[Order Date]])</f>
        <v>2024</v>
      </c>
      <c r="D26" s="2">
        <f>DATE(YEAR(OrdersTable[[#This Row],[Order Date]]),MONTH(OrdersTable[[#This Row],[Order Date]]),1)</f>
        <v>45292</v>
      </c>
      <c r="E26">
        <f>MONTH(OrdersTable[[#This Row],[Order Date]])</f>
        <v>1</v>
      </c>
      <c r="F26" t="s">
        <v>2197</v>
      </c>
      <c r="G26" t="str">
        <f>IF(OrdersTable[[#This Row],[Order Date]]=_xlfn.MINIFS(Order_Date, Customer_ID, OrdersTable[[#This Row],[Customer ID]]), "New", "Repeat")</f>
        <v>New</v>
      </c>
      <c r="H26" t="s">
        <v>54</v>
      </c>
      <c r="I26" t="str">
        <f>INDEX(State!B:B,MATCH(OrdersTable[[#This Row],[State]],State!A:A,0))</f>
        <v>RJ</v>
      </c>
      <c r="J26" t="str">
        <f>INDEX(State!C:C,MATCH(OrdersTable[[#This Row],[State Code]],State!B:B,0))</f>
        <v>North</v>
      </c>
      <c r="K26" t="s">
        <v>55</v>
      </c>
      <c r="L26" t="s">
        <v>23</v>
      </c>
      <c r="M26" t="s">
        <v>17</v>
      </c>
      <c r="N26" t="str">
        <f>INDEX(Products!B:B,MATCH(OrdersTable[[#This Row],[Product ID]],Products!A:A,0))</f>
        <v>Casual Sneakers</v>
      </c>
      <c r="O26" t="str">
        <f>INDEX(Products!C:C,MATCH(OrdersTable[[#This Row],[Product ID]],Products!A:A,0))</f>
        <v>Footwear</v>
      </c>
      <c r="P26">
        <v>1</v>
      </c>
      <c r="Q26" s="5">
        <v>2199</v>
      </c>
      <c r="R26" s="74">
        <v>0.15</v>
      </c>
      <c r="S26" s="75">
        <f>OrdersTable[[#This Row],[Quantity]]*OrdersTable[[#This Row],[Unit Price]]</f>
        <v>2199</v>
      </c>
      <c r="T26" s="5">
        <f>OrdersTable[[#This Row],[Gross Sale]]*OrdersTable[[#This Row],[Discount_Clean2]]</f>
        <v>329.84999999999997</v>
      </c>
      <c r="U26" s="5">
        <f>OrdersTable[[#This Row],[Gross Sale]]-OrdersTable[[#This Row],[Discount Amount]]</f>
        <v>1869.15</v>
      </c>
      <c r="V26" s="77">
        <f>INDEX(Products!E:E,MATCH(OrdersTable[[#This Row],[Product ID]],Products!A:A,0))</f>
        <v>1034</v>
      </c>
      <c r="W26" s="77">
        <f>OrdersTable[[#This Row],[Quantity]]*OrdersTable[[#This Row],[Unit Cost]]</f>
        <v>1034</v>
      </c>
      <c r="X26" s="77">
        <f>'Dropdown Lists'!$I$2*(1+OrdersTable[[#This Row],[Returned]])</f>
        <v>60</v>
      </c>
      <c r="Y26" s="76">
        <f>OrdersTable[[#This Row],[Net Revenue]]-OrdersTable[[#This Row],[COGS]]-OrdersTable[[#This Row],[Shipping Cost]]</f>
        <v>775.15000000000009</v>
      </c>
      <c r="Z26" s="78">
        <f>IFERROR(OrdersTable[[#This Row],[Profit]]/OrdersTable[[#This Row],[Net Revenue]],0)</f>
        <v>0.41470721985929437</v>
      </c>
      <c r="AA26" t="s">
        <v>18</v>
      </c>
      <c r="AB26" s="79">
        <v>45297</v>
      </c>
      <c r="AC26">
        <f>OrdersTable[[#This Row],[Delivery Date]]-OrdersTable[[#This Row],[Order Date]]</f>
        <v>1</v>
      </c>
      <c r="AD26" t="str">
        <f>IF(OrdersTable[[#This Row],[Delivery Days]]&lt;=2, "Express (≤2d)", IF(OrdersTable[[#This Row],[Delivery Days]]&lt;=4, "Standard (3-4d)", "Delayed (5d+)"))</f>
        <v>Express (≤2d)</v>
      </c>
      <c r="AE26">
        <v>5</v>
      </c>
      <c r="AF26">
        <v>0</v>
      </c>
    </row>
    <row r="27" spans="1:32" ht="15" x14ac:dyDescent="0.35">
      <c r="A27" t="s">
        <v>428</v>
      </c>
      <c r="B27" s="1">
        <v>45296</v>
      </c>
      <c r="C27">
        <f>YEAR(OrdersTable[[#This Row],[Order Date]])</f>
        <v>2024</v>
      </c>
      <c r="D27" s="2">
        <f>DATE(YEAR(OrdersTable[[#This Row],[Order Date]]),MONTH(OrdersTable[[#This Row],[Order Date]]),1)</f>
        <v>45292</v>
      </c>
      <c r="E27">
        <f>MONTH(OrdersTable[[#This Row],[Order Date]])</f>
        <v>1</v>
      </c>
      <c r="F27" t="s">
        <v>429</v>
      </c>
      <c r="G27" t="str">
        <f>IF(OrdersTable[[#This Row],[Order Date]]=_xlfn.MINIFS(Order_Date, Customer_ID, OrdersTable[[#This Row],[Customer ID]]), "New", "Repeat")</f>
        <v>New</v>
      </c>
      <c r="H27" t="s">
        <v>48</v>
      </c>
      <c r="I27" t="str">
        <f>INDEX(State!B:B,MATCH(OrdersTable[[#This Row],[State]],State!A:A,0))</f>
        <v>HR</v>
      </c>
      <c r="J27" t="str">
        <f>INDEX(State!C:C,MATCH(OrdersTable[[#This Row],[State Code]],State!B:B,0))</f>
        <v>North</v>
      </c>
      <c r="K27" t="s">
        <v>151</v>
      </c>
      <c r="L27" t="s">
        <v>50</v>
      </c>
      <c r="M27" t="s">
        <v>45</v>
      </c>
      <c r="N27" t="str">
        <f>INDEX(Products!B:B,MATCH(OrdersTable[[#This Row],[Product ID]],Products!A:A,0))</f>
        <v>Argan Shampoo</v>
      </c>
      <c r="O27" t="str">
        <f>INDEX(Products!C:C,MATCH(OrdersTable[[#This Row],[Product ID]],Products!A:A,0))</f>
        <v>Haircare</v>
      </c>
      <c r="P27">
        <v>1</v>
      </c>
      <c r="Q27" s="5">
        <v>449</v>
      </c>
      <c r="R27" s="74">
        <v>0</v>
      </c>
      <c r="S27" s="75">
        <f>OrdersTable[[#This Row],[Quantity]]*OrdersTable[[#This Row],[Unit Price]]</f>
        <v>449</v>
      </c>
      <c r="T27" s="5">
        <f>OrdersTable[[#This Row],[Gross Sale]]*OrdersTable[[#This Row],[Discount_Clean2]]</f>
        <v>0</v>
      </c>
      <c r="U27" s="5">
        <f>OrdersTable[[#This Row],[Gross Sale]]-OrdersTable[[#This Row],[Discount Amount]]</f>
        <v>449</v>
      </c>
      <c r="V27" s="77">
        <f>INDEX(Products!E:E,MATCH(OrdersTable[[#This Row],[Product ID]],Products!A:A,0))</f>
        <v>148</v>
      </c>
      <c r="W27" s="77">
        <f>OrdersTable[[#This Row],[Quantity]]*OrdersTable[[#This Row],[Unit Cost]]</f>
        <v>148</v>
      </c>
      <c r="X27" s="77">
        <f>'Dropdown Lists'!$I$2*(1+OrdersTable[[#This Row],[Returned]])</f>
        <v>60</v>
      </c>
      <c r="Y27" s="76">
        <f>OrdersTable[[#This Row],[Net Revenue]]-OrdersTable[[#This Row],[COGS]]-OrdersTable[[#This Row],[Shipping Cost]]</f>
        <v>241</v>
      </c>
      <c r="Z27" s="78">
        <f>IFERROR(OrdersTable[[#This Row],[Profit]]/OrdersTable[[#This Row],[Net Revenue]],0)</f>
        <v>0.53674832962138086</v>
      </c>
      <c r="AA27" t="s">
        <v>18</v>
      </c>
      <c r="AB27" s="79">
        <v>45300</v>
      </c>
      <c r="AC27">
        <f>OrdersTable[[#This Row],[Delivery Date]]-OrdersTable[[#This Row],[Order Date]]</f>
        <v>4</v>
      </c>
      <c r="AD27" t="str">
        <f>IF(OrdersTable[[#This Row],[Delivery Days]]&lt;=2, "Express (≤2d)", IF(OrdersTable[[#This Row],[Delivery Days]]&lt;=4, "Standard (3-4d)", "Delayed (5d+)"))</f>
        <v>Standard (3-4d)</v>
      </c>
      <c r="AE27">
        <v>4</v>
      </c>
      <c r="AF27">
        <v>0</v>
      </c>
    </row>
    <row r="28" spans="1:32" ht="15" x14ac:dyDescent="0.35">
      <c r="A28" t="s">
        <v>6245</v>
      </c>
      <c r="B28" s="1">
        <v>45296</v>
      </c>
      <c r="C28">
        <f>YEAR(OrdersTable[[#This Row],[Order Date]])</f>
        <v>2024</v>
      </c>
      <c r="D28" s="2">
        <f>DATE(YEAR(OrdersTable[[#This Row],[Order Date]]),MONTH(OrdersTable[[#This Row],[Order Date]]),1)</f>
        <v>45292</v>
      </c>
      <c r="E28">
        <f>MONTH(OrdersTable[[#This Row],[Order Date]])</f>
        <v>1</v>
      </c>
      <c r="F28" t="s">
        <v>6246</v>
      </c>
      <c r="G28" t="str">
        <f>IF(OrdersTable[[#This Row],[Order Date]]=_xlfn.MINIFS(Order_Date, Customer_ID, OrdersTable[[#This Row],[Customer ID]]), "New", "Repeat")</f>
        <v>New</v>
      </c>
      <c r="H28" t="s">
        <v>76</v>
      </c>
      <c r="I28" t="str">
        <f>INDEX(State!B:B,MATCH(OrdersTable[[#This Row],[State]],State!A:A,0))</f>
        <v>UP</v>
      </c>
      <c r="J28" t="str">
        <f>INDEX(State!C:C,MATCH(OrdersTable[[#This Row],[State Code]],State!B:B,0))</f>
        <v>North</v>
      </c>
      <c r="K28" t="s">
        <v>105</v>
      </c>
      <c r="L28" t="s">
        <v>39</v>
      </c>
      <c r="M28" t="s">
        <v>152</v>
      </c>
      <c r="N28" t="str">
        <f>INDEX(Products!B:B,MATCH(OrdersTable[[#This Row],[Product ID]],Products!A:A,0))</f>
        <v>Green Tea (100 bags)</v>
      </c>
      <c r="O28" t="str">
        <f>INDEX(Products!C:C,MATCH(OrdersTable[[#This Row],[Product ID]],Products!A:A,0))</f>
        <v>Wellness</v>
      </c>
      <c r="P28">
        <v>2</v>
      </c>
      <c r="Q28" s="5">
        <v>399</v>
      </c>
      <c r="R28" s="74">
        <v>0.3</v>
      </c>
      <c r="S28" s="75">
        <f>OrdersTable[[#This Row],[Quantity]]*OrdersTable[[#This Row],[Unit Price]]</f>
        <v>798</v>
      </c>
      <c r="T28" s="5">
        <f>OrdersTable[[#This Row],[Gross Sale]]*OrdersTable[[#This Row],[Discount_Clean2]]</f>
        <v>239.39999999999998</v>
      </c>
      <c r="U28" s="5">
        <f>OrdersTable[[#This Row],[Gross Sale]]-OrdersTable[[#This Row],[Discount Amount]]</f>
        <v>558.6</v>
      </c>
      <c r="V28" s="77">
        <f>INDEX(Products!E:E,MATCH(OrdersTable[[#This Row],[Product ID]],Products!A:A,0))</f>
        <v>128</v>
      </c>
      <c r="W28" s="77">
        <f>OrdersTable[[#This Row],[Quantity]]*OrdersTable[[#This Row],[Unit Cost]]</f>
        <v>256</v>
      </c>
      <c r="X28" s="77">
        <f>'Dropdown Lists'!$I$2*(1+OrdersTable[[#This Row],[Returned]])</f>
        <v>60</v>
      </c>
      <c r="Y28" s="76">
        <f>OrdersTable[[#This Row],[Net Revenue]]-OrdersTable[[#This Row],[COGS]]-OrdersTable[[#This Row],[Shipping Cost]]</f>
        <v>242.60000000000002</v>
      </c>
      <c r="Z28" s="78">
        <f>IFERROR(OrdersTable[[#This Row],[Profit]]/OrdersTable[[#This Row],[Net Revenue]],0)</f>
        <v>0.43430003580379523</v>
      </c>
      <c r="AA28" t="s">
        <v>18</v>
      </c>
      <c r="AB28" s="79">
        <v>45301</v>
      </c>
      <c r="AC28">
        <f>OrdersTable[[#This Row],[Delivery Date]]-OrdersTable[[#This Row],[Order Date]]</f>
        <v>5</v>
      </c>
      <c r="AD28" t="str">
        <f>IF(OrdersTable[[#This Row],[Delivery Days]]&lt;=2, "Express (≤2d)", IF(OrdersTable[[#This Row],[Delivery Days]]&lt;=4, "Standard (3-4d)", "Delayed (5d+)"))</f>
        <v>Delayed (5d+)</v>
      </c>
      <c r="AE28">
        <v>3</v>
      </c>
      <c r="AF28">
        <v>0</v>
      </c>
    </row>
    <row r="29" spans="1:32" ht="15" x14ac:dyDescent="0.35">
      <c r="A29" t="s">
        <v>1462</v>
      </c>
      <c r="B29" s="1">
        <v>45296</v>
      </c>
      <c r="C29">
        <f>YEAR(OrdersTable[[#This Row],[Order Date]])</f>
        <v>2024</v>
      </c>
      <c r="D29" s="2">
        <f>DATE(YEAR(OrdersTable[[#This Row],[Order Date]]),MONTH(OrdersTable[[#This Row],[Order Date]]),1)</f>
        <v>45292</v>
      </c>
      <c r="E29">
        <f>MONTH(OrdersTable[[#This Row],[Order Date]])</f>
        <v>1</v>
      </c>
      <c r="F29" t="s">
        <v>955</v>
      </c>
      <c r="G29" t="str">
        <f>IF(OrdersTable[[#This Row],[Order Date]]=_xlfn.MINIFS(Order_Date, Customer_ID, OrdersTable[[#This Row],[Customer ID]]), "New", "Repeat")</f>
        <v>New</v>
      </c>
      <c r="H29" t="s">
        <v>71</v>
      </c>
      <c r="I29" t="str">
        <f>INDEX(State!B:B,MATCH(OrdersTable[[#This Row],[State]],State!A:A,0))</f>
        <v>MH</v>
      </c>
      <c r="J29" t="str">
        <f>INDEX(State!C:C,MATCH(OrdersTable[[#This Row],[State Code]],State!B:B,0))</f>
        <v>West</v>
      </c>
      <c r="K29" t="s">
        <v>81</v>
      </c>
      <c r="L29" t="s">
        <v>39</v>
      </c>
      <c r="M29" t="s">
        <v>78</v>
      </c>
      <c r="N29" t="str">
        <f>INDEX(Products!B:B,MATCH(OrdersTable[[#This Row],[Product ID]],Products!A:A,0))</f>
        <v>Retinol Night Cream</v>
      </c>
      <c r="O29" t="str">
        <f>INDEX(Products!C:C,MATCH(OrdersTable[[#This Row],[Product ID]],Products!A:A,0))</f>
        <v>Skincare</v>
      </c>
      <c r="P29">
        <v>1</v>
      </c>
      <c r="Q29" s="5">
        <v>799</v>
      </c>
      <c r="R29" s="74">
        <v>0</v>
      </c>
      <c r="S29" s="75">
        <f>OrdersTable[[#This Row],[Quantity]]*OrdersTable[[#This Row],[Unit Price]]</f>
        <v>799</v>
      </c>
      <c r="T29" s="5">
        <f>OrdersTable[[#This Row],[Gross Sale]]*OrdersTable[[#This Row],[Discount_Clean2]]</f>
        <v>0</v>
      </c>
      <c r="U29" s="5">
        <f>OrdersTable[[#This Row],[Gross Sale]]-OrdersTable[[#This Row],[Discount Amount]]</f>
        <v>799</v>
      </c>
      <c r="V29" s="77">
        <f>INDEX(Products!E:E,MATCH(OrdersTable[[#This Row],[Product ID]],Products!A:A,0))</f>
        <v>216</v>
      </c>
      <c r="W29" s="77">
        <f>OrdersTable[[#This Row],[Quantity]]*OrdersTable[[#This Row],[Unit Cost]]</f>
        <v>216</v>
      </c>
      <c r="X29" s="77">
        <f>'Dropdown Lists'!$I$2*(1+OrdersTable[[#This Row],[Returned]])</f>
        <v>60</v>
      </c>
      <c r="Y29" s="76">
        <f>OrdersTable[[#This Row],[Net Revenue]]-OrdersTable[[#This Row],[COGS]]-OrdersTable[[#This Row],[Shipping Cost]]</f>
        <v>523</v>
      </c>
      <c r="Z29" s="78">
        <f>IFERROR(OrdersTable[[#This Row],[Profit]]/OrdersTable[[#This Row],[Net Revenue]],0)</f>
        <v>0.65456821026282852</v>
      </c>
      <c r="AA29" t="s">
        <v>18</v>
      </c>
      <c r="AB29" s="79">
        <v>45299</v>
      </c>
      <c r="AC29">
        <f>OrdersTable[[#This Row],[Delivery Date]]-OrdersTable[[#This Row],[Order Date]]</f>
        <v>3</v>
      </c>
      <c r="AD29" t="str">
        <f>IF(OrdersTable[[#This Row],[Delivery Days]]&lt;=2, "Express (≤2d)", IF(OrdersTable[[#This Row],[Delivery Days]]&lt;=4, "Standard (3-4d)", "Delayed (5d+)"))</f>
        <v>Standard (3-4d)</v>
      </c>
      <c r="AF29">
        <v>0</v>
      </c>
    </row>
    <row r="30" spans="1:32" ht="15" x14ac:dyDescent="0.35">
      <c r="A30" t="s">
        <v>3144</v>
      </c>
      <c r="B30" s="1">
        <v>45296</v>
      </c>
      <c r="C30">
        <f>YEAR(OrdersTable[[#This Row],[Order Date]])</f>
        <v>2024</v>
      </c>
      <c r="D30" s="2">
        <f>DATE(YEAR(OrdersTable[[#This Row],[Order Date]]),MONTH(OrdersTable[[#This Row],[Order Date]]),1)</f>
        <v>45292</v>
      </c>
      <c r="E30">
        <f>MONTH(OrdersTable[[#This Row],[Order Date]])</f>
        <v>1</v>
      </c>
      <c r="F30" t="s">
        <v>1503</v>
      </c>
      <c r="G30" t="str">
        <f>IF(OrdersTable[[#This Row],[Order Date]]=_xlfn.MINIFS(Order_Date, Customer_ID, OrdersTable[[#This Row],[Customer ID]]), "New", "Repeat")</f>
        <v>New</v>
      </c>
      <c r="H30" t="s">
        <v>71</v>
      </c>
      <c r="I30" t="str">
        <f>INDEX(State!B:B,MATCH(OrdersTable[[#This Row],[State]],State!A:A,0))</f>
        <v>MH</v>
      </c>
      <c r="J30" t="str">
        <f>INDEX(State!C:C,MATCH(OrdersTable[[#This Row],[State Code]],State!B:B,0))</f>
        <v>West</v>
      </c>
      <c r="K30" t="s">
        <v>72</v>
      </c>
      <c r="L30" t="s">
        <v>23</v>
      </c>
      <c r="M30" t="s">
        <v>29</v>
      </c>
      <c r="N30" t="str">
        <f>INDEX(Products!B:B,MATCH(OrdersTable[[#This Row],[Product ID]],Products!A:A,0))</f>
        <v>Joggers</v>
      </c>
      <c r="O30" t="str">
        <f>INDEX(Products!C:C,MATCH(OrdersTable[[#This Row],[Product ID]],Products!A:A,0))</f>
        <v>Apparel</v>
      </c>
      <c r="P30">
        <v>1</v>
      </c>
      <c r="Q30" s="5">
        <v>1199</v>
      </c>
      <c r="R30" s="74">
        <v>0.1</v>
      </c>
      <c r="S30" s="75">
        <f>OrdersTable[[#This Row],[Quantity]]*OrdersTable[[#This Row],[Unit Price]]</f>
        <v>1199</v>
      </c>
      <c r="T30" s="5">
        <f>OrdersTable[[#This Row],[Gross Sale]]*OrdersTable[[#This Row],[Discount_Clean2]]</f>
        <v>119.9</v>
      </c>
      <c r="U30" s="5">
        <f>OrdersTable[[#This Row],[Gross Sale]]-OrdersTable[[#This Row],[Discount Amount]]</f>
        <v>1079.0999999999999</v>
      </c>
      <c r="V30" s="77">
        <f>INDEX(Products!E:E,MATCH(OrdersTable[[#This Row],[Product ID]],Products!A:A,0))</f>
        <v>492</v>
      </c>
      <c r="W30" s="77">
        <f>OrdersTable[[#This Row],[Quantity]]*OrdersTable[[#This Row],[Unit Cost]]</f>
        <v>492</v>
      </c>
      <c r="X30" s="77">
        <f>'Dropdown Lists'!$I$2*(1+OrdersTable[[#This Row],[Returned]])</f>
        <v>60</v>
      </c>
      <c r="Y30" s="76">
        <f>OrdersTable[[#This Row],[Net Revenue]]-OrdersTable[[#This Row],[COGS]]-OrdersTable[[#This Row],[Shipping Cost]]</f>
        <v>527.09999999999991</v>
      </c>
      <c r="Z30" s="78">
        <f>IFERROR(OrdersTable[[#This Row],[Profit]]/OrdersTable[[#This Row],[Net Revenue]],0)</f>
        <v>0.48846260772866273</v>
      </c>
      <c r="AA30" t="s">
        <v>2522</v>
      </c>
      <c r="AB30" s="79">
        <v>45297</v>
      </c>
      <c r="AC30">
        <f>OrdersTable[[#This Row],[Delivery Date]]-OrdersTable[[#This Row],[Order Date]]</f>
        <v>1</v>
      </c>
      <c r="AD30" t="str">
        <f>IF(OrdersTable[[#This Row],[Delivery Days]]&lt;=2, "Express (≤2d)", IF(OrdersTable[[#This Row],[Delivery Days]]&lt;=4, "Standard (3-4d)", "Delayed (5d+)"))</f>
        <v>Express (≤2d)</v>
      </c>
      <c r="AE30">
        <v>4</v>
      </c>
      <c r="AF30">
        <v>0</v>
      </c>
    </row>
    <row r="31" spans="1:32" ht="15" x14ac:dyDescent="0.35">
      <c r="A31" t="s">
        <v>430</v>
      </c>
      <c r="B31" s="1">
        <v>45296</v>
      </c>
      <c r="C31">
        <f>YEAR(OrdersTable[[#This Row],[Order Date]])</f>
        <v>2024</v>
      </c>
      <c r="D31" s="2">
        <f>DATE(YEAR(OrdersTable[[#This Row],[Order Date]]),MONTH(OrdersTable[[#This Row],[Order Date]]),1)</f>
        <v>45292</v>
      </c>
      <c r="E31">
        <f>MONTH(OrdersTable[[#This Row],[Order Date]])</f>
        <v>1</v>
      </c>
      <c r="F31" t="s">
        <v>431</v>
      </c>
      <c r="G31" t="str">
        <f>IF(OrdersTable[[#This Row],[Order Date]]=_xlfn.MINIFS(Order_Date, Customer_ID, OrdersTable[[#This Row],[Customer ID]]), "New", "Repeat")</f>
        <v>New</v>
      </c>
      <c r="H31" t="s">
        <v>167</v>
      </c>
      <c r="I31" t="str">
        <f>INDEX(State!B:B,MATCH(OrdersTable[[#This Row],[State]],State!A:A,0))</f>
        <v>KA</v>
      </c>
      <c r="J31" t="str">
        <f>INDEX(State!C:C,MATCH(OrdersTable[[#This Row],[State Code]],State!B:B,0))</f>
        <v>South</v>
      </c>
      <c r="K31" t="s">
        <v>168</v>
      </c>
      <c r="L31" t="s">
        <v>23</v>
      </c>
      <c r="M31" t="s">
        <v>106</v>
      </c>
      <c r="N31" t="str">
        <f>INDEX(Products!B:B,MATCH(OrdersTable[[#This Row],[Product ID]],Products!A:A,0))</f>
        <v>Keratin Hair Mask</v>
      </c>
      <c r="O31" t="str">
        <f>INDEX(Products!C:C,MATCH(OrdersTable[[#This Row],[Product ID]],Products!A:A,0))</f>
        <v>Haircare</v>
      </c>
      <c r="P31">
        <v>1</v>
      </c>
      <c r="Q31" s="5">
        <v>549</v>
      </c>
      <c r="R31" s="74">
        <v>0.1</v>
      </c>
      <c r="S31" s="75">
        <f>OrdersTable[[#This Row],[Quantity]]*OrdersTable[[#This Row],[Unit Price]]</f>
        <v>549</v>
      </c>
      <c r="T31" s="5">
        <f>OrdersTable[[#This Row],[Gross Sale]]*OrdersTable[[#This Row],[Discount_Clean2]]</f>
        <v>54.900000000000006</v>
      </c>
      <c r="U31" s="5">
        <f>OrdersTable[[#This Row],[Gross Sale]]-OrdersTable[[#This Row],[Discount Amount]]</f>
        <v>494.1</v>
      </c>
      <c r="V31" s="77">
        <f>INDEX(Products!E:E,MATCH(OrdersTable[[#This Row],[Product ID]],Products!A:A,0))</f>
        <v>170</v>
      </c>
      <c r="W31" s="77">
        <f>OrdersTable[[#This Row],[Quantity]]*OrdersTable[[#This Row],[Unit Cost]]</f>
        <v>170</v>
      </c>
      <c r="X31" s="77">
        <f>'Dropdown Lists'!$I$2*(1+OrdersTable[[#This Row],[Returned]])</f>
        <v>60</v>
      </c>
      <c r="Y31" s="76">
        <f>OrdersTable[[#This Row],[Net Revenue]]-OrdersTable[[#This Row],[COGS]]-OrdersTable[[#This Row],[Shipping Cost]]</f>
        <v>264.10000000000002</v>
      </c>
      <c r="Z31" s="78">
        <f>IFERROR(OrdersTable[[#This Row],[Profit]]/OrdersTable[[#This Row],[Net Revenue]],0)</f>
        <v>0.53450718478040882</v>
      </c>
      <c r="AA31" t="s">
        <v>18</v>
      </c>
      <c r="AB31" s="79">
        <v>45297</v>
      </c>
      <c r="AC31">
        <f>OrdersTable[[#This Row],[Delivery Date]]-OrdersTable[[#This Row],[Order Date]]</f>
        <v>1</v>
      </c>
      <c r="AD31" t="str">
        <f>IF(OrdersTable[[#This Row],[Delivery Days]]&lt;=2, "Express (≤2d)", IF(OrdersTable[[#This Row],[Delivery Days]]&lt;=4, "Standard (3-4d)", "Delayed (5d+)"))</f>
        <v>Express (≤2d)</v>
      </c>
      <c r="AE31">
        <v>4</v>
      </c>
      <c r="AF31">
        <v>0</v>
      </c>
    </row>
    <row r="32" spans="1:32" ht="15" x14ac:dyDescent="0.35">
      <c r="A32" t="s">
        <v>5057</v>
      </c>
      <c r="B32" s="1">
        <v>45296</v>
      </c>
      <c r="C32">
        <f>YEAR(OrdersTable[[#This Row],[Order Date]])</f>
        <v>2024</v>
      </c>
      <c r="D32" s="2">
        <f>DATE(YEAR(OrdersTable[[#This Row],[Order Date]]),MONTH(OrdersTable[[#This Row],[Order Date]]),1)</f>
        <v>45292</v>
      </c>
      <c r="E32">
        <f>MONTH(OrdersTable[[#This Row],[Order Date]])</f>
        <v>1</v>
      </c>
      <c r="F32" t="s">
        <v>3477</v>
      </c>
      <c r="G32" t="str">
        <f>IF(OrdersTable[[#This Row],[Order Date]]=_xlfn.MINIFS(Order_Date, Customer_ID, OrdersTable[[#This Row],[Customer ID]]), "New", "Repeat")</f>
        <v>New</v>
      </c>
      <c r="H32" t="s">
        <v>167</v>
      </c>
      <c r="I32" t="str">
        <f>INDEX(State!B:B,MATCH(OrdersTable[[#This Row],[State]],State!A:A,0))</f>
        <v>KA</v>
      </c>
      <c r="J32" t="str">
        <f>INDEX(State!C:C,MATCH(OrdersTable[[#This Row],[State Code]],State!B:B,0))</f>
        <v>South</v>
      </c>
      <c r="K32" t="s">
        <v>168</v>
      </c>
      <c r="L32" t="s">
        <v>23</v>
      </c>
      <c r="M32" t="s">
        <v>152</v>
      </c>
      <c r="N32" t="str">
        <f>INDEX(Products!B:B,MATCH(OrdersTable[[#This Row],[Product ID]],Products!A:A,0))</f>
        <v>Green Tea (100 bags)</v>
      </c>
      <c r="O32" t="str">
        <f>INDEX(Products!C:C,MATCH(OrdersTable[[#This Row],[Product ID]],Products!A:A,0))</f>
        <v>Wellness</v>
      </c>
      <c r="P32">
        <v>2</v>
      </c>
      <c r="Q32" s="5">
        <v>399</v>
      </c>
      <c r="R32" s="74">
        <v>0.3</v>
      </c>
      <c r="S32" s="75">
        <f>OrdersTable[[#This Row],[Quantity]]*OrdersTable[[#This Row],[Unit Price]]</f>
        <v>798</v>
      </c>
      <c r="T32" s="5">
        <f>OrdersTable[[#This Row],[Gross Sale]]*OrdersTable[[#This Row],[Discount_Clean2]]</f>
        <v>239.39999999999998</v>
      </c>
      <c r="U32" s="5">
        <f>OrdersTable[[#This Row],[Gross Sale]]-OrdersTable[[#This Row],[Discount Amount]]</f>
        <v>558.6</v>
      </c>
      <c r="V32" s="77">
        <f>INDEX(Products!E:E,MATCH(OrdersTable[[#This Row],[Product ID]],Products!A:A,0))</f>
        <v>128</v>
      </c>
      <c r="W32" s="77">
        <f>OrdersTable[[#This Row],[Quantity]]*OrdersTable[[#This Row],[Unit Cost]]</f>
        <v>256</v>
      </c>
      <c r="X32" s="77">
        <f>'Dropdown Lists'!$I$2*(1+OrdersTable[[#This Row],[Returned]])</f>
        <v>60</v>
      </c>
      <c r="Y32" s="76">
        <f>OrdersTable[[#This Row],[Net Revenue]]-OrdersTable[[#This Row],[COGS]]-OrdersTable[[#This Row],[Shipping Cost]]</f>
        <v>242.60000000000002</v>
      </c>
      <c r="Z32" s="78">
        <f>IFERROR(OrdersTable[[#This Row],[Profit]]/OrdersTable[[#This Row],[Net Revenue]],0)</f>
        <v>0.43430003580379523</v>
      </c>
      <c r="AA32" t="s">
        <v>3495</v>
      </c>
      <c r="AB32" s="79">
        <v>45297</v>
      </c>
      <c r="AC32">
        <f>OrdersTable[[#This Row],[Delivery Date]]-OrdersTable[[#This Row],[Order Date]]</f>
        <v>1</v>
      </c>
      <c r="AD32" t="str">
        <f>IF(OrdersTable[[#This Row],[Delivery Days]]&lt;=2, "Express (≤2d)", IF(OrdersTable[[#This Row],[Delivery Days]]&lt;=4, "Standard (3-4d)", "Delayed (5d+)"))</f>
        <v>Express (≤2d)</v>
      </c>
      <c r="AF32">
        <v>0</v>
      </c>
    </row>
    <row r="33" spans="1:32" ht="15" x14ac:dyDescent="0.35">
      <c r="A33" t="s">
        <v>3949</v>
      </c>
      <c r="B33" s="1">
        <v>45296</v>
      </c>
      <c r="C33">
        <f>YEAR(OrdersTable[[#This Row],[Order Date]])</f>
        <v>2024</v>
      </c>
      <c r="D33" s="2">
        <f>DATE(YEAR(OrdersTable[[#This Row],[Order Date]]),MONTH(OrdersTable[[#This Row],[Order Date]]),1)</f>
        <v>45292</v>
      </c>
      <c r="E33">
        <f>MONTH(OrdersTable[[#This Row],[Order Date]])</f>
        <v>1</v>
      </c>
      <c r="F33" t="s">
        <v>1081</v>
      </c>
      <c r="G33" t="str">
        <f>IF(OrdersTable[[#This Row],[Order Date]]=_xlfn.MINIFS(Order_Date, Customer_ID, OrdersTable[[#This Row],[Customer ID]]), "New", "Repeat")</f>
        <v>New</v>
      </c>
      <c r="H33" t="s">
        <v>59</v>
      </c>
      <c r="I33" t="str">
        <f>INDEX(State!B:B,MATCH(OrdersTable[[#This Row],[State]],State!A:A,0))</f>
        <v>TN</v>
      </c>
      <c r="J33" t="str">
        <f>INDEX(State!C:C,MATCH(OrdersTable[[#This Row],[State Code]],State!B:B,0))</f>
        <v>South</v>
      </c>
      <c r="K33" t="s">
        <v>60</v>
      </c>
      <c r="L33" t="s">
        <v>39</v>
      </c>
      <c r="M33" t="s">
        <v>84</v>
      </c>
      <c r="N33" t="str">
        <f>INDEX(Products!B:B,MATCH(OrdersTable[[#This Row],[Product ID]],Products!A:A,0))</f>
        <v>Cotton Bedsheet</v>
      </c>
      <c r="O33" t="str">
        <f>INDEX(Products!C:C,MATCH(OrdersTable[[#This Row],[Product ID]],Products!A:A,0))</f>
        <v>Home &amp; Kitchen</v>
      </c>
      <c r="P33">
        <v>1</v>
      </c>
      <c r="Q33" s="5">
        <v>1299</v>
      </c>
      <c r="R33" s="74">
        <v>0</v>
      </c>
      <c r="S33" s="75">
        <f>OrdersTable[[#This Row],[Quantity]]*OrdersTable[[#This Row],[Unit Price]]</f>
        <v>1299</v>
      </c>
      <c r="T33" s="5">
        <f>OrdersTable[[#This Row],[Gross Sale]]*OrdersTable[[#This Row],[Discount_Clean2]]</f>
        <v>0</v>
      </c>
      <c r="U33" s="5">
        <f>OrdersTable[[#This Row],[Gross Sale]]-OrdersTable[[#This Row],[Discount Amount]]</f>
        <v>1299</v>
      </c>
      <c r="V33" s="77">
        <f>INDEX(Products!E:E,MATCH(OrdersTable[[#This Row],[Product ID]],Products!A:A,0))</f>
        <v>585</v>
      </c>
      <c r="W33" s="77">
        <f>OrdersTable[[#This Row],[Quantity]]*OrdersTable[[#This Row],[Unit Cost]]</f>
        <v>585</v>
      </c>
      <c r="X33" s="77">
        <f>'Dropdown Lists'!$I$2*(1+OrdersTable[[#This Row],[Returned]])</f>
        <v>60</v>
      </c>
      <c r="Y33" s="76">
        <f>OrdersTable[[#This Row],[Net Revenue]]-OrdersTable[[#This Row],[COGS]]-OrdersTable[[#This Row],[Shipping Cost]]</f>
        <v>654</v>
      </c>
      <c r="Z33" s="78">
        <f>IFERROR(OrdersTable[[#This Row],[Profit]]/OrdersTable[[#This Row],[Net Revenue]],0)</f>
        <v>0.50346420323325636</v>
      </c>
      <c r="AA33" t="s">
        <v>3495</v>
      </c>
      <c r="AB33" s="79">
        <v>45298</v>
      </c>
      <c r="AC33">
        <f>OrdersTable[[#This Row],[Delivery Date]]-OrdersTable[[#This Row],[Order Date]]</f>
        <v>2</v>
      </c>
      <c r="AD33" t="str">
        <f>IF(OrdersTable[[#This Row],[Delivery Days]]&lt;=2, "Express (≤2d)", IF(OrdersTable[[#This Row],[Delivery Days]]&lt;=4, "Standard (3-4d)", "Delayed (5d+)"))</f>
        <v>Express (≤2d)</v>
      </c>
      <c r="AE33">
        <v>5</v>
      </c>
      <c r="AF33">
        <v>0</v>
      </c>
    </row>
    <row r="34" spans="1:32" ht="15" x14ac:dyDescent="0.35">
      <c r="A34" t="s">
        <v>4897</v>
      </c>
      <c r="B34" s="1">
        <v>45297</v>
      </c>
      <c r="C34">
        <f>YEAR(OrdersTable[[#This Row],[Order Date]])</f>
        <v>2024</v>
      </c>
      <c r="D34" s="2">
        <f>DATE(YEAR(OrdersTable[[#This Row],[Order Date]]),MONTH(OrdersTable[[#This Row],[Order Date]]),1)</f>
        <v>45292</v>
      </c>
      <c r="E34">
        <f>MONTH(OrdersTable[[#This Row],[Order Date]])</f>
        <v>1</v>
      </c>
      <c r="F34" t="s">
        <v>3975</v>
      </c>
      <c r="G34" t="str">
        <f>IF(OrdersTable[[#This Row],[Order Date]]=_xlfn.MINIFS(Order_Date, Customer_ID, OrdersTable[[#This Row],[Customer ID]]), "New", "Repeat")</f>
        <v>New</v>
      </c>
      <c r="H34" t="s">
        <v>54</v>
      </c>
      <c r="I34" t="str">
        <f>INDEX(State!B:B,MATCH(OrdersTable[[#This Row],[State]],State!A:A,0))</f>
        <v>RJ</v>
      </c>
      <c r="J34" t="str">
        <f>INDEX(State!C:C,MATCH(OrdersTable[[#This Row],[State Code]],State!B:B,0))</f>
        <v>North</v>
      </c>
      <c r="K34" t="s">
        <v>227</v>
      </c>
      <c r="L34" t="s">
        <v>23</v>
      </c>
      <c r="M34" t="s">
        <v>66</v>
      </c>
      <c r="N34" t="str">
        <f>INDEX(Products!B:B,MATCH(OrdersTable[[#This Row],[Product ID]],Products!A:A,0))</f>
        <v>Sunscreen SPF 50</v>
      </c>
      <c r="O34" t="str">
        <f>INDEX(Products!C:C,MATCH(OrdersTable[[#This Row],[Product ID]],Products!A:A,0))</f>
        <v>Skincare</v>
      </c>
      <c r="P34">
        <v>2</v>
      </c>
      <c r="Q34" s="5">
        <v>449</v>
      </c>
      <c r="R34" s="74">
        <v>0</v>
      </c>
      <c r="S34" s="75">
        <f>OrdersTable[[#This Row],[Quantity]]*OrdersTable[[#This Row],[Unit Price]]</f>
        <v>898</v>
      </c>
      <c r="T34" s="5">
        <f>OrdersTable[[#This Row],[Gross Sale]]*OrdersTable[[#This Row],[Discount_Clean2]]</f>
        <v>0</v>
      </c>
      <c r="U34" s="5">
        <f>OrdersTable[[#This Row],[Gross Sale]]-OrdersTable[[#This Row],[Discount Amount]]</f>
        <v>898</v>
      </c>
      <c r="V34" s="77">
        <f>INDEX(Products!E:E,MATCH(OrdersTable[[#This Row],[Product ID]],Products!A:A,0))</f>
        <v>144</v>
      </c>
      <c r="W34" s="77">
        <f>OrdersTable[[#This Row],[Quantity]]*OrdersTable[[#This Row],[Unit Cost]]</f>
        <v>288</v>
      </c>
      <c r="X34" s="77">
        <f>'Dropdown Lists'!$I$2*(1+OrdersTable[[#This Row],[Returned]])</f>
        <v>60</v>
      </c>
      <c r="Y34" s="76">
        <f>OrdersTable[[#This Row],[Net Revenue]]-OrdersTable[[#This Row],[COGS]]-OrdersTable[[#This Row],[Shipping Cost]]</f>
        <v>550</v>
      </c>
      <c r="Z34" s="78">
        <f>IFERROR(OrdersTable[[#This Row],[Profit]]/OrdersTable[[#This Row],[Net Revenue]],0)</f>
        <v>0.61247216035634744</v>
      </c>
      <c r="AA34" t="s">
        <v>4074</v>
      </c>
      <c r="AB34" s="79">
        <v>45301</v>
      </c>
      <c r="AC34">
        <f>OrdersTable[[#This Row],[Delivery Date]]-OrdersTable[[#This Row],[Order Date]]</f>
        <v>4</v>
      </c>
      <c r="AD34" t="str">
        <f>IF(OrdersTable[[#This Row],[Delivery Days]]&lt;=2, "Express (≤2d)", IF(OrdersTable[[#This Row],[Delivery Days]]&lt;=4, "Standard (3-4d)", "Delayed (5d+)"))</f>
        <v>Standard (3-4d)</v>
      </c>
      <c r="AE34">
        <v>4</v>
      </c>
      <c r="AF34">
        <v>0</v>
      </c>
    </row>
    <row r="35" spans="1:32" ht="15" x14ac:dyDescent="0.35">
      <c r="A35" t="s">
        <v>5058</v>
      </c>
      <c r="B35" s="1">
        <v>45297</v>
      </c>
      <c r="C35">
        <f>YEAR(OrdersTable[[#This Row],[Order Date]])</f>
        <v>2024</v>
      </c>
      <c r="D35" s="2">
        <f>DATE(YEAR(OrdersTable[[#This Row],[Order Date]]),MONTH(OrdersTable[[#This Row],[Order Date]]),1)</f>
        <v>45292</v>
      </c>
      <c r="E35">
        <f>MONTH(OrdersTable[[#This Row],[Order Date]])</f>
        <v>1</v>
      </c>
      <c r="F35" t="s">
        <v>5059</v>
      </c>
      <c r="G35" t="str">
        <f>IF(OrdersTable[[#This Row],[Order Date]]=_xlfn.MINIFS(Order_Date, Customer_ID, OrdersTable[[#This Row],[Customer ID]]), "New", "Repeat")</f>
        <v>New</v>
      </c>
      <c r="H35" t="s">
        <v>32</v>
      </c>
      <c r="I35" t="str">
        <f>INDEX(State!B:B,MATCH(OrdersTable[[#This Row],[State]],State!A:A,0))</f>
        <v>BR</v>
      </c>
      <c r="J35" t="str">
        <f>INDEX(State!C:C,MATCH(OrdersTable[[#This Row],[State Code]],State!B:B,0))</f>
        <v>East</v>
      </c>
      <c r="K35" t="s">
        <v>33</v>
      </c>
      <c r="L35" t="s">
        <v>16</v>
      </c>
      <c r="M35" t="s">
        <v>205</v>
      </c>
      <c r="N35" t="str">
        <f>INDEX(Products!B:B,MATCH(OrdersTable[[#This Row],[Product ID]],Products!A:A,0))</f>
        <v>Running Shoes</v>
      </c>
      <c r="O35" t="str">
        <f>INDEX(Products!C:C,MATCH(OrdersTable[[#This Row],[Product ID]],Products!A:A,0))</f>
        <v>Footwear</v>
      </c>
      <c r="P35">
        <v>2</v>
      </c>
      <c r="Q35" s="5">
        <v>2999</v>
      </c>
      <c r="R35" s="74">
        <v>0.15</v>
      </c>
      <c r="S35" s="75">
        <f>OrdersTable[[#This Row],[Quantity]]*OrdersTable[[#This Row],[Unit Price]]</f>
        <v>5998</v>
      </c>
      <c r="T35" s="5">
        <f>OrdersTable[[#This Row],[Gross Sale]]*OrdersTable[[#This Row],[Discount_Clean2]]</f>
        <v>899.69999999999993</v>
      </c>
      <c r="U35" s="5">
        <f>OrdersTable[[#This Row],[Gross Sale]]-OrdersTable[[#This Row],[Discount Amount]]</f>
        <v>5098.3</v>
      </c>
      <c r="V35" s="77">
        <f>INDEX(Products!E:E,MATCH(OrdersTable[[#This Row],[Product ID]],Products!A:A,0))</f>
        <v>1440</v>
      </c>
      <c r="W35" s="77">
        <f>OrdersTable[[#This Row],[Quantity]]*OrdersTable[[#This Row],[Unit Cost]]</f>
        <v>2880</v>
      </c>
      <c r="X35" s="77">
        <f>'Dropdown Lists'!$I$2*(1+OrdersTable[[#This Row],[Returned]])</f>
        <v>60</v>
      </c>
      <c r="Y35" s="76">
        <f>OrdersTable[[#This Row],[Net Revenue]]-OrdersTable[[#This Row],[COGS]]-OrdersTable[[#This Row],[Shipping Cost]]</f>
        <v>2158.3000000000002</v>
      </c>
      <c r="Z35" s="78">
        <f>IFERROR(OrdersTable[[#This Row],[Profit]]/OrdersTable[[#This Row],[Net Revenue]],0)</f>
        <v>0.42333719082831534</v>
      </c>
      <c r="AA35" t="s">
        <v>3495</v>
      </c>
      <c r="AB35" s="79">
        <v>45301</v>
      </c>
      <c r="AC35">
        <f>OrdersTable[[#This Row],[Delivery Date]]-OrdersTable[[#This Row],[Order Date]]</f>
        <v>4</v>
      </c>
      <c r="AD35" t="str">
        <f>IF(OrdersTable[[#This Row],[Delivery Days]]&lt;=2, "Express (≤2d)", IF(OrdersTable[[#This Row],[Delivery Days]]&lt;=4, "Standard (3-4d)", "Delayed (5d+)"))</f>
        <v>Standard (3-4d)</v>
      </c>
      <c r="AE35">
        <v>3</v>
      </c>
      <c r="AF35">
        <v>0</v>
      </c>
    </row>
    <row r="36" spans="1:32" ht="15" x14ac:dyDescent="0.35">
      <c r="A36" t="s">
        <v>6838</v>
      </c>
      <c r="B36" s="1">
        <v>45297</v>
      </c>
      <c r="C36">
        <f>YEAR(OrdersTable[[#This Row],[Order Date]])</f>
        <v>2024</v>
      </c>
      <c r="D36" s="2">
        <f>DATE(YEAR(OrdersTable[[#This Row],[Order Date]]),MONTH(OrdersTable[[#This Row],[Order Date]]),1)</f>
        <v>45292</v>
      </c>
      <c r="E36">
        <f>MONTH(OrdersTable[[#This Row],[Order Date]])</f>
        <v>1</v>
      </c>
      <c r="F36" t="s">
        <v>6839</v>
      </c>
      <c r="G36" t="str">
        <f>IF(OrdersTable[[#This Row],[Order Date]]=_xlfn.MINIFS(Order_Date, Customer_ID, OrdersTable[[#This Row],[Customer ID]]), "New", "Repeat")</f>
        <v>New</v>
      </c>
      <c r="H36" t="s">
        <v>27</v>
      </c>
      <c r="I36" t="str">
        <f>INDEX(State!B:B,MATCH(OrdersTable[[#This Row],[State]],State!A:A,0))</f>
        <v>WB</v>
      </c>
      <c r="J36" t="str">
        <f>INDEX(State!C:C,MATCH(OrdersTable[[#This Row],[State Code]],State!B:B,0))</f>
        <v>East</v>
      </c>
      <c r="K36" t="s">
        <v>28</v>
      </c>
      <c r="L36" t="s">
        <v>65</v>
      </c>
      <c r="M36" t="s">
        <v>56</v>
      </c>
      <c r="N36" t="str">
        <f>INDEX(Products!B:B,MATCH(OrdersTable[[#This Row],[Product ID]],Products!A:A,0))</f>
        <v>Vitamin C Face Serum</v>
      </c>
      <c r="O36" t="str">
        <f>INDEX(Products!C:C,MATCH(OrdersTable[[#This Row],[Product ID]],Products!A:A,0))</f>
        <v>Skincare</v>
      </c>
      <c r="P36">
        <v>3</v>
      </c>
      <c r="Q36" s="5">
        <v>599</v>
      </c>
      <c r="R36" s="74">
        <v>0.15</v>
      </c>
      <c r="S36" s="75">
        <f>OrdersTable[[#This Row],[Quantity]]*OrdersTable[[#This Row],[Unit Price]]</f>
        <v>1797</v>
      </c>
      <c r="T36" s="5">
        <f>OrdersTable[[#This Row],[Gross Sale]]*OrdersTable[[#This Row],[Discount_Clean2]]</f>
        <v>269.55</v>
      </c>
      <c r="U36" s="5">
        <f>OrdersTable[[#This Row],[Gross Sale]]-OrdersTable[[#This Row],[Discount Amount]]</f>
        <v>1527.45</v>
      </c>
      <c r="V36" s="77">
        <f>INDEX(Products!E:E,MATCH(OrdersTable[[#This Row],[Product ID]],Products!A:A,0))</f>
        <v>180</v>
      </c>
      <c r="W36" s="77">
        <f>OrdersTable[[#This Row],[Quantity]]*OrdersTable[[#This Row],[Unit Cost]]</f>
        <v>540</v>
      </c>
      <c r="X36" s="77">
        <f>'Dropdown Lists'!$I$2*(1+OrdersTable[[#This Row],[Returned]])</f>
        <v>60</v>
      </c>
      <c r="Y36" s="76">
        <f>OrdersTable[[#This Row],[Net Revenue]]-OrdersTable[[#This Row],[COGS]]-OrdersTable[[#This Row],[Shipping Cost]]</f>
        <v>927.45</v>
      </c>
      <c r="Z36" s="78">
        <f>IFERROR(OrdersTable[[#This Row],[Profit]]/OrdersTable[[#This Row],[Net Revenue]],0)</f>
        <v>0.60718845134046939</v>
      </c>
      <c r="AA36" t="s">
        <v>4074</v>
      </c>
      <c r="AB36" s="79">
        <v>45301</v>
      </c>
      <c r="AC36">
        <f>OrdersTable[[#This Row],[Delivery Date]]-OrdersTable[[#This Row],[Order Date]]</f>
        <v>4</v>
      </c>
      <c r="AD36" t="str">
        <f>IF(OrdersTable[[#This Row],[Delivery Days]]&lt;=2, "Express (≤2d)", IF(OrdersTable[[#This Row],[Delivery Days]]&lt;=4, "Standard (3-4d)", "Delayed (5d+)"))</f>
        <v>Standard (3-4d)</v>
      </c>
      <c r="AE36">
        <v>3</v>
      </c>
      <c r="AF36">
        <v>0</v>
      </c>
    </row>
    <row r="37" spans="1:32" ht="15" x14ac:dyDescent="0.35">
      <c r="A37" t="s">
        <v>5060</v>
      </c>
      <c r="B37" s="1">
        <v>45297</v>
      </c>
      <c r="C37">
        <f>YEAR(OrdersTable[[#This Row],[Order Date]])</f>
        <v>2024</v>
      </c>
      <c r="D37" s="2">
        <f>DATE(YEAR(OrdersTable[[#This Row],[Order Date]]),MONTH(OrdersTable[[#This Row],[Order Date]]),1)</f>
        <v>45292</v>
      </c>
      <c r="E37">
        <f>MONTH(OrdersTable[[#This Row],[Order Date]])</f>
        <v>1</v>
      </c>
      <c r="F37" t="s">
        <v>442</v>
      </c>
      <c r="G37" t="str">
        <f>IF(OrdersTable[[#This Row],[Order Date]]=_xlfn.MINIFS(Order_Date, Customer_ID, OrdersTable[[#This Row],[Customer ID]]), "New", "Repeat")</f>
        <v>New</v>
      </c>
      <c r="H37" t="s">
        <v>71</v>
      </c>
      <c r="I37" t="str">
        <f>INDEX(State!B:B,MATCH(OrdersTable[[#This Row],[State]],State!A:A,0))</f>
        <v>MH</v>
      </c>
      <c r="J37" t="str">
        <f>INDEX(State!C:C,MATCH(OrdersTable[[#This Row],[State Code]],State!B:B,0))</f>
        <v>West</v>
      </c>
      <c r="K37" t="s">
        <v>81</v>
      </c>
      <c r="L37" t="s">
        <v>65</v>
      </c>
      <c r="M37" t="s">
        <v>24</v>
      </c>
      <c r="N37" t="str">
        <f>INDEX(Products!B:B,MATCH(OrdersTable[[#This Row],[Product ID]],Products!A:A,0))</f>
        <v>Scented Candle Set</v>
      </c>
      <c r="O37" t="str">
        <f>INDEX(Products!C:C,MATCH(OrdersTable[[#This Row],[Product ID]],Products!A:A,0))</f>
        <v>Home &amp; Kitchen</v>
      </c>
      <c r="P37">
        <v>2</v>
      </c>
      <c r="Q37" s="5">
        <v>699</v>
      </c>
      <c r="R37" s="74">
        <v>0.2</v>
      </c>
      <c r="S37" s="75">
        <f>OrdersTable[[#This Row],[Quantity]]*OrdersTable[[#This Row],[Unit Price]]</f>
        <v>1398</v>
      </c>
      <c r="T37" s="5">
        <f>OrdersTable[[#This Row],[Gross Sale]]*OrdersTable[[#This Row],[Discount_Clean2]]</f>
        <v>279.60000000000002</v>
      </c>
      <c r="U37" s="5">
        <f>OrdersTable[[#This Row],[Gross Sale]]-OrdersTable[[#This Row],[Discount Amount]]</f>
        <v>1118.4000000000001</v>
      </c>
      <c r="V37" s="77">
        <f>INDEX(Products!E:E,MATCH(OrdersTable[[#This Row],[Product ID]],Products!A:A,0))</f>
        <v>245</v>
      </c>
      <c r="W37" s="77">
        <f>OrdersTable[[#This Row],[Quantity]]*OrdersTable[[#This Row],[Unit Cost]]</f>
        <v>490</v>
      </c>
      <c r="X37" s="77">
        <f>'Dropdown Lists'!$I$2*(1+OrdersTable[[#This Row],[Returned]])</f>
        <v>60</v>
      </c>
      <c r="Y37" s="76">
        <f>OrdersTable[[#This Row],[Net Revenue]]-OrdersTable[[#This Row],[COGS]]-OrdersTable[[#This Row],[Shipping Cost]]</f>
        <v>568.40000000000009</v>
      </c>
      <c r="Z37" s="78">
        <f>IFERROR(OrdersTable[[#This Row],[Profit]]/OrdersTable[[#This Row],[Net Revenue]],0)</f>
        <v>0.50822603719599435</v>
      </c>
      <c r="AA37" t="s">
        <v>3495</v>
      </c>
      <c r="AB37" s="79">
        <v>45299</v>
      </c>
      <c r="AC37">
        <f>OrdersTable[[#This Row],[Delivery Date]]-OrdersTable[[#This Row],[Order Date]]</f>
        <v>2</v>
      </c>
      <c r="AD37" t="str">
        <f>IF(OrdersTable[[#This Row],[Delivery Days]]&lt;=2, "Express (≤2d)", IF(OrdersTable[[#This Row],[Delivery Days]]&lt;=4, "Standard (3-4d)", "Delayed (5d+)"))</f>
        <v>Express (≤2d)</v>
      </c>
      <c r="AF37">
        <v>0</v>
      </c>
    </row>
    <row r="38" spans="1:32" ht="15" x14ac:dyDescent="0.35">
      <c r="A38" t="s">
        <v>2198</v>
      </c>
      <c r="B38" s="1">
        <v>45297</v>
      </c>
      <c r="C38">
        <f>YEAR(OrdersTable[[#This Row],[Order Date]])</f>
        <v>2024</v>
      </c>
      <c r="D38" s="2">
        <f>DATE(YEAR(OrdersTable[[#This Row],[Order Date]]),MONTH(OrdersTable[[#This Row],[Order Date]]),1)</f>
        <v>45292</v>
      </c>
      <c r="E38">
        <f>MONTH(OrdersTable[[#This Row],[Order Date]])</f>
        <v>1</v>
      </c>
      <c r="F38" t="s">
        <v>2199</v>
      </c>
      <c r="G38" t="str">
        <f>IF(OrdersTable[[#This Row],[Order Date]]=_xlfn.MINIFS(Order_Date, Customer_ID, OrdersTable[[#This Row],[Customer ID]]), "New", "Repeat")</f>
        <v>New</v>
      </c>
      <c r="H38" t="s">
        <v>71</v>
      </c>
      <c r="I38" t="str">
        <f>INDEX(State!B:B,MATCH(OrdersTable[[#This Row],[State]],State!A:A,0))</f>
        <v>MH</v>
      </c>
      <c r="J38" t="str">
        <f>INDEX(State!C:C,MATCH(OrdersTable[[#This Row],[State Code]],State!B:B,0))</f>
        <v>West</v>
      </c>
      <c r="K38" t="s">
        <v>72</v>
      </c>
      <c r="L38" t="s">
        <v>65</v>
      </c>
      <c r="M38" t="s">
        <v>160</v>
      </c>
      <c r="N38" t="str">
        <f>INDEX(Products!B:B,MATCH(OrdersTable[[#This Row],[Product ID]],Products!A:A,0))</f>
        <v>Niacinamide Toner</v>
      </c>
      <c r="O38" t="str">
        <f>INDEX(Products!C:C,MATCH(OrdersTable[[#This Row],[Product ID]],Products!A:A,0))</f>
        <v>Skincare</v>
      </c>
      <c r="P38">
        <v>1</v>
      </c>
      <c r="Q38" s="5">
        <v>399</v>
      </c>
      <c r="R38" s="74">
        <v>0.2</v>
      </c>
      <c r="S38" s="75">
        <f>OrdersTable[[#This Row],[Quantity]]*OrdersTable[[#This Row],[Unit Price]]</f>
        <v>399</v>
      </c>
      <c r="T38" s="5">
        <f>OrdersTable[[#This Row],[Gross Sale]]*OrdersTable[[#This Row],[Discount_Clean2]]</f>
        <v>79.800000000000011</v>
      </c>
      <c r="U38" s="5">
        <f>OrdersTable[[#This Row],[Gross Sale]]-OrdersTable[[#This Row],[Discount Amount]]</f>
        <v>319.2</v>
      </c>
      <c r="V38" s="77">
        <f>INDEX(Products!E:E,MATCH(OrdersTable[[#This Row],[Product ID]],Products!A:A,0))</f>
        <v>112</v>
      </c>
      <c r="W38" s="77">
        <f>OrdersTable[[#This Row],[Quantity]]*OrdersTable[[#This Row],[Unit Cost]]</f>
        <v>112</v>
      </c>
      <c r="X38" s="77">
        <f>'Dropdown Lists'!$I$2*(1+OrdersTable[[#This Row],[Returned]])</f>
        <v>60</v>
      </c>
      <c r="Y38" s="76">
        <f>OrdersTable[[#This Row],[Net Revenue]]-OrdersTable[[#This Row],[COGS]]-OrdersTable[[#This Row],[Shipping Cost]]</f>
        <v>147.19999999999999</v>
      </c>
      <c r="Z38" s="78">
        <f>IFERROR(OrdersTable[[#This Row],[Profit]]/OrdersTable[[#This Row],[Net Revenue]],0)</f>
        <v>0.46115288220551376</v>
      </c>
      <c r="AA38" t="s">
        <v>18</v>
      </c>
      <c r="AB38" s="79">
        <v>45298</v>
      </c>
      <c r="AC38">
        <f>OrdersTable[[#This Row],[Delivery Date]]-OrdersTable[[#This Row],[Order Date]]</f>
        <v>1</v>
      </c>
      <c r="AD38" t="str">
        <f>IF(OrdersTable[[#This Row],[Delivery Days]]&lt;=2, "Express (≤2d)", IF(OrdersTable[[#This Row],[Delivery Days]]&lt;=4, "Standard (3-4d)", "Delayed (5d+)"))</f>
        <v>Express (≤2d)</v>
      </c>
      <c r="AE38">
        <v>5</v>
      </c>
      <c r="AF38">
        <v>0</v>
      </c>
    </row>
    <row r="39" spans="1:32" ht="15" x14ac:dyDescent="0.35">
      <c r="A39" t="s">
        <v>6450</v>
      </c>
      <c r="B39" s="1">
        <v>45297</v>
      </c>
      <c r="C39">
        <f>YEAR(OrdersTable[[#This Row],[Order Date]])</f>
        <v>2024</v>
      </c>
      <c r="D39" s="2">
        <f>DATE(YEAR(OrdersTable[[#This Row],[Order Date]]),MONTH(OrdersTable[[#This Row],[Order Date]]),1)</f>
        <v>45292</v>
      </c>
      <c r="E39">
        <f>MONTH(OrdersTable[[#This Row],[Order Date]])</f>
        <v>1</v>
      </c>
      <c r="F39" t="s">
        <v>3316</v>
      </c>
      <c r="G39" t="str">
        <f>IF(OrdersTable[[#This Row],[Order Date]]=_xlfn.MINIFS(Order_Date, Customer_ID, OrdersTable[[#This Row],[Customer ID]]), "New", "Repeat")</f>
        <v>New</v>
      </c>
      <c r="H39" t="s">
        <v>167</v>
      </c>
      <c r="I39" t="str">
        <f>INDEX(State!B:B,MATCH(OrdersTable[[#This Row],[State]],State!A:A,0))</f>
        <v>KA</v>
      </c>
      <c r="J39" t="str">
        <f>INDEX(State!C:C,MATCH(OrdersTable[[#This Row],[State Code]],State!B:B,0))</f>
        <v>South</v>
      </c>
      <c r="K39" t="s">
        <v>168</v>
      </c>
      <c r="L39" t="s">
        <v>39</v>
      </c>
      <c r="M39" t="s">
        <v>34</v>
      </c>
      <c r="N39" t="str">
        <f>INDEX(Products!B:B,MATCH(OrdersTable[[#This Row],[Product ID]],Products!A:A,0))</f>
        <v>Flip Flops</v>
      </c>
      <c r="O39" t="str">
        <f>INDEX(Products!C:C,MATCH(OrdersTable[[#This Row],[Product ID]],Products!A:A,0))</f>
        <v>Footwear</v>
      </c>
      <c r="P39">
        <v>3</v>
      </c>
      <c r="Q39" s="5">
        <v>399</v>
      </c>
      <c r="R39" s="74">
        <v>0.15</v>
      </c>
      <c r="S39" s="75">
        <f>OrdersTable[[#This Row],[Quantity]]*OrdersTable[[#This Row],[Unit Price]]</f>
        <v>1197</v>
      </c>
      <c r="T39" s="5">
        <f>OrdersTable[[#This Row],[Gross Sale]]*OrdersTable[[#This Row],[Discount_Clean2]]</f>
        <v>179.54999999999998</v>
      </c>
      <c r="U39" s="5">
        <f>OrdersTable[[#This Row],[Gross Sale]]-OrdersTable[[#This Row],[Discount Amount]]</f>
        <v>1017.45</v>
      </c>
      <c r="V39" s="77">
        <f>INDEX(Products!E:E,MATCH(OrdersTable[[#This Row],[Product ID]],Products!A:A,0))</f>
        <v>152</v>
      </c>
      <c r="W39" s="77">
        <f>OrdersTable[[#This Row],[Quantity]]*OrdersTable[[#This Row],[Unit Cost]]</f>
        <v>456</v>
      </c>
      <c r="X39" s="77">
        <f>'Dropdown Lists'!$I$2*(1+OrdersTable[[#This Row],[Returned]])</f>
        <v>60</v>
      </c>
      <c r="Y39" s="76">
        <f>OrdersTable[[#This Row],[Net Revenue]]-OrdersTable[[#This Row],[COGS]]-OrdersTable[[#This Row],[Shipping Cost]]</f>
        <v>501.45000000000005</v>
      </c>
      <c r="Z39" s="78">
        <f>IFERROR(OrdersTable[[#This Row],[Profit]]/OrdersTable[[#This Row],[Net Revenue]],0)</f>
        <v>0.49284977148754239</v>
      </c>
      <c r="AA39" t="s">
        <v>18</v>
      </c>
      <c r="AB39" s="79">
        <v>45302</v>
      </c>
      <c r="AC39">
        <f>OrdersTable[[#This Row],[Delivery Date]]-OrdersTable[[#This Row],[Order Date]]</f>
        <v>5</v>
      </c>
      <c r="AD39" t="str">
        <f>IF(OrdersTable[[#This Row],[Delivery Days]]&lt;=2, "Express (≤2d)", IF(OrdersTable[[#This Row],[Delivery Days]]&lt;=4, "Standard (3-4d)", "Delayed (5d+)"))</f>
        <v>Delayed (5d+)</v>
      </c>
      <c r="AF39">
        <v>0</v>
      </c>
    </row>
    <row r="40" spans="1:32" ht="15" x14ac:dyDescent="0.35">
      <c r="A40" t="s">
        <v>5292</v>
      </c>
      <c r="B40" s="1">
        <v>45297</v>
      </c>
      <c r="C40">
        <f>YEAR(OrdersTable[[#This Row],[Order Date]])</f>
        <v>2024</v>
      </c>
      <c r="D40" s="2">
        <f>DATE(YEAR(OrdersTable[[#This Row],[Order Date]]),MONTH(OrdersTable[[#This Row],[Order Date]]),1)</f>
        <v>45292</v>
      </c>
      <c r="E40">
        <f>MONTH(OrdersTable[[#This Row],[Order Date]])</f>
        <v>1</v>
      </c>
      <c r="F40" t="s">
        <v>5293</v>
      </c>
      <c r="G40" t="str">
        <f>IF(OrdersTable[[#This Row],[Order Date]]=_xlfn.MINIFS(Order_Date, Customer_ID, OrdersTable[[#This Row],[Customer ID]]), "New", "Repeat")</f>
        <v>New</v>
      </c>
      <c r="H40" t="s">
        <v>275</v>
      </c>
      <c r="I40" t="str">
        <f>INDEX(State!B:B,MATCH(OrdersTable[[#This Row],[State]],State!A:A,0))</f>
        <v>AP</v>
      </c>
      <c r="J40" t="str">
        <f>INDEX(State!C:C,MATCH(OrdersTable[[#This Row],[State Code]],State!B:B,0))</f>
        <v>South</v>
      </c>
      <c r="K40" t="s">
        <v>276</v>
      </c>
      <c r="L40" t="s">
        <v>23</v>
      </c>
      <c r="M40" t="s">
        <v>205</v>
      </c>
      <c r="N40" t="str">
        <f>INDEX(Products!B:B,MATCH(OrdersTable[[#This Row],[Product ID]],Products!A:A,0))</f>
        <v>Running Shoes</v>
      </c>
      <c r="O40" t="str">
        <f>INDEX(Products!C:C,MATCH(OrdersTable[[#This Row],[Product ID]],Products!A:A,0))</f>
        <v>Footwear</v>
      </c>
      <c r="P40">
        <v>2</v>
      </c>
      <c r="Q40" s="5">
        <v>2999</v>
      </c>
      <c r="R40" s="74">
        <v>0.15</v>
      </c>
      <c r="S40" s="75">
        <f>OrdersTable[[#This Row],[Quantity]]*OrdersTable[[#This Row],[Unit Price]]</f>
        <v>5998</v>
      </c>
      <c r="T40" s="5">
        <f>OrdersTable[[#This Row],[Gross Sale]]*OrdersTable[[#This Row],[Discount_Clean2]]</f>
        <v>899.69999999999993</v>
      </c>
      <c r="U40" s="5">
        <f>OrdersTable[[#This Row],[Gross Sale]]-OrdersTable[[#This Row],[Discount Amount]]</f>
        <v>5098.3</v>
      </c>
      <c r="V40" s="77">
        <f>INDEX(Products!E:E,MATCH(OrdersTable[[#This Row],[Product ID]],Products!A:A,0))</f>
        <v>1440</v>
      </c>
      <c r="W40" s="77">
        <f>OrdersTable[[#This Row],[Quantity]]*OrdersTable[[#This Row],[Unit Cost]]</f>
        <v>2880</v>
      </c>
      <c r="X40" s="77">
        <f>'Dropdown Lists'!$I$2*(1+OrdersTable[[#This Row],[Returned]])</f>
        <v>60</v>
      </c>
      <c r="Y40" s="76">
        <f>OrdersTable[[#This Row],[Net Revenue]]-OrdersTable[[#This Row],[COGS]]-OrdersTable[[#This Row],[Shipping Cost]]</f>
        <v>2158.3000000000002</v>
      </c>
      <c r="Z40" s="78">
        <f>IFERROR(OrdersTable[[#This Row],[Profit]]/OrdersTable[[#This Row],[Net Revenue]],0)</f>
        <v>0.42333719082831534</v>
      </c>
      <c r="AA40" t="s">
        <v>2522</v>
      </c>
      <c r="AB40" s="79">
        <v>45301</v>
      </c>
      <c r="AC40">
        <f>OrdersTable[[#This Row],[Delivery Date]]-OrdersTable[[#This Row],[Order Date]]</f>
        <v>4</v>
      </c>
      <c r="AD40" t="str">
        <f>IF(OrdersTable[[#This Row],[Delivery Days]]&lt;=2, "Express (≤2d)", IF(OrdersTable[[#This Row],[Delivery Days]]&lt;=4, "Standard (3-4d)", "Delayed (5d+)"))</f>
        <v>Standard (3-4d)</v>
      </c>
      <c r="AF40">
        <v>0</v>
      </c>
    </row>
    <row r="41" spans="1:32" ht="15" x14ac:dyDescent="0.35">
      <c r="A41" t="s">
        <v>1038</v>
      </c>
      <c r="B41" s="1">
        <v>45297</v>
      </c>
      <c r="C41">
        <f>YEAR(OrdersTable[[#This Row],[Order Date]])</f>
        <v>2024</v>
      </c>
      <c r="D41" s="2">
        <f>DATE(YEAR(OrdersTable[[#This Row],[Order Date]]),MONTH(OrdersTable[[#This Row],[Order Date]]),1)</f>
        <v>45292</v>
      </c>
      <c r="E41">
        <f>MONTH(OrdersTable[[#This Row],[Order Date]])</f>
        <v>1</v>
      </c>
      <c r="F41" t="s">
        <v>352</v>
      </c>
      <c r="G41" t="str">
        <f>IF(OrdersTable[[#This Row],[Order Date]]=_xlfn.MINIFS(Order_Date, Customer_ID, OrdersTable[[#This Row],[Customer ID]]), "New", "Repeat")</f>
        <v>New</v>
      </c>
      <c r="H41" t="s">
        <v>59</v>
      </c>
      <c r="I41" t="str">
        <f>INDEX(State!B:B,MATCH(OrdersTable[[#This Row],[State]],State!A:A,0))</f>
        <v>TN</v>
      </c>
      <c r="J41" t="str">
        <f>INDEX(State!C:C,MATCH(OrdersTable[[#This Row],[State Code]],State!B:B,0))</f>
        <v>South</v>
      </c>
      <c r="K41" t="s">
        <v>60</v>
      </c>
      <c r="L41" t="s">
        <v>23</v>
      </c>
      <c r="M41" t="s">
        <v>66</v>
      </c>
      <c r="N41" t="str">
        <f>INDEX(Products!B:B,MATCH(OrdersTable[[#This Row],[Product ID]],Products!A:A,0))</f>
        <v>Sunscreen SPF 50</v>
      </c>
      <c r="O41" t="str">
        <f>INDEX(Products!C:C,MATCH(OrdersTable[[#This Row],[Product ID]],Products!A:A,0))</f>
        <v>Skincare</v>
      </c>
      <c r="P41">
        <v>1</v>
      </c>
      <c r="Q41" s="5">
        <v>449</v>
      </c>
      <c r="R41" s="74">
        <v>0.05</v>
      </c>
      <c r="S41" s="75">
        <f>OrdersTable[[#This Row],[Quantity]]*OrdersTable[[#This Row],[Unit Price]]</f>
        <v>449</v>
      </c>
      <c r="T41" s="5">
        <f>OrdersTable[[#This Row],[Gross Sale]]*OrdersTable[[#This Row],[Discount_Clean2]]</f>
        <v>22.450000000000003</v>
      </c>
      <c r="U41" s="5">
        <f>OrdersTable[[#This Row],[Gross Sale]]-OrdersTable[[#This Row],[Discount Amount]]</f>
        <v>426.55</v>
      </c>
      <c r="V41" s="77">
        <f>INDEX(Products!E:E,MATCH(OrdersTable[[#This Row],[Product ID]],Products!A:A,0))</f>
        <v>144</v>
      </c>
      <c r="W41" s="77">
        <f>OrdersTable[[#This Row],[Quantity]]*OrdersTable[[#This Row],[Unit Cost]]</f>
        <v>144</v>
      </c>
      <c r="X41" s="77">
        <f>'Dropdown Lists'!$I$2*(1+OrdersTable[[#This Row],[Returned]])</f>
        <v>120</v>
      </c>
      <c r="Y41" s="76">
        <f>OrdersTable[[#This Row],[Net Revenue]]-OrdersTable[[#This Row],[COGS]]-OrdersTable[[#This Row],[Shipping Cost]]</f>
        <v>162.55000000000001</v>
      </c>
      <c r="Z41" s="78">
        <f>IFERROR(OrdersTable[[#This Row],[Profit]]/OrdersTable[[#This Row],[Net Revenue]],0)</f>
        <v>0.38108076427148052</v>
      </c>
      <c r="AA41" t="s">
        <v>18</v>
      </c>
      <c r="AB41" s="79">
        <v>45298</v>
      </c>
      <c r="AC41">
        <f>OrdersTable[[#This Row],[Delivery Date]]-OrdersTable[[#This Row],[Order Date]]</f>
        <v>1</v>
      </c>
      <c r="AD41" t="str">
        <f>IF(OrdersTable[[#This Row],[Delivery Days]]&lt;=2, "Express (≤2d)", IF(OrdersTable[[#This Row],[Delivery Days]]&lt;=4, "Standard (3-4d)", "Delayed (5d+)"))</f>
        <v>Express (≤2d)</v>
      </c>
      <c r="AE41">
        <v>4</v>
      </c>
      <c r="AF41">
        <v>1</v>
      </c>
    </row>
    <row r="42" spans="1:32" ht="15" x14ac:dyDescent="0.35">
      <c r="A42" t="s">
        <v>3496</v>
      </c>
      <c r="B42" s="1">
        <v>45297</v>
      </c>
      <c r="C42">
        <f>YEAR(OrdersTable[[#This Row],[Order Date]])</f>
        <v>2024</v>
      </c>
      <c r="D42" s="2">
        <f>DATE(YEAR(OrdersTable[[#This Row],[Order Date]]),MONTH(OrdersTable[[#This Row],[Order Date]]),1)</f>
        <v>45292</v>
      </c>
      <c r="E42">
        <f>MONTH(OrdersTable[[#This Row],[Order Date]])</f>
        <v>1</v>
      </c>
      <c r="F42" t="s">
        <v>3497</v>
      </c>
      <c r="G42" t="str">
        <f>IF(OrdersTable[[#This Row],[Order Date]]=_xlfn.MINIFS(Order_Date, Customer_ID, OrdersTable[[#This Row],[Customer ID]]), "New", "Repeat")</f>
        <v>New</v>
      </c>
      <c r="H42" t="s">
        <v>59</v>
      </c>
      <c r="I42" t="str">
        <f>INDEX(State!B:B,MATCH(OrdersTable[[#This Row],[State]],State!A:A,0))</f>
        <v>TN</v>
      </c>
      <c r="J42" t="str">
        <f>INDEX(State!C:C,MATCH(OrdersTable[[#This Row],[State Code]],State!B:B,0))</f>
        <v>South</v>
      </c>
      <c r="K42" t="s">
        <v>60</v>
      </c>
      <c r="L42" t="s">
        <v>16</v>
      </c>
      <c r="M42" t="s">
        <v>576</v>
      </c>
      <c r="N42" t="str">
        <f>INDEX(Products!B:B,MATCH(OrdersTable[[#This Row],[Product ID]],Products!A:A,0))</f>
        <v>Printed Saree</v>
      </c>
      <c r="O42" t="str">
        <f>INDEX(Products!C:C,MATCH(OrdersTable[[#This Row],[Product ID]],Products!A:A,0))</f>
        <v>Apparel</v>
      </c>
      <c r="P42">
        <v>1</v>
      </c>
      <c r="Q42" s="5">
        <v>1999</v>
      </c>
      <c r="R42" s="74">
        <v>0.1</v>
      </c>
      <c r="S42" s="75">
        <f>OrdersTable[[#This Row],[Quantity]]*OrdersTable[[#This Row],[Unit Price]]</f>
        <v>1999</v>
      </c>
      <c r="T42" s="5">
        <f>OrdersTable[[#This Row],[Gross Sale]]*OrdersTable[[#This Row],[Discount_Clean2]]</f>
        <v>199.9</v>
      </c>
      <c r="U42" s="5">
        <f>OrdersTable[[#This Row],[Gross Sale]]-OrdersTable[[#This Row],[Discount Amount]]</f>
        <v>1799.1</v>
      </c>
      <c r="V42" s="77">
        <f>INDEX(Products!E:E,MATCH(OrdersTable[[#This Row],[Product ID]],Products!A:A,0))</f>
        <v>880</v>
      </c>
      <c r="W42" s="77">
        <f>OrdersTable[[#This Row],[Quantity]]*OrdersTable[[#This Row],[Unit Cost]]</f>
        <v>880</v>
      </c>
      <c r="X42" s="77">
        <f>'Dropdown Lists'!$I$2*(1+OrdersTable[[#This Row],[Returned]])</f>
        <v>60</v>
      </c>
      <c r="Y42" s="76">
        <f>OrdersTable[[#This Row],[Net Revenue]]-OrdersTable[[#This Row],[COGS]]-OrdersTable[[#This Row],[Shipping Cost]]</f>
        <v>859.09999999999991</v>
      </c>
      <c r="Z42" s="78">
        <f>IFERROR(OrdersTable[[#This Row],[Profit]]/OrdersTable[[#This Row],[Net Revenue]],0)</f>
        <v>0.47751653604580063</v>
      </c>
      <c r="AA42" t="s">
        <v>3495</v>
      </c>
      <c r="AB42" s="79">
        <v>45300</v>
      </c>
      <c r="AC42">
        <f>OrdersTable[[#This Row],[Delivery Date]]-OrdersTable[[#This Row],[Order Date]]</f>
        <v>3</v>
      </c>
      <c r="AD42" t="str">
        <f>IF(OrdersTable[[#This Row],[Delivery Days]]&lt;=2, "Express (≤2d)", IF(OrdersTable[[#This Row],[Delivery Days]]&lt;=4, "Standard (3-4d)", "Delayed (5d+)"))</f>
        <v>Standard (3-4d)</v>
      </c>
      <c r="AE42">
        <v>4</v>
      </c>
      <c r="AF42">
        <v>0</v>
      </c>
    </row>
    <row r="43" spans="1:32" ht="15" x14ac:dyDescent="0.35">
      <c r="A43" t="s">
        <v>19</v>
      </c>
      <c r="B43" s="1">
        <v>45298</v>
      </c>
      <c r="C43">
        <f>YEAR(OrdersTable[[#This Row],[Order Date]])</f>
        <v>2024</v>
      </c>
      <c r="D43" s="2">
        <f>DATE(YEAR(OrdersTable[[#This Row],[Order Date]]),MONTH(OrdersTable[[#This Row],[Order Date]]),1)</f>
        <v>45292</v>
      </c>
      <c r="E43">
        <f>MONTH(OrdersTable[[#This Row],[Order Date]])</f>
        <v>1</v>
      </c>
      <c r="F43" t="s">
        <v>20</v>
      </c>
      <c r="G43" t="str">
        <f>IF(OrdersTable[[#This Row],[Order Date]]=_xlfn.MINIFS(Order_Date, Customer_ID, OrdersTable[[#This Row],[Customer ID]]), "New", "Repeat")</f>
        <v>New</v>
      </c>
      <c r="H43" t="s">
        <v>21</v>
      </c>
      <c r="I43" t="str">
        <f>INDEX(State!B:B,MATCH(OrdersTable[[#This Row],[State]],State!A:A,0))</f>
        <v>PB</v>
      </c>
      <c r="J43" t="str">
        <f>INDEX(State!C:C,MATCH(OrdersTable[[#This Row],[State Code]],State!B:B,0))</f>
        <v>North</v>
      </c>
      <c r="K43" t="s">
        <v>22</v>
      </c>
      <c r="L43" t="s">
        <v>23</v>
      </c>
      <c r="M43" t="s">
        <v>24</v>
      </c>
      <c r="N43" t="str">
        <f>INDEX(Products!B:B,MATCH(OrdersTable[[#This Row],[Product ID]],Products!A:A,0))</f>
        <v>Scented Candle Set</v>
      </c>
      <c r="O43" t="str">
        <f>INDEX(Products!C:C,MATCH(OrdersTable[[#This Row],[Product ID]],Products!A:A,0))</f>
        <v>Home &amp; Kitchen</v>
      </c>
      <c r="P43">
        <v>1</v>
      </c>
      <c r="Q43" s="5">
        <v>699</v>
      </c>
      <c r="R43" s="74">
        <v>0.25</v>
      </c>
      <c r="S43" s="75">
        <f>OrdersTable[[#This Row],[Quantity]]*OrdersTable[[#This Row],[Unit Price]]</f>
        <v>699</v>
      </c>
      <c r="T43" s="5">
        <f>OrdersTable[[#This Row],[Gross Sale]]*OrdersTable[[#This Row],[Discount_Clean2]]</f>
        <v>174.75</v>
      </c>
      <c r="U43" s="5">
        <f>OrdersTable[[#This Row],[Gross Sale]]-OrdersTable[[#This Row],[Discount Amount]]</f>
        <v>524.25</v>
      </c>
      <c r="V43" s="77">
        <f>INDEX(Products!E:E,MATCH(OrdersTable[[#This Row],[Product ID]],Products!A:A,0))</f>
        <v>245</v>
      </c>
      <c r="W43" s="77">
        <f>OrdersTable[[#This Row],[Quantity]]*OrdersTable[[#This Row],[Unit Cost]]</f>
        <v>245</v>
      </c>
      <c r="X43" s="77">
        <f>'Dropdown Lists'!$I$2*(1+OrdersTable[[#This Row],[Returned]])</f>
        <v>60</v>
      </c>
      <c r="Y43" s="76">
        <f>OrdersTable[[#This Row],[Net Revenue]]-OrdersTable[[#This Row],[COGS]]-OrdersTable[[#This Row],[Shipping Cost]]</f>
        <v>219.25</v>
      </c>
      <c r="Z43" s="78">
        <f>IFERROR(OrdersTable[[#This Row],[Profit]]/OrdersTable[[#This Row],[Net Revenue]],0)</f>
        <v>0.41821649976156416</v>
      </c>
      <c r="AA43" t="s">
        <v>18</v>
      </c>
      <c r="AB43" s="79">
        <v>45302</v>
      </c>
      <c r="AC43">
        <f>OrdersTable[[#This Row],[Delivery Date]]-OrdersTable[[#This Row],[Order Date]]</f>
        <v>4</v>
      </c>
      <c r="AD43" t="str">
        <f>IF(OrdersTable[[#This Row],[Delivery Days]]&lt;=2, "Express (≤2d)", IF(OrdersTable[[#This Row],[Delivery Days]]&lt;=4, "Standard (3-4d)", "Delayed (5d+)"))</f>
        <v>Standard (3-4d)</v>
      </c>
      <c r="AE43">
        <v>4</v>
      </c>
      <c r="AF43">
        <v>0</v>
      </c>
    </row>
    <row r="44" spans="1:32" ht="15" x14ac:dyDescent="0.35">
      <c r="A44" t="s">
        <v>4744</v>
      </c>
      <c r="B44" s="1">
        <v>45298</v>
      </c>
      <c r="C44">
        <f>YEAR(OrdersTable[[#This Row],[Order Date]])</f>
        <v>2024</v>
      </c>
      <c r="D44" s="2">
        <f>DATE(YEAR(OrdersTable[[#This Row],[Order Date]]),MONTH(OrdersTable[[#This Row],[Order Date]]),1)</f>
        <v>45292</v>
      </c>
      <c r="E44">
        <f>MONTH(OrdersTable[[#This Row],[Order Date]])</f>
        <v>1</v>
      </c>
      <c r="F44" t="s">
        <v>4745</v>
      </c>
      <c r="G44" t="str">
        <f>IF(OrdersTable[[#This Row],[Order Date]]=_xlfn.MINIFS(Order_Date, Customer_ID, OrdersTable[[#This Row],[Customer ID]]), "New", "Repeat")</f>
        <v>New</v>
      </c>
      <c r="H44" t="s">
        <v>54</v>
      </c>
      <c r="I44" t="str">
        <f>INDEX(State!B:B,MATCH(OrdersTable[[#This Row],[State]],State!A:A,0))</f>
        <v>RJ</v>
      </c>
      <c r="J44" t="str">
        <f>INDEX(State!C:C,MATCH(OrdersTable[[#This Row],[State Code]],State!B:B,0))</f>
        <v>North</v>
      </c>
      <c r="K44" t="s">
        <v>55</v>
      </c>
      <c r="L44" t="s">
        <v>65</v>
      </c>
      <c r="M44" t="s">
        <v>109</v>
      </c>
      <c r="N44" t="str">
        <f>INDEX(Products!B:B,MATCH(OrdersTable[[#This Row],[Product ID]],Products!A:A,0))</f>
        <v>Onion Hair Oil</v>
      </c>
      <c r="O44" t="str">
        <f>INDEX(Products!C:C,MATCH(OrdersTable[[#This Row],[Product ID]],Products!A:A,0))</f>
        <v>Haircare</v>
      </c>
      <c r="P44">
        <v>2</v>
      </c>
      <c r="Q44" s="5">
        <v>349</v>
      </c>
      <c r="R44" s="74">
        <v>0.3</v>
      </c>
      <c r="S44" s="75">
        <f>OrdersTable[[#This Row],[Quantity]]*OrdersTable[[#This Row],[Unit Price]]</f>
        <v>698</v>
      </c>
      <c r="T44" s="5">
        <f>OrdersTable[[#This Row],[Gross Sale]]*OrdersTable[[#This Row],[Discount_Clean2]]</f>
        <v>209.4</v>
      </c>
      <c r="U44" s="5">
        <f>OrdersTable[[#This Row],[Gross Sale]]-OrdersTable[[#This Row],[Discount Amount]]</f>
        <v>488.6</v>
      </c>
      <c r="V44" s="77">
        <f>INDEX(Products!E:E,MATCH(OrdersTable[[#This Row],[Product ID]],Products!A:A,0))</f>
        <v>105</v>
      </c>
      <c r="W44" s="77">
        <f>OrdersTable[[#This Row],[Quantity]]*OrdersTable[[#This Row],[Unit Cost]]</f>
        <v>210</v>
      </c>
      <c r="X44" s="77">
        <f>'Dropdown Lists'!$I$2*(1+OrdersTable[[#This Row],[Returned]])</f>
        <v>60</v>
      </c>
      <c r="Y44" s="76">
        <f>OrdersTable[[#This Row],[Net Revenue]]-OrdersTable[[#This Row],[COGS]]-OrdersTable[[#This Row],[Shipping Cost]]</f>
        <v>218.60000000000002</v>
      </c>
      <c r="Z44" s="78">
        <f>IFERROR(OrdersTable[[#This Row],[Profit]]/OrdersTable[[#This Row],[Net Revenue]],0)</f>
        <v>0.44740073679901765</v>
      </c>
      <c r="AA44" t="s">
        <v>4450</v>
      </c>
      <c r="AB44" s="79">
        <v>45303</v>
      </c>
      <c r="AC44">
        <f>OrdersTable[[#This Row],[Delivery Date]]-OrdersTable[[#This Row],[Order Date]]</f>
        <v>5</v>
      </c>
      <c r="AD44" t="str">
        <f>IF(OrdersTable[[#This Row],[Delivery Days]]&lt;=2, "Express (≤2d)", IF(OrdersTable[[#This Row],[Delivery Days]]&lt;=4, "Standard (3-4d)", "Delayed (5d+)"))</f>
        <v>Delayed (5d+)</v>
      </c>
      <c r="AE44">
        <v>4</v>
      </c>
      <c r="AF44">
        <v>0</v>
      </c>
    </row>
    <row r="45" spans="1:32" ht="15" x14ac:dyDescent="0.35">
      <c r="A45" t="s">
        <v>3498</v>
      </c>
      <c r="B45" s="1">
        <v>45298</v>
      </c>
      <c r="C45">
        <f>YEAR(OrdersTable[[#This Row],[Order Date]])</f>
        <v>2024</v>
      </c>
      <c r="D45" s="2">
        <f>DATE(YEAR(OrdersTable[[#This Row],[Order Date]]),MONTH(OrdersTable[[#This Row],[Order Date]]),1)</f>
        <v>45292</v>
      </c>
      <c r="E45">
        <f>MONTH(OrdersTable[[#This Row],[Order Date]])</f>
        <v>1</v>
      </c>
      <c r="F45" t="s">
        <v>1388</v>
      </c>
      <c r="G45" t="str">
        <f>IF(OrdersTable[[#This Row],[Order Date]]=_xlfn.MINIFS(Order_Date, Customer_ID, OrdersTable[[#This Row],[Customer ID]]), "New", "Repeat")</f>
        <v>New</v>
      </c>
      <c r="H45" t="s">
        <v>48</v>
      </c>
      <c r="I45" t="str">
        <f>INDEX(State!B:B,MATCH(OrdersTable[[#This Row],[State]],State!A:A,0))</f>
        <v>HR</v>
      </c>
      <c r="J45" t="str">
        <f>INDEX(State!C:C,MATCH(OrdersTable[[#This Row],[State Code]],State!B:B,0))</f>
        <v>North</v>
      </c>
      <c r="K45" t="s">
        <v>151</v>
      </c>
      <c r="L45" t="s">
        <v>16</v>
      </c>
      <c r="M45" t="s">
        <v>92</v>
      </c>
      <c r="N45" t="str">
        <f>INDEX(Products!B:B,MATCH(OrdersTable[[#This Row],[Product ID]],Products!A:A,0))</f>
        <v>Kolhapuri Sandals</v>
      </c>
      <c r="O45" t="str">
        <f>INDEX(Products!C:C,MATCH(OrdersTable[[#This Row],[Product ID]],Products!A:A,0))</f>
        <v>Footwear</v>
      </c>
      <c r="P45">
        <v>1</v>
      </c>
      <c r="Q45" s="5">
        <v>999</v>
      </c>
      <c r="R45" s="74">
        <v>0.05</v>
      </c>
      <c r="S45" s="75">
        <f>OrdersTable[[#This Row],[Quantity]]*OrdersTable[[#This Row],[Unit Price]]</f>
        <v>999</v>
      </c>
      <c r="T45" s="5">
        <f>OrdersTable[[#This Row],[Gross Sale]]*OrdersTable[[#This Row],[Discount_Clean2]]</f>
        <v>49.95</v>
      </c>
      <c r="U45" s="5">
        <f>OrdersTable[[#This Row],[Gross Sale]]-OrdersTable[[#This Row],[Discount Amount]]</f>
        <v>949.05</v>
      </c>
      <c r="V45" s="77">
        <f>INDEX(Products!E:E,MATCH(OrdersTable[[#This Row],[Product ID]],Products!A:A,0))</f>
        <v>400</v>
      </c>
      <c r="W45" s="77">
        <f>OrdersTable[[#This Row],[Quantity]]*OrdersTable[[#This Row],[Unit Cost]]</f>
        <v>400</v>
      </c>
      <c r="X45" s="77">
        <f>'Dropdown Lists'!$I$2*(1+OrdersTable[[#This Row],[Returned]])</f>
        <v>60</v>
      </c>
      <c r="Y45" s="76">
        <f>OrdersTable[[#This Row],[Net Revenue]]-OrdersTable[[#This Row],[COGS]]-OrdersTable[[#This Row],[Shipping Cost]]</f>
        <v>489.04999999999995</v>
      </c>
      <c r="Z45" s="78">
        <f>IFERROR(OrdersTable[[#This Row],[Profit]]/OrdersTable[[#This Row],[Net Revenue]],0)</f>
        <v>0.5153047784626732</v>
      </c>
      <c r="AA45" t="s">
        <v>3495</v>
      </c>
      <c r="AB45" s="79">
        <v>45301</v>
      </c>
      <c r="AC45">
        <f>OrdersTable[[#This Row],[Delivery Date]]-OrdersTable[[#This Row],[Order Date]]</f>
        <v>3</v>
      </c>
      <c r="AD45" t="str">
        <f>IF(OrdersTable[[#This Row],[Delivery Days]]&lt;=2, "Express (≤2d)", IF(OrdersTable[[#This Row],[Delivery Days]]&lt;=4, "Standard (3-4d)", "Delayed (5d+)"))</f>
        <v>Standard (3-4d)</v>
      </c>
      <c r="AE45">
        <v>4</v>
      </c>
      <c r="AF45">
        <v>0</v>
      </c>
    </row>
    <row r="46" spans="1:32" ht="15" x14ac:dyDescent="0.35">
      <c r="A46" t="s">
        <v>6247</v>
      </c>
      <c r="B46" s="1">
        <v>45298</v>
      </c>
      <c r="C46">
        <f>YEAR(OrdersTable[[#This Row],[Order Date]])</f>
        <v>2024</v>
      </c>
      <c r="D46" s="2">
        <f>DATE(YEAR(OrdersTable[[#This Row],[Order Date]]),MONTH(OrdersTable[[#This Row],[Order Date]]),1)</f>
        <v>45292</v>
      </c>
      <c r="E46">
        <f>MONTH(OrdersTable[[#This Row],[Order Date]])</f>
        <v>1</v>
      </c>
      <c r="F46" t="s">
        <v>4695</v>
      </c>
      <c r="G46" t="str">
        <f>IF(OrdersTable[[#This Row],[Order Date]]=_xlfn.MINIFS(Order_Date, Customer_ID, OrdersTable[[#This Row],[Customer ID]]), "New", "Repeat")</f>
        <v>New</v>
      </c>
      <c r="H46" t="s">
        <v>128</v>
      </c>
      <c r="I46" t="str">
        <f>INDEX(State!B:B,MATCH(OrdersTable[[#This Row],[State]],State!A:A,0))</f>
        <v>DL</v>
      </c>
      <c r="J46" t="str">
        <f>INDEX(State!C:C,MATCH(OrdersTable[[#This Row],[State Code]],State!B:B,0))</f>
        <v>North</v>
      </c>
      <c r="K46" t="s">
        <v>129</v>
      </c>
      <c r="L46" t="s">
        <v>50</v>
      </c>
      <c r="M46" t="s">
        <v>152</v>
      </c>
      <c r="N46" t="str">
        <f>INDEX(Products!B:B,MATCH(OrdersTable[[#This Row],[Product ID]],Products!A:A,0))</f>
        <v>Green Tea (100 bags)</v>
      </c>
      <c r="O46" t="str">
        <f>INDEX(Products!C:C,MATCH(OrdersTable[[#This Row],[Product ID]],Products!A:A,0))</f>
        <v>Wellness</v>
      </c>
      <c r="P46">
        <v>2</v>
      </c>
      <c r="Q46" s="5">
        <v>399</v>
      </c>
      <c r="R46" s="74">
        <v>0.45</v>
      </c>
      <c r="S46" s="75">
        <f>OrdersTable[[#This Row],[Quantity]]*OrdersTable[[#This Row],[Unit Price]]</f>
        <v>798</v>
      </c>
      <c r="T46" s="5">
        <f>OrdersTable[[#This Row],[Gross Sale]]*OrdersTable[[#This Row],[Discount_Clean2]]</f>
        <v>359.1</v>
      </c>
      <c r="U46" s="5">
        <f>OrdersTable[[#This Row],[Gross Sale]]-OrdersTable[[#This Row],[Discount Amount]]</f>
        <v>438.9</v>
      </c>
      <c r="V46" s="77">
        <f>INDEX(Products!E:E,MATCH(OrdersTable[[#This Row],[Product ID]],Products!A:A,0))</f>
        <v>128</v>
      </c>
      <c r="W46" s="77">
        <f>OrdersTable[[#This Row],[Quantity]]*OrdersTable[[#This Row],[Unit Cost]]</f>
        <v>256</v>
      </c>
      <c r="X46" s="77">
        <f>'Dropdown Lists'!$I$2*(1+OrdersTable[[#This Row],[Returned]])</f>
        <v>60</v>
      </c>
      <c r="Y46" s="76">
        <f>OrdersTable[[#This Row],[Net Revenue]]-OrdersTable[[#This Row],[COGS]]-OrdersTable[[#This Row],[Shipping Cost]]</f>
        <v>122.89999999999998</v>
      </c>
      <c r="Z46" s="78">
        <f>IFERROR(OrdersTable[[#This Row],[Profit]]/OrdersTable[[#This Row],[Net Revenue]],0)</f>
        <v>0.28001822738664839</v>
      </c>
      <c r="AA46" t="s">
        <v>18</v>
      </c>
      <c r="AB46" s="79">
        <v>45299</v>
      </c>
      <c r="AC46">
        <f>OrdersTable[[#This Row],[Delivery Date]]-OrdersTable[[#This Row],[Order Date]]</f>
        <v>1</v>
      </c>
      <c r="AD46" t="str">
        <f>IF(OrdersTable[[#This Row],[Delivery Days]]&lt;=2, "Express (≤2d)", IF(OrdersTable[[#This Row],[Delivery Days]]&lt;=4, "Standard (3-4d)", "Delayed (5d+)"))</f>
        <v>Express (≤2d)</v>
      </c>
      <c r="AE46">
        <v>4</v>
      </c>
      <c r="AF46">
        <v>0</v>
      </c>
    </row>
    <row r="47" spans="1:32" ht="15" x14ac:dyDescent="0.35">
      <c r="A47" t="s">
        <v>6937</v>
      </c>
      <c r="B47" s="1">
        <v>45298</v>
      </c>
      <c r="C47">
        <f>YEAR(OrdersTable[[#This Row],[Order Date]])</f>
        <v>2024</v>
      </c>
      <c r="D47" s="2">
        <f>DATE(YEAR(OrdersTable[[#This Row],[Order Date]]),MONTH(OrdersTable[[#This Row],[Order Date]]),1)</f>
        <v>45292</v>
      </c>
      <c r="E47">
        <f>MONTH(OrdersTable[[#This Row],[Order Date]])</f>
        <v>1</v>
      </c>
      <c r="F47" t="s">
        <v>3305</v>
      </c>
      <c r="G47" t="str">
        <f>IF(OrdersTable[[#This Row],[Order Date]]=_xlfn.MINIFS(Order_Date, Customer_ID, OrdersTable[[#This Row],[Customer ID]]), "New", "Repeat")</f>
        <v>New</v>
      </c>
      <c r="H47" t="s">
        <v>128</v>
      </c>
      <c r="I47" t="str">
        <f>INDEX(State!B:B,MATCH(OrdersTable[[#This Row],[State]],State!A:A,0))</f>
        <v>DL</v>
      </c>
      <c r="J47" t="str">
        <f>INDEX(State!C:C,MATCH(OrdersTable[[#This Row],[State Code]],State!B:B,0))</f>
        <v>North</v>
      </c>
      <c r="K47" t="s">
        <v>129</v>
      </c>
      <c r="L47" t="s">
        <v>23</v>
      </c>
      <c r="M47" t="s">
        <v>56</v>
      </c>
      <c r="N47" t="str">
        <f>INDEX(Products!B:B,MATCH(OrdersTable[[#This Row],[Product ID]],Products!A:A,0))</f>
        <v>Vitamin C Face Serum</v>
      </c>
      <c r="O47" t="str">
        <f>INDEX(Products!C:C,MATCH(OrdersTable[[#This Row],[Product ID]],Products!A:A,0))</f>
        <v>Skincare</v>
      </c>
      <c r="P47">
        <v>4</v>
      </c>
      <c r="Q47" s="5">
        <v>599</v>
      </c>
      <c r="R47" s="74">
        <v>0.1</v>
      </c>
      <c r="S47" s="75">
        <f>OrdersTable[[#This Row],[Quantity]]*OrdersTable[[#This Row],[Unit Price]]</f>
        <v>2396</v>
      </c>
      <c r="T47" s="5">
        <f>OrdersTable[[#This Row],[Gross Sale]]*OrdersTable[[#This Row],[Discount_Clean2]]</f>
        <v>239.60000000000002</v>
      </c>
      <c r="U47" s="5">
        <f>OrdersTable[[#This Row],[Gross Sale]]-OrdersTable[[#This Row],[Discount Amount]]</f>
        <v>2156.4</v>
      </c>
      <c r="V47" s="77">
        <f>INDEX(Products!E:E,MATCH(OrdersTable[[#This Row],[Product ID]],Products!A:A,0))</f>
        <v>180</v>
      </c>
      <c r="W47" s="77">
        <f>OrdersTable[[#This Row],[Quantity]]*OrdersTable[[#This Row],[Unit Cost]]</f>
        <v>720</v>
      </c>
      <c r="X47" s="77">
        <f>'Dropdown Lists'!$I$2*(1+OrdersTable[[#This Row],[Returned]])</f>
        <v>60</v>
      </c>
      <c r="Y47" s="76">
        <f>OrdersTable[[#This Row],[Net Revenue]]-OrdersTable[[#This Row],[COGS]]-OrdersTable[[#This Row],[Shipping Cost]]</f>
        <v>1376.4</v>
      </c>
      <c r="Z47" s="78">
        <f>IFERROR(OrdersTable[[#This Row],[Profit]]/OrdersTable[[#This Row],[Net Revenue]],0)</f>
        <v>0.63828603227601555</v>
      </c>
      <c r="AA47" t="s">
        <v>2522</v>
      </c>
      <c r="AB47" s="79">
        <v>45304</v>
      </c>
      <c r="AC47">
        <f>OrdersTable[[#This Row],[Delivery Date]]-OrdersTable[[#This Row],[Order Date]]</f>
        <v>6</v>
      </c>
      <c r="AD47" t="str">
        <f>IF(OrdersTable[[#This Row],[Delivery Days]]&lt;=2, "Express (≤2d)", IF(OrdersTable[[#This Row],[Delivery Days]]&lt;=4, "Standard (3-4d)", "Delayed (5d+)"))</f>
        <v>Delayed (5d+)</v>
      </c>
      <c r="AE47">
        <v>3</v>
      </c>
      <c r="AF47">
        <v>0</v>
      </c>
    </row>
    <row r="48" spans="1:32" ht="15" x14ac:dyDescent="0.35">
      <c r="A48" t="s">
        <v>2069</v>
      </c>
      <c r="B48" s="1">
        <v>45298</v>
      </c>
      <c r="C48">
        <f>YEAR(OrdersTable[[#This Row],[Order Date]])</f>
        <v>2024</v>
      </c>
      <c r="D48" s="2">
        <f>DATE(YEAR(OrdersTable[[#This Row],[Order Date]]),MONTH(OrdersTable[[#This Row],[Order Date]]),1)</f>
        <v>45292</v>
      </c>
      <c r="E48">
        <f>MONTH(OrdersTable[[#This Row],[Order Date]])</f>
        <v>1</v>
      </c>
      <c r="F48" t="s">
        <v>2070</v>
      </c>
      <c r="G48" t="str">
        <f>IF(OrdersTable[[#This Row],[Order Date]]=_xlfn.MINIFS(Order_Date, Customer_ID, OrdersTable[[#This Row],[Customer ID]]), "New", "Repeat")</f>
        <v>New</v>
      </c>
      <c r="H48" t="s">
        <v>43</v>
      </c>
      <c r="I48" t="str">
        <f>INDEX(State!B:B,MATCH(OrdersTable[[#This Row],[State]],State!A:A,0))</f>
        <v>MP</v>
      </c>
      <c r="J48" t="str">
        <f>INDEX(State!C:C,MATCH(OrdersTable[[#This Row],[State Code]],State!B:B,0))</f>
        <v>West</v>
      </c>
      <c r="K48" t="s">
        <v>250</v>
      </c>
      <c r="L48" t="s">
        <v>65</v>
      </c>
      <c r="M48" t="s">
        <v>92</v>
      </c>
      <c r="N48" t="str">
        <f>INDEX(Products!B:B,MATCH(OrdersTable[[#This Row],[Product ID]],Products!A:A,0))</f>
        <v>Kolhapuri Sandals</v>
      </c>
      <c r="O48" t="str">
        <f>INDEX(Products!C:C,MATCH(OrdersTable[[#This Row],[Product ID]],Products!A:A,0))</f>
        <v>Footwear</v>
      </c>
      <c r="P48">
        <v>1</v>
      </c>
      <c r="Q48" s="5">
        <v>999</v>
      </c>
      <c r="R48" s="74">
        <v>0</v>
      </c>
      <c r="S48" s="75">
        <f>OrdersTable[[#This Row],[Quantity]]*OrdersTable[[#This Row],[Unit Price]]</f>
        <v>999</v>
      </c>
      <c r="T48" s="5">
        <f>OrdersTable[[#This Row],[Gross Sale]]*OrdersTable[[#This Row],[Discount_Clean2]]</f>
        <v>0</v>
      </c>
      <c r="U48" s="5">
        <f>OrdersTable[[#This Row],[Gross Sale]]-OrdersTable[[#This Row],[Discount Amount]]</f>
        <v>999</v>
      </c>
      <c r="V48" s="77">
        <f>INDEX(Products!E:E,MATCH(OrdersTable[[#This Row],[Product ID]],Products!A:A,0))</f>
        <v>400</v>
      </c>
      <c r="W48" s="77">
        <f>OrdersTable[[#This Row],[Quantity]]*OrdersTable[[#This Row],[Unit Cost]]</f>
        <v>400</v>
      </c>
      <c r="X48" s="77">
        <f>'Dropdown Lists'!$I$2*(1+OrdersTable[[#This Row],[Returned]])</f>
        <v>60</v>
      </c>
      <c r="Y48" s="76">
        <f>OrdersTable[[#This Row],[Net Revenue]]-OrdersTable[[#This Row],[COGS]]-OrdersTable[[#This Row],[Shipping Cost]]</f>
        <v>539</v>
      </c>
      <c r="Z48" s="78">
        <f>IFERROR(OrdersTable[[#This Row],[Profit]]/OrdersTable[[#This Row],[Net Revenue]],0)</f>
        <v>0.53953953953953959</v>
      </c>
      <c r="AA48" t="s">
        <v>18</v>
      </c>
      <c r="AB48" s="79">
        <v>45302</v>
      </c>
      <c r="AC48">
        <f>OrdersTable[[#This Row],[Delivery Date]]-OrdersTable[[#This Row],[Order Date]]</f>
        <v>4</v>
      </c>
      <c r="AD48" t="str">
        <f>IF(OrdersTable[[#This Row],[Delivery Days]]&lt;=2, "Express (≤2d)", IF(OrdersTable[[#This Row],[Delivery Days]]&lt;=4, "Standard (3-4d)", "Delayed (5d+)"))</f>
        <v>Standard (3-4d)</v>
      </c>
      <c r="AE48">
        <v>3</v>
      </c>
      <c r="AF48">
        <v>0</v>
      </c>
    </row>
    <row r="49" spans="1:32" ht="15" x14ac:dyDescent="0.35">
      <c r="A49" t="s">
        <v>5294</v>
      </c>
      <c r="B49" s="1">
        <v>45299</v>
      </c>
      <c r="C49">
        <f>YEAR(OrdersTable[[#This Row],[Order Date]])</f>
        <v>2024</v>
      </c>
      <c r="D49" s="2">
        <f>DATE(YEAR(OrdersTable[[#This Row],[Order Date]]),MONTH(OrdersTable[[#This Row],[Order Date]]),1)</f>
        <v>45292</v>
      </c>
      <c r="E49">
        <f>MONTH(OrdersTable[[#This Row],[Order Date]])</f>
        <v>1</v>
      </c>
      <c r="F49" t="s">
        <v>2283</v>
      </c>
      <c r="G49" t="str">
        <f>IF(OrdersTable[[#This Row],[Order Date]]=_xlfn.MINIFS(Order_Date, Customer_ID, OrdersTable[[#This Row],[Customer ID]]), "New", "Repeat")</f>
        <v>New</v>
      </c>
      <c r="H49" t="s">
        <v>54</v>
      </c>
      <c r="I49" t="str">
        <f>INDEX(State!B:B,MATCH(OrdersTable[[#This Row],[State]],State!A:A,0))</f>
        <v>RJ</v>
      </c>
      <c r="J49" t="str">
        <f>INDEX(State!C:C,MATCH(OrdersTable[[#This Row],[State Code]],State!B:B,0))</f>
        <v>North</v>
      </c>
      <c r="K49" t="s">
        <v>55</v>
      </c>
      <c r="L49" t="s">
        <v>65</v>
      </c>
      <c r="M49" t="s">
        <v>29</v>
      </c>
      <c r="N49" t="str">
        <f>INDEX(Products!B:B,MATCH(OrdersTable[[#This Row],[Product ID]],Products!A:A,0))</f>
        <v>Joggers</v>
      </c>
      <c r="O49" t="str">
        <f>INDEX(Products!C:C,MATCH(OrdersTable[[#This Row],[Product ID]],Products!A:A,0))</f>
        <v>Apparel</v>
      </c>
      <c r="P49">
        <v>2</v>
      </c>
      <c r="Q49" s="5">
        <v>1199</v>
      </c>
      <c r="R49" s="74">
        <v>0.1</v>
      </c>
      <c r="S49" s="75">
        <f>OrdersTable[[#This Row],[Quantity]]*OrdersTable[[#This Row],[Unit Price]]</f>
        <v>2398</v>
      </c>
      <c r="T49" s="5">
        <f>OrdersTable[[#This Row],[Gross Sale]]*OrdersTable[[#This Row],[Discount_Clean2]]</f>
        <v>239.8</v>
      </c>
      <c r="U49" s="5">
        <f>OrdersTable[[#This Row],[Gross Sale]]-OrdersTable[[#This Row],[Discount Amount]]</f>
        <v>2158.1999999999998</v>
      </c>
      <c r="V49" s="77">
        <f>INDEX(Products!E:E,MATCH(OrdersTable[[#This Row],[Product ID]],Products!A:A,0))</f>
        <v>492</v>
      </c>
      <c r="W49" s="77">
        <f>OrdersTable[[#This Row],[Quantity]]*OrdersTable[[#This Row],[Unit Cost]]</f>
        <v>984</v>
      </c>
      <c r="X49" s="77">
        <f>'Dropdown Lists'!$I$2*(1+OrdersTable[[#This Row],[Returned]])</f>
        <v>60</v>
      </c>
      <c r="Y49" s="76">
        <f>OrdersTable[[#This Row],[Net Revenue]]-OrdersTable[[#This Row],[COGS]]-OrdersTable[[#This Row],[Shipping Cost]]</f>
        <v>1114.1999999999998</v>
      </c>
      <c r="Z49" s="78">
        <f>IFERROR(OrdersTable[[#This Row],[Profit]]/OrdersTable[[#This Row],[Net Revenue]],0)</f>
        <v>0.51626355296080062</v>
      </c>
      <c r="AA49" t="s">
        <v>2522</v>
      </c>
      <c r="AB49" s="79">
        <v>45302</v>
      </c>
      <c r="AC49">
        <f>OrdersTable[[#This Row],[Delivery Date]]-OrdersTable[[#This Row],[Order Date]]</f>
        <v>3</v>
      </c>
      <c r="AD49" t="str">
        <f>IF(OrdersTable[[#This Row],[Delivery Days]]&lt;=2, "Express (≤2d)", IF(OrdersTable[[#This Row],[Delivery Days]]&lt;=4, "Standard (3-4d)", "Delayed (5d+)"))</f>
        <v>Standard (3-4d)</v>
      </c>
      <c r="AF49">
        <v>0</v>
      </c>
    </row>
    <row r="50" spans="1:32" ht="15" x14ac:dyDescent="0.35">
      <c r="A50" t="s">
        <v>1463</v>
      </c>
      <c r="B50" s="1">
        <v>45299</v>
      </c>
      <c r="C50">
        <f>YEAR(OrdersTable[[#This Row],[Order Date]])</f>
        <v>2024</v>
      </c>
      <c r="D50" s="2">
        <f>DATE(YEAR(OrdersTable[[#This Row],[Order Date]]),MONTH(OrdersTable[[#This Row],[Order Date]]),1)</f>
        <v>45292</v>
      </c>
      <c r="E50">
        <f>MONTH(OrdersTable[[#This Row],[Order Date]])</f>
        <v>1</v>
      </c>
      <c r="F50" t="s">
        <v>26</v>
      </c>
      <c r="G50" t="str">
        <f>IF(OrdersTable[[#This Row],[Order Date]]=_xlfn.MINIFS(Order_Date, Customer_ID, OrdersTable[[#This Row],[Customer ID]]), "New", "Repeat")</f>
        <v>New</v>
      </c>
      <c r="H50" t="s">
        <v>37</v>
      </c>
      <c r="I50" t="str">
        <f>INDEX(State!B:B,MATCH(OrdersTable[[#This Row],[State]],State!A:A,0))</f>
        <v>GJ</v>
      </c>
      <c r="J50" t="str">
        <f>INDEX(State!C:C,MATCH(OrdersTable[[#This Row],[State Code]],State!B:B,0))</f>
        <v>West</v>
      </c>
      <c r="K50" t="s">
        <v>247</v>
      </c>
      <c r="L50" t="s">
        <v>39</v>
      </c>
      <c r="M50" t="s">
        <v>84</v>
      </c>
      <c r="N50" t="str">
        <f>INDEX(Products!B:B,MATCH(OrdersTable[[#This Row],[Product ID]],Products!A:A,0))</f>
        <v>Cotton Bedsheet</v>
      </c>
      <c r="O50" t="str">
        <f>INDEX(Products!C:C,MATCH(OrdersTable[[#This Row],[Product ID]],Products!A:A,0))</f>
        <v>Home &amp; Kitchen</v>
      </c>
      <c r="P50">
        <v>1</v>
      </c>
      <c r="Q50" s="5">
        <v>1299</v>
      </c>
      <c r="R50" s="74">
        <v>0.05</v>
      </c>
      <c r="S50" s="75">
        <f>OrdersTable[[#This Row],[Quantity]]*OrdersTable[[#This Row],[Unit Price]]</f>
        <v>1299</v>
      </c>
      <c r="T50" s="5">
        <f>OrdersTable[[#This Row],[Gross Sale]]*OrdersTable[[#This Row],[Discount_Clean2]]</f>
        <v>64.95</v>
      </c>
      <c r="U50" s="5">
        <f>OrdersTable[[#This Row],[Gross Sale]]-OrdersTable[[#This Row],[Discount Amount]]</f>
        <v>1234.05</v>
      </c>
      <c r="V50" s="77">
        <f>INDEX(Products!E:E,MATCH(OrdersTable[[#This Row],[Product ID]],Products!A:A,0))</f>
        <v>585</v>
      </c>
      <c r="W50" s="77">
        <f>OrdersTable[[#This Row],[Quantity]]*OrdersTable[[#This Row],[Unit Cost]]</f>
        <v>585</v>
      </c>
      <c r="X50" s="77">
        <f>'Dropdown Lists'!$I$2*(1+OrdersTable[[#This Row],[Returned]])</f>
        <v>120</v>
      </c>
      <c r="Y50" s="76">
        <f>OrdersTable[[#This Row],[Net Revenue]]-OrdersTable[[#This Row],[COGS]]-OrdersTable[[#This Row],[Shipping Cost]]</f>
        <v>529.04999999999995</v>
      </c>
      <c r="Z50" s="78">
        <f>IFERROR(OrdersTable[[#This Row],[Profit]]/OrdersTable[[#This Row],[Net Revenue]],0)</f>
        <v>0.42871034398930347</v>
      </c>
      <c r="AA50" t="s">
        <v>18</v>
      </c>
      <c r="AB50" s="79">
        <v>45304</v>
      </c>
      <c r="AC50">
        <f>OrdersTable[[#This Row],[Delivery Date]]-OrdersTable[[#This Row],[Order Date]]</f>
        <v>5</v>
      </c>
      <c r="AD50" t="str">
        <f>IF(OrdersTable[[#This Row],[Delivery Days]]&lt;=2, "Express (≤2d)", IF(OrdersTable[[#This Row],[Delivery Days]]&lt;=4, "Standard (3-4d)", "Delayed (5d+)"))</f>
        <v>Delayed (5d+)</v>
      </c>
      <c r="AF50">
        <v>1</v>
      </c>
    </row>
    <row r="51" spans="1:32" ht="15" x14ac:dyDescent="0.35">
      <c r="A51" t="s">
        <v>4072</v>
      </c>
      <c r="B51" s="1">
        <v>45299</v>
      </c>
      <c r="C51">
        <f>YEAR(OrdersTable[[#This Row],[Order Date]])</f>
        <v>2024</v>
      </c>
      <c r="D51" s="2">
        <f>DATE(YEAR(OrdersTable[[#This Row],[Order Date]]),MONTH(OrdersTable[[#This Row],[Order Date]]),1)</f>
        <v>45292</v>
      </c>
      <c r="E51">
        <f>MONTH(OrdersTable[[#This Row],[Order Date]])</f>
        <v>1</v>
      </c>
      <c r="F51" t="s">
        <v>4073</v>
      </c>
      <c r="G51" t="str">
        <f>IF(OrdersTable[[#This Row],[Order Date]]=_xlfn.MINIFS(Order_Date, Customer_ID, OrdersTable[[#This Row],[Customer ID]]), "New", "Repeat")</f>
        <v>New</v>
      </c>
      <c r="H51" t="s">
        <v>71</v>
      </c>
      <c r="I51" t="str">
        <f>INDEX(State!B:B,MATCH(OrdersTable[[#This Row],[State]],State!A:A,0))</f>
        <v>MH</v>
      </c>
      <c r="J51" t="str">
        <f>INDEX(State!C:C,MATCH(OrdersTable[[#This Row],[State Code]],State!B:B,0))</f>
        <v>West</v>
      </c>
      <c r="K51" t="s">
        <v>81</v>
      </c>
      <c r="L51" t="s">
        <v>16</v>
      </c>
      <c r="M51" t="s">
        <v>34</v>
      </c>
      <c r="N51" t="str">
        <f>INDEX(Products!B:B,MATCH(OrdersTable[[#This Row],[Product ID]],Products!A:A,0))</f>
        <v>Flip Flops</v>
      </c>
      <c r="O51" t="str">
        <f>INDEX(Products!C:C,MATCH(OrdersTable[[#This Row],[Product ID]],Products!A:A,0))</f>
        <v>Footwear</v>
      </c>
      <c r="P51">
        <v>1</v>
      </c>
      <c r="Q51" s="5">
        <v>399</v>
      </c>
      <c r="R51" s="74">
        <v>0.1</v>
      </c>
      <c r="S51" s="75">
        <f>OrdersTable[[#This Row],[Quantity]]*OrdersTable[[#This Row],[Unit Price]]</f>
        <v>399</v>
      </c>
      <c r="T51" s="5">
        <f>OrdersTable[[#This Row],[Gross Sale]]*OrdersTable[[#This Row],[Discount_Clean2]]</f>
        <v>39.900000000000006</v>
      </c>
      <c r="U51" s="5">
        <f>OrdersTable[[#This Row],[Gross Sale]]-OrdersTable[[#This Row],[Discount Amount]]</f>
        <v>359.1</v>
      </c>
      <c r="V51" s="77">
        <f>INDEX(Products!E:E,MATCH(OrdersTable[[#This Row],[Product ID]],Products!A:A,0))</f>
        <v>152</v>
      </c>
      <c r="W51" s="77">
        <f>OrdersTable[[#This Row],[Quantity]]*OrdersTable[[#This Row],[Unit Cost]]</f>
        <v>152</v>
      </c>
      <c r="X51" s="77">
        <f>'Dropdown Lists'!$I$2*(1+OrdersTable[[#This Row],[Returned]])</f>
        <v>60</v>
      </c>
      <c r="Y51" s="76">
        <f>OrdersTable[[#This Row],[Net Revenue]]-OrdersTable[[#This Row],[COGS]]-OrdersTable[[#This Row],[Shipping Cost]]</f>
        <v>147.10000000000002</v>
      </c>
      <c r="Z51" s="78">
        <f>IFERROR(OrdersTable[[#This Row],[Profit]]/OrdersTable[[#This Row],[Net Revenue]],0)</f>
        <v>0.40963519910888335</v>
      </c>
      <c r="AA51" t="s">
        <v>4074</v>
      </c>
      <c r="AB51" s="79">
        <v>45301</v>
      </c>
      <c r="AC51">
        <f>OrdersTable[[#This Row],[Delivery Date]]-OrdersTable[[#This Row],[Order Date]]</f>
        <v>2</v>
      </c>
      <c r="AD51" t="str">
        <f>IF(OrdersTable[[#This Row],[Delivery Days]]&lt;=2, "Express (≤2d)", IF(OrdersTable[[#This Row],[Delivery Days]]&lt;=4, "Standard (3-4d)", "Delayed (5d+)"))</f>
        <v>Express (≤2d)</v>
      </c>
      <c r="AE51">
        <v>5</v>
      </c>
      <c r="AF51">
        <v>0</v>
      </c>
    </row>
    <row r="52" spans="1:32" ht="15" x14ac:dyDescent="0.35">
      <c r="A52" t="s">
        <v>4320</v>
      </c>
      <c r="B52" s="1">
        <v>45300</v>
      </c>
      <c r="C52">
        <f>YEAR(OrdersTable[[#This Row],[Order Date]])</f>
        <v>2024</v>
      </c>
      <c r="D52" s="2">
        <f>DATE(YEAR(OrdersTable[[#This Row],[Order Date]]),MONTH(OrdersTable[[#This Row],[Order Date]]),1)</f>
        <v>45292</v>
      </c>
      <c r="E52">
        <f>MONTH(OrdersTable[[#This Row],[Order Date]])</f>
        <v>1</v>
      </c>
      <c r="F52" t="s">
        <v>2994</v>
      </c>
      <c r="G52" t="str">
        <f>IF(OrdersTable[[#This Row],[Order Date]]=_xlfn.MINIFS(Order_Date, Customer_ID, OrdersTable[[#This Row],[Customer ID]]), "New", "Repeat")</f>
        <v>New</v>
      </c>
      <c r="H52" t="s">
        <v>48</v>
      </c>
      <c r="I52" t="str">
        <f>INDEX(State!B:B,MATCH(OrdersTable[[#This Row],[State]],State!A:A,0))</f>
        <v>HR</v>
      </c>
      <c r="J52" t="str">
        <f>INDEX(State!C:C,MATCH(OrdersTable[[#This Row],[State Code]],State!B:B,0))</f>
        <v>North</v>
      </c>
      <c r="K52" t="s">
        <v>151</v>
      </c>
      <c r="L52" t="s">
        <v>16</v>
      </c>
      <c r="M52" t="s">
        <v>17</v>
      </c>
      <c r="N52" t="str">
        <f>INDEX(Products!B:B,MATCH(OrdersTable[[#This Row],[Product ID]],Products!A:A,0))</f>
        <v>Casual Sneakers</v>
      </c>
      <c r="O52" t="str">
        <f>INDEX(Products!C:C,MATCH(OrdersTable[[#This Row],[Product ID]],Products!A:A,0))</f>
        <v>Footwear</v>
      </c>
      <c r="P52">
        <v>1</v>
      </c>
      <c r="Q52" s="5">
        <v>2199</v>
      </c>
      <c r="R52" s="74">
        <v>0.2</v>
      </c>
      <c r="S52" s="75">
        <f>OrdersTable[[#This Row],[Quantity]]*OrdersTable[[#This Row],[Unit Price]]</f>
        <v>2199</v>
      </c>
      <c r="T52" s="5">
        <f>OrdersTable[[#This Row],[Gross Sale]]*OrdersTable[[#This Row],[Discount_Clean2]]</f>
        <v>439.8</v>
      </c>
      <c r="U52" s="5">
        <f>OrdersTable[[#This Row],[Gross Sale]]-OrdersTable[[#This Row],[Discount Amount]]</f>
        <v>1759.2</v>
      </c>
      <c r="V52" s="77">
        <f>INDEX(Products!E:E,MATCH(OrdersTable[[#This Row],[Product ID]],Products!A:A,0))</f>
        <v>1034</v>
      </c>
      <c r="W52" s="77">
        <f>OrdersTable[[#This Row],[Quantity]]*OrdersTable[[#This Row],[Unit Cost]]</f>
        <v>1034</v>
      </c>
      <c r="X52" s="77">
        <f>'Dropdown Lists'!$I$2*(1+OrdersTable[[#This Row],[Returned]])</f>
        <v>60</v>
      </c>
      <c r="Y52" s="76">
        <f>OrdersTable[[#This Row],[Net Revenue]]-OrdersTable[[#This Row],[COGS]]-OrdersTable[[#This Row],[Shipping Cost]]</f>
        <v>665.2</v>
      </c>
      <c r="Z52" s="78">
        <f>IFERROR(OrdersTable[[#This Row],[Profit]]/OrdersTable[[#This Row],[Net Revenue]],0)</f>
        <v>0.37812642110050027</v>
      </c>
      <c r="AA52" t="s">
        <v>4074</v>
      </c>
      <c r="AB52" s="79">
        <v>45303</v>
      </c>
      <c r="AC52">
        <f>OrdersTable[[#This Row],[Delivery Date]]-OrdersTable[[#This Row],[Order Date]]</f>
        <v>3</v>
      </c>
      <c r="AD52" t="str">
        <f>IF(OrdersTable[[#This Row],[Delivery Days]]&lt;=2, "Express (≤2d)", IF(OrdersTable[[#This Row],[Delivery Days]]&lt;=4, "Standard (3-4d)", "Delayed (5d+)"))</f>
        <v>Standard (3-4d)</v>
      </c>
      <c r="AE52">
        <v>4</v>
      </c>
      <c r="AF52">
        <v>0</v>
      </c>
    </row>
    <row r="53" spans="1:32" ht="15" x14ac:dyDescent="0.35">
      <c r="A53" t="s">
        <v>888</v>
      </c>
      <c r="B53" s="1">
        <v>45300</v>
      </c>
      <c r="C53">
        <f>YEAR(OrdersTable[[#This Row],[Order Date]])</f>
        <v>2024</v>
      </c>
      <c r="D53" s="2">
        <f>DATE(YEAR(OrdersTable[[#This Row],[Order Date]]),MONTH(OrdersTable[[#This Row],[Order Date]]),1)</f>
        <v>45292</v>
      </c>
      <c r="E53">
        <f>MONTH(OrdersTable[[#This Row],[Order Date]])</f>
        <v>1</v>
      </c>
      <c r="F53" t="s">
        <v>889</v>
      </c>
      <c r="G53" t="str">
        <f>IF(OrdersTable[[#This Row],[Order Date]]=_xlfn.MINIFS(Order_Date, Customer_ID, OrdersTable[[#This Row],[Customer ID]]), "New", "Repeat")</f>
        <v>New</v>
      </c>
      <c r="H53" t="s">
        <v>37</v>
      </c>
      <c r="I53" t="str">
        <f>INDEX(State!B:B,MATCH(OrdersTable[[#This Row],[State]],State!A:A,0))</f>
        <v>GJ</v>
      </c>
      <c r="J53" t="str">
        <f>INDEX(State!C:C,MATCH(OrdersTable[[#This Row],[State Code]],State!B:B,0))</f>
        <v>West</v>
      </c>
      <c r="K53" t="s">
        <v>38</v>
      </c>
      <c r="L53" t="s">
        <v>16</v>
      </c>
      <c r="M53" t="s">
        <v>92</v>
      </c>
      <c r="N53" t="str">
        <f>INDEX(Products!B:B,MATCH(OrdersTable[[#This Row],[Product ID]],Products!A:A,0))</f>
        <v>Kolhapuri Sandals</v>
      </c>
      <c r="O53" t="str">
        <f>INDEX(Products!C:C,MATCH(OrdersTable[[#This Row],[Product ID]],Products!A:A,0))</f>
        <v>Footwear</v>
      </c>
      <c r="P53">
        <v>1</v>
      </c>
      <c r="Q53" s="5">
        <v>999</v>
      </c>
      <c r="R53" s="74">
        <v>0.15</v>
      </c>
      <c r="S53" s="75">
        <f>OrdersTable[[#This Row],[Quantity]]*OrdersTable[[#This Row],[Unit Price]]</f>
        <v>999</v>
      </c>
      <c r="T53" s="5">
        <f>OrdersTable[[#This Row],[Gross Sale]]*OrdersTable[[#This Row],[Discount_Clean2]]</f>
        <v>149.85</v>
      </c>
      <c r="U53" s="5">
        <f>OrdersTable[[#This Row],[Gross Sale]]-OrdersTable[[#This Row],[Discount Amount]]</f>
        <v>849.15</v>
      </c>
      <c r="V53" s="77">
        <f>INDEX(Products!E:E,MATCH(OrdersTable[[#This Row],[Product ID]],Products!A:A,0))</f>
        <v>400</v>
      </c>
      <c r="W53" s="77">
        <f>OrdersTable[[#This Row],[Quantity]]*OrdersTable[[#This Row],[Unit Cost]]</f>
        <v>400</v>
      </c>
      <c r="X53" s="77">
        <f>'Dropdown Lists'!$I$2*(1+OrdersTable[[#This Row],[Returned]])</f>
        <v>60</v>
      </c>
      <c r="Y53" s="76">
        <f>OrdersTable[[#This Row],[Net Revenue]]-OrdersTable[[#This Row],[COGS]]-OrdersTable[[#This Row],[Shipping Cost]]</f>
        <v>389.15</v>
      </c>
      <c r="Z53" s="78">
        <f>IFERROR(OrdersTable[[#This Row],[Profit]]/OrdersTable[[#This Row],[Net Revenue]],0)</f>
        <v>0.45828181122298767</v>
      </c>
      <c r="AA53" t="s">
        <v>18</v>
      </c>
      <c r="AB53" s="79">
        <v>45302</v>
      </c>
      <c r="AC53">
        <f>OrdersTable[[#This Row],[Delivery Date]]-OrdersTable[[#This Row],[Order Date]]</f>
        <v>2</v>
      </c>
      <c r="AD53" t="str">
        <f>IF(OrdersTable[[#This Row],[Delivery Days]]&lt;=2, "Express (≤2d)", IF(OrdersTable[[#This Row],[Delivery Days]]&lt;=4, "Standard (3-4d)", "Delayed (5d+)"))</f>
        <v>Express (≤2d)</v>
      </c>
      <c r="AE53">
        <v>4</v>
      </c>
      <c r="AF53">
        <v>0</v>
      </c>
    </row>
    <row r="54" spans="1:32" ht="15" x14ac:dyDescent="0.35">
      <c r="A54" t="s">
        <v>6451</v>
      </c>
      <c r="B54" s="1">
        <v>45300</v>
      </c>
      <c r="C54">
        <f>YEAR(OrdersTable[[#This Row],[Order Date]])</f>
        <v>2024</v>
      </c>
      <c r="D54" s="2">
        <f>DATE(YEAR(OrdersTable[[#This Row],[Order Date]]),MONTH(OrdersTable[[#This Row],[Order Date]]),1)</f>
        <v>45292</v>
      </c>
      <c r="E54">
        <f>MONTH(OrdersTable[[#This Row],[Order Date]])</f>
        <v>1</v>
      </c>
      <c r="F54" t="s">
        <v>2501</v>
      </c>
      <c r="G54" t="str">
        <f>IF(OrdersTable[[#This Row],[Order Date]]=_xlfn.MINIFS(Order_Date, Customer_ID, OrdersTable[[#This Row],[Customer ID]]), "New", "Repeat")</f>
        <v>New</v>
      </c>
      <c r="H54" t="s">
        <v>43</v>
      </c>
      <c r="I54" t="str">
        <f>INDEX(State!B:B,MATCH(OrdersTable[[#This Row],[State]],State!A:A,0))</f>
        <v>MP</v>
      </c>
      <c r="J54" t="str">
        <f>INDEX(State!C:C,MATCH(OrdersTable[[#This Row],[State Code]],State!B:B,0))</f>
        <v>West</v>
      </c>
      <c r="K54" t="s">
        <v>250</v>
      </c>
      <c r="L54" t="s">
        <v>23</v>
      </c>
      <c r="M54" t="s">
        <v>576</v>
      </c>
      <c r="N54" t="str">
        <f>INDEX(Products!B:B,MATCH(OrdersTable[[#This Row],[Product ID]],Products!A:A,0))</f>
        <v>Printed Saree</v>
      </c>
      <c r="O54" t="str">
        <f>INDEX(Products!C:C,MATCH(OrdersTable[[#This Row],[Product ID]],Products!A:A,0))</f>
        <v>Apparel</v>
      </c>
      <c r="P54">
        <v>3</v>
      </c>
      <c r="Q54" s="5">
        <v>1999</v>
      </c>
      <c r="R54" s="74">
        <v>0.1</v>
      </c>
      <c r="S54" s="75">
        <f>OrdersTable[[#This Row],[Quantity]]*OrdersTable[[#This Row],[Unit Price]]</f>
        <v>5997</v>
      </c>
      <c r="T54" s="5">
        <f>OrdersTable[[#This Row],[Gross Sale]]*OrdersTable[[#This Row],[Discount_Clean2]]</f>
        <v>599.70000000000005</v>
      </c>
      <c r="U54" s="5">
        <f>OrdersTable[[#This Row],[Gross Sale]]-OrdersTable[[#This Row],[Discount Amount]]</f>
        <v>5397.3</v>
      </c>
      <c r="V54" s="77">
        <f>INDEX(Products!E:E,MATCH(OrdersTable[[#This Row],[Product ID]],Products!A:A,0))</f>
        <v>880</v>
      </c>
      <c r="W54" s="77">
        <f>OrdersTable[[#This Row],[Quantity]]*OrdersTable[[#This Row],[Unit Cost]]</f>
        <v>2640</v>
      </c>
      <c r="X54" s="77">
        <f>'Dropdown Lists'!$I$2*(1+OrdersTable[[#This Row],[Returned]])</f>
        <v>60</v>
      </c>
      <c r="Y54" s="76">
        <f>OrdersTable[[#This Row],[Net Revenue]]-OrdersTable[[#This Row],[COGS]]-OrdersTable[[#This Row],[Shipping Cost]]</f>
        <v>2697.3</v>
      </c>
      <c r="Z54" s="78">
        <f>IFERROR(OrdersTable[[#This Row],[Profit]]/OrdersTable[[#This Row],[Net Revenue]],0)</f>
        <v>0.49974987493746875</v>
      </c>
      <c r="AA54" t="s">
        <v>18</v>
      </c>
      <c r="AB54" s="79">
        <v>45304</v>
      </c>
      <c r="AC54">
        <f>OrdersTable[[#This Row],[Delivery Date]]-OrdersTable[[#This Row],[Order Date]]</f>
        <v>4</v>
      </c>
      <c r="AD54" t="str">
        <f>IF(OrdersTable[[#This Row],[Delivery Days]]&lt;=2, "Express (≤2d)", IF(OrdersTable[[#This Row],[Delivery Days]]&lt;=4, "Standard (3-4d)", "Delayed (5d+)"))</f>
        <v>Standard (3-4d)</v>
      </c>
      <c r="AE54">
        <v>3</v>
      </c>
      <c r="AF54">
        <v>0</v>
      </c>
    </row>
    <row r="55" spans="1:32" ht="15" x14ac:dyDescent="0.35">
      <c r="A55" t="s">
        <v>4746</v>
      </c>
      <c r="B55" s="1">
        <v>45300</v>
      </c>
      <c r="C55">
        <f>YEAR(OrdersTable[[#This Row],[Order Date]])</f>
        <v>2024</v>
      </c>
      <c r="D55" s="2">
        <f>DATE(YEAR(OrdersTable[[#This Row],[Order Date]]),MONTH(OrdersTable[[#This Row],[Order Date]]),1)</f>
        <v>45292</v>
      </c>
      <c r="E55">
        <f>MONTH(OrdersTable[[#This Row],[Order Date]])</f>
        <v>1</v>
      </c>
      <c r="F55" t="s">
        <v>4747</v>
      </c>
      <c r="G55" t="str">
        <f>IF(OrdersTable[[#This Row],[Order Date]]=_xlfn.MINIFS(Order_Date, Customer_ID, OrdersTable[[#This Row],[Customer ID]]), "New", "Repeat")</f>
        <v>New</v>
      </c>
      <c r="H55" t="s">
        <v>43</v>
      </c>
      <c r="I55" t="str">
        <f>INDEX(State!B:B,MATCH(OrdersTable[[#This Row],[State]],State!A:A,0))</f>
        <v>MP</v>
      </c>
      <c r="J55" t="str">
        <f>INDEX(State!C:C,MATCH(OrdersTable[[#This Row],[State Code]],State!B:B,0))</f>
        <v>West</v>
      </c>
      <c r="K55" t="s">
        <v>44</v>
      </c>
      <c r="L55" t="s">
        <v>50</v>
      </c>
      <c r="M55" t="s">
        <v>109</v>
      </c>
      <c r="N55" t="str">
        <f>INDEX(Products!B:B,MATCH(OrdersTable[[#This Row],[Product ID]],Products!A:A,0))</f>
        <v>Onion Hair Oil</v>
      </c>
      <c r="O55" t="str">
        <f>INDEX(Products!C:C,MATCH(OrdersTable[[#This Row],[Product ID]],Products!A:A,0))</f>
        <v>Haircare</v>
      </c>
      <c r="P55">
        <v>2</v>
      </c>
      <c r="Q55" s="5">
        <v>349</v>
      </c>
      <c r="R55" s="74">
        <v>0.3</v>
      </c>
      <c r="S55" s="75">
        <f>OrdersTable[[#This Row],[Quantity]]*OrdersTable[[#This Row],[Unit Price]]</f>
        <v>698</v>
      </c>
      <c r="T55" s="5">
        <f>OrdersTable[[#This Row],[Gross Sale]]*OrdersTable[[#This Row],[Discount_Clean2]]</f>
        <v>209.4</v>
      </c>
      <c r="U55" s="5">
        <f>OrdersTable[[#This Row],[Gross Sale]]-OrdersTable[[#This Row],[Discount Amount]]</f>
        <v>488.6</v>
      </c>
      <c r="V55" s="77">
        <f>INDEX(Products!E:E,MATCH(OrdersTable[[#This Row],[Product ID]],Products!A:A,0))</f>
        <v>105</v>
      </c>
      <c r="W55" s="77">
        <f>OrdersTable[[#This Row],[Quantity]]*OrdersTable[[#This Row],[Unit Cost]]</f>
        <v>210</v>
      </c>
      <c r="X55" s="77">
        <f>'Dropdown Lists'!$I$2*(1+OrdersTable[[#This Row],[Returned]])</f>
        <v>60</v>
      </c>
      <c r="Y55" s="76">
        <f>OrdersTable[[#This Row],[Net Revenue]]-OrdersTable[[#This Row],[COGS]]-OrdersTable[[#This Row],[Shipping Cost]]</f>
        <v>218.60000000000002</v>
      </c>
      <c r="Z55" s="78">
        <f>IFERROR(OrdersTable[[#This Row],[Profit]]/OrdersTable[[#This Row],[Net Revenue]],0)</f>
        <v>0.44740073679901765</v>
      </c>
      <c r="AA55" t="s">
        <v>4450</v>
      </c>
      <c r="AB55" s="79">
        <v>45304</v>
      </c>
      <c r="AC55">
        <f>OrdersTable[[#This Row],[Delivery Date]]-OrdersTable[[#This Row],[Order Date]]</f>
        <v>4</v>
      </c>
      <c r="AD55" t="str">
        <f>IF(OrdersTable[[#This Row],[Delivery Days]]&lt;=2, "Express (≤2d)", IF(OrdersTable[[#This Row],[Delivery Days]]&lt;=4, "Standard (3-4d)", "Delayed (5d+)"))</f>
        <v>Standard (3-4d)</v>
      </c>
      <c r="AE55">
        <v>4</v>
      </c>
      <c r="AF55">
        <v>0</v>
      </c>
    </row>
    <row r="56" spans="1:32" ht="15" x14ac:dyDescent="0.35">
      <c r="A56" t="s">
        <v>25</v>
      </c>
      <c r="B56" s="1">
        <v>45300</v>
      </c>
      <c r="C56">
        <f>YEAR(OrdersTable[[#This Row],[Order Date]])</f>
        <v>2024</v>
      </c>
      <c r="D56" s="2">
        <f>DATE(YEAR(OrdersTable[[#This Row],[Order Date]]),MONTH(OrdersTable[[#This Row],[Order Date]]),1)</f>
        <v>45292</v>
      </c>
      <c r="E56">
        <f>MONTH(OrdersTable[[#This Row],[Order Date]])</f>
        <v>1</v>
      </c>
      <c r="F56" t="s">
        <v>26</v>
      </c>
      <c r="G56" t="str">
        <f>IF(OrdersTable[[#This Row],[Order Date]]=_xlfn.MINIFS(Order_Date, Customer_ID, OrdersTable[[#This Row],[Customer ID]]), "New", "Repeat")</f>
        <v>Repeat</v>
      </c>
      <c r="H56" t="s">
        <v>27</v>
      </c>
      <c r="I56" t="str">
        <f>INDEX(State!B:B,MATCH(OrdersTable[[#This Row],[State]],State!A:A,0))</f>
        <v>WB</v>
      </c>
      <c r="J56" t="str">
        <f>INDEX(State!C:C,MATCH(OrdersTable[[#This Row],[State Code]],State!B:B,0))</f>
        <v>East</v>
      </c>
      <c r="K56" t="s">
        <v>28</v>
      </c>
      <c r="L56" t="s">
        <v>16</v>
      </c>
      <c r="M56" t="s">
        <v>29</v>
      </c>
      <c r="N56" t="str">
        <f>INDEX(Products!B:B,MATCH(OrdersTable[[#This Row],[Product ID]],Products!A:A,0))</f>
        <v>Joggers</v>
      </c>
      <c r="O56" t="str">
        <f>INDEX(Products!C:C,MATCH(OrdersTable[[#This Row],[Product ID]],Products!A:A,0))</f>
        <v>Apparel</v>
      </c>
      <c r="P56">
        <v>1</v>
      </c>
      <c r="Q56" s="5">
        <v>1199</v>
      </c>
      <c r="R56" s="74">
        <v>0.15</v>
      </c>
      <c r="S56" s="75">
        <f>OrdersTable[[#This Row],[Quantity]]*OrdersTable[[#This Row],[Unit Price]]</f>
        <v>1199</v>
      </c>
      <c r="T56" s="5">
        <f>OrdersTable[[#This Row],[Gross Sale]]*OrdersTable[[#This Row],[Discount_Clean2]]</f>
        <v>179.85</v>
      </c>
      <c r="U56" s="5">
        <f>OrdersTable[[#This Row],[Gross Sale]]-OrdersTable[[#This Row],[Discount Amount]]</f>
        <v>1019.15</v>
      </c>
      <c r="V56" s="77">
        <f>INDEX(Products!E:E,MATCH(OrdersTable[[#This Row],[Product ID]],Products!A:A,0))</f>
        <v>492</v>
      </c>
      <c r="W56" s="77">
        <f>OrdersTable[[#This Row],[Quantity]]*OrdersTable[[#This Row],[Unit Cost]]</f>
        <v>492</v>
      </c>
      <c r="X56" s="77">
        <f>'Dropdown Lists'!$I$2*(1+OrdersTable[[#This Row],[Returned]])</f>
        <v>60</v>
      </c>
      <c r="Y56" s="76">
        <f>OrdersTable[[#This Row],[Net Revenue]]-OrdersTable[[#This Row],[COGS]]-OrdersTable[[#This Row],[Shipping Cost]]</f>
        <v>467.15</v>
      </c>
      <c r="Z56" s="78">
        <f>IFERROR(OrdersTable[[#This Row],[Profit]]/OrdersTable[[#This Row],[Net Revenue]],0)</f>
        <v>0.45837217288917231</v>
      </c>
      <c r="AA56" t="s">
        <v>18</v>
      </c>
      <c r="AB56" s="79">
        <v>45303</v>
      </c>
      <c r="AC56">
        <f>OrdersTable[[#This Row],[Delivery Date]]-OrdersTable[[#This Row],[Order Date]]</f>
        <v>3</v>
      </c>
      <c r="AD56" t="str">
        <f>IF(OrdersTable[[#This Row],[Delivery Days]]&lt;=2, "Express (≤2d)", IF(OrdersTable[[#This Row],[Delivery Days]]&lt;=4, "Standard (3-4d)", "Delayed (5d+)"))</f>
        <v>Standard (3-4d)</v>
      </c>
      <c r="AE56">
        <v>4</v>
      </c>
      <c r="AF56">
        <v>0</v>
      </c>
    </row>
    <row r="57" spans="1:32" ht="15" x14ac:dyDescent="0.35">
      <c r="A57" t="s">
        <v>1826</v>
      </c>
      <c r="B57" s="1">
        <v>45300</v>
      </c>
      <c r="C57">
        <f>YEAR(OrdersTable[[#This Row],[Order Date]])</f>
        <v>2024</v>
      </c>
      <c r="D57" s="2">
        <f>DATE(YEAR(OrdersTable[[#This Row],[Order Date]]),MONTH(OrdersTable[[#This Row],[Order Date]]),1)</f>
        <v>45292</v>
      </c>
      <c r="E57">
        <f>MONTH(OrdersTable[[#This Row],[Order Date]])</f>
        <v>1</v>
      </c>
      <c r="F57" t="s">
        <v>1827</v>
      </c>
      <c r="G57" t="str">
        <f>IF(OrdersTable[[#This Row],[Order Date]]=_xlfn.MINIFS(Order_Date, Customer_ID, OrdersTable[[#This Row],[Customer ID]]), "New", "Repeat")</f>
        <v>New</v>
      </c>
      <c r="H57" t="s">
        <v>90</v>
      </c>
      <c r="I57" t="str">
        <f>INDEX(State!B:B,MATCH(OrdersTable[[#This Row],[State]],State!A:A,0))</f>
        <v>GA</v>
      </c>
      <c r="J57" t="str">
        <f>INDEX(State!C:C,MATCH(OrdersTable[[#This Row],[State Code]],State!B:B,0))</f>
        <v>West</v>
      </c>
      <c r="K57" t="s">
        <v>91</v>
      </c>
      <c r="L57" t="s">
        <v>65</v>
      </c>
      <c r="M57" t="s">
        <v>78</v>
      </c>
      <c r="N57" t="str">
        <f>INDEX(Products!B:B,MATCH(OrdersTable[[#This Row],[Product ID]],Products!A:A,0))</f>
        <v>Retinol Night Cream</v>
      </c>
      <c r="O57" t="str">
        <f>INDEX(Products!C:C,MATCH(OrdersTable[[#This Row],[Product ID]],Products!A:A,0))</f>
        <v>Skincare</v>
      </c>
      <c r="P57">
        <v>1</v>
      </c>
      <c r="Q57" s="5">
        <v>799</v>
      </c>
      <c r="R57" s="74">
        <v>0.1</v>
      </c>
      <c r="S57" s="75">
        <f>OrdersTable[[#This Row],[Quantity]]*OrdersTable[[#This Row],[Unit Price]]</f>
        <v>799</v>
      </c>
      <c r="T57" s="5">
        <f>OrdersTable[[#This Row],[Gross Sale]]*OrdersTable[[#This Row],[Discount_Clean2]]</f>
        <v>79.900000000000006</v>
      </c>
      <c r="U57" s="5">
        <f>OrdersTable[[#This Row],[Gross Sale]]-OrdersTable[[#This Row],[Discount Amount]]</f>
        <v>719.1</v>
      </c>
      <c r="V57" s="77">
        <f>INDEX(Products!E:E,MATCH(OrdersTable[[#This Row],[Product ID]],Products!A:A,0))</f>
        <v>216</v>
      </c>
      <c r="W57" s="77">
        <f>OrdersTable[[#This Row],[Quantity]]*OrdersTable[[#This Row],[Unit Cost]]</f>
        <v>216</v>
      </c>
      <c r="X57" s="77">
        <f>'Dropdown Lists'!$I$2*(1+OrdersTable[[#This Row],[Returned]])</f>
        <v>60</v>
      </c>
      <c r="Y57" s="76">
        <f>OrdersTable[[#This Row],[Net Revenue]]-OrdersTable[[#This Row],[COGS]]-OrdersTable[[#This Row],[Shipping Cost]]</f>
        <v>443.1</v>
      </c>
      <c r="Z57" s="78">
        <f>IFERROR(OrdersTable[[#This Row],[Profit]]/OrdersTable[[#This Row],[Net Revenue]],0)</f>
        <v>0.61618690029203171</v>
      </c>
      <c r="AA57" t="s">
        <v>18</v>
      </c>
      <c r="AB57" s="79">
        <v>45304</v>
      </c>
      <c r="AC57">
        <f>OrdersTable[[#This Row],[Delivery Date]]-OrdersTable[[#This Row],[Order Date]]</f>
        <v>4</v>
      </c>
      <c r="AD57" t="str">
        <f>IF(OrdersTable[[#This Row],[Delivery Days]]&lt;=2, "Express (≤2d)", IF(OrdersTable[[#This Row],[Delivery Days]]&lt;=4, "Standard (3-4d)", "Delayed (5d+)"))</f>
        <v>Standard (3-4d)</v>
      </c>
      <c r="AE57">
        <v>3</v>
      </c>
      <c r="AF57">
        <v>0</v>
      </c>
    </row>
    <row r="58" spans="1:32" ht="15" x14ac:dyDescent="0.35">
      <c r="A58" t="s">
        <v>2200</v>
      </c>
      <c r="B58" s="1">
        <v>45300</v>
      </c>
      <c r="C58">
        <f>YEAR(OrdersTable[[#This Row],[Order Date]])</f>
        <v>2024</v>
      </c>
      <c r="D58" s="2">
        <f>DATE(YEAR(OrdersTable[[#This Row],[Order Date]]),MONTH(OrdersTable[[#This Row],[Order Date]]),1)</f>
        <v>45292</v>
      </c>
      <c r="E58">
        <f>MONTH(OrdersTable[[#This Row],[Order Date]])</f>
        <v>1</v>
      </c>
      <c r="F58" t="s">
        <v>2201</v>
      </c>
      <c r="G58" t="str">
        <f>IF(OrdersTable[[#This Row],[Order Date]]=_xlfn.MINIFS(Order_Date, Customer_ID, OrdersTable[[#This Row],[Customer ID]]), "New", "Repeat")</f>
        <v>New</v>
      </c>
      <c r="H58" t="s">
        <v>167</v>
      </c>
      <c r="I58" t="str">
        <f>INDEX(State!B:B,MATCH(OrdersTable[[#This Row],[State]],State!A:A,0))</f>
        <v>KA</v>
      </c>
      <c r="J58" t="str">
        <f>INDEX(State!C:C,MATCH(OrdersTable[[#This Row],[State Code]],State!B:B,0))</f>
        <v>South</v>
      </c>
      <c r="K58" t="s">
        <v>190</v>
      </c>
      <c r="L58" t="s">
        <v>65</v>
      </c>
      <c r="M58" t="s">
        <v>66</v>
      </c>
      <c r="N58" t="str">
        <f>INDEX(Products!B:B,MATCH(OrdersTable[[#This Row],[Product ID]],Products!A:A,0))</f>
        <v>Sunscreen SPF 50</v>
      </c>
      <c r="O58" t="str">
        <f>INDEX(Products!C:C,MATCH(OrdersTable[[#This Row],[Product ID]],Products!A:A,0))</f>
        <v>Skincare</v>
      </c>
      <c r="P58">
        <v>1</v>
      </c>
      <c r="Q58" s="5">
        <v>449</v>
      </c>
      <c r="R58" s="74">
        <v>0.05</v>
      </c>
      <c r="S58" s="75">
        <f>OrdersTable[[#This Row],[Quantity]]*OrdersTable[[#This Row],[Unit Price]]</f>
        <v>449</v>
      </c>
      <c r="T58" s="5">
        <f>OrdersTable[[#This Row],[Gross Sale]]*OrdersTable[[#This Row],[Discount_Clean2]]</f>
        <v>22.450000000000003</v>
      </c>
      <c r="U58" s="5">
        <f>OrdersTable[[#This Row],[Gross Sale]]-OrdersTable[[#This Row],[Discount Amount]]</f>
        <v>426.55</v>
      </c>
      <c r="V58" s="77">
        <f>INDEX(Products!E:E,MATCH(OrdersTable[[#This Row],[Product ID]],Products!A:A,0))</f>
        <v>144</v>
      </c>
      <c r="W58" s="77">
        <f>OrdersTable[[#This Row],[Quantity]]*OrdersTable[[#This Row],[Unit Cost]]</f>
        <v>144</v>
      </c>
      <c r="X58" s="77">
        <f>'Dropdown Lists'!$I$2*(1+OrdersTable[[#This Row],[Returned]])</f>
        <v>60</v>
      </c>
      <c r="Y58" s="76">
        <f>OrdersTable[[#This Row],[Net Revenue]]-OrdersTable[[#This Row],[COGS]]-OrdersTable[[#This Row],[Shipping Cost]]</f>
        <v>222.55</v>
      </c>
      <c r="Z58" s="78">
        <f>IFERROR(OrdersTable[[#This Row],[Profit]]/OrdersTable[[#This Row],[Net Revenue]],0)</f>
        <v>0.52174422693705313</v>
      </c>
      <c r="AA58" t="s">
        <v>18</v>
      </c>
      <c r="AB58" s="79">
        <v>45301</v>
      </c>
      <c r="AC58">
        <f>OrdersTable[[#This Row],[Delivery Date]]-OrdersTable[[#This Row],[Order Date]]</f>
        <v>1</v>
      </c>
      <c r="AD58" t="str">
        <f>IF(OrdersTable[[#This Row],[Delivery Days]]&lt;=2, "Express (≤2d)", IF(OrdersTable[[#This Row],[Delivery Days]]&lt;=4, "Standard (3-4d)", "Delayed (5d+)"))</f>
        <v>Express (≤2d)</v>
      </c>
      <c r="AE58">
        <v>5</v>
      </c>
      <c r="AF58">
        <v>0</v>
      </c>
    </row>
    <row r="59" spans="1:32" ht="15" x14ac:dyDescent="0.35">
      <c r="A59" t="s">
        <v>6452</v>
      </c>
      <c r="B59" s="1">
        <v>45300</v>
      </c>
      <c r="C59">
        <f>YEAR(OrdersTable[[#This Row],[Order Date]])</f>
        <v>2024</v>
      </c>
      <c r="D59" s="2">
        <f>DATE(YEAR(OrdersTable[[#This Row],[Order Date]]),MONTH(OrdersTable[[#This Row],[Order Date]]),1)</f>
        <v>45292</v>
      </c>
      <c r="E59">
        <f>MONTH(OrdersTable[[#This Row],[Order Date]])</f>
        <v>1</v>
      </c>
      <c r="F59" t="s">
        <v>224</v>
      </c>
      <c r="G59" t="str">
        <f>IF(OrdersTable[[#This Row],[Order Date]]=_xlfn.MINIFS(Order_Date, Customer_ID, OrdersTable[[#This Row],[Customer ID]]), "New", "Repeat")</f>
        <v>New</v>
      </c>
      <c r="H59" t="s">
        <v>275</v>
      </c>
      <c r="I59" t="str">
        <f>INDEX(State!B:B,MATCH(OrdersTable[[#This Row],[State]],State!A:A,0))</f>
        <v>AP</v>
      </c>
      <c r="J59" t="str">
        <f>INDEX(State!C:C,MATCH(OrdersTable[[#This Row],[State Code]],State!B:B,0))</f>
        <v>South</v>
      </c>
      <c r="K59" t="s">
        <v>276</v>
      </c>
      <c r="L59" t="s">
        <v>23</v>
      </c>
      <c r="M59" t="s">
        <v>24</v>
      </c>
      <c r="N59" t="str">
        <f>INDEX(Products!B:B,MATCH(OrdersTable[[#This Row],[Product ID]],Products!A:A,0))</f>
        <v>Scented Candle Set</v>
      </c>
      <c r="O59" t="str">
        <f>INDEX(Products!C:C,MATCH(OrdersTable[[#This Row],[Product ID]],Products!A:A,0))</f>
        <v>Home &amp; Kitchen</v>
      </c>
      <c r="P59">
        <v>3</v>
      </c>
      <c r="Q59" s="5">
        <v>699</v>
      </c>
      <c r="R59" s="74">
        <v>0.2</v>
      </c>
      <c r="S59" s="75">
        <f>OrdersTable[[#This Row],[Quantity]]*OrdersTable[[#This Row],[Unit Price]]</f>
        <v>2097</v>
      </c>
      <c r="T59" s="5">
        <f>OrdersTable[[#This Row],[Gross Sale]]*OrdersTable[[#This Row],[Discount_Clean2]]</f>
        <v>419.40000000000003</v>
      </c>
      <c r="U59" s="5">
        <f>OrdersTable[[#This Row],[Gross Sale]]-OrdersTable[[#This Row],[Discount Amount]]</f>
        <v>1677.6</v>
      </c>
      <c r="V59" s="77">
        <f>INDEX(Products!E:E,MATCH(OrdersTable[[#This Row],[Product ID]],Products!A:A,0))</f>
        <v>245</v>
      </c>
      <c r="W59" s="77">
        <f>OrdersTable[[#This Row],[Quantity]]*OrdersTable[[#This Row],[Unit Cost]]</f>
        <v>735</v>
      </c>
      <c r="X59" s="77">
        <f>'Dropdown Lists'!$I$2*(1+OrdersTable[[#This Row],[Returned]])</f>
        <v>60</v>
      </c>
      <c r="Y59" s="76">
        <f>OrdersTable[[#This Row],[Net Revenue]]-OrdersTable[[#This Row],[COGS]]-OrdersTable[[#This Row],[Shipping Cost]]</f>
        <v>882.59999999999991</v>
      </c>
      <c r="Z59" s="78">
        <f>IFERROR(OrdersTable[[#This Row],[Profit]]/OrdersTable[[#This Row],[Net Revenue]],0)</f>
        <v>0.52610872675250353</v>
      </c>
      <c r="AA59" t="s">
        <v>18</v>
      </c>
      <c r="AB59" s="79">
        <v>45304</v>
      </c>
      <c r="AC59">
        <f>OrdersTable[[#This Row],[Delivery Date]]-OrdersTable[[#This Row],[Order Date]]</f>
        <v>4</v>
      </c>
      <c r="AD59" t="str">
        <f>IF(OrdersTable[[#This Row],[Delivery Days]]&lt;=2, "Express (≤2d)", IF(OrdersTable[[#This Row],[Delivery Days]]&lt;=4, "Standard (3-4d)", "Delayed (5d+)"))</f>
        <v>Standard (3-4d)</v>
      </c>
      <c r="AE59">
        <v>4</v>
      </c>
      <c r="AF59">
        <v>0</v>
      </c>
    </row>
    <row r="60" spans="1:32" ht="15" x14ac:dyDescent="0.35">
      <c r="A60" t="s">
        <v>6453</v>
      </c>
      <c r="B60" s="1">
        <v>45300</v>
      </c>
      <c r="C60">
        <f>YEAR(OrdersTable[[#This Row],[Order Date]])</f>
        <v>2024</v>
      </c>
      <c r="D60" s="2">
        <f>DATE(YEAR(OrdersTable[[#This Row],[Order Date]]),MONTH(OrdersTable[[#This Row],[Order Date]]),1)</f>
        <v>45292</v>
      </c>
      <c r="E60">
        <f>MONTH(OrdersTable[[#This Row],[Order Date]])</f>
        <v>1</v>
      </c>
      <c r="F60" t="s">
        <v>1220</v>
      </c>
      <c r="G60" t="str">
        <f>IF(OrdersTable[[#This Row],[Order Date]]=_xlfn.MINIFS(Order_Date, Customer_ID, OrdersTable[[#This Row],[Customer ID]]), "New", "Repeat")</f>
        <v>New</v>
      </c>
      <c r="H60" t="s">
        <v>59</v>
      </c>
      <c r="I60" t="str">
        <f>INDEX(State!B:B,MATCH(OrdersTable[[#This Row],[State]],State!A:A,0))</f>
        <v>TN</v>
      </c>
      <c r="J60" t="str">
        <f>INDEX(State!C:C,MATCH(OrdersTable[[#This Row],[State Code]],State!B:B,0))</f>
        <v>South</v>
      </c>
      <c r="K60" t="s">
        <v>60</v>
      </c>
      <c r="L60" t="s">
        <v>16</v>
      </c>
      <c r="M60" t="s">
        <v>176</v>
      </c>
      <c r="N60" t="str">
        <f>INDEX(Products!B:B,MATCH(OrdersTable[[#This Row],[Product ID]],Products!A:A,0))</f>
        <v>Denim Jacket</v>
      </c>
      <c r="O60" t="str">
        <f>INDEX(Products!C:C,MATCH(OrdersTable[[#This Row],[Product ID]],Products!A:A,0))</f>
        <v>Apparel</v>
      </c>
      <c r="P60">
        <v>3</v>
      </c>
      <c r="Q60" s="5">
        <v>2499</v>
      </c>
      <c r="R60" s="74">
        <v>0</v>
      </c>
      <c r="S60" s="75">
        <f>OrdersTable[[#This Row],[Quantity]]*OrdersTable[[#This Row],[Unit Price]]</f>
        <v>7497</v>
      </c>
      <c r="T60" s="5">
        <f>OrdersTable[[#This Row],[Gross Sale]]*OrdersTable[[#This Row],[Discount_Clean2]]</f>
        <v>0</v>
      </c>
      <c r="U60" s="5">
        <f>OrdersTable[[#This Row],[Gross Sale]]-OrdersTable[[#This Row],[Discount Amount]]</f>
        <v>7497</v>
      </c>
      <c r="V60" s="77">
        <f>INDEX(Products!E:E,MATCH(OrdersTable[[#This Row],[Product ID]],Products!A:A,0))</f>
        <v>1125</v>
      </c>
      <c r="W60" s="77">
        <f>OrdersTable[[#This Row],[Quantity]]*OrdersTable[[#This Row],[Unit Cost]]</f>
        <v>3375</v>
      </c>
      <c r="X60" s="77">
        <f>'Dropdown Lists'!$I$2*(1+OrdersTable[[#This Row],[Returned]])</f>
        <v>60</v>
      </c>
      <c r="Y60" s="76">
        <f>OrdersTable[[#This Row],[Net Revenue]]-OrdersTable[[#This Row],[COGS]]-OrdersTable[[#This Row],[Shipping Cost]]</f>
        <v>4062</v>
      </c>
      <c r="Z60" s="78">
        <f>IFERROR(OrdersTable[[#This Row],[Profit]]/OrdersTable[[#This Row],[Net Revenue]],0)</f>
        <v>0.54181672669067626</v>
      </c>
      <c r="AA60" t="s">
        <v>18</v>
      </c>
      <c r="AB60" s="79">
        <v>45301</v>
      </c>
      <c r="AC60">
        <f>OrdersTable[[#This Row],[Delivery Date]]-OrdersTable[[#This Row],[Order Date]]</f>
        <v>1</v>
      </c>
      <c r="AD60" t="str">
        <f>IF(OrdersTable[[#This Row],[Delivery Days]]&lt;=2, "Express (≤2d)", IF(OrdersTable[[#This Row],[Delivery Days]]&lt;=4, "Standard (3-4d)", "Delayed (5d+)"))</f>
        <v>Express (≤2d)</v>
      </c>
      <c r="AE60">
        <v>5</v>
      </c>
      <c r="AF60">
        <v>0</v>
      </c>
    </row>
    <row r="61" spans="1:32" ht="15" x14ac:dyDescent="0.35">
      <c r="A61" t="s">
        <v>3703</v>
      </c>
      <c r="B61" s="1">
        <v>45300</v>
      </c>
      <c r="C61">
        <f>YEAR(OrdersTable[[#This Row],[Order Date]])</f>
        <v>2024</v>
      </c>
      <c r="D61" s="2">
        <f>DATE(YEAR(OrdersTable[[#This Row],[Order Date]]),MONTH(OrdersTable[[#This Row],[Order Date]]),1)</f>
        <v>45292</v>
      </c>
      <c r="E61">
        <f>MONTH(OrdersTable[[#This Row],[Order Date]])</f>
        <v>1</v>
      </c>
      <c r="F61" t="s">
        <v>2779</v>
      </c>
      <c r="G61" t="str">
        <f>IF(OrdersTable[[#This Row],[Order Date]]=_xlfn.MINIFS(Order_Date, Customer_ID, OrdersTable[[#This Row],[Customer ID]]), "New", "Repeat")</f>
        <v>New</v>
      </c>
      <c r="H61" t="s">
        <v>59</v>
      </c>
      <c r="I61" t="str">
        <f>INDEX(State!B:B,MATCH(OrdersTable[[#This Row],[State]],State!A:A,0))</f>
        <v>TN</v>
      </c>
      <c r="J61" t="str">
        <f>INDEX(State!C:C,MATCH(OrdersTable[[#This Row],[State Code]],State!B:B,0))</f>
        <v>South</v>
      </c>
      <c r="K61" t="s">
        <v>60</v>
      </c>
      <c r="L61" t="s">
        <v>39</v>
      </c>
      <c r="M61" t="s">
        <v>34</v>
      </c>
      <c r="N61" t="str">
        <f>INDEX(Products!B:B,MATCH(OrdersTable[[#This Row],[Product ID]],Products!A:A,0))</f>
        <v>Flip Flops</v>
      </c>
      <c r="O61" t="str">
        <f>INDEX(Products!C:C,MATCH(OrdersTable[[#This Row],[Product ID]],Products!A:A,0))</f>
        <v>Footwear</v>
      </c>
      <c r="P61">
        <v>1</v>
      </c>
      <c r="Q61" s="5">
        <v>399</v>
      </c>
      <c r="R61" s="74">
        <v>0.05</v>
      </c>
      <c r="S61" s="75">
        <f>OrdersTable[[#This Row],[Quantity]]*OrdersTable[[#This Row],[Unit Price]]</f>
        <v>399</v>
      </c>
      <c r="T61" s="5">
        <f>OrdersTable[[#This Row],[Gross Sale]]*OrdersTable[[#This Row],[Discount_Clean2]]</f>
        <v>19.950000000000003</v>
      </c>
      <c r="U61" s="5">
        <f>OrdersTable[[#This Row],[Gross Sale]]-OrdersTable[[#This Row],[Discount Amount]]</f>
        <v>379.05</v>
      </c>
      <c r="V61" s="77">
        <f>INDEX(Products!E:E,MATCH(OrdersTable[[#This Row],[Product ID]],Products!A:A,0))</f>
        <v>152</v>
      </c>
      <c r="W61" s="77">
        <f>OrdersTable[[#This Row],[Quantity]]*OrdersTable[[#This Row],[Unit Cost]]</f>
        <v>152</v>
      </c>
      <c r="X61" s="77">
        <f>'Dropdown Lists'!$I$2*(1+OrdersTable[[#This Row],[Returned]])</f>
        <v>60</v>
      </c>
      <c r="Y61" s="76">
        <f>OrdersTable[[#This Row],[Net Revenue]]-OrdersTable[[#This Row],[COGS]]-OrdersTable[[#This Row],[Shipping Cost]]</f>
        <v>167.05</v>
      </c>
      <c r="Z61" s="78">
        <f>IFERROR(OrdersTable[[#This Row],[Profit]]/OrdersTable[[#This Row],[Net Revenue]],0)</f>
        <v>0.44070703073473161</v>
      </c>
      <c r="AA61" t="s">
        <v>3495</v>
      </c>
      <c r="AB61" s="79">
        <v>45304</v>
      </c>
      <c r="AC61">
        <f>OrdersTable[[#This Row],[Delivery Date]]-OrdersTable[[#This Row],[Order Date]]</f>
        <v>4</v>
      </c>
      <c r="AD61" t="str">
        <f>IF(OrdersTable[[#This Row],[Delivery Days]]&lt;=2, "Express (≤2d)", IF(OrdersTable[[#This Row],[Delivery Days]]&lt;=4, "Standard (3-4d)", "Delayed (5d+)"))</f>
        <v>Standard (3-4d)</v>
      </c>
      <c r="AF61">
        <v>0</v>
      </c>
    </row>
    <row r="62" spans="1:32" ht="15" x14ac:dyDescent="0.35">
      <c r="A62" t="s">
        <v>2686</v>
      </c>
      <c r="B62" s="1">
        <v>45301</v>
      </c>
      <c r="C62">
        <f>YEAR(OrdersTable[[#This Row],[Order Date]])</f>
        <v>2024</v>
      </c>
      <c r="D62" s="2">
        <f>DATE(YEAR(OrdersTable[[#This Row],[Order Date]]),MONTH(OrdersTable[[#This Row],[Order Date]]),1)</f>
        <v>45292</v>
      </c>
      <c r="E62">
        <f>MONTH(OrdersTable[[#This Row],[Order Date]])</f>
        <v>1</v>
      </c>
      <c r="F62" t="s">
        <v>678</v>
      </c>
      <c r="G62" t="str">
        <f>IF(OrdersTable[[#This Row],[Order Date]]=_xlfn.MINIFS(Order_Date, Customer_ID, OrdersTable[[#This Row],[Customer ID]]), "New", "Repeat")</f>
        <v>New</v>
      </c>
      <c r="H62" t="s">
        <v>54</v>
      </c>
      <c r="I62" t="str">
        <f>INDEX(State!B:B,MATCH(OrdersTable[[#This Row],[State]],State!A:A,0))</f>
        <v>RJ</v>
      </c>
      <c r="J62" t="str">
        <f>INDEX(State!C:C,MATCH(OrdersTable[[#This Row],[State Code]],State!B:B,0))</f>
        <v>North</v>
      </c>
      <c r="K62" t="s">
        <v>227</v>
      </c>
      <c r="L62" t="s">
        <v>23</v>
      </c>
      <c r="M62" t="s">
        <v>160</v>
      </c>
      <c r="N62" t="str">
        <f>INDEX(Products!B:B,MATCH(OrdersTable[[#This Row],[Product ID]],Products!A:A,0))</f>
        <v>Niacinamide Toner</v>
      </c>
      <c r="O62" t="str">
        <f>INDEX(Products!C:C,MATCH(OrdersTable[[#This Row],[Product ID]],Products!A:A,0))</f>
        <v>Skincare</v>
      </c>
      <c r="P62">
        <v>1</v>
      </c>
      <c r="Q62" s="5">
        <v>399</v>
      </c>
      <c r="R62" s="74">
        <v>0.3</v>
      </c>
      <c r="S62" s="75">
        <f>OrdersTable[[#This Row],[Quantity]]*OrdersTable[[#This Row],[Unit Price]]</f>
        <v>399</v>
      </c>
      <c r="T62" s="5">
        <f>OrdersTable[[#This Row],[Gross Sale]]*OrdersTable[[#This Row],[Discount_Clean2]]</f>
        <v>119.69999999999999</v>
      </c>
      <c r="U62" s="5">
        <f>OrdersTable[[#This Row],[Gross Sale]]-OrdersTable[[#This Row],[Discount Amount]]</f>
        <v>279.3</v>
      </c>
      <c r="V62" s="77">
        <f>INDEX(Products!E:E,MATCH(OrdersTable[[#This Row],[Product ID]],Products!A:A,0))</f>
        <v>112</v>
      </c>
      <c r="W62" s="77">
        <f>OrdersTable[[#This Row],[Quantity]]*OrdersTable[[#This Row],[Unit Cost]]</f>
        <v>112</v>
      </c>
      <c r="X62" s="77">
        <f>'Dropdown Lists'!$I$2*(1+OrdersTable[[#This Row],[Returned]])</f>
        <v>60</v>
      </c>
      <c r="Y62" s="76">
        <f>OrdersTable[[#This Row],[Net Revenue]]-OrdersTable[[#This Row],[COGS]]-OrdersTable[[#This Row],[Shipping Cost]]</f>
        <v>107.30000000000001</v>
      </c>
      <c r="Z62" s="78">
        <f>IFERROR(OrdersTable[[#This Row],[Profit]]/OrdersTable[[#This Row],[Net Revenue]],0)</f>
        <v>0.38417472252058721</v>
      </c>
      <c r="AA62" t="s">
        <v>2522</v>
      </c>
      <c r="AB62" s="79">
        <v>45305</v>
      </c>
      <c r="AC62">
        <f>OrdersTable[[#This Row],[Delivery Date]]-OrdersTable[[#This Row],[Order Date]]</f>
        <v>4</v>
      </c>
      <c r="AD62" t="str">
        <f>IF(OrdersTable[[#This Row],[Delivery Days]]&lt;=2, "Express (≤2d)", IF(OrdersTable[[#This Row],[Delivery Days]]&lt;=4, "Standard (3-4d)", "Delayed (5d+)"))</f>
        <v>Standard (3-4d)</v>
      </c>
      <c r="AE62">
        <v>3</v>
      </c>
      <c r="AF62">
        <v>0</v>
      </c>
    </row>
    <row r="63" spans="1:32" ht="15" x14ac:dyDescent="0.35">
      <c r="A63" t="s">
        <v>6454</v>
      </c>
      <c r="B63" s="1">
        <v>45301</v>
      </c>
      <c r="C63">
        <f>YEAR(OrdersTable[[#This Row],[Order Date]])</f>
        <v>2024</v>
      </c>
      <c r="D63" s="2">
        <f>DATE(YEAR(OrdersTable[[#This Row],[Order Date]]),MONTH(OrdersTable[[#This Row],[Order Date]]),1)</f>
        <v>45292</v>
      </c>
      <c r="E63">
        <f>MONTH(OrdersTable[[#This Row],[Order Date]])</f>
        <v>1</v>
      </c>
      <c r="F63" t="s">
        <v>3041</v>
      </c>
      <c r="G63" t="str">
        <f>IF(OrdersTable[[#This Row],[Order Date]]=_xlfn.MINIFS(Order_Date, Customer_ID, OrdersTable[[#This Row],[Customer ID]]), "New", "Repeat")</f>
        <v>New</v>
      </c>
      <c r="H63" t="s">
        <v>27</v>
      </c>
      <c r="I63" t="str">
        <f>INDEX(State!B:B,MATCH(OrdersTable[[#This Row],[State]],State!A:A,0))</f>
        <v>WB</v>
      </c>
      <c r="J63" t="str">
        <f>INDEX(State!C:C,MATCH(OrdersTable[[#This Row],[State Code]],State!B:B,0))</f>
        <v>East</v>
      </c>
      <c r="K63" t="s">
        <v>28</v>
      </c>
      <c r="L63" t="s">
        <v>23</v>
      </c>
      <c r="M63" t="s">
        <v>40</v>
      </c>
      <c r="N63" t="str">
        <f>INDEX(Products!B:B,MATCH(OrdersTable[[#This Row],[Product ID]],Products!A:A,0))</f>
        <v>Ashwagandha Capsules</v>
      </c>
      <c r="O63" t="str">
        <f>INDEX(Products!C:C,MATCH(OrdersTable[[#This Row],[Product ID]],Products!A:A,0))</f>
        <v>Wellness</v>
      </c>
      <c r="P63">
        <v>3</v>
      </c>
      <c r="Q63" s="5">
        <v>499</v>
      </c>
      <c r="R63" s="74">
        <v>0.05</v>
      </c>
      <c r="S63" s="75">
        <f>OrdersTable[[#This Row],[Quantity]]*OrdersTable[[#This Row],[Unit Price]]</f>
        <v>1497</v>
      </c>
      <c r="T63" s="5">
        <f>OrdersTable[[#This Row],[Gross Sale]]*OrdersTable[[#This Row],[Discount_Clean2]]</f>
        <v>74.850000000000009</v>
      </c>
      <c r="U63" s="5">
        <f>OrdersTable[[#This Row],[Gross Sale]]-OrdersTable[[#This Row],[Discount Amount]]</f>
        <v>1422.15</v>
      </c>
      <c r="V63" s="77">
        <f>INDEX(Products!E:E,MATCH(OrdersTable[[#This Row],[Product ID]],Products!A:A,0))</f>
        <v>150</v>
      </c>
      <c r="W63" s="77">
        <f>OrdersTable[[#This Row],[Quantity]]*OrdersTable[[#This Row],[Unit Cost]]</f>
        <v>450</v>
      </c>
      <c r="X63" s="77">
        <f>'Dropdown Lists'!$I$2*(1+OrdersTable[[#This Row],[Returned]])</f>
        <v>60</v>
      </c>
      <c r="Y63" s="76">
        <f>OrdersTable[[#This Row],[Net Revenue]]-OrdersTable[[#This Row],[COGS]]-OrdersTable[[#This Row],[Shipping Cost]]</f>
        <v>912.15000000000009</v>
      </c>
      <c r="Z63" s="78">
        <f>IFERROR(OrdersTable[[#This Row],[Profit]]/OrdersTable[[#This Row],[Net Revenue]],0)</f>
        <v>0.64138803923636745</v>
      </c>
      <c r="AA63" t="s">
        <v>18</v>
      </c>
      <c r="AB63" s="79">
        <v>45303</v>
      </c>
      <c r="AC63">
        <f>OrdersTable[[#This Row],[Delivery Date]]-OrdersTable[[#This Row],[Order Date]]</f>
        <v>2</v>
      </c>
      <c r="AD63" t="str">
        <f>IF(OrdersTable[[#This Row],[Delivery Days]]&lt;=2, "Express (≤2d)", IF(OrdersTable[[#This Row],[Delivery Days]]&lt;=4, "Standard (3-4d)", "Delayed (5d+)"))</f>
        <v>Express (≤2d)</v>
      </c>
      <c r="AE63">
        <v>4</v>
      </c>
      <c r="AF63">
        <v>0</v>
      </c>
    </row>
    <row r="64" spans="1:32" ht="15" x14ac:dyDescent="0.35">
      <c r="A64" t="s">
        <v>1211</v>
      </c>
      <c r="B64" s="1">
        <v>45301</v>
      </c>
      <c r="C64">
        <f>YEAR(OrdersTable[[#This Row],[Order Date]])</f>
        <v>2024</v>
      </c>
      <c r="D64" s="2">
        <f>DATE(YEAR(OrdersTable[[#This Row],[Order Date]]),MONTH(OrdersTable[[#This Row],[Order Date]]),1)</f>
        <v>45292</v>
      </c>
      <c r="E64">
        <f>MONTH(OrdersTable[[#This Row],[Order Date]])</f>
        <v>1</v>
      </c>
      <c r="F64" t="s">
        <v>1212</v>
      </c>
      <c r="G64" t="str">
        <f>IF(OrdersTable[[#This Row],[Order Date]]=_xlfn.MINIFS(Order_Date, Customer_ID, OrdersTable[[#This Row],[Customer ID]]), "New", "Repeat")</f>
        <v>New</v>
      </c>
      <c r="H64" t="s">
        <v>71</v>
      </c>
      <c r="I64" t="str">
        <f>INDEX(State!B:B,MATCH(OrdersTable[[#This Row],[State]],State!A:A,0))</f>
        <v>MH</v>
      </c>
      <c r="J64" t="str">
        <f>INDEX(State!C:C,MATCH(OrdersTable[[#This Row],[State Code]],State!B:B,0))</f>
        <v>West</v>
      </c>
      <c r="K64" t="s">
        <v>81</v>
      </c>
      <c r="L64" t="s">
        <v>16</v>
      </c>
      <c r="M64" t="s">
        <v>87</v>
      </c>
      <c r="N64" t="str">
        <f>INDEX(Products!B:B,MATCH(OrdersTable[[#This Row],[Product ID]],Products!A:A,0))</f>
        <v>Linen Kurta</v>
      </c>
      <c r="O64" t="str">
        <f>INDEX(Products!C:C,MATCH(OrdersTable[[#This Row],[Product ID]],Products!A:A,0))</f>
        <v>Apparel</v>
      </c>
      <c r="P64">
        <v>1</v>
      </c>
      <c r="Q64" s="5">
        <v>1499</v>
      </c>
      <c r="R64" s="74">
        <v>0.4</v>
      </c>
      <c r="S64" s="75">
        <f>OrdersTable[[#This Row],[Quantity]]*OrdersTable[[#This Row],[Unit Price]]</f>
        <v>1499</v>
      </c>
      <c r="T64" s="5">
        <f>OrdersTable[[#This Row],[Gross Sale]]*OrdersTable[[#This Row],[Discount_Clean2]]</f>
        <v>599.6</v>
      </c>
      <c r="U64" s="5">
        <f>OrdersTable[[#This Row],[Gross Sale]]-OrdersTable[[#This Row],[Discount Amount]]</f>
        <v>899.4</v>
      </c>
      <c r="V64" s="77">
        <f>INDEX(Products!E:E,MATCH(OrdersTable[[#This Row],[Product ID]],Products!A:A,0))</f>
        <v>630</v>
      </c>
      <c r="W64" s="77">
        <f>OrdersTable[[#This Row],[Quantity]]*OrdersTable[[#This Row],[Unit Cost]]</f>
        <v>630</v>
      </c>
      <c r="X64" s="77">
        <f>'Dropdown Lists'!$I$2*(1+OrdersTable[[#This Row],[Returned]])</f>
        <v>60</v>
      </c>
      <c r="Y64" s="76">
        <f>OrdersTable[[#This Row],[Net Revenue]]-OrdersTable[[#This Row],[COGS]]-OrdersTable[[#This Row],[Shipping Cost]]</f>
        <v>209.39999999999998</v>
      </c>
      <c r="Z64" s="78">
        <f>IFERROR(OrdersTable[[#This Row],[Profit]]/OrdersTable[[#This Row],[Net Revenue]],0)</f>
        <v>0.23282188125416942</v>
      </c>
      <c r="AA64" t="s">
        <v>18</v>
      </c>
      <c r="AB64" s="79">
        <v>45303</v>
      </c>
      <c r="AC64">
        <f>OrdersTable[[#This Row],[Delivery Date]]-OrdersTable[[#This Row],[Order Date]]</f>
        <v>2</v>
      </c>
      <c r="AD64" t="str">
        <f>IF(OrdersTable[[#This Row],[Delivery Days]]&lt;=2, "Express (≤2d)", IF(OrdersTable[[#This Row],[Delivery Days]]&lt;=4, "Standard (3-4d)", "Delayed (5d+)"))</f>
        <v>Express (≤2d)</v>
      </c>
      <c r="AF64">
        <v>0</v>
      </c>
    </row>
    <row r="65" spans="1:32" ht="15" x14ac:dyDescent="0.35">
      <c r="A65" t="s">
        <v>2864</v>
      </c>
      <c r="B65" s="1">
        <v>45301</v>
      </c>
      <c r="C65">
        <f>YEAR(OrdersTable[[#This Row],[Order Date]])</f>
        <v>2024</v>
      </c>
      <c r="D65" s="2">
        <f>DATE(YEAR(OrdersTable[[#This Row],[Order Date]]),MONTH(OrdersTable[[#This Row],[Order Date]]),1)</f>
        <v>45292</v>
      </c>
      <c r="E65">
        <f>MONTH(OrdersTable[[#This Row],[Order Date]])</f>
        <v>1</v>
      </c>
      <c r="F65" t="s">
        <v>141</v>
      </c>
      <c r="G65" t="str">
        <f>IF(OrdersTable[[#This Row],[Order Date]]=_xlfn.MINIFS(Order_Date, Customer_ID, OrdersTable[[#This Row],[Customer ID]]), "New", "Repeat")</f>
        <v>New</v>
      </c>
      <c r="H65" t="s">
        <v>71</v>
      </c>
      <c r="I65" t="str">
        <f>INDEX(State!B:B,MATCH(OrdersTable[[#This Row],[State]],State!A:A,0))</f>
        <v>MH</v>
      </c>
      <c r="J65" t="str">
        <f>INDEX(State!C:C,MATCH(OrdersTable[[#This Row],[State Code]],State!B:B,0))</f>
        <v>West</v>
      </c>
      <c r="K65" t="s">
        <v>81</v>
      </c>
      <c r="L65" t="s">
        <v>23</v>
      </c>
      <c r="M65" t="s">
        <v>34</v>
      </c>
      <c r="N65" t="str">
        <f>INDEX(Products!B:B,MATCH(OrdersTable[[#This Row],[Product ID]],Products!A:A,0))</f>
        <v>Flip Flops</v>
      </c>
      <c r="O65" t="str">
        <f>INDEX(Products!C:C,MATCH(OrdersTable[[#This Row],[Product ID]],Products!A:A,0))</f>
        <v>Footwear</v>
      </c>
      <c r="P65">
        <v>1</v>
      </c>
      <c r="Q65" s="5">
        <v>399</v>
      </c>
      <c r="R65" s="74">
        <v>0.15</v>
      </c>
      <c r="S65" s="75">
        <f>OrdersTable[[#This Row],[Quantity]]*OrdersTable[[#This Row],[Unit Price]]</f>
        <v>399</v>
      </c>
      <c r="T65" s="5">
        <f>OrdersTable[[#This Row],[Gross Sale]]*OrdersTable[[#This Row],[Discount_Clean2]]</f>
        <v>59.849999999999994</v>
      </c>
      <c r="U65" s="5">
        <f>OrdersTable[[#This Row],[Gross Sale]]-OrdersTable[[#This Row],[Discount Amount]]</f>
        <v>339.15</v>
      </c>
      <c r="V65" s="77">
        <f>INDEX(Products!E:E,MATCH(OrdersTable[[#This Row],[Product ID]],Products!A:A,0))</f>
        <v>152</v>
      </c>
      <c r="W65" s="77">
        <f>OrdersTable[[#This Row],[Quantity]]*OrdersTable[[#This Row],[Unit Cost]]</f>
        <v>152</v>
      </c>
      <c r="X65" s="77">
        <f>'Dropdown Lists'!$I$2*(1+OrdersTable[[#This Row],[Returned]])</f>
        <v>60</v>
      </c>
      <c r="Y65" s="76">
        <f>OrdersTable[[#This Row],[Net Revenue]]-OrdersTable[[#This Row],[COGS]]-OrdersTable[[#This Row],[Shipping Cost]]</f>
        <v>127.14999999999998</v>
      </c>
      <c r="Z65" s="78">
        <f>IFERROR(OrdersTable[[#This Row],[Profit]]/OrdersTable[[#This Row],[Net Revenue]],0)</f>
        <v>0.37490785787999409</v>
      </c>
      <c r="AA65" t="s">
        <v>2522</v>
      </c>
      <c r="AB65" s="79">
        <v>45304</v>
      </c>
      <c r="AC65">
        <f>OrdersTable[[#This Row],[Delivery Date]]-OrdersTable[[#This Row],[Order Date]]</f>
        <v>3</v>
      </c>
      <c r="AD65" t="str">
        <f>IF(OrdersTable[[#This Row],[Delivery Days]]&lt;=2, "Express (≤2d)", IF(OrdersTable[[#This Row],[Delivery Days]]&lt;=4, "Standard (3-4d)", "Delayed (5d+)"))</f>
        <v>Standard (3-4d)</v>
      </c>
      <c r="AF65">
        <v>0</v>
      </c>
    </row>
    <row r="66" spans="1:32" ht="15" x14ac:dyDescent="0.35">
      <c r="A66" t="s">
        <v>2687</v>
      </c>
      <c r="B66" s="1">
        <v>45301</v>
      </c>
      <c r="C66">
        <f>YEAR(OrdersTable[[#This Row],[Order Date]])</f>
        <v>2024</v>
      </c>
      <c r="D66" s="2">
        <f>DATE(YEAR(OrdersTable[[#This Row],[Order Date]]),MONTH(OrdersTable[[#This Row],[Order Date]]),1)</f>
        <v>45292</v>
      </c>
      <c r="E66">
        <f>MONTH(OrdersTable[[#This Row],[Order Date]])</f>
        <v>1</v>
      </c>
      <c r="F66" t="s">
        <v>2688</v>
      </c>
      <c r="G66" t="str">
        <f>IF(OrdersTable[[#This Row],[Order Date]]=_xlfn.MINIFS(Order_Date, Customer_ID, OrdersTable[[#This Row],[Customer ID]]), "New", "Repeat")</f>
        <v>New</v>
      </c>
      <c r="H66" t="s">
        <v>167</v>
      </c>
      <c r="I66" t="str">
        <f>INDEX(State!B:B,MATCH(OrdersTable[[#This Row],[State]],State!A:A,0))</f>
        <v>KA</v>
      </c>
      <c r="J66" t="str">
        <f>INDEX(State!C:C,MATCH(OrdersTable[[#This Row],[State Code]],State!B:B,0))</f>
        <v>South</v>
      </c>
      <c r="K66" t="s">
        <v>168</v>
      </c>
      <c r="L66" t="s">
        <v>23</v>
      </c>
      <c r="M66" t="s">
        <v>152</v>
      </c>
      <c r="N66" t="str">
        <f>INDEX(Products!B:B,MATCH(OrdersTable[[#This Row],[Product ID]],Products!A:A,0))</f>
        <v>Green Tea (100 bags)</v>
      </c>
      <c r="O66" t="str">
        <f>INDEX(Products!C:C,MATCH(OrdersTable[[#This Row],[Product ID]],Products!A:A,0))</f>
        <v>Wellness</v>
      </c>
      <c r="P66">
        <v>1</v>
      </c>
      <c r="Q66" s="5">
        <v>399</v>
      </c>
      <c r="R66" s="74">
        <v>0.3</v>
      </c>
      <c r="S66" s="75">
        <f>OrdersTable[[#This Row],[Quantity]]*OrdersTable[[#This Row],[Unit Price]]</f>
        <v>399</v>
      </c>
      <c r="T66" s="5">
        <f>OrdersTable[[#This Row],[Gross Sale]]*OrdersTable[[#This Row],[Discount_Clean2]]</f>
        <v>119.69999999999999</v>
      </c>
      <c r="U66" s="5">
        <f>OrdersTable[[#This Row],[Gross Sale]]-OrdersTable[[#This Row],[Discount Amount]]</f>
        <v>279.3</v>
      </c>
      <c r="V66" s="77">
        <f>INDEX(Products!E:E,MATCH(OrdersTable[[#This Row],[Product ID]],Products!A:A,0))</f>
        <v>128</v>
      </c>
      <c r="W66" s="77">
        <f>OrdersTable[[#This Row],[Quantity]]*OrdersTable[[#This Row],[Unit Cost]]</f>
        <v>128</v>
      </c>
      <c r="X66" s="77">
        <f>'Dropdown Lists'!$I$2*(1+OrdersTable[[#This Row],[Returned]])</f>
        <v>60</v>
      </c>
      <c r="Y66" s="76">
        <f>OrdersTable[[#This Row],[Net Revenue]]-OrdersTable[[#This Row],[COGS]]-OrdersTable[[#This Row],[Shipping Cost]]</f>
        <v>91.300000000000011</v>
      </c>
      <c r="Z66" s="78">
        <f>IFERROR(OrdersTable[[#This Row],[Profit]]/OrdersTable[[#This Row],[Net Revenue]],0)</f>
        <v>0.32688865019692093</v>
      </c>
      <c r="AA66" t="s">
        <v>2522</v>
      </c>
      <c r="AB66" s="79">
        <v>45303</v>
      </c>
      <c r="AC66">
        <f>OrdersTable[[#This Row],[Delivery Date]]-OrdersTable[[#This Row],[Order Date]]</f>
        <v>2</v>
      </c>
      <c r="AD66" t="str">
        <f>IF(OrdersTable[[#This Row],[Delivery Days]]&lt;=2, "Express (≤2d)", IF(OrdersTable[[#This Row],[Delivery Days]]&lt;=4, "Standard (3-4d)", "Delayed (5d+)"))</f>
        <v>Express (≤2d)</v>
      </c>
      <c r="AE66">
        <v>3</v>
      </c>
      <c r="AF66">
        <v>0</v>
      </c>
    </row>
    <row r="67" spans="1:32" ht="15" x14ac:dyDescent="0.35">
      <c r="A67" t="s">
        <v>2865</v>
      </c>
      <c r="B67" s="1">
        <v>45301</v>
      </c>
      <c r="C67">
        <f>YEAR(OrdersTable[[#This Row],[Order Date]])</f>
        <v>2024</v>
      </c>
      <c r="D67" s="2">
        <f>DATE(YEAR(OrdersTable[[#This Row],[Order Date]]),MONTH(OrdersTable[[#This Row],[Order Date]]),1)</f>
        <v>45292</v>
      </c>
      <c r="E67">
        <f>MONTH(OrdersTable[[#This Row],[Order Date]])</f>
        <v>1</v>
      </c>
      <c r="F67" t="s">
        <v>767</v>
      </c>
      <c r="G67" t="str">
        <f>IF(OrdersTable[[#This Row],[Order Date]]=_xlfn.MINIFS(Order_Date, Customer_ID, OrdersTable[[#This Row],[Customer ID]]), "New", "Repeat")</f>
        <v>New</v>
      </c>
      <c r="H67" t="s">
        <v>316</v>
      </c>
      <c r="I67" t="str">
        <f>INDEX(State!B:B,MATCH(OrdersTable[[#This Row],[State]],State!A:A,0))</f>
        <v>KL</v>
      </c>
      <c r="J67" t="str">
        <f>INDEX(State!C:C,MATCH(OrdersTable[[#This Row],[State Code]],State!B:B,0))</f>
        <v>South</v>
      </c>
      <c r="K67" t="s">
        <v>317</v>
      </c>
      <c r="L67" t="s">
        <v>65</v>
      </c>
      <c r="M67" t="s">
        <v>255</v>
      </c>
      <c r="N67" t="str">
        <f>INDEX(Products!B:B,MATCH(OrdersTable[[#This Row],[Product ID]],Products!A:A,0))</f>
        <v>Cotton Oversized T-Shirt</v>
      </c>
      <c r="O67" t="str">
        <f>INDEX(Products!C:C,MATCH(OrdersTable[[#This Row],[Product ID]],Products!A:A,0))</f>
        <v>Apparel</v>
      </c>
      <c r="P67">
        <v>1</v>
      </c>
      <c r="Q67" s="5">
        <v>799</v>
      </c>
      <c r="R67" s="74">
        <v>0.05</v>
      </c>
      <c r="S67" s="75">
        <f>OrdersTable[[#This Row],[Quantity]]*OrdersTable[[#This Row],[Unit Price]]</f>
        <v>799</v>
      </c>
      <c r="T67" s="5">
        <f>OrdersTable[[#This Row],[Gross Sale]]*OrdersTable[[#This Row],[Discount_Clean2]]</f>
        <v>39.950000000000003</v>
      </c>
      <c r="U67" s="5">
        <f>OrdersTable[[#This Row],[Gross Sale]]-OrdersTable[[#This Row],[Discount Amount]]</f>
        <v>759.05</v>
      </c>
      <c r="V67" s="77">
        <f>INDEX(Products!E:E,MATCH(OrdersTable[[#This Row],[Product ID]],Products!A:A,0))</f>
        <v>320</v>
      </c>
      <c r="W67" s="77">
        <f>OrdersTable[[#This Row],[Quantity]]*OrdersTable[[#This Row],[Unit Cost]]</f>
        <v>320</v>
      </c>
      <c r="X67" s="77">
        <f>'Dropdown Lists'!$I$2*(1+OrdersTable[[#This Row],[Returned]])</f>
        <v>120</v>
      </c>
      <c r="Y67" s="76">
        <f>OrdersTable[[#This Row],[Net Revenue]]-OrdersTable[[#This Row],[COGS]]-OrdersTable[[#This Row],[Shipping Cost]]</f>
        <v>319.04999999999995</v>
      </c>
      <c r="Z67" s="78">
        <f>IFERROR(OrdersTable[[#This Row],[Profit]]/OrdersTable[[#This Row],[Net Revenue]],0)</f>
        <v>0.42032804163098608</v>
      </c>
      <c r="AA67" t="s">
        <v>2522</v>
      </c>
      <c r="AB67" s="79">
        <v>45304</v>
      </c>
      <c r="AC67">
        <f>OrdersTable[[#This Row],[Delivery Date]]-OrdersTable[[#This Row],[Order Date]]</f>
        <v>3</v>
      </c>
      <c r="AD67" t="str">
        <f>IF(OrdersTable[[#This Row],[Delivery Days]]&lt;=2, "Express (≤2d)", IF(OrdersTable[[#This Row],[Delivery Days]]&lt;=4, "Standard (3-4d)", "Delayed (5d+)"))</f>
        <v>Standard (3-4d)</v>
      </c>
      <c r="AF67">
        <v>1</v>
      </c>
    </row>
    <row r="68" spans="1:32" ht="15" x14ac:dyDescent="0.35">
      <c r="A68" t="s">
        <v>4646</v>
      </c>
      <c r="B68" s="1">
        <v>45302</v>
      </c>
      <c r="C68">
        <f>YEAR(OrdersTable[[#This Row],[Order Date]])</f>
        <v>2024</v>
      </c>
      <c r="D68" s="2">
        <f>DATE(YEAR(OrdersTable[[#This Row],[Order Date]]),MONTH(OrdersTable[[#This Row],[Order Date]]),1)</f>
        <v>45292</v>
      </c>
      <c r="E68">
        <f>MONTH(OrdersTable[[#This Row],[Order Date]])</f>
        <v>1</v>
      </c>
      <c r="F68" t="s">
        <v>809</v>
      </c>
      <c r="G68" t="str">
        <f>IF(OrdersTable[[#This Row],[Order Date]]=_xlfn.MINIFS(Order_Date, Customer_ID, OrdersTable[[#This Row],[Customer ID]]), "New", "Repeat")</f>
        <v>New</v>
      </c>
      <c r="H68" t="s">
        <v>32</v>
      </c>
      <c r="I68" t="str">
        <f>INDEX(State!B:B,MATCH(OrdersTable[[#This Row],[State]],State!A:A,0))</f>
        <v>BR</v>
      </c>
      <c r="J68" t="str">
        <f>INDEX(State!C:C,MATCH(OrdersTable[[#This Row],[State Code]],State!B:B,0))</f>
        <v>East</v>
      </c>
      <c r="K68" t="s">
        <v>33</v>
      </c>
      <c r="L68" t="s">
        <v>50</v>
      </c>
      <c r="M68" t="s">
        <v>73</v>
      </c>
      <c r="N68" t="str">
        <f>INDEX(Products!B:B,MATCH(OrdersTable[[#This Row],[Product ID]],Products!A:A,0))</f>
        <v>Hydrating Face Wash</v>
      </c>
      <c r="O68" t="str">
        <f>INDEX(Products!C:C,MATCH(OrdersTable[[#This Row],[Product ID]],Products!A:A,0))</f>
        <v>Skincare</v>
      </c>
      <c r="P68">
        <v>1</v>
      </c>
      <c r="Q68" s="5">
        <v>299</v>
      </c>
      <c r="R68" s="74">
        <v>0</v>
      </c>
      <c r="S68" s="75">
        <f>OrdersTable[[#This Row],[Quantity]]*OrdersTable[[#This Row],[Unit Price]]</f>
        <v>299</v>
      </c>
      <c r="T68" s="5">
        <f>OrdersTable[[#This Row],[Gross Sale]]*OrdersTable[[#This Row],[Discount_Clean2]]</f>
        <v>0</v>
      </c>
      <c r="U68" s="5">
        <f>OrdersTable[[#This Row],[Gross Sale]]-OrdersTable[[#This Row],[Discount Amount]]</f>
        <v>299</v>
      </c>
      <c r="V68" s="77">
        <f>INDEX(Products!E:E,MATCH(OrdersTable[[#This Row],[Product ID]],Products!A:A,0))</f>
        <v>90</v>
      </c>
      <c r="W68" s="77">
        <f>OrdersTable[[#This Row],[Quantity]]*OrdersTable[[#This Row],[Unit Cost]]</f>
        <v>90</v>
      </c>
      <c r="X68" s="77">
        <f>'Dropdown Lists'!$I$2*(1+OrdersTable[[#This Row],[Returned]])</f>
        <v>60</v>
      </c>
      <c r="Y68" s="76">
        <f>OrdersTable[[#This Row],[Net Revenue]]-OrdersTable[[#This Row],[COGS]]-OrdersTable[[#This Row],[Shipping Cost]]</f>
        <v>149</v>
      </c>
      <c r="Z68" s="78">
        <f>IFERROR(OrdersTable[[#This Row],[Profit]]/OrdersTable[[#This Row],[Net Revenue]],0)</f>
        <v>0.49832775919732442</v>
      </c>
      <c r="AA68" t="s">
        <v>4450</v>
      </c>
      <c r="AB68" s="79">
        <v>45307</v>
      </c>
      <c r="AC68">
        <f>OrdersTable[[#This Row],[Delivery Date]]-OrdersTable[[#This Row],[Order Date]]</f>
        <v>5</v>
      </c>
      <c r="AD68" t="str">
        <f>IF(OrdersTable[[#This Row],[Delivery Days]]&lt;=2, "Express (≤2d)", IF(OrdersTable[[#This Row],[Delivery Days]]&lt;=4, "Standard (3-4d)", "Delayed (5d+)"))</f>
        <v>Delayed (5d+)</v>
      </c>
      <c r="AE68">
        <v>3</v>
      </c>
      <c r="AF68">
        <v>0</v>
      </c>
    </row>
    <row r="69" spans="1:32" ht="15" x14ac:dyDescent="0.35">
      <c r="A69" t="s">
        <v>6756</v>
      </c>
      <c r="B69" s="1">
        <v>45302</v>
      </c>
      <c r="C69">
        <f>YEAR(OrdersTable[[#This Row],[Order Date]])</f>
        <v>2024</v>
      </c>
      <c r="D69" s="2">
        <f>DATE(YEAR(OrdersTable[[#This Row],[Order Date]]),MONTH(OrdersTable[[#This Row],[Order Date]]),1)</f>
        <v>45292</v>
      </c>
      <c r="E69">
        <f>MONTH(OrdersTable[[#This Row],[Order Date]])</f>
        <v>1</v>
      </c>
      <c r="F69" t="s">
        <v>6689</v>
      </c>
      <c r="G69" t="str">
        <f>IF(OrdersTable[[#This Row],[Order Date]]=_xlfn.MINIFS(Order_Date, Customer_ID, OrdersTable[[#This Row],[Customer ID]]), "New", "Repeat")</f>
        <v>New</v>
      </c>
      <c r="H69" t="s">
        <v>37</v>
      </c>
      <c r="I69" t="str">
        <f>INDEX(State!B:B,MATCH(OrdersTable[[#This Row],[State]],State!A:A,0))</f>
        <v>GJ</v>
      </c>
      <c r="J69" t="str">
        <f>INDEX(State!C:C,MATCH(OrdersTable[[#This Row],[State Code]],State!B:B,0))</f>
        <v>West</v>
      </c>
      <c r="K69" t="s">
        <v>38</v>
      </c>
      <c r="L69" t="s">
        <v>23</v>
      </c>
      <c r="M69" t="s">
        <v>173</v>
      </c>
      <c r="N69" t="str">
        <f>INDEX(Products!B:B,MATCH(OrdersTable[[#This Row],[Product ID]],Products!A:A,0))</f>
        <v>Wireless Earbuds</v>
      </c>
      <c r="O69" t="str">
        <f>INDEX(Products!C:C,MATCH(OrdersTable[[#This Row],[Product ID]],Products!A:A,0))</f>
        <v>Electronics</v>
      </c>
      <c r="P69">
        <v>3</v>
      </c>
      <c r="Q69" s="5">
        <v>1999</v>
      </c>
      <c r="R69" s="74">
        <v>0.3</v>
      </c>
      <c r="S69" s="75">
        <f>OrdersTable[[#This Row],[Quantity]]*OrdersTable[[#This Row],[Unit Price]]</f>
        <v>5997</v>
      </c>
      <c r="T69" s="5">
        <f>OrdersTable[[#This Row],[Gross Sale]]*OrdersTable[[#This Row],[Discount_Clean2]]</f>
        <v>1799.1</v>
      </c>
      <c r="U69" s="5">
        <f>OrdersTable[[#This Row],[Gross Sale]]-OrdersTable[[#This Row],[Discount Amount]]</f>
        <v>4197.8999999999996</v>
      </c>
      <c r="V69" s="77">
        <f>INDEX(Products!E:E,MATCH(OrdersTable[[#This Row],[Product ID]],Products!A:A,0))</f>
        <v>1239</v>
      </c>
      <c r="W69" s="77">
        <f>OrdersTable[[#This Row],[Quantity]]*OrdersTable[[#This Row],[Unit Cost]]</f>
        <v>3717</v>
      </c>
      <c r="X69" s="77">
        <f>'Dropdown Lists'!$I$2*(1+OrdersTable[[#This Row],[Returned]])</f>
        <v>60</v>
      </c>
      <c r="Y69" s="76">
        <f>OrdersTable[[#This Row],[Net Revenue]]-OrdersTable[[#This Row],[COGS]]-OrdersTable[[#This Row],[Shipping Cost]]</f>
        <v>420.89999999999964</v>
      </c>
      <c r="Z69" s="78">
        <f>IFERROR(OrdersTable[[#This Row],[Profit]]/OrdersTable[[#This Row],[Net Revenue]],0)</f>
        <v>0.10026441792324726</v>
      </c>
      <c r="AA69" t="s">
        <v>3495</v>
      </c>
      <c r="AB69" s="79">
        <v>45305</v>
      </c>
      <c r="AC69">
        <f>OrdersTable[[#This Row],[Delivery Date]]-OrdersTable[[#This Row],[Order Date]]</f>
        <v>3</v>
      </c>
      <c r="AD69" t="str">
        <f>IF(OrdersTable[[#This Row],[Delivery Days]]&lt;=2, "Express (≤2d)", IF(OrdersTable[[#This Row],[Delivery Days]]&lt;=4, "Standard (3-4d)", "Delayed (5d+)"))</f>
        <v>Standard (3-4d)</v>
      </c>
      <c r="AE69">
        <v>4</v>
      </c>
      <c r="AF69">
        <v>0</v>
      </c>
    </row>
    <row r="70" spans="1:32" ht="15" x14ac:dyDescent="0.35">
      <c r="A70" t="s">
        <v>3388</v>
      </c>
      <c r="B70" s="1">
        <v>45302</v>
      </c>
      <c r="C70">
        <f>YEAR(OrdersTable[[#This Row],[Order Date]])</f>
        <v>2024</v>
      </c>
      <c r="D70" s="2">
        <f>DATE(YEAR(OrdersTable[[#This Row],[Order Date]]),MONTH(OrdersTable[[#This Row],[Order Date]]),1)</f>
        <v>45292</v>
      </c>
      <c r="E70">
        <f>MONTH(OrdersTable[[#This Row],[Order Date]])</f>
        <v>1</v>
      </c>
      <c r="F70" t="s">
        <v>3389</v>
      </c>
      <c r="G70" t="str">
        <f>IF(OrdersTable[[#This Row],[Order Date]]=_xlfn.MINIFS(Order_Date, Customer_ID, OrdersTable[[#This Row],[Customer ID]]), "New", "Repeat")</f>
        <v>New</v>
      </c>
      <c r="H70" t="s">
        <v>37</v>
      </c>
      <c r="I70" t="str">
        <f>INDEX(State!B:B,MATCH(OrdersTable[[#This Row],[State]],State!A:A,0))</f>
        <v>GJ</v>
      </c>
      <c r="J70" t="str">
        <f>INDEX(State!C:C,MATCH(OrdersTable[[#This Row],[State Code]],State!B:B,0))</f>
        <v>West</v>
      </c>
      <c r="K70" t="s">
        <v>247</v>
      </c>
      <c r="L70" t="s">
        <v>65</v>
      </c>
      <c r="M70" t="s">
        <v>87</v>
      </c>
      <c r="N70" t="str">
        <f>INDEX(Products!B:B,MATCH(OrdersTable[[#This Row],[Product ID]],Products!A:A,0))</f>
        <v>Linen Kurta</v>
      </c>
      <c r="O70" t="str">
        <f>INDEX(Products!C:C,MATCH(OrdersTable[[#This Row],[Product ID]],Products!A:A,0))</f>
        <v>Apparel</v>
      </c>
      <c r="P70">
        <v>1</v>
      </c>
      <c r="Q70" s="5">
        <v>1499</v>
      </c>
      <c r="R70" s="74">
        <v>0.25</v>
      </c>
      <c r="S70" s="75">
        <f>OrdersTable[[#This Row],[Quantity]]*OrdersTable[[#This Row],[Unit Price]]</f>
        <v>1499</v>
      </c>
      <c r="T70" s="5">
        <f>OrdersTable[[#This Row],[Gross Sale]]*OrdersTable[[#This Row],[Discount_Clean2]]</f>
        <v>374.75</v>
      </c>
      <c r="U70" s="5">
        <f>OrdersTable[[#This Row],[Gross Sale]]-OrdersTable[[#This Row],[Discount Amount]]</f>
        <v>1124.25</v>
      </c>
      <c r="V70" s="77">
        <f>INDEX(Products!E:E,MATCH(OrdersTable[[#This Row],[Product ID]],Products!A:A,0))</f>
        <v>630</v>
      </c>
      <c r="W70" s="77">
        <f>OrdersTable[[#This Row],[Quantity]]*OrdersTable[[#This Row],[Unit Cost]]</f>
        <v>630</v>
      </c>
      <c r="X70" s="77">
        <f>'Dropdown Lists'!$I$2*(1+OrdersTable[[#This Row],[Returned]])</f>
        <v>120</v>
      </c>
      <c r="Y70" s="76">
        <f>OrdersTable[[#This Row],[Net Revenue]]-OrdersTable[[#This Row],[COGS]]-OrdersTable[[#This Row],[Shipping Cost]]</f>
        <v>374.25</v>
      </c>
      <c r="Z70" s="78">
        <f>IFERROR(OrdersTable[[#This Row],[Profit]]/OrdersTable[[#This Row],[Net Revenue]],0)</f>
        <v>0.33288859239492996</v>
      </c>
      <c r="AA70" t="s">
        <v>2522</v>
      </c>
      <c r="AB70" s="79">
        <v>45305</v>
      </c>
      <c r="AC70">
        <f>OrdersTable[[#This Row],[Delivery Date]]-OrdersTable[[#This Row],[Order Date]]</f>
        <v>3</v>
      </c>
      <c r="AD70" t="str">
        <f>IF(OrdersTable[[#This Row],[Delivery Days]]&lt;=2, "Express (≤2d)", IF(OrdersTable[[#This Row],[Delivery Days]]&lt;=4, "Standard (3-4d)", "Delayed (5d+)"))</f>
        <v>Standard (3-4d)</v>
      </c>
      <c r="AE70">
        <v>4</v>
      </c>
      <c r="AF70">
        <v>1</v>
      </c>
    </row>
    <row r="71" spans="1:32" ht="15" x14ac:dyDescent="0.35">
      <c r="A71" t="s">
        <v>6248</v>
      </c>
      <c r="B71" s="1">
        <v>45302</v>
      </c>
      <c r="C71">
        <f>YEAR(OrdersTable[[#This Row],[Order Date]])</f>
        <v>2024</v>
      </c>
      <c r="D71" s="2">
        <f>DATE(YEAR(OrdersTable[[#This Row],[Order Date]]),MONTH(OrdersTable[[#This Row],[Order Date]]),1)</f>
        <v>45292</v>
      </c>
      <c r="E71">
        <f>MONTH(OrdersTable[[#This Row],[Order Date]])</f>
        <v>1</v>
      </c>
      <c r="F71" t="s">
        <v>6249</v>
      </c>
      <c r="G71" t="str">
        <f>IF(OrdersTable[[#This Row],[Order Date]]=_xlfn.MINIFS(Order_Date, Customer_ID, OrdersTable[[#This Row],[Customer ID]]), "New", "Repeat")</f>
        <v>New</v>
      </c>
      <c r="H71" t="s">
        <v>95</v>
      </c>
      <c r="I71" t="str">
        <f>INDEX(State!B:B,MATCH(OrdersTable[[#This Row],[State]],State!A:A,0))</f>
        <v>TG</v>
      </c>
      <c r="J71" t="str">
        <f>INDEX(State!C:C,MATCH(OrdersTable[[#This Row],[State Code]],State!B:B,0))</f>
        <v>South</v>
      </c>
      <c r="K71" t="s">
        <v>96</v>
      </c>
      <c r="L71" t="s">
        <v>50</v>
      </c>
      <c r="M71" t="s">
        <v>160</v>
      </c>
      <c r="N71" t="str">
        <f>INDEX(Products!B:B,MATCH(OrdersTable[[#This Row],[Product ID]],Products!A:A,0))</f>
        <v>Niacinamide Toner</v>
      </c>
      <c r="O71" t="str">
        <f>INDEX(Products!C:C,MATCH(OrdersTable[[#This Row],[Product ID]],Products!A:A,0))</f>
        <v>Skincare</v>
      </c>
      <c r="P71">
        <v>2</v>
      </c>
      <c r="Q71" s="5">
        <v>399</v>
      </c>
      <c r="R71" s="74">
        <v>0.25</v>
      </c>
      <c r="S71" s="75">
        <f>OrdersTable[[#This Row],[Quantity]]*OrdersTable[[#This Row],[Unit Price]]</f>
        <v>798</v>
      </c>
      <c r="T71" s="5">
        <f>OrdersTable[[#This Row],[Gross Sale]]*OrdersTable[[#This Row],[Discount_Clean2]]</f>
        <v>199.5</v>
      </c>
      <c r="U71" s="5">
        <f>OrdersTable[[#This Row],[Gross Sale]]-OrdersTable[[#This Row],[Discount Amount]]</f>
        <v>598.5</v>
      </c>
      <c r="V71" s="77">
        <f>INDEX(Products!E:E,MATCH(OrdersTable[[#This Row],[Product ID]],Products!A:A,0))</f>
        <v>112</v>
      </c>
      <c r="W71" s="77">
        <f>OrdersTable[[#This Row],[Quantity]]*OrdersTable[[#This Row],[Unit Cost]]</f>
        <v>224</v>
      </c>
      <c r="X71" s="77">
        <f>'Dropdown Lists'!$I$2*(1+OrdersTable[[#This Row],[Returned]])</f>
        <v>60</v>
      </c>
      <c r="Y71" s="76">
        <f>OrdersTable[[#This Row],[Net Revenue]]-OrdersTable[[#This Row],[COGS]]-OrdersTable[[#This Row],[Shipping Cost]]</f>
        <v>314.5</v>
      </c>
      <c r="Z71" s="78">
        <f>IFERROR(OrdersTable[[#This Row],[Profit]]/OrdersTable[[#This Row],[Net Revenue]],0)</f>
        <v>0.52548036758563077</v>
      </c>
      <c r="AA71" t="s">
        <v>18</v>
      </c>
      <c r="AB71" s="79">
        <v>45306</v>
      </c>
      <c r="AC71">
        <f>OrdersTable[[#This Row],[Delivery Date]]-OrdersTable[[#This Row],[Order Date]]</f>
        <v>4</v>
      </c>
      <c r="AD71" t="str">
        <f>IF(OrdersTable[[#This Row],[Delivery Days]]&lt;=2, "Express (≤2d)", IF(OrdersTable[[#This Row],[Delivery Days]]&lt;=4, "Standard (3-4d)", "Delayed (5d+)"))</f>
        <v>Standard (3-4d)</v>
      </c>
      <c r="AE71">
        <v>4</v>
      </c>
      <c r="AF71">
        <v>0</v>
      </c>
    </row>
    <row r="72" spans="1:32" ht="15" x14ac:dyDescent="0.35">
      <c r="A72" t="s">
        <v>6455</v>
      </c>
      <c r="B72" s="1">
        <v>45302</v>
      </c>
      <c r="C72">
        <f>YEAR(OrdersTable[[#This Row],[Order Date]])</f>
        <v>2024</v>
      </c>
      <c r="D72" s="2">
        <f>DATE(YEAR(OrdersTable[[#This Row],[Order Date]]),MONTH(OrdersTable[[#This Row],[Order Date]]),1)</f>
        <v>45292</v>
      </c>
      <c r="E72">
        <f>MONTH(OrdersTable[[#This Row],[Order Date]])</f>
        <v>1</v>
      </c>
      <c r="F72" t="s">
        <v>617</v>
      </c>
      <c r="G72" t="str">
        <f>IF(OrdersTable[[#This Row],[Order Date]]=_xlfn.MINIFS(Order_Date, Customer_ID, OrdersTable[[#This Row],[Customer ID]]), "New", "Repeat")</f>
        <v>New</v>
      </c>
      <c r="H72" t="s">
        <v>14</v>
      </c>
      <c r="I72" t="str">
        <f>INDEX(State!B:B,MATCH(OrdersTable[[#This Row],[State]],State!A:A,0))</f>
        <v>OD</v>
      </c>
      <c r="J72" t="str">
        <f>INDEX(State!C:C,MATCH(OrdersTable[[#This Row],[State Code]],State!B:B,0))</f>
        <v>East</v>
      </c>
      <c r="K72" t="s">
        <v>15</v>
      </c>
      <c r="L72" t="s">
        <v>23</v>
      </c>
      <c r="M72" t="s">
        <v>61</v>
      </c>
      <c r="N72" t="str">
        <f>INDEX(Products!B:B,MATCH(OrdersTable[[#This Row],[Product ID]],Products!A:A,0))</f>
        <v>Multivitamin Gummies</v>
      </c>
      <c r="O72" t="str">
        <f>INDEX(Products!C:C,MATCH(OrdersTable[[#This Row],[Product ID]],Products!A:A,0))</f>
        <v>Wellness</v>
      </c>
      <c r="P72">
        <v>3</v>
      </c>
      <c r="Q72" s="5">
        <v>699</v>
      </c>
      <c r="R72" s="74">
        <v>0.3</v>
      </c>
      <c r="S72" s="75">
        <f>OrdersTable[[#This Row],[Quantity]]*OrdersTable[[#This Row],[Unit Price]]</f>
        <v>2097</v>
      </c>
      <c r="T72" s="5">
        <f>OrdersTable[[#This Row],[Gross Sale]]*OrdersTable[[#This Row],[Discount_Clean2]]</f>
        <v>629.1</v>
      </c>
      <c r="U72" s="5">
        <f>OrdersTable[[#This Row],[Gross Sale]]-OrdersTable[[#This Row],[Discount Amount]]</f>
        <v>1467.9</v>
      </c>
      <c r="V72" s="77">
        <f>INDEX(Products!E:E,MATCH(OrdersTable[[#This Row],[Product ID]],Products!A:A,0))</f>
        <v>238</v>
      </c>
      <c r="W72" s="77">
        <f>OrdersTable[[#This Row],[Quantity]]*OrdersTable[[#This Row],[Unit Cost]]</f>
        <v>714</v>
      </c>
      <c r="X72" s="77">
        <f>'Dropdown Lists'!$I$2*(1+OrdersTable[[#This Row],[Returned]])</f>
        <v>60</v>
      </c>
      <c r="Y72" s="76">
        <f>OrdersTable[[#This Row],[Net Revenue]]-OrdersTable[[#This Row],[COGS]]-OrdersTable[[#This Row],[Shipping Cost]]</f>
        <v>693.90000000000009</v>
      </c>
      <c r="Z72" s="78">
        <f>IFERROR(OrdersTable[[#This Row],[Profit]]/OrdersTable[[#This Row],[Net Revenue]],0)</f>
        <v>0.47271612507664013</v>
      </c>
      <c r="AA72" t="s">
        <v>18</v>
      </c>
      <c r="AB72" s="79">
        <v>45307</v>
      </c>
      <c r="AC72">
        <f>OrdersTable[[#This Row],[Delivery Date]]-OrdersTable[[#This Row],[Order Date]]</f>
        <v>5</v>
      </c>
      <c r="AD72" t="str">
        <f>IF(OrdersTable[[#This Row],[Delivery Days]]&lt;=2, "Express (≤2d)", IF(OrdersTable[[#This Row],[Delivery Days]]&lt;=4, "Standard (3-4d)", "Delayed (5d+)"))</f>
        <v>Delayed (5d+)</v>
      </c>
      <c r="AE72">
        <v>2</v>
      </c>
      <c r="AF72">
        <v>0</v>
      </c>
    </row>
    <row r="73" spans="1:32" ht="15" x14ac:dyDescent="0.35">
      <c r="A73" t="s">
        <v>3390</v>
      </c>
      <c r="B73" s="1">
        <v>45302</v>
      </c>
      <c r="C73">
        <f>YEAR(OrdersTable[[#This Row],[Order Date]])</f>
        <v>2024</v>
      </c>
      <c r="D73" s="2">
        <f>DATE(YEAR(OrdersTable[[#This Row],[Order Date]]),MONTH(OrdersTable[[#This Row],[Order Date]]),1)</f>
        <v>45292</v>
      </c>
      <c r="E73">
        <f>MONTH(OrdersTable[[#This Row],[Order Date]])</f>
        <v>1</v>
      </c>
      <c r="F73" t="s">
        <v>3377</v>
      </c>
      <c r="G73" t="str">
        <f>IF(OrdersTable[[#This Row],[Order Date]]=_xlfn.MINIFS(Order_Date, Customer_ID, OrdersTable[[#This Row],[Customer ID]]), "New", "Repeat")</f>
        <v>New</v>
      </c>
      <c r="H73" t="s">
        <v>167</v>
      </c>
      <c r="I73" t="str">
        <f>INDEX(State!B:B,MATCH(OrdersTable[[#This Row],[State]],State!A:A,0))</f>
        <v>KA</v>
      </c>
      <c r="J73" t="str">
        <f>INDEX(State!C:C,MATCH(OrdersTable[[#This Row],[State Code]],State!B:B,0))</f>
        <v>South</v>
      </c>
      <c r="K73" t="s">
        <v>190</v>
      </c>
      <c r="L73" t="s">
        <v>65</v>
      </c>
      <c r="M73" t="s">
        <v>24</v>
      </c>
      <c r="N73" t="str">
        <f>INDEX(Products!B:B,MATCH(OrdersTable[[#This Row],[Product ID]],Products!A:A,0))</f>
        <v>Scented Candle Set</v>
      </c>
      <c r="O73" t="str">
        <f>INDEX(Products!C:C,MATCH(OrdersTable[[#This Row],[Product ID]],Products!A:A,0))</f>
        <v>Home &amp; Kitchen</v>
      </c>
      <c r="P73">
        <v>1</v>
      </c>
      <c r="Q73" s="5">
        <v>699</v>
      </c>
      <c r="R73" s="74">
        <v>0.25</v>
      </c>
      <c r="S73" s="75">
        <f>OrdersTable[[#This Row],[Quantity]]*OrdersTable[[#This Row],[Unit Price]]</f>
        <v>699</v>
      </c>
      <c r="T73" s="5">
        <f>OrdersTable[[#This Row],[Gross Sale]]*OrdersTable[[#This Row],[Discount_Clean2]]</f>
        <v>174.75</v>
      </c>
      <c r="U73" s="5">
        <f>OrdersTable[[#This Row],[Gross Sale]]-OrdersTable[[#This Row],[Discount Amount]]</f>
        <v>524.25</v>
      </c>
      <c r="V73" s="77">
        <f>INDEX(Products!E:E,MATCH(OrdersTable[[#This Row],[Product ID]],Products!A:A,0))</f>
        <v>245</v>
      </c>
      <c r="W73" s="77">
        <f>OrdersTable[[#This Row],[Quantity]]*OrdersTable[[#This Row],[Unit Cost]]</f>
        <v>245</v>
      </c>
      <c r="X73" s="77">
        <f>'Dropdown Lists'!$I$2*(1+OrdersTable[[#This Row],[Returned]])</f>
        <v>120</v>
      </c>
      <c r="Y73" s="76">
        <f>OrdersTable[[#This Row],[Net Revenue]]-OrdersTable[[#This Row],[COGS]]-OrdersTable[[#This Row],[Shipping Cost]]</f>
        <v>159.25</v>
      </c>
      <c r="Z73" s="78">
        <f>IFERROR(OrdersTable[[#This Row],[Profit]]/OrdersTable[[#This Row],[Net Revenue]],0)</f>
        <v>0.30376728659990465</v>
      </c>
      <c r="AA73" t="s">
        <v>2522</v>
      </c>
      <c r="AB73" s="79">
        <v>45305</v>
      </c>
      <c r="AC73">
        <f>OrdersTable[[#This Row],[Delivery Date]]-OrdersTable[[#This Row],[Order Date]]</f>
        <v>3</v>
      </c>
      <c r="AD73" t="str">
        <f>IF(OrdersTable[[#This Row],[Delivery Days]]&lt;=2, "Express (≤2d)", IF(OrdersTable[[#This Row],[Delivery Days]]&lt;=4, "Standard (3-4d)", "Delayed (5d+)"))</f>
        <v>Standard (3-4d)</v>
      </c>
      <c r="AE73">
        <v>4</v>
      </c>
      <c r="AF73">
        <v>1</v>
      </c>
    </row>
    <row r="74" spans="1:32" ht="15" x14ac:dyDescent="0.35">
      <c r="A74" t="s">
        <v>6757</v>
      </c>
      <c r="B74" s="1">
        <v>45303</v>
      </c>
      <c r="C74">
        <f>YEAR(OrdersTable[[#This Row],[Order Date]])</f>
        <v>2024</v>
      </c>
      <c r="D74" s="2">
        <f>DATE(YEAR(OrdersTable[[#This Row],[Order Date]]),MONTH(OrdersTable[[#This Row],[Order Date]]),1)</f>
        <v>45292</v>
      </c>
      <c r="E74">
        <f>MONTH(OrdersTable[[#This Row],[Order Date]])</f>
        <v>1</v>
      </c>
      <c r="F74" t="s">
        <v>5099</v>
      </c>
      <c r="G74" t="str">
        <f>IF(OrdersTable[[#This Row],[Order Date]]=_xlfn.MINIFS(Order_Date, Customer_ID, OrdersTable[[#This Row],[Customer ID]]), "New", "Repeat")</f>
        <v>New</v>
      </c>
      <c r="H74" t="s">
        <v>76</v>
      </c>
      <c r="I74" t="str">
        <f>INDEX(State!B:B,MATCH(OrdersTable[[#This Row],[State]],State!A:A,0))</f>
        <v>UP</v>
      </c>
      <c r="J74" t="str">
        <f>INDEX(State!C:C,MATCH(OrdersTable[[#This Row],[State Code]],State!B:B,0))</f>
        <v>North</v>
      </c>
      <c r="K74" t="s">
        <v>77</v>
      </c>
      <c r="L74" t="s">
        <v>23</v>
      </c>
      <c r="M74" t="s">
        <v>73</v>
      </c>
      <c r="N74" t="str">
        <f>INDEX(Products!B:B,MATCH(OrdersTable[[#This Row],[Product ID]],Products!A:A,0))</f>
        <v>Hydrating Face Wash</v>
      </c>
      <c r="O74" t="str">
        <f>INDEX(Products!C:C,MATCH(OrdersTable[[#This Row],[Product ID]],Products!A:A,0))</f>
        <v>Skincare</v>
      </c>
      <c r="P74">
        <v>3</v>
      </c>
      <c r="Q74" s="5">
        <v>299</v>
      </c>
      <c r="R74" s="74">
        <v>0</v>
      </c>
      <c r="S74" s="75">
        <f>OrdersTable[[#This Row],[Quantity]]*OrdersTable[[#This Row],[Unit Price]]</f>
        <v>897</v>
      </c>
      <c r="T74" s="5">
        <f>OrdersTable[[#This Row],[Gross Sale]]*OrdersTable[[#This Row],[Discount_Clean2]]</f>
        <v>0</v>
      </c>
      <c r="U74" s="5">
        <f>OrdersTable[[#This Row],[Gross Sale]]-OrdersTable[[#This Row],[Discount Amount]]</f>
        <v>897</v>
      </c>
      <c r="V74" s="77">
        <f>INDEX(Products!E:E,MATCH(OrdersTable[[#This Row],[Product ID]],Products!A:A,0))</f>
        <v>90</v>
      </c>
      <c r="W74" s="77">
        <f>OrdersTable[[#This Row],[Quantity]]*OrdersTable[[#This Row],[Unit Cost]]</f>
        <v>270</v>
      </c>
      <c r="X74" s="77">
        <f>'Dropdown Lists'!$I$2*(1+OrdersTable[[#This Row],[Returned]])</f>
        <v>60</v>
      </c>
      <c r="Y74" s="76">
        <f>OrdersTable[[#This Row],[Net Revenue]]-OrdersTable[[#This Row],[COGS]]-OrdersTable[[#This Row],[Shipping Cost]]</f>
        <v>567</v>
      </c>
      <c r="Z74" s="78">
        <f>IFERROR(OrdersTable[[#This Row],[Profit]]/OrdersTable[[#This Row],[Net Revenue]],0)</f>
        <v>0.63210702341137126</v>
      </c>
      <c r="AA74" t="s">
        <v>3495</v>
      </c>
      <c r="AB74" s="79">
        <v>45306</v>
      </c>
      <c r="AC74">
        <f>OrdersTable[[#This Row],[Delivery Date]]-OrdersTable[[#This Row],[Order Date]]</f>
        <v>3</v>
      </c>
      <c r="AD74" t="str">
        <f>IF(OrdersTable[[#This Row],[Delivery Days]]&lt;=2, "Express (≤2d)", IF(OrdersTable[[#This Row],[Delivery Days]]&lt;=4, "Standard (3-4d)", "Delayed (5d+)"))</f>
        <v>Standard (3-4d)</v>
      </c>
      <c r="AE74">
        <v>3</v>
      </c>
      <c r="AF74">
        <v>0</v>
      </c>
    </row>
    <row r="75" spans="1:32" ht="15" x14ac:dyDescent="0.35">
      <c r="A75" t="s">
        <v>2866</v>
      </c>
      <c r="B75" s="1">
        <v>45303</v>
      </c>
      <c r="C75">
        <f>YEAR(OrdersTable[[#This Row],[Order Date]])</f>
        <v>2024</v>
      </c>
      <c r="D75" s="2">
        <f>DATE(YEAR(OrdersTable[[#This Row],[Order Date]]),MONTH(OrdersTable[[#This Row],[Order Date]]),1)</f>
        <v>45292</v>
      </c>
      <c r="E75">
        <f>MONTH(OrdersTable[[#This Row],[Order Date]])</f>
        <v>1</v>
      </c>
      <c r="F75" t="s">
        <v>1179</v>
      </c>
      <c r="G75" t="str">
        <f>IF(OrdersTable[[#This Row],[Order Date]]=_xlfn.MINIFS(Order_Date, Customer_ID, OrdersTable[[#This Row],[Customer ID]]), "New", "Repeat")</f>
        <v>New</v>
      </c>
      <c r="H75" t="s">
        <v>71</v>
      </c>
      <c r="I75" t="str">
        <f>INDEX(State!B:B,MATCH(OrdersTable[[#This Row],[State]],State!A:A,0))</f>
        <v>MH</v>
      </c>
      <c r="J75" t="str">
        <f>INDEX(State!C:C,MATCH(OrdersTable[[#This Row],[State Code]],State!B:B,0))</f>
        <v>West</v>
      </c>
      <c r="K75" t="s">
        <v>72</v>
      </c>
      <c r="L75" t="s">
        <v>39</v>
      </c>
      <c r="M75" t="s">
        <v>34</v>
      </c>
      <c r="N75" t="str">
        <f>INDEX(Products!B:B,MATCH(OrdersTable[[#This Row],[Product ID]],Products!A:A,0))</f>
        <v>Flip Flops</v>
      </c>
      <c r="O75" t="str">
        <f>INDEX(Products!C:C,MATCH(OrdersTable[[#This Row],[Product ID]],Products!A:A,0))</f>
        <v>Footwear</v>
      </c>
      <c r="P75">
        <v>1</v>
      </c>
      <c r="Q75" s="5">
        <v>399</v>
      </c>
      <c r="R75" s="74">
        <v>0</v>
      </c>
      <c r="S75" s="75">
        <f>OrdersTable[[#This Row],[Quantity]]*OrdersTable[[#This Row],[Unit Price]]</f>
        <v>399</v>
      </c>
      <c r="T75" s="5">
        <f>OrdersTable[[#This Row],[Gross Sale]]*OrdersTable[[#This Row],[Discount_Clean2]]</f>
        <v>0</v>
      </c>
      <c r="U75" s="5">
        <f>OrdersTable[[#This Row],[Gross Sale]]-OrdersTable[[#This Row],[Discount Amount]]</f>
        <v>399</v>
      </c>
      <c r="V75" s="77">
        <f>INDEX(Products!E:E,MATCH(OrdersTable[[#This Row],[Product ID]],Products!A:A,0))</f>
        <v>152</v>
      </c>
      <c r="W75" s="77">
        <f>OrdersTable[[#This Row],[Quantity]]*OrdersTable[[#This Row],[Unit Cost]]</f>
        <v>152</v>
      </c>
      <c r="X75" s="77">
        <f>'Dropdown Lists'!$I$2*(1+OrdersTable[[#This Row],[Returned]])</f>
        <v>60</v>
      </c>
      <c r="Y75" s="76">
        <f>OrdersTable[[#This Row],[Net Revenue]]-OrdersTable[[#This Row],[COGS]]-OrdersTable[[#This Row],[Shipping Cost]]</f>
        <v>187</v>
      </c>
      <c r="Z75" s="78">
        <f>IFERROR(OrdersTable[[#This Row],[Profit]]/OrdersTable[[#This Row],[Net Revenue]],0)</f>
        <v>0.46867167919799496</v>
      </c>
      <c r="AA75" t="s">
        <v>2522</v>
      </c>
      <c r="AB75" s="79">
        <v>45304</v>
      </c>
      <c r="AC75">
        <f>OrdersTable[[#This Row],[Delivery Date]]-OrdersTable[[#This Row],[Order Date]]</f>
        <v>1</v>
      </c>
      <c r="AD75" t="str">
        <f>IF(OrdersTable[[#This Row],[Delivery Days]]&lt;=2, "Express (≤2d)", IF(OrdersTable[[#This Row],[Delivery Days]]&lt;=4, "Standard (3-4d)", "Delayed (5d+)"))</f>
        <v>Express (≤2d)</v>
      </c>
      <c r="AF75">
        <v>0</v>
      </c>
    </row>
    <row r="76" spans="1:32" ht="15" x14ac:dyDescent="0.35">
      <c r="A76" t="s">
        <v>4321</v>
      </c>
      <c r="B76" s="1">
        <v>45303</v>
      </c>
      <c r="C76">
        <f>YEAR(OrdersTable[[#This Row],[Order Date]])</f>
        <v>2024</v>
      </c>
      <c r="D76" s="2">
        <f>DATE(YEAR(OrdersTable[[#This Row],[Order Date]]),MONTH(OrdersTable[[#This Row],[Order Date]]),1)</f>
        <v>45292</v>
      </c>
      <c r="E76">
        <f>MONTH(OrdersTable[[#This Row],[Order Date]])</f>
        <v>1</v>
      </c>
      <c r="F76" t="s">
        <v>2926</v>
      </c>
      <c r="G76" t="str">
        <f>IF(OrdersTable[[#This Row],[Order Date]]=_xlfn.MINIFS(Order_Date, Customer_ID, OrdersTable[[#This Row],[Customer ID]]), "New", "Repeat")</f>
        <v>New</v>
      </c>
      <c r="H76" t="s">
        <v>14</v>
      </c>
      <c r="I76" t="str">
        <f>INDEX(State!B:B,MATCH(OrdersTable[[#This Row],[State]],State!A:A,0))</f>
        <v>OD</v>
      </c>
      <c r="J76" t="str">
        <f>INDEX(State!C:C,MATCH(OrdersTable[[#This Row],[State Code]],State!B:B,0))</f>
        <v>East</v>
      </c>
      <c r="K76" t="s">
        <v>15</v>
      </c>
      <c r="L76" t="s">
        <v>65</v>
      </c>
      <c r="M76" t="s">
        <v>148</v>
      </c>
      <c r="N76" t="str">
        <f>INDEX(Products!B:B,MATCH(OrdersTable[[#This Row],[Product ID]],Products!A:A,0))</f>
        <v>Smartwatch Strap</v>
      </c>
      <c r="O76" t="str">
        <f>INDEX(Products!C:C,MATCH(OrdersTable[[#This Row],[Product ID]],Products!A:A,0))</f>
        <v>Electronics</v>
      </c>
      <c r="P76">
        <v>1</v>
      </c>
      <c r="Q76" s="5">
        <v>499</v>
      </c>
      <c r="R76" s="74">
        <v>0.1</v>
      </c>
      <c r="S76" s="75">
        <f>OrdersTable[[#This Row],[Quantity]]*OrdersTable[[#This Row],[Unit Price]]</f>
        <v>499</v>
      </c>
      <c r="T76" s="5">
        <f>OrdersTable[[#This Row],[Gross Sale]]*OrdersTable[[#This Row],[Discount_Clean2]]</f>
        <v>49.900000000000006</v>
      </c>
      <c r="U76" s="5">
        <f>OrdersTable[[#This Row],[Gross Sale]]-OrdersTable[[#This Row],[Discount Amount]]</f>
        <v>449.1</v>
      </c>
      <c r="V76" s="77">
        <f>INDEX(Products!E:E,MATCH(OrdersTable[[#This Row],[Product ID]],Products!A:A,0))</f>
        <v>200</v>
      </c>
      <c r="W76" s="77">
        <f>OrdersTable[[#This Row],[Quantity]]*OrdersTable[[#This Row],[Unit Cost]]</f>
        <v>200</v>
      </c>
      <c r="X76" s="77">
        <f>'Dropdown Lists'!$I$2*(1+OrdersTable[[#This Row],[Returned]])</f>
        <v>60</v>
      </c>
      <c r="Y76" s="76">
        <f>OrdersTable[[#This Row],[Net Revenue]]-OrdersTable[[#This Row],[COGS]]-OrdersTable[[#This Row],[Shipping Cost]]</f>
        <v>189.10000000000002</v>
      </c>
      <c r="Z76" s="78">
        <f>IFERROR(OrdersTable[[#This Row],[Profit]]/OrdersTable[[#This Row],[Net Revenue]],0)</f>
        <v>0.42106435092407041</v>
      </c>
      <c r="AA76" t="s">
        <v>4074</v>
      </c>
      <c r="AB76" s="79">
        <v>45308</v>
      </c>
      <c r="AC76">
        <f>OrdersTable[[#This Row],[Delivery Date]]-OrdersTable[[#This Row],[Order Date]]</f>
        <v>5</v>
      </c>
      <c r="AD76" t="str">
        <f>IF(OrdersTable[[#This Row],[Delivery Days]]&lt;=2, "Express (≤2d)", IF(OrdersTable[[#This Row],[Delivery Days]]&lt;=4, "Standard (3-4d)", "Delayed (5d+)"))</f>
        <v>Delayed (5d+)</v>
      </c>
      <c r="AE76">
        <v>4</v>
      </c>
      <c r="AF76">
        <v>0</v>
      </c>
    </row>
    <row r="77" spans="1:32" ht="15" x14ac:dyDescent="0.35">
      <c r="A77" t="s">
        <v>5846</v>
      </c>
      <c r="B77" s="1">
        <v>45303</v>
      </c>
      <c r="C77">
        <f>YEAR(OrdersTable[[#This Row],[Order Date]])</f>
        <v>2024</v>
      </c>
      <c r="D77" s="2">
        <f>DATE(YEAR(OrdersTable[[#This Row],[Order Date]]),MONTH(OrdersTable[[#This Row],[Order Date]]),1)</f>
        <v>45292</v>
      </c>
      <c r="E77">
        <f>MONTH(OrdersTable[[#This Row],[Order Date]])</f>
        <v>1</v>
      </c>
      <c r="F77" t="s">
        <v>3952</v>
      </c>
      <c r="G77" t="str">
        <f>IF(OrdersTable[[#This Row],[Order Date]]=_xlfn.MINIFS(Order_Date, Customer_ID, OrdersTable[[#This Row],[Customer ID]]), "New", "Repeat")</f>
        <v>New</v>
      </c>
      <c r="H77" t="s">
        <v>59</v>
      </c>
      <c r="I77" t="str">
        <f>INDEX(State!B:B,MATCH(OrdersTable[[#This Row],[State]],State!A:A,0))</f>
        <v>TN</v>
      </c>
      <c r="J77" t="str">
        <f>INDEX(State!C:C,MATCH(OrdersTable[[#This Row],[State Code]],State!B:B,0))</f>
        <v>South</v>
      </c>
      <c r="K77" t="s">
        <v>64</v>
      </c>
      <c r="L77" t="s">
        <v>39</v>
      </c>
      <c r="M77" t="s">
        <v>56</v>
      </c>
      <c r="N77" t="str">
        <f>INDEX(Products!B:B,MATCH(OrdersTable[[#This Row],[Product ID]],Products!A:A,0))</f>
        <v>Vitamin C Face Serum</v>
      </c>
      <c r="O77" t="str">
        <f>INDEX(Products!C:C,MATCH(OrdersTable[[#This Row],[Product ID]],Products!A:A,0))</f>
        <v>Skincare</v>
      </c>
      <c r="P77">
        <v>2</v>
      </c>
      <c r="Q77" s="5">
        <v>599</v>
      </c>
      <c r="R77" s="74">
        <v>0.15</v>
      </c>
      <c r="S77" s="75">
        <f>OrdersTable[[#This Row],[Quantity]]*OrdersTable[[#This Row],[Unit Price]]</f>
        <v>1198</v>
      </c>
      <c r="T77" s="5">
        <f>OrdersTable[[#This Row],[Gross Sale]]*OrdersTable[[#This Row],[Discount_Clean2]]</f>
        <v>179.7</v>
      </c>
      <c r="U77" s="5">
        <f>OrdersTable[[#This Row],[Gross Sale]]-OrdersTable[[#This Row],[Discount Amount]]</f>
        <v>1018.3</v>
      </c>
      <c r="V77" s="77">
        <f>INDEX(Products!E:E,MATCH(OrdersTable[[#This Row],[Product ID]],Products!A:A,0))</f>
        <v>180</v>
      </c>
      <c r="W77" s="77">
        <f>OrdersTable[[#This Row],[Quantity]]*OrdersTable[[#This Row],[Unit Cost]]</f>
        <v>360</v>
      </c>
      <c r="X77" s="77">
        <f>'Dropdown Lists'!$I$2*(1+OrdersTable[[#This Row],[Returned]])</f>
        <v>60</v>
      </c>
      <c r="Y77" s="76">
        <f>OrdersTable[[#This Row],[Net Revenue]]-OrdersTable[[#This Row],[COGS]]-OrdersTable[[#This Row],[Shipping Cost]]</f>
        <v>598.29999999999995</v>
      </c>
      <c r="Z77" s="78">
        <f>IFERROR(OrdersTable[[#This Row],[Profit]]/OrdersTable[[#This Row],[Net Revenue]],0)</f>
        <v>0.58754787390749286</v>
      </c>
      <c r="AA77" t="s">
        <v>18</v>
      </c>
      <c r="AB77" s="79">
        <v>45307</v>
      </c>
      <c r="AC77">
        <f>OrdersTable[[#This Row],[Delivery Date]]-OrdersTable[[#This Row],[Order Date]]</f>
        <v>4</v>
      </c>
      <c r="AD77" t="str">
        <f>IF(OrdersTable[[#This Row],[Delivery Days]]&lt;=2, "Express (≤2d)", IF(OrdersTable[[#This Row],[Delivery Days]]&lt;=4, "Standard (3-4d)", "Delayed (5d+)"))</f>
        <v>Standard (3-4d)</v>
      </c>
      <c r="AF77">
        <v>0</v>
      </c>
    </row>
    <row r="78" spans="1:32" ht="15" x14ac:dyDescent="0.35">
      <c r="A78" t="s">
        <v>6037</v>
      </c>
      <c r="B78" s="1">
        <v>45304</v>
      </c>
      <c r="C78">
        <f>YEAR(OrdersTable[[#This Row],[Order Date]])</f>
        <v>2024</v>
      </c>
      <c r="D78" s="2">
        <f>DATE(YEAR(OrdersTable[[#This Row],[Order Date]]),MONTH(OrdersTable[[#This Row],[Order Date]]),1)</f>
        <v>45292</v>
      </c>
      <c r="E78">
        <f>MONTH(OrdersTable[[#This Row],[Order Date]])</f>
        <v>1</v>
      </c>
      <c r="F78" t="s">
        <v>811</v>
      </c>
      <c r="G78" t="str">
        <f>IF(OrdersTable[[#This Row],[Order Date]]=_xlfn.MINIFS(Order_Date, Customer_ID, OrdersTable[[#This Row],[Customer ID]]), "New", "Repeat")</f>
        <v>New</v>
      </c>
      <c r="H78" t="s">
        <v>158</v>
      </c>
      <c r="I78" t="str">
        <f>INDEX(State!B:B,MATCH(OrdersTable[[#This Row],[State]],State!A:A,0))</f>
        <v>HP</v>
      </c>
      <c r="J78" t="str">
        <f>INDEX(State!C:C,MATCH(OrdersTable[[#This Row],[State Code]],State!B:B,0))</f>
        <v>North</v>
      </c>
      <c r="K78" t="s">
        <v>159</v>
      </c>
      <c r="L78" t="s">
        <v>16</v>
      </c>
      <c r="M78" t="s">
        <v>92</v>
      </c>
      <c r="N78" t="str">
        <f>INDEX(Products!B:B,MATCH(OrdersTable[[#This Row],[Product ID]],Products!A:A,0))</f>
        <v>Kolhapuri Sandals</v>
      </c>
      <c r="O78" t="str">
        <f>INDEX(Products!C:C,MATCH(OrdersTable[[#This Row],[Product ID]],Products!A:A,0))</f>
        <v>Footwear</v>
      </c>
      <c r="P78">
        <v>2</v>
      </c>
      <c r="Q78" s="5">
        <v>999</v>
      </c>
      <c r="R78" s="74">
        <v>0.05</v>
      </c>
      <c r="S78" s="75">
        <f>OrdersTable[[#This Row],[Quantity]]*OrdersTable[[#This Row],[Unit Price]]</f>
        <v>1998</v>
      </c>
      <c r="T78" s="5">
        <f>OrdersTable[[#This Row],[Gross Sale]]*OrdersTable[[#This Row],[Discount_Clean2]]</f>
        <v>99.9</v>
      </c>
      <c r="U78" s="5">
        <f>OrdersTable[[#This Row],[Gross Sale]]-OrdersTable[[#This Row],[Discount Amount]]</f>
        <v>1898.1</v>
      </c>
      <c r="V78" s="77">
        <f>INDEX(Products!E:E,MATCH(OrdersTable[[#This Row],[Product ID]],Products!A:A,0))</f>
        <v>400</v>
      </c>
      <c r="W78" s="77">
        <f>OrdersTable[[#This Row],[Quantity]]*OrdersTable[[#This Row],[Unit Cost]]</f>
        <v>800</v>
      </c>
      <c r="X78" s="77">
        <f>'Dropdown Lists'!$I$2*(1+OrdersTable[[#This Row],[Returned]])</f>
        <v>60</v>
      </c>
      <c r="Y78" s="76">
        <f>OrdersTable[[#This Row],[Net Revenue]]-OrdersTable[[#This Row],[COGS]]-OrdersTable[[#This Row],[Shipping Cost]]</f>
        <v>1038.0999999999999</v>
      </c>
      <c r="Z78" s="78">
        <f>IFERROR(OrdersTable[[#This Row],[Profit]]/OrdersTable[[#This Row],[Net Revenue]],0)</f>
        <v>0.54691533638902057</v>
      </c>
      <c r="AA78" t="s">
        <v>18</v>
      </c>
      <c r="AB78" s="79">
        <v>45307</v>
      </c>
      <c r="AC78">
        <f>OrdersTable[[#This Row],[Delivery Date]]-OrdersTable[[#This Row],[Order Date]]</f>
        <v>3</v>
      </c>
      <c r="AD78" t="str">
        <f>IF(OrdersTable[[#This Row],[Delivery Days]]&lt;=2, "Express (≤2d)", IF(OrdersTable[[#This Row],[Delivery Days]]&lt;=4, "Standard (3-4d)", "Delayed (5d+)"))</f>
        <v>Standard (3-4d)</v>
      </c>
      <c r="AE78">
        <v>4</v>
      </c>
      <c r="AF78">
        <v>0</v>
      </c>
    </row>
    <row r="79" spans="1:32" ht="15" x14ac:dyDescent="0.35">
      <c r="A79" t="s">
        <v>5295</v>
      </c>
      <c r="B79" s="1">
        <v>45304</v>
      </c>
      <c r="C79">
        <f>YEAR(OrdersTable[[#This Row],[Order Date]])</f>
        <v>2024</v>
      </c>
      <c r="D79" s="2">
        <f>DATE(YEAR(OrdersTable[[#This Row],[Order Date]]),MONTH(OrdersTable[[#This Row],[Order Date]]),1)</f>
        <v>45292</v>
      </c>
      <c r="E79">
        <f>MONTH(OrdersTable[[#This Row],[Order Date]])</f>
        <v>1</v>
      </c>
      <c r="F79" t="s">
        <v>5296</v>
      </c>
      <c r="G79" t="str">
        <f>IF(OrdersTable[[#This Row],[Order Date]]=_xlfn.MINIFS(Order_Date, Customer_ID, OrdersTable[[#This Row],[Customer ID]]), "New", "Repeat")</f>
        <v>New</v>
      </c>
      <c r="H79" t="s">
        <v>54</v>
      </c>
      <c r="I79" t="str">
        <f>INDEX(State!B:B,MATCH(OrdersTable[[#This Row],[State]],State!A:A,0))</f>
        <v>RJ</v>
      </c>
      <c r="J79" t="str">
        <f>INDEX(State!C:C,MATCH(OrdersTable[[#This Row],[State Code]],State!B:B,0))</f>
        <v>North</v>
      </c>
      <c r="K79" t="s">
        <v>55</v>
      </c>
      <c r="L79" t="s">
        <v>23</v>
      </c>
      <c r="M79" t="s">
        <v>61</v>
      </c>
      <c r="N79" t="str">
        <f>INDEX(Products!B:B,MATCH(OrdersTable[[#This Row],[Product ID]],Products!A:A,0))</f>
        <v>Multivitamin Gummies</v>
      </c>
      <c r="O79" t="str">
        <f>INDEX(Products!C:C,MATCH(OrdersTable[[#This Row],[Product ID]],Products!A:A,0))</f>
        <v>Wellness</v>
      </c>
      <c r="P79">
        <v>2</v>
      </c>
      <c r="Q79" s="5">
        <v>699</v>
      </c>
      <c r="R79" s="74">
        <v>0.2</v>
      </c>
      <c r="S79" s="75">
        <f>OrdersTable[[#This Row],[Quantity]]*OrdersTable[[#This Row],[Unit Price]]</f>
        <v>1398</v>
      </c>
      <c r="T79" s="5">
        <f>OrdersTable[[#This Row],[Gross Sale]]*OrdersTable[[#This Row],[Discount_Clean2]]</f>
        <v>279.60000000000002</v>
      </c>
      <c r="U79" s="5">
        <f>OrdersTable[[#This Row],[Gross Sale]]-OrdersTable[[#This Row],[Discount Amount]]</f>
        <v>1118.4000000000001</v>
      </c>
      <c r="V79" s="77">
        <f>INDEX(Products!E:E,MATCH(OrdersTable[[#This Row],[Product ID]],Products!A:A,0))</f>
        <v>238</v>
      </c>
      <c r="W79" s="77">
        <f>OrdersTable[[#This Row],[Quantity]]*OrdersTable[[#This Row],[Unit Cost]]</f>
        <v>476</v>
      </c>
      <c r="X79" s="77">
        <f>'Dropdown Lists'!$I$2*(1+OrdersTable[[#This Row],[Returned]])</f>
        <v>60</v>
      </c>
      <c r="Y79" s="76">
        <f>OrdersTable[[#This Row],[Net Revenue]]-OrdersTable[[#This Row],[COGS]]-OrdersTable[[#This Row],[Shipping Cost]]</f>
        <v>582.40000000000009</v>
      </c>
      <c r="Z79" s="78">
        <f>IFERROR(OrdersTable[[#This Row],[Profit]]/OrdersTable[[#This Row],[Net Revenue]],0)</f>
        <v>0.5207439198855508</v>
      </c>
      <c r="AA79" t="s">
        <v>2522</v>
      </c>
      <c r="AB79" s="79">
        <v>45307</v>
      </c>
      <c r="AC79">
        <f>OrdersTable[[#This Row],[Delivery Date]]-OrdersTable[[#This Row],[Order Date]]</f>
        <v>3</v>
      </c>
      <c r="AD79" t="str">
        <f>IF(OrdersTable[[#This Row],[Delivery Days]]&lt;=2, "Express (≤2d)", IF(OrdersTable[[#This Row],[Delivery Days]]&lt;=4, "Standard (3-4d)", "Delayed (5d+)"))</f>
        <v>Standard (3-4d)</v>
      </c>
      <c r="AE79">
        <v>3</v>
      </c>
      <c r="AF79">
        <v>0</v>
      </c>
    </row>
    <row r="80" spans="1:32" ht="15" x14ac:dyDescent="0.35">
      <c r="A80" t="s">
        <v>6250</v>
      </c>
      <c r="B80" s="1">
        <v>45304</v>
      </c>
      <c r="C80">
        <f>YEAR(OrdersTable[[#This Row],[Order Date]])</f>
        <v>2024</v>
      </c>
      <c r="D80" s="2">
        <f>DATE(YEAR(OrdersTable[[#This Row],[Order Date]]),MONTH(OrdersTable[[#This Row],[Order Date]]),1)</f>
        <v>45292</v>
      </c>
      <c r="E80">
        <f>MONTH(OrdersTable[[#This Row],[Order Date]])</f>
        <v>1</v>
      </c>
      <c r="F80" t="s">
        <v>1052</v>
      </c>
      <c r="G80" t="str">
        <f>IF(OrdersTable[[#This Row],[Order Date]]=_xlfn.MINIFS(Order_Date, Customer_ID, OrdersTable[[#This Row],[Customer ID]]), "New", "Repeat")</f>
        <v>New</v>
      </c>
      <c r="H80" t="s">
        <v>37</v>
      </c>
      <c r="I80" t="str">
        <f>INDEX(State!B:B,MATCH(OrdersTable[[#This Row],[State]],State!A:A,0))</f>
        <v>GJ</v>
      </c>
      <c r="J80" t="str">
        <f>INDEX(State!C:C,MATCH(OrdersTable[[#This Row],[State Code]],State!B:B,0))</f>
        <v>West</v>
      </c>
      <c r="K80" t="s">
        <v>247</v>
      </c>
      <c r="L80" t="s">
        <v>65</v>
      </c>
      <c r="M80" t="s">
        <v>51</v>
      </c>
      <c r="N80" t="str">
        <f>INDEX(Products!B:B,MATCH(OrdersTable[[#This Row],[Product ID]],Products!A:A,0))</f>
        <v>Anti-Dandruff Conditioner</v>
      </c>
      <c r="O80" t="str">
        <f>INDEX(Products!C:C,MATCH(OrdersTable[[#This Row],[Product ID]],Products!A:A,0))</f>
        <v>Haircare</v>
      </c>
      <c r="P80">
        <v>2</v>
      </c>
      <c r="Q80" s="5">
        <v>399</v>
      </c>
      <c r="R80" s="74">
        <v>0.45</v>
      </c>
      <c r="S80" s="75">
        <f>OrdersTable[[#This Row],[Quantity]]*OrdersTable[[#This Row],[Unit Price]]</f>
        <v>798</v>
      </c>
      <c r="T80" s="5">
        <f>OrdersTable[[#This Row],[Gross Sale]]*OrdersTable[[#This Row],[Discount_Clean2]]</f>
        <v>359.1</v>
      </c>
      <c r="U80" s="5">
        <f>OrdersTable[[#This Row],[Gross Sale]]-OrdersTable[[#This Row],[Discount Amount]]</f>
        <v>438.9</v>
      </c>
      <c r="V80" s="77">
        <f>INDEX(Products!E:E,MATCH(OrdersTable[[#This Row],[Product ID]],Products!A:A,0))</f>
        <v>136</v>
      </c>
      <c r="W80" s="77">
        <f>OrdersTable[[#This Row],[Quantity]]*OrdersTable[[#This Row],[Unit Cost]]</f>
        <v>272</v>
      </c>
      <c r="X80" s="77">
        <f>'Dropdown Lists'!$I$2*(1+OrdersTable[[#This Row],[Returned]])</f>
        <v>60</v>
      </c>
      <c r="Y80" s="76">
        <f>OrdersTable[[#This Row],[Net Revenue]]-OrdersTable[[#This Row],[COGS]]-OrdersTable[[#This Row],[Shipping Cost]]</f>
        <v>106.89999999999998</v>
      </c>
      <c r="Z80" s="78">
        <f>IFERROR(OrdersTable[[#This Row],[Profit]]/OrdersTable[[#This Row],[Net Revenue]],0)</f>
        <v>0.24356345408976984</v>
      </c>
      <c r="AA80" t="s">
        <v>18</v>
      </c>
      <c r="AB80" s="79">
        <v>45305</v>
      </c>
      <c r="AC80">
        <f>OrdersTable[[#This Row],[Delivery Date]]-OrdersTable[[#This Row],[Order Date]]</f>
        <v>1</v>
      </c>
      <c r="AD80" t="str">
        <f>IF(OrdersTable[[#This Row],[Delivery Days]]&lt;=2, "Express (≤2d)", IF(OrdersTable[[#This Row],[Delivery Days]]&lt;=4, "Standard (3-4d)", "Delayed (5d+)"))</f>
        <v>Express (≤2d)</v>
      </c>
      <c r="AE80">
        <v>4</v>
      </c>
      <c r="AF80">
        <v>0</v>
      </c>
    </row>
    <row r="81" spans="1:32" ht="15" x14ac:dyDescent="0.35">
      <c r="A81" t="s">
        <v>1828</v>
      </c>
      <c r="B81" s="1">
        <v>45304</v>
      </c>
      <c r="C81">
        <f>YEAR(OrdersTable[[#This Row],[Order Date]])</f>
        <v>2024</v>
      </c>
      <c r="D81" s="2">
        <f>DATE(YEAR(OrdersTable[[#This Row],[Order Date]]),MONTH(OrdersTable[[#This Row],[Order Date]]),1)</f>
        <v>45292</v>
      </c>
      <c r="E81">
        <f>MONTH(OrdersTable[[#This Row],[Order Date]])</f>
        <v>1</v>
      </c>
      <c r="F81" t="s">
        <v>1829</v>
      </c>
      <c r="G81" t="str">
        <f>IF(OrdersTable[[#This Row],[Order Date]]=_xlfn.MINIFS(Order_Date, Customer_ID, OrdersTable[[#This Row],[Customer ID]]), "New", "Repeat")</f>
        <v>New</v>
      </c>
      <c r="H81" t="s">
        <v>27</v>
      </c>
      <c r="I81" t="str">
        <f>INDEX(State!B:B,MATCH(OrdersTable[[#This Row],[State]],State!A:A,0))</f>
        <v>WB</v>
      </c>
      <c r="J81" t="str">
        <f>INDEX(State!C:C,MATCH(OrdersTable[[#This Row],[State Code]],State!B:B,0))</f>
        <v>East</v>
      </c>
      <c r="K81" t="s">
        <v>28</v>
      </c>
      <c r="L81" t="s">
        <v>39</v>
      </c>
      <c r="M81" t="s">
        <v>66</v>
      </c>
      <c r="N81" t="str">
        <f>INDEX(Products!B:B,MATCH(OrdersTable[[#This Row],[Product ID]],Products!A:A,0))</f>
        <v>Sunscreen SPF 50</v>
      </c>
      <c r="O81" t="str">
        <f>INDEX(Products!C:C,MATCH(OrdersTable[[#This Row],[Product ID]],Products!A:A,0))</f>
        <v>Skincare</v>
      </c>
      <c r="P81">
        <v>1</v>
      </c>
      <c r="Q81" s="5">
        <v>449</v>
      </c>
      <c r="R81" s="74">
        <v>0</v>
      </c>
      <c r="S81" s="75">
        <f>OrdersTable[[#This Row],[Quantity]]*OrdersTable[[#This Row],[Unit Price]]</f>
        <v>449</v>
      </c>
      <c r="T81" s="5">
        <f>OrdersTable[[#This Row],[Gross Sale]]*OrdersTable[[#This Row],[Discount_Clean2]]</f>
        <v>0</v>
      </c>
      <c r="U81" s="5">
        <f>OrdersTable[[#This Row],[Gross Sale]]-OrdersTable[[#This Row],[Discount Amount]]</f>
        <v>449</v>
      </c>
      <c r="V81" s="77">
        <f>INDEX(Products!E:E,MATCH(OrdersTable[[#This Row],[Product ID]],Products!A:A,0))</f>
        <v>144</v>
      </c>
      <c r="W81" s="77">
        <f>OrdersTable[[#This Row],[Quantity]]*OrdersTable[[#This Row],[Unit Cost]]</f>
        <v>144</v>
      </c>
      <c r="X81" s="77">
        <f>'Dropdown Lists'!$I$2*(1+OrdersTable[[#This Row],[Returned]])</f>
        <v>60</v>
      </c>
      <c r="Y81" s="76">
        <f>OrdersTable[[#This Row],[Net Revenue]]-OrdersTable[[#This Row],[COGS]]-OrdersTable[[#This Row],[Shipping Cost]]</f>
        <v>245</v>
      </c>
      <c r="Z81" s="78">
        <f>IFERROR(OrdersTable[[#This Row],[Profit]]/OrdersTable[[#This Row],[Net Revenue]],0)</f>
        <v>0.54565701559020041</v>
      </c>
      <c r="AA81" t="s">
        <v>18</v>
      </c>
      <c r="AB81" s="79">
        <v>45308</v>
      </c>
      <c r="AC81">
        <f>OrdersTable[[#This Row],[Delivery Date]]-OrdersTable[[#This Row],[Order Date]]</f>
        <v>4</v>
      </c>
      <c r="AD81" t="str">
        <f>IF(OrdersTable[[#This Row],[Delivery Days]]&lt;=2, "Express (≤2d)", IF(OrdersTable[[#This Row],[Delivery Days]]&lt;=4, "Standard (3-4d)", "Delayed (5d+)"))</f>
        <v>Standard (3-4d)</v>
      </c>
      <c r="AE81">
        <v>3</v>
      </c>
      <c r="AF81">
        <v>0</v>
      </c>
    </row>
    <row r="82" spans="1:32" ht="15" x14ac:dyDescent="0.35">
      <c r="A82" t="s">
        <v>2867</v>
      </c>
      <c r="B82" s="1">
        <v>45304</v>
      </c>
      <c r="C82">
        <f>YEAR(OrdersTable[[#This Row],[Order Date]])</f>
        <v>2024</v>
      </c>
      <c r="D82" s="2">
        <f>DATE(YEAR(OrdersTable[[#This Row],[Order Date]]),MONTH(OrdersTable[[#This Row],[Order Date]]),1)</f>
        <v>45292</v>
      </c>
      <c r="E82">
        <f>MONTH(OrdersTable[[#This Row],[Order Date]])</f>
        <v>1</v>
      </c>
      <c r="F82" t="s">
        <v>717</v>
      </c>
      <c r="G82" t="str">
        <f>IF(OrdersTable[[#This Row],[Order Date]]=_xlfn.MINIFS(Order_Date, Customer_ID, OrdersTable[[#This Row],[Customer ID]]), "New", "Repeat")</f>
        <v>New</v>
      </c>
      <c r="H82" t="s">
        <v>27</v>
      </c>
      <c r="I82" t="str">
        <f>INDEX(State!B:B,MATCH(OrdersTable[[#This Row],[State]],State!A:A,0))</f>
        <v>WB</v>
      </c>
      <c r="J82" t="str">
        <f>INDEX(State!C:C,MATCH(OrdersTable[[#This Row],[State Code]],State!B:B,0))</f>
        <v>East</v>
      </c>
      <c r="K82" t="s">
        <v>28</v>
      </c>
      <c r="L82" t="s">
        <v>23</v>
      </c>
      <c r="M82" t="s">
        <v>106</v>
      </c>
      <c r="N82" t="str">
        <f>INDEX(Products!B:B,MATCH(OrdersTable[[#This Row],[Product ID]],Products!A:A,0))</f>
        <v>Keratin Hair Mask</v>
      </c>
      <c r="O82" t="str">
        <f>INDEX(Products!C:C,MATCH(OrdersTable[[#This Row],[Product ID]],Products!A:A,0))</f>
        <v>Haircare</v>
      </c>
      <c r="P82">
        <v>1</v>
      </c>
      <c r="Q82" s="5">
        <v>549</v>
      </c>
      <c r="R82" s="74">
        <v>0.25</v>
      </c>
      <c r="S82" s="75">
        <f>OrdersTable[[#This Row],[Quantity]]*OrdersTable[[#This Row],[Unit Price]]</f>
        <v>549</v>
      </c>
      <c r="T82" s="5">
        <f>OrdersTable[[#This Row],[Gross Sale]]*OrdersTable[[#This Row],[Discount_Clean2]]</f>
        <v>137.25</v>
      </c>
      <c r="U82" s="5">
        <f>OrdersTable[[#This Row],[Gross Sale]]-OrdersTable[[#This Row],[Discount Amount]]</f>
        <v>411.75</v>
      </c>
      <c r="V82" s="77">
        <f>INDEX(Products!E:E,MATCH(OrdersTable[[#This Row],[Product ID]],Products!A:A,0))</f>
        <v>170</v>
      </c>
      <c r="W82" s="77">
        <f>OrdersTable[[#This Row],[Quantity]]*OrdersTable[[#This Row],[Unit Cost]]</f>
        <v>170</v>
      </c>
      <c r="X82" s="77">
        <f>'Dropdown Lists'!$I$2*(1+OrdersTable[[#This Row],[Returned]])</f>
        <v>60</v>
      </c>
      <c r="Y82" s="76">
        <f>OrdersTable[[#This Row],[Net Revenue]]-OrdersTable[[#This Row],[COGS]]-OrdersTable[[#This Row],[Shipping Cost]]</f>
        <v>181.75</v>
      </c>
      <c r="Z82" s="78">
        <f>IFERROR(OrdersTable[[#This Row],[Profit]]/OrdersTable[[#This Row],[Net Revenue]],0)</f>
        <v>0.44140862173649059</v>
      </c>
      <c r="AA82" t="s">
        <v>2522</v>
      </c>
      <c r="AB82" s="79">
        <v>45307</v>
      </c>
      <c r="AC82">
        <f>OrdersTable[[#This Row],[Delivery Date]]-OrdersTable[[#This Row],[Order Date]]</f>
        <v>3</v>
      </c>
      <c r="AD82" t="str">
        <f>IF(OrdersTable[[#This Row],[Delivery Days]]&lt;=2, "Express (≤2d)", IF(OrdersTable[[#This Row],[Delivery Days]]&lt;=4, "Standard (3-4d)", "Delayed (5d+)"))</f>
        <v>Standard (3-4d)</v>
      </c>
      <c r="AF82">
        <v>0</v>
      </c>
    </row>
    <row r="83" spans="1:32" ht="15" x14ac:dyDescent="0.35">
      <c r="A83" t="s">
        <v>6456</v>
      </c>
      <c r="B83" s="1">
        <v>45304</v>
      </c>
      <c r="C83">
        <f>YEAR(OrdersTable[[#This Row],[Order Date]])</f>
        <v>2024</v>
      </c>
      <c r="D83" s="2">
        <f>DATE(YEAR(OrdersTable[[#This Row],[Order Date]]),MONTH(OrdersTable[[#This Row],[Order Date]]),1)</f>
        <v>45292</v>
      </c>
      <c r="E83">
        <f>MONTH(OrdersTable[[#This Row],[Order Date]])</f>
        <v>1</v>
      </c>
      <c r="F83" t="s">
        <v>3362</v>
      </c>
      <c r="G83" t="str">
        <f>IF(OrdersTable[[#This Row],[Order Date]]=_xlfn.MINIFS(Order_Date, Customer_ID, OrdersTable[[#This Row],[Customer ID]]), "New", "Repeat")</f>
        <v>New</v>
      </c>
      <c r="H83" t="s">
        <v>167</v>
      </c>
      <c r="I83" t="str">
        <f>INDEX(State!B:B,MATCH(OrdersTable[[#This Row],[State]],State!A:A,0))</f>
        <v>KA</v>
      </c>
      <c r="J83" t="str">
        <f>INDEX(State!C:C,MATCH(OrdersTable[[#This Row],[State Code]],State!B:B,0))</f>
        <v>South</v>
      </c>
      <c r="K83" t="s">
        <v>190</v>
      </c>
      <c r="L83" t="s">
        <v>39</v>
      </c>
      <c r="M83" t="s">
        <v>125</v>
      </c>
      <c r="N83" t="str">
        <f>INDEX(Products!B:B,MATCH(OrdersTable[[#This Row],[Product ID]],Products!A:A,0))</f>
        <v>Copper Water Bottle</v>
      </c>
      <c r="O83" t="str">
        <f>INDEX(Products!C:C,MATCH(OrdersTable[[#This Row],[Product ID]],Products!A:A,0))</f>
        <v>Home &amp; Kitchen</v>
      </c>
      <c r="P83">
        <v>3</v>
      </c>
      <c r="Q83" s="5">
        <v>899</v>
      </c>
      <c r="R83" s="74">
        <v>0.1</v>
      </c>
      <c r="S83" s="75">
        <f>OrdersTable[[#This Row],[Quantity]]*OrdersTable[[#This Row],[Unit Price]]</f>
        <v>2697</v>
      </c>
      <c r="T83" s="5">
        <f>OrdersTable[[#This Row],[Gross Sale]]*OrdersTable[[#This Row],[Discount_Clean2]]</f>
        <v>269.7</v>
      </c>
      <c r="U83" s="5">
        <f>OrdersTable[[#This Row],[Gross Sale]]-OrdersTable[[#This Row],[Discount Amount]]</f>
        <v>2427.3000000000002</v>
      </c>
      <c r="V83" s="77">
        <f>INDEX(Products!E:E,MATCH(OrdersTable[[#This Row],[Product ID]],Products!A:A,0))</f>
        <v>378</v>
      </c>
      <c r="W83" s="77">
        <f>OrdersTable[[#This Row],[Quantity]]*OrdersTable[[#This Row],[Unit Cost]]</f>
        <v>1134</v>
      </c>
      <c r="X83" s="77">
        <f>'Dropdown Lists'!$I$2*(1+OrdersTable[[#This Row],[Returned]])</f>
        <v>60</v>
      </c>
      <c r="Y83" s="76">
        <f>OrdersTable[[#This Row],[Net Revenue]]-OrdersTable[[#This Row],[COGS]]-OrdersTable[[#This Row],[Shipping Cost]]</f>
        <v>1233.3000000000002</v>
      </c>
      <c r="Z83" s="78">
        <f>IFERROR(OrdersTable[[#This Row],[Profit]]/OrdersTable[[#This Row],[Net Revenue]],0)</f>
        <v>0.50809541465826236</v>
      </c>
      <c r="AA83" t="s">
        <v>18</v>
      </c>
      <c r="AB83" s="79">
        <v>45308</v>
      </c>
      <c r="AC83">
        <f>OrdersTable[[#This Row],[Delivery Date]]-OrdersTable[[#This Row],[Order Date]]</f>
        <v>4</v>
      </c>
      <c r="AD83" t="str">
        <f>IF(OrdersTable[[#This Row],[Delivery Days]]&lt;=2, "Express (≤2d)", IF(OrdersTable[[#This Row],[Delivery Days]]&lt;=4, "Standard (3-4d)", "Delayed (5d+)"))</f>
        <v>Standard (3-4d)</v>
      </c>
      <c r="AF83">
        <v>0</v>
      </c>
    </row>
    <row r="84" spans="1:32" ht="15" x14ac:dyDescent="0.35">
      <c r="A84" t="s">
        <v>4553</v>
      </c>
      <c r="B84" s="1">
        <v>45305</v>
      </c>
      <c r="C84">
        <f>YEAR(OrdersTable[[#This Row],[Order Date]])</f>
        <v>2024</v>
      </c>
      <c r="D84" s="2">
        <f>DATE(YEAR(OrdersTable[[#This Row],[Order Date]]),MONTH(OrdersTable[[#This Row],[Order Date]]),1)</f>
        <v>45292</v>
      </c>
      <c r="E84">
        <f>MONTH(OrdersTable[[#This Row],[Order Date]])</f>
        <v>1</v>
      </c>
      <c r="F84" t="s">
        <v>3973</v>
      </c>
      <c r="G84" t="str">
        <f>IF(OrdersTable[[#This Row],[Order Date]]=_xlfn.MINIFS(Order_Date, Customer_ID, OrdersTable[[#This Row],[Customer ID]]), "New", "Repeat")</f>
        <v>New</v>
      </c>
      <c r="H84" t="s">
        <v>54</v>
      </c>
      <c r="I84" t="str">
        <f>INDEX(State!B:B,MATCH(OrdersTable[[#This Row],[State]],State!A:A,0))</f>
        <v>RJ</v>
      </c>
      <c r="J84" t="str">
        <f>INDEX(State!C:C,MATCH(OrdersTable[[#This Row],[State Code]],State!B:B,0))</f>
        <v>North</v>
      </c>
      <c r="K84" t="s">
        <v>227</v>
      </c>
      <c r="L84" t="s">
        <v>65</v>
      </c>
      <c r="M84" t="s">
        <v>125</v>
      </c>
      <c r="N84" t="str">
        <f>INDEX(Products!B:B,MATCH(OrdersTable[[#This Row],[Product ID]],Products!A:A,0))</f>
        <v>Copper Water Bottle</v>
      </c>
      <c r="O84" t="str">
        <f>INDEX(Products!C:C,MATCH(OrdersTable[[#This Row],[Product ID]],Products!A:A,0))</f>
        <v>Home &amp; Kitchen</v>
      </c>
      <c r="P84">
        <v>1</v>
      </c>
      <c r="Q84" s="5">
        <v>899</v>
      </c>
      <c r="R84" s="74">
        <v>0.15</v>
      </c>
      <c r="S84" s="75">
        <f>OrdersTable[[#This Row],[Quantity]]*OrdersTable[[#This Row],[Unit Price]]</f>
        <v>899</v>
      </c>
      <c r="T84" s="5">
        <f>OrdersTable[[#This Row],[Gross Sale]]*OrdersTable[[#This Row],[Discount_Clean2]]</f>
        <v>134.85</v>
      </c>
      <c r="U84" s="5">
        <f>OrdersTable[[#This Row],[Gross Sale]]-OrdersTable[[#This Row],[Discount Amount]]</f>
        <v>764.15</v>
      </c>
      <c r="V84" s="77">
        <f>INDEX(Products!E:E,MATCH(OrdersTable[[#This Row],[Product ID]],Products!A:A,0))</f>
        <v>378</v>
      </c>
      <c r="W84" s="77">
        <f>OrdersTable[[#This Row],[Quantity]]*OrdersTable[[#This Row],[Unit Cost]]</f>
        <v>378</v>
      </c>
      <c r="X84" s="77">
        <f>'Dropdown Lists'!$I$2*(1+OrdersTable[[#This Row],[Returned]])</f>
        <v>60</v>
      </c>
      <c r="Y84" s="76">
        <f>OrdersTable[[#This Row],[Net Revenue]]-OrdersTable[[#This Row],[COGS]]-OrdersTable[[#This Row],[Shipping Cost]]</f>
        <v>326.14999999999998</v>
      </c>
      <c r="Z84" s="78">
        <f>IFERROR(OrdersTable[[#This Row],[Profit]]/OrdersTable[[#This Row],[Net Revenue]],0)</f>
        <v>0.42681410717791007</v>
      </c>
      <c r="AA84" t="s">
        <v>4450</v>
      </c>
      <c r="AB84" s="79">
        <v>45309</v>
      </c>
      <c r="AC84">
        <f>OrdersTable[[#This Row],[Delivery Date]]-OrdersTable[[#This Row],[Order Date]]</f>
        <v>4</v>
      </c>
      <c r="AD84" t="str">
        <f>IF(OrdersTable[[#This Row],[Delivery Days]]&lt;=2, "Express (≤2d)", IF(OrdersTable[[#This Row],[Delivery Days]]&lt;=4, "Standard (3-4d)", "Delayed (5d+)"))</f>
        <v>Standard (3-4d)</v>
      </c>
      <c r="AF84">
        <v>0</v>
      </c>
    </row>
    <row r="85" spans="1:32" ht="15" x14ac:dyDescent="0.35">
      <c r="A85" t="s">
        <v>5297</v>
      </c>
      <c r="B85" s="1">
        <v>45305</v>
      </c>
      <c r="C85">
        <f>YEAR(OrdersTable[[#This Row],[Order Date]])</f>
        <v>2024</v>
      </c>
      <c r="D85" s="2">
        <f>DATE(YEAR(OrdersTable[[#This Row],[Order Date]]),MONTH(OrdersTable[[#This Row],[Order Date]]),1)</f>
        <v>45292</v>
      </c>
      <c r="E85">
        <f>MONTH(OrdersTable[[#This Row],[Order Date]])</f>
        <v>1</v>
      </c>
      <c r="F85" t="s">
        <v>5298</v>
      </c>
      <c r="G85" t="str">
        <f>IF(OrdersTable[[#This Row],[Order Date]]=_xlfn.MINIFS(Order_Date, Customer_ID, OrdersTable[[#This Row],[Customer ID]]), "New", "Repeat")</f>
        <v>New</v>
      </c>
      <c r="H85" t="s">
        <v>128</v>
      </c>
      <c r="I85" t="str">
        <f>INDEX(State!B:B,MATCH(OrdersTable[[#This Row],[State]],State!A:A,0))</f>
        <v>DL</v>
      </c>
      <c r="J85" t="str">
        <f>INDEX(State!C:C,MATCH(OrdersTable[[#This Row],[State Code]],State!B:B,0))</f>
        <v>North</v>
      </c>
      <c r="K85" t="s">
        <v>129</v>
      </c>
      <c r="L85" t="s">
        <v>23</v>
      </c>
      <c r="M85" t="s">
        <v>92</v>
      </c>
      <c r="N85" t="str">
        <f>INDEX(Products!B:B,MATCH(OrdersTable[[#This Row],[Product ID]],Products!A:A,0))</f>
        <v>Kolhapuri Sandals</v>
      </c>
      <c r="O85" t="str">
        <f>INDEX(Products!C:C,MATCH(OrdersTable[[#This Row],[Product ID]],Products!A:A,0))</f>
        <v>Footwear</v>
      </c>
      <c r="P85">
        <v>2</v>
      </c>
      <c r="Q85" s="5">
        <v>999</v>
      </c>
      <c r="R85" s="74">
        <v>0.1</v>
      </c>
      <c r="S85" s="75">
        <f>OrdersTable[[#This Row],[Quantity]]*OrdersTable[[#This Row],[Unit Price]]</f>
        <v>1998</v>
      </c>
      <c r="T85" s="5">
        <f>OrdersTable[[#This Row],[Gross Sale]]*OrdersTable[[#This Row],[Discount_Clean2]]</f>
        <v>199.8</v>
      </c>
      <c r="U85" s="5">
        <f>OrdersTable[[#This Row],[Gross Sale]]-OrdersTable[[#This Row],[Discount Amount]]</f>
        <v>1798.2</v>
      </c>
      <c r="V85" s="77">
        <f>INDEX(Products!E:E,MATCH(OrdersTable[[#This Row],[Product ID]],Products!A:A,0))</f>
        <v>400</v>
      </c>
      <c r="W85" s="77">
        <f>OrdersTable[[#This Row],[Quantity]]*OrdersTable[[#This Row],[Unit Cost]]</f>
        <v>800</v>
      </c>
      <c r="X85" s="77">
        <f>'Dropdown Lists'!$I$2*(1+OrdersTable[[#This Row],[Returned]])</f>
        <v>60</v>
      </c>
      <c r="Y85" s="76">
        <f>OrdersTable[[#This Row],[Net Revenue]]-OrdersTable[[#This Row],[COGS]]-OrdersTable[[#This Row],[Shipping Cost]]</f>
        <v>938.2</v>
      </c>
      <c r="Z85" s="78">
        <f>IFERROR(OrdersTable[[#This Row],[Profit]]/OrdersTable[[#This Row],[Net Revenue]],0)</f>
        <v>0.52174396618841068</v>
      </c>
      <c r="AA85" t="s">
        <v>2522</v>
      </c>
      <c r="AB85" s="79">
        <v>45307</v>
      </c>
      <c r="AC85">
        <f>OrdersTable[[#This Row],[Delivery Date]]-OrdersTable[[#This Row],[Order Date]]</f>
        <v>2</v>
      </c>
      <c r="AD85" t="str">
        <f>IF(OrdersTable[[#This Row],[Delivery Days]]&lt;=2, "Express (≤2d)", IF(OrdersTable[[#This Row],[Delivery Days]]&lt;=4, "Standard (3-4d)", "Delayed (5d+)"))</f>
        <v>Express (≤2d)</v>
      </c>
      <c r="AE85">
        <v>5</v>
      </c>
      <c r="AF85">
        <v>0</v>
      </c>
    </row>
    <row r="86" spans="1:32" ht="15" x14ac:dyDescent="0.35">
      <c r="A86" t="s">
        <v>2537</v>
      </c>
      <c r="B86" s="1">
        <v>45305</v>
      </c>
      <c r="C86">
        <f>YEAR(OrdersTable[[#This Row],[Order Date]])</f>
        <v>2024</v>
      </c>
      <c r="D86" s="2">
        <f>DATE(YEAR(OrdersTable[[#This Row],[Order Date]]),MONTH(OrdersTable[[#This Row],[Order Date]]),1)</f>
        <v>45292</v>
      </c>
      <c r="E86">
        <f>MONTH(OrdersTable[[#This Row],[Order Date]])</f>
        <v>1</v>
      </c>
      <c r="F86" t="s">
        <v>2538</v>
      </c>
      <c r="G86" t="str">
        <f>IF(OrdersTable[[#This Row],[Order Date]]=_xlfn.MINIFS(Order_Date, Customer_ID, OrdersTable[[#This Row],[Customer ID]]), "New", "Repeat")</f>
        <v>New</v>
      </c>
      <c r="H86" t="s">
        <v>95</v>
      </c>
      <c r="I86" t="str">
        <f>INDEX(State!B:B,MATCH(OrdersTable[[#This Row],[State]],State!A:A,0))</f>
        <v>TG</v>
      </c>
      <c r="J86" t="str">
        <f>INDEX(State!C:C,MATCH(OrdersTable[[#This Row],[State Code]],State!B:B,0))</f>
        <v>South</v>
      </c>
      <c r="K86" t="s">
        <v>96</v>
      </c>
      <c r="L86" t="s">
        <v>23</v>
      </c>
      <c r="M86" t="s">
        <v>66</v>
      </c>
      <c r="N86" t="str">
        <f>INDEX(Products!B:B,MATCH(OrdersTable[[#This Row],[Product ID]],Products!A:A,0))</f>
        <v>Sunscreen SPF 50</v>
      </c>
      <c r="O86" t="str">
        <f>INDEX(Products!C:C,MATCH(OrdersTable[[#This Row],[Product ID]],Products!A:A,0))</f>
        <v>Skincare</v>
      </c>
      <c r="P86">
        <v>1</v>
      </c>
      <c r="Q86" s="5">
        <v>449</v>
      </c>
      <c r="R86" s="74">
        <v>0</v>
      </c>
      <c r="S86" s="75">
        <f>OrdersTable[[#This Row],[Quantity]]*OrdersTable[[#This Row],[Unit Price]]</f>
        <v>449</v>
      </c>
      <c r="T86" s="5">
        <f>OrdersTable[[#This Row],[Gross Sale]]*OrdersTable[[#This Row],[Discount_Clean2]]</f>
        <v>0</v>
      </c>
      <c r="U86" s="5">
        <f>OrdersTable[[#This Row],[Gross Sale]]-OrdersTable[[#This Row],[Discount Amount]]</f>
        <v>449</v>
      </c>
      <c r="V86" s="77">
        <f>INDEX(Products!E:E,MATCH(OrdersTable[[#This Row],[Product ID]],Products!A:A,0))</f>
        <v>144</v>
      </c>
      <c r="W86" s="77">
        <f>OrdersTable[[#This Row],[Quantity]]*OrdersTable[[#This Row],[Unit Cost]]</f>
        <v>144</v>
      </c>
      <c r="X86" s="77">
        <f>'Dropdown Lists'!$I$2*(1+OrdersTable[[#This Row],[Returned]])</f>
        <v>120</v>
      </c>
      <c r="Y86" s="76">
        <f>OrdersTable[[#This Row],[Net Revenue]]-OrdersTable[[#This Row],[COGS]]-OrdersTable[[#This Row],[Shipping Cost]]</f>
        <v>185</v>
      </c>
      <c r="Z86" s="78">
        <f>IFERROR(OrdersTable[[#This Row],[Profit]]/OrdersTable[[#This Row],[Net Revenue]],0)</f>
        <v>0.41202672605790647</v>
      </c>
      <c r="AA86" t="s">
        <v>2522</v>
      </c>
      <c r="AB86" s="79">
        <v>45307</v>
      </c>
      <c r="AC86">
        <f>OrdersTable[[#This Row],[Delivery Date]]-OrdersTable[[#This Row],[Order Date]]</f>
        <v>2</v>
      </c>
      <c r="AD86" t="str">
        <f>IF(OrdersTable[[#This Row],[Delivery Days]]&lt;=2, "Express (≤2d)", IF(OrdersTable[[#This Row],[Delivery Days]]&lt;=4, "Standard (3-4d)", "Delayed (5d+)"))</f>
        <v>Express (≤2d)</v>
      </c>
      <c r="AE86">
        <v>5</v>
      </c>
      <c r="AF86">
        <v>1</v>
      </c>
    </row>
    <row r="87" spans="1:32" ht="15" x14ac:dyDescent="0.35">
      <c r="A87" t="s">
        <v>3841</v>
      </c>
      <c r="B87" s="1">
        <v>45306</v>
      </c>
      <c r="C87">
        <f>YEAR(OrdersTable[[#This Row],[Order Date]])</f>
        <v>2024</v>
      </c>
      <c r="D87" s="2">
        <f>DATE(YEAR(OrdersTable[[#This Row],[Order Date]]),MONTH(OrdersTable[[#This Row],[Order Date]]),1)</f>
        <v>45292</v>
      </c>
      <c r="E87">
        <f>MONTH(OrdersTable[[#This Row],[Order Date]])</f>
        <v>1</v>
      </c>
      <c r="F87" t="s">
        <v>3842</v>
      </c>
      <c r="G87" t="str">
        <f>IF(OrdersTable[[#This Row],[Order Date]]=_xlfn.MINIFS(Order_Date, Customer_ID, OrdersTable[[#This Row],[Customer ID]]), "New", "Repeat")</f>
        <v>New</v>
      </c>
      <c r="H87" t="s">
        <v>210</v>
      </c>
      <c r="I87" t="str">
        <f>INDEX(State!B:B,MATCH(OrdersTable[[#This Row],[State]],State!A:A,0))</f>
        <v>JK</v>
      </c>
      <c r="J87" t="str">
        <f>INDEX(State!C:C,MATCH(OrdersTable[[#This Row],[State Code]],State!B:B,0))</f>
        <v>North</v>
      </c>
      <c r="K87" t="s">
        <v>415</v>
      </c>
      <c r="L87" t="s">
        <v>23</v>
      </c>
      <c r="M87" t="s">
        <v>87</v>
      </c>
      <c r="N87" t="str">
        <f>INDEX(Products!B:B,MATCH(OrdersTable[[#This Row],[Product ID]],Products!A:A,0))</f>
        <v>Linen Kurta</v>
      </c>
      <c r="O87" t="str">
        <f>INDEX(Products!C:C,MATCH(OrdersTable[[#This Row],[Product ID]],Products!A:A,0))</f>
        <v>Apparel</v>
      </c>
      <c r="P87">
        <v>1</v>
      </c>
      <c r="Q87" s="5">
        <v>1499</v>
      </c>
      <c r="R87" s="74">
        <v>0.3</v>
      </c>
      <c r="S87" s="75">
        <f>OrdersTable[[#This Row],[Quantity]]*OrdersTable[[#This Row],[Unit Price]]</f>
        <v>1499</v>
      </c>
      <c r="T87" s="5">
        <f>OrdersTable[[#This Row],[Gross Sale]]*OrdersTable[[#This Row],[Discount_Clean2]]</f>
        <v>449.7</v>
      </c>
      <c r="U87" s="5">
        <f>OrdersTable[[#This Row],[Gross Sale]]-OrdersTable[[#This Row],[Discount Amount]]</f>
        <v>1049.3</v>
      </c>
      <c r="V87" s="77">
        <f>INDEX(Products!E:E,MATCH(OrdersTable[[#This Row],[Product ID]],Products!A:A,0))</f>
        <v>630</v>
      </c>
      <c r="W87" s="77">
        <f>OrdersTable[[#This Row],[Quantity]]*OrdersTable[[#This Row],[Unit Cost]]</f>
        <v>630</v>
      </c>
      <c r="X87" s="77">
        <f>'Dropdown Lists'!$I$2*(1+OrdersTable[[#This Row],[Returned]])</f>
        <v>60</v>
      </c>
      <c r="Y87" s="76">
        <f>OrdersTable[[#This Row],[Net Revenue]]-OrdersTable[[#This Row],[COGS]]-OrdersTable[[#This Row],[Shipping Cost]]</f>
        <v>359.29999999999995</v>
      </c>
      <c r="Z87" s="78">
        <f>IFERROR(OrdersTable[[#This Row],[Profit]]/OrdersTable[[#This Row],[Net Revenue]],0)</f>
        <v>0.34241875536071664</v>
      </c>
      <c r="AA87" t="s">
        <v>3495</v>
      </c>
      <c r="AB87" s="79">
        <v>45311</v>
      </c>
      <c r="AC87">
        <f>OrdersTable[[#This Row],[Delivery Date]]-OrdersTable[[#This Row],[Order Date]]</f>
        <v>5</v>
      </c>
      <c r="AD87" t="str">
        <f>IF(OrdersTable[[#This Row],[Delivery Days]]&lt;=2, "Express (≤2d)", IF(OrdersTable[[#This Row],[Delivery Days]]&lt;=4, "Standard (3-4d)", "Delayed (5d+)"))</f>
        <v>Delayed (5d+)</v>
      </c>
      <c r="AE87">
        <v>3</v>
      </c>
      <c r="AF87">
        <v>0</v>
      </c>
    </row>
    <row r="88" spans="1:32" ht="15" x14ac:dyDescent="0.35">
      <c r="A88" t="s">
        <v>5061</v>
      </c>
      <c r="B88" s="1">
        <v>45306</v>
      </c>
      <c r="C88">
        <f>YEAR(OrdersTable[[#This Row],[Order Date]])</f>
        <v>2024</v>
      </c>
      <c r="D88" s="2">
        <f>DATE(YEAR(OrdersTable[[#This Row],[Order Date]]),MONTH(OrdersTable[[#This Row],[Order Date]]),1)</f>
        <v>45292</v>
      </c>
      <c r="E88">
        <f>MONTH(OrdersTable[[#This Row],[Order Date]])</f>
        <v>1</v>
      </c>
      <c r="F88" t="s">
        <v>376</v>
      </c>
      <c r="G88" t="str">
        <f>IF(OrdersTable[[#This Row],[Order Date]]=_xlfn.MINIFS(Order_Date, Customer_ID, OrdersTable[[#This Row],[Customer ID]]), "New", "Repeat")</f>
        <v>New</v>
      </c>
      <c r="H88" t="s">
        <v>32</v>
      </c>
      <c r="I88" t="str">
        <f>INDEX(State!B:B,MATCH(OrdersTable[[#This Row],[State]],State!A:A,0))</f>
        <v>BR</v>
      </c>
      <c r="J88" t="str">
        <f>INDEX(State!C:C,MATCH(OrdersTable[[#This Row],[State Code]],State!B:B,0))</f>
        <v>East</v>
      </c>
      <c r="K88" t="s">
        <v>33</v>
      </c>
      <c r="L88" t="s">
        <v>65</v>
      </c>
      <c r="M88" t="s">
        <v>125</v>
      </c>
      <c r="N88" t="str">
        <f>INDEX(Products!B:B,MATCH(OrdersTable[[#This Row],[Product ID]],Products!A:A,0))</f>
        <v>Copper Water Bottle</v>
      </c>
      <c r="O88" t="str">
        <f>INDEX(Products!C:C,MATCH(OrdersTable[[#This Row],[Product ID]],Products!A:A,0))</f>
        <v>Home &amp; Kitchen</v>
      </c>
      <c r="P88">
        <v>2</v>
      </c>
      <c r="Q88" s="5">
        <v>899</v>
      </c>
      <c r="R88" s="74">
        <v>0.05</v>
      </c>
      <c r="S88" s="75">
        <f>OrdersTable[[#This Row],[Quantity]]*OrdersTable[[#This Row],[Unit Price]]</f>
        <v>1798</v>
      </c>
      <c r="T88" s="5">
        <f>OrdersTable[[#This Row],[Gross Sale]]*OrdersTable[[#This Row],[Discount_Clean2]]</f>
        <v>89.9</v>
      </c>
      <c r="U88" s="5">
        <f>OrdersTable[[#This Row],[Gross Sale]]-OrdersTable[[#This Row],[Discount Amount]]</f>
        <v>1708.1</v>
      </c>
      <c r="V88" s="77">
        <f>INDEX(Products!E:E,MATCH(OrdersTable[[#This Row],[Product ID]],Products!A:A,0))</f>
        <v>378</v>
      </c>
      <c r="W88" s="77">
        <f>OrdersTable[[#This Row],[Quantity]]*OrdersTable[[#This Row],[Unit Cost]]</f>
        <v>756</v>
      </c>
      <c r="X88" s="77">
        <f>'Dropdown Lists'!$I$2*(1+OrdersTable[[#This Row],[Returned]])</f>
        <v>60</v>
      </c>
      <c r="Y88" s="76">
        <f>OrdersTable[[#This Row],[Net Revenue]]-OrdersTable[[#This Row],[COGS]]-OrdersTable[[#This Row],[Shipping Cost]]</f>
        <v>892.09999999999991</v>
      </c>
      <c r="Z88" s="78">
        <f>IFERROR(OrdersTable[[#This Row],[Profit]]/OrdersTable[[#This Row],[Net Revenue]],0)</f>
        <v>0.52227621333645569</v>
      </c>
      <c r="AA88" t="s">
        <v>3495</v>
      </c>
      <c r="AB88" s="79">
        <v>45309</v>
      </c>
      <c r="AC88">
        <f>OrdersTable[[#This Row],[Delivery Date]]-OrdersTable[[#This Row],[Order Date]]</f>
        <v>3</v>
      </c>
      <c r="AD88" t="str">
        <f>IF(OrdersTable[[#This Row],[Delivery Days]]&lt;=2, "Express (≤2d)", IF(OrdersTable[[#This Row],[Delivery Days]]&lt;=4, "Standard (3-4d)", "Delayed (5d+)"))</f>
        <v>Standard (3-4d)</v>
      </c>
      <c r="AE88">
        <v>4</v>
      </c>
      <c r="AF88">
        <v>0</v>
      </c>
    </row>
    <row r="89" spans="1:32" ht="15" x14ac:dyDescent="0.35">
      <c r="A89" t="s">
        <v>6840</v>
      </c>
      <c r="B89" s="1">
        <v>45306</v>
      </c>
      <c r="C89">
        <f>YEAR(OrdersTable[[#This Row],[Order Date]])</f>
        <v>2024</v>
      </c>
      <c r="D89" s="2">
        <f>DATE(YEAR(OrdersTable[[#This Row],[Order Date]]),MONTH(OrdersTable[[#This Row],[Order Date]]),1)</f>
        <v>45292</v>
      </c>
      <c r="E89">
        <f>MONTH(OrdersTable[[#This Row],[Order Date]])</f>
        <v>1</v>
      </c>
      <c r="F89" t="s">
        <v>2463</v>
      </c>
      <c r="G89" t="str">
        <f>IF(OrdersTable[[#This Row],[Order Date]]=_xlfn.MINIFS(Order_Date, Customer_ID, OrdersTable[[#This Row],[Customer ID]]), "New", "Repeat")</f>
        <v>New</v>
      </c>
      <c r="H89" t="s">
        <v>37</v>
      </c>
      <c r="I89" t="str">
        <f>INDEX(State!B:B,MATCH(OrdersTable[[#This Row],[State]],State!A:A,0))</f>
        <v>GJ</v>
      </c>
      <c r="J89" t="str">
        <f>INDEX(State!C:C,MATCH(OrdersTable[[#This Row],[State Code]],State!B:B,0))</f>
        <v>West</v>
      </c>
      <c r="K89" t="s">
        <v>38</v>
      </c>
      <c r="L89" t="s">
        <v>65</v>
      </c>
      <c r="M89" t="s">
        <v>34</v>
      </c>
      <c r="N89" t="str">
        <f>INDEX(Products!B:B,MATCH(OrdersTable[[#This Row],[Product ID]],Products!A:A,0))</f>
        <v>Flip Flops</v>
      </c>
      <c r="O89" t="str">
        <f>INDEX(Products!C:C,MATCH(OrdersTable[[#This Row],[Product ID]],Products!A:A,0))</f>
        <v>Footwear</v>
      </c>
      <c r="P89">
        <v>3</v>
      </c>
      <c r="Q89" s="5">
        <v>399</v>
      </c>
      <c r="R89" s="74">
        <v>0.15</v>
      </c>
      <c r="S89" s="75">
        <f>OrdersTable[[#This Row],[Quantity]]*OrdersTable[[#This Row],[Unit Price]]</f>
        <v>1197</v>
      </c>
      <c r="T89" s="5">
        <f>OrdersTable[[#This Row],[Gross Sale]]*OrdersTable[[#This Row],[Discount_Clean2]]</f>
        <v>179.54999999999998</v>
      </c>
      <c r="U89" s="5">
        <f>OrdersTable[[#This Row],[Gross Sale]]-OrdersTable[[#This Row],[Discount Amount]]</f>
        <v>1017.45</v>
      </c>
      <c r="V89" s="77">
        <f>INDEX(Products!E:E,MATCH(OrdersTable[[#This Row],[Product ID]],Products!A:A,0))</f>
        <v>152</v>
      </c>
      <c r="W89" s="77">
        <f>OrdersTable[[#This Row],[Quantity]]*OrdersTable[[#This Row],[Unit Cost]]</f>
        <v>456</v>
      </c>
      <c r="X89" s="77">
        <f>'Dropdown Lists'!$I$2*(1+OrdersTable[[#This Row],[Returned]])</f>
        <v>60</v>
      </c>
      <c r="Y89" s="76">
        <f>OrdersTable[[#This Row],[Net Revenue]]-OrdersTable[[#This Row],[COGS]]-OrdersTable[[#This Row],[Shipping Cost]]</f>
        <v>501.45000000000005</v>
      </c>
      <c r="Z89" s="78">
        <f>IFERROR(OrdersTable[[#This Row],[Profit]]/OrdersTable[[#This Row],[Net Revenue]],0)</f>
        <v>0.49284977148754239</v>
      </c>
      <c r="AA89" t="s">
        <v>4450</v>
      </c>
      <c r="AB89" s="79">
        <v>45309</v>
      </c>
      <c r="AC89">
        <f>OrdersTable[[#This Row],[Delivery Date]]-OrdersTable[[#This Row],[Order Date]]</f>
        <v>3</v>
      </c>
      <c r="AD89" t="str">
        <f>IF(OrdersTable[[#This Row],[Delivery Days]]&lt;=2, "Express (≤2d)", IF(OrdersTable[[#This Row],[Delivery Days]]&lt;=4, "Standard (3-4d)", "Delayed (5d+)"))</f>
        <v>Standard (3-4d)</v>
      </c>
      <c r="AE89">
        <v>5</v>
      </c>
      <c r="AF89">
        <v>0</v>
      </c>
    </row>
    <row r="90" spans="1:32" ht="15" x14ac:dyDescent="0.35">
      <c r="A90" t="s">
        <v>890</v>
      </c>
      <c r="B90" s="1">
        <v>45306</v>
      </c>
      <c r="C90">
        <f>YEAR(OrdersTable[[#This Row],[Order Date]])</f>
        <v>2024</v>
      </c>
      <c r="D90" s="2">
        <f>DATE(YEAR(OrdersTable[[#This Row],[Order Date]]),MONTH(OrdersTable[[#This Row],[Order Date]]),1)</f>
        <v>45292</v>
      </c>
      <c r="E90">
        <f>MONTH(OrdersTable[[#This Row],[Order Date]])</f>
        <v>1</v>
      </c>
      <c r="F90" t="s">
        <v>891</v>
      </c>
      <c r="G90" t="str">
        <f>IF(OrdersTable[[#This Row],[Order Date]]=_xlfn.MINIFS(Order_Date, Customer_ID, OrdersTable[[#This Row],[Customer ID]]), "New", "Repeat")</f>
        <v>New</v>
      </c>
      <c r="H90" t="s">
        <v>71</v>
      </c>
      <c r="I90" t="str">
        <f>INDEX(State!B:B,MATCH(OrdersTable[[#This Row],[State]],State!A:A,0))</f>
        <v>MH</v>
      </c>
      <c r="J90" t="str">
        <f>INDEX(State!C:C,MATCH(OrdersTable[[#This Row],[State Code]],State!B:B,0))</f>
        <v>West</v>
      </c>
      <c r="K90" t="s">
        <v>72</v>
      </c>
      <c r="L90" t="s">
        <v>23</v>
      </c>
      <c r="M90" t="s">
        <v>73</v>
      </c>
      <c r="N90" t="str">
        <f>INDEX(Products!B:B,MATCH(OrdersTable[[#This Row],[Product ID]],Products!A:A,0))</f>
        <v>Hydrating Face Wash</v>
      </c>
      <c r="O90" t="str">
        <f>INDEX(Products!C:C,MATCH(OrdersTable[[#This Row],[Product ID]],Products!A:A,0))</f>
        <v>Skincare</v>
      </c>
      <c r="P90">
        <v>1</v>
      </c>
      <c r="Q90" s="5">
        <v>299</v>
      </c>
      <c r="R90" s="74">
        <v>0</v>
      </c>
      <c r="S90" s="75">
        <f>OrdersTable[[#This Row],[Quantity]]*OrdersTable[[#This Row],[Unit Price]]</f>
        <v>299</v>
      </c>
      <c r="T90" s="5">
        <f>OrdersTable[[#This Row],[Gross Sale]]*OrdersTable[[#This Row],[Discount_Clean2]]</f>
        <v>0</v>
      </c>
      <c r="U90" s="5">
        <f>OrdersTable[[#This Row],[Gross Sale]]-OrdersTable[[#This Row],[Discount Amount]]</f>
        <v>299</v>
      </c>
      <c r="V90" s="77">
        <f>INDEX(Products!E:E,MATCH(OrdersTable[[#This Row],[Product ID]],Products!A:A,0))</f>
        <v>90</v>
      </c>
      <c r="W90" s="77">
        <f>OrdersTable[[#This Row],[Quantity]]*OrdersTable[[#This Row],[Unit Cost]]</f>
        <v>90</v>
      </c>
      <c r="X90" s="77">
        <f>'Dropdown Lists'!$I$2*(1+OrdersTable[[#This Row],[Returned]])</f>
        <v>60</v>
      </c>
      <c r="Y90" s="76">
        <f>OrdersTable[[#This Row],[Net Revenue]]-OrdersTable[[#This Row],[COGS]]-OrdersTable[[#This Row],[Shipping Cost]]</f>
        <v>149</v>
      </c>
      <c r="Z90" s="78">
        <f>IFERROR(OrdersTable[[#This Row],[Profit]]/OrdersTable[[#This Row],[Net Revenue]],0)</f>
        <v>0.49832775919732442</v>
      </c>
      <c r="AA90" t="s">
        <v>18</v>
      </c>
      <c r="AB90" s="79">
        <v>45309</v>
      </c>
      <c r="AC90">
        <f>OrdersTable[[#This Row],[Delivery Date]]-OrdersTable[[#This Row],[Order Date]]</f>
        <v>3</v>
      </c>
      <c r="AD90" t="str">
        <f>IF(OrdersTable[[#This Row],[Delivery Days]]&lt;=2, "Express (≤2d)", IF(OrdersTable[[#This Row],[Delivery Days]]&lt;=4, "Standard (3-4d)", "Delayed (5d+)"))</f>
        <v>Standard (3-4d)</v>
      </c>
      <c r="AE90">
        <v>4</v>
      </c>
      <c r="AF90">
        <v>0</v>
      </c>
    </row>
    <row r="91" spans="1:32" ht="15" x14ac:dyDescent="0.35">
      <c r="A91" t="s">
        <v>4322</v>
      </c>
      <c r="B91" s="1">
        <v>45306</v>
      </c>
      <c r="C91">
        <f>YEAR(OrdersTable[[#This Row],[Order Date]])</f>
        <v>2024</v>
      </c>
      <c r="D91" s="2">
        <f>DATE(YEAR(OrdersTable[[#This Row],[Order Date]]),MONTH(OrdersTable[[#This Row],[Order Date]]),1)</f>
        <v>45292</v>
      </c>
      <c r="E91">
        <f>MONTH(OrdersTable[[#This Row],[Order Date]])</f>
        <v>1</v>
      </c>
      <c r="F91" t="s">
        <v>4008</v>
      </c>
      <c r="G91" t="str">
        <f>IF(OrdersTable[[#This Row],[Order Date]]=_xlfn.MINIFS(Order_Date, Customer_ID, OrdersTable[[#This Row],[Customer ID]]), "New", "Repeat")</f>
        <v>New</v>
      </c>
      <c r="H91" t="s">
        <v>71</v>
      </c>
      <c r="I91" t="str">
        <f>INDEX(State!B:B,MATCH(OrdersTable[[#This Row],[State]],State!A:A,0))</f>
        <v>MH</v>
      </c>
      <c r="J91" t="str">
        <f>INDEX(State!C:C,MATCH(OrdersTable[[#This Row],[State Code]],State!B:B,0))</f>
        <v>West</v>
      </c>
      <c r="K91" t="s">
        <v>72</v>
      </c>
      <c r="L91" t="s">
        <v>39</v>
      </c>
      <c r="M91" t="s">
        <v>56</v>
      </c>
      <c r="N91" t="str">
        <f>INDEX(Products!B:B,MATCH(OrdersTable[[#This Row],[Product ID]],Products!A:A,0))</f>
        <v>Vitamin C Face Serum</v>
      </c>
      <c r="O91" t="str">
        <f>INDEX(Products!C:C,MATCH(OrdersTable[[#This Row],[Product ID]],Products!A:A,0))</f>
        <v>Skincare</v>
      </c>
      <c r="P91">
        <v>1</v>
      </c>
      <c r="Q91" s="5">
        <v>599</v>
      </c>
      <c r="R91" s="74">
        <v>0.15</v>
      </c>
      <c r="S91" s="75">
        <f>OrdersTable[[#This Row],[Quantity]]*OrdersTable[[#This Row],[Unit Price]]</f>
        <v>599</v>
      </c>
      <c r="T91" s="5">
        <f>OrdersTable[[#This Row],[Gross Sale]]*OrdersTable[[#This Row],[Discount_Clean2]]</f>
        <v>89.85</v>
      </c>
      <c r="U91" s="5">
        <f>OrdersTable[[#This Row],[Gross Sale]]-OrdersTable[[#This Row],[Discount Amount]]</f>
        <v>509.15</v>
      </c>
      <c r="V91" s="77">
        <f>INDEX(Products!E:E,MATCH(OrdersTable[[#This Row],[Product ID]],Products!A:A,0))</f>
        <v>180</v>
      </c>
      <c r="W91" s="77">
        <f>OrdersTable[[#This Row],[Quantity]]*OrdersTable[[#This Row],[Unit Cost]]</f>
        <v>180</v>
      </c>
      <c r="X91" s="77">
        <f>'Dropdown Lists'!$I$2*(1+OrdersTable[[#This Row],[Returned]])</f>
        <v>60</v>
      </c>
      <c r="Y91" s="76">
        <f>OrdersTable[[#This Row],[Net Revenue]]-OrdersTable[[#This Row],[COGS]]-OrdersTable[[#This Row],[Shipping Cost]]</f>
        <v>269.14999999999998</v>
      </c>
      <c r="Z91" s="78">
        <f>IFERROR(OrdersTable[[#This Row],[Profit]]/OrdersTable[[#This Row],[Net Revenue]],0)</f>
        <v>0.52862614160856325</v>
      </c>
      <c r="AA91" t="s">
        <v>4074</v>
      </c>
      <c r="AB91" s="79">
        <v>45310</v>
      </c>
      <c r="AC91">
        <f>OrdersTable[[#This Row],[Delivery Date]]-OrdersTable[[#This Row],[Order Date]]</f>
        <v>4</v>
      </c>
      <c r="AD91" t="str">
        <f>IF(OrdersTable[[#This Row],[Delivery Days]]&lt;=2, "Express (≤2d)", IF(OrdersTable[[#This Row],[Delivery Days]]&lt;=4, "Standard (3-4d)", "Delayed (5d+)"))</f>
        <v>Standard (3-4d)</v>
      </c>
      <c r="AE91">
        <v>4</v>
      </c>
      <c r="AF91">
        <v>0</v>
      </c>
    </row>
    <row r="92" spans="1:32" ht="15" x14ac:dyDescent="0.35">
      <c r="A92" t="s">
        <v>2202</v>
      </c>
      <c r="B92" s="1">
        <v>45306</v>
      </c>
      <c r="C92">
        <f>YEAR(OrdersTable[[#This Row],[Order Date]])</f>
        <v>2024</v>
      </c>
      <c r="D92" s="2">
        <f>DATE(YEAR(OrdersTable[[#This Row],[Order Date]]),MONTH(OrdersTable[[#This Row],[Order Date]]),1)</f>
        <v>45292</v>
      </c>
      <c r="E92">
        <f>MONTH(OrdersTable[[#This Row],[Order Date]])</f>
        <v>1</v>
      </c>
      <c r="F92" t="s">
        <v>2203</v>
      </c>
      <c r="G92" t="str">
        <f>IF(OrdersTable[[#This Row],[Order Date]]=_xlfn.MINIFS(Order_Date, Customer_ID, OrdersTable[[#This Row],[Customer ID]]), "New", "Repeat")</f>
        <v>New</v>
      </c>
      <c r="H92" t="s">
        <v>71</v>
      </c>
      <c r="I92" t="str">
        <f>INDEX(State!B:B,MATCH(OrdersTable[[#This Row],[State]],State!A:A,0))</f>
        <v>MH</v>
      </c>
      <c r="J92" t="str">
        <f>INDEX(State!C:C,MATCH(OrdersTable[[#This Row],[State Code]],State!B:B,0))</f>
        <v>West</v>
      </c>
      <c r="K92" t="s">
        <v>81</v>
      </c>
      <c r="L92" t="s">
        <v>16</v>
      </c>
      <c r="M92" t="s">
        <v>34</v>
      </c>
      <c r="N92" t="str">
        <f>INDEX(Products!B:B,MATCH(OrdersTable[[#This Row],[Product ID]],Products!A:A,0))</f>
        <v>Flip Flops</v>
      </c>
      <c r="O92" t="str">
        <f>INDEX(Products!C:C,MATCH(OrdersTable[[#This Row],[Product ID]],Products!A:A,0))</f>
        <v>Footwear</v>
      </c>
      <c r="P92">
        <v>1</v>
      </c>
      <c r="Q92" s="5">
        <v>399</v>
      </c>
      <c r="R92" s="74">
        <v>0.05</v>
      </c>
      <c r="S92" s="75">
        <f>OrdersTable[[#This Row],[Quantity]]*OrdersTable[[#This Row],[Unit Price]]</f>
        <v>399</v>
      </c>
      <c r="T92" s="5">
        <f>OrdersTable[[#This Row],[Gross Sale]]*OrdersTable[[#This Row],[Discount_Clean2]]</f>
        <v>19.950000000000003</v>
      </c>
      <c r="U92" s="5">
        <f>OrdersTable[[#This Row],[Gross Sale]]-OrdersTable[[#This Row],[Discount Amount]]</f>
        <v>379.05</v>
      </c>
      <c r="V92" s="77">
        <f>INDEX(Products!E:E,MATCH(OrdersTable[[#This Row],[Product ID]],Products!A:A,0))</f>
        <v>152</v>
      </c>
      <c r="W92" s="77">
        <f>OrdersTable[[#This Row],[Quantity]]*OrdersTable[[#This Row],[Unit Cost]]</f>
        <v>152</v>
      </c>
      <c r="X92" s="77">
        <f>'Dropdown Lists'!$I$2*(1+OrdersTable[[#This Row],[Returned]])</f>
        <v>60</v>
      </c>
      <c r="Y92" s="76">
        <f>OrdersTable[[#This Row],[Net Revenue]]-OrdersTable[[#This Row],[COGS]]-OrdersTable[[#This Row],[Shipping Cost]]</f>
        <v>167.05</v>
      </c>
      <c r="Z92" s="78">
        <f>IFERROR(OrdersTable[[#This Row],[Profit]]/OrdersTable[[#This Row],[Net Revenue]],0)</f>
        <v>0.44070703073473161</v>
      </c>
      <c r="AA92" t="s">
        <v>18</v>
      </c>
      <c r="AB92" s="79">
        <v>45307</v>
      </c>
      <c r="AC92">
        <f>OrdersTable[[#This Row],[Delivery Date]]-OrdersTable[[#This Row],[Order Date]]</f>
        <v>1</v>
      </c>
      <c r="AD92" t="str">
        <f>IF(OrdersTable[[#This Row],[Delivery Days]]&lt;=2, "Express (≤2d)", IF(OrdersTable[[#This Row],[Delivery Days]]&lt;=4, "Standard (3-4d)", "Delayed (5d+)"))</f>
        <v>Express (≤2d)</v>
      </c>
      <c r="AE92">
        <v>5</v>
      </c>
      <c r="AF92">
        <v>0</v>
      </c>
    </row>
    <row r="93" spans="1:32" ht="15" x14ac:dyDescent="0.35">
      <c r="A93" t="s">
        <v>5749</v>
      </c>
      <c r="B93" s="1">
        <v>45306</v>
      </c>
      <c r="C93">
        <f>YEAR(OrdersTable[[#This Row],[Order Date]])</f>
        <v>2024</v>
      </c>
      <c r="D93" s="2">
        <f>DATE(YEAR(OrdersTable[[#This Row],[Order Date]]),MONTH(OrdersTable[[#This Row],[Order Date]]),1)</f>
        <v>45292</v>
      </c>
      <c r="E93">
        <f>MONTH(OrdersTable[[#This Row],[Order Date]])</f>
        <v>1</v>
      </c>
      <c r="F93" t="s">
        <v>240</v>
      </c>
      <c r="G93" t="str">
        <f>IF(OrdersTable[[#This Row],[Order Date]]=_xlfn.MINIFS(Order_Date, Customer_ID, OrdersTable[[#This Row],[Customer ID]]), "New", "Repeat")</f>
        <v>New</v>
      </c>
      <c r="H93" t="s">
        <v>167</v>
      </c>
      <c r="I93" t="str">
        <f>INDEX(State!B:B,MATCH(OrdersTable[[#This Row],[State]],State!A:A,0))</f>
        <v>KA</v>
      </c>
      <c r="J93" t="str">
        <f>INDEX(State!C:C,MATCH(OrdersTable[[#This Row],[State Code]],State!B:B,0))</f>
        <v>South</v>
      </c>
      <c r="K93" t="s">
        <v>190</v>
      </c>
      <c r="L93" t="s">
        <v>16</v>
      </c>
      <c r="M93" t="s">
        <v>92</v>
      </c>
      <c r="N93" t="str">
        <f>INDEX(Products!B:B,MATCH(OrdersTable[[#This Row],[Product ID]],Products!A:A,0))</f>
        <v>Kolhapuri Sandals</v>
      </c>
      <c r="O93" t="str">
        <f>INDEX(Products!C:C,MATCH(OrdersTable[[#This Row],[Product ID]],Products!A:A,0))</f>
        <v>Footwear</v>
      </c>
      <c r="P93">
        <v>2</v>
      </c>
      <c r="Q93" s="5">
        <v>999</v>
      </c>
      <c r="R93" s="74">
        <v>0.05</v>
      </c>
      <c r="S93" s="75">
        <f>OrdersTable[[#This Row],[Quantity]]*OrdersTable[[#This Row],[Unit Price]]</f>
        <v>1998</v>
      </c>
      <c r="T93" s="5">
        <f>OrdersTable[[#This Row],[Gross Sale]]*OrdersTable[[#This Row],[Discount_Clean2]]</f>
        <v>99.9</v>
      </c>
      <c r="U93" s="5">
        <f>OrdersTable[[#This Row],[Gross Sale]]-OrdersTable[[#This Row],[Discount Amount]]</f>
        <v>1898.1</v>
      </c>
      <c r="V93" s="77">
        <f>INDEX(Products!E:E,MATCH(OrdersTable[[#This Row],[Product ID]],Products!A:A,0))</f>
        <v>400</v>
      </c>
      <c r="W93" s="77">
        <f>OrdersTable[[#This Row],[Quantity]]*OrdersTable[[#This Row],[Unit Cost]]</f>
        <v>800</v>
      </c>
      <c r="X93" s="77">
        <f>'Dropdown Lists'!$I$2*(1+OrdersTable[[#This Row],[Returned]])</f>
        <v>60</v>
      </c>
      <c r="Y93" s="76">
        <f>OrdersTable[[#This Row],[Net Revenue]]-OrdersTable[[#This Row],[COGS]]-OrdersTable[[#This Row],[Shipping Cost]]</f>
        <v>1038.0999999999999</v>
      </c>
      <c r="Z93" s="78">
        <f>IFERROR(OrdersTable[[#This Row],[Profit]]/OrdersTable[[#This Row],[Net Revenue]],0)</f>
        <v>0.54691533638902057</v>
      </c>
      <c r="AA93" t="s">
        <v>18</v>
      </c>
      <c r="AB93" s="79">
        <v>45309</v>
      </c>
      <c r="AC93">
        <f>OrdersTable[[#This Row],[Delivery Date]]-OrdersTable[[#This Row],[Order Date]]</f>
        <v>3</v>
      </c>
      <c r="AD93" t="str">
        <f>IF(OrdersTable[[#This Row],[Delivery Days]]&lt;=2, "Express (≤2d)", IF(OrdersTable[[#This Row],[Delivery Days]]&lt;=4, "Standard (3-4d)", "Delayed (5d+)"))</f>
        <v>Standard (3-4d)</v>
      </c>
      <c r="AE93">
        <v>5</v>
      </c>
      <c r="AF93">
        <v>0</v>
      </c>
    </row>
    <row r="94" spans="1:32" ht="15" x14ac:dyDescent="0.35">
      <c r="A94" t="s">
        <v>4647</v>
      </c>
      <c r="B94" s="1">
        <v>45307</v>
      </c>
      <c r="C94">
        <f>YEAR(OrdersTable[[#This Row],[Order Date]])</f>
        <v>2024</v>
      </c>
      <c r="D94" s="2">
        <f>DATE(YEAR(OrdersTable[[#This Row],[Order Date]]),MONTH(OrdersTable[[#This Row],[Order Date]]),1)</f>
        <v>45292</v>
      </c>
      <c r="E94">
        <f>MONTH(OrdersTable[[#This Row],[Order Date]])</f>
        <v>1</v>
      </c>
      <c r="F94" t="s">
        <v>4648</v>
      </c>
      <c r="G94" t="str">
        <f>IF(OrdersTable[[#This Row],[Order Date]]=_xlfn.MINIFS(Order_Date, Customer_ID, OrdersTable[[#This Row],[Customer ID]]), "New", "Repeat")</f>
        <v>New</v>
      </c>
      <c r="H94" t="s">
        <v>184</v>
      </c>
      <c r="I94" t="str">
        <f>INDEX(State!B:B,MATCH(OrdersTable[[#This Row],[State]],State!A:A,0))</f>
        <v>UK</v>
      </c>
      <c r="J94" t="str">
        <f>INDEX(State!C:C,MATCH(OrdersTable[[#This Row],[State Code]],State!B:B,0))</f>
        <v>North</v>
      </c>
      <c r="K94" t="s">
        <v>185</v>
      </c>
      <c r="L94" t="s">
        <v>39</v>
      </c>
      <c r="M94" t="s">
        <v>148</v>
      </c>
      <c r="N94" t="str">
        <f>INDEX(Products!B:B,MATCH(OrdersTable[[#This Row],[Product ID]],Products!A:A,0))</f>
        <v>Smartwatch Strap</v>
      </c>
      <c r="O94" t="str">
        <f>INDEX(Products!C:C,MATCH(OrdersTable[[#This Row],[Product ID]],Products!A:A,0))</f>
        <v>Electronics</v>
      </c>
      <c r="P94">
        <v>1</v>
      </c>
      <c r="Q94" s="5">
        <v>499</v>
      </c>
      <c r="R94" s="74">
        <v>0.05</v>
      </c>
      <c r="S94" s="75">
        <f>OrdersTable[[#This Row],[Quantity]]*OrdersTable[[#This Row],[Unit Price]]</f>
        <v>499</v>
      </c>
      <c r="T94" s="5">
        <f>OrdersTable[[#This Row],[Gross Sale]]*OrdersTable[[#This Row],[Discount_Clean2]]</f>
        <v>24.950000000000003</v>
      </c>
      <c r="U94" s="5">
        <f>OrdersTable[[#This Row],[Gross Sale]]-OrdersTable[[#This Row],[Discount Amount]]</f>
        <v>474.05</v>
      </c>
      <c r="V94" s="77">
        <f>INDEX(Products!E:E,MATCH(OrdersTable[[#This Row],[Product ID]],Products!A:A,0))</f>
        <v>200</v>
      </c>
      <c r="W94" s="77">
        <f>OrdersTable[[#This Row],[Quantity]]*OrdersTable[[#This Row],[Unit Cost]]</f>
        <v>200</v>
      </c>
      <c r="X94" s="77">
        <f>'Dropdown Lists'!$I$2*(1+OrdersTable[[#This Row],[Returned]])</f>
        <v>60</v>
      </c>
      <c r="Y94" s="76">
        <f>OrdersTable[[#This Row],[Net Revenue]]-OrdersTable[[#This Row],[COGS]]-OrdersTable[[#This Row],[Shipping Cost]]</f>
        <v>214.05</v>
      </c>
      <c r="Z94" s="78">
        <f>IFERROR(OrdersTable[[#This Row],[Profit]]/OrdersTable[[#This Row],[Net Revenue]],0)</f>
        <v>0.45153464824385614</v>
      </c>
      <c r="AA94" t="s">
        <v>4450</v>
      </c>
      <c r="AB94" s="79">
        <v>45310</v>
      </c>
      <c r="AC94">
        <f>OrdersTable[[#This Row],[Delivery Date]]-OrdersTable[[#This Row],[Order Date]]</f>
        <v>3</v>
      </c>
      <c r="AD94" t="str">
        <f>IF(OrdersTable[[#This Row],[Delivery Days]]&lt;=2, "Express (≤2d)", IF(OrdersTable[[#This Row],[Delivery Days]]&lt;=4, "Standard (3-4d)", "Delayed (5d+)"))</f>
        <v>Standard (3-4d)</v>
      </c>
      <c r="AE94">
        <v>5</v>
      </c>
      <c r="AF94">
        <v>0</v>
      </c>
    </row>
    <row r="95" spans="1:32" ht="15" x14ac:dyDescent="0.35">
      <c r="A95" t="s">
        <v>1618</v>
      </c>
      <c r="B95" s="1">
        <v>45307</v>
      </c>
      <c r="C95">
        <f>YEAR(OrdersTable[[#This Row],[Order Date]])</f>
        <v>2024</v>
      </c>
      <c r="D95" s="2">
        <f>DATE(YEAR(OrdersTable[[#This Row],[Order Date]]),MONTH(OrdersTable[[#This Row],[Order Date]]),1)</f>
        <v>45292</v>
      </c>
      <c r="E95">
        <f>MONTH(OrdersTable[[#This Row],[Order Date]])</f>
        <v>1</v>
      </c>
      <c r="F95" t="s">
        <v>621</v>
      </c>
      <c r="G95" t="str">
        <f>IF(OrdersTable[[#This Row],[Order Date]]=_xlfn.MINIFS(Order_Date, Customer_ID, OrdersTable[[#This Row],[Customer ID]]), "New", "Repeat")</f>
        <v>New</v>
      </c>
      <c r="H95" t="s">
        <v>27</v>
      </c>
      <c r="I95" t="str">
        <f>INDEX(State!B:B,MATCH(OrdersTable[[#This Row],[State]],State!A:A,0))</f>
        <v>WB</v>
      </c>
      <c r="J95" t="str">
        <f>INDEX(State!C:C,MATCH(OrdersTable[[#This Row],[State Code]],State!B:B,0))</f>
        <v>East</v>
      </c>
      <c r="K95" t="s">
        <v>28</v>
      </c>
      <c r="L95" t="s">
        <v>65</v>
      </c>
      <c r="M95" t="s">
        <v>24</v>
      </c>
      <c r="N95" t="str">
        <f>INDEX(Products!B:B,MATCH(OrdersTable[[#This Row],[Product ID]],Products!A:A,0))</f>
        <v>Scented Candle Set</v>
      </c>
      <c r="O95" t="str">
        <f>INDEX(Products!C:C,MATCH(OrdersTable[[#This Row],[Product ID]],Products!A:A,0))</f>
        <v>Home &amp; Kitchen</v>
      </c>
      <c r="P95">
        <v>1</v>
      </c>
      <c r="Q95" s="5">
        <v>699</v>
      </c>
      <c r="R95" s="74">
        <v>0.15</v>
      </c>
      <c r="S95" s="75">
        <f>OrdersTable[[#This Row],[Quantity]]*OrdersTable[[#This Row],[Unit Price]]</f>
        <v>699</v>
      </c>
      <c r="T95" s="5">
        <f>OrdersTable[[#This Row],[Gross Sale]]*OrdersTable[[#This Row],[Discount_Clean2]]</f>
        <v>104.85</v>
      </c>
      <c r="U95" s="5">
        <f>OrdersTable[[#This Row],[Gross Sale]]-OrdersTable[[#This Row],[Discount Amount]]</f>
        <v>594.15</v>
      </c>
      <c r="V95" s="77">
        <f>INDEX(Products!E:E,MATCH(OrdersTable[[#This Row],[Product ID]],Products!A:A,0))</f>
        <v>245</v>
      </c>
      <c r="W95" s="77">
        <f>OrdersTable[[#This Row],[Quantity]]*OrdersTable[[#This Row],[Unit Cost]]</f>
        <v>245</v>
      </c>
      <c r="X95" s="77">
        <f>'Dropdown Lists'!$I$2*(1+OrdersTable[[#This Row],[Returned]])</f>
        <v>60</v>
      </c>
      <c r="Y95" s="76">
        <f>OrdersTable[[#This Row],[Net Revenue]]-OrdersTable[[#This Row],[COGS]]-OrdersTable[[#This Row],[Shipping Cost]]</f>
        <v>289.14999999999998</v>
      </c>
      <c r="Z95" s="78">
        <f>IFERROR(OrdersTable[[#This Row],[Profit]]/OrdersTable[[#This Row],[Net Revenue]],0)</f>
        <v>0.48666161743667424</v>
      </c>
      <c r="AA95" t="s">
        <v>18</v>
      </c>
      <c r="AB95" s="79">
        <v>45312</v>
      </c>
      <c r="AC95">
        <f>OrdersTable[[#This Row],[Delivery Date]]-OrdersTable[[#This Row],[Order Date]]</f>
        <v>5</v>
      </c>
      <c r="AD95" t="str">
        <f>IF(OrdersTable[[#This Row],[Delivery Days]]&lt;=2, "Express (≤2d)", IF(OrdersTable[[#This Row],[Delivery Days]]&lt;=4, "Standard (3-4d)", "Delayed (5d+)"))</f>
        <v>Delayed (5d+)</v>
      </c>
      <c r="AF95">
        <v>0</v>
      </c>
    </row>
    <row r="96" spans="1:32" ht="15" x14ac:dyDescent="0.35">
      <c r="A96" t="s">
        <v>5299</v>
      </c>
      <c r="B96" s="1">
        <v>45307</v>
      </c>
      <c r="C96">
        <f>YEAR(OrdersTable[[#This Row],[Order Date]])</f>
        <v>2024</v>
      </c>
      <c r="D96" s="2">
        <f>DATE(YEAR(OrdersTable[[#This Row],[Order Date]]),MONTH(OrdersTable[[#This Row],[Order Date]]),1)</f>
        <v>45292</v>
      </c>
      <c r="E96">
        <f>MONTH(OrdersTable[[#This Row],[Order Date]])</f>
        <v>1</v>
      </c>
      <c r="F96" t="s">
        <v>5300</v>
      </c>
      <c r="G96" t="str">
        <f>IF(OrdersTable[[#This Row],[Order Date]]=_xlfn.MINIFS(Order_Date, Customer_ID, OrdersTable[[#This Row],[Customer ID]]), "New", "Repeat")</f>
        <v>New</v>
      </c>
      <c r="H96" t="s">
        <v>71</v>
      </c>
      <c r="I96" t="str">
        <f>INDEX(State!B:B,MATCH(OrdersTable[[#This Row],[State]],State!A:A,0))</f>
        <v>MH</v>
      </c>
      <c r="J96" t="str">
        <f>INDEX(State!C:C,MATCH(OrdersTable[[#This Row],[State Code]],State!B:B,0))</f>
        <v>West</v>
      </c>
      <c r="K96" t="s">
        <v>81</v>
      </c>
      <c r="L96" t="s">
        <v>65</v>
      </c>
      <c r="M96" t="s">
        <v>255</v>
      </c>
      <c r="N96" t="str">
        <f>INDEX(Products!B:B,MATCH(OrdersTable[[#This Row],[Product ID]],Products!A:A,0))</f>
        <v>Cotton Oversized T-Shirt</v>
      </c>
      <c r="O96" t="str">
        <f>INDEX(Products!C:C,MATCH(OrdersTable[[#This Row],[Product ID]],Products!A:A,0))</f>
        <v>Apparel</v>
      </c>
      <c r="P96">
        <v>2</v>
      </c>
      <c r="Q96" s="5">
        <v>799</v>
      </c>
      <c r="R96" s="74">
        <v>0.1</v>
      </c>
      <c r="S96" s="75">
        <f>OrdersTable[[#This Row],[Quantity]]*OrdersTable[[#This Row],[Unit Price]]</f>
        <v>1598</v>
      </c>
      <c r="T96" s="5">
        <f>OrdersTable[[#This Row],[Gross Sale]]*OrdersTable[[#This Row],[Discount_Clean2]]</f>
        <v>159.80000000000001</v>
      </c>
      <c r="U96" s="5">
        <f>OrdersTable[[#This Row],[Gross Sale]]-OrdersTable[[#This Row],[Discount Amount]]</f>
        <v>1438.2</v>
      </c>
      <c r="V96" s="77">
        <f>INDEX(Products!E:E,MATCH(OrdersTable[[#This Row],[Product ID]],Products!A:A,0))</f>
        <v>320</v>
      </c>
      <c r="W96" s="77">
        <f>OrdersTable[[#This Row],[Quantity]]*OrdersTable[[#This Row],[Unit Cost]]</f>
        <v>640</v>
      </c>
      <c r="X96" s="77">
        <f>'Dropdown Lists'!$I$2*(1+OrdersTable[[#This Row],[Returned]])</f>
        <v>60</v>
      </c>
      <c r="Y96" s="76">
        <f>OrdersTable[[#This Row],[Net Revenue]]-OrdersTable[[#This Row],[COGS]]-OrdersTable[[#This Row],[Shipping Cost]]</f>
        <v>738.2</v>
      </c>
      <c r="Z96" s="78">
        <f>IFERROR(OrdersTable[[#This Row],[Profit]]/OrdersTable[[#This Row],[Net Revenue]],0)</f>
        <v>0.51328048950076488</v>
      </c>
      <c r="AA96" t="s">
        <v>2522</v>
      </c>
      <c r="AB96" s="79">
        <v>45310</v>
      </c>
      <c r="AC96">
        <f>OrdersTable[[#This Row],[Delivery Date]]-OrdersTable[[#This Row],[Order Date]]</f>
        <v>3</v>
      </c>
      <c r="AD96" t="str">
        <f>IF(OrdersTable[[#This Row],[Delivery Days]]&lt;=2, "Express (≤2d)", IF(OrdersTable[[#This Row],[Delivery Days]]&lt;=4, "Standard (3-4d)", "Delayed (5d+)"))</f>
        <v>Standard (3-4d)</v>
      </c>
      <c r="AF96">
        <v>0</v>
      </c>
    </row>
    <row r="97" spans="1:32" ht="15" x14ac:dyDescent="0.35">
      <c r="A97" t="s">
        <v>5847</v>
      </c>
      <c r="B97" s="1">
        <v>45307</v>
      </c>
      <c r="C97">
        <f>YEAR(OrdersTable[[#This Row],[Order Date]])</f>
        <v>2024</v>
      </c>
      <c r="D97" s="2">
        <f>DATE(YEAR(OrdersTable[[#This Row],[Order Date]]),MONTH(OrdersTable[[#This Row],[Order Date]]),1)</f>
        <v>45292</v>
      </c>
      <c r="E97">
        <f>MONTH(OrdersTable[[#This Row],[Order Date]])</f>
        <v>1</v>
      </c>
      <c r="F97" t="s">
        <v>1593</v>
      </c>
      <c r="G97" t="str">
        <f>IF(OrdersTable[[#This Row],[Order Date]]=_xlfn.MINIFS(Order_Date, Customer_ID, OrdersTable[[#This Row],[Customer ID]]), "New", "Repeat")</f>
        <v>New</v>
      </c>
      <c r="H97" t="s">
        <v>167</v>
      </c>
      <c r="I97" t="str">
        <f>INDEX(State!B:B,MATCH(OrdersTable[[#This Row],[State]],State!A:A,0))</f>
        <v>KA</v>
      </c>
      <c r="J97" t="str">
        <f>INDEX(State!C:C,MATCH(OrdersTable[[#This Row],[State Code]],State!B:B,0))</f>
        <v>South</v>
      </c>
      <c r="K97" t="s">
        <v>168</v>
      </c>
      <c r="L97" t="s">
        <v>65</v>
      </c>
      <c r="M97" t="s">
        <v>66</v>
      </c>
      <c r="N97" t="str">
        <f>INDEX(Products!B:B,MATCH(OrdersTable[[#This Row],[Product ID]],Products!A:A,0))</f>
        <v>Sunscreen SPF 50</v>
      </c>
      <c r="O97" t="str">
        <f>INDEX(Products!C:C,MATCH(OrdersTable[[#This Row],[Product ID]],Products!A:A,0))</f>
        <v>Skincare</v>
      </c>
      <c r="P97">
        <v>2</v>
      </c>
      <c r="Q97" s="5">
        <v>449</v>
      </c>
      <c r="R97" s="74">
        <v>0.1</v>
      </c>
      <c r="S97" s="75">
        <f>OrdersTable[[#This Row],[Quantity]]*OrdersTable[[#This Row],[Unit Price]]</f>
        <v>898</v>
      </c>
      <c r="T97" s="5">
        <f>OrdersTable[[#This Row],[Gross Sale]]*OrdersTable[[#This Row],[Discount_Clean2]]</f>
        <v>89.800000000000011</v>
      </c>
      <c r="U97" s="5">
        <f>OrdersTable[[#This Row],[Gross Sale]]-OrdersTable[[#This Row],[Discount Amount]]</f>
        <v>808.2</v>
      </c>
      <c r="V97" s="77">
        <f>INDEX(Products!E:E,MATCH(OrdersTable[[#This Row],[Product ID]],Products!A:A,0))</f>
        <v>144</v>
      </c>
      <c r="W97" s="77">
        <f>OrdersTable[[#This Row],[Quantity]]*OrdersTable[[#This Row],[Unit Cost]]</f>
        <v>288</v>
      </c>
      <c r="X97" s="77">
        <f>'Dropdown Lists'!$I$2*(1+OrdersTable[[#This Row],[Returned]])</f>
        <v>60</v>
      </c>
      <c r="Y97" s="76">
        <f>OrdersTable[[#This Row],[Net Revenue]]-OrdersTable[[#This Row],[COGS]]-OrdersTable[[#This Row],[Shipping Cost]]</f>
        <v>460.20000000000005</v>
      </c>
      <c r="Z97" s="78">
        <f>IFERROR(OrdersTable[[#This Row],[Profit]]/OrdersTable[[#This Row],[Net Revenue]],0)</f>
        <v>0.56941351150705277</v>
      </c>
      <c r="AA97" t="s">
        <v>18</v>
      </c>
      <c r="AB97" s="79">
        <v>45308</v>
      </c>
      <c r="AC97">
        <f>OrdersTable[[#This Row],[Delivery Date]]-OrdersTable[[#This Row],[Order Date]]</f>
        <v>1</v>
      </c>
      <c r="AD97" t="str">
        <f>IF(OrdersTable[[#This Row],[Delivery Days]]&lt;=2, "Express (≤2d)", IF(OrdersTable[[#This Row],[Delivery Days]]&lt;=4, "Standard (3-4d)", "Delayed (5d+)"))</f>
        <v>Express (≤2d)</v>
      </c>
      <c r="AF97">
        <v>0</v>
      </c>
    </row>
    <row r="98" spans="1:32" ht="15" x14ac:dyDescent="0.35">
      <c r="A98" t="s">
        <v>6938</v>
      </c>
      <c r="B98" s="1">
        <v>45308</v>
      </c>
      <c r="C98">
        <f>YEAR(OrdersTable[[#This Row],[Order Date]])</f>
        <v>2024</v>
      </c>
      <c r="D98" s="2">
        <f>DATE(YEAR(OrdersTable[[#This Row],[Order Date]]),MONTH(OrdersTable[[#This Row],[Order Date]]),1)</f>
        <v>45292</v>
      </c>
      <c r="E98">
        <f>MONTH(OrdersTable[[#This Row],[Order Date]])</f>
        <v>1</v>
      </c>
      <c r="F98" t="s">
        <v>307</v>
      </c>
      <c r="G98" t="str">
        <f>IF(OrdersTable[[#This Row],[Order Date]]=_xlfn.MINIFS(Order_Date, Customer_ID, OrdersTable[[#This Row],[Customer ID]]), "New", "Repeat")</f>
        <v>New</v>
      </c>
      <c r="H98" t="s">
        <v>71</v>
      </c>
      <c r="I98" t="str">
        <f>INDEX(State!B:B,MATCH(OrdersTable[[#This Row],[State]],State!A:A,0))</f>
        <v>MH</v>
      </c>
      <c r="J98" t="str">
        <f>INDEX(State!C:C,MATCH(OrdersTable[[#This Row],[State Code]],State!B:B,0))</f>
        <v>West</v>
      </c>
      <c r="K98" t="s">
        <v>81</v>
      </c>
      <c r="L98" t="s">
        <v>39</v>
      </c>
      <c r="M98" t="s">
        <v>29</v>
      </c>
      <c r="N98" t="str">
        <f>INDEX(Products!B:B,MATCH(OrdersTable[[#This Row],[Product ID]],Products!A:A,0))</f>
        <v>Joggers</v>
      </c>
      <c r="O98" t="str">
        <f>INDEX(Products!C:C,MATCH(OrdersTable[[#This Row],[Product ID]],Products!A:A,0))</f>
        <v>Apparel</v>
      </c>
      <c r="P98">
        <v>4</v>
      </c>
      <c r="Q98" s="5">
        <v>1199</v>
      </c>
      <c r="R98" s="74">
        <v>0.05</v>
      </c>
      <c r="S98" s="75">
        <f>OrdersTable[[#This Row],[Quantity]]*OrdersTable[[#This Row],[Unit Price]]</f>
        <v>4796</v>
      </c>
      <c r="T98" s="5">
        <f>OrdersTable[[#This Row],[Gross Sale]]*OrdersTable[[#This Row],[Discount_Clean2]]</f>
        <v>239.8</v>
      </c>
      <c r="U98" s="5">
        <f>OrdersTable[[#This Row],[Gross Sale]]-OrdersTable[[#This Row],[Discount Amount]]</f>
        <v>4556.2</v>
      </c>
      <c r="V98" s="77">
        <f>INDEX(Products!E:E,MATCH(OrdersTable[[#This Row],[Product ID]],Products!A:A,0))</f>
        <v>492</v>
      </c>
      <c r="W98" s="77">
        <f>OrdersTable[[#This Row],[Quantity]]*OrdersTable[[#This Row],[Unit Cost]]</f>
        <v>1968</v>
      </c>
      <c r="X98" s="77">
        <f>'Dropdown Lists'!$I$2*(1+OrdersTable[[#This Row],[Returned]])</f>
        <v>60</v>
      </c>
      <c r="Y98" s="76">
        <f>OrdersTable[[#This Row],[Net Revenue]]-OrdersTable[[#This Row],[COGS]]-OrdersTable[[#This Row],[Shipping Cost]]</f>
        <v>2528.1999999999998</v>
      </c>
      <c r="Z98" s="78">
        <f>IFERROR(OrdersTable[[#This Row],[Profit]]/OrdersTable[[#This Row],[Net Revenue]],0)</f>
        <v>0.55489223475703431</v>
      </c>
      <c r="AA98" t="s">
        <v>3495</v>
      </c>
      <c r="AB98" s="79">
        <v>45312</v>
      </c>
      <c r="AC98">
        <f>OrdersTable[[#This Row],[Delivery Date]]-OrdersTable[[#This Row],[Order Date]]</f>
        <v>4</v>
      </c>
      <c r="AD98" t="str">
        <f>IF(OrdersTable[[#This Row],[Delivery Days]]&lt;=2, "Express (≤2d)", IF(OrdersTable[[#This Row],[Delivery Days]]&lt;=4, "Standard (3-4d)", "Delayed (5d+)"))</f>
        <v>Standard (3-4d)</v>
      </c>
      <c r="AF98">
        <v>0</v>
      </c>
    </row>
    <row r="99" spans="1:32" ht="15" x14ac:dyDescent="0.35">
      <c r="A99" t="s">
        <v>6457</v>
      </c>
      <c r="B99" s="1">
        <v>45309</v>
      </c>
      <c r="C99">
        <f>YEAR(OrdersTable[[#This Row],[Order Date]])</f>
        <v>2024</v>
      </c>
      <c r="D99" s="2">
        <f>DATE(YEAR(OrdersTable[[#This Row],[Order Date]]),MONTH(OrdersTable[[#This Row],[Order Date]]),1)</f>
        <v>45292</v>
      </c>
      <c r="E99">
        <f>MONTH(OrdersTable[[#This Row],[Order Date]])</f>
        <v>1</v>
      </c>
      <c r="F99" t="s">
        <v>5890</v>
      </c>
      <c r="G99" t="str">
        <f>IF(OrdersTable[[#This Row],[Order Date]]=_xlfn.MINIFS(Order_Date, Customer_ID, OrdersTable[[#This Row],[Customer ID]]), "New", "Repeat")</f>
        <v>New</v>
      </c>
      <c r="H99" t="s">
        <v>184</v>
      </c>
      <c r="I99" t="str">
        <f>INDEX(State!B:B,MATCH(OrdersTable[[#This Row],[State]],State!A:A,0))</f>
        <v>UK</v>
      </c>
      <c r="J99" t="str">
        <f>INDEX(State!C:C,MATCH(OrdersTable[[#This Row],[State Code]],State!B:B,0))</f>
        <v>North</v>
      </c>
      <c r="K99" t="s">
        <v>185</v>
      </c>
      <c r="L99" t="s">
        <v>50</v>
      </c>
      <c r="M99" t="s">
        <v>40</v>
      </c>
      <c r="N99" t="str">
        <f>INDEX(Products!B:B,MATCH(OrdersTable[[#This Row],[Product ID]],Products!A:A,0))</f>
        <v>Ashwagandha Capsules</v>
      </c>
      <c r="O99" t="str">
        <f>INDEX(Products!C:C,MATCH(OrdersTable[[#This Row],[Product ID]],Products!A:A,0))</f>
        <v>Wellness</v>
      </c>
      <c r="P99">
        <v>3</v>
      </c>
      <c r="Q99" s="5">
        <v>499</v>
      </c>
      <c r="R99" s="74">
        <v>0</v>
      </c>
      <c r="S99" s="75">
        <f>OrdersTable[[#This Row],[Quantity]]*OrdersTable[[#This Row],[Unit Price]]</f>
        <v>1497</v>
      </c>
      <c r="T99" s="5">
        <f>OrdersTable[[#This Row],[Gross Sale]]*OrdersTable[[#This Row],[Discount_Clean2]]</f>
        <v>0</v>
      </c>
      <c r="U99" s="5">
        <f>OrdersTable[[#This Row],[Gross Sale]]-OrdersTable[[#This Row],[Discount Amount]]</f>
        <v>1497</v>
      </c>
      <c r="V99" s="77">
        <f>INDEX(Products!E:E,MATCH(OrdersTable[[#This Row],[Product ID]],Products!A:A,0))</f>
        <v>150</v>
      </c>
      <c r="W99" s="77">
        <f>OrdersTable[[#This Row],[Quantity]]*OrdersTable[[#This Row],[Unit Cost]]</f>
        <v>450</v>
      </c>
      <c r="X99" s="77">
        <f>'Dropdown Lists'!$I$2*(1+OrdersTable[[#This Row],[Returned]])</f>
        <v>60</v>
      </c>
      <c r="Y99" s="76">
        <f>OrdersTable[[#This Row],[Net Revenue]]-OrdersTable[[#This Row],[COGS]]-OrdersTable[[#This Row],[Shipping Cost]]</f>
        <v>987</v>
      </c>
      <c r="Z99" s="78">
        <f>IFERROR(OrdersTable[[#This Row],[Profit]]/OrdersTable[[#This Row],[Net Revenue]],0)</f>
        <v>0.65931863727454909</v>
      </c>
      <c r="AA99" t="s">
        <v>18</v>
      </c>
      <c r="AB99" s="79">
        <v>45315</v>
      </c>
      <c r="AC99">
        <f>OrdersTable[[#This Row],[Delivery Date]]-OrdersTable[[#This Row],[Order Date]]</f>
        <v>6</v>
      </c>
      <c r="AD99" t="str">
        <f>IF(OrdersTable[[#This Row],[Delivery Days]]&lt;=2, "Express (≤2d)", IF(OrdersTable[[#This Row],[Delivery Days]]&lt;=4, "Standard (3-4d)", "Delayed (5d+)"))</f>
        <v>Delayed (5d+)</v>
      </c>
      <c r="AE99">
        <v>4</v>
      </c>
      <c r="AF99">
        <v>0</v>
      </c>
    </row>
    <row r="100" spans="1:32" ht="15" x14ac:dyDescent="0.35">
      <c r="A100" t="s">
        <v>5750</v>
      </c>
      <c r="B100" s="1">
        <v>45309</v>
      </c>
      <c r="C100">
        <f>YEAR(OrdersTable[[#This Row],[Order Date]])</f>
        <v>2024</v>
      </c>
      <c r="D100" s="2">
        <f>DATE(YEAR(OrdersTable[[#This Row],[Order Date]]),MONTH(OrdersTable[[#This Row],[Order Date]]),1)</f>
        <v>45292</v>
      </c>
      <c r="E100">
        <f>MONTH(OrdersTable[[#This Row],[Order Date]])</f>
        <v>1</v>
      </c>
      <c r="F100" t="s">
        <v>301</v>
      </c>
      <c r="G100" t="str">
        <f>IF(OrdersTable[[#This Row],[Order Date]]=_xlfn.MINIFS(Order_Date, Customer_ID, OrdersTable[[#This Row],[Customer ID]]), "New", "Repeat")</f>
        <v>New</v>
      </c>
      <c r="H100" t="s">
        <v>128</v>
      </c>
      <c r="I100" t="str">
        <f>INDEX(State!B:B,MATCH(OrdersTable[[#This Row],[State]],State!A:A,0))</f>
        <v>DL</v>
      </c>
      <c r="J100" t="str">
        <f>INDEX(State!C:C,MATCH(OrdersTable[[#This Row],[State Code]],State!B:B,0))</f>
        <v>North</v>
      </c>
      <c r="K100" t="s">
        <v>129</v>
      </c>
      <c r="L100" t="s">
        <v>23</v>
      </c>
      <c r="M100" t="s">
        <v>17</v>
      </c>
      <c r="N100" t="str">
        <f>INDEX(Products!B:B,MATCH(OrdersTable[[#This Row],[Product ID]],Products!A:A,0))</f>
        <v>Casual Sneakers</v>
      </c>
      <c r="O100" t="str">
        <f>INDEX(Products!C:C,MATCH(OrdersTable[[#This Row],[Product ID]],Products!A:A,0))</f>
        <v>Footwear</v>
      </c>
      <c r="P100">
        <v>2</v>
      </c>
      <c r="Q100" s="5">
        <v>2199</v>
      </c>
      <c r="R100" s="74">
        <v>0.2</v>
      </c>
      <c r="S100" s="75">
        <f>OrdersTable[[#This Row],[Quantity]]*OrdersTable[[#This Row],[Unit Price]]</f>
        <v>4398</v>
      </c>
      <c r="T100" s="5">
        <f>OrdersTable[[#This Row],[Gross Sale]]*OrdersTable[[#This Row],[Discount_Clean2]]</f>
        <v>879.6</v>
      </c>
      <c r="U100" s="5">
        <f>OrdersTable[[#This Row],[Gross Sale]]-OrdersTable[[#This Row],[Discount Amount]]</f>
        <v>3518.4</v>
      </c>
      <c r="V100" s="77">
        <f>INDEX(Products!E:E,MATCH(OrdersTable[[#This Row],[Product ID]],Products!A:A,0))</f>
        <v>1034</v>
      </c>
      <c r="W100" s="77">
        <f>OrdersTable[[#This Row],[Quantity]]*OrdersTable[[#This Row],[Unit Cost]]</f>
        <v>2068</v>
      </c>
      <c r="X100" s="77">
        <f>'Dropdown Lists'!$I$2*(1+OrdersTable[[#This Row],[Returned]])</f>
        <v>60</v>
      </c>
      <c r="Y100" s="76">
        <f>OrdersTable[[#This Row],[Net Revenue]]-OrdersTable[[#This Row],[COGS]]-OrdersTable[[#This Row],[Shipping Cost]]</f>
        <v>1390.4</v>
      </c>
      <c r="Z100" s="78">
        <f>IFERROR(OrdersTable[[#This Row],[Profit]]/OrdersTable[[#This Row],[Net Revenue]],0)</f>
        <v>0.39517962710322874</v>
      </c>
      <c r="AA100" t="s">
        <v>18</v>
      </c>
      <c r="AB100" s="79">
        <v>45311</v>
      </c>
      <c r="AC100">
        <f>OrdersTable[[#This Row],[Delivery Date]]-OrdersTable[[#This Row],[Order Date]]</f>
        <v>2</v>
      </c>
      <c r="AD100" t="str">
        <f>IF(OrdersTable[[#This Row],[Delivery Days]]&lt;=2, "Express (≤2d)", IF(OrdersTable[[#This Row],[Delivery Days]]&lt;=4, "Standard (3-4d)", "Delayed (5d+)"))</f>
        <v>Express (≤2d)</v>
      </c>
      <c r="AE100">
        <v>5</v>
      </c>
      <c r="AF100">
        <v>0</v>
      </c>
    </row>
    <row r="101" spans="1:32" ht="15" x14ac:dyDescent="0.35">
      <c r="A101" t="s">
        <v>5654</v>
      </c>
      <c r="B101" s="1">
        <v>45309</v>
      </c>
      <c r="C101">
        <f>YEAR(OrdersTable[[#This Row],[Order Date]])</f>
        <v>2024</v>
      </c>
      <c r="D101" s="2">
        <f>DATE(YEAR(OrdersTable[[#This Row],[Order Date]]),MONTH(OrdersTable[[#This Row],[Order Date]]),1)</f>
        <v>45292</v>
      </c>
      <c r="E101">
        <f>MONTH(OrdersTable[[#This Row],[Order Date]])</f>
        <v>1</v>
      </c>
      <c r="F101" t="s">
        <v>1267</v>
      </c>
      <c r="G101" t="str">
        <f>IF(OrdersTable[[#This Row],[Order Date]]=_xlfn.MINIFS(Order_Date, Customer_ID, OrdersTable[[#This Row],[Customer ID]]), "New", "Repeat")</f>
        <v>New</v>
      </c>
      <c r="H101" t="s">
        <v>123</v>
      </c>
      <c r="I101" t="str">
        <f>INDEX(State!B:B,MATCH(OrdersTable[[#This Row],[State]],State!A:A,0))</f>
        <v>JH</v>
      </c>
      <c r="J101" t="str">
        <f>INDEX(State!C:C,MATCH(OrdersTable[[#This Row],[State Code]],State!B:B,0))</f>
        <v>East</v>
      </c>
      <c r="K101" t="s">
        <v>124</v>
      </c>
      <c r="L101" t="s">
        <v>65</v>
      </c>
      <c r="M101" t="s">
        <v>205</v>
      </c>
      <c r="N101" t="str">
        <f>INDEX(Products!B:B,MATCH(OrdersTable[[#This Row],[Product ID]],Products!A:A,0))</f>
        <v>Running Shoes</v>
      </c>
      <c r="O101" t="str">
        <f>INDEX(Products!C:C,MATCH(OrdersTable[[#This Row],[Product ID]],Products!A:A,0))</f>
        <v>Footwear</v>
      </c>
      <c r="P101">
        <v>2</v>
      </c>
      <c r="Q101" s="5">
        <v>2999</v>
      </c>
      <c r="R101" s="74">
        <v>0.25</v>
      </c>
      <c r="S101" s="75">
        <f>OrdersTable[[#This Row],[Quantity]]*OrdersTable[[#This Row],[Unit Price]]</f>
        <v>5998</v>
      </c>
      <c r="T101" s="5">
        <f>OrdersTable[[#This Row],[Gross Sale]]*OrdersTable[[#This Row],[Discount_Clean2]]</f>
        <v>1499.5</v>
      </c>
      <c r="U101" s="5">
        <f>OrdersTable[[#This Row],[Gross Sale]]-OrdersTable[[#This Row],[Discount Amount]]</f>
        <v>4498.5</v>
      </c>
      <c r="V101" s="77">
        <f>INDEX(Products!E:E,MATCH(OrdersTable[[#This Row],[Product ID]],Products!A:A,0))</f>
        <v>1440</v>
      </c>
      <c r="W101" s="77">
        <f>OrdersTable[[#This Row],[Quantity]]*OrdersTable[[#This Row],[Unit Cost]]</f>
        <v>2880</v>
      </c>
      <c r="X101" s="77">
        <f>'Dropdown Lists'!$I$2*(1+OrdersTable[[#This Row],[Returned]])</f>
        <v>60</v>
      </c>
      <c r="Y101" s="76">
        <f>OrdersTable[[#This Row],[Net Revenue]]-OrdersTable[[#This Row],[COGS]]-OrdersTable[[#This Row],[Shipping Cost]]</f>
        <v>1558.5</v>
      </c>
      <c r="Z101" s="78">
        <f>IFERROR(OrdersTable[[#This Row],[Profit]]/OrdersTable[[#This Row],[Net Revenue]],0)</f>
        <v>0.34644881627209068</v>
      </c>
      <c r="AA101" t="s">
        <v>18</v>
      </c>
      <c r="AB101" s="79">
        <v>45314</v>
      </c>
      <c r="AC101">
        <f>OrdersTable[[#This Row],[Delivery Date]]-OrdersTable[[#This Row],[Order Date]]</f>
        <v>5</v>
      </c>
      <c r="AD101" t="str">
        <f>IF(OrdersTable[[#This Row],[Delivery Days]]&lt;=2, "Express (≤2d)", IF(OrdersTable[[#This Row],[Delivery Days]]&lt;=4, "Standard (3-4d)", "Delayed (5d+)"))</f>
        <v>Delayed (5d+)</v>
      </c>
      <c r="AE101">
        <v>3</v>
      </c>
      <c r="AF101">
        <v>0</v>
      </c>
    </row>
    <row r="102" spans="1:32" ht="15" x14ac:dyDescent="0.35">
      <c r="A102" t="s">
        <v>5848</v>
      </c>
      <c r="B102" s="1">
        <v>45309</v>
      </c>
      <c r="C102">
        <f>YEAR(OrdersTable[[#This Row],[Order Date]])</f>
        <v>2024</v>
      </c>
      <c r="D102" s="2">
        <f>DATE(YEAR(OrdersTable[[#This Row],[Order Date]]),MONTH(OrdersTable[[#This Row],[Order Date]]),1)</f>
        <v>45292</v>
      </c>
      <c r="E102">
        <f>MONTH(OrdersTable[[#This Row],[Order Date]])</f>
        <v>1</v>
      </c>
      <c r="F102" t="s">
        <v>4793</v>
      </c>
      <c r="G102" t="str">
        <f>IF(OrdersTable[[#This Row],[Order Date]]=_xlfn.MINIFS(Order_Date, Customer_ID, OrdersTable[[#This Row],[Customer ID]]), "New", "Repeat")</f>
        <v>New</v>
      </c>
      <c r="H102" t="s">
        <v>14</v>
      </c>
      <c r="I102" t="str">
        <f>INDEX(State!B:B,MATCH(OrdersTable[[#This Row],[State]],State!A:A,0))</f>
        <v>OD</v>
      </c>
      <c r="J102" t="str">
        <f>INDEX(State!C:C,MATCH(OrdersTable[[#This Row],[State Code]],State!B:B,0))</f>
        <v>East</v>
      </c>
      <c r="K102" t="s">
        <v>15</v>
      </c>
      <c r="L102" t="s">
        <v>65</v>
      </c>
      <c r="M102" t="s">
        <v>78</v>
      </c>
      <c r="N102" t="str">
        <f>INDEX(Products!B:B,MATCH(OrdersTable[[#This Row],[Product ID]],Products!A:A,0))</f>
        <v>Retinol Night Cream</v>
      </c>
      <c r="O102" t="str">
        <f>INDEX(Products!C:C,MATCH(OrdersTable[[#This Row],[Product ID]],Products!A:A,0))</f>
        <v>Skincare</v>
      </c>
      <c r="P102">
        <v>2</v>
      </c>
      <c r="Q102" s="5">
        <v>799</v>
      </c>
      <c r="R102" s="74">
        <v>0.15</v>
      </c>
      <c r="S102" s="75">
        <f>OrdersTable[[#This Row],[Quantity]]*OrdersTable[[#This Row],[Unit Price]]</f>
        <v>1598</v>
      </c>
      <c r="T102" s="5">
        <f>OrdersTable[[#This Row],[Gross Sale]]*OrdersTable[[#This Row],[Discount_Clean2]]</f>
        <v>239.7</v>
      </c>
      <c r="U102" s="5">
        <f>OrdersTable[[#This Row],[Gross Sale]]-OrdersTable[[#This Row],[Discount Amount]]</f>
        <v>1358.3</v>
      </c>
      <c r="V102" s="77">
        <f>INDEX(Products!E:E,MATCH(OrdersTable[[#This Row],[Product ID]],Products!A:A,0))</f>
        <v>216</v>
      </c>
      <c r="W102" s="77">
        <f>OrdersTable[[#This Row],[Quantity]]*OrdersTable[[#This Row],[Unit Cost]]</f>
        <v>432</v>
      </c>
      <c r="X102" s="77">
        <f>'Dropdown Lists'!$I$2*(1+OrdersTable[[#This Row],[Returned]])</f>
        <v>60</v>
      </c>
      <c r="Y102" s="76">
        <f>OrdersTable[[#This Row],[Net Revenue]]-OrdersTable[[#This Row],[COGS]]-OrdersTable[[#This Row],[Shipping Cost]]</f>
        <v>866.3</v>
      </c>
      <c r="Z102" s="78">
        <f>IFERROR(OrdersTable[[#This Row],[Profit]]/OrdersTable[[#This Row],[Net Revenue]],0)</f>
        <v>0.63778252227048515</v>
      </c>
      <c r="AA102" t="s">
        <v>18</v>
      </c>
      <c r="AB102" s="79">
        <v>45315</v>
      </c>
      <c r="AC102">
        <f>OrdersTable[[#This Row],[Delivery Date]]-OrdersTable[[#This Row],[Order Date]]</f>
        <v>6</v>
      </c>
      <c r="AD102" t="str">
        <f>IF(OrdersTable[[#This Row],[Delivery Days]]&lt;=2, "Express (≤2d)", IF(OrdersTable[[#This Row],[Delivery Days]]&lt;=4, "Standard (3-4d)", "Delayed (5d+)"))</f>
        <v>Delayed (5d+)</v>
      </c>
      <c r="AF102">
        <v>0</v>
      </c>
    </row>
    <row r="103" spans="1:32" ht="15" x14ac:dyDescent="0.35">
      <c r="A103" t="s">
        <v>3843</v>
      </c>
      <c r="B103" s="1">
        <v>45309</v>
      </c>
      <c r="C103">
        <f>YEAR(OrdersTable[[#This Row],[Order Date]])</f>
        <v>2024</v>
      </c>
      <c r="D103" s="2">
        <f>DATE(YEAR(OrdersTable[[#This Row],[Order Date]]),MONTH(OrdersTable[[#This Row],[Order Date]]),1)</f>
        <v>45292</v>
      </c>
      <c r="E103">
        <f>MONTH(OrdersTable[[#This Row],[Order Date]])</f>
        <v>1</v>
      </c>
      <c r="F103" t="s">
        <v>3844</v>
      </c>
      <c r="G103" t="str">
        <f>IF(OrdersTable[[#This Row],[Order Date]]=_xlfn.MINIFS(Order_Date, Customer_ID, OrdersTable[[#This Row],[Customer ID]]), "New", "Repeat")</f>
        <v>New</v>
      </c>
      <c r="H103" t="s">
        <v>14</v>
      </c>
      <c r="I103" t="str">
        <f>INDEX(State!B:B,MATCH(OrdersTable[[#This Row],[State]],State!A:A,0))</f>
        <v>OD</v>
      </c>
      <c r="J103" t="str">
        <f>INDEX(State!C:C,MATCH(OrdersTable[[#This Row],[State Code]],State!B:B,0))</f>
        <v>East</v>
      </c>
      <c r="K103" t="s">
        <v>15</v>
      </c>
      <c r="L103" t="s">
        <v>23</v>
      </c>
      <c r="M103" t="s">
        <v>160</v>
      </c>
      <c r="N103" t="str">
        <f>INDEX(Products!B:B,MATCH(OrdersTable[[#This Row],[Product ID]],Products!A:A,0))</f>
        <v>Niacinamide Toner</v>
      </c>
      <c r="O103" t="str">
        <f>INDEX(Products!C:C,MATCH(OrdersTable[[#This Row],[Product ID]],Products!A:A,0))</f>
        <v>Skincare</v>
      </c>
      <c r="P103">
        <v>1</v>
      </c>
      <c r="Q103" s="5">
        <v>399</v>
      </c>
      <c r="R103" s="74">
        <v>0.2</v>
      </c>
      <c r="S103" s="75">
        <f>OrdersTable[[#This Row],[Quantity]]*OrdersTable[[#This Row],[Unit Price]]</f>
        <v>399</v>
      </c>
      <c r="T103" s="5">
        <f>OrdersTable[[#This Row],[Gross Sale]]*OrdersTable[[#This Row],[Discount_Clean2]]</f>
        <v>79.800000000000011</v>
      </c>
      <c r="U103" s="5">
        <f>OrdersTable[[#This Row],[Gross Sale]]-OrdersTable[[#This Row],[Discount Amount]]</f>
        <v>319.2</v>
      </c>
      <c r="V103" s="77">
        <f>INDEX(Products!E:E,MATCH(OrdersTable[[#This Row],[Product ID]],Products!A:A,0))</f>
        <v>112</v>
      </c>
      <c r="W103" s="77">
        <f>OrdersTable[[#This Row],[Quantity]]*OrdersTable[[#This Row],[Unit Cost]]</f>
        <v>112</v>
      </c>
      <c r="X103" s="77">
        <f>'Dropdown Lists'!$I$2*(1+OrdersTable[[#This Row],[Returned]])</f>
        <v>120</v>
      </c>
      <c r="Y103" s="76">
        <f>OrdersTable[[#This Row],[Net Revenue]]-OrdersTable[[#This Row],[COGS]]-OrdersTable[[#This Row],[Shipping Cost]]</f>
        <v>87.199999999999989</v>
      </c>
      <c r="Z103" s="78">
        <f>IFERROR(OrdersTable[[#This Row],[Profit]]/OrdersTable[[#This Row],[Net Revenue]],0)</f>
        <v>0.27318295739348369</v>
      </c>
      <c r="AA103" t="s">
        <v>3495</v>
      </c>
      <c r="AB103" s="79">
        <v>45312</v>
      </c>
      <c r="AC103">
        <f>OrdersTable[[#This Row],[Delivery Date]]-OrdersTable[[#This Row],[Order Date]]</f>
        <v>3</v>
      </c>
      <c r="AD103" t="str">
        <f>IF(OrdersTable[[#This Row],[Delivery Days]]&lt;=2, "Express (≤2d)", IF(OrdersTable[[#This Row],[Delivery Days]]&lt;=4, "Standard (3-4d)", "Delayed (5d+)"))</f>
        <v>Standard (3-4d)</v>
      </c>
      <c r="AE103">
        <v>3</v>
      </c>
      <c r="AF103">
        <v>1</v>
      </c>
    </row>
    <row r="104" spans="1:32" ht="15" x14ac:dyDescent="0.35">
      <c r="A104" t="s">
        <v>4075</v>
      </c>
      <c r="B104" s="1">
        <v>45309</v>
      </c>
      <c r="C104">
        <f>YEAR(OrdersTable[[#This Row],[Order Date]])</f>
        <v>2024</v>
      </c>
      <c r="D104" s="2">
        <f>DATE(YEAR(OrdersTable[[#This Row],[Order Date]]),MONTH(OrdersTable[[#This Row],[Order Date]]),1)</f>
        <v>45292</v>
      </c>
      <c r="E104">
        <f>MONTH(OrdersTable[[#This Row],[Order Date]])</f>
        <v>1</v>
      </c>
      <c r="F104" t="s">
        <v>4076</v>
      </c>
      <c r="G104" t="str">
        <f>IF(OrdersTable[[#This Row],[Order Date]]=_xlfn.MINIFS(Order_Date, Customer_ID, OrdersTable[[#This Row],[Customer ID]]), "New", "Repeat")</f>
        <v>New</v>
      </c>
      <c r="H104" t="s">
        <v>167</v>
      </c>
      <c r="I104" t="str">
        <f>INDEX(State!B:B,MATCH(OrdersTable[[#This Row],[State]],State!A:A,0))</f>
        <v>KA</v>
      </c>
      <c r="J104" t="str">
        <f>INDEX(State!C:C,MATCH(OrdersTable[[#This Row],[State Code]],State!B:B,0))</f>
        <v>South</v>
      </c>
      <c r="K104" t="s">
        <v>190</v>
      </c>
      <c r="L104" t="s">
        <v>65</v>
      </c>
      <c r="M104" t="s">
        <v>40</v>
      </c>
      <c r="N104" t="str">
        <f>INDEX(Products!B:B,MATCH(OrdersTable[[#This Row],[Product ID]],Products!A:A,0))</f>
        <v>Ashwagandha Capsules</v>
      </c>
      <c r="O104" t="str">
        <f>INDEX(Products!C:C,MATCH(OrdersTable[[#This Row],[Product ID]],Products!A:A,0))</f>
        <v>Wellness</v>
      </c>
      <c r="P104">
        <v>1</v>
      </c>
      <c r="Q104" s="5">
        <v>499</v>
      </c>
      <c r="R104" s="74">
        <v>0</v>
      </c>
      <c r="S104" s="75">
        <f>OrdersTable[[#This Row],[Quantity]]*OrdersTable[[#This Row],[Unit Price]]</f>
        <v>499</v>
      </c>
      <c r="T104" s="5">
        <f>OrdersTable[[#This Row],[Gross Sale]]*OrdersTable[[#This Row],[Discount_Clean2]]</f>
        <v>0</v>
      </c>
      <c r="U104" s="5">
        <f>OrdersTable[[#This Row],[Gross Sale]]-OrdersTable[[#This Row],[Discount Amount]]</f>
        <v>499</v>
      </c>
      <c r="V104" s="77">
        <f>INDEX(Products!E:E,MATCH(OrdersTable[[#This Row],[Product ID]],Products!A:A,0))</f>
        <v>150</v>
      </c>
      <c r="W104" s="77">
        <f>OrdersTable[[#This Row],[Quantity]]*OrdersTable[[#This Row],[Unit Cost]]</f>
        <v>150</v>
      </c>
      <c r="X104" s="77">
        <f>'Dropdown Lists'!$I$2*(1+OrdersTable[[#This Row],[Returned]])</f>
        <v>60</v>
      </c>
      <c r="Y104" s="76">
        <f>OrdersTable[[#This Row],[Net Revenue]]-OrdersTable[[#This Row],[COGS]]-OrdersTable[[#This Row],[Shipping Cost]]</f>
        <v>289</v>
      </c>
      <c r="Z104" s="78">
        <f>IFERROR(OrdersTable[[#This Row],[Profit]]/OrdersTable[[#This Row],[Net Revenue]],0)</f>
        <v>0.57915831663326656</v>
      </c>
      <c r="AA104" t="s">
        <v>4074</v>
      </c>
      <c r="AB104" s="79">
        <v>45310</v>
      </c>
      <c r="AC104">
        <f>OrdersTable[[#This Row],[Delivery Date]]-OrdersTable[[#This Row],[Order Date]]</f>
        <v>1</v>
      </c>
      <c r="AD104" t="str">
        <f>IF(OrdersTable[[#This Row],[Delivery Days]]&lt;=2, "Express (≤2d)", IF(OrdersTable[[#This Row],[Delivery Days]]&lt;=4, "Standard (3-4d)", "Delayed (5d+)"))</f>
        <v>Express (≤2d)</v>
      </c>
      <c r="AE104">
        <v>5</v>
      </c>
      <c r="AF104">
        <v>0</v>
      </c>
    </row>
    <row r="105" spans="1:32" ht="15" x14ac:dyDescent="0.35">
      <c r="A105" t="s">
        <v>1039</v>
      </c>
      <c r="B105" s="1">
        <v>45310</v>
      </c>
      <c r="C105">
        <f>YEAR(OrdersTable[[#This Row],[Order Date]])</f>
        <v>2024</v>
      </c>
      <c r="D105" s="2">
        <f>DATE(YEAR(OrdersTable[[#This Row],[Order Date]]),MONTH(OrdersTable[[#This Row],[Order Date]]),1)</f>
        <v>45292</v>
      </c>
      <c r="E105">
        <f>MONTH(OrdersTable[[#This Row],[Order Date]])</f>
        <v>1</v>
      </c>
      <c r="F105" t="s">
        <v>1040</v>
      </c>
      <c r="G105" t="str">
        <f>IF(OrdersTable[[#This Row],[Order Date]]=_xlfn.MINIFS(Order_Date, Customer_ID, OrdersTable[[#This Row],[Customer ID]]), "New", "Repeat")</f>
        <v>New</v>
      </c>
      <c r="H105" t="s">
        <v>210</v>
      </c>
      <c r="I105" t="str">
        <f>INDEX(State!B:B,MATCH(OrdersTable[[#This Row],[State]],State!A:A,0))</f>
        <v>JK</v>
      </c>
      <c r="J105" t="str">
        <f>INDEX(State!C:C,MATCH(OrdersTable[[#This Row],[State Code]],State!B:B,0))</f>
        <v>North</v>
      </c>
      <c r="K105" t="s">
        <v>415</v>
      </c>
      <c r="L105" t="s">
        <v>23</v>
      </c>
      <c r="M105" t="s">
        <v>78</v>
      </c>
      <c r="N105" t="str">
        <f>INDEX(Products!B:B,MATCH(OrdersTable[[#This Row],[Product ID]],Products!A:A,0))</f>
        <v>Retinol Night Cream</v>
      </c>
      <c r="O105" t="str">
        <f>INDEX(Products!C:C,MATCH(OrdersTable[[#This Row],[Product ID]],Products!A:A,0))</f>
        <v>Skincare</v>
      </c>
      <c r="P105">
        <v>1</v>
      </c>
      <c r="Q105" s="5">
        <v>799</v>
      </c>
      <c r="R105" s="74">
        <v>0</v>
      </c>
      <c r="S105" s="75">
        <f>OrdersTable[[#This Row],[Quantity]]*OrdersTable[[#This Row],[Unit Price]]</f>
        <v>799</v>
      </c>
      <c r="T105" s="5">
        <f>OrdersTable[[#This Row],[Gross Sale]]*OrdersTable[[#This Row],[Discount_Clean2]]</f>
        <v>0</v>
      </c>
      <c r="U105" s="5">
        <f>OrdersTable[[#This Row],[Gross Sale]]-OrdersTable[[#This Row],[Discount Amount]]</f>
        <v>799</v>
      </c>
      <c r="V105" s="77">
        <f>INDEX(Products!E:E,MATCH(OrdersTable[[#This Row],[Product ID]],Products!A:A,0))</f>
        <v>216</v>
      </c>
      <c r="W105" s="77">
        <f>OrdersTable[[#This Row],[Quantity]]*OrdersTable[[#This Row],[Unit Cost]]</f>
        <v>216</v>
      </c>
      <c r="X105" s="77">
        <f>'Dropdown Lists'!$I$2*(1+OrdersTable[[#This Row],[Returned]])</f>
        <v>120</v>
      </c>
      <c r="Y105" s="76">
        <f>OrdersTable[[#This Row],[Net Revenue]]-OrdersTable[[#This Row],[COGS]]-OrdersTable[[#This Row],[Shipping Cost]]</f>
        <v>463</v>
      </c>
      <c r="Z105" s="78">
        <f>IFERROR(OrdersTable[[#This Row],[Profit]]/OrdersTable[[#This Row],[Net Revenue]],0)</f>
        <v>0.57947434292866085</v>
      </c>
      <c r="AA105" t="s">
        <v>18</v>
      </c>
      <c r="AB105" s="79">
        <v>45316</v>
      </c>
      <c r="AC105">
        <f>OrdersTable[[#This Row],[Delivery Date]]-OrdersTable[[#This Row],[Order Date]]</f>
        <v>6</v>
      </c>
      <c r="AD105" t="str">
        <f>IF(OrdersTable[[#This Row],[Delivery Days]]&lt;=2, "Express (≤2d)", IF(OrdersTable[[#This Row],[Delivery Days]]&lt;=4, "Standard (3-4d)", "Delayed (5d+)"))</f>
        <v>Delayed (5d+)</v>
      </c>
      <c r="AE105">
        <v>4</v>
      </c>
      <c r="AF105">
        <v>1</v>
      </c>
    </row>
    <row r="106" spans="1:32" ht="15" x14ac:dyDescent="0.35">
      <c r="A106" t="s">
        <v>6458</v>
      </c>
      <c r="B106" s="1">
        <v>45310</v>
      </c>
      <c r="C106">
        <f>YEAR(OrdersTable[[#This Row],[Order Date]])</f>
        <v>2024</v>
      </c>
      <c r="D106" s="2">
        <f>DATE(YEAR(OrdersTable[[#This Row],[Order Date]]),MONTH(OrdersTable[[#This Row],[Order Date]]),1)</f>
        <v>45292</v>
      </c>
      <c r="E106">
        <f>MONTH(OrdersTable[[#This Row],[Order Date]])</f>
        <v>1</v>
      </c>
      <c r="F106" t="s">
        <v>2639</v>
      </c>
      <c r="G106" t="str">
        <f>IF(OrdersTable[[#This Row],[Order Date]]=_xlfn.MINIFS(Order_Date, Customer_ID, OrdersTable[[#This Row],[Customer ID]]), "New", "Repeat")</f>
        <v>New</v>
      </c>
      <c r="H106" t="s">
        <v>76</v>
      </c>
      <c r="I106" t="str">
        <f>INDEX(State!B:B,MATCH(OrdersTable[[#This Row],[State]],State!A:A,0))</f>
        <v>UP</v>
      </c>
      <c r="J106" t="str">
        <f>INDEX(State!C:C,MATCH(OrdersTable[[#This Row],[State Code]],State!B:B,0))</f>
        <v>North</v>
      </c>
      <c r="K106" t="s">
        <v>105</v>
      </c>
      <c r="L106" t="s">
        <v>16</v>
      </c>
      <c r="M106" t="s">
        <v>92</v>
      </c>
      <c r="N106" t="str">
        <f>INDEX(Products!B:B,MATCH(OrdersTable[[#This Row],[Product ID]],Products!A:A,0))</f>
        <v>Kolhapuri Sandals</v>
      </c>
      <c r="O106" t="str">
        <f>INDEX(Products!C:C,MATCH(OrdersTable[[#This Row],[Product ID]],Products!A:A,0))</f>
        <v>Footwear</v>
      </c>
      <c r="P106">
        <v>3</v>
      </c>
      <c r="Q106" s="5">
        <v>999</v>
      </c>
      <c r="R106" s="74">
        <v>0.15</v>
      </c>
      <c r="S106" s="75">
        <f>OrdersTable[[#This Row],[Quantity]]*OrdersTable[[#This Row],[Unit Price]]</f>
        <v>2997</v>
      </c>
      <c r="T106" s="5">
        <f>OrdersTable[[#This Row],[Gross Sale]]*OrdersTable[[#This Row],[Discount_Clean2]]</f>
        <v>449.55</v>
      </c>
      <c r="U106" s="5">
        <f>OrdersTable[[#This Row],[Gross Sale]]-OrdersTable[[#This Row],[Discount Amount]]</f>
        <v>2547.4499999999998</v>
      </c>
      <c r="V106" s="77">
        <f>INDEX(Products!E:E,MATCH(OrdersTable[[#This Row],[Product ID]],Products!A:A,0))</f>
        <v>400</v>
      </c>
      <c r="W106" s="77">
        <f>OrdersTable[[#This Row],[Quantity]]*OrdersTable[[#This Row],[Unit Cost]]</f>
        <v>1200</v>
      </c>
      <c r="X106" s="77">
        <f>'Dropdown Lists'!$I$2*(1+OrdersTable[[#This Row],[Returned]])</f>
        <v>60</v>
      </c>
      <c r="Y106" s="76">
        <f>OrdersTable[[#This Row],[Net Revenue]]-OrdersTable[[#This Row],[COGS]]-OrdersTable[[#This Row],[Shipping Cost]]</f>
        <v>1287.4499999999998</v>
      </c>
      <c r="Z106" s="78">
        <f>IFERROR(OrdersTable[[#This Row],[Profit]]/OrdersTable[[#This Row],[Net Revenue]],0)</f>
        <v>0.50538774068185832</v>
      </c>
      <c r="AA106" t="s">
        <v>18</v>
      </c>
      <c r="AB106" s="79">
        <v>45311</v>
      </c>
      <c r="AC106">
        <f>OrdersTable[[#This Row],[Delivery Date]]-OrdersTable[[#This Row],[Order Date]]</f>
        <v>1</v>
      </c>
      <c r="AD106" t="str">
        <f>IF(OrdersTable[[#This Row],[Delivery Days]]&lt;=2, "Express (≤2d)", IF(OrdersTable[[#This Row],[Delivery Days]]&lt;=4, "Standard (3-4d)", "Delayed (5d+)"))</f>
        <v>Express (≤2d)</v>
      </c>
      <c r="AE106">
        <v>5</v>
      </c>
      <c r="AF106">
        <v>0</v>
      </c>
    </row>
    <row r="107" spans="1:32" ht="15" x14ac:dyDescent="0.35">
      <c r="A107" t="s">
        <v>1041</v>
      </c>
      <c r="B107" s="1">
        <v>45310</v>
      </c>
      <c r="C107">
        <f>YEAR(OrdersTable[[#This Row],[Order Date]])</f>
        <v>2024</v>
      </c>
      <c r="D107" s="2">
        <f>DATE(YEAR(OrdersTable[[#This Row],[Order Date]]),MONTH(OrdersTable[[#This Row],[Order Date]]),1)</f>
        <v>45292</v>
      </c>
      <c r="E107">
        <f>MONTH(OrdersTable[[#This Row],[Order Date]])</f>
        <v>1</v>
      </c>
      <c r="F107" t="s">
        <v>1042</v>
      </c>
      <c r="G107" t="str">
        <f>IF(OrdersTable[[#This Row],[Order Date]]=_xlfn.MINIFS(Order_Date, Customer_ID, OrdersTable[[#This Row],[Customer ID]]), "New", "Repeat")</f>
        <v>New</v>
      </c>
      <c r="H107" t="s">
        <v>76</v>
      </c>
      <c r="I107" t="str">
        <f>INDEX(State!B:B,MATCH(OrdersTable[[#This Row],[State]],State!A:A,0))</f>
        <v>UP</v>
      </c>
      <c r="J107" t="str">
        <f>INDEX(State!C:C,MATCH(OrdersTable[[#This Row],[State Code]],State!B:B,0))</f>
        <v>North</v>
      </c>
      <c r="K107" t="s">
        <v>105</v>
      </c>
      <c r="L107" t="s">
        <v>65</v>
      </c>
      <c r="M107" t="s">
        <v>56</v>
      </c>
      <c r="N107" t="str">
        <f>INDEX(Products!B:B,MATCH(OrdersTable[[#This Row],[Product ID]],Products!A:A,0))</f>
        <v>Vitamin C Face Serum</v>
      </c>
      <c r="O107" t="str">
        <f>INDEX(Products!C:C,MATCH(OrdersTable[[#This Row],[Product ID]],Products!A:A,0))</f>
        <v>Skincare</v>
      </c>
      <c r="P107">
        <v>1</v>
      </c>
      <c r="Q107" s="5">
        <v>599</v>
      </c>
      <c r="R107" s="74">
        <v>0.25</v>
      </c>
      <c r="S107" s="75">
        <f>OrdersTable[[#This Row],[Quantity]]*OrdersTable[[#This Row],[Unit Price]]</f>
        <v>599</v>
      </c>
      <c r="T107" s="5">
        <f>OrdersTable[[#This Row],[Gross Sale]]*OrdersTable[[#This Row],[Discount_Clean2]]</f>
        <v>149.75</v>
      </c>
      <c r="U107" s="5">
        <f>OrdersTable[[#This Row],[Gross Sale]]-OrdersTable[[#This Row],[Discount Amount]]</f>
        <v>449.25</v>
      </c>
      <c r="V107" s="77">
        <f>INDEX(Products!E:E,MATCH(OrdersTable[[#This Row],[Product ID]],Products!A:A,0))</f>
        <v>180</v>
      </c>
      <c r="W107" s="77">
        <f>OrdersTable[[#This Row],[Quantity]]*OrdersTable[[#This Row],[Unit Cost]]</f>
        <v>180</v>
      </c>
      <c r="X107" s="77">
        <f>'Dropdown Lists'!$I$2*(1+OrdersTable[[#This Row],[Returned]])</f>
        <v>120</v>
      </c>
      <c r="Y107" s="76">
        <f>OrdersTable[[#This Row],[Net Revenue]]-OrdersTable[[#This Row],[COGS]]-OrdersTable[[#This Row],[Shipping Cost]]</f>
        <v>149.25</v>
      </c>
      <c r="Z107" s="78">
        <f>IFERROR(OrdersTable[[#This Row],[Profit]]/OrdersTable[[#This Row],[Net Revenue]],0)</f>
        <v>0.332220367278798</v>
      </c>
      <c r="AA107" t="s">
        <v>18</v>
      </c>
      <c r="AB107" s="79">
        <v>45314</v>
      </c>
      <c r="AC107">
        <f>OrdersTable[[#This Row],[Delivery Date]]-OrdersTable[[#This Row],[Order Date]]</f>
        <v>4</v>
      </c>
      <c r="AD107" t="str">
        <f>IF(OrdersTable[[#This Row],[Delivery Days]]&lt;=2, "Express (≤2d)", IF(OrdersTable[[#This Row],[Delivery Days]]&lt;=4, "Standard (3-4d)", "Delayed (5d+)"))</f>
        <v>Standard (3-4d)</v>
      </c>
      <c r="AE107">
        <v>4</v>
      </c>
      <c r="AF107">
        <v>1</v>
      </c>
    </row>
    <row r="108" spans="1:32" ht="15" x14ac:dyDescent="0.35">
      <c r="A108" t="s">
        <v>5062</v>
      </c>
      <c r="B108" s="1">
        <v>45310</v>
      </c>
      <c r="C108">
        <f>YEAR(OrdersTable[[#This Row],[Order Date]])</f>
        <v>2024</v>
      </c>
      <c r="D108" s="2">
        <f>DATE(YEAR(OrdersTable[[#This Row],[Order Date]]),MONTH(OrdersTable[[#This Row],[Order Date]]),1)</f>
        <v>45292</v>
      </c>
      <c r="E108">
        <f>MONTH(OrdersTable[[#This Row],[Order Date]])</f>
        <v>1</v>
      </c>
      <c r="F108" t="s">
        <v>411</v>
      </c>
      <c r="G108" t="str">
        <f>IF(OrdersTable[[#This Row],[Order Date]]=_xlfn.MINIFS(Order_Date, Customer_ID, OrdersTable[[#This Row],[Customer ID]]), "New", "Repeat")</f>
        <v>New</v>
      </c>
      <c r="H108" t="s">
        <v>71</v>
      </c>
      <c r="I108" t="str">
        <f>INDEX(State!B:B,MATCH(OrdersTable[[#This Row],[State]],State!A:A,0))</f>
        <v>MH</v>
      </c>
      <c r="J108" t="str">
        <f>INDEX(State!C:C,MATCH(OrdersTable[[#This Row],[State Code]],State!B:B,0))</f>
        <v>West</v>
      </c>
      <c r="K108" t="s">
        <v>102</v>
      </c>
      <c r="L108" t="s">
        <v>23</v>
      </c>
      <c r="M108" t="s">
        <v>152</v>
      </c>
      <c r="N108" t="str">
        <f>INDEX(Products!B:B,MATCH(OrdersTable[[#This Row],[Product ID]],Products!A:A,0))</f>
        <v>Green Tea (100 bags)</v>
      </c>
      <c r="O108" t="str">
        <f>INDEX(Products!C:C,MATCH(OrdersTable[[#This Row],[Product ID]],Products!A:A,0))</f>
        <v>Wellness</v>
      </c>
      <c r="P108">
        <v>2</v>
      </c>
      <c r="Q108" s="5">
        <v>399</v>
      </c>
      <c r="R108" s="74">
        <v>0.35</v>
      </c>
      <c r="S108" s="75">
        <f>OrdersTable[[#This Row],[Quantity]]*OrdersTable[[#This Row],[Unit Price]]</f>
        <v>798</v>
      </c>
      <c r="T108" s="5">
        <f>OrdersTable[[#This Row],[Gross Sale]]*OrdersTable[[#This Row],[Discount_Clean2]]</f>
        <v>279.29999999999995</v>
      </c>
      <c r="U108" s="5">
        <f>OrdersTable[[#This Row],[Gross Sale]]-OrdersTable[[#This Row],[Discount Amount]]</f>
        <v>518.70000000000005</v>
      </c>
      <c r="V108" s="77">
        <f>INDEX(Products!E:E,MATCH(OrdersTable[[#This Row],[Product ID]],Products!A:A,0))</f>
        <v>128</v>
      </c>
      <c r="W108" s="77">
        <f>OrdersTable[[#This Row],[Quantity]]*OrdersTable[[#This Row],[Unit Cost]]</f>
        <v>256</v>
      </c>
      <c r="X108" s="77">
        <f>'Dropdown Lists'!$I$2*(1+OrdersTable[[#This Row],[Returned]])</f>
        <v>60</v>
      </c>
      <c r="Y108" s="76">
        <f>OrdersTable[[#This Row],[Net Revenue]]-OrdersTable[[#This Row],[COGS]]-OrdersTable[[#This Row],[Shipping Cost]]</f>
        <v>202.70000000000005</v>
      </c>
      <c r="Z108" s="78">
        <f>IFERROR(OrdersTable[[#This Row],[Profit]]/OrdersTable[[#This Row],[Net Revenue]],0)</f>
        <v>0.39078465394254874</v>
      </c>
      <c r="AA108" t="s">
        <v>3495</v>
      </c>
      <c r="AB108" s="79">
        <v>45312</v>
      </c>
      <c r="AC108">
        <f>OrdersTable[[#This Row],[Delivery Date]]-OrdersTable[[#This Row],[Order Date]]</f>
        <v>2</v>
      </c>
      <c r="AD108" t="str">
        <f>IF(OrdersTable[[#This Row],[Delivery Days]]&lt;=2, "Express (≤2d)", IF(OrdersTable[[#This Row],[Delivery Days]]&lt;=4, "Standard (3-4d)", "Delayed (5d+)"))</f>
        <v>Express (≤2d)</v>
      </c>
      <c r="AE108">
        <v>4</v>
      </c>
      <c r="AF108">
        <v>0</v>
      </c>
    </row>
    <row r="109" spans="1:32" ht="15" x14ac:dyDescent="0.35">
      <c r="A109" t="s">
        <v>5563</v>
      </c>
      <c r="B109" s="1">
        <v>45310</v>
      </c>
      <c r="C109">
        <f>YEAR(OrdersTable[[#This Row],[Order Date]])</f>
        <v>2024</v>
      </c>
      <c r="D109" s="2">
        <f>DATE(YEAR(OrdersTable[[#This Row],[Order Date]]),MONTH(OrdersTable[[#This Row],[Order Date]]),1)</f>
        <v>45292</v>
      </c>
      <c r="E109">
        <f>MONTH(OrdersTable[[#This Row],[Order Date]])</f>
        <v>1</v>
      </c>
      <c r="F109" t="s">
        <v>3759</v>
      </c>
      <c r="G109" t="str">
        <f>IF(OrdersTable[[#This Row],[Order Date]]=_xlfn.MINIFS(Order_Date, Customer_ID, OrdersTable[[#This Row],[Customer ID]]), "New", "Repeat")</f>
        <v>New</v>
      </c>
      <c r="H109" t="s">
        <v>167</v>
      </c>
      <c r="I109" t="str">
        <f>INDEX(State!B:B,MATCH(OrdersTable[[#This Row],[State]],State!A:A,0))</f>
        <v>KA</v>
      </c>
      <c r="J109" t="str">
        <f>INDEX(State!C:C,MATCH(OrdersTable[[#This Row],[State Code]],State!B:B,0))</f>
        <v>South</v>
      </c>
      <c r="K109" t="s">
        <v>168</v>
      </c>
      <c r="L109" t="s">
        <v>50</v>
      </c>
      <c r="M109" t="s">
        <v>51</v>
      </c>
      <c r="N109" t="str">
        <f>INDEX(Products!B:B,MATCH(OrdersTable[[#This Row],[Product ID]],Products!A:A,0))</f>
        <v>Anti-Dandruff Conditioner</v>
      </c>
      <c r="O109" t="str">
        <f>INDEX(Products!C:C,MATCH(OrdersTable[[#This Row],[Product ID]],Products!A:A,0))</f>
        <v>Haircare</v>
      </c>
      <c r="P109">
        <v>2</v>
      </c>
      <c r="Q109" s="5">
        <v>399</v>
      </c>
      <c r="R109" s="74">
        <v>0.3</v>
      </c>
      <c r="S109" s="75">
        <f>OrdersTable[[#This Row],[Quantity]]*OrdersTable[[#This Row],[Unit Price]]</f>
        <v>798</v>
      </c>
      <c r="T109" s="5">
        <f>OrdersTable[[#This Row],[Gross Sale]]*OrdersTable[[#This Row],[Discount_Clean2]]</f>
        <v>239.39999999999998</v>
      </c>
      <c r="U109" s="5">
        <f>OrdersTable[[#This Row],[Gross Sale]]-OrdersTable[[#This Row],[Discount Amount]]</f>
        <v>558.6</v>
      </c>
      <c r="V109" s="77">
        <f>INDEX(Products!E:E,MATCH(OrdersTable[[#This Row],[Product ID]],Products!A:A,0))</f>
        <v>136</v>
      </c>
      <c r="W109" s="77">
        <f>OrdersTable[[#This Row],[Quantity]]*OrdersTable[[#This Row],[Unit Cost]]</f>
        <v>272</v>
      </c>
      <c r="X109" s="77">
        <f>'Dropdown Lists'!$I$2*(1+OrdersTable[[#This Row],[Returned]])</f>
        <v>60</v>
      </c>
      <c r="Y109" s="76">
        <f>OrdersTable[[#This Row],[Net Revenue]]-OrdersTable[[#This Row],[COGS]]-OrdersTable[[#This Row],[Shipping Cost]]</f>
        <v>226.60000000000002</v>
      </c>
      <c r="Z109" s="78">
        <f>IFERROR(OrdersTable[[#This Row],[Profit]]/OrdersTable[[#This Row],[Net Revenue]],0)</f>
        <v>0.40565699964196206</v>
      </c>
      <c r="AA109" t="s">
        <v>2522</v>
      </c>
      <c r="AB109" s="79">
        <v>45313</v>
      </c>
      <c r="AC109">
        <f>OrdersTable[[#This Row],[Delivery Date]]-OrdersTable[[#This Row],[Order Date]]</f>
        <v>3</v>
      </c>
      <c r="AD109" t="str">
        <f>IF(OrdersTable[[#This Row],[Delivery Days]]&lt;=2, "Express (≤2d)", IF(OrdersTable[[#This Row],[Delivery Days]]&lt;=4, "Standard (3-4d)", "Delayed (5d+)"))</f>
        <v>Standard (3-4d)</v>
      </c>
      <c r="AE109">
        <v>5</v>
      </c>
      <c r="AF109">
        <v>0</v>
      </c>
    </row>
    <row r="110" spans="1:32" ht="15" x14ac:dyDescent="0.35">
      <c r="A110" t="s">
        <v>4077</v>
      </c>
      <c r="B110" s="1">
        <v>45310</v>
      </c>
      <c r="C110">
        <f>YEAR(OrdersTable[[#This Row],[Order Date]])</f>
        <v>2024</v>
      </c>
      <c r="D110" s="2">
        <f>DATE(YEAR(OrdersTable[[#This Row],[Order Date]]),MONTH(OrdersTable[[#This Row],[Order Date]]),1)</f>
        <v>45292</v>
      </c>
      <c r="E110">
        <f>MONTH(OrdersTable[[#This Row],[Order Date]])</f>
        <v>1</v>
      </c>
      <c r="F110" t="s">
        <v>2332</v>
      </c>
      <c r="G110" t="str">
        <f>IF(OrdersTable[[#This Row],[Order Date]]=_xlfn.MINIFS(Order_Date, Customer_ID, OrdersTable[[#This Row],[Customer ID]]), "New", "Repeat")</f>
        <v>New</v>
      </c>
      <c r="H110" t="s">
        <v>167</v>
      </c>
      <c r="I110" t="str">
        <f>INDEX(State!B:B,MATCH(OrdersTable[[#This Row],[State]],State!A:A,0))</f>
        <v>KA</v>
      </c>
      <c r="J110" t="str">
        <f>INDEX(State!C:C,MATCH(OrdersTable[[#This Row],[State Code]],State!B:B,0))</f>
        <v>South</v>
      </c>
      <c r="K110" t="s">
        <v>168</v>
      </c>
      <c r="L110" t="s">
        <v>50</v>
      </c>
      <c r="M110" t="s">
        <v>66</v>
      </c>
      <c r="N110" t="str">
        <f>INDEX(Products!B:B,MATCH(OrdersTable[[#This Row],[Product ID]],Products!A:A,0))</f>
        <v>Sunscreen SPF 50</v>
      </c>
      <c r="O110" t="str">
        <f>INDEX(Products!C:C,MATCH(OrdersTable[[#This Row],[Product ID]],Products!A:A,0))</f>
        <v>Skincare</v>
      </c>
      <c r="P110">
        <v>1</v>
      </c>
      <c r="Q110" s="5">
        <v>449</v>
      </c>
      <c r="R110" s="74">
        <v>0.05</v>
      </c>
      <c r="S110" s="75">
        <f>OrdersTable[[#This Row],[Quantity]]*OrdersTable[[#This Row],[Unit Price]]</f>
        <v>449</v>
      </c>
      <c r="T110" s="5">
        <f>OrdersTable[[#This Row],[Gross Sale]]*OrdersTable[[#This Row],[Discount_Clean2]]</f>
        <v>22.450000000000003</v>
      </c>
      <c r="U110" s="5">
        <f>OrdersTable[[#This Row],[Gross Sale]]-OrdersTable[[#This Row],[Discount Amount]]</f>
        <v>426.55</v>
      </c>
      <c r="V110" s="77">
        <f>INDEX(Products!E:E,MATCH(OrdersTable[[#This Row],[Product ID]],Products!A:A,0))</f>
        <v>144</v>
      </c>
      <c r="W110" s="77">
        <f>OrdersTable[[#This Row],[Quantity]]*OrdersTable[[#This Row],[Unit Cost]]</f>
        <v>144</v>
      </c>
      <c r="X110" s="77">
        <f>'Dropdown Lists'!$I$2*(1+OrdersTable[[#This Row],[Returned]])</f>
        <v>60</v>
      </c>
      <c r="Y110" s="76">
        <f>OrdersTable[[#This Row],[Net Revenue]]-OrdersTable[[#This Row],[COGS]]-OrdersTable[[#This Row],[Shipping Cost]]</f>
        <v>222.55</v>
      </c>
      <c r="Z110" s="78">
        <f>IFERROR(OrdersTable[[#This Row],[Profit]]/OrdersTable[[#This Row],[Net Revenue]],0)</f>
        <v>0.52174422693705313</v>
      </c>
      <c r="AA110" t="s">
        <v>4074</v>
      </c>
      <c r="AB110" s="79">
        <v>45312</v>
      </c>
      <c r="AC110">
        <f>OrdersTable[[#This Row],[Delivery Date]]-OrdersTable[[#This Row],[Order Date]]</f>
        <v>2</v>
      </c>
      <c r="AD110" t="str">
        <f>IF(OrdersTable[[#This Row],[Delivery Days]]&lt;=2, "Express (≤2d)", IF(OrdersTable[[#This Row],[Delivery Days]]&lt;=4, "Standard (3-4d)", "Delayed (5d+)"))</f>
        <v>Express (≤2d)</v>
      </c>
      <c r="AE110">
        <v>3</v>
      </c>
      <c r="AF110">
        <v>0</v>
      </c>
    </row>
    <row r="111" spans="1:32" ht="15" x14ac:dyDescent="0.35">
      <c r="A111" t="s">
        <v>3950</v>
      </c>
      <c r="B111" s="1">
        <v>45310</v>
      </c>
      <c r="C111">
        <f>YEAR(OrdersTable[[#This Row],[Order Date]])</f>
        <v>2024</v>
      </c>
      <c r="D111" s="2">
        <f>DATE(YEAR(OrdersTable[[#This Row],[Order Date]]),MONTH(OrdersTable[[#This Row],[Order Date]]),1)</f>
        <v>45292</v>
      </c>
      <c r="E111">
        <f>MONTH(OrdersTable[[#This Row],[Order Date]])</f>
        <v>1</v>
      </c>
      <c r="F111" t="s">
        <v>427</v>
      </c>
      <c r="G111" t="str">
        <f>IF(OrdersTable[[#This Row],[Order Date]]=_xlfn.MINIFS(Order_Date, Customer_ID, OrdersTable[[#This Row],[Customer ID]]), "New", "Repeat")</f>
        <v>New</v>
      </c>
      <c r="H111" t="s">
        <v>275</v>
      </c>
      <c r="I111" t="str">
        <f>INDEX(State!B:B,MATCH(OrdersTable[[#This Row],[State]],State!A:A,0))</f>
        <v>AP</v>
      </c>
      <c r="J111" t="str">
        <f>INDEX(State!C:C,MATCH(OrdersTable[[#This Row],[State Code]],State!B:B,0))</f>
        <v>South</v>
      </c>
      <c r="K111" t="s">
        <v>276</v>
      </c>
      <c r="L111" t="s">
        <v>65</v>
      </c>
      <c r="M111" t="s">
        <v>34</v>
      </c>
      <c r="N111" t="str">
        <f>INDEX(Products!B:B,MATCH(OrdersTable[[#This Row],[Product ID]],Products!A:A,0))</f>
        <v>Flip Flops</v>
      </c>
      <c r="O111" t="str">
        <f>INDEX(Products!C:C,MATCH(OrdersTable[[#This Row],[Product ID]],Products!A:A,0))</f>
        <v>Footwear</v>
      </c>
      <c r="P111">
        <v>1</v>
      </c>
      <c r="Q111" s="5">
        <v>399</v>
      </c>
      <c r="R111" s="74">
        <v>0.1</v>
      </c>
      <c r="S111" s="75">
        <f>OrdersTable[[#This Row],[Quantity]]*OrdersTable[[#This Row],[Unit Price]]</f>
        <v>399</v>
      </c>
      <c r="T111" s="5">
        <f>OrdersTable[[#This Row],[Gross Sale]]*OrdersTable[[#This Row],[Discount_Clean2]]</f>
        <v>39.900000000000006</v>
      </c>
      <c r="U111" s="5">
        <f>OrdersTable[[#This Row],[Gross Sale]]-OrdersTable[[#This Row],[Discount Amount]]</f>
        <v>359.1</v>
      </c>
      <c r="V111" s="77">
        <f>INDEX(Products!E:E,MATCH(OrdersTable[[#This Row],[Product ID]],Products!A:A,0))</f>
        <v>152</v>
      </c>
      <c r="W111" s="77">
        <f>OrdersTable[[#This Row],[Quantity]]*OrdersTable[[#This Row],[Unit Cost]]</f>
        <v>152</v>
      </c>
      <c r="X111" s="77">
        <f>'Dropdown Lists'!$I$2*(1+OrdersTable[[#This Row],[Returned]])</f>
        <v>60</v>
      </c>
      <c r="Y111" s="76">
        <f>OrdersTable[[#This Row],[Net Revenue]]-OrdersTable[[#This Row],[COGS]]-OrdersTable[[#This Row],[Shipping Cost]]</f>
        <v>147.10000000000002</v>
      </c>
      <c r="Z111" s="78">
        <f>IFERROR(OrdersTable[[#This Row],[Profit]]/OrdersTable[[#This Row],[Net Revenue]],0)</f>
        <v>0.40963519910888335</v>
      </c>
      <c r="AA111" t="s">
        <v>3495</v>
      </c>
      <c r="AB111" s="79">
        <v>45312</v>
      </c>
      <c r="AC111">
        <f>OrdersTable[[#This Row],[Delivery Date]]-OrdersTable[[#This Row],[Order Date]]</f>
        <v>2</v>
      </c>
      <c r="AD111" t="str">
        <f>IF(OrdersTable[[#This Row],[Delivery Days]]&lt;=2, "Express (≤2d)", IF(OrdersTable[[#This Row],[Delivery Days]]&lt;=4, "Standard (3-4d)", "Delayed (5d+)"))</f>
        <v>Express (≤2d)</v>
      </c>
      <c r="AE111">
        <v>5</v>
      </c>
      <c r="AF111">
        <v>0</v>
      </c>
    </row>
    <row r="112" spans="1:32" ht="15" x14ac:dyDescent="0.35">
      <c r="A112" t="s">
        <v>3845</v>
      </c>
      <c r="B112" s="1">
        <v>45311</v>
      </c>
      <c r="C112">
        <f>YEAR(OrdersTable[[#This Row],[Order Date]])</f>
        <v>2024</v>
      </c>
      <c r="D112" s="2">
        <f>DATE(YEAR(OrdersTable[[#This Row],[Order Date]]),MONTH(OrdersTable[[#This Row],[Order Date]]),1)</f>
        <v>45292</v>
      </c>
      <c r="E112">
        <f>MONTH(OrdersTable[[#This Row],[Order Date]])</f>
        <v>1</v>
      </c>
      <c r="F112" t="s">
        <v>417</v>
      </c>
      <c r="G112" t="str">
        <f>IF(OrdersTable[[#This Row],[Order Date]]=_xlfn.MINIFS(Order_Date, Customer_ID, OrdersTable[[#This Row],[Customer ID]]), "New", "Repeat")</f>
        <v>New</v>
      </c>
      <c r="H112" t="s">
        <v>54</v>
      </c>
      <c r="I112" t="str">
        <f>INDEX(State!B:B,MATCH(OrdersTable[[#This Row],[State]],State!A:A,0))</f>
        <v>RJ</v>
      </c>
      <c r="J112" t="str">
        <f>INDEX(State!C:C,MATCH(OrdersTable[[#This Row],[State Code]],State!B:B,0))</f>
        <v>North</v>
      </c>
      <c r="K112" t="s">
        <v>227</v>
      </c>
      <c r="L112" t="s">
        <v>65</v>
      </c>
      <c r="M112" t="s">
        <v>160</v>
      </c>
      <c r="N112" t="str">
        <f>INDEX(Products!B:B,MATCH(OrdersTable[[#This Row],[Product ID]],Products!A:A,0))</f>
        <v>Niacinamide Toner</v>
      </c>
      <c r="O112" t="str">
        <f>INDEX(Products!C:C,MATCH(OrdersTable[[#This Row],[Product ID]],Products!A:A,0))</f>
        <v>Skincare</v>
      </c>
      <c r="P112">
        <v>1</v>
      </c>
      <c r="Q112" s="5">
        <v>399</v>
      </c>
      <c r="R112" s="74">
        <v>0.2</v>
      </c>
      <c r="S112" s="75">
        <f>OrdersTable[[#This Row],[Quantity]]*OrdersTable[[#This Row],[Unit Price]]</f>
        <v>399</v>
      </c>
      <c r="T112" s="5">
        <f>OrdersTable[[#This Row],[Gross Sale]]*OrdersTable[[#This Row],[Discount_Clean2]]</f>
        <v>79.800000000000011</v>
      </c>
      <c r="U112" s="5">
        <f>OrdersTable[[#This Row],[Gross Sale]]-OrdersTable[[#This Row],[Discount Amount]]</f>
        <v>319.2</v>
      </c>
      <c r="V112" s="77">
        <f>INDEX(Products!E:E,MATCH(OrdersTable[[#This Row],[Product ID]],Products!A:A,0))</f>
        <v>112</v>
      </c>
      <c r="W112" s="77">
        <f>OrdersTable[[#This Row],[Quantity]]*OrdersTable[[#This Row],[Unit Cost]]</f>
        <v>112</v>
      </c>
      <c r="X112" s="77">
        <f>'Dropdown Lists'!$I$2*(1+OrdersTable[[#This Row],[Returned]])</f>
        <v>60</v>
      </c>
      <c r="Y112" s="76">
        <f>OrdersTable[[#This Row],[Net Revenue]]-OrdersTable[[#This Row],[COGS]]-OrdersTable[[#This Row],[Shipping Cost]]</f>
        <v>147.19999999999999</v>
      </c>
      <c r="Z112" s="78">
        <f>IFERROR(OrdersTable[[#This Row],[Profit]]/OrdersTable[[#This Row],[Net Revenue]],0)</f>
        <v>0.46115288220551376</v>
      </c>
      <c r="AA112" t="s">
        <v>3495</v>
      </c>
      <c r="AB112" s="79">
        <v>45317</v>
      </c>
      <c r="AC112">
        <f>OrdersTable[[#This Row],[Delivery Date]]-OrdersTable[[#This Row],[Order Date]]</f>
        <v>6</v>
      </c>
      <c r="AD112" t="str">
        <f>IF(OrdersTable[[#This Row],[Delivery Days]]&lt;=2, "Express (≤2d)", IF(OrdersTable[[#This Row],[Delivery Days]]&lt;=4, "Standard (3-4d)", "Delayed (5d+)"))</f>
        <v>Delayed (5d+)</v>
      </c>
      <c r="AE112">
        <v>3</v>
      </c>
      <c r="AF112">
        <v>0</v>
      </c>
    </row>
    <row r="113" spans="1:32" ht="15" x14ac:dyDescent="0.35">
      <c r="A113" t="s">
        <v>2689</v>
      </c>
      <c r="B113" s="1">
        <v>45311</v>
      </c>
      <c r="C113">
        <f>YEAR(OrdersTable[[#This Row],[Order Date]])</f>
        <v>2024</v>
      </c>
      <c r="D113" s="2">
        <f>DATE(YEAR(OrdersTable[[#This Row],[Order Date]]),MONTH(OrdersTable[[#This Row],[Order Date]]),1)</f>
        <v>45292</v>
      </c>
      <c r="E113">
        <f>MONTH(OrdersTable[[#This Row],[Order Date]])</f>
        <v>1</v>
      </c>
      <c r="F113" t="s">
        <v>2690</v>
      </c>
      <c r="G113" t="str">
        <f>IF(OrdersTable[[#This Row],[Order Date]]=_xlfn.MINIFS(Order_Date, Customer_ID, OrdersTable[[#This Row],[Customer ID]]), "New", "Repeat")</f>
        <v>New</v>
      </c>
      <c r="H113" t="s">
        <v>54</v>
      </c>
      <c r="I113" t="str">
        <f>INDEX(State!B:B,MATCH(OrdersTable[[#This Row],[State]],State!A:A,0))</f>
        <v>RJ</v>
      </c>
      <c r="J113" t="str">
        <f>INDEX(State!C:C,MATCH(OrdersTable[[#This Row],[State Code]],State!B:B,0))</f>
        <v>North</v>
      </c>
      <c r="K113" t="s">
        <v>55</v>
      </c>
      <c r="L113" t="s">
        <v>39</v>
      </c>
      <c r="M113" t="s">
        <v>160</v>
      </c>
      <c r="N113" t="str">
        <f>INDEX(Products!B:B,MATCH(OrdersTable[[#This Row],[Product ID]],Products!A:A,0))</f>
        <v>Niacinamide Toner</v>
      </c>
      <c r="O113" t="str">
        <f>INDEX(Products!C:C,MATCH(OrdersTable[[#This Row],[Product ID]],Products!A:A,0))</f>
        <v>Skincare</v>
      </c>
      <c r="P113">
        <v>1</v>
      </c>
      <c r="Q113" s="5">
        <v>399</v>
      </c>
      <c r="R113" s="74">
        <v>0.2</v>
      </c>
      <c r="S113" s="75">
        <f>OrdersTable[[#This Row],[Quantity]]*OrdersTable[[#This Row],[Unit Price]]</f>
        <v>399</v>
      </c>
      <c r="T113" s="5">
        <f>OrdersTable[[#This Row],[Gross Sale]]*OrdersTable[[#This Row],[Discount_Clean2]]</f>
        <v>79.800000000000011</v>
      </c>
      <c r="U113" s="5">
        <f>OrdersTable[[#This Row],[Gross Sale]]-OrdersTable[[#This Row],[Discount Amount]]</f>
        <v>319.2</v>
      </c>
      <c r="V113" s="77">
        <f>INDEX(Products!E:E,MATCH(OrdersTable[[#This Row],[Product ID]],Products!A:A,0))</f>
        <v>112</v>
      </c>
      <c r="W113" s="77">
        <f>OrdersTable[[#This Row],[Quantity]]*OrdersTable[[#This Row],[Unit Cost]]</f>
        <v>112</v>
      </c>
      <c r="X113" s="77">
        <f>'Dropdown Lists'!$I$2*(1+OrdersTable[[#This Row],[Returned]])</f>
        <v>60</v>
      </c>
      <c r="Y113" s="76">
        <f>OrdersTable[[#This Row],[Net Revenue]]-OrdersTable[[#This Row],[COGS]]-OrdersTable[[#This Row],[Shipping Cost]]</f>
        <v>147.19999999999999</v>
      </c>
      <c r="Z113" s="78">
        <f>IFERROR(OrdersTable[[#This Row],[Profit]]/OrdersTable[[#This Row],[Net Revenue]],0)</f>
        <v>0.46115288220551376</v>
      </c>
      <c r="AA113" t="s">
        <v>2522</v>
      </c>
      <c r="AB113" s="79">
        <v>45316</v>
      </c>
      <c r="AC113">
        <f>OrdersTable[[#This Row],[Delivery Date]]-OrdersTable[[#This Row],[Order Date]]</f>
        <v>5</v>
      </c>
      <c r="AD113" t="str">
        <f>IF(OrdersTable[[#This Row],[Delivery Days]]&lt;=2, "Express (≤2d)", IF(OrdersTable[[#This Row],[Delivery Days]]&lt;=4, "Standard (3-4d)", "Delayed (5d+)"))</f>
        <v>Delayed (5d+)</v>
      </c>
      <c r="AE113">
        <v>3</v>
      </c>
      <c r="AF113">
        <v>0</v>
      </c>
    </row>
    <row r="114" spans="1:32" ht="15" x14ac:dyDescent="0.35">
      <c r="A114" t="s">
        <v>6459</v>
      </c>
      <c r="B114" s="1">
        <v>45311</v>
      </c>
      <c r="C114">
        <f>YEAR(OrdersTable[[#This Row],[Order Date]])</f>
        <v>2024</v>
      </c>
      <c r="D114" s="2">
        <f>DATE(YEAR(OrdersTable[[#This Row],[Order Date]]),MONTH(OrdersTable[[#This Row],[Order Date]]),1)</f>
        <v>45292</v>
      </c>
      <c r="E114">
        <f>MONTH(OrdersTable[[#This Row],[Order Date]])</f>
        <v>1</v>
      </c>
      <c r="F114" t="s">
        <v>3353</v>
      </c>
      <c r="G114" t="str">
        <f>IF(OrdersTable[[#This Row],[Order Date]]=_xlfn.MINIFS(Order_Date, Customer_ID, OrdersTable[[#This Row],[Customer ID]]), "New", "Repeat")</f>
        <v>New</v>
      </c>
      <c r="H114" t="s">
        <v>76</v>
      </c>
      <c r="I114" t="str">
        <f>INDEX(State!B:B,MATCH(OrdersTable[[#This Row],[State]],State!A:A,0))</f>
        <v>UP</v>
      </c>
      <c r="J114" t="str">
        <f>INDEX(State!C:C,MATCH(OrdersTable[[#This Row],[State Code]],State!B:B,0))</f>
        <v>North</v>
      </c>
      <c r="K114" t="s">
        <v>105</v>
      </c>
      <c r="L114" t="s">
        <v>39</v>
      </c>
      <c r="M114" t="s">
        <v>152</v>
      </c>
      <c r="N114" t="str">
        <f>INDEX(Products!B:B,MATCH(OrdersTable[[#This Row],[Product ID]],Products!A:A,0))</f>
        <v>Green Tea (100 bags)</v>
      </c>
      <c r="O114" t="str">
        <f>INDEX(Products!C:C,MATCH(OrdersTable[[#This Row],[Product ID]],Products!A:A,0))</f>
        <v>Wellness</v>
      </c>
      <c r="P114">
        <v>3</v>
      </c>
      <c r="Q114" s="5">
        <v>399</v>
      </c>
      <c r="R114" s="74">
        <v>0.4</v>
      </c>
      <c r="S114" s="75">
        <f>OrdersTable[[#This Row],[Quantity]]*OrdersTable[[#This Row],[Unit Price]]</f>
        <v>1197</v>
      </c>
      <c r="T114" s="5">
        <f>OrdersTable[[#This Row],[Gross Sale]]*OrdersTable[[#This Row],[Discount_Clean2]]</f>
        <v>478.8</v>
      </c>
      <c r="U114" s="5">
        <f>OrdersTable[[#This Row],[Gross Sale]]-OrdersTable[[#This Row],[Discount Amount]]</f>
        <v>718.2</v>
      </c>
      <c r="V114" s="77">
        <f>INDEX(Products!E:E,MATCH(OrdersTable[[#This Row],[Product ID]],Products!A:A,0))</f>
        <v>128</v>
      </c>
      <c r="W114" s="77">
        <f>OrdersTable[[#This Row],[Quantity]]*OrdersTable[[#This Row],[Unit Cost]]</f>
        <v>384</v>
      </c>
      <c r="X114" s="77">
        <f>'Dropdown Lists'!$I$2*(1+OrdersTable[[#This Row],[Returned]])</f>
        <v>60</v>
      </c>
      <c r="Y114" s="76">
        <f>OrdersTable[[#This Row],[Net Revenue]]-OrdersTable[[#This Row],[COGS]]-OrdersTable[[#This Row],[Shipping Cost]]</f>
        <v>274.20000000000005</v>
      </c>
      <c r="Z114" s="78">
        <f>IFERROR(OrdersTable[[#This Row],[Profit]]/OrdersTable[[#This Row],[Net Revenue]],0)</f>
        <v>0.38178780284043445</v>
      </c>
      <c r="AA114" t="s">
        <v>18</v>
      </c>
      <c r="AB114" s="79">
        <v>45315</v>
      </c>
      <c r="AC114">
        <f>OrdersTable[[#This Row],[Delivery Date]]-OrdersTable[[#This Row],[Order Date]]</f>
        <v>4</v>
      </c>
      <c r="AD114" t="str">
        <f>IF(OrdersTable[[#This Row],[Delivery Days]]&lt;=2, "Express (≤2d)", IF(OrdersTable[[#This Row],[Delivery Days]]&lt;=4, "Standard (3-4d)", "Delayed (5d+)"))</f>
        <v>Standard (3-4d)</v>
      </c>
      <c r="AE114">
        <v>4</v>
      </c>
      <c r="AF114">
        <v>0</v>
      </c>
    </row>
    <row r="115" spans="1:32" ht="15" x14ac:dyDescent="0.35">
      <c r="A115" t="s">
        <v>2868</v>
      </c>
      <c r="B115" s="1">
        <v>45311</v>
      </c>
      <c r="C115">
        <f>YEAR(OrdersTable[[#This Row],[Order Date]])</f>
        <v>2024</v>
      </c>
      <c r="D115" s="2">
        <f>DATE(YEAR(OrdersTable[[#This Row],[Order Date]]),MONTH(OrdersTable[[#This Row],[Order Date]]),1)</f>
        <v>45292</v>
      </c>
      <c r="E115">
        <f>MONTH(OrdersTable[[#This Row],[Order Date]])</f>
        <v>1</v>
      </c>
      <c r="F115" t="s">
        <v>750</v>
      </c>
      <c r="G115" t="str">
        <f>IF(OrdersTable[[#This Row],[Order Date]]=_xlfn.MINIFS(Order_Date, Customer_ID, OrdersTable[[#This Row],[Customer ID]]), "New", "Repeat")</f>
        <v>New</v>
      </c>
      <c r="H115" t="s">
        <v>167</v>
      </c>
      <c r="I115" t="str">
        <f>INDEX(State!B:B,MATCH(OrdersTable[[#This Row],[State]],State!A:A,0))</f>
        <v>KA</v>
      </c>
      <c r="J115" t="str">
        <f>INDEX(State!C:C,MATCH(OrdersTable[[#This Row],[State Code]],State!B:B,0))</f>
        <v>South</v>
      </c>
      <c r="K115" t="s">
        <v>190</v>
      </c>
      <c r="L115" t="s">
        <v>16</v>
      </c>
      <c r="M115" t="s">
        <v>34</v>
      </c>
      <c r="N115" t="str">
        <f>INDEX(Products!B:B,MATCH(OrdersTable[[#This Row],[Product ID]],Products!A:A,0))</f>
        <v>Flip Flops</v>
      </c>
      <c r="O115" t="str">
        <f>INDEX(Products!C:C,MATCH(OrdersTable[[#This Row],[Product ID]],Products!A:A,0))</f>
        <v>Footwear</v>
      </c>
      <c r="P115">
        <v>1</v>
      </c>
      <c r="Q115" s="5">
        <v>399</v>
      </c>
      <c r="R115" s="74">
        <v>0.1</v>
      </c>
      <c r="S115" s="75">
        <f>OrdersTable[[#This Row],[Quantity]]*OrdersTable[[#This Row],[Unit Price]]</f>
        <v>399</v>
      </c>
      <c r="T115" s="5">
        <f>OrdersTable[[#This Row],[Gross Sale]]*OrdersTable[[#This Row],[Discount_Clean2]]</f>
        <v>39.900000000000006</v>
      </c>
      <c r="U115" s="5">
        <f>OrdersTable[[#This Row],[Gross Sale]]-OrdersTable[[#This Row],[Discount Amount]]</f>
        <v>359.1</v>
      </c>
      <c r="V115" s="77">
        <f>INDEX(Products!E:E,MATCH(OrdersTable[[#This Row],[Product ID]],Products!A:A,0))</f>
        <v>152</v>
      </c>
      <c r="W115" s="77">
        <f>OrdersTable[[#This Row],[Quantity]]*OrdersTable[[#This Row],[Unit Cost]]</f>
        <v>152</v>
      </c>
      <c r="X115" s="77">
        <f>'Dropdown Lists'!$I$2*(1+OrdersTable[[#This Row],[Returned]])</f>
        <v>60</v>
      </c>
      <c r="Y115" s="76">
        <f>OrdersTable[[#This Row],[Net Revenue]]-OrdersTable[[#This Row],[COGS]]-OrdersTable[[#This Row],[Shipping Cost]]</f>
        <v>147.10000000000002</v>
      </c>
      <c r="Z115" s="78">
        <f>IFERROR(OrdersTable[[#This Row],[Profit]]/OrdersTable[[#This Row],[Net Revenue]],0)</f>
        <v>0.40963519910888335</v>
      </c>
      <c r="AA115" t="s">
        <v>2522</v>
      </c>
      <c r="AB115" s="79">
        <v>45313</v>
      </c>
      <c r="AC115">
        <f>OrdersTable[[#This Row],[Delivery Date]]-OrdersTable[[#This Row],[Order Date]]</f>
        <v>2</v>
      </c>
      <c r="AD115" t="str">
        <f>IF(OrdersTable[[#This Row],[Delivery Days]]&lt;=2, "Express (≤2d)", IF(OrdersTable[[#This Row],[Delivery Days]]&lt;=4, "Standard (3-4d)", "Delayed (5d+)"))</f>
        <v>Express (≤2d)</v>
      </c>
      <c r="AF115">
        <v>0</v>
      </c>
    </row>
    <row r="116" spans="1:32" ht="15" x14ac:dyDescent="0.35">
      <c r="A116" t="s">
        <v>1464</v>
      </c>
      <c r="B116" s="1">
        <v>45311</v>
      </c>
      <c r="C116">
        <f>YEAR(OrdersTable[[#This Row],[Order Date]])</f>
        <v>2024</v>
      </c>
      <c r="D116" s="2">
        <f>DATE(YEAR(OrdersTable[[#This Row],[Order Date]]),MONTH(OrdersTable[[#This Row],[Order Date]]),1)</f>
        <v>45292</v>
      </c>
      <c r="E116">
        <f>MONTH(OrdersTable[[#This Row],[Order Date]])</f>
        <v>1</v>
      </c>
      <c r="F116" t="s">
        <v>1465</v>
      </c>
      <c r="G116" t="str">
        <f>IF(OrdersTable[[#This Row],[Order Date]]=_xlfn.MINIFS(Order_Date, Customer_ID, OrdersTable[[#This Row],[Customer ID]]), "New", "Repeat")</f>
        <v>New</v>
      </c>
      <c r="H116" t="s">
        <v>167</v>
      </c>
      <c r="I116" t="str">
        <f>INDEX(State!B:B,MATCH(OrdersTable[[#This Row],[State]],State!A:A,0))</f>
        <v>KA</v>
      </c>
      <c r="J116" t="str">
        <f>INDEX(State!C:C,MATCH(OrdersTable[[#This Row],[State Code]],State!B:B,0))</f>
        <v>South</v>
      </c>
      <c r="K116" t="s">
        <v>168</v>
      </c>
      <c r="L116" t="s">
        <v>39</v>
      </c>
      <c r="M116" t="s">
        <v>152</v>
      </c>
      <c r="N116" t="str">
        <f>INDEX(Products!B:B,MATCH(OrdersTable[[#This Row],[Product ID]],Products!A:A,0))</f>
        <v>Green Tea (100 bags)</v>
      </c>
      <c r="O116" t="str">
        <f>INDEX(Products!C:C,MATCH(OrdersTable[[#This Row],[Product ID]],Products!A:A,0))</f>
        <v>Wellness</v>
      </c>
      <c r="P116">
        <v>1</v>
      </c>
      <c r="Q116" s="5">
        <v>399</v>
      </c>
      <c r="R116" s="74">
        <v>0.35</v>
      </c>
      <c r="S116" s="75">
        <f>OrdersTable[[#This Row],[Quantity]]*OrdersTable[[#This Row],[Unit Price]]</f>
        <v>399</v>
      </c>
      <c r="T116" s="5">
        <f>OrdersTable[[#This Row],[Gross Sale]]*OrdersTable[[#This Row],[Discount_Clean2]]</f>
        <v>139.64999999999998</v>
      </c>
      <c r="U116" s="5">
        <f>OrdersTable[[#This Row],[Gross Sale]]-OrdersTable[[#This Row],[Discount Amount]]</f>
        <v>259.35000000000002</v>
      </c>
      <c r="V116" s="77">
        <f>INDEX(Products!E:E,MATCH(OrdersTable[[#This Row],[Product ID]],Products!A:A,0))</f>
        <v>128</v>
      </c>
      <c r="W116" s="77">
        <f>OrdersTable[[#This Row],[Quantity]]*OrdersTable[[#This Row],[Unit Cost]]</f>
        <v>128</v>
      </c>
      <c r="X116" s="77">
        <f>'Dropdown Lists'!$I$2*(1+OrdersTable[[#This Row],[Returned]])</f>
        <v>60</v>
      </c>
      <c r="Y116" s="76">
        <f>OrdersTable[[#This Row],[Net Revenue]]-OrdersTable[[#This Row],[COGS]]-OrdersTable[[#This Row],[Shipping Cost]]</f>
        <v>71.350000000000023</v>
      </c>
      <c r="Z116" s="78">
        <f>IFERROR(OrdersTable[[#This Row],[Profit]]/OrdersTable[[#This Row],[Net Revenue]],0)</f>
        <v>0.27511085405822255</v>
      </c>
      <c r="AA116" t="s">
        <v>18</v>
      </c>
      <c r="AB116" s="79">
        <v>45314</v>
      </c>
      <c r="AC116">
        <f>OrdersTable[[#This Row],[Delivery Date]]-OrdersTable[[#This Row],[Order Date]]</f>
        <v>3</v>
      </c>
      <c r="AD116" t="str">
        <f>IF(OrdersTable[[#This Row],[Delivery Days]]&lt;=2, "Express (≤2d)", IF(OrdersTable[[#This Row],[Delivery Days]]&lt;=4, "Standard (3-4d)", "Delayed (5d+)"))</f>
        <v>Standard (3-4d)</v>
      </c>
      <c r="AF116">
        <v>0</v>
      </c>
    </row>
    <row r="117" spans="1:32" ht="15" x14ac:dyDescent="0.35">
      <c r="A117" t="s">
        <v>7045</v>
      </c>
      <c r="B117" s="1">
        <v>45312</v>
      </c>
      <c r="C117">
        <f>YEAR(OrdersTable[[#This Row],[Order Date]])</f>
        <v>2024</v>
      </c>
      <c r="D117" s="2">
        <f>DATE(YEAR(OrdersTable[[#This Row],[Order Date]]),MONTH(OrdersTable[[#This Row],[Order Date]]),1)</f>
        <v>45292</v>
      </c>
      <c r="E117">
        <f>MONTH(OrdersTable[[#This Row],[Order Date]])</f>
        <v>1</v>
      </c>
      <c r="F117" t="s">
        <v>7046</v>
      </c>
      <c r="G117" t="str">
        <f>IF(OrdersTable[[#This Row],[Order Date]]=_xlfn.MINIFS(Order_Date, Customer_ID, OrdersTable[[#This Row],[Customer ID]]), "New", "Repeat")</f>
        <v>New</v>
      </c>
      <c r="H117" t="s">
        <v>48</v>
      </c>
      <c r="I117" t="str">
        <f>INDEX(State!B:B,MATCH(OrdersTable[[#This Row],[State]],State!A:A,0))</f>
        <v>HR</v>
      </c>
      <c r="J117" t="str">
        <f>INDEX(State!C:C,MATCH(OrdersTable[[#This Row],[State Code]],State!B:B,0))</f>
        <v>North</v>
      </c>
      <c r="K117" t="s">
        <v>49</v>
      </c>
      <c r="L117" t="s">
        <v>23</v>
      </c>
      <c r="M117" t="s">
        <v>148</v>
      </c>
      <c r="N117" t="str">
        <f>INDEX(Products!B:B,MATCH(OrdersTable[[#This Row],[Product ID]],Products!A:A,0))</f>
        <v>Smartwatch Strap</v>
      </c>
      <c r="O117" t="str">
        <f>INDEX(Products!C:C,MATCH(OrdersTable[[#This Row],[Product ID]],Products!A:A,0))</f>
        <v>Electronics</v>
      </c>
      <c r="P117">
        <v>4</v>
      </c>
      <c r="Q117" s="5">
        <v>499</v>
      </c>
      <c r="R117" s="74">
        <v>0.1</v>
      </c>
      <c r="S117" s="75">
        <f>OrdersTable[[#This Row],[Quantity]]*OrdersTable[[#This Row],[Unit Price]]</f>
        <v>1996</v>
      </c>
      <c r="T117" s="5">
        <f>OrdersTable[[#This Row],[Gross Sale]]*OrdersTable[[#This Row],[Discount_Clean2]]</f>
        <v>199.60000000000002</v>
      </c>
      <c r="U117" s="5">
        <f>OrdersTable[[#This Row],[Gross Sale]]-OrdersTable[[#This Row],[Discount Amount]]</f>
        <v>1796.4</v>
      </c>
      <c r="V117" s="77">
        <f>INDEX(Products!E:E,MATCH(OrdersTable[[#This Row],[Product ID]],Products!A:A,0))</f>
        <v>200</v>
      </c>
      <c r="W117" s="77">
        <f>OrdersTable[[#This Row],[Quantity]]*OrdersTable[[#This Row],[Unit Cost]]</f>
        <v>800</v>
      </c>
      <c r="X117" s="77">
        <f>'Dropdown Lists'!$I$2*(1+OrdersTable[[#This Row],[Returned]])</f>
        <v>60</v>
      </c>
      <c r="Y117" s="76">
        <f>OrdersTable[[#This Row],[Net Revenue]]-OrdersTable[[#This Row],[COGS]]-OrdersTable[[#This Row],[Shipping Cost]]</f>
        <v>936.40000000000009</v>
      </c>
      <c r="Z117" s="78">
        <f>IFERROR(OrdersTable[[#This Row],[Profit]]/OrdersTable[[#This Row],[Net Revenue]],0)</f>
        <v>0.52126475172567355</v>
      </c>
      <c r="AA117" t="s">
        <v>18</v>
      </c>
      <c r="AB117" s="79">
        <v>45316</v>
      </c>
      <c r="AC117">
        <f>OrdersTable[[#This Row],[Delivery Date]]-OrdersTable[[#This Row],[Order Date]]</f>
        <v>4</v>
      </c>
      <c r="AD117" t="str">
        <f>IF(OrdersTable[[#This Row],[Delivery Days]]&lt;=2, "Express (≤2d)", IF(OrdersTable[[#This Row],[Delivery Days]]&lt;=4, "Standard (3-4d)", "Delayed (5d+)"))</f>
        <v>Standard (3-4d)</v>
      </c>
      <c r="AE117">
        <v>4</v>
      </c>
      <c r="AF117">
        <v>0</v>
      </c>
    </row>
    <row r="118" spans="1:32" ht="15" x14ac:dyDescent="0.35">
      <c r="A118" t="s">
        <v>2869</v>
      </c>
      <c r="B118" s="1">
        <v>45312</v>
      </c>
      <c r="C118">
        <f>YEAR(OrdersTable[[#This Row],[Order Date]])</f>
        <v>2024</v>
      </c>
      <c r="D118" s="2">
        <f>DATE(YEAR(OrdersTable[[#This Row],[Order Date]]),MONTH(OrdersTable[[#This Row],[Order Date]]),1)</f>
        <v>45292</v>
      </c>
      <c r="E118">
        <f>MONTH(OrdersTable[[#This Row],[Order Date]])</f>
        <v>1</v>
      </c>
      <c r="F118" t="s">
        <v>2378</v>
      </c>
      <c r="G118" t="str">
        <f>IF(OrdersTable[[#This Row],[Order Date]]=_xlfn.MINIFS(Order_Date, Customer_ID, OrdersTable[[#This Row],[Customer ID]]), "New", "Repeat")</f>
        <v>New</v>
      </c>
      <c r="H118" t="s">
        <v>128</v>
      </c>
      <c r="I118" t="str">
        <f>INDEX(State!B:B,MATCH(OrdersTable[[#This Row],[State]],State!A:A,0))</f>
        <v>DL</v>
      </c>
      <c r="J118" t="str">
        <f>INDEX(State!C:C,MATCH(OrdersTable[[#This Row],[State Code]],State!B:B,0))</f>
        <v>North</v>
      </c>
      <c r="K118" t="s">
        <v>129</v>
      </c>
      <c r="L118" t="s">
        <v>50</v>
      </c>
      <c r="M118" t="s">
        <v>66</v>
      </c>
      <c r="N118" t="str">
        <f>INDEX(Products!B:B,MATCH(OrdersTable[[#This Row],[Product ID]],Products!A:A,0))</f>
        <v>Sunscreen SPF 50</v>
      </c>
      <c r="O118" t="str">
        <f>INDEX(Products!C:C,MATCH(OrdersTable[[#This Row],[Product ID]],Products!A:A,0))</f>
        <v>Skincare</v>
      </c>
      <c r="P118">
        <v>1</v>
      </c>
      <c r="Q118" s="5">
        <v>449</v>
      </c>
      <c r="R118" s="74">
        <v>0.15</v>
      </c>
      <c r="S118" s="75">
        <f>OrdersTable[[#This Row],[Quantity]]*OrdersTable[[#This Row],[Unit Price]]</f>
        <v>449</v>
      </c>
      <c r="T118" s="5">
        <f>OrdersTable[[#This Row],[Gross Sale]]*OrdersTable[[#This Row],[Discount_Clean2]]</f>
        <v>67.349999999999994</v>
      </c>
      <c r="U118" s="5">
        <f>OrdersTable[[#This Row],[Gross Sale]]-OrdersTable[[#This Row],[Discount Amount]]</f>
        <v>381.65</v>
      </c>
      <c r="V118" s="77">
        <f>INDEX(Products!E:E,MATCH(OrdersTable[[#This Row],[Product ID]],Products!A:A,0))</f>
        <v>144</v>
      </c>
      <c r="W118" s="77">
        <f>OrdersTable[[#This Row],[Quantity]]*OrdersTable[[#This Row],[Unit Cost]]</f>
        <v>144</v>
      </c>
      <c r="X118" s="77">
        <f>'Dropdown Lists'!$I$2*(1+OrdersTable[[#This Row],[Returned]])</f>
        <v>120</v>
      </c>
      <c r="Y118" s="76">
        <f>OrdersTable[[#This Row],[Net Revenue]]-OrdersTable[[#This Row],[COGS]]-OrdersTable[[#This Row],[Shipping Cost]]</f>
        <v>117.64999999999998</v>
      </c>
      <c r="Z118" s="78">
        <f>IFERROR(OrdersTable[[#This Row],[Profit]]/OrdersTable[[#This Row],[Net Revenue]],0)</f>
        <v>0.30826673653871345</v>
      </c>
      <c r="AA118" t="s">
        <v>2522</v>
      </c>
      <c r="AB118" s="79">
        <v>45313</v>
      </c>
      <c r="AC118">
        <f>OrdersTable[[#This Row],[Delivery Date]]-OrdersTable[[#This Row],[Order Date]]</f>
        <v>1</v>
      </c>
      <c r="AD118" t="str">
        <f>IF(OrdersTable[[#This Row],[Delivery Days]]&lt;=2, "Express (≤2d)", IF(OrdersTable[[#This Row],[Delivery Days]]&lt;=4, "Standard (3-4d)", "Delayed (5d+)"))</f>
        <v>Express (≤2d)</v>
      </c>
      <c r="AF118">
        <v>1</v>
      </c>
    </row>
    <row r="119" spans="1:32" ht="15" x14ac:dyDescent="0.35">
      <c r="A119" t="s">
        <v>4210</v>
      </c>
      <c r="B119" s="1">
        <v>45312</v>
      </c>
      <c r="C119">
        <f>YEAR(OrdersTable[[#This Row],[Order Date]])</f>
        <v>2024</v>
      </c>
      <c r="D119" s="2">
        <f>DATE(YEAR(OrdersTable[[#This Row],[Order Date]]),MONTH(OrdersTable[[#This Row],[Order Date]]),1)</f>
        <v>45292</v>
      </c>
      <c r="E119">
        <f>MONTH(OrdersTable[[#This Row],[Order Date]])</f>
        <v>1</v>
      </c>
      <c r="F119" t="s">
        <v>1460</v>
      </c>
      <c r="G119" t="str">
        <f>IF(OrdersTable[[#This Row],[Order Date]]=_xlfn.MINIFS(Order_Date, Customer_ID, OrdersTable[[#This Row],[Customer ID]]), "New", "Repeat")</f>
        <v>New</v>
      </c>
      <c r="H119" t="s">
        <v>132</v>
      </c>
      <c r="I119" t="str">
        <f>INDEX(State!B:B,MATCH(OrdersTable[[#This Row],[State]],State!A:A,0))</f>
        <v>AS</v>
      </c>
      <c r="J119" t="str">
        <f>INDEX(State!C:C,MATCH(OrdersTable[[#This Row],[State Code]],State!B:B,0))</f>
        <v>East</v>
      </c>
      <c r="K119" t="s">
        <v>133</v>
      </c>
      <c r="L119" t="s">
        <v>65</v>
      </c>
      <c r="M119" t="s">
        <v>56</v>
      </c>
      <c r="N119" t="str">
        <f>INDEX(Products!B:B,MATCH(OrdersTable[[#This Row],[Product ID]],Products!A:A,0))</f>
        <v>Vitamin C Face Serum</v>
      </c>
      <c r="O119" t="str">
        <f>INDEX(Products!C:C,MATCH(OrdersTable[[#This Row],[Product ID]],Products!A:A,0))</f>
        <v>Skincare</v>
      </c>
      <c r="P119">
        <v>1</v>
      </c>
      <c r="Q119" s="5">
        <v>599</v>
      </c>
      <c r="R119" s="74">
        <v>0.15</v>
      </c>
      <c r="S119" s="75">
        <f>OrdersTable[[#This Row],[Quantity]]*OrdersTable[[#This Row],[Unit Price]]</f>
        <v>599</v>
      </c>
      <c r="T119" s="5">
        <f>OrdersTable[[#This Row],[Gross Sale]]*OrdersTable[[#This Row],[Discount_Clean2]]</f>
        <v>89.85</v>
      </c>
      <c r="U119" s="5">
        <f>OrdersTable[[#This Row],[Gross Sale]]-OrdersTable[[#This Row],[Discount Amount]]</f>
        <v>509.15</v>
      </c>
      <c r="V119" s="77">
        <f>INDEX(Products!E:E,MATCH(OrdersTable[[#This Row],[Product ID]],Products!A:A,0))</f>
        <v>180</v>
      </c>
      <c r="W119" s="77">
        <f>OrdersTable[[#This Row],[Quantity]]*OrdersTable[[#This Row],[Unit Cost]]</f>
        <v>180</v>
      </c>
      <c r="X119" s="77">
        <f>'Dropdown Lists'!$I$2*(1+OrdersTable[[#This Row],[Returned]])</f>
        <v>60</v>
      </c>
      <c r="Y119" s="76">
        <f>OrdersTable[[#This Row],[Net Revenue]]-OrdersTable[[#This Row],[COGS]]-OrdersTable[[#This Row],[Shipping Cost]]</f>
        <v>269.14999999999998</v>
      </c>
      <c r="Z119" s="78">
        <f>IFERROR(OrdersTable[[#This Row],[Profit]]/OrdersTable[[#This Row],[Net Revenue]],0)</f>
        <v>0.52862614160856325</v>
      </c>
      <c r="AA119" t="s">
        <v>4074</v>
      </c>
      <c r="AB119" s="79">
        <v>45318</v>
      </c>
      <c r="AC119">
        <f>OrdersTable[[#This Row],[Delivery Date]]-OrdersTable[[#This Row],[Order Date]]</f>
        <v>6</v>
      </c>
      <c r="AD119" t="str">
        <f>IF(OrdersTable[[#This Row],[Delivery Days]]&lt;=2, "Express (≤2d)", IF(OrdersTable[[#This Row],[Delivery Days]]&lt;=4, "Standard (3-4d)", "Delayed (5d+)"))</f>
        <v>Delayed (5d+)</v>
      </c>
      <c r="AF119">
        <v>0</v>
      </c>
    </row>
    <row r="120" spans="1:32" ht="15" x14ac:dyDescent="0.35">
      <c r="A120" t="s">
        <v>4649</v>
      </c>
      <c r="B120" s="1">
        <v>45312</v>
      </c>
      <c r="C120">
        <f>YEAR(OrdersTable[[#This Row],[Order Date]])</f>
        <v>2024</v>
      </c>
      <c r="D120" s="2">
        <f>DATE(YEAR(OrdersTable[[#This Row],[Order Date]]),MONTH(OrdersTable[[#This Row],[Order Date]]),1)</f>
        <v>45292</v>
      </c>
      <c r="E120">
        <f>MONTH(OrdersTable[[#This Row],[Order Date]])</f>
        <v>1</v>
      </c>
      <c r="F120" t="s">
        <v>4650</v>
      </c>
      <c r="G120" t="str">
        <f>IF(OrdersTable[[#This Row],[Order Date]]=_xlfn.MINIFS(Order_Date, Customer_ID, OrdersTable[[#This Row],[Customer ID]]), "New", "Repeat")</f>
        <v>New</v>
      </c>
      <c r="H120" t="s">
        <v>43</v>
      </c>
      <c r="I120" t="str">
        <f>INDEX(State!B:B,MATCH(OrdersTable[[#This Row],[State]],State!A:A,0))</f>
        <v>MP</v>
      </c>
      <c r="J120" t="str">
        <f>INDEX(State!C:C,MATCH(OrdersTable[[#This Row],[State Code]],State!B:B,0))</f>
        <v>West</v>
      </c>
      <c r="K120" t="s">
        <v>44</v>
      </c>
      <c r="L120" t="s">
        <v>50</v>
      </c>
      <c r="M120" t="s">
        <v>40</v>
      </c>
      <c r="N120" t="str">
        <f>INDEX(Products!B:B,MATCH(OrdersTable[[#This Row],[Product ID]],Products!A:A,0))</f>
        <v>Ashwagandha Capsules</v>
      </c>
      <c r="O120" t="str">
        <f>INDEX(Products!C:C,MATCH(OrdersTable[[#This Row],[Product ID]],Products!A:A,0))</f>
        <v>Wellness</v>
      </c>
      <c r="P120">
        <v>1</v>
      </c>
      <c r="Q120" s="5">
        <v>499</v>
      </c>
      <c r="R120" s="74">
        <v>0.1</v>
      </c>
      <c r="S120" s="75">
        <f>OrdersTable[[#This Row],[Quantity]]*OrdersTable[[#This Row],[Unit Price]]</f>
        <v>499</v>
      </c>
      <c r="T120" s="5">
        <f>OrdersTable[[#This Row],[Gross Sale]]*OrdersTable[[#This Row],[Discount_Clean2]]</f>
        <v>49.900000000000006</v>
      </c>
      <c r="U120" s="5">
        <f>OrdersTable[[#This Row],[Gross Sale]]-OrdersTable[[#This Row],[Discount Amount]]</f>
        <v>449.1</v>
      </c>
      <c r="V120" s="77">
        <f>INDEX(Products!E:E,MATCH(OrdersTable[[#This Row],[Product ID]],Products!A:A,0))</f>
        <v>150</v>
      </c>
      <c r="W120" s="77">
        <f>OrdersTable[[#This Row],[Quantity]]*OrdersTable[[#This Row],[Unit Cost]]</f>
        <v>150</v>
      </c>
      <c r="X120" s="77">
        <f>'Dropdown Lists'!$I$2*(1+OrdersTable[[#This Row],[Returned]])</f>
        <v>60</v>
      </c>
      <c r="Y120" s="76">
        <f>OrdersTable[[#This Row],[Net Revenue]]-OrdersTable[[#This Row],[COGS]]-OrdersTable[[#This Row],[Shipping Cost]]</f>
        <v>239.10000000000002</v>
      </c>
      <c r="Z120" s="78">
        <f>IFERROR(OrdersTable[[#This Row],[Profit]]/OrdersTable[[#This Row],[Net Revenue]],0)</f>
        <v>0.53239812959251842</v>
      </c>
      <c r="AA120" t="s">
        <v>4450</v>
      </c>
      <c r="AB120" s="79">
        <v>45317</v>
      </c>
      <c r="AC120">
        <f>OrdersTable[[#This Row],[Delivery Date]]-OrdersTable[[#This Row],[Order Date]]</f>
        <v>5</v>
      </c>
      <c r="AD120" t="str">
        <f>IF(OrdersTable[[#This Row],[Delivery Days]]&lt;=2, "Express (≤2d)", IF(OrdersTable[[#This Row],[Delivery Days]]&lt;=4, "Standard (3-4d)", "Delayed (5d+)"))</f>
        <v>Delayed (5d+)</v>
      </c>
      <c r="AE120">
        <v>3</v>
      </c>
      <c r="AF120">
        <v>0</v>
      </c>
    </row>
    <row r="121" spans="1:32" ht="15" x14ac:dyDescent="0.35">
      <c r="A121" t="s">
        <v>5751</v>
      </c>
      <c r="B121" s="1">
        <v>45312</v>
      </c>
      <c r="C121">
        <f>YEAR(OrdersTable[[#This Row],[Order Date]])</f>
        <v>2024</v>
      </c>
      <c r="D121" s="2">
        <f>DATE(YEAR(OrdersTable[[#This Row],[Order Date]]),MONTH(OrdersTable[[#This Row],[Order Date]]),1)</f>
        <v>45292</v>
      </c>
      <c r="E121">
        <f>MONTH(OrdersTable[[#This Row],[Order Date]])</f>
        <v>1</v>
      </c>
      <c r="F121" t="s">
        <v>4022</v>
      </c>
      <c r="G121" t="str">
        <f>IF(OrdersTable[[#This Row],[Order Date]]=_xlfn.MINIFS(Order_Date, Customer_ID, OrdersTable[[#This Row],[Customer ID]]), "New", "Repeat")</f>
        <v>New</v>
      </c>
      <c r="H121" t="s">
        <v>43</v>
      </c>
      <c r="I121" t="str">
        <f>INDEX(State!B:B,MATCH(OrdersTable[[#This Row],[State]],State!A:A,0))</f>
        <v>MP</v>
      </c>
      <c r="J121" t="str">
        <f>INDEX(State!C:C,MATCH(OrdersTable[[#This Row],[State Code]],State!B:B,0))</f>
        <v>West</v>
      </c>
      <c r="K121" t="s">
        <v>250</v>
      </c>
      <c r="L121" t="s">
        <v>50</v>
      </c>
      <c r="M121" t="s">
        <v>61</v>
      </c>
      <c r="N121" t="str">
        <f>INDEX(Products!B:B,MATCH(OrdersTable[[#This Row],[Product ID]],Products!A:A,0))</f>
        <v>Multivitamin Gummies</v>
      </c>
      <c r="O121" t="str">
        <f>INDEX(Products!C:C,MATCH(OrdersTable[[#This Row],[Product ID]],Products!A:A,0))</f>
        <v>Wellness</v>
      </c>
      <c r="P121">
        <v>2</v>
      </c>
      <c r="Q121" s="5">
        <v>699</v>
      </c>
      <c r="R121" s="74">
        <v>0.2</v>
      </c>
      <c r="S121" s="75">
        <f>OrdersTable[[#This Row],[Quantity]]*OrdersTable[[#This Row],[Unit Price]]</f>
        <v>1398</v>
      </c>
      <c r="T121" s="5">
        <f>OrdersTable[[#This Row],[Gross Sale]]*OrdersTable[[#This Row],[Discount_Clean2]]</f>
        <v>279.60000000000002</v>
      </c>
      <c r="U121" s="5">
        <f>OrdersTable[[#This Row],[Gross Sale]]-OrdersTable[[#This Row],[Discount Amount]]</f>
        <v>1118.4000000000001</v>
      </c>
      <c r="V121" s="77">
        <f>INDEX(Products!E:E,MATCH(OrdersTable[[#This Row],[Product ID]],Products!A:A,0))</f>
        <v>238</v>
      </c>
      <c r="W121" s="77">
        <f>OrdersTable[[#This Row],[Quantity]]*OrdersTable[[#This Row],[Unit Cost]]</f>
        <v>476</v>
      </c>
      <c r="X121" s="77">
        <f>'Dropdown Lists'!$I$2*(1+OrdersTable[[#This Row],[Returned]])</f>
        <v>60</v>
      </c>
      <c r="Y121" s="76">
        <f>OrdersTable[[#This Row],[Net Revenue]]-OrdersTable[[#This Row],[COGS]]-OrdersTable[[#This Row],[Shipping Cost]]</f>
        <v>582.40000000000009</v>
      </c>
      <c r="Z121" s="78">
        <f>IFERROR(OrdersTable[[#This Row],[Profit]]/OrdersTable[[#This Row],[Net Revenue]],0)</f>
        <v>0.5207439198855508</v>
      </c>
      <c r="AA121" t="s">
        <v>18</v>
      </c>
      <c r="AB121" s="79">
        <v>45314</v>
      </c>
      <c r="AC121">
        <f>OrdersTable[[#This Row],[Delivery Date]]-OrdersTable[[#This Row],[Order Date]]</f>
        <v>2</v>
      </c>
      <c r="AD121" t="str">
        <f>IF(OrdersTable[[#This Row],[Delivery Days]]&lt;=2, "Express (≤2d)", IF(OrdersTable[[#This Row],[Delivery Days]]&lt;=4, "Standard (3-4d)", "Delayed (5d+)"))</f>
        <v>Express (≤2d)</v>
      </c>
      <c r="AE121">
        <v>5</v>
      </c>
      <c r="AF121">
        <v>0</v>
      </c>
    </row>
    <row r="122" spans="1:32" ht="15" x14ac:dyDescent="0.35">
      <c r="A122" t="s">
        <v>5063</v>
      </c>
      <c r="B122" s="1">
        <v>45312</v>
      </c>
      <c r="C122">
        <f>YEAR(OrdersTable[[#This Row],[Order Date]])</f>
        <v>2024</v>
      </c>
      <c r="D122" s="2">
        <f>DATE(YEAR(OrdersTable[[#This Row],[Order Date]]),MONTH(OrdersTable[[#This Row],[Order Date]]),1)</f>
        <v>45292</v>
      </c>
      <c r="E122">
        <f>MONTH(OrdersTable[[#This Row],[Order Date]])</f>
        <v>1</v>
      </c>
      <c r="F122" t="s">
        <v>2840</v>
      </c>
      <c r="G122" t="str">
        <f>IF(OrdersTable[[#This Row],[Order Date]]=_xlfn.MINIFS(Order_Date, Customer_ID, OrdersTable[[#This Row],[Customer ID]]), "New", "Repeat")</f>
        <v>New</v>
      </c>
      <c r="H122" t="s">
        <v>43</v>
      </c>
      <c r="I122" t="str">
        <f>INDEX(State!B:B,MATCH(OrdersTable[[#This Row],[State]],State!A:A,0))</f>
        <v>MP</v>
      </c>
      <c r="J122" t="str">
        <f>INDEX(State!C:C,MATCH(OrdersTable[[#This Row],[State Code]],State!B:B,0))</f>
        <v>West</v>
      </c>
      <c r="K122" t="s">
        <v>250</v>
      </c>
      <c r="L122" t="s">
        <v>23</v>
      </c>
      <c r="M122" t="s">
        <v>51</v>
      </c>
      <c r="N122" t="str">
        <f>INDEX(Products!B:B,MATCH(OrdersTable[[#This Row],[Product ID]],Products!A:A,0))</f>
        <v>Anti-Dandruff Conditioner</v>
      </c>
      <c r="O122" t="str">
        <f>INDEX(Products!C:C,MATCH(OrdersTable[[#This Row],[Product ID]],Products!A:A,0))</f>
        <v>Haircare</v>
      </c>
      <c r="P122">
        <v>2</v>
      </c>
      <c r="Q122" s="5">
        <v>399</v>
      </c>
      <c r="R122" s="74">
        <v>0.3</v>
      </c>
      <c r="S122" s="75">
        <f>OrdersTable[[#This Row],[Quantity]]*OrdersTable[[#This Row],[Unit Price]]</f>
        <v>798</v>
      </c>
      <c r="T122" s="5">
        <f>OrdersTable[[#This Row],[Gross Sale]]*OrdersTable[[#This Row],[Discount_Clean2]]</f>
        <v>239.39999999999998</v>
      </c>
      <c r="U122" s="5">
        <f>OrdersTable[[#This Row],[Gross Sale]]-OrdersTable[[#This Row],[Discount Amount]]</f>
        <v>558.6</v>
      </c>
      <c r="V122" s="77">
        <f>INDEX(Products!E:E,MATCH(OrdersTable[[#This Row],[Product ID]],Products!A:A,0))</f>
        <v>136</v>
      </c>
      <c r="W122" s="77">
        <f>OrdersTable[[#This Row],[Quantity]]*OrdersTable[[#This Row],[Unit Cost]]</f>
        <v>272</v>
      </c>
      <c r="X122" s="77">
        <f>'Dropdown Lists'!$I$2*(1+OrdersTable[[#This Row],[Returned]])</f>
        <v>60</v>
      </c>
      <c r="Y122" s="76">
        <f>OrdersTable[[#This Row],[Net Revenue]]-OrdersTable[[#This Row],[COGS]]-OrdersTable[[#This Row],[Shipping Cost]]</f>
        <v>226.60000000000002</v>
      </c>
      <c r="Z122" s="78">
        <f>IFERROR(OrdersTable[[#This Row],[Profit]]/OrdersTable[[#This Row],[Net Revenue]],0)</f>
        <v>0.40565699964196206</v>
      </c>
      <c r="AA122" t="s">
        <v>3495</v>
      </c>
      <c r="AB122" s="79">
        <v>45315</v>
      </c>
      <c r="AC122">
        <f>OrdersTable[[#This Row],[Delivery Date]]-OrdersTable[[#This Row],[Order Date]]</f>
        <v>3</v>
      </c>
      <c r="AD122" t="str">
        <f>IF(OrdersTable[[#This Row],[Delivery Days]]&lt;=2, "Express (≤2d)", IF(OrdersTable[[#This Row],[Delivery Days]]&lt;=4, "Standard (3-4d)", "Delayed (5d+)"))</f>
        <v>Standard (3-4d)</v>
      </c>
      <c r="AE122">
        <v>4</v>
      </c>
      <c r="AF122">
        <v>0</v>
      </c>
    </row>
    <row r="123" spans="1:32" ht="15" x14ac:dyDescent="0.35">
      <c r="A123" t="s">
        <v>892</v>
      </c>
      <c r="B123" s="1">
        <v>45312</v>
      </c>
      <c r="C123">
        <f>YEAR(OrdersTable[[#This Row],[Order Date]])</f>
        <v>2024</v>
      </c>
      <c r="D123" s="2">
        <f>DATE(YEAR(OrdersTable[[#This Row],[Order Date]]),MONTH(OrdersTable[[#This Row],[Order Date]]),1)</f>
        <v>45292</v>
      </c>
      <c r="E123">
        <f>MONTH(OrdersTable[[#This Row],[Order Date]])</f>
        <v>1</v>
      </c>
      <c r="F123" t="s">
        <v>893</v>
      </c>
      <c r="G123" t="str">
        <f>IF(OrdersTable[[#This Row],[Order Date]]=_xlfn.MINIFS(Order_Date, Customer_ID, OrdersTable[[#This Row],[Customer ID]]), "New", "Repeat")</f>
        <v>New</v>
      </c>
      <c r="H123" t="s">
        <v>27</v>
      </c>
      <c r="I123" t="str">
        <f>INDEX(State!B:B,MATCH(OrdersTable[[#This Row],[State]],State!A:A,0))</f>
        <v>WB</v>
      </c>
      <c r="J123" t="str">
        <f>INDEX(State!C:C,MATCH(OrdersTable[[#This Row],[State Code]],State!B:B,0))</f>
        <v>East</v>
      </c>
      <c r="K123" t="s">
        <v>28</v>
      </c>
      <c r="L123" t="s">
        <v>23</v>
      </c>
      <c r="M123" t="s">
        <v>56</v>
      </c>
      <c r="N123" t="str">
        <f>INDEX(Products!B:B,MATCH(OrdersTable[[#This Row],[Product ID]],Products!A:A,0))</f>
        <v>Vitamin C Face Serum</v>
      </c>
      <c r="O123" t="str">
        <f>INDEX(Products!C:C,MATCH(OrdersTable[[#This Row],[Product ID]],Products!A:A,0))</f>
        <v>Skincare</v>
      </c>
      <c r="P123">
        <v>1</v>
      </c>
      <c r="Q123" s="5">
        <v>599</v>
      </c>
      <c r="R123" s="74">
        <v>0.15</v>
      </c>
      <c r="S123" s="75">
        <f>OrdersTable[[#This Row],[Quantity]]*OrdersTable[[#This Row],[Unit Price]]</f>
        <v>599</v>
      </c>
      <c r="T123" s="5">
        <f>OrdersTable[[#This Row],[Gross Sale]]*OrdersTable[[#This Row],[Discount_Clean2]]</f>
        <v>89.85</v>
      </c>
      <c r="U123" s="5">
        <f>OrdersTable[[#This Row],[Gross Sale]]-OrdersTable[[#This Row],[Discount Amount]]</f>
        <v>509.15</v>
      </c>
      <c r="V123" s="77">
        <f>INDEX(Products!E:E,MATCH(OrdersTable[[#This Row],[Product ID]],Products!A:A,0))</f>
        <v>180</v>
      </c>
      <c r="W123" s="77">
        <f>OrdersTable[[#This Row],[Quantity]]*OrdersTable[[#This Row],[Unit Cost]]</f>
        <v>180</v>
      </c>
      <c r="X123" s="77">
        <f>'Dropdown Lists'!$I$2*(1+OrdersTable[[#This Row],[Returned]])</f>
        <v>60</v>
      </c>
      <c r="Y123" s="76">
        <f>OrdersTable[[#This Row],[Net Revenue]]-OrdersTable[[#This Row],[COGS]]-OrdersTable[[#This Row],[Shipping Cost]]</f>
        <v>269.14999999999998</v>
      </c>
      <c r="Z123" s="78">
        <f>IFERROR(OrdersTable[[#This Row],[Profit]]/OrdersTable[[#This Row],[Net Revenue]],0)</f>
        <v>0.52862614160856325</v>
      </c>
      <c r="AA123" t="s">
        <v>18</v>
      </c>
      <c r="AB123" s="79">
        <v>45317</v>
      </c>
      <c r="AC123">
        <f>OrdersTable[[#This Row],[Delivery Date]]-OrdersTable[[#This Row],[Order Date]]</f>
        <v>5</v>
      </c>
      <c r="AD123" t="str">
        <f>IF(OrdersTable[[#This Row],[Delivery Days]]&lt;=2, "Express (≤2d)", IF(OrdersTable[[#This Row],[Delivery Days]]&lt;=4, "Standard (3-4d)", "Delayed (5d+)"))</f>
        <v>Delayed (5d+)</v>
      </c>
      <c r="AE123">
        <v>4</v>
      </c>
      <c r="AF123">
        <v>0</v>
      </c>
    </row>
    <row r="124" spans="1:32" ht="15" x14ac:dyDescent="0.35">
      <c r="A124" t="s">
        <v>4748</v>
      </c>
      <c r="B124" s="1">
        <v>45312</v>
      </c>
      <c r="C124">
        <f>YEAR(OrdersTable[[#This Row],[Order Date]])</f>
        <v>2024</v>
      </c>
      <c r="D124" s="2">
        <f>DATE(YEAR(OrdersTable[[#This Row],[Order Date]]),MONTH(OrdersTable[[#This Row],[Order Date]]),1)</f>
        <v>45292</v>
      </c>
      <c r="E124">
        <f>MONTH(OrdersTable[[#This Row],[Order Date]])</f>
        <v>1</v>
      </c>
      <c r="F124" t="s">
        <v>707</v>
      </c>
      <c r="G124" t="str">
        <f>IF(OrdersTable[[#This Row],[Order Date]]=_xlfn.MINIFS(Order_Date, Customer_ID, OrdersTable[[#This Row],[Customer ID]]), "New", "Repeat")</f>
        <v>New</v>
      </c>
      <c r="H124" t="s">
        <v>71</v>
      </c>
      <c r="I124" t="str">
        <f>INDEX(State!B:B,MATCH(OrdersTable[[#This Row],[State]],State!A:A,0))</f>
        <v>MH</v>
      </c>
      <c r="J124" t="str">
        <f>INDEX(State!C:C,MATCH(OrdersTable[[#This Row],[State Code]],State!B:B,0))</f>
        <v>West</v>
      </c>
      <c r="K124" t="s">
        <v>72</v>
      </c>
      <c r="L124" t="s">
        <v>65</v>
      </c>
      <c r="M124" t="s">
        <v>45</v>
      </c>
      <c r="N124" t="str">
        <f>INDEX(Products!B:B,MATCH(OrdersTable[[#This Row],[Product ID]],Products!A:A,0))</f>
        <v>Argan Shampoo</v>
      </c>
      <c r="O124" t="str">
        <f>INDEX(Products!C:C,MATCH(OrdersTable[[#This Row],[Product ID]],Products!A:A,0))</f>
        <v>Haircare</v>
      </c>
      <c r="P124">
        <v>2</v>
      </c>
      <c r="Q124" s="5">
        <v>449</v>
      </c>
      <c r="R124" s="74">
        <v>0</v>
      </c>
      <c r="S124" s="75">
        <f>OrdersTable[[#This Row],[Quantity]]*OrdersTable[[#This Row],[Unit Price]]</f>
        <v>898</v>
      </c>
      <c r="T124" s="5">
        <f>OrdersTable[[#This Row],[Gross Sale]]*OrdersTable[[#This Row],[Discount_Clean2]]</f>
        <v>0</v>
      </c>
      <c r="U124" s="5">
        <f>OrdersTable[[#This Row],[Gross Sale]]-OrdersTable[[#This Row],[Discount Amount]]</f>
        <v>898</v>
      </c>
      <c r="V124" s="77">
        <f>INDEX(Products!E:E,MATCH(OrdersTable[[#This Row],[Product ID]],Products!A:A,0))</f>
        <v>148</v>
      </c>
      <c r="W124" s="77">
        <f>OrdersTable[[#This Row],[Quantity]]*OrdersTable[[#This Row],[Unit Cost]]</f>
        <v>296</v>
      </c>
      <c r="X124" s="77">
        <f>'Dropdown Lists'!$I$2*(1+OrdersTable[[#This Row],[Returned]])</f>
        <v>60</v>
      </c>
      <c r="Y124" s="76">
        <f>OrdersTable[[#This Row],[Net Revenue]]-OrdersTable[[#This Row],[COGS]]-OrdersTable[[#This Row],[Shipping Cost]]</f>
        <v>542</v>
      </c>
      <c r="Z124" s="78">
        <f>IFERROR(OrdersTable[[#This Row],[Profit]]/OrdersTable[[#This Row],[Net Revenue]],0)</f>
        <v>0.60356347438752789</v>
      </c>
      <c r="AA124" t="s">
        <v>4450</v>
      </c>
      <c r="AB124" s="79">
        <v>45314</v>
      </c>
      <c r="AC124">
        <f>OrdersTable[[#This Row],[Delivery Date]]-OrdersTable[[#This Row],[Order Date]]</f>
        <v>2</v>
      </c>
      <c r="AD124" t="str">
        <f>IF(OrdersTable[[#This Row],[Delivery Days]]&lt;=2, "Express (≤2d)", IF(OrdersTable[[#This Row],[Delivery Days]]&lt;=4, "Standard (3-4d)", "Delayed (5d+)"))</f>
        <v>Express (≤2d)</v>
      </c>
      <c r="AE124">
        <v>3</v>
      </c>
      <c r="AF124">
        <v>0</v>
      </c>
    </row>
    <row r="125" spans="1:32" ht="15" x14ac:dyDescent="0.35">
      <c r="A125" t="s">
        <v>5470</v>
      </c>
      <c r="B125" s="1">
        <v>45312</v>
      </c>
      <c r="C125">
        <f>YEAR(OrdersTable[[#This Row],[Order Date]])</f>
        <v>2024</v>
      </c>
      <c r="D125" s="2">
        <f>DATE(YEAR(OrdersTable[[#This Row],[Order Date]]),MONTH(OrdersTable[[#This Row],[Order Date]]),1)</f>
        <v>45292</v>
      </c>
      <c r="E125">
        <f>MONTH(OrdersTable[[#This Row],[Order Date]])</f>
        <v>1</v>
      </c>
      <c r="F125" t="s">
        <v>1629</v>
      </c>
      <c r="G125" t="str">
        <f>IF(OrdersTable[[#This Row],[Order Date]]=_xlfn.MINIFS(Order_Date, Customer_ID, OrdersTable[[#This Row],[Customer ID]]), "New", "Repeat")</f>
        <v>New</v>
      </c>
      <c r="H125" t="s">
        <v>59</v>
      </c>
      <c r="I125" t="str">
        <f>INDEX(State!B:B,MATCH(OrdersTable[[#This Row],[State]],State!A:A,0))</f>
        <v>TN</v>
      </c>
      <c r="J125" t="str">
        <f>INDEX(State!C:C,MATCH(OrdersTable[[#This Row],[State Code]],State!B:B,0))</f>
        <v>South</v>
      </c>
      <c r="K125" t="s">
        <v>64</v>
      </c>
      <c r="L125" t="s">
        <v>23</v>
      </c>
      <c r="M125" t="s">
        <v>40</v>
      </c>
      <c r="N125" t="str">
        <f>INDEX(Products!B:B,MATCH(OrdersTable[[#This Row],[Product ID]],Products!A:A,0))</f>
        <v>Ashwagandha Capsules</v>
      </c>
      <c r="O125" t="str">
        <f>INDEX(Products!C:C,MATCH(OrdersTable[[#This Row],[Product ID]],Products!A:A,0))</f>
        <v>Wellness</v>
      </c>
      <c r="P125">
        <v>2</v>
      </c>
      <c r="Q125" s="5">
        <v>499</v>
      </c>
      <c r="R125" s="74">
        <v>0.1</v>
      </c>
      <c r="S125" s="75">
        <f>OrdersTable[[#This Row],[Quantity]]*OrdersTable[[#This Row],[Unit Price]]</f>
        <v>998</v>
      </c>
      <c r="T125" s="5">
        <f>OrdersTable[[#This Row],[Gross Sale]]*OrdersTable[[#This Row],[Discount_Clean2]]</f>
        <v>99.800000000000011</v>
      </c>
      <c r="U125" s="5">
        <f>OrdersTable[[#This Row],[Gross Sale]]-OrdersTable[[#This Row],[Discount Amount]]</f>
        <v>898.2</v>
      </c>
      <c r="V125" s="77">
        <f>INDEX(Products!E:E,MATCH(OrdersTable[[#This Row],[Product ID]],Products!A:A,0))</f>
        <v>150</v>
      </c>
      <c r="W125" s="77">
        <f>OrdersTable[[#This Row],[Quantity]]*OrdersTable[[#This Row],[Unit Cost]]</f>
        <v>300</v>
      </c>
      <c r="X125" s="77">
        <f>'Dropdown Lists'!$I$2*(1+OrdersTable[[#This Row],[Returned]])</f>
        <v>60</v>
      </c>
      <c r="Y125" s="76">
        <f>OrdersTable[[#This Row],[Net Revenue]]-OrdersTable[[#This Row],[COGS]]-OrdersTable[[#This Row],[Shipping Cost]]</f>
        <v>538.20000000000005</v>
      </c>
      <c r="Z125" s="78">
        <f>IFERROR(OrdersTable[[#This Row],[Profit]]/OrdersTable[[#This Row],[Net Revenue]],0)</f>
        <v>0.59919839679358722</v>
      </c>
      <c r="AA125" t="s">
        <v>2522</v>
      </c>
      <c r="AB125" s="79">
        <v>45315</v>
      </c>
      <c r="AC125">
        <f>OrdersTable[[#This Row],[Delivery Date]]-OrdersTable[[#This Row],[Order Date]]</f>
        <v>3</v>
      </c>
      <c r="AD125" t="str">
        <f>IF(OrdersTable[[#This Row],[Delivery Days]]&lt;=2, "Express (≤2d)", IF(OrdersTable[[#This Row],[Delivery Days]]&lt;=4, "Standard (3-4d)", "Delayed (5d+)"))</f>
        <v>Standard (3-4d)</v>
      </c>
      <c r="AE125">
        <v>4</v>
      </c>
      <c r="AF125">
        <v>0</v>
      </c>
    </row>
    <row r="126" spans="1:32" ht="15" x14ac:dyDescent="0.35">
      <c r="A126" t="s">
        <v>4323</v>
      </c>
      <c r="B126" s="1">
        <v>45312</v>
      </c>
      <c r="C126">
        <f>YEAR(OrdersTable[[#This Row],[Order Date]])</f>
        <v>2024</v>
      </c>
      <c r="D126" s="2">
        <f>DATE(YEAR(OrdersTable[[#This Row],[Order Date]]),MONTH(OrdersTable[[#This Row],[Order Date]]),1)</f>
        <v>45292</v>
      </c>
      <c r="E126">
        <f>MONTH(OrdersTable[[#This Row],[Order Date]])</f>
        <v>1</v>
      </c>
      <c r="F126" t="s">
        <v>4324</v>
      </c>
      <c r="G126" t="str">
        <f>IF(OrdersTable[[#This Row],[Order Date]]=_xlfn.MINIFS(Order_Date, Customer_ID, OrdersTable[[#This Row],[Customer ID]]), "New", "Repeat")</f>
        <v>New</v>
      </c>
      <c r="H126" t="s">
        <v>59</v>
      </c>
      <c r="I126" t="str">
        <f>INDEX(State!B:B,MATCH(OrdersTable[[#This Row],[State]],State!A:A,0))</f>
        <v>TN</v>
      </c>
      <c r="J126" t="str">
        <f>INDEX(State!C:C,MATCH(OrdersTable[[#This Row],[State Code]],State!B:B,0))</f>
        <v>South</v>
      </c>
      <c r="K126" t="s">
        <v>64</v>
      </c>
      <c r="L126" t="s">
        <v>50</v>
      </c>
      <c r="M126" t="s">
        <v>61</v>
      </c>
      <c r="N126" t="str">
        <f>INDEX(Products!B:B,MATCH(OrdersTable[[#This Row],[Product ID]],Products!A:A,0))</f>
        <v>Multivitamin Gummies</v>
      </c>
      <c r="O126" t="str">
        <f>INDEX(Products!C:C,MATCH(OrdersTable[[#This Row],[Product ID]],Products!A:A,0))</f>
        <v>Wellness</v>
      </c>
      <c r="P126">
        <v>1</v>
      </c>
      <c r="Q126" s="5">
        <v>699</v>
      </c>
      <c r="R126" s="74">
        <v>0.15</v>
      </c>
      <c r="S126" s="75">
        <f>OrdersTable[[#This Row],[Quantity]]*OrdersTable[[#This Row],[Unit Price]]</f>
        <v>699</v>
      </c>
      <c r="T126" s="5">
        <f>OrdersTable[[#This Row],[Gross Sale]]*OrdersTable[[#This Row],[Discount_Clean2]]</f>
        <v>104.85</v>
      </c>
      <c r="U126" s="5">
        <f>OrdersTable[[#This Row],[Gross Sale]]-OrdersTable[[#This Row],[Discount Amount]]</f>
        <v>594.15</v>
      </c>
      <c r="V126" s="77">
        <f>INDEX(Products!E:E,MATCH(OrdersTable[[#This Row],[Product ID]],Products!A:A,0))</f>
        <v>238</v>
      </c>
      <c r="W126" s="77">
        <f>OrdersTable[[#This Row],[Quantity]]*OrdersTable[[#This Row],[Unit Cost]]</f>
        <v>238</v>
      </c>
      <c r="X126" s="77">
        <f>'Dropdown Lists'!$I$2*(1+OrdersTable[[#This Row],[Returned]])</f>
        <v>60</v>
      </c>
      <c r="Y126" s="76">
        <f>OrdersTable[[#This Row],[Net Revenue]]-OrdersTable[[#This Row],[COGS]]-OrdersTable[[#This Row],[Shipping Cost]]</f>
        <v>296.14999999999998</v>
      </c>
      <c r="Z126" s="78">
        <f>IFERROR(OrdersTable[[#This Row],[Profit]]/OrdersTable[[#This Row],[Net Revenue]],0)</f>
        <v>0.49844315408566858</v>
      </c>
      <c r="AA126" t="s">
        <v>4074</v>
      </c>
      <c r="AB126" s="79">
        <v>45316</v>
      </c>
      <c r="AC126">
        <f>OrdersTable[[#This Row],[Delivery Date]]-OrdersTable[[#This Row],[Order Date]]</f>
        <v>4</v>
      </c>
      <c r="AD126" t="str">
        <f>IF(OrdersTable[[#This Row],[Delivery Days]]&lt;=2, "Express (≤2d)", IF(OrdersTable[[#This Row],[Delivery Days]]&lt;=4, "Standard (3-4d)", "Delayed (5d+)"))</f>
        <v>Standard (3-4d)</v>
      </c>
      <c r="AE126">
        <v>4</v>
      </c>
      <c r="AF126">
        <v>0</v>
      </c>
    </row>
    <row r="127" spans="1:32" ht="15" x14ac:dyDescent="0.35">
      <c r="A127" t="s">
        <v>5752</v>
      </c>
      <c r="B127" s="1">
        <v>45313</v>
      </c>
      <c r="C127">
        <f>YEAR(OrdersTable[[#This Row],[Order Date]])</f>
        <v>2024</v>
      </c>
      <c r="D127" s="2">
        <f>DATE(YEAR(OrdersTable[[#This Row],[Order Date]]),MONTH(OrdersTable[[#This Row],[Order Date]]),1)</f>
        <v>45292</v>
      </c>
      <c r="E127">
        <f>MONTH(OrdersTable[[#This Row],[Order Date]])</f>
        <v>1</v>
      </c>
      <c r="F127" t="s">
        <v>5753</v>
      </c>
      <c r="G127" t="str">
        <f>IF(OrdersTable[[#This Row],[Order Date]]=_xlfn.MINIFS(Order_Date, Customer_ID, OrdersTable[[#This Row],[Customer ID]]), "New", "Repeat")</f>
        <v>New</v>
      </c>
      <c r="H127" t="s">
        <v>76</v>
      </c>
      <c r="I127" t="str">
        <f>INDEX(State!B:B,MATCH(OrdersTable[[#This Row],[State]],State!A:A,0))</f>
        <v>UP</v>
      </c>
      <c r="J127" t="str">
        <f>INDEX(State!C:C,MATCH(OrdersTable[[#This Row],[State Code]],State!B:B,0))</f>
        <v>North</v>
      </c>
      <c r="K127" t="s">
        <v>105</v>
      </c>
      <c r="L127" t="s">
        <v>23</v>
      </c>
      <c r="M127" t="s">
        <v>148</v>
      </c>
      <c r="N127" t="str">
        <f>INDEX(Products!B:B,MATCH(OrdersTable[[#This Row],[Product ID]],Products!A:A,0))</f>
        <v>Smartwatch Strap</v>
      </c>
      <c r="O127" t="str">
        <f>INDEX(Products!C:C,MATCH(OrdersTable[[#This Row],[Product ID]],Products!A:A,0))</f>
        <v>Electronics</v>
      </c>
      <c r="P127">
        <v>2</v>
      </c>
      <c r="Q127" s="5">
        <v>499</v>
      </c>
      <c r="R127" s="74">
        <v>0.1</v>
      </c>
      <c r="S127" s="75">
        <f>OrdersTable[[#This Row],[Quantity]]*OrdersTable[[#This Row],[Unit Price]]</f>
        <v>998</v>
      </c>
      <c r="T127" s="5">
        <f>OrdersTable[[#This Row],[Gross Sale]]*OrdersTable[[#This Row],[Discount_Clean2]]</f>
        <v>99.800000000000011</v>
      </c>
      <c r="U127" s="5">
        <f>OrdersTable[[#This Row],[Gross Sale]]-OrdersTable[[#This Row],[Discount Amount]]</f>
        <v>898.2</v>
      </c>
      <c r="V127" s="77">
        <f>INDEX(Products!E:E,MATCH(OrdersTable[[#This Row],[Product ID]],Products!A:A,0))</f>
        <v>200</v>
      </c>
      <c r="W127" s="77">
        <f>OrdersTable[[#This Row],[Quantity]]*OrdersTable[[#This Row],[Unit Cost]]</f>
        <v>400</v>
      </c>
      <c r="X127" s="77">
        <f>'Dropdown Lists'!$I$2*(1+OrdersTable[[#This Row],[Returned]])</f>
        <v>60</v>
      </c>
      <c r="Y127" s="76">
        <f>OrdersTable[[#This Row],[Net Revenue]]-OrdersTable[[#This Row],[COGS]]-OrdersTable[[#This Row],[Shipping Cost]]</f>
        <v>438.20000000000005</v>
      </c>
      <c r="Z127" s="78">
        <f>IFERROR(OrdersTable[[#This Row],[Profit]]/OrdersTable[[#This Row],[Net Revenue]],0)</f>
        <v>0.4878646181251392</v>
      </c>
      <c r="AA127" t="s">
        <v>18</v>
      </c>
      <c r="AB127" s="79">
        <v>45315</v>
      </c>
      <c r="AC127">
        <f>OrdersTable[[#This Row],[Delivery Date]]-OrdersTable[[#This Row],[Order Date]]</f>
        <v>2</v>
      </c>
      <c r="AD127" t="str">
        <f>IF(OrdersTable[[#This Row],[Delivery Days]]&lt;=2, "Express (≤2d)", IF(OrdersTable[[#This Row],[Delivery Days]]&lt;=4, "Standard (3-4d)", "Delayed (5d+)"))</f>
        <v>Express (≤2d)</v>
      </c>
      <c r="AE127">
        <v>5</v>
      </c>
      <c r="AF127">
        <v>0</v>
      </c>
    </row>
    <row r="128" spans="1:32" ht="15" x14ac:dyDescent="0.35">
      <c r="A128" t="s">
        <v>5849</v>
      </c>
      <c r="B128" s="1">
        <v>45313</v>
      </c>
      <c r="C128">
        <f>YEAR(OrdersTable[[#This Row],[Order Date]])</f>
        <v>2024</v>
      </c>
      <c r="D128" s="2">
        <f>DATE(YEAR(OrdersTable[[#This Row],[Order Date]]),MONTH(OrdersTable[[#This Row],[Order Date]]),1)</f>
        <v>45292</v>
      </c>
      <c r="E128">
        <f>MONTH(OrdersTable[[#This Row],[Order Date]])</f>
        <v>1</v>
      </c>
      <c r="F128" t="s">
        <v>5850</v>
      </c>
      <c r="G128" t="str">
        <f>IF(OrdersTable[[#This Row],[Order Date]]=_xlfn.MINIFS(Order_Date, Customer_ID, OrdersTable[[#This Row],[Customer ID]]), "New", "Repeat")</f>
        <v>New</v>
      </c>
      <c r="H128" t="s">
        <v>76</v>
      </c>
      <c r="I128" t="str">
        <f>INDEX(State!B:B,MATCH(OrdersTable[[#This Row],[State]],State!A:A,0))</f>
        <v>UP</v>
      </c>
      <c r="J128" t="str">
        <f>INDEX(State!C:C,MATCH(OrdersTable[[#This Row],[State Code]],State!B:B,0))</f>
        <v>North</v>
      </c>
      <c r="K128" t="s">
        <v>77</v>
      </c>
      <c r="L128" t="s">
        <v>16</v>
      </c>
      <c r="M128" t="s">
        <v>87</v>
      </c>
      <c r="N128" t="str">
        <f>INDEX(Products!B:B,MATCH(OrdersTable[[#This Row],[Product ID]],Products!A:A,0))</f>
        <v>Linen Kurta</v>
      </c>
      <c r="O128" t="str">
        <f>INDEX(Products!C:C,MATCH(OrdersTable[[#This Row],[Product ID]],Products!A:A,0))</f>
        <v>Apparel</v>
      </c>
      <c r="P128">
        <v>2</v>
      </c>
      <c r="Q128" s="5">
        <v>1499</v>
      </c>
      <c r="R128" s="74">
        <v>0.25</v>
      </c>
      <c r="S128" s="75">
        <f>OrdersTable[[#This Row],[Quantity]]*OrdersTable[[#This Row],[Unit Price]]</f>
        <v>2998</v>
      </c>
      <c r="T128" s="5">
        <f>OrdersTable[[#This Row],[Gross Sale]]*OrdersTable[[#This Row],[Discount_Clean2]]</f>
        <v>749.5</v>
      </c>
      <c r="U128" s="5">
        <f>OrdersTable[[#This Row],[Gross Sale]]-OrdersTable[[#This Row],[Discount Amount]]</f>
        <v>2248.5</v>
      </c>
      <c r="V128" s="77">
        <f>INDEX(Products!E:E,MATCH(OrdersTable[[#This Row],[Product ID]],Products!A:A,0))</f>
        <v>630</v>
      </c>
      <c r="W128" s="77">
        <f>OrdersTable[[#This Row],[Quantity]]*OrdersTable[[#This Row],[Unit Cost]]</f>
        <v>1260</v>
      </c>
      <c r="X128" s="77">
        <f>'Dropdown Lists'!$I$2*(1+OrdersTable[[#This Row],[Returned]])</f>
        <v>60</v>
      </c>
      <c r="Y128" s="76">
        <f>OrdersTable[[#This Row],[Net Revenue]]-OrdersTable[[#This Row],[COGS]]-OrdersTable[[#This Row],[Shipping Cost]]</f>
        <v>928.5</v>
      </c>
      <c r="Z128" s="78">
        <f>IFERROR(OrdersTable[[#This Row],[Profit]]/OrdersTable[[#This Row],[Net Revenue]],0)</f>
        <v>0.41294196130753835</v>
      </c>
      <c r="AA128" t="s">
        <v>18</v>
      </c>
      <c r="AB128" s="79">
        <v>45316</v>
      </c>
      <c r="AC128">
        <f>OrdersTable[[#This Row],[Delivery Date]]-OrdersTable[[#This Row],[Order Date]]</f>
        <v>3</v>
      </c>
      <c r="AD128" t="str">
        <f>IF(OrdersTable[[#This Row],[Delivery Days]]&lt;=2, "Express (≤2d)", IF(OrdersTable[[#This Row],[Delivery Days]]&lt;=4, "Standard (3-4d)", "Delayed (5d+)"))</f>
        <v>Standard (3-4d)</v>
      </c>
      <c r="AF128">
        <v>0</v>
      </c>
    </row>
    <row r="129" spans="1:32" ht="15" x14ac:dyDescent="0.35">
      <c r="A129" t="s">
        <v>30</v>
      </c>
      <c r="B129" s="1">
        <v>45313</v>
      </c>
      <c r="C129">
        <f>YEAR(OrdersTable[[#This Row],[Order Date]])</f>
        <v>2024</v>
      </c>
      <c r="D129" s="2">
        <f>DATE(YEAR(OrdersTable[[#This Row],[Order Date]]),MONTH(OrdersTable[[#This Row],[Order Date]]),1)</f>
        <v>45292</v>
      </c>
      <c r="E129">
        <f>MONTH(OrdersTable[[#This Row],[Order Date]])</f>
        <v>1</v>
      </c>
      <c r="F129" t="s">
        <v>31</v>
      </c>
      <c r="G129" t="str">
        <f>IF(OrdersTable[[#This Row],[Order Date]]=_xlfn.MINIFS(Order_Date, Customer_ID, OrdersTable[[#This Row],[Customer ID]]), "New", "Repeat")</f>
        <v>New</v>
      </c>
      <c r="H129" t="s">
        <v>32</v>
      </c>
      <c r="I129" t="str">
        <f>INDEX(State!B:B,MATCH(OrdersTable[[#This Row],[State]],State!A:A,0))</f>
        <v>BR</v>
      </c>
      <c r="J129" t="str">
        <f>INDEX(State!C:C,MATCH(OrdersTable[[#This Row],[State Code]],State!B:B,0))</f>
        <v>East</v>
      </c>
      <c r="K129" t="s">
        <v>33</v>
      </c>
      <c r="L129" t="s">
        <v>16</v>
      </c>
      <c r="M129" t="s">
        <v>34</v>
      </c>
      <c r="N129" t="str">
        <f>INDEX(Products!B:B,MATCH(OrdersTable[[#This Row],[Product ID]],Products!A:A,0))</f>
        <v>Flip Flops</v>
      </c>
      <c r="O129" t="str">
        <f>INDEX(Products!C:C,MATCH(OrdersTable[[#This Row],[Product ID]],Products!A:A,0))</f>
        <v>Footwear</v>
      </c>
      <c r="P129">
        <v>1</v>
      </c>
      <c r="Q129" s="5">
        <v>399</v>
      </c>
      <c r="R129" s="74">
        <v>0.15</v>
      </c>
      <c r="S129" s="75">
        <f>OrdersTable[[#This Row],[Quantity]]*OrdersTable[[#This Row],[Unit Price]]</f>
        <v>399</v>
      </c>
      <c r="T129" s="5">
        <f>OrdersTable[[#This Row],[Gross Sale]]*OrdersTable[[#This Row],[Discount_Clean2]]</f>
        <v>59.849999999999994</v>
      </c>
      <c r="U129" s="5">
        <f>OrdersTable[[#This Row],[Gross Sale]]-OrdersTable[[#This Row],[Discount Amount]]</f>
        <v>339.15</v>
      </c>
      <c r="V129" s="77">
        <f>INDEX(Products!E:E,MATCH(OrdersTable[[#This Row],[Product ID]],Products!A:A,0))</f>
        <v>152</v>
      </c>
      <c r="W129" s="77">
        <f>OrdersTable[[#This Row],[Quantity]]*OrdersTable[[#This Row],[Unit Cost]]</f>
        <v>152</v>
      </c>
      <c r="X129" s="77">
        <f>'Dropdown Lists'!$I$2*(1+OrdersTable[[#This Row],[Returned]])</f>
        <v>60</v>
      </c>
      <c r="Y129" s="76">
        <f>OrdersTable[[#This Row],[Net Revenue]]-OrdersTable[[#This Row],[COGS]]-OrdersTable[[#This Row],[Shipping Cost]]</f>
        <v>127.14999999999998</v>
      </c>
      <c r="Z129" s="78">
        <f>IFERROR(OrdersTable[[#This Row],[Profit]]/OrdersTable[[#This Row],[Net Revenue]],0)</f>
        <v>0.37490785787999409</v>
      </c>
      <c r="AA129" t="s">
        <v>18</v>
      </c>
      <c r="AB129" s="79">
        <v>45319</v>
      </c>
      <c r="AC129">
        <f>OrdersTable[[#This Row],[Delivery Date]]-OrdersTable[[#This Row],[Order Date]]</f>
        <v>6</v>
      </c>
      <c r="AD129" t="str">
        <f>IF(OrdersTable[[#This Row],[Delivery Days]]&lt;=2, "Express (≤2d)", IF(OrdersTable[[#This Row],[Delivery Days]]&lt;=4, "Standard (3-4d)", "Delayed (5d+)"))</f>
        <v>Delayed (5d+)</v>
      </c>
      <c r="AE129">
        <v>4</v>
      </c>
      <c r="AF129">
        <v>0</v>
      </c>
    </row>
    <row r="130" spans="1:32" ht="15" x14ac:dyDescent="0.35">
      <c r="A130" t="s">
        <v>6660</v>
      </c>
      <c r="B130" s="1">
        <v>45313</v>
      </c>
      <c r="C130">
        <f>YEAR(OrdersTable[[#This Row],[Order Date]])</f>
        <v>2024</v>
      </c>
      <c r="D130" s="2">
        <f>DATE(YEAR(OrdersTable[[#This Row],[Order Date]]),MONTH(OrdersTable[[#This Row],[Order Date]]),1)</f>
        <v>45292</v>
      </c>
      <c r="E130">
        <f>MONTH(OrdersTable[[#This Row],[Order Date]])</f>
        <v>1</v>
      </c>
      <c r="F130" t="s">
        <v>811</v>
      </c>
      <c r="G130" t="str">
        <f>IF(OrdersTable[[#This Row],[Order Date]]=_xlfn.MINIFS(Order_Date, Customer_ID, OrdersTable[[#This Row],[Customer ID]]), "New", "Repeat")</f>
        <v>Repeat</v>
      </c>
      <c r="H130" t="s">
        <v>43</v>
      </c>
      <c r="I130" t="str">
        <f>INDEX(State!B:B,MATCH(OrdersTable[[#This Row],[State]],State!A:A,0))</f>
        <v>MP</v>
      </c>
      <c r="J130" t="str">
        <f>INDEX(State!C:C,MATCH(OrdersTable[[#This Row],[State Code]],State!B:B,0))</f>
        <v>West</v>
      </c>
      <c r="K130" t="s">
        <v>44</v>
      </c>
      <c r="L130" t="s">
        <v>65</v>
      </c>
      <c r="M130" t="s">
        <v>40</v>
      </c>
      <c r="N130" t="str">
        <f>INDEX(Products!B:B,MATCH(OrdersTable[[#This Row],[Product ID]],Products!A:A,0))</f>
        <v>Ashwagandha Capsules</v>
      </c>
      <c r="O130" t="str">
        <f>INDEX(Products!C:C,MATCH(OrdersTable[[#This Row],[Product ID]],Products!A:A,0))</f>
        <v>Wellness</v>
      </c>
      <c r="P130">
        <v>3</v>
      </c>
      <c r="Q130" s="5">
        <v>499</v>
      </c>
      <c r="R130" s="74">
        <v>0.1</v>
      </c>
      <c r="S130" s="75">
        <f>OrdersTable[[#This Row],[Quantity]]*OrdersTable[[#This Row],[Unit Price]]</f>
        <v>1497</v>
      </c>
      <c r="T130" s="5">
        <f>OrdersTable[[#This Row],[Gross Sale]]*OrdersTable[[#This Row],[Discount_Clean2]]</f>
        <v>149.70000000000002</v>
      </c>
      <c r="U130" s="5">
        <f>OrdersTable[[#This Row],[Gross Sale]]-OrdersTable[[#This Row],[Discount Amount]]</f>
        <v>1347.3</v>
      </c>
      <c r="V130" s="77">
        <f>INDEX(Products!E:E,MATCH(OrdersTable[[#This Row],[Product ID]],Products!A:A,0))</f>
        <v>150</v>
      </c>
      <c r="W130" s="77">
        <f>OrdersTable[[#This Row],[Quantity]]*OrdersTable[[#This Row],[Unit Cost]]</f>
        <v>450</v>
      </c>
      <c r="X130" s="77">
        <f>'Dropdown Lists'!$I$2*(1+OrdersTable[[#This Row],[Returned]])</f>
        <v>60</v>
      </c>
      <c r="Y130" s="76">
        <f>OrdersTable[[#This Row],[Net Revenue]]-OrdersTable[[#This Row],[COGS]]-OrdersTable[[#This Row],[Shipping Cost]]</f>
        <v>837.3</v>
      </c>
      <c r="Z130" s="78">
        <f>IFERROR(OrdersTable[[#This Row],[Profit]]/OrdersTable[[#This Row],[Net Revenue]],0)</f>
        <v>0.62146515252727674</v>
      </c>
      <c r="AA130" t="s">
        <v>2522</v>
      </c>
      <c r="AB130" s="79">
        <v>45315</v>
      </c>
      <c r="AC130">
        <f>OrdersTable[[#This Row],[Delivery Date]]-OrdersTable[[#This Row],[Order Date]]</f>
        <v>2</v>
      </c>
      <c r="AD130" t="str">
        <f>IF(OrdersTable[[#This Row],[Delivery Days]]&lt;=2, "Express (≤2d)", IF(OrdersTable[[#This Row],[Delivery Days]]&lt;=4, "Standard (3-4d)", "Delayed (5d+)"))</f>
        <v>Express (≤2d)</v>
      </c>
      <c r="AE130">
        <v>5</v>
      </c>
      <c r="AF130">
        <v>0</v>
      </c>
    </row>
    <row r="131" spans="1:32" ht="15" x14ac:dyDescent="0.35">
      <c r="A131" t="s">
        <v>7142</v>
      </c>
      <c r="B131" s="1">
        <v>45313</v>
      </c>
      <c r="C131">
        <f>YEAR(OrdersTable[[#This Row],[Order Date]])</f>
        <v>2024</v>
      </c>
      <c r="D131" s="2">
        <f>DATE(YEAR(OrdersTable[[#This Row],[Order Date]]),MONTH(OrdersTable[[#This Row],[Order Date]]),1)</f>
        <v>45292</v>
      </c>
      <c r="E131">
        <f>MONTH(OrdersTable[[#This Row],[Order Date]])</f>
        <v>1</v>
      </c>
      <c r="F131" t="s">
        <v>7143</v>
      </c>
      <c r="G131" t="str">
        <f>IF(OrdersTable[[#This Row],[Order Date]]=_xlfn.MINIFS(Order_Date, Customer_ID, OrdersTable[[#This Row],[Customer ID]]), "New", "Repeat")</f>
        <v>New</v>
      </c>
      <c r="H131" t="s">
        <v>43</v>
      </c>
      <c r="I131" t="str">
        <f>INDEX(State!B:B,MATCH(OrdersTable[[#This Row],[State]],State!A:A,0))</f>
        <v>MP</v>
      </c>
      <c r="J131" t="str">
        <f>INDEX(State!C:C,MATCH(OrdersTable[[#This Row],[State Code]],State!B:B,0))</f>
        <v>West</v>
      </c>
      <c r="K131" t="s">
        <v>250</v>
      </c>
      <c r="L131" t="s">
        <v>39</v>
      </c>
      <c r="M131" t="s">
        <v>51</v>
      </c>
      <c r="N131" t="str">
        <f>INDEX(Products!B:B,MATCH(OrdersTable[[#This Row],[Product ID]],Products!A:A,0))</f>
        <v>Anti-Dandruff Conditioner</v>
      </c>
      <c r="O131" t="str">
        <f>INDEX(Products!C:C,MATCH(OrdersTable[[#This Row],[Product ID]],Products!A:A,0))</f>
        <v>Haircare</v>
      </c>
      <c r="P131">
        <v>5</v>
      </c>
      <c r="Q131" s="5">
        <v>399</v>
      </c>
      <c r="R131" s="74">
        <v>0.3</v>
      </c>
      <c r="S131" s="75">
        <f>OrdersTable[[#This Row],[Quantity]]*OrdersTable[[#This Row],[Unit Price]]</f>
        <v>1995</v>
      </c>
      <c r="T131" s="5">
        <f>OrdersTable[[#This Row],[Gross Sale]]*OrdersTable[[#This Row],[Discount_Clean2]]</f>
        <v>598.5</v>
      </c>
      <c r="U131" s="5">
        <f>OrdersTable[[#This Row],[Gross Sale]]-OrdersTable[[#This Row],[Discount Amount]]</f>
        <v>1396.5</v>
      </c>
      <c r="V131" s="77">
        <f>INDEX(Products!E:E,MATCH(OrdersTable[[#This Row],[Product ID]],Products!A:A,0))</f>
        <v>136</v>
      </c>
      <c r="W131" s="77">
        <f>OrdersTable[[#This Row],[Quantity]]*OrdersTable[[#This Row],[Unit Cost]]</f>
        <v>680</v>
      </c>
      <c r="X131" s="77">
        <f>'Dropdown Lists'!$I$2*(1+OrdersTable[[#This Row],[Returned]])</f>
        <v>60</v>
      </c>
      <c r="Y131" s="76">
        <f>OrdersTable[[#This Row],[Net Revenue]]-OrdersTable[[#This Row],[COGS]]-OrdersTable[[#This Row],[Shipping Cost]]</f>
        <v>656.5</v>
      </c>
      <c r="Z131" s="78">
        <f>IFERROR(OrdersTable[[#This Row],[Profit]]/OrdersTable[[#This Row],[Net Revenue]],0)</f>
        <v>0.47010383100608666</v>
      </c>
      <c r="AA131" t="s">
        <v>18</v>
      </c>
      <c r="AB131" s="79">
        <v>45318</v>
      </c>
      <c r="AC131">
        <f>OrdersTable[[#This Row],[Delivery Date]]-OrdersTable[[#This Row],[Order Date]]</f>
        <v>5</v>
      </c>
      <c r="AD131" t="str">
        <f>IF(OrdersTable[[#This Row],[Delivery Days]]&lt;=2, "Express (≤2d)", IF(OrdersTable[[#This Row],[Delivery Days]]&lt;=4, "Standard (3-4d)", "Delayed (5d+)"))</f>
        <v>Delayed (5d+)</v>
      </c>
      <c r="AF131">
        <v>0</v>
      </c>
    </row>
    <row r="132" spans="1:32" ht="15" x14ac:dyDescent="0.35">
      <c r="A132" t="s">
        <v>5851</v>
      </c>
      <c r="B132" s="1">
        <v>45313</v>
      </c>
      <c r="C132">
        <f>YEAR(OrdersTable[[#This Row],[Order Date]])</f>
        <v>2024</v>
      </c>
      <c r="D132" s="2">
        <f>DATE(YEAR(OrdersTable[[#This Row],[Order Date]]),MONTH(OrdersTable[[#This Row],[Order Date]]),1)</f>
        <v>45292</v>
      </c>
      <c r="E132">
        <f>MONTH(OrdersTable[[#This Row],[Order Date]])</f>
        <v>1</v>
      </c>
      <c r="F132" t="s">
        <v>3759</v>
      </c>
      <c r="G132" t="str">
        <f>IF(OrdersTable[[#This Row],[Order Date]]=_xlfn.MINIFS(Order_Date, Customer_ID, OrdersTable[[#This Row],[Customer ID]]), "New", "Repeat")</f>
        <v>Repeat</v>
      </c>
      <c r="H132" t="s">
        <v>123</v>
      </c>
      <c r="I132" t="str">
        <f>INDEX(State!B:B,MATCH(OrdersTable[[#This Row],[State]],State!A:A,0))</f>
        <v>JH</v>
      </c>
      <c r="J132" t="str">
        <f>INDEX(State!C:C,MATCH(OrdersTable[[#This Row],[State Code]],State!B:B,0))</f>
        <v>East</v>
      </c>
      <c r="K132" t="s">
        <v>124</v>
      </c>
      <c r="L132" t="s">
        <v>65</v>
      </c>
      <c r="M132" t="s">
        <v>84</v>
      </c>
      <c r="N132" t="str">
        <f>INDEX(Products!B:B,MATCH(OrdersTable[[#This Row],[Product ID]],Products!A:A,0))</f>
        <v>Cotton Bedsheet</v>
      </c>
      <c r="O132" t="str">
        <f>INDEX(Products!C:C,MATCH(OrdersTable[[#This Row],[Product ID]],Products!A:A,0))</f>
        <v>Home &amp; Kitchen</v>
      </c>
      <c r="P132">
        <v>2</v>
      </c>
      <c r="Q132" s="5">
        <v>1299</v>
      </c>
      <c r="R132" s="74">
        <v>0</v>
      </c>
      <c r="S132" s="75">
        <f>OrdersTable[[#This Row],[Quantity]]*OrdersTable[[#This Row],[Unit Price]]</f>
        <v>2598</v>
      </c>
      <c r="T132" s="5">
        <f>OrdersTable[[#This Row],[Gross Sale]]*OrdersTable[[#This Row],[Discount_Clean2]]</f>
        <v>0</v>
      </c>
      <c r="U132" s="5">
        <f>OrdersTable[[#This Row],[Gross Sale]]-OrdersTable[[#This Row],[Discount Amount]]</f>
        <v>2598</v>
      </c>
      <c r="V132" s="77">
        <f>INDEX(Products!E:E,MATCH(OrdersTable[[#This Row],[Product ID]],Products!A:A,0))</f>
        <v>585</v>
      </c>
      <c r="W132" s="77">
        <f>OrdersTable[[#This Row],[Quantity]]*OrdersTable[[#This Row],[Unit Cost]]</f>
        <v>1170</v>
      </c>
      <c r="X132" s="77">
        <f>'Dropdown Lists'!$I$2*(1+OrdersTable[[#This Row],[Returned]])</f>
        <v>120</v>
      </c>
      <c r="Y132" s="76">
        <f>OrdersTable[[#This Row],[Net Revenue]]-OrdersTable[[#This Row],[COGS]]-OrdersTable[[#This Row],[Shipping Cost]]</f>
        <v>1308</v>
      </c>
      <c r="Z132" s="78">
        <f>IFERROR(OrdersTable[[#This Row],[Profit]]/OrdersTable[[#This Row],[Net Revenue]],0)</f>
        <v>0.50346420323325636</v>
      </c>
      <c r="AA132" t="s">
        <v>18</v>
      </c>
      <c r="AB132" s="79">
        <v>45317</v>
      </c>
      <c r="AC132">
        <f>OrdersTable[[#This Row],[Delivery Date]]-OrdersTable[[#This Row],[Order Date]]</f>
        <v>4</v>
      </c>
      <c r="AD132" t="str">
        <f>IF(OrdersTable[[#This Row],[Delivery Days]]&lt;=2, "Express (≤2d)", IF(OrdersTable[[#This Row],[Delivery Days]]&lt;=4, "Standard (3-4d)", "Delayed (5d+)"))</f>
        <v>Standard (3-4d)</v>
      </c>
      <c r="AF132">
        <v>1</v>
      </c>
    </row>
    <row r="133" spans="1:32" ht="15" x14ac:dyDescent="0.35">
      <c r="A133" t="s">
        <v>722</v>
      </c>
      <c r="B133" s="1">
        <v>45313</v>
      </c>
      <c r="C133">
        <f>YEAR(OrdersTable[[#This Row],[Order Date]])</f>
        <v>2024</v>
      </c>
      <c r="D133" s="2">
        <f>DATE(YEAR(OrdersTable[[#This Row],[Order Date]]),MONTH(OrdersTable[[#This Row],[Order Date]]),1)</f>
        <v>45292</v>
      </c>
      <c r="E133">
        <f>MONTH(OrdersTable[[#This Row],[Order Date]])</f>
        <v>1</v>
      </c>
      <c r="F133" t="s">
        <v>723</v>
      </c>
      <c r="G133" t="str">
        <f>IF(OrdersTable[[#This Row],[Order Date]]=_xlfn.MINIFS(Order_Date, Customer_ID, OrdersTable[[#This Row],[Customer ID]]), "New", "Repeat")</f>
        <v>New</v>
      </c>
      <c r="H133" t="s">
        <v>71</v>
      </c>
      <c r="I133" t="str">
        <f>INDEX(State!B:B,MATCH(OrdersTable[[#This Row],[State]],State!A:A,0))</f>
        <v>MH</v>
      </c>
      <c r="J133" t="str">
        <f>INDEX(State!C:C,MATCH(OrdersTable[[#This Row],[State Code]],State!B:B,0))</f>
        <v>West</v>
      </c>
      <c r="K133" t="s">
        <v>72</v>
      </c>
      <c r="L133" t="s">
        <v>65</v>
      </c>
      <c r="M133" t="s">
        <v>40</v>
      </c>
      <c r="N133" t="str">
        <f>INDEX(Products!B:B,MATCH(OrdersTable[[#This Row],[Product ID]],Products!A:A,0))</f>
        <v>Ashwagandha Capsules</v>
      </c>
      <c r="O133" t="str">
        <f>INDEX(Products!C:C,MATCH(OrdersTable[[#This Row],[Product ID]],Products!A:A,0))</f>
        <v>Wellness</v>
      </c>
      <c r="P133">
        <v>1</v>
      </c>
      <c r="Q133" s="5">
        <v>499</v>
      </c>
      <c r="R133" s="74">
        <v>0.05</v>
      </c>
      <c r="S133" s="75">
        <f>OrdersTable[[#This Row],[Quantity]]*OrdersTable[[#This Row],[Unit Price]]</f>
        <v>499</v>
      </c>
      <c r="T133" s="5">
        <f>OrdersTable[[#This Row],[Gross Sale]]*OrdersTable[[#This Row],[Discount_Clean2]]</f>
        <v>24.950000000000003</v>
      </c>
      <c r="U133" s="5">
        <f>OrdersTable[[#This Row],[Gross Sale]]-OrdersTable[[#This Row],[Discount Amount]]</f>
        <v>474.05</v>
      </c>
      <c r="V133" s="77">
        <f>INDEX(Products!E:E,MATCH(OrdersTable[[#This Row],[Product ID]],Products!A:A,0))</f>
        <v>150</v>
      </c>
      <c r="W133" s="77">
        <f>OrdersTable[[#This Row],[Quantity]]*OrdersTable[[#This Row],[Unit Cost]]</f>
        <v>150</v>
      </c>
      <c r="X133" s="77">
        <f>'Dropdown Lists'!$I$2*(1+OrdersTable[[#This Row],[Returned]])</f>
        <v>60</v>
      </c>
      <c r="Y133" s="76">
        <f>OrdersTable[[#This Row],[Net Revenue]]-OrdersTable[[#This Row],[COGS]]-OrdersTable[[#This Row],[Shipping Cost]]</f>
        <v>264.05</v>
      </c>
      <c r="Z133" s="78">
        <f>IFERROR(OrdersTable[[#This Row],[Profit]]/OrdersTable[[#This Row],[Net Revenue]],0)</f>
        <v>0.55700875435080688</v>
      </c>
      <c r="AA133" t="s">
        <v>18</v>
      </c>
      <c r="AB133" s="79">
        <v>45316</v>
      </c>
      <c r="AC133">
        <f>OrdersTable[[#This Row],[Delivery Date]]-OrdersTable[[#This Row],[Order Date]]</f>
        <v>3</v>
      </c>
      <c r="AD133" t="str">
        <f>IF(OrdersTable[[#This Row],[Delivery Days]]&lt;=2, "Express (≤2d)", IF(OrdersTable[[#This Row],[Delivery Days]]&lt;=4, "Standard (3-4d)", "Delayed (5d+)"))</f>
        <v>Standard (3-4d)</v>
      </c>
      <c r="AE133">
        <v>4</v>
      </c>
      <c r="AF133">
        <v>0</v>
      </c>
    </row>
    <row r="134" spans="1:32" ht="15" x14ac:dyDescent="0.35">
      <c r="A134" t="s">
        <v>5852</v>
      </c>
      <c r="B134" s="1">
        <v>45313</v>
      </c>
      <c r="C134">
        <f>YEAR(OrdersTable[[#This Row],[Order Date]])</f>
        <v>2024</v>
      </c>
      <c r="D134" s="2">
        <f>DATE(YEAR(OrdersTable[[#This Row],[Order Date]]),MONTH(OrdersTable[[#This Row],[Order Date]]),1)</f>
        <v>45292</v>
      </c>
      <c r="E134">
        <f>MONTH(OrdersTable[[#This Row],[Order Date]])</f>
        <v>1</v>
      </c>
      <c r="F134" t="s">
        <v>120</v>
      </c>
      <c r="G134" t="str">
        <f>IF(OrdersTable[[#This Row],[Order Date]]=_xlfn.MINIFS(Order_Date, Customer_ID, OrdersTable[[#This Row],[Customer ID]]), "New", "Repeat")</f>
        <v>New</v>
      </c>
      <c r="H134" t="s">
        <v>275</v>
      </c>
      <c r="I134" t="str">
        <f>INDEX(State!B:B,MATCH(OrdersTable[[#This Row],[State]],State!A:A,0))</f>
        <v>AP</v>
      </c>
      <c r="J134" t="str">
        <f>INDEX(State!C:C,MATCH(OrdersTable[[#This Row],[State Code]],State!B:B,0))</f>
        <v>South</v>
      </c>
      <c r="K134" t="s">
        <v>276</v>
      </c>
      <c r="L134" t="s">
        <v>39</v>
      </c>
      <c r="M134" t="s">
        <v>56</v>
      </c>
      <c r="N134" t="str">
        <f>INDEX(Products!B:B,MATCH(OrdersTable[[#This Row],[Product ID]],Products!A:A,0))</f>
        <v>Vitamin C Face Serum</v>
      </c>
      <c r="O134" t="str">
        <f>INDEX(Products!C:C,MATCH(OrdersTable[[#This Row],[Product ID]],Products!A:A,0))</f>
        <v>Skincare</v>
      </c>
      <c r="P134">
        <v>2</v>
      </c>
      <c r="Q134" s="5">
        <v>599</v>
      </c>
      <c r="R134" s="74">
        <v>0.05</v>
      </c>
      <c r="S134" s="75">
        <f>OrdersTable[[#This Row],[Quantity]]*OrdersTable[[#This Row],[Unit Price]]</f>
        <v>1198</v>
      </c>
      <c r="T134" s="5">
        <f>OrdersTable[[#This Row],[Gross Sale]]*OrdersTable[[#This Row],[Discount_Clean2]]</f>
        <v>59.900000000000006</v>
      </c>
      <c r="U134" s="5">
        <f>OrdersTable[[#This Row],[Gross Sale]]-OrdersTable[[#This Row],[Discount Amount]]</f>
        <v>1138.0999999999999</v>
      </c>
      <c r="V134" s="77">
        <f>INDEX(Products!E:E,MATCH(OrdersTable[[#This Row],[Product ID]],Products!A:A,0))</f>
        <v>180</v>
      </c>
      <c r="W134" s="77">
        <f>OrdersTable[[#This Row],[Quantity]]*OrdersTable[[#This Row],[Unit Cost]]</f>
        <v>360</v>
      </c>
      <c r="X134" s="77">
        <f>'Dropdown Lists'!$I$2*(1+OrdersTable[[#This Row],[Returned]])</f>
        <v>60</v>
      </c>
      <c r="Y134" s="76">
        <f>OrdersTable[[#This Row],[Net Revenue]]-OrdersTable[[#This Row],[COGS]]-OrdersTable[[#This Row],[Shipping Cost]]</f>
        <v>718.09999999999991</v>
      </c>
      <c r="Z134" s="78">
        <f>IFERROR(OrdersTable[[#This Row],[Profit]]/OrdersTable[[#This Row],[Net Revenue]],0)</f>
        <v>0.63096388718038832</v>
      </c>
      <c r="AA134" t="s">
        <v>18</v>
      </c>
      <c r="AB134" s="79">
        <v>45315</v>
      </c>
      <c r="AC134">
        <f>OrdersTable[[#This Row],[Delivery Date]]-OrdersTable[[#This Row],[Order Date]]</f>
        <v>2</v>
      </c>
      <c r="AD134" t="str">
        <f>IF(OrdersTable[[#This Row],[Delivery Days]]&lt;=2, "Express (≤2d)", IF(OrdersTable[[#This Row],[Delivery Days]]&lt;=4, "Standard (3-4d)", "Delayed (5d+)"))</f>
        <v>Express (≤2d)</v>
      </c>
      <c r="AF134">
        <v>0</v>
      </c>
    </row>
    <row r="135" spans="1:32" ht="15" x14ac:dyDescent="0.35">
      <c r="A135" t="s">
        <v>3704</v>
      </c>
      <c r="B135" s="1">
        <v>45313</v>
      </c>
      <c r="C135">
        <f>YEAR(OrdersTable[[#This Row],[Order Date]])</f>
        <v>2024</v>
      </c>
      <c r="D135" s="2">
        <f>DATE(YEAR(OrdersTable[[#This Row],[Order Date]]),MONTH(OrdersTable[[#This Row],[Order Date]]),1)</f>
        <v>45292</v>
      </c>
      <c r="E135">
        <f>MONTH(OrdersTable[[#This Row],[Order Date]])</f>
        <v>1</v>
      </c>
      <c r="F135" t="s">
        <v>3705</v>
      </c>
      <c r="G135" t="str">
        <f>IF(OrdersTable[[#This Row],[Order Date]]=_xlfn.MINIFS(Order_Date, Customer_ID, OrdersTable[[#This Row],[Customer ID]]), "New", "Repeat")</f>
        <v>New</v>
      </c>
      <c r="H135" t="s">
        <v>59</v>
      </c>
      <c r="I135" t="str">
        <f>INDEX(State!B:B,MATCH(OrdersTable[[#This Row],[State]],State!A:A,0))</f>
        <v>TN</v>
      </c>
      <c r="J135" t="str">
        <f>INDEX(State!C:C,MATCH(OrdersTable[[#This Row],[State Code]],State!B:B,0))</f>
        <v>South</v>
      </c>
      <c r="K135" t="s">
        <v>64</v>
      </c>
      <c r="L135" t="s">
        <v>65</v>
      </c>
      <c r="M135" t="s">
        <v>84</v>
      </c>
      <c r="N135" t="str">
        <f>INDEX(Products!B:B,MATCH(OrdersTable[[#This Row],[Product ID]],Products!A:A,0))</f>
        <v>Cotton Bedsheet</v>
      </c>
      <c r="O135" t="str">
        <f>INDEX(Products!C:C,MATCH(OrdersTable[[#This Row],[Product ID]],Products!A:A,0))</f>
        <v>Home &amp; Kitchen</v>
      </c>
      <c r="P135">
        <v>1</v>
      </c>
      <c r="Q135" s="5">
        <v>1299</v>
      </c>
      <c r="R135" s="74">
        <v>0</v>
      </c>
      <c r="S135" s="75">
        <f>OrdersTable[[#This Row],[Quantity]]*OrdersTable[[#This Row],[Unit Price]]</f>
        <v>1299</v>
      </c>
      <c r="T135" s="5">
        <f>OrdersTable[[#This Row],[Gross Sale]]*OrdersTable[[#This Row],[Discount_Clean2]]</f>
        <v>0</v>
      </c>
      <c r="U135" s="5">
        <f>OrdersTable[[#This Row],[Gross Sale]]-OrdersTable[[#This Row],[Discount Amount]]</f>
        <v>1299</v>
      </c>
      <c r="V135" s="77">
        <f>INDEX(Products!E:E,MATCH(OrdersTable[[#This Row],[Product ID]],Products!A:A,0))</f>
        <v>585</v>
      </c>
      <c r="W135" s="77">
        <f>OrdersTable[[#This Row],[Quantity]]*OrdersTable[[#This Row],[Unit Cost]]</f>
        <v>585</v>
      </c>
      <c r="X135" s="77">
        <f>'Dropdown Lists'!$I$2*(1+OrdersTable[[#This Row],[Returned]])</f>
        <v>60</v>
      </c>
      <c r="Y135" s="76">
        <f>OrdersTable[[#This Row],[Net Revenue]]-OrdersTable[[#This Row],[COGS]]-OrdersTable[[#This Row],[Shipping Cost]]</f>
        <v>654</v>
      </c>
      <c r="Z135" s="78">
        <f>IFERROR(OrdersTable[[#This Row],[Profit]]/OrdersTable[[#This Row],[Net Revenue]],0)</f>
        <v>0.50346420323325636</v>
      </c>
      <c r="AA135" t="s">
        <v>3495</v>
      </c>
      <c r="AB135" s="79">
        <v>45316</v>
      </c>
      <c r="AC135">
        <f>OrdersTable[[#This Row],[Delivery Date]]-OrdersTable[[#This Row],[Order Date]]</f>
        <v>3</v>
      </c>
      <c r="AD135" t="str">
        <f>IF(OrdersTable[[#This Row],[Delivery Days]]&lt;=2, "Express (≤2d)", IF(OrdersTable[[#This Row],[Delivery Days]]&lt;=4, "Standard (3-4d)", "Delayed (5d+)"))</f>
        <v>Standard (3-4d)</v>
      </c>
      <c r="AF135">
        <v>0</v>
      </c>
    </row>
    <row r="136" spans="1:32" ht="15" x14ac:dyDescent="0.35">
      <c r="A136" t="s">
        <v>4554</v>
      </c>
      <c r="B136" s="1">
        <v>45313</v>
      </c>
      <c r="C136">
        <f>YEAR(OrdersTable[[#This Row],[Order Date]])</f>
        <v>2024</v>
      </c>
      <c r="D136" s="2">
        <f>DATE(YEAR(OrdersTable[[#This Row],[Order Date]]),MONTH(OrdersTable[[#This Row],[Order Date]]),1)</f>
        <v>45292</v>
      </c>
      <c r="E136">
        <f>MONTH(OrdersTable[[#This Row],[Order Date]])</f>
        <v>1</v>
      </c>
      <c r="F136" t="s">
        <v>2209</v>
      </c>
      <c r="G136" t="str">
        <f>IF(OrdersTable[[#This Row],[Order Date]]=_xlfn.MINIFS(Order_Date, Customer_ID, OrdersTable[[#This Row],[Customer ID]]), "New", "Repeat")</f>
        <v>New</v>
      </c>
      <c r="H136" t="s">
        <v>59</v>
      </c>
      <c r="I136" t="str">
        <f>INDEX(State!B:B,MATCH(OrdersTable[[#This Row],[State]],State!A:A,0))</f>
        <v>TN</v>
      </c>
      <c r="J136" t="str">
        <f>INDEX(State!C:C,MATCH(OrdersTable[[#This Row],[State Code]],State!B:B,0))</f>
        <v>South</v>
      </c>
      <c r="K136" t="s">
        <v>64</v>
      </c>
      <c r="L136" t="s">
        <v>23</v>
      </c>
      <c r="M136" t="s">
        <v>160</v>
      </c>
      <c r="N136" t="str">
        <f>INDEX(Products!B:B,MATCH(OrdersTable[[#This Row],[Product ID]],Products!A:A,0))</f>
        <v>Niacinamide Toner</v>
      </c>
      <c r="O136" t="str">
        <f>INDEX(Products!C:C,MATCH(OrdersTable[[#This Row],[Product ID]],Products!A:A,0))</f>
        <v>Skincare</v>
      </c>
      <c r="P136">
        <v>1</v>
      </c>
      <c r="Q136" s="5">
        <v>399</v>
      </c>
      <c r="R136" s="74">
        <v>0.15</v>
      </c>
      <c r="S136" s="75">
        <f>OrdersTable[[#This Row],[Quantity]]*OrdersTable[[#This Row],[Unit Price]]</f>
        <v>399</v>
      </c>
      <c r="T136" s="5">
        <f>OrdersTable[[#This Row],[Gross Sale]]*OrdersTable[[#This Row],[Discount_Clean2]]</f>
        <v>59.849999999999994</v>
      </c>
      <c r="U136" s="5">
        <f>OrdersTable[[#This Row],[Gross Sale]]-OrdersTable[[#This Row],[Discount Amount]]</f>
        <v>339.15</v>
      </c>
      <c r="V136" s="77">
        <f>INDEX(Products!E:E,MATCH(OrdersTable[[#This Row],[Product ID]],Products!A:A,0))</f>
        <v>112</v>
      </c>
      <c r="W136" s="77">
        <f>OrdersTable[[#This Row],[Quantity]]*OrdersTable[[#This Row],[Unit Cost]]</f>
        <v>112</v>
      </c>
      <c r="X136" s="77">
        <f>'Dropdown Lists'!$I$2*(1+OrdersTable[[#This Row],[Returned]])</f>
        <v>120</v>
      </c>
      <c r="Y136" s="76">
        <f>OrdersTable[[#This Row],[Net Revenue]]-OrdersTable[[#This Row],[COGS]]-OrdersTable[[#This Row],[Shipping Cost]]</f>
        <v>107.14999999999998</v>
      </c>
      <c r="Z136" s="78">
        <f>IFERROR(OrdersTable[[#This Row],[Profit]]/OrdersTable[[#This Row],[Net Revenue]],0)</f>
        <v>0.31593690107621991</v>
      </c>
      <c r="AA136" t="s">
        <v>4450</v>
      </c>
      <c r="AB136" s="79">
        <v>45316</v>
      </c>
      <c r="AC136">
        <f>OrdersTable[[#This Row],[Delivery Date]]-OrdersTable[[#This Row],[Order Date]]</f>
        <v>3</v>
      </c>
      <c r="AD136" t="str">
        <f>IF(OrdersTable[[#This Row],[Delivery Days]]&lt;=2, "Express (≤2d)", IF(OrdersTable[[#This Row],[Delivery Days]]&lt;=4, "Standard (3-4d)", "Delayed (5d+)"))</f>
        <v>Standard (3-4d)</v>
      </c>
      <c r="AF136">
        <v>1</v>
      </c>
    </row>
    <row r="137" spans="1:32" ht="15" x14ac:dyDescent="0.35">
      <c r="A137" t="s">
        <v>2204</v>
      </c>
      <c r="B137" s="1">
        <v>45314</v>
      </c>
      <c r="C137">
        <f>YEAR(OrdersTable[[#This Row],[Order Date]])</f>
        <v>2024</v>
      </c>
      <c r="D137" s="2">
        <f>DATE(YEAR(OrdersTable[[#This Row],[Order Date]]),MONTH(OrdersTable[[#This Row],[Order Date]]),1)</f>
        <v>45292</v>
      </c>
      <c r="E137">
        <f>MONTH(OrdersTable[[#This Row],[Order Date]])</f>
        <v>1</v>
      </c>
      <c r="F137" t="s">
        <v>2205</v>
      </c>
      <c r="G137" t="str">
        <f>IF(OrdersTable[[#This Row],[Order Date]]=_xlfn.MINIFS(Order_Date, Customer_ID, OrdersTable[[#This Row],[Customer ID]]), "New", "Repeat")</f>
        <v>New</v>
      </c>
      <c r="H137" t="s">
        <v>21</v>
      </c>
      <c r="I137" t="str">
        <f>INDEX(State!B:B,MATCH(OrdersTable[[#This Row],[State]],State!A:A,0))</f>
        <v>PB</v>
      </c>
      <c r="J137" t="str">
        <f>INDEX(State!C:C,MATCH(OrdersTable[[#This Row],[State Code]],State!B:B,0))</f>
        <v>North</v>
      </c>
      <c r="K137" t="s">
        <v>22</v>
      </c>
      <c r="L137" t="s">
        <v>65</v>
      </c>
      <c r="M137" t="s">
        <v>24</v>
      </c>
      <c r="N137" t="str">
        <f>INDEX(Products!B:B,MATCH(OrdersTable[[#This Row],[Product ID]],Products!A:A,0))</f>
        <v>Scented Candle Set</v>
      </c>
      <c r="O137" t="str">
        <f>INDEX(Products!C:C,MATCH(OrdersTable[[#This Row],[Product ID]],Products!A:A,0))</f>
        <v>Home &amp; Kitchen</v>
      </c>
      <c r="P137">
        <v>1</v>
      </c>
      <c r="Q137" s="5">
        <v>699</v>
      </c>
      <c r="R137" s="74">
        <v>0.2</v>
      </c>
      <c r="S137" s="75">
        <f>OrdersTable[[#This Row],[Quantity]]*OrdersTable[[#This Row],[Unit Price]]</f>
        <v>699</v>
      </c>
      <c r="T137" s="5">
        <f>OrdersTable[[#This Row],[Gross Sale]]*OrdersTable[[#This Row],[Discount_Clean2]]</f>
        <v>139.80000000000001</v>
      </c>
      <c r="U137" s="5">
        <f>OrdersTable[[#This Row],[Gross Sale]]-OrdersTable[[#This Row],[Discount Amount]]</f>
        <v>559.20000000000005</v>
      </c>
      <c r="V137" s="77">
        <f>INDEX(Products!E:E,MATCH(OrdersTable[[#This Row],[Product ID]],Products!A:A,0))</f>
        <v>245</v>
      </c>
      <c r="W137" s="77">
        <f>OrdersTable[[#This Row],[Quantity]]*OrdersTable[[#This Row],[Unit Cost]]</f>
        <v>245</v>
      </c>
      <c r="X137" s="77">
        <f>'Dropdown Lists'!$I$2*(1+OrdersTable[[#This Row],[Returned]])</f>
        <v>60</v>
      </c>
      <c r="Y137" s="76">
        <f>OrdersTable[[#This Row],[Net Revenue]]-OrdersTable[[#This Row],[COGS]]-OrdersTable[[#This Row],[Shipping Cost]]</f>
        <v>254.20000000000005</v>
      </c>
      <c r="Z137" s="78">
        <f>IFERROR(OrdersTable[[#This Row],[Profit]]/OrdersTable[[#This Row],[Net Revenue]],0)</f>
        <v>0.45457796852646642</v>
      </c>
      <c r="AA137" t="s">
        <v>18</v>
      </c>
      <c r="AB137" s="79">
        <v>45316</v>
      </c>
      <c r="AC137">
        <f>OrdersTable[[#This Row],[Delivery Date]]-OrdersTable[[#This Row],[Order Date]]</f>
        <v>2</v>
      </c>
      <c r="AD137" t="str">
        <f>IF(OrdersTable[[#This Row],[Delivery Days]]&lt;=2, "Express (≤2d)", IF(OrdersTable[[#This Row],[Delivery Days]]&lt;=4, "Standard (3-4d)", "Delayed (5d+)"))</f>
        <v>Express (≤2d)</v>
      </c>
      <c r="AE137">
        <v>5</v>
      </c>
      <c r="AF137">
        <v>0</v>
      </c>
    </row>
    <row r="138" spans="1:32" ht="15" x14ac:dyDescent="0.35">
      <c r="A138" t="s">
        <v>6841</v>
      </c>
      <c r="B138" s="1">
        <v>45314</v>
      </c>
      <c r="C138">
        <f>YEAR(OrdersTable[[#This Row],[Order Date]])</f>
        <v>2024</v>
      </c>
      <c r="D138" s="2">
        <f>DATE(YEAR(OrdersTable[[#This Row],[Order Date]]),MONTH(OrdersTable[[#This Row],[Order Date]]),1)</f>
        <v>45292</v>
      </c>
      <c r="E138">
        <f>MONTH(OrdersTable[[#This Row],[Order Date]])</f>
        <v>1</v>
      </c>
      <c r="F138" t="s">
        <v>6842</v>
      </c>
      <c r="G138" t="str">
        <f>IF(OrdersTable[[#This Row],[Order Date]]=_xlfn.MINIFS(Order_Date, Customer_ID, OrdersTable[[#This Row],[Customer ID]]), "New", "Repeat")</f>
        <v>New</v>
      </c>
      <c r="H138" t="s">
        <v>37</v>
      </c>
      <c r="I138" t="str">
        <f>INDEX(State!B:B,MATCH(OrdersTable[[#This Row],[State]],State!A:A,0))</f>
        <v>GJ</v>
      </c>
      <c r="J138" t="str">
        <f>INDEX(State!C:C,MATCH(OrdersTable[[#This Row],[State Code]],State!B:B,0))</f>
        <v>West</v>
      </c>
      <c r="K138" t="s">
        <v>247</v>
      </c>
      <c r="L138" t="s">
        <v>23</v>
      </c>
      <c r="M138" t="s">
        <v>78</v>
      </c>
      <c r="N138" t="str">
        <f>INDEX(Products!B:B,MATCH(OrdersTable[[#This Row],[Product ID]],Products!A:A,0))</f>
        <v>Retinol Night Cream</v>
      </c>
      <c r="O138" t="str">
        <f>INDEX(Products!C:C,MATCH(OrdersTable[[#This Row],[Product ID]],Products!A:A,0))</f>
        <v>Skincare</v>
      </c>
      <c r="P138">
        <v>3</v>
      </c>
      <c r="Q138" s="5">
        <v>799</v>
      </c>
      <c r="R138" s="74">
        <v>0.1</v>
      </c>
      <c r="S138" s="75">
        <f>OrdersTable[[#This Row],[Quantity]]*OrdersTable[[#This Row],[Unit Price]]</f>
        <v>2397</v>
      </c>
      <c r="T138" s="5">
        <f>OrdersTable[[#This Row],[Gross Sale]]*OrdersTable[[#This Row],[Discount_Clean2]]</f>
        <v>239.70000000000002</v>
      </c>
      <c r="U138" s="5">
        <f>OrdersTable[[#This Row],[Gross Sale]]-OrdersTable[[#This Row],[Discount Amount]]</f>
        <v>2157.3000000000002</v>
      </c>
      <c r="V138" s="77">
        <f>INDEX(Products!E:E,MATCH(OrdersTable[[#This Row],[Product ID]],Products!A:A,0))</f>
        <v>216</v>
      </c>
      <c r="W138" s="77">
        <f>OrdersTable[[#This Row],[Quantity]]*OrdersTable[[#This Row],[Unit Cost]]</f>
        <v>648</v>
      </c>
      <c r="X138" s="77">
        <f>'Dropdown Lists'!$I$2*(1+OrdersTable[[#This Row],[Returned]])</f>
        <v>60</v>
      </c>
      <c r="Y138" s="76">
        <f>OrdersTable[[#This Row],[Net Revenue]]-OrdersTable[[#This Row],[COGS]]-OrdersTable[[#This Row],[Shipping Cost]]</f>
        <v>1449.3000000000002</v>
      </c>
      <c r="Z138" s="78">
        <f>IFERROR(OrdersTable[[#This Row],[Profit]]/OrdersTable[[#This Row],[Net Revenue]],0)</f>
        <v>0.67181198720623003</v>
      </c>
      <c r="AA138" t="s">
        <v>4450</v>
      </c>
      <c r="AB138" s="79">
        <v>45318</v>
      </c>
      <c r="AC138">
        <f>OrdersTable[[#This Row],[Delivery Date]]-OrdersTable[[#This Row],[Order Date]]</f>
        <v>4</v>
      </c>
      <c r="AD138" t="str">
        <f>IF(OrdersTable[[#This Row],[Delivery Days]]&lt;=2, "Express (≤2d)", IF(OrdersTable[[#This Row],[Delivery Days]]&lt;=4, "Standard (3-4d)", "Delayed (5d+)"))</f>
        <v>Standard (3-4d)</v>
      </c>
      <c r="AF138">
        <v>0</v>
      </c>
    </row>
    <row r="139" spans="1:32" ht="15" x14ac:dyDescent="0.35">
      <c r="A139" t="s">
        <v>6758</v>
      </c>
      <c r="B139" s="1">
        <v>45314</v>
      </c>
      <c r="C139">
        <f>YEAR(OrdersTable[[#This Row],[Order Date]])</f>
        <v>2024</v>
      </c>
      <c r="D139" s="2">
        <f>DATE(YEAR(OrdersTable[[#This Row],[Order Date]]),MONTH(OrdersTable[[#This Row],[Order Date]]),1)</f>
        <v>45292</v>
      </c>
      <c r="E139">
        <f>MONTH(OrdersTable[[#This Row],[Order Date]])</f>
        <v>1</v>
      </c>
      <c r="F139" t="s">
        <v>6759</v>
      </c>
      <c r="G139" t="str">
        <f>IF(OrdersTable[[#This Row],[Order Date]]=_xlfn.MINIFS(Order_Date, Customer_ID, OrdersTable[[#This Row],[Customer ID]]), "New", "Repeat")</f>
        <v>New</v>
      </c>
      <c r="H139" t="s">
        <v>43</v>
      </c>
      <c r="I139" t="str">
        <f>INDEX(State!B:B,MATCH(OrdersTable[[#This Row],[State]],State!A:A,0))</f>
        <v>MP</v>
      </c>
      <c r="J139" t="str">
        <f>INDEX(State!C:C,MATCH(OrdersTable[[#This Row],[State Code]],State!B:B,0))</f>
        <v>West</v>
      </c>
      <c r="K139" t="s">
        <v>44</v>
      </c>
      <c r="L139" t="s">
        <v>16</v>
      </c>
      <c r="M139" t="s">
        <v>34</v>
      </c>
      <c r="N139" t="str">
        <f>INDEX(Products!B:B,MATCH(OrdersTable[[#This Row],[Product ID]],Products!A:A,0))</f>
        <v>Flip Flops</v>
      </c>
      <c r="O139" t="str">
        <f>INDEX(Products!C:C,MATCH(OrdersTable[[#This Row],[Product ID]],Products!A:A,0))</f>
        <v>Footwear</v>
      </c>
      <c r="P139">
        <v>3</v>
      </c>
      <c r="Q139" s="5">
        <v>399</v>
      </c>
      <c r="R139" s="74">
        <v>0.2</v>
      </c>
      <c r="S139" s="75">
        <f>OrdersTable[[#This Row],[Quantity]]*OrdersTable[[#This Row],[Unit Price]]</f>
        <v>1197</v>
      </c>
      <c r="T139" s="5">
        <f>OrdersTable[[#This Row],[Gross Sale]]*OrdersTable[[#This Row],[Discount_Clean2]]</f>
        <v>239.4</v>
      </c>
      <c r="U139" s="5">
        <f>OrdersTable[[#This Row],[Gross Sale]]-OrdersTable[[#This Row],[Discount Amount]]</f>
        <v>957.6</v>
      </c>
      <c r="V139" s="77">
        <f>INDEX(Products!E:E,MATCH(OrdersTable[[#This Row],[Product ID]],Products!A:A,0))</f>
        <v>152</v>
      </c>
      <c r="W139" s="77">
        <f>OrdersTable[[#This Row],[Quantity]]*OrdersTable[[#This Row],[Unit Cost]]</f>
        <v>456</v>
      </c>
      <c r="X139" s="77">
        <f>'Dropdown Lists'!$I$2*(1+OrdersTable[[#This Row],[Returned]])</f>
        <v>60</v>
      </c>
      <c r="Y139" s="76">
        <f>OrdersTable[[#This Row],[Net Revenue]]-OrdersTable[[#This Row],[COGS]]-OrdersTable[[#This Row],[Shipping Cost]]</f>
        <v>441.6</v>
      </c>
      <c r="Z139" s="78">
        <f>IFERROR(OrdersTable[[#This Row],[Profit]]/OrdersTable[[#This Row],[Net Revenue]],0)</f>
        <v>0.46115288220551381</v>
      </c>
      <c r="AA139" t="s">
        <v>3495</v>
      </c>
      <c r="AB139" s="79">
        <v>45318</v>
      </c>
      <c r="AC139">
        <f>OrdersTable[[#This Row],[Delivery Date]]-OrdersTable[[#This Row],[Order Date]]</f>
        <v>4</v>
      </c>
      <c r="AD139" t="str">
        <f>IF(OrdersTable[[#This Row],[Delivery Days]]&lt;=2, "Express (≤2d)", IF(OrdersTable[[#This Row],[Delivery Days]]&lt;=4, "Standard (3-4d)", "Delayed (5d+)"))</f>
        <v>Standard (3-4d)</v>
      </c>
      <c r="AE139">
        <v>3</v>
      </c>
      <c r="AF139">
        <v>0</v>
      </c>
    </row>
    <row r="140" spans="1:32" ht="15" x14ac:dyDescent="0.35">
      <c r="A140" t="s">
        <v>5471</v>
      </c>
      <c r="B140" s="1">
        <v>45314</v>
      </c>
      <c r="C140">
        <f>YEAR(OrdersTable[[#This Row],[Order Date]])</f>
        <v>2024</v>
      </c>
      <c r="D140" s="2">
        <f>DATE(YEAR(OrdersTable[[#This Row],[Order Date]]),MONTH(OrdersTable[[#This Row],[Order Date]]),1)</f>
        <v>45292</v>
      </c>
      <c r="E140">
        <f>MONTH(OrdersTable[[#This Row],[Order Date]])</f>
        <v>1</v>
      </c>
      <c r="F140" t="s">
        <v>5472</v>
      </c>
      <c r="G140" t="str">
        <f>IF(OrdersTable[[#This Row],[Order Date]]=_xlfn.MINIFS(Order_Date, Customer_ID, OrdersTable[[#This Row],[Customer ID]]), "New", "Repeat")</f>
        <v>New</v>
      </c>
      <c r="H140" t="s">
        <v>59</v>
      </c>
      <c r="I140" t="str">
        <f>INDEX(State!B:B,MATCH(OrdersTable[[#This Row],[State]],State!A:A,0))</f>
        <v>TN</v>
      </c>
      <c r="J140" t="str">
        <f>INDEX(State!C:C,MATCH(OrdersTable[[#This Row],[State Code]],State!B:B,0))</f>
        <v>South</v>
      </c>
      <c r="K140" t="s">
        <v>64</v>
      </c>
      <c r="L140" t="s">
        <v>50</v>
      </c>
      <c r="M140" t="s">
        <v>78</v>
      </c>
      <c r="N140" t="str">
        <f>INDEX(Products!B:B,MATCH(OrdersTable[[#This Row],[Product ID]],Products!A:A,0))</f>
        <v>Retinol Night Cream</v>
      </c>
      <c r="O140" t="str">
        <f>INDEX(Products!C:C,MATCH(OrdersTable[[#This Row],[Product ID]],Products!A:A,0))</f>
        <v>Skincare</v>
      </c>
      <c r="P140">
        <v>2</v>
      </c>
      <c r="Q140" s="5">
        <v>799</v>
      </c>
      <c r="R140" s="74">
        <v>0.1</v>
      </c>
      <c r="S140" s="75">
        <f>OrdersTable[[#This Row],[Quantity]]*OrdersTable[[#This Row],[Unit Price]]</f>
        <v>1598</v>
      </c>
      <c r="T140" s="5">
        <f>OrdersTable[[#This Row],[Gross Sale]]*OrdersTable[[#This Row],[Discount_Clean2]]</f>
        <v>159.80000000000001</v>
      </c>
      <c r="U140" s="5">
        <f>OrdersTable[[#This Row],[Gross Sale]]-OrdersTable[[#This Row],[Discount Amount]]</f>
        <v>1438.2</v>
      </c>
      <c r="V140" s="77">
        <f>INDEX(Products!E:E,MATCH(OrdersTable[[#This Row],[Product ID]],Products!A:A,0))</f>
        <v>216</v>
      </c>
      <c r="W140" s="77">
        <f>OrdersTable[[#This Row],[Quantity]]*OrdersTable[[#This Row],[Unit Cost]]</f>
        <v>432</v>
      </c>
      <c r="X140" s="77">
        <f>'Dropdown Lists'!$I$2*(1+OrdersTable[[#This Row],[Returned]])</f>
        <v>60</v>
      </c>
      <c r="Y140" s="76">
        <f>OrdersTable[[#This Row],[Net Revenue]]-OrdersTable[[#This Row],[COGS]]-OrdersTable[[#This Row],[Shipping Cost]]</f>
        <v>946.2</v>
      </c>
      <c r="Z140" s="78">
        <f>IFERROR(OrdersTable[[#This Row],[Profit]]/OrdersTable[[#This Row],[Net Revenue]],0)</f>
        <v>0.6579057154776804</v>
      </c>
      <c r="AA140" t="s">
        <v>2522</v>
      </c>
      <c r="AB140" s="79">
        <v>45318</v>
      </c>
      <c r="AC140">
        <f>OrdersTable[[#This Row],[Delivery Date]]-OrdersTable[[#This Row],[Order Date]]</f>
        <v>4</v>
      </c>
      <c r="AD140" t="str">
        <f>IF(OrdersTable[[#This Row],[Delivery Days]]&lt;=2, "Express (≤2d)", IF(OrdersTable[[#This Row],[Delivery Days]]&lt;=4, "Standard (3-4d)", "Delayed (5d+)"))</f>
        <v>Standard (3-4d)</v>
      </c>
      <c r="AE140">
        <v>4</v>
      </c>
      <c r="AF140">
        <v>0</v>
      </c>
    </row>
    <row r="141" spans="1:32" ht="15" x14ac:dyDescent="0.35">
      <c r="A141" t="s">
        <v>724</v>
      </c>
      <c r="B141" s="1">
        <v>45314</v>
      </c>
      <c r="C141">
        <f>YEAR(OrdersTable[[#This Row],[Order Date]])</f>
        <v>2024</v>
      </c>
      <c r="D141" s="2">
        <f>DATE(YEAR(OrdersTable[[#This Row],[Order Date]]),MONTH(OrdersTable[[#This Row],[Order Date]]),1)</f>
        <v>45292</v>
      </c>
      <c r="E141">
        <f>MONTH(OrdersTable[[#This Row],[Order Date]])</f>
        <v>1</v>
      </c>
      <c r="F141" t="s">
        <v>725</v>
      </c>
      <c r="G141" t="str">
        <f>IF(OrdersTable[[#This Row],[Order Date]]=_xlfn.MINIFS(Order_Date, Customer_ID, OrdersTable[[#This Row],[Customer ID]]), "New", "Repeat")</f>
        <v>New</v>
      </c>
      <c r="H141" t="s">
        <v>59</v>
      </c>
      <c r="I141" t="str">
        <f>INDEX(State!B:B,MATCH(OrdersTable[[#This Row],[State]],State!A:A,0))</f>
        <v>TN</v>
      </c>
      <c r="J141" t="str">
        <f>INDEX(State!C:C,MATCH(OrdersTable[[#This Row],[State Code]],State!B:B,0))</f>
        <v>South</v>
      </c>
      <c r="K141" t="s">
        <v>64</v>
      </c>
      <c r="L141" t="s">
        <v>16</v>
      </c>
      <c r="M141" t="s">
        <v>87</v>
      </c>
      <c r="N141" t="str">
        <f>INDEX(Products!B:B,MATCH(OrdersTable[[#This Row],[Product ID]],Products!A:A,0))</f>
        <v>Linen Kurta</v>
      </c>
      <c r="O141" t="str">
        <f>INDEX(Products!C:C,MATCH(OrdersTable[[#This Row],[Product ID]],Products!A:A,0))</f>
        <v>Apparel</v>
      </c>
      <c r="P141">
        <v>1</v>
      </c>
      <c r="Q141" s="5">
        <v>1499</v>
      </c>
      <c r="R141" s="74">
        <v>0.4</v>
      </c>
      <c r="S141" s="75">
        <f>OrdersTable[[#This Row],[Quantity]]*OrdersTable[[#This Row],[Unit Price]]</f>
        <v>1499</v>
      </c>
      <c r="T141" s="5">
        <f>OrdersTable[[#This Row],[Gross Sale]]*OrdersTable[[#This Row],[Discount_Clean2]]</f>
        <v>599.6</v>
      </c>
      <c r="U141" s="5">
        <f>OrdersTable[[#This Row],[Gross Sale]]-OrdersTable[[#This Row],[Discount Amount]]</f>
        <v>899.4</v>
      </c>
      <c r="V141" s="77">
        <f>INDEX(Products!E:E,MATCH(OrdersTable[[#This Row],[Product ID]],Products!A:A,0))</f>
        <v>630</v>
      </c>
      <c r="W141" s="77">
        <f>OrdersTable[[#This Row],[Quantity]]*OrdersTable[[#This Row],[Unit Cost]]</f>
        <v>630</v>
      </c>
      <c r="X141" s="77">
        <f>'Dropdown Lists'!$I$2*(1+OrdersTable[[#This Row],[Returned]])</f>
        <v>60</v>
      </c>
      <c r="Y141" s="76">
        <f>OrdersTable[[#This Row],[Net Revenue]]-OrdersTable[[#This Row],[COGS]]-OrdersTable[[#This Row],[Shipping Cost]]</f>
        <v>209.39999999999998</v>
      </c>
      <c r="Z141" s="78">
        <f>IFERROR(OrdersTable[[#This Row],[Profit]]/OrdersTable[[#This Row],[Net Revenue]],0)</f>
        <v>0.23282188125416942</v>
      </c>
      <c r="AA141" t="s">
        <v>18</v>
      </c>
      <c r="AB141" s="79">
        <v>45317</v>
      </c>
      <c r="AC141">
        <f>OrdersTable[[#This Row],[Delivery Date]]-OrdersTable[[#This Row],[Order Date]]</f>
        <v>3</v>
      </c>
      <c r="AD141" t="str">
        <f>IF(OrdersTable[[#This Row],[Delivery Days]]&lt;=2, "Express (≤2d)", IF(OrdersTable[[#This Row],[Delivery Days]]&lt;=4, "Standard (3-4d)", "Delayed (5d+)"))</f>
        <v>Standard (3-4d)</v>
      </c>
      <c r="AE141">
        <v>4</v>
      </c>
      <c r="AF141">
        <v>0</v>
      </c>
    </row>
    <row r="142" spans="1:32" ht="15" x14ac:dyDescent="0.35">
      <c r="A142" t="s">
        <v>4749</v>
      </c>
      <c r="B142" s="1">
        <v>45315</v>
      </c>
      <c r="C142">
        <f>YEAR(OrdersTable[[#This Row],[Order Date]])</f>
        <v>2024</v>
      </c>
      <c r="D142" s="2">
        <f>DATE(YEAR(OrdersTable[[#This Row],[Order Date]]),MONTH(OrdersTable[[#This Row],[Order Date]]),1)</f>
        <v>45292</v>
      </c>
      <c r="E142">
        <f>MONTH(OrdersTable[[#This Row],[Order Date]])</f>
        <v>1</v>
      </c>
      <c r="F142" t="s">
        <v>1804</v>
      </c>
      <c r="G142" t="str">
        <f>IF(OrdersTable[[#This Row],[Order Date]]=_xlfn.MINIFS(Order_Date, Customer_ID, OrdersTable[[#This Row],[Customer ID]]), "New", "Repeat")</f>
        <v>New</v>
      </c>
      <c r="H142" t="s">
        <v>71</v>
      </c>
      <c r="I142" t="str">
        <f>INDEX(State!B:B,MATCH(OrdersTable[[#This Row],[State]],State!A:A,0))</f>
        <v>MH</v>
      </c>
      <c r="J142" t="str">
        <f>INDEX(State!C:C,MATCH(OrdersTable[[#This Row],[State Code]],State!B:B,0))</f>
        <v>West</v>
      </c>
      <c r="K142" t="s">
        <v>81</v>
      </c>
      <c r="L142" t="s">
        <v>16</v>
      </c>
      <c r="M142" t="s">
        <v>176</v>
      </c>
      <c r="N142" t="str">
        <f>INDEX(Products!B:B,MATCH(OrdersTable[[#This Row],[Product ID]],Products!A:A,0))</f>
        <v>Denim Jacket</v>
      </c>
      <c r="O142" t="str">
        <f>INDEX(Products!C:C,MATCH(OrdersTable[[#This Row],[Product ID]],Products!A:A,0))</f>
        <v>Apparel</v>
      </c>
      <c r="P142">
        <v>2</v>
      </c>
      <c r="Q142" s="5">
        <v>2499</v>
      </c>
      <c r="R142" s="74">
        <v>0.05</v>
      </c>
      <c r="S142" s="75">
        <f>OrdersTable[[#This Row],[Quantity]]*OrdersTable[[#This Row],[Unit Price]]</f>
        <v>4998</v>
      </c>
      <c r="T142" s="5">
        <f>OrdersTable[[#This Row],[Gross Sale]]*OrdersTable[[#This Row],[Discount_Clean2]]</f>
        <v>249.9</v>
      </c>
      <c r="U142" s="5">
        <f>OrdersTable[[#This Row],[Gross Sale]]-OrdersTable[[#This Row],[Discount Amount]]</f>
        <v>4748.1000000000004</v>
      </c>
      <c r="V142" s="77">
        <f>INDEX(Products!E:E,MATCH(OrdersTable[[#This Row],[Product ID]],Products!A:A,0))</f>
        <v>1125</v>
      </c>
      <c r="W142" s="77">
        <f>OrdersTable[[#This Row],[Quantity]]*OrdersTable[[#This Row],[Unit Cost]]</f>
        <v>2250</v>
      </c>
      <c r="X142" s="77">
        <f>'Dropdown Lists'!$I$2*(1+OrdersTable[[#This Row],[Returned]])</f>
        <v>60</v>
      </c>
      <c r="Y142" s="76">
        <f>OrdersTable[[#This Row],[Net Revenue]]-OrdersTable[[#This Row],[COGS]]-OrdersTable[[#This Row],[Shipping Cost]]</f>
        <v>2438.1000000000004</v>
      </c>
      <c r="Z142" s="78">
        <f>IFERROR(OrdersTable[[#This Row],[Profit]]/OrdersTable[[#This Row],[Net Revenue]],0)</f>
        <v>0.51348960636886343</v>
      </c>
      <c r="AA142" t="s">
        <v>4450</v>
      </c>
      <c r="AB142" s="79">
        <v>45318</v>
      </c>
      <c r="AC142">
        <f>OrdersTable[[#This Row],[Delivery Date]]-OrdersTable[[#This Row],[Order Date]]</f>
        <v>3</v>
      </c>
      <c r="AD142" t="str">
        <f>IF(OrdersTable[[#This Row],[Delivery Days]]&lt;=2, "Express (≤2d)", IF(OrdersTable[[#This Row],[Delivery Days]]&lt;=4, "Standard (3-4d)", "Delayed (5d+)"))</f>
        <v>Standard (3-4d)</v>
      </c>
      <c r="AE142">
        <v>4</v>
      </c>
      <c r="AF142">
        <v>0</v>
      </c>
    </row>
    <row r="143" spans="1:32" ht="15" x14ac:dyDescent="0.35">
      <c r="A143" t="s">
        <v>726</v>
      </c>
      <c r="B143" s="1">
        <v>45315</v>
      </c>
      <c r="C143">
        <f>YEAR(OrdersTable[[#This Row],[Order Date]])</f>
        <v>2024</v>
      </c>
      <c r="D143" s="2">
        <f>DATE(YEAR(OrdersTable[[#This Row],[Order Date]]),MONTH(OrdersTable[[#This Row],[Order Date]]),1)</f>
        <v>45292</v>
      </c>
      <c r="E143">
        <f>MONTH(OrdersTable[[#This Row],[Order Date]])</f>
        <v>1</v>
      </c>
      <c r="F143" t="s">
        <v>727</v>
      </c>
      <c r="G143" t="str">
        <f>IF(OrdersTable[[#This Row],[Order Date]]=_xlfn.MINIFS(Order_Date, Customer_ID, OrdersTable[[#This Row],[Customer ID]]), "New", "Repeat")</f>
        <v>New</v>
      </c>
      <c r="H143" t="s">
        <v>71</v>
      </c>
      <c r="I143" t="str">
        <f>INDEX(State!B:B,MATCH(OrdersTable[[#This Row],[State]],State!A:A,0))</f>
        <v>MH</v>
      </c>
      <c r="J143" t="str">
        <f>INDEX(State!C:C,MATCH(OrdersTable[[#This Row],[State Code]],State!B:B,0))</f>
        <v>West</v>
      </c>
      <c r="K143" t="s">
        <v>81</v>
      </c>
      <c r="L143" t="s">
        <v>65</v>
      </c>
      <c r="M143" t="s">
        <v>40</v>
      </c>
      <c r="N143" t="str">
        <f>INDEX(Products!B:B,MATCH(OrdersTable[[#This Row],[Product ID]],Products!A:A,0))</f>
        <v>Ashwagandha Capsules</v>
      </c>
      <c r="O143" t="str">
        <f>INDEX(Products!C:C,MATCH(OrdersTable[[#This Row],[Product ID]],Products!A:A,0))</f>
        <v>Wellness</v>
      </c>
      <c r="P143">
        <v>1</v>
      </c>
      <c r="Q143" s="5">
        <v>499</v>
      </c>
      <c r="R143" s="74">
        <v>0</v>
      </c>
      <c r="S143" s="75">
        <f>OrdersTable[[#This Row],[Quantity]]*OrdersTable[[#This Row],[Unit Price]]</f>
        <v>499</v>
      </c>
      <c r="T143" s="5">
        <f>OrdersTable[[#This Row],[Gross Sale]]*OrdersTable[[#This Row],[Discount_Clean2]]</f>
        <v>0</v>
      </c>
      <c r="U143" s="5">
        <f>OrdersTable[[#This Row],[Gross Sale]]-OrdersTable[[#This Row],[Discount Amount]]</f>
        <v>499</v>
      </c>
      <c r="V143" s="77">
        <f>INDEX(Products!E:E,MATCH(OrdersTable[[#This Row],[Product ID]],Products!A:A,0))</f>
        <v>150</v>
      </c>
      <c r="W143" s="77">
        <f>OrdersTable[[#This Row],[Quantity]]*OrdersTable[[#This Row],[Unit Cost]]</f>
        <v>150</v>
      </c>
      <c r="X143" s="77">
        <f>'Dropdown Lists'!$I$2*(1+OrdersTable[[#This Row],[Returned]])</f>
        <v>60</v>
      </c>
      <c r="Y143" s="76">
        <f>OrdersTable[[#This Row],[Net Revenue]]-OrdersTable[[#This Row],[COGS]]-OrdersTable[[#This Row],[Shipping Cost]]</f>
        <v>289</v>
      </c>
      <c r="Z143" s="78">
        <f>IFERROR(OrdersTable[[#This Row],[Profit]]/OrdersTable[[#This Row],[Net Revenue]],0)</f>
        <v>0.57915831663326656</v>
      </c>
      <c r="AA143" t="s">
        <v>18</v>
      </c>
      <c r="AB143" s="79">
        <v>45317</v>
      </c>
      <c r="AC143">
        <f>OrdersTable[[#This Row],[Delivery Date]]-OrdersTable[[#This Row],[Order Date]]</f>
        <v>2</v>
      </c>
      <c r="AD143" t="str">
        <f>IF(OrdersTable[[#This Row],[Delivery Days]]&lt;=2, "Express (≤2d)", IF(OrdersTable[[#This Row],[Delivery Days]]&lt;=4, "Standard (3-4d)", "Delayed (5d+)"))</f>
        <v>Express (≤2d)</v>
      </c>
      <c r="AE143">
        <v>4</v>
      </c>
      <c r="AF143">
        <v>0</v>
      </c>
    </row>
    <row r="144" spans="1:32" ht="15" x14ac:dyDescent="0.35">
      <c r="A144" t="s">
        <v>432</v>
      </c>
      <c r="B144" s="1">
        <v>45315</v>
      </c>
      <c r="C144">
        <f>YEAR(OrdersTable[[#This Row],[Order Date]])</f>
        <v>2024</v>
      </c>
      <c r="D144" s="2">
        <f>DATE(YEAR(OrdersTable[[#This Row],[Order Date]]),MONTH(OrdersTable[[#This Row],[Order Date]]),1)</f>
        <v>45292</v>
      </c>
      <c r="E144">
        <f>MONTH(OrdersTable[[#This Row],[Order Date]])</f>
        <v>1</v>
      </c>
      <c r="F144" t="s">
        <v>433</v>
      </c>
      <c r="G144" t="str">
        <f>IF(OrdersTable[[#This Row],[Order Date]]=_xlfn.MINIFS(Order_Date, Customer_ID, OrdersTable[[#This Row],[Customer ID]]), "New", "Repeat")</f>
        <v>New</v>
      </c>
      <c r="H144" t="s">
        <v>71</v>
      </c>
      <c r="I144" t="str">
        <f>INDEX(State!B:B,MATCH(OrdersTable[[#This Row],[State]],State!A:A,0))</f>
        <v>MH</v>
      </c>
      <c r="J144" t="str">
        <f>INDEX(State!C:C,MATCH(OrdersTable[[#This Row],[State Code]],State!B:B,0))</f>
        <v>West</v>
      </c>
      <c r="K144" t="s">
        <v>81</v>
      </c>
      <c r="L144" t="s">
        <v>65</v>
      </c>
      <c r="M144" t="s">
        <v>179</v>
      </c>
      <c r="N144" t="str">
        <f>INDEX(Products!B:B,MATCH(OrdersTable[[#This Row],[Product ID]],Products!A:A,0))</f>
        <v>Whey Protein 1kg</v>
      </c>
      <c r="O144" t="str">
        <f>INDEX(Products!C:C,MATCH(OrdersTable[[#This Row],[Product ID]],Products!A:A,0))</f>
        <v>Wellness</v>
      </c>
      <c r="P144">
        <v>1</v>
      </c>
      <c r="Q144" s="5">
        <v>2299</v>
      </c>
      <c r="R144" s="74">
        <v>0.4</v>
      </c>
      <c r="S144" s="75">
        <f>OrdersTable[[#This Row],[Quantity]]*OrdersTable[[#This Row],[Unit Price]]</f>
        <v>2299</v>
      </c>
      <c r="T144" s="5">
        <f>OrdersTable[[#This Row],[Gross Sale]]*OrdersTable[[#This Row],[Discount_Clean2]]</f>
        <v>919.6</v>
      </c>
      <c r="U144" s="5">
        <f>OrdersTable[[#This Row],[Gross Sale]]-OrdersTable[[#This Row],[Discount Amount]]</f>
        <v>1379.4</v>
      </c>
      <c r="V144" s="77">
        <f>INDEX(Products!E:E,MATCH(OrdersTable[[#This Row],[Product ID]],Products!A:A,0))</f>
        <v>1333</v>
      </c>
      <c r="W144" s="77">
        <f>OrdersTable[[#This Row],[Quantity]]*OrdersTable[[#This Row],[Unit Cost]]</f>
        <v>1333</v>
      </c>
      <c r="X144" s="77">
        <f>'Dropdown Lists'!$I$2*(1+OrdersTable[[#This Row],[Returned]])</f>
        <v>60</v>
      </c>
      <c r="Y144" s="76">
        <f>OrdersTable[[#This Row],[Net Revenue]]-OrdersTable[[#This Row],[COGS]]-OrdersTable[[#This Row],[Shipping Cost]]</f>
        <v>-13.599999999999909</v>
      </c>
      <c r="Z144" s="78">
        <f>IFERROR(OrdersTable[[#This Row],[Profit]]/OrdersTable[[#This Row],[Net Revenue]],0)</f>
        <v>-9.8593591416557252E-3</v>
      </c>
      <c r="AA144" t="s">
        <v>18</v>
      </c>
      <c r="AB144" s="79">
        <v>45318</v>
      </c>
      <c r="AC144">
        <f>OrdersTable[[#This Row],[Delivery Date]]-OrdersTable[[#This Row],[Order Date]]</f>
        <v>3</v>
      </c>
      <c r="AD144" t="str">
        <f>IF(OrdersTable[[#This Row],[Delivery Days]]&lt;=2, "Express (≤2d)", IF(OrdersTable[[#This Row],[Delivery Days]]&lt;=4, "Standard (3-4d)", "Delayed (5d+)"))</f>
        <v>Standard (3-4d)</v>
      </c>
      <c r="AE144">
        <v>4</v>
      </c>
      <c r="AF144">
        <v>0</v>
      </c>
    </row>
    <row r="145" spans="1:32" ht="15" x14ac:dyDescent="0.35">
      <c r="A145" t="s">
        <v>1466</v>
      </c>
      <c r="B145" s="1">
        <v>45315</v>
      </c>
      <c r="C145">
        <f>YEAR(OrdersTable[[#This Row],[Order Date]])</f>
        <v>2024</v>
      </c>
      <c r="D145" s="2">
        <f>DATE(YEAR(OrdersTable[[#This Row],[Order Date]]),MONTH(OrdersTable[[#This Row],[Order Date]]),1)</f>
        <v>45292</v>
      </c>
      <c r="E145">
        <f>MONTH(OrdersTable[[#This Row],[Order Date]])</f>
        <v>1</v>
      </c>
      <c r="F145" t="s">
        <v>617</v>
      </c>
      <c r="G145" t="str">
        <f>IF(OrdersTable[[#This Row],[Order Date]]=_xlfn.MINIFS(Order_Date, Customer_ID, OrdersTable[[#This Row],[Customer ID]]), "New", "Repeat")</f>
        <v>Repeat</v>
      </c>
      <c r="H145" t="s">
        <v>167</v>
      </c>
      <c r="I145" t="str">
        <f>INDEX(State!B:B,MATCH(OrdersTable[[#This Row],[State]],State!A:A,0))</f>
        <v>KA</v>
      </c>
      <c r="J145" t="str">
        <f>INDEX(State!C:C,MATCH(OrdersTable[[#This Row],[State Code]],State!B:B,0))</f>
        <v>South</v>
      </c>
      <c r="K145" t="s">
        <v>168</v>
      </c>
      <c r="L145" t="s">
        <v>39</v>
      </c>
      <c r="M145" t="s">
        <v>56</v>
      </c>
      <c r="N145" t="str">
        <f>INDEX(Products!B:B,MATCH(OrdersTable[[#This Row],[Product ID]],Products!A:A,0))</f>
        <v>Vitamin C Face Serum</v>
      </c>
      <c r="O145" t="str">
        <f>INDEX(Products!C:C,MATCH(OrdersTable[[#This Row],[Product ID]],Products!A:A,0))</f>
        <v>Skincare</v>
      </c>
      <c r="P145">
        <v>1</v>
      </c>
      <c r="Q145" s="5">
        <v>599</v>
      </c>
      <c r="R145" s="74">
        <v>0.1</v>
      </c>
      <c r="S145" s="75">
        <f>OrdersTable[[#This Row],[Quantity]]*OrdersTable[[#This Row],[Unit Price]]</f>
        <v>599</v>
      </c>
      <c r="T145" s="5">
        <f>OrdersTable[[#This Row],[Gross Sale]]*OrdersTable[[#This Row],[Discount_Clean2]]</f>
        <v>59.900000000000006</v>
      </c>
      <c r="U145" s="5">
        <f>OrdersTable[[#This Row],[Gross Sale]]-OrdersTable[[#This Row],[Discount Amount]]</f>
        <v>539.1</v>
      </c>
      <c r="V145" s="77">
        <f>INDEX(Products!E:E,MATCH(OrdersTable[[#This Row],[Product ID]],Products!A:A,0))</f>
        <v>180</v>
      </c>
      <c r="W145" s="77">
        <f>OrdersTable[[#This Row],[Quantity]]*OrdersTable[[#This Row],[Unit Cost]]</f>
        <v>180</v>
      </c>
      <c r="X145" s="77">
        <f>'Dropdown Lists'!$I$2*(1+OrdersTable[[#This Row],[Returned]])</f>
        <v>60</v>
      </c>
      <c r="Y145" s="76">
        <f>OrdersTable[[#This Row],[Net Revenue]]-OrdersTable[[#This Row],[COGS]]-OrdersTable[[#This Row],[Shipping Cost]]</f>
        <v>299.10000000000002</v>
      </c>
      <c r="Z145" s="78">
        <f>IFERROR(OrdersTable[[#This Row],[Profit]]/OrdersTable[[#This Row],[Net Revenue]],0)</f>
        <v>0.5548135781858653</v>
      </c>
      <c r="AA145" t="s">
        <v>18</v>
      </c>
      <c r="AB145" s="79">
        <v>45317</v>
      </c>
      <c r="AC145">
        <f>OrdersTable[[#This Row],[Delivery Date]]-OrdersTable[[#This Row],[Order Date]]</f>
        <v>2</v>
      </c>
      <c r="AD145" t="str">
        <f>IF(OrdersTable[[#This Row],[Delivery Days]]&lt;=2, "Express (≤2d)", IF(OrdersTable[[#This Row],[Delivery Days]]&lt;=4, "Standard (3-4d)", "Delayed (5d+)"))</f>
        <v>Express (≤2d)</v>
      </c>
      <c r="AF145">
        <v>0</v>
      </c>
    </row>
    <row r="146" spans="1:32" ht="15" x14ac:dyDescent="0.35">
      <c r="A146" t="s">
        <v>4325</v>
      </c>
      <c r="B146" s="1">
        <v>45315</v>
      </c>
      <c r="C146">
        <f>YEAR(OrdersTable[[#This Row],[Order Date]])</f>
        <v>2024</v>
      </c>
      <c r="D146" s="2">
        <f>DATE(YEAR(OrdersTable[[#This Row],[Order Date]]),MONTH(OrdersTable[[#This Row],[Order Date]]),1)</f>
        <v>45292</v>
      </c>
      <c r="E146">
        <f>MONTH(OrdersTable[[#This Row],[Order Date]])</f>
        <v>1</v>
      </c>
      <c r="F146" t="s">
        <v>4326</v>
      </c>
      <c r="G146" t="str">
        <f>IF(OrdersTable[[#This Row],[Order Date]]=_xlfn.MINIFS(Order_Date, Customer_ID, OrdersTable[[#This Row],[Customer ID]]), "New", "Repeat")</f>
        <v>New</v>
      </c>
      <c r="H146" t="s">
        <v>59</v>
      </c>
      <c r="I146" t="str">
        <f>INDEX(State!B:B,MATCH(OrdersTable[[#This Row],[State]],State!A:A,0))</f>
        <v>TN</v>
      </c>
      <c r="J146" t="str">
        <f>INDEX(State!C:C,MATCH(OrdersTable[[#This Row],[State Code]],State!B:B,0))</f>
        <v>South</v>
      </c>
      <c r="K146" t="s">
        <v>64</v>
      </c>
      <c r="L146" t="s">
        <v>16</v>
      </c>
      <c r="M146" t="s">
        <v>255</v>
      </c>
      <c r="N146" t="str">
        <f>INDEX(Products!B:B,MATCH(OrdersTable[[#This Row],[Product ID]],Products!A:A,0))</f>
        <v>Cotton Oversized T-Shirt</v>
      </c>
      <c r="O146" t="str">
        <f>INDEX(Products!C:C,MATCH(OrdersTable[[#This Row],[Product ID]],Products!A:A,0))</f>
        <v>Apparel</v>
      </c>
      <c r="P146">
        <v>1</v>
      </c>
      <c r="Q146" s="5">
        <v>799</v>
      </c>
      <c r="R146" s="74">
        <v>0.1</v>
      </c>
      <c r="S146" s="75">
        <f>OrdersTable[[#This Row],[Quantity]]*OrdersTable[[#This Row],[Unit Price]]</f>
        <v>799</v>
      </c>
      <c r="T146" s="5">
        <f>OrdersTable[[#This Row],[Gross Sale]]*OrdersTable[[#This Row],[Discount_Clean2]]</f>
        <v>79.900000000000006</v>
      </c>
      <c r="U146" s="5">
        <f>OrdersTable[[#This Row],[Gross Sale]]-OrdersTable[[#This Row],[Discount Amount]]</f>
        <v>719.1</v>
      </c>
      <c r="V146" s="77">
        <f>INDEX(Products!E:E,MATCH(OrdersTable[[#This Row],[Product ID]],Products!A:A,0))</f>
        <v>320</v>
      </c>
      <c r="W146" s="77">
        <f>OrdersTable[[#This Row],[Quantity]]*OrdersTable[[#This Row],[Unit Cost]]</f>
        <v>320</v>
      </c>
      <c r="X146" s="77">
        <f>'Dropdown Lists'!$I$2*(1+OrdersTable[[#This Row],[Returned]])</f>
        <v>60</v>
      </c>
      <c r="Y146" s="76">
        <f>OrdersTable[[#This Row],[Net Revenue]]-OrdersTable[[#This Row],[COGS]]-OrdersTable[[#This Row],[Shipping Cost]]</f>
        <v>339.1</v>
      </c>
      <c r="Z146" s="78">
        <f>IFERROR(OrdersTable[[#This Row],[Profit]]/OrdersTable[[#This Row],[Net Revenue]],0)</f>
        <v>0.47156167431511614</v>
      </c>
      <c r="AA146" t="s">
        <v>4074</v>
      </c>
      <c r="AB146" s="79">
        <v>45319</v>
      </c>
      <c r="AC146">
        <f>OrdersTable[[#This Row],[Delivery Date]]-OrdersTable[[#This Row],[Order Date]]</f>
        <v>4</v>
      </c>
      <c r="AD146" t="str">
        <f>IF(OrdersTable[[#This Row],[Delivery Days]]&lt;=2, "Express (≤2d)", IF(OrdersTable[[#This Row],[Delivery Days]]&lt;=4, "Standard (3-4d)", "Delayed (5d+)"))</f>
        <v>Standard (3-4d)</v>
      </c>
      <c r="AE146">
        <v>4</v>
      </c>
      <c r="AF146">
        <v>0</v>
      </c>
    </row>
    <row r="147" spans="1:32" ht="15" x14ac:dyDescent="0.35">
      <c r="A147" t="s">
        <v>1830</v>
      </c>
      <c r="B147" s="1">
        <v>45315</v>
      </c>
      <c r="C147">
        <f>YEAR(OrdersTable[[#This Row],[Order Date]])</f>
        <v>2024</v>
      </c>
      <c r="D147" s="2">
        <f>DATE(YEAR(OrdersTable[[#This Row],[Order Date]]),MONTH(OrdersTable[[#This Row],[Order Date]]),1)</f>
        <v>45292</v>
      </c>
      <c r="E147">
        <f>MONTH(OrdersTable[[#This Row],[Order Date]])</f>
        <v>1</v>
      </c>
      <c r="F147" t="s">
        <v>1747</v>
      </c>
      <c r="G147" t="str">
        <f>IF(OrdersTable[[#This Row],[Order Date]]=_xlfn.MINIFS(Order_Date, Customer_ID, OrdersTable[[#This Row],[Customer ID]]), "New", "Repeat")</f>
        <v>New</v>
      </c>
      <c r="H147" t="s">
        <v>59</v>
      </c>
      <c r="I147" t="str">
        <f>INDEX(State!B:B,MATCH(OrdersTable[[#This Row],[State]],State!A:A,0))</f>
        <v>TN</v>
      </c>
      <c r="J147" t="str">
        <f>INDEX(State!C:C,MATCH(OrdersTable[[#This Row],[State Code]],State!B:B,0))</f>
        <v>South</v>
      </c>
      <c r="K147" t="s">
        <v>64</v>
      </c>
      <c r="L147" t="s">
        <v>16</v>
      </c>
      <c r="M147" t="s">
        <v>92</v>
      </c>
      <c r="N147" t="str">
        <f>INDEX(Products!B:B,MATCH(OrdersTable[[#This Row],[Product ID]],Products!A:A,0))</f>
        <v>Kolhapuri Sandals</v>
      </c>
      <c r="O147" t="str">
        <f>INDEX(Products!C:C,MATCH(OrdersTable[[#This Row],[Product ID]],Products!A:A,0))</f>
        <v>Footwear</v>
      </c>
      <c r="P147">
        <v>1</v>
      </c>
      <c r="Q147" s="5">
        <v>999</v>
      </c>
      <c r="R147" s="74">
        <v>0.05</v>
      </c>
      <c r="S147" s="75">
        <f>OrdersTable[[#This Row],[Quantity]]*OrdersTable[[#This Row],[Unit Price]]</f>
        <v>999</v>
      </c>
      <c r="T147" s="5">
        <f>OrdersTable[[#This Row],[Gross Sale]]*OrdersTable[[#This Row],[Discount_Clean2]]</f>
        <v>49.95</v>
      </c>
      <c r="U147" s="5">
        <f>OrdersTable[[#This Row],[Gross Sale]]-OrdersTable[[#This Row],[Discount Amount]]</f>
        <v>949.05</v>
      </c>
      <c r="V147" s="77">
        <f>INDEX(Products!E:E,MATCH(OrdersTable[[#This Row],[Product ID]],Products!A:A,0))</f>
        <v>400</v>
      </c>
      <c r="W147" s="77">
        <f>OrdersTable[[#This Row],[Quantity]]*OrdersTable[[#This Row],[Unit Cost]]</f>
        <v>400</v>
      </c>
      <c r="X147" s="77">
        <f>'Dropdown Lists'!$I$2*(1+OrdersTable[[#This Row],[Returned]])</f>
        <v>120</v>
      </c>
      <c r="Y147" s="76">
        <f>OrdersTable[[#This Row],[Net Revenue]]-OrdersTable[[#This Row],[COGS]]-OrdersTable[[#This Row],[Shipping Cost]]</f>
        <v>429.04999999999995</v>
      </c>
      <c r="Z147" s="78">
        <f>IFERROR(OrdersTable[[#This Row],[Profit]]/OrdersTable[[#This Row],[Net Revenue]],0)</f>
        <v>0.4520836626099784</v>
      </c>
      <c r="AA147" t="s">
        <v>18</v>
      </c>
      <c r="AB147" s="79">
        <v>45318</v>
      </c>
      <c r="AC147">
        <f>OrdersTable[[#This Row],[Delivery Date]]-OrdersTable[[#This Row],[Order Date]]</f>
        <v>3</v>
      </c>
      <c r="AD147" t="str">
        <f>IF(OrdersTable[[#This Row],[Delivery Days]]&lt;=2, "Express (≤2d)", IF(OrdersTable[[#This Row],[Delivery Days]]&lt;=4, "Standard (3-4d)", "Delayed (5d+)"))</f>
        <v>Standard (3-4d)</v>
      </c>
      <c r="AE147">
        <v>3</v>
      </c>
      <c r="AF147">
        <v>1</v>
      </c>
    </row>
    <row r="148" spans="1:32" ht="15" x14ac:dyDescent="0.35">
      <c r="A148" t="s">
        <v>2870</v>
      </c>
      <c r="B148" s="1">
        <v>45316</v>
      </c>
      <c r="C148">
        <f>YEAR(OrdersTable[[#This Row],[Order Date]])</f>
        <v>2024</v>
      </c>
      <c r="D148" s="2">
        <f>DATE(YEAR(OrdersTable[[#This Row],[Order Date]]),MONTH(OrdersTable[[#This Row],[Order Date]]),1)</f>
        <v>45292</v>
      </c>
      <c r="E148">
        <f>MONTH(OrdersTable[[#This Row],[Order Date]])</f>
        <v>1</v>
      </c>
      <c r="F148" t="s">
        <v>1196</v>
      </c>
      <c r="G148" t="str">
        <f>IF(OrdersTable[[#This Row],[Order Date]]=_xlfn.MINIFS(Order_Date, Customer_ID, OrdersTable[[#This Row],[Customer ID]]), "New", "Repeat")</f>
        <v>New</v>
      </c>
      <c r="H148" t="s">
        <v>37</v>
      </c>
      <c r="I148" t="str">
        <f>INDEX(State!B:B,MATCH(OrdersTable[[#This Row],[State]],State!A:A,0))</f>
        <v>GJ</v>
      </c>
      <c r="J148" t="str">
        <f>INDEX(State!C:C,MATCH(OrdersTable[[#This Row],[State Code]],State!B:B,0))</f>
        <v>West</v>
      </c>
      <c r="K148" t="s">
        <v>38</v>
      </c>
      <c r="L148" t="s">
        <v>65</v>
      </c>
      <c r="M148" t="s">
        <v>45</v>
      </c>
      <c r="N148" t="str">
        <f>INDEX(Products!B:B,MATCH(OrdersTable[[#This Row],[Product ID]],Products!A:A,0))</f>
        <v>Argan Shampoo</v>
      </c>
      <c r="O148" t="str">
        <f>INDEX(Products!C:C,MATCH(OrdersTable[[#This Row],[Product ID]],Products!A:A,0))</f>
        <v>Haircare</v>
      </c>
      <c r="P148">
        <v>1</v>
      </c>
      <c r="Q148" s="5">
        <v>449</v>
      </c>
      <c r="R148" s="74">
        <v>0.05</v>
      </c>
      <c r="S148" s="75">
        <f>OrdersTable[[#This Row],[Quantity]]*OrdersTable[[#This Row],[Unit Price]]</f>
        <v>449</v>
      </c>
      <c r="T148" s="5">
        <f>OrdersTable[[#This Row],[Gross Sale]]*OrdersTable[[#This Row],[Discount_Clean2]]</f>
        <v>22.450000000000003</v>
      </c>
      <c r="U148" s="5">
        <f>OrdersTable[[#This Row],[Gross Sale]]-OrdersTable[[#This Row],[Discount Amount]]</f>
        <v>426.55</v>
      </c>
      <c r="V148" s="77">
        <f>INDEX(Products!E:E,MATCH(OrdersTable[[#This Row],[Product ID]],Products!A:A,0))</f>
        <v>148</v>
      </c>
      <c r="W148" s="77">
        <f>OrdersTable[[#This Row],[Quantity]]*OrdersTable[[#This Row],[Unit Cost]]</f>
        <v>148</v>
      </c>
      <c r="X148" s="77">
        <f>'Dropdown Lists'!$I$2*(1+OrdersTable[[#This Row],[Returned]])</f>
        <v>60</v>
      </c>
      <c r="Y148" s="76">
        <f>OrdersTable[[#This Row],[Net Revenue]]-OrdersTable[[#This Row],[COGS]]-OrdersTable[[#This Row],[Shipping Cost]]</f>
        <v>218.55</v>
      </c>
      <c r="Z148" s="78">
        <f>IFERROR(OrdersTable[[#This Row],[Profit]]/OrdersTable[[#This Row],[Net Revenue]],0)</f>
        <v>0.51236666275934828</v>
      </c>
      <c r="AA148" t="s">
        <v>2522</v>
      </c>
      <c r="AB148" s="79">
        <v>45320</v>
      </c>
      <c r="AC148">
        <f>OrdersTable[[#This Row],[Delivery Date]]-OrdersTable[[#This Row],[Order Date]]</f>
        <v>4</v>
      </c>
      <c r="AD148" t="str">
        <f>IF(OrdersTable[[#This Row],[Delivery Days]]&lt;=2, "Express (≤2d)", IF(OrdersTable[[#This Row],[Delivery Days]]&lt;=4, "Standard (3-4d)", "Delayed (5d+)"))</f>
        <v>Standard (3-4d)</v>
      </c>
      <c r="AF148">
        <v>0</v>
      </c>
    </row>
    <row r="149" spans="1:32" ht="15" x14ac:dyDescent="0.35">
      <c r="A149" t="s">
        <v>1619</v>
      </c>
      <c r="B149" s="1">
        <v>45316</v>
      </c>
      <c r="C149">
        <f>YEAR(OrdersTable[[#This Row],[Order Date]])</f>
        <v>2024</v>
      </c>
      <c r="D149" s="2">
        <f>DATE(YEAR(OrdersTable[[#This Row],[Order Date]]),MONTH(OrdersTable[[#This Row],[Order Date]]),1)</f>
        <v>45292</v>
      </c>
      <c r="E149">
        <f>MONTH(OrdersTable[[#This Row],[Order Date]])</f>
        <v>1</v>
      </c>
      <c r="F149" t="s">
        <v>1620</v>
      </c>
      <c r="G149" t="str">
        <f>IF(OrdersTable[[#This Row],[Order Date]]=_xlfn.MINIFS(Order_Date, Customer_ID, OrdersTable[[#This Row],[Customer ID]]), "New", "Repeat")</f>
        <v>New</v>
      </c>
      <c r="H149" t="s">
        <v>71</v>
      </c>
      <c r="I149" t="str">
        <f>INDEX(State!B:B,MATCH(OrdersTable[[#This Row],[State]],State!A:A,0))</f>
        <v>MH</v>
      </c>
      <c r="J149" t="str">
        <f>INDEX(State!C:C,MATCH(OrdersTable[[#This Row],[State Code]],State!B:B,0))</f>
        <v>West</v>
      </c>
      <c r="K149" t="s">
        <v>81</v>
      </c>
      <c r="L149" t="s">
        <v>65</v>
      </c>
      <c r="M149" t="s">
        <v>73</v>
      </c>
      <c r="N149" t="str">
        <f>INDEX(Products!B:B,MATCH(OrdersTable[[#This Row],[Product ID]],Products!A:A,0))</f>
        <v>Hydrating Face Wash</v>
      </c>
      <c r="O149" t="str">
        <f>INDEX(Products!C:C,MATCH(OrdersTable[[#This Row],[Product ID]],Products!A:A,0))</f>
        <v>Skincare</v>
      </c>
      <c r="P149">
        <v>1</v>
      </c>
      <c r="Q149" s="5">
        <v>299</v>
      </c>
      <c r="R149" s="74">
        <v>0</v>
      </c>
      <c r="S149" s="75">
        <f>OrdersTable[[#This Row],[Quantity]]*OrdersTable[[#This Row],[Unit Price]]</f>
        <v>299</v>
      </c>
      <c r="T149" s="5">
        <f>OrdersTable[[#This Row],[Gross Sale]]*OrdersTable[[#This Row],[Discount_Clean2]]</f>
        <v>0</v>
      </c>
      <c r="U149" s="5">
        <f>OrdersTable[[#This Row],[Gross Sale]]-OrdersTable[[#This Row],[Discount Amount]]</f>
        <v>299</v>
      </c>
      <c r="V149" s="77">
        <f>INDEX(Products!E:E,MATCH(OrdersTable[[#This Row],[Product ID]],Products!A:A,0))</f>
        <v>90</v>
      </c>
      <c r="W149" s="77">
        <f>OrdersTable[[#This Row],[Quantity]]*OrdersTable[[#This Row],[Unit Cost]]</f>
        <v>90</v>
      </c>
      <c r="X149" s="77">
        <f>'Dropdown Lists'!$I$2*(1+OrdersTable[[#This Row],[Returned]])</f>
        <v>60</v>
      </c>
      <c r="Y149" s="76">
        <f>OrdersTable[[#This Row],[Net Revenue]]-OrdersTable[[#This Row],[COGS]]-OrdersTable[[#This Row],[Shipping Cost]]</f>
        <v>149</v>
      </c>
      <c r="Z149" s="78">
        <f>IFERROR(OrdersTable[[#This Row],[Profit]]/OrdersTable[[#This Row],[Net Revenue]],0)</f>
        <v>0.49832775919732442</v>
      </c>
      <c r="AA149" t="s">
        <v>18</v>
      </c>
      <c r="AB149" s="79">
        <v>45319</v>
      </c>
      <c r="AC149">
        <f>OrdersTable[[#This Row],[Delivery Date]]-OrdersTable[[#This Row],[Order Date]]</f>
        <v>3</v>
      </c>
      <c r="AD149" t="str">
        <f>IF(OrdersTable[[#This Row],[Delivery Days]]&lt;=2, "Express (≤2d)", IF(OrdersTable[[#This Row],[Delivery Days]]&lt;=4, "Standard (3-4d)", "Delayed (5d+)"))</f>
        <v>Standard (3-4d)</v>
      </c>
      <c r="AF149">
        <v>0</v>
      </c>
    </row>
    <row r="150" spans="1:32" ht="15" x14ac:dyDescent="0.35">
      <c r="A150" t="s">
        <v>6251</v>
      </c>
      <c r="B150" s="1">
        <v>45316</v>
      </c>
      <c r="C150">
        <f>YEAR(OrdersTable[[#This Row],[Order Date]])</f>
        <v>2024</v>
      </c>
      <c r="D150" s="2">
        <f>DATE(YEAR(OrdersTable[[#This Row],[Order Date]]),MONTH(OrdersTable[[#This Row],[Order Date]]),1)</f>
        <v>45292</v>
      </c>
      <c r="E150">
        <f>MONTH(OrdersTable[[#This Row],[Order Date]])</f>
        <v>1</v>
      </c>
      <c r="F150" t="s">
        <v>5079</v>
      </c>
      <c r="G150" t="str">
        <f>IF(OrdersTable[[#This Row],[Order Date]]=_xlfn.MINIFS(Order_Date, Customer_ID, OrdersTable[[#This Row],[Customer ID]]), "New", "Repeat")</f>
        <v>New</v>
      </c>
      <c r="H150" t="s">
        <v>71</v>
      </c>
      <c r="I150" t="str">
        <f>INDEX(State!B:B,MATCH(OrdersTable[[#This Row],[State]],State!A:A,0))</f>
        <v>MH</v>
      </c>
      <c r="J150" t="str">
        <f>INDEX(State!C:C,MATCH(OrdersTable[[#This Row],[State Code]],State!B:B,0))</f>
        <v>West</v>
      </c>
      <c r="K150" t="s">
        <v>81</v>
      </c>
      <c r="L150" t="s">
        <v>23</v>
      </c>
      <c r="M150" t="s">
        <v>152</v>
      </c>
      <c r="N150" t="str">
        <f>INDEX(Products!B:B,MATCH(OrdersTable[[#This Row],[Product ID]],Products!A:A,0))</f>
        <v>Green Tea (100 bags)</v>
      </c>
      <c r="O150" t="str">
        <f>INDEX(Products!C:C,MATCH(OrdersTable[[#This Row],[Product ID]],Products!A:A,0))</f>
        <v>Wellness</v>
      </c>
      <c r="P150">
        <v>2</v>
      </c>
      <c r="Q150" s="5">
        <v>399</v>
      </c>
      <c r="R150" s="74">
        <v>0.4</v>
      </c>
      <c r="S150" s="75">
        <f>OrdersTable[[#This Row],[Quantity]]*OrdersTable[[#This Row],[Unit Price]]</f>
        <v>798</v>
      </c>
      <c r="T150" s="5">
        <f>OrdersTable[[#This Row],[Gross Sale]]*OrdersTable[[#This Row],[Discount_Clean2]]</f>
        <v>319.20000000000005</v>
      </c>
      <c r="U150" s="5">
        <f>OrdersTable[[#This Row],[Gross Sale]]-OrdersTable[[#This Row],[Discount Amount]]</f>
        <v>478.79999999999995</v>
      </c>
      <c r="V150" s="77">
        <f>INDEX(Products!E:E,MATCH(OrdersTable[[#This Row],[Product ID]],Products!A:A,0))</f>
        <v>128</v>
      </c>
      <c r="W150" s="77">
        <f>OrdersTable[[#This Row],[Quantity]]*OrdersTable[[#This Row],[Unit Cost]]</f>
        <v>256</v>
      </c>
      <c r="X150" s="77">
        <f>'Dropdown Lists'!$I$2*(1+OrdersTable[[#This Row],[Returned]])</f>
        <v>60</v>
      </c>
      <c r="Y150" s="76">
        <f>OrdersTable[[#This Row],[Net Revenue]]-OrdersTable[[#This Row],[COGS]]-OrdersTable[[#This Row],[Shipping Cost]]</f>
        <v>162.79999999999995</v>
      </c>
      <c r="Z150" s="78">
        <f>IFERROR(OrdersTable[[#This Row],[Profit]]/OrdersTable[[#This Row],[Net Revenue]],0)</f>
        <v>0.34001670843776099</v>
      </c>
      <c r="AA150" t="s">
        <v>18</v>
      </c>
      <c r="AB150" s="79">
        <v>45317</v>
      </c>
      <c r="AC150">
        <f>OrdersTable[[#This Row],[Delivery Date]]-OrdersTable[[#This Row],[Order Date]]</f>
        <v>1</v>
      </c>
      <c r="AD150" t="str">
        <f>IF(OrdersTable[[#This Row],[Delivery Days]]&lt;=2, "Express (≤2d)", IF(OrdersTable[[#This Row],[Delivery Days]]&lt;=4, "Standard (3-4d)", "Delayed (5d+)"))</f>
        <v>Express (≤2d)</v>
      </c>
      <c r="AF150">
        <v>0</v>
      </c>
    </row>
    <row r="151" spans="1:32" ht="15" x14ac:dyDescent="0.35">
      <c r="A151" t="s">
        <v>2871</v>
      </c>
      <c r="B151" s="1">
        <v>45316</v>
      </c>
      <c r="C151">
        <f>YEAR(OrdersTable[[#This Row],[Order Date]])</f>
        <v>2024</v>
      </c>
      <c r="D151" s="2">
        <f>DATE(YEAR(OrdersTable[[#This Row],[Order Date]]),MONTH(OrdersTable[[#This Row],[Order Date]]),1)</f>
        <v>45292</v>
      </c>
      <c r="E151">
        <f>MONTH(OrdersTable[[#This Row],[Order Date]])</f>
        <v>1</v>
      </c>
      <c r="F151" t="s">
        <v>2872</v>
      </c>
      <c r="G151" t="str">
        <f>IF(OrdersTable[[#This Row],[Order Date]]=_xlfn.MINIFS(Order_Date, Customer_ID, OrdersTable[[#This Row],[Customer ID]]), "New", "Repeat")</f>
        <v>New</v>
      </c>
      <c r="H151" t="s">
        <v>71</v>
      </c>
      <c r="I151" t="str">
        <f>INDEX(State!B:B,MATCH(OrdersTable[[#This Row],[State]],State!A:A,0))</f>
        <v>MH</v>
      </c>
      <c r="J151" t="str">
        <f>INDEX(State!C:C,MATCH(OrdersTable[[#This Row],[State Code]],State!B:B,0))</f>
        <v>West</v>
      </c>
      <c r="K151" t="s">
        <v>81</v>
      </c>
      <c r="L151" t="s">
        <v>16</v>
      </c>
      <c r="M151" t="s">
        <v>17</v>
      </c>
      <c r="N151" t="str">
        <f>INDEX(Products!B:B,MATCH(OrdersTable[[#This Row],[Product ID]],Products!A:A,0))</f>
        <v>Casual Sneakers</v>
      </c>
      <c r="O151" t="str">
        <f>INDEX(Products!C:C,MATCH(OrdersTable[[#This Row],[Product ID]],Products!A:A,0))</f>
        <v>Footwear</v>
      </c>
      <c r="P151">
        <v>1</v>
      </c>
      <c r="Q151" s="5">
        <v>2199</v>
      </c>
      <c r="R151" s="74">
        <v>0.15</v>
      </c>
      <c r="S151" s="75">
        <f>OrdersTable[[#This Row],[Quantity]]*OrdersTable[[#This Row],[Unit Price]]</f>
        <v>2199</v>
      </c>
      <c r="T151" s="5">
        <f>OrdersTable[[#This Row],[Gross Sale]]*OrdersTable[[#This Row],[Discount_Clean2]]</f>
        <v>329.84999999999997</v>
      </c>
      <c r="U151" s="5">
        <f>OrdersTable[[#This Row],[Gross Sale]]-OrdersTable[[#This Row],[Discount Amount]]</f>
        <v>1869.15</v>
      </c>
      <c r="V151" s="77">
        <f>INDEX(Products!E:E,MATCH(OrdersTable[[#This Row],[Product ID]],Products!A:A,0))</f>
        <v>1034</v>
      </c>
      <c r="W151" s="77">
        <f>OrdersTable[[#This Row],[Quantity]]*OrdersTable[[#This Row],[Unit Cost]]</f>
        <v>1034</v>
      </c>
      <c r="X151" s="77">
        <f>'Dropdown Lists'!$I$2*(1+OrdersTable[[#This Row],[Returned]])</f>
        <v>60</v>
      </c>
      <c r="Y151" s="76">
        <f>OrdersTable[[#This Row],[Net Revenue]]-OrdersTable[[#This Row],[COGS]]-OrdersTable[[#This Row],[Shipping Cost]]</f>
        <v>775.15000000000009</v>
      </c>
      <c r="Z151" s="78">
        <f>IFERROR(OrdersTable[[#This Row],[Profit]]/OrdersTable[[#This Row],[Net Revenue]],0)</f>
        <v>0.41470721985929437</v>
      </c>
      <c r="AA151" t="s">
        <v>2522</v>
      </c>
      <c r="AB151" s="79">
        <v>45317</v>
      </c>
      <c r="AC151">
        <f>OrdersTable[[#This Row],[Delivery Date]]-OrdersTable[[#This Row],[Order Date]]</f>
        <v>1</v>
      </c>
      <c r="AD151" t="str">
        <f>IF(OrdersTable[[#This Row],[Delivery Days]]&lt;=2, "Express (≤2d)", IF(OrdersTable[[#This Row],[Delivery Days]]&lt;=4, "Standard (3-4d)", "Delayed (5d+)"))</f>
        <v>Express (≤2d)</v>
      </c>
      <c r="AF151">
        <v>0</v>
      </c>
    </row>
    <row r="152" spans="1:32" ht="15" x14ac:dyDescent="0.35">
      <c r="A152" t="s">
        <v>894</v>
      </c>
      <c r="B152" s="1">
        <v>45317</v>
      </c>
      <c r="C152">
        <f>YEAR(OrdersTable[[#This Row],[Order Date]])</f>
        <v>2024</v>
      </c>
      <c r="D152" s="2">
        <f>DATE(YEAR(OrdersTable[[#This Row],[Order Date]]),MONTH(OrdersTable[[#This Row],[Order Date]]),1)</f>
        <v>45292</v>
      </c>
      <c r="E152">
        <f>MONTH(OrdersTable[[#This Row],[Order Date]])</f>
        <v>1</v>
      </c>
      <c r="F152" t="s">
        <v>895</v>
      </c>
      <c r="G152" t="str">
        <f>IF(OrdersTable[[#This Row],[Order Date]]=_xlfn.MINIFS(Order_Date, Customer_ID, OrdersTable[[#This Row],[Customer ID]]), "New", "Repeat")</f>
        <v>New</v>
      </c>
      <c r="H152" t="s">
        <v>158</v>
      </c>
      <c r="I152" t="str">
        <f>INDEX(State!B:B,MATCH(OrdersTable[[#This Row],[State]],State!A:A,0))</f>
        <v>HP</v>
      </c>
      <c r="J152" t="str">
        <f>INDEX(State!C:C,MATCH(OrdersTable[[#This Row],[State Code]],State!B:B,0))</f>
        <v>North</v>
      </c>
      <c r="K152" t="s">
        <v>159</v>
      </c>
      <c r="L152" t="s">
        <v>16</v>
      </c>
      <c r="M152" t="s">
        <v>34</v>
      </c>
      <c r="N152" t="str">
        <f>INDEX(Products!B:B,MATCH(OrdersTable[[#This Row],[Product ID]],Products!A:A,0))</f>
        <v>Flip Flops</v>
      </c>
      <c r="O152" t="str">
        <f>INDEX(Products!C:C,MATCH(OrdersTable[[#This Row],[Product ID]],Products!A:A,0))</f>
        <v>Footwear</v>
      </c>
      <c r="P152">
        <v>1</v>
      </c>
      <c r="Q152" s="5">
        <v>399</v>
      </c>
      <c r="R152" s="74">
        <v>0.15</v>
      </c>
      <c r="S152" s="75">
        <f>OrdersTable[[#This Row],[Quantity]]*OrdersTable[[#This Row],[Unit Price]]</f>
        <v>399</v>
      </c>
      <c r="T152" s="5">
        <f>OrdersTable[[#This Row],[Gross Sale]]*OrdersTable[[#This Row],[Discount_Clean2]]</f>
        <v>59.849999999999994</v>
      </c>
      <c r="U152" s="5">
        <f>OrdersTable[[#This Row],[Gross Sale]]-OrdersTable[[#This Row],[Discount Amount]]</f>
        <v>339.15</v>
      </c>
      <c r="V152" s="77">
        <f>INDEX(Products!E:E,MATCH(OrdersTable[[#This Row],[Product ID]],Products!A:A,0))</f>
        <v>152</v>
      </c>
      <c r="W152" s="77">
        <f>OrdersTable[[#This Row],[Quantity]]*OrdersTable[[#This Row],[Unit Cost]]</f>
        <v>152</v>
      </c>
      <c r="X152" s="77">
        <f>'Dropdown Lists'!$I$2*(1+OrdersTable[[#This Row],[Returned]])</f>
        <v>60</v>
      </c>
      <c r="Y152" s="76">
        <f>OrdersTable[[#This Row],[Net Revenue]]-OrdersTable[[#This Row],[COGS]]-OrdersTable[[#This Row],[Shipping Cost]]</f>
        <v>127.14999999999998</v>
      </c>
      <c r="Z152" s="78">
        <f>IFERROR(OrdersTable[[#This Row],[Profit]]/OrdersTable[[#This Row],[Net Revenue]],0)</f>
        <v>0.37490785787999409</v>
      </c>
      <c r="AA152" t="s">
        <v>18</v>
      </c>
      <c r="AB152" s="79">
        <v>45322</v>
      </c>
      <c r="AC152">
        <f>OrdersTable[[#This Row],[Delivery Date]]-OrdersTable[[#This Row],[Order Date]]</f>
        <v>5</v>
      </c>
      <c r="AD152" t="str">
        <f>IF(OrdersTable[[#This Row],[Delivery Days]]&lt;=2, "Express (≤2d)", IF(OrdersTable[[#This Row],[Delivery Days]]&lt;=4, "Standard (3-4d)", "Delayed (5d+)"))</f>
        <v>Delayed (5d+)</v>
      </c>
      <c r="AE152">
        <v>4</v>
      </c>
      <c r="AF152">
        <v>0</v>
      </c>
    </row>
    <row r="153" spans="1:32" ht="15" x14ac:dyDescent="0.35">
      <c r="A153" t="s">
        <v>1213</v>
      </c>
      <c r="B153" s="1">
        <v>45317</v>
      </c>
      <c r="C153">
        <f>YEAR(OrdersTable[[#This Row],[Order Date]])</f>
        <v>2024</v>
      </c>
      <c r="D153" s="2">
        <f>DATE(YEAR(OrdersTable[[#This Row],[Order Date]]),MONTH(OrdersTable[[#This Row],[Order Date]]),1)</f>
        <v>45292</v>
      </c>
      <c r="E153">
        <f>MONTH(OrdersTable[[#This Row],[Order Date]])</f>
        <v>1</v>
      </c>
      <c r="F153" t="s">
        <v>1214</v>
      </c>
      <c r="G153" t="str">
        <f>IF(OrdersTable[[#This Row],[Order Date]]=_xlfn.MINIFS(Order_Date, Customer_ID, OrdersTable[[#This Row],[Customer ID]]), "New", "Repeat")</f>
        <v>New</v>
      </c>
      <c r="H153" t="s">
        <v>54</v>
      </c>
      <c r="I153" t="str">
        <f>INDEX(State!B:B,MATCH(OrdersTable[[#This Row],[State]],State!A:A,0))</f>
        <v>RJ</v>
      </c>
      <c r="J153" t="str">
        <f>INDEX(State!C:C,MATCH(OrdersTable[[#This Row],[State Code]],State!B:B,0))</f>
        <v>North</v>
      </c>
      <c r="K153" t="s">
        <v>227</v>
      </c>
      <c r="L153" t="s">
        <v>16</v>
      </c>
      <c r="M153" t="s">
        <v>205</v>
      </c>
      <c r="N153" t="str">
        <f>INDEX(Products!B:B,MATCH(OrdersTable[[#This Row],[Product ID]],Products!A:A,0))</f>
        <v>Running Shoes</v>
      </c>
      <c r="O153" t="str">
        <f>INDEX(Products!C:C,MATCH(OrdersTable[[#This Row],[Product ID]],Products!A:A,0))</f>
        <v>Footwear</v>
      </c>
      <c r="P153">
        <v>1</v>
      </c>
      <c r="Q153" s="5">
        <v>2999</v>
      </c>
      <c r="R153" s="74">
        <v>0.2</v>
      </c>
      <c r="S153" s="75">
        <f>OrdersTable[[#This Row],[Quantity]]*OrdersTable[[#This Row],[Unit Price]]</f>
        <v>2999</v>
      </c>
      <c r="T153" s="5">
        <f>OrdersTable[[#This Row],[Gross Sale]]*OrdersTable[[#This Row],[Discount_Clean2]]</f>
        <v>599.80000000000007</v>
      </c>
      <c r="U153" s="5">
        <f>OrdersTable[[#This Row],[Gross Sale]]-OrdersTable[[#This Row],[Discount Amount]]</f>
        <v>2399.1999999999998</v>
      </c>
      <c r="V153" s="77">
        <f>INDEX(Products!E:E,MATCH(OrdersTable[[#This Row],[Product ID]],Products!A:A,0))</f>
        <v>1440</v>
      </c>
      <c r="W153" s="77">
        <f>OrdersTable[[#This Row],[Quantity]]*OrdersTable[[#This Row],[Unit Cost]]</f>
        <v>1440</v>
      </c>
      <c r="X153" s="77">
        <f>'Dropdown Lists'!$I$2*(1+OrdersTable[[#This Row],[Returned]])</f>
        <v>60</v>
      </c>
      <c r="Y153" s="76">
        <f>OrdersTable[[#This Row],[Net Revenue]]-OrdersTable[[#This Row],[COGS]]-OrdersTable[[#This Row],[Shipping Cost]]</f>
        <v>899.19999999999982</v>
      </c>
      <c r="Z153" s="78">
        <f>IFERROR(OrdersTable[[#This Row],[Profit]]/OrdersTable[[#This Row],[Net Revenue]],0)</f>
        <v>0.3747915971990663</v>
      </c>
      <c r="AA153" t="s">
        <v>18</v>
      </c>
      <c r="AB153" s="79">
        <v>45321</v>
      </c>
      <c r="AC153">
        <f>OrdersTable[[#This Row],[Delivery Date]]-OrdersTable[[#This Row],[Order Date]]</f>
        <v>4</v>
      </c>
      <c r="AD153" t="str">
        <f>IF(OrdersTable[[#This Row],[Delivery Days]]&lt;=2, "Express (≤2d)", IF(OrdersTable[[#This Row],[Delivery Days]]&lt;=4, "Standard (3-4d)", "Delayed (5d+)"))</f>
        <v>Standard (3-4d)</v>
      </c>
      <c r="AF153">
        <v>0</v>
      </c>
    </row>
    <row r="154" spans="1:32" ht="15" x14ac:dyDescent="0.35">
      <c r="A154" t="s">
        <v>4898</v>
      </c>
      <c r="B154" s="1">
        <v>45317</v>
      </c>
      <c r="C154">
        <f>YEAR(OrdersTable[[#This Row],[Order Date]])</f>
        <v>2024</v>
      </c>
      <c r="D154" s="2">
        <f>DATE(YEAR(OrdersTable[[#This Row],[Order Date]]),MONTH(OrdersTable[[#This Row],[Order Date]]),1)</f>
        <v>45292</v>
      </c>
      <c r="E154">
        <f>MONTH(OrdersTable[[#This Row],[Order Date]])</f>
        <v>1</v>
      </c>
      <c r="F154" t="s">
        <v>4899</v>
      </c>
      <c r="G154" t="str">
        <f>IF(OrdersTable[[#This Row],[Order Date]]=_xlfn.MINIFS(Order_Date, Customer_ID, OrdersTable[[#This Row],[Customer ID]]), "New", "Repeat")</f>
        <v>New</v>
      </c>
      <c r="H154" t="s">
        <v>54</v>
      </c>
      <c r="I154" t="str">
        <f>INDEX(State!B:B,MATCH(OrdersTable[[#This Row],[State]],State!A:A,0))</f>
        <v>RJ</v>
      </c>
      <c r="J154" t="str">
        <f>INDEX(State!C:C,MATCH(OrdersTable[[#This Row],[State Code]],State!B:B,0))</f>
        <v>North</v>
      </c>
      <c r="K154" t="s">
        <v>227</v>
      </c>
      <c r="L154" t="s">
        <v>50</v>
      </c>
      <c r="M154" t="s">
        <v>51</v>
      </c>
      <c r="N154" t="str">
        <f>INDEX(Products!B:B,MATCH(OrdersTable[[#This Row],[Product ID]],Products!A:A,0))</f>
        <v>Anti-Dandruff Conditioner</v>
      </c>
      <c r="O154" t="str">
        <f>INDEX(Products!C:C,MATCH(OrdersTable[[#This Row],[Product ID]],Products!A:A,0))</f>
        <v>Haircare</v>
      </c>
      <c r="P154">
        <v>2</v>
      </c>
      <c r="Q154" s="5">
        <v>399</v>
      </c>
      <c r="R154" s="74">
        <v>0.4</v>
      </c>
      <c r="S154" s="75">
        <f>OrdersTable[[#This Row],[Quantity]]*OrdersTable[[#This Row],[Unit Price]]</f>
        <v>798</v>
      </c>
      <c r="T154" s="5">
        <f>OrdersTable[[#This Row],[Gross Sale]]*OrdersTable[[#This Row],[Discount_Clean2]]</f>
        <v>319.20000000000005</v>
      </c>
      <c r="U154" s="5">
        <f>OrdersTable[[#This Row],[Gross Sale]]-OrdersTable[[#This Row],[Discount Amount]]</f>
        <v>478.79999999999995</v>
      </c>
      <c r="V154" s="77">
        <f>INDEX(Products!E:E,MATCH(OrdersTable[[#This Row],[Product ID]],Products!A:A,0))</f>
        <v>136</v>
      </c>
      <c r="W154" s="77">
        <f>OrdersTable[[#This Row],[Quantity]]*OrdersTable[[#This Row],[Unit Cost]]</f>
        <v>272</v>
      </c>
      <c r="X154" s="77">
        <f>'Dropdown Lists'!$I$2*(1+OrdersTable[[#This Row],[Returned]])</f>
        <v>60</v>
      </c>
      <c r="Y154" s="76">
        <f>OrdersTable[[#This Row],[Net Revenue]]-OrdersTable[[#This Row],[COGS]]-OrdersTable[[#This Row],[Shipping Cost]]</f>
        <v>146.79999999999995</v>
      </c>
      <c r="Z154" s="78">
        <f>IFERROR(OrdersTable[[#This Row],[Profit]]/OrdersTable[[#This Row],[Net Revenue]],0)</f>
        <v>0.30659983291562232</v>
      </c>
      <c r="AA154" t="s">
        <v>4074</v>
      </c>
      <c r="AB154" s="79">
        <v>45323</v>
      </c>
      <c r="AC154">
        <f>OrdersTable[[#This Row],[Delivery Date]]-OrdersTable[[#This Row],[Order Date]]</f>
        <v>6</v>
      </c>
      <c r="AD154" t="str">
        <f>IF(OrdersTable[[#This Row],[Delivery Days]]&lt;=2, "Express (≤2d)", IF(OrdersTable[[#This Row],[Delivery Days]]&lt;=4, "Standard (3-4d)", "Delayed (5d+)"))</f>
        <v>Delayed (5d+)</v>
      </c>
      <c r="AF154">
        <v>0</v>
      </c>
    </row>
    <row r="155" spans="1:32" ht="15" x14ac:dyDescent="0.35">
      <c r="A155" t="s">
        <v>2206</v>
      </c>
      <c r="B155" s="1">
        <v>45317</v>
      </c>
      <c r="C155">
        <f>YEAR(OrdersTable[[#This Row],[Order Date]])</f>
        <v>2024</v>
      </c>
      <c r="D155" s="2">
        <f>DATE(YEAR(OrdersTable[[#This Row],[Order Date]]),MONTH(OrdersTable[[#This Row],[Order Date]]),1)</f>
        <v>45292</v>
      </c>
      <c r="E155">
        <f>MONTH(OrdersTable[[#This Row],[Order Date]])</f>
        <v>1</v>
      </c>
      <c r="F155" t="s">
        <v>2207</v>
      </c>
      <c r="G155" t="str">
        <f>IF(OrdersTable[[#This Row],[Order Date]]=_xlfn.MINIFS(Order_Date, Customer_ID, OrdersTable[[#This Row],[Customer ID]]), "New", "Repeat")</f>
        <v>New</v>
      </c>
      <c r="H155" t="s">
        <v>76</v>
      </c>
      <c r="I155" t="str">
        <f>INDEX(State!B:B,MATCH(OrdersTable[[#This Row],[State]],State!A:A,0))</f>
        <v>UP</v>
      </c>
      <c r="J155" t="str">
        <f>INDEX(State!C:C,MATCH(OrdersTable[[#This Row],[State Code]],State!B:B,0))</f>
        <v>North</v>
      </c>
      <c r="K155" t="s">
        <v>77</v>
      </c>
      <c r="L155" t="s">
        <v>65</v>
      </c>
      <c r="M155" t="s">
        <v>228</v>
      </c>
      <c r="N155" t="str">
        <f>INDEX(Products!B:B,MATCH(OrdersTable[[#This Row],[Product ID]],Products!A:A,0))</f>
        <v>Fast Charger 33W</v>
      </c>
      <c r="O155" t="str">
        <f>INDEX(Products!C:C,MATCH(OrdersTable[[#This Row],[Product ID]],Products!A:A,0))</f>
        <v>Electronics</v>
      </c>
      <c r="P155">
        <v>1</v>
      </c>
      <c r="Q155" s="5">
        <v>899</v>
      </c>
      <c r="R155" s="74">
        <v>0.1</v>
      </c>
      <c r="S155" s="75">
        <f>OrdersTable[[#This Row],[Quantity]]*OrdersTable[[#This Row],[Unit Price]]</f>
        <v>899</v>
      </c>
      <c r="T155" s="5">
        <f>OrdersTable[[#This Row],[Gross Sale]]*OrdersTable[[#This Row],[Discount_Clean2]]</f>
        <v>89.9</v>
      </c>
      <c r="U155" s="5">
        <f>OrdersTable[[#This Row],[Gross Sale]]-OrdersTable[[#This Row],[Discount Amount]]</f>
        <v>809.1</v>
      </c>
      <c r="V155" s="77">
        <f>INDEX(Products!E:E,MATCH(OrdersTable[[#This Row],[Product ID]],Products!A:A,0))</f>
        <v>494</v>
      </c>
      <c r="W155" s="77">
        <f>OrdersTable[[#This Row],[Quantity]]*OrdersTable[[#This Row],[Unit Cost]]</f>
        <v>494</v>
      </c>
      <c r="X155" s="77">
        <f>'Dropdown Lists'!$I$2*(1+OrdersTable[[#This Row],[Returned]])</f>
        <v>60</v>
      </c>
      <c r="Y155" s="76">
        <f>OrdersTable[[#This Row],[Net Revenue]]-OrdersTable[[#This Row],[COGS]]-OrdersTable[[#This Row],[Shipping Cost]]</f>
        <v>255.10000000000002</v>
      </c>
      <c r="Z155" s="78">
        <f>IFERROR(OrdersTable[[#This Row],[Profit]]/OrdersTable[[#This Row],[Net Revenue]],0)</f>
        <v>0.31528859226300832</v>
      </c>
      <c r="AA155" t="s">
        <v>18</v>
      </c>
      <c r="AB155" s="79">
        <v>45321</v>
      </c>
      <c r="AC155">
        <f>OrdersTable[[#This Row],[Delivery Date]]-OrdersTable[[#This Row],[Order Date]]</f>
        <v>4</v>
      </c>
      <c r="AD155" t="str">
        <f>IF(OrdersTable[[#This Row],[Delivery Days]]&lt;=2, "Express (≤2d)", IF(OrdersTable[[#This Row],[Delivery Days]]&lt;=4, "Standard (3-4d)", "Delayed (5d+)"))</f>
        <v>Standard (3-4d)</v>
      </c>
      <c r="AE155">
        <v>5</v>
      </c>
      <c r="AF155">
        <v>0</v>
      </c>
    </row>
    <row r="156" spans="1:32" ht="15" x14ac:dyDescent="0.35">
      <c r="A156" t="s">
        <v>434</v>
      </c>
      <c r="B156" s="1">
        <v>45317</v>
      </c>
      <c r="C156">
        <f>YEAR(OrdersTable[[#This Row],[Order Date]])</f>
        <v>2024</v>
      </c>
      <c r="D156" s="2">
        <f>DATE(YEAR(OrdersTable[[#This Row],[Order Date]]),MONTH(OrdersTable[[#This Row],[Order Date]]),1)</f>
        <v>45292</v>
      </c>
      <c r="E156">
        <f>MONTH(OrdersTable[[#This Row],[Order Date]])</f>
        <v>1</v>
      </c>
      <c r="F156" t="s">
        <v>435</v>
      </c>
      <c r="G156" t="str">
        <f>IF(OrdersTable[[#This Row],[Order Date]]=_xlfn.MINIFS(Order_Date, Customer_ID, OrdersTable[[#This Row],[Customer ID]]), "New", "Repeat")</f>
        <v>New</v>
      </c>
      <c r="H156" t="s">
        <v>43</v>
      </c>
      <c r="I156" t="str">
        <f>INDEX(State!B:B,MATCH(OrdersTable[[#This Row],[State]],State!A:A,0))</f>
        <v>MP</v>
      </c>
      <c r="J156" t="str">
        <f>INDEX(State!C:C,MATCH(OrdersTable[[#This Row],[State Code]],State!B:B,0))</f>
        <v>West</v>
      </c>
      <c r="K156" t="s">
        <v>44</v>
      </c>
      <c r="L156" t="s">
        <v>65</v>
      </c>
      <c r="M156" t="s">
        <v>87</v>
      </c>
      <c r="N156" t="str">
        <f>INDEX(Products!B:B,MATCH(OrdersTable[[#This Row],[Product ID]],Products!A:A,0))</f>
        <v>Linen Kurta</v>
      </c>
      <c r="O156" t="str">
        <f>INDEX(Products!C:C,MATCH(OrdersTable[[#This Row],[Product ID]],Products!A:A,0))</f>
        <v>Apparel</v>
      </c>
      <c r="P156">
        <v>1</v>
      </c>
      <c r="Q156" s="5">
        <v>1499</v>
      </c>
      <c r="R156" s="74">
        <v>0.3</v>
      </c>
      <c r="S156" s="75">
        <f>OrdersTable[[#This Row],[Quantity]]*OrdersTable[[#This Row],[Unit Price]]</f>
        <v>1499</v>
      </c>
      <c r="T156" s="5">
        <f>OrdersTable[[#This Row],[Gross Sale]]*OrdersTable[[#This Row],[Discount_Clean2]]</f>
        <v>449.7</v>
      </c>
      <c r="U156" s="5">
        <f>OrdersTable[[#This Row],[Gross Sale]]-OrdersTable[[#This Row],[Discount Amount]]</f>
        <v>1049.3</v>
      </c>
      <c r="V156" s="77">
        <f>INDEX(Products!E:E,MATCH(OrdersTable[[#This Row],[Product ID]],Products!A:A,0))</f>
        <v>630</v>
      </c>
      <c r="W156" s="77">
        <f>OrdersTable[[#This Row],[Quantity]]*OrdersTable[[#This Row],[Unit Cost]]</f>
        <v>630</v>
      </c>
      <c r="X156" s="77">
        <f>'Dropdown Lists'!$I$2*(1+OrdersTable[[#This Row],[Returned]])</f>
        <v>60</v>
      </c>
      <c r="Y156" s="76">
        <f>OrdersTable[[#This Row],[Net Revenue]]-OrdersTable[[#This Row],[COGS]]-OrdersTable[[#This Row],[Shipping Cost]]</f>
        <v>359.29999999999995</v>
      </c>
      <c r="Z156" s="78">
        <f>IFERROR(OrdersTable[[#This Row],[Profit]]/OrdersTable[[#This Row],[Net Revenue]],0)</f>
        <v>0.34241875536071664</v>
      </c>
      <c r="AA156" t="s">
        <v>18</v>
      </c>
      <c r="AB156" s="79">
        <v>45319</v>
      </c>
      <c r="AC156">
        <f>OrdersTable[[#This Row],[Delivery Date]]-OrdersTable[[#This Row],[Order Date]]</f>
        <v>2</v>
      </c>
      <c r="AD156" t="str">
        <f>IF(OrdersTable[[#This Row],[Delivery Days]]&lt;=2, "Express (≤2d)", IF(OrdersTable[[#This Row],[Delivery Days]]&lt;=4, "Standard (3-4d)", "Delayed (5d+)"))</f>
        <v>Express (≤2d)</v>
      </c>
      <c r="AE156">
        <v>4</v>
      </c>
      <c r="AF156">
        <v>0</v>
      </c>
    </row>
    <row r="157" spans="1:32" ht="15" x14ac:dyDescent="0.35">
      <c r="A157" t="s">
        <v>1831</v>
      </c>
      <c r="B157" s="1">
        <v>45317</v>
      </c>
      <c r="C157">
        <f>YEAR(OrdersTable[[#This Row],[Order Date]])</f>
        <v>2024</v>
      </c>
      <c r="D157" s="2">
        <f>DATE(YEAR(OrdersTable[[#This Row],[Order Date]]),MONTH(OrdersTable[[#This Row],[Order Date]]),1)</f>
        <v>45292</v>
      </c>
      <c r="E157">
        <f>MONTH(OrdersTable[[#This Row],[Order Date]])</f>
        <v>1</v>
      </c>
      <c r="F157" t="s">
        <v>1832</v>
      </c>
      <c r="G157" t="str">
        <f>IF(OrdersTable[[#This Row],[Order Date]]=_xlfn.MINIFS(Order_Date, Customer_ID, OrdersTable[[#This Row],[Customer ID]]), "New", "Repeat")</f>
        <v>New</v>
      </c>
      <c r="H157" t="s">
        <v>123</v>
      </c>
      <c r="I157" t="str">
        <f>INDEX(State!B:B,MATCH(OrdersTable[[#This Row],[State]],State!A:A,0))</f>
        <v>JH</v>
      </c>
      <c r="J157" t="str">
        <f>INDEX(State!C:C,MATCH(OrdersTable[[#This Row],[State Code]],State!B:B,0))</f>
        <v>East</v>
      </c>
      <c r="K157" t="s">
        <v>124</v>
      </c>
      <c r="L157" t="s">
        <v>23</v>
      </c>
      <c r="M157" t="s">
        <v>228</v>
      </c>
      <c r="N157" t="str">
        <f>INDEX(Products!B:B,MATCH(OrdersTable[[#This Row],[Product ID]],Products!A:A,0))</f>
        <v>Fast Charger 33W</v>
      </c>
      <c r="O157" t="str">
        <f>INDEX(Products!C:C,MATCH(OrdersTable[[#This Row],[Product ID]],Products!A:A,0))</f>
        <v>Electronics</v>
      </c>
      <c r="P157">
        <v>1</v>
      </c>
      <c r="Q157" s="5">
        <v>899</v>
      </c>
      <c r="R157" s="74">
        <v>0.05</v>
      </c>
      <c r="S157" s="75">
        <f>OrdersTable[[#This Row],[Quantity]]*OrdersTable[[#This Row],[Unit Price]]</f>
        <v>899</v>
      </c>
      <c r="T157" s="5">
        <f>OrdersTable[[#This Row],[Gross Sale]]*OrdersTable[[#This Row],[Discount_Clean2]]</f>
        <v>44.95</v>
      </c>
      <c r="U157" s="5">
        <f>OrdersTable[[#This Row],[Gross Sale]]-OrdersTable[[#This Row],[Discount Amount]]</f>
        <v>854.05</v>
      </c>
      <c r="V157" s="77">
        <f>INDEX(Products!E:E,MATCH(OrdersTable[[#This Row],[Product ID]],Products!A:A,0))</f>
        <v>494</v>
      </c>
      <c r="W157" s="77">
        <f>OrdersTable[[#This Row],[Quantity]]*OrdersTable[[#This Row],[Unit Cost]]</f>
        <v>494</v>
      </c>
      <c r="X157" s="77">
        <f>'Dropdown Lists'!$I$2*(1+OrdersTable[[#This Row],[Returned]])</f>
        <v>60</v>
      </c>
      <c r="Y157" s="76">
        <f>OrdersTable[[#This Row],[Net Revenue]]-OrdersTable[[#This Row],[COGS]]-OrdersTable[[#This Row],[Shipping Cost]]</f>
        <v>300.04999999999995</v>
      </c>
      <c r="Z157" s="78">
        <f>IFERROR(OrdersTable[[#This Row],[Profit]]/OrdersTable[[#This Row],[Net Revenue]],0)</f>
        <v>0.35132603477548152</v>
      </c>
      <c r="AA157" t="s">
        <v>18</v>
      </c>
      <c r="AB157" s="79">
        <v>45321</v>
      </c>
      <c r="AC157">
        <f>OrdersTable[[#This Row],[Delivery Date]]-OrdersTable[[#This Row],[Order Date]]</f>
        <v>4</v>
      </c>
      <c r="AD157" t="str">
        <f>IF(OrdersTable[[#This Row],[Delivery Days]]&lt;=2, "Express (≤2d)", IF(OrdersTable[[#This Row],[Delivery Days]]&lt;=4, "Standard (3-4d)", "Delayed (5d+)"))</f>
        <v>Standard (3-4d)</v>
      </c>
      <c r="AE157">
        <v>3</v>
      </c>
      <c r="AF157">
        <v>0</v>
      </c>
    </row>
    <row r="158" spans="1:32" ht="15" x14ac:dyDescent="0.35">
      <c r="A158" t="s">
        <v>4448</v>
      </c>
      <c r="B158" s="1">
        <v>45317</v>
      </c>
      <c r="C158">
        <f>YEAR(OrdersTable[[#This Row],[Order Date]])</f>
        <v>2024</v>
      </c>
      <c r="D158" s="2">
        <f>DATE(YEAR(OrdersTable[[#This Row],[Order Date]]),MONTH(OrdersTable[[#This Row],[Order Date]]),1)</f>
        <v>45292</v>
      </c>
      <c r="E158">
        <f>MONTH(OrdersTable[[#This Row],[Order Date]])</f>
        <v>1</v>
      </c>
      <c r="F158" t="s">
        <v>4449</v>
      </c>
      <c r="G158" t="str">
        <f>IF(OrdersTable[[#This Row],[Order Date]]=_xlfn.MINIFS(Order_Date, Customer_ID, OrdersTable[[#This Row],[Customer ID]]), "New", "Repeat")</f>
        <v>New</v>
      </c>
      <c r="H158" t="s">
        <v>71</v>
      </c>
      <c r="I158" t="str">
        <f>INDEX(State!B:B,MATCH(OrdersTable[[#This Row],[State]],State!A:A,0))</f>
        <v>MH</v>
      </c>
      <c r="J158" t="str">
        <f>INDEX(State!C:C,MATCH(OrdersTable[[#This Row],[State Code]],State!B:B,0))</f>
        <v>West</v>
      </c>
      <c r="K158" t="s">
        <v>72</v>
      </c>
      <c r="L158" t="s">
        <v>65</v>
      </c>
      <c r="M158" t="s">
        <v>40</v>
      </c>
      <c r="N158" t="str">
        <f>INDEX(Products!B:B,MATCH(OrdersTable[[#This Row],[Product ID]],Products!A:A,0))</f>
        <v>Ashwagandha Capsules</v>
      </c>
      <c r="O158" t="str">
        <f>INDEX(Products!C:C,MATCH(OrdersTable[[#This Row],[Product ID]],Products!A:A,0))</f>
        <v>Wellness</v>
      </c>
      <c r="P158">
        <v>1</v>
      </c>
      <c r="Q158" s="5">
        <v>499</v>
      </c>
      <c r="R158" s="74">
        <v>0.1</v>
      </c>
      <c r="S158" s="75">
        <f>OrdersTable[[#This Row],[Quantity]]*OrdersTable[[#This Row],[Unit Price]]</f>
        <v>499</v>
      </c>
      <c r="T158" s="5">
        <f>OrdersTable[[#This Row],[Gross Sale]]*OrdersTable[[#This Row],[Discount_Clean2]]</f>
        <v>49.900000000000006</v>
      </c>
      <c r="U158" s="5">
        <f>OrdersTable[[#This Row],[Gross Sale]]-OrdersTable[[#This Row],[Discount Amount]]</f>
        <v>449.1</v>
      </c>
      <c r="V158" s="77">
        <f>INDEX(Products!E:E,MATCH(OrdersTable[[#This Row],[Product ID]],Products!A:A,0))</f>
        <v>150</v>
      </c>
      <c r="W158" s="77">
        <f>OrdersTable[[#This Row],[Quantity]]*OrdersTable[[#This Row],[Unit Cost]]</f>
        <v>150</v>
      </c>
      <c r="X158" s="77">
        <f>'Dropdown Lists'!$I$2*(1+OrdersTable[[#This Row],[Returned]])</f>
        <v>60</v>
      </c>
      <c r="Y158" s="76">
        <f>OrdersTable[[#This Row],[Net Revenue]]-OrdersTable[[#This Row],[COGS]]-OrdersTable[[#This Row],[Shipping Cost]]</f>
        <v>239.10000000000002</v>
      </c>
      <c r="Z158" s="78">
        <f>IFERROR(OrdersTable[[#This Row],[Profit]]/OrdersTable[[#This Row],[Net Revenue]],0)</f>
        <v>0.53239812959251842</v>
      </c>
      <c r="AA158" t="s">
        <v>4450</v>
      </c>
      <c r="AB158" s="79">
        <v>45319</v>
      </c>
      <c r="AC158">
        <f>OrdersTable[[#This Row],[Delivery Date]]-OrdersTable[[#This Row],[Order Date]]</f>
        <v>2</v>
      </c>
      <c r="AD158" t="str">
        <f>IF(OrdersTable[[#This Row],[Delivery Days]]&lt;=2, "Express (≤2d)", IF(OrdersTable[[#This Row],[Delivery Days]]&lt;=4, "Standard (3-4d)", "Delayed (5d+)"))</f>
        <v>Express (≤2d)</v>
      </c>
      <c r="AE158">
        <v>4</v>
      </c>
      <c r="AF158">
        <v>0</v>
      </c>
    </row>
    <row r="159" spans="1:32" ht="15" x14ac:dyDescent="0.35">
      <c r="A159" t="s">
        <v>4211</v>
      </c>
      <c r="B159" s="1">
        <v>45317</v>
      </c>
      <c r="C159">
        <f>YEAR(OrdersTable[[#This Row],[Order Date]])</f>
        <v>2024</v>
      </c>
      <c r="D159" s="2">
        <f>DATE(YEAR(OrdersTable[[#This Row],[Order Date]]),MONTH(OrdersTable[[#This Row],[Order Date]]),1)</f>
        <v>45292</v>
      </c>
      <c r="E159">
        <f>MONTH(OrdersTable[[#This Row],[Order Date]])</f>
        <v>1</v>
      </c>
      <c r="F159" t="s">
        <v>3688</v>
      </c>
      <c r="G159" t="str">
        <f>IF(OrdersTable[[#This Row],[Order Date]]=_xlfn.MINIFS(Order_Date, Customer_ID, OrdersTable[[#This Row],[Customer ID]]), "New", "Repeat")</f>
        <v>New</v>
      </c>
      <c r="H159" t="s">
        <v>14</v>
      </c>
      <c r="I159" t="str">
        <f>INDEX(State!B:B,MATCH(OrdersTable[[#This Row],[State]],State!A:A,0))</f>
        <v>OD</v>
      </c>
      <c r="J159" t="str">
        <f>INDEX(State!C:C,MATCH(OrdersTable[[#This Row],[State Code]],State!B:B,0))</f>
        <v>East</v>
      </c>
      <c r="K159" t="s">
        <v>15</v>
      </c>
      <c r="L159" t="s">
        <v>65</v>
      </c>
      <c r="M159" t="s">
        <v>92</v>
      </c>
      <c r="N159" t="str">
        <f>INDEX(Products!B:B,MATCH(OrdersTable[[#This Row],[Product ID]],Products!A:A,0))</f>
        <v>Kolhapuri Sandals</v>
      </c>
      <c r="O159" t="str">
        <f>INDEX(Products!C:C,MATCH(OrdersTable[[#This Row],[Product ID]],Products!A:A,0))</f>
        <v>Footwear</v>
      </c>
      <c r="P159">
        <v>1</v>
      </c>
      <c r="Q159" s="5">
        <v>999</v>
      </c>
      <c r="R159" s="74">
        <v>0</v>
      </c>
      <c r="S159" s="75">
        <f>OrdersTable[[#This Row],[Quantity]]*OrdersTable[[#This Row],[Unit Price]]</f>
        <v>999</v>
      </c>
      <c r="T159" s="5">
        <f>OrdersTable[[#This Row],[Gross Sale]]*OrdersTable[[#This Row],[Discount_Clean2]]</f>
        <v>0</v>
      </c>
      <c r="U159" s="5">
        <f>OrdersTable[[#This Row],[Gross Sale]]-OrdersTable[[#This Row],[Discount Amount]]</f>
        <v>999</v>
      </c>
      <c r="V159" s="77">
        <f>INDEX(Products!E:E,MATCH(OrdersTable[[#This Row],[Product ID]],Products!A:A,0))</f>
        <v>400</v>
      </c>
      <c r="W159" s="77">
        <f>OrdersTable[[#This Row],[Quantity]]*OrdersTable[[#This Row],[Unit Cost]]</f>
        <v>400</v>
      </c>
      <c r="X159" s="77">
        <f>'Dropdown Lists'!$I$2*(1+OrdersTable[[#This Row],[Returned]])</f>
        <v>120</v>
      </c>
      <c r="Y159" s="76">
        <f>OrdersTable[[#This Row],[Net Revenue]]-OrdersTable[[#This Row],[COGS]]-OrdersTable[[#This Row],[Shipping Cost]]</f>
        <v>479</v>
      </c>
      <c r="Z159" s="78">
        <f>IFERROR(OrdersTable[[#This Row],[Profit]]/OrdersTable[[#This Row],[Net Revenue]],0)</f>
        <v>0.4794794794794795</v>
      </c>
      <c r="AA159" t="s">
        <v>4074</v>
      </c>
      <c r="AB159" s="79">
        <v>45322</v>
      </c>
      <c r="AC159">
        <f>OrdersTable[[#This Row],[Delivery Date]]-OrdersTable[[#This Row],[Order Date]]</f>
        <v>5</v>
      </c>
      <c r="AD159" t="str">
        <f>IF(OrdersTable[[#This Row],[Delivery Days]]&lt;=2, "Express (≤2d)", IF(OrdersTable[[#This Row],[Delivery Days]]&lt;=4, "Standard (3-4d)", "Delayed (5d+)"))</f>
        <v>Delayed (5d+)</v>
      </c>
      <c r="AF159">
        <v>1</v>
      </c>
    </row>
    <row r="160" spans="1:32" ht="15" x14ac:dyDescent="0.35">
      <c r="A160" t="s">
        <v>5655</v>
      </c>
      <c r="B160" s="1">
        <v>45317</v>
      </c>
      <c r="C160">
        <f>YEAR(OrdersTable[[#This Row],[Order Date]])</f>
        <v>2024</v>
      </c>
      <c r="D160" s="2">
        <f>DATE(YEAR(OrdersTable[[#This Row],[Order Date]]),MONTH(OrdersTable[[#This Row],[Order Date]]),1)</f>
        <v>45292</v>
      </c>
      <c r="E160">
        <f>MONTH(OrdersTable[[#This Row],[Order Date]])</f>
        <v>1</v>
      </c>
      <c r="F160" t="s">
        <v>3725</v>
      </c>
      <c r="G160" t="str">
        <f>IF(OrdersTable[[#This Row],[Order Date]]=_xlfn.MINIFS(Order_Date, Customer_ID, OrdersTable[[#This Row],[Customer ID]]), "New", "Repeat")</f>
        <v>New</v>
      </c>
      <c r="H160" t="s">
        <v>167</v>
      </c>
      <c r="I160" t="str">
        <f>INDEX(State!B:B,MATCH(OrdersTable[[#This Row],[State]],State!A:A,0))</f>
        <v>KA</v>
      </c>
      <c r="J160" t="str">
        <f>INDEX(State!C:C,MATCH(OrdersTable[[#This Row],[State Code]],State!B:B,0))</f>
        <v>South</v>
      </c>
      <c r="K160" t="s">
        <v>168</v>
      </c>
      <c r="L160" t="s">
        <v>23</v>
      </c>
      <c r="M160" t="s">
        <v>78</v>
      </c>
      <c r="N160" t="str">
        <f>INDEX(Products!B:B,MATCH(OrdersTable[[#This Row],[Product ID]],Products!A:A,0))</f>
        <v>Retinol Night Cream</v>
      </c>
      <c r="O160" t="str">
        <f>INDEX(Products!C:C,MATCH(OrdersTable[[#This Row],[Product ID]],Products!A:A,0))</f>
        <v>Skincare</v>
      </c>
      <c r="P160">
        <v>2</v>
      </c>
      <c r="Q160" s="5">
        <v>799</v>
      </c>
      <c r="R160" s="74">
        <v>0.1</v>
      </c>
      <c r="S160" s="75">
        <f>OrdersTable[[#This Row],[Quantity]]*OrdersTable[[#This Row],[Unit Price]]</f>
        <v>1598</v>
      </c>
      <c r="T160" s="5">
        <f>OrdersTable[[#This Row],[Gross Sale]]*OrdersTable[[#This Row],[Discount_Clean2]]</f>
        <v>159.80000000000001</v>
      </c>
      <c r="U160" s="5">
        <f>OrdersTable[[#This Row],[Gross Sale]]-OrdersTable[[#This Row],[Discount Amount]]</f>
        <v>1438.2</v>
      </c>
      <c r="V160" s="77">
        <f>INDEX(Products!E:E,MATCH(OrdersTable[[#This Row],[Product ID]],Products!A:A,0))</f>
        <v>216</v>
      </c>
      <c r="W160" s="77">
        <f>OrdersTable[[#This Row],[Quantity]]*OrdersTable[[#This Row],[Unit Cost]]</f>
        <v>432</v>
      </c>
      <c r="X160" s="77">
        <f>'Dropdown Lists'!$I$2*(1+OrdersTable[[#This Row],[Returned]])</f>
        <v>60</v>
      </c>
      <c r="Y160" s="76">
        <f>OrdersTable[[#This Row],[Net Revenue]]-OrdersTable[[#This Row],[COGS]]-OrdersTable[[#This Row],[Shipping Cost]]</f>
        <v>946.2</v>
      </c>
      <c r="Z160" s="78">
        <f>IFERROR(OrdersTable[[#This Row],[Profit]]/OrdersTable[[#This Row],[Net Revenue]],0)</f>
        <v>0.6579057154776804</v>
      </c>
      <c r="AA160" t="s">
        <v>18</v>
      </c>
      <c r="AB160" s="79">
        <v>45320</v>
      </c>
      <c r="AC160">
        <f>OrdersTable[[#This Row],[Delivery Date]]-OrdersTable[[#This Row],[Order Date]]</f>
        <v>3</v>
      </c>
      <c r="AD160" t="str">
        <f>IF(OrdersTable[[#This Row],[Delivery Days]]&lt;=2, "Express (≤2d)", IF(OrdersTable[[#This Row],[Delivery Days]]&lt;=4, "Standard (3-4d)", "Delayed (5d+)"))</f>
        <v>Standard (3-4d)</v>
      </c>
      <c r="AE160">
        <v>3</v>
      </c>
      <c r="AF160">
        <v>0</v>
      </c>
    </row>
    <row r="161" spans="1:32" ht="15" x14ac:dyDescent="0.35">
      <c r="A161" t="s">
        <v>5564</v>
      </c>
      <c r="B161" s="1">
        <v>45318</v>
      </c>
      <c r="C161">
        <f>YEAR(OrdersTable[[#This Row],[Order Date]])</f>
        <v>2024</v>
      </c>
      <c r="D161" s="2">
        <f>DATE(YEAR(OrdersTable[[#This Row],[Order Date]]),MONTH(OrdersTable[[#This Row],[Order Date]]),1)</f>
        <v>45292</v>
      </c>
      <c r="E161">
        <f>MONTH(OrdersTable[[#This Row],[Order Date]])</f>
        <v>1</v>
      </c>
      <c r="F161" t="s">
        <v>2340</v>
      </c>
      <c r="G161" t="str">
        <f>IF(OrdersTable[[#This Row],[Order Date]]=_xlfn.MINIFS(Order_Date, Customer_ID, OrdersTable[[#This Row],[Customer ID]]), "New", "Repeat")</f>
        <v>New</v>
      </c>
      <c r="H161" t="s">
        <v>54</v>
      </c>
      <c r="I161" t="str">
        <f>INDEX(State!B:B,MATCH(OrdersTable[[#This Row],[State]],State!A:A,0))</f>
        <v>RJ</v>
      </c>
      <c r="J161" t="str">
        <f>INDEX(State!C:C,MATCH(OrdersTable[[#This Row],[State Code]],State!B:B,0))</f>
        <v>North</v>
      </c>
      <c r="K161" t="s">
        <v>55</v>
      </c>
      <c r="L161" t="s">
        <v>65</v>
      </c>
      <c r="M161" t="s">
        <v>152</v>
      </c>
      <c r="N161" t="str">
        <f>INDEX(Products!B:B,MATCH(OrdersTable[[#This Row],[Product ID]],Products!A:A,0))</f>
        <v>Green Tea (100 bags)</v>
      </c>
      <c r="O161" t="str">
        <f>INDEX(Products!C:C,MATCH(OrdersTable[[#This Row],[Product ID]],Products!A:A,0))</f>
        <v>Wellness</v>
      </c>
      <c r="P161">
        <v>2</v>
      </c>
      <c r="Q161" s="5">
        <v>399</v>
      </c>
      <c r="R161" s="74">
        <v>0.35</v>
      </c>
      <c r="S161" s="75">
        <f>OrdersTable[[#This Row],[Quantity]]*OrdersTable[[#This Row],[Unit Price]]</f>
        <v>798</v>
      </c>
      <c r="T161" s="5">
        <f>OrdersTable[[#This Row],[Gross Sale]]*OrdersTable[[#This Row],[Discount_Clean2]]</f>
        <v>279.29999999999995</v>
      </c>
      <c r="U161" s="5">
        <f>OrdersTable[[#This Row],[Gross Sale]]-OrdersTable[[#This Row],[Discount Amount]]</f>
        <v>518.70000000000005</v>
      </c>
      <c r="V161" s="77">
        <f>INDEX(Products!E:E,MATCH(OrdersTable[[#This Row],[Product ID]],Products!A:A,0))</f>
        <v>128</v>
      </c>
      <c r="W161" s="77">
        <f>OrdersTable[[#This Row],[Quantity]]*OrdersTable[[#This Row],[Unit Cost]]</f>
        <v>256</v>
      </c>
      <c r="X161" s="77">
        <f>'Dropdown Lists'!$I$2*(1+OrdersTable[[#This Row],[Returned]])</f>
        <v>60</v>
      </c>
      <c r="Y161" s="76">
        <f>OrdersTable[[#This Row],[Net Revenue]]-OrdersTable[[#This Row],[COGS]]-OrdersTable[[#This Row],[Shipping Cost]]</f>
        <v>202.70000000000005</v>
      </c>
      <c r="Z161" s="78">
        <f>IFERROR(OrdersTable[[#This Row],[Profit]]/OrdersTable[[#This Row],[Net Revenue]],0)</f>
        <v>0.39078465394254874</v>
      </c>
      <c r="AA161" t="s">
        <v>2522</v>
      </c>
      <c r="AB161" s="79">
        <v>45323</v>
      </c>
      <c r="AC161">
        <f>OrdersTable[[#This Row],[Delivery Date]]-OrdersTable[[#This Row],[Order Date]]</f>
        <v>5</v>
      </c>
      <c r="AD161" t="str">
        <f>IF(OrdersTable[[#This Row],[Delivery Days]]&lt;=2, "Express (≤2d)", IF(OrdersTable[[#This Row],[Delivery Days]]&lt;=4, "Standard (3-4d)", "Delayed (5d+)"))</f>
        <v>Delayed (5d+)</v>
      </c>
      <c r="AE161">
        <v>4</v>
      </c>
      <c r="AF161">
        <v>0</v>
      </c>
    </row>
    <row r="162" spans="1:32" ht="15" x14ac:dyDescent="0.35">
      <c r="A162" t="s">
        <v>2208</v>
      </c>
      <c r="B162" s="1">
        <v>45318</v>
      </c>
      <c r="C162">
        <f>YEAR(OrdersTable[[#This Row],[Order Date]])</f>
        <v>2024</v>
      </c>
      <c r="D162" s="2">
        <f>DATE(YEAR(OrdersTable[[#This Row],[Order Date]]),MONTH(OrdersTable[[#This Row],[Order Date]]),1)</f>
        <v>45292</v>
      </c>
      <c r="E162">
        <f>MONTH(OrdersTable[[#This Row],[Order Date]])</f>
        <v>1</v>
      </c>
      <c r="F162" t="s">
        <v>2209</v>
      </c>
      <c r="G162" t="str">
        <f>IF(OrdersTable[[#This Row],[Order Date]]=_xlfn.MINIFS(Order_Date, Customer_ID, OrdersTable[[#This Row],[Customer ID]]), "New", "Repeat")</f>
        <v>Repeat</v>
      </c>
      <c r="H162" t="s">
        <v>128</v>
      </c>
      <c r="I162" t="str">
        <f>INDEX(State!B:B,MATCH(OrdersTable[[#This Row],[State]],State!A:A,0))</f>
        <v>DL</v>
      </c>
      <c r="J162" t="str">
        <f>INDEX(State!C:C,MATCH(OrdersTable[[#This Row],[State Code]],State!B:B,0))</f>
        <v>North</v>
      </c>
      <c r="K162" t="s">
        <v>129</v>
      </c>
      <c r="L162" t="s">
        <v>50</v>
      </c>
      <c r="M162" t="s">
        <v>56</v>
      </c>
      <c r="N162" t="str">
        <f>INDEX(Products!B:B,MATCH(OrdersTable[[#This Row],[Product ID]],Products!A:A,0))</f>
        <v>Vitamin C Face Serum</v>
      </c>
      <c r="O162" t="str">
        <f>INDEX(Products!C:C,MATCH(OrdersTable[[#This Row],[Product ID]],Products!A:A,0))</f>
        <v>Skincare</v>
      </c>
      <c r="P162">
        <v>1</v>
      </c>
      <c r="Q162" s="5">
        <v>599</v>
      </c>
      <c r="R162" s="74">
        <v>0.1</v>
      </c>
      <c r="S162" s="75">
        <f>OrdersTable[[#This Row],[Quantity]]*OrdersTable[[#This Row],[Unit Price]]</f>
        <v>599</v>
      </c>
      <c r="T162" s="5">
        <f>OrdersTable[[#This Row],[Gross Sale]]*OrdersTable[[#This Row],[Discount_Clean2]]</f>
        <v>59.900000000000006</v>
      </c>
      <c r="U162" s="5">
        <f>OrdersTable[[#This Row],[Gross Sale]]-OrdersTable[[#This Row],[Discount Amount]]</f>
        <v>539.1</v>
      </c>
      <c r="V162" s="77">
        <f>INDEX(Products!E:E,MATCH(OrdersTable[[#This Row],[Product ID]],Products!A:A,0))</f>
        <v>180</v>
      </c>
      <c r="W162" s="77">
        <f>OrdersTable[[#This Row],[Quantity]]*OrdersTable[[#This Row],[Unit Cost]]</f>
        <v>180</v>
      </c>
      <c r="X162" s="77">
        <f>'Dropdown Lists'!$I$2*(1+OrdersTable[[#This Row],[Returned]])</f>
        <v>60</v>
      </c>
      <c r="Y162" s="76">
        <f>OrdersTable[[#This Row],[Net Revenue]]-OrdersTable[[#This Row],[COGS]]-OrdersTable[[#This Row],[Shipping Cost]]</f>
        <v>299.10000000000002</v>
      </c>
      <c r="Z162" s="78">
        <f>IFERROR(OrdersTable[[#This Row],[Profit]]/OrdersTable[[#This Row],[Net Revenue]],0)</f>
        <v>0.5548135781858653</v>
      </c>
      <c r="AA162" t="s">
        <v>18</v>
      </c>
      <c r="AB162" s="79">
        <v>45319</v>
      </c>
      <c r="AC162">
        <f>OrdersTable[[#This Row],[Delivery Date]]-OrdersTable[[#This Row],[Order Date]]</f>
        <v>1</v>
      </c>
      <c r="AD162" t="str">
        <f>IF(OrdersTable[[#This Row],[Delivery Days]]&lt;=2, "Express (≤2d)", IF(OrdersTable[[#This Row],[Delivery Days]]&lt;=4, "Standard (3-4d)", "Delayed (5d+)"))</f>
        <v>Express (≤2d)</v>
      </c>
      <c r="AE162">
        <v>5</v>
      </c>
      <c r="AF162">
        <v>0</v>
      </c>
    </row>
    <row r="163" spans="1:32" ht="15" x14ac:dyDescent="0.35">
      <c r="A163" t="s">
        <v>6460</v>
      </c>
      <c r="B163" s="1">
        <v>45318</v>
      </c>
      <c r="C163">
        <f>YEAR(OrdersTable[[#This Row],[Order Date]])</f>
        <v>2024</v>
      </c>
      <c r="D163" s="2">
        <f>DATE(YEAR(OrdersTable[[#This Row],[Order Date]]),MONTH(OrdersTable[[#This Row],[Order Date]]),1)</f>
        <v>45292</v>
      </c>
      <c r="E163">
        <f>MONTH(OrdersTable[[#This Row],[Order Date]])</f>
        <v>1</v>
      </c>
      <c r="F163" t="s">
        <v>2094</v>
      </c>
      <c r="G163" t="str">
        <f>IF(OrdersTable[[#This Row],[Order Date]]=_xlfn.MINIFS(Order_Date, Customer_ID, OrdersTable[[#This Row],[Customer ID]]), "New", "Repeat")</f>
        <v>New</v>
      </c>
      <c r="H163" t="s">
        <v>37</v>
      </c>
      <c r="I163" t="str">
        <f>INDEX(State!B:B,MATCH(OrdersTable[[#This Row],[State]],State!A:A,0))</f>
        <v>GJ</v>
      </c>
      <c r="J163" t="str">
        <f>INDEX(State!C:C,MATCH(OrdersTable[[#This Row],[State Code]],State!B:B,0))</f>
        <v>West</v>
      </c>
      <c r="K163" t="s">
        <v>38</v>
      </c>
      <c r="L163" t="s">
        <v>65</v>
      </c>
      <c r="M163" t="s">
        <v>148</v>
      </c>
      <c r="N163" t="str">
        <f>INDEX(Products!B:B,MATCH(OrdersTable[[#This Row],[Product ID]],Products!A:A,0))</f>
        <v>Smartwatch Strap</v>
      </c>
      <c r="O163" t="str">
        <f>INDEX(Products!C:C,MATCH(OrdersTable[[#This Row],[Product ID]],Products!A:A,0))</f>
        <v>Electronics</v>
      </c>
      <c r="P163">
        <v>3</v>
      </c>
      <c r="Q163" s="5">
        <v>499</v>
      </c>
      <c r="R163" s="74">
        <v>0.1</v>
      </c>
      <c r="S163" s="75">
        <f>OrdersTable[[#This Row],[Quantity]]*OrdersTable[[#This Row],[Unit Price]]</f>
        <v>1497</v>
      </c>
      <c r="T163" s="5">
        <f>OrdersTable[[#This Row],[Gross Sale]]*OrdersTable[[#This Row],[Discount_Clean2]]</f>
        <v>149.70000000000002</v>
      </c>
      <c r="U163" s="5">
        <f>OrdersTable[[#This Row],[Gross Sale]]-OrdersTable[[#This Row],[Discount Amount]]</f>
        <v>1347.3</v>
      </c>
      <c r="V163" s="77">
        <f>INDEX(Products!E:E,MATCH(OrdersTable[[#This Row],[Product ID]],Products!A:A,0))</f>
        <v>200</v>
      </c>
      <c r="W163" s="77">
        <f>OrdersTable[[#This Row],[Quantity]]*OrdersTable[[#This Row],[Unit Cost]]</f>
        <v>600</v>
      </c>
      <c r="X163" s="77">
        <f>'Dropdown Lists'!$I$2*(1+OrdersTable[[#This Row],[Returned]])</f>
        <v>60</v>
      </c>
      <c r="Y163" s="76">
        <f>OrdersTable[[#This Row],[Net Revenue]]-OrdersTable[[#This Row],[COGS]]-OrdersTable[[#This Row],[Shipping Cost]]</f>
        <v>687.3</v>
      </c>
      <c r="Z163" s="78">
        <f>IFERROR(OrdersTable[[#This Row],[Profit]]/OrdersTable[[#This Row],[Net Revenue]],0)</f>
        <v>0.51013137385882878</v>
      </c>
      <c r="AA163" t="s">
        <v>18</v>
      </c>
      <c r="AB163" s="79">
        <v>45319</v>
      </c>
      <c r="AC163">
        <f>OrdersTable[[#This Row],[Delivery Date]]-OrdersTable[[#This Row],[Order Date]]</f>
        <v>1</v>
      </c>
      <c r="AD163" t="str">
        <f>IF(OrdersTable[[#This Row],[Delivery Days]]&lt;=2, "Express (≤2d)", IF(OrdersTable[[#This Row],[Delivery Days]]&lt;=4, "Standard (3-4d)", "Delayed (5d+)"))</f>
        <v>Express (≤2d)</v>
      </c>
      <c r="AE163">
        <v>3</v>
      </c>
      <c r="AF163">
        <v>0</v>
      </c>
    </row>
    <row r="164" spans="1:32" ht="15" x14ac:dyDescent="0.35">
      <c r="A164" t="s">
        <v>2691</v>
      </c>
      <c r="B164" s="1">
        <v>45319</v>
      </c>
      <c r="C164">
        <f>YEAR(OrdersTable[[#This Row],[Order Date]])</f>
        <v>2024</v>
      </c>
      <c r="D164" s="2">
        <f>DATE(YEAR(OrdersTable[[#This Row],[Order Date]]),MONTH(OrdersTable[[#This Row],[Order Date]]),1)</f>
        <v>45292</v>
      </c>
      <c r="E164">
        <f>MONTH(OrdersTable[[#This Row],[Order Date]])</f>
        <v>1</v>
      </c>
      <c r="F164" t="s">
        <v>2692</v>
      </c>
      <c r="G164" t="str">
        <f>IF(OrdersTable[[#This Row],[Order Date]]=_xlfn.MINIFS(Order_Date, Customer_ID, OrdersTable[[#This Row],[Customer ID]]), "New", "Repeat")</f>
        <v>New</v>
      </c>
      <c r="H164" t="s">
        <v>158</v>
      </c>
      <c r="I164" t="str">
        <f>INDEX(State!B:B,MATCH(OrdersTable[[#This Row],[State]],State!A:A,0))</f>
        <v>HP</v>
      </c>
      <c r="J164" t="str">
        <f>INDEX(State!C:C,MATCH(OrdersTable[[#This Row],[State Code]],State!B:B,0))</f>
        <v>North</v>
      </c>
      <c r="K164" t="s">
        <v>159</v>
      </c>
      <c r="L164" t="s">
        <v>39</v>
      </c>
      <c r="M164" t="s">
        <v>255</v>
      </c>
      <c r="N164" t="str">
        <f>INDEX(Products!B:B,MATCH(OrdersTable[[#This Row],[Product ID]],Products!A:A,0))</f>
        <v>Cotton Oversized T-Shirt</v>
      </c>
      <c r="O164" t="str">
        <f>INDEX(Products!C:C,MATCH(OrdersTable[[#This Row],[Product ID]],Products!A:A,0))</f>
        <v>Apparel</v>
      </c>
      <c r="P164">
        <v>1</v>
      </c>
      <c r="Q164" s="5">
        <v>799</v>
      </c>
      <c r="R164" s="74">
        <v>0.05</v>
      </c>
      <c r="S164" s="75">
        <f>OrdersTable[[#This Row],[Quantity]]*OrdersTable[[#This Row],[Unit Price]]</f>
        <v>799</v>
      </c>
      <c r="T164" s="5">
        <f>OrdersTable[[#This Row],[Gross Sale]]*OrdersTable[[#This Row],[Discount_Clean2]]</f>
        <v>39.950000000000003</v>
      </c>
      <c r="U164" s="5">
        <f>OrdersTable[[#This Row],[Gross Sale]]-OrdersTable[[#This Row],[Discount Amount]]</f>
        <v>759.05</v>
      </c>
      <c r="V164" s="77">
        <f>INDEX(Products!E:E,MATCH(OrdersTable[[#This Row],[Product ID]],Products!A:A,0))</f>
        <v>320</v>
      </c>
      <c r="W164" s="77">
        <f>OrdersTable[[#This Row],[Quantity]]*OrdersTable[[#This Row],[Unit Cost]]</f>
        <v>320</v>
      </c>
      <c r="X164" s="77">
        <f>'Dropdown Lists'!$I$2*(1+OrdersTable[[#This Row],[Returned]])</f>
        <v>60</v>
      </c>
      <c r="Y164" s="76">
        <f>OrdersTable[[#This Row],[Net Revenue]]-OrdersTable[[#This Row],[COGS]]-OrdersTable[[#This Row],[Shipping Cost]]</f>
        <v>379.04999999999995</v>
      </c>
      <c r="Z164" s="78">
        <f>IFERROR(OrdersTable[[#This Row],[Profit]]/OrdersTable[[#This Row],[Net Revenue]],0)</f>
        <v>0.49937421777221525</v>
      </c>
      <c r="AA164" t="s">
        <v>2522</v>
      </c>
      <c r="AB164" s="79">
        <v>45325</v>
      </c>
      <c r="AC164">
        <f>OrdersTable[[#This Row],[Delivery Date]]-OrdersTable[[#This Row],[Order Date]]</f>
        <v>6</v>
      </c>
      <c r="AD164" t="str">
        <f>IF(OrdersTable[[#This Row],[Delivery Days]]&lt;=2, "Express (≤2d)", IF(OrdersTable[[#This Row],[Delivery Days]]&lt;=4, "Standard (3-4d)", "Delayed (5d+)"))</f>
        <v>Delayed (5d+)</v>
      </c>
      <c r="AE164">
        <v>3</v>
      </c>
      <c r="AF164">
        <v>0</v>
      </c>
    </row>
    <row r="165" spans="1:32" ht="15" x14ac:dyDescent="0.35">
      <c r="A165" t="s">
        <v>4451</v>
      </c>
      <c r="B165" s="1">
        <v>45319</v>
      </c>
      <c r="C165">
        <f>YEAR(OrdersTable[[#This Row],[Order Date]])</f>
        <v>2024</v>
      </c>
      <c r="D165" s="2">
        <f>DATE(YEAR(OrdersTable[[#This Row],[Order Date]]),MONTH(OrdersTable[[#This Row],[Order Date]]),1)</f>
        <v>45292</v>
      </c>
      <c r="E165">
        <f>MONTH(OrdersTable[[#This Row],[Order Date]])</f>
        <v>1</v>
      </c>
      <c r="F165" t="s">
        <v>1071</v>
      </c>
      <c r="G165" t="str">
        <f>IF(OrdersTable[[#This Row],[Order Date]]=_xlfn.MINIFS(Order_Date, Customer_ID, OrdersTable[[#This Row],[Customer ID]]), "New", "Repeat")</f>
        <v>New</v>
      </c>
      <c r="H165" t="s">
        <v>37</v>
      </c>
      <c r="I165" t="str">
        <f>INDEX(State!B:B,MATCH(OrdersTable[[#This Row],[State]],State!A:A,0))</f>
        <v>GJ</v>
      </c>
      <c r="J165" t="str">
        <f>INDEX(State!C:C,MATCH(OrdersTable[[#This Row],[State Code]],State!B:B,0))</f>
        <v>West</v>
      </c>
      <c r="K165" t="s">
        <v>38</v>
      </c>
      <c r="L165" t="s">
        <v>65</v>
      </c>
      <c r="M165" t="s">
        <v>148</v>
      </c>
      <c r="N165" t="str">
        <f>INDEX(Products!B:B,MATCH(OrdersTable[[#This Row],[Product ID]],Products!A:A,0))</f>
        <v>Smartwatch Strap</v>
      </c>
      <c r="O165" t="str">
        <f>INDEX(Products!C:C,MATCH(OrdersTable[[#This Row],[Product ID]],Products!A:A,0))</f>
        <v>Electronics</v>
      </c>
      <c r="P165">
        <v>1</v>
      </c>
      <c r="Q165" s="5">
        <v>499</v>
      </c>
      <c r="R165" s="74">
        <v>0.05</v>
      </c>
      <c r="S165" s="75">
        <f>OrdersTable[[#This Row],[Quantity]]*OrdersTable[[#This Row],[Unit Price]]</f>
        <v>499</v>
      </c>
      <c r="T165" s="5">
        <f>OrdersTable[[#This Row],[Gross Sale]]*OrdersTable[[#This Row],[Discount_Clean2]]</f>
        <v>24.950000000000003</v>
      </c>
      <c r="U165" s="5">
        <f>OrdersTable[[#This Row],[Gross Sale]]-OrdersTable[[#This Row],[Discount Amount]]</f>
        <v>474.05</v>
      </c>
      <c r="V165" s="77">
        <f>INDEX(Products!E:E,MATCH(OrdersTable[[#This Row],[Product ID]],Products!A:A,0))</f>
        <v>200</v>
      </c>
      <c r="W165" s="77">
        <f>OrdersTable[[#This Row],[Quantity]]*OrdersTable[[#This Row],[Unit Cost]]</f>
        <v>200</v>
      </c>
      <c r="X165" s="77">
        <f>'Dropdown Lists'!$I$2*(1+OrdersTable[[#This Row],[Returned]])</f>
        <v>60</v>
      </c>
      <c r="Y165" s="76">
        <f>OrdersTable[[#This Row],[Net Revenue]]-OrdersTable[[#This Row],[COGS]]-OrdersTable[[#This Row],[Shipping Cost]]</f>
        <v>214.05</v>
      </c>
      <c r="Z165" s="78">
        <f>IFERROR(OrdersTable[[#This Row],[Profit]]/OrdersTable[[#This Row],[Net Revenue]],0)</f>
        <v>0.45153464824385614</v>
      </c>
      <c r="AA165" t="s">
        <v>4450</v>
      </c>
      <c r="AB165" s="79">
        <v>45322</v>
      </c>
      <c r="AC165">
        <f>OrdersTable[[#This Row],[Delivery Date]]-OrdersTable[[#This Row],[Order Date]]</f>
        <v>3</v>
      </c>
      <c r="AD165" t="str">
        <f>IF(OrdersTable[[#This Row],[Delivery Days]]&lt;=2, "Express (≤2d)", IF(OrdersTable[[#This Row],[Delivery Days]]&lt;=4, "Standard (3-4d)", "Delayed (5d+)"))</f>
        <v>Standard (3-4d)</v>
      </c>
      <c r="AE165">
        <v>4</v>
      </c>
      <c r="AF165">
        <v>0</v>
      </c>
    </row>
    <row r="166" spans="1:32" ht="15" x14ac:dyDescent="0.35">
      <c r="A166" t="s">
        <v>4212</v>
      </c>
      <c r="B166" s="1">
        <v>45319</v>
      </c>
      <c r="C166">
        <f>YEAR(OrdersTable[[#This Row],[Order Date]])</f>
        <v>2024</v>
      </c>
      <c r="D166" s="2">
        <f>DATE(YEAR(OrdersTable[[#This Row],[Order Date]]),MONTH(OrdersTable[[#This Row],[Order Date]]),1)</f>
        <v>45292</v>
      </c>
      <c r="E166">
        <f>MONTH(OrdersTable[[#This Row],[Order Date]])</f>
        <v>1</v>
      </c>
      <c r="F166" t="s">
        <v>175</v>
      </c>
      <c r="G166" t="str">
        <f>IF(OrdersTable[[#This Row],[Order Date]]=_xlfn.MINIFS(Order_Date, Customer_ID, OrdersTable[[#This Row],[Customer ID]]), "New", "Repeat")</f>
        <v>New</v>
      </c>
      <c r="H166" t="s">
        <v>43</v>
      </c>
      <c r="I166" t="str">
        <f>INDEX(State!B:B,MATCH(OrdersTable[[#This Row],[State]],State!A:A,0))</f>
        <v>MP</v>
      </c>
      <c r="J166" t="str">
        <f>INDEX(State!C:C,MATCH(OrdersTable[[#This Row],[State Code]],State!B:B,0))</f>
        <v>West</v>
      </c>
      <c r="K166" t="s">
        <v>250</v>
      </c>
      <c r="L166" t="s">
        <v>50</v>
      </c>
      <c r="M166" t="s">
        <v>61</v>
      </c>
      <c r="N166" t="str">
        <f>INDEX(Products!B:B,MATCH(OrdersTable[[#This Row],[Product ID]],Products!A:A,0))</f>
        <v>Multivitamin Gummies</v>
      </c>
      <c r="O166" t="str">
        <f>INDEX(Products!C:C,MATCH(OrdersTable[[#This Row],[Product ID]],Products!A:A,0))</f>
        <v>Wellness</v>
      </c>
      <c r="P166">
        <v>1</v>
      </c>
      <c r="Q166" s="5">
        <v>699</v>
      </c>
      <c r="R166" s="74">
        <v>0.25</v>
      </c>
      <c r="S166" s="75">
        <f>OrdersTable[[#This Row],[Quantity]]*OrdersTable[[#This Row],[Unit Price]]</f>
        <v>699</v>
      </c>
      <c r="T166" s="5">
        <f>OrdersTable[[#This Row],[Gross Sale]]*OrdersTable[[#This Row],[Discount_Clean2]]</f>
        <v>174.75</v>
      </c>
      <c r="U166" s="5">
        <f>OrdersTable[[#This Row],[Gross Sale]]-OrdersTable[[#This Row],[Discount Amount]]</f>
        <v>524.25</v>
      </c>
      <c r="V166" s="77">
        <f>INDEX(Products!E:E,MATCH(OrdersTable[[#This Row],[Product ID]],Products!A:A,0))</f>
        <v>238</v>
      </c>
      <c r="W166" s="77">
        <f>OrdersTable[[#This Row],[Quantity]]*OrdersTable[[#This Row],[Unit Cost]]</f>
        <v>238</v>
      </c>
      <c r="X166" s="77">
        <f>'Dropdown Lists'!$I$2*(1+OrdersTable[[#This Row],[Returned]])</f>
        <v>120</v>
      </c>
      <c r="Y166" s="76">
        <f>OrdersTable[[#This Row],[Net Revenue]]-OrdersTable[[#This Row],[COGS]]-OrdersTable[[#This Row],[Shipping Cost]]</f>
        <v>166.25</v>
      </c>
      <c r="Z166" s="78">
        <f>IFERROR(OrdersTable[[#This Row],[Profit]]/OrdersTable[[#This Row],[Net Revenue]],0)</f>
        <v>0.31711969480209823</v>
      </c>
      <c r="AA166" t="s">
        <v>4074</v>
      </c>
      <c r="AB166" s="79">
        <v>45324</v>
      </c>
      <c r="AC166">
        <f>OrdersTable[[#This Row],[Delivery Date]]-OrdersTable[[#This Row],[Order Date]]</f>
        <v>5</v>
      </c>
      <c r="AD166" t="str">
        <f>IF(OrdersTable[[#This Row],[Delivery Days]]&lt;=2, "Express (≤2d)", IF(OrdersTable[[#This Row],[Delivery Days]]&lt;=4, "Standard (3-4d)", "Delayed (5d+)"))</f>
        <v>Delayed (5d+)</v>
      </c>
      <c r="AF166">
        <v>1</v>
      </c>
    </row>
    <row r="167" spans="1:32" ht="15" x14ac:dyDescent="0.35">
      <c r="A167" t="s">
        <v>4555</v>
      </c>
      <c r="B167" s="1">
        <v>45319</v>
      </c>
      <c r="C167">
        <f>YEAR(OrdersTable[[#This Row],[Order Date]])</f>
        <v>2024</v>
      </c>
      <c r="D167" s="2">
        <f>DATE(YEAR(OrdersTable[[#This Row],[Order Date]]),MONTH(OrdersTable[[#This Row],[Order Date]]),1)</f>
        <v>45292</v>
      </c>
      <c r="E167">
        <f>MONTH(OrdersTable[[#This Row],[Order Date]])</f>
        <v>1</v>
      </c>
      <c r="F167" t="s">
        <v>4556</v>
      </c>
      <c r="G167" t="str">
        <f>IF(OrdersTable[[#This Row],[Order Date]]=_xlfn.MINIFS(Order_Date, Customer_ID, OrdersTable[[#This Row],[Customer ID]]), "New", "Repeat")</f>
        <v>New</v>
      </c>
      <c r="H167" t="s">
        <v>71</v>
      </c>
      <c r="I167" t="str">
        <f>INDEX(State!B:B,MATCH(OrdersTable[[#This Row],[State]],State!A:A,0))</f>
        <v>MH</v>
      </c>
      <c r="J167" t="str">
        <f>INDEX(State!C:C,MATCH(OrdersTable[[#This Row],[State Code]],State!B:B,0))</f>
        <v>West</v>
      </c>
      <c r="K167" t="s">
        <v>81</v>
      </c>
      <c r="L167" t="s">
        <v>65</v>
      </c>
      <c r="M167" t="s">
        <v>255</v>
      </c>
      <c r="N167" t="str">
        <f>INDEX(Products!B:B,MATCH(OrdersTable[[#This Row],[Product ID]],Products!A:A,0))</f>
        <v>Cotton Oversized T-Shirt</v>
      </c>
      <c r="O167" t="str">
        <f>INDEX(Products!C:C,MATCH(OrdersTable[[#This Row],[Product ID]],Products!A:A,0))</f>
        <v>Apparel</v>
      </c>
      <c r="P167">
        <v>1</v>
      </c>
      <c r="Q167" s="5">
        <v>799</v>
      </c>
      <c r="R167" s="74">
        <v>0</v>
      </c>
      <c r="S167" s="75">
        <f>OrdersTable[[#This Row],[Quantity]]*OrdersTable[[#This Row],[Unit Price]]</f>
        <v>799</v>
      </c>
      <c r="T167" s="5">
        <f>OrdersTable[[#This Row],[Gross Sale]]*OrdersTable[[#This Row],[Discount_Clean2]]</f>
        <v>0</v>
      </c>
      <c r="U167" s="5">
        <f>OrdersTable[[#This Row],[Gross Sale]]-OrdersTable[[#This Row],[Discount Amount]]</f>
        <v>799</v>
      </c>
      <c r="V167" s="77">
        <f>INDEX(Products!E:E,MATCH(OrdersTable[[#This Row],[Product ID]],Products!A:A,0))</f>
        <v>320</v>
      </c>
      <c r="W167" s="77">
        <f>OrdersTable[[#This Row],[Quantity]]*OrdersTable[[#This Row],[Unit Cost]]</f>
        <v>320</v>
      </c>
      <c r="X167" s="77">
        <f>'Dropdown Lists'!$I$2*(1+OrdersTable[[#This Row],[Returned]])</f>
        <v>60</v>
      </c>
      <c r="Y167" s="76">
        <f>OrdersTable[[#This Row],[Net Revenue]]-OrdersTable[[#This Row],[COGS]]-OrdersTable[[#This Row],[Shipping Cost]]</f>
        <v>419</v>
      </c>
      <c r="Z167" s="78">
        <f>IFERROR(OrdersTable[[#This Row],[Profit]]/OrdersTable[[#This Row],[Net Revenue]],0)</f>
        <v>0.52440550688360454</v>
      </c>
      <c r="AA167" t="s">
        <v>4450</v>
      </c>
      <c r="AB167" s="79">
        <v>45322</v>
      </c>
      <c r="AC167">
        <f>OrdersTable[[#This Row],[Delivery Date]]-OrdersTable[[#This Row],[Order Date]]</f>
        <v>3</v>
      </c>
      <c r="AD167" t="str">
        <f>IF(OrdersTable[[#This Row],[Delivery Days]]&lt;=2, "Express (≤2d)", IF(OrdersTable[[#This Row],[Delivery Days]]&lt;=4, "Standard (3-4d)", "Delayed (5d+)"))</f>
        <v>Standard (3-4d)</v>
      </c>
      <c r="AF167">
        <v>0</v>
      </c>
    </row>
    <row r="168" spans="1:32" ht="15" x14ac:dyDescent="0.35">
      <c r="A168" t="s">
        <v>3145</v>
      </c>
      <c r="B168" s="1">
        <v>45319</v>
      </c>
      <c r="C168">
        <f>YEAR(OrdersTable[[#This Row],[Order Date]])</f>
        <v>2024</v>
      </c>
      <c r="D168" s="2">
        <f>DATE(YEAR(OrdersTable[[#This Row],[Order Date]]),MONTH(OrdersTable[[#This Row],[Order Date]]),1)</f>
        <v>45292</v>
      </c>
      <c r="E168">
        <f>MONTH(OrdersTable[[#This Row],[Order Date]])</f>
        <v>1</v>
      </c>
      <c r="F168" t="s">
        <v>1866</v>
      </c>
      <c r="G168" t="str">
        <f>IF(OrdersTable[[#This Row],[Order Date]]=_xlfn.MINIFS(Order_Date, Customer_ID, OrdersTable[[#This Row],[Customer ID]]), "New", "Repeat")</f>
        <v>New</v>
      </c>
      <c r="H168" t="s">
        <v>71</v>
      </c>
      <c r="I168" t="str">
        <f>INDEX(State!B:B,MATCH(OrdersTable[[#This Row],[State]],State!A:A,0))</f>
        <v>MH</v>
      </c>
      <c r="J168" t="str">
        <f>INDEX(State!C:C,MATCH(OrdersTable[[#This Row],[State Code]],State!B:B,0))</f>
        <v>West</v>
      </c>
      <c r="K168" t="s">
        <v>81</v>
      </c>
      <c r="L168" t="s">
        <v>16</v>
      </c>
      <c r="M168" t="s">
        <v>34</v>
      </c>
      <c r="N168" t="str">
        <f>INDEX(Products!B:B,MATCH(OrdersTable[[#This Row],[Product ID]],Products!A:A,0))</f>
        <v>Flip Flops</v>
      </c>
      <c r="O168" t="str">
        <f>INDEX(Products!C:C,MATCH(OrdersTable[[#This Row],[Product ID]],Products!A:A,0))</f>
        <v>Footwear</v>
      </c>
      <c r="P168">
        <v>1</v>
      </c>
      <c r="Q168" s="5">
        <v>399</v>
      </c>
      <c r="R168" s="74">
        <v>0.05</v>
      </c>
      <c r="S168" s="75">
        <f>OrdersTable[[#This Row],[Quantity]]*OrdersTable[[#This Row],[Unit Price]]</f>
        <v>399</v>
      </c>
      <c r="T168" s="5">
        <f>OrdersTable[[#This Row],[Gross Sale]]*OrdersTable[[#This Row],[Discount_Clean2]]</f>
        <v>19.950000000000003</v>
      </c>
      <c r="U168" s="5">
        <f>OrdersTable[[#This Row],[Gross Sale]]-OrdersTable[[#This Row],[Discount Amount]]</f>
        <v>379.05</v>
      </c>
      <c r="V168" s="77">
        <f>INDEX(Products!E:E,MATCH(OrdersTable[[#This Row],[Product ID]],Products!A:A,0))</f>
        <v>152</v>
      </c>
      <c r="W168" s="77">
        <f>OrdersTable[[#This Row],[Quantity]]*OrdersTable[[#This Row],[Unit Cost]]</f>
        <v>152</v>
      </c>
      <c r="X168" s="77">
        <f>'Dropdown Lists'!$I$2*(1+OrdersTable[[#This Row],[Returned]])</f>
        <v>120</v>
      </c>
      <c r="Y168" s="76">
        <f>OrdersTable[[#This Row],[Net Revenue]]-OrdersTable[[#This Row],[COGS]]-OrdersTable[[#This Row],[Shipping Cost]]</f>
        <v>107.05000000000001</v>
      </c>
      <c r="Z168" s="78">
        <f>IFERROR(OrdersTable[[#This Row],[Profit]]/OrdersTable[[#This Row],[Net Revenue]],0)</f>
        <v>0.2824165677351273</v>
      </c>
      <c r="AA168" t="s">
        <v>2522</v>
      </c>
      <c r="AB168" s="79">
        <v>45322</v>
      </c>
      <c r="AC168">
        <f>OrdersTable[[#This Row],[Delivery Date]]-OrdersTable[[#This Row],[Order Date]]</f>
        <v>3</v>
      </c>
      <c r="AD168" t="str">
        <f>IF(OrdersTable[[#This Row],[Delivery Days]]&lt;=2, "Express (≤2d)", IF(OrdersTable[[#This Row],[Delivery Days]]&lt;=4, "Standard (3-4d)", "Delayed (5d+)"))</f>
        <v>Standard (3-4d)</v>
      </c>
      <c r="AE168">
        <v>4</v>
      </c>
      <c r="AF168">
        <v>1</v>
      </c>
    </row>
    <row r="169" spans="1:32" ht="15" x14ac:dyDescent="0.35">
      <c r="A169" t="s">
        <v>2693</v>
      </c>
      <c r="B169" s="1">
        <v>45319</v>
      </c>
      <c r="C169">
        <f>YEAR(OrdersTable[[#This Row],[Order Date]])</f>
        <v>2024</v>
      </c>
      <c r="D169" s="2">
        <f>DATE(YEAR(OrdersTable[[#This Row],[Order Date]]),MONTH(OrdersTable[[#This Row],[Order Date]]),1)</f>
        <v>45292</v>
      </c>
      <c r="E169">
        <f>MONTH(OrdersTable[[#This Row],[Order Date]])</f>
        <v>1</v>
      </c>
      <c r="F169" t="s">
        <v>2694</v>
      </c>
      <c r="G169" t="str">
        <f>IF(OrdersTable[[#This Row],[Order Date]]=_xlfn.MINIFS(Order_Date, Customer_ID, OrdersTable[[#This Row],[Customer ID]]), "New", "Repeat")</f>
        <v>New</v>
      </c>
      <c r="H169" t="s">
        <v>71</v>
      </c>
      <c r="I169" t="str">
        <f>INDEX(State!B:B,MATCH(OrdersTable[[#This Row],[State]],State!A:A,0))</f>
        <v>MH</v>
      </c>
      <c r="J169" t="str">
        <f>INDEX(State!C:C,MATCH(OrdersTable[[#This Row],[State Code]],State!B:B,0))</f>
        <v>West</v>
      </c>
      <c r="K169" t="s">
        <v>81</v>
      </c>
      <c r="L169" t="s">
        <v>39</v>
      </c>
      <c r="M169" t="s">
        <v>106</v>
      </c>
      <c r="N169" t="str">
        <f>INDEX(Products!B:B,MATCH(OrdersTable[[#This Row],[Product ID]],Products!A:A,0))</f>
        <v>Keratin Hair Mask</v>
      </c>
      <c r="O169" t="str">
        <f>INDEX(Products!C:C,MATCH(OrdersTable[[#This Row],[Product ID]],Products!A:A,0))</f>
        <v>Haircare</v>
      </c>
      <c r="P169">
        <v>1</v>
      </c>
      <c r="Q169" s="5">
        <v>549</v>
      </c>
      <c r="R169" s="74">
        <v>0.1</v>
      </c>
      <c r="S169" s="75">
        <f>OrdersTable[[#This Row],[Quantity]]*OrdersTable[[#This Row],[Unit Price]]</f>
        <v>549</v>
      </c>
      <c r="T169" s="5">
        <f>OrdersTable[[#This Row],[Gross Sale]]*OrdersTable[[#This Row],[Discount_Clean2]]</f>
        <v>54.900000000000006</v>
      </c>
      <c r="U169" s="5">
        <f>OrdersTable[[#This Row],[Gross Sale]]-OrdersTable[[#This Row],[Discount Amount]]</f>
        <v>494.1</v>
      </c>
      <c r="V169" s="77">
        <f>INDEX(Products!E:E,MATCH(OrdersTable[[#This Row],[Product ID]],Products!A:A,0))</f>
        <v>170</v>
      </c>
      <c r="W169" s="77">
        <f>OrdersTable[[#This Row],[Quantity]]*OrdersTable[[#This Row],[Unit Cost]]</f>
        <v>170</v>
      </c>
      <c r="X169" s="77">
        <f>'Dropdown Lists'!$I$2*(1+OrdersTable[[#This Row],[Returned]])</f>
        <v>60</v>
      </c>
      <c r="Y169" s="76">
        <f>OrdersTable[[#This Row],[Net Revenue]]-OrdersTable[[#This Row],[COGS]]-OrdersTable[[#This Row],[Shipping Cost]]</f>
        <v>264.10000000000002</v>
      </c>
      <c r="Z169" s="78">
        <f>IFERROR(OrdersTable[[#This Row],[Profit]]/OrdersTable[[#This Row],[Net Revenue]],0)</f>
        <v>0.53450718478040882</v>
      </c>
      <c r="AA169" t="s">
        <v>2522</v>
      </c>
      <c r="AB169" s="79">
        <v>45322</v>
      </c>
      <c r="AC169">
        <f>OrdersTable[[#This Row],[Delivery Date]]-OrdersTable[[#This Row],[Order Date]]</f>
        <v>3</v>
      </c>
      <c r="AD169" t="str">
        <f>IF(OrdersTable[[#This Row],[Delivery Days]]&lt;=2, "Express (≤2d)", IF(OrdersTable[[#This Row],[Delivery Days]]&lt;=4, "Standard (3-4d)", "Delayed (5d+)"))</f>
        <v>Standard (3-4d)</v>
      </c>
      <c r="AE169">
        <v>3</v>
      </c>
      <c r="AF169">
        <v>0</v>
      </c>
    </row>
    <row r="170" spans="1:32" ht="15" x14ac:dyDescent="0.35">
      <c r="A170" t="s">
        <v>3146</v>
      </c>
      <c r="B170" s="1">
        <v>45319</v>
      </c>
      <c r="C170">
        <f>YEAR(OrdersTable[[#This Row],[Order Date]])</f>
        <v>2024</v>
      </c>
      <c r="D170" s="2">
        <f>DATE(YEAR(OrdersTable[[#This Row],[Order Date]]),MONTH(OrdersTable[[#This Row],[Order Date]]),1)</f>
        <v>45292</v>
      </c>
      <c r="E170">
        <f>MONTH(OrdersTable[[#This Row],[Order Date]])</f>
        <v>1</v>
      </c>
      <c r="F170" t="s">
        <v>573</v>
      </c>
      <c r="G170" t="str">
        <f>IF(OrdersTable[[#This Row],[Order Date]]=_xlfn.MINIFS(Order_Date, Customer_ID, OrdersTable[[#This Row],[Customer ID]]), "New", "Repeat")</f>
        <v>New</v>
      </c>
      <c r="H170" t="s">
        <v>14</v>
      </c>
      <c r="I170" t="str">
        <f>INDEX(State!B:B,MATCH(OrdersTable[[#This Row],[State]],State!A:A,0))</f>
        <v>OD</v>
      </c>
      <c r="J170" t="str">
        <f>INDEX(State!C:C,MATCH(OrdersTable[[#This Row],[State Code]],State!B:B,0))</f>
        <v>East</v>
      </c>
      <c r="K170" t="s">
        <v>15</v>
      </c>
      <c r="L170" t="s">
        <v>16</v>
      </c>
      <c r="M170" t="s">
        <v>255</v>
      </c>
      <c r="N170" t="str">
        <f>INDEX(Products!B:B,MATCH(OrdersTable[[#This Row],[Product ID]],Products!A:A,0))</f>
        <v>Cotton Oversized T-Shirt</v>
      </c>
      <c r="O170" t="str">
        <f>INDEX(Products!C:C,MATCH(OrdersTable[[#This Row],[Product ID]],Products!A:A,0))</f>
        <v>Apparel</v>
      </c>
      <c r="P170">
        <v>1</v>
      </c>
      <c r="Q170" s="5">
        <v>799</v>
      </c>
      <c r="R170" s="74">
        <v>0.1</v>
      </c>
      <c r="S170" s="75">
        <f>OrdersTable[[#This Row],[Quantity]]*OrdersTable[[#This Row],[Unit Price]]</f>
        <v>799</v>
      </c>
      <c r="T170" s="5">
        <f>OrdersTable[[#This Row],[Gross Sale]]*OrdersTable[[#This Row],[Discount_Clean2]]</f>
        <v>79.900000000000006</v>
      </c>
      <c r="U170" s="5">
        <f>OrdersTable[[#This Row],[Gross Sale]]-OrdersTable[[#This Row],[Discount Amount]]</f>
        <v>719.1</v>
      </c>
      <c r="V170" s="77">
        <f>INDEX(Products!E:E,MATCH(OrdersTable[[#This Row],[Product ID]],Products!A:A,0))</f>
        <v>320</v>
      </c>
      <c r="W170" s="77">
        <f>OrdersTable[[#This Row],[Quantity]]*OrdersTable[[#This Row],[Unit Cost]]</f>
        <v>320</v>
      </c>
      <c r="X170" s="77">
        <f>'Dropdown Lists'!$I$2*(1+OrdersTable[[#This Row],[Returned]])</f>
        <v>120</v>
      </c>
      <c r="Y170" s="76">
        <f>OrdersTable[[#This Row],[Net Revenue]]-OrdersTable[[#This Row],[COGS]]-OrdersTable[[#This Row],[Shipping Cost]]</f>
        <v>279.10000000000002</v>
      </c>
      <c r="Z170" s="78">
        <f>IFERROR(OrdersTable[[#This Row],[Profit]]/OrdersTable[[#This Row],[Net Revenue]],0)</f>
        <v>0.38812404394381866</v>
      </c>
      <c r="AA170" t="s">
        <v>2522</v>
      </c>
      <c r="AB170" s="79">
        <v>45323</v>
      </c>
      <c r="AC170">
        <f>OrdersTable[[#This Row],[Delivery Date]]-OrdersTable[[#This Row],[Order Date]]</f>
        <v>4</v>
      </c>
      <c r="AD170" t="str">
        <f>IF(OrdersTable[[#This Row],[Delivery Days]]&lt;=2, "Express (≤2d)", IF(OrdersTable[[#This Row],[Delivery Days]]&lt;=4, "Standard (3-4d)", "Delayed (5d+)"))</f>
        <v>Standard (3-4d)</v>
      </c>
      <c r="AE170">
        <v>4</v>
      </c>
      <c r="AF170">
        <v>1</v>
      </c>
    </row>
    <row r="171" spans="1:32" ht="15" x14ac:dyDescent="0.35">
      <c r="A171" t="s">
        <v>2210</v>
      </c>
      <c r="B171" s="1">
        <v>45319</v>
      </c>
      <c r="C171">
        <f>YEAR(OrdersTable[[#This Row],[Order Date]])</f>
        <v>2024</v>
      </c>
      <c r="D171" s="2">
        <f>DATE(YEAR(OrdersTable[[#This Row],[Order Date]]),MONTH(OrdersTable[[#This Row],[Order Date]]),1)</f>
        <v>45292</v>
      </c>
      <c r="E171">
        <f>MONTH(OrdersTable[[#This Row],[Order Date]])</f>
        <v>1</v>
      </c>
      <c r="F171" t="s">
        <v>2211</v>
      </c>
      <c r="G171" t="str">
        <f>IF(OrdersTable[[#This Row],[Order Date]]=_xlfn.MINIFS(Order_Date, Customer_ID, OrdersTable[[#This Row],[Customer ID]]), "New", "Repeat")</f>
        <v>New</v>
      </c>
      <c r="H171" t="s">
        <v>59</v>
      </c>
      <c r="I171" t="str">
        <f>INDEX(State!B:B,MATCH(OrdersTable[[#This Row],[State]],State!A:A,0))</f>
        <v>TN</v>
      </c>
      <c r="J171" t="str">
        <f>INDEX(State!C:C,MATCH(OrdersTable[[#This Row],[State Code]],State!B:B,0))</f>
        <v>South</v>
      </c>
      <c r="K171" t="s">
        <v>64</v>
      </c>
      <c r="L171" t="s">
        <v>16</v>
      </c>
      <c r="M171" t="s">
        <v>255</v>
      </c>
      <c r="N171" t="str">
        <f>INDEX(Products!B:B,MATCH(OrdersTable[[#This Row],[Product ID]],Products!A:A,0))</f>
        <v>Cotton Oversized T-Shirt</v>
      </c>
      <c r="O171" t="str">
        <f>INDEX(Products!C:C,MATCH(OrdersTable[[#This Row],[Product ID]],Products!A:A,0))</f>
        <v>Apparel</v>
      </c>
      <c r="P171">
        <v>1</v>
      </c>
      <c r="Q171" s="5">
        <v>799</v>
      </c>
      <c r="R171" s="74">
        <v>0.1</v>
      </c>
      <c r="S171" s="75">
        <f>OrdersTable[[#This Row],[Quantity]]*OrdersTable[[#This Row],[Unit Price]]</f>
        <v>799</v>
      </c>
      <c r="T171" s="5">
        <f>OrdersTable[[#This Row],[Gross Sale]]*OrdersTable[[#This Row],[Discount_Clean2]]</f>
        <v>79.900000000000006</v>
      </c>
      <c r="U171" s="5">
        <f>OrdersTable[[#This Row],[Gross Sale]]-OrdersTable[[#This Row],[Discount Amount]]</f>
        <v>719.1</v>
      </c>
      <c r="V171" s="77">
        <f>INDEX(Products!E:E,MATCH(OrdersTable[[#This Row],[Product ID]],Products!A:A,0))</f>
        <v>320</v>
      </c>
      <c r="W171" s="77">
        <f>OrdersTable[[#This Row],[Quantity]]*OrdersTable[[#This Row],[Unit Cost]]</f>
        <v>320</v>
      </c>
      <c r="X171" s="77">
        <f>'Dropdown Lists'!$I$2*(1+OrdersTable[[#This Row],[Returned]])</f>
        <v>60</v>
      </c>
      <c r="Y171" s="76">
        <f>OrdersTable[[#This Row],[Net Revenue]]-OrdersTable[[#This Row],[COGS]]-OrdersTable[[#This Row],[Shipping Cost]]</f>
        <v>339.1</v>
      </c>
      <c r="Z171" s="78">
        <f>IFERROR(OrdersTable[[#This Row],[Profit]]/OrdersTable[[#This Row],[Net Revenue]],0)</f>
        <v>0.47156167431511614</v>
      </c>
      <c r="AA171" t="s">
        <v>18</v>
      </c>
      <c r="AB171" s="79">
        <v>45323</v>
      </c>
      <c r="AC171">
        <f>OrdersTable[[#This Row],[Delivery Date]]-OrdersTable[[#This Row],[Order Date]]</f>
        <v>4</v>
      </c>
      <c r="AD171" t="str">
        <f>IF(OrdersTable[[#This Row],[Delivery Days]]&lt;=2, "Express (≤2d)", IF(OrdersTable[[#This Row],[Delivery Days]]&lt;=4, "Standard (3-4d)", "Delayed (5d+)"))</f>
        <v>Standard (3-4d)</v>
      </c>
      <c r="AE171">
        <v>5</v>
      </c>
      <c r="AF171">
        <v>0</v>
      </c>
    </row>
    <row r="172" spans="1:32" ht="15" x14ac:dyDescent="0.35">
      <c r="A172" t="s">
        <v>3147</v>
      </c>
      <c r="B172" s="1">
        <v>45319</v>
      </c>
      <c r="C172">
        <f>YEAR(OrdersTable[[#This Row],[Order Date]])</f>
        <v>2024</v>
      </c>
      <c r="D172" s="2">
        <f>DATE(YEAR(OrdersTable[[#This Row],[Order Date]]),MONTH(OrdersTable[[#This Row],[Order Date]]),1)</f>
        <v>45292</v>
      </c>
      <c r="E172">
        <f>MONTH(OrdersTable[[#This Row],[Order Date]])</f>
        <v>1</v>
      </c>
      <c r="F172" t="s">
        <v>3148</v>
      </c>
      <c r="G172" t="str">
        <f>IF(OrdersTable[[#This Row],[Order Date]]=_xlfn.MINIFS(Order_Date, Customer_ID, OrdersTable[[#This Row],[Customer ID]]), "New", "Repeat")</f>
        <v>New</v>
      </c>
      <c r="H172" t="s">
        <v>59</v>
      </c>
      <c r="I172" t="str">
        <f>INDEX(State!B:B,MATCH(OrdersTable[[#This Row],[State]],State!A:A,0))</f>
        <v>TN</v>
      </c>
      <c r="J172" t="str">
        <f>INDEX(State!C:C,MATCH(OrdersTable[[#This Row],[State Code]],State!B:B,0))</f>
        <v>South</v>
      </c>
      <c r="K172" t="s">
        <v>64</v>
      </c>
      <c r="L172" t="s">
        <v>16</v>
      </c>
      <c r="M172" t="s">
        <v>92</v>
      </c>
      <c r="N172" t="str">
        <f>INDEX(Products!B:B,MATCH(OrdersTable[[#This Row],[Product ID]],Products!A:A,0))</f>
        <v>Kolhapuri Sandals</v>
      </c>
      <c r="O172" t="str">
        <f>INDEX(Products!C:C,MATCH(OrdersTable[[#This Row],[Product ID]],Products!A:A,0))</f>
        <v>Footwear</v>
      </c>
      <c r="P172">
        <v>1</v>
      </c>
      <c r="Q172" s="5">
        <v>999</v>
      </c>
      <c r="R172" s="74">
        <v>0.05</v>
      </c>
      <c r="S172" s="75">
        <f>OrdersTable[[#This Row],[Quantity]]*OrdersTable[[#This Row],[Unit Price]]</f>
        <v>999</v>
      </c>
      <c r="T172" s="5">
        <f>OrdersTable[[#This Row],[Gross Sale]]*OrdersTable[[#This Row],[Discount_Clean2]]</f>
        <v>49.95</v>
      </c>
      <c r="U172" s="5">
        <f>OrdersTable[[#This Row],[Gross Sale]]-OrdersTable[[#This Row],[Discount Amount]]</f>
        <v>949.05</v>
      </c>
      <c r="V172" s="77">
        <f>INDEX(Products!E:E,MATCH(OrdersTable[[#This Row],[Product ID]],Products!A:A,0))</f>
        <v>400</v>
      </c>
      <c r="W172" s="77">
        <f>OrdersTable[[#This Row],[Quantity]]*OrdersTable[[#This Row],[Unit Cost]]</f>
        <v>400</v>
      </c>
      <c r="X172" s="77">
        <f>'Dropdown Lists'!$I$2*(1+OrdersTable[[#This Row],[Returned]])</f>
        <v>60</v>
      </c>
      <c r="Y172" s="76">
        <f>OrdersTable[[#This Row],[Net Revenue]]-OrdersTable[[#This Row],[COGS]]-OrdersTable[[#This Row],[Shipping Cost]]</f>
        <v>489.04999999999995</v>
      </c>
      <c r="Z172" s="78">
        <f>IFERROR(OrdersTable[[#This Row],[Profit]]/OrdersTable[[#This Row],[Net Revenue]],0)</f>
        <v>0.5153047784626732</v>
      </c>
      <c r="AA172" t="s">
        <v>2522</v>
      </c>
      <c r="AB172" s="79">
        <v>45321</v>
      </c>
      <c r="AC172">
        <f>OrdersTable[[#This Row],[Delivery Date]]-OrdersTable[[#This Row],[Order Date]]</f>
        <v>2</v>
      </c>
      <c r="AD172" t="str">
        <f>IF(OrdersTable[[#This Row],[Delivery Days]]&lt;=2, "Express (≤2d)", IF(OrdersTable[[#This Row],[Delivery Days]]&lt;=4, "Standard (3-4d)", "Delayed (5d+)"))</f>
        <v>Express (≤2d)</v>
      </c>
      <c r="AE172">
        <v>4</v>
      </c>
      <c r="AF172">
        <v>0</v>
      </c>
    </row>
    <row r="173" spans="1:32" ht="15" x14ac:dyDescent="0.35">
      <c r="A173" t="s">
        <v>6843</v>
      </c>
      <c r="B173" s="1">
        <v>45320</v>
      </c>
      <c r="C173">
        <f>YEAR(OrdersTable[[#This Row],[Order Date]])</f>
        <v>2024</v>
      </c>
      <c r="D173" s="2">
        <f>DATE(YEAR(OrdersTable[[#This Row],[Order Date]]),MONTH(OrdersTable[[#This Row],[Order Date]]),1)</f>
        <v>45292</v>
      </c>
      <c r="E173">
        <f>MONTH(OrdersTable[[#This Row],[Order Date]])</f>
        <v>1</v>
      </c>
      <c r="F173" t="s">
        <v>6844</v>
      </c>
      <c r="G173" t="str">
        <f>IF(OrdersTable[[#This Row],[Order Date]]=_xlfn.MINIFS(Order_Date, Customer_ID, OrdersTable[[#This Row],[Customer ID]]), "New", "Repeat")</f>
        <v>New</v>
      </c>
      <c r="H173" t="s">
        <v>48</v>
      </c>
      <c r="I173" t="str">
        <f>INDEX(State!B:B,MATCH(OrdersTable[[#This Row],[State]],State!A:A,0))</f>
        <v>HR</v>
      </c>
      <c r="J173" t="str">
        <f>INDEX(State!C:C,MATCH(OrdersTable[[#This Row],[State Code]],State!B:B,0))</f>
        <v>North</v>
      </c>
      <c r="K173" t="s">
        <v>49</v>
      </c>
      <c r="L173" t="s">
        <v>50</v>
      </c>
      <c r="M173" t="s">
        <v>179</v>
      </c>
      <c r="N173" t="str">
        <f>INDEX(Products!B:B,MATCH(OrdersTable[[#This Row],[Product ID]],Products!A:A,0))</f>
        <v>Whey Protein 1kg</v>
      </c>
      <c r="O173" t="str">
        <f>INDEX(Products!C:C,MATCH(OrdersTable[[#This Row],[Product ID]],Products!A:A,0))</f>
        <v>Wellness</v>
      </c>
      <c r="P173">
        <v>3</v>
      </c>
      <c r="Q173" s="5">
        <v>2299</v>
      </c>
      <c r="R173" s="74">
        <v>0.35</v>
      </c>
      <c r="S173" s="75">
        <f>OrdersTable[[#This Row],[Quantity]]*OrdersTable[[#This Row],[Unit Price]]</f>
        <v>6897</v>
      </c>
      <c r="T173" s="5">
        <f>OrdersTable[[#This Row],[Gross Sale]]*OrdersTable[[#This Row],[Discount_Clean2]]</f>
        <v>2413.9499999999998</v>
      </c>
      <c r="U173" s="5">
        <f>OrdersTable[[#This Row],[Gross Sale]]-OrdersTable[[#This Row],[Discount Amount]]</f>
        <v>4483.05</v>
      </c>
      <c r="V173" s="77">
        <f>INDEX(Products!E:E,MATCH(OrdersTable[[#This Row],[Product ID]],Products!A:A,0))</f>
        <v>1333</v>
      </c>
      <c r="W173" s="77">
        <f>OrdersTable[[#This Row],[Quantity]]*OrdersTable[[#This Row],[Unit Cost]]</f>
        <v>3999</v>
      </c>
      <c r="X173" s="77">
        <f>'Dropdown Lists'!$I$2*(1+OrdersTable[[#This Row],[Returned]])</f>
        <v>60</v>
      </c>
      <c r="Y173" s="76">
        <f>OrdersTable[[#This Row],[Net Revenue]]-OrdersTable[[#This Row],[COGS]]-OrdersTable[[#This Row],[Shipping Cost]]</f>
        <v>424.05000000000018</v>
      </c>
      <c r="Z173" s="78">
        <f>IFERROR(OrdersTable[[#This Row],[Profit]]/OrdersTable[[#This Row],[Net Revenue]],0)</f>
        <v>9.4589620905410413E-2</v>
      </c>
      <c r="AA173" t="s">
        <v>4074</v>
      </c>
      <c r="AB173" s="79">
        <v>45324</v>
      </c>
      <c r="AC173">
        <f>OrdersTable[[#This Row],[Delivery Date]]-OrdersTable[[#This Row],[Order Date]]</f>
        <v>4</v>
      </c>
      <c r="AD173" t="str">
        <f>IF(OrdersTable[[#This Row],[Delivery Days]]&lt;=2, "Express (≤2d)", IF(OrdersTable[[#This Row],[Delivery Days]]&lt;=4, "Standard (3-4d)", "Delayed (5d+)"))</f>
        <v>Standard (3-4d)</v>
      </c>
      <c r="AE173">
        <v>4</v>
      </c>
      <c r="AF173">
        <v>0</v>
      </c>
    </row>
    <row r="174" spans="1:32" ht="15" x14ac:dyDescent="0.35">
      <c r="A174" t="s">
        <v>35</v>
      </c>
      <c r="B174" s="1">
        <v>45320</v>
      </c>
      <c r="C174">
        <f>YEAR(OrdersTable[[#This Row],[Order Date]])</f>
        <v>2024</v>
      </c>
      <c r="D174" s="2">
        <f>DATE(YEAR(OrdersTable[[#This Row],[Order Date]]),MONTH(OrdersTable[[#This Row],[Order Date]]),1)</f>
        <v>45292</v>
      </c>
      <c r="E174">
        <f>MONTH(OrdersTable[[#This Row],[Order Date]])</f>
        <v>1</v>
      </c>
      <c r="F174" t="s">
        <v>36</v>
      </c>
      <c r="G174" t="str">
        <f>IF(OrdersTable[[#This Row],[Order Date]]=_xlfn.MINIFS(Order_Date, Customer_ID, OrdersTable[[#This Row],[Customer ID]]), "New", "Repeat")</f>
        <v>New</v>
      </c>
      <c r="H174" t="s">
        <v>37</v>
      </c>
      <c r="I174" t="str">
        <f>INDEX(State!B:B,MATCH(OrdersTable[[#This Row],[State]],State!A:A,0))</f>
        <v>GJ</v>
      </c>
      <c r="J174" t="str">
        <f>INDEX(State!C:C,MATCH(OrdersTable[[#This Row],[State Code]],State!B:B,0))</f>
        <v>West</v>
      </c>
      <c r="K174" t="s">
        <v>38</v>
      </c>
      <c r="L174" t="s">
        <v>39</v>
      </c>
      <c r="M174" t="s">
        <v>40</v>
      </c>
      <c r="N174" t="str">
        <f>INDEX(Products!B:B,MATCH(OrdersTable[[#This Row],[Product ID]],Products!A:A,0))</f>
        <v>Ashwagandha Capsules</v>
      </c>
      <c r="O174" t="str">
        <f>INDEX(Products!C:C,MATCH(OrdersTable[[#This Row],[Product ID]],Products!A:A,0))</f>
        <v>Wellness</v>
      </c>
      <c r="P174">
        <v>1</v>
      </c>
      <c r="Q174" s="5">
        <v>499</v>
      </c>
      <c r="R174" s="74">
        <v>0</v>
      </c>
      <c r="S174" s="75">
        <f>OrdersTable[[#This Row],[Quantity]]*OrdersTable[[#This Row],[Unit Price]]</f>
        <v>499</v>
      </c>
      <c r="T174" s="5">
        <f>OrdersTable[[#This Row],[Gross Sale]]*OrdersTable[[#This Row],[Discount_Clean2]]</f>
        <v>0</v>
      </c>
      <c r="U174" s="5">
        <f>OrdersTable[[#This Row],[Gross Sale]]-OrdersTable[[#This Row],[Discount Amount]]</f>
        <v>499</v>
      </c>
      <c r="V174" s="77">
        <f>INDEX(Products!E:E,MATCH(OrdersTable[[#This Row],[Product ID]],Products!A:A,0))</f>
        <v>150</v>
      </c>
      <c r="W174" s="77">
        <f>OrdersTable[[#This Row],[Quantity]]*OrdersTable[[#This Row],[Unit Cost]]</f>
        <v>150</v>
      </c>
      <c r="X174" s="77">
        <f>'Dropdown Lists'!$I$2*(1+OrdersTable[[#This Row],[Returned]])</f>
        <v>60</v>
      </c>
      <c r="Y174" s="76">
        <f>OrdersTable[[#This Row],[Net Revenue]]-OrdersTable[[#This Row],[COGS]]-OrdersTable[[#This Row],[Shipping Cost]]</f>
        <v>289</v>
      </c>
      <c r="Z174" s="78">
        <f>IFERROR(OrdersTable[[#This Row],[Profit]]/OrdersTable[[#This Row],[Net Revenue]],0)</f>
        <v>0.57915831663326656</v>
      </c>
      <c r="AA174" t="s">
        <v>18</v>
      </c>
      <c r="AB174" s="79">
        <v>45324</v>
      </c>
      <c r="AC174">
        <f>OrdersTable[[#This Row],[Delivery Date]]-OrdersTable[[#This Row],[Order Date]]</f>
        <v>4</v>
      </c>
      <c r="AD174" t="str">
        <f>IF(OrdersTable[[#This Row],[Delivery Days]]&lt;=2, "Express (≤2d)", IF(OrdersTable[[#This Row],[Delivery Days]]&lt;=4, "Standard (3-4d)", "Delayed (5d+)"))</f>
        <v>Standard (3-4d)</v>
      </c>
      <c r="AE174">
        <v>4</v>
      </c>
      <c r="AF174">
        <v>0</v>
      </c>
    </row>
    <row r="175" spans="1:32" ht="15" x14ac:dyDescent="0.35">
      <c r="A175" t="s">
        <v>2873</v>
      </c>
      <c r="B175" s="1">
        <v>45321</v>
      </c>
      <c r="C175">
        <f>YEAR(OrdersTable[[#This Row],[Order Date]])</f>
        <v>2024</v>
      </c>
      <c r="D175" s="2">
        <f>DATE(YEAR(OrdersTable[[#This Row],[Order Date]]),MONTH(OrdersTable[[#This Row],[Order Date]]),1)</f>
        <v>45292</v>
      </c>
      <c r="E175">
        <f>MONTH(OrdersTable[[#This Row],[Order Date]])</f>
        <v>1</v>
      </c>
      <c r="F175" t="s">
        <v>2874</v>
      </c>
      <c r="G175" t="str">
        <f>IF(OrdersTable[[#This Row],[Order Date]]=_xlfn.MINIFS(Order_Date, Customer_ID, OrdersTable[[#This Row],[Customer ID]]), "New", "Repeat")</f>
        <v>New</v>
      </c>
      <c r="H175" t="s">
        <v>54</v>
      </c>
      <c r="I175" t="str">
        <f>INDEX(State!B:B,MATCH(OrdersTable[[#This Row],[State]],State!A:A,0))</f>
        <v>RJ</v>
      </c>
      <c r="J175" t="str">
        <f>INDEX(State!C:C,MATCH(OrdersTable[[#This Row],[State Code]],State!B:B,0))</f>
        <v>North</v>
      </c>
      <c r="K175" t="s">
        <v>227</v>
      </c>
      <c r="L175" t="s">
        <v>39</v>
      </c>
      <c r="M175" t="s">
        <v>34</v>
      </c>
      <c r="N175" t="str">
        <f>INDEX(Products!B:B,MATCH(OrdersTable[[#This Row],[Product ID]],Products!A:A,0))</f>
        <v>Flip Flops</v>
      </c>
      <c r="O175" t="str">
        <f>INDEX(Products!C:C,MATCH(OrdersTable[[#This Row],[Product ID]],Products!A:A,0))</f>
        <v>Footwear</v>
      </c>
      <c r="P175">
        <v>1</v>
      </c>
      <c r="Q175" s="5">
        <v>399</v>
      </c>
      <c r="R175" s="74">
        <v>0</v>
      </c>
      <c r="S175" s="75">
        <f>OrdersTable[[#This Row],[Quantity]]*OrdersTable[[#This Row],[Unit Price]]</f>
        <v>399</v>
      </c>
      <c r="T175" s="5">
        <f>OrdersTable[[#This Row],[Gross Sale]]*OrdersTable[[#This Row],[Discount_Clean2]]</f>
        <v>0</v>
      </c>
      <c r="U175" s="5">
        <f>OrdersTable[[#This Row],[Gross Sale]]-OrdersTable[[#This Row],[Discount Amount]]</f>
        <v>399</v>
      </c>
      <c r="V175" s="77">
        <f>INDEX(Products!E:E,MATCH(OrdersTable[[#This Row],[Product ID]],Products!A:A,0))</f>
        <v>152</v>
      </c>
      <c r="W175" s="77">
        <f>OrdersTable[[#This Row],[Quantity]]*OrdersTable[[#This Row],[Unit Cost]]</f>
        <v>152</v>
      </c>
      <c r="X175" s="77">
        <f>'Dropdown Lists'!$I$2*(1+OrdersTable[[#This Row],[Returned]])</f>
        <v>60</v>
      </c>
      <c r="Y175" s="76">
        <f>OrdersTable[[#This Row],[Net Revenue]]-OrdersTable[[#This Row],[COGS]]-OrdersTable[[#This Row],[Shipping Cost]]</f>
        <v>187</v>
      </c>
      <c r="Z175" s="78">
        <f>IFERROR(OrdersTable[[#This Row],[Profit]]/OrdersTable[[#This Row],[Net Revenue]],0)</f>
        <v>0.46867167919799496</v>
      </c>
      <c r="AA175" t="s">
        <v>2522</v>
      </c>
      <c r="AB175" s="79">
        <v>45327</v>
      </c>
      <c r="AC175">
        <f>OrdersTable[[#This Row],[Delivery Date]]-OrdersTable[[#This Row],[Order Date]]</f>
        <v>6</v>
      </c>
      <c r="AD175" t="str">
        <f>IF(OrdersTable[[#This Row],[Delivery Days]]&lt;=2, "Express (≤2d)", IF(OrdersTable[[#This Row],[Delivery Days]]&lt;=4, "Standard (3-4d)", "Delayed (5d+)"))</f>
        <v>Delayed (5d+)</v>
      </c>
      <c r="AF175">
        <v>0</v>
      </c>
    </row>
    <row r="176" spans="1:32" ht="15" x14ac:dyDescent="0.35">
      <c r="A176" t="s">
        <v>4651</v>
      </c>
      <c r="B176" s="1">
        <v>45321</v>
      </c>
      <c r="C176">
        <f>YEAR(OrdersTable[[#This Row],[Order Date]])</f>
        <v>2024</v>
      </c>
      <c r="D176" s="2">
        <f>DATE(YEAR(OrdersTable[[#This Row],[Order Date]]),MONTH(OrdersTable[[#This Row],[Order Date]]),1)</f>
        <v>45292</v>
      </c>
      <c r="E176">
        <f>MONTH(OrdersTable[[#This Row],[Order Date]])</f>
        <v>1</v>
      </c>
      <c r="F176" t="s">
        <v>2575</v>
      </c>
      <c r="G176" t="str">
        <f>IF(OrdersTable[[#This Row],[Order Date]]=_xlfn.MINIFS(Order_Date, Customer_ID, OrdersTable[[#This Row],[Customer ID]]), "New", "Repeat")</f>
        <v>New</v>
      </c>
      <c r="H176" t="s">
        <v>32</v>
      </c>
      <c r="I176" t="str">
        <f>INDEX(State!B:B,MATCH(OrdersTable[[#This Row],[State]],State!A:A,0))</f>
        <v>BR</v>
      </c>
      <c r="J176" t="str">
        <f>INDEX(State!C:C,MATCH(OrdersTable[[#This Row],[State Code]],State!B:B,0))</f>
        <v>East</v>
      </c>
      <c r="K176" t="s">
        <v>33</v>
      </c>
      <c r="L176" t="s">
        <v>65</v>
      </c>
      <c r="M176" t="s">
        <v>51</v>
      </c>
      <c r="N176" t="str">
        <f>INDEX(Products!B:B,MATCH(OrdersTable[[#This Row],[Product ID]],Products!A:A,0))</f>
        <v>Anti-Dandruff Conditioner</v>
      </c>
      <c r="O176" t="str">
        <f>INDEX(Products!C:C,MATCH(OrdersTable[[#This Row],[Product ID]],Products!A:A,0))</f>
        <v>Haircare</v>
      </c>
      <c r="P176">
        <v>1</v>
      </c>
      <c r="Q176" s="5">
        <v>399</v>
      </c>
      <c r="R176" s="74">
        <v>0.35</v>
      </c>
      <c r="S176" s="75">
        <f>OrdersTable[[#This Row],[Quantity]]*OrdersTable[[#This Row],[Unit Price]]</f>
        <v>399</v>
      </c>
      <c r="T176" s="5">
        <f>OrdersTable[[#This Row],[Gross Sale]]*OrdersTable[[#This Row],[Discount_Clean2]]</f>
        <v>139.64999999999998</v>
      </c>
      <c r="U176" s="5">
        <f>OrdersTable[[#This Row],[Gross Sale]]-OrdersTable[[#This Row],[Discount Amount]]</f>
        <v>259.35000000000002</v>
      </c>
      <c r="V176" s="77">
        <f>INDEX(Products!E:E,MATCH(OrdersTable[[#This Row],[Product ID]],Products!A:A,0))</f>
        <v>136</v>
      </c>
      <c r="W176" s="77">
        <f>OrdersTable[[#This Row],[Quantity]]*OrdersTable[[#This Row],[Unit Cost]]</f>
        <v>136</v>
      </c>
      <c r="X176" s="77">
        <f>'Dropdown Lists'!$I$2*(1+OrdersTable[[#This Row],[Returned]])</f>
        <v>60</v>
      </c>
      <c r="Y176" s="76">
        <f>OrdersTable[[#This Row],[Net Revenue]]-OrdersTable[[#This Row],[COGS]]-OrdersTable[[#This Row],[Shipping Cost]]</f>
        <v>63.350000000000023</v>
      </c>
      <c r="Z176" s="78">
        <f>IFERROR(OrdersTable[[#This Row],[Profit]]/OrdersTable[[#This Row],[Net Revenue]],0)</f>
        <v>0.24426450742240222</v>
      </c>
      <c r="AA176" t="s">
        <v>4450</v>
      </c>
      <c r="AB176" s="79">
        <v>45325</v>
      </c>
      <c r="AC176">
        <f>OrdersTable[[#This Row],[Delivery Date]]-OrdersTable[[#This Row],[Order Date]]</f>
        <v>4</v>
      </c>
      <c r="AD176" t="str">
        <f>IF(OrdersTable[[#This Row],[Delivery Days]]&lt;=2, "Express (≤2d)", IF(OrdersTable[[#This Row],[Delivery Days]]&lt;=4, "Standard (3-4d)", "Delayed (5d+)"))</f>
        <v>Standard (3-4d)</v>
      </c>
      <c r="AE176">
        <v>5</v>
      </c>
      <c r="AF176">
        <v>0</v>
      </c>
    </row>
    <row r="177" spans="1:32" ht="15" x14ac:dyDescent="0.35">
      <c r="A177" t="s">
        <v>2212</v>
      </c>
      <c r="B177" s="1">
        <v>45321</v>
      </c>
      <c r="C177">
        <f>YEAR(OrdersTable[[#This Row],[Order Date]])</f>
        <v>2024</v>
      </c>
      <c r="D177" s="2">
        <f>DATE(YEAR(OrdersTable[[#This Row],[Order Date]]),MONTH(OrdersTable[[#This Row],[Order Date]]),1)</f>
        <v>45292</v>
      </c>
      <c r="E177">
        <f>MONTH(OrdersTable[[#This Row],[Order Date]])</f>
        <v>1</v>
      </c>
      <c r="F177" t="s">
        <v>2213</v>
      </c>
      <c r="G177" t="str">
        <f>IF(OrdersTable[[#This Row],[Order Date]]=_xlfn.MINIFS(Order_Date, Customer_ID, OrdersTable[[#This Row],[Customer ID]]), "New", "Repeat")</f>
        <v>New</v>
      </c>
      <c r="H177" t="s">
        <v>132</v>
      </c>
      <c r="I177" t="str">
        <f>INDEX(State!B:B,MATCH(OrdersTable[[#This Row],[State]],State!A:A,0))</f>
        <v>AS</v>
      </c>
      <c r="J177" t="str">
        <f>INDEX(State!C:C,MATCH(OrdersTable[[#This Row],[State Code]],State!B:B,0))</f>
        <v>East</v>
      </c>
      <c r="K177" t="s">
        <v>133</v>
      </c>
      <c r="L177" t="s">
        <v>23</v>
      </c>
      <c r="M177" t="s">
        <v>160</v>
      </c>
      <c r="N177" t="str">
        <f>INDEX(Products!B:B,MATCH(OrdersTable[[#This Row],[Product ID]],Products!A:A,0))</f>
        <v>Niacinamide Toner</v>
      </c>
      <c r="O177" t="str">
        <f>INDEX(Products!C:C,MATCH(OrdersTable[[#This Row],[Product ID]],Products!A:A,0))</f>
        <v>Skincare</v>
      </c>
      <c r="P177">
        <v>1</v>
      </c>
      <c r="Q177" s="5">
        <v>399</v>
      </c>
      <c r="R177" s="74">
        <v>0.2</v>
      </c>
      <c r="S177" s="75">
        <f>OrdersTable[[#This Row],[Quantity]]*OrdersTable[[#This Row],[Unit Price]]</f>
        <v>399</v>
      </c>
      <c r="T177" s="5">
        <f>OrdersTable[[#This Row],[Gross Sale]]*OrdersTable[[#This Row],[Discount_Clean2]]</f>
        <v>79.800000000000011</v>
      </c>
      <c r="U177" s="5">
        <f>OrdersTable[[#This Row],[Gross Sale]]-OrdersTable[[#This Row],[Discount Amount]]</f>
        <v>319.2</v>
      </c>
      <c r="V177" s="77">
        <f>INDEX(Products!E:E,MATCH(OrdersTable[[#This Row],[Product ID]],Products!A:A,0))</f>
        <v>112</v>
      </c>
      <c r="W177" s="77">
        <f>OrdersTable[[#This Row],[Quantity]]*OrdersTable[[#This Row],[Unit Cost]]</f>
        <v>112</v>
      </c>
      <c r="X177" s="77">
        <f>'Dropdown Lists'!$I$2*(1+OrdersTable[[#This Row],[Returned]])</f>
        <v>60</v>
      </c>
      <c r="Y177" s="76">
        <f>OrdersTable[[#This Row],[Net Revenue]]-OrdersTable[[#This Row],[COGS]]-OrdersTable[[#This Row],[Shipping Cost]]</f>
        <v>147.19999999999999</v>
      </c>
      <c r="Z177" s="78">
        <f>IFERROR(OrdersTable[[#This Row],[Profit]]/OrdersTable[[#This Row],[Net Revenue]],0)</f>
        <v>0.46115288220551376</v>
      </c>
      <c r="AA177" t="s">
        <v>18</v>
      </c>
      <c r="AB177" s="79">
        <v>45327</v>
      </c>
      <c r="AC177">
        <f>OrdersTable[[#This Row],[Delivery Date]]-OrdersTable[[#This Row],[Order Date]]</f>
        <v>6</v>
      </c>
      <c r="AD177" t="str">
        <f>IF(OrdersTable[[#This Row],[Delivery Days]]&lt;=2, "Express (≤2d)", IF(OrdersTable[[#This Row],[Delivery Days]]&lt;=4, "Standard (3-4d)", "Delayed (5d+)"))</f>
        <v>Delayed (5d+)</v>
      </c>
      <c r="AE177">
        <v>5</v>
      </c>
      <c r="AF177">
        <v>0</v>
      </c>
    </row>
    <row r="178" spans="1:32" ht="15" x14ac:dyDescent="0.35">
      <c r="A178" t="s">
        <v>2875</v>
      </c>
      <c r="B178" s="1">
        <v>45321</v>
      </c>
      <c r="C178">
        <f>YEAR(OrdersTable[[#This Row],[Order Date]])</f>
        <v>2024</v>
      </c>
      <c r="D178" s="2">
        <f>DATE(YEAR(OrdersTable[[#This Row],[Order Date]]),MONTH(OrdersTable[[#This Row],[Order Date]]),1)</f>
        <v>45292</v>
      </c>
      <c r="E178">
        <f>MONTH(OrdersTable[[#This Row],[Order Date]])</f>
        <v>1</v>
      </c>
      <c r="F178" t="s">
        <v>2131</v>
      </c>
      <c r="G178" t="str">
        <f>IF(OrdersTable[[#This Row],[Order Date]]=_xlfn.MINIFS(Order_Date, Customer_ID, OrdersTable[[#This Row],[Customer ID]]), "New", "Repeat")</f>
        <v>New</v>
      </c>
      <c r="H178" t="s">
        <v>71</v>
      </c>
      <c r="I178" t="str">
        <f>INDEX(State!B:B,MATCH(OrdersTable[[#This Row],[State]],State!A:A,0))</f>
        <v>MH</v>
      </c>
      <c r="J178" t="str">
        <f>INDEX(State!C:C,MATCH(OrdersTable[[#This Row],[State Code]],State!B:B,0))</f>
        <v>West</v>
      </c>
      <c r="K178" t="s">
        <v>81</v>
      </c>
      <c r="L178" t="s">
        <v>50</v>
      </c>
      <c r="M178" t="s">
        <v>73</v>
      </c>
      <c r="N178" t="str">
        <f>INDEX(Products!B:B,MATCH(OrdersTable[[#This Row],[Product ID]],Products!A:A,0))</f>
        <v>Hydrating Face Wash</v>
      </c>
      <c r="O178" t="str">
        <f>INDEX(Products!C:C,MATCH(OrdersTable[[#This Row],[Product ID]],Products!A:A,0))</f>
        <v>Skincare</v>
      </c>
      <c r="P178">
        <v>1</v>
      </c>
      <c r="Q178" s="5">
        <v>299</v>
      </c>
      <c r="R178" s="74">
        <v>0.1</v>
      </c>
      <c r="S178" s="75">
        <f>OrdersTable[[#This Row],[Quantity]]*OrdersTable[[#This Row],[Unit Price]]</f>
        <v>299</v>
      </c>
      <c r="T178" s="5">
        <f>OrdersTable[[#This Row],[Gross Sale]]*OrdersTable[[#This Row],[Discount_Clean2]]</f>
        <v>29.900000000000002</v>
      </c>
      <c r="U178" s="5">
        <f>OrdersTable[[#This Row],[Gross Sale]]-OrdersTable[[#This Row],[Discount Amount]]</f>
        <v>269.10000000000002</v>
      </c>
      <c r="V178" s="77">
        <f>INDEX(Products!E:E,MATCH(OrdersTable[[#This Row],[Product ID]],Products!A:A,0))</f>
        <v>90</v>
      </c>
      <c r="W178" s="77">
        <f>OrdersTable[[#This Row],[Quantity]]*OrdersTable[[#This Row],[Unit Cost]]</f>
        <v>90</v>
      </c>
      <c r="X178" s="77">
        <f>'Dropdown Lists'!$I$2*(1+OrdersTable[[#This Row],[Returned]])</f>
        <v>60</v>
      </c>
      <c r="Y178" s="76">
        <f>OrdersTable[[#This Row],[Net Revenue]]-OrdersTable[[#This Row],[COGS]]-OrdersTable[[#This Row],[Shipping Cost]]</f>
        <v>119.10000000000002</v>
      </c>
      <c r="Z178" s="78">
        <f>IFERROR(OrdersTable[[#This Row],[Profit]]/OrdersTable[[#This Row],[Net Revenue]],0)</f>
        <v>0.4425863991081383</v>
      </c>
      <c r="AA178" t="s">
        <v>2522</v>
      </c>
      <c r="AB178" s="79">
        <v>45322</v>
      </c>
      <c r="AC178">
        <f>OrdersTable[[#This Row],[Delivery Date]]-OrdersTable[[#This Row],[Order Date]]</f>
        <v>1</v>
      </c>
      <c r="AD178" t="str">
        <f>IF(OrdersTable[[#This Row],[Delivery Days]]&lt;=2, "Express (≤2d)", IF(OrdersTable[[#This Row],[Delivery Days]]&lt;=4, "Standard (3-4d)", "Delayed (5d+)"))</f>
        <v>Express (≤2d)</v>
      </c>
      <c r="AF178">
        <v>0</v>
      </c>
    </row>
    <row r="179" spans="1:32" ht="15" x14ac:dyDescent="0.35">
      <c r="A179" t="s">
        <v>436</v>
      </c>
      <c r="B179" s="1">
        <v>45321</v>
      </c>
      <c r="C179">
        <f>YEAR(OrdersTable[[#This Row],[Order Date]])</f>
        <v>2024</v>
      </c>
      <c r="D179" s="2">
        <f>DATE(YEAR(OrdersTable[[#This Row],[Order Date]]),MONTH(OrdersTable[[#This Row],[Order Date]]),1)</f>
        <v>45292</v>
      </c>
      <c r="E179">
        <f>MONTH(OrdersTable[[#This Row],[Order Date]])</f>
        <v>1</v>
      </c>
      <c r="F179" t="s">
        <v>86</v>
      </c>
      <c r="G179" t="str">
        <f>IF(OrdersTable[[#This Row],[Order Date]]=_xlfn.MINIFS(Order_Date, Customer_ID, OrdersTable[[#This Row],[Customer ID]]), "New", "Repeat")</f>
        <v>New</v>
      </c>
      <c r="H179" t="s">
        <v>14</v>
      </c>
      <c r="I179" t="str">
        <f>INDEX(State!B:B,MATCH(OrdersTable[[#This Row],[State]],State!A:A,0))</f>
        <v>OD</v>
      </c>
      <c r="J179" t="str">
        <f>INDEX(State!C:C,MATCH(OrdersTable[[#This Row],[State Code]],State!B:B,0))</f>
        <v>East</v>
      </c>
      <c r="K179" t="s">
        <v>15</v>
      </c>
      <c r="L179" t="s">
        <v>65</v>
      </c>
      <c r="M179" t="s">
        <v>45</v>
      </c>
      <c r="N179" t="str">
        <f>INDEX(Products!B:B,MATCH(OrdersTable[[#This Row],[Product ID]],Products!A:A,0))</f>
        <v>Argan Shampoo</v>
      </c>
      <c r="O179" t="str">
        <f>INDEX(Products!C:C,MATCH(OrdersTable[[#This Row],[Product ID]],Products!A:A,0))</f>
        <v>Haircare</v>
      </c>
      <c r="P179">
        <v>1</v>
      </c>
      <c r="Q179" s="5">
        <v>449</v>
      </c>
      <c r="R179" s="74">
        <v>0.05</v>
      </c>
      <c r="S179" s="75">
        <f>OrdersTable[[#This Row],[Quantity]]*OrdersTable[[#This Row],[Unit Price]]</f>
        <v>449</v>
      </c>
      <c r="T179" s="5">
        <f>OrdersTable[[#This Row],[Gross Sale]]*OrdersTable[[#This Row],[Discount_Clean2]]</f>
        <v>22.450000000000003</v>
      </c>
      <c r="U179" s="5">
        <f>OrdersTable[[#This Row],[Gross Sale]]-OrdersTable[[#This Row],[Discount Amount]]</f>
        <v>426.55</v>
      </c>
      <c r="V179" s="77">
        <f>INDEX(Products!E:E,MATCH(OrdersTable[[#This Row],[Product ID]],Products!A:A,0))</f>
        <v>148</v>
      </c>
      <c r="W179" s="77">
        <f>OrdersTable[[#This Row],[Quantity]]*OrdersTable[[#This Row],[Unit Cost]]</f>
        <v>148</v>
      </c>
      <c r="X179" s="77">
        <f>'Dropdown Lists'!$I$2*(1+OrdersTable[[#This Row],[Returned]])</f>
        <v>60</v>
      </c>
      <c r="Y179" s="76">
        <f>OrdersTable[[#This Row],[Net Revenue]]-OrdersTable[[#This Row],[COGS]]-OrdersTable[[#This Row],[Shipping Cost]]</f>
        <v>218.55</v>
      </c>
      <c r="Z179" s="78">
        <f>IFERROR(OrdersTable[[#This Row],[Profit]]/OrdersTable[[#This Row],[Net Revenue]],0)</f>
        <v>0.51236666275934828</v>
      </c>
      <c r="AA179" t="s">
        <v>18</v>
      </c>
      <c r="AB179" s="79">
        <v>45324</v>
      </c>
      <c r="AC179">
        <f>OrdersTable[[#This Row],[Delivery Date]]-OrdersTable[[#This Row],[Order Date]]</f>
        <v>3</v>
      </c>
      <c r="AD179" t="str">
        <f>IF(OrdersTable[[#This Row],[Delivery Days]]&lt;=2, "Express (≤2d)", IF(OrdersTable[[#This Row],[Delivery Days]]&lt;=4, "Standard (3-4d)", "Delayed (5d+)"))</f>
        <v>Standard (3-4d)</v>
      </c>
      <c r="AE179">
        <v>4</v>
      </c>
      <c r="AF179">
        <v>0</v>
      </c>
    </row>
    <row r="180" spans="1:32" ht="15" x14ac:dyDescent="0.35">
      <c r="A180" t="s">
        <v>3391</v>
      </c>
      <c r="B180" s="1">
        <v>45322</v>
      </c>
      <c r="C180">
        <f>YEAR(OrdersTable[[#This Row],[Order Date]])</f>
        <v>2024</v>
      </c>
      <c r="D180" s="2">
        <f>DATE(YEAR(OrdersTable[[#This Row],[Order Date]]),MONTH(OrdersTable[[#This Row],[Order Date]]),1)</f>
        <v>45292</v>
      </c>
      <c r="E180">
        <f>MONTH(OrdersTable[[#This Row],[Order Date]])</f>
        <v>1</v>
      </c>
      <c r="F180" t="s">
        <v>1984</v>
      </c>
      <c r="G180" t="str">
        <f>IF(OrdersTable[[#This Row],[Order Date]]=_xlfn.MINIFS(Order_Date, Customer_ID, OrdersTable[[#This Row],[Customer ID]]), "New", "Repeat")</f>
        <v>New</v>
      </c>
      <c r="H180" t="s">
        <v>21</v>
      </c>
      <c r="I180" t="str">
        <f>INDEX(State!B:B,MATCH(OrdersTable[[#This Row],[State]],State!A:A,0))</f>
        <v>PB</v>
      </c>
      <c r="J180" t="str">
        <f>INDEX(State!C:C,MATCH(OrdersTable[[#This Row],[State Code]],State!B:B,0))</f>
        <v>North</v>
      </c>
      <c r="K180" t="s">
        <v>260</v>
      </c>
      <c r="L180" t="s">
        <v>65</v>
      </c>
      <c r="M180" t="s">
        <v>423</v>
      </c>
      <c r="N180" t="str">
        <f>INDEX(Products!B:B,MATCH(OrdersTable[[#This Row],[Product ID]],Products!A:A,0))</f>
        <v>Power Bank 20000mAh</v>
      </c>
      <c r="O180" t="str">
        <f>INDEX(Products!C:C,MATCH(OrdersTable[[#This Row],[Product ID]],Products!A:A,0))</f>
        <v>Electronics</v>
      </c>
      <c r="P180">
        <v>1</v>
      </c>
      <c r="Q180" s="5">
        <v>1799</v>
      </c>
      <c r="R180" s="74">
        <v>0.35</v>
      </c>
      <c r="S180" s="75">
        <f>OrdersTable[[#This Row],[Quantity]]*OrdersTable[[#This Row],[Unit Price]]</f>
        <v>1799</v>
      </c>
      <c r="T180" s="5">
        <f>OrdersTable[[#This Row],[Gross Sale]]*OrdersTable[[#This Row],[Discount_Clean2]]</f>
        <v>629.65</v>
      </c>
      <c r="U180" s="5">
        <f>OrdersTable[[#This Row],[Gross Sale]]-OrdersTable[[#This Row],[Discount Amount]]</f>
        <v>1169.3499999999999</v>
      </c>
      <c r="V180" s="77">
        <f>INDEX(Products!E:E,MATCH(OrdersTable[[#This Row],[Product ID]],Products!A:A,0))</f>
        <v>1079</v>
      </c>
      <c r="W180" s="77">
        <f>OrdersTable[[#This Row],[Quantity]]*OrdersTable[[#This Row],[Unit Cost]]</f>
        <v>1079</v>
      </c>
      <c r="X180" s="77">
        <f>'Dropdown Lists'!$I$2*(1+OrdersTable[[#This Row],[Returned]])</f>
        <v>120</v>
      </c>
      <c r="Y180" s="76">
        <f>OrdersTable[[#This Row],[Net Revenue]]-OrdersTable[[#This Row],[COGS]]-OrdersTable[[#This Row],[Shipping Cost]]</f>
        <v>-29.650000000000091</v>
      </c>
      <c r="Z180" s="78">
        <f>IFERROR(OrdersTable[[#This Row],[Profit]]/OrdersTable[[#This Row],[Net Revenue]],0)</f>
        <v>-2.5355966990208315E-2</v>
      </c>
      <c r="AA180" t="s">
        <v>2522</v>
      </c>
      <c r="AB180" s="79">
        <v>45325</v>
      </c>
      <c r="AC180">
        <f>OrdersTable[[#This Row],[Delivery Date]]-OrdersTable[[#This Row],[Order Date]]</f>
        <v>3</v>
      </c>
      <c r="AD180" t="str">
        <f>IF(OrdersTable[[#This Row],[Delivery Days]]&lt;=2, "Express (≤2d)", IF(OrdersTable[[#This Row],[Delivery Days]]&lt;=4, "Standard (3-4d)", "Delayed (5d+)"))</f>
        <v>Standard (3-4d)</v>
      </c>
      <c r="AE180">
        <v>4</v>
      </c>
      <c r="AF180">
        <v>1</v>
      </c>
    </row>
    <row r="181" spans="1:32" ht="15" x14ac:dyDescent="0.35">
      <c r="A181" t="s">
        <v>2876</v>
      </c>
      <c r="B181" s="1">
        <v>45322</v>
      </c>
      <c r="C181">
        <f>YEAR(OrdersTable[[#This Row],[Order Date]])</f>
        <v>2024</v>
      </c>
      <c r="D181" s="2">
        <f>DATE(YEAR(OrdersTable[[#This Row],[Order Date]]),MONTH(OrdersTable[[#This Row],[Order Date]]),1)</f>
        <v>45292</v>
      </c>
      <c r="E181">
        <f>MONTH(OrdersTable[[#This Row],[Order Date]])</f>
        <v>1</v>
      </c>
      <c r="F181" t="s">
        <v>2242</v>
      </c>
      <c r="G181" t="str">
        <f>IF(OrdersTable[[#This Row],[Order Date]]=_xlfn.MINIFS(Order_Date, Customer_ID, OrdersTable[[#This Row],[Customer ID]]), "New", "Repeat")</f>
        <v>New</v>
      </c>
      <c r="H181" t="s">
        <v>76</v>
      </c>
      <c r="I181" t="str">
        <f>INDEX(State!B:B,MATCH(OrdersTable[[#This Row],[State]],State!A:A,0))</f>
        <v>UP</v>
      </c>
      <c r="J181" t="str">
        <f>INDEX(State!C:C,MATCH(OrdersTable[[#This Row],[State Code]],State!B:B,0))</f>
        <v>North</v>
      </c>
      <c r="K181" t="s">
        <v>105</v>
      </c>
      <c r="L181" t="s">
        <v>23</v>
      </c>
      <c r="M181" t="s">
        <v>148</v>
      </c>
      <c r="N181" t="str">
        <f>INDEX(Products!B:B,MATCH(OrdersTable[[#This Row],[Product ID]],Products!A:A,0))</f>
        <v>Smartwatch Strap</v>
      </c>
      <c r="O181" t="str">
        <f>INDEX(Products!C:C,MATCH(OrdersTable[[#This Row],[Product ID]],Products!A:A,0))</f>
        <v>Electronics</v>
      </c>
      <c r="P181">
        <v>1</v>
      </c>
      <c r="Q181" s="5">
        <v>499</v>
      </c>
      <c r="R181" s="74">
        <v>0.1</v>
      </c>
      <c r="S181" s="75">
        <f>OrdersTable[[#This Row],[Quantity]]*OrdersTable[[#This Row],[Unit Price]]</f>
        <v>499</v>
      </c>
      <c r="T181" s="5">
        <f>OrdersTable[[#This Row],[Gross Sale]]*OrdersTable[[#This Row],[Discount_Clean2]]</f>
        <v>49.900000000000006</v>
      </c>
      <c r="U181" s="5">
        <f>OrdersTable[[#This Row],[Gross Sale]]-OrdersTable[[#This Row],[Discount Amount]]</f>
        <v>449.1</v>
      </c>
      <c r="V181" s="77">
        <f>INDEX(Products!E:E,MATCH(OrdersTable[[#This Row],[Product ID]],Products!A:A,0))</f>
        <v>200</v>
      </c>
      <c r="W181" s="77">
        <f>OrdersTable[[#This Row],[Quantity]]*OrdersTable[[#This Row],[Unit Cost]]</f>
        <v>200</v>
      </c>
      <c r="X181" s="77">
        <f>'Dropdown Lists'!$I$2*(1+OrdersTable[[#This Row],[Returned]])</f>
        <v>60</v>
      </c>
      <c r="Y181" s="76">
        <f>OrdersTable[[#This Row],[Net Revenue]]-OrdersTable[[#This Row],[COGS]]-OrdersTable[[#This Row],[Shipping Cost]]</f>
        <v>189.10000000000002</v>
      </c>
      <c r="Z181" s="78">
        <f>IFERROR(OrdersTable[[#This Row],[Profit]]/OrdersTable[[#This Row],[Net Revenue]],0)</f>
        <v>0.42106435092407041</v>
      </c>
      <c r="AA181" t="s">
        <v>2522</v>
      </c>
      <c r="AB181" s="79">
        <v>45325</v>
      </c>
      <c r="AC181">
        <f>OrdersTable[[#This Row],[Delivery Date]]-OrdersTable[[#This Row],[Order Date]]</f>
        <v>3</v>
      </c>
      <c r="AD181" t="str">
        <f>IF(OrdersTable[[#This Row],[Delivery Days]]&lt;=2, "Express (≤2d)", IF(OrdersTable[[#This Row],[Delivery Days]]&lt;=4, "Standard (3-4d)", "Delayed (5d+)"))</f>
        <v>Standard (3-4d)</v>
      </c>
      <c r="AF181">
        <v>0</v>
      </c>
    </row>
    <row r="182" spans="1:32" ht="15" x14ac:dyDescent="0.35">
      <c r="A182" t="s">
        <v>896</v>
      </c>
      <c r="B182" s="1">
        <v>45322</v>
      </c>
      <c r="C182">
        <f>YEAR(OrdersTable[[#This Row],[Order Date]])</f>
        <v>2024</v>
      </c>
      <c r="D182" s="2">
        <f>DATE(YEAR(OrdersTable[[#This Row],[Order Date]]),MONTH(OrdersTable[[#This Row],[Order Date]]),1)</f>
        <v>45292</v>
      </c>
      <c r="E182">
        <f>MONTH(OrdersTable[[#This Row],[Order Date]])</f>
        <v>1</v>
      </c>
      <c r="F182" t="s">
        <v>897</v>
      </c>
      <c r="G182" t="str">
        <f>IF(OrdersTable[[#This Row],[Order Date]]=_xlfn.MINIFS(Order_Date, Customer_ID, OrdersTable[[#This Row],[Customer ID]]), "New", "Repeat")</f>
        <v>New</v>
      </c>
      <c r="H182" t="s">
        <v>76</v>
      </c>
      <c r="I182" t="str">
        <f>INDEX(State!B:B,MATCH(OrdersTable[[#This Row],[State]],State!A:A,0))</f>
        <v>UP</v>
      </c>
      <c r="J182" t="str">
        <f>INDEX(State!C:C,MATCH(OrdersTable[[#This Row],[State Code]],State!B:B,0))</f>
        <v>North</v>
      </c>
      <c r="K182" t="s">
        <v>105</v>
      </c>
      <c r="L182" t="s">
        <v>23</v>
      </c>
      <c r="M182" t="s">
        <v>56</v>
      </c>
      <c r="N182" t="str">
        <f>INDEX(Products!B:B,MATCH(OrdersTable[[#This Row],[Product ID]],Products!A:A,0))</f>
        <v>Vitamin C Face Serum</v>
      </c>
      <c r="O182" t="str">
        <f>INDEX(Products!C:C,MATCH(OrdersTable[[#This Row],[Product ID]],Products!A:A,0))</f>
        <v>Skincare</v>
      </c>
      <c r="P182">
        <v>1</v>
      </c>
      <c r="Q182" s="5">
        <v>599</v>
      </c>
      <c r="R182" s="74">
        <v>0.2</v>
      </c>
      <c r="S182" s="75">
        <f>OrdersTable[[#This Row],[Quantity]]*OrdersTable[[#This Row],[Unit Price]]</f>
        <v>599</v>
      </c>
      <c r="T182" s="5">
        <f>OrdersTable[[#This Row],[Gross Sale]]*OrdersTable[[#This Row],[Discount_Clean2]]</f>
        <v>119.80000000000001</v>
      </c>
      <c r="U182" s="5">
        <f>OrdersTable[[#This Row],[Gross Sale]]-OrdersTable[[#This Row],[Discount Amount]]</f>
        <v>479.2</v>
      </c>
      <c r="V182" s="77">
        <f>INDEX(Products!E:E,MATCH(OrdersTable[[#This Row],[Product ID]],Products!A:A,0))</f>
        <v>180</v>
      </c>
      <c r="W182" s="77">
        <f>OrdersTable[[#This Row],[Quantity]]*OrdersTable[[#This Row],[Unit Cost]]</f>
        <v>180</v>
      </c>
      <c r="X182" s="77">
        <f>'Dropdown Lists'!$I$2*(1+OrdersTable[[#This Row],[Returned]])</f>
        <v>60</v>
      </c>
      <c r="Y182" s="76">
        <f>OrdersTable[[#This Row],[Net Revenue]]-OrdersTable[[#This Row],[COGS]]-OrdersTable[[#This Row],[Shipping Cost]]</f>
        <v>239.2</v>
      </c>
      <c r="Z182" s="78">
        <f>IFERROR(OrdersTable[[#This Row],[Profit]]/OrdersTable[[#This Row],[Net Revenue]],0)</f>
        <v>0.4991652754590985</v>
      </c>
      <c r="AA182" t="s">
        <v>18</v>
      </c>
      <c r="AB182" s="79">
        <v>45326</v>
      </c>
      <c r="AC182">
        <f>OrdersTable[[#This Row],[Delivery Date]]-OrdersTable[[#This Row],[Order Date]]</f>
        <v>4</v>
      </c>
      <c r="AD182" t="str">
        <f>IF(OrdersTable[[#This Row],[Delivery Days]]&lt;=2, "Express (≤2d)", IF(OrdersTable[[#This Row],[Delivery Days]]&lt;=4, "Standard (3-4d)", "Delayed (5d+)"))</f>
        <v>Standard (3-4d)</v>
      </c>
      <c r="AE182">
        <v>4</v>
      </c>
      <c r="AF182">
        <v>0</v>
      </c>
    </row>
    <row r="183" spans="1:32" ht="15" x14ac:dyDescent="0.35">
      <c r="A183" t="s">
        <v>41</v>
      </c>
      <c r="B183" s="1">
        <v>45322</v>
      </c>
      <c r="C183">
        <f>YEAR(OrdersTable[[#This Row],[Order Date]])</f>
        <v>2024</v>
      </c>
      <c r="D183" s="2">
        <f>DATE(YEAR(OrdersTable[[#This Row],[Order Date]]),MONTH(OrdersTable[[#This Row],[Order Date]]),1)</f>
        <v>45292</v>
      </c>
      <c r="E183">
        <f>MONTH(OrdersTable[[#This Row],[Order Date]])</f>
        <v>1</v>
      </c>
      <c r="F183" t="s">
        <v>42</v>
      </c>
      <c r="G183" t="str">
        <f>IF(OrdersTable[[#This Row],[Order Date]]=_xlfn.MINIFS(Order_Date, Customer_ID, OrdersTable[[#This Row],[Customer ID]]), "New", "Repeat")</f>
        <v>New</v>
      </c>
      <c r="H183" t="s">
        <v>43</v>
      </c>
      <c r="I183" t="str">
        <f>INDEX(State!B:B,MATCH(OrdersTable[[#This Row],[State]],State!A:A,0))</f>
        <v>MP</v>
      </c>
      <c r="J183" t="str">
        <f>INDEX(State!C:C,MATCH(OrdersTable[[#This Row],[State Code]],State!B:B,0))</f>
        <v>West</v>
      </c>
      <c r="K183" t="s">
        <v>44</v>
      </c>
      <c r="L183" t="s">
        <v>23</v>
      </c>
      <c r="M183" t="s">
        <v>45</v>
      </c>
      <c r="N183" t="str">
        <f>INDEX(Products!B:B,MATCH(OrdersTable[[#This Row],[Product ID]],Products!A:A,0))</f>
        <v>Argan Shampoo</v>
      </c>
      <c r="O183" t="str">
        <f>INDEX(Products!C:C,MATCH(OrdersTable[[#This Row],[Product ID]],Products!A:A,0))</f>
        <v>Haircare</v>
      </c>
      <c r="P183">
        <v>1</v>
      </c>
      <c r="Q183" s="5">
        <v>449</v>
      </c>
      <c r="R183" s="74">
        <v>0.05</v>
      </c>
      <c r="S183" s="75">
        <f>OrdersTable[[#This Row],[Quantity]]*OrdersTable[[#This Row],[Unit Price]]</f>
        <v>449</v>
      </c>
      <c r="T183" s="5">
        <f>OrdersTable[[#This Row],[Gross Sale]]*OrdersTable[[#This Row],[Discount_Clean2]]</f>
        <v>22.450000000000003</v>
      </c>
      <c r="U183" s="5">
        <f>OrdersTable[[#This Row],[Gross Sale]]-OrdersTable[[#This Row],[Discount Amount]]</f>
        <v>426.55</v>
      </c>
      <c r="V183" s="77">
        <f>INDEX(Products!E:E,MATCH(OrdersTable[[#This Row],[Product ID]],Products!A:A,0))</f>
        <v>148</v>
      </c>
      <c r="W183" s="77">
        <f>OrdersTable[[#This Row],[Quantity]]*OrdersTable[[#This Row],[Unit Cost]]</f>
        <v>148</v>
      </c>
      <c r="X183" s="77">
        <f>'Dropdown Lists'!$I$2*(1+OrdersTable[[#This Row],[Returned]])</f>
        <v>60</v>
      </c>
      <c r="Y183" s="76">
        <f>OrdersTable[[#This Row],[Net Revenue]]-OrdersTable[[#This Row],[COGS]]-OrdersTable[[#This Row],[Shipping Cost]]</f>
        <v>218.55</v>
      </c>
      <c r="Z183" s="78">
        <f>IFERROR(OrdersTable[[#This Row],[Profit]]/OrdersTable[[#This Row],[Net Revenue]],0)</f>
        <v>0.51236666275934828</v>
      </c>
      <c r="AA183" t="s">
        <v>18</v>
      </c>
      <c r="AB183" s="79">
        <v>45324</v>
      </c>
      <c r="AC183">
        <f>OrdersTable[[#This Row],[Delivery Date]]-OrdersTable[[#This Row],[Order Date]]</f>
        <v>2</v>
      </c>
      <c r="AD183" t="str">
        <f>IF(OrdersTable[[#This Row],[Delivery Days]]&lt;=2, "Express (≤2d)", IF(OrdersTable[[#This Row],[Delivery Days]]&lt;=4, "Standard (3-4d)", "Delayed (5d+)"))</f>
        <v>Express (≤2d)</v>
      </c>
      <c r="AE183">
        <v>4</v>
      </c>
      <c r="AF183">
        <v>0</v>
      </c>
    </row>
    <row r="184" spans="1:32" ht="15" x14ac:dyDescent="0.35">
      <c r="A184" t="s">
        <v>5064</v>
      </c>
      <c r="B184" s="1">
        <v>45322</v>
      </c>
      <c r="C184">
        <f>YEAR(OrdersTable[[#This Row],[Order Date]])</f>
        <v>2024</v>
      </c>
      <c r="D184" s="2">
        <f>DATE(YEAR(OrdersTable[[#This Row],[Order Date]]),MONTH(OrdersTable[[#This Row],[Order Date]]),1)</f>
        <v>45292</v>
      </c>
      <c r="E184">
        <f>MONTH(OrdersTable[[#This Row],[Order Date]])</f>
        <v>1</v>
      </c>
      <c r="F184" t="s">
        <v>489</v>
      </c>
      <c r="G184" t="str">
        <f>IF(OrdersTable[[#This Row],[Order Date]]=_xlfn.MINIFS(Order_Date, Customer_ID, OrdersTable[[#This Row],[Customer ID]]), "New", "Repeat")</f>
        <v>New</v>
      </c>
      <c r="H184" t="s">
        <v>59</v>
      </c>
      <c r="I184" t="str">
        <f>INDEX(State!B:B,MATCH(OrdersTable[[#This Row],[State]],State!A:A,0))</f>
        <v>TN</v>
      </c>
      <c r="J184" t="str">
        <f>INDEX(State!C:C,MATCH(OrdersTable[[#This Row],[State Code]],State!B:B,0))</f>
        <v>South</v>
      </c>
      <c r="K184" t="s">
        <v>60</v>
      </c>
      <c r="L184" t="s">
        <v>23</v>
      </c>
      <c r="M184" t="s">
        <v>228</v>
      </c>
      <c r="N184" t="str">
        <f>INDEX(Products!B:B,MATCH(OrdersTable[[#This Row],[Product ID]],Products!A:A,0))</f>
        <v>Fast Charger 33W</v>
      </c>
      <c r="O184" t="str">
        <f>INDEX(Products!C:C,MATCH(OrdersTable[[#This Row],[Product ID]],Products!A:A,0))</f>
        <v>Electronics</v>
      </c>
      <c r="P184">
        <v>2</v>
      </c>
      <c r="Q184" s="5">
        <v>899</v>
      </c>
      <c r="R184" s="74">
        <v>0.15</v>
      </c>
      <c r="S184" s="75">
        <f>OrdersTable[[#This Row],[Quantity]]*OrdersTable[[#This Row],[Unit Price]]</f>
        <v>1798</v>
      </c>
      <c r="T184" s="5">
        <f>OrdersTable[[#This Row],[Gross Sale]]*OrdersTable[[#This Row],[Discount_Clean2]]</f>
        <v>269.7</v>
      </c>
      <c r="U184" s="5">
        <f>OrdersTable[[#This Row],[Gross Sale]]-OrdersTable[[#This Row],[Discount Amount]]</f>
        <v>1528.3</v>
      </c>
      <c r="V184" s="77">
        <f>INDEX(Products!E:E,MATCH(OrdersTable[[#This Row],[Product ID]],Products!A:A,0))</f>
        <v>494</v>
      </c>
      <c r="W184" s="77">
        <f>OrdersTable[[#This Row],[Quantity]]*OrdersTable[[#This Row],[Unit Cost]]</f>
        <v>988</v>
      </c>
      <c r="X184" s="77">
        <f>'Dropdown Lists'!$I$2*(1+OrdersTable[[#This Row],[Returned]])</f>
        <v>60</v>
      </c>
      <c r="Y184" s="76">
        <f>OrdersTable[[#This Row],[Net Revenue]]-OrdersTable[[#This Row],[COGS]]-OrdersTable[[#This Row],[Shipping Cost]]</f>
        <v>480.29999999999995</v>
      </c>
      <c r="Z184" s="78">
        <f>IFERROR(OrdersTable[[#This Row],[Profit]]/OrdersTable[[#This Row],[Net Revenue]],0)</f>
        <v>0.3142707583589609</v>
      </c>
      <c r="AA184" t="s">
        <v>3495</v>
      </c>
      <c r="AB184" s="79">
        <v>45326</v>
      </c>
      <c r="AC184">
        <f>OrdersTable[[#This Row],[Delivery Date]]-OrdersTable[[#This Row],[Order Date]]</f>
        <v>4</v>
      </c>
      <c r="AD184" t="str">
        <f>IF(OrdersTable[[#This Row],[Delivery Days]]&lt;=2, "Express (≤2d)", IF(OrdersTable[[#This Row],[Delivery Days]]&lt;=4, "Standard (3-4d)", "Delayed (5d+)"))</f>
        <v>Standard (3-4d)</v>
      </c>
      <c r="AE184">
        <v>3</v>
      </c>
      <c r="AF184">
        <v>0</v>
      </c>
    </row>
    <row r="185" spans="1:32" ht="15" x14ac:dyDescent="0.35">
      <c r="A185" t="s">
        <v>1621</v>
      </c>
      <c r="B185" s="1">
        <v>45322</v>
      </c>
      <c r="C185">
        <f>YEAR(OrdersTable[[#This Row],[Order Date]])</f>
        <v>2024</v>
      </c>
      <c r="D185" s="2">
        <f>DATE(YEAR(OrdersTable[[#This Row],[Order Date]]),MONTH(OrdersTable[[#This Row],[Order Date]]),1)</f>
        <v>45292</v>
      </c>
      <c r="E185">
        <f>MONTH(OrdersTable[[#This Row],[Order Date]])</f>
        <v>1</v>
      </c>
      <c r="F185" t="s">
        <v>1622</v>
      </c>
      <c r="G185" t="str">
        <f>IF(OrdersTable[[#This Row],[Order Date]]=_xlfn.MINIFS(Order_Date, Customer_ID, OrdersTable[[#This Row],[Customer ID]]), "New", "Repeat")</f>
        <v>New</v>
      </c>
      <c r="H185" t="s">
        <v>59</v>
      </c>
      <c r="I185" t="str">
        <f>INDEX(State!B:B,MATCH(OrdersTable[[#This Row],[State]],State!A:A,0))</f>
        <v>TN</v>
      </c>
      <c r="J185" t="str">
        <f>INDEX(State!C:C,MATCH(OrdersTable[[#This Row],[State Code]],State!B:B,0))</f>
        <v>South</v>
      </c>
      <c r="K185" t="s">
        <v>60</v>
      </c>
      <c r="L185" t="s">
        <v>65</v>
      </c>
      <c r="M185" t="s">
        <v>24</v>
      </c>
      <c r="N185" t="str">
        <f>INDEX(Products!B:B,MATCH(OrdersTable[[#This Row],[Product ID]],Products!A:A,0))</f>
        <v>Scented Candle Set</v>
      </c>
      <c r="O185" t="str">
        <f>INDEX(Products!C:C,MATCH(OrdersTable[[#This Row],[Product ID]],Products!A:A,0))</f>
        <v>Home &amp; Kitchen</v>
      </c>
      <c r="P185">
        <v>1</v>
      </c>
      <c r="Q185" s="5">
        <v>699</v>
      </c>
      <c r="R185" s="74">
        <v>0.2</v>
      </c>
      <c r="S185" s="75">
        <f>OrdersTable[[#This Row],[Quantity]]*OrdersTable[[#This Row],[Unit Price]]</f>
        <v>699</v>
      </c>
      <c r="T185" s="5">
        <f>OrdersTable[[#This Row],[Gross Sale]]*OrdersTable[[#This Row],[Discount_Clean2]]</f>
        <v>139.80000000000001</v>
      </c>
      <c r="U185" s="5">
        <f>OrdersTable[[#This Row],[Gross Sale]]-OrdersTable[[#This Row],[Discount Amount]]</f>
        <v>559.20000000000005</v>
      </c>
      <c r="V185" s="77">
        <f>INDEX(Products!E:E,MATCH(OrdersTable[[#This Row],[Product ID]],Products!A:A,0))</f>
        <v>245</v>
      </c>
      <c r="W185" s="77">
        <f>OrdersTable[[#This Row],[Quantity]]*OrdersTable[[#This Row],[Unit Cost]]</f>
        <v>245</v>
      </c>
      <c r="X185" s="77">
        <f>'Dropdown Lists'!$I$2*(1+OrdersTable[[#This Row],[Returned]])</f>
        <v>60</v>
      </c>
      <c r="Y185" s="76">
        <f>OrdersTable[[#This Row],[Net Revenue]]-OrdersTable[[#This Row],[COGS]]-OrdersTable[[#This Row],[Shipping Cost]]</f>
        <v>254.20000000000005</v>
      </c>
      <c r="Z185" s="78">
        <f>IFERROR(OrdersTable[[#This Row],[Profit]]/OrdersTable[[#This Row],[Net Revenue]],0)</f>
        <v>0.45457796852646642</v>
      </c>
      <c r="AA185" t="s">
        <v>18</v>
      </c>
      <c r="AB185" s="79">
        <v>45325</v>
      </c>
      <c r="AC185">
        <f>OrdersTable[[#This Row],[Delivery Date]]-OrdersTable[[#This Row],[Order Date]]</f>
        <v>3</v>
      </c>
      <c r="AD185" t="str">
        <f>IF(OrdersTable[[#This Row],[Delivery Days]]&lt;=2, "Express (≤2d)", IF(OrdersTable[[#This Row],[Delivery Days]]&lt;=4, "Standard (3-4d)", "Delayed (5d+)"))</f>
        <v>Standard (3-4d)</v>
      </c>
      <c r="AF185">
        <v>0</v>
      </c>
    </row>
    <row r="186" spans="1:32" ht="15" x14ac:dyDescent="0.35">
      <c r="A186" t="s">
        <v>5565</v>
      </c>
      <c r="B186" s="1">
        <v>45323</v>
      </c>
      <c r="C186">
        <f>YEAR(OrdersTable[[#This Row],[Order Date]])</f>
        <v>2024</v>
      </c>
      <c r="D186" s="2">
        <f>DATE(YEAR(OrdersTable[[#This Row],[Order Date]]),MONTH(OrdersTable[[#This Row],[Order Date]]),1)</f>
        <v>45323</v>
      </c>
      <c r="E186">
        <f>MONTH(OrdersTable[[#This Row],[Order Date]])</f>
        <v>2</v>
      </c>
      <c r="F186" t="s">
        <v>5566</v>
      </c>
      <c r="G186" t="str">
        <f>IF(OrdersTable[[#This Row],[Order Date]]=_xlfn.MINIFS(Order_Date, Customer_ID, OrdersTable[[#This Row],[Customer ID]]), "New", "Repeat")</f>
        <v>New</v>
      </c>
      <c r="H186" t="s">
        <v>32</v>
      </c>
      <c r="I186" t="str">
        <f>INDEX(State!B:B,MATCH(OrdersTable[[#This Row],[State]],State!A:A,0))</f>
        <v>BR</v>
      </c>
      <c r="J186" t="str">
        <f>INDEX(State!C:C,MATCH(OrdersTable[[#This Row],[State Code]],State!B:B,0))</f>
        <v>East</v>
      </c>
      <c r="K186" t="s">
        <v>33</v>
      </c>
      <c r="L186" t="s">
        <v>23</v>
      </c>
      <c r="M186" t="s">
        <v>51</v>
      </c>
      <c r="N186" t="str">
        <f>INDEX(Products!B:B,MATCH(OrdersTable[[#This Row],[Product ID]],Products!A:A,0))</f>
        <v>Anti-Dandruff Conditioner</v>
      </c>
      <c r="O186" t="str">
        <f>INDEX(Products!C:C,MATCH(OrdersTable[[#This Row],[Product ID]],Products!A:A,0))</f>
        <v>Haircare</v>
      </c>
      <c r="P186">
        <v>2</v>
      </c>
      <c r="Q186" s="5">
        <v>399</v>
      </c>
      <c r="R186" s="74">
        <v>0.35</v>
      </c>
      <c r="S186" s="75">
        <f>OrdersTable[[#This Row],[Quantity]]*OrdersTable[[#This Row],[Unit Price]]</f>
        <v>798</v>
      </c>
      <c r="T186" s="5">
        <f>OrdersTable[[#This Row],[Gross Sale]]*OrdersTable[[#This Row],[Discount_Clean2]]</f>
        <v>279.29999999999995</v>
      </c>
      <c r="U186" s="5">
        <f>OrdersTable[[#This Row],[Gross Sale]]-OrdersTable[[#This Row],[Discount Amount]]</f>
        <v>518.70000000000005</v>
      </c>
      <c r="V186" s="77">
        <f>INDEX(Products!E:E,MATCH(OrdersTable[[#This Row],[Product ID]],Products!A:A,0))</f>
        <v>136</v>
      </c>
      <c r="W186" s="77">
        <f>OrdersTable[[#This Row],[Quantity]]*OrdersTable[[#This Row],[Unit Cost]]</f>
        <v>272</v>
      </c>
      <c r="X186" s="77">
        <f>'Dropdown Lists'!$I$2*(1+OrdersTable[[#This Row],[Returned]])</f>
        <v>60</v>
      </c>
      <c r="Y186" s="76">
        <f>OrdersTable[[#This Row],[Net Revenue]]-OrdersTable[[#This Row],[COGS]]-OrdersTable[[#This Row],[Shipping Cost]]</f>
        <v>186.70000000000005</v>
      </c>
      <c r="Z186" s="78">
        <f>IFERROR(OrdersTable[[#This Row],[Profit]]/OrdersTable[[#This Row],[Net Revenue]],0)</f>
        <v>0.35993830730672843</v>
      </c>
      <c r="AA186" t="s">
        <v>2522</v>
      </c>
      <c r="AB186" s="79">
        <v>45327</v>
      </c>
      <c r="AC186">
        <f>OrdersTable[[#This Row],[Delivery Date]]-OrdersTable[[#This Row],[Order Date]]</f>
        <v>4</v>
      </c>
      <c r="AD186" t="str">
        <f>IF(OrdersTable[[#This Row],[Delivery Days]]&lt;=2, "Express (≤2d)", IF(OrdersTable[[#This Row],[Delivery Days]]&lt;=4, "Standard (3-4d)", "Delayed (5d+)"))</f>
        <v>Standard (3-4d)</v>
      </c>
      <c r="AE186">
        <v>5</v>
      </c>
      <c r="AF186">
        <v>0</v>
      </c>
    </row>
    <row r="187" spans="1:32" ht="15" x14ac:dyDescent="0.35">
      <c r="A187" t="s">
        <v>6939</v>
      </c>
      <c r="B187" s="1">
        <v>45323</v>
      </c>
      <c r="C187">
        <f>YEAR(OrdersTable[[#This Row],[Order Date]])</f>
        <v>2024</v>
      </c>
      <c r="D187" s="2">
        <f>DATE(YEAR(OrdersTable[[#This Row],[Order Date]]),MONTH(OrdersTable[[#This Row],[Order Date]]),1)</f>
        <v>45323</v>
      </c>
      <c r="E187">
        <f>MONTH(OrdersTable[[#This Row],[Order Date]])</f>
        <v>2</v>
      </c>
      <c r="F187" t="s">
        <v>2098</v>
      </c>
      <c r="G187" t="str">
        <f>IF(OrdersTable[[#This Row],[Order Date]]=_xlfn.MINIFS(Order_Date, Customer_ID, OrdersTable[[#This Row],[Customer ID]]), "New", "Repeat")</f>
        <v>New</v>
      </c>
      <c r="H187" t="s">
        <v>27</v>
      </c>
      <c r="I187" t="str">
        <f>INDEX(State!B:B,MATCH(OrdersTable[[#This Row],[State]],State!A:A,0))</f>
        <v>WB</v>
      </c>
      <c r="J187" t="str">
        <f>INDEX(State!C:C,MATCH(OrdersTable[[#This Row],[State Code]],State!B:B,0))</f>
        <v>East</v>
      </c>
      <c r="K187" t="s">
        <v>28</v>
      </c>
      <c r="L187" t="s">
        <v>39</v>
      </c>
      <c r="M187" t="s">
        <v>66</v>
      </c>
      <c r="N187" t="str">
        <f>INDEX(Products!B:B,MATCH(OrdersTable[[#This Row],[Product ID]],Products!A:A,0))</f>
        <v>Sunscreen SPF 50</v>
      </c>
      <c r="O187" t="str">
        <f>INDEX(Products!C:C,MATCH(OrdersTable[[#This Row],[Product ID]],Products!A:A,0))</f>
        <v>Skincare</v>
      </c>
      <c r="P187">
        <v>4</v>
      </c>
      <c r="Q187" s="5">
        <v>449</v>
      </c>
      <c r="R187" s="74">
        <v>0.05</v>
      </c>
      <c r="S187" s="75">
        <f>OrdersTable[[#This Row],[Quantity]]*OrdersTable[[#This Row],[Unit Price]]</f>
        <v>1796</v>
      </c>
      <c r="T187" s="5">
        <f>OrdersTable[[#This Row],[Gross Sale]]*OrdersTable[[#This Row],[Discount_Clean2]]</f>
        <v>89.800000000000011</v>
      </c>
      <c r="U187" s="5">
        <f>OrdersTable[[#This Row],[Gross Sale]]-OrdersTable[[#This Row],[Discount Amount]]</f>
        <v>1706.2</v>
      </c>
      <c r="V187" s="77">
        <f>INDEX(Products!E:E,MATCH(OrdersTable[[#This Row],[Product ID]],Products!A:A,0))</f>
        <v>144</v>
      </c>
      <c r="W187" s="77">
        <f>OrdersTable[[#This Row],[Quantity]]*OrdersTable[[#This Row],[Unit Cost]]</f>
        <v>576</v>
      </c>
      <c r="X187" s="77">
        <f>'Dropdown Lists'!$I$2*(1+OrdersTable[[#This Row],[Returned]])</f>
        <v>60</v>
      </c>
      <c r="Y187" s="76">
        <f>OrdersTable[[#This Row],[Net Revenue]]-OrdersTable[[#This Row],[COGS]]-OrdersTable[[#This Row],[Shipping Cost]]</f>
        <v>1070.2</v>
      </c>
      <c r="Z187" s="78">
        <f>IFERROR(OrdersTable[[#This Row],[Profit]]/OrdersTable[[#This Row],[Net Revenue]],0)</f>
        <v>0.62724182393623262</v>
      </c>
      <c r="AA187" t="s">
        <v>3495</v>
      </c>
      <c r="AB187" s="79">
        <v>45328</v>
      </c>
      <c r="AC187">
        <f>OrdersTable[[#This Row],[Delivery Date]]-OrdersTable[[#This Row],[Order Date]]</f>
        <v>5</v>
      </c>
      <c r="AD187" t="str">
        <f>IF(OrdersTable[[#This Row],[Delivery Days]]&lt;=2, "Express (≤2d)", IF(OrdersTable[[#This Row],[Delivery Days]]&lt;=4, "Standard (3-4d)", "Delayed (5d+)"))</f>
        <v>Delayed (5d+)</v>
      </c>
      <c r="AE187">
        <v>3</v>
      </c>
      <c r="AF187">
        <v>0</v>
      </c>
    </row>
    <row r="188" spans="1:32" ht="15" x14ac:dyDescent="0.35">
      <c r="A188" t="s">
        <v>4213</v>
      </c>
      <c r="B188" s="1">
        <v>45323</v>
      </c>
      <c r="C188">
        <f>YEAR(OrdersTable[[#This Row],[Order Date]])</f>
        <v>2024</v>
      </c>
      <c r="D188" s="2">
        <f>DATE(YEAR(OrdersTable[[#This Row],[Order Date]]),MONTH(OrdersTable[[#This Row],[Order Date]]),1)</f>
        <v>45323</v>
      </c>
      <c r="E188">
        <f>MONTH(OrdersTable[[#This Row],[Order Date]])</f>
        <v>2</v>
      </c>
      <c r="F188" t="s">
        <v>1576</v>
      </c>
      <c r="G188" t="str">
        <f>IF(OrdersTable[[#This Row],[Order Date]]=_xlfn.MINIFS(Order_Date, Customer_ID, OrdersTable[[#This Row],[Customer ID]]), "New", "Repeat")</f>
        <v>New</v>
      </c>
      <c r="H188" t="s">
        <v>27</v>
      </c>
      <c r="I188" t="str">
        <f>INDEX(State!B:B,MATCH(OrdersTable[[#This Row],[State]],State!A:A,0))</f>
        <v>WB</v>
      </c>
      <c r="J188" t="str">
        <f>INDEX(State!C:C,MATCH(OrdersTable[[#This Row],[State Code]],State!B:B,0))</f>
        <v>East</v>
      </c>
      <c r="K188" t="s">
        <v>28</v>
      </c>
      <c r="L188" t="s">
        <v>50</v>
      </c>
      <c r="M188" t="s">
        <v>61</v>
      </c>
      <c r="N188" t="str">
        <f>INDEX(Products!B:B,MATCH(OrdersTable[[#This Row],[Product ID]],Products!A:A,0))</f>
        <v>Multivitamin Gummies</v>
      </c>
      <c r="O188" t="str">
        <f>INDEX(Products!C:C,MATCH(OrdersTable[[#This Row],[Product ID]],Products!A:A,0))</f>
        <v>Wellness</v>
      </c>
      <c r="P188">
        <v>1</v>
      </c>
      <c r="Q188" s="5">
        <v>699</v>
      </c>
      <c r="R188" s="74">
        <v>0.2</v>
      </c>
      <c r="S188" s="75">
        <f>OrdersTable[[#This Row],[Quantity]]*OrdersTable[[#This Row],[Unit Price]]</f>
        <v>699</v>
      </c>
      <c r="T188" s="5">
        <f>OrdersTable[[#This Row],[Gross Sale]]*OrdersTable[[#This Row],[Discount_Clean2]]</f>
        <v>139.80000000000001</v>
      </c>
      <c r="U188" s="5">
        <f>OrdersTable[[#This Row],[Gross Sale]]-OrdersTable[[#This Row],[Discount Amount]]</f>
        <v>559.20000000000005</v>
      </c>
      <c r="V188" s="77">
        <f>INDEX(Products!E:E,MATCH(OrdersTable[[#This Row],[Product ID]],Products!A:A,0))</f>
        <v>238</v>
      </c>
      <c r="W188" s="77">
        <f>OrdersTable[[#This Row],[Quantity]]*OrdersTable[[#This Row],[Unit Cost]]</f>
        <v>238</v>
      </c>
      <c r="X188" s="77">
        <f>'Dropdown Lists'!$I$2*(1+OrdersTable[[#This Row],[Returned]])</f>
        <v>60</v>
      </c>
      <c r="Y188" s="76">
        <f>OrdersTable[[#This Row],[Net Revenue]]-OrdersTable[[#This Row],[COGS]]-OrdersTable[[#This Row],[Shipping Cost]]</f>
        <v>261.20000000000005</v>
      </c>
      <c r="Z188" s="78">
        <f>IFERROR(OrdersTable[[#This Row],[Profit]]/OrdersTable[[#This Row],[Net Revenue]],0)</f>
        <v>0.46709585121602293</v>
      </c>
      <c r="AA188" t="s">
        <v>4074</v>
      </c>
      <c r="AB188" s="79">
        <v>45326</v>
      </c>
      <c r="AC188">
        <f>OrdersTable[[#This Row],[Delivery Date]]-OrdersTable[[#This Row],[Order Date]]</f>
        <v>3</v>
      </c>
      <c r="AD188" t="str">
        <f>IF(OrdersTable[[#This Row],[Delivery Days]]&lt;=2, "Express (≤2d)", IF(OrdersTable[[#This Row],[Delivery Days]]&lt;=4, "Standard (3-4d)", "Delayed (5d+)"))</f>
        <v>Standard (3-4d)</v>
      </c>
      <c r="AF188">
        <v>0</v>
      </c>
    </row>
    <row r="189" spans="1:32" ht="15" x14ac:dyDescent="0.35">
      <c r="A189" t="s">
        <v>1329</v>
      </c>
      <c r="B189" s="1">
        <v>45323</v>
      </c>
      <c r="C189">
        <f>YEAR(OrdersTable[[#This Row],[Order Date]])</f>
        <v>2024</v>
      </c>
      <c r="D189" s="2">
        <f>DATE(YEAR(OrdersTable[[#This Row],[Order Date]]),MONTH(OrdersTable[[#This Row],[Order Date]]),1)</f>
        <v>45323</v>
      </c>
      <c r="E189">
        <f>MONTH(OrdersTable[[#This Row],[Order Date]])</f>
        <v>2</v>
      </c>
      <c r="F189" t="s">
        <v>1330</v>
      </c>
      <c r="G189" t="str">
        <f>IF(OrdersTable[[#This Row],[Order Date]]=_xlfn.MINIFS(Order_Date, Customer_ID, OrdersTable[[#This Row],[Customer ID]]), "New", "Repeat")</f>
        <v>New</v>
      </c>
      <c r="H189" t="s">
        <v>14</v>
      </c>
      <c r="I189" t="str">
        <f>INDEX(State!B:B,MATCH(OrdersTable[[#This Row],[State]],State!A:A,0))</f>
        <v>OD</v>
      </c>
      <c r="J189" t="str">
        <f>INDEX(State!C:C,MATCH(OrdersTable[[#This Row],[State Code]],State!B:B,0))</f>
        <v>East</v>
      </c>
      <c r="K189" t="s">
        <v>15</v>
      </c>
      <c r="L189" t="s">
        <v>23</v>
      </c>
      <c r="M189" t="s">
        <v>40</v>
      </c>
      <c r="N189" t="str">
        <f>INDEX(Products!B:B,MATCH(OrdersTable[[#This Row],[Product ID]],Products!A:A,0))</f>
        <v>Ashwagandha Capsules</v>
      </c>
      <c r="O189" t="str">
        <f>INDEX(Products!C:C,MATCH(OrdersTable[[#This Row],[Product ID]],Products!A:A,0))</f>
        <v>Wellness</v>
      </c>
      <c r="P189">
        <v>1</v>
      </c>
      <c r="Q189" s="5">
        <v>499</v>
      </c>
      <c r="R189" s="74">
        <v>0.05</v>
      </c>
      <c r="S189" s="75">
        <f>OrdersTable[[#This Row],[Quantity]]*OrdersTable[[#This Row],[Unit Price]]</f>
        <v>499</v>
      </c>
      <c r="T189" s="5">
        <f>OrdersTable[[#This Row],[Gross Sale]]*OrdersTable[[#This Row],[Discount_Clean2]]</f>
        <v>24.950000000000003</v>
      </c>
      <c r="U189" s="5">
        <f>OrdersTable[[#This Row],[Gross Sale]]-OrdersTable[[#This Row],[Discount Amount]]</f>
        <v>474.05</v>
      </c>
      <c r="V189" s="77">
        <f>INDEX(Products!E:E,MATCH(OrdersTable[[#This Row],[Product ID]],Products!A:A,0))</f>
        <v>150</v>
      </c>
      <c r="W189" s="77">
        <f>OrdersTable[[#This Row],[Quantity]]*OrdersTable[[#This Row],[Unit Cost]]</f>
        <v>150</v>
      </c>
      <c r="X189" s="77">
        <f>'Dropdown Lists'!$I$2*(1+OrdersTable[[#This Row],[Returned]])</f>
        <v>60</v>
      </c>
      <c r="Y189" s="76">
        <f>OrdersTable[[#This Row],[Net Revenue]]-OrdersTable[[#This Row],[COGS]]-OrdersTable[[#This Row],[Shipping Cost]]</f>
        <v>264.05</v>
      </c>
      <c r="Z189" s="78">
        <f>IFERROR(OrdersTable[[#This Row],[Profit]]/OrdersTable[[#This Row],[Net Revenue]],0)</f>
        <v>0.55700875435080688</v>
      </c>
      <c r="AA189" t="s">
        <v>18</v>
      </c>
      <c r="AB189" s="79">
        <v>45328</v>
      </c>
      <c r="AC189">
        <f>OrdersTable[[#This Row],[Delivery Date]]-OrdersTable[[#This Row],[Order Date]]</f>
        <v>5</v>
      </c>
      <c r="AD189" t="str">
        <f>IF(OrdersTable[[#This Row],[Delivery Days]]&lt;=2, "Express (≤2d)", IF(OrdersTable[[#This Row],[Delivery Days]]&lt;=4, "Standard (3-4d)", "Delayed (5d+)"))</f>
        <v>Delayed (5d+)</v>
      </c>
      <c r="AF189">
        <v>0</v>
      </c>
    </row>
    <row r="190" spans="1:32" ht="15" x14ac:dyDescent="0.35">
      <c r="A190" t="s">
        <v>3706</v>
      </c>
      <c r="B190" s="1">
        <v>45324</v>
      </c>
      <c r="C190">
        <f>YEAR(OrdersTable[[#This Row],[Order Date]])</f>
        <v>2024</v>
      </c>
      <c r="D190" s="2">
        <f>DATE(YEAR(OrdersTable[[#This Row],[Order Date]]),MONTH(OrdersTable[[#This Row],[Order Date]]),1)</f>
        <v>45323</v>
      </c>
      <c r="E190">
        <f>MONTH(OrdersTable[[#This Row],[Order Date]])</f>
        <v>2</v>
      </c>
      <c r="F190" t="s">
        <v>3707</v>
      </c>
      <c r="G190" t="str">
        <f>IF(OrdersTable[[#This Row],[Order Date]]=_xlfn.MINIFS(Order_Date, Customer_ID, OrdersTable[[#This Row],[Customer ID]]), "New", "Repeat")</f>
        <v>New</v>
      </c>
      <c r="H190" t="s">
        <v>128</v>
      </c>
      <c r="I190" t="str">
        <f>INDEX(State!B:B,MATCH(OrdersTable[[#This Row],[State]],State!A:A,0))</f>
        <v>DL</v>
      </c>
      <c r="J190" t="str">
        <f>INDEX(State!C:C,MATCH(OrdersTable[[#This Row],[State Code]],State!B:B,0))</f>
        <v>North</v>
      </c>
      <c r="K190" t="s">
        <v>129</v>
      </c>
      <c r="L190" t="s">
        <v>50</v>
      </c>
      <c r="M190" t="s">
        <v>160</v>
      </c>
      <c r="N190" t="str">
        <f>INDEX(Products!B:B,MATCH(OrdersTable[[#This Row],[Product ID]],Products!A:A,0))</f>
        <v>Niacinamide Toner</v>
      </c>
      <c r="O190" t="str">
        <f>INDEX(Products!C:C,MATCH(OrdersTable[[#This Row],[Product ID]],Products!A:A,0))</f>
        <v>Skincare</v>
      </c>
      <c r="P190">
        <v>1</v>
      </c>
      <c r="Q190" s="5">
        <v>399</v>
      </c>
      <c r="R190" s="74">
        <v>0.2</v>
      </c>
      <c r="S190" s="75">
        <f>OrdersTable[[#This Row],[Quantity]]*OrdersTable[[#This Row],[Unit Price]]</f>
        <v>399</v>
      </c>
      <c r="T190" s="5">
        <f>OrdersTable[[#This Row],[Gross Sale]]*OrdersTable[[#This Row],[Discount_Clean2]]</f>
        <v>79.800000000000011</v>
      </c>
      <c r="U190" s="5">
        <f>OrdersTable[[#This Row],[Gross Sale]]-OrdersTable[[#This Row],[Discount Amount]]</f>
        <v>319.2</v>
      </c>
      <c r="V190" s="77">
        <f>INDEX(Products!E:E,MATCH(OrdersTable[[#This Row],[Product ID]],Products!A:A,0))</f>
        <v>112</v>
      </c>
      <c r="W190" s="77">
        <f>OrdersTable[[#This Row],[Quantity]]*OrdersTable[[#This Row],[Unit Cost]]</f>
        <v>112</v>
      </c>
      <c r="X190" s="77">
        <f>'Dropdown Lists'!$I$2*(1+OrdersTable[[#This Row],[Returned]])</f>
        <v>60</v>
      </c>
      <c r="Y190" s="76">
        <f>OrdersTable[[#This Row],[Net Revenue]]-OrdersTable[[#This Row],[COGS]]-OrdersTable[[#This Row],[Shipping Cost]]</f>
        <v>147.19999999999999</v>
      </c>
      <c r="Z190" s="78">
        <f>IFERROR(OrdersTable[[#This Row],[Profit]]/OrdersTable[[#This Row],[Net Revenue]],0)</f>
        <v>0.46115288220551376</v>
      </c>
      <c r="AA190" t="s">
        <v>3495</v>
      </c>
      <c r="AB190" s="79">
        <v>45325</v>
      </c>
      <c r="AC190">
        <f>OrdersTable[[#This Row],[Delivery Date]]-OrdersTable[[#This Row],[Order Date]]</f>
        <v>1</v>
      </c>
      <c r="AD190" t="str">
        <f>IF(OrdersTable[[#This Row],[Delivery Days]]&lt;=2, "Express (≤2d)", IF(OrdersTable[[#This Row],[Delivery Days]]&lt;=4, "Standard (3-4d)", "Delayed (5d+)"))</f>
        <v>Express (≤2d)</v>
      </c>
      <c r="AF190">
        <v>0</v>
      </c>
    </row>
    <row r="191" spans="1:32" ht="15" x14ac:dyDescent="0.35">
      <c r="A191" t="s">
        <v>7047</v>
      </c>
      <c r="B191" s="1">
        <v>45324</v>
      </c>
      <c r="C191">
        <f>YEAR(OrdersTable[[#This Row],[Order Date]])</f>
        <v>2024</v>
      </c>
      <c r="D191" s="2">
        <f>DATE(YEAR(OrdersTable[[#This Row],[Order Date]]),MONTH(OrdersTable[[#This Row],[Order Date]]),1)</f>
        <v>45323</v>
      </c>
      <c r="E191">
        <f>MONTH(OrdersTable[[#This Row],[Order Date]])</f>
        <v>2</v>
      </c>
      <c r="F191" t="s">
        <v>2605</v>
      </c>
      <c r="G191" t="str">
        <f>IF(OrdersTable[[#This Row],[Order Date]]=_xlfn.MINIFS(Order_Date, Customer_ID, OrdersTable[[#This Row],[Customer ID]]), "New", "Repeat")</f>
        <v>New</v>
      </c>
      <c r="H191" t="s">
        <v>43</v>
      </c>
      <c r="I191" t="str">
        <f>INDEX(State!B:B,MATCH(OrdersTable[[#This Row],[State]],State!A:A,0))</f>
        <v>MP</v>
      </c>
      <c r="J191" t="str">
        <f>INDEX(State!C:C,MATCH(OrdersTable[[#This Row],[State Code]],State!B:B,0))</f>
        <v>West</v>
      </c>
      <c r="K191" t="s">
        <v>250</v>
      </c>
      <c r="L191" t="s">
        <v>39</v>
      </c>
      <c r="M191" t="s">
        <v>576</v>
      </c>
      <c r="N191" t="str">
        <f>INDEX(Products!B:B,MATCH(OrdersTable[[#This Row],[Product ID]],Products!A:A,0))</f>
        <v>Printed Saree</v>
      </c>
      <c r="O191" t="str">
        <f>INDEX(Products!C:C,MATCH(OrdersTable[[#This Row],[Product ID]],Products!A:A,0))</f>
        <v>Apparel</v>
      </c>
      <c r="P191">
        <v>4</v>
      </c>
      <c r="Q191" s="5">
        <v>1999</v>
      </c>
      <c r="R191" s="74">
        <v>0.05</v>
      </c>
      <c r="S191" s="75">
        <f>OrdersTable[[#This Row],[Quantity]]*OrdersTable[[#This Row],[Unit Price]]</f>
        <v>7996</v>
      </c>
      <c r="T191" s="5">
        <f>OrdersTable[[#This Row],[Gross Sale]]*OrdersTable[[#This Row],[Discount_Clean2]]</f>
        <v>399.8</v>
      </c>
      <c r="U191" s="5">
        <f>OrdersTable[[#This Row],[Gross Sale]]-OrdersTable[[#This Row],[Discount Amount]]</f>
        <v>7596.2</v>
      </c>
      <c r="V191" s="77">
        <f>INDEX(Products!E:E,MATCH(OrdersTable[[#This Row],[Product ID]],Products!A:A,0))</f>
        <v>880</v>
      </c>
      <c r="W191" s="77">
        <f>OrdersTable[[#This Row],[Quantity]]*OrdersTable[[#This Row],[Unit Cost]]</f>
        <v>3520</v>
      </c>
      <c r="X191" s="77">
        <f>'Dropdown Lists'!$I$2*(1+OrdersTable[[#This Row],[Returned]])</f>
        <v>60</v>
      </c>
      <c r="Y191" s="76">
        <f>OrdersTable[[#This Row],[Net Revenue]]-OrdersTable[[#This Row],[COGS]]-OrdersTable[[#This Row],[Shipping Cost]]</f>
        <v>4016.2</v>
      </c>
      <c r="Z191" s="78">
        <f>IFERROR(OrdersTable[[#This Row],[Profit]]/OrdersTable[[#This Row],[Net Revenue]],0)</f>
        <v>0.52871172428319424</v>
      </c>
      <c r="AA191" t="s">
        <v>18</v>
      </c>
      <c r="AB191" s="79">
        <v>45327</v>
      </c>
      <c r="AC191">
        <f>OrdersTable[[#This Row],[Delivery Date]]-OrdersTable[[#This Row],[Order Date]]</f>
        <v>3</v>
      </c>
      <c r="AD191" t="str">
        <f>IF(OrdersTable[[#This Row],[Delivery Days]]&lt;=2, "Express (≤2d)", IF(OrdersTable[[#This Row],[Delivery Days]]&lt;=4, "Standard (3-4d)", "Delayed (5d+)"))</f>
        <v>Standard (3-4d)</v>
      </c>
      <c r="AE191">
        <v>3</v>
      </c>
      <c r="AF191">
        <v>0</v>
      </c>
    </row>
    <row r="192" spans="1:32" ht="15" x14ac:dyDescent="0.35">
      <c r="A192" t="s">
        <v>4452</v>
      </c>
      <c r="B192" s="1">
        <v>45324</v>
      </c>
      <c r="C192">
        <f>YEAR(OrdersTable[[#This Row],[Order Date]])</f>
        <v>2024</v>
      </c>
      <c r="D192" s="2">
        <f>DATE(YEAR(OrdersTable[[#This Row],[Order Date]]),MONTH(OrdersTable[[#This Row],[Order Date]]),1)</f>
        <v>45323</v>
      </c>
      <c r="E192">
        <f>MONTH(OrdersTable[[#This Row],[Order Date]])</f>
        <v>2</v>
      </c>
      <c r="F192" t="s">
        <v>4430</v>
      </c>
      <c r="G192" t="str">
        <f>IF(OrdersTable[[#This Row],[Order Date]]=_xlfn.MINIFS(Order_Date, Customer_ID, OrdersTable[[#This Row],[Customer ID]]), "New", "Repeat")</f>
        <v>New</v>
      </c>
      <c r="H192" t="s">
        <v>71</v>
      </c>
      <c r="I192" t="str">
        <f>INDEX(State!B:B,MATCH(OrdersTable[[#This Row],[State]],State!A:A,0))</f>
        <v>MH</v>
      </c>
      <c r="J192" t="str">
        <f>INDEX(State!C:C,MATCH(OrdersTable[[#This Row],[State Code]],State!B:B,0))</f>
        <v>West</v>
      </c>
      <c r="K192" t="s">
        <v>81</v>
      </c>
      <c r="L192" t="s">
        <v>23</v>
      </c>
      <c r="M192" t="s">
        <v>29</v>
      </c>
      <c r="N192" t="str">
        <f>INDEX(Products!B:B,MATCH(OrdersTable[[#This Row],[Product ID]],Products!A:A,0))</f>
        <v>Joggers</v>
      </c>
      <c r="O192" t="str">
        <f>INDEX(Products!C:C,MATCH(OrdersTable[[#This Row],[Product ID]],Products!A:A,0))</f>
        <v>Apparel</v>
      </c>
      <c r="P192">
        <v>1</v>
      </c>
      <c r="Q192" s="5">
        <v>1199</v>
      </c>
      <c r="R192" s="74">
        <v>0.15</v>
      </c>
      <c r="S192" s="75">
        <f>OrdersTable[[#This Row],[Quantity]]*OrdersTable[[#This Row],[Unit Price]]</f>
        <v>1199</v>
      </c>
      <c r="T192" s="5">
        <f>OrdersTable[[#This Row],[Gross Sale]]*OrdersTable[[#This Row],[Discount_Clean2]]</f>
        <v>179.85</v>
      </c>
      <c r="U192" s="5">
        <f>OrdersTable[[#This Row],[Gross Sale]]-OrdersTable[[#This Row],[Discount Amount]]</f>
        <v>1019.15</v>
      </c>
      <c r="V192" s="77">
        <f>INDEX(Products!E:E,MATCH(OrdersTable[[#This Row],[Product ID]],Products!A:A,0))</f>
        <v>492</v>
      </c>
      <c r="W192" s="77">
        <f>OrdersTable[[#This Row],[Quantity]]*OrdersTable[[#This Row],[Unit Cost]]</f>
        <v>492</v>
      </c>
      <c r="X192" s="77">
        <f>'Dropdown Lists'!$I$2*(1+OrdersTable[[#This Row],[Returned]])</f>
        <v>60</v>
      </c>
      <c r="Y192" s="76">
        <f>OrdersTable[[#This Row],[Net Revenue]]-OrdersTable[[#This Row],[COGS]]-OrdersTable[[#This Row],[Shipping Cost]]</f>
        <v>467.15</v>
      </c>
      <c r="Z192" s="78">
        <f>IFERROR(OrdersTable[[#This Row],[Profit]]/OrdersTable[[#This Row],[Net Revenue]],0)</f>
        <v>0.45837217288917231</v>
      </c>
      <c r="AA192" t="s">
        <v>4450</v>
      </c>
      <c r="AB192" s="79">
        <v>45327</v>
      </c>
      <c r="AC192">
        <f>OrdersTable[[#This Row],[Delivery Date]]-OrdersTable[[#This Row],[Order Date]]</f>
        <v>3</v>
      </c>
      <c r="AD192" t="str">
        <f>IF(OrdersTable[[#This Row],[Delivery Days]]&lt;=2, "Express (≤2d)", IF(OrdersTable[[#This Row],[Delivery Days]]&lt;=4, "Standard (3-4d)", "Delayed (5d+)"))</f>
        <v>Standard (3-4d)</v>
      </c>
      <c r="AE192">
        <v>4</v>
      </c>
      <c r="AF192">
        <v>0</v>
      </c>
    </row>
    <row r="193" spans="1:32" ht="15" x14ac:dyDescent="0.35">
      <c r="A193" t="s">
        <v>1467</v>
      </c>
      <c r="B193" s="1">
        <v>45325</v>
      </c>
      <c r="C193">
        <f>YEAR(OrdersTable[[#This Row],[Order Date]])</f>
        <v>2024</v>
      </c>
      <c r="D193" s="2">
        <f>DATE(YEAR(OrdersTable[[#This Row],[Order Date]]),MONTH(OrdersTable[[#This Row],[Order Date]]),1)</f>
        <v>45323</v>
      </c>
      <c r="E193">
        <f>MONTH(OrdersTable[[#This Row],[Order Date]])</f>
        <v>2</v>
      </c>
      <c r="F193" t="s">
        <v>1468</v>
      </c>
      <c r="G193" t="str">
        <f>IF(OrdersTable[[#This Row],[Order Date]]=_xlfn.MINIFS(Order_Date, Customer_ID, OrdersTable[[#This Row],[Customer ID]]), "New", "Repeat")</f>
        <v>New</v>
      </c>
      <c r="H193" t="s">
        <v>43</v>
      </c>
      <c r="I193" t="str">
        <f>INDEX(State!B:B,MATCH(OrdersTable[[#This Row],[State]],State!A:A,0))</f>
        <v>MP</v>
      </c>
      <c r="J193" t="str">
        <f>INDEX(State!C:C,MATCH(OrdersTable[[#This Row],[State Code]],State!B:B,0))</f>
        <v>West</v>
      </c>
      <c r="K193" t="s">
        <v>250</v>
      </c>
      <c r="L193" t="s">
        <v>39</v>
      </c>
      <c r="M193" t="s">
        <v>66</v>
      </c>
      <c r="N193" t="str">
        <f>INDEX(Products!B:B,MATCH(OrdersTable[[#This Row],[Product ID]],Products!A:A,0))</f>
        <v>Sunscreen SPF 50</v>
      </c>
      <c r="O193" t="str">
        <f>INDEX(Products!C:C,MATCH(OrdersTable[[#This Row],[Product ID]],Products!A:A,0))</f>
        <v>Skincare</v>
      </c>
      <c r="P193">
        <v>1</v>
      </c>
      <c r="Q193" s="5">
        <v>449</v>
      </c>
      <c r="R193" s="74">
        <v>0</v>
      </c>
      <c r="S193" s="75">
        <f>OrdersTable[[#This Row],[Quantity]]*OrdersTable[[#This Row],[Unit Price]]</f>
        <v>449</v>
      </c>
      <c r="T193" s="5">
        <f>OrdersTable[[#This Row],[Gross Sale]]*OrdersTable[[#This Row],[Discount_Clean2]]</f>
        <v>0</v>
      </c>
      <c r="U193" s="5">
        <f>OrdersTable[[#This Row],[Gross Sale]]-OrdersTable[[#This Row],[Discount Amount]]</f>
        <v>449</v>
      </c>
      <c r="V193" s="77">
        <f>INDEX(Products!E:E,MATCH(OrdersTable[[#This Row],[Product ID]],Products!A:A,0))</f>
        <v>144</v>
      </c>
      <c r="W193" s="77">
        <f>OrdersTable[[#This Row],[Quantity]]*OrdersTable[[#This Row],[Unit Cost]]</f>
        <v>144</v>
      </c>
      <c r="X193" s="77">
        <f>'Dropdown Lists'!$I$2*(1+OrdersTable[[#This Row],[Returned]])</f>
        <v>60</v>
      </c>
      <c r="Y193" s="76">
        <f>OrdersTable[[#This Row],[Net Revenue]]-OrdersTable[[#This Row],[COGS]]-OrdersTable[[#This Row],[Shipping Cost]]</f>
        <v>245</v>
      </c>
      <c r="Z193" s="78">
        <f>IFERROR(OrdersTable[[#This Row],[Profit]]/OrdersTable[[#This Row],[Net Revenue]],0)</f>
        <v>0.54565701559020041</v>
      </c>
      <c r="AA193" t="s">
        <v>18</v>
      </c>
      <c r="AB193" s="79">
        <v>45329</v>
      </c>
      <c r="AC193">
        <f>OrdersTable[[#This Row],[Delivery Date]]-OrdersTable[[#This Row],[Order Date]]</f>
        <v>4</v>
      </c>
      <c r="AD193" t="str">
        <f>IF(OrdersTable[[#This Row],[Delivery Days]]&lt;=2, "Express (≤2d)", IF(OrdersTable[[#This Row],[Delivery Days]]&lt;=4, "Standard (3-4d)", "Delayed (5d+)"))</f>
        <v>Standard (3-4d)</v>
      </c>
      <c r="AF193">
        <v>0</v>
      </c>
    </row>
    <row r="194" spans="1:32" ht="15" x14ac:dyDescent="0.35">
      <c r="A194" t="s">
        <v>6252</v>
      </c>
      <c r="B194" s="1">
        <v>45325</v>
      </c>
      <c r="C194">
        <f>YEAR(OrdersTable[[#This Row],[Order Date]])</f>
        <v>2024</v>
      </c>
      <c r="D194" s="2">
        <f>DATE(YEAR(OrdersTable[[#This Row],[Order Date]]),MONTH(OrdersTable[[#This Row],[Order Date]]),1)</f>
        <v>45323</v>
      </c>
      <c r="E194">
        <f>MONTH(OrdersTable[[#This Row],[Order Date]])</f>
        <v>2</v>
      </c>
      <c r="F194" t="s">
        <v>564</v>
      </c>
      <c r="G194" t="str">
        <f>IF(OrdersTable[[#This Row],[Order Date]]=_xlfn.MINIFS(Order_Date, Customer_ID, OrdersTable[[#This Row],[Customer ID]]), "New", "Repeat")</f>
        <v>New</v>
      </c>
      <c r="H194" t="s">
        <v>71</v>
      </c>
      <c r="I194" t="str">
        <f>INDEX(State!B:B,MATCH(OrdersTable[[#This Row],[State]],State!A:A,0))</f>
        <v>MH</v>
      </c>
      <c r="J194" t="str">
        <f>INDEX(State!C:C,MATCH(OrdersTable[[#This Row],[State Code]],State!B:B,0))</f>
        <v>West</v>
      </c>
      <c r="K194" t="s">
        <v>72</v>
      </c>
      <c r="L194" t="s">
        <v>65</v>
      </c>
      <c r="M194" t="s">
        <v>34</v>
      </c>
      <c r="N194" t="str">
        <f>INDEX(Products!B:B,MATCH(OrdersTable[[#This Row],[Product ID]],Products!A:A,0))</f>
        <v>Flip Flops</v>
      </c>
      <c r="O194" t="str">
        <f>INDEX(Products!C:C,MATCH(OrdersTable[[#This Row],[Product ID]],Products!A:A,0))</f>
        <v>Footwear</v>
      </c>
      <c r="P194">
        <v>2</v>
      </c>
      <c r="Q194" s="5">
        <v>399</v>
      </c>
      <c r="R194" s="74">
        <v>0.05</v>
      </c>
      <c r="S194" s="75">
        <f>OrdersTable[[#This Row],[Quantity]]*OrdersTable[[#This Row],[Unit Price]]</f>
        <v>798</v>
      </c>
      <c r="T194" s="5">
        <f>OrdersTable[[#This Row],[Gross Sale]]*OrdersTable[[#This Row],[Discount_Clean2]]</f>
        <v>39.900000000000006</v>
      </c>
      <c r="U194" s="5">
        <f>OrdersTable[[#This Row],[Gross Sale]]-OrdersTable[[#This Row],[Discount Amount]]</f>
        <v>758.1</v>
      </c>
      <c r="V194" s="77">
        <f>INDEX(Products!E:E,MATCH(OrdersTable[[#This Row],[Product ID]],Products!A:A,0))</f>
        <v>152</v>
      </c>
      <c r="W194" s="77">
        <f>OrdersTable[[#This Row],[Quantity]]*OrdersTable[[#This Row],[Unit Cost]]</f>
        <v>304</v>
      </c>
      <c r="X194" s="77">
        <f>'Dropdown Lists'!$I$2*(1+OrdersTable[[#This Row],[Returned]])</f>
        <v>120</v>
      </c>
      <c r="Y194" s="76">
        <f>OrdersTable[[#This Row],[Net Revenue]]-OrdersTable[[#This Row],[COGS]]-OrdersTable[[#This Row],[Shipping Cost]]</f>
        <v>334.1</v>
      </c>
      <c r="Z194" s="78">
        <f>IFERROR(OrdersTable[[#This Row],[Profit]]/OrdersTable[[#This Row],[Net Revenue]],0)</f>
        <v>0.44070703073473161</v>
      </c>
      <c r="AA194" t="s">
        <v>18</v>
      </c>
      <c r="AB194" s="79">
        <v>45327</v>
      </c>
      <c r="AC194">
        <f>OrdersTable[[#This Row],[Delivery Date]]-OrdersTable[[#This Row],[Order Date]]</f>
        <v>2</v>
      </c>
      <c r="AD194" t="str">
        <f>IF(OrdersTable[[#This Row],[Delivery Days]]&lt;=2, "Express (≤2d)", IF(OrdersTable[[#This Row],[Delivery Days]]&lt;=4, "Standard (3-4d)", "Delayed (5d+)"))</f>
        <v>Express (≤2d)</v>
      </c>
      <c r="AE194">
        <v>4</v>
      </c>
      <c r="AF194">
        <v>1</v>
      </c>
    </row>
    <row r="195" spans="1:32" ht="15" x14ac:dyDescent="0.35">
      <c r="A195" t="s">
        <v>1833</v>
      </c>
      <c r="B195" s="1">
        <v>45325</v>
      </c>
      <c r="C195">
        <f>YEAR(OrdersTable[[#This Row],[Order Date]])</f>
        <v>2024</v>
      </c>
      <c r="D195" s="2">
        <f>DATE(YEAR(OrdersTable[[#This Row],[Order Date]]),MONTH(OrdersTable[[#This Row],[Order Date]]),1)</f>
        <v>45323</v>
      </c>
      <c r="E195">
        <f>MONTH(OrdersTable[[#This Row],[Order Date]])</f>
        <v>2</v>
      </c>
      <c r="F195" t="s">
        <v>1582</v>
      </c>
      <c r="G195" t="str">
        <f>IF(OrdersTable[[#This Row],[Order Date]]=_xlfn.MINIFS(Order_Date, Customer_ID, OrdersTable[[#This Row],[Customer ID]]), "New", "Repeat")</f>
        <v>New</v>
      </c>
      <c r="H195" t="s">
        <v>275</v>
      </c>
      <c r="I195" t="str">
        <f>INDEX(State!B:B,MATCH(OrdersTable[[#This Row],[State]],State!A:A,0))</f>
        <v>AP</v>
      </c>
      <c r="J195" t="str">
        <f>INDEX(State!C:C,MATCH(OrdersTable[[#This Row],[State Code]],State!B:B,0))</f>
        <v>South</v>
      </c>
      <c r="K195" t="s">
        <v>491</v>
      </c>
      <c r="L195" t="s">
        <v>65</v>
      </c>
      <c r="M195" t="s">
        <v>109</v>
      </c>
      <c r="N195" t="str">
        <f>INDEX(Products!B:B,MATCH(OrdersTable[[#This Row],[Product ID]],Products!A:A,0))</f>
        <v>Onion Hair Oil</v>
      </c>
      <c r="O195" t="str">
        <f>INDEX(Products!C:C,MATCH(OrdersTable[[#This Row],[Product ID]],Products!A:A,0))</f>
        <v>Haircare</v>
      </c>
      <c r="P195">
        <v>1</v>
      </c>
      <c r="Q195" s="5">
        <v>349</v>
      </c>
      <c r="R195" s="74">
        <v>0.25</v>
      </c>
      <c r="S195" s="75">
        <f>OrdersTable[[#This Row],[Quantity]]*OrdersTable[[#This Row],[Unit Price]]</f>
        <v>349</v>
      </c>
      <c r="T195" s="5">
        <f>OrdersTable[[#This Row],[Gross Sale]]*OrdersTable[[#This Row],[Discount_Clean2]]</f>
        <v>87.25</v>
      </c>
      <c r="U195" s="5">
        <f>OrdersTable[[#This Row],[Gross Sale]]-OrdersTable[[#This Row],[Discount Amount]]</f>
        <v>261.75</v>
      </c>
      <c r="V195" s="77">
        <f>INDEX(Products!E:E,MATCH(OrdersTable[[#This Row],[Product ID]],Products!A:A,0))</f>
        <v>105</v>
      </c>
      <c r="W195" s="77">
        <f>OrdersTable[[#This Row],[Quantity]]*OrdersTable[[#This Row],[Unit Cost]]</f>
        <v>105</v>
      </c>
      <c r="X195" s="77">
        <f>'Dropdown Lists'!$I$2*(1+OrdersTable[[#This Row],[Returned]])</f>
        <v>60</v>
      </c>
      <c r="Y195" s="76">
        <f>OrdersTable[[#This Row],[Net Revenue]]-OrdersTable[[#This Row],[COGS]]-OrdersTable[[#This Row],[Shipping Cost]]</f>
        <v>96.75</v>
      </c>
      <c r="Z195" s="78">
        <f>IFERROR(OrdersTable[[#This Row],[Profit]]/OrdersTable[[#This Row],[Net Revenue]],0)</f>
        <v>0.36962750716332377</v>
      </c>
      <c r="AA195" t="s">
        <v>18</v>
      </c>
      <c r="AB195" s="79">
        <v>45331</v>
      </c>
      <c r="AC195">
        <f>OrdersTable[[#This Row],[Delivery Date]]-OrdersTable[[#This Row],[Order Date]]</f>
        <v>6</v>
      </c>
      <c r="AD195" t="str">
        <f>IF(OrdersTable[[#This Row],[Delivery Days]]&lt;=2, "Express (≤2d)", IF(OrdersTable[[#This Row],[Delivery Days]]&lt;=4, "Standard (3-4d)", "Delayed (5d+)"))</f>
        <v>Delayed (5d+)</v>
      </c>
      <c r="AE195">
        <v>3</v>
      </c>
      <c r="AF195">
        <v>0</v>
      </c>
    </row>
    <row r="196" spans="1:32" ht="15" x14ac:dyDescent="0.35">
      <c r="A196" t="s">
        <v>4327</v>
      </c>
      <c r="B196" s="1">
        <v>45325</v>
      </c>
      <c r="C196">
        <f>YEAR(OrdersTable[[#This Row],[Order Date]])</f>
        <v>2024</v>
      </c>
      <c r="D196" s="2">
        <f>DATE(YEAR(OrdersTable[[#This Row],[Order Date]]),MONTH(OrdersTable[[#This Row],[Order Date]]),1)</f>
        <v>45323</v>
      </c>
      <c r="E196">
        <f>MONTH(OrdersTable[[#This Row],[Order Date]])</f>
        <v>2</v>
      </c>
      <c r="F196" t="s">
        <v>4328</v>
      </c>
      <c r="G196" t="str">
        <f>IF(OrdersTable[[#This Row],[Order Date]]=_xlfn.MINIFS(Order_Date, Customer_ID, OrdersTable[[#This Row],[Customer ID]]), "New", "Repeat")</f>
        <v>New</v>
      </c>
      <c r="H196" t="s">
        <v>59</v>
      </c>
      <c r="I196" t="str">
        <f>INDEX(State!B:B,MATCH(OrdersTable[[#This Row],[State]],State!A:A,0))</f>
        <v>TN</v>
      </c>
      <c r="J196" t="str">
        <f>INDEX(State!C:C,MATCH(OrdersTable[[#This Row],[State Code]],State!B:B,0))</f>
        <v>South</v>
      </c>
      <c r="K196" t="s">
        <v>60</v>
      </c>
      <c r="L196" t="s">
        <v>16</v>
      </c>
      <c r="M196" t="s">
        <v>29</v>
      </c>
      <c r="N196" t="str">
        <f>INDEX(Products!B:B,MATCH(OrdersTable[[#This Row],[Product ID]],Products!A:A,0))</f>
        <v>Joggers</v>
      </c>
      <c r="O196" t="str">
        <f>INDEX(Products!C:C,MATCH(OrdersTable[[#This Row],[Product ID]],Products!A:A,0))</f>
        <v>Apparel</v>
      </c>
      <c r="P196">
        <v>1</v>
      </c>
      <c r="Q196" s="5">
        <v>1199</v>
      </c>
      <c r="R196" s="74">
        <v>0.15</v>
      </c>
      <c r="S196" s="75">
        <f>OrdersTable[[#This Row],[Quantity]]*OrdersTable[[#This Row],[Unit Price]]</f>
        <v>1199</v>
      </c>
      <c r="T196" s="5">
        <f>OrdersTable[[#This Row],[Gross Sale]]*OrdersTable[[#This Row],[Discount_Clean2]]</f>
        <v>179.85</v>
      </c>
      <c r="U196" s="5">
        <f>OrdersTable[[#This Row],[Gross Sale]]-OrdersTable[[#This Row],[Discount Amount]]</f>
        <v>1019.15</v>
      </c>
      <c r="V196" s="77">
        <f>INDEX(Products!E:E,MATCH(OrdersTable[[#This Row],[Product ID]],Products!A:A,0))</f>
        <v>492</v>
      </c>
      <c r="W196" s="77">
        <f>OrdersTable[[#This Row],[Quantity]]*OrdersTable[[#This Row],[Unit Cost]]</f>
        <v>492</v>
      </c>
      <c r="X196" s="77">
        <f>'Dropdown Lists'!$I$2*(1+OrdersTable[[#This Row],[Returned]])</f>
        <v>60</v>
      </c>
      <c r="Y196" s="76">
        <f>OrdersTable[[#This Row],[Net Revenue]]-OrdersTable[[#This Row],[COGS]]-OrdersTable[[#This Row],[Shipping Cost]]</f>
        <v>467.15</v>
      </c>
      <c r="Z196" s="78">
        <f>IFERROR(OrdersTable[[#This Row],[Profit]]/OrdersTable[[#This Row],[Net Revenue]],0)</f>
        <v>0.45837217288917231</v>
      </c>
      <c r="AA196" t="s">
        <v>4074</v>
      </c>
      <c r="AB196" s="79">
        <v>45328</v>
      </c>
      <c r="AC196">
        <f>OrdersTable[[#This Row],[Delivery Date]]-OrdersTable[[#This Row],[Order Date]]</f>
        <v>3</v>
      </c>
      <c r="AD196" t="str">
        <f>IF(OrdersTable[[#This Row],[Delivery Days]]&lt;=2, "Express (≤2d)", IF(OrdersTable[[#This Row],[Delivery Days]]&lt;=4, "Standard (3-4d)", "Delayed (5d+)"))</f>
        <v>Standard (3-4d)</v>
      </c>
      <c r="AE196">
        <v>4</v>
      </c>
      <c r="AF196">
        <v>0</v>
      </c>
    </row>
    <row r="197" spans="1:32" ht="15" x14ac:dyDescent="0.35">
      <c r="A197" t="s">
        <v>4900</v>
      </c>
      <c r="B197" s="1">
        <v>45326</v>
      </c>
      <c r="C197">
        <f>YEAR(OrdersTable[[#This Row],[Order Date]])</f>
        <v>2024</v>
      </c>
      <c r="D197" s="2">
        <f>DATE(YEAR(OrdersTable[[#This Row],[Order Date]]),MONTH(OrdersTable[[#This Row],[Order Date]]),1)</f>
        <v>45323</v>
      </c>
      <c r="E197">
        <f>MONTH(OrdersTable[[#This Row],[Order Date]])</f>
        <v>2</v>
      </c>
      <c r="F197" t="s">
        <v>4901</v>
      </c>
      <c r="G197" t="str">
        <f>IF(OrdersTable[[#This Row],[Order Date]]=_xlfn.MINIFS(Order_Date, Customer_ID, OrdersTable[[#This Row],[Customer ID]]), "New", "Repeat")</f>
        <v>New</v>
      </c>
      <c r="H197" t="s">
        <v>71</v>
      </c>
      <c r="I197" t="str">
        <f>INDEX(State!B:B,MATCH(OrdersTable[[#This Row],[State]],State!A:A,0))</f>
        <v>MH</v>
      </c>
      <c r="J197" t="str">
        <f>INDEX(State!C:C,MATCH(OrdersTable[[#This Row],[State Code]],State!B:B,0))</f>
        <v>West</v>
      </c>
      <c r="K197" t="s">
        <v>102</v>
      </c>
      <c r="L197" t="s">
        <v>23</v>
      </c>
      <c r="M197" t="s">
        <v>109</v>
      </c>
      <c r="N197" t="str">
        <f>INDEX(Products!B:B,MATCH(OrdersTable[[#This Row],[Product ID]],Products!A:A,0))</f>
        <v>Onion Hair Oil</v>
      </c>
      <c r="O197" t="str">
        <f>INDEX(Products!C:C,MATCH(OrdersTable[[#This Row],[Product ID]],Products!A:A,0))</f>
        <v>Haircare</v>
      </c>
      <c r="P197">
        <v>2</v>
      </c>
      <c r="Q197" s="5">
        <v>349</v>
      </c>
      <c r="R197" s="74">
        <v>0.4</v>
      </c>
      <c r="S197" s="75">
        <f>OrdersTable[[#This Row],[Quantity]]*OrdersTable[[#This Row],[Unit Price]]</f>
        <v>698</v>
      </c>
      <c r="T197" s="5">
        <f>OrdersTable[[#This Row],[Gross Sale]]*OrdersTable[[#This Row],[Discount_Clean2]]</f>
        <v>279.2</v>
      </c>
      <c r="U197" s="5">
        <f>OrdersTable[[#This Row],[Gross Sale]]-OrdersTable[[#This Row],[Discount Amount]]</f>
        <v>418.8</v>
      </c>
      <c r="V197" s="77">
        <f>INDEX(Products!E:E,MATCH(OrdersTable[[#This Row],[Product ID]],Products!A:A,0))</f>
        <v>105</v>
      </c>
      <c r="W197" s="77">
        <f>OrdersTable[[#This Row],[Quantity]]*OrdersTable[[#This Row],[Unit Cost]]</f>
        <v>210</v>
      </c>
      <c r="X197" s="77">
        <f>'Dropdown Lists'!$I$2*(1+OrdersTable[[#This Row],[Returned]])</f>
        <v>60</v>
      </c>
      <c r="Y197" s="76">
        <f>OrdersTable[[#This Row],[Net Revenue]]-OrdersTable[[#This Row],[COGS]]-OrdersTable[[#This Row],[Shipping Cost]]</f>
        <v>148.80000000000001</v>
      </c>
      <c r="Z197" s="78">
        <f>IFERROR(OrdersTable[[#This Row],[Profit]]/OrdersTable[[#This Row],[Net Revenue]],0)</f>
        <v>0.35530085959885388</v>
      </c>
      <c r="AA197" t="s">
        <v>4074</v>
      </c>
      <c r="AB197" s="79">
        <v>45329</v>
      </c>
      <c r="AC197">
        <f>OrdersTable[[#This Row],[Delivery Date]]-OrdersTable[[#This Row],[Order Date]]</f>
        <v>3</v>
      </c>
      <c r="AD197" t="str">
        <f>IF(OrdersTable[[#This Row],[Delivery Days]]&lt;=2, "Express (≤2d)", IF(OrdersTable[[#This Row],[Delivery Days]]&lt;=4, "Standard (3-4d)", "Delayed (5d+)"))</f>
        <v>Standard (3-4d)</v>
      </c>
      <c r="AE197">
        <v>4</v>
      </c>
      <c r="AF197">
        <v>0</v>
      </c>
    </row>
    <row r="198" spans="1:32" ht="15" x14ac:dyDescent="0.35">
      <c r="A198" t="s">
        <v>1126</v>
      </c>
      <c r="B198" s="1">
        <v>45326</v>
      </c>
      <c r="C198">
        <f>YEAR(OrdersTable[[#This Row],[Order Date]])</f>
        <v>2024</v>
      </c>
      <c r="D198" s="2">
        <f>DATE(YEAR(OrdersTable[[#This Row],[Order Date]]),MONTH(OrdersTable[[#This Row],[Order Date]]),1)</f>
        <v>45323</v>
      </c>
      <c r="E198">
        <f>MONTH(OrdersTable[[#This Row],[Order Date]])</f>
        <v>2</v>
      </c>
      <c r="F198" t="s">
        <v>1127</v>
      </c>
      <c r="G198" t="str">
        <f>IF(OrdersTable[[#This Row],[Order Date]]=_xlfn.MINIFS(Order_Date, Customer_ID, OrdersTable[[#This Row],[Customer ID]]), "New", "Repeat")</f>
        <v>New</v>
      </c>
      <c r="H198" t="s">
        <v>275</v>
      </c>
      <c r="I198" t="str">
        <f>INDEX(State!B:B,MATCH(OrdersTable[[#This Row],[State]],State!A:A,0))</f>
        <v>AP</v>
      </c>
      <c r="J198" t="str">
        <f>INDEX(State!C:C,MATCH(OrdersTable[[#This Row],[State Code]],State!B:B,0))</f>
        <v>South</v>
      </c>
      <c r="K198" t="s">
        <v>491</v>
      </c>
      <c r="L198" t="s">
        <v>50</v>
      </c>
      <c r="M198" t="s">
        <v>40</v>
      </c>
      <c r="N198" t="str">
        <f>INDEX(Products!B:B,MATCH(OrdersTable[[#This Row],[Product ID]],Products!A:A,0))</f>
        <v>Ashwagandha Capsules</v>
      </c>
      <c r="O198" t="str">
        <f>INDEX(Products!C:C,MATCH(OrdersTable[[#This Row],[Product ID]],Products!A:A,0))</f>
        <v>Wellness</v>
      </c>
      <c r="P198">
        <v>1</v>
      </c>
      <c r="Q198" s="5">
        <v>499</v>
      </c>
      <c r="R198" s="74">
        <v>0</v>
      </c>
      <c r="S198" s="75">
        <f>OrdersTable[[#This Row],[Quantity]]*OrdersTable[[#This Row],[Unit Price]]</f>
        <v>499</v>
      </c>
      <c r="T198" s="5">
        <f>OrdersTable[[#This Row],[Gross Sale]]*OrdersTable[[#This Row],[Discount_Clean2]]</f>
        <v>0</v>
      </c>
      <c r="U198" s="5">
        <f>OrdersTable[[#This Row],[Gross Sale]]-OrdersTable[[#This Row],[Discount Amount]]</f>
        <v>499</v>
      </c>
      <c r="V198" s="77">
        <f>INDEX(Products!E:E,MATCH(OrdersTable[[#This Row],[Product ID]],Products!A:A,0))</f>
        <v>150</v>
      </c>
      <c r="W198" s="77">
        <f>OrdersTable[[#This Row],[Quantity]]*OrdersTable[[#This Row],[Unit Cost]]</f>
        <v>150</v>
      </c>
      <c r="X198" s="77">
        <f>'Dropdown Lists'!$I$2*(1+OrdersTable[[#This Row],[Returned]])</f>
        <v>60</v>
      </c>
      <c r="Y198" s="76">
        <f>OrdersTable[[#This Row],[Net Revenue]]-OrdersTable[[#This Row],[COGS]]-OrdersTable[[#This Row],[Shipping Cost]]</f>
        <v>289</v>
      </c>
      <c r="Z198" s="78">
        <f>IFERROR(OrdersTable[[#This Row],[Profit]]/OrdersTable[[#This Row],[Net Revenue]],0)</f>
        <v>0.57915831663326656</v>
      </c>
      <c r="AA198" t="s">
        <v>18</v>
      </c>
      <c r="AB198" s="79">
        <v>45328</v>
      </c>
      <c r="AC198">
        <f>OrdersTable[[#This Row],[Delivery Date]]-OrdersTable[[#This Row],[Order Date]]</f>
        <v>2</v>
      </c>
      <c r="AD198" t="str">
        <f>IF(OrdersTable[[#This Row],[Delivery Days]]&lt;=2, "Express (≤2d)", IF(OrdersTable[[#This Row],[Delivery Days]]&lt;=4, "Standard (3-4d)", "Delayed (5d+)"))</f>
        <v>Express (≤2d)</v>
      </c>
      <c r="AF198">
        <v>0</v>
      </c>
    </row>
    <row r="199" spans="1:32" ht="15" x14ac:dyDescent="0.35">
      <c r="A199" t="s">
        <v>6253</v>
      </c>
      <c r="B199" s="1">
        <v>45327</v>
      </c>
      <c r="C199">
        <f>YEAR(OrdersTable[[#This Row],[Order Date]])</f>
        <v>2024</v>
      </c>
      <c r="D199" s="2">
        <f>DATE(YEAR(OrdersTable[[#This Row],[Order Date]]),MONTH(OrdersTable[[#This Row],[Order Date]]),1)</f>
        <v>45323</v>
      </c>
      <c r="E199">
        <f>MONTH(OrdersTable[[#This Row],[Order Date]])</f>
        <v>2</v>
      </c>
      <c r="F199" t="s">
        <v>2038</v>
      </c>
      <c r="G199" t="str">
        <f>IF(OrdersTable[[#This Row],[Order Date]]=_xlfn.MINIFS(Order_Date, Customer_ID, OrdersTable[[#This Row],[Customer ID]]), "New", "Repeat")</f>
        <v>Repeat</v>
      </c>
      <c r="H199" t="s">
        <v>54</v>
      </c>
      <c r="I199" t="str">
        <f>INDEX(State!B:B,MATCH(OrdersTable[[#This Row],[State]],State!A:A,0))</f>
        <v>RJ</v>
      </c>
      <c r="J199" t="str">
        <f>INDEX(State!C:C,MATCH(OrdersTable[[#This Row],[State Code]],State!B:B,0))</f>
        <v>North</v>
      </c>
      <c r="K199" t="s">
        <v>55</v>
      </c>
      <c r="L199" t="s">
        <v>50</v>
      </c>
      <c r="M199" t="s">
        <v>152</v>
      </c>
      <c r="N199" t="str">
        <f>INDEX(Products!B:B,MATCH(OrdersTable[[#This Row],[Product ID]],Products!A:A,0))</f>
        <v>Green Tea (100 bags)</v>
      </c>
      <c r="O199" t="str">
        <f>INDEX(Products!C:C,MATCH(OrdersTable[[#This Row],[Product ID]],Products!A:A,0))</f>
        <v>Wellness</v>
      </c>
      <c r="P199">
        <v>2</v>
      </c>
      <c r="Q199" s="5">
        <v>399</v>
      </c>
      <c r="R199" s="74">
        <v>0.4</v>
      </c>
      <c r="S199" s="75">
        <f>OrdersTable[[#This Row],[Quantity]]*OrdersTable[[#This Row],[Unit Price]]</f>
        <v>798</v>
      </c>
      <c r="T199" s="5">
        <f>OrdersTable[[#This Row],[Gross Sale]]*OrdersTable[[#This Row],[Discount_Clean2]]</f>
        <v>319.20000000000005</v>
      </c>
      <c r="U199" s="5">
        <f>OrdersTable[[#This Row],[Gross Sale]]-OrdersTable[[#This Row],[Discount Amount]]</f>
        <v>478.79999999999995</v>
      </c>
      <c r="V199" s="77">
        <f>INDEX(Products!E:E,MATCH(OrdersTable[[#This Row],[Product ID]],Products!A:A,0))</f>
        <v>128</v>
      </c>
      <c r="W199" s="77">
        <f>OrdersTable[[#This Row],[Quantity]]*OrdersTable[[#This Row],[Unit Cost]]</f>
        <v>256</v>
      </c>
      <c r="X199" s="77">
        <f>'Dropdown Lists'!$I$2*(1+OrdersTable[[#This Row],[Returned]])</f>
        <v>60</v>
      </c>
      <c r="Y199" s="76">
        <f>OrdersTable[[#This Row],[Net Revenue]]-OrdersTable[[#This Row],[COGS]]-OrdersTable[[#This Row],[Shipping Cost]]</f>
        <v>162.79999999999995</v>
      </c>
      <c r="Z199" s="78">
        <f>IFERROR(OrdersTable[[#This Row],[Profit]]/OrdersTable[[#This Row],[Net Revenue]],0)</f>
        <v>0.34001670843776099</v>
      </c>
      <c r="AA199" t="s">
        <v>18</v>
      </c>
      <c r="AB199" s="79">
        <v>45329</v>
      </c>
      <c r="AC199">
        <f>OrdersTable[[#This Row],[Delivery Date]]-OrdersTable[[#This Row],[Order Date]]</f>
        <v>2</v>
      </c>
      <c r="AD199" t="str">
        <f>IF(OrdersTable[[#This Row],[Delivery Days]]&lt;=2, "Express (≤2d)", IF(OrdersTable[[#This Row],[Delivery Days]]&lt;=4, "Standard (3-4d)", "Delayed (5d+)"))</f>
        <v>Express (≤2d)</v>
      </c>
      <c r="AE199">
        <v>3</v>
      </c>
      <c r="AF199">
        <v>0</v>
      </c>
    </row>
    <row r="200" spans="1:32" ht="15" x14ac:dyDescent="0.35">
      <c r="A200" t="s">
        <v>1215</v>
      </c>
      <c r="B200" s="1">
        <v>45327</v>
      </c>
      <c r="C200">
        <f>YEAR(OrdersTable[[#This Row],[Order Date]])</f>
        <v>2024</v>
      </c>
      <c r="D200" s="2">
        <f>DATE(YEAR(OrdersTable[[#This Row],[Order Date]]),MONTH(OrdersTable[[#This Row],[Order Date]]),1)</f>
        <v>45323</v>
      </c>
      <c r="E200">
        <f>MONTH(OrdersTable[[#This Row],[Order Date]])</f>
        <v>2</v>
      </c>
      <c r="F200" t="s">
        <v>1216</v>
      </c>
      <c r="G200" t="str">
        <f>IF(OrdersTable[[#This Row],[Order Date]]=_xlfn.MINIFS(Order_Date, Customer_ID, OrdersTable[[#This Row],[Customer ID]]), "New", "Repeat")</f>
        <v>New</v>
      </c>
      <c r="H200" t="s">
        <v>128</v>
      </c>
      <c r="I200" t="str">
        <f>INDEX(State!B:B,MATCH(OrdersTable[[#This Row],[State]],State!A:A,0))</f>
        <v>DL</v>
      </c>
      <c r="J200" t="str">
        <f>INDEX(State!C:C,MATCH(OrdersTable[[#This Row],[State Code]],State!B:B,0))</f>
        <v>North</v>
      </c>
      <c r="K200" t="s">
        <v>129</v>
      </c>
      <c r="L200" t="s">
        <v>16</v>
      </c>
      <c r="M200" t="s">
        <v>87</v>
      </c>
      <c r="N200" t="str">
        <f>INDEX(Products!B:B,MATCH(OrdersTable[[#This Row],[Product ID]],Products!A:A,0))</f>
        <v>Linen Kurta</v>
      </c>
      <c r="O200" t="str">
        <f>INDEX(Products!C:C,MATCH(OrdersTable[[#This Row],[Product ID]],Products!A:A,0))</f>
        <v>Apparel</v>
      </c>
      <c r="P200">
        <v>1</v>
      </c>
      <c r="Q200" s="5">
        <v>1499</v>
      </c>
      <c r="R200" s="74">
        <v>0.3</v>
      </c>
      <c r="S200" s="75">
        <f>OrdersTable[[#This Row],[Quantity]]*OrdersTable[[#This Row],[Unit Price]]</f>
        <v>1499</v>
      </c>
      <c r="T200" s="5">
        <f>OrdersTable[[#This Row],[Gross Sale]]*OrdersTable[[#This Row],[Discount_Clean2]]</f>
        <v>449.7</v>
      </c>
      <c r="U200" s="5">
        <f>OrdersTable[[#This Row],[Gross Sale]]-OrdersTable[[#This Row],[Discount Amount]]</f>
        <v>1049.3</v>
      </c>
      <c r="V200" s="77">
        <f>INDEX(Products!E:E,MATCH(OrdersTable[[#This Row],[Product ID]],Products!A:A,0))</f>
        <v>630</v>
      </c>
      <c r="W200" s="77">
        <f>OrdersTable[[#This Row],[Quantity]]*OrdersTable[[#This Row],[Unit Cost]]</f>
        <v>630</v>
      </c>
      <c r="X200" s="77">
        <f>'Dropdown Lists'!$I$2*(1+OrdersTable[[#This Row],[Returned]])</f>
        <v>60</v>
      </c>
      <c r="Y200" s="76">
        <f>OrdersTable[[#This Row],[Net Revenue]]-OrdersTable[[#This Row],[COGS]]-OrdersTable[[#This Row],[Shipping Cost]]</f>
        <v>359.29999999999995</v>
      </c>
      <c r="Z200" s="78">
        <f>IFERROR(OrdersTable[[#This Row],[Profit]]/OrdersTable[[#This Row],[Net Revenue]],0)</f>
        <v>0.34241875536071664</v>
      </c>
      <c r="AA200" t="s">
        <v>18</v>
      </c>
      <c r="AB200" s="79">
        <v>45330</v>
      </c>
      <c r="AC200">
        <f>OrdersTable[[#This Row],[Delivery Date]]-OrdersTable[[#This Row],[Order Date]]</f>
        <v>3</v>
      </c>
      <c r="AD200" t="str">
        <f>IF(OrdersTable[[#This Row],[Delivery Days]]&lt;=2, "Express (≤2d)", IF(OrdersTable[[#This Row],[Delivery Days]]&lt;=4, "Standard (3-4d)", "Delayed (5d+)"))</f>
        <v>Standard (3-4d)</v>
      </c>
      <c r="AF200">
        <v>0</v>
      </c>
    </row>
    <row r="201" spans="1:32" ht="15" x14ac:dyDescent="0.35">
      <c r="A201" t="s">
        <v>3846</v>
      </c>
      <c r="B201" s="1">
        <v>45327</v>
      </c>
      <c r="C201">
        <f>YEAR(OrdersTable[[#This Row],[Order Date]])</f>
        <v>2024</v>
      </c>
      <c r="D201" s="2">
        <f>DATE(YEAR(OrdersTable[[#This Row],[Order Date]]),MONTH(OrdersTable[[#This Row],[Order Date]]),1)</f>
        <v>45323</v>
      </c>
      <c r="E201">
        <f>MONTH(OrdersTable[[#This Row],[Order Date]])</f>
        <v>2</v>
      </c>
      <c r="F201" t="s">
        <v>217</v>
      </c>
      <c r="G201" t="str">
        <f>IF(OrdersTable[[#This Row],[Order Date]]=_xlfn.MINIFS(Order_Date, Customer_ID, OrdersTable[[#This Row],[Customer ID]]), "New", "Repeat")</f>
        <v>New</v>
      </c>
      <c r="H201" t="s">
        <v>482</v>
      </c>
      <c r="I201" t="str">
        <f>INDEX(State!B:B,MATCH(OrdersTable[[#This Row],[State]],State!A:A,0))</f>
        <v>CG</v>
      </c>
      <c r="J201" t="str">
        <f>INDEX(State!C:C,MATCH(OrdersTable[[#This Row],[State Code]],State!B:B,0))</f>
        <v>East</v>
      </c>
      <c r="K201" t="s">
        <v>483</v>
      </c>
      <c r="L201" t="s">
        <v>65</v>
      </c>
      <c r="M201" t="s">
        <v>73</v>
      </c>
      <c r="N201" t="str">
        <f>INDEX(Products!B:B,MATCH(OrdersTable[[#This Row],[Product ID]],Products!A:A,0))</f>
        <v>Hydrating Face Wash</v>
      </c>
      <c r="O201" t="str">
        <f>INDEX(Products!C:C,MATCH(OrdersTable[[#This Row],[Product ID]],Products!A:A,0))</f>
        <v>Skincare</v>
      </c>
      <c r="P201">
        <v>1</v>
      </c>
      <c r="Q201" s="5">
        <v>299</v>
      </c>
      <c r="R201" s="74">
        <v>0.1</v>
      </c>
      <c r="S201" s="75">
        <f>OrdersTable[[#This Row],[Quantity]]*OrdersTable[[#This Row],[Unit Price]]</f>
        <v>299</v>
      </c>
      <c r="T201" s="5">
        <f>OrdersTable[[#This Row],[Gross Sale]]*OrdersTable[[#This Row],[Discount_Clean2]]</f>
        <v>29.900000000000002</v>
      </c>
      <c r="U201" s="5">
        <f>OrdersTable[[#This Row],[Gross Sale]]-OrdersTable[[#This Row],[Discount Amount]]</f>
        <v>269.10000000000002</v>
      </c>
      <c r="V201" s="77">
        <f>INDEX(Products!E:E,MATCH(OrdersTable[[#This Row],[Product ID]],Products!A:A,0))</f>
        <v>90</v>
      </c>
      <c r="W201" s="77">
        <f>OrdersTable[[#This Row],[Quantity]]*OrdersTable[[#This Row],[Unit Cost]]</f>
        <v>90</v>
      </c>
      <c r="X201" s="77">
        <f>'Dropdown Lists'!$I$2*(1+OrdersTable[[#This Row],[Returned]])</f>
        <v>60</v>
      </c>
      <c r="Y201" s="76">
        <f>OrdersTable[[#This Row],[Net Revenue]]-OrdersTable[[#This Row],[COGS]]-OrdersTable[[#This Row],[Shipping Cost]]</f>
        <v>119.10000000000002</v>
      </c>
      <c r="Z201" s="78">
        <f>IFERROR(OrdersTable[[#This Row],[Profit]]/OrdersTable[[#This Row],[Net Revenue]],0)</f>
        <v>0.4425863991081383</v>
      </c>
      <c r="AA201" t="s">
        <v>3495</v>
      </c>
      <c r="AB201" s="79">
        <v>45331</v>
      </c>
      <c r="AC201">
        <f>OrdersTable[[#This Row],[Delivery Date]]-OrdersTable[[#This Row],[Order Date]]</f>
        <v>4</v>
      </c>
      <c r="AD201" t="str">
        <f>IF(OrdersTable[[#This Row],[Delivery Days]]&lt;=2, "Express (≤2d)", IF(OrdersTable[[#This Row],[Delivery Days]]&lt;=4, "Standard (3-4d)", "Delayed (5d+)"))</f>
        <v>Standard (3-4d)</v>
      </c>
      <c r="AE201">
        <v>3</v>
      </c>
      <c r="AF201">
        <v>0</v>
      </c>
    </row>
    <row r="202" spans="1:32" ht="15" x14ac:dyDescent="0.35">
      <c r="A202" t="s">
        <v>46</v>
      </c>
      <c r="B202" s="1">
        <v>45328</v>
      </c>
      <c r="C202">
        <f>YEAR(OrdersTable[[#This Row],[Order Date]])</f>
        <v>2024</v>
      </c>
      <c r="D202" s="2">
        <f>DATE(YEAR(OrdersTable[[#This Row],[Order Date]]),MONTH(OrdersTable[[#This Row],[Order Date]]),1)</f>
        <v>45323</v>
      </c>
      <c r="E202">
        <f>MONTH(OrdersTable[[#This Row],[Order Date]])</f>
        <v>2</v>
      </c>
      <c r="F202" t="s">
        <v>47</v>
      </c>
      <c r="G202" t="str">
        <f>IF(OrdersTable[[#This Row],[Order Date]]=_xlfn.MINIFS(Order_Date, Customer_ID, OrdersTable[[#This Row],[Customer ID]]), "New", "Repeat")</f>
        <v>New</v>
      </c>
      <c r="H202" t="s">
        <v>48</v>
      </c>
      <c r="I202" t="str">
        <f>INDEX(State!B:B,MATCH(OrdersTable[[#This Row],[State]],State!A:A,0))</f>
        <v>HR</v>
      </c>
      <c r="J202" t="str">
        <f>INDEX(State!C:C,MATCH(OrdersTable[[#This Row],[State Code]],State!B:B,0))</f>
        <v>North</v>
      </c>
      <c r="K202" t="s">
        <v>49</v>
      </c>
      <c r="L202" t="s">
        <v>50</v>
      </c>
      <c r="M202" t="s">
        <v>51</v>
      </c>
      <c r="N202" t="str">
        <f>INDEX(Products!B:B,MATCH(OrdersTable[[#This Row],[Product ID]],Products!A:A,0))</f>
        <v>Anti-Dandruff Conditioner</v>
      </c>
      <c r="O202" t="str">
        <f>INDEX(Products!C:C,MATCH(OrdersTable[[#This Row],[Product ID]],Products!A:A,0))</f>
        <v>Haircare</v>
      </c>
      <c r="P202">
        <v>1</v>
      </c>
      <c r="Q202" s="5">
        <v>399</v>
      </c>
      <c r="R202" s="74">
        <v>0.3</v>
      </c>
      <c r="S202" s="75">
        <f>OrdersTable[[#This Row],[Quantity]]*OrdersTable[[#This Row],[Unit Price]]</f>
        <v>399</v>
      </c>
      <c r="T202" s="5">
        <f>OrdersTable[[#This Row],[Gross Sale]]*OrdersTable[[#This Row],[Discount_Clean2]]</f>
        <v>119.69999999999999</v>
      </c>
      <c r="U202" s="5">
        <f>OrdersTable[[#This Row],[Gross Sale]]-OrdersTable[[#This Row],[Discount Amount]]</f>
        <v>279.3</v>
      </c>
      <c r="V202" s="77">
        <f>INDEX(Products!E:E,MATCH(OrdersTable[[#This Row],[Product ID]],Products!A:A,0))</f>
        <v>136</v>
      </c>
      <c r="W202" s="77">
        <f>OrdersTable[[#This Row],[Quantity]]*OrdersTable[[#This Row],[Unit Cost]]</f>
        <v>136</v>
      </c>
      <c r="X202" s="77">
        <f>'Dropdown Lists'!$I$2*(1+OrdersTable[[#This Row],[Returned]])</f>
        <v>60</v>
      </c>
      <c r="Y202" s="76">
        <f>OrdersTable[[#This Row],[Net Revenue]]-OrdersTable[[#This Row],[COGS]]-OrdersTable[[#This Row],[Shipping Cost]]</f>
        <v>83.300000000000011</v>
      </c>
      <c r="Z202" s="78">
        <f>IFERROR(OrdersTable[[#This Row],[Profit]]/OrdersTable[[#This Row],[Net Revenue]],0)</f>
        <v>0.29824561403508776</v>
      </c>
      <c r="AA202" t="s">
        <v>18</v>
      </c>
      <c r="AB202" s="79">
        <v>45330</v>
      </c>
      <c r="AC202">
        <f>OrdersTable[[#This Row],[Delivery Date]]-OrdersTable[[#This Row],[Order Date]]</f>
        <v>2</v>
      </c>
      <c r="AD202" t="str">
        <f>IF(OrdersTable[[#This Row],[Delivery Days]]&lt;=2, "Express (≤2d)", IF(OrdersTable[[#This Row],[Delivery Days]]&lt;=4, "Standard (3-4d)", "Delayed (5d+)"))</f>
        <v>Express (≤2d)</v>
      </c>
      <c r="AE202">
        <v>4</v>
      </c>
      <c r="AF202">
        <v>0</v>
      </c>
    </row>
    <row r="203" spans="1:32" ht="15" x14ac:dyDescent="0.35">
      <c r="A203" t="s">
        <v>1834</v>
      </c>
      <c r="B203" s="1">
        <v>45328</v>
      </c>
      <c r="C203">
        <f>YEAR(OrdersTable[[#This Row],[Order Date]])</f>
        <v>2024</v>
      </c>
      <c r="D203" s="2">
        <f>DATE(YEAR(OrdersTable[[#This Row],[Order Date]]),MONTH(OrdersTable[[#This Row],[Order Date]]),1)</f>
        <v>45323</v>
      </c>
      <c r="E203">
        <f>MONTH(OrdersTable[[#This Row],[Order Date]])</f>
        <v>2</v>
      </c>
      <c r="F203" t="s">
        <v>1835</v>
      </c>
      <c r="G203" t="str">
        <f>IF(OrdersTable[[#This Row],[Order Date]]=_xlfn.MINIFS(Order_Date, Customer_ID, OrdersTable[[#This Row],[Customer ID]]), "New", "Repeat")</f>
        <v>New</v>
      </c>
      <c r="H203" t="s">
        <v>132</v>
      </c>
      <c r="I203" t="str">
        <f>INDEX(State!B:B,MATCH(OrdersTable[[#This Row],[State]],State!A:A,0))</f>
        <v>AS</v>
      </c>
      <c r="J203" t="str">
        <f>INDEX(State!C:C,MATCH(OrdersTable[[#This Row],[State Code]],State!B:B,0))</f>
        <v>East</v>
      </c>
      <c r="K203" t="s">
        <v>133</v>
      </c>
      <c r="L203" t="s">
        <v>65</v>
      </c>
      <c r="M203" t="s">
        <v>34</v>
      </c>
      <c r="N203" t="str">
        <f>INDEX(Products!B:B,MATCH(OrdersTable[[#This Row],[Product ID]],Products!A:A,0))</f>
        <v>Flip Flops</v>
      </c>
      <c r="O203" t="str">
        <f>INDEX(Products!C:C,MATCH(OrdersTable[[#This Row],[Product ID]],Products!A:A,0))</f>
        <v>Footwear</v>
      </c>
      <c r="P203">
        <v>1</v>
      </c>
      <c r="Q203" s="5">
        <v>399</v>
      </c>
      <c r="R203" s="74">
        <v>0.1</v>
      </c>
      <c r="S203" s="75">
        <f>OrdersTable[[#This Row],[Quantity]]*OrdersTable[[#This Row],[Unit Price]]</f>
        <v>399</v>
      </c>
      <c r="T203" s="5">
        <f>OrdersTable[[#This Row],[Gross Sale]]*OrdersTable[[#This Row],[Discount_Clean2]]</f>
        <v>39.900000000000006</v>
      </c>
      <c r="U203" s="5">
        <f>OrdersTable[[#This Row],[Gross Sale]]-OrdersTable[[#This Row],[Discount Amount]]</f>
        <v>359.1</v>
      </c>
      <c r="V203" s="77">
        <f>INDEX(Products!E:E,MATCH(OrdersTable[[#This Row],[Product ID]],Products!A:A,0))</f>
        <v>152</v>
      </c>
      <c r="W203" s="77">
        <f>OrdersTable[[#This Row],[Quantity]]*OrdersTable[[#This Row],[Unit Cost]]</f>
        <v>152</v>
      </c>
      <c r="X203" s="77">
        <f>'Dropdown Lists'!$I$2*(1+OrdersTable[[#This Row],[Returned]])</f>
        <v>60</v>
      </c>
      <c r="Y203" s="76">
        <f>OrdersTable[[#This Row],[Net Revenue]]-OrdersTable[[#This Row],[COGS]]-OrdersTable[[#This Row],[Shipping Cost]]</f>
        <v>147.10000000000002</v>
      </c>
      <c r="Z203" s="78">
        <f>IFERROR(OrdersTable[[#This Row],[Profit]]/OrdersTable[[#This Row],[Net Revenue]],0)</f>
        <v>0.40963519910888335</v>
      </c>
      <c r="AA203" t="s">
        <v>18</v>
      </c>
      <c r="AB203" s="79">
        <v>45334</v>
      </c>
      <c r="AC203">
        <f>OrdersTable[[#This Row],[Delivery Date]]-OrdersTable[[#This Row],[Order Date]]</f>
        <v>6</v>
      </c>
      <c r="AD203" t="str">
        <f>IF(OrdersTable[[#This Row],[Delivery Days]]&lt;=2, "Express (≤2d)", IF(OrdersTable[[#This Row],[Delivery Days]]&lt;=4, "Standard (3-4d)", "Delayed (5d+)"))</f>
        <v>Delayed (5d+)</v>
      </c>
      <c r="AE203">
        <v>3</v>
      </c>
      <c r="AF203">
        <v>0</v>
      </c>
    </row>
    <row r="204" spans="1:32" ht="15" x14ac:dyDescent="0.35">
      <c r="A204" t="s">
        <v>2877</v>
      </c>
      <c r="B204" s="1">
        <v>45328</v>
      </c>
      <c r="C204">
        <f>YEAR(OrdersTable[[#This Row],[Order Date]])</f>
        <v>2024</v>
      </c>
      <c r="D204" s="2">
        <f>DATE(YEAR(OrdersTable[[#This Row],[Order Date]]),MONTH(OrdersTable[[#This Row],[Order Date]]),1)</f>
        <v>45323</v>
      </c>
      <c r="E204">
        <f>MONTH(OrdersTable[[#This Row],[Order Date]])</f>
        <v>2</v>
      </c>
      <c r="F204" t="s">
        <v>2878</v>
      </c>
      <c r="G204" t="str">
        <f>IF(OrdersTable[[#This Row],[Order Date]]=_xlfn.MINIFS(Order_Date, Customer_ID, OrdersTable[[#This Row],[Customer ID]]), "New", "Repeat")</f>
        <v>New</v>
      </c>
      <c r="H204" t="s">
        <v>71</v>
      </c>
      <c r="I204" t="str">
        <f>INDEX(State!B:B,MATCH(OrdersTable[[#This Row],[State]],State!A:A,0))</f>
        <v>MH</v>
      </c>
      <c r="J204" t="str">
        <f>INDEX(State!C:C,MATCH(OrdersTable[[#This Row],[State Code]],State!B:B,0))</f>
        <v>West</v>
      </c>
      <c r="K204" t="s">
        <v>81</v>
      </c>
      <c r="L204" t="s">
        <v>50</v>
      </c>
      <c r="M204" t="s">
        <v>56</v>
      </c>
      <c r="N204" t="str">
        <f>INDEX(Products!B:B,MATCH(OrdersTable[[#This Row],[Product ID]],Products!A:A,0))</f>
        <v>Vitamin C Face Serum</v>
      </c>
      <c r="O204" t="str">
        <f>INDEX(Products!C:C,MATCH(OrdersTable[[#This Row],[Product ID]],Products!A:A,0))</f>
        <v>Skincare</v>
      </c>
      <c r="P204">
        <v>1</v>
      </c>
      <c r="Q204" s="5">
        <v>599</v>
      </c>
      <c r="R204" s="74">
        <v>0.2</v>
      </c>
      <c r="S204" s="75">
        <f>OrdersTable[[#This Row],[Quantity]]*OrdersTable[[#This Row],[Unit Price]]</f>
        <v>599</v>
      </c>
      <c r="T204" s="5">
        <f>OrdersTable[[#This Row],[Gross Sale]]*OrdersTable[[#This Row],[Discount_Clean2]]</f>
        <v>119.80000000000001</v>
      </c>
      <c r="U204" s="5">
        <f>OrdersTable[[#This Row],[Gross Sale]]-OrdersTable[[#This Row],[Discount Amount]]</f>
        <v>479.2</v>
      </c>
      <c r="V204" s="77">
        <f>INDEX(Products!E:E,MATCH(OrdersTable[[#This Row],[Product ID]],Products!A:A,0))</f>
        <v>180</v>
      </c>
      <c r="W204" s="77">
        <f>OrdersTable[[#This Row],[Quantity]]*OrdersTable[[#This Row],[Unit Cost]]</f>
        <v>180</v>
      </c>
      <c r="X204" s="77">
        <f>'Dropdown Lists'!$I$2*(1+OrdersTable[[#This Row],[Returned]])</f>
        <v>120</v>
      </c>
      <c r="Y204" s="76">
        <f>OrdersTable[[#This Row],[Net Revenue]]-OrdersTable[[#This Row],[COGS]]-OrdersTable[[#This Row],[Shipping Cost]]</f>
        <v>179.2</v>
      </c>
      <c r="Z204" s="78">
        <f>IFERROR(OrdersTable[[#This Row],[Profit]]/OrdersTable[[#This Row],[Net Revenue]],0)</f>
        <v>0.37395659432387313</v>
      </c>
      <c r="AA204" t="s">
        <v>2522</v>
      </c>
      <c r="AB204" s="79">
        <v>45330</v>
      </c>
      <c r="AC204">
        <f>OrdersTable[[#This Row],[Delivery Date]]-OrdersTable[[#This Row],[Order Date]]</f>
        <v>2</v>
      </c>
      <c r="AD204" t="str">
        <f>IF(OrdersTable[[#This Row],[Delivery Days]]&lt;=2, "Express (≤2d)", IF(OrdersTable[[#This Row],[Delivery Days]]&lt;=4, "Standard (3-4d)", "Delayed (5d+)"))</f>
        <v>Express (≤2d)</v>
      </c>
      <c r="AF204">
        <v>1</v>
      </c>
    </row>
    <row r="205" spans="1:32" ht="15" x14ac:dyDescent="0.35">
      <c r="A205" t="s">
        <v>6940</v>
      </c>
      <c r="B205" s="1">
        <v>45328</v>
      </c>
      <c r="C205">
        <f>YEAR(OrdersTable[[#This Row],[Order Date]])</f>
        <v>2024</v>
      </c>
      <c r="D205" s="2">
        <f>DATE(YEAR(OrdersTable[[#This Row],[Order Date]]),MONTH(OrdersTable[[#This Row],[Order Date]]),1)</f>
        <v>45323</v>
      </c>
      <c r="E205">
        <f>MONTH(OrdersTable[[#This Row],[Order Date]])</f>
        <v>2</v>
      </c>
      <c r="F205" t="s">
        <v>2658</v>
      </c>
      <c r="G205" t="str">
        <f>IF(OrdersTable[[#This Row],[Order Date]]=_xlfn.MINIFS(Order_Date, Customer_ID, OrdersTable[[#This Row],[Customer ID]]), "New", "Repeat")</f>
        <v>New</v>
      </c>
      <c r="H205" t="s">
        <v>71</v>
      </c>
      <c r="I205" t="str">
        <f>INDEX(State!B:B,MATCH(OrdersTable[[#This Row],[State]],State!A:A,0))</f>
        <v>MH</v>
      </c>
      <c r="J205" t="str">
        <f>INDEX(State!C:C,MATCH(OrdersTable[[#This Row],[State Code]],State!B:B,0))</f>
        <v>West</v>
      </c>
      <c r="K205" t="s">
        <v>72</v>
      </c>
      <c r="L205" t="s">
        <v>50</v>
      </c>
      <c r="M205" t="s">
        <v>160</v>
      </c>
      <c r="N205" t="str">
        <f>INDEX(Products!B:B,MATCH(OrdersTable[[#This Row],[Product ID]],Products!A:A,0))</f>
        <v>Niacinamide Toner</v>
      </c>
      <c r="O205" t="str">
        <f>INDEX(Products!C:C,MATCH(OrdersTable[[#This Row],[Product ID]],Products!A:A,0))</f>
        <v>Skincare</v>
      </c>
      <c r="P205">
        <v>4</v>
      </c>
      <c r="Q205" s="5">
        <v>399</v>
      </c>
      <c r="R205" s="74">
        <v>0.25</v>
      </c>
      <c r="S205" s="75">
        <f>OrdersTable[[#This Row],[Quantity]]*OrdersTable[[#This Row],[Unit Price]]</f>
        <v>1596</v>
      </c>
      <c r="T205" s="5">
        <f>OrdersTable[[#This Row],[Gross Sale]]*OrdersTable[[#This Row],[Discount_Clean2]]</f>
        <v>399</v>
      </c>
      <c r="U205" s="5">
        <f>OrdersTable[[#This Row],[Gross Sale]]-OrdersTable[[#This Row],[Discount Amount]]</f>
        <v>1197</v>
      </c>
      <c r="V205" s="77">
        <f>INDEX(Products!E:E,MATCH(OrdersTable[[#This Row],[Product ID]],Products!A:A,0))</f>
        <v>112</v>
      </c>
      <c r="W205" s="77">
        <f>OrdersTable[[#This Row],[Quantity]]*OrdersTable[[#This Row],[Unit Cost]]</f>
        <v>448</v>
      </c>
      <c r="X205" s="77">
        <f>'Dropdown Lists'!$I$2*(1+OrdersTable[[#This Row],[Returned]])</f>
        <v>60</v>
      </c>
      <c r="Y205" s="76">
        <f>OrdersTable[[#This Row],[Net Revenue]]-OrdersTable[[#This Row],[COGS]]-OrdersTable[[#This Row],[Shipping Cost]]</f>
        <v>689</v>
      </c>
      <c r="Z205" s="78">
        <f>IFERROR(OrdersTable[[#This Row],[Profit]]/OrdersTable[[#This Row],[Net Revenue]],0)</f>
        <v>0.57560568086883879</v>
      </c>
      <c r="AA205" t="s">
        <v>3495</v>
      </c>
      <c r="AB205" s="79">
        <v>45331</v>
      </c>
      <c r="AC205">
        <f>OrdersTable[[#This Row],[Delivery Date]]-OrdersTable[[#This Row],[Order Date]]</f>
        <v>3</v>
      </c>
      <c r="AD205" t="str">
        <f>IF(OrdersTable[[#This Row],[Delivery Days]]&lt;=2, "Express (≤2d)", IF(OrdersTable[[#This Row],[Delivery Days]]&lt;=4, "Standard (3-4d)", "Delayed (5d+)"))</f>
        <v>Standard (3-4d)</v>
      </c>
      <c r="AE205">
        <v>3</v>
      </c>
      <c r="AF205">
        <v>0</v>
      </c>
    </row>
    <row r="206" spans="1:32" ht="15" x14ac:dyDescent="0.35">
      <c r="A206" t="s">
        <v>3847</v>
      </c>
      <c r="B206" s="1">
        <v>45328</v>
      </c>
      <c r="C206">
        <f>YEAR(OrdersTable[[#This Row],[Order Date]])</f>
        <v>2024</v>
      </c>
      <c r="D206" s="2">
        <f>DATE(YEAR(OrdersTable[[#This Row],[Order Date]]),MONTH(OrdersTable[[#This Row],[Order Date]]),1)</f>
        <v>45323</v>
      </c>
      <c r="E206">
        <f>MONTH(OrdersTable[[#This Row],[Order Date]])</f>
        <v>2</v>
      </c>
      <c r="F206" t="s">
        <v>435</v>
      </c>
      <c r="G206" t="str">
        <f>IF(OrdersTable[[#This Row],[Order Date]]=_xlfn.MINIFS(Order_Date, Customer_ID, OrdersTable[[#This Row],[Customer ID]]), "New", "Repeat")</f>
        <v>Repeat</v>
      </c>
      <c r="H206" t="s">
        <v>275</v>
      </c>
      <c r="I206" t="str">
        <f>INDEX(State!B:B,MATCH(OrdersTable[[#This Row],[State]],State!A:A,0))</f>
        <v>AP</v>
      </c>
      <c r="J206" t="str">
        <f>INDEX(State!C:C,MATCH(OrdersTable[[#This Row],[State Code]],State!B:B,0))</f>
        <v>South</v>
      </c>
      <c r="K206" t="s">
        <v>276</v>
      </c>
      <c r="L206" t="s">
        <v>50</v>
      </c>
      <c r="M206" t="s">
        <v>73</v>
      </c>
      <c r="N206" t="str">
        <f>INDEX(Products!B:B,MATCH(OrdersTable[[#This Row],[Product ID]],Products!A:A,0))</f>
        <v>Hydrating Face Wash</v>
      </c>
      <c r="O206" t="str">
        <f>INDEX(Products!C:C,MATCH(OrdersTable[[#This Row],[Product ID]],Products!A:A,0))</f>
        <v>Skincare</v>
      </c>
      <c r="P206">
        <v>1</v>
      </c>
      <c r="Q206" s="5">
        <v>299</v>
      </c>
      <c r="R206" s="74">
        <v>0.05</v>
      </c>
      <c r="S206" s="75">
        <f>OrdersTable[[#This Row],[Quantity]]*OrdersTable[[#This Row],[Unit Price]]</f>
        <v>299</v>
      </c>
      <c r="T206" s="5">
        <f>OrdersTable[[#This Row],[Gross Sale]]*OrdersTable[[#This Row],[Discount_Clean2]]</f>
        <v>14.950000000000001</v>
      </c>
      <c r="U206" s="5">
        <f>OrdersTable[[#This Row],[Gross Sale]]-OrdersTable[[#This Row],[Discount Amount]]</f>
        <v>284.05</v>
      </c>
      <c r="V206" s="77">
        <f>INDEX(Products!E:E,MATCH(OrdersTable[[#This Row],[Product ID]],Products!A:A,0))</f>
        <v>90</v>
      </c>
      <c r="W206" s="77">
        <f>OrdersTable[[#This Row],[Quantity]]*OrdersTable[[#This Row],[Unit Cost]]</f>
        <v>90</v>
      </c>
      <c r="X206" s="77">
        <f>'Dropdown Lists'!$I$2*(1+OrdersTable[[#This Row],[Returned]])</f>
        <v>60</v>
      </c>
      <c r="Y206" s="76">
        <f>OrdersTable[[#This Row],[Net Revenue]]-OrdersTable[[#This Row],[COGS]]-OrdersTable[[#This Row],[Shipping Cost]]</f>
        <v>134.05000000000001</v>
      </c>
      <c r="Z206" s="78">
        <f>IFERROR(OrdersTable[[#This Row],[Profit]]/OrdersTable[[#This Row],[Net Revenue]],0)</f>
        <v>0.47192395704981521</v>
      </c>
      <c r="AA206" t="s">
        <v>3495</v>
      </c>
      <c r="AB206" s="79">
        <v>45330</v>
      </c>
      <c r="AC206">
        <f>OrdersTable[[#This Row],[Delivery Date]]-OrdersTable[[#This Row],[Order Date]]</f>
        <v>2</v>
      </c>
      <c r="AD206" t="str">
        <f>IF(OrdersTable[[#This Row],[Delivery Days]]&lt;=2, "Express (≤2d)", IF(OrdersTable[[#This Row],[Delivery Days]]&lt;=4, "Standard (3-4d)", "Delayed (5d+)"))</f>
        <v>Express (≤2d)</v>
      </c>
      <c r="AE206">
        <v>3</v>
      </c>
      <c r="AF206">
        <v>0</v>
      </c>
    </row>
    <row r="207" spans="1:32" ht="15" x14ac:dyDescent="0.35">
      <c r="A207" t="s">
        <v>52</v>
      </c>
      <c r="B207" s="1">
        <v>45329</v>
      </c>
      <c r="C207">
        <f>YEAR(OrdersTable[[#This Row],[Order Date]])</f>
        <v>2024</v>
      </c>
      <c r="D207" s="2">
        <f>DATE(YEAR(OrdersTable[[#This Row],[Order Date]]),MONTH(OrdersTable[[#This Row],[Order Date]]),1)</f>
        <v>45323</v>
      </c>
      <c r="E207">
        <f>MONTH(OrdersTable[[#This Row],[Order Date]])</f>
        <v>2</v>
      </c>
      <c r="F207" t="s">
        <v>53</v>
      </c>
      <c r="G207" t="str">
        <f>IF(OrdersTable[[#This Row],[Order Date]]=_xlfn.MINIFS(Order_Date, Customer_ID, OrdersTable[[#This Row],[Customer ID]]), "New", "Repeat")</f>
        <v>New</v>
      </c>
      <c r="H207" t="s">
        <v>54</v>
      </c>
      <c r="I207" t="str">
        <f>INDEX(State!B:B,MATCH(OrdersTable[[#This Row],[State]],State!A:A,0))</f>
        <v>RJ</v>
      </c>
      <c r="J207" t="str">
        <f>INDEX(State!C:C,MATCH(OrdersTable[[#This Row],[State Code]],State!B:B,0))</f>
        <v>North</v>
      </c>
      <c r="K207" t="s">
        <v>55</v>
      </c>
      <c r="L207" t="s">
        <v>23</v>
      </c>
      <c r="M207" t="s">
        <v>56</v>
      </c>
      <c r="N207" t="str">
        <f>INDEX(Products!B:B,MATCH(OrdersTable[[#This Row],[Product ID]],Products!A:A,0))</f>
        <v>Vitamin C Face Serum</v>
      </c>
      <c r="O207" t="str">
        <f>INDEX(Products!C:C,MATCH(OrdersTable[[#This Row],[Product ID]],Products!A:A,0))</f>
        <v>Skincare</v>
      </c>
      <c r="P207">
        <v>1</v>
      </c>
      <c r="Q207" s="5">
        <v>599</v>
      </c>
      <c r="R207" s="74">
        <v>0.15</v>
      </c>
      <c r="S207" s="75">
        <f>OrdersTable[[#This Row],[Quantity]]*OrdersTable[[#This Row],[Unit Price]]</f>
        <v>599</v>
      </c>
      <c r="T207" s="5">
        <f>OrdersTable[[#This Row],[Gross Sale]]*OrdersTable[[#This Row],[Discount_Clean2]]</f>
        <v>89.85</v>
      </c>
      <c r="U207" s="5">
        <f>OrdersTable[[#This Row],[Gross Sale]]-OrdersTable[[#This Row],[Discount Amount]]</f>
        <v>509.15</v>
      </c>
      <c r="V207" s="77">
        <f>INDEX(Products!E:E,MATCH(OrdersTable[[#This Row],[Product ID]],Products!A:A,0))</f>
        <v>180</v>
      </c>
      <c r="W207" s="77">
        <f>OrdersTable[[#This Row],[Quantity]]*OrdersTable[[#This Row],[Unit Cost]]</f>
        <v>180</v>
      </c>
      <c r="X207" s="77">
        <f>'Dropdown Lists'!$I$2*(1+OrdersTable[[#This Row],[Returned]])</f>
        <v>60</v>
      </c>
      <c r="Y207" s="76">
        <f>OrdersTable[[#This Row],[Net Revenue]]-OrdersTable[[#This Row],[COGS]]-OrdersTable[[#This Row],[Shipping Cost]]</f>
        <v>269.14999999999998</v>
      </c>
      <c r="Z207" s="78">
        <f>IFERROR(OrdersTable[[#This Row],[Profit]]/OrdersTable[[#This Row],[Net Revenue]],0)</f>
        <v>0.52862614160856325</v>
      </c>
      <c r="AA207" t="s">
        <v>18</v>
      </c>
      <c r="AB207" s="79">
        <v>45334</v>
      </c>
      <c r="AC207">
        <f>OrdersTable[[#This Row],[Delivery Date]]-OrdersTable[[#This Row],[Order Date]]</f>
        <v>5</v>
      </c>
      <c r="AD207" t="str">
        <f>IF(OrdersTable[[#This Row],[Delivery Days]]&lt;=2, "Express (≤2d)", IF(OrdersTable[[#This Row],[Delivery Days]]&lt;=4, "Standard (3-4d)", "Delayed (5d+)"))</f>
        <v>Delayed (5d+)</v>
      </c>
      <c r="AE207">
        <v>4</v>
      </c>
      <c r="AF207">
        <v>0</v>
      </c>
    </row>
    <row r="208" spans="1:32" ht="15" x14ac:dyDescent="0.35">
      <c r="A208" t="s">
        <v>4329</v>
      </c>
      <c r="B208" s="1">
        <v>45329</v>
      </c>
      <c r="C208">
        <f>YEAR(OrdersTable[[#This Row],[Order Date]])</f>
        <v>2024</v>
      </c>
      <c r="D208" s="2">
        <f>DATE(YEAR(OrdersTable[[#This Row],[Order Date]]),MONTH(OrdersTable[[#This Row],[Order Date]]),1)</f>
        <v>45323</v>
      </c>
      <c r="E208">
        <f>MONTH(OrdersTable[[#This Row],[Order Date]])</f>
        <v>2</v>
      </c>
      <c r="F208" t="s">
        <v>817</v>
      </c>
      <c r="G208" t="str">
        <f>IF(OrdersTable[[#This Row],[Order Date]]=_xlfn.MINIFS(Order_Date, Customer_ID, OrdersTable[[#This Row],[Customer ID]]), "New", "Repeat")</f>
        <v>New</v>
      </c>
      <c r="H208" t="s">
        <v>71</v>
      </c>
      <c r="I208" t="str">
        <f>INDEX(State!B:B,MATCH(OrdersTable[[#This Row],[State]],State!A:A,0))</f>
        <v>MH</v>
      </c>
      <c r="J208" t="str">
        <f>INDEX(State!C:C,MATCH(OrdersTable[[#This Row],[State Code]],State!B:B,0))</f>
        <v>West</v>
      </c>
      <c r="K208" t="s">
        <v>102</v>
      </c>
      <c r="L208" t="s">
        <v>23</v>
      </c>
      <c r="M208" t="s">
        <v>228</v>
      </c>
      <c r="N208" t="str">
        <f>INDEX(Products!B:B,MATCH(OrdersTable[[#This Row],[Product ID]],Products!A:A,0))</f>
        <v>Fast Charger 33W</v>
      </c>
      <c r="O208" t="str">
        <f>INDEX(Products!C:C,MATCH(OrdersTable[[#This Row],[Product ID]],Products!A:A,0))</f>
        <v>Electronics</v>
      </c>
      <c r="P208">
        <v>1</v>
      </c>
      <c r="Q208" s="5">
        <v>899</v>
      </c>
      <c r="R208" s="74">
        <v>0.05</v>
      </c>
      <c r="S208" s="75">
        <f>OrdersTable[[#This Row],[Quantity]]*OrdersTable[[#This Row],[Unit Price]]</f>
        <v>899</v>
      </c>
      <c r="T208" s="5">
        <f>OrdersTable[[#This Row],[Gross Sale]]*OrdersTable[[#This Row],[Discount_Clean2]]</f>
        <v>44.95</v>
      </c>
      <c r="U208" s="5">
        <f>OrdersTable[[#This Row],[Gross Sale]]-OrdersTable[[#This Row],[Discount Amount]]</f>
        <v>854.05</v>
      </c>
      <c r="V208" s="77">
        <f>INDEX(Products!E:E,MATCH(OrdersTable[[#This Row],[Product ID]],Products!A:A,0))</f>
        <v>494</v>
      </c>
      <c r="W208" s="77">
        <f>OrdersTable[[#This Row],[Quantity]]*OrdersTable[[#This Row],[Unit Cost]]</f>
        <v>494</v>
      </c>
      <c r="X208" s="77">
        <f>'Dropdown Lists'!$I$2*(1+OrdersTable[[#This Row],[Returned]])</f>
        <v>60</v>
      </c>
      <c r="Y208" s="76">
        <f>OrdersTable[[#This Row],[Net Revenue]]-OrdersTable[[#This Row],[COGS]]-OrdersTable[[#This Row],[Shipping Cost]]</f>
        <v>300.04999999999995</v>
      </c>
      <c r="Z208" s="78">
        <f>IFERROR(OrdersTable[[#This Row],[Profit]]/OrdersTable[[#This Row],[Net Revenue]],0)</f>
        <v>0.35132603477548152</v>
      </c>
      <c r="AA208" t="s">
        <v>4074</v>
      </c>
      <c r="AB208" s="79">
        <v>45333</v>
      </c>
      <c r="AC208">
        <f>OrdersTable[[#This Row],[Delivery Date]]-OrdersTable[[#This Row],[Order Date]]</f>
        <v>4</v>
      </c>
      <c r="AD208" t="str">
        <f>IF(OrdersTable[[#This Row],[Delivery Days]]&lt;=2, "Express (≤2d)", IF(OrdersTable[[#This Row],[Delivery Days]]&lt;=4, "Standard (3-4d)", "Delayed (5d+)"))</f>
        <v>Standard (3-4d)</v>
      </c>
      <c r="AE208">
        <v>4</v>
      </c>
      <c r="AF208">
        <v>0</v>
      </c>
    </row>
    <row r="209" spans="1:32" ht="15" x14ac:dyDescent="0.35">
      <c r="A209" t="s">
        <v>4330</v>
      </c>
      <c r="B209" s="1">
        <v>45329</v>
      </c>
      <c r="C209">
        <f>YEAR(OrdersTable[[#This Row],[Order Date]])</f>
        <v>2024</v>
      </c>
      <c r="D209" s="2">
        <f>DATE(YEAR(OrdersTable[[#This Row],[Order Date]]),MONTH(OrdersTable[[#This Row],[Order Date]]),1)</f>
        <v>45323</v>
      </c>
      <c r="E209">
        <f>MONTH(OrdersTable[[#This Row],[Order Date]])</f>
        <v>2</v>
      </c>
      <c r="F209" t="s">
        <v>4331</v>
      </c>
      <c r="G209" t="str">
        <f>IF(OrdersTable[[#This Row],[Order Date]]=_xlfn.MINIFS(Order_Date, Customer_ID, OrdersTable[[#This Row],[Customer ID]]), "New", "Repeat")</f>
        <v>New</v>
      </c>
      <c r="H209" t="s">
        <v>95</v>
      </c>
      <c r="I209" t="str">
        <f>INDEX(State!B:B,MATCH(OrdersTable[[#This Row],[State]],State!A:A,0))</f>
        <v>TG</v>
      </c>
      <c r="J209" t="str">
        <f>INDEX(State!C:C,MATCH(OrdersTable[[#This Row],[State Code]],State!B:B,0))</f>
        <v>South</v>
      </c>
      <c r="K209" t="s">
        <v>96</v>
      </c>
      <c r="L209" t="s">
        <v>16</v>
      </c>
      <c r="M209" t="s">
        <v>576</v>
      </c>
      <c r="N209" t="str">
        <f>INDEX(Products!B:B,MATCH(OrdersTable[[#This Row],[Product ID]],Products!A:A,0))</f>
        <v>Printed Saree</v>
      </c>
      <c r="O209" t="str">
        <f>INDEX(Products!C:C,MATCH(OrdersTable[[#This Row],[Product ID]],Products!A:A,0))</f>
        <v>Apparel</v>
      </c>
      <c r="P209">
        <v>1</v>
      </c>
      <c r="Q209" s="5">
        <v>1999</v>
      </c>
      <c r="R209" s="74">
        <v>0.05</v>
      </c>
      <c r="S209" s="75">
        <f>OrdersTable[[#This Row],[Quantity]]*OrdersTable[[#This Row],[Unit Price]]</f>
        <v>1999</v>
      </c>
      <c r="T209" s="5">
        <f>OrdersTable[[#This Row],[Gross Sale]]*OrdersTable[[#This Row],[Discount_Clean2]]</f>
        <v>99.95</v>
      </c>
      <c r="U209" s="5">
        <f>OrdersTable[[#This Row],[Gross Sale]]-OrdersTable[[#This Row],[Discount Amount]]</f>
        <v>1899.05</v>
      </c>
      <c r="V209" s="77">
        <f>INDEX(Products!E:E,MATCH(OrdersTable[[#This Row],[Product ID]],Products!A:A,0))</f>
        <v>880</v>
      </c>
      <c r="W209" s="77">
        <f>OrdersTable[[#This Row],[Quantity]]*OrdersTable[[#This Row],[Unit Cost]]</f>
        <v>880</v>
      </c>
      <c r="X209" s="77">
        <f>'Dropdown Lists'!$I$2*(1+OrdersTable[[#This Row],[Returned]])</f>
        <v>120</v>
      </c>
      <c r="Y209" s="76">
        <f>OrdersTable[[#This Row],[Net Revenue]]-OrdersTable[[#This Row],[COGS]]-OrdersTable[[#This Row],[Shipping Cost]]</f>
        <v>899.05</v>
      </c>
      <c r="Z209" s="78">
        <f>IFERROR(OrdersTable[[#This Row],[Profit]]/OrdersTable[[#This Row],[Net Revenue]],0)</f>
        <v>0.47342092098680916</v>
      </c>
      <c r="AA209" t="s">
        <v>4074</v>
      </c>
      <c r="AB209" s="79">
        <v>45331</v>
      </c>
      <c r="AC209">
        <f>OrdersTable[[#This Row],[Delivery Date]]-OrdersTable[[#This Row],[Order Date]]</f>
        <v>2</v>
      </c>
      <c r="AD209" t="str">
        <f>IF(OrdersTable[[#This Row],[Delivery Days]]&lt;=2, "Express (≤2d)", IF(OrdersTable[[#This Row],[Delivery Days]]&lt;=4, "Standard (3-4d)", "Delayed (5d+)"))</f>
        <v>Express (≤2d)</v>
      </c>
      <c r="AE209">
        <v>4</v>
      </c>
      <c r="AF209">
        <v>1</v>
      </c>
    </row>
    <row r="210" spans="1:32" ht="15" x14ac:dyDescent="0.35">
      <c r="A210" t="s">
        <v>5301</v>
      </c>
      <c r="B210" s="1">
        <v>45330</v>
      </c>
      <c r="C210">
        <f>YEAR(OrdersTable[[#This Row],[Order Date]])</f>
        <v>2024</v>
      </c>
      <c r="D210" s="2">
        <f>DATE(YEAR(OrdersTable[[#This Row],[Order Date]]),MONTH(OrdersTable[[#This Row],[Order Date]]),1)</f>
        <v>45323</v>
      </c>
      <c r="E210">
        <f>MONTH(OrdersTable[[#This Row],[Order Date]])</f>
        <v>2</v>
      </c>
      <c r="F210" t="s">
        <v>1404</v>
      </c>
      <c r="G210" t="str">
        <f>IF(OrdersTable[[#This Row],[Order Date]]=_xlfn.MINIFS(Order_Date, Customer_ID, OrdersTable[[#This Row],[Customer ID]]), "New", "Repeat")</f>
        <v>New</v>
      </c>
      <c r="H210" t="s">
        <v>54</v>
      </c>
      <c r="I210" t="str">
        <f>INDEX(State!B:B,MATCH(OrdersTable[[#This Row],[State]],State!A:A,0))</f>
        <v>RJ</v>
      </c>
      <c r="J210" t="str">
        <f>INDEX(State!C:C,MATCH(OrdersTable[[#This Row],[State Code]],State!B:B,0))</f>
        <v>North</v>
      </c>
      <c r="K210" t="s">
        <v>55</v>
      </c>
      <c r="L210" t="s">
        <v>65</v>
      </c>
      <c r="M210" t="s">
        <v>148</v>
      </c>
      <c r="N210" t="str">
        <f>INDEX(Products!B:B,MATCH(OrdersTable[[#This Row],[Product ID]],Products!A:A,0))</f>
        <v>Smartwatch Strap</v>
      </c>
      <c r="O210" t="str">
        <f>INDEX(Products!C:C,MATCH(OrdersTable[[#This Row],[Product ID]],Products!A:A,0))</f>
        <v>Electronics</v>
      </c>
      <c r="P210">
        <v>2</v>
      </c>
      <c r="Q210" s="5">
        <v>499</v>
      </c>
      <c r="R210" s="74">
        <v>0.1</v>
      </c>
      <c r="S210" s="75">
        <f>OrdersTable[[#This Row],[Quantity]]*OrdersTable[[#This Row],[Unit Price]]</f>
        <v>998</v>
      </c>
      <c r="T210" s="5">
        <f>OrdersTable[[#This Row],[Gross Sale]]*OrdersTable[[#This Row],[Discount_Clean2]]</f>
        <v>99.800000000000011</v>
      </c>
      <c r="U210" s="5">
        <f>OrdersTable[[#This Row],[Gross Sale]]-OrdersTable[[#This Row],[Discount Amount]]</f>
        <v>898.2</v>
      </c>
      <c r="V210" s="77">
        <f>INDEX(Products!E:E,MATCH(OrdersTable[[#This Row],[Product ID]],Products!A:A,0))</f>
        <v>200</v>
      </c>
      <c r="W210" s="77">
        <f>OrdersTable[[#This Row],[Quantity]]*OrdersTable[[#This Row],[Unit Cost]]</f>
        <v>400</v>
      </c>
      <c r="X210" s="77">
        <f>'Dropdown Lists'!$I$2*(1+OrdersTable[[#This Row],[Returned]])</f>
        <v>60</v>
      </c>
      <c r="Y210" s="76">
        <f>OrdersTable[[#This Row],[Net Revenue]]-OrdersTable[[#This Row],[COGS]]-OrdersTable[[#This Row],[Shipping Cost]]</f>
        <v>438.20000000000005</v>
      </c>
      <c r="Z210" s="78">
        <f>IFERROR(OrdersTable[[#This Row],[Profit]]/OrdersTable[[#This Row],[Net Revenue]],0)</f>
        <v>0.4878646181251392</v>
      </c>
      <c r="AA210" t="s">
        <v>2522</v>
      </c>
      <c r="AB210" s="79">
        <v>45334</v>
      </c>
      <c r="AC210">
        <f>OrdersTable[[#This Row],[Delivery Date]]-OrdersTable[[#This Row],[Order Date]]</f>
        <v>4</v>
      </c>
      <c r="AD210" t="str">
        <f>IF(OrdersTable[[#This Row],[Delivery Days]]&lt;=2, "Express (≤2d)", IF(OrdersTable[[#This Row],[Delivery Days]]&lt;=4, "Standard (3-4d)", "Delayed (5d+)"))</f>
        <v>Standard (3-4d)</v>
      </c>
      <c r="AF210">
        <v>0</v>
      </c>
    </row>
    <row r="211" spans="1:32" ht="15" x14ac:dyDescent="0.35">
      <c r="A211" t="s">
        <v>5065</v>
      </c>
      <c r="B211" s="1">
        <v>45330</v>
      </c>
      <c r="C211">
        <f>YEAR(OrdersTable[[#This Row],[Order Date]])</f>
        <v>2024</v>
      </c>
      <c r="D211" s="2">
        <f>DATE(YEAR(OrdersTable[[#This Row],[Order Date]]),MONTH(OrdersTable[[#This Row],[Order Date]]),1)</f>
        <v>45323</v>
      </c>
      <c r="E211">
        <f>MONTH(OrdersTable[[#This Row],[Order Date]])</f>
        <v>2</v>
      </c>
      <c r="F211" t="s">
        <v>5066</v>
      </c>
      <c r="G211" t="str">
        <f>IF(OrdersTable[[#This Row],[Order Date]]=_xlfn.MINIFS(Order_Date, Customer_ID, OrdersTable[[#This Row],[Customer ID]]), "New", "Repeat")</f>
        <v>New</v>
      </c>
      <c r="H211" t="s">
        <v>128</v>
      </c>
      <c r="I211" t="str">
        <f>INDEX(State!B:B,MATCH(OrdersTable[[#This Row],[State]],State!A:A,0))</f>
        <v>DL</v>
      </c>
      <c r="J211" t="str">
        <f>INDEX(State!C:C,MATCH(OrdersTable[[#This Row],[State Code]],State!B:B,0))</f>
        <v>North</v>
      </c>
      <c r="K211" t="s">
        <v>129</v>
      </c>
      <c r="L211" t="s">
        <v>50</v>
      </c>
      <c r="M211" t="s">
        <v>109</v>
      </c>
      <c r="N211" t="str">
        <f>INDEX(Products!B:B,MATCH(OrdersTable[[#This Row],[Product ID]],Products!A:A,0))</f>
        <v>Onion Hair Oil</v>
      </c>
      <c r="O211" t="str">
        <f>INDEX(Products!C:C,MATCH(OrdersTable[[#This Row],[Product ID]],Products!A:A,0))</f>
        <v>Haircare</v>
      </c>
      <c r="P211">
        <v>2</v>
      </c>
      <c r="Q211" s="5">
        <v>349</v>
      </c>
      <c r="R211" s="74">
        <v>0.35</v>
      </c>
      <c r="S211" s="75">
        <f>OrdersTable[[#This Row],[Quantity]]*OrdersTable[[#This Row],[Unit Price]]</f>
        <v>698</v>
      </c>
      <c r="T211" s="5">
        <f>OrdersTable[[#This Row],[Gross Sale]]*OrdersTable[[#This Row],[Discount_Clean2]]</f>
        <v>244.29999999999998</v>
      </c>
      <c r="U211" s="5">
        <f>OrdersTable[[#This Row],[Gross Sale]]-OrdersTable[[#This Row],[Discount Amount]]</f>
        <v>453.70000000000005</v>
      </c>
      <c r="V211" s="77">
        <f>INDEX(Products!E:E,MATCH(OrdersTable[[#This Row],[Product ID]],Products!A:A,0))</f>
        <v>105</v>
      </c>
      <c r="W211" s="77">
        <f>OrdersTable[[#This Row],[Quantity]]*OrdersTable[[#This Row],[Unit Cost]]</f>
        <v>210</v>
      </c>
      <c r="X211" s="77">
        <f>'Dropdown Lists'!$I$2*(1+OrdersTable[[#This Row],[Returned]])</f>
        <v>60</v>
      </c>
      <c r="Y211" s="76">
        <f>OrdersTable[[#This Row],[Net Revenue]]-OrdersTable[[#This Row],[COGS]]-OrdersTable[[#This Row],[Shipping Cost]]</f>
        <v>183.70000000000005</v>
      </c>
      <c r="Z211" s="78">
        <f>IFERROR(OrdersTable[[#This Row],[Profit]]/OrdersTable[[#This Row],[Net Revenue]],0)</f>
        <v>0.40489310116817284</v>
      </c>
      <c r="AA211" t="s">
        <v>3495</v>
      </c>
      <c r="AB211" s="79">
        <v>45331</v>
      </c>
      <c r="AC211">
        <f>OrdersTable[[#This Row],[Delivery Date]]-OrdersTable[[#This Row],[Order Date]]</f>
        <v>1</v>
      </c>
      <c r="AD211" t="str">
        <f>IF(OrdersTable[[#This Row],[Delivery Days]]&lt;=2, "Express (≤2d)", IF(OrdersTable[[#This Row],[Delivery Days]]&lt;=4, "Standard (3-4d)", "Delayed (5d+)"))</f>
        <v>Express (≤2d)</v>
      </c>
      <c r="AE211">
        <v>4</v>
      </c>
      <c r="AF211">
        <v>0</v>
      </c>
    </row>
    <row r="212" spans="1:32" ht="15" x14ac:dyDescent="0.35">
      <c r="A212" t="s">
        <v>3951</v>
      </c>
      <c r="B212" s="1">
        <v>45330</v>
      </c>
      <c r="C212">
        <f>YEAR(OrdersTable[[#This Row],[Order Date]])</f>
        <v>2024</v>
      </c>
      <c r="D212" s="2">
        <f>DATE(YEAR(OrdersTable[[#This Row],[Order Date]]),MONTH(OrdersTable[[#This Row],[Order Date]]),1)</f>
        <v>45323</v>
      </c>
      <c r="E212">
        <f>MONTH(OrdersTable[[#This Row],[Order Date]])</f>
        <v>2</v>
      </c>
      <c r="F212" t="s">
        <v>3952</v>
      </c>
      <c r="G212" t="str">
        <f>IF(OrdersTable[[#This Row],[Order Date]]=_xlfn.MINIFS(Order_Date, Customer_ID, OrdersTable[[#This Row],[Customer ID]]), "New", "Repeat")</f>
        <v>Repeat</v>
      </c>
      <c r="H212" t="s">
        <v>71</v>
      </c>
      <c r="I212" t="str">
        <f>INDEX(State!B:B,MATCH(OrdersTable[[#This Row],[State]],State!A:A,0))</f>
        <v>MH</v>
      </c>
      <c r="J212" t="str">
        <f>INDEX(State!C:C,MATCH(OrdersTable[[#This Row],[State Code]],State!B:B,0))</f>
        <v>West</v>
      </c>
      <c r="K212" t="s">
        <v>81</v>
      </c>
      <c r="L212" t="s">
        <v>65</v>
      </c>
      <c r="M212" t="s">
        <v>61</v>
      </c>
      <c r="N212" t="str">
        <f>INDEX(Products!B:B,MATCH(OrdersTable[[#This Row],[Product ID]],Products!A:A,0))</f>
        <v>Multivitamin Gummies</v>
      </c>
      <c r="O212" t="str">
        <f>INDEX(Products!C:C,MATCH(OrdersTable[[#This Row],[Product ID]],Products!A:A,0))</f>
        <v>Wellness</v>
      </c>
      <c r="P212">
        <v>1</v>
      </c>
      <c r="Q212" s="5">
        <v>699</v>
      </c>
      <c r="R212" s="74">
        <v>0.2</v>
      </c>
      <c r="S212" s="75">
        <f>OrdersTable[[#This Row],[Quantity]]*OrdersTable[[#This Row],[Unit Price]]</f>
        <v>699</v>
      </c>
      <c r="T212" s="5">
        <f>OrdersTable[[#This Row],[Gross Sale]]*OrdersTable[[#This Row],[Discount_Clean2]]</f>
        <v>139.80000000000001</v>
      </c>
      <c r="U212" s="5">
        <f>OrdersTable[[#This Row],[Gross Sale]]-OrdersTable[[#This Row],[Discount Amount]]</f>
        <v>559.20000000000005</v>
      </c>
      <c r="V212" s="77">
        <f>INDEX(Products!E:E,MATCH(OrdersTable[[#This Row],[Product ID]],Products!A:A,0))</f>
        <v>238</v>
      </c>
      <c r="W212" s="77">
        <f>OrdersTable[[#This Row],[Quantity]]*OrdersTable[[#This Row],[Unit Cost]]</f>
        <v>238</v>
      </c>
      <c r="X212" s="77">
        <f>'Dropdown Lists'!$I$2*(1+OrdersTable[[#This Row],[Returned]])</f>
        <v>60</v>
      </c>
      <c r="Y212" s="76">
        <f>OrdersTable[[#This Row],[Net Revenue]]-OrdersTable[[#This Row],[COGS]]-OrdersTable[[#This Row],[Shipping Cost]]</f>
        <v>261.20000000000005</v>
      </c>
      <c r="Z212" s="78">
        <f>IFERROR(OrdersTable[[#This Row],[Profit]]/OrdersTable[[#This Row],[Net Revenue]],0)</f>
        <v>0.46709585121602293</v>
      </c>
      <c r="AA212" t="s">
        <v>3495</v>
      </c>
      <c r="AB212" s="79">
        <v>45333</v>
      </c>
      <c r="AC212">
        <f>OrdersTable[[#This Row],[Delivery Date]]-OrdersTable[[#This Row],[Order Date]]</f>
        <v>3</v>
      </c>
      <c r="AD212" t="str">
        <f>IF(OrdersTable[[#This Row],[Delivery Days]]&lt;=2, "Express (≤2d)", IF(OrdersTable[[#This Row],[Delivery Days]]&lt;=4, "Standard (3-4d)", "Delayed (5d+)"))</f>
        <v>Standard (3-4d)</v>
      </c>
      <c r="AE212">
        <v>5</v>
      </c>
      <c r="AF212">
        <v>0</v>
      </c>
    </row>
    <row r="213" spans="1:32" ht="15" x14ac:dyDescent="0.35">
      <c r="A213" t="s">
        <v>2695</v>
      </c>
      <c r="B213" s="1">
        <v>45330</v>
      </c>
      <c r="C213">
        <f>YEAR(OrdersTable[[#This Row],[Order Date]])</f>
        <v>2024</v>
      </c>
      <c r="D213" s="2">
        <f>DATE(YEAR(OrdersTable[[#This Row],[Order Date]]),MONTH(OrdersTable[[#This Row],[Order Date]]),1)</f>
        <v>45323</v>
      </c>
      <c r="E213">
        <f>MONTH(OrdersTable[[#This Row],[Order Date]])</f>
        <v>2</v>
      </c>
      <c r="F213" t="s">
        <v>2100</v>
      </c>
      <c r="G213" t="str">
        <f>IF(OrdersTable[[#This Row],[Order Date]]=_xlfn.MINIFS(Order_Date, Customer_ID, OrdersTable[[#This Row],[Customer ID]]), "New", "Repeat")</f>
        <v>New</v>
      </c>
      <c r="H213" t="s">
        <v>59</v>
      </c>
      <c r="I213" t="str">
        <f>INDEX(State!B:B,MATCH(OrdersTable[[#This Row],[State]],State!A:A,0))</f>
        <v>TN</v>
      </c>
      <c r="J213" t="str">
        <f>INDEX(State!C:C,MATCH(OrdersTable[[#This Row],[State Code]],State!B:B,0))</f>
        <v>South</v>
      </c>
      <c r="K213" t="s">
        <v>64</v>
      </c>
      <c r="L213" t="s">
        <v>39</v>
      </c>
      <c r="M213" t="s">
        <v>423</v>
      </c>
      <c r="N213" t="str">
        <f>INDEX(Products!B:B,MATCH(OrdersTable[[#This Row],[Product ID]],Products!A:A,0))</f>
        <v>Power Bank 20000mAh</v>
      </c>
      <c r="O213" t="str">
        <f>INDEX(Products!C:C,MATCH(OrdersTable[[#This Row],[Product ID]],Products!A:A,0))</f>
        <v>Electronics</v>
      </c>
      <c r="P213">
        <v>1</v>
      </c>
      <c r="Q213" s="5">
        <v>1799</v>
      </c>
      <c r="R213" s="74">
        <v>0.25</v>
      </c>
      <c r="S213" s="75">
        <f>OrdersTable[[#This Row],[Quantity]]*OrdersTable[[#This Row],[Unit Price]]</f>
        <v>1799</v>
      </c>
      <c r="T213" s="5">
        <f>OrdersTable[[#This Row],[Gross Sale]]*OrdersTable[[#This Row],[Discount_Clean2]]</f>
        <v>449.75</v>
      </c>
      <c r="U213" s="5">
        <f>OrdersTable[[#This Row],[Gross Sale]]-OrdersTable[[#This Row],[Discount Amount]]</f>
        <v>1349.25</v>
      </c>
      <c r="V213" s="77">
        <f>INDEX(Products!E:E,MATCH(OrdersTable[[#This Row],[Product ID]],Products!A:A,0))</f>
        <v>1079</v>
      </c>
      <c r="W213" s="77">
        <f>OrdersTable[[#This Row],[Quantity]]*OrdersTable[[#This Row],[Unit Cost]]</f>
        <v>1079</v>
      </c>
      <c r="X213" s="77">
        <f>'Dropdown Lists'!$I$2*(1+OrdersTable[[#This Row],[Returned]])</f>
        <v>60</v>
      </c>
      <c r="Y213" s="76">
        <f>OrdersTable[[#This Row],[Net Revenue]]-OrdersTable[[#This Row],[COGS]]-OrdersTable[[#This Row],[Shipping Cost]]</f>
        <v>210.25</v>
      </c>
      <c r="Z213" s="78">
        <f>IFERROR(OrdersTable[[#This Row],[Profit]]/OrdersTable[[#This Row],[Net Revenue]],0)</f>
        <v>0.15582731146933482</v>
      </c>
      <c r="AA213" t="s">
        <v>2522</v>
      </c>
      <c r="AB213" s="79">
        <v>45335</v>
      </c>
      <c r="AC213">
        <f>OrdersTable[[#This Row],[Delivery Date]]-OrdersTable[[#This Row],[Order Date]]</f>
        <v>5</v>
      </c>
      <c r="AD213" t="str">
        <f>IF(OrdersTable[[#This Row],[Delivery Days]]&lt;=2, "Express (≤2d)", IF(OrdersTable[[#This Row],[Delivery Days]]&lt;=4, "Standard (3-4d)", "Delayed (5d+)"))</f>
        <v>Delayed (5d+)</v>
      </c>
      <c r="AE213">
        <v>3</v>
      </c>
      <c r="AF213">
        <v>0</v>
      </c>
    </row>
    <row r="214" spans="1:32" ht="15" x14ac:dyDescent="0.35">
      <c r="A214" t="s">
        <v>2214</v>
      </c>
      <c r="B214" s="1">
        <v>45330</v>
      </c>
      <c r="C214">
        <f>YEAR(OrdersTable[[#This Row],[Order Date]])</f>
        <v>2024</v>
      </c>
      <c r="D214" s="2">
        <f>DATE(YEAR(OrdersTable[[#This Row],[Order Date]]),MONTH(OrdersTable[[#This Row],[Order Date]]),1)</f>
        <v>45323</v>
      </c>
      <c r="E214">
        <f>MONTH(OrdersTable[[#This Row],[Order Date]])</f>
        <v>2</v>
      </c>
      <c r="F214" t="s">
        <v>2215</v>
      </c>
      <c r="G214" t="str">
        <f>IF(OrdersTable[[#This Row],[Order Date]]=_xlfn.MINIFS(Order_Date, Customer_ID, OrdersTable[[#This Row],[Customer ID]]), "New", "Repeat")</f>
        <v>New</v>
      </c>
      <c r="H214" t="s">
        <v>59</v>
      </c>
      <c r="I214" t="str">
        <f>INDEX(State!B:B,MATCH(OrdersTable[[#This Row],[State]],State!A:A,0))</f>
        <v>TN</v>
      </c>
      <c r="J214" t="str">
        <f>INDEX(State!C:C,MATCH(OrdersTable[[#This Row],[State Code]],State!B:B,0))</f>
        <v>South</v>
      </c>
      <c r="K214" t="s">
        <v>60</v>
      </c>
      <c r="L214" t="s">
        <v>23</v>
      </c>
      <c r="M214" t="s">
        <v>109</v>
      </c>
      <c r="N214" t="str">
        <f>INDEX(Products!B:B,MATCH(OrdersTable[[#This Row],[Product ID]],Products!A:A,0))</f>
        <v>Onion Hair Oil</v>
      </c>
      <c r="O214" t="str">
        <f>INDEX(Products!C:C,MATCH(OrdersTable[[#This Row],[Product ID]],Products!A:A,0))</f>
        <v>Haircare</v>
      </c>
      <c r="P214">
        <v>1</v>
      </c>
      <c r="Q214" s="5">
        <v>349</v>
      </c>
      <c r="R214" s="74">
        <v>0.3</v>
      </c>
      <c r="S214" s="75">
        <f>OrdersTable[[#This Row],[Quantity]]*OrdersTable[[#This Row],[Unit Price]]</f>
        <v>349</v>
      </c>
      <c r="T214" s="5">
        <f>OrdersTable[[#This Row],[Gross Sale]]*OrdersTable[[#This Row],[Discount_Clean2]]</f>
        <v>104.7</v>
      </c>
      <c r="U214" s="5">
        <f>OrdersTable[[#This Row],[Gross Sale]]-OrdersTable[[#This Row],[Discount Amount]]</f>
        <v>244.3</v>
      </c>
      <c r="V214" s="77">
        <f>INDEX(Products!E:E,MATCH(OrdersTable[[#This Row],[Product ID]],Products!A:A,0))</f>
        <v>105</v>
      </c>
      <c r="W214" s="77">
        <f>OrdersTable[[#This Row],[Quantity]]*OrdersTable[[#This Row],[Unit Cost]]</f>
        <v>105</v>
      </c>
      <c r="X214" s="77">
        <f>'Dropdown Lists'!$I$2*(1+OrdersTable[[#This Row],[Returned]])</f>
        <v>60</v>
      </c>
      <c r="Y214" s="76">
        <f>OrdersTable[[#This Row],[Net Revenue]]-OrdersTable[[#This Row],[COGS]]-OrdersTable[[#This Row],[Shipping Cost]]</f>
        <v>79.300000000000011</v>
      </c>
      <c r="Z214" s="78">
        <f>IFERROR(OrdersTable[[#This Row],[Profit]]/OrdersTable[[#This Row],[Net Revenue]],0)</f>
        <v>0.32460090053213264</v>
      </c>
      <c r="AA214" t="s">
        <v>18</v>
      </c>
      <c r="AB214" s="79">
        <v>45331</v>
      </c>
      <c r="AC214">
        <f>OrdersTable[[#This Row],[Delivery Date]]-OrdersTable[[#This Row],[Order Date]]</f>
        <v>1</v>
      </c>
      <c r="AD214" t="str">
        <f>IF(OrdersTable[[#This Row],[Delivery Days]]&lt;=2, "Express (≤2d)", IF(OrdersTable[[#This Row],[Delivery Days]]&lt;=4, "Standard (3-4d)", "Delayed (5d+)"))</f>
        <v>Express (≤2d)</v>
      </c>
      <c r="AE214">
        <v>5</v>
      </c>
      <c r="AF214">
        <v>0</v>
      </c>
    </row>
    <row r="215" spans="1:32" ht="15" x14ac:dyDescent="0.35">
      <c r="A215" t="s">
        <v>57</v>
      </c>
      <c r="B215" s="1">
        <v>45330</v>
      </c>
      <c r="C215">
        <f>YEAR(OrdersTable[[#This Row],[Order Date]])</f>
        <v>2024</v>
      </c>
      <c r="D215" s="2">
        <f>DATE(YEAR(OrdersTable[[#This Row],[Order Date]]),MONTH(OrdersTable[[#This Row],[Order Date]]),1)</f>
        <v>45323</v>
      </c>
      <c r="E215">
        <f>MONTH(OrdersTable[[#This Row],[Order Date]])</f>
        <v>2</v>
      </c>
      <c r="F215" t="s">
        <v>58</v>
      </c>
      <c r="G215" t="str">
        <f>IF(OrdersTable[[#This Row],[Order Date]]=_xlfn.MINIFS(Order_Date, Customer_ID, OrdersTable[[#This Row],[Customer ID]]), "New", "Repeat")</f>
        <v>New</v>
      </c>
      <c r="H215" t="s">
        <v>59</v>
      </c>
      <c r="I215" t="str">
        <f>INDEX(State!B:B,MATCH(OrdersTable[[#This Row],[State]],State!A:A,0))</f>
        <v>TN</v>
      </c>
      <c r="J215" t="str">
        <f>INDEX(State!C:C,MATCH(OrdersTable[[#This Row],[State Code]],State!B:B,0))</f>
        <v>South</v>
      </c>
      <c r="K215" t="s">
        <v>60</v>
      </c>
      <c r="L215" t="s">
        <v>23</v>
      </c>
      <c r="M215" t="s">
        <v>61</v>
      </c>
      <c r="N215" t="str">
        <f>INDEX(Products!B:B,MATCH(OrdersTable[[#This Row],[Product ID]],Products!A:A,0))</f>
        <v>Multivitamin Gummies</v>
      </c>
      <c r="O215" t="str">
        <f>INDEX(Products!C:C,MATCH(OrdersTable[[#This Row],[Product ID]],Products!A:A,0))</f>
        <v>Wellness</v>
      </c>
      <c r="P215">
        <v>1</v>
      </c>
      <c r="Q215" s="5">
        <v>699</v>
      </c>
      <c r="R215" s="74">
        <v>0.15</v>
      </c>
      <c r="S215" s="75">
        <f>OrdersTable[[#This Row],[Quantity]]*OrdersTable[[#This Row],[Unit Price]]</f>
        <v>699</v>
      </c>
      <c r="T215" s="5">
        <f>OrdersTable[[#This Row],[Gross Sale]]*OrdersTable[[#This Row],[Discount_Clean2]]</f>
        <v>104.85</v>
      </c>
      <c r="U215" s="5">
        <f>OrdersTable[[#This Row],[Gross Sale]]-OrdersTable[[#This Row],[Discount Amount]]</f>
        <v>594.15</v>
      </c>
      <c r="V215" s="77">
        <f>INDEX(Products!E:E,MATCH(OrdersTable[[#This Row],[Product ID]],Products!A:A,0))</f>
        <v>238</v>
      </c>
      <c r="W215" s="77">
        <f>OrdersTable[[#This Row],[Quantity]]*OrdersTable[[#This Row],[Unit Cost]]</f>
        <v>238</v>
      </c>
      <c r="X215" s="77">
        <f>'Dropdown Lists'!$I$2*(1+OrdersTable[[#This Row],[Returned]])</f>
        <v>60</v>
      </c>
      <c r="Y215" s="76">
        <f>OrdersTable[[#This Row],[Net Revenue]]-OrdersTable[[#This Row],[COGS]]-OrdersTable[[#This Row],[Shipping Cost]]</f>
        <v>296.14999999999998</v>
      </c>
      <c r="Z215" s="78">
        <f>IFERROR(OrdersTable[[#This Row],[Profit]]/OrdersTable[[#This Row],[Net Revenue]],0)</f>
        <v>0.49844315408566858</v>
      </c>
      <c r="AA215" t="s">
        <v>18</v>
      </c>
      <c r="AB215" s="79">
        <v>45333</v>
      </c>
      <c r="AC215">
        <f>OrdersTable[[#This Row],[Delivery Date]]-OrdersTable[[#This Row],[Order Date]]</f>
        <v>3</v>
      </c>
      <c r="AD215" t="str">
        <f>IF(OrdersTable[[#This Row],[Delivery Days]]&lt;=2, "Express (≤2d)", IF(OrdersTable[[#This Row],[Delivery Days]]&lt;=4, "Standard (3-4d)", "Delayed (5d+)"))</f>
        <v>Standard (3-4d)</v>
      </c>
      <c r="AE215">
        <v>4</v>
      </c>
      <c r="AF215">
        <v>0</v>
      </c>
    </row>
    <row r="216" spans="1:32" ht="15" x14ac:dyDescent="0.35">
      <c r="A216" t="s">
        <v>3392</v>
      </c>
      <c r="B216" s="1">
        <v>45331</v>
      </c>
      <c r="C216">
        <f>YEAR(OrdersTable[[#This Row],[Order Date]])</f>
        <v>2024</v>
      </c>
      <c r="D216" s="2">
        <f>DATE(YEAR(OrdersTable[[#This Row],[Order Date]]),MONTH(OrdersTable[[#This Row],[Order Date]]),1)</f>
        <v>45323</v>
      </c>
      <c r="E216">
        <f>MONTH(OrdersTable[[#This Row],[Order Date]])</f>
        <v>2</v>
      </c>
      <c r="F216" t="s">
        <v>2623</v>
      </c>
      <c r="G216" t="str">
        <f>IF(OrdersTable[[#This Row],[Order Date]]=_xlfn.MINIFS(Order_Date, Customer_ID, OrdersTable[[#This Row],[Customer ID]]), "New", "Repeat")</f>
        <v>New</v>
      </c>
      <c r="H216" t="s">
        <v>184</v>
      </c>
      <c r="I216" t="str">
        <f>INDEX(State!B:B,MATCH(OrdersTable[[#This Row],[State]],State!A:A,0))</f>
        <v>UK</v>
      </c>
      <c r="J216" t="str">
        <f>INDEX(State!C:C,MATCH(OrdersTable[[#This Row],[State Code]],State!B:B,0))</f>
        <v>North</v>
      </c>
      <c r="K216" t="s">
        <v>185</v>
      </c>
      <c r="L216" t="s">
        <v>65</v>
      </c>
      <c r="M216" t="s">
        <v>66</v>
      </c>
      <c r="N216" t="str">
        <f>INDEX(Products!B:B,MATCH(OrdersTable[[#This Row],[Product ID]],Products!A:A,0))</f>
        <v>Sunscreen SPF 50</v>
      </c>
      <c r="O216" t="str">
        <f>INDEX(Products!C:C,MATCH(OrdersTable[[#This Row],[Product ID]],Products!A:A,0))</f>
        <v>Skincare</v>
      </c>
      <c r="P216">
        <v>1</v>
      </c>
      <c r="Q216" s="5">
        <v>449</v>
      </c>
      <c r="R216" s="74">
        <v>0.05</v>
      </c>
      <c r="S216" s="75">
        <f>OrdersTable[[#This Row],[Quantity]]*OrdersTable[[#This Row],[Unit Price]]</f>
        <v>449</v>
      </c>
      <c r="T216" s="5">
        <f>OrdersTable[[#This Row],[Gross Sale]]*OrdersTable[[#This Row],[Discount_Clean2]]</f>
        <v>22.450000000000003</v>
      </c>
      <c r="U216" s="5">
        <f>OrdersTable[[#This Row],[Gross Sale]]-OrdersTable[[#This Row],[Discount Amount]]</f>
        <v>426.55</v>
      </c>
      <c r="V216" s="77">
        <f>INDEX(Products!E:E,MATCH(OrdersTable[[#This Row],[Product ID]],Products!A:A,0))</f>
        <v>144</v>
      </c>
      <c r="W216" s="77">
        <f>OrdersTable[[#This Row],[Quantity]]*OrdersTable[[#This Row],[Unit Cost]]</f>
        <v>144</v>
      </c>
      <c r="X216" s="77">
        <f>'Dropdown Lists'!$I$2*(1+OrdersTable[[#This Row],[Returned]])</f>
        <v>60</v>
      </c>
      <c r="Y216" s="76">
        <f>OrdersTable[[#This Row],[Net Revenue]]-OrdersTable[[#This Row],[COGS]]-OrdersTable[[#This Row],[Shipping Cost]]</f>
        <v>222.55</v>
      </c>
      <c r="Z216" s="78">
        <f>IFERROR(OrdersTable[[#This Row],[Profit]]/OrdersTable[[#This Row],[Net Revenue]],0)</f>
        <v>0.52174422693705313</v>
      </c>
      <c r="AA216" t="s">
        <v>2522</v>
      </c>
      <c r="AB216" s="79">
        <v>45336</v>
      </c>
      <c r="AC216">
        <f>OrdersTable[[#This Row],[Delivery Date]]-OrdersTable[[#This Row],[Order Date]]</f>
        <v>5</v>
      </c>
      <c r="AD216" t="str">
        <f>IF(OrdersTable[[#This Row],[Delivery Days]]&lt;=2, "Express (≤2d)", IF(OrdersTable[[#This Row],[Delivery Days]]&lt;=4, "Standard (3-4d)", "Delayed (5d+)"))</f>
        <v>Delayed (5d+)</v>
      </c>
      <c r="AE216">
        <v>4</v>
      </c>
      <c r="AF216">
        <v>0</v>
      </c>
    </row>
    <row r="217" spans="1:32" ht="15" x14ac:dyDescent="0.35">
      <c r="A217" t="s">
        <v>3953</v>
      </c>
      <c r="B217" s="1">
        <v>45331</v>
      </c>
      <c r="C217">
        <f>YEAR(OrdersTable[[#This Row],[Order Date]])</f>
        <v>2024</v>
      </c>
      <c r="D217" s="2">
        <f>DATE(YEAR(OrdersTable[[#This Row],[Order Date]]),MONTH(OrdersTable[[#This Row],[Order Date]]),1)</f>
        <v>45323</v>
      </c>
      <c r="E217">
        <f>MONTH(OrdersTable[[#This Row],[Order Date]])</f>
        <v>2</v>
      </c>
      <c r="F217" t="s">
        <v>3954</v>
      </c>
      <c r="G217" t="str">
        <f>IF(OrdersTable[[#This Row],[Order Date]]=_xlfn.MINIFS(Order_Date, Customer_ID, OrdersTable[[#This Row],[Customer ID]]), "New", "Repeat")</f>
        <v>New</v>
      </c>
      <c r="H217" t="s">
        <v>48</v>
      </c>
      <c r="I217" t="str">
        <f>INDEX(State!B:B,MATCH(OrdersTable[[#This Row],[State]],State!A:A,0))</f>
        <v>HR</v>
      </c>
      <c r="J217" t="str">
        <f>INDEX(State!C:C,MATCH(OrdersTable[[#This Row],[State Code]],State!B:B,0))</f>
        <v>North</v>
      </c>
      <c r="K217" t="s">
        <v>49</v>
      </c>
      <c r="L217" t="s">
        <v>23</v>
      </c>
      <c r="M217" t="s">
        <v>255</v>
      </c>
      <c r="N217" t="str">
        <f>INDEX(Products!B:B,MATCH(OrdersTable[[#This Row],[Product ID]],Products!A:A,0))</f>
        <v>Cotton Oversized T-Shirt</v>
      </c>
      <c r="O217" t="str">
        <f>INDEX(Products!C:C,MATCH(OrdersTable[[#This Row],[Product ID]],Products!A:A,0))</f>
        <v>Apparel</v>
      </c>
      <c r="P217">
        <v>1</v>
      </c>
      <c r="Q217" s="5">
        <v>799</v>
      </c>
      <c r="R217" s="74">
        <v>0</v>
      </c>
      <c r="S217" s="75">
        <f>OrdersTable[[#This Row],[Quantity]]*OrdersTable[[#This Row],[Unit Price]]</f>
        <v>799</v>
      </c>
      <c r="T217" s="5">
        <f>OrdersTable[[#This Row],[Gross Sale]]*OrdersTable[[#This Row],[Discount_Clean2]]</f>
        <v>0</v>
      </c>
      <c r="U217" s="5">
        <f>OrdersTable[[#This Row],[Gross Sale]]-OrdersTable[[#This Row],[Discount Amount]]</f>
        <v>799</v>
      </c>
      <c r="V217" s="77">
        <f>INDEX(Products!E:E,MATCH(OrdersTable[[#This Row],[Product ID]],Products!A:A,0))</f>
        <v>320</v>
      </c>
      <c r="W217" s="77">
        <f>OrdersTable[[#This Row],[Quantity]]*OrdersTable[[#This Row],[Unit Cost]]</f>
        <v>320</v>
      </c>
      <c r="X217" s="77">
        <f>'Dropdown Lists'!$I$2*(1+OrdersTable[[#This Row],[Returned]])</f>
        <v>60</v>
      </c>
      <c r="Y217" s="76">
        <f>OrdersTable[[#This Row],[Net Revenue]]-OrdersTable[[#This Row],[COGS]]-OrdersTable[[#This Row],[Shipping Cost]]</f>
        <v>419</v>
      </c>
      <c r="Z217" s="78">
        <f>IFERROR(OrdersTable[[#This Row],[Profit]]/OrdersTable[[#This Row],[Net Revenue]],0)</f>
        <v>0.52440550688360454</v>
      </c>
      <c r="AA217" t="s">
        <v>3495</v>
      </c>
      <c r="AB217" s="79">
        <v>45335</v>
      </c>
      <c r="AC217">
        <f>OrdersTable[[#This Row],[Delivery Date]]-OrdersTable[[#This Row],[Order Date]]</f>
        <v>4</v>
      </c>
      <c r="AD217" t="str">
        <f>IF(OrdersTable[[#This Row],[Delivery Days]]&lt;=2, "Express (≤2d)", IF(OrdersTable[[#This Row],[Delivery Days]]&lt;=4, "Standard (3-4d)", "Delayed (5d+)"))</f>
        <v>Standard (3-4d)</v>
      </c>
      <c r="AE217">
        <v>5</v>
      </c>
      <c r="AF217">
        <v>0</v>
      </c>
    </row>
    <row r="218" spans="1:32" ht="15" x14ac:dyDescent="0.35">
      <c r="A218" t="s">
        <v>6461</v>
      </c>
      <c r="B218" s="1">
        <v>45331</v>
      </c>
      <c r="C218">
        <f>YEAR(OrdersTable[[#This Row],[Order Date]])</f>
        <v>2024</v>
      </c>
      <c r="D218" s="2">
        <f>DATE(YEAR(OrdersTable[[#This Row],[Order Date]]),MONTH(OrdersTable[[#This Row],[Order Date]]),1)</f>
        <v>45323</v>
      </c>
      <c r="E218">
        <f>MONTH(OrdersTable[[#This Row],[Order Date]])</f>
        <v>2</v>
      </c>
      <c r="F218" t="s">
        <v>6462</v>
      </c>
      <c r="G218" t="str">
        <f>IF(OrdersTable[[#This Row],[Order Date]]=_xlfn.MINIFS(Order_Date, Customer_ID, OrdersTable[[#This Row],[Customer ID]]), "New", "Repeat")</f>
        <v>New</v>
      </c>
      <c r="H218" t="s">
        <v>128</v>
      </c>
      <c r="I218" t="str">
        <f>INDEX(State!B:B,MATCH(OrdersTable[[#This Row],[State]],State!A:A,0))</f>
        <v>DL</v>
      </c>
      <c r="J218" t="str">
        <f>INDEX(State!C:C,MATCH(OrdersTable[[#This Row],[State Code]],State!B:B,0))</f>
        <v>North</v>
      </c>
      <c r="K218" t="s">
        <v>129</v>
      </c>
      <c r="L218" t="s">
        <v>23</v>
      </c>
      <c r="M218" t="s">
        <v>66</v>
      </c>
      <c r="N218" t="str">
        <f>INDEX(Products!B:B,MATCH(OrdersTable[[#This Row],[Product ID]],Products!A:A,0))</f>
        <v>Sunscreen SPF 50</v>
      </c>
      <c r="O218" t="str">
        <f>INDEX(Products!C:C,MATCH(OrdersTable[[#This Row],[Product ID]],Products!A:A,0))</f>
        <v>Skincare</v>
      </c>
      <c r="P218">
        <v>3</v>
      </c>
      <c r="Q218" s="5">
        <v>449</v>
      </c>
      <c r="R218" s="74">
        <v>0</v>
      </c>
      <c r="S218" s="75">
        <f>OrdersTable[[#This Row],[Quantity]]*OrdersTable[[#This Row],[Unit Price]]</f>
        <v>1347</v>
      </c>
      <c r="T218" s="5">
        <f>OrdersTable[[#This Row],[Gross Sale]]*OrdersTable[[#This Row],[Discount_Clean2]]</f>
        <v>0</v>
      </c>
      <c r="U218" s="5">
        <f>OrdersTable[[#This Row],[Gross Sale]]-OrdersTable[[#This Row],[Discount Amount]]</f>
        <v>1347</v>
      </c>
      <c r="V218" s="77">
        <f>INDEX(Products!E:E,MATCH(OrdersTable[[#This Row],[Product ID]],Products!A:A,0))</f>
        <v>144</v>
      </c>
      <c r="W218" s="77">
        <f>OrdersTable[[#This Row],[Quantity]]*OrdersTable[[#This Row],[Unit Cost]]</f>
        <v>432</v>
      </c>
      <c r="X218" s="77">
        <f>'Dropdown Lists'!$I$2*(1+OrdersTable[[#This Row],[Returned]])</f>
        <v>60</v>
      </c>
      <c r="Y218" s="76">
        <f>OrdersTable[[#This Row],[Net Revenue]]-OrdersTable[[#This Row],[COGS]]-OrdersTable[[#This Row],[Shipping Cost]]</f>
        <v>855</v>
      </c>
      <c r="Z218" s="78">
        <f>IFERROR(OrdersTable[[#This Row],[Profit]]/OrdersTable[[#This Row],[Net Revenue]],0)</f>
        <v>0.63474387527839649</v>
      </c>
      <c r="AA218" t="s">
        <v>18</v>
      </c>
      <c r="AB218" s="79">
        <v>45332</v>
      </c>
      <c r="AC218">
        <f>OrdersTable[[#This Row],[Delivery Date]]-OrdersTable[[#This Row],[Order Date]]</f>
        <v>1</v>
      </c>
      <c r="AD218" t="str">
        <f>IF(OrdersTable[[#This Row],[Delivery Days]]&lt;=2, "Express (≤2d)", IF(OrdersTable[[#This Row],[Delivery Days]]&lt;=4, "Standard (3-4d)", "Delayed (5d+)"))</f>
        <v>Express (≤2d)</v>
      </c>
      <c r="AE218">
        <v>3</v>
      </c>
      <c r="AF218">
        <v>0</v>
      </c>
    </row>
    <row r="219" spans="1:32" ht="15" x14ac:dyDescent="0.35">
      <c r="A219" t="s">
        <v>3848</v>
      </c>
      <c r="B219" s="1">
        <v>45331</v>
      </c>
      <c r="C219">
        <f>YEAR(OrdersTable[[#This Row],[Order Date]])</f>
        <v>2024</v>
      </c>
      <c r="D219" s="2">
        <f>DATE(YEAR(OrdersTable[[#This Row],[Order Date]]),MONTH(OrdersTable[[#This Row],[Order Date]]),1)</f>
        <v>45323</v>
      </c>
      <c r="E219">
        <f>MONTH(OrdersTable[[#This Row],[Order Date]])</f>
        <v>2</v>
      </c>
      <c r="F219" t="s">
        <v>1629</v>
      </c>
      <c r="G219" t="str">
        <f>IF(OrdersTable[[#This Row],[Order Date]]=_xlfn.MINIFS(Order_Date, Customer_ID, OrdersTable[[#This Row],[Customer ID]]), "New", "Repeat")</f>
        <v>Repeat</v>
      </c>
      <c r="H219" t="s">
        <v>316</v>
      </c>
      <c r="I219" t="str">
        <f>INDEX(State!B:B,MATCH(OrdersTable[[#This Row],[State]],State!A:A,0))</f>
        <v>KL</v>
      </c>
      <c r="J219" t="str">
        <f>INDEX(State!C:C,MATCH(OrdersTable[[#This Row],[State Code]],State!B:B,0))</f>
        <v>South</v>
      </c>
      <c r="K219" t="s">
        <v>317</v>
      </c>
      <c r="L219" t="s">
        <v>16</v>
      </c>
      <c r="M219" t="s">
        <v>34</v>
      </c>
      <c r="N219" t="str">
        <f>INDEX(Products!B:B,MATCH(OrdersTable[[#This Row],[Product ID]],Products!A:A,0))</f>
        <v>Flip Flops</v>
      </c>
      <c r="O219" t="str">
        <f>INDEX(Products!C:C,MATCH(OrdersTable[[#This Row],[Product ID]],Products!A:A,0))</f>
        <v>Footwear</v>
      </c>
      <c r="P219">
        <v>1</v>
      </c>
      <c r="Q219" s="5">
        <v>399</v>
      </c>
      <c r="R219" s="74">
        <v>0.15</v>
      </c>
      <c r="S219" s="75">
        <f>OrdersTable[[#This Row],[Quantity]]*OrdersTable[[#This Row],[Unit Price]]</f>
        <v>399</v>
      </c>
      <c r="T219" s="5">
        <f>OrdersTable[[#This Row],[Gross Sale]]*OrdersTable[[#This Row],[Discount_Clean2]]</f>
        <v>59.849999999999994</v>
      </c>
      <c r="U219" s="5">
        <f>OrdersTable[[#This Row],[Gross Sale]]-OrdersTable[[#This Row],[Discount Amount]]</f>
        <v>339.15</v>
      </c>
      <c r="V219" s="77">
        <f>INDEX(Products!E:E,MATCH(OrdersTable[[#This Row],[Product ID]],Products!A:A,0))</f>
        <v>152</v>
      </c>
      <c r="W219" s="77">
        <f>OrdersTable[[#This Row],[Quantity]]*OrdersTable[[#This Row],[Unit Cost]]</f>
        <v>152</v>
      </c>
      <c r="X219" s="77">
        <f>'Dropdown Lists'!$I$2*(1+OrdersTable[[#This Row],[Returned]])</f>
        <v>60</v>
      </c>
      <c r="Y219" s="76">
        <f>OrdersTable[[#This Row],[Net Revenue]]-OrdersTable[[#This Row],[COGS]]-OrdersTable[[#This Row],[Shipping Cost]]</f>
        <v>127.14999999999998</v>
      </c>
      <c r="Z219" s="78">
        <f>IFERROR(OrdersTable[[#This Row],[Profit]]/OrdersTable[[#This Row],[Net Revenue]],0)</f>
        <v>0.37490785787999409</v>
      </c>
      <c r="AA219" t="s">
        <v>3495</v>
      </c>
      <c r="AB219" s="79">
        <v>45335</v>
      </c>
      <c r="AC219">
        <f>OrdersTable[[#This Row],[Delivery Date]]-OrdersTable[[#This Row],[Order Date]]</f>
        <v>4</v>
      </c>
      <c r="AD219" t="str">
        <f>IF(OrdersTable[[#This Row],[Delivery Days]]&lt;=2, "Express (≤2d)", IF(OrdersTable[[#This Row],[Delivery Days]]&lt;=4, "Standard (3-4d)", "Delayed (5d+)"))</f>
        <v>Standard (3-4d)</v>
      </c>
      <c r="AE219">
        <v>3</v>
      </c>
      <c r="AF219">
        <v>0</v>
      </c>
    </row>
    <row r="220" spans="1:32" ht="15" x14ac:dyDescent="0.35">
      <c r="A220" t="s">
        <v>3499</v>
      </c>
      <c r="B220" s="1">
        <v>45331</v>
      </c>
      <c r="C220">
        <f>YEAR(OrdersTable[[#This Row],[Order Date]])</f>
        <v>2024</v>
      </c>
      <c r="D220" s="2">
        <f>DATE(YEAR(OrdersTable[[#This Row],[Order Date]]),MONTH(OrdersTable[[#This Row],[Order Date]]),1)</f>
        <v>45323</v>
      </c>
      <c r="E220">
        <f>MONTH(OrdersTable[[#This Row],[Order Date]])</f>
        <v>2</v>
      </c>
      <c r="F220" t="s">
        <v>3500</v>
      </c>
      <c r="G220" t="str">
        <f>IF(OrdersTable[[#This Row],[Order Date]]=_xlfn.MINIFS(Order_Date, Customer_ID, OrdersTable[[#This Row],[Customer ID]]), "New", "Repeat")</f>
        <v>New</v>
      </c>
      <c r="H220" t="s">
        <v>59</v>
      </c>
      <c r="I220" t="str">
        <f>INDEX(State!B:B,MATCH(OrdersTable[[#This Row],[State]],State!A:A,0))</f>
        <v>TN</v>
      </c>
      <c r="J220" t="str">
        <f>INDEX(State!C:C,MATCH(OrdersTable[[#This Row],[State Code]],State!B:B,0))</f>
        <v>South</v>
      </c>
      <c r="K220" t="s">
        <v>60</v>
      </c>
      <c r="L220" t="s">
        <v>50</v>
      </c>
      <c r="M220" t="s">
        <v>61</v>
      </c>
      <c r="N220" t="str">
        <f>INDEX(Products!B:B,MATCH(OrdersTable[[#This Row],[Product ID]],Products!A:A,0))</f>
        <v>Multivitamin Gummies</v>
      </c>
      <c r="O220" t="str">
        <f>INDEX(Products!C:C,MATCH(OrdersTable[[#This Row],[Product ID]],Products!A:A,0))</f>
        <v>Wellness</v>
      </c>
      <c r="P220">
        <v>1</v>
      </c>
      <c r="Q220" s="5">
        <v>699</v>
      </c>
      <c r="R220" s="74">
        <v>0.3</v>
      </c>
      <c r="S220" s="75">
        <f>OrdersTable[[#This Row],[Quantity]]*OrdersTable[[#This Row],[Unit Price]]</f>
        <v>699</v>
      </c>
      <c r="T220" s="5">
        <f>OrdersTable[[#This Row],[Gross Sale]]*OrdersTable[[#This Row],[Discount_Clean2]]</f>
        <v>209.7</v>
      </c>
      <c r="U220" s="5">
        <f>OrdersTable[[#This Row],[Gross Sale]]-OrdersTable[[#This Row],[Discount Amount]]</f>
        <v>489.3</v>
      </c>
      <c r="V220" s="77">
        <f>INDEX(Products!E:E,MATCH(OrdersTable[[#This Row],[Product ID]],Products!A:A,0))</f>
        <v>238</v>
      </c>
      <c r="W220" s="77">
        <f>OrdersTable[[#This Row],[Quantity]]*OrdersTable[[#This Row],[Unit Cost]]</f>
        <v>238</v>
      </c>
      <c r="X220" s="77">
        <f>'Dropdown Lists'!$I$2*(1+OrdersTable[[#This Row],[Returned]])</f>
        <v>60</v>
      </c>
      <c r="Y220" s="76">
        <f>OrdersTable[[#This Row],[Net Revenue]]-OrdersTable[[#This Row],[COGS]]-OrdersTable[[#This Row],[Shipping Cost]]</f>
        <v>191.3</v>
      </c>
      <c r="Z220" s="78">
        <f>IFERROR(OrdersTable[[#This Row],[Profit]]/OrdersTable[[#This Row],[Net Revenue]],0)</f>
        <v>0.39096668710402616</v>
      </c>
      <c r="AA220" t="s">
        <v>3495</v>
      </c>
      <c r="AB220" s="79">
        <v>45332</v>
      </c>
      <c r="AC220">
        <f>OrdersTable[[#This Row],[Delivery Date]]-OrdersTable[[#This Row],[Order Date]]</f>
        <v>1</v>
      </c>
      <c r="AD220" t="str">
        <f>IF(OrdersTable[[#This Row],[Delivery Days]]&lt;=2, "Express (≤2d)", IF(OrdersTable[[#This Row],[Delivery Days]]&lt;=4, "Standard (3-4d)", "Delayed (5d+)"))</f>
        <v>Express (≤2d)</v>
      </c>
      <c r="AE220">
        <v>4</v>
      </c>
      <c r="AF220">
        <v>0</v>
      </c>
    </row>
    <row r="221" spans="1:32" ht="15" x14ac:dyDescent="0.35">
      <c r="A221" t="s">
        <v>3501</v>
      </c>
      <c r="B221" s="1">
        <v>45332</v>
      </c>
      <c r="C221">
        <f>YEAR(OrdersTable[[#This Row],[Order Date]])</f>
        <v>2024</v>
      </c>
      <c r="D221" s="2">
        <f>DATE(YEAR(OrdersTable[[#This Row],[Order Date]]),MONTH(OrdersTable[[#This Row],[Order Date]]),1)</f>
        <v>45323</v>
      </c>
      <c r="E221">
        <f>MONTH(OrdersTable[[#This Row],[Order Date]])</f>
        <v>2</v>
      </c>
      <c r="F221" t="s">
        <v>3502</v>
      </c>
      <c r="G221" t="str">
        <f>IF(OrdersTable[[#This Row],[Order Date]]=_xlfn.MINIFS(Order_Date, Customer_ID, OrdersTable[[#This Row],[Customer ID]]), "New", "Repeat")</f>
        <v>New</v>
      </c>
      <c r="H221" t="s">
        <v>210</v>
      </c>
      <c r="I221" t="str">
        <f>INDEX(State!B:B,MATCH(OrdersTable[[#This Row],[State]],State!A:A,0))</f>
        <v>JK</v>
      </c>
      <c r="J221" t="str">
        <f>INDEX(State!C:C,MATCH(OrdersTable[[#This Row],[State Code]],State!B:B,0))</f>
        <v>North</v>
      </c>
      <c r="K221" t="s">
        <v>415</v>
      </c>
      <c r="L221" t="s">
        <v>23</v>
      </c>
      <c r="M221" t="s">
        <v>66</v>
      </c>
      <c r="N221" t="str">
        <f>INDEX(Products!B:B,MATCH(OrdersTable[[#This Row],[Product ID]],Products!A:A,0))</f>
        <v>Sunscreen SPF 50</v>
      </c>
      <c r="O221" t="str">
        <f>INDEX(Products!C:C,MATCH(OrdersTable[[#This Row],[Product ID]],Products!A:A,0))</f>
        <v>Skincare</v>
      </c>
      <c r="P221">
        <v>1</v>
      </c>
      <c r="Q221" s="5">
        <v>449</v>
      </c>
      <c r="R221" s="74">
        <v>0.15</v>
      </c>
      <c r="S221" s="75">
        <f>OrdersTable[[#This Row],[Quantity]]*OrdersTable[[#This Row],[Unit Price]]</f>
        <v>449</v>
      </c>
      <c r="T221" s="5">
        <f>OrdersTable[[#This Row],[Gross Sale]]*OrdersTable[[#This Row],[Discount_Clean2]]</f>
        <v>67.349999999999994</v>
      </c>
      <c r="U221" s="5">
        <f>OrdersTable[[#This Row],[Gross Sale]]-OrdersTable[[#This Row],[Discount Amount]]</f>
        <v>381.65</v>
      </c>
      <c r="V221" s="77">
        <f>INDEX(Products!E:E,MATCH(OrdersTable[[#This Row],[Product ID]],Products!A:A,0))</f>
        <v>144</v>
      </c>
      <c r="W221" s="77">
        <f>OrdersTable[[#This Row],[Quantity]]*OrdersTable[[#This Row],[Unit Cost]]</f>
        <v>144</v>
      </c>
      <c r="X221" s="77">
        <f>'Dropdown Lists'!$I$2*(1+OrdersTable[[#This Row],[Returned]])</f>
        <v>60</v>
      </c>
      <c r="Y221" s="76">
        <f>OrdersTable[[#This Row],[Net Revenue]]-OrdersTable[[#This Row],[COGS]]-OrdersTable[[#This Row],[Shipping Cost]]</f>
        <v>177.64999999999998</v>
      </c>
      <c r="Z221" s="78">
        <f>IFERROR(OrdersTable[[#This Row],[Profit]]/OrdersTable[[#This Row],[Net Revenue]],0)</f>
        <v>0.465478841870824</v>
      </c>
      <c r="AA221" t="s">
        <v>3495</v>
      </c>
      <c r="AB221" s="79">
        <v>45338</v>
      </c>
      <c r="AC221">
        <f>OrdersTable[[#This Row],[Delivery Date]]-OrdersTable[[#This Row],[Order Date]]</f>
        <v>6</v>
      </c>
      <c r="AD221" t="str">
        <f>IF(OrdersTable[[#This Row],[Delivery Days]]&lt;=2, "Express (≤2d)", IF(OrdersTable[[#This Row],[Delivery Days]]&lt;=4, "Standard (3-4d)", "Delayed (5d+)"))</f>
        <v>Delayed (5d+)</v>
      </c>
      <c r="AE221">
        <v>4</v>
      </c>
      <c r="AF221">
        <v>0</v>
      </c>
    </row>
    <row r="222" spans="1:32" ht="15" x14ac:dyDescent="0.35">
      <c r="A222" t="s">
        <v>3393</v>
      </c>
      <c r="B222" s="1">
        <v>45332</v>
      </c>
      <c r="C222">
        <f>YEAR(OrdersTable[[#This Row],[Order Date]])</f>
        <v>2024</v>
      </c>
      <c r="D222" s="2">
        <f>DATE(YEAR(OrdersTable[[#This Row],[Order Date]]),MONTH(OrdersTable[[#This Row],[Order Date]]),1)</f>
        <v>45323</v>
      </c>
      <c r="E222">
        <f>MONTH(OrdersTable[[#This Row],[Order Date]])</f>
        <v>2</v>
      </c>
      <c r="F222" t="s">
        <v>3394</v>
      </c>
      <c r="G222" t="str">
        <f>IF(OrdersTable[[#This Row],[Order Date]]=_xlfn.MINIFS(Order_Date, Customer_ID, OrdersTable[[#This Row],[Customer ID]]), "New", "Repeat")</f>
        <v>New</v>
      </c>
      <c r="H222" t="s">
        <v>48</v>
      </c>
      <c r="I222" t="str">
        <f>INDEX(State!B:B,MATCH(OrdersTable[[#This Row],[State]],State!A:A,0))</f>
        <v>HR</v>
      </c>
      <c r="J222" t="str">
        <f>INDEX(State!C:C,MATCH(OrdersTable[[#This Row],[State Code]],State!B:B,0))</f>
        <v>North</v>
      </c>
      <c r="K222" t="s">
        <v>49</v>
      </c>
      <c r="L222" t="s">
        <v>65</v>
      </c>
      <c r="M222" t="s">
        <v>40</v>
      </c>
      <c r="N222" t="str">
        <f>INDEX(Products!B:B,MATCH(OrdersTable[[#This Row],[Product ID]],Products!A:A,0))</f>
        <v>Ashwagandha Capsules</v>
      </c>
      <c r="O222" t="str">
        <f>INDEX(Products!C:C,MATCH(OrdersTable[[#This Row],[Product ID]],Products!A:A,0))</f>
        <v>Wellness</v>
      </c>
      <c r="P222">
        <v>1</v>
      </c>
      <c r="Q222" s="5">
        <v>499</v>
      </c>
      <c r="R222" s="74">
        <v>0.05</v>
      </c>
      <c r="S222" s="75">
        <f>OrdersTable[[#This Row],[Quantity]]*OrdersTable[[#This Row],[Unit Price]]</f>
        <v>499</v>
      </c>
      <c r="T222" s="5">
        <f>OrdersTable[[#This Row],[Gross Sale]]*OrdersTable[[#This Row],[Discount_Clean2]]</f>
        <v>24.950000000000003</v>
      </c>
      <c r="U222" s="5">
        <f>OrdersTable[[#This Row],[Gross Sale]]-OrdersTable[[#This Row],[Discount Amount]]</f>
        <v>474.05</v>
      </c>
      <c r="V222" s="77">
        <f>INDEX(Products!E:E,MATCH(OrdersTable[[#This Row],[Product ID]],Products!A:A,0))</f>
        <v>150</v>
      </c>
      <c r="W222" s="77">
        <f>OrdersTable[[#This Row],[Quantity]]*OrdersTable[[#This Row],[Unit Cost]]</f>
        <v>150</v>
      </c>
      <c r="X222" s="77">
        <f>'Dropdown Lists'!$I$2*(1+OrdersTable[[#This Row],[Returned]])</f>
        <v>120</v>
      </c>
      <c r="Y222" s="76">
        <f>OrdersTable[[#This Row],[Net Revenue]]-OrdersTable[[#This Row],[COGS]]-OrdersTable[[#This Row],[Shipping Cost]]</f>
        <v>204.05</v>
      </c>
      <c r="Z222" s="78">
        <f>IFERROR(OrdersTable[[#This Row],[Profit]]/OrdersTable[[#This Row],[Net Revenue]],0)</f>
        <v>0.43043982702246597</v>
      </c>
      <c r="AA222" t="s">
        <v>2522</v>
      </c>
      <c r="AB222" s="79">
        <v>45334</v>
      </c>
      <c r="AC222">
        <f>OrdersTable[[#This Row],[Delivery Date]]-OrdersTable[[#This Row],[Order Date]]</f>
        <v>2</v>
      </c>
      <c r="AD222" t="str">
        <f>IF(OrdersTable[[#This Row],[Delivery Days]]&lt;=2, "Express (≤2d)", IF(OrdersTable[[#This Row],[Delivery Days]]&lt;=4, "Standard (3-4d)", "Delayed (5d+)"))</f>
        <v>Express (≤2d)</v>
      </c>
      <c r="AE222">
        <v>4</v>
      </c>
      <c r="AF222">
        <v>1</v>
      </c>
    </row>
    <row r="223" spans="1:32" ht="15" x14ac:dyDescent="0.35">
      <c r="A223" t="s">
        <v>5067</v>
      </c>
      <c r="B223" s="1">
        <v>45332</v>
      </c>
      <c r="C223">
        <f>YEAR(OrdersTable[[#This Row],[Order Date]])</f>
        <v>2024</v>
      </c>
      <c r="D223" s="2">
        <f>DATE(YEAR(OrdersTable[[#This Row],[Order Date]]),MONTH(OrdersTable[[#This Row],[Order Date]]),1)</f>
        <v>45323</v>
      </c>
      <c r="E223">
        <f>MONTH(OrdersTable[[#This Row],[Order Date]])</f>
        <v>2</v>
      </c>
      <c r="F223" t="s">
        <v>641</v>
      </c>
      <c r="G223" t="str">
        <f>IF(OrdersTable[[#This Row],[Order Date]]=_xlfn.MINIFS(Order_Date, Customer_ID, OrdersTable[[#This Row],[Customer ID]]), "New", "Repeat")</f>
        <v>New</v>
      </c>
      <c r="H223" t="s">
        <v>71</v>
      </c>
      <c r="I223" t="str">
        <f>INDEX(State!B:B,MATCH(OrdersTable[[#This Row],[State]],State!A:A,0))</f>
        <v>MH</v>
      </c>
      <c r="J223" t="str">
        <f>INDEX(State!C:C,MATCH(OrdersTable[[#This Row],[State Code]],State!B:B,0))</f>
        <v>West</v>
      </c>
      <c r="K223" t="s">
        <v>102</v>
      </c>
      <c r="L223" t="s">
        <v>23</v>
      </c>
      <c r="M223" t="s">
        <v>66</v>
      </c>
      <c r="N223" t="str">
        <f>INDEX(Products!B:B,MATCH(OrdersTable[[#This Row],[Product ID]],Products!A:A,0))</f>
        <v>Sunscreen SPF 50</v>
      </c>
      <c r="O223" t="str">
        <f>INDEX(Products!C:C,MATCH(OrdersTable[[#This Row],[Product ID]],Products!A:A,0))</f>
        <v>Skincare</v>
      </c>
      <c r="P223">
        <v>2</v>
      </c>
      <c r="Q223" s="5">
        <v>449</v>
      </c>
      <c r="R223" s="74">
        <v>0.05</v>
      </c>
      <c r="S223" s="75">
        <f>OrdersTable[[#This Row],[Quantity]]*OrdersTable[[#This Row],[Unit Price]]</f>
        <v>898</v>
      </c>
      <c r="T223" s="5">
        <f>OrdersTable[[#This Row],[Gross Sale]]*OrdersTable[[#This Row],[Discount_Clean2]]</f>
        <v>44.900000000000006</v>
      </c>
      <c r="U223" s="5">
        <f>OrdersTable[[#This Row],[Gross Sale]]-OrdersTable[[#This Row],[Discount Amount]]</f>
        <v>853.1</v>
      </c>
      <c r="V223" s="77">
        <f>INDEX(Products!E:E,MATCH(OrdersTable[[#This Row],[Product ID]],Products!A:A,0))</f>
        <v>144</v>
      </c>
      <c r="W223" s="77">
        <f>OrdersTable[[#This Row],[Quantity]]*OrdersTable[[#This Row],[Unit Cost]]</f>
        <v>288</v>
      </c>
      <c r="X223" s="77">
        <f>'Dropdown Lists'!$I$2*(1+OrdersTable[[#This Row],[Returned]])</f>
        <v>60</v>
      </c>
      <c r="Y223" s="76">
        <f>OrdersTable[[#This Row],[Net Revenue]]-OrdersTable[[#This Row],[COGS]]-OrdersTable[[#This Row],[Shipping Cost]]</f>
        <v>505.1</v>
      </c>
      <c r="Z223" s="78">
        <f>IFERROR(OrdersTable[[#This Row],[Profit]]/OrdersTable[[#This Row],[Net Revenue]],0)</f>
        <v>0.59207595826983939</v>
      </c>
      <c r="AA223" t="s">
        <v>3495</v>
      </c>
      <c r="AB223" s="79">
        <v>45335</v>
      </c>
      <c r="AC223">
        <f>OrdersTable[[#This Row],[Delivery Date]]-OrdersTable[[#This Row],[Order Date]]</f>
        <v>3</v>
      </c>
      <c r="AD223" t="str">
        <f>IF(OrdersTable[[#This Row],[Delivery Days]]&lt;=2, "Express (≤2d)", IF(OrdersTable[[#This Row],[Delivery Days]]&lt;=4, "Standard (3-4d)", "Delayed (5d+)"))</f>
        <v>Standard (3-4d)</v>
      </c>
      <c r="AE223">
        <v>5</v>
      </c>
      <c r="AF223">
        <v>0</v>
      </c>
    </row>
    <row r="224" spans="1:32" ht="15" x14ac:dyDescent="0.35">
      <c r="A224" t="s">
        <v>3503</v>
      </c>
      <c r="B224" s="1">
        <v>45332</v>
      </c>
      <c r="C224">
        <f>YEAR(OrdersTable[[#This Row],[Order Date]])</f>
        <v>2024</v>
      </c>
      <c r="D224" s="2">
        <f>DATE(YEAR(OrdersTable[[#This Row],[Order Date]]),MONTH(OrdersTable[[#This Row],[Order Date]]),1)</f>
        <v>45323</v>
      </c>
      <c r="E224">
        <f>MONTH(OrdersTable[[#This Row],[Order Date]])</f>
        <v>2</v>
      </c>
      <c r="F224" t="s">
        <v>3504</v>
      </c>
      <c r="G224" t="str">
        <f>IF(OrdersTable[[#This Row],[Order Date]]=_xlfn.MINIFS(Order_Date, Customer_ID, OrdersTable[[#This Row],[Customer ID]]), "New", "Repeat")</f>
        <v>New</v>
      </c>
      <c r="H224" t="s">
        <v>71</v>
      </c>
      <c r="I224" t="str">
        <f>INDEX(State!B:B,MATCH(OrdersTable[[#This Row],[State]],State!A:A,0))</f>
        <v>MH</v>
      </c>
      <c r="J224" t="str">
        <f>INDEX(State!C:C,MATCH(OrdersTable[[#This Row],[State Code]],State!B:B,0))</f>
        <v>West</v>
      </c>
      <c r="K224" t="s">
        <v>102</v>
      </c>
      <c r="L224" t="s">
        <v>16</v>
      </c>
      <c r="M224" t="s">
        <v>29</v>
      </c>
      <c r="N224" t="str">
        <f>INDEX(Products!B:B,MATCH(OrdersTable[[#This Row],[Product ID]],Products!A:A,0))</f>
        <v>Joggers</v>
      </c>
      <c r="O224" t="str">
        <f>INDEX(Products!C:C,MATCH(OrdersTable[[#This Row],[Product ID]],Products!A:A,0))</f>
        <v>Apparel</v>
      </c>
      <c r="P224">
        <v>1</v>
      </c>
      <c r="Q224" s="5">
        <v>1199</v>
      </c>
      <c r="R224" s="74">
        <v>0.2</v>
      </c>
      <c r="S224" s="75">
        <f>OrdersTable[[#This Row],[Quantity]]*OrdersTable[[#This Row],[Unit Price]]</f>
        <v>1199</v>
      </c>
      <c r="T224" s="5">
        <f>OrdersTable[[#This Row],[Gross Sale]]*OrdersTable[[#This Row],[Discount_Clean2]]</f>
        <v>239.8</v>
      </c>
      <c r="U224" s="5">
        <f>OrdersTable[[#This Row],[Gross Sale]]-OrdersTable[[#This Row],[Discount Amount]]</f>
        <v>959.2</v>
      </c>
      <c r="V224" s="77">
        <f>INDEX(Products!E:E,MATCH(OrdersTable[[#This Row],[Product ID]],Products!A:A,0))</f>
        <v>492</v>
      </c>
      <c r="W224" s="77">
        <f>OrdersTable[[#This Row],[Quantity]]*OrdersTable[[#This Row],[Unit Cost]]</f>
        <v>492</v>
      </c>
      <c r="X224" s="77">
        <f>'Dropdown Lists'!$I$2*(1+OrdersTable[[#This Row],[Returned]])</f>
        <v>60</v>
      </c>
      <c r="Y224" s="76">
        <f>OrdersTable[[#This Row],[Net Revenue]]-OrdersTable[[#This Row],[COGS]]-OrdersTable[[#This Row],[Shipping Cost]]</f>
        <v>407.20000000000005</v>
      </c>
      <c r="Z224" s="78">
        <f>IFERROR(OrdersTable[[#This Row],[Profit]]/OrdersTable[[#This Row],[Net Revenue]],0)</f>
        <v>0.42452043369474562</v>
      </c>
      <c r="AA224" t="s">
        <v>3495</v>
      </c>
      <c r="AB224" s="79">
        <v>45335</v>
      </c>
      <c r="AC224">
        <f>OrdersTable[[#This Row],[Delivery Date]]-OrdersTable[[#This Row],[Order Date]]</f>
        <v>3</v>
      </c>
      <c r="AD224" t="str">
        <f>IF(OrdersTable[[#This Row],[Delivery Days]]&lt;=2, "Express (≤2d)", IF(OrdersTable[[#This Row],[Delivery Days]]&lt;=4, "Standard (3-4d)", "Delayed (5d+)"))</f>
        <v>Standard (3-4d)</v>
      </c>
      <c r="AE224">
        <v>4</v>
      </c>
      <c r="AF224">
        <v>0</v>
      </c>
    </row>
    <row r="225" spans="1:32" ht="15" x14ac:dyDescent="0.35">
      <c r="A225" t="s">
        <v>1623</v>
      </c>
      <c r="B225" s="1">
        <v>45332</v>
      </c>
      <c r="C225">
        <f>YEAR(OrdersTable[[#This Row],[Order Date]])</f>
        <v>2024</v>
      </c>
      <c r="D225" s="2">
        <f>DATE(YEAR(OrdersTable[[#This Row],[Order Date]]),MONTH(OrdersTable[[#This Row],[Order Date]]),1)</f>
        <v>45323</v>
      </c>
      <c r="E225">
        <f>MONTH(OrdersTable[[#This Row],[Order Date]])</f>
        <v>2</v>
      </c>
      <c r="F225" t="s">
        <v>1624</v>
      </c>
      <c r="G225" t="str">
        <f>IF(OrdersTable[[#This Row],[Order Date]]=_xlfn.MINIFS(Order_Date, Customer_ID, OrdersTable[[#This Row],[Customer ID]]), "New", "Repeat")</f>
        <v>New</v>
      </c>
      <c r="H225" t="s">
        <v>316</v>
      </c>
      <c r="I225" t="str">
        <f>INDEX(State!B:B,MATCH(OrdersTable[[#This Row],[State]],State!A:A,0))</f>
        <v>KL</v>
      </c>
      <c r="J225" t="str">
        <f>INDEX(State!C:C,MATCH(OrdersTable[[#This Row],[State Code]],State!B:B,0))</f>
        <v>South</v>
      </c>
      <c r="K225" t="s">
        <v>338</v>
      </c>
      <c r="L225" t="s">
        <v>65</v>
      </c>
      <c r="M225" t="s">
        <v>66</v>
      </c>
      <c r="N225" t="str">
        <f>INDEX(Products!B:B,MATCH(OrdersTable[[#This Row],[Product ID]],Products!A:A,0))</f>
        <v>Sunscreen SPF 50</v>
      </c>
      <c r="O225" t="str">
        <f>INDEX(Products!C:C,MATCH(OrdersTable[[#This Row],[Product ID]],Products!A:A,0))</f>
        <v>Skincare</v>
      </c>
      <c r="P225">
        <v>1</v>
      </c>
      <c r="Q225" s="5">
        <v>449</v>
      </c>
      <c r="R225" s="74">
        <v>0.1</v>
      </c>
      <c r="S225" s="75">
        <f>OrdersTable[[#This Row],[Quantity]]*OrdersTable[[#This Row],[Unit Price]]</f>
        <v>449</v>
      </c>
      <c r="T225" s="5">
        <f>OrdersTable[[#This Row],[Gross Sale]]*OrdersTable[[#This Row],[Discount_Clean2]]</f>
        <v>44.900000000000006</v>
      </c>
      <c r="U225" s="5">
        <f>OrdersTable[[#This Row],[Gross Sale]]-OrdersTable[[#This Row],[Discount Amount]]</f>
        <v>404.1</v>
      </c>
      <c r="V225" s="77">
        <f>INDEX(Products!E:E,MATCH(OrdersTable[[#This Row],[Product ID]],Products!A:A,0))</f>
        <v>144</v>
      </c>
      <c r="W225" s="77">
        <f>OrdersTable[[#This Row],[Quantity]]*OrdersTable[[#This Row],[Unit Cost]]</f>
        <v>144</v>
      </c>
      <c r="X225" s="77">
        <f>'Dropdown Lists'!$I$2*(1+OrdersTable[[#This Row],[Returned]])</f>
        <v>60</v>
      </c>
      <c r="Y225" s="76">
        <f>OrdersTable[[#This Row],[Net Revenue]]-OrdersTable[[#This Row],[COGS]]-OrdersTable[[#This Row],[Shipping Cost]]</f>
        <v>200.10000000000002</v>
      </c>
      <c r="Z225" s="78">
        <f>IFERROR(OrdersTable[[#This Row],[Profit]]/OrdersTable[[#This Row],[Net Revenue]],0)</f>
        <v>0.4951744617668894</v>
      </c>
      <c r="AA225" t="s">
        <v>18</v>
      </c>
      <c r="AB225" s="79">
        <v>45335</v>
      </c>
      <c r="AC225">
        <f>OrdersTable[[#This Row],[Delivery Date]]-OrdersTable[[#This Row],[Order Date]]</f>
        <v>3</v>
      </c>
      <c r="AD225" t="str">
        <f>IF(OrdersTable[[#This Row],[Delivery Days]]&lt;=2, "Express (≤2d)", IF(OrdersTable[[#This Row],[Delivery Days]]&lt;=4, "Standard (3-4d)", "Delayed (5d+)"))</f>
        <v>Standard (3-4d)</v>
      </c>
      <c r="AF225">
        <v>0</v>
      </c>
    </row>
    <row r="226" spans="1:32" ht="15" x14ac:dyDescent="0.35">
      <c r="A226" t="s">
        <v>4078</v>
      </c>
      <c r="B226" s="1">
        <v>45333</v>
      </c>
      <c r="C226">
        <f>YEAR(OrdersTable[[#This Row],[Order Date]])</f>
        <v>2024</v>
      </c>
      <c r="D226" s="2">
        <f>DATE(YEAR(OrdersTable[[#This Row],[Order Date]]),MONTH(OrdersTable[[#This Row],[Order Date]]),1)</f>
        <v>45323</v>
      </c>
      <c r="E226">
        <f>MONTH(OrdersTable[[#This Row],[Order Date]])</f>
        <v>2</v>
      </c>
      <c r="F226" t="s">
        <v>3338</v>
      </c>
      <c r="G226" t="str">
        <f>IF(OrdersTable[[#This Row],[Order Date]]=_xlfn.MINIFS(Order_Date, Customer_ID, OrdersTable[[#This Row],[Customer ID]]), "New", "Repeat")</f>
        <v>New</v>
      </c>
      <c r="H226" t="s">
        <v>43</v>
      </c>
      <c r="I226" t="str">
        <f>INDEX(State!B:B,MATCH(OrdersTable[[#This Row],[State]],State!A:A,0))</f>
        <v>MP</v>
      </c>
      <c r="J226" t="str">
        <f>INDEX(State!C:C,MATCH(OrdersTable[[#This Row],[State Code]],State!B:B,0))</f>
        <v>West</v>
      </c>
      <c r="K226" t="s">
        <v>44</v>
      </c>
      <c r="L226" t="s">
        <v>16</v>
      </c>
      <c r="M226" t="s">
        <v>34</v>
      </c>
      <c r="N226" t="str">
        <f>INDEX(Products!B:B,MATCH(OrdersTable[[#This Row],[Product ID]],Products!A:A,0))</f>
        <v>Flip Flops</v>
      </c>
      <c r="O226" t="str">
        <f>INDEX(Products!C:C,MATCH(OrdersTable[[#This Row],[Product ID]],Products!A:A,0))</f>
        <v>Footwear</v>
      </c>
      <c r="P226">
        <v>1</v>
      </c>
      <c r="Q226" s="5">
        <v>399</v>
      </c>
      <c r="R226" s="74">
        <v>0.05</v>
      </c>
      <c r="S226" s="75">
        <f>OrdersTable[[#This Row],[Quantity]]*OrdersTable[[#This Row],[Unit Price]]</f>
        <v>399</v>
      </c>
      <c r="T226" s="5">
        <f>OrdersTable[[#This Row],[Gross Sale]]*OrdersTable[[#This Row],[Discount_Clean2]]</f>
        <v>19.950000000000003</v>
      </c>
      <c r="U226" s="5">
        <f>OrdersTable[[#This Row],[Gross Sale]]-OrdersTable[[#This Row],[Discount Amount]]</f>
        <v>379.05</v>
      </c>
      <c r="V226" s="77">
        <f>INDEX(Products!E:E,MATCH(OrdersTable[[#This Row],[Product ID]],Products!A:A,0))</f>
        <v>152</v>
      </c>
      <c r="W226" s="77">
        <f>OrdersTable[[#This Row],[Quantity]]*OrdersTable[[#This Row],[Unit Cost]]</f>
        <v>152</v>
      </c>
      <c r="X226" s="77">
        <f>'Dropdown Lists'!$I$2*(1+OrdersTable[[#This Row],[Returned]])</f>
        <v>60</v>
      </c>
      <c r="Y226" s="76">
        <f>OrdersTable[[#This Row],[Net Revenue]]-OrdersTable[[#This Row],[COGS]]-OrdersTable[[#This Row],[Shipping Cost]]</f>
        <v>167.05</v>
      </c>
      <c r="Z226" s="78">
        <f>IFERROR(OrdersTable[[#This Row],[Profit]]/OrdersTable[[#This Row],[Net Revenue]],0)</f>
        <v>0.44070703073473161</v>
      </c>
      <c r="AA226" t="s">
        <v>4074</v>
      </c>
      <c r="AB226" s="79">
        <v>45337</v>
      </c>
      <c r="AC226">
        <f>OrdersTable[[#This Row],[Delivery Date]]-OrdersTable[[#This Row],[Order Date]]</f>
        <v>4</v>
      </c>
      <c r="AD226" t="str">
        <f>IF(OrdersTable[[#This Row],[Delivery Days]]&lt;=2, "Express (≤2d)", IF(OrdersTable[[#This Row],[Delivery Days]]&lt;=4, "Standard (3-4d)", "Delayed (5d+)"))</f>
        <v>Standard (3-4d)</v>
      </c>
      <c r="AE226">
        <v>5</v>
      </c>
      <c r="AF226">
        <v>0</v>
      </c>
    </row>
    <row r="227" spans="1:32" ht="15" x14ac:dyDescent="0.35">
      <c r="A227" t="s">
        <v>4750</v>
      </c>
      <c r="B227" s="1">
        <v>45333</v>
      </c>
      <c r="C227">
        <f>YEAR(OrdersTable[[#This Row],[Order Date]])</f>
        <v>2024</v>
      </c>
      <c r="D227" s="2">
        <f>DATE(YEAR(OrdersTable[[#This Row],[Order Date]]),MONTH(OrdersTable[[#This Row],[Order Date]]),1)</f>
        <v>45323</v>
      </c>
      <c r="E227">
        <f>MONTH(OrdersTable[[#This Row],[Order Date]])</f>
        <v>2</v>
      </c>
      <c r="F227" t="s">
        <v>1694</v>
      </c>
      <c r="G227" t="str">
        <f>IF(OrdersTable[[#This Row],[Order Date]]=_xlfn.MINIFS(Order_Date, Customer_ID, OrdersTable[[#This Row],[Customer ID]]), "New", "Repeat")</f>
        <v>New</v>
      </c>
      <c r="H227" t="s">
        <v>275</v>
      </c>
      <c r="I227" t="str">
        <f>INDEX(State!B:B,MATCH(OrdersTable[[#This Row],[State]],State!A:A,0))</f>
        <v>AP</v>
      </c>
      <c r="J227" t="str">
        <f>INDEX(State!C:C,MATCH(OrdersTable[[#This Row],[State Code]],State!B:B,0))</f>
        <v>South</v>
      </c>
      <c r="K227" t="s">
        <v>491</v>
      </c>
      <c r="L227" t="s">
        <v>39</v>
      </c>
      <c r="M227" t="s">
        <v>61</v>
      </c>
      <c r="N227" t="str">
        <f>INDEX(Products!B:B,MATCH(OrdersTable[[#This Row],[Product ID]],Products!A:A,0))</f>
        <v>Multivitamin Gummies</v>
      </c>
      <c r="O227" t="str">
        <f>INDEX(Products!C:C,MATCH(OrdersTable[[#This Row],[Product ID]],Products!A:A,0))</f>
        <v>Wellness</v>
      </c>
      <c r="P227">
        <v>2</v>
      </c>
      <c r="Q227" s="5">
        <v>699</v>
      </c>
      <c r="R227" s="74">
        <v>0.2</v>
      </c>
      <c r="S227" s="75">
        <f>OrdersTable[[#This Row],[Quantity]]*OrdersTable[[#This Row],[Unit Price]]</f>
        <v>1398</v>
      </c>
      <c r="T227" s="5">
        <f>OrdersTable[[#This Row],[Gross Sale]]*OrdersTable[[#This Row],[Discount_Clean2]]</f>
        <v>279.60000000000002</v>
      </c>
      <c r="U227" s="5">
        <f>OrdersTable[[#This Row],[Gross Sale]]-OrdersTable[[#This Row],[Discount Amount]]</f>
        <v>1118.4000000000001</v>
      </c>
      <c r="V227" s="77">
        <f>INDEX(Products!E:E,MATCH(OrdersTable[[#This Row],[Product ID]],Products!A:A,0))</f>
        <v>238</v>
      </c>
      <c r="W227" s="77">
        <f>OrdersTable[[#This Row],[Quantity]]*OrdersTable[[#This Row],[Unit Cost]]</f>
        <v>476</v>
      </c>
      <c r="X227" s="77">
        <f>'Dropdown Lists'!$I$2*(1+OrdersTable[[#This Row],[Returned]])</f>
        <v>60</v>
      </c>
      <c r="Y227" s="76">
        <f>OrdersTable[[#This Row],[Net Revenue]]-OrdersTable[[#This Row],[COGS]]-OrdersTable[[#This Row],[Shipping Cost]]</f>
        <v>582.40000000000009</v>
      </c>
      <c r="Z227" s="78">
        <f>IFERROR(OrdersTable[[#This Row],[Profit]]/OrdersTable[[#This Row],[Net Revenue]],0)</f>
        <v>0.5207439198855508</v>
      </c>
      <c r="AA227" t="s">
        <v>4450</v>
      </c>
      <c r="AB227" s="79">
        <v>45337</v>
      </c>
      <c r="AC227">
        <f>OrdersTable[[#This Row],[Delivery Date]]-OrdersTable[[#This Row],[Order Date]]</f>
        <v>4</v>
      </c>
      <c r="AD227" t="str">
        <f>IF(OrdersTable[[#This Row],[Delivery Days]]&lt;=2, "Express (≤2d)", IF(OrdersTable[[#This Row],[Delivery Days]]&lt;=4, "Standard (3-4d)", "Delayed (5d+)"))</f>
        <v>Standard (3-4d)</v>
      </c>
      <c r="AE227">
        <v>3</v>
      </c>
      <c r="AF227">
        <v>0</v>
      </c>
    </row>
    <row r="228" spans="1:32" ht="15" x14ac:dyDescent="0.35">
      <c r="A228" t="s">
        <v>1625</v>
      </c>
      <c r="B228" s="1">
        <v>45334</v>
      </c>
      <c r="C228">
        <f>YEAR(OrdersTable[[#This Row],[Order Date]])</f>
        <v>2024</v>
      </c>
      <c r="D228" s="2">
        <f>DATE(YEAR(OrdersTable[[#This Row],[Order Date]]),MONTH(OrdersTable[[#This Row],[Order Date]]),1)</f>
        <v>45323</v>
      </c>
      <c r="E228">
        <f>MONTH(OrdersTable[[#This Row],[Order Date]])</f>
        <v>2</v>
      </c>
      <c r="F228" t="s">
        <v>1626</v>
      </c>
      <c r="G228" t="str">
        <f>IF(OrdersTable[[#This Row],[Order Date]]=_xlfn.MINIFS(Order_Date, Customer_ID, OrdersTable[[#This Row],[Customer ID]]), "New", "Repeat")</f>
        <v>New</v>
      </c>
      <c r="H228" t="s">
        <v>184</v>
      </c>
      <c r="I228" t="str">
        <f>INDEX(State!B:B,MATCH(OrdersTable[[#This Row],[State]],State!A:A,0))</f>
        <v>UK</v>
      </c>
      <c r="J228" t="str">
        <f>INDEX(State!C:C,MATCH(OrdersTable[[#This Row],[State Code]],State!B:B,0))</f>
        <v>North</v>
      </c>
      <c r="K228" t="s">
        <v>185</v>
      </c>
      <c r="L228" t="s">
        <v>65</v>
      </c>
      <c r="M228" t="s">
        <v>109</v>
      </c>
      <c r="N228" t="str">
        <f>INDEX(Products!B:B,MATCH(OrdersTable[[#This Row],[Product ID]],Products!A:A,0))</f>
        <v>Onion Hair Oil</v>
      </c>
      <c r="O228" t="str">
        <f>INDEX(Products!C:C,MATCH(OrdersTable[[#This Row],[Product ID]],Products!A:A,0))</f>
        <v>Haircare</v>
      </c>
      <c r="P228">
        <v>1</v>
      </c>
      <c r="Q228" s="5">
        <v>349</v>
      </c>
      <c r="R228" s="74">
        <v>0.3</v>
      </c>
      <c r="S228" s="75">
        <f>OrdersTable[[#This Row],[Quantity]]*OrdersTable[[#This Row],[Unit Price]]</f>
        <v>349</v>
      </c>
      <c r="T228" s="5">
        <f>OrdersTable[[#This Row],[Gross Sale]]*OrdersTable[[#This Row],[Discount_Clean2]]</f>
        <v>104.7</v>
      </c>
      <c r="U228" s="5">
        <f>OrdersTable[[#This Row],[Gross Sale]]-OrdersTable[[#This Row],[Discount Amount]]</f>
        <v>244.3</v>
      </c>
      <c r="V228" s="77">
        <f>INDEX(Products!E:E,MATCH(OrdersTable[[#This Row],[Product ID]],Products!A:A,0))</f>
        <v>105</v>
      </c>
      <c r="W228" s="77">
        <f>OrdersTable[[#This Row],[Quantity]]*OrdersTable[[#This Row],[Unit Cost]]</f>
        <v>105</v>
      </c>
      <c r="X228" s="77">
        <f>'Dropdown Lists'!$I$2*(1+OrdersTable[[#This Row],[Returned]])</f>
        <v>60</v>
      </c>
      <c r="Y228" s="76">
        <f>OrdersTable[[#This Row],[Net Revenue]]-OrdersTable[[#This Row],[COGS]]-OrdersTable[[#This Row],[Shipping Cost]]</f>
        <v>79.300000000000011</v>
      </c>
      <c r="Z228" s="78">
        <f>IFERROR(OrdersTable[[#This Row],[Profit]]/OrdersTable[[#This Row],[Net Revenue]],0)</f>
        <v>0.32460090053213264</v>
      </c>
      <c r="AA228" t="s">
        <v>18</v>
      </c>
      <c r="AB228" s="79">
        <v>45339</v>
      </c>
      <c r="AC228">
        <f>OrdersTable[[#This Row],[Delivery Date]]-OrdersTable[[#This Row],[Order Date]]</f>
        <v>5</v>
      </c>
      <c r="AD228" t="str">
        <f>IF(OrdersTable[[#This Row],[Delivery Days]]&lt;=2, "Express (≤2d)", IF(OrdersTable[[#This Row],[Delivery Days]]&lt;=4, "Standard (3-4d)", "Delayed (5d+)"))</f>
        <v>Delayed (5d+)</v>
      </c>
      <c r="AF228">
        <v>0</v>
      </c>
    </row>
    <row r="229" spans="1:32" ht="15" x14ac:dyDescent="0.35">
      <c r="A229" t="s">
        <v>1627</v>
      </c>
      <c r="B229" s="1">
        <v>45334</v>
      </c>
      <c r="C229">
        <f>YEAR(OrdersTable[[#This Row],[Order Date]])</f>
        <v>2024</v>
      </c>
      <c r="D229" s="2">
        <f>DATE(YEAR(OrdersTable[[#This Row],[Order Date]]),MONTH(OrdersTable[[#This Row],[Order Date]]),1)</f>
        <v>45323</v>
      </c>
      <c r="E229">
        <f>MONTH(OrdersTable[[#This Row],[Order Date]])</f>
        <v>2</v>
      </c>
      <c r="F229" t="s">
        <v>752</v>
      </c>
      <c r="G229" t="str">
        <f>IF(OrdersTable[[#This Row],[Order Date]]=_xlfn.MINIFS(Order_Date, Customer_ID, OrdersTable[[#This Row],[Customer ID]]), "New", "Repeat")</f>
        <v>New</v>
      </c>
      <c r="H229" t="s">
        <v>184</v>
      </c>
      <c r="I229" t="str">
        <f>INDEX(State!B:B,MATCH(OrdersTable[[#This Row],[State]],State!A:A,0))</f>
        <v>UK</v>
      </c>
      <c r="J229" t="str">
        <f>INDEX(State!C:C,MATCH(OrdersTable[[#This Row],[State Code]],State!B:B,0))</f>
        <v>North</v>
      </c>
      <c r="K229" t="s">
        <v>185</v>
      </c>
      <c r="L229" t="s">
        <v>65</v>
      </c>
      <c r="M229" t="s">
        <v>106</v>
      </c>
      <c r="N229" t="str">
        <f>INDEX(Products!B:B,MATCH(OrdersTable[[#This Row],[Product ID]],Products!A:A,0))</f>
        <v>Keratin Hair Mask</v>
      </c>
      <c r="O229" t="str">
        <f>INDEX(Products!C:C,MATCH(OrdersTable[[#This Row],[Product ID]],Products!A:A,0))</f>
        <v>Haircare</v>
      </c>
      <c r="P229">
        <v>1</v>
      </c>
      <c r="Q229" s="5">
        <v>549</v>
      </c>
      <c r="R229" s="74">
        <v>0.2</v>
      </c>
      <c r="S229" s="75">
        <f>OrdersTable[[#This Row],[Quantity]]*OrdersTable[[#This Row],[Unit Price]]</f>
        <v>549</v>
      </c>
      <c r="T229" s="5">
        <f>OrdersTable[[#This Row],[Gross Sale]]*OrdersTable[[#This Row],[Discount_Clean2]]</f>
        <v>109.80000000000001</v>
      </c>
      <c r="U229" s="5">
        <f>OrdersTable[[#This Row],[Gross Sale]]-OrdersTable[[#This Row],[Discount Amount]]</f>
        <v>439.2</v>
      </c>
      <c r="V229" s="77">
        <f>INDEX(Products!E:E,MATCH(OrdersTable[[#This Row],[Product ID]],Products!A:A,0))</f>
        <v>170</v>
      </c>
      <c r="W229" s="77">
        <f>OrdersTable[[#This Row],[Quantity]]*OrdersTable[[#This Row],[Unit Cost]]</f>
        <v>170</v>
      </c>
      <c r="X229" s="77">
        <f>'Dropdown Lists'!$I$2*(1+OrdersTable[[#This Row],[Returned]])</f>
        <v>60</v>
      </c>
      <c r="Y229" s="76">
        <f>OrdersTable[[#This Row],[Net Revenue]]-OrdersTable[[#This Row],[COGS]]-OrdersTable[[#This Row],[Shipping Cost]]</f>
        <v>209.2</v>
      </c>
      <c r="Z229" s="78">
        <f>IFERROR(OrdersTable[[#This Row],[Profit]]/OrdersTable[[#This Row],[Net Revenue]],0)</f>
        <v>0.47632058287795992</v>
      </c>
      <c r="AA229" t="s">
        <v>18</v>
      </c>
      <c r="AB229" s="79">
        <v>45339</v>
      </c>
      <c r="AC229">
        <f>OrdersTable[[#This Row],[Delivery Date]]-OrdersTable[[#This Row],[Order Date]]</f>
        <v>5</v>
      </c>
      <c r="AD229" t="str">
        <f>IF(OrdersTable[[#This Row],[Delivery Days]]&lt;=2, "Express (≤2d)", IF(OrdersTable[[#This Row],[Delivery Days]]&lt;=4, "Standard (3-4d)", "Delayed (5d+)"))</f>
        <v>Delayed (5d+)</v>
      </c>
      <c r="AF229">
        <v>0</v>
      </c>
    </row>
    <row r="230" spans="1:32" ht="15" x14ac:dyDescent="0.35">
      <c r="A230" t="s">
        <v>4332</v>
      </c>
      <c r="B230" s="1">
        <v>45334</v>
      </c>
      <c r="C230">
        <f>YEAR(OrdersTable[[#This Row],[Order Date]])</f>
        <v>2024</v>
      </c>
      <c r="D230" s="2">
        <f>DATE(YEAR(OrdersTable[[#This Row],[Order Date]]),MONTH(OrdersTable[[#This Row],[Order Date]]),1)</f>
        <v>45323</v>
      </c>
      <c r="E230">
        <f>MONTH(OrdersTable[[#This Row],[Order Date]])</f>
        <v>2</v>
      </c>
      <c r="F230" t="s">
        <v>4016</v>
      </c>
      <c r="G230" t="str">
        <f>IF(OrdersTable[[#This Row],[Order Date]]=_xlfn.MINIFS(Order_Date, Customer_ID, OrdersTable[[#This Row],[Customer ID]]), "New", "Repeat")</f>
        <v>New</v>
      </c>
      <c r="H230" t="s">
        <v>128</v>
      </c>
      <c r="I230" t="str">
        <f>INDEX(State!B:B,MATCH(OrdersTable[[#This Row],[State]],State!A:A,0))</f>
        <v>DL</v>
      </c>
      <c r="J230" t="str">
        <f>INDEX(State!C:C,MATCH(OrdersTable[[#This Row],[State Code]],State!B:B,0))</f>
        <v>North</v>
      </c>
      <c r="K230" t="s">
        <v>129</v>
      </c>
      <c r="L230" t="s">
        <v>65</v>
      </c>
      <c r="M230" t="s">
        <v>34</v>
      </c>
      <c r="N230" t="str">
        <f>INDEX(Products!B:B,MATCH(OrdersTable[[#This Row],[Product ID]],Products!A:A,0))</f>
        <v>Flip Flops</v>
      </c>
      <c r="O230" t="str">
        <f>INDEX(Products!C:C,MATCH(OrdersTable[[#This Row],[Product ID]],Products!A:A,0))</f>
        <v>Footwear</v>
      </c>
      <c r="P230">
        <v>1</v>
      </c>
      <c r="Q230" s="5">
        <v>399</v>
      </c>
      <c r="R230" s="74">
        <v>0.2</v>
      </c>
      <c r="S230" s="75">
        <f>OrdersTable[[#This Row],[Quantity]]*OrdersTable[[#This Row],[Unit Price]]</f>
        <v>399</v>
      </c>
      <c r="T230" s="5">
        <f>OrdersTable[[#This Row],[Gross Sale]]*OrdersTable[[#This Row],[Discount_Clean2]]</f>
        <v>79.800000000000011</v>
      </c>
      <c r="U230" s="5">
        <f>OrdersTable[[#This Row],[Gross Sale]]-OrdersTable[[#This Row],[Discount Amount]]</f>
        <v>319.2</v>
      </c>
      <c r="V230" s="77">
        <f>INDEX(Products!E:E,MATCH(OrdersTable[[#This Row],[Product ID]],Products!A:A,0))</f>
        <v>152</v>
      </c>
      <c r="W230" s="77">
        <f>OrdersTable[[#This Row],[Quantity]]*OrdersTable[[#This Row],[Unit Cost]]</f>
        <v>152</v>
      </c>
      <c r="X230" s="77">
        <f>'Dropdown Lists'!$I$2*(1+OrdersTable[[#This Row],[Returned]])</f>
        <v>60</v>
      </c>
      <c r="Y230" s="76">
        <f>OrdersTable[[#This Row],[Net Revenue]]-OrdersTable[[#This Row],[COGS]]-OrdersTable[[#This Row],[Shipping Cost]]</f>
        <v>107.19999999999999</v>
      </c>
      <c r="Z230" s="78">
        <f>IFERROR(OrdersTable[[#This Row],[Profit]]/OrdersTable[[#This Row],[Net Revenue]],0)</f>
        <v>0.33583959899749372</v>
      </c>
      <c r="AA230" t="s">
        <v>4074</v>
      </c>
      <c r="AB230" s="79">
        <v>45336</v>
      </c>
      <c r="AC230">
        <f>OrdersTable[[#This Row],[Delivery Date]]-OrdersTable[[#This Row],[Order Date]]</f>
        <v>2</v>
      </c>
      <c r="AD230" t="str">
        <f>IF(OrdersTable[[#This Row],[Delivery Days]]&lt;=2, "Express (≤2d)", IF(OrdersTable[[#This Row],[Delivery Days]]&lt;=4, "Standard (3-4d)", "Delayed (5d+)"))</f>
        <v>Express (≤2d)</v>
      </c>
      <c r="AE230">
        <v>4</v>
      </c>
      <c r="AF230">
        <v>0</v>
      </c>
    </row>
    <row r="231" spans="1:32" ht="15" x14ac:dyDescent="0.35">
      <c r="A231" t="s">
        <v>2696</v>
      </c>
      <c r="B231" s="1">
        <v>45334</v>
      </c>
      <c r="C231">
        <f>YEAR(OrdersTable[[#This Row],[Order Date]])</f>
        <v>2024</v>
      </c>
      <c r="D231" s="2">
        <f>DATE(YEAR(OrdersTable[[#This Row],[Order Date]]),MONTH(OrdersTable[[#This Row],[Order Date]]),1)</f>
        <v>45323</v>
      </c>
      <c r="E231">
        <f>MONTH(OrdersTable[[#This Row],[Order Date]])</f>
        <v>2</v>
      </c>
      <c r="F231" t="s">
        <v>2697</v>
      </c>
      <c r="G231" t="str">
        <f>IF(OrdersTable[[#This Row],[Order Date]]=_xlfn.MINIFS(Order_Date, Customer_ID, OrdersTable[[#This Row],[Customer ID]]), "New", "Repeat")</f>
        <v>New</v>
      </c>
      <c r="H231" t="s">
        <v>482</v>
      </c>
      <c r="I231" t="str">
        <f>INDEX(State!B:B,MATCH(OrdersTable[[#This Row],[State]],State!A:A,0))</f>
        <v>CG</v>
      </c>
      <c r="J231" t="str">
        <f>INDEX(State!C:C,MATCH(OrdersTable[[#This Row],[State Code]],State!B:B,0))</f>
        <v>East</v>
      </c>
      <c r="K231" t="s">
        <v>483</v>
      </c>
      <c r="L231" t="s">
        <v>65</v>
      </c>
      <c r="M231" t="s">
        <v>106</v>
      </c>
      <c r="N231" t="str">
        <f>INDEX(Products!B:B,MATCH(OrdersTable[[#This Row],[Product ID]],Products!A:A,0))</f>
        <v>Keratin Hair Mask</v>
      </c>
      <c r="O231" t="str">
        <f>INDEX(Products!C:C,MATCH(OrdersTable[[#This Row],[Product ID]],Products!A:A,0))</f>
        <v>Haircare</v>
      </c>
      <c r="P231">
        <v>1</v>
      </c>
      <c r="Q231" s="5">
        <v>549</v>
      </c>
      <c r="R231" s="74">
        <v>0.1</v>
      </c>
      <c r="S231" s="75">
        <f>OrdersTable[[#This Row],[Quantity]]*OrdersTable[[#This Row],[Unit Price]]</f>
        <v>549</v>
      </c>
      <c r="T231" s="5">
        <f>OrdersTable[[#This Row],[Gross Sale]]*OrdersTable[[#This Row],[Discount_Clean2]]</f>
        <v>54.900000000000006</v>
      </c>
      <c r="U231" s="5">
        <f>OrdersTable[[#This Row],[Gross Sale]]-OrdersTable[[#This Row],[Discount Amount]]</f>
        <v>494.1</v>
      </c>
      <c r="V231" s="77">
        <f>INDEX(Products!E:E,MATCH(OrdersTable[[#This Row],[Product ID]],Products!A:A,0))</f>
        <v>170</v>
      </c>
      <c r="W231" s="77">
        <f>OrdersTable[[#This Row],[Quantity]]*OrdersTable[[#This Row],[Unit Cost]]</f>
        <v>170</v>
      </c>
      <c r="X231" s="77">
        <f>'Dropdown Lists'!$I$2*(1+OrdersTable[[#This Row],[Returned]])</f>
        <v>60</v>
      </c>
      <c r="Y231" s="76">
        <f>OrdersTable[[#This Row],[Net Revenue]]-OrdersTable[[#This Row],[COGS]]-OrdersTable[[#This Row],[Shipping Cost]]</f>
        <v>264.10000000000002</v>
      </c>
      <c r="Z231" s="78">
        <f>IFERROR(OrdersTable[[#This Row],[Profit]]/OrdersTable[[#This Row],[Net Revenue]],0)</f>
        <v>0.53450718478040882</v>
      </c>
      <c r="AA231" t="s">
        <v>2522</v>
      </c>
      <c r="AB231" s="79">
        <v>45339</v>
      </c>
      <c r="AC231">
        <f>OrdersTable[[#This Row],[Delivery Date]]-OrdersTable[[#This Row],[Order Date]]</f>
        <v>5</v>
      </c>
      <c r="AD231" t="str">
        <f>IF(OrdersTable[[#This Row],[Delivery Days]]&lt;=2, "Express (≤2d)", IF(OrdersTable[[#This Row],[Delivery Days]]&lt;=4, "Standard (3-4d)", "Delayed (5d+)"))</f>
        <v>Delayed (5d+)</v>
      </c>
      <c r="AE231">
        <v>3</v>
      </c>
      <c r="AF231">
        <v>0</v>
      </c>
    </row>
    <row r="232" spans="1:32" ht="15" x14ac:dyDescent="0.35">
      <c r="A232" t="s">
        <v>6661</v>
      </c>
      <c r="B232" s="1">
        <v>45334</v>
      </c>
      <c r="C232">
        <f>YEAR(OrdersTable[[#This Row],[Order Date]])</f>
        <v>2024</v>
      </c>
      <c r="D232" s="2">
        <f>DATE(YEAR(OrdersTable[[#This Row],[Order Date]]),MONTH(OrdersTable[[#This Row],[Order Date]]),1)</f>
        <v>45323</v>
      </c>
      <c r="E232">
        <f>MONTH(OrdersTable[[#This Row],[Order Date]])</f>
        <v>2</v>
      </c>
      <c r="F232" t="s">
        <v>3119</v>
      </c>
      <c r="G232" t="str">
        <f>IF(OrdersTable[[#This Row],[Order Date]]=_xlfn.MINIFS(Order_Date, Customer_ID, OrdersTable[[#This Row],[Customer ID]]), "New", "Repeat")</f>
        <v>New</v>
      </c>
      <c r="H232" t="s">
        <v>275</v>
      </c>
      <c r="I232" t="str">
        <f>INDEX(State!B:B,MATCH(OrdersTable[[#This Row],[State]],State!A:A,0))</f>
        <v>AP</v>
      </c>
      <c r="J232" t="str">
        <f>INDEX(State!C:C,MATCH(OrdersTable[[#This Row],[State Code]],State!B:B,0))</f>
        <v>South</v>
      </c>
      <c r="K232" t="s">
        <v>491</v>
      </c>
      <c r="L232" t="s">
        <v>23</v>
      </c>
      <c r="M232" t="s">
        <v>45</v>
      </c>
      <c r="N232" t="str">
        <f>INDEX(Products!B:B,MATCH(OrdersTable[[#This Row],[Product ID]],Products!A:A,0))</f>
        <v>Argan Shampoo</v>
      </c>
      <c r="O232" t="str">
        <f>INDEX(Products!C:C,MATCH(OrdersTable[[#This Row],[Product ID]],Products!A:A,0))</f>
        <v>Haircare</v>
      </c>
      <c r="P232">
        <v>3</v>
      </c>
      <c r="Q232" s="5">
        <v>449</v>
      </c>
      <c r="R232" s="74">
        <v>0.05</v>
      </c>
      <c r="S232" s="75">
        <f>OrdersTable[[#This Row],[Quantity]]*OrdersTable[[#This Row],[Unit Price]]</f>
        <v>1347</v>
      </c>
      <c r="T232" s="5">
        <f>OrdersTable[[#This Row],[Gross Sale]]*OrdersTable[[#This Row],[Discount_Clean2]]</f>
        <v>67.350000000000009</v>
      </c>
      <c r="U232" s="5">
        <f>OrdersTable[[#This Row],[Gross Sale]]-OrdersTable[[#This Row],[Discount Amount]]</f>
        <v>1279.6500000000001</v>
      </c>
      <c r="V232" s="77">
        <f>INDEX(Products!E:E,MATCH(OrdersTable[[#This Row],[Product ID]],Products!A:A,0))</f>
        <v>148</v>
      </c>
      <c r="W232" s="77">
        <f>OrdersTable[[#This Row],[Quantity]]*OrdersTable[[#This Row],[Unit Cost]]</f>
        <v>444</v>
      </c>
      <c r="X232" s="77">
        <f>'Dropdown Lists'!$I$2*(1+OrdersTable[[#This Row],[Returned]])</f>
        <v>60</v>
      </c>
      <c r="Y232" s="76">
        <f>OrdersTable[[#This Row],[Net Revenue]]-OrdersTable[[#This Row],[COGS]]-OrdersTable[[#This Row],[Shipping Cost]]</f>
        <v>775.65000000000009</v>
      </c>
      <c r="Z232" s="78">
        <f>IFERROR(OrdersTable[[#This Row],[Profit]]/OrdersTable[[#This Row],[Net Revenue]],0)</f>
        <v>0.60614230453639673</v>
      </c>
      <c r="AA232" t="s">
        <v>2522</v>
      </c>
      <c r="AB232" s="79">
        <v>45335</v>
      </c>
      <c r="AC232">
        <f>OrdersTable[[#This Row],[Delivery Date]]-OrdersTable[[#This Row],[Order Date]]</f>
        <v>1</v>
      </c>
      <c r="AD232" t="str">
        <f>IF(OrdersTable[[#This Row],[Delivery Days]]&lt;=2, "Express (≤2d)", IF(OrdersTable[[#This Row],[Delivery Days]]&lt;=4, "Standard (3-4d)", "Delayed (5d+)"))</f>
        <v>Express (≤2d)</v>
      </c>
      <c r="AF232">
        <v>0</v>
      </c>
    </row>
    <row r="233" spans="1:32" ht="15" x14ac:dyDescent="0.35">
      <c r="A233" t="s">
        <v>2216</v>
      </c>
      <c r="B233" s="1">
        <v>45335</v>
      </c>
      <c r="C233">
        <f>YEAR(OrdersTable[[#This Row],[Order Date]])</f>
        <v>2024</v>
      </c>
      <c r="D233" s="2">
        <f>DATE(YEAR(OrdersTable[[#This Row],[Order Date]]),MONTH(OrdersTable[[#This Row],[Order Date]]),1)</f>
        <v>45323</v>
      </c>
      <c r="E233">
        <f>MONTH(OrdersTable[[#This Row],[Order Date]])</f>
        <v>2</v>
      </c>
      <c r="F233" t="s">
        <v>2217</v>
      </c>
      <c r="G233" t="str">
        <f>IF(OrdersTable[[#This Row],[Order Date]]=_xlfn.MINIFS(Order_Date, Customer_ID, OrdersTable[[#This Row],[Customer ID]]), "New", "Repeat")</f>
        <v>New</v>
      </c>
      <c r="H233" t="s">
        <v>128</v>
      </c>
      <c r="I233" t="str">
        <f>INDEX(State!B:B,MATCH(OrdersTable[[#This Row],[State]],State!A:A,0))</f>
        <v>DL</v>
      </c>
      <c r="J233" t="str">
        <f>INDEX(State!C:C,MATCH(OrdersTable[[#This Row],[State Code]],State!B:B,0))</f>
        <v>North</v>
      </c>
      <c r="K233" t="s">
        <v>129</v>
      </c>
      <c r="L233" t="s">
        <v>65</v>
      </c>
      <c r="M233" t="s">
        <v>87</v>
      </c>
      <c r="N233" t="str">
        <f>INDEX(Products!B:B,MATCH(OrdersTable[[#This Row],[Product ID]],Products!A:A,0))</f>
        <v>Linen Kurta</v>
      </c>
      <c r="O233" t="str">
        <f>INDEX(Products!C:C,MATCH(OrdersTable[[#This Row],[Product ID]],Products!A:A,0))</f>
        <v>Apparel</v>
      </c>
      <c r="P233">
        <v>1</v>
      </c>
      <c r="Q233" s="5">
        <v>1499</v>
      </c>
      <c r="R233" s="74">
        <v>0.4</v>
      </c>
      <c r="S233" s="75">
        <f>OrdersTable[[#This Row],[Quantity]]*OrdersTable[[#This Row],[Unit Price]]</f>
        <v>1499</v>
      </c>
      <c r="T233" s="5">
        <f>OrdersTable[[#This Row],[Gross Sale]]*OrdersTable[[#This Row],[Discount_Clean2]]</f>
        <v>599.6</v>
      </c>
      <c r="U233" s="5">
        <f>OrdersTable[[#This Row],[Gross Sale]]-OrdersTable[[#This Row],[Discount Amount]]</f>
        <v>899.4</v>
      </c>
      <c r="V233" s="77">
        <f>INDEX(Products!E:E,MATCH(OrdersTable[[#This Row],[Product ID]],Products!A:A,0))</f>
        <v>630</v>
      </c>
      <c r="W233" s="77">
        <f>OrdersTable[[#This Row],[Quantity]]*OrdersTable[[#This Row],[Unit Cost]]</f>
        <v>630</v>
      </c>
      <c r="X233" s="77">
        <f>'Dropdown Lists'!$I$2*(1+OrdersTable[[#This Row],[Returned]])</f>
        <v>120</v>
      </c>
      <c r="Y233" s="76">
        <f>OrdersTable[[#This Row],[Net Revenue]]-OrdersTable[[#This Row],[COGS]]-OrdersTable[[#This Row],[Shipping Cost]]</f>
        <v>149.39999999999998</v>
      </c>
      <c r="Z233" s="78">
        <f>IFERROR(OrdersTable[[#This Row],[Profit]]/OrdersTable[[#This Row],[Net Revenue]],0)</f>
        <v>0.16611074049366242</v>
      </c>
      <c r="AA233" t="s">
        <v>18</v>
      </c>
      <c r="AB233" s="79">
        <v>45337</v>
      </c>
      <c r="AC233">
        <f>OrdersTable[[#This Row],[Delivery Date]]-OrdersTable[[#This Row],[Order Date]]</f>
        <v>2</v>
      </c>
      <c r="AD233" t="str">
        <f>IF(OrdersTable[[#This Row],[Delivery Days]]&lt;=2, "Express (≤2d)", IF(OrdersTable[[#This Row],[Delivery Days]]&lt;=4, "Standard (3-4d)", "Delayed (5d+)"))</f>
        <v>Express (≤2d)</v>
      </c>
      <c r="AE233">
        <v>5</v>
      </c>
      <c r="AF233">
        <v>1</v>
      </c>
    </row>
    <row r="234" spans="1:32" ht="15" x14ac:dyDescent="0.35">
      <c r="A234" t="s">
        <v>6463</v>
      </c>
      <c r="B234" s="1">
        <v>45335</v>
      </c>
      <c r="C234">
        <f>YEAR(OrdersTable[[#This Row],[Order Date]])</f>
        <v>2024</v>
      </c>
      <c r="D234" s="2">
        <f>DATE(YEAR(OrdersTable[[#This Row],[Order Date]]),MONTH(OrdersTable[[#This Row],[Order Date]]),1)</f>
        <v>45323</v>
      </c>
      <c r="E234">
        <f>MONTH(OrdersTable[[#This Row],[Order Date]])</f>
        <v>2</v>
      </c>
      <c r="F234" t="s">
        <v>6464</v>
      </c>
      <c r="G234" t="str">
        <f>IF(OrdersTable[[#This Row],[Order Date]]=_xlfn.MINIFS(Order_Date, Customer_ID, OrdersTable[[#This Row],[Customer ID]]), "New", "Repeat")</f>
        <v>New</v>
      </c>
      <c r="H234" t="s">
        <v>43</v>
      </c>
      <c r="I234" t="str">
        <f>INDEX(State!B:B,MATCH(OrdersTable[[#This Row],[State]],State!A:A,0))</f>
        <v>MP</v>
      </c>
      <c r="J234" t="str">
        <f>INDEX(State!C:C,MATCH(OrdersTable[[#This Row],[State Code]],State!B:B,0))</f>
        <v>West</v>
      </c>
      <c r="K234" t="s">
        <v>44</v>
      </c>
      <c r="L234" t="s">
        <v>39</v>
      </c>
      <c r="M234" t="s">
        <v>228</v>
      </c>
      <c r="N234" t="str">
        <f>INDEX(Products!B:B,MATCH(OrdersTable[[#This Row],[Product ID]],Products!A:A,0))</f>
        <v>Fast Charger 33W</v>
      </c>
      <c r="O234" t="str">
        <f>INDEX(Products!C:C,MATCH(OrdersTable[[#This Row],[Product ID]],Products!A:A,0))</f>
        <v>Electronics</v>
      </c>
      <c r="P234">
        <v>3</v>
      </c>
      <c r="Q234" s="5">
        <v>899</v>
      </c>
      <c r="R234" s="74">
        <v>0</v>
      </c>
      <c r="S234" s="75">
        <f>OrdersTable[[#This Row],[Quantity]]*OrdersTable[[#This Row],[Unit Price]]</f>
        <v>2697</v>
      </c>
      <c r="T234" s="5">
        <f>OrdersTable[[#This Row],[Gross Sale]]*OrdersTable[[#This Row],[Discount_Clean2]]</f>
        <v>0</v>
      </c>
      <c r="U234" s="5">
        <f>OrdersTable[[#This Row],[Gross Sale]]-OrdersTable[[#This Row],[Discount Amount]]</f>
        <v>2697</v>
      </c>
      <c r="V234" s="77">
        <f>INDEX(Products!E:E,MATCH(OrdersTable[[#This Row],[Product ID]],Products!A:A,0))</f>
        <v>494</v>
      </c>
      <c r="W234" s="77">
        <f>OrdersTable[[#This Row],[Quantity]]*OrdersTable[[#This Row],[Unit Cost]]</f>
        <v>1482</v>
      </c>
      <c r="X234" s="77">
        <f>'Dropdown Lists'!$I$2*(1+OrdersTable[[#This Row],[Returned]])</f>
        <v>60</v>
      </c>
      <c r="Y234" s="76">
        <f>OrdersTable[[#This Row],[Net Revenue]]-OrdersTable[[#This Row],[COGS]]-OrdersTable[[#This Row],[Shipping Cost]]</f>
        <v>1155</v>
      </c>
      <c r="Z234" s="78">
        <f>IFERROR(OrdersTable[[#This Row],[Profit]]/OrdersTable[[#This Row],[Net Revenue]],0)</f>
        <v>0.42825361512791993</v>
      </c>
      <c r="AA234" t="s">
        <v>18</v>
      </c>
      <c r="AB234" s="79">
        <v>45339</v>
      </c>
      <c r="AC234">
        <f>OrdersTable[[#This Row],[Delivery Date]]-OrdersTable[[#This Row],[Order Date]]</f>
        <v>4</v>
      </c>
      <c r="AD234" t="str">
        <f>IF(OrdersTable[[#This Row],[Delivery Days]]&lt;=2, "Express (≤2d)", IF(OrdersTable[[#This Row],[Delivery Days]]&lt;=4, "Standard (3-4d)", "Delayed (5d+)"))</f>
        <v>Standard (3-4d)</v>
      </c>
      <c r="AE234">
        <v>3</v>
      </c>
      <c r="AF234">
        <v>0</v>
      </c>
    </row>
    <row r="235" spans="1:32" ht="15" x14ac:dyDescent="0.35">
      <c r="A235" t="s">
        <v>2539</v>
      </c>
      <c r="B235" s="1">
        <v>45335</v>
      </c>
      <c r="C235">
        <f>YEAR(OrdersTable[[#This Row],[Order Date]])</f>
        <v>2024</v>
      </c>
      <c r="D235" s="2">
        <f>DATE(YEAR(OrdersTable[[#This Row],[Order Date]]),MONTH(OrdersTable[[#This Row],[Order Date]]),1)</f>
        <v>45323</v>
      </c>
      <c r="E235">
        <f>MONTH(OrdersTable[[#This Row],[Order Date]])</f>
        <v>2</v>
      </c>
      <c r="F235" t="s">
        <v>2540</v>
      </c>
      <c r="G235" t="str">
        <f>IF(OrdersTable[[#This Row],[Order Date]]=_xlfn.MINIFS(Order_Date, Customer_ID, OrdersTable[[#This Row],[Customer ID]]), "New", "Repeat")</f>
        <v>New</v>
      </c>
      <c r="H235" t="s">
        <v>482</v>
      </c>
      <c r="I235" t="str">
        <f>INDEX(State!B:B,MATCH(OrdersTable[[#This Row],[State]],State!A:A,0))</f>
        <v>CG</v>
      </c>
      <c r="J235" t="str">
        <f>INDEX(State!C:C,MATCH(OrdersTable[[#This Row],[State Code]],State!B:B,0))</f>
        <v>East</v>
      </c>
      <c r="K235" t="s">
        <v>483</v>
      </c>
      <c r="L235" t="s">
        <v>23</v>
      </c>
      <c r="M235" t="s">
        <v>78</v>
      </c>
      <c r="N235" t="str">
        <f>INDEX(Products!B:B,MATCH(OrdersTable[[#This Row],[Product ID]],Products!A:A,0))</f>
        <v>Retinol Night Cream</v>
      </c>
      <c r="O235" t="str">
        <f>INDEX(Products!C:C,MATCH(OrdersTable[[#This Row],[Product ID]],Products!A:A,0))</f>
        <v>Skincare</v>
      </c>
      <c r="P235">
        <v>1</v>
      </c>
      <c r="Q235" s="5">
        <v>799</v>
      </c>
      <c r="R235" s="74">
        <v>0.05</v>
      </c>
      <c r="S235" s="75">
        <f>OrdersTable[[#This Row],[Quantity]]*OrdersTable[[#This Row],[Unit Price]]</f>
        <v>799</v>
      </c>
      <c r="T235" s="5">
        <f>OrdersTable[[#This Row],[Gross Sale]]*OrdersTable[[#This Row],[Discount_Clean2]]</f>
        <v>39.950000000000003</v>
      </c>
      <c r="U235" s="5">
        <f>OrdersTable[[#This Row],[Gross Sale]]-OrdersTable[[#This Row],[Discount Amount]]</f>
        <v>759.05</v>
      </c>
      <c r="V235" s="77">
        <f>INDEX(Products!E:E,MATCH(OrdersTable[[#This Row],[Product ID]],Products!A:A,0))</f>
        <v>216</v>
      </c>
      <c r="W235" s="77">
        <f>OrdersTable[[#This Row],[Quantity]]*OrdersTable[[#This Row],[Unit Cost]]</f>
        <v>216</v>
      </c>
      <c r="X235" s="77">
        <f>'Dropdown Lists'!$I$2*(1+OrdersTable[[#This Row],[Returned]])</f>
        <v>120</v>
      </c>
      <c r="Y235" s="76">
        <f>OrdersTable[[#This Row],[Net Revenue]]-OrdersTable[[#This Row],[COGS]]-OrdersTable[[#This Row],[Shipping Cost]]</f>
        <v>423.04999999999995</v>
      </c>
      <c r="Z235" s="78">
        <f>IFERROR(OrdersTable[[#This Row],[Profit]]/OrdersTable[[#This Row],[Net Revenue]],0)</f>
        <v>0.5573414136091166</v>
      </c>
      <c r="AA235" t="s">
        <v>2522</v>
      </c>
      <c r="AB235" s="79">
        <v>45340</v>
      </c>
      <c r="AC235">
        <f>OrdersTable[[#This Row],[Delivery Date]]-OrdersTable[[#This Row],[Order Date]]</f>
        <v>5</v>
      </c>
      <c r="AD235" t="str">
        <f>IF(OrdersTable[[#This Row],[Delivery Days]]&lt;=2, "Express (≤2d)", IF(OrdersTable[[#This Row],[Delivery Days]]&lt;=4, "Standard (3-4d)", "Delayed (5d+)"))</f>
        <v>Delayed (5d+)</v>
      </c>
      <c r="AE235">
        <v>5</v>
      </c>
      <c r="AF235">
        <v>1</v>
      </c>
    </row>
    <row r="236" spans="1:32" ht="15" x14ac:dyDescent="0.35">
      <c r="A236" t="s">
        <v>3149</v>
      </c>
      <c r="B236" s="1">
        <v>45335</v>
      </c>
      <c r="C236">
        <f>YEAR(OrdersTable[[#This Row],[Order Date]])</f>
        <v>2024</v>
      </c>
      <c r="D236" s="2">
        <f>DATE(YEAR(OrdersTable[[#This Row],[Order Date]]),MONTH(OrdersTable[[#This Row],[Order Date]]),1)</f>
        <v>45323</v>
      </c>
      <c r="E236">
        <f>MONTH(OrdersTable[[#This Row],[Order Date]])</f>
        <v>2</v>
      </c>
      <c r="F236" t="s">
        <v>3150</v>
      </c>
      <c r="G236" t="str">
        <f>IF(OrdersTable[[#This Row],[Order Date]]=_xlfn.MINIFS(Order_Date, Customer_ID, OrdersTable[[#This Row],[Customer ID]]), "New", "Repeat")</f>
        <v>New</v>
      </c>
      <c r="H236" t="s">
        <v>59</v>
      </c>
      <c r="I236" t="str">
        <f>INDEX(State!B:B,MATCH(OrdersTable[[#This Row],[State]],State!A:A,0))</f>
        <v>TN</v>
      </c>
      <c r="J236" t="str">
        <f>INDEX(State!C:C,MATCH(OrdersTable[[#This Row],[State Code]],State!B:B,0))</f>
        <v>South</v>
      </c>
      <c r="K236" t="s">
        <v>60</v>
      </c>
      <c r="L236" t="s">
        <v>16</v>
      </c>
      <c r="M236" t="s">
        <v>205</v>
      </c>
      <c r="N236" t="str">
        <f>INDEX(Products!B:B,MATCH(OrdersTable[[#This Row],[Product ID]],Products!A:A,0))</f>
        <v>Running Shoes</v>
      </c>
      <c r="O236" t="str">
        <f>INDEX(Products!C:C,MATCH(OrdersTable[[#This Row],[Product ID]],Products!A:A,0))</f>
        <v>Footwear</v>
      </c>
      <c r="P236">
        <v>1</v>
      </c>
      <c r="Q236" s="5">
        <v>2999</v>
      </c>
      <c r="R236" s="74">
        <v>0.15</v>
      </c>
      <c r="S236" s="75">
        <f>OrdersTable[[#This Row],[Quantity]]*OrdersTable[[#This Row],[Unit Price]]</f>
        <v>2999</v>
      </c>
      <c r="T236" s="5">
        <f>OrdersTable[[#This Row],[Gross Sale]]*OrdersTable[[#This Row],[Discount_Clean2]]</f>
        <v>449.84999999999997</v>
      </c>
      <c r="U236" s="5">
        <f>OrdersTable[[#This Row],[Gross Sale]]-OrdersTable[[#This Row],[Discount Amount]]</f>
        <v>2549.15</v>
      </c>
      <c r="V236" s="77">
        <f>INDEX(Products!E:E,MATCH(OrdersTable[[#This Row],[Product ID]],Products!A:A,0))</f>
        <v>1440</v>
      </c>
      <c r="W236" s="77">
        <f>OrdersTable[[#This Row],[Quantity]]*OrdersTable[[#This Row],[Unit Cost]]</f>
        <v>1440</v>
      </c>
      <c r="X236" s="77">
        <f>'Dropdown Lists'!$I$2*(1+OrdersTable[[#This Row],[Returned]])</f>
        <v>60</v>
      </c>
      <c r="Y236" s="76">
        <f>OrdersTable[[#This Row],[Net Revenue]]-OrdersTable[[#This Row],[COGS]]-OrdersTable[[#This Row],[Shipping Cost]]</f>
        <v>1049.1500000000001</v>
      </c>
      <c r="Z236" s="78">
        <f>IFERROR(OrdersTable[[#This Row],[Profit]]/OrdersTable[[#This Row],[Net Revenue]],0)</f>
        <v>0.41156856206970954</v>
      </c>
      <c r="AA236" t="s">
        <v>2522</v>
      </c>
      <c r="AB236" s="79">
        <v>45336</v>
      </c>
      <c r="AC236">
        <f>OrdersTable[[#This Row],[Delivery Date]]-OrdersTable[[#This Row],[Order Date]]</f>
        <v>1</v>
      </c>
      <c r="AD236" t="str">
        <f>IF(OrdersTable[[#This Row],[Delivery Days]]&lt;=2, "Express (≤2d)", IF(OrdersTable[[#This Row],[Delivery Days]]&lt;=4, "Standard (3-4d)", "Delayed (5d+)"))</f>
        <v>Express (≤2d)</v>
      </c>
      <c r="AE236">
        <v>4</v>
      </c>
      <c r="AF236">
        <v>0</v>
      </c>
    </row>
    <row r="237" spans="1:32" ht="15" x14ac:dyDescent="0.35">
      <c r="A237" t="s">
        <v>62</v>
      </c>
      <c r="B237" s="1">
        <v>45335</v>
      </c>
      <c r="C237">
        <f>YEAR(OrdersTable[[#This Row],[Order Date]])</f>
        <v>2024</v>
      </c>
      <c r="D237" s="2">
        <f>DATE(YEAR(OrdersTable[[#This Row],[Order Date]]),MONTH(OrdersTable[[#This Row],[Order Date]]),1)</f>
        <v>45323</v>
      </c>
      <c r="E237">
        <f>MONTH(OrdersTable[[#This Row],[Order Date]])</f>
        <v>2</v>
      </c>
      <c r="F237" t="s">
        <v>63</v>
      </c>
      <c r="G237" t="str">
        <f>IF(OrdersTable[[#This Row],[Order Date]]=_xlfn.MINIFS(Order_Date, Customer_ID, OrdersTable[[#This Row],[Customer ID]]), "New", "Repeat")</f>
        <v>New</v>
      </c>
      <c r="H237" t="s">
        <v>59</v>
      </c>
      <c r="I237" t="str">
        <f>INDEX(State!B:B,MATCH(OrdersTable[[#This Row],[State]],State!A:A,0))</f>
        <v>TN</v>
      </c>
      <c r="J237" t="str">
        <f>INDEX(State!C:C,MATCH(OrdersTable[[#This Row],[State Code]],State!B:B,0))</f>
        <v>South</v>
      </c>
      <c r="K237" t="s">
        <v>64</v>
      </c>
      <c r="L237" t="s">
        <v>65</v>
      </c>
      <c r="M237" t="s">
        <v>66</v>
      </c>
      <c r="N237" t="str">
        <f>INDEX(Products!B:B,MATCH(OrdersTable[[#This Row],[Product ID]],Products!A:A,0))</f>
        <v>Sunscreen SPF 50</v>
      </c>
      <c r="O237" t="str">
        <f>INDEX(Products!C:C,MATCH(OrdersTable[[#This Row],[Product ID]],Products!A:A,0))</f>
        <v>Skincare</v>
      </c>
      <c r="P237">
        <v>1</v>
      </c>
      <c r="Q237" s="5">
        <v>449</v>
      </c>
      <c r="R237" s="74">
        <v>0.1</v>
      </c>
      <c r="S237" s="75">
        <f>OrdersTable[[#This Row],[Quantity]]*OrdersTable[[#This Row],[Unit Price]]</f>
        <v>449</v>
      </c>
      <c r="T237" s="5">
        <f>OrdersTable[[#This Row],[Gross Sale]]*OrdersTable[[#This Row],[Discount_Clean2]]</f>
        <v>44.900000000000006</v>
      </c>
      <c r="U237" s="5">
        <f>OrdersTable[[#This Row],[Gross Sale]]-OrdersTable[[#This Row],[Discount Amount]]</f>
        <v>404.1</v>
      </c>
      <c r="V237" s="77">
        <f>INDEX(Products!E:E,MATCH(OrdersTable[[#This Row],[Product ID]],Products!A:A,0))</f>
        <v>144</v>
      </c>
      <c r="W237" s="77">
        <f>OrdersTable[[#This Row],[Quantity]]*OrdersTable[[#This Row],[Unit Cost]]</f>
        <v>144</v>
      </c>
      <c r="X237" s="77">
        <f>'Dropdown Lists'!$I$2*(1+OrdersTable[[#This Row],[Returned]])</f>
        <v>60</v>
      </c>
      <c r="Y237" s="76">
        <f>OrdersTable[[#This Row],[Net Revenue]]-OrdersTable[[#This Row],[COGS]]-OrdersTable[[#This Row],[Shipping Cost]]</f>
        <v>200.10000000000002</v>
      </c>
      <c r="Z237" s="78">
        <f>IFERROR(OrdersTable[[#This Row],[Profit]]/OrdersTable[[#This Row],[Net Revenue]],0)</f>
        <v>0.4951744617668894</v>
      </c>
      <c r="AA237" t="s">
        <v>18</v>
      </c>
      <c r="AB237" s="79">
        <v>45338</v>
      </c>
      <c r="AC237">
        <f>OrdersTable[[#This Row],[Delivery Date]]-OrdersTable[[#This Row],[Order Date]]</f>
        <v>3</v>
      </c>
      <c r="AD237" t="str">
        <f>IF(OrdersTable[[#This Row],[Delivery Days]]&lt;=2, "Express (≤2d)", IF(OrdersTable[[#This Row],[Delivery Days]]&lt;=4, "Standard (3-4d)", "Delayed (5d+)"))</f>
        <v>Standard (3-4d)</v>
      </c>
      <c r="AE237">
        <v>4</v>
      </c>
      <c r="AF237">
        <v>0</v>
      </c>
    </row>
    <row r="238" spans="1:32" ht="15" x14ac:dyDescent="0.35">
      <c r="A238" t="s">
        <v>5853</v>
      </c>
      <c r="B238" s="1">
        <v>45336</v>
      </c>
      <c r="C238">
        <f>YEAR(OrdersTable[[#This Row],[Order Date]])</f>
        <v>2024</v>
      </c>
      <c r="D238" s="2">
        <f>DATE(YEAR(OrdersTable[[#This Row],[Order Date]]),MONTH(OrdersTable[[#This Row],[Order Date]]),1)</f>
        <v>45323</v>
      </c>
      <c r="E238">
        <f>MONTH(OrdersTable[[#This Row],[Order Date]])</f>
        <v>2</v>
      </c>
      <c r="F238" t="s">
        <v>2908</v>
      </c>
      <c r="G238" t="str">
        <f>IF(OrdersTable[[#This Row],[Order Date]]=_xlfn.MINIFS(Order_Date, Customer_ID, OrdersTable[[#This Row],[Customer ID]]), "New", "Repeat")</f>
        <v>New</v>
      </c>
      <c r="H238" t="s">
        <v>48</v>
      </c>
      <c r="I238" t="str">
        <f>INDEX(State!B:B,MATCH(OrdersTable[[#This Row],[State]],State!A:A,0))</f>
        <v>HR</v>
      </c>
      <c r="J238" t="str">
        <f>INDEX(State!C:C,MATCH(OrdersTable[[#This Row],[State Code]],State!B:B,0))</f>
        <v>North</v>
      </c>
      <c r="K238" t="s">
        <v>151</v>
      </c>
      <c r="L238" t="s">
        <v>23</v>
      </c>
      <c r="M238" t="s">
        <v>45</v>
      </c>
      <c r="N238" t="str">
        <f>INDEX(Products!B:B,MATCH(OrdersTable[[#This Row],[Product ID]],Products!A:A,0))</f>
        <v>Argan Shampoo</v>
      </c>
      <c r="O238" t="str">
        <f>INDEX(Products!C:C,MATCH(OrdersTable[[#This Row],[Product ID]],Products!A:A,0))</f>
        <v>Haircare</v>
      </c>
      <c r="P238">
        <v>2</v>
      </c>
      <c r="Q238" s="5">
        <v>449</v>
      </c>
      <c r="R238" s="74">
        <v>0.1</v>
      </c>
      <c r="S238" s="75">
        <f>OrdersTable[[#This Row],[Quantity]]*OrdersTable[[#This Row],[Unit Price]]</f>
        <v>898</v>
      </c>
      <c r="T238" s="5">
        <f>OrdersTable[[#This Row],[Gross Sale]]*OrdersTable[[#This Row],[Discount_Clean2]]</f>
        <v>89.800000000000011</v>
      </c>
      <c r="U238" s="5">
        <f>OrdersTable[[#This Row],[Gross Sale]]-OrdersTable[[#This Row],[Discount Amount]]</f>
        <v>808.2</v>
      </c>
      <c r="V238" s="77">
        <f>INDEX(Products!E:E,MATCH(OrdersTable[[#This Row],[Product ID]],Products!A:A,0))</f>
        <v>148</v>
      </c>
      <c r="W238" s="77">
        <f>OrdersTable[[#This Row],[Quantity]]*OrdersTable[[#This Row],[Unit Cost]]</f>
        <v>296</v>
      </c>
      <c r="X238" s="77">
        <f>'Dropdown Lists'!$I$2*(1+OrdersTable[[#This Row],[Returned]])</f>
        <v>60</v>
      </c>
      <c r="Y238" s="76">
        <f>OrdersTable[[#This Row],[Net Revenue]]-OrdersTable[[#This Row],[COGS]]-OrdersTable[[#This Row],[Shipping Cost]]</f>
        <v>452.20000000000005</v>
      </c>
      <c r="Z238" s="78">
        <f>IFERROR(OrdersTable[[#This Row],[Profit]]/OrdersTable[[#This Row],[Net Revenue]],0)</f>
        <v>0.5595149715416976</v>
      </c>
      <c r="AA238" t="s">
        <v>18</v>
      </c>
      <c r="AB238" s="79">
        <v>45339</v>
      </c>
      <c r="AC238">
        <f>OrdersTable[[#This Row],[Delivery Date]]-OrdersTable[[#This Row],[Order Date]]</f>
        <v>3</v>
      </c>
      <c r="AD238" t="str">
        <f>IF(OrdersTable[[#This Row],[Delivery Days]]&lt;=2, "Express (≤2d)", IF(OrdersTable[[#This Row],[Delivery Days]]&lt;=4, "Standard (3-4d)", "Delayed (5d+)"))</f>
        <v>Standard (3-4d)</v>
      </c>
      <c r="AF238">
        <v>0</v>
      </c>
    </row>
    <row r="239" spans="1:32" ht="15" x14ac:dyDescent="0.35">
      <c r="A239" t="s">
        <v>1628</v>
      </c>
      <c r="B239" s="1">
        <v>45336</v>
      </c>
      <c r="C239">
        <f>YEAR(OrdersTable[[#This Row],[Order Date]])</f>
        <v>2024</v>
      </c>
      <c r="D239" s="2">
        <f>DATE(YEAR(OrdersTable[[#This Row],[Order Date]]),MONTH(OrdersTable[[#This Row],[Order Date]]),1)</f>
        <v>45323</v>
      </c>
      <c r="E239">
        <f>MONTH(OrdersTable[[#This Row],[Order Date]])</f>
        <v>2</v>
      </c>
      <c r="F239" t="s">
        <v>1629</v>
      </c>
      <c r="G239" t="str">
        <f>IF(OrdersTable[[#This Row],[Order Date]]=_xlfn.MINIFS(Order_Date, Customer_ID, OrdersTable[[#This Row],[Customer ID]]), "New", "Repeat")</f>
        <v>Repeat</v>
      </c>
      <c r="H239" t="s">
        <v>37</v>
      </c>
      <c r="I239" t="str">
        <f>INDEX(State!B:B,MATCH(OrdersTable[[#This Row],[State]],State!A:A,0))</f>
        <v>GJ</v>
      </c>
      <c r="J239" t="str">
        <f>INDEX(State!C:C,MATCH(OrdersTable[[#This Row],[State Code]],State!B:B,0))</f>
        <v>West</v>
      </c>
      <c r="K239" t="s">
        <v>247</v>
      </c>
      <c r="L239" t="s">
        <v>65</v>
      </c>
      <c r="M239" t="s">
        <v>176</v>
      </c>
      <c r="N239" t="str">
        <f>INDEX(Products!B:B,MATCH(OrdersTable[[#This Row],[Product ID]],Products!A:A,0))</f>
        <v>Denim Jacket</v>
      </c>
      <c r="O239" t="str">
        <f>INDEX(Products!C:C,MATCH(OrdersTable[[#This Row],[Product ID]],Products!A:A,0))</f>
        <v>Apparel</v>
      </c>
      <c r="P239">
        <v>1</v>
      </c>
      <c r="Q239" s="5">
        <v>2499</v>
      </c>
      <c r="R239" s="74">
        <v>0</v>
      </c>
      <c r="S239" s="75">
        <f>OrdersTable[[#This Row],[Quantity]]*OrdersTable[[#This Row],[Unit Price]]</f>
        <v>2499</v>
      </c>
      <c r="T239" s="5">
        <f>OrdersTable[[#This Row],[Gross Sale]]*OrdersTable[[#This Row],[Discount_Clean2]]</f>
        <v>0</v>
      </c>
      <c r="U239" s="5">
        <f>OrdersTable[[#This Row],[Gross Sale]]-OrdersTable[[#This Row],[Discount Amount]]</f>
        <v>2499</v>
      </c>
      <c r="V239" s="77">
        <f>INDEX(Products!E:E,MATCH(OrdersTable[[#This Row],[Product ID]],Products!A:A,0))</f>
        <v>1125</v>
      </c>
      <c r="W239" s="77">
        <f>OrdersTable[[#This Row],[Quantity]]*OrdersTable[[#This Row],[Unit Cost]]</f>
        <v>1125</v>
      </c>
      <c r="X239" s="77">
        <f>'Dropdown Lists'!$I$2*(1+OrdersTable[[#This Row],[Returned]])</f>
        <v>120</v>
      </c>
      <c r="Y239" s="76">
        <f>OrdersTable[[#This Row],[Net Revenue]]-OrdersTable[[#This Row],[COGS]]-OrdersTable[[#This Row],[Shipping Cost]]</f>
        <v>1254</v>
      </c>
      <c r="Z239" s="78">
        <f>IFERROR(OrdersTable[[#This Row],[Profit]]/OrdersTable[[#This Row],[Net Revenue]],0)</f>
        <v>0.50180072028811529</v>
      </c>
      <c r="AA239" t="s">
        <v>18</v>
      </c>
      <c r="AB239" s="79">
        <v>45340</v>
      </c>
      <c r="AC239">
        <f>OrdersTable[[#This Row],[Delivery Date]]-OrdersTable[[#This Row],[Order Date]]</f>
        <v>4</v>
      </c>
      <c r="AD239" t="str">
        <f>IF(OrdersTable[[#This Row],[Delivery Days]]&lt;=2, "Express (≤2d)", IF(OrdersTable[[#This Row],[Delivery Days]]&lt;=4, "Standard (3-4d)", "Delayed (5d+)"))</f>
        <v>Standard (3-4d)</v>
      </c>
      <c r="AF239">
        <v>1</v>
      </c>
    </row>
    <row r="240" spans="1:32" ht="15" x14ac:dyDescent="0.35">
      <c r="A240" t="s">
        <v>4902</v>
      </c>
      <c r="B240" s="1">
        <v>45336</v>
      </c>
      <c r="C240">
        <f>YEAR(OrdersTable[[#This Row],[Order Date]])</f>
        <v>2024</v>
      </c>
      <c r="D240" s="2">
        <f>DATE(YEAR(OrdersTable[[#This Row],[Order Date]]),MONTH(OrdersTable[[#This Row],[Order Date]]),1)</f>
        <v>45323</v>
      </c>
      <c r="E240">
        <f>MONTH(OrdersTable[[#This Row],[Order Date]])</f>
        <v>2</v>
      </c>
      <c r="F240" t="s">
        <v>4867</v>
      </c>
      <c r="G240" t="str">
        <f>IF(OrdersTable[[#This Row],[Order Date]]=_xlfn.MINIFS(Order_Date, Customer_ID, OrdersTable[[#This Row],[Customer ID]]), "New", "Repeat")</f>
        <v>New</v>
      </c>
      <c r="H240" t="s">
        <v>71</v>
      </c>
      <c r="I240" t="str">
        <f>INDEX(State!B:B,MATCH(OrdersTable[[#This Row],[State]],State!A:A,0))</f>
        <v>MH</v>
      </c>
      <c r="J240" t="str">
        <f>INDEX(State!C:C,MATCH(OrdersTable[[#This Row],[State Code]],State!B:B,0))</f>
        <v>West</v>
      </c>
      <c r="K240" t="s">
        <v>102</v>
      </c>
      <c r="L240" t="s">
        <v>65</v>
      </c>
      <c r="M240" t="s">
        <v>173</v>
      </c>
      <c r="N240" t="str">
        <f>INDEX(Products!B:B,MATCH(OrdersTable[[#This Row],[Product ID]],Products!A:A,0))</f>
        <v>Wireless Earbuds</v>
      </c>
      <c r="O240" t="str">
        <f>INDEX(Products!C:C,MATCH(OrdersTable[[#This Row],[Product ID]],Products!A:A,0))</f>
        <v>Electronics</v>
      </c>
      <c r="P240">
        <v>2</v>
      </c>
      <c r="Q240" s="5">
        <v>1999</v>
      </c>
      <c r="R240" s="74">
        <v>0.35</v>
      </c>
      <c r="S240" s="75">
        <f>OrdersTable[[#This Row],[Quantity]]*OrdersTable[[#This Row],[Unit Price]]</f>
        <v>3998</v>
      </c>
      <c r="T240" s="5">
        <f>OrdersTable[[#This Row],[Gross Sale]]*OrdersTable[[#This Row],[Discount_Clean2]]</f>
        <v>1399.3</v>
      </c>
      <c r="U240" s="5">
        <f>OrdersTable[[#This Row],[Gross Sale]]-OrdersTable[[#This Row],[Discount Amount]]</f>
        <v>2598.6999999999998</v>
      </c>
      <c r="V240" s="77">
        <f>INDEX(Products!E:E,MATCH(OrdersTable[[#This Row],[Product ID]],Products!A:A,0))</f>
        <v>1239</v>
      </c>
      <c r="W240" s="77">
        <f>OrdersTable[[#This Row],[Quantity]]*OrdersTable[[#This Row],[Unit Cost]]</f>
        <v>2478</v>
      </c>
      <c r="X240" s="77">
        <f>'Dropdown Lists'!$I$2*(1+OrdersTable[[#This Row],[Returned]])</f>
        <v>60</v>
      </c>
      <c r="Y240" s="76">
        <f>OrdersTable[[#This Row],[Net Revenue]]-OrdersTable[[#This Row],[COGS]]-OrdersTable[[#This Row],[Shipping Cost]]</f>
        <v>60.699999999999818</v>
      </c>
      <c r="Z240" s="78">
        <f>IFERROR(OrdersTable[[#This Row],[Profit]]/OrdersTable[[#This Row],[Net Revenue]],0)</f>
        <v>2.3357832762535044E-2</v>
      </c>
      <c r="AA240" t="s">
        <v>4074</v>
      </c>
      <c r="AB240" s="79">
        <v>45340</v>
      </c>
      <c r="AC240">
        <f>OrdersTable[[#This Row],[Delivery Date]]-OrdersTable[[#This Row],[Order Date]]</f>
        <v>4</v>
      </c>
      <c r="AD240" t="str">
        <f>IF(OrdersTable[[#This Row],[Delivery Days]]&lt;=2, "Express (≤2d)", IF(OrdersTable[[#This Row],[Delivery Days]]&lt;=4, "Standard (3-4d)", "Delayed (5d+)"))</f>
        <v>Standard (3-4d)</v>
      </c>
      <c r="AE240">
        <v>4</v>
      </c>
      <c r="AF240">
        <v>0</v>
      </c>
    </row>
    <row r="241" spans="1:32" ht="15" x14ac:dyDescent="0.35">
      <c r="A241" t="s">
        <v>1836</v>
      </c>
      <c r="B241" s="1">
        <v>45336</v>
      </c>
      <c r="C241">
        <f>YEAR(OrdersTable[[#This Row],[Order Date]])</f>
        <v>2024</v>
      </c>
      <c r="D241" s="2">
        <f>DATE(YEAR(OrdersTable[[#This Row],[Order Date]]),MONTH(OrdersTable[[#This Row],[Order Date]]),1)</f>
        <v>45323</v>
      </c>
      <c r="E241">
        <f>MONTH(OrdersTable[[#This Row],[Order Date]])</f>
        <v>2</v>
      </c>
      <c r="F241" t="s">
        <v>1837</v>
      </c>
      <c r="G241" t="str">
        <f>IF(OrdersTable[[#This Row],[Order Date]]=_xlfn.MINIFS(Order_Date, Customer_ID, OrdersTable[[#This Row],[Customer ID]]), "New", "Repeat")</f>
        <v>New</v>
      </c>
      <c r="H241" t="s">
        <v>71</v>
      </c>
      <c r="I241" t="str">
        <f>INDEX(State!B:B,MATCH(OrdersTable[[#This Row],[State]],State!A:A,0))</f>
        <v>MH</v>
      </c>
      <c r="J241" t="str">
        <f>INDEX(State!C:C,MATCH(OrdersTable[[#This Row],[State Code]],State!B:B,0))</f>
        <v>West</v>
      </c>
      <c r="K241" t="s">
        <v>72</v>
      </c>
      <c r="L241" t="s">
        <v>50</v>
      </c>
      <c r="M241" t="s">
        <v>109</v>
      </c>
      <c r="N241" t="str">
        <f>INDEX(Products!B:B,MATCH(OrdersTable[[#This Row],[Product ID]],Products!A:A,0))</f>
        <v>Onion Hair Oil</v>
      </c>
      <c r="O241" t="str">
        <f>INDEX(Products!C:C,MATCH(OrdersTable[[#This Row],[Product ID]],Products!A:A,0))</f>
        <v>Haircare</v>
      </c>
      <c r="P241">
        <v>1</v>
      </c>
      <c r="Q241" s="5">
        <v>349</v>
      </c>
      <c r="R241" s="74">
        <v>0.4</v>
      </c>
      <c r="S241" s="75">
        <f>OrdersTable[[#This Row],[Quantity]]*OrdersTable[[#This Row],[Unit Price]]</f>
        <v>349</v>
      </c>
      <c r="T241" s="5">
        <f>OrdersTable[[#This Row],[Gross Sale]]*OrdersTable[[#This Row],[Discount_Clean2]]</f>
        <v>139.6</v>
      </c>
      <c r="U241" s="5">
        <f>OrdersTable[[#This Row],[Gross Sale]]-OrdersTable[[#This Row],[Discount Amount]]</f>
        <v>209.4</v>
      </c>
      <c r="V241" s="77">
        <f>INDEX(Products!E:E,MATCH(OrdersTable[[#This Row],[Product ID]],Products!A:A,0))</f>
        <v>105</v>
      </c>
      <c r="W241" s="77">
        <f>OrdersTable[[#This Row],[Quantity]]*OrdersTable[[#This Row],[Unit Cost]]</f>
        <v>105</v>
      </c>
      <c r="X241" s="77">
        <f>'Dropdown Lists'!$I$2*(1+OrdersTable[[#This Row],[Returned]])</f>
        <v>60</v>
      </c>
      <c r="Y241" s="76">
        <f>OrdersTable[[#This Row],[Net Revenue]]-OrdersTable[[#This Row],[COGS]]-OrdersTable[[#This Row],[Shipping Cost]]</f>
        <v>44.400000000000006</v>
      </c>
      <c r="Z241" s="78">
        <f>IFERROR(OrdersTable[[#This Row],[Profit]]/OrdersTable[[#This Row],[Net Revenue]],0)</f>
        <v>0.21203438395415475</v>
      </c>
      <c r="AA241" t="s">
        <v>18</v>
      </c>
      <c r="AB241" s="79">
        <v>45340</v>
      </c>
      <c r="AC241">
        <f>OrdersTable[[#This Row],[Delivery Date]]-OrdersTable[[#This Row],[Order Date]]</f>
        <v>4</v>
      </c>
      <c r="AD241" t="str">
        <f>IF(OrdersTable[[#This Row],[Delivery Days]]&lt;=2, "Express (≤2d)", IF(OrdersTable[[#This Row],[Delivery Days]]&lt;=4, "Standard (3-4d)", "Delayed (5d+)"))</f>
        <v>Standard (3-4d)</v>
      </c>
      <c r="AE241">
        <v>3</v>
      </c>
      <c r="AF241">
        <v>0</v>
      </c>
    </row>
    <row r="242" spans="1:32" ht="15" x14ac:dyDescent="0.35">
      <c r="A242" t="s">
        <v>6038</v>
      </c>
      <c r="B242" s="1">
        <v>45336</v>
      </c>
      <c r="C242">
        <f>YEAR(OrdersTable[[#This Row],[Order Date]])</f>
        <v>2024</v>
      </c>
      <c r="D242" s="2">
        <f>DATE(YEAR(OrdersTable[[#This Row],[Order Date]]),MONTH(OrdersTable[[#This Row],[Order Date]]),1)</f>
        <v>45323</v>
      </c>
      <c r="E242">
        <f>MONTH(OrdersTable[[#This Row],[Order Date]])</f>
        <v>2</v>
      </c>
      <c r="F242" t="s">
        <v>901</v>
      </c>
      <c r="G242" t="str">
        <f>IF(OrdersTable[[#This Row],[Order Date]]=_xlfn.MINIFS(Order_Date, Customer_ID, OrdersTable[[#This Row],[Customer ID]]), "New", "Repeat")</f>
        <v>New</v>
      </c>
      <c r="H242" t="s">
        <v>59</v>
      </c>
      <c r="I242" t="str">
        <f>INDEX(State!B:B,MATCH(OrdersTable[[#This Row],[State]],State!A:A,0))</f>
        <v>TN</v>
      </c>
      <c r="J242" t="str">
        <f>INDEX(State!C:C,MATCH(OrdersTable[[#This Row],[State Code]],State!B:B,0))</f>
        <v>South</v>
      </c>
      <c r="K242" t="s">
        <v>64</v>
      </c>
      <c r="L242" t="s">
        <v>65</v>
      </c>
      <c r="M242" t="s">
        <v>66</v>
      </c>
      <c r="N242" t="str">
        <f>INDEX(Products!B:B,MATCH(OrdersTable[[#This Row],[Product ID]],Products!A:A,0))</f>
        <v>Sunscreen SPF 50</v>
      </c>
      <c r="O242" t="str">
        <f>INDEX(Products!C:C,MATCH(OrdersTable[[#This Row],[Product ID]],Products!A:A,0))</f>
        <v>Skincare</v>
      </c>
      <c r="P242">
        <v>2</v>
      </c>
      <c r="Q242" s="5">
        <v>449</v>
      </c>
      <c r="R242" s="74">
        <v>0.05</v>
      </c>
      <c r="S242" s="75">
        <f>OrdersTable[[#This Row],[Quantity]]*OrdersTable[[#This Row],[Unit Price]]</f>
        <v>898</v>
      </c>
      <c r="T242" s="5">
        <f>OrdersTable[[#This Row],[Gross Sale]]*OrdersTable[[#This Row],[Discount_Clean2]]</f>
        <v>44.900000000000006</v>
      </c>
      <c r="U242" s="5">
        <f>OrdersTable[[#This Row],[Gross Sale]]-OrdersTable[[#This Row],[Discount Amount]]</f>
        <v>853.1</v>
      </c>
      <c r="V242" s="77">
        <f>INDEX(Products!E:E,MATCH(OrdersTable[[#This Row],[Product ID]],Products!A:A,0))</f>
        <v>144</v>
      </c>
      <c r="W242" s="77">
        <f>OrdersTable[[#This Row],[Quantity]]*OrdersTable[[#This Row],[Unit Cost]]</f>
        <v>288</v>
      </c>
      <c r="X242" s="77">
        <f>'Dropdown Lists'!$I$2*(1+OrdersTable[[#This Row],[Returned]])</f>
        <v>60</v>
      </c>
      <c r="Y242" s="76">
        <f>OrdersTable[[#This Row],[Net Revenue]]-OrdersTable[[#This Row],[COGS]]-OrdersTable[[#This Row],[Shipping Cost]]</f>
        <v>505.1</v>
      </c>
      <c r="Z242" s="78">
        <f>IFERROR(OrdersTable[[#This Row],[Profit]]/OrdersTable[[#This Row],[Net Revenue]],0)</f>
        <v>0.59207595826983939</v>
      </c>
      <c r="AA242" t="s">
        <v>18</v>
      </c>
      <c r="AB242" s="79">
        <v>45338</v>
      </c>
      <c r="AC242">
        <f>OrdersTable[[#This Row],[Delivery Date]]-OrdersTable[[#This Row],[Order Date]]</f>
        <v>2</v>
      </c>
      <c r="AD242" t="str">
        <f>IF(OrdersTable[[#This Row],[Delivery Days]]&lt;=2, "Express (≤2d)", IF(OrdersTable[[#This Row],[Delivery Days]]&lt;=4, "Standard (3-4d)", "Delayed (5d+)"))</f>
        <v>Express (≤2d)</v>
      </c>
      <c r="AE242">
        <v>4</v>
      </c>
      <c r="AF242">
        <v>0</v>
      </c>
    </row>
    <row r="243" spans="1:32" ht="15" x14ac:dyDescent="0.35">
      <c r="A243" t="s">
        <v>4557</v>
      </c>
      <c r="B243" s="1">
        <v>45337</v>
      </c>
      <c r="C243">
        <f>YEAR(OrdersTable[[#This Row],[Order Date]])</f>
        <v>2024</v>
      </c>
      <c r="D243" s="2">
        <f>DATE(YEAR(OrdersTable[[#This Row],[Order Date]]),MONTH(OrdersTable[[#This Row],[Order Date]]),1)</f>
        <v>45323</v>
      </c>
      <c r="E243">
        <f>MONTH(OrdersTable[[#This Row],[Order Date]])</f>
        <v>2</v>
      </c>
      <c r="F243" t="s">
        <v>3356</v>
      </c>
      <c r="G243" t="str">
        <f>IF(OrdersTable[[#This Row],[Order Date]]=_xlfn.MINIFS(Order_Date, Customer_ID, OrdersTable[[#This Row],[Customer ID]]), "New", "Repeat")</f>
        <v>New</v>
      </c>
      <c r="H243" t="s">
        <v>48</v>
      </c>
      <c r="I243" t="str">
        <f>INDEX(State!B:B,MATCH(OrdersTable[[#This Row],[State]],State!A:A,0))</f>
        <v>HR</v>
      </c>
      <c r="J243" t="str">
        <f>INDEX(State!C:C,MATCH(OrdersTable[[#This Row],[State Code]],State!B:B,0))</f>
        <v>North</v>
      </c>
      <c r="K243" t="s">
        <v>151</v>
      </c>
      <c r="L243" t="s">
        <v>39</v>
      </c>
      <c r="M243" t="s">
        <v>51</v>
      </c>
      <c r="N243" t="str">
        <f>INDEX(Products!B:B,MATCH(OrdersTable[[#This Row],[Product ID]],Products!A:A,0))</f>
        <v>Anti-Dandruff Conditioner</v>
      </c>
      <c r="O243" t="str">
        <f>INDEX(Products!C:C,MATCH(OrdersTable[[#This Row],[Product ID]],Products!A:A,0))</f>
        <v>Haircare</v>
      </c>
      <c r="P243">
        <v>1</v>
      </c>
      <c r="Q243" s="5">
        <v>399</v>
      </c>
      <c r="R243" s="74">
        <v>0.3</v>
      </c>
      <c r="S243" s="75">
        <f>OrdersTable[[#This Row],[Quantity]]*OrdersTable[[#This Row],[Unit Price]]</f>
        <v>399</v>
      </c>
      <c r="T243" s="5">
        <f>OrdersTable[[#This Row],[Gross Sale]]*OrdersTable[[#This Row],[Discount_Clean2]]</f>
        <v>119.69999999999999</v>
      </c>
      <c r="U243" s="5">
        <f>OrdersTable[[#This Row],[Gross Sale]]-OrdersTable[[#This Row],[Discount Amount]]</f>
        <v>279.3</v>
      </c>
      <c r="V243" s="77">
        <f>INDEX(Products!E:E,MATCH(OrdersTable[[#This Row],[Product ID]],Products!A:A,0))</f>
        <v>136</v>
      </c>
      <c r="W243" s="77">
        <f>OrdersTable[[#This Row],[Quantity]]*OrdersTable[[#This Row],[Unit Cost]]</f>
        <v>136</v>
      </c>
      <c r="X243" s="77">
        <f>'Dropdown Lists'!$I$2*(1+OrdersTable[[#This Row],[Returned]])</f>
        <v>120</v>
      </c>
      <c r="Y243" s="76">
        <f>OrdersTable[[#This Row],[Net Revenue]]-OrdersTable[[#This Row],[COGS]]-OrdersTable[[#This Row],[Shipping Cost]]</f>
        <v>23.300000000000011</v>
      </c>
      <c r="Z243" s="78">
        <f>IFERROR(OrdersTable[[#This Row],[Profit]]/OrdersTable[[#This Row],[Net Revenue]],0)</f>
        <v>8.3422842821339105E-2</v>
      </c>
      <c r="AA243" t="s">
        <v>4450</v>
      </c>
      <c r="AB243" s="79">
        <v>45341</v>
      </c>
      <c r="AC243">
        <f>OrdersTable[[#This Row],[Delivery Date]]-OrdersTable[[#This Row],[Order Date]]</f>
        <v>4</v>
      </c>
      <c r="AD243" t="str">
        <f>IF(OrdersTable[[#This Row],[Delivery Days]]&lt;=2, "Express (≤2d)", IF(OrdersTable[[#This Row],[Delivery Days]]&lt;=4, "Standard (3-4d)", "Delayed (5d+)"))</f>
        <v>Standard (3-4d)</v>
      </c>
      <c r="AF243">
        <v>1</v>
      </c>
    </row>
    <row r="244" spans="1:32" ht="15" x14ac:dyDescent="0.35">
      <c r="A244" t="s">
        <v>898</v>
      </c>
      <c r="B244" s="1">
        <v>45337</v>
      </c>
      <c r="C244">
        <f>YEAR(OrdersTable[[#This Row],[Order Date]])</f>
        <v>2024</v>
      </c>
      <c r="D244" s="2">
        <f>DATE(YEAR(OrdersTable[[#This Row],[Order Date]]),MONTH(OrdersTable[[#This Row],[Order Date]]),1)</f>
        <v>45323</v>
      </c>
      <c r="E244">
        <f>MONTH(OrdersTable[[#This Row],[Order Date]])</f>
        <v>2</v>
      </c>
      <c r="F244" t="s">
        <v>899</v>
      </c>
      <c r="G244" t="str">
        <f>IF(OrdersTable[[#This Row],[Order Date]]=_xlfn.MINIFS(Order_Date, Customer_ID, OrdersTable[[#This Row],[Customer ID]]), "New", "Repeat")</f>
        <v>New</v>
      </c>
      <c r="H244" t="s">
        <v>48</v>
      </c>
      <c r="I244" t="str">
        <f>INDEX(State!B:B,MATCH(OrdersTable[[#This Row],[State]],State!A:A,0))</f>
        <v>HR</v>
      </c>
      <c r="J244" t="str">
        <f>INDEX(State!C:C,MATCH(OrdersTable[[#This Row],[State Code]],State!B:B,0))</f>
        <v>North</v>
      </c>
      <c r="K244" t="s">
        <v>49</v>
      </c>
      <c r="L244" t="s">
        <v>23</v>
      </c>
      <c r="M244" t="s">
        <v>40</v>
      </c>
      <c r="N244" t="str">
        <f>INDEX(Products!B:B,MATCH(OrdersTable[[#This Row],[Product ID]],Products!A:A,0))</f>
        <v>Ashwagandha Capsules</v>
      </c>
      <c r="O244" t="str">
        <f>INDEX(Products!C:C,MATCH(OrdersTable[[#This Row],[Product ID]],Products!A:A,0))</f>
        <v>Wellness</v>
      </c>
      <c r="P244">
        <v>1</v>
      </c>
      <c r="Q244" s="5">
        <v>499</v>
      </c>
      <c r="R244" s="74">
        <v>0.05</v>
      </c>
      <c r="S244" s="75">
        <f>OrdersTable[[#This Row],[Quantity]]*OrdersTable[[#This Row],[Unit Price]]</f>
        <v>499</v>
      </c>
      <c r="T244" s="5">
        <f>OrdersTable[[#This Row],[Gross Sale]]*OrdersTable[[#This Row],[Discount_Clean2]]</f>
        <v>24.950000000000003</v>
      </c>
      <c r="U244" s="5">
        <f>OrdersTable[[#This Row],[Gross Sale]]-OrdersTable[[#This Row],[Discount Amount]]</f>
        <v>474.05</v>
      </c>
      <c r="V244" s="77">
        <f>INDEX(Products!E:E,MATCH(OrdersTable[[#This Row],[Product ID]],Products!A:A,0))</f>
        <v>150</v>
      </c>
      <c r="W244" s="77">
        <f>OrdersTable[[#This Row],[Quantity]]*OrdersTable[[#This Row],[Unit Cost]]</f>
        <v>150</v>
      </c>
      <c r="X244" s="77">
        <f>'Dropdown Lists'!$I$2*(1+OrdersTable[[#This Row],[Returned]])</f>
        <v>60</v>
      </c>
      <c r="Y244" s="76">
        <f>OrdersTable[[#This Row],[Net Revenue]]-OrdersTable[[#This Row],[COGS]]-OrdersTable[[#This Row],[Shipping Cost]]</f>
        <v>264.05</v>
      </c>
      <c r="Z244" s="78">
        <f>IFERROR(OrdersTable[[#This Row],[Profit]]/OrdersTable[[#This Row],[Net Revenue]],0)</f>
        <v>0.55700875435080688</v>
      </c>
      <c r="AA244" t="s">
        <v>18</v>
      </c>
      <c r="AB244" s="79">
        <v>45341</v>
      </c>
      <c r="AC244">
        <f>OrdersTable[[#This Row],[Delivery Date]]-OrdersTable[[#This Row],[Order Date]]</f>
        <v>4</v>
      </c>
      <c r="AD244" t="str">
        <f>IF(OrdersTable[[#This Row],[Delivery Days]]&lt;=2, "Express (≤2d)", IF(OrdersTable[[#This Row],[Delivery Days]]&lt;=4, "Standard (3-4d)", "Delayed (5d+)"))</f>
        <v>Standard (3-4d)</v>
      </c>
      <c r="AE244">
        <v>4</v>
      </c>
      <c r="AF244">
        <v>0</v>
      </c>
    </row>
    <row r="245" spans="1:32" ht="15" x14ac:dyDescent="0.35">
      <c r="A245" t="s">
        <v>6254</v>
      </c>
      <c r="B245" s="1">
        <v>45337</v>
      </c>
      <c r="C245">
        <f>YEAR(OrdersTable[[#This Row],[Order Date]])</f>
        <v>2024</v>
      </c>
      <c r="D245" s="2">
        <f>DATE(YEAR(OrdersTable[[#This Row],[Order Date]]),MONTH(OrdersTable[[#This Row],[Order Date]]),1)</f>
        <v>45323</v>
      </c>
      <c r="E245">
        <f>MONTH(OrdersTable[[#This Row],[Order Date]])</f>
        <v>2</v>
      </c>
      <c r="F245" t="s">
        <v>715</v>
      </c>
      <c r="G245" t="str">
        <f>IF(OrdersTable[[#This Row],[Order Date]]=_xlfn.MINIFS(Order_Date, Customer_ID, OrdersTable[[#This Row],[Customer ID]]), "New", "Repeat")</f>
        <v>New</v>
      </c>
      <c r="H245" t="s">
        <v>37</v>
      </c>
      <c r="I245" t="str">
        <f>INDEX(State!B:B,MATCH(OrdersTable[[#This Row],[State]],State!A:A,0))</f>
        <v>GJ</v>
      </c>
      <c r="J245" t="str">
        <f>INDEX(State!C:C,MATCH(OrdersTable[[#This Row],[State Code]],State!B:B,0))</f>
        <v>West</v>
      </c>
      <c r="K245" t="s">
        <v>38</v>
      </c>
      <c r="L245" t="s">
        <v>16</v>
      </c>
      <c r="M245" t="s">
        <v>34</v>
      </c>
      <c r="N245" t="str">
        <f>INDEX(Products!B:B,MATCH(OrdersTable[[#This Row],[Product ID]],Products!A:A,0))</f>
        <v>Flip Flops</v>
      </c>
      <c r="O245" t="str">
        <f>INDEX(Products!C:C,MATCH(OrdersTable[[#This Row],[Product ID]],Products!A:A,0))</f>
        <v>Footwear</v>
      </c>
      <c r="P245">
        <v>2</v>
      </c>
      <c r="Q245" s="5">
        <v>399</v>
      </c>
      <c r="R245" s="74">
        <v>0.2</v>
      </c>
      <c r="S245" s="75">
        <f>OrdersTable[[#This Row],[Quantity]]*OrdersTable[[#This Row],[Unit Price]]</f>
        <v>798</v>
      </c>
      <c r="T245" s="5">
        <f>OrdersTable[[#This Row],[Gross Sale]]*OrdersTable[[#This Row],[Discount_Clean2]]</f>
        <v>159.60000000000002</v>
      </c>
      <c r="U245" s="5">
        <f>OrdersTable[[#This Row],[Gross Sale]]-OrdersTable[[#This Row],[Discount Amount]]</f>
        <v>638.4</v>
      </c>
      <c r="V245" s="77">
        <f>INDEX(Products!E:E,MATCH(OrdersTable[[#This Row],[Product ID]],Products!A:A,0))</f>
        <v>152</v>
      </c>
      <c r="W245" s="77">
        <f>OrdersTable[[#This Row],[Quantity]]*OrdersTable[[#This Row],[Unit Cost]]</f>
        <v>304</v>
      </c>
      <c r="X245" s="77">
        <f>'Dropdown Lists'!$I$2*(1+OrdersTable[[#This Row],[Returned]])</f>
        <v>120</v>
      </c>
      <c r="Y245" s="76">
        <f>OrdersTable[[#This Row],[Net Revenue]]-OrdersTable[[#This Row],[COGS]]-OrdersTable[[#This Row],[Shipping Cost]]</f>
        <v>214.39999999999998</v>
      </c>
      <c r="Z245" s="78">
        <f>IFERROR(OrdersTable[[#This Row],[Profit]]/OrdersTable[[#This Row],[Net Revenue]],0)</f>
        <v>0.33583959899749372</v>
      </c>
      <c r="AA245" t="s">
        <v>18</v>
      </c>
      <c r="AB245" s="79">
        <v>45339</v>
      </c>
      <c r="AC245">
        <f>OrdersTable[[#This Row],[Delivery Date]]-OrdersTable[[#This Row],[Order Date]]</f>
        <v>2</v>
      </c>
      <c r="AD245" t="str">
        <f>IF(OrdersTable[[#This Row],[Delivery Days]]&lt;=2, "Express (≤2d)", IF(OrdersTable[[#This Row],[Delivery Days]]&lt;=4, "Standard (3-4d)", "Delayed (5d+)"))</f>
        <v>Express (≤2d)</v>
      </c>
      <c r="AE245">
        <v>3</v>
      </c>
      <c r="AF245">
        <v>1</v>
      </c>
    </row>
    <row r="246" spans="1:32" ht="15" x14ac:dyDescent="0.35">
      <c r="A246" t="s">
        <v>2218</v>
      </c>
      <c r="B246" s="1">
        <v>45337</v>
      </c>
      <c r="C246">
        <f>YEAR(OrdersTable[[#This Row],[Order Date]])</f>
        <v>2024</v>
      </c>
      <c r="D246" s="2">
        <f>DATE(YEAR(OrdersTable[[#This Row],[Order Date]]),MONTH(OrdersTable[[#This Row],[Order Date]]),1)</f>
        <v>45323</v>
      </c>
      <c r="E246">
        <f>MONTH(OrdersTable[[#This Row],[Order Date]])</f>
        <v>2</v>
      </c>
      <c r="F246" t="s">
        <v>2219</v>
      </c>
      <c r="G246" t="str">
        <f>IF(OrdersTable[[#This Row],[Order Date]]=_xlfn.MINIFS(Order_Date, Customer_ID, OrdersTable[[#This Row],[Customer ID]]), "New", "Repeat")</f>
        <v>New</v>
      </c>
      <c r="H246" t="s">
        <v>71</v>
      </c>
      <c r="I246" t="str">
        <f>INDEX(State!B:B,MATCH(OrdersTable[[#This Row],[State]],State!A:A,0))</f>
        <v>MH</v>
      </c>
      <c r="J246" t="str">
        <f>INDEX(State!C:C,MATCH(OrdersTable[[#This Row],[State Code]],State!B:B,0))</f>
        <v>West</v>
      </c>
      <c r="K246" t="s">
        <v>102</v>
      </c>
      <c r="L246" t="s">
        <v>16</v>
      </c>
      <c r="M246" t="s">
        <v>34</v>
      </c>
      <c r="N246" t="str">
        <f>INDEX(Products!B:B,MATCH(OrdersTable[[#This Row],[Product ID]],Products!A:A,0))</f>
        <v>Flip Flops</v>
      </c>
      <c r="O246" t="str">
        <f>INDEX(Products!C:C,MATCH(OrdersTable[[#This Row],[Product ID]],Products!A:A,0))</f>
        <v>Footwear</v>
      </c>
      <c r="P246">
        <v>1</v>
      </c>
      <c r="Q246" s="5">
        <v>399</v>
      </c>
      <c r="R246" s="74">
        <v>0.05</v>
      </c>
      <c r="S246" s="75">
        <f>OrdersTable[[#This Row],[Quantity]]*OrdersTable[[#This Row],[Unit Price]]</f>
        <v>399</v>
      </c>
      <c r="T246" s="5">
        <f>OrdersTable[[#This Row],[Gross Sale]]*OrdersTable[[#This Row],[Discount_Clean2]]</f>
        <v>19.950000000000003</v>
      </c>
      <c r="U246" s="5">
        <f>OrdersTable[[#This Row],[Gross Sale]]-OrdersTable[[#This Row],[Discount Amount]]</f>
        <v>379.05</v>
      </c>
      <c r="V246" s="77">
        <f>INDEX(Products!E:E,MATCH(OrdersTable[[#This Row],[Product ID]],Products!A:A,0))</f>
        <v>152</v>
      </c>
      <c r="W246" s="77">
        <f>OrdersTable[[#This Row],[Quantity]]*OrdersTable[[#This Row],[Unit Cost]]</f>
        <v>152</v>
      </c>
      <c r="X246" s="77">
        <f>'Dropdown Lists'!$I$2*(1+OrdersTable[[#This Row],[Returned]])</f>
        <v>120</v>
      </c>
      <c r="Y246" s="76">
        <f>OrdersTable[[#This Row],[Net Revenue]]-OrdersTable[[#This Row],[COGS]]-OrdersTable[[#This Row],[Shipping Cost]]</f>
        <v>107.05000000000001</v>
      </c>
      <c r="Z246" s="78">
        <f>IFERROR(OrdersTable[[#This Row],[Profit]]/OrdersTable[[#This Row],[Net Revenue]],0)</f>
        <v>0.2824165677351273</v>
      </c>
      <c r="AA246" t="s">
        <v>18</v>
      </c>
      <c r="AB246" s="79">
        <v>45340</v>
      </c>
      <c r="AC246">
        <f>OrdersTable[[#This Row],[Delivery Date]]-OrdersTable[[#This Row],[Order Date]]</f>
        <v>3</v>
      </c>
      <c r="AD246" t="str">
        <f>IF(OrdersTable[[#This Row],[Delivery Days]]&lt;=2, "Express (≤2d)", IF(OrdersTable[[#This Row],[Delivery Days]]&lt;=4, "Standard (3-4d)", "Delayed (5d+)"))</f>
        <v>Standard (3-4d)</v>
      </c>
      <c r="AE246">
        <v>5</v>
      </c>
      <c r="AF246">
        <v>1</v>
      </c>
    </row>
    <row r="247" spans="1:32" ht="15" x14ac:dyDescent="0.35">
      <c r="A247" t="s">
        <v>3955</v>
      </c>
      <c r="B247" s="1">
        <v>45337</v>
      </c>
      <c r="C247">
        <f>YEAR(OrdersTable[[#This Row],[Order Date]])</f>
        <v>2024</v>
      </c>
      <c r="D247" s="2">
        <f>DATE(YEAR(OrdersTable[[#This Row],[Order Date]]),MONTH(OrdersTable[[#This Row],[Order Date]]),1)</f>
        <v>45323</v>
      </c>
      <c r="E247">
        <f>MONTH(OrdersTable[[#This Row],[Order Date]])</f>
        <v>2</v>
      </c>
      <c r="F247" t="s">
        <v>3956</v>
      </c>
      <c r="G247" t="str">
        <f>IF(OrdersTable[[#This Row],[Order Date]]=_xlfn.MINIFS(Order_Date, Customer_ID, OrdersTable[[#This Row],[Customer ID]]), "New", "Repeat")</f>
        <v>New</v>
      </c>
      <c r="H247" t="s">
        <v>71</v>
      </c>
      <c r="I247" t="str">
        <f>INDEX(State!B:B,MATCH(OrdersTable[[#This Row],[State]],State!A:A,0))</f>
        <v>MH</v>
      </c>
      <c r="J247" t="str">
        <f>INDEX(State!C:C,MATCH(OrdersTable[[#This Row],[State Code]],State!B:B,0))</f>
        <v>West</v>
      </c>
      <c r="K247" t="s">
        <v>81</v>
      </c>
      <c r="L247" t="s">
        <v>23</v>
      </c>
      <c r="M247" t="s">
        <v>228</v>
      </c>
      <c r="N247" t="str">
        <f>INDEX(Products!B:B,MATCH(OrdersTable[[#This Row],[Product ID]],Products!A:A,0))</f>
        <v>Fast Charger 33W</v>
      </c>
      <c r="O247" t="str">
        <f>INDEX(Products!C:C,MATCH(OrdersTable[[#This Row],[Product ID]],Products!A:A,0))</f>
        <v>Electronics</v>
      </c>
      <c r="P247">
        <v>1</v>
      </c>
      <c r="Q247" s="5">
        <v>899</v>
      </c>
      <c r="R247" s="74">
        <v>0.15</v>
      </c>
      <c r="S247" s="75">
        <f>OrdersTable[[#This Row],[Quantity]]*OrdersTable[[#This Row],[Unit Price]]</f>
        <v>899</v>
      </c>
      <c r="T247" s="5">
        <f>OrdersTable[[#This Row],[Gross Sale]]*OrdersTable[[#This Row],[Discount_Clean2]]</f>
        <v>134.85</v>
      </c>
      <c r="U247" s="5">
        <f>OrdersTable[[#This Row],[Gross Sale]]-OrdersTable[[#This Row],[Discount Amount]]</f>
        <v>764.15</v>
      </c>
      <c r="V247" s="77">
        <f>INDEX(Products!E:E,MATCH(OrdersTable[[#This Row],[Product ID]],Products!A:A,0))</f>
        <v>494</v>
      </c>
      <c r="W247" s="77">
        <f>OrdersTable[[#This Row],[Quantity]]*OrdersTable[[#This Row],[Unit Cost]]</f>
        <v>494</v>
      </c>
      <c r="X247" s="77">
        <f>'Dropdown Lists'!$I$2*(1+OrdersTable[[#This Row],[Returned]])</f>
        <v>60</v>
      </c>
      <c r="Y247" s="76">
        <f>OrdersTable[[#This Row],[Net Revenue]]-OrdersTable[[#This Row],[COGS]]-OrdersTable[[#This Row],[Shipping Cost]]</f>
        <v>210.14999999999998</v>
      </c>
      <c r="Z247" s="78">
        <f>IFERROR(OrdersTable[[#This Row],[Profit]]/OrdersTable[[#This Row],[Net Revenue]],0)</f>
        <v>0.27501145063142052</v>
      </c>
      <c r="AA247" t="s">
        <v>3495</v>
      </c>
      <c r="AB247" s="79">
        <v>45338</v>
      </c>
      <c r="AC247">
        <f>OrdersTable[[#This Row],[Delivery Date]]-OrdersTable[[#This Row],[Order Date]]</f>
        <v>1</v>
      </c>
      <c r="AD247" t="str">
        <f>IF(OrdersTable[[#This Row],[Delivery Days]]&lt;=2, "Express (≤2d)", IF(OrdersTable[[#This Row],[Delivery Days]]&lt;=4, "Standard (3-4d)", "Delayed (5d+)"))</f>
        <v>Express (≤2d)</v>
      </c>
      <c r="AE247">
        <v>5</v>
      </c>
      <c r="AF247">
        <v>0</v>
      </c>
    </row>
    <row r="248" spans="1:32" ht="15" x14ac:dyDescent="0.35">
      <c r="A248" t="s">
        <v>4079</v>
      </c>
      <c r="B248" s="1">
        <v>45338</v>
      </c>
      <c r="C248">
        <f>YEAR(OrdersTable[[#This Row],[Order Date]])</f>
        <v>2024</v>
      </c>
      <c r="D248" s="2">
        <f>DATE(YEAR(OrdersTable[[#This Row],[Order Date]]),MONTH(OrdersTable[[#This Row],[Order Date]]),1)</f>
        <v>45323</v>
      </c>
      <c r="E248">
        <f>MONTH(OrdersTable[[#This Row],[Order Date]])</f>
        <v>2</v>
      </c>
      <c r="F248" t="s">
        <v>1179</v>
      </c>
      <c r="G248" t="str">
        <f>IF(OrdersTable[[#This Row],[Order Date]]=_xlfn.MINIFS(Order_Date, Customer_ID, OrdersTable[[#This Row],[Customer ID]]), "New", "Repeat")</f>
        <v>Repeat</v>
      </c>
      <c r="H248" t="s">
        <v>54</v>
      </c>
      <c r="I248" t="str">
        <f>INDEX(State!B:B,MATCH(OrdersTable[[#This Row],[State]],State!A:A,0))</f>
        <v>RJ</v>
      </c>
      <c r="J248" t="str">
        <f>INDEX(State!C:C,MATCH(OrdersTable[[#This Row],[State Code]],State!B:B,0))</f>
        <v>North</v>
      </c>
      <c r="K248" t="s">
        <v>227</v>
      </c>
      <c r="L248" t="s">
        <v>65</v>
      </c>
      <c r="M248" t="s">
        <v>40</v>
      </c>
      <c r="N248" t="str">
        <f>INDEX(Products!B:B,MATCH(OrdersTable[[#This Row],[Product ID]],Products!A:A,0))</f>
        <v>Ashwagandha Capsules</v>
      </c>
      <c r="O248" t="str">
        <f>INDEX(Products!C:C,MATCH(OrdersTable[[#This Row],[Product ID]],Products!A:A,0))</f>
        <v>Wellness</v>
      </c>
      <c r="P248">
        <v>1</v>
      </c>
      <c r="Q248" s="5">
        <v>499</v>
      </c>
      <c r="R248" s="74">
        <v>0.1</v>
      </c>
      <c r="S248" s="75">
        <f>OrdersTable[[#This Row],[Quantity]]*OrdersTable[[#This Row],[Unit Price]]</f>
        <v>499</v>
      </c>
      <c r="T248" s="5">
        <f>OrdersTable[[#This Row],[Gross Sale]]*OrdersTable[[#This Row],[Discount_Clean2]]</f>
        <v>49.900000000000006</v>
      </c>
      <c r="U248" s="5">
        <f>OrdersTable[[#This Row],[Gross Sale]]-OrdersTable[[#This Row],[Discount Amount]]</f>
        <v>449.1</v>
      </c>
      <c r="V248" s="77">
        <f>INDEX(Products!E:E,MATCH(OrdersTable[[#This Row],[Product ID]],Products!A:A,0))</f>
        <v>150</v>
      </c>
      <c r="W248" s="77">
        <f>OrdersTable[[#This Row],[Quantity]]*OrdersTable[[#This Row],[Unit Cost]]</f>
        <v>150</v>
      </c>
      <c r="X248" s="77">
        <f>'Dropdown Lists'!$I$2*(1+OrdersTable[[#This Row],[Returned]])</f>
        <v>60</v>
      </c>
      <c r="Y248" s="76">
        <f>OrdersTable[[#This Row],[Net Revenue]]-OrdersTable[[#This Row],[COGS]]-OrdersTable[[#This Row],[Shipping Cost]]</f>
        <v>239.10000000000002</v>
      </c>
      <c r="Z248" s="78">
        <f>IFERROR(OrdersTable[[#This Row],[Profit]]/OrdersTable[[#This Row],[Net Revenue]],0)</f>
        <v>0.53239812959251842</v>
      </c>
      <c r="AA248" t="s">
        <v>4074</v>
      </c>
      <c r="AB248" s="79">
        <v>45341</v>
      </c>
      <c r="AC248">
        <f>OrdersTable[[#This Row],[Delivery Date]]-OrdersTable[[#This Row],[Order Date]]</f>
        <v>3</v>
      </c>
      <c r="AD248" t="str">
        <f>IF(OrdersTable[[#This Row],[Delivery Days]]&lt;=2, "Express (≤2d)", IF(OrdersTable[[#This Row],[Delivery Days]]&lt;=4, "Standard (3-4d)", "Delayed (5d+)"))</f>
        <v>Standard (3-4d)</v>
      </c>
      <c r="AE248">
        <v>5</v>
      </c>
      <c r="AF248">
        <v>0</v>
      </c>
    </row>
    <row r="249" spans="1:32" ht="15" x14ac:dyDescent="0.35">
      <c r="A249" t="s">
        <v>6662</v>
      </c>
      <c r="B249" s="1">
        <v>45338</v>
      </c>
      <c r="C249">
        <f>YEAR(OrdersTable[[#This Row],[Order Date]])</f>
        <v>2024</v>
      </c>
      <c r="D249" s="2">
        <f>DATE(YEAR(OrdersTable[[#This Row],[Order Date]]),MONTH(OrdersTable[[#This Row],[Order Date]]),1)</f>
        <v>45323</v>
      </c>
      <c r="E249">
        <f>MONTH(OrdersTable[[#This Row],[Order Date]])</f>
        <v>2</v>
      </c>
      <c r="F249" t="s">
        <v>639</v>
      </c>
      <c r="G249" t="str">
        <f>IF(OrdersTable[[#This Row],[Order Date]]=_xlfn.MINIFS(Order_Date, Customer_ID, OrdersTable[[#This Row],[Customer ID]]), "New", "Repeat")</f>
        <v>New</v>
      </c>
      <c r="H249" t="s">
        <v>32</v>
      </c>
      <c r="I249" t="str">
        <f>INDEX(State!B:B,MATCH(OrdersTable[[#This Row],[State]],State!A:A,0))</f>
        <v>BR</v>
      </c>
      <c r="J249" t="str">
        <f>INDEX(State!C:C,MATCH(OrdersTable[[#This Row],[State Code]],State!B:B,0))</f>
        <v>East</v>
      </c>
      <c r="K249" t="s">
        <v>33</v>
      </c>
      <c r="L249" t="s">
        <v>65</v>
      </c>
      <c r="M249" t="s">
        <v>40</v>
      </c>
      <c r="N249" t="str">
        <f>INDEX(Products!B:B,MATCH(OrdersTable[[#This Row],[Product ID]],Products!A:A,0))</f>
        <v>Ashwagandha Capsules</v>
      </c>
      <c r="O249" t="str">
        <f>INDEX(Products!C:C,MATCH(OrdersTable[[#This Row],[Product ID]],Products!A:A,0))</f>
        <v>Wellness</v>
      </c>
      <c r="P249">
        <v>3</v>
      </c>
      <c r="Q249" s="5">
        <v>499</v>
      </c>
      <c r="R249" s="74">
        <v>0</v>
      </c>
      <c r="S249" s="75">
        <f>OrdersTable[[#This Row],[Quantity]]*OrdersTable[[#This Row],[Unit Price]]</f>
        <v>1497</v>
      </c>
      <c r="T249" s="5">
        <f>OrdersTable[[#This Row],[Gross Sale]]*OrdersTable[[#This Row],[Discount_Clean2]]</f>
        <v>0</v>
      </c>
      <c r="U249" s="5">
        <f>OrdersTable[[#This Row],[Gross Sale]]-OrdersTable[[#This Row],[Discount Amount]]</f>
        <v>1497</v>
      </c>
      <c r="V249" s="77">
        <f>INDEX(Products!E:E,MATCH(OrdersTable[[#This Row],[Product ID]],Products!A:A,0))</f>
        <v>150</v>
      </c>
      <c r="W249" s="77">
        <f>OrdersTable[[#This Row],[Quantity]]*OrdersTable[[#This Row],[Unit Cost]]</f>
        <v>450</v>
      </c>
      <c r="X249" s="77">
        <f>'Dropdown Lists'!$I$2*(1+OrdersTable[[#This Row],[Returned]])</f>
        <v>60</v>
      </c>
      <c r="Y249" s="76">
        <f>OrdersTable[[#This Row],[Net Revenue]]-OrdersTable[[#This Row],[COGS]]-OrdersTable[[#This Row],[Shipping Cost]]</f>
        <v>987</v>
      </c>
      <c r="Z249" s="78">
        <f>IFERROR(OrdersTable[[#This Row],[Profit]]/OrdersTable[[#This Row],[Net Revenue]],0)</f>
        <v>0.65931863727454909</v>
      </c>
      <c r="AA249" t="s">
        <v>2522</v>
      </c>
      <c r="AB249" s="79">
        <v>45341</v>
      </c>
      <c r="AC249">
        <f>OrdersTable[[#This Row],[Delivery Date]]-OrdersTable[[#This Row],[Order Date]]</f>
        <v>3</v>
      </c>
      <c r="AD249" t="str">
        <f>IF(OrdersTable[[#This Row],[Delivery Days]]&lt;=2, "Express (≤2d)", IF(OrdersTable[[#This Row],[Delivery Days]]&lt;=4, "Standard (3-4d)", "Delayed (5d+)"))</f>
        <v>Standard (3-4d)</v>
      </c>
      <c r="AF249">
        <v>0</v>
      </c>
    </row>
    <row r="250" spans="1:32" ht="15" x14ac:dyDescent="0.35">
      <c r="A250" t="s">
        <v>67</v>
      </c>
      <c r="B250" s="1">
        <v>45338</v>
      </c>
      <c r="C250">
        <f>YEAR(OrdersTable[[#This Row],[Order Date]])</f>
        <v>2024</v>
      </c>
      <c r="D250" s="2">
        <f>DATE(YEAR(OrdersTable[[#This Row],[Order Date]]),MONTH(OrdersTable[[#This Row],[Order Date]]),1)</f>
        <v>45323</v>
      </c>
      <c r="E250">
        <f>MONTH(OrdersTable[[#This Row],[Order Date]])</f>
        <v>2</v>
      </c>
      <c r="F250" t="s">
        <v>68</v>
      </c>
      <c r="G250" t="str">
        <f>IF(OrdersTable[[#This Row],[Order Date]]=_xlfn.MINIFS(Order_Date, Customer_ID, OrdersTable[[#This Row],[Customer ID]]), "New", "Repeat")</f>
        <v>New</v>
      </c>
      <c r="H250" t="s">
        <v>43</v>
      </c>
      <c r="I250" t="str">
        <f>INDEX(State!B:B,MATCH(OrdersTable[[#This Row],[State]],State!A:A,0))</f>
        <v>MP</v>
      </c>
      <c r="J250" t="str">
        <f>INDEX(State!C:C,MATCH(OrdersTable[[#This Row],[State Code]],State!B:B,0))</f>
        <v>West</v>
      </c>
      <c r="K250" t="s">
        <v>44</v>
      </c>
      <c r="L250" t="s">
        <v>65</v>
      </c>
      <c r="M250" t="s">
        <v>51</v>
      </c>
      <c r="N250" t="str">
        <f>INDEX(Products!B:B,MATCH(OrdersTable[[#This Row],[Product ID]],Products!A:A,0))</f>
        <v>Anti-Dandruff Conditioner</v>
      </c>
      <c r="O250" t="str">
        <f>INDEX(Products!C:C,MATCH(OrdersTable[[#This Row],[Product ID]],Products!A:A,0))</f>
        <v>Haircare</v>
      </c>
      <c r="P250">
        <v>1</v>
      </c>
      <c r="Q250" s="5">
        <v>399</v>
      </c>
      <c r="R250" s="74">
        <v>0.35</v>
      </c>
      <c r="S250" s="75">
        <f>OrdersTable[[#This Row],[Quantity]]*OrdersTable[[#This Row],[Unit Price]]</f>
        <v>399</v>
      </c>
      <c r="T250" s="5">
        <f>OrdersTable[[#This Row],[Gross Sale]]*OrdersTable[[#This Row],[Discount_Clean2]]</f>
        <v>139.64999999999998</v>
      </c>
      <c r="U250" s="5">
        <f>OrdersTable[[#This Row],[Gross Sale]]-OrdersTable[[#This Row],[Discount Amount]]</f>
        <v>259.35000000000002</v>
      </c>
      <c r="V250" s="77">
        <f>INDEX(Products!E:E,MATCH(OrdersTable[[#This Row],[Product ID]],Products!A:A,0))</f>
        <v>136</v>
      </c>
      <c r="W250" s="77">
        <f>OrdersTable[[#This Row],[Quantity]]*OrdersTable[[#This Row],[Unit Cost]]</f>
        <v>136</v>
      </c>
      <c r="X250" s="77">
        <f>'Dropdown Lists'!$I$2*(1+OrdersTable[[#This Row],[Returned]])</f>
        <v>60</v>
      </c>
      <c r="Y250" s="76">
        <f>OrdersTable[[#This Row],[Net Revenue]]-OrdersTable[[#This Row],[COGS]]-OrdersTable[[#This Row],[Shipping Cost]]</f>
        <v>63.350000000000023</v>
      </c>
      <c r="Z250" s="78">
        <f>IFERROR(OrdersTable[[#This Row],[Profit]]/OrdersTable[[#This Row],[Net Revenue]],0)</f>
        <v>0.24426450742240222</v>
      </c>
      <c r="AA250" t="s">
        <v>18</v>
      </c>
      <c r="AB250" s="79">
        <v>45342</v>
      </c>
      <c r="AC250">
        <f>OrdersTable[[#This Row],[Delivery Date]]-OrdersTable[[#This Row],[Order Date]]</f>
        <v>4</v>
      </c>
      <c r="AD250" t="str">
        <f>IF(OrdersTable[[#This Row],[Delivery Days]]&lt;=2, "Express (≤2d)", IF(OrdersTable[[#This Row],[Delivery Days]]&lt;=4, "Standard (3-4d)", "Delayed (5d+)"))</f>
        <v>Standard (3-4d)</v>
      </c>
      <c r="AE250">
        <v>4</v>
      </c>
      <c r="AF250">
        <v>0</v>
      </c>
    </row>
    <row r="251" spans="1:32" ht="15" x14ac:dyDescent="0.35">
      <c r="A251" t="s">
        <v>4333</v>
      </c>
      <c r="B251" s="1">
        <v>45339</v>
      </c>
      <c r="C251">
        <f>YEAR(OrdersTable[[#This Row],[Order Date]])</f>
        <v>2024</v>
      </c>
      <c r="D251" s="2">
        <f>DATE(YEAR(OrdersTable[[#This Row],[Order Date]]),MONTH(OrdersTable[[#This Row],[Order Date]]),1)</f>
        <v>45323</v>
      </c>
      <c r="E251">
        <f>MONTH(OrdersTable[[#This Row],[Order Date]])</f>
        <v>2</v>
      </c>
      <c r="F251" t="s">
        <v>1002</v>
      </c>
      <c r="G251" t="str">
        <f>IF(OrdersTable[[#This Row],[Order Date]]=_xlfn.MINIFS(Order_Date, Customer_ID, OrdersTable[[#This Row],[Customer ID]]), "New", "Repeat")</f>
        <v>New</v>
      </c>
      <c r="H251" t="s">
        <v>37</v>
      </c>
      <c r="I251" t="str">
        <f>INDEX(State!B:B,MATCH(OrdersTable[[#This Row],[State]],State!A:A,0))</f>
        <v>GJ</v>
      </c>
      <c r="J251" t="str">
        <f>INDEX(State!C:C,MATCH(OrdersTable[[#This Row],[State Code]],State!B:B,0))</f>
        <v>West</v>
      </c>
      <c r="K251" t="s">
        <v>247</v>
      </c>
      <c r="L251" t="s">
        <v>23</v>
      </c>
      <c r="M251" t="s">
        <v>423</v>
      </c>
      <c r="N251" t="str">
        <f>INDEX(Products!B:B,MATCH(OrdersTable[[#This Row],[Product ID]],Products!A:A,0))</f>
        <v>Power Bank 20000mAh</v>
      </c>
      <c r="O251" t="str">
        <f>INDEX(Products!C:C,MATCH(OrdersTable[[#This Row],[Product ID]],Products!A:A,0))</f>
        <v>Electronics</v>
      </c>
      <c r="P251">
        <v>1</v>
      </c>
      <c r="Q251" s="5">
        <v>1799</v>
      </c>
      <c r="R251" s="74">
        <v>0.35</v>
      </c>
      <c r="S251" s="75">
        <f>OrdersTable[[#This Row],[Quantity]]*OrdersTable[[#This Row],[Unit Price]]</f>
        <v>1799</v>
      </c>
      <c r="T251" s="5">
        <f>OrdersTable[[#This Row],[Gross Sale]]*OrdersTable[[#This Row],[Discount_Clean2]]</f>
        <v>629.65</v>
      </c>
      <c r="U251" s="5">
        <f>OrdersTable[[#This Row],[Gross Sale]]-OrdersTable[[#This Row],[Discount Amount]]</f>
        <v>1169.3499999999999</v>
      </c>
      <c r="V251" s="77">
        <f>INDEX(Products!E:E,MATCH(OrdersTable[[#This Row],[Product ID]],Products!A:A,0))</f>
        <v>1079</v>
      </c>
      <c r="W251" s="77">
        <f>OrdersTable[[#This Row],[Quantity]]*OrdersTable[[#This Row],[Unit Cost]]</f>
        <v>1079</v>
      </c>
      <c r="X251" s="77">
        <f>'Dropdown Lists'!$I$2*(1+OrdersTable[[#This Row],[Returned]])</f>
        <v>60</v>
      </c>
      <c r="Y251" s="76">
        <f>OrdersTable[[#This Row],[Net Revenue]]-OrdersTable[[#This Row],[COGS]]-OrdersTable[[#This Row],[Shipping Cost]]</f>
        <v>30.349999999999909</v>
      </c>
      <c r="Z251" s="78">
        <f>IFERROR(OrdersTable[[#This Row],[Profit]]/OrdersTable[[#This Row],[Net Revenue]],0)</f>
        <v>2.5954590156924712E-2</v>
      </c>
      <c r="AA251" t="s">
        <v>4074</v>
      </c>
      <c r="AB251" s="79">
        <v>45341</v>
      </c>
      <c r="AC251">
        <f>OrdersTable[[#This Row],[Delivery Date]]-OrdersTable[[#This Row],[Order Date]]</f>
        <v>2</v>
      </c>
      <c r="AD251" t="str">
        <f>IF(OrdersTable[[#This Row],[Delivery Days]]&lt;=2, "Express (≤2d)", IF(OrdersTable[[#This Row],[Delivery Days]]&lt;=4, "Standard (3-4d)", "Delayed (5d+)"))</f>
        <v>Express (≤2d)</v>
      </c>
      <c r="AE251">
        <v>4</v>
      </c>
      <c r="AF251">
        <v>0</v>
      </c>
    </row>
    <row r="252" spans="1:32" ht="15" x14ac:dyDescent="0.35">
      <c r="A252" t="s">
        <v>5754</v>
      </c>
      <c r="B252" s="1">
        <v>45339</v>
      </c>
      <c r="C252">
        <f>YEAR(OrdersTable[[#This Row],[Order Date]])</f>
        <v>2024</v>
      </c>
      <c r="D252" s="2">
        <f>DATE(YEAR(OrdersTable[[#This Row],[Order Date]]),MONTH(OrdersTable[[#This Row],[Order Date]]),1)</f>
        <v>45323</v>
      </c>
      <c r="E252">
        <f>MONTH(OrdersTable[[#This Row],[Order Date]])</f>
        <v>2</v>
      </c>
      <c r="F252" t="s">
        <v>1752</v>
      </c>
      <c r="G252" t="str">
        <f>IF(OrdersTable[[#This Row],[Order Date]]=_xlfn.MINIFS(Order_Date, Customer_ID, OrdersTable[[#This Row],[Customer ID]]), "New", "Repeat")</f>
        <v>New</v>
      </c>
      <c r="H252" t="s">
        <v>43</v>
      </c>
      <c r="I252" t="str">
        <f>INDEX(State!B:B,MATCH(OrdersTable[[#This Row],[State]],State!A:A,0))</f>
        <v>MP</v>
      </c>
      <c r="J252" t="str">
        <f>INDEX(State!C:C,MATCH(OrdersTable[[#This Row],[State Code]],State!B:B,0))</f>
        <v>West</v>
      </c>
      <c r="K252" t="s">
        <v>250</v>
      </c>
      <c r="L252" t="s">
        <v>23</v>
      </c>
      <c r="M252" t="s">
        <v>45</v>
      </c>
      <c r="N252" t="str">
        <f>INDEX(Products!B:B,MATCH(OrdersTable[[#This Row],[Product ID]],Products!A:A,0))</f>
        <v>Argan Shampoo</v>
      </c>
      <c r="O252" t="str">
        <f>INDEX(Products!C:C,MATCH(OrdersTable[[#This Row],[Product ID]],Products!A:A,0))</f>
        <v>Haircare</v>
      </c>
      <c r="P252">
        <v>2</v>
      </c>
      <c r="Q252" s="5">
        <v>449</v>
      </c>
      <c r="R252" s="74">
        <v>0.05</v>
      </c>
      <c r="S252" s="75">
        <f>OrdersTable[[#This Row],[Quantity]]*OrdersTable[[#This Row],[Unit Price]]</f>
        <v>898</v>
      </c>
      <c r="T252" s="5">
        <f>OrdersTable[[#This Row],[Gross Sale]]*OrdersTable[[#This Row],[Discount_Clean2]]</f>
        <v>44.900000000000006</v>
      </c>
      <c r="U252" s="5">
        <f>OrdersTable[[#This Row],[Gross Sale]]-OrdersTable[[#This Row],[Discount Amount]]</f>
        <v>853.1</v>
      </c>
      <c r="V252" s="77">
        <f>INDEX(Products!E:E,MATCH(OrdersTable[[#This Row],[Product ID]],Products!A:A,0))</f>
        <v>148</v>
      </c>
      <c r="W252" s="77">
        <f>OrdersTable[[#This Row],[Quantity]]*OrdersTable[[#This Row],[Unit Cost]]</f>
        <v>296</v>
      </c>
      <c r="X252" s="77">
        <f>'Dropdown Lists'!$I$2*(1+OrdersTable[[#This Row],[Returned]])</f>
        <v>60</v>
      </c>
      <c r="Y252" s="76">
        <f>OrdersTable[[#This Row],[Net Revenue]]-OrdersTable[[#This Row],[COGS]]-OrdersTable[[#This Row],[Shipping Cost]]</f>
        <v>497.1</v>
      </c>
      <c r="Z252" s="78">
        <f>IFERROR(OrdersTable[[#This Row],[Profit]]/OrdersTable[[#This Row],[Net Revenue]],0)</f>
        <v>0.58269839409213453</v>
      </c>
      <c r="AA252" t="s">
        <v>18</v>
      </c>
      <c r="AB252" s="79">
        <v>45343</v>
      </c>
      <c r="AC252">
        <f>OrdersTable[[#This Row],[Delivery Date]]-OrdersTable[[#This Row],[Order Date]]</f>
        <v>4</v>
      </c>
      <c r="AD252" t="str">
        <f>IF(OrdersTable[[#This Row],[Delivery Days]]&lt;=2, "Express (≤2d)", IF(OrdersTable[[#This Row],[Delivery Days]]&lt;=4, "Standard (3-4d)", "Delayed (5d+)"))</f>
        <v>Standard (3-4d)</v>
      </c>
      <c r="AE252">
        <v>5</v>
      </c>
      <c r="AF252">
        <v>0</v>
      </c>
    </row>
    <row r="253" spans="1:32" ht="15" x14ac:dyDescent="0.35">
      <c r="A253" t="s">
        <v>6255</v>
      </c>
      <c r="B253" s="1">
        <v>45339</v>
      </c>
      <c r="C253">
        <f>YEAR(OrdersTable[[#This Row],[Order Date]])</f>
        <v>2024</v>
      </c>
      <c r="D253" s="2">
        <f>DATE(YEAR(OrdersTable[[#This Row],[Order Date]]),MONTH(OrdersTable[[#This Row],[Order Date]]),1)</f>
        <v>45323</v>
      </c>
      <c r="E253">
        <f>MONTH(OrdersTable[[#This Row],[Order Date]])</f>
        <v>2</v>
      </c>
      <c r="F253" t="s">
        <v>3500</v>
      </c>
      <c r="G253" t="str">
        <f>IF(OrdersTable[[#This Row],[Order Date]]=_xlfn.MINIFS(Order_Date, Customer_ID, OrdersTable[[#This Row],[Customer ID]]), "New", "Repeat")</f>
        <v>Repeat</v>
      </c>
      <c r="H253" t="s">
        <v>59</v>
      </c>
      <c r="I253" t="str">
        <f>INDEX(State!B:B,MATCH(OrdersTable[[#This Row],[State]],State!A:A,0))</f>
        <v>TN</v>
      </c>
      <c r="J253" t="str">
        <f>INDEX(State!C:C,MATCH(OrdersTable[[#This Row],[State Code]],State!B:B,0))</f>
        <v>South</v>
      </c>
      <c r="K253" t="s">
        <v>64</v>
      </c>
      <c r="L253" t="s">
        <v>39</v>
      </c>
      <c r="M253" t="s">
        <v>34</v>
      </c>
      <c r="N253" t="str">
        <f>INDEX(Products!B:B,MATCH(OrdersTable[[#This Row],[Product ID]],Products!A:A,0))</f>
        <v>Flip Flops</v>
      </c>
      <c r="O253" t="str">
        <f>INDEX(Products!C:C,MATCH(OrdersTable[[#This Row],[Product ID]],Products!A:A,0))</f>
        <v>Footwear</v>
      </c>
      <c r="P253">
        <v>2</v>
      </c>
      <c r="Q253" s="5">
        <v>399</v>
      </c>
      <c r="R253" s="74">
        <v>0</v>
      </c>
      <c r="S253" s="75">
        <f>OrdersTable[[#This Row],[Quantity]]*OrdersTable[[#This Row],[Unit Price]]</f>
        <v>798</v>
      </c>
      <c r="T253" s="5">
        <f>OrdersTable[[#This Row],[Gross Sale]]*OrdersTable[[#This Row],[Discount_Clean2]]</f>
        <v>0</v>
      </c>
      <c r="U253" s="5">
        <f>OrdersTable[[#This Row],[Gross Sale]]-OrdersTable[[#This Row],[Discount Amount]]</f>
        <v>798</v>
      </c>
      <c r="V253" s="77">
        <f>INDEX(Products!E:E,MATCH(OrdersTable[[#This Row],[Product ID]],Products!A:A,0))</f>
        <v>152</v>
      </c>
      <c r="W253" s="77">
        <f>OrdersTable[[#This Row],[Quantity]]*OrdersTable[[#This Row],[Unit Cost]]</f>
        <v>304</v>
      </c>
      <c r="X253" s="77">
        <f>'Dropdown Lists'!$I$2*(1+OrdersTable[[#This Row],[Returned]])</f>
        <v>120</v>
      </c>
      <c r="Y253" s="76">
        <f>OrdersTable[[#This Row],[Net Revenue]]-OrdersTable[[#This Row],[COGS]]-OrdersTable[[#This Row],[Shipping Cost]]</f>
        <v>374</v>
      </c>
      <c r="Z253" s="78">
        <f>IFERROR(OrdersTable[[#This Row],[Profit]]/OrdersTable[[#This Row],[Net Revenue]],0)</f>
        <v>0.46867167919799496</v>
      </c>
      <c r="AA253" t="s">
        <v>18</v>
      </c>
      <c r="AB253" s="79">
        <v>45344</v>
      </c>
      <c r="AC253">
        <f>OrdersTable[[#This Row],[Delivery Date]]-OrdersTable[[#This Row],[Order Date]]</f>
        <v>5</v>
      </c>
      <c r="AD253" t="str">
        <f>IF(OrdersTable[[#This Row],[Delivery Days]]&lt;=2, "Express (≤2d)", IF(OrdersTable[[#This Row],[Delivery Days]]&lt;=4, "Standard (3-4d)", "Delayed (5d+)"))</f>
        <v>Delayed (5d+)</v>
      </c>
      <c r="AF253">
        <v>1</v>
      </c>
    </row>
    <row r="254" spans="1:32" ht="15" x14ac:dyDescent="0.35">
      <c r="A254" t="s">
        <v>1630</v>
      </c>
      <c r="B254" s="1">
        <v>45340</v>
      </c>
      <c r="C254">
        <f>YEAR(OrdersTable[[#This Row],[Order Date]])</f>
        <v>2024</v>
      </c>
      <c r="D254" s="2">
        <f>DATE(YEAR(OrdersTable[[#This Row],[Order Date]]),MONTH(OrdersTable[[#This Row],[Order Date]]),1)</f>
        <v>45323</v>
      </c>
      <c r="E254">
        <f>MONTH(OrdersTable[[#This Row],[Order Date]])</f>
        <v>2</v>
      </c>
      <c r="F254" t="s">
        <v>1631</v>
      </c>
      <c r="G254" t="str">
        <f>IF(OrdersTable[[#This Row],[Order Date]]=_xlfn.MINIFS(Order_Date, Customer_ID, OrdersTable[[#This Row],[Customer ID]]), "New", "Repeat")</f>
        <v>New</v>
      </c>
      <c r="H254" t="s">
        <v>128</v>
      </c>
      <c r="I254" t="str">
        <f>INDEX(State!B:B,MATCH(OrdersTable[[#This Row],[State]],State!A:A,0))</f>
        <v>DL</v>
      </c>
      <c r="J254" t="str">
        <f>INDEX(State!C:C,MATCH(OrdersTable[[#This Row],[State Code]],State!B:B,0))</f>
        <v>North</v>
      </c>
      <c r="K254" t="s">
        <v>129</v>
      </c>
      <c r="L254" t="s">
        <v>65</v>
      </c>
      <c r="M254" t="s">
        <v>78</v>
      </c>
      <c r="N254" t="str">
        <f>INDEX(Products!B:B,MATCH(OrdersTable[[#This Row],[Product ID]],Products!A:A,0))</f>
        <v>Retinol Night Cream</v>
      </c>
      <c r="O254" t="str">
        <f>INDEX(Products!C:C,MATCH(OrdersTable[[#This Row],[Product ID]],Products!A:A,0))</f>
        <v>Skincare</v>
      </c>
      <c r="P254">
        <v>1</v>
      </c>
      <c r="Q254" s="5">
        <v>799</v>
      </c>
      <c r="R254" s="74">
        <v>0.05</v>
      </c>
      <c r="S254" s="75">
        <f>OrdersTable[[#This Row],[Quantity]]*OrdersTable[[#This Row],[Unit Price]]</f>
        <v>799</v>
      </c>
      <c r="T254" s="5">
        <f>OrdersTable[[#This Row],[Gross Sale]]*OrdersTable[[#This Row],[Discount_Clean2]]</f>
        <v>39.950000000000003</v>
      </c>
      <c r="U254" s="5">
        <f>OrdersTable[[#This Row],[Gross Sale]]-OrdersTable[[#This Row],[Discount Amount]]</f>
        <v>759.05</v>
      </c>
      <c r="V254" s="77">
        <f>INDEX(Products!E:E,MATCH(OrdersTable[[#This Row],[Product ID]],Products!A:A,0))</f>
        <v>216</v>
      </c>
      <c r="W254" s="77">
        <f>OrdersTable[[#This Row],[Quantity]]*OrdersTable[[#This Row],[Unit Cost]]</f>
        <v>216</v>
      </c>
      <c r="X254" s="77">
        <f>'Dropdown Lists'!$I$2*(1+OrdersTable[[#This Row],[Returned]])</f>
        <v>60</v>
      </c>
      <c r="Y254" s="76">
        <f>OrdersTable[[#This Row],[Net Revenue]]-OrdersTable[[#This Row],[COGS]]-OrdersTable[[#This Row],[Shipping Cost]]</f>
        <v>483.04999999999995</v>
      </c>
      <c r="Z254" s="78">
        <f>IFERROR(OrdersTable[[#This Row],[Profit]]/OrdersTable[[#This Row],[Net Revenue]],0)</f>
        <v>0.63638758975034582</v>
      </c>
      <c r="AA254" t="s">
        <v>18</v>
      </c>
      <c r="AB254" s="79">
        <v>45341</v>
      </c>
      <c r="AC254">
        <f>OrdersTable[[#This Row],[Delivery Date]]-OrdersTable[[#This Row],[Order Date]]</f>
        <v>1</v>
      </c>
      <c r="AD254" t="str">
        <f>IF(OrdersTable[[#This Row],[Delivery Days]]&lt;=2, "Express (≤2d)", IF(OrdersTable[[#This Row],[Delivery Days]]&lt;=4, "Standard (3-4d)", "Delayed (5d+)"))</f>
        <v>Express (≤2d)</v>
      </c>
      <c r="AF254">
        <v>0</v>
      </c>
    </row>
    <row r="255" spans="1:32" ht="15" x14ac:dyDescent="0.35">
      <c r="A255" t="s">
        <v>1331</v>
      </c>
      <c r="B255" s="1">
        <v>45340</v>
      </c>
      <c r="C255">
        <f>YEAR(OrdersTable[[#This Row],[Order Date]])</f>
        <v>2024</v>
      </c>
      <c r="D255" s="2">
        <f>DATE(YEAR(OrdersTable[[#This Row],[Order Date]]),MONTH(OrdersTable[[#This Row],[Order Date]]),1)</f>
        <v>45323</v>
      </c>
      <c r="E255">
        <f>MONTH(OrdersTable[[#This Row],[Order Date]])</f>
        <v>2</v>
      </c>
      <c r="F255" t="s">
        <v>1332</v>
      </c>
      <c r="G255" t="str">
        <f>IF(OrdersTable[[#This Row],[Order Date]]=_xlfn.MINIFS(Order_Date, Customer_ID, OrdersTable[[#This Row],[Customer ID]]), "New", "Repeat")</f>
        <v>New</v>
      </c>
      <c r="H255" t="s">
        <v>482</v>
      </c>
      <c r="I255" t="str">
        <f>INDEX(State!B:B,MATCH(OrdersTable[[#This Row],[State]],State!A:A,0))</f>
        <v>CG</v>
      </c>
      <c r="J255" t="str">
        <f>INDEX(State!C:C,MATCH(OrdersTable[[#This Row],[State Code]],State!B:B,0))</f>
        <v>East</v>
      </c>
      <c r="K255" t="s">
        <v>483</v>
      </c>
      <c r="L255" t="s">
        <v>23</v>
      </c>
      <c r="M255" t="s">
        <v>106</v>
      </c>
      <c r="N255" t="str">
        <f>INDEX(Products!B:B,MATCH(OrdersTable[[#This Row],[Product ID]],Products!A:A,0))</f>
        <v>Keratin Hair Mask</v>
      </c>
      <c r="O255" t="str">
        <f>INDEX(Products!C:C,MATCH(OrdersTable[[#This Row],[Product ID]],Products!A:A,0))</f>
        <v>Haircare</v>
      </c>
      <c r="P255">
        <v>1</v>
      </c>
      <c r="Q255" s="5">
        <v>549</v>
      </c>
      <c r="R255" s="74">
        <v>0.25</v>
      </c>
      <c r="S255" s="75">
        <f>OrdersTable[[#This Row],[Quantity]]*OrdersTable[[#This Row],[Unit Price]]</f>
        <v>549</v>
      </c>
      <c r="T255" s="5">
        <f>OrdersTable[[#This Row],[Gross Sale]]*OrdersTable[[#This Row],[Discount_Clean2]]</f>
        <v>137.25</v>
      </c>
      <c r="U255" s="5">
        <f>OrdersTable[[#This Row],[Gross Sale]]-OrdersTable[[#This Row],[Discount Amount]]</f>
        <v>411.75</v>
      </c>
      <c r="V255" s="77">
        <f>INDEX(Products!E:E,MATCH(OrdersTable[[#This Row],[Product ID]],Products!A:A,0))</f>
        <v>170</v>
      </c>
      <c r="W255" s="77">
        <f>OrdersTable[[#This Row],[Quantity]]*OrdersTable[[#This Row],[Unit Cost]]</f>
        <v>170</v>
      </c>
      <c r="X255" s="77">
        <f>'Dropdown Lists'!$I$2*(1+OrdersTable[[#This Row],[Returned]])</f>
        <v>120</v>
      </c>
      <c r="Y255" s="76">
        <f>OrdersTable[[#This Row],[Net Revenue]]-OrdersTable[[#This Row],[COGS]]-OrdersTable[[#This Row],[Shipping Cost]]</f>
        <v>121.75</v>
      </c>
      <c r="Z255" s="78">
        <f>IFERROR(OrdersTable[[#This Row],[Profit]]/OrdersTable[[#This Row],[Net Revenue]],0)</f>
        <v>0.29568913175470551</v>
      </c>
      <c r="AA255" t="s">
        <v>18</v>
      </c>
      <c r="AB255" s="79">
        <v>45346</v>
      </c>
      <c r="AC255">
        <f>OrdersTable[[#This Row],[Delivery Date]]-OrdersTable[[#This Row],[Order Date]]</f>
        <v>6</v>
      </c>
      <c r="AD255" t="str">
        <f>IF(OrdersTable[[#This Row],[Delivery Days]]&lt;=2, "Express (≤2d)", IF(OrdersTable[[#This Row],[Delivery Days]]&lt;=4, "Standard (3-4d)", "Delayed (5d+)"))</f>
        <v>Delayed (5d+)</v>
      </c>
      <c r="AF255">
        <v>1</v>
      </c>
    </row>
    <row r="256" spans="1:32" ht="15" x14ac:dyDescent="0.35">
      <c r="A256" t="s">
        <v>6256</v>
      </c>
      <c r="B256" s="1">
        <v>45340</v>
      </c>
      <c r="C256">
        <f>YEAR(OrdersTable[[#This Row],[Order Date]])</f>
        <v>2024</v>
      </c>
      <c r="D256" s="2">
        <f>DATE(YEAR(OrdersTable[[#This Row],[Order Date]]),MONTH(OrdersTable[[#This Row],[Order Date]]),1)</f>
        <v>45323</v>
      </c>
      <c r="E256">
        <f>MONTH(OrdersTable[[#This Row],[Order Date]])</f>
        <v>2</v>
      </c>
      <c r="F256" t="s">
        <v>5761</v>
      </c>
      <c r="G256" t="str">
        <f>IF(OrdersTable[[#This Row],[Order Date]]=_xlfn.MINIFS(Order_Date, Customer_ID, OrdersTable[[#This Row],[Customer ID]]), "New", "Repeat")</f>
        <v>New</v>
      </c>
      <c r="H256" t="s">
        <v>316</v>
      </c>
      <c r="I256" t="str">
        <f>INDEX(State!B:B,MATCH(OrdersTable[[#This Row],[State]],State!A:A,0))</f>
        <v>KL</v>
      </c>
      <c r="J256" t="str">
        <f>INDEX(State!C:C,MATCH(OrdersTable[[#This Row],[State Code]],State!B:B,0))</f>
        <v>South</v>
      </c>
      <c r="K256" t="s">
        <v>338</v>
      </c>
      <c r="L256" t="s">
        <v>65</v>
      </c>
      <c r="M256" t="s">
        <v>51</v>
      </c>
      <c r="N256" t="str">
        <f>INDEX(Products!B:B,MATCH(OrdersTable[[#This Row],[Product ID]],Products!A:A,0))</f>
        <v>Anti-Dandruff Conditioner</v>
      </c>
      <c r="O256" t="str">
        <f>INDEX(Products!C:C,MATCH(OrdersTable[[#This Row],[Product ID]],Products!A:A,0))</f>
        <v>Haircare</v>
      </c>
      <c r="P256">
        <v>2</v>
      </c>
      <c r="Q256" s="5">
        <v>399</v>
      </c>
      <c r="R256" s="74">
        <v>0.35</v>
      </c>
      <c r="S256" s="75">
        <f>OrdersTable[[#This Row],[Quantity]]*OrdersTable[[#This Row],[Unit Price]]</f>
        <v>798</v>
      </c>
      <c r="T256" s="5">
        <f>OrdersTable[[#This Row],[Gross Sale]]*OrdersTable[[#This Row],[Discount_Clean2]]</f>
        <v>279.29999999999995</v>
      </c>
      <c r="U256" s="5">
        <f>OrdersTable[[#This Row],[Gross Sale]]-OrdersTable[[#This Row],[Discount Amount]]</f>
        <v>518.70000000000005</v>
      </c>
      <c r="V256" s="77">
        <f>INDEX(Products!E:E,MATCH(OrdersTable[[#This Row],[Product ID]],Products!A:A,0))</f>
        <v>136</v>
      </c>
      <c r="W256" s="77">
        <f>OrdersTable[[#This Row],[Quantity]]*OrdersTable[[#This Row],[Unit Cost]]</f>
        <v>272</v>
      </c>
      <c r="X256" s="77">
        <f>'Dropdown Lists'!$I$2*(1+OrdersTable[[#This Row],[Returned]])</f>
        <v>60</v>
      </c>
      <c r="Y256" s="76">
        <f>OrdersTable[[#This Row],[Net Revenue]]-OrdersTable[[#This Row],[COGS]]-OrdersTable[[#This Row],[Shipping Cost]]</f>
        <v>186.70000000000005</v>
      </c>
      <c r="Z256" s="78">
        <f>IFERROR(OrdersTable[[#This Row],[Profit]]/OrdersTable[[#This Row],[Net Revenue]],0)</f>
        <v>0.35993830730672843</v>
      </c>
      <c r="AA256" t="s">
        <v>18</v>
      </c>
      <c r="AB256" s="79">
        <v>45342</v>
      </c>
      <c r="AC256">
        <f>OrdersTable[[#This Row],[Delivery Date]]-OrdersTable[[#This Row],[Order Date]]</f>
        <v>2</v>
      </c>
      <c r="AD256" t="str">
        <f>IF(OrdersTable[[#This Row],[Delivery Days]]&lt;=2, "Express (≤2d)", IF(OrdersTable[[#This Row],[Delivery Days]]&lt;=4, "Standard (3-4d)", "Delayed (5d+)"))</f>
        <v>Express (≤2d)</v>
      </c>
      <c r="AE256">
        <v>5</v>
      </c>
      <c r="AF256">
        <v>0</v>
      </c>
    </row>
    <row r="257" spans="1:32" ht="15" x14ac:dyDescent="0.35">
      <c r="A257" t="s">
        <v>3151</v>
      </c>
      <c r="B257" s="1">
        <v>45340</v>
      </c>
      <c r="C257">
        <f>YEAR(OrdersTable[[#This Row],[Order Date]])</f>
        <v>2024</v>
      </c>
      <c r="D257" s="2">
        <f>DATE(YEAR(OrdersTable[[#This Row],[Order Date]]),MONTH(OrdersTable[[#This Row],[Order Date]]),1)</f>
        <v>45323</v>
      </c>
      <c r="E257">
        <f>MONTH(OrdersTable[[#This Row],[Order Date]])</f>
        <v>2</v>
      </c>
      <c r="F257" t="s">
        <v>3152</v>
      </c>
      <c r="G257" t="str">
        <f>IF(OrdersTable[[#This Row],[Order Date]]=_xlfn.MINIFS(Order_Date, Customer_ID, OrdersTable[[#This Row],[Customer ID]]), "New", "Repeat")</f>
        <v>New</v>
      </c>
      <c r="H257" t="s">
        <v>59</v>
      </c>
      <c r="I257" t="str">
        <f>INDEX(State!B:B,MATCH(OrdersTable[[#This Row],[State]],State!A:A,0))</f>
        <v>TN</v>
      </c>
      <c r="J257" t="str">
        <f>INDEX(State!C:C,MATCH(OrdersTable[[#This Row],[State Code]],State!B:B,0))</f>
        <v>South</v>
      </c>
      <c r="K257" t="s">
        <v>60</v>
      </c>
      <c r="L257" t="s">
        <v>39</v>
      </c>
      <c r="M257" t="s">
        <v>576</v>
      </c>
      <c r="N257" t="str">
        <f>INDEX(Products!B:B,MATCH(OrdersTable[[#This Row],[Product ID]],Products!A:A,0))</f>
        <v>Printed Saree</v>
      </c>
      <c r="O257" t="str">
        <f>INDEX(Products!C:C,MATCH(OrdersTable[[#This Row],[Product ID]],Products!A:A,0))</f>
        <v>Apparel</v>
      </c>
      <c r="P257">
        <v>1</v>
      </c>
      <c r="Q257" s="5">
        <v>1999</v>
      </c>
      <c r="R257" s="74">
        <v>0</v>
      </c>
      <c r="S257" s="75">
        <f>OrdersTable[[#This Row],[Quantity]]*OrdersTable[[#This Row],[Unit Price]]</f>
        <v>1999</v>
      </c>
      <c r="T257" s="5">
        <f>OrdersTable[[#This Row],[Gross Sale]]*OrdersTable[[#This Row],[Discount_Clean2]]</f>
        <v>0</v>
      </c>
      <c r="U257" s="5">
        <f>OrdersTable[[#This Row],[Gross Sale]]-OrdersTable[[#This Row],[Discount Amount]]</f>
        <v>1999</v>
      </c>
      <c r="V257" s="77">
        <f>INDEX(Products!E:E,MATCH(OrdersTable[[#This Row],[Product ID]],Products!A:A,0))</f>
        <v>880</v>
      </c>
      <c r="W257" s="77">
        <f>OrdersTable[[#This Row],[Quantity]]*OrdersTable[[#This Row],[Unit Cost]]</f>
        <v>880</v>
      </c>
      <c r="X257" s="77">
        <f>'Dropdown Lists'!$I$2*(1+OrdersTable[[#This Row],[Returned]])</f>
        <v>120</v>
      </c>
      <c r="Y257" s="76">
        <f>OrdersTable[[#This Row],[Net Revenue]]-OrdersTable[[#This Row],[COGS]]-OrdersTable[[#This Row],[Shipping Cost]]</f>
        <v>999</v>
      </c>
      <c r="Z257" s="78">
        <f>IFERROR(OrdersTable[[#This Row],[Profit]]/OrdersTable[[#This Row],[Net Revenue]],0)</f>
        <v>0.49974987493746875</v>
      </c>
      <c r="AA257" t="s">
        <v>2522</v>
      </c>
      <c r="AB257" s="79">
        <v>45343</v>
      </c>
      <c r="AC257">
        <f>OrdersTable[[#This Row],[Delivery Date]]-OrdersTable[[#This Row],[Order Date]]</f>
        <v>3</v>
      </c>
      <c r="AD257" t="str">
        <f>IF(OrdersTable[[#This Row],[Delivery Days]]&lt;=2, "Express (≤2d)", IF(OrdersTable[[#This Row],[Delivery Days]]&lt;=4, "Standard (3-4d)", "Delayed (5d+)"))</f>
        <v>Standard (3-4d)</v>
      </c>
      <c r="AE257">
        <v>4</v>
      </c>
      <c r="AF257">
        <v>1</v>
      </c>
    </row>
    <row r="258" spans="1:32" ht="15" x14ac:dyDescent="0.35">
      <c r="A258" t="s">
        <v>6465</v>
      </c>
      <c r="B258" s="1">
        <v>45341</v>
      </c>
      <c r="C258">
        <f>YEAR(OrdersTable[[#This Row],[Order Date]])</f>
        <v>2024</v>
      </c>
      <c r="D258" s="2">
        <f>DATE(YEAR(OrdersTable[[#This Row],[Order Date]]),MONTH(OrdersTable[[#This Row],[Order Date]]),1)</f>
        <v>45323</v>
      </c>
      <c r="E258">
        <f>MONTH(OrdersTable[[#This Row],[Order Date]])</f>
        <v>2</v>
      </c>
      <c r="F258" t="s">
        <v>6466</v>
      </c>
      <c r="G258" t="str">
        <f>IF(OrdersTable[[#This Row],[Order Date]]=_xlfn.MINIFS(Order_Date, Customer_ID, OrdersTable[[#This Row],[Customer ID]]), "New", "Repeat")</f>
        <v>New</v>
      </c>
      <c r="H258" t="s">
        <v>37</v>
      </c>
      <c r="I258" t="str">
        <f>INDEX(State!B:B,MATCH(OrdersTable[[#This Row],[State]],State!A:A,0))</f>
        <v>GJ</v>
      </c>
      <c r="J258" t="str">
        <f>INDEX(State!C:C,MATCH(OrdersTable[[#This Row],[State Code]],State!B:B,0))</f>
        <v>West</v>
      </c>
      <c r="K258" t="s">
        <v>38</v>
      </c>
      <c r="L258" t="s">
        <v>50</v>
      </c>
      <c r="M258" t="s">
        <v>109</v>
      </c>
      <c r="N258" t="str">
        <f>INDEX(Products!B:B,MATCH(OrdersTable[[#This Row],[Product ID]],Products!A:A,0))</f>
        <v>Onion Hair Oil</v>
      </c>
      <c r="O258" t="str">
        <f>INDEX(Products!C:C,MATCH(OrdersTable[[#This Row],[Product ID]],Products!A:A,0))</f>
        <v>Haircare</v>
      </c>
      <c r="P258">
        <v>3</v>
      </c>
      <c r="Q258" s="5">
        <v>349</v>
      </c>
      <c r="R258" s="74">
        <v>0.3</v>
      </c>
      <c r="S258" s="75">
        <f>OrdersTable[[#This Row],[Quantity]]*OrdersTable[[#This Row],[Unit Price]]</f>
        <v>1047</v>
      </c>
      <c r="T258" s="5">
        <f>OrdersTable[[#This Row],[Gross Sale]]*OrdersTable[[#This Row],[Discount_Clean2]]</f>
        <v>314.09999999999997</v>
      </c>
      <c r="U258" s="5">
        <f>OrdersTable[[#This Row],[Gross Sale]]-OrdersTable[[#This Row],[Discount Amount]]</f>
        <v>732.90000000000009</v>
      </c>
      <c r="V258" s="77">
        <f>INDEX(Products!E:E,MATCH(OrdersTable[[#This Row],[Product ID]],Products!A:A,0))</f>
        <v>105</v>
      </c>
      <c r="W258" s="77">
        <f>OrdersTable[[#This Row],[Quantity]]*OrdersTable[[#This Row],[Unit Cost]]</f>
        <v>315</v>
      </c>
      <c r="X258" s="77">
        <f>'Dropdown Lists'!$I$2*(1+OrdersTable[[#This Row],[Returned]])</f>
        <v>60</v>
      </c>
      <c r="Y258" s="76">
        <f>OrdersTable[[#This Row],[Net Revenue]]-OrdersTable[[#This Row],[COGS]]-OrdersTable[[#This Row],[Shipping Cost]]</f>
        <v>357.90000000000009</v>
      </c>
      <c r="Z258" s="78">
        <f>IFERROR(OrdersTable[[#This Row],[Profit]]/OrdersTable[[#This Row],[Net Revenue]],0)</f>
        <v>0.48833401555464601</v>
      </c>
      <c r="AA258" t="s">
        <v>18</v>
      </c>
      <c r="AB258" s="79">
        <v>45342</v>
      </c>
      <c r="AC258">
        <f>OrdersTable[[#This Row],[Delivery Date]]-OrdersTable[[#This Row],[Order Date]]</f>
        <v>1</v>
      </c>
      <c r="AD258" t="str">
        <f>IF(OrdersTable[[#This Row],[Delivery Days]]&lt;=2, "Express (≤2d)", IF(OrdersTable[[#This Row],[Delivery Days]]&lt;=4, "Standard (3-4d)", "Delayed (5d+)"))</f>
        <v>Express (≤2d)</v>
      </c>
      <c r="AE258">
        <v>4</v>
      </c>
      <c r="AF258">
        <v>0</v>
      </c>
    </row>
    <row r="259" spans="1:32" ht="15" x14ac:dyDescent="0.35">
      <c r="A259" t="s">
        <v>2220</v>
      </c>
      <c r="B259" s="1">
        <v>45342</v>
      </c>
      <c r="C259">
        <f>YEAR(OrdersTable[[#This Row],[Order Date]])</f>
        <v>2024</v>
      </c>
      <c r="D259" s="2">
        <f>DATE(YEAR(OrdersTable[[#This Row],[Order Date]]),MONTH(OrdersTable[[#This Row],[Order Date]]),1)</f>
        <v>45323</v>
      </c>
      <c r="E259">
        <f>MONTH(OrdersTable[[#This Row],[Order Date]])</f>
        <v>2</v>
      </c>
      <c r="F259" t="s">
        <v>2221</v>
      </c>
      <c r="G259" t="str">
        <f>IF(OrdersTable[[#This Row],[Order Date]]=_xlfn.MINIFS(Order_Date, Customer_ID, OrdersTable[[#This Row],[Customer ID]]), "New", "Repeat")</f>
        <v>New</v>
      </c>
      <c r="H259" t="s">
        <v>43</v>
      </c>
      <c r="I259" t="str">
        <f>INDEX(State!B:B,MATCH(OrdersTable[[#This Row],[State]],State!A:A,0))</f>
        <v>MP</v>
      </c>
      <c r="J259" t="str">
        <f>INDEX(State!C:C,MATCH(OrdersTable[[#This Row],[State Code]],State!B:B,0))</f>
        <v>West</v>
      </c>
      <c r="K259" t="s">
        <v>250</v>
      </c>
      <c r="L259" t="s">
        <v>50</v>
      </c>
      <c r="M259" t="s">
        <v>45</v>
      </c>
      <c r="N259" t="str">
        <f>INDEX(Products!B:B,MATCH(OrdersTable[[#This Row],[Product ID]],Products!A:A,0))</f>
        <v>Argan Shampoo</v>
      </c>
      <c r="O259" t="str">
        <f>INDEX(Products!C:C,MATCH(OrdersTable[[#This Row],[Product ID]],Products!A:A,0))</f>
        <v>Haircare</v>
      </c>
      <c r="P259">
        <v>1</v>
      </c>
      <c r="Q259" s="5">
        <v>449</v>
      </c>
      <c r="R259" s="74">
        <v>0.05</v>
      </c>
      <c r="S259" s="75">
        <f>OrdersTable[[#This Row],[Quantity]]*OrdersTable[[#This Row],[Unit Price]]</f>
        <v>449</v>
      </c>
      <c r="T259" s="5">
        <f>OrdersTable[[#This Row],[Gross Sale]]*OrdersTable[[#This Row],[Discount_Clean2]]</f>
        <v>22.450000000000003</v>
      </c>
      <c r="U259" s="5">
        <f>OrdersTable[[#This Row],[Gross Sale]]-OrdersTable[[#This Row],[Discount Amount]]</f>
        <v>426.55</v>
      </c>
      <c r="V259" s="77">
        <f>INDEX(Products!E:E,MATCH(OrdersTable[[#This Row],[Product ID]],Products!A:A,0))</f>
        <v>148</v>
      </c>
      <c r="W259" s="77">
        <f>OrdersTable[[#This Row],[Quantity]]*OrdersTable[[#This Row],[Unit Cost]]</f>
        <v>148</v>
      </c>
      <c r="X259" s="77">
        <f>'Dropdown Lists'!$I$2*(1+OrdersTable[[#This Row],[Returned]])</f>
        <v>60</v>
      </c>
      <c r="Y259" s="76">
        <f>OrdersTable[[#This Row],[Net Revenue]]-OrdersTable[[#This Row],[COGS]]-OrdersTable[[#This Row],[Shipping Cost]]</f>
        <v>218.55</v>
      </c>
      <c r="Z259" s="78">
        <f>IFERROR(OrdersTable[[#This Row],[Profit]]/OrdersTable[[#This Row],[Net Revenue]],0)</f>
        <v>0.51236666275934828</v>
      </c>
      <c r="AA259" t="s">
        <v>18</v>
      </c>
      <c r="AB259" s="79">
        <v>45346</v>
      </c>
      <c r="AC259">
        <f>OrdersTable[[#This Row],[Delivery Date]]-OrdersTable[[#This Row],[Order Date]]</f>
        <v>4</v>
      </c>
      <c r="AD259" t="str">
        <f>IF(OrdersTable[[#This Row],[Delivery Days]]&lt;=2, "Express (≤2d)", IF(OrdersTable[[#This Row],[Delivery Days]]&lt;=4, "Standard (3-4d)", "Delayed (5d+)"))</f>
        <v>Standard (3-4d)</v>
      </c>
      <c r="AE259">
        <v>5</v>
      </c>
      <c r="AF259">
        <v>0</v>
      </c>
    </row>
    <row r="260" spans="1:32" ht="15" x14ac:dyDescent="0.35">
      <c r="A260" t="s">
        <v>4214</v>
      </c>
      <c r="B260" s="1">
        <v>45342</v>
      </c>
      <c r="C260">
        <f>YEAR(OrdersTable[[#This Row],[Order Date]])</f>
        <v>2024</v>
      </c>
      <c r="D260" s="2">
        <f>DATE(YEAR(OrdersTable[[#This Row],[Order Date]]),MONTH(OrdersTable[[#This Row],[Order Date]]),1)</f>
        <v>45323</v>
      </c>
      <c r="E260">
        <f>MONTH(OrdersTable[[#This Row],[Order Date]])</f>
        <v>2</v>
      </c>
      <c r="F260" t="s">
        <v>94</v>
      </c>
      <c r="G260" t="str">
        <f>IF(OrdersTable[[#This Row],[Order Date]]=_xlfn.MINIFS(Order_Date, Customer_ID, OrdersTable[[#This Row],[Customer ID]]), "New", "Repeat")</f>
        <v>New</v>
      </c>
      <c r="H260" t="s">
        <v>71</v>
      </c>
      <c r="I260" t="str">
        <f>INDEX(State!B:B,MATCH(OrdersTable[[#This Row],[State]],State!A:A,0))</f>
        <v>MH</v>
      </c>
      <c r="J260" t="str">
        <f>INDEX(State!C:C,MATCH(OrdersTable[[#This Row],[State Code]],State!B:B,0))</f>
        <v>West</v>
      </c>
      <c r="K260" t="s">
        <v>102</v>
      </c>
      <c r="L260" t="s">
        <v>65</v>
      </c>
      <c r="M260" t="s">
        <v>73</v>
      </c>
      <c r="N260" t="str">
        <f>INDEX(Products!B:B,MATCH(OrdersTable[[#This Row],[Product ID]],Products!A:A,0))</f>
        <v>Hydrating Face Wash</v>
      </c>
      <c r="O260" t="str">
        <f>INDEX(Products!C:C,MATCH(OrdersTable[[#This Row],[Product ID]],Products!A:A,0))</f>
        <v>Skincare</v>
      </c>
      <c r="P260">
        <v>1</v>
      </c>
      <c r="Q260" s="5">
        <v>299</v>
      </c>
      <c r="R260" s="74">
        <v>0</v>
      </c>
      <c r="S260" s="75">
        <f>OrdersTable[[#This Row],[Quantity]]*OrdersTable[[#This Row],[Unit Price]]</f>
        <v>299</v>
      </c>
      <c r="T260" s="5">
        <f>OrdersTable[[#This Row],[Gross Sale]]*OrdersTable[[#This Row],[Discount_Clean2]]</f>
        <v>0</v>
      </c>
      <c r="U260" s="5">
        <f>OrdersTable[[#This Row],[Gross Sale]]-OrdersTable[[#This Row],[Discount Amount]]</f>
        <v>299</v>
      </c>
      <c r="V260" s="77">
        <f>INDEX(Products!E:E,MATCH(OrdersTable[[#This Row],[Product ID]],Products!A:A,0))</f>
        <v>90</v>
      </c>
      <c r="W260" s="77">
        <f>OrdersTable[[#This Row],[Quantity]]*OrdersTable[[#This Row],[Unit Cost]]</f>
        <v>90</v>
      </c>
      <c r="X260" s="77">
        <f>'Dropdown Lists'!$I$2*(1+OrdersTable[[#This Row],[Returned]])</f>
        <v>60</v>
      </c>
      <c r="Y260" s="76">
        <f>OrdersTable[[#This Row],[Net Revenue]]-OrdersTable[[#This Row],[COGS]]-OrdersTable[[#This Row],[Shipping Cost]]</f>
        <v>149</v>
      </c>
      <c r="Z260" s="78">
        <f>IFERROR(OrdersTable[[#This Row],[Profit]]/OrdersTable[[#This Row],[Net Revenue]],0)</f>
        <v>0.49832775919732442</v>
      </c>
      <c r="AA260" t="s">
        <v>4074</v>
      </c>
      <c r="AB260" s="79">
        <v>45344</v>
      </c>
      <c r="AC260">
        <f>OrdersTable[[#This Row],[Delivery Date]]-OrdersTable[[#This Row],[Order Date]]</f>
        <v>2</v>
      </c>
      <c r="AD260" t="str">
        <f>IF(OrdersTable[[#This Row],[Delivery Days]]&lt;=2, "Express (≤2d)", IF(OrdersTable[[#This Row],[Delivery Days]]&lt;=4, "Standard (3-4d)", "Delayed (5d+)"))</f>
        <v>Express (≤2d)</v>
      </c>
      <c r="AF260">
        <v>0</v>
      </c>
    </row>
    <row r="261" spans="1:32" ht="15" x14ac:dyDescent="0.35">
      <c r="A261" t="s">
        <v>3708</v>
      </c>
      <c r="B261" s="1">
        <v>45342</v>
      </c>
      <c r="C261">
        <f>YEAR(OrdersTable[[#This Row],[Order Date]])</f>
        <v>2024</v>
      </c>
      <c r="D261" s="2">
        <f>DATE(YEAR(OrdersTable[[#This Row],[Order Date]]),MONTH(OrdersTable[[#This Row],[Order Date]]),1)</f>
        <v>45323</v>
      </c>
      <c r="E261">
        <f>MONTH(OrdersTable[[#This Row],[Order Date]])</f>
        <v>2</v>
      </c>
      <c r="F261" t="s">
        <v>2428</v>
      </c>
      <c r="G261" t="str">
        <f>IF(OrdersTable[[#This Row],[Order Date]]=_xlfn.MINIFS(Order_Date, Customer_ID, OrdersTable[[#This Row],[Customer ID]]), "New", "Repeat")</f>
        <v>New</v>
      </c>
      <c r="H261" t="s">
        <v>275</v>
      </c>
      <c r="I261" t="str">
        <f>INDEX(State!B:B,MATCH(OrdersTable[[#This Row],[State]],State!A:A,0))</f>
        <v>AP</v>
      </c>
      <c r="J261" t="str">
        <f>INDEX(State!C:C,MATCH(OrdersTable[[#This Row],[State Code]],State!B:B,0))</f>
        <v>South</v>
      </c>
      <c r="K261" t="s">
        <v>276</v>
      </c>
      <c r="L261" t="s">
        <v>23</v>
      </c>
      <c r="M261" t="s">
        <v>148</v>
      </c>
      <c r="N261" t="str">
        <f>INDEX(Products!B:B,MATCH(OrdersTable[[#This Row],[Product ID]],Products!A:A,0))</f>
        <v>Smartwatch Strap</v>
      </c>
      <c r="O261" t="str">
        <f>INDEX(Products!C:C,MATCH(OrdersTable[[#This Row],[Product ID]],Products!A:A,0))</f>
        <v>Electronics</v>
      </c>
      <c r="P261">
        <v>1</v>
      </c>
      <c r="Q261" s="5">
        <v>499</v>
      </c>
      <c r="R261" s="74">
        <v>0.1</v>
      </c>
      <c r="S261" s="75">
        <f>OrdersTable[[#This Row],[Quantity]]*OrdersTable[[#This Row],[Unit Price]]</f>
        <v>499</v>
      </c>
      <c r="T261" s="5">
        <f>OrdersTable[[#This Row],[Gross Sale]]*OrdersTable[[#This Row],[Discount_Clean2]]</f>
        <v>49.900000000000006</v>
      </c>
      <c r="U261" s="5">
        <f>OrdersTable[[#This Row],[Gross Sale]]-OrdersTable[[#This Row],[Discount Amount]]</f>
        <v>449.1</v>
      </c>
      <c r="V261" s="77">
        <f>INDEX(Products!E:E,MATCH(OrdersTable[[#This Row],[Product ID]],Products!A:A,0))</f>
        <v>200</v>
      </c>
      <c r="W261" s="77">
        <f>OrdersTable[[#This Row],[Quantity]]*OrdersTable[[#This Row],[Unit Cost]]</f>
        <v>200</v>
      </c>
      <c r="X261" s="77">
        <f>'Dropdown Lists'!$I$2*(1+OrdersTable[[#This Row],[Returned]])</f>
        <v>60</v>
      </c>
      <c r="Y261" s="76">
        <f>OrdersTable[[#This Row],[Net Revenue]]-OrdersTable[[#This Row],[COGS]]-OrdersTable[[#This Row],[Shipping Cost]]</f>
        <v>189.10000000000002</v>
      </c>
      <c r="Z261" s="78">
        <f>IFERROR(OrdersTable[[#This Row],[Profit]]/OrdersTable[[#This Row],[Net Revenue]],0)</f>
        <v>0.42106435092407041</v>
      </c>
      <c r="AA261" t="s">
        <v>3495</v>
      </c>
      <c r="AB261" s="79">
        <v>45344</v>
      </c>
      <c r="AC261">
        <f>OrdersTable[[#This Row],[Delivery Date]]-OrdersTable[[#This Row],[Order Date]]</f>
        <v>2</v>
      </c>
      <c r="AD261" t="str">
        <f>IF(OrdersTable[[#This Row],[Delivery Days]]&lt;=2, "Express (≤2d)", IF(OrdersTable[[#This Row],[Delivery Days]]&lt;=4, "Standard (3-4d)", "Delayed (5d+)"))</f>
        <v>Express (≤2d)</v>
      </c>
      <c r="AF261">
        <v>0</v>
      </c>
    </row>
    <row r="262" spans="1:32" ht="15" x14ac:dyDescent="0.35">
      <c r="A262" t="s">
        <v>4453</v>
      </c>
      <c r="B262" s="1">
        <v>45342</v>
      </c>
      <c r="C262">
        <f>YEAR(OrdersTable[[#This Row],[Order Date]])</f>
        <v>2024</v>
      </c>
      <c r="D262" s="2">
        <f>DATE(YEAR(OrdersTable[[#This Row],[Order Date]]),MONTH(OrdersTable[[#This Row],[Order Date]]),1)</f>
        <v>45323</v>
      </c>
      <c r="E262">
        <f>MONTH(OrdersTable[[#This Row],[Order Date]])</f>
        <v>2</v>
      </c>
      <c r="F262" t="s">
        <v>4454</v>
      </c>
      <c r="G262" t="str">
        <f>IF(OrdersTable[[#This Row],[Order Date]]=_xlfn.MINIFS(Order_Date, Customer_ID, OrdersTable[[#This Row],[Customer ID]]), "New", "Repeat")</f>
        <v>New</v>
      </c>
      <c r="H262" t="s">
        <v>59</v>
      </c>
      <c r="I262" t="str">
        <f>INDEX(State!B:B,MATCH(OrdersTable[[#This Row],[State]],State!A:A,0))</f>
        <v>TN</v>
      </c>
      <c r="J262" t="str">
        <f>INDEX(State!C:C,MATCH(OrdersTable[[#This Row],[State Code]],State!B:B,0))</f>
        <v>South</v>
      </c>
      <c r="K262" t="s">
        <v>60</v>
      </c>
      <c r="L262" t="s">
        <v>50</v>
      </c>
      <c r="M262" t="s">
        <v>152</v>
      </c>
      <c r="N262" t="str">
        <f>INDEX(Products!B:B,MATCH(OrdersTable[[#This Row],[Product ID]],Products!A:A,0))</f>
        <v>Green Tea (100 bags)</v>
      </c>
      <c r="O262" t="str">
        <f>INDEX(Products!C:C,MATCH(OrdersTable[[#This Row],[Product ID]],Products!A:A,0))</f>
        <v>Wellness</v>
      </c>
      <c r="P262">
        <v>1</v>
      </c>
      <c r="Q262" s="5">
        <v>399</v>
      </c>
      <c r="R262" s="74">
        <v>0.4</v>
      </c>
      <c r="S262" s="75">
        <f>OrdersTable[[#This Row],[Quantity]]*OrdersTable[[#This Row],[Unit Price]]</f>
        <v>399</v>
      </c>
      <c r="T262" s="5">
        <f>OrdersTable[[#This Row],[Gross Sale]]*OrdersTable[[#This Row],[Discount_Clean2]]</f>
        <v>159.60000000000002</v>
      </c>
      <c r="U262" s="5">
        <f>OrdersTable[[#This Row],[Gross Sale]]-OrdersTable[[#This Row],[Discount Amount]]</f>
        <v>239.39999999999998</v>
      </c>
      <c r="V262" s="77">
        <f>INDEX(Products!E:E,MATCH(OrdersTable[[#This Row],[Product ID]],Products!A:A,0))</f>
        <v>128</v>
      </c>
      <c r="W262" s="77">
        <f>OrdersTable[[#This Row],[Quantity]]*OrdersTable[[#This Row],[Unit Cost]]</f>
        <v>128</v>
      </c>
      <c r="X262" s="77">
        <f>'Dropdown Lists'!$I$2*(1+OrdersTable[[#This Row],[Returned]])</f>
        <v>60</v>
      </c>
      <c r="Y262" s="76">
        <f>OrdersTable[[#This Row],[Net Revenue]]-OrdersTable[[#This Row],[COGS]]-OrdersTable[[#This Row],[Shipping Cost]]</f>
        <v>51.399999999999977</v>
      </c>
      <c r="Z262" s="78">
        <f>IFERROR(OrdersTable[[#This Row],[Profit]]/OrdersTable[[#This Row],[Net Revenue]],0)</f>
        <v>0.21470342522974095</v>
      </c>
      <c r="AA262" t="s">
        <v>4450</v>
      </c>
      <c r="AB262" s="79">
        <v>45346</v>
      </c>
      <c r="AC262">
        <f>OrdersTable[[#This Row],[Delivery Date]]-OrdersTable[[#This Row],[Order Date]]</f>
        <v>4</v>
      </c>
      <c r="AD262" t="str">
        <f>IF(OrdersTable[[#This Row],[Delivery Days]]&lt;=2, "Express (≤2d)", IF(OrdersTable[[#This Row],[Delivery Days]]&lt;=4, "Standard (3-4d)", "Delayed (5d+)"))</f>
        <v>Standard (3-4d)</v>
      </c>
      <c r="AE262">
        <v>4</v>
      </c>
      <c r="AF262">
        <v>0</v>
      </c>
    </row>
    <row r="263" spans="1:32" ht="15" x14ac:dyDescent="0.35">
      <c r="A263" t="s">
        <v>6941</v>
      </c>
      <c r="B263" s="1">
        <v>45342</v>
      </c>
      <c r="C263">
        <f>YEAR(OrdersTable[[#This Row],[Order Date]])</f>
        <v>2024</v>
      </c>
      <c r="D263" s="2">
        <f>DATE(YEAR(OrdersTable[[#This Row],[Order Date]]),MONTH(OrdersTable[[#This Row],[Order Date]]),1)</f>
        <v>45323</v>
      </c>
      <c r="E263">
        <f>MONTH(OrdersTable[[#This Row],[Order Date]])</f>
        <v>2</v>
      </c>
      <c r="F263" t="s">
        <v>5683</v>
      </c>
      <c r="G263" t="str">
        <f>IF(OrdersTable[[#This Row],[Order Date]]=_xlfn.MINIFS(Order_Date, Customer_ID, OrdersTable[[#This Row],[Customer ID]]), "New", "Repeat")</f>
        <v>New</v>
      </c>
      <c r="H263" t="s">
        <v>59</v>
      </c>
      <c r="I263" t="str">
        <f>INDEX(State!B:B,MATCH(OrdersTable[[#This Row],[State]],State!A:A,0))</f>
        <v>TN</v>
      </c>
      <c r="J263" t="str">
        <f>INDEX(State!C:C,MATCH(OrdersTable[[#This Row],[State Code]],State!B:B,0))</f>
        <v>South</v>
      </c>
      <c r="K263" t="s">
        <v>60</v>
      </c>
      <c r="L263" t="s">
        <v>16</v>
      </c>
      <c r="M263" t="s">
        <v>34</v>
      </c>
      <c r="N263" t="str">
        <f>INDEX(Products!B:B,MATCH(OrdersTable[[#This Row],[Product ID]],Products!A:A,0))</f>
        <v>Flip Flops</v>
      </c>
      <c r="O263" t="str">
        <f>INDEX(Products!C:C,MATCH(OrdersTable[[#This Row],[Product ID]],Products!A:A,0))</f>
        <v>Footwear</v>
      </c>
      <c r="P263">
        <v>4</v>
      </c>
      <c r="Q263" s="5">
        <v>399</v>
      </c>
      <c r="R263" s="74">
        <v>0.1</v>
      </c>
      <c r="S263" s="75">
        <f>OrdersTable[[#This Row],[Quantity]]*OrdersTable[[#This Row],[Unit Price]]</f>
        <v>1596</v>
      </c>
      <c r="T263" s="5">
        <f>OrdersTable[[#This Row],[Gross Sale]]*OrdersTable[[#This Row],[Discount_Clean2]]</f>
        <v>159.60000000000002</v>
      </c>
      <c r="U263" s="5">
        <f>OrdersTable[[#This Row],[Gross Sale]]-OrdersTable[[#This Row],[Discount Amount]]</f>
        <v>1436.4</v>
      </c>
      <c r="V263" s="77">
        <f>INDEX(Products!E:E,MATCH(OrdersTable[[#This Row],[Product ID]],Products!A:A,0))</f>
        <v>152</v>
      </c>
      <c r="W263" s="77">
        <f>OrdersTable[[#This Row],[Quantity]]*OrdersTable[[#This Row],[Unit Cost]]</f>
        <v>608</v>
      </c>
      <c r="X263" s="77">
        <f>'Dropdown Lists'!$I$2*(1+OrdersTable[[#This Row],[Returned]])</f>
        <v>60</v>
      </c>
      <c r="Y263" s="76">
        <f>OrdersTable[[#This Row],[Net Revenue]]-OrdersTable[[#This Row],[COGS]]-OrdersTable[[#This Row],[Shipping Cost]]</f>
        <v>768.40000000000009</v>
      </c>
      <c r="Z263" s="78">
        <f>IFERROR(OrdersTable[[#This Row],[Profit]]/OrdersTable[[#This Row],[Net Revenue]],0)</f>
        <v>0.5349484823169034</v>
      </c>
      <c r="AA263" t="s">
        <v>2522</v>
      </c>
      <c r="AB263" s="79">
        <v>45345</v>
      </c>
      <c r="AC263">
        <f>OrdersTable[[#This Row],[Delivery Date]]-OrdersTable[[#This Row],[Order Date]]</f>
        <v>3</v>
      </c>
      <c r="AD263" t="str">
        <f>IF(OrdersTable[[#This Row],[Delivery Days]]&lt;=2, "Express (≤2d)", IF(OrdersTable[[#This Row],[Delivery Days]]&lt;=4, "Standard (3-4d)", "Delayed (5d+)"))</f>
        <v>Standard (3-4d)</v>
      </c>
      <c r="AF263">
        <v>0</v>
      </c>
    </row>
    <row r="264" spans="1:32" ht="15" x14ac:dyDescent="0.35">
      <c r="A264" t="s">
        <v>3709</v>
      </c>
      <c r="B264" s="1">
        <v>45343</v>
      </c>
      <c r="C264">
        <f>YEAR(OrdersTable[[#This Row],[Order Date]])</f>
        <v>2024</v>
      </c>
      <c r="D264" s="2">
        <f>DATE(YEAR(OrdersTable[[#This Row],[Order Date]]),MONTH(OrdersTable[[#This Row],[Order Date]]),1)</f>
        <v>45323</v>
      </c>
      <c r="E264">
        <f>MONTH(OrdersTable[[#This Row],[Order Date]])</f>
        <v>2</v>
      </c>
      <c r="F264" t="s">
        <v>2401</v>
      </c>
      <c r="G264" t="str">
        <f>IF(OrdersTable[[#This Row],[Order Date]]=_xlfn.MINIFS(Order_Date, Customer_ID, OrdersTable[[#This Row],[Customer ID]]), "New", "Repeat")</f>
        <v>New</v>
      </c>
      <c r="H264" t="s">
        <v>482</v>
      </c>
      <c r="I264" t="str">
        <f>INDEX(State!B:B,MATCH(OrdersTable[[#This Row],[State]],State!A:A,0))</f>
        <v>CG</v>
      </c>
      <c r="J264" t="str">
        <f>INDEX(State!C:C,MATCH(OrdersTable[[#This Row],[State Code]],State!B:B,0))</f>
        <v>East</v>
      </c>
      <c r="K264" t="s">
        <v>483</v>
      </c>
      <c r="L264" t="s">
        <v>39</v>
      </c>
      <c r="M264" t="s">
        <v>106</v>
      </c>
      <c r="N264" t="str">
        <f>INDEX(Products!B:B,MATCH(OrdersTable[[#This Row],[Product ID]],Products!A:A,0))</f>
        <v>Keratin Hair Mask</v>
      </c>
      <c r="O264" t="str">
        <f>INDEX(Products!C:C,MATCH(OrdersTable[[#This Row],[Product ID]],Products!A:A,0))</f>
        <v>Haircare</v>
      </c>
      <c r="P264">
        <v>1</v>
      </c>
      <c r="Q264" s="5">
        <v>549</v>
      </c>
      <c r="R264" s="74">
        <v>0.05</v>
      </c>
      <c r="S264" s="75">
        <f>OrdersTable[[#This Row],[Quantity]]*OrdersTable[[#This Row],[Unit Price]]</f>
        <v>549</v>
      </c>
      <c r="T264" s="5">
        <f>OrdersTable[[#This Row],[Gross Sale]]*OrdersTable[[#This Row],[Discount_Clean2]]</f>
        <v>27.450000000000003</v>
      </c>
      <c r="U264" s="5">
        <f>OrdersTable[[#This Row],[Gross Sale]]-OrdersTable[[#This Row],[Discount Amount]]</f>
        <v>521.54999999999995</v>
      </c>
      <c r="V264" s="77">
        <f>INDEX(Products!E:E,MATCH(OrdersTable[[#This Row],[Product ID]],Products!A:A,0))</f>
        <v>170</v>
      </c>
      <c r="W264" s="77">
        <f>OrdersTable[[#This Row],[Quantity]]*OrdersTable[[#This Row],[Unit Cost]]</f>
        <v>170</v>
      </c>
      <c r="X264" s="77">
        <f>'Dropdown Lists'!$I$2*(1+OrdersTable[[#This Row],[Returned]])</f>
        <v>60</v>
      </c>
      <c r="Y264" s="76">
        <f>OrdersTable[[#This Row],[Net Revenue]]-OrdersTable[[#This Row],[COGS]]-OrdersTable[[#This Row],[Shipping Cost]]</f>
        <v>291.54999999999995</v>
      </c>
      <c r="Z264" s="78">
        <f>IFERROR(OrdersTable[[#This Row],[Profit]]/OrdersTable[[#This Row],[Net Revenue]],0)</f>
        <v>0.55900680663407143</v>
      </c>
      <c r="AA264" t="s">
        <v>3495</v>
      </c>
      <c r="AB264" s="79">
        <v>45348</v>
      </c>
      <c r="AC264">
        <f>OrdersTable[[#This Row],[Delivery Date]]-OrdersTable[[#This Row],[Order Date]]</f>
        <v>5</v>
      </c>
      <c r="AD264" t="str">
        <f>IF(OrdersTable[[#This Row],[Delivery Days]]&lt;=2, "Express (≤2d)", IF(OrdersTable[[#This Row],[Delivery Days]]&lt;=4, "Standard (3-4d)", "Delayed (5d+)"))</f>
        <v>Delayed (5d+)</v>
      </c>
      <c r="AF264">
        <v>0</v>
      </c>
    </row>
    <row r="265" spans="1:32" ht="15" x14ac:dyDescent="0.35">
      <c r="A265" t="s">
        <v>6039</v>
      </c>
      <c r="B265" s="1">
        <v>45343</v>
      </c>
      <c r="C265">
        <f>YEAR(OrdersTable[[#This Row],[Order Date]])</f>
        <v>2024</v>
      </c>
      <c r="D265" s="2">
        <f>DATE(YEAR(OrdersTable[[#This Row],[Order Date]]),MONTH(OrdersTable[[#This Row],[Order Date]]),1)</f>
        <v>45323</v>
      </c>
      <c r="E265">
        <f>MONTH(OrdersTable[[#This Row],[Order Date]])</f>
        <v>2</v>
      </c>
      <c r="F265" t="s">
        <v>1600</v>
      </c>
      <c r="G265" t="str">
        <f>IF(OrdersTable[[#This Row],[Order Date]]=_xlfn.MINIFS(Order_Date, Customer_ID, OrdersTable[[#This Row],[Customer ID]]), "New", "Repeat")</f>
        <v>New</v>
      </c>
      <c r="H265" t="s">
        <v>71</v>
      </c>
      <c r="I265" t="str">
        <f>INDEX(State!B:B,MATCH(OrdersTable[[#This Row],[State]],State!A:A,0))</f>
        <v>MH</v>
      </c>
      <c r="J265" t="str">
        <f>INDEX(State!C:C,MATCH(OrdersTable[[#This Row],[State Code]],State!B:B,0))</f>
        <v>West</v>
      </c>
      <c r="K265" t="s">
        <v>72</v>
      </c>
      <c r="L265" t="s">
        <v>65</v>
      </c>
      <c r="M265" t="s">
        <v>92</v>
      </c>
      <c r="N265" t="str">
        <f>INDEX(Products!B:B,MATCH(OrdersTable[[#This Row],[Product ID]],Products!A:A,0))</f>
        <v>Kolhapuri Sandals</v>
      </c>
      <c r="O265" t="str">
        <f>INDEX(Products!C:C,MATCH(OrdersTable[[#This Row],[Product ID]],Products!A:A,0))</f>
        <v>Footwear</v>
      </c>
      <c r="P265">
        <v>2</v>
      </c>
      <c r="Q265" s="5">
        <v>999</v>
      </c>
      <c r="R265" s="74">
        <v>0.05</v>
      </c>
      <c r="S265" s="75">
        <f>OrdersTable[[#This Row],[Quantity]]*OrdersTable[[#This Row],[Unit Price]]</f>
        <v>1998</v>
      </c>
      <c r="T265" s="5">
        <f>OrdersTable[[#This Row],[Gross Sale]]*OrdersTable[[#This Row],[Discount_Clean2]]</f>
        <v>99.9</v>
      </c>
      <c r="U265" s="5">
        <f>OrdersTable[[#This Row],[Gross Sale]]-OrdersTable[[#This Row],[Discount Amount]]</f>
        <v>1898.1</v>
      </c>
      <c r="V265" s="77">
        <f>INDEX(Products!E:E,MATCH(OrdersTable[[#This Row],[Product ID]],Products!A:A,0))</f>
        <v>400</v>
      </c>
      <c r="W265" s="77">
        <f>OrdersTable[[#This Row],[Quantity]]*OrdersTable[[#This Row],[Unit Cost]]</f>
        <v>800</v>
      </c>
      <c r="X265" s="77">
        <f>'Dropdown Lists'!$I$2*(1+OrdersTable[[#This Row],[Returned]])</f>
        <v>60</v>
      </c>
      <c r="Y265" s="76">
        <f>OrdersTable[[#This Row],[Net Revenue]]-OrdersTable[[#This Row],[COGS]]-OrdersTable[[#This Row],[Shipping Cost]]</f>
        <v>1038.0999999999999</v>
      </c>
      <c r="Z265" s="78">
        <f>IFERROR(OrdersTable[[#This Row],[Profit]]/OrdersTable[[#This Row],[Net Revenue]],0)</f>
        <v>0.54691533638902057</v>
      </c>
      <c r="AA265" t="s">
        <v>18</v>
      </c>
      <c r="AB265" s="79">
        <v>45345</v>
      </c>
      <c r="AC265">
        <f>OrdersTable[[#This Row],[Delivery Date]]-OrdersTable[[#This Row],[Order Date]]</f>
        <v>2</v>
      </c>
      <c r="AD265" t="str">
        <f>IF(OrdersTable[[#This Row],[Delivery Days]]&lt;=2, "Express (≤2d)", IF(OrdersTable[[#This Row],[Delivery Days]]&lt;=4, "Standard (3-4d)", "Delayed (5d+)"))</f>
        <v>Express (≤2d)</v>
      </c>
      <c r="AE265">
        <v>4</v>
      </c>
      <c r="AF265">
        <v>0</v>
      </c>
    </row>
    <row r="266" spans="1:32" ht="15" x14ac:dyDescent="0.35">
      <c r="A266" t="s">
        <v>6467</v>
      </c>
      <c r="B266" s="1">
        <v>45344</v>
      </c>
      <c r="C266">
        <f>YEAR(OrdersTable[[#This Row],[Order Date]])</f>
        <v>2024</v>
      </c>
      <c r="D266" s="2">
        <f>DATE(YEAR(OrdersTable[[#This Row],[Order Date]]),MONTH(OrdersTable[[#This Row],[Order Date]]),1)</f>
        <v>45323</v>
      </c>
      <c r="E266">
        <f>MONTH(OrdersTable[[#This Row],[Order Date]])</f>
        <v>2</v>
      </c>
      <c r="F266" t="s">
        <v>427</v>
      </c>
      <c r="G266" t="str">
        <f>IF(OrdersTable[[#This Row],[Order Date]]=_xlfn.MINIFS(Order_Date, Customer_ID, OrdersTable[[#This Row],[Customer ID]]), "New", "Repeat")</f>
        <v>Repeat</v>
      </c>
      <c r="H266" t="s">
        <v>37</v>
      </c>
      <c r="I266" t="str">
        <f>INDEX(State!B:B,MATCH(OrdersTable[[#This Row],[State]],State!A:A,0))</f>
        <v>GJ</v>
      </c>
      <c r="J266" t="str">
        <f>INDEX(State!C:C,MATCH(OrdersTable[[#This Row],[State Code]],State!B:B,0))</f>
        <v>West</v>
      </c>
      <c r="K266" t="s">
        <v>38</v>
      </c>
      <c r="L266" t="s">
        <v>65</v>
      </c>
      <c r="M266" t="s">
        <v>87</v>
      </c>
      <c r="N266" t="str">
        <f>INDEX(Products!B:B,MATCH(OrdersTable[[#This Row],[Product ID]],Products!A:A,0))</f>
        <v>Linen Kurta</v>
      </c>
      <c r="O266" t="str">
        <f>INDEX(Products!C:C,MATCH(OrdersTable[[#This Row],[Product ID]],Products!A:A,0))</f>
        <v>Apparel</v>
      </c>
      <c r="P266">
        <v>3</v>
      </c>
      <c r="Q266" s="5">
        <v>1499</v>
      </c>
      <c r="R266" s="74">
        <v>0.4</v>
      </c>
      <c r="S266" s="75">
        <f>OrdersTable[[#This Row],[Quantity]]*OrdersTable[[#This Row],[Unit Price]]</f>
        <v>4497</v>
      </c>
      <c r="T266" s="5">
        <f>OrdersTable[[#This Row],[Gross Sale]]*OrdersTable[[#This Row],[Discount_Clean2]]</f>
        <v>1798.8000000000002</v>
      </c>
      <c r="U266" s="5">
        <f>OrdersTable[[#This Row],[Gross Sale]]-OrdersTable[[#This Row],[Discount Amount]]</f>
        <v>2698.2</v>
      </c>
      <c r="V266" s="77">
        <f>INDEX(Products!E:E,MATCH(OrdersTable[[#This Row],[Product ID]],Products!A:A,0))</f>
        <v>630</v>
      </c>
      <c r="W266" s="77">
        <f>OrdersTable[[#This Row],[Quantity]]*OrdersTable[[#This Row],[Unit Cost]]</f>
        <v>1890</v>
      </c>
      <c r="X266" s="77">
        <f>'Dropdown Lists'!$I$2*(1+OrdersTable[[#This Row],[Returned]])</f>
        <v>60</v>
      </c>
      <c r="Y266" s="76">
        <f>OrdersTable[[#This Row],[Net Revenue]]-OrdersTable[[#This Row],[COGS]]-OrdersTable[[#This Row],[Shipping Cost]]</f>
        <v>748.19999999999982</v>
      </c>
      <c r="Z266" s="78">
        <f>IFERROR(OrdersTable[[#This Row],[Profit]]/OrdersTable[[#This Row],[Net Revenue]],0)</f>
        <v>0.27729597509450737</v>
      </c>
      <c r="AA266" t="s">
        <v>18</v>
      </c>
      <c r="AB266" s="79">
        <v>45347</v>
      </c>
      <c r="AC266">
        <f>OrdersTable[[#This Row],[Delivery Date]]-OrdersTable[[#This Row],[Order Date]]</f>
        <v>3</v>
      </c>
      <c r="AD266" t="str">
        <f>IF(OrdersTable[[#This Row],[Delivery Days]]&lt;=2, "Express (≤2d)", IF(OrdersTable[[#This Row],[Delivery Days]]&lt;=4, "Standard (3-4d)", "Delayed (5d+)"))</f>
        <v>Standard (3-4d)</v>
      </c>
      <c r="AF266">
        <v>0</v>
      </c>
    </row>
    <row r="267" spans="1:32" ht="15" x14ac:dyDescent="0.35">
      <c r="A267" t="s">
        <v>5302</v>
      </c>
      <c r="B267" s="1">
        <v>45344</v>
      </c>
      <c r="C267">
        <f>YEAR(OrdersTable[[#This Row],[Order Date]])</f>
        <v>2024</v>
      </c>
      <c r="D267" s="2">
        <f>DATE(YEAR(OrdersTable[[#This Row],[Order Date]]),MONTH(OrdersTable[[#This Row],[Order Date]]),1)</f>
        <v>45323</v>
      </c>
      <c r="E267">
        <f>MONTH(OrdersTable[[#This Row],[Order Date]])</f>
        <v>2</v>
      </c>
      <c r="F267" t="s">
        <v>1739</v>
      </c>
      <c r="G267" t="str">
        <f>IF(OrdersTable[[#This Row],[Order Date]]=_xlfn.MINIFS(Order_Date, Customer_ID, OrdersTable[[#This Row],[Customer ID]]), "New", "Repeat")</f>
        <v>New</v>
      </c>
      <c r="H267" t="s">
        <v>37</v>
      </c>
      <c r="I267" t="str">
        <f>INDEX(State!B:B,MATCH(OrdersTable[[#This Row],[State]],State!A:A,0))</f>
        <v>GJ</v>
      </c>
      <c r="J267" t="str">
        <f>INDEX(State!C:C,MATCH(OrdersTable[[#This Row],[State Code]],State!B:B,0))</f>
        <v>West</v>
      </c>
      <c r="K267" t="s">
        <v>247</v>
      </c>
      <c r="L267" t="s">
        <v>16</v>
      </c>
      <c r="M267" t="s">
        <v>87</v>
      </c>
      <c r="N267" t="str">
        <f>INDEX(Products!B:B,MATCH(OrdersTable[[#This Row],[Product ID]],Products!A:A,0))</f>
        <v>Linen Kurta</v>
      </c>
      <c r="O267" t="str">
        <f>INDEX(Products!C:C,MATCH(OrdersTable[[#This Row],[Product ID]],Products!A:A,0))</f>
        <v>Apparel</v>
      </c>
      <c r="P267">
        <v>2</v>
      </c>
      <c r="Q267" s="5">
        <v>1499</v>
      </c>
      <c r="R267" s="74">
        <v>0.4</v>
      </c>
      <c r="S267" s="75">
        <f>OrdersTable[[#This Row],[Quantity]]*OrdersTable[[#This Row],[Unit Price]]</f>
        <v>2998</v>
      </c>
      <c r="T267" s="5">
        <f>OrdersTable[[#This Row],[Gross Sale]]*OrdersTable[[#This Row],[Discount_Clean2]]</f>
        <v>1199.2</v>
      </c>
      <c r="U267" s="5">
        <f>OrdersTable[[#This Row],[Gross Sale]]-OrdersTable[[#This Row],[Discount Amount]]</f>
        <v>1798.8</v>
      </c>
      <c r="V267" s="77">
        <f>INDEX(Products!E:E,MATCH(OrdersTable[[#This Row],[Product ID]],Products!A:A,0))</f>
        <v>630</v>
      </c>
      <c r="W267" s="77">
        <f>OrdersTable[[#This Row],[Quantity]]*OrdersTable[[#This Row],[Unit Cost]]</f>
        <v>1260</v>
      </c>
      <c r="X267" s="77">
        <f>'Dropdown Lists'!$I$2*(1+OrdersTable[[#This Row],[Returned]])</f>
        <v>60</v>
      </c>
      <c r="Y267" s="76">
        <f>OrdersTable[[#This Row],[Net Revenue]]-OrdersTable[[#This Row],[COGS]]-OrdersTable[[#This Row],[Shipping Cost]]</f>
        <v>478.79999999999995</v>
      </c>
      <c r="Z267" s="78">
        <f>IFERROR(OrdersTable[[#This Row],[Profit]]/OrdersTable[[#This Row],[Net Revenue]],0)</f>
        <v>0.26617745163442291</v>
      </c>
      <c r="AA267" t="s">
        <v>2522</v>
      </c>
      <c r="AB267" s="79">
        <v>45346</v>
      </c>
      <c r="AC267">
        <f>OrdersTable[[#This Row],[Delivery Date]]-OrdersTable[[#This Row],[Order Date]]</f>
        <v>2</v>
      </c>
      <c r="AD267" t="str">
        <f>IF(OrdersTable[[#This Row],[Delivery Days]]&lt;=2, "Express (≤2d)", IF(OrdersTable[[#This Row],[Delivery Days]]&lt;=4, "Standard (3-4d)", "Delayed (5d+)"))</f>
        <v>Express (≤2d)</v>
      </c>
      <c r="AE267">
        <v>3</v>
      </c>
      <c r="AF267">
        <v>0</v>
      </c>
    </row>
    <row r="268" spans="1:32" ht="15" x14ac:dyDescent="0.35">
      <c r="A268" t="s">
        <v>4903</v>
      </c>
      <c r="B268" s="1">
        <v>45344</v>
      </c>
      <c r="C268">
        <f>YEAR(OrdersTable[[#This Row],[Order Date]])</f>
        <v>2024</v>
      </c>
      <c r="D268" s="2">
        <f>DATE(YEAR(OrdersTable[[#This Row],[Order Date]]),MONTH(OrdersTable[[#This Row],[Order Date]]),1)</f>
        <v>45323</v>
      </c>
      <c r="E268">
        <f>MONTH(OrdersTable[[#This Row],[Order Date]])</f>
        <v>2</v>
      </c>
      <c r="F268" t="s">
        <v>1454</v>
      </c>
      <c r="G268" t="str">
        <f>IF(OrdersTable[[#This Row],[Order Date]]=_xlfn.MINIFS(Order_Date, Customer_ID, OrdersTable[[#This Row],[Customer ID]]), "New", "Repeat")</f>
        <v>New</v>
      </c>
      <c r="H268" t="s">
        <v>27</v>
      </c>
      <c r="I268" t="str">
        <f>INDEX(State!B:B,MATCH(OrdersTable[[#This Row],[State]],State!A:A,0))</f>
        <v>WB</v>
      </c>
      <c r="J268" t="str">
        <f>INDEX(State!C:C,MATCH(OrdersTable[[#This Row],[State Code]],State!B:B,0))</f>
        <v>East</v>
      </c>
      <c r="K268" t="s">
        <v>28</v>
      </c>
      <c r="L268" t="s">
        <v>50</v>
      </c>
      <c r="M268" t="s">
        <v>56</v>
      </c>
      <c r="N268" t="str">
        <f>INDEX(Products!B:B,MATCH(OrdersTable[[#This Row],[Product ID]],Products!A:A,0))</f>
        <v>Vitamin C Face Serum</v>
      </c>
      <c r="O268" t="str">
        <f>INDEX(Products!C:C,MATCH(OrdersTable[[#This Row],[Product ID]],Products!A:A,0))</f>
        <v>Skincare</v>
      </c>
      <c r="P268">
        <v>2</v>
      </c>
      <c r="Q268" s="5">
        <v>599</v>
      </c>
      <c r="R268" s="74">
        <v>0.15</v>
      </c>
      <c r="S268" s="75">
        <f>OrdersTable[[#This Row],[Quantity]]*OrdersTable[[#This Row],[Unit Price]]</f>
        <v>1198</v>
      </c>
      <c r="T268" s="5">
        <f>OrdersTable[[#This Row],[Gross Sale]]*OrdersTable[[#This Row],[Discount_Clean2]]</f>
        <v>179.7</v>
      </c>
      <c r="U268" s="5">
        <f>OrdersTable[[#This Row],[Gross Sale]]-OrdersTable[[#This Row],[Discount Amount]]</f>
        <v>1018.3</v>
      </c>
      <c r="V268" s="77">
        <f>INDEX(Products!E:E,MATCH(OrdersTable[[#This Row],[Product ID]],Products!A:A,0))</f>
        <v>180</v>
      </c>
      <c r="W268" s="77">
        <f>OrdersTable[[#This Row],[Quantity]]*OrdersTable[[#This Row],[Unit Cost]]</f>
        <v>360</v>
      </c>
      <c r="X268" s="77">
        <f>'Dropdown Lists'!$I$2*(1+OrdersTable[[#This Row],[Returned]])</f>
        <v>60</v>
      </c>
      <c r="Y268" s="76">
        <f>OrdersTable[[#This Row],[Net Revenue]]-OrdersTable[[#This Row],[COGS]]-OrdersTable[[#This Row],[Shipping Cost]]</f>
        <v>598.29999999999995</v>
      </c>
      <c r="Z268" s="78">
        <f>IFERROR(OrdersTable[[#This Row],[Profit]]/OrdersTable[[#This Row],[Net Revenue]],0)</f>
        <v>0.58754787390749286</v>
      </c>
      <c r="AA268" t="s">
        <v>4074</v>
      </c>
      <c r="AB268" s="79">
        <v>45345</v>
      </c>
      <c r="AC268">
        <f>OrdersTable[[#This Row],[Delivery Date]]-OrdersTable[[#This Row],[Order Date]]</f>
        <v>1</v>
      </c>
      <c r="AD268" t="str">
        <f>IF(OrdersTable[[#This Row],[Delivery Days]]&lt;=2, "Express (≤2d)", IF(OrdersTable[[#This Row],[Delivery Days]]&lt;=4, "Standard (3-4d)", "Delayed (5d+)"))</f>
        <v>Express (≤2d)</v>
      </c>
      <c r="AE268">
        <v>5</v>
      </c>
      <c r="AF268">
        <v>0</v>
      </c>
    </row>
    <row r="269" spans="1:32" ht="15" x14ac:dyDescent="0.35">
      <c r="A269" t="s">
        <v>6468</v>
      </c>
      <c r="B269" s="1">
        <v>45345</v>
      </c>
      <c r="C269">
        <f>YEAR(OrdersTable[[#This Row],[Order Date]])</f>
        <v>2024</v>
      </c>
      <c r="D269" s="2">
        <f>DATE(YEAR(OrdersTable[[#This Row],[Order Date]]),MONTH(OrdersTable[[#This Row],[Order Date]]),1)</f>
        <v>45323</v>
      </c>
      <c r="E269">
        <f>MONTH(OrdersTable[[#This Row],[Order Date]])</f>
        <v>2</v>
      </c>
      <c r="F269" t="s">
        <v>600</v>
      </c>
      <c r="G269" t="str">
        <f>IF(OrdersTable[[#This Row],[Order Date]]=_xlfn.MINIFS(Order_Date, Customer_ID, OrdersTable[[#This Row],[Customer ID]]), "New", "Repeat")</f>
        <v>New</v>
      </c>
      <c r="H269" t="s">
        <v>128</v>
      </c>
      <c r="I269" t="str">
        <f>INDEX(State!B:B,MATCH(OrdersTable[[#This Row],[State]],State!A:A,0))</f>
        <v>DL</v>
      </c>
      <c r="J269" t="str">
        <f>INDEX(State!C:C,MATCH(OrdersTable[[#This Row],[State Code]],State!B:B,0))</f>
        <v>North</v>
      </c>
      <c r="K269" t="s">
        <v>129</v>
      </c>
      <c r="L269" t="s">
        <v>23</v>
      </c>
      <c r="M269" t="s">
        <v>66</v>
      </c>
      <c r="N269" t="str">
        <f>INDEX(Products!B:B,MATCH(OrdersTable[[#This Row],[Product ID]],Products!A:A,0))</f>
        <v>Sunscreen SPF 50</v>
      </c>
      <c r="O269" t="str">
        <f>INDEX(Products!C:C,MATCH(OrdersTable[[#This Row],[Product ID]],Products!A:A,0))</f>
        <v>Skincare</v>
      </c>
      <c r="P269">
        <v>3</v>
      </c>
      <c r="Q269" s="5">
        <v>449</v>
      </c>
      <c r="R269" s="74">
        <v>0.1</v>
      </c>
      <c r="S269" s="75">
        <f>OrdersTable[[#This Row],[Quantity]]*OrdersTable[[#This Row],[Unit Price]]</f>
        <v>1347</v>
      </c>
      <c r="T269" s="5">
        <f>OrdersTable[[#This Row],[Gross Sale]]*OrdersTable[[#This Row],[Discount_Clean2]]</f>
        <v>134.70000000000002</v>
      </c>
      <c r="U269" s="5">
        <f>OrdersTable[[#This Row],[Gross Sale]]-OrdersTable[[#This Row],[Discount Amount]]</f>
        <v>1212.3</v>
      </c>
      <c r="V269" s="77">
        <f>INDEX(Products!E:E,MATCH(OrdersTable[[#This Row],[Product ID]],Products!A:A,0))</f>
        <v>144</v>
      </c>
      <c r="W269" s="77">
        <f>OrdersTable[[#This Row],[Quantity]]*OrdersTable[[#This Row],[Unit Cost]]</f>
        <v>432</v>
      </c>
      <c r="X269" s="77">
        <f>'Dropdown Lists'!$I$2*(1+OrdersTable[[#This Row],[Returned]])</f>
        <v>60</v>
      </c>
      <c r="Y269" s="76">
        <f>OrdersTable[[#This Row],[Net Revenue]]-OrdersTable[[#This Row],[COGS]]-OrdersTable[[#This Row],[Shipping Cost]]</f>
        <v>720.3</v>
      </c>
      <c r="Z269" s="78">
        <f>IFERROR(OrdersTable[[#This Row],[Profit]]/OrdersTable[[#This Row],[Net Revenue]],0)</f>
        <v>0.59415986142044042</v>
      </c>
      <c r="AA269" t="s">
        <v>18</v>
      </c>
      <c r="AB269" s="79">
        <v>45347</v>
      </c>
      <c r="AC269">
        <f>OrdersTable[[#This Row],[Delivery Date]]-OrdersTable[[#This Row],[Order Date]]</f>
        <v>2</v>
      </c>
      <c r="AD269" t="str">
        <f>IF(OrdersTable[[#This Row],[Delivery Days]]&lt;=2, "Express (≤2d)", IF(OrdersTable[[#This Row],[Delivery Days]]&lt;=4, "Standard (3-4d)", "Delayed (5d+)"))</f>
        <v>Express (≤2d)</v>
      </c>
      <c r="AE269">
        <v>5</v>
      </c>
      <c r="AF269">
        <v>0</v>
      </c>
    </row>
    <row r="270" spans="1:32" ht="15" x14ac:dyDescent="0.35">
      <c r="A270" t="s">
        <v>6469</v>
      </c>
      <c r="B270" s="1">
        <v>45345</v>
      </c>
      <c r="C270">
        <f>YEAR(OrdersTable[[#This Row],[Order Date]])</f>
        <v>2024</v>
      </c>
      <c r="D270" s="2">
        <f>DATE(YEAR(OrdersTable[[#This Row],[Order Date]]),MONTH(OrdersTable[[#This Row],[Order Date]]),1)</f>
        <v>45323</v>
      </c>
      <c r="E270">
        <f>MONTH(OrdersTable[[#This Row],[Order Date]])</f>
        <v>2</v>
      </c>
      <c r="F270" t="s">
        <v>2304</v>
      </c>
      <c r="G270" t="str">
        <f>IF(OrdersTable[[#This Row],[Order Date]]=_xlfn.MINIFS(Order_Date, Customer_ID, OrdersTable[[#This Row],[Customer ID]]), "New", "Repeat")</f>
        <v>New</v>
      </c>
      <c r="H270" t="s">
        <v>27</v>
      </c>
      <c r="I270" t="str">
        <f>INDEX(State!B:B,MATCH(OrdersTable[[#This Row],[State]],State!A:A,0))</f>
        <v>WB</v>
      </c>
      <c r="J270" t="str">
        <f>INDEX(State!C:C,MATCH(OrdersTable[[#This Row],[State Code]],State!B:B,0))</f>
        <v>East</v>
      </c>
      <c r="K270" t="s">
        <v>28</v>
      </c>
      <c r="L270" t="s">
        <v>65</v>
      </c>
      <c r="M270" t="s">
        <v>73</v>
      </c>
      <c r="N270" t="str">
        <f>INDEX(Products!B:B,MATCH(OrdersTable[[#This Row],[Product ID]],Products!A:A,0))</f>
        <v>Hydrating Face Wash</v>
      </c>
      <c r="O270" t="str">
        <f>INDEX(Products!C:C,MATCH(OrdersTable[[#This Row],[Product ID]],Products!A:A,0))</f>
        <v>Skincare</v>
      </c>
      <c r="P270">
        <v>3</v>
      </c>
      <c r="Q270" s="5">
        <v>299</v>
      </c>
      <c r="R270" s="74">
        <v>0</v>
      </c>
      <c r="S270" s="75">
        <f>OrdersTable[[#This Row],[Quantity]]*OrdersTable[[#This Row],[Unit Price]]</f>
        <v>897</v>
      </c>
      <c r="T270" s="5">
        <f>OrdersTable[[#This Row],[Gross Sale]]*OrdersTable[[#This Row],[Discount_Clean2]]</f>
        <v>0</v>
      </c>
      <c r="U270" s="5">
        <f>OrdersTable[[#This Row],[Gross Sale]]-OrdersTable[[#This Row],[Discount Amount]]</f>
        <v>897</v>
      </c>
      <c r="V270" s="77">
        <f>INDEX(Products!E:E,MATCH(OrdersTable[[#This Row],[Product ID]],Products!A:A,0))</f>
        <v>90</v>
      </c>
      <c r="W270" s="77">
        <f>OrdersTable[[#This Row],[Quantity]]*OrdersTable[[#This Row],[Unit Cost]]</f>
        <v>270</v>
      </c>
      <c r="X270" s="77">
        <f>'Dropdown Lists'!$I$2*(1+OrdersTable[[#This Row],[Returned]])</f>
        <v>60</v>
      </c>
      <c r="Y270" s="76">
        <f>OrdersTable[[#This Row],[Net Revenue]]-OrdersTable[[#This Row],[COGS]]-OrdersTable[[#This Row],[Shipping Cost]]</f>
        <v>567</v>
      </c>
      <c r="Z270" s="78">
        <f>IFERROR(OrdersTable[[#This Row],[Profit]]/OrdersTable[[#This Row],[Net Revenue]],0)</f>
        <v>0.63210702341137126</v>
      </c>
      <c r="AA270" t="s">
        <v>18</v>
      </c>
      <c r="AB270" s="79">
        <v>45347</v>
      </c>
      <c r="AC270">
        <f>OrdersTable[[#This Row],[Delivery Date]]-OrdersTable[[#This Row],[Order Date]]</f>
        <v>2</v>
      </c>
      <c r="AD270" t="str">
        <f>IF(OrdersTable[[#This Row],[Delivery Days]]&lt;=2, "Express (≤2d)", IF(OrdersTable[[#This Row],[Delivery Days]]&lt;=4, "Standard (3-4d)", "Delayed (5d+)"))</f>
        <v>Express (≤2d)</v>
      </c>
      <c r="AE270">
        <v>5</v>
      </c>
      <c r="AF270">
        <v>0</v>
      </c>
    </row>
    <row r="271" spans="1:32" ht="15" x14ac:dyDescent="0.35">
      <c r="A271" t="s">
        <v>5854</v>
      </c>
      <c r="B271" s="1">
        <v>45345</v>
      </c>
      <c r="C271">
        <f>YEAR(OrdersTable[[#This Row],[Order Date]])</f>
        <v>2024</v>
      </c>
      <c r="D271" s="2">
        <f>DATE(YEAR(OrdersTable[[#This Row],[Order Date]]),MONTH(OrdersTable[[#This Row],[Order Date]]),1)</f>
        <v>45323</v>
      </c>
      <c r="E271">
        <f>MONTH(OrdersTable[[#This Row],[Order Date]])</f>
        <v>2</v>
      </c>
      <c r="F271" t="s">
        <v>5855</v>
      </c>
      <c r="G271" t="str">
        <f>IF(OrdersTable[[#This Row],[Order Date]]=_xlfn.MINIFS(Order_Date, Customer_ID, OrdersTable[[#This Row],[Customer ID]]), "New", "Repeat")</f>
        <v>New</v>
      </c>
      <c r="H271" t="s">
        <v>275</v>
      </c>
      <c r="I271" t="str">
        <f>INDEX(State!B:B,MATCH(OrdersTable[[#This Row],[State]],State!A:A,0))</f>
        <v>AP</v>
      </c>
      <c r="J271" t="str">
        <f>INDEX(State!C:C,MATCH(OrdersTable[[#This Row],[State Code]],State!B:B,0))</f>
        <v>South</v>
      </c>
      <c r="K271" t="s">
        <v>276</v>
      </c>
      <c r="L271" t="s">
        <v>65</v>
      </c>
      <c r="M271" t="s">
        <v>255</v>
      </c>
      <c r="N271" t="str">
        <f>INDEX(Products!B:B,MATCH(OrdersTable[[#This Row],[Product ID]],Products!A:A,0))</f>
        <v>Cotton Oversized T-Shirt</v>
      </c>
      <c r="O271" t="str">
        <f>INDEX(Products!C:C,MATCH(OrdersTable[[#This Row],[Product ID]],Products!A:A,0))</f>
        <v>Apparel</v>
      </c>
      <c r="P271">
        <v>2</v>
      </c>
      <c r="Q271" s="5">
        <v>799</v>
      </c>
      <c r="R271" s="74">
        <v>0.1</v>
      </c>
      <c r="S271" s="75">
        <f>OrdersTable[[#This Row],[Quantity]]*OrdersTable[[#This Row],[Unit Price]]</f>
        <v>1598</v>
      </c>
      <c r="T271" s="5">
        <f>OrdersTable[[#This Row],[Gross Sale]]*OrdersTable[[#This Row],[Discount_Clean2]]</f>
        <v>159.80000000000001</v>
      </c>
      <c r="U271" s="5">
        <f>OrdersTable[[#This Row],[Gross Sale]]-OrdersTable[[#This Row],[Discount Amount]]</f>
        <v>1438.2</v>
      </c>
      <c r="V271" s="77">
        <f>INDEX(Products!E:E,MATCH(OrdersTable[[#This Row],[Product ID]],Products!A:A,0))</f>
        <v>320</v>
      </c>
      <c r="W271" s="77">
        <f>OrdersTable[[#This Row],[Quantity]]*OrdersTable[[#This Row],[Unit Cost]]</f>
        <v>640</v>
      </c>
      <c r="X271" s="77">
        <f>'Dropdown Lists'!$I$2*(1+OrdersTable[[#This Row],[Returned]])</f>
        <v>60</v>
      </c>
      <c r="Y271" s="76">
        <f>OrdersTable[[#This Row],[Net Revenue]]-OrdersTable[[#This Row],[COGS]]-OrdersTable[[#This Row],[Shipping Cost]]</f>
        <v>738.2</v>
      </c>
      <c r="Z271" s="78">
        <f>IFERROR(OrdersTable[[#This Row],[Profit]]/OrdersTable[[#This Row],[Net Revenue]],0)</f>
        <v>0.51328048950076488</v>
      </c>
      <c r="AA271" t="s">
        <v>18</v>
      </c>
      <c r="AB271" s="79">
        <v>45347</v>
      </c>
      <c r="AC271">
        <f>OrdersTable[[#This Row],[Delivery Date]]-OrdersTable[[#This Row],[Order Date]]</f>
        <v>2</v>
      </c>
      <c r="AD271" t="str">
        <f>IF(OrdersTable[[#This Row],[Delivery Days]]&lt;=2, "Express (≤2d)", IF(OrdersTable[[#This Row],[Delivery Days]]&lt;=4, "Standard (3-4d)", "Delayed (5d+)"))</f>
        <v>Express (≤2d)</v>
      </c>
      <c r="AF271">
        <v>0</v>
      </c>
    </row>
    <row r="272" spans="1:32" ht="15" x14ac:dyDescent="0.35">
      <c r="A272" t="s">
        <v>5068</v>
      </c>
      <c r="B272" s="1">
        <v>45345</v>
      </c>
      <c r="C272">
        <f>YEAR(OrdersTable[[#This Row],[Order Date]])</f>
        <v>2024</v>
      </c>
      <c r="D272" s="2">
        <f>DATE(YEAR(OrdersTable[[#This Row],[Order Date]]),MONTH(OrdersTable[[#This Row],[Order Date]]),1)</f>
        <v>45323</v>
      </c>
      <c r="E272">
        <f>MONTH(OrdersTable[[#This Row],[Order Date]])</f>
        <v>2</v>
      </c>
      <c r="F272" t="s">
        <v>94</v>
      </c>
      <c r="G272" t="str">
        <f>IF(OrdersTable[[#This Row],[Order Date]]=_xlfn.MINIFS(Order_Date, Customer_ID, OrdersTable[[#This Row],[Customer ID]]), "New", "Repeat")</f>
        <v>Repeat</v>
      </c>
      <c r="H272" t="s">
        <v>59</v>
      </c>
      <c r="I272" t="str">
        <f>INDEX(State!B:B,MATCH(OrdersTable[[#This Row],[State]],State!A:A,0))</f>
        <v>TN</v>
      </c>
      <c r="J272" t="str">
        <f>INDEX(State!C:C,MATCH(OrdersTable[[#This Row],[State Code]],State!B:B,0))</f>
        <v>South</v>
      </c>
      <c r="K272" t="s">
        <v>64</v>
      </c>
      <c r="L272" t="s">
        <v>23</v>
      </c>
      <c r="M272" t="s">
        <v>34</v>
      </c>
      <c r="N272" t="str">
        <f>INDEX(Products!B:B,MATCH(OrdersTable[[#This Row],[Product ID]],Products!A:A,0))</f>
        <v>Flip Flops</v>
      </c>
      <c r="O272" t="str">
        <f>INDEX(Products!C:C,MATCH(OrdersTable[[#This Row],[Product ID]],Products!A:A,0))</f>
        <v>Footwear</v>
      </c>
      <c r="P272">
        <v>2</v>
      </c>
      <c r="Q272" s="5">
        <v>399</v>
      </c>
      <c r="R272" s="74">
        <v>0.1</v>
      </c>
      <c r="S272" s="75">
        <f>OrdersTable[[#This Row],[Quantity]]*OrdersTable[[#This Row],[Unit Price]]</f>
        <v>798</v>
      </c>
      <c r="T272" s="5">
        <f>OrdersTable[[#This Row],[Gross Sale]]*OrdersTable[[#This Row],[Discount_Clean2]]</f>
        <v>79.800000000000011</v>
      </c>
      <c r="U272" s="5">
        <f>OrdersTable[[#This Row],[Gross Sale]]-OrdersTable[[#This Row],[Discount Amount]]</f>
        <v>718.2</v>
      </c>
      <c r="V272" s="77">
        <f>INDEX(Products!E:E,MATCH(OrdersTable[[#This Row],[Product ID]],Products!A:A,0))</f>
        <v>152</v>
      </c>
      <c r="W272" s="77">
        <f>OrdersTable[[#This Row],[Quantity]]*OrdersTable[[#This Row],[Unit Cost]]</f>
        <v>304</v>
      </c>
      <c r="X272" s="77">
        <f>'Dropdown Lists'!$I$2*(1+OrdersTable[[#This Row],[Returned]])</f>
        <v>60</v>
      </c>
      <c r="Y272" s="76">
        <f>OrdersTable[[#This Row],[Net Revenue]]-OrdersTable[[#This Row],[COGS]]-OrdersTable[[#This Row],[Shipping Cost]]</f>
        <v>354.20000000000005</v>
      </c>
      <c r="Z272" s="78">
        <f>IFERROR(OrdersTable[[#This Row],[Profit]]/OrdersTable[[#This Row],[Net Revenue]],0)</f>
        <v>0.49317738791423005</v>
      </c>
      <c r="AA272" t="s">
        <v>3495</v>
      </c>
      <c r="AB272" s="79">
        <v>45348</v>
      </c>
      <c r="AC272">
        <f>OrdersTable[[#This Row],[Delivery Date]]-OrdersTable[[#This Row],[Order Date]]</f>
        <v>3</v>
      </c>
      <c r="AD272" t="str">
        <f>IF(OrdersTable[[#This Row],[Delivery Days]]&lt;=2, "Express (≤2d)", IF(OrdersTable[[#This Row],[Delivery Days]]&lt;=4, "Standard (3-4d)", "Delayed (5d+)"))</f>
        <v>Standard (3-4d)</v>
      </c>
      <c r="AE272">
        <v>4</v>
      </c>
      <c r="AF272">
        <v>0</v>
      </c>
    </row>
    <row r="273" spans="1:32" ht="15" x14ac:dyDescent="0.35">
      <c r="A273" t="s">
        <v>3849</v>
      </c>
      <c r="B273" s="1">
        <v>45346</v>
      </c>
      <c r="C273">
        <f>YEAR(OrdersTable[[#This Row],[Order Date]])</f>
        <v>2024</v>
      </c>
      <c r="D273" s="2">
        <f>DATE(YEAR(OrdersTable[[#This Row],[Order Date]]),MONTH(OrdersTable[[#This Row],[Order Date]]),1)</f>
        <v>45323</v>
      </c>
      <c r="E273">
        <f>MONTH(OrdersTable[[#This Row],[Order Date]])</f>
        <v>2</v>
      </c>
      <c r="F273" t="s">
        <v>686</v>
      </c>
      <c r="G273" t="str">
        <f>IF(OrdersTable[[#This Row],[Order Date]]=_xlfn.MINIFS(Order_Date, Customer_ID, OrdersTable[[#This Row],[Customer ID]]), "New", "Repeat")</f>
        <v>Repeat</v>
      </c>
      <c r="H273" t="s">
        <v>27</v>
      </c>
      <c r="I273" t="str">
        <f>INDEX(State!B:B,MATCH(OrdersTable[[#This Row],[State]],State!A:A,0))</f>
        <v>WB</v>
      </c>
      <c r="J273" t="str">
        <f>INDEX(State!C:C,MATCH(OrdersTable[[#This Row],[State Code]],State!B:B,0))</f>
        <v>East</v>
      </c>
      <c r="K273" t="s">
        <v>28</v>
      </c>
      <c r="L273" t="s">
        <v>23</v>
      </c>
      <c r="M273" t="s">
        <v>176</v>
      </c>
      <c r="N273" t="str">
        <f>INDEX(Products!B:B,MATCH(OrdersTable[[#This Row],[Product ID]],Products!A:A,0))</f>
        <v>Denim Jacket</v>
      </c>
      <c r="O273" t="str">
        <f>INDEX(Products!C:C,MATCH(OrdersTable[[#This Row],[Product ID]],Products!A:A,0))</f>
        <v>Apparel</v>
      </c>
      <c r="P273">
        <v>1</v>
      </c>
      <c r="Q273" s="5">
        <v>2499</v>
      </c>
      <c r="R273" s="74">
        <v>0</v>
      </c>
      <c r="S273" s="75">
        <f>OrdersTable[[#This Row],[Quantity]]*OrdersTable[[#This Row],[Unit Price]]</f>
        <v>2499</v>
      </c>
      <c r="T273" s="5">
        <f>OrdersTable[[#This Row],[Gross Sale]]*OrdersTable[[#This Row],[Discount_Clean2]]</f>
        <v>0</v>
      </c>
      <c r="U273" s="5">
        <f>OrdersTable[[#This Row],[Gross Sale]]-OrdersTable[[#This Row],[Discount Amount]]</f>
        <v>2499</v>
      </c>
      <c r="V273" s="77">
        <f>INDEX(Products!E:E,MATCH(OrdersTable[[#This Row],[Product ID]],Products!A:A,0))</f>
        <v>1125</v>
      </c>
      <c r="W273" s="77">
        <f>OrdersTable[[#This Row],[Quantity]]*OrdersTable[[#This Row],[Unit Cost]]</f>
        <v>1125</v>
      </c>
      <c r="X273" s="77">
        <f>'Dropdown Lists'!$I$2*(1+OrdersTable[[#This Row],[Returned]])</f>
        <v>60</v>
      </c>
      <c r="Y273" s="76">
        <f>OrdersTable[[#This Row],[Net Revenue]]-OrdersTable[[#This Row],[COGS]]-OrdersTable[[#This Row],[Shipping Cost]]</f>
        <v>1314</v>
      </c>
      <c r="Z273" s="78">
        <f>IFERROR(OrdersTable[[#This Row],[Profit]]/OrdersTable[[#This Row],[Net Revenue]],0)</f>
        <v>0.5258103241296519</v>
      </c>
      <c r="AA273" t="s">
        <v>3495</v>
      </c>
      <c r="AB273" s="79">
        <v>45351</v>
      </c>
      <c r="AC273">
        <f>OrdersTable[[#This Row],[Delivery Date]]-OrdersTable[[#This Row],[Order Date]]</f>
        <v>5</v>
      </c>
      <c r="AD273" t="str">
        <f>IF(OrdersTable[[#This Row],[Delivery Days]]&lt;=2, "Express (≤2d)", IF(OrdersTable[[#This Row],[Delivery Days]]&lt;=4, "Standard (3-4d)", "Delayed (5d+)"))</f>
        <v>Delayed (5d+)</v>
      </c>
      <c r="AE273">
        <v>3</v>
      </c>
      <c r="AF273">
        <v>0</v>
      </c>
    </row>
    <row r="274" spans="1:32" ht="15" x14ac:dyDescent="0.35">
      <c r="A274" t="s">
        <v>5656</v>
      </c>
      <c r="B274" s="1">
        <v>45347</v>
      </c>
      <c r="C274">
        <f>YEAR(OrdersTable[[#This Row],[Order Date]])</f>
        <v>2024</v>
      </c>
      <c r="D274" s="2">
        <f>DATE(YEAR(OrdersTable[[#This Row],[Order Date]]),MONTH(OrdersTable[[#This Row],[Order Date]]),1)</f>
        <v>45323</v>
      </c>
      <c r="E274">
        <f>MONTH(OrdersTable[[#This Row],[Order Date]])</f>
        <v>2</v>
      </c>
      <c r="F274" t="s">
        <v>5657</v>
      </c>
      <c r="G274" t="str">
        <f>IF(OrdersTable[[#This Row],[Order Date]]=_xlfn.MINIFS(Order_Date, Customer_ID, OrdersTable[[#This Row],[Customer ID]]), "New", "Repeat")</f>
        <v>New</v>
      </c>
      <c r="H274" t="s">
        <v>21</v>
      </c>
      <c r="I274" t="str">
        <f>INDEX(State!B:B,MATCH(OrdersTable[[#This Row],[State]],State!A:A,0))</f>
        <v>PB</v>
      </c>
      <c r="J274" t="str">
        <f>INDEX(State!C:C,MATCH(OrdersTable[[#This Row],[State Code]],State!B:B,0))</f>
        <v>North</v>
      </c>
      <c r="K274" t="s">
        <v>22</v>
      </c>
      <c r="L274" t="s">
        <v>16</v>
      </c>
      <c r="M274" t="s">
        <v>87</v>
      </c>
      <c r="N274" t="str">
        <f>INDEX(Products!B:B,MATCH(OrdersTable[[#This Row],[Product ID]],Products!A:A,0))</f>
        <v>Linen Kurta</v>
      </c>
      <c r="O274" t="str">
        <f>INDEX(Products!C:C,MATCH(OrdersTable[[#This Row],[Product ID]],Products!A:A,0))</f>
        <v>Apparel</v>
      </c>
      <c r="P274">
        <v>2</v>
      </c>
      <c r="Q274" s="5">
        <v>1499</v>
      </c>
      <c r="R274" s="74">
        <v>0.3</v>
      </c>
      <c r="S274" s="75">
        <f>OrdersTable[[#This Row],[Quantity]]*OrdersTable[[#This Row],[Unit Price]]</f>
        <v>2998</v>
      </c>
      <c r="T274" s="5">
        <f>OrdersTable[[#This Row],[Gross Sale]]*OrdersTable[[#This Row],[Discount_Clean2]]</f>
        <v>899.4</v>
      </c>
      <c r="U274" s="5">
        <f>OrdersTable[[#This Row],[Gross Sale]]-OrdersTable[[#This Row],[Discount Amount]]</f>
        <v>2098.6</v>
      </c>
      <c r="V274" s="77">
        <f>INDEX(Products!E:E,MATCH(OrdersTable[[#This Row],[Product ID]],Products!A:A,0))</f>
        <v>630</v>
      </c>
      <c r="W274" s="77">
        <f>OrdersTable[[#This Row],[Quantity]]*OrdersTable[[#This Row],[Unit Cost]]</f>
        <v>1260</v>
      </c>
      <c r="X274" s="77">
        <f>'Dropdown Lists'!$I$2*(1+OrdersTable[[#This Row],[Returned]])</f>
        <v>60</v>
      </c>
      <c r="Y274" s="76">
        <f>OrdersTable[[#This Row],[Net Revenue]]-OrdersTable[[#This Row],[COGS]]-OrdersTable[[#This Row],[Shipping Cost]]</f>
        <v>778.59999999999991</v>
      </c>
      <c r="Z274" s="78">
        <f>IFERROR(OrdersTable[[#This Row],[Profit]]/OrdersTable[[#This Row],[Net Revenue]],0)</f>
        <v>0.3710092442580768</v>
      </c>
      <c r="AA274" t="s">
        <v>18</v>
      </c>
      <c r="AB274" s="79">
        <v>45350</v>
      </c>
      <c r="AC274">
        <f>OrdersTable[[#This Row],[Delivery Date]]-OrdersTable[[#This Row],[Order Date]]</f>
        <v>3</v>
      </c>
      <c r="AD274" t="str">
        <f>IF(OrdersTable[[#This Row],[Delivery Days]]&lt;=2, "Express (≤2d)", IF(OrdersTable[[#This Row],[Delivery Days]]&lt;=4, "Standard (3-4d)", "Delayed (5d+)"))</f>
        <v>Standard (3-4d)</v>
      </c>
      <c r="AE274">
        <v>3</v>
      </c>
      <c r="AF274">
        <v>0</v>
      </c>
    </row>
    <row r="275" spans="1:32" ht="15" x14ac:dyDescent="0.35">
      <c r="A275" t="s">
        <v>3505</v>
      </c>
      <c r="B275" s="1">
        <v>45347</v>
      </c>
      <c r="C275">
        <f>YEAR(OrdersTable[[#This Row],[Order Date]])</f>
        <v>2024</v>
      </c>
      <c r="D275" s="2">
        <f>DATE(YEAR(OrdersTable[[#This Row],[Order Date]]),MONTH(OrdersTable[[#This Row],[Order Date]]),1)</f>
        <v>45323</v>
      </c>
      <c r="E275">
        <f>MONTH(OrdersTable[[#This Row],[Order Date]])</f>
        <v>2</v>
      </c>
      <c r="F275" t="s">
        <v>3506</v>
      </c>
      <c r="G275" t="str">
        <f>IF(OrdersTable[[#This Row],[Order Date]]=_xlfn.MINIFS(Order_Date, Customer_ID, OrdersTable[[#This Row],[Customer ID]]), "New", "Repeat")</f>
        <v>New</v>
      </c>
      <c r="H275" t="s">
        <v>48</v>
      </c>
      <c r="I275" t="str">
        <f>INDEX(State!B:B,MATCH(OrdersTable[[#This Row],[State]],State!A:A,0))</f>
        <v>HR</v>
      </c>
      <c r="J275" t="str">
        <f>INDEX(State!C:C,MATCH(OrdersTable[[#This Row],[State Code]],State!B:B,0))</f>
        <v>North</v>
      </c>
      <c r="K275" t="s">
        <v>49</v>
      </c>
      <c r="L275" t="s">
        <v>39</v>
      </c>
      <c r="M275" t="s">
        <v>61</v>
      </c>
      <c r="N275" t="str">
        <f>INDEX(Products!B:B,MATCH(OrdersTable[[#This Row],[Product ID]],Products!A:A,0))</f>
        <v>Multivitamin Gummies</v>
      </c>
      <c r="O275" t="str">
        <f>INDEX(Products!C:C,MATCH(OrdersTable[[#This Row],[Product ID]],Products!A:A,0))</f>
        <v>Wellness</v>
      </c>
      <c r="P275">
        <v>1</v>
      </c>
      <c r="Q275" s="5">
        <v>699</v>
      </c>
      <c r="R275" s="74">
        <v>0.15</v>
      </c>
      <c r="S275" s="75">
        <f>OrdersTable[[#This Row],[Quantity]]*OrdersTable[[#This Row],[Unit Price]]</f>
        <v>699</v>
      </c>
      <c r="T275" s="5">
        <f>OrdersTable[[#This Row],[Gross Sale]]*OrdersTable[[#This Row],[Discount_Clean2]]</f>
        <v>104.85</v>
      </c>
      <c r="U275" s="5">
        <f>OrdersTable[[#This Row],[Gross Sale]]-OrdersTable[[#This Row],[Discount Amount]]</f>
        <v>594.15</v>
      </c>
      <c r="V275" s="77">
        <f>INDEX(Products!E:E,MATCH(OrdersTable[[#This Row],[Product ID]],Products!A:A,0))</f>
        <v>238</v>
      </c>
      <c r="W275" s="77">
        <f>OrdersTable[[#This Row],[Quantity]]*OrdersTable[[#This Row],[Unit Cost]]</f>
        <v>238</v>
      </c>
      <c r="X275" s="77">
        <f>'Dropdown Lists'!$I$2*(1+OrdersTable[[#This Row],[Returned]])</f>
        <v>60</v>
      </c>
      <c r="Y275" s="76">
        <f>OrdersTable[[#This Row],[Net Revenue]]-OrdersTable[[#This Row],[COGS]]-OrdersTable[[#This Row],[Shipping Cost]]</f>
        <v>296.14999999999998</v>
      </c>
      <c r="Z275" s="78">
        <f>IFERROR(OrdersTable[[#This Row],[Profit]]/OrdersTable[[#This Row],[Net Revenue]],0)</f>
        <v>0.49844315408566858</v>
      </c>
      <c r="AA275" t="s">
        <v>3495</v>
      </c>
      <c r="AB275" s="79">
        <v>45350</v>
      </c>
      <c r="AC275">
        <f>OrdersTable[[#This Row],[Delivery Date]]-OrdersTable[[#This Row],[Order Date]]</f>
        <v>3</v>
      </c>
      <c r="AD275" t="str">
        <f>IF(OrdersTable[[#This Row],[Delivery Days]]&lt;=2, "Express (≤2d)", IF(OrdersTable[[#This Row],[Delivery Days]]&lt;=4, "Standard (3-4d)", "Delayed (5d+)"))</f>
        <v>Standard (3-4d)</v>
      </c>
      <c r="AE275">
        <v>4</v>
      </c>
      <c r="AF275">
        <v>0</v>
      </c>
    </row>
    <row r="276" spans="1:32" ht="15" x14ac:dyDescent="0.35">
      <c r="A276" t="s">
        <v>6257</v>
      </c>
      <c r="B276" s="1">
        <v>45348</v>
      </c>
      <c r="C276">
        <f>YEAR(OrdersTable[[#This Row],[Order Date]])</f>
        <v>2024</v>
      </c>
      <c r="D276" s="2">
        <f>DATE(YEAR(OrdersTable[[#This Row],[Order Date]]),MONTH(OrdersTable[[#This Row],[Order Date]]),1)</f>
        <v>45323</v>
      </c>
      <c r="E276">
        <f>MONTH(OrdersTable[[#This Row],[Order Date]])</f>
        <v>2</v>
      </c>
      <c r="F276" t="s">
        <v>1332</v>
      </c>
      <c r="G276" t="str">
        <f>IF(OrdersTable[[#This Row],[Order Date]]=_xlfn.MINIFS(Order_Date, Customer_ID, OrdersTable[[#This Row],[Customer ID]]), "New", "Repeat")</f>
        <v>Repeat</v>
      </c>
      <c r="H276" t="s">
        <v>48</v>
      </c>
      <c r="I276" t="str">
        <f>INDEX(State!B:B,MATCH(OrdersTable[[#This Row],[State]],State!A:A,0))</f>
        <v>HR</v>
      </c>
      <c r="J276" t="str">
        <f>INDEX(State!C:C,MATCH(OrdersTable[[#This Row],[State Code]],State!B:B,0))</f>
        <v>North</v>
      </c>
      <c r="K276" t="s">
        <v>49</v>
      </c>
      <c r="L276" t="s">
        <v>65</v>
      </c>
      <c r="M276" t="s">
        <v>51</v>
      </c>
      <c r="N276" t="str">
        <f>INDEX(Products!B:B,MATCH(OrdersTable[[#This Row],[Product ID]],Products!A:A,0))</f>
        <v>Anti-Dandruff Conditioner</v>
      </c>
      <c r="O276" t="str">
        <f>INDEX(Products!C:C,MATCH(OrdersTable[[#This Row],[Product ID]],Products!A:A,0))</f>
        <v>Haircare</v>
      </c>
      <c r="P276">
        <v>2</v>
      </c>
      <c r="Q276" s="5">
        <v>399</v>
      </c>
      <c r="R276" s="74">
        <v>0.35</v>
      </c>
      <c r="S276" s="75">
        <f>OrdersTable[[#This Row],[Quantity]]*OrdersTable[[#This Row],[Unit Price]]</f>
        <v>798</v>
      </c>
      <c r="T276" s="5">
        <f>OrdersTable[[#This Row],[Gross Sale]]*OrdersTable[[#This Row],[Discount_Clean2]]</f>
        <v>279.29999999999995</v>
      </c>
      <c r="U276" s="5">
        <f>OrdersTable[[#This Row],[Gross Sale]]-OrdersTable[[#This Row],[Discount Amount]]</f>
        <v>518.70000000000005</v>
      </c>
      <c r="V276" s="77">
        <f>INDEX(Products!E:E,MATCH(OrdersTable[[#This Row],[Product ID]],Products!A:A,0))</f>
        <v>136</v>
      </c>
      <c r="W276" s="77">
        <f>OrdersTable[[#This Row],[Quantity]]*OrdersTable[[#This Row],[Unit Cost]]</f>
        <v>272</v>
      </c>
      <c r="X276" s="77">
        <f>'Dropdown Lists'!$I$2*(1+OrdersTable[[#This Row],[Returned]])</f>
        <v>60</v>
      </c>
      <c r="Y276" s="76">
        <f>OrdersTable[[#This Row],[Net Revenue]]-OrdersTable[[#This Row],[COGS]]-OrdersTable[[#This Row],[Shipping Cost]]</f>
        <v>186.70000000000005</v>
      </c>
      <c r="Z276" s="78">
        <f>IFERROR(OrdersTable[[#This Row],[Profit]]/OrdersTable[[#This Row],[Net Revenue]],0)</f>
        <v>0.35993830730672843</v>
      </c>
      <c r="AA276" t="s">
        <v>18</v>
      </c>
      <c r="AB276" s="79">
        <v>45351</v>
      </c>
      <c r="AC276">
        <f>OrdersTable[[#This Row],[Delivery Date]]-OrdersTable[[#This Row],[Order Date]]</f>
        <v>3</v>
      </c>
      <c r="AD276" t="str">
        <f>IF(OrdersTable[[#This Row],[Delivery Days]]&lt;=2, "Express (≤2d)", IF(OrdersTable[[#This Row],[Delivery Days]]&lt;=4, "Standard (3-4d)", "Delayed (5d+)"))</f>
        <v>Standard (3-4d)</v>
      </c>
      <c r="AF276">
        <v>0</v>
      </c>
    </row>
    <row r="277" spans="1:32" ht="15" x14ac:dyDescent="0.35">
      <c r="A277" t="s">
        <v>6040</v>
      </c>
      <c r="B277" s="1">
        <v>45348</v>
      </c>
      <c r="C277">
        <f>YEAR(OrdersTable[[#This Row],[Order Date]])</f>
        <v>2024</v>
      </c>
      <c r="D277" s="2">
        <f>DATE(YEAR(OrdersTable[[#This Row],[Order Date]]),MONTH(OrdersTable[[#This Row],[Order Date]]),1)</f>
        <v>45323</v>
      </c>
      <c r="E277">
        <f>MONTH(OrdersTable[[#This Row],[Order Date]])</f>
        <v>2</v>
      </c>
      <c r="F277" t="s">
        <v>2779</v>
      </c>
      <c r="G277" t="str">
        <f>IF(OrdersTable[[#This Row],[Order Date]]=_xlfn.MINIFS(Order_Date, Customer_ID, OrdersTable[[#This Row],[Customer ID]]), "New", "Repeat")</f>
        <v>Repeat</v>
      </c>
      <c r="H277" t="s">
        <v>76</v>
      </c>
      <c r="I277" t="str">
        <f>INDEX(State!B:B,MATCH(OrdersTable[[#This Row],[State]],State!A:A,0))</f>
        <v>UP</v>
      </c>
      <c r="J277" t="str">
        <f>INDEX(State!C:C,MATCH(OrdersTable[[#This Row],[State Code]],State!B:B,0))</f>
        <v>North</v>
      </c>
      <c r="K277" t="s">
        <v>77</v>
      </c>
      <c r="L277" t="s">
        <v>50</v>
      </c>
      <c r="M277" t="s">
        <v>40</v>
      </c>
      <c r="N277" t="str">
        <f>INDEX(Products!B:B,MATCH(OrdersTable[[#This Row],[Product ID]],Products!A:A,0))</f>
        <v>Ashwagandha Capsules</v>
      </c>
      <c r="O277" t="str">
        <f>INDEX(Products!C:C,MATCH(OrdersTable[[#This Row],[Product ID]],Products!A:A,0))</f>
        <v>Wellness</v>
      </c>
      <c r="P277">
        <v>2</v>
      </c>
      <c r="Q277" s="5">
        <v>499</v>
      </c>
      <c r="R277" s="74">
        <v>0</v>
      </c>
      <c r="S277" s="75">
        <f>OrdersTable[[#This Row],[Quantity]]*OrdersTable[[#This Row],[Unit Price]]</f>
        <v>998</v>
      </c>
      <c r="T277" s="5">
        <f>OrdersTable[[#This Row],[Gross Sale]]*OrdersTable[[#This Row],[Discount_Clean2]]</f>
        <v>0</v>
      </c>
      <c r="U277" s="5">
        <f>OrdersTable[[#This Row],[Gross Sale]]-OrdersTable[[#This Row],[Discount Amount]]</f>
        <v>998</v>
      </c>
      <c r="V277" s="77">
        <f>INDEX(Products!E:E,MATCH(OrdersTable[[#This Row],[Product ID]],Products!A:A,0))</f>
        <v>150</v>
      </c>
      <c r="W277" s="77">
        <f>OrdersTable[[#This Row],[Quantity]]*OrdersTable[[#This Row],[Unit Cost]]</f>
        <v>300</v>
      </c>
      <c r="X277" s="77">
        <f>'Dropdown Lists'!$I$2*(1+OrdersTable[[#This Row],[Returned]])</f>
        <v>60</v>
      </c>
      <c r="Y277" s="76">
        <f>OrdersTable[[#This Row],[Net Revenue]]-OrdersTable[[#This Row],[COGS]]-OrdersTable[[#This Row],[Shipping Cost]]</f>
        <v>638</v>
      </c>
      <c r="Z277" s="78">
        <f>IFERROR(OrdersTable[[#This Row],[Profit]]/OrdersTable[[#This Row],[Net Revenue]],0)</f>
        <v>0.63927855711422843</v>
      </c>
      <c r="AA277" t="s">
        <v>18</v>
      </c>
      <c r="AB277" s="79">
        <v>45352</v>
      </c>
      <c r="AC277">
        <f>OrdersTable[[#This Row],[Delivery Date]]-OrdersTable[[#This Row],[Order Date]]</f>
        <v>4</v>
      </c>
      <c r="AD277" t="str">
        <f>IF(OrdersTable[[#This Row],[Delivery Days]]&lt;=2, "Express (≤2d)", IF(OrdersTable[[#This Row],[Delivery Days]]&lt;=4, "Standard (3-4d)", "Delayed (5d+)"))</f>
        <v>Standard (3-4d)</v>
      </c>
      <c r="AE277">
        <v>4</v>
      </c>
      <c r="AF277">
        <v>0</v>
      </c>
    </row>
    <row r="278" spans="1:32" ht="15" x14ac:dyDescent="0.35">
      <c r="A278" t="s">
        <v>69</v>
      </c>
      <c r="B278" s="1">
        <v>45348</v>
      </c>
      <c r="C278">
        <f>YEAR(OrdersTable[[#This Row],[Order Date]])</f>
        <v>2024</v>
      </c>
      <c r="D278" s="2">
        <f>DATE(YEAR(OrdersTable[[#This Row],[Order Date]]),MONTH(OrdersTable[[#This Row],[Order Date]]),1)</f>
        <v>45323</v>
      </c>
      <c r="E278">
        <f>MONTH(OrdersTable[[#This Row],[Order Date]])</f>
        <v>2</v>
      </c>
      <c r="F278" t="s">
        <v>70</v>
      </c>
      <c r="G278" t="str">
        <f>IF(OrdersTable[[#This Row],[Order Date]]=_xlfn.MINIFS(Order_Date, Customer_ID, OrdersTable[[#This Row],[Customer ID]]), "New", "Repeat")</f>
        <v>Repeat</v>
      </c>
      <c r="H278" t="s">
        <v>71</v>
      </c>
      <c r="I278" t="str">
        <f>INDEX(State!B:B,MATCH(OrdersTable[[#This Row],[State]],State!A:A,0))</f>
        <v>MH</v>
      </c>
      <c r="J278" t="str">
        <f>INDEX(State!C:C,MATCH(OrdersTable[[#This Row],[State Code]],State!B:B,0))</f>
        <v>West</v>
      </c>
      <c r="K278" t="s">
        <v>72</v>
      </c>
      <c r="L278" t="s">
        <v>23</v>
      </c>
      <c r="M278" t="s">
        <v>73</v>
      </c>
      <c r="N278" t="str">
        <f>INDEX(Products!B:B,MATCH(OrdersTable[[#This Row],[Product ID]],Products!A:A,0))</f>
        <v>Hydrating Face Wash</v>
      </c>
      <c r="O278" t="str">
        <f>INDEX(Products!C:C,MATCH(OrdersTable[[#This Row],[Product ID]],Products!A:A,0))</f>
        <v>Skincare</v>
      </c>
      <c r="P278">
        <v>1</v>
      </c>
      <c r="Q278" s="5">
        <v>299</v>
      </c>
      <c r="R278" s="74">
        <v>0</v>
      </c>
      <c r="S278" s="75">
        <f>OrdersTable[[#This Row],[Quantity]]*OrdersTable[[#This Row],[Unit Price]]</f>
        <v>299</v>
      </c>
      <c r="T278" s="5">
        <f>OrdersTable[[#This Row],[Gross Sale]]*OrdersTable[[#This Row],[Discount_Clean2]]</f>
        <v>0</v>
      </c>
      <c r="U278" s="5">
        <f>OrdersTable[[#This Row],[Gross Sale]]-OrdersTable[[#This Row],[Discount Amount]]</f>
        <v>299</v>
      </c>
      <c r="V278" s="77">
        <f>INDEX(Products!E:E,MATCH(OrdersTable[[#This Row],[Product ID]],Products!A:A,0))</f>
        <v>90</v>
      </c>
      <c r="W278" s="77">
        <f>OrdersTable[[#This Row],[Quantity]]*OrdersTable[[#This Row],[Unit Cost]]</f>
        <v>90</v>
      </c>
      <c r="X278" s="77">
        <f>'Dropdown Lists'!$I$2*(1+OrdersTable[[#This Row],[Returned]])</f>
        <v>60</v>
      </c>
      <c r="Y278" s="76">
        <f>OrdersTable[[#This Row],[Net Revenue]]-OrdersTable[[#This Row],[COGS]]-OrdersTable[[#This Row],[Shipping Cost]]</f>
        <v>149</v>
      </c>
      <c r="Z278" s="78">
        <f>IFERROR(OrdersTable[[#This Row],[Profit]]/OrdersTable[[#This Row],[Net Revenue]],0)</f>
        <v>0.49832775919732442</v>
      </c>
      <c r="AA278" t="s">
        <v>18</v>
      </c>
      <c r="AB278" s="79">
        <v>45350</v>
      </c>
      <c r="AC278">
        <f>OrdersTable[[#This Row],[Delivery Date]]-OrdersTable[[#This Row],[Order Date]]</f>
        <v>2</v>
      </c>
      <c r="AD278" t="str">
        <f>IF(OrdersTable[[#This Row],[Delivery Days]]&lt;=2, "Express (≤2d)", IF(OrdersTable[[#This Row],[Delivery Days]]&lt;=4, "Standard (3-4d)", "Delayed (5d+)"))</f>
        <v>Express (≤2d)</v>
      </c>
      <c r="AE278">
        <v>4</v>
      </c>
      <c r="AF278">
        <v>0</v>
      </c>
    </row>
    <row r="279" spans="1:32" ht="15" x14ac:dyDescent="0.35">
      <c r="A279" t="s">
        <v>6041</v>
      </c>
      <c r="B279" s="1">
        <v>45348</v>
      </c>
      <c r="C279">
        <f>YEAR(OrdersTable[[#This Row],[Order Date]])</f>
        <v>2024</v>
      </c>
      <c r="D279" s="2">
        <f>DATE(YEAR(OrdersTable[[#This Row],[Order Date]]),MONTH(OrdersTable[[#This Row],[Order Date]]),1)</f>
        <v>45323</v>
      </c>
      <c r="E279">
        <f>MONTH(OrdersTable[[#This Row],[Order Date]])</f>
        <v>2</v>
      </c>
      <c r="F279" t="s">
        <v>6042</v>
      </c>
      <c r="G279" t="str">
        <f>IF(OrdersTable[[#This Row],[Order Date]]=_xlfn.MINIFS(Order_Date, Customer_ID, OrdersTable[[#This Row],[Customer ID]]), "New", "Repeat")</f>
        <v>New</v>
      </c>
      <c r="H279" t="s">
        <v>71</v>
      </c>
      <c r="I279" t="str">
        <f>INDEX(State!B:B,MATCH(OrdersTable[[#This Row],[State]],State!A:A,0))</f>
        <v>MH</v>
      </c>
      <c r="J279" t="str">
        <f>INDEX(State!C:C,MATCH(OrdersTable[[#This Row],[State Code]],State!B:B,0))</f>
        <v>West</v>
      </c>
      <c r="K279" t="s">
        <v>102</v>
      </c>
      <c r="L279" t="s">
        <v>23</v>
      </c>
      <c r="M279" t="s">
        <v>61</v>
      </c>
      <c r="N279" t="str">
        <f>INDEX(Products!B:B,MATCH(OrdersTable[[#This Row],[Product ID]],Products!A:A,0))</f>
        <v>Multivitamin Gummies</v>
      </c>
      <c r="O279" t="str">
        <f>INDEX(Products!C:C,MATCH(OrdersTable[[#This Row],[Product ID]],Products!A:A,0))</f>
        <v>Wellness</v>
      </c>
      <c r="P279">
        <v>2</v>
      </c>
      <c r="Q279" s="5">
        <v>699</v>
      </c>
      <c r="R279" s="74">
        <v>0.15</v>
      </c>
      <c r="S279" s="75">
        <f>OrdersTable[[#This Row],[Quantity]]*OrdersTable[[#This Row],[Unit Price]]</f>
        <v>1398</v>
      </c>
      <c r="T279" s="5">
        <f>OrdersTable[[#This Row],[Gross Sale]]*OrdersTable[[#This Row],[Discount_Clean2]]</f>
        <v>209.7</v>
      </c>
      <c r="U279" s="5">
        <f>OrdersTable[[#This Row],[Gross Sale]]-OrdersTable[[#This Row],[Discount Amount]]</f>
        <v>1188.3</v>
      </c>
      <c r="V279" s="77">
        <f>INDEX(Products!E:E,MATCH(OrdersTable[[#This Row],[Product ID]],Products!A:A,0))</f>
        <v>238</v>
      </c>
      <c r="W279" s="77">
        <f>OrdersTable[[#This Row],[Quantity]]*OrdersTable[[#This Row],[Unit Cost]]</f>
        <v>476</v>
      </c>
      <c r="X279" s="77">
        <f>'Dropdown Lists'!$I$2*(1+OrdersTable[[#This Row],[Returned]])</f>
        <v>60</v>
      </c>
      <c r="Y279" s="76">
        <f>OrdersTable[[#This Row],[Net Revenue]]-OrdersTable[[#This Row],[COGS]]-OrdersTable[[#This Row],[Shipping Cost]]</f>
        <v>652.29999999999995</v>
      </c>
      <c r="Z279" s="78">
        <f>IFERROR(OrdersTable[[#This Row],[Profit]]/OrdersTable[[#This Row],[Net Revenue]],0)</f>
        <v>0.54893545400993016</v>
      </c>
      <c r="AA279" t="s">
        <v>18</v>
      </c>
      <c r="AB279" s="79">
        <v>45350</v>
      </c>
      <c r="AC279">
        <f>OrdersTable[[#This Row],[Delivery Date]]-OrdersTable[[#This Row],[Order Date]]</f>
        <v>2</v>
      </c>
      <c r="AD279" t="str">
        <f>IF(OrdersTable[[#This Row],[Delivery Days]]&lt;=2, "Express (≤2d)", IF(OrdersTable[[#This Row],[Delivery Days]]&lt;=4, "Standard (3-4d)", "Delayed (5d+)"))</f>
        <v>Express (≤2d)</v>
      </c>
      <c r="AE279">
        <v>4</v>
      </c>
      <c r="AF279">
        <v>0</v>
      </c>
    </row>
    <row r="280" spans="1:32" ht="15" x14ac:dyDescent="0.35">
      <c r="A280" t="s">
        <v>2541</v>
      </c>
      <c r="B280" s="1">
        <v>45349</v>
      </c>
      <c r="C280">
        <f>YEAR(OrdersTable[[#This Row],[Order Date]])</f>
        <v>2024</v>
      </c>
      <c r="D280" s="2">
        <f>DATE(YEAR(OrdersTable[[#This Row],[Order Date]]),MONTH(OrdersTable[[#This Row],[Order Date]]),1)</f>
        <v>45323</v>
      </c>
      <c r="E280">
        <f>MONTH(OrdersTable[[#This Row],[Order Date]])</f>
        <v>2</v>
      </c>
      <c r="F280" t="s">
        <v>2542</v>
      </c>
      <c r="G280" t="str">
        <f>IF(OrdersTable[[#This Row],[Order Date]]=_xlfn.MINIFS(Order_Date, Customer_ID, OrdersTable[[#This Row],[Customer ID]]), "New", "Repeat")</f>
        <v>Repeat</v>
      </c>
      <c r="H280" t="s">
        <v>48</v>
      </c>
      <c r="I280" t="str">
        <f>INDEX(State!B:B,MATCH(OrdersTable[[#This Row],[State]],State!A:A,0))</f>
        <v>HR</v>
      </c>
      <c r="J280" t="str">
        <f>INDEX(State!C:C,MATCH(OrdersTable[[#This Row],[State Code]],State!B:B,0))</f>
        <v>North</v>
      </c>
      <c r="K280" t="s">
        <v>49</v>
      </c>
      <c r="L280" t="s">
        <v>16</v>
      </c>
      <c r="M280" t="s">
        <v>34</v>
      </c>
      <c r="N280" t="str">
        <f>INDEX(Products!B:B,MATCH(OrdersTable[[#This Row],[Product ID]],Products!A:A,0))</f>
        <v>Flip Flops</v>
      </c>
      <c r="O280" t="str">
        <f>INDEX(Products!C:C,MATCH(OrdersTable[[#This Row],[Product ID]],Products!A:A,0))</f>
        <v>Footwear</v>
      </c>
      <c r="P280">
        <v>1</v>
      </c>
      <c r="Q280" s="5">
        <v>399</v>
      </c>
      <c r="R280" s="74">
        <v>0.15</v>
      </c>
      <c r="S280" s="75">
        <f>OrdersTable[[#This Row],[Quantity]]*OrdersTable[[#This Row],[Unit Price]]</f>
        <v>399</v>
      </c>
      <c r="T280" s="5">
        <f>OrdersTable[[#This Row],[Gross Sale]]*OrdersTable[[#This Row],[Discount_Clean2]]</f>
        <v>59.849999999999994</v>
      </c>
      <c r="U280" s="5">
        <f>OrdersTable[[#This Row],[Gross Sale]]-OrdersTable[[#This Row],[Discount Amount]]</f>
        <v>339.15</v>
      </c>
      <c r="V280" s="77">
        <f>INDEX(Products!E:E,MATCH(OrdersTable[[#This Row],[Product ID]],Products!A:A,0))</f>
        <v>152</v>
      </c>
      <c r="W280" s="77">
        <f>OrdersTable[[#This Row],[Quantity]]*OrdersTable[[#This Row],[Unit Cost]]</f>
        <v>152</v>
      </c>
      <c r="X280" s="77">
        <f>'Dropdown Lists'!$I$2*(1+OrdersTable[[#This Row],[Returned]])</f>
        <v>60</v>
      </c>
      <c r="Y280" s="76">
        <f>OrdersTable[[#This Row],[Net Revenue]]-OrdersTable[[#This Row],[COGS]]-OrdersTable[[#This Row],[Shipping Cost]]</f>
        <v>127.14999999999998</v>
      </c>
      <c r="Z280" s="78">
        <f>IFERROR(OrdersTable[[#This Row],[Profit]]/OrdersTable[[#This Row],[Net Revenue]],0)</f>
        <v>0.37490785787999409</v>
      </c>
      <c r="AA280" t="s">
        <v>2522</v>
      </c>
      <c r="AB280" s="79">
        <v>45352</v>
      </c>
      <c r="AC280">
        <f>OrdersTable[[#This Row],[Delivery Date]]-OrdersTable[[#This Row],[Order Date]]</f>
        <v>3</v>
      </c>
      <c r="AD280" t="str">
        <f>IF(OrdersTable[[#This Row],[Delivery Days]]&lt;=2, "Express (≤2d)", IF(OrdersTable[[#This Row],[Delivery Days]]&lt;=4, "Standard (3-4d)", "Delayed (5d+)"))</f>
        <v>Standard (3-4d)</v>
      </c>
      <c r="AE280">
        <v>5</v>
      </c>
      <c r="AF280">
        <v>0</v>
      </c>
    </row>
    <row r="281" spans="1:32" ht="15" x14ac:dyDescent="0.35">
      <c r="A281" t="s">
        <v>1632</v>
      </c>
      <c r="B281" s="1">
        <v>45349</v>
      </c>
      <c r="C281">
        <f>YEAR(OrdersTable[[#This Row],[Order Date]])</f>
        <v>2024</v>
      </c>
      <c r="D281" s="2">
        <f>DATE(YEAR(OrdersTable[[#This Row],[Order Date]]),MONTH(OrdersTable[[#This Row],[Order Date]]),1)</f>
        <v>45323</v>
      </c>
      <c r="E281">
        <f>MONTH(OrdersTable[[#This Row],[Order Date]])</f>
        <v>2</v>
      </c>
      <c r="F281" t="s">
        <v>1633</v>
      </c>
      <c r="G281" t="str">
        <f>IF(OrdersTable[[#This Row],[Order Date]]=_xlfn.MINIFS(Order_Date, Customer_ID, OrdersTable[[#This Row],[Customer ID]]), "New", "Repeat")</f>
        <v>New</v>
      </c>
      <c r="H281" t="s">
        <v>32</v>
      </c>
      <c r="I281" t="str">
        <f>INDEX(State!B:B,MATCH(OrdersTable[[#This Row],[State]],State!A:A,0))</f>
        <v>BR</v>
      </c>
      <c r="J281" t="str">
        <f>INDEX(State!C:C,MATCH(OrdersTable[[#This Row],[State Code]],State!B:B,0))</f>
        <v>East</v>
      </c>
      <c r="K281" t="s">
        <v>33</v>
      </c>
      <c r="L281" t="s">
        <v>65</v>
      </c>
      <c r="M281" t="s">
        <v>56</v>
      </c>
      <c r="N281" t="str">
        <f>INDEX(Products!B:B,MATCH(OrdersTable[[#This Row],[Product ID]],Products!A:A,0))</f>
        <v>Vitamin C Face Serum</v>
      </c>
      <c r="O281" t="str">
        <f>INDEX(Products!C:C,MATCH(OrdersTable[[#This Row],[Product ID]],Products!A:A,0))</f>
        <v>Skincare</v>
      </c>
      <c r="P281">
        <v>1</v>
      </c>
      <c r="Q281" s="5">
        <v>599</v>
      </c>
      <c r="R281" s="74">
        <v>0.25</v>
      </c>
      <c r="S281" s="75">
        <f>OrdersTable[[#This Row],[Quantity]]*OrdersTable[[#This Row],[Unit Price]]</f>
        <v>599</v>
      </c>
      <c r="T281" s="5">
        <f>OrdersTable[[#This Row],[Gross Sale]]*OrdersTable[[#This Row],[Discount_Clean2]]</f>
        <v>149.75</v>
      </c>
      <c r="U281" s="5">
        <f>OrdersTable[[#This Row],[Gross Sale]]-OrdersTable[[#This Row],[Discount Amount]]</f>
        <v>449.25</v>
      </c>
      <c r="V281" s="77">
        <f>INDEX(Products!E:E,MATCH(OrdersTable[[#This Row],[Product ID]],Products!A:A,0))</f>
        <v>180</v>
      </c>
      <c r="W281" s="77">
        <f>OrdersTable[[#This Row],[Quantity]]*OrdersTable[[#This Row],[Unit Cost]]</f>
        <v>180</v>
      </c>
      <c r="X281" s="77">
        <f>'Dropdown Lists'!$I$2*(1+OrdersTable[[#This Row],[Returned]])</f>
        <v>60</v>
      </c>
      <c r="Y281" s="76">
        <f>OrdersTable[[#This Row],[Net Revenue]]-OrdersTable[[#This Row],[COGS]]-OrdersTable[[#This Row],[Shipping Cost]]</f>
        <v>209.25</v>
      </c>
      <c r="Z281" s="78">
        <f>IFERROR(OrdersTable[[#This Row],[Profit]]/OrdersTable[[#This Row],[Net Revenue]],0)</f>
        <v>0.46577629382303842</v>
      </c>
      <c r="AA281" t="s">
        <v>18</v>
      </c>
      <c r="AB281" s="79">
        <v>45353</v>
      </c>
      <c r="AC281">
        <f>OrdersTable[[#This Row],[Delivery Date]]-OrdersTable[[#This Row],[Order Date]]</f>
        <v>4</v>
      </c>
      <c r="AD281" t="str">
        <f>IF(OrdersTable[[#This Row],[Delivery Days]]&lt;=2, "Express (≤2d)", IF(OrdersTable[[#This Row],[Delivery Days]]&lt;=4, "Standard (3-4d)", "Delayed (5d+)"))</f>
        <v>Standard (3-4d)</v>
      </c>
      <c r="AF281">
        <v>0</v>
      </c>
    </row>
    <row r="282" spans="1:32" ht="15" x14ac:dyDescent="0.35">
      <c r="A282" t="s">
        <v>437</v>
      </c>
      <c r="B282" s="1">
        <v>45349</v>
      </c>
      <c r="C282">
        <f>YEAR(OrdersTable[[#This Row],[Order Date]])</f>
        <v>2024</v>
      </c>
      <c r="D282" s="2">
        <f>DATE(YEAR(OrdersTable[[#This Row],[Order Date]]),MONTH(OrdersTable[[#This Row],[Order Date]]),1)</f>
        <v>45323</v>
      </c>
      <c r="E282">
        <f>MONTH(OrdersTable[[#This Row],[Order Date]])</f>
        <v>2</v>
      </c>
      <c r="F282" t="s">
        <v>438</v>
      </c>
      <c r="G282" t="str">
        <f>IF(OrdersTable[[#This Row],[Order Date]]=_xlfn.MINIFS(Order_Date, Customer_ID, OrdersTable[[#This Row],[Customer ID]]), "New", "Repeat")</f>
        <v>New</v>
      </c>
      <c r="H282" t="s">
        <v>71</v>
      </c>
      <c r="I282" t="str">
        <f>INDEX(State!B:B,MATCH(OrdersTable[[#This Row],[State]],State!A:A,0))</f>
        <v>MH</v>
      </c>
      <c r="J282" t="str">
        <f>INDEX(State!C:C,MATCH(OrdersTable[[#This Row],[State Code]],State!B:B,0))</f>
        <v>West</v>
      </c>
      <c r="K282" t="s">
        <v>102</v>
      </c>
      <c r="L282" t="s">
        <v>65</v>
      </c>
      <c r="M282" t="s">
        <v>66</v>
      </c>
      <c r="N282" t="str">
        <f>INDEX(Products!B:B,MATCH(OrdersTable[[#This Row],[Product ID]],Products!A:A,0))</f>
        <v>Sunscreen SPF 50</v>
      </c>
      <c r="O282" t="str">
        <f>INDEX(Products!C:C,MATCH(OrdersTable[[#This Row],[Product ID]],Products!A:A,0))</f>
        <v>Skincare</v>
      </c>
      <c r="P282">
        <v>1</v>
      </c>
      <c r="Q282" s="5">
        <v>449</v>
      </c>
      <c r="R282" s="74">
        <v>0.05</v>
      </c>
      <c r="S282" s="75">
        <f>OrdersTable[[#This Row],[Quantity]]*OrdersTable[[#This Row],[Unit Price]]</f>
        <v>449</v>
      </c>
      <c r="T282" s="5">
        <f>OrdersTable[[#This Row],[Gross Sale]]*OrdersTable[[#This Row],[Discount_Clean2]]</f>
        <v>22.450000000000003</v>
      </c>
      <c r="U282" s="5">
        <f>OrdersTable[[#This Row],[Gross Sale]]-OrdersTable[[#This Row],[Discount Amount]]</f>
        <v>426.55</v>
      </c>
      <c r="V282" s="77">
        <f>INDEX(Products!E:E,MATCH(OrdersTable[[#This Row],[Product ID]],Products!A:A,0))</f>
        <v>144</v>
      </c>
      <c r="W282" s="77">
        <f>OrdersTable[[#This Row],[Quantity]]*OrdersTable[[#This Row],[Unit Cost]]</f>
        <v>144</v>
      </c>
      <c r="X282" s="77">
        <f>'Dropdown Lists'!$I$2*(1+OrdersTable[[#This Row],[Returned]])</f>
        <v>60</v>
      </c>
      <c r="Y282" s="76">
        <f>OrdersTable[[#This Row],[Net Revenue]]-OrdersTable[[#This Row],[COGS]]-OrdersTable[[#This Row],[Shipping Cost]]</f>
        <v>222.55</v>
      </c>
      <c r="Z282" s="78">
        <f>IFERROR(OrdersTable[[#This Row],[Profit]]/OrdersTable[[#This Row],[Net Revenue]],0)</f>
        <v>0.52174422693705313</v>
      </c>
      <c r="AA282" t="s">
        <v>18</v>
      </c>
      <c r="AB282" s="79">
        <v>45350</v>
      </c>
      <c r="AC282">
        <f>OrdersTable[[#This Row],[Delivery Date]]-OrdersTable[[#This Row],[Order Date]]</f>
        <v>1</v>
      </c>
      <c r="AD282" t="str">
        <f>IF(OrdersTable[[#This Row],[Delivery Days]]&lt;=2, "Express (≤2d)", IF(OrdersTable[[#This Row],[Delivery Days]]&lt;=4, "Standard (3-4d)", "Delayed (5d+)"))</f>
        <v>Express (≤2d)</v>
      </c>
      <c r="AE282">
        <v>4</v>
      </c>
      <c r="AF282">
        <v>0</v>
      </c>
    </row>
    <row r="283" spans="1:32" ht="15" x14ac:dyDescent="0.35">
      <c r="A283" t="s">
        <v>5069</v>
      </c>
      <c r="B283" s="1">
        <v>45350</v>
      </c>
      <c r="C283">
        <f>YEAR(OrdersTable[[#This Row],[Order Date]])</f>
        <v>2024</v>
      </c>
      <c r="D283" s="2">
        <f>DATE(YEAR(OrdersTable[[#This Row],[Order Date]]),MONTH(OrdersTable[[#This Row],[Order Date]]),1)</f>
        <v>45323</v>
      </c>
      <c r="E283">
        <f>MONTH(OrdersTable[[#This Row],[Order Date]])</f>
        <v>2</v>
      </c>
      <c r="F283" t="s">
        <v>5070</v>
      </c>
      <c r="G283" t="str">
        <f>IF(OrdersTable[[#This Row],[Order Date]]=_xlfn.MINIFS(Order_Date, Customer_ID, OrdersTable[[#This Row],[Customer ID]]), "New", "Repeat")</f>
        <v>New</v>
      </c>
      <c r="H283" t="s">
        <v>184</v>
      </c>
      <c r="I283" t="str">
        <f>INDEX(State!B:B,MATCH(OrdersTable[[#This Row],[State]],State!A:A,0))</f>
        <v>UK</v>
      </c>
      <c r="J283" t="str">
        <f>INDEX(State!C:C,MATCH(OrdersTable[[#This Row],[State Code]],State!B:B,0))</f>
        <v>North</v>
      </c>
      <c r="K283" t="s">
        <v>185</v>
      </c>
      <c r="L283" t="s">
        <v>65</v>
      </c>
      <c r="M283" t="s">
        <v>87</v>
      </c>
      <c r="N283" t="str">
        <f>INDEX(Products!B:B,MATCH(OrdersTable[[#This Row],[Product ID]],Products!A:A,0))</f>
        <v>Linen Kurta</v>
      </c>
      <c r="O283" t="str">
        <f>INDEX(Products!C:C,MATCH(OrdersTable[[#This Row],[Product ID]],Products!A:A,0))</f>
        <v>Apparel</v>
      </c>
      <c r="P283">
        <v>2</v>
      </c>
      <c r="Q283" s="5">
        <v>1499</v>
      </c>
      <c r="R283" s="74">
        <v>0.4</v>
      </c>
      <c r="S283" s="75">
        <f>OrdersTable[[#This Row],[Quantity]]*OrdersTable[[#This Row],[Unit Price]]</f>
        <v>2998</v>
      </c>
      <c r="T283" s="5">
        <f>OrdersTable[[#This Row],[Gross Sale]]*OrdersTable[[#This Row],[Discount_Clean2]]</f>
        <v>1199.2</v>
      </c>
      <c r="U283" s="5">
        <f>OrdersTable[[#This Row],[Gross Sale]]-OrdersTable[[#This Row],[Discount Amount]]</f>
        <v>1798.8</v>
      </c>
      <c r="V283" s="77">
        <f>INDEX(Products!E:E,MATCH(OrdersTable[[#This Row],[Product ID]],Products!A:A,0))</f>
        <v>630</v>
      </c>
      <c r="W283" s="77">
        <f>OrdersTable[[#This Row],[Quantity]]*OrdersTable[[#This Row],[Unit Cost]]</f>
        <v>1260</v>
      </c>
      <c r="X283" s="77">
        <f>'Dropdown Lists'!$I$2*(1+OrdersTable[[#This Row],[Returned]])</f>
        <v>60</v>
      </c>
      <c r="Y283" s="76">
        <f>OrdersTable[[#This Row],[Net Revenue]]-OrdersTable[[#This Row],[COGS]]-OrdersTable[[#This Row],[Shipping Cost]]</f>
        <v>478.79999999999995</v>
      </c>
      <c r="Z283" s="78">
        <f>IFERROR(OrdersTable[[#This Row],[Profit]]/OrdersTable[[#This Row],[Net Revenue]],0)</f>
        <v>0.26617745163442291</v>
      </c>
      <c r="AA283" t="s">
        <v>3495</v>
      </c>
      <c r="AB283" s="79">
        <v>45356</v>
      </c>
      <c r="AC283">
        <f>OrdersTable[[#This Row],[Delivery Date]]-OrdersTable[[#This Row],[Order Date]]</f>
        <v>6</v>
      </c>
      <c r="AD283" t="str">
        <f>IF(OrdersTable[[#This Row],[Delivery Days]]&lt;=2, "Express (≤2d)", IF(OrdersTable[[#This Row],[Delivery Days]]&lt;=4, "Standard (3-4d)", "Delayed (5d+)"))</f>
        <v>Delayed (5d+)</v>
      </c>
      <c r="AE283">
        <v>3</v>
      </c>
      <c r="AF283">
        <v>0</v>
      </c>
    </row>
    <row r="284" spans="1:32" ht="15" x14ac:dyDescent="0.35">
      <c r="A284" t="s">
        <v>439</v>
      </c>
      <c r="B284" s="1">
        <v>45350</v>
      </c>
      <c r="C284">
        <f>YEAR(OrdersTable[[#This Row],[Order Date]])</f>
        <v>2024</v>
      </c>
      <c r="D284" s="2">
        <f>DATE(YEAR(OrdersTable[[#This Row],[Order Date]]),MONTH(OrdersTable[[#This Row],[Order Date]]),1)</f>
        <v>45323</v>
      </c>
      <c r="E284">
        <f>MONTH(OrdersTable[[#This Row],[Order Date]])</f>
        <v>2</v>
      </c>
      <c r="F284" t="s">
        <v>440</v>
      </c>
      <c r="G284" t="str">
        <f>IF(OrdersTable[[#This Row],[Order Date]]=_xlfn.MINIFS(Order_Date, Customer_ID, OrdersTable[[#This Row],[Customer ID]]), "New", "Repeat")</f>
        <v>New</v>
      </c>
      <c r="H284" t="s">
        <v>54</v>
      </c>
      <c r="I284" t="str">
        <f>INDEX(State!B:B,MATCH(OrdersTable[[#This Row],[State]],State!A:A,0))</f>
        <v>RJ</v>
      </c>
      <c r="J284" t="str">
        <f>INDEX(State!C:C,MATCH(OrdersTable[[#This Row],[State Code]],State!B:B,0))</f>
        <v>North</v>
      </c>
      <c r="K284" t="s">
        <v>227</v>
      </c>
      <c r="L284" t="s">
        <v>65</v>
      </c>
      <c r="M284" t="s">
        <v>56</v>
      </c>
      <c r="N284" t="str">
        <f>INDEX(Products!B:B,MATCH(OrdersTable[[#This Row],[Product ID]],Products!A:A,0))</f>
        <v>Vitamin C Face Serum</v>
      </c>
      <c r="O284" t="str">
        <f>INDEX(Products!C:C,MATCH(OrdersTable[[#This Row],[Product ID]],Products!A:A,0))</f>
        <v>Skincare</v>
      </c>
      <c r="P284">
        <v>1</v>
      </c>
      <c r="Q284" s="5">
        <v>599</v>
      </c>
      <c r="R284" s="74">
        <v>0.15</v>
      </c>
      <c r="S284" s="75">
        <f>OrdersTable[[#This Row],[Quantity]]*OrdersTable[[#This Row],[Unit Price]]</f>
        <v>599</v>
      </c>
      <c r="T284" s="5">
        <f>OrdersTable[[#This Row],[Gross Sale]]*OrdersTable[[#This Row],[Discount_Clean2]]</f>
        <v>89.85</v>
      </c>
      <c r="U284" s="5">
        <f>OrdersTable[[#This Row],[Gross Sale]]-OrdersTable[[#This Row],[Discount Amount]]</f>
        <v>509.15</v>
      </c>
      <c r="V284" s="77">
        <f>INDEX(Products!E:E,MATCH(OrdersTable[[#This Row],[Product ID]],Products!A:A,0))</f>
        <v>180</v>
      </c>
      <c r="W284" s="77">
        <f>OrdersTable[[#This Row],[Quantity]]*OrdersTable[[#This Row],[Unit Cost]]</f>
        <v>180</v>
      </c>
      <c r="X284" s="77">
        <f>'Dropdown Lists'!$I$2*(1+OrdersTable[[#This Row],[Returned]])</f>
        <v>60</v>
      </c>
      <c r="Y284" s="76">
        <f>OrdersTable[[#This Row],[Net Revenue]]-OrdersTable[[#This Row],[COGS]]-OrdersTable[[#This Row],[Shipping Cost]]</f>
        <v>269.14999999999998</v>
      </c>
      <c r="Z284" s="78">
        <f>IFERROR(OrdersTable[[#This Row],[Profit]]/OrdersTable[[#This Row],[Net Revenue]],0)</f>
        <v>0.52862614160856325</v>
      </c>
      <c r="AA284" t="s">
        <v>18</v>
      </c>
      <c r="AB284" s="79">
        <v>45354</v>
      </c>
      <c r="AC284">
        <f>OrdersTable[[#This Row],[Delivery Date]]-OrdersTable[[#This Row],[Order Date]]</f>
        <v>4</v>
      </c>
      <c r="AD284" t="str">
        <f>IF(OrdersTable[[#This Row],[Delivery Days]]&lt;=2, "Express (≤2d)", IF(OrdersTable[[#This Row],[Delivery Days]]&lt;=4, "Standard (3-4d)", "Delayed (5d+)"))</f>
        <v>Standard (3-4d)</v>
      </c>
      <c r="AE284">
        <v>4</v>
      </c>
      <c r="AF284">
        <v>0</v>
      </c>
    </row>
    <row r="285" spans="1:32" ht="15" x14ac:dyDescent="0.35">
      <c r="A285" t="s">
        <v>74</v>
      </c>
      <c r="B285" s="1">
        <v>45350</v>
      </c>
      <c r="C285">
        <f>YEAR(OrdersTable[[#This Row],[Order Date]])</f>
        <v>2024</v>
      </c>
      <c r="D285" s="2">
        <f>DATE(YEAR(OrdersTable[[#This Row],[Order Date]]),MONTH(OrdersTable[[#This Row],[Order Date]]),1)</f>
        <v>45323</v>
      </c>
      <c r="E285">
        <f>MONTH(OrdersTable[[#This Row],[Order Date]])</f>
        <v>2</v>
      </c>
      <c r="F285" t="s">
        <v>75</v>
      </c>
      <c r="G285" t="str">
        <f>IF(OrdersTable[[#This Row],[Order Date]]=_xlfn.MINIFS(Order_Date, Customer_ID, OrdersTable[[#This Row],[Customer ID]]), "New", "Repeat")</f>
        <v>New</v>
      </c>
      <c r="H285" t="s">
        <v>76</v>
      </c>
      <c r="I285" t="str">
        <f>INDEX(State!B:B,MATCH(OrdersTable[[#This Row],[State]],State!A:A,0))</f>
        <v>UP</v>
      </c>
      <c r="J285" t="str">
        <f>INDEX(State!C:C,MATCH(OrdersTable[[#This Row],[State Code]],State!B:B,0))</f>
        <v>North</v>
      </c>
      <c r="K285" t="s">
        <v>77</v>
      </c>
      <c r="L285" t="s">
        <v>65</v>
      </c>
      <c r="M285" t="s">
        <v>78</v>
      </c>
      <c r="N285" t="str">
        <f>INDEX(Products!B:B,MATCH(OrdersTable[[#This Row],[Product ID]],Products!A:A,0))</f>
        <v>Retinol Night Cream</v>
      </c>
      <c r="O285" t="str">
        <f>INDEX(Products!C:C,MATCH(OrdersTable[[#This Row],[Product ID]],Products!A:A,0))</f>
        <v>Skincare</v>
      </c>
      <c r="P285">
        <v>1</v>
      </c>
      <c r="Q285" s="5">
        <v>799</v>
      </c>
      <c r="R285" s="74">
        <v>0.15</v>
      </c>
      <c r="S285" s="75">
        <f>OrdersTable[[#This Row],[Quantity]]*OrdersTable[[#This Row],[Unit Price]]</f>
        <v>799</v>
      </c>
      <c r="T285" s="5">
        <f>OrdersTable[[#This Row],[Gross Sale]]*OrdersTable[[#This Row],[Discount_Clean2]]</f>
        <v>119.85</v>
      </c>
      <c r="U285" s="5">
        <f>OrdersTable[[#This Row],[Gross Sale]]-OrdersTable[[#This Row],[Discount Amount]]</f>
        <v>679.15</v>
      </c>
      <c r="V285" s="77">
        <f>INDEX(Products!E:E,MATCH(OrdersTable[[#This Row],[Product ID]],Products!A:A,0))</f>
        <v>216</v>
      </c>
      <c r="W285" s="77">
        <f>OrdersTable[[#This Row],[Quantity]]*OrdersTable[[#This Row],[Unit Cost]]</f>
        <v>216</v>
      </c>
      <c r="X285" s="77">
        <f>'Dropdown Lists'!$I$2*(1+OrdersTable[[#This Row],[Returned]])</f>
        <v>60</v>
      </c>
      <c r="Y285" s="76">
        <f>OrdersTable[[#This Row],[Net Revenue]]-OrdersTable[[#This Row],[COGS]]-OrdersTable[[#This Row],[Shipping Cost]]</f>
        <v>403.15</v>
      </c>
      <c r="Z285" s="78">
        <f>IFERROR(OrdersTable[[#This Row],[Profit]]/OrdersTable[[#This Row],[Net Revenue]],0)</f>
        <v>0.59360965913273944</v>
      </c>
      <c r="AA285" t="s">
        <v>18</v>
      </c>
      <c r="AB285" s="79">
        <v>45352</v>
      </c>
      <c r="AC285">
        <f>OrdersTable[[#This Row],[Delivery Date]]-OrdersTable[[#This Row],[Order Date]]</f>
        <v>2</v>
      </c>
      <c r="AD285" t="str">
        <f>IF(OrdersTable[[#This Row],[Delivery Days]]&lt;=2, "Express (≤2d)", IF(OrdersTable[[#This Row],[Delivery Days]]&lt;=4, "Standard (3-4d)", "Delayed (5d+)"))</f>
        <v>Express (≤2d)</v>
      </c>
      <c r="AE285">
        <v>4</v>
      </c>
      <c r="AF285">
        <v>0</v>
      </c>
    </row>
    <row r="286" spans="1:32" ht="15" x14ac:dyDescent="0.35">
      <c r="A286" t="s">
        <v>4080</v>
      </c>
      <c r="B286" s="1">
        <v>45350</v>
      </c>
      <c r="C286">
        <f>YEAR(OrdersTable[[#This Row],[Order Date]])</f>
        <v>2024</v>
      </c>
      <c r="D286" s="2">
        <f>DATE(YEAR(OrdersTable[[#This Row],[Order Date]]),MONTH(OrdersTable[[#This Row],[Order Date]]),1)</f>
        <v>45323</v>
      </c>
      <c r="E286">
        <f>MONTH(OrdersTable[[#This Row],[Order Date]])</f>
        <v>2</v>
      </c>
      <c r="F286" t="s">
        <v>252</v>
      </c>
      <c r="G286" t="str">
        <f>IF(OrdersTable[[#This Row],[Order Date]]=_xlfn.MINIFS(Order_Date, Customer_ID, OrdersTable[[#This Row],[Customer ID]]), "New", "Repeat")</f>
        <v>New</v>
      </c>
      <c r="H286" t="s">
        <v>37</v>
      </c>
      <c r="I286" t="str">
        <f>INDEX(State!B:B,MATCH(OrdersTable[[#This Row],[State]],State!A:A,0))</f>
        <v>GJ</v>
      </c>
      <c r="J286" t="str">
        <f>INDEX(State!C:C,MATCH(OrdersTable[[#This Row],[State Code]],State!B:B,0))</f>
        <v>West</v>
      </c>
      <c r="K286" t="s">
        <v>38</v>
      </c>
      <c r="L286" t="s">
        <v>16</v>
      </c>
      <c r="M286" t="s">
        <v>34</v>
      </c>
      <c r="N286" t="str">
        <f>INDEX(Products!B:B,MATCH(OrdersTable[[#This Row],[Product ID]],Products!A:A,0))</f>
        <v>Flip Flops</v>
      </c>
      <c r="O286" t="str">
        <f>INDEX(Products!C:C,MATCH(OrdersTable[[#This Row],[Product ID]],Products!A:A,0))</f>
        <v>Footwear</v>
      </c>
      <c r="P286">
        <v>1</v>
      </c>
      <c r="Q286" s="5">
        <v>399</v>
      </c>
      <c r="R286" s="74">
        <v>0.1</v>
      </c>
      <c r="S286" s="75">
        <f>OrdersTable[[#This Row],[Quantity]]*OrdersTable[[#This Row],[Unit Price]]</f>
        <v>399</v>
      </c>
      <c r="T286" s="5">
        <f>OrdersTable[[#This Row],[Gross Sale]]*OrdersTable[[#This Row],[Discount_Clean2]]</f>
        <v>39.900000000000006</v>
      </c>
      <c r="U286" s="5">
        <f>OrdersTable[[#This Row],[Gross Sale]]-OrdersTable[[#This Row],[Discount Amount]]</f>
        <v>359.1</v>
      </c>
      <c r="V286" s="77">
        <f>INDEX(Products!E:E,MATCH(OrdersTable[[#This Row],[Product ID]],Products!A:A,0))</f>
        <v>152</v>
      </c>
      <c r="W286" s="77">
        <f>OrdersTable[[#This Row],[Quantity]]*OrdersTable[[#This Row],[Unit Cost]]</f>
        <v>152</v>
      </c>
      <c r="X286" s="77">
        <f>'Dropdown Lists'!$I$2*(1+OrdersTable[[#This Row],[Returned]])</f>
        <v>60</v>
      </c>
      <c r="Y286" s="76">
        <f>OrdersTable[[#This Row],[Net Revenue]]-OrdersTable[[#This Row],[COGS]]-OrdersTable[[#This Row],[Shipping Cost]]</f>
        <v>147.10000000000002</v>
      </c>
      <c r="Z286" s="78">
        <f>IFERROR(OrdersTable[[#This Row],[Profit]]/OrdersTable[[#This Row],[Net Revenue]],0)</f>
        <v>0.40963519910888335</v>
      </c>
      <c r="AA286" t="s">
        <v>4074</v>
      </c>
      <c r="AB286" s="79">
        <v>45351</v>
      </c>
      <c r="AC286">
        <f>OrdersTable[[#This Row],[Delivery Date]]-OrdersTable[[#This Row],[Order Date]]</f>
        <v>1</v>
      </c>
      <c r="AD286" t="str">
        <f>IF(OrdersTable[[#This Row],[Delivery Days]]&lt;=2, "Express (≤2d)", IF(OrdersTable[[#This Row],[Delivery Days]]&lt;=4, "Standard (3-4d)", "Delayed (5d+)"))</f>
        <v>Express (≤2d)</v>
      </c>
      <c r="AE286">
        <v>5</v>
      </c>
      <c r="AF286">
        <v>0</v>
      </c>
    </row>
    <row r="287" spans="1:32" ht="15" x14ac:dyDescent="0.35">
      <c r="A287" t="s">
        <v>5071</v>
      </c>
      <c r="B287" s="1">
        <v>45350</v>
      </c>
      <c r="C287">
        <f>YEAR(OrdersTable[[#This Row],[Order Date]])</f>
        <v>2024</v>
      </c>
      <c r="D287" s="2">
        <f>DATE(YEAR(OrdersTable[[#This Row],[Order Date]]),MONTH(OrdersTable[[#This Row],[Order Date]]),1)</f>
        <v>45323</v>
      </c>
      <c r="E287">
        <f>MONTH(OrdersTable[[#This Row],[Order Date]])</f>
        <v>2</v>
      </c>
      <c r="F287" t="s">
        <v>4865</v>
      </c>
      <c r="G287" t="str">
        <f>IF(OrdersTable[[#This Row],[Order Date]]=_xlfn.MINIFS(Order_Date, Customer_ID, OrdersTable[[#This Row],[Customer ID]]), "New", "Repeat")</f>
        <v>New</v>
      </c>
      <c r="H287" t="s">
        <v>71</v>
      </c>
      <c r="I287" t="str">
        <f>INDEX(State!B:B,MATCH(OrdersTable[[#This Row],[State]],State!A:A,0))</f>
        <v>MH</v>
      </c>
      <c r="J287" t="str">
        <f>INDEX(State!C:C,MATCH(OrdersTable[[#This Row],[State Code]],State!B:B,0))</f>
        <v>West</v>
      </c>
      <c r="K287" t="s">
        <v>81</v>
      </c>
      <c r="L287" t="s">
        <v>65</v>
      </c>
      <c r="M287" t="s">
        <v>565</v>
      </c>
      <c r="N287" t="str">
        <f>INDEX(Products!B:B,MATCH(OrdersTable[[#This Row],[Product ID]],Products!A:A,0))</f>
        <v>Ceramic Dinner Set</v>
      </c>
      <c r="O287" t="str">
        <f>INDEX(Products!C:C,MATCH(OrdersTable[[#This Row],[Product ID]],Products!A:A,0))</f>
        <v>Home &amp; Kitchen</v>
      </c>
      <c r="P287">
        <v>2</v>
      </c>
      <c r="Q287" s="5">
        <v>2499</v>
      </c>
      <c r="R287" s="74">
        <v>0.4</v>
      </c>
      <c r="S287" s="75">
        <f>OrdersTable[[#This Row],[Quantity]]*OrdersTable[[#This Row],[Unit Price]]</f>
        <v>4998</v>
      </c>
      <c r="T287" s="5">
        <f>OrdersTable[[#This Row],[Gross Sale]]*OrdersTable[[#This Row],[Discount_Clean2]]</f>
        <v>1999.2</v>
      </c>
      <c r="U287" s="5">
        <f>OrdersTable[[#This Row],[Gross Sale]]-OrdersTable[[#This Row],[Discount Amount]]</f>
        <v>2998.8</v>
      </c>
      <c r="V287" s="77">
        <f>INDEX(Products!E:E,MATCH(OrdersTable[[#This Row],[Product ID]],Products!A:A,0))</f>
        <v>1250</v>
      </c>
      <c r="W287" s="77">
        <f>OrdersTable[[#This Row],[Quantity]]*OrdersTable[[#This Row],[Unit Cost]]</f>
        <v>2500</v>
      </c>
      <c r="X287" s="77">
        <f>'Dropdown Lists'!$I$2*(1+OrdersTable[[#This Row],[Returned]])</f>
        <v>60</v>
      </c>
      <c r="Y287" s="76">
        <f>OrdersTable[[#This Row],[Net Revenue]]-OrdersTable[[#This Row],[COGS]]-OrdersTable[[#This Row],[Shipping Cost]]</f>
        <v>438.80000000000018</v>
      </c>
      <c r="Z287" s="78">
        <f>IFERROR(OrdersTable[[#This Row],[Profit]]/OrdersTable[[#This Row],[Net Revenue]],0)</f>
        <v>0.14632519674536487</v>
      </c>
      <c r="AA287" t="s">
        <v>3495</v>
      </c>
      <c r="AB287" s="79">
        <v>45353</v>
      </c>
      <c r="AC287">
        <f>OrdersTable[[#This Row],[Delivery Date]]-OrdersTable[[#This Row],[Order Date]]</f>
        <v>3</v>
      </c>
      <c r="AD287" t="str">
        <f>IF(OrdersTable[[#This Row],[Delivery Days]]&lt;=2, "Express (≤2d)", IF(OrdersTable[[#This Row],[Delivery Days]]&lt;=4, "Standard (3-4d)", "Delayed (5d+)"))</f>
        <v>Standard (3-4d)</v>
      </c>
      <c r="AF287">
        <v>0</v>
      </c>
    </row>
    <row r="288" spans="1:32" ht="15" x14ac:dyDescent="0.35">
      <c r="A288" t="s">
        <v>728</v>
      </c>
      <c r="B288" s="1">
        <v>45350</v>
      </c>
      <c r="C288">
        <f>YEAR(OrdersTable[[#This Row],[Order Date]])</f>
        <v>2024</v>
      </c>
      <c r="D288" s="2">
        <f>DATE(YEAR(OrdersTable[[#This Row],[Order Date]]),MONTH(OrdersTable[[#This Row],[Order Date]]),1)</f>
        <v>45323</v>
      </c>
      <c r="E288">
        <f>MONTH(OrdersTable[[#This Row],[Order Date]])</f>
        <v>2</v>
      </c>
      <c r="F288" t="s">
        <v>729</v>
      </c>
      <c r="G288" t="str">
        <f>IF(OrdersTable[[#This Row],[Order Date]]=_xlfn.MINIFS(Order_Date, Customer_ID, OrdersTable[[#This Row],[Customer ID]]), "New", "Repeat")</f>
        <v>New</v>
      </c>
      <c r="H288" t="s">
        <v>71</v>
      </c>
      <c r="I288" t="str">
        <f>INDEX(State!B:B,MATCH(OrdersTable[[#This Row],[State]],State!A:A,0))</f>
        <v>MH</v>
      </c>
      <c r="J288" t="str">
        <f>INDEX(State!C:C,MATCH(OrdersTable[[#This Row],[State Code]],State!B:B,0))</f>
        <v>West</v>
      </c>
      <c r="K288" t="s">
        <v>72</v>
      </c>
      <c r="L288" t="s">
        <v>39</v>
      </c>
      <c r="M288" t="s">
        <v>56</v>
      </c>
      <c r="N288" t="str">
        <f>INDEX(Products!B:B,MATCH(OrdersTable[[#This Row],[Product ID]],Products!A:A,0))</f>
        <v>Vitamin C Face Serum</v>
      </c>
      <c r="O288" t="str">
        <f>INDEX(Products!C:C,MATCH(OrdersTable[[#This Row],[Product ID]],Products!A:A,0))</f>
        <v>Skincare</v>
      </c>
      <c r="P288">
        <v>1</v>
      </c>
      <c r="Q288" s="5">
        <v>599</v>
      </c>
      <c r="R288" s="74">
        <v>0.1</v>
      </c>
      <c r="S288" s="75">
        <f>OrdersTable[[#This Row],[Quantity]]*OrdersTable[[#This Row],[Unit Price]]</f>
        <v>599</v>
      </c>
      <c r="T288" s="5">
        <f>OrdersTable[[#This Row],[Gross Sale]]*OrdersTable[[#This Row],[Discount_Clean2]]</f>
        <v>59.900000000000006</v>
      </c>
      <c r="U288" s="5">
        <f>OrdersTable[[#This Row],[Gross Sale]]-OrdersTable[[#This Row],[Discount Amount]]</f>
        <v>539.1</v>
      </c>
      <c r="V288" s="77">
        <f>INDEX(Products!E:E,MATCH(OrdersTable[[#This Row],[Product ID]],Products!A:A,0))</f>
        <v>180</v>
      </c>
      <c r="W288" s="77">
        <f>OrdersTable[[#This Row],[Quantity]]*OrdersTable[[#This Row],[Unit Cost]]</f>
        <v>180</v>
      </c>
      <c r="X288" s="77">
        <f>'Dropdown Lists'!$I$2*(1+OrdersTable[[#This Row],[Returned]])</f>
        <v>60</v>
      </c>
      <c r="Y288" s="76">
        <f>OrdersTable[[#This Row],[Net Revenue]]-OrdersTable[[#This Row],[COGS]]-OrdersTable[[#This Row],[Shipping Cost]]</f>
        <v>299.10000000000002</v>
      </c>
      <c r="Z288" s="78">
        <f>IFERROR(OrdersTable[[#This Row],[Profit]]/OrdersTable[[#This Row],[Net Revenue]],0)</f>
        <v>0.5548135781858653</v>
      </c>
      <c r="AA288" t="s">
        <v>18</v>
      </c>
      <c r="AB288" s="79">
        <v>45352</v>
      </c>
      <c r="AC288">
        <f>OrdersTable[[#This Row],[Delivery Date]]-OrdersTable[[#This Row],[Order Date]]</f>
        <v>2</v>
      </c>
      <c r="AD288" t="str">
        <f>IF(OrdersTable[[#This Row],[Delivery Days]]&lt;=2, "Express (≤2d)", IF(OrdersTable[[#This Row],[Delivery Days]]&lt;=4, "Standard (3-4d)", "Delayed (5d+)"))</f>
        <v>Express (≤2d)</v>
      </c>
      <c r="AE288">
        <v>4</v>
      </c>
      <c r="AF288">
        <v>0</v>
      </c>
    </row>
    <row r="289" spans="1:32" ht="15" x14ac:dyDescent="0.35">
      <c r="A289" t="s">
        <v>2543</v>
      </c>
      <c r="B289" s="1">
        <v>45350</v>
      </c>
      <c r="C289">
        <f>YEAR(OrdersTable[[#This Row],[Order Date]])</f>
        <v>2024</v>
      </c>
      <c r="D289" s="2">
        <f>DATE(YEAR(OrdersTable[[#This Row],[Order Date]]),MONTH(OrdersTable[[#This Row],[Order Date]]),1)</f>
        <v>45323</v>
      </c>
      <c r="E289">
        <f>MONTH(OrdersTable[[#This Row],[Order Date]])</f>
        <v>2</v>
      </c>
      <c r="F289" t="s">
        <v>2544</v>
      </c>
      <c r="G289" t="str">
        <f>IF(OrdersTable[[#This Row],[Order Date]]=_xlfn.MINIFS(Order_Date, Customer_ID, OrdersTable[[#This Row],[Customer ID]]), "New", "Repeat")</f>
        <v>New</v>
      </c>
      <c r="H289" t="s">
        <v>167</v>
      </c>
      <c r="I289" t="str">
        <f>INDEX(State!B:B,MATCH(OrdersTable[[#This Row],[State]],State!A:A,0))</f>
        <v>KA</v>
      </c>
      <c r="J289" t="str">
        <f>INDEX(State!C:C,MATCH(OrdersTable[[#This Row],[State Code]],State!B:B,0))</f>
        <v>South</v>
      </c>
      <c r="K289" t="s">
        <v>168</v>
      </c>
      <c r="L289" t="s">
        <v>65</v>
      </c>
      <c r="M289" t="s">
        <v>106</v>
      </c>
      <c r="N289" t="str">
        <f>INDEX(Products!B:B,MATCH(OrdersTable[[#This Row],[Product ID]],Products!A:A,0))</f>
        <v>Keratin Hair Mask</v>
      </c>
      <c r="O289" t="str">
        <f>INDEX(Products!C:C,MATCH(OrdersTable[[#This Row],[Product ID]],Products!A:A,0))</f>
        <v>Haircare</v>
      </c>
      <c r="P289">
        <v>1</v>
      </c>
      <c r="Q289" s="5">
        <v>549</v>
      </c>
      <c r="R289" s="74">
        <v>0.15</v>
      </c>
      <c r="S289" s="75">
        <f>OrdersTable[[#This Row],[Quantity]]*OrdersTable[[#This Row],[Unit Price]]</f>
        <v>549</v>
      </c>
      <c r="T289" s="5">
        <f>OrdersTable[[#This Row],[Gross Sale]]*OrdersTable[[#This Row],[Discount_Clean2]]</f>
        <v>82.35</v>
      </c>
      <c r="U289" s="5">
        <f>OrdersTable[[#This Row],[Gross Sale]]-OrdersTable[[#This Row],[Discount Amount]]</f>
        <v>466.65</v>
      </c>
      <c r="V289" s="77">
        <f>INDEX(Products!E:E,MATCH(OrdersTable[[#This Row],[Product ID]],Products!A:A,0))</f>
        <v>170</v>
      </c>
      <c r="W289" s="77">
        <f>OrdersTable[[#This Row],[Quantity]]*OrdersTable[[#This Row],[Unit Cost]]</f>
        <v>170</v>
      </c>
      <c r="X289" s="77">
        <f>'Dropdown Lists'!$I$2*(1+OrdersTable[[#This Row],[Returned]])</f>
        <v>60</v>
      </c>
      <c r="Y289" s="76">
        <f>OrdersTable[[#This Row],[Net Revenue]]-OrdersTable[[#This Row],[COGS]]-OrdersTable[[#This Row],[Shipping Cost]]</f>
        <v>236.64999999999998</v>
      </c>
      <c r="Z289" s="78">
        <f>IFERROR(OrdersTable[[#This Row],[Profit]]/OrdersTable[[#This Row],[Net Revenue]],0)</f>
        <v>0.50712525447337398</v>
      </c>
      <c r="AA289" t="s">
        <v>2522</v>
      </c>
      <c r="AB289" s="79">
        <v>45352</v>
      </c>
      <c r="AC289">
        <f>OrdersTable[[#This Row],[Delivery Date]]-OrdersTable[[#This Row],[Order Date]]</f>
        <v>2</v>
      </c>
      <c r="AD289" t="str">
        <f>IF(OrdersTable[[#This Row],[Delivery Days]]&lt;=2, "Express (≤2d)", IF(OrdersTable[[#This Row],[Delivery Days]]&lt;=4, "Standard (3-4d)", "Delayed (5d+)"))</f>
        <v>Express (≤2d)</v>
      </c>
      <c r="AE289">
        <v>5</v>
      </c>
      <c r="AF289">
        <v>0</v>
      </c>
    </row>
    <row r="290" spans="1:32" ht="15" x14ac:dyDescent="0.35">
      <c r="A290" t="s">
        <v>3507</v>
      </c>
      <c r="B290" s="1">
        <v>45351</v>
      </c>
      <c r="C290">
        <f>YEAR(OrdersTable[[#This Row],[Order Date]])</f>
        <v>2024</v>
      </c>
      <c r="D290" s="2">
        <f>DATE(YEAR(OrdersTable[[#This Row],[Order Date]]),MONTH(OrdersTable[[#This Row],[Order Date]]),1)</f>
        <v>45323</v>
      </c>
      <c r="E290">
        <f>MONTH(OrdersTable[[#This Row],[Order Date]])</f>
        <v>2</v>
      </c>
      <c r="F290" t="s">
        <v>1620</v>
      </c>
      <c r="G290" t="str">
        <f>IF(OrdersTable[[#This Row],[Order Date]]=_xlfn.MINIFS(Order_Date, Customer_ID, OrdersTable[[#This Row],[Customer ID]]), "New", "Repeat")</f>
        <v>Repeat</v>
      </c>
      <c r="H290" t="s">
        <v>71</v>
      </c>
      <c r="I290" t="str">
        <f>INDEX(State!B:B,MATCH(OrdersTable[[#This Row],[State]],State!A:A,0))</f>
        <v>MH</v>
      </c>
      <c r="J290" t="str">
        <f>INDEX(State!C:C,MATCH(OrdersTable[[#This Row],[State Code]],State!B:B,0))</f>
        <v>West</v>
      </c>
      <c r="K290" t="s">
        <v>81</v>
      </c>
      <c r="L290" t="s">
        <v>23</v>
      </c>
      <c r="M290" t="s">
        <v>148</v>
      </c>
      <c r="N290" t="str">
        <f>INDEX(Products!B:B,MATCH(OrdersTable[[#This Row],[Product ID]],Products!A:A,0))</f>
        <v>Smartwatch Strap</v>
      </c>
      <c r="O290" t="str">
        <f>INDEX(Products!C:C,MATCH(OrdersTable[[#This Row],[Product ID]],Products!A:A,0))</f>
        <v>Electronics</v>
      </c>
      <c r="P290">
        <v>1</v>
      </c>
      <c r="Q290" s="5">
        <v>499</v>
      </c>
      <c r="R290" s="74">
        <v>0.1</v>
      </c>
      <c r="S290" s="75">
        <f>OrdersTable[[#This Row],[Quantity]]*OrdersTable[[#This Row],[Unit Price]]</f>
        <v>499</v>
      </c>
      <c r="T290" s="5">
        <f>OrdersTable[[#This Row],[Gross Sale]]*OrdersTable[[#This Row],[Discount_Clean2]]</f>
        <v>49.900000000000006</v>
      </c>
      <c r="U290" s="5">
        <f>OrdersTable[[#This Row],[Gross Sale]]-OrdersTable[[#This Row],[Discount Amount]]</f>
        <v>449.1</v>
      </c>
      <c r="V290" s="77">
        <f>INDEX(Products!E:E,MATCH(OrdersTable[[#This Row],[Product ID]],Products!A:A,0))</f>
        <v>200</v>
      </c>
      <c r="W290" s="77">
        <f>OrdersTable[[#This Row],[Quantity]]*OrdersTable[[#This Row],[Unit Cost]]</f>
        <v>200</v>
      </c>
      <c r="X290" s="77">
        <f>'Dropdown Lists'!$I$2*(1+OrdersTable[[#This Row],[Returned]])</f>
        <v>60</v>
      </c>
      <c r="Y290" s="76">
        <f>OrdersTable[[#This Row],[Net Revenue]]-OrdersTable[[#This Row],[COGS]]-OrdersTable[[#This Row],[Shipping Cost]]</f>
        <v>189.10000000000002</v>
      </c>
      <c r="Z290" s="78">
        <f>IFERROR(OrdersTable[[#This Row],[Profit]]/OrdersTable[[#This Row],[Net Revenue]],0)</f>
        <v>0.42106435092407041</v>
      </c>
      <c r="AA290" t="s">
        <v>3495</v>
      </c>
      <c r="AB290" s="79">
        <v>45355</v>
      </c>
      <c r="AC290">
        <f>OrdersTable[[#This Row],[Delivery Date]]-OrdersTable[[#This Row],[Order Date]]</f>
        <v>4</v>
      </c>
      <c r="AD290" t="str">
        <f>IF(OrdersTable[[#This Row],[Delivery Days]]&lt;=2, "Express (≤2d)", IF(OrdersTable[[#This Row],[Delivery Days]]&lt;=4, "Standard (3-4d)", "Delayed (5d+)"))</f>
        <v>Standard (3-4d)</v>
      </c>
      <c r="AE290">
        <v>4</v>
      </c>
      <c r="AF290">
        <v>0</v>
      </c>
    </row>
    <row r="291" spans="1:32" ht="15" x14ac:dyDescent="0.35">
      <c r="A291" t="s">
        <v>730</v>
      </c>
      <c r="B291" s="1">
        <v>45351</v>
      </c>
      <c r="C291">
        <f>YEAR(OrdersTable[[#This Row],[Order Date]])</f>
        <v>2024</v>
      </c>
      <c r="D291" s="2">
        <f>DATE(YEAR(OrdersTable[[#This Row],[Order Date]]),MONTH(OrdersTable[[#This Row],[Order Date]]),1)</f>
        <v>45323</v>
      </c>
      <c r="E291">
        <f>MONTH(OrdersTable[[#This Row],[Order Date]])</f>
        <v>2</v>
      </c>
      <c r="F291" t="s">
        <v>249</v>
      </c>
      <c r="G291" t="str">
        <f>IF(OrdersTable[[#This Row],[Order Date]]=_xlfn.MINIFS(Order_Date, Customer_ID, OrdersTable[[#This Row],[Customer ID]]), "New", "Repeat")</f>
        <v>New</v>
      </c>
      <c r="H291" t="s">
        <v>71</v>
      </c>
      <c r="I291" t="str">
        <f>INDEX(State!B:B,MATCH(OrdersTable[[#This Row],[State]],State!A:A,0))</f>
        <v>MH</v>
      </c>
      <c r="J291" t="str">
        <f>INDEX(State!C:C,MATCH(OrdersTable[[#This Row],[State Code]],State!B:B,0))</f>
        <v>West</v>
      </c>
      <c r="K291" t="s">
        <v>102</v>
      </c>
      <c r="L291" t="s">
        <v>65</v>
      </c>
      <c r="M291" t="s">
        <v>73</v>
      </c>
      <c r="N291" t="str">
        <f>INDEX(Products!B:B,MATCH(OrdersTable[[#This Row],[Product ID]],Products!A:A,0))</f>
        <v>Hydrating Face Wash</v>
      </c>
      <c r="O291" t="str">
        <f>INDEX(Products!C:C,MATCH(OrdersTable[[#This Row],[Product ID]],Products!A:A,0))</f>
        <v>Skincare</v>
      </c>
      <c r="P291">
        <v>1</v>
      </c>
      <c r="Q291" s="5">
        <v>299</v>
      </c>
      <c r="R291" s="74">
        <v>0.1</v>
      </c>
      <c r="S291" s="75">
        <f>OrdersTable[[#This Row],[Quantity]]*OrdersTable[[#This Row],[Unit Price]]</f>
        <v>299</v>
      </c>
      <c r="T291" s="5">
        <f>OrdersTable[[#This Row],[Gross Sale]]*OrdersTable[[#This Row],[Discount_Clean2]]</f>
        <v>29.900000000000002</v>
      </c>
      <c r="U291" s="5">
        <f>OrdersTable[[#This Row],[Gross Sale]]-OrdersTable[[#This Row],[Discount Amount]]</f>
        <v>269.10000000000002</v>
      </c>
      <c r="V291" s="77">
        <f>INDEX(Products!E:E,MATCH(OrdersTable[[#This Row],[Product ID]],Products!A:A,0))</f>
        <v>90</v>
      </c>
      <c r="W291" s="77">
        <f>OrdersTable[[#This Row],[Quantity]]*OrdersTable[[#This Row],[Unit Cost]]</f>
        <v>90</v>
      </c>
      <c r="X291" s="77">
        <f>'Dropdown Lists'!$I$2*(1+OrdersTable[[#This Row],[Returned]])</f>
        <v>60</v>
      </c>
      <c r="Y291" s="76">
        <f>OrdersTable[[#This Row],[Net Revenue]]-OrdersTable[[#This Row],[COGS]]-OrdersTable[[#This Row],[Shipping Cost]]</f>
        <v>119.10000000000002</v>
      </c>
      <c r="Z291" s="78">
        <f>IFERROR(OrdersTable[[#This Row],[Profit]]/OrdersTable[[#This Row],[Net Revenue]],0)</f>
        <v>0.4425863991081383</v>
      </c>
      <c r="AA291" t="s">
        <v>18</v>
      </c>
      <c r="AB291" s="79">
        <v>45352</v>
      </c>
      <c r="AC291">
        <f>OrdersTable[[#This Row],[Delivery Date]]-OrdersTable[[#This Row],[Order Date]]</f>
        <v>1</v>
      </c>
      <c r="AD291" t="str">
        <f>IF(OrdersTable[[#This Row],[Delivery Days]]&lt;=2, "Express (≤2d)", IF(OrdersTable[[#This Row],[Delivery Days]]&lt;=4, "Standard (3-4d)", "Delayed (5d+)"))</f>
        <v>Express (≤2d)</v>
      </c>
      <c r="AE291">
        <v>4</v>
      </c>
      <c r="AF291">
        <v>0</v>
      </c>
    </row>
    <row r="292" spans="1:32" ht="15" x14ac:dyDescent="0.35">
      <c r="A292" t="s">
        <v>6043</v>
      </c>
      <c r="B292" s="1">
        <v>45351</v>
      </c>
      <c r="C292">
        <f>YEAR(OrdersTable[[#This Row],[Order Date]])</f>
        <v>2024</v>
      </c>
      <c r="D292" s="2">
        <f>DATE(YEAR(OrdersTable[[#This Row],[Order Date]]),MONTH(OrdersTable[[#This Row],[Order Date]]),1)</f>
        <v>45323</v>
      </c>
      <c r="E292">
        <f>MONTH(OrdersTable[[#This Row],[Order Date]])</f>
        <v>2</v>
      </c>
      <c r="F292" t="s">
        <v>4083</v>
      </c>
      <c r="G292" t="str">
        <f>IF(OrdersTable[[#This Row],[Order Date]]=_xlfn.MINIFS(Order_Date, Customer_ID, OrdersTable[[#This Row],[Customer ID]]), "New", "Repeat")</f>
        <v>New</v>
      </c>
      <c r="H292" t="s">
        <v>167</v>
      </c>
      <c r="I292" t="str">
        <f>INDEX(State!B:B,MATCH(OrdersTable[[#This Row],[State]],State!A:A,0))</f>
        <v>KA</v>
      </c>
      <c r="J292" t="str">
        <f>INDEX(State!C:C,MATCH(OrdersTable[[#This Row],[State Code]],State!B:B,0))</f>
        <v>South</v>
      </c>
      <c r="K292" t="s">
        <v>190</v>
      </c>
      <c r="L292" t="s">
        <v>23</v>
      </c>
      <c r="M292" t="s">
        <v>24</v>
      </c>
      <c r="N292" t="str">
        <f>INDEX(Products!B:B,MATCH(OrdersTable[[#This Row],[Product ID]],Products!A:A,0))</f>
        <v>Scented Candle Set</v>
      </c>
      <c r="O292" t="str">
        <f>INDEX(Products!C:C,MATCH(OrdersTable[[#This Row],[Product ID]],Products!A:A,0))</f>
        <v>Home &amp; Kitchen</v>
      </c>
      <c r="P292">
        <v>2</v>
      </c>
      <c r="Q292" s="5">
        <v>699</v>
      </c>
      <c r="R292" s="74">
        <v>0.3</v>
      </c>
      <c r="S292" s="75">
        <f>OrdersTable[[#This Row],[Quantity]]*OrdersTable[[#This Row],[Unit Price]]</f>
        <v>1398</v>
      </c>
      <c r="T292" s="5">
        <f>OrdersTable[[#This Row],[Gross Sale]]*OrdersTable[[#This Row],[Discount_Clean2]]</f>
        <v>419.4</v>
      </c>
      <c r="U292" s="5">
        <f>OrdersTable[[#This Row],[Gross Sale]]-OrdersTable[[#This Row],[Discount Amount]]</f>
        <v>978.6</v>
      </c>
      <c r="V292" s="77">
        <f>INDEX(Products!E:E,MATCH(OrdersTable[[#This Row],[Product ID]],Products!A:A,0))</f>
        <v>245</v>
      </c>
      <c r="W292" s="77">
        <f>OrdersTable[[#This Row],[Quantity]]*OrdersTable[[#This Row],[Unit Cost]]</f>
        <v>490</v>
      </c>
      <c r="X292" s="77">
        <f>'Dropdown Lists'!$I$2*(1+OrdersTable[[#This Row],[Returned]])</f>
        <v>60</v>
      </c>
      <c r="Y292" s="76">
        <f>OrdersTable[[#This Row],[Net Revenue]]-OrdersTable[[#This Row],[COGS]]-OrdersTable[[#This Row],[Shipping Cost]]</f>
        <v>428.6</v>
      </c>
      <c r="Z292" s="78">
        <f>IFERROR(OrdersTable[[#This Row],[Profit]]/OrdersTable[[#This Row],[Net Revenue]],0)</f>
        <v>0.43797261393827919</v>
      </c>
      <c r="AA292" t="s">
        <v>18</v>
      </c>
      <c r="AB292" s="79">
        <v>45354</v>
      </c>
      <c r="AC292">
        <f>OrdersTable[[#This Row],[Delivery Date]]-OrdersTable[[#This Row],[Order Date]]</f>
        <v>3</v>
      </c>
      <c r="AD292" t="str">
        <f>IF(OrdersTable[[#This Row],[Delivery Days]]&lt;=2, "Express (≤2d)", IF(OrdersTable[[#This Row],[Delivery Days]]&lt;=4, "Standard (3-4d)", "Delayed (5d+)"))</f>
        <v>Standard (3-4d)</v>
      </c>
      <c r="AE292">
        <v>4</v>
      </c>
      <c r="AF292">
        <v>0</v>
      </c>
    </row>
    <row r="293" spans="1:32" ht="15" x14ac:dyDescent="0.35">
      <c r="A293" t="s">
        <v>4455</v>
      </c>
      <c r="B293" s="1">
        <v>45352</v>
      </c>
      <c r="C293">
        <f>YEAR(OrdersTable[[#This Row],[Order Date]])</f>
        <v>2024</v>
      </c>
      <c r="D293" s="2">
        <f>DATE(YEAR(OrdersTable[[#This Row],[Order Date]]),MONTH(OrdersTable[[#This Row],[Order Date]]),1)</f>
        <v>45352</v>
      </c>
      <c r="E293">
        <f>MONTH(OrdersTable[[#This Row],[Order Date]])</f>
        <v>3</v>
      </c>
      <c r="F293" t="s">
        <v>4456</v>
      </c>
      <c r="G293" t="str">
        <f>IF(OrdersTable[[#This Row],[Order Date]]=_xlfn.MINIFS(Order_Date, Customer_ID, OrdersTable[[#This Row],[Customer ID]]), "New", "Repeat")</f>
        <v>New</v>
      </c>
      <c r="H293" t="s">
        <v>43</v>
      </c>
      <c r="I293" t="str">
        <f>INDEX(State!B:B,MATCH(OrdersTable[[#This Row],[State]],State!A:A,0))</f>
        <v>MP</v>
      </c>
      <c r="J293" t="str">
        <f>INDEX(State!C:C,MATCH(OrdersTable[[#This Row],[State Code]],State!B:B,0))</f>
        <v>West</v>
      </c>
      <c r="K293" t="s">
        <v>250</v>
      </c>
      <c r="L293" t="s">
        <v>39</v>
      </c>
      <c r="M293" t="s">
        <v>179</v>
      </c>
      <c r="N293" t="str">
        <f>INDEX(Products!B:B,MATCH(OrdersTable[[#This Row],[Product ID]],Products!A:A,0))</f>
        <v>Whey Protein 1kg</v>
      </c>
      <c r="O293" t="str">
        <f>INDEX(Products!C:C,MATCH(OrdersTable[[#This Row],[Product ID]],Products!A:A,0))</f>
        <v>Wellness</v>
      </c>
      <c r="P293">
        <v>1</v>
      </c>
      <c r="Q293" s="5">
        <v>2299</v>
      </c>
      <c r="R293" s="74">
        <v>0.25</v>
      </c>
      <c r="S293" s="75">
        <f>OrdersTable[[#This Row],[Quantity]]*OrdersTable[[#This Row],[Unit Price]]</f>
        <v>2299</v>
      </c>
      <c r="T293" s="5">
        <f>OrdersTable[[#This Row],[Gross Sale]]*OrdersTable[[#This Row],[Discount_Clean2]]</f>
        <v>574.75</v>
      </c>
      <c r="U293" s="5">
        <f>OrdersTable[[#This Row],[Gross Sale]]-OrdersTable[[#This Row],[Discount Amount]]</f>
        <v>1724.25</v>
      </c>
      <c r="V293" s="77">
        <f>INDEX(Products!E:E,MATCH(OrdersTable[[#This Row],[Product ID]],Products!A:A,0))</f>
        <v>1333</v>
      </c>
      <c r="W293" s="77">
        <f>OrdersTable[[#This Row],[Quantity]]*OrdersTable[[#This Row],[Unit Cost]]</f>
        <v>1333</v>
      </c>
      <c r="X293" s="77">
        <f>'Dropdown Lists'!$I$2*(1+OrdersTable[[#This Row],[Returned]])</f>
        <v>60</v>
      </c>
      <c r="Y293" s="76">
        <f>OrdersTable[[#This Row],[Net Revenue]]-OrdersTable[[#This Row],[COGS]]-OrdersTable[[#This Row],[Shipping Cost]]</f>
        <v>331.25</v>
      </c>
      <c r="Z293" s="78">
        <f>IFERROR(OrdersTable[[#This Row],[Profit]]/OrdersTable[[#This Row],[Net Revenue]],0)</f>
        <v>0.19211251268667537</v>
      </c>
      <c r="AA293" t="s">
        <v>4450</v>
      </c>
      <c r="AB293" s="79">
        <v>45356</v>
      </c>
      <c r="AC293">
        <f>OrdersTable[[#This Row],[Delivery Date]]-OrdersTable[[#This Row],[Order Date]]</f>
        <v>4</v>
      </c>
      <c r="AD293" t="str">
        <f>IF(OrdersTable[[#This Row],[Delivery Days]]&lt;=2, "Express (≤2d)", IF(OrdersTable[[#This Row],[Delivery Days]]&lt;=4, "Standard (3-4d)", "Delayed (5d+)"))</f>
        <v>Standard (3-4d)</v>
      </c>
      <c r="AE293">
        <v>4</v>
      </c>
      <c r="AF293">
        <v>0</v>
      </c>
    </row>
    <row r="294" spans="1:32" ht="15" x14ac:dyDescent="0.35">
      <c r="A294" t="s">
        <v>2879</v>
      </c>
      <c r="B294" s="1">
        <v>45352</v>
      </c>
      <c r="C294">
        <f>YEAR(OrdersTable[[#This Row],[Order Date]])</f>
        <v>2024</v>
      </c>
      <c r="D294" s="2">
        <f>DATE(YEAR(OrdersTable[[#This Row],[Order Date]]),MONTH(OrdersTable[[#This Row],[Order Date]]),1)</f>
        <v>45352</v>
      </c>
      <c r="E294">
        <f>MONTH(OrdersTable[[#This Row],[Order Date]])</f>
        <v>3</v>
      </c>
      <c r="F294" t="s">
        <v>1717</v>
      </c>
      <c r="G294" t="str">
        <f>IF(OrdersTable[[#This Row],[Order Date]]=_xlfn.MINIFS(Order_Date, Customer_ID, OrdersTable[[#This Row],[Customer ID]]), "New", "Repeat")</f>
        <v>New</v>
      </c>
      <c r="H294" t="s">
        <v>27</v>
      </c>
      <c r="I294" t="str">
        <f>INDEX(State!B:B,MATCH(OrdersTable[[#This Row],[State]],State!A:A,0))</f>
        <v>WB</v>
      </c>
      <c r="J294" t="str">
        <f>INDEX(State!C:C,MATCH(OrdersTable[[#This Row],[State Code]],State!B:B,0))</f>
        <v>East</v>
      </c>
      <c r="K294" t="s">
        <v>28</v>
      </c>
      <c r="L294" t="s">
        <v>23</v>
      </c>
      <c r="M294" t="s">
        <v>29</v>
      </c>
      <c r="N294" t="str">
        <f>INDEX(Products!B:B,MATCH(OrdersTable[[#This Row],[Product ID]],Products!A:A,0))</f>
        <v>Joggers</v>
      </c>
      <c r="O294" t="str">
        <f>INDEX(Products!C:C,MATCH(OrdersTable[[#This Row],[Product ID]],Products!A:A,0))</f>
        <v>Apparel</v>
      </c>
      <c r="P294">
        <v>1</v>
      </c>
      <c r="Q294" s="5">
        <v>1199</v>
      </c>
      <c r="R294" s="74">
        <v>0.05</v>
      </c>
      <c r="S294" s="75">
        <f>OrdersTable[[#This Row],[Quantity]]*OrdersTable[[#This Row],[Unit Price]]</f>
        <v>1199</v>
      </c>
      <c r="T294" s="5">
        <f>OrdersTable[[#This Row],[Gross Sale]]*OrdersTable[[#This Row],[Discount_Clean2]]</f>
        <v>59.95</v>
      </c>
      <c r="U294" s="5">
        <f>OrdersTable[[#This Row],[Gross Sale]]-OrdersTable[[#This Row],[Discount Amount]]</f>
        <v>1139.05</v>
      </c>
      <c r="V294" s="77">
        <f>INDEX(Products!E:E,MATCH(OrdersTable[[#This Row],[Product ID]],Products!A:A,0))</f>
        <v>492</v>
      </c>
      <c r="W294" s="77">
        <f>OrdersTable[[#This Row],[Quantity]]*OrdersTable[[#This Row],[Unit Cost]]</f>
        <v>492</v>
      </c>
      <c r="X294" s="77">
        <f>'Dropdown Lists'!$I$2*(1+OrdersTable[[#This Row],[Returned]])</f>
        <v>120</v>
      </c>
      <c r="Y294" s="76">
        <f>OrdersTable[[#This Row],[Net Revenue]]-OrdersTable[[#This Row],[COGS]]-OrdersTable[[#This Row],[Shipping Cost]]</f>
        <v>527.04999999999995</v>
      </c>
      <c r="Z294" s="78">
        <f>IFERROR(OrdersTable[[#This Row],[Profit]]/OrdersTable[[#This Row],[Net Revenue]],0)</f>
        <v>0.46271015319784026</v>
      </c>
      <c r="AA294" t="s">
        <v>2522</v>
      </c>
      <c r="AB294" s="79">
        <v>45353</v>
      </c>
      <c r="AC294">
        <f>OrdersTable[[#This Row],[Delivery Date]]-OrdersTable[[#This Row],[Order Date]]</f>
        <v>1</v>
      </c>
      <c r="AD294" t="str">
        <f>IF(OrdersTable[[#This Row],[Delivery Days]]&lt;=2, "Express (≤2d)", IF(OrdersTable[[#This Row],[Delivery Days]]&lt;=4, "Standard (3-4d)", "Delayed (5d+)"))</f>
        <v>Express (≤2d)</v>
      </c>
      <c r="AF294">
        <v>1</v>
      </c>
    </row>
    <row r="295" spans="1:32" ht="15" x14ac:dyDescent="0.35">
      <c r="A295" t="s">
        <v>4457</v>
      </c>
      <c r="B295" s="1">
        <v>45352</v>
      </c>
      <c r="C295">
        <f>YEAR(OrdersTable[[#This Row],[Order Date]])</f>
        <v>2024</v>
      </c>
      <c r="D295" s="2">
        <f>DATE(YEAR(OrdersTable[[#This Row],[Order Date]]),MONTH(OrdersTable[[#This Row],[Order Date]]),1)</f>
        <v>45352</v>
      </c>
      <c r="E295">
        <f>MONTH(OrdersTable[[#This Row],[Order Date]])</f>
        <v>3</v>
      </c>
      <c r="F295" t="s">
        <v>2662</v>
      </c>
      <c r="G295" t="str">
        <f>IF(OrdersTable[[#This Row],[Order Date]]=_xlfn.MINIFS(Order_Date, Customer_ID, OrdersTable[[#This Row],[Customer ID]]), "New", "Repeat")</f>
        <v>New</v>
      </c>
      <c r="H295" t="s">
        <v>71</v>
      </c>
      <c r="I295" t="str">
        <f>INDEX(State!B:B,MATCH(OrdersTable[[#This Row],[State]],State!A:A,0))</f>
        <v>MH</v>
      </c>
      <c r="J295" t="str">
        <f>INDEX(State!C:C,MATCH(OrdersTable[[#This Row],[State Code]],State!B:B,0))</f>
        <v>West</v>
      </c>
      <c r="K295" t="s">
        <v>102</v>
      </c>
      <c r="L295" t="s">
        <v>16</v>
      </c>
      <c r="M295" t="s">
        <v>255</v>
      </c>
      <c r="N295" t="str">
        <f>INDEX(Products!B:B,MATCH(OrdersTable[[#This Row],[Product ID]],Products!A:A,0))</f>
        <v>Cotton Oversized T-Shirt</v>
      </c>
      <c r="O295" t="str">
        <f>INDEX(Products!C:C,MATCH(OrdersTable[[#This Row],[Product ID]],Products!A:A,0))</f>
        <v>Apparel</v>
      </c>
      <c r="P295">
        <v>1</v>
      </c>
      <c r="Q295" s="5">
        <v>799</v>
      </c>
      <c r="R295" s="74">
        <v>0.1</v>
      </c>
      <c r="S295" s="75">
        <f>OrdersTable[[#This Row],[Quantity]]*OrdersTable[[#This Row],[Unit Price]]</f>
        <v>799</v>
      </c>
      <c r="T295" s="5">
        <f>OrdersTable[[#This Row],[Gross Sale]]*OrdersTable[[#This Row],[Discount_Clean2]]</f>
        <v>79.900000000000006</v>
      </c>
      <c r="U295" s="5">
        <f>OrdersTable[[#This Row],[Gross Sale]]-OrdersTable[[#This Row],[Discount Amount]]</f>
        <v>719.1</v>
      </c>
      <c r="V295" s="77">
        <f>INDEX(Products!E:E,MATCH(OrdersTable[[#This Row],[Product ID]],Products!A:A,0))</f>
        <v>320</v>
      </c>
      <c r="W295" s="77">
        <f>OrdersTable[[#This Row],[Quantity]]*OrdersTable[[#This Row],[Unit Cost]]</f>
        <v>320</v>
      </c>
      <c r="X295" s="77">
        <f>'Dropdown Lists'!$I$2*(1+OrdersTable[[#This Row],[Returned]])</f>
        <v>60</v>
      </c>
      <c r="Y295" s="76">
        <f>OrdersTable[[#This Row],[Net Revenue]]-OrdersTable[[#This Row],[COGS]]-OrdersTable[[#This Row],[Shipping Cost]]</f>
        <v>339.1</v>
      </c>
      <c r="Z295" s="78">
        <f>IFERROR(OrdersTable[[#This Row],[Profit]]/OrdersTable[[#This Row],[Net Revenue]],0)</f>
        <v>0.47156167431511614</v>
      </c>
      <c r="AA295" t="s">
        <v>4450</v>
      </c>
      <c r="AB295" s="79">
        <v>45353</v>
      </c>
      <c r="AC295">
        <f>OrdersTable[[#This Row],[Delivery Date]]-OrdersTable[[#This Row],[Order Date]]</f>
        <v>1</v>
      </c>
      <c r="AD295" t="str">
        <f>IF(OrdersTable[[#This Row],[Delivery Days]]&lt;=2, "Express (≤2d)", IF(OrdersTable[[#This Row],[Delivery Days]]&lt;=4, "Standard (3-4d)", "Delayed (5d+)"))</f>
        <v>Express (≤2d)</v>
      </c>
      <c r="AE295">
        <v>4</v>
      </c>
      <c r="AF295">
        <v>0</v>
      </c>
    </row>
    <row r="296" spans="1:32" ht="15" x14ac:dyDescent="0.35">
      <c r="A296" t="s">
        <v>3395</v>
      </c>
      <c r="B296" s="1">
        <v>45352</v>
      </c>
      <c r="C296">
        <f>YEAR(OrdersTable[[#This Row],[Order Date]])</f>
        <v>2024</v>
      </c>
      <c r="D296" s="2">
        <f>DATE(YEAR(OrdersTable[[#This Row],[Order Date]]),MONTH(OrdersTable[[#This Row],[Order Date]]),1)</f>
        <v>45352</v>
      </c>
      <c r="E296">
        <f>MONTH(OrdersTable[[#This Row],[Order Date]])</f>
        <v>3</v>
      </c>
      <c r="F296" t="s">
        <v>2928</v>
      </c>
      <c r="G296" t="str">
        <f>IF(OrdersTable[[#This Row],[Order Date]]=_xlfn.MINIFS(Order_Date, Customer_ID, OrdersTable[[#This Row],[Customer ID]]), "New", "Repeat")</f>
        <v>New</v>
      </c>
      <c r="H296" t="s">
        <v>95</v>
      </c>
      <c r="I296" t="str">
        <f>INDEX(State!B:B,MATCH(OrdersTable[[#This Row],[State]],State!A:A,0))</f>
        <v>TG</v>
      </c>
      <c r="J296" t="str">
        <f>INDEX(State!C:C,MATCH(OrdersTable[[#This Row],[State Code]],State!B:B,0))</f>
        <v>South</v>
      </c>
      <c r="K296" t="s">
        <v>96</v>
      </c>
      <c r="L296" t="s">
        <v>65</v>
      </c>
      <c r="M296" t="s">
        <v>106</v>
      </c>
      <c r="N296" t="str">
        <f>INDEX(Products!B:B,MATCH(OrdersTable[[#This Row],[Product ID]],Products!A:A,0))</f>
        <v>Keratin Hair Mask</v>
      </c>
      <c r="O296" t="str">
        <f>INDEX(Products!C:C,MATCH(OrdersTable[[#This Row],[Product ID]],Products!A:A,0))</f>
        <v>Haircare</v>
      </c>
      <c r="P296">
        <v>1</v>
      </c>
      <c r="Q296" s="5">
        <v>549</v>
      </c>
      <c r="R296" s="74">
        <v>0.2</v>
      </c>
      <c r="S296" s="75">
        <f>OrdersTable[[#This Row],[Quantity]]*OrdersTable[[#This Row],[Unit Price]]</f>
        <v>549</v>
      </c>
      <c r="T296" s="5">
        <f>OrdersTable[[#This Row],[Gross Sale]]*OrdersTable[[#This Row],[Discount_Clean2]]</f>
        <v>109.80000000000001</v>
      </c>
      <c r="U296" s="5">
        <f>OrdersTable[[#This Row],[Gross Sale]]-OrdersTable[[#This Row],[Discount Amount]]</f>
        <v>439.2</v>
      </c>
      <c r="V296" s="77">
        <f>INDEX(Products!E:E,MATCH(OrdersTable[[#This Row],[Product ID]],Products!A:A,0))</f>
        <v>170</v>
      </c>
      <c r="W296" s="77">
        <f>OrdersTable[[#This Row],[Quantity]]*OrdersTable[[#This Row],[Unit Cost]]</f>
        <v>170</v>
      </c>
      <c r="X296" s="77">
        <f>'Dropdown Lists'!$I$2*(1+OrdersTable[[#This Row],[Returned]])</f>
        <v>60</v>
      </c>
      <c r="Y296" s="76">
        <f>OrdersTable[[#This Row],[Net Revenue]]-OrdersTable[[#This Row],[COGS]]-OrdersTable[[#This Row],[Shipping Cost]]</f>
        <v>209.2</v>
      </c>
      <c r="Z296" s="78">
        <f>IFERROR(OrdersTable[[#This Row],[Profit]]/OrdersTable[[#This Row],[Net Revenue]],0)</f>
        <v>0.47632058287795992</v>
      </c>
      <c r="AA296" t="s">
        <v>2522</v>
      </c>
      <c r="AB296" s="79">
        <v>45354</v>
      </c>
      <c r="AC296">
        <f>OrdersTable[[#This Row],[Delivery Date]]-OrdersTable[[#This Row],[Order Date]]</f>
        <v>2</v>
      </c>
      <c r="AD296" t="str">
        <f>IF(OrdersTable[[#This Row],[Delivery Days]]&lt;=2, "Express (≤2d)", IF(OrdersTable[[#This Row],[Delivery Days]]&lt;=4, "Standard (3-4d)", "Delayed (5d+)"))</f>
        <v>Express (≤2d)</v>
      </c>
      <c r="AE296">
        <v>4</v>
      </c>
      <c r="AF296">
        <v>0</v>
      </c>
    </row>
    <row r="297" spans="1:32" ht="15" x14ac:dyDescent="0.35">
      <c r="A297" t="s">
        <v>6044</v>
      </c>
      <c r="B297" s="1">
        <v>45352</v>
      </c>
      <c r="C297">
        <f>YEAR(OrdersTable[[#This Row],[Order Date]])</f>
        <v>2024</v>
      </c>
      <c r="D297" s="2">
        <f>DATE(YEAR(OrdersTable[[#This Row],[Order Date]]),MONTH(OrdersTable[[#This Row],[Order Date]]),1)</f>
        <v>45352</v>
      </c>
      <c r="E297">
        <f>MONTH(OrdersTable[[#This Row],[Order Date]])</f>
        <v>3</v>
      </c>
      <c r="F297" t="s">
        <v>2260</v>
      </c>
      <c r="G297" t="str">
        <f>IF(OrdersTable[[#This Row],[Order Date]]=_xlfn.MINIFS(Order_Date, Customer_ID, OrdersTable[[#This Row],[Customer ID]]), "New", "Repeat")</f>
        <v>New</v>
      </c>
      <c r="H297" t="s">
        <v>14</v>
      </c>
      <c r="I297" t="str">
        <f>INDEX(State!B:B,MATCH(OrdersTable[[#This Row],[State]],State!A:A,0))</f>
        <v>OD</v>
      </c>
      <c r="J297" t="str">
        <f>INDEX(State!C:C,MATCH(OrdersTable[[#This Row],[State Code]],State!B:B,0))</f>
        <v>East</v>
      </c>
      <c r="K297" t="s">
        <v>15</v>
      </c>
      <c r="L297" t="s">
        <v>65</v>
      </c>
      <c r="M297" t="s">
        <v>56</v>
      </c>
      <c r="N297" t="str">
        <f>INDEX(Products!B:B,MATCH(OrdersTable[[#This Row],[Product ID]],Products!A:A,0))</f>
        <v>Vitamin C Face Serum</v>
      </c>
      <c r="O297" t="str">
        <f>INDEX(Products!C:C,MATCH(OrdersTable[[#This Row],[Product ID]],Products!A:A,0))</f>
        <v>Skincare</v>
      </c>
      <c r="P297">
        <v>2</v>
      </c>
      <c r="Q297" s="5">
        <v>599</v>
      </c>
      <c r="R297" s="74">
        <v>0.2</v>
      </c>
      <c r="S297" s="75">
        <f>OrdersTable[[#This Row],[Quantity]]*OrdersTable[[#This Row],[Unit Price]]</f>
        <v>1198</v>
      </c>
      <c r="T297" s="5">
        <f>OrdersTable[[#This Row],[Gross Sale]]*OrdersTable[[#This Row],[Discount_Clean2]]</f>
        <v>239.60000000000002</v>
      </c>
      <c r="U297" s="5">
        <f>OrdersTable[[#This Row],[Gross Sale]]-OrdersTable[[#This Row],[Discount Amount]]</f>
        <v>958.4</v>
      </c>
      <c r="V297" s="77">
        <f>INDEX(Products!E:E,MATCH(OrdersTable[[#This Row],[Product ID]],Products!A:A,0))</f>
        <v>180</v>
      </c>
      <c r="W297" s="77">
        <f>OrdersTable[[#This Row],[Quantity]]*OrdersTable[[#This Row],[Unit Cost]]</f>
        <v>360</v>
      </c>
      <c r="X297" s="77">
        <f>'Dropdown Lists'!$I$2*(1+OrdersTable[[#This Row],[Returned]])</f>
        <v>60</v>
      </c>
      <c r="Y297" s="76">
        <f>OrdersTable[[#This Row],[Net Revenue]]-OrdersTable[[#This Row],[COGS]]-OrdersTable[[#This Row],[Shipping Cost]]</f>
        <v>538.4</v>
      </c>
      <c r="Z297" s="78">
        <f>IFERROR(OrdersTable[[#This Row],[Profit]]/OrdersTable[[#This Row],[Net Revenue]],0)</f>
        <v>0.56176961602671116</v>
      </c>
      <c r="AA297" t="s">
        <v>18</v>
      </c>
      <c r="AB297" s="79">
        <v>45355</v>
      </c>
      <c r="AC297">
        <f>OrdersTable[[#This Row],[Delivery Date]]-OrdersTable[[#This Row],[Order Date]]</f>
        <v>3</v>
      </c>
      <c r="AD297" t="str">
        <f>IF(OrdersTable[[#This Row],[Delivery Days]]&lt;=2, "Express (≤2d)", IF(OrdersTable[[#This Row],[Delivery Days]]&lt;=4, "Standard (3-4d)", "Delayed (5d+)"))</f>
        <v>Standard (3-4d)</v>
      </c>
      <c r="AE297">
        <v>4</v>
      </c>
      <c r="AF297">
        <v>0</v>
      </c>
    </row>
    <row r="298" spans="1:32" ht="15" x14ac:dyDescent="0.35">
      <c r="A298" t="s">
        <v>3957</v>
      </c>
      <c r="B298" s="1">
        <v>45352</v>
      </c>
      <c r="C298">
        <f>YEAR(OrdersTable[[#This Row],[Order Date]])</f>
        <v>2024</v>
      </c>
      <c r="D298" s="2">
        <f>DATE(YEAR(OrdersTable[[#This Row],[Order Date]]),MONTH(OrdersTable[[#This Row],[Order Date]]),1)</f>
        <v>45352</v>
      </c>
      <c r="E298">
        <f>MONTH(OrdersTable[[#This Row],[Order Date]])</f>
        <v>3</v>
      </c>
      <c r="F298" t="s">
        <v>1808</v>
      </c>
      <c r="G298" t="str">
        <f>IF(OrdersTable[[#This Row],[Order Date]]=_xlfn.MINIFS(Order_Date, Customer_ID, OrdersTable[[#This Row],[Customer ID]]), "New", "Repeat")</f>
        <v>New</v>
      </c>
      <c r="H298" t="s">
        <v>167</v>
      </c>
      <c r="I298" t="str">
        <f>INDEX(State!B:B,MATCH(OrdersTable[[#This Row],[State]],State!A:A,0))</f>
        <v>KA</v>
      </c>
      <c r="J298" t="str">
        <f>INDEX(State!C:C,MATCH(OrdersTable[[#This Row],[State Code]],State!B:B,0))</f>
        <v>South</v>
      </c>
      <c r="K298" t="s">
        <v>190</v>
      </c>
      <c r="L298" t="s">
        <v>23</v>
      </c>
      <c r="M298" t="s">
        <v>34</v>
      </c>
      <c r="N298" t="str">
        <f>INDEX(Products!B:B,MATCH(OrdersTable[[#This Row],[Product ID]],Products!A:A,0))</f>
        <v>Flip Flops</v>
      </c>
      <c r="O298" t="str">
        <f>INDEX(Products!C:C,MATCH(OrdersTable[[#This Row],[Product ID]],Products!A:A,0))</f>
        <v>Footwear</v>
      </c>
      <c r="P298">
        <v>1</v>
      </c>
      <c r="Q298" s="5">
        <v>399</v>
      </c>
      <c r="R298" s="74">
        <v>0.05</v>
      </c>
      <c r="S298" s="75">
        <f>OrdersTable[[#This Row],[Quantity]]*OrdersTable[[#This Row],[Unit Price]]</f>
        <v>399</v>
      </c>
      <c r="T298" s="5">
        <f>OrdersTable[[#This Row],[Gross Sale]]*OrdersTable[[#This Row],[Discount_Clean2]]</f>
        <v>19.950000000000003</v>
      </c>
      <c r="U298" s="5">
        <f>OrdersTable[[#This Row],[Gross Sale]]-OrdersTable[[#This Row],[Discount Amount]]</f>
        <v>379.05</v>
      </c>
      <c r="V298" s="77">
        <f>INDEX(Products!E:E,MATCH(OrdersTable[[#This Row],[Product ID]],Products!A:A,0))</f>
        <v>152</v>
      </c>
      <c r="W298" s="77">
        <f>OrdersTable[[#This Row],[Quantity]]*OrdersTable[[#This Row],[Unit Cost]]</f>
        <v>152</v>
      </c>
      <c r="X298" s="77">
        <f>'Dropdown Lists'!$I$2*(1+OrdersTable[[#This Row],[Returned]])</f>
        <v>60</v>
      </c>
      <c r="Y298" s="76">
        <f>OrdersTable[[#This Row],[Net Revenue]]-OrdersTable[[#This Row],[COGS]]-OrdersTable[[#This Row],[Shipping Cost]]</f>
        <v>167.05</v>
      </c>
      <c r="Z298" s="78">
        <f>IFERROR(OrdersTable[[#This Row],[Profit]]/OrdersTable[[#This Row],[Net Revenue]],0)</f>
        <v>0.44070703073473161</v>
      </c>
      <c r="AA298" t="s">
        <v>3495</v>
      </c>
      <c r="AB298" s="79">
        <v>45355</v>
      </c>
      <c r="AC298">
        <f>OrdersTable[[#This Row],[Delivery Date]]-OrdersTable[[#This Row],[Order Date]]</f>
        <v>3</v>
      </c>
      <c r="AD298" t="str">
        <f>IF(OrdersTable[[#This Row],[Delivery Days]]&lt;=2, "Express (≤2d)", IF(OrdersTable[[#This Row],[Delivery Days]]&lt;=4, "Standard (3-4d)", "Delayed (5d+)"))</f>
        <v>Standard (3-4d)</v>
      </c>
      <c r="AE298">
        <v>5</v>
      </c>
      <c r="AF298">
        <v>0</v>
      </c>
    </row>
    <row r="299" spans="1:32" ht="15" x14ac:dyDescent="0.35">
      <c r="A299" t="s">
        <v>1838</v>
      </c>
      <c r="B299" s="1">
        <v>45353</v>
      </c>
      <c r="C299">
        <f>YEAR(OrdersTable[[#This Row],[Order Date]])</f>
        <v>2024</v>
      </c>
      <c r="D299" s="2">
        <f>DATE(YEAR(OrdersTable[[#This Row],[Order Date]]),MONTH(OrdersTable[[#This Row],[Order Date]]),1)</f>
        <v>45352</v>
      </c>
      <c r="E299">
        <f>MONTH(OrdersTable[[#This Row],[Order Date]])</f>
        <v>3</v>
      </c>
      <c r="F299" t="s">
        <v>1839</v>
      </c>
      <c r="G299" t="str">
        <f>IF(OrdersTable[[#This Row],[Order Date]]=_xlfn.MINIFS(Order_Date, Customer_ID, OrdersTable[[#This Row],[Customer ID]]), "New", "Repeat")</f>
        <v>New</v>
      </c>
      <c r="H299" t="s">
        <v>71</v>
      </c>
      <c r="I299" t="str">
        <f>INDEX(State!B:B,MATCH(OrdersTable[[#This Row],[State]],State!A:A,0))</f>
        <v>MH</v>
      </c>
      <c r="J299" t="str">
        <f>INDEX(State!C:C,MATCH(OrdersTable[[#This Row],[State Code]],State!B:B,0))</f>
        <v>West</v>
      </c>
      <c r="K299" t="s">
        <v>81</v>
      </c>
      <c r="L299" t="s">
        <v>23</v>
      </c>
      <c r="M299" t="s">
        <v>29</v>
      </c>
      <c r="N299" t="str">
        <f>INDEX(Products!B:B,MATCH(OrdersTable[[#This Row],[Product ID]],Products!A:A,0))</f>
        <v>Joggers</v>
      </c>
      <c r="O299" t="str">
        <f>INDEX(Products!C:C,MATCH(OrdersTable[[#This Row],[Product ID]],Products!A:A,0))</f>
        <v>Apparel</v>
      </c>
      <c r="P299">
        <v>1</v>
      </c>
      <c r="Q299" s="5">
        <v>1199</v>
      </c>
      <c r="R299" s="74">
        <v>0.2</v>
      </c>
      <c r="S299" s="75">
        <f>OrdersTable[[#This Row],[Quantity]]*OrdersTable[[#This Row],[Unit Price]]</f>
        <v>1199</v>
      </c>
      <c r="T299" s="5">
        <f>OrdersTable[[#This Row],[Gross Sale]]*OrdersTable[[#This Row],[Discount_Clean2]]</f>
        <v>239.8</v>
      </c>
      <c r="U299" s="5">
        <f>OrdersTable[[#This Row],[Gross Sale]]-OrdersTable[[#This Row],[Discount Amount]]</f>
        <v>959.2</v>
      </c>
      <c r="V299" s="77">
        <f>INDEX(Products!E:E,MATCH(OrdersTable[[#This Row],[Product ID]],Products!A:A,0))</f>
        <v>492</v>
      </c>
      <c r="W299" s="77">
        <f>OrdersTable[[#This Row],[Quantity]]*OrdersTable[[#This Row],[Unit Cost]]</f>
        <v>492</v>
      </c>
      <c r="X299" s="77">
        <f>'Dropdown Lists'!$I$2*(1+OrdersTable[[#This Row],[Returned]])</f>
        <v>60</v>
      </c>
      <c r="Y299" s="76">
        <f>OrdersTable[[#This Row],[Net Revenue]]-OrdersTable[[#This Row],[COGS]]-OrdersTable[[#This Row],[Shipping Cost]]</f>
        <v>407.20000000000005</v>
      </c>
      <c r="Z299" s="78">
        <f>IFERROR(OrdersTable[[#This Row],[Profit]]/OrdersTable[[#This Row],[Net Revenue]],0)</f>
        <v>0.42452043369474562</v>
      </c>
      <c r="AA299" t="s">
        <v>18</v>
      </c>
      <c r="AB299" s="79">
        <v>45355</v>
      </c>
      <c r="AC299">
        <f>OrdersTable[[#This Row],[Delivery Date]]-OrdersTable[[#This Row],[Order Date]]</f>
        <v>2</v>
      </c>
      <c r="AD299" t="str">
        <f>IF(OrdersTable[[#This Row],[Delivery Days]]&lt;=2, "Express (≤2d)", IF(OrdersTable[[#This Row],[Delivery Days]]&lt;=4, "Standard (3-4d)", "Delayed (5d+)"))</f>
        <v>Express (≤2d)</v>
      </c>
      <c r="AE299">
        <v>3</v>
      </c>
      <c r="AF299">
        <v>0</v>
      </c>
    </row>
    <row r="300" spans="1:32" ht="15" x14ac:dyDescent="0.35">
      <c r="A300" t="s">
        <v>3396</v>
      </c>
      <c r="B300" s="1">
        <v>45353</v>
      </c>
      <c r="C300">
        <f>YEAR(OrdersTable[[#This Row],[Order Date]])</f>
        <v>2024</v>
      </c>
      <c r="D300" s="2">
        <f>DATE(YEAR(OrdersTable[[#This Row],[Order Date]]),MONTH(OrdersTable[[#This Row],[Order Date]]),1)</f>
        <v>45352</v>
      </c>
      <c r="E300">
        <f>MONTH(OrdersTable[[#This Row],[Order Date]])</f>
        <v>3</v>
      </c>
      <c r="F300" t="s">
        <v>3397</v>
      </c>
      <c r="G300" t="str">
        <f>IF(OrdersTable[[#This Row],[Order Date]]=_xlfn.MINIFS(Order_Date, Customer_ID, OrdersTable[[#This Row],[Customer ID]]), "New", "Repeat")</f>
        <v>New</v>
      </c>
      <c r="H300" t="s">
        <v>316</v>
      </c>
      <c r="I300" t="str">
        <f>INDEX(State!B:B,MATCH(OrdersTable[[#This Row],[State]],State!A:A,0))</f>
        <v>KL</v>
      </c>
      <c r="J300" t="str">
        <f>INDEX(State!C:C,MATCH(OrdersTable[[#This Row],[State Code]],State!B:B,0))</f>
        <v>South</v>
      </c>
      <c r="K300" t="s">
        <v>317</v>
      </c>
      <c r="L300" t="s">
        <v>65</v>
      </c>
      <c r="M300" t="s">
        <v>125</v>
      </c>
      <c r="N300" t="str">
        <f>INDEX(Products!B:B,MATCH(OrdersTable[[#This Row],[Product ID]],Products!A:A,0))</f>
        <v>Copper Water Bottle</v>
      </c>
      <c r="O300" t="str">
        <f>INDEX(Products!C:C,MATCH(OrdersTable[[#This Row],[Product ID]],Products!A:A,0))</f>
        <v>Home &amp; Kitchen</v>
      </c>
      <c r="P300">
        <v>1</v>
      </c>
      <c r="Q300" s="5">
        <v>899</v>
      </c>
      <c r="R300" s="74">
        <v>0.05</v>
      </c>
      <c r="S300" s="75">
        <f>OrdersTable[[#This Row],[Quantity]]*OrdersTable[[#This Row],[Unit Price]]</f>
        <v>899</v>
      </c>
      <c r="T300" s="5">
        <f>OrdersTable[[#This Row],[Gross Sale]]*OrdersTable[[#This Row],[Discount_Clean2]]</f>
        <v>44.95</v>
      </c>
      <c r="U300" s="5">
        <f>OrdersTable[[#This Row],[Gross Sale]]-OrdersTable[[#This Row],[Discount Amount]]</f>
        <v>854.05</v>
      </c>
      <c r="V300" s="77">
        <f>INDEX(Products!E:E,MATCH(OrdersTable[[#This Row],[Product ID]],Products!A:A,0))</f>
        <v>378</v>
      </c>
      <c r="W300" s="77">
        <f>OrdersTable[[#This Row],[Quantity]]*OrdersTable[[#This Row],[Unit Cost]]</f>
        <v>378</v>
      </c>
      <c r="X300" s="77">
        <f>'Dropdown Lists'!$I$2*(1+OrdersTable[[#This Row],[Returned]])</f>
        <v>120</v>
      </c>
      <c r="Y300" s="76">
        <f>OrdersTable[[#This Row],[Net Revenue]]-OrdersTable[[#This Row],[COGS]]-OrdersTable[[#This Row],[Shipping Cost]]</f>
        <v>356.04999999999995</v>
      </c>
      <c r="Z300" s="78">
        <f>IFERROR(OrdersTable[[#This Row],[Profit]]/OrdersTable[[#This Row],[Net Revenue]],0)</f>
        <v>0.41689596627832093</v>
      </c>
      <c r="AA300" t="s">
        <v>2522</v>
      </c>
      <c r="AB300" s="79">
        <v>45357</v>
      </c>
      <c r="AC300">
        <f>OrdersTable[[#This Row],[Delivery Date]]-OrdersTable[[#This Row],[Order Date]]</f>
        <v>4</v>
      </c>
      <c r="AD300" t="str">
        <f>IF(OrdersTable[[#This Row],[Delivery Days]]&lt;=2, "Express (≤2d)", IF(OrdersTable[[#This Row],[Delivery Days]]&lt;=4, "Standard (3-4d)", "Delayed (5d+)"))</f>
        <v>Standard (3-4d)</v>
      </c>
      <c r="AE300">
        <v>4</v>
      </c>
      <c r="AF300">
        <v>1</v>
      </c>
    </row>
    <row r="301" spans="1:32" ht="15" x14ac:dyDescent="0.35">
      <c r="A301" t="s">
        <v>2222</v>
      </c>
      <c r="B301" s="1">
        <v>45353</v>
      </c>
      <c r="C301">
        <f>YEAR(OrdersTable[[#This Row],[Order Date]])</f>
        <v>2024</v>
      </c>
      <c r="D301" s="2">
        <f>DATE(YEAR(OrdersTable[[#This Row],[Order Date]]),MONTH(OrdersTable[[#This Row],[Order Date]]),1)</f>
        <v>45352</v>
      </c>
      <c r="E301">
        <f>MONTH(OrdersTable[[#This Row],[Order Date]])</f>
        <v>3</v>
      </c>
      <c r="F301" t="s">
        <v>405</v>
      </c>
      <c r="G301" t="str">
        <f>IF(OrdersTable[[#This Row],[Order Date]]=_xlfn.MINIFS(Order_Date, Customer_ID, OrdersTable[[#This Row],[Customer ID]]), "New", "Repeat")</f>
        <v>New</v>
      </c>
      <c r="H301" t="s">
        <v>59</v>
      </c>
      <c r="I301" t="str">
        <f>INDEX(State!B:B,MATCH(OrdersTable[[#This Row],[State]],State!A:A,0))</f>
        <v>TN</v>
      </c>
      <c r="J301" t="str">
        <f>INDEX(State!C:C,MATCH(OrdersTable[[#This Row],[State Code]],State!B:B,0))</f>
        <v>South</v>
      </c>
      <c r="K301" t="s">
        <v>60</v>
      </c>
      <c r="L301" t="s">
        <v>16</v>
      </c>
      <c r="M301" t="s">
        <v>34</v>
      </c>
      <c r="N301" t="str">
        <f>INDEX(Products!B:B,MATCH(OrdersTable[[#This Row],[Product ID]],Products!A:A,0))</f>
        <v>Flip Flops</v>
      </c>
      <c r="O301" t="str">
        <f>INDEX(Products!C:C,MATCH(OrdersTable[[#This Row],[Product ID]],Products!A:A,0))</f>
        <v>Footwear</v>
      </c>
      <c r="P301">
        <v>1</v>
      </c>
      <c r="Q301" s="5">
        <v>399</v>
      </c>
      <c r="R301" s="74">
        <v>0.15</v>
      </c>
      <c r="S301" s="75">
        <f>OrdersTable[[#This Row],[Quantity]]*OrdersTable[[#This Row],[Unit Price]]</f>
        <v>399</v>
      </c>
      <c r="T301" s="5">
        <f>OrdersTable[[#This Row],[Gross Sale]]*OrdersTable[[#This Row],[Discount_Clean2]]</f>
        <v>59.849999999999994</v>
      </c>
      <c r="U301" s="5">
        <f>OrdersTable[[#This Row],[Gross Sale]]-OrdersTable[[#This Row],[Discount Amount]]</f>
        <v>339.15</v>
      </c>
      <c r="V301" s="77">
        <f>INDEX(Products!E:E,MATCH(OrdersTable[[#This Row],[Product ID]],Products!A:A,0))</f>
        <v>152</v>
      </c>
      <c r="W301" s="77">
        <f>OrdersTable[[#This Row],[Quantity]]*OrdersTable[[#This Row],[Unit Cost]]</f>
        <v>152</v>
      </c>
      <c r="X301" s="77">
        <f>'Dropdown Lists'!$I$2*(1+OrdersTable[[#This Row],[Returned]])</f>
        <v>60</v>
      </c>
      <c r="Y301" s="76">
        <f>OrdersTable[[#This Row],[Net Revenue]]-OrdersTable[[#This Row],[COGS]]-OrdersTable[[#This Row],[Shipping Cost]]</f>
        <v>127.14999999999998</v>
      </c>
      <c r="Z301" s="78">
        <f>IFERROR(OrdersTable[[#This Row],[Profit]]/OrdersTable[[#This Row],[Net Revenue]],0)</f>
        <v>0.37490785787999409</v>
      </c>
      <c r="AA301" t="s">
        <v>18</v>
      </c>
      <c r="AB301" s="79">
        <v>45355</v>
      </c>
      <c r="AC301">
        <f>OrdersTable[[#This Row],[Delivery Date]]-OrdersTable[[#This Row],[Order Date]]</f>
        <v>2</v>
      </c>
      <c r="AD301" t="str">
        <f>IF(OrdersTable[[#This Row],[Delivery Days]]&lt;=2, "Express (≤2d)", IF(OrdersTable[[#This Row],[Delivery Days]]&lt;=4, "Standard (3-4d)", "Delayed (5d+)"))</f>
        <v>Express (≤2d)</v>
      </c>
      <c r="AE301">
        <v>5</v>
      </c>
      <c r="AF301">
        <v>0</v>
      </c>
    </row>
    <row r="302" spans="1:32" ht="15" x14ac:dyDescent="0.35">
      <c r="A302" t="s">
        <v>4334</v>
      </c>
      <c r="B302" s="1">
        <v>45354</v>
      </c>
      <c r="C302">
        <f>YEAR(OrdersTable[[#This Row],[Order Date]])</f>
        <v>2024</v>
      </c>
      <c r="D302" s="2">
        <f>DATE(YEAR(OrdersTable[[#This Row],[Order Date]]),MONTH(OrdersTable[[#This Row],[Order Date]]),1)</f>
        <v>45352</v>
      </c>
      <c r="E302">
        <f>MONTH(OrdersTable[[#This Row],[Order Date]])</f>
        <v>3</v>
      </c>
      <c r="F302" t="s">
        <v>3586</v>
      </c>
      <c r="G302" t="str">
        <f>IF(OrdersTable[[#This Row],[Order Date]]=_xlfn.MINIFS(Order_Date, Customer_ID, OrdersTable[[#This Row],[Customer ID]]), "New", "Repeat")</f>
        <v>New</v>
      </c>
      <c r="H302" t="s">
        <v>128</v>
      </c>
      <c r="I302" t="str">
        <f>INDEX(State!B:B,MATCH(OrdersTable[[#This Row],[State]],State!A:A,0))</f>
        <v>DL</v>
      </c>
      <c r="J302" t="str">
        <f>INDEX(State!C:C,MATCH(OrdersTable[[#This Row],[State Code]],State!B:B,0))</f>
        <v>North</v>
      </c>
      <c r="K302" t="s">
        <v>129</v>
      </c>
      <c r="L302" t="s">
        <v>16</v>
      </c>
      <c r="M302" t="s">
        <v>205</v>
      </c>
      <c r="N302" t="str">
        <f>INDEX(Products!B:B,MATCH(OrdersTable[[#This Row],[Product ID]],Products!A:A,0))</f>
        <v>Running Shoes</v>
      </c>
      <c r="O302" t="str">
        <f>INDEX(Products!C:C,MATCH(OrdersTable[[#This Row],[Product ID]],Products!A:A,0))</f>
        <v>Footwear</v>
      </c>
      <c r="P302">
        <v>1</v>
      </c>
      <c r="Q302" s="5">
        <v>2999</v>
      </c>
      <c r="R302" s="74">
        <v>0.2</v>
      </c>
      <c r="S302" s="75">
        <f>OrdersTable[[#This Row],[Quantity]]*OrdersTable[[#This Row],[Unit Price]]</f>
        <v>2999</v>
      </c>
      <c r="T302" s="5">
        <f>OrdersTable[[#This Row],[Gross Sale]]*OrdersTable[[#This Row],[Discount_Clean2]]</f>
        <v>599.80000000000007</v>
      </c>
      <c r="U302" s="5">
        <f>OrdersTable[[#This Row],[Gross Sale]]-OrdersTable[[#This Row],[Discount Amount]]</f>
        <v>2399.1999999999998</v>
      </c>
      <c r="V302" s="77">
        <f>INDEX(Products!E:E,MATCH(OrdersTable[[#This Row],[Product ID]],Products!A:A,0))</f>
        <v>1440</v>
      </c>
      <c r="W302" s="77">
        <f>OrdersTable[[#This Row],[Quantity]]*OrdersTable[[#This Row],[Unit Cost]]</f>
        <v>1440</v>
      </c>
      <c r="X302" s="77">
        <f>'Dropdown Lists'!$I$2*(1+OrdersTable[[#This Row],[Returned]])</f>
        <v>60</v>
      </c>
      <c r="Y302" s="76">
        <f>OrdersTable[[#This Row],[Net Revenue]]-OrdersTable[[#This Row],[COGS]]-OrdersTable[[#This Row],[Shipping Cost]]</f>
        <v>899.19999999999982</v>
      </c>
      <c r="Z302" s="78">
        <f>IFERROR(OrdersTable[[#This Row],[Profit]]/OrdersTable[[#This Row],[Net Revenue]],0)</f>
        <v>0.3747915971990663</v>
      </c>
      <c r="AA302" t="s">
        <v>4074</v>
      </c>
      <c r="AB302" s="79">
        <v>45356</v>
      </c>
      <c r="AC302">
        <f>OrdersTable[[#This Row],[Delivery Date]]-OrdersTable[[#This Row],[Order Date]]</f>
        <v>2</v>
      </c>
      <c r="AD302" t="str">
        <f>IF(OrdersTable[[#This Row],[Delivery Days]]&lt;=2, "Express (≤2d)", IF(OrdersTable[[#This Row],[Delivery Days]]&lt;=4, "Standard (3-4d)", "Delayed (5d+)"))</f>
        <v>Express (≤2d)</v>
      </c>
      <c r="AE302">
        <v>4</v>
      </c>
      <c r="AF302">
        <v>0</v>
      </c>
    </row>
    <row r="303" spans="1:32" ht="15" x14ac:dyDescent="0.35">
      <c r="A303" t="s">
        <v>6845</v>
      </c>
      <c r="B303" s="1">
        <v>45354</v>
      </c>
      <c r="C303">
        <f>YEAR(OrdersTable[[#This Row],[Order Date]])</f>
        <v>2024</v>
      </c>
      <c r="D303" s="2">
        <f>DATE(YEAR(OrdersTable[[#This Row],[Order Date]]),MONTH(OrdersTable[[#This Row],[Order Date]]),1)</f>
        <v>45352</v>
      </c>
      <c r="E303">
        <f>MONTH(OrdersTable[[#This Row],[Order Date]])</f>
        <v>3</v>
      </c>
      <c r="F303" t="s">
        <v>6846</v>
      </c>
      <c r="G303" t="str">
        <f>IF(OrdersTable[[#This Row],[Order Date]]=_xlfn.MINIFS(Order_Date, Customer_ID, OrdersTable[[#This Row],[Customer ID]]), "New", "Repeat")</f>
        <v>New</v>
      </c>
      <c r="H303" t="s">
        <v>27</v>
      </c>
      <c r="I303" t="str">
        <f>INDEX(State!B:B,MATCH(OrdersTable[[#This Row],[State]],State!A:A,0))</f>
        <v>WB</v>
      </c>
      <c r="J303" t="str">
        <f>INDEX(State!C:C,MATCH(OrdersTable[[#This Row],[State Code]],State!B:B,0))</f>
        <v>East</v>
      </c>
      <c r="K303" t="s">
        <v>28</v>
      </c>
      <c r="L303" t="s">
        <v>65</v>
      </c>
      <c r="M303" t="s">
        <v>29</v>
      </c>
      <c r="N303" t="str">
        <f>INDEX(Products!B:B,MATCH(OrdersTable[[#This Row],[Product ID]],Products!A:A,0))</f>
        <v>Joggers</v>
      </c>
      <c r="O303" t="str">
        <f>INDEX(Products!C:C,MATCH(OrdersTable[[#This Row],[Product ID]],Products!A:A,0))</f>
        <v>Apparel</v>
      </c>
      <c r="P303">
        <v>3</v>
      </c>
      <c r="Q303" s="5">
        <v>1199</v>
      </c>
      <c r="R303" s="74">
        <v>0.2</v>
      </c>
      <c r="S303" s="75">
        <f>OrdersTable[[#This Row],[Quantity]]*OrdersTable[[#This Row],[Unit Price]]</f>
        <v>3597</v>
      </c>
      <c r="T303" s="5">
        <f>OrdersTable[[#This Row],[Gross Sale]]*OrdersTable[[#This Row],[Discount_Clean2]]</f>
        <v>719.40000000000009</v>
      </c>
      <c r="U303" s="5">
        <f>OrdersTable[[#This Row],[Gross Sale]]-OrdersTable[[#This Row],[Discount Amount]]</f>
        <v>2877.6</v>
      </c>
      <c r="V303" s="77">
        <f>INDEX(Products!E:E,MATCH(OrdersTable[[#This Row],[Product ID]],Products!A:A,0))</f>
        <v>492</v>
      </c>
      <c r="W303" s="77">
        <f>OrdersTable[[#This Row],[Quantity]]*OrdersTable[[#This Row],[Unit Cost]]</f>
        <v>1476</v>
      </c>
      <c r="X303" s="77">
        <f>'Dropdown Lists'!$I$2*(1+OrdersTable[[#This Row],[Returned]])</f>
        <v>120</v>
      </c>
      <c r="Y303" s="76">
        <f>OrdersTable[[#This Row],[Net Revenue]]-OrdersTable[[#This Row],[COGS]]-OrdersTable[[#This Row],[Shipping Cost]]</f>
        <v>1281.5999999999999</v>
      </c>
      <c r="Z303" s="78">
        <f>IFERROR(OrdersTable[[#This Row],[Profit]]/OrdersTable[[#This Row],[Net Revenue]],0)</f>
        <v>0.44537114261884903</v>
      </c>
      <c r="AA303" t="s">
        <v>4074</v>
      </c>
      <c r="AB303" s="79">
        <v>45356</v>
      </c>
      <c r="AC303">
        <f>OrdersTable[[#This Row],[Delivery Date]]-OrdersTable[[#This Row],[Order Date]]</f>
        <v>2</v>
      </c>
      <c r="AD303" t="str">
        <f>IF(OrdersTable[[#This Row],[Delivery Days]]&lt;=2, "Express (≤2d)", IF(OrdersTable[[#This Row],[Delivery Days]]&lt;=4, "Standard (3-4d)", "Delayed (5d+)"))</f>
        <v>Express (≤2d)</v>
      </c>
      <c r="AF303">
        <v>1</v>
      </c>
    </row>
    <row r="304" spans="1:32" ht="15" x14ac:dyDescent="0.35">
      <c r="A304" t="s">
        <v>5072</v>
      </c>
      <c r="B304" s="1">
        <v>45354</v>
      </c>
      <c r="C304">
        <f>YEAR(OrdersTable[[#This Row],[Order Date]])</f>
        <v>2024</v>
      </c>
      <c r="D304" s="2">
        <f>DATE(YEAR(OrdersTable[[#This Row],[Order Date]]),MONTH(OrdersTable[[#This Row],[Order Date]]),1)</f>
        <v>45352</v>
      </c>
      <c r="E304">
        <f>MONTH(OrdersTable[[#This Row],[Order Date]])</f>
        <v>3</v>
      </c>
      <c r="F304" t="s">
        <v>4145</v>
      </c>
      <c r="G304" t="str">
        <f>IF(OrdersTable[[#This Row],[Order Date]]=_xlfn.MINIFS(Order_Date, Customer_ID, OrdersTable[[#This Row],[Customer ID]]), "New", "Repeat")</f>
        <v>New</v>
      </c>
      <c r="H304" t="s">
        <v>71</v>
      </c>
      <c r="I304" t="str">
        <f>INDEX(State!B:B,MATCH(OrdersTable[[#This Row],[State]],State!A:A,0))</f>
        <v>MH</v>
      </c>
      <c r="J304" t="str">
        <f>INDEX(State!C:C,MATCH(OrdersTable[[#This Row],[State Code]],State!B:B,0))</f>
        <v>West</v>
      </c>
      <c r="K304" t="s">
        <v>81</v>
      </c>
      <c r="L304" t="s">
        <v>16</v>
      </c>
      <c r="M304" t="s">
        <v>29</v>
      </c>
      <c r="N304" t="str">
        <f>INDEX(Products!B:B,MATCH(OrdersTable[[#This Row],[Product ID]],Products!A:A,0))</f>
        <v>Joggers</v>
      </c>
      <c r="O304" t="str">
        <f>INDEX(Products!C:C,MATCH(OrdersTable[[#This Row],[Product ID]],Products!A:A,0))</f>
        <v>Apparel</v>
      </c>
      <c r="P304">
        <v>2</v>
      </c>
      <c r="Q304" s="5">
        <v>1199</v>
      </c>
      <c r="R304" s="74">
        <v>0.15</v>
      </c>
      <c r="S304" s="75">
        <f>OrdersTable[[#This Row],[Quantity]]*OrdersTable[[#This Row],[Unit Price]]</f>
        <v>2398</v>
      </c>
      <c r="T304" s="5">
        <f>OrdersTable[[#This Row],[Gross Sale]]*OrdersTable[[#This Row],[Discount_Clean2]]</f>
        <v>359.7</v>
      </c>
      <c r="U304" s="5">
        <f>OrdersTable[[#This Row],[Gross Sale]]-OrdersTable[[#This Row],[Discount Amount]]</f>
        <v>2038.3</v>
      </c>
      <c r="V304" s="77">
        <f>INDEX(Products!E:E,MATCH(OrdersTable[[#This Row],[Product ID]],Products!A:A,0))</f>
        <v>492</v>
      </c>
      <c r="W304" s="77">
        <f>OrdersTable[[#This Row],[Quantity]]*OrdersTable[[#This Row],[Unit Cost]]</f>
        <v>984</v>
      </c>
      <c r="X304" s="77">
        <f>'Dropdown Lists'!$I$2*(1+OrdersTable[[#This Row],[Returned]])</f>
        <v>60</v>
      </c>
      <c r="Y304" s="76">
        <f>OrdersTable[[#This Row],[Net Revenue]]-OrdersTable[[#This Row],[COGS]]-OrdersTable[[#This Row],[Shipping Cost]]</f>
        <v>994.3</v>
      </c>
      <c r="Z304" s="78">
        <f>IFERROR(OrdersTable[[#This Row],[Profit]]/OrdersTable[[#This Row],[Net Revenue]],0)</f>
        <v>0.48780846784084775</v>
      </c>
      <c r="AA304" t="s">
        <v>3495</v>
      </c>
      <c r="AB304" s="79">
        <v>45357</v>
      </c>
      <c r="AC304">
        <f>OrdersTable[[#This Row],[Delivery Date]]-OrdersTable[[#This Row],[Order Date]]</f>
        <v>3</v>
      </c>
      <c r="AD304" t="str">
        <f>IF(OrdersTable[[#This Row],[Delivery Days]]&lt;=2, "Express (≤2d)", IF(OrdersTable[[#This Row],[Delivery Days]]&lt;=4, "Standard (3-4d)", "Delayed (5d+)"))</f>
        <v>Standard (3-4d)</v>
      </c>
      <c r="AE304">
        <v>4</v>
      </c>
      <c r="AF304">
        <v>0</v>
      </c>
    </row>
    <row r="305" spans="1:32" ht="15" x14ac:dyDescent="0.35">
      <c r="A305" t="s">
        <v>3153</v>
      </c>
      <c r="B305" s="1">
        <v>45354</v>
      </c>
      <c r="C305">
        <f>YEAR(OrdersTable[[#This Row],[Order Date]])</f>
        <v>2024</v>
      </c>
      <c r="D305" s="2">
        <f>DATE(YEAR(OrdersTable[[#This Row],[Order Date]]),MONTH(OrdersTable[[#This Row],[Order Date]]),1)</f>
        <v>45352</v>
      </c>
      <c r="E305">
        <f>MONTH(OrdersTable[[#This Row],[Order Date]])</f>
        <v>3</v>
      </c>
      <c r="F305" t="s">
        <v>3154</v>
      </c>
      <c r="G305" t="str">
        <f>IF(OrdersTable[[#This Row],[Order Date]]=_xlfn.MINIFS(Order_Date, Customer_ID, OrdersTable[[#This Row],[Customer ID]]), "New", "Repeat")</f>
        <v>New</v>
      </c>
      <c r="H305" t="s">
        <v>167</v>
      </c>
      <c r="I305" t="str">
        <f>INDEX(State!B:B,MATCH(OrdersTable[[#This Row],[State]],State!A:A,0))</f>
        <v>KA</v>
      </c>
      <c r="J305" t="str">
        <f>INDEX(State!C:C,MATCH(OrdersTable[[#This Row],[State Code]],State!B:B,0))</f>
        <v>South</v>
      </c>
      <c r="K305" t="s">
        <v>168</v>
      </c>
      <c r="L305" t="s">
        <v>50</v>
      </c>
      <c r="M305" t="s">
        <v>40</v>
      </c>
      <c r="N305" t="str">
        <f>INDEX(Products!B:B,MATCH(OrdersTable[[#This Row],[Product ID]],Products!A:A,0))</f>
        <v>Ashwagandha Capsules</v>
      </c>
      <c r="O305" t="str">
        <f>INDEX(Products!C:C,MATCH(OrdersTable[[#This Row],[Product ID]],Products!A:A,0))</f>
        <v>Wellness</v>
      </c>
      <c r="P305">
        <v>1</v>
      </c>
      <c r="Q305" s="5">
        <v>499</v>
      </c>
      <c r="R305" s="74">
        <v>0</v>
      </c>
      <c r="S305" s="75">
        <f>OrdersTable[[#This Row],[Quantity]]*OrdersTable[[#This Row],[Unit Price]]</f>
        <v>499</v>
      </c>
      <c r="T305" s="5">
        <f>OrdersTable[[#This Row],[Gross Sale]]*OrdersTable[[#This Row],[Discount_Clean2]]</f>
        <v>0</v>
      </c>
      <c r="U305" s="5">
        <f>OrdersTable[[#This Row],[Gross Sale]]-OrdersTable[[#This Row],[Discount Amount]]</f>
        <v>499</v>
      </c>
      <c r="V305" s="77">
        <f>INDEX(Products!E:E,MATCH(OrdersTable[[#This Row],[Product ID]],Products!A:A,0))</f>
        <v>150</v>
      </c>
      <c r="W305" s="77">
        <f>OrdersTable[[#This Row],[Quantity]]*OrdersTable[[#This Row],[Unit Cost]]</f>
        <v>150</v>
      </c>
      <c r="X305" s="77">
        <f>'Dropdown Lists'!$I$2*(1+OrdersTable[[#This Row],[Returned]])</f>
        <v>60</v>
      </c>
      <c r="Y305" s="76">
        <f>OrdersTable[[#This Row],[Net Revenue]]-OrdersTable[[#This Row],[COGS]]-OrdersTable[[#This Row],[Shipping Cost]]</f>
        <v>289</v>
      </c>
      <c r="Z305" s="78">
        <f>IFERROR(OrdersTable[[#This Row],[Profit]]/OrdersTable[[#This Row],[Net Revenue]],0)</f>
        <v>0.57915831663326656</v>
      </c>
      <c r="AA305" t="s">
        <v>2522</v>
      </c>
      <c r="AB305" s="79">
        <v>45357</v>
      </c>
      <c r="AC305">
        <f>OrdersTable[[#This Row],[Delivery Date]]-OrdersTable[[#This Row],[Order Date]]</f>
        <v>3</v>
      </c>
      <c r="AD305" t="str">
        <f>IF(OrdersTable[[#This Row],[Delivery Days]]&lt;=2, "Express (≤2d)", IF(OrdersTable[[#This Row],[Delivery Days]]&lt;=4, "Standard (3-4d)", "Delayed (5d+)"))</f>
        <v>Standard (3-4d)</v>
      </c>
      <c r="AE305">
        <v>4</v>
      </c>
      <c r="AF305">
        <v>0</v>
      </c>
    </row>
    <row r="306" spans="1:32" ht="15" x14ac:dyDescent="0.35">
      <c r="A306" t="s">
        <v>5303</v>
      </c>
      <c r="B306" s="1">
        <v>45355</v>
      </c>
      <c r="C306">
        <f>YEAR(OrdersTable[[#This Row],[Order Date]])</f>
        <v>2024</v>
      </c>
      <c r="D306" s="2">
        <f>DATE(YEAR(OrdersTable[[#This Row],[Order Date]]),MONTH(OrdersTable[[#This Row],[Order Date]]),1)</f>
        <v>45352</v>
      </c>
      <c r="E306">
        <f>MONTH(OrdersTable[[#This Row],[Order Date]])</f>
        <v>3</v>
      </c>
      <c r="F306" t="s">
        <v>1148</v>
      </c>
      <c r="G306" t="str">
        <f>IF(OrdersTable[[#This Row],[Order Date]]=_xlfn.MINIFS(Order_Date, Customer_ID, OrdersTable[[#This Row],[Customer ID]]), "New", "Repeat")</f>
        <v>New</v>
      </c>
      <c r="H306" t="s">
        <v>54</v>
      </c>
      <c r="I306" t="str">
        <f>INDEX(State!B:B,MATCH(OrdersTable[[#This Row],[State]],State!A:A,0))</f>
        <v>RJ</v>
      </c>
      <c r="J306" t="str">
        <f>INDEX(State!C:C,MATCH(OrdersTable[[#This Row],[State Code]],State!B:B,0))</f>
        <v>North</v>
      </c>
      <c r="K306" t="s">
        <v>55</v>
      </c>
      <c r="L306" t="s">
        <v>65</v>
      </c>
      <c r="M306" t="s">
        <v>179</v>
      </c>
      <c r="N306" t="str">
        <f>INDEX(Products!B:B,MATCH(OrdersTable[[#This Row],[Product ID]],Products!A:A,0))</f>
        <v>Whey Protein 1kg</v>
      </c>
      <c r="O306" t="str">
        <f>INDEX(Products!C:C,MATCH(OrdersTable[[#This Row],[Product ID]],Products!A:A,0))</f>
        <v>Wellness</v>
      </c>
      <c r="P306">
        <v>2</v>
      </c>
      <c r="Q306" s="5">
        <v>2299</v>
      </c>
      <c r="R306" s="74">
        <v>0.4</v>
      </c>
      <c r="S306" s="75">
        <f>OrdersTable[[#This Row],[Quantity]]*OrdersTable[[#This Row],[Unit Price]]</f>
        <v>4598</v>
      </c>
      <c r="T306" s="5">
        <f>OrdersTable[[#This Row],[Gross Sale]]*OrdersTable[[#This Row],[Discount_Clean2]]</f>
        <v>1839.2</v>
      </c>
      <c r="U306" s="5">
        <f>OrdersTable[[#This Row],[Gross Sale]]-OrdersTable[[#This Row],[Discount Amount]]</f>
        <v>2758.8</v>
      </c>
      <c r="V306" s="77">
        <f>INDEX(Products!E:E,MATCH(OrdersTable[[#This Row],[Product ID]],Products!A:A,0))</f>
        <v>1333</v>
      </c>
      <c r="W306" s="77">
        <f>OrdersTable[[#This Row],[Quantity]]*OrdersTable[[#This Row],[Unit Cost]]</f>
        <v>2666</v>
      </c>
      <c r="X306" s="77">
        <f>'Dropdown Lists'!$I$2*(1+OrdersTable[[#This Row],[Returned]])</f>
        <v>60</v>
      </c>
      <c r="Y306" s="76">
        <f>OrdersTable[[#This Row],[Net Revenue]]-OrdersTable[[#This Row],[COGS]]-OrdersTable[[#This Row],[Shipping Cost]]</f>
        <v>32.800000000000182</v>
      </c>
      <c r="Z306" s="78">
        <f>IFERROR(OrdersTable[[#This Row],[Profit]]/OrdersTable[[#This Row],[Net Revenue]],0)</f>
        <v>1.188922720023205E-2</v>
      </c>
      <c r="AA306" t="s">
        <v>2522</v>
      </c>
      <c r="AB306" s="79">
        <v>45360</v>
      </c>
      <c r="AC306">
        <f>OrdersTable[[#This Row],[Delivery Date]]-OrdersTable[[#This Row],[Order Date]]</f>
        <v>5</v>
      </c>
      <c r="AD306" t="str">
        <f>IF(OrdersTable[[#This Row],[Delivery Days]]&lt;=2, "Express (≤2d)", IF(OrdersTable[[#This Row],[Delivery Days]]&lt;=4, "Standard (3-4d)", "Delayed (5d+)"))</f>
        <v>Delayed (5d+)</v>
      </c>
      <c r="AE306">
        <v>3</v>
      </c>
      <c r="AF306">
        <v>0</v>
      </c>
    </row>
    <row r="307" spans="1:32" ht="15" x14ac:dyDescent="0.35">
      <c r="A307" t="s">
        <v>5856</v>
      </c>
      <c r="B307" s="1">
        <v>45355</v>
      </c>
      <c r="C307">
        <f>YEAR(OrdersTable[[#This Row],[Order Date]])</f>
        <v>2024</v>
      </c>
      <c r="D307" s="2">
        <f>DATE(YEAR(OrdersTable[[#This Row],[Order Date]]),MONTH(OrdersTable[[#This Row],[Order Date]]),1)</f>
        <v>45352</v>
      </c>
      <c r="E307">
        <f>MONTH(OrdersTable[[#This Row],[Order Date]])</f>
        <v>3</v>
      </c>
      <c r="F307" t="s">
        <v>3705</v>
      </c>
      <c r="G307" t="str">
        <f>IF(OrdersTable[[#This Row],[Order Date]]=_xlfn.MINIFS(Order_Date, Customer_ID, OrdersTable[[#This Row],[Customer ID]]), "New", "Repeat")</f>
        <v>Repeat</v>
      </c>
      <c r="H307" t="s">
        <v>76</v>
      </c>
      <c r="I307" t="str">
        <f>INDEX(State!B:B,MATCH(OrdersTable[[#This Row],[State]],State!A:A,0))</f>
        <v>UP</v>
      </c>
      <c r="J307" t="str">
        <f>INDEX(State!C:C,MATCH(OrdersTable[[#This Row],[State Code]],State!B:B,0))</f>
        <v>North</v>
      </c>
      <c r="K307" t="s">
        <v>118</v>
      </c>
      <c r="L307" t="s">
        <v>65</v>
      </c>
      <c r="M307" t="s">
        <v>125</v>
      </c>
      <c r="N307" t="str">
        <f>INDEX(Products!B:B,MATCH(OrdersTable[[#This Row],[Product ID]],Products!A:A,0))</f>
        <v>Copper Water Bottle</v>
      </c>
      <c r="O307" t="str">
        <f>INDEX(Products!C:C,MATCH(OrdersTable[[#This Row],[Product ID]],Products!A:A,0))</f>
        <v>Home &amp; Kitchen</v>
      </c>
      <c r="P307">
        <v>2</v>
      </c>
      <c r="Q307" s="5">
        <v>899</v>
      </c>
      <c r="R307" s="74">
        <v>0.05</v>
      </c>
      <c r="S307" s="75">
        <f>OrdersTable[[#This Row],[Quantity]]*OrdersTable[[#This Row],[Unit Price]]</f>
        <v>1798</v>
      </c>
      <c r="T307" s="5">
        <f>OrdersTable[[#This Row],[Gross Sale]]*OrdersTable[[#This Row],[Discount_Clean2]]</f>
        <v>89.9</v>
      </c>
      <c r="U307" s="5">
        <f>OrdersTable[[#This Row],[Gross Sale]]-OrdersTable[[#This Row],[Discount Amount]]</f>
        <v>1708.1</v>
      </c>
      <c r="V307" s="77">
        <f>INDEX(Products!E:E,MATCH(OrdersTable[[#This Row],[Product ID]],Products!A:A,0))</f>
        <v>378</v>
      </c>
      <c r="W307" s="77">
        <f>OrdersTable[[#This Row],[Quantity]]*OrdersTable[[#This Row],[Unit Cost]]</f>
        <v>756</v>
      </c>
      <c r="X307" s="77">
        <f>'Dropdown Lists'!$I$2*(1+OrdersTable[[#This Row],[Returned]])</f>
        <v>120</v>
      </c>
      <c r="Y307" s="76">
        <f>OrdersTable[[#This Row],[Net Revenue]]-OrdersTable[[#This Row],[COGS]]-OrdersTable[[#This Row],[Shipping Cost]]</f>
        <v>832.09999999999991</v>
      </c>
      <c r="Z307" s="78">
        <f>IFERROR(OrdersTable[[#This Row],[Profit]]/OrdersTable[[#This Row],[Net Revenue]],0)</f>
        <v>0.48714946431707745</v>
      </c>
      <c r="AA307" t="s">
        <v>18</v>
      </c>
      <c r="AB307" s="79">
        <v>45359</v>
      </c>
      <c r="AC307">
        <f>OrdersTable[[#This Row],[Delivery Date]]-OrdersTable[[#This Row],[Order Date]]</f>
        <v>4</v>
      </c>
      <c r="AD307" t="str">
        <f>IF(OrdersTable[[#This Row],[Delivery Days]]&lt;=2, "Express (≤2d)", IF(OrdersTable[[#This Row],[Delivery Days]]&lt;=4, "Standard (3-4d)", "Delayed (5d+)"))</f>
        <v>Standard (3-4d)</v>
      </c>
      <c r="AF307">
        <v>1</v>
      </c>
    </row>
    <row r="308" spans="1:32" ht="15" x14ac:dyDescent="0.35">
      <c r="A308" t="s">
        <v>3155</v>
      </c>
      <c r="B308" s="1">
        <v>45355</v>
      </c>
      <c r="C308">
        <f>YEAR(OrdersTable[[#This Row],[Order Date]])</f>
        <v>2024</v>
      </c>
      <c r="D308" s="2">
        <f>DATE(YEAR(OrdersTable[[#This Row],[Order Date]]),MONTH(OrdersTable[[#This Row],[Order Date]]),1)</f>
        <v>45352</v>
      </c>
      <c r="E308">
        <f>MONTH(OrdersTable[[#This Row],[Order Date]])</f>
        <v>3</v>
      </c>
      <c r="F308" t="s">
        <v>1089</v>
      </c>
      <c r="G308" t="str">
        <f>IF(OrdersTable[[#This Row],[Order Date]]=_xlfn.MINIFS(Order_Date, Customer_ID, OrdersTable[[#This Row],[Customer ID]]), "New", "Repeat")</f>
        <v>New</v>
      </c>
      <c r="H308" t="s">
        <v>482</v>
      </c>
      <c r="I308" t="str">
        <f>INDEX(State!B:B,MATCH(OrdersTable[[#This Row],[State]],State!A:A,0))</f>
        <v>CG</v>
      </c>
      <c r="J308" t="str">
        <f>INDEX(State!C:C,MATCH(OrdersTable[[#This Row],[State Code]],State!B:B,0))</f>
        <v>East</v>
      </c>
      <c r="K308" t="s">
        <v>483</v>
      </c>
      <c r="L308" t="s">
        <v>39</v>
      </c>
      <c r="M308" t="s">
        <v>228</v>
      </c>
      <c r="N308" t="str">
        <f>INDEX(Products!B:B,MATCH(OrdersTable[[#This Row],[Product ID]],Products!A:A,0))</f>
        <v>Fast Charger 33W</v>
      </c>
      <c r="O308" t="str">
        <f>INDEX(Products!C:C,MATCH(OrdersTable[[#This Row],[Product ID]],Products!A:A,0))</f>
        <v>Electronics</v>
      </c>
      <c r="P308">
        <v>1</v>
      </c>
      <c r="Q308" s="5">
        <v>899</v>
      </c>
      <c r="R308" s="74">
        <v>0</v>
      </c>
      <c r="S308" s="75">
        <f>OrdersTable[[#This Row],[Quantity]]*OrdersTable[[#This Row],[Unit Price]]</f>
        <v>899</v>
      </c>
      <c r="T308" s="5">
        <f>OrdersTable[[#This Row],[Gross Sale]]*OrdersTable[[#This Row],[Discount_Clean2]]</f>
        <v>0</v>
      </c>
      <c r="U308" s="5">
        <f>OrdersTable[[#This Row],[Gross Sale]]-OrdersTable[[#This Row],[Discount Amount]]</f>
        <v>899</v>
      </c>
      <c r="V308" s="77">
        <f>INDEX(Products!E:E,MATCH(OrdersTable[[#This Row],[Product ID]],Products!A:A,0))</f>
        <v>494</v>
      </c>
      <c r="W308" s="77">
        <f>OrdersTable[[#This Row],[Quantity]]*OrdersTable[[#This Row],[Unit Cost]]</f>
        <v>494</v>
      </c>
      <c r="X308" s="77">
        <f>'Dropdown Lists'!$I$2*(1+OrdersTable[[#This Row],[Returned]])</f>
        <v>60</v>
      </c>
      <c r="Y308" s="76">
        <f>OrdersTable[[#This Row],[Net Revenue]]-OrdersTable[[#This Row],[COGS]]-OrdersTable[[#This Row],[Shipping Cost]]</f>
        <v>345</v>
      </c>
      <c r="Z308" s="78">
        <f>IFERROR(OrdersTable[[#This Row],[Profit]]/OrdersTable[[#This Row],[Net Revenue]],0)</f>
        <v>0.38375973303670746</v>
      </c>
      <c r="AA308" t="s">
        <v>2522</v>
      </c>
      <c r="AB308" s="79">
        <v>45359</v>
      </c>
      <c r="AC308">
        <f>OrdersTable[[#This Row],[Delivery Date]]-OrdersTable[[#This Row],[Order Date]]</f>
        <v>4</v>
      </c>
      <c r="AD308" t="str">
        <f>IF(OrdersTable[[#This Row],[Delivery Days]]&lt;=2, "Express (≤2d)", IF(OrdersTable[[#This Row],[Delivery Days]]&lt;=4, "Standard (3-4d)", "Delayed (5d+)"))</f>
        <v>Standard (3-4d)</v>
      </c>
      <c r="AE308">
        <v>4</v>
      </c>
      <c r="AF308">
        <v>0</v>
      </c>
    </row>
    <row r="309" spans="1:32" ht="15" x14ac:dyDescent="0.35">
      <c r="A309" t="s">
        <v>4904</v>
      </c>
      <c r="B309" s="1">
        <v>45355</v>
      </c>
      <c r="C309">
        <f>YEAR(OrdersTable[[#This Row],[Order Date]])</f>
        <v>2024</v>
      </c>
      <c r="D309" s="2">
        <f>DATE(YEAR(OrdersTable[[#This Row],[Order Date]]),MONTH(OrdersTable[[#This Row],[Order Date]]),1)</f>
        <v>45352</v>
      </c>
      <c r="E309">
        <f>MONTH(OrdersTable[[#This Row],[Order Date]])</f>
        <v>3</v>
      </c>
      <c r="F309" t="s">
        <v>4905</v>
      </c>
      <c r="G309" t="str">
        <f>IF(OrdersTable[[#This Row],[Order Date]]=_xlfn.MINIFS(Order_Date, Customer_ID, OrdersTable[[#This Row],[Customer ID]]), "New", "Repeat")</f>
        <v>New</v>
      </c>
      <c r="H309" t="s">
        <v>27</v>
      </c>
      <c r="I309" t="str">
        <f>INDEX(State!B:B,MATCH(OrdersTable[[#This Row],[State]],State!A:A,0))</f>
        <v>WB</v>
      </c>
      <c r="J309" t="str">
        <f>INDEX(State!C:C,MATCH(OrdersTable[[#This Row],[State Code]],State!B:B,0))</f>
        <v>East</v>
      </c>
      <c r="K309" t="s">
        <v>28</v>
      </c>
      <c r="L309" t="s">
        <v>16</v>
      </c>
      <c r="M309" t="s">
        <v>87</v>
      </c>
      <c r="N309" t="str">
        <f>INDEX(Products!B:B,MATCH(OrdersTable[[#This Row],[Product ID]],Products!A:A,0))</f>
        <v>Linen Kurta</v>
      </c>
      <c r="O309" t="str">
        <f>INDEX(Products!C:C,MATCH(OrdersTable[[#This Row],[Product ID]],Products!A:A,0))</f>
        <v>Apparel</v>
      </c>
      <c r="P309">
        <v>2</v>
      </c>
      <c r="Q309" s="5">
        <v>1499</v>
      </c>
      <c r="R309" s="74">
        <v>0.4</v>
      </c>
      <c r="S309" s="75">
        <f>OrdersTable[[#This Row],[Quantity]]*OrdersTable[[#This Row],[Unit Price]]</f>
        <v>2998</v>
      </c>
      <c r="T309" s="5">
        <f>OrdersTable[[#This Row],[Gross Sale]]*OrdersTable[[#This Row],[Discount_Clean2]]</f>
        <v>1199.2</v>
      </c>
      <c r="U309" s="5">
        <f>OrdersTable[[#This Row],[Gross Sale]]-OrdersTable[[#This Row],[Discount Amount]]</f>
        <v>1798.8</v>
      </c>
      <c r="V309" s="77">
        <f>INDEX(Products!E:E,MATCH(OrdersTable[[#This Row],[Product ID]],Products!A:A,0))</f>
        <v>630</v>
      </c>
      <c r="W309" s="77">
        <f>OrdersTable[[#This Row],[Quantity]]*OrdersTable[[#This Row],[Unit Cost]]</f>
        <v>1260</v>
      </c>
      <c r="X309" s="77">
        <f>'Dropdown Lists'!$I$2*(1+OrdersTable[[#This Row],[Returned]])</f>
        <v>60</v>
      </c>
      <c r="Y309" s="76">
        <f>OrdersTable[[#This Row],[Net Revenue]]-OrdersTable[[#This Row],[COGS]]-OrdersTable[[#This Row],[Shipping Cost]]</f>
        <v>478.79999999999995</v>
      </c>
      <c r="Z309" s="78">
        <f>IFERROR(OrdersTable[[#This Row],[Profit]]/OrdersTable[[#This Row],[Net Revenue]],0)</f>
        <v>0.26617745163442291</v>
      </c>
      <c r="AA309" t="s">
        <v>4074</v>
      </c>
      <c r="AB309" s="79">
        <v>45359</v>
      </c>
      <c r="AC309">
        <f>OrdersTable[[#This Row],[Delivery Date]]-OrdersTable[[#This Row],[Order Date]]</f>
        <v>4</v>
      </c>
      <c r="AD309" t="str">
        <f>IF(OrdersTable[[#This Row],[Delivery Days]]&lt;=2, "Express (≤2d)", IF(OrdersTable[[#This Row],[Delivery Days]]&lt;=4, "Standard (3-4d)", "Delayed (5d+)"))</f>
        <v>Standard (3-4d)</v>
      </c>
      <c r="AE309">
        <v>3</v>
      </c>
      <c r="AF309">
        <v>0</v>
      </c>
    </row>
    <row r="310" spans="1:32" ht="15" x14ac:dyDescent="0.35">
      <c r="A310" t="s">
        <v>3850</v>
      </c>
      <c r="B310" s="1">
        <v>45356</v>
      </c>
      <c r="C310">
        <f>YEAR(OrdersTable[[#This Row],[Order Date]])</f>
        <v>2024</v>
      </c>
      <c r="D310" s="2">
        <f>DATE(YEAR(OrdersTable[[#This Row],[Order Date]]),MONTH(OrdersTable[[#This Row],[Order Date]]),1)</f>
        <v>45352</v>
      </c>
      <c r="E310">
        <f>MONTH(OrdersTable[[#This Row],[Order Date]])</f>
        <v>3</v>
      </c>
      <c r="F310" t="s">
        <v>1801</v>
      </c>
      <c r="G310" t="str">
        <f>IF(OrdersTable[[#This Row],[Order Date]]=_xlfn.MINIFS(Order_Date, Customer_ID, OrdersTable[[#This Row],[Customer ID]]), "New", "Repeat")</f>
        <v>New</v>
      </c>
      <c r="H310" t="s">
        <v>128</v>
      </c>
      <c r="I310" t="str">
        <f>INDEX(State!B:B,MATCH(OrdersTable[[#This Row],[State]],State!A:A,0))</f>
        <v>DL</v>
      </c>
      <c r="J310" t="str">
        <f>INDEX(State!C:C,MATCH(OrdersTable[[#This Row],[State Code]],State!B:B,0))</f>
        <v>North</v>
      </c>
      <c r="K310" t="s">
        <v>129</v>
      </c>
      <c r="L310" t="s">
        <v>65</v>
      </c>
      <c r="M310" t="s">
        <v>148</v>
      </c>
      <c r="N310" t="str">
        <f>INDEX(Products!B:B,MATCH(OrdersTable[[#This Row],[Product ID]],Products!A:A,0))</f>
        <v>Smartwatch Strap</v>
      </c>
      <c r="O310" t="str">
        <f>INDEX(Products!C:C,MATCH(OrdersTable[[#This Row],[Product ID]],Products!A:A,0))</f>
        <v>Electronics</v>
      </c>
      <c r="P310">
        <v>1</v>
      </c>
      <c r="Q310" s="5">
        <v>499</v>
      </c>
      <c r="R310" s="74">
        <v>0.05</v>
      </c>
      <c r="S310" s="75">
        <f>OrdersTable[[#This Row],[Quantity]]*OrdersTable[[#This Row],[Unit Price]]</f>
        <v>499</v>
      </c>
      <c r="T310" s="5">
        <f>OrdersTable[[#This Row],[Gross Sale]]*OrdersTable[[#This Row],[Discount_Clean2]]</f>
        <v>24.950000000000003</v>
      </c>
      <c r="U310" s="5">
        <f>OrdersTable[[#This Row],[Gross Sale]]-OrdersTable[[#This Row],[Discount Amount]]</f>
        <v>474.05</v>
      </c>
      <c r="V310" s="77">
        <f>INDEX(Products!E:E,MATCH(OrdersTable[[#This Row],[Product ID]],Products!A:A,0))</f>
        <v>200</v>
      </c>
      <c r="W310" s="77">
        <f>OrdersTable[[#This Row],[Quantity]]*OrdersTable[[#This Row],[Unit Cost]]</f>
        <v>200</v>
      </c>
      <c r="X310" s="77">
        <f>'Dropdown Lists'!$I$2*(1+OrdersTable[[#This Row],[Returned]])</f>
        <v>60</v>
      </c>
      <c r="Y310" s="76">
        <f>OrdersTable[[#This Row],[Net Revenue]]-OrdersTable[[#This Row],[COGS]]-OrdersTable[[#This Row],[Shipping Cost]]</f>
        <v>214.05</v>
      </c>
      <c r="Z310" s="78">
        <f>IFERROR(OrdersTable[[#This Row],[Profit]]/OrdersTable[[#This Row],[Net Revenue]],0)</f>
        <v>0.45153464824385614</v>
      </c>
      <c r="AA310" t="s">
        <v>3495</v>
      </c>
      <c r="AB310" s="79">
        <v>45359</v>
      </c>
      <c r="AC310">
        <f>OrdersTable[[#This Row],[Delivery Date]]-OrdersTable[[#This Row],[Order Date]]</f>
        <v>3</v>
      </c>
      <c r="AD310" t="str">
        <f>IF(OrdersTable[[#This Row],[Delivery Days]]&lt;=2, "Express (≤2d)", IF(OrdersTable[[#This Row],[Delivery Days]]&lt;=4, "Standard (3-4d)", "Delayed (5d+)"))</f>
        <v>Standard (3-4d)</v>
      </c>
      <c r="AE310">
        <v>3</v>
      </c>
      <c r="AF310">
        <v>0</v>
      </c>
    </row>
    <row r="311" spans="1:32" ht="15" x14ac:dyDescent="0.35">
      <c r="A311" t="s">
        <v>5304</v>
      </c>
      <c r="B311" s="1">
        <v>45356</v>
      </c>
      <c r="C311">
        <f>YEAR(OrdersTable[[#This Row],[Order Date]])</f>
        <v>2024</v>
      </c>
      <c r="D311" s="2">
        <f>DATE(YEAR(OrdersTable[[#This Row],[Order Date]]),MONTH(OrdersTable[[#This Row],[Order Date]]),1)</f>
        <v>45352</v>
      </c>
      <c r="E311">
        <f>MONTH(OrdersTable[[#This Row],[Order Date]])</f>
        <v>3</v>
      </c>
      <c r="F311" t="s">
        <v>1682</v>
      </c>
      <c r="G311" t="str">
        <f>IF(OrdersTable[[#This Row],[Order Date]]=_xlfn.MINIFS(Order_Date, Customer_ID, OrdersTable[[#This Row],[Customer ID]]), "New", "Repeat")</f>
        <v>New</v>
      </c>
      <c r="H311" t="s">
        <v>43</v>
      </c>
      <c r="I311" t="str">
        <f>INDEX(State!B:B,MATCH(OrdersTable[[#This Row],[State]],State!A:A,0))</f>
        <v>MP</v>
      </c>
      <c r="J311" t="str">
        <f>INDEX(State!C:C,MATCH(OrdersTable[[#This Row],[State Code]],State!B:B,0))</f>
        <v>West</v>
      </c>
      <c r="K311" t="s">
        <v>44</v>
      </c>
      <c r="L311" t="s">
        <v>16</v>
      </c>
      <c r="M311" t="s">
        <v>87</v>
      </c>
      <c r="N311" t="str">
        <f>INDEX(Products!B:B,MATCH(OrdersTable[[#This Row],[Product ID]],Products!A:A,0))</f>
        <v>Linen Kurta</v>
      </c>
      <c r="O311" t="str">
        <f>INDEX(Products!C:C,MATCH(OrdersTable[[#This Row],[Product ID]],Products!A:A,0))</f>
        <v>Apparel</v>
      </c>
      <c r="P311">
        <v>2</v>
      </c>
      <c r="Q311" s="5">
        <v>1499</v>
      </c>
      <c r="R311" s="74">
        <v>0.4</v>
      </c>
      <c r="S311" s="75">
        <f>OrdersTable[[#This Row],[Quantity]]*OrdersTable[[#This Row],[Unit Price]]</f>
        <v>2998</v>
      </c>
      <c r="T311" s="5">
        <f>OrdersTable[[#This Row],[Gross Sale]]*OrdersTable[[#This Row],[Discount_Clean2]]</f>
        <v>1199.2</v>
      </c>
      <c r="U311" s="5">
        <f>OrdersTable[[#This Row],[Gross Sale]]-OrdersTable[[#This Row],[Discount Amount]]</f>
        <v>1798.8</v>
      </c>
      <c r="V311" s="77">
        <f>INDEX(Products!E:E,MATCH(OrdersTable[[#This Row],[Product ID]],Products!A:A,0))</f>
        <v>630</v>
      </c>
      <c r="W311" s="77">
        <f>OrdersTable[[#This Row],[Quantity]]*OrdersTable[[#This Row],[Unit Cost]]</f>
        <v>1260</v>
      </c>
      <c r="X311" s="77">
        <f>'Dropdown Lists'!$I$2*(1+OrdersTable[[#This Row],[Returned]])</f>
        <v>60</v>
      </c>
      <c r="Y311" s="76">
        <f>OrdersTable[[#This Row],[Net Revenue]]-OrdersTable[[#This Row],[COGS]]-OrdersTable[[#This Row],[Shipping Cost]]</f>
        <v>478.79999999999995</v>
      </c>
      <c r="Z311" s="78">
        <f>IFERROR(OrdersTable[[#This Row],[Profit]]/OrdersTable[[#This Row],[Net Revenue]],0)</f>
        <v>0.26617745163442291</v>
      </c>
      <c r="AA311" t="s">
        <v>2522</v>
      </c>
      <c r="AB311" s="79">
        <v>45359</v>
      </c>
      <c r="AC311">
        <f>OrdersTable[[#This Row],[Delivery Date]]-OrdersTable[[#This Row],[Order Date]]</f>
        <v>3</v>
      </c>
      <c r="AD311" t="str">
        <f>IF(OrdersTable[[#This Row],[Delivery Days]]&lt;=2, "Express (≤2d)", IF(OrdersTable[[#This Row],[Delivery Days]]&lt;=4, "Standard (3-4d)", "Delayed (5d+)"))</f>
        <v>Standard (3-4d)</v>
      </c>
      <c r="AF311">
        <v>0</v>
      </c>
    </row>
    <row r="312" spans="1:32" ht="15" x14ac:dyDescent="0.35">
      <c r="A312" t="s">
        <v>3851</v>
      </c>
      <c r="B312" s="1">
        <v>45356</v>
      </c>
      <c r="C312">
        <f>YEAR(OrdersTable[[#This Row],[Order Date]])</f>
        <v>2024</v>
      </c>
      <c r="D312" s="2">
        <f>DATE(YEAR(OrdersTable[[#This Row],[Order Date]]),MONTH(OrdersTable[[#This Row],[Order Date]]),1)</f>
        <v>45352</v>
      </c>
      <c r="E312">
        <f>MONTH(OrdersTable[[#This Row],[Order Date]])</f>
        <v>3</v>
      </c>
      <c r="F312" t="s">
        <v>3852</v>
      </c>
      <c r="G312" t="str">
        <f>IF(OrdersTable[[#This Row],[Order Date]]=_xlfn.MINIFS(Order_Date, Customer_ID, OrdersTable[[#This Row],[Customer ID]]), "New", "Repeat")</f>
        <v>New</v>
      </c>
      <c r="H312" t="s">
        <v>27</v>
      </c>
      <c r="I312" t="str">
        <f>INDEX(State!B:B,MATCH(OrdersTable[[#This Row],[State]],State!A:A,0))</f>
        <v>WB</v>
      </c>
      <c r="J312" t="str">
        <f>INDEX(State!C:C,MATCH(OrdersTable[[#This Row],[State Code]],State!B:B,0))</f>
        <v>East</v>
      </c>
      <c r="K312" t="s">
        <v>28</v>
      </c>
      <c r="L312" t="s">
        <v>23</v>
      </c>
      <c r="M312" t="s">
        <v>34</v>
      </c>
      <c r="N312" t="str">
        <f>INDEX(Products!B:B,MATCH(OrdersTable[[#This Row],[Product ID]],Products!A:A,0))</f>
        <v>Flip Flops</v>
      </c>
      <c r="O312" t="str">
        <f>INDEX(Products!C:C,MATCH(OrdersTable[[#This Row],[Product ID]],Products!A:A,0))</f>
        <v>Footwear</v>
      </c>
      <c r="P312">
        <v>1</v>
      </c>
      <c r="Q312" s="5">
        <v>399</v>
      </c>
      <c r="R312" s="74">
        <v>0.1</v>
      </c>
      <c r="S312" s="75">
        <f>OrdersTable[[#This Row],[Quantity]]*OrdersTable[[#This Row],[Unit Price]]</f>
        <v>399</v>
      </c>
      <c r="T312" s="5">
        <f>OrdersTable[[#This Row],[Gross Sale]]*OrdersTable[[#This Row],[Discount_Clean2]]</f>
        <v>39.900000000000006</v>
      </c>
      <c r="U312" s="5">
        <f>OrdersTable[[#This Row],[Gross Sale]]-OrdersTable[[#This Row],[Discount Amount]]</f>
        <v>359.1</v>
      </c>
      <c r="V312" s="77">
        <f>INDEX(Products!E:E,MATCH(OrdersTable[[#This Row],[Product ID]],Products!A:A,0))</f>
        <v>152</v>
      </c>
      <c r="W312" s="77">
        <f>OrdersTable[[#This Row],[Quantity]]*OrdersTable[[#This Row],[Unit Cost]]</f>
        <v>152</v>
      </c>
      <c r="X312" s="77">
        <f>'Dropdown Lists'!$I$2*(1+OrdersTable[[#This Row],[Returned]])</f>
        <v>60</v>
      </c>
      <c r="Y312" s="76">
        <f>OrdersTable[[#This Row],[Net Revenue]]-OrdersTable[[#This Row],[COGS]]-OrdersTable[[#This Row],[Shipping Cost]]</f>
        <v>147.10000000000002</v>
      </c>
      <c r="Z312" s="78">
        <f>IFERROR(OrdersTable[[#This Row],[Profit]]/OrdersTable[[#This Row],[Net Revenue]],0)</f>
        <v>0.40963519910888335</v>
      </c>
      <c r="AA312" t="s">
        <v>3495</v>
      </c>
      <c r="AB312" s="79">
        <v>45361</v>
      </c>
      <c r="AC312">
        <f>OrdersTable[[#This Row],[Delivery Date]]-OrdersTable[[#This Row],[Order Date]]</f>
        <v>5</v>
      </c>
      <c r="AD312" t="str">
        <f>IF(OrdersTable[[#This Row],[Delivery Days]]&lt;=2, "Express (≤2d)", IF(OrdersTable[[#This Row],[Delivery Days]]&lt;=4, "Standard (3-4d)", "Delayed (5d+)"))</f>
        <v>Delayed (5d+)</v>
      </c>
      <c r="AE312">
        <v>3</v>
      </c>
      <c r="AF312">
        <v>0</v>
      </c>
    </row>
    <row r="313" spans="1:32" ht="15" x14ac:dyDescent="0.35">
      <c r="A313" t="s">
        <v>6258</v>
      </c>
      <c r="B313" s="1">
        <v>45357</v>
      </c>
      <c r="C313">
        <f>YEAR(OrdersTable[[#This Row],[Order Date]])</f>
        <v>2024</v>
      </c>
      <c r="D313" s="2">
        <f>DATE(YEAR(OrdersTable[[#This Row],[Order Date]]),MONTH(OrdersTable[[#This Row],[Order Date]]),1)</f>
        <v>45352</v>
      </c>
      <c r="E313">
        <f>MONTH(OrdersTable[[#This Row],[Order Date]])</f>
        <v>3</v>
      </c>
      <c r="F313" t="s">
        <v>1725</v>
      </c>
      <c r="G313" t="str">
        <f>IF(OrdersTable[[#This Row],[Order Date]]=_xlfn.MINIFS(Order_Date, Customer_ID, OrdersTable[[#This Row],[Customer ID]]), "New", "Repeat")</f>
        <v>New</v>
      </c>
      <c r="H313" t="s">
        <v>158</v>
      </c>
      <c r="I313" t="str">
        <f>INDEX(State!B:B,MATCH(OrdersTable[[#This Row],[State]],State!A:A,0))</f>
        <v>HP</v>
      </c>
      <c r="J313" t="str">
        <f>INDEX(State!C:C,MATCH(OrdersTable[[#This Row],[State Code]],State!B:B,0))</f>
        <v>North</v>
      </c>
      <c r="K313" t="s">
        <v>159</v>
      </c>
      <c r="L313" t="s">
        <v>65</v>
      </c>
      <c r="M313" t="s">
        <v>51</v>
      </c>
      <c r="N313" t="str">
        <f>INDEX(Products!B:B,MATCH(OrdersTable[[#This Row],[Product ID]],Products!A:A,0))</f>
        <v>Anti-Dandruff Conditioner</v>
      </c>
      <c r="O313" t="str">
        <f>INDEX(Products!C:C,MATCH(OrdersTable[[#This Row],[Product ID]],Products!A:A,0))</f>
        <v>Haircare</v>
      </c>
      <c r="P313">
        <v>2</v>
      </c>
      <c r="Q313" s="5">
        <v>399</v>
      </c>
      <c r="R313" s="74">
        <v>0.3</v>
      </c>
      <c r="S313" s="75">
        <f>OrdersTable[[#This Row],[Quantity]]*OrdersTable[[#This Row],[Unit Price]]</f>
        <v>798</v>
      </c>
      <c r="T313" s="5">
        <f>OrdersTable[[#This Row],[Gross Sale]]*OrdersTable[[#This Row],[Discount_Clean2]]</f>
        <v>239.39999999999998</v>
      </c>
      <c r="U313" s="5">
        <f>OrdersTable[[#This Row],[Gross Sale]]-OrdersTable[[#This Row],[Discount Amount]]</f>
        <v>558.6</v>
      </c>
      <c r="V313" s="77">
        <f>INDEX(Products!E:E,MATCH(OrdersTable[[#This Row],[Product ID]],Products!A:A,0))</f>
        <v>136</v>
      </c>
      <c r="W313" s="77">
        <f>OrdersTable[[#This Row],[Quantity]]*OrdersTable[[#This Row],[Unit Cost]]</f>
        <v>272</v>
      </c>
      <c r="X313" s="77">
        <f>'Dropdown Lists'!$I$2*(1+OrdersTable[[#This Row],[Returned]])</f>
        <v>60</v>
      </c>
      <c r="Y313" s="76">
        <f>OrdersTable[[#This Row],[Net Revenue]]-OrdersTable[[#This Row],[COGS]]-OrdersTable[[#This Row],[Shipping Cost]]</f>
        <v>226.60000000000002</v>
      </c>
      <c r="Z313" s="78">
        <f>IFERROR(OrdersTable[[#This Row],[Profit]]/OrdersTable[[#This Row],[Net Revenue]],0)</f>
        <v>0.40565699964196206</v>
      </c>
      <c r="AA313" t="s">
        <v>18</v>
      </c>
      <c r="AB313" s="79">
        <v>45360</v>
      </c>
      <c r="AC313">
        <f>OrdersTable[[#This Row],[Delivery Date]]-OrdersTable[[#This Row],[Order Date]]</f>
        <v>3</v>
      </c>
      <c r="AD313" t="str">
        <f>IF(OrdersTable[[#This Row],[Delivery Days]]&lt;=2, "Express (≤2d)", IF(OrdersTable[[#This Row],[Delivery Days]]&lt;=4, "Standard (3-4d)", "Delayed (5d+)"))</f>
        <v>Standard (3-4d)</v>
      </c>
      <c r="AE313">
        <v>4</v>
      </c>
      <c r="AF313">
        <v>0</v>
      </c>
    </row>
    <row r="314" spans="1:32" ht="15" x14ac:dyDescent="0.35">
      <c r="A314" t="s">
        <v>4335</v>
      </c>
      <c r="B314" s="1">
        <v>45357</v>
      </c>
      <c r="C314">
        <f>YEAR(OrdersTable[[#This Row],[Order Date]])</f>
        <v>2024</v>
      </c>
      <c r="D314" s="2">
        <f>DATE(YEAR(OrdersTable[[#This Row],[Order Date]]),MONTH(OrdersTable[[#This Row],[Order Date]]),1)</f>
        <v>45352</v>
      </c>
      <c r="E314">
        <f>MONTH(OrdersTable[[#This Row],[Order Date]])</f>
        <v>3</v>
      </c>
      <c r="F314" t="s">
        <v>1071</v>
      </c>
      <c r="G314" t="str">
        <f>IF(OrdersTable[[#This Row],[Order Date]]=_xlfn.MINIFS(Order_Date, Customer_ID, OrdersTable[[#This Row],[Customer ID]]), "New", "Repeat")</f>
        <v>Repeat</v>
      </c>
      <c r="H314" t="s">
        <v>128</v>
      </c>
      <c r="I314" t="str">
        <f>INDEX(State!B:B,MATCH(OrdersTable[[#This Row],[State]],State!A:A,0))</f>
        <v>DL</v>
      </c>
      <c r="J314" t="str">
        <f>INDEX(State!C:C,MATCH(OrdersTable[[#This Row],[State Code]],State!B:B,0))</f>
        <v>North</v>
      </c>
      <c r="K314" t="s">
        <v>129</v>
      </c>
      <c r="L314" t="s">
        <v>23</v>
      </c>
      <c r="M314" t="s">
        <v>78</v>
      </c>
      <c r="N314" t="str">
        <f>INDEX(Products!B:B,MATCH(OrdersTable[[#This Row],[Product ID]],Products!A:A,0))</f>
        <v>Retinol Night Cream</v>
      </c>
      <c r="O314" t="str">
        <f>INDEX(Products!C:C,MATCH(OrdersTable[[#This Row],[Product ID]],Products!A:A,0))</f>
        <v>Skincare</v>
      </c>
      <c r="P314">
        <v>1</v>
      </c>
      <c r="Q314" s="5">
        <v>799</v>
      </c>
      <c r="R314" s="74">
        <v>0.1</v>
      </c>
      <c r="S314" s="75">
        <f>OrdersTable[[#This Row],[Quantity]]*OrdersTable[[#This Row],[Unit Price]]</f>
        <v>799</v>
      </c>
      <c r="T314" s="5">
        <f>OrdersTable[[#This Row],[Gross Sale]]*OrdersTable[[#This Row],[Discount_Clean2]]</f>
        <v>79.900000000000006</v>
      </c>
      <c r="U314" s="5">
        <f>OrdersTable[[#This Row],[Gross Sale]]-OrdersTable[[#This Row],[Discount Amount]]</f>
        <v>719.1</v>
      </c>
      <c r="V314" s="77">
        <f>INDEX(Products!E:E,MATCH(OrdersTable[[#This Row],[Product ID]],Products!A:A,0))</f>
        <v>216</v>
      </c>
      <c r="W314" s="77">
        <f>OrdersTable[[#This Row],[Quantity]]*OrdersTable[[#This Row],[Unit Cost]]</f>
        <v>216</v>
      </c>
      <c r="X314" s="77">
        <f>'Dropdown Lists'!$I$2*(1+OrdersTable[[#This Row],[Returned]])</f>
        <v>60</v>
      </c>
      <c r="Y314" s="76">
        <f>OrdersTable[[#This Row],[Net Revenue]]-OrdersTable[[#This Row],[COGS]]-OrdersTable[[#This Row],[Shipping Cost]]</f>
        <v>443.1</v>
      </c>
      <c r="Z314" s="78">
        <f>IFERROR(OrdersTable[[#This Row],[Profit]]/OrdersTable[[#This Row],[Net Revenue]],0)</f>
        <v>0.61618690029203171</v>
      </c>
      <c r="AA314" t="s">
        <v>4074</v>
      </c>
      <c r="AB314" s="79">
        <v>45358</v>
      </c>
      <c r="AC314">
        <f>OrdersTable[[#This Row],[Delivery Date]]-OrdersTable[[#This Row],[Order Date]]</f>
        <v>1</v>
      </c>
      <c r="AD314" t="str">
        <f>IF(OrdersTable[[#This Row],[Delivery Days]]&lt;=2, "Express (≤2d)", IF(OrdersTable[[#This Row],[Delivery Days]]&lt;=4, "Standard (3-4d)", "Delayed (5d+)"))</f>
        <v>Express (≤2d)</v>
      </c>
      <c r="AE314">
        <v>4</v>
      </c>
      <c r="AF314">
        <v>0</v>
      </c>
    </row>
    <row r="315" spans="1:32" ht="15" x14ac:dyDescent="0.35">
      <c r="A315" t="s">
        <v>3508</v>
      </c>
      <c r="B315" s="1">
        <v>45357</v>
      </c>
      <c r="C315">
        <f>YEAR(OrdersTable[[#This Row],[Order Date]])</f>
        <v>2024</v>
      </c>
      <c r="D315" s="2">
        <f>DATE(YEAR(OrdersTable[[#This Row],[Order Date]]),MONTH(OrdersTable[[#This Row],[Order Date]]),1)</f>
        <v>45352</v>
      </c>
      <c r="E315">
        <f>MONTH(OrdersTable[[#This Row],[Order Date]])</f>
        <v>3</v>
      </c>
      <c r="F315" t="s">
        <v>1328</v>
      </c>
      <c r="G315" t="str">
        <f>IF(OrdersTable[[#This Row],[Order Date]]=_xlfn.MINIFS(Order_Date, Customer_ID, OrdersTable[[#This Row],[Customer ID]]), "New", "Repeat")</f>
        <v>New</v>
      </c>
      <c r="H315" t="s">
        <v>76</v>
      </c>
      <c r="I315" t="str">
        <f>INDEX(State!B:B,MATCH(OrdersTable[[#This Row],[State]],State!A:A,0))</f>
        <v>UP</v>
      </c>
      <c r="J315" t="str">
        <f>INDEX(State!C:C,MATCH(OrdersTable[[#This Row],[State Code]],State!B:B,0))</f>
        <v>North</v>
      </c>
      <c r="K315" t="s">
        <v>77</v>
      </c>
      <c r="L315" t="s">
        <v>39</v>
      </c>
      <c r="M315" t="s">
        <v>160</v>
      </c>
      <c r="N315" t="str">
        <f>INDEX(Products!B:B,MATCH(OrdersTable[[#This Row],[Product ID]],Products!A:A,0))</f>
        <v>Niacinamide Toner</v>
      </c>
      <c r="O315" t="str">
        <f>INDEX(Products!C:C,MATCH(OrdersTable[[#This Row],[Product ID]],Products!A:A,0))</f>
        <v>Skincare</v>
      </c>
      <c r="P315">
        <v>1</v>
      </c>
      <c r="Q315" s="5">
        <v>399</v>
      </c>
      <c r="R315" s="74">
        <v>0.15</v>
      </c>
      <c r="S315" s="75">
        <f>OrdersTable[[#This Row],[Quantity]]*OrdersTable[[#This Row],[Unit Price]]</f>
        <v>399</v>
      </c>
      <c r="T315" s="5">
        <f>OrdersTable[[#This Row],[Gross Sale]]*OrdersTable[[#This Row],[Discount_Clean2]]</f>
        <v>59.849999999999994</v>
      </c>
      <c r="U315" s="5">
        <f>OrdersTable[[#This Row],[Gross Sale]]-OrdersTable[[#This Row],[Discount Amount]]</f>
        <v>339.15</v>
      </c>
      <c r="V315" s="77">
        <f>INDEX(Products!E:E,MATCH(OrdersTable[[#This Row],[Product ID]],Products!A:A,0))</f>
        <v>112</v>
      </c>
      <c r="W315" s="77">
        <f>OrdersTable[[#This Row],[Quantity]]*OrdersTable[[#This Row],[Unit Cost]]</f>
        <v>112</v>
      </c>
      <c r="X315" s="77">
        <f>'Dropdown Lists'!$I$2*(1+OrdersTable[[#This Row],[Returned]])</f>
        <v>60</v>
      </c>
      <c r="Y315" s="76">
        <f>OrdersTable[[#This Row],[Net Revenue]]-OrdersTable[[#This Row],[COGS]]-OrdersTable[[#This Row],[Shipping Cost]]</f>
        <v>167.14999999999998</v>
      </c>
      <c r="Z315" s="78">
        <f>IFERROR(OrdersTable[[#This Row],[Profit]]/OrdersTable[[#This Row],[Net Revenue]],0)</f>
        <v>0.49284977148754233</v>
      </c>
      <c r="AA315" t="s">
        <v>3495</v>
      </c>
      <c r="AB315" s="79">
        <v>45362</v>
      </c>
      <c r="AC315">
        <f>OrdersTable[[#This Row],[Delivery Date]]-OrdersTable[[#This Row],[Order Date]]</f>
        <v>5</v>
      </c>
      <c r="AD315" t="str">
        <f>IF(OrdersTable[[#This Row],[Delivery Days]]&lt;=2, "Express (≤2d)", IF(OrdersTable[[#This Row],[Delivery Days]]&lt;=4, "Standard (3-4d)", "Delayed (5d+)"))</f>
        <v>Delayed (5d+)</v>
      </c>
      <c r="AE315">
        <v>4</v>
      </c>
      <c r="AF315">
        <v>0</v>
      </c>
    </row>
    <row r="316" spans="1:32" ht="15" x14ac:dyDescent="0.35">
      <c r="A316" t="s">
        <v>5755</v>
      </c>
      <c r="B316" s="1">
        <v>45357</v>
      </c>
      <c r="C316">
        <f>YEAR(OrdersTable[[#This Row],[Order Date]])</f>
        <v>2024</v>
      </c>
      <c r="D316" s="2">
        <f>DATE(YEAR(OrdersTable[[#This Row],[Order Date]]),MONTH(OrdersTable[[#This Row],[Order Date]]),1)</f>
        <v>45352</v>
      </c>
      <c r="E316">
        <f>MONTH(OrdersTable[[#This Row],[Order Date]])</f>
        <v>3</v>
      </c>
      <c r="F316" t="s">
        <v>3117</v>
      </c>
      <c r="G316" t="str">
        <f>IF(OrdersTable[[#This Row],[Order Date]]=_xlfn.MINIFS(Order_Date, Customer_ID, OrdersTable[[#This Row],[Customer ID]]), "New", "Repeat")</f>
        <v>New</v>
      </c>
      <c r="H316" t="s">
        <v>27</v>
      </c>
      <c r="I316" t="str">
        <f>INDEX(State!B:B,MATCH(OrdersTable[[#This Row],[State]],State!A:A,0))</f>
        <v>WB</v>
      </c>
      <c r="J316" t="str">
        <f>INDEX(State!C:C,MATCH(OrdersTable[[#This Row],[State Code]],State!B:B,0))</f>
        <v>East</v>
      </c>
      <c r="K316" t="s">
        <v>28</v>
      </c>
      <c r="L316" t="s">
        <v>50</v>
      </c>
      <c r="M316" t="s">
        <v>40</v>
      </c>
      <c r="N316" t="str">
        <f>INDEX(Products!B:B,MATCH(OrdersTable[[#This Row],[Product ID]],Products!A:A,0))</f>
        <v>Ashwagandha Capsules</v>
      </c>
      <c r="O316" t="str">
        <f>INDEX(Products!C:C,MATCH(OrdersTable[[#This Row],[Product ID]],Products!A:A,0))</f>
        <v>Wellness</v>
      </c>
      <c r="P316">
        <v>2</v>
      </c>
      <c r="Q316" s="5">
        <v>499</v>
      </c>
      <c r="R316" s="74">
        <v>0.05</v>
      </c>
      <c r="S316" s="75">
        <f>OrdersTable[[#This Row],[Quantity]]*OrdersTable[[#This Row],[Unit Price]]</f>
        <v>998</v>
      </c>
      <c r="T316" s="5">
        <f>OrdersTable[[#This Row],[Gross Sale]]*OrdersTable[[#This Row],[Discount_Clean2]]</f>
        <v>49.900000000000006</v>
      </c>
      <c r="U316" s="5">
        <f>OrdersTable[[#This Row],[Gross Sale]]-OrdersTable[[#This Row],[Discount Amount]]</f>
        <v>948.1</v>
      </c>
      <c r="V316" s="77">
        <f>INDEX(Products!E:E,MATCH(OrdersTable[[#This Row],[Product ID]],Products!A:A,0))</f>
        <v>150</v>
      </c>
      <c r="W316" s="77">
        <f>OrdersTable[[#This Row],[Quantity]]*OrdersTable[[#This Row],[Unit Cost]]</f>
        <v>300</v>
      </c>
      <c r="X316" s="77">
        <f>'Dropdown Lists'!$I$2*(1+OrdersTable[[#This Row],[Returned]])</f>
        <v>60</v>
      </c>
      <c r="Y316" s="76">
        <f>OrdersTable[[#This Row],[Net Revenue]]-OrdersTable[[#This Row],[COGS]]-OrdersTable[[#This Row],[Shipping Cost]]</f>
        <v>588.1</v>
      </c>
      <c r="Z316" s="78">
        <f>IFERROR(OrdersTable[[#This Row],[Profit]]/OrdersTable[[#This Row],[Net Revenue]],0)</f>
        <v>0.62029321801497728</v>
      </c>
      <c r="AA316" t="s">
        <v>18</v>
      </c>
      <c r="AB316" s="79">
        <v>45360</v>
      </c>
      <c r="AC316">
        <f>OrdersTable[[#This Row],[Delivery Date]]-OrdersTable[[#This Row],[Order Date]]</f>
        <v>3</v>
      </c>
      <c r="AD316" t="str">
        <f>IF(OrdersTable[[#This Row],[Delivery Days]]&lt;=2, "Express (≤2d)", IF(OrdersTable[[#This Row],[Delivery Days]]&lt;=4, "Standard (3-4d)", "Delayed (5d+)"))</f>
        <v>Standard (3-4d)</v>
      </c>
      <c r="AE316">
        <v>5</v>
      </c>
      <c r="AF316">
        <v>0</v>
      </c>
    </row>
    <row r="317" spans="1:32" ht="15" x14ac:dyDescent="0.35">
      <c r="A317" t="s">
        <v>6470</v>
      </c>
      <c r="B317" s="1">
        <v>45357</v>
      </c>
      <c r="C317">
        <f>YEAR(OrdersTable[[#This Row],[Order Date]])</f>
        <v>2024</v>
      </c>
      <c r="D317" s="2">
        <f>DATE(YEAR(OrdersTable[[#This Row],[Order Date]]),MONTH(OrdersTable[[#This Row],[Order Date]]),1)</f>
        <v>45352</v>
      </c>
      <c r="E317">
        <f>MONTH(OrdersTable[[#This Row],[Order Date]])</f>
        <v>3</v>
      </c>
      <c r="F317" t="s">
        <v>2073</v>
      </c>
      <c r="G317" t="str">
        <f>IF(OrdersTable[[#This Row],[Order Date]]=_xlfn.MINIFS(Order_Date, Customer_ID, OrdersTable[[#This Row],[Customer ID]]), "New", "Repeat")</f>
        <v>New</v>
      </c>
      <c r="H317" t="s">
        <v>71</v>
      </c>
      <c r="I317" t="str">
        <f>INDEX(State!B:B,MATCH(OrdersTable[[#This Row],[State]],State!A:A,0))</f>
        <v>MH</v>
      </c>
      <c r="J317" t="str">
        <f>INDEX(State!C:C,MATCH(OrdersTable[[#This Row],[State Code]],State!B:B,0))</f>
        <v>West</v>
      </c>
      <c r="K317" t="s">
        <v>72</v>
      </c>
      <c r="L317" t="s">
        <v>65</v>
      </c>
      <c r="M317" t="s">
        <v>73</v>
      </c>
      <c r="N317" t="str">
        <f>INDEX(Products!B:B,MATCH(OrdersTable[[#This Row],[Product ID]],Products!A:A,0))</f>
        <v>Hydrating Face Wash</v>
      </c>
      <c r="O317" t="str">
        <f>INDEX(Products!C:C,MATCH(OrdersTable[[#This Row],[Product ID]],Products!A:A,0))</f>
        <v>Skincare</v>
      </c>
      <c r="P317">
        <v>3</v>
      </c>
      <c r="Q317" s="5">
        <v>299</v>
      </c>
      <c r="R317" s="74">
        <v>0</v>
      </c>
      <c r="S317" s="75">
        <f>OrdersTable[[#This Row],[Quantity]]*OrdersTable[[#This Row],[Unit Price]]</f>
        <v>897</v>
      </c>
      <c r="T317" s="5">
        <f>OrdersTable[[#This Row],[Gross Sale]]*OrdersTable[[#This Row],[Discount_Clean2]]</f>
        <v>0</v>
      </c>
      <c r="U317" s="5">
        <f>OrdersTable[[#This Row],[Gross Sale]]-OrdersTable[[#This Row],[Discount Amount]]</f>
        <v>897</v>
      </c>
      <c r="V317" s="77">
        <f>INDEX(Products!E:E,MATCH(OrdersTable[[#This Row],[Product ID]],Products!A:A,0))</f>
        <v>90</v>
      </c>
      <c r="W317" s="77">
        <f>OrdersTable[[#This Row],[Quantity]]*OrdersTable[[#This Row],[Unit Cost]]</f>
        <v>270</v>
      </c>
      <c r="X317" s="77">
        <f>'Dropdown Lists'!$I$2*(1+OrdersTable[[#This Row],[Returned]])</f>
        <v>60</v>
      </c>
      <c r="Y317" s="76">
        <f>OrdersTable[[#This Row],[Net Revenue]]-OrdersTable[[#This Row],[COGS]]-OrdersTable[[#This Row],[Shipping Cost]]</f>
        <v>567</v>
      </c>
      <c r="Z317" s="78">
        <f>IFERROR(OrdersTable[[#This Row],[Profit]]/OrdersTable[[#This Row],[Net Revenue]],0)</f>
        <v>0.63210702341137126</v>
      </c>
      <c r="AA317" t="s">
        <v>18</v>
      </c>
      <c r="AB317" s="79">
        <v>45358</v>
      </c>
      <c r="AC317">
        <f>OrdersTable[[#This Row],[Delivery Date]]-OrdersTable[[#This Row],[Order Date]]</f>
        <v>1</v>
      </c>
      <c r="AD317" t="str">
        <f>IF(OrdersTable[[#This Row],[Delivery Days]]&lt;=2, "Express (≤2d)", IF(OrdersTable[[#This Row],[Delivery Days]]&lt;=4, "Standard (3-4d)", "Delayed (5d+)"))</f>
        <v>Express (≤2d)</v>
      </c>
      <c r="AE317">
        <v>5</v>
      </c>
      <c r="AF317">
        <v>0</v>
      </c>
    </row>
    <row r="318" spans="1:32" ht="15" x14ac:dyDescent="0.35">
      <c r="A318" t="s">
        <v>7048</v>
      </c>
      <c r="B318" s="1">
        <v>45358</v>
      </c>
      <c r="C318">
        <f>YEAR(OrdersTable[[#This Row],[Order Date]])</f>
        <v>2024</v>
      </c>
      <c r="D318" s="2">
        <f>DATE(YEAR(OrdersTable[[#This Row],[Order Date]]),MONTH(OrdersTable[[#This Row],[Order Date]]),1)</f>
        <v>45352</v>
      </c>
      <c r="E318">
        <f>MONTH(OrdersTable[[#This Row],[Order Date]])</f>
        <v>3</v>
      </c>
      <c r="F318" t="s">
        <v>440</v>
      </c>
      <c r="G318" t="str">
        <f>IF(OrdersTable[[#This Row],[Order Date]]=_xlfn.MINIFS(Order_Date, Customer_ID, OrdersTable[[#This Row],[Customer ID]]), "New", "Repeat")</f>
        <v>Repeat</v>
      </c>
      <c r="H318" t="s">
        <v>54</v>
      </c>
      <c r="I318" t="str">
        <f>INDEX(State!B:B,MATCH(OrdersTable[[#This Row],[State]],State!A:A,0))</f>
        <v>RJ</v>
      </c>
      <c r="J318" t="str">
        <f>INDEX(State!C:C,MATCH(OrdersTable[[#This Row],[State Code]],State!B:B,0))</f>
        <v>North</v>
      </c>
      <c r="K318" t="s">
        <v>55</v>
      </c>
      <c r="L318" t="s">
        <v>23</v>
      </c>
      <c r="M318" t="s">
        <v>34</v>
      </c>
      <c r="N318" t="str">
        <f>INDEX(Products!B:B,MATCH(OrdersTable[[#This Row],[Product ID]],Products!A:A,0))</f>
        <v>Flip Flops</v>
      </c>
      <c r="O318" t="str">
        <f>INDEX(Products!C:C,MATCH(OrdersTable[[#This Row],[Product ID]],Products!A:A,0))</f>
        <v>Footwear</v>
      </c>
      <c r="P318">
        <v>4</v>
      </c>
      <c r="Q318" s="5">
        <v>399</v>
      </c>
      <c r="R318" s="74">
        <v>0.05</v>
      </c>
      <c r="S318" s="75">
        <f>OrdersTable[[#This Row],[Quantity]]*OrdersTable[[#This Row],[Unit Price]]</f>
        <v>1596</v>
      </c>
      <c r="T318" s="5">
        <f>OrdersTable[[#This Row],[Gross Sale]]*OrdersTable[[#This Row],[Discount_Clean2]]</f>
        <v>79.800000000000011</v>
      </c>
      <c r="U318" s="5">
        <f>OrdersTable[[#This Row],[Gross Sale]]-OrdersTable[[#This Row],[Discount Amount]]</f>
        <v>1516.2</v>
      </c>
      <c r="V318" s="77">
        <f>INDEX(Products!E:E,MATCH(OrdersTable[[#This Row],[Product ID]],Products!A:A,0))</f>
        <v>152</v>
      </c>
      <c r="W318" s="77">
        <f>OrdersTable[[#This Row],[Quantity]]*OrdersTable[[#This Row],[Unit Cost]]</f>
        <v>608</v>
      </c>
      <c r="X318" s="77">
        <f>'Dropdown Lists'!$I$2*(1+OrdersTable[[#This Row],[Returned]])</f>
        <v>60</v>
      </c>
      <c r="Y318" s="76">
        <f>OrdersTable[[#This Row],[Net Revenue]]-OrdersTable[[#This Row],[COGS]]-OrdersTable[[#This Row],[Shipping Cost]]</f>
        <v>848.2</v>
      </c>
      <c r="Z318" s="78">
        <f>IFERROR(OrdersTable[[#This Row],[Profit]]/OrdersTable[[#This Row],[Net Revenue]],0)</f>
        <v>0.55942487798443474</v>
      </c>
      <c r="AA318" t="s">
        <v>18</v>
      </c>
      <c r="AB318" s="79">
        <v>45362</v>
      </c>
      <c r="AC318">
        <f>OrdersTable[[#This Row],[Delivery Date]]-OrdersTable[[#This Row],[Order Date]]</f>
        <v>4</v>
      </c>
      <c r="AD318" t="str">
        <f>IF(OrdersTable[[#This Row],[Delivery Days]]&lt;=2, "Express (≤2d)", IF(OrdersTable[[#This Row],[Delivery Days]]&lt;=4, "Standard (3-4d)", "Delayed (5d+)"))</f>
        <v>Standard (3-4d)</v>
      </c>
      <c r="AF318">
        <v>0</v>
      </c>
    </row>
    <row r="319" spans="1:32" ht="15" x14ac:dyDescent="0.35">
      <c r="A319" t="s">
        <v>2223</v>
      </c>
      <c r="B319" s="1">
        <v>45358</v>
      </c>
      <c r="C319">
        <f>YEAR(OrdersTable[[#This Row],[Order Date]])</f>
        <v>2024</v>
      </c>
      <c r="D319" s="2">
        <f>DATE(YEAR(OrdersTable[[#This Row],[Order Date]]),MONTH(OrdersTable[[#This Row],[Order Date]]),1)</f>
        <v>45352</v>
      </c>
      <c r="E319">
        <f>MONTH(OrdersTable[[#This Row],[Order Date]])</f>
        <v>3</v>
      </c>
      <c r="F319" t="s">
        <v>2224</v>
      </c>
      <c r="G319" t="str">
        <f>IF(OrdersTable[[#This Row],[Order Date]]=_xlfn.MINIFS(Order_Date, Customer_ID, OrdersTable[[#This Row],[Customer ID]]), "New", "Repeat")</f>
        <v>New</v>
      </c>
      <c r="H319" t="s">
        <v>48</v>
      </c>
      <c r="I319" t="str">
        <f>INDEX(State!B:B,MATCH(OrdersTable[[#This Row],[State]],State!A:A,0))</f>
        <v>HR</v>
      </c>
      <c r="J319" t="str">
        <f>INDEX(State!C:C,MATCH(OrdersTable[[#This Row],[State Code]],State!B:B,0))</f>
        <v>North</v>
      </c>
      <c r="K319" t="s">
        <v>49</v>
      </c>
      <c r="L319" t="s">
        <v>65</v>
      </c>
      <c r="M319" t="s">
        <v>34</v>
      </c>
      <c r="N319" t="str">
        <f>INDEX(Products!B:B,MATCH(OrdersTable[[#This Row],[Product ID]],Products!A:A,0))</f>
        <v>Flip Flops</v>
      </c>
      <c r="O319" t="str">
        <f>INDEX(Products!C:C,MATCH(OrdersTable[[#This Row],[Product ID]],Products!A:A,0))</f>
        <v>Footwear</v>
      </c>
      <c r="P319">
        <v>1</v>
      </c>
      <c r="Q319" s="5">
        <v>399</v>
      </c>
      <c r="R319" s="74">
        <v>0.15</v>
      </c>
      <c r="S319" s="75">
        <f>OrdersTable[[#This Row],[Quantity]]*OrdersTable[[#This Row],[Unit Price]]</f>
        <v>399</v>
      </c>
      <c r="T319" s="5">
        <f>OrdersTable[[#This Row],[Gross Sale]]*OrdersTable[[#This Row],[Discount_Clean2]]</f>
        <v>59.849999999999994</v>
      </c>
      <c r="U319" s="5">
        <f>OrdersTable[[#This Row],[Gross Sale]]-OrdersTable[[#This Row],[Discount Amount]]</f>
        <v>339.15</v>
      </c>
      <c r="V319" s="77">
        <f>INDEX(Products!E:E,MATCH(OrdersTable[[#This Row],[Product ID]],Products!A:A,0))</f>
        <v>152</v>
      </c>
      <c r="W319" s="77">
        <f>OrdersTable[[#This Row],[Quantity]]*OrdersTable[[#This Row],[Unit Cost]]</f>
        <v>152</v>
      </c>
      <c r="X319" s="77">
        <f>'Dropdown Lists'!$I$2*(1+OrdersTable[[#This Row],[Returned]])</f>
        <v>120</v>
      </c>
      <c r="Y319" s="76">
        <f>OrdersTable[[#This Row],[Net Revenue]]-OrdersTable[[#This Row],[COGS]]-OrdersTable[[#This Row],[Shipping Cost]]</f>
        <v>67.149999999999977</v>
      </c>
      <c r="Z319" s="78">
        <f>IFERROR(OrdersTable[[#This Row],[Profit]]/OrdersTable[[#This Row],[Net Revenue]],0)</f>
        <v>0.19799498746867161</v>
      </c>
      <c r="AA319" t="s">
        <v>18</v>
      </c>
      <c r="AB319" s="79">
        <v>45360</v>
      </c>
      <c r="AC319">
        <f>OrdersTable[[#This Row],[Delivery Date]]-OrdersTable[[#This Row],[Order Date]]</f>
        <v>2</v>
      </c>
      <c r="AD319" t="str">
        <f>IF(OrdersTable[[#This Row],[Delivery Days]]&lt;=2, "Express (≤2d)", IF(OrdersTable[[#This Row],[Delivery Days]]&lt;=4, "Standard (3-4d)", "Delayed (5d+)"))</f>
        <v>Express (≤2d)</v>
      </c>
      <c r="AE319">
        <v>5</v>
      </c>
      <c r="AF319">
        <v>1</v>
      </c>
    </row>
    <row r="320" spans="1:32" ht="15" x14ac:dyDescent="0.35">
      <c r="A320" t="s">
        <v>4081</v>
      </c>
      <c r="B320" s="1">
        <v>45358</v>
      </c>
      <c r="C320">
        <f>YEAR(OrdersTable[[#This Row],[Order Date]])</f>
        <v>2024</v>
      </c>
      <c r="D320" s="2">
        <f>DATE(YEAR(OrdersTable[[#This Row],[Order Date]]),MONTH(OrdersTable[[#This Row],[Order Date]]),1)</f>
        <v>45352</v>
      </c>
      <c r="E320">
        <f>MONTH(OrdersTable[[#This Row],[Order Date]])</f>
        <v>3</v>
      </c>
      <c r="F320" t="s">
        <v>333</v>
      </c>
      <c r="G320" t="str">
        <f>IF(OrdersTable[[#This Row],[Order Date]]=_xlfn.MINIFS(Order_Date, Customer_ID, OrdersTable[[#This Row],[Customer ID]]), "New", "Repeat")</f>
        <v>New</v>
      </c>
      <c r="H320" t="s">
        <v>128</v>
      </c>
      <c r="I320" t="str">
        <f>INDEX(State!B:B,MATCH(OrdersTable[[#This Row],[State]],State!A:A,0))</f>
        <v>DL</v>
      </c>
      <c r="J320" t="str">
        <f>INDEX(State!C:C,MATCH(OrdersTable[[#This Row],[State Code]],State!B:B,0))</f>
        <v>North</v>
      </c>
      <c r="K320" t="s">
        <v>129</v>
      </c>
      <c r="L320" t="s">
        <v>50</v>
      </c>
      <c r="M320" t="s">
        <v>66</v>
      </c>
      <c r="N320" t="str">
        <f>INDEX(Products!B:B,MATCH(OrdersTable[[#This Row],[Product ID]],Products!A:A,0))</f>
        <v>Sunscreen SPF 50</v>
      </c>
      <c r="O320" t="str">
        <f>INDEX(Products!C:C,MATCH(OrdersTable[[#This Row],[Product ID]],Products!A:A,0))</f>
        <v>Skincare</v>
      </c>
      <c r="P320">
        <v>1</v>
      </c>
      <c r="Q320" s="5">
        <v>449</v>
      </c>
      <c r="R320" s="74">
        <v>0.05</v>
      </c>
      <c r="S320" s="75">
        <f>OrdersTable[[#This Row],[Quantity]]*OrdersTable[[#This Row],[Unit Price]]</f>
        <v>449</v>
      </c>
      <c r="T320" s="5">
        <f>OrdersTable[[#This Row],[Gross Sale]]*OrdersTable[[#This Row],[Discount_Clean2]]</f>
        <v>22.450000000000003</v>
      </c>
      <c r="U320" s="5">
        <f>OrdersTable[[#This Row],[Gross Sale]]-OrdersTable[[#This Row],[Discount Amount]]</f>
        <v>426.55</v>
      </c>
      <c r="V320" s="77">
        <f>INDEX(Products!E:E,MATCH(OrdersTable[[#This Row],[Product ID]],Products!A:A,0))</f>
        <v>144</v>
      </c>
      <c r="W320" s="77">
        <f>OrdersTable[[#This Row],[Quantity]]*OrdersTable[[#This Row],[Unit Cost]]</f>
        <v>144</v>
      </c>
      <c r="X320" s="77">
        <f>'Dropdown Lists'!$I$2*(1+OrdersTable[[#This Row],[Returned]])</f>
        <v>60</v>
      </c>
      <c r="Y320" s="76">
        <f>OrdersTable[[#This Row],[Net Revenue]]-OrdersTable[[#This Row],[COGS]]-OrdersTable[[#This Row],[Shipping Cost]]</f>
        <v>222.55</v>
      </c>
      <c r="Z320" s="78">
        <f>IFERROR(OrdersTable[[#This Row],[Profit]]/OrdersTable[[#This Row],[Net Revenue]],0)</f>
        <v>0.52174422693705313</v>
      </c>
      <c r="AA320" t="s">
        <v>4074</v>
      </c>
      <c r="AB320" s="79">
        <v>45359</v>
      </c>
      <c r="AC320">
        <f>OrdersTable[[#This Row],[Delivery Date]]-OrdersTable[[#This Row],[Order Date]]</f>
        <v>1</v>
      </c>
      <c r="AD320" t="str">
        <f>IF(OrdersTable[[#This Row],[Delivery Days]]&lt;=2, "Express (≤2d)", IF(OrdersTable[[#This Row],[Delivery Days]]&lt;=4, "Standard (3-4d)", "Delayed (5d+)"))</f>
        <v>Express (≤2d)</v>
      </c>
      <c r="AE320">
        <v>5</v>
      </c>
      <c r="AF320">
        <v>0</v>
      </c>
    </row>
    <row r="321" spans="1:32" ht="15" x14ac:dyDescent="0.35">
      <c r="A321" t="s">
        <v>1634</v>
      </c>
      <c r="B321" s="1">
        <v>45358</v>
      </c>
      <c r="C321">
        <f>YEAR(OrdersTable[[#This Row],[Order Date]])</f>
        <v>2024</v>
      </c>
      <c r="D321" s="2">
        <f>DATE(YEAR(OrdersTable[[#This Row],[Order Date]]),MONTH(OrdersTable[[#This Row],[Order Date]]),1)</f>
        <v>45352</v>
      </c>
      <c r="E321">
        <f>MONTH(OrdersTable[[#This Row],[Order Date]])</f>
        <v>3</v>
      </c>
      <c r="F321" t="s">
        <v>224</v>
      </c>
      <c r="G321" t="str">
        <f>IF(OrdersTable[[#This Row],[Order Date]]=_xlfn.MINIFS(Order_Date, Customer_ID, OrdersTable[[#This Row],[Customer ID]]), "New", "Repeat")</f>
        <v>Repeat</v>
      </c>
      <c r="H321" t="s">
        <v>128</v>
      </c>
      <c r="I321" t="str">
        <f>INDEX(State!B:B,MATCH(OrdersTable[[#This Row],[State]],State!A:A,0))</f>
        <v>DL</v>
      </c>
      <c r="J321" t="str">
        <f>INDEX(State!C:C,MATCH(OrdersTable[[#This Row],[State Code]],State!B:B,0))</f>
        <v>North</v>
      </c>
      <c r="K321" t="s">
        <v>129</v>
      </c>
      <c r="L321" t="s">
        <v>65</v>
      </c>
      <c r="M321" t="s">
        <v>66</v>
      </c>
      <c r="N321" t="str">
        <f>INDEX(Products!B:B,MATCH(OrdersTable[[#This Row],[Product ID]],Products!A:A,0))</f>
        <v>Sunscreen SPF 50</v>
      </c>
      <c r="O321" t="str">
        <f>INDEX(Products!C:C,MATCH(OrdersTable[[#This Row],[Product ID]],Products!A:A,0))</f>
        <v>Skincare</v>
      </c>
      <c r="P321">
        <v>1</v>
      </c>
      <c r="Q321" s="5">
        <v>449</v>
      </c>
      <c r="R321" s="74">
        <v>0.1</v>
      </c>
      <c r="S321" s="75">
        <f>OrdersTable[[#This Row],[Quantity]]*OrdersTable[[#This Row],[Unit Price]]</f>
        <v>449</v>
      </c>
      <c r="T321" s="5">
        <f>OrdersTable[[#This Row],[Gross Sale]]*OrdersTable[[#This Row],[Discount_Clean2]]</f>
        <v>44.900000000000006</v>
      </c>
      <c r="U321" s="5">
        <f>OrdersTable[[#This Row],[Gross Sale]]-OrdersTable[[#This Row],[Discount Amount]]</f>
        <v>404.1</v>
      </c>
      <c r="V321" s="77">
        <f>INDEX(Products!E:E,MATCH(OrdersTable[[#This Row],[Product ID]],Products!A:A,0))</f>
        <v>144</v>
      </c>
      <c r="W321" s="77">
        <f>OrdersTable[[#This Row],[Quantity]]*OrdersTable[[#This Row],[Unit Cost]]</f>
        <v>144</v>
      </c>
      <c r="X321" s="77">
        <f>'Dropdown Lists'!$I$2*(1+OrdersTable[[#This Row],[Returned]])</f>
        <v>60</v>
      </c>
      <c r="Y321" s="76">
        <f>OrdersTable[[#This Row],[Net Revenue]]-OrdersTable[[#This Row],[COGS]]-OrdersTable[[#This Row],[Shipping Cost]]</f>
        <v>200.10000000000002</v>
      </c>
      <c r="Z321" s="78">
        <f>IFERROR(OrdersTable[[#This Row],[Profit]]/OrdersTable[[#This Row],[Net Revenue]],0)</f>
        <v>0.4951744617668894</v>
      </c>
      <c r="AA321" t="s">
        <v>18</v>
      </c>
      <c r="AB321" s="79">
        <v>45359</v>
      </c>
      <c r="AC321">
        <f>OrdersTable[[#This Row],[Delivery Date]]-OrdersTable[[#This Row],[Order Date]]</f>
        <v>1</v>
      </c>
      <c r="AD321" t="str">
        <f>IF(OrdersTable[[#This Row],[Delivery Days]]&lt;=2, "Express (≤2d)", IF(OrdersTable[[#This Row],[Delivery Days]]&lt;=4, "Standard (3-4d)", "Delayed (5d+)"))</f>
        <v>Express (≤2d)</v>
      </c>
      <c r="AF321">
        <v>0</v>
      </c>
    </row>
    <row r="322" spans="1:32" ht="15" x14ac:dyDescent="0.35">
      <c r="A322" t="s">
        <v>5305</v>
      </c>
      <c r="B322" s="1">
        <v>45358</v>
      </c>
      <c r="C322">
        <f>YEAR(OrdersTable[[#This Row],[Order Date]])</f>
        <v>2024</v>
      </c>
      <c r="D322" s="2">
        <f>DATE(YEAR(OrdersTable[[#This Row],[Order Date]]),MONTH(OrdersTable[[#This Row],[Order Date]]),1)</f>
        <v>45352</v>
      </c>
      <c r="E322">
        <f>MONTH(OrdersTable[[#This Row],[Order Date]])</f>
        <v>3</v>
      </c>
      <c r="F322" t="s">
        <v>1479</v>
      </c>
      <c r="G322" t="str">
        <f>IF(OrdersTable[[#This Row],[Order Date]]=_xlfn.MINIFS(Order_Date, Customer_ID, OrdersTable[[#This Row],[Customer ID]]), "New", "Repeat")</f>
        <v>New</v>
      </c>
      <c r="H322" t="s">
        <v>37</v>
      </c>
      <c r="I322" t="str">
        <f>INDEX(State!B:B,MATCH(OrdersTable[[#This Row],[State]],State!A:A,0))</f>
        <v>GJ</v>
      </c>
      <c r="J322" t="str">
        <f>INDEX(State!C:C,MATCH(OrdersTable[[#This Row],[State Code]],State!B:B,0))</f>
        <v>West</v>
      </c>
      <c r="K322" t="s">
        <v>247</v>
      </c>
      <c r="L322" t="s">
        <v>23</v>
      </c>
      <c r="M322" t="s">
        <v>228</v>
      </c>
      <c r="N322" t="str">
        <f>INDEX(Products!B:B,MATCH(OrdersTable[[#This Row],[Product ID]],Products!A:A,0))</f>
        <v>Fast Charger 33W</v>
      </c>
      <c r="O322" t="str">
        <f>INDEX(Products!C:C,MATCH(OrdersTable[[#This Row],[Product ID]],Products!A:A,0))</f>
        <v>Electronics</v>
      </c>
      <c r="P322">
        <v>2</v>
      </c>
      <c r="Q322" s="5">
        <v>899</v>
      </c>
      <c r="R322" s="74">
        <v>0.05</v>
      </c>
      <c r="S322" s="75">
        <f>OrdersTable[[#This Row],[Quantity]]*OrdersTable[[#This Row],[Unit Price]]</f>
        <v>1798</v>
      </c>
      <c r="T322" s="5">
        <f>OrdersTable[[#This Row],[Gross Sale]]*OrdersTable[[#This Row],[Discount_Clean2]]</f>
        <v>89.9</v>
      </c>
      <c r="U322" s="5">
        <f>OrdersTable[[#This Row],[Gross Sale]]-OrdersTable[[#This Row],[Discount Amount]]</f>
        <v>1708.1</v>
      </c>
      <c r="V322" s="77">
        <f>INDEX(Products!E:E,MATCH(OrdersTable[[#This Row],[Product ID]],Products!A:A,0))</f>
        <v>494</v>
      </c>
      <c r="W322" s="77">
        <f>OrdersTable[[#This Row],[Quantity]]*OrdersTable[[#This Row],[Unit Cost]]</f>
        <v>988</v>
      </c>
      <c r="X322" s="77">
        <f>'Dropdown Lists'!$I$2*(1+OrdersTable[[#This Row],[Returned]])</f>
        <v>60</v>
      </c>
      <c r="Y322" s="76">
        <f>OrdersTable[[#This Row],[Net Revenue]]-OrdersTable[[#This Row],[COGS]]-OrdersTable[[#This Row],[Shipping Cost]]</f>
        <v>660.09999999999991</v>
      </c>
      <c r="Z322" s="78">
        <f>IFERROR(OrdersTable[[#This Row],[Profit]]/OrdersTable[[#This Row],[Net Revenue]],0)</f>
        <v>0.38645278379485976</v>
      </c>
      <c r="AA322" t="s">
        <v>2522</v>
      </c>
      <c r="AB322" s="79">
        <v>45361</v>
      </c>
      <c r="AC322">
        <f>OrdersTable[[#This Row],[Delivery Date]]-OrdersTable[[#This Row],[Order Date]]</f>
        <v>3</v>
      </c>
      <c r="AD322" t="str">
        <f>IF(OrdersTable[[#This Row],[Delivery Days]]&lt;=2, "Express (≤2d)", IF(OrdersTable[[#This Row],[Delivery Days]]&lt;=4, "Standard (3-4d)", "Delayed (5d+)"))</f>
        <v>Standard (3-4d)</v>
      </c>
      <c r="AE322">
        <v>5</v>
      </c>
      <c r="AF322">
        <v>0</v>
      </c>
    </row>
    <row r="323" spans="1:32" ht="15" x14ac:dyDescent="0.35">
      <c r="A323" t="s">
        <v>2495</v>
      </c>
      <c r="B323" s="1">
        <v>45359</v>
      </c>
      <c r="C323">
        <f>YEAR(OrdersTable[[#This Row],[Order Date]])</f>
        <v>2024</v>
      </c>
      <c r="D323" s="2">
        <f>DATE(YEAR(OrdersTable[[#This Row],[Order Date]]),MONTH(OrdersTable[[#This Row],[Order Date]]),1)</f>
        <v>45352</v>
      </c>
      <c r="E323">
        <f>MONTH(OrdersTable[[#This Row],[Order Date]])</f>
        <v>3</v>
      </c>
      <c r="F323" t="s">
        <v>2496</v>
      </c>
      <c r="G323" t="str">
        <f>IF(OrdersTable[[#This Row],[Order Date]]=_xlfn.MINIFS(Order_Date, Customer_ID, OrdersTable[[#This Row],[Customer ID]]), "New", "Repeat")</f>
        <v>New</v>
      </c>
      <c r="H323" t="s">
        <v>132</v>
      </c>
      <c r="I323" t="str">
        <f>INDEX(State!B:B,MATCH(OrdersTable[[#This Row],[State]],State!A:A,0))</f>
        <v>AS</v>
      </c>
      <c r="J323" t="str">
        <f>INDEX(State!C:C,MATCH(OrdersTable[[#This Row],[State Code]],State!B:B,0))</f>
        <v>East</v>
      </c>
      <c r="K323" t="s">
        <v>133</v>
      </c>
      <c r="L323" t="s">
        <v>16</v>
      </c>
      <c r="M323" t="s">
        <v>87</v>
      </c>
      <c r="N323" t="str">
        <f>INDEX(Products!B:B,MATCH(OrdersTable[[#This Row],[Product ID]],Products!A:A,0))</f>
        <v>Linen Kurta</v>
      </c>
      <c r="O323" t="str">
        <f>INDEX(Products!C:C,MATCH(OrdersTable[[#This Row],[Product ID]],Products!A:A,0))</f>
        <v>Apparel</v>
      </c>
      <c r="P323">
        <v>1</v>
      </c>
      <c r="Q323" s="5">
        <v>1499</v>
      </c>
      <c r="R323" s="74">
        <v>0.4</v>
      </c>
      <c r="S323" s="75">
        <f>OrdersTable[[#This Row],[Quantity]]*OrdersTable[[#This Row],[Unit Price]]</f>
        <v>1499</v>
      </c>
      <c r="T323" s="5">
        <f>OrdersTable[[#This Row],[Gross Sale]]*OrdersTable[[#This Row],[Discount_Clean2]]</f>
        <v>599.6</v>
      </c>
      <c r="U323" s="5">
        <f>OrdersTable[[#This Row],[Gross Sale]]-OrdersTable[[#This Row],[Discount Amount]]</f>
        <v>899.4</v>
      </c>
      <c r="V323" s="77">
        <f>INDEX(Products!E:E,MATCH(OrdersTable[[#This Row],[Product ID]],Products!A:A,0))</f>
        <v>630</v>
      </c>
      <c r="W323" s="77">
        <f>OrdersTable[[#This Row],[Quantity]]*OrdersTable[[#This Row],[Unit Cost]]</f>
        <v>630</v>
      </c>
      <c r="X323" s="77">
        <f>'Dropdown Lists'!$I$2*(1+OrdersTable[[#This Row],[Returned]])</f>
        <v>60</v>
      </c>
      <c r="Y323" s="76">
        <f>OrdersTable[[#This Row],[Net Revenue]]-OrdersTable[[#This Row],[COGS]]-OrdersTable[[#This Row],[Shipping Cost]]</f>
        <v>209.39999999999998</v>
      </c>
      <c r="Z323" s="78">
        <f>IFERROR(OrdersTable[[#This Row],[Profit]]/OrdersTable[[#This Row],[Net Revenue]],0)</f>
        <v>0.23282188125416942</v>
      </c>
      <c r="AA323" t="s">
        <v>18</v>
      </c>
      <c r="AB323" s="79">
        <v>45364</v>
      </c>
      <c r="AC323">
        <f>OrdersTable[[#This Row],[Delivery Date]]-OrdersTable[[#This Row],[Order Date]]</f>
        <v>5</v>
      </c>
      <c r="AD323" t="str">
        <f>IF(OrdersTable[[#This Row],[Delivery Days]]&lt;=2, "Express (≤2d)", IF(OrdersTable[[#This Row],[Delivery Days]]&lt;=4, "Standard (3-4d)", "Delayed (5d+)"))</f>
        <v>Delayed (5d+)</v>
      </c>
      <c r="AE323">
        <v>2</v>
      </c>
      <c r="AF323">
        <v>0</v>
      </c>
    </row>
    <row r="324" spans="1:32" ht="15" x14ac:dyDescent="0.35">
      <c r="A324" t="s">
        <v>3156</v>
      </c>
      <c r="B324" s="1">
        <v>45359</v>
      </c>
      <c r="C324">
        <f>YEAR(OrdersTable[[#This Row],[Order Date]])</f>
        <v>2024</v>
      </c>
      <c r="D324" s="2">
        <f>DATE(YEAR(OrdersTable[[#This Row],[Order Date]]),MONTH(OrdersTable[[#This Row],[Order Date]]),1)</f>
        <v>45352</v>
      </c>
      <c r="E324">
        <f>MONTH(OrdersTable[[#This Row],[Order Date]])</f>
        <v>3</v>
      </c>
      <c r="F324" t="s">
        <v>3157</v>
      </c>
      <c r="G324" t="str">
        <f>IF(OrdersTable[[#This Row],[Order Date]]=_xlfn.MINIFS(Order_Date, Customer_ID, OrdersTable[[#This Row],[Customer ID]]), "New", "Repeat")</f>
        <v>New</v>
      </c>
      <c r="H324" t="s">
        <v>27</v>
      </c>
      <c r="I324" t="str">
        <f>INDEX(State!B:B,MATCH(OrdersTable[[#This Row],[State]],State!A:A,0))</f>
        <v>WB</v>
      </c>
      <c r="J324" t="str">
        <f>INDEX(State!C:C,MATCH(OrdersTable[[#This Row],[State Code]],State!B:B,0))</f>
        <v>East</v>
      </c>
      <c r="K324" t="s">
        <v>28</v>
      </c>
      <c r="L324" t="s">
        <v>39</v>
      </c>
      <c r="M324" t="s">
        <v>78</v>
      </c>
      <c r="N324" t="str">
        <f>INDEX(Products!B:B,MATCH(OrdersTable[[#This Row],[Product ID]],Products!A:A,0))</f>
        <v>Retinol Night Cream</v>
      </c>
      <c r="O324" t="str">
        <f>INDEX(Products!C:C,MATCH(OrdersTable[[#This Row],[Product ID]],Products!A:A,0))</f>
        <v>Skincare</v>
      </c>
      <c r="P324">
        <v>1</v>
      </c>
      <c r="Q324" s="5">
        <v>799</v>
      </c>
      <c r="R324" s="74">
        <v>0</v>
      </c>
      <c r="S324" s="75">
        <f>OrdersTable[[#This Row],[Quantity]]*OrdersTable[[#This Row],[Unit Price]]</f>
        <v>799</v>
      </c>
      <c r="T324" s="5">
        <f>OrdersTable[[#This Row],[Gross Sale]]*OrdersTable[[#This Row],[Discount_Clean2]]</f>
        <v>0</v>
      </c>
      <c r="U324" s="5">
        <f>OrdersTable[[#This Row],[Gross Sale]]-OrdersTable[[#This Row],[Discount Amount]]</f>
        <v>799</v>
      </c>
      <c r="V324" s="77">
        <f>INDEX(Products!E:E,MATCH(OrdersTable[[#This Row],[Product ID]],Products!A:A,0))</f>
        <v>216</v>
      </c>
      <c r="W324" s="77">
        <f>OrdersTable[[#This Row],[Quantity]]*OrdersTable[[#This Row],[Unit Cost]]</f>
        <v>216</v>
      </c>
      <c r="X324" s="77">
        <f>'Dropdown Lists'!$I$2*(1+OrdersTable[[#This Row],[Returned]])</f>
        <v>60</v>
      </c>
      <c r="Y324" s="76">
        <f>OrdersTable[[#This Row],[Net Revenue]]-OrdersTable[[#This Row],[COGS]]-OrdersTable[[#This Row],[Shipping Cost]]</f>
        <v>523</v>
      </c>
      <c r="Z324" s="78">
        <f>IFERROR(OrdersTable[[#This Row],[Profit]]/OrdersTable[[#This Row],[Net Revenue]],0)</f>
        <v>0.65456821026282852</v>
      </c>
      <c r="AA324" t="s">
        <v>2522</v>
      </c>
      <c r="AB324" s="79">
        <v>45361</v>
      </c>
      <c r="AC324">
        <f>OrdersTable[[#This Row],[Delivery Date]]-OrdersTable[[#This Row],[Order Date]]</f>
        <v>2</v>
      </c>
      <c r="AD324" t="str">
        <f>IF(OrdersTable[[#This Row],[Delivery Days]]&lt;=2, "Express (≤2d)", IF(OrdersTable[[#This Row],[Delivery Days]]&lt;=4, "Standard (3-4d)", "Delayed (5d+)"))</f>
        <v>Express (≤2d)</v>
      </c>
      <c r="AE324">
        <v>4</v>
      </c>
      <c r="AF324">
        <v>0</v>
      </c>
    </row>
    <row r="325" spans="1:32" ht="15" x14ac:dyDescent="0.35">
      <c r="A325" t="s">
        <v>6663</v>
      </c>
      <c r="B325" s="1">
        <v>45359</v>
      </c>
      <c r="C325">
        <f>YEAR(OrdersTable[[#This Row],[Order Date]])</f>
        <v>2024</v>
      </c>
      <c r="D325" s="2">
        <f>DATE(YEAR(OrdersTable[[#This Row],[Order Date]]),MONTH(OrdersTable[[#This Row],[Order Date]]),1)</f>
        <v>45352</v>
      </c>
      <c r="E325">
        <f>MONTH(OrdersTable[[#This Row],[Order Date]])</f>
        <v>3</v>
      </c>
      <c r="F325" t="s">
        <v>4753</v>
      </c>
      <c r="G325" t="str">
        <f>IF(OrdersTable[[#This Row],[Order Date]]=_xlfn.MINIFS(Order_Date, Customer_ID, OrdersTable[[#This Row],[Customer ID]]), "New", "Repeat")</f>
        <v>New</v>
      </c>
      <c r="H325" t="s">
        <v>27</v>
      </c>
      <c r="I325" t="str">
        <f>INDEX(State!B:B,MATCH(OrdersTable[[#This Row],[State]],State!A:A,0))</f>
        <v>WB</v>
      </c>
      <c r="J325" t="str">
        <f>INDEX(State!C:C,MATCH(OrdersTable[[#This Row],[State Code]],State!B:B,0))</f>
        <v>East</v>
      </c>
      <c r="K325" t="s">
        <v>28</v>
      </c>
      <c r="L325" t="s">
        <v>50</v>
      </c>
      <c r="M325" t="s">
        <v>40</v>
      </c>
      <c r="N325" t="str">
        <f>INDEX(Products!B:B,MATCH(OrdersTable[[#This Row],[Product ID]],Products!A:A,0))</f>
        <v>Ashwagandha Capsules</v>
      </c>
      <c r="O325" t="str">
        <f>INDEX(Products!C:C,MATCH(OrdersTable[[#This Row],[Product ID]],Products!A:A,0))</f>
        <v>Wellness</v>
      </c>
      <c r="P325">
        <v>3</v>
      </c>
      <c r="Q325" s="5">
        <v>499</v>
      </c>
      <c r="R325" s="74">
        <v>0.1</v>
      </c>
      <c r="S325" s="75">
        <f>OrdersTable[[#This Row],[Quantity]]*OrdersTable[[#This Row],[Unit Price]]</f>
        <v>1497</v>
      </c>
      <c r="T325" s="5">
        <f>OrdersTable[[#This Row],[Gross Sale]]*OrdersTable[[#This Row],[Discount_Clean2]]</f>
        <v>149.70000000000002</v>
      </c>
      <c r="U325" s="5">
        <f>OrdersTable[[#This Row],[Gross Sale]]-OrdersTable[[#This Row],[Discount Amount]]</f>
        <v>1347.3</v>
      </c>
      <c r="V325" s="77">
        <f>INDEX(Products!E:E,MATCH(OrdersTable[[#This Row],[Product ID]],Products!A:A,0))</f>
        <v>150</v>
      </c>
      <c r="W325" s="77">
        <f>OrdersTable[[#This Row],[Quantity]]*OrdersTable[[#This Row],[Unit Cost]]</f>
        <v>450</v>
      </c>
      <c r="X325" s="77">
        <f>'Dropdown Lists'!$I$2*(1+OrdersTable[[#This Row],[Returned]])</f>
        <v>60</v>
      </c>
      <c r="Y325" s="76">
        <f>OrdersTable[[#This Row],[Net Revenue]]-OrdersTable[[#This Row],[COGS]]-OrdersTable[[#This Row],[Shipping Cost]]</f>
        <v>837.3</v>
      </c>
      <c r="Z325" s="78">
        <f>IFERROR(OrdersTable[[#This Row],[Profit]]/OrdersTable[[#This Row],[Net Revenue]],0)</f>
        <v>0.62146515252727674</v>
      </c>
      <c r="AA325" t="s">
        <v>2522</v>
      </c>
      <c r="AB325" s="79">
        <v>45362</v>
      </c>
      <c r="AC325">
        <f>OrdersTable[[#This Row],[Delivery Date]]-OrdersTable[[#This Row],[Order Date]]</f>
        <v>3</v>
      </c>
      <c r="AD325" t="str">
        <f>IF(OrdersTable[[#This Row],[Delivery Days]]&lt;=2, "Express (≤2d)", IF(OrdersTable[[#This Row],[Delivery Days]]&lt;=4, "Standard (3-4d)", "Delayed (5d+)"))</f>
        <v>Standard (3-4d)</v>
      </c>
      <c r="AE325">
        <v>4</v>
      </c>
      <c r="AF325">
        <v>0</v>
      </c>
    </row>
    <row r="326" spans="1:32" ht="15" x14ac:dyDescent="0.35">
      <c r="A326" t="s">
        <v>5857</v>
      </c>
      <c r="B326" s="1">
        <v>45359</v>
      </c>
      <c r="C326">
        <f>YEAR(OrdersTable[[#This Row],[Order Date]])</f>
        <v>2024</v>
      </c>
      <c r="D326" s="2">
        <f>DATE(YEAR(OrdersTable[[#This Row],[Order Date]]),MONTH(OrdersTable[[#This Row],[Order Date]]),1)</f>
        <v>45352</v>
      </c>
      <c r="E326">
        <f>MONTH(OrdersTable[[#This Row],[Order Date]])</f>
        <v>3</v>
      </c>
      <c r="F326" t="s">
        <v>1406</v>
      </c>
      <c r="G326" t="str">
        <f>IF(OrdersTable[[#This Row],[Order Date]]=_xlfn.MINIFS(Order_Date, Customer_ID, OrdersTable[[#This Row],[Customer ID]]), "New", "Repeat")</f>
        <v>New</v>
      </c>
      <c r="H326" t="s">
        <v>95</v>
      </c>
      <c r="I326" t="str">
        <f>INDEX(State!B:B,MATCH(OrdersTable[[#This Row],[State]],State!A:A,0))</f>
        <v>TG</v>
      </c>
      <c r="J326" t="str">
        <f>INDEX(State!C:C,MATCH(OrdersTable[[#This Row],[State Code]],State!B:B,0))</f>
        <v>South</v>
      </c>
      <c r="K326" t="s">
        <v>96</v>
      </c>
      <c r="L326" t="s">
        <v>39</v>
      </c>
      <c r="M326" t="s">
        <v>61</v>
      </c>
      <c r="N326" t="str">
        <f>INDEX(Products!B:B,MATCH(OrdersTable[[#This Row],[Product ID]],Products!A:A,0))</f>
        <v>Multivitamin Gummies</v>
      </c>
      <c r="O326" t="str">
        <f>INDEX(Products!C:C,MATCH(OrdersTable[[#This Row],[Product ID]],Products!A:A,0))</f>
        <v>Wellness</v>
      </c>
      <c r="P326">
        <v>2</v>
      </c>
      <c r="Q326" s="5">
        <v>699</v>
      </c>
      <c r="R326" s="74">
        <v>0.15</v>
      </c>
      <c r="S326" s="75">
        <f>OrdersTable[[#This Row],[Quantity]]*OrdersTable[[#This Row],[Unit Price]]</f>
        <v>1398</v>
      </c>
      <c r="T326" s="5">
        <f>OrdersTable[[#This Row],[Gross Sale]]*OrdersTable[[#This Row],[Discount_Clean2]]</f>
        <v>209.7</v>
      </c>
      <c r="U326" s="5">
        <f>OrdersTable[[#This Row],[Gross Sale]]-OrdersTable[[#This Row],[Discount Amount]]</f>
        <v>1188.3</v>
      </c>
      <c r="V326" s="77">
        <f>INDEX(Products!E:E,MATCH(OrdersTable[[#This Row],[Product ID]],Products!A:A,0))</f>
        <v>238</v>
      </c>
      <c r="W326" s="77">
        <f>OrdersTable[[#This Row],[Quantity]]*OrdersTable[[#This Row],[Unit Cost]]</f>
        <v>476</v>
      </c>
      <c r="X326" s="77">
        <f>'Dropdown Lists'!$I$2*(1+OrdersTable[[#This Row],[Returned]])</f>
        <v>60</v>
      </c>
      <c r="Y326" s="76">
        <f>OrdersTable[[#This Row],[Net Revenue]]-OrdersTable[[#This Row],[COGS]]-OrdersTable[[#This Row],[Shipping Cost]]</f>
        <v>652.29999999999995</v>
      </c>
      <c r="Z326" s="78">
        <f>IFERROR(OrdersTable[[#This Row],[Profit]]/OrdersTable[[#This Row],[Net Revenue]],0)</f>
        <v>0.54893545400993016</v>
      </c>
      <c r="AA326" t="s">
        <v>18</v>
      </c>
      <c r="AB326" s="79">
        <v>45363</v>
      </c>
      <c r="AC326">
        <f>OrdersTable[[#This Row],[Delivery Date]]-OrdersTable[[#This Row],[Order Date]]</f>
        <v>4</v>
      </c>
      <c r="AD326" t="str">
        <f>IF(OrdersTable[[#This Row],[Delivery Days]]&lt;=2, "Express (≤2d)", IF(OrdersTable[[#This Row],[Delivery Days]]&lt;=4, "Standard (3-4d)", "Delayed (5d+)"))</f>
        <v>Standard (3-4d)</v>
      </c>
      <c r="AF326">
        <v>0</v>
      </c>
    </row>
    <row r="327" spans="1:32" ht="15" x14ac:dyDescent="0.35">
      <c r="A327" t="s">
        <v>4336</v>
      </c>
      <c r="B327" s="1">
        <v>45360</v>
      </c>
      <c r="C327">
        <f>YEAR(OrdersTable[[#This Row],[Order Date]])</f>
        <v>2024</v>
      </c>
      <c r="D327" s="2">
        <f>DATE(YEAR(OrdersTable[[#This Row],[Order Date]]),MONTH(OrdersTable[[#This Row],[Order Date]]),1)</f>
        <v>45352</v>
      </c>
      <c r="E327">
        <f>MONTH(OrdersTable[[#This Row],[Order Date]])</f>
        <v>3</v>
      </c>
      <c r="F327" t="s">
        <v>4185</v>
      </c>
      <c r="G327" t="str">
        <f>IF(OrdersTable[[#This Row],[Order Date]]=_xlfn.MINIFS(Order_Date, Customer_ID, OrdersTable[[#This Row],[Customer ID]]), "New", "Repeat")</f>
        <v>New</v>
      </c>
      <c r="H327" t="s">
        <v>128</v>
      </c>
      <c r="I327" t="str">
        <f>INDEX(State!B:B,MATCH(OrdersTable[[#This Row],[State]],State!A:A,0))</f>
        <v>DL</v>
      </c>
      <c r="J327" t="str">
        <f>INDEX(State!C:C,MATCH(OrdersTable[[#This Row],[State Code]],State!B:B,0))</f>
        <v>North</v>
      </c>
      <c r="K327" t="s">
        <v>129</v>
      </c>
      <c r="L327" t="s">
        <v>65</v>
      </c>
      <c r="M327" t="s">
        <v>17</v>
      </c>
      <c r="N327" t="str">
        <f>INDEX(Products!B:B,MATCH(OrdersTable[[#This Row],[Product ID]],Products!A:A,0))</f>
        <v>Casual Sneakers</v>
      </c>
      <c r="O327" t="str">
        <f>INDEX(Products!C:C,MATCH(OrdersTable[[#This Row],[Product ID]],Products!A:A,0))</f>
        <v>Footwear</v>
      </c>
      <c r="P327">
        <v>1</v>
      </c>
      <c r="Q327" s="5">
        <v>2199</v>
      </c>
      <c r="R327" s="74">
        <v>0.2</v>
      </c>
      <c r="S327" s="75">
        <f>OrdersTable[[#This Row],[Quantity]]*OrdersTable[[#This Row],[Unit Price]]</f>
        <v>2199</v>
      </c>
      <c r="T327" s="5">
        <f>OrdersTable[[#This Row],[Gross Sale]]*OrdersTable[[#This Row],[Discount_Clean2]]</f>
        <v>439.8</v>
      </c>
      <c r="U327" s="5">
        <f>OrdersTable[[#This Row],[Gross Sale]]-OrdersTable[[#This Row],[Discount Amount]]</f>
        <v>1759.2</v>
      </c>
      <c r="V327" s="77">
        <f>INDEX(Products!E:E,MATCH(OrdersTable[[#This Row],[Product ID]],Products!A:A,0))</f>
        <v>1034</v>
      </c>
      <c r="W327" s="77">
        <f>OrdersTable[[#This Row],[Quantity]]*OrdersTable[[#This Row],[Unit Cost]]</f>
        <v>1034</v>
      </c>
      <c r="X327" s="77">
        <f>'Dropdown Lists'!$I$2*(1+OrdersTable[[#This Row],[Returned]])</f>
        <v>60</v>
      </c>
      <c r="Y327" s="76">
        <f>OrdersTable[[#This Row],[Net Revenue]]-OrdersTable[[#This Row],[COGS]]-OrdersTable[[#This Row],[Shipping Cost]]</f>
        <v>665.2</v>
      </c>
      <c r="Z327" s="78">
        <f>IFERROR(OrdersTable[[#This Row],[Profit]]/OrdersTable[[#This Row],[Net Revenue]],0)</f>
        <v>0.37812642110050027</v>
      </c>
      <c r="AA327" t="s">
        <v>4074</v>
      </c>
      <c r="AB327" s="79">
        <v>45363</v>
      </c>
      <c r="AC327">
        <f>OrdersTable[[#This Row],[Delivery Date]]-OrdersTable[[#This Row],[Order Date]]</f>
        <v>3</v>
      </c>
      <c r="AD327" t="str">
        <f>IF(OrdersTable[[#This Row],[Delivery Days]]&lt;=2, "Express (≤2d)", IF(OrdersTable[[#This Row],[Delivery Days]]&lt;=4, "Standard (3-4d)", "Delayed (5d+)"))</f>
        <v>Standard (3-4d)</v>
      </c>
      <c r="AE327">
        <v>4</v>
      </c>
      <c r="AF327">
        <v>0</v>
      </c>
    </row>
    <row r="328" spans="1:32" ht="15" x14ac:dyDescent="0.35">
      <c r="A328" t="s">
        <v>2225</v>
      </c>
      <c r="B328" s="1">
        <v>45360</v>
      </c>
      <c r="C328">
        <f>YEAR(OrdersTable[[#This Row],[Order Date]])</f>
        <v>2024</v>
      </c>
      <c r="D328" s="2">
        <f>DATE(YEAR(OrdersTable[[#This Row],[Order Date]]),MONTH(OrdersTable[[#This Row],[Order Date]]),1)</f>
        <v>45352</v>
      </c>
      <c r="E328">
        <f>MONTH(OrdersTable[[#This Row],[Order Date]])</f>
        <v>3</v>
      </c>
      <c r="F328" t="s">
        <v>2226</v>
      </c>
      <c r="G328" t="str">
        <f>IF(OrdersTable[[#This Row],[Order Date]]=_xlfn.MINIFS(Order_Date, Customer_ID, OrdersTable[[#This Row],[Customer ID]]), "New", "Repeat")</f>
        <v>New</v>
      </c>
      <c r="H328" t="s">
        <v>27</v>
      </c>
      <c r="I328" t="str">
        <f>INDEX(State!B:B,MATCH(OrdersTable[[#This Row],[State]],State!A:A,0))</f>
        <v>WB</v>
      </c>
      <c r="J328" t="str">
        <f>INDEX(State!C:C,MATCH(OrdersTable[[#This Row],[State Code]],State!B:B,0))</f>
        <v>East</v>
      </c>
      <c r="K328" t="s">
        <v>28</v>
      </c>
      <c r="L328" t="s">
        <v>16</v>
      </c>
      <c r="M328" t="s">
        <v>255</v>
      </c>
      <c r="N328" t="str">
        <f>INDEX(Products!B:B,MATCH(OrdersTable[[#This Row],[Product ID]],Products!A:A,0))</f>
        <v>Cotton Oversized T-Shirt</v>
      </c>
      <c r="O328" t="str">
        <f>INDEX(Products!C:C,MATCH(OrdersTable[[#This Row],[Product ID]],Products!A:A,0))</f>
        <v>Apparel</v>
      </c>
      <c r="P328">
        <v>1</v>
      </c>
      <c r="Q328" s="5">
        <v>799</v>
      </c>
      <c r="R328" s="74">
        <v>0</v>
      </c>
      <c r="S328" s="75">
        <f>OrdersTable[[#This Row],[Quantity]]*OrdersTable[[#This Row],[Unit Price]]</f>
        <v>799</v>
      </c>
      <c r="T328" s="5">
        <f>OrdersTable[[#This Row],[Gross Sale]]*OrdersTable[[#This Row],[Discount_Clean2]]</f>
        <v>0</v>
      </c>
      <c r="U328" s="5">
        <f>OrdersTable[[#This Row],[Gross Sale]]-OrdersTable[[#This Row],[Discount Amount]]</f>
        <v>799</v>
      </c>
      <c r="V328" s="77">
        <f>INDEX(Products!E:E,MATCH(OrdersTable[[#This Row],[Product ID]],Products!A:A,0))</f>
        <v>320</v>
      </c>
      <c r="W328" s="77">
        <f>OrdersTable[[#This Row],[Quantity]]*OrdersTable[[#This Row],[Unit Cost]]</f>
        <v>320</v>
      </c>
      <c r="X328" s="77">
        <f>'Dropdown Lists'!$I$2*(1+OrdersTable[[#This Row],[Returned]])</f>
        <v>60</v>
      </c>
      <c r="Y328" s="76">
        <f>OrdersTable[[#This Row],[Net Revenue]]-OrdersTable[[#This Row],[COGS]]-OrdersTable[[#This Row],[Shipping Cost]]</f>
        <v>419</v>
      </c>
      <c r="Z328" s="78">
        <f>IFERROR(OrdersTable[[#This Row],[Profit]]/OrdersTable[[#This Row],[Net Revenue]],0)</f>
        <v>0.52440550688360454</v>
      </c>
      <c r="AA328" t="s">
        <v>18</v>
      </c>
      <c r="AB328" s="79">
        <v>45361</v>
      </c>
      <c r="AC328">
        <f>OrdersTable[[#This Row],[Delivery Date]]-OrdersTable[[#This Row],[Order Date]]</f>
        <v>1</v>
      </c>
      <c r="AD328" t="str">
        <f>IF(OrdersTable[[#This Row],[Delivery Days]]&lt;=2, "Express (≤2d)", IF(OrdersTable[[#This Row],[Delivery Days]]&lt;=4, "Standard (3-4d)", "Delayed (5d+)"))</f>
        <v>Express (≤2d)</v>
      </c>
      <c r="AE328">
        <v>5</v>
      </c>
      <c r="AF328">
        <v>0</v>
      </c>
    </row>
    <row r="329" spans="1:32" ht="15" x14ac:dyDescent="0.35">
      <c r="A329" t="s">
        <v>5073</v>
      </c>
      <c r="B329" s="1">
        <v>45360</v>
      </c>
      <c r="C329">
        <f>YEAR(OrdersTable[[#This Row],[Order Date]])</f>
        <v>2024</v>
      </c>
      <c r="D329" s="2">
        <f>DATE(YEAR(OrdersTable[[#This Row],[Order Date]]),MONTH(OrdersTable[[#This Row],[Order Date]]),1)</f>
        <v>45352</v>
      </c>
      <c r="E329">
        <f>MONTH(OrdersTable[[#This Row],[Order Date]])</f>
        <v>3</v>
      </c>
      <c r="F329" t="s">
        <v>2889</v>
      </c>
      <c r="G329" t="str">
        <f>IF(OrdersTable[[#This Row],[Order Date]]=_xlfn.MINIFS(Order_Date, Customer_ID, OrdersTable[[#This Row],[Customer ID]]), "New", "Repeat")</f>
        <v>New</v>
      </c>
      <c r="H329" t="s">
        <v>95</v>
      </c>
      <c r="I329" t="str">
        <f>INDEX(State!B:B,MATCH(OrdersTable[[#This Row],[State]],State!A:A,0))</f>
        <v>TG</v>
      </c>
      <c r="J329" t="str">
        <f>INDEX(State!C:C,MATCH(OrdersTable[[#This Row],[State Code]],State!B:B,0))</f>
        <v>South</v>
      </c>
      <c r="K329" t="s">
        <v>96</v>
      </c>
      <c r="L329" t="s">
        <v>65</v>
      </c>
      <c r="M329" t="s">
        <v>87</v>
      </c>
      <c r="N329" t="str">
        <f>INDEX(Products!B:B,MATCH(OrdersTable[[#This Row],[Product ID]],Products!A:A,0))</f>
        <v>Linen Kurta</v>
      </c>
      <c r="O329" t="str">
        <f>INDEX(Products!C:C,MATCH(OrdersTable[[#This Row],[Product ID]],Products!A:A,0))</f>
        <v>Apparel</v>
      </c>
      <c r="P329">
        <v>2</v>
      </c>
      <c r="Q329" s="5">
        <v>1499</v>
      </c>
      <c r="R329" s="74">
        <v>0.4</v>
      </c>
      <c r="S329" s="75">
        <f>OrdersTable[[#This Row],[Quantity]]*OrdersTable[[#This Row],[Unit Price]]</f>
        <v>2998</v>
      </c>
      <c r="T329" s="5">
        <f>OrdersTable[[#This Row],[Gross Sale]]*OrdersTable[[#This Row],[Discount_Clean2]]</f>
        <v>1199.2</v>
      </c>
      <c r="U329" s="5">
        <f>OrdersTable[[#This Row],[Gross Sale]]-OrdersTable[[#This Row],[Discount Amount]]</f>
        <v>1798.8</v>
      </c>
      <c r="V329" s="77">
        <f>INDEX(Products!E:E,MATCH(OrdersTable[[#This Row],[Product ID]],Products!A:A,0))</f>
        <v>630</v>
      </c>
      <c r="W329" s="77">
        <f>OrdersTable[[#This Row],[Quantity]]*OrdersTable[[#This Row],[Unit Cost]]</f>
        <v>1260</v>
      </c>
      <c r="X329" s="77">
        <f>'Dropdown Lists'!$I$2*(1+OrdersTable[[#This Row],[Returned]])</f>
        <v>60</v>
      </c>
      <c r="Y329" s="76">
        <f>OrdersTable[[#This Row],[Net Revenue]]-OrdersTable[[#This Row],[COGS]]-OrdersTable[[#This Row],[Shipping Cost]]</f>
        <v>478.79999999999995</v>
      </c>
      <c r="Z329" s="78">
        <f>IFERROR(OrdersTable[[#This Row],[Profit]]/OrdersTable[[#This Row],[Net Revenue]],0)</f>
        <v>0.26617745163442291</v>
      </c>
      <c r="AA329" t="s">
        <v>3495</v>
      </c>
      <c r="AB329" s="79">
        <v>45361</v>
      </c>
      <c r="AC329">
        <f>OrdersTable[[#This Row],[Delivery Date]]-OrdersTable[[#This Row],[Order Date]]</f>
        <v>1</v>
      </c>
      <c r="AD329" t="str">
        <f>IF(OrdersTable[[#This Row],[Delivery Days]]&lt;=2, "Express (≤2d)", IF(OrdersTable[[#This Row],[Delivery Days]]&lt;=4, "Standard (3-4d)", "Delayed (5d+)"))</f>
        <v>Express (≤2d)</v>
      </c>
      <c r="AE329">
        <v>5</v>
      </c>
      <c r="AF329">
        <v>0</v>
      </c>
    </row>
    <row r="330" spans="1:32" ht="15" x14ac:dyDescent="0.35">
      <c r="A330" t="s">
        <v>3398</v>
      </c>
      <c r="B330" s="1">
        <v>45360</v>
      </c>
      <c r="C330">
        <f>YEAR(OrdersTable[[#This Row],[Order Date]])</f>
        <v>2024</v>
      </c>
      <c r="D330" s="2">
        <f>DATE(YEAR(OrdersTable[[#This Row],[Order Date]]),MONTH(OrdersTable[[#This Row],[Order Date]]),1)</f>
        <v>45352</v>
      </c>
      <c r="E330">
        <f>MONTH(OrdersTable[[#This Row],[Order Date]])</f>
        <v>3</v>
      </c>
      <c r="F330" t="s">
        <v>3399</v>
      </c>
      <c r="G330" t="str">
        <f>IF(OrdersTable[[#This Row],[Order Date]]=_xlfn.MINIFS(Order_Date, Customer_ID, OrdersTable[[#This Row],[Customer ID]]), "New", "Repeat")</f>
        <v>New</v>
      </c>
      <c r="H330" t="s">
        <v>275</v>
      </c>
      <c r="I330" t="str">
        <f>INDEX(State!B:B,MATCH(OrdersTable[[#This Row],[State]],State!A:A,0))</f>
        <v>AP</v>
      </c>
      <c r="J330" t="str">
        <f>INDEX(State!C:C,MATCH(OrdersTable[[#This Row],[State Code]],State!B:B,0))</f>
        <v>South</v>
      </c>
      <c r="K330" t="s">
        <v>276</v>
      </c>
      <c r="L330" t="s">
        <v>65</v>
      </c>
      <c r="M330" t="s">
        <v>40</v>
      </c>
      <c r="N330" t="str">
        <f>INDEX(Products!B:B,MATCH(OrdersTable[[#This Row],[Product ID]],Products!A:A,0))</f>
        <v>Ashwagandha Capsules</v>
      </c>
      <c r="O330" t="str">
        <f>INDEX(Products!C:C,MATCH(OrdersTable[[#This Row],[Product ID]],Products!A:A,0))</f>
        <v>Wellness</v>
      </c>
      <c r="P330">
        <v>1</v>
      </c>
      <c r="Q330" s="5">
        <v>499</v>
      </c>
      <c r="R330" s="74">
        <v>0</v>
      </c>
      <c r="S330" s="75">
        <f>OrdersTable[[#This Row],[Quantity]]*OrdersTable[[#This Row],[Unit Price]]</f>
        <v>499</v>
      </c>
      <c r="T330" s="5">
        <f>OrdersTable[[#This Row],[Gross Sale]]*OrdersTable[[#This Row],[Discount_Clean2]]</f>
        <v>0</v>
      </c>
      <c r="U330" s="5">
        <f>OrdersTable[[#This Row],[Gross Sale]]-OrdersTable[[#This Row],[Discount Amount]]</f>
        <v>499</v>
      </c>
      <c r="V330" s="77">
        <f>INDEX(Products!E:E,MATCH(OrdersTable[[#This Row],[Product ID]],Products!A:A,0))</f>
        <v>150</v>
      </c>
      <c r="W330" s="77">
        <f>OrdersTable[[#This Row],[Quantity]]*OrdersTable[[#This Row],[Unit Cost]]</f>
        <v>150</v>
      </c>
      <c r="X330" s="77">
        <f>'Dropdown Lists'!$I$2*(1+OrdersTable[[#This Row],[Returned]])</f>
        <v>120</v>
      </c>
      <c r="Y330" s="76">
        <f>OrdersTable[[#This Row],[Net Revenue]]-OrdersTable[[#This Row],[COGS]]-OrdersTable[[#This Row],[Shipping Cost]]</f>
        <v>229</v>
      </c>
      <c r="Z330" s="78">
        <f>IFERROR(OrdersTable[[#This Row],[Profit]]/OrdersTable[[#This Row],[Net Revenue]],0)</f>
        <v>0.4589178356713427</v>
      </c>
      <c r="AA330" t="s">
        <v>2522</v>
      </c>
      <c r="AB330" s="79">
        <v>45365</v>
      </c>
      <c r="AC330">
        <f>OrdersTable[[#This Row],[Delivery Date]]-OrdersTable[[#This Row],[Order Date]]</f>
        <v>5</v>
      </c>
      <c r="AD330" t="str">
        <f>IF(OrdersTable[[#This Row],[Delivery Days]]&lt;=2, "Express (≤2d)", IF(OrdersTable[[#This Row],[Delivery Days]]&lt;=4, "Standard (3-4d)", "Delayed (5d+)"))</f>
        <v>Delayed (5d+)</v>
      </c>
      <c r="AE330">
        <v>4</v>
      </c>
      <c r="AF330">
        <v>1</v>
      </c>
    </row>
    <row r="331" spans="1:32" ht="15" x14ac:dyDescent="0.35">
      <c r="A331" t="s">
        <v>2545</v>
      </c>
      <c r="B331" s="1">
        <v>45361</v>
      </c>
      <c r="C331">
        <f>YEAR(OrdersTable[[#This Row],[Order Date]])</f>
        <v>2024</v>
      </c>
      <c r="D331" s="2">
        <f>DATE(YEAR(OrdersTable[[#This Row],[Order Date]]),MONTH(OrdersTable[[#This Row],[Order Date]]),1)</f>
        <v>45352</v>
      </c>
      <c r="E331">
        <f>MONTH(OrdersTable[[#This Row],[Order Date]])</f>
        <v>3</v>
      </c>
      <c r="F331" t="s">
        <v>2546</v>
      </c>
      <c r="G331" t="str">
        <f>IF(OrdersTable[[#This Row],[Order Date]]=_xlfn.MINIFS(Order_Date, Customer_ID, OrdersTable[[#This Row],[Customer ID]]), "New", "Repeat")</f>
        <v>New</v>
      </c>
      <c r="H331" t="s">
        <v>184</v>
      </c>
      <c r="I331" t="str">
        <f>INDEX(State!B:B,MATCH(OrdersTable[[#This Row],[State]],State!A:A,0))</f>
        <v>UK</v>
      </c>
      <c r="J331" t="str">
        <f>INDEX(State!C:C,MATCH(OrdersTable[[#This Row],[State Code]],State!B:B,0))</f>
        <v>North</v>
      </c>
      <c r="K331" t="s">
        <v>185</v>
      </c>
      <c r="L331" t="s">
        <v>50</v>
      </c>
      <c r="M331" t="s">
        <v>78</v>
      </c>
      <c r="N331" t="str">
        <f>INDEX(Products!B:B,MATCH(OrdersTable[[#This Row],[Product ID]],Products!A:A,0))</f>
        <v>Retinol Night Cream</v>
      </c>
      <c r="O331" t="str">
        <f>INDEX(Products!C:C,MATCH(OrdersTable[[#This Row],[Product ID]],Products!A:A,0))</f>
        <v>Skincare</v>
      </c>
      <c r="P331">
        <v>1</v>
      </c>
      <c r="Q331" s="5">
        <v>799</v>
      </c>
      <c r="R331" s="74">
        <v>0.05</v>
      </c>
      <c r="S331" s="75">
        <f>OrdersTable[[#This Row],[Quantity]]*OrdersTable[[#This Row],[Unit Price]]</f>
        <v>799</v>
      </c>
      <c r="T331" s="5">
        <f>OrdersTable[[#This Row],[Gross Sale]]*OrdersTable[[#This Row],[Discount_Clean2]]</f>
        <v>39.950000000000003</v>
      </c>
      <c r="U331" s="5">
        <f>OrdersTable[[#This Row],[Gross Sale]]-OrdersTable[[#This Row],[Discount Amount]]</f>
        <v>759.05</v>
      </c>
      <c r="V331" s="77">
        <f>INDEX(Products!E:E,MATCH(OrdersTable[[#This Row],[Product ID]],Products!A:A,0))</f>
        <v>216</v>
      </c>
      <c r="W331" s="77">
        <f>OrdersTable[[#This Row],[Quantity]]*OrdersTable[[#This Row],[Unit Cost]]</f>
        <v>216</v>
      </c>
      <c r="X331" s="77">
        <f>'Dropdown Lists'!$I$2*(1+OrdersTable[[#This Row],[Returned]])</f>
        <v>60</v>
      </c>
      <c r="Y331" s="76">
        <f>OrdersTable[[#This Row],[Net Revenue]]-OrdersTable[[#This Row],[COGS]]-OrdersTable[[#This Row],[Shipping Cost]]</f>
        <v>483.04999999999995</v>
      </c>
      <c r="Z331" s="78">
        <f>IFERROR(OrdersTable[[#This Row],[Profit]]/OrdersTable[[#This Row],[Net Revenue]],0)</f>
        <v>0.63638758975034582</v>
      </c>
      <c r="AA331" t="s">
        <v>2522</v>
      </c>
      <c r="AB331" s="79">
        <v>45364</v>
      </c>
      <c r="AC331">
        <f>OrdersTable[[#This Row],[Delivery Date]]-OrdersTable[[#This Row],[Order Date]]</f>
        <v>3</v>
      </c>
      <c r="AD331" t="str">
        <f>IF(OrdersTable[[#This Row],[Delivery Days]]&lt;=2, "Express (≤2d)", IF(OrdersTable[[#This Row],[Delivery Days]]&lt;=4, "Standard (3-4d)", "Delayed (5d+)"))</f>
        <v>Standard (3-4d)</v>
      </c>
      <c r="AE331">
        <v>5</v>
      </c>
      <c r="AF331">
        <v>0</v>
      </c>
    </row>
    <row r="332" spans="1:32" ht="15" x14ac:dyDescent="0.35">
      <c r="A332" t="s">
        <v>6942</v>
      </c>
      <c r="B332" s="1">
        <v>45361</v>
      </c>
      <c r="C332">
        <f>YEAR(OrdersTable[[#This Row],[Order Date]])</f>
        <v>2024</v>
      </c>
      <c r="D332" s="2">
        <f>DATE(YEAR(OrdersTable[[#This Row],[Order Date]]),MONTH(OrdersTable[[#This Row],[Order Date]]),1)</f>
        <v>45352</v>
      </c>
      <c r="E332">
        <f>MONTH(OrdersTable[[#This Row],[Order Date]])</f>
        <v>3</v>
      </c>
      <c r="F332" t="s">
        <v>3177</v>
      </c>
      <c r="G332" t="str">
        <f>IF(OrdersTable[[#This Row],[Order Date]]=_xlfn.MINIFS(Order_Date, Customer_ID, OrdersTable[[#This Row],[Customer ID]]), "New", "Repeat")</f>
        <v>Repeat</v>
      </c>
      <c r="H332" t="s">
        <v>54</v>
      </c>
      <c r="I332" t="str">
        <f>INDEX(State!B:B,MATCH(OrdersTable[[#This Row],[State]],State!A:A,0))</f>
        <v>RJ</v>
      </c>
      <c r="J332" t="str">
        <f>INDEX(State!C:C,MATCH(OrdersTable[[#This Row],[State Code]],State!B:B,0))</f>
        <v>North</v>
      </c>
      <c r="K332" t="s">
        <v>55</v>
      </c>
      <c r="L332" t="s">
        <v>16</v>
      </c>
      <c r="M332" t="s">
        <v>87</v>
      </c>
      <c r="N332" t="str">
        <f>INDEX(Products!B:B,MATCH(OrdersTable[[#This Row],[Product ID]],Products!A:A,0))</f>
        <v>Linen Kurta</v>
      </c>
      <c r="O332" t="str">
        <f>INDEX(Products!C:C,MATCH(OrdersTable[[#This Row],[Product ID]],Products!A:A,0))</f>
        <v>Apparel</v>
      </c>
      <c r="P332">
        <v>4</v>
      </c>
      <c r="Q332" s="5">
        <v>1499</v>
      </c>
      <c r="R332" s="74">
        <v>0.3</v>
      </c>
      <c r="S332" s="75">
        <f>OrdersTable[[#This Row],[Quantity]]*OrdersTable[[#This Row],[Unit Price]]</f>
        <v>5996</v>
      </c>
      <c r="T332" s="5">
        <f>OrdersTable[[#This Row],[Gross Sale]]*OrdersTable[[#This Row],[Discount_Clean2]]</f>
        <v>1798.8</v>
      </c>
      <c r="U332" s="5">
        <f>OrdersTable[[#This Row],[Gross Sale]]-OrdersTable[[#This Row],[Discount Amount]]</f>
        <v>4197.2</v>
      </c>
      <c r="V332" s="77">
        <f>INDEX(Products!E:E,MATCH(OrdersTable[[#This Row],[Product ID]],Products!A:A,0))</f>
        <v>630</v>
      </c>
      <c r="W332" s="77">
        <f>OrdersTable[[#This Row],[Quantity]]*OrdersTable[[#This Row],[Unit Cost]]</f>
        <v>2520</v>
      </c>
      <c r="X332" s="77">
        <f>'Dropdown Lists'!$I$2*(1+OrdersTable[[#This Row],[Returned]])</f>
        <v>60</v>
      </c>
      <c r="Y332" s="76">
        <f>OrdersTable[[#This Row],[Net Revenue]]-OrdersTable[[#This Row],[COGS]]-OrdersTable[[#This Row],[Shipping Cost]]</f>
        <v>1617.1999999999998</v>
      </c>
      <c r="Z332" s="78">
        <f>IFERROR(OrdersTable[[#This Row],[Profit]]/OrdersTable[[#This Row],[Net Revenue]],0)</f>
        <v>0.38530448870675688</v>
      </c>
      <c r="AA332" t="s">
        <v>4450</v>
      </c>
      <c r="AB332" s="79">
        <v>45362</v>
      </c>
      <c r="AC332">
        <f>OrdersTable[[#This Row],[Delivery Date]]-OrdersTable[[#This Row],[Order Date]]</f>
        <v>1</v>
      </c>
      <c r="AD332" t="str">
        <f>IF(OrdersTable[[#This Row],[Delivery Days]]&lt;=2, "Express (≤2d)", IF(OrdersTable[[#This Row],[Delivery Days]]&lt;=4, "Standard (3-4d)", "Delayed (5d+)"))</f>
        <v>Express (≤2d)</v>
      </c>
      <c r="AE332">
        <v>4</v>
      </c>
      <c r="AF332">
        <v>0</v>
      </c>
    </row>
    <row r="333" spans="1:32" ht="15" x14ac:dyDescent="0.35">
      <c r="A333" t="s">
        <v>2227</v>
      </c>
      <c r="B333" s="1">
        <v>45361</v>
      </c>
      <c r="C333">
        <f>YEAR(OrdersTable[[#This Row],[Order Date]])</f>
        <v>2024</v>
      </c>
      <c r="D333" s="2">
        <f>DATE(YEAR(OrdersTable[[#This Row],[Order Date]]),MONTH(OrdersTable[[#This Row],[Order Date]]),1)</f>
        <v>45352</v>
      </c>
      <c r="E333">
        <f>MONTH(OrdersTable[[#This Row],[Order Date]])</f>
        <v>3</v>
      </c>
      <c r="F333" t="s">
        <v>2228</v>
      </c>
      <c r="G333" t="str">
        <f>IF(OrdersTable[[#This Row],[Order Date]]=_xlfn.MINIFS(Order_Date, Customer_ID, OrdersTable[[#This Row],[Customer ID]]), "New", "Repeat")</f>
        <v>New</v>
      </c>
      <c r="H333" t="s">
        <v>48</v>
      </c>
      <c r="I333" t="str">
        <f>INDEX(State!B:B,MATCH(OrdersTable[[#This Row],[State]],State!A:A,0))</f>
        <v>HR</v>
      </c>
      <c r="J333" t="str">
        <f>INDEX(State!C:C,MATCH(OrdersTable[[#This Row],[State Code]],State!B:B,0))</f>
        <v>North</v>
      </c>
      <c r="K333" t="s">
        <v>151</v>
      </c>
      <c r="L333" t="s">
        <v>16</v>
      </c>
      <c r="M333" t="s">
        <v>34</v>
      </c>
      <c r="N333" t="str">
        <f>INDEX(Products!B:B,MATCH(OrdersTable[[#This Row],[Product ID]],Products!A:A,0))</f>
        <v>Flip Flops</v>
      </c>
      <c r="O333" t="str">
        <f>INDEX(Products!C:C,MATCH(OrdersTable[[#This Row],[Product ID]],Products!A:A,0))</f>
        <v>Footwear</v>
      </c>
      <c r="P333">
        <v>1</v>
      </c>
      <c r="Q333" s="5">
        <v>399</v>
      </c>
      <c r="R333" s="74">
        <v>0.1</v>
      </c>
      <c r="S333" s="75">
        <f>OrdersTable[[#This Row],[Quantity]]*OrdersTable[[#This Row],[Unit Price]]</f>
        <v>399</v>
      </c>
      <c r="T333" s="5">
        <f>OrdersTable[[#This Row],[Gross Sale]]*OrdersTable[[#This Row],[Discount_Clean2]]</f>
        <v>39.900000000000006</v>
      </c>
      <c r="U333" s="5">
        <f>OrdersTable[[#This Row],[Gross Sale]]-OrdersTable[[#This Row],[Discount Amount]]</f>
        <v>359.1</v>
      </c>
      <c r="V333" s="77">
        <f>INDEX(Products!E:E,MATCH(OrdersTable[[#This Row],[Product ID]],Products!A:A,0))</f>
        <v>152</v>
      </c>
      <c r="W333" s="77">
        <f>OrdersTable[[#This Row],[Quantity]]*OrdersTable[[#This Row],[Unit Cost]]</f>
        <v>152</v>
      </c>
      <c r="X333" s="77">
        <f>'Dropdown Lists'!$I$2*(1+OrdersTable[[#This Row],[Returned]])</f>
        <v>60</v>
      </c>
      <c r="Y333" s="76">
        <f>OrdersTable[[#This Row],[Net Revenue]]-OrdersTable[[#This Row],[COGS]]-OrdersTable[[#This Row],[Shipping Cost]]</f>
        <v>147.10000000000002</v>
      </c>
      <c r="Z333" s="78">
        <f>IFERROR(OrdersTable[[#This Row],[Profit]]/OrdersTable[[#This Row],[Net Revenue]],0)</f>
        <v>0.40963519910888335</v>
      </c>
      <c r="AA333" t="s">
        <v>18</v>
      </c>
      <c r="AB333" s="79">
        <v>45362</v>
      </c>
      <c r="AC333">
        <f>OrdersTable[[#This Row],[Delivery Date]]-OrdersTable[[#This Row],[Order Date]]</f>
        <v>1</v>
      </c>
      <c r="AD333" t="str">
        <f>IF(OrdersTable[[#This Row],[Delivery Days]]&lt;=2, "Express (≤2d)", IF(OrdersTable[[#This Row],[Delivery Days]]&lt;=4, "Standard (3-4d)", "Delayed (5d+)"))</f>
        <v>Express (≤2d)</v>
      </c>
      <c r="AE333">
        <v>5</v>
      </c>
      <c r="AF333">
        <v>0</v>
      </c>
    </row>
    <row r="334" spans="1:32" ht="15" x14ac:dyDescent="0.35">
      <c r="A334" t="s">
        <v>6664</v>
      </c>
      <c r="B334" s="1">
        <v>45361</v>
      </c>
      <c r="C334">
        <f>YEAR(OrdersTable[[#This Row],[Order Date]])</f>
        <v>2024</v>
      </c>
      <c r="D334" s="2">
        <f>DATE(YEAR(OrdersTable[[#This Row],[Order Date]]),MONTH(OrdersTable[[#This Row],[Order Date]]),1)</f>
        <v>45352</v>
      </c>
      <c r="E334">
        <f>MONTH(OrdersTable[[#This Row],[Order Date]])</f>
        <v>3</v>
      </c>
      <c r="F334" t="s">
        <v>615</v>
      </c>
      <c r="G334" t="str">
        <f>IF(OrdersTable[[#This Row],[Order Date]]=_xlfn.MINIFS(Order_Date, Customer_ID, OrdersTable[[#This Row],[Customer ID]]), "New", "Repeat")</f>
        <v>New</v>
      </c>
      <c r="H334" t="s">
        <v>128</v>
      </c>
      <c r="I334" t="str">
        <f>INDEX(State!B:B,MATCH(OrdersTable[[#This Row],[State]],State!A:A,0))</f>
        <v>DL</v>
      </c>
      <c r="J334" t="str">
        <f>INDEX(State!C:C,MATCH(OrdersTable[[#This Row],[State Code]],State!B:B,0))</f>
        <v>North</v>
      </c>
      <c r="K334" t="s">
        <v>129</v>
      </c>
      <c r="L334" t="s">
        <v>23</v>
      </c>
      <c r="M334" t="s">
        <v>40</v>
      </c>
      <c r="N334" t="str">
        <f>INDEX(Products!B:B,MATCH(OrdersTable[[#This Row],[Product ID]],Products!A:A,0))</f>
        <v>Ashwagandha Capsules</v>
      </c>
      <c r="O334" t="str">
        <f>INDEX(Products!C:C,MATCH(OrdersTable[[#This Row],[Product ID]],Products!A:A,0))</f>
        <v>Wellness</v>
      </c>
      <c r="P334">
        <v>3</v>
      </c>
      <c r="Q334" s="5">
        <v>499</v>
      </c>
      <c r="R334" s="74">
        <v>0</v>
      </c>
      <c r="S334" s="75">
        <f>OrdersTable[[#This Row],[Quantity]]*OrdersTable[[#This Row],[Unit Price]]</f>
        <v>1497</v>
      </c>
      <c r="T334" s="5">
        <f>OrdersTable[[#This Row],[Gross Sale]]*OrdersTable[[#This Row],[Discount_Clean2]]</f>
        <v>0</v>
      </c>
      <c r="U334" s="5">
        <f>OrdersTable[[#This Row],[Gross Sale]]-OrdersTable[[#This Row],[Discount Amount]]</f>
        <v>1497</v>
      </c>
      <c r="V334" s="77">
        <f>INDEX(Products!E:E,MATCH(OrdersTable[[#This Row],[Product ID]],Products!A:A,0))</f>
        <v>150</v>
      </c>
      <c r="W334" s="77">
        <f>OrdersTable[[#This Row],[Quantity]]*OrdersTable[[#This Row],[Unit Cost]]</f>
        <v>450</v>
      </c>
      <c r="X334" s="77">
        <f>'Dropdown Lists'!$I$2*(1+OrdersTable[[#This Row],[Returned]])</f>
        <v>60</v>
      </c>
      <c r="Y334" s="76">
        <f>OrdersTable[[#This Row],[Net Revenue]]-OrdersTable[[#This Row],[COGS]]-OrdersTable[[#This Row],[Shipping Cost]]</f>
        <v>987</v>
      </c>
      <c r="Z334" s="78">
        <f>IFERROR(OrdersTable[[#This Row],[Profit]]/OrdersTable[[#This Row],[Net Revenue]],0)</f>
        <v>0.65931863727454909</v>
      </c>
      <c r="AA334" t="s">
        <v>2522</v>
      </c>
      <c r="AB334" s="79">
        <v>45363</v>
      </c>
      <c r="AC334">
        <f>OrdersTable[[#This Row],[Delivery Date]]-OrdersTable[[#This Row],[Order Date]]</f>
        <v>2</v>
      </c>
      <c r="AD334" t="str">
        <f>IF(OrdersTable[[#This Row],[Delivery Days]]&lt;=2, "Express (≤2d)", IF(OrdersTable[[#This Row],[Delivery Days]]&lt;=4, "Standard (3-4d)", "Delayed (5d+)"))</f>
        <v>Express (≤2d)</v>
      </c>
      <c r="AE334">
        <v>5</v>
      </c>
      <c r="AF334">
        <v>0</v>
      </c>
    </row>
    <row r="335" spans="1:32" ht="15" x14ac:dyDescent="0.35">
      <c r="A335" t="s">
        <v>7049</v>
      </c>
      <c r="B335" s="1">
        <v>45361</v>
      </c>
      <c r="C335">
        <f>YEAR(OrdersTable[[#This Row],[Order Date]])</f>
        <v>2024</v>
      </c>
      <c r="D335" s="2">
        <f>DATE(YEAR(OrdersTable[[#This Row],[Order Date]]),MONTH(OrdersTable[[#This Row],[Order Date]]),1)</f>
        <v>45352</v>
      </c>
      <c r="E335">
        <f>MONTH(OrdersTable[[#This Row],[Order Date]])</f>
        <v>3</v>
      </c>
      <c r="F335" t="s">
        <v>3869</v>
      </c>
      <c r="G335" t="str">
        <f>IF(OrdersTable[[#This Row],[Order Date]]=_xlfn.MINIFS(Order_Date, Customer_ID, OrdersTable[[#This Row],[Customer ID]]), "New", "Repeat")</f>
        <v>New</v>
      </c>
      <c r="H335" t="s">
        <v>132</v>
      </c>
      <c r="I335" t="str">
        <f>INDEX(State!B:B,MATCH(OrdersTable[[#This Row],[State]],State!A:A,0))</f>
        <v>AS</v>
      </c>
      <c r="J335" t="str">
        <f>INDEX(State!C:C,MATCH(OrdersTable[[#This Row],[State Code]],State!B:B,0))</f>
        <v>East</v>
      </c>
      <c r="K335" t="s">
        <v>133</v>
      </c>
      <c r="L335" t="s">
        <v>50</v>
      </c>
      <c r="M335" t="s">
        <v>160</v>
      </c>
      <c r="N335" t="str">
        <f>INDEX(Products!B:B,MATCH(OrdersTable[[#This Row],[Product ID]],Products!A:A,0))</f>
        <v>Niacinamide Toner</v>
      </c>
      <c r="O335" t="str">
        <f>INDEX(Products!C:C,MATCH(OrdersTable[[#This Row],[Product ID]],Products!A:A,0))</f>
        <v>Skincare</v>
      </c>
      <c r="P335">
        <v>4</v>
      </c>
      <c r="Q335" s="5">
        <v>399</v>
      </c>
      <c r="R335" s="74">
        <v>0.2</v>
      </c>
      <c r="S335" s="75">
        <f>OrdersTable[[#This Row],[Quantity]]*OrdersTable[[#This Row],[Unit Price]]</f>
        <v>1596</v>
      </c>
      <c r="T335" s="5">
        <f>OrdersTable[[#This Row],[Gross Sale]]*OrdersTable[[#This Row],[Discount_Clean2]]</f>
        <v>319.20000000000005</v>
      </c>
      <c r="U335" s="5">
        <f>OrdersTable[[#This Row],[Gross Sale]]-OrdersTable[[#This Row],[Discount Amount]]</f>
        <v>1276.8</v>
      </c>
      <c r="V335" s="77">
        <f>INDEX(Products!E:E,MATCH(OrdersTable[[#This Row],[Product ID]],Products!A:A,0))</f>
        <v>112</v>
      </c>
      <c r="W335" s="77">
        <f>OrdersTable[[#This Row],[Quantity]]*OrdersTable[[#This Row],[Unit Cost]]</f>
        <v>448</v>
      </c>
      <c r="X335" s="77">
        <f>'Dropdown Lists'!$I$2*(1+OrdersTable[[#This Row],[Returned]])</f>
        <v>60</v>
      </c>
      <c r="Y335" s="76">
        <f>OrdersTable[[#This Row],[Net Revenue]]-OrdersTable[[#This Row],[COGS]]-OrdersTable[[#This Row],[Shipping Cost]]</f>
        <v>768.8</v>
      </c>
      <c r="Z335" s="78">
        <f>IFERROR(OrdersTable[[#This Row],[Profit]]/OrdersTable[[#This Row],[Net Revenue]],0)</f>
        <v>0.60213032581453629</v>
      </c>
      <c r="AA335" t="s">
        <v>18</v>
      </c>
      <c r="AB335" s="79">
        <v>45367</v>
      </c>
      <c r="AC335">
        <f>OrdersTable[[#This Row],[Delivery Date]]-OrdersTable[[#This Row],[Order Date]]</f>
        <v>6</v>
      </c>
      <c r="AD335" t="str">
        <f>IF(OrdersTable[[#This Row],[Delivery Days]]&lt;=2, "Express (≤2d)", IF(OrdersTable[[#This Row],[Delivery Days]]&lt;=4, "Standard (3-4d)", "Delayed (5d+)"))</f>
        <v>Delayed (5d+)</v>
      </c>
      <c r="AE335">
        <v>3</v>
      </c>
      <c r="AF335">
        <v>0</v>
      </c>
    </row>
    <row r="336" spans="1:32" ht="15" x14ac:dyDescent="0.35">
      <c r="A336" t="s">
        <v>2229</v>
      </c>
      <c r="B336" s="1">
        <v>45361</v>
      </c>
      <c r="C336">
        <f>YEAR(OrdersTable[[#This Row],[Order Date]])</f>
        <v>2024</v>
      </c>
      <c r="D336" s="2">
        <f>DATE(YEAR(OrdersTable[[#This Row],[Order Date]]),MONTH(OrdersTable[[#This Row],[Order Date]]),1)</f>
        <v>45352</v>
      </c>
      <c r="E336">
        <f>MONTH(OrdersTable[[#This Row],[Order Date]])</f>
        <v>3</v>
      </c>
      <c r="F336" t="s">
        <v>1237</v>
      </c>
      <c r="G336" t="str">
        <f>IF(OrdersTable[[#This Row],[Order Date]]=_xlfn.MINIFS(Order_Date, Customer_ID, OrdersTable[[#This Row],[Customer ID]]), "New", "Repeat")</f>
        <v>New</v>
      </c>
      <c r="H336" t="s">
        <v>71</v>
      </c>
      <c r="I336" t="str">
        <f>INDEX(State!B:B,MATCH(OrdersTable[[#This Row],[State]],State!A:A,0))</f>
        <v>MH</v>
      </c>
      <c r="J336" t="str">
        <f>INDEX(State!C:C,MATCH(OrdersTable[[#This Row],[State Code]],State!B:B,0))</f>
        <v>West</v>
      </c>
      <c r="K336" t="s">
        <v>102</v>
      </c>
      <c r="L336" t="s">
        <v>16</v>
      </c>
      <c r="M336" t="s">
        <v>29</v>
      </c>
      <c r="N336" t="str">
        <f>INDEX(Products!B:B,MATCH(OrdersTable[[#This Row],[Product ID]],Products!A:A,0))</f>
        <v>Joggers</v>
      </c>
      <c r="O336" t="str">
        <f>INDEX(Products!C:C,MATCH(OrdersTable[[#This Row],[Product ID]],Products!A:A,0))</f>
        <v>Apparel</v>
      </c>
      <c r="P336">
        <v>1</v>
      </c>
      <c r="Q336" s="5">
        <v>1199</v>
      </c>
      <c r="R336" s="74">
        <v>0.15</v>
      </c>
      <c r="S336" s="75">
        <f>OrdersTable[[#This Row],[Quantity]]*OrdersTable[[#This Row],[Unit Price]]</f>
        <v>1199</v>
      </c>
      <c r="T336" s="5">
        <f>OrdersTable[[#This Row],[Gross Sale]]*OrdersTable[[#This Row],[Discount_Clean2]]</f>
        <v>179.85</v>
      </c>
      <c r="U336" s="5">
        <f>OrdersTable[[#This Row],[Gross Sale]]-OrdersTable[[#This Row],[Discount Amount]]</f>
        <v>1019.15</v>
      </c>
      <c r="V336" s="77">
        <f>INDEX(Products!E:E,MATCH(OrdersTable[[#This Row],[Product ID]],Products!A:A,0))</f>
        <v>492</v>
      </c>
      <c r="W336" s="77">
        <f>OrdersTable[[#This Row],[Quantity]]*OrdersTable[[#This Row],[Unit Cost]]</f>
        <v>492</v>
      </c>
      <c r="X336" s="77">
        <f>'Dropdown Lists'!$I$2*(1+OrdersTable[[#This Row],[Returned]])</f>
        <v>120</v>
      </c>
      <c r="Y336" s="76">
        <f>OrdersTable[[#This Row],[Net Revenue]]-OrdersTable[[#This Row],[COGS]]-OrdersTable[[#This Row],[Shipping Cost]]</f>
        <v>407.15</v>
      </c>
      <c r="Z336" s="78">
        <f>IFERROR(OrdersTable[[#This Row],[Profit]]/OrdersTable[[#This Row],[Net Revenue]],0)</f>
        <v>0.3994995829858215</v>
      </c>
      <c r="AA336" t="s">
        <v>18</v>
      </c>
      <c r="AB336" s="79">
        <v>45362</v>
      </c>
      <c r="AC336">
        <f>OrdersTable[[#This Row],[Delivery Date]]-OrdersTable[[#This Row],[Order Date]]</f>
        <v>1</v>
      </c>
      <c r="AD336" t="str">
        <f>IF(OrdersTable[[#This Row],[Delivery Days]]&lt;=2, "Express (≤2d)", IF(OrdersTable[[#This Row],[Delivery Days]]&lt;=4, "Standard (3-4d)", "Delayed (5d+)"))</f>
        <v>Express (≤2d)</v>
      </c>
      <c r="AE336">
        <v>5</v>
      </c>
      <c r="AF336">
        <v>1</v>
      </c>
    </row>
    <row r="337" spans="1:32" ht="15" x14ac:dyDescent="0.35">
      <c r="A337" t="s">
        <v>79</v>
      </c>
      <c r="B337" s="1">
        <v>45361</v>
      </c>
      <c r="C337">
        <f>YEAR(OrdersTable[[#This Row],[Order Date]])</f>
        <v>2024</v>
      </c>
      <c r="D337" s="2">
        <f>DATE(YEAR(OrdersTable[[#This Row],[Order Date]]),MONTH(OrdersTable[[#This Row],[Order Date]]),1)</f>
        <v>45352</v>
      </c>
      <c r="E337">
        <f>MONTH(OrdersTable[[#This Row],[Order Date]])</f>
        <v>3</v>
      </c>
      <c r="F337" t="s">
        <v>80</v>
      </c>
      <c r="G337" t="str">
        <f>IF(OrdersTable[[#This Row],[Order Date]]=_xlfn.MINIFS(Order_Date, Customer_ID, OrdersTable[[#This Row],[Customer ID]]), "New", "Repeat")</f>
        <v>New</v>
      </c>
      <c r="H337" t="s">
        <v>71</v>
      </c>
      <c r="I337" t="str">
        <f>INDEX(State!B:B,MATCH(OrdersTable[[#This Row],[State]],State!A:A,0))</f>
        <v>MH</v>
      </c>
      <c r="J337" t="str">
        <f>INDEX(State!C:C,MATCH(OrdersTable[[#This Row],[State Code]],State!B:B,0))</f>
        <v>West</v>
      </c>
      <c r="K337" t="s">
        <v>81</v>
      </c>
      <c r="L337" t="s">
        <v>39</v>
      </c>
      <c r="M337" t="s">
        <v>34</v>
      </c>
      <c r="N337" t="str">
        <f>INDEX(Products!B:B,MATCH(OrdersTable[[#This Row],[Product ID]],Products!A:A,0))</f>
        <v>Flip Flops</v>
      </c>
      <c r="O337" t="str">
        <f>INDEX(Products!C:C,MATCH(OrdersTable[[#This Row],[Product ID]],Products!A:A,0))</f>
        <v>Footwear</v>
      </c>
      <c r="P337">
        <v>1</v>
      </c>
      <c r="Q337" s="5">
        <v>399</v>
      </c>
      <c r="R337" s="74">
        <v>0.1</v>
      </c>
      <c r="S337" s="75">
        <f>OrdersTable[[#This Row],[Quantity]]*OrdersTable[[#This Row],[Unit Price]]</f>
        <v>399</v>
      </c>
      <c r="T337" s="5">
        <f>OrdersTable[[#This Row],[Gross Sale]]*OrdersTable[[#This Row],[Discount_Clean2]]</f>
        <v>39.900000000000006</v>
      </c>
      <c r="U337" s="5">
        <f>OrdersTable[[#This Row],[Gross Sale]]-OrdersTable[[#This Row],[Discount Amount]]</f>
        <v>359.1</v>
      </c>
      <c r="V337" s="77">
        <f>INDEX(Products!E:E,MATCH(OrdersTable[[#This Row],[Product ID]],Products!A:A,0))</f>
        <v>152</v>
      </c>
      <c r="W337" s="77">
        <f>OrdersTable[[#This Row],[Quantity]]*OrdersTable[[#This Row],[Unit Cost]]</f>
        <v>152</v>
      </c>
      <c r="X337" s="77">
        <f>'Dropdown Lists'!$I$2*(1+OrdersTable[[#This Row],[Returned]])</f>
        <v>60</v>
      </c>
      <c r="Y337" s="76">
        <f>OrdersTable[[#This Row],[Net Revenue]]-OrdersTable[[#This Row],[COGS]]-OrdersTable[[#This Row],[Shipping Cost]]</f>
        <v>147.10000000000002</v>
      </c>
      <c r="Z337" s="78">
        <f>IFERROR(OrdersTable[[#This Row],[Profit]]/OrdersTable[[#This Row],[Net Revenue]],0)</f>
        <v>0.40963519910888335</v>
      </c>
      <c r="AA337" t="s">
        <v>18</v>
      </c>
      <c r="AB337" s="79">
        <v>45366</v>
      </c>
      <c r="AC337">
        <f>OrdersTable[[#This Row],[Delivery Date]]-OrdersTable[[#This Row],[Order Date]]</f>
        <v>5</v>
      </c>
      <c r="AD337" t="str">
        <f>IF(OrdersTable[[#This Row],[Delivery Days]]&lt;=2, "Express (≤2d)", IF(OrdersTable[[#This Row],[Delivery Days]]&lt;=4, "Standard (3-4d)", "Delayed (5d+)"))</f>
        <v>Delayed (5d+)</v>
      </c>
      <c r="AE337">
        <v>4</v>
      </c>
      <c r="AF337">
        <v>0</v>
      </c>
    </row>
    <row r="338" spans="1:32" ht="15" x14ac:dyDescent="0.35">
      <c r="A338" t="s">
        <v>3400</v>
      </c>
      <c r="B338" s="1">
        <v>45361</v>
      </c>
      <c r="C338">
        <f>YEAR(OrdersTable[[#This Row],[Order Date]])</f>
        <v>2024</v>
      </c>
      <c r="D338" s="2">
        <f>DATE(YEAR(OrdersTable[[#This Row],[Order Date]]),MONTH(OrdersTable[[#This Row],[Order Date]]),1)</f>
        <v>45352</v>
      </c>
      <c r="E338">
        <f>MONTH(OrdersTable[[#This Row],[Order Date]])</f>
        <v>3</v>
      </c>
      <c r="F338" t="s">
        <v>1808</v>
      </c>
      <c r="G338" t="str">
        <f>IF(OrdersTable[[#This Row],[Order Date]]=_xlfn.MINIFS(Order_Date, Customer_ID, OrdersTable[[#This Row],[Customer ID]]), "New", "Repeat")</f>
        <v>Repeat</v>
      </c>
      <c r="H338" t="s">
        <v>59</v>
      </c>
      <c r="I338" t="str">
        <f>INDEX(State!B:B,MATCH(OrdersTable[[#This Row],[State]],State!A:A,0))</f>
        <v>TN</v>
      </c>
      <c r="J338" t="str">
        <f>INDEX(State!C:C,MATCH(OrdersTable[[#This Row],[State Code]],State!B:B,0))</f>
        <v>South</v>
      </c>
      <c r="K338" t="s">
        <v>60</v>
      </c>
      <c r="L338" t="s">
        <v>65</v>
      </c>
      <c r="M338" t="s">
        <v>205</v>
      </c>
      <c r="N338" t="str">
        <f>INDEX(Products!B:B,MATCH(OrdersTable[[#This Row],[Product ID]],Products!A:A,0))</f>
        <v>Running Shoes</v>
      </c>
      <c r="O338" t="str">
        <f>INDEX(Products!C:C,MATCH(OrdersTable[[#This Row],[Product ID]],Products!A:A,0))</f>
        <v>Footwear</v>
      </c>
      <c r="P338">
        <v>1</v>
      </c>
      <c r="Q338" s="5">
        <v>2999</v>
      </c>
      <c r="R338" s="74">
        <v>0.15</v>
      </c>
      <c r="S338" s="75">
        <f>OrdersTable[[#This Row],[Quantity]]*OrdersTable[[#This Row],[Unit Price]]</f>
        <v>2999</v>
      </c>
      <c r="T338" s="5">
        <f>OrdersTable[[#This Row],[Gross Sale]]*OrdersTable[[#This Row],[Discount_Clean2]]</f>
        <v>449.84999999999997</v>
      </c>
      <c r="U338" s="5">
        <f>OrdersTable[[#This Row],[Gross Sale]]-OrdersTable[[#This Row],[Discount Amount]]</f>
        <v>2549.15</v>
      </c>
      <c r="V338" s="77">
        <f>INDEX(Products!E:E,MATCH(OrdersTable[[#This Row],[Product ID]],Products!A:A,0))</f>
        <v>1440</v>
      </c>
      <c r="W338" s="77">
        <f>OrdersTable[[#This Row],[Quantity]]*OrdersTable[[#This Row],[Unit Cost]]</f>
        <v>1440</v>
      </c>
      <c r="X338" s="77">
        <f>'Dropdown Lists'!$I$2*(1+OrdersTable[[#This Row],[Returned]])</f>
        <v>120</v>
      </c>
      <c r="Y338" s="76">
        <f>OrdersTable[[#This Row],[Net Revenue]]-OrdersTable[[#This Row],[COGS]]-OrdersTable[[#This Row],[Shipping Cost]]</f>
        <v>989.15000000000009</v>
      </c>
      <c r="Z338" s="78">
        <f>IFERROR(OrdersTable[[#This Row],[Profit]]/OrdersTable[[#This Row],[Net Revenue]],0)</f>
        <v>0.3880313045524979</v>
      </c>
      <c r="AA338" t="s">
        <v>2522</v>
      </c>
      <c r="AB338" s="79">
        <v>45362</v>
      </c>
      <c r="AC338">
        <f>OrdersTable[[#This Row],[Delivery Date]]-OrdersTable[[#This Row],[Order Date]]</f>
        <v>1</v>
      </c>
      <c r="AD338" t="str">
        <f>IF(OrdersTable[[#This Row],[Delivery Days]]&lt;=2, "Express (≤2d)", IF(OrdersTable[[#This Row],[Delivery Days]]&lt;=4, "Standard (3-4d)", "Delayed (5d+)"))</f>
        <v>Express (≤2d)</v>
      </c>
      <c r="AE338">
        <v>4</v>
      </c>
      <c r="AF338">
        <v>1</v>
      </c>
    </row>
    <row r="339" spans="1:32" ht="15" x14ac:dyDescent="0.35">
      <c r="A339" t="s">
        <v>6259</v>
      </c>
      <c r="B339" s="1">
        <v>45362</v>
      </c>
      <c r="C339">
        <f>YEAR(OrdersTable[[#This Row],[Order Date]])</f>
        <v>2024</v>
      </c>
      <c r="D339" s="2">
        <f>DATE(YEAR(OrdersTable[[#This Row],[Order Date]]),MONTH(OrdersTable[[#This Row],[Order Date]]),1)</f>
        <v>45352</v>
      </c>
      <c r="E339">
        <f>MONTH(OrdersTable[[#This Row],[Order Date]])</f>
        <v>3</v>
      </c>
      <c r="F339" t="s">
        <v>3637</v>
      </c>
      <c r="G339" t="str">
        <f>IF(OrdersTable[[#This Row],[Order Date]]=_xlfn.MINIFS(Order_Date, Customer_ID, OrdersTable[[#This Row],[Customer ID]]), "New", "Repeat")</f>
        <v>New</v>
      </c>
      <c r="H339" t="s">
        <v>210</v>
      </c>
      <c r="I339" t="str">
        <f>INDEX(State!B:B,MATCH(OrdersTable[[#This Row],[State]],State!A:A,0))</f>
        <v>JK</v>
      </c>
      <c r="J339" t="str">
        <f>INDEX(State!C:C,MATCH(OrdersTable[[#This Row],[State Code]],State!B:B,0))</f>
        <v>North</v>
      </c>
      <c r="K339" t="s">
        <v>211</v>
      </c>
      <c r="L339" t="s">
        <v>23</v>
      </c>
      <c r="M339" t="s">
        <v>34</v>
      </c>
      <c r="N339" t="str">
        <f>INDEX(Products!B:B,MATCH(OrdersTable[[#This Row],[Product ID]],Products!A:A,0))</f>
        <v>Flip Flops</v>
      </c>
      <c r="O339" t="str">
        <f>INDEX(Products!C:C,MATCH(OrdersTable[[#This Row],[Product ID]],Products!A:A,0))</f>
        <v>Footwear</v>
      </c>
      <c r="P339">
        <v>2</v>
      </c>
      <c r="Q339" s="5">
        <v>399</v>
      </c>
      <c r="R339" s="74">
        <v>0.2</v>
      </c>
      <c r="S339" s="75">
        <f>OrdersTable[[#This Row],[Quantity]]*OrdersTable[[#This Row],[Unit Price]]</f>
        <v>798</v>
      </c>
      <c r="T339" s="5">
        <f>OrdersTable[[#This Row],[Gross Sale]]*OrdersTable[[#This Row],[Discount_Clean2]]</f>
        <v>159.60000000000002</v>
      </c>
      <c r="U339" s="5">
        <f>OrdersTable[[#This Row],[Gross Sale]]-OrdersTable[[#This Row],[Discount Amount]]</f>
        <v>638.4</v>
      </c>
      <c r="V339" s="77">
        <f>INDEX(Products!E:E,MATCH(OrdersTable[[#This Row],[Product ID]],Products!A:A,0))</f>
        <v>152</v>
      </c>
      <c r="W339" s="77">
        <f>OrdersTable[[#This Row],[Quantity]]*OrdersTable[[#This Row],[Unit Cost]]</f>
        <v>304</v>
      </c>
      <c r="X339" s="77">
        <f>'Dropdown Lists'!$I$2*(1+OrdersTable[[#This Row],[Returned]])</f>
        <v>120</v>
      </c>
      <c r="Y339" s="76">
        <f>OrdersTable[[#This Row],[Net Revenue]]-OrdersTable[[#This Row],[COGS]]-OrdersTable[[#This Row],[Shipping Cost]]</f>
        <v>214.39999999999998</v>
      </c>
      <c r="Z339" s="78">
        <f>IFERROR(OrdersTable[[#This Row],[Profit]]/OrdersTable[[#This Row],[Net Revenue]],0)</f>
        <v>0.33583959899749372</v>
      </c>
      <c r="AA339" t="s">
        <v>18</v>
      </c>
      <c r="AB339" s="79">
        <v>45368</v>
      </c>
      <c r="AC339">
        <f>OrdersTable[[#This Row],[Delivery Date]]-OrdersTable[[#This Row],[Order Date]]</f>
        <v>6</v>
      </c>
      <c r="AD339" t="str">
        <f>IF(OrdersTable[[#This Row],[Delivery Days]]&lt;=2, "Express (≤2d)", IF(OrdersTable[[#This Row],[Delivery Days]]&lt;=4, "Standard (3-4d)", "Delayed (5d+)"))</f>
        <v>Delayed (5d+)</v>
      </c>
      <c r="AE339">
        <v>4</v>
      </c>
      <c r="AF339">
        <v>1</v>
      </c>
    </row>
    <row r="340" spans="1:32" ht="15" x14ac:dyDescent="0.35">
      <c r="A340" t="s">
        <v>5074</v>
      </c>
      <c r="B340" s="1">
        <v>45362</v>
      </c>
      <c r="C340">
        <f>YEAR(OrdersTable[[#This Row],[Order Date]])</f>
        <v>2024</v>
      </c>
      <c r="D340" s="2">
        <f>DATE(YEAR(OrdersTable[[#This Row],[Order Date]]),MONTH(OrdersTable[[#This Row],[Order Date]]),1)</f>
        <v>45352</v>
      </c>
      <c r="E340">
        <f>MONTH(OrdersTable[[#This Row],[Order Date]])</f>
        <v>3</v>
      </c>
      <c r="F340" t="s">
        <v>5075</v>
      </c>
      <c r="G340" t="str">
        <f>IF(OrdersTable[[#This Row],[Order Date]]=_xlfn.MINIFS(Order_Date, Customer_ID, OrdersTable[[#This Row],[Customer ID]]), "New", "Repeat")</f>
        <v>New</v>
      </c>
      <c r="H340" t="s">
        <v>132</v>
      </c>
      <c r="I340" t="str">
        <f>INDEX(State!B:B,MATCH(OrdersTable[[#This Row],[State]],State!A:A,0))</f>
        <v>AS</v>
      </c>
      <c r="J340" t="str">
        <f>INDEX(State!C:C,MATCH(OrdersTable[[#This Row],[State Code]],State!B:B,0))</f>
        <v>East</v>
      </c>
      <c r="K340" t="s">
        <v>133</v>
      </c>
      <c r="L340" t="s">
        <v>23</v>
      </c>
      <c r="M340" t="s">
        <v>160</v>
      </c>
      <c r="N340" t="str">
        <f>INDEX(Products!B:B,MATCH(OrdersTable[[#This Row],[Product ID]],Products!A:A,0))</f>
        <v>Niacinamide Toner</v>
      </c>
      <c r="O340" t="str">
        <f>INDEX(Products!C:C,MATCH(OrdersTable[[#This Row],[Product ID]],Products!A:A,0))</f>
        <v>Skincare</v>
      </c>
      <c r="P340">
        <v>2</v>
      </c>
      <c r="Q340" s="5">
        <v>399</v>
      </c>
      <c r="R340" s="74">
        <v>0.3</v>
      </c>
      <c r="S340" s="75">
        <f>OrdersTable[[#This Row],[Quantity]]*OrdersTable[[#This Row],[Unit Price]]</f>
        <v>798</v>
      </c>
      <c r="T340" s="5">
        <f>OrdersTable[[#This Row],[Gross Sale]]*OrdersTable[[#This Row],[Discount_Clean2]]</f>
        <v>239.39999999999998</v>
      </c>
      <c r="U340" s="5">
        <f>OrdersTable[[#This Row],[Gross Sale]]-OrdersTable[[#This Row],[Discount Amount]]</f>
        <v>558.6</v>
      </c>
      <c r="V340" s="77">
        <f>INDEX(Products!E:E,MATCH(OrdersTable[[#This Row],[Product ID]],Products!A:A,0))</f>
        <v>112</v>
      </c>
      <c r="W340" s="77">
        <f>OrdersTable[[#This Row],[Quantity]]*OrdersTable[[#This Row],[Unit Cost]]</f>
        <v>224</v>
      </c>
      <c r="X340" s="77">
        <f>'Dropdown Lists'!$I$2*(1+OrdersTable[[#This Row],[Returned]])</f>
        <v>60</v>
      </c>
      <c r="Y340" s="76">
        <f>OrdersTable[[#This Row],[Net Revenue]]-OrdersTable[[#This Row],[COGS]]-OrdersTable[[#This Row],[Shipping Cost]]</f>
        <v>274.60000000000002</v>
      </c>
      <c r="Z340" s="78">
        <f>IFERROR(OrdersTable[[#This Row],[Profit]]/OrdersTable[[#This Row],[Net Revenue]],0)</f>
        <v>0.49158610812746151</v>
      </c>
      <c r="AA340" t="s">
        <v>3495</v>
      </c>
      <c r="AB340" s="79">
        <v>45368</v>
      </c>
      <c r="AC340">
        <f>OrdersTable[[#This Row],[Delivery Date]]-OrdersTable[[#This Row],[Order Date]]</f>
        <v>6</v>
      </c>
      <c r="AD340" t="str">
        <f>IF(OrdersTable[[#This Row],[Delivery Days]]&lt;=2, "Express (≤2d)", IF(OrdersTable[[#This Row],[Delivery Days]]&lt;=4, "Standard (3-4d)", "Delayed (5d+)"))</f>
        <v>Delayed (5d+)</v>
      </c>
      <c r="AE340">
        <v>3</v>
      </c>
      <c r="AF340">
        <v>0</v>
      </c>
    </row>
    <row r="341" spans="1:32" ht="15" x14ac:dyDescent="0.35">
      <c r="A341" t="s">
        <v>441</v>
      </c>
      <c r="B341" s="1">
        <v>45362</v>
      </c>
      <c r="C341">
        <f>YEAR(OrdersTable[[#This Row],[Order Date]])</f>
        <v>2024</v>
      </c>
      <c r="D341" s="2">
        <f>DATE(YEAR(OrdersTable[[#This Row],[Order Date]]),MONTH(OrdersTable[[#This Row],[Order Date]]),1)</f>
        <v>45352</v>
      </c>
      <c r="E341">
        <f>MONTH(OrdersTable[[#This Row],[Order Date]])</f>
        <v>3</v>
      </c>
      <c r="F341" t="s">
        <v>442</v>
      </c>
      <c r="G341" t="str">
        <f>IF(OrdersTable[[#This Row],[Order Date]]=_xlfn.MINIFS(Order_Date, Customer_ID, OrdersTable[[#This Row],[Customer ID]]), "New", "Repeat")</f>
        <v>Repeat</v>
      </c>
      <c r="H341" t="s">
        <v>43</v>
      </c>
      <c r="I341" t="str">
        <f>INDEX(State!B:B,MATCH(OrdersTable[[#This Row],[State]],State!A:A,0))</f>
        <v>MP</v>
      </c>
      <c r="J341" t="str">
        <f>INDEX(State!C:C,MATCH(OrdersTable[[#This Row],[State Code]],State!B:B,0))</f>
        <v>West</v>
      </c>
      <c r="K341" t="s">
        <v>250</v>
      </c>
      <c r="L341" t="s">
        <v>65</v>
      </c>
      <c r="M341" t="s">
        <v>255</v>
      </c>
      <c r="N341" t="str">
        <f>INDEX(Products!B:B,MATCH(OrdersTable[[#This Row],[Product ID]],Products!A:A,0))</f>
        <v>Cotton Oversized T-Shirt</v>
      </c>
      <c r="O341" t="str">
        <f>INDEX(Products!C:C,MATCH(OrdersTable[[#This Row],[Product ID]],Products!A:A,0))</f>
        <v>Apparel</v>
      </c>
      <c r="P341">
        <v>1</v>
      </c>
      <c r="Q341" s="5">
        <v>799</v>
      </c>
      <c r="R341" s="74">
        <v>0</v>
      </c>
      <c r="S341" s="75">
        <f>OrdersTable[[#This Row],[Quantity]]*OrdersTable[[#This Row],[Unit Price]]</f>
        <v>799</v>
      </c>
      <c r="T341" s="5">
        <f>OrdersTable[[#This Row],[Gross Sale]]*OrdersTable[[#This Row],[Discount_Clean2]]</f>
        <v>0</v>
      </c>
      <c r="U341" s="5">
        <f>OrdersTable[[#This Row],[Gross Sale]]-OrdersTable[[#This Row],[Discount Amount]]</f>
        <v>799</v>
      </c>
      <c r="V341" s="77">
        <f>INDEX(Products!E:E,MATCH(OrdersTable[[#This Row],[Product ID]],Products!A:A,0))</f>
        <v>320</v>
      </c>
      <c r="W341" s="77">
        <f>OrdersTable[[#This Row],[Quantity]]*OrdersTable[[#This Row],[Unit Cost]]</f>
        <v>320</v>
      </c>
      <c r="X341" s="77">
        <f>'Dropdown Lists'!$I$2*(1+OrdersTable[[#This Row],[Returned]])</f>
        <v>60</v>
      </c>
      <c r="Y341" s="76">
        <f>OrdersTable[[#This Row],[Net Revenue]]-OrdersTable[[#This Row],[COGS]]-OrdersTable[[#This Row],[Shipping Cost]]</f>
        <v>419</v>
      </c>
      <c r="Z341" s="78">
        <f>IFERROR(OrdersTable[[#This Row],[Profit]]/OrdersTable[[#This Row],[Net Revenue]],0)</f>
        <v>0.52440550688360454</v>
      </c>
      <c r="AA341" t="s">
        <v>18</v>
      </c>
      <c r="AB341" s="79">
        <v>45366</v>
      </c>
      <c r="AC341">
        <f>OrdersTable[[#This Row],[Delivery Date]]-OrdersTable[[#This Row],[Order Date]]</f>
        <v>4</v>
      </c>
      <c r="AD341" t="str">
        <f>IF(OrdersTable[[#This Row],[Delivery Days]]&lt;=2, "Express (≤2d)", IF(OrdersTable[[#This Row],[Delivery Days]]&lt;=4, "Standard (3-4d)", "Delayed (5d+)"))</f>
        <v>Standard (3-4d)</v>
      </c>
      <c r="AE341">
        <v>4</v>
      </c>
      <c r="AF341">
        <v>0</v>
      </c>
    </row>
    <row r="342" spans="1:32" ht="15" x14ac:dyDescent="0.35">
      <c r="A342" t="s">
        <v>4458</v>
      </c>
      <c r="B342" s="1">
        <v>45362</v>
      </c>
      <c r="C342">
        <f>YEAR(OrdersTable[[#This Row],[Order Date]])</f>
        <v>2024</v>
      </c>
      <c r="D342" s="2">
        <f>DATE(YEAR(OrdersTable[[#This Row],[Order Date]]),MONTH(OrdersTable[[#This Row],[Order Date]]),1)</f>
        <v>45352</v>
      </c>
      <c r="E342">
        <f>MONTH(OrdersTable[[#This Row],[Order Date]])</f>
        <v>3</v>
      </c>
      <c r="F342" t="s">
        <v>4459</v>
      </c>
      <c r="G342" t="str">
        <f>IF(OrdersTable[[#This Row],[Order Date]]=_xlfn.MINIFS(Order_Date, Customer_ID, OrdersTable[[#This Row],[Customer ID]]), "New", "Repeat")</f>
        <v>New</v>
      </c>
      <c r="H342" t="s">
        <v>27</v>
      </c>
      <c r="I342" t="str">
        <f>INDEX(State!B:B,MATCH(OrdersTable[[#This Row],[State]],State!A:A,0))</f>
        <v>WB</v>
      </c>
      <c r="J342" t="str">
        <f>INDEX(State!C:C,MATCH(OrdersTable[[#This Row],[State Code]],State!B:B,0))</f>
        <v>East</v>
      </c>
      <c r="K342" t="s">
        <v>28</v>
      </c>
      <c r="L342" t="s">
        <v>16</v>
      </c>
      <c r="M342" t="s">
        <v>176</v>
      </c>
      <c r="N342" t="str">
        <f>INDEX(Products!B:B,MATCH(OrdersTable[[#This Row],[Product ID]],Products!A:A,0))</f>
        <v>Denim Jacket</v>
      </c>
      <c r="O342" t="str">
        <f>INDEX(Products!C:C,MATCH(OrdersTable[[#This Row],[Product ID]],Products!A:A,0))</f>
        <v>Apparel</v>
      </c>
      <c r="P342">
        <v>1</v>
      </c>
      <c r="Q342" s="5">
        <v>2499</v>
      </c>
      <c r="R342" s="74">
        <v>0</v>
      </c>
      <c r="S342" s="75">
        <f>OrdersTable[[#This Row],[Quantity]]*OrdersTable[[#This Row],[Unit Price]]</f>
        <v>2499</v>
      </c>
      <c r="T342" s="5">
        <f>OrdersTable[[#This Row],[Gross Sale]]*OrdersTable[[#This Row],[Discount_Clean2]]</f>
        <v>0</v>
      </c>
      <c r="U342" s="5">
        <f>OrdersTable[[#This Row],[Gross Sale]]-OrdersTable[[#This Row],[Discount Amount]]</f>
        <v>2499</v>
      </c>
      <c r="V342" s="77">
        <f>INDEX(Products!E:E,MATCH(OrdersTable[[#This Row],[Product ID]],Products!A:A,0))</f>
        <v>1125</v>
      </c>
      <c r="W342" s="77">
        <f>OrdersTable[[#This Row],[Quantity]]*OrdersTable[[#This Row],[Unit Cost]]</f>
        <v>1125</v>
      </c>
      <c r="X342" s="77">
        <f>'Dropdown Lists'!$I$2*(1+OrdersTable[[#This Row],[Returned]])</f>
        <v>60</v>
      </c>
      <c r="Y342" s="76">
        <f>OrdersTable[[#This Row],[Net Revenue]]-OrdersTable[[#This Row],[COGS]]-OrdersTable[[#This Row],[Shipping Cost]]</f>
        <v>1314</v>
      </c>
      <c r="Z342" s="78">
        <f>IFERROR(OrdersTable[[#This Row],[Profit]]/OrdersTable[[#This Row],[Net Revenue]],0)</f>
        <v>0.5258103241296519</v>
      </c>
      <c r="AA342" t="s">
        <v>4450</v>
      </c>
      <c r="AB342" s="79">
        <v>45364</v>
      </c>
      <c r="AC342">
        <f>OrdersTable[[#This Row],[Delivery Date]]-OrdersTable[[#This Row],[Order Date]]</f>
        <v>2</v>
      </c>
      <c r="AD342" t="str">
        <f>IF(OrdersTable[[#This Row],[Delivery Days]]&lt;=2, "Express (≤2d)", IF(OrdersTable[[#This Row],[Delivery Days]]&lt;=4, "Standard (3-4d)", "Delayed (5d+)"))</f>
        <v>Express (≤2d)</v>
      </c>
      <c r="AE342">
        <v>4</v>
      </c>
      <c r="AF342">
        <v>0</v>
      </c>
    </row>
    <row r="343" spans="1:32" ht="15" x14ac:dyDescent="0.35">
      <c r="A343" t="s">
        <v>82</v>
      </c>
      <c r="B343" s="1">
        <v>45362</v>
      </c>
      <c r="C343">
        <f>YEAR(OrdersTable[[#This Row],[Order Date]])</f>
        <v>2024</v>
      </c>
      <c r="D343" s="2">
        <f>DATE(YEAR(OrdersTable[[#This Row],[Order Date]]),MONTH(OrdersTable[[#This Row],[Order Date]]),1)</f>
        <v>45352</v>
      </c>
      <c r="E343">
        <f>MONTH(OrdersTable[[#This Row],[Order Date]])</f>
        <v>3</v>
      </c>
      <c r="F343" t="s">
        <v>83</v>
      </c>
      <c r="G343" t="str">
        <f>IF(OrdersTable[[#This Row],[Order Date]]=_xlfn.MINIFS(Order_Date, Customer_ID, OrdersTable[[#This Row],[Customer ID]]), "New", "Repeat")</f>
        <v>New</v>
      </c>
      <c r="H343" t="s">
        <v>59</v>
      </c>
      <c r="I343" t="str">
        <f>INDEX(State!B:B,MATCH(OrdersTable[[#This Row],[State]],State!A:A,0))</f>
        <v>TN</v>
      </c>
      <c r="J343" t="str">
        <f>INDEX(State!C:C,MATCH(OrdersTable[[#This Row],[State Code]],State!B:B,0))</f>
        <v>South</v>
      </c>
      <c r="K343" t="s">
        <v>64</v>
      </c>
      <c r="L343" t="s">
        <v>39</v>
      </c>
      <c r="M343" t="s">
        <v>84</v>
      </c>
      <c r="N343" t="str">
        <f>INDEX(Products!B:B,MATCH(OrdersTable[[#This Row],[Product ID]],Products!A:A,0))</f>
        <v>Cotton Bedsheet</v>
      </c>
      <c r="O343" t="str">
        <f>INDEX(Products!C:C,MATCH(OrdersTable[[#This Row],[Product ID]],Products!A:A,0))</f>
        <v>Home &amp; Kitchen</v>
      </c>
      <c r="P343">
        <v>1</v>
      </c>
      <c r="Q343" s="5">
        <v>1299</v>
      </c>
      <c r="R343" s="74">
        <v>0</v>
      </c>
      <c r="S343" s="75">
        <f>OrdersTable[[#This Row],[Quantity]]*OrdersTable[[#This Row],[Unit Price]]</f>
        <v>1299</v>
      </c>
      <c r="T343" s="5">
        <f>OrdersTable[[#This Row],[Gross Sale]]*OrdersTable[[#This Row],[Discount_Clean2]]</f>
        <v>0</v>
      </c>
      <c r="U343" s="5">
        <f>OrdersTable[[#This Row],[Gross Sale]]-OrdersTable[[#This Row],[Discount Amount]]</f>
        <v>1299</v>
      </c>
      <c r="V343" s="77">
        <f>INDEX(Products!E:E,MATCH(OrdersTable[[#This Row],[Product ID]],Products!A:A,0))</f>
        <v>585</v>
      </c>
      <c r="W343" s="77">
        <f>OrdersTable[[#This Row],[Quantity]]*OrdersTable[[#This Row],[Unit Cost]]</f>
        <v>585</v>
      </c>
      <c r="X343" s="77">
        <f>'Dropdown Lists'!$I$2*(1+OrdersTable[[#This Row],[Returned]])</f>
        <v>60</v>
      </c>
      <c r="Y343" s="76">
        <f>OrdersTable[[#This Row],[Net Revenue]]-OrdersTable[[#This Row],[COGS]]-OrdersTable[[#This Row],[Shipping Cost]]</f>
        <v>654</v>
      </c>
      <c r="Z343" s="78">
        <f>IFERROR(OrdersTable[[#This Row],[Profit]]/OrdersTable[[#This Row],[Net Revenue]],0)</f>
        <v>0.50346420323325636</v>
      </c>
      <c r="AA343" t="s">
        <v>18</v>
      </c>
      <c r="AB343" s="79">
        <v>45365</v>
      </c>
      <c r="AC343">
        <f>OrdersTable[[#This Row],[Delivery Date]]-OrdersTable[[#This Row],[Order Date]]</f>
        <v>3</v>
      </c>
      <c r="AD343" t="str">
        <f>IF(OrdersTable[[#This Row],[Delivery Days]]&lt;=2, "Express (≤2d)", IF(OrdersTable[[#This Row],[Delivery Days]]&lt;=4, "Standard (3-4d)", "Delayed (5d+)"))</f>
        <v>Standard (3-4d)</v>
      </c>
      <c r="AE343">
        <v>4</v>
      </c>
      <c r="AF343">
        <v>0</v>
      </c>
    </row>
    <row r="344" spans="1:32" ht="15" x14ac:dyDescent="0.35">
      <c r="A344" t="s">
        <v>443</v>
      </c>
      <c r="B344" s="1">
        <v>45362</v>
      </c>
      <c r="C344">
        <f>YEAR(OrdersTable[[#This Row],[Order Date]])</f>
        <v>2024</v>
      </c>
      <c r="D344" s="2">
        <f>DATE(YEAR(OrdersTable[[#This Row],[Order Date]]),MONTH(OrdersTable[[#This Row],[Order Date]]),1)</f>
        <v>45352</v>
      </c>
      <c r="E344">
        <f>MONTH(OrdersTable[[#This Row],[Order Date]])</f>
        <v>3</v>
      </c>
      <c r="F344" t="s">
        <v>444</v>
      </c>
      <c r="G344" t="str">
        <f>IF(OrdersTable[[#This Row],[Order Date]]=_xlfn.MINIFS(Order_Date, Customer_ID, OrdersTable[[#This Row],[Customer ID]]), "New", "Repeat")</f>
        <v>New</v>
      </c>
      <c r="H344" t="s">
        <v>59</v>
      </c>
      <c r="I344" t="str">
        <f>INDEX(State!B:B,MATCH(OrdersTable[[#This Row],[State]],State!A:A,0))</f>
        <v>TN</v>
      </c>
      <c r="J344" t="str">
        <f>INDEX(State!C:C,MATCH(OrdersTable[[#This Row],[State Code]],State!B:B,0))</f>
        <v>South</v>
      </c>
      <c r="K344" t="s">
        <v>64</v>
      </c>
      <c r="L344" t="s">
        <v>23</v>
      </c>
      <c r="M344" t="s">
        <v>78</v>
      </c>
      <c r="N344" t="str">
        <f>INDEX(Products!B:B,MATCH(OrdersTable[[#This Row],[Product ID]],Products!A:A,0))</f>
        <v>Retinol Night Cream</v>
      </c>
      <c r="O344" t="str">
        <f>INDEX(Products!C:C,MATCH(OrdersTable[[#This Row],[Product ID]],Products!A:A,0))</f>
        <v>Skincare</v>
      </c>
      <c r="P344">
        <v>1</v>
      </c>
      <c r="Q344" s="5">
        <v>799</v>
      </c>
      <c r="R344" s="74">
        <v>0.1</v>
      </c>
      <c r="S344" s="75">
        <f>OrdersTable[[#This Row],[Quantity]]*OrdersTable[[#This Row],[Unit Price]]</f>
        <v>799</v>
      </c>
      <c r="T344" s="5">
        <f>OrdersTable[[#This Row],[Gross Sale]]*OrdersTable[[#This Row],[Discount_Clean2]]</f>
        <v>79.900000000000006</v>
      </c>
      <c r="U344" s="5">
        <f>OrdersTable[[#This Row],[Gross Sale]]-OrdersTable[[#This Row],[Discount Amount]]</f>
        <v>719.1</v>
      </c>
      <c r="V344" s="77">
        <f>INDEX(Products!E:E,MATCH(OrdersTable[[#This Row],[Product ID]],Products!A:A,0))</f>
        <v>216</v>
      </c>
      <c r="W344" s="77">
        <f>OrdersTable[[#This Row],[Quantity]]*OrdersTable[[#This Row],[Unit Cost]]</f>
        <v>216</v>
      </c>
      <c r="X344" s="77">
        <f>'Dropdown Lists'!$I$2*(1+OrdersTable[[#This Row],[Returned]])</f>
        <v>60</v>
      </c>
      <c r="Y344" s="76">
        <f>OrdersTable[[#This Row],[Net Revenue]]-OrdersTable[[#This Row],[COGS]]-OrdersTable[[#This Row],[Shipping Cost]]</f>
        <v>443.1</v>
      </c>
      <c r="Z344" s="78">
        <f>IFERROR(OrdersTable[[#This Row],[Profit]]/OrdersTable[[#This Row],[Net Revenue]],0)</f>
        <v>0.61618690029203171</v>
      </c>
      <c r="AA344" t="s">
        <v>18</v>
      </c>
      <c r="AB344" s="79">
        <v>45364</v>
      </c>
      <c r="AC344">
        <f>OrdersTable[[#This Row],[Delivery Date]]-OrdersTable[[#This Row],[Order Date]]</f>
        <v>2</v>
      </c>
      <c r="AD344" t="str">
        <f>IF(OrdersTable[[#This Row],[Delivery Days]]&lt;=2, "Express (≤2d)", IF(OrdersTable[[#This Row],[Delivery Days]]&lt;=4, "Standard (3-4d)", "Delayed (5d+)"))</f>
        <v>Express (≤2d)</v>
      </c>
      <c r="AE344">
        <v>4</v>
      </c>
      <c r="AF344">
        <v>0</v>
      </c>
    </row>
    <row r="345" spans="1:32" ht="15" x14ac:dyDescent="0.35">
      <c r="A345" t="s">
        <v>3853</v>
      </c>
      <c r="B345" s="1">
        <v>45363</v>
      </c>
      <c r="C345">
        <f>YEAR(OrdersTable[[#This Row],[Order Date]])</f>
        <v>2024</v>
      </c>
      <c r="D345" s="2">
        <f>DATE(YEAR(OrdersTable[[#This Row],[Order Date]]),MONTH(OrdersTable[[#This Row],[Order Date]]),1)</f>
        <v>45352</v>
      </c>
      <c r="E345">
        <f>MONTH(OrdersTable[[#This Row],[Order Date]])</f>
        <v>3</v>
      </c>
      <c r="F345" t="s">
        <v>3854</v>
      </c>
      <c r="G345" t="str">
        <f>IF(OrdersTable[[#This Row],[Order Date]]=_xlfn.MINIFS(Order_Date, Customer_ID, OrdersTable[[#This Row],[Customer ID]]), "New", "Repeat")</f>
        <v>New</v>
      </c>
      <c r="H345" t="s">
        <v>132</v>
      </c>
      <c r="I345" t="str">
        <f>INDEX(State!B:B,MATCH(OrdersTable[[#This Row],[State]],State!A:A,0))</f>
        <v>AS</v>
      </c>
      <c r="J345" t="str">
        <f>INDEX(State!C:C,MATCH(OrdersTable[[#This Row],[State Code]],State!B:B,0))</f>
        <v>East</v>
      </c>
      <c r="K345" t="s">
        <v>133</v>
      </c>
      <c r="L345" t="s">
        <v>65</v>
      </c>
      <c r="M345" t="s">
        <v>148</v>
      </c>
      <c r="N345" t="str">
        <f>INDEX(Products!B:B,MATCH(OrdersTable[[#This Row],[Product ID]],Products!A:A,0))</f>
        <v>Smartwatch Strap</v>
      </c>
      <c r="O345" t="str">
        <f>INDEX(Products!C:C,MATCH(OrdersTable[[#This Row],[Product ID]],Products!A:A,0))</f>
        <v>Electronics</v>
      </c>
      <c r="P345">
        <v>1</v>
      </c>
      <c r="Q345" s="5">
        <v>499</v>
      </c>
      <c r="R345" s="74">
        <v>0.15</v>
      </c>
      <c r="S345" s="75">
        <f>OrdersTable[[#This Row],[Quantity]]*OrdersTable[[#This Row],[Unit Price]]</f>
        <v>499</v>
      </c>
      <c r="T345" s="5">
        <f>OrdersTable[[#This Row],[Gross Sale]]*OrdersTable[[#This Row],[Discount_Clean2]]</f>
        <v>74.849999999999994</v>
      </c>
      <c r="U345" s="5">
        <f>OrdersTable[[#This Row],[Gross Sale]]-OrdersTable[[#This Row],[Discount Amount]]</f>
        <v>424.15</v>
      </c>
      <c r="V345" s="77">
        <f>INDEX(Products!E:E,MATCH(OrdersTable[[#This Row],[Product ID]],Products!A:A,0))</f>
        <v>200</v>
      </c>
      <c r="W345" s="77">
        <f>OrdersTable[[#This Row],[Quantity]]*OrdersTable[[#This Row],[Unit Cost]]</f>
        <v>200</v>
      </c>
      <c r="X345" s="77">
        <f>'Dropdown Lists'!$I$2*(1+OrdersTable[[#This Row],[Returned]])</f>
        <v>60</v>
      </c>
      <c r="Y345" s="76">
        <f>OrdersTable[[#This Row],[Net Revenue]]-OrdersTable[[#This Row],[COGS]]-OrdersTable[[#This Row],[Shipping Cost]]</f>
        <v>164.14999999999998</v>
      </c>
      <c r="Z345" s="78">
        <f>IFERROR(OrdersTable[[#This Row],[Profit]]/OrdersTable[[#This Row],[Net Revenue]],0)</f>
        <v>0.38700931274313327</v>
      </c>
      <c r="AA345" t="s">
        <v>3495</v>
      </c>
      <c r="AB345" s="79">
        <v>45370</v>
      </c>
      <c r="AC345">
        <f>OrdersTable[[#This Row],[Delivery Date]]-OrdersTable[[#This Row],[Order Date]]</f>
        <v>7</v>
      </c>
      <c r="AD345" t="str">
        <f>IF(OrdersTable[[#This Row],[Delivery Days]]&lt;=2, "Express (≤2d)", IF(OrdersTable[[#This Row],[Delivery Days]]&lt;=4, "Standard (3-4d)", "Delayed (5d+)"))</f>
        <v>Delayed (5d+)</v>
      </c>
      <c r="AE345">
        <v>3</v>
      </c>
      <c r="AF345">
        <v>0</v>
      </c>
    </row>
    <row r="346" spans="1:32" ht="15" x14ac:dyDescent="0.35">
      <c r="A346" t="s">
        <v>1469</v>
      </c>
      <c r="B346" s="1">
        <v>45363</v>
      </c>
      <c r="C346">
        <f>YEAR(OrdersTable[[#This Row],[Order Date]])</f>
        <v>2024</v>
      </c>
      <c r="D346" s="2">
        <f>DATE(YEAR(OrdersTable[[#This Row],[Order Date]]),MONTH(OrdersTable[[#This Row],[Order Date]]),1)</f>
        <v>45352</v>
      </c>
      <c r="E346">
        <f>MONTH(OrdersTable[[#This Row],[Order Date]])</f>
        <v>3</v>
      </c>
      <c r="F346" t="s">
        <v>1470</v>
      </c>
      <c r="G346" t="str">
        <f>IF(OrdersTable[[#This Row],[Order Date]]=_xlfn.MINIFS(Order_Date, Customer_ID, OrdersTable[[#This Row],[Customer ID]]), "New", "Repeat")</f>
        <v>New</v>
      </c>
      <c r="H346" t="s">
        <v>37</v>
      </c>
      <c r="I346" t="str">
        <f>INDEX(State!B:B,MATCH(OrdersTable[[#This Row],[State]],State!A:A,0))</f>
        <v>GJ</v>
      </c>
      <c r="J346" t="str">
        <f>INDEX(State!C:C,MATCH(OrdersTable[[#This Row],[State Code]],State!B:B,0))</f>
        <v>West</v>
      </c>
      <c r="K346" t="s">
        <v>247</v>
      </c>
      <c r="L346" t="s">
        <v>39</v>
      </c>
      <c r="M346" t="s">
        <v>61</v>
      </c>
      <c r="N346" t="str">
        <f>INDEX(Products!B:B,MATCH(OrdersTable[[#This Row],[Product ID]],Products!A:A,0))</f>
        <v>Multivitamin Gummies</v>
      </c>
      <c r="O346" t="str">
        <f>INDEX(Products!C:C,MATCH(OrdersTable[[#This Row],[Product ID]],Products!A:A,0))</f>
        <v>Wellness</v>
      </c>
      <c r="P346">
        <v>1</v>
      </c>
      <c r="Q346" s="5">
        <v>699</v>
      </c>
      <c r="R346" s="74">
        <v>0.2</v>
      </c>
      <c r="S346" s="75">
        <f>OrdersTable[[#This Row],[Quantity]]*OrdersTable[[#This Row],[Unit Price]]</f>
        <v>699</v>
      </c>
      <c r="T346" s="5">
        <f>OrdersTable[[#This Row],[Gross Sale]]*OrdersTable[[#This Row],[Discount_Clean2]]</f>
        <v>139.80000000000001</v>
      </c>
      <c r="U346" s="5">
        <f>OrdersTable[[#This Row],[Gross Sale]]-OrdersTable[[#This Row],[Discount Amount]]</f>
        <v>559.20000000000005</v>
      </c>
      <c r="V346" s="77">
        <f>INDEX(Products!E:E,MATCH(OrdersTable[[#This Row],[Product ID]],Products!A:A,0))</f>
        <v>238</v>
      </c>
      <c r="W346" s="77">
        <f>OrdersTable[[#This Row],[Quantity]]*OrdersTable[[#This Row],[Unit Cost]]</f>
        <v>238</v>
      </c>
      <c r="X346" s="77">
        <f>'Dropdown Lists'!$I$2*(1+OrdersTable[[#This Row],[Returned]])</f>
        <v>60</v>
      </c>
      <c r="Y346" s="76">
        <f>OrdersTable[[#This Row],[Net Revenue]]-OrdersTable[[#This Row],[COGS]]-OrdersTable[[#This Row],[Shipping Cost]]</f>
        <v>261.20000000000005</v>
      </c>
      <c r="Z346" s="78">
        <f>IFERROR(OrdersTable[[#This Row],[Profit]]/OrdersTable[[#This Row],[Net Revenue]],0)</f>
        <v>0.46709585121602293</v>
      </c>
      <c r="AA346" t="s">
        <v>18</v>
      </c>
      <c r="AB346" s="79">
        <v>45366</v>
      </c>
      <c r="AC346">
        <f>OrdersTable[[#This Row],[Delivery Date]]-OrdersTable[[#This Row],[Order Date]]</f>
        <v>3</v>
      </c>
      <c r="AD346" t="str">
        <f>IF(OrdersTable[[#This Row],[Delivery Days]]&lt;=2, "Express (≤2d)", IF(OrdersTable[[#This Row],[Delivery Days]]&lt;=4, "Standard (3-4d)", "Delayed (5d+)"))</f>
        <v>Standard (3-4d)</v>
      </c>
      <c r="AF346">
        <v>0</v>
      </c>
    </row>
    <row r="347" spans="1:32" ht="15" x14ac:dyDescent="0.35">
      <c r="A347" t="s">
        <v>5858</v>
      </c>
      <c r="B347" s="1">
        <v>45363</v>
      </c>
      <c r="C347">
        <f>YEAR(OrdersTable[[#This Row],[Order Date]])</f>
        <v>2024</v>
      </c>
      <c r="D347" s="2">
        <f>DATE(YEAR(OrdersTable[[#This Row],[Order Date]]),MONTH(OrdersTable[[#This Row],[Order Date]]),1)</f>
        <v>45352</v>
      </c>
      <c r="E347">
        <f>MONTH(OrdersTable[[#This Row],[Order Date]])</f>
        <v>3</v>
      </c>
      <c r="F347" t="s">
        <v>893</v>
      </c>
      <c r="G347" t="str">
        <f>IF(OrdersTable[[#This Row],[Order Date]]=_xlfn.MINIFS(Order_Date, Customer_ID, OrdersTable[[#This Row],[Customer ID]]), "New", "Repeat")</f>
        <v>Repeat</v>
      </c>
      <c r="H347" t="s">
        <v>95</v>
      </c>
      <c r="I347" t="str">
        <f>INDEX(State!B:B,MATCH(OrdersTable[[#This Row],[State]],State!A:A,0))</f>
        <v>TG</v>
      </c>
      <c r="J347" t="str">
        <f>INDEX(State!C:C,MATCH(OrdersTable[[#This Row],[State Code]],State!B:B,0))</f>
        <v>South</v>
      </c>
      <c r="K347" t="s">
        <v>96</v>
      </c>
      <c r="L347" t="s">
        <v>23</v>
      </c>
      <c r="M347" t="s">
        <v>148</v>
      </c>
      <c r="N347" t="str">
        <f>INDEX(Products!B:B,MATCH(OrdersTable[[#This Row],[Product ID]],Products!A:A,0))</f>
        <v>Smartwatch Strap</v>
      </c>
      <c r="O347" t="str">
        <f>INDEX(Products!C:C,MATCH(OrdersTable[[#This Row],[Product ID]],Products!A:A,0))</f>
        <v>Electronics</v>
      </c>
      <c r="P347">
        <v>2</v>
      </c>
      <c r="Q347" s="5">
        <v>499</v>
      </c>
      <c r="R347" s="74">
        <v>0.15</v>
      </c>
      <c r="S347" s="75">
        <f>OrdersTable[[#This Row],[Quantity]]*OrdersTable[[#This Row],[Unit Price]]</f>
        <v>998</v>
      </c>
      <c r="T347" s="5">
        <f>OrdersTable[[#This Row],[Gross Sale]]*OrdersTable[[#This Row],[Discount_Clean2]]</f>
        <v>149.69999999999999</v>
      </c>
      <c r="U347" s="5">
        <f>OrdersTable[[#This Row],[Gross Sale]]-OrdersTable[[#This Row],[Discount Amount]]</f>
        <v>848.3</v>
      </c>
      <c r="V347" s="77">
        <f>INDEX(Products!E:E,MATCH(OrdersTable[[#This Row],[Product ID]],Products!A:A,0))</f>
        <v>200</v>
      </c>
      <c r="W347" s="77">
        <f>OrdersTable[[#This Row],[Quantity]]*OrdersTable[[#This Row],[Unit Cost]]</f>
        <v>400</v>
      </c>
      <c r="X347" s="77">
        <f>'Dropdown Lists'!$I$2*(1+OrdersTable[[#This Row],[Returned]])</f>
        <v>60</v>
      </c>
      <c r="Y347" s="76">
        <f>OrdersTable[[#This Row],[Net Revenue]]-OrdersTable[[#This Row],[COGS]]-OrdersTable[[#This Row],[Shipping Cost]]</f>
        <v>388.29999999999995</v>
      </c>
      <c r="Z347" s="78">
        <f>IFERROR(OrdersTable[[#This Row],[Profit]]/OrdersTable[[#This Row],[Net Revenue]],0)</f>
        <v>0.45773900742661794</v>
      </c>
      <c r="AA347" t="s">
        <v>18</v>
      </c>
      <c r="AB347" s="79">
        <v>45367</v>
      </c>
      <c r="AC347">
        <f>OrdersTable[[#This Row],[Delivery Date]]-OrdersTable[[#This Row],[Order Date]]</f>
        <v>4</v>
      </c>
      <c r="AD347" t="str">
        <f>IF(OrdersTable[[#This Row],[Delivery Days]]&lt;=2, "Express (≤2d)", IF(OrdersTable[[#This Row],[Delivery Days]]&lt;=4, "Standard (3-4d)", "Delayed (5d+)"))</f>
        <v>Standard (3-4d)</v>
      </c>
      <c r="AF347">
        <v>0</v>
      </c>
    </row>
    <row r="348" spans="1:32" ht="15" x14ac:dyDescent="0.35">
      <c r="A348" t="s">
        <v>6471</v>
      </c>
      <c r="B348" s="1">
        <v>45363</v>
      </c>
      <c r="C348">
        <f>YEAR(OrdersTable[[#This Row],[Order Date]])</f>
        <v>2024</v>
      </c>
      <c r="D348" s="2">
        <f>DATE(YEAR(OrdersTable[[#This Row],[Order Date]]),MONTH(OrdersTable[[#This Row],[Order Date]]),1)</f>
        <v>45352</v>
      </c>
      <c r="E348">
        <f>MONTH(OrdersTable[[#This Row],[Order Date]])</f>
        <v>3</v>
      </c>
      <c r="F348" t="s">
        <v>2594</v>
      </c>
      <c r="G348" t="str">
        <f>IF(OrdersTable[[#This Row],[Order Date]]=_xlfn.MINIFS(Order_Date, Customer_ID, OrdersTable[[#This Row],[Customer ID]]), "New", "Repeat")</f>
        <v>New</v>
      </c>
      <c r="H348" t="s">
        <v>167</v>
      </c>
      <c r="I348" t="str">
        <f>INDEX(State!B:B,MATCH(OrdersTable[[#This Row],[State]],State!A:A,0))</f>
        <v>KA</v>
      </c>
      <c r="J348" t="str">
        <f>INDEX(State!C:C,MATCH(OrdersTable[[#This Row],[State Code]],State!B:B,0))</f>
        <v>South</v>
      </c>
      <c r="K348" t="s">
        <v>168</v>
      </c>
      <c r="L348" t="s">
        <v>39</v>
      </c>
      <c r="M348" t="s">
        <v>160</v>
      </c>
      <c r="N348" t="str">
        <f>INDEX(Products!B:B,MATCH(OrdersTable[[#This Row],[Product ID]],Products!A:A,0))</f>
        <v>Niacinamide Toner</v>
      </c>
      <c r="O348" t="str">
        <f>INDEX(Products!C:C,MATCH(OrdersTable[[#This Row],[Product ID]],Products!A:A,0))</f>
        <v>Skincare</v>
      </c>
      <c r="P348">
        <v>3</v>
      </c>
      <c r="Q348" s="5">
        <v>399</v>
      </c>
      <c r="R348" s="74">
        <v>0.25</v>
      </c>
      <c r="S348" s="75">
        <f>OrdersTable[[#This Row],[Quantity]]*OrdersTable[[#This Row],[Unit Price]]</f>
        <v>1197</v>
      </c>
      <c r="T348" s="5">
        <f>OrdersTable[[#This Row],[Gross Sale]]*OrdersTable[[#This Row],[Discount_Clean2]]</f>
        <v>299.25</v>
      </c>
      <c r="U348" s="5">
        <f>OrdersTable[[#This Row],[Gross Sale]]-OrdersTable[[#This Row],[Discount Amount]]</f>
        <v>897.75</v>
      </c>
      <c r="V348" s="77">
        <f>INDEX(Products!E:E,MATCH(OrdersTable[[#This Row],[Product ID]],Products!A:A,0))</f>
        <v>112</v>
      </c>
      <c r="W348" s="77">
        <f>OrdersTable[[#This Row],[Quantity]]*OrdersTable[[#This Row],[Unit Cost]]</f>
        <v>336</v>
      </c>
      <c r="X348" s="77">
        <f>'Dropdown Lists'!$I$2*(1+OrdersTable[[#This Row],[Returned]])</f>
        <v>60</v>
      </c>
      <c r="Y348" s="76">
        <f>OrdersTable[[#This Row],[Net Revenue]]-OrdersTable[[#This Row],[COGS]]-OrdersTable[[#This Row],[Shipping Cost]]</f>
        <v>501.75</v>
      </c>
      <c r="Z348" s="78">
        <f>IFERROR(OrdersTable[[#This Row],[Profit]]/OrdersTable[[#This Row],[Net Revenue]],0)</f>
        <v>0.55889724310776945</v>
      </c>
      <c r="AA348" t="s">
        <v>18</v>
      </c>
      <c r="AB348" s="79">
        <v>45366</v>
      </c>
      <c r="AC348">
        <f>OrdersTable[[#This Row],[Delivery Date]]-OrdersTable[[#This Row],[Order Date]]</f>
        <v>3</v>
      </c>
      <c r="AD348" t="str">
        <f>IF(OrdersTable[[#This Row],[Delivery Days]]&lt;=2, "Express (≤2d)", IF(OrdersTable[[#This Row],[Delivery Days]]&lt;=4, "Standard (3-4d)", "Delayed (5d+)"))</f>
        <v>Standard (3-4d)</v>
      </c>
      <c r="AF348">
        <v>0</v>
      </c>
    </row>
    <row r="349" spans="1:32" ht="15" x14ac:dyDescent="0.35">
      <c r="A349" t="s">
        <v>4751</v>
      </c>
      <c r="B349" s="1">
        <v>45364</v>
      </c>
      <c r="C349">
        <f>YEAR(OrdersTable[[#This Row],[Order Date]])</f>
        <v>2024</v>
      </c>
      <c r="D349" s="2">
        <f>DATE(YEAR(OrdersTable[[#This Row],[Order Date]]),MONTH(OrdersTable[[#This Row],[Order Date]]),1)</f>
        <v>45352</v>
      </c>
      <c r="E349">
        <f>MONTH(OrdersTable[[#This Row],[Order Date]])</f>
        <v>3</v>
      </c>
      <c r="F349" t="s">
        <v>2129</v>
      </c>
      <c r="G349" t="str">
        <f>IF(OrdersTable[[#This Row],[Order Date]]=_xlfn.MINIFS(Order_Date, Customer_ID, OrdersTable[[#This Row],[Customer ID]]), "New", "Repeat")</f>
        <v>New</v>
      </c>
      <c r="H349" t="s">
        <v>21</v>
      </c>
      <c r="I349" t="str">
        <f>INDEX(State!B:B,MATCH(OrdersTable[[#This Row],[State]],State!A:A,0))</f>
        <v>PB</v>
      </c>
      <c r="J349" t="str">
        <f>INDEX(State!C:C,MATCH(OrdersTable[[#This Row],[State Code]],State!B:B,0))</f>
        <v>North</v>
      </c>
      <c r="K349" t="s">
        <v>22</v>
      </c>
      <c r="L349" t="s">
        <v>65</v>
      </c>
      <c r="M349" t="s">
        <v>24</v>
      </c>
      <c r="N349" t="str">
        <f>INDEX(Products!B:B,MATCH(OrdersTable[[#This Row],[Product ID]],Products!A:A,0))</f>
        <v>Scented Candle Set</v>
      </c>
      <c r="O349" t="str">
        <f>INDEX(Products!C:C,MATCH(OrdersTable[[#This Row],[Product ID]],Products!A:A,0))</f>
        <v>Home &amp; Kitchen</v>
      </c>
      <c r="P349">
        <v>2</v>
      </c>
      <c r="Q349" s="5">
        <v>699</v>
      </c>
      <c r="R349" s="74">
        <v>0.2</v>
      </c>
      <c r="S349" s="75">
        <f>OrdersTable[[#This Row],[Quantity]]*OrdersTable[[#This Row],[Unit Price]]</f>
        <v>1398</v>
      </c>
      <c r="T349" s="5">
        <f>OrdersTable[[#This Row],[Gross Sale]]*OrdersTable[[#This Row],[Discount_Clean2]]</f>
        <v>279.60000000000002</v>
      </c>
      <c r="U349" s="5">
        <f>OrdersTable[[#This Row],[Gross Sale]]-OrdersTable[[#This Row],[Discount Amount]]</f>
        <v>1118.4000000000001</v>
      </c>
      <c r="V349" s="77">
        <f>INDEX(Products!E:E,MATCH(OrdersTable[[#This Row],[Product ID]],Products!A:A,0))</f>
        <v>245</v>
      </c>
      <c r="W349" s="77">
        <f>OrdersTable[[#This Row],[Quantity]]*OrdersTable[[#This Row],[Unit Cost]]</f>
        <v>490</v>
      </c>
      <c r="X349" s="77">
        <f>'Dropdown Lists'!$I$2*(1+OrdersTable[[#This Row],[Returned]])</f>
        <v>60</v>
      </c>
      <c r="Y349" s="76">
        <f>OrdersTable[[#This Row],[Net Revenue]]-OrdersTable[[#This Row],[COGS]]-OrdersTable[[#This Row],[Shipping Cost]]</f>
        <v>568.40000000000009</v>
      </c>
      <c r="Z349" s="78">
        <f>IFERROR(OrdersTable[[#This Row],[Profit]]/OrdersTable[[#This Row],[Net Revenue]],0)</f>
        <v>0.50822603719599435</v>
      </c>
      <c r="AA349" t="s">
        <v>4450</v>
      </c>
      <c r="AB349" s="79">
        <v>45367</v>
      </c>
      <c r="AC349">
        <f>OrdersTable[[#This Row],[Delivery Date]]-OrdersTable[[#This Row],[Order Date]]</f>
        <v>3</v>
      </c>
      <c r="AD349" t="str">
        <f>IF(OrdersTable[[#This Row],[Delivery Days]]&lt;=2, "Express (≤2d)", IF(OrdersTable[[#This Row],[Delivery Days]]&lt;=4, "Standard (3-4d)", "Delayed (5d+)"))</f>
        <v>Standard (3-4d)</v>
      </c>
      <c r="AE349">
        <v>4</v>
      </c>
      <c r="AF349">
        <v>0</v>
      </c>
    </row>
    <row r="350" spans="1:32" ht="15" x14ac:dyDescent="0.35">
      <c r="A350" t="s">
        <v>2230</v>
      </c>
      <c r="B350" s="1">
        <v>45364</v>
      </c>
      <c r="C350">
        <f>YEAR(OrdersTable[[#This Row],[Order Date]])</f>
        <v>2024</v>
      </c>
      <c r="D350" s="2">
        <f>DATE(YEAR(OrdersTable[[#This Row],[Order Date]]),MONTH(OrdersTable[[#This Row],[Order Date]]),1)</f>
        <v>45352</v>
      </c>
      <c r="E350">
        <f>MONTH(OrdersTable[[#This Row],[Order Date]])</f>
        <v>3</v>
      </c>
      <c r="F350" t="s">
        <v>2231</v>
      </c>
      <c r="G350" t="str">
        <f>IF(OrdersTable[[#This Row],[Order Date]]=_xlfn.MINIFS(Order_Date, Customer_ID, OrdersTable[[#This Row],[Customer ID]]), "New", "Repeat")</f>
        <v>New</v>
      </c>
      <c r="H350" t="s">
        <v>158</v>
      </c>
      <c r="I350" t="str">
        <f>INDEX(State!B:B,MATCH(OrdersTable[[#This Row],[State]],State!A:A,0))</f>
        <v>HP</v>
      </c>
      <c r="J350" t="str">
        <f>INDEX(State!C:C,MATCH(OrdersTable[[#This Row],[State Code]],State!B:B,0))</f>
        <v>North</v>
      </c>
      <c r="K350" t="s">
        <v>159</v>
      </c>
      <c r="L350" t="s">
        <v>65</v>
      </c>
      <c r="M350" t="s">
        <v>56</v>
      </c>
      <c r="N350" t="str">
        <f>INDEX(Products!B:B,MATCH(OrdersTable[[#This Row],[Product ID]],Products!A:A,0))</f>
        <v>Vitamin C Face Serum</v>
      </c>
      <c r="O350" t="str">
        <f>INDEX(Products!C:C,MATCH(OrdersTable[[#This Row],[Product ID]],Products!A:A,0))</f>
        <v>Skincare</v>
      </c>
      <c r="P350">
        <v>1</v>
      </c>
      <c r="Q350" s="5">
        <v>599</v>
      </c>
      <c r="R350" s="74">
        <v>0.15</v>
      </c>
      <c r="S350" s="75">
        <f>OrdersTable[[#This Row],[Quantity]]*OrdersTable[[#This Row],[Unit Price]]</f>
        <v>599</v>
      </c>
      <c r="T350" s="5">
        <f>OrdersTable[[#This Row],[Gross Sale]]*OrdersTable[[#This Row],[Discount_Clean2]]</f>
        <v>89.85</v>
      </c>
      <c r="U350" s="5">
        <f>OrdersTable[[#This Row],[Gross Sale]]-OrdersTable[[#This Row],[Discount Amount]]</f>
        <v>509.15</v>
      </c>
      <c r="V350" s="77">
        <f>INDEX(Products!E:E,MATCH(OrdersTable[[#This Row],[Product ID]],Products!A:A,0))</f>
        <v>180</v>
      </c>
      <c r="W350" s="77">
        <f>OrdersTable[[#This Row],[Quantity]]*OrdersTable[[#This Row],[Unit Cost]]</f>
        <v>180</v>
      </c>
      <c r="X350" s="77">
        <f>'Dropdown Lists'!$I$2*(1+OrdersTable[[#This Row],[Returned]])</f>
        <v>60</v>
      </c>
      <c r="Y350" s="76">
        <f>OrdersTable[[#This Row],[Net Revenue]]-OrdersTable[[#This Row],[COGS]]-OrdersTable[[#This Row],[Shipping Cost]]</f>
        <v>269.14999999999998</v>
      </c>
      <c r="Z350" s="78">
        <f>IFERROR(OrdersTable[[#This Row],[Profit]]/OrdersTable[[#This Row],[Net Revenue]],0)</f>
        <v>0.52862614160856325</v>
      </c>
      <c r="AA350" t="s">
        <v>18</v>
      </c>
      <c r="AB350" s="79">
        <v>45368</v>
      </c>
      <c r="AC350">
        <f>OrdersTable[[#This Row],[Delivery Date]]-OrdersTable[[#This Row],[Order Date]]</f>
        <v>4</v>
      </c>
      <c r="AD350" t="str">
        <f>IF(OrdersTable[[#This Row],[Delivery Days]]&lt;=2, "Express (≤2d)", IF(OrdersTable[[#This Row],[Delivery Days]]&lt;=4, "Standard (3-4d)", "Delayed (5d+)"))</f>
        <v>Standard (3-4d)</v>
      </c>
      <c r="AE350">
        <v>5</v>
      </c>
      <c r="AF350">
        <v>0</v>
      </c>
    </row>
    <row r="351" spans="1:32" ht="15" x14ac:dyDescent="0.35">
      <c r="A351" t="s">
        <v>2547</v>
      </c>
      <c r="B351" s="1">
        <v>45364</v>
      </c>
      <c r="C351">
        <f>YEAR(OrdersTable[[#This Row],[Order Date]])</f>
        <v>2024</v>
      </c>
      <c r="D351" s="2">
        <f>DATE(YEAR(OrdersTable[[#This Row],[Order Date]]),MONTH(OrdersTable[[#This Row],[Order Date]]),1)</f>
        <v>45352</v>
      </c>
      <c r="E351">
        <f>MONTH(OrdersTable[[#This Row],[Order Date]])</f>
        <v>3</v>
      </c>
      <c r="F351" t="s">
        <v>2548</v>
      </c>
      <c r="G351" t="str">
        <f>IF(OrdersTable[[#This Row],[Order Date]]=_xlfn.MINIFS(Order_Date, Customer_ID, OrdersTable[[#This Row],[Customer ID]]), "New", "Repeat")</f>
        <v>New</v>
      </c>
      <c r="H351" t="s">
        <v>48</v>
      </c>
      <c r="I351" t="str">
        <f>INDEX(State!B:B,MATCH(OrdersTable[[#This Row],[State]],State!A:A,0))</f>
        <v>HR</v>
      </c>
      <c r="J351" t="str">
        <f>INDEX(State!C:C,MATCH(OrdersTable[[#This Row],[State Code]],State!B:B,0))</f>
        <v>North</v>
      </c>
      <c r="K351" t="s">
        <v>49</v>
      </c>
      <c r="L351" t="s">
        <v>65</v>
      </c>
      <c r="M351" t="s">
        <v>176</v>
      </c>
      <c r="N351" t="str">
        <f>INDEX(Products!B:B,MATCH(OrdersTable[[#This Row],[Product ID]],Products!A:A,0))</f>
        <v>Denim Jacket</v>
      </c>
      <c r="O351" t="str">
        <f>INDEX(Products!C:C,MATCH(OrdersTable[[#This Row],[Product ID]],Products!A:A,0))</f>
        <v>Apparel</v>
      </c>
      <c r="P351">
        <v>1</v>
      </c>
      <c r="Q351" s="5">
        <v>2499</v>
      </c>
      <c r="R351" s="74">
        <v>0.05</v>
      </c>
      <c r="S351" s="75">
        <f>OrdersTable[[#This Row],[Quantity]]*OrdersTable[[#This Row],[Unit Price]]</f>
        <v>2499</v>
      </c>
      <c r="T351" s="5">
        <f>OrdersTable[[#This Row],[Gross Sale]]*OrdersTable[[#This Row],[Discount_Clean2]]</f>
        <v>124.95</v>
      </c>
      <c r="U351" s="5">
        <f>OrdersTable[[#This Row],[Gross Sale]]-OrdersTable[[#This Row],[Discount Amount]]</f>
        <v>2374.0500000000002</v>
      </c>
      <c r="V351" s="77">
        <f>INDEX(Products!E:E,MATCH(OrdersTable[[#This Row],[Product ID]],Products!A:A,0))</f>
        <v>1125</v>
      </c>
      <c r="W351" s="77">
        <f>OrdersTable[[#This Row],[Quantity]]*OrdersTable[[#This Row],[Unit Cost]]</f>
        <v>1125</v>
      </c>
      <c r="X351" s="77">
        <f>'Dropdown Lists'!$I$2*(1+OrdersTable[[#This Row],[Returned]])</f>
        <v>60</v>
      </c>
      <c r="Y351" s="76">
        <f>OrdersTable[[#This Row],[Net Revenue]]-OrdersTable[[#This Row],[COGS]]-OrdersTable[[#This Row],[Shipping Cost]]</f>
        <v>1189.0500000000002</v>
      </c>
      <c r="Z351" s="78">
        <f>IFERROR(OrdersTable[[#This Row],[Profit]]/OrdersTable[[#This Row],[Net Revenue]],0)</f>
        <v>0.50085297276805463</v>
      </c>
      <c r="AA351" t="s">
        <v>2522</v>
      </c>
      <c r="AB351" s="79">
        <v>45365</v>
      </c>
      <c r="AC351">
        <f>OrdersTable[[#This Row],[Delivery Date]]-OrdersTable[[#This Row],[Order Date]]</f>
        <v>1</v>
      </c>
      <c r="AD351" t="str">
        <f>IF(OrdersTable[[#This Row],[Delivery Days]]&lt;=2, "Express (≤2d)", IF(OrdersTable[[#This Row],[Delivery Days]]&lt;=4, "Standard (3-4d)", "Delayed (5d+)"))</f>
        <v>Express (≤2d)</v>
      </c>
      <c r="AE351">
        <v>5</v>
      </c>
      <c r="AF351">
        <v>0</v>
      </c>
    </row>
    <row r="352" spans="1:32" ht="15" x14ac:dyDescent="0.35">
      <c r="A352" t="s">
        <v>3958</v>
      </c>
      <c r="B352" s="1">
        <v>45364</v>
      </c>
      <c r="C352">
        <f>YEAR(OrdersTable[[#This Row],[Order Date]])</f>
        <v>2024</v>
      </c>
      <c r="D352" s="2">
        <f>DATE(YEAR(OrdersTable[[#This Row],[Order Date]]),MONTH(OrdersTable[[#This Row],[Order Date]]),1)</f>
        <v>45352</v>
      </c>
      <c r="E352">
        <f>MONTH(OrdersTable[[#This Row],[Order Date]])</f>
        <v>3</v>
      </c>
      <c r="F352" t="s">
        <v>3256</v>
      </c>
      <c r="G352" t="str">
        <f>IF(OrdersTable[[#This Row],[Order Date]]=_xlfn.MINIFS(Order_Date, Customer_ID, OrdersTable[[#This Row],[Customer ID]]), "New", "Repeat")</f>
        <v>New</v>
      </c>
      <c r="H352" t="s">
        <v>275</v>
      </c>
      <c r="I352" t="str">
        <f>INDEX(State!B:B,MATCH(OrdersTable[[#This Row],[State]],State!A:A,0))</f>
        <v>AP</v>
      </c>
      <c r="J352" t="str">
        <f>INDEX(State!C:C,MATCH(OrdersTable[[#This Row],[State Code]],State!B:B,0))</f>
        <v>South</v>
      </c>
      <c r="K352" t="s">
        <v>276</v>
      </c>
      <c r="L352" t="s">
        <v>50</v>
      </c>
      <c r="M352" t="s">
        <v>45</v>
      </c>
      <c r="N352" t="str">
        <f>INDEX(Products!B:B,MATCH(OrdersTable[[#This Row],[Product ID]],Products!A:A,0))</f>
        <v>Argan Shampoo</v>
      </c>
      <c r="O352" t="str">
        <f>INDEX(Products!C:C,MATCH(OrdersTable[[#This Row],[Product ID]],Products!A:A,0))</f>
        <v>Haircare</v>
      </c>
      <c r="P352">
        <v>1</v>
      </c>
      <c r="Q352" s="5">
        <v>449</v>
      </c>
      <c r="R352" s="74">
        <v>0.15</v>
      </c>
      <c r="S352" s="75">
        <f>OrdersTable[[#This Row],[Quantity]]*OrdersTable[[#This Row],[Unit Price]]</f>
        <v>449</v>
      </c>
      <c r="T352" s="5">
        <f>OrdersTable[[#This Row],[Gross Sale]]*OrdersTable[[#This Row],[Discount_Clean2]]</f>
        <v>67.349999999999994</v>
      </c>
      <c r="U352" s="5">
        <f>OrdersTable[[#This Row],[Gross Sale]]-OrdersTable[[#This Row],[Discount Amount]]</f>
        <v>381.65</v>
      </c>
      <c r="V352" s="77">
        <f>INDEX(Products!E:E,MATCH(OrdersTable[[#This Row],[Product ID]],Products!A:A,0))</f>
        <v>148</v>
      </c>
      <c r="W352" s="77">
        <f>OrdersTable[[#This Row],[Quantity]]*OrdersTable[[#This Row],[Unit Cost]]</f>
        <v>148</v>
      </c>
      <c r="X352" s="77">
        <f>'Dropdown Lists'!$I$2*(1+OrdersTable[[#This Row],[Returned]])</f>
        <v>60</v>
      </c>
      <c r="Y352" s="76">
        <f>OrdersTable[[#This Row],[Net Revenue]]-OrdersTable[[#This Row],[COGS]]-OrdersTable[[#This Row],[Shipping Cost]]</f>
        <v>173.64999999999998</v>
      </c>
      <c r="Z352" s="78">
        <f>IFERROR(OrdersTable[[#This Row],[Profit]]/OrdersTable[[#This Row],[Net Revenue]],0)</f>
        <v>0.45499803484868334</v>
      </c>
      <c r="AA352" t="s">
        <v>3495</v>
      </c>
      <c r="AB352" s="79">
        <v>45367</v>
      </c>
      <c r="AC352">
        <f>OrdersTable[[#This Row],[Delivery Date]]-OrdersTable[[#This Row],[Order Date]]</f>
        <v>3</v>
      </c>
      <c r="AD352" t="str">
        <f>IF(OrdersTable[[#This Row],[Delivery Days]]&lt;=2, "Express (≤2d)", IF(OrdersTable[[#This Row],[Delivery Days]]&lt;=4, "Standard (3-4d)", "Delayed (5d+)"))</f>
        <v>Standard (3-4d)</v>
      </c>
      <c r="AE352">
        <v>5</v>
      </c>
      <c r="AF352">
        <v>0</v>
      </c>
    </row>
    <row r="353" spans="1:32" ht="15" x14ac:dyDescent="0.35">
      <c r="A353" t="s">
        <v>1635</v>
      </c>
      <c r="B353" s="1">
        <v>45365</v>
      </c>
      <c r="C353">
        <f>YEAR(OrdersTable[[#This Row],[Order Date]])</f>
        <v>2024</v>
      </c>
      <c r="D353" s="2">
        <f>DATE(YEAR(OrdersTable[[#This Row],[Order Date]]),MONTH(OrdersTable[[#This Row],[Order Date]]),1)</f>
        <v>45352</v>
      </c>
      <c r="E353">
        <f>MONTH(OrdersTable[[#This Row],[Order Date]])</f>
        <v>3</v>
      </c>
      <c r="F353" t="s">
        <v>1636</v>
      </c>
      <c r="G353" t="str">
        <f>IF(OrdersTable[[#This Row],[Order Date]]=_xlfn.MINIFS(Order_Date, Customer_ID, OrdersTable[[#This Row],[Customer ID]]), "New", "Repeat")</f>
        <v>New</v>
      </c>
      <c r="H353" t="s">
        <v>316</v>
      </c>
      <c r="I353" t="str">
        <f>INDEX(State!B:B,MATCH(OrdersTable[[#This Row],[State]],State!A:A,0))</f>
        <v>KL</v>
      </c>
      <c r="J353" t="str">
        <f>INDEX(State!C:C,MATCH(OrdersTable[[#This Row],[State Code]],State!B:B,0))</f>
        <v>South</v>
      </c>
      <c r="K353" t="s">
        <v>317</v>
      </c>
      <c r="L353" t="s">
        <v>65</v>
      </c>
      <c r="M353" t="s">
        <v>56</v>
      </c>
      <c r="N353" t="str">
        <f>INDEX(Products!B:B,MATCH(OrdersTable[[#This Row],[Product ID]],Products!A:A,0))</f>
        <v>Vitamin C Face Serum</v>
      </c>
      <c r="O353" t="str">
        <f>INDEX(Products!C:C,MATCH(OrdersTable[[#This Row],[Product ID]],Products!A:A,0))</f>
        <v>Skincare</v>
      </c>
      <c r="P353">
        <v>1</v>
      </c>
      <c r="Q353" s="5">
        <v>599</v>
      </c>
      <c r="R353" s="74">
        <v>0.25</v>
      </c>
      <c r="S353" s="75">
        <f>OrdersTable[[#This Row],[Quantity]]*OrdersTable[[#This Row],[Unit Price]]</f>
        <v>599</v>
      </c>
      <c r="T353" s="5">
        <f>OrdersTable[[#This Row],[Gross Sale]]*OrdersTable[[#This Row],[Discount_Clean2]]</f>
        <v>149.75</v>
      </c>
      <c r="U353" s="5">
        <f>OrdersTable[[#This Row],[Gross Sale]]-OrdersTable[[#This Row],[Discount Amount]]</f>
        <v>449.25</v>
      </c>
      <c r="V353" s="77">
        <f>INDEX(Products!E:E,MATCH(OrdersTable[[#This Row],[Product ID]],Products!A:A,0))</f>
        <v>180</v>
      </c>
      <c r="W353" s="77">
        <f>OrdersTable[[#This Row],[Quantity]]*OrdersTable[[#This Row],[Unit Cost]]</f>
        <v>180</v>
      </c>
      <c r="X353" s="77">
        <f>'Dropdown Lists'!$I$2*(1+OrdersTable[[#This Row],[Returned]])</f>
        <v>60</v>
      </c>
      <c r="Y353" s="76">
        <f>OrdersTable[[#This Row],[Net Revenue]]-OrdersTable[[#This Row],[COGS]]-OrdersTable[[#This Row],[Shipping Cost]]</f>
        <v>209.25</v>
      </c>
      <c r="Z353" s="78">
        <f>IFERROR(OrdersTable[[#This Row],[Profit]]/OrdersTable[[#This Row],[Net Revenue]],0)</f>
        <v>0.46577629382303842</v>
      </c>
      <c r="AA353" t="s">
        <v>18</v>
      </c>
      <c r="AB353" s="79">
        <v>45368</v>
      </c>
      <c r="AC353">
        <f>OrdersTable[[#This Row],[Delivery Date]]-OrdersTable[[#This Row],[Order Date]]</f>
        <v>3</v>
      </c>
      <c r="AD353" t="str">
        <f>IF(OrdersTable[[#This Row],[Delivery Days]]&lt;=2, "Express (≤2d)", IF(OrdersTable[[#This Row],[Delivery Days]]&lt;=4, "Standard (3-4d)", "Delayed (5d+)"))</f>
        <v>Standard (3-4d)</v>
      </c>
      <c r="AF353">
        <v>0</v>
      </c>
    </row>
    <row r="354" spans="1:32" ht="15" x14ac:dyDescent="0.35">
      <c r="A354" t="s">
        <v>5076</v>
      </c>
      <c r="B354" s="1">
        <v>45366</v>
      </c>
      <c r="C354">
        <f>YEAR(OrdersTable[[#This Row],[Order Date]])</f>
        <v>2024</v>
      </c>
      <c r="D354" s="2">
        <f>DATE(YEAR(OrdersTable[[#This Row],[Order Date]]),MONTH(OrdersTable[[#This Row],[Order Date]]),1)</f>
        <v>45352</v>
      </c>
      <c r="E354">
        <f>MONTH(OrdersTable[[#This Row],[Order Date]])</f>
        <v>3</v>
      </c>
      <c r="F354" t="s">
        <v>4963</v>
      </c>
      <c r="G354" t="str">
        <f>IF(OrdersTable[[#This Row],[Order Date]]=_xlfn.MINIFS(Order_Date, Customer_ID, OrdersTable[[#This Row],[Customer ID]]), "New", "Repeat")</f>
        <v>New</v>
      </c>
      <c r="H354" t="s">
        <v>54</v>
      </c>
      <c r="I354" t="str">
        <f>INDEX(State!B:B,MATCH(OrdersTable[[#This Row],[State]],State!A:A,0))</f>
        <v>RJ</v>
      </c>
      <c r="J354" t="str">
        <f>INDEX(State!C:C,MATCH(OrdersTable[[#This Row],[State Code]],State!B:B,0))</f>
        <v>North</v>
      </c>
      <c r="K354" t="s">
        <v>227</v>
      </c>
      <c r="L354" t="s">
        <v>65</v>
      </c>
      <c r="M354" t="s">
        <v>576</v>
      </c>
      <c r="N354" t="str">
        <f>INDEX(Products!B:B,MATCH(OrdersTable[[#This Row],[Product ID]],Products!A:A,0))</f>
        <v>Printed Saree</v>
      </c>
      <c r="O354" t="str">
        <f>INDEX(Products!C:C,MATCH(OrdersTable[[#This Row],[Product ID]],Products!A:A,0))</f>
        <v>Apparel</v>
      </c>
      <c r="P354">
        <v>2</v>
      </c>
      <c r="Q354" s="5">
        <v>1999</v>
      </c>
      <c r="R354" s="74">
        <v>0.05</v>
      </c>
      <c r="S354" s="75">
        <f>OrdersTable[[#This Row],[Quantity]]*OrdersTable[[#This Row],[Unit Price]]</f>
        <v>3998</v>
      </c>
      <c r="T354" s="5">
        <f>OrdersTable[[#This Row],[Gross Sale]]*OrdersTable[[#This Row],[Discount_Clean2]]</f>
        <v>199.9</v>
      </c>
      <c r="U354" s="5">
        <f>OrdersTable[[#This Row],[Gross Sale]]-OrdersTable[[#This Row],[Discount Amount]]</f>
        <v>3798.1</v>
      </c>
      <c r="V354" s="77">
        <f>INDEX(Products!E:E,MATCH(OrdersTable[[#This Row],[Product ID]],Products!A:A,0))</f>
        <v>880</v>
      </c>
      <c r="W354" s="77">
        <f>OrdersTable[[#This Row],[Quantity]]*OrdersTable[[#This Row],[Unit Cost]]</f>
        <v>1760</v>
      </c>
      <c r="X354" s="77">
        <f>'Dropdown Lists'!$I$2*(1+OrdersTable[[#This Row],[Returned]])</f>
        <v>120</v>
      </c>
      <c r="Y354" s="76">
        <f>OrdersTable[[#This Row],[Net Revenue]]-OrdersTable[[#This Row],[COGS]]-OrdersTable[[#This Row],[Shipping Cost]]</f>
        <v>1918.1</v>
      </c>
      <c r="Z354" s="78">
        <f>IFERROR(OrdersTable[[#This Row],[Profit]]/OrdersTable[[#This Row],[Net Revenue]],0)</f>
        <v>0.50501566572760059</v>
      </c>
      <c r="AA354" t="s">
        <v>3495</v>
      </c>
      <c r="AB354" s="79">
        <v>45371</v>
      </c>
      <c r="AC354">
        <f>OrdersTable[[#This Row],[Delivery Date]]-OrdersTable[[#This Row],[Order Date]]</f>
        <v>5</v>
      </c>
      <c r="AD354" t="str">
        <f>IF(OrdersTable[[#This Row],[Delivery Days]]&lt;=2, "Express (≤2d)", IF(OrdersTable[[#This Row],[Delivery Days]]&lt;=4, "Standard (3-4d)", "Delayed (5d+)"))</f>
        <v>Delayed (5d+)</v>
      </c>
      <c r="AE354">
        <v>4</v>
      </c>
      <c r="AF354">
        <v>1</v>
      </c>
    </row>
    <row r="355" spans="1:32" ht="15" x14ac:dyDescent="0.35">
      <c r="A355" t="s">
        <v>6260</v>
      </c>
      <c r="B355" s="1">
        <v>45366</v>
      </c>
      <c r="C355">
        <f>YEAR(OrdersTable[[#This Row],[Order Date]])</f>
        <v>2024</v>
      </c>
      <c r="D355" s="2">
        <f>DATE(YEAR(OrdersTable[[#This Row],[Order Date]]),MONTH(OrdersTable[[#This Row],[Order Date]]),1)</f>
        <v>45352</v>
      </c>
      <c r="E355">
        <f>MONTH(OrdersTable[[#This Row],[Order Date]])</f>
        <v>3</v>
      </c>
      <c r="F355" t="s">
        <v>6261</v>
      </c>
      <c r="G355" t="str">
        <f>IF(OrdersTable[[#This Row],[Order Date]]=_xlfn.MINIFS(Order_Date, Customer_ID, OrdersTable[[#This Row],[Customer ID]]), "New", "Repeat")</f>
        <v>New</v>
      </c>
      <c r="H355" t="s">
        <v>123</v>
      </c>
      <c r="I355" t="str">
        <f>INDEX(State!B:B,MATCH(OrdersTable[[#This Row],[State]],State!A:A,0))</f>
        <v>JH</v>
      </c>
      <c r="J355" t="str">
        <f>INDEX(State!C:C,MATCH(OrdersTable[[#This Row],[State Code]],State!B:B,0))</f>
        <v>East</v>
      </c>
      <c r="K355" t="s">
        <v>124</v>
      </c>
      <c r="L355" t="s">
        <v>65</v>
      </c>
      <c r="M355" t="s">
        <v>34</v>
      </c>
      <c r="N355" t="str">
        <f>INDEX(Products!B:B,MATCH(OrdersTable[[#This Row],[Product ID]],Products!A:A,0))</f>
        <v>Flip Flops</v>
      </c>
      <c r="O355" t="str">
        <f>INDEX(Products!C:C,MATCH(OrdersTable[[#This Row],[Product ID]],Products!A:A,0))</f>
        <v>Footwear</v>
      </c>
      <c r="P355">
        <v>2</v>
      </c>
      <c r="Q355" s="5">
        <v>399</v>
      </c>
      <c r="R355" s="74">
        <v>0.1</v>
      </c>
      <c r="S355" s="75">
        <f>OrdersTable[[#This Row],[Quantity]]*OrdersTable[[#This Row],[Unit Price]]</f>
        <v>798</v>
      </c>
      <c r="T355" s="5">
        <f>OrdersTable[[#This Row],[Gross Sale]]*OrdersTable[[#This Row],[Discount_Clean2]]</f>
        <v>79.800000000000011</v>
      </c>
      <c r="U355" s="5">
        <f>OrdersTable[[#This Row],[Gross Sale]]-OrdersTable[[#This Row],[Discount Amount]]</f>
        <v>718.2</v>
      </c>
      <c r="V355" s="77">
        <f>INDEX(Products!E:E,MATCH(OrdersTable[[#This Row],[Product ID]],Products!A:A,0))</f>
        <v>152</v>
      </c>
      <c r="W355" s="77">
        <f>OrdersTable[[#This Row],[Quantity]]*OrdersTable[[#This Row],[Unit Cost]]</f>
        <v>304</v>
      </c>
      <c r="X355" s="77">
        <f>'Dropdown Lists'!$I$2*(1+OrdersTable[[#This Row],[Returned]])</f>
        <v>120</v>
      </c>
      <c r="Y355" s="76">
        <f>OrdersTable[[#This Row],[Net Revenue]]-OrdersTable[[#This Row],[COGS]]-OrdersTable[[#This Row],[Shipping Cost]]</f>
        <v>294.20000000000005</v>
      </c>
      <c r="Z355" s="78">
        <f>IFERROR(OrdersTable[[#This Row],[Profit]]/OrdersTable[[#This Row],[Net Revenue]],0)</f>
        <v>0.40963519910888335</v>
      </c>
      <c r="AA355" t="s">
        <v>18</v>
      </c>
      <c r="AB355" s="79">
        <v>45370</v>
      </c>
      <c r="AC355">
        <f>OrdersTable[[#This Row],[Delivery Date]]-OrdersTable[[#This Row],[Order Date]]</f>
        <v>4</v>
      </c>
      <c r="AD355" t="str">
        <f>IF(OrdersTable[[#This Row],[Delivery Days]]&lt;=2, "Express (≤2d)", IF(OrdersTable[[#This Row],[Delivery Days]]&lt;=4, "Standard (3-4d)", "Delayed (5d+)"))</f>
        <v>Standard (3-4d)</v>
      </c>
      <c r="AE355">
        <v>4</v>
      </c>
      <c r="AF355">
        <v>1</v>
      </c>
    </row>
    <row r="356" spans="1:32" ht="15" x14ac:dyDescent="0.35">
      <c r="A356" t="s">
        <v>5306</v>
      </c>
      <c r="B356" s="1">
        <v>45366</v>
      </c>
      <c r="C356">
        <f>YEAR(OrdersTable[[#This Row],[Order Date]])</f>
        <v>2024</v>
      </c>
      <c r="D356" s="2">
        <f>DATE(YEAR(OrdersTable[[#This Row],[Order Date]]),MONTH(OrdersTable[[#This Row],[Order Date]]),1)</f>
        <v>45352</v>
      </c>
      <c r="E356">
        <f>MONTH(OrdersTable[[#This Row],[Order Date]])</f>
        <v>3</v>
      </c>
      <c r="F356" t="s">
        <v>5307</v>
      </c>
      <c r="G356" t="str">
        <f>IF(OrdersTable[[#This Row],[Order Date]]=_xlfn.MINIFS(Order_Date, Customer_ID, OrdersTable[[#This Row],[Customer ID]]), "New", "Repeat")</f>
        <v>New</v>
      </c>
      <c r="H356" t="s">
        <v>95</v>
      </c>
      <c r="I356" t="str">
        <f>INDEX(State!B:B,MATCH(OrdersTable[[#This Row],[State]],State!A:A,0))</f>
        <v>TG</v>
      </c>
      <c r="J356" t="str">
        <f>INDEX(State!C:C,MATCH(OrdersTable[[#This Row],[State Code]],State!B:B,0))</f>
        <v>South</v>
      </c>
      <c r="K356" t="s">
        <v>96</v>
      </c>
      <c r="L356" t="s">
        <v>65</v>
      </c>
      <c r="M356" t="s">
        <v>40</v>
      </c>
      <c r="N356" t="str">
        <f>INDEX(Products!B:B,MATCH(OrdersTable[[#This Row],[Product ID]],Products!A:A,0))</f>
        <v>Ashwagandha Capsules</v>
      </c>
      <c r="O356" t="str">
        <f>INDEX(Products!C:C,MATCH(OrdersTable[[#This Row],[Product ID]],Products!A:A,0))</f>
        <v>Wellness</v>
      </c>
      <c r="P356">
        <v>2</v>
      </c>
      <c r="Q356" s="5">
        <v>499</v>
      </c>
      <c r="R356" s="74">
        <v>0.1</v>
      </c>
      <c r="S356" s="75">
        <f>OrdersTable[[#This Row],[Quantity]]*OrdersTable[[#This Row],[Unit Price]]</f>
        <v>998</v>
      </c>
      <c r="T356" s="5">
        <f>OrdersTable[[#This Row],[Gross Sale]]*OrdersTable[[#This Row],[Discount_Clean2]]</f>
        <v>99.800000000000011</v>
      </c>
      <c r="U356" s="5">
        <f>OrdersTable[[#This Row],[Gross Sale]]-OrdersTable[[#This Row],[Discount Amount]]</f>
        <v>898.2</v>
      </c>
      <c r="V356" s="77">
        <f>INDEX(Products!E:E,MATCH(OrdersTable[[#This Row],[Product ID]],Products!A:A,0))</f>
        <v>150</v>
      </c>
      <c r="W356" s="77">
        <f>OrdersTable[[#This Row],[Quantity]]*OrdersTable[[#This Row],[Unit Cost]]</f>
        <v>300</v>
      </c>
      <c r="X356" s="77">
        <f>'Dropdown Lists'!$I$2*(1+OrdersTable[[#This Row],[Returned]])</f>
        <v>60</v>
      </c>
      <c r="Y356" s="76">
        <f>OrdersTable[[#This Row],[Net Revenue]]-OrdersTable[[#This Row],[COGS]]-OrdersTable[[#This Row],[Shipping Cost]]</f>
        <v>538.20000000000005</v>
      </c>
      <c r="Z356" s="78">
        <f>IFERROR(OrdersTable[[#This Row],[Profit]]/OrdersTable[[#This Row],[Net Revenue]],0)</f>
        <v>0.59919839679358722</v>
      </c>
      <c r="AA356" t="s">
        <v>2522</v>
      </c>
      <c r="AB356" s="79">
        <v>45369</v>
      </c>
      <c r="AC356">
        <f>OrdersTable[[#This Row],[Delivery Date]]-OrdersTable[[#This Row],[Order Date]]</f>
        <v>3</v>
      </c>
      <c r="AD356" t="str">
        <f>IF(OrdersTable[[#This Row],[Delivery Days]]&lt;=2, "Express (≤2d)", IF(OrdersTable[[#This Row],[Delivery Days]]&lt;=4, "Standard (3-4d)", "Delayed (5d+)"))</f>
        <v>Standard (3-4d)</v>
      </c>
      <c r="AE356">
        <v>3</v>
      </c>
      <c r="AF356">
        <v>0</v>
      </c>
    </row>
    <row r="357" spans="1:32" ht="15" x14ac:dyDescent="0.35">
      <c r="A357" t="s">
        <v>1471</v>
      </c>
      <c r="B357" s="1">
        <v>45366</v>
      </c>
      <c r="C357">
        <f>YEAR(OrdersTable[[#This Row],[Order Date]])</f>
        <v>2024</v>
      </c>
      <c r="D357" s="2">
        <f>DATE(YEAR(OrdersTable[[#This Row],[Order Date]]),MONTH(OrdersTable[[#This Row],[Order Date]]),1)</f>
        <v>45352</v>
      </c>
      <c r="E357">
        <f>MONTH(OrdersTable[[#This Row],[Order Date]])</f>
        <v>3</v>
      </c>
      <c r="F357" t="s">
        <v>1472</v>
      </c>
      <c r="G357" t="str">
        <f>IF(OrdersTable[[#This Row],[Order Date]]=_xlfn.MINIFS(Order_Date, Customer_ID, OrdersTable[[#This Row],[Customer ID]]), "New", "Repeat")</f>
        <v>New</v>
      </c>
      <c r="H357" t="s">
        <v>316</v>
      </c>
      <c r="I357" t="str">
        <f>INDEX(State!B:B,MATCH(OrdersTable[[#This Row],[State]],State!A:A,0))</f>
        <v>KL</v>
      </c>
      <c r="J357" t="str">
        <f>INDEX(State!C:C,MATCH(OrdersTable[[#This Row],[State Code]],State!B:B,0))</f>
        <v>South</v>
      </c>
      <c r="K357" t="s">
        <v>338</v>
      </c>
      <c r="L357" t="s">
        <v>39</v>
      </c>
      <c r="M357" t="s">
        <v>106</v>
      </c>
      <c r="N357" t="str">
        <f>INDEX(Products!B:B,MATCH(OrdersTable[[#This Row],[Product ID]],Products!A:A,0))</f>
        <v>Keratin Hair Mask</v>
      </c>
      <c r="O357" t="str">
        <f>INDEX(Products!C:C,MATCH(OrdersTable[[#This Row],[Product ID]],Products!A:A,0))</f>
        <v>Haircare</v>
      </c>
      <c r="P357">
        <v>1</v>
      </c>
      <c r="Q357" s="5">
        <v>549</v>
      </c>
      <c r="R357" s="74">
        <v>0.1</v>
      </c>
      <c r="S357" s="75">
        <f>OrdersTable[[#This Row],[Quantity]]*OrdersTable[[#This Row],[Unit Price]]</f>
        <v>549</v>
      </c>
      <c r="T357" s="5">
        <f>OrdersTable[[#This Row],[Gross Sale]]*OrdersTable[[#This Row],[Discount_Clean2]]</f>
        <v>54.900000000000006</v>
      </c>
      <c r="U357" s="5">
        <f>OrdersTable[[#This Row],[Gross Sale]]-OrdersTable[[#This Row],[Discount Amount]]</f>
        <v>494.1</v>
      </c>
      <c r="V357" s="77">
        <f>INDEX(Products!E:E,MATCH(OrdersTable[[#This Row],[Product ID]],Products!A:A,0))</f>
        <v>170</v>
      </c>
      <c r="W357" s="77">
        <f>OrdersTable[[#This Row],[Quantity]]*OrdersTable[[#This Row],[Unit Cost]]</f>
        <v>170</v>
      </c>
      <c r="X357" s="77">
        <f>'Dropdown Lists'!$I$2*(1+OrdersTable[[#This Row],[Returned]])</f>
        <v>120</v>
      </c>
      <c r="Y357" s="76">
        <f>OrdersTable[[#This Row],[Net Revenue]]-OrdersTable[[#This Row],[COGS]]-OrdersTable[[#This Row],[Shipping Cost]]</f>
        <v>204.10000000000002</v>
      </c>
      <c r="Z357" s="78">
        <f>IFERROR(OrdersTable[[#This Row],[Profit]]/OrdersTable[[#This Row],[Net Revenue]],0)</f>
        <v>0.41307427646225464</v>
      </c>
      <c r="AA357" t="s">
        <v>18</v>
      </c>
      <c r="AB357" s="79">
        <v>45371</v>
      </c>
      <c r="AC357">
        <f>OrdersTable[[#This Row],[Delivery Date]]-OrdersTable[[#This Row],[Order Date]]</f>
        <v>5</v>
      </c>
      <c r="AD357" t="str">
        <f>IF(OrdersTable[[#This Row],[Delivery Days]]&lt;=2, "Express (≤2d)", IF(OrdersTable[[#This Row],[Delivery Days]]&lt;=4, "Standard (3-4d)", "Delayed (5d+)"))</f>
        <v>Delayed (5d+)</v>
      </c>
      <c r="AF357">
        <v>1</v>
      </c>
    </row>
    <row r="358" spans="1:32" ht="15" x14ac:dyDescent="0.35">
      <c r="A358" t="s">
        <v>85</v>
      </c>
      <c r="B358" s="1">
        <v>45366</v>
      </c>
      <c r="C358">
        <f>YEAR(OrdersTable[[#This Row],[Order Date]])</f>
        <v>2024</v>
      </c>
      <c r="D358" s="2">
        <f>DATE(YEAR(OrdersTable[[#This Row],[Order Date]]),MONTH(OrdersTable[[#This Row],[Order Date]]),1)</f>
        <v>45352</v>
      </c>
      <c r="E358">
        <f>MONTH(OrdersTable[[#This Row],[Order Date]])</f>
        <v>3</v>
      </c>
      <c r="F358" t="s">
        <v>86</v>
      </c>
      <c r="G358" t="str">
        <f>IF(OrdersTable[[#This Row],[Order Date]]=_xlfn.MINIFS(Order_Date, Customer_ID, OrdersTable[[#This Row],[Customer ID]]), "New", "Repeat")</f>
        <v>Repeat</v>
      </c>
      <c r="H358" t="s">
        <v>59</v>
      </c>
      <c r="I358" t="str">
        <f>INDEX(State!B:B,MATCH(OrdersTable[[#This Row],[State]],State!A:A,0))</f>
        <v>TN</v>
      </c>
      <c r="J358" t="str">
        <f>INDEX(State!C:C,MATCH(OrdersTable[[#This Row],[State Code]],State!B:B,0))</f>
        <v>South</v>
      </c>
      <c r="K358" t="s">
        <v>60</v>
      </c>
      <c r="L358" t="s">
        <v>16</v>
      </c>
      <c r="M358" t="s">
        <v>87</v>
      </c>
      <c r="N358" t="str">
        <f>INDEX(Products!B:B,MATCH(OrdersTable[[#This Row],[Product ID]],Products!A:A,0))</f>
        <v>Linen Kurta</v>
      </c>
      <c r="O358" t="str">
        <f>INDEX(Products!C:C,MATCH(OrdersTable[[#This Row],[Product ID]],Products!A:A,0))</f>
        <v>Apparel</v>
      </c>
      <c r="P358">
        <v>1</v>
      </c>
      <c r="Q358" s="5">
        <v>1499</v>
      </c>
      <c r="R358" s="74">
        <v>0.25</v>
      </c>
      <c r="S358" s="75">
        <f>OrdersTable[[#This Row],[Quantity]]*OrdersTable[[#This Row],[Unit Price]]</f>
        <v>1499</v>
      </c>
      <c r="T358" s="5">
        <f>OrdersTable[[#This Row],[Gross Sale]]*OrdersTable[[#This Row],[Discount_Clean2]]</f>
        <v>374.75</v>
      </c>
      <c r="U358" s="5">
        <f>OrdersTable[[#This Row],[Gross Sale]]-OrdersTable[[#This Row],[Discount Amount]]</f>
        <v>1124.25</v>
      </c>
      <c r="V358" s="77">
        <f>INDEX(Products!E:E,MATCH(OrdersTable[[#This Row],[Product ID]],Products!A:A,0))</f>
        <v>630</v>
      </c>
      <c r="W358" s="77">
        <f>OrdersTable[[#This Row],[Quantity]]*OrdersTable[[#This Row],[Unit Cost]]</f>
        <v>630</v>
      </c>
      <c r="X358" s="77">
        <f>'Dropdown Lists'!$I$2*(1+OrdersTable[[#This Row],[Returned]])</f>
        <v>60</v>
      </c>
      <c r="Y358" s="76">
        <f>OrdersTable[[#This Row],[Net Revenue]]-OrdersTable[[#This Row],[COGS]]-OrdersTable[[#This Row],[Shipping Cost]]</f>
        <v>434.25</v>
      </c>
      <c r="Z358" s="78">
        <f>IFERROR(OrdersTable[[#This Row],[Profit]]/OrdersTable[[#This Row],[Net Revenue]],0)</f>
        <v>0.38625750500333556</v>
      </c>
      <c r="AA358" t="s">
        <v>18</v>
      </c>
      <c r="AB358" s="79">
        <v>45367</v>
      </c>
      <c r="AC358">
        <f>OrdersTable[[#This Row],[Delivery Date]]-OrdersTable[[#This Row],[Order Date]]</f>
        <v>1</v>
      </c>
      <c r="AD358" t="str">
        <f>IF(OrdersTable[[#This Row],[Delivery Days]]&lt;=2, "Express (≤2d)", IF(OrdersTable[[#This Row],[Delivery Days]]&lt;=4, "Standard (3-4d)", "Delayed (5d+)"))</f>
        <v>Express (≤2d)</v>
      </c>
      <c r="AE358">
        <v>4</v>
      </c>
      <c r="AF358">
        <v>0</v>
      </c>
    </row>
    <row r="359" spans="1:32" ht="15" x14ac:dyDescent="0.35">
      <c r="A359" t="s">
        <v>5658</v>
      </c>
      <c r="B359" s="1">
        <v>45367</v>
      </c>
      <c r="C359">
        <f>YEAR(OrdersTable[[#This Row],[Order Date]])</f>
        <v>2024</v>
      </c>
      <c r="D359" s="2">
        <f>DATE(YEAR(OrdersTable[[#This Row],[Order Date]]),MONTH(OrdersTable[[#This Row],[Order Date]]),1)</f>
        <v>45352</v>
      </c>
      <c r="E359">
        <f>MONTH(OrdersTable[[#This Row],[Order Date]])</f>
        <v>3</v>
      </c>
      <c r="F359" t="s">
        <v>354</v>
      </c>
      <c r="G359" t="str">
        <f>IF(OrdersTable[[#This Row],[Order Date]]=_xlfn.MINIFS(Order_Date, Customer_ID, OrdersTable[[#This Row],[Customer ID]]), "New", "Repeat")</f>
        <v>New</v>
      </c>
      <c r="H359" t="s">
        <v>210</v>
      </c>
      <c r="I359" t="str">
        <f>INDEX(State!B:B,MATCH(OrdersTable[[#This Row],[State]],State!A:A,0))</f>
        <v>JK</v>
      </c>
      <c r="J359" t="str">
        <f>INDEX(State!C:C,MATCH(OrdersTable[[#This Row],[State Code]],State!B:B,0))</f>
        <v>North</v>
      </c>
      <c r="K359" t="s">
        <v>415</v>
      </c>
      <c r="L359" t="s">
        <v>39</v>
      </c>
      <c r="M359" t="s">
        <v>228</v>
      </c>
      <c r="N359" t="str">
        <f>INDEX(Products!B:B,MATCH(OrdersTable[[#This Row],[Product ID]],Products!A:A,0))</f>
        <v>Fast Charger 33W</v>
      </c>
      <c r="O359" t="str">
        <f>INDEX(Products!C:C,MATCH(OrdersTable[[#This Row],[Product ID]],Products!A:A,0))</f>
        <v>Electronics</v>
      </c>
      <c r="P359">
        <v>2</v>
      </c>
      <c r="Q359" s="5">
        <v>899</v>
      </c>
      <c r="R359" s="74">
        <v>0</v>
      </c>
      <c r="S359" s="75">
        <f>OrdersTable[[#This Row],[Quantity]]*OrdersTable[[#This Row],[Unit Price]]</f>
        <v>1798</v>
      </c>
      <c r="T359" s="5">
        <f>OrdersTable[[#This Row],[Gross Sale]]*OrdersTable[[#This Row],[Discount_Clean2]]</f>
        <v>0</v>
      </c>
      <c r="U359" s="5">
        <f>OrdersTable[[#This Row],[Gross Sale]]-OrdersTable[[#This Row],[Discount Amount]]</f>
        <v>1798</v>
      </c>
      <c r="V359" s="77">
        <f>INDEX(Products!E:E,MATCH(OrdersTable[[#This Row],[Product ID]],Products!A:A,0))</f>
        <v>494</v>
      </c>
      <c r="W359" s="77">
        <f>OrdersTable[[#This Row],[Quantity]]*OrdersTable[[#This Row],[Unit Cost]]</f>
        <v>988</v>
      </c>
      <c r="X359" s="77">
        <f>'Dropdown Lists'!$I$2*(1+OrdersTable[[#This Row],[Returned]])</f>
        <v>60</v>
      </c>
      <c r="Y359" s="76">
        <f>OrdersTable[[#This Row],[Net Revenue]]-OrdersTable[[#This Row],[COGS]]-OrdersTable[[#This Row],[Shipping Cost]]</f>
        <v>750</v>
      </c>
      <c r="Z359" s="78">
        <f>IFERROR(OrdersTable[[#This Row],[Profit]]/OrdersTable[[#This Row],[Net Revenue]],0)</f>
        <v>0.41713014460511677</v>
      </c>
      <c r="AA359" t="s">
        <v>18</v>
      </c>
      <c r="AB359" s="79">
        <v>45374</v>
      </c>
      <c r="AC359">
        <f>OrdersTable[[#This Row],[Delivery Date]]-OrdersTable[[#This Row],[Order Date]]</f>
        <v>7</v>
      </c>
      <c r="AD359" t="str">
        <f>IF(OrdersTable[[#This Row],[Delivery Days]]&lt;=2, "Express (≤2d)", IF(OrdersTable[[#This Row],[Delivery Days]]&lt;=4, "Standard (3-4d)", "Delayed (5d+)"))</f>
        <v>Delayed (5d+)</v>
      </c>
      <c r="AE359">
        <v>3</v>
      </c>
      <c r="AF359">
        <v>0</v>
      </c>
    </row>
    <row r="360" spans="1:32" ht="15" x14ac:dyDescent="0.35">
      <c r="A360" t="s">
        <v>445</v>
      </c>
      <c r="B360" s="1">
        <v>45367</v>
      </c>
      <c r="C360">
        <f>YEAR(OrdersTable[[#This Row],[Order Date]])</f>
        <v>2024</v>
      </c>
      <c r="D360" s="2">
        <f>DATE(YEAR(OrdersTable[[#This Row],[Order Date]]),MONTH(OrdersTable[[#This Row],[Order Date]]),1)</f>
        <v>45352</v>
      </c>
      <c r="E360">
        <f>MONTH(OrdersTable[[#This Row],[Order Date]])</f>
        <v>3</v>
      </c>
      <c r="F360" t="s">
        <v>446</v>
      </c>
      <c r="G360" t="str">
        <f>IF(OrdersTable[[#This Row],[Order Date]]=_xlfn.MINIFS(Order_Date, Customer_ID, OrdersTable[[#This Row],[Customer ID]]), "New", "Repeat")</f>
        <v>New</v>
      </c>
      <c r="H360" t="s">
        <v>128</v>
      </c>
      <c r="I360" t="str">
        <f>INDEX(State!B:B,MATCH(OrdersTable[[#This Row],[State]],State!A:A,0))</f>
        <v>DL</v>
      </c>
      <c r="J360" t="str">
        <f>INDEX(State!C:C,MATCH(OrdersTable[[#This Row],[State Code]],State!B:B,0))</f>
        <v>North</v>
      </c>
      <c r="K360" t="s">
        <v>129</v>
      </c>
      <c r="L360" t="s">
        <v>50</v>
      </c>
      <c r="M360" t="s">
        <v>152</v>
      </c>
      <c r="N360" t="str">
        <f>INDEX(Products!B:B,MATCH(OrdersTable[[#This Row],[Product ID]],Products!A:A,0))</f>
        <v>Green Tea (100 bags)</v>
      </c>
      <c r="O360" t="str">
        <f>INDEX(Products!C:C,MATCH(OrdersTable[[#This Row],[Product ID]],Products!A:A,0))</f>
        <v>Wellness</v>
      </c>
      <c r="P360">
        <v>1</v>
      </c>
      <c r="Q360" s="5">
        <v>399</v>
      </c>
      <c r="R360" s="74">
        <v>0.45</v>
      </c>
      <c r="S360" s="75">
        <f>OrdersTable[[#This Row],[Quantity]]*OrdersTable[[#This Row],[Unit Price]]</f>
        <v>399</v>
      </c>
      <c r="T360" s="5">
        <f>OrdersTable[[#This Row],[Gross Sale]]*OrdersTable[[#This Row],[Discount_Clean2]]</f>
        <v>179.55</v>
      </c>
      <c r="U360" s="5">
        <f>OrdersTable[[#This Row],[Gross Sale]]-OrdersTable[[#This Row],[Discount Amount]]</f>
        <v>219.45</v>
      </c>
      <c r="V360" s="77">
        <f>INDEX(Products!E:E,MATCH(OrdersTable[[#This Row],[Product ID]],Products!A:A,0))</f>
        <v>128</v>
      </c>
      <c r="W360" s="77">
        <f>OrdersTable[[#This Row],[Quantity]]*OrdersTable[[#This Row],[Unit Cost]]</f>
        <v>128</v>
      </c>
      <c r="X360" s="77">
        <f>'Dropdown Lists'!$I$2*(1+OrdersTable[[#This Row],[Returned]])</f>
        <v>60</v>
      </c>
      <c r="Y360" s="76">
        <f>OrdersTable[[#This Row],[Net Revenue]]-OrdersTable[[#This Row],[COGS]]-OrdersTable[[#This Row],[Shipping Cost]]</f>
        <v>31.449999999999989</v>
      </c>
      <c r="Z360" s="78">
        <f>IFERROR(OrdersTable[[#This Row],[Profit]]/OrdersTable[[#This Row],[Net Revenue]],0)</f>
        <v>0.14331282752335381</v>
      </c>
      <c r="AA360" t="s">
        <v>18</v>
      </c>
      <c r="AB360" s="79">
        <v>45368</v>
      </c>
      <c r="AC360">
        <f>OrdersTable[[#This Row],[Delivery Date]]-OrdersTable[[#This Row],[Order Date]]</f>
        <v>1</v>
      </c>
      <c r="AD360" t="str">
        <f>IF(OrdersTable[[#This Row],[Delivery Days]]&lt;=2, "Express (≤2d)", IF(OrdersTable[[#This Row],[Delivery Days]]&lt;=4, "Standard (3-4d)", "Delayed (5d+)"))</f>
        <v>Express (≤2d)</v>
      </c>
      <c r="AE360">
        <v>4</v>
      </c>
      <c r="AF360">
        <v>0</v>
      </c>
    </row>
    <row r="361" spans="1:32" ht="15" x14ac:dyDescent="0.35">
      <c r="A361" t="s">
        <v>3855</v>
      </c>
      <c r="B361" s="1">
        <v>45367</v>
      </c>
      <c r="C361">
        <f>YEAR(OrdersTable[[#This Row],[Order Date]])</f>
        <v>2024</v>
      </c>
      <c r="D361" s="2">
        <f>DATE(YEAR(OrdersTable[[#This Row],[Order Date]]),MONTH(OrdersTable[[#This Row],[Order Date]]),1)</f>
        <v>45352</v>
      </c>
      <c r="E361">
        <f>MONTH(OrdersTable[[#This Row],[Order Date]])</f>
        <v>3</v>
      </c>
      <c r="F361" t="s">
        <v>3383</v>
      </c>
      <c r="G361" t="str">
        <f>IF(OrdersTable[[#This Row],[Order Date]]=_xlfn.MINIFS(Order_Date, Customer_ID, OrdersTable[[#This Row],[Customer ID]]), "New", "Repeat")</f>
        <v>New</v>
      </c>
      <c r="H361" t="s">
        <v>43</v>
      </c>
      <c r="I361" t="str">
        <f>INDEX(State!B:B,MATCH(OrdersTable[[#This Row],[State]],State!A:A,0))</f>
        <v>MP</v>
      </c>
      <c r="J361" t="str">
        <f>INDEX(State!C:C,MATCH(OrdersTable[[#This Row],[State Code]],State!B:B,0))</f>
        <v>West</v>
      </c>
      <c r="K361" t="s">
        <v>250</v>
      </c>
      <c r="L361" t="s">
        <v>65</v>
      </c>
      <c r="M361" t="s">
        <v>73</v>
      </c>
      <c r="N361" t="str">
        <f>INDEX(Products!B:B,MATCH(OrdersTable[[#This Row],[Product ID]],Products!A:A,0))</f>
        <v>Hydrating Face Wash</v>
      </c>
      <c r="O361" t="str">
        <f>INDEX(Products!C:C,MATCH(OrdersTable[[#This Row],[Product ID]],Products!A:A,0))</f>
        <v>Skincare</v>
      </c>
      <c r="P361">
        <v>1</v>
      </c>
      <c r="Q361" s="5">
        <v>299</v>
      </c>
      <c r="R361" s="74">
        <v>0.1</v>
      </c>
      <c r="S361" s="75">
        <f>OrdersTable[[#This Row],[Quantity]]*OrdersTable[[#This Row],[Unit Price]]</f>
        <v>299</v>
      </c>
      <c r="T361" s="5">
        <f>OrdersTable[[#This Row],[Gross Sale]]*OrdersTable[[#This Row],[Discount_Clean2]]</f>
        <v>29.900000000000002</v>
      </c>
      <c r="U361" s="5">
        <f>OrdersTable[[#This Row],[Gross Sale]]-OrdersTable[[#This Row],[Discount Amount]]</f>
        <v>269.10000000000002</v>
      </c>
      <c r="V361" s="77">
        <f>INDEX(Products!E:E,MATCH(OrdersTable[[#This Row],[Product ID]],Products!A:A,0))</f>
        <v>90</v>
      </c>
      <c r="W361" s="77">
        <f>OrdersTable[[#This Row],[Quantity]]*OrdersTable[[#This Row],[Unit Cost]]</f>
        <v>90</v>
      </c>
      <c r="X361" s="77">
        <f>'Dropdown Lists'!$I$2*(1+OrdersTable[[#This Row],[Returned]])</f>
        <v>60</v>
      </c>
      <c r="Y361" s="76">
        <f>OrdersTable[[#This Row],[Net Revenue]]-OrdersTable[[#This Row],[COGS]]-OrdersTable[[#This Row],[Shipping Cost]]</f>
        <v>119.10000000000002</v>
      </c>
      <c r="Z361" s="78">
        <f>IFERROR(OrdersTable[[#This Row],[Profit]]/OrdersTable[[#This Row],[Net Revenue]],0)</f>
        <v>0.4425863991081383</v>
      </c>
      <c r="AA361" t="s">
        <v>3495</v>
      </c>
      <c r="AB361" s="79">
        <v>45371</v>
      </c>
      <c r="AC361">
        <f>OrdersTable[[#This Row],[Delivery Date]]-OrdersTable[[#This Row],[Order Date]]</f>
        <v>4</v>
      </c>
      <c r="AD361" t="str">
        <f>IF(OrdersTable[[#This Row],[Delivery Days]]&lt;=2, "Express (≤2d)", IF(OrdersTable[[#This Row],[Delivery Days]]&lt;=4, "Standard (3-4d)", "Delayed (5d+)"))</f>
        <v>Standard (3-4d)</v>
      </c>
      <c r="AE361">
        <v>3</v>
      </c>
      <c r="AF361">
        <v>0</v>
      </c>
    </row>
    <row r="362" spans="1:32" ht="15" x14ac:dyDescent="0.35">
      <c r="A362" t="s">
        <v>6665</v>
      </c>
      <c r="B362" s="1">
        <v>45367</v>
      </c>
      <c r="C362">
        <f>YEAR(OrdersTable[[#This Row],[Order Date]])</f>
        <v>2024</v>
      </c>
      <c r="D362" s="2">
        <f>DATE(YEAR(OrdersTable[[#This Row],[Order Date]]),MONTH(OrdersTable[[#This Row],[Order Date]]),1)</f>
        <v>45352</v>
      </c>
      <c r="E362">
        <f>MONTH(OrdersTable[[#This Row],[Order Date]])</f>
        <v>3</v>
      </c>
      <c r="F362" t="s">
        <v>111</v>
      </c>
      <c r="G362" t="str">
        <f>IF(OrdersTable[[#This Row],[Order Date]]=_xlfn.MINIFS(Order_Date, Customer_ID, OrdersTable[[#This Row],[Customer ID]]), "New", "Repeat")</f>
        <v>New</v>
      </c>
      <c r="H362" t="s">
        <v>275</v>
      </c>
      <c r="I362" t="str">
        <f>INDEX(State!B:B,MATCH(OrdersTable[[#This Row],[State]],State!A:A,0))</f>
        <v>AP</v>
      </c>
      <c r="J362" t="str">
        <f>INDEX(State!C:C,MATCH(OrdersTable[[#This Row],[State Code]],State!B:B,0))</f>
        <v>South</v>
      </c>
      <c r="K362" t="s">
        <v>491</v>
      </c>
      <c r="L362" t="s">
        <v>23</v>
      </c>
      <c r="M362" t="s">
        <v>160</v>
      </c>
      <c r="N362" t="str">
        <f>INDEX(Products!B:B,MATCH(OrdersTable[[#This Row],[Product ID]],Products!A:A,0))</f>
        <v>Niacinamide Toner</v>
      </c>
      <c r="O362" t="str">
        <f>INDEX(Products!C:C,MATCH(OrdersTable[[#This Row],[Product ID]],Products!A:A,0))</f>
        <v>Skincare</v>
      </c>
      <c r="P362">
        <v>3</v>
      </c>
      <c r="Q362" s="5">
        <v>399</v>
      </c>
      <c r="R362" s="74">
        <v>0.3</v>
      </c>
      <c r="S362" s="75">
        <f>OrdersTable[[#This Row],[Quantity]]*OrdersTable[[#This Row],[Unit Price]]</f>
        <v>1197</v>
      </c>
      <c r="T362" s="5">
        <f>OrdersTable[[#This Row],[Gross Sale]]*OrdersTable[[#This Row],[Discount_Clean2]]</f>
        <v>359.09999999999997</v>
      </c>
      <c r="U362" s="5">
        <f>OrdersTable[[#This Row],[Gross Sale]]-OrdersTable[[#This Row],[Discount Amount]]</f>
        <v>837.90000000000009</v>
      </c>
      <c r="V362" s="77">
        <f>INDEX(Products!E:E,MATCH(OrdersTable[[#This Row],[Product ID]],Products!A:A,0))</f>
        <v>112</v>
      </c>
      <c r="W362" s="77">
        <f>OrdersTable[[#This Row],[Quantity]]*OrdersTable[[#This Row],[Unit Cost]]</f>
        <v>336</v>
      </c>
      <c r="X362" s="77">
        <f>'Dropdown Lists'!$I$2*(1+OrdersTable[[#This Row],[Returned]])</f>
        <v>60</v>
      </c>
      <c r="Y362" s="76">
        <f>OrdersTable[[#This Row],[Net Revenue]]-OrdersTable[[#This Row],[COGS]]-OrdersTable[[#This Row],[Shipping Cost]]</f>
        <v>441.90000000000009</v>
      </c>
      <c r="Z362" s="78">
        <f>IFERROR(OrdersTable[[#This Row],[Profit]]/OrdersTable[[#This Row],[Net Revenue]],0)</f>
        <v>0.527389903329753</v>
      </c>
      <c r="AA362" t="s">
        <v>2522</v>
      </c>
      <c r="AB362" s="79">
        <v>45369</v>
      </c>
      <c r="AC362">
        <f>OrdersTable[[#This Row],[Delivery Date]]-OrdersTable[[#This Row],[Order Date]]</f>
        <v>2</v>
      </c>
      <c r="AD362" t="str">
        <f>IF(OrdersTable[[#This Row],[Delivery Days]]&lt;=2, "Express (≤2d)", IF(OrdersTable[[#This Row],[Delivery Days]]&lt;=4, "Standard (3-4d)", "Delayed (5d+)"))</f>
        <v>Express (≤2d)</v>
      </c>
      <c r="AE362">
        <v>4</v>
      </c>
      <c r="AF362">
        <v>0</v>
      </c>
    </row>
    <row r="363" spans="1:32" ht="15" x14ac:dyDescent="0.35">
      <c r="A363" t="s">
        <v>6045</v>
      </c>
      <c r="B363" s="1">
        <v>45367</v>
      </c>
      <c r="C363">
        <f>YEAR(OrdersTable[[#This Row],[Order Date]])</f>
        <v>2024</v>
      </c>
      <c r="D363" s="2">
        <f>DATE(YEAR(OrdersTable[[#This Row],[Order Date]]),MONTH(OrdersTable[[#This Row],[Order Date]]),1)</f>
        <v>45352</v>
      </c>
      <c r="E363">
        <f>MONTH(OrdersTable[[#This Row],[Order Date]])</f>
        <v>3</v>
      </c>
      <c r="F363" t="s">
        <v>479</v>
      </c>
      <c r="G363" t="str">
        <f>IF(OrdersTable[[#This Row],[Order Date]]=_xlfn.MINIFS(Order_Date, Customer_ID, OrdersTable[[#This Row],[Customer ID]]), "New", "Repeat")</f>
        <v>New</v>
      </c>
      <c r="H363" t="s">
        <v>316</v>
      </c>
      <c r="I363" t="str">
        <f>INDEX(State!B:B,MATCH(OrdersTable[[#This Row],[State]],State!A:A,0))</f>
        <v>KL</v>
      </c>
      <c r="J363" t="str">
        <f>INDEX(State!C:C,MATCH(OrdersTable[[#This Row],[State Code]],State!B:B,0))</f>
        <v>South</v>
      </c>
      <c r="K363" t="s">
        <v>338</v>
      </c>
      <c r="L363" t="s">
        <v>39</v>
      </c>
      <c r="M363" t="s">
        <v>109</v>
      </c>
      <c r="N363" t="str">
        <f>INDEX(Products!B:B,MATCH(OrdersTable[[#This Row],[Product ID]],Products!A:A,0))</f>
        <v>Onion Hair Oil</v>
      </c>
      <c r="O363" t="str">
        <f>INDEX(Products!C:C,MATCH(OrdersTable[[#This Row],[Product ID]],Products!A:A,0))</f>
        <v>Haircare</v>
      </c>
      <c r="P363">
        <v>2</v>
      </c>
      <c r="Q363" s="5">
        <v>349</v>
      </c>
      <c r="R363" s="74">
        <v>0.35</v>
      </c>
      <c r="S363" s="75">
        <f>OrdersTable[[#This Row],[Quantity]]*OrdersTable[[#This Row],[Unit Price]]</f>
        <v>698</v>
      </c>
      <c r="T363" s="5">
        <f>OrdersTable[[#This Row],[Gross Sale]]*OrdersTable[[#This Row],[Discount_Clean2]]</f>
        <v>244.29999999999998</v>
      </c>
      <c r="U363" s="5">
        <f>OrdersTable[[#This Row],[Gross Sale]]-OrdersTable[[#This Row],[Discount Amount]]</f>
        <v>453.70000000000005</v>
      </c>
      <c r="V363" s="77">
        <f>INDEX(Products!E:E,MATCH(OrdersTable[[#This Row],[Product ID]],Products!A:A,0))</f>
        <v>105</v>
      </c>
      <c r="W363" s="77">
        <f>OrdersTable[[#This Row],[Quantity]]*OrdersTable[[#This Row],[Unit Cost]]</f>
        <v>210</v>
      </c>
      <c r="X363" s="77">
        <f>'Dropdown Lists'!$I$2*(1+OrdersTable[[#This Row],[Returned]])</f>
        <v>60</v>
      </c>
      <c r="Y363" s="76">
        <f>OrdersTable[[#This Row],[Net Revenue]]-OrdersTable[[#This Row],[COGS]]-OrdersTable[[#This Row],[Shipping Cost]]</f>
        <v>183.70000000000005</v>
      </c>
      <c r="Z363" s="78">
        <f>IFERROR(OrdersTable[[#This Row],[Profit]]/OrdersTable[[#This Row],[Net Revenue]],0)</f>
        <v>0.40489310116817284</v>
      </c>
      <c r="AA363" t="s">
        <v>18</v>
      </c>
      <c r="AB363" s="79">
        <v>45371</v>
      </c>
      <c r="AC363">
        <f>OrdersTable[[#This Row],[Delivery Date]]-OrdersTable[[#This Row],[Order Date]]</f>
        <v>4</v>
      </c>
      <c r="AD363" t="str">
        <f>IF(OrdersTable[[#This Row],[Delivery Days]]&lt;=2, "Express (≤2d)", IF(OrdersTable[[#This Row],[Delivery Days]]&lt;=4, "Standard (3-4d)", "Delayed (5d+)"))</f>
        <v>Standard (3-4d)</v>
      </c>
      <c r="AE363">
        <v>4</v>
      </c>
      <c r="AF363">
        <v>0</v>
      </c>
    </row>
    <row r="364" spans="1:32" ht="15" x14ac:dyDescent="0.35">
      <c r="A364" t="s">
        <v>5473</v>
      </c>
      <c r="B364" s="1">
        <v>45368</v>
      </c>
      <c r="C364">
        <f>YEAR(OrdersTable[[#This Row],[Order Date]])</f>
        <v>2024</v>
      </c>
      <c r="D364" s="2">
        <f>DATE(YEAR(OrdersTable[[#This Row],[Order Date]]),MONTH(OrdersTable[[#This Row],[Order Date]]),1)</f>
        <v>45352</v>
      </c>
      <c r="E364">
        <f>MONTH(OrdersTable[[#This Row],[Order Date]])</f>
        <v>3</v>
      </c>
      <c r="F364" t="s">
        <v>3150</v>
      </c>
      <c r="G364" t="str">
        <f>IF(OrdersTable[[#This Row],[Order Date]]=_xlfn.MINIFS(Order_Date, Customer_ID, OrdersTable[[#This Row],[Customer ID]]), "New", "Repeat")</f>
        <v>Repeat</v>
      </c>
      <c r="H364" t="s">
        <v>128</v>
      </c>
      <c r="I364" t="str">
        <f>INDEX(State!B:B,MATCH(OrdersTable[[#This Row],[State]],State!A:A,0))</f>
        <v>DL</v>
      </c>
      <c r="J364" t="str">
        <f>INDEX(State!C:C,MATCH(OrdersTable[[#This Row],[State Code]],State!B:B,0))</f>
        <v>North</v>
      </c>
      <c r="K364" t="s">
        <v>129</v>
      </c>
      <c r="L364" t="s">
        <v>65</v>
      </c>
      <c r="M364" t="s">
        <v>45</v>
      </c>
      <c r="N364" t="str">
        <f>INDEX(Products!B:B,MATCH(OrdersTable[[#This Row],[Product ID]],Products!A:A,0))</f>
        <v>Argan Shampoo</v>
      </c>
      <c r="O364" t="str">
        <f>INDEX(Products!C:C,MATCH(OrdersTable[[#This Row],[Product ID]],Products!A:A,0))</f>
        <v>Haircare</v>
      </c>
      <c r="P364">
        <v>2</v>
      </c>
      <c r="Q364" s="5">
        <v>449</v>
      </c>
      <c r="R364" s="74">
        <v>0.1</v>
      </c>
      <c r="S364" s="75">
        <f>OrdersTable[[#This Row],[Quantity]]*OrdersTable[[#This Row],[Unit Price]]</f>
        <v>898</v>
      </c>
      <c r="T364" s="5">
        <f>OrdersTable[[#This Row],[Gross Sale]]*OrdersTable[[#This Row],[Discount_Clean2]]</f>
        <v>89.800000000000011</v>
      </c>
      <c r="U364" s="5">
        <f>OrdersTable[[#This Row],[Gross Sale]]-OrdersTable[[#This Row],[Discount Amount]]</f>
        <v>808.2</v>
      </c>
      <c r="V364" s="77">
        <f>INDEX(Products!E:E,MATCH(OrdersTable[[#This Row],[Product ID]],Products!A:A,0))</f>
        <v>148</v>
      </c>
      <c r="W364" s="77">
        <f>OrdersTable[[#This Row],[Quantity]]*OrdersTable[[#This Row],[Unit Cost]]</f>
        <v>296</v>
      </c>
      <c r="X364" s="77">
        <f>'Dropdown Lists'!$I$2*(1+OrdersTable[[#This Row],[Returned]])</f>
        <v>60</v>
      </c>
      <c r="Y364" s="76">
        <f>OrdersTable[[#This Row],[Net Revenue]]-OrdersTable[[#This Row],[COGS]]-OrdersTable[[#This Row],[Shipping Cost]]</f>
        <v>452.20000000000005</v>
      </c>
      <c r="Z364" s="78">
        <f>IFERROR(OrdersTable[[#This Row],[Profit]]/OrdersTable[[#This Row],[Net Revenue]],0)</f>
        <v>0.5595149715416976</v>
      </c>
      <c r="AA364" t="s">
        <v>2522</v>
      </c>
      <c r="AB364" s="79">
        <v>45369</v>
      </c>
      <c r="AC364">
        <f>OrdersTable[[#This Row],[Delivery Date]]-OrdersTable[[#This Row],[Order Date]]</f>
        <v>1</v>
      </c>
      <c r="AD364" t="str">
        <f>IF(OrdersTable[[#This Row],[Delivery Days]]&lt;=2, "Express (≤2d)", IF(OrdersTable[[#This Row],[Delivery Days]]&lt;=4, "Standard (3-4d)", "Delayed (5d+)"))</f>
        <v>Express (≤2d)</v>
      </c>
      <c r="AE364">
        <v>4</v>
      </c>
      <c r="AF364">
        <v>0</v>
      </c>
    </row>
    <row r="365" spans="1:32" ht="15" x14ac:dyDescent="0.35">
      <c r="A365" t="s">
        <v>6472</v>
      </c>
      <c r="B365" s="1">
        <v>45368</v>
      </c>
      <c r="C365">
        <f>YEAR(OrdersTable[[#This Row],[Order Date]])</f>
        <v>2024</v>
      </c>
      <c r="D365" s="2">
        <f>DATE(YEAR(OrdersTable[[#This Row],[Order Date]]),MONTH(OrdersTable[[#This Row],[Order Date]]),1)</f>
        <v>45352</v>
      </c>
      <c r="E365">
        <f>MONTH(OrdersTable[[#This Row],[Order Date]])</f>
        <v>3</v>
      </c>
      <c r="F365" t="s">
        <v>1717</v>
      </c>
      <c r="G365" t="str">
        <f>IF(OrdersTable[[#This Row],[Order Date]]=_xlfn.MINIFS(Order_Date, Customer_ID, OrdersTable[[#This Row],[Customer ID]]), "New", "Repeat")</f>
        <v>Repeat</v>
      </c>
      <c r="H365" t="s">
        <v>76</v>
      </c>
      <c r="I365" t="str">
        <f>INDEX(State!B:B,MATCH(OrdersTable[[#This Row],[State]],State!A:A,0))</f>
        <v>UP</v>
      </c>
      <c r="J365" t="str">
        <f>INDEX(State!C:C,MATCH(OrdersTable[[#This Row],[State Code]],State!B:B,0))</f>
        <v>North</v>
      </c>
      <c r="K365" t="s">
        <v>105</v>
      </c>
      <c r="L365" t="s">
        <v>23</v>
      </c>
      <c r="M365" t="s">
        <v>29</v>
      </c>
      <c r="N365" t="str">
        <f>INDEX(Products!B:B,MATCH(OrdersTable[[#This Row],[Product ID]],Products!A:A,0))</f>
        <v>Joggers</v>
      </c>
      <c r="O365" t="str">
        <f>INDEX(Products!C:C,MATCH(OrdersTable[[#This Row],[Product ID]],Products!A:A,0))</f>
        <v>Apparel</v>
      </c>
      <c r="P365">
        <v>3</v>
      </c>
      <c r="Q365" s="5">
        <v>1199</v>
      </c>
      <c r="R365" s="74">
        <v>0.05</v>
      </c>
      <c r="S365" s="75">
        <f>OrdersTable[[#This Row],[Quantity]]*OrdersTable[[#This Row],[Unit Price]]</f>
        <v>3597</v>
      </c>
      <c r="T365" s="5">
        <f>OrdersTable[[#This Row],[Gross Sale]]*OrdersTable[[#This Row],[Discount_Clean2]]</f>
        <v>179.85000000000002</v>
      </c>
      <c r="U365" s="5">
        <f>OrdersTable[[#This Row],[Gross Sale]]-OrdersTable[[#This Row],[Discount Amount]]</f>
        <v>3417.15</v>
      </c>
      <c r="V365" s="77">
        <f>INDEX(Products!E:E,MATCH(OrdersTable[[#This Row],[Product ID]],Products!A:A,0))</f>
        <v>492</v>
      </c>
      <c r="W365" s="77">
        <f>OrdersTable[[#This Row],[Quantity]]*OrdersTable[[#This Row],[Unit Cost]]</f>
        <v>1476</v>
      </c>
      <c r="X365" s="77">
        <f>'Dropdown Lists'!$I$2*(1+OrdersTable[[#This Row],[Returned]])</f>
        <v>60</v>
      </c>
      <c r="Y365" s="76">
        <f>OrdersTable[[#This Row],[Net Revenue]]-OrdersTable[[#This Row],[COGS]]-OrdersTable[[#This Row],[Shipping Cost]]</f>
        <v>1881.15</v>
      </c>
      <c r="Z365" s="78">
        <f>IFERROR(OrdersTable[[#This Row],[Profit]]/OrdersTable[[#This Row],[Net Revenue]],0)</f>
        <v>0.55050261182564419</v>
      </c>
      <c r="AA365" t="s">
        <v>18</v>
      </c>
      <c r="AB365" s="79">
        <v>45371</v>
      </c>
      <c r="AC365">
        <f>OrdersTable[[#This Row],[Delivery Date]]-OrdersTable[[#This Row],[Order Date]]</f>
        <v>3</v>
      </c>
      <c r="AD365" t="str">
        <f>IF(OrdersTable[[#This Row],[Delivery Days]]&lt;=2, "Express (≤2d)", IF(OrdersTable[[#This Row],[Delivery Days]]&lt;=4, "Standard (3-4d)", "Delayed (5d+)"))</f>
        <v>Standard (3-4d)</v>
      </c>
      <c r="AE365">
        <v>4</v>
      </c>
      <c r="AF365">
        <v>0</v>
      </c>
    </row>
    <row r="366" spans="1:32" ht="15" x14ac:dyDescent="0.35">
      <c r="A366" t="s">
        <v>1840</v>
      </c>
      <c r="B366" s="1">
        <v>45368</v>
      </c>
      <c r="C366">
        <f>YEAR(OrdersTable[[#This Row],[Order Date]])</f>
        <v>2024</v>
      </c>
      <c r="D366" s="2">
        <f>DATE(YEAR(OrdersTable[[#This Row],[Order Date]]),MONTH(OrdersTable[[#This Row],[Order Date]]),1)</f>
        <v>45352</v>
      </c>
      <c r="E366">
        <f>MONTH(OrdersTable[[#This Row],[Order Date]])</f>
        <v>3</v>
      </c>
      <c r="F366" t="s">
        <v>204</v>
      </c>
      <c r="G366" t="str">
        <f>IF(OrdersTable[[#This Row],[Order Date]]=_xlfn.MINIFS(Order_Date, Customer_ID, OrdersTable[[#This Row],[Customer ID]]), "New", "Repeat")</f>
        <v>New</v>
      </c>
      <c r="H366" t="s">
        <v>76</v>
      </c>
      <c r="I366" t="str">
        <f>INDEX(State!B:B,MATCH(OrdersTable[[#This Row],[State]],State!A:A,0))</f>
        <v>UP</v>
      </c>
      <c r="J366" t="str">
        <f>INDEX(State!C:C,MATCH(OrdersTable[[#This Row],[State Code]],State!B:B,0))</f>
        <v>North</v>
      </c>
      <c r="K366" t="s">
        <v>118</v>
      </c>
      <c r="L366" t="s">
        <v>65</v>
      </c>
      <c r="M366" t="s">
        <v>24</v>
      </c>
      <c r="N366" t="str">
        <f>INDEX(Products!B:B,MATCH(OrdersTable[[#This Row],[Product ID]],Products!A:A,0))</f>
        <v>Scented Candle Set</v>
      </c>
      <c r="O366" t="str">
        <f>INDEX(Products!C:C,MATCH(OrdersTable[[#This Row],[Product ID]],Products!A:A,0))</f>
        <v>Home &amp; Kitchen</v>
      </c>
      <c r="P366">
        <v>1</v>
      </c>
      <c r="Q366" s="5">
        <v>699</v>
      </c>
      <c r="R366" s="74">
        <v>0.25</v>
      </c>
      <c r="S366" s="75">
        <f>OrdersTable[[#This Row],[Quantity]]*OrdersTable[[#This Row],[Unit Price]]</f>
        <v>699</v>
      </c>
      <c r="T366" s="5">
        <f>OrdersTable[[#This Row],[Gross Sale]]*OrdersTable[[#This Row],[Discount_Clean2]]</f>
        <v>174.75</v>
      </c>
      <c r="U366" s="5">
        <f>OrdersTable[[#This Row],[Gross Sale]]-OrdersTable[[#This Row],[Discount Amount]]</f>
        <v>524.25</v>
      </c>
      <c r="V366" s="77">
        <f>INDEX(Products!E:E,MATCH(OrdersTable[[#This Row],[Product ID]],Products!A:A,0))</f>
        <v>245</v>
      </c>
      <c r="W366" s="77">
        <f>OrdersTable[[#This Row],[Quantity]]*OrdersTable[[#This Row],[Unit Cost]]</f>
        <v>245</v>
      </c>
      <c r="X366" s="77">
        <f>'Dropdown Lists'!$I$2*(1+OrdersTable[[#This Row],[Returned]])</f>
        <v>60</v>
      </c>
      <c r="Y366" s="76">
        <f>OrdersTable[[#This Row],[Net Revenue]]-OrdersTable[[#This Row],[COGS]]-OrdersTable[[#This Row],[Shipping Cost]]</f>
        <v>219.25</v>
      </c>
      <c r="Z366" s="78">
        <f>IFERROR(OrdersTable[[#This Row],[Profit]]/OrdersTable[[#This Row],[Net Revenue]],0)</f>
        <v>0.41821649976156416</v>
      </c>
      <c r="AA366" t="s">
        <v>18</v>
      </c>
      <c r="AB366" s="79">
        <v>45374</v>
      </c>
      <c r="AC366">
        <f>OrdersTable[[#This Row],[Delivery Date]]-OrdersTable[[#This Row],[Order Date]]</f>
        <v>6</v>
      </c>
      <c r="AD366" t="str">
        <f>IF(OrdersTable[[#This Row],[Delivery Days]]&lt;=2, "Express (≤2d)", IF(OrdersTable[[#This Row],[Delivery Days]]&lt;=4, "Standard (3-4d)", "Delayed (5d+)"))</f>
        <v>Delayed (5d+)</v>
      </c>
      <c r="AE366">
        <v>3</v>
      </c>
      <c r="AF366">
        <v>0</v>
      </c>
    </row>
    <row r="367" spans="1:32" ht="15" x14ac:dyDescent="0.35">
      <c r="A367" t="s">
        <v>4652</v>
      </c>
      <c r="B367" s="1">
        <v>45368</v>
      </c>
      <c r="C367">
        <f>YEAR(OrdersTable[[#This Row],[Order Date]])</f>
        <v>2024</v>
      </c>
      <c r="D367" s="2">
        <f>DATE(YEAR(OrdersTable[[#This Row],[Order Date]]),MONTH(OrdersTable[[#This Row],[Order Date]]),1)</f>
        <v>45352</v>
      </c>
      <c r="E367">
        <f>MONTH(OrdersTable[[#This Row],[Order Date]])</f>
        <v>3</v>
      </c>
      <c r="F367" t="s">
        <v>843</v>
      </c>
      <c r="G367" t="str">
        <f>IF(OrdersTable[[#This Row],[Order Date]]=_xlfn.MINIFS(Order_Date, Customer_ID, OrdersTable[[#This Row],[Customer ID]]), "New", "Repeat")</f>
        <v>New</v>
      </c>
      <c r="H367" t="s">
        <v>132</v>
      </c>
      <c r="I367" t="str">
        <f>INDEX(State!B:B,MATCH(OrdersTable[[#This Row],[State]],State!A:A,0))</f>
        <v>AS</v>
      </c>
      <c r="J367" t="str">
        <f>INDEX(State!C:C,MATCH(OrdersTable[[#This Row],[State Code]],State!B:B,0))</f>
        <v>East</v>
      </c>
      <c r="K367" t="s">
        <v>133</v>
      </c>
      <c r="L367" t="s">
        <v>50</v>
      </c>
      <c r="M367" t="s">
        <v>45</v>
      </c>
      <c r="N367" t="str">
        <f>INDEX(Products!B:B,MATCH(OrdersTable[[#This Row],[Product ID]],Products!A:A,0))</f>
        <v>Argan Shampoo</v>
      </c>
      <c r="O367" t="str">
        <f>INDEX(Products!C:C,MATCH(OrdersTable[[#This Row],[Product ID]],Products!A:A,0))</f>
        <v>Haircare</v>
      </c>
      <c r="P367">
        <v>1</v>
      </c>
      <c r="Q367" s="5">
        <v>449</v>
      </c>
      <c r="R367" s="74">
        <v>0.05</v>
      </c>
      <c r="S367" s="75">
        <f>OrdersTable[[#This Row],[Quantity]]*OrdersTable[[#This Row],[Unit Price]]</f>
        <v>449</v>
      </c>
      <c r="T367" s="5">
        <f>OrdersTable[[#This Row],[Gross Sale]]*OrdersTable[[#This Row],[Discount_Clean2]]</f>
        <v>22.450000000000003</v>
      </c>
      <c r="U367" s="5">
        <f>OrdersTable[[#This Row],[Gross Sale]]-OrdersTable[[#This Row],[Discount Amount]]</f>
        <v>426.55</v>
      </c>
      <c r="V367" s="77">
        <f>INDEX(Products!E:E,MATCH(OrdersTable[[#This Row],[Product ID]],Products!A:A,0))</f>
        <v>148</v>
      </c>
      <c r="W367" s="77">
        <f>OrdersTable[[#This Row],[Quantity]]*OrdersTable[[#This Row],[Unit Cost]]</f>
        <v>148</v>
      </c>
      <c r="X367" s="77">
        <f>'Dropdown Lists'!$I$2*(1+OrdersTable[[#This Row],[Returned]])</f>
        <v>60</v>
      </c>
      <c r="Y367" s="76">
        <f>OrdersTable[[#This Row],[Net Revenue]]-OrdersTable[[#This Row],[COGS]]-OrdersTable[[#This Row],[Shipping Cost]]</f>
        <v>218.55</v>
      </c>
      <c r="Z367" s="78">
        <f>IFERROR(OrdersTable[[#This Row],[Profit]]/OrdersTable[[#This Row],[Net Revenue]],0)</f>
        <v>0.51236666275934828</v>
      </c>
      <c r="AA367" t="s">
        <v>4450</v>
      </c>
      <c r="AB367" s="79">
        <v>45373</v>
      </c>
      <c r="AC367">
        <f>OrdersTable[[#This Row],[Delivery Date]]-OrdersTable[[#This Row],[Order Date]]</f>
        <v>5</v>
      </c>
      <c r="AD367" t="str">
        <f>IF(OrdersTable[[#This Row],[Delivery Days]]&lt;=2, "Express (≤2d)", IF(OrdersTable[[#This Row],[Delivery Days]]&lt;=4, "Standard (3-4d)", "Delayed (5d+)"))</f>
        <v>Delayed (5d+)</v>
      </c>
      <c r="AE367">
        <v>3</v>
      </c>
      <c r="AF367">
        <v>0</v>
      </c>
    </row>
    <row r="368" spans="1:32" ht="15" x14ac:dyDescent="0.35">
      <c r="A368" t="s">
        <v>6847</v>
      </c>
      <c r="B368" s="1">
        <v>45368</v>
      </c>
      <c r="C368">
        <f>YEAR(OrdersTable[[#This Row],[Order Date]])</f>
        <v>2024</v>
      </c>
      <c r="D368" s="2">
        <f>DATE(YEAR(OrdersTable[[#This Row],[Order Date]]),MONTH(OrdersTable[[#This Row],[Order Date]]),1)</f>
        <v>45352</v>
      </c>
      <c r="E368">
        <f>MONTH(OrdersTable[[#This Row],[Order Date]])</f>
        <v>3</v>
      </c>
      <c r="F368" t="s">
        <v>6848</v>
      </c>
      <c r="G368" t="str">
        <f>IF(OrdersTable[[#This Row],[Order Date]]=_xlfn.MINIFS(Order_Date, Customer_ID, OrdersTable[[#This Row],[Customer ID]]), "New", "Repeat")</f>
        <v>New</v>
      </c>
      <c r="H368" t="s">
        <v>275</v>
      </c>
      <c r="I368" t="str">
        <f>INDEX(State!B:B,MATCH(OrdersTable[[#This Row],[State]],State!A:A,0))</f>
        <v>AP</v>
      </c>
      <c r="J368" t="str">
        <f>INDEX(State!C:C,MATCH(OrdersTable[[#This Row],[State Code]],State!B:B,0))</f>
        <v>South</v>
      </c>
      <c r="K368" t="s">
        <v>491</v>
      </c>
      <c r="L368" t="s">
        <v>65</v>
      </c>
      <c r="M368" t="s">
        <v>152</v>
      </c>
      <c r="N368" t="str">
        <f>INDEX(Products!B:B,MATCH(OrdersTable[[#This Row],[Product ID]],Products!A:A,0))</f>
        <v>Green Tea (100 bags)</v>
      </c>
      <c r="O368" t="str">
        <f>INDEX(Products!C:C,MATCH(OrdersTable[[#This Row],[Product ID]],Products!A:A,0))</f>
        <v>Wellness</v>
      </c>
      <c r="P368">
        <v>3</v>
      </c>
      <c r="Q368" s="5">
        <v>399</v>
      </c>
      <c r="R368" s="74">
        <v>0.35</v>
      </c>
      <c r="S368" s="75">
        <f>OrdersTable[[#This Row],[Quantity]]*OrdersTable[[#This Row],[Unit Price]]</f>
        <v>1197</v>
      </c>
      <c r="T368" s="5">
        <f>OrdersTable[[#This Row],[Gross Sale]]*OrdersTable[[#This Row],[Discount_Clean2]]</f>
        <v>418.95</v>
      </c>
      <c r="U368" s="5">
        <f>OrdersTable[[#This Row],[Gross Sale]]-OrdersTable[[#This Row],[Discount Amount]]</f>
        <v>778.05</v>
      </c>
      <c r="V368" s="77">
        <f>INDEX(Products!E:E,MATCH(OrdersTable[[#This Row],[Product ID]],Products!A:A,0))</f>
        <v>128</v>
      </c>
      <c r="W368" s="77">
        <f>OrdersTable[[#This Row],[Quantity]]*OrdersTable[[#This Row],[Unit Cost]]</f>
        <v>384</v>
      </c>
      <c r="X368" s="77">
        <f>'Dropdown Lists'!$I$2*(1+OrdersTable[[#This Row],[Returned]])</f>
        <v>60</v>
      </c>
      <c r="Y368" s="76">
        <f>OrdersTable[[#This Row],[Net Revenue]]-OrdersTable[[#This Row],[COGS]]-OrdersTable[[#This Row],[Shipping Cost]]</f>
        <v>334.04999999999995</v>
      </c>
      <c r="Z368" s="78">
        <f>IFERROR(OrdersTable[[#This Row],[Profit]]/OrdersTable[[#This Row],[Net Revenue]],0)</f>
        <v>0.42934258723732405</v>
      </c>
      <c r="AA368" t="s">
        <v>4450</v>
      </c>
      <c r="AB368" s="79">
        <v>45371</v>
      </c>
      <c r="AC368">
        <f>OrdersTable[[#This Row],[Delivery Date]]-OrdersTable[[#This Row],[Order Date]]</f>
        <v>3</v>
      </c>
      <c r="AD368" t="str">
        <f>IF(OrdersTable[[#This Row],[Delivery Days]]&lt;=2, "Express (≤2d)", IF(OrdersTable[[#This Row],[Delivery Days]]&lt;=4, "Standard (3-4d)", "Delayed (5d+)"))</f>
        <v>Standard (3-4d)</v>
      </c>
      <c r="AF368">
        <v>0</v>
      </c>
    </row>
    <row r="369" spans="1:32" ht="15" x14ac:dyDescent="0.35">
      <c r="A369" t="s">
        <v>6473</v>
      </c>
      <c r="B369" s="1">
        <v>45368</v>
      </c>
      <c r="C369">
        <f>YEAR(OrdersTable[[#This Row],[Order Date]])</f>
        <v>2024</v>
      </c>
      <c r="D369" s="2">
        <f>DATE(YEAR(OrdersTable[[#This Row],[Order Date]]),MONTH(OrdersTable[[#This Row],[Order Date]]),1)</f>
        <v>45352</v>
      </c>
      <c r="E369">
        <f>MONTH(OrdersTable[[#This Row],[Order Date]])</f>
        <v>3</v>
      </c>
      <c r="F369" t="s">
        <v>5346</v>
      </c>
      <c r="G369" t="str">
        <f>IF(OrdersTable[[#This Row],[Order Date]]=_xlfn.MINIFS(Order_Date, Customer_ID, OrdersTable[[#This Row],[Customer ID]]), "New", "Repeat")</f>
        <v>New</v>
      </c>
      <c r="H369" t="s">
        <v>59</v>
      </c>
      <c r="I369" t="str">
        <f>INDEX(State!B:B,MATCH(OrdersTable[[#This Row],[State]],State!A:A,0))</f>
        <v>TN</v>
      </c>
      <c r="J369" t="str">
        <f>INDEX(State!C:C,MATCH(OrdersTable[[#This Row],[State Code]],State!B:B,0))</f>
        <v>South</v>
      </c>
      <c r="K369" t="s">
        <v>60</v>
      </c>
      <c r="L369" t="s">
        <v>23</v>
      </c>
      <c r="M369" t="s">
        <v>40</v>
      </c>
      <c r="N369" t="str">
        <f>INDEX(Products!B:B,MATCH(OrdersTable[[#This Row],[Product ID]],Products!A:A,0))</f>
        <v>Ashwagandha Capsules</v>
      </c>
      <c r="O369" t="str">
        <f>INDEX(Products!C:C,MATCH(OrdersTable[[#This Row],[Product ID]],Products!A:A,0))</f>
        <v>Wellness</v>
      </c>
      <c r="P369">
        <v>3</v>
      </c>
      <c r="Q369" s="5">
        <v>499</v>
      </c>
      <c r="R369" s="74">
        <v>0</v>
      </c>
      <c r="S369" s="75">
        <f>OrdersTable[[#This Row],[Quantity]]*OrdersTable[[#This Row],[Unit Price]]</f>
        <v>1497</v>
      </c>
      <c r="T369" s="5">
        <f>OrdersTable[[#This Row],[Gross Sale]]*OrdersTable[[#This Row],[Discount_Clean2]]</f>
        <v>0</v>
      </c>
      <c r="U369" s="5">
        <f>OrdersTable[[#This Row],[Gross Sale]]-OrdersTable[[#This Row],[Discount Amount]]</f>
        <v>1497</v>
      </c>
      <c r="V369" s="77">
        <f>INDEX(Products!E:E,MATCH(OrdersTable[[#This Row],[Product ID]],Products!A:A,0))</f>
        <v>150</v>
      </c>
      <c r="W369" s="77">
        <f>OrdersTable[[#This Row],[Quantity]]*OrdersTable[[#This Row],[Unit Cost]]</f>
        <v>450</v>
      </c>
      <c r="X369" s="77">
        <f>'Dropdown Lists'!$I$2*(1+OrdersTable[[#This Row],[Returned]])</f>
        <v>60</v>
      </c>
      <c r="Y369" s="76">
        <f>OrdersTable[[#This Row],[Net Revenue]]-OrdersTable[[#This Row],[COGS]]-OrdersTable[[#This Row],[Shipping Cost]]</f>
        <v>987</v>
      </c>
      <c r="Z369" s="78">
        <f>IFERROR(OrdersTable[[#This Row],[Profit]]/OrdersTable[[#This Row],[Net Revenue]],0)</f>
        <v>0.65931863727454909</v>
      </c>
      <c r="AA369" t="s">
        <v>18</v>
      </c>
      <c r="AB369" s="79">
        <v>45370</v>
      </c>
      <c r="AC369">
        <f>OrdersTable[[#This Row],[Delivery Date]]-OrdersTable[[#This Row],[Order Date]]</f>
        <v>2</v>
      </c>
      <c r="AD369" t="str">
        <f>IF(OrdersTable[[#This Row],[Delivery Days]]&lt;=2, "Express (≤2d)", IF(OrdersTable[[#This Row],[Delivery Days]]&lt;=4, "Standard (3-4d)", "Delayed (5d+)"))</f>
        <v>Express (≤2d)</v>
      </c>
      <c r="AF369">
        <v>0</v>
      </c>
    </row>
    <row r="370" spans="1:32" ht="15" x14ac:dyDescent="0.35">
      <c r="A370" t="s">
        <v>4460</v>
      </c>
      <c r="B370" s="1">
        <v>45368</v>
      </c>
      <c r="C370">
        <f>YEAR(OrdersTable[[#This Row],[Order Date]])</f>
        <v>2024</v>
      </c>
      <c r="D370" s="2">
        <f>DATE(YEAR(OrdersTable[[#This Row],[Order Date]]),MONTH(OrdersTable[[#This Row],[Order Date]]),1)</f>
        <v>45352</v>
      </c>
      <c r="E370">
        <f>MONTH(OrdersTable[[#This Row],[Order Date]])</f>
        <v>3</v>
      </c>
      <c r="F370" t="s">
        <v>3707</v>
      </c>
      <c r="G370" t="str">
        <f>IF(OrdersTable[[#This Row],[Order Date]]=_xlfn.MINIFS(Order_Date, Customer_ID, OrdersTable[[#This Row],[Customer ID]]), "New", "Repeat")</f>
        <v>Repeat</v>
      </c>
      <c r="H370" t="s">
        <v>59</v>
      </c>
      <c r="I370" t="str">
        <f>INDEX(State!B:B,MATCH(OrdersTable[[#This Row],[State]],State!A:A,0))</f>
        <v>TN</v>
      </c>
      <c r="J370" t="str">
        <f>INDEX(State!C:C,MATCH(OrdersTable[[#This Row],[State Code]],State!B:B,0))</f>
        <v>South</v>
      </c>
      <c r="K370" t="s">
        <v>64</v>
      </c>
      <c r="L370" t="s">
        <v>39</v>
      </c>
      <c r="M370" t="s">
        <v>45</v>
      </c>
      <c r="N370" t="str">
        <f>INDEX(Products!B:B,MATCH(OrdersTable[[#This Row],[Product ID]],Products!A:A,0))</f>
        <v>Argan Shampoo</v>
      </c>
      <c r="O370" t="str">
        <f>INDEX(Products!C:C,MATCH(OrdersTable[[#This Row],[Product ID]],Products!A:A,0))</f>
        <v>Haircare</v>
      </c>
      <c r="P370">
        <v>1</v>
      </c>
      <c r="Q370" s="5">
        <v>449</v>
      </c>
      <c r="R370" s="74">
        <v>0.1</v>
      </c>
      <c r="S370" s="75">
        <f>OrdersTable[[#This Row],[Quantity]]*OrdersTable[[#This Row],[Unit Price]]</f>
        <v>449</v>
      </c>
      <c r="T370" s="5">
        <f>OrdersTable[[#This Row],[Gross Sale]]*OrdersTable[[#This Row],[Discount_Clean2]]</f>
        <v>44.900000000000006</v>
      </c>
      <c r="U370" s="5">
        <f>OrdersTable[[#This Row],[Gross Sale]]-OrdersTable[[#This Row],[Discount Amount]]</f>
        <v>404.1</v>
      </c>
      <c r="V370" s="77">
        <f>INDEX(Products!E:E,MATCH(OrdersTable[[#This Row],[Product ID]],Products!A:A,0))</f>
        <v>148</v>
      </c>
      <c r="W370" s="77">
        <f>OrdersTable[[#This Row],[Quantity]]*OrdersTable[[#This Row],[Unit Cost]]</f>
        <v>148</v>
      </c>
      <c r="X370" s="77">
        <f>'Dropdown Lists'!$I$2*(1+OrdersTable[[#This Row],[Returned]])</f>
        <v>60</v>
      </c>
      <c r="Y370" s="76">
        <f>OrdersTable[[#This Row],[Net Revenue]]-OrdersTable[[#This Row],[COGS]]-OrdersTable[[#This Row],[Shipping Cost]]</f>
        <v>196.10000000000002</v>
      </c>
      <c r="Z370" s="78">
        <f>IFERROR(OrdersTable[[#This Row],[Profit]]/OrdersTable[[#This Row],[Net Revenue]],0)</f>
        <v>0.48527592180153428</v>
      </c>
      <c r="AA370" t="s">
        <v>4450</v>
      </c>
      <c r="AB370" s="79">
        <v>45372</v>
      </c>
      <c r="AC370">
        <f>OrdersTable[[#This Row],[Delivery Date]]-OrdersTable[[#This Row],[Order Date]]</f>
        <v>4</v>
      </c>
      <c r="AD370" t="str">
        <f>IF(OrdersTable[[#This Row],[Delivery Days]]&lt;=2, "Express (≤2d)", IF(OrdersTable[[#This Row],[Delivery Days]]&lt;=4, "Standard (3-4d)", "Delayed (5d+)"))</f>
        <v>Standard (3-4d)</v>
      </c>
      <c r="AE370">
        <v>4</v>
      </c>
      <c r="AF370">
        <v>0</v>
      </c>
    </row>
    <row r="371" spans="1:32" ht="15" x14ac:dyDescent="0.35">
      <c r="A371" t="s">
        <v>4082</v>
      </c>
      <c r="B371" s="1">
        <v>45369</v>
      </c>
      <c r="C371">
        <f>YEAR(OrdersTable[[#This Row],[Order Date]])</f>
        <v>2024</v>
      </c>
      <c r="D371" s="2">
        <f>DATE(YEAR(OrdersTable[[#This Row],[Order Date]]),MONTH(OrdersTable[[#This Row],[Order Date]]),1)</f>
        <v>45352</v>
      </c>
      <c r="E371">
        <f>MONTH(OrdersTable[[#This Row],[Order Date]])</f>
        <v>3</v>
      </c>
      <c r="F371" t="s">
        <v>4083</v>
      </c>
      <c r="G371" t="str">
        <f>IF(OrdersTable[[#This Row],[Order Date]]=_xlfn.MINIFS(Order_Date, Customer_ID, OrdersTable[[#This Row],[Customer ID]]), "New", "Repeat")</f>
        <v>Repeat</v>
      </c>
      <c r="H371" t="s">
        <v>128</v>
      </c>
      <c r="I371" t="str">
        <f>INDEX(State!B:B,MATCH(OrdersTable[[#This Row],[State]],State!A:A,0))</f>
        <v>DL</v>
      </c>
      <c r="J371" t="str">
        <f>INDEX(State!C:C,MATCH(OrdersTable[[#This Row],[State Code]],State!B:B,0))</f>
        <v>North</v>
      </c>
      <c r="K371" t="s">
        <v>129</v>
      </c>
      <c r="L371" t="s">
        <v>16</v>
      </c>
      <c r="M371" t="s">
        <v>255</v>
      </c>
      <c r="N371" t="str">
        <f>INDEX(Products!B:B,MATCH(OrdersTable[[#This Row],[Product ID]],Products!A:A,0))</f>
        <v>Cotton Oversized T-Shirt</v>
      </c>
      <c r="O371" t="str">
        <f>INDEX(Products!C:C,MATCH(OrdersTable[[#This Row],[Product ID]],Products!A:A,0))</f>
        <v>Apparel</v>
      </c>
      <c r="P371">
        <v>1</v>
      </c>
      <c r="Q371" s="5">
        <v>799</v>
      </c>
      <c r="R371" s="74">
        <v>0.1</v>
      </c>
      <c r="S371" s="75">
        <f>OrdersTable[[#This Row],[Quantity]]*OrdersTable[[#This Row],[Unit Price]]</f>
        <v>799</v>
      </c>
      <c r="T371" s="5">
        <f>OrdersTable[[#This Row],[Gross Sale]]*OrdersTable[[#This Row],[Discount_Clean2]]</f>
        <v>79.900000000000006</v>
      </c>
      <c r="U371" s="5">
        <f>OrdersTable[[#This Row],[Gross Sale]]-OrdersTable[[#This Row],[Discount Amount]]</f>
        <v>719.1</v>
      </c>
      <c r="V371" s="77">
        <f>INDEX(Products!E:E,MATCH(OrdersTable[[#This Row],[Product ID]],Products!A:A,0))</f>
        <v>320</v>
      </c>
      <c r="W371" s="77">
        <f>OrdersTable[[#This Row],[Quantity]]*OrdersTable[[#This Row],[Unit Cost]]</f>
        <v>320</v>
      </c>
      <c r="X371" s="77">
        <f>'Dropdown Lists'!$I$2*(1+OrdersTable[[#This Row],[Returned]])</f>
        <v>60</v>
      </c>
      <c r="Y371" s="76">
        <f>OrdersTable[[#This Row],[Net Revenue]]-OrdersTable[[#This Row],[COGS]]-OrdersTable[[#This Row],[Shipping Cost]]</f>
        <v>339.1</v>
      </c>
      <c r="Z371" s="78">
        <f>IFERROR(OrdersTable[[#This Row],[Profit]]/OrdersTable[[#This Row],[Net Revenue]],0)</f>
        <v>0.47156167431511614</v>
      </c>
      <c r="AA371" t="s">
        <v>4074</v>
      </c>
      <c r="AB371" s="79">
        <v>45370</v>
      </c>
      <c r="AC371">
        <f>OrdersTable[[#This Row],[Delivery Date]]-OrdersTable[[#This Row],[Order Date]]</f>
        <v>1</v>
      </c>
      <c r="AD371" t="str">
        <f>IF(OrdersTable[[#This Row],[Delivery Days]]&lt;=2, "Express (≤2d)", IF(OrdersTable[[#This Row],[Delivery Days]]&lt;=4, "Standard (3-4d)", "Delayed (5d+)"))</f>
        <v>Express (≤2d)</v>
      </c>
      <c r="AE371">
        <v>5</v>
      </c>
      <c r="AF371">
        <v>0</v>
      </c>
    </row>
    <row r="372" spans="1:32" ht="15" x14ac:dyDescent="0.35">
      <c r="A372" t="s">
        <v>6262</v>
      </c>
      <c r="B372" s="1">
        <v>45369</v>
      </c>
      <c r="C372">
        <f>YEAR(OrdersTable[[#This Row],[Order Date]])</f>
        <v>2024</v>
      </c>
      <c r="D372" s="2">
        <f>DATE(YEAR(OrdersTable[[#This Row],[Order Date]]),MONTH(OrdersTable[[#This Row],[Order Date]]),1)</f>
        <v>45352</v>
      </c>
      <c r="E372">
        <f>MONTH(OrdersTable[[#This Row],[Order Date]])</f>
        <v>3</v>
      </c>
      <c r="F372" t="s">
        <v>313</v>
      </c>
      <c r="G372" t="str">
        <f>IF(OrdersTable[[#This Row],[Order Date]]=_xlfn.MINIFS(Order_Date, Customer_ID, OrdersTable[[#This Row],[Customer ID]]), "New", "Repeat")</f>
        <v>New</v>
      </c>
      <c r="H372" t="s">
        <v>123</v>
      </c>
      <c r="I372" t="str">
        <f>INDEX(State!B:B,MATCH(OrdersTable[[#This Row],[State]],State!A:A,0))</f>
        <v>JH</v>
      </c>
      <c r="J372" t="str">
        <f>INDEX(State!C:C,MATCH(OrdersTable[[#This Row],[State Code]],State!B:B,0))</f>
        <v>East</v>
      </c>
      <c r="K372" t="s">
        <v>124</v>
      </c>
      <c r="L372" t="s">
        <v>23</v>
      </c>
      <c r="M372" t="s">
        <v>152</v>
      </c>
      <c r="N372" t="str">
        <f>INDEX(Products!B:B,MATCH(OrdersTable[[#This Row],[Product ID]],Products!A:A,0))</f>
        <v>Green Tea (100 bags)</v>
      </c>
      <c r="O372" t="str">
        <f>INDEX(Products!C:C,MATCH(OrdersTable[[#This Row],[Product ID]],Products!A:A,0))</f>
        <v>Wellness</v>
      </c>
      <c r="P372">
        <v>2</v>
      </c>
      <c r="Q372" s="5">
        <v>399</v>
      </c>
      <c r="R372" s="74">
        <v>0.4</v>
      </c>
      <c r="S372" s="75">
        <f>OrdersTable[[#This Row],[Quantity]]*OrdersTable[[#This Row],[Unit Price]]</f>
        <v>798</v>
      </c>
      <c r="T372" s="5">
        <f>OrdersTable[[#This Row],[Gross Sale]]*OrdersTable[[#This Row],[Discount_Clean2]]</f>
        <v>319.20000000000005</v>
      </c>
      <c r="U372" s="5">
        <f>OrdersTable[[#This Row],[Gross Sale]]-OrdersTable[[#This Row],[Discount Amount]]</f>
        <v>478.79999999999995</v>
      </c>
      <c r="V372" s="77">
        <f>INDEX(Products!E:E,MATCH(OrdersTable[[#This Row],[Product ID]],Products!A:A,0))</f>
        <v>128</v>
      </c>
      <c r="W372" s="77">
        <f>OrdersTable[[#This Row],[Quantity]]*OrdersTable[[#This Row],[Unit Cost]]</f>
        <v>256</v>
      </c>
      <c r="X372" s="77">
        <f>'Dropdown Lists'!$I$2*(1+OrdersTable[[#This Row],[Returned]])</f>
        <v>60</v>
      </c>
      <c r="Y372" s="76">
        <f>OrdersTable[[#This Row],[Net Revenue]]-OrdersTable[[#This Row],[COGS]]-OrdersTable[[#This Row],[Shipping Cost]]</f>
        <v>162.79999999999995</v>
      </c>
      <c r="Z372" s="78">
        <f>IFERROR(OrdersTable[[#This Row],[Profit]]/OrdersTable[[#This Row],[Net Revenue]],0)</f>
        <v>0.34001670843776099</v>
      </c>
      <c r="AA372" t="s">
        <v>18</v>
      </c>
      <c r="AB372" s="79">
        <v>45372</v>
      </c>
      <c r="AC372">
        <f>OrdersTable[[#This Row],[Delivery Date]]-OrdersTable[[#This Row],[Order Date]]</f>
        <v>3</v>
      </c>
      <c r="AD372" t="str">
        <f>IF(OrdersTable[[#This Row],[Delivery Days]]&lt;=2, "Express (≤2d)", IF(OrdersTable[[#This Row],[Delivery Days]]&lt;=4, "Standard (3-4d)", "Delayed (5d+)"))</f>
        <v>Standard (3-4d)</v>
      </c>
      <c r="AE372">
        <v>4</v>
      </c>
      <c r="AF372">
        <v>0</v>
      </c>
    </row>
    <row r="373" spans="1:32" ht="15" x14ac:dyDescent="0.35">
      <c r="A373" t="s">
        <v>1217</v>
      </c>
      <c r="B373" s="1">
        <v>45369</v>
      </c>
      <c r="C373">
        <f>YEAR(OrdersTable[[#This Row],[Order Date]])</f>
        <v>2024</v>
      </c>
      <c r="D373" s="2">
        <f>DATE(YEAR(OrdersTable[[#This Row],[Order Date]]),MONTH(OrdersTable[[#This Row],[Order Date]]),1)</f>
        <v>45352</v>
      </c>
      <c r="E373">
        <f>MONTH(OrdersTable[[#This Row],[Order Date]])</f>
        <v>3</v>
      </c>
      <c r="F373" t="s">
        <v>1218</v>
      </c>
      <c r="G373" t="str">
        <f>IF(OrdersTable[[#This Row],[Order Date]]=_xlfn.MINIFS(Order_Date, Customer_ID, OrdersTable[[#This Row],[Customer ID]]), "New", "Repeat")</f>
        <v>New</v>
      </c>
      <c r="H373" t="s">
        <v>27</v>
      </c>
      <c r="I373" t="str">
        <f>INDEX(State!B:B,MATCH(OrdersTable[[#This Row],[State]],State!A:A,0))</f>
        <v>WB</v>
      </c>
      <c r="J373" t="str">
        <f>INDEX(State!C:C,MATCH(OrdersTable[[#This Row],[State Code]],State!B:B,0))</f>
        <v>East</v>
      </c>
      <c r="K373" t="s">
        <v>28</v>
      </c>
      <c r="L373" t="s">
        <v>16</v>
      </c>
      <c r="M373" t="s">
        <v>205</v>
      </c>
      <c r="N373" t="str">
        <f>INDEX(Products!B:B,MATCH(OrdersTable[[#This Row],[Product ID]],Products!A:A,0))</f>
        <v>Running Shoes</v>
      </c>
      <c r="O373" t="str">
        <f>INDEX(Products!C:C,MATCH(OrdersTable[[#This Row],[Product ID]],Products!A:A,0))</f>
        <v>Footwear</v>
      </c>
      <c r="P373">
        <v>1</v>
      </c>
      <c r="Q373" s="5">
        <v>2999</v>
      </c>
      <c r="R373" s="74">
        <v>0.25</v>
      </c>
      <c r="S373" s="75">
        <f>OrdersTable[[#This Row],[Quantity]]*OrdersTable[[#This Row],[Unit Price]]</f>
        <v>2999</v>
      </c>
      <c r="T373" s="5">
        <f>OrdersTable[[#This Row],[Gross Sale]]*OrdersTable[[#This Row],[Discount_Clean2]]</f>
        <v>749.75</v>
      </c>
      <c r="U373" s="5">
        <f>OrdersTable[[#This Row],[Gross Sale]]-OrdersTable[[#This Row],[Discount Amount]]</f>
        <v>2249.25</v>
      </c>
      <c r="V373" s="77">
        <f>INDEX(Products!E:E,MATCH(OrdersTable[[#This Row],[Product ID]],Products!A:A,0))</f>
        <v>1440</v>
      </c>
      <c r="W373" s="77">
        <f>OrdersTable[[#This Row],[Quantity]]*OrdersTable[[#This Row],[Unit Cost]]</f>
        <v>1440</v>
      </c>
      <c r="X373" s="77">
        <f>'Dropdown Lists'!$I$2*(1+OrdersTable[[#This Row],[Returned]])</f>
        <v>120</v>
      </c>
      <c r="Y373" s="76">
        <f>OrdersTable[[#This Row],[Net Revenue]]-OrdersTable[[#This Row],[COGS]]-OrdersTable[[#This Row],[Shipping Cost]]</f>
        <v>689.25</v>
      </c>
      <c r="Z373" s="78">
        <f>IFERROR(OrdersTable[[#This Row],[Profit]]/OrdersTable[[#This Row],[Net Revenue]],0)</f>
        <v>0.30643547849283093</v>
      </c>
      <c r="AA373" t="s">
        <v>18</v>
      </c>
      <c r="AB373" s="79">
        <v>45371</v>
      </c>
      <c r="AC373">
        <f>OrdersTable[[#This Row],[Delivery Date]]-OrdersTable[[#This Row],[Order Date]]</f>
        <v>2</v>
      </c>
      <c r="AD373" t="str">
        <f>IF(OrdersTable[[#This Row],[Delivery Days]]&lt;=2, "Express (≤2d)", IF(OrdersTable[[#This Row],[Delivery Days]]&lt;=4, "Standard (3-4d)", "Delayed (5d+)"))</f>
        <v>Express (≤2d)</v>
      </c>
      <c r="AF373">
        <v>1</v>
      </c>
    </row>
    <row r="374" spans="1:32" ht="15" x14ac:dyDescent="0.35">
      <c r="A374" t="s">
        <v>1841</v>
      </c>
      <c r="B374" s="1">
        <v>45369</v>
      </c>
      <c r="C374">
        <f>YEAR(OrdersTable[[#This Row],[Order Date]])</f>
        <v>2024</v>
      </c>
      <c r="D374" s="2">
        <f>DATE(YEAR(OrdersTable[[#This Row],[Order Date]]),MONTH(OrdersTable[[#This Row],[Order Date]]),1)</f>
        <v>45352</v>
      </c>
      <c r="E374">
        <f>MONTH(OrdersTable[[#This Row],[Order Date]])</f>
        <v>3</v>
      </c>
      <c r="F374" t="s">
        <v>1842</v>
      </c>
      <c r="G374" t="str">
        <f>IF(OrdersTable[[#This Row],[Order Date]]=_xlfn.MINIFS(Order_Date, Customer_ID, OrdersTable[[#This Row],[Customer ID]]), "New", "Repeat")</f>
        <v>New</v>
      </c>
      <c r="H374" t="s">
        <v>71</v>
      </c>
      <c r="I374" t="str">
        <f>INDEX(State!B:B,MATCH(OrdersTable[[#This Row],[State]],State!A:A,0))</f>
        <v>MH</v>
      </c>
      <c r="J374" t="str">
        <f>INDEX(State!C:C,MATCH(OrdersTable[[#This Row],[State Code]],State!B:B,0))</f>
        <v>West</v>
      </c>
      <c r="K374" t="s">
        <v>102</v>
      </c>
      <c r="L374" t="s">
        <v>39</v>
      </c>
      <c r="M374" t="s">
        <v>66</v>
      </c>
      <c r="N374" t="str">
        <f>INDEX(Products!B:B,MATCH(OrdersTable[[#This Row],[Product ID]],Products!A:A,0))</f>
        <v>Sunscreen SPF 50</v>
      </c>
      <c r="O374" t="str">
        <f>INDEX(Products!C:C,MATCH(OrdersTable[[#This Row],[Product ID]],Products!A:A,0))</f>
        <v>Skincare</v>
      </c>
      <c r="P374">
        <v>1</v>
      </c>
      <c r="Q374" s="5">
        <v>449</v>
      </c>
      <c r="R374" s="74">
        <v>0</v>
      </c>
      <c r="S374" s="75">
        <f>OrdersTable[[#This Row],[Quantity]]*OrdersTable[[#This Row],[Unit Price]]</f>
        <v>449</v>
      </c>
      <c r="T374" s="5">
        <f>OrdersTable[[#This Row],[Gross Sale]]*OrdersTable[[#This Row],[Discount_Clean2]]</f>
        <v>0</v>
      </c>
      <c r="U374" s="5">
        <f>OrdersTable[[#This Row],[Gross Sale]]-OrdersTable[[#This Row],[Discount Amount]]</f>
        <v>449</v>
      </c>
      <c r="V374" s="77">
        <f>INDEX(Products!E:E,MATCH(OrdersTable[[#This Row],[Product ID]],Products!A:A,0))</f>
        <v>144</v>
      </c>
      <c r="W374" s="77">
        <f>OrdersTable[[#This Row],[Quantity]]*OrdersTable[[#This Row],[Unit Cost]]</f>
        <v>144</v>
      </c>
      <c r="X374" s="77">
        <f>'Dropdown Lists'!$I$2*(1+OrdersTable[[#This Row],[Returned]])</f>
        <v>60</v>
      </c>
      <c r="Y374" s="76">
        <f>OrdersTable[[#This Row],[Net Revenue]]-OrdersTable[[#This Row],[COGS]]-OrdersTable[[#This Row],[Shipping Cost]]</f>
        <v>245</v>
      </c>
      <c r="Z374" s="78">
        <f>IFERROR(OrdersTable[[#This Row],[Profit]]/OrdersTable[[#This Row],[Net Revenue]],0)</f>
        <v>0.54565701559020041</v>
      </c>
      <c r="AA374" t="s">
        <v>18</v>
      </c>
      <c r="AB374" s="79">
        <v>45374</v>
      </c>
      <c r="AC374">
        <f>OrdersTable[[#This Row],[Delivery Date]]-OrdersTable[[#This Row],[Order Date]]</f>
        <v>5</v>
      </c>
      <c r="AD374" t="str">
        <f>IF(OrdersTable[[#This Row],[Delivery Days]]&lt;=2, "Express (≤2d)", IF(OrdersTable[[#This Row],[Delivery Days]]&lt;=4, "Standard (3-4d)", "Delayed (5d+)"))</f>
        <v>Delayed (5d+)</v>
      </c>
      <c r="AE374">
        <v>3</v>
      </c>
      <c r="AF374">
        <v>0</v>
      </c>
    </row>
    <row r="375" spans="1:32" ht="15" x14ac:dyDescent="0.35">
      <c r="A375" t="s">
        <v>731</v>
      </c>
      <c r="B375" s="1">
        <v>45369</v>
      </c>
      <c r="C375">
        <f>YEAR(OrdersTable[[#This Row],[Order Date]])</f>
        <v>2024</v>
      </c>
      <c r="D375" s="2">
        <f>DATE(YEAR(OrdersTable[[#This Row],[Order Date]]),MONTH(OrdersTable[[#This Row],[Order Date]]),1)</f>
        <v>45352</v>
      </c>
      <c r="E375">
        <f>MONTH(OrdersTable[[#This Row],[Order Date]])</f>
        <v>3</v>
      </c>
      <c r="F375" t="s">
        <v>335</v>
      </c>
      <c r="G375" t="str">
        <f>IF(OrdersTable[[#This Row],[Order Date]]=_xlfn.MINIFS(Order_Date, Customer_ID, OrdersTable[[#This Row],[Customer ID]]), "New", "Repeat")</f>
        <v>New</v>
      </c>
      <c r="H375" t="s">
        <v>167</v>
      </c>
      <c r="I375" t="str">
        <f>INDEX(State!B:B,MATCH(OrdersTable[[#This Row],[State]],State!A:A,0))</f>
        <v>KA</v>
      </c>
      <c r="J375" t="str">
        <f>INDEX(State!C:C,MATCH(OrdersTable[[#This Row],[State Code]],State!B:B,0))</f>
        <v>South</v>
      </c>
      <c r="K375" t="s">
        <v>190</v>
      </c>
      <c r="L375" t="s">
        <v>50</v>
      </c>
      <c r="M375" t="s">
        <v>61</v>
      </c>
      <c r="N375" t="str">
        <f>INDEX(Products!B:B,MATCH(OrdersTable[[#This Row],[Product ID]],Products!A:A,0))</f>
        <v>Multivitamin Gummies</v>
      </c>
      <c r="O375" t="str">
        <f>INDEX(Products!C:C,MATCH(OrdersTable[[#This Row],[Product ID]],Products!A:A,0))</f>
        <v>Wellness</v>
      </c>
      <c r="P375">
        <v>1</v>
      </c>
      <c r="Q375" s="5">
        <v>699</v>
      </c>
      <c r="R375" s="74">
        <v>0.3</v>
      </c>
      <c r="S375" s="75">
        <f>OrdersTable[[#This Row],[Quantity]]*OrdersTable[[#This Row],[Unit Price]]</f>
        <v>699</v>
      </c>
      <c r="T375" s="5">
        <f>OrdersTable[[#This Row],[Gross Sale]]*OrdersTable[[#This Row],[Discount_Clean2]]</f>
        <v>209.7</v>
      </c>
      <c r="U375" s="5">
        <f>OrdersTable[[#This Row],[Gross Sale]]-OrdersTable[[#This Row],[Discount Amount]]</f>
        <v>489.3</v>
      </c>
      <c r="V375" s="77">
        <f>INDEX(Products!E:E,MATCH(OrdersTable[[#This Row],[Product ID]],Products!A:A,0))</f>
        <v>238</v>
      </c>
      <c r="W375" s="77">
        <f>OrdersTable[[#This Row],[Quantity]]*OrdersTable[[#This Row],[Unit Cost]]</f>
        <v>238</v>
      </c>
      <c r="X375" s="77">
        <f>'Dropdown Lists'!$I$2*(1+OrdersTable[[#This Row],[Returned]])</f>
        <v>60</v>
      </c>
      <c r="Y375" s="76">
        <f>OrdersTable[[#This Row],[Net Revenue]]-OrdersTable[[#This Row],[COGS]]-OrdersTable[[#This Row],[Shipping Cost]]</f>
        <v>191.3</v>
      </c>
      <c r="Z375" s="78">
        <f>IFERROR(OrdersTable[[#This Row],[Profit]]/OrdersTable[[#This Row],[Net Revenue]],0)</f>
        <v>0.39096668710402616</v>
      </c>
      <c r="AA375" t="s">
        <v>18</v>
      </c>
      <c r="AB375" s="79">
        <v>45370</v>
      </c>
      <c r="AC375">
        <f>OrdersTable[[#This Row],[Delivery Date]]-OrdersTable[[#This Row],[Order Date]]</f>
        <v>1</v>
      </c>
      <c r="AD375" t="str">
        <f>IF(OrdersTable[[#This Row],[Delivery Days]]&lt;=2, "Express (≤2d)", IF(OrdersTable[[#This Row],[Delivery Days]]&lt;=4, "Standard (3-4d)", "Delayed (5d+)"))</f>
        <v>Express (≤2d)</v>
      </c>
      <c r="AE375">
        <v>4</v>
      </c>
      <c r="AF375">
        <v>0</v>
      </c>
    </row>
    <row r="376" spans="1:32" ht="15" x14ac:dyDescent="0.35">
      <c r="A376" t="s">
        <v>6263</v>
      </c>
      <c r="B376" s="1">
        <v>45369</v>
      </c>
      <c r="C376">
        <f>YEAR(OrdersTable[[#This Row],[Order Date]])</f>
        <v>2024</v>
      </c>
      <c r="D376" s="2">
        <f>DATE(YEAR(OrdersTable[[#This Row],[Order Date]]),MONTH(OrdersTable[[#This Row],[Order Date]]),1)</f>
        <v>45352</v>
      </c>
      <c r="E376">
        <f>MONTH(OrdersTable[[#This Row],[Order Date]])</f>
        <v>3</v>
      </c>
      <c r="F376" t="s">
        <v>6264</v>
      </c>
      <c r="G376" t="str">
        <f>IF(OrdersTable[[#This Row],[Order Date]]=_xlfn.MINIFS(Order_Date, Customer_ID, OrdersTable[[#This Row],[Customer ID]]), "New", "Repeat")</f>
        <v>New</v>
      </c>
      <c r="H376" t="s">
        <v>167</v>
      </c>
      <c r="I376" t="str">
        <f>INDEX(State!B:B,MATCH(OrdersTable[[#This Row],[State]],State!A:A,0))</f>
        <v>KA</v>
      </c>
      <c r="J376" t="str">
        <f>INDEX(State!C:C,MATCH(OrdersTable[[#This Row],[State Code]],State!B:B,0))</f>
        <v>South</v>
      </c>
      <c r="K376" t="s">
        <v>168</v>
      </c>
      <c r="L376" t="s">
        <v>23</v>
      </c>
      <c r="M376" t="s">
        <v>51</v>
      </c>
      <c r="N376" t="str">
        <f>INDEX(Products!B:B,MATCH(OrdersTable[[#This Row],[Product ID]],Products!A:A,0))</f>
        <v>Anti-Dandruff Conditioner</v>
      </c>
      <c r="O376" t="str">
        <f>INDEX(Products!C:C,MATCH(OrdersTable[[#This Row],[Product ID]],Products!A:A,0))</f>
        <v>Haircare</v>
      </c>
      <c r="P376">
        <v>2</v>
      </c>
      <c r="Q376" s="5">
        <v>399</v>
      </c>
      <c r="R376" s="74">
        <v>0.45</v>
      </c>
      <c r="S376" s="75">
        <f>OrdersTable[[#This Row],[Quantity]]*OrdersTable[[#This Row],[Unit Price]]</f>
        <v>798</v>
      </c>
      <c r="T376" s="5">
        <f>OrdersTable[[#This Row],[Gross Sale]]*OrdersTable[[#This Row],[Discount_Clean2]]</f>
        <v>359.1</v>
      </c>
      <c r="U376" s="5">
        <f>OrdersTable[[#This Row],[Gross Sale]]-OrdersTable[[#This Row],[Discount Amount]]</f>
        <v>438.9</v>
      </c>
      <c r="V376" s="77">
        <f>INDEX(Products!E:E,MATCH(OrdersTable[[#This Row],[Product ID]],Products!A:A,0))</f>
        <v>136</v>
      </c>
      <c r="W376" s="77">
        <f>OrdersTable[[#This Row],[Quantity]]*OrdersTable[[#This Row],[Unit Cost]]</f>
        <v>272</v>
      </c>
      <c r="X376" s="77">
        <f>'Dropdown Lists'!$I$2*(1+OrdersTable[[#This Row],[Returned]])</f>
        <v>60</v>
      </c>
      <c r="Y376" s="76">
        <f>OrdersTable[[#This Row],[Net Revenue]]-OrdersTable[[#This Row],[COGS]]-OrdersTable[[#This Row],[Shipping Cost]]</f>
        <v>106.89999999999998</v>
      </c>
      <c r="Z376" s="78">
        <f>IFERROR(OrdersTable[[#This Row],[Profit]]/OrdersTable[[#This Row],[Net Revenue]],0)</f>
        <v>0.24356345408976984</v>
      </c>
      <c r="AA376" t="s">
        <v>18</v>
      </c>
      <c r="AB376" s="79">
        <v>45371</v>
      </c>
      <c r="AC376">
        <f>OrdersTable[[#This Row],[Delivery Date]]-OrdersTable[[#This Row],[Order Date]]</f>
        <v>2</v>
      </c>
      <c r="AD376" t="str">
        <f>IF(OrdersTable[[#This Row],[Delivery Days]]&lt;=2, "Express (≤2d)", IF(OrdersTable[[#This Row],[Delivery Days]]&lt;=4, "Standard (3-4d)", "Delayed (5d+)"))</f>
        <v>Express (≤2d)</v>
      </c>
      <c r="AE376">
        <v>4</v>
      </c>
      <c r="AF376">
        <v>0</v>
      </c>
    </row>
    <row r="377" spans="1:32" ht="15" x14ac:dyDescent="0.35">
      <c r="A377" t="s">
        <v>1843</v>
      </c>
      <c r="B377" s="1">
        <v>45370</v>
      </c>
      <c r="C377">
        <f>YEAR(OrdersTable[[#This Row],[Order Date]])</f>
        <v>2024</v>
      </c>
      <c r="D377" s="2">
        <f>DATE(YEAR(OrdersTable[[#This Row],[Order Date]]),MONTH(OrdersTable[[#This Row],[Order Date]]),1)</f>
        <v>45352</v>
      </c>
      <c r="E377">
        <f>MONTH(OrdersTable[[#This Row],[Order Date]])</f>
        <v>3</v>
      </c>
      <c r="F377" t="s">
        <v>1844</v>
      </c>
      <c r="G377" t="str">
        <f>IF(OrdersTable[[#This Row],[Order Date]]=_xlfn.MINIFS(Order_Date, Customer_ID, OrdersTable[[#This Row],[Customer ID]]), "New", "Repeat")</f>
        <v>New</v>
      </c>
      <c r="H377" t="s">
        <v>158</v>
      </c>
      <c r="I377" t="str">
        <f>INDEX(State!B:B,MATCH(OrdersTable[[#This Row],[State]],State!A:A,0))</f>
        <v>HP</v>
      </c>
      <c r="J377" t="str">
        <f>INDEX(State!C:C,MATCH(OrdersTable[[#This Row],[State Code]],State!B:B,0))</f>
        <v>North</v>
      </c>
      <c r="K377" t="s">
        <v>159</v>
      </c>
      <c r="L377" t="s">
        <v>50</v>
      </c>
      <c r="M377" t="s">
        <v>106</v>
      </c>
      <c r="N377" t="str">
        <f>INDEX(Products!B:B,MATCH(OrdersTable[[#This Row],[Product ID]],Products!A:A,0))</f>
        <v>Keratin Hair Mask</v>
      </c>
      <c r="O377" t="str">
        <f>INDEX(Products!C:C,MATCH(OrdersTable[[#This Row],[Product ID]],Products!A:A,0))</f>
        <v>Haircare</v>
      </c>
      <c r="P377">
        <v>1</v>
      </c>
      <c r="Q377" s="5">
        <v>549</v>
      </c>
      <c r="R377" s="74">
        <v>0.1</v>
      </c>
      <c r="S377" s="75">
        <f>OrdersTable[[#This Row],[Quantity]]*OrdersTable[[#This Row],[Unit Price]]</f>
        <v>549</v>
      </c>
      <c r="T377" s="5">
        <f>OrdersTable[[#This Row],[Gross Sale]]*OrdersTable[[#This Row],[Discount_Clean2]]</f>
        <v>54.900000000000006</v>
      </c>
      <c r="U377" s="5">
        <f>OrdersTable[[#This Row],[Gross Sale]]-OrdersTable[[#This Row],[Discount Amount]]</f>
        <v>494.1</v>
      </c>
      <c r="V377" s="77">
        <f>INDEX(Products!E:E,MATCH(OrdersTable[[#This Row],[Product ID]],Products!A:A,0))</f>
        <v>170</v>
      </c>
      <c r="W377" s="77">
        <f>OrdersTable[[#This Row],[Quantity]]*OrdersTable[[#This Row],[Unit Cost]]</f>
        <v>170</v>
      </c>
      <c r="X377" s="77">
        <f>'Dropdown Lists'!$I$2*(1+OrdersTable[[#This Row],[Returned]])</f>
        <v>120</v>
      </c>
      <c r="Y377" s="76">
        <f>OrdersTable[[#This Row],[Net Revenue]]-OrdersTable[[#This Row],[COGS]]-OrdersTable[[#This Row],[Shipping Cost]]</f>
        <v>204.10000000000002</v>
      </c>
      <c r="Z377" s="78">
        <f>IFERROR(OrdersTable[[#This Row],[Profit]]/OrdersTable[[#This Row],[Net Revenue]],0)</f>
        <v>0.41307427646225464</v>
      </c>
      <c r="AA377" t="s">
        <v>18</v>
      </c>
      <c r="AB377" s="79">
        <v>45375</v>
      </c>
      <c r="AC377">
        <f>OrdersTable[[#This Row],[Delivery Date]]-OrdersTable[[#This Row],[Order Date]]</f>
        <v>5</v>
      </c>
      <c r="AD377" t="str">
        <f>IF(OrdersTable[[#This Row],[Delivery Days]]&lt;=2, "Express (≤2d)", IF(OrdersTable[[#This Row],[Delivery Days]]&lt;=4, "Standard (3-4d)", "Delayed (5d+)"))</f>
        <v>Delayed (5d+)</v>
      </c>
      <c r="AE377">
        <v>3</v>
      </c>
      <c r="AF377">
        <v>1</v>
      </c>
    </row>
    <row r="378" spans="1:32" ht="15" x14ac:dyDescent="0.35">
      <c r="A378" t="s">
        <v>6474</v>
      </c>
      <c r="B378" s="1">
        <v>45370</v>
      </c>
      <c r="C378">
        <f>YEAR(OrdersTable[[#This Row],[Order Date]])</f>
        <v>2024</v>
      </c>
      <c r="D378" s="2">
        <f>DATE(YEAR(OrdersTable[[#This Row],[Order Date]]),MONTH(OrdersTable[[#This Row],[Order Date]]),1)</f>
        <v>45352</v>
      </c>
      <c r="E378">
        <f>MONTH(OrdersTable[[#This Row],[Order Date]])</f>
        <v>3</v>
      </c>
      <c r="F378" t="s">
        <v>819</v>
      </c>
      <c r="G378" t="str">
        <f>IF(OrdersTable[[#This Row],[Order Date]]=_xlfn.MINIFS(Order_Date, Customer_ID, OrdersTable[[#This Row],[Customer ID]]), "New", "Repeat")</f>
        <v>New</v>
      </c>
      <c r="H378" t="s">
        <v>37</v>
      </c>
      <c r="I378" t="str">
        <f>INDEX(State!B:B,MATCH(OrdersTable[[#This Row],[State]],State!A:A,0))</f>
        <v>GJ</v>
      </c>
      <c r="J378" t="str">
        <f>INDEX(State!C:C,MATCH(OrdersTable[[#This Row],[State Code]],State!B:B,0))</f>
        <v>West</v>
      </c>
      <c r="K378" t="s">
        <v>247</v>
      </c>
      <c r="L378" t="s">
        <v>39</v>
      </c>
      <c r="M378" t="s">
        <v>61</v>
      </c>
      <c r="N378" t="str">
        <f>INDEX(Products!B:B,MATCH(OrdersTable[[#This Row],[Product ID]],Products!A:A,0))</f>
        <v>Multivitamin Gummies</v>
      </c>
      <c r="O378" t="str">
        <f>INDEX(Products!C:C,MATCH(OrdersTable[[#This Row],[Product ID]],Products!A:A,0))</f>
        <v>Wellness</v>
      </c>
      <c r="P378">
        <v>3</v>
      </c>
      <c r="Q378" s="5">
        <v>699</v>
      </c>
      <c r="R378" s="74">
        <v>0.15</v>
      </c>
      <c r="S378" s="75">
        <f>OrdersTable[[#This Row],[Quantity]]*OrdersTable[[#This Row],[Unit Price]]</f>
        <v>2097</v>
      </c>
      <c r="T378" s="5">
        <f>OrdersTable[[#This Row],[Gross Sale]]*OrdersTable[[#This Row],[Discount_Clean2]]</f>
        <v>314.55</v>
      </c>
      <c r="U378" s="5">
        <f>OrdersTable[[#This Row],[Gross Sale]]-OrdersTable[[#This Row],[Discount Amount]]</f>
        <v>1782.45</v>
      </c>
      <c r="V378" s="77">
        <f>INDEX(Products!E:E,MATCH(OrdersTable[[#This Row],[Product ID]],Products!A:A,0))</f>
        <v>238</v>
      </c>
      <c r="W378" s="77">
        <f>OrdersTable[[#This Row],[Quantity]]*OrdersTable[[#This Row],[Unit Cost]]</f>
        <v>714</v>
      </c>
      <c r="X378" s="77">
        <f>'Dropdown Lists'!$I$2*(1+OrdersTable[[#This Row],[Returned]])</f>
        <v>60</v>
      </c>
      <c r="Y378" s="76">
        <f>OrdersTable[[#This Row],[Net Revenue]]-OrdersTable[[#This Row],[COGS]]-OrdersTable[[#This Row],[Shipping Cost]]</f>
        <v>1008.45</v>
      </c>
      <c r="Z378" s="78">
        <f>IFERROR(OrdersTable[[#This Row],[Profit]]/OrdersTable[[#This Row],[Net Revenue]],0)</f>
        <v>0.56576622065135063</v>
      </c>
      <c r="AA378" t="s">
        <v>18</v>
      </c>
      <c r="AB378" s="79">
        <v>45373</v>
      </c>
      <c r="AC378">
        <f>OrdersTable[[#This Row],[Delivery Date]]-OrdersTable[[#This Row],[Order Date]]</f>
        <v>3</v>
      </c>
      <c r="AD378" t="str">
        <f>IF(OrdersTable[[#This Row],[Delivery Days]]&lt;=2, "Express (≤2d)", IF(OrdersTable[[#This Row],[Delivery Days]]&lt;=4, "Standard (3-4d)", "Delayed (5d+)"))</f>
        <v>Standard (3-4d)</v>
      </c>
      <c r="AF378">
        <v>0</v>
      </c>
    </row>
    <row r="379" spans="1:32" ht="15" x14ac:dyDescent="0.35">
      <c r="A379" t="s">
        <v>6475</v>
      </c>
      <c r="B379" s="1">
        <v>45370</v>
      </c>
      <c r="C379">
        <f>YEAR(OrdersTable[[#This Row],[Order Date]])</f>
        <v>2024</v>
      </c>
      <c r="D379" s="2">
        <f>DATE(YEAR(OrdersTable[[#This Row],[Order Date]]),MONTH(OrdersTable[[#This Row],[Order Date]]),1)</f>
        <v>45352</v>
      </c>
      <c r="E379">
        <f>MONTH(OrdersTable[[#This Row],[Order Date]])</f>
        <v>3</v>
      </c>
      <c r="F379" t="s">
        <v>6476</v>
      </c>
      <c r="G379" t="str">
        <f>IF(OrdersTable[[#This Row],[Order Date]]=_xlfn.MINIFS(Order_Date, Customer_ID, OrdersTable[[#This Row],[Customer ID]]), "New", "Repeat")</f>
        <v>New</v>
      </c>
      <c r="H379" t="s">
        <v>43</v>
      </c>
      <c r="I379" t="str">
        <f>INDEX(State!B:B,MATCH(OrdersTable[[#This Row],[State]],State!A:A,0))</f>
        <v>MP</v>
      </c>
      <c r="J379" t="str">
        <f>INDEX(State!C:C,MATCH(OrdersTable[[#This Row],[State Code]],State!B:B,0))</f>
        <v>West</v>
      </c>
      <c r="K379" t="s">
        <v>44</v>
      </c>
      <c r="L379" t="s">
        <v>23</v>
      </c>
      <c r="M379" t="s">
        <v>73</v>
      </c>
      <c r="N379" t="str">
        <f>INDEX(Products!B:B,MATCH(OrdersTable[[#This Row],[Product ID]],Products!A:A,0))</f>
        <v>Hydrating Face Wash</v>
      </c>
      <c r="O379" t="str">
        <f>INDEX(Products!C:C,MATCH(OrdersTable[[#This Row],[Product ID]],Products!A:A,0))</f>
        <v>Skincare</v>
      </c>
      <c r="P379">
        <v>3</v>
      </c>
      <c r="Q379" s="5">
        <v>299</v>
      </c>
      <c r="R379" s="74">
        <v>0</v>
      </c>
      <c r="S379" s="75">
        <f>OrdersTable[[#This Row],[Quantity]]*OrdersTable[[#This Row],[Unit Price]]</f>
        <v>897</v>
      </c>
      <c r="T379" s="5">
        <f>OrdersTable[[#This Row],[Gross Sale]]*OrdersTable[[#This Row],[Discount_Clean2]]</f>
        <v>0</v>
      </c>
      <c r="U379" s="5">
        <f>OrdersTable[[#This Row],[Gross Sale]]-OrdersTable[[#This Row],[Discount Amount]]</f>
        <v>897</v>
      </c>
      <c r="V379" s="77">
        <f>INDEX(Products!E:E,MATCH(OrdersTable[[#This Row],[Product ID]],Products!A:A,0))</f>
        <v>90</v>
      </c>
      <c r="W379" s="77">
        <f>OrdersTable[[#This Row],[Quantity]]*OrdersTable[[#This Row],[Unit Cost]]</f>
        <v>270</v>
      </c>
      <c r="X379" s="77">
        <f>'Dropdown Lists'!$I$2*(1+OrdersTable[[#This Row],[Returned]])</f>
        <v>60</v>
      </c>
      <c r="Y379" s="76">
        <f>OrdersTable[[#This Row],[Net Revenue]]-OrdersTable[[#This Row],[COGS]]-OrdersTable[[#This Row],[Shipping Cost]]</f>
        <v>567</v>
      </c>
      <c r="Z379" s="78">
        <f>IFERROR(OrdersTable[[#This Row],[Profit]]/OrdersTable[[#This Row],[Net Revenue]],0)</f>
        <v>0.63210702341137126</v>
      </c>
      <c r="AA379" t="s">
        <v>18</v>
      </c>
      <c r="AB379" s="79">
        <v>45374</v>
      </c>
      <c r="AC379">
        <f>OrdersTable[[#This Row],[Delivery Date]]-OrdersTable[[#This Row],[Order Date]]</f>
        <v>4</v>
      </c>
      <c r="AD379" t="str">
        <f>IF(OrdersTable[[#This Row],[Delivery Days]]&lt;=2, "Express (≤2d)", IF(OrdersTable[[#This Row],[Delivery Days]]&lt;=4, "Standard (3-4d)", "Delayed (5d+)"))</f>
        <v>Standard (3-4d)</v>
      </c>
      <c r="AE379">
        <v>3</v>
      </c>
      <c r="AF379">
        <v>0</v>
      </c>
    </row>
    <row r="380" spans="1:32" ht="15" x14ac:dyDescent="0.35">
      <c r="A380" t="s">
        <v>5659</v>
      </c>
      <c r="B380" s="1">
        <v>45370</v>
      </c>
      <c r="C380">
        <f>YEAR(OrdersTable[[#This Row],[Order Date]])</f>
        <v>2024</v>
      </c>
      <c r="D380" s="2">
        <f>DATE(YEAR(OrdersTable[[#This Row],[Order Date]]),MONTH(OrdersTable[[#This Row],[Order Date]]),1)</f>
        <v>45352</v>
      </c>
      <c r="E380">
        <f>MONTH(OrdersTable[[#This Row],[Order Date]])</f>
        <v>3</v>
      </c>
      <c r="F380" t="s">
        <v>2884</v>
      </c>
      <c r="G380" t="str">
        <f>IF(OrdersTable[[#This Row],[Order Date]]=_xlfn.MINIFS(Order_Date, Customer_ID, OrdersTable[[#This Row],[Customer ID]]), "New", "Repeat")</f>
        <v>New</v>
      </c>
      <c r="H380" t="s">
        <v>14</v>
      </c>
      <c r="I380" t="str">
        <f>INDEX(State!B:B,MATCH(OrdersTable[[#This Row],[State]],State!A:A,0))</f>
        <v>OD</v>
      </c>
      <c r="J380" t="str">
        <f>INDEX(State!C:C,MATCH(OrdersTable[[#This Row],[State Code]],State!B:B,0))</f>
        <v>East</v>
      </c>
      <c r="K380" t="s">
        <v>15</v>
      </c>
      <c r="L380" t="s">
        <v>16</v>
      </c>
      <c r="M380" t="s">
        <v>255</v>
      </c>
      <c r="N380" t="str">
        <f>INDEX(Products!B:B,MATCH(OrdersTable[[#This Row],[Product ID]],Products!A:A,0))</f>
        <v>Cotton Oversized T-Shirt</v>
      </c>
      <c r="O380" t="str">
        <f>INDEX(Products!C:C,MATCH(OrdersTable[[#This Row],[Product ID]],Products!A:A,0))</f>
        <v>Apparel</v>
      </c>
      <c r="P380">
        <v>2</v>
      </c>
      <c r="Q380" s="5">
        <v>799</v>
      </c>
      <c r="R380" s="74">
        <v>0.1</v>
      </c>
      <c r="S380" s="75">
        <f>OrdersTable[[#This Row],[Quantity]]*OrdersTable[[#This Row],[Unit Price]]</f>
        <v>1598</v>
      </c>
      <c r="T380" s="5">
        <f>OrdersTable[[#This Row],[Gross Sale]]*OrdersTable[[#This Row],[Discount_Clean2]]</f>
        <v>159.80000000000001</v>
      </c>
      <c r="U380" s="5">
        <f>OrdersTable[[#This Row],[Gross Sale]]-OrdersTable[[#This Row],[Discount Amount]]</f>
        <v>1438.2</v>
      </c>
      <c r="V380" s="77">
        <f>INDEX(Products!E:E,MATCH(OrdersTable[[#This Row],[Product ID]],Products!A:A,0))</f>
        <v>320</v>
      </c>
      <c r="W380" s="77">
        <f>OrdersTable[[#This Row],[Quantity]]*OrdersTable[[#This Row],[Unit Cost]]</f>
        <v>640</v>
      </c>
      <c r="X380" s="77">
        <f>'Dropdown Lists'!$I$2*(1+OrdersTable[[#This Row],[Returned]])</f>
        <v>60</v>
      </c>
      <c r="Y380" s="76">
        <f>OrdersTable[[#This Row],[Net Revenue]]-OrdersTable[[#This Row],[COGS]]-OrdersTable[[#This Row],[Shipping Cost]]</f>
        <v>738.2</v>
      </c>
      <c r="Z380" s="78">
        <f>IFERROR(OrdersTable[[#This Row],[Profit]]/OrdersTable[[#This Row],[Net Revenue]],0)</f>
        <v>0.51328048950076488</v>
      </c>
      <c r="AA380" t="s">
        <v>18</v>
      </c>
      <c r="AB380" s="79">
        <v>45375</v>
      </c>
      <c r="AC380">
        <f>OrdersTable[[#This Row],[Delivery Date]]-OrdersTable[[#This Row],[Order Date]]</f>
        <v>5</v>
      </c>
      <c r="AD380" t="str">
        <f>IF(OrdersTable[[#This Row],[Delivery Days]]&lt;=2, "Express (≤2d)", IF(OrdersTable[[#This Row],[Delivery Days]]&lt;=4, "Standard (3-4d)", "Delayed (5d+)"))</f>
        <v>Delayed (5d+)</v>
      </c>
      <c r="AE380">
        <v>3</v>
      </c>
      <c r="AF380">
        <v>0</v>
      </c>
    </row>
    <row r="381" spans="1:32" ht="15" x14ac:dyDescent="0.35">
      <c r="A381" t="s">
        <v>5308</v>
      </c>
      <c r="B381" s="1">
        <v>45371</v>
      </c>
      <c r="C381">
        <f>YEAR(OrdersTable[[#This Row],[Order Date]])</f>
        <v>2024</v>
      </c>
      <c r="D381" s="2">
        <f>DATE(YEAR(OrdersTable[[#This Row],[Order Date]]),MONTH(OrdersTable[[#This Row],[Order Date]]),1)</f>
        <v>45352</v>
      </c>
      <c r="E381">
        <f>MONTH(OrdersTable[[#This Row],[Order Date]])</f>
        <v>3</v>
      </c>
      <c r="F381" t="s">
        <v>3842</v>
      </c>
      <c r="G381" t="str">
        <f>IF(OrdersTable[[#This Row],[Order Date]]=_xlfn.MINIFS(Order_Date, Customer_ID, OrdersTable[[#This Row],[Customer ID]]), "New", "Repeat")</f>
        <v>Repeat</v>
      </c>
      <c r="H381" t="s">
        <v>37</v>
      </c>
      <c r="I381" t="str">
        <f>INDEX(State!B:B,MATCH(OrdersTable[[#This Row],[State]],State!A:A,0))</f>
        <v>GJ</v>
      </c>
      <c r="J381" t="str">
        <f>INDEX(State!C:C,MATCH(OrdersTable[[#This Row],[State Code]],State!B:B,0))</f>
        <v>West</v>
      </c>
      <c r="K381" t="s">
        <v>247</v>
      </c>
      <c r="L381" t="s">
        <v>23</v>
      </c>
      <c r="M381" t="s">
        <v>40</v>
      </c>
      <c r="N381" t="str">
        <f>INDEX(Products!B:B,MATCH(OrdersTable[[#This Row],[Product ID]],Products!A:A,0))</f>
        <v>Ashwagandha Capsules</v>
      </c>
      <c r="O381" t="str">
        <f>INDEX(Products!C:C,MATCH(OrdersTable[[#This Row],[Product ID]],Products!A:A,0))</f>
        <v>Wellness</v>
      </c>
      <c r="P381">
        <v>2</v>
      </c>
      <c r="Q381" s="5">
        <v>499</v>
      </c>
      <c r="R381" s="74">
        <v>0</v>
      </c>
      <c r="S381" s="75">
        <f>OrdersTable[[#This Row],[Quantity]]*OrdersTable[[#This Row],[Unit Price]]</f>
        <v>998</v>
      </c>
      <c r="T381" s="5">
        <f>OrdersTable[[#This Row],[Gross Sale]]*OrdersTable[[#This Row],[Discount_Clean2]]</f>
        <v>0</v>
      </c>
      <c r="U381" s="5">
        <f>OrdersTable[[#This Row],[Gross Sale]]-OrdersTable[[#This Row],[Discount Amount]]</f>
        <v>998</v>
      </c>
      <c r="V381" s="77">
        <f>INDEX(Products!E:E,MATCH(OrdersTable[[#This Row],[Product ID]],Products!A:A,0))</f>
        <v>150</v>
      </c>
      <c r="W381" s="77">
        <f>OrdersTable[[#This Row],[Quantity]]*OrdersTable[[#This Row],[Unit Cost]]</f>
        <v>300</v>
      </c>
      <c r="X381" s="77">
        <f>'Dropdown Lists'!$I$2*(1+OrdersTable[[#This Row],[Returned]])</f>
        <v>60</v>
      </c>
      <c r="Y381" s="76">
        <f>OrdersTable[[#This Row],[Net Revenue]]-OrdersTable[[#This Row],[COGS]]-OrdersTable[[#This Row],[Shipping Cost]]</f>
        <v>638</v>
      </c>
      <c r="Z381" s="78">
        <f>IFERROR(OrdersTable[[#This Row],[Profit]]/OrdersTable[[#This Row],[Net Revenue]],0)</f>
        <v>0.63927855711422843</v>
      </c>
      <c r="AA381" t="s">
        <v>2522</v>
      </c>
      <c r="AB381" s="79">
        <v>45374</v>
      </c>
      <c r="AC381">
        <f>OrdersTable[[#This Row],[Delivery Date]]-OrdersTable[[#This Row],[Order Date]]</f>
        <v>3</v>
      </c>
      <c r="AD381" t="str">
        <f>IF(OrdersTable[[#This Row],[Delivery Days]]&lt;=2, "Express (≤2d)", IF(OrdersTable[[#This Row],[Delivery Days]]&lt;=4, "Standard (3-4d)", "Delayed (5d+)"))</f>
        <v>Standard (3-4d)</v>
      </c>
      <c r="AF381">
        <v>0</v>
      </c>
    </row>
    <row r="382" spans="1:32" ht="15" x14ac:dyDescent="0.35">
      <c r="A382" t="s">
        <v>2698</v>
      </c>
      <c r="B382" s="1">
        <v>45371</v>
      </c>
      <c r="C382">
        <f>YEAR(OrdersTable[[#This Row],[Order Date]])</f>
        <v>2024</v>
      </c>
      <c r="D382" s="2">
        <f>DATE(YEAR(OrdersTable[[#This Row],[Order Date]]),MONTH(OrdersTable[[#This Row],[Order Date]]),1)</f>
        <v>45352</v>
      </c>
      <c r="E382">
        <f>MONTH(OrdersTable[[#This Row],[Order Date]])</f>
        <v>3</v>
      </c>
      <c r="F382" t="s">
        <v>2304</v>
      </c>
      <c r="G382" t="str">
        <f>IF(OrdersTable[[#This Row],[Order Date]]=_xlfn.MINIFS(Order_Date, Customer_ID, OrdersTable[[#This Row],[Customer ID]]), "New", "Repeat")</f>
        <v>Repeat</v>
      </c>
      <c r="H382" t="s">
        <v>43</v>
      </c>
      <c r="I382" t="str">
        <f>INDEX(State!B:B,MATCH(OrdersTable[[#This Row],[State]],State!A:A,0))</f>
        <v>MP</v>
      </c>
      <c r="J382" t="str">
        <f>INDEX(State!C:C,MATCH(OrdersTable[[#This Row],[State Code]],State!B:B,0))</f>
        <v>West</v>
      </c>
      <c r="K382" t="s">
        <v>44</v>
      </c>
      <c r="L382" t="s">
        <v>50</v>
      </c>
      <c r="M382" t="s">
        <v>160</v>
      </c>
      <c r="N382" t="str">
        <f>INDEX(Products!B:B,MATCH(OrdersTable[[#This Row],[Product ID]],Products!A:A,0))</f>
        <v>Niacinamide Toner</v>
      </c>
      <c r="O382" t="str">
        <f>INDEX(Products!C:C,MATCH(OrdersTable[[#This Row],[Product ID]],Products!A:A,0))</f>
        <v>Skincare</v>
      </c>
      <c r="P382">
        <v>1</v>
      </c>
      <c r="Q382" s="5">
        <v>399</v>
      </c>
      <c r="R382" s="74">
        <v>0.2</v>
      </c>
      <c r="S382" s="75">
        <f>OrdersTable[[#This Row],[Quantity]]*OrdersTable[[#This Row],[Unit Price]]</f>
        <v>399</v>
      </c>
      <c r="T382" s="5">
        <f>OrdersTable[[#This Row],[Gross Sale]]*OrdersTable[[#This Row],[Discount_Clean2]]</f>
        <v>79.800000000000011</v>
      </c>
      <c r="U382" s="5">
        <f>OrdersTable[[#This Row],[Gross Sale]]-OrdersTable[[#This Row],[Discount Amount]]</f>
        <v>319.2</v>
      </c>
      <c r="V382" s="77">
        <f>INDEX(Products!E:E,MATCH(OrdersTable[[#This Row],[Product ID]],Products!A:A,0))</f>
        <v>112</v>
      </c>
      <c r="W382" s="77">
        <f>OrdersTable[[#This Row],[Quantity]]*OrdersTable[[#This Row],[Unit Cost]]</f>
        <v>112</v>
      </c>
      <c r="X382" s="77">
        <f>'Dropdown Lists'!$I$2*(1+OrdersTable[[#This Row],[Returned]])</f>
        <v>60</v>
      </c>
      <c r="Y382" s="76">
        <f>OrdersTable[[#This Row],[Net Revenue]]-OrdersTable[[#This Row],[COGS]]-OrdersTable[[#This Row],[Shipping Cost]]</f>
        <v>147.19999999999999</v>
      </c>
      <c r="Z382" s="78">
        <f>IFERROR(OrdersTable[[#This Row],[Profit]]/OrdersTable[[#This Row],[Net Revenue]],0)</f>
        <v>0.46115288220551376</v>
      </c>
      <c r="AA382" t="s">
        <v>2522</v>
      </c>
      <c r="AB382" s="79">
        <v>45373</v>
      </c>
      <c r="AC382">
        <f>OrdersTable[[#This Row],[Delivery Date]]-OrdersTable[[#This Row],[Order Date]]</f>
        <v>2</v>
      </c>
      <c r="AD382" t="str">
        <f>IF(OrdersTable[[#This Row],[Delivery Days]]&lt;=2, "Express (≤2d)", IF(OrdersTable[[#This Row],[Delivery Days]]&lt;=4, "Standard (3-4d)", "Delayed (5d+)"))</f>
        <v>Express (≤2d)</v>
      </c>
      <c r="AE382">
        <v>3</v>
      </c>
      <c r="AF382">
        <v>0</v>
      </c>
    </row>
    <row r="383" spans="1:32" ht="15" x14ac:dyDescent="0.35">
      <c r="A383" t="s">
        <v>2232</v>
      </c>
      <c r="B383" s="1">
        <v>45371</v>
      </c>
      <c r="C383">
        <f>YEAR(OrdersTable[[#This Row],[Order Date]])</f>
        <v>2024</v>
      </c>
      <c r="D383" s="2">
        <f>DATE(YEAR(OrdersTable[[#This Row],[Order Date]]),MONTH(OrdersTable[[#This Row],[Order Date]]),1)</f>
        <v>45352</v>
      </c>
      <c r="E383">
        <f>MONTH(OrdersTable[[#This Row],[Order Date]])</f>
        <v>3</v>
      </c>
      <c r="F383" t="s">
        <v>2233</v>
      </c>
      <c r="G383" t="str">
        <f>IF(OrdersTable[[#This Row],[Order Date]]=_xlfn.MINIFS(Order_Date, Customer_ID, OrdersTable[[#This Row],[Customer ID]]), "New", "Repeat")</f>
        <v>New</v>
      </c>
      <c r="H383" t="s">
        <v>95</v>
      </c>
      <c r="I383" t="str">
        <f>INDEX(State!B:B,MATCH(OrdersTable[[#This Row],[State]],State!A:A,0))</f>
        <v>TG</v>
      </c>
      <c r="J383" t="str">
        <f>INDEX(State!C:C,MATCH(OrdersTable[[#This Row],[State Code]],State!B:B,0))</f>
        <v>South</v>
      </c>
      <c r="K383" t="s">
        <v>96</v>
      </c>
      <c r="L383" t="s">
        <v>65</v>
      </c>
      <c r="M383" t="s">
        <v>109</v>
      </c>
      <c r="N383" t="str">
        <f>INDEX(Products!B:B,MATCH(OrdersTable[[#This Row],[Product ID]],Products!A:A,0))</f>
        <v>Onion Hair Oil</v>
      </c>
      <c r="O383" t="str">
        <f>INDEX(Products!C:C,MATCH(OrdersTable[[#This Row],[Product ID]],Products!A:A,0))</f>
        <v>Haircare</v>
      </c>
      <c r="P383">
        <v>1</v>
      </c>
      <c r="Q383" s="5">
        <v>349</v>
      </c>
      <c r="R383" s="74">
        <v>0.3</v>
      </c>
      <c r="S383" s="75">
        <f>OrdersTable[[#This Row],[Quantity]]*OrdersTable[[#This Row],[Unit Price]]</f>
        <v>349</v>
      </c>
      <c r="T383" s="5">
        <f>OrdersTable[[#This Row],[Gross Sale]]*OrdersTable[[#This Row],[Discount_Clean2]]</f>
        <v>104.7</v>
      </c>
      <c r="U383" s="5">
        <f>OrdersTable[[#This Row],[Gross Sale]]-OrdersTable[[#This Row],[Discount Amount]]</f>
        <v>244.3</v>
      </c>
      <c r="V383" s="77">
        <f>INDEX(Products!E:E,MATCH(OrdersTable[[#This Row],[Product ID]],Products!A:A,0))</f>
        <v>105</v>
      </c>
      <c r="W383" s="77">
        <f>OrdersTable[[#This Row],[Quantity]]*OrdersTable[[#This Row],[Unit Cost]]</f>
        <v>105</v>
      </c>
      <c r="X383" s="77">
        <f>'Dropdown Lists'!$I$2*(1+OrdersTable[[#This Row],[Returned]])</f>
        <v>60</v>
      </c>
      <c r="Y383" s="76">
        <f>OrdersTable[[#This Row],[Net Revenue]]-OrdersTable[[#This Row],[COGS]]-OrdersTable[[#This Row],[Shipping Cost]]</f>
        <v>79.300000000000011</v>
      </c>
      <c r="Z383" s="78">
        <f>IFERROR(OrdersTable[[#This Row],[Profit]]/OrdersTable[[#This Row],[Net Revenue]],0)</f>
        <v>0.32460090053213264</v>
      </c>
      <c r="AA383" t="s">
        <v>18</v>
      </c>
      <c r="AB383" s="79">
        <v>45373</v>
      </c>
      <c r="AC383">
        <f>OrdersTable[[#This Row],[Delivery Date]]-OrdersTable[[#This Row],[Order Date]]</f>
        <v>2</v>
      </c>
      <c r="AD383" t="str">
        <f>IF(OrdersTable[[#This Row],[Delivery Days]]&lt;=2, "Express (≤2d)", IF(OrdersTable[[#This Row],[Delivery Days]]&lt;=4, "Standard (3-4d)", "Delayed (5d+)"))</f>
        <v>Express (≤2d)</v>
      </c>
      <c r="AE383">
        <v>5</v>
      </c>
      <c r="AF383">
        <v>0</v>
      </c>
    </row>
    <row r="384" spans="1:32" ht="15" x14ac:dyDescent="0.35">
      <c r="A384" t="s">
        <v>1333</v>
      </c>
      <c r="B384" s="1">
        <v>45371</v>
      </c>
      <c r="C384">
        <f>YEAR(OrdersTable[[#This Row],[Order Date]])</f>
        <v>2024</v>
      </c>
      <c r="D384" s="2">
        <f>DATE(YEAR(OrdersTable[[#This Row],[Order Date]]),MONTH(OrdersTable[[#This Row],[Order Date]]),1)</f>
        <v>45352</v>
      </c>
      <c r="E384">
        <f>MONTH(OrdersTable[[#This Row],[Order Date]])</f>
        <v>3</v>
      </c>
      <c r="F384" t="s">
        <v>1334</v>
      </c>
      <c r="G384" t="str">
        <f>IF(OrdersTable[[#This Row],[Order Date]]=_xlfn.MINIFS(Order_Date, Customer_ID, OrdersTable[[#This Row],[Customer ID]]), "New", "Repeat")</f>
        <v>New</v>
      </c>
      <c r="H384" t="s">
        <v>59</v>
      </c>
      <c r="I384" t="str">
        <f>INDEX(State!B:B,MATCH(OrdersTable[[#This Row],[State]],State!A:A,0))</f>
        <v>TN</v>
      </c>
      <c r="J384" t="str">
        <f>INDEX(State!C:C,MATCH(OrdersTable[[#This Row],[State Code]],State!B:B,0))</f>
        <v>South</v>
      </c>
      <c r="K384" t="s">
        <v>60</v>
      </c>
      <c r="L384" t="s">
        <v>23</v>
      </c>
      <c r="M384" t="s">
        <v>228</v>
      </c>
      <c r="N384" t="str">
        <f>INDEX(Products!B:B,MATCH(OrdersTable[[#This Row],[Product ID]],Products!A:A,0))</f>
        <v>Fast Charger 33W</v>
      </c>
      <c r="O384" t="str">
        <f>INDEX(Products!C:C,MATCH(OrdersTable[[#This Row],[Product ID]],Products!A:A,0))</f>
        <v>Electronics</v>
      </c>
      <c r="P384">
        <v>1</v>
      </c>
      <c r="Q384" s="5">
        <v>899</v>
      </c>
      <c r="R384" s="74">
        <v>0.05</v>
      </c>
      <c r="S384" s="75">
        <f>OrdersTable[[#This Row],[Quantity]]*OrdersTable[[#This Row],[Unit Price]]</f>
        <v>899</v>
      </c>
      <c r="T384" s="5">
        <f>OrdersTable[[#This Row],[Gross Sale]]*OrdersTable[[#This Row],[Discount_Clean2]]</f>
        <v>44.95</v>
      </c>
      <c r="U384" s="5">
        <f>OrdersTable[[#This Row],[Gross Sale]]-OrdersTable[[#This Row],[Discount Amount]]</f>
        <v>854.05</v>
      </c>
      <c r="V384" s="77">
        <f>INDEX(Products!E:E,MATCH(OrdersTable[[#This Row],[Product ID]],Products!A:A,0))</f>
        <v>494</v>
      </c>
      <c r="W384" s="77">
        <f>OrdersTable[[#This Row],[Quantity]]*OrdersTable[[#This Row],[Unit Cost]]</f>
        <v>494</v>
      </c>
      <c r="X384" s="77">
        <f>'Dropdown Lists'!$I$2*(1+OrdersTable[[#This Row],[Returned]])</f>
        <v>60</v>
      </c>
      <c r="Y384" s="76">
        <f>OrdersTable[[#This Row],[Net Revenue]]-OrdersTable[[#This Row],[COGS]]-OrdersTable[[#This Row],[Shipping Cost]]</f>
        <v>300.04999999999995</v>
      </c>
      <c r="Z384" s="78">
        <f>IFERROR(OrdersTable[[#This Row],[Profit]]/OrdersTable[[#This Row],[Net Revenue]],0)</f>
        <v>0.35132603477548152</v>
      </c>
      <c r="AA384" t="s">
        <v>18</v>
      </c>
      <c r="AB384" s="79">
        <v>45375</v>
      </c>
      <c r="AC384">
        <f>OrdersTable[[#This Row],[Delivery Date]]-OrdersTable[[#This Row],[Order Date]]</f>
        <v>4</v>
      </c>
      <c r="AD384" t="str">
        <f>IF(OrdersTable[[#This Row],[Delivery Days]]&lt;=2, "Express (≤2d)", IF(OrdersTable[[#This Row],[Delivery Days]]&lt;=4, "Standard (3-4d)", "Delayed (5d+)"))</f>
        <v>Standard (3-4d)</v>
      </c>
      <c r="AF384">
        <v>0</v>
      </c>
    </row>
    <row r="385" spans="1:32" ht="15" x14ac:dyDescent="0.35">
      <c r="A385" t="s">
        <v>6666</v>
      </c>
      <c r="B385" s="1">
        <v>45372</v>
      </c>
      <c r="C385">
        <f>YEAR(OrdersTable[[#This Row],[Order Date]])</f>
        <v>2024</v>
      </c>
      <c r="D385" s="2">
        <f>DATE(YEAR(OrdersTable[[#This Row],[Order Date]]),MONTH(OrdersTable[[#This Row],[Order Date]]),1)</f>
        <v>45352</v>
      </c>
      <c r="E385">
        <f>MONTH(OrdersTable[[#This Row],[Order Date]])</f>
        <v>3</v>
      </c>
      <c r="F385" t="s">
        <v>3842</v>
      </c>
      <c r="G385" t="str">
        <f>IF(OrdersTable[[#This Row],[Order Date]]=_xlfn.MINIFS(Order_Date, Customer_ID, OrdersTable[[#This Row],[Customer ID]]), "New", "Repeat")</f>
        <v>Repeat</v>
      </c>
      <c r="H385" t="s">
        <v>158</v>
      </c>
      <c r="I385" t="str">
        <f>INDEX(State!B:B,MATCH(OrdersTable[[#This Row],[State]],State!A:A,0))</f>
        <v>HP</v>
      </c>
      <c r="J385" t="str">
        <f>INDEX(State!C:C,MATCH(OrdersTable[[#This Row],[State Code]],State!B:B,0))</f>
        <v>North</v>
      </c>
      <c r="K385" t="s">
        <v>159</v>
      </c>
      <c r="L385" t="s">
        <v>23</v>
      </c>
      <c r="M385" t="s">
        <v>92</v>
      </c>
      <c r="N385" t="str">
        <f>INDEX(Products!B:B,MATCH(OrdersTable[[#This Row],[Product ID]],Products!A:A,0))</f>
        <v>Kolhapuri Sandals</v>
      </c>
      <c r="O385" t="str">
        <f>INDEX(Products!C:C,MATCH(OrdersTable[[#This Row],[Product ID]],Products!A:A,0))</f>
        <v>Footwear</v>
      </c>
      <c r="P385">
        <v>3</v>
      </c>
      <c r="Q385" s="5">
        <v>999</v>
      </c>
      <c r="R385" s="74">
        <v>0.05</v>
      </c>
      <c r="S385" s="75">
        <f>OrdersTable[[#This Row],[Quantity]]*OrdersTable[[#This Row],[Unit Price]]</f>
        <v>2997</v>
      </c>
      <c r="T385" s="5">
        <f>OrdersTable[[#This Row],[Gross Sale]]*OrdersTable[[#This Row],[Discount_Clean2]]</f>
        <v>149.85</v>
      </c>
      <c r="U385" s="5">
        <f>OrdersTable[[#This Row],[Gross Sale]]-OrdersTable[[#This Row],[Discount Amount]]</f>
        <v>2847.15</v>
      </c>
      <c r="V385" s="77">
        <f>INDEX(Products!E:E,MATCH(OrdersTable[[#This Row],[Product ID]],Products!A:A,0))</f>
        <v>400</v>
      </c>
      <c r="W385" s="77">
        <f>OrdersTable[[#This Row],[Quantity]]*OrdersTable[[#This Row],[Unit Cost]]</f>
        <v>1200</v>
      </c>
      <c r="X385" s="77">
        <f>'Dropdown Lists'!$I$2*(1+OrdersTable[[#This Row],[Returned]])</f>
        <v>60</v>
      </c>
      <c r="Y385" s="76">
        <f>OrdersTable[[#This Row],[Net Revenue]]-OrdersTable[[#This Row],[COGS]]-OrdersTable[[#This Row],[Shipping Cost]]</f>
        <v>1587.15</v>
      </c>
      <c r="Z385" s="78">
        <f>IFERROR(OrdersTable[[#This Row],[Profit]]/OrdersTable[[#This Row],[Net Revenue]],0)</f>
        <v>0.55745218903113647</v>
      </c>
      <c r="AA385" t="s">
        <v>2522</v>
      </c>
      <c r="AB385" s="79">
        <v>45374</v>
      </c>
      <c r="AC385">
        <f>OrdersTable[[#This Row],[Delivery Date]]-OrdersTable[[#This Row],[Order Date]]</f>
        <v>2</v>
      </c>
      <c r="AD385" t="str">
        <f>IF(OrdersTable[[#This Row],[Delivery Days]]&lt;=2, "Express (≤2d)", IF(OrdersTable[[#This Row],[Delivery Days]]&lt;=4, "Standard (3-4d)", "Delayed (5d+)"))</f>
        <v>Express (≤2d)</v>
      </c>
      <c r="AE385">
        <v>3</v>
      </c>
      <c r="AF385">
        <v>0</v>
      </c>
    </row>
    <row r="386" spans="1:32" ht="15" x14ac:dyDescent="0.35">
      <c r="A386" t="s">
        <v>4337</v>
      </c>
      <c r="B386" s="1">
        <v>45372</v>
      </c>
      <c r="C386">
        <f>YEAR(OrdersTable[[#This Row],[Order Date]])</f>
        <v>2024</v>
      </c>
      <c r="D386" s="2">
        <f>DATE(YEAR(OrdersTable[[#This Row],[Order Date]]),MONTH(OrdersTable[[#This Row],[Order Date]]),1)</f>
        <v>45352</v>
      </c>
      <c r="E386">
        <f>MONTH(OrdersTable[[#This Row],[Order Date]])</f>
        <v>3</v>
      </c>
      <c r="F386" t="s">
        <v>4338</v>
      </c>
      <c r="G386" t="str">
        <f>IF(OrdersTable[[#This Row],[Order Date]]=_xlfn.MINIFS(Order_Date, Customer_ID, OrdersTable[[#This Row],[Customer ID]]), "New", "Repeat")</f>
        <v>New</v>
      </c>
      <c r="H386" t="s">
        <v>158</v>
      </c>
      <c r="I386" t="str">
        <f>INDEX(State!B:B,MATCH(OrdersTable[[#This Row],[State]],State!A:A,0))</f>
        <v>HP</v>
      </c>
      <c r="J386" t="str">
        <f>INDEX(State!C:C,MATCH(OrdersTable[[#This Row],[State Code]],State!B:B,0))</f>
        <v>North</v>
      </c>
      <c r="K386" t="s">
        <v>159</v>
      </c>
      <c r="L386" t="s">
        <v>39</v>
      </c>
      <c r="M386" t="s">
        <v>45</v>
      </c>
      <c r="N386" t="str">
        <f>INDEX(Products!B:B,MATCH(OrdersTable[[#This Row],[Product ID]],Products!A:A,0))</f>
        <v>Argan Shampoo</v>
      </c>
      <c r="O386" t="str">
        <f>INDEX(Products!C:C,MATCH(OrdersTable[[#This Row],[Product ID]],Products!A:A,0))</f>
        <v>Haircare</v>
      </c>
      <c r="P386">
        <v>1</v>
      </c>
      <c r="Q386" s="5">
        <v>449</v>
      </c>
      <c r="R386" s="74">
        <v>0.1</v>
      </c>
      <c r="S386" s="75">
        <f>OrdersTable[[#This Row],[Quantity]]*OrdersTable[[#This Row],[Unit Price]]</f>
        <v>449</v>
      </c>
      <c r="T386" s="5">
        <f>OrdersTable[[#This Row],[Gross Sale]]*OrdersTable[[#This Row],[Discount_Clean2]]</f>
        <v>44.900000000000006</v>
      </c>
      <c r="U386" s="5">
        <f>OrdersTable[[#This Row],[Gross Sale]]-OrdersTable[[#This Row],[Discount Amount]]</f>
        <v>404.1</v>
      </c>
      <c r="V386" s="77">
        <f>INDEX(Products!E:E,MATCH(OrdersTable[[#This Row],[Product ID]],Products!A:A,0))</f>
        <v>148</v>
      </c>
      <c r="W386" s="77">
        <f>OrdersTable[[#This Row],[Quantity]]*OrdersTable[[#This Row],[Unit Cost]]</f>
        <v>148</v>
      </c>
      <c r="X386" s="77">
        <f>'Dropdown Lists'!$I$2*(1+OrdersTable[[#This Row],[Returned]])</f>
        <v>60</v>
      </c>
      <c r="Y386" s="76">
        <f>OrdersTable[[#This Row],[Net Revenue]]-OrdersTable[[#This Row],[COGS]]-OrdersTable[[#This Row],[Shipping Cost]]</f>
        <v>196.10000000000002</v>
      </c>
      <c r="Z386" s="78">
        <f>IFERROR(OrdersTable[[#This Row],[Profit]]/OrdersTable[[#This Row],[Net Revenue]],0)</f>
        <v>0.48527592180153428</v>
      </c>
      <c r="AA386" t="s">
        <v>4074</v>
      </c>
      <c r="AB386" s="79">
        <v>45375</v>
      </c>
      <c r="AC386">
        <f>OrdersTable[[#This Row],[Delivery Date]]-OrdersTable[[#This Row],[Order Date]]</f>
        <v>3</v>
      </c>
      <c r="AD386" t="str">
        <f>IF(OrdersTable[[#This Row],[Delivery Days]]&lt;=2, "Express (≤2d)", IF(OrdersTable[[#This Row],[Delivery Days]]&lt;=4, "Standard (3-4d)", "Delayed (5d+)"))</f>
        <v>Standard (3-4d)</v>
      </c>
      <c r="AE386">
        <v>4</v>
      </c>
      <c r="AF386">
        <v>0</v>
      </c>
    </row>
    <row r="387" spans="1:32" ht="15" x14ac:dyDescent="0.35">
      <c r="A387" t="s">
        <v>2699</v>
      </c>
      <c r="B387" s="1">
        <v>45372</v>
      </c>
      <c r="C387">
        <f>YEAR(OrdersTable[[#This Row],[Order Date]])</f>
        <v>2024</v>
      </c>
      <c r="D387" s="2">
        <f>DATE(YEAR(OrdersTable[[#This Row],[Order Date]]),MONTH(OrdersTable[[#This Row],[Order Date]]),1)</f>
        <v>45352</v>
      </c>
      <c r="E387">
        <f>MONTH(OrdersTable[[#This Row],[Order Date]])</f>
        <v>3</v>
      </c>
      <c r="F387" t="s">
        <v>127</v>
      </c>
      <c r="G387" t="str">
        <f>IF(OrdersTable[[#This Row],[Order Date]]=_xlfn.MINIFS(Order_Date, Customer_ID, OrdersTable[[#This Row],[Customer ID]]), "New", "Repeat")</f>
        <v>New</v>
      </c>
      <c r="H387" t="s">
        <v>43</v>
      </c>
      <c r="I387" t="str">
        <f>INDEX(State!B:B,MATCH(OrdersTable[[#This Row],[State]],State!A:A,0))</f>
        <v>MP</v>
      </c>
      <c r="J387" t="str">
        <f>INDEX(State!C:C,MATCH(OrdersTable[[#This Row],[State Code]],State!B:B,0))</f>
        <v>West</v>
      </c>
      <c r="K387" t="s">
        <v>44</v>
      </c>
      <c r="L387" t="s">
        <v>39</v>
      </c>
      <c r="M387" t="s">
        <v>17</v>
      </c>
      <c r="N387" t="str">
        <f>INDEX(Products!B:B,MATCH(OrdersTable[[#This Row],[Product ID]],Products!A:A,0))</f>
        <v>Casual Sneakers</v>
      </c>
      <c r="O387" t="str">
        <f>INDEX(Products!C:C,MATCH(OrdersTable[[#This Row],[Product ID]],Products!A:A,0))</f>
        <v>Footwear</v>
      </c>
      <c r="P387">
        <v>1</v>
      </c>
      <c r="Q387" s="5">
        <v>2199</v>
      </c>
      <c r="R387" s="74">
        <v>0.15</v>
      </c>
      <c r="S387" s="75">
        <f>OrdersTable[[#This Row],[Quantity]]*OrdersTable[[#This Row],[Unit Price]]</f>
        <v>2199</v>
      </c>
      <c r="T387" s="5">
        <f>OrdersTable[[#This Row],[Gross Sale]]*OrdersTable[[#This Row],[Discount_Clean2]]</f>
        <v>329.84999999999997</v>
      </c>
      <c r="U387" s="5">
        <f>OrdersTable[[#This Row],[Gross Sale]]-OrdersTable[[#This Row],[Discount Amount]]</f>
        <v>1869.15</v>
      </c>
      <c r="V387" s="77">
        <f>INDEX(Products!E:E,MATCH(OrdersTable[[#This Row],[Product ID]],Products!A:A,0))</f>
        <v>1034</v>
      </c>
      <c r="W387" s="77">
        <f>OrdersTable[[#This Row],[Quantity]]*OrdersTable[[#This Row],[Unit Cost]]</f>
        <v>1034</v>
      </c>
      <c r="X387" s="77">
        <f>'Dropdown Lists'!$I$2*(1+OrdersTable[[#This Row],[Returned]])</f>
        <v>60</v>
      </c>
      <c r="Y387" s="76">
        <f>OrdersTable[[#This Row],[Net Revenue]]-OrdersTable[[#This Row],[COGS]]-OrdersTable[[#This Row],[Shipping Cost]]</f>
        <v>775.15000000000009</v>
      </c>
      <c r="Z387" s="78">
        <f>IFERROR(OrdersTable[[#This Row],[Profit]]/OrdersTable[[#This Row],[Net Revenue]],0)</f>
        <v>0.41470721985929437</v>
      </c>
      <c r="AA387" t="s">
        <v>2522</v>
      </c>
      <c r="AB387" s="79">
        <v>45378</v>
      </c>
      <c r="AC387">
        <f>OrdersTable[[#This Row],[Delivery Date]]-OrdersTable[[#This Row],[Order Date]]</f>
        <v>6</v>
      </c>
      <c r="AD387" t="str">
        <f>IF(OrdersTable[[#This Row],[Delivery Days]]&lt;=2, "Express (≤2d)", IF(OrdersTable[[#This Row],[Delivery Days]]&lt;=4, "Standard (3-4d)", "Delayed (5d+)"))</f>
        <v>Delayed (5d+)</v>
      </c>
      <c r="AE387">
        <v>3</v>
      </c>
      <c r="AF387">
        <v>0</v>
      </c>
    </row>
    <row r="388" spans="1:32" ht="15" x14ac:dyDescent="0.35">
      <c r="A388" t="s">
        <v>4339</v>
      </c>
      <c r="B388" s="1">
        <v>45372</v>
      </c>
      <c r="C388">
        <f>YEAR(OrdersTable[[#This Row],[Order Date]])</f>
        <v>2024</v>
      </c>
      <c r="D388" s="2">
        <f>DATE(YEAR(OrdersTable[[#This Row],[Order Date]]),MONTH(OrdersTable[[#This Row],[Order Date]]),1)</f>
        <v>45352</v>
      </c>
      <c r="E388">
        <f>MONTH(OrdersTable[[#This Row],[Order Date]])</f>
        <v>3</v>
      </c>
      <c r="F388" t="s">
        <v>843</v>
      </c>
      <c r="G388" t="str">
        <f>IF(OrdersTable[[#This Row],[Order Date]]=_xlfn.MINIFS(Order_Date, Customer_ID, OrdersTable[[#This Row],[Customer ID]]), "New", "Repeat")</f>
        <v>Repeat</v>
      </c>
      <c r="H388" t="s">
        <v>14</v>
      </c>
      <c r="I388" t="str">
        <f>INDEX(State!B:B,MATCH(OrdersTable[[#This Row],[State]],State!A:A,0))</f>
        <v>OD</v>
      </c>
      <c r="J388" t="str">
        <f>INDEX(State!C:C,MATCH(OrdersTable[[#This Row],[State Code]],State!B:B,0))</f>
        <v>East</v>
      </c>
      <c r="K388" t="s">
        <v>15</v>
      </c>
      <c r="L388" t="s">
        <v>65</v>
      </c>
      <c r="M388" t="s">
        <v>92</v>
      </c>
      <c r="N388" t="str">
        <f>INDEX(Products!B:B,MATCH(OrdersTable[[#This Row],[Product ID]],Products!A:A,0))</f>
        <v>Kolhapuri Sandals</v>
      </c>
      <c r="O388" t="str">
        <f>INDEX(Products!C:C,MATCH(OrdersTable[[#This Row],[Product ID]],Products!A:A,0))</f>
        <v>Footwear</v>
      </c>
      <c r="P388">
        <v>1</v>
      </c>
      <c r="Q388" s="5">
        <v>999</v>
      </c>
      <c r="R388" s="74">
        <v>0.1</v>
      </c>
      <c r="S388" s="75">
        <f>OrdersTable[[#This Row],[Quantity]]*OrdersTable[[#This Row],[Unit Price]]</f>
        <v>999</v>
      </c>
      <c r="T388" s="5">
        <f>OrdersTable[[#This Row],[Gross Sale]]*OrdersTable[[#This Row],[Discount_Clean2]]</f>
        <v>99.9</v>
      </c>
      <c r="U388" s="5">
        <f>OrdersTable[[#This Row],[Gross Sale]]-OrdersTable[[#This Row],[Discount Amount]]</f>
        <v>899.1</v>
      </c>
      <c r="V388" s="77">
        <f>INDEX(Products!E:E,MATCH(OrdersTable[[#This Row],[Product ID]],Products!A:A,0))</f>
        <v>400</v>
      </c>
      <c r="W388" s="77">
        <f>OrdersTable[[#This Row],[Quantity]]*OrdersTable[[#This Row],[Unit Cost]]</f>
        <v>400</v>
      </c>
      <c r="X388" s="77">
        <f>'Dropdown Lists'!$I$2*(1+OrdersTable[[#This Row],[Returned]])</f>
        <v>60</v>
      </c>
      <c r="Y388" s="76">
        <f>OrdersTable[[#This Row],[Net Revenue]]-OrdersTable[[#This Row],[COGS]]-OrdersTable[[#This Row],[Shipping Cost]]</f>
        <v>439.1</v>
      </c>
      <c r="Z388" s="78">
        <f>IFERROR(OrdersTable[[#This Row],[Profit]]/OrdersTable[[#This Row],[Net Revenue]],0)</f>
        <v>0.48837726615504395</v>
      </c>
      <c r="AA388" t="s">
        <v>4074</v>
      </c>
      <c r="AB388" s="79">
        <v>45378</v>
      </c>
      <c r="AC388">
        <f>OrdersTable[[#This Row],[Delivery Date]]-OrdersTable[[#This Row],[Order Date]]</f>
        <v>6</v>
      </c>
      <c r="AD388" t="str">
        <f>IF(OrdersTable[[#This Row],[Delivery Days]]&lt;=2, "Express (≤2d)", IF(OrdersTable[[#This Row],[Delivery Days]]&lt;=4, "Standard (3-4d)", "Delayed (5d+)"))</f>
        <v>Delayed (5d+)</v>
      </c>
      <c r="AE388">
        <v>4</v>
      </c>
      <c r="AF388">
        <v>0</v>
      </c>
    </row>
    <row r="389" spans="1:32" ht="15" x14ac:dyDescent="0.35">
      <c r="A389" t="s">
        <v>88</v>
      </c>
      <c r="B389" s="1">
        <v>45372</v>
      </c>
      <c r="C389">
        <f>YEAR(OrdersTable[[#This Row],[Order Date]])</f>
        <v>2024</v>
      </c>
      <c r="D389" s="2">
        <f>DATE(YEAR(OrdersTable[[#This Row],[Order Date]]),MONTH(OrdersTable[[#This Row],[Order Date]]),1)</f>
        <v>45352</v>
      </c>
      <c r="E389">
        <f>MONTH(OrdersTable[[#This Row],[Order Date]])</f>
        <v>3</v>
      </c>
      <c r="F389" t="s">
        <v>89</v>
      </c>
      <c r="G389" t="str">
        <f>IF(OrdersTable[[#This Row],[Order Date]]=_xlfn.MINIFS(Order_Date, Customer_ID, OrdersTable[[#This Row],[Customer ID]]), "New", "Repeat")</f>
        <v>New</v>
      </c>
      <c r="H389" t="s">
        <v>90</v>
      </c>
      <c r="I389" t="str">
        <f>INDEX(State!B:B,MATCH(OrdersTable[[#This Row],[State]],State!A:A,0))</f>
        <v>GA</v>
      </c>
      <c r="J389" t="str">
        <f>INDEX(State!C:C,MATCH(OrdersTable[[#This Row],[State Code]],State!B:B,0))</f>
        <v>West</v>
      </c>
      <c r="K389" t="s">
        <v>91</v>
      </c>
      <c r="L389" t="s">
        <v>16</v>
      </c>
      <c r="M389" t="s">
        <v>92</v>
      </c>
      <c r="N389" t="str">
        <f>INDEX(Products!B:B,MATCH(OrdersTable[[#This Row],[Product ID]],Products!A:A,0))</f>
        <v>Kolhapuri Sandals</v>
      </c>
      <c r="O389" t="str">
        <f>INDEX(Products!C:C,MATCH(OrdersTable[[#This Row],[Product ID]],Products!A:A,0))</f>
        <v>Footwear</v>
      </c>
      <c r="P389">
        <v>1</v>
      </c>
      <c r="Q389" s="5">
        <v>999</v>
      </c>
      <c r="R389" s="74">
        <v>0.1</v>
      </c>
      <c r="S389" s="75">
        <f>OrdersTable[[#This Row],[Quantity]]*OrdersTable[[#This Row],[Unit Price]]</f>
        <v>999</v>
      </c>
      <c r="T389" s="5">
        <f>OrdersTable[[#This Row],[Gross Sale]]*OrdersTable[[#This Row],[Discount_Clean2]]</f>
        <v>99.9</v>
      </c>
      <c r="U389" s="5">
        <f>OrdersTable[[#This Row],[Gross Sale]]-OrdersTable[[#This Row],[Discount Amount]]</f>
        <v>899.1</v>
      </c>
      <c r="V389" s="77">
        <f>INDEX(Products!E:E,MATCH(OrdersTable[[#This Row],[Product ID]],Products!A:A,0))</f>
        <v>400</v>
      </c>
      <c r="W389" s="77">
        <f>OrdersTable[[#This Row],[Quantity]]*OrdersTable[[#This Row],[Unit Cost]]</f>
        <v>400</v>
      </c>
      <c r="X389" s="77">
        <f>'Dropdown Lists'!$I$2*(1+OrdersTable[[#This Row],[Returned]])</f>
        <v>60</v>
      </c>
      <c r="Y389" s="76">
        <f>OrdersTable[[#This Row],[Net Revenue]]-OrdersTable[[#This Row],[COGS]]-OrdersTable[[#This Row],[Shipping Cost]]</f>
        <v>439.1</v>
      </c>
      <c r="Z389" s="78">
        <f>IFERROR(OrdersTable[[#This Row],[Profit]]/OrdersTable[[#This Row],[Net Revenue]],0)</f>
        <v>0.48837726615504395</v>
      </c>
      <c r="AA389" t="s">
        <v>18</v>
      </c>
      <c r="AB389" s="79">
        <v>45374</v>
      </c>
      <c r="AC389">
        <f>OrdersTable[[#This Row],[Delivery Date]]-OrdersTable[[#This Row],[Order Date]]</f>
        <v>2</v>
      </c>
      <c r="AD389" t="str">
        <f>IF(OrdersTable[[#This Row],[Delivery Days]]&lt;=2, "Express (≤2d)", IF(OrdersTable[[#This Row],[Delivery Days]]&lt;=4, "Standard (3-4d)", "Delayed (5d+)"))</f>
        <v>Express (≤2d)</v>
      </c>
      <c r="AE389">
        <v>4</v>
      </c>
      <c r="AF389">
        <v>0</v>
      </c>
    </row>
    <row r="390" spans="1:32" ht="15" x14ac:dyDescent="0.35">
      <c r="A390" t="s">
        <v>4215</v>
      </c>
      <c r="B390" s="1">
        <v>45373</v>
      </c>
      <c r="C390">
        <f>YEAR(OrdersTable[[#This Row],[Order Date]])</f>
        <v>2024</v>
      </c>
      <c r="D390" s="2">
        <f>DATE(YEAR(OrdersTable[[#This Row],[Order Date]]),MONTH(OrdersTable[[#This Row],[Order Date]]),1)</f>
        <v>45352</v>
      </c>
      <c r="E390">
        <f>MONTH(OrdersTable[[#This Row],[Order Date]])</f>
        <v>3</v>
      </c>
      <c r="F390" t="s">
        <v>4216</v>
      </c>
      <c r="G390" t="str">
        <f>IF(OrdersTable[[#This Row],[Order Date]]=_xlfn.MINIFS(Order_Date, Customer_ID, OrdersTable[[#This Row],[Customer ID]]), "New", "Repeat")</f>
        <v>New</v>
      </c>
      <c r="H390" t="s">
        <v>184</v>
      </c>
      <c r="I390" t="str">
        <f>INDEX(State!B:B,MATCH(OrdersTable[[#This Row],[State]],State!A:A,0))</f>
        <v>UK</v>
      </c>
      <c r="J390" t="str">
        <f>INDEX(State!C:C,MATCH(OrdersTable[[#This Row],[State Code]],State!B:B,0))</f>
        <v>North</v>
      </c>
      <c r="K390" t="s">
        <v>185</v>
      </c>
      <c r="L390" t="s">
        <v>65</v>
      </c>
      <c r="M390" t="s">
        <v>61</v>
      </c>
      <c r="N390" t="str">
        <f>INDEX(Products!B:B,MATCH(OrdersTable[[#This Row],[Product ID]],Products!A:A,0))</f>
        <v>Multivitamin Gummies</v>
      </c>
      <c r="O390" t="str">
        <f>INDEX(Products!C:C,MATCH(OrdersTable[[#This Row],[Product ID]],Products!A:A,0))</f>
        <v>Wellness</v>
      </c>
      <c r="P390">
        <v>1</v>
      </c>
      <c r="Q390" s="5">
        <v>699</v>
      </c>
      <c r="R390" s="74">
        <v>0.25</v>
      </c>
      <c r="S390" s="75">
        <f>OrdersTable[[#This Row],[Quantity]]*OrdersTable[[#This Row],[Unit Price]]</f>
        <v>699</v>
      </c>
      <c r="T390" s="5">
        <f>OrdersTable[[#This Row],[Gross Sale]]*OrdersTable[[#This Row],[Discount_Clean2]]</f>
        <v>174.75</v>
      </c>
      <c r="U390" s="5">
        <f>OrdersTable[[#This Row],[Gross Sale]]-OrdersTable[[#This Row],[Discount Amount]]</f>
        <v>524.25</v>
      </c>
      <c r="V390" s="77">
        <f>INDEX(Products!E:E,MATCH(OrdersTable[[#This Row],[Product ID]],Products!A:A,0))</f>
        <v>238</v>
      </c>
      <c r="W390" s="77">
        <f>OrdersTable[[#This Row],[Quantity]]*OrdersTable[[#This Row],[Unit Cost]]</f>
        <v>238</v>
      </c>
      <c r="X390" s="77">
        <f>'Dropdown Lists'!$I$2*(1+OrdersTable[[#This Row],[Returned]])</f>
        <v>60</v>
      </c>
      <c r="Y390" s="76">
        <f>OrdersTable[[#This Row],[Net Revenue]]-OrdersTable[[#This Row],[COGS]]-OrdersTable[[#This Row],[Shipping Cost]]</f>
        <v>226.25</v>
      </c>
      <c r="Z390" s="78">
        <f>IFERROR(OrdersTable[[#This Row],[Profit]]/OrdersTable[[#This Row],[Net Revenue]],0)</f>
        <v>0.43156890796375774</v>
      </c>
      <c r="AA390" t="s">
        <v>4074</v>
      </c>
      <c r="AB390" s="79">
        <v>45378</v>
      </c>
      <c r="AC390">
        <f>OrdersTable[[#This Row],[Delivery Date]]-OrdersTable[[#This Row],[Order Date]]</f>
        <v>5</v>
      </c>
      <c r="AD390" t="str">
        <f>IF(OrdersTable[[#This Row],[Delivery Days]]&lt;=2, "Express (≤2d)", IF(OrdersTable[[#This Row],[Delivery Days]]&lt;=4, "Standard (3-4d)", "Delayed (5d+)"))</f>
        <v>Delayed (5d+)</v>
      </c>
      <c r="AF390">
        <v>0</v>
      </c>
    </row>
    <row r="391" spans="1:32" ht="15" x14ac:dyDescent="0.35">
      <c r="A391" t="s">
        <v>1845</v>
      </c>
      <c r="B391" s="1">
        <v>45373</v>
      </c>
      <c r="C391">
        <f>YEAR(OrdersTable[[#This Row],[Order Date]])</f>
        <v>2024</v>
      </c>
      <c r="D391" s="2">
        <f>DATE(YEAR(OrdersTable[[#This Row],[Order Date]]),MONTH(OrdersTable[[#This Row],[Order Date]]),1)</f>
        <v>45352</v>
      </c>
      <c r="E391">
        <f>MONTH(OrdersTable[[#This Row],[Order Date]])</f>
        <v>3</v>
      </c>
      <c r="F391" t="s">
        <v>1846</v>
      </c>
      <c r="G391" t="str">
        <f>IF(OrdersTable[[#This Row],[Order Date]]=_xlfn.MINIFS(Order_Date, Customer_ID, OrdersTable[[#This Row],[Customer ID]]), "New", "Repeat")</f>
        <v>New</v>
      </c>
      <c r="H391" t="s">
        <v>54</v>
      </c>
      <c r="I391" t="str">
        <f>INDEX(State!B:B,MATCH(OrdersTable[[#This Row],[State]],State!A:A,0))</f>
        <v>RJ</v>
      </c>
      <c r="J391" t="str">
        <f>INDEX(State!C:C,MATCH(OrdersTable[[#This Row],[State Code]],State!B:B,0))</f>
        <v>North</v>
      </c>
      <c r="K391" t="s">
        <v>55</v>
      </c>
      <c r="L391" t="s">
        <v>23</v>
      </c>
      <c r="M391" t="s">
        <v>24</v>
      </c>
      <c r="N391" t="str">
        <f>INDEX(Products!B:B,MATCH(OrdersTable[[#This Row],[Product ID]],Products!A:A,0))</f>
        <v>Scented Candle Set</v>
      </c>
      <c r="O391" t="str">
        <f>INDEX(Products!C:C,MATCH(OrdersTable[[#This Row],[Product ID]],Products!A:A,0))</f>
        <v>Home &amp; Kitchen</v>
      </c>
      <c r="P391">
        <v>1</v>
      </c>
      <c r="Q391" s="5">
        <v>699</v>
      </c>
      <c r="R391" s="74">
        <v>0.15</v>
      </c>
      <c r="S391" s="75">
        <f>OrdersTable[[#This Row],[Quantity]]*OrdersTable[[#This Row],[Unit Price]]</f>
        <v>699</v>
      </c>
      <c r="T391" s="5">
        <f>OrdersTable[[#This Row],[Gross Sale]]*OrdersTable[[#This Row],[Discount_Clean2]]</f>
        <v>104.85</v>
      </c>
      <c r="U391" s="5">
        <f>OrdersTable[[#This Row],[Gross Sale]]-OrdersTable[[#This Row],[Discount Amount]]</f>
        <v>594.15</v>
      </c>
      <c r="V391" s="77">
        <f>INDEX(Products!E:E,MATCH(OrdersTable[[#This Row],[Product ID]],Products!A:A,0))</f>
        <v>245</v>
      </c>
      <c r="W391" s="77">
        <f>OrdersTable[[#This Row],[Quantity]]*OrdersTable[[#This Row],[Unit Cost]]</f>
        <v>245</v>
      </c>
      <c r="X391" s="77">
        <f>'Dropdown Lists'!$I$2*(1+OrdersTable[[#This Row],[Returned]])</f>
        <v>60</v>
      </c>
      <c r="Y391" s="76">
        <f>OrdersTable[[#This Row],[Net Revenue]]-OrdersTable[[#This Row],[COGS]]-OrdersTable[[#This Row],[Shipping Cost]]</f>
        <v>289.14999999999998</v>
      </c>
      <c r="Z391" s="78">
        <f>IFERROR(OrdersTable[[#This Row],[Profit]]/OrdersTable[[#This Row],[Net Revenue]],0)</f>
        <v>0.48666161743667424</v>
      </c>
      <c r="AA391" t="s">
        <v>18</v>
      </c>
      <c r="AB391" s="79">
        <v>45377</v>
      </c>
      <c r="AC391">
        <f>OrdersTable[[#This Row],[Delivery Date]]-OrdersTable[[#This Row],[Order Date]]</f>
        <v>4</v>
      </c>
      <c r="AD391" t="str">
        <f>IF(OrdersTable[[#This Row],[Delivery Days]]&lt;=2, "Express (≤2d)", IF(OrdersTable[[#This Row],[Delivery Days]]&lt;=4, "Standard (3-4d)", "Delayed (5d+)"))</f>
        <v>Standard (3-4d)</v>
      </c>
      <c r="AE391">
        <v>3</v>
      </c>
      <c r="AF391">
        <v>0</v>
      </c>
    </row>
    <row r="392" spans="1:32" ht="15" x14ac:dyDescent="0.35">
      <c r="A392" t="s">
        <v>6760</v>
      </c>
      <c r="B392" s="1">
        <v>45373</v>
      </c>
      <c r="C392">
        <f>YEAR(OrdersTable[[#This Row],[Order Date]])</f>
        <v>2024</v>
      </c>
      <c r="D392" s="2">
        <f>DATE(YEAR(OrdersTable[[#This Row],[Order Date]]),MONTH(OrdersTable[[#This Row],[Order Date]]),1)</f>
        <v>45352</v>
      </c>
      <c r="E392">
        <f>MONTH(OrdersTable[[#This Row],[Order Date]])</f>
        <v>3</v>
      </c>
      <c r="F392" t="s">
        <v>6086</v>
      </c>
      <c r="G392" t="str">
        <f>IF(OrdersTable[[#This Row],[Order Date]]=_xlfn.MINIFS(Order_Date, Customer_ID, OrdersTable[[#This Row],[Customer ID]]), "New", "Repeat")</f>
        <v>New</v>
      </c>
      <c r="H392" t="s">
        <v>48</v>
      </c>
      <c r="I392" t="str">
        <f>INDEX(State!B:B,MATCH(OrdersTable[[#This Row],[State]],State!A:A,0))</f>
        <v>HR</v>
      </c>
      <c r="J392" t="str">
        <f>INDEX(State!C:C,MATCH(OrdersTable[[#This Row],[State Code]],State!B:B,0))</f>
        <v>North</v>
      </c>
      <c r="K392" t="s">
        <v>49</v>
      </c>
      <c r="L392" t="s">
        <v>65</v>
      </c>
      <c r="M392" t="s">
        <v>160</v>
      </c>
      <c r="N392" t="str">
        <f>INDEX(Products!B:B,MATCH(OrdersTable[[#This Row],[Product ID]],Products!A:A,0))</f>
        <v>Niacinamide Toner</v>
      </c>
      <c r="O392" t="str">
        <f>INDEX(Products!C:C,MATCH(OrdersTable[[#This Row],[Product ID]],Products!A:A,0))</f>
        <v>Skincare</v>
      </c>
      <c r="P392">
        <v>3</v>
      </c>
      <c r="Q392" s="5">
        <v>399</v>
      </c>
      <c r="R392" s="74">
        <v>0.2</v>
      </c>
      <c r="S392" s="75">
        <f>OrdersTable[[#This Row],[Quantity]]*OrdersTable[[#This Row],[Unit Price]]</f>
        <v>1197</v>
      </c>
      <c r="T392" s="5">
        <f>OrdersTable[[#This Row],[Gross Sale]]*OrdersTable[[#This Row],[Discount_Clean2]]</f>
        <v>239.4</v>
      </c>
      <c r="U392" s="5">
        <f>OrdersTable[[#This Row],[Gross Sale]]-OrdersTable[[#This Row],[Discount Amount]]</f>
        <v>957.6</v>
      </c>
      <c r="V392" s="77">
        <f>INDEX(Products!E:E,MATCH(OrdersTable[[#This Row],[Product ID]],Products!A:A,0))</f>
        <v>112</v>
      </c>
      <c r="W392" s="77">
        <f>OrdersTable[[#This Row],[Quantity]]*OrdersTable[[#This Row],[Unit Cost]]</f>
        <v>336</v>
      </c>
      <c r="X392" s="77">
        <f>'Dropdown Lists'!$I$2*(1+OrdersTable[[#This Row],[Returned]])</f>
        <v>60</v>
      </c>
      <c r="Y392" s="76">
        <f>OrdersTable[[#This Row],[Net Revenue]]-OrdersTable[[#This Row],[COGS]]-OrdersTable[[#This Row],[Shipping Cost]]</f>
        <v>561.6</v>
      </c>
      <c r="Z392" s="78">
        <f>IFERROR(OrdersTable[[#This Row],[Profit]]/OrdersTable[[#This Row],[Net Revenue]],0)</f>
        <v>0.5864661654135338</v>
      </c>
      <c r="AA392" t="s">
        <v>3495</v>
      </c>
      <c r="AB392" s="79">
        <v>45374</v>
      </c>
      <c r="AC392">
        <f>OrdersTable[[#This Row],[Delivery Date]]-OrdersTable[[#This Row],[Order Date]]</f>
        <v>1</v>
      </c>
      <c r="AD392" t="str">
        <f>IF(OrdersTable[[#This Row],[Delivery Days]]&lt;=2, "Express (≤2d)", IF(OrdersTable[[#This Row],[Delivery Days]]&lt;=4, "Standard (3-4d)", "Delayed (5d+)"))</f>
        <v>Express (≤2d)</v>
      </c>
      <c r="AE392">
        <v>3</v>
      </c>
      <c r="AF392">
        <v>0</v>
      </c>
    </row>
    <row r="393" spans="1:32" ht="15" x14ac:dyDescent="0.35">
      <c r="A393" t="s">
        <v>1128</v>
      </c>
      <c r="B393" s="1">
        <v>45373</v>
      </c>
      <c r="C393">
        <f>YEAR(OrdersTable[[#This Row],[Order Date]])</f>
        <v>2024</v>
      </c>
      <c r="D393" s="2">
        <f>DATE(YEAR(OrdersTable[[#This Row],[Order Date]]),MONTH(OrdersTable[[#This Row],[Order Date]]),1)</f>
        <v>45352</v>
      </c>
      <c r="E393">
        <f>MONTH(OrdersTable[[#This Row],[Order Date]])</f>
        <v>3</v>
      </c>
      <c r="F393" t="s">
        <v>1129</v>
      </c>
      <c r="G393" t="str">
        <f>IF(OrdersTable[[#This Row],[Order Date]]=_xlfn.MINIFS(Order_Date, Customer_ID, OrdersTable[[#This Row],[Customer ID]]), "New", "Repeat")</f>
        <v>New</v>
      </c>
      <c r="H393" t="s">
        <v>43</v>
      </c>
      <c r="I393" t="str">
        <f>INDEX(State!B:B,MATCH(OrdersTable[[#This Row],[State]],State!A:A,0))</f>
        <v>MP</v>
      </c>
      <c r="J393" t="str">
        <f>INDEX(State!C:C,MATCH(OrdersTable[[#This Row],[State Code]],State!B:B,0))</f>
        <v>West</v>
      </c>
      <c r="K393" t="s">
        <v>250</v>
      </c>
      <c r="L393" t="s">
        <v>50</v>
      </c>
      <c r="M393" t="s">
        <v>66</v>
      </c>
      <c r="N393" t="str">
        <f>INDEX(Products!B:B,MATCH(OrdersTable[[#This Row],[Product ID]],Products!A:A,0))</f>
        <v>Sunscreen SPF 50</v>
      </c>
      <c r="O393" t="str">
        <f>INDEX(Products!C:C,MATCH(OrdersTable[[#This Row],[Product ID]],Products!A:A,0))</f>
        <v>Skincare</v>
      </c>
      <c r="P393">
        <v>1</v>
      </c>
      <c r="Q393" s="5">
        <v>449</v>
      </c>
      <c r="R393" s="74">
        <v>0.1</v>
      </c>
      <c r="S393" s="75">
        <f>OrdersTable[[#This Row],[Quantity]]*OrdersTable[[#This Row],[Unit Price]]</f>
        <v>449</v>
      </c>
      <c r="T393" s="5">
        <f>OrdersTable[[#This Row],[Gross Sale]]*OrdersTable[[#This Row],[Discount_Clean2]]</f>
        <v>44.900000000000006</v>
      </c>
      <c r="U393" s="5">
        <f>OrdersTable[[#This Row],[Gross Sale]]-OrdersTable[[#This Row],[Discount Amount]]</f>
        <v>404.1</v>
      </c>
      <c r="V393" s="77">
        <f>INDEX(Products!E:E,MATCH(OrdersTable[[#This Row],[Product ID]],Products!A:A,0))</f>
        <v>144</v>
      </c>
      <c r="W393" s="77">
        <f>OrdersTable[[#This Row],[Quantity]]*OrdersTable[[#This Row],[Unit Cost]]</f>
        <v>144</v>
      </c>
      <c r="X393" s="77">
        <f>'Dropdown Lists'!$I$2*(1+OrdersTable[[#This Row],[Returned]])</f>
        <v>60</v>
      </c>
      <c r="Y393" s="76">
        <f>OrdersTable[[#This Row],[Net Revenue]]-OrdersTable[[#This Row],[COGS]]-OrdersTable[[#This Row],[Shipping Cost]]</f>
        <v>200.10000000000002</v>
      </c>
      <c r="Z393" s="78">
        <f>IFERROR(OrdersTable[[#This Row],[Profit]]/OrdersTable[[#This Row],[Net Revenue]],0)</f>
        <v>0.4951744617668894</v>
      </c>
      <c r="AA393" t="s">
        <v>18</v>
      </c>
      <c r="AB393" s="79">
        <v>45376</v>
      </c>
      <c r="AC393">
        <f>OrdersTable[[#This Row],[Delivery Date]]-OrdersTable[[#This Row],[Order Date]]</f>
        <v>3</v>
      </c>
      <c r="AD393" t="str">
        <f>IF(OrdersTable[[#This Row],[Delivery Days]]&lt;=2, "Express (≤2d)", IF(OrdersTable[[#This Row],[Delivery Days]]&lt;=4, "Standard (3-4d)", "Delayed (5d+)"))</f>
        <v>Standard (3-4d)</v>
      </c>
      <c r="AF393">
        <v>0</v>
      </c>
    </row>
    <row r="394" spans="1:32" ht="15" x14ac:dyDescent="0.35">
      <c r="A394" t="s">
        <v>2880</v>
      </c>
      <c r="B394" s="1">
        <v>45373</v>
      </c>
      <c r="C394">
        <f>YEAR(OrdersTable[[#This Row],[Order Date]])</f>
        <v>2024</v>
      </c>
      <c r="D394" s="2">
        <f>DATE(YEAR(OrdersTable[[#This Row],[Order Date]]),MONTH(OrdersTable[[#This Row],[Order Date]]),1)</f>
        <v>45352</v>
      </c>
      <c r="E394">
        <f>MONTH(OrdersTable[[#This Row],[Order Date]])</f>
        <v>3</v>
      </c>
      <c r="F394" t="s">
        <v>1923</v>
      </c>
      <c r="G394" t="str">
        <f>IF(OrdersTable[[#This Row],[Order Date]]=_xlfn.MINIFS(Order_Date, Customer_ID, OrdersTable[[#This Row],[Customer ID]]), "New", "Repeat")</f>
        <v>New</v>
      </c>
      <c r="H394" t="s">
        <v>95</v>
      </c>
      <c r="I394" t="str">
        <f>INDEX(State!B:B,MATCH(OrdersTable[[#This Row],[State]],State!A:A,0))</f>
        <v>TG</v>
      </c>
      <c r="J394" t="str">
        <f>INDEX(State!C:C,MATCH(OrdersTable[[#This Row],[State Code]],State!B:B,0))</f>
        <v>South</v>
      </c>
      <c r="K394" t="s">
        <v>96</v>
      </c>
      <c r="L394" t="s">
        <v>50</v>
      </c>
      <c r="M394" t="s">
        <v>109</v>
      </c>
      <c r="N394" t="str">
        <f>INDEX(Products!B:B,MATCH(OrdersTable[[#This Row],[Product ID]],Products!A:A,0))</f>
        <v>Onion Hair Oil</v>
      </c>
      <c r="O394" t="str">
        <f>INDEX(Products!C:C,MATCH(OrdersTable[[#This Row],[Product ID]],Products!A:A,0))</f>
        <v>Haircare</v>
      </c>
      <c r="P394">
        <v>1</v>
      </c>
      <c r="Q394" s="5">
        <v>349</v>
      </c>
      <c r="R394" s="74">
        <v>0.3</v>
      </c>
      <c r="S394" s="75">
        <f>OrdersTable[[#This Row],[Quantity]]*OrdersTable[[#This Row],[Unit Price]]</f>
        <v>349</v>
      </c>
      <c r="T394" s="5">
        <f>OrdersTable[[#This Row],[Gross Sale]]*OrdersTable[[#This Row],[Discount_Clean2]]</f>
        <v>104.7</v>
      </c>
      <c r="U394" s="5">
        <f>OrdersTable[[#This Row],[Gross Sale]]-OrdersTable[[#This Row],[Discount Amount]]</f>
        <v>244.3</v>
      </c>
      <c r="V394" s="77">
        <f>INDEX(Products!E:E,MATCH(OrdersTable[[#This Row],[Product ID]],Products!A:A,0))</f>
        <v>105</v>
      </c>
      <c r="W394" s="77">
        <f>OrdersTable[[#This Row],[Quantity]]*OrdersTable[[#This Row],[Unit Cost]]</f>
        <v>105</v>
      </c>
      <c r="X394" s="77">
        <f>'Dropdown Lists'!$I$2*(1+OrdersTable[[#This Row],[Returned]])</f>
        <v>60</v>
      </c>
      <c r="Y394" s="76">
        <f>OrdersTable[[#This Row],[Net Revenue]]-OrdersTable[[#This Row],[COGS]]-OrdersTable[[#This Row],[Shipping Cost]]</f>
        <v>79.300000000000011</v>
      </c>
      <c r="Z394" s="78">
        <f>IFERROR(OrdersTable[[#This Row],[Profit]]/OrdersTable[[#This Row],[Net Revenue]],0)</f>
        <v>0.32460090053213264</v>
      </c>
      <c r="AA394" t="s">
        <v>2522</v>
      </c>
      <c r="AB394" s="79">
        <v>45375</v>
      </c>
      <c r="AC394">
        <f>OrdersTable[[#This Row],[Delivery Date]]-OrdersTable[[#This Row],[Order Date]]</f>
        <v>2</v>
      </c>
      <c r="AD394" t="str">
        <f>IF(OrdersTable[[#This Row],[Delivery Days]]&lt;=2, "Express (≤2d)", IF(OrdersTable[[#This Row],[Delivery Days]]&lt;=4, "Standard (3-4d)", "Delayed (5d+)"))</f>
        <v>Express (≤2d)</v>
      </c>
      <c r="AF394">
        <v>0</v>
      </c>
    </row>
    <row r="395" spans="1:32" ht="15" x14ac:dyDescent="0.35">
      <c r="A395" t="s">
        <v>4217</v>
      </c>
      <c r="B395" s="1">
        <v>45373</v>
      </c>
      <c r="C395">
        <f>YEAR(OrdersTable[[#This Row],[Order Date]])</f>
        <v>2024</v>
      </c>
      <c r="D395" s="2">
        <f>DATE(YEAR(OrdersTable[[#This Row],[Order Date]]),MONTH(OrdersTable[[#This Row],[Order Date]]),1)</f>
        <v>45352</v>
      </c>
      <c r="E395">
        <f>MONTH(OrdersTable[[#This Row],[Order Date]])</f>
        <v>3</v>
      </c>
      <c r="F395" t="s">
        <v>2715</v>
      </c>
      <c r="G395" t="str">
        <f>IF(OrdersTable[[#This Row],[Order Date]]=_xlfn.MINIFS(Order_Date, Customer_ID, OrdersTable[[#This Row],[Customer ID]]), "New", "Repeat")</f>
        <v>New</v>
      </c>
      <c r="H395" t="s">
        <v>316</v>
      </c>
      <c r="I395" t="str">
        <f>INDEX(State!B:B,MATCH(OrdersTable[[#This Row],[State]],State!A:A,0))</f>
        <v>KL</v>
      </c>
      <c r="J395" t="str">
        <f>INDEX(State!C:C,MATCH(OrdersTable[[#This Row],[State Code]],State!B:B,0))</f>
        <v>South</v>
      </c>
      <c r="K395" t="s">
        <v>317</v>
      </c>
      <c r="L395" t="s">
        <v>65</v>
      </c>
      <c r="M395" t="s">
        <v>51</v>
      </c>
      <c r="N395" t="str">
        <f>INDEX(Products!B:B,MATCH(OrdersTable[[#This Row],[Product ID]],Products!A:A,0))</f>
        <v>Anti-Dandruff Conditioner</v>
      </c>
      <c r="O395" t="str">
        <f>INDEX(Products!C:C,MATCH(OrdersTable[[#This Row],[Product ID]],Products!A:A,0))</f>
        <v>Haircare</v>
      </c>
      <c r="P395">
        <v>1</v>
      </c>
      <c r="Q395" s="5">
        <v>399</v>
      </c>
      <c r="R395" s="74">
        <v>0.45</v>
      </c>
      <c r="S395" s="75">
        <f>OrdersTable[[#This Row],[Quantity]]*OrdersTable[[#This Row],[Unit Price]]</f>
        <v>399</v>
      </c>
      <c r="T395" s="5">
        <f>OrdersTable[[#This Row],[Gross Sale]]*OrdersTable[[#This Row],[Discount_Clean2]]</f>
        <v>179.55</v>
      </c>
      <c r="U395" s="5">
        <f>OrdersTable[[#This Row],[Gross Sale]]-OrdersTable[[#This Row],[Discount Amount]]</f>
        <v>219.45</v>
      </c>
      <c r="V395" s="77">
        <f>INDEX(Products!E:E,MATCH(OrdersTable[[#This Row],[Product ID]],Products!A:A,0))</f>
        <v>136</v>
      </c>
      <c r="W395" s="77">
        <f>OrdersTable[[#This Row],[Quantity]]*OrdersTable[[#This Row],[Unit Cost]]</f>
        <v>136</v>
      </c>
      <c r="X395" s="77">
        <f>'Dropdown Lists'!$I$2*(1+OrdersTable[[#This Row],[Returned]])</f>
        <v>60</v>
      </c>
      <c r="Y395" s="76">
        <f>OrdersTable[[#This Row],[Net Revenue]]-OrdersTable[[#This Row],[COGS]]-OrdersTable[[#This Row],[Shipping Cost]]</f>
        <v>23.449999999999989</v>
      </c>
      <c r="Z395" s="78">
        <f>IFERROR(OrdersTable[[#This Row],[Profit]]/OrdersTable[[#This Row],[Net Revenue]],0)</f>
        <v>0.10685805422647524</v>
      </c>
      <c r="AA395" t="s">
        <v>4074</v>
      </c>
      <c r="AB395" s="79">
        <v>45376</v>
      </c>
      <c r="AC395">
        <f>OrdersTable[[#This Row],[Delivery Date]]-OrdersTable[[#This Row],[Order Date]]</f>
        <v>3</v>
      </c>
      <c r="AD395" t="str">
        <f>IF(OrdersTable[[#This Row],[Delivery Days]]&lt;=2, "Express (≤2d)", IF(OrdersTable[[#This Row],[Delivery Days]]&lt;=4, "Standard (3-4d)", "Delayed (5d+)"))</f>
        <v>Standard (3-4d)</v>
      </c>
      <c r="AF395">
        <v>0</v>
      </c>
    </row>
    <row r="396" spans="1:32" ht="15" x14ac:dyDescent="0.35">
      <c r="A396" t="s">
        <v>3959</v>
      </c>
      <c r="B396" s="1">
        <v>45373</v>
      </c>
      <c r="C396">
        <f>YEAR(OrdersTable[[#This Row],[Order Date]])</f>
        <v>2024</v>
      </c>
      <c r="D396" s="2">
        <f>DATE(YEAR(OrdersTable[[#This Row],[Order Date]]),MONTH(OrdersTable[[#This Row],[Order Date]]),1)</f>
        <v>45352</v>
      </c>
      <c r="E396">
        <f>MONTH(OrdersTable[[#This Row],[Order Date]])</f>
        <v>3</v>
      </c>
      <c r="F396" t="s">
        <v>31</v>
      </c>
      <c r="G396" t="str">
        <f>IF(OrdersTable[[#This Row],[Order Date]]=_xlfn.MINIFS(Order_Date, Customer_ID, OrdersTable[[#This Row],[Customer ID]]), "New", "Repeat")</f>
        <v>Repeat</v>
      </c>
      <c r="H396" t="s">
        <v>59</v>
      </c>
      <c r="I396" t="str">
        <f>INDEX(State!B:B,MATCH(OrdersTable[[#This Row],[State]],State!A:A,0))</f>
        <v>TN</v>
      </c>
      <c r="J396" t="str">
        <f>INDEX(State!C:C,MATCH(OrdersTable[[#This Row],[State Code]],State!B:B,0))</f>
        <v>South</v>
      </c>
      <c r="K396" t="s">
        <v>60</v>
      </c>
      <c r="L396" t="s">
        <v>23</v>
      </c>
      <c r="M396" t="s">
        <v>17</v>
      </c>
      <c r="N396" t="str">
        <f>INDEX(Products!B:B,MATCH(OrdersTable[[#This Row],[Product ID]],Products!A:A,0))</f>
        <v>Casual Sneakers</v>
      </c>
      <c r="O396" t="str">
        <f>INDEX(Products!C:C,MATCH(OrdersTable[[#This Row],[Product ID]],Products!A:A,0))</f>
        <v>Footwear</v>
      </c>
      <c r="P396">
        <v>1</v>
      </c>
      <c r="Q396" s="5">
        <v>2199</v>
      </c>
      <c r="R396" s="74">
        <v>0.3</v>
      </c>
      <c r="S396" s="75">
        <f>OrdersTable[[#This Row],[Quantity]]*OrdersTable[[#This Row],[Unit Price]]</f>
        <v>2199</v>
      </c>
      <c r="T396" s="5">
        <f>OrdersTable[[#This Row],[Gross Sale]]*OrdersTable[[#This Row],[Discount_Clean2]]</f>
        <v>659.69999999999993</v>
      </c>
      <c r="U396" s="5">
        <f>OrdersTable[[#This Row],[Gross Sale]]-OrdersTable[[#This Row],[Discount Amount]]</f>
        <v>1539.3000000000002</v>
      </c>
      <c r="V396" s="77">
        <f>INDEX(Products!E:E,MATCH(OrdersTable[[#This Row],[Product ID]],Products!A:A,0))</f>
        <v>1034</v>
      </c>
      <c r="W396" s="77">
        <f>OrdersTable[[#This Row],[Quantity]]*OrdersTable[[#This Row],[Unit Cost]]</f>
        <v>1034</v>
      </c>
      <c r="X396" s="77">
        <f>'Dropdown Lists'!$I$2*(1+OrdersTable[[#This Row],[Returned]])</f>
        <v>60</v>
      </c>
      <c r="Y396" s="76">
        <f>OrdersTable[[#This Row],[Net Revenue]]-OrdersTable[[#This Row],[COGS]]-OrdersTable[[#This Row],[Shipping Cost]]</f>
        <v>445.30000000000018</v>
      </c>
      <c r="Z396" s="78">
        <f>IFERROR(OrdersTable[[#This Row],[Profit]]/OrdersTable[[#This Row],[Net Revenue]],0)</f>
        <v>0.28928733840057175</v>
      </c>
      <c r="AA396" t="s">
        <v>3495</v>
      </c>
      <c r="AB396" s="79">
        <v>45376</v>
      </c>
      <c r="AC396">
        <f>OrdersTable[[#This Row],[Delivery Date]]-OrdersTable[[#This Row],[Order Date]]</f>
        <v>3</v>
      </c>
      <c r="AD396" t="str">
        <f>IF(OrdersTable[[#This Row],[Delivery Days]]&lt;=2, "Express (≤2d)", IF(OrdersTable[[#This Row],[Delivery Days]]&lt;=4, "Standard (3-4d)", "Delayed (5d+)"))</f>
        <v>Standard (3-4d)</v>
      </c>
      <c r="AE396">
        <v>5</v>
      </c>
      <c r="AF396">
        <v>0</v>
      </c>
    </row>
    <row r="397" spans="1:32" ht="15" x14ac:dyDescent="0.35">
      <c r="A397" t="s">
        <v>1130</v>
      </c>
      <c r="B397" s="1">
        <v>45374</v>
      </c>
      <c r="C397">
        <f>YEAR(OrdersTable[[#This Row],[Order Date]])</f>
        <v>2024</v>
      </c>
      <c r="D397" s="2">
        <f>DATE(YEAR(OrdersTable[[#This Row],[Order Date]]),MONTH(OrdersTable[[#This Row],[Order Date]]),1)</f>
        <v>45352</v>
      </c>
      <c r="E397">
        <f>MONTH(OrdersTable[[#This Row],[Order Date]])</f>
        <v>3</v>
      </c>
      <c r="F397" t="s">
        <v>1131</v>
      </c>
      <c r="G397" t="str">
        <f>IF(OrdersTable[[#This Row],[Order Date]]=_xlfn.MINIFS(Order_Date, Customer_ID, OrdersTable[[#This Row],[Customer ID]]), "New", "Repeat")</f>
        <v>New</v>
      </c>
      <c r="H397" t="s">
        <v>54</v>
      </c>
      <c r="I397" t="str">
        <f>INDEX(State!B:B,MATCH(OrdersTable[[#This Row],[State]],State!A:A,0))</f>
        <v>RJ</v>
      </c>
      <c r="J397" t="str">
        <f>INDEX(State!C:C,MATCH(OrdersTable[[#This Row],[State Code]],State!B:B,0))</f>
        <v>North</v>
      </c>
      <c r="K397" t="s">
        <v>227</v>
      </c>
      <c r="L397" t="s">
        <v>50</v>
      </c>
      <c r="M397" t="s">
        <v>73</v>
      </c>
      <c r="N397" t="str">
        <f>INDEX(Products!B:B,MATCH(OrdersTable[[#This Row],[Product ID]],Products!A:A,0))</f>
        <v>Hydrating Face Wash</v>
      </c>
      <c r="O397" t="str">
        <f>INDEX(Products!C:C,MATCH(OrdersTable[[#This Row],[Product ID]],Products!A:A,0))</f>
        <v>Skincare</v>
      </c>
      <c r="P397">
        <v>1</v>
      </c>
      <c r="Q397" s="5">
        <v>299</v>
      </c>
      <c r="R397" s="74">
        <v>0.1</v>
      </c>
      <c r="S397" s="75">
        <f>OrdersTable[[#This Row],[Quantity]]*OrdersTable[[#This Row],[Unit Price]]</f>
        <v>299</v>
      </c>
      <c r="T397" s="5">
        <f>OrdersTable[[#This Row],[Gross Sale]]*OrdersTable[[#This Row],[Discount_Clean2]]</f>
        <v>29.900000000000002</v>
      </c>
      <c r="U397" s="5">
        <f>OrdersTable[[#This Row],[Gross Sale]]-OrdersTable[[#This Row],[Discount Amount]]</f>
        <v>269.10000000000002</v>
      </c>
      <c r="V397" s="77">
        <f>INDEX(Products!E:E,MATCH(OrdersTable[[#This Row],[Product ID]],Products!A:A,0))</f>
        <v>90</v>
      </c>
      <c r="W397" s="77">
        <f>OrdersTable[[#This Row],[Quantity]]*OrdersTable[[#This Row],[Unit Cost]]</f>
        <v>90</v>
      </c>
      <c r="X397" s="77">
        <f>'Dropdown Lists'!$I$2*(1+OrdersTable[[#This Row],[Returned]])</f>
        <v>60</v>
      </c>
      <c r="Y397" s="76">
        <f>OrdersTable[[#This Row],[Net Revenue]]-OrdersTable[[#This Row],[COGS]]-OrdersTable[[#This Row],[Shipping Cost]]</f>
        <v>119.10000000000002</v>
      </c>
      <c r="Z397" s="78">
        <f>IFERROR(OrdersTable[[#This Row],[Profit]]/OrdersTable[[#This Row],[Net Revenue]],0)</f>
        <v>0.4425863991081383</v>
      </c>
      <c r="AA397" t="s">
        <v>18</v>
      </c>
      <c r="AB397" s="79">
        <v>45379</v>
      </c>
      <c r="AC397">
        <f>OrdersTable[[#This Row],[Delivery Date]]-OrdersTable[[#This Row],[Order Date]]</f>
        <v>5</v>
      </c>
      <c r="AD397" t="str">
        <f>IF(OrdersTable[[#This Row],[Delivery Days]]&lt;=2, "Express (≤2d)", IF(OrdersTable[[#This Row],[Delivery Days]]&lt;=4, "Standard (3-4d)", "Delayed (5d+)"))</f>
        <v>Delayed (5d+)</v>
      </c>
      <c r="AF397">
        <v>0</v>
      </c>
    </row>
    <row r="398" spans="1:32" ht="15" x14ac:dyDescent="0.35">
      <c r="A398" t="s">
        <v>6849</v>
      </c>
      <c r="B398" s="1">
        <v>45374</v>
      </c>
      <c r="C398">
        <f>YEAR(OrdersTable[[#This Row],[Order Date]])</f>
        <v>2024</v>
      </c>
      <c r="D398" s="2">
        <f>DATE(YEAR(OrdersTable[[#This Row],[Order Date]]),MONTH(OrdersTable[[#This Row],[Order Date]]),1)</f>
        <v>45352</v>
      </c>
      <c r="E398">
        <f>MONTH(OrdersTable[[#This Row],[Order Date]])</f>
        <v>3</v>
      </c>
      <c r="F398" t="s">
        <v>5121</v>
      </c>
      <c r="G398" t="str">
        <f>IF(OrdersTable[[#This Row],[Order Date]]=_xlfn.MINIFS(Order_Date, Customer_ID, OrdersTable[[#This Row],[Customer ID]]), "New", "Repeat")</f>
        <v>New</v>
      </c>
      <c r="H398" t="s">
        <v>76</v>
      </c>
      <c r="I398" t="str">
        <f>INDEX(State!B:B,MATCH(OrdersTable[[#This Row],[State]],State!A:A,0))</f>
        <v>UP</v>
      </c>
      <c r="J398" t="str">
        <f>INDEX(State!C:C,MATCH(OrdersTable[[#This Row],[State Code]],State!B:B,0))</f>
        <v>North</v>
      </c>
      <c r="K398" t="s">
        <v>118</v>
      </c>
      <c r="L398" t="s">
        <v>65</v>
      </c>
      <c r="M398" t="s">
        <v>160</v>
      </c>
      <c r="N398" t="str">
        <f>INDEX(Products!B:B,MATCH(OrdersTable[[#This Row],[Product ID]],Products!A:A,0))</f>
        <v>Niacinamide Toner</v>
      </c>
      <c r="O398" t="str">
        <f>INDEX(Products!C:C,MATCH(OrdersTable[[#This Row],[Product ID]],Products!A:A,0))</f>
        <v>Skincare</v>
      </c>
      <c r="P398">
        <v>3</v>
      </c>
      <c r="Q398" s="5">
        <v>399</v>
      </c>
      <c r="R398" s="74">
        <v>0.25</v>
      </c>
      <c r="S398" s="75">
        <f>OrdersTable[[#This Row],[Quantity]]*OrdersTable[[#This Row],[Unit Price]]</f>
        <v>1197</v>
      </c>
      <c r="T398" s="5">
        <f>OrdersTable[[#This Row],[Gross Sale]]*OrdersTable[[#This Row],[Discount_Clean2]]</f>
        <v>299.25</v>
      </c>
      <c r="U398" s="5">
        <f>OrdersTable[[#This Row],[Gross Sale]]-OrdersTable[[#This Row],[Discount Amount]]</f>
        <v>897.75</v>
      </c>
      <c r="V398" s="77">
        <f>INDEX(Products!E:E,MATCH(OrdersTable[[#This Row],[Product ID]],Products!A:A,0))</f>
        <v>112</v>
      </c>
      <c r="W398" s="77">
        <f>OrdersTable[[#This Row],[Quantity]]*OrdersTable[[#This Row],[Unit Cost]]</f>
        <v>336</v>
      </c>
      <c r="X398" s="77">
        <f>'Dropdown Lists'!$I$2*(1+OrdersTable[[#This Row],[Returned]])</f>
        <v>60</v>
      </c>
      <c r="Y398" s="76">
        <f>OrdersTable[[#This Row],[Net Revenue]]-OrdersTable[[#This Row],[COGS]]-OrdersTable[[#This Row],[Shipping Cost]]</f>
        <v>501.75</v>
      </c>
      <c r="Z398" s="78">
        <f>IFERROR(OrdersTable[[#This Row],[Profit]]/OrdersTable[[#This Row],[Net Revenue]],0)</f>
        <v>0.55889724310776945</v>
      </c>
      <c r="AA398" t="s">
        <v>4450</v>
      </c>
      <c r="AB398" s="79">
        <v>45378</v>
      </c>
      <c r="AC398">
        <f>OrdersTable[[#This Row],[Delivery Date]]-OrdersTable[[#This Row],[Order Date]]</f>
        <v>4</v>
      </c>
      <c r="AD398" t="str">
        <f>IF(OrdersTable[[#This Row],[Delivery Days]]&lt;=2, "Express (≤2d)", IF(OrdersTable[[#This Row],[Delivery Days]]&lt;=4, "Standard (3-4d)", "Delayed (5d+)"))</f>
        <v>Standard (3-4d)</v>
      </c>
      <c r="AE398">
        <v>4</v>
      </c>
      <c r="AF398">
        <v>0</v>
      </c>
    </row>
    <row r="399" spans="1:32" ht="15" x14ac:dyDescent="0.35">
      <c r="A399" t="s">
        <v>5859</v>
      </c>
      <c r="B399" s="1">
        <v>45374</v>
      </c>
      <c r="C399">
        <f>YEAR(OrdersTable[[#This Row],[Order Date]])</f>
        <v>2024</v>
      </c>
      <c r="D399" s="2">
        <f>DATE(YEAR(OrdersTable[[#This Row],[Order Date]]),MONTH(OrdersTable[[#This Row],[Order Date]]),1)</f>
        <v>45352</v>
      </c>
      <c r="E399">
        <f>MONTH(OrdersTable[[#This Row],[Order Date]])</f>
        <v>3</v>
      </c>
      <c r="F399" t="s">
        <v>200</v>
      </c>
      <c r="G399" t="str">
        <f>IF(OrdersTable[[#This Row],[Order Date]]=_xlfn.MINIFS(Order_Date, Customer_ID, OrdersTable[[#This Row],[Customer ID]]), "New", "Repeat")</f>
        <v>New</v>
      </c>
      <c r="H399" t="s">
        <v>132</v>
      </c>
      <c r="I399" t="str">
        <f>INDEX(State!B:B,MATCH(OrdersTable[[#This Row],[State]],State!A:A,0))</f>
        <v>AS</v>
      </c>
      <c r="J399" t="str">
        <f>INDEX(State!C:C,MATCH(OrdersTable[[#This Row],[State Code]],State!B:B,0))</f>
        <v>East</v>
      </c>
      <c r="K399" t="s">
        <v>133</v>
      </c>
      <c r="L399" t="s">
        <v>39</v>
      </c>
      <c r="M399" t="s">
        <v>125</v>
      </c>
      <c r="N399" t="str">
        <f>INDEX(Products!B:B,MATCH(OrdersTable[[#This Row],[Product ID]],Products!A:A,0))</f>
        <v>Copper Water Bottle</v>
      </c>
      <c r="O399" t="str">
        <f>INDEX(Products!C:C,MATCH(OrdersTable[[#This Row],[Product ID]],Products!A:A,0))</f>
        <v>Home &amp; Kitchen</v>
      </c>
      <c r="P399">
        <v>2</v>
      </c>
      <c r="Q399" s="5">
        <v>899</v>
      </c>
      <c r="R399" s="74">
        <v>0</v>
      </c>
      <c r="S399" s="75">
        <f>OrdersTable[[#This Row],[Quantity]]*OrdersTable[[#This Row],[Unit Price]]</f>
        <v>1798</v>
      </c>
      <c r="T399" s="5">
        <f>OrdersTable[[#This Row],[Gross Sale]]*OrdersTable[[#This Row],[Discount_Clean2]]</f>
        <v>0</v>
      </c>
      <c r="U399" s="5">
        <f>OrdersTable[[#This Row],[Gross Sale]]-OrdersTable[[#This Row],[Discount Amount]]</f>
        <v>1798</v>
      </c>
      <c r="V399" s="77">
        <f>INDEX(Products!E:E,MATCH(OrdersTable[[#This Row],[Product ID]],Products!A:A,0))</f>
        <v>378</v>
      </c>
      <c r="W399" s="77">
        <f>OrdersTable[[#This Row],[Quantity]]*OrdersTable[[#This Row],[Unit Cost]]</f>
        <v>756</v>
      </c>
      <c r="X399" s="77">
        <f>'Dropdown Lists'!$I$2*(1+OrdersTable[[#This Row],[Returned]])</f>
        <v>60</v>
      </c>
      <c r="Y399" s="76">
        <f>OrdersTable[[#This Row],[Net Revenue]]-OrdersTable[[#This Row],[COGS]]-OrdersTable[[#This Row],[Shipping Cost]]</f>
        <v>982</v>
      </c>
      <c r="Z399" s="78">
        <f>IFERROR(OrdersTable[[#This Row],[Profit]]/OrdersTable[[#This Row],[Net Revenue]],0)</f>
        <v>0.5461624026696329</v>
      </c>
      <c r="AA399" t="s">
        <v>18</v>
      </c>
      <c r="AB399" s="79">
        <v>45380</v>
      </c>
      <c r="AC399">
        <f>OrdersTable[[#This Row],[Delivery Date]]-OrdersTable[[#This Row],[Order Date]]</f>
        <v>6</v>
      </c>
      <c r="AD399" t="str">
        <f>IF(OrdersTable[[#This Row],[Delivery Days]]&lt;=2, "Express (≤2d)", IF(OrdersTable[[#This Row],[Delivery Days]]&lt;=4, "Standard (3-4d)", "Delayed (5d+)"))</f>
        <v>Delayed (5d+)</v>
      </c>
      <c r="AF399">
        <v>0</v>
      </c>
    </row>
    <row r="400" spans="1:32" ht="15" x14ac:dyDescent="0.35">
      <c r="A400" t="s">
        <v>2234</v>
      </c>
      <c r="B400" s="1">
        <v>45374</v>
      </c>
      <c r="C400">
        <f>YEAR(OrdersTable[[#This Row],[Order Date]])</f>
        <v>2024</v>
      </c>
      <c r="D400" s="2">
        <f>DATE(YEAR(OrdersTable[[#This Row],[Order Date]]),MONTH(OrdersTable[[#This Row],[Order Date]]),1)</f>
        <v>45352</v>
      </c>
      <c r="E400">
        <f>MONTH(OrdersTable[[#This Row],[Order Date]])</f>
        <v>3</v>
      </c>
      <c r="F400" t="s">
        <v>2235</v>
      </c>
      <c r="G400" t="str">
        <f>IF(OrdersTable[[#This Row],[Order Date]]=_xlfn.MINIFS(Order_Date, Customer_ID, OrdersTable[[#This Row],[Customer ID]]), "New", "Repeat")</f>
        <v>New</v>
      </c>
      <c r="H400" t="s">
        <v>95</v>
      </c>
      <c r="I400" t="str">
        <f>INDEX(State!B:B,MATCH(OrdersTable[[#This Row],[State]],State!A:A,0))</f>
        <v>TG</v>
      </c>
      <c r="J400" t="str">
        <f>INDEX(State!C:C,MATCH(OrdersTable[[#This Row],[State Code]],State!B:B,0))</f>
        <v>South</v>
      </c>
      <c r="K400" t="s">
        <v>96</v>
      </c>
      <c r="L400" t="s">
        <v>50</v>
      </c>
      <c r="M400" t="s">
        <v>106</v>
      </c>
      <c r="N400" t="str">
        <f>INDEX(Products!B:B,MATCH(OrdersTable[[#This Row],[Product ID]],Products!A:A,0))</f>
        <v>Keratin Hair Mask</v>
      </c>
      <c r="O400" t="str">
        <f>INDEX(Products!C:C,MATCH(OrdersTable[[#This Row],[Product ID]],Products!A:A,0))</f>
        <v>Haircare</v>
      </c>
      <c r="P400">
        <v>1</v>
      </c>
      <c r="Q400" s="5">
        <v>549</v>
      </c>
      <c r="R400" s="74">
        <v>0.15</v>
      </c>
      <c r="S400" s="75">
        <f>OrdersTable[[#This Row],[Quantity]]*OrdersTable[[#This Row],[Unit Price]]</f>
        <v>549</v>
      </c>
      <c r="T400" s="5">
        <f>OrdersTable[[#This Row],[Gross Sale]]*OrdersTable[[#This Row],[Discount_Clean2]]</f>
        <v>82.35</v>
      </c>
      <c r="U400" s="5">
        <f>OrdersTable[[#This Row],[Gross Sale]]-OrdersTable[[#This Row],[Discount Amount]]</f>
        <v>466.65</v>
      </c>
      <c r="V400" s="77">
        <f>INDEX(Products!E:E,MATCH(OrdersTable[[#This Row],[Product ID]],Products!A:A,0))</f>
        <v>170</v>
      </c>
      <c r="W400" s="77">
        <f>OrdersTable[[#This Row],[Quantity]]*OrdersTable[[#This Row],[Unit Cost]]</f>
        <v>170</v>
      </c>
      <c r="X400" s="77">
        <f>'Dropdown Lists'!$I$2*(1+OrdersTable[[#This Row],[Returned]])</f>
        <v>60</v>
      </c>
      <c r="Y400" s="76">
        <f>OrdersTable[[#This Row],[Net Revenue]]-OrdersTable[[#This Row],[COGS]]-OrdersTable[[#This Row],[Shipping Cost]]</f>
        <v>236.64999999999998</v>
      </c>
      <c r="Z400" s="78">
        <f>IFERROR(OrdersTable[[#This Row],[Profit]]/OrdersTable[[#This Row],[Net Revenue]],0)</f>
        <v>0.50712525447337398</v>
      </c>
      <c r="AA400" t="s">
        <v>18</v>
      </c>
      <c r="AB400" s="79">
        <v>45376</v>
      </c>
      <c r="AC400">
        <f>OrdersTable[[#This Row],[Delivery Date]]-OrdersTable[[#This Row],[Order Date]]</f>
        <v>2</v>
      </c>
      <c r="AD400" t="str">
        <f>IF(OrdersTable[[#This Row],[Delivery Days]]&lt;=2, "Express (≤2d)", IF(OrdersTable[[#This Row],[Delivery Days]]&lt;=4, "Standard (3-4d)", "Delayed (5d+)"))</f>
        <v>Express (≤2d)</v>
      </c>
      <c r="AE400">
        <v>5</v>
      </c>
      <c r="AF400">
        <v>0</v>
      </c>
    </row>
    <row r="401" spans="1:32" ht="15" x14ac:dyDescent="0.35">
      <c r="A401" t="s">
        <v>2071</v>
      </c>
      <c r="B401" s="1">
        <v>45375</v>
      </c>
      <c r="C401">
        <f>YEAR(OrdersTable[[#This Row],[Order Date]])</f>
        <v>2024</v>
      </c>
      <c r="D401" s="2">
        <f>DATE(YEAR(OrdersTable[[#This Row],[Order Date]]),MONTH(OrdersTable[[#This Row],[Order Date]]),1)</f>
        <v>45352</v>
      </c>
      <c r="E401">
        <f>MONTH(OrdersTable[[#This Row],[Order Date]])</f>
        <v>3</v>
      </c>
      <c r="F401" t="s">
        <v>767</v>
      </c>
      <c r="G401" t="str">
        <f>IF(OrdersTable[[#This Row],[Order Date]]=_xlfn.MINIFS(Order_Date, Customer_ID, OrdersTable[[#This Row],[Customer ID]]), "New", "Repeat")</f>
        <v>Repeat</v>
      </c>
      <c r="H401" t="s">
        <v>210</v>
      </c>
      <c r="I401" t="str">
        <f>INDEX(State!B:B,MATCH(OrdersTable[[#This Row],[State]],State!A:A,0))</f>
        <v>JK</v>
      </c>
      <c r="J401" t="str">
        <f>INDEX(State!C:C,MATCH(OrdersTable[[#This Row],[State Code]],State!B:B,0))</f>
        <v>North</v>
      </c>
      <c r="K401" t="s">
        <v>211</v>
      </c>
      <c r="L401" t="s">
        <v>23</v>
      </c>
      <c r="M401" t="s">
        <v>125</v>
      </c>
      <c r="N401" t="str">
        <f>INDEX(Products!B:B,MATCH(OrdersTable[[#This Row],[Product ID]],Products!A:A,0))</f>
        <v>Copper Water Bottle</v>
      </c>
      <c r="O401" t="str">
        <f>INDEX(Products!C:C,MATCH(OrdersTable[[#This Row],[Product ID]],Products!A:A,0))</f>
        <v>Home &amp; Kitchen</v>
      </c>
      <c r="P401">
        <v>1</v>
      </c>
      <c r="Q401" s="5">
        <v>899</v>
      </c>
      <c r="R401" s="74">
        <v>0.1</v>
      </c>
      <c r="S401" s="75">
        <f>OrdersTable[[#This Row],[Quantity]]*OrdersTable[[#This Row],[Unit Price]]</f>
        <v>899</v>
      </c>
      <c r="T401" s="5">
        <f>OrdersTable[[#This Row],[Gross Sale]]*OrdersTable[[#This Row],[Discount_Clean2]]</f>
        <v>89.9</v>
      </c>
      <c r="U401" s="5">
        <f>OrdersTable[[#This Row],[Gross Sale]]-OrdersTable[[#This Row],[Discount Amount]]</f>
        <v>809.1</v>
      </c>
      <c r="V401" s="77">
        <f>INDEX(Products!E:E,MATCH(OrdersTable[[#This Row],[Product ID]],Products!A:A,0))</f>
        <v>378</v>
      </c>
      <c r="W401" s="77">
        <f>OrdersTable[[#This Row],[Quantity]]*OrdersTable[[#This Row],[Unit Cost]]</f>
        <v>378</v>
      </c>
      <c r="X401" s="77">
        <f>'Dropdown Lists'!$I$2*(1+OrdersTable[[#This Row],[Returned]])</f>
        <v>60</v>
      </c>
      <c r="Y401" s="76">
        <f>OrdersTable[[#This Row],[Net Revenue]]-OrdersTable[[#This Row],[COGS]]-OrdersTable[[#This Row],[Shipping Cost]]</f>
        <v>371.1</v>
      </c>
      <c r="Z401" s="78">
        <f>IFERROR(OrdersTable[[#This Row],[Profit]]/OrdersTable[[#This Row],[Net Revenue]],0)</f>
        <v>0.45865776789024842</v>
      </c>
      <c r="AA401" t="s">
        <v>18</v>
      </c>
      <c r="AB401" s="79">
        <v>45380</v>
      </c>
      <c r="AC401">
        <f>OrdersTable[[#This Row],[Delivery Date]]-OrdersTable[[#This Row],[Order Date]]</f>
        <v>5</v>
      </c>
      <c r="AD401" t="str">
        <f>IF(OrdersTable[[#This Row],[Delivery Days]]&lt;=2, "Express (≤2d)", IF(OrdersTable[[#This Row],[Delivery Days]]&lt;=4, "Standard (3-4d)", "Delayed (5d+)"))</f>
        <v>Delayed (5d+)</v>
      </c>
      <c r="AE401">
        <v>3</v>
      </c>
      <c r="AF401">
        <v>0</v>
      </c>
    </row>
    <row r="402" spans="1:32" ht="15" x14ac:dyDescent="0.35">
      <c r="A402" t="s">
        <v>1335</v>
      </c>
      <c r="B402" s="1">
        <v>45375</v>
      </c>
      <c r="C402">
        <f>YEAR(OrdersTable[[#This Row],[Order Date]])</f>
        <v>2024</v>
      </c>
      <c r="D402" s="2">
        <f>DATE(YEAR(OrdersTable[[#This Row],[Order Date]]),MONTH(OrdersTable[[#This Row],[Order Date]]),1)</f>
        <v>45352</v>
      </c>
      <c r="E402">
        <f>MONTH(OrdersTable[[#This Row],[Order Date]])</f>
        <v>3</v>
      </c>
      <c r="F402" t="s">
        <v>1336</v>
      </c>
      <c r="G402" t="str">
        <f>IF(OrdersTable[[#This Row],[Order Date]]=_xlfn.MINIFS(Order_Date, Customer_ID, OrdersTable[[#This Row],[Customer ID]]), "New", "Repeat")</f>
        <v>New</v>
      </c>
      <c r="H402" t="s">
        <v>32</v>
      </c>
      <c r="I402" t="str">
        <f>INDEX(State!B:B,MATCH(OrdersTable[[#This Row],[State]],State!A:A,0))</f>
        <v>BR</v>
      </c>
      <c r="J402" t="str">
        <f>INDEX(State!C:C,MATCH(OrdersTable[[#This Row],[State Code]],State!B:B,0))</f>
        <v>East</v>
      </c>
      <c r="K402" t="s">
        <v>33</v>
      </c>
      <c r="L402" t="s">
        <v>23</v>
      </c>
      <c r="M402" t="s">
        <v>29</v>
      </c>
      <c r="N402" t="str">
        <f>INDEX(Products!B:B,MATCH(OrdersTable[[#This Row],[Product ID]],Products!A:A,0))</f>
        <v>Joggers</v>
      </c>
      <c r="O402" t="str">
        <f>INDEX(Products!C:C,MATCH(OrdersTable[[#This Row],[Product ID]],Products!A:A,0))</f>
        <v>Apparel</v>
      </c>
      <c r="P402">
        <v>1</v>
      </c>
      <c r="Q402" s="5">
        <v>1199</v>
      </c>
      <c r="R402" s="74">
        <v>0.2</v>
      </c>
      <c r="S402" s="75">
        <f>OrdersTable[[#This Row],[Quantity]]*OrdersTable[[#This Row],[Unit Price]]</f>
        <v>1199</v>
      </c>
      <c r="T402" s="5">
        <f>OrdersTable[[#This Row],[Gross Sale]]*OrdersTable[[#This Row],[Discount_Clean2]]</f>
        <v>239.8</v>
      </c>
      <c r="U402" s="5">
        <f>OrdersTable[[#This Row],[Gross Sale]]-OrdersTable[[#This Row],[Discount Amount]]</f>
        <v>959.2</v>
      </c>
      <c r="V402" s="77">
        <f>INDEX(Products!E:E,MATCH(OrdersTable[[#This Row],[Product ID]],Products!A:A,0))</f>
        <v>492</v>
      </c>
      <c r="W402" s="77">
        <f>OrdersTable[[#This Row],[Quantity]]*OrdersTable[[#This Row],[Unit Cost]]</f>
        <v>492</v>
      </c>
      <c r="X402" s="77">
        <f>'Dropdown Lists'!$I$2*(1+OrdersTable[[#This Row],[Returned]])</f>
        <v>60</v>
      </c>
      <c r="Y402" s="76">
        <f>OrdersTable[[#This Row],[Net Revenue]]-OrdersTable[[#This Row],[COGS]]-OrdersTable[[#This Row],[Shipping Cost]]</f>
        <v>407.20000000000005</v>
      </c>
      <c r="Z402" s="78">
        <f>IFERROR(OrdersTable[[#This Row],[Profit]]/OrdersTable[[#This Row],[Net Revenue]],0)</f>
        <v>0.42452043369474562</v>
      </c>
      <c r="AA402" t="s">
        <v>18</v>
      </c>
      <c r="AB402" s="79">
        <v>45380</v>
      </c>
      <c r="AC402">
        <f>OrdersTable[[#This Row],[Delivery Date]]-OrdersTable[[#This Row],[Order Date]]</f>
        <v>5</v>
      </c>
      <c r="AD402" t="str">
        <f>IF(OrdersTable[[#This Row],[Delivery Days]]&lt;=2, "Express (≤2d)", IF(OrdersTable[[#This Row],[Delivery Days]]&lt;=4, "Standard (3-4d)", "Delayed (5d+)"))</f>
        <v>Delayed (5d+)</v>
      </c>
      <c r="AF402">
        <v>0</v>
      </c>
    </row>
    <row r="403" spans="1:32" ht="15" x14ac:dyDescent="0.35">
      <c r="A403" t="s">
        <v>4558</v>
      </c>
      <c r="B403" s="1">
        <v>45375</v>
      </c>
      <c r="C403">
        <f>YEAR(OrdersTable[[#This Row],[Order Date]])</f>
        <v>2024</v>
      </c>
      <c r="D403" s="2">
        <f>DATE(YEAR(OrdersTable[[#This Row],[Order Date]]),MONTH(OrdersTable[[#This Row],[Order Date]]),1)</f>
        <v>45352</v>
      </c>
      <c r="E403">
        <f>MONTH(OrdersTable[[#This Row],[Order Date]])</f>
        <v>3</v>
      </c>
      <c r="F403" t="s">
        <v>4193</v>
      </c>
      <c r="G403" t="str">
        <f>IF(OrdersTable[[#This Row],[Order Date]]=_xlfn.MINIFS(Order_Date, Customer_ID, OrdersTable[[#This Row],[Customer ID]]), "New", "Repeat")</f>
        <v>New</v>
      </c>
      <c r="H403" t="s">
        <v>71</v>
      </c>
      <c r="I403" t="str">
        <f>INDEX(State!B:B,MATCH(OrdersTable[[#This Row],[State]],State!A:A,0))</f>
        <v>MH</v>
      </c>
      <c r="J403" t="str">
        <f>INDEX(State!C:C,MATCH(OrdersTable[[#This Row],[State Code]],State!B:B,0))</f>
        <v>West</v>
      </c>
      <c r="K403" t="s">
        <v>102</v>
      </c>
      <c r="L403" t="s">
        <v>65</v>
      </c>
      <c r="M403" t="s">
        <v>56</v>
      </c>
      <c r="N403" t="str">
        <f>INDEX(Products!B:B,MATCH(OrdersTable[[#This Row],[Product ID]],Products!A:A,0))</f>
        <v>Vitamin C Face Serum</v>
      </c>
      <c r="O403" t="str">
        <f>INDEX(Products!C:C,MATCH(OrdersTable[[#This Row],[Product ID]],Products!A:A,0))</f>
        <v>Skincare</v>
      </c>
      <c r="P403">
        <v>1</v>
      </c>
      <c r="Q403" s="5">
        <v>599</v>
      </c>
      <c r="R403" s="74">
        <v>0.1</v>
      </c>
      <c r="S403" s="75">
        <f>OrdersTable[[#This Row],[Quantity]]*OrdersTable[[#This Row],[Unit Price]]</f>
        <v>599</v>
      </c>
      <c r="T403" s="5">
        <f>OrdersTable[[#This Row],[Gross Sale]]*OrdersTable[[#This Row],[Discount_Clean2]]</f>
        <v>59.900000000000006</v>
      </c>
      <c r="U403" s="5">
        <f>OrdersTable[[#This Row],[Gross Sale]]-OrdersTable[[#This Row],[Discount Amount]]</f>
        <v>539.1</v>
      </c>
      <c r="V403" s="77">
        <f>INDEX(Products!E:E,MATCH(OrdersTable[[#This Row],[Product ID]],Products!A:A,0))</f>
        <v>180</v>
      </c>
      <c r="W403" s="77">
        <f>OrdersTable[[#This Row],[Quantity]]*OrdersTable[[#This Row],[Unit Cost]]</f>
        <v>180</v>
      </c>
      <c r="X403" s="77">
        <f>'Dropdown Lists'!$I$2*(1+OrdersTable[[#This Row],[Returned]])</f>
        <v>60</v>
      </c>
      <c r="Y403" s="76">
        <f>OrdersTable[[#This Row],[Net Revenue]]-OrdersTable[[#This Row],[COGS]]-OrdersTable[[#This Row],[Shipping Cost]]</f>
        <v>299.10000000000002</v>
      </c>
      <c r="Z403" s="78">
        <f>IFERROR(OrdersTable[[#This Row],[Profit]]/OrdersTable[[#This Row],[Net Revenue]],0)</f>
        <v>0.5548135781858653</v>
      </c>
      <c r="AA403" t="s">
        <v>4450</v>
      </c>
      <c r="AB403" s="79">
        <v>45377</v>
      </c>
      <c r="AC403">
        <f>OrdersTable[[#This Row],[Delivery Date]]-OrdersTable[[#This Row],[Order Date]]</f>
        <v>2</v>
      </c>
      <c r="AD403" t="str">
        <f>IF(OrdersTable[[#This Row],[Delivery Days]]&lt;=2, "Express (≤2d)", IF(OrdersTable[[#This Row],[Delivery Days]]&lt;=4, "Standard (3-4d)", "Delayed (5d+)"))</f>
        <v>Express (≤2d)</v>
      </c>
      <c r="AF403">
        <v>0</v>
      </c>
    </row>
    <row r="404" spans="1:32" ht="15" x14ac:dyDescent="0.35">
      <c r="A404" t="s">
        <v>4559</v>
      </c>
      <c r="B404" s="1">
        <v>45375</v>
      </c>
      <c r="C404">
        <f>YEAR(OrdersTable[[#This Row],[Order Date]])</f>
        <v>2024</v>
      </c>
      <c r="D404" s="2">
        <f>DATE(YEAR(OrdersTable[[#This Row],[Order Date]]),MONTH(OrdersTable[[#This Row],[Order Date]]),1)</f>
        <v>45352</v>
      </c>
      <c r="E404">
        <f>MONTH(OrdersTable[[#This Row],[Order Date]])</f>
        <v>3</v>
      </c>
      <c r="F404" t="s">
        <v>1744</v>
      </c>
      <c r="G404" t="str">
        <f>IF(OrdersTable[[#This Row],[Order Date]]=_xlfn.MINIFS(Order_Date, Customer_ID, OrdersTable[[#This Row],[Customer ID]]), "New", "Repeat")</f>
        <v>New</v>
      </c>
      <c r="H404" t="s">
        <v>59</v>
      </c>
      <c r="I404" t="str">
        <f>INDEX(State!B:B,MATCH(OrdersTable[[#This Row],[State]],State!A:A,0))</f>
        <v>TN</v>
      </c>
      <c r="J404" t="str">
        <f>INDEX(State!C:C,MATCH(OrdersTable[[#This Row],[State Code]],State!B:B,0))</f>
        <v>South</v>
      </c>
      <c r="K404" t="s">
        <v>60</v>
      </c>
      <c r="L404" t="s">
        <v>65</v>
      </c>
      <c r="M404" t="s">
        <v>73</v>
      </c>
      <c r="N404" t="str">
        <f>INDEX(Products!B:B,MATCH(OrdersTable[[#This Row],[Product ID]],Products!A:A,0))</f>
        <v>Hydrating Face Wash</v>
      </c>
      <c r="O404" t="str">
        <f>INDEX(Products!C:C,MATCH(OrdersTable[[#This Row],[Product ID]],Products!A:A,0))</f>
        <v>Skincare</v>
      </c>
      <c r="P404">
        <v>1</v>
      </c>
      <c r="Q404" s="5">
        <v>299</v>
      </c>
      <c r="R404" s="74">
        <v>0</v>
      </c>
      <c r="S404" s="75">
        <f>OrdersTable[[#This Row],[Quantity]]*OrdersTable[[#This Row],[Unit Price]]</f>
        <v>299</v>
      </c>
      <c r="T404" s="5">
        <f>OrdersTable[[#This Row],[Gross Sale]]*OrdersTable[[#This Row],[Discount_Clean2]]</f>
        <v>0</v>
      </c>
      <c r="U404" s="5">
        <f>OrdersTable[[#This Row],[Gross Sale]]-OrdersTable[[#This Row],[Discount Amount]]</f>
        <v>299</v>
      </c>
      <c r="V404" s="77">
        <f>INDEX(Products!E:E,MATCH(OrdersTable[[#This Row],[Product ID]],Products!A:A,0))</f>
        <v>90</v>
      </c>
      <c r="W404" s="77">
        <f>OrdersTable[[#This Row],[Quantity]]*OrdersTable[[#This Row],[Unit Cost]]</f>
        <v>90</v>
      </c>
      <c r="X404" s="77">
        <f>'Dropdown Lists'!$I$2*(1+OrdersTable[[#This Row],[Returned]])</f>
        <v>60</v>
      </c>
      <c r="Y404" s="76">
        <f>OrdersTable[[#This Row],[Net Revenue]]-OrdersTable[[#This Row],[COGS]]-OrdersTable[[#This Row],[Shipping Cost]]</f>
        <v>149</v>
      </c>
      <c r="Z404" s="78">
        <f>IFERROR(OrdersTable[[#This Row],[Profit]]/OrdersTable[[#This Row],[Net Revenue]],0)</f>
        <v>0.49832775919732442</v>
      </c>
      <c r="AA404" t="s">
        <v>4450</v>
      </c>
      <c r="AB404" s="79">
        <v>45376</v>
      </c>
      <c r="AC404">
        <f>OrdersTable[[#This Row],[Delivery Date]]-OrdersTable[[#This Row],[Order Date]]</f>
        <v>1</v>
      </c>
      <c r="AD404" t="str">
        <f>IF(OrdersTable[[#This Row],[Delivery Days]]&lt;=2, "Express (≤2d)", IF(OrdersTable[[#This Row],[Delivery Days]]&lt;=4, "Standard (3-4d)", "Delayed (5d+)"))</f>
        <v>Express (≤2d)</v>
      </c>
      <c r="AF404">
        <v>0</v>
      </c>
    </row>
    <row r="405" spans="1:32" ht="15" x14ac:dyDescent="0.35">
      <c r="A405" t="s">
        <v>3509</v>
      </c>
      <c r="B405" s="1">
        <v>45376</v>
      </c>
      <c r="C405">
        <f>YEAR(OrdersTable[[#This Row],[Order Date]])</f>
        <v>2024</v>
      </c>
      <c r="D405" s="2">
        <f>DATE(YEAR(OrdersTable[[#This Row],[Order Date]]),MONTH(OrdersTable[[#This Row],[Order Date]]),1)</f>
        <v>45352</v>
      </c>
      <c r="E405">
        <f>MONTH(OrdersTable[[#This Row],[Order Date]])</f>
        <v>3</v>
      </c>
      <c r="F405" t="s">
        <v>3510</v>
      </c>
      <c r="G405" t="str">
        <f>IF(OrdersTable[[#This Row],[Order Date]]=_xlfn.MINIFS(Order_Date, Customer_ID, OrdersTable[[#This Row],[Customer ID]]), "New", "Repeat")</f>
        <v>New</v>
      </c>
      <c r="H405" t="s">
        <v>54</v>
      </c>
      <c r="I405" t="str">
        <f>INDEX(State!B:B,MATCH(OrdersTable[[#This Row],[State]],State!A:A,0))</f>
        <v>RJ</v>
      </c>
      <c r="J405" t="str">
        <f>INDEX(State!C:C,MATCH(OrdersTable[[#This Row],[State Code]],State!B:B,0))</f>
        <v>North</v>
      </c>
      <c r="K405" t="s">
        <v>55</v>
      </c>
      <c r="L405" t="s">
        <v>23</v>
      </c>
      <c r="M405" t="s">
        <v>255</v>
      </c>
      <c r="N405" t="str">
        <f>INDEX(Products!B:B,MATCH(OrdersTable[[#This Row],[Product ID]],Products!A:A,0))</f>
        <v>Cotton Oversized T-Shirt</v>
      </c>
      <c r="O405" t="str">
        <f>INDEX(Products!C:C,MATCH(OrdersTable[[#This Row],[Product ID]],Products!A:A,0))</f>
        <v>Apparel</v>
      </c>
      <c r="P405">
        <v>1</v>
      </c>
      <c r="Q405" s="5">
        <v>799</v>
      </c>
      <c r="R405" s="74">
        <v>0.05</v>
      </c>
      <c r="S405" s="75">
        <f>OrdersTable[[#This Row],[Quantity]]*OrdersTable[[#This Row],[Unit Price]]</f>
        <v>799</v>
      </c>
      <c r="T405" s="5">
        <f>OrdersTable[[#This Row],[Gross Sale]]*OrdersTable[[#This Row],[Discount_Clean2]]</f>
        <v>39.950000000000003</v>
      </c>
      <c r="U405" s="5">
        <f>OrdersTable[[#This Row],[Gross Sale]]-OrdersTable[[#This Row],[Discount Amount]]</f>
        <v>759.05</v>
      </c>
      <c r="V405" s="77">
        <f>INDEX(Products!E:E,MATCH(OrdersTable[[#This Row],[Product ID]],Products!A:A,0))</f>
        <v>320</v>
      </c>
      <c r="W405" s="77">
        <f>OrdersTable[[#This Row],[Quantity]]*OrdersTable[[#This Row],[Unit Cost]]</f>
        <v>320</v>
      </c>
      <c r="X405" s="77">
        <f>'Dropdown Lists'!$I$2*(1+OrdersTable[[#This Row],[Returned]])</f>
        <v>60</v>
      </c>
      <c r="Y405" s="76">
        <f>OrdersTable[[#This Row],[Net Revenue]]-OrdersTable[[#This Row],[COGS]]-OrdersTable[[#This Row],[Shipping Cost]]</f>
        <v>379.04999999999995</v>
      </c>
      <c r="Z405" s="78">
        <f>IFERROR(OrdersTable[[#This Row],[Profit]]/OrdersTable[[#This Row],[Net Revenue]],0)</f>
        <v>0.49937421777221525</v>
      </c>
      <c r="AA405" t="s">
        <v>3495</v>
      </c>
      <c r="AB405" s="79">
        <v>45380</v>
      </c>
      <c r="AC405">
        <f>OrdersTable[[#This Row],[Delivery Date]]-OrdersTable[[#This Row],[Order Date]]</f>
        <v>4</v>
      </c>
      <c r="AD405" t="str">
        <f>IF(OrdersTable[[#This Row],[Delivery Days]]&lt;=2, "Express (≤2d)", IF(OrdersTable[[#This Row],[Delivery Days]]&lt;=4, "Standard (3-4d)", "Delayed (5d+)"))</f>
        <v>Standard (3-4d)</v>
      </c>
      <c r="AE405">
        <v>4</v>
      </c>
      <c r="AF405">
        <v>0</v>
      </c>
    </row>
    <row r="406" spans="1:32" ht="15" x14ac:dyDescent="0.35">
      <c r="A406" t="s">
        <v>447</v>
      </c>
      <c r="B406" s="1">
        <v>45376</v>
      </c>
      <c r="C406">
        <f>YEAR(OrdersTable[[#This Row],[Order Date]])</f>
        <v>2024</v>
      </c>
      <c r="D406" s="2">
        <f>DATE(YEAR(OrdersTable[[#This Row],[Order Date]]),MONTH(OrdersTable[[#This Row],[Order Date]]),1)</f>
        <v>45352</v>
      </c>
      <c r="E406">
        <f>MONTH(OrdersTable[[#This Row],[Order Date]])</f>
        <v>3</v>
      </c>
      <c r="F406" t="s">
        <v>448</v>
      </c>
      <c r="G406" t="str">
        <f>IF(OrdersTable[[#This Row],[Order Date]]=_xlfn.MINIFS(Order_Date, Customer_ID, OrdersTable[[#This Row],[Customer ID]]), "New", "Repeat")</f>
        <v>New</v>
      </c>
      <c r="H406" t="s">
        <v>48</v>
      </c>
      <c r="I406" t="str">
        <f>INDEX(State!B:B,MATCH(OrdersTable[[#This Row],[State]],State!A:A,0))</f>
        <v>HR</v>
      </c>
      <c r="J406" t="str">
        <f>INDEX(State!C:C,MATCH(OrdersTable[[#This Row],[State Code]],State!B:B,0))</f>
        <v>North</v>
      </c>
      <c r="K406" t="s">
        <v>49</v>
      </c>
      <c r="L406" t="s">
        <v>50</v>
      </c>
      <c r="M406" t="s">
        <v>109</v>
      </c>
      <c r="N406" t="str">
        <f>INDEX(Products!B:B,MATCH(OrdersTable[[#This Row],[Product ID]],Products!A:A,0))</f>
        <v>Onion Hair Oil</v>
      </c>
      <c r="O406" t="str">
        <f>INDEX(Products!C:C,MATCH(OrdersTable[[#This Row],[Product ID]],Products!A:A,0))</f>
        <v>Haircare</v>
      </c>
      <c r="P406">
        <v>1</v>
      </c>
      <c r="Q406" s="5">
        <v>349</v>
      </c>
      <c r="R406" s="74">
        <v>0.3</v>
      </c>
      <c r="S406" s="75">
        <f>OrdersTable[[#This Row],[Quantity]]*OrdersTable[[#This Row],[Unit Price]]</f>
        <v>349</v>
      </c>
      <c r="T406" s="5">
        <f>OrdersTable[[#This Row],[Gross Sale]]*OrdersTable[[#This Row],[Discount_Clean2]]</f>
        <v>104.7</v>
      </c>
      <c r="U406" s="5">
        <f>OrdersTable[[#This Row],[Gross Sale]]-OrdersTable[[#This Row],[Discount Amount]]</f>
        <v>244.3</v>
      </c>
      <c r="V406" s="77">
        <f>INDEX(Products!E:E,MATCH(OrdersTable[[#This Row],[Product ID]],Products!A:A,0))</f>
        <v>105</v>
      </c>
      <c r="W406" s="77">
        <f>OrdersTable[[#This Row],[Quantity]]*OrdersTable[[#This Row],[Unit Cost]]</f>
        <v>105</v>
      </c>
      <c r="X406" s="77">
        <f>'Dropdown Lists'!$I$2*(1+OrdersTable[[#This Row],[Returned]])</f>
        <v>60</v>
      </c>
      <c r="Y406" s="76">
        <f>OrdersTable[[#This Row],[Net Revenue]]-OrdersTable[[#This Row],[COGS]]-OrdersTable[[#This Row],[Shipping Cost]]</f>
        <v>79.300000000000011</v>
      </c>
      <c r="Z406" s="78">
        <f>IFERROR(OrdersTable[[#This Row],[Profit]]/OrdersTable[[#This Row],[Net Revenue]],0)</f>
        <v>0.32460090053213264</v>
      </c>
      <c r="AA406" t="s">
        <v>18</v>
      </c>
      <c r="AB406" s="79">
        <v>45379</v>
      </c>
      <c r="AC406">
        <f>OrdersTable[[#This Row],[Delivery Date]]-OrdersTable[[#This Row],[Order Date]]</f>
        <v>3</v>
      </c>
      <c r="AD406" t="str">
        <f>IF(OrdersTable[[#This Row],[Delivery Days]]&lt;=2, "Express (≤2d)", IF(OrdersTable[[#This Row],[Delivery Days]]&lt;=4, "Standard (3-4d)", "Delayed (5d+)"))</f>
        <v>Standard (3-4d)</v>
      </c>
      <c r="AE406">
        <v>4</v>
      </c>
      <c r="AF406">
        <v>0</v>
      </c>
    </row>
    <row r="407" spans="1:32" ht="15" x14ac:dyDescent="0.35">
      <c r="A407" t="s">
        <v>5860</v>
      </c>
      <c r="B407" s="1">
        <v>45376</v>
      </c>
      <c r="C407">
        <f>YEAR(OrdersTable[[#This Row],[Order Date]])</f>
        <v>2024</v>
      </c>
      <c r="D407" s="2">
        <f>DATE(YEAR(OrdersTable[[#This Row],[Order Date]]),MONTH(OrdersTable[[#This Row],[Order Date]]),1)</f>
        <v>45352</v>
      </c>
      <c r="E407">
        <f>MONTH(OrdersTable[[#This Row],[Order Date]])</f>
        <v>3</v>
      </c>
      <c r="F407" t="s">
        <v>1150</v>
      </c>
      <c r="G407" t="str">
        <f>IF(OrdersTable[[#This Row],[Order Date]]=_xlfn.MINIFS(Order_Date, Customer_ID, OrdersTable[[#This Row],[Customer ID]]), "New", "Repeat")</f>
        <v>New</v>
      </c>
      <c r="H407" t="s">
        <v>37</v>
      </c>
      <c r="I407" t="str">
        <f>INDEX(State!B:B,MATCH(OrdersTable[[#This Row],[State]],State!A:A,0))</f>
        <v>GJ</v>
      </c>
      <c r="J407" t="str">
        <f>INDEX(State!C:C,MATCH(OrdersTable[[#This Row],[State Code]],State!B:B,0))</f>
        <v>West</v>
      </c>
      <c r="K407" t="s">
        <v>247</v>
      </c>
      <c r="L407" t="s">
        <v>50</v>
      </c>
      <c r="M407" t="s">
        <v>106</v>
      </c>
      <c r="N407" t="str">
        <f>INDEX(Products!B:B,MATCH(OrdersTable[[#This Row],[Product ID]],Products!A:A,0))</f>
        <v>Keratin Hair Mask</v>
      </c>
      <c r="O407" t="str">
        <f>INDEX(Products!C:C,MATCH(OrdersTable[[#This Row],[Product ID]],Products!A:A,0))</f>
        <v>Haircare</v>
      </c>
      <c r="P407">
        <v>2</v>
      </c>
      <c r="Q407" s="5">
        <v>549</v>
      </c>
      <c r="R407" s="74">
        <v>0.15</v>
      </c>
      <c r="S407" s="75">
        <f>OrdersTable[[#This Row],[Quantity]]*OrdersTable[[#This Row],[Unit Price]]</f>
        <v>1098</v>
      </c>
      <c r="T407" s="5">
        <f>OrdersTable[[#This Row],[Gross Sale]]*OrdersTable[[#This Row],[Discount_Clean2]]</f>
        <v>164.7</v>
      </c>
      <c r="U407" s="5">
        <f>OrdersTable[[#This Row],[Gross Sale]]-OrdersTable[[#This Row],[Discount Amount]]</f>
        <v>933.3</v>
      </c>
      <c r="V407" s="77">
        <f>INDEX(Products!E:E,MATCH(OrdersTable[[#This Row],[Product ID]],Products!A:A,0))</f>
        <v>170</v>
      </c>
      <c r="W407" s="77">
        <f>OrdersTable[[#This Row],[Quantity]]*OrdersTable[[#This Row],[Unit Cost]]</f>
        <v>340</v>
      </c>
      <c r="X407" s="77">
        <f>'Dropdown Lists'!$I$2*(1+OrdersTable[[#This Row],[Returned]])</f>
        <v>60</v>
      </c>
      <c r="Y407" s="76">
        <f>OrdersTable[[#This Row],[Net Revenue]]-OrdersTable[[#This Row],[COGS]]-OrdersTable[[#This Row],[Shipping Cost]]</f>
        <v>533.29999999999995</v>
      </c>
      <c r="Z407" s="78">
        <f>IFERROR(OrdersTable[[#This Row],[Profit]]/OrdersTable[[#This Row],[Net Revenue]],0)</f>
        <v>0.57141326475945564</v>
      </c>
      <c r="AA407" t="s">
        <v>18</v>
      </c>
      <c r="AB407" s="79">
        <v>45377</v>
      </c>
      <c r="AC407">
        <f>OrdersTable[[#This Row],[Delivery Date]]-OrdersTable[[#This Row],[Order Date]]</f>
        <v>1</v>
      </c>
      <c r="AD407" t="str">
        <f>IF(OrdersTable[[#This Row],[Delivery Days]]&lt;=2, "Express (≤2d)", IF(OrdersTable[[#This Row],[Delivery Days]]&lt;=4, "Standard (3-4d)", "Delayed (5d+)"))</f>
        <v>Express (≤2d)</v>
      </c>
      <c r="AF407">
        <v>0</v>
      </c>
    </row>
    <row r="408" spans="1:32" ht="15" x14ac:dyDescent="0.35">
      <c r="A408" t="s">
        <v>2881</v>
      </c>
      <c r="B408" s="1">
        <v>45376</v>
      </c>
      <c r="C408">
        <f>YEAR(OrdersTable[[#This Row],[Order Date]])</f>
        <v>2024</v>
      </c>
      <c r="D408" s="2">
        <f>DATE(YEAR(OrdersTable[[#This Row],[Order Date]]),MONTH(OrdersTable[[#This Row],[Order Date]]),1)</f>
        <v>45352</v>
      </c>
      <c r="E408">
        <f>MONTH(OrdersTable[[#This Row],[Order Date]])</f>
        <v>3</v>
      </c>
      <c r="F408" t="s">
        <v>2882</v>
      </c>
      <c r="G408" t="str">
        <f>IF(OrdersTable[[#This Row],[Order Date]]=_xlfn.MINIFS(Order_Date, Customer_ID, OrdersTable[[#This Row],[Customer ID]]), "New", "Repeat")</f>
        <v>New</v>
      </c>
      <c r="H408" t="s">
        <v>71</v>
      </c>
      <c r="I408" t="str">
        <f>INDEX(State!B:B,MATCH(OrdersTable[[#This Row],[State]],State!A:A,0))</f>
        <v>MH</v>
      </c>
      <c r="J408" t="str">
        <f>INDEX(State!C:C,MATCH(OrdersTable[[#This Row],[State Code]],State!B:B,0))</f>
        <v>West</v>
      </c>
      <c r="K408" t="s">
        <v>72</v>
      </c>
      <c r="L408" t="s">
        <v>39</v>
      </c>
      <c r="M408" t="s">
        <v>29</v>
      </c>
      <c r="N408" t="str">
        <f>INDEX(Products!B:B,MATCH(OrdersTable[[#This Row],[Product ID]],Products!A:A,0))</f>
        <v>Joggers</v>
      </c>
      <c r="O408" t="str">
        <f>INDEX(Products!C:C,MATCH(OrdersTable[[#This Row],[Product ID]],Products!A:A,0))</f>
        <v>Apparel</v>
      </c>
      <c r="P408">
        <v>1</v>
      </c>
      <c r="Q408" s="5">
        <v>1199</v>
      </c>
      <c r="R408" s="74">
        <v>0.05</v>
      </c>
      <c r="S408" s="75">
        <f>OrdersTable[[#This Row],[Quantity]]*OrdersTable[[#This Row],[Unit Price]]</f>
        <v>1199</v>
      </c>
      <c r="T408" s="5">
        <f>OrdersTable[[#This Row],[Gross Sale]]*OrdersTable[[#This Row],[Discount_Clean2]]</f>
        <v>59.95</v>
      </c>
      <c r="U408" s="5">
        <f>OrdersTable[[#This Row],[Gross Sale]]-OrdersTable[[#This Row],[Discount Amount]]</f>
        <v>1139.05</v>
      </c>
      <c r="V408" s="77">
        <f>INDEX(Products!E:E,MATCH(OrdersTable[[#This Row],[Product ID]],Products!A:A,0))</f>
        <v>492</v>
      </c>
      <c r="W408" s="77">
        <f>OrdersTable[[#This Row],[Quantity]]*OrdersTable[[#This Row],[Unit Cost]]</f>
        <v>492</v>
      </c>
      <c r="X408" s="77">
        <f>'Dropdown Lists'!$I$2*(1+OrdersTable[[#This Row],[Returned]])</f>
        <v>120</v>
      </c>
      <c r="Y408" s="76">
        <f>OrdersTable[[#This Row],[Net Revenue]]-OrdersTable[[#This Row],[COGS]]-OrdersTable[[#This Row],[Shipping Cost]]</f>
        <v>527.04999999999995</v>
      </c>
      <c r="Z408" s="78">
        <f>IFERROR(OrdersTable[[#This Row],[Profit]]/OrdersTable[[#This Row],[Net Revenue]],0)</f>
        <v>0.46271015319784026</v>
      </c>
      <c r="AA408" t="s">
        <v>2522</v>
      </c>
      <c r="AB408" s="79">
        <v>45380</v>
      </c>
      <c r="AC408">
        <f>OrdersTable[[#This Row],[Delivery Date]]-OrdersTable[[#This Row],[Order Date]]</f>
        <v>4</v>
      </c>
      <c r="AD408" t="str">
        <f>IF(OrdersTable[[#This Row],[Delivery Days]]&lt;=2, "Express (≤2d)", IF(OrdersTable[[#This Row],[Delivery Days]]&lt;=4, "Standard (3-4d)", "Delayed (5d+)"))</f>
        <v>Standard (3-4d)</v>
      </c>
      <c r="AF408">
        <v>1</v>
      </c>
    </row>
    <row r="409" spans="1:32" ht="15" x14ac:dyDescent="0.35">
      <c r="A409" t="s">
        <v>93</v>
      </c>
      <c r="B409" s="1">
        <v>45376</v>
      </c>
      <c r="C409">
        <f>YEAR(OrdersTable[[#This Row],[Order Date]])</f>
        <v>2024</v>
      </c>
      <c r="D409" s="2">
        <f>DATE(YEAR(OrdersTable[[#This Row],[Order Date]]),MONTH(OrdersTable[[#This Row],[Order Date]]),1)</f>
        <v>45352</v>
      </c>
      <c r="E409">
        <f>MONTH(OrdersTable[[#This Row],[Order Date]])</f>
        <v>3</v>
      </c>
      <c r="F409" t="s">
        <v>94</v>
      </c>
      <c r="G409" t="str">
        <f>IF(OrdersTable[[#This Row],[Order Date]]=_xlfn.MINIFS(Order_Date, Customer_ID, OrdersTable[[#This Row],[Customer ID]]), "New", "Repeat")</f>
        <v>Repeat</v>
      </c>
      <c r="H409" t="s">
        <v>95</v>
      </c>
      <c r="I409" t="str">
        <f>INDEX(State!B:B,MATCH(OrdersTable[[#This Row],[State]],State!A:A,0))</f>
        <v>TG</v>
      </c>
      <c r="J409" t="str">
        <f>INDEX(State!C:C,MATCH(OrdersTable[[#This Row],[State Code]],State!B:B,0))</f>
        <v>South</v>
      </c>
      <c r="K409" t="s">
        <v>96</v>
      </c>
      <c r="L409" t="s">
        <v>39</v>
      </c>
      <c r="M409" t="s">
        <v>66</v>
      </c>
      <c r="N409" t="str">
        <f>INDEX(Products!B:B,MATCH(OrdersTable[[#This Row],[Product ID]],Products!A:A,0))</f>
        <v>Sunscreen SPF 50</v>
      </c>
      <c r="O409" t="str">
        <f>INDEX(Products!C:C,MATCH(OrdersTable[[#This Row],[Product ID]],Products!A:A,0))</f>
        <v>Skincare</v>
      </c>
      <c r="P409">
        <v>1</v>
      </c>
      <c r="Q409" s="5">
        <v>449</v>
      </c>
      <c r="R409" s="74">
        <v>0</v>
      </c>
      <c r="S409" s="75">
        <f>OrdersTable[[#This Row],[Quantity]]*OrdersTable[[#This Row],[Unit Price]]</f>
        <v>449</v>
      </c>
      <c r="T409" s="5">
        <f>OrdersTable[[#This Row],[Gross Sale]]*OrdersTable[[#This Row],[Discount_Clean2]]</f>
        <v>0</v>
      </c>
      <c r="U409" s="5">
        <f>OrdersTable[[#This Row],[Gross Sale]]-OrdersTable[[#This Row],[Discount Amount]]</f>
        <v>449</v>
      </c>
      <c r="V409" s="77">
        <f>INDEX(Products!E:E,MATCH(OrdersTable[[#This Row],[Product ID]],Products!A:A,0))</f>
        <v>144</v>
      </c>
      <c r="W409" s="77">
        <f>OrdersTable[[#This Row],[Quantity]]*OrdersTable[[#This Row],[Unit Cost]]</f>
        <v>144</v>
      </c>
      <c r="X409" s="77">
        <f>'Dropdown Lists'!$I$2*(1+OrdersTable[[#This Row],[Returned]])</f>
        <v>60</v>
      </c>
      <c r="Y409" s="76">
        <f>OrdersTable[[#This Row],[Net Revenue]]-OrdersTable[[#This Row],[COGS]]-OrdersTable[[#This Row],[Shipping Cost]]</f>
        <v>245</v>
      </c>
      <c r="Z409" s="78">
        <f>IFERROR(OrdersTable[[#This Row],[Profit]]/OrdersTable[[#This Row],[Net Revenue]],0)</f>
        <v>0.54565701559020041</v>
      </c>
      <c r="AA409" t="s">
        <v>18</v>
      </c>
      <c r="AB409" s="79">
        <v>45379</v>
      </c>
      <c r="AC409">
        <f>OrdersTable[[#This Row],[Delivery Date]]-OrdersTable[[#This Row],[Order Date]]</f>
        <v>3</v>
      </c>
      <c r="AD409" t="str">
        <f>IF(OrdersTable[[#This Row],[Delivery Days]]&lt;=2, "Express (≤2d)", IF(OrdersTable[[#This Row],[Delivery Days]]&lt;=4, "Standard (3-4d)", "Delayed (5d+)"))</f>
        <v>Standard (3-4d)</v>
      </c>
      <c r="AE409">
        <v>4</v>
      </c>
      <c r="AF409">
        <v>0</v>
      </c>
    </row>
    <row r="410" spans="1:32" ht="15" x14ac:dyDescent="0.35">
      <c r="A410" t="s">
        <v>1219</v>
      </c>
      <c r="B410" s="1">
        <v>45376</v>
      </c>
      <c r="C410">
        <f>YEAR(OrdersTable[[#This Row],[Order Date]])</f>
        <v>2024</v>
      </c>
      <c r="D410" s="2">
        <f>DATE(YEAR(OrdersTable[[#This Row],[Order Date]]),MONTH(OrdersTable[[#This Row],[Order Date]]),1)</f>
        <v>45352</v>
      </c>
      <c r="E410">
        <f>MONTH(OrdersTable[[#This Row],[Order Date]])</f>
        <v>3</v>
      </c>
      <c r="F410" t="s">
        <v>1220</v>
      </c>
      <c r="G410" t="str">
        <f>IF(OrdersTable[[#This Row],[Order Date]]=_xlfn.MINIFS(Order_Date, Customer_ID, OrdersTable[[#This Row],[Customer ID]]), "New", "Repeat")</f>
        <v>Repeat</v>
      </c>
      <c r="H410" t="s">
        <v>316</v>
      </c>
      <c r="I410" t="str">
        <f>INDEX(State!B:B,MATCH(OrdersTable[[#This Row],[State]],State!A:A,0))</f>
        <v>KL</v>
      </c>
      <c r="J410" t="str">
        <f>INDEX(State!C:C,MATCH(OrdersTable[[#This Row],[State Code]],State!B:B,0))</f>
        <v>South</v>
      </c>
      <c r="K410" t="s">
        <v>317</v>
      </c>
      <c r="L410" t="s">
        <v>16</v>
      </c>
      <c r="M410" t="s">
        <v>87</v>
      </c>
      <c r="N410" t="str">
        <f>INDEX(Products!B:B,MATCH(OrdersTable[[#This Row],[Product ID]],Products!A:A,0))</f>
        <v>Linen Kurta</v>
      </c>
      <c r="O410" t="str">
        <f>INDEX(Products!C:C,MATCH(OrdersTable[[#This Row],[Product ID]],Products!A:A,0))</f>
        <v>Apparel</v>
      </c>
      <c r="P410">
        <v>1</v>
      </c>
      <c r="Q410" s="5">
        <v>1499</v>
      </c>
      <c r="R410" s="74">
        <v>0.35</v>
      </c>
      <c r="S410" s="75">
        <f>OrdersTable[[#This Row],[Quantity]]*OrdersTable[[#This Row],[Unit Price]]</f>
        <v>1499</v>
      </c>
      <c r="T410" s="5">
        <f>OrdersTable[[#This Row],[Gross Sale]]*OrdersTable[[#This Row],[Discount_Clean2]]</f>
        <v>524.65</v>
      </c>
      <c r="U410" s="5">
        <f>OrdersTable[[#This Row],[Gross Sale]]-OrdersTable[[#This Row],[Discount Amount]]</f>
        <v>974.35</v>
      </c>
      <c r="V410" s="77">
        <f>INDEX(Products!E:E,MATCH(OrdersTable[[#This Row],[Product ID]],Products!A:A,0))</f>
        <v>630</v>
      </c>
      <c r="W410" s="77">
        <f>OrdersTable[[#This Row],[Quantity]]*OrdersTable[[#This Row],[Unit Cost]]</f>
        <v>630</v>
      </c>
      <c r="X410" s="77">
        <f>'Dropdown Lists'!$I$2*(1+OrdersTable[[#This Row],[Returned]])</f>
        <v>60</v>
      </c>
      <c r="Y410" s="76">
        <f>OrdersTable[[#This Row],[Net Revenue]]-OrdersTable[[#This Row],[COGS]]-OrdersTable[[#This Row],[Shipping Cost]]</f>
        <v>284.35000000000002</v>
      </c>
      <c r="Z410" s="78">
        <f>IFERROR(OrdersTable[[#This Row],[Profit]]/OrdersTable[[#This Row],[Net Revenue]],0)</f>
        <v>0.29183558269615645</v>
      </c>
      <c r="AA410" t="s">
        <v>18</v>
      </c>
      <c r="AB410" s="79">
        <v>45379</v>
      </c>
      <c r="AC410">
        <f>OrdersTable[[#This Row],[Delivery Date]]-OrdersTable[[#This Row],[Order Date]]</f>
        <v>3</v>
      </c>
      <c r="AD410" t="str">
        <f>IF(OrdersTable[[#This Row],[Delivery Days]]&lt;=2, "Express (≤2d)", IF(OrdersTable[[#This Row],[Delivery Days]]&lt;=4, "Standard (3-4d)", "Delayed (5d+)"))</f>
        <v>Standard (3-4d)</v>
      </c>
      <c r="AF410">
        <v>0</v>
      </c>
    </row>
    <row r="411" spans="1:32" ht="15" x14ac:dyDescent="0.35">
      <c r="A411" t="s">
        <v>7144</v>
      </c>
      <c r="B411" s="1">
        <v>45378</v>
      </c>
      <c r="C411">
        <f>YEAR(OrdersTable[[#This Row],[Order Date]])</f>
        <v>2024</v>
      </c>
      <c r="D411" s="2">
        <f>DATE(YEAR(OrdersTable[[#This Row],[Order Date]]),MONTH(OrdersTable[[#This Row],[Order Date]]),1)</f>
        <v>45352</v>
      </c>
      <c r="E411">
        <f>MONTH(OrdersTable[[#This Row],[Order Date]])</f>
        <v>3</v>
      </c>
      <c r="F411" t="s">
        <v>3761</v>
      </c>
      <c r="G411" t="str">
        <f>IF(OrdersTable[[#This Row],[Order Date]]=_xlfn.MINIFS(Order_Date, Customer_ID, OrdersTable[[#This Row],[Customer ID]]), "New", "Repeat")</f>
        <v>New</v>
      </c>
      <c r="H411" t="s">
        <v>27</v>
      </c>
      <c r="I411" t="str">
        <f>INDEX(State!B:B,MATCH(OrdersTable[[#This Row],[State]],State!A:A,0))</f>
        <v>WB</v>
      </c>
      <c r="J411" t="str">
        <f>INDEX(State!C:C,MATCH(OrdersTable[[#This Row],[State Code]],State!B:B,0))</f>
        <v>East</v>
      </c>
      <c r="K411" t="s">
        <v>28</v>
      </c>
      <c r="L411" t="s">
        <v>16</v>
      </c>
      <c r="M411" t="s">
        <v>17</v>
      </c>
      <c r="N411" t="str">
        <f>INDEX(Products!B:B,MATCH(OrdersTable[[#This Row],[Product ID]],Products!A:A,0))</f>
        <v>Casual Sneakers</v>
      </c>
      <c r="O411" t="str">
        <f>INDEX(Products!C:C,MATCH(OrdersTable[[#This Row],[Product ID]],Products!A:A,0))</f>
        <v>Footwear</v>
      </c>
      <c r="P411">
        <v>5</v>
      </c>
      <c r="Q411" s="5">
        <v>2199</v>
      </c>
      <c r="R411" s="74">
        <v>0.3</v>
      </c>
      <c r="S411" s="75">
        <f>OrdersTable[[#This Row],[Quantity]]*OrdersTable[[#This Row],[Unit Price]]</f>
        <v>10995</v>
      </c>
      <c r="T411" s="5">
        <f>OrdersTable[[#This Row],[Gross Sale]]*OrdersTable[[#This Row],[Discount_Clean2]]</f>
        <v>3298.5</v>
      </c>
      <c r="U411" s="5">
        <f>OrdersTable[[#This Row],[Gross Sale]]-OrdersTable[[#This Row],[Discount Amount]]</f>
        <v>7696.5</v>
      </c>
      <c r="V411" s="77">
        <f>INDEX(Products!E:E,MATCH(OrdersTable[[#This Row],[Product ID]],Products!A:A,0))</f>
        <v>1034</v>
      </c>
      <c r="W411" s="77">
        <f>OrdersTable[[#This Row],[Quantity]]*OrdersTable[[#This Row],[Unit Cost]]</f>
        <v>5170</v>
      </c>
      <c r="X411" s="77">
        <f>'Dropdown Lists'!$I$2*(1+OrdersTable[[#This Row],[Returned]])</f>
        <v>60</v>
      </c>
      <c r="Y411" s="76">
        <f>OrdersTable[[#This Row],[Net Revenue]]-OrdersTable[[#This Row],[COGS]]-OrdersTable[[#This Row],[Shipping Cost]]</f>
        <v>2466.5</v>
      </c>
      <c r="Z411" s="78">
        <f>IFERROR(OrdersTable[[#This Row],[Profit]]/OrdersTable[[#This Row],[Net Revenue]],0)</f>
        <v>0.32047034366270383</v>
      </c>
      <c r="AA411" t="s">
        <v>3495</v>
      </c>
      <c r="AB411" s="79">
        <v>45383</v>
      </c>
      <c r="AC411">
        <f>OrdersTable[[#This Row],[Delivery Date]]-OrdersTable[[#This Row],[Order Date]]</f>
        <v>5</v>
      </c>
      <c r="AD411" t="str">
        <f>IF(OrdersTable[[#This Row],[Delivery Days]]&lt;=2, "Express (≤2d)", IF(OrdersTable[[#This Row],[Delivery Days]]&lt;=4, "Standard (3-4d)", "Delayed (5d+)"))</f>
        <v>Delayed (5d+)</v>
      </c>
      <c r="AF411">
        <v>0</v>
      </c>
    </row>
    <row r="412" spans="1:32" ht="15" x14ac:dyDescent="0.35">
      <c r="A412" t="s">
        <v>4560</v>
      </c>
      <c r="B412" s="1">
        <v>45379</v>
      </c>
      <c r="C412">
        <f>YEAR(OrdersTable[[#This Row],[Order Date]])</f>
        <v>2024</v>
      </c>
      <c r="D412" s="2">
        <f>DATE(YEAR(OrdersTable[[#This Row],[Order Date]]),MONTH(OrdersTable[[#This Row],[Order Date]]),1)</f>
        <v>45352</v>
      </c>
      <c r="E412">
        <f>MONTH(OrdersTable[[#This Row],[Order Date]])</f>
        <v>3</v>
      </c>
      <c r="F412" t="s">
        <v>4561</v>
      </c>
      <c r="G412" t="str">
        <f>IF(OrdersTable[[#This Row],[Order Date]]=_xlfn.MINIFS(Order_Date, Customer_ID, OrdersTable[[#This Row],[Customer ID]]), "New", "Repeat")</f>
        <v>New</v>
      </c>
      <c r="H412" t="s">
        <v>27</v>
      </c>
      <c r="I412" t="str">
        <f>INDEX(State!B:B,MATCH(OrdersTable[[#This Row],[State]],State!A:A,0))</f>
        <v>WB</v>
      </c>
      <c r="J412" t="str">
        <f>INDEX(State!C:C,MATCH(OrdersTable[[#This Row],[State Code]],State!B:B,0))</f>
        <v>East</v>
      </c>
      <c r="K412" t="s">
        <v>28</v>
      </c>
      <c r="L412" t="s">
        <v>39</v>
      </c>
      <c r="M412" t="s">
        <v>255</v>
      </c>
      <c r="N412" t="str">
        <f>INDEX(Products!B:B,MATCH(OrdersTable[[#This Row],[Product ID]],Products!A:A,0))</f>
        <v>Cotton Oversized T-Shirt</v>
      </c>
      <c r="O412" t="str">
        <f>INDEX(Products!C:C,MATCH(OrdersTable[[#This Row],[Product ID]],Products!A:A,0))</f>
        <v>Apparel</v>
      </c>
      <c r="P412">
        <v>1</v>
      </c>
      <c r="Q412" s="5">
        <v>799</v>
      </c>
      <c r="R412" s="74">
        <v>0</v>
      </c>
      <c r="S412" s="75">
        <f>OrdersTable[[#This Row],[Quantity]]*OrdersTable[[#This Row],[Unit Price]]</f>
        <v>799</v>
      </c>
      <c r="T412" s="5">
        <f>OrdersTable[[#This Row],[Gross Sale]]*OrdersTable[[#This Row],[Discount_Clean2]]</f>
        <v>0</v>
      </c>
      <c r="U412" s="5">
        <f>OrdersTable[[#This Row],[Gross Sale]]-OrdersTable[[#This Row],[Discount Amount]]</f>
        <v>799</v>
      </c>
      <c r="V412" s="77">
        <f>INDEX(Products!E:E,MATCH(OrdersTable[[#This Row],[Product ID]],Products!A:A,0))</f>
        <v>320</v>
      </c>
      <c r="W412" s="77">
        <f>OrdersTable[[#This Row],[Quantity]]*OrdersTable[[#This Row],[Unit Cost]]</f>
        <v>320</v>
      </c>
      <c r="X412" s="77">
        <f>'Dropdown Lists'!$I$2*(1+OrdersTable[[#This Row],[Returned]])</f>
        <v>60</v>
      </c>
      <c r="Y412" s="76">
        <f>OrdersTable[[#This Row],[Net Revenue]]-OrdersTable[[#This Row],[COGS]]-OrdersTable[[#This Row],[Shipping Cost]]</f>
        <v>419</v>
      </c>
      <c r="Z412" s="78">
        <f>IFERROR(OrdersTable[[#This Row],[Profit]]/OrdersTable[[#This Row],[Net Revenue]],0)</f>
        <v>0.52440550688360454</v>
      </c>
      <c r="AA412" t="s">
        <v>4450</v>
      </c>
      <c r="AB412" s="79">
        <v>45384</v>
      </c>
      <c r="AC412">
        <f>OrdersTable[[#This Row],[Delivery Date]]-OrdersTable[[#This Row],[Order Date]]</f>
        <v>5</v>
      </c>
      <c r="AD412" t="str">
        <f>IF(OrdersTable[[#This Row],[Delivery Days]]&lt;=2, "Express (≤2d)", IF(OrdersTable[[#This Row],[Delivery Days]]&lt;=4, "Standard (3-4d)", "Delayed (5d+)"))</f>
        <v>Delayed (5d+)</v>
      </c>
      <c r="AF412">
        <v>0</v>
      </c>
    </row>
    <row r="413" spans="1:32" ht="15" x14ac:dyDescent="0.35">
      <c r="A413" t="s">
        <v>5474</v>
      </c>
      <c r="B413" s="1">
        <v>45379</v>
      </c>
      <c r="C413">
        <f>YEAR(OrdersTable[[#This Row],[Order Date]])</f>
        <v>2024</v>
      </c>
      <c r="D413" s="2">
        <f>DATE(YEAR(OrdersTable[[#This Row],[Order Date]]),MONTH(OrdersTable[[#This Row],[Order Date]]),1)</f>
        <v>45352</v>
      </c>
      <c r="E413">
        <f>MONTH(OrdersTable[[#This Row],[Order Date]])</f>
        <v>3</v>
      </c>
      <c r="F413" t="s">
        <v>5475</v>
      </c>
      <c r="G413" t="str">
        <f>IF(OrdersTable[[#This Row],[Order Date]]=_xlfn.MINIFS(Order_Date, Customer_ID, OrdersTable[[#This Row],[Customer ID]]), "New", "Repeat")</f>
        <v>New</v>
      </c>
      <c r="H413" t="s">
        <v>95</v>
      </c>
      <c r="I413" t="str">
        <f>INDEX(State!B:B,MATCH(OrdersTable[[#This Row],[State]],State!A:A,0))</f>
        <v>TG</v>
      </c>
      <c r="J413" t="str">
        <f>INDEX(State!C:C,MATCH(OrdersTable[[#This Row],[State Code]],State!B:B,0))</f>
        <v>South</v>
      </c>
      <c r="K413" t="s">
        <v>96</v>
      </c>
      <c r="L413" t="s">
        <v>39</v>
      </c>
      <c r="M413" t="s">
        <v>565</v>
      </c>
      <c r="N413" t="str">
        <f>INDEX(Products!B:B,MATCH(OrdersTable[[#This Row],[Product ID]],Products!A:A,0))</f>
        <v>Ceramic Dinner Set</v>
      </c>
      <c r="O413" t="str">
        <f>INDEX(Products!C:C,MATCH(OrdersTable[[#This Row],[Product ID]],Products!A:A,0))</f>
        <v>Home &amp; Kitchen</v>
      </c>
      <c r="P413">
        <v>2</v>
      </c>
      <c r="Q413" s="5">
        <v>2499</v>
      </c>
      <c r="R413" s="74">
        <v>0.3</v>
      </c>
      <c r="S413" s="75">
        <f>OrdersTable[[#This Row],[Quantity]]*OrdersTable[[#This Row],[Unit Price]]</f>
        <v>4998</v>
      </c>
      <c r="T413" s="5">
        <f>OrdersTable[[#This Row],[Gross Sale]]*OrdersTable[[#This Row],[Discount_Clean2]]</f>
        <v>1499.3999999999999</v>
      </c>
      <c r="U413" s="5">
        <f>OrdersTable[[#This Row],[Gross Sale]]-OrdersTable[[#This Row],[Discount Amount]]</f>
        <v>3498.6000000000004</v>
      </c>
      <c r="V413" s="77">
        <f>INDEX(Products!E:E,MATCH(OrdersTable[[#This Row],[Product ID]],Products!A:A,0))</f>
        <v>1250</v>
      </c>
      <c r="W413" s="77">
        <f>OrdersTable[[#This Row],[Quantity]]*OrdersTable[[#This Row],[Unit Cost]]</f>
        <v>2500</v>
      </c>
      <c r="X413" s="77">
        <f>'Dropdown Lists'!$I$2*(1+OrdersTable[[#This Row],[Returned]])</f>
        <v>60</v>
      </c>
      <c r="Y413" s="76">
        <f>OrdersTable[[#This Row],[Net Revenue]]-OrdersTable[[#This Row],[COGS]]-OrdersTable[[#This Row],[Shipping Cost]]</f>
        <v>938.60000000000036</v>
      </c>
      <c r="Z413" s="78">
        <f>IFERROR(OrdersTable[[#This Row],[Profit]]/OrdersTable[[#This Row],[Net Revenue]],0)</f>
        <v>0.26827874006745561</v>
      </c>
      <c r="AA413" t="s">
        <v>2522</v>
      </c>
      <c r="AB413" s="79">
        <v>45381</v>
      </c>
      <c r="AC413">
        <f>OrdersTable[[#This Row],[Delivery Date]]-OrdersTable[[#This Row],[Order Date]]</f>
        <v>2</v>
      </c>
      <c r="AD413" t="str">
        <f>IF(OrdersTable[[#This Row],[Delivery Days]]&lt;=2, "Express (≤2d)", IF(OrdersTable[[#This Row],[Delivery Days]]&lt;=4, "Standard (3-4d)", "Delayed (5d+)"))</f>
        <v>Express (≤2d)</v>
      </c>
      <c r="AE413">
        <v>4</v>
      </c>
      <c r="AF413">
        <v>0</v>
      </c>
    </row>
    <row r="414" spans="1:32" ht="15" x14ac:dyDescent="0.35">
      <c r="A414" t="s">
        <v>5077</v>
      </c>
      <c r="B414" s="1">
        <v>45379</v>
      </c>
      <c r="C414">
        <f>YEAR(OrdersTable[[#This Row],[Order Date]])</f>
        <v>2024</v>
      </c>
      <c r="D414" s="2">
        <f>DATE(YEAR(OrdersTable[[#This Row],[Order Date]]),MONTH(OrdersTable[[#This Row],[Order Date]]),1)</f>
        <v>45352</v>
      </c>
      <c r="E414">
        <f>MONTH(OrdersTable[[#This Row],[Order Date]])</f>
        <v>3</v>
      </c>
      <c r="F414" t="s">
        <v>4463</v>
      </c>
      <c r="G414" t="str">
        <f>IF(OrdersTable[[#This Row],[Order Date]]=_xlfn.MINIFS(Order_Date, Customer_ID, OrdersTable[[#This Row],[Customer ID]]), "New", "Repeat")</f>
        <v>New</v>
      </c>
      <c r="H414" t="s">
        <v>59</v>
      </c>
      <c r="I414" t="str">
        <f>INDEX(State!B:B,MATCH(OrdersTable[[#This Row],[State]],State!A:A,0))</f>
        <v>TN</v>
      </c>
      <c r="J414" t="str">
        <f>INDEX(State!C:C,MATCH(OrdersTable[[#This Row],[State Code]],State!B:B,0))</f>
        <v>South</v>
      </c>
      <c r="K414" t="s">
        <v>64</v>
      </c>
      <c r="L414" t="s">
        <v>39</v>
      </c>
      <c r="M414" t="s">
        <v>34</v>
      </c>
      <c r="N414" t="str">
        <f>INDEX(Products!B:B,MATCH(OrdersTable[[#This Row],[Product ID]],Products!A:A,0))</f>
        <v>Flip Flops</v>
      </c>
      <c r="O414" t="str">
        <f>INDEX(Products!C:C,MATCH(OrdersTable[[#This Row],[Product ID]],Products!A:A,0))</f>
        <v>Footwear</v>
      </c>
      <c r="P414">
        <v>2</v>
      </c>
      <c r="Q414" s="5">
        <v>399</v>
      </c>
      <c r="R414" s="74">
        <v>0.15</v>
      </c>
      <c r="S414" s="75">
        <f>OrdersTable[[#This Row],[Quantity]]*OrdersTable[[#This Row],[Unit Price]]</f>
        <v>798</v>
      </c>
      <c r="T414" s="5">
        <f>OrdersTable[[#This Row],[Gross Sale]]*OrdersTable[[#This Row],[Discount_Clean2]]</f>
        <v>119.69999999999999</v>
      </c>
      <c r="U414" s="5">
        <f>OrdersTable[[#This Row],[Gross Sale]]-OrdersTable[[#This Row],[Discount Amount]]</f>
        <v>678.3</v>
      </c>
      <c r="V414" s="77">
        <f>INDEX(Products!E:E,MATCH(OrdersTable[[#This Row],[Product ID]],Products!A:A,0))</f>
        <v>152</v>
      </c>
      <c r="W414" s="77">
        <f>OrdersTable[[#This Row],[Quantity]]*OrdersTable[[#This Row],[Unit Cost]]</f>
        <v>304</v>
      </c>
      <c r="X414" s="77">
        <f>'Dropdown Lists'!$I$2*(1+OrdersTable[[#This Row],[Returned]])</f>
        <v>120</v>
      </c>
      <c r="Y414" s="76">
        <f>OrdersTable[[#This Row],[Net Revenue]]-OrdersTable[[#This Row],[COGS]]-OrdersTable[[#This Row],[Shipping Cost]]</f>
        <v>254.29999999999995</v>
      </c>
      <c r="Z414" s="78">
        <f>IFERROR(OrdersTable[[#This Row],[Profit]]/OrdersTable[[#This Row],[Net Revenue]],0)</f>
        <v>0.37490785787999409</v>
      </c>
      <c r="AA414" t="s">
        <v>3495</v>
      </c>
      <c r="AB414" s="79">
        <v>45382</v>
      </c>
      <c r="AC414">
        <f>OrdersTable[[#This Row],[Delivery Date]]-OrdersTable[[#This Row],[Order Date]]</f>
        <v>3</v>
      </c>
      <c r="AD414" t="str">
        <f>IF(OrdersTable[[#This Row],[Delivery Days]]&lt;=2, "Express (≤2d)", IF(OrdersTable[[#This Row],[Delivery Days]]&lt;=4, "Standard (3-4d)", "Delayed (5d+)"))</f>
        <v>Standard (3-4d)</v>
      </c>
      <c r="AE414">
        <v>4</v>
      </c>
      <c r="AF414">
        <v>1</v>
      </c>
    </row>
    <row r="415" spans="1:32" ht="15" x14ac:dyDescent="0.35">
      <c r="A415" t="s">
        <v>4752</v>
      </c>
      <c r="B415" s="1">
        <v>45380</v>
      </c>
      <c r="C415">
        <f>YEAR(OrdersTable[[#This Row],[Order Date]])</f>
        <v>2024</v>
      </c>
      <c r="D415" s="2">
        <f>DATE(YEAR(OrdersTable[[#This Row],[Order Date]]),MONTH(OrdersTable[[#This Row],[Order Date]]),1)</f>
        <v>45352</v>
      </c>
      <c r="E415">
        <f>MONTH(OrdersTable[[#This Row],[Order Date]])</f>
        <v>3</v>
      </c>
      <c r="F415" t="s">
        <v>4753</v>
      </c>
      <c r="G415" t="str">
        <f>IF(OrdersTable[[#This Row],[Order Date]]=_xlfn.MINIFS(Order_Date, Customer_ID, OrdersTable[[#This Row],[Customer ID]]), "New", "Repeat")</f>
        <v>Repeat</v>
      </c>
      <c r="H415" t="s">
        <v>210</v>
      </c>
      <c r="I415" t="str">
        <f>INDEX(State!B:B,MATCH(OrdersTable[[#This Row],[State]],State!A:A,0))</f>
        <v>JK</v>
      </c>
      <c r="J415" t="str">
        <f>INDEX(State!C:C,MATCH(OrdersTable[[#This Row],[State Code]],State!B:B,0))</f>
        <v>North</v>
      </c>
      <c r="K415" t="s">
        <v>211</v>
      </c>
      <c r="L415" t="s">
        <v>39</v>
      </c>
      <c r="M415" t="s">
        <v>87</v>
      </c>
      <c r="N415" t="str">
        <f>INDEX(Products!B:B,MATCH(OrdersTable[[#This Row],[Product ID]],Products!A:A,0))</f>
        <v>Linen Kurta</v>
      </c>
      <c r="O415" t="str">
        <f>INDEX(Products!C:C,MATCH(OrdersTable[[#This Row],[Product ID]],Products!A:A,0))</f>
        <v>Apparel</v>
      </c>
      <c r="P415">
        <v>2</v>
      </c>
      <c r="Q415" s="5">
        <v>1499</v>
      </c>
      <c r="R415" s="74">
        <v>0.35</v>
      </c>
      <c r="S415" s="75">
        <f>OrdersTable[[#This Row],[Quantity]]*OrdersTable[[#This Row],[Unit Price]]</f>
        <v>2998</v>
      </c>
      <c r="T415" s="5">
        <f>OrdersTable[[#This Row],[Gross Sale]]*OrdersTable[[#This Row],[Discount_Clean2]]</f>
        <v>1049.3</v>
      </c>
      <c r="U415" s="5">
        <f>OrdersTable[[#This Row],[Gross Sale]]-OrdersTable[[#This Row],[Discount Amount]]</f>
        <v>1948.7</v>
      </c>
      <c r="V415" s="77">
        <f>INDEX(Products!E:E,MATCH(OrdersTable[[#This Row],[Product ID]],Products!A:A,0))</f>
        <v>630</v>
      </c>
      <c r="W415" s="77">
        <f>OrdersTable[[#This Row],[Quantity]]*OrdersTable[[#This Row],[Unit Cost]]</f>
        <v>1260</v>
      </c>
      <c r="X415" s="77">
        <f>'Dropdown Lists'!$I$2*(1+OrdersTable[[#This Row],[Returned]])</f>
        <v>60</v>
      </c>
      <c r="Y415" s="76">
        <f>OrdersTable[[#This Row],[Net Revenue]]-OrdersTable[[#This Row],[COGS]]-OrdersTable[[#This Row],[Shipping Cost]]</f>
        <v>628.70000000000005</v>
      </c>
      <c r="Z415" s="78">
        <f>IFERROR(OrdersTable[[#This Row],[Profit]]/OrdersTable[[#This Row],[Net Revenue]],0)</f>
        <v>0.32262533997023657</v>
      </c>
      <c r="AA415" t="s">
        <v>4450</v>
      </c>
      <c r="AB415" s="79">
        <v>45386</v>
      </c>
      <c r="AC415">
        <f>OrdersTable[[#This Row],[Delivery Date]]-OrdersTable[[#This Row],[Order Date]]</f>
        <v>6</v>
      </c>
      <c r="AD415" t="str">
        <f>IF(OrdersTable[[#This Row],[Delivery Days]]&lt;=2, "Express (≤2d)", IF(OrdersTable[[#This Row],[Delivery Days]]&lt;=4, "Standard (3-4d)", "Delayed (5d+)"))</f>
        <v>Delayed (5d+)</v>
      </c>
      <c r="AE415">
        <v>4</v>
      </c>
      <c r="AF415">
        <v>0</v>
      </c>
    </row>
    <row r="416" spans="1:32" ht="15" x14ac:dyDescent="0.35">
      <c r="A416" t="s">
        <v>6477</v>
      </c>
      <c r="B416" s="1">
        <v>45380</v>
      </c>
      <c r="C416">
        <f>YEAR(OrdersTable[[#This Row],[Order Date]])</f>
        <v>2024</v>
      </c>
      <c r="D416" s="2">
        <f>DATE(YEAR(OrdersTable[[#This Row],[Order Date]]),MONTH(OrdersTable[[#This Row],[Order Date]]),1)</f>
        <v>45352</v>
      </c>
      <c r="E416">
        <f>MONTH(OrdersTable[[#This Row],[Order Date]])</f>
        <v>3</v>
      </c>
      <c r="F416" t="s">
        <v>3219</v>
      </c>
      <c r="G416" t="str">
        <f>IF(OrdersTable[[#This Row],[Order Date]]=_xlfn.MINIFS(Order_Date, Customer_ID, OrdersTable[[#This Row],[Customer ID]]), "New", "Repeat")</f>
        <v>New</v>
      </c>
      <c r="H416" t="s">
        <v>54</v>
      </c>
      <c r="I416" t="str">
        <f>INDEX(State!B:B,MATCH(OrdersTable[[#This Row],[State]],State!A:A,0))</f>
        <v>RJ</v>
      </c>
      <c r="J416" t="str">
        <f>INDEX(State!C:C,MATCH(OrdersTable[[#This Row],[State Code]],State!B:B,0))</f>
        <v>North</v>
      </c>
      <c r="K416" t="s">
        <v>55</v>
      </c>
      <c r="L416" t="s">
        <v>50</v>
      </c>
      <c r="M416" t="s">
        <v>160</v>
      </c>
      <c r="N416" t="str">
        <f>INDEX(Products!B:B,MATCH(OrdersTable[[#This Row],[Product ID]],Products!A:A,0))</f>
        <v>Niacinamide Toner</v>
      </c>
      <c r="O416" t="str">
        <f>INDEX(Products!C:C,MATCH(OrdersTable[[#This Row],[Product ID]],Products!A:A,0))</f>
        <v>Skincare</v>
      </c>
      <c r="P416">
        <v>3</v>
      </c>
      <c r="Q416" s="5">
        <v>399</v>
      </c>
      <c r="R416" s="74">
        <v>0.2</v>
      </c>
      <c r="S416" s="75">
        <f>OrdersTable[[#This Row],[Quantity]]*OrdersTable[[#This Row],[Unit Price]]</f>
        <v>1197</v>
      </c>
      <c r="T416" s="5">
        <f>OrdersTable[[#This Row],[Gross Sale]]*OrdersTable[[#This Row],[Discount_Clean2]]</f>
        <v>239.4</v>
      </c>
      <c r="U416" s="5">
        <f>OrdersTable[[#This Row],[Gross Sale]]-OrdersTable[[#This Row],[Discount Amount]]</f>
        <v>957.6</v>
      </c>
      <c r="V416" s="77">
        <f>INDEX(Products!E:E,MATCH(OrdersTable[[#This Row],[Product ID]],Products!A:A,0))</f>
        <v>112</v>
      </c>
      <c r="W416" s="77">
        <f>OrdersTable[[#This Row],[Quantity]]*OrdersTable[[#This Row],[Unit Cost]]</f>
        <v>336</v>
      </c>
      <c r="X416" s="77">
        <f>'Dropdown Lists'!$I$2*(1+OrdersTable[[#This Row],[Returned]])</f>
        <v>60</v>
      </c>
      <c r="Y416" s="76">
        <f>OrdersTable[[#This Row],[Net Revenue]]-OrdersTable[[#This Row],[COGS]]-OrdersTable[[#This Row],[Shipping Cost]]</f>
        <v>561.6</v>
      </c>
      <c r="Z416" s="78">
        <f>IFERROR(OrdersTable[[#This Row],[Profit]]/OrdersTable[[#This Row],[Net Revenue]],0)</f>
        <v>0.5864661654135338</v>
      </c>
      <c r="AA416" t="s">
        <v>18</v>
      </c>
      <c r="AB416" s="79">
        <v>45385</v>
      </c>
      <c r="AC416">
        <f>OrdersTable[[#This Row],[Delivery Date]]-OrdersTable[[#This Row],[Order Date]]</f>
        <v>5</v>
      </c>
      <c r="AD416" t="str">
        <f>IF(OrdersTable[[#This Row],[Delivery Days]]&lt;=2, "Express (≤2d)", IF(OrdersTable[[#This Row],[Delivery Days]]&lt;=4, "Standard (3-4d)", "Delayed (5d+)"))</f>
        <v>Delayed (5d+)</v>
      </c>
      <c r="AE416">
        <v>5</v>
      </c>
      <c r="AF416">
        <v>0</v>
      </c>
    </row>
    <row r="417" spans="1:32" ht="15" x14ac:dyDescent="0.35">
      <c r="A417" t="s">
        <v>6943</v>
      </c>
      <c r="B417" s="1">
        <v>45380</v>
      </c>
      <c r="C417">
        <f>YEAR(OrdersTable[[#This Row],[Order Date]])</f>
        <v>2024</v>
      </c>
      <c r="D417" s="2">
        <f>DATE(YEAR(OrdersTable[[#This Row],[Order Date]]),MONTH(OrdersTable[[#This Row],[Order Date]]),1)</f>
        <v>45352</v>
      </c>
      <c r="E417">
        <f>MONTH(OrdersTable[[#This Row],[Order Date]])</f>
        <v>3</v>
      </c>
      <c r="F417" t="s">
        <v>3637</v>
      </c>
      <c r="G417" t="str">
        <f>IF(OrdersTable[[#This Row],[Order Date]]=_xlfn.MINIFS(Order_Date, Customer_ID, OrdersTable[[#This Row],[Customer ID]]), "New", "Repeat")</f>
        <v>Repeat</v>
      </c>
      <c r="H417" t="s">
        <v>37</v>
      </c>
      <c r="I417" t="str">
        <f>INDEX(State!B:B,MATCH(OrdersTable[[#This Row],[State]],State!A:A,0))</f>
        <v>GJ</v>
      </c>
      <c r="J417" t="str">
        <f>INDEX(State!C:C,MATCH(OrdersTable[[#This Row],[State Code]],State!B:B,0))</f>
        <v>West</v>
      </c>
      <c r="K417" t="s">
        <v>38</v>
      </c>
      <c r="L417" t="s">
        <v>23</v>
      </c>
      <c r="M417" t="s">
        <v>51</v>
      </c>
      <c r="N417" t="str">
        <f>INDEX(Products!B:B,MATCH(OrdersTable[[#This Row],[Product ID]],Products!A:A,0))</f>
        <v>Anti-Dandruff Conditioner</v>
      </c>
      <c r="O417" t="str">
        <f>INDEX(Products!C:C,MATCH(OrdersTable[[#This Row],[Product ID]],Products!A:A,0))</f>
        <v>Haircare</v>
      </c>
      <c r="P417">
        <v>4</v>
      </c>
      <c r="Q417" s="5">
        <v>399</v>
      </c>
      <c r="R417" s="74">
        <v>0.4</v>
      </c>
      <c r="S417" s="75">
        <f>OrdersTable[[#This Row],[Quantity]]*OrdersTable[[#This Row],[Unit Price]]</f>
        <v>1596</v>
      </c>
      <c r="T417" s="5">
        <f>OrdersTable[[#This Row],[Gross Sale]]*OrdersTable[[#This Row],[Discount_Clean2]]</f>
        <v>638.40000000000009</v>
      </c>
      <c r="U417" s="5">
        <f>OrdersTable[[#This Row],[Gross Sale]]-OrdersTable[[#This Row],[Discount Amount]]</f>
        <v>957.59999999999991</v>
      </c>
      <c r="V417" s="77">
        <f>INDEX(Products!E:E,MATCH(OrdersTable[[#This Row],[Product ID]],Products!A:A,0))</f>
        <v>136</v>
      </c>
      <c r="W417" s="77">
        <f>OrdersTable[[#This Row],[Quantity]]*OrdersTable[[#This Row],[Unit Cost]]</f>
        <v>544</v>
      </c>
      <c r="X417" s="77">
        <f>'Dropdown Lists'!$I$2*(1+OrdersTable[[#This Row],[Returned]])</f>
        <v>60</v>
      </c>
      <c r="Y417" s="76">
        <f>OrdersTable[[#This Row],[Net Revenue]]-OrdersTable[[#This Row],[COGS]]-OrdersTable[[#This Row],[Shipping Cost]]</f>
        <v>353.59999999999991</v>
      </c>
      <c r="Z417" s="78">
        <f>IFERROR(OrdersTable[[#This Row],[Profit]]/OrdersTable[[#This Row],[Net Revenue]],0)</f>
        <v>0.36925647451963234</v>
      </c>
      <c r="AA417" t="s">
        <v>2522</v>
      </c>
      <c r="AB417" s="79">
        <v>45382</v>
      </c>
      <c r="AC417">
        <f>OrdersTable[[#This Row],[Delivery Date]]-OrdersTable[[#This Row],[Order Date]]</f>
        <v>2</v>
      </c>
      <c r="AD417" t="str">
        <f>IF(OrdersTable[[#This Row],[Delivery Days]]&lt;=2, "Express (≤2d)", IF(OrdersTable[[#This Row],[Delivery Days]]&lt;=4, "Standard (3-4d)", "Delayed (5d+)"))</f>
        <v>Express (≤2d)</v>
      </c>
      <c r="AF417">
        <v>0</v>
      </c>
    </row>
    <row r="418" spans="1:32" ht="15" x14ac:dyDescent="0.35">
      <c r="A418" t="s">
        <v>1637</v>
      </c>
      <c r="B418" s="1">
        <v>45380</v>
      </c>
      <c r="C418">
        <f>YEAR(OrdersTable[[#This Row],[Order Date]])</f>
        <v>2024</v>
      </c>
      <c r="D418" s="2">
        <f>DATE(YEAR(OrdersTable[[#This Row],[Order Date]]),MONTH(OrdersTable[[#This Row],[Order Date]]),1)</f>
        <v>45352</v>
      </c>
      <c r="E418">
        <f>MONTH(OrdersTable[[#This Row],[Order Date]])</f>
        <v>3</v>
      </c>
      <c r="F418" t="s">
        <v>1007</v>
      </c>
      <c r="G418" t="str">
        <f>IF(OrdersTable[[#This Row],[Order Date]]=_xlfn.MINIFS(Order_Date, Customer_ID, OrdersTable[[#This Row],[Customer ID]]), "New", "Repeat")</f>
        <v>New</v>
      </c>
      <c r="H418" t="s">
        <v>27</v>
      </c>
      <c r="I418" t="str">
        <f>INDEX(State!B:B,MATCH(OrdersTable[[#This Row],[State]],State!A:A,0))</f>
        <v>WB</v>
      </c>
      <c r="J418" t="str">
        <f>INDEX(State!C:C,MATCH(OrdersTable[[#This Row],[State Code]],State!B:B,0))</f>
        <v>East</v>
      </c>
      <c r="K418" t="s">
        <v>28</v>
      </c>
      <c r="L418" t="s">
        <v>65</v>
      </c>
      <c r="M418" t="s">
        <v>56</v>
      </c>
      <c r="N418" t="str">
        <f>INDEX(Products!B:B,MATCH(OrdersTable[[#This Row],[Product ID]],Products!A:A,0))</f>
        <v>Vitamin C Face Serum</v>
      </c>
      <c r="O418" t="str">
        <f>INDEX(Products!C:C,MATCH(OrdersTable[[#This Row],[Product ID]],Products!A:A,0))</f>
        <v>Skincare</v>
      </c>
      <c r="P418">
        <v>1</v>
      </c>
      <c r="Q418" s="5">
        <v>599</v>
      </c>
      <c r="R418" s="74">
        <v>0.25</v>
      </c>
      <c r="S418" s="75">
        <f>OrdersTable[[#This Row],[Quantity]]*OrdersTable[[#This Row],[Unit Price]]</f>
        <v>599</v>
      </c>
      <c r="T418" s="5">
        <f>OrdersTable[[#This Row],[Gross Sale]]*OrdersTable[[#This Row],[Discount_Clean2]]</f>
        <v>149.75</v>
      </c>
      <c r="U418" s="5">
        <f>OrdersTable[[#This Row],[Gross Sale]]-OrdersTable[[#This Row],[Discount Amount]]</f>
        <v>449.25</v>
      </c>
      <c r="V418" s="77">
        <f>INDEX(Products!E:E,MATCH(OrdersTable[[#This Row],[Product ID]],Products!A:A,0))</f>
        <v>180</v>
      </c>
      <c r="W418" s="77">
        <f>OrdersTable[[#This Row],[Quantity]]*OrdersTable[[#This Row],[Unit Cost]]</f>
        <v>180</v>
      </c>
      <c r="X418" s="77">
        <f>'Dropdown Lists'!$I$2*(1+OrdersTable[[#This Row],[Returned]])</f>
        <v>60</v>
      </c>
      <c r="Y418" s="76">
        <f>OrdersTable[[#This Row],[Net Revenue]]-OrdersTable[[#This Row],[COGS]]-OrdersTable[[#This Row],[Shipping Cost]]</f>
        <v>209.25</v>
      </c>
      <c r="Z418" s="78">
        <f>IFERROR(OrdersTable[[#This Row],[Profit]]/OrdersTable[[#This Row],[Net Revenue]],0)</f>
        <v>0.46577629382303842</v>
      </c>
      <c r="AA418" t="s">
        <v>18</v>
      </c>
      <c r="AB418" s="79">
        <v>45383</v>
      </c>
      <c r="AC418">
        <f>OrdersTable[[#This Row],[Delivery Date]]-OrdersTable[[#This Row],[Order Date]]</f>
        <v>3</v>
      </c>
      <c r="AD418" t="str">
        <f>IF(OrdersTable[[#This Row],[Delivery Days]]&lt;=2, "Express (≤2d)", IF(OrdersTable[[#This Row],[Delivery Days]]&lt;=4, "Standard (3-4d)", "Delayed (5d+)"))</f>
        <v>Standard (3-4d)</v>
      </c>
      <c r="AF418">
        <v>0</v>
      </c>
    </row>
    <row r="419" spans="1:32" ht="15" x14ac:dyDescent="0.35">
      <c r="A419" t="s">
        <v>2236</v>
      </c>
      <c r="B419" s="1">
        <v>45380</v>
      </c>
      <c r="C419">
        <f>YEAR(OrdersTable[[#This Row],[Order Date]])</f>
        <v>2024</v>
      </c>
      <c r="D419" s="2">
        <f>DATE(YEAR(OrdersTable[[#This Row],[Order Date]]),MONTH(OrdersTable[[#This Row],[Order Date]]),1)</f>
        <v>45352</v>
      </c>
      <c r="E419">
        <f>MONTH(OrdersTable[[#This Row],[Order Date]])</f>
        <v>3</v>
      </c>
      <c r="F419" t="s">
        <v>1416</v>
      </c>
      <c r="G419" t="str">
        <f>IF(OrdersTable[[#This Row],[Order Date]]=_xlfn.MINIFS(Order_Date, Customer_ID, OrdersTable[[#This Row],[Customer ID]]), "New", "Repeat")</f>
        <v>New</v>
      </c>
      <c r="H419" t="s">
        <v>275</v>
      </c>
      <c r="I419" t="str">
        <f>INDEX(State!B:B,MATCH(OrdersTable[[#This Row],[State]],State!A:A,0))</f>
        <v>AP</v>
      </c>
      <c r="J419" t="str">
        <f>INDEX(State!C:C,MATCH(OrdersTable[[#This Row],[State Code]],State!B:B,0))</f>
        <v>South</v>
      </c>
      <c r="K419" t="s">
        <v>491</v>
      </c>
      <c r="L419" t="s">
        <v>65</v>
      </c>
      <c r="M419" t="s">
        <v>160</v>
      </c>
      <c r="N419" t="str">
        <f>INDEX(Products!B:B,MATCH(OrdersTable[[#This Row],[Product ID]],Products!A:A,0))</f>
        <v>Niacinamide Toner</v>
      </c>
      <c r="O419" t="str">
        <f>INDEX(Products!C:C,MATCH(OrdersTable[[#This Row],[Product ID]],Products!A:A,0))</f>
        <v>Skincare</v>
      </c>
      <c r="P419">
        <v>1</v>
      </c>
      <c r="Q419" s="5">
        <v>399</v>
      </c>
      <c r="R419" s="74">
        <v>0.25</v>
      </c>
      <c r="S419" s="75">
        <f>OrdersTable[[#This Row],[Quantity]]*OrdersTable[[#This Row],[Unit Price]]</f>
        <v>399</v>
      </c>
      <c r="T419" s="5">
        <f>OrdersTable[[#This Row],[Gross Sale]]*OrdersTable[[#This Row],[Discount_Clean2]]</f>
        <v>99.75</v>
      </c>
      <c r="U419" s="5">
        <f>OrdersTable[[#This Row],[Gross Sale]]-OrdersTable[[#This Row],[Discount Amount]]</f>
        <v>299.25</v>
      </c>
      <c r="V419" s="77">
        <f>INDEX(Products!E:E,MATCH(OrdersTable[[#This Row],[Product ID]],Products!A:A,0))</f>
        <v>112</v>
      </c>
      <c r="W419" s="77">
        <f>OrdersTable[[#This Row],[Quantity]]*OrdersTable[[#This Row],[Unit Cost]]</f>
        <v>112</v>
      </c>
      <c r="X419" s="77">
        <f>'Dropdown Lists'!$I$2*(1+OrdersTable[[#This Row],[Returned]])</f>
        <v>60</v>
      </c>
      <c r="Y419" s="76">
        <f>OrdersTable[[#This Row],[Net Revenue]]-OrdersTable[[#This Row],[COGS]]-OrdersTable[[#This Row],[Shipping Cost]]</f>
        <v>127.25</v>
      </c>
      <c r="Z419" s="78">
        <f>IFERROR(OrdersTable[[#This Row],[Profit]]/OrdersTable[[#This Row],[Net Revenue]],0)</f>
        <v>0.42522974101921468</v>
      </c>
      <c r="AA419" t="s">
        <v>18</v>
      </c>
      <c r="AB419" s="79">
        <v>45381</v>
      </c>
      <c r="AC419">
        <f>OrdersTable[[#This Row],[Delivery Date]]-OrdersTable[[#This Row],[Order Date]]</f>
        <v>1</v>
      </c>
      <c r="AD419" t="str">
        <f>IF(OrdersTable[[#This Row],[Delivery Days]]&lt;=2, "Express (≤2d)", IF(OrdersTable[[#This Row],[Delivery Days]]&lt;=4, "Standard (3-4d)", "Delayed (5d+)"))</f>
        <v>Express (≤2d)</v>
      </c>
      <c r="AE419">
        <v>5</v>
      </c>
      <c r="AF419">
        <v>0</v>
      </c>
    </row>
    <row r="420" spans="1:32" ht="15" x14ac:dyDescent="0.35">
      <c r="A420" t="s">
        <v>3511</v>
      </c>
      <c r="B420" s="1">
        <v>45380</v>
      </c>
      <c r="C420">
        <f>YEAR(OrdersTable[[#This Row],[Order Date]])</f>
        <v>2024</v>
      </c>
      <c r="D420" s="2">
        <f>DATE(YEAR(OrdersTable[[#This Row],[Order Date]]),MONTH(OrdersTable[[#This Row],[Order Date]]),1)</f>
        <v>45352</v>
      </c>
      <c r="E420">
        <f>MONTH(OrdersTable[[#This Row],[Order Date]])</f>
        <v>3</v>
      </c>
      <c r="F420" t="s">
        <v>1214</v>
      </c>
      <c r="G420" t="str">
        <f>IF(OrdersTable[[#This Row],[Order Date]]=_xlfn.MINIFS(Order_Date, Customer_ID, OrdersTable[[#This Row],[Customer ID]]), "New", "Repeat")</f>
        <v>Repeat</v>
      </c>
      <c r="H420" t="s">
        <v>275</v>
      </c>
      <c r="I420" t="str">
        <f>INDEX(State!B:B,MATCH(OrdersTable[[#This Row],[State]],State!A:A,0))</f>
        <v>AP</v>
      </c>
      <c r="J420" t="str">
        <f>INDEX(State!C:C,MATCH(OrdersTable[[#This Row],[State Code]],State!B:B,0))</f>
        <v>South</v>
      </c>
      <c r="K420" t="s">
        <v>491</v>
      </c>
      <c r="L420" t="s">
        <v>23</v>
      </c>
      <c r="M420" t="s">
        <v>56</v>
      </c>
      <c r="N420" t="str">
        <f>INDEX(Products!B:B,MATCH(OrdersTable[[#This Row],[Product ID]],Products!A:A,0))</f>
        <v>Vitamin C Face Serum</v>
      </c>
      <c r="O420" t="str">
        <f>INDEX(Products!C:C,MATCH(OrdersTable[[#This Row],[Product ID]],Products!A:A,0))</f>
        <v>Skincare</v>
      </c>
      <c r="P420">
        <v>1</v>
      </c>
      <c r="Q420" s="5">
        <v>599</v>
      </c>
      <c r="R420" s="74">
        <v>0.2</v>
      </c>
      <c r="S420" s="75">
        <f>OrdersTable[[#This Row],[Quantity]]*OrdersTable[[#This Row],[Unit Price]]</f>
        <v>599</v>
      </c>
      <c r="T420" s="5">
        <f>OrdersTable[[#This Row],[Gross Sale]]*OrdersTable[[#This Row],[Discount_Clean2]]</f>
        <v>119.80000000000001</v>
      </c>
      <c r="U420" s="5">
        <f>OrdersTable[[#This Row],[Gross Sale]]-OrdersTable[[#This Row],[Discount Amount]]</f>
        <v>479.2</v>
      </c>
      <c r="V420" s="77">
        <f>INDEX(Products!E:E,MATCH(OrdersTable[[#This Row],[Product ID]],Products!A:A,0))</f>
        <v>180</v>
      </c>
      <c r="W420" s="77">
        <f>OrdersTable[[#This Row],[Quantity]]*OrdersTable[[#This Row],[Unit Cost]]</f>
        <v>180</v>
      </c>
      <c r="X420" s="77">
        <f>'Dropdown Lists'!$I$2*(1+OrdersTable[[#This Row],[Returned]])</f>
        <v>60</v>
      </c>
      <c r="Y420" s="76">
        <f>OrdersTable[[#This Row],[Net Revenue]]-OrdersTable[[#This Row],[COGS]]-OrdersTable[[#This Row],[Shipping Cost]]</f>
        <v>239.2</v>
      </c>
      <c r="Z420" s="78">
        <f>IFERROR(OrdersTable[[#This Row],[Profit]]/OrdersTable[[#This Row],[Net Revenue]],0)</f>
        <v>0.4991652754590985</v>
      </c>
      <c r="AA420" t="s">
        <v>3495</v>
      </c>
      <c r="AB420" s="79">
        <v>45383</v>
      </c>
      <c r="AC420">
        <f>OrdersTable[[#This Row],[Delivery Date]]-OrdersTable[[#This Row],[Order Date]]</f>
        <v>3</v>
      </c>
      <c r="AD420" t="str">
        <f>IF(OrdersTable[[#This Row],[Delivery Days]]&lt;=2, "Express (≤2d)", IF(OrdersTable[[#This Row],[Delivery Days]]&lt;=4, "Standard (3-4d)", "Delayed (5d+)"))</f>
        <v>Standard (3-4d)</v>
      </c>
      <c r="AE420">
        <v>4</v>
      </c>
      <c r="AF420">
        <v>0</v>
      </c>
    </row>
    <row r="421" spans="1:32" ht="15" x14ac:dyDescent="0.35">
      <c r="A421" t="s">
        <v>3512</v>
      </c>
      <c r="B421" s="1">
        <v>45380</v>
      </c>
      <c r="C421">
        <f>YEAR(OrdersTable[[#This Row],[Order Date]])</f>
        <v>2024</v>
      </c>
      <c r="D421" s="2">
        <f>DATE(YEAR(OrdersTable[[#This Row],[Order Date]]),MONTH(OrdersTable[[#This Row],[Order Date]]),1)</f>
        <v>45352</v>
      </c>
      <c r="E421">
        <f>MONTH(OrdersTable[[#This Row],[Order Date]])</f>
        <v>3</v>
      </c>
      <c r="F421" t="s">
        <v>3513</v>
      </c>
      <c r="G421" t="str">
        <f>IF(OrdersTable[[#This Row],[Order Date]]=_xlfn.MINIFS(Order_Date, Customer_ID, OrdersTable[[#This Row],[Customer ID]]), "New", "Repeat")</f>
        <v>New</v>
      </c>
      <c r="H421" t="s">
        <v>275</v>
      </c>
      <c r="I421" t="str">
        <f>INDEX(State!B:B,MATCH(OrdersTable[[#This Row],[State]],State!A:A,0))</f>
        <v>AP</v>
      </c>
      <c r="J421" t="str">
        <f>INDEX(State!C:C,MATCH(OrdersTable[[#This Row],[State Code]],State!B:B,0))</f>
        <v>South</v>
      </c>
      <c r="K421" t="s">
        <v>491</v>
      </c>
      <c r="L421" t="s">
        <v>39</v>
      </c>
      <c r="M421" t="s">
        <v>106</v>
      </c>
      <c r="N421" t="str">
        <f>INDEX(Products!B:B,MATCH(OrdersTable[[#This Row],[Product ID]],Products!A:A,0))</f>
        <v>Keratin Hair Mask</v>
      </c>
      <c r="O421" t="str">
        <f>INDEX(Products!C:C,MATCH(OrdersTable[[#This Row],[Product ID]],Products!A:A,0))</f>
        <v>Haircare</v>
      </c>
      <c r="P421">
        <v>1</v>
      </c>
      <c r="Q421" s="5">
        <v>549</v>
      </c>
      <c r="R421" s="74">
        <v>0.2</v>
      </c>
      <c r="S421" s="75">
        <f>OrdersTable[[#This Row],[Quantity]]*OrdersTable[[#This Row],[Unit Price]]</f>
        <v>549</v>
      </c>
      <c r="T421" s="5">
        <f>OrdersTable[[#This Row],[Gross Sale]]*OrdersTable[[#This Row],[Discount_Clean2]]</f>
        <v>109.80000000000001</v>
      </c>
      <c r="U421" s="5">
        <f>OrdersTable[[#This Row],[Gross Sale]]-OrdersTable[[#This Row],[Discount Amount]]</f>
        <v>439.2</v>
      </c>
      <c r="V421" s="77">
        <f>INDEX(Products!E:E,MATCH(OrdersTable[[#This Row],[Product ID]],Products!A:A,0))</f>
        <v>170</v>
      </c>
      <c r="W421" s="77">
        <f>OrdersTable[[#This Row],[Quantity]]*OrdersTable[[#This Row],[Unit Cost]]</f>
        <v>170</v>
      </c>
      <c r="X421" s="77">
        <f>'Dropdown Lists'!$I$2*(1+OrdersTable[[#This Row],[Returned]])</f>
        <v>60</v>
      </c>
      <c r="Y421" s="76">
        <f>OrdersTable[[#This Row],[Net Revenue]]-OrdersTable[[#This Row],[COGS]]-OrdersTable[[#This Row],[Shipping Cost]]</f>
        <v>209.2</v>
      </c>
      <c r="Z421" s="78">
        <f>IFERROR(OrdersTable[[#This Row],[Profit]]/OrdersTable[[#This Row],[Net Revenue]],0)</f>
        <v>0.47632058287795992</v>
      </c>
      <c r="AA421" t="s">
        <v>3495</v>
      </c>
      <c r="AB421" s="79">
        <v>45384</v>
      </c>
      <c r="AC421">
        <f>OrdersTable[[#This Row],[Delivery Date]]-OrdersTable[[#This Row],[Order Date]]</f>
        <v>4</v>
      </c>
      <c r="AD421" t="str">
        <f>IF(OrdersTable[[#This Row],[Delivery Days]]&lt;=2, "Express (≤2d)", IF(OrdersTable[[#This Row],[Delivery Days]]&lt;=4, "Standard (3-4d)", "Delayed (5d+)"))</f>
        <v>Standard (3-4d)</v>
      </c>
      <c r="AE421">
        <v>4</v>
      </c>
      <c r="AF421">
        <v>0</v>
      </c>
    </row>
    <row r="422" spans="1:32" ht="15" x14ac:dyDescent="0.35">
      <c r="A422" t="s">
        <v>6478</v>
      </c>
      <c r="B422" s="1">
        <v>45381</v>
      </c>
      <c r="C422">
        <f>YEAR(OrdersTable[[#This Row],[Order Date]])</f>
        <v>2024</v>
      </c>
      <c r="D422" s="2">
        <f>DATE(YEAR(OrdersTable[[#This Row],[Order Date]]),MONTH(OrdersTable[[#This Row],[Order Date]]),1)</f>
        <v>45352</v>
      </c>
      <c r="E422">
        <f>MONTH(OrdersTable[[#This Row],[Order Date]])</f>
        <v>3</v>
      </c>
      <c r="F422" t="s">
        <v>2546</v>
      </c>
      <c r="G422" t="str">
        <f>IF(OrdersTable[[#This Row],[Order Date]]=_xlfn.MINIFS(Order_Date, Customer_ID, OrdersTable[[#This Row],[Customer ID]]), "New", "Repeat")</f>
        <v>Repeat</v>
      </c>
      <c r="H422" t="s">
        <v>21</v>
      </c>
      <c r="I422" t="str">
        <f>INDEX(State!B:B,MATCH(OrdersTable[[#This Row],[State]],State!A:A,0))</f>
        <v>PB</v>
      </c>
      <c r="J422" t="str">
        <f>INDEX(State!C:C,MATCH(OrdersTable[[#This Row],[State Code]],State!B:B,0))</f>
        <v>North</v>
      </c>
      <c r="K422" t="s">
        <v>260</v>
      </c>
      <c r="L422" t="s">
        <v>23</v>
      </c>
      <c r="M422" t="s">
        <v>152</v>
      </c>
      <c r="N422" t="str">
        <f>INDEX(Products!B:B,MATCH(OrdersTable[[#This Row],[Product ID]],Products!A:A,0))</f>
        <v>Green Tea (100 bags)</v>
      </c>
      <c r="O422" t="str">
        <f>INDEX(Products!C:C,MATCH(OrdersTable[[#This Row],[Product ID]],Products!A:A,0))</f>
        <v>Wellness</v>
      </c>
      <c r="P422">
        <v>3</v>
      </c>
      <c r="Q422" s="5">
        <v>399</v>
      </c>
      <c r="R422" s="74">
        <v>0.35</v>
      </c>
      <c r="S422" s="75">
        <f>OrdersTable[[#This Row],[Quantity]]*OrdersTable[[#This Row],[Unit Price]]</f>
        <v>1197</v>
      </c>
      <c r="T422" s="5">
        <f>OrdersTable[[#This Row],[Gross Sale]]*OrdersTable[[#This Row],[Discount_Clean2]]</f>
        <v>418.95</v>
      </c>
      <c r="U422" s="5">
        <f>OrdersTable[[#This Row],[Gross Sale]]-OrdersTable[[#This Row],[Discount Amount]]</f>
        <v>778.05</v>
      </c>
      <c r="V422" s="77">
        <f>INDEX(Products!E:E,MATCH(OrdersTable[[#This Row],[Product ID]],Products!A:A,0))</f>
        <v>128</v>
      </c>
      <c r="W422" s="77">
        <f>OrdersTable[[#This Row],[Quantity]]*OrdersTable[[#This Row],[Unit Cost]]</f>
        <v>384</v>
      </c>
      <c r="X422" s="77">
        <f>'Dropdown Lists'!$I$2*(1+OrdersTable[[#This Row],[Returned]])</f>
        <v>60</v>
      </c>
      <c r="Y422" s="76">
        <f>OrdersTable[[#This Row],[Net Revenue]]-OrdersTable[[#This Row],[COGS]]-OrdersTable[[#This Row],[Shipping Cost]]</f>
        <v>334.04999999999995</v>
      </c>
      <c r="Z422" s="78">
        <f>IFERROR(OrdersTable[[#This Row],[Profit]]/OrdersTable[[#This Row],[Net Revenue]],0)</f>
        <v>0.42934258723732405</v>
      </c>
      <c r="AA422" t="s">
        <v>18</v>
      </c>
      <c r="AB422" s="79">
        <v>45385</v>
      </c>
      <c r="AC422">
        <f>OrdersTable[[#This Row],[Delivery Date]]-OrdersTable[[#This Row],[Order Date]]</f>
        <v>4</v>
      </c>
      <c r="AD422" t="str">
        <f>IF(OrdersTable[[#This Row],[Delivery Days]]&lt;=2, "Express (≤2d)", IF(OrdersTable[[#This Row],[Delivery Days]]&lt;=4, "Standard (3-4d)", "Delayed (5d+)"))</f>
        <v>Standard (3-4d)</v>
      </c>
      <c r="AE422">
        <v>4</v>
      </c>
      <c r="AF422">
        <v>0</v>
      </c>
    </row>
    <row r="423" spans="1:32" ht="15" x14ac:dyDescent="0.35">
      <c r="A423" t="s">
        <v>2237</v>
      </c>
      <c r="B423" s="1">
        <v>45381</v>
      </c>
      <c r="C423">
        <f>YEAR(OrdersTable[[#This Row],[Order Date]])</f>
        <v>2024</v>
      </c>
      <c r="D423" s="2">
        <f>DATE(YEAR(OrdersTable[[#This Row],[Order Date]]),MONTH(OrdersTable[[#This Row],[Order Date]]),1)</f>
        <v>45352</v>
      </c>
      <c r="E423">
        <f>MONTH(OrdersTable[[#This Row],[Order Date]])</f>
        <v>3</v>
      </c>
      <c r="F423" t="s">
        <v>2238</v>
      </c>
      <c r="G423" t="str">
        <f>IF(OrdersTable[[#This Row],[Order Date]]=_xlfn.MINIFS(Order_Date, Customer_ID, OrdersTable[[#This Row],[Customer ID]]), "New", "Repeat")</f>
        <v>New</v>
      </c>
      <c r="H423" t="s">
        <v>128</v>
      </c>
      <c r="I423" t="str">
        <f>INDEX(State!B:B,MATCH(OrdersTable[[#This Row],[State]],State!A:A,0))</f>
        <v>DL</v>
      </c>
      <c r="J423" t="str">
        <f>INDEX(State!C:C,MATCH(OrdersTable[[#This Row],[State Code]],State!B:B,0))</f>
        <v>North</v>
      </c>
      <c r="K423" t="s">
        <v>129</v>
      </c>
      <c r="L423" t="s">
        <v>50</v>
      </c>
      <c r="M423" t="s">
        <v>56</v>
      </c>
      <c r="N423" t="str">
        <f>INDEX(Products!B:B,MATCH(OrdersTable[[#This Row],[Product ID]],Products!A:A,0))</f>
        <v>Vitamin C Face Serum</v>
      </c>
      <c r="O423" t="str">
        <f>INDEX(Products!C:C,MATCH(OrdersTable[[#This Row],[Product ID]],Products!A:A,0))</f>
        <v>Skincare</v>
      </c>
      <c r="P423">
        <v>1</v>
      </c>
      <c r="Q423" s="5">
        <v>599</v>
      </c>
      <c r="R423" s="74">
        <v>0.15</v>
      </c>
      <c r="S423" s="75">
        <f>OrdersTable[[#This Row],[Quantity]]*OrdersTable[[#This Row],[Unit Price]]</f>
        <v>599</v>
      </c>
      <c r="T423" s="5">
        <f>OrdersTable[[#This Row],[Gross Sale]]*OrdersTable[[#This Row],[Discount_Clean2]]</f>
        <v>89.85</v>
      </c>
      <c r="U423" s="5">
        <f>OrdersTable[[#This Row],[Gross Sale]]-OrdersTable[[#This Row],[Discount Amount]]</f>
        <v>509.15</v>
      </c>
      <c r="V423" s="77">
        <f>INDEX(Products!E:E,MATCH(OrdersTable[[#This Row],[Product ID]],Products!A:A,0))</f>
        <v>180</v>
      </c>
      <c r="W423" s="77">
        <f>OrdersTable[[#This Row],[Quantity]]*OrdersTable[[#This Row],[Unit Cost]]</f>
        <v>180</v>
      </c>
      <c r="X423" s="77">
        <f>'Dropdown Lists'!$I$2*(1+OrdersTable[[#This Row],[Returned]])</f>
        <v>60</v>
      </c>
      <c r="Y423" s="76">
        <f>OrdersTable[[#This Row],[Net Revenue]]-OrdersTable[[#This Row],[COGS]]-OrdersTable[[#This Row],[Shipping Cost]]</f>
        <v>269.14999999999998</v>
      </c>
      <c r="Z423" s="78">
        <f>IFERROR(OrdersTable[[#This Row],[Profit]]/OrdersTable[[#This Row],[Net Revenue]],0)</f>
        <v>0.52862614160856325</v>
      </c>
      <c r="AA423" t="s">
        <v>18</v>
      </c>
      <c r="AB423" s="79">
        <v>45383</v>
      </c>
      <c r="AC423">
        <f>OrdersTable[[#This Row],[Delivery Date]]-OrdersTable[[#This Row],[Order Date]]</f>
        <v>2</v>
      </c>
      <c r="AD423" t="str">
        <f>IF(OrdersTable[[#This Row],[Delivery Days]]&lt;=2, "Express (≤2d)", IF(OrdersTable[[#This Row],[Delivery Days]]&lt;=4, "Standard (3-4d)", "Delayed (5d+)"))</f>
        <v>Express (≤2d)</v>
      </c>
      <c r="AE423">
        <v>5</v>
      </c>
      <c r="AF423">
        <v>0</v>
      </c>
    </row>
    <row r="424" spans="1:32" ht="15" x14ac:dyDescent="0.35">
      <c r="A424" t="s">
        <v>3158</v>
      </c>
      <c r="B424" s="1">
        <v>45381</v>
      </c>
      <c r="C424">
        <f>YEAR(OrdersTable[[#This Row],[Order Date]])</f>
        <v>2024</v>
      </c>
      <c r="D424" s="2">
        <f>DATE(YEAR(OrdersTable[[#This Row],[Order Date]]),MONTH(OrdersTable[[#This Row],[Order Date]]),1)</f>
        <v>45352</v>
      </c>
      <c r="E424">
        <f>MONTH(OrdersTable[[#This Row],[Order Date]])</f>
        <v>3</v>
      </c>
      <c r="F424" t="s">
        <v>3159</v>
      </c>
      <c r="G424" t="str">
        <f>IF(OrdersTable[[#This Row],[Order Date]]=_xlfn.MINIFS(Order_Date, Customer_ID, OrdersTable[[#This Row],[Customer ID]]), "New", "Repeat")</f>
        <v>New</v>
      </c>
      <c r="H424" t="s">
        <v>76</v>
      </c>
      <c r="I424" t="str">
        <f>INDEX(State!B:B,MATCH(OrdersTable[[#This Row],[State]],State!A:A,0))</f>
        <v>UP</v>
      </c>
      <c r="J424" t="str">
        <f>INDEX(State!C:C,MATCH(OrdersTable[[#This Row],[State Code]],State!B:B,0))</f>
        <v>North</v>
      </c>
      <c r="K424" t="s">
        <v>118</v>
      </c>
      <c r="L424" t="s">
        <v>23</v>
      </c>
      <c r="M424" t="s">
        <v>34</v>
      </c>
      <c r="N424" t="str">
        <f>INDEX(Products!B:B,MATCH(OrdersTable[[#This Row],[Product ID]],Products!A:A,0))</f>
        <v>Flip Flops</v>
      </c>
      <c r="O424" t="str">
        <f>INDEX(Products!C:C,MATCH(OrdersTable[[#This Row],[Product ID]],Products!A:A,0))</f>
        <v>Footwear</v>
      </c>
      <c r="P424">
        <v>1</v>
      </c>
      <c r="Q424" s="5">
        <v>399</v>
      </c>
      <c r="R424" s="74">
        <v>0.2</v>
      </c>
      <c r="S424" s="75">
        <f>OrdersTable[[#This Row],[Quantity]]*OrdersTable[[#This Row],[Unit Price]]</f>
        <v>399</v>
      </c>
      <c r="T424" s="5">
        <f>OrdersTable[[#This Row],[Gross Sale]]*OrdersTable[[#This Row],[Discount_Clean2]]</f>
        <v>79.800000000000011</v>
      </c>
      <c r="U424" s="5">
        <f>OrdersTable[[#This Row],[Gross Sale]]-OrdersTable[[#This Row],[Discount Amount]]</f>
        <v>319.2</v>
      </c>
      <c r="V424" s="77">
        <f>INDEX(Products!E:E,MATCH(OrdersTable[[#This Row],[Product ID]],Products!A:A,0))</f>
        <v>152</v>
      </c>
      <c r="W424" s="77">
        <f>OrdersTable[[#This Row],[Quantity]]*OrdersTable[[#This Row],[Unit Cost]]</f>
        <v>152</v>
      </c>
      <c r="X424" s="77">
        <f>'Dropdown Lists'!$I$2*(1+OrdersTable[[#This Row],[Returned]])</f>
        <v>120</v>
      </c>
      <c r="Y424" s="76">
        <f>OrdersTable[[#This Row],[Net Revenue]]-OrdersTable[[#This Row],[COGS]]-OrdersTable[[#This Row],[Shipping Cost]]</f>
        <v>47.199999999999989</v>
      </c>
      <c r="Z424" s="78">
        <f>IFERROR(OrdersTable[[#This Row],[Profit]]/OrdersTable[[#This Row],[Net Revenue]],0)</f>
        <v>0.14786967418546362</v>
      </c>
      <c r="AA424" t="s">
        <v>2522</v>
      </c>
      <c r="AB424" s="79">
        <v>45383</v>
      </c>
      <c r="AC424">
        <f>OrdersTable[[#This Row],[Delivery Date]]-OrdersTable[[#This Row],[Order Date]]</f>
        <v>2</v>
      </c>
      <c r="AD424" t="str">
        <f>IF(OrdersTable[[#This Row],[Delivery Days]]&lt;=2, "Express (≤2d)", IF(OrdersTable[[#This Row],[Delivery Days]]&lt;=4, "Standard (3-4d)", "Delayed (5d+)"))</f>
        <v>Express (≤2d)</v>
      </c>
      <c r="AE424">
        <v>4</v>
      </c>
      <c r="AF424">
        <v>1</v>
      </c>
    </row>
    <row r="425" spans="1:32" ht="15" x14ac:dyDescent="0.35">
      <c r="A425" t="s">
        <v>5078</v>
      </c>
      <c r="B425" s="1">
        <v>45381</v>
      </c>
      <c r="C425">
        <f>YEAR(OrdersTable[[#This Row],[Order Date]])</f>
        <v>2024</v>
      </c>
      <c r="D425" s="2">
        <f>DATE(YEAR(OrdersTable[[#This Row],[Order Date]]),MONTH(OrdersTable[[#This Row],[Order Date]]),1)</f>
        <v>45352</v>
      </c>
      <c r="E425">
        <f>MONTH(OrdersTable[[#This Row],[Order Date]])</f>
        <v>3</v>
      </c>
      <c r="F425" t="s">
        <v>5079</v>
      </c>
      <c r="G425" t="str">
        <f>IF(OrdersTable[[#This Row],[Order Date]]=_xlfn.MINIFS(Order_Date, Customer_ID, OrdersTable[[#This Row],[Customer ID]]), "New", "Repeat")</f>
        <v>Repeat</v>
      </c>
      <c r="H425" t="s">
        <v>167</v>
      </c>
      <c r="I425" t="str">
        <f>INDEX(State!B:B,MATCH(OrdersTable[[#This Row],[State]],State!A:A,0))</f>
        <v>KA</v>
      </c>
      <c r="J425" t="str">
        <f>INDEX(State!C:C,MATCH(OrdersTable[[#This Row],[State Code]],State!B:B,0))</f>
        <v>South</v>
      </c>
      <c r="K425" t="s">
        <v>190</v>
      </c>
      <c r="L425" t="s">
        <v>65</v>
      </c>
      <c r="M425" t="s">
        <v>40</v>
      </c>
      <c r="N425" t="str">
        <f>INDEX(Products!B:B,MATCH(OrdersTable[[#This Row],[Product ID]],Products!A:A,0))</f>
        <v>Ashwagandha Capsules</v>
      </c>
      <c r="O425" t="str">
        <f>INDEX(Products!C:C,MATCH(OrdersTable[[#This Row],[Product ID]],Products!A:A,0))</f>
        <v>Wellness</v>
      </c>
      <c r="P425">
        <v>2</v>
      </c>
      <c r="Q425" s="5">
        <v>499</v>
      </c>
      <c r="R425" s="74">
        <v>0.05</v>
      </c>
      <c r="S425" s="75">
        <f>OrdersTable[[#This Row],[Quantity]]*OrdersTable[[#This Row],[Unit Price]]</f>
        <v>998</v>
      </c>
      <c r="T425" s="5">
        <f>OrdersTable[[#This Row],[Gross Sale]]*OrdersTable[[#This Row],[Discount_Clean2]]</f>
        <v>49.900000000000006</v>
      </c>
      <c r="U425" s="5">
        <f>OrdersTable[[#This Row],[Gross Sale]]-OrdersTable[[#This Row],[Discount Amount]]</f>
        <v>948.1</v>
      </c>
      <c r="V425" s="77">
        <f>INDEX(Products!E:E,MATCH(OrdersTable[[#This Row],[Product ID]],Products!A:A,0))</f>
        <v>150</v>
      </c>
      <c r="W425" s="77">
        <f>OrdersTable[[#This Row],[Quantity]]*OrdersTable[[#This Row],[Unit Cost]]</f>
        <v>300</v>
      </c>
      <c r="X425" s="77">
        <f>'Dropdown Lists'!$I$2*(1+OrdersTable[[#This Row],[Returned]])</f>
        <v>60</v>
      </c>
      <c r="Y425" s="76">
        <f>OrdersTable[[#This Row],[Net Revenue]]-OrdersTable[[#This Row],[COGS]]-OrdersTable[[#This Row],[Shipping Cost]]</f>
        <v>588.1</v>
      </c>
      <c r="Z425" s="78">
        <f>IFERROR(OrdersTable[[#This Row],[Profit]]/OrdersTable[[#This Row],[Net Revenue]],0)</f>
        <v>0.62029321801497728</v>
      </c>
      <c r="AA425" t="s">
        <v>3495</v>
      </c>
      <c r="AB425" s="79">
        <v>45384</v>
      </c>
      <c r="AC425">
        <f>OrdersTable[[#This Row],[Delivery Date]]-OrdersTable[[#This Row],[Order Date]]</f>
        <v>3</v>
      </c>
      <c r="AD425" t="str">
        <f>IF(OrdersTable[[#This Row],[Delivery Days]]&lt;=2, "Express (≤2d)", IF(OrdersTable[[#This Row],[Delivery Days]]&lt;=4, "Standard (3-4d)", "Delayed (5d+)"))</f>
        <v>Standard (3-4d)</v>
      </c>
      <c r="AE425">
        <v>5</v>
      </c>
      <c r="AF425">
        <v>0</v>
      </c>
    </row>
    <row r="426" spans="1:32" ht="15" x14ac:dyDescent="0.35">
      <c r="A426" t="s">
        <v>3710</v>
      </c>
      <c r="B426" s="1">
        <v>45382</v>
      </c>
      <c r="C426">
        <f>YEAR(OrdersTable[[#This Row],[Order Date]])</f>
        <v>2024</v>
      </c>
      <c r="D426" s="2">
        <f>DATE(YEAR(OrdersTable[[#This Row],[Order Date]]),MONTH(OrdersTable[[#This Row],[Order Date]]),1)</f>
        <v>45352</v>
      </c>
      <c r="E426">
        <f>MONTH(OrdersTable[[#This Row],[Order Date]])</f>
        <v>3</v>
      </c>
      <c r="F426" t="s">
        <v>309</v>
      </c>
      <c r="G426" t="str">
        <f>IF(OrdersTable[[#This Row],[Order Date]]=_xlfn.MINIFS(Order_Date, Customer_ID, OrdersTable[[#This Row],[Customer ID]]), "New", "Repeat")</f>
        <v>New</v>
      </c>
      <c r="H426" t="s">
        <v>54</v>
      </c>
      <c r="I426" t="str">
        <f>INDEX(State!B:B,MATCH(OrdersTable[[#This Row],[State]],State!A:A,0))</f>
        <v>RJ</v>
      </c>
      <c r="J426" t="str">
        <f>INDEX(State!C:C,MATCH(OrdersTable[[#This Row],[State Code]],State!B:B,0))</f>
        <v>North</v>
      </c>
      <c r="K426" t="s">
        <v>55</v>
      </c>
      <c r="L426" t="s">
        <v>23</v>
      </c>
      <c r="M426" t="s">
        <v>24</v>
      </c>
      <c r="N426" t="str">
        <f>INDEX(Products!B:B,MATCH(OrdersTable[[#This Row],[Product ID]],Products!A:A,0))</f>
        <v>Scented Candle Set</v>
      </c>
      <c r="O426" t="str">
        <f>INDEX(Products!C:C,MATCH(OrdersTable[[#This Row],[Product ID]],Products!A:A,0))</f>
        <v>Home &amp; Kitchen</v>
      </c>
      <c r="P426">
        <v>1</v>
      </c>
      <c r="Q426" s="5">
        <v>699</v>
      </c>
      <c r="R426" s="74">
        <v>0.25</v>
      </c>
      <c r="S426" s="75">
        <f>OrdersTable[[#This Row],[Quantity]]*OrdersTable[[#This Row],[Unit Price]]</f>
        <v>699</v>
      </c>
      <c r="T426" s="5">
        <f>OrdersTable[[#This Row],[Gross Sale]]*OrdersTable[[#This Row],[Discount_Clean2]]</f>
        <v>174.75</v>
      </c>
      <c r="U426" s="5">
        <f>OrdersTable[[#This Row],[Gross Sale]]-OrdersTable[[#This Row],[Discount Amount]]</f>
        <v>524.25</v>
      </c>
      <c r="V426" s="77">
        <f>INDEX(Products!E:E,MATCH(OrdersTable[[#This Row],[Product ID]],Products!A:A,0))</f>
        <v>245</v>
      </c>
      <c r="W426" s="77">
        <f>OrdersTable[[#This Row],[Quantity]]*OrdersTable[[#This Row],[Unit Cost]]</f>
        <v>245</v>
      </c>
      <c r="X426" s="77">
        <f>'Dropdown Lists'!$I$2*(1+OrdersTable[[#This Row],[Returned]])</f>
        <v>120</v>
      </c>
      <c r="Y426" s="76">
        <f>OrdersTable[[#This Row],[Net Revenue]]-OrdersTable[[#This Row],[COGS]]-OrdersTable[[#This Row],[Shipping Cost]]</f>
        <v>159.25</v>
      </c>
      <c r="Z426" s="78">
        <f>IFERROR(OrdersTable[[#This Row],[Profit]]/OrdersTable[[#This Row],[Net Revenue]],0)</f>
        <v>0.30376728659990465</v>
      </c>
      <c r="AA426" t="s">
        <v>3495</v>
      </c>
      <c r="AB426" s="79">
        <v>45384</v>
      </c>
      <c r="AC426">
        <f>OrdersTable[[#This Row],[Delivery Date]]-OrdersTable[[#This Row],[Order Date]]</f>
        <v>2</v>
      </c>
      <c r="AD426" t="str">
        <f>IF(OrdersTable[[#This Row],[Delivery Days]]&lt;=2, "Express (≤2d)", IF(OrdersTable[[#This Row],[Delivery Days]]&lt;=4, "Standard (3-4d)", "Delayed (5d+)"))</f>
        <v>Express (≤2d)</v>
      </c>
      <c r="AF426">
        <v>1</v>
      </c>
    </row>
    <row r="427" spans="1:32" ht="15" x14ac:dyDescent="0.35">
      <c r="A427" t="s">
        <v>6479</v>
      </c>
      <c r="B427" s="1">
        <v>45382</v>
      </c>
      <c r="C427">
        <f>YEAR(OrdersTable[[#This Row],[Order Date]])</f>
        <v>2024</v>
      </c>
      <c r="D427" s="2">
        <f>DATE(YEAR(OrdersTable[[#This Row],[Order Date]]),MONTH(OrdersTable[[#This Row],[Order Date]]),1)</f>
        <v>45352</v>
      </c>
      <c r="E427">
        <f>MONTH(OrdersTable[[#This Row],[Order Date]])</f>
        <v>3</v>
      </c>
      <c r="F427" t="s">
        <v>2891</v>
      </c>
      <c r="G427" t="str">
        <f>IF(OrdersTable[[#This Row],[Order Date]]=_xlfn.MINIFS(Order_Date, Customer_ID, OrdersTable[[#This Row],[Customer ID]]), "New", "Repeat")</f>
        <v>New</v>
      </c>
      <c r="H427" t="s">
        <v>132</v>
      </c>
      <c r="I427" t="str">
        <f>INDEX(State!B:B,MATCH(OrdersTable[[#This Row],[State]],State!A:A,0))</f>
        <v>AS</v>
      </c>
      <c r="J427" t="str">
        <f>INDEX(State!C:C,MATCH(OrdersTable[[#This Row],[State Code]],State!B:B,0))</f>
        <v>East</v>
      </c>
      <c r="K427" t="s">
        <v>133</v>
      </c>
      <c r="L427" t="s">
        <v>23</v>
      </c>
      <c r="M427" t="s">
        <v>565</v>
      </c>
      <c r="N427" t="str">
        <f>INDEX(Products!B:B,MATCH(OrdersTable[[#This Row],[Product ID]],Products!A:A,0))</f>
        <v>Ceramic Dinner Set</v>
      </c>
      <c r="O427" t="str">
        <f>INDEX(Products!C:C,MATCH(OrdersTable[[#This Row],[Product ID]],Products!A:A,0))</f>
        <v>Home &amp; Kitchen</v>
      </c>
      <c r="P427">
        <v>3</v>
      </c>
      <c r="Q427" s="5">
        <v>2499</v>
      </c>
      <c r="R427" s="74">
        <v>0.4</v>
      </c>
      <c r="S427" s="75">
        <f>OrdersTable[[#This Row],[Quantity]]*OrdersTable[[#This Row],[Unit Price]]</f>
        <v>7497</v>
      </c>
      <c r="T427" s="5">
        <f>OrdersTable[[#This Row],[Gross Sale]]*OrdersTable[[#This Row],[Discount_Clean2]]</f>
        <v>2998.8</v>
      </c>
      <c r="U427" s="5">
        <f>OrdersTable[[#This Row],[Gross Sale]]-OrdersTable[[#This Row],[Discount Amount]]</f>
        <v>4498.2</v>
      </c>
      <c r="V427" s="77">
        <f>INDEX(Products!E:E,MATCH(OrdersTable[[#This Row],[Product ID]],Products!A:A,0))</f>
        <v>1250</v>
      </c>
      <c r="W427" s="77">
        <f>OrdersTable[[#This Row],[Quantity]]*OrdersTable[[#This Row],[Unit Cost]]</f>
        <v>3750</v>
      </c>
      <c r="X427" s="77">
        <f>'Dropdown Lists'!$I$2*(1+OrdersTable[[#This Row],[Returned]])</f>
        <v>60</v>
      </c>
      <c r="Y427" s="76">
        <f>OrdersTable[[#This Row],[Net Revenue]]-OrdersTable[[#This Row],[COGS]]-OrdersTable[[#This Row],[Shipping Cost]]</f>
        <v>688.19999999999982</v>
      </c>
      <c r="Z427" s="78">
        <f>IFERROR(OrdersTable[[#This Row],[Profit]]/OrdersTable[[#This Row],[Net Revenue]],0)</f>
        <v>0.15299453114579162</v>
      </c>
      <c r="AA427" t="s">
        <v>18</v>
      </c>
      <c r="AB427" s="79">
        <v>45386</v>
      </c>
      <c r="AC427">
        <f>OrdersTable[[#This Row],[Delivery Date]]-OrdersTable[[#This Row],[Order Date]]</f>
        <v>4</v>
      </c>
      <c r="AD427" t="str">
        <f>IF(OrdersTable[[#This Row],[Delivery Days]]&lt;=2, "Express (≤2d)", IF(OrdersTable[[#This Row],[Delivery Days]]&lt;=4, "Standard (3-4d)", "Delayed (5d+)"))</f>
        <v>Standard (3-4d)</v>
      </c>
      <c r="AE427">
        <v>3</v>
      </c>
      <c r="AF427">
        <v>0</v>
      </c>
    </row>
    <row r="428" spans="1:32" ht="15" x14ac:dyDescent="0.35">
      <c r="A428" t="s">
        <v>1043</v>
      </c>
      <c r="B428" s="1">
        <v>45382</v>
      </c>
      <c r="C428">
        <f>YEAR(OrdersTable[[#This Row],[Order Date]])</f>
        <v>2024</v>
      </c>
      <c r="D428" s="2">
        <f>DATE(YEAR(OrdersTable[[#This Row],[Order Date]]),MONTH(OrdersTable[[#This Row],[Order Date]]),1)</f>
        <v>45352</v>
      </c>
      <c r="E428">
        <f>MONTH(OrdersTable[[#This Row],[Order Date]])</f>
        <v>3</v>
      </c>
      <c r="F428" t="s">
        <v>1044</v>
      </c>
      <c r="G428" t="str">
        <f>IF(OrdersTable[[#This Row],[Order Date]]=_xlfn.MINIFS(Order_Date, Customer_ID, OrdersTable[[#This Row],[Customer ID]]), "New", "Repeat")</f>
        <v>New</v>
      </c>
      <c r="H428" t="s">
        <v>37</v>
      </c>
      <c r="I428" t="str">
        <f>INDEX(State!B:B,MATCH(OrdersTable[[#This Row],[State]],State!A:A,0))</f>
        <v>GJ</v>
      </c>
      <c r="J428" t="str">
        <f>INDEX(State!C:C,MATCH(OrdersTable[[#This Row],[State Code]],State!B:B,0))</f>
        <v>West</v>
      </c>
      <c r="K428" t="s">
        <v>247</v>
      </c>
      <c r="L428" t="s">
        <v>65</v>
      </c>
      <c r="M428" t="s">
        <v>66</v>
      </c>
      <c r="N428" t="str">
        <f>INDEX(Products!B:B,MATCH(OrdersTable[[#This Row],[Product ID]],Products!A:A,0))</f>
        <v>Sunscreen SPF 50</v>
      </c>
      <c r="O428" t="str">
        <f>INDEX(Products!C:C,MATCH(OrdersTable[[#This Row],[Product ID]],Products!A:A,0))</f>
        <v>Skincare</v>
      </c>
      <c r="P428">
        <v>1</v>
      </c>
      <c r="Q428" s="5">
        <v>449</v>
      </c>
      <c r="R428" s="74">
        <v>0.05</v>
      </c>
      <c r="S428" s="75">
        <f>OrdersTable[[#This Row],[Quantity]]*OrdersTable[[#This Row],[Unit Price]]</f>
        <v>449</v>
      </c>
      <c r="T428" s="5">
        <f>OrdersTable[[#This Row],[Gross Sale]]*OrdersTable[[#This Row],[Discount_Clean2]]</f>
        <v>22.450000000000003</v>
      </c>
      <c r="U428" s="5">
        <f>OrdersTable[[#This Row],[Gross Sale]]-OrdersTable[[#This Row],[Discount Amount]]</f>
        <v>426.55</v>
      </c>
      <c r="V428" s="77">
        <f>INDEX(Products!E:E,MATCH(OrdersTable[[#This Row],[Product ID]],Products!A:A,0))</f>
        <v>144</v>
      </c>
      <c r="W428" s="77">
        <f>OrdersTable[[#This Row],[Quantity]]*OrdersTable[[#This Row],[Unit Cost]]</f>
        <v>144</v>
      </c>
      <c r="X428" s="77">
        <f>'Dropdown Lists'!$I$2*(1+OrdersTable[[#This Row],[Returned]])</f>
        <v>120</v>
      </c>
      <c r="Y428" s="76">
        <f>OrdersTable[[#This Row],[Net Revenue]]-OrdersTable[[#This Row],[COGS]]-OrdersTable[[#This Row],[Shipping Cost]]</f>
        <v>162.55000000000001</v>
      </c>
      <c r="Z428" s="78">
        <f>IFERROR(OrdersTable[[#This Row],[Profit]]/OrdersTable[[#This Row],[Net Revenue]],0)</f>
        <v>0.38108076427148052</v>
      </c>
      <c r="AA428" t="s">
        <v>18</v>
      </c>
      <c r="AB428" s="79">
        <v>45385</v>
      </c>
      <c r="AC428">
        <f>OrdersTable[[#This Row],[Delivery Date]]-OrdersTable[[#This Row],[Order Date]]</f>
        <v>3</v>
      </c>
      <c r="AD428" t="str">
        <f>IF(OrdersTable[[#This Row],[Delivery Days]]&lt;=2, "Express (≤2d)", IF(OrdersTable[[#This Row],[Delivery Days]]&lt;=4, "Standard (3-4d)", "Delayed (5d+)"))</f>
        <v>Standard (3-4d)</v>
      </c>
      <c r="AE428">
        <v>4</v>
      </c>
      <c r="AF428">
        <v>1</v>
      </c>
    </row>
    <row r="429" spans="1:32" ht="15" x14ac:dyDescent="0.35">
      <c r="A429" t="s">
        <v>900</v>
      </c>
      <c r="B429" s="1">
        <v>45382</v>
      </c>
      <c r="C429">
        <f>YEAR(OrdersTable[[#This Row],[Order Date]])</f>
        <v>2024</v>
      </c>
      <c r="D429" s="2">
        <f>DATE(YEAR(OrdersTable[[#This Row],[Order Date]]),MONTH(OrdersTable[[#This Row],[Order Date]]),1)</f>
        <v>45352</v>
      </c>
      <c r="E429">
        <f>MONTH(OrdersTable[[#This Row],[Order Date]])</f>
        <v>3</v>
      </c>
      <c r="F429" t="s">
        <v>901</v>
      </c>
      <c r="G429" t="str">
        <f>IF(OrdersTable[[#This Row],[Order Date]]=_xlfn.MINIFS(Order_Date, Customer_ID, OrdersTable[[#This Row],[Customer ID]]), "New", "Repeat")</f>
        <v>Repeat</v>
      </c>
      <c r="H429" t="s">
        <v>95</v>
      </c>
      <c r="I429" t="str">
        <f>INDEX(State!B:B,MATCH(OrdersTable[[#This Row],[State]],State!A:A,0))</f>
        <v>TG</v>
      </c>
      <c r="J429" t="str">
        <f>INDEX(State!C:C,MATCH(OrdersTable[[#This Row],[State Code]],State!B:B,0))</f>
        <v>South</v>
      </c>
      <c r="K429" t="s">
        <v>96</v>
      </c>
      <c r="L429" t="s">
        <v>65</v>
      </c>
      <c r="M429" t="s">
        <v>176</v>
      </c>
      <c r="N429" t="str">
        <f>INDEX(Products!B:B,MATCH(OrdersTable[[#This Row],[Product ID]],Products!A:A,0))</f>
        <v>Denim Jacket</v>
      </c>
      <c r="O429" t="str">
        <f>INDEX(Products!C:C,MATCH(OrdersTable[[#This Row],[Product ID]],Products!A:A,0))</f>
        <v>Apparel</v>
      </c>
      <c r="P429">
        <v>1</v>
      </c>
      <c r="Q429" s="5">
        <v>2499</v>
      </c>
      <c r="R429" s="74">
        <v>0</v>
      </c>
      <c r="S429" s="75">
        <f>OrdersTable[[#This Row],[Quantity]]*OrdersTable[[#This Row],[Unit Price]]</f>
        <v>2499</v>
      </c>
      <c r="T429" s="5">
        <f>OrdersTable[[#This Row],[Gross Sale]]*OrdersTable[[#This Row],[Discount_Clean2]]</f>
        <v>0</v>
      </c>
      <c r="U429" s="5">
        <f>OrdersTable[[#This Row],[Gross Sale]]-OrdersTable[[#This Row],[Discount Amount]]</f>
        <v>2499</v>
      </c>
      <c r="V429" s="77">
        <f>INDEX(Products!E:E,MATCH(OrdersTable[[#This Row],[Product ID]],Products!A:A,0))</f>
        <v>1125</v>
      </c>
      <c r="W429" s="77">
        <f>OrdersTable[[#This Row],[Quantity]]*OrdersTable[[#This Row],[Unit Cost]]</f>
        <v>1125</v>
      </c>
      <c r="X429" s="77">
        <f>'Dropdown Lists'!$I$2*(1+OrdersTable[[#This Row],[Returned]])</f>
        <v>60</v>
      </c>
      <c r="Y429" s="76">
        <f>OrdersTable[[#This Row],[Net Revenue]]-OrdersTable[[#This Row],[COGS]]-OrdersTable[[#This Row],[Shipping Cost]]</f>
        <v>1314</v>
      </c>
      <c r="Z429" s="78">
        <f>IFERROR(OrdersTable[[#This Row],[Profit]]/OrdersTable[[#This Row],[Net Revenue]],0)</f>
        <v>0.5258103241296519</v>
      </c>
      <c r="AA429" t="s">
        <v>18</v>
      </c>
      <c r="AB429" s="79">
        <v>45385</v>
      </c>
      <c r="AC429">
        <f>OrdersTable[[#This Row],[Delivery Date]]-OrdersTable[[#This Row],[Order Date]]</f>
        <v>3</v>
      </c>
      <c r="AD429" t="str">
        <f>IF(OrdersTable[[#This Row],[Delivery Days]]&lt;=2, "Express (≤2d)", IF(OrdersTable[[#This Row],[Delivery Days]]&lt;=4, "Standard (3-4d)", "Delayed (5d+)"))</f>
        <v>Standard (3-4d)</v>
      </c>
      <c r="AE429">
        <v>4</v>
      </c>
      <c r="AF429">
        <v>0</v>
      </c>
    </row>
    <row r="430" spans="1:32" ht="15" x14ac:dyDescent="0.35">
      <c r="A430" t="s">
        <v>5080</v>
      </c>
      <c r="B430" s="1">
        <v>45382</v>
      </c>
      <c r="C430">
        <f>YEAR(OrdersTable[[#This Row],[Order Date]])</f>
        <v>2024</v>
      </c>
      <c r="D430" s="2">
        <f>DATE(YEAR(OrdersTable[[#This Row],[Order Date]]),MONTH(OrdersTable[[#This Row],[Order Date]]),1)</f>
        <v>45352</v>
      </c>
      <c r="E430">
        <f>MONTH(OrdersTable[[#This Row],[Order Date]])</f>
        <v>3</v>
      </c>
      <c r="F430" t="s">
        <v>1073</v>
      </c>
      <c r="G430" t="str">
        <f>IF(OrdersTable[[#This Row],[Order Date]]=_xlfn.MINIFS(Order_Date, Customer_ID, OrdersTable[[#This Row],[Customer ID]]), "New", "Repeat")</f>
        <v>New</v>
      </c>
      <c r="H430" t="s">
        <v>90</v>
      </c>
      <c r="I430" t="str">
        <f>INDEX(State!B:B,MATCH(OrdersTable[[#This Row],[State]],State!A:A,0))</f>
        <v>GA</v>
      </c>
      <c r="J430" t="str">
        <f>INDEX(State!C:C,MATCH(OrdersTable[[#This Row],[State Code]],State!B:B,0))</f>
        <v>West</v>
      </c>
      <c r="K430" t="s">
        <v>91</v>
      </c>
      <c r="L430" t="s">
        <v>50</v>
      </c>
      <c r="M430" t="s">
        <v>56</v>
      </c>
      <c r="N430" t="str">
        <f>INDEX(Products!B:B,MATCH(OrdersTable[[#This Row],[Product ID]],Products!A:A,0))</f>
        <v>Vitamin C Face Serum</v>
      </c>
      <c r="O430" t="str">
        <f>INDEX(Products!C:C,MATCH(OrdersTable[[#This Row],[Product ID]],Products!A:A,0))</f>
        <v>Skincare</v>
      </c>
      <c r="P430">
        <v>2</v>
      </c>
      <c r="Q430" s="5">
        <v>599</v>
      </c>
      <c r="R430" s="74">
        <v>0.1</v>
      </c>
      <c r="S430" s="75">
        <f>OrdersTable[[#This Row],[Quantity]]*OrdersTable[[#This Row],[Unit Price]]</f>
        <v>1198</v>
      </c>
      <c r="T430" s="5">
        <f>OrdersTable[[#This Row],[Gross Sale]]*OrdersTable[[#This Row],[Discount_Clean2]]</f>
        <v>119.80000000000001</v>
      </c>
      <c r="U430" s="5">
        <f>OrdersTable[[#This Row],[Gross Sale]]-OrdersTable[[#This Row],[Discount Amount]]</f>
        <v>1078.2</v>
      </c>
      <c r="V430" s="77">
        <f>INDEX(Products!E:E,MATCH(OrdersTable[[#This Row],[Product ID]],Products!A:A,0))</f>
        <v>180</v>
      </c>
      <c r="W430" s="77">
        <f>OrdersTable[[#This Row],[Quantity]]*OrdersTable[[#This Row],[Unit Cost]]</f>
        <v>360</v>
      </c>
      <c r="X430" s="77">
        <f>'Dropdown Lists'!$I$2*(1+OrdersTable[[#This Row],[Returned]])</f>
        <v>60</v>
      </c>
      <c r="Y430" s="76">
        <f>OrdersTable[[#This Row],[Net Revenue]]-OrdersTable[[#This Row],[COGS]]-OrdersTable[[#This Row],[Shipping Cost]]</f>
        <v>658.2</v>
      </c>
      <c r="Z430" s="78">
        <f>IFERROR(OrdersTable[[#This Row],[Profit]]/OrdersTable[[#This Row],[Net Revenue]],0)</f>
        <v>0.6104618809126322</v>
      </c>
      <c r="AA430" t="s">
        <v>3495</v>
      </c>
      <c r="AB430" s="79">
        <v>45387</v>
      </c>
      <c r="AC430">
        <f>OrdersTable[[#This Row],[Delivery Date]]-OrdersTable[[#This Row],[Order Date]]</f>
        <v>5</v>
      </c>
      <c r="AD430" t="str">
        <f>IF(OrdersTable[[#This Row],[Delivery Days]]&lt;=2, "Express (≤2d)", IF(OrdersTable[[#This Row],[Delivery Days]]&lt;=4, "Standard (3-4d)", "Delayed (5d+)"))</f>
        <v>Delayed (5d+)</v>
      </c>
      <c r="AE430">
        <v>5</v>
      </c>
      <c r="AF430">
        <v>0</v>
      </c>
    </row>
    <row r="431" spans="1:32" ht="15" x14ac:dyDescent="0.35">
      <c r="A431" t="s">
        <v>4754</v>
      </c>
      <c r="B431" s="1">
        <v>45383</v>
      </c>
      <c r="C431">
        <f>YEAR(OrdersTable[[#This Row],[Order Date]])</f>
        <v>2024</v>
      </c>
      <c r="D431" s="2">
        <f>DATE(YEAR(OrdersTable[[#This Row],[Order Date]]),MONTH(OrdersTable[[#This Row],[Order Date]]),1)</f>
        <v>45383</v>
      </c>
      <c r="E431">
        <f>MONTH(OrdersTable[[#This Row],[Order Date]])</f>
        <v>4</v>
      </c>
      <c r="F431" t="s">
        <v>1878</v>
      </c>
      <c r="G431" t="str">
        <f>IF(OrdersTable[[#This Row],[Order Date]]=_xlfn.MINIFS(Order_Date, Customer_ID, OrdersTable[[#This Row],[Customer ID]]), "New", "Repeat")</f>
        <v>New</v>
      </c>
      <c r="H431" t="s">
        <v>76</v>
      </c>
      <c r="I431" t="str">
        <f>INDEX(State!B:B,MATCH(OrdersTable[[#This Row],[State]],State!A:A,0))</f>
        <v>UP</v>
      </c>
      <c r="J431" t="str">
        <f>INDEX(State!C:C,MATCH(OrdersTable[[#This Row],[State Code]],State!B:B,0))</f>
        <v>North</v>
      </c>
      <c r="K431" t="s">
        <v>105</v>
      </c>
      <c r="L431" t="s">
        <v>23</v>
      </c>
      <c r="M431" t="s">
        <v>160</v>
      </c>
      <c r="N431" t="str">
        <f>INDEX(Products!B:B,MATCH(OrdersTable[[#This Row],[Product ID]],Products!A:A,0))</f>
        <v>Niacinamide Toner</v>
      </c>
      <c r="O431" t="str">
        <f>INDEX(Products!C:C,MATCH(OrdersTable[[#This Row],[Product ID]],Products!A:A,0))</f>
        <v>Skincare</v>
      </c>
      <c r="P431">
        <v>2</v>
      </c>
      <c r="Q431" s="5">
        <v>399</v>
      </c>
      <c r="R431" s="74">
        <v>0.2</v>
      </c>
      <c r="S431" s="75">
        <f>OrdersTable[[#This Row],[Quantity]]*OrdersTable[[#This Row],[Unit Price]]</f>
        <v>798</v>
      </c>
      <c r="T431" s="5">
        <f>OrdersTable[[#This Row],[Gross Sale]]*OrdersTable[[#This Row],[Discount_Clean2]]</f>
        <v>159.60000000000002</v>
      </c>
      <c r="U431" s="5">
        <f>OrdersTable[[#This Row],[Gross Sale]]-OrdersTable[[#This Row],[Discount Amount]]</f>
        <v>638.4</v>
      </c>
      <c r="V431" s="77">
        <f>INDEX(Products!E:E,MATCH(OrdersTable[[#This Row],[Product ID]],Products!A:A,0))</f>
        <v>112</v>
      </c>
      <c r="W431" s="77">
        <f>OrdersTable[[#This Row],[Quantity]]*OrdersTable[[#This Row],[Unit Cost]]</f>
        <v>224</v>
      </c>
      <c r="X431" s="77">
        <f>'Dropdown Lists'!$I$2*(1+OrdersTable[[#This Row],[Returned]])</f>
        <v>60</v>
      </c>
      <c r="Y431" s="76">
        <f>OrdersTable[[#This Row],[Net Revenue]]-OrdersTable[[#This Row],[COGS]]-OrdersTable[[#This Row],[Shipping Cost]]</f>
        <v>354.4</v>
      </c>
      <c r="Z431" s="78">
        <f>IFERROR(OrdersTable[[#This Row],[Profit]]/OrdersTable[[#This Row],[Net Revenue]],0)</f>
        <v>0.55513784461152882</v>
      </c>
      <c r="AA431" t="s">
        <v>4450</v>
      </c>
      <c r="AB431" s="79">
        <v>45386</v>
      </c>
      <c r="AC431">
        <f>OrdersTable[[#This Row],[Delivery Date]]-OrdersTable[[#This Row],[Order Date]]</f>
        <v>3</v>
      </c>
      <c r="AD431" t="str">
        <f>IF(OrdersTable[[#This Row],[Delivery Days]]&lt;=2, "Express (≤2d)", IF(OrdersTable[[#This Row],[Delivery Days]]&lt;=4, "Standard (3-4d)", "Delayed (5d+)"))</f>
        <v>Standard (3-4d)</v>
      </c>
      <c r="AF431">
        <v>0</v>
      </c>
    </row>
    <row r="432" spans="1:32" ht="15" x14ac:dyDescent="0.35">
      <c r="A432" t="s">
        <v>449</v>
      </c>
      <c r="B432" s="1">
        <v>45383</v>
      </c>
      <c r="C432">
        <f>YEAR(OrdersTable[[#This Row],[Order Date]])</f>
        <v>2024</v>
      </c>
      <c r="D432" s="2">
        <f>DATE(YEAR(OrdersTable[[#This Row],[Order Date]]),MONTH(OrdersTable[[#This Row],[Order Date]]),1)</f>
        <v>45383</v>
      </c>
      <c r="E432">
        <f>MONTH(OrdersTable[[#This Row],[Order Date]])</f>
        <v>4</v>
      </c>
      <c r="F432" t="s">
        <v>411</v>
      </c>
      <c r="G432" t="str">
        <f>IF(OrdersTable[[#This Row],[Order Date]]=_xlfn.MINIFS(Order_Date, Customer_ID, OrdersTable[[#This Row],[Customer ID]]), "New", "Repeat")</f>
        <v>Repeat</v>
      </c>
      <c r="H432" t="s">
        <v>37</v>
      </c>
      <c r="I432" t="str">
        <f>INDEX(State!B:B,MATCH(OrdersTable[[#This Row],[State]],State!A:A,0))</f>
        <v>GJ</v>
      </c>
      <c r="J432" t="str">
        <f>INDEX(State!C:C,MATCH(OrdersTable[[#This Row],[State Code]],State!B:B,0))</f>
        <v>West</v>
      </c>
      <c r="K432" t="s">
        <v>247</v>
      </c>
      <c r="L432" t="s">
        <v>16</v>
      </c>
      <c r="M432" t="s">
        <v>176</v>
      </c>
      <c r="N432" t="str">
        <f>INDEX(Products!B:B,MATCH(OrdersTable[[#This Row],[Product ID]],Products!A:A,0))</f>
        <v>Denim Jacket</v>
      </c>
      <c r="O432" t="str">
        <f>INDEX(Products!C:C,MATCH(OrdersTable[[#This Row],[Product ID]],Products!A:A,0))</f>
        <v>Apparel</v>
      </c>
      <c r="P432">
        <v>1</v>
      </c>
      <c r="Q432" s="5">
        <v>2499</v>
      </c>
      <c r="R432" s="74">
        <v>0.05</v>
      </c>
      <c r="S432" s="75">
        <f>OrdersTable[[#This Row],[Quantity]]*OrdersTable[[#This Row],[Unit Price]]</f>
        <v>2499</v>
      </c>
      <c r="T432" s="5">
        <f>OrdersTable[[#This Row],[Gross Sale]]*OrdersTable[[#This Row],[Discount_Clean2]]</f>
        <v>124.95</v>
      </c>
      <c r="U432" s="5">
        <f>OrdersTable[[#This Row],[Gross Sale]]-OrdersTable[[#This Row],[Discount Amount]]</f>
        <v>2374.0500000000002</v>
      </c>
      <c r="V432" s="77">
        <f>INDEX(Products!E:E,MATCH(OrdersTable[[#This Row],[Product ID]],Products!A:A,0))</f>
        <v>1125</v>
      </c>
      <c r="W432" s="77">
        <f>OrdersTable[[#This Row],[Quantity]]*OrdersTable[[#This Row],[Unit Cost]]</f>
        <v>1125</v>
      </c>
      <c r="X432" s="77">
        <f>'Dropdown Lists'!$I$2*(1+OrdersTable[[#This Row],[Returned]])</f>
        <v>60</v>
      </c>
      <c r="Y432" s="76">
        <f>OrdersTable[[#This Row],[Net Revenue]]-OrdersTable[[#This Row],[COGS]]-OrdersTable[[#This Row],[Shipping Cost]]</f>
        <v>1189.0500000000002</v>
      </c>
      <c r="Z432" s="78">
        <f>IFERROR(OrdersTable[[#This Row],[Profit]]/OrdersTable[[#This Row],[Net Revenue]],0)</f>
        <v>0.50085297276805463</v>
      </c>
      <c r="AA432" t="s">
        <v>18</v>
      </c>
      <c r="AB432" s="79">
        <v>45386</v>
      </c>
      <c r="AC432">
        <f>OrdersTable[[#This Row],[Delivery Date]]-OrdersTable[[#This Row],[Order Date]]</f>
        <v>3</v>
      </c>
      <c r="AD432" t="str">
        <f>IF(OrdersTable[[#This Row],[Delivery Days]]&lt;=2, "Express (≤2d)", IF(OrdersTable[[#This Row],[Delivery Days]]&lt;=4, "Standard (3-4d)", "Delayed (5d+)"))</f>
        <v>Standard (3-4d)</v>
      </c>
      <c r="AE432">
        <v>4</v>
      </c>
      <c r="AF432">
        <v>0</v>
      </c>
    </row>
    <row r="433" spans="1:32" ht="15" x14ac:dyDescent="0.35">
      <c r="A433" t="s">
        <v>4653</v>
      </c>
      <c r="B433" s="1">
        <v>45383</v>
      </c>
      <c r="C433">
        <f>YEAR(OrdersTable[[#This Row],[Order Date]])</f>
        <v>2024</v>
      </c>
      <c r="D433" s="2">
        <f>DATE(YEAR(OrdersTable[[#This Row],[Order Date]]),MONTH(OrdersTable[[#This Row],[Order Date]]),1)</f>
        <v>45383</v>
      </c>
      <c r="E433">
        <f>MONTH(OrdersTable[[#This Row],[Order Date]])</f>
        <v>4</v>
      </c>
      <c r="F433" t="s">
        <v>4654</v>
      </c>
      <c r="G433" t="str">
        <f>IF(OrdersTable[[#This Row],[Order Date]]=_xlfn.MINIFS(Order_Date, Customer_ID, OrdersTable[[#This Row],[Customer ID]]), "New", "Repeat")</f>
        <v>New</v>
      </c>
      <c r="H433" t="s">
        <v>37</v>
      </c>
      <c r="I433" t="str">
        <f>INDEX(State!B:B,MATCH(OrdersTable[[#This Row],[State]],State!A:A,0))</f>
        <v>GJ</v>
      </c>
      <c r="J433" t="str">
        <f>INDEX(State!C:C,MATCH(OrdersTable[[#This Row],[State Code]],State!B:B,0))</f>
        <v>West</v>
      </c>
      <c r="K433" t="s">
        <v>38</v>
      </c>
      <c r="L433" t="s">
        <v>23</v>
      </c>
      <c r="M433" t="s">
        <v>56</v>
      </c>
      <c r="N433" t="str">
        <f>INDEX(Products!B:B,MATCH(OrdersTable[[#This Row],[Product ID]],Products!A:A,0))</f>
        <v>Vitamin C Face Serum</v>
      </c>
      <c r="O433" t="str">
        <f>INDEX(Products!C:C,MATCH(OrdersTable[[#This Row],[Product ID]],Products!A:A,0))</f>
        <v>Skincare</v>
      </c>
      <c r="P433">
        <v>1</v>
      </c>
      <c r="Q433" s="5">
        <v>599</v>
      </c>
      <c r="R433" s="74">
        <v>0.1</v>
      </c>
      <c r="S433" s="75">
        <f>OrdersTable[[#This Row],[Quantity]]*OrdersTable[[#This Row],[Unit Price]]</f>
        <v>599</v>
      </c>
      <c r="T433" s="5">
        <f>OrdersTable[[#This Row],[Gross Sale]]*OrdersTable[[#This Row],[Discount_Clean2]]</f>
        <v>59.900000000000006</v>
      </c>
      <c r="U433" s="5">
        <f>OrdersTable[[#This Row],[Gross Sale]]-OrdersTable[[#This Row],[Discount Amount]]</f>
        <v>539.1</v>
      </c>
      <c r="V433" s="77">
        <f>INDEX(Products!E:E,MATCH(OrdersTable[[#This Row],[Product ID]],Products!A:A,0))</f>
        <v>180</v>
      </c>
      <c r="W433" s="77">
        <f>OrdersTable[[#This Row],[Quantity]]*OrdersTable[[#This Row],[Unit Cost]]</f>
        <v>180</v>
      </c>
      <c r="X433" s="77">
        <f>'Dropdown Lists'!$I$2*(1+OrdersTable[[#This Row],[Returned]])</f>
        <v>60</v>
      </c>
      <c r="Y433" s="76">
        <f>OrdersTable[[#This Row],[Net Revenue]]-OrdersTable[[#This Row],[COGS]]-OrdersTable[[#This Row],[Shipping Cost]]</f>
        <v>299.10000000000002</v>
      </c>
      <c r="Z433" s="78">
        <f>IFERROR(OrdersTable[[#This Row],[Profit]]/OrdersTable[[#This Row],[Net Revenue]],0)</f>
        <v>0.5548135781858653</v>
      </c>
      <c r="AA433" t="s">
        <v>4450</v>
      </c>
      <c r="AB433" s="79">
        <v>45388</v>
      </c>
      <c r="AC433">
        <f>OrdersTable[[#This Row],[Delivery Date]]-OrdersTable[[#This Row],[Order Date]]</f>
        <v>5</v>
      </c>
      <c r="AD433" t="str">
        <f>IF(OrdersTable[[#This Row],[Delivery Days]]&lt;=2, "Express (≤2d)", IF(OrdersTable[[#This Row],[Delivery Days]]&lt;=4, "Standard (3-4d)", "Delayed (5d+)"))</f>
        <v>Delayed (5d+)</v>
      </c>
      <c r="AE433">
        <v>3</v>
      </c>
      <c r="AF433">
        <v>0</v>
      </c>
    </row>
    <row r="434" spans="1:32" ht="15" x14ac:dyDescent="0.35">
      <c r="A434" t="s">
        <v>6480</v>
      </c>
      <c r="B434" s="1">
        <v>45383</v>
      </c>
      <c r="C434">
        <f>YEAR(OrdersTable[[#This Row],[Order Date]])</f>
        <v>2024</v>
      </c>
      <c r="D434" s="2">
        <f>DATE(YEAR(OrdersTable[[#This Row],[Order Date]]),MONTH(OrdersTable[[#This Row],[Order Date]]),1)</f>
        <v>45383</v>
      </c>
      <c r="E434">
        <f>MONTH(OrdersTable[[#This Row],[Order Date]])</f>
        <v>4</v>
      </c>
      <c r="F434" t="s">
        <v>1682</v>
      </c>
      <c r="G434" t="str">
        <f>IF(OrdersTable[[#This Row],[Order Date]]=_xlfn.MINIFS(Order_Date, Customer_ID, OrdersTable[[#This Row],[Customer ID]]), "New", "Repeat")</f>
        <v>Repeat</v>
      </c>
      <c r="H434" t="s">
        <v>43</v>
      </c>
      <c r="I434" t="str">
        <f>INDEX(State!B:B,MATCH(OrdersTable[[#This Row],[State]],State!A:A,0))</f>
        <v>MP</v>
      </c>
      <c r="J434" t="str">
        <f>INDEX(State!C:C,MATCH(OrdersTable[[#This Row],[State Code]],State!B:B,0))</f>
        <v>West</v>
      </c>
      <c r="K434" t="s">
        <v>44</v>
      </c>
      <c r="L434" t="s">
        <v>16</v>
      </c>
      <c r="M434" t="s">
        <v>576</v>
      </c>
      <c r="N434" t="str">
        <f>INDEX(Products!B:B,MATCH(OrdersTable[[#This Row],[Product ID]],Products!A:A,0))</f>
        <v>Printed Saree</v>
      </c>
      <c r="O434" t="str">
        <f>INDEX(Products!C:C,MATCH(OrdersTable[[#This Row],[Product ID]],Products!A:A,0))</f>
        <v>Apparel</v>
      </c>
      <c r="P434">
        <v>3</v>
      </c>
      <c r="Q434" s="5">
        <v>1999</v>
      </c>
      <c r="R434" s="74">
        <v>0.05</v>
      </c>
      <c r="S434" s="75">
        <f>OrdersTable[[#This Row],[Quantity]]*OrdersTable[[#This Row],[Unit Price]]</f>
        <v>5997</v>
      </c>
      <c r="T434" s="5">
        <f>OrdersTable[[#This Row],[Gross Sale]]*OrdersTable[[#This Row],[Discount_Clean2]]</f>
        <v>299.85000000000002</v>
      </c>
      <c r="U434" s="5">
        <f>OrdersTable[[#This Row],[Gross Sale]]-OrdersTable[[#This Row],[Discount Amount]]</f>
        <v>5697.15</v>
      </c>
      <c r="V434" s="77">
        <f>INDEX(Products!E:E,MATCH(OrdersTable[[#This Row],[Product ID]],Products!A:A,0))</f>
        <v>880</v>
      </c>
      <c r="W434" s="77">
        <f>OrdersTable[[#This Row],[Quantity]]*OrdersTable[[#This Row],[Unit Cost]]</f>
        <v>2640</v>
      </c>
      <c r="X434" s="77">
        <f>'Dropdown Lists'!$I$2*(1+OrdersTable[[#This Row],[Returned]])</f>
        <v>60</v>
      </c>
      <c r="Y434" s="76">
        <f>OrdersTable[[#This Row],[Net Revenue]]-OrdersTable[[#This Row],[COGS]]-OrdersTable[[#This Row],[Shipping Cost]]</f>
        <v>2997.1499999999996</v>
      </c>
      <c r="Z434" s="78">
        <f>IFERROR(OrdersTable[[#This Row],[Profit]]/OrdersTable[[#This Row],[Net Revenue]],0)</f>
        <v>0.52607882888812829</v>
      </c>
      <c r="AA434" t="s">
        <v>18</v>
      </c>
      <c r="AB434" s="79">
        <v>45386</v>
      </c>
      <c r="AC434">
        <f>OrdersTable[[#This Row],[Delivery Date]]-OrdersTable[[#This Row],[Order Date]]</f>
        <v>3</v>
      </c>
      <c r="AD434" t="str">
        <f>IF(OrdersTable[[#This Row],[Delivery Days]]&lt;=2, "Express (≤2d)", IF(OrdersTable[[#This Row],[Delivery Days]]&lt;=4, "Standard (3-4d)", "Delayed (5d+)"))</f>
        <v>Standard (3-4d)</v>
      </c>
      <c r="AF434">
        <v>0</v>
      </c>
    </row>
    <row r="435" spans="1:32" ht="15" x14ac:dyDescent="0.35">
      <c r="A435" t="s">
        <v>5567</v>
      </c>
      <c r="B435" s="1">
        <v>45383</v>
      </c>
      <c r="C435">
        <f>YEAR(OrdersTable[[#This Row],[Order Date]])</f>
        <v>2024</v>
      </c>
      <c r="D435" s="2">
        <f>DATE(YEAR(OrdersTable[[#This Row],[Order Date]]),MONTH(OrdersTable[[#This Row],[Order Date]]),1)</f>
        <v>45383</v>
      </c>
      <c r="E435">
        <f>MONTH(OrdersTable[[#This Row],[Order Date]])</f>
        <v>4</v>
      </c>
      <c r="F435" t="s">
        <v>5568</v>
      </c>
      <c r="G435" t="str">
        <f>IF(OrdersTable[[#This Row],[Order Date]]=_xlfn.MINIFS(Order_Date, Customer_ID, OrdersTable[[#This Row],[Customer ID]]), "New", "Repeat")</f>
        <v>New</v>
      </c>
      <c r="H435" t="s">
        <v>482</v>
      </c>
      <c r="I435" t="str">
        <f>INDEX(State!B:B,MATCH(OrdersTable[[#This Row],[State]],State!A:A,0))</f>
        <v>CG</v>
      </c>
      <c r="J435" t="str">
        <f>INDEX(State!C:C,MATCH(OrdersTable[[#This Row],[State Code]],State!B:B,0))</f>
        <v>East</v>
      </c>
      <c r="K435" t="s">
        <v>483</v>
      </c>
      <c r="L435" t="s">
        <v>16</v>
      </c>
      <c r="M435" t="s">
        <v>34</v>
      </c>
      <c r="N435" t="str">
        <f>INDEX(Products!B:B,MATCH(OrdersTable[[#This Row],[Product ID]],Products!A:A,0))</f>
        <v>Flip Flops</v>
      </c>
      <c r="O435" t="str">
        <f>INDEX(Products!C:C,MATCH(OrdersTable[[#This Row],[Product ID]],Products!A:A,0))</f>
        <v>Footwear</v>
      </c>
      <c r="P435">
        <v>2</v>
      </c>
      <c r="Q435" s="5">
        <v>399</v>
      </c>
      <c r="R435" s="74">
        <v>0.15</v>
      </c>
      <c r="S435" s="75">
        <f>OrdersTable[[#This Row],[Quantity]]*OrdersTable[[#This Row],[Unit Price]]</f>
        <v>798</v>
      </c>
      <c r="T435" s="5">
        <f>OrdersTable[[#This Row],[Gross Sale]]*OrdersTable[[#This Row],[Discount_Clean2]]</f>
        <v>119.69999999999999</v>
      </c>
      <c r="U435" s="5">
        <f>OrdersTable[[#This Row],[Gross Sale]]-OrdersTable[[#This Row],[Discount Amount]]</f>
        <v>678.3</v>
      </c>
      <c r="V435" s="77">
        <f>INDEX(Products!E:E,MATCH(OrdersTable[[#This Row],[Product ID]],Products!A:A,0))</f>
        <v>152</v>
      </c>
      <c r="W435" s="77">
        <f>OrdersTable[[#This Row],[Quantity]]*OrdersTable[[#This Row],[Unit Cost]]</f>
        <v>304</v>
      </c>
      <c r="X435" s="77">
        <f>'Dropdown Lists'!$I$2*(1+OrdersTable[[#This Row],[Returned]])</f>
        <v>60</v>
      </c>
      <c r="Y435" s="76">
        <f>OrdersTable[[#This Row],[Net Revenue]]-OrdersTable[[#This Row],[COGS]]-OrdersTable[[#This Row],[Shipping Cost]]</f>
        <v>314.29999999999995</v>
      </c>
      <c r="Z435" s="78">
        <f>IFERROR(OrdersTable[[#This Row],[Profit]]/OrdersTable[[#This Row],[Net Revenue]],0)</f>
        <v>0.4633642930856553</v>
      </c>
      <c r="AA435" t="s">
        <v>2522</v>
      </c>
      <c r="AB435" s="79">
        <v>45387</v>
      </c>
      <c r="AC435">
        <f>OrdersTable[[#This Row],[Delivery Date]]-OrdersTable[[#This Row],[Order Date]]</f>
        <v>4</v>
      </c>
      <c r="AD435" t="str">
        <f>IF(OrdersTable[[#This Row],[Delivery Days]]&lt;=2, "Express (≤2d)", IF(OrdersTable[[#This Row],[Delivery Days]]&lt;=4, "Standard (3-4d)", "Delayed (5d+)"))</f>
        <v>Standard (3-4d)</v>
      </c>
      <c r="AE435">
        <v>4</v>
      </c>
      <c r="AF435">
        <v>0</v>
      </c>
    </row>
    <row r="436" spans="1:32" ht="15" x14ac:dyDescent="0.35">
      <c r="A436" t="s">
        <v>5309</v>
      </c>
      <c r="B436" s="1">
        <v>45383</v>
      </c>
      <c r="C436">
        <f>YEAR(OrdersTable[[#This Row],[Order Date]])</f>
        <v>2024</v>
      </c>
      <c r="D436" s="2">
        <f>DATE(YEAR(OrdersTable[[#This Row],[Order Date]]),MONTH(OrdersTable[[#This Row],[Order Date]]),1)</f>
        <v>45383</v>
      </c>
      <c r="E436">
        <f>MONTH(OrdersTable[[#This Row],[Order Date]])</f>
        <v>4</v>
      </c>
      <c r="F436" t="s">
        <v>2803</v>
      </c>
      <c r="G436" t="str">
        <f>IF(OrdersTable[[#This Row],[Order Date]]=_xlfn.MINIFS(Order_Date, Customer_ID, OrdersTable[[#This Row],[Customer ID]]), "New", "Repeat")</f>
        <v>New</v>
      </c>
      <c r="H436" t="s">
        <v>316</v>
      </c>
      <c r="I436" t="str">
        <f>INDEX(State!B:B,MATCH(OrdersTable[[#This Row],[State]],State!A:A,0))</f>
        <v>KL</v>
      </c>
      <c r="J436" t="str">
        <f>INDEX(State!C:C,MATCH(OrdersTable[[#This Row],[State Code]],State!B:B,0))</f>
        <v>South</v>
      </c>
      <c r="K436" t="s">
        <v>338</v>
      </c>
      <c r="L436" t="s">
        <v>65</v>
      </c>
      <c r="M436" t="s">
        <v>125</v>
      </c>
      <c r="N436" t="str">
        <f>INDEX(Products!B:B,MATCH(OrdersTable[[#This Row],[Product ID]],Products!A:A,0))</f>
        <v>Copper Water Bottle</v>
      </c>
      <c r="O436" t="str">
        <f>INDEX(Products!C:C,MATCH(OrdersTable[[#This Row],[Product ID]],Products!A:A,0))</f>
        <v>Home &amp; Kitchen</v>
      </c>
      <c r="P436">
        <v>2</v>
      </c>
      <c r="Q436" s="5">
        <v>899</v>
      </c>
      <c r="R436" s="74">
        <v>0.1</v>
      </c>
      <c r="S436" s="75">
        <f>OrdersTable[[#This Row],[Quantity]]*OrdersTable[[#This Row],[Unit Price]]</f>
        <v>1798</v>
      </c>
      <c r="T436" s="5">
        <f>OrdersTable[[#This Row],[Gross Sale]]*OrdersTable[[#This Row],[Discount_Clean2]]</f>
        <v>179.8</v>
      </c>
      <c r="U436" s="5">
        <f>OrdersTable[[#This Row],[Gross Sale]]-OrdersTable[[#This Row],[Discount Amount]]</f>
        <v>1618.2</v>
      </c>
      <c r="V436" s="77">
        <f>INDEX(Products!E:E,MATCH(OrdersTable[[#This Row],[Product ID]],Products!A:A,0))</f>
        <v>378</v>
      </c>
      <c r="W436" s="77">
        <f>OrdersTable[[#This Row],[Quantity]]*OrdersTable[[#This Row],[Unit Cost]]</f>
        <v>756</v>
      </c>
      <c r="X436" s="77">
        <f>'Dropdown Lists'!$I$2*(1+OrdersTable[[#This Row],[Returned]])</f>
        <v>60</v>
      </c>
      <c r="Y436" s="76">
        <f>OrdersTable[[#This Row],[Net Revenue]]-OrdersTable[[#This Row],[COGS]]-OrdersTable[[#This Row],[Shipping Cost]]</f>
        <v>802.2</v>
      </c>
      <c r="Z436" s="78">
        <f>IFERROR(OrdersTable[[#This Row],[Profit]]/OrdersTable[[#This Row],[Net Revenue]],0)</f>
        <v>0.4957360029662588</v>
      </c>
      <c r="AA436" t="s">
        <v>2522</v>
      </c>
      <c r="AB436" s="79">
        <v>45389</v>
      </c>
      <c r="AC436">
        <f>OrdersTable[[#This Row],[Delivery Date]]-OrdersTable[[#This Row],[Order Date]]</f>
        <v>6</v>
      </c>
      <c r="AD436" t="str">
        <f>IF(OrdersTable[[#This Row],[Delivery Days]]&lt;=2, "Express (≤2d)", IF(OrdersTable[[#This Row],[Delivery Days]]&lt;=4, "Standard (3-4d)", "Delayed (5d+)"))</f>
        <v>Delayed (5d+)</v>
      </c>
      <c r="AE436">
        <v>3</v>
      </c>
      <c r="AF436">
        <v>0</v>
      </c>
    </row>
    <row r="437" spans="1:32" ht="15" x14ac:dyDescent="0.35">
      <c r="A437" t="s">
        <v>7050</v>
      </c>
      <c r="B437" s="1">
        <v>45384</v>
      </c>
      <c r="C437">
        <f>YEAR(OrdersTable[[#This Row],[Order Date]])</f>
        <v>2024</v>
      </c>
      <c r="D437" s="2">
        <f>DATE(YEAR(OrdersTable[[#This Row],[Order Date]]),MONTH(OrdersTable[[#This Row],[Order Date]]),1)</f>
        <v>45383</v>
      </c>
      <c r="E437">
        <f>MONTH(OrdersTable[[#This Row],[Order Date]])</f>
        <v>4</v>
      </c>
      <c r="F437" t="s">
        <v>1232</v>
      </c>
      <c r="G437" t="str">
        <f>IF(OrdersTable[[#This Row],[Order Date]]=_xlfn.MINIFS(Order_Date, Customer_ID, OrdersTable[[#This Row],[Customer ID]]), "New", "Repeat")</f>
        <v>New</v>
      </c>
      <c r="H437" t="s">
        <v>21</v>
      </c>
      <c r="I437" t="str">
        <f>INDEX(State!B:B,MATCH(OrdersTable[[#This Row],[State]],State!A:A,0))</f>
        <v>PB</v>
      </c>
      <c r="J437" t="str">
        <f>INDEX(State!C:C,MATCH(OrdersTable[[#This Row],[State Code]],State!B:B,0))</f>
        <v>North</v>
      </c>
      <c r="K437" t="s">
        <v>260</v>
      </c>
      <c r="L437" t="s">
        <v>65</v>
      </c>
      <c r="M437" t="s">
        <v>84</v>
      </c>
      <c r="N437" t="str">
        <f>INDEX(Products!B:B,MATCH(OrdersTable[[#This Row],[Product ID]],Products!A:A,0))</f>
        <v>Cotton Bedsheet</v>
      </c>
      <c r="O437" t="str">
        <f>INDEX(Products!C:C,MATCH(OrdersTable[[#This Row],[Product ID]],Products!A:A,0))</f>
        <v>Home &amp; Kitchen</v>
      </c>
      <c r="P437">
        <v>4</v>
      </c>
      <c r="Q437" s="5">
        <v>1299</v>
      </c>
      <c r="R437" s="74">
        <v>0</v>
      </c>
      <c r="S437" s="75">
        <f>OrdersTable[[#This Row],[Quantity]]*OrdersTable[[#This Row],[Unit Price]]</f>
        <v>5196</v>
      </c>
      <c r="T437" s="5">
        <f>OrdersTable[[#This Row],[Gross Sale]]*OrdersTable[[#This Row],[Discount_Clean2]]</f>
        <v>0</v>
      </c>
      <c r="U437" s="5">
        <f>OrdersTable[[#This Row],[Gross Sale]]-OrdersTable[[#This Row],[Discount Amount]]</f>
        <v>5196</v>
      </c>
      <c r="V437" s="77">
        <f>INDEX(Products!E:E,MATCH(OrdersTable[[#This Row],[Product ID]],Products!A:A,0))</f>
        <v>585</v>
      </c>
      <c r="W437" s="77">
        <f>OrdersTable[[#This Row],[Quantity]]*OrdersTable[[#This Row],[Unit Cost]]</f>
        <v>2340</v>
      </c>
      <c r="X437" s="77">
        <f>'Dropdown Lists'!$I$2*(1+OrdersTable[[#This Row],[Returned]])</f>
        <v>60</v>
      </c>
      <c r="Y437" s="76">
        <f>OrdersTable[[#This Row],[Net Revenue]]-OrdersTable[[#This Row],[COGS]]-OrdersTable[[#This Row],[Shipping Cost]]</f>
        <v>2796</v>
      </c>
      <c r="Z437" s="78">
        <f>IFERROR(OrdersTable[[#This Row],[Profit]]/OrdersTable[[#This Row],[Net Revenue]],0)</f>
        <v>0.53810623556581982</v>
      </c>
      <c r="AA437" t="s">
        <v>18</v>
      </c>
      <c r="AB437" s="79">
        <v>45387</v>
      </c>
      <c r="AC437">
        <f>OrdersTable[[#This Row],[Delivery Date]]-OrdersTable[[#This Row],[Order Date]]</f>
        <v>3</v>
      </c>
      <c r="AD437" t="str">
        <f>IF(OrdersTable[[#This Row],[Delivery Days]]&lt;=2, "Express (≤2d)", IF(OrdersTable[[#This Row],[Delivery Days]]&lt;=4, "Standard (3-4d)", "Delayed (5d+)"))</f>
        <v>Standard (3-4d)</v>
      </c>
      <c r="AE437">
        <v>4</v>
      </c>
      <c r="AF437">
        <v>0</v>
      </c>
    </row>
    <row r="438" spans="1:32" ht="15" x14ac:dyDescent="0.35">
      <c r="A438" t="s">
        <v>5861</v>
      </c>
      <c r="B438" s="1">
        <v>45384</v>
      </c>
      <c r="C438">
        <f>YEAR(OrdersTable[[#This Row],[Order Date]])</f>
        <v>2024</v>
      </c>
      <c r="D438" s="2">
        <f>DATE(YEAR(OrdersTable[[#This Row],[Order Date]]),MONTH(OrdersTable[[#This Row],[Order Date]]),1)</f>
        <v>45383</v>
      </c>
      <c r="E438">
        <f>MONTH(OrdersTable[[#This Row],[Order Date]])</f>
        <v>4</v>
      </c>
      <c r="F438" t="s">
        <v>5862</v>
      </c>
      <c r="G438" t="str">
        <f>IF(OrdersTable[[#This Row],[Order Date]]=_xlfn.MINIFS(Order_Date, Customer_ID, OrdersTable[[#This Row],[Customer ID]]), "New", "Repeat")</f>
        <v>New</v>
      </c>
      <c r="H438" t="s">
        <v>71</v>
      </c>
      <c r="I438" t="str">
        <f>INDEX(State!B:B,MATCH(OrdersTable[[#This Row],[State]],State!A:A,0))</f>
        <v>MH</v>
      </c>
      <c r="J438" t="str">
        <f>INDEX(State!C:C,MATCH(OrdersTable[[#This Row],[State Code]],State!B:B,0))</f>
        <v>West</v>
      </c>
      <c r="K438" t="s">
        <v>102</v>
      </c>
      <c r="L438" t="s">
        <v>65</v>
      </c>
      <c r="M438" t="s">
        <v>24</v>
      </c>
      <c r="N438" t="str">
        <f>INDEX(Products!B:B,MATCH(OrdersTable[[#This Row],[Product ID]],Products!A:A,0))</f>
        <v>Scented Candle Set</v>
      </c>
      <c r="O438" t="str">
        <f>INDEX(Products!C:C,MATCH(OrdersTable[[#This Row],[Product ID]],Products!A:A,0))</f>
        <v>Home &amp; Kitchen</v>
      </c>
      <c r="P438">
        <v>2</v>
      </c>
      <c r="Q438" s="5">
        <v>699</v>
      </c>
      <c r="R438" s="74">
        <v>0.3</v>
      </c>
      <c r="S438" s="75">
        <f>OrdersTable[[#This Row],[Quantity]]*OrdersTable[[#This Row],[Unit Price]]</f>
        <v>1398</v>
      </c>
      <c r="T438" s="5">
        <f>OrdersTable[[#This Row],[Gross Sale]]*OrdersTable[[#This Row],[Discount_Clean2]]</f>
        <v>419.4</v>
      </c>
      <c r="U438" s="5">
        <f>OrdersTable[[#This Row],[Gross Sale]]-OrdersTable[[#This Row],[Discount Amount]]</f>
        <v>978.6</v>
      </c>
      <c r="V438" s="77">
        <f>INDEX(Products!E:E,MATCH(OrdersTable[[#This Row],[Product ID]],Products!A:A,0))</f>
        <v>245</v>
      </c>
      <c r="W438" s="77">
        <f>OrdersTable[[#This Row],[Quantity]]*OrdersTable[[#This Row],[Unit Cost]]</f>
        <v>490</v>
      </c>
      <c r="X438" s="77">
        <f>'Dropdown Lists'!$I$2*(1+OrdersTable[[#This Row],[Returned]])</f>
        <v>60</v>
      </c>
      <c r="Y438" s="76">
        <f>OrdersTable[[#This Row],[Net Revenue]]-OrdersTable[[#This Row],[COGS]]-OrdersTable[[#This Row],[Shipping Cost]]</f>
        <v>428.6</v>
      </c>
      <c r="Z438" s="78">
        <f>IFERROR(OrdersTable[[#This Row],[Profit]]/OrdersTable[[#This Row],[Net Revenue]],0)</f>
        <v>0.43797261393827919</v>
      </c>
      <c r="AA438" t="s">
        <v>18</v>
      </c>
      <c r="AB438" s="79">
        <v>45389</v>
      </c>
      <c r="AC438">
        <f>OrdersTable[[#This Row],[Delivery Date]]-OrdersTable[[#This Row],[Order Date]]</f>
        <v>5</v>
      </c>
      <c r="AD438" t="str">
        <f>IF(OrdersTable[[#This Row],[Delivery Days]]&lt;=2, "Express (≤2d)", IF(OrdersTable[[#This Row],[Delivery Days]]&lt;=4, "Standard (3-4d)", "Delayed (5d+)"))</f>
        <v>Delayed (5d+)</v>
      </c>
      <c r="AF438">
        <v>0</v>
      </c>
    </row>
    <row r="439" spans="1:32" ht="15" x14ac:dyDescent="0.35">
      <c r="A439" t="s">
        <v>450</v>
      </c>
      <c r="B439" s="1">
        <v>45384</v>
      </c>
      <c r="C439">
        <f>YEAR(OrdersTable[[#This Row],[Order Date]])</f>
        <v>2024</v>
      </c>
      <c r="D439" s="2">
        <f>DATE(YEAR(OrdersTable[[#This Row],[Order Date]]),MONTH(OrdersTable[[#This Row],[Order Date]]),1)</f>
        <v>45383</v>
      </c>
      <c r="E439">
        <f>MONTH(OrdersTable[[#This Row],[Order Date]])</f>
        <v>4</v>
      </c>
      <c r="F439" t="s">
        <v>451</v>
      </c>
      <c r="G439" t="str">
        <f>IF(OrdersTable[[#This Row],[Order Date]]=_xlfn.MINIFS(Order_Date, Customer_ID, OrdersTable[[#This Row],[Customer ID]]), "New", "Repeat")</f>
        <v>New</v>
      </c>
      <c r="H439" t="s">
        <v>71</v>
      </c>
      <c r="I439" t="str">
        <f>INDEX(State!B:B,MATCH(OrdersTable[[#This Row],[State]],State!A:A,0))</f>
        <v>MH</v>
      </c>
      <c r="J439" t="str">
        <f>INDEX(State!C:C,MATCH(OrdersTable[[#This Row],[State Code]],State!B:B,0))</f>
        <v>West</v>
      </c>
      <c r="K439" t="s">
        <v>102</v>
      </c>
      <c r="L439" t="s">
        <v>65</v>
      </c>
      <c r="M439" t="s">
        <v>255</v>
      </c>
      <c r="N439" t="str">
        <f>INDEX(Products!B:B,MATCH(OrdersTable[[#This Row],[Product ID]],Products!A:A,0))</f>
        <v>Cotton Oversized T-Shirt</v>
      </c>
      <c r="O439" t="str">
        <f>INDEX(Products!C:C,MATCH(OrdersTable[[#This Row],[Product ID]],Products!A:A,0))</f>
        <v>Apparel</v>
      </c>
      <c r="P439">
        <v>1</v>
      </c>
      <c r="Q439" s="5">
        <v>799</v>
      </c>
      <c r="R439" s="74">
        <v>0</v>
      </c>
      <c r="S439" s="75">
        <f>OrdersTable[[#This Row],[Quantity]]*OrdersTable[[#This Row],[Unit Price]]</f>
        <v>799</v>
      </c>
      <c r="T439" s="5">
        <f>OrdersTable[[#This Row],[Gross Sale]]*OrdersTable[[#This Row],[Discount_Clean2]]</f>
        <v>0</v>
      </c>
      <c r="U439" s="5">
        <f>OrdersTable[[#This Row],[Gross Sale]]-OrdersTable[[#This Row],[Discount Amount]]</f>
        <v>799</v>
      </c>
      <c r="V439" s="77">
        <f>INDEX(Products!E:E,MATCH(OrdersTable[[#This Row],[Product ID]],Products!A:A,0))</f>
        <v>320</v>
      </c>
      <c r="W439" s="77">
        <f>OrdersTable[[#This Row],[Quantity]]*OrdersTable[[#This Row],[Unit Cost]]</f>
        <v>320</v>
      </c>
      <c r="X439" s="77">
        <f>'Dropdown Lists'!$I$2*(1+OrdersTable[[#This Row],[Returned]])</f>
        <v>60</v>
      </c>
      <c r="Y439" s="76">
        <f>OrdersTable[[#This Row],[Net Revenue]]-OrdersTable[[#This Row],[COGS]]-OrdersTable[[#This Row],[Shipping Cost]]</f>
        <v>419</v>
      </c>
      <c r="Z439" s="78">
        <f>IFERROR(OrdersTable[[#This Row],[Profit]]/OrdersTable[[#This Row],[Net Revenue]],0)</f>
        <v>0.52440550688360454</v>
      </c>
      <c r="AA439" t="s">
        <v>18</v>
      </c>
      <c r="AB439" s="79">
        <v>45387</v>
      </c>
      <c r="AC439">
        <f>OrdersTable[[#This Row],[Delivery Date]]-OrdersTable[[#This Row],[Order Date]]</f>
        <v>3</v>
      </c>
      <c r="AD439" t="str">
        <f>IF(OrdersTable[[#This Row],[Delivery Days]]&lt;=2, "Express (≤2d)", IF(OrdersTable[[#This Row],[Delivery Days]]&lt;=4, "Standard (3-4d)", "Delayed (5d+)"))</f>
        <v>Standard (3-4d)</v>
      </c>
      <c r="AE439">
        <v>4</v>
      </c>
      <c r="AF439">
        <v>0</v>
      </c>
    </row>
    <row r="440" spans="1:32" ht="15" x14ac:dyDescent="0.35">
      <c r="A440" t="s">
        <v>5660</v>
      </c>
      <c r="B440" s="1">
        <v>45384</v>
      </c>
      <c r="C440">
        <f>YEAR(OrdersTable[[#This Row],[Order Date]])</f>
        <v>2024</v>
      </c>
      <c r="D440" s="2">
        <f>DATE(YEAR(OrdersTable[[#This Row],[Order Date]]),MONTH(OrdersTable[[#This Row],[Order Date]]),1)</f>
        <v>45383</v>
      </c>
      <c r="E440">
        <f>MONTH(OrdersTable[[#This Row],[Order Date]])</f>
        <v>4</v>
      </c>
      <c r="F440" t="s">
        <v>5661</v>
      </c>
      <c r="G440" t="str">
        <f>IF(OrdersTable[[#This Row],[Order Date]]=_xlfn.MINIFS(Order_Date, Customer_ID, OrdersTable[[#This Row],[Customer ID]]), "New", "Repeat")</f>
        <v>New</v>
      </c>
      <c r="H440" t="s">
        <v>71</v>
      </c>
      <c r="I440" t="str">
        <f>INDEX(State!B:B,MATCH(OrdersTable[[#This Row],[State]],State!A:A,0))</f>
        <v>MH</v>
      </c>
      <c r="J440" t="str">
        <f>INDEX(State!C:C,MATCH(OrdersTable[[#This Row],[State Code]],State!B:B,0))</f>
        <v>West</v>
      </c>
      <c r="K440" t="s">
        <v>72</v>
      </c>
      <c r="L440" t="s">
        <v>65</v>
      </c>
      <c r="M440" t="s">
        <v>565</v>
      </c>
      <c r="N440" t="str">
        <f>INDEX(Products!B:B,MATCH(OrdersTable[[#This Row],[Product ID]],Products!A:A,0))</f>
        <v>Ceramic Dinner Set</v>
      </c>
      <c r="O440" t="str">
        <f>INDEX(Products!C:C,MATCH(OrdersTable[[#This Row],[Product ID]],Products!A:A,0))</f>
        <v>Home &amp; Kitchen</v>
      </c>
      <c r="P440">
        <v>2</v>
      </c>
      <c r="Q440" s="5">
        <v>2499</v>
      </c>
      <c r="R440" s="74">
        <v>0.35</v>
      </c>
      <c r="S440" s="75">
        <f>OrdersTable[[#This Row],[Quantity]]*OrdersTable[[#This Row],[Unit Price]]</f>
        <v>4998</v>
      </c>
      <c r="T440" s="5">
        <f>OrdersTable[[#This Row],[Gross Sale]]*OrdersTable[[#This Row],[Discount_Clean2]]</f>
        <v>1749.3</v>
      </c>
      <c r="U440" s="5">
        <f>OrdersTable[[#This Row],[Gross Sale]]-OrdersTable[[#This Row],[Discount Amount]]</f>
        <v>3248.7</v>
      </c>
      <c r="V440" s="77">
        <f>INDEX(Products!E:E,MATCH(OrdersTable[[#This Row],[Product ID]],Products!A:A,0))</f>
        <v>1250</v>
      </c>
      <c r="W440" s="77">
        <f>OrdersTable[[#This Row],[Quantity]]*OrdersTable[[#This Row],[Unit Cost]]</f>
        <v>2500</v>
      </c>
      <c r="X440" s="77">
        <f>'Dropdown Lists'!$I$2*(1+OrdersTable[[#This Row],[Returned]])</f>
        <v>60</v>
      </c>
      <c r="Y440" s="76">
        <f>OrdersTable[[#This Row],[Net Revenue]]-OrdersTable[[#This Row],[COGS]]-OrdersTable[[#This Row],[Shipping Cost]]</f>
        <v>688.69999999999982</v>
      </c>
      <c r="Z440" s="78">
        <f>IFERROR(OrdersTable[[#This Row],[Profit]]/OrdersTable[[#This Row],[Net Revenue]],0)</f>
        <v>0.21199248930341363</v>
      </c>
      <c r="AA440" t="s">
        <v>18</v>
      </c>
      <c r="AB440" s="79">
        <v>45385</v>
      </c>
      <c r="AC440">
        <f>OrdersTable[[#This Row],[Delivery Date]]-OrdersTable[[#This Row],[Order Date]]</f>
        <v>1</v>
      </c>
      <c r="AD440" t="str">
        <f>IF(OrdersTable[[#This Row],[Delivery Days]]&lt;=2, "Express (≤2d)", IF(OrdersTable[[#This Row],[Delivery Days]]&lt;=4, "Standard (3-4d)", "Delayed (5d+)"))</f>
        <v>Express (≤2d)</v>
      </c>
      <c r="AE440">
        <v>3</v>
      </c>
      <c r="AF440">
        <v>0</v>
      </c>
    </row>
    <row r="441" spans="1:32" ht="15" x14ac:dyDescent="0.35">
      <c r="A441" t="s">
        <v>452</v>
      </c>
      <c r="B441" s="1">
        <v>45384</v>
      </c>
      <c r="C441">
        <f>YEAR(OrdersTable[[#This Row],[Order Date]])</f>
        <v>2024</v>
      </c>
      <c r="D441" s="2">
        <f>DATE(YEAR(OrdersTable[[#This Row],[Order Date]]),MONTH(OrdersTable[[#This Row],[Order Date]]),1)</f>
        <v>45383</v>
      </c>
      <c r="E441">
        <f>MONTH(OrdersTable[[#This Row],[Order Date]])</f>
        <v>4</v>
      </c>
      <c r="F441" t="s">
        <v>453</v>
      </c>
      <c r="G441" t="str">
        <f>IF(OrdersTable[[#This Row],[Order Date]]=_xlfn.MINIFS(Order_Date, Customer_ID, OrdersTable[[#This Row],[Customer ID]]), "New", "Repeat")</f>
        <v>New</v>
      </c>
      <c r="H441" t="s">
        <v>59</v>
      </c>
      <c r="I441" t="str">
        <f>INDEX(State!B:B,MATCH(OrdersTable[[#This Row],[State]],State!A:A,0))</f>
        <v>TN</v>
      </c>
      <c r="J441" t="str">
        <f>INDEX(State!C:C,MATCH(OrdersTable[[#This Row],[State Code]],State!B:B,0))</f>
        <v>South</v>
      </c>
      <c r="K441" t="s">
        <v>64</v>
      </c>
      <c r="L441" t="s">
        <v>50</v>
      </c>
      <c r="M441" t="s">
        <v>40</v>
      </c>
      <c r="N441" t="str">
        <f>INDEX(Products!B:B,MATCH(OrdersTable[[#This Row],[Product ID]],Products!A:A,0))</f>
        <v>Ashwagandha Capsules</v>
      </c>
      <c r="O441" t="str">
        <f>INDEX(Products!C:C,MATCH(OrdersTable[[#This Row],[Product ID]],Products!A:A,0))</f>
        <v>Wellness</v>
      </c>
      <c r="P441">
        <v>1</v>
      </c>
      <c r="Q441" s="5">
        <v>499</v>
      </c>
      <c r="R441" s="74">
        <v>0.1</v>
      </c>
      <c r="S441" s="75">
        <f>OrdersTable[[#This Row],[Quantity]]*OrdersTable[[#This Row],[Unit Price]]</f>
        <v>499</v>
      </c>
      <c r="T441" s="5">
        <f>OrdersTable[[#This Row],[Gross Sale]]*OrdersTable[[#This Row],[Discount_Clean2]]</f>
        <v>49.900000000000006</v>
      </c>
      <c r="U441" s="5">
        <f>OrdersTable[[#This Row],[Gross Sale]]-OrdersTable[[#This Row],[Discount Amount]]</f>
        <v>449.1</v>
      </c>
      <c r="V441" s="77">
        <f>INDEX(Products!E:E,MATCH(OrdersTable[[#This Row],[Product ID]],Products!A:A,0))</f>
        <v>150</v>
      </c>
      <c r="W441" s="77">
        <f>OrdersTable[[#This Row],[Quantity]]*OrdersTable[[#This Row],[Unit Cost]]</f>
        <v>150</v>
      </c>
      <c r="X441" s="77">
        <f>'Dropdown Lists'!$I$2*(1+OrdersTable[[#This Row],[Returned]])</f>
        <v>60</v>
      </c>
      <c r="Y441" s="76">
        <f>OrdersTable[[#This Row],[Net Revenue]]-OrdersTable[[#This Row],[COGS]]-OrdersTable[[#This Row],[Shipping Cost]]</f>
        <v>239.10000000000002</v>
      </c>
      <c r="Z441" s="78">
        <f>IFERROR(OrdersTable[[#This Row],[Profit]]/OrdersTable[[#This Row],[Net Revenue]],0)</f>
        <v>0.53239812959251842</v>
      </c>
      <c r="AA441" t="s">
        <v>18</v>
      </c>
      <c r="AB441" s="79">
        <v>45386</v>
      </c>
      <c r="AC441">
        <f>OrdersTable[[#This Row],[Delivery Date]]-OrdersTable[[#This Row],[Order Date]]</f>
        <v>2</v>
      </c>
      <c r="AD441" t="str">
        <f>IF(OrdersTable[[#This Row],[Delivery Days]]&lt;=2, "Express (≤2d)", IF(OrdersTable[[#This Row],[Delivery Days]]&lt;=4, "Standard (3-4d)", "Delayed (5d+)"))</f>
        <v>Express (≤2d)</v>
      </c>
      <c r="AE441">
        <v>4</v>
      </c>
      <c r="AF441">
        <v>0</v>
      </c>
    </row>
    <row r="442" spans="1:32" ht="15" x14ac:dyDescent="0.35">
      <c r="A442" t="s">
        <v>4655</v>
      </c>
      <c r="B442" s="1">
        <v>45385</v>
      </c>
      <c r="C442">
        <f>YEAR(OrdersTable[[#This Row],[Order Date]])</f>
        <v>2024</v>
      </c>
      <c r="D442" s="2">
        <f>DATE(YEAR(OrdersTable[[#This Row],[Order Date]]),MONTH(OrdersTable[[#This Row],[Order Date]]),1)</f>
        <v>45383</v>
      </c>
      <c r="E442">
        <f>MONTH(OrdersTable[[#This Row],[Order Date]])</f>
        <v>4</v>
      </c>
      <c r="F442" t="s">
        <v>234</v>
      </c>
      <c r="G442" t="str">
        <f>IF(OrdersTable[[#This Row],[Order Date]]=_xlfn.MINIFS(Order_Date, Customer_ID, OrdersTable[[#This Row],[Customer ID]]), "New", "Repeat")</f>
        <v>New</v>
      </c>
      <c r="H442" t="s">
        <v>71</v>
      </c>
      <c r="I442" t="str">
        <f>INDEX(State!B:B,MATCH(OrdersTable[[#This Row],[State]],State!A:A,0))</f>
        <v>MH</v>
      </c>
      <c r="J442" t="str">
        <f>INDEX(State!C:C,MATCH(OrdersTable[[#This Row],[State Code]],State!B:B,0))</f>
        <v>West</v>
      </c>
      <c r="K442" t="s">
        <v>81</v>
      </c>
      <c r="L442" t="s">
        <v>16</v>
      </c>
      <c r="M442" t="s">
        <v>92</v>
      </c>
      <c r="N442" t="str">
        <f>INDEX(Products!B:B,MATCH(OrdersTable[[#This Row],[Product ID]],Products!A:A,0))</f>
        <v>Kolhapuri Sandals</v>
      </c>
      <c r="O442" t="str">
        <f>INDEX(Products!C:C,MATCH(OrdersTable[[#This Row],[Product ID]],Products!A:A,0))</f>
        <v>Footwear</v>
      </c>
      <c r="P442">
        <v>1</v>
      </c>
      <c r="Q442" s="5">
        <v>999</v>
      </c>
      <c r="R442" s="74">
        <v>0.05</v>
      </c>
      <c r="S442" s="75">
        <f>OrdersTable[[#This Row],[Quantity]]*OrdersTable[[#This Row],[Unit Price]]</f>
        <v>999</v>
      </c>
      <c r="T442" s="5">
        <f>OrdersTable[[#This Row],[Gross Sale]]*OrdersTable[[#This Row],[Discount_Clean2]]</f>
        <v>49.95</v>
      </c>
      <c r="U442" s="5">
        <f>OrdersTable[[#This Row],[Gross Sale]]-OrdersTable[[#This Row],[Discount Amount]]</f>
        <v>949.05</v>
      </c>
      <c r="V442" s="77">
        <f>INDEX(Products!E:E,MATCH(OrdersTable[[#This Row],[Product ID]],Products!A:A,0))</f>
        <v>400</v>
      </c>
      <c r="W442" s="77">
        <f>OrdersTable[[#This Row],[Quantity]]*OrdersTable[[#This Row],[Unit Cost]]</f>
        <v>400</v>
      </c>
      <c r="X442" s="77">
        <f>'Dropdown Lists'!$I$2*(1+OrdersTable[[#This Row],[Returned]])</f>
        <v>60</v>
      </c>
      <c r="Y442" s="76">
        <f>OrdersTable[[#This Row],[Net Revenue]]-OrdersTable[[#This Row],[COGS]]-OrdersTable[[#This Row],[Shipping Cost]]</f>
        <v>489.04999999999995</v>
      </c>
      <c r="Z442" s="78">
        <f>IFERROR(OrdersTable[[#This Row],[Profit]]/OrdersTable[[#This Row],[Net Revenue]],0)</f>
        <v>0.5153047784626732</v>
      </c>
      <c r="AA442" t="s">
        <v>4450</v>
      </c>
      <c r="AB442" s="79">
        <v>45386</v>
      </c>
      <c r="AC442">
        <f>OrdersTable[[#This Row],[Delivery Date]]-OrdersTable[[#This Row],[Order Date]]</f>
        <v>1</v>
      </c>
      <c r="AD442" t="str">
        <f>IF(OrdersTable[[#This Row],[Delivery Days]]&lt;=2, "Express (≤2d)", IF(OrdersTable[[#This Row],[Delivery Days]]&lt;=4, "Standard (3-4d)", "Delayed (5d+)"))</f>
        <v>Express (≤2d)</v>
      </c>
      <c r="AE442">
        <v>5</v>
      </c>
      <c r="AF442">
        <v>0</v>
      </c>
    </row>
    <row r="443" spans="1:32" ht="15" x14ac:dyDescent="0.35">
      <c r="A443" t="s">
        <v>6046</v>
      </c>
      <c r="B443" s="1">
        <v>45385</v>
      </c>
      <c r="C443">
        <f>YEAR(OrdersTable[[#This Row],[Order Date]])</f>
        <v>2024</v>
      </c>
      <c r="D443" s="2">
        <f>DATE(YEAR(OrdersTable[[#This Row],[Order Date]]),MONTH(OrdersTable[[#This Row],[Order Date]]),1)</f>
        <v>45383</v>
      </c>
      <c r="E443">
        <f>MONTH(OrdersTable[[#This Row],[Order Date]])</f>
        <v>4</v>
      </c>
      <c r="F443" t="s">
        <v>883</v>
      </c>
      <c r="G443" t="str">
        <f>IF(OrdersTable[[#This Row],[Order Date]]=_xlfn.MINIFS(Order_Date, Customer_ID, OrdersTable[[#This Row],[Customer ID]]), "New", "Repeat")</f>
        <v>New</v>
      </c>
      <c r="H443" t="s">
        <v>14</v>
      </c>
      <c r="I443" t="str">
        <f>INDEX(State!B:B,MATCH(OrdersTable[[#This Row],[State]],State!A:A,0))</f>
        <v>OD</v>
      </c>
      <c r="J443" t="str">
        <f>INDEX(State!C:C,MATCH(OrdersTable[[#This Row],[State Code]],State!B:B,0))</f>
        <v>East</v>
      </c>
      <c r="K443" t="s">
        <v>15</v>
      </c>
      <c r="L443" t="s">
        <v>65</v>
      </c>
      <c r="M443" t="s">
        <v>24</v>
      </c>
      <c r="N443" t="str">
        <f>INDEX(Products!B:B,MATCH(OrdersTable[[#This Row],[Product ID]],Products!A:A,0))</f>
        <v>Scented Candle Set</v>
      </c>
      <c r="O443" t="str">
        <f>INDEX(Products!C:C,MATCH(OrdersTable[[#This Row],[Product ID]],Products!A:A,0))</f>
        <v>Home &amp; Kitchen</v>
      </c>
      <c r="P443">
        <v>2</v>
      </c>
      <c r="Q443" s="5">
        <v>699</v>
      </c>
      <c r="R443" s="74">
        <v>0.2</v>
      </c>
      <c r="S443" s="75">
        <f>OrdersTable[[#This Row],[Quantity]]*OrdersTable[[#This Row],[Unit Price]]</f>
        <v>1398</v>
      </c>
      <c r="T443" s="5">
        <f>OrdersTable[[#This Row],[Gross Sale]]*OrdersTable[[#This Row],[Discount_Clean2]]</f>
        <v>279.60000000000002</v>
      </c>
      <c r="U443" s="5">
        <f>OrdersTable[[#This Row],[Gross Sale]]-OrdersTable[[#This Row],[Discount Amount]]</f>
        <v>1118.4000000000001</v>
      </c>
      <c r="V443" s="77">
        <f>INDEX(Products!E:E,MATCH(OrdersTable[[#This Row],[Product ID]],Products!A:A,0))</f>
        <v>245</v>
      </c>
      <c r="W443" s="77">
        <f>OrdersTable[[#This Row],[Quantity]]*OrdersTable[[#This Row],[Unit Cost]]</f>
        <v>490</v>
      </c>
      <c r="X443" s="77">
        <f>'Dropdown Lists'!$I$2*(1+OrdersTable[[#This Row],[Returned]])</f>
        <v>60</v>
      </c>
      <c r="Y443" s="76">
        <f>OrdersTable[[#This Row],[Net Revenue]]-OrdersTable[[#This Row],[COGS]]-OrdersTable[[#This Row],[Shipping Cost]]</f>
        <v>568.40000000000009</v>
      </c>
      <c r="Z443" s="78">
        <f>IFERROR(OrdersTable[[#This Row],[Profit]]/OrdersTable[[#This Row],[Net Revenue]],0)</f>
        <v>0.50822603719599435</v>
      </c>
      <c r="AA443" t="s">
        <v>18</v>
      </c>
      <c r="AB443" s="79">
        <v>45388</v>
      </c>
      <c r="AC443">
        <f>OrdersTable[[#This Row],[Delivery Date]]-OrdersTable[[#This Row],[Order Date]]</f>
        <v>3</v>
      </c>
      <c r="AD443" t="str">
        <f>IF(OrdersTable[[#This Row],[Delivery Days]]&lt;=2, "Express (≤2d)", IF(OrdersTable[[#This Row],[Delivery Days]]&lt;=4, "Standard (3-4d)", "Delayed (5d+)"))</f>
        <v>Standard (3-4d)</v>
      </c>
      <c r="AE443">
        <v>4</v>
      </c>
      <c r="AF443">
        <v>0</v>
      </c>
    </row>
    <row r="444" spans="1:32" ht="15" x14ac:dyDescent="0.35">
      <c r="A444" t="s">
        <v>6944</v>
      </c>
      <c r="B444" s="1">
        <v>45385</v>
      </c>
      <c r="C444">
        <f>YEAR(OrdersTable[[#This Row],[Order Date]])</f>
        <v>2024</v>
      </c>
      <c r="D444" s="2">
        <f>DATE(YEAR(OrdersTable[[#This Row],[Order Date]]),MONTH(OrdersTable[[#This Row],[Order Date]]),1)</f>
        <v>45383</v>
      </c>
      <c r="E444">
        <f>MONTH(OrdersTable[[#This Row],[Order Date]])</f>
        <v>4</v>
      </c>
      <c r="F444" t="s">
        <v>487</v>
      </c>
      <c r="G444" t="str">
        <f>IF(OrdersTable[[#This Row],[Order Date]]=_xlfn.MINIFS(Order_Date, Customer_ID, OrdersTable[[#This Row],[Customer ID]]), "New", "Repeat")</f>
        <v>New</v>
      </c>
      <c r="H444" t="s">
        <v>14</v>
      </c>
      <c r="I444" t="str">
        <f>INDEX(State!B:B,MATCH(OrdersTable[[#This Row],[State]],State!A:A,0))</f>
        <v>OD</v>
      </c>
      <c r="J444" t="str">
        <f>INDEX(State!C:C,MATCH(OrdersTable[[#This Row],[State Code]],State!B:B,0))</f>
        <v>East</v>
      </c>
      <c r="K444" t="s">
        <v>15</v>
      </c>
      <c r="L444" t="s">
        <v>23</v>
      </c>
      <c r="M444" t="s">
        <v>179</v>
      </c>
      <c r="N444" t="str">
        <f>INDEX(Products!B:B,MATCH(OrdersTable[[#This Row],[Product ID]],Products!A:A,0))</f>
        <v>Whey Protein 1kg</v>
      </c>
      <c r="O444" t="str">
        <f>INDEX(Products!C:C,MATCH(OrdersTable[[#This Row],[Product ID]],Products!A:A,0))</f>
        <v>Wellness</v>
      </c>
      <c r="P444">
        <v>4</v>
      </c>
      <c r="Q444" s="5">
        <v>2299</v>
      </c>
      <c r="R444" s="74">
        <v>0.4</v>
      </c>
      <c r="S444" s="75">
        <f>OrdersTable[[#This Row],[Quantity]]*OrdersTable[[#This Row],[Unit Price]]</f>
        <v>9196</v>
      </c>
      <c r="T444" s="5">
        <f>OrdersTable[[#This Row],[Gross Sale]]*OrdersTable[[#This Row],[Discount_Clean2]]</f>
        <v>3678.4</v>
      </c>
      <c r="U444" s="5">
        <f>OrdersTable[[#This Row],[Gross Sale]]-OrdersTable[[#This Row],[Discount Amount]]</f>
        <v>5517.6</v>
      </c>
      <c r="V444" s="77">
        <f>INDEX(Products!E:E,MATCH(OrdersTable[[#This Row],[Product ID]],Products!A:A,0))</f>
        <v>1333</v>
      </c>
      <c r="W444" s="77">
        <f>OrdersTable[[#This Row],[Quantity]]*OrdersTable[[#This Row],[Unit Cost]]</f>
        <v>5332</v>
      </c>
      <c r="X444" s="77">
        <f>'Dropdown Lists'!$I$2*(1+OrdersTable[[#This Row],[Returned]])</f>
        <v>60</v>
      </c>
      <c r="Y444" s="76">
        <f>OrdersTable[[#This Row],[Net Revenue]]-OrdersTable[[#This Row],[COGS]]-OrdersTable[[#This Row],[Shipping Cost]]</f>
        <v>125.60000000000036</v>
      </c>
      <c r="Z444" s="78">
        <f>IFERROR(OrdersTable[[#This Row],[Profit]]/OrdersTable[[#This Row],[Net Revenue]],0)</f>
        <v>2.276352037117594E-2</v>
      </c>
      <c r="AA444" t="s">
        <v>2522</v>
      </c>
      <c r="AB444" s="79">
        <v>45389</v>
      </c>
      <c r="AC444">
        <f>OrdersTable[[#This Row],[Delivery Date]]-OrdersTable[[#This Row],[Order Date]]</f>
        <v>4</v>
      </c>
      <c r="AD444" t="str">
        <f>IF(OrdersTable[[#This Row],[Delivery Days]]&lt;=2, "Express (≤2d)", IF(OrdersTable[[#This Row],[Delivery Days]]&lt;=4, "Standard (3-4d)", "Delayed (5d+)"))</f>
        <v>Standard (3-4d)</v>
      </c>
      <c r="AE444">
        <v>4</v>
      </c>
      <c r="AF444">
        <v>0</v>
      </c>
    </row>
    <row r="445" spans="1:32" ht="15" x14ac:dyDescent="0.35">
      <c r="A445" t="s">
        <v>6047</v>
      </c>
      <c r="B445" s="1">
        <v>45386</v>
      </c>
      <c r="C445">
        <f>YEAR(OrdersTable[[#This Row],[Order Date]])</f>
        <v>2024</v>
      </c>
      <c r="D445" s="2">
        <f>DATE(YEAR(OrdersTable[[#This Row],[Order Date]]),MONTH(OrdersTable[[#This Row],[Order Date]]),1)</f>
        <v>45383</v>
      </c>
      <c r="E445">
        <f>MONTH(OrdersTable[[#This Row],[Order Date]])</f>
        <v>4</v>
      </c>
      <c r="F445" t="s">
        <v>6048</v>
      </c>
      <c r="G445" t="str">
        <f>IF(OrdersTable[[#This Row],[Order Date]]=_xlfn.MINIFS(Order_Date, Customer_ID, OrdersTable[[#This Row],[Customer ID]]), "New", "Repeat")</f>
        <v>New</v>
      </c>
      <c r="H445" t="s">
        <v>71</v>
      </c>
      <c r="I445" t="str">
        <f>INDEX(State!B:B,MATCH(OrdersTable[[#This Row],[State]],State!A:A,0))</f>
        <v>MH</v>
      </c>
      <c r="J445" t="str">
        <f>INDEX(State!C:C,MATCH(OrdersTable[[#This Row],[State Code]],State!B:B,0))</f>
        <v>West</v>
      </c>
      <c r="K445" t="s">
        <v>72</v>
      </c>
      <c r="L445" t="s">
        <v>50</v>
      </c>
      <c r="M445" t="s">
        <v>45</v>
      </c>
      <c r="N445" t="str">
        <f>INDEX(Products!B:B,MATCH(OrdersTable[[#This Row],[Product ID]],Products!A:A,0))</f>
        <v>Argan Shampoo</v>
      </c>
      <c r="O445" t="str">
        <f>INDEX(Products!C:C,MATCH(OrdersTable[[#This Row],[Product ID]],Products!A:A,0))</f>
        <v>Haircare</v>
      </c>
      <c r="P445">
        <v>2</v>
      </c>
      <c r="Q445" s="5">
        <v>449</v>
      </c>
      <c r="R445" s="74">
        <v>0</v>
      </c>
      <c r="S445" s="75">
        <f>OrdersTable[[#This Row],[Quantity]]*OrdersTable[[#This Row],[Unit Price]]</f>
        <v>898</v>
      </c>
      <c r="T445" s="5">
        <f>OrdersTable[[#This Row],[Gross Sale]]*OrdersTable[[#This Row],[Discount_Clean2]]</f>
        <v>0</v>
      </c>
      <c r="U445" s="5">
        <f>OrdersTable[[#This Row],[Gross Sale]]-OrdersTable[[#This Row],[Discount Amount]]</f>
        <v>898</v>
      </c>
      <c r="V445" s="77">
        <f>INDEX(Products!E:E,MATCH(OrdersTable[[#This Row],[Product ID]],Products!A:A,0))</f>
        <v>148</v>
      </c>
      <c r="W445" s="77">
        <f>OrdersTable[[#This Row],[Quantity]]*OrdersTable[[#This Row],[Unit Cost]]</f>
        <v>296</v>
      </c>
      <c r="X445" s="77">
        <f>'Dropdown Lists'!$I$2*(1+OrdersTable[[#This Row],[Returned]])</f>
        <v>60</v>
      </c>
      <c r="Y445" s="76">
        <f>OrdersTable[[#This Row],[Net Revenue]]-OrdersTable[[#This Row],[COGS]]-OrdersTable[[#This Row],[Shipping Cost]]</f>
        <v>542</v>
      </c>
      <c r="Z445" s="78">
        <f>IFERROR(OrdersTable[[#This Row],[Profit]]/OrdersTable[[#This Row],[Net Revenue]],0)</f>
        <v>0.60356347438752789</v>
      </c>
      <c r="AA445" t="s">
        <v>18</v>
      </c>
      <c r="AB445" s="79">
        <v>45389</v>
      </c>
      <c r="AC445">
        <f>OrdersTable[[#This Row],[Delivery Date]]-OrdersTable[[#This Row],[Order Date]]</f>
        <v>3</v>
      </c>
      <c r="AD445" t="str">
        <f>IF(OrdersTable[[#This Row],[Delivery Days]]&lt;=2, "Express (≤2d)", IF(OrdersTable[[#This Row],[Delivery Days]]&lt;=4, "Standard (3-4d)", "Delayed (5d+)"))</f>
        <v>Standard (3-4d)</v>
      </c>
      <c r="AE445">
        <v>4</v>
      </c>
      <c r="AF445">
        <v>0</v>
      </c>
    </row>
    <row r="446" spans="1:32" ht="15" x14ac:dyDescent="0.35">
      <c r="A446" t="s">
        <v>6265</v>
      </c>
      <c r="B446" s="1">
        <v>45386</v>
      </c>
      <c r="C446">
        <f>YEAR(OrdersTable[[#This Row],[Order Date]])</f>
        <v>2024</v>
      </c>
      <c r="D446" s="2">
        <f>DATE(YEAR(OrdersTable[[#This Row],[Order Date]]),MONTH(OrdersTable[[#This Row],[Order Date]]),1)</f>
        <v>45383</v>
      </c>
      <c r="E446">
        <f>MONTH(OrdersTable[[#This Row],[Order Date]])</f>
        <v>4</v>
      </c>
      <c r="F446" t="s">
        <v>6266</v>
      </c>
      <c r="G446" t="str">
        <f>IF(OrdersTable[[#This Row],[Order Date]]=_xlfn.MINIFS(Order_Date, Customer_ID, OrdersTable[[#This Row],[Customer ID]]), "New", "Repeat")</f>
        <v>New</v>
      </c>
      <c r="H446" t="s">
        <v>71</v>
      </c>
      <c r="I446" t="str">
        <f>INDEX(State!B:B,MATCH(OrdersTable[[#This Row],[State]],State!A:A,0))</f>
        <v>MH</v>
      </c>
      <c r="J446" t="str">
        <f>INDEX(State!C:C,MATCH(OrdersTable[[#This Row],[State Code]],State!B:B,0))</f>
        <v>West</v>
      </c>
      <c r="K446" t="s">
        <v>102</v>
      </c>
      <c r="L446" t="s">
        <v>50</v>
      </c>
      <c r="M446" t="s">
        <v>160</v>
      </c>
      <c r="N446" t="str">
        <f>INDEX(Products!B:B,MATCH(OrdersTable[[#This Row],[Product ID]],Products!A:A,0))</f>
        <v>Niacinamide Toner</v>
      </c>
      <c r="O446" t="str">
        <f>INDEX(Products!C:C,MATCH(OrdersTable[[#This Row],[Product ID]],Products!A:A,0))</f>
        <v>Skincare</v>
      </c>
      <c r="P446">
        <v>2</v>
      </c>
      <c r="Q446" s="5">
        <v>399</v>
      </c>
      <c r="R446" s="74">
        <v>0.2</v>
      </c>
      <c r="S446" s="75">
        <f>OrdersTable[[#This Row],[Quantity]]*OrdersTable[[#This Row],[Unit Price]]</f>
        <v>798</v>
      </c>
      <c r="T446" s="5">
        <f>OrdersTable[[#This Row],[Gross Sale]]*OrdersTable[[#This Row],[Discount_Clean2]]</f>
        <v>159.60000000000002</v>
      </c>
      <c r="U446" s="5">
        <f>OrdersTable[[#This Row],[Gross Sale]]-OrdersTable[[#This Row],[Discount Amount]]</f>
        <v>638.4</v>
      </c>
      <c r="V446" s="77">
        <f>INDEX(Products!E:E,MATCH(OrdersTable[[#This Row],[Product ID]],Products!A:A,0))</f>
        <v>112</v>
      </c>
      <c r="W446" s="77">
        <f>OrdersTable[[#This Row],[Quantity]]*OrdersTable[[#This Row],[Unit Cost]]</f>
        <v>224</v>
      </c>
      <c r="X446" s="77">
        <f>'Dropdown Lists'!$I$2*(1+OrdersTable[[#This Row],[Returned]])</f>
        <v>60</v>
      </c>
      <c r="Y446" s="76">
        <f>OrdersTable[[#This Row],[Net Revenue]]-OrdersTable[[#This Row],[COGS]]-OrdersTable[[#This Row],[Shipping Cost]]</f>
        <v>354.4</v>
      </c>
      <c r="Z446" s="78">
        <f>IFERROR(OrdersTable[[#This Row],[Profit]]/OrdersTable[[#This Row],[Net Revenue]],0)</f>
        <v>0.55513784461152882</v>
      </c>
      <c r="AA446" t="s">
        <v>18</v>
      </c>
      <c r="AB446" s="79">
        <v>45388</v>
      </c>
      <c r="AC446">
        <f>OrdersTable[[#This Row],[Delivery Date]]-OrdersTable[[#This Row],[Order Date]]</f>
        <v>2</v>
      </c>
      <c r="AD446" t="str">
        <f>IF(OrdersTable[[#This Row],[Delivery Days]]&lt;=2, "Express (≤2d)", IF(OrdersTable[[#This Row],[Delivery Days]]&lt;=4, "Standard (3-4d)", "Delayed (5d+)"))</f>
        <v>Express (≤2d)</v>
      </c>
      <c r="AE446">
        <v>3</v>
      </c>
      <c r="AF446">
        <v>0</v>
      </c>
    </row>
    <row r="447" spans="1:32" ht="15" x14ac:dyDescent="0.35">
      <c r="A447" t="s">
        <v>1337</v>
      </c>
      <c r="B447" s="1">
        <v>45386</v>
      </c>
      <c r="C447">
        <f>YEAR(OrdersTable[[#This Row],[Order Date]])</f>
        <v>2024</v>
      </c>
      <c r="D447" s="2">
        <f>DATE(YEAR(OrdersTable[[#This Row],[Order Date]]),MONTH(OrdersTable[[#This Row],[Order Date]]),1)</f>
        <v>45383</v>
      </c>
      <c r="E447">
        <f>MONTH(OrdersTable[[#This Row],[Order Date]])</f>
        <v>4</v>
      </c>
      <c r="F447" t="s">
        <v>374</v>
      </c>
      <c r="G447" t="str">
        <f>IF(OrdersTable[[#This Row],[Order Date]]=_xlfn.MINIFS(Order_Date, Customer_ID, OrdersTable[[#This Row],[Customer ID]]), "New", "Repeat")</f>
        <v>New</v>
      </c>
      <c r="H447" t="s">
        <v>71</v>
      </c>
      <c r="I447" t="str">
        <f>INDEX(State!B:B,MATCH(OrdersTable[[#This Row],[State]],State!A:A,0))</f>
        <v>MH</v>
      </c>
      <c r="J447" t="str">
        <f>INDEX(State!C:C,MATCH(OrdersTable[[#This Row],[State Code]],State!B:B,0))</f>
        <v>West</v>
      </c>
      <c r="K447" t="s">
        <v>81</v>
      </c>
      <c r="L447" t="s">
        <v>23</v>
      </c>
      <c r="M447" t="s">
        <v>56</v>
      </c>
      <c r="N447" t="str">
        <f>INDEX(Products!B:B,MATCH(OrdersTable[[#This Row],[Product ID]],Products!A:A,0))</f>
        <v>Vitamin C Face Serum</v>
      </c>
      <c r="O447" t="str">
        <f>INDEX(Products!C:C,MATCH(OrdersTable[[#This Row],[Product ID]],Products!A:A,0))</f>
        <v>Skincare</v>
      </c>
      <c r="P447">
        <v>1</v>
      </c>
      <c r="Q447" s="5">
        <v>599</v>
      </c>
      <c r="R447" s="74">
        <v>0.1</v>
      </c>
      <c r="S447" s="75">
        <f>OrdersTable[[#This Row],[Quantity]]*OrdersTable[[#This Row],[Unit Price]]</f>
        <v>599</v>
      </c>
      <c r="T447" s="5">
        <f>OrdersTable[[#This Row],[Gross Sale]]*OrdersTable[[#This Row],[Discount_Clean2]]</f>
        <v>59.900000000000006</v>
      </c>
      <c r="U447" s="5">
        <f>OrdersTable[[#This Row],[Gross Sale]]-OrdersTable[[#This Row],[Discount Amount]]</f>
        <v>539.1</v>
      </c>
      <c r="V447" s="77">
        <f>INDEX(Products!E:E,MATCH(OrdersTable[[#This Row],[Product ID]],Products!A:A,0))</f>
        <v>180</v>
      </c>
      <c r="W447" s="77">
        <f>OrdersTable[[#This Row],[Quantity]]*OrdersTable[[#This Row],[Unit Cost]]</f>
        <v>180</v>
      </c>
      <c r="X447" s="77">
        <f>'Dropdown Lists'!$I$2*(1+OrdersTable[[#This Row],[Returned]])</f>
        <v>60</v>
      </c>
      <c r="Y447" s="76">
        <f>OrdersTable[[#This Row],[Net Revenue]]-OrdersTable[[#This Row],[COGS]]-OrdersTable[[#This Row],[Shipping Cost]]</f>
        <v>299.10000000000002</v>
      </c>
      <c r="Z447" s="78">
        <f>IFERROR(OrdersTable[[#This Row],[Profit]]/OrdersTable[[#This Row],[Net Revenue]],0)</f>
        <v>0.5548135781858653</v>
      </c>
      <c r="AA447" t="s">
        <v>18</v>
      </c>
      <c r="AB447" s="79">
        <v>45388</v>
      </c>
      <c r="AC447">
        <f>OrdersTable[[#This Row],[Delivery Date]]-OrdersTable[[#This Row],[Order Date]]</f>
        <v>2</v>
      </c>
      <c r="AD447" t="str">
        <f>IF(OrdersTable[[#This Row],[Delivery Days]]&lt;=2, "Express (≤2d)", IF(OrdersTable[[#This Row],[Delivery Days]]&lt;=4, "Standard (3-4d)", "Delayed (5d+)"))</f>
        <v>Express (≤2d)</v>
      </c>
      <c r="AF447">
        <v>0</v>
      </c>
    </row>
    <row r="448" spans="1:32" ht="15" x14ac:dyDescent="0.35">
      <c r="A448" t="s">
        <v>4084</v>
      </c>
      <c r="B448" s="1">
        <v>45386</v>
      </c>
      <c r="C448">
        <f>YEAR(OrdersTable[[#This Row],[Order Date]])</f>
        <v>2024</v>
      </c>
      <c r="D448" s="2">
        <f>DATE(YEAR(OrdersTable[[#This Row],[Order Date]]),MONTH(OrdersTable[[#This Row],[Order Date]]),1)</f>
        <v>45383</v>
      </c>
      <c r="E448">
        <f>MONTH(OrdersTable[[#This Row],[Order Date]])</f>
        <v>4</v>
      </c>
      <c r="F448" t="s">
        <v>4085</v>
      </c>
      <c r="G448" t="str">
        <f>IF(OrdersTable[[#This Row],[Order Date]]=_xlfn.MINIFS(Order_Date, Customer_ID, OrdersTable[[#This Row],[Customer ID]]), "New", "Repeat")</f>
        <v>New</v>
      </c>
      <c r="H448" t="s">
        <v>95</v>
      </c>
      <c r="I448" t="str">
        <f>INDEX(State!B:B,MATCH(OrdersTable[[#This Row],[State]],State!A:A,0))</f>
        <v>TG</v>
      </c>
      <c r="J448" t="str">
        <f>INDEX(State!C:C,MATCH(OrdersTable[[#This Row],[State Code]],State!B:B,0))</f>
        <v>South</v>
      </c>
      <c r="K448" t="s">
        <v>96</v>
      </c>
      <c r="L448" t="s">
        <v>39</v>
      </c>
      <c r="M448" t="s">
        <v>34</v>
      </c>
      <c r="N448" t="str">
        <f>INDEX(Products!B:B,MATCH(OrdersTable[[#This Row],[Product ID]],Products!A:A,0))</f>
        <v>Flip Flops</v>
      </c>
      <c r="O448" t="str">
        <f>INDEX(Products!C:C,MATCH(OrdersTable[[#This Row],[Product ID]],Products!A:A,0))</f>
        <v>Footwear</v>
      </c>
      <c r="P448">
        <v>1</v>
      </c>
      <c r="Q448" s="5">
        <v>399</v>
      </c>
      <c r="R448" s="74">
        <v>0.1</v>
      </c>
      <c r="S448" s="75">
        <f>OrdersTable[[#This Row],[Quantity]]*OrdersTable[[#This Row],[Unit Price]]</f>
        <v>399</v>
      </c>
      <c r="T448" s="5">
        <f>OrdersTable[[#This Row],[Gross Sale]]*OrdersTable[[#This Row],[Discount_Clean2]]</f>
        <v>39.900000000000006</v>
      </c>
      <c r="U448" s="5">
        <f>OrdersTable[[#This Row],[Gross Sale]]-OrdersTable[[#This Row],[Discount Amount]]</f>
        <v>359.1</v>
      </c>
      <c r="V448" s="77">
        <f>INDEX(Products!E:E,MATCH(OrdersTable[[#This Row],[Product ID]],Products!A:A,0))</f>
        <v>152</v>
      </c>
      <c r="W448" s="77">
        <f>OrdersTable[[#This Row],[Quantity]]*OrdersTable[[#This Row],[Unit Cost]]</f>
        <v>152</v>
      </c>
      <c r="X448" s="77">
        <f>'Dropdown Lists'!$I$2*(1+OrdersTable[[#This Row],[Returned]])</f>
        <v>60</v>
      </c>
      <c r="Y448" s="76">
        <f>OrdersTable[[#This Row],[Net Revenue]]-OrdersTable[[#This Row],[COGS]]-OrdersTable[[#This Row],[Shipping Cost]]</f>
        <v>147.10000000000002</v>
      </c>
      <c r="Z448" s="78">
        <f>IFERROR(OrdersTable[[#This Row],[Profit]]/OrdersTable[[#This Row],[Net Revenue]],0)</f>
        <v>0.40963519910888335</v>
      </c>
      <c r="AA448" t="s">
        <v>4074</v>
      </c>
      <c r="AB448" s="79">
        <v>45389</v>
      </c>
      <c r="AC448">
        <f>OrdersTable[[#This Row],[Delivery Date]]-OrdersTable[[#This Row],[Order Date]]</f>
        <v>3</v>
      </c>
      <c r="AD448" t="str">
        <f>IF(OrdersTable[[#This Row],[Delivery Days]]&lt;=2, "Express (≤2d)", IF(OrdersTable[[#This Row],[Delivery Days]]&lt;=4, "Standard (3-4d)", "Delayed (5d+)"))</f>
        <v>Standard (3-4d)</v>
      </c>
      <c r="AE448">
        <v>3</v>
      </c>
      <c r="AF448">
        <v>0</v>
      </c>
    </row>
    <row r="449" spans="1:32" ht="15" x14ac:dyDescent="0.35">
      <c r="A449" t="s">
        <v>2239</v>
      </c>
      <c r="B449" s="1">
        <v>45386</v>
      </c>
      <c r="C449">
        <f>YEAR(OrdersTable[[#This Row],[Order Date]])</f>
        <v>2024</v>
      </c>
      <c r="D449" s="2">
        <f>DATE(YEAR(OrdersTable[[#This Row],[Order Date]]),MONTH(OrdersTable[[#This Row],[Order Date]]),1)</f>
        <v>45383</v>
      </c>
      <c r="E449">
        <f>MONTH(OrdersTable[[#This Row],[Order Date]])</f>
        <v>4</v>
      </c>
      <c r="F449" t="s">
        <v>2240</v>
      </c>
      <c r="G449" t="str">
        <f>IF(OrdersTable[[#This Row],[Order Date]]=_xlfn.MINIFS(Order_Date, Customer_ID, OrdersTable[[#This Row],[Customer ID]]), "New", "Repeat")</f>
        <v>New</v>
      </c>
      <c r="H449" t="s">
        <v>59</v>
      </c>
      <c r="I449" t="str">
        <f>INDEX(State!B:B,MATCH(OrdersTable[[#This Row],[State]],State!A:A,0))</f>
        <v>TN</v>
      </c>
      <c r="J449" t="str">
        <f>INDEX(State!C:C,MATCH(OrdersTable[[#This Row],[State Code]],State!B:B,0))</f>
        <v>South</v>
      </c>
      <c r="K449" t="s">
        <v>60</v>
      </c>
      <c r="L449" t="s">
        <v>65</v>
      </c>
      <c r="M449" t="s">
        <v>61</v>
      </c>
      <c r="N449" t="str">
        <f>INDEX(Products!B:B,MATCH(OrdersTable[[#This Row],[Product ID]],Products!A:A,0))</f>
        <v>Multivitamin Gummies</v>
      </c>
      <c r="O449" t="str">
        <f>INDEX(Products!C:C,MATCH(OrdersTable[[#This Row],[Product ID]],Products!A:A,0))</f>
        <v>Wellness</v>
      </c>
      <c r="P449">
        <v>1</v>
      </c>
      <c r="Q449" s="5">
        <v>699</v>
      </c>
      <c r="R449" s="74">
        <v>0.3</v>
      </c>
      <c r="S449" s="75">
        <f>OrdersTable[[#This Row],[Quantity]]*OrdersTable[[#This Row],[Unit Price]]</f>
        <v>699</v>
      </c>
      <c r="T449" s="5">
        <f>OrdersTable[[#This Row],[Gross Sale]]*OrdersTable[[#This Row],[Discount_Clean2]]</f>
        <v>209.7</v>
      </c>
      <c r="U449" s="5">
        <f>OrdersTable[[#This Row],[Gross Sale]]-OrdersTable[[#This Row],[Discount Amount]]</f>
        <v>489.3</v>
      </c>
      <c r="V449" s="77">
        <f>INDEX(Products!E:E,MATCH(OrdersTable[[#This Row],[Product ID]],Products!A:A,0))</f>
        <v>238</v>
      </c>
      <c r="W449" s="77">
        <f>OrdersTable[[#This Row],[Quantity]]*OrdersTable[[#This Row],[Unit Cost]]</f>
        <v>238</v>
      </c>
      <c r="X449" s="77">
        <f>'Dropdown Lists'!$I$2*(1+OrdersTable[[#This Row],[Returned]])</f>
        <v>60</v>
      </c>
      <c r="Y449" s="76">
        <f>OrdersTable[[#This Row],[Net Revenue]]-OrdersTable[[#This Row],[COGS]]-OrdersTable[[#This Row],[Shipping Cost]]</f>
        <v>191.3</v>
      </c>
      <c r="Z449" s="78">
        <f>IFERROR(OrdersTable[[#This Row],[Profit]]/OrdersTable[[#This Row],[Net Revenue]],0)</f>
        <v>0.39096668710402616</v>
      </c>
      <c r="AA449" t="s">
        <v>18</v>
      </c>
      <c r="AB449" s="79">
        <v>45388</v>
      </c>
      <c r="AC449">
        <f>OrdersTable[[#This Row],[Delivery Date]]-OrdersTable[[#This Row],[Order Date]]</f>
        <v>2</v>
      </c>
      <c r="AD449" t="str">
        <f>IF(OrdersTable[[#This Row],[Delivery Days]]&lt;=2, "Express (≤2d)", IF(OrdersTable[[#This Row],[Delivery Days]]&lt;=4, "Standard (3-4d)", "Delayed (5d+)"))</f>
        <v>Express (≤2d)</v>
      </c>
      <c r="AE449">
        <v>5</v>
      </c>
      <c r="AF449">
        <v>0</v>
      </c>
    </row>
    <row r="450" spans="1:32" ht="15" x14ac:dyDescent="0.35">
      <c r="A450" t="s">
        <v>6049</v>
      </c>
      <c r="B450" s="1">
        <v>45386</v>
      </c>
      <c r="C450">
        <f>YEAR(OrdersTable[[#This Row],[Order Date]])</f>
        <v>2024</v>
      </c>
      <c r="D450" s="2">
        <f>DATE(YEAR(OrdersTable[[#This Row],[Order Date]]),MONTH(OrdersTable[[#This Row],[Order Date]]),1)</f>
        <v>45383</v>
      </c>
      <c r="E450">
        <f>MONTH(OrdersTable[[#This Row],[Order Date]])</f>
        <v>4</v>
      </c>
      <c r="F450" t="s">
        <v>3137</v>
      </c>
      <c r="G450" t="str">
        <f>IF(OrdersTable[[#This Row],[Order Date]]=_xlfn.MINIFS(Order_Date, Customer_ID, OrdersTable[[#This Row],[Customer ID]]), "New", "Repeat")</f>
        <v>New</v>
      </c>
      <c r="H450" t="s">
        <v>59</v>
      </c>
      <c r="I450" t="str">
        <f>INDEX(State!B:B,MATCH(OrdersTable[[#This Row],[State]],State!A:A,0))</f>
        <v>TN</v>
      </c>
      <c r="J450" t="str">
        <f>INDEX(State!C:C,MATCH(OrdersTable[[#This Row],[State Code]],State!B:B,0))</f>
        <v>South</v>
      </c>
      <c r="K450" t="s">
        <v>60</v>
      </c>
      <c r="L450" t="s">
        <v>50</v>
      </c>
      <c r="M450" t="s">
        <v>40</v>
      </c>
      <c r="N450" t="str">
        <f>INDEX(Products!B:B,MATCH(OrdersTable[[#This Row],[Product ID]],Products!A:A,0))</f>
        <v>Ashwagandha Capsules</v>
      </c>
      <c r="O450" t="str">
        <f>INDEX(Products!C:C,MATCH(OrdersTable[[#This Row],[Product ID]],Products!A:A,0))</f>
        <v>Wellness</v>
      </c>
      <c r="P450">
        <v>2</v>
      </c>
      <c r="Q450" s="5">
        <v>499</v>
      </c>
      <c r="R450" s="74">
        <v>0.1</v>
      </c>
      <c r="S450" s="75">
        <f>OrdersTable[[#This Row],[Quantity]]*OrdersTable[[#This Row],[Unit Price]]</f>
        <v>998</v>
      </c>
      <c r="T450" s="5">
        <f>OrdersTable[[#This Row],[Gross Sale]]*OrdersTable[[#This Row],[Discount_Clean2]]</f>
        <v>99.800000000000011</v>
      </c>
      <c r="U450" s="5">
        <f>OrdersTable[[#This Row],[Gross Sale]]-OrdersTable[[#This Row],[Discount Amount]]</f>
        <v>898.2</v>
      </c>
      <c r="V450" s="77">
        <f>INDEX(Products!E:E,MATCH(OrdersTable[[#This Row],[Product ID]],Products!A:A,0))</f>
        <v>150</v>
      </c>
      <c r="W450" s="77">
        <f>OrdersTable[[#This Row],[Quantity]]*OrdersTable[[#This Row],[Unit Cost]]</f>
        <v>300</v>
      </c>
      <c r="X450" s="77">
        <f>'Dropdown Lists'!$I$2*(1+OrdersTable[[#This Row],[Returned]])</f>
        <v>60</v>
      </c>
      <c r="Y450" s="76">
        <f>OrdersTable[[#This Row],[Net Revenue]]-OrdersTable[[#This Row],[COGS]]-OrdersTable[[#This Row],[Shipping Cost]]</f>
        <v>538.20000000000005</v>
      </c>
      <c r="Z450" s="78">
        <f>IFERROR(OrdersTable[[#This Row],[Profit]]/OrdersTable[[#This Row],[Net Revenue]],0)</f>
        <v>0.59919839679358722</v>
      </c>
      <c r="AA450" t="s">
        <v>18</v>
      </c>
      <c r="AB450" s="79">
        <v>45388</v>
      </c>
      <c r="AC450">
        <f>OrdersTable[[#This Row],[Delivery Date]]-OrdersTable[[#This Row],[Order Date]]</f>
        <v>2</v>
      </c>
      <c r="AD450" t="str">
        <f>IF(OrdersTable[[#This Row],[Delivery Days]]&lt;=2, "Express (≤2d)", IF(OrdersTable[[#This Row],[Delivery Days]]&lt;=4, "Standard (3-4d)", "Delayed (5d+)"))</f>
        <v>Express (≤2d)</v>
      </c>
      <c r="AE450">
        <v>4</v>
      </c>
      <c r="AF450">
        <v>0</v>
      </c>
    </row>
    <row r="451" spans="1:32" ht="15" x14ac:dyDescent="0.35">
      <c r="A451" t="s">
        <v>5662</v>
      </c>
      <c r="B451" s="1">
        <v>45387</v>
      </c>
      <c r="C451">
        <f>YEAR(OrdersTable[[#This Row],[Order Date]])</f>
        <v>2024</v>
      </c>
      <c r="D451" s="2">
        <f>DATE(YEAR(OrdersTable[[#This Row],[Order Date]]),MONTH(OrdersTable[[#This Row],[Order Date]]),1)</f>
        <v>45383</v>
      </c>
      <c r="E451">
        <f>MONTH(OrdersTable[[#This Row],[Order Date]])</f>
        <v>4</v>
      </c>
      <c r="F451" t="s">
        <v>603</v>
      </c>
      <c r="G451" t="str">
        <f>IF(OrdersTable[[#This Row],[Order Date]]=_xlfn.MINIFS(Order_Date, Customer_ID, OrdersTable[[#This Row],[Customer ID]]), "New", "Repeat")</f>
        <v>New</v>
      </c>
      <c r="H451" t="s">
        <v>210</v>
      </c>
      <c r="I451" t="str">
        <f>INDEX(State!B:B,MATCH(OrdersTable[[#This Row],[State]],State!A:A,0))</f>
        <v>JK</v>
      </c>
      <c r="J451" t="str">
        <f>INDEX(State!C:C,MATCH(OrdersTable[[#This Row],[State Code]],State!B:B,0))</f>
        <v>North</v>
      </c>
      <c r="K451" t="s">
        <v>415</v>
      </c>
      <c r="L451" t="s">
        <v>65</v>
      </c>
      <c r="M451" t="s">
        <v>109</v>
      </c>
      <c r="N451" t="str">
        <f>INDEX(Products!B:B,MATCH(OrdersTable[[#This Row],[Product ID]],Products!A:A,0))</f>
        <v>Onion Hair Oil</v>
      </c>
      <c r="O451" t="str">
        <f>INDEX(Products!C:C,MATCH(OrdersTable[[#This Row],[Product ID]],Products!A:A,0))</f>
        <v>Haircare</v>
      </c>
      <c r="P451">
        <v>2</v>
      </c>
      <c r="Q451" s="5">
        <v>349</v>
      </c>
      <c r="R451" s="74">
        <v>0.35</v>
      </c>
      <c r="S451" s="75">
        <f>OrdersTable[[#This Row],[Quantity]]*OrdersTable[[#This Row],[Unit Price]]</f>
        <v>698</v>
      </c>
      <c r="T451" s="5">
        <f>OrdersTable[[#This Row],[Gross Sale]]*OrdersTable[[#This Row],[Discount_Clean2]]</f>
        <v>244.29999999999998</v>
      </c>
      <c r="U451" s="5">
        <f>OrdersTable[[#This Row],[Gross Sale]]-OrdersTable[[#This Row],[Discount Amount]]</f>
        <v>453.70000000000005</v>
      </c>
      <c r="V451" s="77">
        <f>INDEX(Products!E:E,MATCH(OrdersTable[[#This Row],[Product ID]],Products!A:A,0))</f>
        <v>105</v>
      </c>
      <c r="W451" s="77">
        <f>OrdersTable[[#This Row],[Quantity]]*OrdersTable[[#This Row],[Unit Cost]]</f>
        <v>210</v>
      </c>
      <c r="X451" s="77">
        <f>'Dropdown Lists'!$I$2*(1+OrdersTable[[#This Row],[Returned]])</f>
        <v>120</v>
      </c>
      <c r="Y451" s="76">
        <f>OrdersTable[[#This Row],[Net Revenue]]-OrdersTable[[#This Row],[COGS]]-OrdersTable[[#This Row],[Shipping Cost]]</f>
        <v>123.70000000000005</v>
      </c>
      <c r="Z451" s="78">
        <f>IFERROR(OrdersTable[[#This Row],[Profit]]/OrdersTable[[#This Row],[Net Revenue]],0)</f>
        <v>0.27264712364998905</v>
      </c>
      <c r="AA451" t="s">
        <v>18</v>
      </c>
      <c r="AB451" s="79">
        <v>45393</v>
      </c>
      <c r="AC451">
        <f>OrdersTable[[#This Row],[Delivery Date]]-OrdersTable[[#This Row],[Order Date]]</f>
        <v>6</v>
      </c>
      <c r="AD451" t="str">
        <f>IF(OrdersTable[[#This Row],[Delivery Days]]&lt;=2, "Express (≤2d)", IF(OrdersTable[[#This Row],[Delivery Days]]&lt;=4, "Standard (3-4d)", "Delayed (5d+)"))</f>
        <v>Delayed (5d+)</v>
      </c>
      <c r="AE451">
        <v>3</v>
      </c>
      <c r="AF451">
        <v>1</v>
      </c>
    </row>
    <row r="452" spans="1:32" ht="15" x14ac:dyDescent="0.35">
      <c r="A452" t="s">
        <v>6267</v>
      </c>
      <c r="B452" s="1">
        <v>45387</v>
      </c>
      <c r="C452">
        <f>YEAR(OrdersTable[[#This Row],[Order Date]])</f>
        <v>2024</v>
      </c>
      <c r="D452" s="2">
        <f>DATE(YEAR(OrdersTable[[#This Row],[Order Date]]),MONTH(OrdersTable[[#This Row],[Order Date]]),1)</f>
        <v>45383</v>
      </c>
      <c r="E452">
        <f>MONTH(OrdersTable[[#This Row],[Order Date]])</f>
        <v>4</v>
      </c>
      <c r="F452" t="s">
        <v>4240</v>
      </c>
      <c r="G452" t="str">
        <f>IF(OrdersTable[[#This Row],[Order Date]]=_xlfn.MINIFS(Order_Date, Customer_ID, OrdersTable[[#This Row],[Customer ID]]), "New", "Repeat")</f>
        <v>New</v>
      </c>
      <c r="H452" t="s">
        <v>59</v>
      </c>
      <c r="I452" t="str">
        <f>INDEX(State!B:B,MATCH(OrdersTable[[#This Row],[State]],State!A:A,0))</f>
        <v>TN</v>
      </c>
      <c r="J452" t="str">
        <f>INDEX(State!C:C,MATCH(OrdersTable[[#This Row],[State Code]],State!B:B,0))</f>
        <v>South</v>
      </c>
      <c r="K452" t="s">
        <v>64</v>
      </c>
      <c r="L452" t="s">
        <v>50</v>
      </c>
      <c r="M452" t="s">
        <v>152</v>
      </c>
      <c r="N452" t="str">
        <f>INDEX(Products!B:B,MATCH(OrdersTable[[#This Row],[Product ID]],Products!A:A,0))</f>
        <v>Green Tea (100 bags)</v>
      </c>
      <c r="O452" t="str">
        <f>INDEX(Products!C:C,MATCH(OrdersTable[[#This Row],[Product ID]],Products!A:A,0))</f>
        <v>Wellness</v>
      </c>
      <c r="P452">
        <v>2</v>
      </c>
      <c r="Q452" s="5">
        <v>399</v>
      </c>
      <c r="R452" s="74">
        <v>0.45</v>
      </c>
      <c r="S452" s="75">
        <f>OrdersTable[[#This Row],[Quantity]]*OrdersTable[[#This Row],[Unit Price]]</f>
        <v>798</v>
      </c>
      <c r="T452" s="5">
        <f>OrdersTable[[#This Row],[Gross Sale]]*OrdersTable[[#This Row],[Discount_Clean2]]</f>
        <v>359.1</v>
      </c>
      <c r="U452" s="5">
        <f>OrdersTable[[#This Row],[Gross Sale]]-OrdersTable[[#This Row],[Discount Amount]]</f>
        <v>438.9</v>
      </c>
      <c r="V452" s="77">
        <f>INDEX(Products!E:E,MATCH(OrdersTable[[#This Row],[Product ID]],Products!A:A,0))</f>
        <v>128</v>
      </c>
      <c r="W452" s="77">
        <f>OrdersTable[[#This Row],[Quantity]]*OrdersTable[[#This Row],[Unit Cost]]</f>
        <v>256</v>
      </c>
      <c r="X452" s="77">
        <f>'Dropdown Lists'!$I$2*(1+OrdersTable[[#This Row],[Returned]])</f>
        <v>60</v>
      </c>
      <c r="Y452" s="76">
        <f>OrdersTable[[#This Row],[Net Revenue]]-OrdersTable[[#This Row],[COGS]]-OrdersTable[[#This Row],[Shipping Cost]]</f>
        <v>122.89999999999998</v>
      </c>
      <c r="Z452" s="78">
        <f>IFERROR(OrdersTable[[#This Row],[Profit]]/OrdersTable[[#This Row],[Net Revenue]],0)</f>
        <v>0.28001822738664839</v>
      </c>
      <c r="AA452" t="s">
        <v>18</v>
      </c>
      <c r="AB452" s="79">
        <v>45391</v>
      </c>
      <c r="AC452">
        <f>OrdersTable[[#This Row],[Delivery Date]]-OrdersTable[[#This Row],[Order Date]]</f>
        <v>4</v>
      </c>
      <c r="AD452" t="str">
        <f>IF(OrdersTable[[#This Row],[Delivery Days]]&lt;=2, "Express (≤2d)", IF(OrdersTable[[#This Row],[Delivery Days]]&lt;=4, "Standard (3-4d)", "Delayed (5d+)"))</f>
        <v>Standard (3-4d)</v>
      </c>
      <c r="AE452">
        <v>5</v>
      </c>
      <c r="AF452">
        <v>0</v>
      </c>
    </row>
    <row r="453" spans="1:32" ht="15" x14ac:dyDescent="0.35">
      <c r="A453" t="s">
        <v>6850</v>
      </c>
      <c r="B453" s="1">
        <v>45388</v>
      </c>
      <c r="C453">
        <f>YEAR(OrdersTable[[#This Row],[Order Date]])</f>
        <v>2024</v>
      </c>
      <c r="D453" s="2">
        <f>DATE(YEAR(OrdersTable[[#This Row],[Order Date]]),MONTH(OrdersTable[[#This Row],[Order Date]]),1)</f>
        <v>45383</v>
      </c>
      <c r="E453">
        <f>MONTH(OrdersTable[[#This Row],[Order Date]])</f>
        <v>4</v>
      </c>
      <c r="F453" t="s">
        <v>6104</v>
      </c>
      <c r="G453" t="str">
        <f>IF(OrdersTable[[#This Row],[Order Date]]=_xlfn.MINIFS(Order_Date, Customer_ID, OrdersTable[[#This Row],[Customer ID]]), "New", "Repeat")</f>
        <v>New</v>
      </c>
      <c r="H453" t="s">
        <v>48</v>
      </c>
      <c r="I453" t="str">
        <f>INDEX(State!B:B,MATCH(OrdersTable[[#This Row],[State]],State!A:A,0))</f>
        <v>HR</v>
      </c>
      <c r="J453" t="str">
        <f>INDEX(State!C:C,MATCH(OrdersTable[[#This Row],[State Code]],State!B:B,0))</f>
        <v>North</v>
      </c>
      <c r="K453" t="s">
        <v>151</v>
      </c>
      <c r="L453" t="s">
        <v>65</v>
      </c>
      <c r="M453" t="s">
        <v>73</v>
      </c>
      <c r="N453" t="str">
        <f>INDEX(Products!B:B,MATCH(OrdersTable[[#This Row],[Product ID]],Products!A:A,0))</f>
        <v>Hydrating Face Wash</v>
      </c>
      <c r="O453" t="str">
        <f>INDEX(Products!C:C,MATCH(OrdersTable[[#This Row],[Product ID]],Products!A:A,0))</f>
        <v>Skincare</v>
      </c>
      <c r="P453">
        <v>3</v>
      </c>
      <c r="Q453" s="5">
        <v>299</v>
      </c>
      <c r="R453" s="74">
        <v>0.05</v>
      </c>
      <c r="S453" s="75">
        <f>OrdersTable[[#This Row],[Quantity]]*OrdersTable[[#This Row],[Unit Price]]</f>
        <v>897</v>
      </c>
      <c r="T453" s="5">
        <f>OrdersTable[[#This Row],[Gross Sale]]*OrdersTable[[#This Row],[Discount_Clean2]]</f>
        <v>44.85</v>
      </c>
      <c r="U453" s="5">
        <f>OrdersTable[[#This Row],[Gross Sale]]-OrdersTable[[#This Row],[Discount Amount]]</f>
        <v>852.15</v>
      </c>
      <c r="V453" s="77">
        <f>INDEX(Products!E:E,MATCH(OrdersTable[[#This Row],[Product ID]],Products!A:A,0))</f>
        <v>90</v>
      </c>
      <c r="W453" s="77">
        <f>OrdersTable[[#This Row],[Quantity]]*OrdersTable[[#This Row],[Unit Cost]]</f>
        <v>270</v>
      </c>
      <c r="X453" s="77">
        <f>'Dropdown Lists'!$I$2*(1+OrdersTable[[#This Row],[Returned]])</f>
        <v>60</v>
      </c>
      <c r="Y453" s="76">
        <f>OrdersTable[[#This Row],[Net Revenue]]-OrdersTable[[#This Row],[COGS]]-OrdersTable[[#This Row],[Shipping Cost]]</f>
        <v>522.15</v>
      </c>
      <c r="Z453" s="78">
        <f>IFERROR(OrdersTable[[#This Row],[Profit]]/OrdersTable[[#This Row],[Net Revenue]],0)</f>
        <v>0.61274423516986443</v>
      </c>
      <c r="AA453" t="s">
        <v>4074</v>
      </c>
      <c r="AB453" s="79">
        <v>45389</v>
      </c>
      <c r="AC453">
        <f>OrdersTable[[#This Row],[Delivery Date]]-OrdersTable[[#This Row],[Order Date]]</f>
        <v>1</v>
      </c>
      <c r="AD453" t="str">
        <f>IF(OrdersTable[[#This Row],[Delivery Days]]&lt;=2, "Express (≤2d)", IF(OrdersTable[[#This Row],[Delivery Days]]&lt;=4, "Standard (3-4d)", "Delayed (5d+)"))</f>
        <v>Express (≤2d)</v>
      </c>
      <c r="AE453">
        <v>5</v>
      </c>
      <c r="AF453">
        <v>0</v>
      </c>
    </row>
    <row r="454" spans="1:32" ht="15" x14ac:dyDescent="0.35">
      <c r="A454" t="s">
        <v>2883</v>
      </c>
      <c r="B454" s="1">
        <v>45388</v>
      </c>
      <c r="C454">
        <f>YEAR(OrdersTable[[#This Row],[Order Date]])</f>
        <v>2024</v>
      </c>
      <c r="D454" s="2">
        <f>DATE(YEAR(OrdersTable[[#This Row],[Order Date]]),MONTH(OrdersTable[[#This Row],[Order Date]]),1)</f>
        <v>45383</v>
      </c>
      <c r="E454">
        <f>MONTH(OrdersTable[[#This Row],[Order Date]])</f>
        <v>4</v>
      </c>
      <c r="F454" t="s">
        <v>2884</v>
      </c>
      <c r="G454" t="str">
        <f>IF(OrdersTable[[#This Row],[Order Date]]=_xlfn.MINIFS(Order_Date, Customer_ID, OrdersTable[[#This Row],[Customer ID]]), "New", "Repeat")</f>
        <v>Repeat</v>
      </c>
      <c r="H454" t="s">
        <v>76</v>
      </c>
      <c r="I454" t="str">
        <f>INDEX(State!B:B,MATCH(OrdersTable[[#This Row],[State]],State!A:A,0))</f>
        <v>UP</v>
      </c>
      <c r="J454" t="str">
        <f>INDEX(State!C:C,MATCH(OrdersTable[[#This Row],[State Code]],State!B:B,0))</f>
        <v>North</v>
      </c>
      <c r="K454" t="s">
        <v>105</v>
      </c>
      <c r="L454" t="s">
        <v>39</v>
      </c>
      <c r="M454" t="s">
        <v>45</v>
      </c>
      <c r="N454" t="str">
        <f>INDEX(Products!B:B,MATCH(OrdersTable[[#This Row],[Product ID]],Products!A:A,0))</f>
        <v>Argan Shampoo</v>
      </c>
      <c r="O454" t="str">
        <f>INDEX(Products!C:C,MATCH(OrdersTable[[#This Row],[Product ID]],Products!A:A,0))</f>
        <v>Haircare</v>
      </c>
      <c r="P454">
        <v>1</v>
      </c>
      <c r="Q454" s="5">
        <v>449</v>
      </c>
      <c r="R454" s="74">
        <v>0</v>
      </c>
      <c r="S454" s="75">
        <f>OrdersTable[[#This Row],[Quantity]]*OrdersTable[[#This Row],[Unit Price]]</f>
        <v>449</v>
      </c>
      <c r="T454" s="5">
        <f>OrdersTable[[#This Row],[Gross Sale]]*OrdersTable[[#This Row],[Discount_Clean2]]</f>
        <v>0</v>
      </c>
      <c r="U454" s="5">
        <f>OrdersTable[[#This Row],[Gross Sale]]-OrdersTable[[#This Row],[Discount Amount]]</f>
        <v>449</v>
      </c>
      <c r="V454" s="77">
        <f>INDEX(Products!E:E,MATCH(OrdersTable[[#This Row],[Product ID]],Products!A:A,0))</f>
        <v>148</v>
      </c>
      <c r="W454" s="77">
        <f>OrdersTable[[#This Row],[Quantity]]*OrdersTable[[#This Row],[Unit Cost]]</f>
        <v>148</v>
      </c>
      <c r="X454" s="77">
        <f>'Dropdown Lists'!$I$2*(1+OrdersTable[[#This Row],[Returned]])</f>
        <v>60</v>
      </c>
      <c r="Y454" s="76">
        <f>OrdersTable[[#This Row],[Net Revenue]]-OrdersTable[[#This Row],[COGS]]-OrdersTable[[#This Row],[Shipping Cost]]</f>
        <v>241</v>
      </c>
      <c r="Z454" s="78">
        <f>IFERROR(OrdersTable[[#This Row],[Profit]]/OrdersTable[[#This Row],[Net Revenue]],0)</f>
        <v>0.53674832962138086</v>
      </c>
      <c r="AA454" t="s">
        <v>2522</v>
      </c>
      <c r="AB454" s="79">
        <v>45392</v>
      </c>
      <c r="AC454">
        <f>OrdersTable[[#This Row],[Delivery Date]]-OrdersTable[[#This Row],[Order Date]]</f>
        <v>4</v>
      </c>
      <c r="AD454" t="str">
        <f>IF(OrdersTable[[#This Row],[Delivery Days]]&lt;=2, "Express (≤2d)", IF(OrdersTable[[#This Row],[Delivery Days]]&lt;=4, "Standard (3-4d)", "Delayed (5d+)"))</f>
        <v>Standard (3-4d)</v>
      </c>
      <c r="AF454">
        <v>0</v>
      </c>
    </row>
    <row r="455" spans="1:32" ht="15" x14ac:dyDescent="0.35">
      <c r="A455" t="s">
        <v>5569</v>
      </c>
      <c r="B455" s="1">
        <v>45388</v>
      </c>
      <c r="C455">
        <f>YEAR(OrdersTable[[#This Row],[Order Date]])</f>
        <v>2024</v>
      </c>
      <c r="D455" s="2">
        <f>DATE(YEAR(OrdersTable[[#This Row],[Order Date]]),MONTH(OrdersTable[[#This Row],[Order Date]]),1)</f>
        <v>45383</v>
      </c>
      <c r="E455">
        <f>MONTH(OrdersTable[[#This Row],[Order Date]])</f>
        <v>4</v>
      </c>
      <c r="F455" t="s">
        <v>3545</v>
      </c>
      <c r="G455" t="str">
        <f>IF(OrdersTable[[#This Row],[Order Date]]=_xlfn.MINIFS(Order_Date, Customer_ID, OrdersTable[[#This Row],[Customer ID]]), "New", "Repeat")</f>
        <v>New</v>
      </c>
      <c r="H455" t="s">
        <v>482</v>
      </c>
      <c r="I455" t="str">
        <f>INDEX(State!B:B,MATCH(OrdersTable[[#This Row],[State]],State!A:A,0))</f>
        <v>CG</v>
      </c>
      <c r="J455" t="str">
        <f>INDEX(State!C:C,MATCH(OrdersTable[[#This Row],[State Code]],State!B:B,0))</f>
        <v>East</v>
      </c>
      <c r="K455" t="s">
        <v>483</v>
      </c>
      <c r="L455" t="s">
        <v>39</v>
      </c>
      <c r="M455" t="s">
        <v>34</v>
      </c>
      <c r="N455" t="str">
        <f>INDEX(Products!B:B,MATCH(OrdersTable[[#This Row],[Product ID]],Products!A:A,0))</f>
        <v>Flip Flops</v>
      </c>
      <c r="O455" t="str">
        <f>INDEX(Products!C:C,MATCH(OrdersTable[[#This Row],[Product ID]],Products!A:A,0))</f>
        <v>Footwear</v>
      </c>
      <c r="P455">
        <v>2</v>
      </c>
      <c r="Q455" s="5">
        <v>399</v>
      </c>
      <c r="R455" s="74">
        <v>0.15</v>
      </c>
      <c r="S455" s="75">
        <f>OrdersTable[[#This Row],[Quantity]]*OrdersTable[[#This Row],[Unit Price]]</f>
        <v>798</v>
      </c>
      <c r="T455" s="5">
        <f>OrdersTable[[#This Row],[Gross Sale]]*OrdersTable[[#This Row],[Discount_Clean2]]</f>
        <v>119.69999999999999</v>
      </c>
      <c r="U455" s="5">
        <f>OrdersTable[[#This Row],[Gross Sale]]-OrdersTable[[#This Row],[Discount Amount]]</f>
        <v>678.3</v>
      </c>
      <c r="V455" s="77">
        <f>INDEX(Products!E:E,MATCH(OrdersTable[[#This Row],[Product ID]],Products!A:A,0))</f>
        <v>152</v>
      </c>
      <c r="W455" s="77">
        <f>OrdersTable[[#This Row],[Quantity]]*OrdersTable[[#This Row],[Unit Cost]]</f>
        <v>304</v>
      </c>
      <c r="X455" s="77">
        <f>'Dropdown Lists'!$I$2*(1+OrdersTable[[#This Row],[Returned]])</f>
        <v>120</v>
      </c>
      <c r="Y455" s="76">
        <f>OrdersTable[[#This Row],[Net Revenue]]-OrdersTable[[#This Row],[COGS]]-OrdersTable[[#This Row],[Shipping Cost]]</f>
        <v>254.29999999999995</v>
      </c>
      <c r="Z455" s="78">
        <f>IFERROR(OrdersTable[[#This Row],[Profit]]/OrdersTable[[#This Row],[Net Revenue]],0)</f>
        <v>0.37490785787999409</v>
      </c>
      <c r="AA455" t="s">
        <v>2522</v>
      </c>
      <c r="AB455" s="79">
        <v>45393</v>
      </c>
      <c r="AC455">
        <f>OrdersTable[[#This Row],[Delivery Date]]-OrdersTable[[#This Row],[Order Date]]</f>
        <v>5</v>
      </c>
      <c r="AD455" t="str">
        <f>IF(OrdersTable[[#This Row],[Delivery Days]]&lt;=2, "Express (≤2d)", IF(OrdersTable[[#This Row],[Delivery Days]]&lt;=4, "Standard (3-4d)", "Delayed (5d+)"))</f>
        <v>Delayed (5d+)</v>
      </c>
      <c r="AE455">
        <v>4</v>
      </c>
      <c r="AF455">
        <v>1</v>
      </c>
    </row>
    <row r="456" spans="1:32" ht="15" x14ac:dyDescent="0.35">
      <c r="A456" t="s">
        <v>454</v>
      </c>
      <c r="B456" s="1">
        <v>45388</v>
      </c>
      <c r="C456">
        <f>YEAR(OrdersTable[[#This Row],[Order Date]])</f>
        <v>2024</v>
      </c>
      <c r="D456" s="2">
        <f>DATE(YEAR(OrdersTable[[#This Row],[Order Date]]),MONTH(OrdersTable[[#This Row],[Order Date]]),1)</f>
        <v>45383</v>
      </c>
      <c r="E456">
        <f>MONTH(OrdersTable[[#This Row],[Order Date]])</f>
        <v>4</v>
      </c>
      <c r="F456" t="s">
        <v>362</v>
      </c>
      <c r="G456" t="str">
        <f>IF(OrdersTable[[#This Row],[Order Date]]=_xlfn.MINIFS(Order_Date, Customer_ID, OrdersTable[[#This Row],[Customer ID]]), "New", "Repeat")</f>
        <v>New</v>
      </c>
      <c r="H456" t="s">
        <v>71</v>
      </c>
      <c r="I456" t="str">
        <f>INDEX(State!B:B,MATCH(OrdersTable[[#This Row],[State]],State!A:A,0))</f>
        <v>MH</v>
      </c>
      <c r="J456" t="str">
        <f>INDEX(State!C:C,MATCH(OrdersTable[[#This Row],[State Code]],State!B:B,0))</f>
        <v>West</v>
      </c>
      <c r="K456" t="s">
        <v>72</v>
      </c>
      <c r="L456" t="s">
        <v>50</v>
      </c>
      <c r="M456" t="s">
        <v>78</v>
      </c>
      <c r="N456" t="str">
        <f>INDEX(Products!B:B,MATCH(OrdersTable[[#This Row],[Product ID]],Products!A:A,0))</f>
        <v>Retinol Night Cream</v>
      </c>
      <c r="O456" t="str">
        <f>INDEX(Products!C:C,MATCH(OrdersTable[[#This Row],[Product ID]],Products!A:A,0))</f>
        <v>Skincare</v>
      </c>
      <c r="P456">
        <v>1</v>
      </c>
      <c r="Q456" s="5">
        <v>799</v>
      </c>
      <c r="R456" s="74">
        <v>0.05</v>
      </c>
      <c r="S456" s="75">
        <f>OrdersTable[[#This Row],[Quantity]]*OrdersTable[[#This Row],[Unit Price]]</f>
        <v>799</v>
      </c>
      <c r="T456" s="5">
        <f>OrdersTable[[#This Row],[Gross Sale]]*OrdersTable[[#This Row],[Discount_Clean2]]</f>
        <v>39.950000000000003</v>
      </c>
      <c r="U456" s="5">
        <f>OrdersTable[[#This Row],[Gross Sale]]-OrdersTable[[#This Row],[Discount Amount]]</f>
        <v>759.05</v>
      </c>
      <c r="V456" s="77">
        <f>INDEX(Products!E:E,MATCH(OrdersTable[[#This Row],[Product ID]],Products!A:A,0))</f>
        <v>216</v>
      </c>
      <c r="W456" s="77">
        <f>OrdersTable[[#This Row],[Quantity]]*OrdersTable[[#This Row],[Unit Cost]]</f>
        <v>216</v>
      </c>
      <c r="X456" s="77">
        <f>'Dropdown Lists'!$I$2*(1+OrdersTable[[#This Row],[Returned]])</f>
        <v>60</v>
      </c>
      <c r="Y456" s="76">
        <f>OrdersTable[[#This Row],[Net Revenue]]-OrdersTable[[#This Row],[COGS]]-OrdersTable[[#This Row],[Shipping Cost]]</f>
        <v>483.04999999999995</v>
      </c>
      <c r="Z456" s="78">
        <f>IFERROR(OrdersTable[[#This Row],[Profit]]/OrdersTable[[#This Row],[Net Revenue]],0)</f>
        <v>0.63638758975034582</v>
      </c>
      <c r="AA456" t="s">
        <v>18</v>
      </c>
      <c r="AB456" s="79">
        <v>45390</v>
      </c>
      <c r="AC456">
        <f>OrdersTable[[#This Row],[Delivery Date]]-OrdersTable[[#This Row],[Order Date]]</f>
        <v>2</v>
      </c>
      <c r="AD456" t="str">
        <f>IF(OrdersTable[[#This Row],[Delivery Days]]&lt;=2, "Express (≤2d)", IF(OrdersTable[[#This Row],[Delivery Days]]&lt;=4, "Standard (3-4d)", "Delayed (5d+)"))</f>
        <v>Express (≤2d)</v>
      </c>
      <c r="AE456">
        <v>4</v>
      </c>
      <c r="AF456">
        <v>0</v>
      </c>
    </row>
    <row r="457" spans="1:32" ht="15" x14ac:dyDescent="0.35">
      <c r="A457" t="s">
        <v>5570</v>
      </c>
      <c r="B457" s="1">
        <v>45388</v>
      </c>
      <c r="C457">
        <f>YEAR(OrdersTable[[#This Row],[Order Date]])</f>
        <v>2024</v>
      </c>
      <c r="D457" s="2">
        <f>DATE(YEAR(OrdersTable[[#This Row],[Order Date]]),MONTH(OrdersTable[[#This Row],[Order Date]]),1)</f>
        <v>45383</v>
      </c>
      <c r="E457">
        <f>MONTH(OrdersTable[[#This Row],[Order Date]])</f>
        <v>4</v>
      </c>
      <c r="F457" t="s">
        <v>5571</v>
      </c>
      <c r="G457" t="str">
        <f>IF(OrdersTable[[#This Row],[Order Date]]=_xlfn.MINIFS(Order_Date, Customer_ID, OrdersTable[[#This Row],[Customer ID]]), "New", "Repeat")</f>
        <v>New</v>
      </c>
      <c r="H457" t="s">
        <v>14</v>
      </c>
      <c r="I457" t="str">
        <f>INDEX(State!B:B,MATCH(OrdersTable[[#This Row],[State]],State!A:A,0))</f>
        <v>OD</v>
      </c>
      <c r="J457" t="str">
        <f>INDEX(State!C:C,MATCH(OrdersTable[[#This Row],[State Code]],State!B:B,0))</f>
        <v>East</v>
      </c>
      <c r="K457" t="s">
        <v>15</v>
      </c>
      <c r="L457" t="s">
        <v>65</v>
      </c>
      <c r="M457" t="s">
        <v>152</v>
      </c>
      <c r="N457" t="str">
        <f>INDEX(Products!B:B,MATCH(OrdersTable[[#This Row],[Product ID]],Products!A:A,0))</f>
        <v>Green Tea (100 bags)</v>
      </c>
      <c r="O457" t="str">
        <f>INDEX(Products!C:C,MATCH(OrdersTable[[#This Row],[Product ID]],Products!A:A,0))</f>
        <v>Wellness</v>
      </c>
      <c r="P457">
        <v>2</v>
      </c>
      <c r="Q457" s="5">
        <v>399</v>
      </c>
      <c r="R457" s="74">
        <v>0.45</v>
      </c>
      <c r="S457" s="75">
        <f>OrdersTable[[#This Row],[Quantity]]*OrdersTable[[#This Row],[Unit Price]]</f>
        <v>798</v>
      </c>
      <c r="T457" s="5">
        <f>OrdersTable[[#This Row],[Gross Sale]]*OrdersTable[[#This Row],[Discount_Clean2]]</f>
        <v>359.1</v>
      </c>
      <c r="U457" s="5">
        <f>OrdersTable[[#This Row],[Gross Sale]]-OrdersTable[[#This Row],[Discount Amount]]</f>
        <v>438.9</v>
      </c>
      <c r="V457" s="77">
        <f>INDEX(Products!E:E,MATCH(OrdersTable[[#This Row],[Product ID]],Products!A:A,0))</f>
        <v>128</v>
      </c>
      <c r="W457" s="77">
        <f>OrdersTable[[#This Row],[Quantity]]*OrdersTable[[#This Row],[Unit Cost]]</f>
        <v>256</v>
      </c>
      <c r="X457" s="77">
        <f>'Dropdown Lists'!$I$2*(1+OrdersTable[[#This Row],[Returned]])</f>
        <v>60</v>
      </c>
      <c r="Y457" s="76">
        <f>OrdersTable[[#This Row],[Net Revenue]]-OrdersTable[[#This Row],[COGS]]-OrdersTable[[#This Row],[Shipping Cost]]</f>
        <v>122.89999999999998</v>
      </c>
      <c r="Z457" s="78">
        <f>IFERROR(OrdersTable[[#This Row],[Profit]]/OrdersTable[[#This Row],[Net Revenue]],0)</f>
        <v>0.28001822738664839</v>
      </c>
      <c r="AA457" t="s">
        <v>2522</v>
      </c>
      <c r="AB457" s="79">
        <v>45395</v>
      </c>
      <c r="AC457">
        <f>OrdersTable[[#This Row],[Delivery Date]]-OrdersTable[[#This Row],[Order Date]]</f>
        <v>7</v>
      </c>
      <c r="AD457" t="str">
        <f>IF(OrdersTable[[#This Row],[Delivery Days]]&lt;=2, "Express (≤2d)", IF(OrdersTable[[#This Row],[Delivery Days]]&lt;=4, "Standard (3-4d)", "Delayed (5d+)"))</f>
        <v>Delayed (5d+)</v>
      </c>
      <c r="AE457">
        <v>4</v>
      </c>
      <c r="AF457">
        <v>0</v>
      </c>
    </row>
    <row r="458" spans="1:32" ht="15" x14ac:dyDescent="0.35">
      <c r="A458" t="s">
        <v>3401</v>
      </c>
      <c r="B458" s="1">
        <v>45389</v>
      </c>
      <c r="C458">
        <f>YEAR(OrdersTable[[#This Row],[Order Date]])</f>
        <v>2024</v>
      </c>
      <c r="D458" s="2">
        <f>DATE(YEAR(OrdersTable[[#This Row],[Order Date]]),MONTH(OrdersTable[[#This Row],[Order Date]]),1)</f>
        <v>45383</v>
      </c>
      <c r="E458">
        <f>MONTH(OrdersTable[[#This Row],[Order Date]])</f>
        <v>4</v>
      </c>
      <c r="F458" t="s">
        <v>288</v>
      </c>
      <c r="G458" t="str">
        <f>IF(OrdersTable[[#This Row],[Order Date]]=_xlfn.MINIFS(Order_Date, Customer_ID, OrdersTable[[#This Row],[Customer ID]]), "New", "Repeat")</f>
        <v>New</v>
      </c>
      <c r="H458" t="s">
        <v>48</v>
      </c>
      <c r="I458" t="str">
        <f>INDEX(State!B:B,MATCH(OrdersTable[[#This Row],[State]],State!A:A,0))</f>
        <v>HR</v>
      </c>
      <c r="J458" t="str">
        <f>INDEX(State!C:C,MATCH(OrdersTable[[#This Row],[State Code]],State!B:B,0))</f>
        <v>North</v>
      </c>
      <c r="K458" t="s">
        <v>49</v>
      </c>
      <c r="L458" t="s">
        <v>65</v>
      </c>
      <c r="M458" t="s">
        <v>51</v>
      </c>
      <c r="N458" t="str">
        <f>INDEX(Products!B:B,MATCH(OrdersTable[[#This Row],[Product ID]],Products!A:A,0))</f>
        <v>Anti-Dandruff Conditioner</v>
      </c>
      <c r="O458" t="str">
        <f>INDEX(Products!C:C,MATCH(OrdersTable[[#This Row],[Product ID]],Products!A:A,0))</f>
        <v>Haircare</v>
      </c>
      <c r="P458">
        <v>1</v>
      </c>
      <c r="Q458" s="5">
        <v>399</v>
      </c>
      <c r="R458" s="74">
        <v>0.35</v>
      </c>
      <c r="S458" s="75">
        <f>OrdersTable[[#This Row],[Quantity]]*OrdersTable[[#This Row],[Unit Price]]</f>
        <v>399</v>
      </c>
      <c r="T458" s="5">
        <f>OrdersTable[[#This Row],[Gross Sale]]*OrdersTable[[#This Row],[Discount_Clean2]]</f>
        <v>139.64999999999998</v>
      </c>
      <c r="U458" s="5">
        <f>OrdersTable[[#This Row],[Gross Sale]]-OrdersTable[[#This Row],[Discount Amount]]</f>
        <v>259.35000000000002</v>
      </c>
      <c r="V458" s="77">
        <f>INDEX(Products!E:E,MATCH(OrdersTable[[#This Row],[Product ID]],Products!A:A,0))</f>
        <v>136</v>
      </c>
      <c r="W458" s="77">
        <f>OrdersTable[[#This Row],[Quantity]]*OrdersTable[[#This Row],[Unit Cost]]</f>
        <v>136</v>
      </c>
      <c r="X458" s="77">
        <f>'Dropdown Lists'!$I$2*(1+OrdersTable[[#This Row],[Returned]])</f>
        <v>60</v>
      </c>
      <c r="Y458" s="76">
        <f>OrdersTable[[#This Row],[Net Revenue]]-OrdersTable[[#This Row],[COGS]]-OrdersTable[[#This Row],[Shipping Cost]]</f>
        <v>63.350000000000023</v>
      </c>
      <c r="Z458" s="78">
        <f>IFERROR(OrdersTable[[#This Row],[Profit]]/OrdersTable[[#This Row],[Net Revenue]],0)</f>
        <v>0.24426450742240222</v>
      </c>
      <c r="AA458" t="s">
        <v>2522</v>
      </c>
      <c r="AB458" s="79">
        <v>45391</v>
      </c>
      <c r="AC458">
        <f>OrdersTable[[#This Row],[Delivery Date]]-OrdersTable[[#This Row],[Order Date]]</f>
        <v>2</v>
      </c>
      <c r="AD458" t="str">
        <f>IF(OrdersTable[[#This Row],[Delivery Days]]&lt;=2, "Express (≤2d)", IF(OrdersTable[[#This Row],[Delivery Days]]&lt;=4, "Standard (3-4d)", "Delayed (5d+)"))</f>
        <v>Express (≤2d)</v>
      </c>
      <c r="AE458">
        <v>4</v>
      </c>
      <c r="AF458">
        <v>0</v>
      </c>
    </row>
    <row r="459" spans="1:32" ht="15" x14ac:dyDescent="0.35">
      <c r="A459" t="s">
        <v>4340</v>
      </c>
      <c r="B459" s="1">
        <v>45389</v>
      </c>
      <c r="C459">
        <f>YEAR(OrdersTable[[#This Row],[Order Date]])</f>
        <v>2024</v>
      </c>
      <c r="D459" s="2">
        <f>DATE(YEAR(OrdersTable[[#This Row],[Order Date]]),MONTH(OrdersTable[[#This Row],[Order Date]]),1)</f>
        <v>45383</v>
      </c>
      <c r="E459">
        <f>MONTH(OrdersTable[[#This Row],[Order Date]])</f>
        <v>4</v>
      </c>
      <c r="F459" t="s">
        <v>3467</v>
      </c>
      <c r="G459" t="str">
        <f>IF(OrdersTable[[#This Row],[Order Date]]=_xlfn.MINIFS(Order_Date, Customer_ID, OrdersTable[[#This Row],[Customer ID]]), "New", "Repeat")</f>
        <v>New</v>
      </c>
      <c r="H459" t="s">
        <v>71</v>
      </c>
      <c r="I459" t="str">
        <f>INDEX(State!B:B,MATCH(OrdersTable[[#This Row],[State]],State!A:A,0))</f>
        <v>MH</v>
      </c>
      <c r="J459" t="str">
        <f>INDEX(State!C:C,MATCH(OrdersTable[[#This Row],[State Code]],State!B:B,0))</f>
        <v>West</v>
      </c>
      <c r="K459" t="s">
        <v>72</v>
      </c>
      <c r="L459" t="s">
        <v>65</v>
      </c>
      <c r="M459" t="s">
        <v>73</v>
      </c>
      <c r="N459" t="str">
        <f>INDEX(Products!B:B,MATCH(OrdersTable[[#This Row],[Product ID]],Products!A:A,0))</f>
        <v>Hydrating Face Wash</v>
      </c>
      <c r="O459" t="str">
        <f>INDEX(Products!C:C,MATCH(OrdersTable[[#This Row],[Product ID]],Products!A:A,0))</f>
        <v>Skincare</v>
      </c>
      <c r="P459">
        <v>1</v>
      </c>
      <c r="Q459" s="5">
        <v>299</v>
      </c>
      <c r="R459" s="74">
        <v>0</v>
      </c>
      <c r="S459" s="75">
        <f>OrdersTable[[#This Row],[Quantity]]*OrdersTable[[#This Row],[Unit Price]]</f>
        <v>299</v>
      </c>
      <c r="T459" s="5">
        <f>OrdersTable[[#This Row],[Gross Sale]]*OrdersTable[[#This Row],[Discount_Clean2]]</f>
        <v>0</v>
      </c>
      <c r="U459" s="5">
        <f>OrdersTable[[#This Row],[Gross Sale]]-OrdersTable[[#This Row],[Discount Amount]]</f>
        <v>299</v>
      </c>
      <c r="V459" s="77">
        <f>INDEX(Products!E:E,MATCH(OrdersTable[[#This Row],[Product ID]],Products!A:A,0))</f>
        <v>90</v>
      </c>
      <c r="W459" s="77">
        <f>OrdersTable[[#This Row],[Quantity]]*OrdersTable[[#This Row],[Unit Cost]]</f>
        <v>90</v>
      </c>
      <c r="X459" s="77">
        <f>'Dropdown Lists'!$I$2*(1+OrdersTable[[#This Row],[Returned]])</f>
        <v>120</v>
      </c>
      <c r="Y459" s="76">
        <f>OrdersTable[[#This Row],[Net Revenue]]-OrdersTable[[#This Row],[COGS]]-OrdersTable[[#This Row],[Shipping Cost]]</f>
        <v>89</v>
      </c>
      <c r="Z459" s="78">
        <f>IFERROR(OrdersTable[[#This Row],[Profit]]/OrdersTable[[#This Row],[Net Revenue]],0)</f>
        <v>0.2976588628762542</v>
      </c>
      <c r="AA459" t="s">
        <v>4074</v>
      </c>
      <c r="AB459" s="79">
        <v>45391</v>
      </c>
      <c r="AC459">
        <f>OrdersTable[[#This Row],[Delivery Date]]-OrdersTable[[#This Row],[Order Date]]</f>
        <v>2</v>
      </c>
      <c r="AD459" t="str">
        <f>IF(OrdersTable[[#This Row],[Delivery Days]]&lt;=2, "Express (≤2d)", IF(OrdersTable[[#This Row],[Delivery Days]]&lt;=4, "Standard (3-4d)", "Delayed (5d+)"))</f>
        <v>Express (≤2d)</v>
      </c>
      <c r="AE459">
        <v>4</v>
      </c>
      <c r="AF459">
        <v>1</v>
      </c>
    </row>
    <row r="460" spans="1:32" ht="15" x14ac:dyDescent="0.35">
      <c r="A460" t="s">
        <v>5081</v>
      </c>
      <c r="B460" s="1">
        <v>45389</v>
      </c>
      <c r="C460">
        <f>YEAR(OrdersTable[[#This Row],[Order Date]])</f>
        <v>2024</v>
      </c>
      <c r="D460" s="2">
        <f>DATE(YEAR(OrdersTable[[#This Row],[Order Date]]),MONTH(OrdersTable[[#This Row],[Order Date]]),1)</f>
        <v>45383</v>
      </c>
      <c r="E460">
        <f>MONTH(OrdersTable[[#This Row],[Order Date]])</f>
        <v>4</v>
      </c>
      <c r="F460" t="s">
        <v>3225</v>
      </c>
      <c r="G460" t="str">
        <f>IF(OrdersTable[[#This Row],[Order Date]]=_xlfn.MINIFS(Order_Date, Customer_ID, OrdersTable[[#This Row],[Customer ID]]), "New", "Repeat")</f>
        <v>New</v>
      </c>
      <c r="H460" t="s">
        <v>167</v>
      </c>
      <c r="I460" t="str">
        <f>INDEX(State!B:B,MATCH(OrdersTable[[#This Row],[State]],State!A:A,0))</f>
        <v>KA</v>
      </c>
      <c r="J460" t="str">
        <f>INDEX(State!C:C,MATCH(OrdersTable[[#This Row],[State Code]],State!B:B,0))</f>
        <v>South</v>
      </c>
      <c r="K460" t="s">
        <v>168</v>
      </c>
      <c r="L460" t="s">
        <v>50</v>
      </c>
      <c r="M460" t="s">
        <v>179</v>
      </c>
      <c r="N460" t="str">
        <f>INDEX(Products!B:B,MATCH(OrdersTable[[#This Row],[Product ID]],Products!A:A,0))</f>
        <v>Whey Protein 1kg</v>
      </c>
      <c r="O460" t="str">
        <f>INDEX(Products!C:C,MATCH(OrdersTable[[#This Row],[Product ID]],Products!A:A,0))</f>
        <v>Wellness</v>
      </c>
      <c r="P460">
        <v>2</v>
      </c>
      <c r="Q460" s="5">
        <v>2299</v>
      </c>
      <c r="R460" s="74">
        <v>0.3</v>
      </c>
      <c r="S460" s="75">
        <f>OrdersTable[[#This Row],[Quantity]]*OrdersTable[[#This Row],[Unit Price]]</f>
        <v>4598</v>
      </c>
      <c r="T460" s="5">
        <f>OrdersTable[[#This Row],[Gross Sale]]*OrdersTable[[#This Row],[Discount_Clean2]]</f>
        <v>1379.3999999999999</v>
      </c>
      <c r="U460" s="5">
        <f>OrdersTable[[#This Row],[Gross Sale]]-OrdersTable[[#This Row],[Discount Amount]]</f>
        <v>3218.6000000000004</v>
      </c>
      <c r="V460" s="77">
        <f>INDEX(Products!E:E,MATCH(OrdersTable[[#This Row],[Product ID]],Products!A:A,0))</f>
        <v>1333</v>
      </c>
      <c r="W460" s="77">
        <f>OrdersTable[[#This Row],[Quantity]]*OrdersTable[[#This Row],[Unit Cost]]</f>
        <v>2666</v>
      </c>
      <c r="X460" s="77">
        <f>'Dropdown Lists'!$I$2*(1+OrdersTable[[#This Row],[Returned]])</f>
        <v>60</v>
      </c>
      <c r="Y460" s="76">
        <f>OrdersTable[[#This Row],[Net Revenue]]-OrdersTable[[#This Row],[COGS]]-OrdersTable[[#This Row],[Shipping Cost]]</f>
        <v>492.60000000000036</v>
      </c>
      <c r="Z460" s="78">
        <f>IFERROR(OrdersTable[[#This Row],[Profit]]/OrdersTable[[#This Row],[Net Revenue]],0)</f>
        <v>0.15304790902877036</v>
      </c>
      <c r="AA460" t="s">
        <v>3495</v>
      </c>
      <c r="AB460" s="79">
        <v>45392</v>
      </c>
      <c r="AC460">
        <f>OrdersTable[[#This Row],[Delivery Date]]-OrdersTable[[#This Row],[Order Date]]</f>
        <v>3</v>
      </c>
      <c r="AD460" t="str">
        <f>IF(OrdersTable[[#This Row],[Delivery Days]]&lt;=2, "Express (≤2d)", IF(OrdersTable[[#This Row],[Delivery Days]]&lt;=4, "Standard (3-4d)", "Delayed (5d+)"))</f>
        <v>Standard (3-4d)</v>
      </c>
      <c r="AF460">
        <v>0</v>
      </c>
    </row>
    <row r="461" spans="1:32" ht="15" x14ac:dyDescent="0.35">
      <c r="A461" t="s">
        <v>3514</v>
      </c>
      <c r="B461" s="1">
        <v>45389</v>
      </c>
      <c r="C461">
        <f>YEAR(OrdersTable[[#This Row],[Order Date]])</f>
        <v>2024</v>
      </c>
      <c r="D461" s="2">
        <f>DATE(YEAR(OrdersTable[[#This Row],[Order Date]]),MONTH(OrdersTable[[#This Row],[Order Date]]),1)</f>
        <v>45383</v>
      </c>
      <c r="E461">
        <f>MONTH(OrdersTable[[#This Row],[Order Date]])</f>
        <v>4</v>
      </c>
      <c r="F461" t="s">
        <v>3515</v>
      </c>
      <c r="G461" t="str">
        <f>IF(OrdersTable[[#This Row],[Order Date]]=_xlfn.MINIFS(Order_Date, Customer_ID, OrdersTable[[#This Row],[Customer ID]]), "New", "Repeat")</f>
        <v>New</v>
      </c>
      <c r="H461" t="s">
        <v>167</v>
      </c>
      <c r="I461" t="str">
        <f>INDEX(State!B:B,MATCH(OrdersTable[[#This Row],[State]],State!A:A,0))</f>
        <v>KA</v>
      </c>
      <c r="J461" t="str">
        <f>INDEX(State!C:C,MATCH(OrdersTable[[#This Row],[State Code]],State!B:B,0))</f>
        <v>South</v>
      </c>
      <c r="K461" t="s">
        <v>168</v>
      </c>
      <c r="L461" t="s">
        <v>39</v>
      </c>
      <c r="M461" t="s">
        <v>34</v>
      </c>
      <c r="N461" t="str">
        <f>INDEX(Products!B:B,MATCH(OrdersTable[[#This Row],[Product ID]],Products!A:A,0))</f>
        <v>Flip Flops</v>
      </c>
      <c r="O461" t="str">
        <f>INDEX(Products!C:C,MATCH(OrdersTable[[#This Row],[Product ID]],Products!A:A,0))</f>
        <v>Footwear</v>
      </c>
      <c r="P461">
        <v>1</v>
      </c>
      <c r="Q461" s="5">
        <v>399</v>
      </c>
      <c r="R461" s="74">
        <v>0.05</v>
      </c>
      <c r="S461" s="75">
        <f>OrdersTable[[#This Row],[Quantity]]*OrdersTable[[#This Row],[Unit Price]]</f>
        <v>399</v>
      </c>
      <c r="T461" s="5">
        <f>OrdersTable[[#This Row],[Gross Sale]]*OrdersTable[[#This Row],[Discount_Clean2]]</f>
        <v>19.950000000000003</v>
      </c>
      <c r="U461" s="5">
        <f>OrdersTable[[#This Row],[Gross Sale]]-OrdersTable[[#This Row],[Discount Amount]]</f>
        <v>379.05</v>
      </c>
      <c r="V461" s="77">
        <f>INDEX(Products!E:E,MATCH(OrdersTable[[#This Row],[Product ID]],Products!A:A,0))</f>
        <v>152</v>
      </c>
      <c r="W461" s="77">
        <f>OrdersTable[[#This Row],[Quantity]]*OrdersTable[[#This Row],[Unit Cost]]</f>
        <v>152</v>
      </c>
      <c r="X461" s="77">
        <f>'Dropdown Lists'!$I$2*(1+OrdersTable[[#This Row],[Returned]])</f>
        <v>60</v>
      </c>
      <c r="Y461" s="76">
        <f>OrdersTable[[#This Row],[Net Revenue]]-OrdersTable[[#This Row],[COGS]]-OrdersTable[[#This Row],[Shipping Cost]]</f>
        <v>167.05</v>
      </c>
      <c r="Z461" s="78">
        <f>IFERROR(OrdersTable[[#This Row],[Profit]]/OrdersTable[[#This Row],[Net Revenue]],0)</f>
        <v>0.44070703073473161</v>
      </c>
      <c r="AA461" t="s">
        <v>3495</v>
      </c>
      <c r="AB461" s="79">
        <v>45392</v>
      </c>
      <c r="AC461">
        <f>OrdersTable[[#This Row],[Delivery Date]]-OrdersTable[[#This Row],[Order Date]]</f>
        <v>3</v>
      </c>
      <c r="AD461" t="str">
        <f>IF(OrdersTable[[#This Row],[Delivery Days]]&lt;=2, "Express (≤2d)", IF(OrdersTable[[#This Row],[Delivery Days]]&lt;=4, "Standard (3-4d)", "Delayed (5d+)"))</f>
        <v>Standard (3-4d)</v>
      </c>
      <c r="AE461">
        <v>4</v>
      </c>
      <c r="AF461">
        <v>0</v>
      </c>
    </row>
    <row r="462" spans="1:32" ht="15" x14ac:dyDescent="0.35">
      <c r="A462" t="s">
        <v>4755</v>
      </c>
      <c r="B462" s="1">
        <v>45389</v>
      </c>
      <c r="C462">
        <f>YEAR(OrdersTable[[#This Row],[Order Date]])</f>
        <v>2024</v>
      </c>
      <c r="D462" s="2">
        <f>DATE(YEAR(OrdersTable[[#This Row],[Order Date]]),MONTH(OrdersTable[[#This Row],[Order Date]]),1)</f>
        <v>45383</v>
      </c>
      <c r="E462">
        <f>MONTH(OrdersTable[[#This Row],[Order Date]])</f>
        <v>4</v>
      </c>
      <c r="F462" t="s">
        <v>4756</v>
      </c>
      <c r="G462" t="str">
        <f>IF(OrdersTable[[#This Row],[Order Date]]=_xlfn.MINIFS(Order_Date, Customer_ID, OrdersTable[[#This Row],[Customer ID]]), "New", "Repeat")</f>
        <v>New</v>
      </c>
      <c r="H462" t="s">
        <v>316</v>
      </c>
      <c r="I462" t="str">
        <f>INDEX(State!B:B,MATCH(OrdersTable[[#This Row],[State]],State!A:A,0))</f>
        <v>KL</v>
      </c>
      <c r="J462" t="str">
        <f>INDEX(State!C:C,MATCH(OrdersTable[[#This Row],[State Code]],State!B:B,0))</f>
        <v>South</v>
      </c>
      <c r="K462" t="s">
        <v>317</v>
      </c>
      <c r="L462" t="s">
        <v>39</v>
      </c>
      <c r="M462" t="s">
        <v>106</v>
      </c>
      <c r="N462" t="str">
        <f>INDEX(Products!B:B,MATCH(OrdersTable[[#This Row],[Product ID]],Products!A:A,0))</f>
        <v>Keratin Hair Mask</v>
      </c>
      <c r="O462" t="str">
        <f>INDEX(Products!C:C,MATCH(OrdersTable[[#This Row],[Product ID]],Products!A:A,0))</f>
        <v>Haircare</v>
      </c>
      <c r="P462">
        <v>2</v>
      </c>
      <c r="Q462" s="5">
        <v>549</v>
      </c>
      <c r="R462" s="74">
        <v>0.15</v>
      </c>
      <c r="S462" s="75">
        <f>OrdersTable[[#This Row],[Quantity]]*OrdersTable[[#This Row],[Unit Price]]</f>
        <v>1098</v>
      </c>
      <c r="T462" s="5">
        <f>OrdersTable[[#This Row],[Gross Sale]]*OrdersTable[[#This Row],[Discount_Clean2]]</f>
        <v>164.7</v>
      </c>
      <c r="U462" s="5">
        <f>OrdersTable[[#This Row],[Gross Sale]]-OrdersTable[[#This Row],[Discount Amount]]</f>
        <v>933.3</v>
      </c>
      <c r="V462" s="77">
        <f>INDEX(Products!E:E,MATCH(OrdersTable[[#This Row],[Product ID]],Products!A:A,0))</f>
        <v>170</v>
      </c>
      <c r="W462" s="77">
        <f>OrdersTable[[#This Row],[Quantity]]*OrdersTable[[#This Row],[Unit Cost]]</f>
        <v>340</v>
      </c>
      <c r="X462" s="77">
        <f>'Dropdown Lists'!$I$2*(1+OrdersTable[[#This Row],[Returned]])</f>
        <v>60</v>
      </c>
      <c r="Y462" s="76">
        <f>OrdersTable[[#This Row],[Net Revenue]]-OrdersTable[[#This Row],[COGS]]-OrdersTable[[#This Row],[Shipping Cost]]</f>
        <v>533.29999999999995</v>
      </c>
      <c r="Z462" s="78">
        <f>IFERROR(OrdersTable[[#This Row],[Profit]]/OrdersTable[[#This Row],[Net Revenue]],0)</f>
        <v>0.57141326475945564</v>
      </c>
      <c r="AA462" t="s">
        <v>4450</v>
      </c>
      <c r="AB462" s="79">
        <v>45393</v>
      </c>
      <c r="AC462">
        <f>OrdersTable[[#This Row],[Delivery Date]]-OrdersTable[[#This Row],[Order Date]]</f>
        <v>4</v>
      </c>
      <c r="AD462" t="str">
        <f>IF(OrdersTable[[#This Row],[Delivery Days]]&lt;=2, "Express (≤2d)", IF(OrdersTable[[#This Row],[Delivery Days]]&lt;=4, "Standard (3-4d)", "Delayed (5d+)"))</f>
        <v>Standard (3-4d)</v>
      </c>
      <c r="AE462">
        <v>4</v>
      </c>
      <c r="AF462">
        <v>0</v>
      </c>
    </row>
    <row r="463" spans="1:32" ht="15" x14ac:dyDescent="0.35">
      <c r="A463" t="s">
        <v>3960</v>
      </c>
      <c r="B463" s="1">
        <v>45390</v>
      </c>
      <c r="C463">
        <f>YEAR(OrdersTable[[#This Row],[Order Date]])</f>
        <v>2024</v>
      </c>
      <c r="D463" s="2">
        <f>DATE(YEAR(OrdersTable[[#This Row],[Order Date]]),MONTH(OrdersTable[[#This Row],[Order Date]]),1)</f>
        <v>45383</v>
      </c>
      <c r="E463">
        <f>MONTH(OrdersTable[[#This Row],[Order Date]])</f>
        <v>4</v>
      </c>
      <c r="F463" t="s">
        <v>3961</v>
      </c>
      <c r="G463" t="str">
        <f>IF(OrdersTable[[#This Row],[Order Date]]=_xlfn.MINIFS(Order_Date, Customer_ID, OrdersTable[[#This Row],[Customer ID]]), "New", "Repeat")</f>
        <v>New</v>
      </c>
      <c r="H463" t="s">
        <v>48</v>
      </c>
      <c r="I463" t="str">
        <f>INDEX(State!B:B,MATCH(OrdersTable[[#This Row],[State]],State!A:A,0))</f>
        <v>HR</v>
      </c>
      <c r="J463" t="str">
        <f>INDEX(State!C:C,MATCH(OrdersTable[[#This Row],[State Code]],State!B:B,0))</f>
        <v>North</v>
      </c>
      <c r="K463" t="s">
        <v>49</v>
      </c>
      <c r="L463" t="s">
        <v>39</v>
      </c>
      <c r="M463" t="s">
        <v>66</v>
      </c>
      <c r="N463" t="str">
        <f>INDEX(Products!B:B,MATCH(OrdersTable[[#This Row],[Product ID]],Products!A:A,0))</f>
        <v>Sunscreen SPF 50</v>
      </c>
      <c r="O463" t="str">
        <f>INDEX(Products!C:C,MATCH(OrdersTable[[#This Row],[Product ID]],Products!A:A,0))</f>
        <v>Skincare</v>
      </c>
      <c r="P463">
        <v>1</v>
      </c>
      <c r="Q463" s="5">
        <v>449</v>
      </c>
      <c r="R463" s="74">
        <v>0</v>
      </c>
      <c r="S463" s="75">
        <f>OrdersTable[[#This Row],[Quantity]]*OrdersTable[[#This Row],[Unit Price]]</f>
        <v>449</v>
      </c>
      <c r="T463" s="5">
        <f>OrdersTable[[#This Row],[Gross Sale]]*OrdersTable[[#This Row],[Discount_Clean2]]</f>
        <v>0</v>
      </c>
      <c r="U463" s="5">
        <f>OrdersTable[[#This Row],[Gross Sale]]-OrdersTable[[#This Row],[Discount Amount]]</f>
        <v>449</v>
      </c>
      <c r="V463" s="77">
        <f>INDEX(Products!E:E,MATCH(OrdersTable[[#This Row],[Product ID]],Products!A:A,0))</f>
        <v>144</v>
      </c>
      <c r="W463" s="77">
        <f>OrdersTable[[#This Row],[Quantity]]*OrdersTable[[#This Row],[Unit Cost]]</f>
        <v>144</v>
      </c>
      <c r="X463" s="77">
        <f>'Dropdown Lists'!$I$2*(1+OrdersTable[[#This Row],[Returned]])</f>
        <v>60</v>
      </c>
      <c r="Y463" s="76">
        <f>OrdersTable[[#This Row],[Net Revenue]]-OrdersTable[[#This Row],[COGS]]-OrdersTable[[#This Row],[Shipping Cost]]</f>
        <v>245</v>
      </c>
      <c r="Z463" s="78">
        <f>IFERROR(OrdersTable[[#This Row],[Profit]]/OrdersTable[[#This Row],[Net Revenue]],0)</f>
        <v>0.54565701559020041</v>
      </c>
      <c r="AA463" t="s">
        <v>3495</v>
      </c>
      <c r="AB463" s="79">
        <v>45393</v>
      </c>
      <c r="AC463">
        <f>OrdersTable[[#This Row],[Delivery Date]]-OrdersTable[[#This Row],[Order Date]]</f>
        <v>3</v>
      </c>
      <c r="AD463" t="str">
        <f>IF(OrdersTable[[#This Row],[Delivery Days]]&lt;=2, "Express (≤2d)", IF(OrdersTable[[#This Row],[Delivery Days]]&lt;=4, "Standard (3-4d)", "Delayed (5d+)"))</f>
        <v>Standard (3-4d)</v>
      </c>
      <c r="AE463">
        <v>5</v>
      </c>
      <c r="AF463">
        <v>0</v>
      </c>
    </row>
    <row r="464" spans="1:32" ht="15" x14ac:dyDescent="0.35">
      <c r="A464" t="s">
        <v>5082</v>
      </c>
      <c r="B464" s="1">
        <v>45390</v>
      </c>
      <c r="C464">
        <f>YEAR(OrdersTable[[#This Row],[Order Date]])</f>
        <v>2024</v>
      </c>
      <c r="D464" s="2">
        <f>DATE(YEAR(OrdersTable[[#This Row],[Order Date]]),MONTH(OrdersTable[[#This Row],[Order Date]]),1)</f>
        <v>45383</v>
      </c>
      <c r="E464">
        <f>MONTH(OrdersTable[[#This Row],[Order Date]])</f>
        <v>4</v>
      </c>
      <c r="F464" t="s">
        <v>5083</v>
      </c>
      <c r="G464" t="str">
        <f>IF(OrdersTable[[#This Row],[Order Date]]=_xlfn.MINIFS(Order_Date, Customer_ID, OrdersTable[[#This Row],[Customer ID]]), "New", "Repeat")</f>
        <v>New</v>
      </c>
      <c r="H464" t="s">
        <v>32</v>
      </c>
      <c r="I464" t="str">
        <f>INDEX(State!B:B,MATCH(OrdersTable[[#This Row],[State]],State!A:A,0))</f>
        <v>BR</v>
      </c>
      <c r="J464" t="str">
        <f>INDEX(State!C:C,MATCH(OrdersTable[[#This Row],[State Code]],State!B:B,0))</f>
        <v>East</v>
      </c>
      <c r="K464" t="s">
        <v>33</v>
      </c>
      <c r="L464" t="s">
        <v>23</v>
      </c>
      <c r="M464" t="s">
        <v>179</v>
      </c>
      <c r="N464" t="str">
        <f>INDEX(Products!B:B,MATCH(OrdersTable[[#This Row],[Product ID]],Products!A:A,0))</f>
        <v>Whey Protein 1kg</v>
      </c>
      <c r="O464" t="str">
        <f>INDEX(Products!C:C,MATCH(OrdersTable[[#This Row],[Product ID]],Products!A:A,0))</f>
        <v>Wellness</v>
      </c>
      <c r="P464">
        <v>2</v>
      </c>
      <c r="Q464" s="5">
        <v>2299</v>
      </c>
      <c r="R464" s="74">
        <v>0.35</v>
      </c>
      <c r="S464" s="75">
        <f>OrdersTable[[#This Row],[Quantity]]*OrdersTable[[#This Row],[Unit Price]]</f>
        <v>4598</v>
      </c>
      <c r="T464" s="5">
        <f>OrdersTable[[#This Row],[Gross Sale]]*OrdersTable[[#This Row],[Discount_Clean2]]</f>
        <v>1609.3</v>
      </c>
      <c r="U464" s="5">
        <f>OrdersTable[[#This Row],[Gross Sale]]-OrdersTable[[#This Row],[Discount Amount]]</f>
        <v>2988.7</v>
      </c>
      <c r="V464" s="77">
        <f>INDEX(Products!E:E,MATCH(OrdersTable[[#This Row],[Product ID]],Products!A:A,0))</f>
        <v>1333</v>
      </c>
      <c r="W464" s="77">
        <f>OrdersTable[[#This Row],[Quantity]]*OrdersTable[[#This Row],[Unit Cost]]</f>
        <v>2666</v>
      </c>
      <c r="X464" s="77">
        <f>'Dropdown Lists'!$I$2*(1+OrdersTable[[#This Row],[Returned]])</f>
        <v>60</v>
      </c>
      <c r="Y464" s="76">
        <f>OrdersTable[[#This Row],[Net Revenue]]-OrdersTable[[#This Row],[COGS]]-OrdersTable[[#This Row],[Shipping Cost]]</f>
        <v>262.69999999999982</v>
      </c>
      <c r="Z464" s="78">
        <f>IFERROR(OrdersTable[[#This Row],[Profit]]/OrdersTable[[#This Row],[Net Revenue]],0)</f>
        <v>8.7897748184829469E-2</v>
      </c>
      <c r="AA464" t="s">
        <v>3495</v>
      </c>
      <c r="AB464" s="79">
        <v>45396</v>
      </c>
      <c r="AC464">
        <f>OrdersTable[[#This Row],[Delivery Date]]-OrdersTable[[#This Row],[Order Date]]</f>
        <v>6</v>
      </c>
      <c r="AD464" t="str">
        <f>IF(OrdersTable[[#This Row],[Delivery Days]]&lt;=2, "Express (≤2d)", IF(OrdersTable[[#This Row],[Delivery Days]]&lt;=4, "Standard (3-4d)", "Delayed (5d+)"))</f>
        <v>Delayed (5d+)</v>
      </c>
      <c r="AE464">
        <v>4</v>
      </c>
      <c r="AF464">
        <v>0</v>
      </c>
    </row>
    <row r="465" spans="1:32" ht="15" x14ac:dyDescent="0.35">
      <c r="A465" t="s">
        <v>1132</v>
      </c>
      <c r="B465" s="1">
        <v>45390</v>
      </c>
      <c r="C465">
        <f>YEAR(OrdersTable[[#This Row],[Order Date]])</f>
        <v>2024</v>
      </c>
      <c r="D465" s="2">
        <f>DATE(YEAR(OrdersTable[[#This Row],[Order Date]]),MONTH(OrdersTable[[#This Row],[Order Date]]),1)</f>
        <v>45383</v>
      </c>
      <c r="E465">
        <f>MONTH(OrdersTable[[#This Row],[Order Date]])</f>
        <v>4</v>
      </c>
      <c r="F465" t="s">
        <v>1133</v>
      </c>
      <c r="G465" t="str">
        <f>IF(OrdersTable[[#This Row],[Order Date]]=_xlfn.MINIFS(Order_Date, Customer_ID, OrdersTable[[#This Row],[Customer ID]]), "New", "Repeat")</f>
        <v>New</v>
      </c>
      <c r="H465" t="s">
        <v>123</v>
      </c>
      <c r="I465" t="str">
        <f>INDEX(State!B:B,MATCH(OrdersTable[[#This Row],[State]],State!A:A,0))</f>
        <v>JH</v>
      </c>
      <c r="J465" t="str">
        <f>INDEX(State!C:C,MATCH(OrdersTable[[#This Row],[State Code]],State!B:B,0))</f>
        <v>East</v>
      </c>
      <c r="K465" t="s">
        <v>124</v>
      </c>
      <c r="L465" t="s">
        <v>50</v>
      </c>
      <c r="M465" t="s">
        <v>56</v>
      </c>
      <c r="N465" t="str">
        <f>INDEX(Products!B:B,MATCH(OrdersTable[[#This Row],[Product ID]],Products!A:A,0))</f>
        <v>Vitamin C Face Serum</v>
      </c>
      <c r="O465" t="str">
        <f>INDEX(Products!C:C,MATCH(OrdersTable[[#This Row],[Product ID]],Products!A:A,0))</f>
        <v>Skincare</v>
      </c>
      <c r="P465">
        <v>1</v>
      </c>
      <c r="Q465" s="5">
        <v>599</v>
      </c>
      <c r="R465" s="74">
        <v>0.15</v>
      </c>
      <c r="S465" s="75">
        <f>OrdersTable[[#This Row],[Quantity]]*OrdersTable[[#This Row],[Unit Price]]</f>
        <v>599</v>
      </c>
      <c r="T465" s="5">
        <f>OrdersTable[[#This Row],[Gross Sale]]*OrdersTable[[#This Row],[Discount_Clean2]]</f>
        <v>89.85</v>
      </c>
      <c r="U465" s="5">
        <f>OrdersTable[[#This Row],[Gross Sale]]-OrdersTable[[#This Row],[Discount Amount]]</f>
        <v>509.15</v>
      </c>
      <c r="V465" s="77">
        <f>INDEX(Products!E:E,MATCH(OrdersTable[[#This Row],[Product ID]],Products!A:A,0))</f>
        <v>180</v>
      </c>
      <c r="W465" s="77">
        <f>OrdersTable[[#This Row],[Quantity]]*OrdersTable[[#This Row],[Unit Cost]]</f>
        <v>180</v>
      </c>
      <c r="X465" s="77">
        <f>'Dropdown Lists'!$I$2*(1+OrdersTable[[#This Row],[Returned]])</f>
        <v>60</v>
      </c>
      <c r="Y465" s="76">
        <f>OrdersTable[[#This Row],[Net Revenue]]-OrdersTable[[#This Row],[COGS]]-OrdersTable[[#This Row],[Shipping Cost]]</f>
        <v>269.14999999999998</v>
      </c>
      <c r="Z465" s="78">
        <f>IFERROR(OrdersTable[[#This Row],[Profit]]/OrdersTable[[#This Row],[Net Revenue]],0)</f>
        <v>0.52862614160856325</v>
      </c>
      <c r="AA465" t="s">
        <v>18</v>
      </c>
      <c r="AB465" s="79">
        <v>45393</v>
      </c>
      <c r="AC465">
        <f>OrdersTable[[#This Row],[Delivery Date]]-OrdersTable[[#This Row],[Order Date]]</f>
        <v>3</v>
      </c>
      <c r="AD465" t="str">
        <f>IF(OrdersTable[[#This Row],[Delivery Days]]&lt;=2, "Express (≤2d)", IF(OrdersTable[[#This Row],[Delivery Days]]&lt;=4, "Standard (3-4d)", "Delayed (5d+)"))</f>
        <v>Standard (3-4d)</v>
      </c>
      <c r="AF465">
        <v>0</v>
      </c>
    </row>
    <row r="466" spans="1:32" ht="15" x14ac:dyDescent="0.35">
      <c r="A466" t="s">
        <v>3516</v>
      </c>
      <c r="B466" s="1">
        <v>45390</v>
      </c>
      <c r="C466">
        <f>YEAR(OrdersTable[[#This Row],[Order Date]])</f>
        <v>2024</v>
      </c>
      <c r="D466" s="2">
        <f>DATE(YEAR(OrdersTable[[#This Row],[Order Date]]),MONTH(OrdersTable[[#This Row],[Order Date]]),1)</f>
        <v>45383</v>
      </c>
      <c r="E466">
        <f>MONTH(OrdersTable[[#This Row],[Order Date]])</f>
        <v>4</v>
      </c>
      <c r="F466" t="s">
        <v>1454</v>
      </c>
      <c r="G466" t="str">
        <f>IF(OrdersTable[[#This Row],[Order Date]]=_xlfn.MINIFS(Order_Date, Customer_ID, OrdersTable[[#This Row],[Customer ID]]), "New", "Repeat")</f>
        <v>Repeat</v>
      </c>
      <c r="H466" t="s">
        <v>14</v>
      </c>
      <c r="I466" t="str">
        <f>INDEX(State!B:B,MATCH(OrdersTable[[#This Row],[State]],State!A:A,0))</f>
        <v>OD</v>
      </c>
      <c r="J466" t="str">
        <f>INDEX(State!C:C,MATCH(OrdersTable[[#This Row],[State Code]],State!B:B,0))</f>
        <v>East</v>
      </c>
      <c r="K466" t="s">
        <v>15</v>
      </c>
      <c r="L466" t="s">
        <v>23</v>
      </c>
      <c r="M466" t="s">
        <v>125</v>
      </c>
      <c r="N466" t="str">
        <f>INDEX(Products!B:B,MATCH(OrdersTable[[#This Row],[Product ID]],Products!A:A,0))</f>
        <v>Copper Water Bottle</v>
      </c>
      <c r="O466" t="str">
        <f>INDEX(Products!C:C,MATCH(OrdersTable[[#This Row],[Product ID]],Products!A:A,0))</f>
        <v>Home &amp; Kitchen</v>
      </c>
      <c r="P466">
        <v>1</v>
      </c>
      <c r="Q466" s="5">
        <v>899</v>
      </c>
      <c r="R466" s="74">
        <v>0</v>
      </c>
      <c r="S466" s="75">
        <f>OrdersTable[[#This Row],[Quantity]]*OrdersTable[[#This Row],[Unit Price]]</f>
        <v>899</v>
      </c>
      <c r="T466" s="5">
        <f>OrdersTable[[#This Row],[Gross Sale]]*OrdersTable[[#This Row],[Discount_Clean2]]</f>
        <v>0</v>
      </c>
      <c r="U466" s="5">
        <f>OrdersTable[[#This Row],[Gross Sale]]-OrdersTable[[#This Row],[Discount Amount]]</f>
        <v>899</v>
      </c>
      <c r="V466" s="77">
        <f>INDEX(Products!E:E,MATCH(OrdersTable[[#This Row],[Product ID]],Products!A:A,0))</f>
        <v>378</v>
      </c>
      <c r="W466" s="77">
        <f>OrdersTable[[#This Row],[Quantity]]*OrdersTable[[#This Row],[Unit Cost]]</f>
        <v>378</v>
      </c>
      <c r="X466" s="77">
        <f>'Dropdown Lists'!$I$2*(1+OrdersTable[[#This Row],[Returned]])</f>
        <v>60</v>
      </c>
      <c r="Y466" s="76">
        <f>OrdersTable[[#This Row],[Net Revenue]]-OrdersTable[[#This Row],[COGS]]-OrdersTable[[#This Row],[Shipping Cost]]</f>
        <v>461</v>
      </c>
      <c r="Z466" s="78">
        <f>IFERROR(OrdersTable[[#This Row],[Profit]]/OrdersTable[[#This Row],[Net Revenue]],0)</f>
        <v>0.51279199110122353</v>
      </c>
      <c r="AA466" t="s">
        <v>3495</v>
      </c>
      <c r="AB466" s="79">
        <v>45395</v>
      </c>
      <c r="AC466">
        <f>OrdersTable[[#This Row],[Delivery Date]]-OrdersTable[[#This Row],[Order Date]]</f>
        <v>5</v>
      </c>
      <c r="AD466" t="str">
        <f>IF(OrdersTable[[#This Row],[Delivery Days]]&lt;=2, "Express (≤2d)", IF(OrdersTable[[#This Row],[Delivery Days]]&lt;=4, "Standard (3-4d)", "Delayed (5d+)"))</f>
        <v>Delayed (5d+)</v>
      </c>
      <c r="AE466">
        <v>4</v>
      </c>
      <c r="AF466">
        <v>0</v>
      </c>
    </row>
    <row r="467" spans="1:32" ht="15" x14ac:dyDescent="0.35">
      <c r="A467" t="s">
        <v>4562</v>
      </c>
      <c r="B467" s="1">
        <v>45390</v>
      </c>
      <c r="C467">
        <f>YEAR(OrdersTable[[#This Row],[Order Date]])</f>
        <v>2024</v>
      </c>
      <c r="D467" s="2">
        <f>DATE(YEAR(OrdersTable[[#This Row],[Order Date]]),MONTH(OrdersTable[[#This Row],[Order Date]]),1)</f>
        <v>45383</v>
      </c>
      <c r="E467">
        <f>MONTH(OrdersTable[[#This Row],[Order Date]])</f>
        <v>4</v>
      </c>
      <c r="F467" t="s">
        <v>3343</v>
      </c>
      <c r="G467" t="str">
        <f>IF(OrdersTable[[#This Row],[Order Date]]=_xlfn.MINIFS(Order_Date, Customer_ID, OrdersTable[[#This Row],[Customer ID]]), "New", "Repeat")</f>
        <v>New</v>
      </c>
      <c r="H467" t="s">
        <v>167</v>
      </c>
      <c r="I467" t="str">
        <f>INDEX(State!B:B,MATCH(OrdersTable[[#This Row],[State]],State!A:A,0))</f>
        <v>KA</v>
      </c>
      <c r="J467" t="str">
        <f>INDEX(State!C:C,MATCH(OrdersTable[[#This Row],[State Code]],State!B:B,0))</f>
        <v>South</v>
      </c>
      <c r="K467" t="s">
        <v>190</v>
      </c>
      <c r="L467" t="s">
        <v>65</v>
      </c>
      <c r="M467" t="s">
        <v>56</v>
      </c>
      <c r="N467" t="str">
        <f>INDEX(Products!B:B,MATCH(OrdersTable[[#This Row],[Product ID]],Products!A:A,0))</f>
        <v>Vitamin C Face Serum</v>
      </c>
      <c r="O467" t="str">
        <f>INDEX(Products!C:C,MATCH(OrdersTable[[#This Row],[Product ID]],Products!A:A,0))</f>
        <v>Skincare</v>
      </c>
      <c r="P467">
        <v>1</v>
      </c>
      <c r="Q467" s="5">
        <v>599</v>
      </c>
      <c r="R467" s="74">
        <v>0.25</v>
      </c>
      <c r="S467" s="75">
        <f>OrdersTable[[#This Row],[Quantity]]*OrdersTable[[#This Row],[Unit Price]]</f>
        <v>599</v>
      </c>
      <c r="T467" s="5">
        <f>OrdersTable[[#This Row],[Gross Sale]]*OrdersTable[[#This Row],[Discount_Clean2]]</f>
        <v>149.75</v>
      </c>
      <c r="U467" s="5">
        <f>OrdersTable[[#This Row],[Gross Sale]]-OrdersTable[[#This Row],[Discount Amount]]</f>
        <v>449.25</v>
      </c>
      <c r="V467" s="77">
        <f>INDEX(Products!E:E,MATCH(OrdersTable[[#This Row],[Product ID]],Products!A:A,0))</f>
        <v>180</v>
      </c>
      <c r="W467" s="77">
        <f>OrdersTable[[#This Row],[Quantity]]*OrdersTable[[#This Row],[Unit Cost]]</f>
        <v>180</v>
      </c>
      <c r="X467" s="77">
        <f>'Dropdown Lists'!$I$2*(1+OrdersTable[[#This Row],[Returned]])</f>
        <v>60</v>
      </c>
      <c r="Y467" s="76">
        <f>OrdersTable[[#This Row],[Net Revenue]]-OrdersTable[[#This Row],[COGS]]-OrdersTable[[#This Row],[Shipping Cost]]</f>
        <v>209.25</v>
      </c>
      <c r="Z467" s="78">
        <f>IFERROR(OrdersTable[[#This Row],[Profit]]/OrdersTable[[#This Row],[Net Revenue]],0)</f>
        <v>0.46577629382303842</v>
      </c>
      <c r="AA467" t="s">
        <v>4450</v>
      </c>
      <c r="AB467" s="79">
        <v>45392</v>
      </c>
      <c r="AC467">
        <f>OrdersTable[[#This Row],[Delivery Date]]-OrdersTable[[#This Row],[Order Date]]</f>
        <v>2</v>
      </c>
      <c r="AD467" t="str">
        <f>IF(OrdersTable[[#This Row],[Delivery Days]]&lt;=2, "Express (≤2d)", IF(OrdersTable[[#This Row],[Delivery Days]]&lt;=4, "Standard (3-4d)", "Delayed (5d+)"))</f>
        <v>Express (≤2d)</v>
      </c>
      <c r="AF467">
        <v>0</v>
      </c>
    </row>
    <row r="468" spans="1:32" ht="15" x14ac:dyDescent="0.35">
      <c r="A468" t="s">
        <v>6050</v>
      </c>
      <c r="B468" s="1">
        <v>45390</v>
      </c>
      <c r="C468">
        <f>YEAR(OrdersTable[[#This Row],[Order Date]])</f>
        <v>2024</v>
      </c>
      <c r="D468" s="2">
        <f>DATE(YEAR(OrdersTable[[#This Row],[Order Date]]),MONTH(OrdersTable[[#This Row],[Order Date]]),1)</f>
        <v>45383</v>
      </c>
      <c r="E468">
        <f>MONTH(OrdersTable[[#This Row],[Order Date]])</f>
        <v>4</v>
      </c>
      <c r="F468" t="s">
        <v>224</v>
      </c>
      <c r="G468" t="str">
        <f>IF(OrdersTable[[#This Row],[Order Date]]=_xlfn.MINIFS(Order_Date, Customer_ID, OrdersTable[[#This Row],[Customer ID]]), "New", "Repeat")</f>
        <v>Repeat</v>
      </c>
      <c r="H468" t="s">
        <v>59</v>
      </c>
      <c r="I468" t="str">
        <f>INDEX(State!B:B,MATCH(OrdersTable[[#This Row],[State]],State!A:A,0))</f>
        <v>TN</v>
      </c>
      <c r="J468" t="str">
        <f>INDEX(State!C:C,MATCH(OrdersTable[[#This Row],[State Code]],State!B:B,0))</f>
        <v>South</v>
      </c>
      <c r="K468" t="s">
        <v>64</v>
      </c>
      <c r="L468" t="s">
        <v>23</v>
      </c>
      <c r="M468" t="s">
        <v>84</v>
      </c>
      <c r="N468" t="str">
        <f>INDEX(Products!B:B,MATCH(OrdersTable[[#This Row],[Product ID]],Products!A:A,0))</f>
        <v>Cotton Bedsheet</v>
      </c>
      <c r="O468" t="str">
        <f>INDEX(Products!C:C,MATCH(OrdersTable[[#This Row],[Product ID]],Products!A:A,0))</f>
        <v>Home &amp; Kitchen</v>
      </c>
      <c r="P468">
        <v>2</v>
      </c>
      <c r="Q468" s="5">
        <v>1299</v>
      </c>
      <c r="R468" s="74">
        <v>0</v>
      </c>
      <c r="S468" s="75">
        <f>OrdersTable[[#This Row],[Quantity]]*OrdersTable[[#This Row],[Unit Price]]</f>
        <v>2598</v>
      </c>
      <c r="T468" s="5">
        <f>OrdersTable[[#This Row],[Gross Sale]]*OrdersTable[[#This Row],[Discount_Clean2]]</f>
        <v>0</v>
      </c>
      <c r="U468" s="5">
        <f>OrdersTable[[#This Row],[Gross Sale]]-OrdersTable[[#This Row],[Discount Amount]]</f>
        <v>2598</v>
      </c>
      <c r="V468" s="77">
        <f>INDEX(Products!E:E,MATCH(OrdersTable[[#This Row],[Product ID]],Products!A:A,0))</f>
        <v>585</v>
      </c>
      <c r="W468" s="77">
        <f>OrdersTable[[#This Row],[Quantity]]*OrdersTable[[#This Row],[Unit Cost]]</f>
        <v>1170</v>
      </c>
      <c r="X468" s="77">
        <f>'Dropdown Lists'!$I$2*(1+OrdersTable[[#This Row],[Returned]])</f>
        <v>60</v>
      </c>
      <c r="Y468" s="76">
        <f>OrdersTable[[#This Row],[Net Revenue]]-OrdersTable[[#This Row],[COGS]]-OrdersTable[[#This Row],[Shipping Cost]]</f>
        <v>1368</v>
      </c>
      <c r="Z468" s="78">
        <f>IFERROR(OrdersTable[[#This Row],[Profit]]/OrdersTable[[#This Row],[Net Revenue]],0)</f>
        <v>0.52655889145496537</v>
      </c>
      <c r="AA468" t="s">
        <v>18</v>
      </c>
      <c r="AB468" s="79">
        <v>45392</v>
      </c>
      <c r="AC468">
        <f>OrdersTable[[#This Row],[Delivery Date]]-OrdersTable[[#This Row],[Order Date]]</f>
        <v>2</v>
      </c>
      <c r="AD468" t="str">
        <f>IF(OrdersTable[[#This Row],[Delivery Days]]&lt;=2, "Express (≤2d)", IF(OrdersTable[[#This Row],[Delivery Days]]&lt;=4, "Standard (3-4d)", "Delayed (5d+)"))</f>
        <v>Express (≤2d)</v>
      </c>
      <c r="AE468">
        <v>4</v>
      </c>
      <c r="AF468">
        <v>0</v>
      </c>
    </row>
    <row r="469" spans="1:32" ht="15" x14ac:dyDescent="0.35">
      <c r="A469" t="s">
        <v>5084</v>
      </c>
      <c r="B469" s="1">
        <v>45391</v>
      </c>
      <c r="C469">
        <f>YEAR(OrdersTable[[#This Row],[Order Date]])</f>
        <v>2024</v>
      </c>
      <c r="D469" s="2">
        <f>DATE(YEAR(OrdersTable[[#This Row],[Order Date]]),MONTH(OrdersTable[[#This Row],[Order Date]]),1)</f>
        <v>45383</v>
      </c>
      <c r="E469">
        <f>MONTH(OrdersTable[[#This Row],[Order Date]])</f>
        <v>4</v>
      </c>
      <c r="F469" t="s">
        <v>1727</v>
      </c>
      <c r="G469" t="str">
        <f>IF(OrdersTable[[#This Row],[Order Date]]=_xlfn.MINIFS(Order_Date, Customer_ID, OrdersTable[[#This Row],[Customer ID]]), "New", "Repeat")</f>
        <v>New</v>
      </c>
      <c r="H469" t="s">
        <v>128</v>
      </c>
      <c r="I469" t="str">
        <f>INDEX(State!B:B,MATCH(OrdersTable[[#This Row],[State]],State!A:A,0))</f>
        <v>DL</v>
      </c>
      <c r="J469" t="str">
        <f>INDEX(State!C:C,MATCH(OrdersTable[[#This Row],[State Code]],State!B:B,0))</f>
        <v>North</v>
      </c>
      <c r="K469" t="s">
        <v>129</v>
      </c>
      <c r="L469" t="s">
        <v>65</v>
      </c>
      <c r="M469" t="s">
        <v>73</v>
      </c>
      <c r="N469" t="str">
        <f>INDEX(Products!B:B,MATCH(OrdersTable[[#This Row],[Product ID]],Products!A:A,0))</f>
        <v>Hydrating Face Wash</v>
      </c>
      <c r="O469" t="str">
        <f>INDEX(Products!C:C,MATCH(OrdersTable[[#This Row],[Product ID]],Products!A:A,0))</f>
        <v>Skincare</v>
      </c>
      <c r="P469">
        <v>2</v>
      </c>
      <c r="Q469" s="5">
        <v>299</v>
      </c>
      <c r="R469" s="74">
        <v>0</v>
      </c>
      <c r="S469" s="75">
        <f>OrdersTable[[#This Row],[Quantity]]*OrdersTable[[#This Row],[Unit Price]]</f>
        <v>598</v>
      </c>
      <c r="T469" s="5">
        <f>OrdersTable[[#This Row],[Gross Sale]]*OrdersTable[[#This Row],[Discount_Clean2]]</f>
        <v>0</v>
      </c>
      <c r="U469" s="5">
        <f>OrdersTable[[#This Row],[Gross Sale]]-OrdersTable[[#This Row],[Discount Amount]]</f>
        <v>598</v>
      </c>
      <c r="V469" s="77">
        <f>INDEX(Products!E:E,MATCH(OrdersTable[[#This Row],[Product ID]],Products!A:A,0))</f>
        <v>90</v>
      </c>
      <c r="W469" s="77">
        <f>OrdersTable[[#This Row],[Quantity]]*OrdersTable[[#This Row],[Unit Cost]]</f>
        <v>180</v>
      </c>
      <c r="X469" s="77">
        <f>'Dropdown Lists'!$I$2*(1+OrdersTable[[#This Row],[Returned]])</f>
        <v>60</v>
      </c>
      <c r="Y469" s="76">
        <f>OrdersTable[[#This Row],[Net Revenue]]-OrdersTable[[#This Row],[COGS]]-OrdersTable[[#This Row],[Shipping Cost]]</f>
        <v>358</v>
      </c>
      <c r="Z469" s="78">
        <f>IFERROR(OrdersTable[[#This Row],[Profit]]/OrdersTable[[#This Row],[Net Revenue]],0)</f>
        <v>0.59866220735785958</v>
      </c>
      <c r="AA469" t="s">
        <v>3495</v>
      </c>
      <c r="AB469" s="79">
        <v>45392</v>
      </c>
      <c r="AC469">
        <f>OrdersTable[[#This Row],[Delivery Date]]-OrdersTable[[#This Row],[Order Date]]</f>
        <v>1</v>
      </c>
      <c r="AD469" t="str">
        <f>IF(OrdersTable[[#This Row],[Delivery Days]]&lt;=2, "Express (≤2d)", IF(OrdersTable[[#This Row],[Delivery Days]]&lt;=4, "Standard (3-4d)", "Delayed (5d+)"))</f>
        <v>Express (≤2d)</v>
      </c>
      <c r="AE469">
        <v>5</v>
      </c>
      <c r="AF469">
        <v>0</v>
      </c>
    </row>
    <row r="470" spans="1:32" ht="15" x14ac:dyDescent="0.35">
      <c r="A470" t="s">
        <v>4757</v>
      </c>
      <c r="B470" s="1">
        <v>45391</v>
      </c>
      <c r="C470">
        <f>YEAR(OrdersTable[[#This Row],[Order Date]])</f>
        <v>2024</v>
      </c>
      <c r="D470" s="2">
        <f>DATE(YEAR(OrdersTable[[#This Row],[Order Date]]),MONTH(OrdersTable[[#This Row],[Order Date]]),1)</f>
        <v>45383</v>
      </c>
      <c r="E470">
        <f>MONTH(OrdersTable[[#This Row],[Order Date]])</f>
        <v>4</v>
      </c>
      <c r="F470" t="s">
        <v>2357</v>
      </c>
      <c r="G470" t="str">
        <f>IF(OrdersTable[[#This Row],[Order Date]]=_xlfn.MINIFS(Order_Date, Customer_ID, OrdersTable[[#This Row],[Customer ID]]), "New", "Repeat")</f>
        <v>New</v>
      </c>
      <c r="H470" t="s">
        <v>32</v>
      </c>
      <c r="I470" t="str">
        <f>INDEX(State!B:B,MATCH(OrdersTable[[#This Row],[State]],State!A:A,0))</f>
        <v>BR</v>
      </c>
      <c r="J470" t="str">
        <f>INDEX(State!C:C,MATCH(OrdersTable[[#This Row],[State Code]],State!B:B,0))</f>
        <v>East</v>
      </c>
      <c r="K470" t="s">
        <v>33</v>
      </c>
      <c r="L470" t="s">
        <v>39</v>
      </c>
      <c r="M470" t="s">
        <v>152</v>
      </c>
      <c r="N470" t="str">
        <f>INDEX(Products!B:B,MATCH(OrdersTable[[#This Row],[Product ID]],Products!A:A,0))</f>
        <v>Green Tea (100 bags)</v>
      </c>
      <c r="O470" t="str">
        <f>INDEX(Products!C:C,MATCH(OrdersTable[[#This Row],[Product ID]],Products!A:A,0))</f>
        <v>Wellness</v>
      </c>
      <c r="P470">
        <v>2</v>
      </c>
      <c r="Q470" s="5">
        <v>399</v>
      </c>
      <c r="R470" s="74">
        <v>0.3</v>
      </c>
      <c r="S470" s="75">
        <f>OrdersTable[[#This Row],[Quantity]]*OrdersTable[[#This Row],[Unit Price]]</f>
        <v>798</v>
      </c>
      <c r="T470" s="5">
        <f>OrdersTable[[#This Row],[Gross Sale]]*OrdersTable[[#This Row],[Discount_Clean2]]</f>
        <v>239.39999999999998</v>
      </c>
      <c r="U470" s="5">
        <f>OrdersTable[[#This Row],[Gross Sale]]-OrdersTable[[#This Row],[Discount Amount]]</f>
        <v>558.6</v>
      </c>
      <c r="V470" s="77">
        <f>INDEX(Products!E:E,MATCH(OrdersTable[[#This Row],[Product ID]],Products!A:A,0))</f>
        <v>128</v>
      </c>
      <c r="W470" s="77">
        <f>OrdersTable[[#This Row],[Quantity]]*OrdersTable[[#This Row],[Unit Cost]]</f>
        <v>256</v>
      </c>
      <c r="X470" s="77">
        <f>'Dropdown Lists'!$I$2*(1+OrdersTable[[#This Row],[Returned]])</f>
        <v>60</v>
      </c>
      <c r="Y470" s="76">
        <f>OrdersTable[[#This Row],[Net Revenue]]-OrdersTable[[#This Row],[COGS]]-OrdersTable[[#This Row],[Shipping Cost]]</f>
        <v>242.60000000000002</v>
      </c>
      <c r="Z470" s="78">
        <f>IFERROR(OrdersTable[[#This Row],[Profit]]/OrdersTable[[#This Row],[Net Revenue]],0)</f>
        <v>0.43430003580379523</v>
      </c>
      <c r="AA470" t="s">
        <v>4450</v>
      </c>
      <c r="AB470" s="79">
        <v>45395</v>
      </c>
      <c r="AC470">
        <f>OrdersTable[[#This Row],[Delivery Date]]-OrdersTable[[#This Row],[Order Date]]</f>
        <v>4</v>
      </c>
      <c r="AD470" t="str">
        <f>IF(OrdersTable[[#This Row],[Delivery Days]]&lt;=2, "Express (≤2d)", IF(OrdersTable[[#This Row],[Delivery Days]]&lt;=4, "Standard (3-4d)", "Delayed (5d+)"))</f>
        <v>Standard (3-4d)</v>
      </c>
      <c r="AE470">
        <v>4</v>
      </c>
      <c r="AF470">
        <v>0</v>
      </c>
    </row>
    <row r="471" spans="1:32" ht="15" x14ac:dyDescent="0.35">
      <c r="A471" t="s">
        <v>5310</v>
      </c>
      <c r="B471" s="1">
        <v>45391</v>
      </c>
      <c r="C471">
        <f>YEAR(OrdersTable[[#This Row],[Order Date]])</f>
        <v>2024</v>
      </c>
      <c r="D471" s="2">
        <f>DATE(YEAR(OrdersTable[[#This Row],[Order Date]]),MONTH(OrdersTable[[#This Row],[Order Date]]),1)</f>
        <v>45383</v>
      </c>
      <c r="E471">
        <f>MONTH(OrdersTable[[#This Row],[Order Date]])</f>
        <v>4</v>
      </c>
      <c r="F471" t="s">
        <v>2800</v>
      </c>
      <c r="G471" t="str">
        <f>IF(OrdersTable[[#This Row],[Order Date]]=_xlfn.MINIFS(Order_Date, Customer_ID, OrdersTable[[#This Row],[Customer ID]]), "New", "Repeat")</f>
        <v>New</v>
      </c>
      <c r="H471" t="s">
        <v>316</v>
      </c>
      <c r="I471" t="str">
        <f>INDEX(State!B:B,MATCH(OrdersTable[[#This Row],[State]],State!A:A,0))</f>
        <v>KL</v>
      </c>
      <c r="J471" t="str">
        <f>INDEX(State!C:C,MATCH(OrdersTable[[#This Row],[State Code]],State!B:B,0))</f>
        <v>South</v>
      </c>
      <c r="K471" t="s">
        <v>317</v>
      </c>
      <c r="L471" t="s">
        <v>23</v>
      </c>
      <c r="M471" t="s">
        <v>61</v>
      </c>
      <c r="N471" t="str">
        <f>INDEX(Products!B:B,MATCH(OrdersTable[[#This Row],[Product ID]],Products!A:A,0))</f>
        <v>Multivitamin Gummies</v>
      </c>
      <c r="O471" t="str">
        <f>INDEX(Products!C:C,MATCH(OrdersTable[[#This Row],[Product ID]],Products!A:A,0))</f>
        <v>Wellness</v>
      </c>
      <c r="P471">
        <v>2</v>
      </c>
      <c r="Q471" s="5">
        <v>699</v>
      </c>
      <c r="R471" s="74">
        <v>0.2</v>
      </c>
      <c r="S471" s="75">
        <f>OrdersTable[[#This Row],[Quantity]]*OrdersTable[[#This Row],[Unit Price]]</f>
        <v>1398</v>
      </c>
      <c r="T471" s="5">
        <f>OrdersTable[[#This Row],[Gross Sale]]*OrdersTable[[#This Row],[Discount_Clean2]]</f>
        <v>279.60000000000002</v>
      </c>
      <c r="U471" s="5">
        <f>OrdersTable[[#This Row],[Gross Sale]]-OrdersTable[[#This Row],[Discount Amount]]</f>
        <v>1118.4000000000001</v>
      </c>
      <c r="V471" s="77">
        <f>INDEX(Products!E:E,MATCH(OrdersTable[[#This Row],[Product ID]],Products!A:A,0))</f>
        <v>238</v>
      </c>
      <c r="W471" s="77">
        <f>OrdersTable[[#This Row],[Quantity]]*OrdersTable[[#This Row],[Unit Cost]]</f>
        <v>476</v>
      </c>
      <c r="X471" s="77">
        <f>'Dropdown Lists'!$I$2*(1+OrdersTable[[#This Row],[Returned]])</f>
        <v>60</v>
      </c>
      <c r="Y471" s="76">
        <f>OrdersTable[[#This Row],[Net Revenue]]-OrdersTable[[#This Row],[COGS]]-OrdersTable[[#This Row],[Shipping Cost]]</f>
        <v>582.40000000000009</v>
      </c>
      <c r="Z471" s="78">
        <f>IFERROR(OrdersTable[[#This Row],[Profit]]/OrdersTable[[#This Row],[Net Revenue]],0)</f>
        <v>0.5207439198855508</v>
      </c>
      <c r="AA471" t="s">
        <v>2522</v>
      </c>
      <c r="AB471" s="79">
        <v>45395</v>
      </c>
      <c r="AC471">
        <f>OrdersTable[[#This Row],[Delivery Date]]-OrdersTable[[#This Row],[Order Date]]</f>
        <v>4</v>
      </c>
      <c r="AD471" t="str">
        <f>IF(OrdersTable[[#This Row],[Delivery Days]]&lt;=2, "Express (≤2d)", IF(OrdersTable[[#This Row],[Delivery Days]]&lt;=4, "Standard (3-4d)", "Delayed (5d+)"))</f>
        <v>Standard (3-4d)</v>
      </c>
      <c r="AE471">
        <v>5</v>
      </c>
      <c r="AF471">
        <v>0</v>
      </c>
    </row>
    <row r="472" spans="1:32" ht="15" x14ac:dyDescent="0.35">
      <c r="A472" t="s">
        <v>1473</v>
      </c>
      <c r="B472" s="1">
        <v>45391</v>
      </c>
      <c r="C472">
        <f>YEAR(OrdersTable[[#This Row],[Order Date]])</f>
        <v>2024</v>
      </c>
      <c r="D472" s="2">
        <f>DATE(YEAR(OrdersTable[[#This Row],[Order Date]]),MONTH(OrdersTable[[#This Row],[Order Date]]),1)</f>
        <v>45383</v>
      </c>
      <c r="E472">
        <f>MONTH(OrdersTable[[#This Row],[Order Date]])</f>
        <v>4</v>
      </c>
      <c r="F472" t="s">
        <v>1474</v>
      </c>
      <c r="G472" t="str">
        <f>IF(OrdersTable[[#This Row],[Order Date]]=_xlfn.MINIFS(Order_Date, Customer_ID, OrdersTable[[#This Row],[Customer ID]]), "New", "Repeat")</f>
        <v>New</v>
      </c>
      <c r="H472" t="s">
        <v>316</v>
      </c>
      <c r="I472" t="str">
        <f>INDEX(State!B:B,MATCH(OrdersTable[[#This Row],[State]],State!A:A,0))</f>
        <v>KL</v>
      </c>
      <c r="J472" t="str">
        <f>INDEX(State!C:C,MATCH(OrdersTable[[#This Row],[State Code]],State!B:B,0))</f>
        <v>South</v>
      </c>
      <c r="K472" t="s">
        <v>338</v>
      </c>
      <c r="L472" t="s">
        <v>39</v>
      </c>
      <c r="M472" t="s">
        <v>24</v>
      </c>
      <c r="N472" t="str">
        <f>INDEX(Products!B:B,MATCH(OrdersTable[[#This Row],[Product ID]],Products!A:A,0))</f>
        <v>Scented Candle Set</v>
      </c>
      <c r="O472" t="str">
        <f>INDEX(Products!C:C,MATCH(OrdersTable[[#This Row],[Product ID]],Products!A:A,0))</f>
        <v>Home &amp; Kitchen</v>
      </c>
      <c r="P472">
        <v>1</v>
      </c>
      <c r="Q472" s="5">
        <v>699</v>
      </c>
      <c r="R472" s="74">
        <v>0.2</v>
      </c>
      <c r="S472" s="75">
        <f>OrdersTable[[#This Row],[Quantity]]*OrdersTable[[#This Row],[Unit Price]]</f>
        <v>699</v>
      </c>
      <c r="T472" s="5">
        <f>OrdersTable[[#This Row],[Gross Sale]]*OrdersTable[[#This Row],[Discount_Clean2]]</f>
        <v>139.80000000000001</v>
      </c>
      <c r="U472" s="5">
        <f>OrdersTable[[#This Row],[Gross Sale]]-OrdersTable[[#This Row],[Discount Amount]]</f>
        <v>559.20000000000005</v>
      </c>
      <c r="V472" s="77">
        <f>INDEX(Products!E:E,MATCH(OrdersTable[[#This Row],[Product ID]],Products!A:A,0))</f>
        <v>245</v>
      </c>
      <c r="W472" s="77">
        <f>OrdersTable[[#This Row],[Quantity]]*OrdersTable[[#This Row],[Unit Cost]]</f>
        <v>245</v>
      </c>
      <c r="X472" s="77">
        <f>'Dropdown Lists'!$I$2*(1+OrdersTable[[#This Row],[Returned]])</f>
        <v>60</v>
      </c>
      <c r="Y472" s="76">
        <f>OrdersTable[[#This Row],[Net Revenue]]-OrdersTable[[#This Row],[COGS]]-OrdersTable[[#This Row],[Shipping Cost]]</f>
        <v>254.20000000000005</v>
      </c>
      <c r="Z472" s="78">
        <f>IFERROR(OrdersTable[[#This Row],[Profit]]/OrdersTable[[#This Row],[Net Revenue]],0)</f>
        <v>0.45457796852646642</v>
      </c>
      <c r="AA472" t="s">
        <v>18</v>
      </c>
      <c r="AB472" s="79">
        <v>45396</v>
      </c>
      <c r="AC472">
        <f>OrdersTable[[#This Row],[Delivery Date]]-OrdersTable[[#This Row],[Order Date]]</f>
        <v>5</v>
      </c>
      <c r="AD472" t="str">
        <f>IF(OrdersTable[[#This Row],[Delivery Days]]&lt;=2, "Express (≤2d)", IF(OrdersTable[[#This Row],[Delivery Days]]&lt;=4, "Standard (3-4d)", "Delayed (5d+)"))</f>
        <v>Delayed (5d+)</v>
      </c>
      <c r="AF472">
        <v>0</v>
      </c>
    </row>
    <row r="473" spans="1:32" ht="15" x14ac:dyDescent="0.35">
      <c r="A473" t="s">
        <v>4218</v>
      </c>
      <c r="B473" s="1">
        <v>45391</v>
      </c>
      <c r="C473">
        <f>YEAR(OrdersTable[[#This Row],[Order Date]])</f>
        <v>2024</v>
      </c>
      <c r="D473" s="2">
        <f>DATE(YEAR(OrdersTable[[#This Row],[Order Date]]),MONTH(OrdersTable[[#This Row],[Order Date]]),1)</f>
        <v>45383</v>
      </c>
      <c r="E473">
        <f>MONTH(OrdersTable[[#This Row],[Order Date]])</f>
        <v>4</v>
      </c>
      <c r="F473" t="s">
        <v>3869</v>
      </c>
      <c r="G473" t="str">
        <f>IF(OrdersTable[[#This Row],[Order Date]]=_xlfn.MINIFS(Order_Date, Customer_ID, OrdersTable[[#This Row],[Customer ID]]), "New", "Repeat")</f>
        <v>Repeat</v>
      </c>
      <c r="H473" t="s">
        <v>316</v>
      </c>
      <c r="I473" t="str">
        <f>INDEX(State!B:B,MATCH(OrdersTable[[#This Row],[State]],State!A:A,0))</f>
        <v>KL</v>
      </c>
      <c r="J473" t="str">
        <f>INDEX(State!C:C,MATCH(OrdersTable[[#This Row],[State Code]],State!B:B,0))</f>
        <v>South</v>
      </c>
      <c r="K473" t="s">
        <v>338</v>
      </c>
      <c r="L473" t="s">
        <v>65</v>
      </c>
      <c r="M473" t="s">
        <v>84</v>
      </c>
      <c r="N473" t="str">
        <f>INDEX(Products!B:B,MATCH(OrdersTable[[#This Row],[Product ID]],Products!A:A,0))</f>
        <v>Cotton Bedsheet</v>
      </c>
      <c r="O473" t="str">
        <f>INDEX(Products!C:C,MATCH(OrdersTable[[#This Row],[Product ID]],Products!A:A,0))</f>
        <v>Home &amp; Kitchen</v>
      </c>
      <c r="P473">
        <v>1</v>
      </c>
      <c r="Q473" s="5">
        <v>1299</v>
      </c>
      <c r="R473" s="74">
        <v>0</v>
      </c>
      <c r="S473" s="75">
        <f>OrdersTable[[#This Row],[Quantity]]*OrdersTable[[#This Row],[Unit Price]]</f>
        <v>1299</v>
      </c>
      <c r="T473" s="5">
        <f>OrdersTable[[#This Row],[Gross Sale]]*OrdersTable[[#This Row],[Discount_Clean2]]</f>
        <v>0</v>
      </c>
      <c r="U473" s="5">
        <f>OrdersTable[[#This Row],[Gross Sale]]-OrdersTable[[#This Row],[Discount Amount]]</f>
        <v>1299</v>
      </c>
      <c r="V473" s="77">
        <f>INDEX(Products!E:E,MATCH(OrdersTable[[#This Row],[Product ID]],Products!A:A,0))</f>
        <v>585</v>
      </c>
      <c r="W473" s="77">
        <f>OrdersTable[[#This Row],[Quantity]]*OrdersTable[[#This Row],[Unit Cost]]</f>
        <v>585</v>
      </c>
      <c r="X473" s="77">
        <f>'Dropdown Lists'!$I$2*(1+OrdersTable[[#This Row],[Returned]])</f>
        <v>60</v>
      </c>
      <c r="Y473" s="76">
        <f>OrdersTable[[#This Row],[Net Revenue]]-OrdersTable[[#This Row],[COGS]]-OrdersTable[[#This Row],[Shipping Cost]]</f>
        <v>654</v>
      </c>
      <c r="Z473" s="78">
        <f>IFERROR(OrdersTable[[#This Row],[Profit]]/OrdersTable[[#This Row],[Net Revenue]],0)</f>
        <v>0.50346420323325636</v>
      </c>
      <c r="AA473" t="s">
        <v>4074</v>
      </c>
      <c r="AB473" s="79">
        <v>45393</v>
      </c>
      <c r="AC473">
        <f>OrdersTable[[#This Row],[Delivery Date]]-OrdersTable[[#This Row],[Order Date]]</f>
        <v>2</v>
      </c>
      <c r="AD473" t="str">
        <f>IF(OrdersTable[[#This Row],[Delivery Days]]&lt;=2, "Express (≤2d)", IF(OrdersTable[[#This Row],[Delivery Days]]&lt;=4, "Standard (3-4d)", "Delayed (5d+)"))</f>
        <v>Express (≤2d)</v>
      </c>
      <c r="AF473">
        <v>0</v>
      </c>
    </row>
    <row r="474" spans="1:32" ht="15" x14ac:dyDescent="0.35">
      <c r="A474" t="s">
        <v>2885</v>
      </c>
      <c r="B474" s="1">
        <v>45392</v>
      </c>
      <c r="C474">
        <f>YEAR(OrdersTable[[#This Row],[Order Date]])</f>
        <v>2024</v>
      </c>
      <c r="D474" s="2">
        <f>DATE(YEAR(OrdersTable[[#This Row],[Order Date]]),MONTH(OrdersTable[[#This Row],[Order Date]]),1)</f>
        <v>45383</v>
      </c>
      <c r="E474">
        <f>MONTH(OrdersTable[[#This Row],[Order Date]])</f>
        <v>4</v>
      </c>
      <c r="F474" t="s">
        <v>1854</v>
      </c>
      <c r="G474" t="str">
        <f>IF(OrdersTable[[#This Row],[Order Date]]=_xlfn.MINIFS(Order_Date, Customer_ID, OrdersTable[[#This Row],[Customer ID]]), "New", "Repeat")</f>
        <v>New</v>
      </c>
      <c r="H474" t="s">
        <v>32</v>
      </c>
      <c r="I474" t="str">
        <f>INDEX(State!B:B,MATCH(OrdersTable[[#This Row],[State]],State!A:A,0))</f>
        <v>BR</v>
      </c>
      <c r="J474" t="str">
        <f>INDEX(State!C:C,MATCH(OrdersTable[[#This Row],[State Code]],State!B:B,0))</f>
        <v>East</v>
      </c>
      <c r="K474" t="s">
        <v>33</v>
      </c>
      <c r="L474" t="s">
        <v>65</v>
      </c>
      <c r="M474" t="s">
        <v>565</v>
      </c>
      <c r="N474" t="str">
        <f>INDEX(Products!B:B,MATCH(OrdersTable[[#This Row],[Product ID]],Products!A:A,0))</f>
        <v>Ceramic Dinner Set</v>
      </c>
      <c r="O474" t="str">
        <f>INDEX(Products!C:C,MATCH(OrdersTable[[#This Row],[Product ID]],Products!A:A,0))</f>
        <v>Home &amp; Kitchen</v>
      </c>
      <c r="P474">
        <v>1</v>
      </c>
      <c r="Q474" s="5">
        <v>2499</v>
      </c>
      <c r="R474" s="74">
        <v>0.25</v>
      </c>
      <c r="S474" s="75">
        <f>OrdersTable[[#This Row],[Quantity]]*OrdersTable[[#This Row],[Unit Price]]</f>
        <v>2499</v>
      </c>
      <c r="T474" s="5">
        <f>OrdersTable[[#This Row],[Gross Sale]]*OrdersTable[[#This Row],[Discount_Clean2]]</f>
        <v>624.75</v>
      </c>
      <c r="U474" s="5">
        <f>OrdersTable[[#This Row],[Gross Sale]]-OrdersTable[[#This Row],[Discount Amount]]</f>
        <v>1874.25</v>
      </c>
      <c r="V474" s="77">
        <f>INDEX(Products!E:E,MATCH(OrdersTable[[#This Row],[Product ID]],Products!A:A,0))</f>
        <v>1250</v>
      </c>
      <c r="W474" s="77">
        <f>OrdersTable[[#This Row],[Quantity]]*OrdersTable[[#This Row],[Unit Cost]]</f>
        <v>1250</v>
      </c>
      <c r="X474" s="77">
        <f>'Dropdown Lists'!$I$2*(1+OrdersTable[[#This Row],[Returned]])</f>
        <v>60</v>
      </c>
      <c r="Y474" s="76">
        <f>OrdersTable[[#This Row],[Net Revenue]]-OrdersTable[[#This Row],[COGS]]-OrdersTable[[#This Row],[Shipping Cost]]</f>
        <v>564.25</v>
      </c>
      <c r="Z474" s="78">
        <f>IFERROR(OrdersTable[[#This Row],[Profit]]/OrdersTable[[#This Row],[Net Revenue]],0)</f>
        <v>0.30105375483526742</v>
      </c>
      <c r="AA474" t="s">
        <v>2522</v>
      </c>
      <c r="AB474" s="79">
        <v>45397</v>
      </c>
      <c r="AC474">
        <f>OrdersTable[[#This Row],[Delivery Date]]-OrdersTable[[#This Row],[Order Date]]</f>
        <v>5</v>
      </c>
      <c r="AD474" t="str">
        <f>IF(OrdersTable[[#This Row],[Delivery Days]]&lt;=2, "Express (≤2d)", IF(OrdersTable[[#This Row],[Delivery Days]]&lt;=4, "Standard (3-4d)", "Delayed (5d+)"))</f>
        <v>Delayed (5d+)</v>
      </c>
      <c r="AF474">
        <v>0</v>
      </c>
    </row>
    <row r="475" spans="1:32" ht="15" x14ac:dyDescent="0.35">
      <c r="A475" t="s">
        <v>5311</v>
      </c>
      <c r="B475" s="1">
        <v>45393</v>
      </c>
      <c r="C475">
        <f>YEAR(OrdersTable[[#This Row],[Order Date]])</f>
        <v>2024</v>
      </c>
      <c r="D475" s="2">
        <f>DATE(YEAR(OrdersTable[[#This Row],[Order Date]]),MONTH(OrdersTable[[#This Row],[Order Date]]),1)</f>
        <v>45383</v>
      </c>
      <c r="E475">
        <f>MONTH(OrdersTable[[#This Row],[Order Date]])</f>
        <v>4</v>
      </c>
      <c r="F475" t="s">
        <v>3557</v>
      </c>
      <c r="G475" t="str">
        <f>IF(OrdersTable[[#This Row],[Order Date]]=_xlfn.MINIFS(Order_Date, Customer_ID, OrdersTable[[#This Row],[Customer ID]]), "New", "Repeat")</f>
        <v>New</v>
      </c>
      <c r="H475" t="s">
        <v>76</v>
      </c>
      <c r="I475" t="str">
        <f>INDEX(State!B:B,MATCH(OrdersTable[[#This Row],[State]],State!A:A,0))</f>
        <v>UP</v>
      </c>
      <c r="J475" t="str">
        <f>INDEX(State!C:C,MATCH(OrdersTable[[#This Row],[State Code]],State!B:B,0))</f>
        <v>North</v>
      </c>
      <c r="K475" t="s">
        <v>118</v>
      </c>
      <c r="L475" t="s">
        <v>39</v>
      </c>
      <c r="M475" t="s">
        <v>40</v>
      </c>
      <c r="N475" t="str">
        <f>INDEX(Products!B:B,MATCH(OrdersTable[[#This Row],[Product ID]],Products!A:A,0))</f>
        <v>Ashwagandha Capsules</v>
      </c>
      <c r="O475" t="str">
        <f>INDEX(Products!C:C,MATCH(OrdersTable[[#This Row],[Product ID]],Products!A:A,0))</f>
        <v>Wellness</v>
      </c>
      <c r="P475">
        <v>2</v>
      </c>
      <c r="Q475" s="5">
        <v>499</v>
      </c>
      <c r="R475" s="74">
        <v>0</v>
      </c>
      <c r="S475" s="75">
        <f>OrdersTable[[#This Row],[Quantity]]*OrdersTable[[#This Row],[Unit Price]]</f>
        <v>998</v>
      </c>
      <c r="T475" s="5">
        <f>OrdersTable[[#This Row],[Gross Sale]]*OrdersTable[[#This Row],[Discount_Clean2]]</f>
        <v>0</v>
      </c>
      <c r="U475" s="5">
        <f>OrdersTable[[#This Row],[Gross Sale]]-OrdersTable[[#This Row],[Discount Amount]]</f>
        <v>998</v>
      </c>
      <c r="V475" s="77">
        <f>INDEX(Products!E:E,MATCH(OrdersTable[[#This Row],[Product ID]],Products!A:A,0))</f>
        <v>150</v>
      </c>
      <c r="W475" s="77">
        <f>OrdersTable[[#This Row],[Quantity]]*OrdersTable[[#This Row],[Unit Cost]]</f>
        <v>300</v>
      </c>
      <c r="X475" s="77">
        <f>'Dropdown Lists'!$I$2*(1+OrdersTable[[#This Row],[Returned]])</f>
        <v>60</v>
      </c>
      <c r="Y475" s="76">
        <f>OrdersTable[[#This Row],[Net Revenue]]-OrdersTable[[#This Row],[COGS]]-OrdersTable[[#This Row],[Shipping Cost]]</f>
        <v>638</v>
      </c>
      <c r="Z475" s="78">
        <f>IFERROR(OrdersTable[[#This Row],[Profit]]/OrdersTable[[#This Row],[Net Revenue]],0)</f>
        <v>0.63927855711422843</v>
      </c>
      <c r="AA475" t="s">
        <v>2522</v>
      </c>
      <c r="AB475" s="79">
        <v>45396</v>
      </c>
      <c r="AC475">
        <f>OrdersTable[[#This Row],[Delivery Date]]-OrdersTable[[#This Row],[Order Date]]</f>
        <v>3</v>
      </c>
      <c r="AD475" t="str">
        <f>IF(OrdersTable[[#This Row],[Delivery Days]]&lt;=2, "Express (≤2d)", IF(OrdersTable[[#This Row],[Delivery Days]]&lt;=4, "Standard (3-4d)", "Delayed (5d+)"))</f>
        <v>Standard (3-4d)</v>
      </c>
      <c r="AF475">
        <v>0</v>
      </c>
    </row>
    <row r="476" spans="1:32" ht="15" x14ac:dyDescent="0.35">
      <c r="A476" t="s">
        <v>1847</v>
      </c>
      <c r="B476" s="1">
        <v>45393</v>
      </c>
      <c r="C476">
        <f>YEAR(OrdersTable[[#This Row],[Order Date]])</f>
        <v>2024</v>
      </c>
      <c r="D476" s="2">
        <f>DATE(YEAR(OrdersTable[[#This Row],[Order Date]]),MONTH(OrdersTable[[#This Row],[Order Date]]),1)</f>
        <v>45383</v>
      </c>
      <c r="E476">
        <f>MONTH(OrdersTable[[#This Row],[Order Date]])</f>
        <v>4</v>
      </c>
      <c r="F476" t="s">
        <v>1848</v>
      </c>
      <c r="G476" t="str">
        <f>IF(OrdersTable[[#This Row],[Order Date]]=_xlfn.MINIFS(Order_Date, Customer_ID, OrdersTable[[#This Row],[Customer ID]]), "New", "Repeat")</f>
        <v>New</v>
      </c>
      <c r="H476" t="s">
        <v>27</v>
      </c>
      <c r="I476" t="str">
        <f>INDEX(State!B:B,MATCH(OrdersTable[[#This Row],[State]],State!A:A,0))</f>
        <v>WB</v>
      </c>
      <c r="J476" t="str">
        <f>INDEX(State!C:C,MATCH(OrdersTable[[#This Row],[State Code]],State!B:B,0))</f>
        <v>East</v>
      </c>
      <c r="K476" t="s">
        <v>28</v>
      </c>
      <c r="L476" t="s">
        <v>39</v>
      </c>
      <c r="M476" t="s">
        <v>109</v>
      </c>
      <c r="N476" t="str">
        <f>INDEX(Products!B:B,MATCH(OrdersTable[[#This Row],[Product ID]],Products!A:A,0))</f>
        <v>Onion Hair Oil</v>
      </c>
      <c r="O476" t="str">
        <f>INDEX(Products!C:C,MATCH(OrdersTable[[#This Row],[Product ID]],Products!A:A,0))</f>
        <v>Haircare</v>
      </c>
      <c r="P476">
        <v>1</v>
      </c>
      <c r="Q476" s="5">
        <v>349</v>
      </c>
      <c r="R476" s="74">
        <v>0.25</v>
      </c>
      <c r="S476" s="75">
        <f>OrdersTable[[#This Row],[Quantity]]*OrdersTable[[#This Row],[Unit Price]]</f>
        <v>349</v>
      </c>
      <c r="T476" s="5">
        <f>OrdersTable[[#This Row],[Gross Sale]]*OrdersTable[[#This Row],[Discount_Clean2]]</f>
        <v>87.25</v>
      </c>
      <c r="U476" s="5">
        <f>OrdersTable[[#This Row],[Gross Sale]]-OrdersTable[[#This Row],[Discount Amount]]</f>
        <v>261.75</v>
      </c>
      <c r="V476" s="77">
        <f>INDEX(Products!E:E,MATCH(OrdersTable[[#This Row],[Product ID]],Products!A:A,0))</f>
        <v>105</v>
      </c>
      <c r="W476" s="77">
        <f>OrdersTable[[#This Row],[Quantity]]*OrdersTable[[#This Row],[Unit Cost]]</f>
        <v>105</v>
      </c>
      <c r="X476" s="77">
        <f>'Dropdown Lists'!$I$2*(1+OrdersTable[[#This Row],[Returned]])</f>
        <v>60</v>
      </c>
      <c r="Y476" s="76">
        <f>OrdersTable[[#This Row],[Net Revenue]]-OrdersTable[[#This Row],[COGS]]-OrdersTable[[#This Row],[Shipping Cost]]</f>
        <v>96.75</v>
      </c>
      <c r="Z476" s="78">
        <f>IFERROR(OrdersTable[[#This Row],[Profit]]/OrdersTable[[#This Row],[Net Revenue]],0)</f>
        <v>0.36962750716332377</v>
      </c>
      <c r="AA476" t="s">
        <v>18</v>
      </c>
      <c r="AB476" s="79">
        <v>45398</v>
      </c>
      <c r="AC476">
        <f>OrdersTable[[#This Row],[Delivery Date]]-OrdersTable[[#This Row],[Order Date]]</f>
        <v>5</v>
      </c>
      <c r="AD476" t="str">
        <f>IF(OrdersTable[[#This Row],[Delivery Days]]&lt;=2, "Express (≤2d)", IF(OrdersTable[[#This Row],[Delivery Days]]&lt;=4, "Standard (3-4d)", "Delayed (5d+)"))</f>
        <v>Delayed (5d+)</v>
      </c>
      <c r="AE476">
        <v>3</v>
      </c>
      <c r="AF476">
        <v>0</v>
      </c>
    </row>
    <row r="477" spans="1:32" ht="15" x14ac:dyDescent="0.35">
      <c r="A477" t="s">
        <v>5572</v>
      </c>
      <c r="B477" s="1">
        <v>45393</v>
      </c>
      <c r="C477">
        <f>YEAR(OrdersTable[[#This Row],[Order Date]])</f>
        <v>2024</v>
      </c>
      <c r="D477" s="2">
        <f>DATE(YEAR(OrdersTable[[#This Row],[Order Date]]),MONTH(OrdersTable[[#This Row],[Order Date]]),1)</f>
        <v>45383</v>
      </c>
      <c r="E477">
        <f>MONTH(OrdersTable[[#This Row],[Order Date]])</f>
        <v>4</v>
      </c>
      <c r="F477" t="s">
        <v>1192</v>
      </c>
      <c r="G477" t="str">
        <f>IF(OrdersTable[[#This Row],[Order Date]]=_xlfn.MINIFS(Order_Date, Customer_ID, OrdersTable[[#This Row],[Customer ID]]), "New", "Repeat")</f>
        <v>New</v>
      </c>
      <c r="H477" t="s">
        <v>316</v>
      </c>
      <c r="I477" t="str">
        <f>INDEX(State!B:B,MATCH(OrdersTable[[#This Row],[State]],State!A:A,0))</f>
        <v>KL</v>
      </c>
      <c r="J477" t="str">
        <f>INDEX(State!C:C,MATCH(OrdersTable[[#This Row],[State Code]],State!B:B,0))</f>
        <v>South</v>
      </c>
      <c r="K477" t="s">
        <v>338</v>
      </c>
      <c r="L477" t="s">
        <v>65</v>
      </c>
      <c r="M477" t="s">
        <v>51</v>
      </c>
      <c r="N477" t="str">
        <f>INDEX(Products!B:B,MATCH(OrdersTable[[#This Row],[Product ID]],Products!A:A,0))</f>
        <v>Anti-Dandruff Conditioner</v>
      </c>
      <c r="O477" t="str">
        <f>INDEX(Products!C:C,MATCH(OrdersTable[[#This Row],[Product ID]],Products!A:A,0))</f>
        <v>Haircare</v>
      </c>
      <c r="P477">
        <v>2</v>
      </c>
      <c r="Q477" s="5">
        <v>399</v>
      </c>
      <c r="R477" s="74">
        <v>0.4</v>
      </c>
      <c r="S477" s="75">
        <f>OrdersTable[[#This Row],[Quantity]]*OrdersTable[[#This Row],[Unit Price]]</f>
        <v>798</v>
      </c>
      <c r="T477" s="5">
        <f>OrdersTable[[#This Row],[Gross Sale]]*OrdersTable[[#This Row],[Discount_Clean2]]</f>
        <v>319.20000000000005</v>
      </c>
      <c r="U477" s="5">
        <f>OrdersTable[[#This Row],[Gross Sale]]-OrdersTable[[#This Row],[Discount Amount]]</f>
        <v>478.79999999999995</v>
      </c>
      <c r="V477" s="77">
        <f>INDEX(Products!E:E,MATCH(OrdersTable[[#This Row],[Product ID]],Products!A:A,0))</f>
        <v>136</v>
      </c>
      <c r="W477" s="77">
        <f>OrdersTable[[#This Row],[Quantity]]*OrdersTable[[#This Row],[Unit Cost]]</f>
        <v>272</v>
      </c>
      <c r="X477" s="77">
        <f>'Dropdown Lists'!$I$2*(1+OrdersTable[[#This Row],[Returned]])</f>
        <v>60</v>
      </c>
      <c r="Y477" s="76">
        <f>OrdersTable[[#This Row],[Net Revenue]]-OrdersTable[[#This Row],[COGS]]-OrdersTable[[#This Row],[Shipping Cost]]</f>
        <v>146.79999999999995</v>
      </c>
      <c r="Z477" s="78">
        <f>IFERROR(OrdersTable[[#This Row],[Profit]]/OrdersTable[[#This Row],[Net Revenue]],0)</f>
        <v>0.30659983291562232</v>
      </c>
      <c r="AA477" t="s">
        <v>2522</v>
      </c>
      <c r="AB477" s="79">
        <v>45397</v>
      </c>
      <c r="AC477">
        <f>OrdersTable[[#This Row],[Delivery Date]]-OrdersTable[[#This Row],[Order Date]]</f>
        <v>4</v>
      </c>
      <c r="AD477" t="str">
        <f>IF(OrdersTable[[#This Row],[Delivery Days]]&lt;=2, "Express (≤2d)", IF(OrdersTable[[#This Row],[Delivery Days]]&lt;=4, "Standard (3-4d)", "Delayed (5d+)"))</f>
        <v>Standard (3-4d)</v>
      </c>
      <c r="AE477">
        <v>4</v>
      </c>
      <c r="AF477">
        <v>0</v>
      </c>
    </row>
    <row r="478" spans="1:32" ht="15" x14ac:dyDescent="0.35">
      <c r="A478" t="s">
        <v>7051</v>
      </c>
      <c r="B478" s="1">
        <v>45393</v>
      </c>
      <c r="C478">
        <f>YEAR(OrdersTable[[#This Row],[Order Date]])</f>
        <v>2024</v>
      </c>
      <c r="D478" s="2">
        <f>DATE(YEAR(OrdersTable[[#This Row],[Order Date]]),MONTH(OrdersTable[[#This Row],[Order Date]]),1)</f>
        <v>45383</v>
      </c>
      <c r="E478">
        <f>MONTH(OrdersTable[[#This Row],[Order Date]])</f>
        <v>4</v>
      </c>
      <c r="F478" t="s">
        <v>7052</v>
      </c>
      <c r="G478" t="str">
        <f>IF(OrdersTable[[#This Row],[Order Date]]=_xlfn.MINIFS(Order_Date, Customer_ID, OrdersTable[[#This Row],[Customer ID]]), "New", "Repeat")</f>
        <v>New</v>
      </c>
      <c r="H478" t="s">
        <v>316</v>
      </c>
      <c r="I478" t="str">
        <f>INDEX(State!B:B,MATCH(OrdersTable[[#This Row],[State]],State!A:A,0))</f>
        <v>KL</v>
      </c>
      <c r="J478" t="str">
        <f>INDEX(State!C:C,MATCH(OrdersTable[[#This Row],[State Code]],State!B:B,0))</f>
        <v>South</v>
      </c>
      <c r="K478" t="s">
        <v>317</v>
      </c>
      <c r="L478" t="s">
        <v>65</v>
      </c>
      <c r="M478" t="s">
        <v>56</v>
      </c>
      <c r="N478" t="str">
        <f>INDEX(Products!B:B,MATCH(OrdersTable[[#This Row],[Product ID]],Products!A:A,0))</f>
        <v>Vitamin C Face Serum</v>
      </c>
      <c r="O478" t="str">
        <f>INDEX(Products!C:C,MATCH(OrdersTable[[#This Row],[Product ID]],Products!A:A,0))</f>
        <v>Skincare</v>
      </c>
      <c r="P478">
        <v>4</v>
      </c>
      <c r="Q478" s="5">
        <v>599</v>
      </c>
      <c r="R478" s="74">
        <v>0.15</v>
      </c>
      <c r="S478" s="75">
        <f>OrdersTable[[#This Row],[Quantity]]*OrdersTable[[#This Row],[Unit Price]]</f>
        <v>2396</v>
      </c>
      <c r="T478" s="5">
        <f>OrdersTable[[#This Row],[Gross Sale]]*OrdersTable[[#This Row],[Discount_Clean2]]</f>
        <v>359.4</v>
      </c>
      <c r="U478" s="5">
        <f>OrdersTable[[#This Row],[Gross Sale]]-OrdersTable[[#This Row],[Discount Amount]]</f>
        <v>2036.6</v>
      </c>
      <c r="V478" s="77">
        <f>INDEX(Products!E:E,MATCH(OrdersTable[[#This Row],[Product ID]],Products!A:A,0))</f>
        <v>180</v>
      </c>
      <c r="W478" s="77">
        <f>OrdersTable[[#This Row],[Quantity]]*OrdersTable[[#This Row],[Unit Cost]]</f>
        <v>720</v>
      </c>
      <c r="X478" s="77">
        <f>'Dropdown Lists'!$I$2*(1+OrdersTable[[#This Row],[Returned]])</f>
        <v>60</v>
      </c>
      <c r="Y478" s="76">
        <f>OrdersTable[[#This Row],[Net Revenue]]-OrdersTable[[#This Row],[COGS]]-OrdersTable[[#This Row],[Shipping Cost]]</f>
        <v>1256.5999999999999</v>
      </c>
      <c r="Z478" s="78">
        <f>IFERROR(OrdersTable[[#This Row],[Profit]]/OrdersTable[[#This Row],[Net Revenue]],0)</f>
        <v>0.61700874005695761</v>
      </c>
      <c r="AA478" t="s">
        <v>18</v>
      </c>
      <c r="AB478" s="79">
        <v>45395</v>
      </c>
      <c r="AC478">
        <f>OrdersTable[[#This Row],[Delivery Date]]-OrdersTable[[#This Row],[Order Date]]</f>
        <v>2</v>
      </c>
      <c r="AD478" t="str">
        <f>IF(OrdersTable[[#This Row],[Delivery Days]]&lt;=2, "Express (≤2d)", IF(OrdersTable[[#This Row],[Delivery Days]]&lt;=4, "Standard (3-4d)", "Delayed (5d+)"))</f>
        <v>Express (≤2d)</v>
      </c>
      <c r="AE478">
        <v>5</v>
      </c>
      <c r="AF478">
        <v>0</v>
      </c>
    </row>
    <row r="479" spans="1:32" ht="15" x14ac:dyDescent="0.35">
      <c r="A479" t="s">
        <v>6761</v>
      </c>
      <c r="B479" s="1">
        <v>45394</v>
      </c>
      <c r="C479">
        <f>YEAR(OrdersTable[[#This Row],[Order Date]])</f>
        <v>2024</v>
      </c>
      <c r="D479" s="2">
        <f>DATE(YEAR(OrdersTable[[#This Row],[Order Date]]),MONTH(OrdersTable[[#This Row],[Order Date]]),1)</f>
        <v>45383</v>
      </c>
      <c r="E479">
        <f>MONTH(OrdersTable[[#This Row],[Order Date]])</f>
        <v>4</v>
      </c>
      <c r="F479" t="s">
        <v>6762</v>
      </c>
      <c r="G479" t="str">
        <f>IF(OrdersTable[[#This Row],[Order Date]]=_xlfn.MINIFS(Order_Date, Customer_ID, OrdersTable[[#This Row],[Customer ID]]), "New", "Repeat")</f>
        <v>New</v>
      </c>
      <c r="H479" t="s">
        <v>76</v>
      </c>
      <c r="I479" t="str">
        <f>INDEX(State!B:B,MATCH(OrdersTable[[#This Row],[State]],State!A:A,0))</f>
        <v>UP</v>
      </c>
      <c r="J479" t="str">
        <f>INDEX(State!C:C,MATCH(OrdersTable[[#This Row],[State Code]],State!B:B,0))</f>
        <v>North</v>
      </c>
      <c r="K479" t="s">
        <v>77</v>
      </c>
      <c r="L479" t="s">
        <v>65</v>
      </c>
      <c r="M479" t="s">
        <v>73</v>
      </c>
      <c r="N479" t="str">
        <f>INDEX(Products!B:B,MATCH(OrdersTable[[#This Row],[Product ID]],Products!A:A,0))</f>
        <v>Hydrating Face Wash</v>
      </c>
      <c r="O479" t="str">
        <f>INDEX(Products!C:C,MATCH(OrdersTable[[#This Row],[Product ID]],Products!A:A,0))</f>
        <v>Skincare</v>
      </c>
      <c r="P479">
        <v>3</v>
      </c>
      <c r="Q479" s="5">
        <v>299</v>
      </c>
      <c r="R479" s="74">
        <v>0</v>
      </c>
      <c r="S479" s="75">
        <f>OrdersTable[[#This Row],[Quantity]]*OrdersTable[[#This Row],[Unit Price]]</f>
        <v>897</v>
      </c>
      <c r="T479" s="5">
        <f>OrdersTable[[#This Row],[Gross Sale]]*OrdersTable[[#This Row],[Discount_Clean2]]</f>
        <v>0</v>
      </c>
      <c r="U479" s="5">
        <f>OrdersTable[[#This Row],[Gross Sale]]-OrdersTable[[#This Row],[Discount Amount]]</f>
        <v>897</v>
      </c>
      <c r="V479" s="77">
        <f>INDEX(Products!E:E,MATCH(OrdersTable[[#This Row],[Product ID]],Products!A:A,0))</f>
        <v>90</v>
      </c>
      <c r="W479" s="77">
        <f>OrdersTable[[#This Row],[Quantity]]*OrdersTable[[#This Row],[Unit Cost]]</f>
        <v>270</v>
      </c>
      <c r="X479" s="77">
        <f>'Dropdown Lists'!$I$2*(1+OrdersTable[[#This Row],[Returned]])</f>
        <v>60</v>
      </c>
      <c r="Y479" s="76">
        <f>OrdersTable[[#This Row],[Net Revenue]]-OrdersTable[[#This Row],[COGS]]-OrdersTable[[#This Row],[Shipping Cost]]</f>
        <v>567</v>
      </c>
      <c r="Z479" s="78">
        <f>IFERROR(OrdersTable[[#This Row],[Profit]]/OrdersTable[[#This Row],[Net Revenue]],0)</f>
        <v>0.63210702341137126</v>
      </c>
      <c r="AA479" t="s">
        <v>3495</v>
      </c>
      <c r="AB479" s="79">
        <v>45397</v>
      </c>
      <c r="AC479">
        <f>OrdersTable[[#This Row],[Delivery Date]]-OrdersTable[[#This Row],[Order Date]]</f>
        <v>3</v>
      </c>
      <c r="AD479" t="str">
        <f>IF(OrdersTable[[#This Row],[Delivery Days]]&lt;=2, "Express (≤2d)", IF(OrdersTable[[#This Row],[Delivery Days]]&lt;=4, "Standard (3-4d)", "Delayed (5d+)"))</f>
        <v>Standard (3-4d)</v>
      </c>
      <c r="AE479">
        <v>5</v>
      </c>
      <c r="AF479">
        <v>0</v>
      </c>
    </row>
    <row r="480" spans="1:32" ht="15" x14ac:dyDescent="0.35">
      <c r="A480" t="s">
        <v>3517</v>
      </c>
      <c r="B480" s="1">
        <v>45394</v>
      </c>
      <c r="C480">
        <f>YEAR(OrdersTable[[#This Row],[Order Date]])</f>
        <v>2024</v>
      </c>
      <c r="D480" s="2">
        <f>DATE(YEAR(OrdersTable[[#This Row],[Order Date]]),MONTH(OrdersTable[[#This Row],[Order Date]]),1)</f>
        <v>45383</v>
      </c>
      <c r="E480">
        <f>MONTH(OrdersTable[[#This Row],[Order Date]])</f>
        <v>4</v>
      </c>
      <c r="F480" t="s">
        <v>3518</v>
      </c>
      <c r="G480" t="str">
        <f>IF(OrdersTable[[#This Row],[Order Date]]=_xlfn.MINIFS(Order_Date, Customer_ID, OrdersTable[[#This Row],[Customer ID]]), "New", "Repeat")</f>
        <v>New</v>
      </c>
      <c r="H480" t="s">
        <v>37</v>
      </c>
      <c r="I480" t="str">
        <f>INDEX(State!B:B,MATCH(OrdersTable[[#This Row],[State]],State!A:A,0))</f>
        <v>GJ</v>
      </c>
      <c r="J480" t="str">
        <f>INDEX(State!C:C,MATCH(OrdersTable[[#This Row],[State Code]],State!B:B,0))</f>
        <v>West</v>
      </c>
      <c r="K480" t="s">
        <v>247</v>
      </c>
      <c r="L480" t="s">
        <v>39</v>
      </c>
      <c r="M480" t="s">
        <v>228</v>
      </c>
      <c r="N480" t="str">
        <f>INDEX(Products!B:B,MATCH(OrdersTable[[#This Row],[Product ID]],Products!A:A,0))</f>
        <v>Fast Charger 33W</v>
      </c>
      <c r="O480" t="str">
        <f>INDEX(Products!C:C,MATCH(OrdersTable[[#This Row],[Product ID]],Products!A:A,0))</f>
        <v>Electronics</v>
      </c>
      <c r="P480">
        <v>1</v>
      </c>
      <c r="Q480" s="5">
        <v>899</v>
      </c>
      <c r="R480" s="74">
        <v>0.05</v>
      </c>
      <c r="S480" s="75">
        <f>OrdersTable[[#This Row],[Quantity]]*OrdersTable[[#This Row],[Unit Price]]</f>
        <v>899</v>
      </c>
      <c r="T480" s="5">
        <f>OrdersTable[[#This Row],[Gross Sale]]*OrdersTable[[#This Row],[Discount_Clean2]]</f>
        <v>44.95</v>
      </c>
      <c r="U480" s="5">
        <f>OrdersTable[[#This Row],[Gross Sale]]-OrdersTable[[#This Row],[Discount Amount]]</f>
        <v>854.05</v>
      </c>
      <c r="V480" s="77">
        <f>INDEX(Products!E:E,MATCH(OrdersTable[[#This Row],[Product ID]],Products!A:A,0))</f>
        <v>494</v>
      </c>
      <c r="W480" s="77">
        <f>OrdersTable[[#This Row],[Quantity]]*OrdersTable[[#This Row],[Unit Cost]]</f>
        <v>494</v>
      </c>
      <c r="X480" s="77">
        <f>'Dropdown Lists'!$I$2*(1+OrdersTable[[#This Row],[Returned]])</f>
        <v>60</v>
      </c>
      <c r="Y480" s="76">
        <f>OrdersTable[[#This Row],[Net Revenue]]-OrdersTable[[#This Row],[COGS]]-OrdersTable[[#This Row],[Shipping Cost]]</f>
        <v>300.04999999999995</v>
      </c>
      <c r="Z480" s="78">
        <f>IFERROR(OrdersTable[[#This Row],[Profit]]/OrdersTable[[#This Row],[Net Revenue]],0)</f>
        <v>0.35132603477548152</v>
      </c>
      <c r="AA480" t="s">
        <v>3495</v>
      </c>
      <c r="AB480" s="79">
        <v>45396</v>
      </c>
      <c r="AC480">
        <f>OrdersTable[[#This Row],[Delivery Date]]-OrdersTable[[#This Row],[Order Date]]</f>
        <v>2</v>
      </c>
      <c r="AD480" t="str">
        <f>IF(OrdersTable[[#This Row],[Delivery Days]]&lt;=2, "Express (≤2d)", IF(OrdersTable[[#This Row],[Delivery Days]]&lt;=4, "Standard (3-4d)", "Delayed (5d+)"))</f>
        <v>Express (≤2d)</v>
      </c>
      <c r="AE480">
        <v>4</v>
      </c>
      <c r="AF480">
        <v>0</v>
      </c>
    </row>
    <row r="481" spans="1:32" ht="15" x14ac:dyDescent="0.35">
      <c r="A481" t="s">
        <v>5312</v>
      </c>
      <c r="B481" s="1">
        <v>45394</v>
      </c>
      <c r="C481">
        <f>YEAR(OrdersTable[[#This Row],[Order Date]])</f>
        <v>2024</v>
      </c>
      <c r="D481" s="2">
        <f>DATE(YEAR(OrdersTable[[#This Row],[Order Date]]),MONTH(OrdersTable[[#This Row],[Order Date]]),1)</f>
        <v>45383</v>
      </c>
      <c r="E481">
        <f>MONTH(OrdersTable[[#This Row],[Order Date]])</f>
        <v>4</v>
      </c>
      <c r="F481" t="s">
        <v>1093</v>
      </c>
      <c r="G481" t="str">
        <f>IF(OrdersTable[[#This Row],[Order Date]]=_xlfn.MINIFS(Order_Date, Customer_ID, OrdersTable[[#This Row],[Customer ID]]), "New", "Repeat")</f>
        <v>New</v>
      </c>
      <c r="H481" t="s">
        <v>27</v>
      </c>
      <c r="I481" t="str">
        <f>INDEX(State!B:B,MATCH(OrdersTable[[#This Row],[State]],State!A:A,0))</f>
        <v>WB</v>
      </c>
      <c r="J481" t="str">
        <f>INDEX(State!C:C,MATCH(OrdersTable[[#This Row],[State Code]],State!B:B,0))</f>
        <v>East</v>
      </c>
      <c r="K481" t="s">
        <v>28</v>
      </c>
      <c r="L481" t="s">
        <v>23</v>
      </c>
      <c r="M481" t="s">
        <v>255</v>
      </c>
      <c r="N481" t="str">
        <f>INDEX(Products!B:B,MATCH(OrdersTable[[#This Row],[Product ID]],Products!A:A,0))</f>
        <v>Cotton Oversized T-Shirt</v>
      </c>
      <c r="O481" t="str">
        <f>INDEX(Products!C:C,MATCH(OrdersTable[[#This Row],[Product ID]],Products!A:A,0))</f>
        <v>Apparel</v>
      </c>
      <c r="P481">
        <v>2</v>
      </c>
      <c r="Q481" s="5">
        <v>799</v>
      </c>
      <c r="R481" s="74">
        <v>0</v>
      </c>
      <c r="S481" s="75">
        <f>OrdersTable[[#This Row],[Quantity]]*OrdersTable[[#This Row],[Unit Price]]</f>
        <v>1598</v>
      </c>
      <c r="T481" s="5">
        <f>OrdersTable[[#This Row],[Gross Sale]]*OrdersTable[[#This Row],[Discount_Clean2]]</f>
        <v>0</v>
      </c>
      <c r="U481" s="5">
        <f>OrdersTable[[#This Row],[Gross Sale]]-OrdersTable[[#This Row],[Discount Amount]]</f>
        <v>1598</v>
      </c>
      <c r="V481" s="77">
        <f>INDEX(Products!E:E,MATCH(OrdersTable[[#This Row],[Product ID]],Products!A:A,0))</f>
        <v>320</v>
      </c>
      <c r="W481" s="77">
        <f>OrdersTable[[#This Row],[Quantity]]*OrdersTable[[#This Row],[Unit Cost]]</f>
        <v>640</v>
      </c>
      <c r="X481" s="77">
        <f>'Dropdown Lists'!$I$2*(1+OrdersTable[[#This Row],[Returned]])</f>
        <v>60</v>
      </c>
      <c r="Y481" s="76">
        <f>OrdersTable[[#This Row],[Net Revenue]]-OrdersTable[[#This Row],[COGS]]-OrdersTable[[#This Row],[Shipping Cost]]</f>
        <v>898</v>
      </c>
      <c r="Z481" s="78">
        <f>IFERROR(OrdersTable[[#This Row],[Profit]]/OrdersTable[[#This Row],[Net Revenue]],0)</f>
        <v>0.56195244055068838</v>
      </c>
      <c r="AA481" t="s">
        <v>2522</v>
      </c>
      <c r="AB481" s="79">
        <v>45396</v>
      </c>
      <c r="AC481">
        <f>OrdersTable[[#This Row],[Delivery Date]]-OrdersTable[[#This Row],[Order Date]]</f>
        <v>2</v>
      </c>
      <c r="AD481" t="str">
        <f>IF(OrdersTable[[#This Row],[Delivery Days]]&lt;=2, "Express (≤2d)", IF(OrdersTable[[#This Row],[Delivery Days]]&lt;=4, "Standard (3-4d)", "Delayed (5d+)"))</f>
        <v>Express (≤2d)</v>
      </c>
      <c r="AE481">
        <v>5</v>
      </c>
      <c r="AF481">
        <v>0</v>
      </c>
    </row>
    <row r="482" spans="1:32" ht="15" x14ac:dyDescent="0.35">
      <c r="A482" t="s">
        <v>1338</v>
      </c>
      <c r="B482" s="1">
        <v>45394</v>
      </c>
      <c r="C482">
        <f>YEAR(OrdersTable[[#This Row],[Order Date]])</f>
        <v>2024</v>
      </c>
      <c r="D482" s="2">
        <f>DATE(YEAR(OrdersTable[[#This Row],[Order Date]]),MONTH(OrdersTable[[#This Row],[Order Date]]),1)</f>
        <v>45383</v>
      </c>
      <c r="E482">
        <f>MONTH(OrdersTable[[#This Row],[Order Date]])</f>
        <v>4</v>
      </c>
      <c r="F482" t="s">
        <v>963</v>
      </c>
      <c r="G482" t="str">
        <f>IF(OrdersTable[[#This Row],[Order Date]]=_xlfn.MINIFS(Order_Date, Customer_ID, OrdersTable[[#This Row],[Customer ID]]), "New", "Repeat")</f>
        <v>New</v>
      </c>
      <c r="H482" t="s">
        <v>71</v>
      </c>
      <c r="I482" t="str">
        <f>INDEX(State!B:B,MATCH(OrdersTable[[#This Row],[State]],State!A:A,0))</f>
        <v>MH</v>
      </c>
      <c r="J482" t="str">
        <f>INDEX(State!C:C,MATCH(OrdersTable[[#This Row],[State Code]],State!B:B,0))</f>
        <v>West</v>
      </c>
      <c r="K482" t="s">
        <v>102</v>
      </c>
      <c r="L482" t="s">
        <v>23</v>
      </c>
      <c r="M482" t="s">
        <v>51</v>
      </c>
      <c r="N482" t="str">
        <f>INDEX(Products!B:B,MATCH(OrdersTable[[#This Row],[Product ID]],Products!A:A,0))</f>
        <v>Anti-Dandruff Conditioner</v>
      </c>
      <c r="O482" t="str">
        <f>INDEX(Products!C:C,MATCH(OrdersTable[[#This Row],[Product ID]],Products!A:A,0))</f>
        <v>Haircare</v>
      </c>
      <c r="P482">
        <v>1</v>
      </c>
      <c r="Q482" s="5">
        <v>399</v>
      </c>
      <c r="R482" s="74">
        <v>0.4</v>
      </c>
      <c r="S482" s="75">
        <f>OrdersTable[[#This Row],[Quantity]]*OrdersTable[[#This Row],[Unit Price]]</f>
        <v>399</v>
      </c>
      <c r="T482" s="5">
        <f>OrdersTable[[#This Row],[Gross Sale]]*OrdersTable[[#This Row],[Discount_Clean2]]</f>
        <v>159.60000000000002</v>
      </c>
      <c r="U482" s="5">
        <f>OrdersTable[[#This Row],[Gross Sale]]-OrdersTable[[#This Row],[Discount Amount]]</f>
        <v>239.39999999999998</v>
      </c>
      <c r="V482" s="77">
        <f>INDEX(Products!E:E,MATCH(OrdersTable[[#This Row],[Product ID]],Products!A:A,0))</f>
        <v>136</v>
      </c>
      <c r="W482" s="77">
        <f>OrdersTable[[#This Row],[Quantity]]*OrdersTable[[#This Row],[Unit Cost]]</f>
        <v>136</v>
      </c>
      <c r="X482" s="77">
        <f>'Dropdown Lists'!$I$2*(1+OrdersTable[[#This Row],[Returned]])</f>
        <v>60</v>
      </c>
      <c r="Y482" s="76">
        <f>OrdersTable[[#This Row],[Net Revenue]]-OrdersTable[[#This Row],[COGS]]-OrdersTable[[#This Row],[Shipping Cost]]</f>
        <v>43.399999999999977</v>
      </c>
      <c r="Z482" s="78">
        <f>IFERROR(OrdersTable[[#This Row],[Profit]]/OrdersTable[[#This Row],[Net Revenue]],0)</f>
        <v>0.18128654970760227</v>
      </c>
      <c r="AA482" t="s">
        <v>18</v>
      </c>
      <c r="AB482" s="79">
        <v>45396</v>
      </c>
      <c r="AC482">
        <f>OrdersTable[[#This Row],[Delivery Date]]-OrdersTable[[#This Row],[Order Date]]</f>
        <v>2</v>
      </c>
      <c r="AD482" t="str">
        <f>IF(OrdersTable[[#This Row],[Delivery Days]]&lt;=2, "Express (≤2d)", IF(OrdersTable[[#This Row],[Delivery Days]]&lt;=4, "Standard (3-4d)", "Delayed (5d+)"))</f>
        <v>Express (≤2d)</v>
      </c>
      <c r="AF482">
        <v>0</v>
      </c>
    </row>
    <row r="483" spans="1:32" ht="15" x14ac:dyDescent="0.35">
      <c r="A483" t="s">
        <v>6851</v>
      </c>
      <c r="B483" s="1">
        <v>45394</v>
      </c>
      <c r="C483">
        <f>YEAR(OrdersTable[[#This Row],[Order Date]])</f>
        <v>2024</v>
      </c>
      <c r="D483" s="2">
        <f>DATE(YEAR(OrdersTable[[#This Row],[Order Date]]),MONTH(OrdersTable[[#This Row],[Order Date]]),1)</f>
        <v>45383</v>
      </c>
      <c r="E483">
        <f>MONTH(OrdersTable[[#This Row],[Order Date]])</f>
        <v>4</v>
      </c>
      <c r="F483" t="s">
        <v>2605</v>
      </c>
      <c r="G483" t="str">
        <f>IF(OrdersTable[[#This Row],[Order Date]]=_xlfn.MINIFS(Order_Date, Customer_ID, OrdersTable[[#This Row],[Customer ID]]), "New", "Repeat")</f>
        <v>Repeat</v>
      </c>
      <c r="H483" t="s">
        <v>90</v>
      </c>
      <c r="I483" t="str">
        <f>INDEX(State!B:B,MATCH(OrdersTable[[#This Row],[State]],State!A:A,0))</f>
        <v>GA</v>
      </c>
      <c r="J483" t="str">
        <f>INDEX(State!C:C,MATCH(OrdersTable[[#This Row],[State Code]],State!B:B,0))</f>
        <v>West</v>
      </c>
      <c r="K483" t="s">
        <v>91</v>
      </c>
      <c r="L483" t="s">
        <v>23</v>
      </c>
      <c r="M483" t="s">
        <v>24</v>
      </c>
      <c r="N483" t="str">
        <f>INDEX(Products!B:B,MATCH(OrdersTable[[#This Row],[Product ID]],Products!A:A,0))</f>
        <v>Scented Candle Set</v>
      </c>
      <c r="O483" t="str">
        <f>INDEX(Products!C:C,MATCH(OrdersTable[[#This Row],[Product ID]],Products!A:A,0))</f>
        <v>Home &amp; Kitchen</v>
      </c>
      <c r="P483">
        <v>3</v>
      </c>
      <c r="Q483" s="5">
        <v>699</v>
      </c>
      <c r="R483" s="74">
        <v>0.2</v>
      </c>
      <c r="S483" s="75">
        <f>OrdersTable[[#This Row],[Quantity]]*OrdersTable[[#This Row],[Unit Price]]</f>
        <v>2097</v>
      </c>
      <c r="T483" s="5">
        <f>OrdersTable[[#This Row],[Gross Sale]]*OrdersTable[[#This Row],[Discount_Clean2]]</f>
        <v>419.40000000000003</v>
      </c>
      <c r="U483" s="5">
        <f>OrdersTable[[#This Row],[Gross Sale]]-OrdersTable[[#This Row],[Discount Amount]]</f>
        <v>1677.6</v>
      </c>
      <c r="V483" s="77">
        <f>INDEX(Products!E:E,MATCH(OrdersTable[[#This Row],[Product ID]],Products!A:A,0))</f>
        <v>245</v>
      </c>
      <c r="W483" s="77">
        <f>OrdersTable[[#This Row],[Quantity]]*OrdersTable[[#This Row],[Unit Cost]]</f>
        <v>735</v>
      </c>
      <c r="X483" s="77">
        <f>'Dropdown Lists'!$I$2*(1+OrdersTable[[#This Row],[Returned]])</f>
        <v>60</v>
      </c>
      <c r="Y483" s="76">
        <f>OrdersTable[[#This Row],[Net Revenue]]-OrdersTable[[#This Row],[COGS]]-OrdersTable[[#This Row],[Shipping Cost]]</f>
        <v>882.59999999999991</v>
      </c>
      <c r="Z483" s="78">
        <f>IFERROR(OrdersTable[[#This Row],[Profit]]/OrdersTable[[#This Row],[Net Revenue]],0)</f>
        <v>0.52610872675250353</v>
      </c>
      <c r="AA483" t="s">
        <v>4450</v>
      </c>
      <c r="AB483" s="79">
        <v>45396</v>
      </c>
      <c r="AC483">
        <f>OrdersTable[[#This Row],[Delivery Date]]-OrdersTable[[#This Row],[Order Date]]</f>
        <v>2</v>
      </c>
      <c r="AD483" t="str">
        <f>IF(OrdersTable[[#This Row],[Delivery Days]]&lt;=2, "Express (≤2d)", IF(OrdersTable[[#This Row],[Delivery Days]]&lt;=4, "Standard (3-4d)", "Delayed (5d+)"))</f>
        <v>Express (≤2d)</v>
      </c>
      <c r="AF483">
        <v>0</v>
      </c>
    </row>
    <row r="484" spans="1:32" ht="15" x14ac:dyDescent="0.35">
      <c r="A484" t="s">
        <v>5085</v>
      </c>
      <c r="B484" s="1">
        <v>45394</v>
      </c>
      <c r="C484">
        <f>YEAR(OrdersTable[[#This Row],[Order Date]])</f>
        <v>2024</v>
      </c>
      <c r="D484" s="2">
        <f>DATE(YEAR(OrdersTable[[#This Row],[Order Date]]),MONTH(OrdersTable[[#This Row],[Order Date]]),1)</f>
        <v>45383</v>
      </c>
      <c r="E484">
        <f>MONTH(OrdersTable[[#This Row],[Order Date]])</f>
        <v>4</v>
      </c>
      <c r="F484" t="s">
        <v>2437</v>
      </c>
      <c r="G484" t="str">
        <f>IF(OrdersTable[[#This Row],[Order Date]]=_xlfn.MINIFS(Order_Date, Customer_ID, OrdersTable[[#This Row],[Customer ID]]), "New", "Repeat")</f>
        <v>New</v>
      </c>
      <c r="H484" t="s">
        <v>275</v>
      </c>
      <c r="I484" t="str">
        <f>INDEX(State!B:B,MATCH(OrdersTable[[#This Row],[State]],State!A:A,0))</f>
        <v>AP</v>
      </c>
      <c r="J484" t="str">
        <f>INDEX(State!C:C,MATCH(OrdersTable[[#This Row],[State Code]],State!B:B,0))</f>
        <v>South</v>
      </c>
      <c r="K484" t="s">
        <v>276</v>
      </c>
      <c r="L484" t="s">
        <v>50</v>
      </c>
      <c r="M484" t="s">
        <v>51</v>
      </c>
      <c r="N484" t="str">
        <f>INDEX(Products!B:B,MATCH(OrdersTable[[#This Row],[Product ID]],Products!A:A,0))</f>
        <v>Anti-Dandruff Conditioner</v>
      </c>
      <c r="O484" t="str">
        <f>INDEX(Products!C:C,MATCH(OrdersTable[[#This Row],[Product ID]],Products!A:A,0))</f>
        <v>Haircare</v>
      </c>
      <c r="P484">
        <v>2</v>
      </c>
      <c r="Q484" s="5">
        <v>399</v>
      </c>
      <c r="R484" s="74">
        <v>0.35</v>
      </c>
      <c r="S484" s="75">
        <f>OrdersTable[[#This Row],[Quantity]]*OrdersTable[[#This Row],[Unit Price]]</f>
        <v>798</v>
      </c>
      <c r="T484" s="5">
        <f>OrdersTable[[#This Row],[Gross Sale]]*OrdersTable[[#This Row],[Discount_Clean2]]</f>
        <v>279.29999999999995</v>
      </c>
      <c r="U484" s="5">
        <f>OrdersTable[[#This Row],[Gross Sale]]-OrdersTable[[#This Row],[Discount Amount]]</f>
        <v>518.70000000000005</v>
      </c>
      <c r="V484" s="77">
        <f>INDEX(Products!E:E,MATCH(OrdersTable[[#This Row],[Product ID]],Products!A:A,0))</f>
        <v>136</v>
      </c>
      <c r="W484" s="77">
        <f>OrdersTable[[#This Row],[Quantity]]*OrdersTable[[#This Row],[Unit Cost]]</f>
        <v>272</v>
      </c>
      <c r="X484" s="77">
        <f>'Dropdown Lists'!$I$2*(1+OrdersTable[[#This Row],[Returned]])</f>
        <v>60</v>
      </c>
      <c r="Y484" s="76">
        <f>OrdersTable[[#This Row],[Net Revenue]]-OrdersTable[[#This Row],[COGS]]-OrdersTable[[#This Row],[Shipping Cost]]</f>
        <v>186.70000000000005</v>
      </c>
      <c r="Z484" s="78">
        <f>IFERROR(OrdersTable[[#This Row],[Profit]]/OrdersTable[[#This Row],[Net Revenue]],0)</f>
        <v>0.35993830730672843</v>
      </c>
      <c r="AA484" t="s">
        <v>3495</v>
      </c>
      <c r="AB484" s="79">
        <v>45398</v>
      </c>
      <c r="AC484">
        <f>OrdersTable[[#This Row],[Delivery Date]]-OrdersTable[[#This Row],[Order Date]]</f>
        <v>4</v>
      </c>
      <c r="AD484" t="str">
        <f>IF(OrdersTable[[#This Row],[Delivery Days]]&lt;=2, "Express (≤2d)", IF(OrdersTable[[#This Row],[Delivery Days]]&lt;=4, "Standard (3-4d)", "Delayed (5d+)"))</f>
        <v>Standard (3-4d)</v>
      </c>
      <c r="AE484">
        <v>3</v>
      </c>
      <c r="AF484">
        <v>0</v>
      </c>
    </row>
    <row r="485" spans="1:32" ht="15" x14ac:dyDescent="0.35">
      <c r="A485" t="s">
        <v>2886</v>
      </c>
      <c r="B485" s="1">
        <v>45395</v>
      </c>
      <c r="C485">
        <f>YEAR(OrdersTable[[#This Row],[Order Date]])</f>
        <v>2024</v>
      </c>
      <c r="D485" s="2">
        <f>DATE(YEAR(OrdersTable[[#This Row],[Order Date]]),MONTH(OrdersTable[[#This Row],[Order Date]]),1)</f>
        <v>45383</v>
      </c>
      <c r="E485">
        <f>MONTH(OrdersTable[[#This Row],[Order Date]])</f>
        <v>4</v>
      </c>
      <c r="F485" t="s">
        <v>2887</v>
      </c>
      <c r="G485" t="str">
        <f>IF(OrdersTable[[#This Row],[Order Date]]=_xlfn.MINIFS(Order_Date, Customer_ID, OrdersTable[[#This Row],[Customer ID]]), "New", "Repeat")</f>
        <v>New</v>
      </c>
      <c r="H485" t="s">
        <v>54</v>
      </c>
      <c r="I485" t="str">
        <f>INDEX(State!B:B,MATCH(OrdersTable[[#This Row],[State]],State!A:A,0))</f>
        <v>RJ</v>
      </c>
      <c r="J485" t="str">
        <f>INDEX(State!C:C,MATCH(OrdersTable[[#This Row],[State Code]],State!B:B,0))</f>
        <v>North</v>
      </c>
      <c r="K485" t="s">
        <v>55</v>
      </c>
      <c r="L485" t="s">
        <v>16</v>
      </c>
      <c r="M485" t="s">
        <v>92</v>
      </c>
      <c r="N485" t="str">
        <f>INDEX(Products!B:B,MATCH(OrdersTable[[#This Row],[Product ID]],Products!A:A,0))</f>
        <v>Kolhapuri Sandals</v>
      </c>
      <c r="O485" t="str">
        <f>INDEX(Products!C:C,MATCH(OrdersTable[[#This Row],[Product ID]],Products!A:A,0))</f>
        <v>Footwear</v>
      </c>
      <c r="P485">
        <v>1</v>
      </c>
      <c r="Q485" s="5">
        <v>999</v>
      </c>
      <c r="R485" s="74">
        <v>0.05</v>
      </c>
      <c r="S485" s="75">
        <f>OrdersTable[[#This Row],[Quantity]]*OrdersTable[[#This Row],[Unit Price]]</f>
        <v>999</v>
      </c>
      <c r="T485" s="5">
        <f>OrdersTable[[#This Row],[Gross Sale]]*OrdersTable[[#This Row],[Discount_Clean2]]</f>
        <v>49.95</v>
      </c>
      <c r="U485" s="5">
        <f>OrdersTable[[#This Row],[Gross Sale]]-OrdersTable[[#This Row],[Discount Amount]]</f>
        <v>949.05</v>
      </c>
      <c r="V485" s="77">
        <f>INDEX(Products!E:E,MATCH(OrdersTable[[#This Row],[Product ID]],Products!A:A,0))</f>
        <v>400</v>
      </c>
      <c r="W485" s="77">
        <f>OrdersTable[[#This Row],[Quantity]]*OrdersTable[[#This Row],[Unit Cost]]</f>
        <v>400</v>
      </c>
      <c r="X485" s="77">
        <f>'Dropdown Lists'!$I$2*(1+OrdersTable[[#This Row],[Returned]])</f>
        <v>60</v>
      </c>
      <c r="Y485" s="76">
        <f>OrdersTable[[#This Row],[Net Revenue]]-OrdersTable[[#This Row],[COGS]]-OrdersTable[[#This Row],[Shipping Cost]]</f>
        <v>489.04999999999995</v>
      </c>
      <c r="Z485" s="78">
        <f>IFERROR(OrdersTable[[#This Row],[Profit]]/OrdersTable[[#This Row],[Net Revenue]],0)</f>
        <v>0.5153047784626732</v>
      </c>
      <c r="AA485" t="s">
        <v>2522</v>
      </c>
      <c r="AB485" s="79">
        <v>45397</v>
      </c>
      <c r="AC485">
        <f>OrdersTable[[#This Row],[Delivery Date]]-OrdersTable[[#This Row],[Order Date]]</f>
        <v>2</v>
      </c>
      <c r="AD485" t="str">
        <f>IF(OrdersTable[[#This Row],[Delivery Days]]&lt;=2, "Express (≤2d)", IF(OrdersTable[[#This Row],[Delivery Days]]&lt;=4, "Standard (3-4d)", "Delayed (5d+)"))</f>
        <v>Express (≤2d)</v>
      </c>
      <c r="AF485">
        <v>0</v>
      </c>
    </row>
    <row r="486" spans="1:32" ht="15" x14ac:dyDescent="0.35">
      <c r="A486" t="s">
        <v>3711</v>
      </c>
      <c r="B486" s="1">
        <v>45395</v>
      </c>
      <c r="C486">
        <f>YEAR(OrdersTable[[#This Row],[Order Date]])</f>
        <v>2024</v>
      </c>
      <c r="D486" s="2">
        <f>DATE(YEAR(OrdersTable[[#This Row],[Order Date]]),MONTH(OrdersTable[[#This Row],[Order Date]]),1)</f>
        <v>45383</v>
      </c>
      <c r="E486">
        <f>MONTH(OrdersTable[[#This Row],[Order Date]])</f>
        <v>4</v>
      </c>
      <c r="F486" t="s">
        <v>2260</v>
      </c>
      <c r="G486" t="str">
        <f>IF(OrdersTable[[#This Row],[Order Date]]=_xlfn.MINIFS(Order_Date, Customer_ID, OrdersTable[[#This Row],[Customer ID]]), "New", "Repeat")</f>
        <v>Repeat</v>
      </c>
      <c r="H486" t="s">
        <v>37</v>
      </c>
      <c r="I486" t="str">
        <f>INDEX(State!B:B,MATCH(OrdersTable[[#This Row],[State]],State!A:A,0))</f>
        <v>GJ</v>
      </c>
      <c r="J486" t="str">
        <f>INDEX(State!C:C,MATCH(OrdersTable[[#This Row],[State Code]],State!B:B,0))</f>
        <v>West</v>
      </c>
      <c r="K486" t="s">
        <v>247</v>
      </c>
      <c r="L486" t="s">
        <v>16</v>
      </c>
      <c r="M486" t="s">
        <v>176</v>
      </c>
      <c r="N486" t="str">
        <f>INDEX(Products!B:B,MATCH(OrdersTable[[#This Row],[Product ID]],Products!A:A,0))</f>
        <v>Denim Jacket</v>
      </c>
      <c r="O486" t="str">
        <f>INDEX(Products!C:C,MATCH(OrdersTable[[#This Row],[Product ID]],Products!A:A,0))</f>
        <v>Apparel</v>
      </c>
      <c r="P486">
        <v>1</v>
      </c>
      <c r="Q486" s="5">
        <v>2499</v>
      </c>
      <c r="R486" s="74">
        <v>0.1</v>
      </c>
      <c r="S486" s="75">
        <f>OrdersTable[[#This Row],[Quantity]]*OrdersTable[[#This Row],[Unit Price]]</f>
        <v>2499</v>
      </c>
      <c r="T486" s="5">
        <f>OrdersTable[[#This Row],[Gross Sale]]*OrdersTable[[#This Row],[Discount_Clean2]]</f>
        <v>249.9</v>
      </c>
      <c r="U486" s="5">
        <f>OrdersTable[[#This Row],[Gross Sale]]-OrdersTable[[#This Row],[Discount Amount]]</f>
        <v>2249.1</v>
      </c>
      <c r="V486" s="77">
        <f>INDEX(Products!E:E,MATCH(OrdersTable[[#This Row],[Product ID]],Products!A:A,0))</f>
        <v>1125</v>
      </c>
      <c r="W486" s="77">
        <f>OrdersTable[[#This Row],[Quantity]]*OrdersTable[[#This Row],[Unit Cost]]</f>
        <v>1125</v>
      </c>
      <c r="X486" s="77">
        <f>'Dropdown Lists'!$I$2*(1+OrdersTable[[#This Row],[Returned]])</f>
        <v>60</v>
      </c>
      <c r="Y486" s="76">
        <f>OrdersTable[[#This Row],[Net Revenue]]-OrdersTable[[#This Row],[COGS]]-OrdersTable[[#This Row],[Shipping Cost]]</f>
        <v>1064.0999999999999</v>
      </c>
      <c r="Z486" s="78">
        <f>IFERROR(OrdersTable[[#This Row],[Profit]]/OrdersTable[[#This Row],[Net Revenue]],0)</f>
        <v>0.4731225823662798</v>
      </c>
      <c r="AA486" t="s">
        <v>3495</v>
      </c>
      <c r="AB486" s="79">
        <v>45400</v>
      </c>
      <c r="AC486">
        <f>OrdersTable[[#This Row],[Delivery Date]]-OrdersTable[[#This Row],[Order Date]]</f>
        <v>5</v>
      </c>
      <c r="AD486" t="str">
        <f>IF(OrdersTable[[#This Row],[Delivery Days]]&lt;=2, "Express (≤2d)", IF(OrdersTable[[#This Row],[Delivery Days]]&lt;=4, "Standard (3-4d)", "Delayed (5d+)"))</f>
        <v>Delayed (5d+)</v>
      </c>
      <c r="AF486">
        <v>0</v>
      </c>
    </row>
    <row r="487" spans="1:32" ht="15" x14ac:dyDescent="0.35">
      <c r="A487" t="s">
        <v>1849</v>
      </c>
      <c r="B487" s="1">
        <v>45395</v>
      </c>
      <c r="C487">
        <f>YEAR(OrdersTable[[#This Row],[Order Date]])</f>
        <v>2024</v>
      </c>
      <c r="D487" s="2">
        <f>DATE(YEAR(OrdersTable[[#This Row],[Order Date]]),MONTH(OrdersTable[[#This Row],[Order Date]]),1)</f>
        <v>45383</v>
      </c>
      <c r="E487">
        <f>MONTH(OrdersTable[[#This Row],[Order Date]])</f>
        <v>4</v>
      </c>
      <c r="F487" t="s">
        <v>1793</v>
      </c>
      <c r="G487" t="str">
        <f>IF(OrdersTable[[#This Row],[Order Date]]=_xlfn.MINIFS(Order_Date, Customer_ID, OrdersTable[[#This Row],[Customer ID]]), "New", "Repeat")</f>
        <v>New</v>
      </c>
      <c r="H487" t="s">
        <v>43</v>
      </c>
      <c r="I487" t="str">
        <f>INDEX(State!B:B,MATCH(OrdersTable[[#This Row],[State]],State!A:A,0))</f>
        <v>MP</v>
      </c>
      <c r="J487" t="str">
        <f>INDEX(State!C:C,MATCH(OrdersTable[[#This Row],[State Code]],State!B:B,0))</f>
        <v>West</v>
      </c>
      <c r="K487" t="s">
        <v>250</v>
      </c>
      <c r="L487" t="s">
        <v>65</v>
      </c>
      <c r="M487" t="s">
        <v>34</v>
      </c>
      <c r="N487" t="str">
        <f>INDEX(Products!B:B,MATCH(OrdersTable[[#This Row],[Product ID]],Products!A:A,0))</f>
        <v>Flip Flops</v>
      </c>
      <c r="O487" t="str">
        <f>INDEX(Products!C:C,MATCH(OrdersTable[[#This Row],[Product ID]],Products!A:A,0))</f>
        <v>Footwear</v>
      </c>
      <c r="P487">
        <v>1</v>
      </c>
      <c r="Q487" s="5">
        <v>399</v>
      </c>
      <c r="R487" s="74">
        <v>0.15</v>
      </c>
      <c r="S487" s="75">
        <f>OrdersTable[[#This Row],[Quantity]]*OrdersTable[[#This Row],[Unit Price]]</f>
        <v>399</v>
      </c>
      <c r="T487" s="5">
        <f>OrdersTable[[#This Row],[Gross Sale]]*OrdersTable[[#This Row],[Discount_Clean2]]</f>
        <v>59.849999999999994</v>
      </c>
      <c r="U487" s="5">
        <f>OrdersTable[[#This Row],[Gross Sale]]-OrdersTable[[#This Row],[Discount Amount]]</f>
        <v>339.15</v>
      </c>
      <c r="V487" s="77">
        <f>INDEX(Products!E:E,MATCH(OrdersTable[[#This Row],[Product ID]],Products!A:A,0))</f>
        <v>152</v>
      </c>
      <c r="W487" s="77">
        <f>OrdersTable[[#This Row],[Quantity]]*OrdersTable[[#This Row],[Unit Cost]]</f>
        <v>152</v>
      </c>
      <c r="X487" s="77">
        <f>'Dropdown Lists'!$I$2*(1+OrdersTable[[#This Row],[Returned]])</f>
        <v>60</v>
      </c>
      <c r="Y487" s="76">
        <f>OrdersTable[[#This Row],[Net Revenue]]-OrdersTable[[#This Row],[COGS]]-OrdersTable[[#This Row],[Shipping Cost]]</f>
        <v>127.14999999999998</v>
      </c>
      <c r="Z487" s="78">
        <f>IFERROR(OrdersTable[[#This Row],[Profit]]/OrdersTable[[#This Row],[Net Revenue]],0)</f>
        <v>0.37490785787999409</v>
      </c>
      <c r="AA487" t="s">
        <v>18</v>
      </c>
      <c r="AB487" s="79">
        <v>45399</v>
      </c>
      <c r="AC487">
        <f>OrdersTable[[#This Row],[Delivery Date]]-OrdersTable[[#This Row],[Order Date]]</f>
        <v>4</v>
      </c>
      <c r="AD487" t="str">
        <f>IF(OrdersTable[[#This Row],[Delivery Days]]&lt;=2, "Express (≤2d)", IF(OrdersTable[[#This Row],[Delivery Days]]&lt;=4, "Standard (3-4d)", "Delayed (5d+)"))</f>
        <v>Standard (3-4d)</v>
      </c>
      <c r="AE487">
        <v>3</v>
      </c>
      <c r="AF487">
        <v>0</v>
      </c>
    </row>
    <row r="488" spans="1:32" ht="15" x14ac:dyDescent="0.35">
      <c r="A488" t="s">
        <v>2888</v>
      </c>
      <c r="B488" s="1">
        <v>45395</v>
      </c>
      <c r="C488">
        <f>YEAR(OrdersTable[[#This Row],[Order Date]])</f>
        <v>2024</v>
      </c>
      <c r="D488" s="2">
        <f>DATE(YEAR(OrdersTable[[#This Row],[Order Date]]),MONTH(OrdersTable[[#This Row],[Order Date]]),1)</f>
        <v>45383</v>
      </c>
      <c r="E488">
        <f>MONTH(OrdersTable[[#This Row],[Order Date]])</f>
        <v>4</v>
      </c>
      <c r="F488" t="s">
        <v>2889</v>
      </c>
      <c r="G488" t="str">
        <f>IF(OrdersTable[[#This Row],[Order Date]]=_xlfn.MINIFS(Order_Date, Customer_ID, OrdersTable[[#This Row],[Customer ID]]), "New", "Repeat")</f>
        <v>Repeat</v>
      </c>
      <c r="H488" t="s">
        <v>71</v>
      </c>
      <c r="I488" t="str">
        <f>INDEX(State!B:B,MATCH(OrdersTable[[#This Row],[State]],State!A:A,0))</f>
        <v>MH</v>
      </c>
      <c r="J488" t="str">
        <f>INDEX(State!C:C,MATCH(OrdersTable[[#This Row],[State Code]],State!B:B,0))</f>
        <v>West</v>
      </c>
      <c r="K488" t="s">
        <v>102</v>
      </c>
      <c r="L488" t="s">
        <v>65</v>
      </c>
      <c r="M488" t="s">
        <v>66</v>
      </c>
      <c r="N488" t="str">
        <f>INDEX(Products!B:B,MATCH(OrdersTable[[#This Row],[Product ID]],Products!A:A,0))</f>
        <v>Sunscreen SPF 50</v>
      </c>
      <c r="O488" t="str">
        <f>INDEX(Products!C:C,MATCH(OrdersTable[[#This Row],[Product ID]],Products!A:A,0))</f>
        <v>Skincare</v>
      </c>
      <c r="P488">
        <v>1</v>
      </c>
      <c r="Q488" s="5">
        <v>449</v>
      </c>
      <c r="R488" s="74">
        <v>0.1</v>
      </c>
      <c r="S488" s="75">
        <f>OrdersTable[[#This Row],[Quantity]]*OrdersTable[[#This Row],[Unit Price]]</f>
        <v>449</v>
      </c>
      <c r="T488" s="5">
        <f>OrdersTable[[#This Row],[Gross Sale]]*OrdersTable[[#This Row],[Discount_Clean2]]</f>
        <v>44.900000000000006</v>
      </c>
      <c r="U488" s="5">
        <f>OrdersTable[[#This Row],[Gross Sale]]-OrdersTable[[#This Row],[Discount Amount]]</f>
        <v>404.1</v>
      </c>
      <c r="V488" s="77">
        <f>INDEX(Products!E:E,MATCH(OrdersTable[[#This Row],[Product ID]],Products!A:A,0))</f>
        <v>144</v>
      </c>
      <c r="W488" s="77">
        <f>OrdersTable[[#This Row],[Quantity]]*OrdersTable[[#This Row],[Unit Cost]]</f>
        <v>144</v>
      </c>
      <c r="X488" s="77">
        <f>'Dropdown Lists'!$I$2*(1+OrdersTable[[#This Row],[Returned]])</f>
        <v>60</v>
      </c>
      <c r="Y488" s="76">
        <f>OrdersTable[[#This Row],[Net Revenue]]-OrdersTable[[#This Row],[COGS]]-OrdersTable[[#This Row],[Shipping Cost]]</f>
        <v>200.10000000000002</v>
      </c>
      <c r="Z488" s="78">
        <f>IFERROR(OrdersTable[[#This Row],[Profit]]/OrdersTable[[#This Row],[Net Revenue]],0)</f>
        <v>0.4951744617668894</v>
      </c>
      <c r="AA488" t="s">
        <v>2522</v>
      </c>
      <c r="AB488" s="79">
        <v>45396</v>
      </c>
      <c r="AC488">
        <f>OrdersTable[[#This Row],[Delivery Date]]-OrdersTable[[#This Row],[Order Date]]</f>
        <v>1</v>
      </c>
      <c r="AD488" t="str">
        <f>IF(OrdersTable[[#This Row],[Delivery Days]]&lt;=2, "Express (≤2d)", IF(OrdersTable[[#This Row],[Delivery Days]]&lt;=4, "Standard (3-4d)", "Delayed (5d+)"))</f>
        <v>Express (≤2d)</v>
      </c>
      <c r="AF488">
        <v>0</v>
      </c>
    </row>
    <row r="489" spans="1:32" ht="15" x14ac:dyDescent="0.35">
      <c r="A489" t="s">
        <v>6945</v>
      </c>
      <c r="B489" s="1">
        <v>45395</v>
      </c>
      <c r="C489">
        <f>YEAR(OrdersTable[[#This Row],[Order Date]])</f>
        <v>2024</v>
      </c>
      <c r="D489" s="2">
        <f>DATE(YEAR(OrdersTable[[#This Row],[Order Date]]),MONTH(OrdersTable[[#This Row],[Order Date]]),1)</f>
        <v>45383</v>
      </c>
      <c r="E489">
        <f>MONTH(OrdersTable[[#This Row],[Order Date]])</f>
        <v>4</v>
      </c>
      <c r="F489" t="s">
        <v>58</v>
      </c>
      <c r="G489" t="str">
        <f>IF(OrdersTable[[#This Row],[Order Date]]=_xlfn.MINIFS(Order_Date, Customer_ID, OrdersTable[[#This Row],[Customer ID]]), "New", "Repeat")</f>
        <v>Repeat</v>
      </c>
      <c r="H489" t="s">
        <v>14</v>
      </c>
      <c r="I489" t="str">
        <f>INDEX(State!B:B,MATCH(OrdersTable[[#This Row],[State]],State!A:A,0))</f>
        <v>OD</v>
      </c>
      <c r="J489" t="str">
        <f>INDEX(State!C:C,MATCH(OrdersTable[[#This Row],[State Code]],State!B:B,0))</f>
        <v>East</v>
      </c>
      <c r="K489" t="s">
        <v>15</v>
      </c>
      <c r="L489" t="s">
        <v>39</v>
      </c>
      <c r="M489" t="s">
        <v>173</v>
      </c>
      <c r="N489" t="str">
        <f>INDEX(Products!B:B,MATCH(OrdersTable[[#This Row],[Product ID]],Products!A:A,0))</f>
        <v>Wireless Earbuds</v>
      </c>
      <c r="O489" t="str">
        <f>INDEX(Products!C:C,MATCH(OrdersTable[[#This Row],[Product ID]],Products!A:A,0))</f>
        <v>Electronics</v>
      </c>
      <c r="P489">
        <v>4</v>
      </c>
      <c r="Q489" s="5">
        <v>1999</v>
      </c>
      <c r="R489" s="74">
        <v>0.25</v>
      </c>
      <c r="S489" s="75">
        <f>OrdersTable[[#This Row],[Quantity]]*OrdersTable[[#This Row],[Unit Price]]</f>
        <v>7996</v>
      </c>
      <c r="T489" s="5">
        <f>OrdersTable[[#This Row],[Gross Sale]]*OrdersTable[[#This Row],[Discount_Clean2]]</f>
        <v>1999</v>
      </c>
      <c r="U489" s="5">
        <f>OrdersTable[[#This Row],[Gross Sale]]-OrdersTable[[#This Row],[Discount Amount]]</f>
        <v>5997</v>
      </c>
      <c r="V489" s="77">
        <f>INDEX(Products!E:E,MATCH(OrdersTable[[#This Row],[Product ID]],Products!A:A,0))</f>
        <v>1239</v>
      </c>
      <c r="W489" s="77">
        <f>OrdersTable[[#This Row],[Quantity]]*OrdersTable[[#This Row],[Unit Cost]]</f>
        <v>4956</v>
      </c>
      <c r="X489" s="77">
        <f>'Dropdown Lists'!$I$2*(1+OrdersTable[[#This Row],[Returned]])</f>
        <v>60</v>
      </c>
      <c r="Y489" s="76">
        <f>OrdersTable[[#This Row],[Net Revenue]]-OrdersTable[[#This Row],[COGS]]-OrdersTable[[#This Row],[Shipping Cost]]</f>
        <v>981</v>
      </c>
      <c r="Z489" s="78">
        <f>IFERROR(OrdersTable[[#This Row],[Profit]]/OrdersTable[[#This Row],[Net Revenue]],0)</f>
        <v>0.16358179089544772</v>
      </c>
      <c r="AA489" t="s">
        <v>3495</v>
      </c>
      <c r="AB489" s="79">
        <v>45401</v>
      </c>
      <c r="AC489">
        <f>OrdersTable[[#This Row],[Delivery Date]]-OrdersTable[[#This Row],[Order Date]]</f>
        <v>6</v>
      </c>
      <c r="AD489" t="str">
        <f>IF(OrdersTable[[#This Row],[Delivery Days]]&lt;=2, "Express (≤2d)", IF(OrdersTable[[#This Row],[Delivery Days]]&lt;=4, "Standard (3-4d)", "Delayed (5d+)"))</f>
        <v>Delayed (5d+)</v>
      </c>
      <c r="AE489">
        <v>3</v>
      </c>
      <c r="AF489">
        <v>0</v>
      </c>
    </row>
    <row r="490" spans="1:32" ht="15" x14ac:dyDescent="0.35">
      <c r="A490" t="s">
        <v>2890</v>
      </c>
      <c r="B490" s="1">
        <v>45396</v>
      </c>
      <c r="C490">
        <f>YEAR(OrdersTable[[#This Row],[Order Date]])</f>
        <v>2024</v>
      </c>
      <c r="D490" s="2">
        <f>DATE(YEAR(OrdersTable[[#This Row],[Order Date]]),MONTH(OrdersTable[[#This Row],[Order Date]]),1)</f>
        <v>45383</v>
      </c>
      <c r="E490">
        <f>MONTH(OrdersTable[[#This Row],[Order Date]])</f>
        <v>4</v>
      </c>
      <c r="F490" t="s">
        <v>2891</v>
      </c>
      <c r="G490" t="str">
        <f>IF(OrdersTable[[#This Row],[Order Date]]=_xlfn.MINIFS(Order_Date, Customer_ID, OrdersTable[[#This Row],[Customer ID]]), "New", "Repeat")</f>
        <v>Repeat</v>
      </c>
      <c r="H490" t="s">
        <v>32</v>
      </c>
      <c r="I490" t="str">
        <f>INDEX(State!B:B,MATCH(OrdersTable[[#This Row],[State]],State!A:A,0))</f>
        <v>BR</v>
      </c>
      <c r="J490" t="str">
        <f>INDEX(State!C:C,MATCH(OrdersTable[[#This Row],[State Code]],State!B:B,0))</f>
        <v>East</v>
      </c>
      <c r="K490" t="s">
        <v>33</v>
      </c>
      <c r="L490" t="s">
        <v>65</v>
      </c>
      <c r="M490" t="s">
        <v>176</v>
      </c>
      <c r="N490" t="str">
        <f>INDEX(Products!B:B,MATCH(OrdersTable[[#This Row],[Product ID]],Products!A:A,0))</f>
        <v>Denim Jacket</v>
      </c>
      <c r="O490" t="str">
        <f>INDEX(Products!C:C,MATCH(OrdersTable[[#This Row],[Product ID]],Products!A:A,0))</f>
        <v>Apparel</v>
      </c>
      <c r="P490">
        <v>1</v>
      </c>
      <c r="Q490" s="5">
        <v>2499</v>
      </c>
      <c r="R490" s="74">
        <v>0</v>
      </c>
      <c r="S490" s="75">
        <f>OrdersTable[[#This Row],[Quantity]]*OrdersTable[[#This Row],[Unit Price]]</f>
        <v>2499</v>
      </c>
      <c r="T490" s="5">
        <f>OrdersTable[[#This Row],[Gross Sale]]*OrdersTable[[#This Row],[Discount_Clean2]]</f>
        <v>0</v>
      </c>
      <c r="U490" s="5">
        <f>OrdersTable[[#This Row],[Gross Sale]]-OrdersTable[[#This Row],[Discount Amount]]</f>
        <v>2499</v>
      </c>
      <c r="V490" s="77">
        <f>INDEX(Products!E:E,MATCH(OrdersTable[[#This Row],[Product ID]],Products!A:A,0))</f>
        <v>1125</v>
      </c>
      <c r="W490" s="77">
        <f>OrdersTable[[#This Row],[Quantity]]*OrdersTable[[#This Row],[Unit Cost]]</f>
        <v>1125</v>
      </c>
      <c r="X490" s="77">
        <f>'Dropdown Lists'!$I$2*(1+OrdersTable[[#This Row],[Returned]])</f>
        <v>60</v>
      </c>
      <c r="Y490" s="76">
        <f>OrdersTable[[#This Row],[Net Revenue]]-OrdersTable[[#This Row],[COGS]]-OrdersTable[[#This Row],[Shipping Cost]]</f>
        <v>1314</v>
      </c>
      <c r="Z490" s="78">
        <f>IFERROR(OrdersTable[[#This Row],[Profit]]/OrdersTable[[#This Row],[Net Revenue]],0)</f>
        <v>0.5258103241296519</v>
      </c>
      <c r="AA490" t="s">
        <v>2522</v>
      </c>
      <c r="AB490" s="79">
        <v>45400</v>
      </c>
      <c r="AC490">
        <f>OrdersTable[[#This Row],[Delivery Date]]-OrdersTable[[#This Row],[Order Date]]</f>
        <v>4</v>
      </c>
      <c r="AD490" t="str">
        <f>IF(OrdersTable[[#This Row],[Delivery Days]]&lt;=2, "Express (≤2d)", IF(OrdersTable[[#This Row],[Delivery Days]]&lt;=4, "Standard (3-4d)", "Delayed (5d+)"))</f>
        <v>Standard (3-4d)</v>
      </c>
      <c r="AF490">
        <v>0</v>
      </c>
    </row>
    <row r="491" spans="1:32" ht="15" x14ac:dyDescent="0.35">
      <c r="A491" t="s">
        <v>97</v>
      </c>
      <c r="B491" s="1">
        <v>45396</v>
      </c>
      <c r="C491">
        <f>YEAR(OrdersTable[[#This Row],[Order Date]])</f>
        <v>2024</v>
      </c>
      <c r="D491" s="2">
        <f>DATE(YEAR(OrdersTable[[#This Row],[Order Date]]),MONTH(OrdersTable[[#This Row],[Order Date]]),1)</f>
        <v>45383</v>
      </c>
      <c r="E491">
        <f>MONTH(OrdersTable[[#This Row],[Order Date]])</f>
        <v>4</v>
      </c>
      <c r="F491" t="s">
        <v>98</v>
      </c>
      <c r="G491" t="str">
        <f>IF(OrdersTable[[#This Row],[Order Date]]=_xlfn.MINIFS(Order_Date, Customer_ID, OrdersTable[[#This Row],[Customer ID]]), "New", "Repeat")</f>
        <v>New</v>
      </c>
      <c r="H491" t="s">
        <v>27</v>
      </c>
      <c r="I491" t="str">
        <f>INDEX(State!B:B,MATCH(OrdersTable[[#This Row],[State]],State!A:A,0))</f>
        <v>WB</v>
      </c>
      <c r="J491" t="str">
        <f>INDEX(State!C:C,MATCH(OrdersTable[[#This Row],[State Code]],State!B:B,0))</f>
        <v>East</v>
      </c>
      <c r="K491" t="s">
        <v>28</v>
      </c>
      <c r="L491" t="s">
        <v>50</v>
      </c>
      <c r="M491" t="s">
        <v>56</v>
      </c>
      <c r="N491" t="str">
        <f>INDEX(Products!B:B,MATCH(OrdersTable[[#This Row],[Product ID]],Products!A:A,0))</f>
        <v>Vitamin C Face Serum</v>
      </c>
      <c r="O491" t="str">
        <f>INDEX(Products!C:C,MATCH(OrdersTable[[#This Row],[Product ID]],Products!A:A,0))</f>
        <v>Skincare</v>
      </c>
      <c r="P491">
        <v>1</v>
      </c>
      <c r="Q491" s="5">
        <v>599</v>
      </c>
      <c r="R491" s="74">
        <v>0.15</v>
      </c>
      <c r="S491" s="75">
        <f>OrdersTable[[#This Row],[Quantity]]*OrdersTable[[#This Row],[Unit Price]]</f>
        <v>599</v>
      </c>
      <c r="T491" s="5">
        <f>OrdersTable[[#This Row],[Gross Sale]]*OrdersTable[[#This Row],[Discount_Clean2]]</f>
        <v>89.85</v>
      </c>
      <c r="U491" s="5">
        <f>OrdersTable[[#This Row],[Gross Sale]]-OrdersTable[[#This Row],[Discount Amount]]</f>
        <v>509.15</v>
      </c>
      <c r="V491" s="77">
        <f>INDEX(Products!E:E,MATCH(OrdersTable[[#This Row],[Product ID]],Products!A:A,0))</f>
        <v>180</v>
      </c>
      <c r="W491" s="77">
        <f>OrdersTable[[#This Row],[Quantity]]*OrdersTable[[#This Row],[Unit Cost]]</f>
        <v>180</v>
      </c>
      <c r="X491" s="77">
        <f>'Dropdown Lists'!$I$2*(1+OrdersTable[[#This Row],[Returned]])</f>
        <v>60</v>
      </c>
      <c r="Y491" s="76">
        <f>OrdersTable[[#This Row],[Net Revenue]]-OrdersTable[[#This Row],[COGS]]-OrdersTable[[#This Row],[Shipping Cost]]</f>
        <v>269.14999999999998</v>
      </c>
      <c r="Z491" s="78">
        <f>IFERROR(OrdersTable[[#This Row],[Profit]]/OrdersTable[[#This Row],[Net Revenue]],0)</f>
        <v>0.52862614160856325</v>
      </c>
      <c r="AA491" t="s">
        <v>18</v>
      </c>
      <c r="AB491" s="79">
        <v>45400</v>
      </c>
      <c r="AC491">
        <f>OrdersTable[[#This Row],[Delivery Date]]-OrdersTable[[#This Row],[Order Date]]</f>
        <v>4</v>
      </c>
      <c r="AD491" t="str">
        <f>IF(OrdersTable[[#This Row],[Delivery Days]]&lt;=2, "Express (≤2d)", IF(OrdersTable[[#This Row],[Delivery Days]]&lt;=4, "Standard (3-4d)", "Delayed (5d+)"))</f>
        <v>Standard (3-4d)</v>
      </c>
      <c r="AE491">
        <v>4</v>
      </c>
      <c r="AF491">
        <v>0</v>
      </c>
    </row>
    <row r="492" spans="1:32" ht="15" x14ac:dyDescent="0.35">
      <c r="A492" t="s">
        <v>3519</v>
      </c>
      <c r="B492" s="1">
        <v>45396</v>
      </c>
      <c r="C492">
        <f>YEAR(OrdersTable[[#This Row],[Order Date]])</f>
        <v>2024</v>
      </c>
      <c r="D492" s="2">
        <f>DATE(YEAR(OrdersTable[[#This Row],[Order Date]]),MONTH(OrdersTable[[#This Row],[Order Date]]),1)</f>
        <v>45383</v>
      </c>
      <c r="E492">
        <f>MONTH(OrdersTable[[#This Row],[Order Date]])</f>
        <v>4</v>
      </c>
      <c r="F492" t="s">
        <v>3520</v>
      </c>
      <c r="G492" t="str">
        <f>IF(OrdersTable[[#This Row],[Order Date]]=_xlfn.MINIFS(Order_Date, Customer_ID, OrdersTable[[#This Row],[Customer ID]]), "New", "Repeat")</f>
        <v>New</v>
      </c>
      <c r="H492" t="s">
        <v>95</v>
      </c>
      <c r="I492" t="str">
        <f>INDEX(State!B:B,MATCH(OrdersTable[[#This Row],[State]],State!A:A,0))</f>
        <v>TG</v>
      </c>
      <c r="J492" t="str">
        <f>INDEX(State!C:C,MATCH(OrdersTable[[#This Row],[State Code]],State!B:B,0))</f>
        <v>South</v>
      </c>
      <c r="K492" t="s">
        <v>96</v>
      </c>
      <c r="L492" t="s">
        <v>23</v>
      </c>
      <c r="M492" t="s">
        <v>34</v>
      </c>
      <c r="N492" t="str">
        <f>INDEX(Products!B:B,MATCH(OrdersTable[[#This Row],[Product ID]],Products!A:A,0))</f>
        <v>Flip Flops</v>
      </c>
      <c r="O492" t="str">
        <f>INDEX(Products!C:C,MATCH(OrdersTable[[#This Row],[Product ID]],Products!A:A,0))</f>
        <v>Footwear</v>
      </c>
      <c r="P492">
        <v>1</v>
      </c>
      <c r="Q492" s="5">
        <v>399</v>
      </c>
      <c r="R492" s="74">
        <v>0.05</v>
      </c>
      <c r="S492" s="75">
        <f>OrdersTable[[#This Row],[Quantity]]*OrdersTable[[#This Row],[Unit Price]]</f>
        <v>399</v>
      </c>
      <c r="T492" s="5">
        <f>OrdersTable[[#This Row],[Gross Sale]]*OrdersTable[[#This Row],[Discount_Clean2]]</f>
        <v>19.950000000000003</v>
      </c>
      <c r="U492" s="5">
        <f>OrdersTable[[#This Row],[Gross Sale]]-OrdersTable[[#This Row],[Discount Amount]]</f>
        <v>379.05</v>
      </c>
      <c r="V492" s="77">
        <f>INDEX(Products!E:E,MATCH(OrdersTable[[#This Row],[Product ID]],Products!A:A,0))</f>
        <v>152</v>
      </c>
      <c r="W492" s="77">
        <f>OrdersTable[[#This Row],[Quantity]]*OrdersTable[[#This Row],[Unit Cost]]</f>
        <v>152</v>
      </c>
      <c r="X492" s="77">
        <f>'Dropdown Lists'!$I$2*(1+OrdersTable[[#This Row],[Returned]])</f>
        <v>60</v>
      </c>
      <c r="Y492" s="76">
        <f>OrdersTable[[#This Row],[Net Revenue]]-OrdersTable[[#This Row],[COGS]]-OrdersTable[[#This Row],[Shipping Cost]]</f>
        <v>167.05</v>
      </c>
      <c r="Z492" s="78">
        <f>IFERROR(OrdersTable[[#This Row],[Profit]]/OrdersTable[[#This Row],[Net Revenue]],0)</f>
        <v>0.44070703073473161</v>
      </c>
      <c r="AA492" t="s">
        <v>3495</v>
      </c>
      <c r="AB492" s="79">
        <v>45399</v>
      </c>
      <c r="AC492">
        <f>OrdersTable[[#This Row],[Delivery Date]]-OrdersTable[[#This Row],[Order Date]]</f>
        <v>3</v>
      </c>
      <c r="AD492" t="str">
        <f>IF(OrdersTable[[#This Row],[Delivery Days]]&lt;=2, "Express (≤2d)", IF(OrdersTable[[#This Row],[Delivery Days]]&lt;=4, "Standard (3-4d)", "Delayed (5d+)"))</f>
        <v>Standard (3-4d)</v>
      </c>
      <c r="AE492">
        <v>4</v>
      </c>
      <c r="AF492">
        <v>0</v>
      </c>
    </row>
    <row r="493" spans="1:32" ht="15" x14ac:dyDescent="0.35">
      <c r="A493" t="s">
        <v>2892</v>
      </c>
      <c r="B493" s="1">
        <v>45397</v>
      </c>
      <c r="C493">
        <f>YEAR(OrdersTable[[#This Row],[Order Date]])</f>
        <v>2024</v>
      </c>
      <c r="D493" s="2">
        <f>DATE(YEAR(OrdersTable[[#This Row],[Order Date]]),MONTH(OrdersTable[[#This Row],[Order Date]]),1)</f>
        <v>45383</v>
      </c>
      <c r="E493">
        <f>MONTH(OrdersTable[[#This Row],[Order Date]])</f>
        <v>4</v>
      </c>
      <c r="F493" t="s">
        <v>666</v>
      </c>
      <c r="G493" t="str">
        <f>IF(OrdersTable[[#This Row],[Order Date]]=_xlfn.MINIFS(Order_Date, Customer_ID, OrdersTable[[#This Row],[Customer ID]]), "New", "Repeat")</f>
        <v>New</v>
      </c>
      <c r="H493" t="s">
        <v>54</v>
      </c>
      <c r="I493" t="str">
        <f>INDEX(State!B:B,MATCH(OrdersTable[[#This Row],[State]],State!A:A,0))</f>
        <v>RJ</v>
      </c>
      <c r="J493" t="str">
        <f>INDEX(State!C:C,MATCH(OrdersTable[[#This Row],[State Code]],State!B:B,0))</f>
        <v>North</v>
      </c>
      <c r="K493" t="s">
        <v>227</v>
      </c>
      <c r="L493" t="s">
        <v>16</v>
      </c>
      <c r="M493" t="s">
        <v>255</v>
      </c>
      <c r="N493" t="str">
        <f>INDEX(Products!B:B,MATCH(OrdersTable[[#This Row],[Product ID]],Products!A:A,0))</f>
        <v>Cotton Oversized T-Shirt</v>
      </c>
      <c r="O493" t="str">
        <f>INDEX(Products!C:C,MATCH(OrdersTable[[#This Row],[Product ID]],Products!A:A,0))</f>
        <v>Apparel</v>
      </c>
      <c r="P493">
        <v>1</v>
      </c>
      <c r="Q493" s="5">
        <v>799</v>
      </c>
      <c r="R493" s="74">
        <v>0.1</v>
      </c>
      <c r="S493" s="75">
        <f>OrdersTable[[#This Row],[Quantity]]*OrdersTable[[#This Row],[Unit Price]]</f>
        <v>799</v>
      </c>
      <c r="T493" s="5">
        <f>OrdersTable[[#This Row],[Gross Sale]]*OrdersTable[[#This Row],[Discount_Clean2]]</f>
        <v>79.900000000000006</v>
      </c>
      <c r="U493" s="5">
        <f>OrdersTable[[#This Row],[Gross Sale]]-OrdersTable[[#This Row],[Discount Amount]]</f>
        <v>719.1</v>
      </c>
      <c r="V493" s="77">
        <f>INDEX(Products!E:E,MATCH(OrdersTable[[#This Row],[Product ID]],Products!A:A,0))</f>
        <v>320</v>
      </c>
      <c r="W493" s="77">
        <f>OrdersTable[[#This Row],[Quantity]]*OrdersTable[[#This Row],[Unit Cost]]</f>
        <v>320</v>
      </c>
      <c r="X493" s="77">
        <f>'Dropdown Lists'!$I$2*(1+OrdersTable[[#This Row],[Returned]])</f>
        <v>60</v>
      </c>
      <c r="Y493" s="76">
        <f>OrdersTable[[#This Row],[Net Revenue]]-OrdersTable[[#This Row],[COGS]]-OrdersTable[[#This Row],[Shipping Cost]]</f>
        <v>339.1</v>
      </c>
      <c r="Z493" s="78">
        <f>IFERROR(OrdersTable[[#This Row],[Profit]]/OrdersTable[[#This Row],[Net Revenue]],0)</f>
        <v>0.47156167431511614</v>
      </c>
      <c r="AA493" t="s">
        <v>2522</v>
      </c>
      <c r="AB493" s="79">
        <v>45403</v>
      </c>
      <c r="AC493">
        <f>OrdersTable[[#This Row],[Delivery Date]]-OrdersTable[[#This Row],[Order Date]]</f>
        <v>6</v>
      </c>
      <c r="AD493" t="str">
        <f>IF(OrdersTable[[#This Row],[Delivery Days]]&lt;=2, "Express (≤2d)", IF(OrdersTable[[#This Row],[Delivery Days]]&lt;=4, "Standard (3-4d)", "Delayed (5d+)"))</f>
        <v>Delayed (5d+)</v>
      </c>
      <c r="AF493">
        <v>0</v>
      </c>
    </row>
    <row r="494" spans="1:32" ht="15" x14ac:dyDescent="0.35">
      <c r="A494" t="s">
        <v>99</v>
      </c>
      <c r="B494" s="1">
        <v>45397</v>
      </c>
      <c r="C494">
        <f>YEAR(OrdersTable[[#This Row],[Order Date]])</f>
        <v>2024</v>
      </c>
      <c r="D494" s="2">
        <f>DATE(YEAR(OrdersTable[[#This Row],[Order Date]]),MONTH(OrdersTable[[#This Row],[Order Date]]),1)</f>
        <v>45383</v>
      </c>
      <c r="E494">
        <f>MONTH(OrdersTable[[#This Row],[Order Date]])</f>
        <v>4</v>
      </c>
      <c r="F494" t="s">
        <v>98</v>
      </c>
      <c r="G494" t="str">
        <f>IF(OrdersTable[[#This Row],[Order Date]]=_xlfn.MINIFS(Order_Date, Customer_ID, OrdersTable[[#This Row],[Customer ID]]), "New", "Repeat")</f>
        <v>Repeat</v>
      </c>
      <c r="H494" t="s">
        <v>59</v>
      </c>
      <c r="I494" t="str">
        <f>INDEX(State!B:B,MATCH(OrdersTable[[#This Row],[State]],State!A:A,0))</f>
        <v>TN</v>
      </c>
      <c r="J494" t="str">
        <f>INDEX(State!C:C,MATCH(OrdersTable[[#This Row],[State Code]],State!B:B,0))</f>
        <v>South</v>
      </c>
      <c r="K494" t="s">
        <v>64</v>
      </c>
      <c r="L494" t="s">
        <v>39</v>
      </c>
      <c r="M494" t="s">
        <v>84</v>
      </c>
      <c r="N494" t="str">
        <f>INDEX(Products!B:B,MATCH(OrdersTable[[#This Row],[Product ID]],Products!A:A,0))</f>
        <v>Cotton Bedsheet</v>
      </c>
      <c r="O494" t="str">
        <f>INDEX(Products!C:C,MATCH(OrdersTable[[#This Row],[Product ID]],Products!A:A,0))</f>
        <v>Home &amp; Kitchen</v>
      </c>
      <c r="P494">
        <v>1</v>
      </c>
      <c r="Q494" s="5">
        <v>1299</v>
      </c>
      <c r="R494" s="74">
        <v>0.05</v>
      </c>
      <c r="S494" s="75">
        <f>OrdersTable[[#This Row],[Quantity]]*OrdersTable[[#This Row],[Unit Price]]</f>
        <v>1299</v>
      </c>
      <c r="T494" s="5">
        <f>OrdersTable[[#This Row],[Gross Sale]]*OrdersTable[[#This Row],[Discount_Clean2]]</f>
        <v>64.95</v>
      </c>
      <c r="U494" s="5">
        <f>OrdersTable[[#This Row],[Gross Sale]]-OrdersTable[[#This Row],[Discount Amount]]</f>
        <v>1234.05</v>
      </c>
      <c r="V494" s="77">
        <f>INDEX(Products!E:E,MATCH(OrdersTable[[#This Row],[Product ID]],Products!A:A,0))</f>
        <v>585</v>
      </c>
      <c r="W494" s="77">
        <f>OrdersTable[[#This Row],[Quantity]]*OrdersTable[[#This Row],[Unit Cost]]</f>
        <v>585</v>
      </c>
      <c r="X494" s="77">
        <f>'Dropdown Lists'!$I$2*(1+OrdersTable[[#This Row],[Returned]])</f>
        <v>60</v>
      </c>
      <c r="Y494" s="76">
        <f>OrdersTable[[#This Row],[Net Revenue]]-OrdersTable[[#This Row],[COGS]]-OrdersTable[[#This Row],[Shipping Cost]]</f>
        <v>589.04999999999995</v>
      </c>
      <c r="Z494" s="78">
        <f>IFERROR(OrdersTable[[#This Row],[Profit]]/OrdersTable[[#This Row],[Net Revenue]],0)</f>
        <v>0.47733074024553296</v>
      </c>
      <c r="AA494" t="s">
        <v>18</v>
      </c>
      <c r="AB494" s="79">
        <v>45401</v>
      </c>
      <c r="AC494">
        <f>OrdersTable[[#This Row],[Delivery Date]]-OrdersTable[[#This Row],[Order Date]]</f>
        <v>4</v>
      </c>
      <c r="AD494" t="str">
        <f>IF(OrdersTable[[#This Row],[Delivery Days]]&lt;=2, "Express (≤2d)", IF(OrdersTable[[#This Row],[Delivery Days]]&lt;=4, "Standard (3-4d)", "Delayed (5d+)"))</f>
        <v>Standard (3-4d)</v>
      </c>
      <c r="AE494">
        <v>4</v>
      </c>
      <c r="AF494">
        <v>0</v>
      </c>
    </row>
    <row r="495" spans="1:32" ht="15" x14ac:dyDescent="0.35">
      <c r="A495" t="s">
        <v>1339</v>
      </c>
      <c r="B495" s="1">
        <v>45398</v>
      </c>
      <c r="C495">
        <f>YEAR(OrdersTable[[#This Row],[Order Date]])</f>
        <v>2024</v>
      </c>
      <c r="D495" s="2">
        <f>DATE(YEAR(OrdersTable[[#This Row],[Order Date]]),MONTH(OrdersTable[[#This Row],[Order Date]]),1)</f>
        <v>45383</v>
      </c>
      <c r="E495">
        <f>MONTH(OrdersTable[[#This Row],[Order Date]])</f>
        <v>4</v>
      </c>
      <c r="F495" t="s">
        <v>549</v>
      </c>
      <c r="G495" t="str">
        <f>IF(OrdersTable[[#This Row],[Order Date]]=_xlfn.MINIFS(Order_Date, Customer_ID, OrdersTable[[#This Row],[Customer ID]]), "New", "Repeat")</f>
        <v>New</v>
      </c>
      <c r="H495" t="s">
        <v>128</v>
      </c>
      <c r="I495" t="str">
        <f>INDEX(State!B:B,MATCH(OrdersTable[[#This Row],[State]],State!A:A,0))</f>
        <v>DL</v>
      </c>
      <c r="J495" t="str">
        <f>INDEX(State!C:C,MATCH(OrdersTable[[#This Row],[State Code]],State!B:B,0))</f>
        <v>North</v>
      </c>
      <c r="K495" t="s">
        <v>129</v>
      </c>
      <c r="L495" t="s">
        <v>23</v>
      </c>
      <c r="M495" t="s">
        <v>45</v>
      </c>
      <c r="N495" t="str">
        <f>INDEX(Products!B:B,MATCH(OrdersTable[[#This Row],[Product ID]],Products!A:A,0))</f>
        <v>Argan Shampoo</v>
      </c>
      <c r="O495" t="str">
        <f>INDEX(Products!C:C,MATCH(OrdersTable[[#This Row],[Product ID]],Products!A:A,0))</f>
        <v>Haircare</v>
      </c>
      <c r="P495">
        <v>1</v>
      </c>
      <c r="Q495" s="5">
        <v>449</v>
      </c>
      <c r="R495" s="74">
        <v>0.15</v>
      </c>
      <c r="S495" s="75">
        <f>OrdersTable[[#This Row],[Quantity]]*OrdersTable[[#This Row],[Unit Price]]</f>
        <v>449</v>
      </c>
      <c r="T495" s="5">
        <f>OrdersTable[[#This Row],[Gross Sale]]*OrdersTable[[#This Row],[Discount_Clean2]]</f>
        <v>67.349999999999994</v>
      </c>
      <c r="U495" s="5">
        <f>OrdersTable[[#This Row],[Gross Sale]]-OrdersTable[[#This Row],[Discount Amount]]</f>
        <v>381.65</v>
      </c>
      <c r="V495" s="77">
        <f>INDEX(Products!E:E,MATCH(OrdersTable[[#This Row],[Product ID]],Products!A:A,0))</f>
        <v>148</v>
      </c>
      <c r="W495" s="77">
        <f>OrdersTable[[#This Row],[Quantity]]*OrdersTable[[#This Row],[Unit Cost]]</f>
        <v>148</v>
      </c>
      <c r="X495" s="77">
        <f>'Dropdown Lists'!$I$2*(1+OrdersTable[[#This Row],[Returned]])</f>
        <v>60</v>
      </c>
      <c r="Y495" s="76">
        <f>OrdersTable[[#This Row],[Net Revenue]]-OrdersTable[[#This Row],[COGS]]-OrdersTable[[#This Row],[Shipping Cost]]</f>
        <v>173.64999999999998</v>
      </c>
      <c r="Z495" s="78">
        <f>IFERROR(OrdersTable[[#This Row],[Profit]]/OrdersTable[[#This Row],[Net Revenue]],0)</f>
        <v>0.45499803484868334</v>
      </c>
      <c r="AA495" t="s">
        <v>18</v>
      </c>
      <c r="AB495" s="79">
        <v>45402</v>
      </c>
      <c r="AC495">
        <f>OrdersTable[[#This Row],[Delivery Date]]-OrdersTable[[#This Row],[Order Date]]</f>
        <v>4</v>
      </c>
      <c r="AD495" t="str">
        <f>IF(OrdersTable[[#This Row],[Delivery Days]]&lt;=2, "Express (≤2d)", IF(OrdersTable[[#This Row],[Delivery Days]]&lt;=4, "Standard (3-4d)", "Delayed (5d+)"))</f>
        <v>Standard (3-4d)</v>
      </c>
      <c r="AF495">
        <v>0</v>
      </c>
    </row>
    <row r="496" spans="1:32" ht="15" x14ac:dyDescent="0.35">
      <c r="A496" t="s">
        <v>5476</v>
      </c>
      <c r="B496" s="1">
        <v>45398</v>
      </c>
      <c r="C496">
        <f>YEAR(OrdersTable[[#This Row],[Order Date]])</f>
        <v>2024</v>
      </c>
      <c r="D496" s="2">
        <f>DATE(YEAR(OrdersTable[[#This Row],[Order Date]]),MONTH(OrdersTable[[#This Row],[Order Date]]),1)</f>
        <v>45383</v>
      </c>
      <c r="E496">
        <f>MONTH(OrdersTable[[#This Row],[Order Date]])</f>
        <v>4</v>
      </c>
      <c r="F496" t="s">
        <v>5477</v>
      </c>
      <c r="G496" t="str">
        <f>IF(OrdersTable[[#This Row],[Order Date]]=_xlfn.MINIFS(Order_Date, Customer_ID, OrdersTable[[#This Row],[Customer ID]]), "New", "Repeat")</f>
        <v>New</v>
      </c>
      <c r="H496" t="s">
        <v>71</v>
      </c>
      <c r="I496" t="str">
        <f>INDEX(State!B:B,MATCH(OrdersTable[[#This Row],[State]],State!A:A,0))</f>
        <v>MH</v>
      </c>
      <c r="J496" t="str">
        <f>INDEX(State!C:C,MATCH(OrdersTable[[#This Row],[State Code]],State!B:B,0))</f>
        <v>West</v>
      </c>
      <c r="K496" t="s">
        <v>81</v>
      </c>
      <c r="L496" t="s">
        <v>23</v>
      </c>
      <c r="M496" t="s">
        <v>565</v>
      </c>
      <c r="N496" t="str">
        <f>INDEX(Products!B:B,MATCH(OrdersTable[[#This Row],[Product ID]],Products!A:A,0))</f>
        <v>Ceramic Dinner Set</v>
      </c>
      <c r="O496" t="str">
        <f>INDEX(Products!C:C,MATCH(OrdersTable[[#This Row],[Product ID]],Products!A:A,0))</f>
        <v>Home &amp; Kitchen</v>
      </c>
      <c r="P496">
        <v>2</v>
      </c>
      <c r="Q496" s="5">
        <v>2499</v>
      </c>
      <c r="R496" s="74">
        <v>0.3</v>
      </c>
      <c r="S496" s="75">
        <f>OrdersTable[[#This Row],[Quantity]]*OrdersTable[[#This Row],[Unit Price]]</f>
        <v>4998</v>
      </c>
      <c r="T496" s="5">
        <f>OrdersTable[[#This Row],[Gross Sale]]*OrdersTable[[#This Row],[Discount_Clean2]]</f>
        <v>1499.3999999999999</v>
      </c>
      <c r="U496" s="5">
        <f>OrdersTable[[#This Row],[Gross Sale]]-OrdersTable[[#This Row],[Discount Amount]]</f>
        <v>3498.6000000000004</v>
      </c>
      <c r="V496" s="77">
        <f>INDEX(Products!E:E,MATCH(OrdersTable[[#This Row],[Product ID]],Products!A:A,0))</f>
        <v>1250</v>
      </c>
      <c r="W496" s="77">
        <f>OrdersTable[[#This Row],[Quantity]]*OrdersTable[[#This Row],[Unit Cost]]</f>
        <v>2500</v>
      </c>
      <c r="X496" s="77">
        <f>'Dropdown Lists'!$I$2*(1+OrdersTable[[#This Row],[Returned]])</f>
        <v>120</v>
      </c>
      <c r="Y496" s="76">
        <f>OrdersTable[[#This Row],[Net Revenue]]-OrdersTable[[#This Row],[COGS]]-OrdersTable[[#This Row],[Shipping Cost]]</f>
        <v>878.60000000000036</v>
      </c>
      <c r="Z496" s="78">
        <f>IFERROR(OrdersTable[[#This Row],[Profit]]/OrdersTable[[#This Row],[Net Revenue]],0)</f>
        <v>0.25112902303778661</v>
      </c>
      <c r="AA496" t="s">
        <v>2522</v>
      </c>
      <c r="AB496" s="79">
        <v>45400</v>
      </c>
      <c r="AC496">
        <f>OrdersTable[[#This Row],[Delivery Date]]-OrdersTable[[#This Row],[Order Date]]</f>
        <v>2</v>
      </c>
      <c r="AD496" t="str">
        <f>IF(OrdersTable[[#This Row],[Delivery Days]]&lt;=2, "Express (≤2d)", IF(OrdersTable[[#This Row],[Delivery Days]]&lt;=4, "Standard (3-4d)", "Delayed (5d+)"))</f>
        <v>Express (≤2d)</v>
      </c>
      <c r="AE496">
        <v>4</v>
      </c>
      <c r="AF496">
        <v>1</v>
      </c>
    </row>
    <row r="497" spans="1:32" ht="15" x14ac:dyDescent="0.35">
      <c r="A497" t="s">
        <v>2549</v>
      </c>
      <c r="B497" s="1">
        <v>45398</v>
      </c>
      <c r="C497">
        <f>YEAR(OrdersTable[[#This Row],[Order Date]])</f>
        <v>2024</v>
      </c>
      <c r="D497" s="2">
        <f>DATE(YEAR(OrdersTable[[#This Row],[Order Date]]),MONTH(OrdersTable[[#This Row],[Order Date]]),1)</f>
        <v>45383</v>
      </c>
      <c r="E497">
        <f>MONTH(OrdersTable[[#This Row],[Order Date]])</f>
        <v>4</v>
      </c>
      <c r="F497" t="s">
        <v>2550</v>
      </c>
      <c r="G497" t="str">
        <f>IF(OrdersTable[[#This Row],[Order Date]]=_xlfn.MINIFS(Order_Date, Customer_ID, OrdersTable[[#This Row],[Customer ID]]), "New", "Repeat")</f>
        <v>New</v>
      </c>
      <c r="H497" t="s">
        <v>275</v>
      </c>
      <c r="I497" t="str">
        <f>INDEX(State!B:B,MATCH(OrdersTable[[#This Row],[State]],State!A:A,0))</f>
        <v>AP</v>
      </c>
      <c r="J497" t="str">
        <f>INDEX(State!C:C,MATCH(OrdersTable[[#This Row],[State Code]],State!B:B,0))</f>
        <v>South</v>
      </c>
      <c r="K497" t="s">
        <v>276</v>
      </c>
      <c r="L497" t="s">
        <v>16</v>
      </c>
      <c r="M497" t="s">
        <v>205</v>
      </c>
      <c r="N497" t="str">
        <f>INDEX(Products!B:B,MATCH(OrdersTable[[#This Row],[Product ID]],Products!A:A,0))</f>
        <v>Running Shoes</v>
      </c>
      <c r="O497" t="str">
        <f>INDEX(Products!C:C,MATCH(OrdersTable[[#This Row],[Product ID]],Products!A:A,0))</f>
        <v>Footwear</v>
      </c>
      <c r="P497">
        <v>1</v>
      </c>
      <c r="Q497" s="5">
        <v>2999</v>
      </c>
      <c r="R497" s="74">
        <v>0.2</v>
      </c>
      <c r="S497" s="75">
        <f>OrdersTable[[#This Row],[Quantity]]*OrdersTable[[#This Row],[Unit Price]]</f>
        <v>2999</v>
      </c>
      <c r="T497" s="5">
        <f>OrdersTable[[#This Row],[Gross Sale]]*OrdersTable[[#This Row],[Discount_Clean2]]</f>
        <v>599.80000000000007</v>
      </c>
      <c r="U497" s="5">
        <f>OrdersTable[[#This Row],[Gross Sale]]-OrdersTable[[#This Row],[Discount Amount]]</f>
        <v>2399.1999999999998</v>
      </c>
      <c r="V497" s="77">
        <f>INDEX(Products!E:E,MATCH(OrdersTable[[#This Row],[Product ID]],Products!A:A,0))</f>
        <v>1440</v>
      </c>
      <c r="W497" s="77">
        <f>OrdersTable[[#This Row],[Quantity]]*OrdersTable[[#This Row],[Unit Cost]]</f>
        <v>1440</v>
      </c>
      <c r="X497" s="77">
        <f>'Dropdown Lists'!$I$2*(1+OrdersTable[[#This Row],[Returned]])</f>
        <v>60</v>
      </c>
      <c r="Y497" s="76">
        <f>OrdersTable[[#This Row],[Net Revenue]]-OrdersTable[[#This Row],[COGS]]-OrdersTable[[#This Row],[Shipping Cost]]</f>
        <v>899.19999999999982</v>
      </c>
      <c r="Z497" s="78">
        <f>IFERROR(OrdersTable[[#This Row],[Profit]]/OrdersTable[[#This Row],[Net Revenue]],0)</f>
        <v>0.3747915971990663</v>
      </c>
      <c r="AA497" t="s">
        <v>2522</v>
      </c>
      <c r="AB497" s="79">
        <v>45400</v>
      </c>
      <c r="AC497">
        <f>OrdersTable[[#This Row],[Delivery Date]]-OrdersTable[[#This Row],[Order Date]]</f>
        <v>2</v>
      </c>
      <c r="AD497" t="str">
        <f>IF(OrdersTable[[#This Row],[Delivery Days]]&lt;=2, "Express (≤2d)", IF(OrdersTable[[#This Row],[Delivery Days]]&lt;=4, "Standard (3-4d)", "Delayed (5d+)"))</f>
        <v>Express (≤2d)</v>
      </c>
      <c r="AE497">
        <v>5</v>
      </c>
      <c r="AF497">
        <v>0</v>
      </c>
    </row>
    <row r="498" spans="1:32" ht="15" x14ac:dyDescent="0.35">
      <c r="A498" t="s">
        <v>455</v>
      </c>
      <c r="B498" s="1">
        <v>45399</v>
      </c>
      <c r="C498">
        <f>YEAR(OrdersTable[[#This Row],[Order Date]])</f>
        <v>2024</v>
      </c>
      <c r="D498" s="2">
        <f>DATE(YEAR(OrdersTable[[#This Row],[Order Date]]),MONTH(OrdersTable[[#This Row],[Order Date]]),1)</f>
        <v>45383</v>
      </c>
      <c r="E498">
        <f>MONTH(OrdersTable[[#This Row],[Order Date]])</f>
        <v>4</v>
      </c>
      <c r="F498" t="s">
        <v>456</v>
      </c>
      <c r="G498" t="str">
        <f>IF(OrdersTable[[#This Row],[Order Date]]=_xlfn.MINIFS(Order_Date, Customer_ID, OrdersTable[[#This Row],[Customer ID]]), "New", "Repeat")</f>
        <v>New</v>
      </c>
      <c r="H498" t="s">
        <v>128</v>
      </c>
      <c r="I498" t="str">
        <f>INDEX(State!B:B,MATCH(OrdersTable[[#This Row],[State]],State!A:A,0))</f>
        <v>DL</v>
      </c>
      <c r="J498" t="str">
        <f>INDEX(State!C:C,MATCH(OrdersTable[[#This Row],[State Code]],State!B:B,0))</f>
        <v>North</v>
      </c>
      <c r="K498" t="s">
        <v>129</v>
      </c>
      <c r="L498" t="s">
        <v>23</v>
      </c>
      <c r="M498" t="s">
        <v>73</v>
      </c>
      <c r="N498" t="str">
        <f>INDEX(Products!B:B,MATCH(OrdersTable[[#This Row],[Product ID]],Products!A:A,0))</f>
        <v>Hydrating Face Wash</v>
      </c>
      <c r="O498" t="str">
        <f>INDEX(Products!C:C,MATCH(OrdersTable[[#This Row],[Product ID]],Products!A:A,0))</f>
        <v>Skincare</v>
      </c>
      <c r="P498">
        <v>1</v>
      </c>
      <c r="Q498" s="5">
        <v>299</v>
      </c>
      <c r="R498" s="74">
        <v>0.1</v>
      </c>
      <c r="S498" s="75">
        <f>OrdersTable[[#This Row],[Quantity]]*OrdersTable[[#This Row],[Unit Price]]</f>
        <v>299</v>
      </c>
      <c r="T498" s="5">
        <f>OrdersTable[[#This Row],[Gross Sale]]*OrdersTable[[#This Row],[Discount_Clean2]]</f>
        <v>29.900000000000002</v>
      </c>
      <c r="U498" s="5">
        <f>OrdersTable[[#This Row],[Gross Sale]]-OrdersTable[[#This Row],[Discount Amount]]</f>
        <v>269.10000000000002</v>
      </c>
      <c r="V498" s="77">
        <f>INDEX(Products!E:E,MATCH(OrdersTable[[#This Row],[Product ID]],Products!A:A,0))</f>
        <v>90</v>
      </c>
      <c r="W498" s="77">
        <f>OrdersTable[[#This Row],[Quantity]]*OrdersTable[[#This Row],[Unit Cost]]</f>
        <v>90</v>
      </c>
      <c r="X498" s="77">
        <f>'Dropdown Lists'!$I$2*(1+OrdersTable[[#This Row],[Returned]])</f>
        <v>60</v>
      </c>
      <c r="Y498" s="76">
        <f>OrdersTable[[#This Row],[Net Revenue]]-OrdersTable[[#This Row],[COGS]]-OrdersTable[[#This Row],[Shipping Cost]]</f>
        <v>119.10000000000002</v>
      </c>
      <c r="Z498" s="78">
        <f>IFERROR(OrdersTable[[#This Row],[Profit]]/OrdersTable[[#This Row],[Net Revenue]],0)</f>
        <v>0.4425863991081383</v>
      </c>
      <c r="AA498" t="s">
        <v>18</v>
      </c>
      <c r="AB498" s="79">
        <v>45401</v>
      </c>
      <c r="AC498">
        <f>OrdersTable[[#This Row],[Delivery Date]]-OrdersTable[[#This Row],[Order Date]]</f>
        <v>2</v>
      </c>
      <c r="AD498" t="str">
        <f>IF(OrdersTable[[#This Row],[Delivery Days]]&lt;=2, "Express (≤2d)", IF(OrdersTable[[#This Row],[Delivery Days]]&lt;=4, "Standard (3-4d)", "Delayed (5d+)"))</f>
        <v>Express (≤2d)</v>
      </c>
      <c r="AE498">
        <v>4</v>
      </c>
      <c r="AF498">
        <v>0</v>
      </c>
    </row>
    <row r="499" spans="1:32" ht="15" x14ac:dyDescent="0.35">
      <c r="A499" t="s">
        <v>1134</v>
      </c>
      <c r="B499" s="1">
        <v>45399</v>
      </c>
      <c r="C499">
        <f>YEAR(OrdersTable[[#This Row],[Order Date]])</f>
        <v>2024</v>
      </c>
      <c r="D499" s="2">
        <f>DATE(YEAR(OrdersTable[[#This Row],[Order Date]]),MONTH(OrdersTable[[#This Row],[Order Date]]),1)</f>
        <v>45383</v>
      </c>
      <c r="E499">
        <f>MONTH(OrdersTable[[#This Row],[Order Date]])</f>
        <v>4</v>
      </c>
      <c r="F499" t="s">
        <v>1135</v>
      </c>
      <c r="G499" t="str">
        <f>IF(OrdersTable[[#This Row],[Order Date]]=_xlfn.MINIFS(Order_Date, Customer_ID, OrdersTable[[#This Row],[Customer ID]]), "New", "Repeat")</f>
        <v>New</v>
      </c>
      <c r="H499" t="s">
        <v>32</v>
      </c>
      <c r="I499" t="str">
        <f>INDEX(State!B:B,MATCH(OrdersTable[[#This Row],[State]],State!A:A,0))</f>
        <v>BR</v>
      </c>
      <c r="J499" t="str">
        <f>INDEX(State!C:C,MATCH(OrdersTable[[#This Row],[State Code]],State!B:B,0))</f>
        <v>East</v>
      </c>
      <c r="K499" t="s">
        <v>33</v>
      </c>
      <c r="L499" t="s">
        <v>50</v>
      </c>
      <c r="M499" t="s">
        <v>73</v>
      </c>
      <c r="N499" t="str">
        <f>INDEX(Products!B:B,MATCH(OrdersTable[[#This Row],[Product ID]],Products!A:A,0))</f>
        <v>Hydrating Face Wash</v>
      </c>
      <c r="O499" t="str">
        <f>INDEX(Products!C:C,MATCH(OrdersTable[[#This Row],[Product ID]],Products!A:A,0))</f>
        <v>Skincare</v>
      </c>
      <c r="P499">
        <v>1</v>
      </c>
      <c r="Q499" s="5">
        <v>299</v>
      </c>
      <c r="R499" s="74">
        <v>0</v>
      </c>
      <c r="S499" s="75">
        <f>OrdersTable[[#This Row],[Quantity]]*OrdersTable[[#This Row],[Unit Price]]</f>
        <v>299</v>
      </c>
      <c r="T499" s="5">
        <f>OrdersTable[[#This Row],[Gross Sale]]*OrdersTable[[#This Row],[Discount_Clean2]]</f>
        <v>0</v>
      </c>
      <c r="U499" s="5">
        <f>OrdersTable[[#This Row],[Gross Sale]]-OrdersTable[[#This Row],[Discount Amount]]</f>
        <v>299</v>
      </c>
      <c r="V499" s="77">
        <f>INDEX(Products!E:E,MATCH(OrdersTable[[#This Row],[Product ID]],Products!A:A,0))</f>
        <v>90</v>
      </c>
      <c r="W499" s="77">
        <f>OrdersTable[[#This Row],[Quantity]]*OrdersTable[[#This Row],[Unit Cost]]</f>
        <v>90</v>
      </c>
      <c r="X499" s="77">
        <f>'Dropdown Lists'!$I$2*(1+OrdersTable[[#This Row],[Returned]])</f>
        <v>60</v>
      </c>
      <c r="Y499" s="76">
        <f>OrdersTable[[#This Row],[Net Revenue]]-OrdersTable[[#This Row],[COGS]]-OrdersTable[[#This Row],[Shipping Cost]]</f>
        <v>149</v>
      </c>
      <c r="Z499" s="78">
        <f>IFERROR(OrdersTable[[#This Row],[Profit]]/OrdersTable[[#This Row],[Net Revenue]],0)</f>
        <v>0.49832775919732442</v>
      </c>
      <c r="AA499" t="s">
        <v>18</v>
      </c>
      <c r="AB499" s="79">
        <v>45403</v>
      </c>
      <c r="AC499">
        <f>OrdersTable[[#This Row],[Delivery Date]]-OrdersTable[[#This Row],[Order Date]]</f>
        <v>4</v>
      </c>
      <c r="AD499" t="str">
        <f>IF(OrdersTable[[#This Row],[Delivery Days]]&lt;=2, "Express (≤2d)", IF(OrdersTable[[#This Row],[Delivery Days]]&lt;=4, "Standard (3-4d)", "Delayed (5d+)"))</f>
        <v>Standard (3-4d)</v>
      </c>
      <c r="AF499">
        <v>0</v>
      </c>
    </row>
    <row r="500" spans="1:32" ht="15" x14ac:dyDescent="0.35">
      <c r="A500" t="s">
        <v>100</v>
      </c>
      <c r="B500" s="1">
        <v>45399</v>
      </c>
      <c r="C500">
        <f>YEAR(OrdersTable[[#This Row],[Order Date]])</f>
        <v>2024</v>
      </c>
      <c r="D500" s="2">
        <f>DATE(YEAR(OrdersTable[[#This Row],[Order Date]]),MONTH(OrdersTable[[#This Row],[Order Date]]),1)</f>
        <v>45383</v>
      </c>
      <c r="E500">
        <f>MONTH(OrdersTable[[#This Row],[Order Date]])</f>
        <v>4</v>
      </c>
      <c r="F500" t="s">
        <v>101</v>
      </c>
      <c r="G500" t="str">
        <f>IF(OrdersTable[[#This Row],[Order Date]]=_xlfn.MINIFS(Order_Date, Customer_ID, OrdersTable[[#This Row],[Customer ID]]), "New", "Repeat")</f>
        <v>New</v>
      </c>
      <c r="H500" t="s">
        <v>71</v>
      </c>
      <c r="I500" t="str">
        <f>INDEX(State!B:B,MATCH(OrdersTable[[#This Row],[State]],State!A:A,0))</f>
        <v>MH</v>
      </c>
      <c r="J500" t="str">
        <f>INDEX(State!C:C,MATCH(OrdersTable[[#This Row],[State Code]],State!B:B,0))</f>
        <v>West</v>
      </c>
      <c r="K500" t="s">
        <v>102</v>
      </c>
      <c r="L500" t="s">
        <v>16</v>
      </c>
      <c r="M500" t="s">
        <v>17</v>
      </c>
      <c r="N500" t="str">
        <f>INDEX(Products!B:B,MATCH(OrdersTable[[#This Row],[Product ID]],Products!A:A,0))</f>
        <v>Casual Sneakers</v>
      </c>
      <c r="O500" t="str">
        <f>INDEX(Products!C:C,MATCH(OrdersTable[[#This Row],[Product ID]],Products!A:A,0))</f>
        <v>Footwear</v>
      </c>
      <c r="P500">
        <v>1</v>
      </c>
      <c r="Q500" s="5">
        <v>2199</v>
      </c>
      <c r="R500" s="74">
        <v>0.2</v>
      </c>
      <c r="S500" s="75">
        <f>OrdersTable[[#This Row],[Quantity]]*OrdersTable[[#This Row],[Unit Price]]</f>
        <v>2199</v>
      </c>
      <c r="T500" s="5">
        <f>OrdersTable[[#This Row],[Gross Sale]]*OrdersTable[[#This Row],[Discount_Clean2]]</f>
        <v>439.8</v>
      </c>
      <c r="U500" s="5">
        <f>OrdersTable[[#This Row],[Gross Sale]]-OrdersTable[[#This Row],[Discount Amount]]</f>
        <v>1759.2</v>
      </c>
      <c r="V500" s="77">
        <f>INDEX(Products!E:E,MATCH(OrdersTable[[#This Row],[Product ID]],Products!A:A,0))</f>
        <v>1034</v>
      </c>
      <c r="W500" s="77">
        <f>OrdersTable[[#This Row],[Quantity]]*OrdersTable[[#This Row],[Unit Cost]]</f>
        <v>1034</v>
      </c>
      <c r="X500" s="77">
        <f>'Dropdown Lists'!$I$2*(1+OrdersTable[[#This Row],[Returned]])</f>
        <v>60</v>
      </c>
      <c r="Y500" s="76">
        <f>OrdersTable[[#This Row],[Net Revenue]]-OrdersTable[[#This Row],[COGS]]-OrdersTable[[#This Row],[Shipping Cost]]</f>
        <v>665.2</v>
      </c>
      <c r="Z500" s="78">
        <f>IFERROR(OrdersTable[[#This Row],[Profit]]/OrdersTable[[#This Row],[Net Revenue]],0)</f>
        <v>0.37812642110050027</v>
      </c>
      <c r="AA500" t="s">
        <v>18</v>
      </c>
      <c r="AB500" s="79">
        <v>45400</v>
      </c>
      <c r="AC500">
        <f>OrdersTable[[#This Row],[Delivery Date]]-OrdersTable[[#This Row],[Order Date]]</f>
        <v>1</v>
      </c>
      <c r="AD500" t="str">
        <f>IF(OrdersTable[[#This Row],[Delivery Days]]&lt;=2, "Express (≤2d)", IF(OrdersTable[[#This Row],[Delivery Days]]&lt;=4, "Standard (3-4d)", "Delayed (5d+)"))</f>
        <v>Express (≤2d)</v>
      </c>
      <c r="AE500">
        <v>4</v>
      </c>
      <c r="AF500">
        <v>0</v>
      </c>
    </row>
    <row r="501" spans="1:32" ht="15" x14ac:dyDescent="0.35">
      <c r="A501" t="s">
        <v>2241</v>
      </c>
      <c r="B501" s="1">
        <v>45399</v>
      </c>
      <c r="C501">
        <f>YEAR(OrdersTable[[#This Row],[Order Date]])</f>
        <v>2024</v>
      </c>
      <c r="D501" s="2">
        <f>DATE(YEAR(OrdersTable[[#This Row],[Order Date]]),MONTH(OrdersTable[[#This Row],[Order Date]]),1)</f>
        <v>45383</v>
      </c>
      <c r="E501">
        <f>MONTH(OrdersTable[[#This Row],[Order Date]])</f>
        <v>4</v>
      </c>
      <c r="F501" t="s">
        <v>2242</v>
      </c>
      <c r="G501" t="str">
        <f>IF(OrdersTable[[#This Row],[Order Date]]=_xlfn.MINIFS(Order_Date, Customer_ID, OrdersTable[[#This Row],[Customer ID]]), "New", "Repeat")</f>
        <v>Repeat</v>
      </c>
      <c r="H501" t="s">
        <v>71</v>
      </c>
      <c r="I501" t="str">
        <f>INDEX(State!B:B,MATCH(OrdersTable[[#This Row],[State]],State!A:A,0))</f>
        <v>MH</v>
      </c>
      <c r="J501" t="str">
        <f>INDEX(State!C:C,MATCH(OrdersTable[[#This Row],[State Code]],State!B:B,0))</f>
        <v>West</v>
      </c>
      <c r="K501" t="s">
        <v>81</v>
      </c>
      <c r="L501" t="s">
        <v>16</v>
      </c>
      <c r="M501" t="s">
        <v>34</v>
      </c>
      <c r="N501" t="str">
        <f>INDEX(Products!B:B,MATCH(OrdersTable[[#This Row],[Product ID]],Products!A:A,0))</f>
        <v>Flip Flops</v>
      </c>
      <c r="O501" t="str">
        <f>INDEX(Products!C:C,MATCH(OrdersTable[[#This Row],[Product ID]],Products!A:A,0))</f>
        <v>Footwear</v>
      </c>
      <c r="P501">
        <v>1</v>
      </c>
      <c r="Q501" s="5">
        <v>399</v>
      </c>
      <c r="R501" s="74">
        <v>0.15</v>
      </c>
      <c r="S501" s="75">
        <f>OrdersTable[[#This Row],[Quantity]]*OrdersTable[[#This Row],[Unit Price]]</f>
        <v>399</v>
      </c>
      <c r="T501" s="5">
        <f>OrdersTable[[#This Row],[Gross Sale]]*OrdersTable[[#This Row],[Discount_Clean2]]</f>
        <v>59.849999999999994</v>
      </c>
      <c r="U501" s="5">
        <f>OrdersTable[[#This Row],[Gross Sale]]-OrdersTable[[#This Row],[Discount Amount]]</f>
        <v>339.15</v>
      </c>
      <c r="V501" s="77">
        <f>INDEX(Products!E:E,MATCH(OrdersTable[[#This Row],[Product ID]],Products!A:A,0))</f>
        <v>152</v>
      </c>
      <c r="W501" s="77">
        <f>OrdersTable[[#This Row],[Quantity]]*OrdersTable[[#This Row],[Unit Cost]]</f>
        <v>152</v>
      </c>
      <c r="X501" s="77">
        <f>'Dropdown Lists'!$I$2*(1+OrdersTable[[#This Row],[Returned]])</f>
        <v>60</v>
      </c>
      <c r="Y501" s="76">
        <f>OrdersTable[[#This Row],[Net Revenue]]-OrdersTable[[#This Row],[COGS]]-OrdersTable[[#This Row],[Shipping Cost]]</f>
        <v>127.14999999999998</v>
      </c>
      <c r="Z501" s="78">
        <f>IFERROR(OrdersTable[[#This Row],[Profit]]/OrdersTable[[#This Row],[Net Revenue]],0)</f>
        <v>0.37490785787999409</v>
      </c>
      <c r="AA501" t="s">
        <v>18</v>
      </c>
      <c r="AB501" s="79">
        <v>45400</v>
      </c>
      <c r="AC501">
        <f>OrdersTable[[#This Row],[Delivery Date]]-OrdersTable[[#This Row],[Order Date]]</f>
        <v>1</v>
      </c>
      <c r="AD501" t="str">
        <f>IF(OrdersTable[[#This Row],[Delivery Days]]&lt;=2, "Express (≤2d)", IF(OrdersTable[[#This Row],[Delivery Days]]&lt;=4, "Standard (3-4d)", "Delayed (5d+)"))</f>
        <v>Express (≤2d)</v>
      </c>
      <c r="AE501">
        <v>5</v>
      </c>
      <c r="AF501">
        <v>0</v>
      </c>
    </row>
    <row r="502" spans="1:32" ht="15" x14ac:dyDescent="0.35">
      <c r="A502" t="s">
        <v>457</v>
      </c>
      <c r="B502" s="1">
        <v>45399</v>
      </c>
      <c r="C502">
        <f>YEAR(OrdersTable[[#This Row],[Order Date]])</f>
        <v>2024</v>
      </c>
      <c r="D502" s="2">
        <f>DATE(YEAR(OrdersTable[[#This Row],[Order Date]]),MONTH(OrdersTable[[#This Row],[Order Date]]),1)</f>
        <v>45383</v>
      </c>
      <c r="E502">
        <f>MONTH(OrdersTable[[#This Row],[Order Date]])</f>
        <v>4</v>
      </c>
      <c r="F502" t="s">
        <v>458</v>
      </c>
      <c r="G502" t="str">
        <f>IF(OrdersTable[[#This Row],[Order Date]]=_xlfn.MINIFS(Order_Date, Customer_ID, OrdersTable[[#This Row],[Customer ID]]), "New", "Repeat")</f>
        <v>New</v>
      </c>
      <c r="H502" t="s">
        <v>71</v>
      </c>
      <c r="I502" t="str">
        <f>INDEX(State!B:B,MATCH(OrdersTable[[#This Row],[State]],State!A:A,0))</f>
        <v>MH</v>
      </c>
      <c r="J502" t="str">
        <f>INDEX(State!C:C,MATCH(OrdersTable[[#This Row],[State Code]],State!B:B,0))</f>
        <v>West</v>
      </c>
      <c r="K502" t="s">
        <v>81</v>
      </c>
      <c r="L502" t="s">
        <v>50</v>
      </c>
      <c r="M502" t="s">
        <v>51</v>
      </c>
      <c r="N502" t="str">
        <f>INDEX(Products!B:B,MATCH(OrdersTable[[#This Row],[Product ID]],Products!A:A,0))</f>
        <v>Anti-Dandruff Conditioner</v>
      </c>
      <c r="O502" t="str">
        <f>INDEX(Products!C:C,MATCH(OrdersTable[[#This Row],[Product ID]],Products!A:A,0))</f>
        <v>Haircare</v>
      </c>
      <c r="P502">
        <v>1</v>
      </c>
      <c r="Q502" s="5">
        <v>399</v>
      </c>
      <c r="R502" s="74">
        <v>0.4</v>
      </c>
      <c r="S502" s="75">
        <f>OrdersTable[[#This Row],[Quantity]]*OrdersTable[[#This Row],[Unit Price]]</f>
        <v>399</v>
      </c>
      <c r="T502" s="5">
        <f>OrdersTable[[#This Row],[Gross Sale]]*OrdersTable[[#This Row],[Discount_Clean2]]</f>
        <v>159.60000000000002</v>
      </c>
      <c r="U502" s="5">
        <f>OrdersTable[[#This Row],[Gross Sale]]-OrdersTable[[#This Row],[Discount Amount]]</f>
        <v>239.39999999999998</v>
      </c>
      <c r="V502" s="77">
        <f>INDEX(Products!E:E,MATCH(OrdersTable[[#This Row],[Product ID]],Products!A:A,0))</f>
        <v>136</v>
      </c>
      <c r="W502" s="77">
        <f>OrdersTable[[#This Row],[Quantity]]*OrdersTable[[#This Row],[Unit Cost]]</f>
        <v>136</v>
      </c>
      <c r="X502" s="77">
        <f>'Dropdown Lists'!$I$2*(1+OrdersTable[[#This Row],[Returned]])</f>
        <v>60</v>
      </c>
      <c r="Y502" s="76">
        <f>OrdersTable[[#This Row],[Net Revenue]]-OrdersTable[[#This Row],[COGS]]-OrdersTable[[#This Row],[Shipping Cost]]</f>
        <v>43.399999999999977</v>
      </c>
      <c r="Z502" s="78">
        <f>IFERROR(OrdersTable[[#This Row],[Profit]]/OrdersTable[[#This Row],[Net Revenue]],0)</f>
        <v>0.18128654970760227</v>
      </c>
      <c r="AA502" t="s">
        <v>18</v>
      </c>
      <c r="AB502" s="79">
        <v>45402</v>
      </c>
      <c r="AC502">
        <f>OrdersTable[[#This Row],[Delivery Date]]-OrdersTable[[#This Row],[Order Date]]</f>
        <v>3</v>
      </c>
      <c r="AD502" t="str">
        <f>IF(OrdersTable[[#This Row],[Delivery Days]]&lt;=2, "Express (≤2d)", IF(OrdersTable[[#This Row],[Delivery Days]]&lt;=4, "Standard (3-4d)", "Delayed (5d+)"))</f>
        <v>Standard (3-4d)</v>
      </c>
      <c r="AE502">
        <v>4</v>
      </c>
      <c r="AF502">
        <v>0</v>
      </c>
    </row>
    <row r="503" spans="1:32" ht="15" x14ac:dyDescent="0.35">
      <c r="A503" t="s">
        <v>5573</v>
      </c>
      <c r="B503" s="1">
        <v>45399</v>
      </c>
      <c r="C503">
        <f>YEAR(OrdersTable[[#This Row],[Order Date]])</f>
        <v>2024</v>
      </c>
      <c r="D503" s="2">
        <f>DATE(YEAR(OrdersTable[[#This Row],[Order Date]]),MONTH(OrdersTable[[#This Row],[Order Date]]),1)</f>
        <v>45383</v>
      </c>
      <c r="E503">
        <f>MONTH(OrdersTable[[#This Row],[Order Date]])</f>
        <v>4</v>
      </c>
      <c r="F503" t="s">
        <v>767</v>
      </c>
      <c r="G503" t="str">
        <f>IF(OrdersTable[[#This Row],[Order Date]]=_xlfn.MINIFS(Order_Date, Customer_ID, OrdersTable[[#This Row],[Customer ID]]), "New", "Repeat")</f>
        <v>Repeat</v>
      </c>
      <c r="H503" t="s">
        <v>71</v>
      </c>
      <c r="I503" t="str">
        <f>INDEX(State!B:B,MATCH(OrdersTable[[#This Row],[State]],State!A:A,0))</f>
        <v>MH</v>
      </c>
      <c r="J503" t="str">
        <f>INDEX(State!C:C,MATCH(OrdersTable[[#This Row],[State Code]],State!B:B,0))</f>
        <v>West</v>
      </c>
      <c r="K503" t="s">
        <v>72</v>
      </c>
      <c r="L503" t="s">
        <v>65</v>
      </c>
      <c r="M503" t="s">
        <v>34</v>
      </c>
      <c r="N503" t="str">
        <f>INDEX(Products!B:B,MATCH(OrdersTable[[#This Row],[Product ID]],Products!A:A,0))</f>
        <v>Flip Flops</v>
      </c>
      <c r="O503" t="str">
        <f>INDEX(Products!C:C,MATCH(OrdersTable[[#This Row],[Product ID]],Products!A:A,0))</f>
        <v>Footwear</v>
      </c>
      <c r="P503">
        <v>2</v>
      </c>
      <c r="Q503" s="5">
        <v>399</v>
      </c>
      <c r="R503" s="74">
        <v>0.1</v>
      </c>
      <c r="S503" s="75">
        <f>OrdersTable[[#This Row],[Quantity]]*OrdersTable[[#This Row],[Unit Price]]</f>
        <v>798</v>
      </c>
      <c r="T503" s="5">
        <f>OrdersTable[[#This Row],[Gross Sale]]*OrdersTable[[#This Row],[Discount_Clean2]]</f>
        <v>79.800000000000011</v>
      </c>
      <c r="U503" s="5">
        <f>OrdersTable[[#This Row],[Gross Sale]]-OrdersTable[[#This Row],[Discount Amount]]</f>
        <v>718.2</v>
      </c>
      <c r="V503" s="77">
        <f>INDEX(Products!E:E,MATCH(OrdersTable[[#This Row],[Product ID]],Products!A:A,0))</f>
        <v>152</v>
      </c>
      <c r="W503" s="77">
        <f>OrdersTable[[#This Row],[Quantity]]*OrdersTable[[#This Row],[Unit Cost]]</f>
        <v>304</v>
      </c>
      <c r="X503" s="77">
        <f>'Dropdown Lists'!$I$2*(1+OrdersTable[[#This Row],[Returned]])</f>
        <v>120</v>
      </c>
      <c r="Y503" s="76">
        <f>OrdersTable[[#This Row],[Net Revenue]]-OrdersTable[[#This Row],[COGS]]-OrdersTable[[#This Row],[Shipping Cost]]</f>
        <v>294.20000000000005</v>
      </c>
      <c r="Z503" s="78">
        <f>IFERROR(OrdersTable[[#This Row],[Profit]]/OrdersTable[[#This Row],[Net Revenue]],0)</f>
        <v>0.40963519910888335</v>
      </c>
      <c r="AA503" t="s">
        <v>2522</v>
      </c>
      <c r="AB503" s="79">
        <v>45403</v>
      </c>
      <c r="AC503">
        <f>OrdersTable[[#This Row],[Delivery Date]]-OrdersTable[[#This Row],[Order Date]]</f>
        <v>4</v>
      </c>
      <c r="AD503" t="str">
        <f>IF(OrdersTable[[#This Row],[Delivery Days]]&lt;=2, "Express (≤2d)", IF(OrdersTable[[#This Row],[Delivery Days]]&lt;=4, "Standard (3-4d)", "Delayed (5d+)"))</f>
        <v>Standard (3-4d)</v>
      </c>
      <c r="AE503">
        <v>5</v>
      </c>
      <c r="AF503">
        <v>1</v>
      </c>
    </row>
    <row r="504" spans="1:32" ht="15" x14ac:dyDescent="0.35">
      <c r="A504" t="s">
        <v>6268</v>
      </c>
      <c r="B504" s="1">
        <v>45400</v>
      </c>
      <c r="C504">
        <f>YEAR(OrdersTable[[#This Row],[Order Date]])</f>
        <v>2024</v>
      </c>
      <c r="D504" s="2">
        <f>DATE(YEAR(OrdersTable[[#This Row],[Order Date]]),MONTH(OrdersTable[[#This Row],[Order Date]]),1)</f>
        <v>45383</v>
      </c>
      <c r="E504">
        <f>MONTH(OrdersTable[[#This Row],[Order Date]])</f>
        <v>4</v>
      </c>
      <c r="F504" t="s">
        <v>3305</v>
      </c>
      <c r="G504" t="str">
        <f>IF(OrdersTable[[#This Row],[Order Date]]=_xlfn.MINIFS(Order_Date, Customer_ID, OrdersTable[[#This Row],[Customer ID]]), "New", "Repeat")</f>
        <v>Repeat</v>
      </c>
      <c r="H504" t="s">
        <v>21</v>
      </c>
      <c r="I504" t="str">
        <f>INDEX(State!B:B,MATCH(OrdersTable[[#This Row],[State]],State!A:A,0))</f>
        <v>PB</v>
      </c>
      <c r="J504" t="str">
        <f>INDEX(State!C:C,MATCH(OrdersTable[[#This Row],[State Code]],State!B:B,0))</f>
        <v>North</v>
      </c>
      <c r="K504" t="s">
        <v>22</v>
      </c>
      <c r="L504" t="s">
        <v>50</v>
      </c>
      <c r="M504" t="s">
        <v>160</v>
      </c>
      <c r="N504" t="str">
        <f>INDEX(Products!B:B,MATCH(OrdersTable[[#This Row],[Product ID]],Products!A:A,0))</f>
        <v>Niacinamide Toner</v>
      </c>
      <c r="O504" t="str">
        <f>INDEX(Products!C:C,MATCH(OrdersTable[[#This Row],[Product ID]],Products!A:A,0))</f>
        <v>Skincare</v>
      </c>
      <c r="P504">
        <v>2</v>
      </c>
      <c r="Q504" s="5">
        <v>399</v>
      </c>
      <c r="R504" s="74">
        <v>0.2</v>
      </c>
      <c r="S504" s="75">
        <f>OrdersTable[[#This Row],[Quantity]]*OrdersTable[[#This Row],[Unit Price]]</f>
        <v>798</v>
      </c>
      <c r="T504" s="5">
        <f>OrdersTable[[#This Row],[Gross Sale]]*OrdersTable[[#This Row],[Discount_Clean2]]</f>
        <v>159.60000000000002</v>
      </c>
      <c r="U504" s="5">
        <f>OrdersTable[[#This Row],[Gross Sale]]-OrdersTable[[#This Row],[Discount Amount]]</f>
        <v>638.4</v>
      </c>
      <c r="V504" s="77">
        <f>INDEX(Products!E:E,MATCH(OrdersTable[[#This Row],[Product ID]],Products!A:A,0))</f>
        <v>112</v>
      </c>
      <c r="W504" s="77">
        <f>OrdersTable[[#This Row],[Quantity]]*OrdersTable[[#This Row],[Unit Cost]]</f>
        <v>224</v>
      </c>
      <c r="X504" s="77">
        <f>'Dropdown Lists'!$I$2*(1+OrdersTable[[#This Row],[Returned]])</f>
        <v>60</v>
      </c>
      <c r="Y504" s="76">
        <f>OrdersTable[[#This Row],[Net Revenue]]-OrdersTable[[#This Row],[COGS]]-OrdersTable[[#This Row],[Shipping Cost]]</f>
        <v>354.4</v>
      </c>
      <c r="Z504" s="78">
        <f>IFERROR(OrdersTable[[#This Row],[Profit]]/OrdersTable[[#This Row],[Net Revenue]],0)</f>
        <v>0.55513784461152882</v>
      </c>
      <c r="AA504" t="s">
        <v>18</v>
      </c>
      <c r="AB504" s="79">
        <v>45402</v>
      </c>
      <c r="AC504">
        <f>OrdersTable[[#This Row],[Delivery Date]]-OrdersTable[[#This Row],[Order Date]]</f>
        <v>2</v>
      </c>
      <c r="AD504" t="str">
        <f>IF(OrdersTable[[#This Row],[Delivery Days]]&lt;=2, "Express (≤2d)", IF(OrdersTable[[#This Row],[Delivery Days]]&lt;=4, "Standard (3-4d)", "Delayed (5d+)"))</f>
        <v>Express (≤2d)</v>
      </c>
      <c r="AE504">
        <v>5</v>
      </c>
      <c r="AF504">
        <v>0</v>
      </c>
    </row>
    <row r="505" spans="1:32" ht="15" x14ac:dyDescent="0.35">
      <c r="A505" t="s">
        <v>2551</v>
      </c>
      <c r="B505" s="1">
        <v>45400</v>
      </c>
      <c r="C505">
        <f>YEAR(OrdersTable[[#This Row],[Order Date]])</f>
        <v>2024</v>
      </c>
      <c r="D505" s="2">
        <f>DATE(YEAR(OrdersTable[[#This Row],[Order Date]]),MONTH(OrdersTable[[#This Row],[Order Date]]),1)</f>
        <v>45383</v>
      </c>
      <c r="E505">
        <f>MONTH(OrdersTable[[#This Row],[Order Date]])</f>
        <v>4</v>
      </c>
      <c r="F505" t="s">
        <v>311</v>
      </c>
      <c r="G505" t="str">
        <f>IF(OrdersTable[[#This Row],[Order Date]]=_xlfn.MINIFS(Order_Date, Customer_ID, OrdersTable[[#This Row],[Customer ID]]), "New", "Repeat")</f>
        <v>New</v>
      </c>
      <c r="H505" t="s">
        <v>43</v>
      </c>
      <c r="I505" t="str">
        <f>INDEX(State!B:B,MATCH(OrdersTable[[#This Row],[State]],State!A:A,0))</f>
        <v>MP</v>
      </c>
      <c r="J505" t="str">
        <f>INDEX(State!C:C,MATCH(OrdersTable[[#This Row],[State Code]],State!B:B,0))</f>
        <v>West</v>
      </c>
      <c r="K505" t="s">
        <v>250</v>
      </c>
      <c r="L505" t="s">
        <v>23</v>
      </c>
      <c r="M505" t="s">
        <v>34</v>
      </c>
      <c r="N505" t="str">
        <f>INDEX(Products!B:B,MATCH(OrdersTable[[#This Row],[Product ID]],Products!A:A,0))</f>
        <v>Flip Flops</v>
      </c>
      <c r="O505" t="str">
        <f>INDEX(Products!C:C,MATCH(OrdersTable[[#This Row],[Product ID]],Products!A:A,0))</f>
        <v>Footwear</v>
      </c>
      <c r="P505">
        <v>1</v>
      </c>
      <c r="Q505" s="5">
        <v>399</v>
      </c>
      <c r="R505" s="74">
        <v>0.1</v>
      </c>
      <c r="S505" s="75">
        <f>OrdersTable[[#This Row],[Quantity]]*OrdersTable[[#This Row],[Unit Price]]</f>
        <v>399</v>
      </c>
      <c r="T505" s="5">
        <f>OrdersTable[[#This Row],[Gross Sale]]*OrdersTable[[#This Row],[Discount_Clean2]]</f>
        <v>39.900000000000006</v>
      </c>
      <c r="U505" s="5">
        <f>OrdersTable[[#This Row],[Gross Sale]]-OrdersTable[[#This Row],[Discount Amount]]</f>
        <v>359.1</v>
      </c>
      <c r="V505" s="77">
        <f>INDEX(Products!E:E,MATCH(OrdersTable[[#This Row],[Product ID]],Products!A:A,0))</f>
        <v>152</v>
      </c>
      <c r="W505" s="77">
        <f>OrdersTable[[#This Row],[Quantity]]*OrdersTable[[#This Row],[Unit Cost]]</f>
        <v>152</v>
      </c>
      <c r="X505" s="77">
        <f>'Dropdown Lists'!$I$2*(1+OrdersTable[[#This Row],[Returned]])</f>
        <v>60</v>
      </c>
      <c r="Y505" s="76">
        <f>OrdersTable[[#This Row],[Net Revenue]]-OrdersTable[[#This Row],[COGS]]-OrdersTable[[#This Row],[Shipping Cost]]</f>
        <v>147.10000000000002</v>
      </c>
      <c r="Z505" s="78">
        <f>IFERROR(OrdersTable[[#This Row],[Profit]]/OrdersTable[[#This Row],[Net Revenue]],0)</f>
        <v>0.40963519910888335</v>
      </c>
      <c r="AA505" t="s">
        <v>2522</v>
      </c>
      <c r="AB505" s="79">
        <v>45404</v>
      </c>
      <c r="AC505">
        <f>OrdersTable[[#This Row],[Delivery Date]]-OrdersTable[[#This Row],[Order Date]]</f>
        <v>4</v>
      </c>
      <c r="AD505" t="str">
        <f>IF(OrdersTable[[#This Row],[Delivery Days]]&lt;=2, "Express (≤2d)", IF(OrdersTable[[#This Row],[Delivery Days]]&lt;=4, "Standard (3-4d)", "Delayed (5d+)"))</f>
        <v>Standard (3-4d)</v>
      </c>
      <c r="AE505">
        <v>5</v>
      </c>
      <c r="AF505">
        <v>0</v>
      </c>
    </row>
    <row r="506" spans="1:32" ht="15" x14ac:dyDescent="0.35">
      <c r="A506" t="s">
        <v>6946</v>
      </c>
      <c r="B506" s="1">
        <v>45400</v>
      </c>
      <c r="C506">
        <f>YEAR(OrdersTable[[#This Row],[Order Date]])</f>
        <v>2024</v>
      </c>
      <c r="D506" s="2">
        <f>DATE(YEAR(OrdersTable[[#This Row],[Order Date]]),MONTH(OrdersTable[[#This Row],[Order Date]]),1)</f>
        <v>45383</v>
      </c>
      <c r="E506">
        <f>MONTH(OrdersTable[[#This Row],[Order Date]])</f>
        <v>4</v>
      </c>
      <c r="F506" t="s">
        <v>1068</v>
      </c>
      <c r="G506" t="str">
        <f>IF(OrdersTable[[#This Row],[Order Date]]=_xlfn.MINIFS(Order_Date, Customer_ID, OrdersTable[[#This Row],[Customer ID]]), "New", "Repeat")</f>
        <v>New</v>
      </c>
      <c r="H506" t="s">
        <v>275</v>
      </c>
      <c r="I506" t="str">
        <f>INDEX(State!B:B,MATCH(OrdersTable[[#This Row],[State]],State!A:A,0))</f>
        <v>AP</v>
      </c>
      <c r="J506" t="str">
        <f>INDEX(State!C:C,MATCH(OrdersTable[[#This Row],[State Code]],State!B:B,0))</f>
        <v>South</v>
      </c>
      <c r="K506" t="s">
        <v>276</v>
      </c>
      <c r="L506" t="s">
        <v>65</v>
      </c>
      <c r="M506" t="s">
        <v>40</v>
      </c>
      <c r="N506" t="str">
        <f>INDEX(Products!B:B,MATCH(OrdersTable[[#This Row],[Product ID]],Products!A:A,0))</f>
        <v>Ashwagandha Capsules</v>
      </c>
      <c r="O506" t="str">
        <f>INDEX(Products!C:C,MATCH(OrdersTable[[#This Row],[Product ID]],Products!A:A,0))</f>
        <v>Wellness</v>
      </c>
      <c r="P506">
        <v>4</v>
      </c>
      <c r="Q506" s="5">
        <v>499</v>
      </c>
      <c r="R506" s="74">
        <v>0.1</v>
      </c>
      <c r="S506" s="75">
        <f>OrdersTable[[#This Row],[Quantity]]*OrdersTable[[#This Row],[Unit Price]]</f>
        <v>1996</v>
      </c>
      <c r="T506" s="5">
        <f>OrdersTable[[#This Row],[Gross Sale]]*OrdersTable[[#This Row],[Discount_Clean2]]</f>
        <v>199.60000000000002</v>
      </c>
      <c r="U506" s="5">
        <f>OrdersTable[[#This Row],[Gross Sale]]-OrdersTable[[#This Row],[Discount Amount]]</f>
        <v>1796.4</v>
      </c>
      <c r="V506" s="77">
        <f>INDEX(Products!E:E,MATCH(OrdersTable[[#This Row],[Product ID]],Products!A:A,0))</f>
        <v>150</v>
      </c>
      <c r="W506" s="77">
        <f>OrdersTable[[#This Row],[Quantity]]*OrdersTable[[#This Row],[Unit Cost]]</f>
        <v>600</v>
      </c>
      <c r="X506" s="77">
        <f>'Dropdown Lists'!$I$2*(1+OrdersTable[[#This Row],[Returned]])</f>
        <v>60</v>
      </c>
      <c r="Y506" s="76">
        <f>OrdersTable[[#This Row],[Net Revenue]]-OrdersTable[[#This Row],[COGS]]-OrdersTable[[#This Row],[Shipping Cost]]</f>
        <v>1136.4000000000001</v>
      </c>
      <c r="Z506" s="78">
        <f>IFERROR(OrdersTable[[#This Row],[Profit]]/OrdersTable[[#This Row],[Net Revenue]],0)</f>
        <v>0.63259853039412162</v>
      </c>
      <c r="AA506" t="s">
        <v>4450</v>
      </c>
      <c r="AB506" s="79">
        <v>45402</v>
      </c>
      <c r="AC506">
        <f>OrdersTable[[#This Row],[Delivery Date]]-OrdersTable[[#This Row],[Order Date]]</f>
        <v>2</v>
      </c>
      <c r="AD506" t="str">
        <f>IF(OrdersTable[[#This Row],[Delivery Days]]&lt;=2, "Express (≤2d)", IF(OrdersTable[[#This Row],[Delivery Days]]&lt;=4, "Standard (3-4d)", "Delayed (5d+)"))</f>
        <v>Express (≤2d)</v>
      </c>
      <c r="AF506">
        <v>0</v>
      </c>
    </row>
    <row r="507" spans="1:32" ht="15" x14ac:dyDescent="0.35">
      <c r="A507" t="s">
        <v>3160</v>
      </c>
      <c r="B507" s="1">
        <v>45400</v>
      </c>
      <c r="C507">
        <f>YEAR(OrdersTable[[#This Row],[Order Date]])</f>
        <v>2024</v>
      </c>
      <c r="D507" s="2">
        <f>DATE(YEAR(OrdersTable[[#This Row],[Order Date]]),MONTH(OrdersTable[[#This Row],[Order Date]]),1)</f>
        <v>45383</v>
      </c>
      <c r="E507">
        <f>MONTH(OrdersTable[[#This Row],[Order Date]])</f>
        <v>4</v>
      </c>
      <c r="F507" t="s">
        <v>1608</v>
      </c>
      <c r="G507" t="str">
        <f>IF(OrdersTable[[#This Row],[Order Date]]=_xlfn.MINIFS(Order_Date, Customer_ID, OrdersTable[[#This Row],[Customer ID]]), "New", "Repeat")</f>
        <v>New</v>
      </c>
      <c r="H507" t="s">
        <v>316</v>
      </c>
      <c r="I507" t="str">
        <f>INDEX(State!B:B,MATCH(OrdersTable[[#This Row],[State]],State!A:A,0))</f>
        <v>KL</v>
      </c>
      <c r="J507" t="str">
        <f>INDEX(State!C:C,MATCH(OrdersTable[[#This Row],[State Code]],State!B:B,0))</f>
        <v>South</v>
      </c>
      <c r="K507" t="s">
        <v>338</v>
      </c>
      <c r="L507" t="s">
        <v>39</v>
      </c>
      <c r="M507" t="s">
        <v>109</v>
      </c>
      <c r="N507" t="str">
        <f>INDEX(Products!B:B,MATCH(OrdersTable[[#This Row],[Product ID]],Products!A:A,0))</f>
        <v>Onion Hair Oil</v>
      </c>
      <c r="O507" t="str">
        <f>INDEX(Products!C:C,MATCH(OrdersTable[[#This Row],[Product ID]],Products!A:A,0))</f>
        <v>Haircare</v>
      </c>
      <c r="P507">
        <v>1</v>
      </c>
      <c r="Q507" s="5">
        <v>349</v>
      </c>
      <c r="R507" s="74">
        <v>0.25</v>
      </c>
      <c r="S507" s="75">
        <f>OrdersTable[[#This Row],[Quantity]]*OrdersTable[[#This Row],[Unit Price]]</f>
        <v>349</v>
      </c>
      <c r="T507" s="5">
        <f>OrdersTable[[#This Row],[Gross Sale]]*OrdersTable[[#This Row],[Discount_Clean2]]</f>
        <v>87.25</v>
      </c>
      <c r="U507" s="5">
        <f>OrdersTable[[#This Row],[Gross Sale]]-OrdersTable[[#This Row],[Discount Amount]]</f>
        <v>261.75</v>
      </c>
      <c r="V507" s="77">
        <f>INDEX(Products!E:E,MATCH(OrdersTable[[#This Row],[Product ID]],Products!A:A,0))</f>
        <v>105</v>
      </c>
      <c r="W507" s="77">
        <f>OrdersTable[[#This Row],[Quantity]]*OrdersTable[[#This Row],[Unit Cost]]</f>
        <v>105</v>
      </c>
      <c r="X507" s="77">
        <f>'Dropdown Lists'!$I$2*(1+OrdersTable[[#This Row],[Returned]])</f>
        <v>60</v>
      </c>
      <c r="Y507" s="76">
        <f>OrdersTable[[#This Row],[Net Revenue]]-OrdersTable[[#This Row],[COGS]]-OrdersTable[[#This Row],[Shipping Cost]]</f>
        <v>96.75</v>
      </c>
      <c r="Z507" s="78">
        <f>IFERROR(OrdersTable[[#This Row],[Profit]]/OrdersTable[[#This Row],[Net Revenue]],0)</f>
        <v>0.36962750716332377</v>
      </c>
      <c r="AA507" t="s">
        <v>2522</v>
      </c>
      <c r="AB507" s="79">
        <v>45406</v>
      </c>
      <c r="AC507">
        <f>OrdersTable[[#This Row],[Delivery Date]]-OrdersTable[[#This Row],[Order Date]]</f>
        <v>6</v>
      </c>
      <c r="AD507" t="str">
        <f>IF(OrdersTable[[#This Row],[Delivery Days]]&lt;=2, "Express (≤2d)", IF(OrdersTable[[#This Row],[Delivery Days]]&lt;=4, "Standard (3-4d)", "Delayed (5d+)"))</f>
        <v>Delayed (5d+)</v>
      </c>
      <c r="AE507">
        <v>4</v>
      </c>
      <c r="AF507">
        <v>0</v>
      </c>
    </row>
    <row r="508" spans="1:32" ht="15" x14ac:dyDescent="0.35">
      <c r="A508" t="s">
        <v>3856</v>
      </c>
      <c r="B508" s="1">
        <v>45400</v>
      </c>
      <c r="C508">
        <f>YEAR(OrdersTable[[#This Row],[Order Date]])</f>
        <v>2024</v>
      </c>
      <c r="D508" s="2">
        <f>DATE(YEAR(OrdersTable[[#This Row],[Order Date]]),MONTH(OrdersTable[[#This Row],[Order Date]]),1)</f>
        <v>45383</v>
      </c>
      <c r="E508">
        <f>MONTH(OrdersTable[[#This Row],[Order Date]])</f>
        <v>4</v>
      </c>
      <c r="F508" t="s">
        <v>3557</v>
      </c>
      <c r="G508" t="str">
        <f>IF(OrdersTable[[#This Row],[Order Date]]=_xlfn.MINIFS(Order_Date, Customer_ID, OrdersTable[[#This Row],[Customer ID]]), "New", "Repeat")</f>
        <v>Repeat</v>
      </c>
      <c r="H508" t="s">
        <v>59</v>
      </c>
      <c r="I508" t="str">
        <f>INDEX(State!B:B,MATCH(OrdersTable[[#This Row],[State]],State!A:A,0))</f>
        <v>TN</v>
      </c>
      <c r="J508" t="str">
        <f>INDEX(State!C:C,MATCH(OrdersTable[[#This Row],[State Code]],State!B:B,0))</f>
        <v>South</v>
      </c>
      <c r="K508" t="s">
        <v>64</v>
      </c>
      <c r="L508" t="s">
        <v>16</v>
      </c>
      <c r="M508" t="s">
        <v>176</v>
      </c>
      <c r="N508" t="str">
        <f>INDEX(Products!B:B,MATCH(OrdersTable[[#This Row],[Product ID]],Products!A:A,0))</f>
        <v>Denim Jacket</v>
      </c>
      <c r="O508" t="str">
        <f>INDEX(Products!C:C,MATCH(OrdersTable[[#This Row],[Product ID]],Products!A:A,0))</f>
        <v>Apparel</v>
      </c>
      <c r="P508">
        <v>1</v>
      </c>
      <c r="Q508" s="5">
        <v>2499</v>
      </c>
      <c r="R508" s="74">
        <v>0</v>
      </c>
      <c r="S508" s="75">
        <f>OrdersTable[[#This Row],[Quantity]]*OrdersTable[[#This Row],[Unit Price]]</f>
        <v>2499</v>
      </c>
      <c r="T508" s="5">
        <f>OrdersTable[[#This Row],[Gross Sale]]*OrdersTable[[#This Row],[Discount_Clean2]]</f>
        <v>0</v>
      </c>
      <c r="U508" s="5">
        <f>OrdersTable[[#This Row],[Gross Sale]]-OrdersTable[[#This Row],[Discount Amount]]</f>
        <v>2499</v>
      </c>
      <c r="V508" s="77">
        <f>INDEX(Products!E:E,MATCH(OrdersTable[[#This Row],[Product ID]],Products!A:A,0))</f>
        <v>1125</v>
      </c>
      <c r="W508" s="77">
        <f>OrdersTable[[#This Row],[Quantity]]*OrdersTable[[#This Row],[Unit Cost]]</f>
        <v>1125</v>
      </c>
      <c r="X508" s="77">
        <f>'Dropdown Lists'!$I$2*(1+OrdersTable[[#This Row],[Returned]])</f>
        <v>60</v>
      </c>
      <c r="Y508" s="76">
        <f>OrdersTable[[#This Row],[Net Revenue]]-OrdersTable[[#This Row],[COGS]]-OrdersTable[[#This Row],[Shipping Cost]]</f>
        <v>1314</v>
      </c>
      <c r="Z508" s="78">
        <f>IFERROR(OrdersTable[[#This Row],[Profit]]/OrdersTable[[#This Row],[Net Revenue]],0)</f>
        <v>0.5258103241296519</v>
      </c>
      <c r="AA508" t="s">
        <v>3495</v>
      </c>
      <c r="AB508" s="79">
        <v>45403</v>
      </c>
      <c r="AC508">
        <f>OrdersTable[[#This Row],[Delivery Date]]-OrdersTable[[#This Row],[Order Date]]</f>
        <v>3</v>
      </c>
      <c r="AD508" t="str">
        <f>IF(OrdersTable[[#This Row],[Delivery Days]]&lt;=2, "Express (≤2d)", IF(OrdersTable[[#This Row],[Delivery Days]]&lt;=4, "Standard (3-4d)", "Delayed (5d+)"))</f>
        <v>Standard (3-4d)</v>
      </c>
      <c r="AE508">
        <v>3</v>
      </c>
      <c r="AF508">
        <v>0</v>
      </c>
    </row>
    <row r="509" spans="1:32" ht="15" x14ac:dyDescent="0.35">
      <c r="A509" t="s">
        <v>3962</v>
      </c>
      <c r="B509" s="1">
        <v>45401</v>
      </c>
      <c r="C509">
        <f>YEAR(OrdersTable[[#This Row],[Order Date]])</f>
        <v>2024</v>
      </c>
      <c r="D509" s="2">
        <f>DATE(YEAR(OrdersTable[[#This Row],[Order Date]]),MONTH(OrdersTable[[#This Row],[Order Date]]),1)</f>
        <v>45383</v>
      </c>
      <c r="E509">
        <f>MONTH(OrdersTable[[#This Row],[Order Date]])</f>
        <v>4</v>
      </c>
      <c r="F509" t="s">
        <v>765</v>
      </c>
      <c r="G509" t="str">
        <f>IF(OrdersTable[[#This Row],[Order Date]]=_xlfn.MINIFS(Order_Date, Customer_ID, OrdersTable[[#This Row],[Customer ID]]), "New", "Repeat")</f>
        <v>New</v>
      </c>
      <c r="H509" t="s">
        <v>158</v>
      </c>
      <c r="I509" t="str">
        <f>INDEX(State!B:B,MATCH(OrdersTable[[#This Row],[State]],State!A:A,0))</f>
        <v>HP</v>
      </c>
      <c r="J509" t="str">
        <f>INDEX(State!C:C,MATCH(OrdersTable[[#This Row],[State Code]],State!B:B,0))</f>
        <v>North</v>
      </c>
      <c r="K509" t="s">
        <v>159</v>
      </c>
      <c r="L509" t="s">
        <v>65</v>
      </c>
      <c r="M509" t="s">
        <v>34</v>
      </c>
      <c r="N509" t="str">
        <f>INDEX(Products!B:B,MATCH(OrdersTable[[#This Row],[Product ID]],Products!A:A,0))</f>
        <v>Flip Flops</v>
      </c>
      <c r="O509" t="str">
        <f>INDEX(Products!C:C,MATCH(OrdersTable[[#This Row],[Product ID]],Products!A:A,0))</f>
        <v>Footwear</v>
      </c>
      <c r="P509">
        <v>1</v>
      </c>
      <c r="Q509" s="5">
        <v>399</v>
      </c>
      <c r="R509" s="74">
        <v>0.1</v>
      </c>
      <c r="S509" s="75">
        <f>OrdersTable[[#This Row],[Quantity]]*OrdersTable[[#This Row],[Unit Price]]</f>
        <v>399</v>
      </c>
      <c r="T509" s="5">
        <f>OrdersTable[[#This Row],[Gross Sale]]*OrdersTable[[#This Row],[Discount_Clean2]]</f>
        <v>39.900000000000006</v>
      </c>
      <c r="U509" s="5">
        <f>OrdersTable[[#This Row],[Gross Sale]]-OrdersTable[[#This Row],[Discount Amount]]</f>
        <v>359.1</v>
      </c>
      <c r="V509" s="77">
        <f>INDEX(Products!E:E,MATCH(OrdersTable[[#This Row],[Product ID]],Products!A:A,0))</f>
        <v>152</v>
      </c>
      <c r="W509" s="77">
        <f>OrdersTable[[#This Row],[Quantity]]*OrdersTable[[#This Row],[Unit Cost]]</f>
        <v>152</v>
      </c>
      <c r="X509" s="77">
        <f>'Dropdown Lists'!$I$2*(1+OrdersTable[[#This Row],[Returned]])</f>
        <v>120</v>
      </c>
      <c r="Y509" s="76">
        <f>OrdersTable[[#This Row],[Net Revenue]]-OrdersTable[[#This Row],[COGS]]-OrdersTable[[#This Row],[Shipping Cost]]</f>
        <v>87.100000000000023</v>
      </c>
      <c r="Z509" s="78">
        <f>IFERROR(OrdersTable[[#This Row],[Profit]]/OrdersTable[[#This Row],[Net Revenue]],0)</f>
        <v>0.24255082149818996</v>
      </c>
      <c r="AA509" t="s">
        <v>3495</v>
      </c>
      <c r="AB509" s="79">
        <v>45405</v>
      </c>
      <c r="AC509">
        <f>OrdersTable[[#This Row],[Delivery Date]]-OrdersTable[[#This Row],[Order Date]]</f>
        <v>4</v>
      </c>
      <c r="AD509" t="str">
        <f>IF(OrdersTable[[#This Row],[Delivery Days]]&lt;=2, "Express (≤2d)", IF(OrdersTable[[#This Row],[Delivery Days]]&lt;=4, "Standard (3-4d)", "Delayed (5d+)"))</f>
        <v>Standard (3-4d)</v>
      </c>
      <c r="AE509">
        <v>5</v>
      </c>
      <c r="AF509">
        <v>1</v>
      </c>
    </row>
    <row r="510" spans="1:32" ht="15" x14ac:dyDescent="0.35">
      <c r="A510" t="s">
        <v>5863</v>
      </c>
      <c r="B510" s="1">
        <v>45401</v>
      </c>
      <c r="C510">
        <f>YEAR(OrdersTable[[#This Row],[Order Date]])</f>
        <v>2024</v>
      </c>
      <c r="D510" s="2">
        <f>DATE(YEAR(OrdersTable[[#This Row],[Order Date]]),MONTH(OrdersTable[[#This Row],[Order Date]]),1)</f>
        <v>45383</v>
      </c>
      <c r="E510">
        <f>MONTH(OrdersTable[[#This Row],[Order Date]])</f>
        <v>4</v>
      </c>
      <c r="F510" t="s">
        <v>5176</v>
      </c>
      <c r="G510" t="str">
        <f>IF(OrdersTable[[#This Row],[Order Date]]=_xlfn.MINIFS(Order_Date, Customer_ID, OrdersTable[[#This Row],[Customer ID]]), "New", "Repeat")</f>
        <v>New</v>
      </c>
      <c r="H510" t="s">
        <v>54</v>
      </c>
      <c r="I510" t="str">
        <f>INDEX(State!B:B,MATCH(OrdersTable[[#This Row],[State]],State!A:A,0))</f>
        <v>RJ</v>
      </c>
      <c r="J510" t="str">
        <f>INDEX(State!C:C,MATCH(OrdersTable[[#This Row],[State Code]],State!B:B,0))</f>
        <v>North</v>
      </c>
      <c r="K510" t="s">
        <v>227</v>
      </c>
      <c r="L510" t="s">
        <v>65</v>
      </c>
      <c r="M510" t="s">
        <v>109</v>
      </c>
      <c r="N510" t="str">
        <f>INDEX(Products!B:B,MATCH(OrdersTable[[#This Row],[Product ID]],Products!A:A,0))</f>
        <v>Onion Hair Oil</v>
      </c>
      <c r="O510" t="str">
        <f>INDEX(Products!C:C,MATCH(OrdersTable[[#This Row],[Product ID]],Products!A:A,0))</f>
        <v>Haircare</v>
      </c>
      <c r="P510">
        <v>2</v>
      </c>
      <c r="Q510" s="5">
        <v>349</v>
      </c>
      <c r="R510" s="74">
        <v>0.3</v>
      </c>
      <c r="S510" s="75">
        <f>OrdersTable[[#This Row],[Quantity]]*OrdersTable[[#This Row],[Unit Price]]</f>
        <v>698</v>
      </c>
      <c r="T510" s="5">
        <f>OrdersTable[[#This Row],[Gross Sale]]*OrdersTable[[#This Row],[Discount_Clean2]]</f>
        <v>209.4</v>
      </c>
      <c r="U510" s="5">
        <f>OrdersTable[[#This Row],[Gross Sale]]-OrdersTable[[#This Row],[Discount Amount]]</f>
        <v>488.6</v>
      </c>
      <c r="V510" s="77">
        <f>INDEX(Products!E:E,MATCH(OrdersTable[[#This Row],[Product ID]],Products!A:A,0))</f>
        <v>105</v>
      </c>
      <c r="W510" s="77">
        <f>OrdersTable[[#This Row],[Quantity]]*OrdersTable[[#This Row],[Unit Cost]]</f>
        <v>210</v>
      </c>
      <c r="X510" s="77">
        <f>'Dropdown Lists'!$I$2*(1+OrdersTable[[#This Row],[Returned]])</f>
        <v>60</v>
      </c>
      <c r="Y510" s="76">
        <f>OrdersTable[[#This Row],[Net Revenue]]-OrdersTable[[#This Row],[COGS]]-OrdersTable[[#This Row],[Shipping Cost]]</f>
        <v>218.60000000000002</v>
      </c>
      <c r="Z510" s="78">
        <f>IFERROR(OrdersTable[[#This Row],[Profit]]/OrdersTable[[#This Row],[Net Revenue]],0)</f>
        <v>0.44740073679901765</v>
      </c>
      <c r="AA510" t="s">
        <v>18</v>
      </c>
      <c r="AB510" s="79">
        <v>45405</v>
      </c>
      <c r="AC510">
        <f>OrdersTable[[#This Row],[Delivery Date]]-OrdersTable[[#This Row],[Order Date]]</f>
        <v>4</v>
      </c>
      <c r="AD510" t="str">
        <f>IF(OrdersTable[[#This Row],[Delivery Days]]&lt;=2, "Express (≤2d)", IF(OrdersTable[[#This Row],[Delivery Days]]&lt;=4, "Standard (3-4d)", "Delayed (5d+)"))</f>
        <v>Standard (3-4d)</v>
      </c>
      <c r="AF510">
        <v>0</v>
      </c>
    </row>
    <row r="511" spans="1:32" ht="15" x14ac:dyDescent="0.35">
      <c r="A511" t="s">
        <v>4219</v>
      </c>
      <c r="B511" s="1">
        <v>45401</v>
      </c>
      <c r="C511">
        <f>YEAR(OrdersTable[[#This Row],[Order Date]])</f>
        <v>2024</v>
      </c>
      <c r="D511" s="2">
        <f>DATE(YEAR(OrdersTable[[#This Row],[Order Date]]),MONTH(OrdersTable[[#This Row],[Order Date]]),1)</f>
        <v>45383</v>
      </c>
      <c r="E511">
        <f>MONTH(OrdersTable[[#This Row],[Order Date]])</f>
        <v>4</v>
      </c>
      <c r="F511" t="s">
        <v>4220</v>
      </c>
      <c r="G511" t="str">
        <f>IF(OrdersTable[[#This Row],[Order Date]]=_xlfn.MINIFS(Order_Date, Customer_ID, OrdersTable[[#This Row],[Customer ID]]), "New", "Repeat")</f>
        <v>New</v>
      </c>
      <c r="H511" t="s">
        <v>48</v>
      </c>
      <c r="I511" t="str">
        <f>INDEX(State!B:B,MATCH(OrdersTable[[#This Row],[State]],State!A:A,0))</f>
        <v>HR</v>
      </c>
      <c r="J511" t="str">
        <f>INDEX(State!C:C,MATCH(OrdersTable[[#This Row],[State Code]],State!B:B,0))</f>
        <v>North</v>
      </c>
      <c r="K511" t="s">
        <v>49</v>
      </c>
      <c r="L511" t="s">
        <v>65</v>
      </c>
      <c r="M511" t="s">
        <v>24</v>
      </c>
      <c r="N511" t="str">
        <f>INDEX(Products!B:B,MATCH(OrdersTable[[#This Row],[Product ID]],Products!A:A,0))</f>
        <v>Scented Candle Set</v>
      </c>
      <c r="O511" t="str">
        <f>INDEX(Products!C:C,MATCH(OrdersTable[[#This Row],[Product ID]],Products!A:A,0))</f>
        <v>Home &amp; Kitchen</v>
      </c>
      <c r="P511">
        <v>1</v>
      </c>
      <c r="Q511" s="5">
        <v>699</v>
      </c>
      <c r="R511" s="74">
        <v>0.25</v>
      </c>
      <c r="S511" s="75">
        <f>OrdersTable[[#This Row],[Quantity]]*OrdersTable[[#This Row],[Unit Price]]</f>
        <v>699</v>
      </c>
      <c r="T511" s="5">
        <f>OrdersTable[[#This Row],[Gross Sale]]*OrdersTable[[#This Row],[Discount_Clean2]]</f>
        <v>174.75</v>
      </c>
      <c r="U511" s="5">
        <f>OrdersTable[[#This Row],[Gross Sale]]-OrdersTable[[#This Row],[Discount Amount]]</f>
        <v>524.25</v>
      </c>
      <c r="V511" s="77">
        <f>INDEX(Products!E:E,MATCH(OrdersTable[[#This Row],[Product ID]],Products!A:A,0))</f>
        <v>245</v>
      </c>
      <c r="W511" s="77">
        <f>OrdersTable[[#This Row],[Quantity]]*OrdersTable[[#This Row],[Unit Cost]]</f>
        <v>245</v>
      </c>
      <c r="X511" s="77">
        <f>'Dropdown Lists'!$I$2*(1+OrdersTable[[#This Row],[Returned]])</f>
        <v>60</v>
      </c>
      <c r="Y511" s="76">
        <f>OrdersTable[[#This Row],[Net Revenue]]-OrdersTable[[#This Row],[COGS]]-OrdersTable[[#This Row],[Shipping Cost]]</f>
        <v>219.25</v>
      </c>
      <c r="Z511" s="78">
        <f>IFERROR(OrdersTable[[#This Row],[Profit]]/OrdersTable[[#This Row],[Net Revenue]],0)</f>
        <v>0.41821649976156416</v>
      </c>
      <c r="AA511" t="s">
        <v>4074</v>
      </c>
      <c r="AB511" s="79">
        <v>45405</v>
      </c>
      <c r="AC511">
        <f>OrdersTable[[#This Row],[Delivery Date]]-OrdersTable[[#This Row],[Order Date]]</f>
        <v>4</v>
      </c>
      <c r="AD511" t="str">
        <f>IF(OrdersTable[[#This Row],[Delivery Days]]&lt;=2, "Express (≤2d)", IF(OrdersTable[[#This Row],[Delivery Days]]&lt;=4, "Standard (3-4d)", "Delayed (5d+)"))</f>
        <v>Standard (3-4d)</v>
      </c>
      <c r="AF511">
        <v>0</v>
      </c>
    </row>
    <row r="512" spans="1:32" ht="15" x14ac:dyDescent="0.35">
      <c r="A512" t="s">
        <v>902</v>
      </c>
      <c r="B512" s="1">
        <v>45401</v>
      </c>
      <c r="C512">
        <f>YEAR(OrdersTable[[#This Row],[Order Date]])</f>
        <v>2024</v>
      </c>
      <c r="D512" s="2">
        <f>DATE(YEAR(OrdersTable[[#This Row],[Order Date]]),MONTH(OrdersTable[[#This Row],[Order Date]]),1)</f>
        <v>45383</v>
      </c>
      <c r="E512">
        <f>MONTH(OrdersTable[[#This Row],[Order Date]])</f>
        <v>4</v>
      </c>
      <c r="F512" t="s">
        <v>903</v>
      </c>
      <c r="G512" t="str">
        <f>IF(OrdersTable[[#This Row],[Order Date]]=_xlfn.MINIFS(Order_Date, Customer_ID, OrdersTable[[#This Row],[Customer ID]]), "New", "Repeat")</f>
        <v>New</v>
      </c>
      <c r="H512" t="s">
        <v>37</v>
      </c>
      <c r="I512" t="str">
        <f>INDEX(State!B:B,MATCH(OrdersTable[[#This Row],[State]],State!A:A,0))</f>
        <v>GJ</v>
      </c>
      <c r="J512" t="str">
        <f>INDEX(State!C:C,MATCH(OrdersTable[[#This Row],[State Code]],State!B:B,0))</f>
        <v>West</v>
      </c>
      <c r="K512" t="s">
        <v>247</v>
      </c>
      <c r="L512" t="s">
        <v>65</v>
      </c>
      <c r="M512" t="s">
        <v>34</v>
      </c>
      <c r="N512" t="str">
        <f>INDEX(Products!B:B,MATCH(OrdersTable[[#This Row],[Product ID]],Products!A:A,0))</f>
        <v>Flip Flops</v>
      </c>
      <c r="O512" t="str">
        <f>INDEX(Products!C:C,MATCH(OrdersTable[[#This Row],[Product ID]],Products!A:A,0))</f>
        <v>Footwear</v>
      </c>
      <c r="P512">
        <v>1</v>
      </c>
      <c r="Q512" s="5">
        <v>399</v>
      </c>
      <c r="R512" s="74">
        <v>0.15</v>
      </c>
      <c r="S512" s="75">
        <f>OrdersTable[[#This Row],[Quantity]]*OrdersTable[[#This Row],[Unit Price]]</f>
        <v>399</v>
      </c>
      <c r="T512" s="5">
        <f>OrdersTable[[#This Row],[Gross Sale]]*OrdersTable[[#This Row],[Discount_Clean2]]</f>
        <v>59.849999999999994</v>
      </c>
      <c r="U512" s="5">
        <f>OrdersTable[[#This Row],[Gross Sale]]-OrdersTable[[#This Row],[Discount Amount]]</f>
        <v>339.15</v>
      </c>
      <c r="V512" s="77">
        <f>INDEX(Products!E:E,MATCH(OrdersTable[[#This Row],[Product ID]],Products!A:A,0))</f>
        <v>152</v>
      </c>
      <c r="W512" s="77">
        <f>OrdersTable[[#This Row],[Quantity]]*OrdersTable[[#This Row],[Unit Cost]]</f>
        <v>152</v>
      </c>
      <c r="X512" s="77">
        <f>'Dropdown Lists'!$I$2*(1+OrdersTable[[#This Row],[Returned]])</f>
        <v>60</v>
      </c>
      <c r="Y512" s="76">
        <f>OrdersTable[[#This Row],[Net Revenue]]-OrdersTable[[#This Row],[COGS]]-OrdersTable[[#This Row],[Shipping Cost]]</f>
        <v>127.14999999999998</v>
      </c>
      <c r="Z512" s="78">
        <f>IFERROR(OrdersTable[[#This Row],[Profit]]/OrdersTable[[#This Row],[Net Revenue]],0)</f>
        <v>0.37490785787999409</v>
      </c>
      <c r="AA512" t="s">
        <v>18</v>
      </c>
      <c r="AB512" s="79">
        <v>45404</v>
      </c>
      <c r="AC512">
        <f>OrdersTable[[#This Row],[Delivery Date]]-OrdersTable[[#This Row],[Order Date]]</f>
        <v>3</v>
      </c>
      <c r="AD512" t="str">
        <f>IF(OrdersTable[[#This Row],[Delivery Days]]&lt;=2, "Express (≤2d)", IF(OrdersTable[[#This Row],[Delivery Days]]&lt;=4, "Standard (3-4d)", "Delayed (5d+)"))</f>
        <v>Standard (3-4d)</v>
      </c>
      <c r="AE512">
        <v>4</v>
      </c>
      <c r="AF512">
        <v>0</v>
      </c>
    </row>
    <row r="513" spans="1:32" ht="15" x14ac:dyDescent="0.35">
      <c r="A513" t="s">
        <v>3521</v>
      </c>
      <c r="B513" s="1">
        <v>45401</v>
      </c>
      <c r="C513">
        <f>YEAR(OrdersTable[[#This Row],[Order Date]])</f>
        <v>2024</v>
      </c>
      <c r="D513" s="2">
        <f>DATE(YEAR(OrdersTable[[#This Row],[Order Date]]),MONTH(OrdersTable[[#This Row],[Order Date]]),1)</f>
        <v>45383</v>
      </c>
      <c r="E513">
        <f>MONTH(OrdersTable[[#This Row],[Order Date]])</f>
        <v>4</v>
      </c>
      <c r="F513" t="s">
        <v>2988</v>
      </c>
      <c r="G513" t="str">
        <f>IF(OrdersTable[[#This Row],[Order Date]]=_xlfn.MINIFS(Order_Date, Customer_ID, OrdersTable[[#This Row],[Customer ID]]), "New", "Repeat")</f>
        <v>New</v>
      </c>
      <c r="H513" t="s">
        <v>95</v>
      </c>
      <c r="I513" t="str">
        <f>INDEX(State!B:B,MATCH(OrdersTable[[#This Row],[State]],State!A:A,0))</f>
        <v>TG</v>
      </c>
      <c r="J513" t="str">
        <f>INDEX(State!C:C,MATCH(OrdersTable[[#This Row],[State Code]],State!B:B,0))</f>
        <v>South</v>
      </c>
      <c r="K513" t="s">
        <v>96</v>
      </c>
      <c r="L513" t="s">
        <v>65</v>
      </c>
      <c r="M513" t="s">
        <v>205</v>
      </c>
      <c r="N513" t="str">
        <f>INDEX(Products!B:B,MATCH(OrdersTable[[#This Row],[Product ID]],Products!A:A,0))</f>
        <v>Running Shoes</v>
      </c>
      <c r="O513" t="str">
        <f>INDEX(Products!C:C,MATCH(OrdersTable[[#This Row],[Product ID]],Products!A:A,0))</f>
        <v>Footwear</v>
      </c>
      <c r="P513">
        <v>1</v>
      </c>
      <c r="Q513" s="5">
        <v>2999</v>
      </c>
      <c r="R513" s="74">
        <v>0.2</v>
      </c>
      <c r="S513" s="75">
        <f>OrdersTable[[#This Row],[Quantity]]*OrdersTable[[#This Row],[Unit Price]]</f>
        <v>2999</v>
      </c>
      <c r="T513" s="5">
        <f>OrdersTable[[#This Row],[Gross Sale]]*OrdersTable[[#This Row],[Discount_Clean2]]</f>
        <v>599.80000000000007</v>
      </c>
      <c r="U513" s="5">
        <f>OrdersTable[[#This Row],[Gross Sale]]-OrdersTable[[#This Row],[Discount Amount]]</f>
        <v>2399.1999999999998</v>
      </c>
      <c r="V513" s="77">
        <f>INDEX(Products!E:E,MATCH(OrdersTable[[#This Row],[Product ID]],Products!A:A,0))</f>
        <v>1440</v>
      </c>
      <c r="W513" s="77">
        <f>OrdersTable[[#This Row],[Quantity]]*OrdersTable[[#This Row],[Unit Cost]]</f>
        <v>1440</v>
      </c>
      <c r="X513" s="77">
        <f>'Dropdown Lists'!$I$2*(1+OrdersTable[[#This Row],[Returned]])</f>
        <v>120</v>
      </c>
      <c r="Y513" s="76">
        <f>OrdersTable[[#This Row],[Net Revenue]]-OrdersTable[[#This Row],[COGS]]-OrdersTable[[#This Row],[Shipping Cost]]</f>
        <v>839.19999999999982</v>
      </c>
      <c r="Z513" s="78">
        <f>IFERROR(OrdersTable[[#This Row],[Profit]]/OrdersTable[[#This Row],[Net Revenue]],0)</f>
        <v>0.34978326108702895</v>
      </c>
      <c r="AA513" t="s">
        <v>3495</v>
      </c>
      <c r="AB513" s="79">
        <v>45404</v>
      </c>
      <c r="AC513">
        <f>OrdersTable[[#This Row],[Delivery Date]]-OrdersTable[[#This Row],[Order Date]]</f>
        <v>3</v>
      </c>
      <c r="AD513" t="str">
        <f>IF(OrdersTable[[#This Row],[Delivery Days]]&lt;=2, "Express (≤2d)", IF(OrdersTable[[#This Row],[Delivery Days]]&lt;=4, "Standard (3-4d)", "Delayed (5d+)"))</f>
        <v>Standard (3-4d)</v>
      </c>
      <c r="AE513">
        <v>4</v>
      </c>
      <c r="AF513">
        <v>1</v>
      </c>
    </row>
    <row r="514" spans="1:32" ht="15" x14ac:dyDescent="0.35">
      <c r="A514" t="s">
        <v>459</v>
      </c>
      <c r="B514" s="1">
        <v>45401</v>
      </c>
      <c r="C514">
        <f>YEAR(OrdersTable[[#This Row],[Order Date]])</f>
        <v>2024</v>
      </c>
      <c r="D514" s="2">
        <f>DATE(YEAR(OrdersTable[[#This Row],[Order Date]]),MONTH(OrdersTable[[#This Row],[Order Date]]),1)</f>
        <v>45383</v>
      </c>
      <c r="E514">
        <f>MONTH(OrdersTable[[#This Row],[Order Date]])</f>
        <v>4</v>
      </c>
      <c r="F514" t="s">
        <v>460</v>
      </c>
      <c r="G514" t="str">
        <f>IF(OrdersTable[[#This Row],[Order Date]]=_xlfn.MINIFS(Order_Date, Customer_ID, OrdersTable[[#This Row],[Customer ID]]), "New", "Repeat")</f>
        <v>New</v>
      </c>
      <c r="H514" t="s">
        <v>59</v>
      </c>
      <c r="I514" t="str">
        <f>INDEX(State!B:B,MATCH(OrdersTable[[#This Row],[State]],State!A:A,0))</f>
        <v>TN</v>
      </c>
      <c r="J514" t="str">
        <f>INDEX(State!C:C,MATCH(OrdersTable[[#This Row],[State Code]],State!B:B,0))</f>
        <v>South</v>
      </c>
      <c r="K514" t="s">
        <v>60</v>
      </c>
      <c r="L514" t="s">
        <v>16</v>
      </c>
      <c r="M514" t="s">
        <v>255</v>
      </c>
      <c r="N514" t="str">
        <f>INDEX(Products!B:B,MATCH(OrdersTable[[#This Row],[Product ID]],Products!A:A,0))</f>
        <v>Cotton Oversized T-Shirt</v>
      </c>
      <c r="O514" t="str">
        <f>INDEX(Products!C:C,MATCH(OrdersTable[[#This Row],[Product ID]],Products!A:A,0))</f>
        <v>Apparel</v>
      </c>
      <c r="P514">
        <v>1</v>
      </c>
      <c r="Q514" s="5">
        <v>799</v>
      </c>
      <c r="R514" s="74">
        <v>0</v>
      </c>
      <c r="S514" s="75">
        <f>OrdersTable[[#This Row],[Quantity]]*OrdersTable[[#This Row],[Unit Price]]</f>
        <v>799</v>
      </c>
      <c r="T514" s="5">
        <f>OrdersTable[[#This Row],[Gross Sale]]*OrdersTable[[#This Row],[Discount_Clean2]]</f>
        <v>0</v>
      </c>
      <c r="U514" s="5">
        <f>OrdersTable[[#This Row],[Gross Sale]]-OrdersTable[[#This Row],[Discount Amount]]</f>
        <v>799</v>
      </c>
      <c r="V514" s="77">
        <f>INDEX(Products!E:E,MATCH(OrdersTable[[#This Row],[Product ID]],Products!A:A,0))</f>
        <v>320</v>
      </c>
      <c r="W514" s="77">
        <f>OrdersTable[[#This Row],[Quantity]]*OrdersTable[[#This Row],[Unit Cost]]</f>
        <v>320</v>
      </c>
      <c r="X514" s="77">
        <f>'Dropdown Lists'!$I$2*(1+OrdersTable[[#This Row],[Returned]])</f>
        <v>60</v>
      </c>
      <c r="Y514" s="76">
        <f>OrdersTable[[#This Row],[Net Revenue]]-OrdersTable[[#This Row],[COGS]]-OrdersTable[[#This Row],[Shipping Cost]]</f>
        <v>419</v>
      </c>
      <c r="Z514" s="78">
        <f>IFERROR(OrdersTable[[#This Row],[Profit]]/OrdersTable[[#This Row],[Net Revenue]],0)</f>
        <v>0.52440550688360454</v>
      </c>
      <c r="AA514" t="s">
        <v>18</v>
      </c>
      <c r="AB514" s="79">
        <v>45404</v>
      </c>
      <c r="AC514">
        <f>OrdersTable[[#This Row],[Delivery Date]]-OrdersTable[[#This Row],[Order Date]]</f>
        <v>3</v>
      </c>
      <c r="AD514" t="str">
        <f>IF(OrdersTable[[#This Row],[Delivery Days]]&lt;=2, "Express (≤2d)", IF(OrdersTable[[#This Row],[Delivery Days]]&lt;=4, "Standard (3-4d)", "Delayed (5d+)"))</f>
        <v>Standard (3-4d)</v>
      </c>
      <c r="AE514">
        <v>4</v>
      </c>
      <c r="AF514">
        <v>0</v>
      </c>
    </row>
    <row r="515" spans="1:32" ht="15" x14ac:dyDescent="0.35">
      <c r="A515" t="s">
        <v>1850</v>
      </c>
      <c r="B515" s="1">
        <v>45402</v>
      </c>
      <c r="C515">
        <f>YEAR(OrdersTable[[#This Row],[Order Date]])</f>
        <v>2024</v>
      </c>
      <c r="D515" s="2">
        <f>DATE(YEAR(OrdersTable[[#This Row],[Order Date]]),MONTH(OrdersTable[[#This Row],[Order Date]]),1)</f>
        <v>45383</v>
      </c>
      <c r="E515">
        <f>MONTH(OrdersTable[[#This Row],[Order Date]])</f>
        <v>4</v>
      </c>
      <c r="F515" t="s">
        <v>1851</v>
      </c>
      <c r="G515" t="str">
        <f>IF(OrdersTable[[#This Row],[Order Date]]=_xlfn.MINIFS(Order_Date, Customer_ID, OrdersTable[[#This Row],[Customer ID]]), "New", "Repeat")</f>
        <v>New</v>
      </c>
      <c r="H515" t="s">
        <v>37</v>
      </c>
      <c r="I515" t="str">
        <f>INDEX(State!B:B,MATCH(OrdersTable[[#This Row],[State]],State!A:A,0))</f>
        <v>GJ</v>
      </c>
      <c r="J515" t="str">
        <f>INDEX(State!C:C,MATCH(OrdersTable[[#This Row],[State Code]],State!B:B,0))</f>
        <v>West</v>
      </c>
      <c r="K515" t="s">
        <v>38</v>
      </c>
      <c r="L515" t="s">
        <v>23</v>
      </c>
      <c r="M515" t="s">
        <v>56</v>
      </c>
      <c r="N515" t="str">
        <f>INDEX(Products!B:B,MATCH(OrdersTable[[#This Row],[Product ID]],Products!A:A,0))</f>
        <v>Vitamin C Face Serum</v>
      </c>
      <c r="O515" t="str">
        <f>INDEX(Products!C:C,MATCH(OrdersTable[[#This Row],[Product ID]],Products!A:A,0))</f>
        <v>Skincare</v>
      </c>
      <c r="P515">
        <v>1</v>
      </c>
      <c r="Q515" s="5">
        <v>599</v>
      </c>
      <c r="R515" s="74">
        <v>0.15</v>
      </c>
      <c r="S515" s="75">
        <f>OrdersTable[[#This Row],[Quantity]]*OrdersTable[[#This Row],[Unit Price]]</f>
        <v>599</v>
      </c>
      <c r="T515" s="5">
        <f>OrdersTable[[#This Row],[Gross Sale]]*OrdersTable[[#This Row],[Discount_Clean2]]</f>
        <v>89.85</v>
      </c>
      <c r="U515" s="5">
        <f>OrdersTable[[#This Row],[Gross Sale]]-OrdersTable[[#This Row],[Discount Amount]]</f>
        <v>509.15</v>
      </c>
      <c r="V515" s="77">
        <f>INDEX(Products!E:E,MATCH(OrdersTable[[#This Row],[Product ID]],Products!A:A,0))</f>
        <v>180</v>
      </c>
      <c r="W515" s="77">
        <f>OrdersTable[[#This Row],[Quantity]]*OrdersTable[[#This Row],[Unit Cost]]</f>
        <v>180</v>
      </c>
      <c r="X515" s="77">
        <f>'Dropdown Lists'!$I$2*(1+OrdersTable[[#This Row],[Returned]])</f>
        <v>60</v>
      </c>
      <c r="Y515" s="76">
        <f>OrdersTable[[#This Row],[Net Revenue]]-OrdersTable[[#This Row],[COGS]]-OrdersTable[[#This Row],[Shipping Cost]]</f>
        <v>269.14999999999998</v>
      </c>
      <c r="Z515" s="78">
        <f>IFERROR(OrdersTable[[#This Row],[Profit]]/OrdersTable[[#This Row],[Net Revenue]],0)</f>
        <v>0.52862614160856325</v>
      </c>
      <c r="AA515" t="s">
        <v>18</v>
      </c>
      <c r="AB515" s="79">
        <v>45406</v>
      </c>
      <c r="AC515">
        <f>OrdersTable[[#This Row],[Delivery Date]]-OrdersTable[[#This Row],[Order Date]]</f>
        <v>4</v>
      </c>
      <c r="AD515" t="str">
        <f>IF(OrdersTable[[#This Row],[Delivery Days]]&lt;=2, "Express (≤2d)", IF(OrdersTable[[#This Row],[Delivery Days]]&lt;=4, "Standard (3-4d)", "Delayed (5d+)"))</f>
        <v>Standard (3-4d)</v>
      </c>
      <c r="AE515">
        <v>3</v>
      </c>
      <c r="AF515">
        <v>0</v>
      </c>
    </row>
    <row r="516" spans="1:32" ht="15" x14ac:dyDescent="0.35">
      <c r="A516" t="s">
        <v>2243</v>
      </c>
      <c r="B516" s="1">
        <v>45402</v>
      </c>
      <c r="C516">
        <f>YEAR(OrdersTable[[#This Row],[Order Date]])</f>
        <v>2024</v>
      </c>
      <c r="D516" s="2">
        <f>DATE(YEAR(OrdersTable[[#This Row],[Order Date]]),MONTH(OrdersTable[[#This Row],[Order Date]]),1)</f>
        <v>45383</v>
      </c>
      <c r="E516">
        <f>MONTH(OrdersTable[[#This Row],[Order Date]])</f>
        <v>4</v>
      </c>
      <c r="F516" t="s">
        <v>2244</v>
      </c>
      <c r="G516" t="str">
        <f>IF(OrdersTable[[#This Row],[Order Date]]=_xlfn.MINIFS(Order_Date, Customer_ID, OrdersTable[[#This Row],[Customer ID]]), "New", "Repeat")</f>
        <v>New</v>
      </c>
      <c r="H516" t="s">
        <v>482</v>
      </c>
      <c r="I516" t="str">
        <f>INDEX(State!B:B,MATCH(OrdersTable[[#This Row],[State]],State!A:A,0))</f>
        <v>CG</v>
      </c>
      <c r="J516" t="str">
        <f>INDEX(State!C:C,MATCH(OrdersTable[[#This Row],[State Code]],State!B:B,0))</f>
        <v>East</v>
      </c>
      <c r="K516" t="s">
        <v>483</v>
      </c>
      <c r="L516" t="s">
        <v>39</v>
      </c>
      <c r="M516" t="s">
        <v>24</v>
      </c>
      <c r="N516" t="str">
        <f>INDEX(Products!B:B,MATCH(OrdersTable[[#This Row],[Product ID]],Products!A:A,0))</f>
        <v>Scented Candle Set</v>
      </c>
      <c r="O516" t="str">
        <f>INDEX(Products!C:C,MATCH(OrdersTable[[#This Row],[Product ID]],Products!A:A,0))</f>
        <v>Home &amp; Kitchen</v>
      </c>
      <c r="P516">
        <v>1</v>
      </c>
      <c r="Q516" s="5">
        <v>699</v>
      </c>
      <c r="R516" s="74">
        <v>0.2</v>
      </c>
      <c r="S516" s="75">
        <f>OrdersTable[[#This Row],[Quantity]]*OrdersTable[[#This Row],[Unit Price]]</f>
        <v>699</v>
      </c>
      <c r="T516" s="5">
        <f>OrdersTable[[#This Row],[Gross Sale]]*OrdersTable[[#This Row],[Discount_Clean2]]</f>
        <v>139.80000000000001</v>
      </c>
      <c r="U516" s="5">
        <f>OrdersTable[[#This Row],[Gross Sale]]-OrdersTable[[#This Row],[Discount Amount]]</f>
        <v>559.20000000000005</v>
      </c>
      <c r="V516" s="77">
        <f>INDEX(Products!E:E,MATCH(OrdersTable[[#This Row],[Product ID]],Products!A:A,0))</f>
        <v>245</v>
      </c>
      <c r="W516" s="77">
        <f>OrdersTable[[#This Row],[Quantity]]*OrdersTable[[#This Row],[Unit Cost]]</f>
        <v>245</v>
      </c>
      <c r="X516" s="77">
        <f>'Dropdown Lists'!$I$2*(1+OrdersTable[[#This Row],[Returned]])</f>
        <v>60</v>
      </c>
      <c r="Y516" s="76">
        <f>OrdersTable[[#This Row],[Net Revenue]]-OrdersTable[[#This Row],[COGS]]-OrdersTable[[#This Row],[Shipping Cost]]</f>
        <v>254.20000000000005</v>
      </c>
      <c r="Z516" s="78">
        <f>IFERROR(OrdersTable[[#This Row],[Profit]]/OrdersTable[[#This Row],[Net Revenue]],0)</f>
        <v>0.45457796852646642</v>
      </c>
      <c r="AA516" t="s">
        <v>18</v>
      </c>
      <c r="AB516" s="79">
        <v>45408</v>
      </c>
      <c r="AC516">
        <f>OrdersTable[[#This Row],[Delivery Date]]-OrdersTable[[#This Row],[Order Date]]</f>
        <v>6</v>
      </c>
      <c r="AD516" t="str">
        <f>IF(OrdersTable[[#This Row],[Delivery Days]]&lt;=2, "Express (≤2d)", IF(OrdersTable[[#This Row],[Delivery Days]]&lt;=4, "Standard (3-4d)", "Delayed (5d+)"))</f>
        <v>Delayed (5d+)</v>
      </c>
      <c r="AE516">
        <v>5</v>
      </c>
      <c r="AF516">
        <v>0</v>
      </c>
    </row>
    <row r="517" spans="1:32" ht="15" x14ac:dyDescent="0.35">
      <c r="A517" t="s">
        <v>4221</v>
      </c>
      <c r="B517" s="1">
        <v>45402</v>
      </c>
      <c r="C517">
        <f>YEAR(OrdersTable[[#This Row],[Order Date]])</f>
        <v>2024</v>
      </c>
      <c r="D517" s="2">
        <f>DATE(YEAR(OrdersTable[[#This Row],[Order Date]]),MONTH(OrdersTable[[#This Row],[Order Date]]),1)</f>
        <v>45383</v>
      </c>
      <c r="E517">
        <f>MONTH(OrdersTable[[#This Row],[Order Date]])</f>
        <v>4</v>
      </c>
      <c r="F517" t="s">
        <v>508</v>
      </c>
      <c r="G517" t="str">
        <f>IF(OrdersTable[[#This Row],[Order Date]]=_xlfn.MINIFS(Order_Date, Customer_ID, OrdersTable[[#This Row],[Customer ID]]), "New", "Repeat")</f>
        <v>New</v>
      </c>
      <c r="H517" t="s">
        <v>482</v>
      </c>
      <c r="I517" t="str">
        <f>INDEX(State!B:B,MATCH(OrdersTable[[#This Row],[State]],State!A:A,0))</f>
        <v>CG</v>
      </c>
      <c r="J517" t="str">
        <f>INDEX(State!C:C,MATCH(OrdersTable[[#This Row],[State Code]],State!B:B,0))</f>
        <v>East</v>
      </c>
      <c r="K517" t="s">
        <v>483</v>
      </c>
      <c r="L517" t="s">
        <v>16</v>
      </c>
      <c r="M517" t="s">
        <v>576</v>
      </c>
      <c r="N517" t="str">
        <f>INDEX(Products!B:B,MATCH(OrdersTable[[#This Row],[Product ID]],Products!A:A,0))</f>
        <v>Printed Saree</v>
      </c>
      <c r="O517" t="str">
        <f>INDEX(Products!C:C,MATCH(OrdersTable[[#This Row],[Product ID]],Products!A:A,0))</f>
        <v>Apparel</v>
      </c>
      <c r="P517">
        <v>1</v>
      </c>
      <c r="Q517" s="5">
        <v>1999</v>
      </c>
      <c r="R517" s="74">
        <v>0.05</v>
      </c>
      <c r="S517" s="75">
        <f>OrdersTable[[#This Row],[Quantity]]*OrdersTable[[#This Row],[Unit Price]]</f>
        <v>1999</v>
      </c>
      <c r="T517" s="5">
        <f>OrdersTable[[#This Row],[Gross Sale]]*OrdersTable[[#This Row],[Discount_Clean2]]</f>
        <v>99.95</v>
      </c>
      <c r="U517" s="5">
        <f>OrdersTable[[#This Row],[Gross Sale]]-OrdersTable[[#This Row],[Discount Amount]]</f>
        <v>1899.05</v>
      </c>
      <c r="V517" s="77">
        <f>INDEX(Products!E:E,MATCH(OrdersTable[[#This Row],[Product ID]],Products!A:A,0))</f>
        <v>880</v>
      </c>
      <c r="W517" s="77">
        <f>OrdersTable[[#This Row],[Quantity]]*OrdersTable[[#This Row],[Unit Cost]]</f>
        <v>880</v>
      </c>
      <c r="X517" s="77">
        <f>'Dropdown Lists'!$I$2*(1+OrdersTable[[#This Row],[Returned]])</f>
        <v>60</v>
      </c>
      <c r="Y517" s="76">
        <f>OrdersTable[[#This Row],[Net Revenue]]-OrdersTable[[#This Row],[COGS]]-OrdersTable[[#This Row],[Shipping Cost]]</f>
        <v>959.05</v>
      </c>
      <c r="Z517" s="78">
        <f>IFERROR(OrdersTable[[#This Row],[Profit]]/OrdersTable[[#This Row],[Net Revenue]],0)</f>
        <v>0.50501566572760059</v>
      </c>
      <c r="AA517" t="s">
        <v>4074</v>
      </c>
      <c r="AB517" s="79">
        <v>45406</v>
      </c>
      <c r="AC517">
        <f>OrdersTable[[#This Row],[Delivery Date]]-OrdersTable[[#This Row],[Order Date]]</f>
        <v>4</v>
      </c>
      <c r="AD517" t="str">
        <f>IF(OrdersTable[[#This Row],[Delivery Days]]&lt;=2, "Express (≤2d)", IF(OrdersTable[[#This Row],[Delivery Days]]&lt;=4, "Standard (3-4d)", "Delayed (5d+)"))</f>
        <v>Standard (3-4d)</v>
      </c>
      <c r="AF517">
        <v>0</v>
      </c>
    </row>
    <row r="518" spans="1:32" ht="15" x14ac:dyDescent="0.35">
      <c r="A518" t="s">
        <v>3402</v>
      </c>
      <c r="B518" s="1">
        <v>45402</v>
      </c>
      <c r="C518">
        <f>YEAR(OrdersTable[[#This Row],[Order Date]])</f>
        <v>2024</v>
      </c>
      <c r="D518" s="2">
        <f>DATE(YEAR(OrdersTable[[#This Row],[Order Date]]),MONTH(OrdersTable[[#This Row],[Order Date]]),1)</f>
        <v>45383</v>
      </c>
      <c r="E518">
        <f>MONTH(OrdersTable[[#This Row],[Order Date]])</f>
        <v>4</v>
      </c>
      <c r="F518" t="s">
        <v>1273</v>
      </c>
      <c r="G518" t="str">
        <f>IF(OrdersTable[[#This Row],[Order Date]]=_xlfn.MINIFS(Order_Date, Customer_ID, OrdersTable[[#This Row],[Customer ID]]), "New", "Repeat")</f>
        <v>New</v>
      </c>
      <c r="H518" t="s">
        <v>71</v>
      </c>
      <c r="I518" t="str">
        <f>INDEX(State!B:B,MATCH(OrdersTable[[#This Row],[State]],State!A:A,0))</f>
        <v>MH</v>
      </c>
      <c r="J518" t="str">
        <f>INDEX(State!C:C,MATCH(OrdersTable[[#This Row],[State Code]],State!B:B,0))</f>
        <v>West</v>
      </c>
      <c r="K518" t="s">
        <v>72</v>
      </c>
      <c r="L518" t="s">
        <v>65</v>
      </c>
      <c r="M518" t="s">
        <v>160</v>
      </c>
      <c r="N518" t="str">
        <f>INDEX(Products!B:B,MATCH(OrdersTable[[#This Row],[Product ID]],Products!A:A,0))</f>
        <v>Niacinamide Toner</v>
      </c>
      <c r="O518" t="str">
        <f>INDEX(Products!C:C,MATCH(OrdersTable[[#This Row],[Product ID]],Products!A:A,0))</f>
        <v>Skincare</v>
      </c>
      <c r="P518">
        <v>1</v>
      </c>
      <c r="Q518" s="5">
        <v>399</v>
      </c>
      <c r="R518" s="74">
        <v>0.25</v>
      </c>
      <c r="S518" s="75">
        <f>OrdersTable[[#This Row],[Quantity]]*OrdersTable[[#This Row],[Unit Price]]</f>
        <v>399</v>
      </c>
      <c r="T518" s="5">
        <f>OrdersTable[[#This Row],[Gross Sale]]*OrdersTable[[#This Row],[Discount_Clean2]]</f>
        <v>99.75</v>
      </c>
      <c r="U518" s="5">
        <f>OrdersTable[[#This Row],[Gross Sale]]-OrdersTable[[#This Row],[Discount Amount]]</f>
        <v>299.25</v>
      </c>
      <c r="V518" s="77">
        <f>INDEX(Products!E:E,MATCH(OrdersTable[[#This Row],[Product ID]],Products!A:A,0))</f>
        <v>112</v>
      </c>
      <c r="W518" s="77">
        <f>OrdersTable[[#This Row],[Quantity]]*OrdersTable[[#This Row],[Unit Cost]]</f>
        <v>112</v>
      </c>
      <c r="X518" s="77">
        <f>'Dropdown Lists'!$I$2*(1+OrdersTable[[#This Row],[Returned]])</f>
        <v>60</v>
      </c>
      <c r="Y518" s="76">
        <f>OrdersTable[[#This Row],[Net Revenue]]-OrdersTable[[#This Row],[COGS]]-OrdersTable[[#This Row],[Shipping Cost]]</f>
        <v>127.25</v>
      </c>
      <c r="Z518" s="78">
        <f>IFERROR(OrdersTable[[#This Row],[Profit]]/OrdersTable[[#This Row],[Net Revenue]],0)</f>
        <v>0.42522974101921468</v>
      </c>
      <c r="AA518" t="s">
        <v>2522</v>
      </c>
      <c r="AB518" s="79">
        <v>45405</v>
      </c>
      <c r="AC518">
        <f>OrdersTable[[#This Row],[Delivery Date]]-OrdersTable[[#This Row],[Order Date]]</f>
        <v>3</v>
      </c>
      <c r="AD518" t="str">
        <f>IF(OrdersTable[[#This Row],[Delivery Days]]&lt;=2, "Express (≤2d)", IF(OrdersTable[[#This Row],[Delivery Days]]&lt;=4, "Standard (3-4d)", "Delayed (5d+)"))</f>
        <v>Standard (3-4d)</v>
      </c>
      <c r="AE518">
        <v>4</v>
      </c>
      <c r="AF518">
        <v>0</v>
      </c>
    </row>
    <row r="519" spans="1:32" ht="15" x14ac:dyDescent="0.35">
      <c r="A519" t="s">
        <v>5864</v>
      </c>
      <c r="B519" s="1">
        <v>45402</v>
      </c>
      <c r="C519">
        <f>YEAR(OrdersTable[[#This Row],[Order Date]])</f>
        <v>2024</v>
      </c>
      <c r="D519" s="2">
        <f>DATE(YEAR(OrdersTable[[#This Row],[Order Date]]),MONTH(OrdersTable[[#This Row],[Order Date]]),1)</f>
        <v>45383</v>
      </c>
      <c r="E519">
        <f>MONTH(OrdersTable[[#This Row],[Order Date]])</f>
        <v>4</v>
      </c>
      <c r="F519" t="s">
        <v>4151</v>
      </c>
      <c r="G519" t="str">
        <f>IF(OrdersTable[[#This Row],[Order Date]]=_xlfn.MINIFS(Order_Date, Customer_ID, OrdersTable[[#This Row],[Customer ID]]), "New", "Repeat")</f>
        <v>New</v>
      </c>
      <c r="H519" t="s">
        <v>90</v>
      </c>
      <c r="I519" t="str">
        <f>INDEX(State!B:B,MATCH(OrdersTable[[#This Row],[State]],State!A:A,0))</f>
        <v>GA</v>
      </c>
      <c r="J519" t="str">
        <f>INDEX(State!C:C,MATCH(OrdersTable[[#This Row],[State Code]],State!B:B,0))</f>
        <v>West</v>
      </c>
      <c r="K519" t="s">
        <v>91</v>
      </c>
      <c r="L519" t="s">
        <v>16</v>
      </c>
      <c r="M519" t="s">
        <v>29</v>
      </c>
      <c r="N519" t="str">
        <f>INDEX(Products!B:B,MATCH(OrdersTable[[#This Row],[Product ID]],Products!A:A,0))</f>
        <v>Joggers</v>
      </c>
      <c r="O519" t="str">
        <f>INDEX(Products!C:C,MATCH(OrdersTable[[#This Row],[Product ID]],Products!A:A,0))</f>
        <v>Apparel</v>
      </c>
      <c r="P519">
        <v>2</v>
      </c>
      <c r="Q519" s="5">
        <v>1199</v>
      </c>
      <c r="R519" s="74">
        <v>0.05</v>
      </c>
      <c r="S519" s="75">
        <f>OrdersTable[[#This Row],[Quantity]]*OrdersTable[[#This Row],[Unit Price]]</f>
        <v>2398</v>
      </c>
      <c r="T519" s="5">
        <f>OrdersTable[[#This Row],[Gross Sale]]*OrdersTable[[#This Row],[Discount_Clean2]]</f>
        <v>119.9</v>
      </c>
      <c r="U519" s="5">
        <f>OrdersTable[[#This Row],[Gross Sale]]-OrdersTable[[#This Row],[Discount Amount]]</f>
        <v>2278.1</v>
      </c>
      <c r="V519" s="77">
        <f>INDEX(Products!E:E,MATCH(OrdersTable[[#This Row],[Product ID]],Products!A:A,0))</f>
        <v>492</v>
      </c>
      <c r="W519" s="77">
        <f>OrdersTable[[#This Row],[Quantity]]*OrdersTable[[#This Row],[Unit Cost]]</f>
        <v>984</v>
      </c>
      <c r="X519" s="77">
        <f>'Dropdown Lists'!$I$2*(1+OrdersTable[[#This Row],[Returned]])</f>
        <v>60</v>
      </c>
      <c r="Y519" s="76">
        <f>OrdersTable[[#This Row],[Net Revenue]]-OrdersTable[[#This Row],[COGS]]-OrdersTable[[#This Row],[Shipping Cost]]</f>
        <v>1234.0999999999999</v>
      </c>
      <c r="Z519" s="78">
        <f>IFERROR(OrdersTable[[#This Row],[Profit]]/OrdersTable[[#This Row],[Net Revenue]],0)</f>
        <v>0.54172336596286375</v>
      </c>
      <c r="AA519" t="s">
        <v>18</v>
      </c>
      <c r="AB519" s="79">
        <v>45404</v>
      </c>
      <c r="AC519">
        <f>OrdersTable[[#This Row],[Delivery Date]]-OrdersTable[[#This Row],[Order Date]]</f>
        <v>2</v>
      </c>
      <c r="AD519" t="str">
        <f>IF(OrdersTable[[#This Row],[Delivery Days]]&lt;=2, "Express (≤2d)", IF(OrdersTable[[#This Row],[Delivery Days]]&lt;=4, "Standard (3-4d)", "Delayed (5d+)"))</f>
        <v>Express (≤2d)</v>
      </c>
      <c r="AF519">
        <v>0</v>
      </c>
    </row>
    <row r="520" spans="1:32" ht="15" x14ac:dyDescent="0.35">
      <c r="A520" t="s">
        <v>2552</v>
      </c>
      <c r="B520" s="1">
        <v>45402</v>
      </c>
      <c r="C520">
        <f>YEAR(OrdersTable[[#This Row],[Order Date]])</f>
        <v>2024</v>
      </c>
      <c r="D520" s="2">
        <f>DATE(YEAR(OrdersTable[[#This Row],[Order Date]]),MONTH(OrdersTable[[#This Row],[Order Date]]),1)</f>
        <v>45383</v>
      </c>
      <c r="E520">
        <f>MONTH(OrdersTable[[#This Row],[Order Date]])</f>
        <v>4</v>
      </c>
      <c r="F520" t="s">
        <v>710</v>
      </c>
      <c r="G520" t="str">
        <f>IF(OrdersTable[[#This Row],[Order Date]]=_xlfn.MINIFS(Order_Date, Customer_ID, OrdersTable[[#This Row],[Customer ID]]), "New", "Repeat")</f>
        <v>New</v>
      </c>
      <c r="H520" t="s">
        <v>167</v>
      </c>
      <c r="I520" t="str">
        <f>INDEX(State!B:B,MATCH(OrdersTable[[#This Row],[State]],State!A:A,0))</f>
        <v>KA</v>
      </c>
      <c r="J520" t="str">
        <f>INDEX(State!C:C,MATCH(OrdersTable[[#This Row],[State Code]],State!B:B,0))</f>
        <v>South</v>
      </c>
      <c r="K520" t="s">
        <v>168</v>
      </c>
      <c r="L520" t="s">
        <v>16</v>
      </c>
      <c r="M520" t="s">
        <v>29</v>
      </c>
      <c r="N520" t="str">
        <f>INDEX(Products!B:B,MATCH(OrdersTable[[#This Row],[Product ID]],Products!A:A,0))</f>
        <v>Joggers</v>
      </c>
      <c r="O520" t="str">
        <f>INDEX(Products!C:C,MATCH(OrdersTable[[#This Row],[Product ID]],Products!A:A,0))</f>
        <v>Apparel</v>
      </c>
      <c r="P520">
        <v>1</v>
      </c>
      <c r="Q520" s="5">
        <v>1199</v>
      </c>
      <c r="R520" s="74">
        <v>0.2</v>
      </c>
      <c r="S520" s="75">
        <f>OrdersTable[[#This Row],[Quantity]]*OrdersTable[[#This Row],[Unit Price]]</f>
        <v>1199</v>
      </c>
      <c r="T520" s="5">
        <f>OrdersTable[[#This Row],[Gross Sale]]*OrdersTable[[#This Row],[Discount_Clean2]]</f>
        <v>239.8</v>
      </c>
      <c r="U520" s="5">
        <f>OrdersTable[[#This Row],[Gross Sale]]-OrdersTable[[#This Row],[Discount Amount]]</f>
        <v>959.2</v>
      </c>
      <c r="V520" s="77">
        <f>INDEX(Products!E:E,MATCH(OrdersTable[[#This Row],[Product ID]],Products!A:A,0))</f>
        <v>492</v>
      </c>
      <c r="W520" s="77">
        <f>OrdersTable[[#This Row],[Quantity]]*OrdersTable[[#This Row],[Unit Cost]]</f>
        <v>492</v>
      </c>
      <c r="X520" s="77">
        <f>'Dropdown Lists'!$I$2*(1+OrdersTable[[#This Row],[Returned]])</f>
        <v>60</v>
      </c>
      <c r="Y520" s="76">
        <f>OrdersTable[[#This Row],[Net Revenue]]-OrdersTable[[#This Row],[COGS]]-OrdersTable[[#This Row],[Shipping Cost]]</f>
        <v>407.20000000000005</v>
      </c>
      <c r="Z520" s="78">
        <f>IFERROR(OrdersTable[[#This Row],[Profit]]/OrdersTable[[#This Row],[Net Revenue]],0)</f>
        <v>0.42452043369474562</v>
      </c>
      <c r="AA520" t="s">
        <v>2522</v>
      </c>
      <c r="AB520" s="79">
        <v>45403</v>
      </c>
      <c r="AC520">
        <f>OrdersTable[[#This Row],[Delivery Date]]-OrdersTable[[#This Row],[Order Date]]</f>
        <v>1</v>
      </c>
      <c r="AD520" t="str">
        <f>IF(OrdersTable[[#This Row],[Delivery Days]]&lt;=2, "Express (≤2d)", IF(OrdersTable[[#This Row],[Delivery Days]]&lt;=4, "Standard (3-4d)", "Delayed (5d+)"))</f>
        <v>Express (≤2d)</v>
      </c>
      <c r="AE520">
        <v>5</v>
      </c>
      <c r="AF520">
        <v>0</v>
      </c>
    </row>
    <row r="521" spans="1:32" ht="15" x14ac:dyDescent="0.35">
      <c r="A521" t="s">
        <v>2553</v>
      </c>
      <c r="B521" s="1">
        <v>45402</v>
      </c>
      <c r="C521">
        <f>YEAR(OrdersTable[[#This Row],[Order Date]])</f>
        <v>2024</v>
      </c>
      <c r="D521" s="2">
        <f>DATE(YEAR(OrdersTable[[#This Row],[Order Date]]),MONTH(OrdersTable[[#This Row],[Order Date]]),1)</f>
        <v>45383</v>
      </c>
      <c r="E521">
        <f>MONTH(OrdersTable[[#This Row],[Order Date]])</f>
        <v>4</v>
      </c>
      <c r="F521" t="s">
        <v>2554</v>
      </c>
      <c r="G521" t="str">
        <f>IF(OrdersTable[[#This Row],[Order Date]]=_xlfn.MINIFS(Order_Date, Customer_ID, OrdersTable[[#This Row],[Customer ID]]), "New", "Repeat")</f>
        <v>New</v>
      </c>
      <c r="H521" t="s">
        <v>316</v>
      </c>
      <c r="I521" t="str">
        <f>INDEX(State!B:B,MATCH(OrdersTable[[#This Row],[State]],State!A:A,0))</f>
        <v>KL</v>
      </c>
      <c r="J521" t="str">
        <f>INDEX(State!C:C,MATCH(OrdersTable[[#This Row],[State Code]],State!B:B,0))</f>
        <v>South</v>
      </c>
      <c r="K521" t="s">
        <v>338</v>
      </c>
      <c r="L521" t="s">
        <v>16</v>
      </c>
      <c r="M521" t="s">
        <v>92</v>
      </c>
      <c r="N521" t="str">
        <f>INDEX(Products!B:B,MATCH(OrdersTable[[#This Row],[Product ID]],Products!A:A,0))</f>
        <v>Kolhapuri Sandals</v>
      </c>
      <c r="O521" t="str">
        <f>INDEX(Products!C:C,MATCH(OrdersTable[[#This Row],[Product ID]],Products!A:A,0))</f>
        <v>Footwear</v>
      </c>
      <c r="P521">
        <v>1</v>
      </c>
      <c r="Q521" s="5">
        <v>999</v>
      </c>
      <c r="R521" s="74">
        <v>0.05</v>
      </c>
      <c r="S521" s="75">
        <f>OrdersTable[[#This Row],[Quantity]]*OrdersTable[[#This Row],[Unit Price]]</f>
        <v>999</v>
      </c>
      <c r="T521" s="5">
        <f>OrdersTable[[#This Row],[Gross Sale]]*OrdersTable[[#This Row],[Discount_Clean2]]</f>
        <v>49.95</v>
      </c>
      <c r="U521" s="5">
        <f>OrdersTable[[#This Row],[Gross Sale]]-OrdersTable[[#This Row],[Discount Amount]]</f>
        <v>949.05</v>
      </c>
      <c r="V521" s="77">
        <f>INDEX(Products!E:E,MATCH(OrdersTable[[#This Row],[Product ID]],Products!A:A,0))</f>
        <v>400</v>
      </c>
      <c r="W521" s="77">
        <f>OrdersTable[[#This Row],[Quantity]]*OrdersTable[[#This Row],[Unit Cost]]</f>
        <v>400</v>
      </c>
      <c r="X521" s="77">
        <f>'Dropdown Lists'!$I$2*(1+OrdersTable[[#This Row],[Returned]])</f>
        <v>60</v>
      </c>
      <c r="Y521" s="76">
        <f>OrdersTable[[#This Row],[Net Revenue]]-OrdersTable[[#This Row],[COGS]]-OrdersTable[[#This Row],[Shipping Cost]]</f>
        <v>489.04999999999995</v>
      </c>
      <c r="Z521" s="78">
        <f>IFERROR(OrdersTable[[#This Row],[Profit]]/OrdersTable[[#This Row],[Net Revenue]],0)</f>
        <v>0.5153047784626732</v>
      </c>
      <c r="AA521" t="s">
        <v>2522</v>
      </c>
      <c r="AB521" s="79">
        <v>45406</v>
      </c>
      <c r="AC521">
        <f>OrdersTable[[#This Row],[Delivery Date]]-OrdersTable[[#This Row],[Order Date]]</f>
        <v>4</v>
      </c>
      <c r="AD521" t="str">
        <f>IF(OrdersTable[[#This Row],[Delivery Days]]&lt;=2, "Express (≤2d)", IF(OrdersTable[[#This Row],[Delivery Days]]&lt;=4, "Standard (3-4d)", "Delayed (5d+)"))</f>
        <v>Standard (3-4d)</v>
      </c>
      <c r="AE521">
        <v>5</v>
      </c>
      <c r="AF521">
        <v>0</v>
      </c>
    </row>
    <row r="522" spans="1:32" ht="15" x14ac:dyDescent="0.35">
      <c r="A522" t="s">
        <v>3161</v>
      </c>
      <c r="B522" s="1">
        <v>45403</v>
      </c>
      <c r="C522">
        <f>YEAR(OrdersTable[[#This Row],[Order Date]])</f>
        <v>2024</v>
      </c>
      <c r="D522" s="2">
        <f>DATE(YEAR(OrdersTable[[#This Row],[Order Date]]),MONTH(OrdersTable[[#This Row],[Order Date]]),1)</f>
        <v>45383</v>
      </c>
      <c r="E522">
        <f>MONTH(OrdersTable[[#This Row],[Order Date]])</f>
        <v>4</v>
      </c>
      <c r="F522" t="s">
        <v>3162</v>
      </c>
      <c r="G522" t="str">
        <f>IF(OrdersTable[[#This Row],[Order Date]]=_xlfn.MINIFS(Order_Date, Customer_ID, OrdersTable[[#This Row],[Customer ID]]), "New", "Repeat")</f>
        <v>New</v>
      </c>
      <c r="H522" t="s">
        <v>48</v>
      </c>
      <c r="I522" t="str">
        <f>INDEX(State!B:B,MATCH(OrdersTable[[#This Row],[State]],State!A:A,0))</f>
        <v>HR</v>
      </c>
      <c r="J522" t="str">
        <f>INDEX(State!C:C,MATCH(OrdersTable[[#This Row],[State Code]],State!B:B,0))</f>
        <v>North</v>
      </c>
      <c r="K522" t="s">
        <v>151</v>
      </c>
      <c r="L522" t="s">
        <v>16</v>
      </c>
      <c r="M522" t="s">
        <v>29</v>
      </c>
      <c r="N522" t="str">
        <f>INDEX(Products!B:B,MATCH(OrdersTable[[#This Row],[Product ID]],Products!A:A,0))</f>
        <v>Joggers</v>
      </c>
      <c r="O522" t="str">
        <f>INDEX(Products!C:C,MATCH(OrdersTable[[#This Row],[Product ID]],Products!A:A,0))</f>
        <v>Apparel</v>
      </c>
      <c r="P522">
        <v>1</v>
      </c>
      <c r="Q522" s="5">
        <v>1199</v>
      </c>
      <c r="R522" s="74">
        <v>0.1</v>
      </c>
      <c r="S522" s="75">
        <f>OrdersTable[[#This Row],[Quantity]]*OrdersTable[[#This Row],[Unit Price]]</f>
        <v>1199</v>
      </c>
      <c r="T522" s="5">
        <f>OrdersTable[[#This Row],[Gross Sale]]*OrdersTable[[#This Row],[Discount_Clean2]]</f>
        <v>119.9</v>
      </c>
      <c r="U522" s="5">
        <f>OrdersTable[[#This Row],[Gross Sale]]-OrdersTable[[#This Row],[Discount Amount]]</f>
        <v>1079.0999999999999</v>
      </c>
      <c r="V522" s="77">
        <f>INDEX(Products!E:E,MATCH(OrdersTable[[#This Row],[Product ID]],Products!A:A,0))</f>
        <v>492</v>
      </c>
      <c r="W522" s="77">
        <f>OrdersTable[[#This Row],[Quantity]]*OrdersTable[[#This Row],[Unit Cost]]</f>
        <v>492</v>
      </c>
      <c r="X522" s="77">
        <f>'Dropdown Lists'!$I$2*(1+OrdersTable[[#This Row],[Returned]])</f>
        <v>60</v>
      </c>
      <c r="Y522" s="76">
        <f>OrdersTable[[#This Row],[Net Revenue]]-OrdersTable[[#This Row],[COGS]]-OrdersTable[[#This Row],[Shipping Cost]]</f>
        <v>527.09999999999991</v>
      </c>
      <c r="Z522" s="78">
        <f>IFERROR(OrdersTable[[#This Row],[Profit]]/OrdersTable[[#This Row],[Net Revenue]],0)</f>
        <v>0.48846260772866273</v>
      </c>
      <c r="AA522" t="s">
        <v>2522</v>
      </c>
      <c r="AB522" s="79">
        <v>45405</v>
      </c>
      <c r="AC522">
        <f>OrdersTable[[#This Row],[Delivery Date]]-OrdersTable[[#This Row],[Order Date]]</f>
        <v>2</v>
      </c>
      <c r="AD522" t="str">
        <f>IF(OrdersTable[[#This Row],[Delivery Days]]&lt;=2, "Express (≤2d)", IF(OrdersTable[[#This Row],[Delivery Days]]&lt;=4, "Standard (3-4d)", "Delayed (5d+)"))</f>
        <v>Express (≤2d)</v>
      </c>
      <c r="AE522">
        <v>4</v>
      </c>
      <c r="AF522">
        <v>0</v>
      </c>
    </row>
    <row r="523" spans="1:32" ht="15" x14ac:dyDescent="0.35">
      <c r="A523" t="s">
        <v>6481</v>
      </c>
      <c r="B523" s="1">
        <v>45403</v>
      </c>
      <c r="C523">
        <f>YEAR(OrdersTable[[#This Row],[Order Date]])</f>
        <v>2024</v>
      </c>
      <c r="D523" s="2">
        <f>DATE(YEAR(OrdersTable[[#This Row],[Order Date]]),MONTH(OrdersTable[[#This Row],[Order Date]]),1)</f>
        <v>45383</v>
      </c>
      <c r="E523">
        <f>MONTH(OrdersTable[[#This Row],[Order Date]])</f>
        <v>4</v>
      </c>
      <c r="F523" t="s">
        <v>3454</v>
      </c>
      <c r="G523" t="str">
        <f>IF(OrdersTable[[#This Row],[Order Date]]=_xlfn.MINIFS(Order_Date, Customer_ID, OrdersTable[[#This Row],[Customer ID]]), "New", "Repeat")</f>
        <v>New</v>
      </c>
      <c r="H523" t="s">
        <v>482</v>
      </c>
      <c r="I523" t="str">
        <f>INDEX(State!B:B,MATCH(OrdersTable[[#This Row],[State]],State!A:A,0))</f>
        <v>CG</v>
      </c>
      <c r="J523" t="str">
        <f>INDEX(State!C:C,MATCH(OrdersTable[[#This Row],[State Code]],State!B:B,0))</f>
        <v>East</v>
      </c>
      <c r="K523" t="s">
        <v>483</v>
      </c>
      <c r="L523" t="s">
        <v>16</v>
      </c>
      <c r="M523" t="s">
        <v>34</v>
      </c>
      <c r="N523" t="str">
        <f>INDEX(Products!B:B,MATCH(OrdersTable[[#This Row],[Product ID]],Products!A:A,0))</f>
        <v>Flip Flops</v>
      </c>
      <c r="O523" t="str">
        <f>INDEX(Products!C:C,MATCH(OrdersTable[[#This Row],[Product ID]],Products!A:A,0))</f>
        <v>Footwear</v>
      </c>
      <c r="P523">
        <v>3</v>
      </c>
      <c r="Q523" s="5">
        <v>399</v>
      </c>
      <c r="R523" s="74">
        <v>0.1</v>
      </c>
      <c r="S523" s="75">
        <f>OrdersTable[[#This Row],[Quantity]]*OrdersTable[[#This Row],[Unit Price]]</f>
        <v>1197</v>
      </c>
      <c r="T523" s="5">
        <f>OrdersTable[[#This Row],[Gross Sale]]*OrdersTable[[#This Row],[Discount_Clean2]]</f>
        <v>119.7</v>
      </c>
      <c r="U523" s="5">
        <f>OrdersTable[[#This Row],[Gross Sale]]-OrdersTable[[#This Row],[Discount Amount]]</f>
        <v>1077.3</v>
      </c>
      <c r="V523" s="77">
        <f>INDEX(Products!E:E,MATCH(OrdersTable[[#This Row],[Product ID]],Products!A:A,0))</f>
        <v>152</v>
      </c>
      <c r="W523" s="77">
        <f>OrdersTable[[#This Row],[Quantity]]*OrdersTable[[#This Row],[Unit Cost]]</f>
        <v>456</v>
      </c>
      <c r="X523" s="77">
        <f>'Dropdown Lists'!$I$2*(1+OrdersTable[[#This Row],[Returned]])</f>
        <v>60</v>
      </c>
      <c r="Y523" s="76">
        <f>OrdersTable[[#This Row],[Net Revenue]]-OrdersTable[[#This Row],[COGS]]-OrdersTable[[#This Row],[Shipping Cost]]</f>
        <v>561.29999999999995</v>
      </c>
      <c r="Z523" s="78">
        <f>IFERROR(OrdersTable[[#This Row],[Profit]]/OrdersTable[[#This Row],[Net Revenue]],0)</f>
        <v>0.52102478418267895</v>
      </c>
      <c r="AA523" t="s">
        <v>18</v>
      </c>
      <c r="AB523" s="79">
        <v>45407</v>
      </c>
      <c r="AC523">
        <f>OrdersTable[[#This Row],[Delivery Date]]-OrdersTable[[#This Row],[Order Date]]</f>
        <v>4</v>
      </c>
      <c r="AD523" t="str">
        <f>IF(OrdersTable[[#This Row],[Delivery Days]]&lt;=2, "Express (≤2d)", IF(OrdersTable[[#This Row],[Delivery Days]]&lt;=4, "Standard (3-4d)", "Delayed (5d+)"))</f>
        <v>Standard (3-4d)</v>
      </c>
      <c r="AE523">
        <v>4</v>
      </c>
      <c r="AF523">
        <v>0</v>
      </c>
    </row>
    <row r="524" spans="1:32" ht="15" x14ac:dyDescent="0.35">
      <c r="A524" t="s">
        <v>732</v>
      </c>
      <c r="B524" s="1">
        <v>45403</v>
      </c>
      <c r="C524">
        <f>YEAR(OrdersTable[[#This Row],[Order Date]])</f>
        <v>2024</v>
      </c>
      <c r="D524" s="2">
        <f>DATE(YEAR(OrdersTable[[#This Row],[Order Date]]),MONTH(OrdersTable[[#This Row],[Order Date]]),1)</f>
        <v>45383</v>
      </c>
      <c r="E524">
        <f>MONTH(OrdersTable[[#This Row],[Order Date]])</f>
        <v>4</v>
      </c>
      <c r="F524" t="s">
        <v>733</v>
      </c>
      <c r="G524" t="str">
        <f>IF(OrdersTable[[#This Row],[Order Date]]=_xlfn.MINIFS(Order_Date, Customer_ID, OrdersTable[[#This Row],[Customer ID]]), "New", "Repeat")</f>
        <v>New</v>
      </c>
      <c r="H524" t="s">
        <v>27</v>
      </c>
      <c r="I524" t="str">
        <f>INDEX(State!B:B,MATCH(OrdersTable[[#This Row],[State]],State!A:A,0))</f>
        <v>WB</v>
      </c>
      <c r="J524" t="str">
        <f>INDEX(State!C:C,MATCH(OrdersTable[[#This Row],[State Code]],State!B:B,0))</f>
        <v>East</v>
      </c>
      <c r="K524" t="s">
        <v>28</v>
      </c>
      <c r="L524" t="s">
        <v>39</v>
      </c>
      <c r="M524" t="s">
        <v>29</v>
      </c>
      <c r="N524" t="str">
        <f>INDEX(Products!B:B,MATCH(OrdersTable[[#This Row],[Product ID]],Products!A:A,0))</f>
        <v>Joggers</v>
      </c>
      <c r="O524" t="str">
        <f>INDEX(Products!C:C,MATCH(OrdersTable[[#This Row],[Product ID]],Products!A:A,0))</f>
        <v>Apparel</v>
      </c>
      <c r="P524">
        <v>1</v>
      </c>
      <c r="Q524" s="5">
        <v>1199</v>
      </c>
      <c r="R524" s="74">
        <v>0.05</v>
      </c>
      <c r="S524" s="75">
        <f>OrdersTable[[#This Row],[Quantity]]*OrdersTable[[#This Row],[Unit Price]]</f>
        <v>1199</v>
      </c>
      <c r="T524" s="5">
        <f>OrdersTable[[#This Row],[Gross Sale]]*OrdersTable[[#This Row],[Discount_Clean2]]</f>
        <v>59.95</v>
      </c>
      <c r="U524" s="5">
        <f>OrdersTable[[#This Row],[Gross Sale]]-OrdersTable[[#This Row],[Discount Amount]]</f>
        <v>1139.05</v>
      </c>
      <c r="V524" s="77">
        <f>INDEX(Products!E:E,MATCH(OrdersTable[[#This Row],[Product ID]],Products!A:A,0))</f>
        <v>492</v>
      </c>
      <c r="W524" s="77">
        <f>OrdersTable[[#This Row],[Quantity]]*OrdersTable[[#This Row],[Unit Cost]]</f>
        <v>492</v>
      </c>
      <c r="X524" s="77">
        <f>'Dropdown Lists'!$I$2*(1+OrdersTable[[#This Row],[Returned]])</f>
        <v>60</v>
      </c>
      <c r="Y524" s="76">
        <f>OrdersTable[[#This Row],[Net Revenue]]-OrdersTable[[#This Row],[COGS]]-OrdersTable[[#This Row],[Shipping Cost]]</f>
        <v>587.04999999999995</v>
      </c>
      <c r="Z524" s="78">
        <f>IFERROR(OrdersTable[[#This Row],[Profit]]/OrdersTable[[#This Row],[Net Revenue]],0)</f>
        <v>0.51538562837452262</v>
      </c>
      <c r="AA524" t="s">
        <v>18</v>
      </c>
      <c r="AB524" s="79">
        <v>45406</v>
      </c>
      <c r="AC524">
        <f>OrdersTable[[#This Row],[Delivery Date]]-OrdersTable[[#This Row],[Order Date]]</f>
        <v>3</v>
      </c>
      <c r="AD524" t="str">
        <f>IF(OrdersTable[[#This Row],[Delivery Days]]&lt;=2, "Express (≤2d)", IF(OrdersTable[[#This Row],[Delivery Days]]&lt;=4, "Standard (3-4d)", "Delayed (5d+)"))</f>
        <v>Standard (3-4d)</v>
      </c>
      <c r="AE524">
        <v>4</v>
      </c>
      <c r="AF524">
        <v>0</v>
      </c>
    </row>
    <row r="525" spans="1:32" ht="15" x14ac:dyDescent="0.35">
      <c r="A525" t="s">
        <v>2700</v>
      </c>
      <c r="B525" s="1">
        <v>45403</v>
      </c>
      <c r="C525">
        <f>YEAR(OrdersTable[[#This Row],[Order Date]])</f>
        <v>2024</v>
      </c>
      <c r="D525" s="2">
        <f>DATE(YEAR(OrdersTable[[#This Row],[Order Date]]),MONTH(OrdersTable[[#This Row],[Order Date]]),1)</f>
        <v>45383</v>
      </c>
      <c r="E525">
        <f>MONTH(OrdersTable[[#This Row],[Order Date]])</f>
        <v>4</v>
      </c>
      <c r="F525" t="s">
        <v>1108</v>
      </c>
      <c r="G525" t="str">
        <f>IF(OrdersTable[[#This Row],[Order Date]]=_xlfn.MINIFS(Order_Date, Customer_ID, OrdersTable[[#This Row],[Customer ID]]), "New", "Repeat")</f>
        <v>New</v>
      </c>
      <c r="H525" t="s">
        <v>167</v>
      </c>
      <c r="I525" t="str">
        <f>INDEX(State!B:B,MATCH(OrdersTable[[#This Row],[State]],State!A:A,0))</f>
        <v>KA</v>
      </c>
      <c r="J525" t="str">
        <f>INDEX(State!C:C,MATCH(OrdersTable[[#This Row],[State Code]],State!B:B,0))</f>
        <v>South</v>
      </c>
      <c r="K525" t="s">
        <v>168</v>
      </c>
      <c r="L525" t="s">
        <v>39</v>
      </c>
      <c r="M525" t="s">
        <v>34</v>
      </c>
      <c r="N525" t="str">
        <f>INDEX(Products!B:B,MATCH(OrdersTable[[#This Row],[Product ID]],Products!A:A,0))</f>
        <v>Flip Flops</v>
      </c>
      <c r="O525" t="str">
        <f>INDEX(Products!C:C,MATCH(OrdersTable[[#This Row],[Product ID]],Products!A:A,0))</f>
        <v>Footwear</v>
      </c>
      <c r="P525">
        <v>1</v>
      </c>
      <c r="Q525" s="5">
        <v>399</v>
      </c>
      <c r="R525" s="74">
        <v>0</v>
      </c>
      <c r="S525" s="75">
        <f>OrdersTable[[#This Row],[Quantity]]*OrdersTable[[#This Row],[Unit Price]]</f>
        <v>399</v>
      </c>
      <c r="T525" s="5">
        <f>OrdersTable[[#This Row],[Gross Sale]]*OrdersTable[[#This Row],[Discount_Clean2]]</f>
        <v>0</v>
      </c>
      <c r="U525" s="5">
        <f>OrdersTable[[#This Row],[Gross Sale]]-OrdersTable[[#This Row],[Discount Amount]]</f>
        <v>399</v>
      </c>
      <c r="V525" s="77">
        <f>INDEX(Products!E:E,MATCH(OrdersTable[[#This Row],[Product ID]],Products!A:A,0))</f>
        <v>152</v>
      </c>
      <c r="W525" s="77">
        <f>OrdersTable[[#This Row],[Quantity]]*OrdersTable[[#This Row],[Unit Cost]]</f>
        <v>152</v>
      </c>
      <c r="X525" s="77">
        <f>'Dropdown Lists'!$I$2*(1+OrdersTable[[#This Row],[Returned]])</f>
        <v>60</v>
      </c>
      <c r="Y525" s="76">
        <f>OrdersTable[[#This Row],[Net Revenue]]-OrdersTable[[#This Row],[COGS]]-OrdersTable[[#This Row],[Shipping Cost]]</f>
        <v>187</v>
      </c>
      <c r="Z525" s="78">
        <f>IFERROR(OrdersTable[[#This Row],[Profit]]/OrdersTable[[#This Row],[Net Revenue]],0)</f>
        <v>0.46867167919799496</v>
      </c>
      <c r="AA525" t="s">
        <v>2522</v>
      </c>
      <c r="AB525" s="79">
        <v>45405</v>
      </c>
      <c r="AC525">
        <f>OrdersTable[[#This Row],[Delivery Date]]-OrdersTable[[#This Row],[Order Date]]</f>
        <v>2</v>
      </c>
      <c r="AD525" t="str">
        <f>IF(OrdersTable[[#This Row],[Delivery Days]]&lt;=2, "Express (≤2d)", IF(OrdersTable[[#This Row],[Delivery Days]]&lt;=4, "Standard (3-4d)", "Delayed (5d+)"))</f>
        <v>Express (≤2d)</v>
      </c>
      <c r="AE525">
        <v>3</v>
      </c>
      <c r="AF525">
        <v>0</v>
      </c>
    </row>
    <row r="526" spans="1:32" ht="15" x14ac:dyDescent="0.35">
      <c r="A526" t="s">
        <v>2497</v>
      </c>
      <c r="B526" s="1">
        <v>45403</v>
      </c>
      <c r="C526">
        <f>YEAR(OrdersTable[[#This Row],[Order Date]])</f>
        <v>2024</v>
      </c>
      <c r="D526" s="2">
        <f>DATE(YEAR(OrdersTable[[#This Row],[Order Date]]),MONTH(OrdersTable[[#This Row],[Order Date]]),1)</f>
        <v>45383</v>
      </c>
      <c r="E526">
        <f>MONTH(OrdersTable[[#This Row],[Order Date]])</f>
        <v>4</v>
      </c>
      <c r="F526" t="s">
        <v>254</v>
      </c>
      <c r="G526" t="str">
        <f>IF(OrdersTable[[#This Row],[Order Date]]=_xlfn.MINIFS(Order_Date, Customer_ID, OrdersTable[[#This Row],[Customer ID]]), "New", "Repeat")</f>
        <v>New</v>
      </c>
      <c r="H526" t="s">
        <v>275</v>
      </c>
      <c r="I526" t="str">
        <f>INDEX(State!B:B,MATCH(OrdersTable[[#This Row],[State]],State!A:A,0))</f>
        <v>AP</v>
      </c>
      <c r="J526" t="str">
        <f>INDEX(State!C:C,MATCH(OrdersTable[[#This Row],[State Code]],State!B:B,0))</f>
        <v>South</v>
      </c>
      <c r="K526" t="s">
        <v>276</v>
      </c>
      <c r="L526" t="s">
        <v>39</v>
      </c>
      <c r="M526" t="s">
        <v>152</v>
      </c>
      <c r="N526" t="str">
        <f>INDEX(Products!B:B,MATCH(OrdersTable[[#This Row],[Product ID]],Products!A:A,0))</f>
        <v>Green Tea (100 bags)</v>
      </c>
      <c r="O526" t="str">
        <f>INDEX(Products!C:C,MATCH(OrdersTable[[#This Row],[Product ID]],Products!A:A,0))</f>
        <v>Wellness</v>
      </c>
      <c r="P526">
        <v>1</v>
      </c>
      <c r="Q526" s="5">
        <v>399</v>
      </c>
      <c r="R526" s="74">
        <v>0.3</v>
      </c>
      <c r="S526" s="75">
        <f>OrdersTable[[#This Row],[Quantity]]*OrdersTable[[#This Row],[Unit Price]]</f>
        <v>399</v>
      </c>
      <c r="T526" s="5">
        <f>OrdersTable[[#This Row],[Gross Sale]]*OrdersTable[[#This Row],[Discount_Clean2]]</f>
        <v>119.69999999999999</v>
      </c>
      <c r="U526" s="5">
        <f>OrdersTable[[#This Row],[Gross Sale]]-OrdersTable[[#This Row],[Discount Amount]]</f>
        <v>279.3</v>
      </c>
      <c r="V526" s="77">
        <f>INDEX(Products!E:E,MATCH(OrdersTable[[#This Row],[Product ID]],Products!A:A,0))</f>
        <v>128</v>
      </c>
      <c r="W526" s="77">
        <f>OrdersTable[[#This Row],[Quantity]]*OrdersTable[[#This Row],[Unit Cost]]</f>
        <v>128</v>
      </c>
      <c r="X526" s="77">
        <f>'Dropdown Lists'!$I$2*(1+OrdersTable[[#This Row],[Returned]])</f>
        <v>60</v>
      </c>
      <c r="Y526" s="76">
        <f>OrdersTable[[#This Row],[Net Revenue]]-OrdersTable[[#This Row],[COGS]]-OrdersTable[[#This Row],[Shipping Cost]]</f>
        <v>91.300000000000011</v>
      </c>
      <c r="Z526" s="78">
        <f>IFERROR(OrdersTable[[#This Row],[Profit]]/OrdersTable[[#This Row],[Net Revenue]],0)</f>
        <v>0.32688865019692093</v>
      </c>
      <c r="AA526" t="s">
        <v>18</v>
      </c>
      <c r="AB526" s="79">
        <v>45407</v>
      </c>
      <c r="AC526">
        <f>OrdersTable[[#This Row],[Delivery Date]]-OrdersTable[[#This Row],[Order Date]]</f>
        <v>4</v>
      </c>
      <c r="AD526" t="str">
        <f>IF(OrdersTable[[#This Row],[Delivery Days]]&lt;=2, "Express (≤2d)", IF(OrdersTable[[#This Row],[Delivery Days]]&lt;=4, "Standard (3-4d)", "Delayed (5d+)"))</f>
        <v>Standard (3-4d)</v>
      </c>
      <c r="AE526">
        <v>2</v>
      </c>
      <c r="AF526">
        <v>0</v>
      </c>
    </row>
    <row r="527" spans="1:32" ht="15" x14ac:dyDescent="0.35">
      <c r="A527" t="s">
        <v>734</v>
      </c>
      <c r="B527" s="1">
        <v>45404</v>
      </c>
      <c r="C527">
        <f>YEAR(OrdersTable[[#This Row],[Order Date]])</f>
        <v>2024</v>
      </c>
      <c r="D527" s="2">
        <f>DATE(YEAR(OrdersTable[[#This Row],[Order Date]]),MONTH(OrdersTable[[#This Row],[Order Date]]),1)</f>
        <v>45383</v>
      </c>
      <c r="E527">
        <f>MONTH(OrdersTable[[#This Row],[Order Date]])</f>
        <v>4</v>
      </c>
      <c r="F527" t="s">
        <v>735</v>
      </c>
      <c r="G527" t="str">
        <f>IF(OrdersTable[[#This Row],[Order Date]]=_xlfn.MINIFS(Order_Date, Customer_ID, OrdersTable[[#This Row],[Customer ID]]), "New", "Repeat")</f>
        <v>New</v>
      </c>
      <c r="H527" t="s">
        <v>54</v>
      </c>
      <c r="I527" t="str">
        <f>INDEX(State!B:B,MATCH(OrdersTable[[#This Row],[State]],State!A:A,0))</f>
        <v>RJ</v>
      </c>
      <c r="J527" t="str">
        <f>INDEX(State!C:C,MATCH(OrdersTable[[#This Row],[State Code]],State!B:B,0))</f>
        <v>North</v>
      </c>
      <c r="K527" t="s">
        <v>227</v>
      </c>
      <c r="L527" t="s">
        <v>50</v>
      </c>
      <c r="M527" t="s">
        <v>73</v>
      </c>
      <c r="N527" t="str">
        <f>INDEX(Products!B:B,MATCH(OrdersTable[[#This Row],[Product ID]],Products!A:A,0))</f>
        <v>Hydrating Face Wash</v>
      </c>
      <c r="O527" t="str">
        <f>INDEX(Products!C:C,MATCH(OrdersTable[[#This Row],[Product ID]],Products!A:A,0))</f>
        <v>Skincare</v>
      </c>
      <c r="P527">
        <v>1</v>
      </c>
      <c r="Q527" s="5">
        <v>299</v>
      </c>
      <c r="R527" s="74">
        <v>0</v>
      </c>
      <c r="S527" s="75">
        <f>OrdersTable[[#This Row],[Quantity]]*OrdersTable[[#This Row],[Unit Price]]</f>
        <v>299</v>
      </c>
      <c r="T527" s="5">
        <f>OrdersTable[[#This Row],[Gross Sale]]*OrdersTable[[#This Row],[Discount_Clean2]]</f>
        <v>0</v>
      </c>
      <c r="U527" s="5">
        <f>OrdersTable[[#This Row],[Gross Sale]]-OrdersTable[[#This Row],[Discount Amount]]</f>
        <v>299</v>
      </c>
      <c r="V527" s="77">
        <f>INDEX(Products!E:E,MATCH(OrdersTable[[#This Row],[Product ID]],Products!A:A,0))</f>
        <v>90</v>
      </c>
      <c r="W527" s="77">
        <f>OrdersTable[[#This Row],[Quantity]]*OrdersTable[[#This Row],[Unit Cost]]</f>
        <v>90</v>
      </c>
      <c r="X527" s="77">
        <f>'Dropdown Lists'!$I$2*(1+OrdersTable[[#This Row],[Returned]])</f>
        <v>60</v>
      </c>
      <c r="Y527" s="76">
        <f>OrdersTable[[#This Row],[Net Revenue]]-OrdersTable[[#This Row],[COGS]]-OrdersTable[[#This Row],[Shipping Cost]]</f>
        <v>149</v>
      </c>
      <c r="Z527" s="78">
        <f>IFERROR(OrdersTable[[#This Row],[Profit]]/OrdersTable[[#This Row],[Net Revenue]],0)</f>
        <v>0.49832775919732442</v>
      </c>
      <c r="AA527" t="s">
        <v>18</v>
      </c>
      <c r="AB527" s="79">
        <v>45407</v>
      </c>
      <c r="AC527">
        <f>OrdersTable[[#This Row],[Delivery Date]]-OrdersTable[[#This Row],[Order Date]]</f>
        <v>3</v>
      </c>
      <c r="AD527" t="str">
        <f>IF(OrdersTable[[#This Row],[Delivery Days]]&lt;=2, "Express (≤2d)", IF(OrdersTable[[#This Row],[Delivery Days]]&lt;=4, "Standard (3-4d)", "Delayed (5d+)"))</f>
        <v>Standard (3-4d)</v>
      </c>
      <c r="AE527">
        <v>4</v>
      </c>
      <c r="AF527">
        <v>0</v>
      </c>
    </row>
    <row r="528" spans="1:32" ht="15" x14ac:dyDescent="0.35">
      <c r="A528" t="s">
        <v>736</v>
      </c>
      <c r="B528" s="1">
        <v>45404</v>
      </c>
      <c r="C528">
        <f>YEAR(OrdersTable[[#This Row],[Order Date]])</f>
        <v>2024</v>
      </c>
      <c r="D528" s="2">
        <f>DATE(YEAR(OrdersTable[[#This Row],[Order Date]]),MONTH(OrdersTable[[#This Row],[Order Date]]),1)</f>
        <v>45383</v>
      </c>
      <c r="E528">
        <f>MONTH(OrdersTable[[#This Row],[Order Date]])</f>
        <v>4</v>
      </c>
      <c r="F528" t="s">
        <v>737</v>
      </c>
      <c r="G528" t="str">
        <f>IF(OrdersTable[[#This Row],[Order Date]]=_xlfn.MINIFS(Order_Date, Customer_ID, OrdersTable[[#This Row],[Customer ID]]), "New", "Repeat")</f>
        <v>New</v>
      </c>
      <c r="H528" t="s">
        <v>128</v>
      </c>
      <c r="I528" t="str">
        <f>INDEX(State!B:B,MATCH(OrdersTable[[#This Row],[State]],State!A:A,0))</f>
        <v>DL</v>
      </c>
      <c r="J528" t="str">
        <f>INDEX(State!C:C,MATCH(OrdersTable[[#This Row],[State Code]],State!B:B,0))</f>
        <v>North</v>
      </c>
      <c r="K528" t="s">
        <v>129</v>
      </c>
      <c r="L528" t="s">
        <v>50</v>
      </c>
      <c r="M528" t="s">
        <v>45</v>
      </c>
      <c r="N528" t="str">
        <f>INDEX(Products!B:B,MATCH(OrdersTable[[#This Row],[Product ID]],Products!A:A,0))</f>
        <v>Argan Shampoo</v>
      </c>
      <c r="O528" t="str">
        <f>INDEX(Products!C:C,MATCH(OrdersTable[[#This Row],[Product ID]],Products!A:A,0))</f>
        <v>Haircare</v>
      </c>
      <c r="P528">
        <v>1</v>
      </c>
      <c r="Q528" s="5">
        <v>449</v>
      </c>
      <c r="R528" s="74">
        <v>0</v>
      </c>
      <c r="S528" s="75">
        <f>OrdersTable[[#This Row],[Quantity]]*OrdersTable[[#This Row],[Unit Price]]</f>
        <v>449</v>
      </c>
      <c r="T528" s="5">
        <f>OrdersTable[[#This Row],[Gross Sale]]*OrdersTable[[#This Row],[Discount_Clean2]]</f>
        <v>0</v>
      </c>
      <c r="U528" s="5">
        <f>OrdersTable[[#This Row],[Gross Sale]]-OrdersTable[[#This Row],[Discount Amount]]</f>
        <v>449</v>
      </c>
      <c r="V528" s="77">
        <f>INDEX(Products!E:E,MATCH(OrdersTable[[#This Row],[Product ID]],Products!A:A,0))</f>
        <v>148</v>
      </c>
      <c r="W528" s="77">
        <f>OrdersTable[[#This Row],[Quantity]]*OrdersTable[[#This Row],[Unit Cost]]</f>
        <v>148</v>
      </c>
      <c r="X528" s="77">
        <f>'Dropdown Lists'!$I$2*(1+OrdersTable[[#This Row],[Returned]])</f>
        <v>60</v>
      </c>
      <c r="Y528" s="76">
        <f>OrdersTable[[#This Row],[Net Revenue]]-OrdersTable[[#This Row],[COGS]]-OrdersTable[[#This Row],[Shipping Cost]]</f>
        <v>241</v>
      </c>
      <c r="Z528" s="78">
        <f>IFERROR(OrdersTable[[#This Row],[Profit]]/OrdersTable[[#This Row],[Net Revenue]],0)</f>
        <v>0.53674832962138086</v>
      </c>
      <c r="AA528" t="s">
        <v>18</v>
      </c>
      <c r="AB528" s="79">
        <v>45407</v>
      </c>
      <c r="AC528">
        <f>OrdersTable[[#This Row],[Delivery Date]]-OrdersTable[[#This Row],[Order Date]]</f>
        <v>3</v>
      </c>
      <c r="AD528" t="str">
        <f>IF(OrdersTable[[#This Row],[Delivery Days]]&lt;=2, "Express (≤2d)", IF(OrdersTable[[#This Row],[Delivery Days]]&lt;=4, "Standard (3-4d)", "Delayed (5d+)"))</f>
        <v>Standard (3-4d)</v>
      </c>
      <c r="AE528">
        <v>4</v>
      </c>
      <c r="AF528">
        <v>0</v>
      </c>
    </row>
    <row r="529" spans="1:32" ht="15" x14ac:dyDescent="0.35">
      <c r="A529" t="s">
        <v>103</v>
      </c>
      <c r="B529" s="1">
        <v>45404</v>
      </c>
      <c r="C529">
        <f>YEAR(OrdersTable[[#This Row],[Order Date]])</f>
        <v>2024</v>
      </c>
      <c r="D529" s="2">
        <f>DATE(YEAR(OrdersTable[[#This Row],[Order Date]]),MONTH(OrdersTable[[#This Row],[Order Date]]),1)</f>
        <v>45383</v>
      </c>
      <c r="E529">
        <f>MONTH(OrdersTable[[#This Row],[Order Date]])</f>
        <v>4</v>
      </c>
      <c r="F529" t="s">
        <v>104</v>
      </c>
      <c r="G529" t="str">
        <f>IF(OrdersTable[[#This Row],[Order Date]]=_xlfn.MINIFS(Order_Date, Customer_ID, OrdersTable[[#This Row],[Customer ID]]), "New", "Repeat")</f>
        <v>New</v>
      </c>
      <c r="H529" t="s">
        <v>76</v>
      </c>
      <c r="I529" t="str">
        <f>INDEX(State!B:B,MATCH(OrdersTable[[#This Row],[State]],State!A:A,0))</f>
        <v>UP</v>
      </c>
      <c r="J529" t="str">
        <f>INDEX(State!C:C,MATCH(OrdersTable[[#This Row],[State Code]],State!B:B,0))</f>
        <v>North</v>
      </c>
      <c r="K529" t="s">
        <v>105</v>
      </c>
      <c r="L529" t="s">
        <v>23</v>
      </c>
      <c r="M529" t="s">
        <v>106</v>
      </c>
      <c r="N529" t="str">
        <f>INDEX(Products!B:B,MATCH(OrdersTable[[#This Row],[Product ID]],Products!A:A,0))</f>
        <v>Keratin Hair Mask</v>
      </c>
      <c r="O529" t="str">
        <f>INDEX(Products!C:C,MATCH(OrdersTable[[#This Row],[Product ID]],Products!A:A,0))</f>
        <v>Haircare</v>
      </c>
      <c r="P529">
        <v>1</v>
      </c>
      <c r="Q529" s="5">
        <v>549</v>
      </c>
      <c r="R529" s="74">
        <v>0.25</v>
      </c>
      <c r="S529" s="75">
        <f>OrdersTable[[#This Row],[Quantity]]*OrdersTable[[#This Row],[Unit Price]]</f>
        <v>549</v>
      </c>
      <c r="T529" s="5">
        <f>OrdersTable[[#This Row],[Gross Sale]]*OrdersTable[[#This Row],[Discount_Clean2]]</f>
        <v>137.25</v>
      </c>
      <c r="U529" s="5">
        <f>OrdersTable[[#This Row],[Gross Sale]]-OrdersTable[[#This Row],[Discount Amount]]</f>
        <v>411.75</v>
      </c>
      <c r="V529" s="77">
        <f>INDEX(Products!E:E,MATCH(OrdersTable[[#This Row],[Product ID]],Products!A:A,0))</f>
        <v>170</v>
      </c>
      <c r="W529" s="77">
        <f>OrdersTable[[#This Row],[Quantity]]*OrdersTable[[#This Row],[Unit Cost]]</f>
        <v>170</v>
      </c>
      <c r="X529" s="77">
        <f>'Dropdown Lists'!$I$2*(1+OrdersTable[[#This Row],[Returned]])</f>
        <v>60</v>
      </c>
      <c r="Y529" s="76">
        <f>OrdersTable[[#This Row],[Net Revenue]]-OrdersTable[[#This Row],[COGS]]-OrdersTable[[#This Row],[Shipping Cost]]</f>
        <v>181.75</v>
      </c>
      <c r="Z529" s="78">
        <f>IFERROR(OrdersTable[[#This Row],[Profit]]/OrdersTable[[#This Row],[Net Revenue]],0)</f>
        <v>0.44140862173649059</v>
      </c>
      <c r="AA529" t="s">
        <v>18</v>
      </c>
      <c r="AB529" s="79">
        <v>45407</v>
      </c>
      <c r="AC529">
        <f>OrdersTable[[#This Row],[Delivery Date]]-OrdersTable[[#This Row],[Order Date]]</f>
        <v>3</v>
      </c>
      <c r="AD529" t="str">
        <f>IF(OrdersTable[[#This Row],[Delivery Days]]&lt;=2, "Express (≤2d)", IF(OrdersTable[[#This Row],[Delivery Days]]&lt;=4, "Standard (3-4d)", "Delayed (5d+)"))</f>
        <v>Standard (3-4d)</v>
      </c>
      <c r="AE529">
        <v>4</v>
      </c>
      <c r="AF529">
        <v>0</v>
      </c>
    </row>
    <row r="530" spans="1:32" ht="15" x14ac:dyDescent="0.35">
      <c r="A530" t="s">
        <v>3522</v>
      </c>
      <c r="B530" s="1">
        <v>45404</v>
      </c>
      <c r="C530">
        <f>YEAR(OrdersTable[[#This Row],[Order Date]])</f>
        <v>2024</v>
      </c>
      <c r="D530" s="2">
        <f>DATE(YEAR(OrdersTable[[#This Row],[Order Date]]),MONTH(OrdersTable[[#This Row],[Order Date]]),1)</f>
        <v>45383</v>
      </c>
      <c r="E530">
        <f>MONTH(OrdersTable[[#This Row],[Order Date]])</f>
        <v>4</v>
      </c>
      <c r="F530" t="s">
        <v>1781</v>
      </c>
      <c r="G530" t="str">
        <f>IF(OrdersTable[[#This Row],[Order Date]]=_xlfn.MINIFS(Order_Date, Customer_ID, OrdersTable[[#This Row],[Customer ID]]), "New", "Repeat")</f>
        <v>New</v>
      </c>
      <c r="H530" t="s">
        <v>132</v>
      </c>
      <c r="I530" t="str">
        <f>INDEX(State!B:B,MATCH(OrdersTable[[#This Row],[State]],State!A:A,0))</f>
        <v>AS</v>
      </c>
      <c r="J530" t="str">
        <f>INDEX(State!C:C,MATCH(OrdersTable[[#This Row],[State Code]],State!B:B,0))</f>
        <v>East</v>
      </c>
      <c r="K530" t="s">
        <v>133</v>
      </c>
      <c r="L530" t="s">
        <v>16</v>
      </c>
      <c r="M530" t="s">
        <v>255</v>
      </c>
      <c r="N530" t="str">
        <f>INDEX(Products!B:B,MATCH(OrdersTable[[#This Row],[Product ID]],Products!A:A,0))</f>
        <v>Cotton Oversized T-Shirt</v>
      </c>
      <c r="O530" t="str">
        <f>INDEX(Products!C:C,MATCH(OrdersTable[[#This Row],[Product ID]],Products!A:A,0))</f>
        <v>Apparel</v>
      </c>
      <c r="P530">
        <v>1</v>
      </c>
      <c r="Q530" s="5">
        <v>799</v>
      </c>
      <c r="R530" s="74">
        <v>0.05</v>
      </c>
      <c r="S530" s="75">
        <f>OrdersTable[[#This Row],[Quantity]]*OrdersTable[[#This Row],[Unit Price]]</f>
        <v>799</v>
      </c>
      <c r="T530" s="5">
        <f>OrdersTable[[#This Row],[Gross Sale]]*OrdersTable[[#This Row],[Discount_Clean2]]</f>
        <v>39.950000000000003</v>
      </c>
      <c r="U530" s="5">
        <f>OrdersTable[[#This Row],[Gross Sale]]-OrdersTable[[#This Row],[Discount Amount]]</f>
        <v>759.05</v>
      </c>
      <c r="V530" s="77">
        <f>INDEX(Products!E:E,MATCH(OrdersTable[[#This Row],[Product ID]],Products!A:A,0))</f>
        <v>320</v>
      </c>
      <c r="W530" s="77">
        <f>OrdersTable[[#This Row],[Quantity]]*OrdersTable[[#This Row],[Unit Cost]]</f>
        <v>320</v>
      </c>
      <c r="X530" s="77">
        <f>'Dropdown Lists'!$I$2*(1+OrdersTable[[#This Row],[Returned]])</f>
        <v>60</v>
      </c>
      <c r="Y530" s="76">
        <f>OrdersTable[[#This Row],[Net Revenue]]-OrdersTable[[#This Row],[COGS]]-OrdersTable[[#This Row],[Shipping Cost]]</f>
        <v>379.04999999999995</v>
      </c>
      <c r="Z530" s="78">
        <f>IFERROR(OrdersTable[[#This Row],[Profit]]/OrdersTable[[#This Row],[Net Revenue]],0)</f>
        <v>0.49937421777221525</v>
      </c>
      <c r="AA530" t="s">
        <v>3495</v>
      </c>
      <c r="AB530" s="79">
        <v>45409</v>
      </c>
      <c r="AC530">
        <f>OrdersTable[[#This Row],[Delivery Date]]-OrdersTable[[#This Row],[Order Date]]</f>
        <v>5</v>
      </c>
      <c r="AD530" t="str">
        <f>IF(OrdersTable[[#This Row],[Delivery Days]]&lt;=2, "Express (≤2d)", IF(OrdersTable[[#This Row],[Delivery Days]]&lt;=4, "Standard (3-4d)", "Delayed (5d+)"))</f>
        <v>Delayed (5d+)</v>
      </c>
      <c r="AE530">
        <v>4</v>
      </c>
      <c r="AF530">
        <v>0</v>
      </c>
    </row>
    <row r="531" spans="1:32" ht="15" x14ac:dyDescent="0.35">
      <c r="A531" t="s">
        <v>107</v>
      </c>
      <c r="B531" s="1">
        <v>45404</v>
      </c>
      <c r="C531">
        <f>YEAR(OrdersTable[[#This Row],[Order Date]])</f>
        <v>2024</v>
      </c>
      <c r="D531" s="2">
        <f>DATE(YEAR(OrdersTable[[#This Row],[Order Date]]),MONTH(OrdersTable[[#This Row],[Order Date]]),1)</f>
        <v>45383</v>
      </c>
      <c r="E531">
        <f>MONTH(OrdersTable[[#This Row],[Order Date]])</f>
        <v>4</v>
      </c>
      <c r="F531" t="s">
        <v>108</v>
      </c>
      <c r="G531" t="str">
        <f>IF(OrdersTable[[#This Row],[Order Date]]=_xlfn.MINIFS(Order_Date, Customer_ID, OrdersTable[[#This Row],[Customer ID]]), "New", "Repeat")</f>
        <v>New</v>
      </c>
      <c r="H531" t="s">
        <v>71</v>
      </c>
      <c r="I531" t="str">
        <f>INDEX(State!B:B,MATCH(OrdersTable[[#This Row],[State]],State!A:A,0))</f>
        <v>MH</v>
      </c>
      <c r="J531" t="str">
        <f>INDEX(State!C:C,MATCH(OrdersTable[[#This Row],[State Code]],State!B:B,0))</f>
        <v>West</v>
      </c>
      <c r="K531" t="s">
        <v>81</v>
      </c>
      <c r="L531" t="s">
        <v>50</v>
      </c>
      <c r="M531" t="s">
        <v>109</v>
      </c>
      <c r="N531" t="str">
        <f>INDEX(Products!B:B,MATCH(OrdersTable[[#This Row],[Product ID]],Products!A:A,0))</f>
        <v>Onion Hair Oil</v>
      </c>
      <c r="O531" t="str">
        <f>INDEX(Products!C:C,MATCH(OrdersTable[[#This Row],[Product ID]],Products!A:A,0))</f>
        <v>Haircare</v>
      </c>
      <c r="P531">
        <v>1</v>
      </c>
      <c r="Q531" s="5">
        <v>349</v>
      </c>
      <c r="R531" s="74">
        <v>0.3</v>
      </c>
      <c r="S531" s="75">
        <f>OrdersTable[[#This Row],[Quantity]]*OrdersTable[[#This Row],[Unit Price]]</f>
        <v>349</v>
      </c>
      <c r="T531" s="5">
        <f>OrdersTable[[#This Row],[Gross Sale]]*OrdersTable[[#This Row],[Discount_Clean2]]</f>
        <v>104.7</v>
      </c>
      <c r="U531" s="5">
        <f>OrdersTable[[#This Row],[Gross Sale]]-OrdersTable[[#This Row],[Discount Amount]]</f>
        <v>244.3</v>
      </c>
      <c r="V531" s="77">
        <f>INDEX(Products!E:E,MATCH(OrdersTable[[#This Row],[Product ID]],Products!A:A,0))</f>
        <v>105</v>
      </c>
      <c r="W531" s="77">
        <f>OrdersTable[[#This Row],[Quantity]]*OrdersTable[[#This Row],[Unit Cost]]</f>
        <v>105</v>
      </c>
      <c r="X531" s="77">
        <f>'Dropdown Lists'!$I$2*(1+OrdersTable[[#This Row],[Returned]])</f>
        <v>60</v>
      </c>
      <c r="Y531" s="76">
        <f>OrdersTable[[#This Row],[Net Revenue]]-OrdersTable[[#This Row],[COGS]]-OrdersTable[[#This Row],[Shipping Cost]]</f>
        <v>79.300000000000011</v>
      </c>
      <c r="Z531" s="78">
        <f>IFERROR(OrdersTable[[#This Row],[Profit]]/OrdersTable[[#This Row],[Net Revenue]],0)</f>
        <v>0.32460090053213264</v>
      </c>
      <c r="AA531" t="s">
        <v>18</v>
      </c>
      <c r="AB531" s="79">
        <v>45406</v>
      </c>
      <c r="AC531">
        <f>OrdersTable[[#This Row],[Delivery Date]]-OrdersTable[[#This Row],[Order Date]]</f>
        <v>2</v>
      </c>
      <c r="AD531" t="str">
        <f>IF(OrdersTable[[#This Row],[Delivery Days]]&lt;=2, "Express (≤2d)", IF(OrdersTable[[#This Row],[Delivery Days]]&lt;=4, "Standard (3-4d)", "Delayed (5d+)"))</f>
        <v>Express (≤2d)</v>
      </c>
      <c r="AE531">
        <v>4</v>
      </c>
      <c r="AF531">
        <v>0</v>
      </c>
    </row>
    <row r="532" spans="1:32" ht="15" x14ac:dyDescent="0.35">
      <c r="A532" t="s">
        <v>4656</v>
      </c>
      <c r="B532" s="1">
        <v>45404</v>
      </c>
      <c r="C532">
        <f>YEAR(OrdersTable[[#This Row],[Order Date]])</f>
        <v>2024</v>
      </c>
      <c r="D532" s="2">
        <f>DATE(YEAR(OrdersTable[[#This Row],[Order Date]]),MONTH(OrdersTable[[#This Row],[Order Date]]),1)</f>
        <v>45383</v>
      </c>
      <c r="E532">
        <f>MONTH(OrdersTable[[#This Row],[Order Date]])</f>
        <v>4</v>
      </c>
      <c r="F532" t="s">
        <v>4657</v>
      </c>
      <c r="G532" t="str">
        <f>IF(OrdersTable[[#This Row],[Order Date]]=_xlfn.MINIFS(Order_Date, Customer_ID, OrdersTable[[#This Row],[Customer ID]]), "New", "Repeat")</f>
        <v>New</v>
      </c>
      <c r="H532" t="s">
        <v>71</v>
      </c>
      <c r="I532" t="str">
        <f>INDEX(State!B:B,MATCH(OrdersTable[[#This Row],[State]],State!A:A,0))</f>
        <v>MH</v>
      </c>
      <c r="J532" t="str">
        <f>INDEX(State!C:C,MATCH(OrdersTable[[#This Row],[State Code]],State!B:B,0))</f>
        <v>West</v>
      </c>
      <c r="K532" t="s">
        <v>72</v>
      </c>
      <c r="L532" t="s">
        <v>65</v>
      </c>
      <c r="M532" t="s">
        <v>92</v>
      </c>
      <c r="N532" t="str">
        <f>INDEX(Products!B:B,MATCH(OrdersTable[[#This Row],[Product ID]],Products!A:A,0))</f>
        <v>Kolhapuri Sandals</v>
      </c>
      <c r="O532" t="str">
        <f>INDEX(Products!C:C,MATCH(OrdersTable[[#This Row],[Product ID]],Products!A:A,0))</f>
        <v>Footwear</v>
      </c>
      <c r="P532">
        <v>1</v>
      </c>
      <c r="Q532" s="5">
        <v>999</v>
      </c>
      <c r="R532" s="74">
        <v>0.1</v>
      </c>
      <c r="S532" s="75">
        <f>OrdersTable[[#This Row],[Quantity]]*OrdersTable[[#This Row],[Unit Price]]</f>
        <v>999</v>
      </c>
      <c r="T532" s="5">
        <f>OrdersTable[[#This Row],[Gross Sale]]*OrdersTable[[#This Row],[Discount_Clean2]]</f>
        <v>99.9</v>
      </c>
      <c r="U532" s="5">
        <f>OrdersTable[[#This Row],[Gross Sale]]-OrdersTable[[#This Row],[Discount Amount]]</f>
        <v>899.1</v>
      </c>
      <c r="V532" s="77">
        <f>INDEX(Products!E:E,MATCH(OrdersTable[[#This Row],[Product ID]],Products!A:A,0))</f>
        <v>400</v>
      </c>
      <c r="W532" s="77">
        <f>OrdersTable[[#This Row],[Quantity]]*OrdersTable[[#This Row],[Unit Cost]]</f>
        <v>400</v>
      </c>
      <c r="X532" s="77">
        <f>'Dropdown Lists'!$I$2*(1+OrdersTable[[#This Row],[Returned]])</f>
        <v>60</v>
      </c>
      <c r="Y532" s="76">
        <f>OrdersTable[[#This Row],[Net Revenue]]-OrdersTable[[#This Row],[COGS]]-OrdersTable[[#This Row],[Shipping Cost]]</f>
        <v>439.1</v>
      </c>
      <c r="Z532" s="78">
        <f>IFERROR(OrdersTable[[#This Row],[Profit]]/OrdersTable[[#This Row],[Net Revenue]],0)</f>
        <v>0.48837726615504395</v>
      </c>
      <c r="AA532" t="s">
        <v>4450</v>
      </c>
      <c r="AB532" s="79">
        <v>45405</v>
      </c>
      <c r="AC532">
        <f>OrdersTable[[#This Row],[Delivery Date]]-OrdersTable[[#This Row],[Order Date]]</f>
        <v>1</v>
      </c>
      <c r="AD532" t="str">
        <f>IF(OrdersTable[[#This Row],[Delivery Days]]&lt;=2, "Express (≤2d)", IF(OrdersTable[[#This Row],[Delivery Days]]&lt;=4, "Standard (3-4d)", "Delayed (5d+)"))</f>
        <v>Express (≤2d)</v>
      </c>
      <c r="AE532">
        <v>5</v>
      </c>
      <c r="AF532">
        <v>0</v>
      </c>
    </row>
    <row r="533" spans="1:32" ht="15" x14ac:dyDescent="0.35">
      <c r="A533" t="s">
        <v>3403</v>
      </c>
      <c r="B533" s="1">
        <v>45404</v>
      </c>
      <c r="C533">
        <f>YEAR(OrdersTable[[#This Row],[Order Date]])</f>
        <v>2024</v>
      </c>
      <c r="D533" s="2">
        <f>DATE(YEAR(OrdersTable[[#This Row],[Order Date]]),MONTH(OrdersTable[[#This Row],[Order Date]]),1)</f>
        <v>45383</v>
      </c>
      <c r="E533">
        <f>MONTH(OrdersTable[[#This Row],[Order Date]])</f>
        <v>4</v>
      </c>
      <c r="F533" t="s">
        <v>3159</v>
      </c>
      <c r="G533" t="str">
        <f>IF(OrdersTable[[#This Row],[Order Date]]=_xlfn.MINIFS(Order_Date, Customer_ID, OrdersTable[[#This Row],[Customer ID]]), "New", "Repeat")</f>
        <v>Repeat</v>
      </c>
      <c r="H533" t="s">
        <v>71</v>
      </c>
      <c r="I533" t="str">
        <f>INDEX(State!B:B,MATCH(OrdersTable[[#This Row],[State]],State!A:A,0))</f>
        <v>MH</v>
      </c>
      <c r="J533" t="str">
        <f>INDEX(State!C:C,MATCH(OrdersTable[[#This Row],[State Code]],State!B:B,0))</f>
        <v>West</v>
      </c>
      <c r="K533" t="s">
        <v>102</v>
      </c>
      <c r="L533" t="s">
        <v>65</v>
      </c>
      <c r="M533" t="s">
        <v>106</v>
      </c>
      <c r="N533" t="str">
        <f>INDEX(Products!B:B,MATCH(OrdersTable[[#This Row],[Product ID]],Products!A:A,0))</f>
        <v>Keratin Hair Mask</v>
      </c>
      <c r="O533" t="str">
        <f>INDEX(Products!C:C,MATCH(OrdersTable[[#This Row],[Product ID]],Products!A:A,0))</f>
        <v>Haircare</v>
      </c>
      <c r="P533">
        <v>1</v>
      </c>
      <c r="Q533" s="5">
        <v>549</v>
      </c>
      <c r="R533" s="74">
        <v>0.2</v>
      </c>
      <c r="S533" s="75">
        <f>OrdersTable[[#This Row],[Quantity]]*OrdersTable[[#This Row],[Unit Price]]</f>
        <v>549</v>
      </c>
      <c r="T533" s="5">
        <f>OrdersTable[[#This Row],[Gross Sale]]*OrdersTable[[#This Row],[Discount_Clean2]]</f>
        <v>109.80000000000001</v>
      </c>
      <c r="U533" s="5">
        <f>OrdersTable[[#This Row],[Gross Sale]]-OrdersTable[[#This Row],[Discount Amount]]</f>
        <v>439.2</v>
      </c>
      <c r="V533" s="77">
        <f>INDEX(Products!E:E,MATCH(OrdersTable[[#This Row],[Product ID]],Products!A:A,0))</f>
        <v>170</v>
      </c>
      <c r="W533" s="77">
        <f>OrdersTable[[#This Row],[Quantity]]*OrdersTable[[#This Row],[Unit Cost]]</f>
        <v>170</v>
      </c>
      <c r="X533" s="77">
        <f>'Dropdown Lists'!$I$2*(1+OrdersTable[[#This Row],[Returned]])</f>
        <v>120</v>
      </c>
      <c r="Y533" s="76">
        <f>OrdersTable[[#This Row],[Net Revenue]]-OrdersTable[[#This Row],[COGS]]-OrdersTable[[#This Row],[Shipping Cost]]</f>
        <v>149.19999999999999</v>
      </c>
      <c r="Z533" s="78">
        <f>IFERROR(OrdersTable[[#This Row],[Profit]]/OrdersTable[[#This Row],[Net Revenue]],0)</f>
        <v>0.33970856102003644</v>
      </c>
      <c r="AA533" t="s">
        <v>2522</v>
      </c>
      <c r="AB533" s="79">
        <v>45407</v>
      </c>
      <c r="AC533">
        <f>OrdersTable[[#This Row],[Delivery Date]]-OrdersTable[[#This Row],[Order Date]]</f>
        <v>3</v>
      </c>
      <c r="AD533" t="str">
        <f>IF(OrdersTable[[#This Row],[Delivery Days]]&lt;=2, "Express (≤2d)", IF(OrdersTable[[#This Row],[Delivery Days]]&lt;=4, "Standard (3-4d)", "Delayed (5d+)"))</f>
        <v>Standard (3-4d)</v>
      </c>
      <c r="AE533">
        <v>4</v>
      </c>
      <c r="AF533">
        <v>1</v>
      </c>
    </row>
    <row r="534" spans="1:32" ht="15" x14ac:dyDescent="0.35">
      <c r="A534" t="s">
        <v>2701</v>
      </c>
      <c r="B534" s="1">
        <v>45404</v>
      </c>
      <c r="C534">
        <f>YEAR(OrdersTable[[#This Row],[Order Date]])</f>
        <v>2024</v>
      </c>
      <c r="D534" s="2">
        <f>DATE(YEAR(OrdersTable[[#This Row],[Order Date]]),MONTH(OrdersTable[[#This Row],[Order Date]]),1)</f>
        <v>45383</v>
      </c>
      <c r="E534">
        <f>MONTH(OrdersTable[[#This Row],[Order Date]])</f>
        <v>4</v>
      </c>
      <c r="F534" t="s">
        <v>2702</v>
      </c>
      <c r="G534" t="str">
        <f>IF(OrdersTable[[#This Row],[Order Date]]=_xlfn.MINIFS(Order_Date, Customer_ID, OrdersTable[[#This Row],[Customer ID]]), "New", "Repeat")</f>
        <v>New</v>
      </c>
      <c r="H534" t="s">
        <v>275</v>
      </c>
      <c r="I534" t="str">
        <f>INDEX(State!B:B,MATCH(OrdersTable[[#This Row],[State]],State!A:A,0))</f>
        <v>AP</v>
      </c>
      <c r="J534" t="str">
        <f>INDEX(State!C:C,MATCH(OrdersTable[[#This Row],[State Code]],State!B:B,0))</f>
        <v>South</v>
      </c>
      <c r="K534" t="s">
        <v>276</v>
      </c>
      <c r="L534" t="s">
        <v>23</v>
      </c>
      <c r="M534" t="s">
        <v>92</v>
      </c>
      <c r="N534" t="str">
        <f>INDEX(Products!B:B,MATCH(OrdersTable[[#This Row],[Product ID]],Products!A:A,0))</f>
        <v>Kolhapuri Sandals</v>
      </c>
      <c r="O534" t="str">
        <f>INDEX(Products!C:C,MATCH(OrdersTable[[#This Row],[Product ID]],Products!A:A,0))</f>
        <v>Footwear</v>
      </c>
      <c r="P534">
        <v>1</v>
      </c>
      <c r="Q534" s="5">
        <v>999</v>
      </c>
      <c r="R534" s="74">
        <v>0.15</v>
      </c>
      <c r="S534" s="75">
        <f>OrdersTable[[#This Row],[Quantity]]*OrdersTable[[#This Row],[Unit Price]]</f>
        <v>999</v>
      </c>
      <c r="T534" s="5">
        <f>OrdersTable[[#This Row],[Gross Sale]]*OrdersTable[[#This Row],[Discount_Clean2]]</f>
        <v>149.85</v>
      </c>
      <c r="U534" s="5">
        <f>OrdersTable[[#This Row],[Gross Sale]]-OrdersTable[[#This Row],[Discount Amount]]</f>
        <v>849.15</v>
      </c>
      <c r="V534" s="77">
        <f>INDEX(Products!E:E,MATCH(OrdersTable[[#This Row],[Product ID]],Products!A:A,0))</f>
        <v>400</v>
      </c>
      <c r="W534" s="77">
        <f>OrdersTable[[#This Row],[Quantity]]*OrdersTable[[#This Row],[Unit Cost]]</f>
        <v>400</v>
      </c>
      <c r="X534" s="77">
        <f>'Dropdown Lists'!$I$2*(1+OrdersTable[[#This Row],[Returned]])</f>
        <v>60</v>
      </c>
      <c r="Y534" s="76">
        <f>OrdersTable[[#This Row],[Net Revenue]]-OrdersTable[[#This Row],[COGS]]-OrdersTable[[#This Row],[Shipping Cost]]</f>
        <v>389.15</v>
      </c>
      <c r="Z534" s="78">
        <f>IFERROR(OrdersTable[[#This Row],[Profit]]/OrdersTable[[#This Row],[Net Revenue]],0)</f>
        <v>0.45828181122298767</v>
      </c>
      <c r="AA534" t="s">
        <v>2522</v>
      </c>
      <c r="AB534" s="79">
        <v>45408</v>
      </c>
      <c r="AC534">
        <f>OrdersTable[[#This Row],[Delivery Date]]-OrdersTable[[#This Row],[Order Date]]</f>
        <v>4</v>
      </c>
      <c r="AD534" t="str">
        <f>IF(OrdersTable[[#This Row],[Delivery Days]]&lt;=2, "Express (≤2d)", IF(OrdersTable[[#This Row],[Delivery Days]]&lt;=4, "Standard (3-4d)", "Delayed (5d+)"))</f>
        <v>Standard (3-4d)</v>
      </c>
      <c r="AE534">
        <v>3</v>
      </c>
      <c r="AF534">
        <v>0</v>
      </c>
    </row>
    <row r="535" spans="1:32" ht="15" x14ac:dyDescent="0.35">
      <c r="A535" t="s">
        <v>2245</v>
      </c>
      <c r="B535" s="1">
        <v>45405</v>
      </c>
      <c r="C535">
        <f>YEAR(OrdersTable[[#This Row],[Order Date]])</f>
        <v>2024</v>
      </c>
      <c r="D535" s="2">
        <f>DATE(YEAR(OrdersTable[[#This Row],[Order Date]]),MONTH(OrdersTable[[#This Row],[Order Date]]),1)</f>
        <v>45383</v>
      </c>
      <c r="E535">
        <f>MONTH(OrdersTable[[#This Row],[Order Date]])</f>
        <v>4</v>
      </c>
      <c r="F535" t="s">
        <v>2246</v>
      </c>
      <c r="G535" t="str">
        <f>IF(OrdersTable[[#This Row],[Order Date]]=_xlfn.MINIFS(Order_Date, Customer_ID, OrdersTable[[#This Row],[Customer ID]]), "New", "Repeat")</f>
        <v>New</v>
      </c>
      <c r="H535" t="s">
        <v>48</v>
      </c>
      <c r="I535" t="str">
        <f>INDEX(State!B:B,MATCH(OrdersTable[[#This Row],[State]],State!A:A,0))</f>
        <v>HR</v>
      </c>
      <c r="J535" t="str">
        <f>INDEX(State!C:C,MATCH(OrdersTable[[#This Row],[State Code]],State!B:B,0))</f>
        <v>North</v>
      </c>
      <c r="K535" t="s">
        <v>49</v>
      </c>
      <c r="L535" t="s">
        <v>16</v>
      </c>
      <c r="M535" t="s">
        <v>92</v>
      </c>
      <c r="N535" t="str">
        <f>INDEX(Products!B:B,MATCH(OrdersTable[[#This Row],[Product ID]],Products!A:A,0))</f>
        <v>Kolhapuri Sandals</v>
      </c>
      <c r="O535" t="str">
        <f>INDEX(Products!C:C,MATCH(OrdersTable[[#This Row],[Product ID]],Products!A:A,0))</f>
        <v>Footwear</v>
      </c>
      <c r="P535">
        <v>1</v>
      </c>
      <c r="Q535" s="5">
        <v>999</v>
      </c>
      <c r="R535" s="74">
        <v>0.05</v>
      </c>
      <c r="S535" s="75">
        <f>OrdersTable[[#This Row],[Quantity]]*OrdersTable[[#This Row],[Unit Price]]</f>
        <v>999</v>
      </c>
      <c r="T535" s="5">
        <f>OrdersTable[[#This Row],[Gross Sale]]*OrdersTable[[#This Row],[Discount_Clean2]]</f>
        <v>49.95</v>
      </c>
      <c r="U535" s="5">
        <f>OrdersTable[[#This Row],[Gross Sale]]-OrdersTable[[#This Row],[Discount Amount]]</f>
        <v>949.05</v>
      </c>
      <c r="V535" s="77">
        <f>INDEX(Products!E:E,MATCH(OrdersTable[[#This Row],[Product ID]],Products!A:A,0))</f>
        <v>400</v>
      </c>
      <c r="W535" s="77">
        <f>OrdersTable[[#This Row],[Quantity]]*OrdersTable[[#This Row],[Unit Cost]]</f>
        <v>400</v>
      </c>
      <c r="X535" s="77">
        <f>'Dropdown Lists'!$I$2*(1+OrdersTable[[#This Row],[Returned]])</f>
        <v>60</v>
      </c>
      <c r="Y535" s="76">
        <f>OrdersTable[[#This Row],[Net Revenue]]-OrdersTable[[#This Row],[COGS]]-OrdersTable[[#This Row],[Shipping Cost]]</f>
        <v>489.04999999999995</v>
      </c>
      <c r="Z535" s="78">
        <f>IFERROR(OrdersTable[[#This Row],[Profit]]/OrdersTable[[#This Row],[Net Revenue]],0)</f>
        <v>0.5153047784626732</v>
      </c>
      <c r="AA535" t="s">
        <v>18</v>
      </c>
      <c r="AB535" s="79">
        <v>45407</v>
      </c>
      <c r="AC535">
        <f>OrdersTable[[#This Row],[Delivery Date]]-OrdersTable[[#This Row],[Order Date]]</f>
        <v>2</v>
      </c>
      <c r="AD535" t="str">
        <f>IF(OrdersTable[[#This Row],[Delivery Days]]&lt;=2, "Express (≤2d)", IF(OrdersTable[[#This Row],[Delivery Days]]&lt;=4, "Standard (3-4d)", "Delayed (5d+)"))</f>
        <v>Express (≤2d)</v>
      </c>
      <c r="AE535">
        <v>5</v>
      </c>
      <c r="AF535">
        <v>0</v>
      </c>
    </row>
    <row r="536" spans="1:32" ht="15" x14ac:dyDescent="0.35">
      <c r="A536" t="s">
        <v>2703</v>
      </c>
      <c r="B536" s="1">
        <v>45405</v>
      </c>
      <c r="C536">
        <f>YEAR(OrdersTable[[#This Row],[Order Date]])</f>
        <v>2024</v>
      </c>
      <c r="D536" s="2">
        <f>DATE(YEAR(OrdersTable[[#This Row],[Order Date]]),MONTH(OrdersTable[[#This Row],[Order Date]]),1)</f>
        <v>45383</v>
      </c>
      <c r="E536">
        <f>MONTH(OrdersTable[[#This Row],[Order Date]])</f>
        <v>4</v>
      </c>
      <c r="F536" t="s">
        <v>2704</v>
      </c>
      <c r="G536" t="str">
        <f>IF(OrdersTable[[#This Row],[Order Date]]=_xlfn.MINIFS(Order_Date, Customer_ID, OrdersTable[[#This Row],[Customer ID]]), "New", "Repeat")</f>
        <v>New</v>
      </c>
      <c r="H536" t="s">
        <v>76</v>
      </c>
      <c r="I536" t="str">
        <f>INDEX(State!B:B,MATCH(OrdersTable[[#This Row],[State]],State!A:A,0))</f>
        <v>UP</v>
      </c>
      <c r="J536" t="str">
        <f>INDEX(State!C:C,MATCH(OrdersTable[[#This Row],[State Code]],State!B:B,0))</f>
        <v>North</v>
      </c>
      <c r="K536" t="s">
        <v>118</v>
      </c>
      <c r="L536" t="s">
        <v>16</v>
      </c>
      <c r="M536" t="s">
        <v>92</v>
      </c>
      <c r="N536" t="str">
        <f>INDEX(Products!B:B,MATCH(OrdersTable[[#This Row],[Product ID]],Products!A:A,0))</f>
        <v>Kolhapuri Sandals</v>
      </c>
      <c r="O536" t="str">
        <f>INDEX(Products!C:C,MATCH(OrdersTable[[#This Row],[Product ID]],Products!A:A,0))</f>
        <v>Footwear</v>
      </c>
      <c r="P536">
        <v>1</v>
      </c>
      <c r="Q536" s="5">
        <v>999</v>
      </c>
      <c r="R536" s="74">
        <v>0.15</v>
      </c>
      <c r="S536" s="75">
        <f>OrdersTable[[#This Row],[Quantity]]*OrdersTable[[#This Row],[Unit Price]]</f>
        <v>999</v>
      </c>
      <c r="T536" s="5">
        <f>OrdersTable[[#This Row],[Gross Sale]]*OrdersTable[[#This Row],[Discount_Clean2]]</f>
        <v>149.85</v>
      </c>
      <c r="U536" s="5">
        <f>OrdersTable[[#This Row],[Gross Sale]]-OrdersTable[[#This Row],[Discount Amount]]</f>
        <v>849.15</v>
      </c>
      <c r="V536" s="77">
        <f>INDEX(Products!E:E,MATCH(OrdersTable[[#This Row],[Product ID]],Products!A:A,0))</f>
        <v>400</v>
      </c>
      <c r="W536" s="77">
        <f>OrdersTable[[#This Row],[Quantity]]*OrdersTable[[#This Row],[Unit Cost]]</f>
        <v>400</v>
      </c>
      <c r="X536" s="77">
        <f>'Dropdown Lists'!$I$2*(1+OrdersTable[[#This Row],[Returned]])</f>
        <v>60</v>
      </c>
      <c r="Y536" s="76">
        <f>OrdersTable[[#This Row],[Net Revenue]]-OrdersTable[[#This Row],[COGS]]-OrdersTable[[#This Row],[Shipping Cost]]</f>
        <v>389.15</v>
      </c>
      <c r="Z536" s="78">
        <f>IFERROR(OrdersTable[[#This Row],[Profit]]/OrdersTable[[#This Row],[Net Revenue]],0)</f>
        <v>0.45828181122298767</v>
      </c>
      <c r="AA536" t="s">
        <v>2522</v>
      </c>
      <c r="AB536" s="79">
        <v>45410</v>
      </c>
      <c r="AC536">
        <f>OrdersTable[[#This Row],[Delivery Date]]-OrdersTable[[#This Row],[Order Date]]</f>
        <v>5</v>
      </c>
      <c r="AD536" t="str">
        <f>IF(OrdersTable[[#This Row],[Delivery Days]]&lt;=2, "Express (≤2d)", IF(OrdersTable[[#This Row],[Delivery Days]]&lt;=4, "Standard (3-4d)", "Delayed (5d+)"))</f>
        <v>Delayed (5d+)</v>
      </c>
      <c r="AE536">
        <v>3</v>
      </c>
      <c r="AF536">
        <v>0</v>
      </c>
    </row>
    <row r="537" spans="1:32" ht="15" x14ac:dyDescent="0.35">
      <c r="A537" t="s">
        <v>3712</v>
      </c>
      <c r="B537" s="1">
        <v>45405</v>
      </c>
      <c r="C537">
        <f>YEAR(OrdersTable[[#This Row],[Order Date]])</f>
        <v>2024</v>
      </c>
      <c r="D537" s="2">
        <f>DATE(YEAR(OrdersTable[[#This Row],[Order Date]]),MONTH(OrdersTable[[#This Row],[Order Date]]),1)</f>
        <v>45383</v>
      </c>
      <c r="E537">
        <f>MONTH(OrdersTable[[#This Row],[Order Date]])</f>
        <v>4</v>
      </c>
      <c r="F537" t="s">
        <v>3033</v>
      </c>
      <c r="G537" t="str">
        <f>IF(OrdersTable[[#This Row],[Order Date]]=_xlfn.MINIFS(Order_Date, Customer_ID, OrdersTable[[#This Row],[Customer ID]]), "New", "Repeat")</f>
        <v>New</v>
      </c>
      <c r="H537" t="s">
        <v>90</v>
      </c>
      <c r="I537" t="str">
        <f>INDEX(State!B:B,MATCH(OrdersTable[[#This Row],[State]],State!A:A,0))</f>
        <v>GA</v>
      </c>
      <c r="J537" t="str">
        <f>INDEX(State!C:C,MATCH(OrdersTable[[#This Row],[State Code]],State!B:B,0))</f>
        <v>West</v>
      </c>
      <c r="K537" t="s">
        <v>91</v>
      </c>
      <c r="L537" t="s">
        <v>65</v>
      </c>
      <c r="M537" t="s">
        <v>152</v>
      </c>
      <c r="N537" t="str">
        <f>INDEX(Products!B:B,MATCH(OrdersTable[[#This Row],[Product ID]],Products!A:A,0))</f>
        <v>Green Tea (100 bags)</v>
      </c>
      <c r="O537" t="str">
        <f>INDEX(Products!C:C,MATCH(OrdersTable[[#This Row],[Product ID]],Products!A:A,0))</f>
        <v>Wellness</v>
      </c>
      <c r="P537">
        <v>1</v>
      </c>
      <c r="Q537" s="5">
        <v>399</v>
      </c>
      <c r="R537" s="74">
        <v>0.45</v>
      </c>
      <c r="S537" s="75">
        <f>OrdersTable[[#This Row],[Quantity]]*OrdersTable[[#This Row],[Unit Price]]</f>
        <v>399</v>
      </c>
      <c r="T537" s="5">
        <f>OrdersTable[[#This Row],[Gross Sale]]*OrdersTable[[#This Row],[Discount_Clean2]]</f>
        <v>179.55</v>
      </c>
      <c r="U537" s="5">
        <f>OrdersTable[[#This Row],[Gross Sale]]-OrdersTable[[#This Row],[Discount Amount]]</f>
        <v>219.45</v>
      </c>
      <c r="V537" s="77">
        <f>INDEX(Products!E:E,MATCH(OrdersTable[[#This Row],[Product ID]],Products!A:A,0))</f>
        <v>128</v>
      </c>
      <c r="W537" s="77">
        <f>OrdersTable[[#This Row],[Quantity]]*OrdersTable[[#This Row],[Unit Cost]]</f>
        <v>128</v>
      </c>
      <c r="X537" s="77">
        <f>'Dropdown Lists'!$I$2*(1+OrdersTable[[#This Row],[Returned]])</f>
        <v>120</v>
      </c>
      <c r="Y537" s="76">
        <f>OrdersTable[[#This Row],[Net Revenue]]-OrdersTable[[#This Row],[COGS]]-OrdersTable[[#This Row],[Shipping Cost]]</f>
        <v>-28.550000000000011</v>
      </c>
      <c r="Z537" s="78">
        <f>IFERROR(OrdersTable[[#This Row],[Profit]]/OrdersTable[[#This Row],[Net Revenue]],0)</f>
        <v>-0.13009797220323541</v>
      </c>
      <c r="AA537" t="s">
        <v>3495</v>
      </c>
      <c r="AB537" s="79">
        <v>45408</v>
      </c>
      <c r="AC537">
        <f>OrdersTable[[#This Row],[Delivery Date]]-OrdersTable[[#This Row],[Order Date]]</f>
        <v>3</v>
      </c>
      <c r="AD537" t="str">
        <f>IF(OrdersTable[[#This Row],[Delivery Days]]&lt;=2, "Express (≤2d)", IF(OrdersTable[[#This Row],[Delivery Days]]&lt;=4, "Standard (3-4d)", "Delayed (5d+)"))</f>
        <v>Standard (3-4d)</v>
      </c>
      <c r="AF537">
        <v>1</v>
      </c>
    </row>
    <row r="538" spans="1:32" ht="15" x14ac:dyDescent="0.35">
      <c r="A538" t="s">
        <v>4906</v>
      </c>
      <c r="B538" s="1">
        <v>45405</v>
      </c>
      <c r="C538">
        <f>YEAR(OrdersTable[[#This Row],[Order Date]])</f>
        <v>2024</v>
      </c>
      <c r="D538" s="2">
        <f>DATE(YEAR(OrdersTable[[#This Row],[Order Date]]),MONTH(OrdersTable[[#This Row],[Order Date]]),1)</f>
        <v>45383</v>
      </c>
      <c r="E538">
        <f>MONTH(OrdersTable[[#This Row],[Order Date]])</f>
        <v>4</v>
      </c>
      <c r="F538" t="s">
        <v>2744</v>
      </c>
      <c r="G538" t="str">
        <f>IF(OrdersTable[[#This Row],[Order Date]]=_xlfn.MINIFS(Order_Date, Customer_ID, OrdersTable[[#This Row],[Customer ID]]), "New", "Repeat")</f>
        <v>New</v>
      </c>
      <c r="H538" t="s">
        <v>275</v>
      </c>
      <c r="I538" t="str">
        <f>INDEX(State!B:B,MATCH(OrdersTable[[#This Row],[State]],State!A:A,0))</f>
        <v>AP</v>
      </c>
      <c r="J538" t="str">
        <f>INDEX(State!C:C,MATCH(OrdersTable[[#This Row],[State Code]],State!B:B,0))</f>
        <v>South</v>
      </c>
      <c r="K538" t="s">
        <v>491</v>
      </c>
      <c r="L538" t="s">
        <v>23</v>
      </c>
      <c r="M538" t="s">
        <v>24</v>
      </c>
      <c r="N538" t="str">
        <f>INDEX(Products!B:B,MATCH(OrdersTable[[#This Row],[Product ID]],Products!A:A,0))</f>
        <v>Scented Candle Set</v>
      </c>
      <c r="O538" t="str">
        <f>INDEX(Products!C:C,MATCH(OrdersTable[[#This Row],[Product ID]],Products!A:A,0))</f>
        <v>Home &amp; Kitchen</v>
      </c>
      <c r="P538">
        <v>2</v>
      </c>
      <c r="Q538" s="5">
        <v>699</v>
      </c>
      <c r="R538" s="74">
        <v>0.2</v>
      </c>
      <c r="S538" s="75">
        <f>OrdersTable[[#This Row],[Quantity]]*OrdersTable[[#This Row],[Unit Price]]</f>
        <v>1398</v>
      </c>
      <c r="T538" s="5">
        <f>OrdersTable[[#This Row],[Gross Sale]]*OrdersTable[[#This Row],[Discount_Clean2]]</f>
        <v>279.60000000000002</v>
      </c>
      <c r="U538" s="5">
        <f>OrdersTable[[#This Row],[Gross Sale]]-OrdersTable[[#This Row],[Discount Amount]]</f>
        <v>1118.4000000000001</v>
      </c>
      <c r="V538" s="77">
        <f>INDEX(Products!E:E,MATCH(OrdersTable[[#This Row],[Product ID]],Products!A:A,0))</f>
        <v>245</v>
      </c>
      <c r="W538" s="77">
        <f>OrdersTable[[#This Row],[Quantity]]*OrdersTable[[#This Row],[Unit Cost]]</f>
        <v>490</v>
      </c>
      <c r="X538" s="77">
        <f>'Dropdown Lists'!$I$2*(1+OrdersTable[[#This Row],[Returned]])</f>
        <v>60</v>
      </c>
      <c r="Y538" s="76">
        <f>OrdersTable[[#This Row],[Net Revenue]]-OrdersTable[[#This Row],[COGS]]-OrdersTable[[#This Row],[Shipping Cost]]</f>
        <v>568.40000000000009</v>
      </c>
      <c r="Z538" s="78">
        <f>IFERROR(OrdersTable[[#This Row],[Profit]]/OrdersTable[[#This Row],[Net Revenue]],0)</f>
        <v>0.50822603719599435</v>
      </c>
      <c r="AA538" t="s">
        <v>4074</v>
      </c>
      <c r="AB538" s="79">
        <v>45408</v>
      </c>
      <c r="AC538">
        <f>OrdersTable[[#This Row],[Delivery Date]]-OrdersTable[[#This Row],[Order Date]]</f>
        <v>3</v>
      </c>
      <c r="AD538" t="str">
        <f>IF(OrdersTable[[#This Row],[Delivery Days]]&lt;=2, "Express (≤2d)", IF(OrdersTable[[#This Row],[Delivery Days]]&lt;=4, "Standard (3-4d)", "Delayed (5d+)"))</f>
        <v>Standard (3-4d)</v>
      </c>
      <c r="AE538">
        <v>4</v>
      </c>
      <c r="AF538">
        <v>0</v>
      </c>
    </row>
    <row r="539" spans="1:32" ht="15" x14ac:dyDescent="0.35">
      <c r="A539" t="s">
        <v>6269</v>
      </c>
      <c r="B539" s="1">
        <v>45405</v>
      </c>
      <c r="C539">
        <f>YEAR(OrdersTable[[#This Row],[Order Date]])</f>
        <v>2024</v>
      </c>
      <c r="D539" s="2">
        <f>DATE(YEAR(OrdersTable[[#This Row],[Order Date]]),MONTH(OrdersTable[[#This Row],[Order Date]]),1)</f>
        <v>45383</v>
      </c>
      <c r="E539">
        <f>MONTH(OrdersTable[[#This Row],[Order Date]])</f>
        <v>4</v>
      </c>
      <c r="F539" t="s">
        <v>4650</v>
      </c>
      <c r="G539" t="str">
        <f>IF(OrdersTable[[#This Row],[Order Date]]=_xlfn.MINIFS(Order_Date, Customer_ID, OrdersTable[[#This Row],[Customer ID]]), "New", "Repeat")</f>
        <v>Repeat</v>
      </c>
      <c r="H539" t="s">
        <v>59</v>
      </c>
      <c r="I539" t="str">
        <f>INDEX(State!B:B,MATCH(OrdersTable[[#This Row],[State]],State!A:A,0))</f>
        <v>TN</v>
      </c>
      <c r="J539" t="str">
        <f>INDEX(State!C:C,MATCH(OrdersTable[[#This Row],[State Code]],State!B:B,0))</f>
        <v>South</v>
      </c>
      <c r="K539" t="s">
        <v>60</v>
      </c>
      <c r="L539" t="s">
        <v>23</v>
      </c>
      <c r="M539" t="s">
        <v>152</v>
      </c>
      <c r="N539" t="str">
        <f>INDEX(Products!B:B,MATCH(OrdersTable[[#This Row],[Product ID]],Products!A:A,0))</f>
        <v>Green Tea (100 bags)</v>
      </c>
      <c r="O539" t="str">
        <f>INDEX(Products!C:C,MATCH(OrdersTable[[#This Row],[Product ID]],Products!A:A,0))</f>
        <v>Wellness</v>
      </c>
      <c r="P539">
        <v>2</v>
      </c>
      <c r="Q539" s="5">
        <v>399</v>
      </c>
      <c r="R539" s="74">
        <v>0.4</v>
      </c>
      <c r="S539" s="75">
        <f>OrdersTable[[#This Row],[Quantity]]*OrdersTable[[#This Row],[Unit Price]]</f>
        <v>798</v>
      </c>
      <c r="T539" s="5">
        <f>OrdersTable[[#This Row],[Gross Sale]]*OrdersTable[[#This Row],[Discount_Clean2]]</f>
        <v>319.20000000000005</v>
      </c>
      <c r="U539" s="5">
        <f>OrdersTable[[#This Row],[Gross Sale]]-OrdersTable[[#This Row],[Discount Amount]]</f>
        <v>478.79999999999995</v>
      </c>
      <c r="V539" s="77">
        <f>INDEX(Products!E:E,MATCH(OrdersTable[[#This Row],[Product ID]],Products!A:A,0))</f>
        <v>128</v>
      </c>
      <c r="W539" s="77">
        <f>OrdersTable[[#This Row],[Quantity]]*OrdersTable[[#This Row],[Unit Cost]]</f>
        <v>256</v>
      </c>
      <c r="X539" s="77">
        <f>'Dropdown Lists'!$I$2*(1+OrdersTable[[#This Row],[Returned]])</f>
        <v>60</v>
      </c>
      <c r="Y539" s="76">
        <f>OrdersTable[[#This Row],[Net Revenue]]-OrdersTable[[#This Row],[COGS]]-OrdersTable[[#This Row],[Shipping Cost]]</f>
        <v>162.79999999999995</v>
      </c>
      <c r="Z539" s="78">
        <f>IFERROR(OrdersTable[[#This Row],[Profit]]/OrdersTable[[#This Row],[Net Revenue]],0)</f>
        <v>0.34001670843776099</v>
      </c>
      <c r="AA539" t="s">
        <v>18</v>
      </c>
      <c r="AB539" s="79">
        <v>45409</v>
      </c>
      <c r="AC539">
        <f>OrdersTable[[#This Row],[Delivery Date]]-OrdersTable[[#This Row],[Order Date]]</f>
        <v>4</v>
      </c>
      <c r="AD539" t="str">
        <f>IF(OrdersTable[[#This Row],[Delivery Days]]&lt;=2, "Express (≤2d)", IF(OrdersTable[[#This Row],[Delivery Days]]&lt;=4, "Standard (3-4d)", "Delayed (5d+)"))</f>
        <v>Standard (3-4d)</v>
      </c>
      <c r="AE539">
        <v>3</v>
      </c>
      <c r="AF539">
        <v>0</v>
      </c>
    </row>
    <row r="540" spans="1:32" ht="15" x14ac:dyDescent="0.35">
      <c r="A540" t="s">
        <v>4758</v>
      </c>
      <c r="B540" s="1">
        <v>45405</v>
      </c>
      <c r="C540">
        <f>YEAR(OrdersTable[[#This Row],[Order Date]])</f>
        <v>2024</v>
      </c>
      <c r="D540" s="2">
        <f>DATE(YEAR(OrdersTable[[#This Row],[Order Date]]),MONTH(OrdersTable[[#This Row],[Order Date]]),1)</f>
        <v>45383</v>
      </c>
      <c r="E540">
        <f>MONTH(OrdersTable[[#This Row],[Order Date]])</f>
        <v>4</v>
      </c>
      <c r="F540" t="s">
        <v>4759</v>
      </c>
      <c r="G540" t="str">
        <f>IF(OrdersTable[[#This Row],[Order Date]]=_xlfn.MINIFS(Order_Date, Customer_ID, OrdersTable[[#This Row],[Customer ID]]), "New", "Repeat")</f>
        <v>New</v>
      </c>
      <c r="H540" t="s">
        <v>59</v>
      </c>
      <c r="I540" t="str">
        <f>INDEX(State!B:B,MATCH(OrdersTable[[#This Row],[State]],State!A:A,0))</f>
        <v>TN</v>
      </c>
      <c r="J540" t="str">
        <f>INDEX(State!C:C,MATCH(OrdersTable[[#This Row],[State Code]],State!B:B,0))</f>
        <v>South</v>
      </c>
      <c r="K540" t="s">
        <v>60</v>
      </c>
      <c r="L540" t="s">
        <v>65</v>
      </c>
      <c r="M540" t="s">
        <v>51</v>
      </c>
      <c r="N540" t="str">
        <f>INDEX(Products!B:B,MATCH(OrdersTable[[#This Row],[Product ID]],Products!A:A,0))</f>
        <v>Anti-Dandruff Conditioner</v>
      </c>
      <c r="O540" t="str">
        <f>INDEX(Products!C:C,MATCH(OrdersTable[[#This Row],[Product ID]],Products!A:A,0))</f>
        <v>Haircare</v>
      </c>
      <c r="P540">
        <v>2</v>
      </c>
      <c r="Q540" s="5">
        <v>399</v>
      </c>
      <c r="R540" s="74">
        <v>0.3</v>
      </c>
      <c r="S540" s="75">
        <f>OrdersTable[[#This Row],[Quantity]]*OrdersTable[[#This Row],[Unit Price]]</f>
        <v>798</v>
      </c>
      <c r="T540" s="5">
        <f>OrdersTable[[#This Row],[Gross Sale]]*OrdersTable[[#This Row],[Discount_Clean2]]</f>
        <v>239.39999999999998</v>
      </c>
      <c r="U540" s="5">
        <f>OrdersTable[[#This Row],[Gross Sale]]-OrdersTable[[#This Row],[Discount Amount]]</f>
        <v>558.6</v>
      </c>
      <c r="V540" s="77">
        <f>INDEX(Products!E:E,MATCH(OrdersTable[[#This Row],[Product ID]],Products!A:A,0))</f>
        <v>136</v>
      </c>
      <c r="W540" s="77">
        <f>OrdersTable[[#This Row],[Quantity]]*OrdersTable[[#This Row],[Unit Cost]]</f>
        <v>272</v>
      </c>
      <c r="X540" s="77">
        <f>'Dropdown Lists'!$I$2*(1+OrdersTable[[#This Row],[Returned]])</f>
        <v>60</v>
      </c>
      <c r="Y540" s="76">
        <f>OrdersTable[[#This Row],[Net Revenue]]-OrdersTable[[#This Row],[COGS]]-OrdersTable[[#This Row],[Shipping Cost]]</f>
        <v>226.60000000000002</v>
      </c>
      <c r="Z540" s="78">
        <f>IFERROR(OrdersTable[[#This Row],[Profit]]/OrdersTable[[#This Row],[Net Revenue]],0)</f>
        <v>0.40565699964196206</v>
      </c>
      <c r="AA540" t="s">
        <v>4450</v>
      </c>
      <c r="AB540" s="79">
        <v>45408</v>
      </c>
      <c r="AC540">
        <f>OrdersTable[[#This Row],[Delivery Date]]-OrdersTable[[#This Row],[Order Date]]</f>
        <v>3</v>
      </c>
      <c r="AD540" t="str">
        <f>IF(OrdersTable[[#This Row],[Delivery Days]]&lt;=2, "Express (≤2d)", IF(OrdersTable[[#This Row],[Delivery Days]]&lt;=4, "Standard (3-4d)", "Delayed (5d+)"))</f>
        <v>Standard (3-4d)</v>
      </c>
      <c r="AE540">
        <v>4</v>
      </c>
      <c r="AF540">
        <v>0</v>
      </c>
    </row>
    <row r="541" spans="1:32" ht="15" x14ac:dyDescent="0.35">
      <c r="A541" t="s">
        <v>5756</v>
      </c>
      <c r="B541" s="1">
        <v>45406</v>
      </c>
      <c r="C541">
        <f>YEAR(OrdersTable[[#This Row],[Order Date]])</f>
        <v>2024</v>
      </c>
      <c r="D541" s="2">
        <f>DATE(YEAR(OrdersTable[[#This Row],[Order Date]]),MONTH(OrdersTable[[#This Row],[Order Date]]),1)</f>
        <v>45383</v>
      </c>
      <c r="E541">
        <f>MONTH(OrdersTable[[#This Row],[Order Date]])</f>
        <v>4</v>
      </c>
      <c r="F541" t="s">
        <v>399</v>
      </c>
      <c r="G541" t="str">
        <f>IF(OrdersTable[[#This Row],[Order Date]]=_xlfn.MINIFS(Order_Date, Customer_ID, OrdersTable[[#This Row],[Customer ID]]), "New", "Repeat")</f>
        <v>New</v>
      </c>
      <c r="H541" t="s">
        <v>54</v>
      </c>
      <c r="I541" t="str">
        <f>INDEX(State!B:B,MATCH(OrdersTable[[#This Row],[State]],State!A:A,0))</f>
        <v>RJ</v>
      </c>
      <c r="J541" t="str">
        <f>INDEX(State!C:C,MATCH(OrdersTable[[#This Row],[State Code]],State!B:B,0))</f>
        <v>North</v>
      </c>
      <c r="K541" t="s">
        <v>227</v>
      </c>
      <c r="L541" t="s">
        <v>50</v>
      </c>
      <c r="M541" t="s">
        <v>61</v>
      </c>
      <c r="N541" t="str">
        <f>INDEX(Products!B:B,MATCH(OrdersTable[[#This Row],[Product ID]],Products!A:A,0))</f>
        <v>Multivitamin Gummies</v>
      </c>
      <c r="O541" t="str">
        <f>INDEX(Products!C:C,MATCH(OrdersTable[[#This Row],[Product ID]],Products!A:A,0))</f>
        <v>Wellness</v>
      </c>
      <c r="P541">
        <v>2</v>
      </c>
      <c r="Q541" s="5">
        <v>699</v>
      </c>
      <c r="R541" s="74">
        <v>0.25</v>
      </c>
      <c r="S541" s="75">
        <f>OrdersTable[[#This Row],[Quantity]]*OrdersTable[[#This Row],[Unit Price]]</f>
        <v>1398</v>
      </c>
      <c r="T541" s="5">
        <f>OrdersTable[[#This Row],[Gross Sale]]*OrdersTable[[#This Row],[Discount_Clean2]]</f>
        <v>349.5</v>
      </c>
      <c r="U541" s="5">
        <f>OrdersTable[[#This Row],[Gross Sale]]-OrdersTable[[#This Row],[Discount Amount]]</f>
        <v>1048.5</v>
      </c>
      <c r="V541" s="77">
        <f>INDEX(Products!E:E,MATCH(OrdersTable[[#This Row],[Product ID]],Products!A:A,0))</f>
        <v>238</v>
      </c>
      <c r="W541" s="77">
        <f>OrdersTable[[#This Row],[Quantity]]*OrdersTable[[#This Row],[Unit Cost]]</f>
        <v>476</v>
      </c>
      <c r="X541" s="77">
        <f>'Dropdown Lists'!$I$2*(1+OrdersTable[[#This Row],[Returned]])</f>
        <v>60</v>
      </c>
      <c r="Y541" s="76">
        <f>OrdersTable[[#This Row],[Net Revenue]]-OrdersTable[[#This Row],[COGS]]-OrdersTable[[#This Row],[Shipping Cost]]</f>
        <v>512.5</v>
      </c>
      <c r="Z541" s="78">
        <f>IFERROR(OrdersTable[[#This Row],[Profit]]/OrdersTable[[#This Row],[Net Revenue]],0)</f>
        <v>0.48879351454458753</v>
      </c>
      <c r="AA541" t="s">
        <v>18</v>
      </c>
      <c r="AB541" s="79">
        <v>45409</v>
      </c>
      <c r="AC541">
        <f>OrdersTable[[#This Row],[Delivery Date]]-OrdersTable[[#This Row],[Order Date]]</f>
        <v>3</v>
      </c>
      <c r="AD541" t="str">
        <f>IF(OrdersTable[[#This Row],[Delivery Days]]&lt;=2, "Express (≤2d)", IF(OrdersTable[[#This Row],[Delivery Days]]&lt;=4, "Standard (3-4d)", "Delayed (5d+)"))</f>
        <v>Standard (3-4d)</v>
      </c>
      <c r="AE541">
        <v>5</v>
      </c>
      <c r="AF541">
        <v>0</v>
      </c>
    </row>
    <row r="542" spans="1:32" ht="15" x14ac:dyDescent="0.35">
      <c r="A542" t="s">
        <v>3713</v>
      </c>
      <c r="B542" s="1">
        <v>45406</v>
      </c>
      <c r="C542">
        <f>YEAR(OrdersTable[[#This Row],[Order Date]])</f>
        <v>2024</v>
      </c>
      <c r="D542" s="2">
        <f>DATE(YEAR(OrdersTable[[#This Row],[Order Date]]),MONTH(OrdersTable[[#This Row],[Order Date]]),1)</f>
        <v>45383</v>
      </c>
      <c r="E542">
        <f>MONTH(OrdersTable[[#This Row],[Order Date]])</f>
        <v>4</v>
      </c>
      <c r="F542" t="s">
        <v>3714</v>
      </c>
      <c r="G542" t="str">
        <f>IF(OrdersTable[[#This Row],[Order Date]]=_xlfn.MINIFS(Order_Date, Customer_ID, OrdersTable[[#This Row],[Customer ID]]), "New", "Repeat")</f>
        <v>New</v>
      </c>
      <c r="H542" t="s">
        <v>128</v>
      </c>
      <c r="I542" t="str">
        <f>INDEX(State!B:B,MATCH(OrdersTable[[#This Row],[State]],State!A:A,0))</f>
        <v>DL</v>
      </c>
      <c r="J542" t="str">
        <f>INDEX(State!C:C,MATCH(OrdersTable[[#This Row],[State Code]],State!B:B,0))</f>
        <v>North</v>
      </c>
      <c r="K542" t="s">
        <v>129</v>
      </c>
      <c r="L542" t="s">
        <v>50</v>
      </c>
      <c r="M542" t="s">
        <v>40</v>
      </c>
      <c r="N542" t="str">
        <f>INDEX(Products!B:B,MATCH(OrdersTable[[#This Row],[Product ID]],Products!A:A,0))</f>
        <v>Ashwagandha Capsules</v>
      </c>
      <c r="O542" t="str">
        <f>INDEX(Products!C:C,MATCH(OrdersTable[[#This Row],[Product ID]],Products!A:A,0))</f>
        <v>Wellness</v>
      </c>
      <c r="P542">
        <v>1</v>
      </c>
      <c r="Q542" s="5">
        <v>499</v>
      </c>
      <c r="R542" s="74">
        <v>0</v>
      </c>
      <c r="S542" s="75">
        <f>OrdersTable[[#This Row],[Quantity]]*OrdersTable[[#This Row],[Unit Price]]</f>
        <v>499</v>
      </c>
      <c r="T542" s="5">
        <f>OrdersTable[[#This Row],[Gross Sale]]*OrdersTable[[#This Row],[Discount_Clean2]]</f>
        <v>0</v>
      </c>
      <c r="U542" s="5">
        <f>OrdersTable[[#This Row],[Gross Sale]]-OrdersTable[[#This Row],[Discount Amount]]</f>
        <v>499</v>
      </c>
      <c r="V542" s="77">
        <f>INDEX(Products!E:E,MATCH(OrdersTable[[#This Row],[Product ID]],Products!A:A,0))</f>
        <v>150</v>
      </c>
      <c r="W542" s="77">
        <f>OrdersTable[[#This Row],[Quantity]]*OrdersTable[[#This Row],[Unit Cost]]</f>
        <v>150</v>
      </c>
      <c r="X542" s="77">
        <f>'Dropdown Lists'!$I$2*(1+OrdersTable[[#This Row],[Returned]])</f>
        <v>60</v>
      </c>
      <c r="Y542" s="76">
        <f>OrdersTable[[#This Row],[Net Revenue]]-OrdersTable[[#This Row],[COGS]]-OrdersTable[[#This Row],[Shipping Cost]]</f>
        <v>289</v>
      </c>
      <c r="Z542" s="78">
        <f>IFERROR(OrdersTable[[#This Row],[Profit]]/OrdersTable[[#This Row],[Net Revenue]],0)</f>
        <v>0.57915831663326656</v>
      </c>
      <c r="AA542" t="s">
        <v>3495</v>
      </c>
      <c r="AB542" s="79">
        <v>45407</v>
      </c>
      <c r="AC542">
        <f>OrdersTable[[#This Row],[Delivery Date]]-OrdersTable[[#This Row],[Order Date]]</f>
        <v>1</v>
      </c>
      <c r="AD542" t="str">
        <f>IF(OrdersTable[[#This Row],[Delivery Days]]&lt;=2, "Express (≤2d)", IF(OrdersTable[[#This Row],[Delivery Days]]&lt;=4, "Standard (3-4d)", "Delayed (5d+)"))</f>
        <v>Express (≤2d)</v>
      </c>
      <c r="AF542">
        <v>0</v>
      </c>
    </row>
    <row r="543" spans="1:32" ht="15" x14ac:dyDescent="0.35">
      <c r="A543" t="s">
        <v>4461</v>
      </c>
      <c r="B543" s="1">
        <v>45406</v>
      </c>
      <c r="C543">
        <f>YEAR(OrdersTable[[#This Row],[Order Date]])</f>
        <v>2024</v>
      </c>
      <c r="D543" s="2">
        <f>DATE(YEAR(OrdersTable[[#This Row],[Order Date]]),MONTH(OrdersTable[[#This Row],[Order Date]]),1)</f>
        <v>45383</v>
      </c>
      <c r="E543">
        <f>MONTH(OrdersTable[[#This Row],[Order Date]])</f>
        <v>4</v>
      </c>
      <c r="F543" t="s">
        <v>3094</v>
      </c>
      <c r="G543" t="str">
        <f>IF(OrdersTable[[#This Row],[Order Date]]=_xlfn.MINIFS(Order_Date, Customer_ID, OrdersTable[[#This Row],[Customer ID]]), "New", "Repeat")</f>
        <v>New</v>
      </c>
      <c r="H543" t="s">
        <v>128</v>
      </c>
      <c r="I543" t="str">
        <f>INDEX(State!B:B,MATCH(OrdersTable[[#This Row],[State]],State!A:A,0))</f>
        <v>DL</v>
      </c>
      <c r="J543" t="str">
        <f>INDEX(State!C:C,MATCH(OrdersTable[[#This Row],[State Code]],State!B:B,0))</f>
        <v>North</v>
      </c>
      <c r="K543" t="s">
        <v>129</v>
      </c>
      <c r="L543" t="s">
        <v>23</v>
      </c>
      <c r="M543" t="s">
        <v>61</v>
      </c>
      <c r="N543" t="str">
        <f>INDEX(Products!B:B,MATCH(OrdersTable[[#This Row],[Product ID]],Products!A:A,0))</f>
        <v>Multivitamin Gummies</v>
      </c>
      <c r="O543" t="str">
        <f>INDEX(Products!C:C,MATCH(OrdersTable[[#This Row],[Product ID]],Products!A:A,0))</f>
        <v>Wellness</v>
      </c>
      <c r="P543">
        <v>1</v>
      </c>
      <c r="Q543" s="5">
        <v>699</v>
      </c>
      <c r="R543" s="74">
        <v>0.3</v>
      </c>
      <c r="S543" s="75">
        <f>OrdersTable[[#This Row],[Quantity]]*OrdersTable[[#This Row],[Unit Price]]</f>
        <v>699</v>
      </c>
      <c r="T543" s="5">
        <f>OrdersTable[[#This Row],[Gross Sale]]*OrdersTable[[#This Row],[Discount_Clean2]]</f>
        <v>209.7</v>
      </c>
      <c r="U543" s="5">
        <f>OrdersTable[[#This Row],[Gross Sale]]-OrdersTable[[#This Row],[Discount Amount]]</f>
        <v>489.3</v>
      </c>
      <c r="V543" s="77">
        <f>INDEX(Products!E:E,MATCH(OrdersTable[[#This Row],[Product ID]],Products!A:A,0))</f>
        <v>238</v>
      </c>
      <c r="W543" s="77">
        <f>OrdersTable[[#This Row],[Quantity]]*OrdersTable[[#This Row],[Unit Cost]]</f>
        <v>238</v>
      </c>
      <c r="X543" s="77">
        <f>'Dropdown Lists'!$I$2*(1+OrdersTable[[#This Row],[Returned]])</f>
        <v>60</v>
      </c>
      <c r="Y543" s="76">
        <f>OrdersTable[[#This Row],[Net Revenue]]-OrdersTable[[#This Row],[COGS]]-OrdersTable[[#This Row],[Shipping Cost]]</f>
        <v>191.3</v>
      </c>
      <c r="Z543" s="78">
        <f>IFERROR(OrdersTable[[#This Row],[Profit]]/OrdersTable[[#This Row],[Net Revenue]],0)</f>
        <v>0.39096668710402616</v>
      </c>
      <c r="AA543" t="s">
        <v>4450</v>
      </c>
      <c r="AB543" s="79">
        <v>45409</v>
      </c>
      <c r="AC543">
        <f>OrdersTable[[#This Row],[Delivery Date]]-OrdersTable[[#This Row],[Order Date]]</f>
        <v>3</v>
      </c>
      <c r="AD543" t="str">
        <f>IF(OrdersTable[[#This Row],[Delivery Days]]&lt;=2, "Express (≤2d)", IF(OrdersTable[[#This Row],[Delivery Days]]&lt;=4, "Standard (3-4d)", "Delayed (5d+)"))</f>
        <v>Standard (3-4d)</v>
      </c>
      <c r="AE543">
        <v>4</v>
      </c>
      <c r="AF543">
        <v>0</v>
      </c>
    </row>
    <row r="544" spans="1:32" ht="15" x14ac:dyDescent="0.35">
      <c r="A544" t="s">
        <v>2893</v>
      </c>
      <c r="B544" s="1">
        <v>45406</v>
      </c>
      <c r="C544">
        <f>YEAR(OrdersTable[[#This Row],[Order Date]])</f>
        <v>2024</v>
      </c>
      <c r="D544" s="2">
        <f>DATE(YEAR(OrdersTable[[#This Row],[Order Date]]),MONTH(OrdersTable[[#This Row],[Order Date]]),1)</f>
        <v>45383</v>
      </c>
      <c r="E544">
        <f>MONTH(OrdersTable[[#This Row],[Order Date]])</f>
        <v>4</v>
      </c>
      <c r="F544" t="s">
        <v>2894</v>
      </c>
      <c r="G544" t="str">
        <f>IF(OrdersTable[[#This Row],[Order Date]]=_xlfn.MINIFS(Order_Date, Customer_ID, OrdersTable[[#This Row],[Customer ID]]), "New", "Repeat")</f>
        <v>New</v>
      </c>
      <c r="H544" t="s">
        <v>37</v>
      </c>
      <c r="I544" t="str">
        <f>INDEX(State!B:B,MATCH(OrdersTable[[#This Row],[State]],State!A:A,0))</f>
        <v>GJ</v>
      </c>
      <c r="J544" t="str">
        <f>INDEX(State!C:C,MATCH(OrdersTable[[#This Row],[State Code]],State!B:B,0))</f>
        <v>West</v>
      </c>
      <c r="K544" t="s">
        <v>247</v>
      </c>
      <c r="L544" t="s">
        <v>23</v>
      </c>
      <c r="M544" t="s">
        <v>56</v>
      </c>
      <c r="N544" t="str">
        <f>INDEX(Products!B:B,MATCH(OrdersTable[[#This Row],[Product ID]],Products!A:A,0))</f>
        <v>Vitamin C Face Serum</v>
      </c>
      <c r="O544" t="str">
        <f>INDEX(Products!C:C,MATCH(OrdersTable[[#This Row],[Product ID]],Products!A:A,0))</f>
        <v>Skincare</v>
      </c>
      <c r="P544">
        <v>1</v>
      </c>
      <c r="Q544" s="5">
        <v>599</v>
      </c>
      <c r="R544" s="74">
        <v>0.15</v>
      </c>
      <c r="S544" s="75">
        <f>OrdersTable[[#This Row],[Quantity]]*OrdersTable[[#This Row],[Unit Price]]</f>
        <v>599</v>
      </c>
      <c r="T544" s="5">
        <f>OrdersTable[[#This Row],[Gross Sale]]*OrdersTable[[#This Row],[Discount_Clean2]]</f>
        <v>89.85</v>
      </c>
      <c r="U544" s="5">
        <f>OrdersTable[[#This Row],[Gross Sale]]-OrdersTable[[#This Row],[Discount Amount]]</f>
        <v>509.15</v>
      </c>
      <c r="V544" s="77">
        <f>INDEX(Products!E:E,MATCH(OrdersTable[[#This Row],[Product ID]],Products!A:A,0))</f>
        <v>180</v>
      </c>
      <c r="W544" s="77">
        <f>OrdersTable[[#This Row],[Quantity]]*OrdersTable[[#This Row],[Unit Cost]]</f>
        <v>180</v>
      </c>
      <c r="X544" s="77">
        <f>'Dropdown Lists'!$I$2*(1+OrdersTable[[#This Row],[Returned]])</f>
        <v>60</v>
      </c>
      <c r="Y544" s="76">
        <f>OrdersTable[[#This Row],[Net Revenue]]-OrdersTable[[#This Row],[COGS]]-OrdersTable[[#This Row],[Shipping Cost]]</f>
        <v>269.14999999999998</v>
      </c>
      <c r="Z544" s="78">
        <f>IFERROR(OrdersTable[[#This Row],[Profit]]/OrdersTable[[#This Row],[Net Revenue]],0)</f>
        <v>0.52862614160856325</v>
      </c>
      <c r="AA544" t="s">
        <v>2522</v>
      </c>
      <c r="AB544" s="79">
        <v>45411</v>
      </c>
      <c r="AC544">
        <f>OrdersTable[[#This Row],[Delivery Date]]-OrdersTable[[#This Row],[Order Date]]</f>
        <v>5</v>
      </c>
      <c r="AD544" t="str">
        <f>IF(OrdersTable[[#This Row],[Delivery Days]]&lt;=2, "Express (≤2d)", IF(OrdersTable[[#This Row],[Delivery Days]]&lt;=4, "Standard (3-4d)", "Delayed (5d+)"))</f>
        <v>Delayed (5d+)</v>
      </c>
      <c r="AF544">
        <v>0</v>
      </c>
    </row>
    <row r="545" spans="1:32" ht="15" x14ac:dyDescent="0.35">
      <c r="A545" t="s">
        <v>6270</v>
      </c>
      <c r="B545" s="1">
        <v>45406</v>
      </c>
      <c r="C545">
        <f>YEAR(OrdersTable[[#This Row],[Order Date]])</f>
        <v>2024</v>
      </c>
      <c r="D545" s="2">
        <f>DATE(YEAR(OrdersTable[[#This Row],[Order Date]]),MONTH(OrdersTable[[#This Row],[Order Date]]),1)</f>
        <v>45383</v>
      </c>
      <c r="E545">
        <f>MONTH(OrdersTable[[#This Row],[Order Date]])</f>
        <v>4</v>
      </c>
      <c r="F545" t="s">
        <v>6271</v>
      </c>
      <c r="G545" t="str">
        <f>IF(OrdersTable[[#This Row],[Order Date]]=_xlfn.MINIFS(Order_Date, Customer_ID, OrdersTable[[#This Row],[Customer ID]]), "New", "Repeat")</f>
        <v>New</v>
      </c>
      <c r="H545" t="s">
        <v>275</v>
      </c>
      <c r="I545" t="str">
        <f>INDEX(State!B:B,MATCH(OrdersTable[[#This Row],[State]],State!A:A,0))</f>
        <v>AP</v>
      </c>
      <c r="J545" t="str">
        <f>INDEX(State!C:C,MATCH(OrdersTable[[#This Row],[State Code]],State!B:B,0))</f>
        <v>South</v>
      </c>
      <c r="K545" t="s">
        <v>276</v>
      </c>
      <c r="L545" t="s">
        <v>23</v>
      </c>
      <c r="M545" t="s">
        <v>51</v>
      </c>
      <c r="N545" t="str">
        <f>INDEX(Products!B:B,MATCH(OrdersTable[[#This Row],[Product ID]],Products!A:A,0))</f>
        <v>Anti-Dandruff Conditioner</v>
      </c>
      <c r="O545" t="str">
        <f>INDEX(Products!C:C,MATCH(OrdersTable[[#This Row],[Product ID]],Products!A:A,0))</f>
        <v>Haircare</v>
      </c>
      <c r="P545">
        <v>2</v>
      </c>
      <c r="Q545" s="5">
        <v>399</v>
      </c>
      <c r="R545" s="74">
        <v>0.3</v>
      </c>
      <c r="S545" s="75">
        <f>OrdersTable[[#This Row],[Quantity]]*OrdersTable[[#This Row],[Unit Price]]</f>
        <v>798</v>
      </c>
      <c r="T545" s="5">
        <f>OrdersTable[[#This Row],[Gross Sale]]*OrdersTable[[#This Row],[Discount_Clean2]]</f>
        <v>239.39999999999998</v>
      </c>
      <c r="U545" s="5">
        <f>OrdersTable[[#This Row],[Gross Sale]]-OrdersTable[[#This Row],[Discount Amount]]</f>
        <v>558.6</v>
      </c>
      <c r="V545" s="77">
        <f>INDEX(Products!E:E,MATCH(OrdersTable[[#This Row],[Product ID]],Products!A:A,0))</f>
        <v>136</v>
      </c>
      <c r="W545" s="77">
        <f>OrdersTable[[#This Row],[Quantity]]*OrdersTable[[#This Row],[Unit Cost]]</f>
        <v>272</v>
      </c>
      <c r="X545" s="77">
        <f>'Dropdown Lists'!$I$2*(1+OrdersTable[[#This Row],[Returned]])</f>
        <v>60</v>
      </c>
      <c r="Y545" s="76">
        <f>OrdersTable[[#This Row],[Net Revenue]]-OrdersTable[[#This Row],[COGS]]-OrdersTable[[#This Row],[Shipping Cost]]</f>
        <v>226.60000000000002</v>
      </c>
      <c r="Z545" s="78">
        <f>IFERROR(OrdersTable[[#This Row],[Profit]]/OrdersTable[[#This Row],[Net Revenue]],0)</f>
        <v>0.40565699964196206</v>
      </c>
      <c r="AA545" t="s">
        <v>18</v>
      </c>
      <c r="AB545" s="79">
        <v>45408</v>
      </c>
      <c r="AC545">
        <f>OrdersTable[[#This Row],[Delivery Date]]-OrdersTable[[#This Row],[Order Date]]</f>
        <v>2</v>
      </c>
      <c r="AD545" t="str">
        <f>IF(OrdersTable[[#This Row],[Delivery Days]]&lt;=2, "Express (≤2d)", IF(OrdersTable[[#This Row],[Delivery Days]]&lt;=4, "Standard (3-4d)", "Delayed (5d+)"))</f>
        <v>Express (≤2d)</v>
      </c>
      <c r="AE545">
        <v>4</v>
      </c>
      <c r="AF545">
        <v>0</v>
      </c>
    </row>
    <row r="546" spans="1:32" ht="15" x14ac:dyDescent="0.35">
      <c r="A546" t="s">
        <v>6482</v>
      </c>
      <c r="B546" s="1">
        <v>45407</v>
      </c>
      <c r="C546">
        <f>YEAR(OrdersTable[[#This Row],[Order Date]])</f>
        <v>2024</v>
      </c>
      <c r="D546" s="2">
        <f>DATE(YEAR(OrdersTable[[#This Row],[Order Date]]),MONTH(OrdersTable[[#This Row],[Order Date]]),1)</f>
        <v>45383</v>
      </c>
      <c r="E546">
        <f>MONTH(OrdersTable[[#This Row],[Order Date]])</f>
        <v>4</v>
      </c>
      <c r="F546" t="s">
        <v>503</v>
      </c>
      <c r="G546" t="str">
        <f>IF(OrdersTable[[#This Row],[Order Date]]=_xlfn.MINIFS(Order_Date, Customer_ID, OrdersTable[[#This Row],[Customer ID]]), "New", "Repeat")</f>
        <v>New</v>
      </c>
      <c r="H546" t="s">
        <v>54</v>
      </c>
      <c r="I546" t="str">
        <f>INDEX(State!B:B,MATCH(OrdersTable[[#This Row],[State]],State!A:A,0))</f>
        <v>RJ</v>
      </c>
      <c r="J546" t="str">
        <f>INDEX(State!C:C,MATCH(OrdersTable[[#This Row],[State Code]],State!B:B,0))</f>
        <v>North</v>
      </c>
      <c r="K546" t="s">
        <v>55</v>
      </c>
      <c r="L546" t="s">
        <v>23</v>
      </c>
      <c r="M546" t="s">
        <v>148</v>
      </c>
      <c r="N546" t="str">
        <f>INDEX(Products!B:B,MATCH(OrdersTable[[#This Row],[Product ID]],Products!A:A,0))</f>
        <v>Smartwatch Strap</v>
      </c>
      <c r="O546" t="str">
        <f>INDEX(Products!C:C,MATCH(OrdersTable[[#This Row],[Product ID]],Products!A:A,0))</f>
        <v>Electronics</v>
      </c>
      <c r="P546">
        <v>3</v>
      </c>
      <c r="Q546" s="5">
        <v>499</v>
      </c>
      <c r="R546" s="74">
        <v>0.05</v>
      </c>
      <c r="S546" s="75">
        <f>OrdersTable[[#This Row],[Quantity]]*OrdersTable[[#This Row],[Unit Price]]</f>
        <v>1497</v>
      </c>
      <c r="T546" s="5">
        <f>OrdersTable[[#This Row],[Gross Sale]]*OrdersTable[[#This Row],[Discount_Clean2]]</f>
        <v>74.850000000000009</v>
      </c>
      <c r="U546" s="5">
        <f>OrdersTable[[#This Row],[Gross Sale]]-OrdersTable[[#This Row],[Discount Amount]]</f>
        <v>1422.15</v>
      </c>
      <c r="V546" s="77">
        <f>INDEX(Products!E:E,MATCH(OrdersTable[[#This Row],[Product ID]],Products!A:A,0))</f>
        <v>200</v>
      </c>
      <c r="W546" s="77">
        <f>OrdersTable[[#This Row],[Quantity]]*OrdersTable[[#This Row],[Unit Cost]]</f>
        <v>600</v>
      </c>
      <c r="X546" s="77">
        <f>'Dropdown Lists'!$I$2*(1+OrdersTable[[#This Row],[Returned]])</f>
        <v>60</v>
      </c>
      <c r="Y546" s="76">
        <f>OrdersTable[[#This Row],[Net Revenue]]-OrdersTable[[#This Row],[COGS]]-OrdersTable[[#This Row],[Shipping Cost]]</f>
        <v>762.15000000000009</v>
      </c>
      <c r="Z546" s="78">
        <f>IFERROR(OrdersTable[[#This Row],[Profit]]/OrdersTable[[#This Row],[Net Revenue]],0)</f>
        <v>0.53591393312941671</v>
      </c>
      <c r="AA546" t="s">
        <v>18</v>
      </c>
      <c r="AB546" s="79">
        <v>45410</v>
      </c>
      <c r="AC546">
        <f>OrdersTable[[#This Row],[Delivery Date]]-OrdersTable[[#This Row],[Order Date]]</f>
        <v>3</v>
      </c>
      <c r="AD546" t="str">
        <f>IF(OrdersTable[[#This Row],[Delivery Days]]&lt;=2, "Express (≤2d)", IF(OrdersTable[[#This Row],[Delivery Days]]&lt;=4, "Standard (3-4d)", "Delayed (5d+)"))</f>
        <v>Standard (3-4d)</v>
      </c>
      <c r="AF546">
        <v>0</v>
      </c>
    </row>
    <row r="547" spans="1:32" ht="15" x14ac:dyDescent="0.35">
      <c r="A547" t="s">
        <v>4086</v>
      </c>
      <c r="B547" s="1">
        <v>45407</v>
      </c>
      <c r="C547">
        <f>YEAR(OrdersTable[[#This Row],[Order Date]])</f>
        <v>2024</v>
      </c>
      <c r="D547" s="2">
        <f>DATE(YEAR(OrdersTable[[#This Row],[Order Date]]),MONTH(OrdersTable[[#This Row],[Order Date]]),1)</f>
        <v>45383</v>
      </c>
      <c r="E547">
        <f>MONTH(OrdersTable[[#This Row],[Order Date]])</f>
        <v>4</v>
      </c>
      <c r="F547" t="s">
        <v>4087</v>
      </c>
      <c r="G547" t="str">
        <f>IF(OrdersTable[[#This Row],[Order Date]]=_xlfn.MINIFS(Order_Date, Customer_ID, OrdersTable[[#This Row],[Customer ID]]), "New", "Repeat")</f>
        <v>New</v>
      </c>
      <c r="H547" t="s">
        <v>54</v>
      </c>
      <c r="I547" t="str">
        <f>INDEX(State!B:B,MATCH(OrdersTable[[#This Row],[State]],State!A:A,0))</f>
        <v>RJ</v>
      </c>
      <c r="J547" t="str">
        <f>INDEX(State!C:C,MATCH(OrdersTable[[#This Row],[State Code]],State!B:B,0))</f>
        <v>North</v>
      </c>
      <c r="K547" t="s">
        <v>55</v>
      </c>
      <c r="L547" t="s">
        <v>23</v>
      </c>
      <c r="M547" t="s">
        <v>148</v>
      </c>
      <c r="N547" t="str">
        <f>INDEX(Products!B:B,MATCH(OrdersTable[[#This Row],[Product ID]],Products!A:A,0))</f>
        <v>Smartwatch Strap</v>
      </c>
      <c r="O547" t="str">
        <f>INDEX(Products!C:C,MATCH(OrdersTable[[#This Row],[Product ID]],Products!A:A,0))</f>
        <v>Electronics</v>
      </c>
      <c r="P547">
        <v>1</v>
      </c>
      <c r="Q547" s="5">
        <v>499</v>
      </c>
      <c r="R547" s="74">
        <v>0.1</v>
      </c>
      <c r="S547" s="75">
        <f>OrdersTable[[#This Row],[Quantity]]*OrdersTable[[#This Row],[Unit Price]]</f>
        <v>499</v>
      </c>
      <c r="T547" s="5">
        <f>OrdersTable[[#This Row],[Gross Sale]]*OrdersTable[[#This Row],[Discount_Clean2]]</f>
        <v>49.900000000000006</v>
      </c>
      <c r="U547" s="5">
        <f>OrdersTable[[#This Row],[Gross Sale]]-OrdersTable[[#This Row],[Discount Amount]]</f>
        <v>449.1</v>
      </c>
      <c r="V547" s="77">
        <f>INDEX(Products!E:E,MATCH(OrdersTable[[#This Row],[Product ID]],Products!A:A,0))</f>
        <v>200</v>
      </c>
      <c r="W547" s="77">
        <f>OrdersTable[[#This Row],[Quantity]]*OrdersTable[[#This Row],[Unit Cost]]</f>
        <v>200</v>
      </c>
      <c r="X547" s="77">
        <f>'Dropdown Lists'!$I$2*(1+OrdersTable[[#This Row],[Returned]])</f>
        <v>60</v>
      </c>
      <c r="Y547" s="76">
        <f>OrdersTable[[#This Row],[Net Revenue]]-OrdersTable[[#This Row],[COGS]]-OrdersTable[[#This Row],[Shipping Cost]]</f>
        <v>189.10000000000002</v>
      </c>
      <c r="Z547" s="78">
        <f>IFERROR(OrdersTable[[#This Row],[Profit]]/OrdersTable[[#This Row],[Net Revenue]],0)</f>
        <v>0.42106435092407041</v>
      </c>
      <c r="AA547" t="s">
        <v>4074</v>
      </c>
      <c r="AB547" s="79">
        <v>45411</v>
      </c>
      <c r="AC547">
        <f>OrdersTable[[#This Row],[Delivery Date]]-OrdersTable[[#This Row],[Order Date]]</f>
        <v>4</v>
      </c>
      <c r="AD547" t="str">
        <f>IF(OrdersTable[[#This Row],[Delivery Days]]&lt;=2, "Express (≤2d)", IF(OrdersTable[[#This Row],[Delivery Days]]&lt;=4, "Standard (3-4d)", "Delayed (5d+)"))</f>
        <v>Standard (3-4d)</v>
      </c>
      <c r="AE547">
        <v>3</v>
      </c>
      <c r="AF547">
        <v>0</v>
      </c>
    </row>
    <row r="548" spans="1:32" ht="15" x14ac:dyDescent="0.35">
      <c r="A548" t="s">
        <v>6947</v>
      </c>
      <c r="B548" s="1">
        <v>45407</v>
      </c>
      <c r="C548">
        <f>YEAR(OrdersTable[[#This Row],[Order Date]])</f>
        <v>2024</v>
      </c>
      <c r="D548" s="2">
        <f>DATE(YEAR(OrdersTable[[#This Row],[Order Date]]),MONTH(OrdersTable[[#This Row],[Order Date]]),1)</f>
        <v>45383</v>
      </c>
      <c r="E548">
        <f>MONTH(OrdersTable[[#This Row],[Order Date]])</f>
        <v>4</v>
      </c>
      <c r="F548" t="s">
        <v>545</v>
      </c>
      <c r="G548" t="str">
        <f>IF(OrdersTable[[#This Row],[Order Date]]=_xlfn.MINIFS(Order_Date, Customer_ID, OrdersTable[[#This Row],[Customer ID]]), "New", "Repeat")</f>
        <v>New</v>
      </c>
      <c r="H548" t="s">
        <v>132</v>
      </c>
      <c r="I548" t="str">
        <f>INDEX(State!B:B,MATCH(OrdersTable[[#This Row],[State]],State!A:A,0))</f>
        <v>AS</v>
      </c>
      <c r="J548" t="str">
        <f>INDEX(State!C:C,MATCH(OrdersTable[[#This Row],[State Code]],State!B:B,0))</f>
        <v>East</v>
      </c>
      <c r="K548" t="s">
        <v>133</v>
      </c>
      <c r="L548" t="s">
        <v>50</v>
      </c>
      <c r="M548" t="s">
        <v>66</v>
      </c>
      <c r="N548" t="str">
        <f>INDEX(Products!B:B,MATCH(OrdersTable[[#This Row],[Product ID]],Products!A:A,0))</f>
        <v>Sunscreen SPF 50</v>
      </c>
      <c r="O548" t="str">
        <f>INDEX(Products!C:C,MATCH(OrdersTable[[#This Row],[Product ID]],Products!A:A,0))</f>
        <v>Skincare</v>
      </c>
      <c r="P548">
        <v>4</v>
      </c>
      <c r="Q548" s="5">
        <v>449</v>
      </c>
      <c r="R548" s="74">
        <v>0.15</v>
      </c>
      <c r="S548" s="75">
        <f>OrdersTable[[#This Row],[Quantity]]*OrdersTable[[#This Row],[Unit Price]]</f>
        <v>1796</v>
      </c>
      <c r="T548" s="5">
        <f>OrdersTable[[#This Row],[Gross Sale]]*OrdersTable[[#This Row],[Discount_Clean2]]</f>
        <v>269.39999999999998</v>
      </c>
      <c r="U548" s="5">
        <f>OrdersTable[[#This Row],[Gross Sale]]-OrdersTable[[#This Row],[Discount Amount]]</f>
        <v>1526.6</v>
      </c>
      <c r="V548" s="77">
        <f>INDEX(Products!E:E,MATCH(OrdersTable[[#This Row],[Product ID]],Products!A:A,0))</f>
        <v>144</v>
      </c>
      <c r="W548" s="77">
        <f>OrdersTable[[#This Row],[Quantity]]*OrdersTable[[#This Row],[Unit Cost]]</f>
        <v>576</v>
      </c>
      <c r="X548" s="77">
        <f>'Dropdown Lists'!$I$2*(1+OrdersTable[[#This Row],[Returned]])</f>
        <v>60</v>
      </c>
      <c r="Y548" s="76">
        <f>OrdersTable[[#This Row],[Net Revenue]]-OrdersTable[[#This Row],[COGS]]-OrdersTable[[#This Row],[Shipping Cost]]</f>
        <v>890.59999999999991</v>
      </c>
      <c r="Z548" s="78">
        <f>IFERROR(OrdersTable[[#This Row],[Profit]]/OrdersTable[[#This Row],[Net Revenue]],0)</f>
        <v>0.58338792086990698</v>
      </c>
      <c r="AA548" t="s">
        <v>2522</v>
      </c>
      <c r="AB548" s="79">
        <v>45413</v>
      </c>
      <c r="AC548">
        <f>OrdersTable[[#This Row],[Delivery Date]]-OrdersTable[[#This Row],[Order Date]]</f>
        <v>6</v>
      </c>
      <c r="AD548" t="str">
        <f>IF(OrdersTable[[#This Row],[Delivery Days]]&lt;=2, "Express (≤2d)", IF(OrdersTable[[#This Row],[Delivery Days]]&lt;=4, "Standard (3-4d)", "Delayed (5d+)"))</f>
        <v>Delayed (5d+)</v>
      </c>
      <c r="AF548">
        <v>0</v>
      </c>
    </row>
    <row r="549" spans="1:32" ht="15" x14ac:dyDescent="0.35">
      <c r="A549" t="s">
        <v>1340</v>
      </c>
      <c r="B549" s="1">
        <v>45407</v>
      </c>
      <c r="C549">
        <f>YEAR(OrdersTable[[#This Row],[Order Date]])</f>
        <v>2024</v>
      </c>
      <c r="D549" s="2">
        <f>DATE(YEAR(OrdersTable[[#This Row],[Order Date]]),MONTH(OrdersTable[[#This Row],[Order Date]]),1)</f>
        <v>45383</v>
      </c>
      <c r="E549">
        <f>MONTH(OrdersTable[[#This Row],[Order Date]])</f>
        <v>4</v>
      </c>
      <c r="F549" t="s">
        <v>1341</v>
      </c>
      <c r="G549" t="str">
        <f>IF(OrdersTable[[#This Row],[Order Date]]=_xlfn.MINIFS(Order_Date, Customer_ID, OrdersTable[[#This Row],[Customer ID]]), "New", "Repeat")</f>
        <v>New</v>
      </c>
      <c r="H549" t="s">
        <v>71</v>
      </c>
      <c r="I549" t="str">
        <f>INDEX(State!B:B,MATCH(OrdersTable[[#This Row],[State]],State!A:A,0))</f>
        <v>MH</v>
      </c>
      <c r="J549" t="str">
        <f>INDEX(State!C:C,MATCH(OrdersTable[[#This Row],[State Code]],State!B:B,0))</f>
        <v>West</v>
      </c>
      <c r="K549" t="s">
        <v>81</v>
      </c>
      <c r="L549" t="s">
        <v>23</v>
      </c>
      <c r="M549" t="s">
        <v>173</v>
      </c>
      <c r="N549" t="str">
        <f>INDEX(Products!B:B,MATCH(OrdersTable[[#This Row],[Product ID]],Products!A:A,0))</f>
        <v>Wireless Earbuds</v>
      </c>
      <c r="O549" t="str">
        <f>INDEX(Products!C:C,MATCH(OrdersTable[[#This Row],[Product ID]],Products!A:A,0))</f>
        <v>Electronics</v>
      </c>
      <c r="P549">
        <v>1</v>
      </c>
      <c r="Q549" s="5">
        <v>1999</v>
      </c>
      <c r="R549" s="74">
        <v>0.35</v>
      </c>
      <c r="S549" s="75">
        <f>OrdersTable[[#This Row],[Quantity]]*OrdersTable[[#This Row],[Unit Price]]</f>
        <v>1999</v>
      </c>
      <c r="T549" s="5">
        <f>OrdersTable[[#This Row],[Gross Sale]]*OrdersTable[[#This Row],[Discount_Clean2]]</f>
        <v>699.65</v>
      </c>
      <c r="U549" s="5">
        <f>OrdersTable[[#This Row],[Gross Sale]]-OrdersTable[[#This Row],[Discount Amount]]</f>
        <v>1299.3499999999999</v>
      </c>
      <c r="V549" s="77">
        <f>INDEX(Products!E:E,MATCH(OrdersTable[[#This Row],[Product ID]],Products!A:A,0))</f>
        <v>1239</v>
      </c>
      <c r="W549" s="77">
        <f>OrdersTable[[#This Row],[Quantity]]*OrdersTable[[#This Row],[Unit Cost]]</f>
        <v>1239</v>
      </c>
      <c r="X549" s="77">
        <f>'Dropdown Lists'!$I$2*(1+OrdersTable[[#This Row],[Returned]])</f>
        <v>60</v>
      </c>
      <c r="Y549" s="76">
        <f>OrdersTable[[#This Row],[Net Revenue]]-OrdersTable[[#This Row],[COGS]]-OrdersTable[[#This Row],[Shipping Cost]]</f>
        <v>0.34999999999990905</v>
      </c>
      <c r="Z549" s="78">
        <f>IFERROR(OrdersTable[[#This Row],[Profit]]/OrdersTable[[#This Row],[Net Revenue]],0)</f>
        <v>2.6936545195667763E-4</v>
      </c>
      <c r="AA549" t="s">
        <v>18</v>
      </c>
      <c r="AB549" s="79">
        <v>45408</v>
      </c>
      <c r="AC549">
        <f>OrdersTable[[#This Row],[Delivery Date]]-OrdersTable[[#This Row],[Order Date]]</f>
        <v>1</v>
      </c>
      <c r="AD549" t="str">
        <f>IF(OrdersTable[[#This Row],[Delivery Days]]&lt;=2, "Express (≤2d)", IF(OrdersTable[[#This Row],[Delivery Days]]&lt;=4, "Standard (3-4d)", "Delayed (5d+)"))</f>
        <v>Express (≤2d)</v>
      </c>
      <c r="AF549">
        <v>0</v>
      </c>
    </row>
    <row r="550" spans="1:32" ht="15" x14ac:dyDescent="0.35">
      <c r="A550" t="s">
        <v>1221</v>
      </c>
      <c r="B550" s="1">
        <v>45407</v>
      </c>
      <c r="C550">
        <f>YEAR(OrdersTable[[#This Row],[Order Date]])</f>
        <v>2024</v>
      </c>
      <c r="D550" s="2">
        <f>DATE(YEAR(OrdersTable[[#This Row],[Order Date]]),MONTH(OrdersTable[[#This Row],[Order Date]]),1)</f>
        <v>45383</v>
      </c>
      <c r="E550">
        <f>MONTH(OrdersTable[[#This Row],[Order Date]])</f>
        <v>4</v>
      </c>
      <c r="F550" t="s">
        <v>1222</v>
      </c>
      <c r="G550" t="str">
        <f>IF(OrdersTable[[#This Row],[Order Date]]=_xlfn.MINIFS(Order_Date, Customer_ID, OrdersTable[[#This Row],[Customer ID]]), "New", "Repeat")</f>
        <v>New</v>
      </c>
      <c r="H550" t="s">
        <v>14</v>
      </c>
      <c r="I550" t="str">
        <f>INDEX(State!B:B,MATCH(OrdersTable[[#This Row],[State]],State!A:A,0))</f>
        <v>OD</v>
      </c>
      <c r="J550" t="str">
        <f>INDEX(State!C:C,MATCH(OrdersTable[[#This Row],[State Code]],State!B:B,0))</f>
        <v>East</v>
      </c>
      <c r="K550" t="s">
        <v>15</v>
      </c>
      <c r="L550" t="s">
        <v>16</v>
      </c>
      <c r="M550" t="s">
        <v>87</v>
      </c>
      <c r="N550" t="str">
        <f>INDEX(Products!B:B,MATCH(OrdersTable[[#This Row],[Product ID]],Products!A:A,0))</f>
        <v>Linen Kurta</v>
      </c>
      <c r="O550" t="str">
        <f>INDEX(Products!C:C,MATCH(OrdersTable[[#This Row],[Product ID]],Products!A:A,0))</f>
        <v>Apparel</v>
      </c>
      <c r="P550">
        <v>1</v>
      </c>
      <c r="Q550" s="5">
        <v>1499</v>
      </c>
      <c r="R550" s="74">
        <v>0.25</v>
      </c>
      <c r="S550" s="75">
        <f>OrdersTable[[#This Row],[Quantity]]*OrdersTable[[#This Row],[Unit Price]]</f>
        <v>1499</v>
      </c>
      <c r="T550" s="5">
        <f>OrdersTable[[#This Row],[Gross Sale]]*OrdersTable[[#This Row],[Discount_Clean2]]</f>
        <v>374.75</v>
      </c>
      <c r="U550" s="5">
        <f>OrdersTable[[#This Row],[Gross Sale]]-OrdersTable[[#This Row],[Discount Amount]]</f>
        <v>1124.25</v>
      </c>
      <c r="V550" s="77">
        <f>INDEX(Products!E:E,MATCH(OrdersTable[[#This Row],[Product ID]],Products!A:A,0))</f>
        <v>630</v>
      </c>
      <c r="W550" s="77">
        <f>OrdersTable[[#This Row],[Quantity]]*OrdersTable[[#This Row],[Unit Cost]]</f>
        <v>630</v>
      </c>
      <c r="X550" s="77">
        <f>'Dropdown Lists'!$I$2*(1+OrdersTable[[#This Row],[Returned]])</f>
        <v>60</v>
      </c>
      <c r="Y550" s="76">
        <f>OrdersTable[[#This Row],[Net Revenue]]-OrdersTable[[#This Row],[COGS]]-OrdersTable[[#This Row],[Shipping Cost]]</f>
        <v>434.25</v>
      </c>
      <c r="Z550" s="78">
        <f>IFERROR(OrdersTable[[#This Row],[Profit]]/OrdersTable[[#This Row],[Net Revenue]],0)</f>
        <v>0.38625750500333556</v>
      </c>
      <c r="AA550" t="s">
        <v>18</v>
      </c>
      <c r="AB550" s="79">
        <v>45410</v>
      </c>
      <c r="AC550">
        <f>OrdersTable[[#This Row],[Delivery Date]]-OrdersTable[[#This Row],[Order Date]]</f>
        <v>3</v>
      </c>
      <c r="AD550" t="str">
        <f>IF(OrdersTable[[#This Row],[Delivery Days]]&lt;=2, "Express (≤2d)", IF(OrdersTable[[#This Row],[Delivery Days]]&lt;=4, "Standard (3-4d)", "Delayed (5d+)"))</f>
        <v>Standard (3-4d)</v>
      </c>
      <c r="AF550">
        <v>0</v>
      </c>
    </row>
    <row r="551" spans="1:32" ht="15" x14ac:dyDescent="0.35">
      <c r="A551" t="s">
        <v>4907</v>
      </c>
      <c r="B551" s="1">
        <v>45408</v>
      </c>
      <c r="C551">
        <f>YEAR(OrdersTable[[#This Row],[Order Date]])</f>
        <v>2024</v>
      </c>
      <c r="D551" s="2">
        <f>DATE(YEAR(OrdersTable[[#This Row],[Order Date]]),MONTH(OrdersTable[[#This Row],[Order Date]]),1)</f>
        <v>45383</v>
      </c>
      <c r="E551">
        <f>MONTH(OrdersTable[[#This Row],[Order Date]])</f>
        <v>4</v>
      </c>
      <c r="F551" t="s">
        <v>3159</v>
      </c>
      <c r="G551" t="str">
        <f>IF(OrdersTable[[#This Row],[Order Date]]=_xlfn.MINIFS(Order_Date, Customer_ID, OrdersTable[[#This Row],[Customer ID]]), "New", "Repeat")</f>
        <v>Repeat</v>
      </c>
      <c r="H551" t="s">
        <v>27</v>
      </c>
      <c r="I551" t="str">
        <f>INDEX(State!B:B,MATCH(OrdersTable[[#This Row],[State]],State!A:A,0))</f>
        <v>WB</v>
      </c>
      <c r="J551" t="str">
        <f>INDEX(State!C:C,MATCH(OrdersTable[[#This Row],[State Code]],State!B:B,0))</f>
        <v>East</v>
      </c>
      <c r="K551" t="s">
        <v>28</v>
      </c>
      <c r="L551" t="s">
        <v>50</v>
      </c>
      <c r="M551" t="s">
        <v>152</v>
      </c>
      <c r="N551" t="str">
        <f>INDEX(Products!B:B,MATCH(OrdersTable[[#This Row],[Product ID]],Products!A:A,0))</f>
        <v>Green Tea (100 bags)</v>
      </c>
      <c r="O551" t="str">
        <f>INDEX(Products!C:C,MATCH(OrdersTable[[#This Row],[Product ID]],Products!A:A,0))</f>
        <v>Wellness</v>
      </c>
      <c r="P551">
        <v>2</v>
      </c>
      <c r="Q551" s="5">
        <v>399</v>
      </c>
      <c r="R551" s="74">
        <v>0.35</v>
      </c>
      <c r="S551" s="75">
        <f>OrdersTable[[#This Row],[Quantity]]*OrdersTable[[#This Row],[Unit Price]]</f>
        <v>798</v>
      </c>
      <c r="T551" s="5">
        <f>OrdersTable[[#This Row],[Gross Sale]]*OrdersTable[[#This Row],[Discount_Clean2]]</f>
        <v>279.29999999999995</v>
      </c>
      <c r="U551" s="5">
        <f>OrdersTable[[#This Row],[Gross Sale]]-OrdersTable[[#This Row],[Discount Amount]]</f>
        <v>518.70000000000005</v>
      </c>
      <c r="V551" s="77">
        <f>INDEX(Products!E:E,MATCH(OrdersTable[[#This Row],[Product ID]],Products!A:A,0))</f>
        <v>128</v>
      </c>
      <c r="W551" s="77">
        <f>OrdersTable[[#This Row],[Quantity]]*OrdersTable[[#This Row],[Unit Cost]]</f>
        <v>256</v>
      </c>
      <c r="X551" s="77">
        <f>'Dropdown Lists'!$I$2*(1+OrdersTable[[#This Row],[Returned]])</f>
        <v>60</v>
      </c>
      <c r="Y551" s="76">
        <f>OrdersTable[[#This Row],[Net Revenue]]-OrdersTable[[#This Row],[COGS]]-OrdersTable[[#This Row],[Shipping Cost]]</f>
        <v>202.70000000000005</v>
      </c>
      <c r="Z551" s="78">
        <f>IFERROR(OrdersTable[[#This Row],[Profit]]/OrdersTable[[#This Row],[Net Revenue]],0)</f>
        <v>0.39078465394254874</v>
      </c>
      <c r="AA551" t="s">
        <v>4074</v>
      </c>
      <c r="AB551" s="79">
        <v>45412</v>
      </c>
      <c r="AC551">
        <f>OrdersTable[[#This Row],[Delivery Date]]-OrdersTable[[#This Row],[Order Date]]</f>
        <v>4</v>
      </c>
      <c r="AD551" t="str">
        <f>IF(OrdersTable[[#This Row],[Delivery Days]]&lt;=2, "Express (≤2d)", IF(OrdersTable[[#This Row],[Delivery Days]]&lt;=4, "Standard (3-4d)", "Delayed (5d+)"))</f>
        <v>Standard (3-4d)</v>
      </c>
      <c r="AF551">
        <v>0</v>
      </c>
    </row>
    <row r="552" spans="1:32" ht="15" x14ac:dyDescent="0.35">
      <c r="A552" t="s">
        <v>6667</v>
      </c>
      <c r="B552" s="1">
        <v>45408</v>
      </c>
      <c r="C552">
        <f>YEAR(OrdersTable[[#This Row],[Order Date]])</f>
        <v>2024</v>
      </c>
      <c r="D552" s="2">
        <f>DATE(YEAR(OrdersTable[[#This Row],[Order Date]]),MONTH(OrdersTable[[#This Row],[Order Date]]),1)</f>
        <v>45383</v>
      </c>
      <c r="E552">
        <f>MONTH(OrdersTable[[#This Row],[Order Date]])</f>
        <v>4</v>
      </c>
      <c r="F552" t="s">
        <v>6668</v>
      </c>
      <c r="G552" t="str">
        <f>IF(OrdersTable[[#This Row],[Order Date]]=_xlfn.MINIFS(Order_Date, Customer_ID, OrdersTable[[#This Row],[Customer ID]]), "New", "Repeat")</f>
        <v>New</v>
      </c>
      <c r="H552" t="s">
        <v>71</v>
      </c>
      <c r="I552" t="str">
        <f>INDEX(State!B:B,MATCH(OrdersTable[[#This Row],[State]],State!A:A,0))</f>
        <v>MH</v>
      </c>
      <c r="J552" t="str">
        <f>INDEX(State!C:C,MATCH(OrdersTable[[#This Row],[State Code]],State!B:B,0))</f>
        <v>West</v>
      </c>
      <c r="K552" t="s">
        <v>72</v>
      </c>
      <c r="L552" t="s">
        <v>23</v>
      </c>
      <c r="M552" t="s">
        <v>173</v>
      </c>
      <c r="N552" t="str">
        <f>INDEX(Products!B:B,MATCH(OrdersTable[[#This Row],[Product ID]],Products!A:A,0))</f>
        <v>Wireless Earbuds</v>
      </c>
      <c r="O552" t="str">
        <f>INDEX(Products!C:C,MATCH(OrdersTable[[#This Row],[Product ID]],Products!A:A,0))</f>
        <v>Electronics</v>
      </c>
      <c r="P552">
        <v>3</v>
      </c>
      <c r="Q552" s="5">
        <v>1999</v>
      </c>
      <c r="R552" s="74">
        <v>0.35</v>
      </c>
      <c r="S552" s="75">
        <f>OrdersTable[[#This Row],[Quantity]]*OrdersTable[[#This Row],[Unit Price]]</f>
        <v>5997</v>
      </c>
      <c r="T552" s="5">
        <f>OrdersTable[[#This Row],[Gross Sale]]*OrdersTable[[#This Row],[Discount_Clean2]]</f>
        <v>2098.9499999999998</v>
      </c>
      <c r="U552" s="5">
        <f>OrdersTable[[#This Row],[Gross Sale]]-OrdersTable[[#This Row],[Discount Amount]]</f>
        <v>3898.05</v>
      </c>
      <c r="V552" s="77">
        <f>INDEX(Products!E:E,MATCH(OrdersTable[[#This Row],[Product ID]],Products!A:A,0))</f>
        <v>1239</v>
      </c>
      <c r="W552" s="77">
        <f>OrdersTable[[#This Row],[Quantity]]*OrdersTable[[#This Row],[Unit Cost]]</f>
        <v>3717</v>
      </c>
      <c r="X552" s="77">
        <f>'Dropdown Lists'!$I$2*(1+OrdersTable[[#This Row],[Returned]])</f>
        <v>60</v>
      </c>
      <c r="Y552" s="76">
        <f>OrdersTable[[#This Row],[Net Revenue]]-OrdersTable[[#This Row],[COGS]]-OrdersTable[[#This Row],[Shipping Cost]]</f>
        <v>121.05000000000018</v>
      </c>
      <c r="Z552" s="78">
        <f>IFERROR(OrdersTable[[#This Row],[Profit]]/OrdersTable[[#This Row],[Net Revenue]],0)</f>
        <v>3.1053988532727946E-2</v>
      </c>
      <c r="AA552" t="s">
        <v>2522</v>
      </c>
      <c r="AB552" s="79">
        <v>45412</v>
      </c>
      <c r="AC552">
        <f>OrdersTable[[#This Row],[Delivery Date]]-OrdersTable[[#This Row],[Order Date]]</f>
        <v>4</v>
      </c>
      <c r="AD552" t="str">
        <f>IF(OrdersTable[[#This Row],[Delivery Days]]&lt;=2, "Express (≤2d)", IF(OrdersTable[[#This Row],[Delivery Days]]&lt;=4, "Standard (3-4d)", "Delayed (5d+)"))</f>
        <v>Standard (3-4d)</v>
      </c>
      <c r="AE552">
        <v>4</v>
      </c>
      <c r="AF552">
        <v>0</v>
      </c>
    </row>
    <row r="553" spans="1:32" ht="15" x14ac:dyDescent="0.35">
      <c r="A553" t="s">
        <v>7053</v>
      </c>
      <c r="B553" s="1">
        <v>45408</v>
      </c>
      <c r="C553">
        <f>YEAR(OrdersTable[[#This Row],[Order Date]])</f>
        <v>2024</v>
      </c>
      <c r="D553" s="2">
        <f>DATE(YEAR(OrdersTable[[#This Row],[Order Date]]),MONTH(OrdersTable[[#This Row],[Order Date]]),1)</f>
        <v>45383</v>
      </c>
      <c r="E553">
        <f>MONTH(OrdersTable[[#This Row],[Order Date]])</f>
        <v>4</v>
      </c>
      <c r="F553" t="s">
        <v>3493</v>
      </c>
      <c r="G553" t="str">
        <f>IF(OrdersTable[[#This Row],[Order Date]]=_xlfn.MINIFS(Order_Date, Customer_ID, OrdersTable[[#This Row],[Customer ID]]), "New", "Repeat")</f>
        <v>New</v>
      </c>
      <c r="H553" t="s">
        <v>95</v>
      </c>
      <c r="I553" t="str">
        <f>INDEX(State!B:B,MATCH(OrdersTable[[#This Row],[State]],State!A:A,0))</f>
        <v>TG</v>
      </c>
      <c r="J553" t="str">
        <f>INDEX(State!C:C,MATCH(OrdersTable[[#This Row],[State Code]],State!B:B,0))</f>
        <v>South</v>
      </c>
      <c r="K553" t="s">
        <v>96</v>
      </c>
      <c r="L553" t="s">
        <v>65</v>
      </c>
      <c r="M553" t="s">
        <v>92</v>
      </c>
      <c r="N553" t="str">
        <f>INDEX(Products!B:B,MATCH(OrdersTable[[#This Row],[Product ID]],Products!A:A,0))</f>
        <v>Kolhapuri Sandals</v>
      </c>
      <c r="O553" t="str">
        <f>INDEX(Products!C:C,MATCH(OrdersTable[[#This Row],[Product ID]],Products!A:A,0))</f>
        <v>Footwear</v>
      </c>
      <c r="P553">
        <v>4</v>
      </c>
      <c r="Q553" s="5">
        <v>999</v>
      </c>
      <c r="R553" s="74">
        <v>0.05</v>
      </c>
      <c r="S553" s="75">
        <f>OrdersTable[[#This Row],[Quantity]]*OrdersTable[[#This Row],[Unit Price]]</f>
        <v>3996</v>
      </c>
      <c r="T553" s="5">
        <f>OrdersTable[[#This Row],[Gross Sale]]*OrdersTable[[#This Row],[Discount_Clean2]]</f>
        <v>199.8</v>
      </c>
      <c r="U553" s="5">
        <f>OrdersTable[[#This Row],[Gross Sale]]-OrdersTable[[#This Row],[Discount Amount]]</f>
        <v>3796.2</v>
      </c>
      <c r="V553" s="77">
        <f>INDEX(Products!E:E,MATCH(OrdersTable[[#This Row],[Product ID]],Products!A:A,0))</f>
        <v>400</v>
      </c>
      <c r="W553" s="77">
        <f>OrdersTable[[#This Row],[Quantity]]*OrdersTable[[#This Row],[Unit Cost]]</f>
        <v>1600</v>
      </c>
      <c r="X553" s="77">
        <f>'Dropdown Lists'!$I$2*(1+OrdersTable[[#This Row],[Returned]])</f>
        <v>60</v>
      </c>
      <c r="Y553" s="76">
        <f>OrdersTable[[#This Row],[Net Revenue]]-OrdersTable[[#This Row],[COGS]]-OrdersTable[[#This Row],[Shipping Cost]]</f>
        <v>2136.1999999999998</v>
      </c>
      <c r="Z553" s="78">
        <f>IFERROR(OrdersTable[[#This Row],[Profit]]/OrdersTable[[#This Row],[Net Revenue]],0)</f>
        <v>0.56272061535219431</v>
      </c>
      <c r="AA553" t="s">
        <v>18</v>
      </c>
      <c r="AB553" s="79">
        <v>45411</v>
      </c>
      <c r="AC553">
        <f>OrdersTable[[#This Row],[Delivery Date]]-OrdersTable[[#This Row],[Order Date]]</f>
        <v>3</v>
      </c>
      <c r="AD553" t="str">
        <f>IF(OrdersTable[[#This Row],[Delivery Days]]&lt;=2, "Express (≤2d)", IF(OrdersTable[[#This Row],[Delivery Days]]&lt;=4, "Standard (3-4d)", "Delayed (5d+)"))</f>
        <v>Standard (3-4d)</v>
      </c>
      <c r="AE553">
        <v>4</v>
      </c>
      <c r="AF553">
        <v>0</v>
      </c>
    </row>
    <row r="554" spans="1:32" ht="15" x14ac:dyDescent="0.35">
      <c r="A554" t="s">
        <v>5574</v>
      </c>
      <c r="B554" s="1">
        <v>45408</v>
      </c>
      <c r="C554">
        <f>YEAR(OrdersTable[[#This Row],[Order Date]])</f>
        <v>2024</v>
      </c>
      <c r="D554" s="2">
        <f>DATE(YEAR(OrdersTable[[#This Row],[Order Date]]),MONTH(OrdersTable[[#This Row],[Order Date]]),1)</f>
        <v>45383</v>
      </c>
      <c r="E554">
        <f>MONTH(OrdersTable[[#This Row],[Order Date]])</f>
        <v>4</v>
      </c>
      <c r="F554" t="s">
        <v>5095</v>
      </c>
      <c r="G554" t="str">
        <f>IF(OrdersTable[[#This Row],[Order Date]]=_xlfn.MINIFS(Order_Date, Customer_ID, OrdersTable[[#This Row],[Customer ID]]), "New", "Repeat")</f>
        <v>New</v>
      </c>
      <c r="H554" t="s">
        <v>90</v>
      </c>
      <c r="I554" t="str">
        <f>INDEX(State!B:B,MATCH(OrdersTable[[#This Row],[State]],State!A:A,0))</f>
        <v>GA</v>
      </c>
      <c r="J554" t="str">
        <f>INDEX(State!C:C,MATCH(OrdersTable[[#This Row],[State Code]],State!B:B,0))</f>
        <v>West</v>
      </c>
      <c r="K554" t="s">
        <v>91</v>
      </c>
      <c r="L554" t="s">
        <v>65</v>
      </c>
      <c r="M554" t="s">
        <v>51</v>
      </c>
      <c r="N554" t="str">
        <f>INDEX(Products!B:B,MATCH(OrdersTable[[#This Row],[Product ID]],Products!A:A,0))</f>
        <v>Anti-Dandruff Conditioner</v>
      </c>
      <c r="O554" t="str">
        <f>INDEX(Products!C:C,MATCH(OrdersTable[[#This Row],[Product ID]],Products!A:A,0))</f>
        <v>Haircare</v>
      </c>
      <c r="P554">
        <v>2</v>
      </c>
      <c r="Q554" s="5">
        <v>399</v>
      </c>
      <c r="R554" s="74">
        <v>0.4</v>
      </c>
      <c r="S554" s="75">
        <f>OrdersTable[[#This Row],[Quantity]]*OrdersTable[[#This Row],[Unit Price]]</f>
        <v>798</v>
      </c>
      <c r="T554" s="5">
        <f>OrdersTable[[#This Row],[Gross Sale]]*OrdersTable[[#This Row],[Discount_Clean2]]</f>
        <v>319.20000000000005</v>
      </c>
      <c r="U554" s="5">
        <f>OrdersTable[[#This Row],[Gross Sale]]-OrdersTable[[#This Row],[Discount Amount]]</f>
        <v>478.79999999999995</v>
      </c>
      <c r="V554" s="77">
        <f>INDEX(Products!E:E,MATCH(OrdersTable[[#This Row],[Product ID]],Products!A:A,0))</f>
        <v>136</v>
      </c>
      <c r="W554" s="77">
        <f>OrdersTable[[#This Row],[Quantity]]*OrdersTable[[#This Row],[Unit Cost]]</f>
        <v>272</v>
      </c>
      <c r="X554" s="77">
        <f>'Dropdown Lists'!$I$2*(1+OrdersTable[[#This Row],[Returned]])</f>
        <v>60</v>
      </c>
      <c r="Y554" s="76">
        <f>OrdersTable[[#This Row],[Net Revenue]]-OrdersTable[[#This Row],[COGS]]-OrdersTable[[#This Row],[Shipping Cost]]</f>
        <v>146.79999999999995</v>
      </c>
      <c r="Z554" s="78">
        <f>IFERROR(OrdersTable[[#This Row],[Profit]]/OrdersTable[[#This Row],[Net Revenue]],0)</f>
        <v>0.30659983291562232</v>
      </c>
      <c r="AA554" t="s">
        <v>2522</v>
      </c>
      <c r="AB554" s="79">
        <v>45411</v>
      </c>
      <c r="AC554">
        <f>OrdersTable[[#This Row],[Delivery Date]]-OrdersTable[[#This Row],[Order Date]]</f>
        <v>3</v>
      </c>
      <c r="AD554" t="str">
        <f>IF(OrdersTable[[#This Row],[Delivery Days]]&lt;=2, "Express (≤2d)", IF(OrdersTable[[#This Row],[Delivery Days]]&lt;=4, "Standard (3-4d)", "Delayed (5d+)"))</f>
        <v>Standard (3-4d)</v>
      </c>
      <c r="AF554">
        <v>0</v>
      </c>
    </row>
    <row r="555" spans="1:32" ht="15" x14ac:dyDescent="0.35">
      <c r="A555" t="s">
        <v>3963</v>
      </c>
      <c r="B555" s="1">
        <v>45408</v>
      </c>
      <c r="C555">
        <f>YEAR(OrdersTable[[#This Row],[Order Date]])</f>
        <v>2024</v>
      </c>
      <c r="D555" s="2">
        <f>DATE(YEAR(OrdersTable[[#This Row],[Order Date]]),MONTH(OrdersTable[[#This Row],[Order Date]]),1)</f>
        <v>45383</v>
      </c>
      <c r="E555">
        <f>MONTH(OrdersTable[[#This Row],[Order Date]])</f>
        <v>4</v>
      </c>
      <c r="F555" t="s">
        <v>745</v>
      </c>
      <c r="G555" t="str">
        <f>IF(OrdersTable[[#This Row],[Order Date]]=_xlfn.MINIFS(Order_Date, Customer_ID, OrdersTable[[#This Row],[Customer ID]]), "New", "Repeat")</f>
        <v>New</v>
      </c>
      <c r="H555" t="s">
        <v>59</v>
      </c>
      <c r="I555" t="str">
        <f>INDEX(State!B:B,MATCH(OrdersTable[[#This Row],[State]],State!A:A,0))</f>
        <v>TN</v>
      </c>
      <c r="J555" t="str">
        <f>INDEX(State!C:C,MATCH(OrdersTable[[#This Row],[State Code]],State!B:B,0))</f>
        <v>South</v>
      </c>
      <c r="K555" t="s">
        <v>64</v>
      </c>
      <c r="L555" t="s">
        <v>23</v>
      </c>
      <c r="M555" t="s">
        <v>176</v>
      </c>
      <c r="N555" t="str">
        <f>INDEX(Products!B:B,MATCH(OrdersTable[[#This Row],[Product ID]],Products!A:A,0))</f>
        <v>Denim Jacket</v>
      </c>
      <c r="O555" t="str">
        <f>INDEX(Products!C:C,MATCH(OrdersTable[[#This Row],[Product ID]],Products!A:A,0))</f>
        <v>Apparel</v>
      </c>
      <c r="P555">
        <v>1</v>
      </c>
      <c r="Q555" s="5">
        <v>2499</v>
      </c>
      <c r="R555" s="74">
        <v>0.1</v>
      </c>
      <c r="S555" s="75">
        <f>OrdersTable[[#This Row],[Quantity]]*OrdersTable[[#This Row],[Unit Price]]</f>
        <v>2499</v>
      </c>
      <c r="T555" s="5">
        <f>OrdersTable[[#This Row],[Gross Sale]]*OrdersTable[[#This Row],[Discount_Clean2]]</f>
        <v>249.9</v>
      </c>
      <c r="U555" s="5">
        <f>OrdersTable[[#This Row],[Gross Sale]]-OrdersTable[[#This Row],[Discount Amount]]</f>
        <v>2249.1</v>
      </c>
      <c r="V555" s="77">
        <f>INDEX(Products!E:E,MATCH(OrdersTable[[#This Row],[Product ID]],Products!A:A,0))</f>
        <v>1125</v>
      </c>
      <c r="W555" s="77">
        <f>OrdersTable[[#This Row],[Quantity]]*OrdersTable[[#This Row],[Unit Cost]]</f>
        <v>1125</v>
      </c>
      <c r="X555" s="77">
        <f>'Dropdown Lists'!$I$2*(1+OrdersTable[[#This Row],[Returned]])</f>
        <v>120</v>
      </c>
      <c r="Y555" s="76">
        <f>OrdersTable[[#This Row],[Net Revenue]]-OrdersTable[[#This Row],[COGS]]-OrdersTable[[#This Row],[Shipping Cost]]</f>
        <v>1004.0999999999999</v>
      </c>
      <c r="Z555" s="78">
        <f>IFERROR(OrdersTable[[#This Row],[Profit]]/OrdersTable[[#This Row],[Net Revenue]],0)</f>
        <v>0.44644524476457248</v>
      </c>
      <c r="AA555" t="s">
        <v>3495</v>
      </c>
      <c r="AB555" s="79">
        <v>45409</v>
      </c>
      <c r="AC555">
        <f>OrdersTable[[#This Row],[Delivery Date]]-OrdersTable[[#This Row],[Order Date]]</f>
        <v>1</v>
      </c>
      <c r="AD555" t="str">
        <f>IF(OrdersTable[[#This Row],[Delivery Days]]&lt;=2, "Express (≤2d)", IF(OrdersTable[[#This Row],[Delivery Days]]&lt;=4, "Standard (3-4d)", "Delayed (5d+)"))</f>
        <v>Express (≤2d)</v>
      </c>
      <c r="AE555">
        <v>5</v>
      </c>
      <c r="AF555">
        <v>1</v>
      </c>
    </row>
    <row r="556" spans="1:32" ht="15" x14ac:dyDescent="0.35">
      <c r="A556" t="s">
        <v>2895</v>
      </c>
      <c r="B556" s="1">
        <v>45408</v>
      </c>
      <c r="C556">
        <f>YEAR(OrdersTable[[#This Row],[Order Date]])</f>
        <v>2024</v>
      </c>
      <c r="D556" s="2">
        <f>DATE(YEAR(OrdersTable[[#This Row],[Order Date]]),MONTH(OrdersTable[[#This Row],[Order Date]]),1)</f>
        <v>45383</v>
      </c>
      <c r="E556">
        <f>MONTH(OrdersTable[[#This Row],[Order Date]])</f>
        <v>4</v>
      </c>
      <c r="F556" t="s">
        <v>2896</v>
      </c>
      <c r="G556" t="str">
        <f>IF(OrdersTable[[#This Row],[Order Date]]=_xlfn.MINIFS(Order_Date, Customer_ID, OrdersTable[[#This Row],[Customer ID]]), "New", "Repeat")</f>
        <v>New</v>
      </c>
      <c r="H556" t="s">
        <v>59</v>
      </c>
      <c r="I556" t="str">
        <f>INDEX(State!B:B,MATCH(OrdersTable[[#This Row],[State]],State!A:A,0))</f>
        <v>TN</v>
      </c>
      <c r="J556" t="str">
        <f>INDEX(State!C:C,MATCH(OrdersTable[[#This Row],[State Code]],State!B:B,0))</f>
        <v>South</v>
      </c>
      <c r="K556" t="s">
        <v>60</v>
      </c>
      <c r="L556" t="s">
        <v>65</v>
      </c>
      <c r="M556" t="s">
        <v>24</v>
      </c>
      <c r="N556" t="str">
        <f>INDEX(Products!B:B,MATCH(OrdersTable[[#This Row],[Product ID]],Products!A:A,0))</f>
        <v>Scented Candle Set</v>
      </c>
      <c r="O556" t="str">
        <f>INDEX(Products!C:C,MATCH(OrdersTable[[#This Row],[Product ID]],Products!A:A,0))</f>
        <v>Home &amp; Kitchen</v>
      </c>
      <c r="P556">
        <v>1</v>
      </c>
      <c r="Q556" s="5">
        <v>699</v>
      </c>
      <c r="R556" s="74">
        <v>0.15</v>
      </c>
      <c r="S556" s="75">
        <f>OrdersTable[[#This Row],[Quantity]]*OrdersTable[[#This Row],[Unit Price]]</f>
        <v>699</v>
      </c>
      <c r="T556" s="5">
        <f>OrdersTable[[#This Row],[Gross Sale]]*OrdersTable[[#This Row],[Discount_Clean2]]</f>
        <v>104.85</v>
      </c>
      <c r="U556" s="5">
        <f>OrdersTable[[#This Row],[Gross Sale]]-OrdersTable[[#This Row],[Discount Amount]]</f>
        <v>594.15</v>
      </c>
      <c r="V556" s="77">
        <f>INDEX(Products!E:E,MATCH(OrdersTable[[#This Row],[Product ID]],Products!A:A,0))</f>
        <v>245</v>
      </c>
      <c r="W556" s="77">
        <f>OrdersTable[[#This Row],[Quantity]]*OrdersTable[[#This Row],[Unit Cost]]</f>
        <v>245</v>
      </c>
      <c r="X556" s="77">
        <f>'Dropdown Lists'!$I$2*(1+OrdersTable[[#This Row],[Returned]])</f>
        <v>120</v>
      </c>
      <c r="Y556" s="76">
        <f>OrdersTable[[#This Row],[Net Revenue]]-OrdersTable[[#This Row],[COGS]]-OrdersTable[[#This Row],[Shipping Cost]]</f>
        <v>229.14999999999998</v>
      </c>
      <c r="Z556" s="78">
        <f>IFERROR(OrdersTable[[#This Row],[Profit]]/OrdersTable[[#This Row],[Net Revenue]],0)</f>
        <v>0.38567701758815109</v>
      </c>
      <c r="AA556" t="s">
        <v>2522</v>
      </c>
      <c r="AB556" s="79">
        <v>45412</v>
      </c>
      <c r="AC556">
        <f>OrdersTable[[#This Row],[Delivery Date]]-OrdersTable[[#This Row],[Order Date]]</f>
        <v>4</v>
      </c>
      <c r="AD556" t="str">
        <f>IF(OrdersTable[[#This Row],[Delivery Days]]&lt;=2, "Express (≤2d)", IF(OrdersTable[[#This Row],[Delivery Days]]&lt;=4, "Standard (3-4d)", "Delayed (5d+)"))</f>
        <v>Standard (3-4d)</v>
      </c>
      <c r="AF556">
        <v>1</v>
      </c>
    </row>
    <row r="557" spans="1:32" ht="15" x14ac:dyDescent="0.35">
      <c r="A557" t="s">
        <v>3163</v>
      </c>
      <c r="B557" s="1">
        <v>45409</v>
      </c>
      <c r="C557">
        <f>YEAR(OrdersTable[[#This Row],[Order Date]])</f>
        <v>2024</v>
      </c>
      <c r="D557" s="2">
        <f>DATE(YEAR(OrdersTable[[#This Row],[Order Date]]),MONTH(OrdersTable[[#This Row],[Order Date]]),1)</f>
        <v>45383</v>
      </c>
      <c r="E557">
        <f>MONTH(OrdersTable[[#This Row],[Order Date]])</f>
        <v>4</v>
      </c>
      <c r="F557" t="s">
        <v>3164</v>
      </c>
      <c r="G557" t="str">
        <f>IF(OrdersTable[[#This Row],[Order Date]]=_xlfn.MINIFS(Order_Date, Customer_ID, OrdersTable[[#This Row],[Customer ID]]), "New", "Repeat")</f>
        <v>New</v>
      </c>
      <c r="H557" t="s">
        <v>158</v>
      </c>
      <c r="I557" t="str">
        <f>INDEX(State!B:B,MATCH(OrdersTable[[#This Row],[State]],State!A:A,0))</f>
        <v>HP</v>
      </c>
      <c r="J557" t="str">
        <f>INDEX(State!C:C,MATCH(OrdersTable[[#This Row],[State Code]],State!B:B,0))</f>
        <v>North</v>
      </c>
      <c r="K557" t="s">
        <v>159</v>
      </c>
      <c r="L557" t="s">
        <v>39</v>
      </c>
      <c r="M557" t="s">
        <v>56</v>
      </c>
      <c r="N557" t="str">
        <f>INDEX(Products!B:B,MATCH(OrdersTable[[#This Row],[Product ID]],Products!A:A,0))</f>
        <v>Vitamin C Face Serum</v>
      </c>
      <c r="O557" t="str">
        <f>INDEX(Products!C:C,MATCH(OrdersTable[[#This Row],[Product ID]],Products!A:A,0))</f>
        <v>Skincare</v>
      </c>
      <c r="P557">
        <v>1</v>
      </c>
      <c r="Q557" s="5">
        <v>599</v>
      </c>
      <c r="R557" s="74">
        <v>0.05</v>
      </c>
      <c r="S557" s="75">
        <f>OrdersTable[[#This Row],[Quantity]]*OrdersTable[[#This Row],[Unit Price]]</f>
        <v>599</v>
      </c>
      <c r="T557" s="5">
        <f>OrdersTable[[#This Row],[Gross Sale]]*OrdersTable[[#This Row],[Discount_Clean2]]</f>
        <v>29.950000000000003</v>
      </c>
      <c r="U557" s="5">
        <f>OrdersTable[[#This Row],[Gross Sale]]-OrdersTable[[#This Row],[Discount Amount]]</f>
        <v>569.04999999999995</v>
      </c>
      <c r="V557" s="77">
        <f>INDEX(Products!E:E,MATCH(OrdersTable[[#This Row],[Product ID]],Products!A:A,0))</f>
        <v>180</v>
      </c>
      <c r="W557" s="77">
        <f>OrdersTable[[#This Row],[Quantity]]*OrdersTable[[#This Row],[Unit Cost]]</f>
        <v>180</v>
      </c>
      <c r="X557" s="77">
        <f>'Dropdown Lists'!$I$2*(1+OrdersTable[[#This Row],[Returned]])</f>
        <v>60</v>
      </c>
      <c r="Y557" s="76">
        <f>OrdersTable[[#This Row],[Net Revenue]]-OrdersTable[[#This Row],[COGS]]-OrdersTable[[#This Row],[Shipping Cost]]</f>
        <v>329.04999999999995</v>
      </c>
      <c r="Z557" s="78">
        <f>IFERROR(OrdersTable[[#This Row],[Profit]]/OrdersTable[[#This Row],[Net Revenue]],0)</f>
        <v>0.57824444249187235</v>
      </c>
      <c r="AA557" t="s">
        <v>2522</v>
      </c>
      <c r="AB557" s="79">
        <v>45414</v>
      </c>
      <c r="AC557">
        <f>OrdersTable[[#This Row],[Delivery Date]]-OrdersTable[[#This Row],[Order Date]]</f>
        <v>5</v>
      </c>
      <c r="AD557" t="str">
        <f>IF(OrdersTable[[#This Row],[Delivery Days]]&lt;=2, "Express (≤2d)", IF(OrdersTable[[#This Row],[Delivery Days]]&lt;=4, "Standard (3-4d)", "Delayed (5d+)"))</f>
        <v>Delayed (5d+)</v>
      </c>
      <c r="AE557">
        <v>4</v>
      </c>
      <c r="AF557">
        <v>0</v>
      </c>
    </row>
    <row r="558" spans="1:32" ht="15" x14ac:dyDescent="0.35">
      <c r="A558" t="s">
        <v>1342</v>
      </c>
      <c r="B558" s="1">
        <v>45409</v>
      </c>
      <c r="C558">
        <f>YEAR(OrdersTable[[#This Row],[Order Date]])</f>
        <v>2024</v>
      </c>
      <c r="D558" s="2">
        <f>DATE(YEAR(OrdersTable[[#This Row],[Order Date]]),MONTH(OrdersTable[[#This Row],[Order Date]]),1)</f>
        <v>45383</v>
      </c>
      <c r="E558">
        <f>MONTH(OrdersTable[[#This Row],[Order Date]])</f>
        <v>4</v>
      </c>
      <c r="F558" t="s">
        <v>1343</v>
      </c>
      <c r="G558" t="str">
        <f>IF(OrdersTable[[#This Row],[Order Date]]=_xlfn.MINIFS(Order_Date, Customer_ID, OrdersTable[[#This Row],[Customer ID]]), "New", "Repeat")</f>
        <v>New</v>
      </c>
      <c r="H558" t="s">
        <v>32</v>
      </c>
      <c r="I558" t="str">
        <f>INDEX(State!B:B,MATCH(OrdersTable[[#This Row],[State]],State!A:A,0))</f>
        <v>BR</v>
      </c>
      <c r="J558" t="str">
        <f>INDEX(State!C:C,MATCH(OrdersTable[[#This Row],[State Code]],State!B:B,0))</f>
        <v>East</v>
      </c>
      <c r="K558" t="s">
        <v>33</v>
      </c>
      <c r="L558" t="s">
        <v>23</v>
      </c>
      <c r="M558" t="s">
        <v>56</v>
      </c>
      <c r="N558" t="str">
        <f>INDEX(Products!B:B,MATCH(OrdersTable[[#This Row],[Product ID]],Products!A:A,0))</f>
        <v>Vitamin C Face Serum</v>
      </c>
      <c r="O558" t="str">
        <f>INDEX(Products!C:C,MATCH(OrdersTable[[#This Row],[Product ID]],Products!A:A,0))</f>
        <v>Skincare</v>
      </c>
      <c r="P558">
        <v>1</v>
      </c>
      <c r="Q558" s="5">
        <v>599</v>
      </c>
      <c r="R558" s="74">
        <v>0.15</v>
      </c>
      <c r="S558" s="75">
        <f>OrdersTable[[#This Row],[Quantity]]*OrdersTable[[#This Row],[Unit Price]]</f>
        <v>599</v>
      </c>
      <c r="T558" s="5">
        <f>OrdersTable[[#This Row],[Gross Sale]]*OrdersTable[[#This Row],[Discount_Clean2]]</f>
        <v>89.85</v>
      </c>
      <c r="U558" s="5">
        <f>OrdersTable[[#This Row],[Gross Sale]]-OrdersTable[[#This Row],[Discount Amount]]</f>
        <v>509.15</v>
      </c>
      <c r="V558" s="77">
        <f>INDEX(Products!E:E,MATCH(OrdersTable[[#This Row],[Product ID]],Products!A:A,0))</f>
        <v>180</v>
      </c>
      <c r="W558" s="77">
        <f>OrdersTable[[#This Row],[Quantity]]*OrdersTable[[#This Row],[Unit Cost]]</f>
        <v>180</v>
      </c>
      <c r="X558" s="77">
        <f>'Dropdown Lists'!$I$2*(1+OrdersTable[[#This Row],[Returned]])</f>
        <v>60</v>
      </c>
      <c r="Y558" s="76">
        <f>OrdersTable[[#This Row],[Net Revenue]]-OrdersTable[[#This Row],[COGS]]-OrdersTable[[#This Row],[Shipping Cost]]</f>
        <v>269.14999999999998</v>
      </c>
      <c r="Z558" s="78">
        <f>IFERROR(OrdersTable[[#This Row],[Profit]]/OrdersTable[[#This Row],[Net Revenue]],0)</f>
        <v>0.52862614160856325</v>
      </c>
      <c r="AA558" t="s">
        <v>18</v>
      </c>
      <c r="AB558" s="79">
        <v>45414</v>
      </c>
      <c r="AC558">
        <f>OrdersTable[[#This Row],[Delivery Date]]-OrdersTable[[#This Row],[Order Date]]</f>
        <v>5</v>
      </c>
      <c r="AD558" t="str">
        <f>IF(OrdersTable[[#This Row],[Delivery Days]]&lt;=2, "Express (≤2d)", IF(OrdersTable[[#This Row],[Delivery Days]]&lt;=4, "Standard (3-4d)", "Delayed (5d+)"))</f>
        <v>Delayed (5d+)</v>
      </c>
      <c r="AF558">
        <v>0</v>
      </c>
    </row>
    <row r="559" spans="1:32" ht="15" x14ac:dyDescent="0.35">
      <c r="A559" t="s">
        <v>5663</v>
      </c>
      <c r="B559" s="1">
        <v>45409</v>
      </c>
      <c r="C559">
        <f>YEAR(OrdersTable[[#This Row],[Order Date]])</f>
        <v>2024</v>
      </c>
      <c r="D559" s="2">
        <f>DATE(YEAR(OrdersTable[[#This Row],[Order Date]]),MONTH(OrdersTable[[#This Row],[Order Date]]),1)</f>
        <v>45383</v>
      </c>
      <c r="E559">
        <f>MONTH(OrdersTable[[#This Row],[Order Date]])</f>
        <v>4</v>
      </c>
      <c r="F559" t="s">
        <v>2546</v>
      </c>
      <c r="G559" t="str">
        <f>IF(OrdersTable[[#This Row],[Order Date]]=_xlfn.MINIFS(Order_Date, Customer_ID, OrdersTable[[#This Row],[Customer ID]]), "New", "Repeat")</f>
        <v>Repeat</v>
      </c>
      <c r="H559" t="s">
        <v>37</v>
      </c>
      <c r="I559" t="str">
        <f>INDEX(State!B:B,MATCH(OrdersTable[[#This Row],[State]],State!A:A,0))</f>
        <v>GJ</v>
      </c>
      <c r="J559" t="str">
        <f>INDEX(State!C:C,MATCH(OrdersTable[[#This Row],[State Code]],State!B:B,0))</f>
        <v>West</v>
      </c>
      <c r="K559" t="s">
        <v>247</v>
      </c>
      <c r="L559" t="s">
        <v>50</v>
      </c>
      <c r="M559" t="s">
        <v>61</v>
      </c>
      <c r="N559" t="str">
        <f>INDEX(Products!B:B,MATCH(OrdersTable[[#This Row],[Product ID]],Products!A:A,0))</f>
        <v>Multivitamin Gummies</v>
      </c>
      <c r="O559" t="str">
        <f>INDEX(Products!C:C,MATCH(OrdersTable[[#This Row],[Product ID]],Products!A:A,0))</f>
        <v>Wellness</v>
      </c>
      <c r="P559">
        <v>2</v>
      </c>
      <c r="Q559" s="5">
        <v>699</v>
      </c>
      <c r="R559" s="74">
        <v>0.15</v>
      </c>
      <c r="S559" s="75">
        <f>OrdersTable[[#This Row],[Quantity]]*OrdersTable[[#This Row],[Unit Price]]</f>
        <v>1398</v>
      </c>
      <c r="T559" s="5">
        <f>OrdersTable[[#This Row],[Gross Sale]]*OrdersTable[[#This Row],[Discount_Clean2]]</f>
        <v>209.7</v>
      </c>
      <c r="U559" s="5">
        <f>OrdersTable[[#This Row],[Gross Sale]]-OrdersTable[[#This Row],[Discount Amount]]</f>
        <v>1188.3</v>
      </c>
      <c r="V559" s="77">
        <f>INDEX(Products!E:E,MATCH(OrdersTable[[#This Row],[Product ID]],Products!A:A,0))</f>
        <v>238</v>
      </c>
      <c r="W559" s="77">
        <f>OrdersTable[[#This Row],[Quantity]]*OrdersTable[[#This Row],[Unit Cost]]</f>
        <v>476</v>
      </c>
      <c r="X559" s="77">
        <f>'Dropdown Lists'!$I$2*(1+OrdersTable[[#This Row],[Returned]])</f>
        <v>60</v>
      </c>
      <c r="Y559" s="76">
        <f>OrdersTable[[#This Row],[Net Revenue]]-OrdersTable[[#This Row],[COGS]]-OrdersTable[[#This Row],[Shipping Cost]]</f>
        <v>652.29999999999995</v>
      </c>
      <c r="Z559" s="78">
        <f>IFERROR(OrdersTable[[#This Row],[Profit]]/OrdersTable[[#This Row],[Net Revenue]],0)</f>
        <v>0.54893545400993016</v>
      </c>
      <c r="AA559" t="s">
        <v>18</v>
      </c>
      <c r="AB559" s="79">
        <v>45411</v>
      </c>
      <c r="AC559">
        <f>OrdersTable[[#This Row],[Delivery Date]]-OrdersTable[[#This Row],[Order Date]]</f>
        <v>2</v>
      </c>
      <c r="AD559" t="str">
        <f>IF(OrdersTable[[#This Row],[Delivery Days]]&lt;=2, "Express (≤2d)", IF(OrdersTable[[#This Row],[Delivery Days]]&lt;=4, "Standard (3-4d)", "Delayed (5d+)"))</f>
        <v>Express (≤2d)</v>
      </c>
      <c r="AE559">
        <v>3</v>
      </c>
      <c r="AF559">
        <v>0</v>
      </c>
    </row>
    <row r="560" spans="1:32" ht="15" x14ac:dyDescent="0.35">
      <c r="A560" t="s">
        <v>2247</v>
      </c>
      <c r="B560" s="1">
        <v>45409</v>
      </c>
      <c r="C560">
        <f>YEAR(OrdersTable[[#This Row],[Order Date]])</f>
        <v>2024</v>
      </c>
      <c r="D560" s="2">
        <f>DATE(YEAR(OrdersTable[[#This Row],[Order Date]]),MONTH(OrdersTable[[#This Row],[Order Date]]),1)</f>
        <v>45383</v>
      </c>
      <c r="E560">
        <f>MONTH(OrdersTable[[#This Row],[Order Date]])</f>
        <v>4</v>
      </c>
      <c r="F560" t="s">
        <v>2248</v>
      </c>
      <c r="G560" t="str">
        <f>IF(OrdersTable[[#This Row],[Order Date]]=_xlfn.MINIFS(Order_Date, Customer_ID, OrdersTable[[#This Row],[Customer ID]]), "New", "Repeat")</f>
        <v>New</v>
      </c>
      <c r="H560" t="s">
        <v>71</v>
      </c>
      <c r="I560" t="str">
        <f>INDEX(State!B:B,MATCH(OrdersTable[[#This Row],[State]],State!A:A,0))</f>
        <v>MH</v>
      </c>
      <c r="J560" t="str">
        <f>INDEX(State!C:C,MATCH(OrdersTable[[#This Row],[State Code]],State!B:B,0))</f>
        <v>West</v>
      </c>
      <c r="K560" t="s">
        <v>81</v>
      </c>
      <c r="L560" t="s">
        <v>65</v>
      </c>
      <c r="M560" t="s">
        <v>29</v>
      </c>
      <c r="N560" t="str">
        <f>INDEX(Products!B:B,MATCH(OrdersTable[[#This Row],[Product ID]],Products!A:A,0))</f>
        <v>Joggers</v>
      </c>
      <c r="O560" t="str">
        <f>INDEX(Products!C:C,MATCH(OrdersTable[[#This Row],[Product ID]],Products!A:A,0))</f>
        <v>Apparel</v>
      </c>
      <c r="P560">
        <v>1</v>
      </c>
      <c r="Q560" s="5">
        <v>1199</v>
      </c>
      <c r="R560" s="74">
        <v>0.1</v>
      </c>
      <c r="S560" s="75">
        <f>OrdersTable[[#This Row],[Quantity]]*OrdersTable[[#This Row],[Unit Price]]</f>
        <v>1199</v>
      </c>
      <c r="T560" s="5">
        <f>OrdersTable[[#This Row],[Gross Sale]]*OrdersTable[[#This Row],[Discount_Clean2]]</f>
        <v>119.9</v>
      </c>
      <c r="U560" s="5">
        <f>OrdersTable[[#This Row],[Gross Sale]]-OrdersTable[[#This Row],[Discount Amount]]</f>
        <v>1079.0999999999999</v>
      </c>
      <c r="V560" s="77">
        <f>INDEX(Products!E:E,MATCH(OrdersTable[[#This Row],[Product ID]],Products!A:A,0))</f>
        <v>492</v>
      </c>
      <c r="W560" s="77">
        <f>OrdersTable[[#This Row],[Quantity]]*OrdersTable[[#This Row],[Unit Cost]]</f>
        <v>492</v>
      </c>
      <c r="X560" s="77">
        <f>'Dropdown Lists'!$I$2*(1+OrdersTable[[#This Row],[Returned]])</f>
        <v>60</v>
      </c>
      <c r="Y560" s="76">
        <f>OrdersTable[[#This Row],[Net Revenue]]-OrdersTable[[#This Row],[COGS]]-OrdersTable[[#This Row],[Shipping Cost]]</f>
        <v>527.09999999999991</v>
      </c>
      <c r="Z560" s="78">
        <f>IFERROR(OrdersTable[[#This Row],[Profit]]/OrdersTable[[#This Row],[Net Revenue]],0)</f>
        <v>0.48846260772866273</v>
      </c>
      <c r="AA560" t="s">
        <v>18</v>
      </c>
      <c r="AB560" s="79">
        <v>45411</v>
      </c>
      <c r="AC560">
        <f>OrdersTable[[#This Row],[Delivery Date]]-OrdersTable[[#This Row],[Order Date]]</f>
        <v>2</v>
      </c>
      <c r="AD560" t="str">
        <f>IF(OrdersTable[[#This Row],[Delivery Days]]&lt;=2, "Express (≤2d)", IF(OrdersTable[[#This Row],[Delivery Days]]&lt;=4, "Standard (3-4d)", "Delayed (5d+)"))</f>
        <v>Express (≤2d)</v>
      </c>
      <c r="AE560">
        <v>5</v>
      </c>
      <c r="AF560">
        <v>0</v>
      </c>
    </row>
    <row r="561" spans="1:32" ht="15" x14ac:dyDescent="0.35">
      <c r="A561" t="s">
        <v>6272</v>
      </c>
      <c r="B561" s="1">
        <v>45409</v>
      </c>
      <c r="C561">
        <f>YEAR(OrdersTable[[#This Row],[Order Date]])</f>
        <v>2024</v>
      </c>
      <c r="D561" s="2">
        <f>DATE(YEAR(OrdersTable[[#This Row],[Order Date]]),MONTH(OrdersTable[[#This Row],[Order Date]]),1)</f>
        <v>45383</v>
      </c>
      <c r="E561">
        <f>MONTH(OrdersTable[[#This Row],[Order Date]])</f>
        <v>4</v>
      </c>
      <c r="F561" t="s">
        <v>4548</v>
      </c>
      <c r="G561" t="str">
        <f>IF(OrdersTable[[#This Row],[Order Date]]=_xlfn.MINIFS(Order_Date, Customer_ID, OrdersTable[[#This Row],[Customer ID]]), "New", "Repeat")</f>
        <v>New</v>
      </c>
      <c r="H561" t="s">
        <v>275</v>
      </c>
      <c r="I561" t="str">
        <f>INDEX(State!B:B,MATCH(OrdersTable[[#This Row],[State]],State!A:A,0))</f>
        <v>AP</v>
      </c>
      <c r="J561" t="str">
        <f>INDEX(State!C:C,MATCH(OrdersTable[[#This Row],[State Code]],State!B:B,0))</f>
        <v>South</v>
      </c>
      <c r="K561" t="s">
        <v>276</v>
      </c>
      <c r="L561" t="s">
        <v>65</v>
      </c>
      <c r="M561" t="s">
        <v>160</v>
      </c>
      <c r="N561" t="str">
        <f>INDEX(Products!B:B,MATCH(OrdersTable[[#This Row],[Product ID]],Products!A:A,0))</f>
        <v>Niacinamide Toner</v>
      </c>
      <c r="O561" t="str">
        <f>INDEX(Products!C:C,MATCH(OrdersTable[[#This Row],[Product ID]],Products!A:A,0))</f>
        <v>Skincare</v>
      </c>
      <c r="P561">
        <v>2</v>
      </c>
      <c r="Q561" s="5">
        <v>399</v>
      </c>
      <c r="R561" s="74">
        <v>0.2</v>
      </c>
      <c r="S561" s="75">
        <f>OrdersTable[[#This Row],[Quantity]]*OrdersTable[[#This Row],[Unit Price]]</f>
        <v>798</v>
      </c>
      <c r="T561" s="5">
        <f>OrdersTable[[#This Row],[Gross Sale]]*OrdersTable[[#This Row],[Discount_Clean2]]</f>
        <v>159.60000000000002</v>
      </c>
      <c r="U561" s="5">
        <f>OrdersTable[[#This Row],[Gross Sale]]-OrdersTable[[#This Row],[Discount Amount]]</f>
        <v>638.4</v>
      </c>
      <c r="V561" s="77">
        <f>INDEX(Products!E:E,MATCH(OrdersTable[[#This Row],[Product ID]],Products!A:A,0))</f>
        <v>112</v>
      </c>
      <c r="W561" s="77">
        <f>OrdersTable[[#This Row],[Quantity]]*OrdersTable[[#This Row],[Unit Cost]]</f>
        <v>224</v>
      </c>
      <c r="X561" s="77">
        <f>'Dropdown Lists'!$I$2*(1+OrdersTable[[#This Row],[Returned]])</f>
        <v>60</v>
      </c>
      <c r="Y561" s="76">
        <f>OrdersTable[[#This Row],[Net Revenue]]-OrdersTable[[#This Row],[COGS]]-OrdersTable[[#This Row],[Shipping Cost]]</f>
        <v>354.4</v>
      </c>
      <c r="Z561" s="78">
        <f>IFERROR(OrdersTable[[#This Row],[Profit]]/OrdersTable[[#This Row],[Net Revenue]],0)</f>
        <v>0.55513784461152882</v>
      </c>
      <c r="AA561" t="s">
        <v>18</v>
      </c>
      <c r="AB561" s="79">
        <v>45412</v>
      </c>
      <c r="AC561">
        <f>OrdersTable[[#This Row],[Delivery Date]]-OrdersTable[[#This Row],[Order Date]]</f>
        <v>3</v>
      </c>
      <c r="AD561" t="str">
        <f>IF(OrdersTable[[#This Row],[Delivery Days]]&lt;=2, "Express (≤2d)", IF(OrdersTable[[#This Row],[Delivery Days]]&lt;=4, "Standard (3-4d)", "Delayed (5d+)"))</f>
        <v>Standard (3-4d)</v>
      </c>
      <c r="AE561">
        <v>3</v>
      </c>
      <c r="AF561">
        <v>0</v>
      </c>
    </row>
    <row r="562" spans="1:32" ht="15" x14ac:dyDescent="0.35">
      <c r="A562" t="s">
        <v>7054</v>
      </c>
      <c r="B562" s="1">
        <v>45410</v>
      </c>
      <c r="C562">
        <f>YEAR(OrdersTable[[#This Row],[Order Date]])</f>
        <v>2024</v>
      </c>
      <c r="D562" s="2">
        <f>DATE(YEAR(OrdersTable[[#This Row],[Order Date]]),MONTH(OrdersTable[[#This Row],[Order Date]]),1)</f>
        <v>45383</v>
      </c>
      <c r="E562">
        <f>MONTH(OrdersTable[[#This Row],[Order Date]])</f>
        <v>4</v>
      </c>
      <c r="F562" t="s">
        <v>4376</v>
      </c>
      <c r="G562" t="str">
        <f>IF(OrdersTable[[#This Row],[Order Date]]=_xlfn.MINIFS(Order_Date, Customer_ID, OrdersTable[[#This Row],[Customer ID]]), "New", "Repeat")</f>
        <v>New</v>
      </c>
      <c r="H562" t="s">
        <v>32</v>
      </c>
      <c r="I562" t="str">
        <f>INDEX(State!B:B,MATCH(OrdersTable[[#This Row],[State]],State!A:A,0))</f>
        <v>BR</v>
      </c>
      <c r="J562" t="str">
        <f>INDEX(State!C:C,MATCH(OrdersTable[[#This Row],[State Code]],State!B:B,0))</f>
        <v>East</v>
      </c>
      <c r="K562" t="s">
        <v>33</v>
      </c>
      <c r="L562" t="s">
        <v>50</v>
      </c>
      <c r="M562" t="s">
        <v>109</v>
      </c>
      <c r="N562" t="str">
        <f>INDEX(Products!B:B,MATCH(OrdersTable[[#This Row],[Product ID]],Products!A:A,0))</f>
        <v>Onion Hair Oil</v>
      </c>
      <c r="O562" t="str">
        <f>INDEX(Products!C:C,MATCH(OrdersTable[[#This Row],[Product ID]],Products!A:A,0))</f>
        <v>Haircare</v>
      </c>
      <c r="P562">
        <v>4</v>
      </c>
      <c r="Q562" s="5">
        <v>349</v>
      </c>
      <c r="R562" s="74">
        <v>0.3</v>
      </c>
      <c r="S562" s="75">
        <f>OrdersTable[[#This Row],[Quantity]]*OrdersTable[[#This Row],[Unit Price]]</f>
        <v>1396</v>
      </c>
      <c r="T562" s="5">
        <f>OrdersTable[[#This Row],[Gross Sale]]*OrdersTable[[#This Row],[Discount_Clean2]]</f>
        <v>418.8</v>
      </c>
      <c r="U562" s="5">
        <f>OrdersTable[[#This Row],[Gross Sale]]-OrdersTable[[#This Row],[Discount Amount]]</f>
        <v>977.2</v>
      </c>
      <c r="V562" s="77">
        <f>INDEX(Products!E:E,MATCH(OrdersTable[[#This Row],[Product ID]],Products!A:A,0))</f>
        <v>105</v>
      </c>
      <c r="W562" s="77">
        <f>OrdersTable[[#This Row],[Quantity]]*OrdersTable[[#This Row],[Unit Cost]]</f>
        <v>420</v>
      </c>
      <c r="X562" s="77">
        <f>'Dropdown Lists'!$I$2*(1+OrdersTable[[#This Row],[Returned]])</f>
        <v>60</v>
      </c>
      <c r="Y562" s="76">
        <f>OrdersTable[[#This Row],[Net Revenue]]-OrdersTable[[#This Row],[COGS]]-OrdersTable[[#This Row],[Shipping Cost]]</f>
        <v>497.20000000000005</v>
      </c>
      <c r="Z562" s="78">
        <f>IFERROR(OrdersTable[[#This Row],[Profit]]/OrdersTable[[#This Row],[Net Revenue]],0)</f>
        <v>0.50880065493246007</v>
      </c>
      <c r="AA562" t="s">
        <v>18</v>
      </c>
      <c r="AB562" s="79">
        <v>45412</v>
      </c>
      <c r="AC562">
        <f>OrdersTable[[#This Row],[Delivery Date]]-OrdersTable[[#This Row],[Order Date]]</f>
        <v>2</v>
      </c>
      <c r="AD562" t="str">
        <f>IF(OrdersTable[[#This Row],[Delivery Days]]&lt;=2, "Express (≤2d)", IF(OrdersTable[[#This Row],[Delivery Days]]&lt;=4, "Standard (3-4d)", "Delayed (5d+)"))</f>
        <v>Express (≤2d)</v>
      </c>
      <c r="AE562">
        <v>4</v>
      </c>
      <c r="AF562">
        <v>0</v>
      </c>
    </row>
    <row r="563" spans="1:32" ht="15" x14ac:dyDescent="0.35">
      <c r="A563" t="s">
        <v>3964</v>
      </c>
      <c r="B563" s="1">
        <v>45410</v>
      </c>
      <c r="C563">
        <f>YEAR(OrdersTable[[#This Row],[Order Date]])</f>
        <v>2024</v>
      </c>
      <c r="D563" s="2">
        <f>DATE(YEAR(OrdersTable[[#This Row],[Order Date]]),MONTH(OrdersTable[[#This Row],[Order Date]]),1)</f>
        <v>45383</v>
      </c>
      <c r="E563">
        <f>MONTH(OrdersTable[[#This Row],[Order Date]])</f>
        <v>4</v>
      </c>
      <c r="F563" t="s">
        <v>3965</v>
      </c>
      <c r="G563" t="str">
        <f>IF(OrdersTable[[#This Row],[Order Date]]=_xlfn.MINIFS(Order_Date, Customer_ID, OrdersTable[[#This Row],[Customer ID]]), "New", "Repeat")</f>
        <v>New</v>
      </c>
      <c r="H563" t="s">
        <v>32</v>
      </c>
      <c r="I563" t="str">
        <f>INDEX(State!B:B,MATCH(OrdersTable[[#This Row],[State]],State!A:A,0))</f>
        <v>BR</v>
      </c>
      <c r="J563" t="str">
        <f>INDEX(State!C:C,MATCH(OrdersTable[[#This Row],[State Code]],State!B:B,0))</f>
        <v>East</v>
      </c>
      <c r="K563" t="s">
        <v>33</v>
      </c>
      <c r="L563" t="s">
        <v>65</v>
      </c>
      <c r="M563" t="s">
        <v>61</v>
      </c>
      <c r="N563" t="str">
        <f>INDEX(Products!B:B,MATCH(OrdersTable[[#This Row],[Product ID]],Products!A:A,0))</f>
        <v>Multivitamin Gummies</v>
      </c>
      <c r="O563" t="str">
        <f>INDEX(Products!C:C,MATCH(OrdersTable[[#This Row],[Product ID]],Products!A:A,0))</f>
        <v>Wellness</v>
      </c>
      <c r="P563">
        <v>1</v>
      </c>
      <c r="Q563" s="5">
        <v>699</v>
      </c>
      <c r="R563" s="74">
        <v>0.25</v>
      </c>
      <c r="S563" s="75">
        <f>OrdersTable[[#This Row],[Quantity]]*OrdersTable[[#This Row],[Unit Price]]</f>
        <v>699</v>
      </c>
      <c r="T563" s="5">
        <f>OrdersTable[[#This Row],[Gross Sale]]*OrdersTable[[#This Row],[Discount_Clean2]]</f>
        <v>174.75</v>
      </c>
      <c r="U563" s="5">
        <f>OrdersTable[[#This Row],[Gross Sale]]-OrdersTable[[#This Row],[Discount Amount]]</f>
        <v>524.25</v>
      </c>
      <c r="V563" s="77">
        <f>INDEX(Products!E:E,MATCH(OrdersTable[[#This Row],[Product ID]],Products!A:A,0))</f>
        <v>238</v>
      </c>
      <c r="W563" s="77">
        <f>OrdersTable[[#This Row],[Quantity]]*OrdersTable[[#This Row],[Unit Cost]]</f>
        <v>238</v>
      </c>
      <c r="X563" s="77">
        <f>'Dropdown Lists'!$I$2*(1+OrdersTable[[#This Row],[Returned]])</f>
        <v>60</v>
      </c>
      <c r="Y563" s="76">
        <f>OrdersTable[[#This Row],[Net Revenue]]-OrdersTable[[#This Row],[COGS]]-OrdersTable[[#This Row],[Shipping Cost]]</f>
        <v>226.25</v>
      </c>
      <c r="Z563" s="78">
        <f>IFERROR(OrdersTable[[#This Row],[Profit]]/OrdersTable[[#This Row],[Net Revenue]],0)</f>
        <v>0.43156890796375774</v>
      </c>
      <c r="AA563" t="s">
        <v>3495</v>
      </c>
      <c r="AB563" s="79">
        <v>45413</v>
      </c>
      <c r="AC563">
        <f>OrdersTable[[#This Row],[Delivery Date]]-OrdersTable[[#This Row],[Order Date]]</f>
        <v>3</v>
      </c>
      <c r="AD563" t="str">
        <f>IF(OrdersTable[[#This Row],[Delivery Days]]&lt;=2, "Express (≤2d)", IF(OrdersTable[[#This Row],[Delivery Days]]&lt;=4, "Standard (3-4d)", "Delayed (5d+)"))</f>
        <v>Standard (3-4d)</v>
      </c>
      <c r="AE563">
        <v>5</v>
      </c>
      <c r="AF563">
        <v>0</v>
      </c>
    </row>
    <row r="564" spans="1:32" ht="15" x14ac:dyDescent="0.35">
      <c r="A564" t="s">
        <v>5865</v>
      </c>
      <c r="B564" s="1">
        <v>45410</v>
      </c>
      <c r="C564">
        <f>YEAR(OrdersTable[[#This Row],[Order Date]])</f>
        <v>2024</v>
      </c>
      <c r="D564" s="2">
        <f>DATE(YEAR(OrdersTable[[#This Row],[Order Date]]),MONTH(OrdersTable[[#This Row],[Order Date]]),1)</f>
        <v>45383</v>
      </c>
      <c r="E564">
        <f>MONTH(OrdersTable[[#This Row],[Order Date]])</f>
        <v>4</v>
      </c>
      <c r="F564" t="s">
        <v>187</v>
      </c>
      <c r="G564" t="str">
        <f>IF(OrdersTable[[#This Row],[Order Date]]=_xlfn.MINIFS(Order_Date, Customer_ID, OrdersTable[[#This Row],[Customer ID]]), "New", "Repeat")</f>
        <v>New</v>
      </c>
      <c r="H564" t="s">
        <v>123</v>
      </c>
      <c r="I564" t="str">
        <f>INDEX(State!B:B,MATCH(OrdersTable[[#This Row],[State]],State!A:A,0))</f>
        <v>JH</v>
      </c>
      <c r="J564" t="str">
        <f>INDEX(State!C:C,MATCH(OrdersTable[[#This Row],[State Code]],State!B:B,0))</f>
        <v>East</v>
      </c>
      <c r="K564" t="s">
        <v>124</v>
      </c>
      <c r="L564" t="s">
        <v>65</v>
      </c>
      <c r="M564" t="s">
        <v>255</v>
      </c>
      <c r="N564" t="str">
        <f>INDEX(Products!B:B,MATCH(OrdersTable[[#This Row],[Product ID]],Products!A:A,0))</f>
        <v>Cotton Oversized T-Shirt</v>
      </c>
      <c r="O564" t="str">
        <f>INDEX(Products!C:C,MATCH(OrdersTable[[#This Row],[Product ID]],Products!A:A,0))</f>
        <v>Apparel</v>
      </c>
      <c r="P564">
        <v>2</v>
      </c>
      <c r="Q564" s="5">
        <v>799</v>
      </c>
      <c r="R564" s="74">
        <v>0.1</v>
      </c>
      <c r="S564" s="75">
        <f>OrdersTable[[#This Row],[Quantity]]*OrdersTable[[#This Row],[Unit Price]]</f>
        <v>1598</v>
      </c>
      <c r="T564" s="5">
        <f>OrdersTable[[#This Row],[Gross Sale]]*OrdersTable[[#This Row],[Discount_Clean2]]</f>
        <v>159.80000000000001</v>
      </c>
      <c r="U564" s="5">
        <f>OrdersTable[[#This Row],[Gross Sale]]-OrdersTable[[#This Row],[Discount Amount]]</f>
        <v>1438.2</v>
      </c>
      <c r="V564" s="77">
        <f>INDEX(Products!E:E,MATCH(OrdersTable[[#This Row],[Product ID]],Products!A:A,0))</f>
        <v>320</v>
      </c>
      <c r="W564" s="77">
        <f>OrdersTable[[#This Row],[Quantity]]*OrdersTable[[#This Row],[Unit Cost]]</f>
        <v>640</v>
      </c>
      <c r="X564" s="77">
        <f>'Dropdown Lists'!$I$2*(1+OrdersTable[[#This Row],[Returned]])</f>
        <v>60</v>
      </c>
      <c r="Y564" s="76">
        <f>OrdersTable[[#This Row],[Net Revenue]]-OrdersTable[[#This Row],[COGS]]-OrdersTable[[#This Row],[Shipping Cost]]</f>
        <v>738.2</v>
      </c>
      <c r="Z564" s="78">
        <f>IFERROR(OrdersTable[[#This Row],[Profit]]/OrdersTable[[#This Row],[Net Revenue]],0)</f>
        <v>0.51328048950076488</v>
      </c>
      <c r="AA564" t="s">
        <v>18</v>
      </c>
      <c r="AB564" s="79">
        <v>45415</v>
      </c>
      <c r="AC564">
        <f>OrdersTable[[#This Row],[Delivery Date]]-OrdersTable[[#This Row],[Order Date]]</f>
        <v>5</v>
      </c>
      <c r="AD564" t="str">
        <f>IF(OrdersTable[[#This Row],[Delivery Days]]&lt;=2, "Express (≤2d)", IF(OrdersTable[[#This Row],[Delivery Days]]&lt;=4, "Standard (3-4d)", "Delayed (5d+)"))</f>
        <v>Delayed (5d+)</v>
      </c>
      <c r="AF564">
        <v>0</v>
      </c>
    </row>
    <row r="565" spans="1:32" ht="15" x14ac:dyDescent="0.35">
      <c r="A565" t="s">
        <v>4462</v>
      </c>
      <c r="B565" s="1">
        <v>45410</v>
      </c>
      <c r="C565">
        <f>YEAR(OrdersTable[[#This Row],[Order Date]])</f>
        <v>2024</v>
      </c>
      <c r="D565" s="2">
        <f>DATE(YEAR(OrdersTable[[#This Row],[Order Date]]),MONTH(OrdersTable[[#This Row],[Order Date]]),1)</f>
        <v>45383</v>
      </c>
      <c r="E565">
        <f>MONTH(OrdersTable[[#This Row],[Order Date]])</f>
        <v>4</v>
      </c>
      <c r="F565" t="s">
        <v>4463</v>
      </c>
      <c r="G565" t="str">
        <f>IF(OrdersTable[[#This Row],[Order Date]]=_xlfn.MINIFS(Order_Date, Customer_ID, OrdersTable[[#This Row],[Customer ID]]), "New", "Repeat")</f>
        <v>Repeat</v>
      </c>
      <c r="H565" t="s">
        <v>71</v>
      </c>
      <c r="I565" t="str">
        <f>INDEX(State!B:B,MATCH(OrdersTable[[#This Row],[State]],State!A:A,0))</f>
        <v>MH</v>
      </c>
      <c r="J565" t="str">
        <f>INDEX(State!C:C,MATCH(OrdersTable[[#This Row],[State Code]],State!B:B,0))</f>
        <v>West</v>
      </c>
      <c r="K565" t="s">
        <v>81</v>
      </c>
      <c r="L565" t="s">
        <v>65</v>
      </c>
      <c r="M565" t="s">
        <v>176</v>
      </c>
      <c r="N565" t="str">
        <f>INDEX(Products!B:B,MATCH(OrdersTable[[#This Row],[Product ID]],Products!A:A,0))</f>
        <v>Denim Jacket</v>
      </c>
      <c r="O565" t="str">
        <f>INDEX(Products!C:C,MATCH(OrdersTable[[#This Row],[Product ID]],Products!A:A,0))</f>
        <v>Apparel</v>
      </c>
      <c r="P565">
        <v>1</v>
      </c>
      <c r="Q565" s="5">
        <v>2499</v>
      </c>
      <c r="R565" s="74">
        <v>0</v>
      </c>
      <c r="S565" s="75">
        <f>OrdersTable[[#This Row],[Quantity]]*OrdersTable[[#This Row],[Unit Price]]</f>
        <v>2499</v>
      </c>
      <c r="T565" s="5">
        <f>OrdersTable[[#This Row],[Gross Sale]]*OrdersTable[[#This Row],[Discount_Clean2]]</f>
        <v>0</v>
      </c>
      <c r="U565" s="5">
        <f>OrdersTable[[#This Row],[Gross Sale]]-OrdersTable[[#This Row],[Discount Amount]]</f>
        <v>2499</v>
      </c>
      <c r="V565" s="77">
        <f>INDEX(Products!E:E,MATCH(OrdersTable[[#This Row],[Product ID]],Products!A:A,0))</f>
        <v>1125</v>
      </c>
      <c r="W565" s="77">
        <f>OrdersTable[[#This Row],[Quantity]]*OrdersTable[[#This Row],[Unit Cost]]</f>
        <v>1125</v>
      </c>
      <c r="X565" s="77">
        <f>'Dropdown Lists'!$I$2*(1+OrdersTable[[#This Row],[Returned]])</f>
        <v>60</v>
      </c>
      <c r="Y565" s="76">
        <f>OrdersTable[[#This Row],[Net Revenue]]-OrdersTable[[#This Row],[COGS]]-OrdersTable[[#This Row],[Shipping Cost]]</f>
        <v>1314</v>
      </c>
      <c r="Z565" s="78">
        <f>IFERROR(OrdersTable[[#This Row],[Profit]]/OrdersTable[[#This Row],[Net Revenue]],0)</f>
        <v>0.5258103241296519</v>
      </c>
      <c r="AA565" t="s">
        <v>4450</v>
      </c>
      <c r="AB565" s="79">
        <v>45412</v>
      </c>
      <c r="AC565">
        <f>OrdersTable[[#This Row],[Delivery Date]]-OrdersTable[[#This Row],[Order Date]]</f>
        <v>2</v>
      </c>
      <c r="AD565" t="str">
        <f>IF(OrdersTable[[#This Row],[Delivery Days]]&lt;=2, "Express (≤2d)", IF(OrdersTable[[#This Row],[Delivery Days]]&lt;=4, "Standard (3-4d)", "Delayed (5d+)"))</f>
        <v>Express (≤2d)</v>
      </c>
      <c r="AE565">
        <v>4</v>
      </c>
      <c r="AF565">
        <v>0</v>
      </c>
    </row>
    <row r="566" spans="1:32" ht="15" x14ac:dyDescent="0.35">
      <c r="A566" t="s">
        <v>3857</v>
      </c>
      <c r="B566" s="1">
        <v>45410</v>
      </c>
      <c r="C566">
        <f>YEAR(OrdersTable[[#This Row],[Order Date]])</f>
        <v>2024</v>
      </c>
      <c r="D566" s="2">
        <f>DATE(YEAR(OrdersTable[[#This Row],[Order Date]]),MONTH(OrdersTable[[#This Row],[Order Date]]),1)</f>
        <v>45383</v>
      </c>
      <c r="E566">
        <f>MONTH(OrdersTable[[#This Row],[Order Date]])</f>
        <v>4</v>
      </c>
      <c r="F566" t="s">
        <v>3267</v>
      </c>
      <c r="G566" t="str">
        <f>IF(OrdersTable[[#This Row],[Order Date]]=_xlfn.MINIFS(Order_Date, Customer_ID, OrdersTable[[#This Row],[Customer ID]]), "New", "Repeat")</f>
        <v>New</v>
      </c>
      <c r="H566" t="s">
        <v>95</v>
      </c>
      <c r="I566" t="str">
        <f>INDEX(State!B:B,MATCH(OrdersTable[[#This Row],[State]],State!A:A,0))</f>
        <v>TG</v>
      </c>
      <c r="J566" t="str">
        <f>INDEX(State!C:C,MATCH(OrdersTable[[#This Row],[State Code]],State!B:B,0))</f>
        <v>South</v>
      </c>
      <c r="K566" t="s">
        <v>96</v>
      </c>
      <c r="L566" t="s">
        <v>16</v>
      </c>
      <c r="M566" t="s">
        <v>176</v>
      </c>
      <c r="N566" t="str">
        <f>INDEX(Products!B:B,MATCH(OrdersTable[[#This Row],[Product ID]],Products!A:A,0))</f>
        <v>Denim Jacket</v>
      </c>
      <c r="O566" t="str">
        <f>INDEX(Products!C:C,MATCH(OrdersTable[[#This Row],[Product ID]],Products!A:A,0))</f>
        <v>Apparel</v>
      </c>
      <c r="P566">
        <v>1</v>
      </c>
      <c r="Q566" s="5">
        <v>2499</v>
      </c>
      <c r="R566" s="74">
        <v>0.1</v>
      </c>
      <c r="S566" s="75">
        <f>OrdersTable[[#This Row],[Quantity]]*OrdersTable[[#This Row],[Unit Price]]</f>
        <v>2499</v>
      </c>
      <c r="T566" s="5">
        <f>OrdersTable[[#This Row],[Gross Sale]]*OrdersTable[[#This Row],[Discount_Clean2]]</f>
        <v>249.9</v>
      </c>
      <c r="U566" s="5">
        <f>OrdersTable[[#This Row],[Gross Sale]]-OrdersTable[[#This Row],[Discount Amount]]</f>
        <v>2249.1</v>
      </c>
      <c r="V566" s="77">
        <f>INDEX(Products!E:E,MATCH(OrdersTable[[#This Row],[Product ID]],Products!A:A,0))</f>
        <v>1125</v>
      </c>
      <c r="W566" s="77">
        <f>OrdersTable[[#This Row],[Quantity]]*OrdersTable[[#This Row],[Unit Cost]]</f>
        <v>1125</v>
      </c>
      <c r="X566" s="77">
        <f>'Dropdown Lists'!$I$2*(1+OrdersTable[[#This Row],[Returned]])</f>
        <v>60</v>
      </c>
      <c r="Y566" s="76">
        <f>OrdersTable[[#This Row],[Net Revenue]]-OrdersTable[[#This Row],[COGS]]-OrdersTable[[#This Row],[Shipping Cost]]</f>
        <v>1064.0999999999999</v>
      </c>
      <c r="Z566" s="78">
        <f>IFERROR(OrdersTable[[#This Row],[Profit]]/OrdersTable[[#This Row],[Net Revenue]],0)</f>
        <v>0.4731225823662798</v>
      </c>
      <c r="AA566" t="s">
        <v>3495</v>
      </c>
      <c r="AB566" s="79">
        <v>45414</v>
      </c>
      <c r="AC566">
        <f>OrdersTable[[#This Row],[Delivery Date]]-OrdersTable[[#This Row],[Order Date]]</f>
        <v>4</v>
      </c>
      <c r="AD566" t="str">
        <f>IF(OrdersTable[[#This Row],[Delivery Days]]&lt;=2, "Express (≤2d)", IF(OrdersTable[[#This Row],[Delivery Days]]&lt;=4, "Standard (3-4d)", "Delayed (5d+)"))</f>
        <v>Standard (3-4d)</v>
      </c>
      <c r="AE566">
        <v>3</v>
      </c>
      <c r="AF566">
        <v>0</v>
      </c>
    </row>
    <row r="567" spans="1:32" ht="15" x14ac:dyDescent="0.35">
      <c r="A567" t="s">
        <v>4908</v>
      </c>
      <c r="B567" s="1">
        <v>45410</v>
      </c>
      <c r="C567">
        <f>YEAR(OrdersTable[[#This Row],[Order Date]])</f>
        <v>2024</v>
      </c>
      <c r="D567" s="2">
        <f>DATE(YEAR(OrdersTable[[#This Row],[Order Date]]),MONTH(OrdersTable[[#This Row],[Order Date]]),1)</f>
        <v>45383</v>
      </c>
      <c r="E567">
        <f>MONTH(OrdersTable[[#This Row],[Order Date]])</f>
        <v>4</v>
      </c>
      <c r="F567" t="s">
        <v>3739</v>
      </c>
      <c r="G567" t="str">
        <f>IF(OrdersTable[[#This Row],[Order Date]]=_xlfn.MINIFS(Order_Date, Customer_ID, OrdersTable[[#This Row],[Customer ID]]), "New", "Repeat")</f>
        <v>New</v>
      </c>
      <c r="H567" t="s">
        <v>95</v>
      </c>
      <c r="I567" t="str">
        <f>INDEX(State!B:B,MATCH(OrdersTable[[#This Row],[State]],State!A:A,0))</f>
        <v>TG</v>
      </c>
      <c r="J567" t="str">
        <f>INDEX(State!C:C,MATCH(OrdersTable[[#This Row],[State Code]],State!B:B,0))</f>
        <v>South</v>
      </c>
      <c r="K567" t="s">
        <v>96</v>
      </c>
      <c r="L567" t="s">
        <v>65</v>
      </c>
      <c r="M567" t="s">
        <v>34</v>
      </c>
      <c r="N567" t="str">
        <f>INDEX(Products!B:B,MATCH(OrdersTable[[#This Row],[Product ID]],Products!A:A,0))</f>
        <v>Flip Flops</v>
      </c>
      <c r="O567" t="str">
        <f>INDEX(Products!C:C,MATCH(OrdersTable[[#This Row],[Product ID]],Products!A:A,0))</f>
        <v>Footwear</v>
      </c>
      <c r="P567">
        <v>2</v>
      </c>
      <c r="Q567" s="5">
        <v>399</v>
      </c>
      <c r="R567" s="74">
        <v>0.15</v>
      </c>
      <c r="S567" s="75">
        <f>OrdersTable[[#This Row],[Quantity]]*OrdersTable[[#This Row],[Unit Price]]</f>
        <v>798</v>
      </c>
      <c r="T567" s="5">
        <f>OrdersTable[[#This Row],[Gross Sale]]*OrdersTable[[#This Row],[Discount_Clean2]]</f>
        <v>119.69999999999999</v>
      </c>
      <c r="U567" s="5">
        <f>OrdersTable[[#This Row],[Gross Sale]]-OrdersTable[[#This Row],[Discount Amount]]</f>
        <v>678.3</v>
      </c>
      <c r="V567" s="77">
        <f>INDEX(Products!E:E,MATCH(OrdersTable[[#This Row],[Product ID]],Products!A:A,0))</f>
        <v>152</v>
      </c>
      <c r="W567" s="77">
        <f>OrdersTable[[#This Row],[Quantity]]*OrdersTable[[#This Row],[Unit Cost]]</f>
        <v>304</v>
      </c>
      <c r="X567" s="77">
        <f>'Dropdown Lists'!$I$2*(1+OrdersTable[[#This Row],[Returned]])</f>
        <v>120</v>
      </c>
      <c r="Y567" s="76">
        <f>OrdersTable[[#This Row],[Net Revenue]]-OrdersTable[[#This Row],[COGS]]-OrdersTable[[#This Row],[Shipping Cost]]</f>
        <v>254.29999999999995</v>
      </c>
      <c r="Z567" s="78">
        <f>IFERROR(OrdersTable[[#This Row],[Profit]]/OrdersTable[[#This Row],[Net Revenue]],0)</f>
        <v>0.37490785787999409</v>
      </c>
      <c r="AA567" t="s">
        <v>4074</v>
      </c>
      <c r="AB567" s="79">
        <v>45412</v>
      </c>
      <c r="AC567">
        <f>OrdersTable[[#This Row],[Delivery Date]]-OrdersTable[[#This Row],[Order Date]]</f>
        <v>2</v>
      </c>
      <c r="AD567" t="str">
        <f>IF(OrdersTable[[#This Row],[Delivery Days]]&lt;=2, "Express (≤2d)", IF(OrdersTable[[#This Row],[Delivery Days]]&lt;=4, "Standard (3-4d)", "Delayed (5d+)"))</f>
        <v>Express (≤2d)</v>
      </c>
      <c r="AF567">
        <v>1</v>
      </c>
    </row>
    <row r="568" spans="1:32" ht="15" x14ac:dyDescent="0.35">
      <c r="A568" t="s">
        <v>4658</v>
      </c>
      <c r="B568" s="1">
        <v>45410</v>
      </c>
      <c r="C568">
        <f>YEAR(OrdersTable[[#This Row],[Order Date]])</f>
        <v>2024</v>
      </c>
      <c r="D568" s="2">
        <f>DATE(YEAR(OrdersTable[[#This Row],[Order Date]]),MONTH(OrdersTable[[#This Row],[Order Date]]),1)</f>
        <v>45383</v>
      </c>
      <c r="E568">
        <f>MONTH(OrdersTable[[#This Row],[Order Date]])</f>
        <v>4</v>
      </c>
      <c r="F568" t="s">
        <v>1241</v>
      </c>
      <c r="G568" t="str">
        <f>IF(OrdersTable[[#This Row],[Order Date]]=_xlfn.MINIFS(Order_Date, Customer_ID, OrdersTable[[#This Row],[Customer ID]]), "New", "Repeat")</f>
        <v>New</v>
      </c>
      <c r="H568" t="s">
        <v>167</v>
      </c>
      <c r="I568" t="str">
        <f>INDEX(State!B:B,MATCH(OrdersTable[[#This Row],[State]],State!A:A,0))</f>
        <v>KA</v>
      </c>
      <c r="J568" t="str">
        <f>INDEX(State!C:C,MATCH(OrdersTable[[#This Row],[State Code]],State!B:B,0))</f>
        <v>South</v>
      </c>
      <c r="K568" t="s">
        <v>190</v>
      </c>
      <c r="L568" t="s">
        <v>23</v>
      </c>
      <c r="M568" t="s">
        <v>24</v>
      </c>
      <c r="N568" t="str">
        <f>INDEX(Products!B:B,MATCH(OrdersTable[[#This Row],[Product ID]],Products!A:A,0))</f>
        <v>Scented Candle Set</v>
      </c>
      <c r="O568" t="str">
        <f>INDEX(Products!C:C,MATCH(OrdersTable[[#This Row],[Product ID]],Products!A:A,0))</f>
        <v>Home &amp; Kitchen</v>
      </c>
      <c r="P568">
        <v>1</v>
      </c>
      <c r="Q568" s="5">
        <v>699</v>
      </c>
      <c r="R568" s="74">
        <v>0.25</v>
      </c>
      <c r="S568" s="75">
        <f>OrdersTable[[#This Row],[Quantity]]*OrdersTable[[#This Row],[Unit Price]]</f>
        <v>699</v>
      </c>
      <c r="T568" s="5">
        <f>OrdersTable[[#This Row],[Gross Sale]]*OrdersTable[[#This Row],[Discount_Clean2]]</f>
        <v>174.75</v>
      </c>
      <c r="U568" s="5">
        <f>OrdersTable[[#This Row],[Gross Sale]]-OrdersTable[[#This Row],[Discount Amount]]</f>
        <v>524.25</v>
      </c>
      <c r="V568" s="77">
        <f>INDEX(Products!E:E,MATCH(OrdersTable[[#This Row],[Product ID]],Products!A:A,0))</f>
        <v>245</v>
      </c>
      <c r="W568" s="77">
        <f>OrdersTable[[#This Row],[Quantity]]*OrdersTable[[#This Row],[Unit Cost]]</f>
        <v>245</v>
      </c>
      <c r="X568" s="77">
        <f>'Dropdown Lists'!$I$2*(1+OrdersTable[[#This Row],[Returned]])</f>
        <v>60</v>
      </c>
      <c r="Y568" s="76">
        <f>OrdersTable[[#This Row],[Net Revenue]]-OrdersTable[[#This Row],[COGS]]-OrdersTable[[#This Row],[Shipping Cost]]</f>
        <v>219.25</v>
      </c>
      <c r="Z568" s="78">
        <f>IFERROR(OrdersTable[[#This Row],[Profit]]/OrdersTable[[#This Row],[Net Revenue]],0)</f>
        <v>0.41821649976156416</v>
      </c>
      <c r="AA568" t="s">
        <v>4450</v>
      </c>
      <c r="AB568" s="79">
        <v>45412</v>
      </c>
      <c r="AC568">
        <f>OrdersTable[[#This Row],[Delivery Date]]-OrdersTable[[#This Row],[Order Date]]</f>
        <v>2</v>
      </c>
      <c r="AD568" t="str">
        <f>IF(OrdersTable[[#This Row],[Delivery Days]]&lt;=2, "Express (≤2d)", IF(OrdersTable[[#This Row],[Delivery Days]]&lt;=4, "Standard (3-4d)", "Delayed (5d+)"))</f>
        <v>Express (≤2d)</v>
      </c>
      <c r="AE568">
        <v>5</v>
      </c>
      <c r="AF568">
        <v>0</v>
      </c>
    </row>
    <row r="569" spans="1:32" ht="15" x14ac:dyDescent="0.35">
      <c r="A569" t="s">
        <v>4760</v>
      </c>
      <c r="B569" s="1">
        <v>45410</v>
      </c>
      <c r="C569">
        <f>YEAR(OrdersTable[[#This Row],[Order Date]])</f>
        <v>2024</v>
      </c>
      <c r="D569" s="2">
        <f>DATE(YEAR(OrdersTable[[#This Row],[Order Date]]),MONTH(OrdersTable[[#This Row],[Order Date]]),1)</f>
        <v>45383</v>
      </c>
      <c r="E569">
        <f>MONTH(OrdersTable[[#This Row],[Order Date]])</f>
        <v>4</v>
      </c>
      <c r="F569" t="s">
        <v>2978</v>
      </c>
      <c r="G569" t="str">
        <f>IF(OrdersTable[[#This Row],[Order Date]]=_xlfn.MINIFS(Order_Date, Customer_ID, OrdersTable[[#This Row],[Customer ID]]), "New", "Repeat")</f>
        <v>New</v>
      </c>
      <c r="H569" t="s">
        <v>316</v>
      </c>
      <c r="I569" t="str">
        <f>INDEX(State!B:B,MATCH(OrdersTable[[#This Row],[State]],State!A:A,0))</f>
        <v>KL</v>
      </c>
      <c r="J569" t="str">
        <f>INDEX(State!C:C,MATCH(OrdersTable[[#This Row],[State Code]],State!B:B,0))</f>
        <v>South</v>
      </c>
      <c r="K569" t="s">
        <v>338</v>
      </c>
      <c r="L569" t="s">
        <v>65</v>
      </c>
      <c r="M569" t="s">
        <v>106</v>
      </c>
      <c r="N569" t="str">
        <f>INDEX(Products!B:B,MATCH(OrdersTable[[#This Row],[Product ID]],Products!A:A,0))</f>
        <v>Keratin Hair Mask</v>
      </c>
      <c r="O569" t="str">
        <f>INDEX(Products!C:C,MATCH(OrdersTable[[#This Row],[Product ID]],Products!A:A,0))</f>
        <v>Haircare</v>
      </c>
      <c r="P569">
        <v>2</v>
      </c>
      <c r="Q569" s="5">
        <v>549</v>
      </c>
      <c r="R569" s="74">
        <v>0.15</v>
      </c>
      <c r="S569" s="75">
        <f>OrdersTable[[#This Row],[Quantity]]*OrdersTable[[#This Row],[Unit Price]]</f>
        <v>1098</v>
      </c>
      <c r="T569" s="5">
        <f>OrdersTable[[#This Row],[Gross Sale]]*OrdersTable[[#This Row],[Discount_Clean2]]</f>
        <v>164.7</v>
      </c>
      <c r="U569" s="5">
        <f>OrdersTable[[#This Row],[Gross Sale]]-OrdersTable[[#This Row],[Discount Amount]]</f>
        <v>933.3</v>
      </c>
      <c r="V569" s="77">
        <f>INDEX(Products!E:E,MATCH(OrdersTable[[#This Row],[Product ID]],Products!A:A,0))</f>
        <v>170</v>
      </c>
      <c r="W569" s="77">
        <f>OrdersTable[[#This Row],[Quantity]]*OrdersTable[[#This Row],[Unit Cost]]</f>
        <v>340</v>
      </c>
      <c r="X569" s="77">
        <f>'Dropdown Lists'!$I$2*(1+OrdersTable[[#This Row],[Returned]])</f>
        <v>120</v>
      </c>
      <c r="Y569" s="76">
        <f>OrdersTable[[#This Row],[Net Revenue]]-OrdersTable[[#This Row],[COGS]]-OrdersTable[[#This Row],[Shipping Cost]]</f>
        <v>473.29999999999995</v>
      </c>
      <c r="Z569" s="78">
        <f>IFERROR(OrdersTable[[#This Row],[Profit]]/OrdersTable[[#This Row],[Net Revenue]],0)</f>
        <v>0.50712525447337398</v>
      </c>
      <c r="AA569" t="s">
        <v>4450</v>
      </c>
      <c r="AB569" s="79">
        <v>45413</v>
      </c>
      <c r="AC569">
        <f>OrdersTable[[#This Row],[Delivery Date]]-OrdersTable[[#This Row],[Order Date]]</f>
        <v>3</v>
      </c>
      <c r="AD569" t="str">
        <f>IF(OrdersTable[[#This Row],[Delivery Days]]&lt;=2, "Express (≤2d)", IF(OrdersTable[[#This Row],[Delivery Days]]&lt;=4, "Standard (3-4d)", "Delayed (5d+)"))</f>
        <v>Standard (3-4d)</v>
      </c>
      <c r="AE569">
        <v>4</v>
      </c>
      <c r="AF569">
        <v>1</v>
      </c>
    </row>
    <row r="570" spans="1:32" ht="15" x14ac:dyDescent="0.35">
      <c r="A570" t="s">
        <v>3523</v>
      </c>
      <c r="B570" s="1">
        <v>45411</v>
      </c>
      <c r="C570">
        <f>YEAR(OrdersTable[[#This Row],[Order Date]])</f>
        <v>2024</v>
      </c>
      <c r="D570" s="2">
        <f>DATE(YEAR(OrdersTable[[#This Row],[Order Date]]),MONTH(OrdersTable[[#This Row],[Order Date]]),1)</f>
        <v>45383</v>
      </c>
      <c r="E570">
        <f>MONTH(OrdersTable[[#This Row],[Order Date]])</f>
        <v>4</v>
      </c>
      <c r="F570" t="s">
        <v>3524</v>
      </c>
      <c r="G570" t="str">
        <f>IF(OrdersTable[[#This Row],[Order Date]]=_xlfn.MINIFS(Order_Date, Customer_ID, OrdersTable[[#This Row],[Customer ID]]), "New", "Repeat")</f>
        <v>New</v>
      </c>
      <c r="H570" t="s">
        <v>128</v>
      </c>
      <c r="I570" t="str">
        <f>INDEX(State!B:B,MATCH(OrdersTable[[#This Row],[State]],State!A:A,0))</f>
        <v>DL</v>
      </c>
      <c r="J570" t="str">
        <f>INDEX(State!C:C,MATCH(OrdersTable[[#This Row],[State Code]],State!B:B,0))</f>
        <v>North</v>
      </c>
      <c r="K570" t="s">
        <v>129</v>
      </c>
      <c r="L570" t="s">
        <v>39</v>
      </c>
      <c r="M570" t="s">
        <v>148</v>
      </c>
      <c r="N570" t="str">
        <f>INDEX(Products!B:B,MATCH(OrdersTable[[#This Row],[Product ID]],Products!A:A,0))</f>
        <v>Smartwatch Strap</v>
      </c>
      <c r="O570" t="str">
        <f>INDEX(Products!C:C,MATCH(OrdersTable[[#This Row],[Product ID]],Products!A:A,0))</f>
        <v>Electronics</v>
      </c>
      <c r="P570">
        <v>1</v>
      </c>
      <c r="Q570" s="5">
        <v>499</v>
      </c>
      <c r="R570" s="74">
        <v>0.05</v>
      </c>
      <c r="S570" s="75">
        <f>OrdersTable[[#This Row],[Quantity]]*OrdersTable[[#This Row],[Unit Price]]</f>
        <v>499</v>
      </c>
      <c r="T570" s="5">
        <f>OrdersTable[[#This Row],[Gross Sale]]*OrdersTable[[#This Row],[Discount_Clean2]]</f>
        <v>24.950000000000003</v>
      </c>
      <c r="U570" s="5">
        <f>OrdersTable[[#This Row],[Gross Sale]]-OrdersTable[[#This Row],[Discount Amount]]</f>
        <v>474.05</v>
      </c>
      <c r="V570" s="77">
        <f>INDEX(Products!E:E,MATCH(OrdersTable[[#This Row],[Product ID]],Products!A:A,0))</f>
        <v>200</v>
      </c>
      <c r="W570" s="77">
        <f>OrdersTable[[#This Row],[Quantity]]*OrdersTable[[#This Row],[Unit Cost]]</f>
        <v>200</v>
      </c>
      <c r="X570" s="77">
        <f>'Dropdown Lists'!$I$2*(1+OrdersTable[[#This Row],[Returned]])</f>
        <v>60</v>
      </c>
      <c r="Y570" s="76">
        <f>OrdersTable[[#This Row],[Net Revenue]]-OrdersTable[[#This Row],[COGS]]-OrdersTable[[#This Row],[Shipping Cost]]</f>
        <v>214.05</v>
      </c>
      <c r="Z570" s="78">
        <f>IFERROR(OrdersTable[[#This Row],[Profit]]/OrdersTable[[#This Row],[Net Revenue]],0)</f>
        <v>0.45153464824385614</v>
      </c>
      <c r="AA570" t="s">
        <v>3495</v>
      </c>
      <c r="AB570" s="79">
        <v>45415</v>
      </c>
      <c r="AC570">
        <f>OrdersTable[[#This Row],[Delivery Date]]-OrdersTable[[#This Row],[Order Date]]</f>
        <v>4</v>
      </c>
      <c r="AD570" t="str">
        <f>IF(OrdersTable[[#This Row],[Delivery Days]]&lt;=2, "Express (≤2d)", IF(OrdersTable[[#This Row],[Delivery Days]]&lt;=4, "Standard (3-4d)", "Delayed (5d+)"))</f>
        <v>Standard (3-4d)</v>
      </c>
      <c r="AE570">
        <v>4</v>
      </c>
      <c r="AF570">
        <v>0</v>
      </c>
    </row>
    <row r="571" spans="1:32" ht="15" x14ac:dyDescent="0.35">
      <c r="A571" t="s">
        <v>2897</v>
      </c>
      <c r="B571" s="1">
        <v>45411</v>
      </c>
      <c r="C571">
        <f>YEAR(OrdersTable[[#This Row],[Order Date]])</f>
        <v>2024</v>
      </c>
      <c r="D571" s="2">
        <f>DATE(YEAR(OrdersTable[[#This Row],[Order Date]]),MONTH(OrdersTable[[#This Row],[Order Date]]),1)</f>
        <v>45383</v>
      </c>
      <c r="E571">
        <f>MONTH(OrdersTable[[#This Row],[Order Date]])</f>
        <v>4</v>
      </c>
      <c r="F571" t="s">
        <v>593</v>
      </c>
      <c r="G571" t="str">
        <f>IF(OrdersTable[[#This Row],[Order Date]]=_xlfn.MINIFS(Order_Date, Customer_ID, OrdersTable[[#This Row],[Customer ID]]), "New", "Repeat")</f>
        <v>New</v>
      </c>
      <c r="H571" t="s">
        <v>76</v>
      </c>
      <c r="I571" t="str">
        <f>INDEX(State!B:B,MATCH(OrdersTable[[#This Row],[State]],State!A:A,0))</f>
        <v>UP</v>
      </c>
      <c r="J571" t="str">
        <f>INDEX(State!C:C,MATCH(OrdersTable[[#This Row],[State Code]],State!B:B,0))</f>
        <v>North</v>
      </c>
      <c r="K571" t="s">
        <v>77</v>
      </c>
      <c r="L571" t="s">
        <v>16</v>
      </c>
      <c r="M571" t="s">
        <v>29</v>
      </c>
      <c r="N571" t="str">
        <f>INDEX(Products!B:B,MATCH(OrdersTable[[#This Row],[Product ID]],Products!A:A,0))</f>
        <v>Joggers</v>
      </c>
      <c r="O571" t="str">
        <f>INDEX(Products!C:C,MATCH(OrdersTable[[#This Row],[Product ID]],Products!A:A,0))</f>
        <v>Apparel</v>
      </c>
      <c r="P571">
        <v>1</v>
      </c>
      <c r="Q571" s="5">
        <v>1199</v>
      </c>
      <c r="R571" s="74">
        <v>0.1</v>
      </c>
      <c r="S571" s="75">
        <f>OrdersTable[[#This Row],[Quantity]]*OrdersTable[[#This Row],[Unit Price]]</f>
        <v>1199</v>
      </c>
      <c r="T571" s="5">
        <f>OrdersTable[[#This Row],[Gross Sale]]*OrdersTable[[#This Row],[Discount_Clean2]]</f>
        <v>119.9</v>
      </c>
      <c r="U571" s="5">
        <f>OrdersTable[[#This Row],[Gross Sale]]-OrdersTable[[#This Row],[Discount Amount]]</f>
        <v>1079.0999999999999</v>
      </c>
      <c r="V571" s="77">
        <f>INDEX(Products!E:E,MATCH(OrdersTable[[#This Row],[Product ID]],Products!A:A,0))</f>
        <v>492</v>
      </c>
      <c r="W571" s="77">
        <f>OrdersTable[[#This Row],[Quantity]]*OrdersTable[[#This Row],[Unit Cost]]</f>
        <v>492</v>
      </c>
      <c r="X571" s="77">
        <f>'Dropdown Lists'!$I$2*(1+OrdersTable[[#This Row],[Returned]])</f>
        <v>60</v>
      </c>
      <c r="Y571" s="76">
        <f>OrdersTable[[#This Row],[Net Revenue]]-OrdersTable[[#This Row],[COGS]]-OrdersTable[[#This Row],[Shipping Cost]]</f>
        <v>527.09999999999991</v>
      </c>
      <c r="Z571" s="78">
        <f>IFERROR(OrdersTable[[#This Row],[Profit]]/OrdersTable[[#This Row],[Net Revenue]],0)</f>
        <v>0.48846260772866273</v>
      </c>
      <c r="AA571" t="s">
        <v>2522</v>
      </c>
      <c r="AB571" s="79">
        <v>45415</v>
      </c>
      <c r="AC571">
        <f>OrdersTable[[#This Row],[Delivery Date]]-OrdersTable[[#This Row],[Order Date]]</f>
        <v>4</v>
      </c>
      <c r="AD571" t="str">
        <f>IF(OrdersTable[[#This Row],[Delivery Days]]&lt;=2, "Express (≤2d)", IF(OrdersTable[[#This Row],[Delivery Days]]&lt;=4, "Standard (3-4d)", "Delayed (5d+)"))</f>
        <v>Standard (3-4d)</v>
      </c>
      <c r="AF571">
        <v>0</v>
      </c>
    </row>
    <row r="572" spans="1:32" ht="15" x14ac:dyDescent="0.35">
      <c r="A572" t="s">
        <v>3165</v>
      </c>
      <c r="B572" s="1">
        <v>45411</v>
      </c>
      <c r="C572">
        <f>YEAR(OrdersTable[[#This Row],[Order Date]])</f>
        <v>2024</v>
      </c>
      <c r="D572" s="2">
        <f>DATE(YEAR(OrdersTable[[#This Row],[Order Date]]),MONTH(OrdersTable[[#This Row],[Order Date]]),1)</f>
        <v>45383</v>
      </c>
      <c r="E572">
        <f>MONTH(OrdersTable[[#This Row],[Order Date]])</f>
        <v>4</v>
      </c>
      <c r="F572" t="s">
        <v>384</v>
      </c>
      <c r="G572" t="str">
        <f>IF(OrdersTable[[#This Row],[Order Date]]=_xlfn.MINIFS(Order_Date, Customer_ID, OrdersTable[[#This Row],[Customer ID]]), "New", "Repeat")</f>
        <v>New</v>
      </c>
      <c r="H572" t="s">
        <v>71</v>
      </c>
      <c r="I572" t="str">
        <f>INDEX(State!B:B,MATCH(OrdersTable[[#This Row],[State]],State!A:A,0))</f>
        <v>MH</v>
      </c>
      <c r="J572" t="str">
        <f>INDEX(State!C:C,MATCH(OrdersTable[[#This Row],[State Code]],State!B:B,0))</f>
        <v>West</v>
      </c>
      <c r="K572" t="s">
        <v>72</v>
      </c>
      <c r="L572" t="s">
        <v>39</v>
      </c>
      <c r="M572" t="s">
        <v>148</v>
      </c>
      <c r="N572" t="str">
        <f>INDEX(Products!B:B,MATCH(OrdersTable[[#This Row],[Product ID]],Products!A:A,0))</f>
        <v>Smartwatch Strap</v>
      </c>
      <c r="O572" t="str">
        <f>INDEX(Products!C:C,MATCH(OrdersTable[[#This Row],[Product ID]],Products!A:A,0))</f>
        <v>Electronics</v>
      </c>
      <c r="P572">
        <v>1</v>
      </c>
      <c r="Q572" s="5">
        <v>499</v>
      </c>
      <c r="R572" s="74">
        <v>0.15</v>
      </c>
      <c r="S572" s="75">
        <f>OrdersTable[[#This Row],[Quantity]]*OrdersTable[[#This Row],[Unit Price]]</f>
        <v>499</v>
      </c>
      <c r="T572" s="5">
        <f>OrdersTable[[#This Row],[Gross Sale]]*OrdersTable[[#This Row],[Discount_Clean2]]</f>
        <v>74.849999999999994</v>
      </c>
      <c r="U572" s="5">
        <f>OrdersTable[[#This Row],[Gross Sale]]-OrdersTable[[#This Row],[Discount Amount]]</f>
        <v>424.15</v>
      </c>
      <c r="V572" s="77">
        <f>INDEX(Products!E:E,MATCH(OrdersTable[[#This Row],[Product ID]],Products!A:A,0))</f>
        <v>200</v>
      </c>
      <c r="W572" s="77">
        <f>OrdersTable[[#This Row],[Quantity]]*OrdersTable[[#This Row],[Unit Cost]]</f>
        <v>200</v>
      </c>
      <c r="X572" s="77">
        <f>'Dropdown Lists'!$I$2*(1+OrdersTable[[#This Row],[Returned]])</f>
        <v>60</v>
      </c>
      <c r="Y572" s="76">
        <f>OrdersTable[[#This Row],[Net Revenue]]-OrdersTable[[#This Row],[COGS]]-OrdersTable[[#This Row],[Shipping Cost]]</f>
        <v>164.14999999999998</v>
      </c>
      <c r="Z572" s="78">
        <f>IFERROR(OrdersTable[[#This Row],[Profit]]/OrdersTable[[#This Row],[Net Revenue]],0)</f>
        <v>0.38700931274313327</v>
      </c>
      <c r="AA572" t="s">
        <v>2522</v>
      </c>
      <c r="AB572" s="79">
        <v>45414</v>
      </c>
      <c r="AC572">
        <f>OrdersTable[[#This Row],[Delivery Date]]-OrdersTable[[#This Row],[Order Date]]</f>
        <v>3</v>
      </c>
      <c r="AD572" t="str">
        <f>IF(OrdersTable[[#This Row],[Delivery Days]]&lt;=2, "Express (≤2d)", IF(OrdersTable[[#This Row],[Delivery Days]]&lt;=4, "Standard (3-4d)", "Delayed (5d+)"))</f>
        <v>Standard (3-4d)</v>
      </c>
      <c r="AE572">
        <v>4</v>
      </c>
      <c r="AF572">
        <v>0</v>
      </c>
    </row>
    <row r="573" spans="1:32" ht="15" x14ac:dyDescent="0.35">
      <c r="A573" t="s">
        <v>1475</v>
      </c>
      <c r="B573" s="1">
        <v>45411</v>
      </c>
      <c r="C573">
        <f>YEAR(OrdersTable[[#This Row],[Order Date]])</f>
        <v>2024</v>
      </c>
      <c r="D573" s="2">
        <f>DATE(YEAR(OrdersTable[[#This Row],[Order Date]]),MONTH(OrdersTable[[#This Row],[Order Date]]),1)</f>
        <v>45383</v>
      </c>
      <c r="E573">
        <f>MONTH(OrdersTable[[#This Row],[Order Date]])</f>
        <v>4</v>
      </c>
      <c r="F573" t="s">
        <v>1127</v>
      </c>
      <c r="G573" t="str">
        <f>IF(OrdersTable[[#This Row],[Order Date]]=_xlfn.MINIFS(Order_Date, Customer_ID, OrdersTable[[#This Row],[Customer ID]]), "New", "Repeat")</f>
        <v>Repeat</v>
      </c>
      <c r="H573" t="s">
        <v>71</v>
      </c>
      <c r="I573" t="str">
        <f>INDEX(State!B:B,MATCH(OrdersTable[[#This Row],[State]],State!A:A,0))</f>
        <v>MH</v>
      </c>
      <c r="J573" t="str">
        <f>INDEX(State!C:C,MATCH(OrdersTable[[#This Row],[State Code]],State!B:B,0))</f>
        <v>West</v>
      </c>
      <c r="K573" t="s">
        <v>72</v>
      </c>
      <c r="L573" t="s">
        <v>39</v>
      </c>
      <c r="M573" t="s">
        <v>78</v>
      </c>
      <c r="N573" t="str">
        <f>INDEX(Products!B:B,MATCH(OrdersTable[[#This Row],[Product ID]],Products!A:A,0))</f>
        <v>Retinol Night Cream</v>
      </c>
      <c r="O573" t="str">
        <f>INDEX(Products!C:C,MATCH(OrdersTable[[#This Row],[Product ID]],Products!A:A,0))</f>
        <v>Skincare</v>
      </c>
      <c r="P573">
        <v>1</v>
      </c>
      <c r="Q573" s="5">
        <v>799</v>
      </c>
      <c r="R573" s="74">
        <v>0</v>
      </c>
      <c r="S573" s="75">
        <f>OrdersTable[[#This Row],[Quantity]]*OrdersTable[[#This Row],[Unit Price]]</f>
        <v>799</v>
      </c>
      <c r="T573" s="5">
        <f>OrdersTable[[#This Row],[Gross Sale]]*OrdersTable[[#This Row],[Discount_Clean2]]</f>
        <v>0</v>
      </c>
      <c r="U573" s="5">
        <f>OrdersTable[[#This Row],[Gross Sale]]-OrdersTable[[#This Row],[Discount Amount]]</f>
        <v>799</v>
      </c>
      <c r="V573" s="77">
        <f>INDEX(Products!E:E,MATCH(OrdersTable[[#This Row],[Product ID]],Products!A:A,0))</f>
        <v>216</v>
      </c>
      <c r="W573" s="77">
        <f>OrdersTable[[#This Row],[Quantity]]*OrdersTable[[#This Row],[Unit Cost]]</f>
        <v>216</v>
      </c>
      <c r="X573" s="77">
        <f>'Dropdown Lists'!$I$2*(1+OrdersTable[[#This Row],[Returned]])</f>
        <v>60</v>
      </c>
      <c r="Y573" s="76">
        <f>OrdersTable[[#This Row],[Net Revenue]]-OrdersTable[[#This Row],[COGS]]-OrdersTable[[#This Row],[Shipping Cost]]</f>
        <v>523</v>
      </c>
      <c r="Z573" s="78">
        <f>IFERROR(OrdersTable[[#This Row],[Profit]]/OrdersTable[[#This Row],[Net Revenue]],0)</f>
        <v>0.65456821026282852</v>
      </c>
      <c r="AA573" t="s">
        <v>18</v>
      </c>
      <c r="AB573" s="79">
        <v>45414</v>
      </c>
      <c r="AC573">
        <f>OrdersTable[[#This Row],[Delivery Date]]-OrdersTable[[#This Row],[Order Date]]</f>
        <v>3</v>
      </c>
      <c r="AD573" t="str">
        <f>IF(OrdersTable[[#This Row],[Delivery Days]]&lt;=2, "Express (≤2d)", IF(OrdersTable[[#This Row],[Delivery Days]]&lt;=4, "Standard (3-4d)", "Delayed (5d+)"))</f>
        <v>Standard (3-4d)</v>
      </c>
      <c r="AF573">
        <v>0</v>
      </c>
    </row>
    <row r="574" spans="1:32" ht="15" x14ac:dyDescent="0.35">
      <c r="A574" t="s">
        <v>2898</v>
      </c>
      <c r="B574" s="1">
        <v>45412</v>
      </c>
      <c r="C574">
        <f>YEAR(OrdersTable[[#This Row],[Order Date]])</f>
        <v>2024</v>
      </c>
      <c r="D574" s="2">
        <f>DATE(YEAR(OrdersTable[[#This Row],[Order Date]]),MONTH(OrdersTable[[#This Row],[Order Date]]),1)</f>
        <v>45383</v>
      </c>
      <c r="E574">
        <f>MONTH(OrdersTable[[#This Row],[Order Date]])</f>
        <v>4</v>
      </c>
      <c r="F574" t="s">
        <v>845</v>
      </c>
      <c r="G574" t="str">
        <f>IF(OrdersTable[[#This Row],[Order Date]]=_xlfn.MINIFS(Order_Date, Customer_ID, OrdersTable[[#This Row],[Customer ID]]), "New", "Repeat")</f>
        <v>New</v>
      </c>
      <c r="H574" t="s">
        <v>37</v>
      </c>
      <c r="I574" t="str">
        <f>INDEX(State!B:B,MATCH(OrdersTable[[#This Row],[State]],State!A:A,0))</f>
        <v>GJ</v>
      </c>
      <c r="J574" t="str">
        <f>INDEX(State!C:C,MATCH(OrdersTable[[#This Row],[State Code]],State!B:B,0))</f>
        <v>West</v>
      </c>
      <c r="K574" t="s">
        <v>38</v>
      </c>
      <c r="L574" t="s">
        <v>65</v>
      </c>
      <c r="M574" t="s">
        <v>24</v>
      </c>
      <c r="N574" t="str">
        <f>INDEX(Products!B:B,MATCH(OrdersTable[[#This Row],[Product ID]],Products!A:A,0))</f>
        <v>Scented Candle Set</v>
      </c>
      <c r="O574" t="str">
        <f>INDEX(Products!C:C,MATCH(OrdersTable[[#This Row],[Product ID]],Products!A:A,0))</f>
        <v>Home &amp; Kitchen</v>
      </c>
      <c r="P574">
        <v>1</v>
      </c>
      <c r="Q574" s="5">
        <v>699</v>
      </c>
      <c r="R574" s="74">
        <v>0.15</v>
      </c>
      <c r="S574" s="75">
        <f>OrdersTable[[#This Row],[Quantity]]*OrdersTable[[#This Row],[Unit Price]]</f>
        <v>699</v>
      </c>
      <c r="T574" s="5">
        <f>OrdersTable[[#This Row],[Gross Sale]]*OrdersTable[[#This Row],[Discount_Clean2]]</f>
        <v>104.85</v>
      </c>
      <c r="U574" s="5">
        <f>OrdersTable[[#This Row],[Gross Sale]]-OrdersTable[[#This Row],[Discount Amount]]</f>
        <v>594.15</v>
      </c>
      <c r="V574" s="77">
        <f>INDEX(Products!E:E,MATCH(OrdersTable[[#This Row],[Product ID]],Products!A:A,0))</f>
        <v>245</v>
      </c>
      <c r="W574" s="77">
        <f>OrdersTable[[#This Row],[Quantity]]*OrdersTable[[#This Row],[Unit Cost]]</f>
        <v>245</v>
      </c>
      <c r="X574" s="77">
        <f>'Dropdown Lists'!$I$2*(1+OrdersTable[[#This Row],[Returned]])</f>
        <v>60</v>
      </c>
      <c r="Y574" s="76">
        <f>OrdersTable[[#This Row],[Net Revenue]]-OrdersTable[[#This Row],[COGS]]-OrdersTable[[#This Row],[Shipping Cost]]</f>
        <v>289.14999999999998</v>
      </c>
      <c r="Z574" s="78">
        <f>IFERROR(OrdersTable[[#This Row],[Profit]]/OrdersTable[[#This Row],[Net Revenue]],0)</f>
        <v>0.48666161743667424</v>
      </c>
      <c r="AA574" t="s">
        <v>2522</v>
      </c>
      <c r="AB574" s="79">
        <v>45415</v>
      </c>
      <c r="AC574">
        <f>OrdersTable[[#This Row],[Delivery Date]]-OrdersTable[[#This Row],[Order Date]]</f>
        <v>3</v>
      </c>
      <c r="AD574" t="str">
        <f>IF(OrdersTable[[#This Row],[Delivery Days]]&lt;=2, "Express (≤2d)", IF(OrdersTable[[#This Row],[Delivery Days]]&lt;=4, "Standard (3-4d)", "Delayed (5d+)"))</f>
        <v>Standard (3-4d)</v>
      </c>
      <c r="AF574">
        <v>0</v>
      </c>
    </row>
    <row r="575" spans="1:32" ht="15" x14ac:dyDescent="0.35">
      <c r="A575" t="s">
        <v>5086</v>
      </c>
      <c r="B575" s="1">
        <v>45412</v>
      </c>
      <c r="C575">
        <f>YEAR(OrdersTable[[#This Row],[Order Date]])</f>
        <v>2024</v>
      </c>
      <c r="D575" s="2">
        <f>DATE(YEAR(OrdersTable[[#This Row],[Order Date]]),MONTH(OrdersTable[[#This Row],[Order Date]]),1)</f>
        <v>45383</v>
      </c>
      <c r="E575">
        <f>MONTH(OrdersTable[[#This Row],[Order Date]])</f>
        <v>4</v>
      </c>
      <c r="F575" t="s">
        <v>3345</v>
      </c>
      <c r="G575" t="str">
        <f>IF(OrdersTable[[#This Row],[Order Date]]=_xlfn.MINIFS(Order_Date, Customer_ID, OrdersTable[[#This Row],[Customer ID]]), "New", "Repeat")</f>
        <v>New</v>
      </c>
      <c r="H575" t="s">
        <v>71</v>
      </c>
      <c r="I575" t="str">
        <f>INDEX(State!B:B,MATCH(OrdersTable[[#This Row],[State]],State!A:A,0))</f>
        <v>MH</v>
      </c>
      <c r="J575" t="str">
        <f>INDEX(State!C:C,MATCH(OrdersTable[[#This Row],[State Code]],State!B:B,0))</f>
        <v>West</v>
      </c>
      <c r="K575" t="s">
        <v>81</v>
      </c>
      <c r="L575" t="s">
        <v>50</v>
      </c>
      <c r="M575" t="s">
        <v>61</v>
      </c>
      <c r="N575" t="str">
        <f>INDEX(Products!B:B,MATCH(OrdersTable[[#This Row],[Product ID]],Products!A:A,0))</f>
        <v>Multivitamin Gummies</v>
      </c>
      <c r="O575" t="str">
        <f>INDEX(Products!C:C,MATCH(OrdersTable[[#This Row],[Product ID]],Products!A:A,0))</f>
        <v>Wellness</v>
      </c>
      <c r="P575">
        <v>2</v>
      </c>
      <c r="Q575" s="5">
        <v>699</v>
      </c>
      <c r="R575" s="74">
        <v>0.3</v>
      </c>
      <c r="S575" s="75">
        <f>OrdersTable[[#This Row],[Quantity]]*OrdersTable[[#This Row],[Unit Price]]</f>
        <v>1398</v>
      </c>
      <c r="T575" s="5">
        <f>OrdersTable[[#This Row],[Gross Sale]]*OrdersTable[[#This Row],[Discount_Clean2]]</f>
        <v>419.4</v>
      </c>
      <c r="U575" s="5">
        <f>OrdersTable[[#This Row],[Gross Sale]]-OrdersTable[[#This Row],[Discount Amount]]</f>
        <v>978.6</v>
      </c>
      <c r="V575" s="77">
        <f>INDEX(Products!E:E,MATCH(OrdersTable[[#This Row],[Product ID]],Products!A:A,0))</f>
        <v>238</v>
      </c>
      <c r="W575" s="77">
        <f>OrdersTable[[#This Row],[Quantity]]*OrdersTable[[#This Row],[Unit Cost]]</f>
        <v>476</v>
      </c>
      <c r="X575" s="77">
        <f>'Dropdown Lists'!$I$2*(1+OrdersTable[[#This Row],[Returned]])</f>
        <v>60</v>
      </c>
      <c r="Y575" s="76">
        <f>OrdersTable[[#This Row],[Net Revenue]]-OrdersTable[[#This Row],[COGS]]-OrdersTable[[#This Row],[Shipping Cost]]</f>
        <v>442.6</v>
      </c>
      <c r="Z575" s="78">
        <f>IFERROR(OrdersTable[[#This Row],[Profit]]/OrdersTable[[#This Row],[Net Revenue]],0)</f>
        <v>0.45227876558348662</v>
      </c>
      <c r="AA575" t="s">
        <v>3495</v>
      </c>
      <c r="AB575" s="79">
        <v>45414</v>
      </c>
      <c r="AC575">
        <f>OrdersTable[[#This Row],[Delivery Date]]-OrdersTable[[#This Row],[Order Date]]</f>
        <v>2</v>
      </c>
      <c r="AD575" t="str">
        <f>IF(OrdersTable[[#This Row],[Delivery Days]]&lt;=2, "Express (≤2d)", IF(OrdersTable[[#This Row],[Delivery Days]]&lt;=4, "Standard (3-4d)", "Delayed (5d+)"))</f>
        <v>Express (≤2d)</v>
      </c>
      <c r="AE575">
        <v>3</v>
      </c>
      <c r="AF575">
        <v>0</v>
      </c>
    </row>
    <row r="576" spans="1:32" ht="15" x14ac:dyDescent="0.35">
      <c r="A576" t="s">
        <v>2899</v>
      </c>
      <c r="B576" s="1">
        <v>45412</v>
      </c>
      <c r="C576">
        <f>YEAR(OrdersTable[[#This Row],[Order Date]])</f>
        <v>2024</v>
      </c>
      <c r="D576" s="2">
        <f>DATE(YEAR(OrdersTable[[#This Row],[Order Date]]),MONTH(OrdersTable[[#This Row],[Order Date]]),1)</f>
        <v>45383</v>
      </c>
      <c r="E576">
        <f>MONTH(OrdersTable[[#This Row],[Order Date]])</f>
        <v>4</v>
      </c>
      <c r="F576" t="s">
        <v>2900</v>
      </c>
      <c r="G576" t="str">
        <f>IF(OrdersTable[[#This Row],[Order Date]]=_xlfn.MINIFS(Order_Date, Customer_ID, OrdersTable[[#This Row],[Customer ID]]), "New", "Repeat")</f>
        <v>New</v>
      </c>
      <c r="H576" t="s">
        <v>316</v>
      </c>
      <c r="I576" t="str">
        <f>INDEX(State!B:B,MATCH(OrdersTable[[#This Row],[State]],State!A:A,0))</f>
        <v>KL</v>
      </c>
      <c r="J576" t="str">
        <f>INDEX(State!C:C,MATCH(OrdersTable[[#This Row],[State Code]],State!B:B,0))</f>
        <v>South</v>
      </c>
      <c r="K576" t="s">
        <v>317</v>
      </c>
      <c r="L576" t="s">
        <v>65</v>
      </c>
      <c r="M576" t="s">
        <v>34</v>
      </c>
      <c r="N576" t="str">
        <f>INDEX(Products!B:B,MATCH(OrdersTable[[#This Row],[Product ID]],Products!A:A,0))</f>
        <v>Flip Flops</v>
      </c>
      <c r="O576" t="str">
        <f>INDEX(Products!C:C,MATCH(OrdersTable[[#This Row],[Product ID]],Products!A:A,0))</f>
        <v>Footwear</v>
      </c>
      <c r="P576">
        <v>1</v>
      </c>
      <c r="Q576" s="5">
        <v>399</v>
      </c>
      <c r="R576" s="74">
        <v>0.1</v>
      </c>
      <c r="S576" s="75">
        <f>OrdersTable[[#This Row],[Quantity]]*OrdersTable[[#This Row],[Unit Price]]</f>
        <v>399</v>
      </c>
      <c r="T576" s="5">
        <f>OrdersTable[[#This Row],[Gross Sale]]*OrdersTable[[#This Row],[Discount_Clean2]]</f>
        <v>39.900000000000006</v>
      </c>
      <c r="U576" s="5">
        <f>OrdersTable[[#This Row],[Gross Sale]]-OrdersTable[[#This Row],[Discount Amount]]</f>
        <v>359.1</v>
      </c>
      <c r="V576" s="77">
        <f>INDEX(Products!E:E,MATCH(OrdersTable[[#This Row],[Product ID]],Products!A:A,0))</f>
        <v>152</v>
      </c>
      <c r="W576" s="77">
        <f>OrdersTable[[#This Row],[Quantity]]*OrdersTable[[#This Row],[Unit Cost]]</f>
        <v>152</v>
      </c>
      <c r="X576" s="77">
        <f>'Dropdown Lists'!$I$2*(1+OrdersTable[[#This Row],[Returned]])</f>
        <v>60</v>
      </c>
      <c r="Y576" s="76">
        <f>OrdersTable[[#This Row],[Net Revenue]]-OrdersTable[[#This Row],[COGS]]-OrdersTable[[#This Row],[Shipping Cost]]</f>
        <v>147.10000000000002</v>
      </c>
      <c r="Z576" s="78">
        <f>IFERROR(OrdersTable[[#This Row],[Profit]]/OrdersTable[[#This Row],[Net Revenue]],0)</f>
        <v>0.40963519910888335</v>
      </c>
      <c r="AA576" t="s">
        <v>2522</v>
      </c>
      <c r="AB576" s="79">
        <v>45416</v>
      </c>
      <c r="AC576">
        <f>OrdersTable[[#This Row],[Delivery Date]]-OrdersTable[[#This Row],[Order Date]]</f>
        <v>4</v>
      </c>
      <c r="AD576" t="str">
        <f>IF(OrdersTable[[#This Row],[Delivery Days]]&lt;=2, "Express (≤2d)", IF(OrdersTable[[#This Row],[Delivery Days]]&lt;=4, "Standard (3-4d)", "Delayed (5d+)"))</f>
        <v>Standard (3-4d)</v>
      </c>
      <c r="AF576">
        <v>0</v>
      </c>
    </row>
    <row r="577" spans="1:32" ht="15" x14ac:dyDescent="0.35">
      <c r="A577" t="s">
        <v>2249</v>
      </c>
      <c r="B577" s="1">
        <v>45413</v>
      </c>
      <c r="C577">
        <f>YEAR(OrdersTable[[#This Row],[Order Date]])</f>
        <v>2024</v>
      </c>
      <c r="D577" s="2">
        <f>DATE(YEAR(OrdersTable[[#This Row],[Order Date]]),MONTH(OrdersTable[[#This Row],[Order Date]]),1)</f>
        <v>45413</v>
      </c>
      <c r="E577">
        <f>MONTH(OrdersTable[[#This Row],[Order Date]])</f>
        <v>5</v>
      </c>
      <c r="F577" t="s">
        <v>2250</v>
      </c>
      <c r="G577" t="str">
        <f>IF(OrdersTable[[#This Row],[Order Date]]=_xlfn.MINIFS(Order_Date, Customer_ID, OrdersTable[[#This Row],[Customer ID]]), "New", "Repeat")</f>
        <v>New</v>
      </c>
      <c r="H577" t="s">
        <v>54</v>
      </c>
      <c r="I577" t="str">
        <f>INDEX(State!B:B,MATCH(OrdersTable[[#This Row],[State]],State!A:A,0))</f>
        <v>RJ</v>
      </c>
      <c r="J577" t="str">
        <f>INDEX(State!C:C,MATCH(OrdersTable[[#This Row],[State Code]],State!B:B,0))</f>
        <v>North</v>
      </c>
      <c r="K577" t="s">
        <v>227</v>
      </c>
      <c r="L577" t="s">
        <v>23</v>
      </c>
      <c r="M577" t="s">
        <v>66</v>
      </c>
      <c r="N577" t="str">
        <f>INDEX(Products!B:B,MATCH(OrdersTable[[#This Row],[Product ID]],Products!A:A,0))</f>
        <v>Sunscreen SPF 50</v>
      </c>
      <c r="O577" t="str">
        <f>INDEX(Products!C:C,MATCH(OrdersTable[[#This Row],[Product ID]],Products!A:A,0))</f>
        <v>Skincare</v>
      </c>
      <c r="P577">
        <v>1</v>
      </c>
      <c r="Q577" s="5">
        <v>449</v>
      </c>
      <c r="R577" s="74">
        <v>0.05</v>
      </c>
      <c r="S577" s="75">
        <f>OrdersTable[[#This Row],[Quantity]]*OrdersTable[[#This Row],[Unit Price]]</f>
        <v>449</v>
      </c>
      <c r="T577" s="5">
        <f>OrdersTable[[#This Row],[Gross Sale]]*OrdersTable[[#This Row],[Discount_Clean2]]</f>
        <v>22.450000000000003</v>
      </c>
      <c r="U577" s="5">
        <f>OrdersTable[[#This Row],[Gross Sale]]-OrdersTable[[#This Row],[Discount Amount]]</f>
        <v>426.55</v>
      </c>
      <c r="V577" s="77">
        <f>INDEX(Products!E:E,MATCH(OrdersTable[[#This Row],[Product ID]],Products!A:A,0))</f>
        <v>144</v>
      </c>
      <c r="W577" s="77">
        <f>OrdersTable[[#This Row],[Quantity]]*OrdersTable[[#This Row],[Unit Cost]]</f>
        <v>144</v>
      </c>
      <c r="X577" s="77">
        <f>'Dropdown Lists'!$I$2*(1+OrdersTable[[#This Row],[Returned]])</f>
        <v>60</v>
      </c>
      <c r="Y577" s="76">
        <f>OrdersTable[[#This Row],[Net Revenue]]-OrdersTable[[#This Row],[COGS]]-OrdersTable[[#This Row],[Shipping Cost]]</f>
        <v>222.55</v>
      </c>
      <c r="Z577" s="78">
        <f>IFERROR(OrdersTable[[#This Row],[Profit]]/OrdersTable[[#This Row],[Net Revenue]],0)</f>
        <v>0.52174422693705313</v>
      </c>
      <c r="AA577" t="s">
        <v>18</v>
      </c>
      <c r="AB577" s="79">
        <v>45416</v>
      </c>
      <c r="AC577">
        <f>OrdersTable[[#This Row],[Delivery Date]]-OrdersTable[[#This Row],[Order Date]]</f>
        <v>3</v>
      </c>
      <c r="AD577" t="str">
        <f>IF(OrdersTable[[#This Row],[Delivery Days]]&lt;=2, "Express (≤2d)", IF(OrdersTable[[#This Row],[Delivery Days]]&lt;=4, "Standard (3-4d)", "Delayed (5d+)"))</f>
        <v>Standard (3-4d)</v>
      </c>
      <c r="AE577">
        <v>5</v>
      </c>
      <c r="AF577">
        <v>0</v>
      </c>
    </row>
    <row r="578" spans="1:32" ht="15" x14ac:dyDescent="0.35">
      <c r="A578" t="s">
        <v>5313</v>
      </c>
      <c r="B578" s="1">
        <v>45413</v>
      </c>
      <c r="C578">
        <f>YEAR(OrdersTable[[#This Row],[Order Date]])</f>
        <v>2024</v>
      </c>
      <c r="D578" s="2">
        <f>DATE(YEAR(OrdersTable[[#This Row],[Order Date]]),MONTH(OrdersTable[[#This Row],[Order Date]]),1)</f>
        <v>45413</v>
      </c>
      <c r="E578">
        <f>MONTH(OrdersTable[[#This Row],[Order Date]])</f>
        <v>5</v>
      </c>
      <c r="F578" t="s">
        <v>5314</v>
      </c>
      <c r="G578" t="str">
        <f>IF(OrdersTable[[#This Row],[Order Date]]=_xlfn.MINIFS(Order_Date, Customer_ID, OrdersTable[[#This Row],[Customer ID]]), "New", "Repeat")</f>
        <v>New</v>
      </c>
      <c r="H578" t="s">
        <v>76</v>
      </c>
      <c r="I578" t="str">
        <f>INDEX(State!B:B,MATCH(OrdersTable[[#This Row],[State]],State!A:A,0))</f>
        <v>UP</v>
      </c>
      <c r="J578" t="str">
        <f>INDEX(State!C:C,MATCH(OrdersTable[[#This Row],[State Code]],State!B:B,0))</f>
        <v>North</v>
      </c>
      <c r="K578" t="s">
        <v>77</v>
      </c>
      <c r="L578" t="s">
        <v>16</v>
      </c>
      <c r="M578" t="s">
        <v>255</v>
      </c>
      <c r="N578" t="str">
        <f>INDEX(Products!B:B,MATCH(OrdersTable[[#This Row],[Product ID]],Products!A:A,0))</f>
        <v>Cotton Oversized T-Shirt</v>
      </c>
      <c r="O578" t="str">
        <f>INDEX(Products!C:C,MATCH(OrdersTable[[#This Row],[Product ID]],Products!A:A,0))</f>
        <v>Apparel</v>
      </c>
      <c r="P578">
        <v>2</v>
      </c>
      <c r="Q578" s="5">
        <v>799</v>
      </c>
      <c r="R578" s="74">
        <v>0.1</v>
      </c>
      <c r="S578" s="75">
        <f>OrdersTable[[#This Row],[Quantity]]*OrdersTable[[#This Row],[Unit Price]]</f>
        <v>1598</v>
      </c>
      <c r="T578" s="5">
        <f>OrdersTable[[#This Row],[Gross Sale]]*OrdersTable[[#This Row],[Discount_Clean2]]</f>
        <v>159.80000000000001</v>
      </c>
      <c r="U578" s="5">
        <f>OrdersTable[[#This Row],[Gross Sale]]-OrdersTable[[#This Row],[Discount Amount]]</f>
        <v>1438.2</v>
      </c>
      <c r="V578" s="77">
        <f>INDEX(Products!E:E,MATCH(OrdersTable[[#This Row],[Product ID]],Products!A:A,0))</f>
        <v>320</v>
      </c>
      <c r="W578" s="77">
        <f>OrdersTable[[#This Row],[Quantity]]*OrdersTable[[#This Row],[Unit Cost]]</f>
        <v>640</v>
      </c>
      <c r="X578" s="77">
        <f>'Dropdown Lists'!$I$2*(1+OrdersTable[[#This Row],[Returned]])</f>
        <v>120</v>
      </c>
      <c r="Y578" s="76">
        <f>OrdersTable[[#This Row],[Net Revenue]]-OrdersTable[[#This Row],[COGS]]-OrdersTable[[#This Row],[Shipping Cost]]</f>
        <v>678.2</v>
      </c>
      <c r="Z578" s="78">
        <f>IFERROR(OrdersTable[[#This Row],[Profit]]/OrdersTable[[#This Row],[Net Revenue]],0)</f>
        <v>0.47156167431511614</v>
      </c>
      <c r="AA578" t="s">
        <v>2522</v>
      </c>
      <c r="AB578" s="79">
        <v>45417</v>
      </c>
      <c r="AC578">
        <f>OrdersTable[[#This Row],[Delivery Date]]-OrdersTable[[#This Row],[Order Date]]</f>
        <v>4</v>
      </c>
      <c r="AD578" t="str">
        <f>IF(OrdersTable[[#This Row],[Delivery Days]]&lt;=2, "Express (≤2d)", IF(OrdersTable[[#This Row],[Delivery Days]]&lt;=4, "Standard (3-4d)", "Delayed (5d+)"))</f>
        <v>Standard (3-4d)</v>
      </c>
      <c r="AF578">
        <v>1</v>
      </c>
    </row>
    <row r="579" spans="1:32" ht="15" x14ac:dyDescent="0.35">
      <c r="A579" t="s">
        <v>2901</v>
      </c>
      <c r="B579" s="1">
        <v>45413</v>
      </c>
      <c r="C579">
        <f>YEAR(OrdersTable[[#This Row],[Order Date]])</f>
        <v>2024</v>
      </c>
      <c r="D579" s="2">
        <f>DATE(YEAR(OrdersTable[[#This Row],[Order Date]]),MONTH(OrdersTable[[#This Row],[Order Date]]),1)</f>
        <v>45413</v>
      </c>
      <c r="E579">
        <f>MONTH(OrdersTable[[#This Row],[Order Date]])</f>
        <v>5</v>
      </c>
      <c r="F579" t="s">
        <v>2902</v>
      </c>
      <c r="G579" t="str">
        <f>IF(OrdersTable[[#This Row],[Order Date]]=_xlfn.MINIFS(Order_Date, Customer_ID, OrdersTable[[#This Row],[Customer ID]]), "New", "Repeat")</f>
        <v>New</v>
      </c>
      <c r="H579" t="s">
        <v>32</v>
      </c>
      <c r="I579" t="str">
        <f>INDEX(State!B:B,MATCH(OrdersTable[[#This Row],[State]],State!A:A,0))</f>
        <v>BR</v>
      </c>
      <c r="J579" t="str">
        <f>INDEX(State!C:C,MATCH(OrdersTable[[#This Row],[State Code]],State!B:B,0))</f>
        <v>East</v>
      </c>
      <c r="K579" t="s">
        <v>33</v>
      </c>
      <c r="L579" t="s">
        <v>39</v>
      </c>
      <c r="M579" t="s">
        <v>92</v>
      </c>
      <c r="N579" t="str">
        <f>INDEX(Products!B:B,MATCH(OrdersTable[[#This Row],[Product ID]],Products!A:A,0))</f>
        <v>Kolhapuri Sandals</v>
      </c>
      <c r="O579" t="str">
        <f>INDEX(Products!C:C,MATCH(OrdersTable[[#This Row],[Product ID]],Products!A:A,0))</f>
        <v>Footwear</v>
      </c>
      <c r="P579">
        <v>1</v>
      </c>
      <c r="Q579" s="5">
        <v>999</v>
      </c>
      <c r="R579" s="74">
        <v>0.05</v>
      </c>
      <c r="S579" s="75">
        <f>OrdersTable[[#This Row],[Quantity]]*OrdersTable[[#This Row],[Unit Price]]</f>
        <v>999</v>
      </c>
      <c r="T579" s="5">
        <f>OrdersTable[[#This Row],[Gross Sale]]*OrdersTable[[#This Row],[Discount_Clean2]]</f>
        <v>49.95</v>
      </c>
      <c r="U579" s="5">
        <f>OrdersTable[[#This Row],[Gross Sale]]-OrdersTable[[#This Row],[Discount Amount]]</f>
        <v>949.05</v>
      </c>
      <c r="V579" s="77">
        <f>INDEX(Products!E:E,MATCH(OrdersTable[[#This Row],[Product ID]],Products!A:A,0))</f>
        <v>400</v>
      </c>
      <c r="W579" s="77">
        <f>OrdersTable[[#This Row],[Quantity]]*OrdersTable[[#This Row],[Unit Cost]]</f>
        <v>400</v>
      </c>
      <c r="X579" s="77">
        <f>'Dropdown Lists'!$I$2*(1+OrdersTable[[#This Row],[Returned]])</f>
        <v>60</v>
      </c>
      <c r="Y579" s="76">
        <f>OrdersTable[[#This Row],[Net Revenue]]-OrdersTable[[#This Row],[COGS]]-OrdersTable[[#This Row],[Shipping Cost]]</f>
        <v>489.04999999999995</v>
      </c>
      <c r="Z579" s="78">
        <f>IFERROR(OrdersTable[[#This Row],[Profit]]/OrdersTable[[#This Row],[Net Revenue]],0)</f>
        <v>0.5153047784626732</v>
      </c>
      <c r="AA579" t="s">
        <v>2522</v>
      </c>
      <c r="AB579" s="79">
        <v>45417</v>
      </c>
      <c r="AC579">
        <f>OrdersTable[[#This Row],[Delivery Date]]-OrdersTable[[#This Row],[Order Date]]</f>
        <v>4</v>
      </c>
      <c r="AD579" t="str">
        <f>IF(OrdersTable[[#This Row],[Delivery Days]]&lt;=2, "Express (≤2d)", IF(OrdersTable[[#This Row],[Delivery Days]]&lt;=4, "Standard (3-4d)", "Delayed (5d+)"))</f>
        <v>Standard (3-4d)</v>
      </c>
      <c r="AF579">
        <v>0</v>
      </c>
    </row>
    <row r="580" spans="1:32" ht="15" x14ac:dyDescent="0.35">
      <c r="A580" t="s">
        <v>4761</v>
      </c>
      <c r="B580" s="1">
        <v>45413</v>
      </c>
      <c r="C580">
        <f>YEAR(OrdersTable[[#This Row],[Order Date]])</f>
        <v>2024</v>
      </c>
      <c r="D580" s="2">
        <f>DATE(YEAR(OrdersTable[[#This Row],[Order Date]]),MONTH(OrdersTable[[#This Row],[Order Date]]),1)</f>
        <v>45413</v>
      </c>
      <c r="E580">
        <f>MONTH(OrdersTable[[#This Row],[Order Date]])</f>
        <v>5</v>
      </c>
      <c r="F580" t="s">
        <v>309</v>
      </c>
      <c r="G580" t="str">
        <f>IF(OrdersTable[[#This Row],[Order Date]]=_xlfn.MINIFS(Order_Date, Customer_ID, OrdersTable[[#This Row],[Customer ID]]), "New", "Repeat")</f>
        <v>Repeat</v>
      </c>
      <c r="H580" t="s">
        <v>37</v>
      </c>
      <c r="I580" t="str">
        <f>INDEX(State!B:B,MATCH(OrdersTable[[#This Row],[State]],State!A:A,0))</f>
        <v>GJ</v>
      </c>
      <c r="J580" t="str">
        <f>INDEX(State!C:C,MATCH(OrdersTable[[#This Row],[State Code]],State!B:B,0))</f>
        <v>West</v>
      </c>
      <c r="K580" t="s">
        <v>247</v>
      </c>
      <c r="L580" t="s">
        <v>65</v>
      </c>
      <c r="M580" t="s">
        <v>24</v>
      </c>
      <c r="N580" t="str">
        <f>INDEX(Products!B:B,MATCH(OrdersTable[[#This Row],[Product ID]],Products!A:A,0))</f>
        <v>Scented Candle Set</v>
      </c>
      <c r="O580" t="str">
        <f>INDEX(Products!C:C,MATCH(OrdersTable[[#This Row],[Product ID]],Products!A:A,0))</f>
        <v>Home &amp; Kitchen</v>
      </c>
      <c r="P580">
        <v>2</v>
      </c>
      <c r="Q580" s="5">
        <v>699</v>
      </c>
      <c r="R580" s="74">
        <v>0.3</v>
      </c>
      <c r="S580" s="75">
        <f>OrdersTable[[#This Row],[Quantity]]*OrdersTable[[#This Row],[Unit Price]]</f>
        <v>1398</v>
      </c>
      <c r="T580" s="5">
        <f>OrdersTable[[#This Row],[Gross Sale]]*OrdersTable[[#This Row],[Discount_Clean2]]</f>
        <v>419.4</v>
      </c>
      <c r="U580" s="5">
        <f>OrdersTable[[#This Row],[Gross Sale]]-OrdersTable[[#This Row],[Discount Amount]]</f>
        <v>978.6</v>
      </c>
      <c r="V580" s="77">
        <f>INDEX(Products!E:E,MATCH(OrdersTable[[#This Row],[Product ID]],Products!A:A,0))</f>
        <v>245</v>
      </c>
      <c r="W580" s="77">
        <f>OrdersTable[[#This Row],[Quantity]]*OrdersTable[[#This Row],[Unit Cost]]</f>
        <v>490</v>
      </c>
      <c r="X580" s="77">
        <f>'Dropdown Lists'!$I$2*(1+OrdersTable[[#This Row],[Returned]])</f>
        <v>60</v>
      </c>
      <c r="Y580" s="76">
        <f>OrdersTable[[#This Row],[Net Revenue]]-OrdersTable[[#This Row],[COGS]]-OrdersTable[[#This Row],[Shipping Cost]]</f>
        <v>428.6</v>
      </c>
      <c r="Z580" s="78">
        <f>IFERROR(OrdersTable[[#This Row],[Profit]]/OrdersTable[[#This Row],[Net Revenue]],0)</f>
        <v>0.43797261393827919</v>
      </c>
      <c r="AA580" t="s">
        <v>4450</v>
      </c>
      <c r="AB580" s="79">
        <v>45416</v>
      </c>
      <c r="AC580">
        <f>OrdersTable[[#This Row],[Delivery Date]]-OrdersTable[[#This Row],[Order Date]]</f>
        <v>3</v>
      </c>
      <c r="AD580" t="str">
        <f>IF(OrdersTable[[#This Row],[Delivery Days]]&lt;=2, "Express (≤2d)", IF(OrdersTable[[#This Row],[Delivery Days]]&lt;=4, "Standard (3-4d)", "Delayed (5d+)"))</f>
        <v>Standard (3-4d)</v>
      </c>
      <c r="AE580">
        <v>4</v>
      </c>
      <c r="AF580">
        <v>0</v>
      </c>
    </row>
    <row r="581" spans="1:32" ht="15" x14ac:dyDescent="0.35">
      <c r="A581" t="s">
        <v>110</v>
      </c>
      <c r="B581" s="1">
        <v>45413</v>
      </c>
      <c r="C581">
        <f>YEAR(OrdersTable[[#This Row],[Order Date]])</f>
        <v>2024</v>
      </c>
      <c r="D581" s="2">
        <f>DATE(YEAR(OrdersTable[[#This Row],[Order Date]]),MONTH(OrdersTable[[#This Row],[Order Date]]),1)</f>
        <v>45413</v>
      </c>
      <c r="E581">
        <f>MONTH(OrdersTable[[#This Row],[Order Date]])</f>
        <v>5</v>
      </c>
      <c r="F581" t="s">
        <v>111</v>
      </c>
      <c r="G581" t="str">
        <f>IF(OrdersTable[[#This Row],[Order Date]]=_xlfn.MINIFS(Order_Date, Customer_ID, OrdersTable[[#This Row],[Customer ID]]), "New", "Repeat")</f>
        <v>Repeat</v>
      </c>
      <c r="H581" t="s">
        <v>14</v>
      </c>
      <c r="I581" t="str">
        <f>INDEX(State!B:B,MATCH(OrdersTable[[#This Row],[State]],State!A:A,0))</f>
        <v>OD</v>
      </c>
      <c r="J581" t="str">
        <f>INDEX(State!C:C,MATCH(OrdersTable[[#This Row],[State Code]],State!B:B,0))</f>
        <v>East</v>
      </c>
      <c r="K581" t="s">
        <v>15</v>
      </c>
      <c r="L581" t="s">
        <v>50</v>
      </c>
      <c r="M581" t="s">
        <v>73</v>
      </c>
      <c r="N581" t="str">
        <f>INDEX(Products!B:B,MATCH(OrdersTable[[#This Row],[Product ID]],Products!A:A,0))</f>
        <v>Hydrating Face Wash</v>
      </c>
      <c r="O581" t="str">
        <f>INDEX(Products!C:C,MATCH(OrdersTable[[#This Row],[Product ID]],Products!A:A,0))</f>
        <v>Skincare</v>
      </c>
      <c r="P581">
        <v>1</v>
      </c>
      <c r="Q581" s="5">
        <v>299</v>
      </c>
      <c r="R581" s="74">
        <v>0.05</v>
      </c>
      <c r="S581" s="75">
        <f>OrdersTable[[#This Row],[Quantity]]*OrdersTable[[#This Row],[Unit Price]]</f>
        <v>299</v>
      </c>
      <c r="T581" s="5">
        <f>OrdersTable[[#This Row],[Gross Sale]]*OrdersTable[[#This Row],[Discount_Clean2]]</f>
        <v>14.950000000000001</v>
      </c>
      <c r="U581" s="5">
        <f>OrdersTable[[#This Row],[Gross Sale]]-OrdersTable[[#This Row],[Discount Amount]]</f>
        <v>284.05</v>
      </c>
      <c r="V581" s="77">
        <f>INDEX(Products!E:E,MATCH(OrdersTable[[#This Row],[Product ID]],Products!A:A,0))</f>
        <v>90</v>
      </c>
      <c r="W581" s="77">
        <f>OrdersTable[[#This Row],[Quantity]]*OrdersTable[[#This Row],[Unit Cost]]</f>
        <v>90</v>
      </c>
      <c r="X581" s="77">
        <f>'Dropdown Lists'!$I$2*(1+OrdersTable[[#This Row],[Returned]])</f>
        <v>60</v>
      </c>
      <c r="Y581" s="76">
        <f>OrdersTable[[#This Row],[Net Revenue]]-OrdersTable[[#This Row],[COGS]]-OrdersTable[[#This Row],[Shipping Cost]]</f>
        <v>134.05000000000001</v>
      </c>
      <c r="Z581" s="78">
        <f>IFERROR(OrdersTable[[#This Row],[Profit]]/OrdersTable[[#This Row],[Net Revenue]],0)</f>
        <v>0.47192395704981521</v>
      </c>
      <c r="AA581" t="s">
        <v>18</v>
      </c>
      <c r="AB581" s="79">
        <v>45417</v>
      </c>
      <c r="AC581">
        <f>OrdersTable[[#This Row],[Delivery Date]]-OrdersTable[[#This Row],[Order Date]]</f>
        <v>4</v>
      </c>
      <c r="AD581" t="str">
        <f>IF(OrdersTable[[#This Row],[Delivery Days]]&lt;=2, "Express (≤2d)", IF(OrdersTable[[#This Row],[Delivery Days]]&lt;=4, "Standard (3-4d)", "Delayed (5d+)"))</f>
        <v>Standard (3-4d)</v>
      </c>
      <c r="AE581">
        <v>4</v>
      </c>
      <c r="AF581">
        <v>0</v>
      </c>
    </row>
    <row r="582" spans="1:32" ht="15" x14ac:dyDescent="0.35">
      <c r="A582" t="s">
        <v>6051</v>
      </c>
      <c r="B582" s="1">
        <v>45413</v>
      </c>
      <c r="C582">
        <f>YEAR(OrdersTable[[#This Row],[Order Date]])</f>
        <v>2024</v>
      </c>
      <c r="D582" s="2">
        <f>DATE(YEAR(OrdersTable[[#This Row],[Order Date]]),MONTH(OrdersTable[[#This Row],[Order Date]]),1)</f>
        <v>45413</v>
      </c>
      <c r="E582">
        <f>MONTH(OrdersTable[[#This Row],[Order Date]])</f>
        <v>5</v>
      </c>
      <c r="F582" t="s">
        <v>6052</v>
      </c>
      <c r="G582" t="str">
        <f>IF(OrdersTable[[#This Row],[Order Date]]=_xlfn.MINIFS(Order_Date, Customer_ID, OrdersTable[[#This Row],[Customer ID]]), "New", "Repeat")</f>
        <v>New</v>
      </c>
      <c r="H582" t="s">
        <v>275</v>
      </c>
      <c r="I582" t="str">
        <f>INDEX(State!B:B,MATCH(OrdersTable[[#This Row],[State]],State!A:A,0))</f>
        <v>AP</v>
      </c>
      <c r="J582" t="str">
        <f>INDEX(State!C:C,MATCH(OrdersTable[[#This Row],[State Code]],State!B:B,0))</f>
        <v>South</v>
      </c>
      <c r="K582" t="s">
        <v>276</v>
      </c>
      <c r="L582" t="s">
        <v>39</v>
      </c>
      <c r="M582" t="s">
        <v>61</v>
      </c>
      <c r="N582" t="str">
        <f>INDEX(Products!B:B,MATCH(OrdersTable[[#This Row],[Product ID]],Products!A:A,0))</f>
        <v>Multivitamin Gummies</v>
      </c>
      <c r="O582" t="str">
        <f>INDEX(Products!C:C,MATCH(OrdersTable[[#This Row],[Product ID]],Products!A:A,0))</f>
        <v>Wellness</v>
      </c>
      <c r="P582">
        <v>2</v>
      </c>
      <c r="Q582" s="5">
        <v>699</v>
      </c>
      <c r="R582" s="74">
        <v>0.1</v>
      </c>
      <c r="S582" s="75">
        <f>OrdersTable[[#This Row],[Quantity]]*OrdersTable[[#This Row],[Unit Price]]</f>
        <v>1398</v>
      </c>
      <c r="T582" s="5">
        <f>OrdersTable[[#This Row],[Gross Sale]]*OrdersTable[[#This Row],[Discount_Clean2]]</f>
        <v>139.80000000000001</v>
      </c>
      <c r="U582" s="5">
        <f>OrdersTable[[#This Row],[Gross Sale]]-OrdersTable[[#This Row],[Discount Amount]]</f>
        <v>1258.2</v>
      </c>
      <c r="V582" s="77">
        <f>INDEX(Products!E:E,MATCH(OrdersTable[[#This Row],[Product ID]],Products!A:A,0))</f>
        <v>238</v>
      </c>
      <c r="W582" s="77">
        <f>OrdersTable[[#This Row],[Quantity]]*OrdersTable[[#This Row],[Unit Cost]]</f>
        <v>476</v>
      </c>
      <c r="X582" s="77">
        <f>'Dropdown Lists'!$I$2*(1+OrdersTable[[#This Row],[Returned]])</f>
        <v>60</v>
      </c>
      <c r="Y582" s="76">
        <f>OrdersTable[[#This Row],[Net Revenue]]-OrdersTable[[#This Row],[COGS]]-OrdersTable[[#This Row],[Shipping Cost]]</f>
        <v>722.2</v>
      </c>
      <c r="Z582" s="78">
        <f>IFERROR(OrdersTable[[#This Row],[Profit]]/OrdersTable[[#This Row],[Net Revenue]],0)</f>
        <v>0.57399459545382292</v>
      </c>
      <c r="AA582" t="s">
        <v>18</v>
      </c>
      <c r="AB582" s="79">
        <v>45416</v>
      </c>
      <c r="AC582">
        <f>OrdersTable[[#This Row],[Delivery Date]]-OrdersTable[[#This Row],[Order Date]]</f>
        <v>3</v>
      </c>
      <c r="AD582" t="str">
        <f>IF(OrdersTable[[#This Row],[Delivery Days]]&lt;=2, "Express (≤2d)", IF(OrdersTable[[#This Row],[Delivery Days]]&lt;=4, "Standard (3-4d)", "Delayed (5d+)"))</f>
        <v>Standard (3-4d)</v>
      </c>
      <c r="AE582">
        <v>4</v>
      </c>
      <c r="AF582">
        <v>0</v>
      </c>
    </row>
    <row r="583" spans="1:32" ht="15" x14ac:dyDescent="0.35">
      <c r="A583" t="s">
        <v>2705</v>
      </c>
      <c r="B583" s="1">
        <v>45414</v>
      </c>
      <c r="C583">
        <f>YEAR(OrdersTable[[#This Row],[Order Date]])</f>
        <v>2024</v>
      </c>
      <c r="D583" s="2">
        <f>DATE(YEAR(OrdersTable[[#This Row],[Order Date]]),MONTH(OrdersTable[[#This Row],[Order Date]]),1)</f>
        <v>45413</v>
      </c>
      <c r="E583">
        <f>MONTH(OrdersTable[[#This Row],[Order Date]])</f>
        <v>5</v>
      </c>
      <c r="F583" t="s">
        <v>2706</v>
      </c>
      <c r="G583" t="str">
        <f>IF(OrdersTable[[#This Row],[Order Date]]=_xlfn.MINIFS(Order_Date, Customer_ID, OrdersTable[[#This Row],[Customer ID]]), "New", "Repeat")</f>
        <v>New</v>
      </c>
      <c r="H583" t="s">
        <v>54</v>
      </c>
      <c r="I583" t="str">
        <f>INDEX(State!B:B,MATCH(OrdersTable[[#This Row],[State]],State!A:A,0))</f>
        <v>RJ</v>
      </c>
      <c r="J583" t="str">
        <f>INDEX(State!C:C,MATCH(OrdersTable[[#This Row],[State Code]],State!B:B,0))</f>
        <v>North</v>
      </c>
      <c r="K583" t="s">
        <v>227</v>
      </c>
      <c r="L583" t="s">
        <v>23</v>
      </c>
      <c r="M583" t="s">
        <v>29</v>
      </c>
      <c r="N583" t="str">
        <f>INDEX(Products!B:B,MATCH(OrdersTable[[#This Row],[Product ID]],Products!A:A,0))</f>
        <v>Joggers</v>
      </c>
      <c r="O583" t="str">
        <f>INDEX(Products!C:C,MATCH(OrdersTable[[#This Row],[Product ID]],Products!A:A,0))</f>
        <v>Apparel</v>
      </c>
      <c r="P583">
        <v>1</v>
      </c>
      <c r="Q583" s="5">
        <v>1199</v>
      </c>
      <c r="R583" s="74">
        <v>0.15</v>
      </c>
      <c r="S583" s="75">
        <f>OrdersTable[[#This Row],[Quantity]]*OrdersTable[[#This Row],[Unit Price]]</f>
        <v>1199</v>
      </c>
      <c r="T583" s="5">
        <f>OrdersTable[[#This Row],[Gross Sale]]*OrdersTable[[#This Row],[Discount_Clean2]]</f>
        <v>179.85</v>
      </c>
      <c r="U583" s="5">
        <f>OrdersTable[[#This Row],[Gross Sale]]-OrdersTable[[#This Row],[Discount Amount]]</f>
        <v>1019.15</v>
      </c>
      <c r="V583" s="77">
        <f>INDEX(Products!E:E,MATCH(OrdersTable[[#This Row],[Product ID]],Products!A:A,0))</f>
        <v>492</v>
      </c>
      <c r="W583" s="77">
        <f>OrdersTable[[#This Row],[Quantity]]*OrdersTable[[#This Row],[Unit Cost]]</f>
        <v>492</v>
      </c>
      <c r="X583" s="77">
        <f>'Dropdown Lists'!$I$2*(1+OrdersTable[[#This Row],[Returned]])</f>
        <v>60</v>
      </c>
      <c r="Y583" s="76">
        <f>OrdersTable[[#This Row],[Net Revenue]]-OrdersTable[[#This Row],[COGS]]-OrdersTable[[#This Row],[Shipping Cost]]</f>
        <v>467.15</v>
      </c>
      <c r="Z583" s="78">
        <f>IFERROR(OrdersTable[[#This Row],[Profit]]/OrdersTable[[#This Row],[Net Revenue]],0)</f>
        <v>0.45837217288917231</v>
      </c>
      <c r="AA583" t="s">
        <v>2522</v>
      </c>
      <c r="AB583" s="79">
        <v>45420</v>
      </c>
      <c r="AC583">
        <f>OrdersTable[[#This Row],[Delivery Date]]-OrdersTable[[#This Row],[Order Date]]</f>
        <v>6</v>
      </c>
      <c r="AD583" t="str">
        <f>IF(OrdersTable[[#This Row],[Delivery Days]]&lt;=2, "Express (≤2d)", IF(OrdersTable[[#This Row],[Delivery Days]]&lt;=4, "Standard (3-4d)", "Delayed (5d+)"))</f>
        <v>Delayed (5d+)</v>
      </c>
      <c r="AE583">
        <v>3</v>
      </c>
      <c r="AF583">
        <v>0</v>
      </c>
    </row>
    <row r="584" spans="1:32" ht="15" x14ac:dyDescent="0.35">
      <c r="A584" t="s">
        <v>1852</v>
      </c>
      <c r="B584" s="1">
        <v>45414</v>
      </c>
      <c r="C584">
        <f>YEAR(OrdersTable[[#This Row],[Order Date]])</f>
        <v>2024</v>
      </c>
      <c r="D584" s="2">
        <f>DATE(YEAR(OrdersTable[[#This Row],[Order Date]]),MONTH(OrdersTable[[#This Row],[Order Date]]),1)</f>
        <v>45413</v>
      </c>
      <c r="E584">
        <f>MONTH(OrdersTable[[#This Row],[Order Date]])</f>
        <v>5</v>
      </c>
      <c r="F584" t="s">
        <v>980</v>
      </c>
      <c r="G584" t="str">
        <f>IF(OrdersTable[[#This Row],[Order Date]]=_xlfn.MINIFS(Order_Date, Customer_ID, OrdersTable[[#This Row],[Customer ID]]), "New", "Repeat")</f>
        <v>New</v>
      </c>
      <c r="H584" t="s">
        <v>32</v>
      </c>
      <c r="I584" t="str">
        <f>INDEX(State!B:B,MATCH(OrdersTable[[#This Row],[State]],State!A:A,0))</f>
        <v>BR</v>
      </c>
      <c r="J584" t="str">
        <f>INDEX(State!C:C,MATCH(OrdersTable[[#This Row],[State Code]],State!B:B,0))</f>
        <v>East</v>
      </c>
      <c r="K584" t="s">
        <v>33</v>
      </c>
      <c r="L584" t="s">
        <v>39</v>
      </c>
      <c r="M584" t="s">
        <v>125</v>
      </c>
      <c r="N584" t="str">
        <f>INDEX(Products!B:B,MATCH(OrdersTable[[#This Row],[Product ID]],Products!A:A,0))</f>
        <v>Copper Water Bottle</v>
      </c>
      <c r="O584" t="str">
        <f>INDEX(Products!C:C,MATCH(OrdersTable[[#This Row],[Product ID]],Products!A:A,0))</f>
        <v>Home &amp; Kitchen</v>
      </c>
      <c r="P584">
        <v>1</v>
      </c>
      <c r="Q584" s="5">
        <v>899</v>
      </c>
      <c r="R584" s="74">
        <v>0.05</v>
      </c>
      <c r="S584" s="75">
        <f>OrdersTable[[#This Row],[Quantity]]*OrdersTable[[#This Row],[Unit Price]]</f>
        <v>899</v>
      </c>
      <c r="T584" s="5">
        <f>OrdersTable[[#This Row],[Gross Sale]]*OrdersTable[[#This Row],[Discount_Clean2]]</f>
        <v>44.95</v>
      </c>
      <c r="U584" s="5">
        <f>OrdersTable[[#This Row],[Gross Sale]]-OrdersTable[[#This Row],[Discount Amount]]</f>
        <v>854.05</v>
      </c>
      <c r="V584" s="77">
        <f>INDEX(Products!E:E,MATCH(OrdersTable[[#This Row],[Product ID]],Products!A:A,0))</f>
        <v>378</v>
      </c>
      <c r="W584" s="77">
        <f>OrdersTable[[#This Row],[Quantity]]*OrdersTable[[#This Row],[Unit Cost]]</f>
        <v>378</v>
      </c>
      <c r="X584" s="77">
        <f>'Dropdown Lists'!$I$2*(1+OrdersTable[[#This Row],[Returned]])</f>
        <v>60</v>
      </c>
      <c r="Y584" s="76">
        <f>OrdersTable[[#This Row],[Net Revenue]]-OrdersTable[[#This Row],[COGS]]-OrdersTable[[#This Row],[Shipping Cost]]</f>
        <v>416.04999999999995</v>
      </c>
      <c r="Z584" s="78">
        <f>IFERROR(OrdersTable[[#This Row],[Profit]]/OrdersTable[[#This Row],[Net Revenue]],0)</f>
        <v>0.48714946431707745</v>
      </c>
      <c r="AA584" t="s">
        <v>18</v>
      </c>
      <c r="AB584" s="79">
        <v>45420</v>
      </c>
      <c r="AC584">
        <f>OrdersTable[[#This Row],[Delivery Date]]-OrdersTable[[#This Row],[Order Date]]</f>
        <v>6</v>
      </c>
      <c r="AD584" t="str">
        <f>IF(OrdersTable[[#This Row],[Delivery Days]]&lt;=2, "Express (≤2d)", IF(OrdersTable[[#This Row],[Delivery Days]]&lt;=4, "Standard (3-4d)", "Delayed (5d+)"))</f>
        <v>Delayed (5d+)</v>
      </c>
      <c r="AE584">
        <v>3</v>
      </c>
      <c r="AF584">
        <v>0</v>
      </c>
    </row>
    <row r="585" spans="1:32" ht="15" x14ac:dyDescent="0.35">
      <c r="A585" t="s">
        <v>3966</v>
      </c>
      <c r="B585" s="1">
        <v>45414</v>
      </c>
      <c r="C585">
        <f>YEAR(OrdersTable[[#This Row],[Order Date]])</f>
        <v>2024</v>
      </c>
      <c r="D585" s="2">
        <f>DATE(YEAR(OrdersTable[[#This Row],[Order Date]]),MONTH(OrdersTable[[#This Row],[Order Date]]),1)</f>
        <v>45413</v>
      </c>
      <c r="E585">
        <f>MONTH(OrdersTable[[#This Row],[Order Date]])</f>
        <v>5</v>
      </c>
      <c r="F585" t="s">
        <v>3967</v>
      </c>
      <c r="G585" t="str">
        <f>IF(OrdersTable[[#This Row],[Order Date]]=_xlfn.MINIFS(Order_Date, Customer_ID, OrdersTable[[#This Row],[Customer ID]]), "New", "Repeat")</f>
        <v>New</v>
      </c>
      <c r="H585" t="s">
        <v>37</v>
      </c>
      <c r="I585" t="str">
        <f>INDEX(State!B:B,MATCH(OrdersTable[[#This Row],[State]],State!A:A,0))</f>
        <v>GJ</v>
      </c>
      <c r="J585" t="str">
        <f>INDEX(State!C:C,MATCH(OrdersTable[[#This Row],[State Code]],State!B:B,0))</f>
        <v>West</v>
      </c>
      <c r="K585" t="s">
        <v>247</v>
      </c>
      <c r="L585" t="s">
        <v>39</v>
      </c>
      <c r="M585" t="s">
        <v>34</v>
      </c>
      <c r="N585" t="str">
        <f>INDEX(Products!B:B,MATCH(OrdersTable[[#This Row],[Product ID]],Products!A:A,0))</f>
        <v>Flip Flops</v>
      </c>
      <c r="O585" t="str">
        <f>INDEX(Products!C:C,MATCH(OrdersTable[[#This Row],[Product ID]],Products!A:A,0))</f>
        <v>Footwear</v>
      </c>
      <c r="P585">
        <v>1</v>
      </c>
      <c r="Q585" s="5">
        <v>399</v>
      </c>
      <c r="R585" s="74">
        <v>0.05</v>
      </c>
      <c r="S585" s="75">
        <f>OrdersTable[[#This Row],[Quantity]]*OrdersTable[[#This Row],[Unit Price]]</f>
        <v>399</v>
      </c>
      <c r="T585" s="5">
        <f>OrdersTable[[#This Row],[Gross Sale]]*OrdersTable[[#This Row],[Discount_Clean2]]</f>
        <v>19.950000000000003</v>
      </c>
      <c r="U585" s="5">
        <f>OrdersTable[[#This Row],[Gross Sale]]-OrdersTable[[#This Row],[Discount Amount]]</f>
        <v>379.05</v>
      </c>
      <c r="V585" s="77">
        <f>INDEX(Products!E:E,MATCH(OrdersTable[[#This Row],[Product ID]],Products!A:A,0))</f>
        <v>152</v>
      </c>
      <c r="W585" s="77">
        <f>OrdersTable[[#This Row],[Quantity]]*OrdersTable[[#This Row],[Unit Cost]]</f>
        <v>152</v>
      </c>
      <c r="X585" s="77">
        <f>'Dropdown Lists'!$I$2*(1+OrdersTable[[#This Row],[Returned]])</f>
        <v>60</v>
      </c>
      <c r="Y585" s="76">
        <f>OrdersTable[[#This Row],[Net Revenue]]-OrdersTable[[#This Row],[COGS]]-OrdersTable[[#This Row],[Shipping Cost]]</f>
        <v>167.05</v>
      </c>
      <c r="Z585" s="78">
        <f>IFERROR(OrdersTable[[#This Row],[Profit]]/OrdersTable[[#This Row],[Net Revenue]],0)</f>
        <v>0.44070703073473161</v>
      </c>
      <c r="AA585" t="s">
        <v>3495</v>
      </c>
      <c r="AB585" s="79">
        <v>45417</v>
      </c>
      <c r="AC585">
        <f>OrdersTable[[#This Row],[Delivery Date]]-OrdersTable[[#This Row],[Order Date]]</f>
        <v>3</v>
      </c>
      <c r="AD585" t="str">
        <f>IF(OrdersTable[[#This Row],[Delivery Days]]&lt;=2, "Express (≤2d)", IF(OrdersTable[[#This Row],[Delivery Days]]&lt;=4, "Standard (3-4d)", "Delayed (5d+)"))</f>
        <v>Standard (3-4d)</v>
      </c>
      <c r="AE585">
        <v>5</v>
      </c>
      <c r="AF585">
        <v>0</v>
      </c>
    </row>
    <row r="586" spans="1:32" ht="15" x14ac:dyDescent="0.35">
      <c r="A586" t="s">
        <v>5087</v>
      </c>
      <c r="B586" s="1">
        <v>45414</v>
      </c>
      <c r="C586">
        <f>YEAR(OrdersTable[[#This Row],[Order Date]])</f>
        <v>2024</v>
      </c>
      <c r="D586" s="2">
        <f>DATE(YEAR(OrdersTable[[#This Row],[Order Date]]),MONTH(OrdersTable[[#This Row],[Order Date]]),1)</f>
        <v>45413</v>
      </c>
      <c r="E586">
        <f>MONTH(OrdersTable[[#This Row],[Order Date]])</f>
        <v>5</v>
      </c>
      <c r="F586" t="s">
        <v>4070</v>
      </c>
      <c r="G586" t="str">
        <f>IF(OrdersTable[[#This Row],[Order Date]]=_xlfn.MINIFS(Order_Date, Customer_ID, OrdersTable[[#This Row],[Customer ID]]), "New", "Repeat")</f>
        <v>New</v>
      </c>
      <c r="H586" t="s">
        <v>43</v>
      </c>
      <c r="I586" t="str">
        <f>INDEX(State!B:B,MATCH(OrdersTable[[#This Row],[State]],State!A:A,0))</f>
        <v>MP</v>
      </c>
      <c r="J586" t="str">
        <f>INDEX(State!C:C,MATCH(OrdersTable[[#This Row],[State Code]],State!B:B,0))</f>
        <v>West</v>
      </c>
      <c r="K586" t="s">
        <v>250</v>
      </c>
      <c r="L586" t="s">
        <v>23</v>
      </c>
      <c r="M586" t="s">
        <v>160</v>
      </c>
      <c r="N586" t="str">
        <f>INDEX(Products!B:B,MATCH(OrdersTable[[#This Row],[Product ID]],Products!A:A,0))</f>
        <v>Niacinamide Toner</v>
      </c>
      <c r="O586" t="str">
        <f>INDEX(Products!C:C,MATCH(OrdersTable[[#This Row],[Product ID]],Products!A:A,0))</f>
        <v>Skincare</v>
      </c>
      <c r="P586">
        <v>2</v>
      </c>
      <c r="Q586" s="5">
        <v>399</v>
      </c>
      <c r="R586" s="74">
        <v>0.15</v>
      </c>
      <c r="S586" s="75">
        <f>OrdersTable[[#This Row],[Quantity]]*OrdersTable[[#This Row],[Unit Price]]</f>
        <v>798</v>
      </c>
      <c r="T586" s="5">
        <f>OrdersTable[[#This Row],[Gross Sale]]*OrdersTable[[#This Row],[Discount_Clean2]]</f>
        <v>119.69999999999999</v>
      </c>
      <c r="U586" s="5">
        <f>OrdersTable[[#This Row],[Gross Sale]]-OrdersTable[[#This Row],[Discount Amount]]</f>
        <v>678.3</v>
      </c>
      <c r="V586" s="77">
        <f>INDEX(Products!E:E,MATCH(OrdersTable[[#This Row],[Product ID]],Products!A:A,0))</f>
        <v>112</v>
      </c>
      <c r="W586" s="77">
        <f>OrdersTable[[#This Row],[Quantity]]*OrdersTable[[#This Row],[Unit Cost]]</f>
        <v>224</v>
      </c>
      <c r="X586" s="77">
        <f>'Dropdown Lists'!$I$2*(1+OrdersTable[[#This Row],[Returned]])</f>
        <v>60</v>
      </c>
      <c r="Y586" s="76">
        <f>OrdersTable[[#This Row],[Net Revenue]]-OrdersTable[[#This Row],[COGS]]-OrdersTable[[#This Row],[Shipping Cost]]</f>
        <v>394.29999999999995</v>
      </c>
      <c r="Z586" s="78">
        <f>IFERROR(OrdersTable[[#This Row],[Profit]]/OrdersTable[[#This Row],[Net Revenue]],0)</f>
        <v>0.58130620669320354</v>
      </c>
      <c r="AA586" t="s">
        <v>3495</v>
      </c>
      <c r="AB586" s="79">
        <v>45417</v>
      </c>
      <c r="AC586">
        <f>OrdersTable[[#This Row],[Delivery Date]]-OrdersTable[[#This Row],[Order Date]]</f>
        <v>3</v>
      </c>
      <c r="AD586" t="str">
        <f>IF(OrdersTable[[#This Row],[Delivery Days]]&lt;=2, "Express (≤2d)", IF(OrdersTable[[#This Row],[Delivery Days]]&lt;=4, "Standard (3-4d)", "Delayed (5d+)"))</f>
        <v>Standard (3-4d)</v>
      </c>
      <c r="AF586">
        <v>0</v>
      </c>
    </row>
    <row r="587" spans="1:32" ht="15" x14ac:dyDescent="0.35">
      <c r="A587" t="s">
        <v>4222</v>
      </c>
      <c r="B587" s="1">
        <v>45414</v>
      </c>
      <c r="C587">
        <f>YEAR(OrdersTable[[#This Row],[Order Date]])</f>
        <v>2024</v>
      </c>
      <c r="D587" s="2">
        <f>DATE(YEAR(OrdersTable[[#This Row],[Order Date]]),MONTH(OrdersTable[[#This Row],[Order Date]]),1)</f>
        <v>45413</v>
      </c>
      <c r="E587">
        <f>MONTH(OrdersTable[[#This Row],[Order Date]])</f>
        <v>5</v>
      </c>
      <c r="F587" t="s">
        <v>4223</v>
      </c>
      <c r="G587" t="str">
        <f>IF(OrdersTable[[#This Row],[Order Date]]=_xlfn.MINIFS(Order_Date, Customer_ID, OrdersTable[[#This Row],[Customer ID]]), "New", "Repeat")</f>
        <v>New</v>
      </c>
      <c r="H587" t="s">
        <v>27</v>
      </c>
      <c r="I587" t="str">
        <f>INDEX(State!B:B,MATCH(OrdersTable[[#This Row],[State]],State!A:A,0))</f>
        <v>WB</v>
      </c>
      <c r="J587" t="str">
        <f>INDEX(State!C:C,MATCH(OrdersTable[[#This Row],[State Code]],State!B:B,0))</f>
        <v>East</v>
      </c>
      <c r="K587" t="s">
        <v>28</v>
      </c>
      <c r="L587" t="s">
        <v>16</v>
      </c>
      <c r="M587" t="s">
        <v>29</v>
      </c>
      <c r="N587" t="str">
        <f>INDEX(Products!B:B,MATCH(OrdersTable[[#This Row],[Product ID]],Products!A:A,0))</f>
        <v>Joggers</v>
      </c>
      <c r="O587" t="str">
        <f>INDEX(Products!C:C,MATCH(OrdersTable[[#This Row],[Product ID]],Products!A:A,0))</f>
        <v>Apparel</v>
      </c>
      <c r="P587">
        <v>1</v>
      </c>
      <c r="Q587" s="5">
        <v>1199</v>
      </c>
      <c r="R587" s="74">
        <v>0.1</v>
      </c>
      <c r="S587" s="75">
        <f>OrdersTable[[#This Row],[Quantity]]*OrdersTable[[#This Row],[Unit Price]]</f>
        <v>1199</v>
      </c>
      <c r="T587" s="5">
        <f>OrdersTable[[#This Row],[Gross Sale]]*OrdersTable[[#This Row],[Discount_Clean2]]</f>
        <v>119.9</v>
      </c>
      <c r="U587" s="5">
        <f>OrdersTable[[#This Row],[Gross Sale]]-OrdersTable[[#This Row],[Discount Amount]]</f>
        <v>1079.0999999999999</v>
      </c>
      <c r="V587" s="77">
        <f>INDEX(Products!E:E,MATCH(OrdersTable[[#This Row],[Product ID]],Products!A:A,0))</f>
        <v>492</v>
      </c>
      <c r="W587" s="77">
        <f>OrdersTable[[#This Row],[Quantity]]*OrdersTable[[#This Row],[Unit Cost]]</f>
        <v>492</v>
      </c>
      <c r="X587" s="77">
        <f>'Dropdown Lists'!$I$2*(1+OrdersTable[[#This Row],[Returned]])</f>
        <v>120</v>
      </c>
      <c r="Y587" s="76">
        <f>OrdersTable[[#This Row],[Net Revenue]]-OrdersTable[[#This Row],[COGS]]-OrdersTable[[#This Row],[Shipping Cost]]</f>
        <v>467.09999999999991</v>
      </c>
      <c r="Z587" s="78">
        <f>IFERROR(OrdersTable[[#This Row],[Profit]]/OrdersTable[[#This Row],[Net Revenue]],0)</f>
        <v>0.43286071726438696</v>
      </c>
      <c r="AA587" t="s">
        <v>4074</v>
      </c>
      <c r="AB587" s="79">
        <v>45419</v>
      </c>
      <c r="AC587">
        <f>OrdersTable[[#This Row],[Delivery Date]]-OrdersTable[[#This Row],[Order Date]]</f>
        <v>5</v>
      </c>
      <c r="AD587" t="str">
        <f>IF(OrdersTable[[#This Row],[Delivery Days]]&lt;=2, "Express (≤2d)", IF(OrdersTable[[#This Row],[Delivery Days]]&lt;=4, "Standard (3-4d)", "Delayed (5d+)"))</f>
        <v>Delayed (5d+)</v>
      </c>
      <c r="AF587">
        <v>1</v>
      </c>
    </row>
    <row r="588" spans="1:32" ht="15" x14ac:dyDescent="0.35">
      <c r="A588" t="s">
        <v>3525</v>
      </c>
      <c r="B588" s="1">
        <v>45414</v>
      </c>
      <c r="C588">
        <f>YEAR(OrdersTable[[#This Row],[Order Date]])</f>
        <v>2024</v>
      </c>
      <c r="D588" s="2">
        <f>DATE(YEAR(OrdersTable[[#This Row],[Order Date]]),MONTH(OrdersTable[[#This Row],[Order Date]]),1)</f>
        <v>45413</v>
      </c>
      <c r="E588">
        <f>MONTH(OrdersTable[[#This Row],[Order Date]])</f>
        <v>5</v>
      </c>
      <c r="F588" t="s">
        <v>405</v>
      </c>
      <c r="G588" t="str">
        <f>IF(OrdersTable[[#This Row],[Order Date]]=_xlfn.MINIFS(Order_Date, Customer_ID, OrdersTable[[#This Row],[Customer ID]]), "New", "Repeat")</f>
        <v>Repeat</v>
      </c>
      <c r="H588" t="s">
        <v>27</v>
      </c>
      <c r="I588" t="str">
        <f>INDEX(State!B:B,MATCH(OrdersTable[[#This Row],[State]],State!A:A,0))</f>
        <v>WB</v>
      </c>
      <c r="J588" t="str">
        <f>INDEX(State!C:C,MATCH(OrdersTable[[#This Row],[State Code]],State!B:B,0))</f>
        <v>East</v>
      </c>
      <c r="K588" t="s">
        <v>28</v>
      </c>
      <c r="L588" t="s">
        <v>23</v>
      </c>
      <c r="M588" t="s">
        <v>92</v>
      </c>
      <c r="N588" t="str">
        <f>INDEX(Products!B:B,MATCH(OrdersTable[[#This Row],[Product ID]],Products!A:A,0))</f>
        <v>Kolhapuri Sandals</v>
      </c>
      <c r="O588" t="str">
        <f>INDEX(Products!C:C,MATCH(OrdersTable[[#This Row],[Product ID]],Products!A:A,0))</f>
        <v>Footwear</v>
      </c>
      <c r="P588">
        <v>1</v>
      </c>
      <c r="Q588" s="5">
        <v>999</v>
      </c>
      <c r="R588" s="74">
        <v>0</v>
      </c>
      <c r="S588" s="75">
        <f>OrdersTable[[#This Row],[Quantity]]*OrdersTable[[#This Row],[Unit Price]]</f>
        <v>999</v>
      </c>
      <c r="T588" s="5">
        <f>OrdersTable[[#This Row],[Gross Sale]]*OrdersTable[[#This Row],[Discount_Clean2]]</f>
        <v>0</v>
      </c>
      <c r="U588" s="5">
        <f>OrdersTable[[#This Row],[Gross Sale]]-OrdersTable[[#This Row],[Discount Amount]]</f>
        <v>999</v>
      </c>
      <c r="V588" s="77">
        <f>INDEX(Products!E:E,MATCH(OrdersTable[[#This Row],[Product ID]],Products!A:A,0))</f>
        <v>400</v>
      </c>
      <c r="W588" s="77">
        <f>OrdersTable[[#This Row],[Quantity]]*OrdersTable[[#This Row],[Unit Cost]]</f>
        <v>400</v>
      </c>
      <c r="X588" s="77">
        <f>'Dropdown Lists'!$I$2*(1+OrdersTable[[#This Row],[Returned]])</f>
        <v>60</v>
      </c>
      <c r="Y588" s="76">
        <f>OrdersTable[[#This Row],[Net Revenue]]-OrdersTable[[#This Row],[COGS]]-OrdersTable[[#This Row],[Shipping Cost]]</f>
        <v>539</v>
      </c>
      <c r="Z588" s="78">
        <f>IFERROR(OrdersTable[[#This Row],[Profit]]/OrdersTable[[#This Row],[Net Revenue]],0)</f>
        <v>0.53953953953953959</v>
      </c>
      <c r="AA588" t="s">
        <v>3495</v>
      </c>
      <c r="AB588" s="79">
        <v>45417</v>
      </c>
      <c r="AC588">
        <f>OrdersTable[[#This Row],[Delivery Date]]-OrdersTable[[#This Row],[Order Date]]</f>
        <v>3</v>
      </c>
      <c r="AD588" t="str">
        <f>IF(OrdersTable[[#This Row],[Delivery Days]]&lt;=2, "Express (≤2d)", IF(OrdersTable[[#This Row],[Delivery Days]]&lt;=4, "Standard (3-4d)", "Delayed (5d+)"))</f>
        <v>Standard (3-4d)</v>
      </c>
      <c r="AE588">
        <v>4</v>
      </c>
      <c r="AF588">
        <v>0</v>
      </c>
    </row>
    <row r="589" spans="1:32" ht="15" x14ac:dyDescent="0.35">
      <c r="A589" t="s">
        <v>6852</v>
      </c>
      <c r="B589" s="1">
        <v>45414</v>
      </c>
      <c r="C589">
        <f>YEAR(OrdersTable[[#This Row],[Order Date]])</f>
        <v>2024</v>
      </c>
      <c r="D589" s="2">
        <f>DATE(YEAR(OrdersTable[[#This Row],[Order Date]]),MONTH(OrdersTable[[#This Row],[Order Date]]),1)</f>
        <v>45413</v>
      </c>
      <c r="E589">
        <f>MONTH(OrdersTable[[#This Row],[Order Date]])</f>
        <v>5</v>
      </c>
      <c r="F589" t="s">
        <v>4083</v>
      </c>
      <c r="G589" t="str">
        <f>IF(OrdersTable[[#This Row],[Order Date]]=_xlfn.MINIFS(Order_Date, Customer_ID, OrdersTable[[#This Row],[Customer ID]]), "New", "Repeat")</f>
        <v>Repeat</v>
      </c>
      <c r="H589" t="s">
        <v>275</v>
      </c>
      <c r="I589" t="str">
        <f>INDEX(State!B:B,MATCH(OrdersTable[[#This Row],[State]],State!A:A,0))</f>
        <v>AP</v>
      </c>
      <c r="J589" t="str">
        <f>INDEX(State!C:C,MATCH(OrdersTable[[#This Row],[State Code]],State!B:B,0))</f>
        <v>South</v>
      </c>
      <c r="K589" t="s">
        <v>491</v>
      </c>
      <c r="L589" t="s">
        <v>39</v>
      </c>
      <c r="M589" t="s">
        <v>24</v>
      </c>
      <c r="N589" t="str">
        <f>INDEX(Products!B:B,MATCH(OrdersTable[[#This Row],[Product ID]],Products!A:A,0))</f>
        <v>Scented Candle Set</v>
      </c>
      <c r="O589" t="str">
        <f>INDEX(Products!C:C,MATCH(OrdersTable[[#This Row],[Product ID]],Products!A:A,0))</f>
        <v>Home &amp; Kitchen</v>
      </c>
      <c r="P589">
        <v>3</v>
      </c>
      <c r="Q589" s="5">
        <v>699</v>
      </c>
      <c r="R589" s="74">
        <v>0.2</v>
      </c>
      <c r="S589" s="75">
        <f>OrdersTable[[#This Row],[Quantity]]*OrdersTable[[#This Row],[Unit Price]]</f>
        <v>2097</v>
      </c>
      <c r="T589" s="5">
        <f>OrdersTable[[#This Row],[Gross Sale]]*OrdersTable[[#This Row],[Discount_Clean2]]</f>
        <v>419.40000000000003</v>
      </c>
      <c r="U589" s="5">
        <f>OrdersTable[[#This Row],[Gross Sale]]-OrdersTable[[#This Row],[Discount Amount]]</f>
        <v>1677.6</v>
      </c>
      <c r="V589" s="77">
        <f>INDEX(Products!E:E,MATCH(OrdersTable[[#This Row],[Product ID]],Products!A:A,0))</f>
        <v>245</v>
      </c>
      <c r="W589" s="77">
        <f>OrdersTable[[#This Row],[Quantity]]*OrdersTable[[#This Row],[Unit Cost]]</f>
        <v>735</v>
      </c>
      <c r="X589" s="77">
        <f>'Dropdown Lists'!$I$2*(1+OrdersTable[[#This Row],[Returned]])</f>
        <v>60</v>
      </c>
      <c r="Y589" s="76">
        <f>OrdersTable[[#This Row],[Net Revenue]]-OrdersTable[[#This Row],[COGS]]-OrdersTable[[#This Row],[Shipping Cost]]</f>
        <v>882.59999999999991</v>
      </c>
      <c r="Z589" s="78">
        <f>IFERROR(OrdersTable[[#This Row],[Profit]]/OrdersTable[[#This Row],[Net Revenue]],0)</f>
        <v>0.52610872675250353</v>
      </c>
      <c r="AA589" t="s">
        <v>4450</v>
      </c>
      <c r="AB589" s="79">
        <v>45419</v>
      </c>
      <c r="AC589">
        <f>OrdersTable[[#This Row],[Delivery Date]]-OrdersTable[[#This Row],[Order Date]]</f>
        <v>5</v>
      </c>
      <c r="AD589" t="str">
        <f>IF(OrdersTable[[#This Row],[Delivery Days]]&lt;=2, "Express (≤2d)", IF(OrdersTable[[#This Row],[Delivery Days]]&lt;=4, "Standard (3-4d)", "Delayed (5d+)"))</f>
        <v>Delayed (5d+)</v>
      </c>
      <c r="AE589">
        <v>4</v>
      </c>
      <c r="AF589">
        <v>0</v>
      </c>
    </row>
    <row r="590" spans="1:32" ht="15" x14ac:dyDescent="0.35">
      <c r="A590" t="s">
        <v>461</v>
      </c>
      <c r="B590" s="1">
        <v>45415</v>
      </c>
      <c r="C590">
        <f>YEAR(OrdersTable[[#This Row],[Order Date]])</f>
        <v>2024</v>
      </c>
      <c r="D590" s="2">
        <f>DATE(YEAR(OrdersTable[[#This Row],[Order Date]]),MONTH(OrdersTable[[#This Row],[Order Date]]),1)</f>
        <v>45413</v>
      </c>
      <c r="E590">
        <f>MONTH(OrdersTable[[#This Row],[Order Date]])</f>
        <v>5</v>
      </c>
      <c r="F590" t="s">
        <v>462</v>
      </c>
      <c r="G590" t="str">
        <f>IF(OrdersTable[[#This Row],[Order Date]]=_xlfn.MINIFS(Order_Date, Customer_ID, OrdersTable[[#This Row],[Customer ID]]), "New", "Repeat")</f>
        <v>New</v>
      </c>
      <c r="H590" t="s">
        <v>184</v>
      </c>
      <c r="I590" t="str">
        <f>INDEX(State!B:B,MATCH(OrdersTable[[#This Row],[State]],State!A:A,0))</f>
        <v>UK</v>
      </c>
      <c r="J590" t="str">
        <f>INDEX(State!C:C,MATCH(OrdersTable[[#This Row],[State Code]],State!B:B,0))</f>
        <v>North</v>
      </c>
      <c r="K590" t="s">
        <v>185</v>
      </c>
      <c r="L590" t="s">
        <v>50</v>
      </c>
      <c r="M590" t="s">
        <v>106</v>
      </c>
      <c r="N590" t="str">
        <f>INDEX(Products!B:B,MATCH(OrdersTable[[#This Row],[Product ID]],Products!A:A,0))</f>
        <v>Keratin Hair Mask</v>
      </c>
      <c r="O590" t="str">
        <f>INDEX(Products!C:C,MATCH(OrdersTable[[#This Row],[Product ID]],Products!A:A,0))</f>
        <v>Haircare</v>
      </c>
      <c r="P590">
        <v>1</v>
      </c>
      <c r="Q590" s="5">
        <v>549</v>
      </c>
      <c r="R590" s="74">
        <v>0.1</v>
      </c>
      <c r="S590" s="75">
        <f>OrdersTable[[#This Row],[Quantity]]*OrdersTable[[#This Row],[Unit Price]]</f>
        <v>549</v>
      </c>
      <c r="T590" s="5">
        <f>OrdersTable[[#This Row],[Gross Sale]]*OrdersTable[[#This Row],[Discount_Clean2]]</f>
        <v>54.900000000000006</v>
      </c>
      <c r="U590" s="5">
        <f>OrdersTable[[#This Row],[Gross Sale]]-OrdersTable[[#This Row],[Discount Amount]]</f>
        <v>494.1</v>
      </c>
      <c r="V590" s="77">
        <f>INDEX(Products!E:E,MATCH(OrdersTable[[#This Row],[Product ID]],Products!A:A,0))</f>
        <v>170</v>
      </c>
      <c r="W590" s="77">
        <f>OrdersTable[[#This Row],[Quantity]]*OrdersTable[[#This Row],[Unit Cost]]</f>
        <v>170</v>
      </c>
      <c r="X590" s="77">
        <f>'Dropdown Lists'!$I$2*(1+OrdersTable[[#This Row],[Returned]])</f>
        <v>60</v>
      </c>
      <c r="Y590" s="76">
        <f>OrdersTable[[#This Row],[Net Revenue]]-OrdersTable[[#This Row],[COGS]]-OrdersTable[[#This Row],[Shipping Cost]]</f>
        <v>264.10000000000002</v>
      </c>
      <c r="Z590" s="78">
        <f>IFERROR(OrdersTable[[#This Row],[Profit]]/OrdersTable[[#This Row],[Net Revenue]],0)</f>
        <v>0.53450718478040882</v>
      </c>
      <c r="AA590" t="s">
        <v>18</v>
      </c>
      <c r="AB590" s="79">
        <v>45417</v>
      </c>
      <c r="AC590">
        <f>OrdersTable[[#This Row],[Delivery Date]]-OrdersTable[[#This Row],[Order Date]]</f>
        <v>2</v>
      </c>
      <c r="AD590" t="str">
        <f>IF(OrdersTable[[#This Row],[Delivery Days]]&lt;=2, "Express (≤2d)", IF(OrdersTable[[#This Row],[Delivery Days]]&lt;=4, "Standard (3-4d)", "Delayed (5d+)"))</f>
        <v>Express (≤2d)</v>
      </c>
      <c r="AE590">
        <v>4</v>
      </c>
      <c r="AF590">
        <v>0</v>
      </c>
    </row>
    <row r="591" spans="1:32" ht="15" x14ac:dyDescent="0.35">
      <c r="A591" t="s">
        <v>4659</v>
      </c>
      <c r="B591" s="1">
        <v>45415</v>
      </c>
      <c r="C591">
        <f>YEAR(OrdersTable[[#This Row],[Order Date]])</f>
        <v>2024</v>
      </c>
      <c r="D591" s="2">
        <f>DATE(YEAR(OrdersTable[[#This Row],[Order Date]]),MONTH(OrdersTable[[#This Row],[Order Date]]),1)</f>
        <v>45413</v>
      </c>
      <c r="E591">
        <f>MONTH(OrdersTable[[#This Row],[Order Date]])</f>
        <v>5</v>
      </c>
      <c r="F591" t="s">
        <v>4660</v>
      </c>
      <c r="G591" t="str">
        <f>IF(OrdersTable[[#This Row],[Order Date]]=_xlfn.MINIFS(Order_Date, Customer_ID, OrdersTable[[#This Row],[Customer ID]]), "New", "Repeat")</f>
        <v>New</v>
      </c>
      <c r="H591" t="s">
        <v>37</v>
      </c>
      <c r="I591" t="str">
        <f>INDEX(State!B:B,MATCH(OrdersTable[[#This Row],[State]],State!A:A,0))</f>
        <v>GJ</v>
      </c>
      <c r="J591" t="str">
        <f>INDEX(State!C:C,MATCH(OrdersTable[[#This Row],[State Code]],State!B:B,0))</f>
        <v>West</v>
      </c>
      <c r="K591" t="s">
        <v>38</v>
      </c>
      <c r="L591" t="s">
        <v>65</v>
      </c>
      <c r="M591" t="s">
        <v>40</v>
      </c>
      <c r="N591" t="str">
        <f>INDEX(Products!B:B,MATCH(OrdersTable[[#This Row],[Product ID]],Products!A:A,0))</f>
        <v>Ashwagandha Capsules</v>
      </c>
      <c r="O591" t="str">
        <f>INDEX(Products!C:C,MATCH(OrdersTable[[#This Row],[Product ID]],Products!A:A,0))</f>
        <v>Wellness</v>
      </c>
      <c r="P591">
        <v>1</v>
      </c>
      <c r="Q591" s="5">
        <v>499</v>
      </c>
      <c r="R591" s="74">
        <v>0.1</v>
      </c>
      <c r="S591" s="75">
        <f>OrdersTable[[#This Row],[Quantity]]*OrdersTable[[#This Row],[Unit Price]]</f>
        <v>499</v>
      </c>
      <c r="T591" s="5">
        <f>OrdersTable[[#This Row],[Gross Sale]]*OrdersTable[[#This Row],[Discount_Clean2]]</f>
        <v>49.900000000000006</v>
      </c>
      <c r="U591" s="5">
        <f>OrdersTable[[#This Row],[Gross Sale]]-OrdersTable[[#This Row],[Discount Amount]]</f>
        <v>449.1</v>
      </c>
      <c r="V591" s="77">
        <f>INDEX(Products!E:E,MATCH(OrdersTable[[#This Row],[Product ID]],Products!A:A,0))</f>
        <v>150</v>
      </c>
      <c r="W591" s="77">
        <f>OrdersTable[[#This Row],[Quantity]]*OrdersTable[[#This Row],[Unit Cost]]</f>
        <v>150</v>
      </c>
      <c r="X591" s="77">
        <f>'Dropdown Lists'!$I$2*(1+OrdersTable[[#This Row],[Returned]])</f>
        <v>60</v>
      </c>
      <c r="Y591" s="76">
        <f>OrdersTable[[#This Row],[Net Revenue]]-OrdersTable[[#This Row],[COGS]]-OrdersTable[[#This Row],[Shipping Cost]]</f>
        <v>239.10000000000002</v>
      </c>
      <c r="Z591" s="78">
        <f>IFERROR(OrdersTable[[#This Row],[Profit]]/OrdersTable[[#This Row],[Net Revenue]],0)</f>
        <v>0.53239812959251842</v>
      </c>
      <c r="AA591" t="s">
        <v>4450</v>
      </c>
      <c r="AB591" s="79">
        <v>45417</v>
      </c>
      <c r="AC591">
        <f>OrdersTable[[#This Row],[Delivery Date]]-OrdersTable[[#This Row],[Order Date]]</f>
        <v>2</v>
      </c>
      <c r="AD591" t="str">
        <f>IF(OrdersTable[[#This Row],[Delivery Days]]&lt;=2, "Express (≤2d)", IF(OrdersTable[[#This Row],[Delivery Days]]&lt;=4, "Standard (3-4d)", "Delayed (5d+)"))</f>
        <v>Express (≤2d)</v>
      </c>
      <c r="AE591">
        <v>5</v>
      </c>
      <c r="AF591">
        <v>0</v>
      </c>
    </row>
    <row r="592" spans="1:32" ht="15" x14ac:dyDescent="0.35">
      <c r="A592" t="s">
        <v>6273</v>
      </c>
      <c r="B592" s="1">
        <v>45415</v>
      </c>
      <c r="C592">
        <f>YEAR(OrdersTable[[#This Row],[Order Date]])</f>
        <v>2024</v>
      </c>
      <c r="D592" s="2">
        <f>DATE(YEAR(OrdersTable[[#This Row],[Order Date]]),MONTH(OrdersTable[[#This Row],[Order Date]]),1)</f>
        <v>45413</v>
      </c>
      <c r="E592">
        <f>MONTH(OrdersTable[[#This Row],[Order Date]])</f>
        <v>5</v>
      </c>
      <c r="F592" t="s">
        <v>6274</v>
      </c>
      <c r="G592" t="str">
        <f>IF(OrdersTable[[#This Row],[Order Date]]=_xlfn.MINIFS(Order_Date, Customer_ID, OrdersTable[[#This Row],[Customer ID]]), "New", "Repeat")</f>
        <v>New</v>
      </c>
      <c r="H592" t="s">
        <v>123</v>
      </c>
      <c r="I592" t="str">
        <f>INDEX(State!B:B,MATCH(OrdersTable[[#This Row],[State]],State!A:A,0))</f>
        <v>JH</v>
      </c>
      <c r="J592" t="str">
        <f>INDEX(State!C:C,MATCH(OrdersTable[[#This Row],[State Code]],State!B:B,0))</f>
        <v>East</v>
      </c>
      <c r="K592" t="s">
        <v>124</v>
      </c>
      <c r="L592" t="s">
        <v>65</v>
      </c>
      <c r="M592" t="s">
        <v>51</v>
      </c>
      <c r="N592" t="str">
        <f>INDEX(Products!B:B,MATCH(OrdersTable[[#This Row],[Product ID]],Products!A:A,0))</f>
        <v>Anti-Dandruff Conditioner</v>
      </c>
      <c r="O592" t="str">
        <f>INDEX(Products!C:C,MATCH(OrdersTable[[#This Row],[Product ID]],Products!A:A,0))</f>
        <v>Haircare</v>
      </c>
      <c r="P592">
        <v>2</v>
      </c>
      <c r="Q592" s="5">
        <v>399</v>
      </c>
      <c r="R592" s="74">
        <v>0.35</v>
      </c>
      <c r="S592" s="75">
        <f>OrdersTable[[#This Row],[Quantity]]*OrdersTable[[#This Row],[Unit Price]]</f>
        <v>798</v>
      </c>
      <c r="T592" s="5">
        <f>OrdersTable[[#This Row],[Gross Sale]]*OrdersTable[[#This Row],[Discount_Clean2]]</f>
        <v>279.29999999999995</v>
      </c>
      <c r="U592" s="5">
        <f>OrdersTable[[#This Row],[Gross Sale]]-OrdersTable[[#This Row],[Discount Amount]]</f>
        <v>518.70000000000005</v>
      </c>
      <c r="V592" s="77">
        <f>INDEX(Products!E:E,MATCH(OrdersTable[[#This Row],[Product ID]],Products!A:A,0))</f>
        <v>136</v>
      </c>
      <c r="W592" s="77">
        <f>OrdersTable[[#This Row],[Quantity]]*OrdersTable[[#This Row],[Unit Cost]]</f>
        <v>272</v>
      </c>
      <c r="X592" s="77">
        <f>'Dropdown Lists'!$I$2*(1+OrdersTable[[#This Row],[Returned]])</f>
        <v>60</v>
      </c>
      <c r="Y592" s="76">
        <f>OrdersTable[[#This Row],[Net Revenue]]-OrdersTable[[#This Row],[COGS]]-OrdersTable[[#This Row],[Shipping Cost]]</f>
        <v>186.70000000000005</v>
      </c>
      <c r="Z592" s="78">
        <f>IFERROR(OrdersTable[[#This Row],[Profit]]/OrdersTable[[#This Row],[Net Revenue]],0)</f>
        <v>0.35993830730672843</v>
      </c>
      <c r="AA592" t="s">
        <v>18</v>
      </c>
      <c r="AB592" s="79">
        <v>45420</v>
      </c>
      <c r="AC592">
        <f>OrdersTable[[#This Row],[Delivery Date]]-OrdersTable[[#This Row],[Order Date]]</f>
        <v>5</v>
      </c>
      <c r="AD592" t="str">
        <f>IF(OrdersTable[[#This Row],[Delivery Days]]&lt;=2, "Express (≤2d)", IF(OrdersTable[[#This Row],[Delivery Days]]&lt;=4, "Standard (3-4d)", "Delayed (5d+)"))</f>
        <v>Delayed (5d+)</v>
      </c>
      <c r="AE592">
        <v>3</v>
      </c>
      <c r="AF592">
        <v>0</v>
      </c>
    </row>
    <row r="593" spans="1:32" ht="15" x14ac:dyDescent="0.35">
      <c r="A593" t="s">
        <v>112</v>
      </c>
      <c r="B593" s="1">
        <v>45415</v>
      </c>
      <c r="C593">
        <f>YEAR(OrdersTable[[#This Row],[Order Date]])</f>
        <v>2024</v>
      </c>
      <c r="D593" s="2">
        <f>DATE(YEAR(OrdersTable[[#This Row],[Order Date]]),MONTH(OrdersTable[[#This Row],[Order Date]]),1)</f>
        <v>45413</v>
      </c>
      <c r="E593">
        <f>MONTH(OrdersTable[[#This Row],[Order Date]])</f>
        <v>5</v>
      </c>
      <c r="F593" t="s">
        <v>113</v>
      </c>
      <c r="G593" t="str">
        <f>IF(OrdersTable[[#This Row],[Order Date]]=_xlfn.MINIFS(Order_Date, Customer_ID, OrdersTable[[#This Row],[Customer ID]]), "New", "Repeat")</f>
        <v>New</v>
      </c>
      <c r="H593" t="s">
        <v>27</v>
      </c>
      <c r="I593" t="str">
        <f>INDEX(State!B:B,MATCH(OrdersTable[[#This Row],[State]],State!A:A,0))</f>
        <v>WB</v>
      </c>
      <c r="J593" t="str">
        <f>INDEX(State!C:C,MATCH(OrdersTable[[#This Row],[State Code]],State!B:B,0))</f>
        <v>East</v>
      </c>
      <c r="K593" t="s">
        <v>28</v>
      </c>
      <c r="L593" t="s">
        <v>39</v>
      </c>
      <c r="M593" t="s">
        <v>40</v>
      </c>
      <c r="N593" t="str">
        <f>INDEX(Products!B:B,MATCH(OrdersTable[[#This Row],[Product ID]],Products!A:A,0))</f>
        <v>Ashwagandha Capsules</v>
      </c>
      <c r="O593" t="str">
        <f>INDEX(Products!C:C,MATCH(OrdersTable[[#This Row],[Product ID]],Products!A:A,0))</f>
        <v>Wellness</v>
      </c>
      <c r="P593">
        <v>1</v>
      </c>
      <c r="Q593" s="5">
        <v>499</v>
      </c>
      <c r="R593" s="74">
        <v>0</v>
      </c>
      <c r="S593" s="75">
        <f>OrdersTable[[#This Row],[Quantity]]*OrdersTable[[#This Row],[Unit Price]]</f>
        <v>499</v>
      </c>
      <c r="T593" s="5">
        <f>OrdersTable[[#This Row],[Gross Sale]]*OrdersTable[[#This Row],[Discount_Clean2]]</f>
        <v>0</v>
      </c>
      <c r="U593" s="5">
        <f>OrdersTable[[#This Row],[Gross Sale]]-OrdersTable[[#This Row],[Discount Amount]]</f>
        <v>499</v>
      </c>
      <c r="V593" s="77">
        <f>INDEX(Products!E:E,MATCH(OrdersTable[[#This Row],[Product ID]],Products!A:A,0))</f>
        <v>150</v>
      </c>
      <c r="W593" s="77">
        <f>OrdersTable[[#This Row],[Quantity]]*OrdersTable[[#This Row],[Unit Cost]]</f>
        <v>150</v>
      </c>
      <c r="X593" s="77">
        <f>'Dropdown Lists'!$I$2*(1+OrdersTable[[#This Row],[Returned]])</f>
        <v>60</v>
      </c>
      <c r="Y593" s="76">
        <f>OrdersTable[[#This Row],[Net Revenue]]-OrdersTable[[#This Row],[COGS]]-OrdersTable[[#This Row],[Shipping Cost]]</f>
        <v>289</v>
      </c>
      <c r="Z593" s="78">
        <f>IFERROR(OrdersTable[[#This Row],[Profit]]/OrdersTable[[#This Row],[Net Revenue]],0)</f>
        <v>0.57915831663326656</v>
      </c>
      <c r="AA593" t="s">
        <v>18</v>
      </c>
      <c r="AB593" s="79">
        <v>45420</v>
      </c>
      <c r="AC593">
        <f>OrdersTable[[#This Row],[Delivery Date]]-OrdersTable[[#This Row],[Order Date]]</f>
        <v>5</v>
      </c>
      <c r="AD593" t="str">
        <f>IF(OrdersTable[[#This Row],[Delivery Days]]&lt;=2, "Express (≤2d)", IF(OrdersTable[[#This Row],[Delivery Days]]&lt;=4, "Standard (3-4d)", "Delayed (5d+)"))</f>
        <v>Delayed (5d+)</v>
      </c>
      <c r="AE593">
        <v>4</v>
      </c>
      <c r="AF593">
        <v>0</v>
      </c>
    </row>
    <row r="594" spans="1:32" ht="15" x14ac:dyDescent="0.35">
      <c r="A594" t="s">
        <v>3968</v>
      </c>
      <c r="B594" s="1">
        <v>45415</v>
      </c>
      <c r="C594">
        <f>YEAR(OrdersTable[[#This Row],[Order Date]])</f>
        <v>2024</v>
      </c>
      <c r="D594" s="2">
        <f>DATE(YEAR(OrdersTable[[#This Row],[Order Date]]),MONTH(OrdersTable[[#This Row],[Order Date]]),1)</f>
        <v>45413</v>
      </c>
      <c r="E594">
        <f>MONTH(OrdersTable[[#This Row],[Order Date]])</f>
        <v>5</v>
      </c>
      <c r="F594" t="s">
        <v>3969</v>
      </c>
      <c r="G594" t="str">
        <f>IF(OrdersTable[[#This Row],[Order Date]]=_xlfn.MINIFS(Order_Date, Customer_ID, OrdersTable[[#This Row],[Customer ID]]), "New", "Repeat")</f>
        <v>New</v>
      </c>
      <c r="H594" t="s">
        <v>71</v>
      </c>
      <c r="I594" t="str">
        <f>INDEX(State!B:B,MATCH(OrdersTable[[#This Row],[State]],State!A:A,0))</f>
        <v>MH</v>
      </c>
      <c r="J594" t="str">
        <f>INDEX(State!C:C,MATCH(OrdersTable[[#This Row],[State Code]],State!B:B,0))</f>
        <v>West</v>
      </c>
      <c r="K594" t="s">
        <v>81</v>
      </c>
      <c r="L594" t="s">
        <v>39</v>
      </c>
      <c r="M594" t="s">
        <v>61</v>
      </c>
      <c r="N594" t="str">
        <f>INDEX(Products!B:B,MATCH(OrdersTable[[#This Row],[Product ID]],Products!A:A,0))</f>
        <v>Multivitamin Gummies</v>
      </c>
      <c r="O594" t="str">
        <f>INDEX(Products!C:C,MATCH(OrdersTable[[#This Row],[Product ID]],Products!A:A,0))</f>
        <v>Wellness</v>
      </c>
      <c r="P594">
        <v>1</v>
      </c>
      <c r="Q594" s="5">
        <v>699</v>
      </c>
      <c r="R594" s="74">
        <v>0.1</v>
      </c>
      <c r="S594" s="75">
        <f>OrdersTable[[#This Row],[Quantity]]*OrdersTable[[#This Row],[Unit Price]]</f>
        <v>699</v>
      </c>
      <c r="T594" s="5">
        <f>OrdersTable[[#This Row],[Gross Sale]]*OrdersTable[[#This Row],[Discount_Clean2]]</f>
        <v>69.900000000000006</v>
      </c>
      <c r="U594" s="5">
        <f>OrdersTable[[#This Row],[Gross Sale]]-OrdersTable[[#This Row],[Discount Amount]]</f>
        <v>629.1</v>
      </c>
      <c r="V594" s="77">
        <f>INDEX(Products!E:E,MATCH(OrdersTable[[#This Row],[Product ID]],Products!A:A,0))</f>
        <v>238</v>
      </c>
      <c r="W594" s="77">
        <f>OrdersTable[[#This Row],[Quantity]]*OrdersTable[[#This Row],[Unit Cost]]</f>
        <v>238</v>
      </c>
      <c r="X594" s="77">
        <f>'Dropdown Lists'!$I$2*(1+OrdersTable[[#This Row],[Returned]])</f>
        <v>60</v>
      </c>
      <c r="Y594" s="76">
        <f>OrdersTable[[#This Row],[Net Revenue]]-OrdersTable[[#This Row],[COGS]]-OrdersTable[[#This Row],[Shipping Cost]]</f>
        <v>331.1</v>
      </c>
      <c r="Z594" s="78">
        <f>IFERROR(OrdersTable[[#This Row],[Profit]]/OrdersTable[[#This Row],[Net Revenue]],0)</f>
        <v>0.52630742330313152</v>
      </c>
      <c r="AA594" t="s">
        <v>3495</v>
      </c>
      <c r="AB594" s="79">
        <v>45418</v>
      </c>
      <c r="AC594">
        <f>OrdersTable[[#This Row],[Delivery Date]]-OrdersTable[[#This Row],[Order Date]]</f>
        <v>3</v>
      </c>
      <c r="AD594" t="str">
        <f>IF(OrdersTable[[#This Row],[Delivery Days]]&lt;=2, "Express (≤2d)", IF(OrdersTable[[#This Row],[Delivery Days]]&lt;=4, "Standard (3-4d)", "Delayed (5d+)"))</f>
        <v>Standard (3-4d)</v>
      </c>
      <c r="AE594">
        <v>5</v>
      </c>
      <c r="AF594">
        <v>0</v>
      </c>
    </row>
    <row r="595" spans="1:32" ht="15" x14ac:dyDescent="0.35">
      <c r="A595" t="s">
        <v>6483</v>
      </c>
      <c r="B595" s="1">
        <v>45416</v>
      </c>
      <c r="C595">
        <f>YEAR(OrdersTable[[#This Row],[Order Date]])</f>
        <v>2024</v>
      </c>
      <c r="D595" s="2">
        <f>DATE(YEAR(OrdersTable[[#This Row],[Order Date]]),MONTH(OrdersTable[[#This Row],[Order Date]]),1)</f>
        <v>45413</v>
      </c>
      <c r="E595">
        <f>MONTH(OrdersTable[[#This Row],[Order Date]])</f>
        <v>5</v>
      </c>
      <c r="F595" t="s">
        <v>1906</v>
      </c>
      <c r="G595" t="str">
        <f>IF(OrdersTable[[#This Row],[Order Date]]=_xlfn.MINIFS(Order_Date, Customer_ID, OrdersTable[[#This Row],[Customer ID]]), "New", "Repeat")</f>
        <v>New</v>
      </c>
      <c r="H595" t="s">
        <v>128</v>
      </c>
      <c r="I595" t="str">
        <f>INDEX(State!B:B,MATCH(OrdersTable[[#This Row],[State]],State!A:A,0))</f>
        <v>DL</v>
      </c>
      <c r="J595" t="str">
        <f>INDEX(State!C:C,MATCH(OrdersTable[[#This Row],[State Code]],State!B:B,0))</f>
        <v>North</v>
      </c>
      <c r="K595" t="s">
        <v>129</v>
      </c>
      <c r="L595" t="s">
        <v>65</v>
      </c>
      <c r="M595" t="s">
        <v>45</v>
      </c>
      <c r="N595" t="str">
        <f>INDEX(Products!B:B,MATCH(OrdersTable[[#This Row],[Product ID]],Products!A:A,0))</f>
        <v>Argan Shampoo</v>
      </c>
      <c r="O595" t="str">
        <f>INDEX(Products!C:C,MATCH(OrdersTable[[#This Row],[Product ID]],Products!A:A,0))</f>
        <v>Haircare</v>
      </c>
      <c r="P595">
        <v>3</v>
      </c>
      <c r="Q595" s="5">
        <v>449</v>
      </c>
      <c r="R595" s="74">
        <v>0.15</v>
      </c>
      <c r="S595" s="75">
        <f>OrdersTable[[#This Row],[Quantity]]*OrdersTable[[#This Row],[Unit Price]]</f>
        <v>1347</v>
      </c>
      <c r="T595" s="5">
        <f>OrdersTable[[#This Row],[Gross Sale]]*OrdersTable[[#This Row],[Discount_Clean2]]</f>
        <v>202.04999999999998</v>
      </c>
      <c r="U595" s="5">
        <f>OrdersTable[[#This Row],[Gross Sale]]-OrdersTable[[#This Row],[Discount Amount]]</f>
        <v>1144.95</v>
      </c>
      <c r="V595" s="77">
        <f>INDEX(Products!E:E,MATCH(OrdersTable[[#This Row],[Product ID]],Products!A:A,0))</f>
        <v>148</v>
      </c>
      <c r="W595" s="77">
        <f>OrdersTable[[#This Row],[Quantity]]*OrdersTable[[#This Row],[Unit Cost]]</f>
        <v>444</v>
      </c>
      <c r="X595" s="77">
        <f>'Dropdown Lists'!$I$2*(1+OrdersTable[[#This Row],[Returned]])</f>
        <v>60</v>
      </c>
      <c r="Y595" s="76">
        <f>OrdersTable[[#This Row],[Net Revenue]]-OrdersTable[[#This Row],[COGS]]-OrdersTable[[#This Row],[Shipping Cost]]</f>
        <v>640.95000000000005</v>
      </c>
      <c r="Z595" s="78">
        <f>IFERROR(OrdersTable[[#This Row],[Profit]]/OrdersTable[[#This Row],[Net Revenue]],0)</f>
        <v>0.55980610507009043</v>
      </c>
      <c r="AA595" t="s">
        <v>18</v>
      </c>
      <c r="AB595" s="79">
        <v>45417</v>
      </c>
      <c r="AC595">
        <f>OrdersTable[[#This Row],[Delivery Date]]-OrdersTable[[#This Row],[Order Date]]</f>
        <v>1</v>
      </c>
      <c r="AD595" t="str">
        <f>IF(OrdersTable[[#This Row],[Delivery Days]]&lt;=2, "Express (≤2d)", IF(OrdersTable[[#This Row],[Delivery Days]]&lt;=4, "Standard (3-4d)", "Delayed (5d+)"))</f>
        <v>Express (≤2d)</v>
      </c>
      <c r="AF595">
        <v>0</v>
      </c>
    </row>
    <row r="596" spans="1:32" ht="15" x14ac:dyDescent="0.35">
      <c r="A596" t="s">
        <v>5315</v>
      </c>
      <c r="B596" s="1">
        <v>45416</v>
      </c>
      <c r="C596">
        <f>YEAR(OrdersTable[[#This Row],[Order Date]])</f>
        <v>2024</v>
      </c>
      <c r="D596" s="2">
        <f>DATE(YEAR(OrdersTable[[#This Row],[Order Date]]),MONTH(OrdersTable[[#This Row],[Order Date]]),1)</f>
        <v>45413</v>
      </c>
      <c r="E596">
        <f>MONTH(OrdersTable[[#This Row],[Order Date]])</f>
        <v>5</v>
      </c>
      <c r="F596" t="s">
        <v>5316</v>
      </c>
      <c r="G596" t="str">
        <f>IF(OrdersTable[[#This Row],[Order Date]]=_xlfn.MINIFS(Order_Date, Customer_ID, OrdersTable[[#This Row],[Customer ID]]), "New", "Repeat")</f>
        <v>New</v>
      </c>
      <c r="H596" t="s">
        <v>123</v>
      </c>
      <c r="I596" t="str">
        <f>INDEX(State!B:B,MATCH(OrdersTable[[#This Row],[State]],State!A:A,0))</f>
        <v>JH</v>
      </c>
      <c r="J596" t="str">
        <f>INDEX(State!C:C,MATCH(OrdersTable[[#This Row],[State Code]],State!B:B,0))</f>
        <v>East</v>
      </c>
      <c r="K596" t="s">
        <v>124</v>
      </c>
      <c r="L596" t="s">
        <v>39</v>
      </c>
      <c r="M596" t="s">
        <v>179</v>
      </c>
      <c r="N596" t="str">
        <f>INDEX(Products!B:B,MATCH(OrdersTable[[#This Row],[Product ID]],Products!A:A,0))</f>
        <v>Whey Protein 1kg</v>
      </c>
      <c r="O596" t="str">
        <f>INDEX(Products!C:C,MATCH(OrdersTable[[#This Row],[Product ID]],Products!A:A,0))</f>
        <v>Wellness</v>
      </c>
      <c r="P596">
        <v>2</v>
      </c>
      <c r="Q596" s="5">
        <v>2299</v>
      </c>
      <c r="R596" s="74">
        <v>0.4</v>
      </c>
      <c r="S596" s="75">
        <f>OrdersTable[[#This Row],[Quantity]]*OrdersTable[[#This Row],[Unit Price]]</f>
        <v>4598</v>
      </c>
      <c r="T596" s="5">
        <f>OrdersTable[[#This Row],[Gross Sale]]*OrdersTable[[#This Row],[Discount_Clean2]]</f>
        <v>1839.2</v>
      </c>
      <c r="U596" s="5">
        <f>OrdersTable[[#This Row],[Gross Sale]]-OrdersTable[[#This Row],[Discount Amount]]</f>
        <v>2758.8</v>
      </c>
      <c r="V596" s="77">
        <f>INDEX(Products!E:E,MATCH(OrdersTable[[#This Row],[Product ID]],Products!A:A,0))</f>
        <v>1333</v>
      </c>
      <c r="W596" s="77">
        <f>OrdersTable[[#This Row],[Quantity]]*OrdersTable[[#This Row],[Unit Cost]]</f>
        <v>2666</v>
      </c>
      <c r="X596" s="77">
        <f>'Dropdown Lists'!$I$2*(1+OrdersTable[[#This Row],[Returned]])</f>
        <v>60</v>
      </c>
      <c r="Y596" s="76">
        <f>OrdersTable[[#This Row],[Net Revenue]]-OrdersTable[[#This Row],[COGS]]-OrdersTable[[#This Row],[Shipping Cost]]</f>
        <v>32.800000000000182</v>
      </c>
      <c r="Z596" s="78">
        <f>IFERROR(OrdersTable[[#This Row],[Profit]]/OrdersTable[[#This Row],[Net Revenue]],0)</f>
        <v>1.188922720023205E-2</v>
      </c>
      <c r="AA596" t="s">
        <v>2522</v>
      </c>
      <c r="AB596" s="79">
        <v>45422</v>
      </c>
      <c r="AC596">
        <f>OrdersTable[[#This Row],[Delivery Date]]-OrdersTable[[#This Row],[Order Date]]</f>
        <v>6</v>
      </c>
      <c r="AD596" t="str">
        <f>IF(OrdersTable[[#This Row],[Delivery Days]]&lt;=2, "Express (≤2d)", IF(OrdersTable[[#This Row],[Delivery Days]]&lt;=4, "Standard (3-4d)", "Delayed (5d+)"))</f>
        <v>Delayed (5d+)</v>
      </c>
      <c r="AF596">
        <v>0</v>
      </c>
    </row>
    <row r="597" spans="1:32" ht="15" x14ac:dyDescent="0.35">
      <c r="A597" t="s">
        <v>6053</v>
      </c>
      <c r="B597" s="1">
        <v>45416</v>
      </c>
      <c r="C597">
        <f>YEAR(OrdersTable[[#This Row],[Order Date]])</f>
        <v>2024</v>
      </c>
      <c r="D597" s="2">
        <f>DATE(YEAR(OrdersTable[[#This Row],[Order Date]]),MONTH(OrdersTable[[#This Row],[Order Date]]),1)</f>
        <v>45413</v>
      </c>
      <c r="E597">
        <f>MONTH(OrdersTable[[#This Row],[Order Date]])</f>
        <v>5</v>
      </c>
      <c r="F597" t="s">
        <v>1328</v>
      </c>
      <c r="G597" t="str">
        <f>IF(OrdersTable[[#This Row],[Order Date]]=_xlfn.MINIFS(Order_Date, Customer_ID, OrdersTable[[#This Row],[Customer ID]]), "New", "Repeat")</f>
        <v>Repeat</v>
      </c>
      <c r="H597" t="s">
        <v>71</v>
      </c>
      <c r="I597" t="str">
        <f>INDEX(State!B:B,MATCH(OrdersTable[[#This Row],[State]],State!A:A,0))</f>
        <v>MH</v>
      </c>
      <c r="J597" t="str">
        <f>INDEX(State!C:C,MATCH(OrdersTable[[#This Row],[State Code]],State!B:B,0))</f>
        <v>West</v>
      </c>
      <c r="K597" t="s">
        <v>72</v>
      </c>
      <c r="L597" t="s">
        <v>50</v>
      </c>
      <c r="M597" t="s">
        <v>45</v>
      </c>
      <c r="N597" t="str">
        <f>INDEX(Products!B:B,MATCH(OrdersTable[[#This Row],[Product ID]],Products!A:A,0))</f>
        <v>Argan Shampoo</v>
      </c>
      <c r="O597" t="str">
        <f>INDEX(Products!C:C,MATCH(OrdersTable[[#This Row],[Product ID]],Products!A:A,0))</f>
        <v>Haircare</v>
      </c>
      <c r="P597">
        <v>2</v>
      </c>
      <c r="Q597" s="5">
        <v>449</v>
      </c>
      <c r="R597" s="74">
        <v>0</v>
      </c>
      <c r="S597" s="75">
        <f>OrdersTable[[#This Row],[Quantity]]*OrdersTable[[#This Row],[Unit Price]]</f>
        <v>898</v>
      </c>
      <c r="T597" s="5">
        <f>OrdersTable[[#This Row],[Gross Sale]]*OrdersTable[[#This Row],[Discount_Clean2]]</f>
        <v>0</v>
      </c>
      <c r="U597" s="5">
        <f>OrdersTable[[#This Row],[Gross Sale]]-OrdersTable[[#This Row],[Discount Amount]]</f>
        <v>898</v>
      </c>
      <c r="V597" s="77">
        <f>INDEX(Products!E:E,MATCH(OrdersTable[[#This Row],[Product ID]],Products!A:A,0))</f>
        <v>148</v>
      </c>
      <c r="W597" s="77">
        <f>OrdersTable[[#This Row],[Quantity]]*OrdersTable[[#This Row],[Unit Cost]]</f>
        <v>296</v>
      </c>
      <c r="X597" s="77">
        <f>'Dropdown Lists'!$I$2*(1+OrdersTable[[#This Row],[Returned]])</f>
        <v>60</v>
      </c>
      <c r="Y597" s="76">
        <f>OrdersTable[[#This Row],[Net Revenue]]-OrdersTable[[#This Row],[COGS]]-OrdersTable[[#This Row],[Shipping Cost]]</f>
        <v>542</v>
      </c>
      <c r="Z597" s="78">
        <f>IFERROR(OrdersTable[[#This Row],[Profit]]/OrdersTable[[#This Row],[Net Revenue]],0)</f>
        <v>0.60356347438752789</v>
      </c>
      <c r="AA597" t="s">
        <v>18</v>
      </c>
      <c r="AB597" s="79">
        <v>45417</v>
      </c>
      <c r="AC597">
        <f>OrdersTable[[#This Row],[Delivery Date]]-OrdersTable[[#This Row],[Order Date]]</f>
        <v>1</v>
      </c>
      <c r="AD597" t="str">
        <f>IF(OrdersTable[[#This Row],[Delivery Days]]&lt;=2, "Express (≤2d)", IF(OrdersTable[[#This Row],[Delivery Days]]&lt;=4, "Standard (3-4d)", "Delayed (5d+)"))</f>
        <v>Express (≤2d)</v>
      </c>
      <c r="AE597">
        <v>4</v>
      </c>
      <c r="AF597">
        <v>0</v>
      </c>
    </row>
    <row r="598" spans="1:32" ht="15" x14ac:dyDescent="0.35">
      <c r="A598" t="s">
        <v>5088</v>
      </c>
      <c r="B598" s="1">
        <v>45416</v>
      </c>
      <c r="C598">
        <f>YEAR(OrdersTable[[#This Row],[Order Date]])</f>
        <v>2024</v>
      </c>
      <c r="D598" s="2">
        <f>DATE(YEAR(OrdersTable[[#This Row],[Order Date]]),MONTH(OrdersTable[[#This Row],[Order Date]]),1)</f>
        <v>45413</v>
      </c>
      <c r="E598">
        <f>MONTH(OrdersTable[[#This Row],[Order Date]])</f>
        <v>5</v>
      </c>
      <c r="F598" t="s">
        <v>209</v>
      </c>
      <c r="G598" t="str">
        <f>IF(OrdersTable[[#This Row],[Order Date]]=_xlfn.MINIFS(Order_Date, Customer_ID, OrdersTable[[#This Row],[Customer ID]]), "New", "Repeat")</f>
        <v>New</v>
      </c>
      <c r="H598" t="s">
        <v>71</v>
      </c>
      <c r="I598" t="str">
        <f>INDEX(State!B:B,MATCH(OrdersTable[[#This Row],[State]],State!A:A,0))</f>
        <v>MH</v>
      </c>
      <c r="J598" t="str">
        <f>INDEX(State!C:C,MATCH(OrdersTable[[#This Row],[State Code]],State!B:B,0))</f>
        <v>West</v>
      </c>
      <c r="K598" t="s">
        <v>81</v>
      </c>
      <c r="L598" t="s">
        <v>16</v>
      </c>
      <c r="M598" t="s">
        <v>576</v>
      </c>
      <c r="N598" t="str">
        <f>INDEX(Products!B:B,MATCH(OrdersTable[[#This Row],[Product ID]],Products!A:A,0))</f>
        <v>Printed Saree</v>
      </c>
      <c r="O598" t="str">
        <f>INDEX(Products!C:C,MATCH(OrdersTable[[#This Row],[Product ID]],Products!A:A,0))</f>
        <v>Apparel</v>
      </c>
      <c r="P598">
        <v>2</v>
      </c>
      <c r="Q598" s="5">
        <v>1999</v>
      </c>
      <c r="R598" s="74">
        <v>0.05</v>
      </c>
      <c r="S598" s="75">
        <f>OrdersTable[[#This Row],[Quantity]]*OrdersTable[[#This Row],[Unit Price]]</f>
        <v>3998</v>
      </c>
      <c r="T598" s="5">
        <f>OrdersTable[[#This Row],[Gross Sale]]*OrdersTable[[#This Row],[Discount_Clean2]]</f>
        <v>199.9</v>
      </c>
      <c r="U598" s="5">
        <f>OrdersTable[[#This Row],[Gross Sale]]-OrdersTable[[#This Row],[Discount Amount]]</f>
        <v>3798.1</v>
      </c>
      <c r="V598" s="77">
        <f>INDEX(Products!E:E,MATCH(OrdersTable[[#This Row],[Product ID]],Products!A:A,0))</f>
        <v>880</v>
      </c>
      <c r="W598" s="77">
        <f>OrdersTable[[#This Row],[Quantity]]*OrdersTable[[#This Row],[Unit Cost]]</f>
        <v>1760</v>
      </c>
      <c r="X598" s="77">
        <f>'Dropdown Lists'!$I$2*(1+OrdersTable[[#This Row],[Returned]])</f>
        <v>60</v>
      </c>
      <c r="Y598" s="76">
        <f>OrdersTable[[#This Row],[Net Revenue]]-OrdersTable[[#This Row],[COGS]]-OrdersTable[[#This Row],[Shipping Cost]]</f>
        <v>1978.1</v>
      </c>
      <c r="Z598" s="78">
        <f>IFERROR(OrdersTable[[#This Row],[Profit]]/OrdersTable[[#This Row],[Net Revenue]],0)</f>
        <v>0.52081303809799639</v>
      </c>
      <c r="AA598" t="s">
        <v>3495</v>
      </c>
      <c r="AB598" s="79">
        <v>45418</v>
      </c>
      <c r="AC598">
        <f>OrdersTable[[#This Row],[Delivery Date]]-OrdersTable[[#This Row],[Order Date]]</f>
        <v>2</v>
      </c>
      <c r="AD598" t="str">
        <f>IF(OrdersTable[[#This Row],[Delivery Days]]&lt;=2, "Express (≤2d)", IF(OrdersTable[[#This Row],[Delivery Days]]&lt;=4, "Standard (3-4d)", "Delayed (5d+)"))</f>
        <v>Express (≤2d)</v>
      </c>
      <c r="AE598">
        <v>5</v>
      </c>
      <c r="AF598">
        <v>0</v>
      </c>
    </row>
    <row r="599" spans="1:32" ht="15" x14ac:dyDescent="0.35">
      <c r="A599" t="s">
        <v>463</v>
      </c>
      <c r="B599" s="1">
        <v>45417</v>
      </c>
      <c r="C599">
        <f>YEAR(OrdersTable[[#This Row],[Order Date]])</f>
        <v>2024</v>
      </c>
      <c r="D599" s="2">
        <f>DATE(YEAR(OrdersTable[[#This Row],[Order Date]]),MONTH(OrdersTable[[#This Row],[Order Date]]),1)</f>
        <v>45413</v>
      </c>
      <c r="E599">
        <f>MONTH(OrdersTable[[#This Row],[Order Date]])</f>
        <v>5</v>
      </c>
      <c r="F599" t="s">
        <v>464</v>
      </c>
      <c r="G599" t="str">
        <f>IF(OrdersTable[[#This Row],[Order Date]]=_xlfn.MINIFS(Order_Date, Customer_ID, OrdersTable[[#This Row],[Customer ID]]), "New", "Repeat")</f>
        <v>New</v>
      </c>
      <c r="H599" t="s">
        <v>128</v>
      </c>
      <c r="I599" t="str">
        <f>INDEX(State!B:B,MATCH(OrdersTable[[#This Row],[State]],State!A:A,0))</f>
        <v>DL</v>
      </c>
      <c r="J599" t="str">
        <f>INDEX(State!C:C,MATCH(OrdersTable[[#This Row],[State Code]],State!B:B,0))</f>
        <v>North</v>
      </c>
      <c r="K599" t="s">
        <v>129</v>
      </c>
      <c r="L599" t="s">
        <v>16</v>
      </c>
      <c r="M599" t="s">
        <v>34</v>
      </c>
      <c r="N599" t="str">
        <f>INDEX(Products!B:B,MATCH(OrdersTable[[#This Row],[Product ID]],Products!A:A,0))</f>
        <v>Flip Flops</v>
      </c>
      <c r="O599" t="str">
        <f>INDEX(Products!C:C,MATCH(OrdersTable[[#This Row],[Product ID]],Products!A:A,0))</f>
        <v>Footwear</v>
      </c>
      <c r="P599">
        <v>1</v>
      </c>
      <c r="Q599" s="5">
        <v>399</v>
      </c>
      <c r="R599" s="74">
        <v>0.15</v>
      </c>
      <c r="S599" s="75">
        <f>OrdersTable[[#This Row],[Quantity]]*OrdersTable[[#This Row],[Unit Price]]</f>
        <v>399</v>
      </c>
      <c r="T599" s="5">
        <f>OrdersTable[[#This Row],[Gross Sale]]*OrdersTable[[#This Row],[Discount_Clean2]]</f>
        <v>59.849999999999994</v>
      </c>
      <c r="U599" s="5">
        <f>OrdersTable[[#This Row],[Gross Sale]]-OrdersTable[[#This Row],[Discount Amount]]</f>
        <v>339.15</v>
      </c>
      <c r="V599" s="77">
        <f>INDEX(Products!E:E,MATCH(OrdersTable[[#This Row],[Product ID]],Products!A:A,0))</f>
        <v>152</v>
      </c>
      <c r="W599" s="77">
        <f>OrdersTable[[#This Row],[Quantity]]*OrdersTable[[#This Row],[Unit Cost]]</f>
        <v>152</v>
      </c>
      <c r="X599" s="77">
        <f>'Dropdown Lists'!$I$2*(1+OrdersTable[[#This Row],[Returned]])</f>
        <v>60</v>
      </c>
      <c r="Y599" s="76">
        <f>OrdersTable[[#This Row],[Net Revenue]]-OrdersTable[[#This Row],[COGS]]-OrdersTable[[#This Row],[Shipping Cost]]</f>
        <v>127.14999999999998</v>
      </c>
      <c r="Z599" s="78">
        <f>IFERROR(OrdersTable[[#This Row],[Profit]]/OrdersTable[[#This Row],[Net Revenue]],0)</f>
        <v>0.37490785787999409</v>
      </c>
      <c r="AA599" t="s">
        <v>18</v>
      </c>
      <c r="AB599" s="79">
        <v>45420</v>
      </c>
      <c r="AC599">
        <f>OrdersTable[[#This Row],[Delivery Date]]-OrdersTable[[#This Row],[Order Date]]</f>
        <v>3</v>
      </c>
      <c r="AD599" t="str">
        <f>IF(OrdersTable[[#This Row],[Delivery Days]]&lt;=2, "Express (≤2d)", IF(OrdersTable[[#This Row],[Delivery Days]]&lt;=4, "Standard (3-4d)", "Delayed (5d+)"))</f>
        <v>Standard (3-4d)</v>
      </c>
      <c r="AE599">
        <v>4</v>
      </c>
      <c r="AF599">
        <v>0</v>
      </c>
    </row>
    <row r="600" spans="1:32" ht="15" x14ac:dyDescent="0.35">
      <c r="A600" t="s">
        <v>3166</v>
      </c>
      <c r="B600" s="1">
        <v>45417</v>
      </c>
      <c r="C600">
        <f>YEAR(OrdersTable[[#This Row],[Order Date]])</f>
        <v>2024</v>
      </c>
      <c r="D600" s="2">
        <f>DATE(YEAR(OrdersTable[[#This Row],[Order Date]]),MONTH(OrdersTable[[#This Row],[Order Date]]),1)</f>
        <v>45413</v>
      </c>
      <c r="E600">
        <f>MONTH(OrdersTable[[#This Row],[Order Date]])</f>
        <v>5</v>
      </c>
      <c r="F600" t="s">
        <v>3167</v>
      </c>
      <c r="G600" t="str">
        <f>IF(OrdersTable[[#This Row],[Order Date]]=_xlfn.MINIFS(Order_Date, Customer_ID, OrdersTable[[#This Row],[Customer ID]]), "New", "Repeat")</f>
        <v>New</v>
      </c>
      <c r="H600" t="s">
        <v>37</v>
      </c>
      <c r="I600" t="str">
        <f>INDEX(State!B:B,MATCH(OrdersTable[[#This Row],[State]],State!A:A,0))</f>
        <v>GJ</v>
      </c>
      <c r="J600" t="str">
        <f>INDEX(State!C:C,MATCH(OrdersTable[[#This Row],[State Code]],State!B:B,0))</f>
        <v>West</v>
      </c>
      <c r="K600" t="s">
        <v>38</v>
      </c>
      <c r="L600" t="s">
        <v>50</v>
      </c>
      <c r="M600" t="s">
        <v>56</v>
      </c>
      <c r="N600" t="str">
        <f>INDEX(Products!B:B,MATCH(OrdersTable[[#This Row],[Product ID]],Products!A:A,0))</f>
        <v>Vitamin C Face Serum</v>
      </c>
      <c r="O600" t="str">
        <f>INDEX(Products!C:C,MATCH(OrdersTable[[#This Row],[Product ID]],Products!A:A,0))</f>
        <v>Skincare</v>
      </c>
      <c r="P600">
        <v>1</v>
      </c>
      <c r="Q600" s="5">
        <v>599</v>
      </c>
      <c r="R600" s="74">
        <v>0.2</v>
      </c>
      <c r="S600" s="75">
        <f>OrdersTable[[#This Row],[Quantity]]*OrdersTable[[#This Row],[Unit Price]]</f>
        <v>599</v>
      </c>
      <c r="T600" s="5">
        <f>OrdersTable[[#This Row],[Gross Sale]]*OrdersTable[[#This Row],[Discount_Clean2]]</f>
        <v>119.80000000000001</v>
      </c>
      <c r="U600" s="5">
        <f>OrdersTable[[#This Row],[Gross Sale]]-OrdersTable[[#This Row],[Discount Amount]]</f>
        <v>479.2</v>
      </c>
      <c r="V600" s="77">
        <f>INDEX(Products!E:E,MATCH(OrdersTable[[#This Row],[Product ID]],Products!A:A,0))</f>
        <v>180</v>
      </c>
      <c r="W600" s="77">
        <f>OrdersTable[[#This Row],[Quantity]]*OrdersTable[[#This Row],[Unit Cost]]</f>
        <v>180</v>
      </c>
      <c r="X600" s="77">
        <f>'Dropdown Lists'!$I$2*(1+OrdersTable[[#This Row],[Returned]])</f>
        <v>60</v>
      </c>
      <c r="Y600" s="76">
        <f>OrdersTable[[#This Row],[Net Revenue]]-OrdersTable[[#This Row],[COGS]]-OrdersTable[[#This Row],[Shipping Cost]]</f>
        <v>239.2</v>
      </c>
      <c r="Z600" s="78">
        <f>IFERROR(OrdersTable[[#This Row],[Profit]]/OrdersTable[[#This Row],[Net Revenue]],0)</f>
        <v>0.4991652754590985</v>
      </c>
      <c r="AA600" t="s">
        <v>2522</v>
      </c>
      <c r="AB600" s="79">
        <v>45421</v>
      </c>
      <c r="AC600">
        <f>OrdersTable[[#This Row],[Delivery Date]]-OrdersTable[[#This Row],[Order Date]]</f>
        <v>4</v>
      </c>
      <c r="AD600" t="str">
        <f>IF(OrdersTable[[#This Row],[Delivery Days]]&lt;=2, "Express (≤2d)", IF(OrdersTable[[#This Row],[Delivery Days]]&lt;=4, "Standard (3-4d)", "Delayed (5d+)"))</f>
        <v>Standard (3-4d)</v>
      </c>
      <c r="AE600">
        <v>4</v>
      </c>
      <c r="AF600">
        <v>0</v>
      </c>
    </row>
    <row r="601" spans="1:32" ht="15" x14ac:dyDescent="0.35">
      <c r="A601" t="s">
        <v>3168</v>
      </c>
      <c r="B601" s="1">
        <v>45417</v>
      </c>
      <c r="C601">
        <f>YEAR(OrdersTable[[#This Row],[Order Date]])</f>
        <v>2024</v>
      </c>
      <c r="D601" s="2">
        <f>DATE(YEAR(OrdersTable[[#This Row],[Order Date]]),MONTH(OrdersTable[[#This Row],[Order Date]]),1)</f>
        <v>45413</v>
      </c>
      <c r="E601">
        <f>MONTH(OrdersTable[[#This Row],[Order Date]])</f>
        <v>5</v>
      </c>
      <c r="F601" t="s">
        <v>2094</v>
      </c>
      <c r="G601" t="str">
        <f>IF(OrdersTable[[#This Row],[Order Date]]=_xlfn.MINIFS(Order_Date, Customer_ID, OrdersTable[[#This Row],[Customer ID]]), "New", "Repeat")</f>
        <v>Repeat</v>
      </c>
      <c r="H601" t="s">
        <v>37</v>
      </c>
      <c r="I601" t="str">
        <f>INDEX(State!B:B,MATCH(OrdersTable[[#This Row],[State]],State!A:A,0))</f>
        <v>GJ</v>
      </c>
      <c r="J601" t="str">
        <f>INDEX(State!C:C,MATCH(OrdersTable[[#This Row],[State Code]],State!B:B,0))</f>
        <v>West</v>
      </c>
      <c r="K601" t="s">
        <v>247</v>
      </c>
      <c r="L601" t="s">
        <v>23</v>
      </c>
      <c r="M601" t="s">
        <v>66</v>
      </c>
      <c r="N601" t="str">
        <f>INDEX(Products!B:B,MATCH(OrdersTable[[#This Row],[Product ID]],Products!A:A,0))</f>
        <v>Sunscreen SPF 50</v>
      </c>
      <c r="O601" t="str">
        <f>INDEX(Products!C:C,MATCH(OrdersTable[[#This Row],[Product ID]],Products!A:A,0))</f>
        <v>Skincare</v>
      </c>
      <c r="P601">
        <v>1</v>
      </c>
      <c r="Q601" s="5">
        <v>449</v>
      </c>
      <c r="R601" s="74">
        <v>0.05</v>
      </c>
      <c r="S601" s="75">
        <f>OrdersTable[[#This Row],[Quantity]]*OrdersTable[[#This Row],[Unit Price]]</f>
        <v>449</v>
      </c>
      <c r="T601" s="5">
        <f>OrdersTable[[#This Row],[Gross Sale]]*OrdersTable[[#This Row],[Discount_Clean2]]</f>
        <v>22.450000000000003</v>
      </c>
      <c r="U601" s="5">
        <f>OrdersTable[[#This Row],[Gross Sale]]-OrdersTable[[#This Row],[Discount Amount]]</f>
        <v>426.55</v>
      </c>
      <c r="V601" s="77">
        <f>INDEX(Products!E:E,MATCH(OrdersTable[[#This Row],[Product ID]],Products!A:A,0))</f>
        <v>144</v>
      </c>
      <c r="W601" s="77">
        <f>OrdersTable[[#This Row],[Quantity]]*OrdersTable[[#This Row],[Unit Cost]]</f>
        <v>144</v>
      </c>
      <c r="X601" s="77">
        <f>'Dropdown Lists'!$I$2*(1+OrdersTable[[#This Row],[Returned]])</f>
        <v>60</v>
      </c>
      <c r="Y601" s="76">
        <f>OrdersTable[[#This Row],[Net Revenue]]-OrdersTable[[#This Row],[COGS]]-OrdersTable[[#This Row],[Shipping Cost]]</f>
        <v>222.55</v>
      </c>
      <c r="Z601" s="78">
        <f>IFERROR(OrdersTable[[#This Row],[Profit]]/OrdersTable[[#This Row],[Net Revenue]],0)</f>
        <v>0.52174422693705313</v>
      </c>
      <c r="AA601" t="s">
        <v>2522</v>
      </c>
      <c r="AB601" s="79">
        <v>45420</v>
      </c>
      <c r="AC601">
        <f>OrdersTable[[#This Row],[Delivery Date]]-OrdersTable[[#This Row],[Order Date]]</f>
        <v>3</v>
      </c>
      <c r="AD601" t="str">
        <f>IF(OrdersTable[[#This Row],[Delivery Days]]&lt;=2, "Express (≤2d)", IF(OrdersTable[[#This Row],[Delivery Days]]&lt;=4, "Standard (3-4d)", "Delayed (5d+)"))</f>
        <v>Standard (3-4d)</v>
      </c>
      <c r="AE601">
        <v>4</v>
      </c>
      <c r="AF601">
        <v>0</v>
      </c>
    </row>
    <row r="602" spans="1:32" ht="15" x14ac:dyDescent="0.35">
      <c r="A602" t="s">
        <v>6275</v>
      </c>
      <c r="B602" s="1">
        <v>45417</v>
      </c>
      <c r="C602">
        <f>YEAR(OrdersTable[[#This Row],[Order Date]])</f>
        <v>2024</v>
      </c>
      <c r="D602" s="2">
        <f>DATE(YEAR(OrdersTable[[#This Row],[Order Date]]),MONTH(OrdersTable[[#This Row],[Order Date]]),1)</f>
        <v>45413</v>
      </c>
      <c r="E602">
        <f>MONTH(OrdersTable[[#This Row],[Order Date]])</f>
        <v>5</v>
      </c>
      <c r="F602" t="s">
        <v>3426</v>
      </c>
      <c r="G602" t="str">
        <f>IF(OrdersTable[[#This Row],[Order Date]]=_xlfn.MINIFS(Order_Date, Customer_ID, OrdersTable[[#This Row],[Customer ID]]), "New", "Repeat")</f>
        <v>New</v>
      </c>
      <c r="H602" t="s">
        <v>37</v>
      </c>
      <c r="I602" t="str">
        <f>INDEX(State!B:B,MATCH(OrdersTable[[#This Row],[State]],State!A:A,0))</f>
        <v>GJ</v>
      </c>
      <c r="J602" t="str">
        <f>INDEX(State!C:C,MATCH(OrdersTable[[#This Row],[State Code]],State!B:B,0))</f>
        <v>West</v>
      </c>
      <c r="K602" t="s">
        <v>247</v>
      </c>
      <c r="L602" t="s">
        <v>23</v>
      </c>
      <c r="M602" t="s">
        <v>51</v>
      </c>
      <c r="N602" t="str">
        <f>INDEX(Products!B:B,MATCH(OrdersTable[[#This Row],[Product ID]],Products!A:A,0))</f>
        <v>Anti-Dandruff Conditioner</v>
      </c>
      <c r="O602" t="str">
        <f>INDEX(Products!C:C,MATCH(OrdersTable[[#This Row],[Product ID]],Products!A:A,0))</f>
        <v>Haircare</v>
      </c>
      <c r="P602">
        <v>2</v>
      </c>
      <c r="Q602" s="5">
        <v>399</v>
      </c>
      <c r="R602" s="74">
        <v>0.35</v>
      </c>
      <c r="S602" s="75">
        <f>OrdersTable[[#This Row],[Quantity]]*OrdersTable[[#This Row],[Unit Price]]</f>
        <v>798</v>
      </c>
      <c r="T602" s="5">
        <f>OrdersTable[[#This Row],[Gross Sale]]*OrdersTable[[#This Row],[Discount_Clean2]]</f>
        <v>279.29999999999995</v>
      </c>
      <c r="U602" s="5">
        <f>OrdersTable[[#This Row],[Gross Sale]]-OrdersTable[[#This Row],[Discount Amount]]</f>
        <v>518.70000000000005</v>
      </c>
      <c r="V602" s="77">
        <f>INDEX(Products!E:E,MATCH(OrdersTable[[#This Row],[Product ID]],Products!A:A,0))</f>
        <v>136</v>
      </c>
      <c r="W602" s="77">
        <f>OrdersTable[[#This Row],[Quantity]]*OrdersTable[[#This Row],[Unit Cost]]</f>
        <v>272</v>
      </c>
      <c r="X602" s="77">
        <f>'Dropdown Lists'!$I$2*(1+OrdersTable[[#This Row],[Returned]])</f>
        <v>60</v>
      </c>
      <c r="Y602" s="76">
        <f>OrdersTable[[#This Row],[Net Revenue]]-OrdersTable[[#This Row],[COGS]]-OrdersTable[[#This Row],[Shipping Cost]]</f>
        <v>186.70000000000005</v>
      </c>
      <c r="Z602" s="78">
        <f>IFERROR(OrdersTable[[#This Row],[Profit]]/OrdersTable[[#This Row],[Net Revenue]],0)</f>
        <v>0.35993830730672843</v>
      </c>
      <c r="AA602" t="s">
        <v>18</v>
      </c>
      <c r="AB602" s="79">
        <v>45418</v>
      </c>
      <c r="AC602">
        <f>OrdersTable[[#This Row],[Delivery Date]]-OrdersTable[[#This Row],[Order Date]]</f>
        <v>1</v>
      </c>
      <c r="AD602" t="str">
        <f>IF(OrdersTable[[#This Row],[Delivery Days]]&lt;=2, "Express (≤2d)", IF(OrdersTable[[#This Row],[Delivery Days]]&lt;=4, "Standard (3-4d)", "Delayed (5d+)"))</f>
        <v>Express (≤2d)</v>
      </c>
      <c r="AE602">
        <v>4</v>
      </c>
      <c r="AF602">
        <v>0</v>
      </c>
    </row>
    <row r="603" spans="1:32" ht="15" x14ac:dyDescent="0.35">
      <c r="A603" t="s">
        <v>5575</v>
      </c>
      <c r="B603" s="1">
        <v>45417</v>
      </c>
      <c r="C603">
        <f>YEAR(OrdersTable[[#This Row],[Order Date]])</f>
        <v>2024</v>
      </c>
      <c r="D603" s="2">
        <f>DATE(YEAR(OrdersTable[[#This Row],[Order Date]]),MONTH(OrdersTable[[#This Row],[Order Date]]),1)</f>
        <v>45413</v>
      </c>
      <c r="E603">
        <f>MONTH(OrdersTable[[#This Row],[Order Date]])</f>
        <v>5</v>
      </c>
      <c r="F603" t="s">
        <v>4299</v>
      </c>
      <c r="G603" t="str">
        <f>IF(OrdersTable[[#This Row],[Order Date]]=_xlfn.MINIFS(Order_Date, Customer_ID, OrdersTable[[#This Row],[Customer ID]]), "New", "Repeat")</f>
        <v>New</v>
      </c>
      <c r="H603" t="s">
        <v>316</v>
      </c>
      <c r="I603" t="str">
        <f>INDEX(State!B:B,MATCH(OrdersTable[[#This Row],[State]],State!A:A,0))</f>
        <v>KL</v>
      </c>
      <c r="J603" t="str">
        <f>INDEX(State!C:C,MATCH(OrdersTable[[#This Row],[State Code]],State!B:B,0))</f>
        <v>South</v>
      </c>
      <c r="K603" t="s">
        <v>317</v>
      </c>
      <c r="L603" t="s">
        <v>65</v>
      </c>
      <c r="M603" t="s">
        <v>160</v>
      </c>
      <c r="N603" t="str">
        <f>INDEX(Products!B:B,MATCH(OrdersTable[[#This Row],[Product ID]],Products!A:A,0))</f>
        <v>Niacinamide Toner</v>
      </c>
      <c r="O603" t="str">
        <f>INDEX(Products!C:C,MATCH(OrdersTable[[#This Row],[Product ID]],Products!A:A,0))</f>
        <v>Skincare</v>
      </c>
      <c r="P603">
        <v>2</v>
      </c>
      <c r="Q603" s="5">
        <v>399</v>
      </c>
      <c r="R603" s="74">
        <v>0.3</v>
      </c>
      <c r="S603" s="75">
        <f>OrdersTable[[#This Row],[Quantity]]*OrdersTable[[#This Row],[Unit Price]]</f>
        <v>798</v>
      </c>
      <c r="T603" s="5">
        <f>OrdersTable[[#This Row],[Gross Sale]]*OrdersTable[[#This Row],[Discount_Clean2]]</f>
        <v>239.39999999999998</v>
      </c>
      <c r="U603" s="5">
        <f>OrdersTable[[#This Row],[Gross Sale]]-OrdersTable[[#This Row],[Discount Amount]]</f>
        <v>558.6</v>
      </c>
      <c r="V603" s="77">
        <f>INDEX(Products!E:E,MATCH(OrdersTable[[#This Row],[Product ID]],Products!A:A,0))</f>
        <v>112</v>
      </c>
      <c r="W603" s="77">
        <f>OrdersTable[[#This Row],[Quantity]]*OrdersTable[[#This Row],[Unit Cost]]</f>
        <v>224</v>
      </c>
      <c r="X603" s="77">
        <f>'Dropdown Lists'!$I$2*(1+OrdersTable[[#This Row],[Returned]])</f>
        <v>60</v>
      </c>
      <c r="Y603" s="76">
        <f>OrdersTable[[#This Row],[Net Revenue]]-OrdersTable[[#This Row],[COGS]]-OrdersTable[[#This Row],[Shipping Cost]]</f>
        <v>274.60000000000002</v>
      </c>
      <c r="Z603" s="78">
        <f>IFERROR(OrdersTable[[#This Row],[Profit]]/OrdersTable[[#This Row],[Net Revenue]],0)</f>
        <v>0.49158610812746151</v>
      </c>
      <c r="AA603" t="s">
        <v>2522</v>
      </c>
      <c r="AB603" s="79">
        <v>45421</v>
      </c>
      <c r="AC603">
        <f>OrdersTable[[#This Row],[Delivery Date]]-OrdersTable[[#This Row],[Order Date]]</f>
        <v>4</v>
      </c>
      <c r="AD603" t="str">
        <f>IF(OrdersTable[[#This Row],[Delivery Days]]&lt;=2, "Express (≤2d)", IF(OrdersTable[[#This Row],[Delivery Days]]&lt;=4, "Standard (3-4d)", "Delayed (5d+)"))</f>
        <v>Standard (3-4d)</v>
      </c>
      <c r="AE603">
        <v>4</v>
      </c>
      <c r="AF603">
        <v>0</v>
      </c>
    </row>
    <row r="604" spans="1:32" ht="15" x14ac:dyDescent="0.35">
      <c r="A604" t="s">
        <v>4762</v>
      </c>
      <c r="B604" s="1">
        <v>45418</v>
      </c>
      <c r="C604">
        <f>YEAR(OrdersTable[[#This Row],[Order Date]])</f>
        <v>2024</v>
      </c>
      <c r="D604" s="2">
        <f>DATE(YEAR(OrdersTable[[#This Row],[Order Date]]),MONTH(OrdersTable[[#This Row],[Order Date]]),1)</f>
        <v>45413</v>
      </c>
      <c r="E604">
        <f>MONTH(OrdersTable[[#This Row],[Order Date]])</f>
        <v>5</v>
      </c>
      <c r="F604" t="s">
        <v>4763</v>
      </c>
      <c r="G604" t="str">
        <f>IF(OrdersTable[[#This Row],[Order Date]]=_xlfn.MINIFS(Order_Date, Customer_ID, OrdersTable[[#This Row],[Customer ID]]), "New", "Repeat")</f>
        <v>New</v>
      </c>
      <c r="H604" t="s">
        <v>76</v>
      </c>
      <c r="I604" t="str">
        <f>INDEX(State!B:B,MATCH(OrdersTable[[#This Row],[State]],State!A:A,0))</f>
        <v>UP</v>
      </c>
      <c r="J604" t="str">
        <f>INDEX(State!C:C,MATCH(OrdersTable[[#This Row],[State Code]],State!B:B,0))</f>
        <v>North</v>
      </c>
      <c r="K604" t="s">
        <v>77</v>
      </c>
      <c r="L604" t="s">
        <v>23</v>
      </c>
      <c r="M604" t="s">
        <v>84</v>
      </c>
      <c r="N604" t="str">
        <f>INDEX(Products!B:B,MATCH(OrdersTable[[#This Row],[Product ID]],Products!A:A,0))</f>
        <v>Cotton Bedsheet</v>
      </c>
      <c r="O604" t="str">
        <f>INDEX(Products!C:C,MATCH(OrdersTable[[#This Row],[Product ID]],Products!A:A,0))</f>
        <v>Home &amp; Kitchen</v>
      </c>
      <c r="P604">
        <v>2</v>
      </c>
      <c r="Q604" s="5">
        <v>1299</v>
      </c>
      <c r="R604" s="74">
        <v>0</v>
      </c>
      <c r="S604" s="75">
        <f>OrdersTable[[#This Row],[Quantity]]*OrdersTable[[#This Row],[Unit Price]]</f>
        <v>2598</v>
      </c>
      <c r="T604" s="5">
        <f>OrdersTable[[#This Row],[Gross Sale]]*OrdersTable[[#This Row],[Discount_Clean2]]</f>
        <v>0</v>
      </c>
      <c r="U604" s="5">
        <f>OrdersTable[[#This Row],[Gross Sale]]-OrdersTable[[#This Row],[Discount Amount]]</f>
        <v>2598</v>
      </c>
      <c r="V604" s="77">
        <f>INDEX(Products!E:E,MATCH(OrdersTable[[#This Row],[Product ID]],Products!A:A,0))</f>
        <v>585</v>
      </c>
      <c r="W604" s="77">
        <f>OrdersTable[[#This Row],[Quantity]]*OrdersTable[[#This Row],[Unit Cost]]</f>
        <v>1170</v>
      </c>
      <c r="X604" s="77">
        <f>'Dropdown Lists'!$I$2*(1+OrdersTable[[#This Row],[Returned]])</f>
        <v>60</v>
      </c>
      <c r="Y604" s="76">
        <f>OrdersTable[[#This Row],[Net Revenue]]-OrdersTable[[#This Row],[COGS]]-OrdersTable[[#This Row],[Shipping Cost]]</f>
        <v>1368</v>
      </c>
      <c r="Z604" s="78">
        <f>IFERROR(OrdersTable[[#This Row],[Profit]]/OrdersTable[[#This Row],[Net Revenue]],0)</f>
        <v>0.52655889145496537</v>
      </c>
      <c r="AA604" t="s">
        <v>4450</v>
      </c>
      <c r="AB604" s="79">
        <v>45421</v>
      </c>
      <c r="AC604">
        <f>OrdersTable[[#This Row],[Delivery Date]]-OrdersTable[[#This Row],[Order Date]]</f>
        <v>3</v>
      </c>
      <c r="AD604" t="str">
        <f>IF(OrdersTable[[#This Row],[Delivery Days]]&lt;=2, "Express (≤2d)", IF(OrdersTable[[#This Row],[Delivery Days]]&lt;=4, "Standard (3-4d)", "Delayed (5d+)"))</f>
        <v>Standard (3-4d)</v>
      </c>
      <c r="AF604">
        <v>0</v>
      </c>
    </row>
    <row r="605" spans="1:32" ht="15" x14ac:dyDescent="0.35">
      <c r="A605" t="s">
        <v>6763</v>
      </c>
      <c r="B605" s="1">
        <v>45418</v>
      </c>
      <c r="C605">
        <f>YEAR(OrdersTable[[#This Row],[Order Date]])</f>
        <v>2024</v>
      </c>
      <c r="D605" s="2">
        <f>DATE(YEAR(OrdersTable[[#This Row],[Order Date]]),MONTH(OrdersTable[[#This Row],[Order Date]]),1)</f>
        <v>45413</v>
      </c>
      <c r="E605">
        <f>MONTH(OrdersTable[[#This Row],[Order Date]])</f>
        <v>5</v>
      </c>
      <c r="F605" t="s">
        <v>419</v>
      </c>
      <c r="G605" t="str">
        <f>IF(OrdersTable[[#This Row],[Order Date]]=_xlfn.MINIFS(Order_Date, Customer_ID, OrdersTable[[#This Row],[Customer ID]]), "New", "Repeat")</f>
        <v>New</v>
      </c>
      <c r="H605" t="s">
        <v>27</v>
      </c>
      <c r="I605" t="str">
        <f>INDEX(State!B:B,MATCH(OrdersTable[[#This Row],[State]],State!A:A,0))</f>
        <v>WB</v>
      </c>
      <c r="J605" t="str">
        <f>INDEX(State!C:C,MATCH(OrdersTable[[#This Row],[State Code]],State!B:B,0))</f>
        <v>East</v>
      </c>
      <c r="K605" t="s">
        <v>28</v>
      </c>
      <c r="L605" t="s">
        <v>50</v>
      </c>
      <c r="M605" t="s">
        <v>152</v>
      </c>
      <c r="N605" t="str">
        <f>INDEX(Products!B:B,MATCH(OrdersTable[[#This Row],[Product ID]],Products!A:A,0))</f>
        <v>Green Tea (100 bags)</v>
      </c>
      <c r="O605" t="str">
        <f>INDEX(Products!C:C,MATCH(OrdersTable[[#This Row],[Product ID]],Products!A:A,0))</f>
        <v>Wellness</v>
      </c>
      <c r="P605">
        <v>3</v>
      </c>
      <c r="Q605" s="5">
        <v>399</v>
      </c>
      <c r="R605" s="74">
        <v>0.35</v>
      </c>
      <c r="S605" s="75">
        <f>OrdersTable[[#This Row],[Quantity]]*OrdersTable[[#This Row],[Unit Price]]</f>
        <v>1197</v>
      </c>
      <c r="T605" s="5">
        <f>OrdersTable[[#This Row],[Gross Sale]]*OrdersTable[[#This Row],[Discount_Clean2]]</f>
        <v>418.95</v>
      </c>
      <c r="U605" s="5">
        <f>OrdersTable[[#This Row],[Gross Sale]]-OrdersTable[[#This Row],[Discount Amount]]</f>
        <v>778.05</v>
      </c>
      <c r="V605" s="77">
        <f>INDEX(Products!E:E,MATCH(OrdersTable[[#This Row],[Product ID]],Products!A:A,0))</f>
        <v>128</v>
      </c>
      <c r="W605" s="77">
        <f>OrdersTable[[#This Row],[Quantity]]*OrdersTable[[#This Row],[Unit Cost]]</f>
        <v>384</v>
      </c>
      <c r="X605" s="77">
        <f>'Dropdown Lists'!$I$2*(1+OrdersTable[[#This Row],[Returned]])</f>
        <v>60</v>
      </c>
      <c r="Y605" s="76">
        <f>OrdersTable[[#This Row],[Net Revenue]]-OrdersTable[[#This Row],[COGS]]-OrdersTable[[#This Row],[Shipping Cost]]</f>
        <v>334.04999999999995</v>
      </c>
      <c r="Z605" s="78">
        <f>IFERROR(OrdersTable[[#This Row],[Profit]]/OrdersTable[[#This Row],[Net Revenue]],0)</f>
        <v>0.42934258723732405</v>
      </c>
      <c r="AA605" t="s">
        <v>3495</v>
      </c>
      <c r="AB605" s="79">
        <v>45421</v>
      </c>
      <c r="AC605">
        <f>OrdersTable[[#This Row],[Delivery Date]]-OrdersTable[[#This Row],[Order Date]]</f>
        <v>3</v>
      </c>
      <c r="AD605" t="str">
        <f>IF(OrdersTable[[#This Row],[Delivery Days]]&lt;=2, "Express (≤2d)", IF(OrdersTable[[#This Row],[Delivery Days]]&lt;=4, "Standard (3-4d)", "Delayed (5d+)"))</f>
        <v>Standard (3-4d)</v>
      </c>
      <c r="AE605">
        <v>5</v>
      </c>
      <c r="AF605">
        <v>0</v>
      </c>
    </row>
    <row r="606" spans="1:32" ht="15" x14ac:dyDescent="0.35">
      <c r="A606" t="s">
        <v>3715</v>
      </c>
      <c r="B606" s="1">
        <v>45419</v>
      </c>
      <c r="C606">
        <f>YEAR(OrdersTable[[#This Row],[Order Date]])</f>
        <v>2024</v>
      </c>
      <c r="D606" s="2">
        <f>DATE(YEAR(OrdersTable[[#This Row],[Order Date]]),MONTH(OrdersTable[[#This Row],[Order Date]]),1)</f>
        <v>45413</v>
      </c>
      <c r="E606">
        <f>MONTH(OrdersTable[[#This Row],[Order Date]])</f>
        <v>5</v>
      </c>
      <c r="F606" t="s">
        <v>2197</v>
      </c>
      <c r="G606" t="str">
        <f>IF(OrdersTable[[#This Row],[Order Date]]=_xlfn.MINIFS(Order_Date, Customer_ID, OrdersTable[[#This Row],[Customer ID]]), "New", "Repeat")</f>
        <v>Repeat</v>
      </c>
      <c r="H606" t="s">
        <v>54</v>
      </c>
      <c r="I606" t="str">
        <f>INDEX(State!B:B,MATCH(OrdersTable[[#This Row],[State]],State!A:A,0))</f>
        <v>RJ</v>
      </c>
      <c r="J606" t="str">
        <f>INDEX(State!C:C,MATCH(OrdersTable[[#This Row],[State Code]],State!B:B,0))</f>
        <v>North</v>
      </c>
      <c r="K606" t="s">
        <v>227</v>
      </c>
      <c r="L606" t="s">
        <v>65</v>
      </c>
      <c r="M606" t="s">
        <v>78</v>
      </c>
      <c r="N606" t="str">
        <f>INDEX(Products!B:B,MATCH(OrdersTable[[#This Row],[Product ID]],Products!A:A,0))</f>
        <v>Retinol Night Cream</v>
      </c>
      <c r="O606" t="str">
        <f>INDEX(Products!C:C,MATCH(OrdersTable[[#This Row],[Product ID]],Products!A:A,0))</f>
        <v>Skincare</v>
      </c>
      <c r="P606">
        <v>1</v>
      </c>
      <c r="Q606" s="5">
        <v>799</v>
      </c>
      <c r="R606" s="74">
        <v>0.1</v>
      </c>
      <c r="S606" s="75">
        <f>OrdersTable[[#This Row],[Quantity]]*OrdersTable[[#This Row],[Unit Price]]</f>
        <v>799</v>
      </c>
      <c r="T606" s="5">
        <f>OrdersTable[[#This Row],[Gross Sale]]*OrdersTable[[#This Row],[Discount_Clean2]]</f>
        <v>79.900000000000006</v>
      </c>
      <c r="U606" s="5">
        <f>OrdersTable[[#This Row],[Gross Sale]]-OrdersTable[[#This Row],[Discount Amount]]</f>
        <v>719.1</v>
      </c>
      <c r="V606" s="77">
        <f>INDEX(Products!E:E,MATCH(OrdersTable[[#This Row],[Product ID]],Products!A:A,0))</f>
        <v>216</v>
      </c>
      <c r="W606" s="77">
        <f>OrdersTable[[#This Row],[Quantity]]*OrdersTable[[#This Row],[Unit Cost]]</f>
        <v>216</v>
      </c>
      <c r="X606" s="77">
        <f>'Dropdown Lists'!$I$2*(1+OrdersTable[[#This Row],[Returned]])</f>
        <v>60</v>
      </c>
      <c r="Y606" s="76">
        <f>OrdersTable[[#This Row],[Net Revenue]]-OrdersTable[[#This Row],[COGS]]-OrdersTable[[#This Row],[Shipping Cost]]</f>
        <v>443.1</v>
      </c>
      <c r="Z606" s="78">
        <f>IFERROR(OrdersTable[[#This Row],[Profit]]/OrdersTable[[#This Row],[Net Revenue]],0)</f>
        <v>0.61618690029203171</v>
      </c>
      <c r="AA606" t="s">
        <v>3495</v>
      </c>
      <c r="AB606" s="79">
        <v>45424</v>
      </c>
      <c r="AC606">
        <f>OrdersTable[[#This Row],[Delivery Date]]-OrdersTable[[#This Row],[Order Date]]</f>
        <v>5</v>
      </c>
      <c r="AD606" t="str">
        <f>IF(OrdersTable[[#This Row],[Delivery Days]]&lt;=2, "Express (≤2d)", IF(OrdersTable[[#This Row],[Delivery Days]]&lt;=4, "Standard (3-4d)", "Delayed (5d+)"))</f>
        <v>Delayed (5d+)</v>
      </c>
      <c r="AF606">
        <v>0</v>
      </c>
    </row>
    <row r="607" spans="1:32" ht="15" x14ac:dyDescent="0.35">
      <c r="A607" t="s">
        <v>904</v>
      </c>
      <c r="B607" s="1">
        <v>45419</v>
      </c>
      <c r="C607">
        <f>YEAR(OrdersTable[[#This Row],[Order Date]])</f>
        <v>2024</v>
      </c>
      <c r="D607" s="2">
        <f>DATE(YEAR(OrdersTable[[#This Row],[Order Date]]),MONTH(OrdersTable[[#This Row],[Order Date]]),1)</f>
        <v>45413</v>
      </c>
      <c r="E607">
        <f>MONTH(OrdersTable[[#This Row],[Order Date]])</f>
        <v>5</v>
      </c>
      <c r="F607" t="s">
        <v>905</v>
      </c>
      <c r="G607" t="str">
        <f>IF(OrdersTable[[#This Row],[Order Date]]=_xlfn.MINIFS(Order_Date, Customer_ID, OrdersTable[[#This Row],[Customer ID]]), "New", "Repeat")</f>
        <v>New</v>
      </c>
      <c r="H607" t="s">
        <v>76</v>
      </c>
      <c r="I607" t="str">
        <f>INDEX(State!B:B,MATCH(OrdersTable[[#This Row],[State]],State!A:A,0))</f>
        <v>UP</v>
      </c>
      <c r="J607" t="str">
        <f>INDEX(State!C:C,MATCH(OrdersTable[[#This Row],[State Code]],State!B:B,0))</f>
        <v>North</v>
      </c>
      <c r="K607" t="s">
        <v>118</v>
      </c>
      <c r="L607" t="s">
        <v>65</v>
      </c>
      <c r="M607" t="s">
        <v>29</v>
      </c>
      <c r="N607" t="str">
        <f>INDEX(Products!B:B,MATCH(OrdersTable[[#This Row],[Product ID]],Products!A:A,0))</f>
        <v>Joggers</v>
      </c>
      <c r="O607" t="str">
        <f>INDEX(Products!C:C,MATCH(OrdersTable[[#This Row],[Product ID]],Products!A:A,0))</f>
        <v>Apparel</v>
      </c>
      <c r="P607">
        <v>1</v>
      </c>
      <c r="Q607" s="5">
        <v>1199</v>
      </c>
      <c r="R607" s="74">
        <v>0.05</v>
      </c>
      <c r="S607" s="75">
        <f>OrdersTable[[#This Row],[Quantity]]*OrdersTable[[#This Row],[Unit Price]]</f>
        <v>1199</v>
      </c>
      <c r="T607" s="5">
        <f>OrdersTable[[#This Row],[Gross Sale]]*OrdersTable[[#This Row],[Discount_Clean2]]</f>
        <v>59.95</v>
      </c>
      <c r="U607" s="5">
        <f>OrdersTable[[#This Row],[Gross Sale]]-OrdersTable[[#This Row],[Discount Amount]]</f>
        <v>1139.05</v>
      </c>
      <c r="V607" s="77">
        <f>INDEX(Products!E:E,MATCH(OrdersTable[[#This Row],[Product ID]],Products!A:A,0))</f>
        <v>492</v>
      </c>
      <c r="W607" s="77">
        <f>OrdersTable[[#This Row],[Quantity]]*OrdersTable[[#This Row],[Unit Cost]]</f>
        <v>492</v>
      </c>
      <c r="X607" s="77">
        <f>'Dropdown Lists'!$I$2*(1+OrdersTable[[#This Row],[Returned]])</f>
        <v>60</v>
      </c>
      <c r="Y607" s="76">
        <f>OrdersTable[[#This Row],[Net Revenue]]-OrdersTable[[#This Row],[COGS]]-OrdersTable[[#This Row],[Shipping Cost]]</f>
        <v>587.04999999999995</v>
      </c>
      <c r="Z607" s="78">
        <f>IFERROR(OrdersTable[[#This Row],[Profit]]/OrdersTable[[#This Row],[Net Revenue]],0)</f>
        <v>0.51538562837452262</v>
      </c>
      <c r="AA607" t="s">
        <v>18</v>
      </c>
      <c r="AB607" s="79">
        <v>45421</v>
      </c>
      <c r="AC607">
        <f>OrdersTable[[#This Row],[Delivery Date]]-OrdersTable[[#This Row],[Order Date]]</f>
        <v>2</v>
      </c>
      <c r="AD607" t="str">
        <f>IF(OrdersTable[[#This Row],[Delivery Days]]&lt;=2, "Express (≤2d)", IF(OrdersTable[[#This Row],[Delivery Days]]&lt;=4, "Standard (3-4d)", "Delayed (5d+)"))</f>
        <v>Express (≤2d)</v>
      </c>
      <c r="AE607">
        <v>4</v>
      </c>
      <c r="AF607">
        <v>0</v>
      </c>
    </row>
    <row r="608" spans="1:32" ht="15" x14ac:dyDescent="0.35">
      <c r="A608" t="s">
        <v>2903</v>
      </c>
      <c r="B608" s="1">
        <v>45419</v>
      </c>
      <c r="C608">
        <f>YEAR(OrdersTable[[#This Row],[Order Date]])</f>
        <v>2024</v>
      </c>
      <c r="D608" s="2">
        <f>DATE(YEAR(OrdersTable[[#This Row],[Order Date]]),MONTH(OrdersTable[[#This Row],[Order Date]]),1)</f>
        <v>45413</v>
      </c>
      <c r="E608">
        <f>MONTH(OrdersTable[[#This Row],[Order Date]])</f>
        <v>5</v>
      </c>
      <c r="F608" t="s">
        <v>938</v>
      </c>
      <c r="G608" t="str">
        <f>IF(OrdersTable[[#This Row],[Order Date]]=_xlfn.MINIFS(Order_Date, Customer_ID, OrdersTable[[#This Row],[Customer ID]]), "New", "Repeat")</f>
        <v>New</v>
      </c>
      <c r="H608" t="s">
        <v>43</v>
      </c>
      <c r="I608" t="str">
        <f>INDEX(State!B:B,MATCH(OrdersTable[[#This Row],[State]],State!A:A,0))</f>
        <v>MP</v>
      </c>
      <c r="J608" t="str">
        <f>INDEX(State!C:C,MATCH(OrdersTable[[#This Row],[State Code]],State!B:B,0))</f>
        <v>West</v>
      </c>
      <c r="K608" t="s">
        <v>44</v>
      </c>
      <c r="L608" t="s">
        <v>65</v>
      </c>
      <c r="M608" t="s">
        <v>109</v>
      </c>
      <c r="N608" t="str">
        <f>INDEX(Products!B:B,MATCH(OrdersTable[[#This Row],[Product ID]],Products!A:A,0))</f>
        <v>Onion Hair Oil</v>
      </c>
      <c r="O608" t="str">
        <f>INDEX(Products!C:C,MATCH(OrdersTable[[#This Row],[Product ID]],Products!A:A,0))</f>
        <v>Haircare</v>
      </c>
      <c r="P608">
        <v>1</v>
      </c>
      <c r="Q608" s="5">
        <v>349</v>
      </c>
      <c r="R608" s="74">
        <v>0.3</v>
      </c>
      <c r="S608" s="75">
        <f>OrdersTable[[#This Row],[Quantity]]*OrdersTable[[#This Row],[Unit Price]]</f>
        <v>349</v>
      </c>
      <c r="T608" s="5">
        <f>OrdersTable[[#This Row],[Gross Sale]]*OrdersTable[[#This Row],[Discount_Clean2]]</f>
        <v>104.7</v>
      </c>
      <c r="U608" s="5">
        <f>OrdersTable[[#This Row],[Gross Sale]]-OrdersTable[[#This Row],[Discount Amount]]</f>
        <v>244.3</v>
      </c>
      <c r="V608" s="77">
        <f>INDEX(Products!E:E,MATCH(OrdersTable[[#This Row],[Product ID]],Products!A:A,0))</f>
        <v>105</v>
      </c>
      <c r="W608" s="77">
        <f>OrdersTable[[#This Row],[Quantity]]*OrdersTable[[#This Row],[Unit Cost]]</f>
        <v>105</v>
      </c>
      <c r="X608" s="77">
        <f>'Dropdown Lists'!$I$2*(1+OrdersTable[[#This Row],[Returned]])</f>
        <v>120</v>
      </c>
      <c r="Y608" s="76">
        <f>OrdersTable[[#This Row],[Net Revenue]]-OrdersTable[[#This Row],[COGS]]-OrdersTable[[#This Row],[Shipping Cost]]</f>
        <v>19.300000000000011</v>
      </c>
      <c r="Z608" s="78">
        <f>IFERROR(OrdersTable[[#This Row],[Profit]]/OrdersTable[[#This Row],[Net Revenue]],0)</f>
        <v>7.9001227998362705E-2</v>
      </c>
      <c r="AA608" t="s">
        <v>2522</v>
      </c>
      <c r="AB608" s="79">
        <v>45422</v>
      </c>
      <c r="AC608">
        <f>OrdersTable[[#This Row],[Delivery Date]]-OrdersTable[[#This Row],[Order Date]]</f>
        <v>3</v>
      </c>
      <c r="AD608" t="str">
        <f>IF(OrdersTable[[#This Row],[Delivery Days]]&lt;=2, "Express (≤2d)", IF(OrdersTable[[#This Row],[Delivery Days]]&lt;=4, "Standard (3-4d)", "Delayed (5d+)"))</f>
        <v>Standard (3-4d)</v>
      </c>
      <c r="AF608">
        <v>1</v>
      </c>
    </row>
    <row r="609" spans="1:32" ht="15" x14ac:dyDescent="0.35">
      <c r="A609" t="s">
        <v>6054</v>
      </c>
      <c r="B609" s="1">
        <v>45419</v>
      </c>
      <c r="C609">
        <f>YEAR(OrdersTable[[#This Row],[Order Date]])</f>
        <v>2024</v>
      </c>
      <c r="D609" s="2">
        <f>DATE(YEAR(OrdersTable[[#This Row],[Order Date]]),MONTH(OrdersTable[[#This Row],[Order Date]]),1)</f>
        <v>45413</v>
      </c>
      <c r="E609">
        <f>MONTH(OrdersTable[[#This Row],[Order Date]])</f>
        <v>5</v>
      </c>
      <c r="F609" t="s">
        <v>3159</v>
      </c>
      <c r="G609" t="str">
        <f>IF(OrdersTable[[#This Row],[Order Date]]=_xlfn.MINIFS(Order_Date, Customer_ID, OrdersTable[[#This Row],[Customer ID]]), "New", "Repeat")</f>
        <v>Repeat</v>
      </c>
      <c r="H609" t="s">
        <v>71</v>
      </c>
      <c r="I609" t="str">
        <f>INDEX(State!B:B,MATCH(OrdersTable[[#This Row],[State]],State!A:A,0))</f>
        <v>MH</v>
      </c>
      <c r="J609" t="str">
        <f>INDEX(State!C:C,MATCH(OrdersTable[[#This Row],[State Code]],State!B:B,0))</f>
        <v>West</v>
      </c>
      <c r="K609" t="s">
        <v>81</v>
      </c>
      <c r="L609" t="s">
        <v>50</v>
      </c>
      <c r="M609" t="s">
        <v>73</v>
      </c>
      <c r="N609" t="str">
        <f>INDEX(Products!B:B,MATCH(OrdersTable[[#This Row],[Product ID]],Products!A:A,0))</f>
        <v>Hydrating Face Wash</v>
      </c>
      <c r="O609" t="str">
        <f>INDEX(Products!C:C,MATCH(OrdersTable[[#This Row],[Product ID]],Products!A:A,0))</f>
        <v>Skincare</v>
      </c>
      <c r="P609">
        <v>2</v>
      </c>
      <c r="Q609" s="5">
        <v>299</v>
      </c>
      <c r="R609" s="74">
        <v>0</v>
      </c>
      <c r="S609" s="75">
        <f>OrdersTable[[#This Row],[Quantity]]*OrdersTable[[#This Row],[Unit Price]]</f>
        <v>598</v>
      </c>
      <c r="T609" s="5">
        <f>OrdersTable[[#This Row],[Gross Sale]]*OrdersTable[[#This Row],[Discount_Clean2]]</f>
        <v>0</v>
      </c>
      <c r="U609" s="5">
        <f>OrdersTable[[#This Row],[Gross Sale]]-OrdersTable[[#This Row],[Discount Amount]]</f>
        <v>598</v>
      </c>
      <c r="V609" s="77">
        <f>INDEX(Products!E:E,MATCH(OrdersTable[[#This Row],[Product ID]],Products!A:A,0))</f>
        <v>90</v>
      </c>
      <c r="W609" s="77">
        <f>OrdersTable[[#This Row],[Quantity]]*OrdersTable[[#This Row],[Unit Cost]]</f>
        <v>180</v>
      </c>
      <c r="X609" s="77">
        <f>'Dropdown Lists'!$I$2*(1+OrdersTable[[#This Row],[Returned]])</f>
        <v>120</v>
      </c>
      <c r="Y609" s="76">
        <f>OrdersTable[[#This Row],[Net Revenue]]-OrdersTable[[#This Row],[COGS]]-OrdersTable[[#This Row],[Shipping Cost]]</f>
        <v>298</v>
      </c>
      <c r="Z609" s="78">
        <f>IFERROR(OrdersTable[[#This Row],[Profit]]/OrdersTable[[#This Row],[Net Revenue]],0)</f>
        <v>0.49832775919732442</v>
      </c>
      <c r="AA609" t="s">
        <v>18</v>
      </c>
      <c r="AB609" s="79">
        <v>45420</v>
      </c>
      <c r="AC609">
        <f>OrdersTable[[#This Row],[Delivery Date]]-OrdersTable[[#This Row],[Order Date]]</f>
        <v>1</v>
      </c>
      <c r="AD609" t="str">
        <f>IF(OrdersTable[[#This Row],[Delivery Days]]&lt;=2, "Express (≤2d)", IF(OrdersTable[[#This Row],[Delivery Days]]&lt;=4, "Standard (3-4d)", "Delayed (5d+)"))</f>
        <v>Express (≤2d)</v>
      </c>
      <c r="AE609">
        <v>4</v>
      </c>
      <c r="AF609">
        <v>1</v>
      </c>
    </row>
    <row r="610" spans="1:32" ht="15" x14ac:dyDescent="0.35">
      <c r="A610" t="s">
        <v>3169</v>
      </c>
      <c r="B610" s="1">
        <v>45419</v>
      </c>
      <c r="C610">
        <f>YEAR(OrdersTable[[#This Row],[Order Date]])</f>
        <v>2024</v>
      </c>
      <c r="D610" s="2">
        <f>DATE(YEAR(OrdersTable[[#This Row],[Order Date]]),MONTH(OrdersTable[[#This Row],[Order Date]]),1)</f>
        <v>45413</v>
      </c>
      <c r="E610">
        <f>MONTH(OrdersTable[[#This Row],[Order Date]])</f>
        <v>5</v>
      </c>
      <c r="F610" t="s">
        <v>650</v>
      </c>
      <c r="G610" t="str">
        <f>IF(OrdersTable[[#This Row],[Order Date]]=_xlfn.MINIFS(Order_Date, Customer_ID, OrdersTable[[#This Row],[Customer ID]]), "New", "Repeat")</f>
        <v>New</v>
      </c>
      <c r="H610" t="s">
        <v>71</v>
      </c>
      <c r="I610" t="str">
        <f>INDEX(State!B:B,MATCH(OrdersTable[[#This Row],[State]],State!A:A,0))</f>
        <v>MH</v>
      </c>
      <c r="J610" t="str">
        <f>INDEX(State!C:C,MATCH(OrdersTable[[#This Row],[State Code]],State!B:B,0))</f>
        <v>West</v>
      </c>
      <c r="K610" t="s">
        <v>81</v>
      </c>
      <c r="L610" t="s">
        <v>39</v>
      </c>
      <c r="M610" t="s">
        <v>152</v>
      </c>
      <c r="N610" t="str">
        <f>INDEX(Products!B:B,MATCH(OrdersTable[[#This Row],[Product ID]],Products!A:A,0))</f>
        <v>Green Tea (100 bags)</v>
      </c>
      <c r="O610" t="str">
        <f>INDEX(Products!C:C,MATCH(OrdersTable[[#This Row],[Product ID]],Products!A:A,0))</f>
        <v>Wellness</v>
      </c>
      <c r="P610">
        <v>1</v>
      </c>
      <c r="Q610" s="5">
        <v>399</v>
      </c>
      <c r="R610" s="74">
        <v>0.25</v>
      </c>
      <c r="S610" s="75">
        <f>OrdersTable[[#This Row],[Quantity]]*OrdersTable[[#This Row],[Unit Price]]</f>
        <v>399</v>
      </c>
      <c r="T610" s="5">
        <f>OrdersTable[[#This Row],[Gross Sale]]*OrdersTable[[#This Row],[Discount_Clean2]]</f>
        <v>99.75</v>
      </c>
      <c r="U610" s="5">
        <f>OrdersTable[[#This Row],[Gross Sale]]-OrdersTable[[#This Row],[Discount Amount]]</f>
        <v>299.25</v>
      </c>
      <c r="V610" s="77">
        <f>INDEX(Products!E:E,MATCH(OrdersTable[[#This Row],[Product ID]],Products!A:A,0))</f>
        <v>128</v>
      </c>
      <c r="W610" s="77">
        <f>OrdersTable[[#This Row],[Quantity]]*OrdersTable[[#This Row],[Unit Cost]]</f>
        <v>128</v>
      </c>
      <c r="X610" s="77">
        <f>'Dropdown Lists'!$I$2*(1+OrdersTable[[#This Row],[Returned]])</f>
        <v>60</v>
      </c>
      <c r="Y610" s="76">
        <f>OrdersTable[[#This Row],[Net Revenue]]-OrdersTable[[#This Row],[COGS]]-OrdersTable[[#This Row],[Shipping Cost]]</f>
        <v>111.25</v>
      </c>
      <c r="Z610" s="78">
        <f>IFERROR(OrdersTable[[#This Row],[Profit]]/OrdersTable[[#This Row],[Net Revenue]],0)</f>
        <v>0.37176274018379279</v>
      </c>
      <c r="AA610" t="s">
        <v>2522</v>
      </c>
      <c r="AB610" s="79">
        <v>45423</v>
      </c>
      <c r="AC610">
        <f>OrdersTable[[#This Row],[Delivery Date]]-OrdersTable[[#This Row],[Order Date]]</f>
        <v>4</v>
      </c>
      <c r="AD610" t="str">
        <f>IF(OrdersTable[[#This Row],[Delivery Days]]&lt;=2, "Express (≤2d)", IF(OrdersTable[[#This Row],[Delivery Days]]&lt;=4, "Standard (3-4d)", "Delayed (5d+)"))</f>
        <v>Standard (3-4d)</v>
      </c>
      <c r="AE610">
        <v>4</v>
      </c>
      <c r="AF610">
        <v>0</v>
      </c>
    </row>
    <row r="611" spans="1:32" ht="15" x14ac:dyDescent="0.35">
      <c r="A611" t="s">
        <v>5757</v>
      </c>
      <c r="B611" s="1">
        <v>45419</v>
      </c>
      <c r="C611">
        <f>YEAR(OrdersTable[[#This Row],[Order Date]])</f>
        <v>2024</v>
      </c>
      <c r="D611" s="2">
        <f>DATE(YEAR(OrdersTable[[#This Row],[Order Date]]),MONTH(OrdersTable[[#This Row],[Order Date]]),1)</f>
        <v>45413</v>
      </c>
      <c r="E611">
        <f>MONTH(OrdersTable[[#This Row],[Order Date]])</f>
        <v>5</v>
      </c>
      <c r="F611" t="s">
        <v>1271</v>
      </c>
      <c r="G611" t="str">
        <f>IF(OrdersTable[[#This Row],[Order Date]]=_xlfn.MINIFS(Order_Date, Customer_ID, OrdersTable[[#This Row],[Customer ID]]), "New", "Repeat")</f>
        <v>New</v>
      </c>
      <c r="H611" t="s">
        <v>95</v>
      </c>
      <c r="I611" t="str">
        <f>INDEX(State!B:B,MATCH(OrdersTable[[#This Row],[State]],State!A:A,0))</f>
        <v>TG</v>
      </c>
      <c r="J611" t="str">
        <f>INDEX(State!C:C,MATCH(OrdersTable[[#This Row],[State Code]],State!B:B,0))</f>
        <v>South</v>
      </c>
      <c r="K611" t="s">
        <v>96</v>
      </c>
      <c r="L611" t="s">
        <v>16</v>
      </c>
      <c r="M611" t="s">
        <v>87</v>
      </c>
      <c r="N611" t="str">
        <f>INDEX(Products!B:B,MATCH(OrdersTable[[#This Row],[Product ID]],Products!A:A,0))</f>
        <v>Linen Kurta</v>
      </c>
      <c r="O611" t="str">
        <f>INDEX(Products!C:C,MATCH(OrdersTable[[#This Row],[Product ID]],Products!A:A,0))</f>
        <v>Apparel</v>
      </c>
      <c r="P611">
        <v>2</v>
      </c>
      <c r="Q611" s="5">
        <v>1499</v>
      </c>
      <c r="R611" s="74">
        <v>0.35</v>
      </c>
      <c r="S611" s="75">
        <f>OrdersTable[[#This Row],[Quantity]]*OrdersTable[[#This Row],[Unit Price]]</f>
        <v>2998</v>
      </c>
      <c r="T611" s="5">
        <f>OrdersTable[[#This Row],[Gross Sale]]*OrdersTable[[#This Row],[Discount_Clean2]]</f>
        <v>1049.3</v>
      </c>
      <c r="U611" s="5">
        <f>OrdersTable[[#This Row],[Gross Sale]]-OrdersTable[[#This Row],[Discount Amount]]</f>
        <v>1948.7</v>
      </c>
      <c r="V611" s="77">
        <f>INDEX(Products!E:E,MATCH(OrdersTable[[#This Row],[Product ID]],Products!A:A,0))</f>
        <v>630</v>
      </c>
      <c r="W611" s="77">
        <f>OrdersTable[[#This Row],[Quantity]]*OrdersTable[[#This Row],[Unit Cost]]</f>
        <v>1260</v>
      </c>
      <c r="X611" s="77">
        <f>'Dropdown Lists'!$I$2*(1+OrdersTable[[#This Row],[Returned]])</f>
        <v>60</v>
      </c>
      <c r="Y611" s="76">
        <f>OrdersTable[[#This Row],[Net Revenue]]-OrdersTable[[#This Row],[COGS]]-OrdersTable[[#This Row],[Shipping Cost]]</f>
        <v>628.70000000000005</v>
      </c>
      <c r="Z611" s="78">
        <f>IFERROR(OrdersTable[[#This Row],[Profit]]/OrdersTable[[#This Row],[Net Revenue]],0)</f>
        <v>0.32262533997023657</v>
      </c>
      <c r="AA611" t="s">
        <v>18</v>
      </c>
      <c r="AB611" s="79">
        <v>45420</v>
      </c>
      <c r="AC611">
        <f>OrdersTable[[#This Row],[Delivery Date]]-OrdersTable[[#This Row],[Order Date]]</f>
        <v>1</v>
      </c>
      <c r="AD611" t="str">
        <f>IF(OrdersTable[[#This Row],[Delivery Days]]&lt;=2, "Express (≤2d)", IF(OrdersTable[[#This Row],[Delivery Days]]&lt;=4, "Standard (3-4d)", "Delayed (5d+)"))</f>
        <v>Express (≤2d)</v>
      </c>
      <c r="AE611">
        <v>5</v>
      </c>
      <c r="AF611">
        <v>0</v>
      </c>
    </row>
    <row r="612" spans="1:32" ht="15" x14ac:dyDescent="0.35">
      <c r="A612" t="s">
        <v>3970</v>
      </c>
      <c r="B612" s="1">
        <v>45419</v>
      </c>
      <c r="C612">
        <f>YEAR(OrdersTable[[#This Row],[Order Date]])</f>
        <v>2024</v>
      </c>
      <c r="D612" s="2">
        <f>DATE(YEAR(OrdersTable[[#This Row],[Order Date]]),MONTH(OrdersTable[[#This Row],[Order Date]]),1)</f>
        <v>45413</v>
      </c>
      <c r="E612">
        <f>MONTH(OrdersTable[[#This Row],[Order Date]])</f>
        <v>5</v>
      </c>
      <c r="F612" t="s">
        <v>2584</v>
      </c>
      <c r="G612" t="str">
        <f>IF(OrdersTable[[#This Row],[Order Date]]=_xlfn.MINIFS(Order_Date, Customer_ID, OrdersTable[[#This Row],[Customer ID]]), "New", "Repeat")</f>
        <v>New</v>
      </c>
      <c r="H612" t="s">
        <v>59</v>
      </c>
      <c r="I612" t="str">
        <f>INDEX(State!B:B,MATCH(OrdersTable[[#This Row],[State]],State!A:A,0))</f>
        <v>TN</v>
      </c>
      <c r="J612" t="str">
        <f>INDEX(State!C:C,MATCH(OrdersTable[[#This Row],[State Code]],State!B:B,0))</f>
        <v>South</v>
      </c>
      <c r="K612" t="s">
        <v>64</v>
      </c>
      <c r="L612" t="s">
        <v>65</v>
      </c>
      <c r="M612" t="s">
        <v>152</v>
      </c>
      <c r="N612" t="str">
        <f>INDEX(Products!B:B,MATCH(OrdersTable[[#This Row],[Product ID]],Products!A:A,0))</f>
        <v>Green Tea (100 bags)</v>
      </c>
      <c r="O612" t="str">
        <f>INDEX(Products!C:C,MATCH(OrdersTable[[#This Row],[Product ID]],Products!A:A,0))</f>
        <v>Wellness</v>
      </c>
      <c r="P612">
        <v>1</v>
      </c>
      <c r="Q612" s="5">
        <v>399</v>
      </c>
      <c r="R612" s="74">
        <v>0.35</v>
      </c>
      <c r="S612" s="75">
        <f>OrdersTable[[#This Row],[Quantity]]*OrdersTable[[#This Row],[Unit Price]]</f>
        <v>399</v>
      </c>
      <c r="T612" s="5">
        <f>OrdersTable[[#This Row],[Gross Sale]]*OrdersTable[[#This Row],[Discount_Clean2]]</f>
        <v>139.64999999999998</v>
      </c>
      <c r="U612" s="5">
        <f>OrdersTable[[#This Row],[Gross Sale]]-OrdersTable[[#This Row],[Discount Amount]]</f>
        <v>259.35000000000002</v>
      </c>
      <c r="V612" s="77">
        <f>INDEX(Products!E:E,MATCH(OrdersTable[[#This Row],[Product ID]],Products!A:A,0))</f>
        <v>128</v>
      </c>
      <c r="W612" s="77">
        <f>OrdersTable[[#This Row],[Quantity]]*OrdersTable[[#This Row],[Unit Cost]]</f>
        <v>128</v>
      </c>
      <c r="X612" s="77">
        <f>'Dropdown Lists'!$I$2*(1+OrdersTable[[#This Row],[Returned]])</f>
        <v>60</v>
      </c>
      <c r="Y612" s="76">
        <f>OrdersTable[[#This Row],[Net Revenue]]-OrdersTable[[#This Row],[COGS]]-OrdersTable[[#This Row],[Shipping Cost]]</f>
        <v>71.350000000000023</v>
      </c>
      <c r="Z612" s="78">
        <f>IFERROR(OrdersTable[[#This Row],[Profit]]/OrdersTable[[#This Row],[Net Revenue]],0)</f>
        <v>0.27511085405822255</v>
      </c>
      <c r="AA612" t="s">
        <v>3495</v>
      </c>
      <c r="AB612" s="79">
        <v>45420</v>
      </c>
      <c r="AC612">
        <f>OrdersTable[[#This Row],[Delivery Date]]-OrdersTable[[#This Row],[Order Date]]</f>
        <v>1</v>
      </c>
      <c r="AD612" t="str">
        <f>IF(OrdersTable[[#This Row],[Delivery Days]]&lt;=2, "Express (≤2d)", IF(OrdersTable[[#This Row],[Delivery Days]]&lt;=4, "Standard (3-4d)", "Delayed (5d+)"))</f>
        <v>Express (≤2d)</v>
      </c>
      <c r="AE612">
        <v>5</v>
      </c>
      <c r="AF612">
        <v>0</v>
      </c>
    </row>
    <row r="613" spans="1:32" ht="15" x14ac:dyDescent="0.35">
      <c r="A613" t="s">
        <v>3716</v>
      </c>
      <c r="B613" s="1">
        <v>45420</v>
      </c>
      <c r="C613">
        <f>YEAR(OrdersTable[[#This Row],[Order Date]])</f>
        <v>2024</v>
      </c>
      <c r="D613" s="2">
        <f>DATE(YEAR(OrdersTable[[#This Row],[Order Date]]),MONTH(OrdersTable[[#This Row],[Order Date]]),1)</f>
        <v>45413</v>
      </c>
      <c r="E613">
        <f>MONTH(OrdersTable[[#This Row],[Order Date]])</f>
        <v>5</v>
      </c>
      <c r="F613" t="s">
        <v>3717</v>
      </c>
      <c r="G613" t="str">
        <f>IF(OrdersTable[[#This Row],[Order Date]]=_xlfn.MINIFS(Order_Date, Customer_ID, OrdersTable[[#This Row],[Customer ID]]), "New", "Repeat")</f>
        <v>New</v>
      </c>
      <c r="H613" t="s">
        <v>76</v>
      </c>
      <c r="I613" t="str">
        <f>INDEX(State!B:B,MATCH(OrdersTable[[#This Row],[State]],State!A:A,0))</f>
        <v>UP</v>
      </c>
      <c r="J613" t="str">
        <f>INDEX(State!C:C,MATCH(OrdersTable[[#This Row],[State Code]],State!B:B,0))</f>
        <v>North</v>
      </c>
      <c r="K613" t="s">
        <v>77</v>
      </c>
      <c r="L613" t="s">
        <v>23</v>
      </c>
      <c r="M613" t="s">
        <v>176</v>
      </c>
      <c r="N613" t="str">
        <f>INDEX(Products!B:B,MATCH(OrdersTable[[#This Row],[Product ID]],Products!A:A,0))</f>
        <v>Denim Jacket</v>
      </c>
      <c r="O613" t="str">
        <f>INDEX(Products!C:C,MATCH(OrdersTable[[#This Row],[Product ID]],Products!A:A,0))</f>
        <v>Apparel</v>
      </c>
      <c r="P613">
        <v>1</v>
      </c>
      <c r="Q613" s="5">
        <v>2499</v>
      </c>
      <c r="R613" s="74">
        <v>0</v>
      </c>
      <c r="S613" s="75">
        <f>OrdersTable[[#This Row],[Quantity]]*OrdersTable[[#This Row],[Unit Price]]</f>
        <v>2499</v>
      </c>
      <c r="T613" s="5">
        <f>OrdersTable[[#This Row],[Gross Sale]]*OrdersTable[[#This Row],[Discount_Clean2]]</f>
        <v>0</v>
      </c>
      <c r="U613" s="5">
        <f>OrdersTable[[#This Row],[Gross Sale]]-OrdersTable[[#This Row],[Discount Amount]]</f>
        <v>2499</v>
      </c>
      <c r="V613" s="77">
        <f>INDEX(Products!E:E,MATCH(OrdersTable[[#This Row],[Product ID]],Products!A:A,0))</f>
        <v>1125</v>
      </c>
      <c r="W613" s="77">
        <f>OrdersTable[[#This Row],[Quantity]]*OrdersTable[[#This Row],[Unit Cost]]</f>
        <v>1125</v>
      </c>
      <c r="X613" s="77">
        <f>'Dropdown Lists'!$I$2*(1+OrdersTable[[#This Row],[Returned]])</f>
        <v>60</v>
      </c>
      <c r="Y613" s="76">
        <f>OrdersTable[[#This Row],[Net Revenue]]-OrdersTable[[#This Row],[COGS]]-OrdersTable[[#This Row],[Shipping Cost]]</f>
        <v>1314</v>
      </c>
      <c r="Z613" s="78">
        <f>IFERROR(OrdersTable[[#This Row],[Profit]]/OrdersTable[[#This Row],[Net Revenue]],0)</f>
        <v>0.5258103241296519</v>
      </c>
      <c r="AA613" t="s">
        <v>3495</v>
      </c>
      <c r="AB613" s="79">
        <v>45424</v>
      </c>
      <c r="AC613">
        <f>OrdersTable[[#This Row],[Delivery Date]]-OrdersTable[[#This Row],[Order Date]]</f>
        <v>4</v>
      </c>
      <c r="AD613" t="str">
        <f>IF(OrdersTable[[#This Row],[Delivery Days]]&lt;=2, "Express (≤2d)", IF(OrdersTable[[#This Row],[Delivery Days]]&lt;=4, "Standard (3-4d)", "Delayed (5d+)"))</f>
        <v>Standard (3-4d)</v>
      </c>
      <c r="AF613">
        <v>0</v>
      </c>
    </row>
    <row r="614" spans="1:32" ht="15" x14ac:dyDescent="0.35">
      <c r="A614" t="s">
        <v>5758</v>
      </c>
      <c r="B614" s="1">
        <v>45420</v>
      </c>
      <c r="C614">
        <f>YEAR(OrdersTable[[#This Row],[Order Date]])</f>
        <v>2024</v>
      </c>
      <c r="D614" s="2">
        <f>DATE(YEAR(OrdersTable[[#This Row],[Order Date]]),MONTH(OrdersTable[[#This Row],[Order Date]]),1)</f>
        <v>45413</v>
      </c>
      <c r="E614">
        <f>MONTH(OrdersTable[[#This Row],[Order Date]])</f>
        <v>5</v>
      </c>
      <c r="F614" t="s">
        <v>5759</v>
      </c>
      <c r="G614" t="str">
        <f>IF(OrdersTable[[#This Row],[Order Date]]=_xlfn.MINIFS(Order_Date, Customer_ID, OrdersTable[[#This Row],[Customer ID]]), "New", "Repeat")</f>
        <v>New</v>
      </c>
      <c r="H614" t="s">
        <v>76</v>
      </c>
      <c r="I614" t="str">
        <f>INDEX(State!B:B,MATCH(OrdersTable[[#This Row],[State]],State!A:A,0))</f>
        <v>UP</v>
      </c>
      <c r="J614" t="str">
        <f>INDEX(State!C:C,MATCH(OrdersTable[[#This Row],[State Code]],State!B:B,0))</f>
        <v>North</v>
      </c>
      <c r="K614" t="s">
        <v>77</v>
      </c>
      <c r="L614" t="s">
        <v>65</v>
      </c>
      <c r="M614" t="s">
        <v>61</v>
      </c>
      <c r="N614" t="str">
        <f>INDEX(Products!B:B,MATCH(OrdersTable[[#This Row],[Product ID]],Products!A:A,0))</f>
        <v>Multivitamin Gummies</v>
      </c>
      <c r="O614" t="str">
        <f>INDEX(Products!C:C,MATCH(OrdersTable[[#This Row],[Product ID]],Products!A:A,0))</f>
        <v>Wellness</v>
      </c>
      <c r="P614">
        <v>2</v>
      </c>
      <c r="Q614" s="5">
        <v>699</v>
      </c>
      <c r="R614" s="74">
        <v>0.3</v>
      </c>
      <c r="S614" s="75">
        <f>OrdersTable[[#This Row],[Quantity]]*OrdersTable[[#This Row],[Unit Price]]</f>
        <v>1398</v>
      </c>
      <c r="T614" s="5">
        <f>OrdersTable[[#This Row],[Gross Sale]]*OrdersTable[[#This Row],[Discount_Clean2]]</f>
        <v>419.4</v>
      </c>
      <c r="U614" s="5">
        <f>OrdersTable[[#This Row],[Gross Sale]]-OrdersTable[[#This Row],[Discount Amount]]</f>
        <v>978.6</v>
      </c>
      <c r="V614" s="77">
        <f>INDEX(Products!E:E,MATCH(OrdersTable[[#This Row],[Product ID]],Products!A:A,0))</f>
        <v>238</v>
      </c>
      <c r="W614" s="77">
        <f>OrdersTable[[#This Row],[Quantity]]*OrdersTable[[#This Row],[Unit Cost]]</f>
        <v>476</v>
      </c>
      <c r="X614" s="77">
        <f>'Dropdown Lists'!$I$2*(1+OrdersTable[[#This Row],[Returned]])</f>
        <v>60</v>
      </c>
      <c r="Y614" s="76">
        <f>OrdersTable[[#This Row],[Net Revenue]]-OrdersTable[[#This Row],[COGS]]-OrdersTable[[#This Row],[Shipping Cost]]</f>
        <v>442.6</v>
      </c>
      <c r="Z614" s="78">
        <f>IFERROR(OrdersTable[[#This Row],[Profit]]/OrdersTable[[#This Row],[Net Revenue]],0)</f>
        <v>0.45227876558348662</v>
      </c>
      <c r="AA614" t="s">
        <v>18</v>
      </c>
      <c r="AB614" s="79">
        <v>45422</v>
      </c>
      <c r="AC614">
        <f>OrdersTable[[#This Row],[Delivery Date]]-OrdersTable[[#This Row],[Order Date]]</f>
        <v>2</v>
      </c>
      <c r="AD614" t="str">
        <f>IF(OrdersTable[[#This Row],[Delivery Days]]&lt;=2, "Express (≤2d)", IF(OrdersTable[[#This Row],[Delivery Days]]&lt;=4, "Standard (3-4d)", "Delayed (5d+)"))</f>
        <v>Express (≤2d)</v>
      </c>
      <c r="AE614">
        <v>5</v>
      </c>
      <c r="AF614">
        <v>0</v>
      </c>
    </row>
    <row r="615" spans="1:32" ht="15" x14ac:dyDescent="0.35">
      <c r="A615" t="s">
        <v>2707</v>
      </c>
      <c r="B615" s="1">
        <v>45420</v>
      </c>
      <c r="C615">
        <f>YEAR(OrdersTable[[#This Row],[Order Date]])</f>
        <v>2024</v>
      </c>
      <c r="D615" s="2">
        <f>DATE(YEAR(OrdersTable[[#This Row],[Order Date]]),MONTH(OrdersTable[[#This Row],[Order Date]]),1)</f>
        <v>45413</v>
      </c>
      <c r="E615">
        <f>MONTH(OrdersTable[[#This Row],[Order Date]])</f>
        <v>5</v>
      </c>
      <c r="F615" t="s">
        <v>2708</v>
      </c>
      <c r="G615" t="str">
        <f>IF(OrdersTable[[#This Row],[Order Date]]=_xlfn.MINIFS(Order_Date, Customer_ID, OrdersTable[[#This Row],[Customer ID]]), "New", "Repeat")</f>
        <v>New</v>
      </c>
      <c r="H615" t="s">
        <v>37</v>
      </c>
      <c r="I615" t="str">
        <f>INDEX(State!B:B,MATCH(OrdersTable[[#This Row],[State]],State!A:A,0))</f>
        <v>GJ</v>
      </c>
      <c r="J615" t="str">
        <f>INDEX(State!C:C,MATCH(OrdersTable[[#This Row],[State Code]],State!B:B,0))</f>
        <v>West</v>
      </c>
      <c r="K615" t="s">
        <v>38</v>
      </c>
      <c r="L615" t="s">
        <v>39</v>
      </c>
      <c r="M615" t="s">
        <v>160</v>
      </c>
      <c r="N615" t="str">
        <f>INDEX(Products!B:B,MATCH(OrdersTable[[#This Row],[Product ID]],Products!A:A,0))</f>
        <v>Niacinamide Toner</v>
      </c>
      <c r="O615" t="str">
        <f>INDEX(Products!C:C,MATCH(OrdersTable[[#This Row],[Product ID]],Products!A:A,0))</f>
        <v>Skincare</v>
      </c>
      <c r="P615">
        <v>1</v>
      </c>
      <c r="Q615" s="5">
        <v>399</v>
      </c>
      <c r="R615" s="74">
        <v>0.15</v>
      </c>
      <c r="S615" s="75">
        <f>OrdersTable[[#This Row],[Quantity]]*OrdersTable[[#This Row],[Unit Price]]</f>
        <v>399</v>
      </c>
      <c r="T615" s="5">
        <f>OrdersTable[[#This Row],[Gross Sale]]*OrdersTable[[#This Row],[Discount_Clean2]]</f>
        <v>59.849999999999994</v>
      </c>
      <c r="U615" s="5">
        <f>OrdersTable[[#This Row],[Gross Sale]]-OrdersTable[[#This Row],[Discount Amount]]</f>
        <v>339.15</v>
      </c>
      <c r="V615" s="77">
        <f>INDEX(Products!E:E,MATCH(OrdersTable[[#This Row],[Product ID]],Products!A:A,0))</f>
        <v>112</v>
      </c>
      <c r="W615" s="77">
        <f>OrdersTable[[#This Row],[Quantity]]*OrdersTable[[#This Row],[Unit Cost]]</f>
        <v>112</v>
      </c>
      <c r="X615" s="77">
        <f>'Dropdown Lists'!$I$2*(1+OrdersTable[[#This Row],[Returned]])</f>
        <v>60</v>
      </c>
      <c r="Y615" s="76">
        <f>OrdersTable[[#This Row],[Net Revenue]]-OrdersTable[[#This Row],[COGS]]-OrdersTable[[#This Row],[Shipping Cost]]</f>
        <v>167.14999999999998</v>
      </c>
      <c r="Z615" s="78">
        <f>IFERROR(OrdersTable[[#This Row],[Profit]]/OrdersTable[[#This Row],[Net Revenue]],0)</f>
        <v>0.49284977148754233</v>
      </c>
      <c r="AA615" t="s">
        <v>2522</v>
      </c>
      <c r="AB615" s="79">
        <v>45423</v>
      </c>
      <c r="AC615">
        <f>OrdersTable[[#This Row],[Delivery Date]]-OrdersTable[[#This Row],[Order Date]]</f>
        <v>3</v>
      </c>
      <c r="AD615" t="str">
        <f>IF(OrdersTable[[#This Row],[Delivery Days]]&lt;=2, "Express (≤2d)", IF(OrdersTable[[#This Row],[Delivery Days]]&lt;=4, "Standard (3-4d)", "Delayed (5d+)"))</f>
        <v>Standard (3-4d)</v>
      </c>
      <c r="AE615">
        <v>3</v>
      </c>
      <c r="AF615">
        <v>0</v>
      </c>
    </row>
    <row r="616" spans="1:32" ht="15" x14ac:dyDescent="0.35">
      <c r="A616" t="s">
        <v>5866</v>
      </c>
      <c r="B616" s="1">
        <v>45420</v>
      </c>
      <c r="C616">
        <f>YEAR(OrdersTable[[#This Row],[Order Date]])</f>
        <v>2024</v>
      </c>
      <c r="D616" s="2">
        <f>DATE(YEAR(OrdersTable[[#This Row],[Order Date]]),MONTH(OrdersTable[[#This Row],[Order Date]]),1)</f>
        <v>45413</v>
      </c>
      <c r="E616">
        <f>MONTH(OrdersTable[[#This Row],[Order Date]])</f>
        <v>5</v>
      </c>
      <c r="F616" t="s">
        <v>5765</v>
      </c>
      <c r="G616" t="str">
        <f>IF(OrdersTable[[#This Row],[Order Date]]=_xlfn.MINIFS(Order_Date, Customer_ID, OrdersTable[[#This Row],[Customer ID]]), "New", "Repeat")</f>
        <v>New</v>
      </c>
      <c r="H616" t="s">
        <v>123</v>
      </c>
      <c r="I616" t="str">
        <f>INDEX(State!B:B,MATCH(OrdersTable[[#This Row],[State]],State!A:A,0))</f>
        <v>JH</v>
      </c>
      <c r="J616" t="str">
        <f>INDEX(State!C:C,MATCH(OrdersTable[[#This Row],[State Code]],State!B:B,0))</f>
        <v>East</v>
      </c>
      <c r="K616" t="s">
        <v>124</v>
      </c>
      <c r="L616" t="s">
        <v>50</v>
      </c>
      <c r="M616" t="s">
        <v>109</v>
      </c>
      <c r="N616" t="str">
        <f>INDEX(Products!B:B,MATCH(OrdersTable[[#This Row],[Product ID]],Products!A:A,0))</f>
        <v>Onion Hair Oil</v>
      </c>
      <c r="O616" t="str">
        <f>INDEX(Products!C:C,MATCH(OrdersTable[[#This Row],[Product ID]],Products!A:A,0))</f>
        <v>Haircare</v>
      </c>
      <c r="P616">
        <v>2</v>
      </c>
      <c r="Q616" s="5">
        <v>349</v>
      </c>
      <c r="R616" s="74">
        <v>0.35</v>
      </c>
      <c r="S616" s="75">
        <f>OrdersTable[[#This Row],[Quantity]]*OrdersTable[[#This Row],[Unit Price]]</f>
        <v>698</v>
      </c>
      <c r="T616" s="5">
        <f>OrdersTable[[#This Row],[Gross Sale]]*OrdersTable[[#This Row],[Discount_Clean2]]</f>
        <v>244.29999999999998</v>
      </c>
      <c r="U616" s="5">
        <f>OrdersTable[[#This Row],[Gross Sale]]-OrdersTable[[#This Row],[Discount Amount]]</f>
        <v>453.70000000000005</v>
      </c>
      <c r="V616" s="77">
        <f>INDEX(Products!E:E,MATCH(OrdersTable[[#This Row],[Product ID]],Products!A:A,0))</f>
        <v>105</v>
      </c>
      <c r="W616" s="77">
        <f>OrdersTable[[#This Row],[Quantity]]*OrdersTable[[#This Row],[Unit Cost]]</f>
        <v>210</v>
      </c>
      <c r="X616" s="77">
        <f>'Dropdown Lists'!$I$2*(1+OrdersTable[[#This Row],[Returned]])</f>
        <v>60</v>
      </c>
      <c r="Y616" s="76">
        <f>OrdersTable[[#This Row],[Net Revenue]]-OrdersTable[[#This Row],[COGS]]-OrdersTable[[#This Row],[Shipping Cost]]</f>
        <v>183.70000000000005</v>
      </c>
      <c r="Z616" s="78">
        <f>IFERROR(OrdersTable[[#This Row],[Profit]]/OrdersTable[[#This Row],[Net Revenue]],0)</f>
        <v>0.40489310116817284</v>
      </c>
      <c r="AA616" t="s">
        <v>18</v>
      </c>
      <c r="AB616" s="79">
        <v>45424</v>
      </c>
      <c r="AC616">
        <f>OrdersTable[[#This Row],[Delivery Date]]-OrdersTable[[#This Row],[Order Date]]</f>
        <v>4</v>
      </c>
      <c r="AD616" t="str">
        <f>IF(OrdersTable[[#This Row],[Delivery Days]]&lt;=2, "Express (≤2d)", IF(OrdersTable[[#This Row],[Delivery Days]]&lt;=4, "Standard (3-4d)", "Delayed (5d+)"))</f>
        <v>Standard (3-4d)</v>
      </c>
      <c r="AF616">
        <v>0</v>
      </c>
    </row>
    <row r="617" spans="1:32" ht="15" x14ac:dyDescent="0.35">
      <c r="A617" t="s">
        <v>1638</v>
      </c>
      <c r="B617" s="1">
        <v>45420</v>
      </c>
      <c r="C617">
        <f>YEAR(OrdersTable[[#This Row],[Order Date]])</f>
        <v>2024</v>
      </c>
      <c r="D617" s="2">
        <f>DATE(YEAR(OrdersTable[[#This Row],[Order Date]]),MONTH(OrdersTable[[#This Row],[Order Date]]),1)</f>
        <v>45413</v>
      </c>
      <c r="E617">
        <f>MONTH(OrdersTable[[#This Row],[Order Date]])</f>
        <v>5</v>
      </c>
      <c r="F617" t="s">
        <v>1639</v>
      </c>
      <c r="G617" t="str">
        <f>IF(OrdersTable[[#This Row],[Order Date]]=_xlfn.MINIFS(Order_Date, Customer_ID, OrdersTable[[#This Row],[Customer ID]]), "New", "Repeat")</f>
        <v>New</v>
      </c>
      <c r="H617" t="s">
        <v>95</v>
      </c>
      <c r="I617" t="str">
        <f>INDEX(State!B:B,MATCH(OrdersTable[[#This Row],[State]],State!A:A,0))</f>
        <v>TG</v>
      </c>
      <c r="J617" t="str">
        <f>INDEX(State!C:C,MATCH(OrdersTable[[#This Row],[State Code]],State!B:B,0))</f>
        <v>South</v>
      </c>
      <c r="K617" t="s">
        <v>96</v>
      </c>
      <c r="L617" t="s">
        <v>65</v>
      </c>
      <c r="M617" t="s">
        <v>40</v>
      </c>
      <c r="N617" t="str">
        <f>INDEX(Products!B:B,MATCH(OrdersTable[[#This Row],[Product ID]],Products!A:A,0))</f>
        <v>Ashwagandha Capsules</v>
      </c>
      <c r="O617" t="str">
        <f>INDEX(Products!C:C,MATCH(OrdersTable[[#This Row],[Product ID]],Products!A:A,0))</f>
        <v>Wellness</v>
      </c>
      <c r="P617">
        <v>1</v>
      </c>
      <c r="Q617" s="5">
        <v>499</v>
      </c>
      <c r="R617" s="74">
        <v>0.1</v>
      </c>
      <c r="S617" s="75">
        <f>OrdersTable[[#This Row],[Quantity]]*OrdersTable[[#This Row],[Unit Price]]</f>
        <v>499</v>
      </c>
      <c r="T617" s="5">
        <f>OrdersTable[[#This Row],[Gross Sale]]*OrdersTable[[#This Row],[Discount_Clean2]]</f>
        <v>49.900000000000006</v>
      </c>
      <c r="U617" s="5">
        <f>OrdersTable[[#This Row],[Gross Sale]]-OrdersTable[[#This Row],[Discount Amount]]</f>
        <v>449.1</v>
      </c>
      <c r="V617" s="77">
        <f>INDEX(Products!E:E,MATCH(OrdersTable[[#This Row],[Product ID]],Products!A:A,0))</f>
        <v>150</v>
      </c>
      <c r="W617" s="77">
        <f>OrdersTable[[#This Row],[Quantity]]*OrdersTable[[#This Row],[Unit Cost]]</f>
        <v>150</v>
      </c>
      <c r="X617" s="77">
        <f>'Dropdown Lists'!$I$2*(1+OrdersTable[[#This Row],[Returned]])</f>
        <v>60</v>
      </c>
      <c r="Y617" s="76">
        <f>OrdersTable[[#This Row],[Net Revenue]]-OrdersTable[[#This Row],[COGS]]-OrdersTable[[#This Row],[Shipping Cost]]</f>
        <v>239.10000000000002</v>
      </c>
      <c r="Z617" s="78">
        <f>IFERROR(OrdersTable[[#This Row],[Profit]]/OrdersTable[[#This Row],[Net Revenue]],0)</f>
        <v>0.53239812959251842</v>
      </c>
      <c r="AA617" t="s">
        <v>18</v>
      </c>
      <c r="AB617" s="79">
        <v>45423</v>
      </c>
      <c r="AC617">
        <f>OrdersTable[[#This Row],[Delivery Date]]-OrdersTable[[#This Row],[Order Date]]</f>
        <v>3</v>
      </c>
      <c r="AD617" t="str">
        <f>IF(OrdersTable[[#This Row],[Delivery Days]]&lt;=2, "Express (≤2d)", IF(OrdersTable[[#This Row],[Delivery Days]]&lt;=4, "Standard (3-4d)", "Delayed (5d+)"))</f>
        <v>Standard (3-4d)</v>
      </c>
      <c r="AF617">
        <v>0</v>
      </c>
    </row>
    <row r="618" spans="1:32" ht="15" x14ac:dyDescent="0.35">
      <c r="A618" t="s">
        <v>3170</v>
      </c>
      <c r="B618" s="1">
        <v>45421</v>
      </c>
      <c r="C618">
        <f>YEAR(OrdersTable[[#This Row],[Order Date]])</f>
        <v>2024</v>
      </c>
      <c r="D618" s="2">
        <f>DATE(YEAR(OrdersTable[[#This Row],[Order Date]]),MONTH(OrdersTable[[#This Row],[Order Date]]),1)</f>
        <v>45413</v>
      </c>
      <c r="E618">
        <f>MONTH(OrdersTable[[#This Row],[Order Date]])</f>
        <v>5</v>
      </c>
      <c r="F618" t="s">
        <v>2573</v>
      </c>
      <c r="G618" t="str">
        <f>IF(OrdersTable[[#This Row],[Order Date]]=_xlfn.MINIFS(Order_Date, Customer_ID, OrdersTable[[#This Row],[Customer ID]]), "New", "Repeat")</f>
        <v>New</v>
      </c>
      <c r="H618" t="s">
        <v>32</v>
      </c>
      <c r="I618" t="str">
        <f>INDEX(State!B:B,MATCH(OrdersTable[[#This Row],[State]],State!A:A,0))</f>
        <v>BR</v>
      </c>
      <c r="J618" t="str">
        <f>INDEX(State!C:C,MATCH(OrdersTable[[#This Row],[State Code]],State!B:B,0))</f>
        <v>East</v>
      </c>
      <c r="K618" t="s">
        <v>33</v>
      </c>
      <c r="L618" t="s">
        <v>50</v>
      </c>
      <c r="M618" t="s">
        <v>179</v>
      </c>
      <c r="N618" t="str">
        <f>INDEX(Products!B:B,MATCH(OrdersTable[[#This Row],[Product ID]],Products!A:A,0))</f>
        <v>Whey Protein 1kg</v>
      </c>
      <c r="O618" t="str">
        <f>INDEX(Products!C:C,MATCH(OrdersTable[[#This Row],[Product ID]],Products!A:A,0))</f>
        <v>Wellness</v>
      </c>
      <c r="P618">
        <v>1</v>
      </c>
      <c r="Q618" s="5">
        <v>2299</v>
      </c>
      <c r="R618" s="74">
        <v>0.3</v>
      </c>
      <c r="S618" s="75">
        <f>OrdersTable[[#This Row],[Quantity]]*OrdersTable[[#This Row],[Unit Price]]</f>
        <v>2299</v>
      </c>
      <c r="T618" s="5">
        <f>OrdersTable[[#This Row],[Gross Sale]]*OrdersTable[[#This Row],[Discount_Clean2]]</f>
        <v>689.69999999999993</v>
      </c>
      <c r="U618" s="5">
        <f>OrdersTable[[#This Row],[Gross Sale]]-OrdersTable[[#This Row],[Discount Amount]]</f>
        <v>1609.3000000000002</v>
      </c>
      <c r="V618" s="77">
        <f>INDEX(Products!E:E,MATCH(OrdersTable[[#This Row],[Product ID]],Products!A:A,0))</f>
        <v>1333</v>
      </c>
      <c r="W618" s="77">
        <f>OrdersTable[[#This Row],[Quantity]]*OrdersTable[[#This Row],[Unit Cost]]</f>
        <v>1333</v>
      </c>
      <c r="X618" s="77">
        <f>'Dropdown Lists'!$I$2*(1+OrdersTable[[#This Row],[Returned]])</f>
        <v>60</v>
      </c>
      <c r="Y618" s="76">
        <f>OrdersTable[[#This Row],[Net Revenue]]-OrdersTable[[#This Row],[COGS]]-OrdersTable[[#This Row],[Shipping Cost]]</f>
        <v>216.30000000000018</v>
      </c>
      <c r="Z618" s="78">
        <f>IFERROR(OrdersTable[[#This Row],[Profit]]/OrdersTable[[#This Row],[Net Revenue]],0)</f>
        <v>0.13440626359286656</v>
      </c>
      <c r="AA618" t="s">
        <v>2522</v>
      </c>
      <c r="AB618" s="79">
        <v>45426</v>
      </c>
      <c r="AC618">
        <f>OrdersTable[[#This Row],[Delivery Date]]-OrdersTable[[#This Row],[Order Date]]</f>
        <v>5</v>
      </c>
      <c r="AD618" t="str">
        <f>IF(OrdersTable[[#This Row],[Delivery Days]]&lt;=2, "Express (≤2d)", IF(OrdersTable[[#This Row],[Delivery Days]]&lt;=4, "Standard (3-4d)", "Delayed (5d+)"))</f>
        <v>Delayed (5d+)</v>
      </c>
      <c r="AE618">
        <v>4</v>
      </c>
      <c r="AF618">
        <v>0</v>
      </c>
    </row>
    <row r="619" spans="1:32" ht="15" x14ac:dyDescent="0.35">
      <c r="A619" t="s">
        <v>465</v>
      </c>
      <c r="B619" s="1">
        <v>45421</v>
      </c>
      <c r="C619">
        <f>YEAR(OrdersTable[[#This Row],[Order Date]])</f>
        <v>2024</v>
      </c>
      <c r="D619" s="2">
        <f>DATE(YEAR(OrdersTable[[#This Row],[Order Date]]),MONTH(OrdersTable[[#This Row],[Order Date]]),1)</f>
        <v>45413</v>
      </c>
      <c r="E619">
        <f>MONTH(OrdersTable[[#This Row],[Order Date]])</f>
        <v>5</v>
      </c>
      <c r="F619" t="s">
        <v>466</v>
      </c>
      <c r="G619" t="str">
        <f>IF(OrdersTable[[#This Row],[Order Date]]=_xlfn.MINIFS(Order_Date, Customer_ID, OrdersTable[[#This Row],[Customer ID]]), "New", "Repeat")</f>
        <v>New</v>
      </c>
      <c r="H619" t="s">
        <v>27</v>
      </c>
      <c r="I619" t="str">
        <f>INDEX(State!B:B,MATCH(OrdersTable[[#This Row],[State]],State!A:A,0))</f>
        <v>WB</v>
      </c>
      <c r="J619" t="str">
        <f>INDEX(State!C:C,MATCH(OrdersTable[[#This Row],[State Code]],State!B:B,0))</f>
        <v>East</v>
      </c>
      <c r="K619" t="s">
        <v>28</v>
      </c>
      <c r="L619" t="s">
        <v>23</v>
      </c>
      <c r="M619" t="s">
        <v>34</v>
      </c>
      <c r="N619" t="str">
        <f>INDEX(Products!B:B,MATCH(OrdersTable[[#This Row],[Product ID]],Products!A:A,0))</f>
        <v>Flip Flops</v>
      </c>
      <c r="O619" t="str">
        <f>INDEX(Products!C:C,MATCH(OrdersTable[[#This Row],[Product ID]],Products!A:A,0))</f>
        <v>Footwear</v>
      </c>
      <c r="P619">
        <v>1</v>
      </c>
      <c r="Q619" s="5">
        <v>399</v>
      </c>
      <c r="R619" s="74">
        <v>0.15</v>
      </c>
      <c r="S619" s="75">
        <f>OrdersTable[[#This Row],[Quantity]]*OrdersTable[[#This Row],[Unit Price]]</f>
        <v>399</v>
      </c>
      <c r="T619" s="5">
        <f>OrdersTable[[#This Row],[Gross Sale]]*OrdersTable[[#This Row],[Discount_Clean2]]</f>
        <v>59.849999999999994</v>
      </c>
      <c r="U619" s="5">
        <f>OrdersTable[[#This Row],[Gross Sale]]-OrdersTable[[#This Row],[Discount Amount]]</f>
        <v>339.15</v>
      </c>
      <c r="V619" s="77">
        <f>INDEX(Products!E:E,MATCH(OrdersTable[[#This Row],[Product ID]],Products!A:A,0))</f>
        <v>152</v>
      </c>
      <c r="W619" s="77">
        <f>OrdersTable[[#This Row],[Quantity]]*OrdersTable[[#This Row],[Unit Cost]]</f>
        <v>152</v>
      </c>
      <c r="X619" s="77">
        <f>'Dropdown Lists'!$I$2*(1+OrdersTable[[#This Row],[Returned]])</f>
        <v>60</v>
      </c>
      <c r="Y619" s="76">
        <f>OrdersTable[[#This Row],[Net Revenue]]-OrdersTable[[#This Row],[COGS]]-OrdersTable[[#This Row],[Shipping Cost]]</f>
        <v>127.14999999999998</v>
      </c>
      <c r="Z619" s="78">
        <f>IFERROR(OrdersTable[[#This Row],[Profit]]/OrdersTable[[#This Row],[Net Revenue]],0)</f>
        <v>0.37490785787999409</v>
      </c>
      <c r="AA619" t="s">
        <v>18</v>
      </c>
      <c r="AB619" s="79">
        <v>45424</v>
      </c>
      <c r="AC619">
        <f>OrdersTable[[#This Row],[Delivery Date]]-OrdersTable[[#This Row],[Order Date]]</f>
        <v>3</v>
      </c>
      <c r="AD619" t="str">
        <f>IF(OrdersTable[[#This Row],[Delivery Days]]&lt;=2, "Express (≤2d)", IF(OrdersTable[[#This Row],[Delivery Days]]&lt;=4, "Standard (3-4d)", "Delayed (5d+)"))</f>
        <v>Standard (3-4d)</v>
      </c>
      <c r="AE619">
        <v>4</v>
      </c>
      <c r="AF619">
        <v>0</v>
      </c>
    </row>
    <row r="620" spans="1:32" ht="15" x14ac:dyDescent="0.35">
      <c r="A620" t="s">
        <v>1476</v>
      </c>
      <c r="B620" s="1">
        <v>45421</v>
      </c>
      <c r="C620">
        <f>YEAR(OrdersTable[[#This Row],[Order Date]])</f>
        <v>2024</v>
      </c>
      <c r="D620" s="2">
        <f>DATE(YEAR(OrdersTable[[#This Row],[Order Date]]),MONTH(OrdersTable[[#This Row],[Order Date]]),1)</f>
        <v>45413</v>
      </c>
      <c r="E620">
        <f>MONTH(OrdersTable[[#This Row],[Order Date]])</f>
        <v>5</v>
      </c>
      <c r="F620" t="s">
        <v>1477</v>
      </c>
      <c r="G620" t="str">
        <f>IF(OrdersTable[[#This Row],[Order Date]]=_xlfn.MINIFS(Order_Date, Customer_ID, OrdersTable[[#This Row],[Customer ID]]), "New", "Repeat")</f>
        <v>New</v>
      </c>
      <c r="H620" t="s">
        <v>71</v>
      </c>
      <c r="I620" t="str">
        <f>INDEX(State!B:B,MATCH(OrdersTable[[#This Row],[State]],State!A:A,0))</f>
        <v>MH</v>
      </c>
      <c r="J620" t="str">
        <f>INDEX(State!C:C,MATCH(OrdersTable[[#This Row],[State Code]],State!B:B,0))</f>
        <v>West</v>
      </c>
      <c r="K620" t="s">
        <v>102</v>
      </c>
      <c r="L620" t="s">
        <v>39</v>
      </c>
      <c r="M620" t="s">
        <v>61</v>
      </c>
      <c r="N620" t="str">
        <f>INDEX(Products!B:B,MATCH(OrdersTable[[#This Row],[Product ID]],Products!A:A,0))</f>
        <v>Multivitamin Gummies</v>
      </c>
      <c r="O620" t="str">
        <f>INDEX(Products!C:C,MATCH(OrdersTable[[#This Row],[Product ID]],Products!A:A,0))</f>
        <v>Wellness</v>
      </c>
      <c r="P620">
        <v>1</v>
      </c>
      <c r="Q620" s="5">
        <v>699</v>
      </c>
      <c r="R620" s="74">
        <v>0.25</v>
      </c>
      <c r="S620" s="75">
        <f>OrdersTable[[#This Row],[Quantity]]*OrdersTable[[#This Row],[Unit Price]]</f>
        <v>699</v>
      </c>
      <c r="T620" s="5">
        <f>OrdersTable[[#This Row],[Gross Sale]]*OrdersTable[[#This Row],[Discount_Clean2]]</f>
        <v>174.75</v>
      </c>
      <c r="U620" s="5">
        <f>OrdersTable[[#This Row],[Gross Sale]]-OrdersTable[[#This Row],[Discount Amount]]</f>
        <v>524.25</v>
      </c>
      <c r="V620" s="77">
        <f>INDEX(Products!E:E,MATCH(OrdersTable[[#This Row],[Product ID]],Products!A:A,0))</f>
        <v>238</v>
      </c>
      <c r="W620" s="77">
        <f>OrdersTable[[#This Row],[Quantity]]*OrdersTable[[#This Row],[Unit Cost]]</f>
        <v>238</v>
      </c>
      <c r="X620" s="77">
        <f>'Dropdown Lists'!$I$2*(1+OrdersTable[[#This Row],[Returned]])</f>
        <v>60</v>
      </c>
      <c r="Y620" s="76">
        <f>OrdersTable[[#This Row],[Net Revenue]]-OrdersTable[[#This Row],[COGS]]-OrdersTable[[#This Row],[Shipping Cost]]</f>
        <v>226.25</v>
      </c>
      <c r="Z620" s="78">
        <f>IFERROR(OrdersTable[[#This Row],[Profit]]/OrdersTable[[#This Row],[Net Revenue]],0)</f>
        <v>0.43156890796375774</v>
      </c>
      <c r="AA620" t="s">
        <v>18</v>
      </c>
      <c r="AB620" s="79">
        <v>45423</v>
      </c>
      <c r="AC620">
        <f>OrdersTable[[#This Row],[Delivery Date]]-OrdersTable[[#This Row],[Order Date]]</f>
        <v>2</v>
      </c>
      <c r="AD620" t="str">
        <f>IF(OrdersTable[[#This Row],[Delivery Days]]&lt;=2, "Express (≤2d)", IF(OrdersTable[[#This Row],[Delivery Days]]&lt;=4, "Standard (3-4d)", "Delayed (5d+)"))</f>
        <v>Express (≤2d)</v>
      </c>
      <c r="AF620">
        <v>0</v>
      </c>
    </row>
    <row r="621" spans="1:32" ht="15" x14ac:dyDescent="0.35">
      <c r="A621" t="s">
        <v>467</v>
      </c>
      <c r="B621" s="1">
        <v>45421</v>
      </c>
      <c r="C621">
        <f>YEAR(OrdersTable[[#This Row],[Order Date]])</f>
        <v>2024</v>
      </c>
      <c r="D621" s="2">
        <f>DATE(YEAR(OrdersTable[[#This Row],[Order Date]]),MONTH(OrdersTable[[#This Row],[Order Date]]),1)</f>
        <v>45413</v>
      </c>
      <c r="E621">
        <f>MONTH(OrdersTable[[#This Row],[Order Date]])</f>
        <v>5</v>
      </c>
      <c r="F621" t="s">
        <v>468</v>
      </c>
      <c r="G621" t="str">
        <f>IF(OrdersTable[[#This Row],[Order Date]]=_xlfn.MINIFS(Order_Date, Customer_ID, OrdersTable[[#This Row],[Customer ID]]), "New", "Repeat")</f>
        <v>New</v>
      </c>
      <c r="H621" t="s">
        <v>167</v>
      </c>
      <c r="I621" t="str">
        <f>INDEX(State!B:B,MATCH(OrdersTable[[#This Row],[State]],State!A:A,0))</f>
        <v>KA</v>
      </c>
      <c r="J621" t="str">
        <f>INDEX(State!C:C,MATCH(OrdersTable[[#This Row],[State Code]],State!B:B,0))</f>
        <v>South</v>
      </c>
      <c r="K621" t="s">
        <v>190</v>
      </c>
      <c r="L621" t="s">
        <v>50</v>
      </c>
      <c r="M621" t="s">
        <v>45</v>
      </c>
      <c r="N621" t="str">
        <f>INDEX(Products!B:B,MATCH(OrdersTable[[#This Row],[Product ID]],Products!A:A,0))</f>
        <v>Argan Shampoo</v>
      </c>
      <c r="O621" t="str">
        <f>INDEX(Products!C:C,MATCH(OrdersTable[[#This Row],[Product ID]],Products!A:A,0))</f>
        <v>Haircare</v>
      </c>
      <c r="P621">
        <v>1</v>
      </c>
      <c r="Q621" s="5">
        <v>449</v>
      </c>
      <c r="R621" s="74">
        <v>0.1</v>
      </c>
      <c r="S621" s="75">
        <f>OrdersTable[[#This Row],[Quantity]]*OrdersTable[[#This Row],[Unit Price]]</f>
        <v>449</v>
      </c>
      <c r="T621" s="5">
        <f>OrdersTable[[#This Row],[Gross Sale]]*OrdersTable[[#This Row],[Discount_Clean2]]</f>
        <v>44.900000000000006</v>
      </c>
      <c r="U621" s="5">
        <f>OrdersTable[[#This Row],[Gross Sale]]-OrdersTable[[#This Row],[Discount Amount]]</f>
        <v>404.1</v>
      </c>
      <c r="V621" s="77">
        <f>INDEX(Products!E:E,MATCH(OrdersTable[[#This Row],[Product ID]],Products!A:A,0))</f>
        <v>148</v>
      </c>
      <c r="W621" s="77">
        <f>OrdersTable[[#This Row],[Quantity]]*OrdersTable[[#This Row],[Unit Cost]]</f>
        <v>148</v>
      </c>
      <c r="X621" s="77">
        <f>'Dropdown Lists'!$I$2*(1+OrdersTable[[#This Row],[Returned]])</f>
        <v>60</v>
      </c>
      <c r="Y621" s="76">
        <f>OrdersTable[[#This Row],[Net Revenue]]-OrdersTable[[#This Row],[COGS]]-OrdersTable[[#This Row],[Shipping Cost]]</f>
        <v>196.10000000000002</v>
      </c>
      <c r="Z621" s="78">
        <f>IFERROR(OrdersTable[[#This Row],[Profit]]/OrdersTable[[#This Row],[Net Revenue]],0)</f>
        <v>0.48527592180153428</v>
      </c>
      <c r="AA621" t="s">
        <v>18</v>
      </c>
      <c r="AB621" s="79">
        <v>45422</v>
      </c>
      <c r="AC621">
        <f>OrdersTable[[#This Row],[Delivery Date]]-OrdersTable[[#This Row],[Order Date]]</f>
        <v>1</v>
      </c>
      <c r="AD621" t="str">
        <f>IF(OrdersTable[[#This Row],[Delivery Days]]&lt;=2, "Express (≤2d)", IF(OrdersTable[[#This Row],[Delivery Days]]&lt;=4, "Standard (3-4d)", "Delayed (5d+)"))</f>
        <v>Express (≤2d)</v>
      </c>
      <c r="AE621">
        <v>4</v>
      </c>
      <c r="AF621">
        <v>0</v>
      </c>
    </row>
    <row r="622" spans="1:32" ht="15" x14ac:dyDescent="0.35">
      <c r="A622" t="s">
        <v>1136</v>
      </c>
      <c r="B622" s="1">
        <v>45421</v>
      </c>
      <c r="C622">
        <f>YEAR(OrdersTable[[#This Row],[Order Date]])</f>
        <v>2024</v>
      </c>
      <c r="D622" s="2">
        <f>DATE(YEAR(OrdersTable[[#This Row],[Order Date]]),MONTH(OrdersTable[[#This Row],[Order Date]]),1)</f>
        <v>45413</v>
      </c>
      <c r="E622">
        <f>MONTH(OrdersTable[[#This Row],[Order Date]])</f>
        <v>5</v>
      </c>
      <c r="F622" t="s">
        <v>1137</v>
      </c>
      <c r="G622" t="str">
        <f>IF(OrdersTable[[#This Row],[Order Date]]=_xlfn.MINIFS(Order_Date, Customer_ID, OrdersTable[[#This Row],[Customer ID]]), "New", "Repeat")</f>
        <v>New</v>
      </c>
      <c r="H622" t="s">
        <v>316</v>
      </c>
      <c r="I622" t="str">
        <f>INDEX(State!B:B,MATCH(OrdersTable[[#This Row],[State]],State!A:A,0))</f>
        <v>KL</v>
      </c>
      <c r="J622" t="str">
        <f>INDEX(State!C:C,MATCH(OrdersTable[[#This Row],[State Code]],State!B:B,0))</f>
        <v>South</v>
      </c>
      <c r="K622" t="s">
        <v>317</v>
      </c>
      <c r="L622" t="s">
        <v>50</v>
      </c>
      <c r="M622" t="s">
        <v>109</v>
      </c>
      <c r="N622" t="str">
        <f>INDEX(Products!B:B,MATCH(OrdersTable[[#This Row],[Product ID]],Products!A:A,0))</f>
        <v>Onion Hair Oil</v>
      </c>
      <c r="O622" t="str">
        <f>INDEX(Products!C:C,MATCH(OrdersTable[[#This Row],[Product ID]],Products!A:A,0))</f>
        <v>Haircare</v>
      </c>
      <c r="P622">
        <v>1</v>
      </c>
      <c r="Q622" s="5">
        <v>349</v>
      </c>
      <c r="R622" s="74">
        <v>0.35</v>
      </c>
      <c r="S622" s="75">
        <f>OrdersTable[[#This Row],[Quantity]]*OrdersTable[[#This Row],[Unit Price]]</f>
        <v>349</v>
      </c>
      <c r="T622" s="5">
        <f>OrdersTable[[#This Row],[Gross Sale]]*OrdersTable[[#This Row],[Discount_Clean2]]</f>
        <v>122.14999999999999</v>
      </c>
      <c r="U622" s="5">
        <f>OrdersTable[[#This Row],[Gross Sale]]-OrdersTable[[#This Row],[Discount Amount]]</f>
        <v>226.85000000000002</v>
      </c>
      <c r="V622" s="77">
        <f>INDEX(Products!E:E,MATCH(OrdersTable[[#This Row],[Product ID]],Products!A:A,0))</f>
        <v>105</v>
      </c>
      <c r="W622" s="77">
        <f>OrdersTable[[#This Row],[Quantity]]*OrdersTable[[#This Row],[Unit Cost]]</f>
        <v>105</v>
      </c>
      <c r="X622" s="77">
        <f>'Dropdown Lists'!$I$2*(1+OrdersTable[[#This Row],[Returned]])</f>
        <v>60</v>
      </c>
      <c r="Y622" s="76">
        <f>OrdersTable[[#This Row],[Net Revenue]]-OrdersTable[[#This Row],[COGS]]-OrdersTable[[#This Row],[Shipping Cost]]</f>
        <v>61.850000000000023</v>
      </c>
      <c r="Z622" s="78">
        <f>IFERROR(OrdersTable[[#This Row],[Profit]]/OrdersTable[[#This Row],[Net Revenue]],0)</f>
        <v>0.27264712364998905</v>
      </c>
      <c r="AA622" t="s">
        <v>18</v>
      </c>
      <c r="AB622" s="79">
        <v>45423</v>
      </c>
      <c r="AC622">
        <f>OrdersTable[[#This Row],[Delivery Date]]-OrdersTable[[#This Row],[Order Date]]</f>
        <v>2</v>
      </c>
      <c r="AD622" t="str">
        <f>IF(OrdersTable[[#This Row],[Delivery Days]]&lt;=2, "Express (≤2d)", IF(OrdersTable[[#This Row],[Delivery Days]]&lt;=4, "Standard (3-4d)", "Delayed (5d+)"))</f>
        <v>Express (≤2d)</v>
      </c>
      <c r="AF622">
        <v>0</v>
      </c>
    </row>
    <row r="623" spans="1:32" ht="15" x14ac:dyDescent="0.35">
      <c r="A623" t="s">
        <v>6276</v>
      </c>
      <c r="B623" s="1">
        <v>45422</v>
      </c>
      <c r="C623">
        <f>YEAR(OrdersTable[[#This Row],[Order Date]])</f>
        <v>2024</v>
      </c>
      <c r="D623" s="2">
        <f>DATE(YEAR(OrdersTable[[#This Row],[Order Date]]),MONTH(OrdersTable[[#This Row],[Order Date]]),1)</f>
        <v>45413</v>
      </c>
      <c r="E623">
        <f>MONTH(OrdersTable[[#This Row],[Order Date]])</f>
        <v>5</v>
      </c>
      <c r="F623" t="s">
        <v>2591</v>
      </c>
      <c r="G623" t="str">
        <f>IF(OrdersTable[[#This Row],[Order Date]]=_xlfn.MINIFS(Order_Date, Customer_ID, OrdersTable[[#This Row],[Customer ID]]), "New", "Repeat")</f>
        <v>New</v>
      </c>
      <c r="H623" t="s">
        <v>54</v>
      </c>
      <c r="I623" t="str">
        <f>INDEX(State!B:B,MATCH(OrdersTable[[#This Row],[State]],State!A:A,0))</f>
        <v>RJ</v>
      </c>
      <c r="J623" t="str">
        <f>INDEX(State!C:C,MATCH(OrdersTable[[#This Row],[State Code]],State!B:B,0))</f>
        <v>North</v>
      </c>
      <c r="K623" t="s">
        <v>227</v>
      </c>
      <c r="L623" t="s">
        <v>16</v>
      </c>
      <c r="M623" t="s">
        <v>34</v>
      </c>
      <c r="N623" t="str">
        <f>INDEX(Products!B:B,MATCH(OrdersTable[[#This Row],[Product ID]],Products!A:A,0))</f>
        <v>Flip Flops</v>
      </c>
      <c r="O623" t="str">
        <f>INDEX(Products!C:C,MATCH(OrdersTable[[#This Row],[Product ID]],Products!A:A,0))</f>
        <v>Footwear</v>
      </c>
      <c r="P623">
        <v>2</v>
      </c>
      <c r="Q623" s="5">
        <v>399</v>
      </c>
      <c r="R623" s="74">
        <v>0.2</v>
      </c>
      <c r="S623" s="75">
        <f>OrdersTable[[#This Row],[Quantity]]*OrdersTable[[#This Row],[Unit Price]]</f>
        <v>798</v>
      </c>
      <c r="T623" s="5">
        <f>OrdersTable[[#This Row],[Gross Sale]]*OrdersTable[[#This Row],[Discount_Clean2]]</f>
        <v>159.60000000000002</v>
      </c>
      <c r="U623" s="5">
        <f>OrdersTable[[#This Row],[Gross Sale]]-OrdersTable[[#This Row],[Discount Amount]]</f>
        <v>638.4</v>
      </c>
      <c r="V623" s="77">
        <f>INDEX(Products!E:E,MATCH(OrdersTable[[#This Row],[Product ID]],Products!A:A,0))</f>
        <v>152</v>
      </c>
      <c r="W623" s="77">
        <f>OrdersTable[[#This Row],[Quantity]]*OrdersTable[[#This Row],[Unit Cost]]</f>
        <v>304</v>
      </c>
      <c r="X623" s="77">
        <f>'Dropdown Lists'!$I$2*(1+OrdersTable[[#This Row],[Returned]])</f>
        <v>60</v>
      </c>
      <c r="Y623" s="76">
        <f>OrdersTable[[#This Row],[Net Revenue]]-OrdersTable[[#This Row],[COGS]]-OrdersTable[[#This Row],[Shipping Cost]]</f>
        <v>274.39999999999998</v>
      </c>
      <c r="Z623" s="78">
        <f>IFERROR(OrdersTable[[#This Row],[Profit]]/OrdersTable[[#This Row],[Net Revenue]],0)</f>
        <v>0.42982456140350878</v>
      </c>
      <c r="AA623" t="s">
        <v>18</v>
      </c>
      <c r="AB623" s="79">
        <v>45425</v>
      </c>
      <c r="AC623">
        <f>OrdersTable[[#This Row],[Delivery Date]]-OrdersTable[[#This Row],[Order Date]]</f>
        <v>3</v>
      </c>
      <c r="AD623" t="str">
        <f>IF(OrdersTable[[#This Row],[Delivery Days]]&lt;=2, "Express (≤2d)", IF(OrdersTable[[#This Row],[Delivery Days]]&lt;=4, "Standard (3-4d)", "Delayed (5d+)"))</f>
        <v>Standard (3-4d)</v>
      </c>
      <c r="AF623">
        <v>0</v>
      </c>
    </row>
    <row r="624" spans="1:32" ht="15" x14ac:dyDescent="0.35">
      <c r="A624" t="s">
        <v>7055</v>
      </c>
      <c r="B624" s="1">
        <v>45422</v>
      </c>
      <c r="C624">
        <f>YEAR(OrdersTable[[#This Row],[Order Date]])</f>
        <v>2024</v>
      </c>
      <c r="D624" s="2">
        <f>DATE(YEAR(OrdersTable[[#This Row],[Order Date]]),MONTH(OrdersTable[[#This Row],[Order Date]]),1)</f>
        <v>45413</v>
      </c>
      <c r="E624">
        <f>MONTH(OrdersTable[[#This Row],[Order Date]])</f>
        <v>5</v>
      </c>
      <c r="F624" t="s">
        <v>220</v>
      </c>
      <c r="G624" t="str">
        <f>IF(OrdersTable[[#This Row],[Order Date]]=_xlfn.MINIFS(Order_Date, Customer_ID, OrdersTable[[#This Row],[Customer ID]]), "New", "Repeat")</f>
        <v>New</v>
      </c>
      <c r="H624" t="s">
        <v>48</v>
      </c>
      <c r="I624" t="str">
        <f>INDEX(State!B:B,MATCH(OrdersTable[[#This Row],[State]],State!A:A,0))</f>
        <v>HR</v>
      </c>
      <c r="J624" t="str">
        <f>INDEX(State!C:C,MATCH(OrdersTable[[#This Row],[State Code]],State!B:B,0))</f>
        <v>North</v>
      </c>
      <c r="K624" t="s">
        <v>151</v>
      </c>
      <c r="L624" t="s">
        <v>23</v>
      </c>
      <c r="M624" t="s">
        <v>34</v>
      </c>
      <c r="N624" t="str">
        <f>INDEX(Products!B:B,MATCH(OrdersTable[[#This Row],[Product ID]],Products!A:A,0))</f>
        <v>Flip Flops</v>
      </c>
      <c r="O624" t="str">
        <f>INDEX(Products!C:C,MATCH(OrdersTable[[#This Row],[Product ID]],Products!A:A,0))</f>
        <v>Footwear</v>
      </c>
      <c r="P624">
        <v>4</v>
      </c>
      <c r="Q624" s="5">
        <v>399</v>
      </c>
      <c r="R624" s="74">
        <v>0.1</v>
      </c>
      <c r="S624" s="75">
        <f>OrdersTable[[#This Row],[Quantity]]*OrdersTable[[#This Row],[Unit Price]]</f>
        <v>1596</v>
      </c>
      <c r="T624" s="5">
        <f>OrdersTable[[#This Row],[Gross Sale]]*OrdersTable[[#This Row],[Discount_Clean2]]</f>
        <v>159.60000000000002</v>
      </c>
      <c r="U624" s="5">
        <f>OrdersTable[[#This Row],[Gross Sale]]-OrdersTable[[#This Row],[Discount Amount]]</f>
        <v>1436.4</v>
      </c>
      <c r="V624" s="77">
        <f>INDEX(Products!E:E,MATCH(OrdersTable[[#This Row],[Product ID]],Products!A:A,0))</f>
        <v>152</v>
      </c>
      <c r="W624" s="77">
        <f>OrdersTable[[#This Row],[Quantity]]*OrdersTable[[#This Row],[Unit Cost]]</f>
        <v>608</v>
      </c>
      <c r="X624" s="77">
        <f>'Dropdown Lists'!$I$2*(1+OrdersTable[[#This Row],[Returned]])</f>
        <v>120</v>
      </c>
      <c r="Y624" s="76">
        <f>OrdersTable[[#This Row],[Net Revenue]]-OrdersTable[[#This Row],[COGS]]-OrdersTable[[#This Row],[Shipping Cost]]</f>
        <v>708.40000000000009</v>
      </c>
      <c r="Z624" s="78">
        <f>IFERROR(OrdersTable[[#This Row],[Profit]]/OrdersTable[[#This Row],[Net Revenue]],0)</f>
        <v>0.49317738791423005</v>
      </c>
      <c r="AA624" t="s">
        <v>18</v>
      </c>
      <c r="AB624" s="79">
        <v>45424</v>
      </c>
      <c r="AC624">
        <f>OrdersTable[[#This Row],[Delivery Date]]-OrdersTable[[#This Row],[Order Date]]</f>
        <v>2</v>
      </c>
      <c r="AD624" t="str">
        <f>IF(OrdersTable[[#This Row],[Delivery Days]]&lt;=2, "Express (≤2d)", IF(OrdersTable[[#This Row],[Delivery Days]]&lt;=4, "Standard (3-4d)", "Delayed (5d+)"))</f>
        <v>Express (≤2d)</v>
      </c>
      <c r="AE624">
        <v>4</v>
      </c>
      <c r="AF624">
        <v>1</v>
      </c>
    </row>
    <row r="625" spans="1:32" ht="15" x14ac:dyDescent="0.35">
      <c r="A625" t="s">
        <v>2251</v>
      </c>
      <c r="B625" s="1">
        <v>45422</v>
      </c>
      <c r="C625">
        <f>YEAR(OrdersTable[[#This Row],[Order Date]])</f>
        <v>2024</v>
      </c>
      <c r="D625" s="2">
        <f>DATE(YEAR(OrdersTable[[#This Row],[Order Date]]),MONTH(OrdersTable[[#This Row],[Order Date]]),1)</f>
        <v>45413</v>
      </c>
      <c r="E625">
        <f>MONTH(OrdersTable[[#This Row],[Order Date]])</f>
        <v>5</v>
      </c>
      <c r="F625" t="s">
        <v>1148</v>
      </c>
      <c r="G625" t="str">
        <f>IF(OrdersTable[[#This Row],[Order Date]]=_xlfn.MINIFS(Order_Date, Customer_ID, OrdersTable[[#This Row],[Customer ID]]), "New", "Repeat")</f>
        <v>Repeat</v>
      </c>
      <c r="H625" t="s">
        <v>128</v>
      </c>
      <c r="I625" t="str">
        <f>INDEX(State!B:B,MATCH(OrdersTable[[#This Row],[State]],State!A:A,0))</f>
        <v>DL</v>
      </c>
      <c r="J625" t="str">
        <f>INDEX(State!C:C,MATCH(OrdersTable[[#This Row],[State Code]],State!B:B,0))</f>
        <v>North</v>
      </c>
      <c r="K625" t="s">
        <v>129</v>
      </c>
      <c r="L625" t="s">
        <v>65</v>
      </c>
      <c r="M625" t="s">
        <v>78</v>
      </c>
      <c r="N625" t="str">
        <f>INDEX(Products!B:B,MATCH(OrdersTable[[#This Row],[Product ID]],Products!A:A,0))</f>
        <v>Retinol Night Cream</v>
      </c>
      <c r="O625" t="str">
        <f>INDEX(Products!C:C,MATCH(OrdersTable[[#This Row],[Product ID]],Products!A:A,0))</f>
        <v>Skincare</v>
      </c>
      <c r="P625">
        <v>1</v>
      </c>
      <c r="Q625" s="5">
        <v>799</v>
      </c>
      <c r="R625" s="74">
        <v>0</v>
      </c>
      <c r="S625" s="75">
        <f>OrdersTable[[#This Row],[Quantity]]*OrdersTable[[#This Row],[Unit Price]]</f>
        <v>799</v>
      </c>
      <c r="T625" s="5">
        <f>OrdersTable[[#This Row],[Gross Sale]]*OrdersTable[[#This Row],[Discount_Clean2]]</f>
        <v>0</v>
      </c>
      <c r="U625" s="5">
        <f>OrdersTable[[#This Row],[Gross Sale]]-OrdersTable[[#This Row],[Discount Amount]]</f>
        <v>799</v>
      </c>
      <c r="V625" s="77">
        <f>INDEX(Products!E:E,MATCH(OrdersTable[[#This Row],[Product ID]],Products!A:A,0))</f>
        <v>216</v>
      </c>
      <c r="W625" s="77">
        <f>OrdersTable[[#This Row],[Quantity]]*OrdersTable[[#This Row],[Unit Cost]]</f>
        <v>216</v>
      </c>
      <c r="X625" s="77">
        <f>'Dropdown Lists'!$I$2*(1+OrdersTable[[#This Row],[Returned]])</f>
        <v>60</v>
      </c>
      <c r="Y625" s="76">
        <f>OrdersTable[[#This Row],[Net Revenue]]-OrdersTable[[#This Row],[COGS]]-OrdersTable[[#This Row],[Shipping Cost]]</f>
        <v>523</v>
      </c>
      <c r="Z625" s="78">
        <f>IFERROR(OrdersTable[[#This Row],[Profit]]/OrdersTable[[#This Row],[Net Revenue]],0)</f>
        <v>0.65456821026282852</v>
      </c>
      <c r="AA625" t="s">
        <v>18</v>
      </c>
      <c r="AB625" s="79">
        <v>45423</v>
      </c>
      <c r="AC625">
        <f>OrdersTable[[#This Row],[Delivery Date]]-OrdersTable[[#This Row],[Order Date]]</f>
        <v>1</v>
      </c>
      <c r="AD625" t="str">
        <f>IF(OrdersTable[[#This Row],[Delivery Days]]&lt;=2, "Express (≤2d)", IF(OrdersTable[[#This Row],[Delivery Days]]&lt;=4, "Standard (3-4d)", "Delayed (5d+)"))</f>
        <v>Express (≤2d)</v>
      </c>
      <c r="AE625">
        <v>5</v>
      </c>
      <c r="AF625">
        <v>0</v>
      </c>
    </row>
    <row r="626" spans="1:32" ht="15" x14ac:dyDescent="0.35">
      <c r="A626" t="s">
        <v>4563</v>
      </c>
      <c r="B626" s="1">
        <v>45422</v>
      </c>
      <c r="C626">
        <f>YEAR(OrdersTable[[#This Row],[Order Date]])</f>
        <v>2024</v>
      </c>
      <c r="D626" s="2">
        <f>DATE(YEAR(OrdersTable[[#This Row],[Order Date]]),MONTH(OrdersTable[[#This Row],[Order Date]]),1)</f>
        <v>45413</v>
      </c>
      <c r="E626">
        <f>MONTH(OrdersTable[[#This Row],[Order Date]])</f>
        <v>5</v>
      </c>
      <c r="F626" t="s">
        <v>3349</v>
      </c>
      <c r="G626" t="str">
        <f>IF(OrdersTable[[#This Row],[Order Date]]=_xlfn.MINIFS(Order_Date, Customer_ID, OrdersTable[[#This Row],[Customer ID]]), "New", "Repeat")</f>
        <v>New</v>
      </c>
      <c r="H626" t="s">
        <v>128</v>
      </c>
      <c r="I626" t="str">
        <f>INDEX(State!B:B,MATCH(OrdersTable[[#This Row],[State]],State!A:A,0))</f>
        <v>DL</v>
      </c>
      <c r="J626" t="str">
        <f>INDEX(State!C:C,MATCH(OrdersTable[[#This Row],[State Code]],State!B:B,0))</f>
        <v>North</v>
      </c>
      <c r="K626" t="s">
        <v>129</v>
      </c>
      <c r="L626" t="s">
        <v>65</v>
      </c>
      <c r="M626" t="s">
        <v>66</v>
      </c>
      <c r="N626" t="str">
        <f>INDEX(Products!B:B,MATCH(OrdersTable[[#This Row],[Product ID]],Products!A:A,0))</f>
        <v>Sunscreen SPF 50</v>
      </c>
      <c r="O626" t="str">
        <f>INDEX(Products!C:C,MATCH(OrdersTable[[#This Row],[Product ID]],Products!A:A,0))</f>
        <v>Skincare</v>
      </c>
      <c r="P626">
        <v>1</v>
      </c>
      <c r="Q626" s="5">
        <v>449</v>
      </c>
      <c r="R626" s="74">
        <v>0.05</v>
      </c>
      <c r="S626" s="75">
        <f>OrdersTable[[#This Row],[Quantity]]*OrdersTable[[#This Row],[Unit Price]]</f>
        <v>449</v>
      </c>
      <c r="T626" s="5">
        <f>OrdersTable[[#This Row],[Gross Sale]]*OrdersTable[[#This Row],[Discount_Clean2]]</f>
        <v>22.450000000000003</v>
      </c>
      <c r="U626" s="5">
        <f>OrdersTable[[#This Row],[Gross Sale]]-OrdersTable[[#This Row],[Discount Amount]]</f>
        <v>426.55</v>
      </c>
      <c r="V626" s="77">
        <f>INDEX(Products!E:E,MATCH(OrdersTable[[#This Row],[Product ID]],Products!A:A,0))</f>
        <v>144</v>
      </c>
      <c r="W626" s="77">
        <f>OrdersTable[[#This Row],[Quantity]]*OrdersTable[[#This Row],[Unit Cost]]</f>
        <v>144</v>
      </c>
      <c r="X626" s="77">
        <f>'Dropdown Lists'!$I$2*(1+OrdersTable[[#This Row],[Returned]])</f>
        <v>60</v>
      </c>
      <c r="Y626" s="76">
        <f>OrdersTable[[#This Row],[Net Revenue]]-OrdersTable[[#This Row],[COGS]]-OrdersTable[[#This Row],[Shipping Cost]]</f>
        <v>222.55</v>
      </c>
      <c r="Z626" s="78">
        <f>IFERROR(OrdersTable[[#This Row],[Profit]]/OrdersTable[[#This Row],[Net Revenue]],0)</f>
        <v>0.52174422693705313</v>
      </c>
      <c r="AA626" t="s">
        <v>4450</v>
      </c>
      <c r="AB626" s="79">
        <v>45424</v>
      </c>
      <c r="AC626">
        <f>OrdersTable[[#This Row],[Delivery Date]]-OrdersTable[[#This Row],[Order Date]]</f>
        <v>2</v>
      </c>
      <c r="AD626" t="str">
        <f>IF(OrdersTable[[#This Row],[Delivery Days]]&lt;=2, "Express (≤2d)", IF(OrdersTable[[#This Row],[Delivery Days]]&lt;=4, "Standard (3-4d)", "Delayed (5d+)"))</f>
        <v>Express (≤2d)</v>
      </c>
      <c r="AF626">
        <v>0</v>
      </c>
    </row>
    <row r="627" spans="1:32" ht="15" x14ac:dyDescent="0.35">
      <c r="A627" t="s">
        <v>2252</v>
      </c>
      <c r="B627" s="1">
        <v>45422</v>
      </c>
      <c r="C627">
        <f>YEAR(OrdersTable[[#This Row],[Order Date]])</f>
        <v>2024</v>
      </c>
      <c r="D627" s="2">
        <f>DATE(YEAR(OrdersTable[[#This Row],[Order Date]]),MONTH(OrdersTable[[#This Row],[Order Date]]),1)</f>
        <v>45413</v>
      </c>
      <c r="E627">
        <f>MONTH(OrdersTable[[#This Row],[Order Date]])</f>
        <v>5</v>
      </c>
      <c r="F627" t="s">
        <v>2253</v>
      </c>
      <c r="G627" t="str">
        <f>IF(OrdersTable[[#This Row],[Order Date]]=_xlfn.MINIFS(Order_Date, Customer_ID, OrdersTable[[#This Row],[Customer ID]]), "New", "Repeat")</f>
        <v>New</v>
      </c>
      <c r="H627" t="s">
        <v>76</v>
      </c>
      <c r="I627" t="str">
        <f>INDEX(State!B:B,MATCH(OrdersTable[[#This Row],[State]],State!A:A,0))</f>
        <v>UP</v>
      </c>
      <c r="J627" t="str">
        <f>INDEX(State!C:C,MATCH(OrdersTable[[#This Row],[State Code]],State!B:B,0))</f>
        <v>North</v>
      </c>
      <c r="K627" t="s">
        <v>118</v>
      </c>
      <c r="L627" t="s">
        <v>50</v>
      </c>
      <c r="M627" t="s">
        <v>160</v>
      </c>
      <c r="N627" t="str">
        <f>INDEX(Products!B:B,MATCH(OrdersTable[[#This Row],[Product ID]],Products!A:A,0))</f>
        <v>Niacinamide Toner</v>
      </c>
      <c r="O627" t="str">
        <f>INDEX(Products!C:C,MATCH(OrdersTable[[#This Row],[Product ID]],Products!A:A,0))</f>
        <v>Skincare</v>
      </c>
      <c r="P627">
        <v>1</v>
      </c>
      <c r="Q627" s="5">
        <v>399</v>
      </c>
      <c r="R627" s="74">
        <v>0.2</v>
      </c>
      <c r="S627" s="75">
        <f>OrdersTable[[#This Row],[Quantity]]*OrdersTable[[#This Row],[Unit Price]]</f>
        <v>399</v>
      </c>
      <c r="T627" s="5">
        <f>OrdersTable[[#This Row],[Gross Sale]]*OrdersTable[[#This Row],[Discount_Clean2]]</f>
        <v>79.800000000000011</v>
      </c>
      <c r="U627" s="5">
        <f>OrdersTable[[#This Row],[Gross Sale]]-OrdersTable[[#This Row],[Discount Amount]]</f>
        <v>319.2</v>
      </c>
      <c r="V627" s="77">
        <f>INDEX(Products!E:E,MATCH(OrdersTable[[#This Row],[Product ID]],Products!A:A,0))</f>
        <v>112</v>
      </c>
      <c r="W627" s="77">
        <f>OrdersTable[[#This Row],[Quantity]]*OrdersTable[[#This Row],[Unit Cost]]</f>
        <v>112</v>
      </c>
      <c r="X627" s="77">
        <f>'Dropdown Lists'!$I$2*(1+OrdersTable[[#This Row],[Returned]])</f>
        <v>60</v>
      </c>
      <c r="Y627" s="76">
        <f>OrdersTable[[#This Row],[Net Revenue]]-OrdersTable[[#This Row],[COGS]]-OrdersTable[[#This Row],[Shipping Cost]]</f>
        <v>147.19999999999999</v>
      </c>
      <c r="Z627" s="78">
        <f>IFERROR(OrdersTable[[#This Row],[Profit]]/OrdersTable[[#This Row],[Net Revenue]],0)</f>
        <v>0.46115288220551376</v>
      </c>
      <c r="AA627" t="s">
        <v>18</v>
      </c>
      <c r="AB627" s="79">
        <v>45424</v>
      </c>
      <c r="AC627">
        <f>OrdersTable[[#This Row],[Delivery Date]]-OrdersTable[[#This Row],[Order Date]]</f>
        <v>2</v>
      </c>
      <c r="AD627" t="str">
        <f>IF(OrdersTable[[#This Row],[Delivery Days]]&lt;=2, "Express (≤2d)", IF(OrdersTable[[#This Row],[Delivery Days]]&lt;=4, "Standard (3-4d)", "Delayed (5d+)"))</f>
        <v>Express (≤2d)</v>
      </c>
      <c r="AE627">
        <v>5</v>
      </c>
      <c r="AF627">
        <v>0</v>
      </c>
    </row>
    <row r="628" spans="1:32" ht="15" x14ac:dyDescent="0.35">
      <c r="A628" t="s">
        <v>5867</v>
      </c>
      <c r="B628" s="1">
        <v>45422</v>
      </c>
      <c r="C628">
        <f>YEAR(OrdersTable[[#This Row],[Order Date]])</f>
        <v>2024</v>
      </c>
      <c r="D628" s="2">
        <f>DATE(YEAR(OrdersTable[[#This Row],[Order Date]]),MONTH(OrdersTable[[#This Row],[Order Date]]),1)</f>
        <v>45413</v>
      </c>
      <c r="E628">
        <f>MONTH(OrdersTable[[#This Row],[Order Date]])</f>
        <v>5</v>
      </c>
      <c r="F628" t="s">
        <v>5868</v>
      </c>
      <c r="G628" t="str">
        <f>IF(OrdersTable[[#This Row],[Order Date]]=_xlfn.MINIFS(Order_Date, Customer_ID, OrdersTable[[#This Row],[Customer ID]]), "New", "Repeat")</f>
        <v>New</v>
      </c>
      <c r="H628" t="s">
        <v>37</v>
      </c>
      <c r="I628" t="str">
        <f>INDEX(State!B:B,MATCH(OrdersTable[[#This Row],[State]],State!A:A,0))</f>
        <v>GJ</v>
      </c>
      <c r="J628" t="str">
        <f>INDEX(State!C:C,MATCH(OrdersTable[[#This Row],[State Code]],State!B:B,0))</f>
        <v>West</v>
      </c>
      <c r="K628" t="s">
        <v>38</v>
      </c>
      <c r="L628" t="s">
        <v>65</v>
      </c>
      <c r="M628" t="s">
        <v>45</v>
      </c>
      <c r="N628" t="str">
        <f>INDEX(Products!B:B,MATCH(OrdersTable[[#This Row],[Product ID]],Products!A:A,0))</f>
        <v>Argan Shampoo</v>
      </c>
      <c r="O628" t="str">
        <f>INDEX(Products!C:C,MATCH(OrdersTable[[#This Row],[Product ID]],Products!A:A,0))</f>
        <v>Haircare</v>
      </c>
      <c r="P628">
        <v>2</v>
      </c>
      <c r="Q628" s="5">
        <v>449</v>
      </c>
      <c r="R628" s="74">
        <v>0.15</v>
      </c>
      <c r="S628" s="75">
        <f>OrdersTable[[#This Row],[Quantity]]*OrdersTable[[#This Row],[Unit Price]]</f>
        <v>898</v>
      </c>
      <c r="T628" s="5">
        <f>OrdersTable[[#This Row],[Gross Sale]]*OrdersTable[[#This Row],[Discount_Clean2]]</f>
        <v>134.69999999999999</v>
      </c>
      <c r="U628" s="5">
        <f>OrdersTable[[#This Row],[Gross Sale]]-OrdersTable[[#This Row],[Discount Amount]]</f>
        <v>763.3</v>
      </c>
      <c r="V628" s="77">
        <f>INDEX(Products!E:E,MATCH(OrdersTable[[#This Row],[Product ID]],Products!A:A,0))</f>
        <v>148</v>
      </c>
      <c r="W628" s="77">
        <f>OrdersTable[[#This Row],[Quantity]]*OrdersTable[[#This Row],[Unit Cost]]</f>
        <v>296</v>
      </c>
      <c r="X628" s="77">
        <f>'Dropdown Lists'!$I$2*(1+OrdersTable[[#This Row],[Returned]])</f>
        <v>60</v>
      </c>
      <c r="Y628" s="76">
        <f>OrdersTable[[#This Row],[Net Revenue]]-OrdersTable[[#This Row],[COGS]]-OrdersTable[[#This Row],[Shipping Cost]]</f>
        <v>407.29999999999995</v>
      </c>
      <c r="Z628" s="78">
        <f>IFERROR(OrdersTable[[#This Row],[Profit]]/OrdersTable[[#This Row],[Net Revenue]],0)</f>
        <v>0.53360408751473865</v>
      </c>
      <c r="AA628" t="s">
        <v>18</v>
      </c>
      <c r="AB628" s="79">
        <v>45427</v>
      </c>
      <c r="AC628">
        <f>OrdersTable[[#This Row],[Delivery Date]]-OrdersTable[[#This Row],[Order Date]]</f>
        <v>5</v>
      </c>
      <c r="AD628" t="str">
        <f>IF(OrdersTable[[#This Row],[Delivery Days]]&lt;=2, "Express (≤2d)", IF(OrdersTable[[#This Row],[Delivery Days]]&lt;=4, "Standard (3-4d)", "Delayed (5d+)"))</f>
        <v>Delayed (5d+)</v>
      </c>
      <c r="AF628">
        <v>0</v>
      </c>
    </row>
    <row r="629" spans="1:32" ht="15" x14ac:dyDescent="0.35">
      <c r="A629" t="s">
        <v>2904</v>
      </c>
      <c r="B629" s="1">
        <v>45422</v>
      </c>
      <c r="C629">
        <f>YEAR(OrdersTable[[#This Row],[Order Date]])</f>
        <v>2024</v>
      </c>
      <c r="D629" s="2">
        <f>DATE(YEAR(OrdersTable[[#This Row],[Order Date]]),MONTH(OrdersTable[[#This Row],[Order Date]]),1)</f>
        <v>45413</v>
      </c>
      <c r="E629">
        <f>MONTH(OrdersTable[[#This Row],[Order Date]])</f>
        <v>5</v>
      </c>
      <c r="F629" t="s">
        <v>1793</v>
      </c>
      <c r="G629" t="str">
        <f>IF(OrdersTable[[#This Row],[Order Date]]=_xlfn.MINIFS(Order_Date, Customer_ID, OrdersTable[[#This Row],[Customer ID]]), "New", "Repeat")</f>
        <v>Repeat</v>
      </c>
      <c r="H629" t="s">
        <v>37</v>
      </c>
      <c r="I629" t="str">
        <f>INDEX(State!B:B,MATCH(OrdersTable[[#This Row],[State]],State!A:A,0))</f>
        <v>GJ</v>
      </c>
      <c r="J629" t="str">
        <f>INDEX(State!C:C,MATCH(OrdersTable[[#This Row],[State Code]],State!B:B,0))</f>
        <v>West</v>
      </c>
      <c r="K629" t="s">
        <v>38</v>
      </c>
      <c r="L629" t="s">
        <v>50</v>
      </c>
      <c r="M629" t="s">
        <v>56</v>
      </c>
      <c r="N629" t="str">
        <f>INDEX(Products!B:B,MATCH(OrdersTable[[#This Row],[Product ID]],Products!A:A,0))</f>
        <v>Vitamin C Face Serum</v>
      </c>
      <c r="O629" t="str">
        <f>INDEX(Products!C:C,MATCH(OrdersTable[[#This Row],[Product ID]],Products!A:A,0))</f>
        <v>Skincare</v>
      </c>
      <c r="P629">
        <v>1</v>
      </c>
      <c r="Q629" s="5">
        <v>599</v>
      </c>
      <c r="R629" s="74">
        <v>0.2</v>
      </c>
      <c r="S629" s="75">
        <f>OrdersTable[[#This Row],[Quantity]]*OrdersTable[[#This Row],[Unit Price]]</f>
        <v>599</v>
      </c>
      <c r="T629" s="5">
        <f>OrdersTable[[#This Row],[Gross Sale]]*OrdersTable[[#This Row],[Discount_Clean2]]</f>
        <v>119.80000000000001</v>
      </c>
      <c r="U629" s="5">
        <f>OrdersTable[[#This Row],[Gross Sale]]-OrdersTable[[#This Row],[Discount Amount]]</f>
        <v>479.2</v>
      </c>
      <c r="V629" s="77">
        <f>INDEX(Products!E:E,MATCH(OrdersTable[[#This Row],[Product ID]],Products!A:A,0))</f>
        <v>180</v>
      </c>
      <c r="W629" s="77">
        <f>OrdersTable[[#This Row],[Quantity]]*OrdersTable[[#This Row],[Unit Cost]]</f>
        <v>180</v>
      </c>
      <c r="X629" s="77">
        <f>'Dropdown Lists'!$I$2*(1+OrdersTable[[#This Row],[Returned]])</f>
        <v>60</v>
      </c>
      <c r="Y629" s="76">
        <f>OrdersTable[[#This Row],[Net Revenue]]-OrdersTable[[#This Row],[COGS]]-OrdersTable[[#This Row],[Shipping Cost]]</f>
        <v>239.2</v>
      </c>
      <c r="Z629" s="78">
        <f>IFERROR(OrdersTable[[#This Row],[Profit]]/OrdersTable[[#This Row],[Net Revenue]],0)</f>
        <v>0.4991652754590985</v>
      </c>
      <c r="AA629" t="s">
        <v>2522</v>
      </c>
      <c r="AB629" s="79">
        <v>45427</v>
      </c>
      <c r="AC629">
        <f>OrdersTable[[#This Row],[Delivery Date]]-OrdersTable[[#This Row],[Order Date]]</f>
        <v>5</v>
      </c>
      <c r="AD629" t="str">
        <f>IF(OrdersTable[[#This Row],[Delivery Days]]&lt;=2, "Express (≤2d)", IF(OrdersTable[[#This Row],[Delivery Days]]&lt;=4, "Standard (3-4d)", "Delayed (5d+)"))</f>
        <v>Delayed (5d+)</v>
      </c>
      <c r="AF629">
        <v>0</v>
      </c>
    </row>
    <row r="630" spans="1:32" ht="15" x14ac:dyDescent="0.35">
      <c r="A630" t="s">
        <v>2072</v>
      </c>
      <c r="B630" s="1">
        <v>45422</v>
      </c>
      <c r="C630">
        <f>YEAR(OrdersTable[[#This Row],[Order Date]])</f>
        <v>2024</v>
      </c>
      <c r="D630" s="2">
        <f>DATE(YEAR(OrdersTable[[#This Row],[Order Date]]),MONTH(OrdersTable[[#This Row],[Order Date]]),1)</f>
        <v>45413</v>
      </c>
      <c r="E630">
        <f>MONTH(OrdersTable[[#This Row],[Order Date]])</f>
        <v>5</v>
      </c>
      <c r="F630" t="s">
        <v>2073</v>
      </c>
      <c r="G630" t="str">
        <f>IF(OrdersTable[[#This Row],[Order Date]]=_xlfn.MINIFS(Order_Date, Customer_ID, OrdersTable[[#This Row],[Customer ID]]), "New", "Repeat")</f>
        <v>Repeat</v>
      </c>
      <c r="H630" t="s">
        <v>37</v>
      </c>
      <c r="I630" t="str">
        <f>INDEX(State!B:B,MATCH(OrdersTable[[#This Row],[State]],State!A:A,0))</f>
        <v>GJ</v>
      </c>
      <c r="J630" t="str">
        <f>INDEX(State!C:C,MATCH(OrdersTable[[#This Row],[State Code]],State!B:B,0))</f>
        <v>West</v>
      </c>
      <c r="K630" t="s">
        <v>38</v>
      </c>
      <c r="L630" t="s">
        <v>39</v>
      </c>
      <c r="M630" t="s">
        <v>160</v>
      </c>
      <c r="N630" t="str">
        <f>INDEX(Products!B:B,MATCH(OrdersTable[[#This Row],[Product ID]],Products!A:A,0))</f>
        <v>Niacinamide Toner</v>
      </c>
      <c r="O630" t="str">
        <f>INDEX(Products!C:C,MATCH(OrdersTable[[#This Row],[Product ID]],Products!A:A,0))</f>
        <v>Skincare</v>
      </c>
      <c r="P630">
        <v>1</v>
      </c>
      <c r="Q630" s="5">
        <v>399</v>
      </c>
      <c r="R630" s="74">
        <v>0.15</v>
      </c>
      <c r="S630" s="75">
        <f>OrdersTable[[#This Row],[Quantity]]*OrdersTable[[#This Row],[Unit Price]]</f>
        <v>399</v>
      </c>
      <c r="T630" s="5">
        <f>OrdersTable[[#This Row],[Gross Sale]]*OrdersTable[[#This Row],[Discount_Clean2]]</f>
        <v>59.849999999999994</v>
      </c>
      <c r="U630" s="5">
        <f>OrdersTable[[#This Row],[Gross Sale]]-OrdersTable[[#This Row],[Discount Amount]]</f>
        <v>339.15</v>
      </c>
      <c r="V630" s="77">
        <f>INDEX(Products!E:E,MATCH(OrdersTable[[#This Row],[Product ID]],Products!A:A,0))</f>
        <v>112</v>
      </c>
      <c r="W630" s="77">
        <f>OrdersTable[[#This Row],[Quantity]]*OrdersTable[[#This Row],[Unit Cost]]</f>
        <v>112</v>
      </c>
      <c r="X630" s="77">
        <f>'Dropdown Lists'!$I$2*(1+OrdersTable[[#This Row],[Returned]])</f>
        <v>60</v>
      </c>
      <c r="Y630" s="76">
        <f>OrdersTable[[#This Row],[Net Revenue]]-OrdersTable[[#This Row],[COGS]]-OrdersTable[[#This Row],[Shipping Cost]]</f>
        <v>167.14999999999998</v>
      </c>
      <c r="Z630" s="78">
        <f>IFERROR(OrdersTable[[#This Row],[Profit]]/OrdersTable[[#This Row],[Net Revenue]],0)</f>
        <v>0.49284977148754233</v>
      </c>
      <c r="AA630" t="s">
        <v>18</v>
      </c>
      <c r="AB630" s="79">
        <v>45425</v>
      </c>
      <c r="AC630">
        <f>OrdersTable[[#This Row],[Delivery Date]]-OrdersTable[[#This Row],[Order Date]]</f>
        <v>3</v>
      </c>
      <c r="AD630" t="str">
        <f>IF(OrdersTable[[#This Row],[Delivery Days]]&lt;=2, "Express (≤2d)", IF(OrdersTable[[#This Row],[Delivery Days]]&lt;=4, "Standard (3-4d)", "Delayed (5d+)"))</f>
        <v>Standard (3-4d)</v>
      </c>
      <c r="AE630">
        <v>3</v>
      </c>
      <c r="AF630">
        <v>0</v>
      </c>
    </row>
    <row r="631" spans="1:32" ht="15" x14ac:dyDescent="0.35">
      <c r="A631" t="s">
        <v>6055</v>
      </c>
      <c r="B631" s="1">
        <v>45422</v>
      </c>
      <c r="C631">
        <f>YEAR(OrdersTable[[#This Row],[Order Date]])</f>
        <v>2024</v>
      </c>
      <c r="D631" s="2">
        <f>DATE(YEAR(OrdersTable[[#This Row],[Order Date]]),MONTH(OrdersTable[[#This Row],[Order Date]]),1)</f>
        <v>45413</v>
      </c>
      <c r="E631">
        <f>MONTH(OrdersTable[[#This Row],[Order Date]])</f>
        <v>5</v>
      </c>
      <c r="F631" t="s">
        <v>6056</v>
      </c>
      <c r="G631" t="str">
        <f>IF(OrdersTable[[#This Row],[Order Date]]=_xlfn.MINIFS(Order_Date, Customer_ID, OrdersTable[[#This Row],[Customer ID]]), "New", "Repeat")</f>
        <v>New</v>
      </c>
      <c r="H631" t="s">
        <v>37</v>
      </c>
      <c r="I631" t="str">
        <f>INDEX(State!B:B,MATCH(OrdersTable[[#This Row],[State]],State!A:A,0))</f>
        <v>GJ</v>
      </c>
      <c r="J631" t="str">
        <f>INDEX(State!C:C,MATCH(OrdersTable[[#This Row],[State Code]],State!B:B,0))</f>
        <v>West</v>
      </c>
      <c r="K631" t="s">
        <v>247</v>
      </c>
      <c r="L631" t="s">
        <v>16</v>
      </c>
      <c r="M631" t="s">
        <v>205</v>
      </c>
      <c r="N631" t="str">
        <f>INDEX(Products!B:B,MATCH(OrdersTable[[#This Row],[Product ID]],Products!A:A,0))</f>
        <v>Running Shoes</v>
      </c>
      <c r="O631" t="str">
        <f>INDEX(Products!C:C,MATCH(OrdersTable[[#This Row],[Product ID]],Products!A:A,0))</f>
        <v>Footwear</v>
      </c>
      <c r="P631">
        <v>2</v>
      </c>
      <c r="Q631" s="5">
        <v>2999</v>
      </c>
      <c r="R631" s="74">
        <v>0.2</v>
      </c>
      <c r="S631" s="75">
        <f>OrdersTable[[#This Row],[Quantity]]*OrdersTable[[#This Row],[Unit Price]]</f>
        <v>5998</v>
      </c>
      <c r="T631" s="5">
        <f>OrdersTable[[#This Row],[Gross Sale]]*OrdersTable[[#This Row],[Discount_Clean2]]</f>
        <v>1199.6000000000001</v>
      </c>
      <c r="U631" s="5">
        <f>OrdersTable[[#This Row],[Gross Sale]]-OrdersTable[[#This Row],[Discount Amount]]</f>
        <v>4798.3999999999996</v>
      </c>
      <c r="V631" s="77">
        <f>INDEX(Products!E:E,MATCH(OrdersTable[[#This Row],[Product ID]],Products!A:A,0))</f>
        <v>1440</v>
      </c>
      <c r="W631" s="77">
        <f>OrdersTable[[#This Row],[Quantity]]*OrdersTable[[#This Row],[Unit Cost]]</f>
        <v>2880</v>
      </c>
      <c r="X631" s="77">
        <f>'Dropdown Lists'!$I$2*(1+OrdersTable[[#This Row],[Returned]])</f>
        <v>60</v>
      </c>
      <c r="Y631" s="76">
        <f>OrdersTable[[#This Row],[Net Revenue]]-OrdersTable[[#This Row],[COGS]]-OrdersTable[[#This Row],[Shipping Cost]]</f>
        <v>1858.3999999999996</v>
      </c>
      <c r="Z631" s="78">
        <f>IFERROR(OrdersTable[[#This Row],[Profit]]/OrdersTable[[#This Row],[Net Revenue]],0)</f>
        <v>0.38729576525508497</v>
      </c>
      <c r="AA631" t="s">
        <v>18</v>
      </c>
      <c r="AB631" s="79">
        <v>45425</v>
      </c>
      <c r="AC631">
        <f>OrdersTable[[#This Row],[Delivery Date]]-OrdersTable[[#This Row],[Order Date]]</f>
        <v>3</v>
      </c>
      <c r="AD631" t="str">
        <f>IF(OrdersTable[[#This Row],[Delivery Days]]&lt;=2, "Express (≤2d)", IF(OrdersTable[[#This Row],[Delivery Days]]&lt;=4, "Standard (3-4d)", "Delayed (5d+)"))</f>
        <v>Standard (3-4d)</v>
      </c>
      <c r="AE631">
        <v>4</v>
      </c>
      <c r="AF631">
        <v>0</v>
      </c>
    </row>
    <row r="632" spans="1:32" ht="15" x14ac:dyDescent="0.35">
      <c r="A632" t="s">
        <v>6057</v>
      </c>
      <c r="B632" s="1">
        <v>45422</v>
      </c>
      <c r="C632">
        <f>YEAR(OrdersTable[[#This Row],[Order Date]])</f>
        <v>2024</v>
      </c>
      <c r="D632" s="2">
        <f>DATE(YEAR(OrdersTable[[#This Row],[Order Date]]),MONTH(OrdersTable[[#This Row],[Order Date]]),1)</f>
        <v>45413</v>
      </c>
      <c r="E632">
        <f>MONTH(OrdersTable[[#This Row],[Order Date]])</f>
        <v>5</v>
      </c>
      <c r="F632" t="s">
        <v>6058</v>
      </c>
      <c r="G632" t="str">
        <f>IF(OrdersTable[[#This Row],[Order Date]]=_xlfn.MINIFS(Order_Date, Customer_ID, OrdersTable[[#This Row],[Customer ID]]), "New", "Repeat")</f>
        <v>New</v>
      </c>
      <c r="H632" t="s">
        <v>27</v>
      </c>
      <c r="I632" t="str">
        <f>INDEX(State!B:B,MATCH(OrdersTable[[#This Row],[State]],State!A:A,0))</f>
        <v>WB</v>
      </c>
      <c r="J632" t="str">
        <f>INDEX(State!C:C,MATCH(OrdersTable[[#This Row],[State Code]],State!B:B,0))</f>
        <v>East</v>
      </c>
      <c r="K632" t="s">
        <v>28</v>
      </c>
      <c r="L632" t="s">
        <v>65</v>
      </c>
      <c r="M632" t="s">
        <v>29</v>
      </c>
      <c r="N632" t="str">
        <f>INDEX(Products!B:B,MATCH(OrdersTable[[#This Row],[Product ID]],Products!A:A,0))</f>
        <v>Joggers</v>
      </c>
      <c r="O632" t="str">
        <f>INDEX(Products!C:C,MATCH(OrdersTable[[#This Row],[Product ID]],Products!A:A,0))</f>
        <v>Apparel</v>
      </c>
      <c r="P632">
        <v>2</v>
      </c>
      <c r="Q632" s="5">
        <v>1199</v>
      </c>
      <c r="R632" s="74">
        <v>0.1</v>
      </c>
      <c r="S632" s="75">
        <f>OrdersTable[[#This Row],[Quantity]]*OrdersTable[[#This Row],[Unit Price]]</f>
        <v>2398</v>
      </c>
      <c r="T632" s="5">
        <f>OrdersTable[[#This Row],[Gross Sale]]*OrdersTable[[#This Row],[Discount_Clean2]]</f>
        <v>239.8</v>
      </c>
      <c r="U632" s="5">
        <f>OrdersTable[[#This Row],[Gross Sale]]-OrdersTable[[#This Row],[Discount Amount]]</f>
        <v>2158.1999999999998</v>
      </c>
      <c r="V632" s="77">
        <f>INDEX(Products!E:E,MATCH(OrdersTable[[#This Row],[Product ID]],Products!A:A,0))</f>
        <v>492</v>
      </c>
      <c r="W632" s="77">
        <f>OrdersTable[[#This Row],[Quantity]]*OrdersTable[[#This Row],[Unit Cost]]</f>
        <v>984</v>
      </c>
      <c r="X632" s="77">
        <f>'Dropdown Lists'!$I$2*(1+OrdersTable[[#This Row],[Returned]])</f>
        <v>60</v>
      </c>
      <c r="Y632" s="76">
        <f>OrdersTable[[#This Row],[Net Revenue]]-OrdersTable[[#This Row],[COGS]]-OrdersTable[[#This Row],[Shipping Cost]]</f>
        <v>1114.1999999999998</v>
      </c>
      <c r="Z632" s="78">
        <f>IFERROR(OrdersTable[[#This Row],[Profit]]/OrdersTable[[#This Row],[Net Revenue]],0)</f>
        <v>0.51626355296080062</v>
      </c>
      <c r="AA632" t="s">
        <v>18</v>
      </c>
      <c r="AB632" s="79">
        <v>45426</v>
      </c>
      <c r="AC632">
        <f>OrdersTable[[#This Row],[Delivery Date]]-OrdersTable[[#This Row],[Order Date]]</f>
        <v>4</v>
      </c>
      <c r="AD632" t="str">
        <f>IF(OrdersTable[[#This Row],[Delivery Days]]&lt;=2, "Express (≤2d)", IF(OrdersTable[[#This Row],[Delivery Days]]&lt;=4, "Standard (3-4d)", "Delayed (5d+)"))</f>
        <v>Standard (3-4d)</v>
      </c>
      <c r="AE632">
        <v>4</v>
      </c>
      <c r="AF632">
        <v>0</v>
      </c>
    </row>
    <row r="633" spans="1:32" ht="15" x14ac:dyDescent="0.35">
      <c r="A633" t="s">
        <v>3718</v>
      </c>
      <c r="B633" s="1">
        <v>45422</v>
      </c>
      <c r="C633">
        <f>YEAR(OrdersTable[[#This Row],[Order Date]])</f>
        <v>2024</v>
      </c>
      <c r="D633" s="2">
        <f>DATE(YEAR(OrdersTable[[#This Row],[Order Date]]),MONTH(OrdersTable[[#This Row],[Order Date]]),1)</f>
        <v>45413</v>
      </c>
      <c r="E633">
        <f>MONTH(OrdersTable[[#This Row],[Order Date]])</f>
        <v>5</v>
      </c>
      <c r="F633" t="s">
        <v>2012</v>
      </c>
      <c r="G633" t="str">
        <f>IF(OrdersTable[[#This Row],[Order Date]]=_xlfn.MINIFS(Order_Date, Customer_ID, OrdersTable[[#This Row],[Customer ID]]), "New", "Repeat")</f>
        <v>New</v>
      </c>
      <c r="H633" t="s">
        <v>316</v>
      </c>
      <c r="I633" t="str">
        <f>INDEX(State!B:B,MATCH(OrdersTable[[#This Row],[State]],State!A:A,0))</f>
        <v>KL</v>
      </c>
      <c r="J633" t="str">
        <f>INDEX(State!C:C,MATCH(OrdersTable[[#This Row],[State Code]],State!B:B,0))</f>
        <v>South</v>
      </c>
      <c r="K633" t="s">
        <v>317</v>
      </c>
      <c r="L633" t="s">
        <v>16</v>
      </c>
      <c r="M633" t="s">
        <v>576</v>
      </c>
      <c r="N633" t="str">
        <f>INDEX(Products!B:B,MATCH(OrdersTable[[#This Row],[Product ID]],Products!A:A,0))</f>
        <v>Printed Saree</v>
      </c>
      <c r="O633" t="str">
        <f>INDEX(Products!C:C,MATCH(OrdersTable[[#This Row],[Product ID]],Products!A:A,0))</f>
        <v>Apparel</v>
      </c>
      <c r="P633">
        <v>1</v>
      </c>
      <c r="Q633" s="5">
        <v>1999</v>
      </c>
      <c r="R633" s="74">
        <v>0</v>
      </c>
      <c r="S633" s="75">
        <f>OrdersTable[[#This Row],[Quantity]]*OrdersTable[[#This Row],[Unit Price]]</f>
        <v>1999</v>
      </c>
      <c r="T633" s="5">
        <f>OrdersTable[[#This Row],[Gross Sale]]*OrdersTable[[#This Row],[Discount_Clean2]]</f>
        <v>0</v>
      </c>
      <c r="U633" s="5">
        <f>OrdersTable[[#This Row],[Gross Sale]]-OrdersTable[[#This Row],[Discount Amount]]</f>
        <v>1999</v>
      </c>
      <c r="V633" s="77">
        <f>INDEX(Products!E:E,MATCH(OrdersTable[[#This Row],[Product ID]],Products!A:A,0))</f>
        <v>880</v>
      </c>
      <c r="W633" s="77">
        <f>OrdersTable[[#This Row],[Quantity]]*OrdersTable[[#This Row],[Unit Cost]]</f>
        <v>880</v>
      </c>
      <c r="X633" s="77">
        <f>'Dropdown Lists'!$I$2*(1+OrdersTable[[#This Row],[Returned]])</f>
        <v>60</v>
      </c>
      <c r="Y633" s="76">
        <f>OrdersTable[[#This Row],[Net Revenue]]-OrdersTable[[#This Row],[COGS]]-OrdersTable[[#This Row],[Shipping Cost]]</f>
        <v>1059</v>
      </c>
      <c r="Z633" s="78">
        <f>IFERROR(OrdersTable[[#This Row],[Profit]]/OrdersTable[[#This Row],[Net Revenue]],0)</f>
        <v>0.52976488244122066</v>
      </c>
      <c r="AA633" t="s">
        <v>3495</v>
      </c>
      <c r="AB633" s="79">
        <v>45426</v>
      </c>
      <c r="AC633">
        <f>OrdersTable[[#This Row],[Delivery Date]]-OrdersTable[[#This Row],[Order Date]]</f>
        <v>4</v>
      </c>
      <c r="AD633" t="str">
        <f>IF(OrdersTable[[#This Row],[Delivery Days]]&lt;=2, "Express (≤2d)", IF(OrdersTable[[#This Row],[Delivery Days]]&lt;=4, "Standard (3-4d)", "Delayed (5d+)"))</f>
        <v>Standard (3-4d)</v>
      </c>
      <c r="AF633">
        <v>0</v>
      </c>
    </row>
    <row r="634" spans="1:32" ht="15" x14ac:dyDescent="0.35">
      <c r="A634" t="s">
        <v>3719</v>
      </c>
      <c r="B634" s="1">
        <v>45423</v>
      </c>
      <c r="C634">
        <f>YEAR(OrdersTable[[#This Row],[Order Date]])</f>
        <v>2024</v>
      </c>
      <c r="D634" s="2">
        <f>DATE(YEAR(OrdersTable[[#This Row],[Order Date]]),MONTH(OrdersTable[[#This Row],[Order Date]]),1)</f>
        <v>45413</v>
      </c>
      <c r="E634">
        <f>MONTH(OrdersTable[[#This Row],[Order Date]])</f>
        <v>5</v>
      </c>
      <c r="F634" t="s">
        <v>2016</v>
      </c>
      <c r="G634" t="str">
        <f>IF(OrdersTable[[#This Row],[Order Date]]=_xlfn.MINIFS(Order_Date, Customer_ID, OrdersTable[[#This Row],[Customer ID]]), "New", "Repeat")</f>
        <v>New</v>
      </c>
      <c r="H634" t="s">
        <v>48</v>
      </c>
      <c r="I634" t="str">
        <f>INDEX(State!B:B,MATCH(OrdersTable[[#This Row],[State]],State!A:A,0))</f>
        <v>HR</v>
      </c>
      <c r="J634" t="str">
        <f>INDEX(State!C:C,MATCH(OrdersTable[[#This Row],[State Code]],State!B:B,0))</f>
        <v>North</v>
      </c>
      <c r="K634" t="s">
        <v>151</v>
      </c>
      <c r="L634" t="s">
        <v>65</v>
      </c>
      <c r="M634" t="s">
        <v>56</v>
      </c>
      <c r="N634" t="str">
        <f>INDEX(Products!B:B,MATCH(OrdersTable[[#This Row],[Product ID]],Products!A:A,0))</f>
        <v>Vitamin C Face Serum</v>
      </c>
      <c r="O634" t="str">
        <f>INDEX(Products!C:C,MATCH(OrdersTable[[#This Row],[Product ID]],Products!A:A,0))</f>
        <v>Skincare</v>
      </c>
      <c r="P634">
        <v>1</v>
      </c>
      <c r="Q634" s="5">
        <v>599</v>
      </c>
      <c r="R634" s="74">
        <v>0.15</v>
      </c>
      <c r="S634" s="75">
        <f>OrdersTable[[#This Row],[Quantity]]*OrdersTable[[#This Row],[Unit Price]]</f>
        <v>599</v>
      </c>
      <c r="T634" s="5">
        <f>OrdersTable[[#This Row],[Gross Sale]]*OrdersTable[[#This Row],[Discount_Clean2]]</f>
        <v>89.85</v>
      </c>
      <c r="U634" s="5">
        <f>OrdersTable[[#This Row],[Gross Sale]]-OrdersTable[[#This Row],[Discount Amount]]</f>
        <v>509.15</v>
      </c>
      <c r="V634" s="77">
        <f>INDEX(Products!E:E,MATCH(OrdersTable[[#This Row],[Product ID]],Products!A:A,0))</f>
        <v>180</v>
      </c>
      <c r="W634" s="77">
        <f>OrdersTable[[#This Row],[Quantity]]*OrdersTable[[#This Row],[Unit Cost]]</f>
        <v>180</v>
      </c>
      <c r="X634" s="77">
        <f>'Dropdown Lists'!$I$2*(1+OrdersTable[[#This Row],[Returned]])</f>
        <v>60</v>
      </c>
      <c r="Y634" s="76">
        <f>OrdersTable[[#This Row],[Net Revenue]]-OrdersTable[[#This Row],[COGS]]-OrdersTable[[#This Row],[Shipping Cost]]</f>
        <v>269.14999999999998</v>
      </c>
      <c r="Z634" s="78">
        <f>IFERROR(OrdersTable[[#This Row],[Profit]]/OrdersTable[[#This Row],[Net Revenue]],0)</f>
        <v>0.52862614160856325</v>
      </c>
      <c r="AA634" t="s">
        <v>3495</v>
      </c>
      <c r="AB634" s="79">
        <v>45426</v>
      </c>
      <c r="AC634">
        <f>OrdersTable[[#This Row],[Delivery Date]]-OrdersTable[[#This Row],[Order Date]]</f>
        <v>3</v>
      </c>
      <c r="AD634" t="str">
        <f>IF(OrdersTable[[#This Row],[Delivery Days]]&lt;=2, "Express (≤2d)", IF(OrdersTable[[#This Row],[Delivery Days]]&lt;=4, "Standard (3-4d)", "Delayed (5d+)"))</f>
        <v>Standard (3-4d)</v>
      </c>
      <c r="AF634">
        <v>0</v>
      </c>
    </row>
    <row r="635" spans="1:32" ht="15" x14ac:dyDescent="0.35">
      <c r="A635" t="s">
        <v>3171</v>
      </c>
      <c r="B635" s="1">
        <v>45423</v>
      </c>
      <c r="C635">
        <f>YEAR(OrdersTable[[#This Row],[Order Date]])</f>
        <v>2024</v>
      </c>
      <c r="D635" s="2">
        <f>DATE(YEAR(OrdersTable[[#This Row],[Order Date]]),MONTH(OrdersTable[[#This Row],[Order Date]]),1)</f>
        <v>45413</v>
      </c>
      <c r="E635">
        <f>MONTH(OrdersTable[[#This Row],[Order Date]])</f>
        <v>5</v>
      </c>
      <c r="F635" t="s">
        <v>1923</v>
      </c>
      <c r="G635" t="str">
        <f>IF(OrdersTable[[#This Row],[Order Date]]=_xlfn.MINIFS(Order_Date, Customer_ID, OrdersTable[[#This Row],[Customer ID]]), "New", "Repeat")</f>
        <v>Repeat</v>
      </c>
      <c r="H635" t="s">
        <v>37</v>
      </c>
      <c r="I635" t="str">
        <f>INDEX(State!B:B,MATCH(OrdersTable[[#This Row],[State]],State!A:A,0))</f>
        <v>GJ</v>
      </c>
      <c r="J635" t="str">
        <f>INDEX(State!C:C,MATCH(OrdersTable[[#This Row],[State Code]],State!B:B,0))</f>
        <v>West</v>
      </c>
      <c r="K635" t="s">
        <v>38</v>
      </c>
      <c r="L635" t="s">
        <v>23</v>
      </c>
      <c r="M635" t="s">
        <v>205</v>
      </c>
      <c r="N635" t="str">
        <f>INDEX(Products!B:B,MATCH(OrdersTable[[#This Row],[Product ID]],Products!A:A,0))</f>
        <v>Running Shoes</v>
      </c>
      <c r="O635" t="str">
        <f>INDEX(Products!C:C,MATCH(OrdersTable[[#This Row],[Product ID]],Products!A:A,0))</f>
        <v>Footwear</v>
      </c>
      <c r="P635">
        <v>1</v>
      </c>
      <c r="Q635" s="5">
        <v>2999</v>
      </c>
      <c r="R635" s="74">
        <v>0.15</v>
      </c>
      <c r="S635" s="75">
        <f>OrdersTable[[#This Row],[Quantity]]*OrdersTable[[#This Row],[Unit Price]]</f>
        <v>2999</v>
      </c>
      <c r="T635" s="5">
        <f>OrdersTable[[#This Row],[Gross Sale]]*OrdersTable[[#This Row],[Discount_Clean2]]</f>
        <v>449.84999999999997</v>
      </c>
      <c r="U635" s="5">
        <f>OrdersTable[[#This Row],[Gross Sale]]-OrdersTable[[#This Row],[Discount Amount]]</f>
        <v>2549.15</v>
      </c>
      <c r="V635" s="77">
        <f>INDEX(Products!E:E,MATCH(OrdersTable[[#This Row],[Product ID]],Products!A:A,0))</f>
        <v>1440</v>
      </c>
      <c r="W635" s="77">
        <f>OrdersTable[[#This Row],[Quantity]]*OrdersTable[[#This Row],[Unit Cost]]</f>
        <v>1440</v>
      </c>
      <c r="X635" s="77">
        <f>'Dropdown Lists'!$I$2*(1+OrdersTable[[#This Row],[Returned]])</f>
        <v>60</v>
      </c>
      <c r="Y635" s="76">
        <f>OrdersTable[[#This Row],[Net Revenue]]-OrdersTable[[#This Row],[COGS]]-OrdersTable[[#This Row],[Shipping Cost]]</f>
        <v>1049.1500000000001</v>
      </c>
      <c r="Z635" s="78">
        <f>IFERROR(OrdersTable[[#This Row],[Profit]]/OrdersTable[[#This Row],[Net Revenue]],0)</f>
        <v>0.41156856206970954</v>
      </c>
      <c r="AA635" t="s">
        <v>2522</v>
      </c>
      <c r="AB635" s="79">
        <v>45425</v>
      </c>
      <c r="AC635">
        <f>OrdersTable[[#This Row],[Delivery Date]]-OrdersTable[[#This Row],[Order Date]]</f>
        <v>2</v>
      </c>
      <c r="AD635" t="str">
        <f>IF(OrdersTable[[#This Row],[Delivery Days]]&lt;=2, "Express (≤2d)", IF(OrdersTable[[#This Row],[Delivery Days]]&lt;=4, "Standard (3-4d)", "Delayed (5d+)"))</f>
        <v>Express (≤2d)</v>
      </c>
      <c r="AE635">
        <v>4</v>
      </c>
      <c r="AF635">
        <v>0</v>
      </c>
    </row>
    <row r="636" spans="1:32" ht="15" x14ac:dyDescent="0.35">
      <c r="A636" t="s">
        <v>906</v>
      </c>
      <c r="B636" s="1">
        <v>45423</v>
      </c>
      <c r="C636">
        <f>YEAR(OrdersTable[[#This Row],[Order Date]])</f>
        <v>2024</v>
      </c>
      <c r="D636" s="2">
        <f>DATE(YEAR(OrdersTable[[#This Row],[Order Date]]),MONTH(OrdersTable[[#This Row],[Order Date]]),1)</f>
        <v>45413</v>
      </c>
      <c r="E636">
        <f>MONTH(OrdersTable[[#This Row],[Order Date]])</f>
        <v>5</v>
      </c>
      <c r="F636" t="s">
        <v>907</v>
      </c>
      <c r="G636" t="str">
        <f>IF(OrdersTable[[#This Row],[Order Date]]=_xlfn.MINIFS(Order_Date, Customer_ID, OrdersTable[[#This Row],[Customer ID]]), "New", "Repeat")</f>
        <v>New</v>
      </c>
      <c r="H636" t="s">
        <v>37</v>
      </c>
      <c r="I636" t="str">
        <f>INDEX(State!B:B,MATCH(OrdersTable[[#This Row],[State]],State!A:A,0))</f>
        <v>GJ</v>
      </c>
      <c r="J636" t="str">
        <f>INDEX(State!C:C,MATCH(OrdersTable[[#This Row],[State Code]],State!B:B,0))</f>
        <v>West</v>
      </c>
      <c r="K636" t="s">
        <v>247</v>
      </c>
      <c r="L636" t="s">
        <v>23</v>
      </c>
      <c r="M636" t="s">
        <v>73</v>
      </c>
      <c r="N636" t="str">
        <f>INDEX(Products!B:B,MATCH(OrdersTable[[#This Row],[Product ID]],Products!A:A,0))</f>
        <v>Hydrating Face Wash</v>
      </c>
      <c r="O636" t="str">
        <f>INDEX(Products!C:C,MATCH(OrdersTable[[#This Row],[Product ID]],Products!A:A,0))</f>
        <v>Skincare</v>
      </c>
      <c r="P636">
        <v>1</v>
      </c>
      <c r="Q636" s="5">
        <v>299</v>
      </c>
      <c r="R636" s="74">
        <v>0</v>
      </c>
      <c r="S636" s="75">
        <f>OrdersTable[[#This Row],[Quantity]]*OrdersTable[[#This Row],[Unit Price]]</f>
        <v>299</v>
      </c>
      <c r="T636" s="5">
        <f>OrdersTable[[#This Row],[Gross Sale]]*OrdersTable[[#This Row],[Discount_Clean2]]</f>
        <v>0</v>
      </c>
      <c r="U636" s="5">
        <f>OrdersTable[[#This Row],[Gross Sale]]-OrdersTable[[#This Row],[Discount Amount]]</f>
        <v>299</v>
      </c>
      <c r="V636" s="77">
        <f>INDEX(Products!E:E,MATCH(OrdersTable[[#This Row],[Product ID]],Products!A:A,0))</f>
        <v>90</v>
      </c>
      <c r="W636" s="77">
        <f>OrdersTable[[#This Row],[Quantity]]*OrdersTable[[#This Row],[Unit Cost]]</f>
        <v>90</v>
      </c>
      <c r="X636" s="77">
        <f>'Dropdown Lists'!$I$2*(1+OrdersTable[[#This Row],[Returned]])</f>
        <v>60</v>
      </c>
      <c r="Y636" s="76">
        <f>OrdersTable[[#This Row],[Net Revenue]]-OrdersTable[[#This Row],[COGS]]-OrdersTable[[#This Row],[Shipping Cost]]</f>
        <v>149</v>
      </c>
      <c r="Z636" s="78">
        <f>IFERROR(OrdersTable[[#This Row],[Profit]]/OrdersTable[[#This Row],[Net Revenue]],0)</f>
        <v>0.49832775919732442</v>
      </c>
      <c r="AA636" t="s">
        <v>18</v>
      </c>
      <c r="AB636" s="79">
        <v>45427</v>
      </c>
      <c r="AC636">
        <f>OrdersTable[[#This Row],[Delivery Date]]-OrdersTable[[#This Row],[Order Date]]</f>
        <v>4</v>
      </c>
      <c r="AD636" t="str">
        <f>IF(OrdersTable[[#This Row],[Delivery Days]]&lt;=2, "Express (≤2d)", IF(OrdersTable[[#This Row],[Delivery Days]]&lt;=4, "Standard (3-4d)", "Delayed (5d+)"))</f>
        <v>Standard (3-4d)</v>
      </c>
      <c r="AE636">
        <v>4</v>
      </c>
      <c r="AF636">
        <v>0</v>
      </c>
    </row>
    <row r="637" spans="1:32" ht="15" x14ac:dyDescent="0.35">
      <c r="A637" t="s">
        <v>2074</v>
      </c>
      <c r="B637" s="1">
        <v>45423</v>
      </c>
      <c r="C637">
        <f>YEAR(OrdersTable[[#This Row],[Order Date]])</f>
        <v>2024</v>
      </c>
      <c r="D637" s="2">
        <f>DATE(YEAR(OrdersTable[[#This Row],[Order Date]]),MONTH(OrdersTable[[#This Row],[Order Date]]),1)</f>
        <v>45413</v>
      </c>
      <c r="E637">
        <f>MONTH(OrdersTable[[#This Row],[Order Date]])</f>
        <v>5</v>
      </c>
      <c r="F637" t="s">
        <v>2075</v>
      </c>
      <c r="G637" t="str">
        <f>IF(OrdersTable[[#This Row],[Order Date]]=_xlfn.MINIFS(Order_Date, Customer_ID, OrdersTable[[#This Row],[Customer ID]]), "New", "Repeat")</f>
        <v>New</v>
      </c>
      <c r="H637" t="s">
        <v>71</v>
      </c>
      <c r="I637" t="str">
        <f>INDEX(State!B:B,MATCH(OrdersTable[[#This Row],[State]],State!A:A,0))</f>
        <v>MH</v>
      </c>
      <c r="J637" t="str">
        <f>INDEX(State!C:C,MATCH(OrdersTable[[#This Row],[State Code]],State!B:B,0))</f>
        <v>West</v>
      </c>
      <c r="K637" t="s">
        <v>102</v>
      </c>
      <c r="L637" t="s">
        <v>23</v>
      </c>
      <c r="M637" t="s">
        <v>66</v>
      </c>
      <c r="N637" t="str">
        <f>INDEX(Products!B:B,MATCH(OrdersTable[[#This Row],[Product ID]],Products!A:A,0))</f>
        <v>Sunscreen SPF 50</v>
      </c>
      <c r="O637" t="str">
        <f>INDEX(Products!C:C,MATCH(OrdersTable[[#This Row],[Product ID]],Products!A:A,0))</f>
        <v>Skincare</v>
      </c>
      <c r="P637">
        <v>1</v>
      </c>
      <c r="Q637" s="5">
        <v>449</v>
      </c>
      <c r="R637" s="74">
        <v>0.15</v>
      </c>
      <c r="S637" s="75">
        <f>OrdersTable[[#This Row],[Quantity]]*OrdersTable[[#This Row],[Unit Price]]</f>
        <v>449</v>
      </c>
      <c r="T637" s="5">
        <f>OrdersTable[[#This Row],[Gross Sale]]*OrdersTable[[#This Row],[Discount_Clean2]]</f>
        <v>67.349999999999994</v>
      </c>
      <c r="U637" s="5">
        <f>OrdersTable[[#This Row],[Gross Sale]]-OrdersTable[[#This Row],[Discount Amount]]</f>
        <v>381.65</v>
      </c>
      <c r="V637" s="77">
        <f>INDEX(Products!E:E,MATCH(OrdersTable[[#This Row],[Product ID]],Products!A:A,0))</f>
        <v>144</v>
      </c>
      <c r="W637" s="77">
        <f>OrdersTable[[#This Row],[Quantity]]*OrdersTable[[#This Row],[Unit Cost]]</f>
        <v>144</v>
      </c>
      <c r="X637" s="77">
        <f>'Dropdown Lists'!$I$2*(1+OrdersTable[[#This Row],[Returned]])</f>
        <v>60</v>
      </c>
      <c r="Y637" s="76">
        <f>OrdersTable[[#This Row],[Net Revenue]]-OrdersTable[[#This Row],[COGS]]-OrdersTable[[#This Row],[Shipping Cost]]</f>
        <v>177.64999999999998</v>
      </c>
      <c r="Z637" s="78">
        <f>IFERROR(OrdersTable[[#This Row],[Profit]]/OrdersTable[[#This Row],[Net Revenue]],0)</f>
        <v>0.465478841870824</v>
      </c>
      <c r="AA637" t="s">
        <v>18</v>
      </c>
      <c r="AB637" s="79">
        <v>45426</v>
      </c>
      <c r="AC637">
        <f>OrdersTable[[#This Row],[Delivery Date]]-OrdersTable[[#This Row],[Order Date]]</f>
        <v>3</v>
      </c>
      <c r="AD637" t="str">
        <f>IF(OrdersTable[[#This Row],[Delivery Days]]&lt;=2, "Express (≤2d)", IF(OrdersTable[[#This Row],[Delivery Days]]&lt;=4, "Standard (3-4d)", "Delayed (5d+)"))</f>
        <v>Standard (3-4d)</v>
      </c>
      <c r="AE637">
        <v>3</v>
      </c>
      <c r="AF637">
        <v>0</v>
      </c>
    </row>
    <row r="638" spans="1:32" ht="15" x14ac:dyDescent="0.35">
      <c r="A638" t="s">
        <v>2076</v>
      </c>
      <c r="B638" s="1">
        <v>45423</v>
      </c>
      <c r="C638">
        <f>YEAR(OrdersTable[[#This Row],[Order Date]])</f>
        <v>2024</v>
      </c>
      <c r="D638" s="2">
        <f>DATE(YEAR(OrdersTable[[#This Row],[Order Date]]),MONTH(OrdersTable[[#This Row],[Order Date]]),1)</f>
        <v>45413</v>
      </c>
      <c r="E638">
        <f>MONTH(OrdersTable[[#This Row],[Order Date]])</f>
        <v>5</v>
      </c>
      <c r="F638" t="s">
        <v>2077</v>
      </c>
      <c r="G638" t="str">
        <f>IF(OrdersTable[[#This Row],[Order Date]]=_xlfn.MINIFS(Order_Date, Customer_ID, OrdersTable[[#This Row],[Customer ID]]), "New", "Repeat")</f>
        <v>New</v>
      </c>
      <c r="H638" t="s">
        <v>95</v>
      </c>
      <c r="I638" t="str">
        <f>INDEX(State!B:B,MATCH(OrdersTable[[#This Row],[State]],State!A:A,0))</f>
        <v>TG</v>
      </c>
      <c r="J638" t="str">
        <f>INDEX(State!C:C,MATCH(OrdersTable[[#This Row],[State Code]],State!B:B,0))</f>
        <v>South</v>
      </c>
      <c r="K638" t="s">
        <v>96</v>
      </c>
      <c r="L638" t="s">
        <v>39</v>
      </c>
      <c r="M638" t="s">
        <v>61</v>
      </c>
      <c r="N638" t="str">
        <f>INDEX(Products!B:B,MATCH(OrdersTable[[#This Row],[Product ID]],Products!A:A,0))</f>
        <v>Multivitamin Gummies</v>
      </c>
      <c r="O638" t="str">
        <f>INDEX(Products!C:C,MATCH(OrdersTable[[#This Row],[Product ID]],Products!A:A,0))</f>
        <v>Wellness</v>
      </c>
      <c r="P638">
        <v>1</v>
      </c>
      <c r="Q638" s="5">
        <v>699</v>
      </c>
      <c r="R638" s="74">
        <v>0.1</v>
      </c>
      <c r="S638" s="75">
        <f>OrdersTable[[#This Row],[Quantity]]*OrdersTable[[#This Row],[Unit Price]]</f>
        <v>699</v>
      </c>
      <c r="T638" s="5">
        <f>OrdersTable[[#This Row],[Gross Sale]]*OrdersTable[[#This Row],[Discount_Clean2]]</f>
        <v>69.900000000000006</v>
      </c>
      <c r="U638" s="5">
        <f>OrdersTable[[#This Row],[Gross Sale]]-OrdersTable[[#This Row],[Discount Amount]]</f>
        <v>629.1</v>
      </c>
      <c r="V638" s="77">
        <f>INDEX(Products!E:E,MATCH(OrdersTable[[#This Row],[Product ID]],Products!A:A,0))</f>
        <v>238</v>
      </c>
      <c r="W638" s="77">
        <f>OrdersTable[[#This Row],[Quantity]]*OrdersTable[[#This Row],[Unit Cost]]</f>
        <v>238</v>
      </c>
      <c r="X638" s="77">
        <f>'Dropdown Lists'!$I$2*(1+OrdersTable[[#This Row],[Returned]])</f>
        <v>60</v>
      </c>
      <c r="Y638" s="76">
        <f>OrdersTable[[#This Row],[Net Revenue]]-OrdersTable[[#This Row],[COGS]]-OrdersTable[[#This Row],[Shipping Cost]]</f>
        <v>331.1</v>
      </c>
      <c r="Z638" s="78">
        <f>IFERROR(OrdersTable[[#This Row],[Profit]]/OrdersTable[[#This Row],[Net Revenue]],0)</f>
        <v>0.52630742330313152</v>
      </c>
      <c r="AA638" t="s">
        <v>18</v>
      </c>
      <c r="AB638" s="79">
        <v>45428</v>
      </c>
      <c r="AC638">
        <f>OrdersTable[[#This Row],[Delivery Date]]-OrdersTable[[#This Row],[Order Date]]</f>
        <v>5</v>
      </c>
      <c r="AD638" t="str">
        <f>IF(OrdersTable[[#This Row],[Delivery Days]]&lt;=2, "Express (≤2d)", IF(OrdersTable[[#This Row],[Delivery Days]]&lt;=4, "Standard (3-4d)", "Delayed (5d+)"))</f>
        <v>Delayed (5d+)</v>
      </c>
      <c r="AE638">
        <v>3</v>
      </c>
      <c r="AF638">
        <v>0</v>
      </c>
    </row>
    <row r="639" spans="1:32" ht="15" x14ac:dyDescent="0.35">
      <c r="A639" t="s">
        <v>5576</v>
      </c>
      <c r="B639" s="1">
        <v>45423</v>
      </c>
      <c r="C639">
        <f>YEAR(OrdersTable[[#This Row],[Order Date]])</f>
        <v>2024</v>
      </c>
      <c r="D639" s="2">
        <f>DATE(YEAR(OrdersTable[[#This Row],[Order Date]]),MONTH(OrdersTable[[#This Row],[Order Date]]),1)</f>
        <v>45413</v>
      </c>
      <c r="E639">
        <f>MONTH(OrdersTable[[#This Row],[Order Date]])</f>
        <v>5</v>
      </c>
      <c r="F639" t="s">
        <v>5577</v>
      </c>
      <c r="G639" t="str">
        <f>IF(OrdersTable[[#This Row],[Order Date]]=_xlfn.MINIFS(Order_Date, Customer_ID, OrdersTable[[#This Row],[Customer ID]]), "New", "Repeat")</f>
        <v>New</v>
      </c>
      <c r="H639" t="s">
        <v>167</v>
      </c>
      <c r="I639" t="str">
        <f>INDEX(State!B:B,MATCH(OrdersTable[[#This Row],[State]],State!A:A,0))</f>
        <v>KA</v>
      </c>
      <c r="J639" t="str">
        <f>INDEX(State!C:C,MATCH(OrdersTable[[#This Row],[State Code]],State!B:B,0))</f>
        <v>South</v>
      </c>
      <c r="K639" t="s">
        <v>190</v>
      </c>
      <c r="L639" t="s">
        <v>50</v>
      </c>
      <c r="M639" t="s">
        <v>152</v>
      </c>
      <c r="N639" t="str">
        <f>INDEX(Products!B:B,MATCH(OrdersTable[[#This Row],[Product ID]],Products!A:A,0))</f>
        <v>Green Tea (100 bags)</v>
      </c>
      <c r="O639" t="str">
        <f>INDEX(Products!C:C,MATCH(OrdersTable[[#This Row],[Product ID]],Products!A:A,0))</f>
        <v>Wellness</v>
      </c>
      <c r="P639">
        <v>2</v>
      </c>
      <c r="Q639" s="5">
        <v>399</v>
      </c>
      <c r="R639" s="74">
        <v>0.35</v>
      </c>
      <c r="S639" s="75">
        <f>OrdersTable[[#This Row],[Quantity]]*OrdersTable[[#This Row],[Unit Price]]</f>
        <v>798</v>
      </c>
      <c r="T639" s="5">
        <f>OrdersTable[[#This Row],[Gross Sale]]*OrdersTable[[#This Row],[Discount_Clean2]]</f>
        <v>279.29999999999995</v>
      </c>
      <c r="U639" s="5">
        <f>OrdersTable[[#This Row],[Gross Sale]]-OrdersTable[[#This Row],[Discount Amount]]</f>
        <v>518.70000000000005</v>
      </c>
      <c r="V639" s="77">
        <f>INDEX(Products!E:E,MATCH(OrdersTable[[#This Row],[Product ID]],Products!A:A,0))</f>
        <v>128</v>
      </c>
      <c r="W639" s="77">
        <f>OrdersTable[[#This Row],[Quantity]]*OrdersTable[[#This Row],[Unit Cost]]</f>
        <v>256</v>
      </c>
      <c r="X639" s="77">
        <f>'Dropdown Lists'!$I$2*(1+OrdersTable[[#This Row],[Returned]])</f>
        <v>60</v>
      </c>
      <c r="Y639" s="76">
        <f>OrdersTable[[#This Row],[Net Revenue]]-OrdersTable[[#This Row],[COGS]]-OrdersTable[[#This Row],[Shipping Cost]]</f>
        <v>202.70000000000005</v>
      </c>
      <c r="Z639" s="78">
        <f>IFERROR(OrdersTable[[#This Row],[Profit]]/OrdersTable[[#This Row],[Net Revenue]],0)</f>
        <v>0.39078465394254874</v>
      </c>
      <c r="AA639" t="s">
        <v>2522</v>
      </c>
      <c r="AB639" s="79">
        <v>45426</v>
      </c>
      <c r="AC639">
        <f>OrdersTable[[#This Row],[Delivery Date]]-OrdersTable[[#This Row],[Order Date]]</f>
        <v>3</v>
      </c>
      <c r="AD639" t="str">
        <f>IF(OrdersTable[[#This Row],[Delivery Days]]&lt;=2, "Express (≤2d)", IF(OrdersTable[[#This Row],[Delivery Days]]&lt;=4, "Standard (3-4d)", "Delayed (5d+)"))</f>
        <v>Standard (3-4d)</v>
      </c>
      <c r="AF639">
        <v>0</v>
      </c>
    </row>
    <row r="640" spans="1:32" ht="15" x14ac:dyDescent="0.35">
      <c r="A640" t="s">
        <v>6948</v>
      </c>
      <c r="B640" s="1">
        <v>45424</v>
      </c>
      <c r="C640">
        <f>YEAR(OrdersTable[[#This Row],[Order Date]])</f>
        <v>2024</v>
      </c>
      <c r="D640" s="2">
        <f>DATE(YEAR(OrdersTable[[#This Row],[Order Date]]),MONTH(OrdersTable[[#This Row],[Order Date]]),1)</f>
        <v>45413</v>
      </c>
      <c r="E640">
        <f>MONTH(OrdersTable[[#This Row],[Order Date]])</f>
        <v>5</v>
      </c>
      <c r="F640" t="s">
        <v>2181</v>
      </c>
      <c r="G640" t="str">
        <f>IF(OrdersTable[[#This Row],[Order Date]]=_xlfn.MINIFS(Order_Date, Customer_ID, OrdersTable[[#This Row],[Customer ID]]), "New", "Repeat")</f>
        <v>New</v>
      </c>
      <c r="H640" t="s">
        <v>76</v>
      </c>
      <c r="I640" t="str">
        <f>INDEX(State!B:B,MATCH(OrdersTable[[#This Row],[State]],State!A:A,0))</f>
        <v>UP</v>
      </c>
      <c r="J640" t="str">
        <f>INDEX(State!C:C,MATCH(OrdersTable[[#This Row],[State Code]],State!B:B,0))</f>
        <v>North</v>
      </c>
      <c r="K640" t="s">
        <v>105</v>
      </c>
      <c r="L640" t="s">
        <v>39</v>
      </c>
      <c r="M640" t="s">
        <v>173</v>
      </c>
      <c r="N640" t="str">
        <f>INDEX(Products!B:B,MATCH(OrdersTable[[#This Row],[Product ID]],Products!A:A,0))</f>
        <v>Wireless Earbuds</v>
      </c>
      <c r="O640" t="str">
        <f>INDEX(Products!C:C,MATCH(OrdersTable[[#This Row],[Product ID]],Products!A:A,0))</f>
        <v>Electronics</v>
      </c>
      <c r="P640">
        <v>4</v>
      </c>
      <c r="Q640" s="5">
        <v>1999</v>
      </c>
      <c r="R640" s="74">
        <v>0.4</v>
      </c>
      <c r="S640" s="75">
        <f>OrdersTable[[#This Row],[Quantity]]*OrdersTable[[#This Row],[Unit Price]]</f>
        <v>7996</v>
      </c>
      <c r="T640" s="5">
        <f>OrdersTable[[#This Row],[Gross Sale]]*OrdersTable[[#This Row],[Discount_Clean2]]</f>
        <v>3198.4</v>
      </c>
      <c r="U640" s="5">
        <f>OrdersTable[[#This Row],[Gross Sale]]-OrdersTable[[#This Row],[Discount Amount]]</f>
        <v>4797.6000000000004</v>
      </c>
      <c r="V640" s="77">
        <f>INDEX(Products!E:E,MATCH(OrdersTable[[#This Row],[Product ID]],Products!A:A,0))</f>
        <v>1239</v>
      </c>
      <c r="W640" s="77">
        <f>OrdersTable[[#This Row],[Quantity]]*OrdersTable[[#This Row],[Unit Cost]]</f>
        <v>4956</v>
      </c>
      <c r="X640" s="77">
        <f>'Dropdown Lists'!$I$2*(1+OrdersTable[[#This Row],[Returned]])</f>
        <v>60</v>
      </c>
      <c r="Y640" s="76">
        <f>OrdersTable[[#This Row],[Net Revenue]]-OrdersTable[[#This Row],[COGS]]-OrdersTable[[#This Row],[Shipping Cost]]</f>
        <v>-218.39999999999964</v>
      </c>
      <c r="Z640" s="78">
        <f>IFERROR(OrdersTable[[#This Row],[Profit]]/OrdersTable[[#This Row],[Net Revenue]],0)</f>
        <v>-4.5522761380690266E-2</v>
      </c>
      <c r="AA640" t="s">
        <v>4074</v>
      </c>
      <c r="AB640" s="79">
        <v>45427</v>
      </c>
      <c r="AC640">
        <f>OrdersTable[[#This Row],[Delivery Date]]-OrdersTable[[#This Row],[Order Date]]</f>
        <v>3</v>
      </c>
      <c r="AD640" t="str">
        <f>IF(OrdersTable[[#This Row],[Delivery Days]]&lt;=2, "Express (≤2d)", IF(OrdersTable[[#This Row],[Delivery Days]]&lt;=4, "Standard (3-4d)", "Delayed (5d+)"))</f>
        <v>Standard (3-4d)</v>
      </c>
      <c r="AE640">
        <v>3</v>
      </c>
      <c r="AF640">
        <v>0</v>
      </c>
    </row>
    <row r="641" spans="1:32" ht="15" x14ac:dyDescent="0.35">
      <c r="A641" t="s">
        <v>6484</v>
      </c>
      <c r="B641" s="1">
        <v>45424</v>
      </c>
      <c r="C641">
        <f>YEAR(OrdersTable[[#This Row],[Order Date]])</f>
        <v>2024</v>
      </c>
      <c r="D641" s="2">
        <f>DATE(YEAR(OrdersTable[[#This Row],[Order Date]]),MONTH(OrdersTable[[#This Row],[Order Date]]),1)</f>
        <v>45413</v>
      </c>
      <c r="E641">
        <f>MONTH(OrdersTable[[#This Row],[Order Date]])</f>
        <v>5</v>
      </c>
      <c r="F641" t="s">
        <v>2342</v>
      </c>
      <c r="G641" t="str">
        <f>IF(OrdersTable[[#This Row],[Order Date]]=_xlfn.MINIFS(Order_Date, Customer_ID, OrdersTable[[#This Row],[Customer ID]]), "New", "Repeat")</f>
        <v>New</v>
      </c>
      <c r="H641" t="s">
        <v>27</v>
      </c>
      <c r="I641" t="str">
        <f>INDEX(State!B:B,MATCH(OrdersTable[[#This Row],[State]],State!A:A,0))</f>
        <v>WB</v>
      </c>
      <c r="J641" t="str">
        <f>INDEX(State!C:C,MATCH(OrdersTable[[#This Row],[State Code]],State!B:B,0))</f>
        <v>East</v>
      </c>
      <c r="K641" t="s">
        <v>28</v>
      </c>
      <c r="L641" t="s">
        <v>65</v>
      </c>
      <c r="M641" t="s">
        <v>45</v>
      </c>
      <c r="N641" t="str">
        <f>INDEX(Products!B:B,MATCH(OrdersTable[[#This Row],[Product ID]],Products!A:A,0))</f>
        <v>Argan Shampoo</v>
      </c>
      <c r="O641" t="str">
        <f>INDEX(Products!C:C,MATCH(OrdersTable[[#This Row],[Product ID]],Products!A:A,0))</f>
        <v>Haircare</v>
      </c>
      <c r="P641">
        <v>3</v>
      </c>
      <c r="Q641" s="5">
        <v>449</v>
      </c>
      <c r="R641" s="74">
        <v>0.05</v>
      </c>
      <c r="S641" s="75">
        <f>OrdersTable[[#This Row],[Quantity]]*OrdersTable[[#This Row],[Unit Price]]</f>
        <v>1347</v>
      </c>
      <c r="T641" s="5">
        <f>OrdersTable[[#This Row],[Gross Sale]]*OrdersTable[[#This Row],[Discount_Clean2]]</f>
        <v>67.350000000000009</v>
      </c>
      <c r="U641" s="5">
        <f>OrdersTable[[#This Row],[Gross Sale]]-OrdersTable[[#This Row],[Discount Amount]]</f>
        <v>1279.6500000000001</v>
      </c>
      <c r="V641" s="77">
        <f>INDEX(Products!E:E,MATCH(OrdersTable[[#This Row],[Product ID]],Products!A:A,0))</f>
        <v>148</v>
      </c>
      <c r="W641" s="77">
        <f>OrdersTable[[#This Row],[Quantity]]*OrdersTable[[#This Row],[Unit Cost]]</f>
        <v>444</v>
      </c>
      <c r="X641" s="77">
        <f>'Dropdown Lists'!$I$2*(1+OrdersTable[[#This Row],[Returned]])</f>
        <v>60</v>
      </c>
      <c r="Y641" s="76">
        <f>OrdersTable[[#This Row],[Net Revenue]]-OrdersTable[[#This Row],[COGS]]-OrdersTable[[#This Row],[Shipping Cost]]</f>
        <v>775.65000000000009</v>
      </c>
      <c r="Z641" s="78">
        <f>IFERROR(OrdersTable[[#This Row],[Profit]]/OrdersTable[[#This Row],[Net Revenue]],0)</f>
        <v>0.60614230453639673</v>
      </c>
      <c r="AA641" t="s">
        <v>18</v>
      </c>
      <c r="AB641" s="79">
        <v>45428</v>
      </c>
      <c r="AC641">
        <f>OrdersTable[[#This Row],[Delivery Date]]-OrdersTable[[#This Row],[Order Date]]</f>
        <v>4</v>
      </c>
      <c r="AD641" t="str">
        <f>IF(OrdersTable[[#This Row],[Delivery Days]]&lt;=2, "Express (≤2d)", IF(OrdersTable[[#This Row],[Delivery Days]]&lt;=4, "Standard (3-4d)", "Delayed (5d+)"))</f>
        <v>Standard (3-4d)</v>
      </c>
      <c r="AE641">
        <v>4</v>
      </c>
      <c r="AF641">
        <v>0</v>
      </c>
    </row>
    <row r="642" spans="1:32" ht="15" x14ac:dyDescent="0.35">
      <c r="A642" t="s">
        <v>6059</v>
      </c>
      <c r="B642" s="1">
        <v>45424</v>
      </c>
      <c r="C642">
        <f>YEAR(OrdersTable[[#This Row],[Order Date]])</f>
        <v>2024</v>
      </c>
      <c r="D642" s="2">
        <f>DATE(YEAR(OrdersTable[[#This Row],[Order Date]]),MONTH(OrdersTable[[#This Row],[Order Date]]),1)</f>
        <v>45413</v>
      </c>
      <c r="E642">
        <f>MONTH(OrdersTable[[#This Row],[Order Date]])</f>
        <v>5</v>
      </c>
      <c r="F642" t="s">
        <v>101</v>
      </c>
      <c r="G642" t="str">
        <f>IF(OrdersTable[[#This Row],[Order Date]]=_xlfn.MINIFS(Order_Date, Customer_ID, OrdersTable[[#This Row],[Customer ID]]), "New", "Repeat")</f>
        <v>Repeat</v>
      </c>
      <c r="H642" t="s">
        <v>90</v>
      </c>
      <c r="I642" t="str">
        <f>INDEX(State!B:B,MATCH(OrdersTable[[#This Row],[State]],State!A:A,0))</f>
        <v>GA</v>
      </c>
      <c r="J642" t="str">
        <f>INDEX(State!C:C,MATCH(OrdersTable[[#This Row],[State Code]],State!B:B,0))</f>
        <v>West</v>
      </c>
      <c r="K642" t="s">
        <v>91</v>
      </c>
      <c r="L642" t="s">
        <v>39</v>
      </c>
      <c r="M642" t="s">
        <v>173</v>
      </c>
      <c r="N642" t="str">
        <f>INDEX(Products!B:B,MATCH(OrdersTable[[#This Row],[Product ID]],Products!A:A,0))</f>
        <v>Wireless Earbuds</v>
      </c>
      <c r="O642" t="str">
        <f>INDEX(Products!C:C,MATCH(OrdersTable[[#This Row],[Product ID]],Products!A:A,0))</f>
        <v>Electronics</v>
      </c>
      <c r="P642">
        <v>2</v>
      </c>
      <c r="Q642" s="5">
        <v>1999</v>
      </c>
      <c r="R642" s="74">
        <v>0.4</v>
      </c>
      <c r="S642" s="75">
        <f>OrdersTable[[#This Row],[Quantity]]*OrdersTable[[#This Row],[Unit Price]]</f>
        <v>3998</v>
      </c>
      <c r="T642" s="5">
        <f>OrdersTable[[#This Row],[Gross Sale]]*OrdersTable[[#This Row],[Discount_Clean2]]</f>
        <v>1599.2</v>
      </c>
      <c r="U642" s="5">
        <f>OrdersTable[[#This Row],[Gross Sale]]-OrdersTable[[#This Row],[Discount Amount]]</f>
        <v>2398.8000000000002</v>
      </c>
      <c r="V642" s="77">
        <f>INDEX(Products!E:E,MATCH(OrdersTable[[#This Row],[Product ID]],Products!A:A,0))</f>
        <v>1239</v>
      </c>
      <c r="W642" s="77">
        <f>OrdersTable[[#This Row],[Quantity]]*OrdersTable[[#This Row],[Unit Cost]]</f>
        <v>2478</v>
      </c>
      <c r="X642" s="77">
        <f>'Dropdown Lists'!$I$2*(1+OrdersTable[[#This Row],[Returned]])</f>
        <v>60</v>
      </c>
      <c r="Y642" s="76">
        <f>OrdersTable[[#This Row],[Net Revenue]]-OrdersTable[[#This Row],[COGS]]-OrdersTable[[#This Row],[Shipping Cost]]</f>
        <v>-139.19999999999982</v>
      </c>
      <c r="Z642" s="78">
        <f>IFERROR(OrdersTable[[#This Row],[Profit]]/OrdersTable[[#This Row],[Net Revenue]],0)</f>
        <v>-5.8029014507253548E-2</v>
      </c>
      <c r="AA642" t="s">
        <v>18</v>
      </c>
      <c r="AB642" s="79">
        <v>45428</v>
      </c>
      <c r="AC642">
        <f>OrdersTable[[#This Row],[Delivery Date]]-OrdersTable[[#This Row],[Order Date]]</f>
        <v>4</v>
      </c>
      <c r="AD642" t="str">
        <f>IF(OrdersTable[[#This Row],[Delivery Days]]&lt;=2, "Express (≤2d)", IF(OrdersTable[[#This Row],[Delivery Days]]&lt;=4, "Standard (3-4d)", "Delayed (5d+)"))</f>
        <v>Standard (3-4d)</v>
      </c>
      <c r="AE642">
        <v>4</v>
      </c>
      <c r="AF642">
        <v>0</v>
      </c>
    </row>
    <row r="643" spans="1:32" ht="15" x14ac:dyDescent="0.35">
      <c r="A643" t="s">
        <v>1853</v>
      </c>
      <c r="B643" s="1">
        <v>45424</v>
      </c>
      <c r="C643">
        <f>YEAR(OrdersTable[[#This Row],[Order Date]])</f>
        <v>2024</v>
      </c>
      <c r="D643" s="2">
        <f>DATE(YEAR(OrdersTable[[#This Row],[Order Date]]),MONTH(OrdersTable[[#This Row],[Order Date]]),1)</f>
        <v>45413</v>
      </c>
      <c r="E643">
        <f>MONTH(OrdersTable[[#This Row],[Order Date]])</f>
        <v>5</v>
      </c>
      <c r="F643" t="s">
        <v>1854</v>
      </c>
      <c r="G643" t="str">
        <f>IF(OrdersTable[[#This Row],[Order Date]]=_xlfn.MINIFS(Order_Date, Customer_ID, OrdersTable[[#This Row],[Customer ID]]), "New", "Repeat")</f>
        <v>Repeat</v>
      </c>
      <c r="H643" t="s">
        <v>167</v>
      </c>
      <c r="I643" t="str">
        <f>INDEX(State!B:B,MATCH(OrdersTable[[#This Row],[State]],State!A:A,0))</f>
        <v>KA</v>
      </c>
      <c r="J643" t="str">
        <f>INDEX(State!C:C,MATCH(OrdersTable[[#This Row],[State Code]],State!B:B,0))</f>
        <v>South</v>
      </c>
      <c r="K643" t="s">
        <v>190</v>
      </c>
      <c r="L643" t="s">
        <v>50</v>
      </c>
      <c r="M643" t="s">
        <v>106</v>
      </c>
      <c r="N643" t="str">
        <f>INDEX(Products!B:B,MATCH(OrdersTable[[#This Row],[Product ID]],Products!A:A,0))</f>
        <v>Keratin Hair Mask</v>
      </c>
      <c r="O643" t="str">
        <f>INDEX(Products!C:C,MATCH(OrdersTable[[#This Row],[Product ID]],Products!A:A,0))</f>
        <v>Haircare</v>
      </c>
      <c r="P643">
        <v>1</v>
      </c>
      <c r="Q643" s="5">
        <v>549</v>
      </c>
      <c r="R643" s="74">
        <v>0.15</v>
      </c>
      <c r="S643" s="75">
        <f>OrdersTable[[#This Row],[Quantity]]*OrdersTable[[#This Row],[Unit Price]]</f>
        <v>549</v>
      </c>
      <c r="T643" s="5">
        <f>OrdersTable[[#This Row],[Gross Sale]]*OrdersTable[[#This Row],[Discount_Clean2]]</f>
        <v>82.35</v>
      </c>
      <c r="U643" s="5">
        <f>OrdersTable[[#This Row],[Gross Sale]]-OrdersTable[[#This Row],[Discount Amount]]</f>
        <v>466.65</v>
      </c>
      <c r="V643" s="77">
        <f>INDEX(Products!E:E,MATCH(OrdersTable[[#This Row],[Product ID]],Products!A:A,0))</f>
        <v>170</v>
      </c>
      <c r="W643" s="77">
        <f>OrdersTable[[#This Row],[Quantity]]*OrdersTable[[#This Row],[Unit Cost]]</f>
        <v>170</v>
      </c>
      <c r="X643" s="77">
        <f>'Dropdown Lists'!$I$2*(1+OrdersTable[[#This Row],[Returned]])</f>
        <v>60</v>
      </c>
      <c r="Y643" s="76">
        <f>OrdersTable[[#This Row],[Net Revenue]]-OrdersTable[[#This Row],[COGS]]-OrdersTable[[#This Row],[Shipping Cost]]</f>
        <v>236.64999999999998</v>
      </c>
      <c r="Z643" s="78">
        <f>IFERROR(OrdersTable[[#This Row],[Profit]]/OrdersTable[[#This Row],[Net Revenue]],0)</f>
        <v>0.50712525447337398</v>
      </c>
      <c r="AA643" t="s">
        <v>18</v>
      </c>
      <c r="AB643" s="79">
        <v>45426</v>
      </c>
      <c r="AC643">
        <f>OrdersTable[[#This Row],[Delivery Date]]-OrdersTable[[#This Row],[Order Date]]</f>
        <v>2</v>
      </c>
      <c r="AD643" t="str">
        <f>IF(OrdersTable[[#This Row],[Delivery Days]]&lt;=2, "Express (≤2d)", IF(OrdersTable[[#This Row],[Delivery Days]]&lt;=4, "Standard (3-4d)", "Delayed (5d+)"))</f>
        <v>Express (≤2d)</v>
      </c>
      <c r="AE643">
        <v>3</v>
      </c>
      <c r="AF643">
        <v>0</v>
      </c>
    </row>
    <row r="644" spans="1:32" ht="15" x14ac:dyDescent="0.35">
      <c r="A644" t="s">
        <v>1344</v>
      </c>
      <c r="B644" s="1">
        <v>45424</v>
      </c>
      <c r="C644">
        <f>YEAR(OrdersTable[[#This Row],[Order Date]])</f>
        <v>2024</v>
      </c>
      <c r="D644" s="2">
        <f>DATE(YEAR(OrdersTable[[#This Row],[Order Date]]),MONTH(OrdersTable[[#This Row],[Order Date]]),1)</f>
        <v>45413</v>
      </c>
      <c r="E644">
        <f>MONTH(OrdersTable[[#This Row],[Order Date]])</f>
        <v>5</v>
      </c>
      <c r="F644" t="s">
        <v>1345</v>
      </c>
      <c r="G644" t="str">
        <f>IF(OrdersTable[[#This Row],[Order Date]]=_xlfn.MINIFS(Order_Date, Customer_ID, OrdersTable[[#This Row],[Customer ID]]), "New", "Repeat")</f>
        <v>New</v>
      </c>
      <c r="H644" t="s">
        <v>59</v>
      </c>
      <c r="I644" t="str">
        <f>INDEX(State!B:B,MATCH(OrdersTable[[#This Row],[State]],State!A:A,0))</f>
        <v>TN</v>
      </c>
      <c r="J644" t="str">
        <f>INDEX(State!C:C,MATCH(OrdersTable[[#This Row],[State Code]],State!B:B,0))</f>
        <v>South</v>
      </c>
      <c r="K644" t="s">
        <v>64</v>
      </c>
      <c r="L644" t="s">
        <v>23</v>
      </c>
      <c r="M644" t="s">
        <v>152</v>
      </c>
      <c r="N644" t="str">
        <f>INDEX(Products!B:B,MATCH(OrdersTable[[#This Row],[Product ID]],Products!A:A,0))</f>
        <v>Green Tea (100 bags)</v>
      </c>
      <c r="O644" t="str">
        <f>INDEX(Products!C:C,MATCH(OrdersTable[[#This Row],[Product ID]],Products!A:A,0))</f>
        <v>Wellness</v>
      </c>
      <c r="P644">
        <v>1</v>
      </c>
      <c r="Q644" s="5">
        <v>399</v>
      </c>
      <c r="R644" s="74">
        <v>0.35</v>
      </c>
      <c r="S644" s="75">
        <f>OrdersTable[[#This Row],[Quantity]]*OrdersTable[[#This Row],[Unit Price]]</f>
        <v>399</v>
      </c>
      <c r="T644" s="5">
        <f>OrdersTable[[#This Row],[Gross Sale]]*OrdersTable[[#This Row],[Discount_Clean2]]</f>
        <v>139.64999999999998</v>
      </c>
      <c r="U644" s="5">
        <f>OrdersTable[[#This Row],[Gross Sale]]-OrdersTable[[#This Row],[Discount Amount]]</f>
        <v>259.35000000000002</v>
      </c>
      <c r="V644" s="77">
        <f>INDEX(Products!E:E,MATCH(OrdersTable[[#This Row],[Product ID]],Products!A:A,0))</f>
        <v>128</v>
      </c>
      <c r="W644" s="77">
        <f>OrdersTable[[#This Row],[Quantity]]*OrdersTable[[#This Row],[Unit Cost]]</f>
        <v>128</v>
      </c>
      <c r="X644" s="77">
        <f>'Dropdown Lists'!$I$2*(1+OrdersTable[[#This Row],[Returned]])</f>
        <v>60</v>
      </c>
      <c r="Y644" s="76">
        <f>OrdersTable[[#This Row],[Net Revenue]]-OrdersTable[[#This Row],[COGS]]-OrdersTable[[#This Row],[Shipping Cost]]</f>
        <v>71.350000000000023</v>
      </c>
      <c r="Z644" s="78">
        <f>IFERROR(OrdersTable[[#This Row],[Profit]]/OrdersTable[[#This Row],[Net Revenue]],0)</f>
        <v>0.27511085405822255</v>
      </c>
      <c r="AA644" t="s">
        <v>18</v>
      </c>
      <c r="AB644" s="79">
        <v>45427</v>
      </c>
      <c r="AC644">
        <f>OrdersTable[[#This Row],[Delivery Date]]-OrdersTable[[#This Row],[Order Date]]</f>
        <v>3</v>
      </c>
      <c r="AD644" t="str">
        <f>IF(OrdersTable[[#This Row],[Delivery Days]]&lt;=2, "Express (≤2d)", IF(OrdersTable[[#This Row],[Delivery Days]]&lt;=4, "Standard (3-4d)", "Delayed (5d+)"))</f>
        <v>Standard (3-4d)</v>
      </c>
      <c r="AF644">
        <v>0</v>
      </c>
    </row>
    <row r="645" spans="1:32" ht="15" x14ac:dyDescent="0.35">
      <c r="A645" t="s">
        <v>2078</v>
      </c>
      <c r="B645" s="1">
        <v>45425</v>
      </c>
      <c r="C645">
        <f>YEAR(OrdersTable[[#This Row],[Order Date]])</f>
        <v>2024</v>
      </c>
      <c r="D645" s="2">
        <f>DATE(YEAR(OrdersTable[[#This Row],[Order Date]]),MONTH(OrdersTable[[#This Row],[Order Date]]),1)</f>
        <v>45413</v>
      </c>
      <c r="E645">
        <f>MONTH(OrdersTable[[#This Row],[Order Date]])</f>
        <v>5</v>
      </c>
      <c r="F645" t="s">
        <v>2079</v>
      </c>
      <c r="G645" t="str">
        <f>IF(OrdersTable[[#This Row],[Order Date]]=_xlfn.MINIFS(Order_Date, Customer_ID, OrdersTable[[#This Row],[Customer ID]]), "New", "Repeat")</f>
        <v>New</v>
      </c>
      <c r="H645" t="s">
        <v>210</v>
      </c>
      <c r="I645" t="str">
        <f>INDEX(State!B:B,MATCH(OrdersTable[[#This Row],[State]],State!A:A,0))</f>
        <v>JK</v>
      </c>
      <c r="J645" t="str">
        <f>INDEX(State!C:C,MATCH(OrdersTable[[#This Row],[State Code]],State!B:B,0))</f>
        <v>North</v>
      </c>
      <c r="K645" t="s">
        <v>211</v>
      </c>
      <c r="L645" t="s">
        <v>65</v>
      </c>
      <c r="M645" t="s">
        <v>160</v>
      </c>
      <c r="N645" t="str">
        <f>INDEX(Products!B:B,MATCH(OrdersTable[[#This Row],[Product ID]],Products!A:A,0))</f>
        <v>Niacinamide Toner</v>
      </c>
      <c r="O645" t="str">
        <f>INDEX(Products!C:C,MATCH(OrdersTable[[#This Row],[Product ID]],Products!A:A,0))</f>
        <v>Skincare</v>
      </c>
      <c r="P645">
        <v>1</v>
      </c>
      <c r="Q645" s="5">
        <v>399</v>
      </c>
      <c r="R645" s="74">
        <v>0.25</v>
      </c>
      <c r="S645" s="75">
        <f>OrdersTable[[#This Row],[Quantity]]*OrdersTable[[#This Row],[Unit Price]]</f>
        <v>399</v>
      </c>
      <c r="T645" s="5">
        <f>OrdersTable[[#This Row],[Gross Sale]]*OrdersTable[[#This Row],[Discount_Clean2]]</f>
        <v>99.75</v>
      </c>
      <c r="U645" s="5">
        <f>OrdersTable[[#This Row],[Gross Sale]]-OrdersTable[[#This Row],[Discount Amount]]</f>
        <v>299.25</v>
      </c>
      <c r="V645" s="77">
        <f>INDEX(Products!E:E,MATCH(OrdersTable[[#This Row],[Product ID]],Products!A:A,0))</f>
        <v>112</v>
      </c>
      <c r="W645" s="77">
        <f>OrdersTable[[#This Row],[Quantity]]*OrdersTable[[#This Row],[Unit Cost]]</f>
        <v>112</v>
      </c>
      <c r="X645" s="77">
        <f>'Dropdown Lists'!$I$2*(1+OrdersTable[[#This Row],[Returned]])</f>
        <v>60</v>
      </c>
      <c r="Y645" s="76">
        <f>OrdersTable[[#This Row],[Net Revenue]]-OrdersTable[[#This Row],[COGS]]-OrdersTable[[#This Row],[Shipping Cost]]</f>
        <v>127.25</v>
      </c>
      <c r="Z645" s="78">
        <f>IFERROR(OrdersTable[[#This Row],[Profit]]/OrdersTable[[#This Row],[Net Revenue]],0)</f>
        <v>0.42522974101921468</v>
      </c>
      <c r="AA645" t="s">
        <v>18</v>
      </c>
      <c r="AB645" s="79">
        <v>45432</v>
      </c>
      <c r="AC645">
        <f>OrdersTable[[#This Row],[Delivery Date]]-OrdersTable[[#This Row],[Order Date]]</f>
        <v>7</v>
      </c>
      <c r="AD645" t="str">
        <f>IF(OrdersTable[[#This Row],[Delivery Days]]&lt;=2, "Express (≤2d)", IF(OrdersTable[[#This Row],[Delivery Days]]&lt;=4, "Standard (3-4d)", "Delayed (5d+)"))</f>
        <v>Delayed (5d+)</v>
      </c>
      <c r="AE645">
        <v>3</v>
      </c>
      <c r="AF645">
        <v>0</v>
      </c>
    </row>
    <row r="646" spans="1:32" ht="15" x14ac:dyDescent="0.35">
      <c r="A646" t="s">
        <v>3971</v>
      </c>
      <c r="B646" s="1">
        <v>45425</v>
      </c>
      <c r="C646">
        <f>YEAR(OrdersTable[[#This Row],[Order Date]])</f>
        <v>2024</v>
      </c>
      <c r="D646" s="2">
        <f>DATE(YEAR(OrdersTable[[#This Row],[Order Date]]),MONTH(OrdersTable[[#This Row],[Order Date]]),1)</f>
        <v>45413</v>
      </c>
      <c r="E646">
        <f>MONTH(OrdersTable[[#This Row],[Order Date]])</f>
        <v>5</v>
      </c>
      <c r="F646" t="s">
        <v>2349</v>
      </c>
      <c r="G646" t="str">
        <f>IF(OrdersTable[[#This Row],[Order Date]]=_xlfn.MINIFS(Order_Date, Customer_ID, OrdersTable[[#This Row],[Customer ID]]), "New", "Repeat")</f>
        <v>New</v>
      </c>
      <c r="H646" t="s">
        <v>21</v>
      </c>
      <c r="I646" t="str">
        <f>INDEX(State!B:B,MATCH(OrdersTable[[#This Row],[State]],State!A:A,0))</f>
        <v>PB</v>
      </c>
      <c r="J646" t="str">
        <f>INDEX(State!C:C,MATCH(OrdersTable[[#This Row],[State Code]],State!B:B,0))</f>
        <v>North</v>
      </c>
      <c r="K646" t="s">
        <v>22</v>
      </c>
      <c r="L646" t="s">
        <v>39</v>
      </c>
      <c r="M646" t="s">
        <v>66</v>
      </c>
      <c r="N646" t="str">
        <f>INDEX(Products!B:B,MATCH(OrdersTable[[#This Row],[Product ID]],Products!A:A,0))</f>
        <v>Sunscreen SPF 50</v>
      </c>
      <c r="O646" t="str">
        <f>INDEX(Products!C:C,MATCH(OrdersTable[[#This Row],[Product ID]],Products!A:A,0))</f>
        <v>Skincare</v>
      </c>
      <c r="P646">
        <v>1</v>
      </c>
      <c r="Q646" s="5">
        <v>449</v>
      </c>
      <c r="R646" s="74">
        <v>0</v>
      </c>
      <c r="S646" s="75">
        <f>OrdersTable[[#This Row],[Quantity]]*OrdersTable[[#This Row],[Unit Price]]</f>
        <v>449</v>
      </c>
      <c r="T646" s="5">
        <f>OrdersTable[[#This Row],[Gross Sale]]*OrdersTable[[#This Row],[Discount_Clean2]]</f>
        <v>0</v>
      </c>
      <c r="U646" s="5">
        <f>OrdersTable[[#This Row],[Gross Sale]]-OrdersTable[[#This Row],[Discount Amount]]</f>
        <v>449</v>
      </c>
      <c r="V646" s="77">
        <f>INDEX(Products!E:E,MATCH(OrdersTable[[#This Row],[Product ID]],Products!A:A,0))</f>
        <v>144</v>
      </c>
      <c r="W646" s="77">
        <f>OrdersTable[[#This Row],[Quantity]]*OrdersTable[[#This Row],[Unit Cost]]</f>
        <v>144</v>
      </c>
      <c r="X646" s="77">
        <f>'Dropdown Lists'!$I$2*(1+OrdersTable[[#This Row],[Returned]])</f>
        <v>60</v>
      </c>
      <c r="Y646" s="76">
        <f>OrdersTable[[#This Row],[Net Revenue]]-OrdersTable[[#This Row],[COGS]]-OrdersTable[[#This Row],[Shipping Cost]]</f>
        <v>245</v>
      </c>
      <c r="Z646" s="78">
        <f>IFERROR(OrdersTable[[#This Row],[Profit]]/OrdersTable[[#This Row],[Net Revenue]],0)</f>
        <v>0.54565701559020041</v>
      </c>
      <c r="AA646" t="s">
        <v>3495</v>
      </c>
      <c r="AB646" s="79">
        <v>45428</v>
      </c>
      <c r="AC646">
        <f>OrdersTable[[#This Row],[Delivery Date]]-OrdersTable[[#This Row],[Order Date]]</f>
        <v>3</v>
      </c>
      <c r="AD646" t="str">
        <f>IF(OrdersTable[[#This Row],[Delivery Days]]&lt;=2, "Express (≤2d)", IF(OrdersTable[[#This Row],[Delivery Days]]&lt;=4, "Standard (3-4d)", "Delayed (5d+)"))</f>
        <v>Standard (3-4d)</v>
      </c>
      <c r="AE646">
        <v>5</v>
      </c>
      <c r="AF646">
        <v>0</v>
      </c>
    </row>
    <row r="647" spans="1:32" ht="15" x14ac:dyDescent="0.35">
      <c r="A647" t="s">
        <v>4088</v>
      </c>
      <c r="B647" s="1">
        <v>45425</v>
      </c>
      <c r="C647">
        <f>YEAR(OrdersTable[[#This Row],[Order Date]])</f>
        <v>2024</v>
      </c>
      <c r="D647" s="2">
        <f>DATE(YEAR(OrdersTable[[#This Row],[Order Date]]),MONTH(OrdersTable[[#This Row],[Order Date]]),1)</f>
        <v>45413</v>
      </c>
      <c r="E647">
        <f>MONTH(OrdersTable[[#This Row],[Order Date]])</f>
        <v>5</v>
      </c>
      <c r="F647" t="s">
        <v>756</v>
      </c>
      <c r="G647" t="str">
        <f>IF(OrdersTable[[#This Row],[Order Date]]=_xlfn.MINIFS(Order_Date, Customer_ID, OrdersTable[[#This Row],[Customer ID]]), "New", "Repeat")</f>
        <v>New</v>
      </c>
      <c r="H647" t="s">
        <v>27</v>
      </c>
      <c r="I647" t="str">
        <f>INDEX(State!B:B,MATCH(OrdersTable[[#This Row],[State]],State!A:A,0))</f>
        <v>WB</v>
      </c>
      <c r="J647" t="str">
        <f>INDEX(State!C:C,MATCH(OrdersTable[[#This Row],[State Code]],State!B:B,0))</f>
        <v>East</v>
      </c>
      <c r="K647" t="s">
        <v>28</v>
      </c>
      <c r="L647" t="s">
        <v>39</v>
      </c>
      <c r="M647" t="s">
        <v>148</v>
      </c>
      <c r="N647" t="str">
        <f>INDEX(Products!B:B,MATCH(OrdersTable[[#This Row],[Product ID]],Products!A:A,0))</f>
        <v>Smartwatch Strap</v>
      </c>
      <c r="O647" t="str">
        <f>INDEX(Products!C:C,MATCH(OrdersTable[[#This Row],[Product ID]],Products!A:A,0))</f>
        <v>Electronics</v>
      </c>
      <c r="P647">
        <v>1</v>
      </c>
      <c r="Q647" s="5">
        <v>499</v>
      </c>
      <c r="R647" s="74">
        <v>0.05</v>
      </c>
      <c r="S647" s="75">
        <f>OrdersTable[[#This Row],[Quantity]]*OrdersTable[[#This Row],[Unit Price]]</f>
        <v>499</v>
      </c>
      <c r="T647" s="5">
        <f>OrdersTable[[#This Row],[Gross Sale]]*OrdersTable[[#This Row],[Discount_Clean2]]</f>
        <v>24.950000000000003</v>
      </c>
      <c r="U647" s="5">
        <f>OrdersTable[[#This Row],[Gross Sale]]-OrdersTable[[#This Row],[Discount Amount]]</f>
        <v>474.05</v>
      </c>
      <c r="V647" s="77">
        <f>INDEX(Products!E:E,MATCH(OrdersTable[[#This Row],[Product ID]],Products!A:A,0))</f>
        <v>200</v>
      </c>
      <c r="W647" s="77">
        <f>OrdersTable[[#This Row],[Quantity]]*OrdersTable[[#This Row],[Unit Cost]]</f>
        <v>200</v>
      </c>
      <c r="X647" s="77">
        <f>'Dropdown Lists'!$I$2*(1+OrdersTable[[#This Row],[Returned]])</f>
        <v>60</v>
      </c>
      <c r="Y647" s="76">
        <f>OrdersTable[[#This Row],[Net Revenue]]-OrdersTable[[#This Row],[COGS]]-OrdersTable[[#This Row],[Shipping Cost]]</f>
        <v>214.05</v>
      </c>
      <c r="Z647" s="78">
        <f>IFERROR(OrdersTable[[#This Row],[Profit]]/OrdersTable[[#This Row],[Net Revenue]],0)</f>
        <v>0.45153464824385614</v>
      </c>
      <c r="AA647" t="s">
        <v>4074</v>
      </c>
      <c r="AB647" s="79">
        <v>45428</v>
      </c>
      <c r="AC647">
        <f>OrdersTable[[#This Row],[Delivery Date]]-OrdersTable[[#This Row],[Order Date]]</f>
        <v>3</v>
      </c>
      <c r="AD647" t="str">
        <f>IF(OrdersTable[[#This Row],[Delivery Days]]&lt;=2, "Express (≤2d)", IF(OrdersTable[[#This Row],[Delivery Days]]&lt;=4, "Standard (3-4d)", "Delayed (5d+)"))</f>
        <v>Standard (3-4d)</v>
      </c>
      <c r="AE647">
        <v>5</v>
      </c>
      <c r="AF647">
        <v>0</v>
      </c>
    </row>
    <row r="648" spans="1:32" ht="15" x14ac:dyDescent="0.35">
      <c r="A648" t="s">
        <v>6060</v>
      </c>
      <c r="B648" s="1">
        <v>45425</v>
      </c>
      <c r="C648">
        <f>YEAR(OrdersTable[[#This Row],[Order Date]])</f>
        <v>2024</v>
      </c>
      <c r="D648" s="2">
        <f>DATE(YEAR(OrdersTable[[#This Row],[Order Date]]),MONTH(OrdersTable[[#This Row],[Order Date]]),1)</f>
        <v>45413</v>
      </c>
      <c r="E648">
        <f>MONTH(OrdersTable[[#This Row],[Order Date]])</f>
        <v>5</v>
      </c>
      <c r="F648" t="s">
        <v>1525</v>
      </c>
      <c r="G648" t="str">
        <f>IF(OrdersTable[[#This Row],[Order Date]]=_xlfn.MINIFS(Order_Date, Customer_ID, OrdersTable[[#This Row],[Customer ID]]), "New", "Repeat")</f>
        <v>New</v>
      </c>
      <c r="H648" t="s">
        <v>71</v>
      </c>
      <c r="I648" t="str">
        <f>INDEX(State!B:B,MATCH(OrdersTable[[#This Row],[State]],State!A:A,0))</f>
        <v>MH</v>
      </c>
      <c r="J648" t="str">
        <f>INDEX(State!C:C,MATCH(OrdersTable[[#This Row],[State Code]],State!B:B,0))</f>
        <v>West</v>
      </c>
      <c r="K648" t="s">
        <v>81</v>
      </c>
      <c r="L648" t="s">
        <v>65</v>
      </c>
      <c r="M648" t="s">
        <v>87</v>
      </c>
      <c r="N648" t="str">
        <f>INDEX(Products!B:B,MATCH(OrdersTable[[#This Row],[Product ID]],Products!A:A,0))</f>
        <v>Linen Kurta</v>
      </c>
      <c r="O648" t="str">
        <f>INDEX(Products!C:C,MATCH(OrdersTable[[#This Row],[Product ID]],Products!A:A,0))</f>
        <v>Apparel</v>
      </c>
      <c r="P648">
        <v>2</v>
      </c>
      <c r="Q648" s="5">
        <v>1499</v>
      </c>
      <c r="R648" s="74">
        <v>0.35</v>
      </c>
      <c r="S648" s="75">
        <f>OrdersTable[[#This Row],[Quantity]]*OrdersTable[[#This Row],[Unit Price]]</f>
        <v>2998</v>
      </c>
      <c r="T648" s="5">
        <f>OrdersTable[[#This Row],[Gross Sale]]*OrdersTable[[#This Row],[Discount_Clean2]]</f>
        <v>1049.3</v>
      </c>
      <c r="U648" s="5">
        <f>OrdersTable[[#This Row],[Gross Sale]]-OrdersTable[[#This Row],[Discount Amount]]</f>
        <v>1948.7</v>
      </c>
      <c r="V648" s="77">
        <f>INDEX(Products!E:E,MATCH(OrdersTable[[#This Row],[Product ID]],Products!A:A,0))</f>
        <v>630</v>
      </c>
      <c r="W648" s="77">
        <f>OrdersTable[[#This Row],[Quantity]]*OrdersTable[[#This Row],[Unit Cost]]</f>
        <v>1260</v>
      </c>
      <c r="X648" s="77">
        <f>'Dropdown Lists'!$I$2*(1+OrdersTable[[#This Row],[Returned]])</f>
        <v>60</v>
      </c>
      <c r="Y648" s="76">
        <f>OrdersTable[[#This Row],[Net Revenue]]-OrdersTable[[#This Row],[COGS]]-OrdersTable[[#This Row],[Shipping Cost]]</f>
        <v>628.70000000000005</v>
      </c>
      <c r="Z648" s="78">
        <f>IFERROR(OrdersTable[[#This Row],[Profit]]/OrdersTable[[#This Row],[Net Revenue]],0)</f>
        <v>0.32262533997023657</v>
      </c>
      <c r="AA648" t="s">
        <v>18</v>
      </c>
      <c r="AB648" s="79">
        <v>45426</v>
      </c>
      <c r="AC648">
        <f>OrdersTable[[#This Row],[Delivery Date]]-OrdersTable[[#This Row],[Order Date]]</f>
        <v>1</v>
      </c>
      <c r="AD648" t="str">
        <f>IF(OrdersTable[[#This Row],[Delivery Days]]&lt;=2, "Express (≤2d)", IF(OrdersTable[[#This Row],[Delivery Days]]&lt;=4, "Standard (3-4d)", "Delayed (5d+)"))</f>
        <v>Express (≤2d)</v>
      </c>
      <c r="AE648">
        <v>4</v>
      </c>
      <c r="AF648">
        <v>0</v>
      </c>
    </row>
    <row r="649" spans="1:32" ht="15" x14ac:dyDescent="0.35">
      <c r="A649" t="s">
        <v>3526</v>
      </c>
      <c r="B649" s="1">
        <v>45425</v>
      </c>
      <c r="C649">
        <f>YEAR(OrdersTable[[#This Row],[Order Date]])</f>
        <v>2024</v>
      </c>
      <c r="D649" s="2">
        <f>DATE(YEAR(OrdersTable[[#This Row],[Order Date]]),MONTH(OrdersTable[[#This Row],[Order Date]]),1)</f>
        <v>45413</v>
      </c>
      <c r="E649">
        <f>MONTH(OrdersTable[[#This Row],[Order Date]])</f>
        <v>5</v>
      </c>
      <c r="F649" t="s">
        <v>1525</v>
      </c>
      <c r="G649" t="str">
        <f>IF(OrdersTable[[#This Row],[Order Date]]=_xlfn.MINIFS(Order_Date, Customer_ID, OrdersTable[[#This Row],[Customer ID]]), "New", "Repeat")</f>
        <v>New</v>
      </c>
      <c r="H649" t="s">
        <v>95</v>
      </c>
      <c r="I649" t="str">
        <f>INDEX(State!B:B,MATCH(OrdersTable[[#This Row],[State]],State!A:A,0))</f>
        <v>TG</v>
      </c>
      <c r="J649" t="str">
        <f>INDEX(State!C:C,MATCH(OrdersTable[[#This Row],[State Code]],State!B:B,0))</f>
        <v>South</v>
      </c>
      <c r="K649" t="s">
        <v>96</v>
      </c>
      <c r="L649" t="s">
        <v>65</v>
      </c>
      <c r="M649" t="s">
        <v>40</v>
      </c>
      <c r="N649" t="str">
        <f>INDEX(Products!B:B,MATCH(OrdersTable[[#This Row],[Product ID]],Products!A:A,0))</f>
        <v>Ashwagandha Capsules</v>
      </c>
      <c r="O649" t="str">
        <f>INDEX(Products!C:C,MATCH(OrdersTable[[#This Row],[Product ID]],Products!A:A,0))</f>
        <v>Wellness</v>
      </c>
      <c r="P649">
        <v>1</v>
      </c>
      <c r="Q649" s="5">
        <v>499</v>
      </c>
      <c r="R649" s="74">
        <v>0.1</v>
      </c>
      <c r="S649" s="75">
        <f>OrdersTable[[#This Row],[Quantity]]*OrdersTable[[#This Row],[Unit Price]]</f>
        <v>499</v>
      </c>
      <c r="T649" s="5">
        <f>OrdersTable[[#This Row],[Gross Sale]]*OrdersTable[[#This Row],[Discount_Clean2]]</f>
        <v>49.900000000000006</v>
      </c>
      <c r="U649" s="5">
        <f>OrdersTable[[#This Row],[Gross Sale]]-OrdersTable[[#This Row],[Discount Amount]]</f>
        <v>449.1</v>
      </c>
      <c r="V649" s="77">
        <f>INDEX(Products!E:E,MATCH(OrdersTable[[#This Row],[Product ID]],Products!A:A,0))</f>
        <v>150</v>
      </c>
      <c r="W649" s="77">
        <f>OrdersTable[[#This Row],[Quantity]]*OrdersTable[[#This Row],[Unit Cost]]</f>
        <v>150</v>
      </c>
      <c r="X649" s="77">
        <f>'Dropdown Lists'!$I$2*(1+OrdersTable[[#This Row],[Returned]])</f>
        <v>60</v>
      </c>
      <c r="Y649" s="76">
        <f>OrdersTable[[#This Row],[Net Revenue]]-OrdersTable[[#This Row],[COGS]]-OrdersTable[[#This Row],[Shipping Cost]]</f>
        <v>239.10000000000002</v>
      </c>
      <c r="Z649" s="78">
        <f>IFERROR(OrdersTable[[#This Row],[Profit]]/OrdersTable[[#This Row],[Net Revenue]],0)</f>
        <v>0.53239812959251842</v>
      </c>
      <c r="AA649" t="s">
        <v>3495</v>
      </c>
      <c r="AB649" s="79">
        <v>45429</v>
      </c>
      <c r="AC649">
        <f>OrdersTable[[#This Row],[Delivery Date]]-OrdersTable[[#This Row],[Order Date]]</f>
        <v>4</v>
      </c>
      <c r="AD649" t="str">
        <f>IF(OrdersTable[[#This Row],[Delivery Days]]&lt;=2, "Express (≤2d)", IF(OrdersTable[[#This Row],[Delivery Days]]&lt;=4, "Standard (3-4d)", "Delayed (5d+)"))</f>
        <v>Standard (3-4d)</v>
      </c>
      <c r="AE649">
        <v>4</v>
      </c>
      <c r="AF649">
        <v>0</v>
      </c>
    </row>
    <row r="650" spans="1:32" ht="15" x14ac:dyDescent="0.35">
      <c r="A650" t="s">
        <v>2905</v>
      </c>
      <c r="B650" s="1">
        <v>45425</v>
      </c>
      <c r="C650">
        <f>YEAR(OrdersTable[[#This Row],[Order Date]])</f>
        <v>2024</v>
      </c>
      <c r="D650" s="2">
        <f>DATE(YEAR(OrdersTable[[#This Row],[Order Date]]),MONTH(OrdersTable[[#This Row],[Order Date]]),1)</f>
        <v>45413</v>
      </c>
      <c r="E650">
        <f>MONTH(OrdersTable[[#This Row],[Order Date]])</f>
        <v>5</v>
      </c>
      <c r="F650" t="s">
        <v>2906</v>
      </c>
      <c r="G650" t="str">
        <f>IF(OrdersTable[[#This Row],[Order Date]]=_xlfn.MINIFS(Order_Date, Customer_ID, OrdersTable[[#This Row],[Customer ID]]), "New", "Repeat")</f>
        <v>New</v>
      </c>
      <c r="H650" t="s">
        <v>167</v>
      </c>
      <c r="I650" t="str">
        <f>INDEX(State!B:B,MATCH(OrdersTable[[#This Row],[State]],State!A:A,0))</f>
        <v>KA</v>
      </c>
      <c r="J650" t="str">
        <f>INDEX(State!C:C,MATCH(OrdersTable[[#This Row],[State Code]],State!B:B,0))</f>
        <v>South</v>
      </c>
      <c r="K650" t="s">
        <v>190</v>
      </c>
      <c r="L650" t="s">
        <v>23</v>
      </c>
      <c r="M650" t="s">
        <v>17</v>
      </c>
      <c r="N650" t="str">
        <f>INDEX(Products!B:B,MATCH(OrdersTable[[#This Row],[Product ID]],Products!A:A,0))</f>
        <v>Casual Sneakers</v>
      </c>
      <c r="O650" t="str">
        <f>INDEX(Products!C:C,MATCH(OrdersTable[[#This Row],[Product ID]],Products!A:A,0))</f>
        <v>Footwear</v>
      </c>
      <c r="P650">
        <v>1</v>
      </c>
      <c r="Q650" s="5">
        <v>2199</v>
      </c>
      <c r="R650" s="74">
        <v>0.3</v>
      </c>
      <c r="S650" s="75">
        <f>OrdersTable[[#This Row],[Quantity]]*OrdersTable[[#This Row],[Unit Price]]</f>
        <v>2199</v>
      </c>
      <c r="T650" s="5">
        <f>OrdersTable[[#This Row],[Gross Sale]]*OrdersTable[[#This Row],[Discount_Clean2]]</f>
        <v>659.69999999999993</v>
      </c>
      <c r="U650" s="5">
        <f>OrdersTable[[#This Row],[Gross Sale]]-OrdersTable[[#This Row],[Discount Amount]]</f>
        <v>1539.3000000000002</v>
      </c>
      <c r="V650" s="77">
        <f>INDEX(Products!E:E,MATCH(OrdersTable[[#This Row],[Product ID]],Products!A:A,0))</f>
        <v>1034</v>
      </c>
      <c r="W650" s="77">
        <f>OrdersTable[[#This Row],[Quantity]]*OrdersTable[[#This Row],[Unit Cost]]</f>
        <v>1034</v>
      </c>
      <c r="X650" s="77">
        <f>'Dropdown Lists'!$I$2*(1+OrdersTable[[#This Row],[Returned]])</f>
        <v>60</v>
      </c>
      <c r="Y650" s="76">
        <f>OrdersTable[[#This Row],[Net Revenue]]-OrdersTable[[#This Row],[COGS]]-OrdersTable[[#This Row],[Shipping Cost]]</f>
        <v>445.30000000000018</v>
      </c>
      <c r="Z650" s="78">
        <f>IFERROR(OrdersTable[[#This Row],[Profit]]/OrdersTable[[#This Row],[Net Revenue]],0)</f>
        <v>0.28928733840057175</v>
      </c>
      <c r="AA650" t="s">
        <v>2522</v>
      </c>
      <c r="AB650" s="79">
        <v>45428</v>
      </c>
      <c r="AC650">
        <f>OrdersTable[[#This Row],[Delivery Date]]-OrdersTable[[#This Row],[Order Date]]</f>
        <v>3</v>
      </c>
      <c r="AD650" t="str">
        <f>IF(OrdersTable[[#This Row],[Delivery Days]]&lt;=2, "Express (≤2d)", IF(OrdersTable[[#This Row],[Delivery Days]]&lt;=4, "Standard (3-4d)", "Delayed (5d+)"))</f>
        <v>Standard (3-4d)</v>
      </c>
      <c r="AF650">
        <v>0</v>
      </c>
    </row>
    <row r="651" spans="1:32" ht="15" x14ac:dyDescent="0.35">
      <c r="A651" t="s">
        <v>6485</v>
      </c>
      <c r="B651" s="1">
        <v>45426</v>
      </c>
      <c r="C651">
        <f>YEAR(OrdersTable[[#This Row],[Order Date]])</f>
        <v>2024</v>
      </c>
      <c r="D651" s="2">
        <f>DATE(YEAR(OrdersTable[[#This Row],[Order Date]]),MONTH(OrdersTable[[#This Row],[Order Date]]),1)</f>
        <v>45413</v>
      </c>
      <c r="E651">
        <f>MONTH(OrdersTable[[#This Row],[Order Date]])</f>
        <v>5</v>
      </c>
      <c r="F651" t="s">
        <v>3663</v>
      </c>
      <c r="G651" t="str">
        <f>IF(OrdersTable[[#This Row],[Order Date]]=_xlfn.MINIFS(Order_Date, Customer_ID, OrdersTable[[#This Row],[Customer ID]]), "New", "Repeat")</f>
        <v>New</v>
      </c>
      <c r="H651" t="s">
        <v>71</v>
      </c>
      <c r="I651" t="str">
        <f>INDEX(State!B:B,MATCH(OrdersTable[[#This Row],[State]],State!A:A,0))</f>
        <v>MH</v>
      </c>
      <c r="J651" t="str">
        <f>INDEX(State!C:C,MATCH(OrdersTable[[#This Row],[State Code]],State!B:B,0))</f>
        <v>West</v>
      </c>
      <c r="K651" t="s">
        <v>81</v>
      </c>
      <c r="L651" t="s">
        <v>23</v>
      </c>
      <c r="M651" t="s">
        <v>109</v>
      </c>
      <c r="N651" t="str">
        <f>INDEX(Products!B:B,MATCH(OrdersTable[[#This Row],[Product ID]],Products!A:A,0))</f>
        <v>Onion Hair Oil</v>
      </c>
      <c r="O651" t="str">
        <f>INDEX(Products!C:C,MATCH(OrdersTable[[#This Row],[Product ID]],Products!A:A,0))</f>
        <v>Haircare</v>
      </c>
      <c r="P651">
        <v>3</v>
      </c>
      <c r="Q651" s="5">
        <v>349</v>
      </c>
      <c r="R651" s="74">
        <v>0.35</v>
      </c>
      <c r="S651" s="75">
        <f>OrdersTable[[#This Row],[Quantity]]*OrdersTable[[#This Row],[Unit Price]]</f>
        <v>1047</v>
      </c>
      <c r="T651" s="5">
        <f>OrdersTable[[#This Row],[Gross Sale]]*OrdersTable[[#This Row],[Discount_Clean2]]</f>
        <v>366.45</v>
      </c>
      <c r="U651" s="5">
        <f>OrdersTable[[#This Row],[Gross Sale]]-OrdersTable[[#This Row],[Discount Amount]]</f>
        <v>680.55</v>
      </c>
      <c r="V651" s="77">
        <f>INDEX(Products!E:E,MATCH(OrdersTable[[#This Row],[Product ID]],Products!A:A,0))</f>
        <v>105</v>
      </c>
      <c r="W651" s="77">
        <f>OrdersTable[[#This Row],[Quantity]]*OrdersTable[[#This Row],[Unit Cost]]</f>
        <v>315</v>
      </c>
      <c r="X651" s="77">
        <f>'Dropdown Lists'!$I$2*(1+OrdersTable[[#This Row],[Returned]])</f>
        <v>60</v>
      </c>
      <c r="Y651" s="76">
        <f>OrdersTable[[#This Row],[Net Revenue]]-OrdersTable[[#This Row],[COGS]]-OrdersTable[[#This Row],[Shipping Cost]]</f>
        <v>305.54999999999995</v>
      </c>
      <c r="Z651" s="78">
        <f>IFERROR(OrdersTable[[#This Row],[Profit]]/OrdersTable[[#This Row],[Net Revenue]],0)</f>
        <v>0.44897509367423405</v>
      </c>
      <c r="AA651" t="s">
        <v>18</v>
      </c>
      <c r="AB651" s="79">
        <v>45428</v>
      </c>
      <c r="AC651">
        <f>OrdersTable[[#This Row],[Delivery Date]]-OrdersTable[[#This Row],[Order Date]]</f>
        <v>2</v>
      </c>
      <c r="AD651" t="str">
        <f>IF(OrdersTable[[#This Row],[Delivery Days]]&lt;=2, "Express (≤2d)", IF(OrdersTable[[#This Row],[Delivery Days]]&lt;=4, "Standard (3-4d)", "Delayed (5d+)"))</f>
        <v>Express (≤2d)</v>
      </c>
      <c r="AE651">
        <v>4</v>
      </c>
      <c r="AF651">
        <v>0</v>
      </c>
    </row>
    <row r="652" spans="1:32" ht="15" x14ac:dyDescent="0.35">
      <c r="A652" t="s">
        <v>3972</v>
      </c>
      <c r="B652" s="1">
        <v>45426</v>
      </c>
      <c r="C652">
        <f>YEAR(OrdersTable[[#This Row],[Order Date]])</f>
        <v>2024</v>
      </c>
      <c r="D652" s="2">
        <f>DATE(YEAR(OrdersTable[[#This Row],[Order Date]]),MONTH(OrdersTable[[#This Row],[Order Date]]),1)</f>
        <v>45413</v>
      </c>
      <c r="E652">
        <f>MONTH(OrdersTable[[#This Row],[Order Date]])</f>
        <v>5</v>
      </c>
      <c r="F652" t="s">
        <v>3973</v>
      </c>
      <c r="G652" t="str">
        <f>IF(OrdersTable[[#This Row],[Order Date]]=_xlfn.MINIFS(Order_Date, Customer_ID, OrdersTable[[#This Row],[Customer ID]]), "New", "Repeat")</f>
        <v>Repeat</v>
      </c>
      <c r="H652" t="s">
        <v>95</v>
      </c>
      <c r="I652" t="str">
        <f>INDEX(State!B:B,MATCH(OrdersTable[[#This Row],[State]],State!A:A,0))</f>
        <v>TG</v>
      </c>
      <c r="J652" t="str">
        <f>INDEX(State!C:C,MATCH(OrdersTable[[#This Row],[State Code]],State!B:B,0))</f>
        <v>South</v>
      </c>
      <c r="K652" t="s">
        <v>96</v>
      </c>
      <c r="L652" t="s">
        <v>39</v>
      </c>
      <c r="M652" t="s">
        <v>205</v>
      </c>
      <c r="N652" t="str">
        <f>INDEX(Products!B:B,MATCH(OrdersTable[[#This Row],[Product ID]],Products!A:A,0))</f>
        <v>Running Shoes</v>
      </c>
      <c r="O652" t="str">
        <f>INDEX(Products!C:C,MATCH(OrdersTable[[#This Row],[Product ID]],Products!A:A,0))</f>
        <v>Footwear</v>
      </c>
      <c r="P652">
        <v>1</v>
      </c>
      <c r="Q652" s="5">
        <v>2999</v>
      </c>
      <c r="R652" s="74">
        <v>0.25</v>
      </c>
      <c r="S652" s="75">
        <f>OrdersTable[[#This Row],[Quantity]]*OrdersTable[[#This Row],[Unit Price]]</f>
        <v>2999</v>
      </c>
      <c r="T652" s="5">
        <f>OrdersTable[[#This Row],[Gross Sale]]*OrdersTable[[#This Row],[Discount_Clean2]]</f>
        <v>749.75</v>
      </c>
      <c r="U652" s="5">
        <f>OrdersTable[[#This Row],[Gross Sale]]-OrdersTable[[#This Row],[Discount Amount]]</f>
        <v>2249.25</v>
      </c>
      <c r="V652" s="77">
        <f>INDEX(Products!E:E,MATCH(OrdersTable[[#This Row],[Product ID]],Products!A:A,0))</f>
        <v>1440</v>
      </c>
      <c r="W652" s="77">
        <f>OrdersTable[[#This Row],[Quantity]]*OrdersTable[[#This Row],[Unit Cost]]</f>
        <v>1440</v>
      </c>
      <c r="X652" s="77">
        <f>'Dropdown Lists'!$I$2*(1+OrdersTable[[#This Row],[Returned]])</f>
        <v>60</v>
      </c>
      <c r="Y652" s="76">
        <f>OrdersTable[[#This Row],[Net Revenue]]-OrdersTable[[#This Row],[COGS]]-OrdersTable[[#This Row],[Shipping Cost]]</f>
        <v>749.25</v>
      </c>
      <c r="Z652" s="78">
        <f>IFERROR(OrdersTable[[#This Row],[Profit]]/OrdersTable[[#This Row],[Net Revenue]],0)</f>
        <v>0.33311103701233746</v>
      </c>
      <c r="AA652" t="s">
        <v>3495</v>
      </c>
      <c r="AB652" s="79">
        <v>45428</v>
      </c>
      <c r="AC652">
        <f>OrdersTable[[#This Row],[Delivery Date]]-OrdersTable[[#This Row],[Order Date]]</f>
        <v>2</v>
      </c>
      <c r="AD652" t="str">
        <f>IF(OrdersTable[[#This Row],[Delivery Days]]&lt;=2, "Express (≤2d)", IF(OrdersTable[[#This Row],[Delivery Days]]&lt;=4, "Standard (3-4d)", "Delayed (5d+)"))</f>
        <v>Express (≤2d)</v>
      </c>
      <c r="AE652">
        <v>5</v>
      </c>
      <c r="AF652">
        <v>0</v>
      </c>
    </row>
    <row r="653" spans="1:32" ht="15" x14ac:dyDescent="0.35">
      <c r="A653" t="s">
        <v>2555</v>
      </c>
      <c r="B653" s="1">
        <v>45426</v>
      </c>
      <c r="C653">
        <f>YEAR(OrdersTable[[#This Row],[Order Date]])</f>
        <v>2024</v>
      </c>
      <c r="D653" s="2">
        <f>DATE(YEAR(OrdersTable[[#This Row],[Order Date]]),MONTH(OrdersTable[[#This Row],[Order Date]]),1)</f>
        <v>45413</v>
      </c>
      <c r="E653">
        <f>MONTH(OrdersTable[[#This Row],[Order Date]])</f>
        <v>5</v>
      </c>
      <c r="F653" t="s">
        <v>2556</v>
      </c>
      <c r="G653" t="str">
        <f>IF(OrdersTable[[#This Row],[Order Date]]=_xlfn.MINIFS(Order_Date, Customer_ID, OrdersTable[[#This Row],[Customer ID]]), "New", "Repeat")</f>
        <v>New</v>
      </c>
      <c r="H653" t="s">
        <v>59</v>
      </c>
      <c r="I653" t="str">
        <f>INDEX(State!B:B,MATCH(OrdersTable[[#This Row],[State]],State!A:A,0))</f>
        <v>TN</v>
      </c>
      <c r="J653" t="str">
        <f>INDEX(State!C:C,MATCH(OrdersTable[[#This Row],[State Code]],State!B:B,0))</f>
        <v>South</v>
      </c>
      <c r="K653" t="s">
        <v>60</v>
      </c>
      <c r="L653" t="s">
        <v>23</v>
      </c>
      <c r="M653" t="s">
        <v>66</v>
      </c>
      <c r="N653" t="str">
        <f>INDEX(Products!B:B,MATCH(OrdersTable[[#This Row],[Product ID]],Products!A:A,0))</f>
        <v>Sunscreen SPF 50</v>
      </c>
      <c r="O653" t="str">
        <f>INDEX(Products!C:C,MATCH(OrdersTable[[#This Row],[Product ID]],Products!A:A,0))</f>
        <v>Skincare</v>
      </c>
      <c r="P653">
        <v>1</v>
      </c>
      <c r="Q653" s="5">
        <v>449</v>
      </c>
      <c r="R653" s="74">
        <v>0.05</v>
      </c>
      <c r="S653" s="75">
        <f>OrdersTable[[#This Row],[Quantity]]*OrdersTable[[#This Row],[Unit Price]]</f>
        <v>449</v>
      </c>
      <c r="T653" s="5">
        <f>OrdersTable[[#This Row],[Gross Sale]]*OrdersTable[[#This Row],[Discount_Clean2]]</f>
        <v>22.450000000000003</v>
      </c>
      <c r="U653" s="5">
        <f>OrdersTable[[#This Row],[Gross Sale]]-OrdersTable[[#This Row],[Discount Amount]]</f>
        <v>426.55</v>
      </c>
      <c r="V653" s="77">
        <f>INDEX(Products!E:E,MATCH(OrdersTable[[#This Row],[Product ID]],Products!A:A,0))</f>
        <v>144</v>
      </c>
      <c r="W653" s="77">
        <f>OrdersTable[[#This Row],[Quantity]]*OrdersTable[[#This Row],[Unit Cost]]</f>
        <v>144</v>
      </c>
      <c r="X653" s="77">
        <f>'Dropdown Lists'!$I$2*(1+OrdersTable[[#This Row],[Returned]])</f>
        <v>60</v>
      </c>
      <c r="Y653" s="76">
        <f>OrdersTable[[#This Row],[Net Revenue]]-OrdersTable[[#This Row],[COGS]]-OrdersTable[[#This Row],[Shipping Cost]]</f>
        <v>222.55</v>
      </c>
      <c r="Z653" s="78">
        <f>IFERROR(OrdersTable[[#This Row],[Profit]]/OrdersTable[[#This Row],[Net Revenue]],0)</f>
        <v>0.52174422693705313</v>
      </c>
      <c r="AA653" t="s">
        <v>2522</v>
      </c>
      <c r="AB653" s="79">
        <v>45427</v>
      </c>
      <c r="AC653">
        <f>OrdersTable[[#This Row],[Delivery Date]]-OrdersTable[[#This Row],[Order Date]]</f>
        <v>1</v>
      </c>
      <c r="AD653" t="str">
        <f>IF(OrdersTable[[#This Row],[Delivery Days]]&lt;=2, "Express (≤2d)", IF(OrdersTable[[#This Row],[Delivery Days]]&lt;=4, "Standard (3-4d)", "Delayed (5d+)"))</f>
        <v>Express (≤2d)</v>
      </c>
      <c r="AE653">
        <v>5</v>
      </c>
      <c r="AF653">
        <v>0</v>
      </c>
    </row>
    <row r="654" spans="1:32" ht="15" x14ac:dyDescent="0.35">
      <c r="A654" t="s">
        <v>3720</v>
      </c>
      <c r="B654" s="1">
        <v>45427</v>
      </c>
      <c r="C654">
        <f>YEAR(OrdersTable[[#This Row],[Order Date]])</f>
        <v>2024</v>
      </c>
      <c r="D654" s="2">
        <f>DATE(YEAR(OrdersTable[[#This Row],[Order Date]]),MONTH(OrdersTable[[#This Row],[Order Date]]),1)</f>
        <v>45413</v>
      </c>
      <c r="E654">
        <f>MONTH(OrdersTable[[#This Row],[Order Date]])</f>
        <v>5</v>
      </c>
      <c r="F654" t="s">
        <v>3467</v>
      </c>
      <c r="G654" t="str">
        <f>IF(OrdersTable[[#This Row],[Order Date]]=_xlfn.MINIFS(Order_Date, Customer_ID, OrdersTable[[#This Row],[Customer ID]]), "New", "Repeat")</f>
        <v>Repeat</v>
      </c>
      <c r="H654" t="s">
        <v>128</v>
      </c>
      <c r="I654" t="str">
        <f>INDEX(State!B:B,MATCH(OrdersTable[[#This Row],[State]],State!A:A,0))</f>
        <v>DL</v>
      </c>
      <c r="J654" t="str">
        <f>INDEX(State!C:C,MATCH(OrdersTable[[#This Row],[State Code]],State!B:B,0))</f>
        <v>North</v>
      </c>
      <c r="K654" t="s">
        <v>129</v>
      </c>
      <c r="L654" t="s">
        <v>23</v>
      </c>
      <c r="M654" t="s">
        <v>45</v>
      </c>
      <c r="N654" t="str">
        <f>INDEX(Products!B:B,MATCH(OrdersTable[[#This Row],[Product ID]],Products!A:A,0))</f>
        <v>Argan Shampoo</v>
      </c>
      <c r="O654" t="str">
        <f>INDEX(Products!C:C,MATCH(OrdersTable[[#This Row],[Product ID]],Products!A:A,0))</f>
        <v>Haircare</v>
      </c>
      <c r="P654">
        <v>1</v>
      </c>
      <c r="Q654" s="5">
        <v>449</v>
      </c>
      <c r="R654" s="74">
        <v>0.05</v>
      </c>
      <c r="S654" s="75">
        <f>OrdersTable[[#This Row],[Quantity]]*OrdersTable[[#This Row],[Unit Price]]</f>
        <v>449</v>
      </c>
      <c r="T654" s="5">
        <f>OrdersTable[[#This Row],[Gross Sale]]*OrdersTable[[#This Row],[Discount_Clean2]]</f>
        <v>22.450000000000003</v>
      </c>
      <c r="U654" s="5">
        <f>OrdersTable[[#This Row],[Gross Sale]]-OrdersTable[[#This Row],[Discount Amount]]</f>
        <v>426.55</v>
      </c>
      <c r="V654" s="77">
        <f>INDEX(Products!E:E,MATCH(OrdersTable[[#This Row],[Product ID]],Products!A:A,0))</f>
        <v>148</v>
      </c>
      <c r="W654" s="77">
        <f>OrdersTable[[#This Row],[Quantity]]*OrdersTable[[#This Row],[Unit Cost]]</f>
        <v>148</v>
      </c>
      <c r="X654" s="77">
        <f>'Dropdown Lists'!$I$2*(1+OrdersTable[[#This Row],[Returned]])</f>
        <v>60</v>
      </c>
      <c r="Y654" s="76">
        <f>OrdersTable[[#This Row],[Net Revenue]]-OrdersTable[[#This Row],[COGS]]-OrdersTable[[#This Row],[Shipping Cost]]</f>
        <v>218.55</v>
      </c>
      <c r="Z654" s="78">
        <f>IFERROR(OrdersTable[[#This Row],[Profit]]/OrdersTable[[#This Row],[Net Revenue]],0)</f>
        <v>0.51236666275934828</v>
      </c>
      <c r="AA654" t="s">
        <v>3495</v>
      </c>
      <c r="AB654" s="79">
        <v>45429</v>
      </c>
      <c r="AC654">
        <f>OrdersTable[[#This Row],[Delivery Date]]-OrdersTable[[#This Row],[Order Date]]</f>
        <v>2</v>
      </c>
      <c r="AD654" t="str">
        <f>IF(OrdersTable[[#This Row],[Delivery Days]]&lt;=2, "Express (≤2d)", IF(OrdersTable[[#This Row],[Delivery Days]]&lt;=4, "Standard (3-4d)", "Delayed (5d+)"))</f>
        <v>Express (≤2d)</v>
      </c>
      <c r="AF654">
        <v>0</v>
      </c>
    </row>
    <row r="655" spans="1:32" ht="15" x14ac:dyDescent="0.35">
      <c r="A655" t="s">
        <v>4224</v>
      </c>
      <c r="B655" s="1">
        <v>45427</v>
      </c>
      <c r="C655">
        <f>YEAR(OrdersTable[[#This Row],[Order Date]])</f>
        <v>2024</v>
      </c>
      <c r="D655" s="2">
        <f>DATE(YEAR(OrdersTable[[#This Row],[Order Date]]),MONTH(OrdersTable[[#This Row],[Order Date]]),1)</f>
        <v>45413</v>
      </c>
      <c r="E655">
        <f>MONTH(OrdersTable[[#This Row],[Order Date]])</f>
        <v>5</v>
      </c>
      <c r="F655" t="s">
        <v>4225</v>
      </c>
      <c r="G655" t="str">
        <f>IF(OrdersTable[[#This Row],[Order Date]]=_xlfn.MINIFS(Order_Date, Customer_ID, OrdersTable[[#This Row],[Customer ID]]), "New", "Repeat")</f>
        <v>New</v>
      </c>
      <c r="H655" t="s">
        <v>76</v>
      </c>
      <c r="I655" t="str">
        <f>INDEX(State!B:B,MATCH(OrdersTable[[#This Row],[State]],State!A:A,0))</f>
        <v>UP</v>
      </c>
      <c r="J655" t="str">
        <f>INDEX(State!C:C,MATCH(OrdersTable[[#This Row],[State Code]],State!B:B,0))</f>
        <v>North</v>
      </c>
      <c r="K655" t="s">
        <v>118</v>
      </c>
      <c r="L655" t="s">
        <v>39</v>
      </c>
      <c r="M655" t="s">
        <v>34</v>
      </c>
      <c r="N655" t="str">
        <f>INDEX(Products!B:B,MATCH(OrdersTable[[#This Row],[Product ID]],Products!A:A,0))</f>
        <v>Flip Flops</v>
      </c>
      <c r="O655" t="str">
        <f>INDEX(Products!C:C,MATCH(OrdersTable[[#This Row],[Product ID]],Products!A:A,0))</f>
        <v>Footwear</v>
      </c>
      <c r="P655">
        <v>1</v>
      </c>
      <c r="Q655" s="5">
        <v>399</v>
      </c>
      <c r="R655" s="74">
        <v>0.05</v>
      </c>
      <c r="S655" s="75">
        <f>OrdersTable[[#This Row],[Quantity]]*OrdersTable[[#This Row],[Unit Price]]</f>
        <v>399</v>
      </c>
      <c r="T655" s="5">
        <f>OrdersTable[[#This Row],[Gross Sale]]*OrdersTable[[#This Row],[Discount_Clean2]]</f>
        <v>19.950000000000003</v>
      </c>
      <c r="U655" s="5">
        <f>OrdersTable[[#This Row],[Gross Sale]]-OrdersTable[[#This Row],[Discount Amount]]</f>
        <v>379.05</v>
      </c>
      <c r="V655" s="77">
        <f>INDEX(Products!E:E,MATCH(OrdersTable[[#This Row],[Product ID]],Products!A:A,0))</f>
        <v>152</v>
      </c>
      <c r="W655" s="77">
        <f>OrdersTable[[#This Row],[Quantity]]*OrdersTable[[#This Row],[Unit Cost]]</f>
        <v>152</v>
      </c>
      <c r="X655" s="77">
        <f>'Dropdown Lists'!$I$2*(1+OrdersTable[[#This Row],[Returned]])</f>
        <v>60</v>
      </c>
      <c r="Y655" s="76">
        <f>OrdersTable[[#This Row],[Net Revenue]]-OrdersTable[[#This Row],[COGS]]-OrdersTable[[#This Row],[Shipping Cost]]</f>
        <v>167.05</v>
      </c>
      <c r="Z655" s="78">
        <f>IFERROR(OrdersTable[[#This Row],[Profit]]/OrdersTable[[#This Row],[Net Revenue]],0)</f>
        <v>0.44070703073473161</v>
      </c>
      <c r="AA655" t="s">
        <v>4074</v>
      </c>
      <c r="AB655" s="79">
        <v>45431</v>
      </c>
      <c r="AC655">
        <f>OrdersTable[[#This Row],[Delivery Date]]-OrdersTable[[#This Row],[Order Date]]</f>
        <v>4</v>
      </c>
      <c r="AD655" t="str">
        <f>IF(OrdersTable[[#This Row],[Delivery Days]]&lt;=2, "Express (≤2d)", IF(OrdersTable[[#This Row],[Delivery Days]]&lt;=4, "Standard (3-4d)", "Delayed (5d+)"))</f>
        <v>Standard (3-4d)</v>
      </c>
      <c r="AF655">
        <v>0</v>
      </c>
    </row>
    <row r="656" spans="1:32" ht="15" x14ac:dyDescent="0.35">
      <c r="A656" t="s">
        <v>5760</v>
      </c>
      <c r="B656" s="1">
        <v>45427</v>
      </c>
      <c r="C656">
        <f>YEAR(OrdersTable[[#This Row],[Order Date]])</f>
        <v>2024</v>
      </c>
      <c r="D656" s="2">
        <f>DATE(YEAR(OrdersTable[[#This Row],[Order Date]]),MONTH(OrdersTable[[#This Row],[Order Date]]),1)</f>
        <v>45413</v>
      </c>
      <c r="E656">
        <f>MONTH(OrdersTable[[#This Row],[Order Date]])</f>
        <v>5</v>
      </c>
      <c r="F656" t="s">
        <v>5761</v>
      </c>
      <c r="G656" t="str">
        <f>IF(OrdersTable[[#This Row],[Order Date]]=_xlfn.MINIFS(Order_Date, Customer_ID, OrdersTable[[#This Row],[Customer ID]]), "New", "Repeat")</f>
        <v>Repeat</v>
      </c>
      <c r="H656" t="s">
        <v>316</v>
      </c>
      <c r="I656" t="str">
        <f>INDEX(State!B:B,MATCH(OrdersTable[[#This Row],[State]],State!A:A,0))</f>
        <v>KL</v>
      </c>
      <c r="J656" t="str">
        <f>INDEX(State!C:C,MATCH(OrdersTable[[#This Row],[State Code]],State!B:B,0))</f>
        <v>South</v>
      </c>
      <c r="K656" t="s">
        <v>338</v>
      </c>
      <c r="L656" t="s">
        <v>16</v>
      </c>
      <c r="M656" t="s">
        <v>87</v>
      </c>
      <c r="N656" t="str">
        <f>INDEX(Products!B:B,MATCH(OrdersTable[[#This Row],[Product ID]],Products!A:A,0))</f>
        <v>Linen Kurta</v>
      </c>
      <c r="O656" t="str">
        <f>INDEX(Products!C:C,MATCH(OrdersTable[[#This Row],[Product ID]],Products!A:A,0))</f>
        <v>Apparel</v>
      </c>
      <c r="P656">
        <v>2</v>
      </c>
      <c r="Q656" s="5">
        <v>1499</v>
      </c>
      <c r="R656" s="74">
        <v>0.35</v>
      </c>
      <c r="S656" s="75">
        <f>OrdersTable[[#This Row],[Quantity]]*OrdersTable[[#This Row],[Unit Price]]</f>
        <v>2998</v>
      </c>
      <c r="T656" s="5">
        <f>OrdersTable[[#This Row],[Gross Sale]]*OrdersTable[[#This Row],[Discount_Clean2]]</f>
        <v>1049.3</v>
      </c>
      <c r="U656" s="5">
        <f>OrdersTable[[#This Row],[Gross Sale]]-OrdersTable[[#This Row],[Discount Amount]]</f>
        <v>1948.7</v>
      </c>
      <c r="V656" s="77">
        <f>INDEX(Products!E:E,MATCH(OrdersTable[[#This Row],[Product ID]],Products!A:A,0))</f>
        <v>630</v>
      </c>
      <c r="W656" s="77">
        <f>OrdersTable[[#This Row],[Quantity]]*OrdersTable[[#This Row],[Unit Cost]]</f>
        <v>1260</v>
      </c>
      <c r="X656" s="77">
        <f>'Dropdown Lists'!$I$2*(1+OrdersTable[[#This Row],[Returned]])</f>
        <v>60</v>
      </c>
      <c r="Y656" s="76">
        <f>OrdersTable[[#This Row],[Net Revenue]]-OrdersTable[[#This Row],[COGS]]-OrdersTable[[#This Row],[Shipping Cost]]</f>
        <v>628.70000000000005</v>
      </c>
      <c r="Z656" s="78">
        <f>IFERROR(OrdersTable[[#This Row],[Profit]]/OrdersTable[[#This Row],[Net Revenue]],0)</f>
        <v>0.32262533997023657</v>
      </c>
      <c r="AA656" t="s">
        <v>18</v>
      </c>
      <c r="AB656" s="79">
        <v>45430</v>
      </c>
      <c r="AC656">
        <f>OrdersTable[[#This Row],[Delivery Date]]-OrdersTable[[#This Row],[Order Date]]</f>
        <v>3</v>
      </c>
      <c r="AD656" t="str">
        <f>IF(OrdersTable[[#This Row],[Delivery Days]]&lt;=2, "Express (≤2d)", IF(OrdersTable[[#This Row],[Delivery Days]]&lt;=4, "Standard (3-4d)", "Delayed (5d+)"))</f>
        <v>Standard (3-4d)</v>
      </c>
      <c r="AE656">
        <v>5</v>
      </c>
      <c r="AF656">
        <v>0</v>
      </c>
    </row>
    <row r="657" spans="1:32" ht="15" x14ac:dyDescent="0.35">
      <c r="A657" t="s">
        <v>738</v>
      </c>
      <c r="B657" s="1">
        <v>45428</v>
      </c>
      <c r="C657">
        <f>YEAR(OrdersTable[[#This Row],[Order Date]])</f>
        <v>2024</v>
      </c>
      <c r="D657" s="2">
        <f>DATE(YEAR(OrdersTable[[#This Row],[Order Date]]),MONTH(OrdersTable[[#This Row],[Order Date]]),1)</f>
        <v>45413</v>
      </c>
      <c r="E657">
        <f>MONTH(OrdersTable[[#This Row],[Order Date]])</f>
        <v>5</v>
      </c>
      <c r="F657" t="s">
        <v>739</v>
      </c>
      <c r="G657" t="str">
        <f>IF(OrdersTable[[#This Row],[Order Date]]=_xlfn.MINIFS(Order_Date, Customer_ID, OrdersTable[[#This Row],[Customer ID]]), "New", "Repeat")</f>
        <v>New</v>
      </c>
      <c r="H657" t="s">
        <v>482</v>
      </c>
      <c r="I657" t="str">
        <f>INDEX(State!B:B,MATCH(OrdersTable[[#This Row],[State]],State!A:A,0))</f>
        <v>CG</v>
      </c>
      <c r="J657" t="str">
        <f>INDEX(State!C:C,MATCH(OrdersTable[[#This Row],[State Code]],State!B:B,0))</f>
        <v>East</v>
      </c>
      <c r="K657" t="s">
        <v>483</v>
      </c>
      <c r="L657" t="s">
        <v>23</v>
      </c>
      <c r="M657" t="s">
        <v>87</v>
      </c>
      <c r="N657" t="str">
        <f>INDEX(Products!B:B,MATCH(OrdersTable[[#This Row],[Product ID]],Products!A:A,0))</f>
        <v>Linen Kurta</v>
      </c>
      <c r="O657" t="str">
        <f>INDEX(Products!C:C,MATCH(OrdersTable[[#This Row],[Product ID]],Products!A:A,0))</f>
        <v>Apparel</v>
      </c>
      <c r="P657">
        <v>1</v>
      </c>
      <c r="Q657" s="5">
        <v>1499</v>
      </c>
      <c r="R657" s="74">
        <v>0.3</v>
      </c>
      <c r="S657" s="75">
        <f>OrdersTable[[#This Row],[Quantity]]*OrdersTable[[#This Row],[Unit Price]]</f>
        <v>1499</v>
      </c>
      <c r="T657" s="5">
        <f>OrdersTable[[#This Row],[Gross Sale]]*OrdersTable[[#This Row],[Discount_Clean2]]</f>
        <v>449.7</v>
      </c>
      <c r="U657" s="5">
        <f>OrdersTable[[#This Row],[Gross Sale]]-OrdersTable[[#This Row],[Discount Amount]]</f>
        <v>1049.3</v>
      </c>
      <c r="V657" s="77">
        <f>INDEX(Products!E:E,MATCH(OrdersTable[[#This Row],[Product ID]],Products!A:A,0))</f>
        <v>630</v>
      </c>
      <c r="W657" s="77">
        <f>OrdersTable[[#This Row],[Quantity]]*OrdersTable[[#This Row],[Unit Cost]]</f>
        <v>630</v>
      </c>
      <c r="X657" s="77">
        <f>'Dropdown Lists'!$I$2*(1+OrdersTable[[#This Row],[Returned]])</f>
        <v>60</v>
      </c>
      <c r="Y657" s="76">
        <f>OrdersTable[[#This Row],[Net Revenue]]-OrdersTable[[#This Row],[COGS]]-OrdersTable[[#This Row],[Shipping Cost]]</f>
        <v>359.29999999999995</v>
      </c>
      <c r="Z657" s="78">
        <f>IFERROR(OrdersTable[[#This Row],[Profit]]/OrdersTable[[#This Row],[Net Revenue]],0)</f>
        <v>0.34241875536071664</v>
      </c>
      <c r="AA657" t="s">
        <v>18</v>
      </c>
      <c r="AB657" s="79">
        <v>45433</v>
      </c>
      <c r="AC657">
        <f>OrdersTable[[#This Row],[Delivery Date]]-OrdersTable[[#This Row],[Order Date]]</f>
        <v>5</v>
      </c>
      <c r="AD657" t="str">
        <f>IF(OrdersTable[[#This Row],[Delivery Days]]&lt;=2, "Express (≤2d)", IF(OrdersTable[[#This Row],[Delivery Days]]&lt;=4, "Standard (3-4d)", "Delayed (5d+)"))</f>
        <v>Delayed (5d+)</v>
      </c>
      <c r="AE657">
        <v>4</v>
      </c>
      <c r="AF657">
        <v>0</v>
      </c>
    </row>
    <row r="658" spans="1:32" ht="15" x14ac:dyDescent="0.35">
      <c r="A658" t="s">
        <v>1640</v>
      </c>
      <c r="B658" s="1">
        <v>45428</v>
      </c>
      <c r="C658">
        <f>YEAR(OrdersTable[[#This Row],[Order Date]])</f>
        <v>2024</v>
      </c>
      <c r="D658" s="2">
        <f>DATE(YEAR(OrdersTable[[#This Row],[Order Date]]),MONTH(OrdersTable[[#This Row],[Order Date]]),1)</f>
        <v>45413</v>
      </c>
      <c r="E658">
        <f>MONTH(OrdersTable[[#This Row],[Order Date]])</f>
        <v>5</v>
      </c>
      <c r="F658" t="s">
        <v>1641</v>
      </c>
      <c r="G658" t="str">
        <f>IF(OrdersTable[[#This Row],[Order Date]]=_xlfn.MINIFS(Order_Date, Customer_ID, OrdersTable[[#This Row],[Customer ID]]), "New", "Repeat")</f>
        <v>New</v>
      </c>
      <c r="H658" t="s">
        <v>123</v>
      </c>
      <c r="I658" t="str">
        <f>INDEX(State!B:B,MATCH(OrdersTable[[#This Row],[State]],State!A:A,0))</f>
        <v>JH</v>
      </c>
      <c r="J658" t="str">
        <f>INDEX(State!C:C,MATCH(OrdersTable[[#This Row],[State Code]],State!B:B,0))</f>
        <v>East</v>
      </c>
      <c r="K658" t="s">
        <v>124</v>
      </c>
      <c r="L658" t="s">
        <v>65</v>
      </c>
      <c r="M658" t="s">
        <v>205</v>
      </c>
      <c r="N658" t="str">
        <f>INDEX(Products!B:B,MATCH(OrdersTable[[#This Row],[Product ID]],Products!A:A,0))</f>
        <v>Running Shoes</v>
      </c>
      <c r="O658" t="str">
        <f>INDEX(Products!C:C,MATCH(OrdersTable[[#This Row],[Product ID]],Products!A:A,0))</f>
        <v>Footwear</v>
      </c>
      <c r="P658">
        <v>1</v>
      </c>
      <c r="Q658" s="5">
        <v>2999</v>
      </c>
      <c r="R658" s="74">
        <v>0.2</v>
      </c>
      <c r="S658" s="75">
        <f>OrdersTable[[#This Row],[Quantity]]*OrdersTable[[#This Row],[Unit Price]]</f>
        <v>2999</v>
      </c>
      <c r="T658" s="5">
        <f>OrdersTable[[#This Row],[Gross Sale]]*OrdersTable[[#This Row],[Discount_Clean2]]</f>
        <v>599.80000000000007</v>
      </c>
      <c r="U658" s="5">
        <f>OrdersTable[[#This Row],[Gross Sale]]-OrdersTable[[#This Row],[Discount Amount]]</f>
        <v>2399.1999999999998</v>
      </c>
      <c r="V658" s="77">
        <f>INDEX(Products!E:E,MATCH(OrdersTable[[#This Row],[Product ID]],Products!A:A,0))</f>
        <v>1440</v>
      </c>
      <c r="W658" s="77">
        <f>OrdersTable[[#This Row],[Quantity]]*OrdersTable[[#This Row],[Unit Cost]]</f>
        <v>1440</v>
      </c>
      <c r="X658" s="77">
        <f>'Dropdown Lists'!$I$2*(1+OrdersTable[[#This Row],[Returned]])</f>
        <v>60</v>
      </c>
      <c r="Y658" s="76">
        <f>OrdersTable[[#This Row],[Net Revenue]]-OrdersTable[[#This Row],[COGS]]-OrdersTable[[#This Row],[Shipping Cost]]</f>
        <v>899.19999999999982</v>
      </c>
      <c r="Z658" s="78">
        <f>IFERROR(OrdersTable[[#This Row],[Profit]]/OrdersTable[[#This Row],[Net Revenue]],0)</f>
        <v>0.3747915971990663</v>
      </c>
      <c r="AA658" t="s">
        <v>18</v>
      </c>
      <c r="AB658" s="79">
        <v>45433</v>
      </c>
      <c r="AC658">
        <f>OrdersTable[[#This Row],[Delivery Date]]-OrdersTable[[#This Row],[Order Date]]</f>
        <v>5</v>
      </c>
      <c r="AD658" t="str">
        <f>IF(OrdersTable[[#This Row],[Delivery Days]]&lt;=2, "Express (≤2d)", IF(OrdersTable[[#This Row],[Delivery Days]]&lt;=4, "Standard (3-4d)", "Delayed (5d+)"))</f>
        <v>Delayed (5d+)</v>
      </c>
      <c r="AF658">
        <v>0</v>
      </c>
    </row>
    <row r="659" spans="1:32" ht="15" x14ac:dyDescent="0.35">
      <c r="A659" t="s">
        <v>3527</v>
      </c>
      <c r="B659" s="1">
        <v>45428</v>
      </c>
      <c r="C659">
        <f>YEAR(OrdersTable[[#This Row],[Order Date]])</f>
        <v>2024</v>
      </c>
      <c r="D659" s="2">
        <f>DATE(YEAR(OrdersTable[[#This Row],[Order Date]]),MONTH(OrdersTable[[#This Row],[Order Date]]),1)</f>
        <v>45413</v>
      </c>
      <c r="E659">
        <f>MONTH(OrdersTable[[#This Row],[Order Date]])</f>
        <v>5</v>
      </c>
      <c r="F659" t="s">
        <v>3528</v>
      </c>
      <c r="G659" t="str">
        <f>IF(OrdersTable[[#This Row],[Order Date]]=_xlfn.MINIFS(Order_Date, Customer_ID, OrdersTable[[#This Row],[Customer ID]]), "New", "Repeat")</f>
        <v>New</v>
      </c>
      <c r="H659" t="s">
        <v>71</v>
      </c>
      <c r="I659" t="str">
        <f>INDEX(State!B:B,MATCH(OrdersTable[[#This Row],[State]],State!A:A,0))</f>
        <v>MH</v>
      </c>
      <c r="J659" t="str">
        <f>INDEX(State!C:C,MATCH(OrdersTable[[#This Row],[State Code]],State!B:B,0))</f>
        <v>West</v>
      </c>
      <c r="K659" t="s">
        <v>81</v>
      </c>
      <c r="L659" t="s">
        <v>16</v>
      </c>
      <c r="M659" t="s">
        <v>29</v>
      </c>
      <c r="N659" t="str">
        <f>INDEX(Products!B:B,MATCH(OrdersTable[[#This Row],[Product ID]],Products!A:A,0))</f>
        <v>Joggers</v>
      </c>
      <c r="O659" t="str">
        <f>INDEX(Products!C:C,MATCH(OrdersTable[[#This Row],[Product ID]],Products!A:A,0))</f>
        <v>Apparel</v>
      </c>
      <c r="P659">
        <v>1</v>
      </c>
      <c r="Q659" s="5">
        <v>1199</v>
      </c>
      <c r="R659" s="74">
        <v>0.2</v>
      </c>
      <c r="S659" s="75">
        <f>OrdersTable[[#This Row],[Quantity]]*OrdersTable[[#This Row],[Unit Price]]</f>
        <v>1199</v>
      </c>
      <c r="T659" s="5">
        <f>OrdersTable[[#This Row],[Gross Sale]]*OrdersTable[[#This Row],[Discount_Clean2]]</f>
        <v>239.8</v>
      </c>
      <c r="U659" s="5">
        <f>OrdersTable[[#This Row],[Gross Sale]]-OrdersTable[[#This Row],[Discount Amount]]</f>
        <v>959.2</v>
      </c>
      <c r="V659" s="77">
        <f>INDEX(Products!E:E,MATCH(OrdersTable[[#This Row],[Product ID]],Products!A:A,0))</f>
        <v>492</v>
      </c>
      <c r="W659" s="77">
        <f>OrdersTable[[#This Row],[Quantity]]*OrdersTable[[#This Row],[Unit Cost]]</f>
        <v>492</v>
      </c>
      <c r="X659" s="77">
        <f>'Dropdown Lists'!$I$2*(1+OrdersTable[[#This Row],[Returned]])</f>
        <v>60</v>
      </c>
      <c r="Y659" s="76">
        <f>OrdersTable[[#This Row],[Net Revenue]]-OrdersTable[[#This Row],[COGS]]-OrdersTable[[#This Row],[Shipping Cost]]</f>
        <v>407.20000000000005</v>
      </c>
      <c r="Z659" s="78">
        <f>IFERROR(OrdersTable[[#This Row],[Profit]]/OrdersTable[[#This Row],[Net Revenue]],0)</f>
        <v>0.42452043369474562</v>
      </c>
      <c r="AA659" t="s">
        <v>3495</v>
      </c>
      <c r="AB659" s="79">
        <v>45433</v>
      </c>
      <c r="AC659">
        <f>OrdersTable[[#This Row],[Delivery Date]]-OrdersTable[[#This Row],[Order Date]]</f>
        <v>5</v>
      </c>
      <c r="AD659" t="str">
        <f>IF(OrdersTable[[#This Row],[Delivery Days]]&lt;=2, "Express (≤2d)", IF(OrdersTable[[#This Row],[Delivery Days]]&lt;=4, "Standard (3-4d)", "Delayed (5d+)"))</f>
        <v>Delayed (5d+)</v>
      </c>
      <c r="AE659">
        <v>4</v>
      </c>
      <c r="AF659">
        <v>0</v>
      </c>
    </row>
    <row r="660" spans="1:32" ht="15" x14ac:dyDescent="0.35">
      <c r="A660" t="s">
        <v>4464</v>
      </c>
      <c r="B660" s="1">
        <v>45428</v>
      </c>
      <c r="C660">
        <f>YEAR(OrdersTable[[#This Row],[Order Date]])</f>
        <v>2024</v>
      </c>
      <c r="D660" s="2">
        <f>DATE(YEAR(OrdersTable[[#This Row],[Order Date]]),MONTH(OrdersTable[[#This Row],[Order Date]]),1)</f>
        <v>45413</v>
      </c>
      <c r="E660">
        <f>MONTH(OrdersTable[[#This Row],[Order Date]])</f>
        <v>5</v>
      </c>
      <c r="F660" t="s">
        <v>3530</v>
      </c>
      <c r="G660" t="str">
        <f>IF(OrdersTable[[#This Row],[Order Date]]=_xlfn.MINIFS(Order_Date, Customer_ID, OrdersTable[[#This Row],[Customer ID]]), "New", "Repeat")</f>
        <v>New</v>
      </c>
      <c r="H660" t="s">
        <v>167</v>
      </c>
      <c r="I660" t="str">
        <f>INDEX(State!B:B,MATCH(OrdersTable[[#This Row],[State]],State!A:A,0))</f>
        <v>KA</v>
      </c>
      <c r="J660" t="str">
        <f>INDEX(State!C:C,MATCH(OrdersTable[[#This Row],[State Code]],State!B:B,0))</f>
        <v>South</v>
      </c>
      <c r="K660" t="s">
        <v>190</v>
      </c>
      <c r="L660" t="s">
        <v>23</v>
      </c>
      <c r="M660" t="s">
        <v>106</v>
      </c>
      <c r="N660" t="str">
        <f>INDEX(Products!B:B,MATCH(OrdersTable[[#This Row],[Product ID]],Products!A:A,0))</f>
        <v>Keratin Hair Mask</v>
      </c>
      <c r="O660" t="str">
        <f>INDEX(Products!C:C,MATCH(OrdersTable[[#This Row],[Product ID]],Products!A:A,0))</f>
        <v>Haircare</v>
      </c>
      <c r="P660">
        <v>1</v>
      </c>
      <c r="Q660" s="5">
        <v>549</v>
      </c>
      <c r="R660" s="74">
        <v>0.25</v>
      </c>
      <c r="S660" s="75">
        <f>OrdersTable[[#This Row],[Quantity]]*OrdersTable[[#This Row],[Unit Price]]</f>
        <v>549</v>
      </c>
      <c r="T660" s="5">
        <f>OrdersTable[[#This Row],[Gross Sale]]*OrdersTable[[#This Row],[Discount_Clean2]]</f>
        <v>137.25</v>
      </c>
      <c r="U660" s="5">
        <f>OrdersTable[[#This Row],[Gross Sale]]-OrdersTable[[#This Row],[Discount Amount]]</f>
        <v>411.75</v>
      </c>
      <c r="V660" s="77">
        <f>INDEX(Products!E:E,MATCH(OrdersTable[[#This Row],[Product ID]],Products!A:A,0))</f>
        <v>170</v>
      </c>
      <c r="W660" s="77">
        <f>OrdersTable[[#This Row],[Quantity]]*OrdersTable[[#This Row],[Unit Cost]]</f>
        <v>170</v>
      </c>
      <c r="X660" s="77">
        <f>'Dropdown Lists'!$I$2*(1+OrdersTable[[#This Row],[Returned]])</f>
        <v>60</v>
      </c>
      <c r="Y660" s="76">
        <f>OrdersTable[[#This Row],[Net Revenue]]-OrdersTable[[#This Row],[COGS]]-OrdersTable[[#This Row],[Shipping Cost]]</f>
        <v>181.75</v>
      </c>
      <c r="Z660" s="78">
        <f>IFERROR(OrdersTable[[#This Row],[Profit]]/OrdersTable[[#This Row],[Net Revenue]],0)</f>
        <v>0.44140862173649059</v>
      </c>
      <c r="AA660" t="s">
        <v>4450</v>
      </c>
      <c r="AB660" s="79">
        <v>45429</v>
      </c>
      <c r="AC660">
        <f>OrdersTable[[#This Row],[Delivery Date]]-OrdersTable[[#This Row],[Order Date]]</f>
        <v>1</v>
      </c>
      <c r="AD660" t="str">
        <f>IF(OrdersTable[[#This Row],[Delivery Days]]&lt;=2, "Express (≤2d)", IF(OrdersTable[[#This Row],[Delivery Days]]&lt;=4, "Standard (3-4d)", "Delayed (5d+)"))</f>
        <v>Express (≤2d)</v>
      </c>
      <c r="AE660">
        <v>4</v>
      </c>
      <c r="AF660">
        <v>0</v>
      </c>
    </row>
    <row r="661" spans="1:32" ht="15" x14ac:dyDescent="0.35">
      <c r="A661" t="s">
        <v>4341</v>
      </c>
      <c r="B661" s="1">
        <v>45428</v>
      </c>
      <c r="C661">
        <f>YEAR(OrdersTable[[#This Row],[Order Date]])</f>
        <v>2024</v>
      </c>
      <c r="D661" s="2">
        <f>DATE(YEAR(OrdersTable[[#This Row],[Order Date]]),MONTH(OrdersTable[[#This Row],[Order Date]]),1)</f>
        <v>45413</v>
      </c>
      <c r="E661">
        <f>MONTH(OrdersTable[[#This Row],[Order Date]])</f>
        <v>5</v>
      </c>
      <c r="F661" t="s">
        <v>927</v>
      </c>
      <c r="G661" t="str">
        <f>IF(OrdersTable[[#This Row],[Order Date]]=_xlfn.MINIFS(Order_Date, Customer_ID, OrdersTable[[#This Row],[Customer ID]]), "New", "Repeat")</f>
        <v>New</v>
      </c>
      <c r="H661" t="s">
        <v>167</v>
      </c>
      <c r="I661" t="str">
        <f>INDEX(State!B:B,MATCH(OrdersTable[[#This Row],[State]],State!A:A,0))</f>
        <v>KA</v>
      </c>
      <c r="J661" t="str">
        <f>INDEX(State!C:C,MATCH(OrdersTable[[#This Row],[State Code]],State!B:B,0))</f>
        <v>South</v>
      </c>
      <c r="K661" t="s">
        <v>190</v>
      </c>
      <c r="L661" t="s">
        <v>39</v>
      </c>
      <c r="M661" t="s">
        <v>160</v>
      </c>
      <c r="N661" t="str">
        <f>INDEX(Products!B:B,MATCH(OrdersTable[[#This Row],[Product ID]],Products!A:A,0))</f>
        <v>Niacinamide Toner</v>
      </c>
      <c r="O661" t="str">
        <f>INDEX(Products!C:C,MATCH(OrdersTable[[#This Row],[Product ID]],Products!A:A,0))</f>
        <v>Skincare</v>
      </c>
      <c r="P661">
        <v>1</v>
      </c>
      <c r="Q661" s="5">
        <v>399</v>
      </c>
      <c r="R661" s="74">
        <v>0.1</v>
      </c>
      <c r="S661" s="75">
        <f>OrdersTable[[#This Row],[Quantity]]*OrdersTable[[#This Row],[Unit Price]]</f>
        <v>399</v>
      </c>
      <c r="T661" s="5">
        <f>OrdersTable[[#This Row],[Gross Sale]]*OrdersTable[[#This Row],[Discount_Clean2]]</f>
        <v>39.900000000000006</v>
      </c>
      <c r="U661" s="5">
        <f>OrdersTable[[#This Row],[Gross Sale]]-OrdersTable[[#This Row],[Discount Amount]]</f>
        <v>359.1</v>
      </c>
      <c r="V661" s="77">
        <f>INDEX(Products!E:E,MATCH(OrdersTable[[#This Row],[Product ID]],Products!A:A,0))</f>
        <v>112</v>
      </c>
      <c r="W661" s="77">
        <f>OrdersTable[[#This Row],[Quantity]]*OrdersTable[[#This Row],[Unit Cost]]</f>
        <v>112</v>
      </c>
      <c r="X661" s="77">
        <f>'Dropdown Lists'!$I$2*(1+OrdersTable[[#This Row],[Returned]])</f>
        <v>60</v>
      </c>
      <c r="Y661" s="76">
        <f>OrdersTable[[#This Row],[Net Revenue]]-OrdersTable[[#This Row],[COGS]]-OrdersTable[[#This Row],[Shipping Cost]]</f>
        <v>187.10000000000002</v>
      </c>
      <c r="Z661" s="78">
        <f>IFERROR(OrdersTable[[#This Row],[Profit]]/OrdersTable[[#This Row],[Net Revenue]],0)</f>
        <v>0.52102478418267895</v>
      </c>
      <c r="AA661" t="s">
        <v>4074</v>
      </c>
      <c r="AB661" s="79">
        <v>45432</v>
      </c>
      <c r="AC661">
        <f>OrdersTable[[#This Row],[Delivery Date]]-OrdersTable[[#This Row],[Order Date]]</f>
        <v>4</v>
      </c>
      <c r="AD661" t="str">
        <f>IF(OrdersTable[[#This Row],[Delivery Days]]&lt;=2, "Express (≤2d)", IF(OrdersTable[[#This Row],[Delivery Days]]&lt;=4, "Standard (3-4d)", "Delayed (5d+)"))</f>
        <v>Standard (3-4d)</v>
      </c>
      <c r="AE661">
        <v>4</v>
      </c>
      <c r="AF661">
        <v>0</v>
      </c>
    </row>
    <row r="662" spans="1:32" ht="15" x14ac:dyDescent="0.35">
      <c r="A662" t="s">
        <v>4226</v>
      </c>
      <c r="B662" s="1">
        <v>45429</v>
      </c>
      <c r="C662">
        <f>YEAR(OrdersTable[[#This Row],[Order Date]])</f>
        <v>2024</v>
      </c>
      <c r="D662" s="2">
        <f>DATE(YEAR(OrdersTable[[#This Row],[Order Date]]),MONTH(OrdersTable[[#This Row],[Order Date]]),1)</f>
        <v>45413</v>
      </c>
      <c r="E662">
        <f>MONTH(OrdersTable[[#This Row],[Order Date]])</f>
        <v>5</v>
      </c>
      <c r="F662" t="s">
        <v>2201</v>
      </c>
      <c r="G662" t="str">
        <f>IF(OrdersTable[[#This Row],[Order Date]]=_xlfn.MINIFS(Order_Date, Customer_ID, OrdersTable[[#This Row],[Customer ID]]), "New", "Repeat")</f>
        <v>Repeat</v>
      </c>
      <c r="H662" t="s">
        <v>128</v>
      </c>
      <c r="I662" t="str">
        <f>INDEX(State!B:B,MATCH(OrdersTable[[#This Row],[State]],State!A:A,0))</f>
        <v>DL</v>
      </c>
      <c r="J662" t="str">
        <f>INDEX(State!C:C,MATCH(OrdersTable[[#This Row],[State Code]],State!B:B,0))</f>
        <v>North</v>
      </c>
      <c r="K662" t="s">
        <v>129</v>
      </c>
      <c r="L662" t="s">
        <v>50</v>
      </c>
      <c r="M662" t="s">
        <v>73</v>
      </c>
      <c r="N662" t="str">
        <f>INDEX(Products!B:B,MATCH(OrdersTable[[#This Row],[Product ID]],Products!A:A,0))</f>
        <v>Hydrating Face Wash</v>
      </c>
      <c r="O662" t="str">
        <f>INDEX(Products!C:C,MATCH(OrdersTable[[#This Row],[Product ID]],Products!A:A,0))</f>
        <v>Skincare</v>
      </c>
      <c r="P662">
        <v>1</v>
      </c>
      <c r="Q662" s="5">
        <v>299</v>
      </c>
      <c r="R662" s="74">
        <v>0</v>
      </c>
      <c r="S662" s="75">
        <f>OrdersTable[[#This Row],[Quantity]]*OrdersTable[[#This Row],[Unit Price]]</f>
        <v>299</v>
      </c>
      <c r="T662" s="5">
        <f>OrdersTable[[#This Row],[Gross Sale]]*OrdersTable[[#This Row],[Discount_Clean2]]</f>
        <v>0</v>
      </c>
      <c r="U662" s="5">
        <f>OrdersTable[[#This Row],[Gross Sale]]-OrdersTable[[#This Row],[Discount Amount]]</f>
        <v>299</v>
      </c>
      <c r="V662" s="77">
        <f>INDEX(Products!E:E,MATCH(OrdersTable[[#This Row],[Product ID]],Products!A:A,0))</f>
        <v>90</v>
      </c>
      <c r="W662" s="77">
        <f>OrdersTable[[#This Row],[Quantity]]*OrdersTable[[#This Row],[Unit Cost]]</f>
        <v>90</v>
      </c>
      <c r="X662" s="77">
        <f>'Dropdown Lists'!$I$2*(1+OrdersTable[[#This Row],[Returned]])</f>
        <v>60</v>
      </c>
      <c r="Y662" s="76">
        <f>OrdersTable[[#This Row],[Net Revenue]]-OrdersTable[[#This Row],[COGS]]-OrdersTable[[#This Row],[Shipping Cost]]</f>
        <v>149</v>
      </c>
      <c r="Z662" s="78">
        <f>IFERROR(OrdersTable[[#This Row],[Profit]]/OrdersTable[[#This Row],[Net Revenue]],0)</f>
        <v>0.49832775919732442</v>
      </c>
      <c r="AA662" t="s">
        <v>4074</v>
      </c>
      <c r="AB662" s="79">
        <v>45431</v>
      </c>
      <c r="AC662">
        <f>OrdersTable[[#This Row],[Delivery Date]]-OrdersTable[[#This Row],[Order Date]]</f>
        <v>2</v>
      </c>
      <c r="AD662" t="str">
        <f>IF(OrdersTable[[#This Row],[Delivery Days]]&lt;=2, "Express (≤2d)", IF(OrdersTable[[#This Row],[Delivery Days]]&lt;=4, "Standard (3-4d)", "Delayed (5d+)"))</f>
        <v>Express (≤2d)</v>
      </c>
      <c r="AF662">
        <v>0</v>
      </c>
    </row>
    <row r="663" spans="1:32" ht="15" x14ac:dyDescent="0.35">
      <c r="A663" t="s">
        <v>1642</v>
      </c>
      <c r="B663" s="1">
        <v>45429</v>
      </c>
      <c r="C663">
        <f>YEAR(OrdersTable[[#This Row],[Order Date]])</f>
        <v>2024</v>
      </c>
      <c r="D663" s="2">
        <f>DATE(YEAR(OrdersTable[[#This Row],[Order Date]]),MONTH(OrdersTable[[#This Row],[Order Date]]),1)</f>
        <v>45413</v>
      </c>
      <c r="E663">
        <f>MONTH(OrdersTable[[#This Row],[Order Date]])</f>
        <v>5</v>
      </c>
      <c r="F663" t="s">
        <v>1643</v>
      </c>
      <c r="G663" t="str">
        <f>IF(OrdersTable[[#This Row],[Order Date]]=_xlfn.MINIFS(Order_Date, Customer_ID, OrdersTable[[#This Row],[Customer ID]]), "New", "Repeat")</f>
        <v>New</v>
      </c>
      <c r="H663" t="s">
        <v>27</v>
      </c>
      <c r="I663" t="str">
        <f>INDEX(State!B:B,MATCH(OrdersTable[[#This Row],[State]],State!A:A,0))</f>
        <v>WB</v>
      </c>
      <c r="J663" t="str">
        <f>INDEX(State!C:C,MATCH(OrdersTable[[#This Row],[State Code]],State!B:B,0))</f>
        <v>East</v>
      </c>
      <c r="K663" t="s">
        <v>28</v>
      </c>
      <c r="L663" t="s">
        <v>65</v>
      </c>
      <c r="M663" t="s">
        <v>51</v>
      </c>
      <c r="N663" t="str">
        <f>INDEX(Products!B:B,MATCH(OrdersTable[[#This Row],[Product ID]],Products!A:A,0))</f>
        <v>Anti-Dandruff Conditioner</v>
      </c>
      <c r="O663" t="str">
        <f>INDEX(Products!C:C,MATCH(OrdersTable[[#This Row],[Product ID]],Products!A:A,0))</f>
        <v>Haircare</v>
      </c>
      <c r="P663">
        <v>1</v>
      </c>
      <c r="Q663" s="5">
        <v>399</v>
      </c>
      <c r="R663" s="74">
        <v>0.35</v>
      </c>
      <c r="S663" s="75">
        <f>OrdersTable[[#This Row],[Quantity]]*OrdersTable[[#This Row],[Unit Price]]</f>
        <v>399</v>
      </c>
      <c r="T663" s="5">
        <f>OrdersTable[[#This Row],[Gross Sale]]*OrdersTable[[#This Row],[Discount_Clean2]]</f>
        <v>139.64999999999998</v>
      </c>
      <c r="U663" s="5">
        <f>OrdersTable[[#This Row],[Gross Sale]]-OrdersTable[[#This Row],[Discount Amount]]</f>
        <v>259.35000000000002</v>
      </c>
      <c r="V663" s="77">
        <f>INDEX(Products!E:E,MATCH(OrdersTable[[#This Row],[Product ID]],Products!A:A,0))</f>
        <v>136</v>
      </c>
      <c r="W663" s="77">
        <f>OrdersTable[[#This Row],[Quantity]]*OrdersTable[[#This Row],[Unit Cost]]</f>
        <v>136</v>
      </c>
      <c r="X663" s="77">
        <f>'Dropdown Lists'!$I$2*(1+OrdersTable[[#This Row],[Returned]])</f>
        <v>60</v>
      </c>
      <c r="Y663" s="76">
        <f>OrdersTable[[#This Row],[Net Revenue]]-OrdersTable[[#This Row],[COGS]]-OrdersTable[[#This Row],[Shipping Cost]]</f>
        <v>63.350000000000023</v>
      </c>
      <c r="Z663" s="78">
        <f>IFERROR(OrdersTable[[#This Row],[Profit]]/OrdersTable[[#This Row],[Net Revenue]],0)</f>
        <v>0.24426450742240222</v>
      </c>
      <c r="AA663" t="s">
        <v>18</v>
      </c>
      <c r="AB663" s="79">
        <v>45432</v>
      </c>
      <c r="AC663">
        <f>OrdersTable[[#This Row],[Delivery Date]]-OrdersTable[[#This Row],[Order Date]]</f>
        <v>3</v>
      </c>
      <c r="AD663" t="str">
        <f>IF(OrdersTable[[#This Row],[Delivery Days]]&lt;=2, "Express (≤2d)", IF(OrdersTable[[#This Row],[Delivery Days]]&lt;=4, "Standard (3-4d)", "Delayed (5d+)"))</f>
        <v>Standard (3-4d)</v>
      </c>
      <c r="AF663">
        <v>0</v>
      </c>
    </row>
    <row r="664" spans="1:32" ht="15" x14ac:dyDescent="0.35">
      <c r="A664" t="s">
        <v>5317</v>
      </c>
      <c r="B664" s="1">
        <v>45429</v>
      </c>
      <c r="C664">
        <f>YEAR(OrdersTable[[#This Row],[Order Date]])</f>
        <v>2024</v>
      </c>
      <c r="D664" s="2">
        <f>DATE(YEAR(OrdersTable[[#This Row],[Order Date]]),MONTH(OrdersTable[[#This Row],[Order Date]]),1)</f>
        <v>45413</v>
      </c>
      <c r="E664">
        <f>MONTH(OrdersTable[[#This Row],[Order Date]])</f>
        <v>5</v>
      </c>
      <c r="F664" t="s">
        <v>3608</v>
      </c>
      <c r="G664" t="str">
        <f>IF(OrdersTable[[#This Row],[Order Date]]=_xlfn.MINIFS(Order_Date, Customer_ID, OrdersTable[[#This Row],[Customer ID]]), "New", "Repeat")</f>
        <v>New</v>
      </c>
      <c r="H664" t="s">
        <v>59</v>
      </c>
      <c r="I664" t="str">
        <f>INDEX(State!B:B,MATCH(OrdersTable[[#This Row],[State]],State!A:A,0))</f>
        <v>TN</v>
      </c>
      <c r="J664" t="str">
        <f>INDEX(State!C:C,MATCH(OrdersTable[[#This Row],[State Code]],State!B:B,0))</f>
        <v>South</v>
      </c>
      <c r="K664" t="s">
        <v>64</v>
      </c>
      <c r="L664" t="s">
        <v>65</v>
      </c>
      <c r="M664" t="s">
        <v>29</v>
      </c>
      <c r="N664" t="str">
        <f>INDEX(Products!B:B,MATCH(OrdersTable[[#This Row],[Product ID]],Products!A:A,0))</f>
        <v>Joggers</v>
      </c>
      <c r="O664" t="str">
        <f>INDEX(Products!C:C,MATCH(OrdersTable[[#This Row],[Product ID]],Products!A:A,0))</f>
        <v>Apparel</v>
      </c>
      <c r="P664">
        <v>2</v>
      </c>
      <c r="Q664" s="5">
        <v>1199</v>
      </c>
      <c r="R664" s="74">
        <v>0.1</v>
      </c>
      <c r="S664" s="75">
        <f>OrdersTable[[#This Row],[Quantity]]*OrdersTable[[#This Row],[Unit Price]]</f>
        <v>2398</v>
      </c>
      <c r="T664" s="5">
        <f>OrdersTable[[#This Row],[Gross Sale]]*OrdersTable[[#This Row],[Discount_Clean2]]</f>
        <v>239.8</v>
      </c>
      <c r="U664" s="5">
        <f>OrdersTable[[#This Row],[Gross Sale]]-OrdersTable[[#This Row],[Discount Amount]]</f>
        <v>2158.1999999999998</v>
      </c>
      <c r="V664" s="77">
        <f>INDEX(Products!E:E,MATCH(OrdersTable[[#This Row],[Product ID]],Products!A:A,0))</f>
        <v>492</v>
      </c>
      <c r="W664" s="77">
        <f>OrdersTable[[#This Row],[Quantity]]*OrdersTable[[#This Row],[Unit Cost]]</f>
        <v>984</v>
      </c>
      <c r="X664" s="77">
        <f>'Dropdown Lists'!$I$2*(1+OrdersTable[[#This Row],[Returned]])</f>
        <v>120</v>
      </c>
      <c r="Y664" s="76">
        <f>OrdersTable[[#This Row],[Net Revenue]]-OrdersTable[[#This Row],[COGS]]-OrdersTable[[#This Row],[Shipping Cost]]</f>
        <v>1054.1999999999998</v>
      </c>
      <c r="Z664" s="78">
        <f>IFERROR(OrdersTable[[#This Row],[Profit]]/OrdersTable[[#This Row],[Net Revenue]],0)</f>
        <v>0.48846260772866273</v>
      </c>
      <c r="AA664" t="s">
        <v>2522</v>
      </c>
      <c r="AB664" s="79">
        <v>45433</v>
      </c>
      <c r="AC664">
        <f>OrdersTable[[#This Row],[Delivery Date]]-OrdersTable[[#This Row],[Order Date]]</f>
        <v>4</v>
      </c>
      <c r="AD664" t="str">
        <f>IF(OrdersTable[[#This Row],[Delivery Days]]&lt;=2, "Express (≤2d)", IF(OrdersTable[[#This Row],[Delivery Days]]&lt;=4, "Standard (3-4d)", "Delayed (5d+)"))</f>
        <v>Standard (3-4d)</v>
      </c>
      <c r="AF664">
        <v>1</v>
      </c>
    </row>
    <row r="665" spans="1:32" ht="15" x14ac:dyDescent="0.35">
      <c r="A665" t="s">
        <v>5578</v>
      </c>
      <c r="B665" s="1">
        <v>45430</v>
      </c>
      <c r="C665">
        <f>YEAR(OrdersTable[[#This Row],[Order Date]])</f>
        <v>2024</v>
      </c>
      <c r="D665" s="2">
        <f>DATE(YEAR(OrdersTable[[#This Row],[Order Date]]),MONTH(OrdersTable[[#This Row],[Order Date]]),1)</f>
        <v>45413</v>
      </c>
      <c r="E665">
        <f>MONTH(OrdersTable[[#This Row],[Order Date]])</f>
        <v>5</v>
      </c>
      <c r="F665" t="s">
        <v>5579</v>
      </c>
      <c r="G665" t="str">
        <f>IF(OrdersTable[[#This Row],[Order Date]]=_xlfn.MINIFS(Order_Date, Customer_ID, OrdersTable[[#This Row],[Customer ID]]), "New", "Repeat")</f>
        <v>New</v>
      </c>
      <c r="H665" t="s">
        <v>21</v>
      </c>
      <c r="I665" t="str">
        <f>INDEX(State!B:B,MATCH(OrdersTable[[#This Row],[State]],State!A:A,0))</f>
        <v>PB</v>
      </c>
      <c r="J665" t="str">
        <f>INDEX(State!C:C,MATCH(OrdersTable[[#This Row],[State Code]],State!B:B,0))</f>
        <v>North</v>
      </c>
      <c r="K665" t="s">
        <v>260</v>
      </c>
      <c r="L665" t="s">
        <v>50</v>
      </c>
      <c r="M665" t="s">
        <v>160</v>
      </c>
      <c r="N665" t="str">
        <f>INDEX(Products!B:B,MATCH(OrdersTable[[#This Row],[Product ID]],Products!A:A,0))</f>
        <v>Niacinamide Toner</v>
      </c>
      <c r="O665" t="str">
        <f>INDEX(Products!C:C,MATCH(OrdersTable[[#This Row],[Product ID]],Products!A:A,0))</f>
        <v>Skincare</v>
      </c>
      <c r="P665">
        <v>2</v>
      </c>
      <c r="Q665" s="5">
        <v>399</v>
      </c>
      <c r="R665" s="74">
        <v>0.2</v>
      </c>
      <c r="S665" s="75">
        <f>OrdersTable[[#This Row],[Quantity]]*OrdersTable[[#This Row],[Unit Price]]</f>
        <v>798</v>
      </c>
      <c r="T665" s="5">
        <f>OrdersTable[[#This Row],[Gross Sale]]*OrdersTable[[#This Row],[Discount_Clean2]]</f>
        <v>159.60000000000002</v>
      </c>
      <c r="U665" s="5">
        <f>OrdersTable[[#This Row],[Gross Sale]]-OrdersTable[[#This Row],[Discount Amount]]</f>
        <v>638.4</v>
      </c>
      <c r="V665" s="77">
        <f>INDEX(Products!E:E,MATCH(OrdersTable[[#This Row],[Product ID]],Products!A:A,0))</f>
        <v>112</v>
      </c>
      <c r="W665" s="77">
        <f>OrdersTable[[#This Row],[Quantity]]*OrdersTable[[#This Row],[Unit Cost]]</f>
        <v>224</v>
      </c>
      <c r="X665" s="77">
        <f>'Dropdown Lists'!$I$2*(1+OrdersTable[[#This Row],[Returned]])</f>
        <v>60</v>
      </c>
      <c r="Y665" s="76">
        <f>OrdersTable[[#This Row],[Net Revenue]]-OrdersTable[[#This Row],[COGS]]-OrdersTable[[#This Row],[Shipping Cost]]</f>
        <v>354.4</v>
      </c>
      <c r="Z665" s="78">
        <f>IFERROR(OrdersTable[[#This Row],[Profit]]/OrdersTable[[#This Row],[Net Revenue]],0)</f>
        <v>0.55513784461152882</v>
      </c>
      <c r="AA665" t="s">
        <v>2522</v>
      </c>
      <c r="AB665" s="79">
        <v>45433</v>
      </c>
      <c r="AC665">
        <f>OrdersTable[[#This Row],[Delivery Date]]-OrdersTable[[#This Row],[Order Date]]</f>
        <v>3</v>
      </c>
      <c r="AD665" t="str">
        <f>IF(OrdersTable[[#This Row],[Delivery Days]]&lt;=2, "Express (≤2d)", IF(OrdersTable[[#This Row],[Delivery Days]]&lt;=4, "Standard (3-4d)", "Delayed (5d+)"))</f>
        <v>Standard (3-4d)</v>
      </c>
      <c r="AE665">
        <v>4</v>
      </c>
      <c r="AF665">
        <v>0</v>
      </c>
    </row>
    <row r="666" spans="1:32" ht="15" x14ac:dyDescent="0.35">
      <c r="A666" t="s">
        <v>4564</v>
      </c>
      <c r="B666" s="1">
        <v>45430</v>
      </c>
      <c r="C666">
        <f>YEAR(OrdersTable[[#This Row],[Order Date]])</f>
        <v>2024</v>
      </c>
      <c r="D666" s="2">
        <f>DATE(YEAR(OrdersTable[[#This Row],[Order Date]]),MONTH(OrdersTable[[#This Row],[Order Date]]),1)</f>
        <v>45413</v>
      </c>
      <c r="E666">
        <f>MONTH(OrdersTable[[#This Row],[Order Date]])</f>
        <v>5</v>
      </c>
      <c r="F666" t="s">
        <v>4565</v>
      </c>
      <c r="G666" t="str">
        <f>IF(OrdersTable[[#This Row],[Order Date]]=_xlfn.MINIFS(Order_Date, Customer_ID, OrdersTable[[#This Row],[Customer ID]]), "New", "Repeat")</f>
        <v>New</v>
      </c>
      <c r="H666" t="s">
        <v>37</v>
      </c>
      <c r="I666" t="str">
        <f>INDEX(State!B:B,MATCH(OrdersTable[[#This Row],[State]],State!A:A,0))</f>
        <v>GJ</v>
      </c>
      <c r="J666" t="str">
        <f>INDEX(State!C:C,MATCH(OrdersTable[[#This Row],[State Code]],State!B:B,0))</f>
        <v>West</v>
      </c>
      <c r="K666" t="s">
        <v>247</v>
      </c>
      <c r="L666" t="s">
        <v>50</v>
      </c>
      <c r="M666" t="s">
        <v>56</v>
      </c>
      <c r="N666" t="str">
        <f>INDEX(Products!B:B,MATCH(OrdersTable[[#This Row],[Product ID]],Products!A:A,0))</f>
        <v>Vitamin C Face Serum</v>
      </c>
      <c r="O666" t="str">
        <f>INDEX(Products!C:C,MATCH(OrdersTable[[#This Row],[Product ID]],Products!A:A,0))</f>
        <v>Skincare</v>
      </c>
      <c r="P666">
        <v>1</v>
      </c>
      <c r="Q666" s="5">
        <v>599</v>
      </c>
      <c r="R666" s="74">
        <v>0.15</v>
      </c>
      <c r="S666" s="75">
        <f>OrdersTable[[#This Row],[Quantity]]*OrdersTable[[#This Row],[Unit Price]]</f>
        <v>599</v>
      </c>
      <c r="T666" s="5">
        <f>OrdersTable[[#This Row],[Gross Sale]]*OrdersTable[[#This Row],[Discount_Clean2]]</f>
        <v>89.85</v>
      </c>
      <c r="U666" s="5">
        <f>OrdersTable[[#This Row],[Gross Sale]]-OrdersTable[[#This Row],[Discount Amount]]</f>
        <v>509.15</v>
      </c>
      <c r="V666" s="77">
        <f>INDEX(Products!E:E,MATCH(OrdersTable[[#This Row],[Product ID]],Products!A:A,0))</f>
        <v>180</v>
      </c>
      <c r="W666" s="77">
        <f>OrdersTable[[#This Row],[Quantity]]*OrdersTable[[#This Row],[Unit Cost]]</f>
        <v>180</v>
      </c>
      <c r="X666" s="77">
        <f>'Dropdown Lists'!$I$2*(1+OrdersTable[[#This Row],[Returned]])</f>
        <v>60</v>
      </c>
      <c r="Y666" s="76">
        <f>OrdersTable[[#This Row],[Net Revenue]]-OrdersTable[[#This Row],[COGS]]-OrdersTable[[#This Row],[Shipping Cost]]</f>
        <v>269.14999999999998</v>
      </c>
      <c r="Z666" s="78">
        <f>IFERROR(OrdersTable[[#This Row],[Profit]]/OrdersTable[[#This Row],[Net Revenue]],0)</f>
        <v>0.52862614160856325</v>
      </c>
      <c r="AA666" t="s">
        <v>4450</v>
      </c>
      <c r="AB666" s="79">
        <v>45432</v>
      </c>
      <c r="AC666">
        <f>OrdersTable[[#This Row],[Delivery Date]]-OrdersTable[[#This Row],[Order Date]]</f>
        <v>2</v>
      </c>
      <c r="AD666" t="str">
        <f>IF(OrdersTable[[#This Row],[Delivery Days]]&lt;=2, "Express (≤2d)", IF(OrdersTable[[#This Row],[Delivery Days]]&lt;=4, "Standard (3-4d)", "Delayed (5d+)"))</f>
        <v>Express (≤2d)</v>
      </c>
      <c r="AF666">
        <v>0</v>
      </c>
    </row>
    <row r="667" spans="1:32" ht="15" x14ac:dyDescent="0.35">
      <c r="A667" t="s">
        <v>3529</v>
      </c>
      <c r="B667" s="1">
        <v>45430</v>
      </c>
      <c r="C667">
        <f>YEAR(OrdersTable[[#This Row],[Order Date]])</f>
        <v>2024</v>
      </c>
      <c r="D667" s="2">
        <f>DATE(YEAR(OrdersTable[[#This Row],[Order Date]]),MONTH(OrdersTable[[#This Row],[Order Date]]),1)</f>
        <v>45413</v>
      </c>
      <c r="E667">
        <f>MONTH(OrdersTable[[#This Row],[Order Date]])</f>
        <v>5</v>
      </c>
      <c r="F667" t="s">
        <v>3530</v>
      </c>
      <c r="G667" t="str">
        <f>IF(OrdersTable[[#This Row],[Order Date]]=_xlfn.MINIFS(Order_Date, Customer_ID, OrdersTable[[#This Row],[Customer ID]]), "New", "Repeat")</f>
        <v>Repeat</v>
      </c>
      <c r="H667" t="s">
        <v>43</v>
      </c>
      <c r="I667" t="str">
        <f>INDEX(State!B:B,MATCH(OrdersTable[[#This Row],[State]],State!A:A,0))</f>
        <v>MP</v>
      </c>
      <c r="J667" t="str">
        <f>INDEX(State!C:C,MATCH(OrdersTable[[#This Row],[State Code]],State!B:B,0))</f>
        <v>West</v>
      </c>
      <c r="K667" t="s">
        <v>44</v>
      </c>
      <c r="L667" t="s">
        <v>50</v>
      </c>
      <c r="M667" t="s">
        <v>73</v>
      </c>
      <c r="N667" t="str">
        <f>INDEX(Products!B:B,MATCH(OrdersTable[[#This Row],[Product ID]],Products!A:A,0))</f>
        <v>Hydrating Face Wash</v>
      </c>
      <c r="O667" t="str">
        <f>INDEX(Products!C:C,MATCH(OrdersTable[[#This Row],[Product ID]],Products!A:A,0))</f>
        <v>Skincare</v>
      </c>
      <c r="P667">
        <v>1</v>
      </c>
      <c r="Q667" s="5">
        <v>299</v>
      </c>
      <c r="R667" s="74">
        <v>0.1</v>
      </c>
      <c r="S667" s="75">
        <f>OrdersTable[[#This Row],[Quantity]]*OrdersTable[[#This Row],[Unit Price]]</f>
        <v>299</v>
      </c>
      <c r="T667" s="5">
        <f>OrdersTable[[#This Row],[Gross Sale]]*OrdersTable[[#This Row],[Discount_Clean2]]</f>
        <v>29.900000000000002</v>
      </c>
      <c r="U667" s="5">
        <f>OrdersTable[[#This Row],[Gross Sale]]-OrdersTable[[#This Row],[Discount Amount]]</f>
        <v>269.10000000000002</v>
      </c>
      <c r="V667" s="77">
        <f>INDEX(Products!E:E,MATCH(OrdersTable[[#This Row],[Product ID]],Products!A:A,0))</f>
        <v>90</v>
      </c>
      <c r="W667" s="77">
        <f>OrdersTable[[#This Row],[Quantity]]*OrdersTable[[#This Row],[Unit Cost]]</f>
        <v>90</v>
      </c>
      <c r="X667" s="77">
        <f>'Dropdown Lists'!$I$2*(1+OrdersTable[[#This Row],[Returned]])</f>
        <v>60</v>
      </c>
      <c r="Y667" s="76">
        <f>OrdersTable[[#This Row],[Net Revenue]]-OrdersTable[[#This Row],[COGS]]-OrdersTable[[#This Row],[Shipping Cost]]</f>
        <v>119.10000000000002</v>
      </c>
      <c r="Z667" s="78">
        <f>IFERROR(OrdersTable[[#This Row],[Profit]]/OrdersTable[[#This Row],[Net Revenue]],0)</f>
        <v>0.4425863991081383</v>
      </c>
      <c r="AA667" t="s">
        <v>3495</v>
      </c>
      <c r="AB667" s="79">
        <v>45434</v>
      </c>
      <c r="AC667">
        <f>OrdersTable[[#This Row],[Delivery Date]]-OrdersTable[[#This Row],[Order Date]]</f>
        <v>4</v>
      </c>
      <c r="AD667" t="str">
        <f>IF(OrdersTable[[#This Row],[Delivery Days]]&lt;=2, "Express (≤2d)", IF(OrdersTable[[#This Row],[Delivery Days]]&lt;=4, "Standard (3-4d)", "Delayed (5d+)"))</f>
        <v>Standard (3-4d)</v>
      </c>
      <c r="AE667">
        <v>4</v>
      </c>
      <c r="AF667">
        <v>0</v>
      </c>
    </row>
    <row r="668" spans="1:32" ht="15" x14ac:dyDescent="0.35">
      <c r="A668" t="s">
        <v>5318</v>
      </c>
      <c r="B668" s="1">
        <v>45430</v>
      </c>
      <c r="C668">
        <f>YEAR(OrdersTable[[#This Row],[Order Date]])</f>
        <v>2024</v>
      </c>
      <c r="D668" s="2">
        <f>DATE(YEAR(OrdersTable[[#This Row],[Order Date]]),MONTH(OrdersTable[[#This Row],[Order Date]]),1)</f>
        <v>45413</v>
      </c>
      <c r="E668">
        <f>MONTH(OrdersTable[[#This Row],[Order Date]])</f>
        <v>5</v>
      </c>
      <c r="F668" t="s">
        <v>5319</v>
      </c>
      <c r="G668" t="str">
        <f>IF(OrdersTable[[#This Row],[Order Date]]=_xlfn.MINIFS(Order_Date, Customer_ID, OrdersTable[[#This Row],[Customer ID]]), "New", "Repeat")</f>
        <v>New</v>
      </c>
      <c r="H668" t="s">
        <v>27</v>
      </c>
      <c r="I668" t="str">
        <f>INDEX(State!B:B,MATCH(OrdersTable[[#This Row],[State]],State!A:A,0))</f>
        <v>WB</v>
      </c>
      <c r="J668" t="str">
        <f>INDEX(State!C:C,MATCH(OrdersTable[[#This Row],[State Code]],State!B:B,0))</f>
        <v>East</v>
      </c>
      <c r="K668" t="s">
        <v>28</v>
      </c>
      <c r="L668" t="s">
        <v>39</v>
      </c>
      <c r="M668" t="s">
        <v>40</v>
      </c>
      <c r="N668" t="str">
        <f>INDEX(Products!B:B,MATCH(OrdersTable[[#This Row],[Product ID]],Products!A:A,0))</f>
        <v>Ashwagandha Capsules</v>
      </c>
      <c r="O668" t="str">
        <f>INDEX(Products!C:C,MATCH(OrdersTable[[#This Row],[Product ID]],Products!A:A,0))</f>
        <v>Wellness</v>
      </c>
      <c r="P668">
        <v>2</v>
      </c>
      <c r="Q668" s="5">
        <v>499</v>
      </c>
      <c r="R668" s="74">
        <v>0</v>
      </c>
      <c r="S668" s="75">
        <f>OrdersTable[[#This Row],[Quantity]]*OrdersTable[[#This Row],[Unit Price]]</f>
        <v>998</v>
      </c>
      <c r="T668" s="5">
        <f>OrdersTable[[#This Row],[Gross Sale]]*OrdersTable[[#This Row],[Discount_Clean2]]</f>
        <v>0</v>
      </c>
      <c r="U668" s="5">
        <f>OrdersTable[[#This Row],[Gross Sale]]-OrdersTable[[#This Row],[Discount Amount]]</f>
        <v>998</v>
      </c>
      <c r="V668" s="77">
        <f>INDEX(Products!E:E,MATCH(OrdersTable[[#This Row],[Product ID]],Products!A:A,0))</f>
        <v>150</v>
      </c>
      <c r="W668" s="77">
        <f>OrdersTable[[#This Row],[Quantity]]*OrdersTable[[#This Row],[Unit Cost]]</f>
        <v>300</v>
      </c>
      <c r="X668" s="77">
        <f>'Dropdown Lists'!$I$2*(1+OrdersTable[[#This Row],[Returned]])</f>
        <v>60</v>
      </c>
      <c r="Y668" s="76">
        <f>OrdersTable[[#This Row],[Net Revenue]]-OrdersTable[[#This Row],[COGS]]-OrdersTable[[#This Row],[Shipping Cost]]</f>
        <v>638</v>
      </c>
      <c r="Z668" s="78">
        <f>IFERROR(OrdersTable[[#This Row],[Profit]]/OrdersTable[[#This Row],[Net Revenue]],0)</f>
        <v>0.63927855711422843</v>
      </c>
      <c r="AA668" t="s">
        <v>2522</v>
      </c>
      <c r="AB668" s="79">
        <v>45434</v>
      </c>
      <c r="AC668">
        <f>OrdersTable[[#This Row],[Delivery Date]]-OrdersTable[[#This Row],[Order Date]]</f>
        <v>4</v>
      </c>
      <c r="AD668" t="str">
        <f>IF(OrdersTable[[#This Row],[Delivery Days]]&lt;=2, "Express (≤2d)", IF(OrdersTable[[#This Row],[Delivery Days]]&lt;=4, "Standard (3-4d)", "Delayed (5d+)"))</f>
        <v>Standard (3-4d)</v>
      </c>
      <c r="AE668">
        <v>5</v>
      </c>
      <c r="AF668">
        <v>0</v>
      </c>
    </row>
    <row r="669" spans="1:32" ht="15" x14ac:dyDescent="0.35">
      <c r="A669" t="s">
        <v>6669</v>
      </c>
      <c r="B669" s="1">
        <v>45430</v>
      </c>
      <c r="C669">
        <f>YEAR(OrdersTable[[#This Row],[Order Date]])</f>
        <v>2024</v>
      </c>
      <c r="D669" s="2">
        <f>DATE(YEAR(OrdersTable[[#This Row],[Order Date]]),MONTH(OrdersTable[[#This Row],[Order Date]]),1)</f>
        <v>45413</v>
      </c>
      <c r="E669">
        <f>MONTH(OrdersTable[[#This Row],[Order Date]])</f>
        <v>5</v>
      </c>
      <c r="F669" t="s">
        <v>6114</v>
      </c>
      <c r="G669" t="str">
        <f>IF(OrdersTable[[#This Row],[Order Date]]=_xlfn.MINIFS(Order_Date, Customer_ID, OrdersTable[[#This Row],[Customer ID]]), "New", "Repeat")</f>
        <v>New</v>
      </c>
      <c r="H669" t="s">
        <v>71</v>
      </c>
      <c r="I669" t="str">
        <f>INDEX(State!B:B,MATCH(OrdersTable[[#This Row],[State]],State!A:A,0))</f>
        <v>MH</v>
      </c>
      <c r="J669" t="str">
        <f>INDEX(State!C:C,MATCH(OrdersTable[[#This Row],[State Code]],State!B:B,0))</f>
        <v>West</v>
      </c>
      <c r="K669" t="s">
        <v>72</v>
      </c>
      <c r="L669" t="s">
        <v>65</v>
      </c>
      <c r="M669" t="s">
        <v>423</v>
      </c>
      <c r="N669" t="str">
        <f>INDEX(Products!B:B,MATCH(OrdersTable[[#This Row],[Product ID]],Products!A:A,0))</f>
        <v>Power Bank 20000mAh</v>
      </c>
      <c r="O669" t="str">
        <f>INDEX(Products!C:C,MATCH(OrdersTable[[#This Row],[Product ID]],Products!A:A,0))</f>
        <v>Electronics</v>
      </c>
      <c r="P669">
        <v>3</v>
      </c>
      <c r="Q669" s="5">
        <v>1799</v>
      </c>
      <c r="R669" s="74">
        <v>0.4</v>
      </c>
      <c r="S669" s="75">
        <f>OrdersTable[[#This Row],[Quantity]]*OrdersTable[[#This Row],[Unit Price]]</f>
        <v>5397</v>
      </c>
      <c r="T669" s="5">
        <f>OrdersTable[[#This Row],[Gross Sale]]*OrdersTable[[#This Row],[Discount_Clean2]]</f>
        <v>2158.8000000000002</v>
      </c>
      <c r="U669" s="5">
        <f>OrdersTable[[#This Row],[Gross Sale]]-OrdersTable[[#This Row],[Discount Amount]]</f>
        <v>3238.2</v>
      </c>
      <c r="V669" s="77">
        <f>INDEX(Products!E:E,MATCH(OrdersTable[[#This Row],[Product ID]],Products!A:A,0))</f>
        <v>1079</v>
      </c>
      <c r="W669" s="77">
        <f>OrdersTable[[#This Row],[Quantity]]*OrdersTable[[#This Row],[Unit Cost]]</f>
        <v>3237</v>
      </c>
      <c r="X669" s="77">
        <f>'Dropdown Lists'!$I$2*(1+OrdersTable[[#This Row],[Returned]])</f>
        <v>60</v>
      </c>
      <c r="Y669" s="76">
        <f>OrdersTable[[#This Row],[Net Revenue]]-OrdersTable[[#This Row],[COGS]]-OrdersTable[[#This Row],[Shipping Cost]]</f>
        <v>-58.800000000000182</v>
      </c>
      <c r="Z669" s="78">
        <f>IFERROR(OrdersTable[[#This Row],[Profit]]/OrdersTable[[#This Row],[Net Revenue]],0)</f>
        <v>-1.8158236057068799E-2</v>
      </c>
      <c r="AA669" t="s">
        <v>2522</v>
      </c>
      <c r="AB669" s="79">
        <v>45434</v>
      </c>
      <c r="AC669">
        <f>OrdersTable[[#This Row],[Delivery Date]]-OrdersTable[[#This Row],[Order Date]]</f>
        <v>4</v>
      </c>
      <c r="AD669" t="str">
        <f>IF(OrdersTable[[#This Row],[Delivery Days]]&lt;=2, "Express (≤2d)", IF(OrdersTable[[#This Row],[Delivery Days]]&lt;=4, "Standard (3-4d)", "Delayed (5d+)"))</f>
        <v>Standard (3-4d)</v>
      </c>
      <c r="AF669">
        <v>0</v>
      </c>
    </row>
    <row r="670" spans="1:32" ht="15" x14ac:dyDescent="0.35">
      <c r="A670" t="s">
        <v>6486</v>
      </c>
      <c r="B670" s="1">
        <v>45430</v>
      </c>
      <c r="C670">
        <f>YEAR(OrdersTable[[#This Row],[Order Date]])</f>
        <v>2024</v>
      </c>
      <c r="D670" s="2">
        <f>DATE(YEAR(OrdersTable[[#This Row],[Order Date]]),MONTH(OrdersTable[[#This Row],[Order Date]]),1)</f>
        <v>45413</v>
      </c>
      <c r="E670">
        <f>MONTH(OrdersTable[[#This Row],[Order Date]])</f>
        <v>5</v>
      </c>
      <c r="F670" t="s">
        <v>4756</v>
      </c>
      <c r="G670" t="str">
        <f>IF(OrdersTable[[#This Row],[Order Date]]=_xlfn.MINIFS(Order_Date, Customer_ID, OrdersTable[[#This Row],[Customer ID]]), "New", "Repeat")</f>
        <v>Repeat</v>
      </c>
      <c r="H670" t="s">
        <v>14</v>
      </c>
      <c r="I670" t="str">
        <f>INDEX(State!B:B,MATCH(OrdersTable[[#This Row],[State]],State!A:A,0))</f>
        <v>OD</v>
      </c>
      <c r="J670" t="str">
        <f>INDEX(State!C:C,MATCH(OrdersTable[[#This Row],[State Code]],State!B:B,0))</f>
        <v>East</v>
      </c>
      <c r="K670" t="s">
        <v>15</v>
      </c>
      <c r="L670" t="s">
        <v>50</v>
      </c>
      <c r="M670" t="s">
        <v>66</v>
      </c>
      <c r="N670" t="str">
        <f>INDEX(Products!B:B,MATCH(OrdersTable[[#This Row],[Product ID]],Products!A:A,0))</f>
        <v>Sunscreen SPF 50</v>
      </c>
      <c r="O670" t="str">
        <f>INDEX(Products!C:C,MATCH(OrdersTable[[#This Row],[Product ID]],Products!A:A,0))</f>
        <v>Skincare</v>
      </c>
      <c r="P670">
        <v>3</v>
      </c>
      <c r="Q670" s="5">
        <v>449</v>
      </c>
      <c r="R670" s="74">
        <v>0.15</v>
      </c>
      <c r="S670" s="75">
        <f>OrdersTable[[#This Row],[Quantity]]*OrdersTable[[#This Row],[Unit Price]]</f>
        <v>1347</v>
      </c>
      <c r="T670" s="5">
        <f>OrdersTable[[#This Row],[Gross Sale]]*OrdersTable[[#This Row],[Discount_Clean2]]</f>
        <v>202.04999999999998</v>
      </c>
      <c r="U670" s="5">
        <f>OrdersTable[[#This Row],[Gross Sale]]-OrdersTable[[#This Row],[Discount Amount]]</f>
        <v>1144.95</v>
      </c>
      <c r="V670" s="77">
        <f>INDEX(Products!E:E,MATCH(OrdersTable[[#This Row],[Product ID]],Products!A:A,0))</f>
        <v>144</v>
      </c>
      <c r="W670" s="77">
        <f>OrdersTable[[#This Row],[Quantity]]*OrdersTable[[#This Row],[Unit Cost]]</f>
        <v>432</v>
      </c>
      <c r="X670" s="77">
        <f>'Dropdown Lists'!$I$2*(1+OrdersTable[[#This Row],[Returned]])</f>
        <v>60</v>
      </c>
      <c r="Y670" s="76">
        <f>OrdersTable[[#This Row],[Net Revenue]]-OrdersTable[[#This Row],[COGS]]-OrdersTable[[#This Row],[Shipping Cost]]</f>
        <v>652.95000000000005</v>
      </c>
      <c r="Z670" s="78">
        <f>IFERROR(OrdersTable[[#This Row],[Profit]]/OrdersTable[[#This Row],[Net Revenue]],0)</f>
        <v>0.57028691209223115</v>
      </c>
      <c r="AA670" t="s">
        <v>18</v>
      </c>
      <c r="AB670" s="79">
        <v>45432</v>
      </c>
      <c r="AC670">
        <f>OrdersTable[[#This Row],[Delivery Date]]-OrdersTable[[#This Row],[Order Date]]</f>
        <v>2</v>
      </c>
      <c r="AD670" t="str">
        <f>IF(OrdersTable[[#This Row],[Delivery Days]]&lt;=2, "Express (≤2d)", IF(OrdersTable[[#This Row],[Delivery Days]]&lt;=4, "Standard (3-4d)", "Delayed (5d+)"))</f>
        <v>Express (≤2d)</v>
      </c>
      <c r="AF670">
        <v>0</v>
      </c>
    </row>
    <row r="671" spans="1:32" ht="15" x14ac:dyDescent="0.35">
      <c r="A671" t="s">
        <v>3172</v>
      </c>
      <c r="B671" s="1">
        <v>45430</v>
      </c>
      <c r="C671">
        <f>YEAR(OrdersTable[[#This Row],[Order Date]])</f>
        <v>2024</v>
      </c>
      <c r="D671" s="2">
        <f>DATE(YEAR(OrdersTable[[#This Row],[Order Date]]),MONTH(OrdersTable[[#This Row],[Order Date]]),1)</f>
        <v>45413</v>
      </c>
      <c r="E671">
        <f>MONTH(OrdersTable[[#This Row],[Order Date]])</f>
        <v>5</v>
      </c>
      <c r="F671" t="s">
        <v>696</v>
      </c>
      <c r="G671" t="str">
        <f>IF(OrdersTable[[#This Row],[Order Date]]=_xlfn.MINIFS(Order_Date, Customer_ID, OrdersTable[[#This Row],[Customer ID]]), "New", "Repeat")</f>
        <v>New</v>
      </c>
      <c r="H671" t="s">
        <v>167</v>
      </c>
      <c r="I671" t="str">
        <f>INDEX(State!B:B,MATCH(OrdersTable[[#This Row],[State]],State!A:A,0))</f>
        <v>KA</v>
      </c>
      <c r="J671" t="str">
        <f>INDEX(State!C:C,MATCH(OrdersTable[[#This Row],[State Code]],State!B:B,0))</f>
        <v>South</v>
      </c>
      <c r="K671" t="s">
        <v>168</v>
      </c>
      <c r="L671" t="s">
        <v>39</v>
      </c>
      <c r="M671" t="s">
        <v>56</v>
      </c>
      <c r="N671" t="str">
        <f>INDEX(Products!B:B,MATCH(OrdersTable[[#This Row],[Product ID]],Products!A:A,0))</f>
        <v>Vitamin C Face Serum</v>
      </c>
      <c r="O671" t="str">
        <f>INDEX(Products!C:C,MATCH(OrdersTable[[#This Row],[Product ID]],Products!A:A,0))</f>
        <v>Skincare</v>
      </c>
      <c r="P671">
        <v>1</v>
      </c>
      <c r="Q671" s="5">
        <v>599</v>
      </c>
      <c r="R671" s="74">
        <v>0.15</v>
      </c>
      <c r="S671" s="75">
        <f>OrdersTable[[#This Row],[Quantity]]*OrdersTable[[#This Row],[Unit Price]]</f>
        <v>599</v>
      </c>
      <c r="T671" s="5">
        <f>OrdersTable[[#This Row],[Gross Sale]]*OrdersTable[[#This Row],[Discount_Clean2]]</f>
        <v>89.85</v>
      </c>
      <c r="U671" s="5">
        <f>OrdersTable[[#This Row],[Gross Sale]]-OrdersTable[[#This Row],[Discount Amount]]</f>
        <v>509.15</v>
      </c>
      <c r="V671" s="77">
        <f>INDEX(Products!E:E,MATCH(OrdersTable[[#This Row],[Product ID]],Products!A:A,0))</f>
        <v>180</v>
      </c>
      <c r="W671" s="77">
        <f>OrdersTable[[#This Row],[Quantity]]*OrdersTable[[#This Row],[Unit Cost]]</f>
        <v>180</v>
      </c>
      <c r="X671" s="77">
        <f>'Dropdown Lists'!$I$2*(1+OrdersTable[[#This Row],[Returned]])</f>
        <v>60</v>
      </c>
      <c r="Y671" s="76">
        <f>OrdersTable[[#This Row],[Net Revenue]]-OrdersTable[[#This Row],[COGS]]-OrdersTable[[#This Row],[Shipping Cost]]</f>
        <v>269.14999999999998</v>
      </c>
      <c r="Z671" s="78">
        <f>IFERROR(OrdersTable[[#This Row],[Profit]]/OrdersTable[[#This Row],[Net Revenue]],0)</f>
        <v>0.52862614160856325</v>
      </c>
      <c r="AA671" t="s">
        <v>2522</v>
      </c>
      <c r="AB671" s="79">
        <v>45434</v>
      </c>
      <c r="AC671">
        <f>OrdersTable[[#This Row],[Delivery Date]]-OrdersTable[[#This Row],[Order Date]]</f>
        <v>4</v>
      </c>
      <c r="AD671" t="str">
        <f>IF(OrdersTable[[#This Row],[Delivery Days]]&lt;=2, "Express (≤2d)", IF(OrdersTable[[#This Row],[Delivery Days]]&lt;=4, "Standard (3-4d)", "Delayed (5d+)"))</f>
        <v>Standard (3-4d)</v>
      </c>
      <c r="AE671">
        <v>4</v>
      </c>
      <c r="AF671">
        <v>0</v>
      </c>
    </row>
    <row r="672" spans="1:32" ht="15" x14ac:dyDescent="0.35">
      <c r="A672" t="s">
        <v>3721</v>
      </c>
      <c r="B672" s="1">
        <v>45431</v>
      </c>
      <c r="C672">
        <f>YEAR(OrdersTable[[#This Row],[Order Date]])</f>
        <v>2024</v>
      </c>
      <c r="D672" s="2">
        <f>DATE(YEAR(OrdersTable[[#This Row],[Order Date]]),MONTH(OrdersTable[[#This Row],[Order Date]]),1)</f>
        <v>45413</v>
      </c>
      <c r="E672">
        <f>MONTH(OrdersTable[[#This Row],[Order Date]])</f>
        <v>5</v>
      </c>
      <c r="F672" t="s">
        <v>3722</v>
      </c>
      <c r="G672" t="str">
        <f>IF(OrdersTable[[#This Row],[Order Date]]=_xlfn.MINIFS(Order_Date, Customer_ID, OrdersTable[[#This Row],[Customer ID]]), "New", "Repeat")</f>
        <v>New</v>
      </c>
      <c r="H672" t="s">
        <v>32</v>
      </c>
      <c r="I672" t="str">
        <f>INDEX(State!B:B,MATCH(OrdersTable[[#This Row],[State]],State!A:A,0))</f>
        <v>BR</v>
      </c>
      <c r="J672" t="str">
        <f>INDEX(State!C:C,MATCH(OrdersTable[[#This Row],[State Code]],State!B:B,0))</f>
        <v>East</v>
      </c>
      <c r="K672" t="s">
        <v>33</v>
      </c>
      <c r="L672" t="s">
        <v>23</v>
      </c>
      <c r="M672" t="s">
        <v>56</v>
      </c>
      <c r="N672" t="str">
        <f>INDEX(Products!B:B,MATCH(OrdersTable[[#This Row],[Product ID]],Products!A:A,0))</f>
        <v>Vitamin C Face Serum</v>
      </c>
      <c r="O672" t="str">
        <f>INDEX(Products!C:C,MATCH(OrdersTable[[#This Row],[Product ID]],Products!A:A,0))</f>
        <v>Skincare</v>
      </c>
      <c r="P672">
        <v>1</v>
      </c>
      <c r="Q672" s="5">
        <v>599</v>
      </c>
      <c r="R672" s="74">
        <v>0.15</v>
      </c>
      <c r="S672" s="75">
        <f>OrdersTable[[#This Row],[Quantity]]*OrdersTable[[#This Row],[Unit Price]]</f>
        <v>599</v>
      </c>
      <c r="T672" s="5">
        <f>OrdersTable[[#This Row],[Gross Sale]]*OrdersTable[[#This Row],[Discount_Clean2]]</f>
        <v>89.85</v>
      </c>
      <c r="U672" s="5">
        <f>OrdersTable[[#This Row],[Gross Sale]]-OrdersTable[[#This Row],[Discount Amount]]</f>
        <v>509.15</v>
      </c>
      <c r="V672" s="77">
        <f>INDEX(Products!E:E,MATCH(OrdersTable[[#This Row],[Product ID]],Products!A:A,0))</f>
        <v>180</v>
      </c>
      <c r="W672" s="77">
        <f>OrdersTable[[#This Row],[Quantity]]*OrdersTable[[#This Row],[Unit Cost]]</f>
        <v>180</v>
      </c>
      <c r="X672" s="77">
        <f>'Dropdown Lists'!$I$2*(1+OrdersTable[[#This Row],[Returned]])</f>
        <v>60</v>
      </c>
      <c r="Y672" s="76">
        <f>OrdersTable[[#This Row],[Net Revenue]]-OrdersTable[[#This Row],[COGS]]-OrdersTable[[#This Row],[Shipping Cost]]</f>
        <v>269.14999999999998</v>
      </c>
      <c r="Z672" s="78">
        <f>IFERROR(OrdersTable[[#This Row],[Profit]]/OrdersTable[[#This Row],[Net Revenue]],0)</f>
        <v>0.52862614160856325</v>
      </c>
      <c r="AA672" t="s">
        <v>3495</v>
      </c>
      <c r="AB672" s="79">
        <v>45434</v>
      </c>
      <c r="AC672">
        <f>OrdersTable[[#This Row],[Delivery Date]]-OrdersTable[[#This Row],[Order Date]]</f>
        <v>3</v>
      </c>
      <c r="AD672" t="str">
        <f>IF(OrdersTable[[#This Row],[Delivery Days]]&lt;=2, "Express (≤2d)", IF(OrdersTable[[#This Row],[Delivery Days]]&lt;=4, "Standard (3-4d)", "Delayed (5d+)"))</f>
        <v>Standard (3-4d)</v>
      </c>
      <c r="AF672">
        <v>0</v>
      </c>
    </row>
    <row r="673" spans="1:32" ht="15" x14ac:dyDescent="0.35">
      <c r="A673" t="s">
        <v>2557</v>
      </c>
      <c r="B673" s="1">
        <v>45431</v>
      </c>
      <c r="C673">
        <f>YEAR(OrdersTable[[#This Row],[Order Date]])</f>
        <v>2024</v>
      </c>
      <c r="D673" s="2">
        <f>DATE(YEAR(OrdersTable[[#This Row],[Order Date]]),MONTH(OrdersTable[[#This Row],[Order Date]]),1)</f>
        <v>45413</v>
      </c>
      <c r="E673">
        <f>MONTH(OrdersTable[[#This Row],[Order Date]])</f>
        <v>5</v>
      </c>
      <c r="F673" t="s">
        <v>2505</v>
      </c>
      <c r="G673" t="str">
        <f>IF(OrdersTable[[#This Row],[Order Date]]=_xlfn.MINIFS(Order_Date, Customer_ID, OrdersTable[[#This Row],[Customer ID]]), "New", "Repeat")</f>
        <v>New</v>
      </c>
      <c r="H673" t="s">
        <v>37</v>
      </c>
      <c r="I673" t="str">
        <f>INDEX(State!B:B,MATCH(OrdersTable[[#This Row],[State]],State!A:A,0))</f>
        <v>GJ</v>
      </c>
      <c r="J673" t="str">
        <f>INDEX(State!C:C,MATCH(OrdersTable[[#This Row],[State Code]],State!B:B,0))</f>
        <v>West</v>
      </c>
      <c r="K673" t="s">
        <v>38</v>
      </c>
      <c r="L673" t="s">
        <v>16</v>
      </c>
      <c r="M673" t="s">
        <v>29</v>
      </c>
      <c r="N673" t="str">
        <f>INDEX(Products!B:B,MATCH(OrdersTable[[#This Row],[Product ID]],Products!A:A,0))</f>
        <v>Joggers</v>
      </c>
      <c r="O673" t="str">
        <f>INDEX(Products!C:C,MATCH(OrdersTable[[#This Row],[Product ID]],Products!A:A,0))</f>
        <v>Apparel</v>
      </c>
      <c r="P673">
        <v>1</v>
      </c>
      <c r="Q673" s="5">
        <v>1199</v>
      </c>
      <c r="R673" s="74">
        <v>0.1</v>
      </c>
      <c r="S673" s="75">
        <f>OrdersTable[[#This Row],[Quantity]]*OrdersTable[[#This Row],[Unit Price]]</f>
        <v>1199</v>
      </c>
      <c r="T673" s="5">
        <f>OrdersTable[[#This Row],[Gross Sale]]*OrdersTable[[#This Row],[Discount_Clean2]]</f>
        <v>119.9</v>
      </c>
      <c r="U673" s="5">
        <f>OrdersTable[[#This Row],[Gross Sale]]-OrdersTable[[#This Row],[Discount Amount]]</f>
        <v>1079.0999999999999</v>
      </c>
      <c r="V673" s="77">
        <f>INDEX(Products!E:E,MATCH(OrdersTable[[#This Row],[Product ID]],Products!A:A,0))</f>
        <v>492</v>
      </c>
      <c r="W673" s="77">
        <f>OrdersTable[[#This Row],[Quantity]]*OrdersTable[[#This Row],[Unit Cost]]</f>
        <v>492</v>
      </c>
      <c r="X673" s="77">
        <f>'Dropdown Lists'!$I$2*(1+OrdersTable[[#This Row],[Returned]])</f>
        <v>60</v>
      </c>
      <c r="Y673" s="76">
        <f>OrdersTable[[#This Row],[Net Revenue]]-OrdersTable[[#This Row],[COGS]]-OrdersTable[[#This Row],[Shipping Cost]]</f>
        <v>527.09999999999991</v>
      </c>
      <c r="Z673" s="78">
        <f>IFERROR(OrdersTable[[#This Row],[Profit]]/OrdersTable[[#This Row],[Net Revenue]],0)</f>
        <v>0.48846260772866273</v>
      </c>
      <c r="AA673" t="s">
        <v>2522</v>
      </c>
      <c r="AB673" s="79">
        <v>45432</v>
      </c>
      <c r="AC673">
        <f>OrdersTable[[#This Row],[Delivery Date]]-OrdersTable[[#This Row],[Order Date]]</f>
        <v>1</v>
      </c>
      <c r="AD673" t="str">
        <f>IF(OrdersTable[[#This Row],[Delivery Days]]&lt;=2, "Express (≤2d)", IF(OrdersTable[[#This Row],[Delivery Days]]&lt;=4, "Standard (3-4d)", "Delayed (5d+)"))</f>
        <v>Express (≤2d)</v>
      </c>
      <c r="AE673">
        <v>5</v>
      </c>
      <c r="AF673">
        <v>0</v>
      </c>
    </row>
    <row r="674" spans="1:32" ht="15" x14ac:dyDescent="0.35">
      <c r="A674" t="s">
        <v>2907</v>
      </c>
      <c r="B674" s="1">
        <v>45431</v>
      </c>
      <c r="C674">
        <f>YEAR(OrdersTable[[#This Row],[Order Date]])</f>
        <v>2024</v>
      </c>
      <c r="D674" s="2">
        <f>DATE(YEAR(OrdersTable[[#This Row],[Order Date]]),MONTH(OrdersTable[[#This Row],[Order Date]]),1)</f>
        <v>45413</v>
      </c>
      <c r="E674">
        <f>MONTH(OrdersTable[[#This Row],[Order Date]])</f>
        <v>5</v>
      </c>
      <c r="F674" t="s">
        <v>2908</v>
      </c>
      <c r="G674" t="str">
        <f>IF(OrdersTable[[#This Row],[Order Date]]=_xlfn.MINIFS(Order_Date, Customer_ID, OrdersTable[[#This Row],[Customer ID]]), "New", "Repeat")</f>
        <v>Repeat</v>
      </c>
      <c r="H674" t="s">
        <v>27</v>
      </c>
      <c r="I674" t="str">
        <f>INDEX(State!B:B,MATCH(OrdersTable[[#This Row],[State]],State!A:A,0))</f>
        <v>WB</v>
      </c>
      <c r="J674" t="str">
        <f>INDEX(State!C:C,MATCH(OrdersTable[[#This Row],[State Code]],State!B:B,0))</f>
        <v>East</v>
      </c>
      <c r="K674" t="s">
        <v>28</v>
      </c>
      <c r="L674" t="s">
        <v>23</v>
      </c>
      <c r="M674" t="s">
        <v>423</v>
      </c>
      <c r="N674" t="str">
        <f>INDEX(Products!B:B,MATCH(OrdersTable[[#This Row],[Product ID]],Products!A:A,0))</f>
        <v>Power Bank 20000mAh</v>
      </c>
      <c r="O674" t="str">
        <f>INDEX(Products!C:C,MATCH(OrdersTable[[#This Row],[Product ID]],Products!A:A,0))</f>
        <v>Electronics</v>
      </c>
      <c r="P674">
        <v>1</v>
      </c>
      <c r="Q674" s="5">
        <v>1799</v>
      </c>
      <c r="R674" s="74">
        <v>0.35</v>
      </c>
      <c r="S674" s="75">
        <f>OrdersTable[[#This Row],[Quantity]]*OrdersTable[[#This Row],[Unit Price]]</f>
        <v>1799</v>
      </c>
      <c r="T674" s="5">
        <f>OrdersTable[[#This Row],[Gross Sale]]*OrdersTable[[#This Row],[Discount_Clean2]]</f>
        <v>629.65</v>
      </c>
      <c r="U674" s="5">
        <f>OrdersTable[[#This Row],[Gross Sale]]-OrdersTable[[#This Row],[Discount Amount]]</f>
        <v>1169.3499999999999</v>
      </c>
      <c r="V674" s="77">
        <f>INDEX(Products!E:E,MATCH(OrdersTable[[#This Row],[Product ID]],Products!A:A,0))</f>
        <v>1079</v>
      </c>
      <c r="W674" s="77">
        <f>OrdersTable[[#This Row],[Quantity]]*OrdersTable[[#This Row],[Unit Cost]]</f>
        <v>1079</v>
      </c>
      <c r="X674" s="77">
        <f>'Dropdown Lists'!$I$2*(1+OrdersTable[[#This Row],[Returned]])</f>
        <v>60</v>
      </c>
      <c r="Y674" s="76">
        <f>OrdersTable[[#This Row],[Net Revenue]]-OrdersTable[[#This Row],[COGS]]-OrdersTable[[#This Row],[Shipping Cost]]</f>
        <v>30.349999999999909</v>
      </c>
      <c r="Z674" s="78">
        <f>IFERROR(OrdersTable[[#This Row],[Profit]]/OrdersTable[[#This Row],[Net Revenue]],0)</f>
        <v>2.5954590156924712E-2</v>
      </c>
      <c r="AA674" t="s">
        <v>2522</v>
      </c>
      <c r="AB674" s="79">
        <v>45435</v>
      </c>
      <c r="AC674">
        <f>OrdersTable[[#This Row],[Delivery Date]]-OrdersTable[[#This Row],[Order Date]]</f>
        <v>4</v>
      </c>
      <c r="AD674" t="str">
        <f>IF(OrdersTable[[#This Row],[Delivery Days]]&lt;=2, "Express (≤2d)", IF(OrdersTable[[#This Row],[Delivery Days]]&lt;=4, "Standard (3-4d)", "Delayed (5d+)"))</f>
        <v>Standard (3-4d)</v>
      </c>
      <c r="AF674">
        <v>0</v>
      </c>
    </row>
    <row r="675" spans="1:32" ht="15" x14ac:dyDescent="0.35">
      <c r="A675" t="s">
        <v>5664</v>
      </c>
      <c r="B675" s="1">
        <v>45431</v>
      </c>
      <c r="C675">
        <f>YEAR(OrdersTable[[#This Row],[Order Date]])</f>
        <v>2024</v>
      </c>
      <c r="D675" s="2">
        <f>DATE(YEAR(OrdersTable[[#This Row],[Order Date]]),MONTH(OrdersTable[[#This Row],[Order Date]]),1)</f>
        <v>45413</v>
      </c>
      <c r="E675">
        <f>MONTH(OrdersTable[[#This Row],[Order Date]])</f>
        <v>5</v>
      </c>
      <c r="F675" t="s">
        <v>1615</v>
      </c>
      <c r="G675" t="str">
        <f>IF(OrdersTable[[#This Row],[Order Date]]=_xlfn.MINIFS(Order_Date, Customer_ID, OrdersTable[[#This Row],[Customer ID]]), "New", "Repeat")</f>
        <v>New</v>
      </c>
      <c r="H675" t="s">
        <v>27</v>
      </c>
      <c r="I675" t="str">
        <f>INDEX(State!B:B,MATCH(OrdersTable[[#This Row],[State]],State!A:A,0))</f>
        <v>WB</v>
      </c>
      <c r="J675" t="str">
        <f>INDEX(State!C:C,MATCH(OrdersTable[[#This Row],[State Code]],State!B:B,0))</f>
        <v>East</v>
      </c>
      <c r="K675" t="s">
        <v>28</v>
      </c>
      <c r="L675" t="s">
        <v>50</v>
      </c>
      <c r="M675" t="s">
        <v>56</v>
      </c>
      <c r="N675" t="str">
        <f>INDEX(Products!B:B,MATCH(OrdersTable[[#This Row],[Product ID]],Products!A:A,0))</f>
        <v>Vitamin C Face Serum</v>
      </c>
      <c r="O675" t="str">
        <f>INDEX(Products!C:C,MATCH(OrdersTable[[#This Row],[Product ID]],Products!A:A,0))</f>
        <v>Skincare</v>
      </c>
      <c r="P675">
        <v>2</v>
      </c>
      <c r="Q675" s="5">
        <v>599</v>
      </c>
      <c r="R675" s="74">
        <v>0.1</v>
      </c>
      <c r="S675" s="75">
        <f>OrdersTable[[#This Row],[Quantity]]*OrdersTable[[#This Row],[Unit Price]]</f>
        <v>1198</v>
      </c>
      <c r="T675" s="5">
        <f>OrdersTable[[#This Row],[Gross Sale]]*OrdersTable[[#This Row],[Discount_Clean2]]</f>
        <v>119.80000000000001</v>
      </c>
      <c r="U675" s="5">
        <f>OrdersTable[[#This Row],[Gross Sale]]-OrdersTable[[#This Row],[Discount Amount]]</f>
        <v>1078.2</v>
      </c>
      <c r="V675" s="77">
        <f>INDEX(Products!E:E,MATCH(OrdersTable[[#This Row],[Product ID]],Products!A:A,0))</f>
        <v>180</v>
      </c>
      <c r="W675" s="77">
        <f>OrdersTable[[#This Row],[Quantity]]*OrdersTable[[#This Row],[Unit Cost]]</f>
        <v>360</v>
      </c>
      <c r="X675" s="77">
        <f>'Dropdown Lists'!$I$2*(1+OrdersTable[[#This Row],[Returned]])</f>
        <v>60</v>
      </c>
      <c r="Y675" s="76">
        <f>OrdersTable[[#This Row],[Net Revenue]]-OrdersTable[[#This Row],[COGS]]-OrdersTable[[#This Row],[Shipping Cost]]</f>
        <v>658.2</v>
      </c>
      <c r="Z675" s="78">
        <f>IFERROR(OrdersTable[[#This Row],[Profit]]/OrdersTable[[#This Row],[Net Revenue]],0)</f>
        <v>0.6104618809126322</v>
      </c>
      <c r="AA675" t="s">
        <v>18</v>
      </c>
      <c r="AB675" s="79">
        <v>45437</v>
      </c>
      <c r="AC675">
        <f>OrdersTable[[#This Row],[Delivery Date]]-OrdersTable[[#This Row],[Order Date]]</f>
        <v>6</v>
      </c>
      <c r="AD675" t="str">
        <f>IF(OrdersTable[[#This Row],[Delivery Days]]&lt;=2, "Express (≤2d)", IF(OrdersTable[[#This Row],[Delivery Days]]&lt;=4, "Standard (3-4d)", "Delayed (5d+)"))</f>
        <v>Delayed (5d+)</v>
      </c>
      <c r="AE675">
        <v>3</v>
      </c>
      <c r="AF675">
        <v>0</v>
      </c>
    </row>
    <row r="676" spans="1:32" ht="15" x14ac:dyDescent="0.35">
      <c r="A676" t="s">
        <v>2254</v>
      </c>
      <c r="B676" s="1">
        <v>45431</v>
      </c>
      <c r="C676">
        <f>YEAR(OrdersTable[[#This Row],[Order Date]])</f>
        <v>2024</v>
      </c>
      <c r="D676" s="2">
        <f>DATE(YEAR(OrdersTable[[#This Row],[Order Date]]),MONTH(OrdersTable[[#This Row],[Order Date]]),1)</f>
        <v>45413</v>
      </c>
      <c r="E676">
        <f>MONTH(OrdersTable[[#This Row],[Order Date]])</f>
        <v>5</v>
      </c>
      <c r="F676" t="s">
        <v>2016</v>
      </c>
      <c r="G676" t="str">
        <f>IF(OrdersTable[[#This Row],[Order Date]]=_xlfn.MINIFS(Order_Date, Customer_ID, OrdersTable[[#This Row],[Customer ID]]), "New", "Repeat")</f>
        <v>Repeat</v>
      </c>
      <c r="H676" t="s">
        <v>167</v>
      </c>
      <c r="I676" t="str">
        <f>INDEX(State!B:B,MATCH(OrdersTable[[#This Row],[State]],State!A:A,0))</f>
        <v>KA</v>
      </c>
      <c r="J676" t="str">
        <f>INDEX(State!C:C,MATCH(OrdersTable[[#This Row],[State Code]],State!B:B,0))</f>
        <v>South</v>
      </c>
      <c r="K676" t="s">
        <v>168</v>
      </c>
      <c r="L676" t="s">
        <v>50</v>
      </c>
      <c r="M676" t="s">
        <v>66</v>
      </c>
      <c r="N676" t="str">
        <f>INDEX(Products!B:B,MATCH(OrdersTable[[#This Row],[Product ID]],Products!A:A,0))</f>
        <v>Sunscreen SPF 50</v>
      </c>
      <c r="O676" t="str">
        <f>INDEX(Products!C:C,MATCH(OrdersTable[[#This Row],[Product ID]],Products!A:A,0))</f>
        <v>Skincare</v>
      </c>
      <c r="P676">
        <v>1</v>
      </c>
      <c r="Q676" s="5">
        <v>449</v>
      </c>
      <c r="R676" s="74">
        <v>0.05</v>
      </c>
      <c r="S676" s="75">
        <f>OrdersTable[[#This Row],[Quantity]]*OrdersTable[[#This Row],[Unit Price]]</f>
        <v>449</v>
      </c>
      <c r="T676" s="5">
        <f>OrdersTable[[#This Row],[Gross Sale]]*OrdersTable[[#This Row],[Discount_Clean2]]</f>
        <v>22.450000000000003</v>
      </c>
      <c r="U676" s="5">
        <f>OrdersTable[[#This Row],[Gross Sale]]-OrdersTable[[#This Row],[Discount Amount]]</f>
        <v>426.55</v>
      </c>
      <c r="V676" s="77">
        <f>INDEX(Products!E:E,MATCH(OrdersTable[[#This Row],[Product ID]],Products!A:A,0))</f>
        <v>144</v>
      </c>
      <c r="W676" s="77">
        <f>OrdersTable[[#This Row],[Quantity]]*OrdersTable[[#This Row],[Unit Cost]]</f>
        <v>144</v>
      </c>
      <c r="X676" s="77">
        <f>'Dropdown Lists'!$I$2*(1+OrdersTable[[#This Row],[Returned]])</f>
        <v>60</v>
      </c>
      <c r="Y676" s="76">
        <f>OrdersTable[[#This Row],[Net Revenue]]-OrdersTable[[#This Row],[COGS]]-OrdersTable[[#This Row],[Shipping Cost]]</f>
        <v>222.55</v>
      </c>
      <c r="Z676" s="78">
        <f>IFERROR(OrdersTable[[#This Row],[Profit]]/OrdersTable[[#This Row],[Net Revenue]],0)</f>
        <v>0.52174422693705313</v>
      </c>
      <c r="AA676" t="s">
        <v>18</v>
      </c>
      <c r="AB676" s="79">
        <v>45434</v>
      </c>
      <c r="AC676">
        <f>OrdersTable[[#This Row],[Delivery Date]]-OrdersTable[[#This Row],[Order Date]]</f>
        <v>3</v>
      </c>
      <c r="AD676" t="str">
        <f>IF(OrdersTable[[#This Row],[Delivery Days]]&lt;=2, "Express (≤2d)", IF(OrdersTable[[#This Row],[Delivery Days]]&lt;=4, "Standard (3-4d)", "Delayed (5d+)"))</f>
        <v>Standard (3-4d)</v>
      </c>
      <c r="AE676">
        <v>5</v>
      </c>
      <c r="AF676">
        <v>0</v>
      </c>
    </row>
    <row r="677" spans="1:32" ht="15" x14ac:dyDescent="0.35">
      <c r="A677" t="s">
        <v>2909</v>
      </c>
      <c r="B677" s="1">
        <v>45431</v>
      </c>
      <c r="C677">
        <f>YEAR(OrdersTable[[#This Row],[Order Date]])</f>
        <v>2024</v>
      </c>
      <c r="D677" s="2">
        <f>DATE(YEAR(OrdersTable[[#This Row],[Order Date]]),MONTH(OrdersTable[[#This Row],[Order Date]]),1)</f>
        <v>45413</v>
      </c>
      <c r="E677">
        <f>MONTH(OrdersTable[[#This Row],[Order Date]])</f>
        <v>5</v>
      </c>
      <c r="F677" t="s">
        <v>1557</v>
      </c>
      <c r="G677" t="str">
        <f>IF(OrdersTable[[#This Row],[Order Date]]=_xlfn.MINIFS(Order_Date, Customer_ID, OrdersTable[[#This Row],[Customer ID]]), "New", "Repeat")</f>
        <v>New</v>
      </c>
      <c r="H677" t="s">
        <v>167</v>
      </c>
      <c r="I677" t="str">
        <f>INDEX(State!B:B,MATCH(OrdersTable[[#This Row],[State]],State!A:A,0))</f>
        <v>KA</v>
      </c>
      <c r="J677" t="str">
        <f>INDEX(State!C:C,MATCH(OrdersTable[[#This Row],[State Code]],State!B:B,0))</f>
        <v>South</v>
      </c>
      <c r="K677" t="s">
        <v>190</v>
      </c>
      <c r="L677" t="s">
        <v>65</v>
      </c>
      <c r="M677" t="s">
        <v>173</v>
      </c>
      <c r="N677" t="str">
        <f>INDEX(Products!B:B,MATCH(OrdersTable[[#This Row],[Product ID]],Products!A:A,0))</f>
        <v>Wireless Earbuds</v>
      </c>
      <c r="O677" t="str">
        <f>INDEX(Products!C:C,MATCH(OrdersTable[[#This Row],[Product ID]],Products!A:A,0))</f>
        <v>Electronics</v>
      </c>
      <c r="P677">
        <v>1</v>
      </c>
      <c r="Q677" s="5">
        <v>1999</v>
      </c>
      <c r="R677" s="74">
        <v>0.45</v>
      </c>
      <c r="S677" s="75">
        <f>OrdersTable[[#This Row],[Quantity]]*OrdersTable[[#This Row],[Unit Price]]</f>
        <v>1999</v>
      </c>
      <c r="T677" s="5">
        <f>OrdersTable[[#This Row],[Gross Sale]]*OrdersTable[[#This Row],[Discount_Clean2]]</f>
        <v>899.55000000000007</v>
      </c>
      <c r="U677" s="5">
        <f>OrdersTable[[#This Row],[Gross Sale]]-OrdersTable[[#This Row],[Discount Amount]]</f>
        <v>1099.4499999999998</v>
      </c>
      <c r="V677" s="77">
        <f>INDEX(Products!E:E,MATCH(OrdersTable[[#This Row],[Product ID]],Products!A:A,0))</f>
        <v>1239</v>
      </c>
      <c r="W677" s="77">
        <f>OrdersTable[[#This Row],[Quantity]]*OrdersTable[[#This Row],[Unit Cost]]</f>
        <v>1239</v>
      </c>
      <c r="X677" s="77">
        <f>'Dropdown Lists'!$I$2*(1+OrdersTable[[#This Row],[Returned]])</f>
        <v>60</v>
      </c>
      <c r="Y677" s="76">
        <f>OrdersTable[[#This Row],[Net Revenue]]-OrdersTable[[#This Row],[COGS]]-OrdersTable[[#This Row],[Shipping Cost]]</f>
        <v>-199.55000000000018</v>
      </c>
      <c r="Z677" s="78">
        <f>IFERROR(OrdersTable[[#This Row],[Profit]]/OrdersTable[[#This Row],[Net Revenue]],0)</f>
        <v>-0.18149984082950585</v>
      </c>
      <c r="AA677" t="s">
        <v>2522</v>
      </c>
      <c r="AB677" s="79">
        <v>45433</v>
      </c>
      <c r="AC677">
        <f>OrdersTable[[#This Row],[Delivery Date]]-OrdersTable[[#This Row],[Order Date]]</f>
        <v>2</v>
      </c>
      <c r="AD677" t="str">
        <f>IF(OrdersTable[[#This Row],[Delivery Days]]&lt;=2, "Express (≤2d)", IF(OrdersTable[[#This Row],[Delivery Days]]&lt;=4, "Standard (3-4d)", "Delayed (5d+)"))</f>
        <v>Express (≤2d)</v>
      </c>
      <c r="AF677">
        <v>0</v>
      </c>
    </row>
    <row r="678" spans="1:32" ht="15" x14ac:dyDescent="0.35">
      <c r="A678" t="s">
        <v>2080</v>
      </c>
      <c r="B678" s="1">
        <v>45431</v>
      </c>
      <c r="C678">
        <f>YEAR(OrdersTable[[#This Row],[Order Date]])</f>
        <v>2024</v>
      </c>
      <c r="D678" s="2">
        <f>DATE(YEAR(OrdersTable[[#This Row],[Order Date]]),MONTH(OrdersTable[[#This Row],[Order Date]]),1)</f>
        <v>45413</v>
      </c>
      <c r="E678">
        <f>MONTH(OrdersTable[[#This Row],[Order Date]])</f>
        <v>5</v>
      </c>
      <c r="F678" t="s">
        <v>1499</v>
      </c>
      <c r="G678" t="str">
        <f>IF(OrdersTable[[#This Row],[Order Date]]=_xlfn.MINIFS(Order_Date, Customer_ID, OrdersTable[[#This Row],[Customer ID]]), "New", "Repeat")</f>
        <v>New</v>
      </c>
      <c r="H678" t="s">
        <v>316</v>
      </c>
      <c r="I678" t="str">
        <f>INDEX(State!B:B,MATCH(OrdersTable[[#This Row],[State]],State!A:A,0))</f>
        <v>KL</v>
      </c>
      <c r="J678" t="str">
        <f>INDEX(State!C:C,MATCH(OrdersTable[[#This Row],[State Code]],State!B:B,0))</f>
        <v>South</v>
      </c>
      <c r="K678" t="s">
        <v>317</v>
      </c>
      <c r="L678" t="s">
        <v>50</v>
      </c>
      <c r="M678" t="s">
        <v>40</v>
      </c>
      <c r="N678" t="str">
        <f>INDEX(Products!B:B,MATCH(OrdersTable[[#This Row],[Product ID]],Products!A:A,0))</f>
        <v>Ashwagandha Capsules</v>
      </c>
      <c r="O678" t="str">
        <f>INDEX(Products!C:C,MATCH(OrdersTable[[#This Row],[Product ID]],Products!A:A,0))</f>
        <v>Wellness</v>
      </c>
      <c r="P678">
        <v>1</v>
      </c>
      <c r="Q678" s="5">
        <v>499</v>
      </c>
      <c r="R678" s="74">
        <v>0</v>
      </c>
      <c r="S678" s="75">
        <f>OrdersTable[[#This Row],[Quantity]]*OrdersTable[[#This Row],[Unit Price]]</f>
        <v>499</v>
      </c>
      <c r="T678" s="5">
        <f>OrdersTable[[#This Row],[Gross Sale]]*OrdersTable[[#This Row],[Discount_Clean2]]</f>
        <v>0</v>
      </c>
      <c r="U678" s="5">
        <f>OrdersTable[[#This Row],[Gross Sale]]-OrdersTable[[#This Row],[Discount Amount]]</f>
        <v>499</v>
      </c>
      <c r="V678" s="77">
        <f>INDEX(Products!E:E,MATCH(OrdersTable[[#This Row],[Product ID]],Products!A:A,0))</f>
        <v>150</v>
      </c>
      <c r="W678" s="77">
        <f>OrdersTable[[#This Row],[Quantity]]*OrdersTable[[#This Row],[Unit Cost]]</f>
        <v>150</v>
      </c>
      <c r="X678" s="77">
        <f>'Dropdown Lists'!$I$2*(1+OrdersTable[[#This Row],[Returned]])</f>
        <v>60</v>
      </c>
      <c r="Y678" s="76">
        <f>OrdersTable[[#This Row],[Net Revenue]]-OrdersTable[[#This Row],[COGS]]-OrdersTable[[#This Row],[Shipping Cost]]</f>
        <v>289</v>
      </c>
      <c r="Z678" s="78">
        <f>IFERROR(OrdersTable[[#This Row],[Profit]]/OrdersTable[[#This Row],[Net Revenue]],0)</f>
        <v>0.57915831663326656</v>
      </c>
      <c r="AA678" t="s">
        <v>18</v>
      </c>
      <c r="AB678" s="79">
        <v>45434</v>
      </c>
      <c r="AC678">
        <f>OrdersTable[[#This Row],[Delivery Date]]-OrdersTable[[#This Row],[Order Date]]</f>
        <v>3</v>
      </c>
      <c r="AD678" t="str">
        <f>IF(OrdersTable[[#This Row],[Delivery Days]]&lt;=2, "Express (≤2d)", IF(OrdersTable[[#This Row],[Delivery Days]]&lt;=4, "Standard (3-4d)", "Delayed (5d+)"))</f>
        <v>Standard (3-4d)</v>
      </c>
      <c r="AE678">
        <v>3</v>
      </c>
      <c r="AF678">
        <v>0</v>
      </c>
    </row>
    <row r="679" spans="1:32" ht="15" x14ac:dyDescent="0.35">
      <c r="A679" t="s">
        <v>3404</v>
      </c>
      <c r="B679" s="1">
        <v>45432</v>
      </c>
      <c r="C679">
        <f>YEAR(OrdersTable[[#This Row],[Order Date]])</f>
        <v>2024</v>
      </c>
      <c r="D679" s="2">
        <f>DATE(YEAR(OrdersTable[[#This Row],[Order Date]]),MONTH(OrdersTable[[#This Row],[Order Date]]),1)</f>
        <v>45413</v>
      </c>
      <c r="E679">
        <f>MONTH(OrdersTable[[#This Row],[Order Date]])</f>
        <v>5</v>
      </c>
      <c r="F679" t="s">
        <v>2382</v>
      </c>
      <c r="G679" t="str">
        <f>IF(OrdersTable[[#This Row],[Order Date]]=_xlfn.MINIFS(Order_Date, Customer_ID, OrdersTable[[#This Row],[Customer ID]]), "New", "Repeat")</f>
        <v>New</v>
      </c>
      <c r="H679" t="s">
        <v>76</v>
      </c>
      <c r="I679" t="str">
        <f>INDEX(State!B:B,MATCH(OrdersTable[[#This Row],[State]],State!A:A,0))</f>
        <v>UP</v>
      </c>
      <c r="J679" t="str">
        <f>INDEX(State!C:C,MATCH(OrdersTable[[#This Row],[State Code]],State!B:B,0))</f>
        <v>North</v>
      </c>
      <c r="K679" t="s">
        <v>105</v>
      </c>
      <c r="L679" t="s">
        <v>65</v>
      </c>
      <c r="M679" t="s">
        <v>45</v>
      </c>
      <c r="N679" t="str">
        <f>INDEX(Products!B:B,MATCH(OrdersTable[[#This Row],[Product ID]],Products!A:A,0))</f>
        <v>Argan Shampoo</v>
      </c>
      <c r="O679" t="str">
        <f>INDEX(Products!C:C,MATCH(OrdersTable[[#This Row],[Product ID]],Products!A:A,0))</f>
        <v>Haircare</v>
      </c>
      <c r="P679">
        <v>1</v>
      </c>
      <c r="Q679" s="5">
        <v>449</v>
      </c>
      <c r="R679" s="74">
        <v>0.05</v>
      </c>
      <c r="S679" s="75">
        <f>OrdersTable[[#This Row],[Quantity]]*OrdersTable[[#This Row],[Unit Price]]</f>
        <v>449</v>
      </c>
      <c r="T679" s="5">
        <f>OrdersTable[[#This Row],[Gross Sale]]*OrdersTable[[#This Row],[Discount_Clean2]]</f>
        <v>22.450000000000003</v>
      </c>
      <c r="U679" s="5">
        <f>OrdersTable[[#This Row],[Gross Sale]]-OrdersTable[[#This Row],[Discount Amount]]</f>
        <v>426.55</v>
      </c>
      <c r="V679" s="77">
        <f>INDEX(Products!E:E,MATCH(OrdersTable[[#This Row],[Product ID]],Products!A:A,0))</f>
        <v>148</v>
      </c>
      <c r="W679" s="77">
        <f>OrdersTable[[#This Row],[Quantity]]*OrdersTable[[#This Row],[Unit Cost]]</f>
        <v>148</v>
      </c>
      <c r="X679" s="77">
        <f>'Dropdown Lists'!$I$2*(1+OrdersTable[[#This Row],[Returned]])</f>
        <v>60</v>
      </c>
      <c r="Y679" s="76">
        <f>OrdersTable[[#This Row],[Net Revenue]]-OrdersTable[[#This Row],[COGS]]-OrdersTable[[#This Row],[Shipping Cost]]</f>
        <v>218.55</v>
      </c>
      <c r="Z679" s="78">
        <f>IFERROR(OrdersTable[[#This Row],[Profit]]/OrdersTable[[#This Row],[Net Revenue]],0)</f>
        <v>0.51236666275934828</v>
      </c>
      <c r="AA679" t="s">
        <v>2522</v>
      </c>
      <c r="AB679" s="79">
        <v>45436</v>
      </c>
      <c r="AC679">
        <f>OrdersTable[[#This Row],[Delivery Date]]-OrdersTable[[#This Row],[Order Date]]</f>
        <v>4</v>
      </c>
      <c r="AD679" t="str">
        <f>IF(OrdersTable[[#This Row],[Delivery Days]]&lt;=2, "Express (≤2d)", IF(OrdersTable[[#This Row],[Delivery Days]]&lt;=4, "Standard (3-4d)", "Delayed (5d+)"))</f>
        <v>Standard (3-4d)</v>
      </c>
      <c r="AE679">
        <v>4</v>
      </c>
      <c r="AF679">
        <v>0</v>
      </c>
    </row>
    <row r="680" spans="1:32" ht="15" x14ac:dyDescent="0.35">
      <c r="A680" t="s">
        <v>6487</v>
      </c>
      <c r="B680" s="1">
        <v>45432</v>
      </c>
      <c r="C680">
        <f>YEAR(OrdersTable[[#This Row],[Order Date]])</f>
        <v>2024</v>
      </c>
      <c r="D680" s="2">
        <f>DATE(YEAR(OrdersTable[[#This Row],[Order Date]]),MONTH(OrdersTable[[#This Row],[Order Date]]),1)</f>
        <v>45413</v>
      </c>
      <c r="E680">
        <f>MONTH(OrdersTable[[#This Row],[Order Date]])</f>
        <v>5</v>
      </c>
      <c r="F680" t="s">
        <v>3236</v>
      </c>
      <c r="G680" t="str">
        <f>IF(OrdersTable[[#This Row],[Order Date]]=_xlfn.MINIFS(Order_Date, Customer_ID, OrdersTable[[#This Row],[Customer ID]]), "New", "Repeat")</f>
        <v>New</v>
      </c>
      <c r="H680" t="s">
        <v>76</v>
      </c>
      <c r="I680" t="str">
        <f>INDEX(State!B:B,MATCH(OrdersTable[[#This Row],[State]],State!A:A,0))</f>
        <v>UP</v>
      </c>
      <c r="J680" t="str">
        <f>INDEX(State!C:C,MATCH(OrdersTable[[#This Row],[State Code]],State!B:B,0))</f>
        <v>North</v>
      </c>
      <c r="K680" t="s">
        <v>118</v>
      </c>
      <c r="L680" t="s">
        <v>65</v>
      </c>
      <c r="M680" t="s">
        <v>29</v>
      </c>
      <c r="N680" t="str">
        <f>INDEX(Products!B:B,MATCH(OrdersTable[[#This Row],[Product ID]],Products!A:A,0))</f>
        <v>Joggers</v>
      </c>
      <c r="O680" t="str">
        <f>INDEX(Products!C:C,MATCH(OrdersTable[[#This Row],[Product ID]],Products!A:A,0))</f>
        <v>Apparel</v>
      </c>
      <c r="P680">
        <v>3</v>
      </c>
      <c r="Q680" s="5">
        <v>1199</v>
      </c>
      <c r="R680" s="74">
        <v>0.2</v>
      </c>
      <c r="S680" s="75">
        <f>OrdersTable[[#This Row],[Quantity]]*OrdersTable[[#This Row],[Unit Price]]</f>
        <v>3597</v>
      </c>
      <c r="T680" s="5">
        <f>OrdersTable[[#This Row],[Gross Sale]]*OrdersTable[[#This Row],[Discount_Clean2]]</f>
        <v>719.40000000000009</v>
      </c>
      <c r="U680" s="5">
        <f>OrdersTable[[#This Row],[Gross Sale]]-OrdersTable[[#This Row],[Discount Amount]]</f>
        <v>2877.6</v>
      </c>
      <c r="V680" s="77">
        <f>INDEX(Products!E:E,MATCH(OrdersTable[[#This Row],[Product ID]],Products!A:A,0))</f>
        <v>492</v>
      </c>
      <c r="W680" s="77">
        <f>OrdersTable[[#This Row],[Quantity]]*OrdersTable[[#This Row],[Unit Cost]]</f>
        <v>1476</v>
      </c>
      <c r="X680" s="77">
        <f>'Dropdown Lists'!$I$2*(1+OrdersTable[[#This Row],[Returned]])</f>
        <v>60</v>
      </c>
      <c r="Y680" s="76">
        <f>OrdersTable[[#This Row],[Net Revenue]]-OrdersTable[[#This Row],[COGS]]-OrdersTable[[#This Row],[Shipping Cost]]</f>
        <v>1341.6</v>
      </c>
      <c r="Z680" s="78">
        <f>IFERROR(OrdersTable[[#This Row],[Profit]]/OrdersTable[[#This Row],[Net Revenue]],0)</f>
        <v>0.46622185154295243</v>
      </c>
      <c r="AA680" t="s">
        <v>18</v>
      </c>
      <c r="AB680" s="79">
        <v>45434</v>
      </c>
      <c r="AC680">
        <f>OrdersTable[[#This Row],[Delivery Date]]-OrdersTable[[#This Row],[Order Date]]</f>
        <v>2</v>
      </c>
      <c r="AD680" t="str">
        <f>IF(OrdersTable[[#This Row],[Delivery Days]]&lt;=2, "Express (≤2d)", IF(OrdersTable[[#This Row],[Delivery Days]]&lt;=4, "Standard (3-4d)", "Delayed (5d+)"))</f>
        <v>Express (≤2d)</v>
      </c>
      <c r="AF680">
        <v>0</v>
      </c>
    </row>
    <row r="681" spans="1:32" ht="15" x14ac:dyDescent="0.35">
      <c r="A681" t="s">
        <v>469</v>
      </c>
      <c r="B681" s="1">
        <v>45432</v>
      </c>
      <c r="C681">
        <f>YEAR(OrdersTable[[#This Row],[Order Date]])</f>
        <v>2024</v>
      </c>
      <c r="D681" s="2">
        <f>DATE(YEAR(OrdersTable[[#This Row],[Order Date]]),MONTH(OrdersTable[[#This Row],[Order Date]]),1)</f>
        <v>45413</v>
      </c>
      <c r="E681">
        <f>MONTH(OrdersTable[[#This Row],[Order Date]])</f>
        <v>5</v>
      </c>
      <c r="F681" t="s">
        <v>470</v>
      </c>
      <c r="G681" t="str">
        <f>IF(OrdersTable[[#This Row],[Order Date]]=_xlfn.MINIFS(Order_Date, Customer_ID, OrdersTable[[#This Row],[Customer ID]]), "New", "Repeat")</f>
        <v>New</v>
      </c>
      <c r="H681" t="s">
        <v>37</v>
      </c>
      <c r="I681" t="str">
        <f>INDEX(State!B:B,MATCH(OrdersTable[[#This Row],[State]],State!A:A,0))</f>
        <v>GJ</v>
      </c>
      <c r="J681" t="str">
        <f>INDEX(State!C:C,MATCH(OrdersTable[[#This Row],[State Code]],State!B:B,0))</f>
        <v>West</v>
      </c>
      <c r="K681" t="s">
        <v>38</v>
      </c>
      <c r="L681" t="s">
        <v>65</v>
      </c>
      <c r="M681" t="s">
        <v>205</v>
      </c>
      <c r="N681" t="str">
        <f>INDEX(Products!B:B,MATCH(OrdersTable[[#This Row],[Product ID]],Products!A:A,0))</f>
        <v>Running Shoes</v>
      </c>
      <c r="O681" t="str">
        <f>INDEX(Products!C:C,MATCH(OrdersTable[[#This Row],[Product ID]],Products!A:A,0))</f>
        <v>Footwear</v>
      </c>
      <c r="P681">
        <v>1</v>
      </c>
      <c r="Q681" s="5">
        <v>2999</v>
      </c>
      <c r="R681" s="74">
        <v>0.2</v>
      </c>
      <c r="S681" s="75">
        <f>OrdersTable[[#This Row],[Quantity]]*OrdersTable[[#This Row],[Unit Price]]</f>
        <v>2999</v>
      </c>
      <c r="T681" s="5">
        <f>OrdersTable[[#This Row],[Gross Sale]]*OrdersTable[[#This Row],[Discount_Clean2]]</f>
        <v>599.80000000000007</v>
      </c>
      <c r="U681" s="5">
        <f>OrdersTable[[#This Row],[Gross Sale]]-OrdersTable[[#This Row],[Discount Amount]]</f>
        <v>2399.1999999999998</v>
      </c>
      <c r="V681" s="77">
        <f>INDEX(Products!E:E,MATCH(OrdersTable[[#This Row],[Product ID]],Products!A:A,0))</f>
        <v>1440</v>
      </c>
      <c r="W681" s="77">
        <f>OrdersTable[[#This Row],[Quantity]]*OrdersTable[[#This Row],[Unit Cost]]</f>
        <v>1440</v>
      </c>
      <c r="X681" s="77">
        <f>'Dropdown Lists'!$I$2*(1+OrdersTable[[#This Row],[Returned]])</f>
        <v>60</v>
      </c>
      <c r="Y681" s="76">
        <f>OrdersTable[[#This Row],[Net Revenue]]-OrdersTable[[#This Row],[COGS]]-OrdersTable[[#This Row],[Shipping Cost]]</f>
        <v>899.19999999999982</v>
      </c>
      <c r="Z681" s="78">
        <f>IFERROR(OrdersTable[[#This Row],[Profit]]/OrdersTable[[#This Row],[Net Revenue]],0)</f>
        <v>0.3747915971990663</v>
      </c>
      <c r="AA681" t="s">
        <v>18</v>
      </c>
      <c r="AB681" s="79">
        <v>45436</v>
      </c>
      <c r="AC681">
        <f>OrdersTable[[#This Row],[Delivery Date]]-OrdersTable[[#This Row],[Order Date]]</f>
        <v>4</v>
      </c>
      <c r="AD681" t="str">
        <f>IF(OrdersTable[[#This Row],[Delivery Days]]&lt;=2, "Express (≤2d)", IF(OrdersTable[[#This Row],[Delivery Days]]&lt;=4, "Standard (3-4d)", "Delayed (5d+)"))</f>
        <v>Standard (3-4d)</v>
      </c>
      <c r="AE681">
        <v>4</v>
      </c>
      <c r="AF681">
        <v>0</v>
      </c>
    </row>
    <row r="682" spans="1:32" ht="15" x14ac:dyDescent="0.35">
      <c r="A682" t="s">
        <v>1346</v>
      </c>
      <c r="B682" s="1">
        <v>45433</v>
      </c>
      <c r="C682">
        <f>YEAR(OrdersTable[[#This Row],[Order Date]])</f>
        <v>2024</v>
      </c>
      <c r="D682" s="2">
        <f>DATE(YEAR(OrdersTable[[#This Row],[Order Date]]),MONTH(OrdersTable[[#This Row],[Order Date]]),1)</f>
        <v>45413</v>
      </c>
      <c r="E682">
        <f>MONTH(OrdersTable[[#This Row],[Order Date]])</f>
        <v>5</v>
      </c>
      <c r="F682" t="s">
        <v>1320</v>
      </c>
      <c r="G682" t="str">
        <f>IF(OrdersTable[[#This Row],[Order Date]]=_xlfn.MINIFS(Order_Date, Customer_ID, OrdersTable[[#This Row],[Customer ID]]), "New", "Repeat")</f>
        <v>New</v>
      </c>
      <c r="H682" t="s">
        <v>37</v>
      </c>
      <c r="I682" t="str">
        <f>INDEX(State!B:B,MATCH(OrdersTable[[#This Row],[State]],State!A:A,0))</f>
        <v>GJ</v>
      </c>
      <c r="J682" t="str">
        <f>INDEX(State!C:C,MATCH(OrdersTable[[#This Row],[State Code]],State!B:B,0))</f>
        <v>West</v>
      </c>
      <c r="K682" t="s">
        <v>247</v>
      </c>
      <c r="L682" t="s">
        <v>23</v>
      </c>
      <c r="M682" t="s">
        <v>78</v>
      </c>
      <c r="N682" t="str">
        <f>INDEX(Products!B:B,MATCH(OrdersTable[[#This Row],[Product ID]],Products!A:A,0))</f>
        <v>Retinol Night Cream</v>
      </c>
      <c r="O682" t="str">
        <f>INDEX(Products!C:C,MATCH(OrdersTable[[#This Row],[Product ID]],Products!A:A,0))</f>
        <v>Skincare</v>
      </c>
      <c r="P682">
        <v>1</v>
      </c>
      <c r="Q682" s="5">
        <v>799</v>
      </c>
      <c r="R682" s="74">
        <v>0.1</v>
      </c>
      <c r="S682" s="75">
        <f>OrdersTable[[#This Row],[Quantity]]*OrdersTable[[#This Row],[Unit Price]]</f>
        <v>799</v>
      </c>
      <c r="T682" s="5">
        <f>OrdersTable[[#This Row],[Gross Sale]]*OrdersTable[[#This Row],[Discount_Clean2]]</f>
        <v>79.900000000000006</v>
      </c>
      <c r="U682" s="5">
        <f>OrdersTable[[#This Row],[Gross Sale]]-OrdersTable[[#This Row],[Discount Amount]]</f>
        <v>719.1</v>
      </c>
      <c r="V682" s="77">
        <f>INDEX(Products!E:E,MATCH(OrdersTable[[#This Row],[Product ID]],Products!A:A,0))</f>
        <v>216</v>
      </c>
      <c r="W682" s="77">
        <f>OrdersTable[[#This Row],[Quantity]]*OrdersTable[[#This Row],[Unit Cost]]</f>
        <v>216</v>
      </c>
      <c r="X682" s="77">
        <f>'Dropdown Lists'!$I$2*(1+OrdersTable[[#This Row],[Returned]])</f>
        <v>60</v>
      </c>
      <c r="Y682" s="76">
        <f>OrdersTable[[#This Row],[Net Revenue]]-OrdersTable[[#This Row],[COGS]]-OrdersTable[[#This Row],[Shipping Cost]]</f>
        <v>443.1</v>
      </c>
      <c r="Z682" s="78">
        <f>IFERROR(OrdersTable[[#This Row],[Profit]]/OrdersTable[[#This Row],[Net Revenue]],0)</f>
        <v>0.61618690029203171</v>
      </c>
      <c r="AA682" t="s">
        <v>18</v>
      </c>
      <c r="AB682" s="79">
        <v>45437</v>
      </c>
      <c r="AC682">
        <f>OrdersTable[[#This Row],[Delivery Date]]-OrdersTable[[#This Row],[Order Date]]</f>
        <v>4</v>
      </c>
      <c r="AD682" t="str">
        <f>IF(OrdersTable[[#This Row],[Delivery Days]]&lt;=2, "Express (≤2d)", IF(OrdersTable[[#This Row],[Delivery Days]]&lt;=4, "Standard (3-4d)", "Delayed (5d+)"))</f>
        <v>Standard (3-4d)</v>
      </c>
      <c r="AF682">
        <v>0</v>
      </c>
    </row>
    <row r="683" spans="1:32" ht="15" x14ac:dyDescent="0.35">
      <c r="A683" t="s">
        <v>5320</v>
      </c>
      <c r="B683" s="1">
        <v>45433</v>
      </c>
      <c r="C683">
        <f>YEAR(OrdersTable[[#This Row],[Order Date]])</f>
        <v>2024</v>
      </c>
      <c r="D683" s="2">
        <f>DATE(YEAR(OrdersTable[[#This Row],[Order Date]]),MONTH(OrdersTable[[#This Row],[Order Date]]),1)</f>
        <v>45413</v>
      </c>
      <c r="E683">
        <f>MONTH(OrdersTable[[#This Row],[Order Date]])</f>
        <v>5</v>
      </c>
      <c r="F683" t="s">
        <v>2338</v>
      </c>
      <c r="G683" t="str">
        <f>IF(OrdersTable[[#This Row],[Order Date]]=_xlfn.MINIFS(Order_Date, Customer_ID, OrdersTable[[#This Row],[Customer ID]]), "New", "Repeat")</f>
        <v>New</v>
      </c>
      <c r="H683" t="s">
        <v>167</v>
      </c>
      <c r="I683" t="str">
        <f>INDEX(State!B:B,MATCH(OrdersTable[[#This Row],[State]],State!A:A,0))</f>
        <v>KA</v>
      </c>
      <c r="J683" t="str">
        <f>INDEX(State!C:C,MATCH(OrdersTable[[#This Row],[State Code]],State!B:B,0))</f>
        <v>South</v>
      </c>
      <c r="K683" t="s">
        <v>168</v>
      </c>
      <c r="L683" t="s">
        <v>23</v>
      </c>
      <c r="M683" t="s">
        <v>45</v>
      </c>
      <c r="N683" t="str">
        <f>INDEX(Products!B:B,MATCH(OrdersTable[[#This Row],[Product ID]],Products!A:A,0))</f>
        <v>Argan Shampoo</v>
      </c>
      <c r="O683" t="str">
        <f>INDEX(Products!C:C,MATCH(OrdersTable[[#This Row],[Product ID]],Products!A:A,0))</f>
        <v>Haircare</v>
      </c>
      <c r="P683">
        <v>2</v>
      </c>
      <c r="Q683" s="5">
        <v>449</v>
      </c>
      <c r="R683" s="74">
        <v>0</v>
      </c>
      <c r="S683" s="75">
        <f>OrdersTable[[#This Row],[Quantity]]*OrdersTable[[#This Row],[Unit Price]]</f>
        <v>898</v>
      </c>
      <c r="T683" s="5">
        <f>OrdersTable[[#This Row],[Gross Sale]]*OrdersTable[[#This Row],[Discount_Clean2]]</f>
        <v>0</v>
      </c>
      <c r="U683" s="5">
        <f>OrdersTable[[#This Row],[Gross Sale]]-OrdersTable[[#This Row],[Discount Amount]]</f>
        <v>898</v>
      </c>
      <c r="V683" s="77">
        <f>INDEX(Products!E:E,MATCH(OrdersTable[[#This Row],[Product ID]],Products!A:A,0))</f>
        <v>148</v>
      </c>
      <c r="W683" s="77">
        <f>OrdersTable[[#This Row],[Quantity]]*OrdersTable[[#This Row],[Unit Cost]]</f>
        <v>296</v>
      </c>
      <c r="X683" s="77">
        <f>'Dropdown Lists'!$I$2*(1+OrdersTable[[#This Row],[Returned]])</f>
        <v>60</v>
      </c>
      <c r="Y683" s="76">
        <f>OrdersTable[[#This Row],[Net Revenue]]-OrdersTable[[#This Row],[COGS]]-OrdersTable[[#This Row],[Shipping Cost]]</f>
        <v>542</v>
      </c>
      <c r="Z683" s="78">
        <f>IFERROR(OrdersTable[[#This Row],[Profit]]/OrdersTable[[#This Row],[Net Revenue]],0)</f>
        <v>0.60356347438752789</v>
      </c>
      <c r="AA683" t="s">
        <v>2522</v>
      </c>
      <c r="AB683" s="79">
        <v>45435</v>
      </c>
      <c r="AC683">
        <f>OrdersTable[[#This Row],[Delivery Date]]-OrdersTable[[#This Row],[Order Date]]</f>
        <v>2</v>
      </c>
      <c r="AD683" t="str">
        <f>IF(OrdersTable[[#This Row],[Delivery Days]]&lt;=2, "Express (≤2d)", IF(OrdersTable[[#This Row],[Delivery Days]]&lt;=4, "Standard (3-4d)", "Delayed (5d+)"))</f>
        <v>Express (≤2d)</v>
      </c>
      <c r="AF683">
        <v>0</v>
      </c>
    </row>
    <row r="684" spans="1:32" ht="15" x14ac:dyDescent="0.35">
      <c r="A684" t="s">
        <v>6277</v>
      </c>
      <c r="B684" s="1">
        <v>45433</v>
      </c>
      <c r="C684">
        <f>YEAR(OrdersTable[[#This Row],[Order Date]])</f>
        <v>2024</v>
      </c>
      <c r="D684" s="2">
        <f>DATE(YEAR(OrdersTable[[#This Row],[Order Date]]),MONTH(OrdersTable[[#This Row],[Order Date]]),1)</f>
        <v>45413</v>
      </c>
      <c r="E684">
        <f>MONTH(OrdersTable[[#This Row],[Order Date]])</f>
        <v>5</v>
      </c>
      <c r="F684" t="s">
        <v>733</v>
      </c>
      <c r="G684" t="str">
        <f>IF(OrdersTable[[#This Row],[Order Date]]=_xlfn.MINIFS(Order_Date, Customer_ID, OrdersTable[[#This Row],[Customer ID]]), "New", "Repeat")</f>
        <v>Repeat</v>
      </c>
      <c r="H684" t="s">
        <v>167</v>
      </c>
      <c r="I684" t="str">
        <f>INDEX(State!B:B,MATCH(OrdersTable[[#This Row],[State]],State!A:A,0))</f>
        <v>KA</v>
      </c>
      <c r="J684" t="str">
        <f>INDEX(State!C:C,MATCH(OrdersTable[[#This Row],[State Code]],State!B:B,0))</f>
        <v>South</v>
      </c>
      <c r="K684" t="s">
        <v>168</v>
      </c>
      <c r="L684" t="s">
        <v>50</v>
      </c>
      <c r="M684" t="s">
        <v>152</v>
      </c>
      <c r="N684" t="str">
        <f>INDEX(Products!B:B,MATCH(OrdersTable[[#This Row],[Product ID]],Products!A:A,0))</f>
        <v>Green Tea (100 bags)</v>
      </c>
      <c r="O684" t="str">
        <f>INDEX(Products!C:C,MATCH(OrdersTable[[#This Row],[Product ID]],Products!A:A,0))</f>
        <v>Wellness</v>
      </c>
      <c r="P684">
        <v>2</v>
      </c>
      <c r="Q684" s="5">
        <v>399</v>
      </c>
      <c r="R684" s="74">
        <v>0.35</v>
      </c>
      <c r="S684" s="75">
        <f>OrdersTable[[#This Row],[Quantity]]*OrdersTable[[#This Row],[Unit Price]]</f>
        <v>798</v>
      </c>
      <c r="T684" s="5">
        <f>OrdersTable[[#This Row],[Gross Sale]]*OrdersTable[[#This Row],[Discount_Clean2]]</f>
        <v>279.29999999999995</v>
      </c>
      <c r="U684" s="5">
        <f>OrdersTable[[#This Row],[Gross Sale]]-OrdersTable[[#This Row],[Discount Amount]]</f>
        <v>518.70000000000005</v>
      </c>
      <c r="V684" s="77">
        <f>INDEX(Products!E:E,MATCH(OrdersTable[[#This Row],[Product ID]],Products!A:A,0))</f>
        <v>128</v>
      </c>
      <c r="W684" s="77">
        <f>OrdersTable[[#This Row],[Quantity]]*OrdersTable[[#This Row],[Unit Cost]]</f>
        <v>256</v>
      </c>
      <c r="X684" s="77">
        <f>'Dropdown Lists'!$I$2*(1+OrdersTable[[#This Row],[Returned]])</f>
        <v>60</v>
      </c>
      <c r="Y684" s="76">
        <f>OrdersTable[[#This Row],[Net Revenue]]-OrdersTable[[#This Row],[COGS]]-OrdersTable[[#This Row],[Shipping Cost]]</f>
        <v>202.70000000000005</v>
      </c>
      <c r="Z684" s="78">
        <f>IFERROR(OrdersTable[[#This Row],[Profit]]/OrdersTable[[#This Row],[Net Revenue]],0)</f>
        <v>0.39078465394254874</v>
      </c>
      <c r="AA684" t="s">
        <v>18</v>
      </c>
      <c r="AB684" s="79">
        <v>45436</v>
      </c>
      <c r="AC684">
        <f>OrdersTable[[#This Row],[Delivery Date]]-OrdersTable[[#This Row],[Order Date]]</f>
        <v>3</v>
      </c>
      <c r="AD684" t="str">
        <f>IF(OrdersTable[[#This Row],[Delivery Days]]&lt;=2, "Express (≤2d)", IF(OrdersTable[[#This Row],[Delivery Days]]&lt;=4, "Standard (3-4d)", "Delayed (5d+)"))</f>
        <v>Standard (3-4d)</v>
      </c>
      <c r="AF684">
        <v>0</v>
      </c>
    </row>
    <row r="685" spans="1:32" ht="15" x14ac:dyDescent="0.35">
      <c r="A685" t="s">
        <v>4909</v>
      </c>
      <c r="B685" s="1">
        <v>45433</v>
      </c>
      <c r="C685">
        <f>YEAR(OrdersTable[[#This Row],[Order Date]])</f>
        <v>2024</v>
      </c>
      <c r="D685" s="2">
        <f>DATE(YEAR(OrdersTable[[#This Row],[Order Date]]),MONTH(OrdersTable[[#This Row],[Order Date]]),1)</f>
        <v>45413</v>
      </c>
      <c r="E685">
        <f>MONTH(OrdersTable[[#This Row],[Order Date]])</f>
        <v>5</v>
      </c>
      <c r="F685" t="s">
        <v>1596</v>
      </c>
      <c r="G685" t="str">
        <f>IF(OrdersTable[[#This Row],[Order Date]]=_xlfn.MINIFS(Order_Date, Customer_ID, OrdersTable[[#This Row],[Customer ID]]), "New", "Repeat")</f>
        <v>New</v>
      </c>
      <c r="H685" t="s">
        <v>59</v>
      </c>
      <c r="I685" t="str">
        <f>INDEX(State!B:B,MATCH(OrdersTable[[#This Row],[State]],State!A:A,0))</f>
        <v>TN</v>
      </c>
      <c r="J685" t="str">
        <f>INDEX(State!C:C,MATCH(OrdersTable[[#This Row],[State Code]],State!B:B,0))</f>
        <v>South</v>
      </c>
      <c r="K685" t="s">
        <v>64</v>
      </c>
      <c r="L685" t="s">
        <v>16</v>
      </c>
      <c r="M685" t="s">
        <v>34</v>
      </c>
      <c r="N685" t="str">
        <f>INDEX(Products!B:B,MATCH(OrdersTable[[#This Row],[Product ID]],Products!A:A,0))</f>
        <v>Flip Flops</v>
      </c>
      <c r="O685" t="str">
        <f>INDEX(Products!C:C,MATCH(OrdersTable[[#This Row],[Product ID]],Products!A:A,0))</f>
        <v>Footwear</v>
      </c>
      <c r="P685">
        <v>2</v>
      </c>
      <c r="Q685" s="5">
        <v>399</v>
      </c>
      <c r="R685" s="74">
        <v>0.15</v>
      </c>
      <c r="S685" s="75">
        <f>OrdersTable[[#This Row],[Quantity]]*OrdersTable[[#This Row],[Unit Price]]</f>
        <v>798</v>
      </c>
      <c r="T685" s="5">
        <f>OrdersTable[[#This Row],[Gross Sale]]*OrdersTable[[#This Row],[Discount_Clean2]]</f>
        <v>119.69999999999999</v>
      </c>
      <c r="U685" s="5">
        <f>OrdersTable[[#This Row],[Gross Sale]]-OrdersTable[[#This Row],[Discount Amount]]</f>
        <v>678.3</v>
      </c>
      <c r="V685" s="77">
        <f>INDEX(Products!E:E,MATCH(OrdersTable[[#This Row],[Product ID]],Products!A:A,0))</f>
        <v>152</v>
      </c>
      <c r="W685" s="77">
        <f>OrdersTable[[#This Row],[Quantity]]*OrdersTable[[#This Row],[Unit Cost]]</f>
        <v>304</v>
      </c>
      <c r="X685" s="77">
        <f>'Dropdown Lists'!$I$2*(1+OrdersTable[[#This Row],[Returned]])</f>
        <v>60</v>
      </c>
      <c r="Y685" s="76">
        <f>OrdersTable[[#This Row],[Net Revenue]]-OrdersTable[[#This Row],[COGS]]-OrdersTable[[#This Row],[Shipping Cost]]</f>
        <v>314.29999999999995</v>
      </c>
      <c r="Z685" s="78">
        <f>IFERROR(OrdersTable[[#This Row],[Profit]]/OrdersTable[[#This Row],[Net Revenue]],0)</f>
        <v>0.4633642930856553</v>
      </c>
      <c r="AA685" t="s">
        <v>4074</v>
      </c>
      <c r="AB685" s="79">
        <v>45434</v>
      </c>
      <c r="AC685">
        <f>OrdersTable[[#This Row],[Delivery Date]]-OrdersTable[[#This Row],[Order Date]]</f>
        <v>1</v>
      </c>
      <c r="AD685" t="str">
        <f>IF(OrdersTable[[#This Row],[Delivery Days]]&lt;=2, "Express (≤2d)", IF(OrdersTable[[#This Row],[Delivery Days]]&lt;=4, "Standard (3-4d)", "Delayed (5d+)"))</f>
        <v>Express (≤2d)</v>
      </c>
      <c r="AF685">
        <v>0</v>
      </c>
    </row>
    <row r="686" spans="1:32" ht="15" x14ac:dyDescent="0.35">
      <c r="A686" t="s">
        <v>6853</v>
      </c>
      <c r="B686" s="1">
        <v>45434</v>
      </c>
      <c r="C686">
        <f>YEAR(OrdersTable[[#This Row],[Order Date]])</f>
        <v>2024</v>
      </c>
      <c r="D686" s="2">
        <f>DATE(YEAR(OrdersTable[[#This Row],[Order Date]]),MONTH(OrdersTable[[#This Row],[Order Date]]),1)</f>
        <v>45413</v>
      </c>
      <c r="E686">
        <f>MONTH(OrdersTable[[#This Row],[Order Date]])</f>
        <v>5</v>
      </c>
      <c r="F686" t="s">
        <v>5680</v>
      </c>
      <c r="G686" t="str">
        <f>IF(OrdersTable[[#This Row],[Order Date]]=_xlfn.MINIFS(Order_Date, Customer_ID, OrdersTable[[#This Row],[Customer ID]]), "New", "Repeat")</f>
        <v>New</v>
      </c>
      <c r="H686" t="s">
        <v>128</v>
      </c>
      <c r="I686" t="str">
        <f>INDEX(State!B:B,MATCH(OrdersTable[[#This Row],[State]],State!A:A,0))</f>
        <v>DL</v>
      </c>
      <c r="J686" t="str">
        <f>INDEX(State!C:C,MATCH(OrdersTable[[#This Row],[State Code]],State!B:B,0))</f>
        <v>North</v>
      </c>
      <c r="K686" t="s">
        <v>129</v>
      </c>
      <c r="L686" t="s">
        <v>50</v>
      </c>
      <c r="M686" t="s">
        <v>40</v>
      </c>
      <c r="N686" t="str">
        <f>INDEX(Products!B:B,MATCH(OrdersTable[[#This Row],[Product ID]],Products!A:A,0))</f>
        <v>Ashwagandha Capsules</v>
      </c>
      <c r="O686" t="str">
        <f>INDEX(Products!C:C,MATCH(OrdersTable[[#This Row],[Product ID]],Products!A:A,0))</f>
        <v>Wellness</v>
      </c>
      <c r="P686">
        <v>3</v>
      </c>
      <c r="Q686" s="5">
        <v>499</v>
      </c>
      <c r="R686" s="74">
        <v>0.1</v>
      </c>
      <c r="S686" s="75">
        <f>OrdersTable[[#This Row],[Quantity]]*OrdersTable[[#This Row],[Unit Price]]</f>
        <v>1497</v>
      </c>
      <c r="T686" s="5">
        <f>OrdersTable[[#This Row],[Gross Sale]]*OrdersTable[[#This Row],[Discount_Clean2]]</f>
        <v>149.70000000000002</v>
      </c>
      <c r="U686" s="5">
        <f>OrdersTable[[#This Row],[Gross Sale]]-OrdersTable[[#This Row],[Discount Amount]]</f>
        <v>1347.3</v>
      </c>
      <c r="V686" s="77">
        <f>INDEX(Products!E:E,MATCH(OrdersTable[[#This Row],[Product ID]],Products!A:A,0))</f>
        <v>150</v>
      </c>
      <c r="W686" s="77">
        <f>OrdersTable[[#This Row],[Quantity]]*OrdersTable[[#This Row],[Unit Cost]]</f>
        <v>450</v>
      </c>
      <c r="X686" s="77">
        <f>'Dropdown Lists'!$I$2*(1+OrdersTable[[#This Row],[Returned]])</f>
        <v>60</v>
      </c>
      <c r="Y686" s="76">
        <f>OrdersTable[[#This Row],[Net Revenue]]-OrdersTable[[#This Row],[COGS]]-OrdersTable[[#This Row],[Shipping Cost]]</f>
        <v>837.3</v>
      </c>
      <c r="Z686" s="78">
        <f>IFERROR(OrdersTable[[#This Row],[Profit]]/OrdersTable[[#This Row],[Net Revenue]],0)</f>
        <v>0.62146515252727674</v>
      </c>
      <c r="AA686" t="s">
        <v>4074</v>
      </c>
      <c r="AB686" s="79">
        <v>45437</v>
      </c>
      <c r="AC686">
        <f>OrdersTable[[#This Row],[Delivery Date]]-OrdersTable[[#This Row],[Order Date]]</f>
        <v>3</v>
      </c>
      <c r="AD686" t="str">
        <f>IF(OrdersTable[[#This Row],[Delivery Days]]&lt;=2, "Express (≤2d)", IF(OrdersTable[[#This Row],[Delivery Days]]&lt;=4, "Standard (3-4d)", "Delayed (5d+)"))</f>
        <v>Standard (3-4d)</v>
      </c>
      <c r="AE686">
        <v>4</v>
      </c>
      <c r="AF686">
        <v>0</v>
      </c>
    </row>
    <row r="687" spans="1:32" ht="15" x14ac:dyDescent="0.35">
      <c r="A687" t="s">
        <v>6670</v>
      </c>
      <c r="B687" s="1">
        <v>45434</v>
      </c>
      <c r="C687">
        <f>YEAR(OrdersTable[[#This Row],[Order Date]])</f>
        <v>2024</v>
      </c>
      <c r="D687" s="2">
        <f>DATE(YEAR(OrdersTable[[#This Row],[Order Date]]),MONTH(OrdersTable[[#This Row],[Order Date]]),1)</f>
        <v>45413</v>
      </c>
      <c r="E687">
        <f>MONTH(OrdersTable[[#This Row],[Order Date]])</f>
        <v>5</v>
      </c>
      <c r="F687" t="s">
        <v>6671</v>
      </c>
      <c r="G687" t="str">
        <f>IF(OrdersTable[[#This Row],[Order Date]]=_xlfn.MINIFS(Order_Date, Customer_ID, OrdersTable[[#This Row],[Customer ID]]), "New", "Repeat")</f>
        <v>New</v>
      </c>
      <c r="H687" t="s">
        <v>76</v>
      </c>
      <c r="I687" t="str">
        <f>INDEX(State!B:B,MATCH(OrdersTable[[#This Row],[State]],State!A:A,0))</f>
        <v>UP</v>
      </c>
      <c r="J687" t="str">
        <f>INDEX(State!C:C,MATCH(OrdersTable[[#This Row],[State Code]],State!B:B,0))</f>
        <v>North</v>
      </c>
      <c r="K687" t="s">
        <v>77</v>
      </c>
      <c r="L687" t="s">
        <v>65</v>
      </c>
      <c r="M687" t="s">
        <v>205</v>
      </c>
      <c r="N687" t="str">
        <f>INDEX(Products!B:B,MATCH(OrdersTable[[#This Row],[Product ID]],Products!A:A,0))</f>
        <v>Running Shoes</v>
      </c>
      <c r="O687" t="str">
        <f>INDEX(Products!C:C,MATCH(OrdersTable[[#This Row],[Product ID]],Products!A:A,0))</f>
        <v>Footwear</v>
      </c>
      <c r="P687">
        <v>3</v>
      </c>
      <c r="Q687" s="5">
        <v>2999</v>
      </c>
      <c r="R687" s="74">
        <v>0.2</v>
      </c>
      <c r="S687" s="75">
        <f>OrdersTable[[#This Row],[Quantity]]*OrdersTable[[#This Row],[Unit Price]]</f>
        <v>8997</v>
      </c>
      <c r="T687" s="5">
        <f>OrdersTable[[#This Row],[Gross Sale]]*OrdersTable[[#This Row],[Discount_Clean2]]</f>
        <v>1799.4</v>
      </c>
      <c r="U687" s="5">
        <f>OrdersTable[[#This Row],[Gross Sale]]-OrdersTable[[#This Row],[Discount Amount]]</f>
        <v>7197.6</v>
      </c>
      <c r="V687" s="77">
        <f>INDEX(Products!E:E,MATCH(OrdersTable[[#This Row],[Product ID]],Products!A:A,0))</f>
        <v>1440</v>
      </c>
      <c r="W687" s="77">
        <f>OrdersTable[[#This Row],[Quantity]]*OrdersTable[[#This Row],[Unit Cost]]</f>
        <v>4320</v>
      </c>
      <c r="X687" s="77">
        <f>'Dropdown Lists'!$I$2*(1+OrdersTable[[#This Row],[Returned]])</f>
        <v>60</v>
      </c>
      <c r="Y687" s="76">
        <f>OrdersTable[[#This Row],[Net Revenue]]-OrdersTable[[#This Row],[COGS]]-OrdersTable[[#This Row],[Shipping Cost]]</f>
        <v>2817.6000000000004</v>
      </c>
      <c r="Z687" s="78">
        <f>IFERROR(OrdersTable[[#This Row],[Profit]]/OrdersTable[[#This Row],[Net Revenue]],0)</f>
        <v>0.39146382127375795</v>
      </c>
      <c r="AA687" t="s">
        <v>2522</v>
      </c>
      <c r="AB687" s="79">
        <v>45437</v>
      </c>
      <c r="AC687">
        <f>OrdersTable[[#This Row],[Delivery Date]]-OrdersTable[[#This Row],[Order Date]]</f>
        <v>3</v>
      </c>
      <c r="AD687" t="str">
        <f>IF(OrdersTable[[#This Row],[Delivery Days]]&lt;=2, "Express (≤2d)", IF(OrdersTable[[#This Row],[Delivery Days]]&lt;=4, "Standard (3-4d)", "Delayed (5d+)"))</f>
        <v>Standard (3-4d)</v>
      </c>
      <c r="AE687">
        <v>4</v>
      </c>
      <c r="AF687">
        <v>0</v>
      </c>
    </row>
    <row r="688" spans="1:32" ht="15" x14ac:dyDescent="0.35">
      <c r="A688" t="s">
        <v>740</v>
      </c>
      <c r="B688" s="1">
        <v>45434</v>
      </c>
      <c r="C688">
        <f>YEAR(OrdersTable[[#This Row],[Order Date]])</f>
        <v>2024</v>
      </c>
      <c r="D688" s="2">
        <f>DATE(YEAR(OrdersTable[[#This Row],[Order Date]]),MONTH(OrdersTable[[#This Row],[Order Date]]),1)</f>
        <v>45413</v>
      </c>
      <c r="E688">
        <f>MONTH(OrdersTable[[#This Row],[Order Date]])</f>
        <v>5</v>
      </c>
      <c r="F688" t="s">
        <v>458</v>
      </c>
      <c r="G688" t="str">
        <f>IF(OrdersTable[[#This Row],[Order Date]]=_xlfn.MINIFS(Order_Date, Customer_ID, OrdersTable[[#This Row],[Customer ID]]), "New", "Repeat")</f>
        <v>Repeat</v>
      </c>
      <c r="H688" t="s">
        <v>37</v>
      </c>
      <c r="I688" t="str">
        <f>INDEX(State!B:B,MATCH(OrdersTable[[#This Row],[State]],State!A:A,0))</f>
        <v>GJ</v>
      </c>
      <c r="J688" t="str">
        <f>INDEX(State!C:C,MATCH(OrdersTable[[#This Row],[State Code]],State!B:B,0))</f>
        <v>West</v>
      </c>
      <c r="K688" t="s">
        <v>38</v>
      </c>
      <c r="L688" t="s">
        <v>39</v>
      </c>
      <c r="M688" t="s">
        <v>255</v>
      </c>
      <c r="N688" t="str">
        <f>INDEX(Products!B:B,MATCH(OrdersTable[[#This Row],[Product ID]],Products!A:A,0))</f>
        <v>Cotton Oversized T-Shirt</v>
      </c>
      <c r="O688" t="str">
        <f>INDEX(Products!C:C,MATCH(OrdersTable[[#This Row],[Product ID]],Products!A:A,0))</f>
        <v>Apparel</v>
      </c>
      <c r="P688">
        <v>1</v>
      </c>
      <c r="Q688" s="5">
        <v>799</v>
      </c>
      <c r="R688" s="74">
        <v>0</v>
      </c>
      <c r="S688" s="75">
        <f>OrdersTable[[#This Row],[Quantity]]*OrdersTable[[#This Row],[Unit Price]]</f>
        <v>799</v>
      </c>
      <c r="T688" s="5">
        <f>OrdersTable[[#This Row],[Gross Sale]]*OrdersTable[[#This Row],[Discount_Clean2]]</f>
        <v>0</v>
      </c>
      <c r="U688" s="5">
        <f>OrdersTable[[#This Row],[Gross Sale]]-OrdersTable[[#This Row],[Discount Amount]]</f>
        <v>799</v>
      </c>
      <c r="V688" s="77">
        <f>INDEX(Products!E:E,MATCH(OrdersTable[[#This Row],[Product ID]],Products!A:A,0))</f>
        <v>320</v>
      </c>
      <c r="W688" s="77">
        <f>OrdersTable[[#This Row],[Quantity]]*OrdersTable[[#This Row],[Unit Cost]]</f>
        <v>320</v>
      </c>
      <c r="X688" s="77">
        <f>'Dropdown Lists'!$I$2*(1+OrdersTable[[#This Row],[Returned]])</f>
        <v>60</v>
      </c>
      <c r="Y688" s="76">
        <f>OrdersTable[[#This Row],[Net Revenue]]-OrdersTable[[#This Row],[COGS]]-OrdersTable[[#This Row],[Shipping Cost]]</f>
        <v>419</v>
      </c>
      <c r="Z688" s="78">
        <f>IFERROR(OrdersTable[[#This Row],[Profit]]/OrdersTable[[#This Row],[Net Revenue]],0)</f>
        <v>0.52440550688360454</v>
      </c>
      <c r="AA688" t="s">
        <v>18</v>
      </c>
      <c r="AB688" s="79">
        <v>45438</v>
      </c>
      <c r="AC688">
        <f>OrdersTable[[#This Row],[Delivery Date]]-OrdersTable[[#This Row],[Order Date]]</f>
        <v>4</v>
      </c>
      <c r="AD688" t="str">
        <f>IF(OrdersTable[[#This Row],[Delivery Days]]&lt;=2, "Express (≤2d)", IF(OrdersTable[[#This Row],[Delivery Days]]&lt;=4, "Standard (3-4d)", "Delayed (5d+)"))</f>
        <v>Standard (3-4d)</v>
      </c>
      <c r="AE688">
        <v>4</v>
      </c>
      <c r="AF688">
        <v>0</v>
      </c>
    </row>
    <row r="689" spans="1:32" ht="15" x14ac:dyDescent="0.35">
      <c r="A689" t="s">
        <v>5089</v>
      </c>
      <c r="B689" s="1">
        <v>45434</v>
      </c>
      <c r="C689">
        <f>YEAR(OrdersTable[[#This Row],[Order Date]])</f>
        <v>2024</v>
      </c>
      <c r="D689" s="2">
        <f>DATE(YEAR(OrdersTable[[#This Row],[Order Date]]),MONTH(OrdersTable[[#This Row],[Order Date]]),1)</f>
        <v>45413</v>
      </c>
      <c r="E689">
        <f>MONTH(OrdersTable[[#This Row],[Order Date]])</f>
        <v>5</v>
      </c>
      <c r="F689" t="s">
        <v>3177</v>
      </c>
      <c r="G689" t="str">
        <f>IF(OrdersTable[[#This Row],[Order Date]]=_xlfn.MINIFS(Order_Date, Customer_ID, OrdersTable[[#This Row],[Customer ID]]), "New", "Repeat")</f>
        <v>Repeat</v>
      </c>
      <c r="H689" t="s">
        <v>123</v>
      </c>
      <c r="I689" t="str">
        <f>INDEX(State!B:B,MATCH(OrdersTable[[#This Row],[State]],State!A:A,0))</f>
        <v>JH</v>
      </c>
      <c r="J689" t="str">
        <f>INDEX(State!C:C,MATCH(OrdersTable[[#This Row],[State Code]],State!B:B,0))</f>
        <v>East</v>
      </c>
      <c r="K689" t="s">
        <v>124</v>
      </c>
      <c r="L689" t="s">
        <v>23</v>
      </c>
      <c r="M689" t="s">
        <v>51</v>
      </c>
      <c r="N689" t="str">
        <f>INDEX(Products!B:B,MATCH(OrdersTable[[#This Row],[Product ID]],Products!A:A,0))</f>
        <v>Anti-Dandruff Conditioner</v>
      </c>
      <c r="O689" t="str">
        <f>INDEX(Products!C:C,MATCH(OrdersTable[[#This Row],[Product ID]],Products!A:A,0))</f>
        <v>Haircare</v>
      </c>
      <c r="P689">
        <v>2</v>
      </c>
      <c r="Q689" s="5">
        <v>399</v>
      </c>
      <c r="R689" s="74">
        <v>0.35</v>
      </c>
      <c r="S689" s="75">
        <f>OrdersTable[[#This Row],[Quantity]]*OrdersTable[[#This Row],[Unit Price]]</f>
        <v>798</v>
      </c>
      <c r="T689" s="5">
        <f>OrdersTable[[#This Row],[Gross Sale]]*OrdersTable[[#This Row],[Discount_Clean2]]</f>
        <v>279.29999999999995</v>
      </c>
      <c r="U689" s="5">
        <f>OrdersTable[[#This Row],[Gross Sale]]-OrdersTable[[#This Row],[Discount Amount]]</f>
        <v>518.70000000000005</v>
      </c>
      <c r="V689" s="77">
        <f>INDEX(Products!E:E,MATCH(OrdersTable[[#This Row],[Product ID]],Products!A:A,0))</f>
        <v>136</v>
      </c>
      <c r="W689" s="77">
        <f>OrdersTable[[#This Row],[Quantity]]*OrdersTable[[#This Row],[Unit Cost]]</f>
        <v>272</v>
      </c>
      <c r="X689" s="77">
        <f>'Dropdown Lists'!$I$2*(1+OrdersTable[[#This Row],[Returned]])</f>
        <v>60</v>
      </c>
      <c r="Y689" s="76">
        <f>OrdersTable[[#This Row],[Net Revenue]]-OrdersTable[[#This Row],[COGS]]-OrdersTable[[#This Row],[Shipping Cost]]</f>
        <v>186.70000000000005</v>
      </c>
      <c r="Z689" s="78">
        <f>IFERROR(OrdersTable[[#This Row],[Profit]]/OrdersTable[[#This Row],[Net Revenue]],0)</f>
        <v>0.35993830730672843</v>
      </c>
      <c r="AA689" t="s">
        <v>3495</v>
      </c>
      <c r="AB689" s="79">
        <v>45437</v>
      </c>
      <c r="AC689">
        <f>OrdersTable[[#This Row],[Delivery Date]]-OrdersTable[[#This Row],[Order Date]]</f>
        <v>3</v>
      </c>
      <c r="AD689" t="str">
        <f>IF(OrdersTable[[#This Row],[Delivery Days]]&lt;=2, "Express (≤2d)", IF(OrdersTable[[#This Row],[Delivery Days]]&lt;=4, "Standard (3-4d)", "Delayed (5d+)"))</f>
        <v>Standard (3-4d)</v>
      </c>
      <c r="AE689">
        <v>4</v>
      </c>
      <c r="AF689">
        <v>0</v>
      </c>
    </row>
    <row r="690" spans="1:32" ht="15" x14ac:dyDescent="0.35">
      <c r="A690" t="s">
        <v>3531</v>
      </c>
      <c r="B690" s="1">
        <v>45434</v>
      </c>
      <c r="C690">
        <f>YEAR(OrdersTable[[#This Row],[Order Date]])</f>
        <v>2024</v>
      </c>
      <c r="D690" s="2">
        <f>DATE(YEAR(OrdersTable[[#This Row],[Order Date]]),MONTH(OrdersTable[[#This Row],[Order Date]]),1)</f>
        <v>45413</v>
      </c>
      <c r="E690">
        <f>MONTH(OrdersTable[[#This Row],[Order Date]])</f>
        <v>5</v>
      </c>
      <c r="F690" t="s">
        <v>3532</v>
      </c>
      <c r="G690" t="str">
        <f>IF(OrdersTable[[#This Row],[Order Date]]=_xlfn.MINIFS(Order_Date, Customer_ID, OrdersTable[[#This Row],[Customer ID]]), "New", "Repeat")</f>
        <v>New</v>
      </c>
      <c r="H690" t="s">
        <v>123</v>
      </c>
      <c r="I690" t="str">
        <f>INDEX(State!B:B,MATCH(OrdersTable[[#This Row],[State]],State!A:A,0))</f>
        <v>JH</v>
      </c>
      <c r="J690" t="str">
        <f>INDEX(State!C:C,MATCH(OrdersTable[[#This Row],[State Code]],State!B:B,0))</f>
        <v>East</v>
      </c>
      <c r="K690" t="s">
        <v>124</v>
      </c>
      <c r="L690" t="s">
        <v>65</v>
      </c>
      <c r="M690" t="s">
        <v>576</v>
      </c>
      <c r="N690" t="str">
        <f>INDEX(Products!B:B,MATCH(OrdersTable[[#This Row],[Product ID]],Products!A:A,0))</f>
        <v>Printed Saree</v>
      </c>
      <c r="O690" t="str">
        <f>INDEX(Products!C:C,MATCH(OrdersTable[[#This Row],[Product ID]],Products!A:A,0))</f>
        <v>Apparel</v>
      </c>
      <c r="P690">
        <v>1</v>
      </c>
      <c r="Q690" s="5">
        <v>1999</v>
      </c>
      <c r="R690" s="74">
        <v>0.1</v>
      </c>
      <c r="S690" s="75">
        <f>OrdersTable[[#This Row],[Quantity]]*OrdersTable[[#This Row],[Unit Price]]</f>
        <v>1999</v>
      </c>
      <c r="T690" s="5">
        <f>OrdersTable[[#This Row],[Gross Sale]]*OrdersTable[[#This Row],[Discount_Clean2]]</f>
        <v>199.9</v>
      </c>
      <c r="U690" s="5">
        <f>OrdersTable[[#This Row],[Gross Sale]]-OrdersTable[[#This Row],[Discount Amount]]</f>
        <v>1799.1</v>
      </c>
      <c r="V690" s="77">
        <f>INDEX(Products!E:E,MATCH(OrdersTable[[#This Row],[Product ID]],Products!A:A,0))</f>
        <v>880</v>
      </c>
      <c r="W690" s="77">
        <f>OrdersTable[[#This Row],[Quantity]]*OrdersTable[[#This Row],[Unit Cost]]</f>
        <v>880</v>
      </c>
      <c r="X690" s="77">
        <f>'Dropdown Lists'!$I$2*(1+OrdersTable[[#This Row],[Returned]])</f>
        <v>60</v>
      </c>
      <c r="Y690" s="76">
        <f>OrdersTable[[#This Row],[Net Revenue]]-OrdersTable[[#This Row],[COGS]]-OrdersTable[[#This Row],[Shipping Cost]]</f>
        <v>859.09999999999991</v>
      </c>
      <c r="Z690" s="78">
        <f>IFERROR(OrdersTable[[#This Row],[Profit]]/OrdersTable[[#This Row],[Net Revenue]],0)</f>
        <v>0.47751653604580063</v>
      </c>
      <c r="AA690" t="s">
        <v>3495</v>
      </c>
      <c r="AB690" s="79">
        <v>45438</v>
      </c>
      <c r="AC690">
        <f>OrdersTable[[#This Row],[Delivery Date]]-OrdersTable[[#This Row],[Order Date]]</f>
        <v>4</v>
      </c>
      <c r="AD690" t="str">
        <f>IF(OrdersTable[[#This Row],[Delivery Days]]&lt;=2, "Express (≤2d)", IF(OrdersTable[[#This Row],[Delivery Days]]&lt;=4, "Standard (3-4d)", "Delayed (5d+)"))</f>
        <v>Standard (3-4d)</v>
      </c>
      <c r="AE690">
        <v>4</v>
      </c>
      <c r="AF690">
        <v>0</v>
      </c>
    </row>
    <row r="691" spans="1:32" ht="15" x14ac:dyDescent="0.35">
      <c r="A691" t="s">
        <v>3173</v>
      </c>
      <c r="B691" s="1">
        <v>45434</v>
      </c>
      <c r="C691">
        <f>YEAR(OrdersTable[[#This Row],[Order Date]])</f>
        <v>2024</v>
      </c>
      <c r="D691" s="2">
        <f>DATE(YEAR(OrdersTable[[#This Row],[Order Date]]),MONTH(OrdersTable[[#This Row],[Order Date]]),1)</f>
        <v>45413</v>
      </c>
      <c r="E691">
        <f>MONTH(OrdersTable[[#This Row],[Order Date]])</f>
        <v>5</v>
      </c>
      <c r="F691" t="s">
        <v>1546</v>
      </c>
      <c r="G691" t="str">
        <f>IF(OrdersTable[[#This Row],[Order Date]]=_xlfn.MINIFS(Order_Date, Customer_ID, OrdersTable[[#This Row],[Customer ID]]), "New", "Repeat")</f>
        <v>New</v>
      </c>
      <c r="H691" t="s">
        <v>95</v>
      </c>
      <c r="I691" t="str">
        <f>INDEX(State!B:B,MATCH(OrdersTable[[#This Row],[State]],State!A:A,0))</f>
        <v>TG</v>
      </c>
      <c r="J691" t="str">
        <f>INDEX(State!C:C,MATCH(OrdersTable[[#This Row],[State Code]],State!B:B,0))</f>
        <v>South</v>
      </c>
      <c r="K691" t="s">
        <v>96</v>
      </c>
      <c r="L691" t="s">
        <v>50</v>
      </c>
      <c r="M691" t="s">
        <v>106</v>
      </c>
      <c r="N691" t="str">
        <f>INDEX(Products!B:B,MATCH(OrdersTable[[#This Row],[Product ID]],Products!A:A,0))</f>
        <v>Keratin Hair Mask</v>
      </c>
      <c r="O691" t="str">
        <f>INDEX(Products!C:C,MATCH(OrdersTable[[#This Row],[Product ID]],Products!A:A,0))</f>
        <v>Haircare</v>
      </c>
      <c r="P691">
        <v>1</v>
      </c>
      <c r="Q691" s="5">
        <v>549</v>
      </c>
      <c r="R691" s="74">
        <v>0.15</v>
      </c>
      <c r="S691" s="75">
        <f>OrdersTable[[#This Row],[Quantity]]*OrdersTable[[#This Row],[Unit Price]]</f>
        <v>549</v>
      </c>
      <c r="T691" s="5">
        <f>OrdersTable[[#This Row],[Gross Sale]]*OrdersTable[[#This Row],[Discount_Clean2]]</f>
        <v>82.35</v>
      </c>
      <c r="U691" s="5">
        <f>OrdersTable[[#This Row],[Gross Sale]]-OrdersTable[[#This Row],[Discount Amount]]</f>
        <v>466.65</v>
      </c>
      <c r="V691" s="77">
        <f>INDEX(Products!E:E,MATCH(OrdersTable[[#This Row],[Product ID]],Products!A:A,0))</f>
        <v>170</v>
      </c>
      <c r="W691" s="77">
        <f>OrdersTable[[#This Row],[Quantity]]*OrdersTable[[#This Row],[Unit Cost]]</f>
        <v>170</v>
      </c>
      <c r="X691" s="77">
        <f>'Dropdown Lists'!$I$2*(1+OrdersTable[[#This Row],[Returned]])</f>
        <v>60</v>
      </c>
      <c r="Y691" s="76">
        <f>OrdersTable[[#This Row],[Net Revenue]]-OrdersTable[[#This Row],[COGS]]-OrdersTable[[#This Row],[Shipping Cost]]</f>
        <v>236.64999999999998</v>
      </c>
      <c r="Z691" s="78">
        <f>IFERROR(OrdersTable[[#This Row],[Profit]]/OrdersTable[[#This Row],[Net Revenue]],0)</f>
        <v>0.50712525447337398</v>
      </c>
      <c r="AA691" t="s">
        <v>2522</v>
      </c>
      <c r="AB691" s="79">
        <v>45437</v>
      </c>
      <c r="AC691">
        <f>OrdersTable[[#This Row],[Delivery Date]]-OrdersTable[[#This Row],[Order Date]]</f>
        <v>3</v>
      </c>
      <c r="AD691" t="str">
        <f>IF(OrdersTable[[#This Row],[Delivery Days]]&lt;=2, "Express (≤2d)", IF(OrdersTable[[#This Row],[Delivery Days]]&lt;=4, "Standard (3-4d)", "Delayed (5d+)"))</f>
        <v>Standard (3-4d)</v>
      </c>
      <c r="AE691">
        <v>4</v>
      </c>
      <c r="AF691">
        <v>0</v>
      </c>
    </row>
    <row r="692" spans="1:32" ht="15" x14ac:dyDescent="0.35">
      <c r="A692" t="s">
        <v>471</v>
      </c>
      <c r="B692" s="1">
        <v>45434</v>
      </c>
      <c r="C692">
        <f>YEAR(OrdersTable[[#This Row],[Order Date]])</f>
        <v>2024</v>
      </c>
      <c r="D692" s="2">
        <f>DATE(YEAR(OrdersTable[[#This Row],[Order Date]]),MONTH(OrdersTable[[#This Row],[Order Date]]),1)</f>
        <v>45413</v>
      </c>
      <c r="E692">
        <f>MONTH(OrdersTable[[#This Row],[Order Date]])</f>
        <v>5</v>
      </c>
      <c r="F692" t="s">
        <v>431</v>
      </c>
      <c r="G692" t="str">
        <f>IF(OrdersTable[[#This Row],[Order Date]]=_xlfn.MINIFS(Order_Date, Customer_ID, OrdersTable[[#This Row],[Customer ID]]), "New", "Repeat")</f>
        <v>Repeat</v>
      </c>
      <c r="H692" t="s">
        <v>167</v>
      </c>
      <c r="I692" t="str">
        <f>INDEX(State!B:B,MATCH(OrdersTable[[#This Row],[State]],State!A:A,0))</f>
        <v>KA</v>
      </c>
      <c r="J692" t="str">
        <f>INDEX(State!C:C,MATCH(OrdersTable[[#This Row],[State Code]],State!B:B,0))</f>
        <v>South</v>
      </c>
      <c r="K692" t="s">
        <v>168</v>
      </c>
      <c r="L692" t="s">
        <v>65</v>
      </c>
      <c r="M692" t="s">
        <v>160</v>
      </c>
      <c r="N692" t="str">
        <f>INDEX(Products!B:B,MATCH(OrdersTable[[#This Row],[Product ID]],Products!A:A,0))</f>
        <v>Niacinamide Toner</v>
      </c>
      <c r="O692" t="str">
        <f>INDEX(Products!C:C,MATCH(OrdersTable[[#This Row],[Product ID]],Products!A:A,0))</f>
        <v>Skincare</v>
      </c>
      <c r="P692">
        <v>1</v>
      </c>
      <c r="Q692" s="5">
        <v>399</v>
      </c>
      <c r="R692" s="74">
        <v>0.25</v>
      </c>
      <c r="S692" s="75">
        <f>OrdersTable[[#This Row],[Quantity]]*OrdersTable[[#This Row],[Unit Price]]</f>
        <v>399</v>
      </c>
      <c r="T692" s="5">
        <f>OrdersTable[[#This Row],[Gross Sale]]*OrdersTable[[#This Row],[Discount_Clean2]]</f>
        <v>99.75</v>
      </c>
      <c r="U692" s="5">
        <f>OrdersTable[[#This Row],[Gross Sale]]-OrdersTable[[#This Row],[Discount Amount]]</f>
        <v>299.25</v>
      </c>
      <c r="V692" s="77">
        <f>INDEX(Products!E:E,MATCH(OrdersTable[[#This Row],[Product ID]],Products!A:A,0))</f>
        <v>112</v>
      </c>
      <c r="W692" s="77">
        <f>OrdersTable[[#This Row],[Quantity]]*OrdersTable[[#This Row],[Unit Cost]]</f>
        <v>112</v>
      </c>
      <c r="X692" s="77">
        <f>'Dropdown Lists'!$I$2*(1+OrdersTable[[#This Row],[Returned]])</f>
        <v>60</v>
      </c>
      <c r="Y692" s="76">
        <f>OrdersTable[[#This Row],[Net Revenue]]-OrdersTable[[#This Row],[COGS]]-OrdersTable[[#This Row],[Shipping Cost]]</f>
        <v>127.25</v>
      </c>
      <c r="Z692" s="78">
        <f>IFERROR(OrdersTable[[#This Row],[Profit]]/OrdersTable[[#This Row],[Net Revenue]],0)</f>
        <v>0.42522974101921468</v>
      </c>
      <c r="AA692" t="s">
        <v>18</v>
      </c>
      <c r="AB692" s="79">
        <v>45437</v>
      </c>
      <c r="AC692">
        <f>OrdersTable[[#This Row],[Delivery Date]]-OrdersTable[[#This Row],[Order Date]]</f>
        <v>3</v>
      </c>
      <c r="AD692" t="str">
        <f>IF(OrdersTable[[#This Row],[Delivery Days]]&lt;=2, "Express (≤2d)", IF(OrdersTable[[#This Row],[Delivery Days]]&lt;=4, "Standard (3-4d)", "Delayed (5d+)"))</f>
        <v>Standard (3-4d)</v>
      </c>
      <c r="AE692">
        <v>4</v>
      </c>
      <c r="AF692">
        <v>0</v>
      </c>
    </row>
    <row r="693" spans="1:32" ht="15" x14ac:dyDescent="0.35">
      <c r="A693" t="s">
        <v>1644</v>
      </c>
      <c r="B693" s="1">
        <v>45434</v>
      </c>
      <c r="C693">
        <f>YEAR(OrdersTable[[#This Row],[Order Date]])</f>
        <v>2024</v>
      </c>
      <c r="D693" s="2">
        <f>DATE(YEAR(OrdersTable[[#This Row],[Order Date]]),MONTH(OrdersTable[[#This Row],[Order Date]]),1)</f>
        <v>45413</v>
      </c>
      <c r="E693">
        <f>MONTH(OrdersTable[[#This Row],[Order Date]])</f>
        <v>5</v>
      </c>
      <c r="F693" t="s">
        <v>1365</v>
      </c>
      <c r="G693" t="str">
        <f>IF(OrdersTable[[#This Row],[Order Date]]=_xlfn.MINIFS(Order_Date, Customer_ID, OrdersTable[[#This Row],[Customer ID]]), "New", "Repeat")</f>
        <v>New</v>
      </c>
      <c r="H693" t="s">
        <v>167</v>
      </c>
      <c r="I693" t="str">
        <f>INDEX(State!B:B,MATCH(OrdersTable[[#This Row],[State]],State!A:A,0))</f>
        <v>KA</v>
      </c>
      <c r="J693" t="str">
        <f>INDEX(State!C:C,MATCH(OrdersTable[[#This Row],[State Code]],State!B:B,0))</f>
        <v>South</v>
      </c>
      <c r="K693" t="s">
        <v>168</v>
      </c>
      <c r="L693" t="s">
        <v>65</v>
      </c>
      <c r="M693" t="s">
        <v>84</v>
      </c>
      <c r="N693" t="str">
        <f>INDEX(Products!B:B,MATCH(OrdersTable[[#This Row],[Product ID]],Products!A:A,0))</f>
        <v>Cotton Bedsheet</v>
      </c>
      <c r="O693" t="str">
        <f>INDEX(Products!C:C,MATCH(OrdersTable[[#This Row],[Product ID]],Products!A:A,0))</f>
        <v>Home &amp; Kitchen</v>
      </c>
      <c r="P693">
        <v>1</v>
      </c>
      <c r="Q693" s="5">
        <v>1299</v>
      </c>
      <c r="R693" s="74">
        <v>0.05</v>
      </c>
      <c r="S693" s="75">
        <f>OrdersTable[[#This Row],[Quantity]]*OrdersTable[[#This Row],[Unit Price]]</f>
        <v>1299</v>
      </c>
      <c r="T693" s="5">
        <f>OrdersTable[[#This Row],[Gross Sale]]*OrdersTable[[#This Row],[Discount_Clean2]]</f>
        <v>64.95</v>
      </c>
      <c r="U693" s="5">
        <f>OrdersTable[[#This Row],[Gross Sale]]-OrdersTable[[#This Row],[Discount Amount]]</f>
        <v>1234.05</v>
      </c>
      <c r="V693" s="77">
        <f>INDEX(Products!E:E,MATCH(OrdersTable[[#This Row],[Product ID]],Products!A:A,0))</f>
        <v>585</v>
      </c>
      <c r="W693" s="77">
        <f>OrdersTable[[#This Row],[Quantity]]*OrdersTable[[#This Row],[Unit Cost]]</f>
        <v>585</v>
      </c>
      <c r="X693" s="77">
        <f>'Dropdown Lists'!$I$2*(1+OrdersTable[[#This Row],[Returned]])</f>
        <v>60</v>
      </c>
      <c r="Y693" s="76">
        <f>OrdersTable[[#This Row],[Net Revenue]]-OrdersTable[[#This Row],[COGS]]-OrdersTable[[#This Row],[Shipping Cost]]</f>
        <v>589.04999999999995</v>
      </c>
      <c r="Z693" s="78">
        <f>IFERROR(OrdersTable[[#This Row],[Profit]]/OrdersTable[[#This Row],[Net Revenue]],0)</f>
        <v>0.47733074024553296</v>
      </c>
      <c r="AA693" t="s">
        <v>18</v>
      </c>
      <c r="AB693" s="79">
        <v>45437</v>
      </c>
      <c r="AC693">
        <f>OrdersTable[[#This Row],[Delivery Date]]-OrdersTable[[#This Row],[Order Date]]</f>
        <v>3</v>
      </c>
      <c r="AD693" t="str">
        <f>IF(OrdersTable[[#This Row],[Delivery Days]]&lt;=2, "Express (≤2d)", IF(OrdersTable[[#This Row],[Delivery Days]]&lt;=4, "Standard (3-4d)", "Delayed (5d+)"))</f>
        <v>Standard (3-4d)</v>
      </c>
      <c r="AF693">
        <v>0</v>
      </c>
    </row>
    <row r="694" spans="1:32" ht="15" x14ac:dyDescent="0.35">
      <c r="A694" t="s">
        <v>6949</v>
      </c>
      <c r="B694" s="1">
        <v>45435</v>
      </c>
      <c r="C694">
        <f>YEAR(OrdersTable[[#This Row],[Order Date]])</f>
        <v>2024</v>
      </c>
      <c r="D694" s="2">
        <f>DATE(YEAR(OrdersTable[[#This Row],[Order Date]]),MONTH(OrdersTable[[#This Row],[Order Date]]),1)</f>
        <v>45413</v>
      </c>
      <c r="E694">
        <f>MONTH(OrdersTable[[#This Row],[Order Date]])</f>
        <v>5</v>
      </c>
      <c r="F694" t="s">
        <v>4254</v>
      </c>
      <c r="G694" t="str">
        <f>IF(OrdersTable[[#This Row],[Order Date]]=_xlfn.MINIFS(Order_Date, Customer_ID, OrdersTable[[#This Row],[Customer ID]]), "New", "Repeat")</f>
        <v>New</v>
      </c>
      <c r="H694" t="s">
        <v>37</v>
      </c>
      <c r="I694" t="str">
        <f>INDEX(State!B:B,MATCH(OrdersTable[[#This Row],[State]],State!A:A,0))</f>
        <v>GJ</v>
      </c>
      <c r="J694" t="str">
        <f>INDEX(State!C:C,MATCH(OrdersTable[[#This Row],[State Code]],State!B:B,0))</f>
        <v>West</v>
      </c>
      <c r="K694" t="s">
        <v>38</v>
      </c>
      <c r="L694" t="s">
        <v>39</v>
      </c>
      <c r="M694" t="s">
        <v>125</v>
      </c>
      <c r="N694" t="str">
        <f>INDEX(Products!B:B,MATCH(OrdersTable[[#This Row],[Product ID]],Products!A:A,0))</f>
        <v>Copper Water Bottle</v>
      </c>
      <c r="O694" t="str">
        <f>INDEX(Products!C:C,MATCH(OrdersTable[[#This Row],[Product ID]],Products!A:A,0))</f>
        <v>Home &amp; Kitchen</v>
      </c>
      <c r="P694">
        <v>4</v>
      </c>
      <c r="Q694" s="5">
        <v>899</v>
      </c>
      <c r="R694" s="74">
        <v>0</v>
      </c>
      <c r="S694" s="75">
        <f>OrdersTable[[#This Row],[Quantity]]*OrdersTable[[#This Row],[Unit Price]]</f>
        <v>3596</v>
      </c>
      <c r="T694" s="5">
        <f>OrdersTable[[#This Row],[Gross Sale]]*OrdersTable[[#This Row],[Discount_Clean2]]</f>
        <v>0</v>
      </c>
      <c r="U694" s="5">
        <f>OrdersTable[[#This Row],[Gross Sale]]-OrdersTable[[#This Row],[Discount Amount]]</f>
        <v>3596</v>
      </c>
      <c r="V694" s="77">
        <f>INDEX(Products!E:E,MATCH(OrdersTable[[#This Row],[Product ID]],Products!A:A,0))</f>
        <v>378</v>
      </c>
      <c r="W694" s="77">
        <f>OrdersTable[[#This Row],[Quantity]]*OrdersTable[[#This Row],[Unit Cost]]</f>
        <v>1512</v>
      </c>
      <c r="X694" s="77">
        <f>'Dropdown Lists'!$I$2*(1+OrdersTable[[#This Row],[Returned]])</f>
        <v>120</v>
      </c>
      <c r="Y694" s="76">
        <f>OrdersTable[[#This Row],[Net Revenue]]-OrdersTable[[#This Row],[COGS]]-OrdersTable[[#This Row],[Shipping Cost]]</f>
        <v>1964</v>
      </c>
      <c r="Z694" s="78">
        <f>IFERROR(OrdersTable[[#This Row],[Profit]]/OrdersTable[[#This Row],[Net Revenue]],0)</f>
        <v>0.5461624026696329</v>
      </c>
      <c r="AA694" t="s">
        <v>2522</v>
      </c>
      <c r="AB694" s="79">
        <v>45439</v>
      </c>
      <c r="AC694">
        <f>OrdersTable[[#This Row],[Delivery Date]]-OrdersTable[[#This Row],[Order Date]]</f>
        <v>4</v>
      </c>
      <c r="AD694" t="str">
        <f>IF(OrdersTable[[#This Row],[Delivery Days]]&lt;=2, "Express (≤2d)", IF(OrdersTable[[#This Row],[Delivery Days]]&lt;=4, "Standard (3-4d)", "Delayed (5d+)"))</f>
        <v>Standard (3-4d)</v>
      </c>
      <c r="AE694">
        <v>4</v>
      </c>
      <c r="AF694">
        <v>1</v>
      </c>
    </row>
    <row r="695" spans="1:32" ht="15" x14ac:dyDescent="0.35">
      <c r="A695" t="s">
        <v>3174</v>
      </c>
      <c r="B695" s="1">
        <v>45435</v>
      </c>
      <c r="C695">
        <f>YEAR(OrdersTable[[#This Row],[Order Date]])</f>
        <v>2024</v>
      </c>
      <c r="D695" s="2">
        <f>DATE(YEAR(OrdersTable[[#This Row],[Order Date]]),MONTH(OrdersTable[[#This Row],[Order Date]]),1)</f>
        <v>45413</v>
      </c>
      <c r="E695">
        <f>MONTH(OrdersTable[[#This Row],[Order Date]])</f>
        <v>5</v>
      </c>
      <c r="F695" t="s">
        <v>648</v>
      </c>
      <c r="G695" t="str">
        <f>IF(OrdersTable[[#This Row],[Order Date]]=_xlfn.MINIFS(Order_Date, Customer_ID, OrdersTable[[#This Row],[Customer ID]]), "New", "Repeat")</f>
        <v>New</v>
      </c>
      <c r="H695" t="s">
        <v>37</v>
      </c>
      <c r="I695" t="str">
        <f>INDEX(State!B:B,MATCH(OrdersTable[[#This Row],[State]],State!A:A,0))</f>
        <v>GJ</v>
      </c>
      <c r="J695" t="str">
        <f>INDEX(State!C:C,MATCH(OrdersTable[[#This Row],[State Code]],State!B:B,0))</f>
        <v>West</v>
      </c>
      <c r="K695" t="s">
        <v>247</v>
      </c>
      <c r="L695" t="s">
        <v>16</v>
      </c>
      <c r="M695" t="s">
        <v>34</v>
      </c>
      <c r="N695" t="str">
        <f>INDEX(Products!B:B,MATCH(OrdersTable[[#This Row],[Product ID]],Products!A:A,0))</f>
        <v>Flip Flops</v>
      </c>
      <c r="O695" t="str">
        <f>INDEX(Products!C:C,MATCH(OrdersTable[[#This Row],[Product ID]],Products!A:A,0))</f>
        <v>Footwear</v>
      </c>
      <c r="P695">
        <v>1</v>
      </c>
      <c r="Q695" s="5">
        <v>399</v>
      </c>
      <c r="R695" s="74">
        <v>0.2</v>
      </c>
      <c r="S695" s="75">
        <f>OrdersTable[[#This Row],[Quantity]]*OrdersTable[[#This Row],[Unit Price]]</f>
        <v>399</v>
      </c>
      <c r="T695" s="5">
        <f>OrdersTable[[#This Row],[Gross Sale]]*OrdersTable[[#This Row],[Discount_Clean2]]</f>
        <v>79.800000000000011</v>
      </c>
      <c r="U695" s="5">
        <f>OrdersTable[[#This Row],[Gross Sale]]-OrdersTable[[#This Row],[Discount Amount]]</f>
        <v>319.2</v>
      </c>
      <c r="V695" s="77">
        <f>INDEX(Products!E:E,MATCH(OrdersTable[[#This Row],[Product ID]],Products!A:A,0))</f>
        <v>152</v>
      </c>
      <c r="W695" s="77">
        <f>OrdersTable[[#This Row],[Quantity]]*OrdersTable[[#This Row],[Unit Cost]]</f>
        <v>152</v>
      </c>
      <c r="X695" s="77">
        <f>'Dropdown Lists'!$I$2*(1+OrdersTable[[#This Row],[Returned]])</f>
        <v>60</v>
      </c>
      <c r="Y695" s="76">
        <f>OrdersTable[[#This Row],[Net Revenue]]-OrdersTable[[#This Row],[COGS]]-OrdersTable[[#This Row],[Shipping Cost]]</f>
        <v>107.19999999999999</v>
      </c>
      <c r="Z695" s="78">
        <f>IFERROR(OrdersTable[[#This Row],[Profit]]/OrdersTable[[#This Row],[Net Revenue]],0)</f>
        <v>0.33583959899749372</v>
      </c>
      <c r="AA695" t="s">
        <v>2522</v>
      </c>
      <c r="AB695" s="79">
        <v>45437</v>
      </c>
      <c r="AC695">
        <f>OrdersTable[[#This Row],[Delivery Date]]-OrdersTable[[#This Row],[Order Date]]</f>
        <v>2</v>
      </c>
      <c r="AD695" t="str">
        <f>IF(OrdersTable[[#This Row],[Delivery Days]]&lt;=2, "Express (≤2d)", IF(OrdersTable[[#This Row],[Delivery Days]]&lt;=4, "Standard (3-4d)", "Delayed (5d+)"))</f>
        <v>Express (≤2d)</v>
      </c>
      <c r="AE695">
        <v>4</v>
      </c>
      <c r="AF695">
        <v>0</v>
      </c>
    </row>
    <row r="696" spans="1:32" ht="15" x14ac:dyDescent="0.35">
      <c r="A696" t="s">
        <v>2558</v>
      </c>
      <c r="B696" s="1">
        <v>45435</v>
      </c>
      <c r="C696">
        <f>YEAR(OrdersTable[[#This Row],[Order Date]])</f>
        <v>2024</v>
      </c>
      <c r="D696" s="2">
        <f>DATE(YEAR(OrdersTable[[#This Row],[Order Date]]),MONTH(OrdersTable[[#This Row],[Order Date]]),1)</f>
        <v>45413</v>
      </c>
      <c r="E696">
        <f>MONTH(OrdersTable[[#This Row],[Order Date]])</f>
        <v>5</v>
      </c>
      <c r="F696" t="s">
        <v>2034</v>
      </c>
      <c r="G696" t="str">
        <f>IF(OrdersTable[[#This Row],[Order Date]]=_xlfn.MINIFS(Order_Date, Customer_ID, OrdersTable[[#This Row],[Customer ID]]), "New", "Repeat")</f>
        <v>New</v>
      </c>
      <c r="H696" t="s">
        <v>37</v>
      </c>
      <c r="I696" t="str">
        <f>INDEX(State!B:B,MATCH(OrdersTable[[#This Row],[State]],State!A:A,0))</f>
        <v>GJ</v>
      </c>
      <c r="J696" t="str">
        <f>INDEX(State!C:C,MATCH(OrdersTable[[#This Row],[State Code]],State!B:B,0))</f>
        <v>West</v>
      </c>
      <c r="K696" t="s">
        <v>247</v>
      </c>
      <c r="L696" t="s">
        <v>65</v>
      </c>
      <c r="M696" t="s">
        <v>78</v>
      </c>
      <c r="N696" t="str">
        <f>INDEX(Products!B:B,MATCH(OrdersTable[[#This Row],[Product ID]],Products!A:A,0))</f>
        <v>Retinol Night Cream</v>
      </c>
      <c r="O696" t="str">
        <f>INDEX(Products!C:C,MATCH(OrdersTable[[#This Row],[Product ID]],Products!A:A,0))</f>
        <v>Skincare</v>
      </c>
      <c r="P696">
        <v>1</v>
      </c>
      <c r="Q696" s="5">
        <v>799</v>
      </c>
      <c r="R696" s="74">
        <v>0</v>
      </c>
      <c r="S696" s="75">
        <f>OrdersTable[[#This Row],[Quantity]]*OrdersTable[[#This Row],[Unit Price]]</f>
        <v>799</v>
      </c>
      <c r="T696" s="5">
        <f>OrdersTable[[#This Row],[Gross Sale]]*OrdersTable[[#This Row],[Discount_Clean2]]</f>
        <v>0</v>
      </c>
      <c r="U696" s="5">
        <f>OrdersTable[[#This Row],[Gross Sale]]-OrdersTable[[#This Row],[Discount Amount]]</f>
        <v>799</v>
      </c>
      <c r="V696" s="77">
        <f>INDEX(Products!E:E,MATCH(OrdersTable[[#This Row],[Product ID]],Products!A:A,0))</f>
        <v>216</v>
      </c>
      <c r="W696" s="77">
        <f>OrdersTable[[#This Row],[Quantity]]*OrdersTable[[#This Row],[Unit Cost]]</f>
        <v>216</v>
      </c>
      <c r="X696" s="77">
        <f>'Dropdown Lists'!$I$2*(1+OrdersTable[[#This Row],[Returned]])</f>
        <v>60</v>
      </c>
      <c r="Y696" s="76">
        <f>OrdersTable[[#This Row],[Net Revenue]]-OrdersTable[[#This Row],[COGS]]-OrdersTable[[#This Row],[Shipping Cost]]</f>
        <v>523</v>
      </c>
      <c r="Z696" s="78">
        <f>IFERROR(OrdersTable[[#This Row],[Profit]]/OrdersTable[[#This Row],[Net Revenue]],0)</f>
        <v>0.65456821026282852</v>
      </c>
      <c r="AA696" t="s">
        <v>2522</v>
      </c>
      <c r="AB696" s="79">
        <v>45437</v>
      </c>
      <c r="AC696">
        <f>OrdersTable[[#This Row],[Delivery Date]]-OrdersTable[[#This Row],[Order Date]]</f>
        <v>2</v>
      </c>
      <c r="AD696" t="str">
        <f>IF(OrdersTable[[#This Row],[Delivery Days]]&lt;=2, "Express (≤2d)", IF(OrdersTable[[#This Row],[Delivery Days]]&lt;=4, "Standard (3-4d)", "Delayed (5d+)"))</f>
        <v>Express (≤2d)</v>
      </c>
      <c r="AE696">
        <v>5</v>
      </c>
      <c r="AF696">
        <v>0</v>
      </c>
    </row>
    <row r="697" spans="1:32" ht="15" x14ac:dyDescent="0.35">
      <c r="A697" t="s">
        <v>6854</v>
      </c>
      <c r="B697" s="1">
        <v>45435</v>
      </c>
      <c r="C697">
        <f>YEAR(OrdersTable[[#This Row],[Order Date]])</f>
        <v>2024</v>
      </c>
      <c r="D697" s="2">
        <f>DATE(YEAR(OrdersTable[[#This Row],[Order Date]]),MONTH(OrdersTable[[#This Row],[Order Date]]),1)</f>
        <v>45413</v>
      </c>
      <c r="E697">
        <f>MONTH(OrdersTable[[#This Row],[Order Date]])</f>
        <v>5</v>
      </c>
      <c r="F697" t="s">
        <v>1386</v>
      </c>
      <c r="G697" t="str">
        <f>IF(OrdersTable[[#This Row],[Order Date]]=_xlfn.MINIFS(Order_Date, Customer_ID, OrdersTable[[#This Row],[Customer ID]]), "New", "Repeat")</f>
        <v>New</v>
      </c>
      <c r="H697" t="s">
        <v>95</v>
      </c>
      <c r="I697" t="str">
        <f>INDEX(State!B:B,MATCH(OrdersTable[[#This Row],[State]],State!A:A,0))</f>
        <v>TG</v>
      </c>
      <c r="J697" t="str">
        <f>INDEX(State!C:C,MATCH(OrdersTable[[#This Row],[State Code]],State!B:B,0))</f>
        <v>South</v>
      </c>
      <c r="K697" t="s">
        <v>96</v>
      </c>
      <c r="L697" t="s">
        <v>23</v>
      </c>
      <c r="M697" t="s">
        <v>106</v>
      </c>
      <c r="N697" t="str">
        <f>INDEX(Products!B:B,MATCH(OrdersTable[[#This Row],[Product ID]],Products!A:A,0))</f>
        <v>Keratin Hair Mask</v>
      </c>
      <c r="O697" t="str">
        <f>INDEX(Products!C:C,MATCH(OrdersTable[[#This Row],[Product ID]],Products!A:A,0))</f>
        <v>Haircare</v>
      </c>
      <c r="P697">
        <v>3</v>
      </c>
      <c r="Q697" s="5">
        <v>549</v>
      </c>
      <c r="R697" s="74">
        <v>0.15</v>
      </c>
      <c r="S697" s="75">
        <f>OrdersTable[[#This Row],[Quantity]]*OrdersTable[[#This Row],[Unit Price]]</f>
        <v>1647</v>
      </c>
      <c r="T697" s="5">
        <f>OrdersTable[[#This Row],[Gross Sale]]*OrdersTable[[#This Row],[Discount_Clean2]]</f>
        <v>247.04999999999998</v>
      </c>
      <c r="U697" s="5">
        <f>OrdersTable[[#This Row],[Gross Sale]]-OrdersTable[[#This Row],[Discount Amount]]</f>
        <v>1399.95</v>
      </c>
      <c r="V697" s="77">
        <f>INDEX(Products!E:E,MATCH(OrdersTable[[#This Row],[Product ID]],Products!A:A,0))</f>
        <v>170</v>
      </c>
      <c r="W697" s="77">
        <f>OrdersTable[[#This Row],[Quantity]]*OrdersTable[[#This Row],[Unit Cost]]</f>
        <v>510</v>
      </c>
      <c r="X697" s="77">
        <f>'Dropdown Lists'!$I$2*(1+OrdersTable[[#This Row],[Returned]])</f>
        <v>60</v>
      </c>
      <c r="Y697" s="76">
        <f>OrdersTable[[#This Row],[Net Revenue]]-OrdersTable[[#This Row],[COGS]]-OrdersTable[[#This Row],[Shipping Cost]]</f>
        <v>829.95</v>
      </c>
      <c r="Z697" s="78">
        <f>IFERROR(OrdersTable[[#This Row],[Profit]]/OrdersTable[[#This Row],[Net Revenue]],0)</f>
        <v>0.59284260152148294</v>
      </c>
      <c r="AA697" t="s">
        <v>4450</v>
      </c>
      <c r="AB697" s="79">
        <v>45438</v>
      </c>
      <c r="AC697">
        <f>OrdersTable[[#This Row],[Delivery Date]]-OrdersTable[[#This Row],[Order Date]]</f>
        <v>3</v>
      </c>
      <c r="AD697" t="str">
        <f>IF(OrdersTable[[#This Row],[Delivery Days]]&lt;=2, "Express (≤2d)", IF(OrdersTable[[#This Row],[Delivery Days]]&lt;=4, "Standard (3-4d)", "Delayed (5d+)"))</f>
        <v>Standard (3-4d)</v>
      </c>
      <c r="AE697">
        <v>3</v>
      </c>
      <c r="AF697">
        <v>0</v>
      </c>
    </row>
    <row r="698" spans="1:32" ht="15" x14ac:dyDescent="0.35">
      <c r="A698" t="s">
        <v>3723</v>
      </c>
      <c r="B698" s="1">
        <v>45436</v>
      </c>
      <c r="C698">
        <f>YEAR(OrdersTable[[#This Row],[Order Date]])</f>
        <v>2024</v>
      </c>
      <c r="D698" s="2">
        <f>DATE(YEAR(OrdersTable[[#This Row],[Order Date]]),MONTH(OrdersTable[[#This Row],[Order Date]]),1)</f>
        <v>45413</v>
      </c>
      <c r="E698">
        <f>MONTH(OrdersTable[[#This Row],[Order Date]])</f>
        <v>5</v>
      </c>
      <c r="F698" t="s">
        <v>2957</v>
      </c>
      <c r="G698" t="str">
        <f>IF(OrdersTable[[#This Row],[Order Date]]=_xlfn.MINIFS(Order_Date, Customer_ID, OrdersTable[[#This Row],[Customer ID]]), "New", "Repeat")</f>
        <v>New</v>
      </c>
      <c r="H698" t="s">
        <v>21</v>
      </c>
      <c r="I698" t="str">
        <f>INDEX(State!B:B,MATCH(OrdersTable[[#This Row],[State]],State!A:A,0))</f>
        <v>PB</v>
      </c>
      <c r="J698" t="str">
        <f>INDEX(State!C:C,MATCH(OrdersTable[[#This Row],[State Code]],State!B:B,0))</f>
        <v>North</v>
      </c>
      <c r="K698" t="s">
        <v>260</v>
      </c>
      <c r="L698" t="s">
        <v>23</v>
      </c>
      <c r="M698" t="s">
        <v>106</v>
      </c>
      <c r="N698" t="str">
        <f>INDEX(Products!B:B,MATCH(OrdersTable[[#This Row],[Product ID]],Products!A:A,0))</f>
        <v>Keratin Hair Mask</v>
      </c>
      <c r="O698" t="str">
        <f>INDEX(Products!C:C,MATCH(OrdersTable[[#This Row],[Product ID]],Products!A:A,0))</f>
        <v>Haircare</v>
      </c>
      <c r="P698">
        <v>1</v>
      </c>
      <c r="Q698" s="5">
        <v>549</v>
      </c>
      <c r="R698" s="74">
        <v>0.15</v>
      </c>
      <c r="S698" s="75">
        <f>OrdersTable[[#This Row],[Quantity]]*OrdersTable[[#This Row],[Unit Price]]</f>
        <v>549</v>
      </c>
      <c r="T698" s="5">
        <f>OrdersTable[[#This Row],[Gross Sale]]*OrdersTable[[#This Row],[Discount_Clean2]]</f>
        <v>82.35</v>
      </c>
      <c r="U698" s="5">
        <f>OrdersTable[[#This Row],[Gross Sale]]-OrdersTable[[#This Row],[Discount Amount]]</f>
        <v>466.65</v>
      </c>
      <c r="V698" s="77">
        <f>INDEX(Products!E:E,MATCH(OrdersTable[[#This Row],[Product ID]],Products!A:A,0))</f>
        <v>170</v>
      </c>
      <c r="W698" s="77">
        <f>OrdersTable[[#This Row],[Quantity]]*OrdersTable[[#This Row],[Unit Cost]]</f>
        <v>170</v>
      </c>
      <c r="X698" s="77">
        <f>'Dropdown Lists'!$I$2*(1+OrdersTable[[#This Row],[Returned]])</f>
        <v>60</v>
      </c>
      <c r="Y698" s="76">
        <f>OrdersTable[[#This Row],[Net Revenue]]-OrdersTable[[#This Row],[COGS]]-OrdersTable[[#This Row],[Shipping Cost]]</f>
        <v>236.64999999999998</v>
      </c>
      <c r="Z698" s="78">
        <f>IFERROR(OrdersTable[[#This Row],[Profit]]/OrdersTable[[#This Row],[Net Revenue]],0)</f>
        <v>0.50712525447337398</v>
      </c>
      <c r="AA698" t="s">
        <v>3495</v>
      </c>
      <c r="AB698" s="79">
        <v>45440</v>
      </c>
      <c r="AC698">
        <f>OrdersTable[[#This Row],[Delivery Date]]-OrdersTable[[#This Row],[Order Date]]</f>
        <v>4</v>
      </c>
      <c r="AD698" t="str">
        <f>IF(OrdersTable[[#This Row],[Delivery Days]]&lt;=2, "Express (≤2d)", IF(OrdersTable[[#This Row],[Delivery Days]]&lt;=4, "Standard (3-4d)", "Delayed (5d+)"))</f>
        <v>Standard (3-4d)</v>
      </c>
      <c r="AF698">
        <v>0</v>
      </c>
    </row>
    <row r="699" spans="1:32" ht="15" x14ac:dyDescent="0.35">
      <c r="A699" t="s">
        <v>6488</v>
      </c>
      <c r="B699" s="1">
        <v>45436</v>
      </c>
      <c r="C699">
        <f>YEAR(OrdersTable[[#This Row],[Order Date]])</f>
        <v>2024</v>
      </c>
      <c r="D699" s="2">
        <f>DATE(YEAR(OrdersTable[[#This Row],[Order Date]]),MONTH(OrdersTable[[#This Row],[Order Date]]),1)</f>
        <v>45413</v>
      </c>
      <c r="E699">
        <f>MONTH(OrdersTable[[#This Row],[Order Date]])</f>
        <v>5</v>
      </c>
      <c r="F699" t="s">
        <v>6489</v>
      </c>
      <c r="G699" t="str">
        <f>IF(OrdersTable[[#This Row],[Order Date]]=_xlfn.MINIFS(Order_Date, Customer_ID, OrdersTable[[#This Row],[Customer ID]]), "New", "Repeat")</f>
        <v>New</v>
      </c>
      <c r="H699" t="s">
        <v>37</v>
      </c>
      <c r="I699" t="str">
        <f>INDEX(State!B:B,MATCH(OrdersTable[[#This Row],[State]],State!A:A,0))</f>
        <v>GJ</v>
      </c>
      <c r="J699" t="str">
        <f>INDEX(State!C:C,MATCH(OrdersTable[[#This Row],[State Code]],State!B:B,0))</f>
        <v>West</v>
      </c>
      <c r="K699" t="s">
        <v>38</v>
      </c>
      <c r="L699" t="s">
        <v>65</v>
      </c>
      <c r="M699" t="s">
        <v>40</v>
      </c>
      <c r="N699" t="str">
        <f>INDEX(Products!B:B,MATCH(OrdersTable[[#This Row],[Product ID]],Products!A:A,0))</f>
        <v>Ashwagandha Capsules</v>
      </c>
      <c r="O699" t="str">
        <f>INDEX(Products!C:C,MATCH(OrdersTable[[#This Row],[Product ID]],Products!A:A,0))</f>
        <v>Wellness</v>
      </c>
      <c r="P699">
        <v>3</v>
      </c>
      <c r="Q699" s="5">
        <v>499</v>
      </c>
      <c r="R699" s="74">
        <v>0.1</v>
      </c>
      <c r="S699" s="75">
        <f>OrdersTable[[#This Row],[Quantity]]*OrdersTable[[#This Row],[Unit Price]]</f>
        <v>1497</v>
      </c>
      <c r="T699" s="5">
        <f>OrdersTable[[#This Row],[Gross Sale]]*OrdersTable[[#This Row],[Discount_Clean2]]</f>
        <v>149.70000000000002</v>
      </c>
      <c r="U699" s="5">
        <f>OrdersTable[[#This Row],[Gross Sale]]-OrdersTable[[#This Row],[Discount Amount]]</f>
        <v>1347.3</v>
      </c>
      <c r="V699" s="77">
        <f>INDEX(Products!E:E,MATCH(OrdersTable[[#This Row],[Product ID]],Products!A:A,0))</f>
        <v>150</v>
      </c>
      <c r="W699" s="77">
        <f>OrdersTable[[#This Row],[Quantity]]*OrdersTable[[#This Row],[Unit Cost]]</f>
        <v>450</v>
      </c>
      <c r="X699" s="77">
        <f>'Dropdown Lists'!$I$2*(1+OrdersTable[[#This Row],[Returned]])</f>
        <v>60</v>
      </c>
      <c r="Y699" s="76">
        <f>OrdersTable[[#This Row],[Net Revenue]]-OrdersTable[[#This Row],[COGS]]-OrdersTable[[#This Row],[Shipping Cost]]</f>
        <v>837.3</v>
      </c>
      <c r="Z699" s="78">
        <f>IFERROR(OrdersTable[[#This Row],[Profit]]/OrdersTable[[#This Row],[Net Revenue]],0)</f>
        <v>0.62146515252727674</v>
      </c>
      <c r="AA699" t="s">
        <v>18</v>
      </c>
      <c r="AB699" s="79">
        <v>45438</v>
      </c>
      <c r="AC699">
        <f>OrdersTable[[#This Row],[Delivery Date]]-OrdersTable[[#This Row],[Order Date]]</f>
        <v>2</v>
      </c>
      <c r="AD699" t="str">
        <f>IF(OrdersTable[[#This Row],[Delivery Days]]&lt;=2, "Express (≤2d)", IF(OrdersTable[[#This Row],[Delivery Days]]&lt;=4, "Standard (3-4d)", "Delayed (5d+)"))</f>
        <v>Express (≤2d)</v>
      </c>
      <c r="AE699">
        <v>4</v>
      </c>
      <c r="AF699">
        <v>0</v>
      </c>
    </row>
    <row r="700" spans="1:32" ht="15" x14ac:dyDescent="0.35">
      <c r="A700" t="s">
        <v>1478</v>
      </c>
      <c r="B700" s="1">
        <v>45436</v>
      </c>
      <c r="C700">
        <f>YEAR(OrdersTable[[#This Row],[Order Date]])</f>
        <v>2024</v>
      </c>
      <c r="D700" s="2">
        <f>DATE(YEAR(OrdersTable[[#This Row],[Order Date]]),MONTH(OrdersTable[[#This Row],[Order Date]]),1)</f>
        <v>45413</v>
      </c>
      <c r="E700">
        <f>MONTH(OrdersTable[[#This Row],[Order Date]])</f>
        <v>5</v>
      </c>
      <c r="F700" t="s">
        <v>1479</v>
      </c>
      <c r="G700" t="str">
        <f>IF(OrdersTable[[#This Row],[Order Date]]=_xlfn.MINIFS(Order_Date, Customer_ID, OrdersTable[[#This Row],[Customer ID]]), "New", "Repeat")</f>
        <v>Repeat</v>
      </c>
      <c r="H700" t="s">
        <v>71</v>
      </c>
      <c r="I700" t="str">
        <f>INDEX(State!B:B,MATCH(OrdersTable[[#This Row],[State]],State!A:A,0))</f>
        <v>MH</v>
      </c>
      <c r="J700" t="str">
        <f>INDEX(State!C:C,MATCH(OrdersTable[[#This Row],[State Code]],State!B:B,0))</f>
        <v>West</v>
      </c>
      <c r="K700" t="s">
        <v>72</v>
      </c>
      <c r="L700" t="s">
        <v>39</v>
      </c>
      <c r="M700" t="s">
        <v>125</v>
      </c>
      <c r="N700" t="str">
        <f>INDEX(Products!B:B,MATCH(OrdersTable[[#This Row],[Product ID]],Products!A:A,0))</f>
        <v>Copper Water Bottle</v>
      </c>
      <c r="O700" t="str">
        <f>INDEX(Products!C:C,MATCH(OrdersTable[[#This Row],[Product ID]],Products!A:A,0))</f>
        <v>Home &amp; Kitchen</v>
      </c>
      <c r="P700">
        <v>1</v>
      </c>
      <c r="Q700" s="5">
        <v>899</v>
      </c>
      <c r="R700" s="74">
        <v>0</v>
      </c>
      <c r="S700" s="75">
        <f>OrdersTable[[#This Row],[Quantity]]*OrdersTable[[#This Row],[Unit Price]]</f>
        <v>899</v>
      </c>
      <c r="T700" s="5">
        <f>OrdersTable[[#This Row],[Gross Sale]]*OrdersTable[[#This Row],[Discount_Clean2]]</f>
        <v>0</v>
      </c>
      <c r="U700" s="5">
        <f>OrdersTable[[#This Row],[Gross Sale]]-OrdersTable[[#This Row],[Discount Amount]]</f>
        <v>899</v>
      </c>
      <c r="V700" s="77">
        <f>INDEX(Products!E:E,MATCH(OrdersTable[[#This Row],[Product ID]],Products!A:A,0))</f>
        <v>378</v>
      </c>
      <c r="W700" s="77">
        <f>OrdersTable[[#This Row],[Quantity]]*OrdersTable[[#This Row],[Unit Cost]]</f>
        <v>378</v>
      </c>
      <c r="X700" s="77">
        <f>'Dropdown Lists'!$I$2*(1+OrdersTable[[#This Row],[Returned]])</f>
        <v>60</v>
      </c>
      <c r="Y700" s="76">
        <f>OrdersTable[[#This Row],[Net Revenue]]-OrdersTable[[#This Row],[COGS]]-OrdersTable[[#This Row],[Shipping Cost]]</f>
        <v>461</v>
      </c>
      <c r="Z700" s="78">
        <f>IFERROR(OrdersTable[[#This Row],[Profit]]/OrdersTable[[#This Row],[Net Revenue]],0)</f>
        <v>0.51279199110122353</v>
      </c>
      <c r="AA700" t="s">
        <v>18</v>
      </c>
      <c r="AB700" s="79">
        <v>45437</v>
      </c>
      <c r="AC700">
        <f>OrdersTable[[#This Row],[Delivery Date]]-OrdersTable[[#This Row],[Order Date]]</f>
        <v>1</v>
      </c>
      <c r="AD700" t="str">
        <f>IF(OrdersTable[[#This Row],[Delivery Days]]&lt;=2, "Express (≤2d)", IF(OrdersTable[[#This Row],[Delivery Days]]&lt;=4, "Standard (3-4d)", "Delayed (5d+)"))</f>
        <v>Express (≤2d)</v>
      </c>
      <c r="AF700">
        <v>0</v>
      </c>
    </row>
    <row r="701" spans="1:32" ht="15" x14ac:dyDescent="0.35">
      <c r="A701" t="s">
        <v>4566</v>
      </c>
      <c r="B701" s="1">
        <v>45436</v>
      </c>
      <c r="C701">
        <f>YEAR(OrdersTable[[#This Row],[Order Date]])</f>
        <v>2024</v>
      </c>
      <c r="D701" s="2">
        <f>DATE(YEAR(OrdersTable[[#This Row],[Order Date]]),MONTH(OrdersTable[[#This Row],[Order Date]]),1)</f>
        <v>45413</v>
      </c>
      <c r="E701">
        <f>MONTH(OrdersTable[[#This Row],[Order Date]])</f>
        <v>5</v>
      </c>
      <c r="F701" t="s">
        <v>4567</v>
      </c>
      <c r="G701" t="str">
        <f>IF(OrdersTable[[#This Row],[Order Date]]=_xlfn.MINIFS(Order_Date, Customer_ID, OrdersTable[[#This Row],[Customer ID]]), "New", "Repeat")</f>
        <v>New</v>
      </c>
      <c r="H701" t="s">
        <v>95</v>
      </c>
      <c r="I701" t="str">
        <f>INDEX(State!B:B,MATCH(OrdersTable[[#This Row],[State]],State!A:A,0))</f>
        <v>TG</v>
      </c>
      <c r="J701" t="str">
        <f>INDEX(State!C:C,MATCH(OrdersTable[[#This Row],[State Code]],State!B:B,0))</f>
        <v>South</v>
      </c>
      <c r="K701" t="s">
        <v>96</v>
      </c>
      <c r="L701" t="s">
        <v>39</v>
      </c>
      <c r="M701" t="s">
        <v>73</v>
      </c>
      <c r="N701" t="str">
        <f>INDEX(Products!B:B,MATCH(OrdersTable[[#This Row],[Product ID]],Products!A:A,0))</f>
        <v>Hydrating Face Wash</v>
      </c>
      <c r="O701" t="str">
        <f>INDEX(Products!C:C,MATCH(OrdersTable[[#This Row],[Product ID]],Products!A:A,0))</f>
        <v>Skincare</v>
      </c>
      <c r="P701">
        <v>1</v>
      </c>
      <c r="Q701" s="5">
        <v>299</v>
      </c>
      <c r="R701" s="74">
        <v>0</v>
      </c>
      <c r="S701" s="75">
        <f>OrdersTable[[#This Row],[Quantity]]*OrdersTable[[#This Row],[Unit Price]]</f>
        <v>299</v>
      </c>
      <c r="T701" s="5">
        <f>OrdersTable[[#This Row],[Gross Sale]]*OrdersTable[[#This Row],[Discount_Clean2]]</f>
        <v>0</v>
      </c>
      <c r="U701" s="5">
        <f>OrdersTable[[#This Row],[Gross Sale]]-OrdersTable[[#This Row],[Discount Amount]]</f>
        <v>299</v>
      </c>
      <c r="V701" s="77">
        <f>INDEX(Products!E:E,MATCH(OrdersTable[[#This Row],[Product ID]],Products!A:A,0))</f>
        <v>90</v>
      </c>
      <c r="W701" s="77">
        <f>OrdersTable[[#This Row],[Quantity]]*OrdersTable[[#This Row],[Unit Cost]]</f>
        <v>90</v>
      </c>
      <c r="X701" s="77">
        <f>'Dropdown Lists'!$I$2*(1+OrdersTable[[#This Row],[Returned]])</f>
        <v>60</v>
      </c>
      <c r="Y701" s="76">
        <f>OrdersTable[[#This Row],[Net Revenue]]-OrdersTable[[#This Row],[COGS]]-OrdersTable[[#This Row],[Shipping Cost]]</f>
        <v>149</v>
      </c>
      <c r="Z701" s="78">
        <f>IFERROR(OrdersTable[[#This Row],[Profit]]/OrdersTable[[#This Row],[Net Revenue]],0)</f>
        <v>0.49832775919732442</v>
      </c>
      <c r="AA701" t="s">
        <v>4450</v>
      </c>
      <c r="AB701" s="79">
        <v>45439</v>
      </c>
      <c r="AC701">
        <f>OrdersTable[[#This Row],[Delivery Date]]-OrdersTable[[#This Row],[Order Date]]</f>
        <v>3</v>
      </c>
      <c r="AD701" t="str">
        <f>IF(OrdersTable[[#This Row],[Delivery Days]]&lt;=2, "Express (≤2d)", IF(OrdersTable[[#This Row],[Delivery Days]]&lt;=4, "Standard (3-4d)", "Delayed (5d+)"))</f>
        <v>Standard (3-4d)</v>
      </c>
      <c r="AF701">
        <v>0</v>
      </c>
    </row>
    <row r="702" spans="1:32" ht="15" x14ac:dyDescent="0.35">
      <c r="A702" t="s">
        <v>2559</v>
      </c>
      <c r="B702" s="1">
        <v>45436</v>
      </c>
      <c r="C702">
        <f>YEAR(OrdersTable[[#This Row],[Order Date]])</f>
        <v>2024</v>
      </c>
      <c r="D702" s="2">
        <f>DATE(YEAR(OrdersTable[[#This Row],[Order Date]]),MONTH(OrdersTable[[#This Row],[Order Date]]),1)</f>
        <v>45413</v>
      </c>
      <c r="E702">
        <f>MONTH(OrdersTable[[#This Row],[Order Date]])</f>
        <v>5</v>
      </c>
      <c r="F702" t="s">
        <v>468</v>
      </c>
      <c r="G702" t="str">
        <f>IF(OrdersTable[[#This Row],[Order Date]]=_xlfn.MINIFS(Order_Date, Customer_ID, OrdersTable[[#This Row],[Customer ID]]), "New", "Repeat")</f>
        <v>Repeat</v>
      </c>
      <c r="H702" t="s">
        <v>167</v>
      </c>
      <c r="I702" t="str">
        <f>INDEX(State!B:B,MATCH(OrdersTable[[#This Row],[State]],State!A:A,0))</f>
        <v>KA</v>
      </c>
      <c r="J702" t="str">
        <f>INDEX(State!C:C,MATCH(OrdersTable[[#This Row],[State Code]],State!B:B,0))</f>
        <v>South</v>
      </c>
      <c r="K702" t="s">
        <v>168</v>
      </c>
      <c r="L702" t="s">
        <v>65</v>
      </c>
      <c r="M702" t="s">
        <v>51</v>
      </c>
      <c r="N702" t="str">
        <f>INDEX(Products!B:B,MATCH(OrdersTable[[#This Row],[Product ID]],Products!A:A,0))</f>
        <v>Anti-Dandruff Conditioner</v>
      </c>
      <c r="O702" t="str">
        <f>INDEX(Products!C:C,MATCH(OrdersTable[[#This Row],[Product ID]],Products!A:A,0))</f>
        <v>Haircare</v>
      </c>
      <c r="P702">
        <v>1</v>
      </c>
      <c r="Q702" s="5">
        <v>399</v>
      </c>
      <c r="R702" s="74">
        <v>0.45</v>
      </c>
      <c r="S702" s="75">
        <f>OrdersTable[[#This Row],[Quantity]]*OrdersTable[[#This Row],[Unit Price]]</f>
        <v>399</v>
      </c>
      <c r="T702" s="5">
        <f>OrdersTable[[#This Row],[Gross Sale]]*OrdersTable[[#This Row],[Discount_Clean2]]</f>
        <v>179.55</v>
      </c>
      <c r="U702" s="5">
        <f>OrdersTable[[#This Row],[Gross Sale]]-OrdersTable[[#This Row],[Discount Amount]]</f>
        <v>219.45</v>
      </c>
      <c r="V702" s="77">
        <f>INDEX(Products!E:E,MATCH(OrdersTable[[#This Row],[Product ID]],Products!A:A,0))</f>
        <v>136</v>
      </c>
      <c r="W702" s="77">
        <f>OrdersTable[[#This Row],[Quantity]]*OrdersTable[[#This Row],[Unit Cost]]</f>
        <v>136</v>
      </c>
      <c r="X702" s="77">
        <f>'Dropdown Lists'!$I$2*(1+OrdersTable[[#This Row],[Returned]])</f>
        <v>60</v>
      </c>
      <c r="Y702" s="76">
        <f>OrdersTable[[#This Row],[Net Revenue]]-OrdersTable[[#This Row],[COGS]]-OrdersTable[[#This Row],[Shipping Cost]]</f>
        <v>23.449999999999989</v>
      </c>
      <c r="Z702" s="78">
        <f>IFERROR(OrdersTable[[#This Row],[Profit]]/OrdersTable[[#This Row],[Net Revenue]],0)</f>
        <v>0.10685805422647524</v>
      </c>
      <c r="AA702" t="s">
        <v>2522</v>
      </c>
      <c r="AB702" s="79">
        <v>45439</v>
      </c>
      <c r="AC702">
        <f>OrdersTable[[#This Row],[Delivery Date]]-OrdersTable[[#This Row],[Order Date]]</f>
        <v>3</v>
      </c>
      <c r="AD702" t="str">
        <f>IF(OrdersTable[[#This Row],[Delivery Days]]&lt;=2, "Express (≤2d)", IF(OrdersTable[[#This Row],[Delivery Days]]&lt;=4, "Standard (3-4d)", "Delayed (5d+)"))</f>
        <v>Standard (3-4d)</v>
      </c>
      <c r="AE702">
        <v>5</v>
      </c>
      <c r="AF702">
        <v>0</v>
      </c>
    </row>
    <row r="703" spans="1:32" ht="15" x14ac:dyDescent="0.35">
      <c r="A703" t="s">
        <v>6764</v>
      </c>
      <c r="B703" s="1">
        <v>45437</v>
      </c>
      <c r="C703">
        <f>YEAR(OrdersTable[[#This Row],[Order Date]])</f>
        <v>2024</v>
      </c>
      <c r="D703" s="2">
        <f>DATE(YEAR(OrdersTable[[#This Row],[Order Date]]),MONTH(OrdersTable[[#This Row],[Order Date]]),1)</f>
        <v>45413</v>
      </c>
      <c r="E703">
        <f>MONTH(OrdersTable[[#This Row],[Order Date]])</f>
        <v>5</v>
      </c>
      <c r="F703" t="s">
        <v>2779</v>
      </c>
      <c r="G703" t="str">
        <f>IF(OrdersTable[[#This Row],[Order Date]]=_xlfn.MINIFS(Order_Date, Customer_ID, OrdersTable[[#This Row],[Customer ID]]), "New", "Repeat")</f>
        <v>Repeat</v>
      </c>
      <c r="H703" t="s">
        <v>128</v>
      </c>
      <c r="I703" t="str">
        <f>INDEX(State!B:B,MATCH(OrdersTable[[#This Row],[State]],State!A:A,0))</f>
        <v>DL</v>
      </c>
      <c r="J703" t="str">
        <f>INDEX(State!C:C,MATCH(OrdersTable[[#This Row],[State Code]],State!B:B,0))</f>
        <v>North</v>
      </c>
      <c r="K703" t="s">
        <v>129</v>
      </c>
      <c r="L703" t="s">
        <v>23</v>
      </c>
      <c r="M703" t="s">
        <v>106</v>
      </c>
      <c r="N703" t="str">
        <f>INDEX(Products!B:B,MATCH(OrdersTable[[#This Row],[Product ID]],Products!A:A,0))</f>
        <v>Keratin Hair Mask</v>
      </c>
      <c r="O703" t="str">
        <f>INDEX(Products!C:C,MATCH(OrdersTable[[#This Row],[Product ID]],Products!A:A,0))</f>
        <v>Haircare</v>
      </c>
      <c r="P703">
        <v>3</v>
      </c>
      <c r="Q703" s="5">
        <v>549</v>
      </c>
      <c r="R703" s="74">
        <v>0.25</v>
      </c>
      <c r="S703" s="75">
        <f>OrdersTable[[#This Row],[Quantity]]*OrdersTable[[#This Row],[Unit Price]]</f>
        <v>1647</v>
      </c>
      <c r="T703" s="5">
        <f>OrdersTable[[#This Row],[Gross Sale]]*OrdersTable[[#This Row],[Discount_Clean2]]</f>
        <v>411.75</v>
      </c>
      <c r="U703" s="5">
        <f>OrdersTable[[#This Row],[Gross Sale]]-OrdersTable[[#This Row],[Discount Amount]]</f>
        <v>1235.25</v>
      </c>
      <c r="V703" s="77">
        <f>INDEX(Products!E:E,MATCH(OrdersTable[[#This Row],[Product ID]],Products!A:A,0))</f>
        <v>170</v>
      </c>
      <c r="W703" s="77">
        <f>OrdersTable[[#This Row],[Quantity]]*OrdersTable[[#This Row],[Unit Cost]]</f>
        <v>510</v>
      </c>
      <c r="X703" s="77">
        <f>'Dropdown Lists'!$I$2*(1+OrdersTable[[#This Row],[Returned]])</f>
        <v>120</v>
      </c>
      <c r="Y703" s="76">
        <f>OrdersTable[[#This Row],[Net Revenue]]-OrdersTable[[#This Row],[COGS]]-OrdersTable[[#This Row],[Shipping Cost]]</f>
        <v>605.25</v>
      </c>
      <c r="Z703" s="78">
        <f>IFERROR(OrdersTable[[#This Row],[Profit]]/OrdersTable[[#This Row],[Net Revenue]],0)</f>
        <v>0.48998178506375228</v>
      </c>
      <c r="AA703" t="s">
        <v>3495</v>
      </c>
      <c r="AB703" s="79">
        <v>45439</v>
      </c>
      <c r="AC703">
        <f>OrdersTable[[#This Row],[Delivery Date]]-OrdersTable[[#This Row],[Order Date]]</f>
        <v>2</v>
      </c>
      <c r="AD703" t="str">
        <f>IF(OrdersTable[[#This Row],[Delivery Days]]&lt;=2, "Express (≤2d)", IF(OrdersTable[[#This Row],[Delivery Days]]&lt;=4, "Standard (3-4d)", "Delayed (5d+)"))</f>
        <v>Express (≤2d)</v>
      </c>
      <c r="AE703">
        <v>4</v>
      </c>
      <c r="AF703">
        <v>1</v>
      </c>
    </row>
    <row r="704" spans="1:32" ht="15" x14ac:dyDescent="0.35">
      <c r="A704" t="s">
        <v>6278</v>
      </c>
      <c r="B704" s="1">
        <v>45437</v>
      </c>
      <c r="C704">
        <f>YEAR(OrdersTable[[#This Row],[Order Date]])</f>
        <v>2024</v>
      </c>
      <c r="D704" s="2">
        <f>DATE(YEAR(OrdersTable[[#This Row],[Order Date]]),MONTH(OrdersTable[[#This Row],[Order Date]]),1)</f>
        <v>45413</v>
      </c>
      <c r="E704">
        <f>MONTH(OrdersTable[[#This Row],[Order Date]])</f>
        <v>5</v>
      </c>
      <c r="F704" t="s">
        <v>6279</v>
      </c>
      <c r="G704" t="str">
        <f>IF(OrdersTable[[#This Row],[Order Date]]=_xlfn.MINIFS(Order_Date, Customer_ID, OrdersTable[[#This Row],[Customer ID]]), "New", "Repeat")</f>
        <v>New</v>
      </c>
      <c r="H704" t="s">
        <v>76</v>
      </c>
      <c r="I704" t="str">
        <f>INDEX(State!B:B,MATCH(OrdersTable[[#This Row],[State]],State!A:A,0))</f>
        <v>UP</v>
      </c>
      <c r="J704" t="str">
        <f>INDEX(State!C:C,MATCH(OrdersTable[[#This Row],[State Code]],State!B:B,0))</f>
        <v>North</v>
      </c>
      <c r="K704" t="s">
        <v>105</v>
      </c>
      <c r="L704" t="s">
        <v>65</v>
      </c>
      <c r="M704" t="s">
        <v>160</v>
      </c>
      <c r="N704" t="str">
        <f>INDEX(Products!B:B,MATCH(OrdersTable[[#This Row],[Product ID]],Products!A:A,0))</f>
        <v>Niacinamide Toner</v>
      </c>
      <c r="O704" t="str">
        <f>INDEX(Products!C:C,MATCH(OrdersTable[[#This Row],[Product ID]],Products!A:A,0))</f>
        <v>Skincare</v>
      </c>
      <c r="P704">
        <v>2</v>
      </c>
      <c r="Q704" s="5">
        <v>399</v>
      </c>
      <c r="R704" s="74">
        <v>0.15</v>
      </c>
      <c r="S704" s="75">
        <f>OrdersTable[[#This Row],[Quantity]]*OrdersTable[[#This Row],[Unit Price]]</f>
        <v>798</v>
      </c>
      <c r="T704" s="5">
        <f>OrdersTable[[#This Row],[Gross Sale]]*OrdersTable[[#This Row],[Discount_Clean2]]</f>
        <v>119.69999999999999</v>
      </c>
      <c r="U704" s="5">
        <f>OrdersTable[[#This Row],[Gross Sale]]-OrdersTable[[#This Row],[Discount Amount]]</f>
        <v>678.3</v>
      </c>
      <c r="V704" s="77">
        <f>INDEX(Products!E:E,MATCH(OrdersTable[[#This Row],[Product ID]],Products!A:A,0))</f>
        <v>112</v>
      </c>
      <c r="W704" s="77">
        <f>OrdersTable[[#This Row],[Quantity]]*OrdersTable[[#This Row],[Unit Cost]]</f>
        <v>224</v>
      </c>
      <c r="X704" s="77">
        <f>'Dropdown Lists'!$I$2*(1+OrdersTable[[#This Row],[Returned]])</f>
        <v>60</v>
      </c>
      <c r="Y704" s="76">
        <f>OrdersTable[[#This Row],[Net Revenue]]-OrdersTable[[#This Row],[COGS]]-OrdersTable[[#This Row],[Shipping Cost]]</f>
        <v>394.29999999999995</v>
      </c>
      <c r="Z704" s="78">
        <f>IFERROR(OrdersTable[[#This Row],[Profit]]/OrdersTable[[#This Row],[Net Revenue]],0)</f>
        <v>0.58130620669320354</v>
      </c>
      <c r="AA704" t="s">
        <v>18</v>
      </c>
      <c r="AB704" s="79">
        <v>45441</v>
      </c>
      <c r="AC704">
        <f>OrdersTable[[#This Row],[Delivery Date]]-OrdersTable[[#This Row],[Order Date]]</f>
        <v>4</v>
      </c>
      <c r="AD704" t="str">
        <f>IF(OrdersTable[[#This Row],[Delivery Days]]&lt;=2, "Express (≤2d)", IF(OrdersTable[[#This Row],[Delivery Days]]&lt;=4, "Standard (3-4d)", "Delayed (5d+)"))</f>
        <v>Standard (3-4d)</v>
      </c>
      <c r="AE704">
        <v>4</v>
      </c>
      <c r="AF704">
        <v>0</v>
      </c>
    </row>
    <row r="705" spans="1:32" ht="15" x14ac:dyDescent="0.35">
      <c r="A705" t="s">
        <v>3533</v>
      </c>
      <c r="B705" s="1">
        <v>45437</v>
      </c>
      <c r="C705">
        <f>YEAR(OrdersTable[[#This Row],[Order Date]])</f>
        <v>2024</v>
      </c>
      <c r="D705" s="2">
        <f>DATE(YEAR(OrdersTable[[#This Row],[Order Date]]),MONTH(OrdersTable[[#This Row],[Order Date]]),1)</f>
        <v>45413</v>
      </c>
      <c r="E705">
        <f>MONTH(OrdersTable[[#This Row],[Order Date]])</f>
        <v>5</v>
      </c>
      <c r="F705" t="s">
        <v>3251</v>
      </c>
      <c r="G705" t="str">
        <f>IF(OrdersTable[[#This Row],[Order Date]]=_xlfn.MINIFS(Order_Date, Customer_ID, OrdersTable[[#This Row],[Customer ID]]), "New", "Repeat")</f>
        <v>New</v>
      </c>
      <c r="H705" t="s">
        <v>71</v>
      </c>
      <c r="I705" t="str">
        <f>INDEX(State!B:B,MATCH(OrdersTable[[#This Row],[State]],State!A:A,0))</f>
        <v>MH</v>
      </c>
      <c r="J705" t="str">
        <f>INDEX(State!C:C,MATCH(OrdersTable[[#This Row],[State Code]],State!B:B,0))</f>
        <v>West</v>
      </c>
      <c r="K705" t="s">
        <v>102</v>
      </c>
      <c r="L705" t="s">
        <v>16</v>
      </c>
      <c r="M705" t="s">
        <v>34</v>
      </c>
      <c r="N705" t="str">
        <f>INDEX(Products!B:B,MATCH(OrdersTable[[#This Row],[Product ID]],Products!A:A,0))</f>
        <v>Flip Flops</v>
      </c>
      <c r="O705" t="str">
        <f>INDEX(Products!C:C,MATCH(OrdersTable[[#This Row],[Product ID]],Products!A:A,0))</f>
        <v>Footwear</v>
      </c>
      <c r="P705">
        <v>1</v>
      </c>
      <c r="Q705" s="5">
        <v>399</v>
      </c>
      <c r="R705" s="74">
        <v>0.05</v>
      </c>
      <c r="S705" s="75">
        <f>OrdersTable[[#This Row],[Quantity]]*OrdersTable[[#This Row],[Unit Price]]</f>
        <v>399</v>
      </c>
      <c r="T705" s="5">
        <f>OrdersTable[[#This Row],[Gross Sale]]*OrdersTable[[#This Row],[Discount_Clean2]]</f>
        <v>19.950000000000003</v>
      </c>
      <c r="U705" s="5">
        <f>OrdersTable[[#This Row],[Gross Sale]]-OrdersTable[[#This Row],[Discount Amount]]</f>
        <v>379.05</v>
      </c>
      <c r="V705" s="77">
        <f>INDEX(Products!E:E,MATCH(OrdersTable[[#This Row],[Product ID]],Products!A:A,0))</f>
        <v>152</v>
      </c>
      <c r="W705" s="77">
        <f>OrdersTable[[#This Row],[Quantity]]*OrdersTable[[#This Row],[Unit Cost]]</f>
        <v>152</v>
      </c>
      <c r="X705" s="77">
        <f>'Dropdown Lists'!$I$2*(1+OrdersTable[[#This Row],[Returned]])</f>
        <v>60</v>
      </c>
      <c r="Y705" s="76">
        <f>OrdersTable[[#This Row],[Net Revenue]]-OrdersTable[[#This Row],[COGS]]-OrdersTable[[#This Row],[Shipping Cost]]</f>
        <v>167.05</v>
      </c>
      <c r="Z705" s="78">
        <f>IFERROR(OrdersTable[[#This Row],[Profit]]/OrdersTable[[#This Row],[Net Revenue]],0)</f>
        <v>0.44070703073473161</v>
      </c>
      <c r="AA705" t="s">
        <v>3495</v>
      </c>
      <c r="AB705" s="79">
        <v>45438</v>
      </c>
      <c r="AC705">
        <f>OrdersTable[[#This Row],[Delivery Date]]-OrdersTable[[#This Row],[Order Date]]</f>
        <v>1</v>
      </c>
      <c r="AD705" t="str">
        <f>IF(OrdersTable[[#This Row],[Delivery Days]]&lt;=2, "Express (≤2d)", IF(OrdersTable[[#This Row],[Delivery Days]]&lt;=4, "Standard (3-4d)", "Delayed (5d+)"))</f>
        <v>Express (≤2d)</v>
      </c>
      <c r="AE705">
        <v>4</v>
      </c>
      <c r="AF705">
        <v>0</v>
      </c>
    </row>
    <row r="706" spans="1:32" ht="15" x14ac:dyDescent="0.35">
      <c r="A706" t="s">
        <v>6950</v>
      </c>
      <c r="B706" s="1">
        <v>45438</v>
      </c>
      <c r="C706">
        <f>YEAR(OrdersTable[[#This Row],[Order Date]])</f>
        <v>2024</v>
      </c>
      <c r="D706" s="2">
        <f>DATE(YEAR(OrdersTable[[#This Row],[Order Date]]),MONTH(OrdersTable[[#This Row],[Order Date]]),1)</f>
        <v>45413</v>
      </c>
      <c r="E706">
        <f>MONTH(OrdersTable[[#This Row],[Order Date]])</f>
        <v>5</v>
      </c>
      <c r="F706" t="s">
        <v>3131</v>
      </c>
      <c r="G706" t="str">
        <f>IF(OrdersTable[[#This Row],[Order Date]]=_xlfn.MINIFS(Order_Date, Customer_ID, OrdersTable[[#This Row],[Customer ID]]), "New", "Repeat")</f>
        <v>New</v>
      </c>
      <c r="H706" t="s">
        <v>32</v>
      </c>
      <c r="I706" t="str">
        <f>INDEX(State!B:B,MATCH(OrdersTable[[#This Row],[State]],State!A:A,0))</f>
        <v>BR</v>
      </c>
      <c r="J706" t="str">
        <f>INDEX(State!C:C,MATCH(OrdersTable[[#This Row],[State Code]],State!B:B,0))</f>
        <v>East</v>
      </c>
      <c r="K706" t="s">
        <v>33</v>
      </c>
      <c r="L706" t="s">
        <v>65</v>
      </c>
      <c r="M706" t="s">
        <v>152</v>
      </c>
      <c r="N706" t="str">
        <f>INDEX(Products!B:B,MATCH(OrdersTable[[#This Row],[Product ID]],Products!A:A,0))</f>
        <v>Green Tea (100 bags)</v>
      </c>
      <c r="O706" t="str">
        <f>INDEX(Products!C:C,MATCH(OrdersTable[[#This Row],[Product ID]],Products!A:A,0))</f>
        <v>Wellness</v>
      </c>
      <c r="P706">
        <v>4</v>
      </c>
      <c r="Q706" s="5">
        <v>399</v>
      </c>
      <c r="R706" s="74">
        <v>0.35</v>
      </c>
      <c r="S706" s="75">
        <f>OrdersTable[[#This Row],[Quantity]]*OrdersTable[[#This Row],[Unit Price]]</f>
        <v>1596</v>
      </c>
      <c r="T706" s="5">
        <f>OrdersTable[[#This Row],[Gross Sale]]*OrdersTable[[#This Row],[Discount_Clean2]]</f>
        <v>558.59999999999991</v>
      </c>
      <c r="U706" s="5">
        <f>OrdersTable[[#This Row],[Gross Sale]]-OrdersTable[[#This Row],[Discount Amount]]</f>
        <v>1037.4000000000001</v>
      </c>
      <c r="V706" s="77">
        <f>INDEX(Products!E:E,MATCH(OrdersTable[[#This Row],[Product ID]],Products!A:A,0))</f>
        <v>128</v>
      </c>
      <c r="W706" s="77">
        <f>OrdersTable[[#This Row],[Quantity]]*OrdersTable[[#This Row],[Unit Cost]]</f>
        <v>512</v>
      </c>
      <c r="X706" s="77">
        <f>'Dropdown Lists'!$I$2*(1+OrdersTable[[#This Row],[Returned]])</f>
        <v>60</v>
      </c>
      <c r="Y706" s="76">
        <f>OrdersTable[[#This Row],[Net Revenue]]-OrdersTable[[#This Row],[COGS]]-OrdersTable[[#This Row],[Shipping Cost]]</f>
        <v>465.40000000000009</v>
      </c>
      <c r="Z706" s="78">
        <f>IFERROR(OrdersTable[[#This Row],[Profit]]/OrdersTable[[#This Row],[Net Revenue]],0)</f>
        <v>0.44862155388471181</v>
      </c>
      <c r="AA706" t="s">
        <v>2522</v>
      </c>
      <c r="AB706" s="79">
        <v>45443</v>
      </c>
      <c r="AC706">
        <f>OrdersTable[[#This Row],[Delivery Date]]-OrdersTable[[#This Row],[Order Date]]</f>
        <v>5</v>
      </c>
      <c r="AD706" t="str">
        <f>IF(OrdersTable[[#This Row],[Delivery Days]]&lt;=2, "Express (≤2d)", IF(OrdersTable[[#This Row],[Delivery Days]]&lt;=4, "Standard (3-4d)", "Delayed (5d+)"))</f>
        <v>Delayed (5d+)</v>
      </c>
      <c r="AF706">
        <v>0</v>
      </c>
    </row>
    <row r="707" spans="1:32" ht="15" x14ac:dyDescent="0.35">
      <c r="A707" t="s">
        <v>4661</v>
      </c>
      <c r="B707" s="1">
        <v>45438</v>
      </c>
      <c r="C707">
        <f>YEAR(OrdersTable[[#This Row],[Order Date]])</f>
        <v>2024</v>
      </c>
      <c r="D707" s="2">
        <f>DATE(YEAR(OrdersTable[[#This Row],[Order Date]]),MONTH(OrdersTable[[#This Row],[Order Date]]),1)</f>
        <v>45413</v>
      </c>
      <c r="E707">
        <f>MONTH(OrdersTable[[#This Row],[Order Date]])</f>
        <v>5</v>
      </c>
      <c r="F707" t="s">
        <v>3223</v>
      </c>
      <c r="G707" t="str">
        <f>IF(OrdersTable[[#This Row],[Order Date]]=_xlfn.MINIFS(Order_Date, Customer_ID, OrdersTable[[#This Row],[Customer ID]]), "New", "Repeat")</f>
        <v>New</v>
      </c>
      <c r="H707" t="s">
        <v>27</v>
      </c>
      <c r="I707" t="str">
        <f>INDEX(State!B:B,MATCH(OrdersTable[[#This Row],[State]],State!A:A,0))</f>
        <v>WB</v>
      </c>
      <c r="J707" t="str">
        <f>INDEX(State!C:C,MATCH(OrdersTable[[#This Row],[State Code]],State!B:B,0))</f>
        <v>East</v>
      </c>
      <c r="K707" t="s">
        <v>28</v>
      </c>
      <c r="L707" t="s">
        <v>23</v>
      </c>
      <c r="M707" t="s">
        <v>34</v>
      </c>
      <c r="N707" t="str">
        <f>INDEX(Products!B:B,MATCH(OrdersTable[[#This Row],[Product ID]],Products!A:A,0))</f>
        <v>Flip Flops</v>
      </c>
      <c r="O707" t="str">
        <f>INDEX(Products!C:C,MATCH(OrdersTable[[#This Row],[Product ID]],Products!A:A,0))</f>
        <v>Footwear</v>
      </c>
      <c r="P707">
        <v>1</v>
      </c>
      <c r="Q707" s="5">
        <v>399</v>
      </c>
      <c r="R707" s="74">
        <v>0.05</v>
      </c>
      <c r="S707" s="75">
        <f>OrdersTable[[#This Row],[Quantity]]*OrdersTable[[#This Row],[Unit Price]]</f>
        <v>399</v>
      </c>
      <c r="T707" s="5">
        <f>OrdersTable[[#This Row],[Gross Sale]]*OrdersTable[[#This Row],[Discount_Clean2]]</f>
        <v>19.950000000000003</v>
      </c>
      <c r="U707" s="5">
        <f>OrdersTable[[#This Row],[Gross Sale]]-OrdersTable[[#This Row],[Discount Amount]]</f>
        <v>379.05</v>
      </c>
      <c r="V707" s="77">
        <f>INDEX(Products!E:E,MATCH(OrdersTable[[#This Row],[Product ID]],Products!A:A,0))</f>
        <v>152</v>
      </c>
      <c r="W707" s="77">
        <f>OrdersTable[[#This Row],[Quantity]]*OrdersTable[[#This Row],[Unit Cost]]</f>
        <v>152</v>
      </c>
      <c r="X707" s="77">
        <f>'Dropdown Lists'!$I$2*(1+OrdersTable[[#This Row],[Returned]])</f>
        <v>60</v>
      </c>
      <c r="Y707" s="76">
        <f>OrdersTable[[#This Row],[Net Revenue]]-OrdersTable[[#This Row],[COGS]]-OrdersTable[[#This Row],[Shipping Cost]]</f>
        <v>167.05</v>
      </c>
      <c r="Z707" s="78">
        <f>IFERROR(OrdersTable[[#This Row],[Profit]]/OrdersTable[[#This Row],[Net Revenue]],0)</f>
        <v>0.44070703073473161</v>
      </c>
      <c r="AA707" t="s">
        <v>4450</v>
      </c>
      <c r="AB707" s="79">
        <v>45441</v>
      </c>
      <c r="AC707">
        <f>OrdersTable[[#This Row],[Delivery Date]]-OrdersTable[[#This Row],[Order Date]]</f>
        <v>3</v>
      </c>
      <c r="AD707" t="str">
        <f>IF(OrdersTable[[#This Row],[Delivery Days]]&lt;=2, "Express (≤2d)", IF(OrdersTable[[#This Row],[Delivery Days]]&lt;=4, "Standard (3-4d)", "Delayed (5d+)"))</f>
        <v>Standard (3-4d)</v>
      </c>
      <c r="AE707">
        <v>5</v>
      </c>
      <c r="AF707">
        <v>0</v>
      </c>
    </row>
    <row r="708" spans="1:32" ht="15" x14ac:dyDescent="0.35">
      <c r="A708" t="s">
        <v>1855</v>
      </c>
      <c r="B708" s="1">
        <v>45438</v>
      </c>
      <c r="C708">
        <f>YEAR(OrdersTable[[#This Row],[Order Date]])</f>
        <v>2024</v>
      </c>
      <c r="D708" s="2">
        <f>DATE(YEAR(OrdersTable[[#This Row],[Order Date]]),MONTH(OrdersTable[[#This Row],[Order Date]]),1)</f>
        <v>45413</v>
      </c>
      <c r="E708">
        <f>MONTH(OrdersTable[[#This Row],[Order Date]])</f>
        <v>5</v>
      </c>
      <c r="F708" t="s">
        <v>1856</v>
      </c>
      <c r="G708" t="str">
        <f>IF(OrdersTable[[#This Row],[Order Date]]=_xlfn.MINIFS(Order_Date, Customer_ID, OrdersTable[[#This Row],[Customer ID]]), "New", "Repeat")</f>
        <v>New</v>
      </c>
      <c r="H708" t="s">
        <v>71</v>
      </c>
      <c r="I708" t="str">
        <f>INDEX(State!B:B,MATCH(OrdersTable[[#This Row],[State]],State!A:A,0))</f>
        <v>MH</v>
      </c>
      <c r="J708" t="str">
        <f>INDEX(State!C:C,MATCH(OrdersTable[[#This Row],[State Code]],State!B:B,0))</f>
        <v>West</v>
      </c>
      <c r="K708" t="s">
        <v>102</v>
      </c>
      <c r="L708" t="s">
        <v>39</v>
      </c>
      <c r="M708" t="s">
        <v>576</v>
      </c>
      <c r="N708" t="str">
        <f>INDEX(Products!B:B,MATCH(OrdersTable[[#This Row],[Product ID]],Products!A:A,0))</f>
        <v>Printed Saree</v>
      </c>
      <c r="O708" t="str">
        <f>INDEX(Products!C:C,MATCH(OrdersTable[[#This Row],[Product ID]],Products!A:A,0))</f>
        <v>Apparel</v>
      </c>
      <c r="P708">
        <v>1</v>
      </c>
      <c r="Q708" s="5">
        <v>1999</v>
      </c>
      <c r="R708" s="74">
        <v>0.1</v>
      </c>
      <c r="S708" s="75">
        <f>OrdersTable[[#This Row],[Quantity]]*OrdersTable[[#This Row],[Unit Price]]</f>
        <v>1999</v>
      </c>
      <c r="T708" s="5">
        <f>OrdersTable[[#This Row],[Gross Sale]]*OrdersTable[[#This Row],[Discount_Clean2]]</f>
        <v>199.9</v>
      </c>
      <c r="U708" s="5">
        <f>OrdersTable[[#This Row],[Gross Sale]]-OrdersTable[[#This Row],[Discount Amount]]</f>
        <v>1799.1</v>
      </c>
      <c r="V708" s="77">
        <f>INDEX(Products!E:E,MATCH(OrdersTable[[#This Row],[Product ID]],Products!A:A,0))</f>
        <v>880</v>
      </c>
      <c r="W708" s="77">
        <f>OrdersTable[[#This Row],[Quantity]]*OrdersTable[[#This Row],[Unit Cost]]</f>
        <v>880</v>
      </c>
      <c r="X708" s="77">
        <f>'Dropdown Lists'!$I$2*(1+OrdersTable[[#This Row],[Returned]])</f>
        <v>60</v>
      </c>
      <c r="Y708" s="76">
        <f>OrdersTable[[#This Row],[Net Revenue]]-OrdersTable[[#This Row],[COGS]]-OrdersTable[[#This Row],[Shipping Cost]]</f>
        <v>859.09999999999991</v>
      </c>
      <c r="Z708" s="78">
        <f>IFERROR(OrdersTable[[#This Row],[Profit]]/OrdersTable[[#This Row],[Net Revenue]],0)</f>
        <v>0.47751653604580063</v>
      </c>
      <c r="AA708" t="s">
        <v>18</v>
      </c>
      <c r="AB708" s="79">
        <v>45441</v>
      </c>
      <c r="AC708">
        <f>OrdersTable[[#This Row],[Delivery Date]]-OrdersTable[[#This Row],[Order Date]]</f>
        <v>3</v>
      </c>
      <c r="AD708" t="str">
        <f>IF(OrdersTable[[#This Row],[Delivery Days]]&lt;=2, "Express (≤2d)", IF(OrdersTable[[#This Row],[Delivery Days]]&lt;=4, "Standard (3-4d)", "Delayed (5d+)"))</f>
        <v>Standard (3-4d)</v>
      </c>
      <c r="AE708">
        <v>3</v>
      </c>
      <c r="AF708">
        <v>0</v>
      </c>
    </row>
    <row r="709" spans="1:32" ht="15" x14ac:dyDescent="0.35">
      <c r="A709" t="s">
        <v>6061</v>
      </c>
      <c r="B709" s="1">
        <v>45438</v>
      </c>
      <c r="C709">
        <f>YEAR(OrdersTable[[#This Row],[Order Date]])</f>
        <v>2024</v>
      </c>
      <c r="D709" s="2">
        <f>DATE(YEAR(OrdersTable[[#This Row],[Order Date]]),MONTH(OrdersTable[[#This Row],[Order Date]]),1)</f>
        <v>45413</v>
      </c>
      <c r="E709">
        <f>MONTH(OrdersTable[[#This Row],[Order Date]])</f>
        <v>5</v>
      </c>
      <c r="F709" t="s">
        <v>781</v>
      </c>
      <c r="G709" t="str">
        <f>IF(OrdersTable[[#This Row],[Order Date]]=_xlfn.MINIFS(Order_Date, Customer_ID, OrdersTable[[#This Row],[Customer ID]]), "New", "Repeat")</f>
        <v>New</v>
      </c>
      <c r="H709" t="s">
        <v>167</v>
      </c>
      <c r="I709" t="str">
        <f>INDEX(State!B:B,MATCH(OrdersTable[[#This Row],[State]],State!A:A,0))</f>
        <v>KA</v>
      </c>
      <c r="J709" t="str">
        <f>INDEX(State!C:C,MATCH(OrdersTable[[#This Row],[State Code]],State!B:B,0))</f>
        <v>South</v>
      </c>
      <c r="K709" t="s">
        <v>190</v>
      </c>
      <c r="L709" t="s">
        <v>39</v>
      </c>
      <c r="M709" t="s">
        <v>29</v>
      </c>
      <c r="N709" t="str">
        <f>INDEX(Products!B:B,MATCH(OrdersTable[[#This Row],[Product ID]],Products!A:A,0))</f>
        <v>Joggers</v>
      </c>
      <c r="O709" t="str">
        <f>INDEX(Products!C:C,MATCH(OrdersTable[[#This Row],[Product ID]],Products!A:A,0))</f>
        <v>Apparel</v>
      </c>
      <c r="P709">
        <v>2</v>
      </c>
      <c r="Q709" s="5">
        <v>1199</v>
      </c>
      <c r="R709" s="74">
        <v>0</v>
      </c>
      <c r="S709" s="75">
        <f>OrdersTable[[#This Row],[Quantity]]*OrdersTable[[#This Row],[Unit Price]]</f>
        <v>2398</v>
      </c>
      <c r="T709" s="5">
        <f>OrdersTable[[#This Row],[Gross Sale]]*OrdersTable[[#This Row],[Discount_Clean2]]</f>
        <v>0</v>
      </c>
      <c r="U709" s="5">
        <f>OrdersTable[[#This Row],[Gross Sale]]-OrdersTable[[#This Row],[Discount Amount]]</f>
        <v>2398</v>
      </c>
      <c r="V709" s="77">
        <f>INDEX(Products!E:E,MATCH(OrdersTable[[#This Row],[Product ID]],Products!A:A,0))</f>
        <v>492</v>
      </c>
      <c r="W709" s="77">
        <f>OrdersTable[[#This Row],[Quantity]]*OrdersTable[[#This Row],[Unit Cost]]</f>
        <v>984</v>
      </c>
      <c r="X709" s="77">
        <f>'Dropdown Lists'!$I$2*(1+OrdersTable[[#This Row],[Returned]])</f>
        <v>60</v>
      </c>
      <c r="Y709" s="76">
        <f>OrdersTable[[#This Row],[Net Revenue]]-OrdersTable[[#This Row],[COGS]]-OrdersTable[[#This Row],[Shipping Cost]]</f>
        <v>1354</v>
      </c>
      <c r="Z709" s="78">
        <f>IFERROR(OrdersTable[[#This Row],[Profit]]/OrdersTable[[#This Row],[Net Revenue]],0)</f>
        <v>0.56463719766472065</v>
      </c>
      <c r="AA709" t="s">
        <v>18</v>
      </c>
      <c r="AB709" s="79">
        <v>45443</v>
      </c>
      <c r="AC709">
        <f>OrdersTable[[#This Row],[Delivery Date]]-OrdersTable[[#This Row],[Order Date]]</f>
        <v>5</v>
      </c>
      <c r="AD709" t="str">
        <f>IF(OrdersTable[[#This Row],[Delivery Days]]&lt;=2, "Express (≤2d)", IF(OrdersTable[[#This Row],[Delivery Days]]&lt;=4, "Standard (3-4d)", "Delayed (5d+)"))</f>
        <v>Delayed (5d+)</v>
      </c>
      <c r="AE709">
        <v>4</v>
      </c>
      <c r="AF709">
        <v>0</v>
      </c>
    </row>
    <row r="710" spans="1:32" ht="15" x14ac:dyDescent="0.35">
      <c r="A710" t="s">
        <v>6490</v>
      </c>
      <c r="B710" s="1">
        <v>45439</v>
      </c>
      <c r="C710">
        <f>YEAR(OrdersTable[[#This Row],[Order Date]])</f>
        <v>2024</v>
      </c>
      <c r="D710" s="2">
        <f>DATE(YEAR(OrdersTable[[#This Row],[Order Date]]),MONTH(OrdersTable[[#This Row],[Order Date]]),1)</f>
        <v>45413</v>
      </c>
      <c r="E710">
        <f>MONTH(OrdersTable[[#This Row],[Order Date]])</f>
        <v>5</v>
      </c>
      <c r="F710" t="s">
        <v>2960</v>
      </c>
      <c r="G710" t="str">
        <f>IF(OrdersTable[[#This Row],[Order Date]]=_xlfn.MINIFS(Order_Date, Customer_ID, OrdersTable[[#This Row],[Customer ID]]), "New", "Repeat")</f>
        <v>New</v>
      </c>
      <c r="H710" t="s">
        <v>21</v>
      </c>
      <c r="I710" t="str">
        <f>INDEX(State!B:B,MATCH(OrdersTable[[#This Row],[State]],State!A:A,0))</f>
        <v>PB</v>
      </c>
      <c r="J710" t="str">
        <f>INDEX(State!C:C,MATCH(OrdersTable[[#This Row],[State Code]],State!B:B,0))</f>
        <v>North</v>
      </c>
      <c r="K710" t="s">
        <v>260</v>
      </c>
      <c r="L710" t="s">
        <v>65</v>
      </c>
      <c r="M710" t="s">
        <v>29</v>
      </c>
      <c r="N710" t="str">
        <f>INDEX(Products!B:B,MATCH(OrdersTable[[#This Row],[Product ID]],Products!A:A,0))</f>
        <v>Joggers</v>
      </c>
      <c r="O710" t="str">
        <f>INDEX(Products!C:C,MATCH(OrdersTable[[#This Row],[Product ID]],Products!A:A,0))</f>
        <v>Apparel</v>
      </c>
      <c r="P710">
        <v>3</v>
      </c>
      <c r="Q710" s="5">
        <v>1199</v>
      </c>
      <c r="R710" s="74">
        <v>0.15</v>
      </c>
      <c r="S710" s="75">
        <f>OrdersTable[[#This Row],[Quantity]]*OrdersTable[[#This Row],[Unit Price]]</f>
        <v>3597</v>
      </c>
      <c r="T710" s="5">
        <f>OrdersTable[[#This Row],[Gross Sale]]*OrdersTable[[#This Row],[Discount_Clean2]]</f>
        <v>539.54999999999995</v>
      </c>
      <c r="U710" s="5">
        <f>OrdersTable[[#This Row],[Gross Sale]]-OrdersTable[[#This Row],[Discount Amount]]</f>
        <v>3057.45</v>
      </c>
      <c r="V710" s="77">
        <f>INDEX(Products!E:E,MATCH(OrdersTable[[#This Row],[Product ID]],Products!A:A,0))</f>
        <v>492</v>
      </c>
      <c r="W710" s="77">
        <f>OrdersTable[[#This Row],[Quantity]]*OrdersTable[[#This Row],[Unit Cost]]</f>
        <v>1476</v>
      </c>
      <c r="X710" s="77">
        <f>'Dropdown Lists'!$I$2*(1+OrdersTable[[#This Row],[Returned]])</f>
        <v>120</v>
      </c>
      <c r="Y710" s="76">
        <f>OrdersTable[[#This Row],[Net Revenue]]-OrdersTable[[#This Row],[COGS]]-OrdersTable[[#This Row],[Shipping Cost]]</f>
        <v>1461.4499999999998</v>
      </c>
      <c r="Z710" s="78">
        <f>IFERROR(OrdersTable[[#This Row],[Profit]]/OrdersTable[[#This Row],[Net Revenue]],0)</f>
        <v>0.47799636952362262</v>
      </c>
      <c r="AA710" t="s">
        <v>18</v>
      </c>
      <c r="AB710" s="79">
        <v>45444</v>
      </c>
      <c r="AC710">
        <f>OrdersTable[[#This Row],[Delivery Date]]-OrdersTable[[#This Row],[Order Date]]</f>
        <v>5</v>
      </c>
      <c r="AD710" t="str">
        <f>IF(OrdersTable[[#This Row],[Delivery Days]]&lt;=2, "Express (≤2d)", IF(OrdersTable[[#This Row],[Delivery Days]]&lt;=4, "Standard (3-4d)", "Delayed (5d+)"))</f>
        <v>Delayed (5d+)</v>
      </c>
      <c r="AE710">
        <v>2</v>
      </c>
      <c r="AF710">
        <v>1</v>
      </c>
    </row>
    <row r="711" spans="1:32" ht="15" x14ac:dyDescent="0.35">
      <c r="A711" t="s">
        <v>3858</v>
      </c>
      <c r="B711" s="1">
        <v>45439</v>
      </c>
      <c r="C711">
        <f>YEAR(OrdersTable[[#This Row],[Order Date]])</f>
        <v>2024</v>
      </c>
      <c r="D711" s="2">
        <f>DATE(YEAR(OrdersTable[[#This Row],[Order Date]]),MONTH(OrdersTable[[#This Row],[Order Date]]),1)</f>
        <v>45413</v>
      </c>
      <c r="E711">
        <f>MONTH(OrdersTable[[#This Row],[Order Date]])</f>
        <v>5</v>
      </c>
      <c r="F711" t="s">
        <v>3094</v>
      </c>
      <c r="G711" t="str">
        <f>IF(OrdersTable[[#This Row],[Order Date]]=_xlfn.MINIFS(Order_Date, Customer_ID, OrdersTable[[#This Row],[Customer ID]]), "New", "Repeat")</f>
        <v>Repeat</v>
      </c>
      <c r="H711" t="s">
        <v>158</v>
      </c>
      <c r="I711" t="str">
        <f>INDEX(State!B:B,MATCH(OrdersTable[[#This Row],[State]],State!A:A,0))</f>
        <v>HP</v>
      </c>
      <c r="J711" t="str">
        <f>INDEX(State!C:C,MATCH(OrdersTable[[#This Row],[State Code]],State!B:B,0))</f>
        <v>North</v>
      </c>
      <c r="K711" t="s">
        <v>159</v>
      </c>
      <c r="L711" t="s">
        <v>65</v>
      </c>
      <c r="M711" t="s">
        <v>87</v>
      </c>
      <c r="N711" t="str">
        <f>INDEX(Products!B:B,MATCH(OrdersTable[[#This Row],[Product ID]],Products!A:A,0))</f>
        <v>Linen Kurta</v>
      </c>
      <c r="O711" t="str">
        <f>INDEX(Products!C:C,MATCH(OrdersTable[[#This Row],[Product ID]],Products!A:A,0))</f>
        <v>Apparel</v>
      </c>
      <c r="P711">
        <v>1</v>
      </c>
      <c r="Q711" s="5">
        <v>1499</v>
      </c>
      <c r="R711" s="74">
        <v>0.25</v>
      </c>
      <c r="S711" s="75">
        <f>OrdersTable[[#This Row],[Quantity]]*OrdersTable[[#This Row],[Unit Price]]</f>
        <v>1499</v>
      </c>
      <c r="T711" s="5">
        <f>OrdersTable[[#This Row],[Gross Sale]]*OrdersTable[[#This Row],[Discount_Clean2]]</f>
        <v>374.75</v>
      </c>
      <c r="U711" s="5">
        <f>OrdersTable[[#This Row],[Gross Sale]]-OrdersTable[[#This Row],[Discount Amount]]</f>
        <v>1124.25</v>
      </c>
      <c r="V711" s="77">
        <f>INDEX(Products!E:E,MATCH(OrdersTable[[#This Row],[Product ID]],Products!A:A,0))</f>
        <v>630</v>
      </c>
      <c r="W711" s="77">
        <f>OrdersTable[[#This Row],[Quantity]]*OrdersTable[[#This Row],[Unit Cost]]</f>
        <v>630</v>
      </c>
      <c r="X711" s="77">
        <f>'Dropdown Lists'!$I$2*(1+OrdersTable[[#This Row],[Returned]])</f>
        <v>60</v>
      </c>
      <c r="Y711" s="76">
        <f>OrdersTable[[#This Row],[Net Revenue]]-OrdersTable[[#This Row],[COGS]]-OrdersTable[[#This Row],[Shipping Cost]]</f>
        <v>434.25</v>
      </c>
      <c r="Z711" s="78">
        <f>IFERROR(OrdersTable[[#This Row],[Profit]]/OrdersTable[[#This Row],[Net Revenue]],0)</f>
        <v>0.38625750500333556</v>
      </c>
      <c r="AA711" t="s">
        <v>3495</v>
      </c>
      <c r="AB711" s="79">
        <v>45444</v>
      </c>
      <c r="AC711">
        <f>OrdersTable[[#This Row],[Delivery Date]]-OrdersTable[[#This Row],[Order Date]]</f>
        <v>5</v>
      </c>
      <c r="AD711" t="str">
        <f>IF(OrdersTable[[#This Row],[Delivery Days]]&lt;=2, "Express (≤2d)", IF(OrdersTable[[#This Row],[Delivery Days]]&lt;=4, "Standard (3-4d)", "Delayed (5d+)"))</f>
        <v>Delayed (5d+)</v>
      </c>
      <c r="AE711">
        <v>3</v>
      </c>
      <c r="AF711">
        <v>0</v>
      </c>
    </row>
    <row r="712" spans="1:32" ht="15" x14ac:dyDescent="0.35">
      <c r="A712" t="s">
        <v>3724</v>
      </c>
      <c r="B712" s="1">
        <v>45439</v>
      </c>
      <c r="C712">
        <f>YEAR(OrdersTable[[#This Row],[Order Date]])</f>
        <v>2024</v>
      </c>
      <c r="D712" s="2">
        <f>DATE(YEAR(OrdersTable[[#This Row],[Order Date]]),MONTH(OrdersTable[[#This Row],[Order Date]]),1)</f>
        <v>45413</v>
      </c>
      <c r="E712">
        <f>MONTH(OrdersTable[[#This Row],[Order Date]])</f>
        <v>5</v>
      </c>
      <c r="F712" t="s">
        <v>3725</v>
      </c>
      <c r="G712" t="str">
        <f>IF(OrdersTable[[#This Row],[Order Date]]=_xlfn.MINIFS(Order_Date, Customer_ID, OrdersTable[[#This Row],[Customer ID]]), "New", "Repeat")</f>
        <v>Repeat</v>
      </c>
      <c r="H712" t="s">
        <v>128</v>
      </c>
      <c r="I712" t="str">
        <f>INDEX(State!B:B,MATCH(OrdersTable[[#This Row],[State]],State!A:A,0))</f>
        <v>DL</v>
      </c>
      <c r="J712" t="str">
        <f>INDEX(State!C:C,MATCH(OrdersTable[[#This Row],[State Code]],State!B:B,0))</f>
        <v>North</v>
      </c>
      <c r="K712" t="s">
        <v>129</v>
      </c>
      <c r="L712" t="s">
        <v>39</v>
      </c>
      <c r="M712" t="s">
        <v>106</v>
      </c>
      <c r="N712" t="str">
        <f>INDEX(Products!B:B,MATCH(OrdersTable[[#This Row],[Product ID]],Products!A:A,0))</f>
        <v>Keratin Hair Mask</v>
      </c>
      <c r="O712" t="str">
        <f>INDEX(Products!C:C,MATCH(OrdersTable[[#This Row],[Product ID]],Products!A:A,0))</f>
        <v>Haircare</v>
      </c>
      <c r="P712">
        <v>1</v>
      </c>
      <c r="Q712" s="5">
        <v>549</v>
      </c>
      <c r="R712" s="74">
        <v>0.05</v>
      </c>
      <c r="S712" s="75">
        <f>OrdersTable[[#This Row],[Quantity]]*OrdersTable[[#This Row],[Unit Price]]</f>
        <v>549</v>
      </c>
      <c r="T712" s="5">
        <f>OrdersTable[[#This Row],[Gross Sale]]*OrdersTable[[#This Row],[Discount_Clean2]]</f>
        <v>27.450000000000003</v>
      </c>
      <c r="U712" s="5">
        <f>OrdersTable[[#This Row],[Gross Sale]]-OrdersTable[[#This Row],[Discount Amount]]</f>
        <v>521.54999999999995</v>
      </c>
      <c r="V712" s="77">
        <f>INDEX(Products!E:E,MATCH(OrdersTable[[#This Row],[Product ID]],Products!A:A,0))</f>
        <v>170</v>
      </c>
      <c r="W712" s="77">
        <f>OrdersTable[[#This Row],[Quantity]]*OrdersTable[[#This Row],[Unit Cost]]</f>
        <v>170</v>
      </c>
      <c r="X712" s="77">
        <f>'Dropdown Lists'!$I$2*(1+OrdersTable[[#This Row],[Returned]])</f>
        <v>60</v>
      </c>
      <c r="Y712" s="76">
        <f>OrdersTable[[#This Row],[Net Revenue]]-OrdersTable[[#This Row],[COGS]]-OrdersTable[[#This Row],[Shipping Cost]]</f>
        <v>291.54999999999995</v>
      </c>
      <c r="Z712" s="78">
        <f>IFERROR(OrdersTable[[#This Row],[Profit]]/OrdersTable[[#This Row],[Net Revenue]],0)</f>
        <v>0.55900680663407143</v>
      </c>
      <c r="AA712" t="s">
        <v>3495</v>
      </c>
      <c r="AB712" s="79">
        <v>45440</v>
      </c>
      <c r="AC712">
        <f>OrdersTable[[#This Row],[Delivery Date]]-OrdersTable[[#This Row],[Order Date]]</f>
        <v>1</v>
      </c>
      <c r="AD712" t="str">
        <f>IF(OrdersTable[[#This Row],[Delivery Days]]&lt;=2, "Express (≤2d)", IF(OrdersTable[[#This Row],[Delivery Days]]&lt;=4, "Standard (3-4d)", "Delayed (5d+)"))</f>
        <v>Express (≤2d)</v>
      </c>
      <c r="AF712">
        <v>0</v>
      </c>
    </row>
    <row r="713" spans="1:32" ht="15" x14ac:dyDescent="0.35">
      <c r="A713" t="s">
        <v>6280</v>
      </c>
      <c r="B713" s="1">
        <v>45439</v>
      </c>
      <c r="C713">
        <f>YEAR(OrdersTable[[#This Row],[Order Date]])</f>
        <v>2024</v>
      </c>
      <c r="D713" s="2">
        <f>DATE(YEAR(OrdersTable[[#This Row],[Order Date]]),MONTH(OrdersTable[[#This Row],[Order Date]]),1)</f>
        <v>45413</v>
      </c>
      <c r="E713">
        <f>MONTH(OrdersTable[[#This Row],[Order Date]])</f>
        <v>5</v>
      </c>
      <c r="F713" t="s">
        <v>1391</v>
      </c>
      <c r="G713" t="str">
        <f>IF(OrdersTable[[#This Row],[Order Date]]=_xlfn.MINIFS(Order_Date, Customer_ID, OrdersTable[[#This Row],[Customer ID]]), "New", "Repeat")</f>
        <v>New</v>
      </c>
      <c r="H713" t="s">
        <v>128</v>
      </c>
      <c r="I713" t="str">
        <f>INDEX(State!B:B,MATCH(OrdersTable[[#This Row],[State]],State!A:A,0))</f>
        <v>DL</v>
      </c>
      <c r="J713" t="str">
        <f>INDEX(State!C:C,MATCH(OrdersTable[[#This Row],[State Code]],State!B:B,0))</f>
        <v>North</v>
      </c>
      <c r="K713" t="s">
        <v>129</v>
      </c>
      <c r="L713" t="s">
        <v>65</v>
      </c>
      <c r="M713" t="s">
        <v>34</v>
      </c>
      <c r="N713" t="str">
        <f>INDEX(Products!B:B,MATCH(OrdersTable[[#This Row],[Product ID]],Products!A:A,0))</f>
        <v>Flip Flops</v>
      </c>
      <c r="O713" t="str">
        <f>INDEX(Products!C:C,MATCH(OrdersTable[[#This Row],[Product ID]],Products!A:A,0))</f>
        <v>Footwear</v>
      </c>
      <c r="P713">
        <v>2</v>
      </c>
      <c r="Q713" s="5">
        <v>399</v>
      </c>
      <c r="R713" s="74">
        <v>0.05</v>
      </c>
      <c r="S713" s="75">
        <f>OrdersTable[[#This Row],[Quantity]]*OrdersTable[[#This Row],[Unit Price]]</f>
        <v>798</v>
      </c>
      <c r="T713" s="5">
        <f>OrdersTable[[#This Row],[Gross Sale]]*OrdersTable[[#This Row],[Discount_Clean2]]</f>
        <v>39.900000000000006</v>
      </c>
      <c r="U713" s="5">
        <f>OrdersTable[[#This Row],[Gross Sale]]-OrdersTable[[#This Row],[Discount Amount]]</f>
        <v>758.1</v>
      </c>
      <c r="V713" s="77">
        <f>INDEX(Products!E:E,MATCH(OrdersTable[[#This Row],[Product ID]],Products!A:A,0))</f>
        <v>152</v>
      </c>
      <c r="W713" s="77">
        <f>OrdersTable[[#This Row],[Quantity]]*OrdersTable[[#This Row],[Unit Cost]]</f>
        <v>304</v>
      </c>
      <c r="X713" s="77">
        <f>'Dropdown Lists'!$I$2*(1+OrdersTable[[#This Row],[Returned]])</f>
        <v>120</v>
      </c>
      <c r="Y713" s="76">
        <f>OrdersTable[[#This Row],[Net Revenue]]-OrdersTable[[#This Row],[COGS]]-OrdersTable[[#This Row],[Shipping Cost]]</f>
        <v>334.1</v>
      </c>
      <c r="Z713" s="78">
        <f>IFERROR(OrdersTable[[#This Row],[Profit]]/OrdersTable[[#This Row],[Net Revenue]],0)</f>
        <v>0.44070703073473161</v>
      </c>
      <c r="AA713" t="s">
        <v>18</v>
      </c>
      <c r="AB713" s="79">
        <v>45441</v>
      </c>
      <c r="AC713">
        <f>OrdersTable[[#This Row],[Delivery Date]]-OrdersTable[[#This Row],[Order Date]]</f>
        <v>2</v>
      </c>
      <c r="AD713" t="str">
        <f>IF(OrdersTable[[#This Row],[Delivery Days]]&lt;=2, "Express (≤2d)", IF(OrdersTable[[#This Row],[Delivery Days]]&lt;=4, "Standard (3-4d)", "Delayed (5d+)"))</f>
        <v>Express (≤2d)</v>
      </c>
      <c r="AF713">
        <v>1</v>
      </c>
    </row>
    <row r="714" spans="1:32" ht="15" x14ac:dyDescent="0.35">
      <c r="A714" t="s">
        <v>5321</v>
      </c>
      <c r="B714" s="1">
        <v>45439</v>
      </c>
      <c r="C714">
        <f>YEAR(OrdersTable[[#This Row],[Order Date]])</f>
        <v>2024</v>
      </c>
      <c r="D714" s="2">
        <f>DATE(YEAR(OrdersTable[[#This Row],[Order Date]]),MONTH(OrdersTable[[#This Row],[Order Date]]),1)</f>
        <v>45413</v>
      </c>
      <c r="E714">
        <f>MONTH(OrdersTable[[#This Row],[Order Date]])</f>
        <v>5</v>
      </c>
      <c r="F714" t="s">
        <v>5322</v>
      </c>
      <c r="G714" t="str">
        <f>IF(OrdersTable[[#This Row],[Order Date]]=_xlfn.MINIFS(Order_Date, Customer_ID, OrdersTable[[#This Row],[Customer ID]]), "New", "Repeat")</f>
        <v>New</v>
      </c>
      <c r="H714" t="s">
        <v>76</v>
      </c>
      <c r="I714" t="str">
        <f>INDEX(State!B:B,MATCH(OrdersTable[[#This Row],[State]],State!A:A,0))</f>
        <v>UP</v>
      </c>
      <c r="J714" t="str">
        <f>INDEX(State!C:C,MATCH(OrdersTable[[#This Row],[State Code]],State!B:B,0))</f>
        <v>North</v>
      </c>
      <c r="K714" t="s">
        <v>77</v>
      </c>
      <c r="L714" t="s">
        <v>65</v>
      </c>
      <c r="M714" t="s">
        <v>92</v>
      </c>
      <c r="N714" t="str">
        <f>INDEX(Products!B:B,MATCH(OrdersTable[[#This Row],[Product ID]],Products!A:A,0))</f>
        <v>Kolhapuri Sandals</v>
      </c>
      <c r="O714" t="str">
        <f>INDEX(Products!C:C,MATCH(OrdersTable[[#This Row],[Product ID]],Products!A:A,0))</f>
        <v>Footwear</v>
      </c>
      <c r="P714">
        <v>2</v>
      </c>
      <c r="Q714" s="5">
        <v>999</v>
      </c>
      <c r="R714" s="74">
        <v>0.1</v>
      </c>
      <c r="S714" s="75">
        <f>OrdersTable[[#This Row],[Quantity]]*OrdersTable[[#This Row],[Unit Price]]</f>
        <v>1998</v>
      </c>
      <c r="T714" s="5">
        <f>OrdersTable[[#This Row],[Gross Sale]]*OrdersTable[[#This Row],[Discount_Clean2]]</f>
        <v>199.8</v>
      </c>
      <c r="U714" s="5">
        <f>OrdersTable[[#This Row],[Gross Sale]]-OrdersTable[[#This Row],[Discount Amount]]</f>
        <v>1798.2</v>
      </c>
      <c r="V714" s="77">
        <f>INDEX(Products!E:E,MATCH(OrdersTable[[#This Row],[Product ID]],Products!A:A,0))</f>
        <v>400</v>
      </c>
      <c r="W714" s="77">
        <f>OrdersTable[[#This Row],[Quantity]]*OrdersTable[[#This Row],[Unit Cost]]</f>
        <v>800</v>
      </c>
      <c r="X714" s="77">
        <f>'Dropdown Lists'!$I$2*(1+OrdersTable[[#This Row],[Returned]])</f>
        <v>60</v>
      </c>
      <c r="Y714" s="76">
        <f>OrdersTable[[#This Row],[Net Revenue]]-OrdersTable[[#This Row],[COGS]]-OrdersTable[[#This Row],[Shipping Cost]]</f>
        <v>938.2</v>
      </c>
      <c r="Z714" s="78">
        <f>IFERROR(OrdersTable[[#This Row],[Profit]]/OrdersTable[[#This Row],[Net Revenue]],0)</f>
        <v>0.52174396618841068</v>
      </c>
      <c r="AA714" t="s">
        <v>2522</v>
      </c>
      <c r="AB714" s="79">
        <v>45442</v>
      </c>
      <c r="AC714">
        <f>OrdersTable[[#This Row],[Delivery Date]]-OrdersTable[[#This Row],[Order Date]]</f>
        <v>3</v>
      </c>
      <c r="AD714" t="str">
        <f>IF(OrdersTable[[#This Row],[Delivery Days]]&lt;=2, "Express (≤2d)", IF(OrdersTable[[#This Row],[Delivery Days]]&lt;=4, "Standard (3-4d)", "Delayed (5d+)"))</f>
        <v>Standard (3-4d)</v>
      </c>
      <c r="AF714">
        <v>0</v>
      </c>
    </row>
    <row r="715" spans="1:32" ht="15" x14ac:dyDescent="0.35">
      <c r="A715" t="s">
        <v>741</v>
      </c>
      <c r="B715" s="1">
        <v>45439</v>
      </c>
      <c r="C715">
        <f>YEAR(OrdersTable[[#This Row],[Order Date]])</f>
        <v>2024</v>
      </c>
      <c r="D715" s="2">
        <f>DATE(YEAR(OrdersTable[[#This Row],[Order Date]]),MONTH(OrdersTable[[#This Row],[Order Date]]),1)</f>
        <v>45413</v>
      </c>
      <c r="E715">
        <f>MONTH(OrdersTable[[#This Row],[Order Date]])</f>
        <v>5</v>
      </c>
      <c r="F715" t="s">
        <v>742</v>
      </c>
      <c r="G715" t="str">
        <f>IF(OrdersTable[[#This Row],[Order Date]]=_xlfn.MINIFS(Order_Date, Customer_ID, OrdersTable[[#This Row],[Customer ID]]), "New", "Repeat")</f>
        <v>New</v>
      </c>
      <c r="H715" t="s">
        <v>37</v>
      </c>
      <c r="I715" t="str">
        <f>INDEX(State!B:B,MATCH(OrdersTable[[#This Row],[State]],State!A:A,0))</f>
        <v>GJ</v>
      </c>
      <c r="J715" t="str">
        <f>INDEX(State!C:C,MATCH(OrdersTable[[#This Row],[State Code]],State!B:B,0))</f>
        <v>West</v>
      </c>
      <c r="K715" t="s">
        <v>38</v>
      </c>
      <c r="L715" t="s">
        <v>39</v>
      </c>
      <c r="M715" t="s">
        <v>148</v>
      </c>
      <c r="N715" t="str">
        <f>INDEX(Products!B:B,MATCH(OrdersTable[[#This Row],[Product ID]],Products!A:A,0))</f>
        <v>Smartwatch Strap</v>
      </c>
      <c r="O715" t="str">
        <f>INDEX(Products!C:C,MATCH(OrdersTable[[#This Row],[Product ID]],Products!A:A,0))</f>
        <v>Electronics</v>
      </c>
      <c r="P715">
        <v>1</v>
      </c>
      <c r="Q715" s="5">
        <v>499</v>
      </c>
      <c r="R715" s="74">
        <v>0.05</v>
      </c>
      <c r="S715" s="75">
        <f>OrdersTable[[#This Row],[Quantity]]*OrdersTable[[#This Row],[Unit Price]]</f>
        <v>499</v>
      </c>
      <c r="T715" s="5">
        <f>OrdersTable[[#This Row],[Gross Sale]]*OrdersTable[[#This Row],[Discount_Clean2]]</f>
        <v>24.950000000000003</v>
      </c>
      <c r="U715" s="5">
        <f>OrdersTable[[#This Row],[Gross Sale]]-OrdersTable[[#This Row],[Discount Amount]]</f>
        <v>474.05</v>
      </c>
      <c r="V715" s="77">
        <f>INDEX(Products!E:E,MATCH(OrdersTable[[#This Row],[Product ID]],Products!A:A,0))</f>
        <v>200</v>
      </c>
      <c r="W715" s="77">
        <f>OrdersTable[[#This Row],[Quantity]]*OrdersTable[[#This Row],[Unit Cost]]</f>
        <v>200</v>
      </c>
      <c r="X715" s="77">
        <f>'Dropdown Lists'!$I$2*(1+OrdersTable[[#This Row],[Returned]])</f>
        <v>60</v>
      </c>
      <c r="Y715" s="76">
        <f>OrdersTable[[#This Row],[Net Revenue]]-OrdersTable[[#This Row],[COGS]]-OrdersTable[[#This Row],[Shipping Cost]]</f>
        <v>214.05</v>
      </c>
      <c r="Z715" s="78">
        <f>IFERROR(OrdersTable[[#This Row],[Profit]]/OrdersTable[[#This Row],[Net Revenue]],0)</f>
        <v>0.45153464824385614</v>
      </c>
      <c r="AA715" t="s">
        <v>18</v>
      </c>
      <c r="AB715" s="79">
        <v>45442</v>
      </c>
      <c r="AC715">
        <f>OrdersTable[[#This Row],[Delivery Date]]-OrdersTable[[#This Row],[Order Date]]</f>
        <v>3</v>
      </c>
      <c r="AD715" t="str">
        <f>IF(OrdersTable[[#This Row],[Delivery Days]]&lt;=2, "Express (≤2d)", IF(OrdersTable[[#This Row],[Delivery Days]]&lt;=4, "Standard (3-4d)", "Delayed (5d+)"))</f>
        <v>Standard (3-4d)</v>
      </c>
      <c r="AE715">
        <v>4</v>
      </c>
      <c r="AF715">
        <v>0</v>
      </c>
    </row>
    <row r="716" spans="1:32" ht="15" x14ac:dyDescent="0.35">
      <c r="A716" t="s">
        <v>6491</v>
      </c>
      <c r="B716" s="1">
        <v>45439</v>
      </c>
      <c r="C716">
        <f>YEAR(OrdersTable[[#This Row],[Order Date]])</f>
        <v>2024</v>
      </c>
      <c r="D716" s="2">
        <f>DATE(YEAR(OrdersTable[[#This Row],[Order Date]]),MONTH(OrdersTable[[#This Row],[Order Date]]),1)</f>
        <v>45413</v>
      </c>
      <c r="E716">
        <f>MONTH(OrdersTable[[#This Row],[Order Date]])</f>
        <v>5</v>
      </c>
      <c r="F716" t="s">
        <v>1139</v>
      </c>
      <c r="G716" t="str">
        <f>IF(OrdersTable[[#This Row],[Order Date]]=_xlfn.MINIFS(Order_Date, Customer_ID, OrdersTable[[#This Row],[Customer ID]]), "New", "Repeat")</f>
        <v>New</v>
      </c>
      <c r="H716" t="s">
        <v>167</v>
      </c>
      <c r="I716" t="str">
        <f>INDEX(State!B:B,MATCH(OrdersTable[[#This Row],[State]],State!A:A,0))</f>
        <v>KA</v>
      </c>
      <c r="J716" t="str">
        <f>INDEX(State!C:C,MATCH(OrdersTable[[#This Row],[State Code]],State!B:B,0))</f>
        <v>South</v>
      </c>
      <c r="K716" t="s">
        <v>190</v>
      </c>
      <c r="L716" t="s">
        <v>23</v>
      </c>
      <c r="M716" t="s">
        <v>56</v>
      </c>
      <c r="N716" t="str">
        <f>INDEX(Products!B:B,MATCH(OrdersTable[[#This Row],[Product ID]],Products!A:A,0))</f>
        <v>Vitamin C Face Serum</v>
      </c>
      <c r="O716" t="str">
        <f>INDEX(Products!C:C,MATCH(OrdersTable[[#This Row],[Product ID]],Products!A:A,0))</f>
        <v>Skincare</v>
      </c>
      <c r="P716">
        <v>3</v>
      </c>
      <c r="Q716" s="5">
        <v>599</v>
      </c>
      <c r="R716" s="74">
        <v>0.15</v>
      </c>
      <c r="S716" s="75">
        <f>OrdersTable[[#This Row],[Quantity]]*OrdersTable[[#This Row],[Unit Price]]</f>
        <v>1797</v>
      </c>
      <c r="T716" s="5">
        <f>OrdersTable[[#This Row],[Gross Sale]]*OrdersTable[[#This Row],[Discount_Clean2]]</f>
        <v>269.55</v>
      </c>
      <c r="U716" s="5">
        <f>OrdersTable[[#This Row],[Gross Sale]]-OrdersTable[[#This Row],[Discount Amount]]</f>
        <v>1527.45</v>
      </c>
      <c r="V716" s="77">
        <f>INDEX(Products!E:E,MATCH(OrdersTable[[#This Row],[Product ID]],Products!A:A,0))</f>
        <v>180</v>
      </c>
      <c r="W716" s="77">
        <f>OrdersTable[[#This Row],[Quantity]]*OrdersTable[[#This Row],[Unit Cost]]</f>
        <v>540</v>
      </c>
      <c r="X716" s="77">
        <f>'Dropdown Lists'!$I$2*(1+OrdersTable[[#This Row],[Returned]])</f>
        <v>60</v>
      </c>
      <c r="Y716" s="76">
        <f>OrdersTable[[#This Row],[Net Revenue]]-OrdersTable[[#This Row],[COGS]]-OrdersTable[[#This Row],[Shipping Cost]]</f>
        <v>927.45</v>
      </c>
      <c r="Z716" s="78">
        <f>IFERROR(OrdersTable[[#This Row],[Profit]]/OrdersTable[[#This Row],[Net Revenue]],0)</f>
        <v>0.60718845134046939</v>
      </c>
      <c r="AA716" t="s">
        <v>18</v>
      </c>
      <c r="AB716" s="79">
        <v>45440</v>
      </c>
      <c r="AC716">
        <f>OrdersTable[[#This Row],[Delivery Date]]-OrdersTable[[#This Row],[Order Date]]</f>
        <v>1</v>
      </c>
      <c r="AD716" t="str">
        <f>IF(OrdersTable[[#This Row],[Delivery Days]]&lt;=2, "Express (≤2d)", IF(OrdersTable[[#This Row],[Delivery Days]]&lt;=4, "Standard (3-4d)", "Delayed (5d+)"))</f>
        <v>Express (≤2d)</v>
      </c>
      <c r="AF716">
        <v>0</v>
      </c>
    </row>
    <row r="717" spans="1:32" ht="15" x14ac:dyDescent="0.35">
      <c r="A717" t="s">
        <v>908</v>
      </c>
      <c r="B717" s="1">
        <v>45440</v>
      </c>
      <c r="C717">
        <f>YEAR(OrdersTable[[#This Row],[Order Date]])</f>
        <v>2024</v>
      </c>
      <c r="D717" s="2">
        <f>DATE(YEAR(OrdersTable[[#This Row],[Order Date]]),MONTH(OrdersTable[[#This Row],[Order Date]]),1)</f>
        <v>45413</v>
      </c>
      <c r="E717">
        <f>MONTH(OrdersTable[[#This Row],[Order Date]])</f>
        <v>5</v>
      </c>
      <c r="F717" t="s">
        <v>909</v>
      </c>
      <c r="G717" t="str">
        <f>IF(OrdersTable[[#This Row],[Order Date]]=_xlfn.MINIFS(Order_Date, Customer_ID, OrdersTable[[#This Row],[Customer ID]]), "New", "Repeat")</f>
        <v>New</v>
      </c>
      <c r="H717" t="s">
        <v>76</v>
      </c>
      <c r="I717" t="str">
        <f>INDEX(State!B:B,MATCH(OrdersTable[[#This Row],[State]],State!A:A,0))</f>
        <v>UP</v>
      </c>
      <c r="J717" t="str">
        <f>INDEX(State!C:C,MATCH(OrdersTable[[#This Row],[State Code]],State!B:B,0))</f>
        <v>North</v>
      </c>
      <c r="K717" t="s">
        <v>105</v>
      </c>
      <c r="L717" t="s">
        <v>23</v>
      </c>
      <c r="M717" t="s">
        <v>66</v>
      </c>
      <c r="N717" t="str">
        <f>INDEX(Products!B:B,MATCH(OrdersTable[[#This Row],[Product ID]],Products!A:A,0))</f>
        <v>Sunscreen SPF 50</v>
      </c>
      <c r="O717" t="str">
        <f>INDEX(Products!C:C,MATCH(OrdersTable[[#This Row],[Product ID]],Products!A:A,0))</f>
        <v>Skincare</v>
      </c>
      <c r="P717">
        <v>1</v>
      </c>
      <c r="Q717" s="5">
        <v>449</v>
      </c>
      <c r="R717" s="74">
        <v>0</v>
      </c>
      <c r="S717" s="75">
        <f>OrdersTable[[#This Row],[Quantity]]*OrdersTable[[#This Row],[Unit Price]]</f>
        <v>449</v>
      </c>
      <c r="T717" s="5">
        <f>OrdersTable[[#This Row],[Gross Sale]]*OrdersTable[[#This Row],[Discount_Clean2]]</f>
        <v>0</v>
      </c>
      <c r="U717" s="5">
        <f>OrdersTable[[#This Row],[Gross Sale]]-OrdersTable[[#This Row],[Discount Amount]]</f>
        <v>449</v>
      </c>
      <c r="V717" s="77">
        <f>INDEX(Products!E:E,MATCH(OrdersTable[[#This Row],[Product ID]],Products!A:A,0))</f>
        <v>144</v>
      </c>
      <c r="W717" s="77">
        <f>OrdersTable[[#This Row],[Quantity]]*OrdersTable[[#This Row],[Unit Cost]]</f>
        <v>144</v>
      </c>
      <c r="X717" s="77">
        <f>'Dropdown Lists'!$I$2*(1+OrdersTable[[#This Row],[Returned]])</f>
        <v>60</v>
      </c>
      <c r="Y717" s="76">
        <f>OrdersTable[[#This Row],[Net Revenue]]-OrdersTable[[#This Row],[COGS]]-OrdersTable[[#This Row],[Shipping Cost]]</f>
        <v>245</v>
      </c>
      <c r="Z717" s="78">
        <f>IFERROR(OrdersTable[[#This Row],[Profit]]/OrdersTable[[#This Row],[Net Revenue]],0)</f>
        <v>0.54565701559020041</v>
      </c>
      <c r="AA717" t="s">
        <v>18</v>
      </c>
      <c r="AB717" s="79">
        <v>45445</v>
      </c>
      <c r="AC717">
        <f>OrdersTable[[#This Row],[Delivery Date]]-OrdersTable[[#This Row],[Order Date]]</f>
        <v>5</v>
      </c>
      <c r="AD717" t="str">
        <f>IF(OrdersTable[[#This Row],[Delivery Days]]&lt;=2, "Express (≤2d)", IF(OrdersTable[[#This Row],[Delivery Days]]&lt;=4, "Standard (3-4d)", "Delayed (5d+)"))</f>
        <v>Delayed (5d+)</v>
      </c>
      <c r="AE717">
        <v>4</v>
      </c>
      <c r="AF717">
        <v>0</v>
      </c>
    </row>
    <row r="718" spans="1:32" ht="15" x14ac:dyDescent="0.35">
      <c r="A718" t="s">
        <v>6951</v>
      </c>
      <c r="B718" s="1">
        <v>45440</v>
      </c>
      <c r="C718">
        <f>YEAR(OrdersTable[[#This Row],[Order Date]])</f>
        <v>2024</v>
      </c>
      <c r="D718" s="2">
        <f>DATE(YEAR(OrdersTable[[#This Row],[Order Date]]),MONTH(OrdersTable[[#This Row],[Order Date]]),1)</f>
        <v>45413</v>
      </c>
      <c r="E718">
        <f>MONTH(OrdersTable[[#This Row],[Order Date]])</f>
        <v>5</v>
      </c>
      <c r="F718" t="s">
        <v>6952</v>
      </c>
      <c r="G718" t="str">
        <f>IF(OrdersTable[[#This Row],[Order Date]]=_xlfn.MINIFS(Order_Date, Customer_ID, OrdersTable[[#This Row],[Customer ID]]), "New", "Repeat")</f>
        <v>New</v>
      </c>
      <c r="H718" t="s">
        <v>76</v>
      </c>
      <c r="I718" t="str">
        <f>INDEX(State!B:B,MATCH(OrdersTable[[#This Row],[State]],State!A:A,0))</f>
        <v>UP</v>
      </c>
      <c r="J718" t="str">
        <f>INDEX(State!C:C,MATCH(OrdersTable[[#This Row],[State Code]],State!B:B,0))</f>
        <v>North</v>
      </c>
      <c r="K718" t="s">
        <v>77</v>
      </c>
      <c r="L718" t="s">
        <v>23</v>
      </c>
      <c r="M718" t="s">
        <v>228</v>
      </c>
      <c r="N718" t="str">
        <f>INDEX(Products!B:B,MATCH(OrdersTable[[#This Row],[Product ID]],Products!A:A,0))</f>
        <v>Fast Charger 33W</v>
      </c>
      <c r="O718" t="str">
        <f>INDEX(Products!C:C,MATCH(OrdersTable[[#This Row],[Product ID]],Products!A:A,0))</f>
        <v>Electronics</v>
      </c>
      <c r="P718">
        <v>4</v>
      </c>
      <c r="Q718" s="5">
        <v>899</v>
      </c>
      <c r="R718" s="74">
        <v>0.15</v>
      </c>
      <c r="S718" s="75">
        <f>OrdersTable[[#This Row],[Quantity]]*OrdersTable[[#This Row],[Unit Price]]</f>
        <v>3596</v>
      </c>
      <c r="T718" s="5">
        <f>OrdersTable[[#This Row],[Gross Sale]]*OrdersTable[[#This Row],[Discount_Clean2]]</f>
        <v>539.4</v>
      </c>
      <c r="U718" s="5">
        <f>OrdersTable[[#This Row],[Gross Sale]]-OrdersTable[[#This Row],[Discount Amount]]</f>
        <v>3056.6</v>
      </c>
      <c r="V718" s="77">
        <f>INDEX(Products!E:E,MATCH(OrdersTable[[#This Row],[Product ID]],Products!A:A,0))</f>
        <v>494</v>
      </c>
      <c r="W718" s="77">
        <f>OrdersTable[[#This Row],[Quantity]]*OrdersTable[[#This Row],[Unit Cost]]</f>
        <v>1976</v>
      </c>
      <c r="X718" s="77">
        <f>'Dropdown Lists'!$I$2*(1+OrdersTable[[#This Row],[Returned]])</f>
        <v>120</v>
      </c>
      <c r="Y718" s="76">
        <f>OrdersTable[[#This Row],[Net Revenue]]-OrdersTable[[#This Row],[COGS]]-OrdersTable[[#This Row],[Shipping Cost]]</f>
        <v>960.59999999999991</v>
      </c>
      <c r="Z718" s="78">
        <f>IFERROR(OrdersTable[[#This Row],[Profit]]/OrdersTable[[#This Row],[Net Revenue]],0)</f>
        <v>0.3142707583589609</v>
      </c>
      <c r="AA718" t="s">
        <v>2522</v>
      </c>
      <c r="AB718" s="79">
        <v>45444</v>
      </c>
      <c r="AC718">
        <f>OrdersTable[[#This Row],[Delivery Date]]-OrdersTable[[#This Row],[Order Date]]</f>
        <v>4</v>
      </c>
      <c r="AD718" t="str">
        <f>IF(OrdersTable[[#This Row],[Delivery Days]]&lt;=2, "Express (≤2d)", IF(OrdersTable[[#This Row],[Delivery Days]]&lt;=4, "Standard (3-4d)", "Delayed (5d+)"))</f>
        <v>Standard (3-4d)</v>
      </c>
      <c r="AF718">
        <v>1</v>
      </c>
    </row>
    <row r="719" spans="1:32" ht="15" x14ac:dyDescent="0.35">
      <c r="A719" t="s">
        <v>2255</v>
      </c>
      <c r="B719" s="1">
        <v>45440</v>
      </c>
      <c r="C719">
        <f>YEAR(OrdersTable[[#This Row],[Order Date]])</f>
        <v>2024</v>
      </c>
      <c r="D719" s="2">
        <f>DATE(YEAR(OrdersTable[[#This Row],[Order Date]]),MONTH(OrdersTable[[#This Row],[Order Date]]),1)</f>
        <v>45413</v>
      </c>
      <c r="E719">
        <f>MONTH(OrdersTable[[#This Row],[Order Date]])</f>
        <v>5</v>
      </c>
      <c r="F719" t="s">
        <v>2256</v>
      </c>
      <c r="G719" t="str">
        <f>IF(OrdersTable[[#This Row],[Order Date]]=_xlfn.MINIFS(Order_Date, Customer_ID, OrdersTable[[#This Row],[Customer ID]]), "New", "Repeat")</f>
        <v>New</v>
      </c>
      <c r="H719" t="s">
        <v>32</v>
      </c>
      <c r="I719" t="str">
        <f>INDEX(State!B:B,MATCH(OrdersTable[[#This Row],[State]],State!A:A,0))</f>
        <v>BR</v>
      </c>
      <c r="J719" t="str">
        <f>INDEX(State!C:C,MATCH(OrdersTable[[#This Row],[State Code]],State!B:B,0))</f>
        <v>East</v>
      </c>
      <c r="K719" t="s">
        <v>33</v>
      </c>
      <c r="L719" t="s">
        <v>65</v>
      </c>
      <c r="M719" t="s">
        <v>148</v>
      </c>
      <c r="N719" t="str">
        <f>INDEX(Products!B:B,MATCH(OrdersTable[[#This Row],[Product ID]],Products!A:A,0))</f>
        <v>Smartwatch Strap</v>
      </c>
      <c r="O719" t="str">
        <f>INDEX(Products!C:C,MATCH(OrdersTable[[#This Row],[Product ID]],Products!A:A,0))</f>
        <v>Electronics</v>
      </c>
      <c r="P719">
        <v>1</v>
      </c>
      <c r="Q719" s="5">
        <v>499</v>
      </c>
      <c r="R719" s="74">
        <v>0.1</v>
      </c>
      <c r="S719" s="75">
        <f>OrdersTable[[#This Row],[Quantity]]*OrdersTable[[#This Row],[Unit Price]]</f>
        <v>499</v>
      </c>
      <c r="T719" s="5">
        <f>OrdersTable[[#This Row],[Gross Sale]]*OrdersTable[[#This Row],[Discount_Clean2]]</f>
        <v>49.900000000000006</v>
      </c>
      <c r="U719" s="5">
        <f>OrdersTable[[#This Row],[Gross Sale]]-OrdersTable[[#This Row],[Discount Amount]]</f>
        <v>449.1</v>
      </c>
      <c r="V719" s="77">
        <f>INDEX(Products!E:E,MATCH(OrdersTable[[#This Row],[Product ID]],Products!A:A,0))</f>
        <v>200</v>
      </c>
      <c r="W719" s="77">
        <f>OrdersTable[[#This Row],[Quantity]]*OrdersTable[[#This Row],[Unit Cost]]</f>
        <v>200</v>
      </c>
      <c r="X719" s="77">
        <f>'Dropdown Lists'!$I$2*(1+OrdersTable[[#This Row],[Returned]])</f>
        <v>60</v>
      </c>
      <c r="Y719" s="76">
        <f>OrdersTable[[#This Row],[Net Revenue]]-OrdersTable[[#This Row],[COGS]]-OrdersTable[[#This Row],[Shipping Cost]]</f>
        <v>189.10000000000002</v>
      </c>
      <c r="Z719" s="78">
        <f>IFERROR(OrdersTable[[#This Row],[Profit]]/OrdersTable[[#This Row],[Net Revenue]],0)</f>
        <v>0.42106435092407041</v>
      </c>
      <c r="AA719" t="s">
        <v>18</v>
      </c>
      <c r="AB719" s="79">
        <v>45442</v>
      </c>
      <c r="AC719">
        <f>OrdersTable[[#This Row],[Delivery Date]]-OrdersTable[[#This Row],[Order Date]]</f>
        <v>2</v>
      </c>
      <c r="AD719" t="str">
        <f>IF(OrdersTable[[#This Row],[Delivery Days]]&lt;=2, "Express (≤2d)", IF(OrdersTable[[#This Row],[Delivery Days]]&lt;=4, "Standard (3-4d)", "Delayed (5d+)"))</f>
        <v>Express (≤2d)</v>
      </c>
      <c r="AE719">
        <v>5</v>
      </c>
      <c r="AF719">
        <v>0</v>
      </c>
    </row>
    <row r="720" spans="1:32" ht="15" x14ac:dyDescent="0.35">
      <c r="A720" t="s">
        <v>910</v>
      </c>
      <c r="B720" s="1">
        <v>45440</v>
      </c>
      <c r="C720">
        <f>YEAR(OrdersTable[[#This Row],[Order Date]])</f>
        <v>2024</v>
      </c>
      <c r="D720" s="2">
        <f>DATE(YEAR(OrdersTable[[#This Row],[Order Date]]),MONTH(OrdersTable[[#This Row],[Order Date]]),1)</f>
        <v>45413</v>
      </c>
      <c r="E720">
        <f>MONTH(OrdersTable[[#This Row],[Order Date]])</f>
        <v>5</v>
      </c>
      <c r="F720" t="s">
        <v>911</v>
      </c>
      <c r="G720" t="str">
        <f>IF(OrdersTable[[#This Row],[Order Date]]=_xlfn.MINIFS(Order_Date, Customer_ID, OrdersTable[[#This Row],[Customer ID]]), "New", "Repeat")</f>
        <v>New</v>
      </c>
      <c r="H720" t="s">
        <v>167</v>
      </c>
      <c r="I720" t="str">
        <f>INDEX(State!B:B,MATCH(OrdersTable[[#This Row],[State]],State!A:A,0))</f>
        <v>KA</v>
      </c>
      <c r="J720" t="str">
        <f>INDEX(State!C:C,MATCH(OrdersTable[[#This Row],[State Code]],State!B:B,0))</f>
        <v>South</v>
      </c>
      <c r="K720" t="s">
        <v>168</v>
      </c>
      <c r="L720" t="s">
        <v>23</v>
      </c>
      <c r="M720" t="s">
        <v>56</v>
      </c>
      <c r="N720" t="str">
        <f>INDEX(Products!B:B,MATCH(OrdersTable[[#This Row],[Product ID]],Products!A:A,0))</f>
        <v>Vitamin C Face Serum</v>
      </c>
      <c r="O720" t="str">
        <f>INDEX(Products!C:C,MATCH(OrdersTable[[#This Row],[Product ID]],Products!A:A,0))</f>
        <v>Skincare</v>
      </c>
      <c r="P720">
        <v>1</v>
      </c>
      <c r="Q720" s="5">
        <v>599</v>
      </c>
      <c r="R720" s="74">
        <v>0.15</v>
      </c>
      <c r="S720" s="75">
        <f>OrdersTable[[#This Row],[Quantity]]*OrdersTable[[#This Row],[Unit Price]]</f>
        <v>599</v>
      </c>
      <c r="T720" s="5">
        <f>OrdersTable[[#This Row],[Gross Sale]]*OrdersTable[[#This Row],[Discount_Clean2]]</f>
        <v>89.85</v>
      </c>
      <c r="U720" s="5">
        <f>OrdersTable[[#This Row],[Gross Sale]]-OrdersTable[[#This Row],[Discount Amount]]</f>
        <v>509.15</v>
      </c>
      <c r="V720" s="77">
        <f>INDEX(Products!E:E,MATCH(OrdersTable[[#This Row],[Product ID]],Products!A:A,0))</f>
        <v>180</v>
      </c>
      <c r="W720" s="77">
        <f>OrdersTable[[#This Row],[Quantity]]*OrdersTable[[#This Row],[Unit Cost]]</f>
        <v>180</v>
      </c>
      <c r="X720" s="77">
        <f>'Dropdown Lists'!$I$2*(1+OrdersTable[[#This Row],[Returned]])</f>
        <v>60</v>
      </c>
      <c r="Y720" s="76">
        <f>OrdersTable[[#This Row],[Net Revenue]]-OrdersTable[[#This Row],[COGS]]-OrdersTable[[#This Row],[Shipping Cost]]</f>
        <v>269.14999999999998</v>
      </c>
      <c r="Z720" s="78">
        <f>IFERROR(OrdersTable[[#This Row],[Profit]]/OrdersTable[[#This Row],[Net Revenue]],0)</f>
        <v>0.52862614160856325</v>
      </c>
      <c r="AA720" t="s">
        <v>18</v>
      </c>
      <c r="AB720" s="79">
        <v>45443</v>
      </c>
      <c r="AC720">
        <f>OrdersTable[[#This Row],[Delivery Date]]-OrdersTable[[#This Row],[Order Date]]</f>
        <v>3</v>
      </c>
      <c r="AD720" t="str">
        <f>IF(OrdersTable[[#This Row],[Delivery Days]]&lt;=2, "Express (≤2d)", IF(OrdersTable[[#This Row],[Delivery Days]]&lt;=4, "Standard (3-4d)", "Delayed (5d+)"))</f>
        <v>Standard (3-4d)</v>
      </c>
      <c r="AE720">
        <v>4</v>
      </c>
      <c r="AF720">
        <v>0</v>
      </c>
    </row>
    <row r="721" spans="1:32" ht="15" x14ac:dyDescent="0.35">
      <c r="A721" t="s">
        <v>4764</v>
      </c>
      <c r="B721" s="1">
        <v>45441</v>
      </c>
      <c r="C721">
        <f>YEAR(OrdersTable[[#This Row],[Order Date]])</f>
        <v>2024</v>
      </c>
      <c r="D721" s="2">
        <f>DATE(YEAR(OrdersTable[[#This Row],[Order Date]]),MONTH(OrdersTable[[#This Row],[Order Date]]),1)</f>
        <v>45413</v>
      </c>
      <c r="E721">
        <f>MONTH(OrdersTable[[#This Row],[Order Date]])</f>
        <v>5</v>
      </c>
      <c r="F721" t="s">
        <v>4765</v>
      </c>
      <c r="G721" t="str">
        <f>IF(OrdersTable[[#This Row],[Order Date]]=_xlfn.MINIFS(Order_Date, Customer_ID, OrdersTable[[#This Row],[Customer ID]]), "New", "Repeat")</f>
        <v>New</v>
      </c>
      <c r="H721" t="s">
        <v>184</v>
      </c>
      <c r="I721" t="str">
        <f>INDEX(State!B:B,MATCH(OrdersTable[[#This Row],[State]],State!A:A,0))</f>
        <v>UK</v>
      </c>
      <c r="J721" t="str">
        <f>INDEX(State!C:C,MATCH(OrdersTable[[#This Row],[State Code]],State!B:B,0))</f>
        <v>North</v>
      </c>
      <c r="K721" t="s">
        <v>185</v>
      </c>
      <c r="L721" t="s">
        <v>50</v>
      </c>
      <c r="M721" t="s">
        <v>109</v>
      </c>
      <c r="N721" t="str">
        <f>INDEX(Products!B:B,MATCH(OrdersTable[[#This Row],[Product ID]],Products!A:A,0))</f>
        <v>Onion Hair Oil</v>
      </c>
      <c r="O721" t="str">
        <f>INDEX(Products!C:C,MATCH(OrdersTable[[#This Row],[Product ID]],Products!A:A,0))</f>
        <v>Haircare</v>
      </c>
      <c r="P721">
        <v>2</v>
      </c>
      <c r="Q721" s="5">
        <v>349</v>
      </c>
      <c r="R721" s="74">
        <v>0.35</v>
      </c>
      <c r="S721" s="75">
        <f>OrdersTable[[#This Row],[Quantity]]*OrdersTable[[#This Row],[Unit Price]]</f>
        <v>698</v>
      </c>
      <c r="T721" s="5">
        <f>OrdersTable[[#This Row],[Gross Sale]]*OrdersTable[[#This Row],[Discount_Clean2]]</f>
        <v>244.29999999999998</v>
      </c>
      <c r="U721" s="5">
        <f>OrdersTable[[#This Row],[Gross Sale]]-OrdersTable[[#This Row],[Discount Amount]]</f>
        <v>453.70000000000005</v>
      </c>
      <c r="V721" s="77">
        <f>INDEX(Products!E:E,MATCH(OrdersTable[[#This Row],[Product ID]],Products!A:A,0))</f>
        <v>105</v>
      </c>
      <c r="W721" s="77">
        <f>OrdersTable[[#This Row],[Quantity]]*OrdersTable[[#This Row],[Unit Cost]]</f>
        <v>210</v>
      </c>
      <c r="X721" s="77">
        <f>'Dropdown Lists'!$I$2*(1+OrdersTable[[#This Row],[Returned]])</f>
        <v>60</v>
      </c>
      <c r="Y721" s="76">
        <f>OrdersTable[[#This Row],[Net Revenue]]-OrdersTable[[#This Row],[COGS]]-OrdersTable[[#This Row],[Shipping Cost]]</f>
        <v>183.70000000000005</v>
      </c>
      <c r="Z721" s="78">
        <f>IFERROR(OrdersTable[[#This Row],[Profit]]/OrdersTable[[#This Row],[Net Revenue]],0)</f>
        <v>0.40489310116817284</v>
      </c>
      <c r="AA721" t="s">
        <v>4450</v>
      </c>
      <c r="AB721" s="79">
        <v>45445</v>
      </c>
      <c r="AC721">
        <f>OrdersTable[[#This Row],[Delivery Date]]-OrdersTable[[#This Row],[Order Date]]</f>
        <v>4</v>
      </c>
      <c r="AD721" t="str">
        <f>IF(OrdersTable[[#This Row],[Delivery Days]]&lt;=2, "Express (≤2d)", IF(OrdersTable[[#This Row],[Delivery Days]]&lt;=4, "Standard (3-4d)", "Delayed (5d+)"))</f>
        <v>Standard (3-4d)</v>
      </c>
      <c r="AE721">
        <v>4</v>
      </c>
      <c r="AF721">
        <v>0</v>
      </c>
    </row>
    <row r="722" spans="1:32" ht="15" x14ac:dyDescent="0.35">
      <c r="A722" t="s">
        <v>2709</v>
      </c>
      <c r="B722" s="1">
        <v>45441</v>
      </c>
      <c r="C722">
        <f>YEAR(OrdersTable[[#This Row],[Order Date]])</f>
        <v>2024</v>
      </c>
      <c r="D722" s="2">
        <f>DATE(YEAR(OrdersTable[[#This Row],[Order Date]]),MONTH(OrdersTable[[#This Row],[Order Date]]),1)</f>
        <v>45413</v>
      </c>
      <c r="E722">
        <f>MONTH(OrdersTable[[#This Row],[Order Date]])</f>
        <v>5</v>
      </c>
      <c r="F722" t="s">
        <v>1827</v>
      </c>
      <c r="G722" t="str">
        <f>IF(OrdersTable[[#This Row],[Order Date]]=_xlfn.MINIFS(Order_Date, Customer_ID, OrdersTable[[#This Row],[Customer ID]]), "New", "Repeat")</f>
        <v>Repeat</v>
      </c>
      <c r="H722" t="s">
        <v>76</v>
      </c>
      <c r="I722" t="str">
        <f>INDEX(State!B:B,MATCH(OrdersTable[[#This Row],[State]],State!A:A,0))</f>
        <v>UP</v>
      </c>
      <c r="J722" t="str">
        <f>INDEX(State!C:C,MATCH(OrdersTable[[#This Row],[State Code]],State!B:B,0))</f>
        <v>North</v>
      </c>
      <c r="K722" t="s">
        <v>118</v>
      </c>
      <c r="L722" t="s">
        <v>65</v>
      </c>
      <c r="M722" t="s">
        <v>56</v>
      </c>
      <c r="N722" t="str">
        <f>INDEX(Products!B:B,MATCH(OrdersTable[[#This Row],[Product ID]],Products!A:A,0))</f>
        <v>Vitamin C Face Serum</v>
      </c>
      <c r="O722" t="str">
        <f>INDEX(Products!C:C,MATCH(OrdersTable[[#This Row],[Product ID]],Products!A:A,0))</f>
        <v>Skincare</v>
      </c>
      <c r="P722">
        <v>1</v>
      </c>
      <c r="Q722" s="5">
        <v>599</v>
      </c>
      <c r="R722" s="74">
        <v>0.2</v>
      </c>
      <c r="S722" s="75">
        <f>OrdersTable[[#This Row],[Quantity]]*OrdersTable[[#This Row],[Unit Price]]</f>
        <v>599</v>
      </c>
      <c r="T722" s="5">
        <f>OrdersTable[[#This Row],[Gross Sale]]*OrdersTable[[#This Row],[Discount_Clean2]]</f>
        <v>119.80000000000001</v>
      </c>
      <c r="U722" s="5">
        <f>OrdersTable[[#This Row],[Gross Sale]]-OrdersTable[[#This Row],[Discount Amount]]</f>
        <v>479.2</v>
      </c>
      <c r="V722" s="77">
        <f>INDEX(Products!E:E,MATCH(OrdersTable[[#This Row],[Product ID]],Products!A:A,0))</f>
        <v>180</v>
      </c>
      <c r="W722" s="77">
        <f>OrdersTable[[#This Row],[Quantity]]*OrdersTable[[#This Row],[Unit Cost]]</f>
        <v>180</v>
      </c>
      <c r="X722" s="77">
        <f>'Dropdown Lists'!$I$2*(1+OrdersTable[[#This Row],[Returned]])</f>
        <v>60</v>
      </c>
      <c r="Y722" s="76">
        <f>OrdersTable[[#This Row],[Net Revenue]]-OrdersTable[[#This Row],[COGS]]-OrdersTable[[#This Row],[Shipping Cost]]</f>
        <v>239.2</v>
      </c>
      <c r="Z722" s="78">
        <f>IFERROR(OrdersTable[[#This Row],[Profit]]/OrdersTable[[#This Row],[Net Revenue]],0)</f>
        <v>0.4991652754590985</v>
      </c>
      <c r="AA722" t="s">
        <v>2522</v>
      </c>
      <c r="AB722" s="79">
        <v>45445</v>
      </c>
      <c r="AC722">
        <f>OrdersTable[[#This Row],[Delivery Date]]-OrdersTable[[#This Row],[Order Date]]</f>
        <v>4</v>
      </c>
      <c r="AD722" t="str">
        <f>IF(OrdersTable[[#This Row],[Delivery Days]]&lt;=2, "Express (≤2d)", IF(OrdersTable[[#This Row],[Delivery Days]]&lt;=4, "Standard (3-4d)", "Delayed (5d+)"))</f>
        <v>Standard (3-4d)</v>
      </c>
      <c r="AE722">
        <v>3</v>
      </c>
      <c r="AF722">
        <v>0</v>
      </c>
    </row>
    <row r="723" spans="1:32" ht="15" x14ac:dyDescent="0.35">
      <c r="A723" t="s">
        <v>6281</v>
      </c>
      <c r="B723" s="1">
        <v>45441</v>
      </c>
      <c r="C723">
        <f>YEAR(OrdersTable[[#This Row],[Order Date]])</f>
        <v>2024</v>
      </c>
      <c r="D723" s="2">
        <f>DATE(YEAR(OrdersTable[[#This Row],[Order Date]]),MONTH(OrdersTable[[#This Row],[Order Date]]),1)</f>
        <v>45413</v>
      </c>
      <c r="E723">
        <f>MONTH(OrdersTable[[#This Row],[Order Date]])</f>
        <v>5</v>
      </c>
      <c r="F723" t="s">
        <v>2690</v>
      </c>
      <c r="G723" t="str">
        <f>IF(OrdersTable[[#This Row],[Order Date]]=_xlfn.MINIFS(Order_Date, Customer_ID, OrdersTable[[#This Row],[Customer ID]]), "New", "Repeat")</f>
        <v>Repeat</v>
      </c>
      <c r="H723" t="s">
        <v>167</v>
      </c>
      <c r="I723" t="str">
        <f>INDEX(State!B:B,MATCH(OrdersTable[[#This Row],[State]],State!A:A,0))</f>
        <v>KA</v>
      </c>
      <c r="J723" t="str">
        <f>INDEX(State!C:C,MATCH(OrdersTable[[#This Row],[State Code]],State!B:B,0))</f>
        <v>South</v>
      </c>
      <c r="K723" t="s">
        <v>190</v>
      </c>
      <c r="L723" t="s">
        <v>23</v>
      </c>
      <c r="M723" t="s">
        <v>160</v>
      </c>
      <c r="N723" t="str">
        <f>INDEX(Products!B:B,MATCH(OrdersTable[[#This Row],[Product ID]],Products!A:A,0))</f>
        <v>Niacinamide Toner</v>
      </c>
      <c r="O723" t="str">
        <f>INDEX(Products!C:C,MATCH(OrdersTable[[#This Row],[Product ID]],Products!A:A,0))</f>
        <v>Skincare</v>
      </c>
      <c r="P723">
        <v>2</v>
      </c>
      <c r="Q723" s="5">
        <v>399</v>
      </c>
      <c r="R723" s="74">
        <v>0.25</v>
      </c>
      <c r="S723" s="75">
        <f>OrdersTable[[#This Row],[Quantity]]*OrdersTable[[#This Row],[Unit Price]]</f>
        <v>798</v>
      </c>
      <c r="T723" s="5">
        <f>OrdersTable[[#This Row],[Gross Sale]]*OrdersTable[[#This Row],[Discount_Clean2]]</f>
        <v>199.5</v>
      </c>
      <c r="U723" s="5">
        <f>OrdersTable[[#This Row],[Gross Sale]]-OrdersTable[[#This Row],[Discount Amount]]</f>
        <v>598.5</v>
      </c>
      <c r="V723" s="77">
        <f>INDEX(Products!E:E,MATCH(OrdersTable[[#This Row],[Product ID]],Products!A:A,0))</f>
        <v>112</v>
      </c>
      <c r="W723" s="77">
        <f>OrdersTable[[#This Row],[Quantity]]*OrdersTable[[#This Row],[Unit Cost]]</f>
        <v>224</v>
      </c>
      <c r="X723" s="77">
        <f>'Dropdown Lists'!$I$2*(1+OrdersTable[[#This Row],[Returned]])</f>
        <v>60</v>
      </c>
      <c r="Y723" s="76">
        <f>OrdersTable[[#This Row],[Net Revenue]]-OrdersTable[[#This Row],[COGS]]-OrdersTable[[#This Row],[Shipping Cost]]</f>
        <v>314.5</v>
      </c>
      <c r="Z723" s="78">
        <f>IFERROR(OrdersTable[[#This Row],[Profit]]/OrdersTable[[#This Row],[Net Revenue]],0)</f>
        <v>0.52548036758563077</v>
      </c>
      <c r="AA723" t="s">
        <v>18</v>
      </c>
      <c r="AB723" s="79">
        <v>45442</v>
      </c>
      <c r="AC723">
        <f>OrdersTable[[#This Row],[Delivery Date]]-OrdersTable[[#This Row],[Order Date]]</f>
        <v>1</v>
      </c>
      <c r="AD723" t="str">
        <f>IF(OrdersTable[[#This Row],[Delivery Days]]&lt;=2, "Express (≤2d)", IF(OrdersTable[[#This Row],[Delivery Days]]&lt;=4, "Standard (3-4d)", "Delayed (5d+)"))</f>
        <v>Express (≤2d)</v>
      </c>
      <c r="AE723">
        <v>5</v>
      </c>
      <c r="AF723">
        <v>0</v>
      </c>
    </row>
    <row r="724" spans="1:32" ht="15" x14ac:dyDescent="0.35">
      <c r="A724" t="s">
        <v>4227</v>
      </c>
      <c r="B724" s="1">
        <v>45442</v>
      </c>
      <c r="C724">
        <f>YEAR(OrdersTable[[#This Row],[Order Date]])</f>
        <v>2024</v>
      </c>
      <c r="D724" s="2">
        <f>DATE(YEAR(OrdersTable[[#This Row],[Order Date]]),MONTH(OrdersTable[[#This Row],[Order Date]]),1)</f>
        <v>45413</v>
      </c>
      <c r="E724">
        <f>MONTH(OrdersTable[[#This Row],[Order Date]])</f>
        <v>5</v>
      </c>
      <c r="F724" t="s">
        <v>397</v>
      </c>
      <c r="G724" t="str">
        <f>IF(OrdersTable[[#This Row],[Order Date]]=_xlfn.MINIFS(Order_Date, Customer_ID, OrdersTable[[#This Row],[Customer ID]]), "New", "Repeat")</f>
        <v>New</v>
      </c>
      <c r="H724" t="s">
        <v>71</v>
      </c>
      <c r="I724" t="str">
        <f>INDEX(State!B:B,MATCH(OrdersTable[[#This Row],[State]],State!A:A,0))</f>
        <v>MH</v>
      </c>
      <c r="J724" t="str">
        <f>INDEX(State!C:C,MATCH(OrdersTable[[#This Row],[State Code]],State!B:B,0))</f>
        <v>West</v>
      </c>
      <c r="K724" t="s">
        <v>102</v>
      </c>
      <c r="L724" t="s">
        <v>23</v>
      </c>
      <c r="M724" t="s">
        <v>255</v>
      </c>
      <c r="N724" t="str">
        <f>INDEX(Products!B:B,MATCH(OrdersTable[[#This Row],[Product ID]],Products!A:A,0))</f>
        <v>Cotton Oversized T-Shirt</v>
      </c>
      <c r="O724" t="str">
        <f>INDEX(Products!C:C,MATCH(OrdersTable[[#This Row],[Product ID]],Products!A:A,0))</f>
        <v>Apparel</v>
      </c>
      <c r="P724">
        <v>1</v>
      </c>
      <c r="Q724" s="5">
        <v>799</v>
      </c>
      <c r="R724" s="74">
        <v>0</v>
      </c>
      <c r="S724" s="75">
        <f>OrdersTable[[#This Row],[Quantity]]*OrdersTable[[#This Row],[Unit Price]]</f>
        <v>799</v>
      </c>
      <c r="T724" s="5">
        <f>OrdersTable[[#This Row],[Gross Sale]]*OrdersTable[[#This Row],[Discount_Clean2]]</f>
        <v>0</v>
      </c>
      <c r="U724" s="5">
        <f>OrdersTable[[#This Row],[Gross Sale]]-OrdersTable[[#This Row],[Discount Amount]]</f>
        <v>799</v>
      </c>
      <c r="V724" s="77">
        <f>INDEX(Products!E:E,MATCH(OrdersTable[[#This Row],[Product ID]],Products!A:A,0))</f>
        <v>320</v>
      </c>
      <c r="W724" s="77">
        <f>OrdersTable[[#This Row],[Quantity]]*OrdersTable[[#This Row],[Unit Cost]]</f>
        <v>320</v>
      </c>
      <c r="X724" s="77">
        <f>'Dropdown Lists'!$I$2*(1+OrdersTable[[#This Row],[Returned]])</f>
        <v>60</v>
      </c>
      <c r="Y724" s="76">
        <f>OrdersTable[[#This Row],[Net Revenue]]-OrdersTable[[#This Row],[COGS]]-OrdersTable[[#This Row],[Shipping Cost]]</f>
        <v>419</v>
      </c>
      <c r="Z724" s="78">
        <f>IFERROR(OrdersTable[[#This Row],[Profit]]/OrdersTable[[#This Row],[Net Revenue]],0)</f>
        <v>0.52440550688360454</v>
      </c>
      <c r="AA724" t="s">
        <v>4074</v>
      </c>
      <c r="AB724" s="79">
        <v>45445</v>
      </c>
      <c r="AC724">
        <f>OrdersTable[[#This Row],[Delivery Date]]-OrdersTable[[#This Row],[Order Date]]</f>
        <v>3</v>
      </c>
      <c r="AD724" t="str">
        <f>IF(OrdersTable[[#This Row],[Delivery Days]]&lt;=2, "Express (≤2d)", IF(OrdersTable[[#This Row],[Delivery Days]]&lt;=4, "Standard (3-4d)", "Delayed (5d+)"))</f>
        <v>Standard (3-4d)</v>
      </c>
      <c r="AF724">
        <v>0</v>
      </c>
    </row>
    <row r="725" spans="1:32" ht="15" x14ac:dyDescent="0.35">
      <c r="A725" t="s">
        <v>7056</v>
      </c>
      <c r="B725" s="1">
        <v>45442</v>
      </c>
      <c r="C725">
        <f>YEAR(OrdersTable[[#This Row],[Order Date]])</f>
        <v>2024</v>
      </c>
      <c r="D725" s="2">
        <f>DATE(YEAR(OrdersTable[[#This Row],[Order Date]]),MONTH(OrdersTable[[#This Row],[Order Date]]),1)</f>
        <v>45413</v>
      </c>
      <c r="E725">
        <f>MONTH(OrdersTable[[#This Row],[Order Date]])</f>
        <v>5</v>
      </c>
      <c r="F725" t="s">
        <v>5319</v>
      </c>
      <c r="G725" t="str">
        <f>IF(OrdersTable[[#This Row],[Order Date]]=_xlfn.MINIFS(Order_Date, Customer_ID, OrdersTable[[#This Row],[Customer ID]]), "New", "Repeat")</f>
        <v>Repeat</v>
      </c>
      <c r="H725" t="s">
        <v>95</v>
      </c>
      <c r="I725" t="str">
        <f>INDEX(State!B:B,MATCH(OrdersTable[[#This Row],[State]],State!A:A,0))</f>
        <v>TG</v>
      </c>
      <c r="J725" t="str">
        <f>INDEX(State!C:C,MATCH(OrdersTable[[#This Row],[State Code]],State!B:B,0))</f>
        <v>South</v>
      </c>
      <c r="K725" t="s">
        <v>96</v>
      </c>
      <c r="L725" t="s">
        <v>39</v>
      </c>
      <c r="M725" t="s">
        <v>176</v>
      </c>
      <c r="N725" t="str">
        <f>INDEX(Products!B:B,MATCH(OrdersTable[[#This Row],[Product ID]],Products!A:A,0))</f>
        <v>Denim Jacket</v>
      </c>
      <c r="O725" t="str">
        <f>INDEX(Products!C:C,MATCH(OrdersTable[[#This Row],[Product ID]],Products!A:A,0))</f>
        <v>Apparel</v>
      </c>
      <c r="P725">
        <v>4</v>
      </c>
      <c r="Q725" s="5">
        <v>2499</v>
      </c>
      <c r="R725" s="74">
        <v>0.05</v>
      </c>
      <c r="S725" s="75">
        <f>OrdersTable[[#This Row],[Quantity]]*OrdersTable[[#This Row],[Unit Price]]</f>
        <v>9996</v>
      </c>
      <c r="T725" s="5">
        <f>OrdersTable[[#This Row],[Gross Sale]]*OrdersTable[[#This Row],[Discount_Clean2]]</f>
        <v>499.8</v>
      </c>
      <c r="U725" s="5">
        <f>OrdersTable[[#This Row],[Gross Sale]]-OrdersTable[[#This Row],[Discount Amount]]</f>
        <v>9496.2000000000007</v>
      </c>
      <c r="V725" s="77">
        <f>INDEX(Products!E:E,MATCH(OrdersTable[[#This Row],[Product ID]],Products!A:A,0))</f>
        <v>1125</v>
      </c>
      <c r="W725" s="77">
        <f>OrdersTable[[#This Row],[Quantity]]*OrdersTable[[#This Row],[Unit Cost]]</f>
        <v>4500</v>
      </c>
      <c r="X725" s="77">
        <f>'Dropdown Lists'!$I$2*(1+OrdersTable[[#This Row],[Returned]])</f>
        <v>60</v>
      </c>
      <c r="Y725" s="76">
        <f>OrdersTable[[#This Row],[Net Revenue]]-OrdersTable[[#This Row],[COGS]]-OrdersTable[[#This Row],[Shipping Cost]]</f>
        <v>4936.2000000000007</v>
      </c>
      <c r="Z725" s="78">
        <f>IFERROR(OrdersTable[[#This Row],[Profit]]/OrdersTable[[#This Row],[Net Revenue]],0)</f>
        <v>0.51980792316926772</v>
      </c>
      <c r="AA725" t="s">
        <v>18</v>
      </c>
      <c r="AB725" s="79">
        <v>45443</v>
      </c>
      <c r="AC725">
        <f>OrdersTable[[#This Row],[Delivery Date]]-OrdersTable[[#This Row],[Order Date]]</f>
        <v>1</v>
      </c>
      <c r="AD725" t="str">
        <f>IF(OrdersTable[[#This Row],[Delivery Days]]&lt;=2, "Express (≤2d)", IF(OrdersTable[[#This Row],[Delivery Days]]&lt;=4, "Standard (3-4d)", "Delayed (5d+)"))</f>
        <v>Express (≤2d)</v>
      </c>
      <c r="AF725">
        <v>0</v>
      </c>
    </row>
    <row r="726" spans="1:32" ht="15" x14ac:dyDescent="0.35">
      <c r="A726" t="s">
        <v>3726</v>
      </c>
      <c r="B726" s="1">
        <v>45443</v>
      </c>
      <c r="C726">
        <f>YEAR(OrdersTable[[#This Row],[Order Date]])</f>
        <v>2024</v>
      </c>
      <c r="D726" s="2">
        <f>DATE(YEAR(OrdersTable[[#This Row],[Order Date]]),MONTH(OrdersTable[[#This Row],[Order Date]]),1)</f>
        <v>45413</v>
      </c>
      <c r="E726">
        <f>MONTH(OrdersTable[[#This Row],[Order Date]])</f>
        <v>5</v>
      </c>
      <c r="F726" t="s">
        <v>1521</v>
      </c>
      <c r="G726" t="str">
        <f>IF(OrdersTable[[#This Row],[Order Date]]=_xlfn.MINIFS(Order_Date, Customer_ID, OrdersTable[[#This Row],[Customer ID]]), "New", "Repeat")</f>
        <v>New</v>
      </c>
      <c r="H726" t="s">
        <v>210</v>
      </c>
      <c r="I726" t="str">
        <f>INDEX(State!B:B,MATCH(OrdersTable[[#This Row],[State]],State!A:A,0))</f>
        <v>JK</v>
      </c>
      <c r="J726" t="str">
        <f>INDEX(State!C:C,MATCH(OrdersTable[[#This Row],[State Code]],State!B:B,0))</f>
        <v>North</v>
      </c>
      <c r="K726" t="s">
        <v>415</v>
      </c>
      <c r="L726" t="s">
        <v>39</v>
      </c>
      <c r="M726" t="s">
        <v>40</v>
      </c>
      <c r="N726" t="str">
        <f>INDEX(Products!B:B,MATCH(OrdersTable[[#This Row],[Product ID]],Products!A:A,0))</f>
        <v>Ashwagandha Capsules</v>
      </c>
      <c r="O726" t="str">
        <f>INDEX(Products!C:C,MATCH(OrdersTable[[#This Row],[Product ID]],Products!A:A,0))</f>
        <v>Wellness</v>
      </c>
      <c r="P726">
        <v>1</v>
      </c>
      <c r="Q726" s="5">
        <v>499</v>
      </c>
      <c r="R726" s="74">
        <v>0.05</v>
      </c>
      <c r="S726" s="75">
        <f>OrdersTable[[#This Row],[Quantity]]*OrdersTable[[#This Row],[Unit Price]]</f>
        <v>499</v>
      </c>
      <c r="T726" s="5">
        <f>OrdersTable[[#This Row],[Gross Sale]]*OrdersTable[[#This Row],[Discount_Clean2]]</f>
        <v>24.950000000000003</v>
      </c>
      <c r="U726" s="5">
        <f>OrdersTable[[#This Row],[Gross Sale]]-OrdersTable[[#This Row],[Discount Amount]]</f>
        <v>474.05</v>
      </c>
      <c r="V726" s="77">
        <f>INDEX(Products!E:E,MATCH(OrdersTable[[#This Row],[Product ID]],Products!A:A,0))</f>
        <v>150</v>
      </c>
      <c r="W726" s="77">
        <f>OrdersTable[[#This Row],[Quantity]]*OrdersTable[[#This Row],[Unit Cost]]</f>
        <v>150</v>
      </c>
      <c r="X726" s="77">
        <f>'Dropdown Lists'!$I$2*(1+OrdersTable[[#This Row],[Returned]])</f>
        <v>60</v>
      </c>
      <c r="Y726" s="76">
        <f>OrdersTable[[#This Row],[Net Revenue]]-OrdersTable[[#This Row],[COGS]]-OrdersTable[[#This Row],[Shipping Cost]]</f>
        <v>264.05</v>
      </c>
      <c r="Z726" s="78">
        <f>IFERROR(OrdersTable[[#This Row],[Profit]]/OrdersTable[[#This Row],[Net Revenue]],0)</f>
        <v>0.55700875435080688</v>
      </c>
      <c r="AA726" t="s">
        <v>3495</v>
      </c>
      <c r="AB726" s="79">
        <v>45450</v>
      </c>
      <c r="AC726">
        <f>OrdersTable[[#This Row],[Delivery Date]]-OrdersTable[[#This Row],[Order Date]]</f>
        <v>7</v>
      </c>
      <c r="AD726" t="str">
        <f>IF(OrdersTable[[#This Row],[Delivery Days]]&lt;=2, "Express (≤2d)", IF(OrdersTable[[#This Row],[Delivery Days]]&lt;=4, "Standard (3-4d)", "Delayed (5d+)"))</f>
        <v>Delayed (5d+)</v>
      </c>
      <c r="AF726">
        <v>0</v>
      </c>
    </row>
    <row r="727" spans="1:32" ht="15" x14ac:dyDescent="0.35">
      <c r="A727" t="s">
        <v>472</v>
      </c>
      <c r="B727" s="1">
        <v>45443</v>
      </c>
      <c r="C727">
        <f>YEAR(OrdersTable[[#This Row],[Order Date]])</f>
        <v>2024</v>
      </c>
      <c r="D727" s="2">
        <f>DATE(YEAR(OrdersTable[[#This Row],[Order Date]]),MONTH(OrdersTable[[#This Row],[Order Date]]),1)</f>
        <v>45413</v>
      </c>
      <c r="E727">
        <f>MONTH(OrdersTable[[#This Row],[Order Date]])</f>
        <v>5</v>
      </c>
      <c r="F727" t="s">
        <v>473</v>
      </c>
      <c r="G727" t="str">
        <f>IF(OrdersTable[[#This Row],[Order Date]]=_xlfn.MINIFS(Order_Date, Customer_ID, OrdersTable[[#This Row],[Customer ID]]), "New", "Repeat")</f>
        <v>New</v>
      </c>
      <c r="H727" t="s">
        <v>54</v>
      </c>
      <c r="I727" t="str">
        <f>INDEX(State!B:B,MATCH(OrdersTable[[#This Row],[State]],State!A:A,0))</f>
        <v>RJ</v>
      </c>
      <c r="J727" t="str">
        <f>INDEX(State!C:C,MATCH(OrdersTable[[#This Row],[State Code]],State!B:B,0))</f>
        <v>North</v>
      </c>
      <c r="K727" t="s">
        <v>55</v>
      </c>
      <c r="L727" t="s">
        <v>23</v>
      </c>
      <c r="M727" t="s">
        <v>84</v>
      </c>
      <c r="N727" t="str">
        <f>INDEX(Products!B:B,MATCH(OrdersTable[[#This Row],[Product ID]],Products!A:A,0))</f>
        <v>Cotton Bedsheet</v>
      </c>
      <c r="O727" t="str">
        <f>INDEX(Products!C:C,MATCH(OrdersTable[[#This Row],[Product ID]],Products!A:A,0))</f>
        <v>Home &amp; Kitchen</v>
      </c>
      <c r="P727">
        <v>1</v>
      </c>
      <c r="Q727" s="5">
        <v>1299</v>
      </c>
      <c r="R727" s="74">
        <v>0.1</v>
      </c>
      <c r="S727" s="75">
        <f>OrdersTable[[#This Row],[Quantity]]*OrdersTable[[#This Row],[Unit Price]]</f>
        <v>1299</v>
      </c>
      <c r="T727" s="5">
        <f>OrdersTable[[#This Row],[Gross Sale]]*OrdersTable[[#This Row],[Discount_Clean2]]</f>
        <v>129.9</v>
      </c>
      <c r="U727" s="5">
        <f>OrdersTable[[#This Row],[Gross Sale]]-OrdersTable[[#This Row],[Discount Amount]]</f>
        <v>1169.0999999999999</v>
      </c>
      <c r="V727" s="77">
        <f>INDEX(Products!E:E,MATCH(OrdersTable[[#This Row],[Product ID]],Products!A:A,0))</f>
        <v>585</v>
      </c>
      <c r="W727" s="77">
        <f>OrdersTable[[#This Row],[Quantity]]*OrdersTable[[#This Row],[Unit Cost]]</f>
        <v>585</v>
      </c>
      <c r="X727" s="77">
        <f>'Dropdown Lists'!$I$2*(1+OrdersTable[[#This Row],[Returned]])</f>
        <v>60</v>
      </c>
      <c r="Y727" s="76">
        <f>OrdersTable[[#This Row],[Net Revenue]]-OrdersTable[[#This Row],[COGS]]-OrdersTable[[#This Row],[Shipping Cost]]</f>
        <v>524.09999999999991</v>
      </c>
      <c r="Z727" s="78">
        <f>IFERROR(OrdersTable[[#This Row],[Profit]]/OrdersTable[[#This Row],[Net Revenue]],0)</f>
        <v>0.44829355914806257</v>
      </c>
      <c r="AA727" t="s">
        <v>18</v>
      </c>
      <c r="AB727" s="79">
        <v>45446</v>
      </c>
      <c r="AC727">
        <f>OrdersTable[[#This Row],[Delivery Date]]-OrdersTable[[#This Row],[Order Date]]</f>
        <v>3</v>
      </c>
      <c r="AD727" t="str">
        <f>IF(OrdersTable[[#This Row],[Delivery Days]]&lt;=2, "Express (≤2d)", IF(OrdersTable[[#This Row],[Delivery Days]]&lt;=4, "Standard (3-4d)", "Delayed (5d+)"))</f>
        <v>Standard (3-4d)</v>
      </c>
      <c r="AE727">
        <v>4</v>
      </c>
      <c r="AF727">
        <v>0</v>
      </c>
    </row>
    <row r="728" spans="1:32" ht="15" x14ac:dyDescent="0.35">
      <c r="A728" t="s">
        <v>5323</v>
      </c>
      <c r="B728" s="1">
        <v>45443</v>
      </c>
      <c r="C728">
        <f>YEAR(OrdersTable[[#This Row],[Order Date]])</f>
        <v>2024</v>
      </c>
      <c r="D728" s="2">
        <f>DATE(YEAR(OrdersTable[[#This Row],[Order Date]]),MONTH(OrdersTable[[#This Row],[Order Date]]),1)</f>
        <v>45413</v>
      </c>
      <c r="E728">
        <f>MONTH(OrdersTable[[#This Row],[Order Date]])</f>
        <v>5</v>
      </c>
      <c r="F728" t="s">
        <v>5324</v>
      </c>
      <c r="G728" t="str">
        <f>IF(OrdersTable[[#This Row],[Order Date]]=_xlfn.MINIFS(Order_Date, Customer_ID, OrdersTable[[#This Row],[Customer ID]]), "New", "Repeat")</f>
        <v>New</v>
      </c>
      <c r="H728" t="s">
        <v>54</v>
      </c>
      <c r="I728" t="str">
        <f>INDEX(State!B:B,MATCH(OrdersTable[[#This Row],[State]],State!A:A,0))</f>
        <v>RJ</v>
      </c>
      <c r="J728" t="str">
        <f>INDEX(State!C:C,MATCH(OrdersTable[[#This Row],[State Code]],State!B:B,0))</f>
        <v>North</v>
      </c>
      <c r="K728" t="s">
        <v>55</v>
      </c>
      <c r="L728" t="s">
        <v>23</v>
      </c>
      <c r="M728" t="s">
        <v>565</v>
      </c>
      <c r="N728" t="str">
        <f>INDEX(Products!B:B,MATCH(OrdersTable[[#This Row],[Product ID]],Products!A:A,0))</f>
        <v>Ceramic Dinner Set</v>
      </c>
      <c r="O728" t="str">
        <f>INDEX(Products!C:C,MATCH(OrdersTable[[#This Row],[Product ID]],Products!A:A,0))</f>
        <v>Home &amp; Kitchen</v>
      </c>
      <c r="P728">
        <v>2</v>
      </c>
      <c r="Q728" s="5">
        <v>2499</v>
      </c>
      <c r="R728" s="74">
        <v>0.3</v>
      </c>
      <c r="S728" s="75">
        <f>OrdersTable[[#This Row],[Quantity]]*OrdersTable[[#This Row],[Unit Price]]</f>
        <v>4998</v>
      </c>
      <c r="T728" s="5">
        <f>OrdersTable[[#This Row],[Gross Sale]]*OrdersTable[[#This Row],[Discount_Clean2]]</f>
        <v>1499.3999999999999</v>
      </c>
      <c r="U728" s="5">
        <f>OrdersTable[[#This Row],[Gross Sale]]-OrdersTable[[#This Row],[Discount Amount]]</f>
        <v>3498.6000000000004</v>
      </c>
      <c r="V728" s="77">
        <f>INDEX(Products!E:E,MATCH(OrdersTable[[#This Row],[Product ID]],Products!A:A,0))</f>
        <v>1250</v>
      </c>
      <c r="W728" s="77">
        <f>OrdersTable[[#This Row],[Quantity]]*OrdersTable[[#This Row],[Unit Cost]]</f>
        <v>2500</v>
      </c>
      <c r="X728" s="77">
        <f>'Dropdown Lists'!$I$2*(1+OrdersTable[[#This Row],[Returned]])</f>
        <v>60</v>
      </c>
      <c r="Y728" s="76">
        <f>OrdersTable[[#This Row],[Net Revenue]]-OrdersTable[[#This Row],[COGS]]-OrdersTable[[#This Row],[Shipping Cost]]</f>
        <v>938.60000000000036</v>
      </c>
      <c r="Z728" s="78">
        <f>IFERROR(OrdersTable[[#This Row],[Profit]]/OrdersTable[[#This Row],[Net Revenue]],0)</f>
        <v>0.26827874006745561</v>
      </c>
      <c r="AA728" t="s">
        <v>2522</v>
      </c>
      <c r="AB728" s="79">
        <v>45445</v>
      </c>
      <c r="AC728">
        <f>OrdersTable[[#This Row],[Delivery Date]]-OrdersTable[[#This Row],[Order Date]]</f>
        <v>2</v>
      </c>
      <c r="AD728" t="str">
        <f>IF(OrdersTable[[#This Row],[Delivery Days]]&lt;=2, "Express (≤2d)", IF(OrdersTable[[#This Row],[Delivery Days]]&lt;=4, "Standard (3-4d)", "Delayed (5d+)"))</f>
        <v>Express (≤2d)</v>
      </c>
      <c r="AF728">
        <v>0</v>
      </c>
    </row>
    <row r="729" spans="1:32" ht="15" x14ac:dyDescent="0.35">
      <c r="A729" t="s">
        <v>5090</v>
      </c>
      <c r="B729" s="1">
        <v>45443</v>
      </c>
      <c r="C729">
        <f>YEAR(OrdersTable[[#This Row],[Order Date]])</f>
        <v>2024</v>
      </c>
      <c r="D729" s="2">
        <f>DATE(YEAR(OrdersTable[[#This Row],[Order Date]]),MONTH(OrdersTable[[#This Row],[Order Date]]),1)</f>
        <v>45413</v>
      </c>
      <c r="E729">
        <f>MONTH(OrdersTable[[#This Row],[Order Date]])</f>
        <v>5</v>
      </c>
      <c r="F729" t="s">
        <v>4056</v>
      </c>
      <c r="G729" t="str">
        <f>IF(OrdersTable[[#This Row],[Order Date]]=_xlfn.MINIFS(Order_Date, Customer_ID, OrdersTable[[#This Row],[Customer ID]]), "New", "Repeat")</f>
        <v>New</v>
      </c>
      <c r="H729" t="s">
        <v>482</v>
      </c>
      <c r="I729" t="str">
        <f>INDEX(State!B:B,MATCH(OrdersTable[[#This Row],[State]],State!A:A,0))</f>
        <v>CG</v>
      </c>
      <c r="J729" t="str">
        <f>INDEX(State!C:C,MATCH(OrdersTable[[#This Row],[State Code]],State!B:B,0))</f>
        <v>East</v>
      </c>
      <c r="K729" t="s">
        <v>483</v>
      </c>
      <c r="L729" t="s">
        <v>65</v>
      </c>
      <c r="M729" t="s">
        <v>152</v>
      </c>
      <c r="N729" t="str">
        <f>INDEX(Products!B:B,MATCH(OrdersTable[[#This Row],[Product ID]],Products!A:A,0))</f>
        <v>Green Tea (100 bags)</v>
      </c>
      <c r="O729" t="str">
        <f>INDEX(Products!C:C,MATCH(OrdersTable[[#This Row],[Product ID]],Products!A:A,0))</f>
        <v>Wellness</v>
      </c>
      <c r="P729">
        <v>2</v>
      </c>
      <c r="Q729" s="5">
        <v>399</v>
      </c>
      <c r="R729" s="74">
        <v>0.3</v>
      </c>
      <c r="S729" s="75">
        <f>OrdersTable[[#This Row],[Quantity]]*OrdersTable[[#This Row],[Unit Price]]</f>
        <v>798</v>
      </c>
      <c r="T729" s="5">
        <f>OrdersTable[[#This Row],[Gross Sale]]*OrdersTable[[#This Row],[Discount_Clean2]]</f>
        <v>239.39999999999998</v>
      </c>
      <c r="U729" s="5">
        <f>OrdersTable[[#This Row],[Gross Sale]]-OrdersTable[[#This Row],[Discount Amount]]</f>
        <v>558.6</v>
      </c>
      <c r="V729" s="77">
        <f>INDEX(Products!E:E,MATCH(OrdersTable[[#This Row],[Product ID]],Products!A:A,0))</f>
        <v>128</v>
      </c>
      <c r="W729" s="77">
        <f>OrdersTable[[#This Row],[Quantity]]*OrdersTable[[#This Row],[Unit Cost]]</f>
        <v>256</v>
      </c>
      <c r="X729" s="77">
        <f>'Dropdown Lists'!$I$2*(1+OrdersTable[[#This Row],[Returned]])</f>
        <v>120</v>
      </c>
      <c r="Y729" s="76">
        <f>OrdersTable[[#This Row],[Net Revenue]]-OrdersTable[[#This Row],[COGS]]-OrdersTable[[#This Row],[Shipping Cost]]</f>
        <v>182.60000000000002</v>
      </c>
      <c r="Z729" s="78">
        <f>IFERROR(OrdersTable[[#This Row],[Profit]]/OrdersTable[[#This Row],[Net Revenue]],0)</f>
        <v>0.32688865019692093</v>
      </c>
      <c r="AA729" t="s">
        <v>3495</v>
      </c>
      <c r="AB729" s="79">
        <v>45448</v>
      </c>
      <c r="AC729">
        <f>OrdersTable[[#This Row],[Delivery Date]]-OrdersTable[[#This Row],[Order Date]]</f>
        <v>5</v>
      </c>
      <c r="AD729" t="str">
        <f>IF(OrdersTable[[#This Row],[Delivery Days]]&lt;=2, "Express (≤2d)", IF(OrdersTable[[#This Row],[Delivery Days]]&lt;=4, "Standard (3-4d)", "Delayed (5d+)"))</f>
        <v>Delayed (5d+)</v>
      </c>
      <c r="AE729">
        <v>3</v>
      </c>
      <c r="AF729">
        <v>1</v>
      </c>
    </row>
    <row r="730" spans="1:32" ht="15" x14ac:dyDescent="0.35">
      <c r="A730" t="s">
        <v>3727</v>
      </c>
      <c r="B730" s="1">
        <v>45443</v>
      </c>
      <c r="C730">
        <f>YEAR(OrdersTable[[#This Row],[Order Date]])</f>
        <v>2024</v>
      </c>
      <c r="D730" s="2">
        <f>DATE(YEAR(OrdersTable[[#This Row],[Order Date]]),MONTH(OrdersTable[[#This Row],[Order Date]]),1)</f>
        <v>45413</v>
      </c>
      <c r="E730">
        <f>MONTH(OrdersTable[[#This Row],[Order Date]])</f>
        <v>5</v>
      </c>
      <c r="F730" t="s">
        <v>1764</v>
      </c>
      <c r="G730" t="str">
        <f>IF(OrdersTable[[#This Row],[Order Date]]=_xlfn.MINIFS(Order_Date, Customer_ID, OrdersTable[[#This Row],[Customer ID]]), "New", "Repeat")</f>
        <v>New</v>
      </c>
      <c r="H730" t="s">
        <v>27</v>
      </c>
      <c r="I730" t="str">
        <f>INDEX(State!B:B,MATCH(OrdersTable[[#This Row],[State]],State!A:A,0))</f>
        <v>WB</v>
      </c>
      <c r="J730" t="str">
        <f>INDEX(State!C:C,MATCH(OrdersTable[[#This Row],[State Code]],State!B:B,0))</f>
        <v>East</v>
      </c>
      <c r="K730" t="s">
        <v>28</v>
      </c>
      <c r="L730" t="s">
        <v>65</v>
      </c>
      <c r="M730" t="s">
        <v>56</v>
      </c>
      <c r="N730" t="str">
        <f>INDEX(Products!B:B,MATCH(OrdersTable[[#This Row],[Product ID]],Products!A:A,0))</f>
        <v>Vitamin C Face Serum</v>
      </c>
      <c r="O730" t="str">
        <f>INDEX(Products!C:C,MATCH(OrdersTable[[#This Row],[Product ID]],Products!A:A,0))</f>
        <v>Skincare</v>
      </c>
      <c r="P730">
        <v>1</v>
      </c>
      <c r="Q730" s="5">
        <v>599</v>
      </c>
      <c r="R730" s="74">
        <v>0.25</v>
      </c>
      <c r="S730" s="75">
        <f>OrdersTable[[#This Row],[Quantity]]*OrdersTable[[#This Row],[Unit Price]]</f>
        <v>599</v>
      </c>
      <c r="T730" s="5">
        <f>OrdersTable[[#This Row],[Gross Sale]]*OrdersTable[[#This Row],[Discount_Clean2]]</f>
        <v>149.75</v>
      </c>
      <c r="U730" s="5">
        <f>OrdersTable[[#This Row],[Gross Sale]]-OrdersTable[[#This Row],[Discount Amount]]</f>
        <v>449.25</v>
      </c>
      <c r="V730" s="77">
        <f>INDEX(Products!E:E,MATCH(OrdersTable[[#This Row],[Product ID]],Products!A:A,0))</f>
        <v>180</v>
      </c>
      <c r="W730" s="77">
        <f>OrdersTable[[#This Row],[Quantity]]*OrdersTable[[#This Row],[Unit Cost]]</f>
        <v>180</v>
      </c>
      <c r="X730" s="77">
        <f>'Dropdown Lists'!$I$2*(1+OrdersTable[[#This Row],[Returned]])</f>
        <v>60</v>
      </c>
      <c r="Y730" s="76">
        <f>OrdersTable[[#This Row],[Net Revenue]]-OrdersTable[[#This Row],[COGS]]-OrdersTable[[#This Row],[Shipping Cost]]</f>
        <v>209.25</v>
      </c>
      <c r="Z730" s="78">
        <f>IFERROR(OrdersTable[[#This Row],[Profit]]/OrdersTable[[#This Row],[Net Revenue]],0)</f>
        <v>0.46577629382303842</v>
      </c>
      <c r="AA730" t="s">
        <v>3495</v>
      </c>
      <c r="AB730" s="79">
        <v>45448</v>
      </c>
      <c r="AC730">
        <f>OrdersTable[[#This Row],[Delivery Date]]-OrdersTable[[#This Row],[Order Date]]</f>
        <v>5</v>
      </c>
      <c r="AD730" t="str">
        <f>IF(OrdersTable[[#This Row],[Delivery Days]]&lt;=2, "Express (≤2d)", IF(OrdersTable[[#This Row],[Delivery Days]]&lt;=4, "Standard (3-4d)", "Delayed (5d+)"))</f>
        <v>Delayed (5d+)</v>
      </c>
      <c r="AF730">
        <v>0</v>
      </c>
    </row>
    <row r="731" spans="1:32" ht="15" x14ac:dyDescent="0.35">
      <c r="A731" t="s">
        <v>474</v>
      </c>
      <c r="B731" s="1">
        <v>45443</v>
      </c>
      <c r="C731">
        <f>YEAR(OrdersTable[[#This Row],[Order Date]])</f>
        <v>2024</v>
      </c>
      <c r="D731" s="2">
        <f>DATE(YEAR(OrdersTable[[#This Row],[Order Date]]),MONTH(OrdersTable[[#This Row],[Order Date]]),1)</f>
        <v>45413</v>
      </c>
      <c r="E731">
        <f>MONTH(OrdersTable[[#This Row],[Order Date]])</f>
        <v>5</v>
      </c>
      <c r="F731" t="s">
        <v>475</v>
      </c>
      <c r="G731" t="str">
        <f>IF(OrdersTable[[#This Row],[Order Date]]=_xlfn.MINIFS(Order_Date, Customer_ID, OrdersTable[[#This Row],[Customer ID]]), "New", "Repeat")</f>
        <v>New</v>
      </c>
      <c r="H731" t="s">
        <v>167</v>
      </c>
      <c r="I731" t="str">
        <f>INDEX(State!B:B,MATCH(OrdersTable[[#This Row],[State]],State!A:A,0))</f>
        <v>KA</v>
      </c>
      <c r="J731" t="str">
        <f>INDEX(State!C:C,MATCH(OrdersTable[[#This Row],[State Code]],State!B:B,0))</f>
        <v>South</v>
      </c>
      <c r="K731" t="s">
        <v>168</v>
      </c>
      <c r="L731" t="s">
        <v>39</v>
      </c>
      <c r="M731" t="s">
        <v>24</v>
      </c>
      <c r="N731" t="str">
        <f>INDEX(Products!B:B,MATCH(OrdersTable[[#This Row],[Product ID]],Products!A:A,0))</f>
        <v>Scented Candle Set</v>
      </c>
      <c r="O731" t="str">
        <f>INDEX(Products!C:C,MATCH(OrdersTable[[#This Row],[Product ID]],Products!A:A,0))</f>
        <v>Home &amp; Kitchen</v>
      </c>
      <c r="P731">
        <v>1</v>
      </c>
      <c r="Q731" s="5">
        <v>699</v>
      </c>
      <c r="R731" s="74">
        <v>0.15</v>
      </c>
      <c r="S731" s="75">
        <f>OrdersTable[[#This Row],[Quantity]]*OrdersTable[[#This Row],[Unit Price]]</f>
        <v>699</v>
      </c>
      <c r="T731" s="5">
        <f>OrdersTable[[#This Row],[Gross Sale]]*OrdersTable[[#This Row],[Discount_Clean2]]</f>
        <v>104.85</v>
      </c>
      <c r="U731" s="5">
        <f>OrdersTable[[#This Row],[Gross Sale]]-OrdersTable[[#This Row],[Discount Amount]]</f>
        <v>594.15</v>
      </c>
      <c r="V731" s="77">
        <f>INDEX(Products!E:E,MATCH(OrdersTable[[#This Row],[Product ID]],Products!A:A,0))</f>
        <v>245</v>
      </c>
      <c r="W731" s="77">
        <f>OrdersTable[[#This Row],[Quantity]]*OrdersTable[[#This Row],[Unit Cost]]</f>
        <v>245</v>
      </c>
      <c r="X731" s="77">
        <f>'Dropdown Lists'!$I$2*(1+OrdersTable[[#This Row],[Returned]])</f>
        <v>60</v>
      </c>
      <c r="Y731" s="76">
        <f>OrdersTable[[#This Row],[Net Revenue]]-OrdersTable[[#This Row],[COGS]]-OrdersTable[[#This Row],[Shipping Cost]]</f>
        <v>289.14999999999998</v>
      </c>
      <c r="Z731" s="78">
        <f>IFERROR(OrdersTable[[#This Row],[Profit]]/OrdersTable[[#This Row],[Net Revenue]],0)</f>
        <v>0.48666161743667424</v>
      </c>
      <c r="AA731" t="s">
        <v>18</v>
      </c>
      <c r="AB731" s="79">
        <v>45446</v>
      </c>
      <c r="AC731">
        <f>OrdersTable[[#This Row],[Delivery Date]]-OrdersTable[[#This Row],[Order Date]]</f>
        <v>3</v>
      </c>
      <c r="AD731" t="str">
        <f>IF(OrdersTable[[#This Row],[Delivery Days]]&lt;=2, "Express (≤2d)", IF(OrdersTable[[#This Row],[Delivery Days]]&lt;=4, "Standard (3-4d)", "Delayed (5d+)"))</f>
        <v>Standard (3-4d)</v>
      </c>
      <c r="AE731">
        <v>4</v>
      </c>
      <c r="AF731">
        <v>0</v>
      </c>
    </row>
    <row r="732" spans="1:32" ht="15" x14ac:dyDescent="0.35">
      <c r="A732" t="s">
        <v>476</v>
      </c>
      <c r="B732" s="1">
        <v>45444</v>
      </c>
      <c r="C732">
        <f>YEAR(OrdersTable[[#This Row],[Order Date]])</f>
        <v>2024</v>
      </c>
      <c r="D732" s="2">
        <f>DATE(YEAR(OrdersTable[[#This Row],[Order Date]]),MONTH(OrdersTable[[#This Row],[Order Date]]),1)</f>
        <v>45444</v>
      </c>
      <c r="E732">
        <f>MONTH(OrdersTable[[#This Row],[Order Date]])</f>
        <v>6</v>
      </c>
      <c r="F732" t="s">
        <v>477</v>
      </c>
      <c r="G732" t="str">
        <f>IF(OrdersTable[[#This Row],[Order Date]]=_xlfn.MINIFS(Order_Date, Customer_ID, OrdersTable[[#This Row],[Customer ID]]), "New", "Repeat")</f>
        <v>New</v>
      </c>
      <c r="H732" t="s">
        <v>210</v>
      </c>
      <c r="I732" t="str">
        <f>INDEX(State!B:B,MATCH(OrdersTable[[#This Row],[State]],State!A:A,0))</f>
        <v>JK</v>
      </c>
      <c r="J732" t="str">
        <f>INDEX(State!C:C,MATCH(OrdersTable[[#This Row],[State Code]],State!B:B,0))</f>
        <v>North</v>
      </c>
      <c r="K732" t="s">
        <v>415</v>
      </c>
      <c r="L732" t="s">
        <v>23</v>
      </c>
      <c r="M732" t="s">
        <v>17</v>
      </c>
      <c r="N732" t="str">
        <f>INDEX(Products!B:B,MATCH(OrdersTable[[#This Row],[Product ID]],Products!A:A,0))</f>
        <v>Casual Sneakers</v>
      </c>
      <c r="O732" t="str">
        <f>INDEX(Products!C:C,MATCH(OrdersTable[[#This Row],[Product ID]],Products!A:A,0))</f>
        <v>Footwear</v>
      </c>
      <c r="P732">
        <v>1</v>
      </c>
      <c r="Q732" s="5">
        <v>2199</v>
      </c>
      <c r="R732" s="74">
        <v>0.2</v>
      </c>
      <c r="S732" s="75">
        <f>OrdersTable[[#This Row],[Quantity]]*OrdersTable[[#This Row],[Unit Price]]</f>
        <v>2199</v>
      </c>
      <c r="T732" s="5">
        <f>OrdersTable[[#This Row],[Gross Sale]]*OrdersTable[[#This Row],[Discount_Clean2]]</f>
        <v>439.8</v>
      </c>
      <c r="U732" s="5">
        <f>OrdersTable[[#This Row],[Gross Sale]]-OrdersTable[[#This Row],[Discount Amount]]</f>
        <v>1759.2</v>
      </c>
      <c r="V732" s="77">
        <f>INDEX(Products!E:E,MATCH(OrdersTable[[#This Row],[Product ID]],Products!A:A,0))</f>
        <v>1034</v>
      </c>
      <c r="W732" s="77">
        <f>OrdersTable[[#This Row],[Quantity]]*OrdersTable[[#This Row],[Unit Cost]]</f>
        <v>1034</v>
      </c>
      <c r="X732" s="77">
        <f>'Dropdown Lists'!$I$2*(1+OrdersTable[[#This Row],[Returned]])</f>
        <v>60</v>
      </c>
      <c r="Y732" s="76">
        <f>OrdersTable[[#This Row],[Net Revenue]]-OrdersTable[[#This Row],[COGS]]-OrdersTable[[#This Row],[Shipping Cost]]</f>
        <v>665.2</v>
      </c>
      <c r="Z732" s="78">
        <f>IFERROR(OrdersTable[[#This Row],[Profit]]/OrdersTable[[#This Row],[Net Revenue]],0)</f>
        <v>0.37812642110050027</v>
      </c>
      <c r="AA732" t="s">
        <v>18</v>
      </c>
      <c r="AB732" s="79">
        <v>45450</v>
      </c>
      <c r="AC732">
        <f>OrdersTable[[#This Row],[Delivery Date]]-OrdersTable[[#This Row],[Order Date]]</f>
        <v>6</v>
      </c>
      <c r="AD732" t="str">
        <f>IF(OrdersTable[[#This Row],[Delivery Days]]&lt;=2, "Express (≤2d)", IF(OrdersTable[[#This Row],[Delivery Days]]&lt;=4, "Standard (3-4d)", "Delayed (5d+)"))</f>
        <v>Delayed (5d+)</v>
      </c>
      <c r="AE732">
        <v>4</v>
      </c>
      <c r="AF732">
        <v>0</v>
      </c>
    </row>
    <row r="733" spans="1:32" ht="15" x14ac:dyDescent="0.35">
      <c r="A733" t="s">
        <v>478</v>
      </c>
      <c r="B733" s="1">
        <v>45444</v>
      </c>
      <c r="C733">
        <f>YEAR(OrdersTable[[#This Row],[Order Date]])</f>
        <v>2024</v>
      </c>
      <c r="D733" s="2">
        <f>DATE(YEAR(OrdersTable[[#This Row],[Order Date]]),MONTH(OrdersTable[[#This Row],[Order Date]]),1)</f>
        <v>45444</v>
      </c>
      <c r="E733">
        <f>MONTH(OrdersTable[[#This Row],[Order Date]])</f>
        <v>6</v>
      </c>
      <c r="F733" t="s">
        <v>479</v>
      </c>
      <c r="G733" t="str">
        <f>IF(OrdersTable[[#This Row],[Order Date]]=_xlfn.MINIFS(Order_Date, Customer_ID, OrdersTable[[#This Row],[Customer ID]]), "New", "Repeat")</f>
        <v>Repeat</v>
      </c>
      <c r="H733" t="s">
        <v>21</v>
      </c>
      <c r="I733" t="str">
        <f>INDEX(State!B:B,MATCH(OrdersTable[[#This Row],[State]],State!A:A,0))</f>
        <v>PB</v>
      </c>
      <c r="J733" t="str">
        <f>INDEX(State!C:C,MATCH(OrdersTable[[#This Row],[State Code]],State!B:B,0))</f>
        <v>North</v>
      </c>
      <c r="K733" t="s">
        <v>260</v>
      </c>
      <c r="L733" t="s">
        <v>16</v>
      </c>
      <c r="M733" t="s">
        <v>92</v>
      </c>
      <c r="N733" t="str">
        <f>INDEX(Products!B:B,MATCH(OrdersTable[[#This Row],[Product ID]],Products!A:A,0))</f>
        <v>Kolhapuri Sandals</v>
      </c>
      <c r="O733" t="str">
        <f>INDEX(Products!C:C,MATCH(OrdersTable[[#This Row],[Product ID]],Products!A:A,0))</f>
        <v>Footwear</v>
      </c>
      <c r="P733">
        <v>1</v>
      </c>
      <c r="Q733" s="5">
        <v>999</v>
      </c>
      <c r="R733" s="74">
        <v>0.05</v>
      </c>
      <c r="S733" s="75">
        <f>OrdersTable[[#This Row],[Quantity]]*OrdersTable[[#This Row],[Unit Price]]</f>
        <v>999</v>
      </c>
      <c r="T733" s="5">
        <f>OrdersTable[[#This Row],[Gross Sale]]*OrdersTable[[#This Row],[Discount_Clean2]]</f>
        <v>49.95</v>
      </c>
      <c r="U733" s="5">
        <f>OrdersTable[[#This Row],[Gross Sale]]-OrdersTable[[#This Row],[Discount Amount]]</f>
        <v>949.05</v>
      </c>
      <c r="V733" s="77">
        <f>INDEX(Products!E:E,MATCH(OrdersTable[[#This Row],[Product ID]],Products!A:A,0))</f>
        <v>400</v>
      </c>
      <c r="W733" s="77">
        <f>OrdersTable[[#This Row],[Quantity]]*OrdersTable[[#This Row],[Unit Cost]]</f>
        <v>400</v>
      </c>
      <c r="X733" s="77">
        <f>'Dropdown Lists'!$I$2*(1+OrdersTable[[#This Row],[Returned]])</f>
        <v>60</v>
      </c>
      <c r="Y733" s="76">
        <f>OrdersTable[[#This Row],[Net Revenue]]-OrdersTable[[#This Row],[COGS]]-OrdersTable[[#This Row],[Shipping Cost]]</f>
        <v>489.04999999999995</v>
      </c>
      <c r="Z733" s="78">
        <f>IFERROR(OrdersTable[[#This Row],[Profit]]/OrdersTable[[#This Row],[Net Revenue]],0)</f>
        <v>0.5153047784626732</v>
      </c>
      <c r="AA733" t="s">
        <v>18</v>
      </c>
      <c r="AB733" s="79">
        <v>45448</v>
      </c>
      <c r="AC733">
        <f>OrdersTable[[#This Row],[Delivery Date]]-OrdersTable[[#This Row],[Order Date]]</f>
        <v>4</v>
      </c>
      <c r="AD733" t="str">
        <f>IF(OrdersTable[[#This Row],[Delivery Days]]&lt;=2, "Express (≤2d)", IF(OrdersTable[[#This Row],[Delivery Days]]&lt;=4, "Standard (3-4d)", "Delayed (5d+)"))</f>
        <v>Standard (3-4d)</v>
      </c>
      <c r="AE733">
        <v>4</v>
      </c>
      <c r="AF733">
        <v>0</v>
      </c>
    </row>
    <row r="734" spans="1:32" ht="15" x14ac:dyDescent="0.35">
      <c r="A734" t="s">
        <v>5325</v>
      </c>
      <c r="B734" s="1">
        <v>45444</v>
      </c>
      <c r="C734">
        <f>YEAR(OrdersTable[[#This Row],[Order Date]])</f>
        <v>2024</v>
      </c>
      <c r="D734" s="2">
        <f>DATE(YEAR(OrdersTable[[#This Row],[Order Date]]),MONTH(OrdersTable[[#This Row],[Order Date]]),1)</f>
        <v>45444</v>
      </c>
      <c r="E734">
        <f>MONTH(OrdersTable[[#This Row],[Order Date]])</f>
        <v>6</v>
      </c>
      <c r="F734" t="s">
        <v>5326</v>
      </c>
      <c r="G734" t="str">
        <f>IF(OrdersTable[[#This Row],[Order Date]]=_xlfn.MINIFS(Order_Date, Customer_ID, OrdersTable[[#This Row],[Customer ID]]), "New", "Repeat")</f>
        <v>New</v>
      </c>
      <c r="H734" t="s">
        <v>54</v>
      </c>
      <c r="I734" t="str">
        <f>INDEX(State!B:B,MATCH(OrdersTable[[#This Row],[State]],State!A:A,0))</f>
        <v>RJ</v>
      </c>
      <c r="J734" t="str">
        <f>INDEX(State!C:C,MATCH(OrdersTable[[#This Row],[State Code]],State!B:B,0))</f>
        <v>North</v>
      </c>
      <c r="K734" t="s">
        <v>55</v>
      </c>
      <c r="L734" t="s">
        <v>65</v>
      </c>
      <c r="M734" t="s">
        <v>179</v>
      </c>
      <c r="N734" t="str">
        <f>INDEX(Products!B:B,MATCH(OrdersTable[[#This Row],[Product ID]],Products!A:A,0))</f>
        <v>Whey Protein 1kg</v>
      </c>
      <c r="O734" t="str">
        <f>INDEX(Products!C:C,MATCH(OrdersTable[[#This Row],[Product ID]],Products!A:A,0))</f>
        <v>Wellness</v>
      </c>
      <c r="P734">
        <v>2</v>
      </c>
      <c r="Q734" s="5">
        <v>2299</v>
      </c>
      <c r="R734" s="74">
        <v>0.4</v>
      </c>
      <c r="S734" s="75">
        <f>OrdersTable[[#This Row],[Quantity]]*OrdersTable[[#This Row],[Unit Price]]</f>
        <v>4598</v>
      </c>
      <c r="T734" s="5">
        <f>OrdersTable[[#This Row],[Gross Sale]]*OrdersTable[[#This Row],[Discount_Clean2]]</f>
        <v>1839.2</v>
      </c>
      <c r="U734" s="5">
        <f>OrdersTable[[#This Row],[Gross Sale]]-OrdersTable[[#This Row],[Discount Amount]]</f>
        <v>2758.8</v>
      </c>
      <c r="V734" s="77">
        <f>INDEX(Products!E:E,MATCH(OrdersTable[[#This Row],[Product ID]],Products!A:A,0))</f>
        <v>1333</v>
      </c>
      <c r="W734" s="77">
        <f>OrdersTable[[#This Row],[Quantity]]*OrdersTable[[#This Row],[Unit Cost]]</f>
        <v>2666</v>
      </c>
      <c r="X734" s="77">
        <f>'Dropdown Lists'!$I$2*(1+OrdersTable[[#This Row],[Returned]])</f>
        <v>120</v>
      </c>
      <c r="Y734" s="76">
        <f>OrdersTable[[#This Row],[Net Revenue]]-OrdersTable[[#This Row],[COGS]]-OrdersTable[[#This Row],[Shipping Cost]]</f>
        <v>-27.199999999999818</v>
      </c>
      <c r="Z734" s="78">
        <f>IFERROR(OrdersTable[[#This Row],[Profit]]/OrdersTable[[#This Row],[Net Revenue]],0)</f>
        <v>-9.8593591416557252E-3</v>
      </c>
      <c r="AA734" t="s">
        <v>2522</v>
      </c>
      <c r="AB734" s="79">
        <v>45448</v>
      </c>
      <c r="AC734">
        <f>OrdersTable[[#This Row],[Delivery Date]]-OrdersTable[[#This Row],[Order Date]]</f>
        <v>4</v>
      </c>
      <c r="AD734" t="str">
        <f>IF(OrdersTable[[#This Row],[Delivery Days]]&lt;=2, "Express (≤2d)", IF(OrdersTable[[#This Row],[Delivery Days]]&lt;=4, "Standard (3-4d)", "Delayed (5d+)"))</f>
        <v>Standard (3-4d)</v>
      </c>
      <c r="AE734">
        <v>3</v>
      </c>
      <c r="AF734">
        <v>1</v>
      </c>
    </row>
    <row r="735" spans="1:32" ht="15" x14ac:dyDescent="0.35">
      <c r="A735" t="s">
        <v>4089</v>
      </c>
      <c r="B735" s="1">
        <v>45444</v>
      </c>
      <c r="C735">
        <f>YEAR(OrdersTable[[#This Row],[Order Date]])</f>
        <v>2024</v>
      </c>
      <c r="D735" s="2">
        <f>DATE(YEAR(OrdersTable[[#This Row],[Order Date]]),MONTH(OrdersTable[[#This Row],[Order Date]]),1)</f>
        <v>45444</v>
      </c>
      <c r="E735">
        <f>MONTH(OrdersTable[[#This Row],[Order Date]])</f>
        <v>6</v>
      </c>
      <c r="F735" t="s">
        <v>1186</v>
      </c>
      <c r="G735" t="str">
        <f>IF(OrdersTable[[#This Row],[Order Date]]=_xlfn.MINIFS(Order_Date, Customer_ID, OrdersTable[[#This Row],[Customer ID]]), "New", "Repeat")</f>
        <v>New</v>
      </c>
      <c r="H735" t="s">
        <v>48</v>
      </c>
      <c r="I735" t="str">
        <f>INDEX(State!B:B,MATCH(OrdersTable[[#This Row],[State]],State!A:A,0))</f>
        <v>HR</v>
      </c>
      <c r="J735" t="str">
        <f>INDEX(State!C:C,MATCH(OrdersTable[[#This Row],[State Code]],State!B:B,0))</f>
        <v>North</v>
      </c>
      <c r="K735" t="s">
        <v>49</v>
      </c>
      <c r="L735" t="s">
        <v>16</v>
      </c>
      <c r="M735" t="s">
        <v>17</v>
      </c>
      <c r="N735" t="str">
        <f>INDEX(Products!B:B,MATCH(OrdersTable[[#This Row],[Product ID]],Products!A:A,0))</f>
        <v>Casual Sneakers</v>
      </c>
      <c r="O735" t="str">
        <f>INDEX(Products!C:C,MATCH(OrdersTable[[#This Row],[Product ID]],Products!A:A,0))</f>
        <v>Footwear</v>
      </c>
      <c r="P735">
        <v>1</v>
      </c>
      <c r="Q735" s="5">
        <v>2199</v>
      </c>
      <c r="R735" s="74">
        <v>0.2</v>
      </c>
      <c r="S735" s="75">
        <f>OrdersTable[[#This Row],[Quantity]]*OrdersTable[[#This Row],[Unit Price]]</f>
        <v>2199</v>
      </c>
      <c r="T735" s="5">
        <f>OrdersTable[[#This Row],[Gross Sale]]*OrdersTable[[#This Row],[Discount_Clean2]]</f>
        <v>439.8</v>
      </c>
      <c r="U735" s="5">
        <f>OrdersTable[[#This Row],[Gross Sale]]-OrdersTable[[#This Row],[Discount Amount]]</f>
        <v>1759.2</v>
      </c>
      <c r="V735" s="77">
        <f>INDEX(Products!E:E,MATCH(OrdersTable[[#This Row],[Product ID]],Products!A:A,0))</f>
        <v>1034</v>
      </c>
      <c r="W735" s="77">
        <f>OrdersTable[[#This Row],[Quantity]]*OrdersTable[[#This Row],[Unit Cost]]</f>
        <v>1034</v>
      </c>
      <c r="X735" s="77">
        <f>'Dropdown Lists'!$I$2*(1+OrdersTable[[#This Row],[Returned]])</f>
        <v>60</v>
      </c>
      <c r="Y735" s="76">
        <f>OrdersTable[[#This Row],[Net Revenue]]-OrdersTable[[#This Row],[COGS]]-OrdersTable[[#This Row],[Shipping Cost]]</f>
        <v>665.2</v>
      </c>
      <c r="Z735" s="78">
        <f>IFERROR(OrdersTable[[#This Row],[Profit]]/OrdersTable[[#This Row],[Net Revenue]],0)</f>
        <v>0.37812642110050027</v>
      </c>
      <c r="AA735" t="s">
        <v>4074</v>
      </c>
      <c r="AB735" s="79">
        <v>45447</v>
      </c>
      <c r="AC735">
        <f>OrdersTable[[#This Row],[Delivery Date]]-OrdersTable[[#This Row],[Order Date]]</f>
        <v>3</v>
      </c>
      <c r="AD735" t="str">
        <f>IF(OrdersTable[[#This Row],[Delivery Days]]&lt;=2, "Express (≤2d)", IF(OrdersTable[[#This Row],[Delivery Days]]&lt;=4, "Standard (3-4d)", "Delayed (5d+)"))</f>
        <v>Standard (3-4d)</v>
      </c>
      <c r="AE735">
        <v>3</v>
      </c>
      <c r="AF735">
        <v>0</v>
      </c>
    </row>
    <row r="736" spans="1:32" ht="15" x14ac:dyDescent="0.35">
      <c r="A736" t="s">
        <v>2081</v>
      </c>
      <c r="B736" s="1">
        <v>45444</v>
      </c>
      <c r="C736">
        <f>YEAR(OrdersTable[[#This Row],[Order Date]])</f>
        <v>2024</v>
      </c>
      <c r="D736" s="2">
        <f>DATE(YEAR(OrdersTable[[#This Row],[Order Date]]),MONTH(OrdersTable[[#This Row],[Order Date]]),1)</f>
        <v>45444</v>
      </c>
      <c r="E736">
        <f>MONTH(OrdersTable[[#This Row],[Order Date]])</f>
        <v>6</v>
      </c>
      <c r="F736" t="s">
        <v>189</v>
      </c>
      <c r="G736" t="str">
        <f>IF(OrdersTable[[#This Row],[Order Date]]=_xlfn.MINIFS(Order_Date, Customer_ID, OrdersTable[[#This Row],[Customer ID]]), "New", "Repeat")</f>
        <v>New</v>
      </c>
      <c r="H736" t="s">
        <v>32</v>
      </c>
      <c r="I736" t="str">
        <f>INDEX(State!B:B,MATCH(OrdersTable[[#This Row],[State]],State!A:A,0))</f>
        <v>BR</v>
      </c>
      <c r="J736" t="str">
        <f>INDEX(State!C:C,MATCH(OrdersTable[[#This Row],[State Code]],State!B:B,0))</f>
        <v>East</v>
      </c>
      <c r="K736" t="s">
        <v>33</v>
      </c>
      <c r="L736" t="s">
        <v>65</v>
      </c>
      <c r="M736" t="s">
        <v>565</v>
      </c>
      <c r="N736" t="str">
        <f>INDEX(Products!B:B,MATCH(OrdersTable[[#This Row],[Product ID]],Products!A:A,0))</f>
        <v>Ceramic Dinner Set</v>
      </c>
      <c r="O736" t="str">
        <f>INDEX(Products!C:C,MATCH(OrdersTable[[#This Row],[Product ID]],Products!A:A,0))</f>
        <v>Home &amp; Kitchen</v>
      </c>
      <c r="P736">
        <v>1</v>
      </c>
      <c r="Q736" s="5">
        <v>2499</v>
      </c>
      <c r="R736" s="74">
        <v>0.4</v>
      </c>
      <c r="S736" s="75">
        <f>OrdersTable[[#This Row],[Quantity]]*OrdersTable[[#This Row],[Unit Price]]</f>
        <v>2499</v>
      </c>
      <c r="T736" s="5">
        <f>OrdersTable[[#This Row],[Gross Sale]]*OrdersTable[[#This Row],[Discount_Clean2]]</f>
        <v>999.6</v>
      </c>
      <c r="U736" s="5">
        <f>OrdersTable[[#This Row],[Gross Sale]]-OrdersTable[[#This Row],[Discount Amount]]</f>
        <v>1499.4</v>
      </c>
      <c r="V736" s="77">
        <f>INDEX(Products!E:E,MATCH(OrdersTable[[#This Row],[Product ID]],Products!A:A,0))</f>
        <v>1250</v>
      </c>
      <c r="W736" s="77">
        <f>OrdersTable[[#This Row],[Quantity]]*OrdersTable[[#This Row],[Unit Cost]]</f>
        <v>1250</v>
      </c>
      <c r="X736" s="77">
        <f>'Dropdown Lists'!$I$2*(1+OrdersTable[[#This Row],[Returned]])</f>
        <v>60</v>
      </c>
      <c r="Y736" s="76">
        <f>OrdersTable[[#This Row],[Net Revenue]]-OrdersTable[[#This Row],[COGS]]-OrdersTable[[#This Row],[Shipping Cost]]</f>
        <v>189.40000000000009</v>
      </c>
      <c r="Z736" s="78">
        <f>IFERROR(OrdersTable[[#This Row],[Profit]]/OrdersTable[[#This Row],[Net Revenue]],0)</f>
        <v>0.12631719354408436</v>
      </c>
      <c r="AA736" t="s">
        <v>18</v>
      </c>
      <c r="AB736" s="79">
        <v>45449</v>
      </c>
      <c r="AC736">
        <f>OrdersTable[[#This Row],[Delivery Date]]-OrdersTable[[#This Row],[Order Date]]</f>
        <v>5</v>
      </c>
      <c r="AD736" t="str">
        <f>IF(OrdersTable[[#This Row],[Delivery Days]]&lt;=2, "Express (≤2d)", IF(OrdersTable[[#This Row],[Delivery Days]]&lt;=4, "Standard (3-4d)", "Delayed (5d+)"))</f>
        <v>Delayed (5d+)</v>
      </c>
      <c r="AE736">
        <v>3</v>
      </c>
      <c r="AF736">
        <v>0</v>
      </c>
    </row>
    <row r="737" spans="1:32" ht="15" x14ac:dyDescent="0.35">
      <c r="A737" t="s">
        <v>4342</v>
      </c>
      <c r="B737" s="1">
        <v>45444</v>
      </c>
      <c r="C737">
        <f>YEAR(OrdersTable[[#This Row],[Order Date]])</f>
        <v>2024</v>
      </c>
      <c r="D737" s="2">
        <f>DATE(YEAR(OrdersTable[[#This Row],[Order Date]]),MONTH(OrdersTable[[#This Row],[Order Date]]),1)</f>
        <v>45444</v>
      </c>
      <c r="E737">
        <f>MONTH(OrdersTable[[#This Row],[Order Date]])</f>
        <v>6</v>
      </c>
      <c r="F737" t="s">
        <v>2894</v>
      </c>
      <c r="G737" t="str">
        <f>IF(OrdersTable[[#This Row],[Order Date]]=_xlfn.MINIFS(Order_Date, Customer_ID, OrdersTable[[#This Row],[Customer ID]]), "New", "Repeat")</f>
        <v>Repeat</v>
      </c>
      <c r="H737" t="s">
        <v>37</v>
      </c>
      <c r="I737" t="str">
        <f>INDEX(State!B:B,MATCH(OrdersTable[[#This Row],[State]],State!A:A,0))</f>
        <v>GJ</v>
      </c>
      <c r="J737" t="str">
        <f>INDEX(State!C:C,MATCH(OrdersTable[[#This Row],[State Code]],State!B:B,0))</f>
        <v>West</v>
      </c>
      <c r="K737" t="s">
        <v>38</v>
      </c>
      <c r="L737" t="s">
        <v>16</v>
      </c>
      <c r="M737" t="s">
        <v>34</v>
      </c>
      <c r="N737" t="str">
        <f>INDEX(Products!B:B,MATCH(OrdersTable[[#This Row],[Product ID]],Products!A:A,0))</f>
        <v>Flip Flops</v>
      </c>
      <c r="O737" t="str">
        <f>INDEX(Products!C:C,MATCH(OrdersTable[[#This Row],[Product ID]],Products!A:A,0))</f>
        <v>Footwear</v>
      </c>
      <c r="P737">
        <v>1</v>
      </c>
      <c r="Q737" s="5">
        <v>399</v>
      </c>
      <c r="R737" s="74">
        <v>0.2</v>
      </c>
      <c r="S737" s="75">
        <f>OrdersTable[[#This Row],[Quantity]]*OrdersTable[[#This Row],[Unit Price]]</f>
        <v>399</v>
      </c>
      <c r="T737" s="5">
        <f>OrdersTable[[#This Row],[Gross Sale]]*OrdersTable[[#This Row],[Discount_Clean2]]</f>
        <v>79.800000000000011</v>
      </c>
      <c r="U737" s="5">
        <f>OrdersTable[[#This Row],[Gross Sale]]-OrdersTable[[#This Row],[Discount Amount]]</f>
        <v>319.2</v>
      </c>
      <c r="V737" s="77">
        <f>INDEX(Products!E:E,MATCH(OrdersTable[[#This Row],[Product ID]],Products!A:A,0))</f>
        <v>152</v>
      </c>
      <c r="W737" s="77">
        <f>OrdersTable[[#This Row],[Quantity]]*OrdersTable[[#This Row],[Unit Cost]]</f>
        <v>152</v>
      </c>
      <c r="X737" s="77">
        <f>'Dropdown Lists'!$I$2*(1+OrdersTable[[#This Row],[Returned]])</f>
        <v>120</v>
      </c>
      <c r="Y737" s="76">
        <f>OrdersTable[[#This Row],[Net Revenue]]-OrdersTable[[#This Row],[COGS]]-OrdersTable[[#This Row],[Shipping Cost]]</f>
        <v>47.199999999999989</v>
      </c>
      <c r="Z737" s="78">
        <f>IFERROR(OrdersTable[[#This Row],[Profit]]/OrdersTable[[#This Row],[Net Revenue]],0)</f>
        <v>0.14786967418546362</v>
      </c>
      <c r="AA737" t="s">
        <v>4074</v>
      </c>
      <c r="AB737" s="79">
        <v>45445</v>
      </c>
      <c r="AC737">
        <f>OrdersTable[[#This Row],[Delivery Date]]-OrdersTable[[#This Row],[Order Date]]</f>
        <v>1</v>
      </c>
      <c r="AD737" t="str">
        <f>IF(OrdersTable[[#This Row],[Delivery Days]]&lt;=2, "Express (≤2d)", IF(OrdersTable[[#This Row],[Delivery Days]]&lt;=4, "Standard (3-4d)", "Delayed (5d+)"))</f>
        <v>Express (≤2d)</v>
      </c>
      <c r="AE737">
        <v>4</v>
      </c>
      <c r="AF737">
        <v>1</v>
      </c>
    </row>
    <row r="738" spans="1:32" ht="15" x14ac:dyDescent="0.35">
      <c r="A738" t="s">
        <v>6953</v>
      </c>
      <c r="B738" s="1">
        <v>45444</v>
      </c>
      <c r="C738">
        <f>YEAR(OrdersTable[[#This Row],[Order Date]])</f>
        <v>2024</v>
      </c>
      <c r="D738" s="2">
        <f>DATE(YEAR(OrdersTable[[#This Row],[Order Date]]),MONTH(OrdersTable[[#This Row],[Order Date]]),1)</f>
        <v>45444</v>
      </c>
      <c r="E738">
        <f>MONTH(OrdersTable[[#This Row],[Order Date]])</f>
        <v>6</v>
      </c>
      <c r="F738" t="s">
        <v>1454</v>
      </c>
      <c r="G738" t="str">
        <f>IF(OrdersTable[[#This Row],[Order Date]]=_xlfn.MINIFS(Order_Date, Customer_ID, OrdersTable[[#This Row],[Customer ID]]), "New", "Repeat")</f>
        <v>Repeat</v>
      </c>
      <c r="H738" t="s">
        <v>37</v>
      </c>
      <c r="I738" t="str">
        <f>INDEX(State!B:B,MATCH(OrdersTable[[#This Row],[State]],State!A:A,0))</f>
        <v>GJ</v>
      </c>
      <c r="J738" t="str">
        <f>INDEX(State!C:C,MATCH(OrdersTable[[#This Row],[State Code]],State!B:B,0))</f>
        <v>West</v>
      </c>
      <c r="K738" t="s">
        <v>247</v>
      </c>
      <c r="L738" t="s">
        <v>50</v>
      </c>
      <c r="M738" t="s">
        <v>56</v>
      </c>
      <c r="N738" t="str">
        <f>INDEX(Products!B:B,MATCH(OrdersTable[[#This Row],[Product ID]],Products!A:A,0))</f>
        <v>Vitamin C Face Serum</v>
      </c>
      <c r="O738" t="str">
        <f>INDEX(Products!C:C,MATCH(OrdersTable[[#This Row],[Product ID]],Products!A:A,0))</f>
        <v>Skincare</v>
      </c>
      <c r="P738">
        <v>4</v>
      </c>
      <c r="Q738" s="5">
        <v>599</v>
      </c>
      <c r="R738" s="74">
        <v>0.25</v>
      </c>
      <c r="S738" s="75">
        <f>OrdersTable[[#This Row],[Quantity]]*OrdersTable[[#This Row],[Unit Price]]</f>
        <v>2396</v>
      </c>
      <c r="T738" s="5">
        <f>OrdersTable[[#This Row],[Gross Sale]]*OrdersTable[[#This Row],[Discount_Clean2]]</f>
        <v>599</v>
      </c>
      <c r="U738" s="5">
        <f>OrdersTable[[#This Row],[Gross Sale]]-OrdersTable[[#This Row],[Discount Amount]]</f>
        <v>1797</v>
      </c>
      <c r="V738" s="77">
        <f>INDEX(Products!E:E,MATCH(OrdersTable[[#This Row],[Product ID]],Products!A:A,0))</f>
        <v>180</v>
      </c>
      <c r="W738" s="77">
        <f>OrdersTable[[#This Row],[Quantity]]*OrdersTable[[#This Row],[Unit Cost]]</f>
        <v>720</v>
      </c>
      <c r="X738" s="77">
        <f>'Dropdown Lists'!$I$2*(1+OrdersTable[[#This Row],[Returned]])</f>
        <v>60</v>
      </c>
      <c r="Y738" s="76">
        <f>OrdersTable[[#This Row],[Net Revenue]]-OrdersTable[[#This Row],[COGS]]-OrdersTable[[#This Row],[Shipping Cost]]</f>
        <v>1017</v>
      </c>
      <c r="Z738" s="78">
        <f>IFERROR(OrdersTable[[#This Row],[Profit]]/OrdersTable[[#This Row],[Net Revenue]],0)</f>
        <v>0.56594323873121866</v>
      </c>
      <c r="AA738" t="s">
        <v>2522</v>
      </c>
      <c r="AB738" s="79">
        <v>45447</v>
      </c>
      <c r="AC738">
        <f>OrdersTable[[#This Row],[Delivery Date]]-OrdersTable[[#This Row],[Order Date]]</f>
        <v>3</v>
      </c>
      <c r="AD738" t="str">
        <f>IF(OrdersTable[[#This Row],[Delivery Days]]&lt;=2, "Express (≤2d)", IF(OrdersTable[[#This Row],[Delivery Days]]&lt;=4, "Standard (3-4d)", "Delayed (5d+)"))</f>
        <v>Standard (3-4d)</v>
      </c>
      <c r="AF738">
        <v>0</v>
      </c>
    </row>
    <row r="739" spans="1:32" ht="15" x14ac:dyDescent="0.35">
      <c r="A739" t="s">
        <v>912</v>
      </c>
      <c r="B739" s="1">
        <v>45444</v>
      </c>
      <c r="C739">
        <f>YEAR(OrdersTable[[#This Row],[Order Date]])</f>
        <v>2024</v>
      </c>
      <c r="D739" s="2">
        <f>DATE(YEAR(OrdersTable[[#This Row],[Order Date]]),MONTH(OrdersTable[[#This Row],[Order Date]]),1)</f>
        <v>45444</v>
      </c>
      <c r="E739">
        <f>MONTH(OrdersTable[[#This Row],[Order Date]])</f>
        <v>6</v>
      </c>
      <c r="F739" t="s">
        <v>913</v>
      </c>
      <c r="G739" t="str">
        <f>IF(OrdersTable[[#This Row],[Order Date]]=_xlfn.MINIFS(Order_Date, Customer_ID, OrdersTable[[#This Row],[Customer ID]]), "New", "Repeat")</f>
        <v>New</v>
      </c>
      <c r="H739" t="s">
        <v>71</v>
      </c>
      <c r="I739" t="str">
        <f>INDEX(State!B:B,MATCH(OrdersTable[[#This Row],[State]],State!A:A,0))</f>
        <v>MH</v>
      </c>
      <c r="J739" t="str">
        <f>INDEX(State!C:C,MATCH(OrdersTable[[#This Row],[State Code]],State!B:B,0))</f>
        <v>West</v>
      </c>
      <c r="K739" t="s">
        <v>102</v>
      </c>
      <c r="L739" t="s">
        <v>23</v>
      </c>
      <c r="M739" t="s">
        <v>148</v>
      </c>
      <c r="N739" t="str">
        <f>INDEX(Products!B:B,MATCH(OrdersTable[[#This Row],[Product ID]],Products!A:A,0))</f>
        <v>Smartwatch Strap</v>
      </c>
      <c r="O739" t="str">
        <f>INDEX(Products!C:C,MATCH(OrdersTable[[#This Row],[Product ID]],Products!A:A,0))</f>
        <v>Electronics</v>
      </c>
      <c r="P739">
        <v>1</v>
      </c>
      <c r="Q739" s="5">
        <v>499</v>
      </c>
      <c r="R739" s="74">
        <v>0.05</v>
      </c>
      <c r="S739" s="75">
        <f>OrdersTable[[#This Row],[Quantity]]*OrdersTable[[#This Row],[Unit Price]]</f>
        <v>499</v>
      </c>
      <c r="T739" s="5">
        <f>OrdersTable[[#This Row],[Gross Sale]]*OrdersTable[[#This Row],[Discount_Clean2]]</f>
        <v>24.950000000000003</v>
      </c>
      <c r="U739" s="5">
        <f>OrdersTable[[#This Row],[Gross Sale]]-OrdersTable[[#This Row],[Discount Amount]]</f>
        <v>474.05</v>
      </c>
      <c r="V739" s="77">
        <f>INDEX(Products!E:E,MATCH(OrdersTable[[#This Row],[Product ID]],Products!A:A,0))</f>
        <v>200</v>
      </c>
      <c r="W739" s="77">
        <f>OrdersTable[[#This Row],[Quantity]]*OrdersTable[[#This Row],[Unit Cost]]</f>
        <v>200</v>
      </c>
      <c r="X739" s="77">
        <f>'Dropdown Lists'!$I$2*(1+OrdersTable[[#This Row],[Returned]])</f>
        <v>60</v>
      </c>
      <c r="Y739" s="76">
        <f>OrdersTable[[#This Row],[Net Revenue]]-OrdersTable[[#This Row],[COGS]]-OrdersTable[[#This Row],[Shipping Cost]]</f>
        <v>214.05</v>
      </c>
      <c r="Z739" s="78">
        <f>IFERROR(OrdersTable[[#This Row],[Profit]]/OrdersTable[[#This Row],[Net Revenue]],0)</f>
        <v>0.45153464824385614</v>
      </c>
      <c r="AA739" t="s">
        <v>18</v>
      </c>
      <c r="AB739" s="79">
        <v>45445</v>
      </c>
      <c r="AC739">
        <f>OrdersTable[[#This Row],[Delivery Date]]-OrdersTable[[#This Row],[Order Date]]</f>
        <v>1</v>
      </c>
      <c r="AD739" t="str">
        <f>IF(OrdersTable[[#This Row],[Delivery Days]]&lt;=2, "Express (≤2d)", IF(OrdersTable[[#This Row],[Delivery Days]]&lt;=4, "Standard (3-4d)", "Delayed (5d+)"))</f>
        <v>Express (≤2d)</v>
      </c>
      <c r="AE739">
        <v>4</v>
      </c>
      <c r="AF739">
        <v>0</v>
      </c>
    </row>
    <row r="740" spans="1:32" ht="15" x14ac:dyDescent="0.35">
      <c r="A740" t="s">
        <v>743</v>
      </c>
      <c r="B740" s="1">
        <v>45444</v>
      </c>
      <c r="C740">
        <f>YEAR(OrdersTable[[#This Row],[Order Date]])</f>
        <v>2024</v>
      </c>
      <c r="D740" s="2">
        <f>DATE(YEAR(OrdersTable[[#This Row],[Order Date]]),MONTH(OrdersTable[[#This Row],[Order Date]]),1)</f>
        <v>45444</v>
      </c>
      <c r="E740">
        <f>MONTH(OrdersTable[[#This Row],[Order Date]])</f>
        <v>6</v>
      </c>
      <c r="F740" t="s">
        <v>274</v>
      </c>
      <c r="G740" t="str">
        <f>IF(OrdersTable[[#This Row],[Order Date]]=_xlfn.MINIFS(Order_Date, Customer_ID, OrdersTable[[#This Row],[Customer ID]]), "New", "Repeat")</f>
        <v>New</v>
      </c>
      <c r="H740" t="s">
        <v>95</v>
      </c>
      <c r="I740" t="str">
        <f>INDEX(State!B:B,MATCH(OrdersTable[[#This Row],[State]],State!A:A,0))</f>
        <v>TG</v>
      </c>
      <c r="J740" t="str">
        <f>INDEX(State!C:C,MATCH(OrdersTable[[#This Row],[State Code]],State!B:B,0))</f>
        <v>South</v>
      </c>
      <c r="K740" t="s">
        <v>96</v>
      </c>
      <c r="L740" t="s">
        <v>65</v>
      </c>
      <c r="M740" t="s">
        <v>92</v>
      </c>
      <c r="N740" t="str">
        <f>INDEX(Products!B:B,MATCH(OrdersTable[[#This Row],[Product ID]],Products!A:A,0))</f>
        <v>Kolhapuri Sandals</v>
      </c>
      <c r="O740" t="str">
        <f>INDEX(Products!C:C,MATCH(OrdersTable[[#This Row],[Product ID]],Products!A:A,0))</f>
        <v>Footwear</v>
      </c>
      <c r="P740">
        <v>1</v>
      </c>
      <c r="Q740" s="5">
        <v>999</v>
      </c>
      <c r="R740" s="74">
        <v>0</v>
      </c>
      <c r="S740" s="75">
        <f>OrdersTable[[#This Row],[Quantity]]*OrdersTable[[#This Row],[Unit Price]]</f>
        <v>999</v>
      </c>
      <c r="T740" s="5">
        <f>OrdersTable[[#This Row],[Gross Sale]]*OrdersTable[[#This Row],[Discount_Clean2]]</f>
        <v>0</v>
      </c>
      <c r="U740" s="5">
        <f>OrdersTable[[#This Row],[Gross Sale]]-OrdersTable[[#This Row],[Discount Amount]]</f>
        <v>999</v>
      </c>
      <c r="V740" s="77">
        <f>INDEX(Products!E:E,MATCH(OrdersTable[[#This Row],[Product ID]],Products!A:A,0))</f>
        <v>400</v>
      </c>
      <c r="W740" s="77">
        <f>OrdersTable[[#This Row],[Quantity]]*OrdersTable[[#This Row],[Unit Cost]]</f>
        <v>400</v>
      </c>
      <c r="X740" s="77">
        <f>'Dropdown Lists'!$I$2*(1+OrdersTable[[#This Row],[Returned]])</f>
        <v>60</v>
      </c>
      <c r="Y740" s="76">
        <f>OrdersTable[[#This Row],[Net Revenue]]-OrdersTable[[#This Row],[COGS]]-OrdersTable[[#This Row],[Shipping Cost]]</f>
        <v>539</v>
      </c>
      <c r="Z740" s="78">
        <f>IFERROR(OrdersTable[[#This Row],[Profit]]/OrdersTable[[#This Row],[Net Revenue]],0)</f>
        <v>0.53953953953953959</v>
      </c>
      <c r="AA740" t="s">
        <v>18</v>
      </c>
      <c r="AB740" s="79">
        <v>45446</v>
      </c>
      <c r="AC740">
        <f>OrdersTable[[#This Row],[Delivery Date]]-OrdersTable[[#This Row],[Order Date]]</f>
        <v>2</v>
      </c>
      <c r="AD740" t="str">
        <f>IF(OrdersTable[[#This Row],[Delivery Days]]&lt;=2, "Express (≤2d)", IF(OrdersTable[[#This Row],[Delivery Days]]&lt;=4, "Standard (3-4d)", "Delayed (5d+)"))</f>
        <v>Express (≤2d)</v>
      </c>
      <c r="AE740">
        <v>4</v>
      </c>
      <c r="AF740">
        <v>0</v>
      </c>
    </row>
    <row r="741" spans="1:32" ht="15" x14ac:dyDescent="0.35">
      <c r="A741" t="s">
        <v>6855</v>
      </c>
      <c r="B741" s="1">
        <v>45444</v>
      </c>
      <c r="C741">
        <f>YEAR(OrdersTable[[#This Row],[Order Date]])</f>
        <v>2024</v>
      </c>
      <c r="D741" s="2">
        <f>DATE(YEAR(OrdersTable[[#This Row],[Order Date]]),MONTH(OrdersTable[[#This Row],[Order Date]]),1)</f>
        <v>45444</v>
      </c>
      <c r="E741">
        <f>MONTH(OrdersTable[[#This Row],[Order Date]])</f>
        <v>6</v>
      </c>
      <c r="F741" t="s">
        <v>5262</v>
      </c>
      <c r="G741" t="str">
        <f>IF(OrdersTable[[#This Row],[Order Date]]=_xlfn.MINIFS(Order_Date, Customer_ID, OrdersTable[[#This Row],[Customer ID]]), "New", "Repeat")</f>
        <v>New</v>
      </c>
      <c r="H741" t="s">
        <v>167</v>
      </c>
      <c r="I741" t="str">
        <f>INDEX(State!B:B,MATCH(OrdersTable[[#This Row],[State]],State!A:A,0))</f>
        <v>KA</v>
      </c>
      <c r="J741" t="str">
        <f>INDEX(State!C:C,MATCH(OrdersTable[[#This Row],[State Code]],State!B:B,0))</f>
        <v>South</v>
      </c>
      <c r="K741" t="s">
        <v>190</v>
      </c>
      <c r="L741" t="s">
        <v>65</v>
      </c>
      <c r="M741" t="s">
        <v>51</v>
      </c>
      <c r="N741" t="str">
        <f>INDEX(Products!B:B,MATCH(OrdersTable[[#This Row],[Product ID]],Products!A:A,0))</f>
        <v>Anti-Dandruff Conditioner</v>
      </c>
      <c r="O741" t="str">
        <f>INDEX(Products!C:C,MATCH(OrdersTable[[#This Row],[Product ID]],Products!A:A,0))</f>
        <v>Haircare</v>
      </c>
      <c r="P741">
        <v>3</v>
      </c>
      <c r="Q741" s="5">
        <v>399</v>
      </c>
      <c r="R741" s="74">
        <v>0.45</v>
      </c>
      <c r="S741" s="75">
        <f>OrdersTable[[#This Row],[Quantity]]*OrdersTable[[#This Row],[Unit Price]]</f>
        <v>1197</v>
      </c>
      <c r="T741" s="5">
        <f>OrdersTable[[#This Row],[Gross Sale]]*OrdersTable[[#This Row],[Discount_Clean2]]</f>
        <v>538.65</v>
      </c>
      <c r="U741" s="5">
        <f>OrdersTable[[#This Row],[Gross Sale]]-OrdersTable[[#This Row],[Discount Amount]]</f>
        <v>658.35</v>
      </c>
      <c r="V741" s="77">
        <f>INDEX(Products!E:E,MATCH(OrdersTable[[#This Row],[Product ID]],Products!A:A,0))</f>
        <v>136</v>
      </c>
      <c r="W741" s="77">
        <f>OrdersTable[[#This Row],[Quantity]]*OrdersTable[[#This Row],[Unit Cost]]</f>
        <v>408</v>
      </c>
      <c r="X741" s="77">
        <f>'Dropdown Lists'!$I$2*(1+OrdersTable[[#This Row],[Returned]])</f>
        <v>60</v>
      </c>
      <c r="Y741" s="76">
        <f>OrdersTable[[#This Row],[Net Revenue]]-OrdersTable[[#This Row],[COGS]]-OrdersTable[[#This Row],[Shipping Cost]]</f>
        <v>190.35000000000002</v>
      </c>
      <c r="Z741" s="78">
        <f>IFERROR(OrdersTable[[#This Row],[Profit]]/OrdersTable[[#This Row],[Net Revenue]],0)</f>
        <v>0.28913192071086813</v>
      </c>
      <c r="AA741" t="s">
        <v>4074</v>
      </c>
      <c r="AB741" s="79">
        <v>45447</v>
      </c>
      <c r="AC741">
        <f>OrdersTable[[#This Row],[Delivery Date]]-OrdersTable[[#This Row],[Order Date]]</f>
        <v>3</v>
      </c>
      <c r="AD741" t="str">
        <f>IF(OrdersTable[[#This Row],[Delivery Days]]&lt;=2, "Express (≤2d)", IF(OrdersTable[[#This Row],[Delivery Days]]&lt;=4, "Standard (3-4d)", "Delayed (5d+)"))</f>
        <v>Standard (3-4d)</v>
      </c>
      <c r="AE741">
        <v>3</v>
      </c>
      <c r="AF741">
        <v>0</v>
      </c>
    </row>
    <row r="742" spans="1:32" ht="15" x14ac:dyDescent="0.35">
      <c r="A742" t="s">
        <v>2257</v>
      </c>
      <c r="B742" s="1">
        <v>45444</v>
      </c>
      <c r="C742">
        <f>YEAR(OrdersTable[[#This Row],[Order Date]])</f>
        <v>2024</v>
      </c>
      <c r="D742" s="2">
        <f>DATE(YEAR(OrdersTable[[#This Row],[Order Date]]),MONTH(OrdersTable[[#This Row],[Order Date]]),1)</f>
        <v>45444</v>
      </c>
      <c r="E742">
        <f>MONTH(OrdersTable[[#This Row],[Order Date]])</f>
        <v>6</v>
      </c>
      <c r="F742" t="s">
        <v>676</v>
      </c>
      <c r="G742" t="str">
        <f>IF(OrdersTable[[#This Row],[Order Date]]=_xlfn.MINIFS(Order_Date, Customer_ID, OrdersTable[[#This Row],[Customer ID]]), "New", "Repeat")</f>
        <v>New</v>
      </c>
      <c r="H742" t="s">
        <v>167</v>
      </c>
      <c r="I742" t="str">
        <f>INDEX(State!B:B,MATCH(OrdersTable[[#This Row],[State]],State!A:A,0))</f>
        <v>KA</v>
      </c>
      <c r="J742" t="str">
        <f>INDEX(State!C:C,MATCH(OrdersTable[[#This Row],[State Code]],State!B:B,0))</f>
        <v>South</v>
      </c>
      <c r="K742" t="s">
        <v>190</v>
      </c>
      <c r="L742" t="s">
        <v>65</v>
      </c>
      <c r="M742" t="s">
        <v>61</v>
      </c>
      <c r="N742" t="str">
        <f>INDEX(Products!B:B,MATCH(OrdersTable[[#This Row],[Product ID]],Products!A:A,0))</f>
        <v>Multivitamin Gummies</v>
      </c>
      <c r="O742" t="str">
        <f>INDEX(Products!C:C,MATCH(OrdersTable[[#This Row],[Product ID]],Products!A:A,0))</f>
        <v>Wellness</v>
      </c>
      <c r="P742">
        <v>1</v>
      </c>
      <c r="Q742" s="5">
        <v>699</v>
      </c>
      <c r="R742" s="74">
        <v>0.2</v>
      </c>
      <c r="S742" s="75">
        <f>OrdersTable[[#This Row],[Quantity]]*OrdersTable[[#This Row],[Unit Price]]</f>
        <v>699</v>
      </c>
      <c r="T742" s="5">
        <f>OrdersTable[[#This Row],[Gross Sale]]*OrdersTable[[#This Row],[Discount_Clean2]]</f>
        <v>139.80000000000001</v>
      </c>
      <c r="U742" s="5">
        <f>OrdersTable[[#This Row],[Gross Sale]]-OrdersTable[[#This Row],[Discount Amount]]</f>
        <v>559.20000000000005</v>
      </c>
      <c r="V742" s="77">
        <f>INDEX(Products!E:E,MATCH(OrdersTable[[#This Row],[Product ID]],Products!A:A,0))</f>
        <v>238</v>
      </c>
      <c r="W742" s="77">
        <f>OrdersTable[[#This Row],[Quantity]]*OrdersTable[[#This Row],[Unit Cost]]</f>
        <v>238</v>
      </c>
      <c r="X742" s="77">
        <f>'Dropdown Lists'!$I$2*(1+OrdersTable[[#This Row],[Returned]])</f>
        <v>60</v>
      </c>
      <c r="Y742" s="76">
        <f>OrdersTable[[#This Row],[Net Revenue]]-OrdersTable[[#This Row],[COGS]]-OrdersTable[[#This Row],[Shipping Cost]]</f>
        <v>261.20000000000005</v>
      </c>
      <c r="Z742" s="78">
        <f>IFERROR(OrdersTable[[#This Row],[Profit]]/OrdersTable[[#This Row],[Net Revenue]],0)</f>
        <v>0.46709585121602293</v>
      </c>
      <c r="AA742" t="s">
        <v>18</v>
      </c>
      <c r="AB742" s="79">
        <v>45446</v>
      </c>
      <c r="AC742">
        <f>OrdersTable[[#This Row],[Delivery Date]]-OrdersTable[[#This Row],[Order Date]]</f>
        <v>2</v>
      </c>
      <c r="AD742" t="str">
        <f>IF(OrdersTable[[#This Row],[Delivery Days]]&lt;=2, "Express (≤2d)", IF(OrdersTable[[#This Row],[Delivery Days]]&lt;=4, "Standard (3-4d)", "Delayed (5d+)"))</f>
        <v>Express (≤2d)</v>
      </c>
      <c r="AE742">
        <v>5</v>
      </c>
      <c r="AF742">
        <v>0</v>
      </c>
    </row>
    <row r="743" spans="1:32" ht="15" x14ac:dyDescent="0.35">
      <c r="A743" t="s">
        <v>4228</v>
      </c>
      <c r="B743" s="1">
        <v>45444</v>
      </c>
      <c r="C743">
        <f>YEAR(OrdersTable[[#This Row],[Order Date]])</f>
        <v>2024</v>
      </c>
      <c r="D743" s="2">
        <f>DATE(YEAR(OrdersTable[[#This Row],[Order Date]]),MONTH(OrdersTable[[#This Row],[Order Date]]),1)</f>
        <v>45444</v>
      </c>
      <c r="E743">
        <f>MONTH(OrdersTable[[#This Row],[Order Date]])</f>
        <v>6</v>
      </c>
      <c r="F743" t="s">
        <v>4229</v>
      </c>
      <c r="G743" t="str">
        <f>IF(OrdersTable[[#This Row],[Order Date]]=_xlfn.MINIFS(Order_Date, Customer_ID, OrdersTable[[#This Row],[Customer ID]]), "New", "Repeat")</f>
        <v>New</v>
      </c>
      <c r="H743" t="s">
        <v>316</v>
      </c>
      <c r="I743" t="str">
        <f>INDEX(State!B:B,MATCH(OrdersTable[[#This Row],[State]],State!A:A,0))</f>
        <v>KL</v>
      </c>
      <c r="J743" t="str">
        <f>INDEX(State!C:C,MATCH(OrdersTable[[#This Row],[State Code]],State!B:B,0))</f>
        <v>South</v>
      </c>
      <c r="K743" t="s">
        <v>317</v>
      </c>
      <c r="L743" t="s">
        <v>39</v>
      </c>
      <c r="M743" t="s">
        <v>61</v>
      </c>
      <c r="N743" t="str">
        <f>INDEX(Products!B:B,MATCH(OrdersTable[[#This Row],[Product ID]],Products!A:A,0))</f>
        <v>Multivitamin Gummies</v>
      </c>
      <c r="O743" t="str">
        <f>INDEX(Products!C:C,MATCH(OrdersTable[[#This Row],[Product ID]],Products!A:A,0))</f>
        <v>Wellness</v>
      </c>
      <c r="P743">
        <v>1</v>
      </c>
      <c r="Q743" s="5">
        <v>699</v>
      </c>
      <c r="R743" s="74">
        <v>0.2</v>
      </c>
      <c r="S743" s="75">
        <f>OrdersTable[[#This Row],[Quantity]]*OrdersTable[[#This Row],[Unit Price]]</f>
        <v>699</v>
      </c>
      <c r="T743" s="5">
        <f>OrdersTable[[#This Row],[Gross Sale]]*OrdersTable[[#This Row],[Discount_Clean2]]</f>
        <v>139.80000000000001</v>
      </c>
      <c r="U743" s="5">
        <f>OrdersTable[[#This Row],[Gross Sale]]-OrdersTable[[#This Row],[Discount Amount]]</f>
        <v>559.20000000000005</v>
      </c>
      <c r="V743" s="77">
        <f>INDEX(Products!E:E,MATCH(OrdersTable[[#This Row],[Product ID]],Products!A:A,0))</f>
        <v>238</v>
      </c>
      <c r="W743" s="77">
        <f>OrdersTable[[#This Row],[Quantity]]*OrdersTable[[#This Row],[Unit Cost]]</f>
        <v>238</v>
      </c>
      <c r="X743" s="77">
        <f>'Dropdown Lists'!$I$2*(1+OrdersTable[[#This Row],[Returned]])</f>
        <v>60</v>
      </c>
      <c r="Y743" s="76">
        <f>OrdersTable[[#This Row],[Net Revenue]]-OrdersTable[[#This Row],[COGS]]-OrdersTable[[#This Row],[Shipping Cost]]</f>
        <v>261.20000000000005</v>
      </c>
      <c r="Z743" s="78">
        <f>IFERROR(OrdersTable[[#This Row],[Profit]]/OrdersTable[[#This Row],[Net Revenue]],0)</f>
        <v>0.46709585121602293</v>
      </c>
      <c r="AA743" t="s">
        <v>4074</v>
      </c>
      <c r="AB743" s="79">
        <v>45451</v>
      </c>
      <c r="AC743">
        <f>OrdersTable[[#This Row],[Delivery Date]]-OrdersTable[[#This Row],[Order Date]]</f>
        <v>7</v>
      </c>
      <c r="AD743" t="str">
        <f>IF(OrdersTable[[#This Row],[Delivery Days]]&lt;=2, "Express (≤2d)", IF(OrdersTable[[#This Row],[Delivery Days]]&lt;=4, "Standard (3-4d)", "Delayed (5d+)"))</f>
        <v>Delayed (5d+)</v>
      </c>
      <c r="AF743">
        <v>0</v>
      </c>
    </row>
    <row r="744" spans="1:32" ht="15" x14ac:dyDescent="0.35">
      <c r="A744" t="s">
        <v>2258</v>
      </c>
      <c r="B744" s="1">
        <v>45445</v>
      </c>
      <c r="C744">
        <f>YEAR(OrdersTable[[#This Row],[Order Date]])</f>
        <v>2024</v>
      </c>
      <c r="D744" s="2">
        <f>DATE(YEAR(OrdersTable[[#This Row],[Order Date]]),MONTH(OrdersTable[[#This Row],[Order Date]]),1)</f>
        <v>45444</v>
      </c>
      <c r="E744">
        <f>MONTH(OrdersTable[[#This Row],[Order Date]])</f>
        <v>6</v>
      </c>
      <c r="F744" t="s">
        <v>2154</v>
      </c>
      <c r="G744" t="str">
        <f>IF(OrdersTable[[#This Row],[Order Date]]=_xlfn.MINIFS(Order_Date, Customer_ID, OrdersTable[[#This Row],[Customer ID]]), "New", "Repeat")</f>
        <v>New</v>
      </c>
      <c r="H744" t="s">
        <v>158</v>
      </c>
      <c r="I744" t="str">
        <f>INDEX(State!B:B,MATCH(OrdersTable[[#This Row],[State]],State!A:A,0))</f>
        <v>HP</v>
      </c>
      <c r="J744" t="str">
        <f>INDEX(State!C:C,MATCH(OrdersTable[[#This Row],[State Code]],State!B:B,0))</f>
        <v>North</v>
      </c>
      <c r="K744" t="s">
        <v>159</v>
      </c>
      <c r="L744" t="s">
        <v>65</v>
      </c>
      <c r="M744" t="s">
        <v>160</v>
      </c>
      <c r="N744" t="str">
        <f>INDEX(Products!B:B,MATCH(OrdersTable[[#This Row],[Product ID]],Products!A:A,0))</f>
        <v>Niacinamide Toner</v>
      </c>
      <c r="O744" t="str">
        <f>INDEX(Products!C:C,MATCH(OrdersTable[[#This Row],[Product ID]],Products!A:A,0))</f>
        <v>Skincare</v>
      </c>
      <c r="P744">
        <v>1</v>
      </c>
      <c r="Q744" s="5">
        <v>399</v>
      </c>
      <c r="R744" s="74">
        <v>0.3</v>
      </c>
      <c r="S744" s="75">
        <f>OrdersTable[[#This Row],[Quantity]]*OrdersTable[[#This Row],[Unit Price]]</f>
        <v>399</v>
      </c>
      <c r="T744" s="5">
        <f>OrdersTable[[#This Row],[Gross Sale]]*OrdersTable[[#This Row],[Discount_Clean2]]</f>
        <v>119.69999999999999</v>
      </c>
      <c r="U744" s="5">
        <f>OrdersTable[[#This Row],[Gross Sale]]-OrdersTable[[#This Row],[Discount Amount]]</f>
        <v>279.3</v>
      </c>
      <c r="V744" s="77">
        <f>INDEX(Products!E:E,MATCH(OrdersTable[[#This Row],[Product ID]],Products!A:A,0))</f>
        <v>112</v>
      </c>
      <c r="W744" s="77">
        <f>OrdersTable[[#This Row],[Quantity]]*OrdersTable[[#This Row],[Unit Cost]]</f>
        <v>112</v>
      </c>
      <c r="X744" s="77">
        <f>'Dropdown Lists'!$I$2*(1+OrdersTable[[#This Row],[Returned]])</f>
        <v>60</v>
      </c>
      <c r="Y744" s="76">
        <f>OrdersTable[[#This Row],[Net Revenue]]-OrdersTable[[#This Row],[COGS]]-OrdersTable[[#This Row],[Shipping Cost]]</f>
        <v>107.30000000000001</v>
      </c>
      <c r="Z744" s="78">
        <f>IFERROR(OrdersTable[[#This Row],[Profit]]/OrdersTable[[#This Row],[Net Revenue]],0)</f>
        <v>0.38417472252058721</v>
      </c>
      <c r="AA744" t="s">
        <v>18</v>
      </c>
      <c r="AB744" s="79">
        <v>45447</v>
      </c>
      <c r="AC744">
        <f>OrdersTable[[#This Row],[Delivery Date]]-OrdersTable[[#This Row],[Order Date]]</f>
        <v>2</v>
      </c>
      <c r="AD744" t="str">
        <f>IF(OrdersTable[[#This Row],[Delivery Days]]&lt;=2, "Express (≤2d)", IF(OrdersTable[[#This Row],[Delivery Days]]&lt;=4, "Standard (3-4d)", "Delayed (5d+)"))</f>
        <v>Express (≤2d)</v>
      </c>
      <c r="AE744">
        <v>5</v>
      </c>
      <c r="AF744">
        <v>0</v>
      </c>
    </row>
    <row r="745" spans="1:32" ht="15" x14ac:dyDescent="0.35">
      <c r="A745" t="s">
        <v>2710</v>
      </c>
      <c r="B745" s="1">
        <v>45445</v>
      </c>
      <c r="C745">
        <f>YEAR(OrdersTable[[#This Row],[Order Date]])</f>
        <v>2024</v>
      </c>
      <c r="D745" s="2">
        <f>DATE(YEAR(OrdersTable[[#This Row],[Order Date]]),MONTH(OrdersTable[[#This Row],[Order Date]]),1)</f>
        <v>45444</v>
      </c>
      <c r="E745">
        <f>MONTH(OrdersTable[[#This Row],[Order Date]])</f>
        <v>6</v>
      </c>
      <c r="F745" t="s">
        <v>1854</v>
      </c>
      <c r="G745" t="str">
        <f>IF(OrdersTable[[#This Row],[Order Date]]=_xlfn.MINIFS(Order_Date, Customer_ID, OrdersTable[[#This Row],[Customer ID]]), "New", "Repeat")</f>
        <v>Repeat</v>
      </c>
      <c r="H745" t="s">
        <v>128</v>
      </c>
      <c r="I745" t="str">
        <f>INDEX(State!B:B,MATCH(OrdersTable[[#This Row],[State]],State!A:A,0))</f>
        <v>DL</v>
      </c>
      <c r="J745" t="str">
        <f>INDEX(State!C:C,MATCH(OrdersTable[[#This Row],[State Code]],State!B:B,0))</f>
        <v>North</v>
      </c>
      <c r="K745" t="s">
        <v>129</v>
      </c>
      <c r="L745" t="s">
        <v>65</v>
      </c>
      <c r="M745" t="s">
        <v>34</v>
      </c>
      <c r="N745" t="str">
        <f>INDEX(Products!B:B,MATCH(OrdersTable[[#This Row],[Product ID]],Products!A:A,0))</f>
        <v>Flip Flops</v>
      </c>
      <c r="O745" t="str">
        <f>INDEX(Products!C:C,MATCH(OrdersTable[[#This Row],[Product ID]],Products!A:A,0))</f>
        <v>Footwear</v>
      </c>
      <c r="P745">
        <v>1</v>
      </c>
      <c r="Q745" s="5">
        <v>399</v>
      </c>
      <c r="R745" s="74">
        <v>0.2</v>
      </c>
      <c r="S745" s="75">
        <f>OrdersTable[[#This Row],[Quantity]]*OrdersTable[[#This Row],[Unit Price]]</f>
        <v>399</v>
      </c>
      <c r="T745" s="5">
        <f>OrdersTable[[#This Row],[Gross Sale]]*OrdersTable[[#This Row],[Discount_Clean2]]</f>
        <v>79.800000000000011</v>
      </c>
      <c r="U745" s="5">
        <f>OrdersTable[[#This Row],[Gross Sale]]-OrdersTable[[#This Row],[Discount Amount]]</f>
        <v>319.2</v>
      </c>
      <c r="V745" s="77">
        <f>INDEX(Products!E:E,MATCH(OrdersTable[[#This Row],[Product ID]],Products!A:A,0))</f>
        <v>152</v>
      </c>
      <c r="W745" s="77">
        <f>OrdersTable[[#This Row],[Quantity]]*OrdersTable[[#This Row],[Unit Cost]]</f>
        <v>152</v>
      </c>
      <c r="X745" s="77">
        <f>'Dropdown Lists'!$I$2*(1+OrdersTable[[#This Row],[Returned]])</f>
        <v>60</v>
      </c>
      <c r="Y745" s="76">
        <f>OrdersTable[[#This Row],[Net Revenue]]-OrdersTable[[#This Row],[COGS]]-OrdersTable[[#This Row],[Shipping Cost]]</f>
        <v>107.19999999999999</v>
      </c>
      <c r="Z745" s="78">
        <f>IFERROR(OrdersTable[[#This Row],[Profit]]/OrdersTable[[#This Row],[Net Revenue]],0)</f>
        <v>0.33583959899749372</v>
      </c>
      <c r="AA745" t="s">
        <v>2522</v>
      </c>
      <c r="AB745" s="79">
        <v>45448</v>
      </c>
      <c r="AC745">
        <f>OrdersTable[[#This Row],[Delivery Date]]-OrdersTable[[#This Row],[Order Date]]</f>
        <v>3</v>
      </c>
      <c r="AD745" t="str">
        <f>IF(OrdersTable[[#This Row],[Delivery Days]]&lt;=2, "Express (≤2d)", IF(OrdersTable[[#This Row],[Delivery Days]]&lt;=4, "Standard (3-4d)", "Delayed (5d+)"))</f>
        <v>Standard (3-4d)</v>
      </c>
      <c r="AE745">
        <v>3</v>
      </c>
      <c r="AF745">
        <v>0</v>
      </c>
    </row>
    <row r="746" spans="1:32" ht="15" x14ac:dyDescent="0.35">
      <c r="A746" t="s">
        <v>4465</v>
      </c>
      <c r="B746" s="1">
        <v>45445</v>
      </c>
      <c r="C746">
        <f>YEAR(OrdersTable[[#This Row],[Order Date]])</f>
        <v>2024</v>
      </c>
      <c r="D746" s="2">
        <f>DATE(YEAR(OrdersTable[[#This Row],[Order Date]]),MONTH(OrdersTable[[#This Row],[Order Date]]),1)</f>
        <v>45444</v>
      </c>
      <c r="E746">
        <f>MONTH(OrdersTable[[#This Row],[Order Date]])</f>
        <v>6</v>
      </c>
      <c r="F746" t="s">
        <v>4466</v>
      </c>
      <c r="G746" t="str">
        <f>IF(OrdersTable[[#This Row],[Order Date]]=_xlfn.MINIFS(Order_Date, Customer_ID, OrdersTable[[#This Row],[Customer ID]]), "New", "Repeat")</f>
        <v>New</v>
      </c>
      <c r="H746" t="s">
        <v>76</v>
      </c>
      <c r="I746" t="str">
        <f>INDEX(State!B:B,MATCH(OrdersTable[[#This Row],[State]],State!A:A,0))</f>
        <v>UP</v>
      </c>
      <c r="J746" t="str">
        <f>INDEX(State!C:C,MATCH(OrdersTable[[#This Row],[State Code]],State!B:B,0))</f>
        <v>North</v>
      </c>
      <c r="K746" t="s">
        <v>105</v>
      </c>
      <c r="L746" t="s">
        <v>65</v>
      </c>
      <c r="M746" t="s">
        <v>160</v>
      </c>
      <c r="N746" t="str">
        <f>INDEX(Products!B:B,MATCH(OrdersTable[[#This Row],[Product ID]],Products!A:A,0))</f>
        <v>Niacinamide Toner</v>
      </c>
      <c r="O746" t="str">
        <f>INDEX(Products!C:C,MATCH(OrdersTable[[#This Row],[Product ID]],Products!A:A,0))</f>
        <v>Skincare</v>
      </c>
      <c r="P746">
        <v>1</v>
      </c>
      <c r="Q746" s="5">
        <v>399</v>
      </c>
      <c r="R746" s="74">
        <v>0.2</v>
      </c>
      <c r="S746" s="75">
        <f>OrdersTable[[#This Row],[Quantity]]*OrdersTable[[#This Row],[Unit Price]]</f>
        <v>399</v>
      </c>
      <c r="T746" s="5">
        <f>OrdersTable[[#This Row],[Gross Sale]]*OrdersTable[[#This Row],[Discount_Clean2]]</f>
        <v>79.800000000000011</v>
      </c>
      <c r="U746" s="5">
        <f>OrdersTable[[#This Row],[Gross Sale]]-OrdersTable[[#This Row],[Discount Amount]]</f>
        <v>319.2</v>
      </c>
      <c r="V746" s="77">
        <f>INDEX(Products!E:E,MATCH(OrdersTable[[#This Row],[Product ID]],Products!A:A,0))</f>
        <v>112</v>
      </c>
      <c r="W746" s="77">
        <f>OrdersTable[[#This Row],[Quantity]]*OrdersTable[[#This Row],[Unit Cost]]</f>
        <v>112</v>
      </c>
      <c r="X746" s="77">
        <f>'Dropdown Lists'!$I$2*(1+OrdersTable[[#This Row],[Returned]])</f>
        <v>60</v>
      </c>
      <c r="Y746" s="76">
        <f>OrdersTable[[#This Row],[Net Revenue]]-OrdersTable[[#This Row],[COGS]]-OrdersTable[[#This Row],[Shipping Cost]]</f>
        <v>147.19999999999999</v>
      </c>
      <c r="Z746" s="78">
        <f>IFERROR(OrdersTable[[#This Row],[Profit]]/OrdersTable[[#This Row],[Net Revenue]],0)</f>
        <v>0.46115288220551376</v>
      </c>
      <c r="AA746" t="s">
        <v>4450</v>
      </c>
      <c r="AB746" s="79">
        <v>45450</v>
      </c>
      <c r="AC746">
        <f>OrdersTable[[#This Row],[Delivery Date]]-OrdersTable[[#This Row],[Order Date]]</f>
        <v>5</v>
      </c>
      <c r="AD746" t="str">
        <f>IF(OrdersTable[[#This Row],[Delivery Days]]&lt;=2, "Express (≤2d)", IF(OrdersTable[[#This Row],[Delivery Days]]&lt;=4, "Standard (3-4d)", "Delayed (5d+)"))</f>
        <v>Delayed (5d+)</v>
      </c>
      <c r="AE746">
        <v>4</v>
      </c>
      <c r="AF746">
        <v>0</v>
      </c>
    </row>
    <row r="747" spans="1:32" ht="15" x14ac:dyDescent="0.35">
      <c r="A747" t="s">
        <v>914</v>
      </c>
      <c r="B747" s="1">
        <v>45445</v>
      </c>
      <c r="C747">
        <f>YEAR(OrdersTable[[#This Row],[Order Date]])</f>
        <v>2024</v>
      </c>
      <c r="D747" s="2">
        <f>DATE(YEAR(OrdersTable[[#This Row],[Order Date]]),MONTH(OrdersTable[[#This Row],[Order Date]]),1)</f>
        <v>45444</v>
      </c>
      <c r="E747">
        <f>MONTH(OrdersTable[[#This Row],[Order Date]])</f>
        <v>6</v>
      </c>
      <c r="F747" t="s">
        <v>915</v>
      </c>
      <c r="G747" t="str">
        <f>IF(OrdersTable[[#This Row],[Order Date]]=_xlfn.MINIFS(Order_Date, Customer_ID, OrdersTable[[#This Row],[Customer ID]]), "New", "Repeat")</f>
        <v>New</v>
      </c>
      <c r="H747" t="s">
        <v>123</v>
      </c>
      <c r="I747" t="str">
        <f>INDEX(State!B:B,MATCH(OrdersTable[[#This Row],[State]],State!A:A,0))</f>
        <v>JH</v>
      </c>
      <c r="J747" t="str">
        <f>INDEX(State!C:C,MATCH(OrdersTable[[#This Row],[State Code]],State!B:B,0))</f>
        <v>East</v>
      </c>
      <c r="K747" t="s">
        <v>124</v>
      </c>
      <c r="L747" t="s">
        <v>39</v>
      </c>
      <c r="M747" t="s">
        <v>160</v>
      </c>
      <c r="N747" t="str">
        <f>INDEX(Products!B:B,MATCH(OrdersTable[[#This Row],[Product ID]],Products!A:A,0))</f>
        <v>Niacinamide Toner</v>
      </c>
      <c r="O747" t="str">
        <f>INDEX(Products!C:C,MATCH(OrdersTable[[#This Row],[Product ID]],Products!A:A,0))</f>
        <v>Skincare</v>
      </c>
      <c r="P747">
        <v>1</v>
      </c>
      <c r="Q747" s="5">
        <v>399</v>
      </c>
      <c r="R747" s="74">
        <v>0.15</v>
      </c>
      <c r="S747" s="75">
        <f>OrdersTable[[#This Row],[Quantity]]*OrdersTable[[#This Row],[Unit Price]]</f>
        <v>399</v>
      </c>
      <c r="T747" s="5">
        <f>OrdersTable[[#This Row],[Gross Sale]]*OrdersTable[[#This Row],[Discount_Clean2]]</f>
        <v>59.849999999999994</v>
      </c>
      <c r="U747" s="5">
        <f>OrdersTable[[#This Row],[Gross Sale]]-OrdersTable[[#This Row],[Discount Amount]]</f>
        <v>339.15</v>
      </c>
      <c r="V747" s="77">
        <f>INDEX(Products!E:E,MATCH(OrdersTable[[#This Row],[Product ID]],Products!A:A,0))</f>
        <v>112</v>
      </c>
      <c r="W747" s="77">
        <f>OrdersTable[[#This Row],[Quantity]]*OrdersTable[[#This Row],[Unit Cost]]</f>
        <v>112</v>
      </c>
      <c r="X747" s="77">
        <f>'Dropdown Lists'!$I$2*(1+OrdersTable[[#This Row],[Returned]])</f>
        <v>60</v>
      </c>
      <c r="Y747" s="76">
        <f>OrdersTable[[#This Row],[Net Revenue]]-OrdersTable[[#This Row],[COGS]]-OrdersTable[[#This Row],[Shipping Cost]]</f>
        <v>167.14999999999998</v>
      </c>
      <c r="Z747" s="78">
        <f>IFERROR(OrdersTable[[#This Row],[Profit]]/OrdersTable[[#This Row],[Net Revenue]],0)</f>
        <v>0.49284977148754233</v>
      </c>
      <c r="AA747" t="s">
        <v>18</v>
      </c>
      <c r="AB747" s="79">
        <v>45450</v>
      </c>
      <c r="AC747">
        <f>OrdersTable[[#This Row],[Delivery Date]]-OrdersTable[[#This Row],[Order Date]]</f>
        <v>5</v>
      </c>
      <c r="AD747" t="str">
        <f>IF(OrdersTable[[#This Row],[Delivery Days]]&lt;=2, "Express (≤2d)", IF(OrdersTable[[#This Row],[Delivery Days]]&lt;=4, "Standard (3-4d)", "Delayed (5d+)"))</f>
        <v>Delayed (5d+)</v>
      </c>
      <c r="AE747">
        <v>4</v>
      </c>
      <c r="AF747">
        <v>0</v>
      </c>
    </row>
    <row r="748" spans="1:32" ht="15" x14ac:dyDescent="0.35">
      <c r="A748" t="s">
        <v>3175</v>
      </c>
      <c r="B748" s="1">
        <v>45445</v>
      </c>
      <c r="C748">
        <f>YEAR(OrdersTable[[#This Row],[Order Date]])</f>
        <v>2024</v>
      </c>
      <c r="D748" s="2">
        <f>DATE(YEAR(OrdersTable[[#This Row],[Order Date]]),MONTH(OrdersTable[[#This Row],[Order Date]]),1)</f>
        <v>45444</v>
      </c>
      <c r="E748">
        <f>MONTH(OrdersTable[[#This Row],[Order Date]])</f>
        <v>6</v>
      </c>
      <c r="F748" t="s">
        <v>1183</v>
      </c>
      <c r="G748" t="str">
        <f>IF(OrdersTable[[#This Row],[Order Date]]=_xlfn.MINIFS(Order_Date, Customer_ID, OrdersTable[[#This Row],[Customer ID]]), "New", "Repeat")</f>
        <v>New</v>
      </c>
      <c r="H748" t="s">
        <v>167</v>
      </c>
      <c r="I748" t="str">
        <f>INDEX(State!B:B,MATCH(OrdersTable[[#This Row],[State]],State!A:A,0))</f>
        <v>KA</v>
      </c>
      <c r="J748" t="str">
        <f>INDEX(State!C:C,MATCH(OrdersTable[[#This Row],[State Code]],State!B:B,0))</f>
        <v>South</v>
      </c>
      <c r="K748" t="s">
        <v>190</v>
      </c>
      <c r="L748" t="s">
        <v>39</v>
      </c>
      <c r="M748" t="s">
        <v>228</v>
      </c>
      <c r="N748" t="str">
        <f>INDEX(Products!B:B,MATCH(OrdersTable[[#This Row],[Product ID]],Products!A:A,0))</f>
        <v>Fast Charger 33W</v>
      </c>
      <c r="O748" t="str">
        <f>INDEX(Products!C:C,MATCH(OrdersTable[[#This Row],[Product ID]],Products!A:A,0))</f>
        <v>Electronics</v>
      </c>
      <c r="P748">
        <v>1</v>
      </c>
      <c r="Q748" s="5">
        <v>899</v>
      </c>
      <c r="R748" s="74">
        <v>0.05</v>
      </c>
      <c r="S748" s="75">
        <f>OrdersTable[[#This Row],[Quantity]]*OrdersTable[[#This Row],[Unit Price]]</f>
        <v>899</v>
      </c>
      <c r="T748" s="5">
        <f>OrdersTable[[#This Row],[Gross Sale]]*OrdersTable[[#This Row],[Discount_Clean2]]</f>
        <v>44.95</v>
      </c>
      <c r="U748" s="5">
        <f>OrdersTable[[#This Row],[Gross Sale]]-OrdersTable[[#This Row],[Discount Amount]]</f>
        <v>854.05</v>
      </c>
      <c r="V748" s="77">
        <f>INDEX(Products!E:E,MATCH(OrdersTable[[#This Row],[Product ID]],Products!A:A,0))</f>
        <v>494</v>
      </c>
      <c r="W748" s="77">
        <f>OrdersTable[[#This Row],[Quantity]]*OrdersTable[[#This Row],[Unit Cost]]</f>
        <v>494</v>
      </c>
      <c r="X748" s="77">
        <f>'Dropdown Lists'!$I$2*(1+OrdersTable[[#This Row],[Returned]])</f>
        <v>60</v>
      </c>
      <c r="Y748" s="76">
        <f>OrdersTable[[#This Row],[Net Revenue]]-OrdersTable[[#This Row],[COGS]]-OrdersTable[[#This Row],[Shipping Cost]]</f>
        <v>300.04999999999995</v>
      </c>
      <c r="Z748" s="78">
        <f>IFERROR(OrdersTable[[#This Row],[Profit]]/OrdersTable[[#This Row],[Net Revenue]],0)</f>
        <v>0.35132603477548152</v>
      </c>
      <c r="AA748" t="s">
        <v>2522</v>
      </c>
      <c r="AB748" s="79">
        <v>45447</v>
      </c>
      <c r="AC748">
        <f>OrdersTable[[#This Row],[Delivery Date]]-OrdersTable[[#This Row],[Order Date]]</f>
        <v>2</v>
      </c>
      <c r="AD748" t="str">
        <f>IF(OrdersTable[[#This Row],[Delivery Days]]&lt;=2, "Express (≤2d)", IF(OrdersTable[[#This Row],[Delivery Days]]&lt;=4, "Standard (3-4d)", "Delayed (5d+)"))</f>
        <v>Express (≤2d)</v>
      </c>
      <c r="AE748">
        <v>4</v>
      </c>
      <c r="AF748">
        <v>0</v>
      </c>
    </row>
    <row r="749" spans="1:32" ht="15" x14ac:dyDescent="0.35">
      <c r="A749" t="s">
        <v>2082</v>
      </c>
      <c r="B749" s="1">
        <v>45446</v>
      </c>
      <c r="C749">
        <f>YEAR(OrdersTable[[#This Row],[Order Date]])</f>
        <v>2024</v>
      </c>
      <c r="D749" s="2">
        <f>DATE(YEAR(OrdersTable[[#This Row],[Order Date]]),MONTH(OrdersTable[[#This Row],[Order Date]]),1)</f>
        <v>45444</v>
      </c>
      <c r="E749">
        <f>MONTH(OrdersTable[[#This Row],[Order Date]])</f>
        <v>6</v>
      </c>
      <c r="F749" t="s">
        <v>2083</v>
      </c>
      <c r="G749" t="str">
        <f>IF(OrdersTable[[#This Row],[Order Date]]=_xlfn.MINIFS(Order_Date, Customer_ID, OrdersTable[[#This Row],[Customer ID]]), "New", "Repeat")</f>
        <v>New</v>
      </c>
      <c r="H749" t="s">
        <v>184</v>
      </c>
      <c r="I749" t="str">
        <f>INDEX(State!B:B,MATCH(OrdersTable[[#This Row],[State]],State!A:A,0))</f>
        <v>UK</v>
      </c>
      <c r="J749" t="str">
        <f>INDEX(State!C:C,MATCH(OrdersTable[[#This Row],[State Code]],State!B:B,0))</f>
        <v>North</v>
      </c>
      <c r="K749" t="s">
        <v>185</v>
      </c>
      <c r="L749" t="s">
        <v>39</v>
      </c>
      <c r="M749" t="s">
        <v>148</v>
      </c>
      <c r="N749" t="str">
        <f>INDEX(Products!B:B,MATCH(OrdersTable[[#This Row],[Product ID]],Products!A:A,0))</f>
        <v>Smartwatch Strap</v>
      </c>
      <c r="O749" t="str">
        <f>INDEX(Products!C:C,MATCH(OrdersTable[[#This Row],[Product ID]],Products!A:A,0))</f>
        <v>Electronics</v>
      </c>
      <c r="P749">
        <v>1</v>
      </c>
      <c r="Q749" s="5">
        <v>499</v>
      </c>
      <c r="R749" s="74">
        <v>0.15</v>
      </c>
      <c r="S749" s="75">
        <f>OrdersTable[[#This Row],[Quantity]]*OrdersTable[[#This Row],[Unit Price]]</f>
        <v>499</v>
      </c>
      <c r="T749" s="5">
        <f>OrdersTable[[#This Row],[Gross Sale]]*OrdersTable[[#This Row],[Discount_Clean2]]</f>
        <v>74.849999999999994</v>
      </c>
      <c r="U749" s="5">
        <f>OrdersTable[[#This Row],[Gross Sale]]-OrdersTable[[#This Row],[Discount Amount]]</f>
        <v>424.15</v>
      </c>
      <c r="V749" s="77">
        <f>INDEX(Products!E:E,MATCH(OrdersTable[[#This Row],[Product ID]],Products!A:A,0))</f>
        <v>200</v>
      </c>
      <c r="W749" s="77">
        <f>OrdersTable[[#This Row],[Quantity]]*OrdersTable[[#This Row],[Unit Cost]]</f>
        <v>200</v>
      </c>
      <c r="X749" s="77">
        <f>'Dropdown Lists'!$I$2*(1+OrdersTable[[#This Row],[Returned]])</f>
        <v>60</v>
      </c>
      <c r="Y749" s="76">
        <f>OrdersTable[[#This Row],[Net Revenue]]-OrdersTable[[#This Row],[COGS]]-OrdersTable[[#This Row],[Shipping Cost]]</f>
        <v>164.14999999999998</v>
      </c>
      <c r="Z749" s="78">
        <f>IFERROR(OrdersTable[[#This Row],[Profit]]/OrdersTable[[#This Row],[Net Revenue]],0)</f>
        <v>0.38700931274313327</v>
      </c>
      <c r="AA749" t="s">
        <v>18</v>
      </c>
      <c r="AB749" s="79">
        <v>45451</v>
      </c>
      <c r="AC749">
        <f>OrdersTable[[#This Row],[Delivery Date]]-OrdersTable[[#This Row],[Order Date]]</f>
        <v>5</v>
      </c>
      <c r="AD749" t="str">
        <f>IF(OrdersTable[[#This Row],[Delivery Days]]&lt;=2, "Express (≤2d)", IF(OrdersTable[[#This Row],[Delivery Days]]&lt;=4, "Standard (3-4d)", "Delayed (5d+)"))</f>
        <v>Delayed (5d+)</v>
      </c>
      <c r="AE749">
        <v>3</v>
      </c>
      <c r="AF749">
        <v>0</v>
      </c>
    </row>
    <row r="750" spans="1:32" ht="15" x14ac:dyDescent="0.35">
      <c r="A750" t="s">
        <v>4766</v>
      </c>
      <c r="B750" s="1">
        <v>45446</v>
      </c>
      <c r="C750">
        <f>YEAR(OrdersTable[[#This Row],[Order Date]])</f>
        <v>2024</v>
      </c>
      <c r="D750" s="2">
        <f>DATE(YEAR(OrdersTable[[#This Row],[Order Date]]),MONTH(OrdersTable[[#This Row],[Order Date]]),1)</f>
        <v>45444</v>
      </c>
      <c r="E750">
        <f>MONTH(OrdersTable[[#This Row],[Order Date]])</f>
        <v>6</v>
      </c>
      <c r="F750" t="s">
        <v>3129</v>
      </c>
      <c r="G750" t="str">
        <f>IF(OrdersTable[[#This Row],[Order Date]]=_xlfn.MINIFS(Order_Date, Customer_ID, OrdersTable[[#This Row],[Customer ID]]), "New", "Repeat")</f>
        <v>New</v>
      </c>
      <c r="H750" t="s">
        <v>54</v>
      </c>
      <c r="I750" t="str">
        <f>INDEX(State!B:B,MATCH(OrdersTable[[#This Row],[State]],State!A:A,0))</f>
        <v>RJ</v>
      </c>
      <c r="J750" t="str">
        <f>INDEX(State!C:C,MATCH(OrdersTable[[#This Row],[State Code]],State!B:B,0))</f>
        <v>North</v>
      </c>
      <c r="K750" t="s">
        <v>227</v>
      </c>
      <c r="L750" t="s">
        <v>50</v>
      </c>
      <c r="M750" t="s">
        <v>40</v>
      </c>
      <c r="N750" t="str">
        <f>INDEX(Products!B:B,MATCH(OrdersTable[[#This Row],[Product ID]],Products!A:A,0))</f>
        <v>Ashwagandha Capsules</v>
      </c>
      <c r="O750" t="str">
        <f>INDEX(Products!C:C,MATCH(OrdersTable[[#This Row],[Product ID]],Products!A:A,0))</f>
        <v>Wellness</v>
      </c>
      <c r="P750">
        <v>2</v>
      </c>
      <c r="Q750" s="5">
        <v>499</v>
      </c>
      <c r="R750" s="74">
        <v>0.05</v>
      </c>
      <c r="S750" s="75">
        <f>OrdersTable[[#This Row],[Quantity]]*OrdersTable[[#This Row],[Unit Price]]</f>
        <v>998</v>
      </c>
      <c r="T750" s="5">
        <f>OrdersTable[[#This Row],[Gross Sale]]*OrdersTable[[#This Row],[Discount_Clean2]]</f>
        <v>49.900000000000006</v>
      </c>
      <c r="U750" s="5">
        <f>OrdersTable[[#This Row],[Gross Sale]]-OrdersTable[[#This Row],[Discount Amount]]</f>
        <v>948.1</v>
      </c>
      <c r="V750" s="77">
        <f>INDEX(Products!E:E,MATCH(OrdersTable[[#This Row],[Product ID]],Products!A:A,0))</f>
        <v>150</v>
      </c>
      <c r="W750" s="77">
        <f>OrdersTable[[#This Row],[Quantity]]*OrdersTable[[#This Row],[Unit Cost]]</f>
        <v>300</v>
      </c>
      <c r="X750" s="77">
        <f>'Dropdown Lists'!$I$2*(1+OrdersTable[[#This Row],[Returned]])</f>
        <v>60</v>
      </c>
      <c r="Y750" s="76">
        <f>OrdersTable[[#This Row],[Net Revenue]]-OrdersTable[[#This Row],[COGS]]-OrdersTable[[#This Row],[Shipping Cost]]</f>
        <v>588.1</v>
      </c>
      <c r="Z750" s="78">
        <f>IFERROR(OrdersTable[[#This Row],[Profit]]/OrdersTable[[#This Row],[Net Revenue]],0)</f>
        <v>0.62029321801497728</v>
      </c>
      <c r="AA750" t="s">
        <v>4450</v>
      </c>
      <c r="AB750" s="79">
        <v>45449</v>
      </c>
      <c r="AC750">
        <f>OrdersTable[[#This Row],[Delivery Date]]-OrdersTable[[#This Row],[Order Date]]</f>
        <v>3</v>
      </c>
      <c r="AD750" t="str">
        <f>IF(OrdersTable[[#This Row],[Delivery Days]]&lt;=2, "Express (≤2d)", IF(OrdersTable[[#This Row],[Delivery Days]]&lt;=4, "Standard (3-4d)", "Delayed (5d+)"))</f>
        <v>Standard (3-4d)</v>
      </c>
      <c r="AE750">
        <v>4</v>
      </c>
      <c r="AF750">
        <v>0</v>
      </c>
    </row>
    <row r="751" spans="1:32" ht="15" x14ac:dyDescent="0.35">
      <c r="A751" t="s">
        <v>2259</v>
      </c>
      <c r="B751" s="1">
        <v>45446</v>
      </c>
      <c r="C751">
        <f>YEAR(OrdersTable[[#This Row],[Order Date]])</f>
        <v>2024</v>
      </c>
      <c r="D751" s="2">
        <f>DATE(YEAR(OrdersTable[[#This Row],[Order Date]]),MONTH(OrdersTable[[#This Row],[Order Date]]),1)</f>
        <v>45444</v>
      </c>
      <c r="E751">
        <f>MONTH(OrdersTable[[#This Row],[Order Date]])</f>
        <v>6</v>
      </c>
      <c r="F751" t="s">
        <v>2260</v>
      </c>
      <c r="G751" t="str">
        <f>IF(OrdersTable[[#This Row],[Order Date]]=_xlfn.MINIFS(Order_Date, Customer_ID, OrdersTable[[#This Row],[Customer ID]]), "New", "Repeat")</f>
        <v>Repeat</v>
      </c>
      <c r="H751" t="s">
        <v>37</v>
      </c>
      <c r="I751" t="str">
        <f>INDEX(State!B:B,MATCH(OrdersTable[[#This Row],[State]],State!A:A,0))</f>
        <v>GJ</v>
      </c>
      <c r="J751" t="str">
        <f>INDEX(State!C:C,MATCH(OrdersTable[[#This Row],[State Code]],State!B:B,0))</f>
        <v>West</v>
      </c>
      <c r="K751" t="s">
        <v>38</v>
      </c>
      <c r="L751" t="s">
        <v>65</v>
      </c>
      <c r="M751" t="s">
        <v>106</v>
      </c>
      <c r="N751" t="str">
        <f>INDEX(Products!B:B,MATCH(OrdersTable[[#This Row],[Product ID]],Products!A:A,0))</f>
        <v>Keratin Hair Mask</v>
      </c>
      <c r="O751" t="str">
        <f>INDEX(Products!C:C,MATCH(OrdersTable[[#This Row],[Product ID]],Products!A:A,0))</f>
        <v>Haircare</v>
      </c>
      <c r="P751">
        <v>1</v>
      </c>
      <c r="Q751" s="5">
        <v>549</v>
      </c>
      <c r="R751" s="74">
        <v>0.25</v>
      </c>
      <c r="S751" s="75">
        <f>OrdersTable[[#This Row],[Quantity]]*OrdersTable[[#This Row],[Unit Price]]</f>
        <v>549</v>
      </c>
      <c r="T751" s="5">
        <f>OrdersTable[[#This Row],[Gross Sale]]*OrdersTable[[#This Row],[Discount_Clean2]]</f>
        <v>137.25</v>
      </c>
      <c r="U751" s="5">
        <f>OrdersTable[[#This Row],[Gross Sale]]-OrdersTable[[#This Row],[Discount Amount]]</f>
        <v>411.75</v>
      </c>
      <c r="V751" s="77">
        <f>INDEX(Products!E:E,MATCH(OrdersTable[[#This Row],[Product ID]],Products!A:A,0))</f>
        <v>170</v>
      </c>
      <c r="W751" s="77">
        <f>OrdersTable[[#This Row],[Quantity]]*OrdersTable[[#This Row],[Unit Cost]]</f>
        <v>170</v>
      </c>
      <c r="X751" s="77">
        <f>'Dropdown Lists'!$I$2*(1+OrdersTable[[#This Row],[Returned]])</f>
        <v>60</v>
      </c>
      <c r="Y751" s="76">
        <f>OrdersTable[[#This Row],[Net Revenue]]-OrdersTable[[#This Row],[COGS]]-OrdersTable[[#This Row],[Shipping Cost]]</f>
        <v>181.75</v>
      </c>
      <c r="Z751" s="78">
        <f>IFERROR(OrdersTable[[#This Row],[Profit]]/OrdersTable[[#This Row],[Net Revenue]],0)</f>
        <v>0.44140862173649059</v>
      </c>
      <c r="AA751" t="s">
        <v>18</v>
      </c>
      <c r="AB751" s="79">
        <v>45448</v>
      </c>
      <c r="AC751">
        <f>OrdersTable[[#This Row],[Delivery Date]]-OrdersTable[[#This Row],[Order Date]]</f>
        <v>2</v>
      </c>
      <c r="AD751" t="str">
        <f>IF(OrdersTable[[#This Row],[Delivery Days]]&lt;=2, "Express (≤2d)", IF(OrdersTable[[#This Row],[Delivery Days]]&lt;=4, "Standard (3-4d)", "Delayed (5d+)"))</f>
        <v>Express (≤2d)</v>
      </c>
      <c r="AE751">
        <v>5</v>
      </c>
      <c r="AF751">
        <v>0</v>
      </c>
    </row>
    <row r="752" spans="1:32" ht="15" x14ac:dyDescent="0.35">
      <c r="A752" t="s">
        <v>1138</v>
      </c>
      <c r="B752" s="1">
        <v>45446</v>
      </c>
      <c r="C752">
        <f>YEAR(OrdersTable[[#This Row],[Order Date]])</f>
        <v>2024</v>
      </c>
      <c r="D752" s="2">
        <f>DATE(YEAR(OrdersTable[[#This Row],[Order Date]]),MONTH(OrdersTable[[#This Row],[Order Date]]),1)</f>
        <v>45444</v>
      </c>
      <c r="E752">
        <f>MONTH(OrdersTable[[#This Row],[Order Date]])</f>
        <v>6</v>
      </c>
      <c r="F752" t="s">
        <v>1139</v>
      </c>
      <c r="G752" t="str">
        <f>IF(OrdersTable[[#This Row],[Order Date]]=_xlfn.MINIFS(Order_Date, Customer_ID, OrdersTable[[#This Row],[Customer ID]]), "New", "Repeat")</f>
        <v>Repeat</v>
      </c>
      <c r="H752" t="s">
        <v>59</v>
      </c>
      <c r="I752" t="str">
        <f>INDEX(State!B:B,MATCH(OrdersTable[[#This Row],[State]],State!A:A,0))</f>
        <v>TN</v>
      </c>
      <c r="J752" t="str">
        <f>INDEX(State!C:C,MATCH(OrdersTable[[#This Row],[State Code]],State!B:B,0))</f>
        <v>South</v>
      </c>
      <c r="K752" t="s">
        <v>64</v>
      </c>
      <c r="L752" t="s">
        <v>50</v>
      </c>
      <c r="M752" t="s">
        <v>109</v>
      </c>
      <c r="N752" t="str">
        <f>INDEX(Products!B:B,MATCH(OrdersTable[[#This Row],[Product ID]],Products!A:A,0))</f>
        <v>Onion Hair Oil</v>
      </c>
      <c r="O752" t="str">
        <f>INDEX(Products!C:C,MATCH(OrdersTable[[#This Row],[Product ID]],Products!A:A,0))</f>
        <v>Haircare</v>
      </c>
      <c r="P752">
        <v>1</v>
      </c>
      <c r="Q752" s="5">
        <v>349</v>
      </c>
      <c r="R752" s="74">
        <v>0.35</v>
      </c>
      <c r="S752" s="75">
        <f>OrdersTable[[#This Row],[Quantity]]*OrdersTable[[#This Row],[Unit Price]]</f>
        <v>349</v>
      </c>
      <c r="T752" s="5">
        <f>OrdersTable[[#This Row],[Gross Sale]]*OrdersTable[[#This Row],[Discount_Clean2]]</f>
        <v>122.14999999999999</v>
      </c>
      <c r="U752" s="5">
        <f>OrdersTable[[#This Row],[Gross Sale]]-OrdersTable[[#This Row],[Discount Amount]]</f>
        <v>226.85000000000002</v>
      </c>
      <c r="V752" s="77">
        <f>INDEX(Products!E:E,MATCH(OrdersTable[[#This Row],[Product ID]],Products!A:A,0))</f>
        <v>105</v>
      </c>
      <c r="W752" s="77">
        <f>OrdersTable[[#This Row],[Quantity]]*OrdersTable[[#This Row],[Unit Cost]]</f>
        <v>105</v>
      </c>
      <c r="X752" s="77">
        <f>'Dropdown Lists'!$I$2*(1+OrdersTable[[#This Row],[Returned]])</f>
        <v>60</v>
      </c>
      <c r="Y752" s="76">
        <f>OrdersTable[[#This Row],[Net Revenue]]-OrdersTable[[#This Row],[COGS]]-OrdersTable[[#This Row],[Shipping Cost]]</f>
        <v>61.850000000000023</v>
      </c>
      <c r="Z752" s="78">
        <f>IFERROR(OrdersTable[[#This Row],[Profit]]/OrdersTable[[#This Row],[Net Revenue]],0)</f>
        <v>0.27264712364998905</v>
      </c>
      <c r="AA752" t="s">
        <v>18</v>
      </c>
      <c r="AB752" s="79">
        <v>45447</v>
      </c>
      <c r="AC752">
        <f>OrdersTable[[#This Row],[Delivery Date]]-OrdersTable[[#This Row],[Order Date]]</f>
        <v>1</v>
      </c>
      <c r="AD752" t="str">
        <f>IF(OrdersTable[[#This Row],[Delivery Days]]&lt;=2, "Express (≤2d)", IF(OrdersTable[[#This Row],[Delivery Days]]&lt;=4, "Standard (3-4d)", "Delayed (5d+)"))</f>
        <v>Express (≤2d)</v>
      </c>
      <c r="AF752">
        <v>0</v>
      </c>
    </row>
    <row r="753" spans="1:32" ht="15" x14ac:dyDescent="0.35">
      <c r="A753" t="s">
        <v>1645</v>
      </c>
      <c r="B753" s="1">
        <v>45447</v>
      </c>
      <c r="C753">
        <f>YEAR(OrdersTable[[#This Row],[Order Date]])</f>
        <v>2024</v>
      </c>
      <c r="D753" s="2">
        <f>DATE(YEAR(OrdersTable[[#This Row],[Order Date]]),MONTH(OrdersTable[[#This Row],[Order Date]]),1)</f>
        <v>45444</v>
      </c>
      <c r="E753">
        <f>MONTH(OrdersTable[[#This Row],[Order Date]])</f>
        <v>6</v>
      </c>
      <c r="F753" t="s">
        <v>1374</v>
      </c>
      <c r="G753" t="str">
        <f>IF(OrdersTable[[#This Row],[Order Date]]=_xlfn.MINIFS(Order_Date, Customer_ID, OrdersTable[[#This Row],[Customer ID]]), "New", "Repeat")</f>
        <v>New</v>
      </c>
      <c r="H753" t="s">
        <v>158</v>
      </c>
      <c r="I753" t="str">
        <f>INDEX(State!B:B,MATCH(OrdersTable[[#This Row],[State]],State!A:A,0))</f>
        <v>HP</v>
      </c>
      <c r="J753" t="str">
        <f>INDEX(State!C:C,MATCH(OrdersTable[[#This Row],[State Code]],State!B:B,0))</f>
        <v>North</v>
      </c>
      <c r="K753" t="s">
        <v>159</v>
      </c>
      <c r="L753" t="s">
        <v>65</v>
      </c>
      <c r="M753" t="s">
        <v>40</v>
      </c>
      <c r="N753" t="str">
        <f>INDEX(Products!B:B,MATCH(OrdersTable[[#This Row],[Product ID]],Products!A:A,0))</f>
        <v>Ashwagandha Capsules</v>
      </c>
      <c r="O753" t="str">
        <f>INDEX(Products!C:C,MATCH(OrdersTable[[#This Row],[Product ID]],Products!A:A,0))</f>
        <v>Wellness</v>
      </c>
      <c r="P753">
        <v>1</v>
      </c>
      <c r="Q753" s="5">
        <v>499</v>
      </c>
      <c r="R753" s="74">
        <v>0</v>
      </c>
      <c r="S753" s="75">
        <f>OrdersTable[[#This Row],[Quantity]]*OrdersTable[[#This Row],[Unit Price]]</f>
        <v>499</v>
      </c>
      <c r="T753" s="5">
        <f>OrdersTable[[#This Row],[Gross Sale]]*OrdersTable[[#This Row],[Discount_Clean2]]</f>
        <v>0</v>
      </c>
      <c r="U753" s="5">
        <f>OrdersTable[[#This Row],[Gross Sale]]-OrdersTable[[#This Row],[Discount Amount]]</f>
        <v>499</v>
      </c>
      <c r="V753" s="77">
        <f>INDEX(Products!E:E,MATCH(OrdersTable[[#This Row],[Product ID]],Products!A:A,0))</f>
        <v>150</v>
      </c>
      <c r="W753" s="77">
        <f>OrdersTable[[#This Row],[Quantity]]*OrdersTable[[#This Row],[Unit Cost]]</f>
        <v>150</v>
      </c>
      <c r="X753" s="77">
        <f>'Dropdown Lists'!$I$2*(1+OrdersTable[[#This Row],[Returned]])</f>
        <v>60</v>
      </c>
      <c r="Y753" s="76">
        <f>OrdersTable[[#This Row],[Net Revenue]]-OrdersTable[[#This Row],[COGS]]-OrdersTable[[#This Row],[Shipping Cost]]</f>
        <v>289</v>
      </c>
      <c r="Z753" s="78">
        <f>IFERROR(OrdersTable[[#This Row],[Profit]]/OrdersTable[[#This Row],[Net Revenue]],0)</f>
        <v>0.57915831663326656</v>
      </c>
      <c r="AA753" t="s">
        <v>18</v>
      </c>
      <c r="AB753" s="79">
        <v>45451</v>
      </c>
      <c r="AC753">
        <f>OrdersTable[[#This Row],[Delivery Date]]-OrdersTable[[#This Row],[Order Date]]</f>
        <v>4</v>
      </c>
      <c r="AD753" t="str">
        <f>IF(OrdersTable[[#This Row],[Delivery Days]]&lt;=2, "Express (≤2d)", IF(OrdersTable[[#This Row],[Delivery Days]]&lt;=4, "Standard (3-4d)", "Delayed (5d+)"))</f>
        <v>Standard (3-4d)</v>
      </c>
      <c r="AF753">
        <v>0</v>
      </c>
    </row>
    <row r="754" spans="1:32" ht="15" x14ac:dyDescent="0.35">
      <c r="A754" t="s">
        <v>2261</v>
      </c>
      <c r="B754" s="1">
        <v>45447</v>
      </c>
      <c r="C754">
        <f>YEAR(OrdersTable[[#This Row],[Order Date]])</f>
        <v>2024</v>
      </c>
      <c r="D754" s="2">
        <f>DATE(YEAR(OrdersTable[[#This Row],[Order Date]]),MONTH(OrdersTable[[#This Row],[Order Date]]),1)</f>
        <v>45444</v>
      </c>
      <c r="E754">
        <f>MONTH(OrdersTable[[#This Row],[Order Date]])</f>
        <v>6</v>
      </c>
      <c r="F754" t="s">
        <v>2262</v>
      </c>
      <c r="G754" t="str">
        <f>IF(OrdersTable[[#This Row],[Order Date]]=_xlfn.MINIFS(Order_Date, Customer_ID, OrdersTable[[#This Row],[Customer ID]]), "New", "Repeat")</f>
        <v>New</v>
      </c>
      <c r="H754" t="s">
        <v>48</v>
      </c>
      <c r="I754" t="str">
        <f>INDEX(State!B:B,MATCH(OrdersTable[[#This Row],[State]],State!A:A,0))</f>
        <v>HR</v>
      </c>
      <c r="J754" t="str">
        <f>INDEX(State!C:C,MATCH(OrdersTable[[#This Row],[State Code]],State!B:B,0))</f>
        <v>North</v>
      </c>
      <c r="K754" t="s">
        <v>151</v>
      </c>
      <c r="L754" t="s">
        <v>23</v>
      </c>
      <c r="M754" t="s">
        <v>87</v>
      </c>
      <c r="N754" t="str">
        <f>INDEX(Products!B:B,MATCH(OrdersTable[[#This Row],[Product ID]],Products!A:A,0))</f>
        <v>Linen Kurta</v>
      </c>
      <c r="O754" t="str">
        <f>INDEX(Products!C:C,MATCH(OrdersTable[[#This Row],[Product ID]],Products!A:A,0))</f>
        <v>Apparel</v>
      </c>
      <c r="P754">
        <v>1</v>
      </c>
      <c r="Q754" s="5">
        <v>1499</v>
      </c>
      <c r="R754" s="74">
        <v>0.25</v>
      </c>
      <c r="S754" s="75">
        <f>OrdersTable[[#This Row],[Quantity]]*OrdersTable[[#This Row],[Unit Price]]</f>
        <v>1499</v>
      </c>
      <c r="T754" s="5">
        <f>OrdersTable[[#This Row],[Gross Sale]]*OrdersTable[[#This Row],[Discount_Clean2]]</f>
        <v>374.75</v>
      </c>
      <c r="U754" s="5">
        <f>OrdersTable[[#This Row],[Gross Sale]]-OrdersTable[[#This Row],[Discount Amount]]</f>
        <v>1124.25</v>
      </c>
      <c r="V754" s="77">
        <f>INDEX(Products!E:E,MATCH(OrdersTable[[#This Row],[Product ID]],Products!A:A,0))</f>
        <v>630</v>
      </c>
      <c r="W754" s="77">
        <f>OrdersTable[[#This Row],[Quantity]]*OrdersTable[[#This Row],[Unit Cost]]</f>
        <v>630</v>
      </c>
      <c r="X754" s="77">
        <f>'Dropdown Lists'!$I$2*(1+OrdersTable[[#This Row],[Returned]])</f>
        <v>60</v>
      </c>
      <c r="Y754" s="76">
        <f>OrdersTable[[#This Row],[Net Revenue]]-OrdersTable[[#This Row],[COGS]]-OrdersTable[[#This Row],[Shipping Cost]]</f>
        <v>434.25</v>
      </c>
      <c r="Z754" s="78">
        <f>IFERROR(OrdersTable[[#This Row],[Profit]]/OrdersTable[[#This Row],[Net Revenue]],0)</f>
        <v>0.38625750500333556</v>
      </c>
      <c r="AA754" t="s">
        <v>18</v>
      </c>
      <c r="AB754" s="79">
        <v>45449</v>
      </c>
      <c r="AC754">
        <f>OrdersTable[[#This Row],[Delivery Date]]-OrdersTable[[#This Row],[Order Date]]</f>
        <v>2</v>
      </c>
      <c r="AD754" t="str">
        <f>IF(OrdersTable[[#This Row],[Delivery Days]]&lt;=2, "Express (≤2d)", IF(OrdersTable[[#This Row],[Delivery Days]]&lt;=4, "Standard (3-4d)", "Delayed (5d+)"))</f>
        <v>Express (≤2d)</v>
      </c>
      <c r="AE754">
        <v>5</v>
      </c>
      <c r="AF754">
        <v>0</v>
      </c>
    </row>
    <row r="755" spans="1:32" ht="15" x14ac:dyDescent="0.35">
      <c r="A755" t="s">
        <v>1646</v>
      </c>
      <c r="B755" s="1">
        <v>45447</v>
      </c>
      <c r="C755">
        <f>YEAR(OrdersTable[[#This Row],[Order Date]])</f>
        <v>2024</v>
      </c>
      <c r="D755" s="2">
        <f>DATE(YEAR(OrdersTable[[#This Row],[Order Date]]),MONTH(OrdersTable[[#This Row],[Order Date]]),1)</f>
        <v>45444</v>
      </c>
      <c r="E755">
        <f>MONTH(OrdersTable[[#This Row],[Order Date]])</f>
        <v>6</v>
      </c>
      <c r="F755" t="s">
        <v>1647</v>
      </c>
      <c r="G755" t="str">
        <f>IF(OrdersTable[[#This Row],[Order Date]]=_xlfn.MINIFS(Order_Date, Customer_ID, OrdersTable[[#This Row],[Customer ID]]), "New", "Repeat")</f>
        <v>New</v>
      </c>
      <c r="H755" t="s">
        <v>132</v>
      </c>
      <c r="I755" t="str">
        <f>INDEX(State!B:B,MATCH(OrdersTable[[#This Row],[State]],State!A:A,0))</f>
        <v>AS</v>
      </c>
      <c r="J755" t="str">
        <f>INDEX(State!C:C,MATCH(OrdersTable[[#This Row],[State Code]],State!B:B,0))</f>
        <v>East</v>
      </c>
      <c r="K755" t="s">
        <v>133</v>
      </c>
      <c r="L755" t="s">
        <v>65</v>
      </c>
      <c r="M755" t="s">
        <v>29</v>
      </c>
      <c r="N755" t="str">
        <f>INDEX(Products!B:B,MATCH(OrdersTable[[#This Row],[Product ID]],Products!A:A,0))</f>
        <v>Joggers</v>
      </c>
      <c r="O755" t="str">
        <f>INDEX(Products!C:C,MATCH(OrdersTable[[#This Row],[Product ID]],Products!A:A,0))</f>
        <v>Apparel</v>
      </c>
      <c r="P755">
        <v>1</v>
      </c>
      <c r="Q755" s="5">
        <v>1199</v>
      </c>
      <c r="R755" s="74">
        <v>0.15</v>
      </c>
      <c r="S755" s="75">
        <f>OrdersTable[[#This Row],[Quantity]]*OrdersTable[[#This Row],[Unit Price]]</f>
        <v>1199</v>
      </c>
      <c r="T755" s="5">
        <f>OrdersTable[[#This Row],[Gross Sale]]*OrdersTable[[#This Row],[Discount_Clean2]]</f>
        <v>179.85</v>
      </c>
      <c r="U755" s="5">
        <f>OrdersTable[[#This Row],[Gross Sale]]-OrdersTable[[#This Row],[Discount Amount]]</f>
        <v>1019.15</v>
      </c>
      <c r="V755" s="77">
        <f>INDEX(Products!E:E,MATCH(OrdersTable[[#This Row],[Product ID]],Products!A:A,0))</f>
        <v>492</v>
      </c>
      <c r="W755" s="77">
        <f>OrdersTable[[#This Row],[Quantity]]*OrdersTable[[#This Row],[Unit Cost]]</f>
        <v>492</v>
      </c>
      <c r="X755" s="77">
        <f>'Dropdown Lists'!$I$2*(1+OrdersTable[[#This Row],[Returned]])</f>
        <v>120</v>
      </c>
      <c r="Y755" s="76">
        <f>OrdersTable[[#This Row],[Net Revenue]]-OrdersTable[[#This Row],[COGS]]-OrdersTable[[#This Row],[Shipping Cost]]</f>
        <v>407.15</v>
      </c>
      <c r="Z755" s="78">
        <f>IFERROR(OrdersTable[[#This Row],[Profit]]/OrdersTable[[#This Row],[Net Revenue]],0)</f>
        <v>0.3994995829858215</v>
      </c>
      <c r="AA755" t="s">
        <v>18</v>
      </c>
      <c r="AB755" s="79">
        <v>45454</v>
      </c>
      <c r="AC755">
        <f>OrdersTable[[#This Row],[Delivery Date]]-OrdersTable[[#This Row],[Order Date]]</f>
        <v>7</v>
      </c>
      <c r="AD755" t="str">
        <f>IF(OrdersTable[[#This Row],[Delivery Days]]&lt;=2, "Express (≤2d)", IF(OrdersTable[[#This Row],[Delivery Days]]&lt;=4, "Standard (3-4d)", "Delayed (5d+)"))</f>
        <v>Delayed (5d+)</v>
      </c>
      <c r="AF755">
        <v>1</v>
      </c>
    </row>
    <row r="756" spans="1:32" ht="15" x14ac:dyDescent="0.35">
      <c r="A756" t="s">
        <v>2263</v>
      </c>
      <c r="B756" s="1">
        <v>45447</v>
      </c>
      <c r="C756">
        <f>YEAR(OrdersTable[[#This Row],[Order Date]])</f>
        <v>2024</v>
      </c>
      <c r="D756" s="2">
        <f>DATE(YEAR(OrdersTable[[#This Row],[Order Date]]),MONTH(OrdersTable[[#This Row],[Order Date]]),1)</f>
        <v>45444</v>
      </c>
      <c r="E756">
        <f>MONTH(OrdersTable[[#This Row],[Order Date]])</f>
        <v>6</v>
      </c>
      <c r="F756" t="s">
        <v>2264</v>
      </c>
      <c r="G756" t="str">
        <f>IF(OrdersTable[[#This Row],[Order Date]]=_xlfn.MINIFS(Order_Date, Customer_ID, OrdersTable[[#This Row],[Customer ID]]), "New", "Repeat")</f>
        <v>New</v>
      </c>
      <c r="H756" t="s">
        <v>37</v>
      </c>
      <c r="I756" t="str">
        <f>INDEX(State!B:B,MATCH(OrdersTable[[#This Row],[State]],State!A:A,0))</f>
        <v>GJ</v>
      </c>
      <c r="J756" t="str">
        <f>INDEX(State!C:C,MATCH(OrdersTable[[#This Row],[State Code]],State!B:B,0))</f>
        <v>West</v>
      </c>
      <c r="K756" t="s">
        <v>38</v>
      </c>
      <c r="L756" t="s">
        <v>23</v>
      </c>
      <c r="M756" t="s">
        <v>45</v>
      </c>
      <c r="N756" t="str">
        <f>INDEX(Products!B:B,MATCH(OrdersTable[[#This Row],[Product ID]],Products!A:A,0))</f>
        <v>Argan Shampoo</v>
      </c>
      <c r="O756" t="str">
        <f>INDEX(Products!C:C,MATCH(OrdersTable[[#This Row],[Product ID]],Products!A:A,0))</f>
        <v>Haircare</v>
      </c>
      <c r="P756">
        <v>1</v>
      </c>
      <c r="Q756" s="5">
        <v>449</v>
      </c>
      <c r="R756" s="74">
        <v>0.05</v>
      </c>
      <c r="S756" s="75">
        <f>OrdersTable[[#This Row],[Quantity]]*OrdersTable[[#This Row],[Unit Price]]</f>
        <v>449</v>
      </c>
      <c r="T756" s="5">
        <f>OrdersTable[[#This Row],[Gross Sale]]*OrdersTable[[#This Row],[Discount_Clean2]]</f>
        <v>22.450000000000003</v>
      </c>
      <c r="U756" s="5">
        <f>OrdersTable[[#This Row],[Gross Sale]]-OrdersTable[[#This Row],[Discount Amount]]</f>
        <v>426.55</v>
      </c>
      <c r="V756" s="77">
        <f>INDEX(Products!E:E,MATCH(OrdersTable[[#This Row],[Product ID]],Products!A:A,0))</f>
        <v>148</v>
      </c>
      <c r="W756" s="77">
        <f>OrdersTable[[#This Row],[Quantity]]*OrdersTable[[#This Row],[Unit Cost]]</f>
        <v>148</v>
      </c>
      <c r="X756" s="77">
        <f>'Dropdown Lists'!$I$2*(1+OrdersTable[[#This Row],[Returned]])</f>
        <v>60</v>
      </c>
      <c r="Y756" s="76">
        <f>OrdersTable[[#This Row],[Net Revenue]]-OrdersTable[[#This Row],[COGS]]-OrdersTable[[#This Row],[Shipping Cost]]</f>
        <v>218.55</v>
      </c>
      <c r="Z756" s="78">
        <f>IFERROR(OrdersTable[[#This Row],[Profit]]/OrdersTable[[#This Row],[Net Revenue]],0)</f>
        <v>0.51236666275934828</v>
      </c>
      <c r="AA756" t="s">
        <v>18</v>
      </c>
      <c r="AB756" s="79">
        <v>45450</v>
      </c>
      <c r="AC756">
        <f>OrdersTable[[#This Row],[Delivery Date]]-OrdersTable[[#This Row],[Order Date]]</f>
        <v>3</v>
      </c>
      <c r="AD756" t="str">
        <f>IF(OrdersTable[[#This Row],[Delivery Days]]&lt;=2, "Express (≤2d)", IF(OrdersTable[[#This Row],[Delivery Days]]&lt;=4, "Standard (3-4d)", "Delayed (5d+)"))</f>
        <v>Standard (3-4d)</v>
      </c>
      <c r="AE756">
        <v>5</v>
      </c>
      <c r="AF756">
        <v>0</v>
      </c>
    </row>
    <row r="757" spans="1:32" ht="15" x14ac:dyDescent="0.35">
      <c r="A757" t="s">
        <v>5327</v>
      </c>
      <c r="B757" s="1">
        <v>45448</v>
      </c>
      <c r="C757">
        <f>YEAR(OrdersTable[[#This Row],[Order Date]])</f>
        <v>2024</v>
      </c>
      <c r="D757" s="2">
        <f>DATE(YEAR(OrdersTable[[#This Row],[Order Date]]),MONTH(OrdersTable[[#This Row],[Order Date]]),1)</f>
        <v>45444</v>
      </c>
      <c r="E757">
        <f>MONTH(OrdersTable[[#This Row],[Order Date]])</f>
        <v>6</v>
      </c>
      <c r="F757" t="s">
        <v>1119</v>
      </c>
      <c r="G757" t="str">
        <f>IF(OrdersTable[[#This Row],[Order Date]]=_xlfn.MINIFS(Order_Date, Customer_ID, OrdersTable[[#This Row],[Customer ID]]), "New", "Repeat")</f>
        <v>New</v>
      </c>
      <c r="H757" t="s">
        <v>76</v>
      </c>
      <c r="I757" t="str">
        <f>INDEX(State!B:B,MATCH(OrdersTable[[#This Row],[State]],State!A:A,0))</f>
        <v>UP</v>
      </c>
      <c r="J757" t="str">
        <f>INDEX(State!C:C,MATCH(OrdersTable[[#This Row],[State Code]],State!B:B,0))</f>
        <v>North</v>
      </c>
      <c r="K757" t="s">
        <v>105</v>
      </c>
      <c r="L757" t="s">
        <v>23</v>
      </c>
      <c r="M757" t="s">
        <v>92</v>
      </c>
      <c r="N757" t="str">
        <f>INDEX(Products!B:B,MATCH(OrdersTable[[#This Row],[Product ID]],Products!A:A,0))</f>
        <v>Kolhapuri Sandals</v>
      </c>
      <c r="O757" t="str">
        <f>INDEX(Products!C:C,MATCH(OrdersTable[[#This Row],[Product ID]],Products!A:A,0))</f>
        <v>Footwear</v>
      </c>
      <c r="P757">
        <v>2</v>
      </c>
      <c r="Q757" s="5">
        <v>999</v>
      </c>
      <c r="R757" s="74">
        <v>0.05</v>
      </c>
      <c r="S757" s="75">
        <f>OrdersTable[[#This Row],[Quantity]]*OrdersTable[[#This Row],[Unit Price]]</f>
        <v>1998</v>
      </c>
      <c r="T757" s="5">
        <f>OrdersTable[[#This Row],[Gross Sale]]*OrdersTable[[#This Row],[Discount_Clean2]]</f>
        <v>99.9</v>
      </c>
      <c r="U757" s="5">
        <f>OrdersTable[[#This Row],[Gross Sale]]-OrdersTable[[#This Row],[Discount Amount]]</f>
        <v>1898.1</v>
      </c>
      <c r="V757" s="77">
        <f>INDEX(Products!E:E,MATCH(OrdersTable[[#This Row],[Product ID]],Products!A:A,0))</f>
        <v>400</v>
      </c>
      <c r="W757" s="77">
        <f>OrdersTable[[#This Row],[Quantity]]*OrdersTable[[#This Row],[Unit Cost]]</f>
        <v>800</v>
      </c>
      <c r="X757" s="77">
        <f>'Dropdown Lists'!$I$2*(1+OrdersTable[[#This Row],[Returned]])</f>
        <v>120</v>
      </c>
      <c r="Y757" s="76">
        <f>OrdersTable[[#This Row],[Net Revenue]]-OrdersTable[[#This Row],[COGS]]-OrdersTable[[#This Row],[Shipping Cost]]</f>
        <v>978.09999999999991</v>
      </c>
      <c r="Z757" s="78">
        <f>IFERROR(OrdersTable[[#This Row],[Profit]]/OrdersTable[[#This Row],[Net Revenue]],0)</f>
        <v>0.5153047784626732</v>
      </c>
      <c r="AA757" t="s">
        <v>2522</v>
      </c>
      <c r="AB757" s="79">
        <v>45453</v>
      </c>
      <c r="AC757">
        <f>OrdersTable[[#This Row],[Delivery Date]]-OrdersTable[[#This Row],[Order Date]]</f>
        <v>5</v>
      </c>
      <c r="AD757" t="str">
        <f>IF(OrdersTable[[#This Row],[Delivery Days]]&lt;=2, "Express (≤2d)", IF(OrdersTable[[#This Row],[Delivery Days]]&lt;=4, "Standard (3-4d)", "Delayed (5d+)"))</f>
        <v>Delayed (5d+)</v>
      </c>
      <c r="AE757">
        <v>3</v>
      </c>
      <c r="AF757">
        <v>1</v>
      </c>
    </row>
    <row r="758" spans="1:32" ht="15" x14ac:dyDescent="0.35">
      <c r="A758" t="s">
        <v>3405</v>
      </c>
      <c r="B758" s="1">
        <v>45448</v>
      </c>
      <c r="C758">
        <f>YEAR(OrdersTable[[#This Row],[Order Date]])</f>
        <v>2024</v>
      </c>
      <c r="D758" s="2">
        <f>DATE(YEAR(OrdersTable[[#This Row],[Order Date]]),MONTH(OrdersTable[[#This Row],[Order Date]]),1)</f>
        <v>45444</v>
      </c>
      <c r="E758">
        <f>MONTH(OrdersTable[[#This Row],[Order Date]])</f>
        <v>6</v>
      </c>
      <c r="F758" t="s">
        <v>811</v>
      </c>
      <c r="G758" t="str">
        <f>IF(OrdersTable[[#This Row],[Order Date]]=_xlfn.MINIFS(Order_Date, Customer_ID, OrdersTable[[#This Row],[Customer ID]]), "New", "Repeat")</f>
        <v>Repeat</v>
      </c>
      <c r="H758" t="s">
        <v>76</v>
      </c>
      <c r="I758" t="str">
        <f>INDEX(State!B:B,MATCH(OrdersTable[[#This Row],[State]],State!A:A,0))</f>
        <v>UP</v>
      </c>
      <c r="J758" t="str">
        <f>INDEX(State!C:C,MATCH(OrdersTable[[#This Row],[State Code]],State!B:B,0))</f>
        <v>North</v>
      </c>
      <c r="K758" t="s">
        <v>77</v>
      </c>
      <c r="L758" t="s">
        <v>65</v>
      </c>
      <c r="M758" t="s">
        <v>29</v>
      </c>
      <c r="N758" t="str">
        <f>INDEX(Products!B:B,MATCH(OrdersTable[[#This Row],[Product ID]],Products!A:A,0))</f>
        <v>Joggers</v>
      </c>
      <c r="O758" t="str">
        <f>INDEX(Products!C:C,MATCH(OrdersTable[[#This Row],[Product ID]],Products!A:A,0))</f>
        <v>Apparel</v>
      </c>
      <c r="P758">
        <v>1</v>
      </c>
      <c r="Q758" s="5">
        <v>1199</v>
      </c>
      <c r="R758" s="74">
        <v>0.15</v>
      </c>
      <c r="S758" s="75">
        <f>OrdersTable[[#This Row],[Quantity]]*OrdersTable[[#This Row],[Unit Price]]</f>
        <v>1199</v>
      </c>
      <c r="T758" s="5">
        <f>OrdersTable[[#This Row],[Gross Sale]]*OrdersTable[[#This Row],[Discount_Clean2]]</f>
        <v>179.85</v>
      </c>
      <c r="U758" s="5">
        <f>OrdersTable[[#This Row],[Gross Sale]]-OrdersTable[[#This Row],[Discount Amount]]</f>
        <v>1019.15</v>
      </c>
      <c r="V758" s="77">
        <f>INDEX(Products!E:E,MATCH(OrdersTable[[#This Row],[Product ID]],Products!A:A,0))</f>
        <v>492</v>
      </c>
      <c r="W758" s="77">
        <f>OrdersTable[[#This Row],[Quantity]]*OrdersTable[[#This Row],[Unit Cost]]</f>
        <v>492</v>
      </c>
      <c r="X758" s="77">
        <f>'Dropdown Lists'!$I$2*(1+OrdersTable[[#This Row],[Returned]])</f>
        <v>60</v>
      </c>
      <c r="Y758" s="76">
        <f>OrdersTable[[#This Row],[Net Revenue]]-OrdersTable[[#This Row],[COGS]]-OrdersTable[[#This Row],[Shipping Cost]]</f>
        <v>467.15</v>
      </c>
      <c r="Z758" s="78">
        <f>IFERROR(OrdersTable[[#This Row],[Profit]]/OrdersTable[[#This Row],[Net Revenue]],0)</f>
        <v>0.45837217288917231</v>
      </c>
      <c r="AA758" t="s">
        <v>2522</v>
      </c>
      <c r="AB758" s="79">
        <v>45452</v>
      </c>
      <c r="AC758">
        <f>OrdersTable[[#This Row],[Delivery Date]]-OrdersTable[[#This Row],[Order Date]]</f>
        <v>4</v>
      </c>
      <c r="AD758" t="str">
        <f>IF(OrdersTable[[#This Row],[Delivery Days]]&lt;=2, "Express (≤2d)", IF(OrdersTable[[#This Row],[Delivery Days]]&lt;=4, "Standard (3-4d)", "Delayed (5d+)"))</f>
        <v>Standard (3-4d)</v>
      </c>
      <c r="AE758">
        <v>4</v>
      </c>
      <c r="AF758">
        <v>0</v>
      </c>
    </row>
    <row r="759" spans="1:32" ht="15" x14ac:dyDescent="0.35">
      <c r="A759" t="s">
        <v>7145</v>
      </c>
      <c r="B759" s="1">
        <v>45448</v>
      </c>
      <c r="C759">
        <f>YEAR(OrdersTable[[#This Row],[Order Date]])</f>
        <v>2024</v>
      </c>
      <c r="D759" s="2">
        <f>DATE(YEAR(OrdersTable[[#This Row],[Order Date]]),MONTH(OrdersTable[[#This Row],[Order Date]]),1)</f>
        <v>45444</v>
      </c>
      <c r="E759">
        <f>MONTH(OrdersTable[[#This Row],[Order Date]])</f>
        <v>6</v>
      </c>
      <c r="F759" t="s">
        <v>288</v>
      </c>
      <c r="G759" t="str">
        <f>IF(OrdersTable[[#This Row],[Order Date]]=_xlfn.MINIFS(Order_Date, Customer_ID, OrdersTable[[#This Row],[Customer ID]]), "New", "Repeat")</f>
        <v>Repeat</v>
      </c>
      <c r="H759" t="s">
        <v>37</v>
      </c>
      <c r="I759" t="str">
        <f>INDEX(State!B:B,MATCH(OrdersTable[[#This Row],[State]],State!A:A,0))</f>
        <v>GJ</v>
      </c>
      <c r="J759" t="str">
        <f>INDEX(State!C:C,MATCH(OrdersTable[[#This Row],[State Code]],State!B:B,0))</f>
        <v>West</v>
      </c>
      <c r="K759" t="s">
        <v>38</v>
      </c>
      <c r="L759" t="s">
        <v>50</v>
      </c>
      <c r="M759" t="s">
        <v>152</v>
      </c>
      <c r="N759" t="str">
        <f>INDEX(Products!B:B,MATCH(OrdersTable[[#This Row],[Product ID]],Products!A:A,0))</f>
        <v>Green Tea (100 bags)</v>
      </c>
      <c r="O759" t="str">
        <f>INDEX(Products!C:C,MATCH(OrdersTable[[#This Row],[Product ID]],Products!A:A,0))</f>
        <v>Wellness</v>
      </c>
      <c r="P759">
        <v>5</v>
      </c>
      <c r="Q759" s="5">
        <v>399</v>
      </c>
      <c r="R759" s="74">
        <v>0.35</v>
      </c>
      <c r="S759" s="75">
        <f>OrdersTable[[#This Row],[Quantity]]*OrdersTable[[#This Row],[Unit Price]]</f>
        <v>1995</v>
      </c>
      <c r="T759" s="5">
        <f>OrdersTable[[#This Row],[Gross Sale]]*OrdersTable[[#This Row],[Discount_Clean2]]</f>
        <v>698.25</v>
      </c>
      <c r="U759" s="5">
        <f>OrdersTable[[#This Row],[Gross Sale]]-OrdersTable[[#This Row],[Discount Amount]]</f>
        <v>1296.75</v>
      </c>
      <c r="V759" s="77">
        <f>INDEX(Products!E:E,MATCH(OrdersTable[[#This Row],[Product ID]],Products!A:A,0))</f>
        <v>128</v>
      </c>
      <c r="W759" s="77">
        <f>OrdersTable[[#This Row],[Quantity]]*OrdersTable[[#This Row],[Unit Cost]]</f>
        <v>640</v>
      </c>
      <c r="X759" s="77">
        <f>'Dropdown Lists'!$I$2*(1+OrdersTable[[#This Row],[Returned]])</f>
        <v>120</v>
      </c>
      <c r="Y759" s="76">
        <f>OrdersTable[[#This Row],[Net Revenue]]-OrdersTable[[#This Row],[COGS]]-OrdersTable[[#This Row],[Shipping Cost]]</f>
        <v>536.75</v>
      </c>
      <c r="Z759" s="78">
        <f>IFERROR(OrdersTable[[#This Row],[Profit]]/OrdersTable[[#This Row],[Net Revenue]],0)</f>
        <v>0.41391941391941389</v>
      </c>
      <c r="AA759" t="s">
        <v>18</v>
      </c>
      <c r="AB759" s="79">
        <v>45450</v>
      </c>
      <c r="AC759">
        <f>OrdersTable[[#This Row],[Delivery Date]]-OrdersTable[[#This Row],[Order Date]]</f>
        <v>2</v>
      </c>
      <c r="AD759" t="str">
        <f>IF(OrdersTable[[#This Row],[Delivery Days]]&lt;=2, "Express (≤2d)", IF(OrdersTable[[#This Row],[Delivery Days]]&lt;=4, "Standard (3-4d)", "Delayed (5d+)"))</f>
        <v>Express (≤2d)</v>
      </c>
      <c r="AE759">
        <v>4</v>
      </c>
      <c r="AF759">
        <v>1</v>
      </c>
    </row>
    <row r="760" spans="1:32" ht="15" x14ac:dyDescent="0.35">
      <c r="A760" t="s">
        <v>4910</v>
      </c>
      <c r="B760" s="1">
        <v>45448</v>
      </c>
      <c r="C760">
        <f>YEAR(OrdersTable[[#This Row],[Order Date]])</f>
        <v>2024</v>
      </c>
      <c r="D760" s="2">
        <f>DATE(YEAR(OrdersTable[[#This Row],[Order Date]]),MONTH(OrdersTable[[#This Row],[Order Date]]),1)</f>
        <v>45444</v>
      </c>
      <c r="E760">
        <f>MONTH(OrdersTable[[#This Row],[Order Date]])</f>
        <v>6</v>
      </c>
      <c r="F760" t="s">
        <v>4911</v>
      </c>
      <c r="G760" t="str">
        <f>IF(OrdersTable[[#This Row],[Order Date]]=_xlfn.MINIFS(Order_Date, Customer_ID, OrdersTable[[#This Row],[Customer ID]]), "New", "Repeat")</f>
        <v>New</v>
      </c>
      <c r="H760" t="s">
        <v>71</v>
      </c>
      <c r="I760" t="str">
        <f>INDEX(State!B:B,MATCH(OrdersTable[[#This Row],[State]],State!A:A,0))</f>
        <v>MH</v>
      </c>
      <c r="J760" t="str">
        <f>INDEX(State!C:C,MATCH(OrdersTable[[#This Row],[State Code]],State!B:B,0))</f>
        <v>West</v>
      </c>
      <c r="K760" t="s">
        <v>81</v>
      </c>
      <c r="L760" t="s">
        <v>23</v>
      </c>
      <c r="M760" t="s">
        <v>109</v>
      </c>
      <c r="N760" t="str">
        <f>INDEX(Products!B:B,MATCH(OrdersTable[[#This Row],[Product ID]],Products!A:A,0))</f>
        <v>Onion Hair Oil</v>
      </c>
      <c r="O760" t="str">
        <f>INDEX(Products!C:C,MATCH(OrdersTable[[#This Row],[Product ID]],Products!A:A,0))</f>
        <v>Haircare</v>
      </c>
      <c r="P760">
        <v>2</v>
      </c>
      <c r="Q760" s="5">
        <v>349</v>
      </c>
      <c r="R760" s="74">
        <v>0.3</v>
      </c>
      <c r="S760" s="75">
        <f>OrdersTable[[#This Row],[Quantity]]*OrdersTable[[#This Row],[Unit Price]]</f>
        <v>698</v>
      </c>
      <c r="T760" s="5">
        <f>OrdersTable[[#This Row],[Gross Sale]]*OrdersTable[[#This Row],[Discount_Clean2]]</f>
        <v>209.4</v>
      </c>
      <c r="U760" s="5">
        <f>OrdersTable[[#This Row],[Gross Sale]]-OrdersTable[[#This Row],[Discount Amount]]</f>
        <v>488.6</v>
      </c>
      <c r="V760" s="77">
        <f>INDEX(Products!E:E,MATCH(OrdersTable[[#This Row],[Product ID]],Products!A:A,0))</f>
        <v>105</v>
      </c>
      <c r="W760" s="77">
        <f>OrdersTable[[#This Row],[Quantity]]*OrdersTable[[#This Row],[Unit Cost]]</f>
        <v>210</v>
      </c>
      <c r="X760" s="77">
        <f>'Dropdown Lists'!$I$2*(1+OrdersTable[[#This Row],[Returned]])</f>
        <v>60</v>
      </c>
      <c r="Y760" s="76">
        <f>OrdersTable[[#This Row],[Net Revenue]]-OrdersTable[[#This Row],[COGS]]-OrdersTable[[#This Row],[Shipping Cost]]</f>
        <v>218.60000000000002</v>
      </c>
      <c r="Z760" s="78">
        <f>IFERROR(OrdersTable[[#This Row],[Profit]]/OrdersTable[[#This Row],[Net Revenue]],0)</f>
        <v>0.44740073679901765</v>
      </c>
      <c r="AA760" t="s">
        <v>4074</v>
      </c>
      <c r="AB760" s="79">
        <v>45451</v>
      </c>
      <c r="AC760">
        <f>OrdersTable[[#This Row],[Delivery Date]]-OrdersTable[[#This Row],[Order Date]]</f>
        <v>3</v>
      </c>
      <c r="AD760" t="str">
        <f>IF(OrdersTable[[#This Row],[Delivery Days]]&lt;=2, "Express (≤2d)", IF(OrdersTable[[#This Row],[Delivery Days]]&lt;=4, "Standard (3-4d)", "Delayed (5d+)"))</f>
        <v>Standard (3-4d)</v>
      </c>
      <c r="AE760">
        <v>5</v>
      </c>
      <c r="AF760">
        <v>0</v>
      </c>
    </row>
    <row r="761" spans="1:32" ht="15" x14ac:dyDescent="0.35">
      <c r="A761" t="s">
        <v>4343</v>
      </c>
      <c r="B761" s="1">
        <v>45448</v>
      </c>
      <c r="C761">
        <f>YEAR(OrdersTable[[#This Row],[Order Date]])</f>
        <v>2024</v>
      </c>
      <c r="D761" s="2">
        <f>DATE(YEAR(OrdersTable[[#This Row],[Order Date]]),MONTH(OrdersTable[[#This Row],[Order Date]]),1)</f>
        <v>45444</v>
      </c>
      <c r="E761">
        <f>MONTH(OrdersTable[[#This Row],[Order Date]])</f>
        <v>6</v>
      </c>
      <c r="F761" t="s">
        <v>4344</v>
      </c>
      <c r="G761" t="str">
        <f>IF(OrdersTable[[#This Row],[Order Date]]=_xlfn.MINIFS(Order_Date, Customer_ID, OrdersTable[[#This Row],[Customer ID]]), "New", "Repeat")</f>
        <v>New</v>
      </c>
      <c r="H761" t="s">
        <v>95</v>
      </c>
      <c r="I761" t="str">
        <f>INDEX(State!B:B,MATCH(OrdersTable[[#This Row],[State]],State!A:A,0))</f>
        <v>TG</v>
      </c>
      <c r="J761" t="str">
        <f>INDEX(State!C:C,MATCH(OrdersTable[[#This Row],[State Code]],State!B:B,0))</f>
        <v>South</v>
      </c>
      <c r="K761" t="s">
        <v>96</v>
      </c>
      <c r="L761" t="s">
        <v>65</v>
      </c>
      <c r="M761" t="s">
        <v>106</v>
      </c>
      <c r="N761" t="str">
        <f>INDEX(Products!B:B,MATCH(OrdersTable[[#This Row],[Product ID]],Products!A:A,0))</f>
        <v>Keratin Hair Mask</v>
      </c>
      <c r="O761" t="str">
        <f>INDEX(Products!C:C,MATCH(OrdersTable[[#This Row],[Product ID]],Products!A:A,0))</f>
        <v>Haircare</v>
      </c>
      <c r="P761">
        <v>1</v>
      </c>
      <c r="Q761" s="5">
        <v>549</v>
      </c>
      <c r="R761" s="74">
        <v>0.2</v>
      </c>
      <c r="S761" s="75">
        <f>OrdersTable[[#This Row],[Quantity]]*OrdersTable[[#This Row],[Unit Price]]</f>
        <v>549</v>
      </c>
      <c r="T761" s="5">
        <f>OrdersTable[[#This Row],[Gross Sale]]*OrdersTable[[#This Row],[Discount_Clean2]]</f>
        <v>109.80000000000001</v>
      </c>
      <c r="U761" s="5">
        <f>OrdersTable[[#This Row],[Gross Sale]]-OrdersTable[[#This Row],[Discount Amount]]</f>
        <v>439.2</v>
      </c>
      <c r="V761" s="77">
        <f>INDEX(Products!E:E,MATCH(OrdersTable[[#This Row],[Product ID]],Products!A:A,0))</f>
        <v>170</v>
      </c>
      <c r="W761" s="77">
        <f>OrdersTable[[#This Row],[Quantity]]*OrdersTable[[#This Row],[Unit Cost]]</f>
        <v>170</v>
      </c>
      <c r="X761" s="77">
        <f>'Dropdown Lists'!$I$2*(1+OrdersTable[[#This Row],[Returned]])</f>
        <v>60</v>
      </c>
      <c r="Y761" s="76">
        <f>OrdersTable[[#This Row],[Net Revenue]]-OrdersTable[[#This Row],[COGS]]-OrdersTable[[#This Row],[Shipping Cost]]</f>
        <v>209.2</v>
      </c>
      <c r="Z761" s="78">
        <f>IFERROR(OrdersTable[[#This Row],[Profit]]/OrdersTable[[#This Row],[Net Revenue]],0)</f>
        <v>0.47632058287795992</v>
      </c>
      <c r="AA761" t="s">
        <v>4074</v>
      </c>
      <c r="AB761" s="79">
        <v>45452</v>
      </c>
      <c r="AC761">
        <f>OrdersTable[[#This Row],[Delivery Date]]-OrdersTable[[#This Row],[Order Date]]</f>
        <v>4</v>
      </c>
      <c r="AD761" t="str">
        <f>IF(OrdersTable[[#This Row],[Delivery Days]]&lt;=2, "Express (≤2d)", IF(OrdersTable[[#This Row],[Delivery Days]]&lt;=4, "Standard (3-4d)", "Delayed (5d+)"))</f>
        <v>Standard (3-4d)</v>
      </c>
      <c r="AE761">
        <v>4</v>
      </c>
      <c r="AF761">
        <v>0</v>
      </c>
    </row>
    <row r="762" spans="1:32" ht="15" x14ac:dyDescent="0.35">
      <c r="A762" t="s">
        <v>6062</v>
      </c>
      <c r="B762" s="1">
        <v>45449</v>
      </c>
      <c r="C762">
        <f>YEAR(OrdersTable[[#This Row],[Order Date]])</f>
        <v>2024</v>
      </c>
      <c r="D762" s="2">
        <f>DATE(YEAR(OrdersTable[[#This Row],[Order Date]]),MONTH(OrdersTable[[#This Row],[Order Date]]),1)</f>
        <v>45444</v>
      </c>
      <c r="E762">
        <f>MONTH(OrdersTable[[#This Row],[Order Date]])</f>
        <v>6</v>
      </c>
      <c r="F762" t="s">
        <v>2942</v>
      </c>
      <c r="G762" t="str">
        <f>IF(OrdersTable[[#This Row],[Order Date]]=_xlfn.MINIFS(Order_Date, Customer_ID, OrdersTable[[#This Row],[Customer ID]]), "New", "Repeat")</f>
        <v>New</v>
      </c>
      <c r="H762" t="s">
        <v>48</v>
      </c>
      <c r="I762" t="str">
        <f>INDEX(State!B:B,MATCH(OrdersTable[[#This Row],[State]],State!A:A,0))</f>
        <v>HR</v>
      </c>
      <c r="J762" t="str">
        <f>INDEX(State!C:C,MATCH(OrdersTable[[#This Row],[State Code]],State!B:B,0))</f>
        <v>North</v>
      </c>
      <c r="K762" t="s">
        <v>49</v>
      </c>
      <c r="L762" t="s">
        <v>65</v>
      </c>
      <c r="M762" t="s">
        <v>45</v>
      </c>
      <c r="N762" t="str">
        <f>INDEX(Products!B:B,MATCH(OrdersTable[[#This Row],[Product ID]],Products!A:A,0))</f>
        <v>Argan Shampoo</v>
      </c>
      <c r="O762" t="str">
        <f>INDEX(Products!C:C,MATCH(OrdersTable[[#This Row],[Product ID]],Products!A:A,0))</f>
        <v>Haircare</v>
      </c>
      <c r="P762">
        <v>2</v>
      </c>
      <c r="Q762" s="5">
        <v>449</v>
      </c>
      <c r="R762" s="74">
        <v>0.05</v>
      </c>
      <c r="S762" s="75">
        <f>OrdersTable[[#This Row],[Quantity]]*OrdersTable[[#This Row],[Unit Price]]</f>
        <v>898</v>
      </c>
      <c r="T762" s="5">
        <f>OrdersTable[[#This Row],[Gross Sale]]*OrdersTable[[#This Row],[Discount_Clean2]]</f>
        <v>44.900000000000006</v>
      </c>
      <c r="U762" s="5">
        <f>OrdersTable[[#This Row],[Gross Sale]]-OrdersTable[[#This Row],[Discount Amount]]</f>
        <v>853.1</v>
      </c>
      <c r="V762" s="77">
        <f>INDEX(Products!E:E,MATCH(OrdersTable[[#This Row],[Product ID]],Products!A:A,0))</f>
        <v>148</v>
      </c>
      <c r="W762" s="77">
        <f>OrdersTable[[#This Row],[Quantity]]*OrdersTable[[#This Row],[Unit Cost]]</f>
        <v>296</v>
      </c>
      <c r="X762" s="77">
        <f>'Dropdown Lists'!$I$2*(1+OrdersTable[[#This Row],[Returned]])</f>
        <v>60</v>
      </c>
      <c r="Y762" s="76">
        <f>OrdersTable[[#This Row],[Net Revenue]]-OrdersTable[[#This Row],[COGS]]-OrdersTable[[#This Row],[Shipping Cost]]</f>
        <v>497.1</v>
      </c>
      <c r="Z762" s="78">
        <f>IFERROR(OrdersTable[[#This Row],[Profit]]/OrdersTable[[#This Row],[Net Revenue]],0)</f>
        <v>0.58269839409213453</v>
      </c>
      <c r="AA762" t="s">
        <v>18</v>
      </c>
      <c r="AB762" s="79">
        <v>45453</v>
      </c>
      <c r="AC762">
        <f>OrdersTable[[#This Row],[Delivery Date]]-OrdersTable[[#This Row],[Order Date]]</f>
        <v>4</v>
      </c>
      <c r="AD762" t="str">
        <f>IF(OrdersTable[[#This Row],[Delivery Days]]&lt;=2, "Express (≤2d)", IF(OrdersTable[[#This Row],[Delivery Days]]&lt;=4, "Standard (3-4d)", "Delayed (5d+)"))</f>
        <v>Standard (3-4d)</v>
      </c>
      <c r="AE762">
        <v>4</v>
      </c>
      <c r="AF762">
        <v>0</v>
      </c>
    </row>
    <row r="763" spans="1:32" ht="15" x14ac:dyDescent="0.35">
      <c r="A763" t="s">
        <v>7057</v>
      </c>
      <c r="B763" s="1">
        <v>45449</v>
      </c>
      <c r="C763">
        <f>YEAR(OrdersTable[[#This Row],[Order Date]])</f>
        <v>2024</v>
      </c>
      <c r="D763" s="2">
        <f>DATE(YEAR(OrdersTable[[#This Row],[Order Date]]),MONTH(OrdersTable[[#This Row],[Order Date]]),1)</f>
        <v>45444</v>
      </c>
      <c r="E763">
        <f>MONTH(OrdersTable[[#This Row],[Order Date]])</f>
        <v>6</v>
      </c>
      <c r="F763" t="s">
        <v>1673</v>
      </c>
      <c r="G763" t="str">
        <f>IF(OrdersTable[[#This Row],[Order Date]]=_xlfn.MINIFS(Order_Date, Customer_ID, OrdersTable[[#This Row],[Customer ID]]), "New", "Repeat")</f>
        <v>New</v>
      </c>
      <c r="H763" t="s">
        <v>76</v>
      </c>
      <c r="I763" t="str">
        <f>INDEX(State!B:B,MATCH(OrdersTable[[#This Row],[State]],State!A:A,0))</f>
        <v>UP</v>
      </c>
      <c r="J763" t="str">
        <f>INDEX(State!C:C,MATCH(OrdersTable[[#This Row],[State Code]],State!B:B,0))</f>
        <v>North</v>
      </c>
      <c r="K763" t="s">
        <v>105</v>
      </c>
      <c r="L763" t="s">
        <v>23</v>
      </c>
      <c r="M763" t="s">
        <v>40</v>
      </c>
      <c r="N763" t="str">
        <f>INDEX(Products!B:B,MATCH(OrdersTable[[#This Row],[Product ID]],Products!A:A,0))</f>
        <v>Ashwagandha Capsules</v>
      </c>
      <c r="O763" t="str">
        <f>INDEX(Products!C:C,MATCH(OrdersTable[[#This Row],[Product ID]],Products!A:A,0))</f>
        <v>Wellness</v>
      </c>
      <c r="P763">
        <v>4</v>
      </c>
      <c r="Q763" s="5">
        <v>499</v>
      </c>
      <c r="R763" s="74">
        <v>0.05</v>
      </c>
      <c r="S763" s="75">
        <f>OrdersTable[[#This Row],[Quantity]]*OrdersTable[[#This Row],[Unit Price]]</f>
        <v>1996</v>
      </c>
      <c r="T763" s="5">
        <f>OrdersTable[[#This Row],[Gross Sale]]*OrdersTable[[#This Row],[Discount_Clean2]]</f>
        <v>99.800000000000011</v>
      </c>
      <c r="U763" s="5">
        <f>OrdersTable[[#This Row],[Gross Sale]]-OrdersTable[[#This Row],[Discount Amount]]</f>
        <v>1896.2</v>
      </c>
      <c r="V763" s="77">
        <f>INDEX(Products!E:E,MATCH(OrdersTable[[#This Row],[Product ID]],Products!A:A,0))</f>
        <v>150</v>
      </c>
      <c r="W763" s="77">
        <f>OrdersTable[[#This Row],[Quantity]]*OrdersTable[[#This Row],[Unit Cost]]</f>
        <v>600</v>
      </c>
      <c r="X763" s="77">
        <f>'Dropdown Lists'!$I$2*(1+OrdersTable[[#This Row],[Returned]])</f>
        <v>60</v>
      </c>
      <c r="Y763" s="76">
        <f>OrdersTable[[#This Row],[Net Revenue]]-OrdersTable[[#This Row],[COGS]]-OrdersTable[[#This Row],[Shipping Cost]]</f>
        <v>1236.2</v>
      </c>
      <c r="Z763" s="78">
        <f>IFERROR(OrdersTable[[#This Row],[Profit]]/OrdersTable[[#This Row],[Net Revenue]],0)</f>
        <v>0.65193544984706253</v>
      </c>
      <c r="AA763" t="s">
        <v>18</v>
      </c>
      <c r="AB763" s="79">
        <v>45452</v>
      </c>
      <c r="AC763">
        <f>OrdersTable[[#This Row],[Delivery Date]]-OrdersTable[[#This Row],[Order Date]]</f>
        <v>3</v>
      </c>
      <c r="AD763" t="str">
        <f>IF(OrdersTable[[#This Row],[Delivery Days]]&lt;=2, "Express (≤2d)", IF(OrdersTable[[#This Row],[Delivery Days]]&lt;=4, "Standard (3-4d)", "Delayed (5d+)"))</f>
        <v>Standard (3-4d)</v>
      </c>
      <c r="AE763">
        <v>3</v>
      </c>
      <c r="AF763">
        <v>0</v>
      </c>
    </row>
    <row r="764" spans="1:32" ht="15" x14ac:dyDescent="0.35">
      <c r="A764" t="s">
        <v>4912</v>
      </c>
      <c r="B764" s="1">
        <v>45449</v>
      </c>
      <c r="C764">
        <f>YEAR(OrdersTable[[#This Row],[Order Date]])</f>
        <v>2024</v>
      </c>
      <c r="D764" s="2">
        <f>DATE(YEAR(OrdersTable[[#This Row],[Order Date]]),MONTH(OrdersTable[[#This Row],[Order Date]]),1)</f>
        <v>45444</v>
      </c>
      <c r="E764">
        <f>MONTH(OrdersTable[[#This Row],[Order Date]])</f>
        <v>6</v>
      </c>
      <c r="F764" t="s">
        <v>4913</v>
      </c>
      <c r="G764" t="str">
        <f>IF(OrdersTable[[#This Row],[Order Date]]=_xlfn.MINIFS(Order_Date, Customer_ID, OrdersTable[[#This Row],[Customer ID]]), "New", "Repeat")</f>
        <v>New</v>
      </c>
      <c r="H764" t="s">
        <v>76</v>
      </c>
      <c r="I764" t="str">
        <f>INDEX(State!B:B,MATCH(OrdersTable[[#This Row],[State]],State!A:A,0))</f>
        <v>UP</v>
      </c>
      <c r="J764" t="str">
        <f>INDEX(State!C:C,MATCH(OrdersTable[[#This Row],[State Code]],State!B:B,0))</f>
        <v>North</v>
      </c>
      <c r="K764" t="s">
        <v>77</v>
      </c>
      <c r="L764" t="s">
        <v>23</v>
      </c>
      <c r="M764" t="s">
        <v>109</v>
      </c>
      <c r="N764" t="str">
        <f>INDEX(Products!B:B,MATCH(OrdersTable[[#This Row],[Product ID]],Products!A:A,0))</f>
        <v>Onion Hair Oil</v>
      </c>
      <c r="O764" t="str">
        <f>INDEX(Products!C:C,MATCH(OrdersTable[[#This Row],[Product ID]],Products!A:A,0))</f>
        <v>Haircare</v>
      </c>
      <c r="P764">
        <v>2</v>
      </c>
      <c r="Q764" s="5">
        <v>349</v>
      </c>
      <c r="R764" s="74">
        <v>0.3</v>
      </c>
      <c r="S764" s="75">
        <f>OrdersTable[[#This Row],[Quantity]]*OrdersTable[[#This Row],[Unit Price]]</f>
        <v>698</v>
      </c>
      <c r="T764" s="5">
        <f>OrdersTable[[#This Row],[Gross Sale]]*OrdersTable[[#This Row],[Discount_Clean2]]</f>
        <v>209.4</v>
      </c>
      <c r="U764" s="5">
        <f>OrdersTable[[#This Row],[Gross Sale]]-OrdersTable[[#This Row],[Discount Amount]]</f>
        <v>488.6</v>
      </c>
      <c r="V764" s="77">
        <f>INDEX(Products!E:E,MATCH(OrdersTable[[#This Row],[Product ID]],Products!A:A,0))</f>
        <v>105</v>
      </c>
      <c r="W764" s="77">
        <f>OrdersTable[[#This Row],[Quantity]]*OrdersTable[[#This Row],[Unit Cost]]</f>
        <v>210</v>
      </c>
      <c r="X764" s="77">
        <f>'Dropdown Lists'!$I$2*(1+OrdersTable[[#This Row],[Returned]])</f>
        <v>60</v>
      </c>
      <c r="Y764" s="76">
        <f>OrdersTable[[#This Row],[Net Revenue]]-OrdersTable[[#This Row],[COGS]]-OrdersTable[[#This Row],[Shipping Cost]]</f>
        <v>218.60000000000002</v>
      </c>
      <c r="Z764" s="78">
        <f>IFERROR(OrdersTable[[#This Row],[Profit]]/OrdersTable[[#This Row],[Net Revenue]],0)</f>
        <v>0.44740073679901765</v>
      </c>
      <c r="AA764" t="s">
        <v>4074</v>
      </c>
      <c r="AB764" s="79">
        <v>45452</v>
      </c>
      <c r="AC764">
        <f>OrdersTable[[#This Row],[Delivery Date]]-OrdersTable[[#This Row],[Order Date]]</f>
        <v>3</v>
      </c>
      <c r="AD764" t="str">
        <f>IF(OrdersTable[[#This Row],[Delivery Days]]&lt;=2, "Express (≤2d)", IF(OrdersTable[[#This Row],[Delivery Days]]&lt;=4, "Standard (3-4d)", "Delayed (5d+)"))</f>
        <v>Standard (3-4d)</v>
      </c>
      <c r="AE764">
        <v>4</v>
      </c>
      <c r="AF764">
        <v>0</v>
      </c>
    </row>
    <row r="765" spans="1:32" ht="15" x14ac:dyDescent="0.35">
      <c r="A765" t="s">
        <v>5648</v>
      </c>
      <c r="B765" s="1">
        <v>45449</v>
      </c>
      <c r="C765">
        <f>YEAR(OrdersTable[[#This Row],[Order Date]])</f>
        <v>2024</v>
      </c>
      <c r="D765" s="2">
        <f>DATE(YEAR(OrdersTable[[#This Row],[Order Date]]),MONTH(OrdersTable[[#This Row],[Order Date]]),1)</f>
        <v>45444</v>
      </c>
      <c r="E765">
        <f>MONTH(OrdersTable[[#This Row],[Order Date]])</f>
        <v>6</v>
      </c>
      <c r="F765" t="s">
        <v>1961</v>
      </c>
      <c r="G765" t="str">
        <f>IF(OrdersTable[[#This Row],[Order Date]]=_xlfn.MINIFS(Order_Date, Customer_ID, OrdersTable[[#This Row],[Customer ID]]), "New", "Repeat")</f>
        <v>New</v>
      </c>
      <c r="H765" t="s">
        <v>132</v>
      </c>
      <c r="I765" t="str">
        <f>INDEX(State!B:B,MATCH(OrdersTable[[#This Row],[State]],State!A:A,0))</f>
        <v>AS</v>
      </c>
      <c r="J765" t="str">
        <f>INDEX(State!C:C,MATCH(OrdersTable[[#This Row],[State Code]],State!B:B,0))</f>
        <v>East</v>
      </c>
      <c r="K765" t="s">
        <v>133</v>
      </c>
      <c r="L765" t="s">
        <v>16</v>
      </c>
      <c r="M765" t="s">
        <v>87</v>
      </c>
      <c r="N765" t="str">
        <f>INDEX(Products!B:B,MATCH(OrdersTable[[#This Row],[Product ID]],Products!A:A,0))</f>
        <v>Linen Kurta</v>
      </c>
      <c r="O765" t="str">
        <f>INDEX(Products!C:C,MATCH(OrdersTable[[#This Row],[Product ID]],Products!A:A,0))</f>
        <v>Apparel</v>
      </c>
      <c r="P765">
        <v>2</v>
      </c>
      <c r="Q765" s="5">
        <v>1499</v>
      </c>
      <c r="R765" s="74">
        <v>0.4</v>
      </c>
      <c r="S765" s="75">
        <f>OrdersTable[[#This Row],[Quantity]]*OrdersTable[[#This Row],[Unit Price]]</f>
        <v>2998</v>
      </c>
      <c r="T765" s="5">
        <f>OrdersTable[[#This Row],[Gross Sale]]*OrdersTable[[#This Row],[Discount_Clean2]]</f>
        <v>1199.2</v>
      </c>
      <c r="U765" s="5">
        <f>OrdersTable[[#This Row],[Gross Sale]]-OrdersTable[[#This Row],[Discount Amount]]</f>
        <v>1798.8</v>
      </c>
      <c r="V765" s="77">
        <f>INDEX(Products!E:E,MATCH(OrdersTable[[#This Row],[Product ID]],Products!A:A,0))</f>
        <v>630</v>
      </c>
      <c r="W765" s="77">
        <f>OrdersTable[[#This Row],[Quantity]]*OrdersTable[[#This Row],[Unit Cost]]</f>
        <v>1260</v>
      </c>
      <c r="X765" s="77">
        <f>'Dropdown Lists'!$I$2*(1+OrdersTable[[#This Row],[Returned]])</f>
        <v>60</v>
      </c>
      <c r="Y765" s="76">
        <f>OrdersTable[[#This Row],[Net Revenue]]-OrdersTable[[#This Row],[COGS]]-OrdersTable[[#This Row],[Shipping Cost]]</f>
        <v>478.79999999999995</v>
      </c>
      <c r="Z765" s="78">
        <f>IFERROR(OrdersTable[[#This Row],[Profit]]/OrdersTable[[#This Row],[Net Revenue]],0)</f>
        <v>0.26617745163442291</v>
      </c>
      <c r="AA765" t="s">
        <v>18</v>
      </c>
      <c r="AB765" s="79">
        <v>45456</v>
      </c>
      <c r="AC765">
        <f>OrdersTable[[#This Row],[Delivery Date]]-OrdersTable[[#This Row],[Order Date]]</f>
        <v>7</v>
      </c>
      <c r="AD765" t="str">
        <f>IF(OrdersTable[[#This Row],[Delivery Days]]&lt;=2, "Express (≤2d)", IF(OrdersTable[[#This Row],[Delivery Days]]&lt;=4, "Standard (3-4d)", "Delayed (5d+)"))</f>
        <v>Delayed (5d+)</v>
      </c>
      <c r="AE765">
        <v>2</v>
      </c>
      <c r="AF765">
        <v>0</v>
      </c>
    </row>
    <row r="766" spans="1:32" ht="15" x14ac:dyDescent="0.35">
      <c r="A766" t="s">
        <v>3728</v>
      </c>
      <c r="B766" s="1">
        <v>45449</v>
      </c>
      <c r="C766">
        <f>YEAR(OrdersTable[[#This Row],[Order Date]])</f>
        <v>2024</v>
      </c>
      <c r="D766" s="2">
        <f>DATE(YEAR(OrdersTable[[#This Row],[Order Date]]),MONTH(OrdersTable[[#This Row],[Order Date]]),1)</f>
        <v>45444</v>
      </c>
      <c r="E766">
        <f>MONTH(OrdersTable[[#This Row],[Order Date]])</f>
        <v>6</v>
      </c>
      <c r="F766" t="s">
        <v>2488</v>
      </c>
      <c r="G766" t="str">
        <f>IF(OrdersTable[[#This Row],[Order Date]]=_xlfn.MINIFS(Order_Date, Customer_ID, OrdersTable[[#This Row],[Customer ID]]), "New", "Repeat")</f>
        <v>New</v>
      </c>
      <c r="H766" t="s">
        <v>43</v>
      </c>
      <c r="I766" t="str">
        <f>INDEX(State!B:B,MATCH(OrdersTable[[#This Row],[State]],State!A:A,0))</f>
        <v>MP</v>
      </c>
      <c r="J766" t="str">
        <f>INDEX(State!C:C,MATCH(OrdersTable[[#This Row],[State Code]],State!B:B,0))</f>
        <v>West</v>
      </c>
      <c r="K766" t="s">
        <v>250</v>
      </c>
      <c r="L766" t="s">
        <v>39</v>
      </c>
      <c r="M766" t="s">
        <v>576</v>
      </c>
      <c r="N766" t="str">
        <f>INDEX(Products!B:B,MATCH(OrdersTable[[#This Row],[Product ID]],Products!A:A,0))</f>
        <v>Printed Saree</v>
      </c>
      <c r="O766" t="str">
        <f>INDEX(Products!C:C,MATCH(OrdersTable[[#This Row],[Product ID]],Products!A:A,0))</f>
        <v>Apparel</v>
      </c>
      <c r="P766">
        <v>1</v>
      </c>
      <c r="Q766" s="5">
        <v>1999</v>
      </c>
      <c r="R766" s="74">
        <v>0.05</v>
      </c>
      <c r="S766" s="75">
        <f>OrdersTable[[#This Row],[Quantity]]*OrdersTable[[#This Row],[Unit Price]]</f>
        <v>1999</v>
      </c>
      <c r="T766" s="5">
        <f>OrdersTable[[#This Row],[Gross Sale]]*OrdersTable[[#This Row],[Discount_Clean2]]</f>
        <v>99.95</v>
      </c>
      <c r="U766" s="5">
        <f>OrdersTable[[#This Row],[Gross Sale]]-OrdersTable[[#This Row],[Discount Amount]]</f>
        <v>1899.05</v>
      </c>
      <c r="V766" s="77">
        <f>INDEX(Products!E:E,MATCH(OrdersTable[[#This Row],[Product ID]],Products!A:A,0))</f>
        <v>880</v>
      </c>
      <c r="W766" s="77">
        <f>OrdersTable[[#This Row],[Quantity]]*OrdersTable[[#This Row],[Unit Cost]]</f>
        <v>880</v>
      </c>
      <c r="X766" s="77">
        <f>'Dropdown Lists'!$I$2*(1+OrdersTable[[#This Row],[Returned]])</f>
        <v>60</v>
      </c>
      <c r="Y766" s="76">
        <f>OrdersTable[[#This Row],[Net Revenue]]-OrdersTable[[#This Row],[COGS]]-OrdersTable[[#This Row],[Shipping Cost]]</f>
        <v>959.05</v>
      </c>
      <c r="Z766" s="78">
        <f>IFERROR(OrdersTable[[#This Row],[Profit]]/OrdersTable[[#This Row],[Net Revenue]],0)</f>
        <v>0.50501566572760059</v>
      </c>
      <c r="AA766" t="s">
        <v>3495</v>
      </c>
      <c r="AB766" s="79">
        <v>45454</v>
      </c>
      <c r="AC766">
        <f>OrdersTable[[#This Row],[Delivery Date]]-OrdersTable[[#This Row],[Order Date]]</f>
        <v>5</v>
      </c>
      <c r="AD766" t="str">
        <f>IF(OrdersTable[[#This Row],[Delivery Days]]&lt;=2, "Express (≤2d)", IF(OrdersTable[[#This Row],[Delivery Days]]&lt;=4, "Standard (3-4d)", "Delayed (5d+)"))</f>
        <v>Delayed (5d+)</v>
      </c>
      <c r="AF766">
        <v>0</v>
      </c>
    </row>
    <row r="767" spans="1:32" ht="15" x14ac:dyDescent="0.35">
      <c r="A767" t="s">
        <v>3176</v>
      </c>
      <c r="B767" s="1">
        <v>45449</v>
      </c>
      <c r="C767">
        <f>YEAR(OrdersTable[[#This Row],[Order Date]])</f>
        <v>2024</v>
      </c>
      <c r="D767" s="2">
        <f>DATE(YEAR(OrdersTable[[#This Row],[Order Date]]),MONTH(OrdersTable[[#This Row],[Order Date]]),1)</f>
        <v>45444</v>
      </c>
      <c r="E767">
        <f>MONTH(OrdersTable[[#This Row],[Order Date]])</f>
        <v>6</v>
      </c>
      <c r="F767" t="s">
        <v>3177</v>
      </c>
      <c r="G767" t="str">
        <f>IF(OrdersTable[[#This Row],[Order Date]]=_xlfn.MINIFS(Order_Date, Customer_ID, OrdersTable[[#This Row],[Customer ID]]), "New", "Repeat")</f>
        <v>Repeat</v>
      </c>
      <c r="H767" t="s">
        <v>14</v>
      </c>
      <c r="I767" t="str">
        <f>INDEX(State!B:B,MATCH(OrdersTable[[#This Row],[State]],State!A:A,0))</f>
        <v>OD</v>
      </c>
      <c r="J767" t="str">
        <f>INDEX(State!C:C,MATCH(OrdersTable[[#This Row],[State Code]],State!B:B,0))</f>
        <v>East</v>
      </c>
      <c r="K767" t="s">
        <v>15</v>
      </c>
      <c r="L767" t="s">
        <v>50</v>
      </c>
      <c r="M767" t="s">
        <v>40</v>
      </c>
      <c r="N767" t="str">
        <f>INDEX(Products!B:B,MATCH(OrdersTable[[#This Row],[Product ID]],Products!A:A,0))</f>
        <v>Ashwagandha Capsules</v>
      </c>
      <c r="O767" t="str">
        <f>INDEX(Products!C:C,MATCH(OrdersTable[[#This Row],[Product ID]],Products!A:A,0))</f>
        <v>Wellness</v>
      </c>
      <c r="P767">
        <v>1</v>
      </c>
      <c r="Q767" s="5">
        <v>499</v>
      </c>
      <c r="R767" s="74">
        <v>0</v>
      </c>
      <c r="S767" s="75">
        <f>OrdersTable[[#This Row],[Quantity]]*OrdersTable[[#This Row],[Unit Price]]</f>
        <v>499</v>
      </c>
      <c r="T767" s="5">
        <f>OrdersTable[[#This Row],[Gross Sale]]*OrdersTable[[#This Row],[Discount_Clean2]]</f>
        <v>0</v>
      </c>
      <c r="U767" s="5">
        <f>OrdersTable[[#This Row],[Gross Sale]]-OrdersTable[[#This Row],[Discount Amount]]</f>
        <v>499</v>
      </c>
      <c r="V767" s="77">
        <f>INDEX(Products!E:E,MATCH(OrdersTable[[#This Row],[Product ID]],Products!A:A,0))</f>
        <v>150</v>
      </c>
      <c r="W767" s="77">
        <f>OrdersTable[[#This Row],[Quantity]]*OrdersTable[[#This Row],[Unit Cost]]</f>
        <v>150</v>
      </c>
      <c r="X767" s="77">
        <f>'Dropdown Lists'!$I$2*(1+OrdersTable[[#This Row],[Returned]])</f>
        <v>60</v>
      </c>
      <c r="Y767" s="76">
        <f>OrdersTable[[#This Row],[Net Revenue]]-OrdersTable[[#This Row],[COGS]]-OrdersTable[[#This Row],[Shipping Cost]]</f>
        <v>289</v>
      </c>
      <c r="Z767" s="78">
        <f>IFERROR(OrdersTable[[#This Row],[Profit]]/OrdersTable[[#This Row],[Net Revenue]],0)</f>
        <v>0.57915831663326656</v>
      </c>
      <c r="AA767" t="s">
        <v>2522</v>
      </c>
      <c r="AB767" s="79">
        <v>45454</v>
      </c>
      <c r="AC767">
        <f>OrdersTable[[#This Row],[Delivery Date]]-OrdersTable[[#This Row],[Order Date]]</f>
        <v>5</v>
      </c>
      <c r="AD767" t="str">
        <f>IF(OrdersTable[[#This Row],[Delivery Days]]&lt;=2, "Express (≤2d)", IF(OrdersTable[[#This Row],[Delivery Days]]&lt;=4, "Standard (3-4d)", "Delayed (5d+)"))</f>
        <v>Delayed (5d+)</v>
      </c>
      <c r="AE767">
        <v>4</v>
      </c>
      <c r="AF767">
        <v>0</v>
      </c>
    </row>
    <row r="768" spans="1:32" ht="15" x14ac:dyDescent="0.35">
      <c r="A768" t="s">
        <v>3406</v>
      </c>
      <c r="B768" s="1">
        <v>45450</v>
      </c>
      <c r="C768">
        <f>YEAR(OrdersTable[[#This Row],[Order Date]])</f>
        <v>2024</v>
      </c>
      <c r="D768" s="2">
        <f>DATE(YEAR(OrdersTable[[#This Row],[Order Date]]),MONTH(OrdersTable[[#This Row],[Order Date]]),1)</f>
        <v>45444</v>
      </c>
      <c r="E768">
        <f>MONTH(OrdersTable[[#This Row],[Order Date]])</f>
        <v>6</v>
      </c>
      <c r="F768" t="s">
        <v>36</v>
      </c>
      <c r="G768" t="str">
        <f>IF(OrdersTable[[#This Row],[Order Date]]=_xlfn.MINIFS(Order_Date, Customer_ID, OrdersTable[[#This Row],[Customer ID]]), "New", "Repeat")</f>
        <v>Repeat</v>
      </c>
      <c r="H768" t="s">
        <v>158</v>
      </c>
      <c r="I768" t="str">
        <f>INDEX(State!B:B,MATCH(OrdersTable[[#This Row],[State]],State!A:A,0))</f>
        <v>HP</v>
      </c>
      <c r="J768" t="str">
        <f>INDEX(State!C:C,MATCH(OrdersTable[[#This Row],[State Code]],State!B:B,0))</f>
        <v>North</v>
      </c>
      <c r="K768" t="s">
        <v>159</v>
      </c>
      <c r="L768" t="s">
        <v>65</v>
      </c>
      <c r="M768" t="s">
        <v>106</v>
      </c>
      <c r="N768" t="str">
        <f>INDEX(Products!B:B,MATCH(OrdersTable[[#This Row],[Product ID]],Products!A:A,0))</f>
        <v>Keratin Hair Mask</v>
      </c>
      <c r="O768" t="str">
        <f>INDEX(Products!C:C,MATCH(OrdersTable[[#This Row],[Product ID]],Products!A:A,0))</f>
        <v>Haircare</v>
      </c>
      <c r="P768">
        <v>1</v>
      </c>
      <c r="Q768" s="5">
        <v>549</v>
      </c>
      <c r="R768" s="74">
        <v>0.2</v>
      </c>
      <c r="S768" s="75">
        <f>OrdersTable[[#This Row],[Quantity]]*OrdersTable[[#This Row],[Unit Price]]</f>
        <v>549</v>
      </c>
      <c r="T768" s="5">
        <f>OrdersTable[[#This Row],[Gross Sale]]*OrdersTable[[#This Row],[Discount_Clean2]]</f>
        <v>109.80000000000001</v>
      </c>
      <c r="U768" s="5">
        <f>OrdersTable[[#This Row],[Gross Sale]]-OrdersTable[[#This Row],[Discount Amount]]</f>
        <v>439.2</v>
      </c>
      <c r="V768" s="77">
        <f>INDEX(Products!E:E,MATCH(OrdersTable[[#This Row],[Product ID]],Products!A:A,0))</f>
        <v>170</v>
      </c>
      <c r="W768" s="77">
        <f>OrdersTable[[#This Row],[Quantity]]*OrdersTable[[#This Row],[Unit Cost]]</f>
        <v>170</v>
      </c>
      <c r="X768" s="77">
        <f>'Dropdown Lists'!$I$2*(1+OrdersTable[[#This Row],[Returned]])</f>
        <v>60</v>
      </c>
      <c r="Y768" s="76">
        <f>OrdersTable[[#This Row],[Net Revenue]]-OrdersTable[[#This Row],[COGS]]-OrdersTable[[#This Row],[Shipping Cost]]</f>
        <v>209.2</v>
      </c>
      <c r="Z768" s="78">
        <f>IFERROR(OrdersTable[[#This Row],[Profit]]/OrdersTable[[#This Row],[Net Revenue]],0)</f>
        <v>0.47632058287795992</v>
      </c>
      <c r="AA768" t="s">
        <v>2522</v>
      </c>
      <c r="AB768" s="79">
        <v>45453</v>
      </c>
      <c r="AC768">
        <f>OrdersTable[[#This Row],[Delivery Date]]-OrdersTable[[#This Row],[Order Date]]</f>
        <v>3</v>
      </c>
      <c r="AD768" t="str">
        <f>IF(OrdersTable[[#This Row],[Delivery Days]]&lt;=2, "Express (≤2d)", IF(OrdersTable[[#This Row],[Delivery Days]]&lt;=4, "Standard (3-4d)", "Delayed (5d+)"))</f>
        <v>Standard (3-4d)</v>
      </c>
      <c r="AE768">
        <v>4</v>
      </c>
      <c r="AF768">
        <v>0</v>
      </c>
    </row>
    <row r="769" spans="1:32" ht="15" x14ac:dyDescent="0.35">
      <c r="A769" t="s">
        <v>5478</v>
      </c>
      <c r="B769" s="1">
        <v>45450</v>
      </c>
      <c r="C769">
        <f>YEAR(OrdersTable[[#This Row],[Order Date]])</f>
        <v>2024</v>
      </c>
      <c r="D769" s="2">
        <f>DATE(YEAR(OrdersTable[[#This Row],[Order Date]]),MONTH(OrdersTable[[#This Row],[Order Date]]),1)</f>
        <v>45444</v>
      </c>
      <c r="E769">
        <f>MONTH(OrdersTable[[#This Row],[Order Date]])</f>
        <v>6</v>
      </c>
      <c r="F769" t="s">
        <v>2713</v>
      </c>
      <c r="G769" t="str">
        <f>IF(OrdersTable[[#This Row],[Order Date]]=_xlfn.MINIFS(Order_Date, Customer_ID, OrdersTable[[#This Row],[Customer ID]]), "New", "Repeat")</f>
        <v>New</v>
      </c>
      <c r="H769" t="s">
        <v>54</v>
      </c>
      <c r="I769" t="str">
        <f>INDEX(State!B:B,MATCH(OrdersTable[[#This Row],[State]],State!A:A,0))</f>
        <v>RJ</v>
      </c>
      <c r="J769" t="str">
        <f>INDEX(State!C:C,MATCH(OrdersTable[[#This Row],[State Code]],State!B:B,0))</f>
        <v>North</v>
      </c>
      <c r="K769" t="s">
        <v>227</v>
      </c>
      <c r="L769" t="s">
        <v>65</v>
      </c>
      <c r="M769" t="s">
        <v>423</v>
      </c>
      <c r="N769" t="str">
        <f>INDEX(Products!B:B,MATCH(OrdersTable[[#This Row],[Product ID]],Products!A:A,0))</f>
        <v>Power Bank 20000mAh</v>
      </c>
      <c r="O769" t="str">
        <f>INDEX(Products!C:C,MATCH(OrdersTable[[#This Row],[Product ID]],Products!A:A,0))</f>
        <v>Electronics</v>
      </c>
      <c r="P769">
        <v>2</v>
      </c>
      <c r="Q769" s="5">
        <v>1799</v>
      </c>
      <c r="R769" s="74">
        <v>0.45</v>
      </c>
      <c r="S769" s="75">
        <f>OrdersTable[[#This Row],[Quantity]]*OrdersTable[[#This Row],[Unit Price]]</f>
        <v>3598</v>
      </c>
      <c r="T769" s="5">
        <f>OrdersTable[[#This Row],[Gross Sale]]*OrdersTable[[#This Row],[Discount_Clean2]]</f>
        <v>1619.1000000000001</v>
      </c>
      <c r="U769" s="5">
        <f>OrdersTable[[#This Row],[Gross Sale]]-OrdersTable[[#This Row],[Discount Amount]]</f>
        <v>1978.8999999999999</v>
      </c>
      <c r="V769" s="77">
        <f>INDEX(Products!E:E,MATCH(OrdersTable[[#This Row],[Product ID]],Products!A:A,0))</f>
        <v>1079</v>
      </c>
      <c r="W769" s="77">
        <f>OrdersTable[[#This Row],[Quantity]]*OrdersTable[[#This Row],[Unit Cost]]</f>
        <v>2158</v>
      </c>
      <c r="X769" s="77">
        <f>'Dropdown Lists'!$I$2*(1+OrdersTable[[#This Row],[Returned]])</f>
        <v>60</v>
      </c>
      <c r="Y769" s="76">
        <f>OrdersTable[[#This Row],[Net Revenue]]-OrdersTable[[#This Row],[COGS]]-OrdersTable[[#This Row],[Shipping Cost]]</f>
        <v>-239.10000000000014</v>
      </c>
      <c r="Z769" s="78">
        <f>IFERROR(OrdersTable[[#This Row],[Profit]]/OrdersTable[[#This Row],[Net Revenue]],0)</f>
        <v>-0.12082470059123764</v>
      </c>
      <c r="AA769" t="s">
        <v>2522</v>
      </c>
      <c r="AB769" s="79">
        <v>45454</v>
      </c>
      <c r="AC769">
        <f>OrdersTable[[#This Row],[Delivery Date]]-OrdersTable[[#This Row],[Order Date]]</f>
        <v>4</v>
      </c>
      <c r="AD769" t="str">
        <f>IF(OrdersTable[[#This Row],[Delivery Days]]&lt;=2, "Express (≤2d)", IF(OrdersTable[[#This Row],[Delivery Days]]&lt;=4, "Standard (3-4d)", "Delayed (5d+)"))</f>
        <v>Standard (3-4d)</v>
      </c>
      <c r="AE769">
        <v>4</v>
      </c>
      <c r="AF769">
        <v>0</v>
      </c>
    </row>
    <row r="770" spans="1:32" ht="15" x14ac:dyDescent="0.35">
      <c r="A770" t="s">
        <v>4914</v>
      </c>
      <c r="B770" s="1">
        <v>45451</v>
      </c>
      <c r="C770">
        <f>YEAR(OrdersTable[[#This Row],[Order Date]])</f>
        <v>2024</v>
      </c>
      <c r="D770" s="2">
        <f>DATE(YEAR(OrdersTable[[#This Row],[Order Date]]),MONTH(OrdersTable[[#This Row],[Order Date]]),1)</f>
        <v>45444</v>
      </c>
      <c r="E770">
        <f>MONTH(OrdersTable[[#This Row],[Order Date]])</f>
        <v>6</v>
      </c>
      <c r="F770" t="s">
        <v>3272</v>
      </c>
      <c r="G770" t="str">
        <f>IF(OrdersTable[[#This Row],[Order Date]]=_xlfn.MINIFS(Order_Date, Customer_ID, OrdersTable[[#This Row],[Customer ID]]), "New", "Repeat")</f>
        <v>New</v>
      </c>
      <c r="H770" t="s">
        <v>184</v>
      </c>
      <c r="I770" t="str">
        <f>INDEX(State!B:B,MATCH(OrdersTable[[#This Row],[State]],State!A:A,0))</f>
        <v>UK</v>
      </c>
      <c r="J770" t="str">
        <f>INDEX(State!C:C,MATCH(OrdersTable[[#This Row],[State Code]],State!B:B,0))</f>
        <v>North</v>
      </c>
      <c r="K770" t="s">
        <v>185</v>
      </c>
      <c r="L770" t="s">
        <v>23</v>
      </c>
      <c r="M770" t="s">
        <v>109</v>
      </c>
      <c r="N770" t="str">
        <f>INDEX(Products!B:B,MATCH(OrdersTable[[#This Row],[Product ID]],Products!A:A,0))</f>
        <v>Onion Hair Oil</v>
      </c>
      <c r="O770" t="str">
        <f>INDEX(Products!C:C,MATCH(OrdersTable[[#This Row],[Product ID]],Products!A:A,0))</f>
        <v>Haircare</v>
      </c>
      <c r="P770">
        <v>2</v>
      </c>
      <c r="Q770" s="5">
        <v>349</v>
      </c>
      <c r="R770" s="74">
        <v>0.35</v>
      </c>
      <c r="S770" s="75">
        <f>OrdersTable[[#This Row],[Quantity]]*OrdersTable[[#This Row],[Unit Price]]</f>
        <v>698</v>
      </c>
      <c r="T770" s="5">
        <f>OrdersTable[[#This Row],[Gross Sale]]*OrdersTable[[#This Row],[Discount_Clean2]]</f>
        <v>244.29999999999998</v>
      </c>
      <c r="U770" s="5">
        <f>OrdersTable[[#This Row],[Gross Sale]]-OrdersTable[[#This Row],[Discount Amount]]</f>
        <v>453.70000000000005</v>
      </c>
      <c r="V770" s="77">
        <f>INDEX(Products!E:E,MATCH(OrdersTable[[#This Row],[Product ID]],Products!A:A,0))</f>
        <v>105</v>
      </c>
      <c r="W770" s="77">
        <f>OrdersTable[[#This Row],[Quantity]]*OrdersTable[[#This Row],[Unit Cost]]</f>
        <v>210</v>
      </c>
      <c r="X770" s="77">
        <f>'Dropdown Lists'!$I$2*(1+OrdersTable[[#This Row],[Returned]])</f>
        <v>60</v>
      </c>
      <c r="Y770" s="76">
        <f>OrdersTable[[#This Row],[Net Revenue]]-OrdersTable[[#This Row],[COGS]]-OrdersTable[[#This Row],[Shipping Cost]]</f>
        <v>183.70000000000005</v>
      </c>
      <c r="Z770" s="78">
        <f>IFERROR(OrdersTable[[#This Row],[Profit]]/OrdersTable[[#This Row],[Net Revenue]],0)</f>
        <v>0.40489310116817284</v>
      </c>
      <c r="AA770" t="s">
        <v>4074</v>
      </c>
      <c r="AB770" s="79">
        <v>45454</v>
      </c>
      <c r="AC770">
        <f>OrdersTable[[#This Row],[Delivery Date]]-OrdersTable[[#This Row],[Order Date]]</f>
        <v>3</v>
      </c>
      <c r="AD770" t="str">
        <f>IF(OrdersTable[[#This Row],[Delivery Days]]&lt;=2, "Express (≤2d)", IF(OrdersTable[[#This Row],[Delivery Days]]&lt;=4, "Standard (3-4d)", "Delayed (5d+)"))</f>
        <v>Standard (3-4d)</v>
      </c>
      <c r="AE770">
        <v>4</v>
      </c>
      <c r="AF770">
        <v>0</v>
      </c>
    </row>
    <row r="771" spans="1:32" ht="15" x14ac:dyDescent="0.35">
      <c r="A771" t="s">
        <v>3974</v>
      </c>
      <c r="B771" s="1">
        <v>45451</v>
      </c>
      <c r="C771">
        <f>YEAR(OrdersTable[[#This Row],[Order Date]])</f>
        <v>2024</v>
      </c>
      <c r="D771" s="2">
        <f>DATE(YEAR(OrdersTable[[#This Row],[Order Date]]),MONTH(OrdersTable[[#This Row],[Order Date]]),1)</f>
        <v>45444</v>
      </c>
      <c r="E771">
        <f>MONTH(OrdersTable[[#This Row],[Order Date]])</f>
        <v>6</v>
      </c>
      <c r="F771" t="s">
        <v>3975</v>
      </c>
      <c r="G771" t="str">
        <f>IF(OrdersTable[[#This Row],[Order Date]]=_xlfn.MINIFS(Order_Date, Customer_ID, OrdersTable[[#This Row],[Customer ID]]), "New", "Repeat")</f>
        <v>Repeat</v>
      </c>
      <c r="H771" t="s">
        <v>27</v>
      </c>
      <c r="I771" t="str">
        <f>INDEX(State!B:B,MATCH(OrdersTable[[#This Row],[State]],State!A:A,0))</f>
        <v>WB</v>
      </c>
      <c r="J771" t="str">
        <f>INDEX(State!C:C,MATCH(OrdersTable[[#This Row],[State Code]],State!B:B,0))</f>
        <v>East</v>
      </c>
      <c r="K771" t="s">
        <v>28</v>
      </c>
      <c r="L771" t="s">
        <v>16</v>
      </c>
      <c r="M771" t="s">
        <v>576</v>
      </c>
      <c r="N771" t="str">
        <f>INDEX(Products!B:B,MATCH(OrdersTable[[#This Row],[Product ID]],Products!A:A,0))</f>
        <v>Printed Saree</v>
      </c>
      <c r="O771" t="str">
        <f>INDEX(Products!C:C,MATCH(OrdersTable[[#This Row],[Product ID]],Products!A:A,0))</f>
        <v>Apparel</v>
      </c>
      <c r="P771">
        <v>1</v>
      </c>
      <c r="Q771" s="5">
        <v>1999</v>
      </c>
      <c r="R771" s="74">
        <v>0.15</v>
      </c>
      <c r="S771" s="75">
        <f>OrdersTable[[#This Row],[Quantity]]*OrdersTable[[#This Row],[Unit Price]]</f>
        <v>1999</v>
      </c>
      <c r="T771" s="5">
        <f>OrdersTable[[#This Row],[Gross Sale]]*OrdersTable[[#This Row],[Discount_Clean2]]</f>
        <v>299.84999999999997</v>
      </c>
      <c r="U771" s="5">
        <f>OrdersTable[[#This Row],[Gross Sale]]-OrdersTable[[#This Row],[Discount Amount]]</f>
        <v>1699.15</v>
      </c>
      <c r="V771" s="77">
        <f>INDEX(Products!E:E,MATCH(OrdersTable[[#This Row],[Product ID]],Products!A:A,0))</f>
        <v>880</v>
      </c>
      <c r="W771" s="77">
        <f>OrdersTable[[#This Row],[Quantity]]*OrdersTable[[#This Row],[Unit Cost]]</f>
        <v>880</v>
      </c>
      <c r="X771" s="77">
        <f>'Dropdown Lists'!$I$2*(1+OrdersTable[[#This Row],[Returned]])</f>
        <v>60</v>
      </c>
      <c r="Y771" s="76">
        <f>OrdersTable[[#This Row],[Net Revenue]]-OrdersTable[[#This Row],[COGS]]-OrdersTable[[#This Row],[Shipping Cost]]</f>
        <v>759.15000000000009</v>
      </c>
      <c r="Z771" s="78">
        <f>IFERROR(OrdersTable[[#This Row],[Profit]]/OrdersTable[[#This Row],[Net Revenue]],0)</f>
        <v>0.44678221463673018</v>
      </c>
      <c r="AA771" t="s">
        <v>3495</v>
      </c>
      <c r="AB771" s="79">
        <v>45455</v>
      </c>
      <c r="AC771">
        <f>OrdersTable[[#This Row],[Delivery Date]]-OrdersTable[[#This Row],[Order Date]]</f>
        <v>4</v>
      </c>
      <c r="AD771" t="str">
        <f>IF(OrdersTable[[#This Row],[Delivery Days]]&lt;=2, "Express (≤2d)", IF(OrdersTable[[#This Row],[Delivery Days]]&lt;=4, "Standard (3-4d)", "Delayed (5d+)"))</f>
        <v>Standard (3-4d)</v>
      </c>
      <c r="AE771">
        <v>5</v>
      </c>
      <c r="AF771">
        <v>0</v>
      </c>
    </row>
    <row r="772" spans="1:32" ht="15" x14ac:dyDescent="0.35">
      <c r="A772" t="s">
        <v>114</v>
      </c>
      <c r="B772" s="1">
        <v>45451</v>
      </c>
      <c r="C772">
        <f>YEAR(OrdersTable[[#This Row],[Order Date]])</f>
        <v>2024</v>
      </c>
      <c r="D772" s="2">
        <f>DATE(YEAR(OrdersTable[[#This Row],[Order Date]]),MONTH(OrdersTable[[#This Row],[Order Date]]),1)</f>
        <v>45444</v>
      </c>
      <c r="E772">
        <f>MONTH(OrdersTable[[#This Row],[Order Date]])</f>
        <v>6</v>
      </c>
      <c r="F772" t="s">
        <v>115</v>
      </c>
      <c r="G772" t="str">
        <f>IF(OrdersTable[[#This Row],[Order Date]]=_xlfn.MINIFS(Order_Date, Customer_ID, OrdersTable[[#This Row],[Customer ID]]), "New", "Repeat")</f>
        <v>New</v>
      </c>
      <c r="H772" t="s">
        <v>27</v>
      </c>
      <c r="I772" t="str">
        <f>INDEX(State!B:B,MATCH(OrdersTable[[#This Row],[State]],State!A:A,0))</f>
        <v>WB</v>
      </c>
      <c r="J772" t="str">
        <f>INDEX(State!C:C,MATCH(OrdersTable[[#This Row],[State Code]],State!B:B,0))</f>
        <v>East</v>
      </c>
      <c r="K772" t="s">
        <v>28</v>
      </c>
      <c r="L772" t="s">
        <v>65</v>
      </c>
      <c r="M772" t="s">
        <v>78</v>
      </c>
      <c r="N772" t="str">
        <f>INDEX(Products!B:B,MATCH(OrdersTable[[#This Row],[Product ID]],Products!A:A,0))</f>
        <v>Retinol Night Cream</v>
      </c>
      <c r="O772" t="str">
        <f>INDEX(Products!C:C,MATCH(OrdersTable[[#This Row],[Product ID]],Products!A:A,0))</f>
        <v>Skincare</v>
      </c>
      <c r="P772">
        <v>1</v>
      </c>
      <c r="Q772" s="5">
        <v>799</v>
      </c>
      <c r="R772" s="74">
        <v>0.15</v>
      </c>
      <c r="S772" s="75">
        <f>OrdersTable[[#This Row],[Quantity]]*OrdersTable[[#This Row],[Unit Price]]</f>
        <v>799</v>
      </c>
      <c r="T772" s="5">
        <f>OrdersTable[[#This Row],[Gross Sale]]*OrdersTable[[#This Row],[Discount_Clean2]]</f>
        <v>119.85</v>
      </c>
      <c r="U772" s="5">
        <f>OrdersTable[[#This Row],[Gross Sale]]-OrdersTable[[#This Row],[Discount Amount]]</f>
        <v>679.15</v>
      </c>
      <c r="V772" s="77">
        <f>INDEX(Products!E:E,MATCH(OrdersTable[[#This Row],[Product ID]],Products!A:A,0))</f>
        <v>216</v>
      </c>
      <c r="W772" s="77">
        <f>OrdersTable[[#This Row],[Quantity]]*OrdersTable[[#This Row],[Unit Cost]]</f>
        <v>216</v>
      </c>
      <c r="X772" s="77">
        <f>'Dropdown Lists'!$I$2*(1+OrdersTable[[#This Row],[Returned]])</f>
        <v>60</v>
      </c>
      <c r="Y772" s="76">
        <f>OrdersTable[[#This Row],[Net Revenue]]-OrdersTable[[#This Row],[COGS]]-OrdersTable[[#This Row],[Shipping Cost]]</f>
        <v>403.15</v>
      </c>
      <c r="Z772" s="78">
        <f>IFERROR(OrdersTable[[#This Row],[Profit]]/OrdersTable[[#This Row],[Net Revenue]],0)</f>
        <v>0.59360965913273944</v>
      </c>
      <c r="AA772" t="s">
        <v>18</v>
      </c>
      <c r="AB772" s="79">
        <v>45452</v>
      </c>
      <c r="AC772">
        <f>OrdersTable[[#This Row],[Delivery Date]]-OrdersTable[[#This Row],[Order Date]]</f>
        <v>1</v>
      </c>
      <c r="AD772" t="str">
        <f>IF(OrdersTable[[#This Row],[Delivery Days]]&lt;=2, "Express (≤2d)", IF(OrdersTable[[#This Row],[Delivery Days]]&lt;=4, "Standard (3-4d)", "Delayed (5d+)"))</f>
        <v>Express (≤2d)</v>
      </c>
      <c r="AE772">
        <v>4</v>
      </c>
      <c r="AF772">
        <v>0</v>
      </c>
    </row>
    <row r="773" spans="1:32" ht="15" x14ac:dyDescent="0.35">
      <c r="A773" t="s">
        <v>1857</v>
      </c>
      <c r="B773" s="1">
        <v>45451</v>
      </c>
      <c r="C773">
        <f>YEAR(OrdersTable[[#This Row],[Order Date]])</f>
        <v>2024</v>
      </c>
      <c r="D773" s="2">
        <f>DATE(YEAR(OrdersTable[[#This Row],[Order Date]]),MONTH(OrdersTable[[#This Row],[Order Date]]),1)</f>
        <v>45444</v>
      </c>
      <c r="E773">
        <f>MONTH(OrdersTable[[#This Row],[Order Date]])</f>
        <v>6</v>
      </c>
      <c r="F773" t="s">
        <v>117</v>
      </c>
      <c r="G773" t="str">
        <f>IF(OrdersTable[[#This Row],[Order Date]]=_xlfn.MINIFS(Order_Date, Customer_ID, OrdersTable[[#This Row],[Customer ID]]), "New", "Repeat")</f>
        <v>New</v>
      </c>
      <c r="H773" t="s">
        <v>95</v>
      </c>
      <c r="I773" t="str">
        <f>INDEX(State!B:B,MATCH(OrdersTable[[#This Row],[State]],State!A:A,0))</f>
        <v>TG</v>
      </c>
      <c r="J773" t="str">
        <f>INDEX(State!C:C,MATCH(OrdersTable[[#This Row],[State Code]],State!B:B,0))</f>
        <v>South</v>
      </c>
      <c r="K773" t="s">
        <v>96</v>
      </c>
      <c r="L773" t="s">
        <v>23</v>
      </c>
      <c r="M773" t="s">
        <v>34</v>
      </c>
      <c r="N773" t="str">
        <f>INDEX(Products!B:B,MATCH(OrdersTable[[#This Row],[Product ID]],Products!A:A,0))</f>
        <v>Flip Flops</v>
      </c>
      <c r="O773" t="str">
        <f>INDEX(Products!C:C,MATCH(OrdersTable[[#This Row],[Product ID]],Products!A:A,0))</f>
        <v>Footwear</v>
      </c>
      <c r="P773">
        <v>1</v>
      </c>
      <c r="Q773" s="5">
        <v>399</v>
      </c>
      <c r="R773" s="74">
        <v>0.05</v>
      </c>
      <c r="S773" s="75">
        <f>OrdersTable[[#This Row],[Quantity]]*OrdersTable[[#This Row],[Unit Price]]</f>
        <v>399</v>
      </c>
      <c r="T773" s="5">
        <f>OrdersTable[[#This Row],[Gross Sale]]*OrdersTable[[#This Row],[Discount_Clean2]]</f>
        <v>19.950000000000003</v>
      </c>
      <c r="U773" s="5">
        <f>OrdersTable[[#This Row],[Gross Sale]]-OrdersTable[[#This Row],[Discount Amount]]</f>
        <v>379.05</v>
      </c>
      <c r="V773" s="77">
        <f>INDEX(Products!E:E,MATCH(OrdersTable[[#This Row],[Product ID]],Products!A:A,0))</f>
        <v>152</v>
      </c>
      <c r="W773" s="77">
        <f>OrdersTable[[#This Row],[Quantity]]*OrdersTable[[#This Row],[Unit Cost]]</f>
        <v>152</v>
      </c>
      <c r="X773" s="77">
        <f>'Dropdown Lists'!$I$2*(1+OrdersTable[[#This Row],[Returned]])</f>
        <v>120</v>
      </c>
      <c r="Y773" s="76">
        <f>OrdersTable[[#This Row],[Net Revenue]]-OrdersTable[[#This Row],[COGS]]-OrdersTable[[#This Row],[Shipping Cost]]</f>
        <v>107.05000000000001</v>
      </c>
      <c r="Z773" s="78">
        <f>IFERROR(OrdersTable[[#This Row],[Profit]]/OrdersTable[[#This Row],[Net Revenue]],0)</f>
        <v>0.2824165677351273</v>
      </c>
      <c r="AA773" t="s">
        <v>18</v>
      </c>
      <c r="AB773" s="79">
        <v>45455</v>
      </c>
      <c r="AC773">
        <f>OrdersTable[[#This Row],[Delivery Date]]-OrdersTable[[#This Row],[Order Date]]</f>
        <v>4</v>
      </c>
      <c r="AD773" t="str">
        <f>IF(OrdersTable[[#This Row],[Delivery Days]]&lt;=2, "Express (≤2d)", IF(OrdersTable[[#This Row],[Delivery Days]]&lt;=4, "Standard (3-4d)", "Delayed (5d+)"))</f>
        <v>Standard (3-4d)</v>
      </c>
      <c r="AE773">
        <v>3</v>
      </c>
      <c r="AF773">
        <v>1</v>
      </c>
    </row>
    <row r="774" spans="1:32" ht="15" x14ac:dyDescent="0.35">
      <c r="A774" t="s">
        <v>6492</v>
      </c>
      <c r="B774" s="1">
        <v>45451</v>
      </c>
      <c r="C774">
        <f>YEAR(OrdersTable[[#This Row],[Order Date]])</f>
        <v>2024</v>
      </c>
      <c r="D774" s="2">
        <f>DATE(YEAR(OrdersTable[[#This Row],[Order Date]]),MONTH(OrdersTable[[#This Row],[Order Date]]),1)</f>
        <v>45444</v>
      </c>
      <c r="E774">
        <f>MONTH(OrdersTable[[#This Row],[Order Date]])</f>
        <v>6</v>
      </c>
      <c r="F774" t="s">
        <v>6493</v>
      </c>
      <c r="G774" t="str">
        <f>IF(OrdersTable[[#This Row],[Order Date]]=_xlfn.MINIFS(Order_Date, Customer_ID, OrdersTable[[#This Row],[Customer ID]]), "New", "Repeat")</f>
        <v>New</v>
      </c>
      <c r="H774" t="s">
        <v>167</v>
      </c>
      <c r="I774" t="str">
        <f>INDEX(State!B:B,MATCH(OrdersTable[[#This Row],[State]],State!A:A,0))</f>
        <v>KA</v>
      </c>
      <c r="J774" t="str">
        <f>INDEX(State!C:C,MATCH(OrdersTable[[#This Row],[State Code]],State!B:B,0))</f>
        <v>South</v>
      </c>
      <c r="K774" t="s">
        <v>168</v>
      </c>
      <c r="L774" t="s">
        <v>23</v>
      </c>
      <c r="M774" t="s">
        <v>152</v>
      </c>
      <c r="N774" t="str">
        <f>INDEX(Products!B:B,MATCH(OrdersTable[[#This Row],[Product ID]],Products!A:A,0))</f>
        <v>Green Tea (100 bags)</v>
      </c>
      <c r="O774" t="str">
        <f>INDEX(Products!C:C,MATCH(OrdersTable[[#This Row],[Product ID]],Products!A:A,0))</f>
        <v>Wellness</v>
      </c>
      <c r="P774">
        <v>3</v>
      </c>
      <c r="Q774" s="5">
        <v>399</v>
      </c>
      <c r="R774" s="74">
        <v>0.3</v>
      </c>
      <c r="S774" s="75">
        <f>OrdersTable[[#This Row],[Quantity]]*OrdersTable[[#This Row],[Unit Price]]</f>
        <v>1197</v>
      </c>
      <c r="T774" s="5">
        <f>OrdersTable[[#This Row],[Gross Sale]]*OrdersTable[[#This Row],[Discount_Clean2]]</f>
        <v>359.09999999999997</v>
      </c>
      <c r="U774" s="5">
        <f>OrdersTable[[#This Row],[Gross Sale]]-OrdersTable[[#This Row],[Discount Amount]]</f>
        <v>837.90000000000009</v>
      </c>
      <c r="V774" s="77">
        <f>INDEX(Products!E:E,MATCH(OrdersTable[[#This Row],[Product ID]],Products!A:A,0))</f>
        <v>128</v>
      </c>
      <c r="W774" s="77">
        <f>OrdersTable[[#This Row],[Quantity]]*OrdersTable[[#This Row],[Unit Cost]]</f>
        <v>384</v>
      </c>
      <c r="X774" s="77">
        <f>'Dropdown Lists'!$I$2*(1+OrdersTable[[#This Row],[Returned]])</f>
        <v>60</v>
      </c>
      <c r="Y774" s="76">
        <f>OrdersTable[[#This Row],[Net Revenue]]-OrdersTable[[#This Row],[COGS]]-OrdersTable[[#This Row],[Shipping Cost]]</f>
        <v>393.90000000000009</v>
      </c>
      <c r="Z774" s="78">
        <f>IFERROR(OrdersTable[[#This Row],[Profit]]/OrdersTable[[#This Row],[Net Revenue]],0)</f>
        <v>0.47010383100608671</v>
      </c>
      <c r="AA774" t="s">
        <v>18</v>
      </c>
      <c r="AB774" s="79">
        <v>45453</v>
      </c>
      <c r="AC774">
        <f>OrdersTable[[#This Row],[Delivery Date]]-OrdersTable[[#This Row],[Order Date]]</f>
        <v>2</v>
      </c>
      <c r="AD774" t="str">
        <f>IF(OrdersTable[[#This Row],[Delivery Days]]&lt;=2, "Express (≤2d)", IF(OrdersTable[[#This Row],[Delivery Days]]&lt;=4, "Standard (3-4d)", "Delayed (5d+)"))</f>
        <v>Express (≤2d)</v>
      </c>
      <c r="AE774">
        <v>4</v>
      </c>
      <c r="AF774">
        <v>0</v>
      </c>
    </row>
    <row r="775" spans="1:32" ht="15" x14ac:dyDescent="0.35">
      <c r="A775" t="s">
        <v>3178</v>
      </c>
      <c r="B775" s="1">
        <v>45451</v>
      </c>
      <c r="C775">
        <f>YEAR(OrdersTable[[#This Row],[Order Date]])</f>
        <v>2024</v>
      </c>
      <c r="D775" s="2">
        <f>DATE(YEAR(OrdersTable[[#This Row],[Order Date]]),MONTH(OrdersTable[[#This Row],[Order Date]]),1)</f>
        <v>45444</v>
      </c>
      <c r="E775">
        <f>MONTH(OrdersTable[[#This Row],[Order Date]])</f>
        <v>6</v>
      </c>
      <c r="F775" t="s">
        <v>2591</v>
      </c>
      <c r="G775" t="str">
        <f>IF(OrdersTable[[#This Row],[Order Date]]=_xlfn.MINIFS(Order_Date, Customer_ID, OrdersTable[[#This Row],[Customer ID]]), "New", "Repeat")</f>
        <v>Repeat</v>
      </c>
      <c r="H775" t="s">
        <v>59</v>
      </c>
      <c r="I775" t="str">
        <f>INDEX(State!B:B,MATCH(OrdersTable[[#This Row],[State]],State!A:A,0))</f>
        <v>TN</v>
      </c>
      <c r="J775" t="str">
        <f>INDEX(State!C:C,MATCH(OrdersTable[[#This Row],[State Code]],State!B:B,0))</f>
        <v>South</v>
      </c>
      <c r="K775" t="s">
        <v>60</v>
      </c>
      <c r="L775" t="s">
        <v>39</v>
      </c>
      <c r="M775" t="s">
        <v>29</v>
      </c>
      <c r="N775" t="str">
        <f>INDEX(Products!B:B,MATCH(OrdersTable[[#This Row],[Product ID]],Products!A:A,0))</f>
        <v>Joggers</v>
      </c>
      <c r="O775" t="str">
        <f>INDEX(Products!C:C,MATCH(OrdersTable[[#This Row],[Product ID]],Products!A:A,0))</f>
        <v>Apparel</v>
      </c>
      <c r="P775">
        <v>1</v>
      </c>
      <c r="Q775" s="5">
        <v>1199</v>
      </c>
      <c r="R775" s="74">
        <v>0.15</v>
      </c>
      <c r="S775" s="75">
        <f>OrdersTable[[#This Row],[Quantity]]*OrdersTable[[#This Row],[Unit Price]]</f>
        <v>1199</v>
      </c>
      <c r="T775" s="5">
        <f>OrdersTable[[#This Row],[Gross Sale]]*OrdersTable[[#This Row],[Discount_Clean2]]</f>
        <v>179.85</v>
      </c>
      <c r="U775" s="5">
        <f>OrdersTable[[#This Row],[Gross Sale]]-OrdersTable[[#This Row],[Discount Amount]]</f>
        <v>1019.15</v>
      </c>
      <c r="V775" s="77">
        <f>INDEX(Products!E:E,MATCH(OrdersTable[[#This Row],[Product ID]],Products!A:A,0))</f>
        <v>492</v>
      </c>
      <c r="W775" s="77">
        <f>OrdersTable[[#This Row],[Quantity]]*OrdersTable[[#This Row],[Unit Cost]]</f>
        <v>492</v>
      </c>
      <c r="X775" s="77">
        <f>'Dropdown Lists'!$I$2*(1+OrdersTable[[#This Row],[Returned]])</f>
        <v>60</v>
      </c>
      <c r="Y775" s="76">
        <f>OrdersTable[[#This Row],[Net Revenue]]-OrdersTable[[#This Row],[COGS]]-OrdersTable[[#This Row],[Shipping Cost]]</f>
        <v>467.15</v>
      </c>
      <c r="Z775" s="78">
        <f>IFERROR(OrdersTable[[#This Row],[Profit]]/OrdersTable[[#This Row],[Net Revenue]],0)</f>
        <v>0.45837217288917231</v>
      </c>
      <c r="AA775" t="s">
        <v>2522</v>
      </c>
      <c r="AB775" s="79">
        <v>45456</v>
      </c>
      <c r="AC775">
        <f>OrdersTable[[#This Row],[Delivery Date]]-OrdersTable[[#This Row],[Order Date]]</f>
        <v>5</v>
      </c>
      <c r="AD775" t="str">
        <f>IF(OrdersTable[[#This Row],[Delivery Days]]&lt;=2, "Express (≤2d)", IF(OrdersTable[[#This Row],[Delivery Days]]&lt;=4, "Standard (3-4d)", "Delayed (5d+)"))</f>
        <v>Delayed (5d+)</v>
      </c>
      <c r="AE775">
        <v>4</v>
      </c>
      <c r="AF775">
        <v>0</v>
      </c>
    </row>
    <row r="776" spans="1:32" ht="15" x14ac:dyDescent="0.35">
      <c r="A776" t="s">
        <v>5580</v>
      </c>
      <c r="B776" s="1">
        <v>45451</v>
      </c>
      <c r="C776">
        <f>YEAR(OrdersTable[[#This Row],[Order Date]])</f>
        <v>2024</v>
      </c>
      <c r="D776" s="2">
        <f>DATE(YEAR(OrdersTable[[#This Row],[Order Date]]),MONTH(OrdersTable[[#This Row],[Order Date]]),1)</f>
        <v>45444</v>
      </c>
      <c r="E776">
        <f>MONTH(OrdersTable[[#This Row],[Order Date]])</f>
        <v>6</v>
      </c>
      <c r="F776" t="s">
        <v>4496</v>
      </c>
      <c r="G776" t="str">
        <f>IF(OrdersTable[[#This Row],[Order Date]]=_xlfn.MINIFS(Order_Date, Customer_ID, OrdersTable[[#This Row],[Customer ID]]), "New", "Repeat")</f>
        <v>New</v>
      </c>
      <c r="H776" t="s">
        <v>59</v>
      </c>
      <c r="I776" t="str">
        <f>INDEX(State!B:B,MATCH(OrdersTable[[#This Row],[State]],State!A:A,0))</f>
        <v>TN</v>
      </c>
      <c r="J776" t="str">
        <f>INDEX(State!C:C,MATCH(OrdersTable[[#This Row],[State Code]],State!B:B,0))</f>
        <v>South</v>
      </c>
      <c r="K776" t="s">
        <v>64</v>
      </c>
      <c r="L776" t="s">
        <v>50</v>
      </c>
      <c r="M776" t="s">
        <v>152</v>
      </c>
      <c r="N776" t="str">
        <f>INDEX(Products!B:B,MATCH(OrdersTable[[#This Row],[Product ID]],Products!A:A,0))</f>
        <v>Green Tea (100 bags)</v>
      </c>
      <c r="O776" t="str">
        <f>INDEX(Products!C:C,MATCH(OrdersTable[[#This Row],[Product ID]],Products!A:A,0))</f>
        <v>Wellness</v>
      </c>
      <c r="P776">
        <v>2</v>
      </c>
      <c r="Q776" s="5">
        <v>399</v>
      </c>
      <c r="R776" s="74">
        <v>0.4</v>
      </c>
      <c r="S776" s="75">
        <f>OrdersTable[[#This Row],[Quantity]]*OrdersTable[[#This Row],[Unit Price]]</f>
        <v>798</v>
      </c>
      <c r="T776" s="5">
        <f>OrdersTable[[#This Row],[Gross Sale]]*OrdersTable[[#This Row],[Discount_Clean2]]</f>
        <v>319.20000000000005</v>
      </c>
      <c r="U776" s="5">
        <f>OrdersTable[[#This Row],[Gross Sale]]-OrdersTable[[#This Row],[Discount Amount]]</f>
        <v>478.79999999999995</v>
      </c>
      <c r="V776" s="77">
        <f>INDEX(Products!E:E,MATCH(OrdersTable[[#This Row],[Product ID]],Products!A:A,0))</f>
        <v>128</v>
      </c>
      <c r="W776" s="77">
        <f>OrdersTable[[#This Row],[Quantity]]*OrdersTable[[#This Row],[Unit Cost]]</f>
        <v>256</v>
      </c>
      <c r="X776" s="77">
        <f>'Dropdown Lists'!$I$2*(1+OrdersTable[[#This Row],[Returned]])</f>
        <v>60</v>
      </c>
      <c r="Y776" s="76">
        <f>OrdersTable[[#This Row],[Net Revenue]]-OrdersTable[[#This Row],[COGS]]-OrdersTable[[#This Row],[Shipping Cost]]</f>
        <v>162.79999999999995</v>
      </c>
      <c r="Z776" s="78">
        <f>IFERROR(OrdersTable[[#This Row],[Profit]]/OrdersTable[[#This Row],[Net Revenue]],0)</f>
        <v>0.34001670843776099</v>
      </c>
      <c r="AA776" t="s">
        <v>2522</v>
      </c>
      <c r="AB776" s="79">
        <v>45453</v>
      </c>
      <c r="AC776">
        <f>OrdersTable[[#This Row],[Delivery Date]]-OrdersTable[[#This Row],[Order Date]]</f>
        <v>2</v>
      </c>
      <c r="AD776" t="str">
        <f>IF(OrdersTable[[#This Row],[Delivery Days]]&lt;=2, "Express (≤2d)", IF(OrdersTable[[#This Row],[Delivery Days]]&lt;=4, "Standard (3-4d)", "Delayed (5d+)"))</f>
        <v>Express (≤2d)</v>
      </c>
      <c r="AE776">
        <v>4</v>
      </c>
      <c r="AF776">
        <v>0</v>
      </c>
    </row>
    <row r="777" spans="1:32" ht="15" x14ac:dyDescent="0.35">
      <c r="A777" t="s">
        <v>3534</v>
      </c>
      <c r="B777" s="1">
        <v>45452</v>
      </c>
      <c r="C777">
        <f>YEAR(OrdersTable[[#This Row],[Order Date]])</f>
        <v>2024</v>
      </c>
      <c r="D777" s="2">
        <f>DATE(YEAR(OrdersTable[[#This Row],[Order Date]]),MONTH(OrdersTable[[#This Row],[Order Date]]),1)</f>
        <v>45444</v>
      </c>
      <c r="E777">
        <f>MONTH(OrdersTable[[#This Row],[Order Date]])</f>
        <v>6</v>
      </c>
      <c r="F777" t="s">
        <v>3535</v>
      </c>
      <c r="G777" t="str">
        <f>IF(OrdersTable[[#This Row],[Order Date]]=_xlfn.MINIFS(Order_Date, Customer_ID, OrdersTable[[#This Row],[Customer ID]]), "New", "Repeat")</f>
        <v>New</v>
      </c>
      <c r="H777" t="s">
        <v>71</v>
      </c>
      <c r="I777" t="str">
        <f>INDEX(State!B:B,MATCH(OrdersTable[[#This Row],[State]],State!A:A,0))</f>
        <v>MH</v>
      </c>
      <c r="J777" t="str">
        <f>INDEX(State!C:C,MATCH(OrdersTable[[#This Row],[State Code]],State!B:B,0))</f>
        <v>West</v>
      </c>
      <c r="K777" t="s">
        <v>72</v>
      </c>
      <c r="L777" t="s">
        <v>16</v>
      </c>
      <c r="M777" t="s">
        <v>34</v>
      </c>
      <c r="N777" t="str">
        <f>INDEX(Products!B:B,MATCH(OrdersTable[[#This Row],[Product ID]],Products!A:A,0))</f>
        <v>Flip Flops</v>
      </c>
      <c r="O777" t="str">
        <f>INDEX(Products!C:C,MATCH(OrdersTable[[#This Row],[Product ID]],Products!A:A,0))</f>
        <v>Footwear</v>
      </c>
      <c r="P777">
        <v>1</v>
      </c>
      <c r="Q777" s="5">
        <v>399</v>
      </c>
      <c r="R777" s="74">
        <v>0.05</v>
      </c>
      <c r="S777" s="75">
        <f>OrdersTable[[#This Row],[Quantity]]*OrdersTable[[#This Row],[Unit Price]]</f>
        <v>399</v>
      </c>
      <c r="T777" s="5">
        <f>OrdersTable[[#This Row],[Gross Sale]]*OrdersTable[[#This Row],[Discount_Clean2]]</f>
        <v>19.950000000000003</v>
      </c>
      <c r="U777" s="5">
        <f>OrdersTable[[#This Row],[Gross Sale]]-OrdersTable[[#This Row],[Discount Amount]]</f>
        <v>379.05</v>
      </c>
      <c r="V777" s="77">
        <f>INDEX(Products!E:E,MATCH(OrdersTable[[#This Row],[Product ID]],Products!A:A,0))</f>
        <v>152</v>
      </c>
      <c r="W777" s="77">
        <f>OrdersTable[[#This Row],[Quantity]]*OrdersTable[[#This Row],[Unit Cost]]</f>
        <v>152</v>
      </c>
      <c r="X777" s="77">
        <f>'Dropdown Lists'!$I$2*(1+OrdersTable[[#This Row],[Returned]])</f>
        <v>60</v>
      </c>
      <c r="Y777" s="76">
        <f>OrdersTable[[#This Row],[Net Revenue]]-OrdersTable[[#This Row],[COGS]]-OrdersTable[[#This Row],[Shipping Cost]]</f>
        <v>167.05</v>
      </c>
      <c r="Z777" s="78">
        <f>IFERROR(OrdersTable[[#This Row],[Profit]]/OrdersTable[[#This Row],[Net Revenue]],0)</f>
        <v>0.44070703073473161</v>
      </c>
      <c r="AA777" t="s">
        <v>3495</v>
      </c>
      <c r="AB777" s="79">
        <v>45453</v>
      </c>
      <c r="AC777">
        <f>OrdersTable[[#This Row],[Delivery Date]]-OrdersTable[[#This Row],[Order Date]]</f>
        <v>1</v>
      </c>
      <c r="AD777" t="str">
        <f>IF(OrdersTable[[#This Row],[Delivery Days]]&lt;=2, "Express (≤2d)", IF(OrdersTable[[#This Row],[Delivery Days]]&lt;=4, "Standard (3-4d)", "Delayed (5d+)"))</f>
        <v>Express (≤2d)</v>
      </c>
      <c r="AE777">
        <v>4</v>
      </c>
      <c r="AF777">
        <v>0</v>
      </c>
    </row>
    <row r="778" spans="1:32" ht="15" x14ac:dyDescent="0.35">
      <c r="A778" t="s">
        <v>4767</v>
      </c>
      <c r="B778" s="1">
        <v>45452</v>
      </c>
      <c r="C778">
        <f>YEAR(OrdersTable[[#This Row],[Order Date]])</f>
        <v>2024</v>
      </c>
      <c r="D778" s="2">
        <f>DATE(YEAR(OrdersTable[[#This Row],[Order Date]]),MONTH(OrdersTable[[#This Row],[Order Date]]),1)</f>
        <v>45444</v>
      </c>
      <c r="E778">
        <f>MONTH(OrdersTable[[#This Row],[Order Date]])</f>
        <v>6</v>
      </c>
      <c r="F778" t="s">
        <v>4768</v>
      </c>
      <c r="G778" t="str">
        <f>IF(OrdersTable[[#This Row],[Order Date]]=_xlfn.MINIFS(Order_Date, Customer_ID, OrdersTable[[#This Row],[Customer ID]]), "New", "Repeat")</f>
        <v>New</v>
      </c>
      <c r="H778" t="s">
        <v>95</v>
      </c>
      <c r="I778" t="str">
        <f>INDEX(State!B:B,MATCH(OrdersTable[[#This Row],[State]],State!A:A,0))</f>
        <v>TG</v>
      </c>
      <c r="J778" t="str">
        <f>INDEX(State!C:C,MATCH(OrdersTable[[#This Row],[State Code]],State!B:B,0))</f>
        <v>South</v>
      </c>
      <c r="K778" t="s">
        <v>96</v>
      </c>
      <c r="L778" t="s">
        <v>65</v>
      </c>
      <c r="M778" t="s">
        <v>109</v>
      </c>
      <c r="N778" t="str">
        <f>INDEX(Products!B:B,MATCH(OrdersTable[[#This Row],[Product ID]],Products!A:A,0))</f>
        <v>Onion Hair Oil</v>
      </c>
      <c r="O778" t="str">
        <f>INDEX(Products!C:C,MATCH(OrdersTable[[#This Row],[Product ID]],Products!A:A,0))</f>
        <v>Haircare</v>
      </c>
      <c r="P778">
        <v>2</v>
      </c>
      <c r="Q778" s="5">
        <v>349</v>
      </c>
      <c r="R778" s="74">
        <v>0.3</v>
      </c>
      <c r="S778" s="75">
        <f>OrdersTable[[#This Row],[Quantity]]*OrdersTable[[#This Row],[Unit Price]]</f>
        <v>698</v>
      </c>
      <c r="T778" s="5">
        <f>OrdersTable[[#This Row],[Gross Sale]]*OrdersTable[[#This Row],[Discount_Clean2]]</f>
        <v>209.4</v>
      </c>
      <c r="U778" s="5">
        <f>OrdersTable[[#This Row],[Gross Sale]]-OrdersTable[[#This Row],[Discount Amount]]</f>
        <v>488.6</v>
      </c>
      <c r="V778" s="77">
        <f>INDEX(Products!E:E,MATCH(OrdersTable[[#This Row],[Product ID]],Products!A:A,0))</f>
        <v>105</v>
      </c>
      <c r="W778" s="77">
        <f>OrdersTable[[#This Row],[Quantity]]*OrdersTable[[#This Row],[Unit Cost]]</f>
        <v>210</v>
      </c>
      <c r="X778" s="77">
        <f>'Dropdown Lists'!$I$2*(1+OrdersTable[[#This Row],[Returned]])</f>
        <v>60</v>
      </c>
      <c r="Y778" s="76">
        <f>OrdersTable[[#This Row],[Net Revenue]]-OrdersTable[[#This Row],[COGS]]-OrdersTable[[#This Row],[Shipping Cost]]</f>
        <v>218.60000000000002</v>
      </c>
      <c r="Z778" s="78">
        <f>IFERROR(OrdersTable[[#This Row],[Profit]]/OrdersTable[[#This Row],[Net Revenue]],0)</f>
        <v>0.44740073679901765</v>
      </c>
      <c r="AA778" t="s">
        <v>4450</v>
      </c>
      <c r="AB778" s="79">
        <v>45453</v>
      </c>
      <c r="AC778">
        <f>OrdersTable[[#This Row],[Delivery Date]]-OrdersTable[[#This Row],[Order Date]]</f>
        <v>1</v>
      </c>
      <c r="AD778" t="str">
        <f>IF(OrdersTable[[#This Row],[Delivery Days]]&lt;=2, "Express (≤2d)", IF(OrdersTable[[#This Row],[Delivery Days]]&lt;=4, "Standard (3-4d)", "Delayed (5d+)"))</f>
        <v>Express (≤2d)</v>
      </c>
      <c r="AF778">
        <v>0</v>
      </c>
    </row>
    <row r="779" spans="1:32" ht="15" x14ac:dyDescent="0.35">
      <c r="A779" t="s">
        <v>2910</v>
      </c>
      <c r="B779" s="1">
        <v>45452</v>
      </c>
      <c r="C779">
        <f>YEAR(OrdersTable[[#This Row],[Order Date]])</f>
        <v>2024</v>
      </c>
      <c r="D779" s="2">
        <f>DATE(YEAR(OrdersTable[[#This Row],[Order Date]]),MONTH(OrdersTable[[#This Row],[Order Date]]),1)</f>
        <v>45444</v>
      </c>
      <c r="E779">
        <f>MONTH(OrdersTable[[#This Row],[Order Date]])</f>
        <v>6</v>
      </c>
      <c r="F779" t="s">
        <v>384</v>
      </c>
      <c r="G779" t="str">
        <f>IF(OrdersTable[[#This Row],[Order Date]]=_xlfn.MINIFS(Order_Date, Customer_ID, OrdersTable[[#This Row],[Customer ID]]), "New", "Repeat")</f>
        <v>Repeat</v>
      </c>
      <c r="H779" t="s">
        <v>167</v>
      </c>
      <c r="I779" t="str">
        <f>INDEX(State!B:B,MATCH(OrdersTable[[#This Row],[State]],State!A:A,0))</f>
        <v>KA</v>
      </c>
      <c r="J779" t="str">
        <f>INDEX(State!C:C,MATCH(OrdersTable[[#This Row],[State Code]],State!B:B,0))</f>
        <v>South</v>
      </c>
      <c r="K779" t="s">
        <v>190</v>
      </c>
      <c r="L779" t="s">
        <v>65</v>
      </c>
      <c r="M779" t="s">
        <v>160</v>
      </c>
      <c r="N779" t="str">
        <f>INDEX(Products!B:B,MATCH(OrdersTable[[#This Row],[Product ID]],Products!A:A,0))</f>
        <v>Niacinamide Toner</v>
      </c>
      <c r="O779" t="str">
        <f>INDEX(Products!C:C,MATCH(OrdersTable[[#This Row],[Product ID]],Products!A:A,0))</f>
        <v>Skincare</v>
      </c>
      <c r="P779">
        <v>1</v>
      </c>
      <c r="Q779" s="5">
        <v>399</v>
      </c>
      <c r="R779" s="74">
        <v>0.25</v>
      </c>
      <c r="S779" s="75">
        <f>OrdersTable[[#This Row],[Quantity]]*OrdersTable[[#This Row],[Unit Price]]</f>
        <v>399</v>
      </c>
      <c r="T779" s="5">
        <f>OrdersTable[[#This Row],[Gross Sale]]*OrdersTable[[#This Row],[Discount_Clean2]]</f>
        <v>99.75</v>
      </c>
      <c r="U779" s="5">
        <f>OrdersTable[[#This Row],[Gross Sale]]-OrdersTable[[#This Row],[Discount Amount]]</f>
        <v>299.25</v>
      </c>
      <c r="V779" s="77">
        <f>INDEX(Products!E:E,MATCH(OrdersTable[[#This Row],[Product ID]],Products!A:A,0))</f>
        <v>112</v>
      </c>
      <c r="W779" s="77">
        <f>OrdersTable[[#This Row],[Quantity]]*OrdersTable[[#This Row],[Unit Cost]]</f>
        <v>112</v>
      </c>
      <c r="X779" s="77">
        <f>'Dropdown Lists'!$I$2*(1+OrdersTable[[#This Row],[Returned]])</f>
        <v>60</v>
      </c>
      <c r="Y779" s="76">
        <f>OrdersTable[[#This Row],[Net Revenue]]-OrdersTable[[#This Row],[COGS]]-OrdersTable[[#This Row],[Shipping Cost]]</f>
        <v>127.25</v>
      </c>
      <c r="Z779" s="78">
        <f>IFERROR(OrdersTable[[#This Row],[Profit]]/OrdersTable[[#This Row],[Net Revenue]],0)</f>
        <v>0.42522974101921468</v>
      </c>
      <c r="AA779" t="s">
        <v>2522</v>
      </c>
      <c r="AB779" s="79">
        <v>45454</v>
      </c>
      <c r="AC779">
        <f>OrdersTable[[#This Row],[Delivery Date]]-OrdersTable[[#This Row],[Order Date]]</f>
        <v>2</v>
      </c>
      <c r="AD779" t="str">
        <f>IF(OrdersTable[[#This Row],[Delivery Days]]&lt;=2, "Express (≤2d)", IF(OrdersTable[[#This Row],[Delivery Days]]&lt;=4, "Standard (3-4d)", "Delayed (5d+)"))</f>
        <v>Express (≤2d)</v>
      </c>
      <c r="AF779">
        <v>0</v>
      </c>
    </row>
    <row r="780" spans="1:32" ht="15" x14ac:dyDescent="0.35">
      <c r="A780" t="s">
        <v>4769</v>
      </c>
      <c r="B780" s="1">
        <v>45452</v>
      </c>
      <c r="C780">
        <f>YEAR(OrdersTable[[#This Row],[Order Date]])</f>
        <v>2024</v>
      </c>
      <c r="D780" s="2">
        <f>DATE(YEAR(OrdersTable[[#This Row],[Order Date]]),MONTH(OrdersTable[[#This Row],[Order Date]]),1)</f>
        <v>45444</v>
      </c>
      <c r="E780">
        <f>MONTH(OrdersTable[[#This Row],[Order Date]])</f>
        <v>6</v>
      </c>
      <c r="F780" t="s">
        <v>4770</v>
      </c>
      <c r="G780" t="str">
        <f>IF(OrdersTable[[#This Row],[Order Date]]=_xlfn.MINIFS(Order_Date, Customer_ID, OrdersTable[[#This Row],[Customer ID]]), "New", "Repeat")</f>
        <v>New</v>
      </c>
      <c r="H780" t="s">
        <v>167</v>
      </c>
      <c r="I780" t="str">
        <f>INDEX(State!B:B,MATCH(OrdersTable[[#This Row],[State]],State!A:A,0))</f>
        <v>KA</v>
      </c>
      <c r="J780" t="str">
        <f>INDEX(State!C:C,MATCH(OrdersTable[[#This Row],[State Code]],State!B:B,0))</f>
        <v>South</v>
      </c>
      <c r="K780" t="s">
        <v>190</v>
      </c>
      <c r="L780" t="s">
        <v>65</v>
      </c>
      <c r="M780" t="s">
        <v>73</v>
      </c>
      <c r="N780" t="str">
        <f>INDEX(Products!B:B,MATCH(OrdersTable[[#This Row],[Product ID]],Products!A:A,0))</f>
        <v>Hydrating Face Wash</v>
      </c>
      <c r="O780" t="str">
        <f>INDEX(Products!C:C,MATCH(OrdersTable[[#This Row],[Product ID]],Products!A:A,0))</f>
        <v>Skincare</v>
      </c>
      <c r="P780">
        <v>2</v>
      </c>
      <c r="Q780" s="5">
        <v>299</v>
      </c>
      <c r="R780" s="74">
        <v>0</v>
      </c>
      <c r="S780" s="75">
        <f>OrdersTable[[#This Row],[Quantity]]*OrdersTable[[#This Row],[Unit Price]]</f>
        <v>598</v>
      </c>
      <c r="T780" s="5">
        <f>OrdersTable[[#This Row],[Gross Sale]]*OrdersTable[[#This Row],[Discount_Clean2]]</f>
        <v>0</v>
      </c>
      <c r="U780" s="5">
        <f>OrdersTable[[#This Row],[Gross Sale]]-OrdersTable[[#This Row],[Discount Amount]]</f>
        <v>598</v>
      </c>
      <c r="V780" s="77">
        <f>INDEX(Products!E:E,MATCH(OrdersTable[[#This Row],[Product ID]],Products!A:A,0))</f>
        <v>90</v>
      </c>
      <c r="W780" s="77">
        <f>OrdersTable[[#This Row],[Quantity]]*OrdersTable[[#This Row],[Unit Cost]]</f>
        <v>180</v>
      </c>
      <c r="X780" s="77">
        <f>'Dropdown Lists'!$I$2*(1+OrdersTable[[#This Row],[Returned]])</f>
        <v>120</v>
      </c>
      <c r="Y780" s="76">
        <f>OrdersTable[[#This Row],[Net Revenue]]-OrdersTable[[#This Row],[COGS]]-OrdersTable[[#This Row],[Shipping Cost]]</f>
        <v>298</v>
      </c>
      <c r="Z780" s="78">
        <f>IFERROR(OrdersTable[[#This Row],[Profit]]/OrdersTable[[#This Row],[Net Revenue]],0)</f>
        <v>0.49832775919732442</v>
      </c>
      <c r="AA780" t="s">
        <v>4450</v>
      </c>
      <c r="AB780" s="79">
        <v>45455</v>
      </c>
      <c r="AC780">
        <f>OrdersTable[[#This Row],[Delivery Date]]-OrdersTable[[#This Row],[Order Date]]</f>
        <v>3</v>
      </c>
      <c r="AD780" t="str">
        <f>IF(OrdersTable[[#This Row],[Delivery Days]]&lt;=2, "Express (≤2d)", IF(OrdersTable[[#This Row],[Delivery Days]]&lt;=4, "Standard (3-4d)", "Delayed (5d+)"))</f>
        <v>Standard (3-4d)</v>
      </c>
      <c r="AE780">
        <v>4</v>
      </c>
      <c r="AF780">
        <v>1</v>
      </c>
    </row>
    <row r="781" spans="1:32" ht="15" x14ac:dyDescent="0.35">
      <c r="A781" t="s">
        <v>1347</v>
      </c>
      <c r="B781" s="1">
        <v>45452</v>
      </c>
      <c r="C781">
        <f>YEAR(OrdersTable[[#This Row],[Order Date]])</f>
        <v>2024</v>
      </c>
      <c r="D781" s="2">
        <f>DATE(YEAR(OrdersTable[[#This Row],[Order Date]]),MONTH(OrdersTable[[#This Row],[Order Date]]),1)</f>
        <v>45444</v>
      </c>
      <c r="E781">
        <f>MONTH(OrdersTable[[#This Row],[Order Date]])</f>
        <v>6</v>
      </c>
      <c r="F781" t="s">
        <v>1348</v>
      </c>
      <c r="G781" t="str">
        <f>IF(OrdersTable[[#This Row],[Order Date]]=_xlfn.MINIFS(Order_Date, Customer_ID, OrdersTable[[#This Row],[Customer ID]]), "New", "Repeat")</f>
        <v>New</v>
      </c>
      <c r="H781" t="s">
        <v>59</v>
      </c>
      <c r="I781" t="str">
        <f>INDEX(State!B:B,MATCH(OrdersTable[[#This Row],[State]],State!A:A,0))</f>
        <v>TN</v>
      </c>
      <c r="J781" t="str">
        <f>INDEX(State!C:C,MATCH(OrdersTable[[#This Row],[State Code]],State!B:B,0))</f>
        <v>South</v>
      </c>
      <c r="K781" t="s">
        <v>64</v>
      </c>
      <c r="L781" t="s">
        <v>23</v>
      </c>
      <c r="M781" t="s">
        <v>34</v>
      </c>
      <c r="N781" t="str">
        <f>INDEX(Products!B:B,MATCH(OrdersTable[[#This Row],[Product ID]],Products!A:A,0))</f>
        <v>Flip Flops</v>
      </c>
      <c r="O781" t="str">
        <f>INDEX(Products!C:C,MATCH(OrdersTable[[#This Row],[Product ID]],Products!A:A,0))</f>
        <v>Footwear</v>
      </c>
      <c r="P781">
        <v>1</v>
      </c>
      <c r="Q781" s="5">
        <v>399</v>
      </c>
      <c r="R781" s="74">
        <v>0.1</v>
      </c>
      <c r="S781" s="75">
        <f>OrdersTable[[#This Row],[Quantity]]*OrdersTable[[#This Row],[Unit Price]]</f>
        <v>399</v>
      </c>
      <c r="T781" s="5">
        <f>OrdersTable[[#This Row],[Gross Sale]]*OrdersTable[[#This Row],[Discount_Clean2]]</f>
        <v>39.900000000000006</v>
      </c>
      <c r="U781" s="5">
        <f>OrdersTable[[#This Row],[Gross Sale]]-OrdersTable[[#This Row],[Discount Amount]]</f>
        <v>359.1</v>
      </c>
      <c r="V781" s="77">
        <f>INDEX(Products!E:E,MATCH(OrdersTable[[#This Row],[Product ID]],Products!A:A,0))</f>
        <v>152</v>
      </c>
      <c r="W781" s="77">
        <f>OrdersTable[[#This Row],[Quantity]]*OrdersTable[[#This Row],[Unit Cost]]</f>
        <v>152</v>
      </c>
      <c r="X781" s="77">
        <f>'Dropdown Lists'!$I$2*(1+OrdersTable[[#This Row],[Returned]])</f>
        <v>120</v>
      </c>
      <c r="Y781" s="76">
        <f>OrdersTable[[#This Row],[Net Revenue]]-OrdersTable[[#This Row],[COGS]]-OrdersTable[[#This Row],[Shipping Cost]]</f>
        <v>87.100000000000023</v>
      </c>
      <c r="Z781" s="78">
        <f>IFERROR(OrdersTable[[#This Row],[Profit]]/OrdersTable[[#This Row],[Net Revenue]],0)</f>
        <v>0.24255082149818996</v>
      </c>
      <c r="AA781" t="s">
        <v>18</v>
      </c>
      <c r="AB781" s="79">
        <v>45453</v>
      </c>
      <c r="AC781">
        <f>OrdersTable[[#This Row],[Delivery Date]]-OrdersTable[[#This Row],[Order Date]]</f>
        <v>1</v>
      </c>
      <c r="AD781" t="str">
        <f>IF(OrdersTable[[#This Row],[Delivery Days]]&lt;=2, "Express (≤2d)", IF(OrdersTable[[#This Row],[Delivery Days]]&lt;=4, "Standard (3-4d)", "Delayed (5d+)"))</f>
        <v>Express (≤2d)</v>
      </c>
      <c r="AF781">
        <v>1</v>
      </c>
    </row>
    <row r="782" spans="1:32" ht="15" x14ac:dyDescent="0.35">
      <c r="A782" t="s">
        <v>6063</v>
      </c>
      <c r="B782" s="1">
        <v>45453</v>
      </c>
      <c r="C782">
        <f>YEAR(OrdersTable[[#This Row],[Order Date]])</f>
        <v>2024</v>
      </c>
      <c r="D782" s="2">
        <f>DATE(YEAR(OrdersTable[[#This Row],[Order Date]]),MONTH(OrdersTable[[#This Row],[Order Date]]),1)</f>
        <v>45444</v>
      </c>
      <c r="E782">
        <f>MONTH(OrdersTable[[#This Row],[Order Date]])</f>
        <v>6</v>
      </c>
      <c r="F782" t="s">
        <v>6064</v>
      </c>
      <c r="G782" t="str">
        <f>IF(OrdersTable[[#This Row],[Order Date]]=_xlfn.MINIFS(Order_Date, Customer_ID, OrdersTable[[#This Row],[Customer ID]]), "New", "Repeat")</f>
        <v>New</v>
      </c>
      <c r="H782" t="s">
        <v>43</v>
      </c>
      <c r="I782" t="str">
        <f>INDEX(State!B:B,MATCH(OrdersTable[[#This Row],[State]],State!A:A,0))</f>
        <v>MP</v>
      </c>
      <c r="J782" t="str">
        <f>INDEX(State!C:C,MATCH(OrdersTable[[#This Row],[State Code]],State!B:B,0))</f>
        <v>West</v>
      </c>
      <c r="K782" t="s">
        <v>44</v>
      </c>
      <c r="L782" t="s">
        <v>23</v>
      </c>
      <c r="M782" t="s">
        <v>56</v>
      </c>
      <c r="N782" t="str">
        <f>INDEX(Products!B:B,MATCH(OrdersTable[[#This Row],[Product ID]],Products!A:A,0))</f>
        <v>Vitamin C Face Serum</v>
      </c>
      <c r="O782" t="str">
        <f>INDEX(Products!C:C,MATCH(OrdersTable[[#This Row],[Product ID]],Products!A:A,0))</f>
        <v>Skincare</v>
      </c>
      <c r="P782">
        <v>2</v>
      </c>
      <c r="Q782" s="5">
        <v>599</v>
      </c>
      <c r="R782" s="74">
        <v>0.1</v>
      </c>
      <c r="S782" s="75">
        <f>OrdersTable[[#This Row],[Quantity]]*OrdersTable[[#This Row],[Unit Price]]</f>
        <v>1198</v>
      </c>
      <c r="T782" s="5">
        <f>OrdersTable[[#This Row],[Gross Sale]]*OrdersTable[[#This Row],[Discount_Clean2]]</f>
        <v>119.80000000000001</v>
      </c>
      <c r="U782" s="5">
        <f>OrdersTable[[#This Row],[Gross Sale]]-OrdersTable[[#This Row],[Discount Amount]]</f>
        <v>1078.2</v>
      </c>
      <c r="V782" s="77">
        <f>INDEX(Products!E:E,MATCH(OrdersTable[[#This Row],[Product ID]],Products!A:A,0))</f>
        <v>180</v>
      </c>
      <c r="W782" s="77">
        <f>OrdersTable[[#This Row],[Quantity]]*OrdersTable[[#This Row],[Unit Cost]]</f>
        <v>360</v>
      </c>
      <c r="X782" s="77">
        <f>'Dropdown Lists'!$I$2*(1+OrdersTable[[#This Row],[Returned]])</f>
        <v>60</v>
      </c>
      <c r="Y782" s="76">
        <f>OrdersTable[[#This Row],[Net Revenue]]-OrdersTable[[#This Row],[COGS]]-OrdersTable[[#This Row],[Shipping Cost]]</f>
        <v>658.2</v>
      </c>
      <c r="Z782" s="78">
        <f>IFERROR(OrdersTable[[#This Row],[Profit]]/OrdersTable[[#This Row],[Net Revenue]],0)</f>
        <v>0.6104618809126322</v>
      </c>
      <c r="AA782" t="s">
        <v>18</v>
      </c>
      <c r="AB782" s="79">
        <v>45456</v>
      </c>
      <c r="AC782">
        <f>OrdersTable[[#This Row],[Delivery Date]]-OrdersTable[[#This Row],[Order Date]]</f>
        <v>3</v>
      </c>
      <c r="AD782" t="str">
        <f>IF(OrdersTable[[#This Row],[Delivery Days]]&lt;=2, "Express (≤2d)", IF(OrdersTable[[#This Row],[Delivery Days]]&lt;=4, "Standard (3-4d)", "Delayed (5d+)"))</f>
        <v>Standard (3-4d)</v>
      </c>
      <c r="AE782">
        <v>4</v>
      </c>
      <c r="AF782">
        <v>0</v>
      </c>
    </row>
    <row r="783" spans="1:32" ht="15" x14ac:dyDescent="0.35">
      <c r="A783" t="s">
        <v>480</v>
      </c>
      <c r="B783" s="1">
        <v>45453</v>
      </c>
      <c r="C783">
        <f>YEAR(OrdersTable[[#This Row],[Order Date]])</f>
        <v>2024</v>
      </c>
      <c r="D783" s="2">
        <f>DATE(YEAR(OrdersTable[[#This Row],[Order Date]]),MONTH(OrdersTable[[#This Row],[Order Date]]),1)</f>
        <v>45444</v>
      </c>
      <c r="E783">
        <f>MONTH(OrdersTable[[#This Row],[Order Date]])</f>
        <v>6</v>
      </c>
      <c r="F783" t="s">
        <v>481</v>
      </c>
      <c r="G783" t="str">
        <f>IF(OrdersTable[[#This Row],[Order Date]]=_xlfn.MINIFS(Order_Date, Customer_ID, OrdersTable[[#This Row],[Customer ID]]), "New", "Repeat")</f>
        <v>New</v>
      </c>
      <c r="H783" t="s">
        <v>482</v>
      </c>
      <c r="I783" t="str">
        <f>INDEX(State!B:B,MATCH(OrdersTable[[#This Row],[State]],State!A:A,0))</f>
        <v>CG</v>
      </c>
      <c r="J783" t="str">
        <f>INDEX(State!C:C,MATCH(OrdersTable[[#This Row],[State Code]],State!B:B,0))</f>
        <v>East</v>
      </c>
      <c r="K783" t="s">
        <v>483</v>
      </c>
      <c r="L783" t="s">
        <v>50</v>
      </c>
      <c r="M783" t="s">
        <v>160</v>
      </c>
      <c r="N783" t="str">
        <f>INDEX(Products!B:B,MATCH(OrdersTable[[#This Row],[Product ID]],Products!A:A,0))</f>
        <v>Niacinamide Toner</v>
      </c>
      <c r="O783" t="str">
        <f>INDEX(Products!C:C,MATCH(OrdersTable[[#This Row],[Product ID]],Products!A:A,0))</f>
        <v>Skincare</v>
      </c>
      <c r="P783">
        <v>1</v>
      </c>
      <c r="Q783" s="5">
        <v>399</v>
      </c>
      <c r="R783" s="74">
        <v>0.2</v>
      </c>
      <c r="S783" s="75">
        <f>OrdersTable[[#This Row],[Quantity]]*OrdersTable[[#This Row],[Unit Price]]</f>
        <v>399</v>
      </c>
      <c r="T783" s="5">
        <f>OrdersTable[[#This Row],[Gross Sale]]*OrdersTable[[#This Row],[Discount_Clean2]]</f>
        <v>79.800000000000011</v>
      </c>
      <c r="U783" s="5">
        <f>OrdersTable[[#This Row],[Gross Sale]]-OrdersTable[[#This Row],[Discount Amount]]</f>
        <v>319.2</v>
      </c>
      <c r="V783" s="77">
        <f>INDEX(Products!E:E,MATCH(OrdersTable[[#This Row],[Product ID]],Products!A:A,0))</f>
        <v>112</v>
      </c>
      <c r="W783" s="77">
        <f>OrdersTable[[#This Row],[Quantity]]*OrdersTable[[#This Row],[Unit Cost]]</f>
        <v>112</v>
      </c>
      <c r="X783" s="77">
        <f>'Dropdown Lists'!$I$2*(1+OrdersTable[[#This Row],[Returned]])</f>
        <v>60</v>
      </c>
      <c r="Y783" s="76">
        <f>OrdersTable[[#This Row],[Net Revenue]]-OrdersTable[[#This Row],[COGS]]-OrdersTable[[#This Row],[Shipping Cost]]</f>
        <v>147.19999999999999</v>
      </c>
      <c r="Z783" s="78">
        <f>IFERROR(OrdersTable[[#This Row],[Profit]]/OrdersTable[[#This Row],[Net Revenue]],0)</f>
        <v>0.46115288220551376</v>
      </c>
      <c r="AA783" t="s">
        <v>18</v>
      </c>
      <c r="AB783" s="79">
        <v>45456</v>
      </c>
      <c r="AC783">
        <f>OrdersTable[[#This Row],[Delivery Date]]-OrdersTable[[#This Row],[Order Date]]</f>
        <v>3</v>
      </c>
      <c r="AD783" t="str">
        <f>IF(OrdersTable[[#This Row],[Delivery Days]]&lt;=2, "Express (≤2d)", IF(OrdersTable[[#This Row],[Delivery Days]]&lt;=4, "Standard (3-4d)", "Delayed (5d+)"))</f>
        <v>Standard (3-4d)</v>
      </c>
      <c r="AE783">
        <v>4</v>
      </c>
      <c r="AF783">
        <v>0</v>
      </c>
    </row>
    <row r="784" spans="1:32" ht="15" x14ac:dyDescent="0.35">
      <c r="A784" t="s">
        <v>6065</v>
      </c>
      <c r="B784" s="1">
        <v>45453</v>
      </c>
      <c r="C784">
        <f>YEAR(OrdersTable[[#This Row],[Order Date]])</f>
        <v>2024</v>
      </c>
      <c r="D784" s="2">
        <f>DATE(YEAR(OrdersTable[[#This Row],[Order Date]]),MONTH(OrdersTable[[#This Row],[Order Date]]),1)</f>
        <v>45444</v>
      </c>
      <c r="E784">
        <f>MONTH(OrdersTable[[#This Row],[Order Date]])</f>
        <v>6</v>
      </c>
      <c r="F784" t="s">
        <v>5127</v>
      </c>
      <c r="G784" t="str">
        <f>IF(OrdersTable[[#This Row],[Order Date]]=_xlfn.MINIFS(Order_Date, Customer_ID, OrdersTable[[#This Row],[Customer ID]]), "New", "Repeat")</f>
        <v>New</v>
      </c>
      <c r="H784" t="s">
        <v>95</v>
      </c>
      <c r="I784" t="str">
        <f>INDEX(State!B:B,MATCH(OrdersTable[[#This Row],[State]],State!A:A,0))</f>
        <v>TG</v>
      </c>
      <c r="J784" t="str">
        <f>INDEX(State!C:C,MATCH(OrdersTable[[#This Row],[State Code]],State!B:B,0))</f>
        <v>South</v>
      </c>
      <c r="K784" t="s">
        <v>96</v>
      </c>
      <c r="L784" t="s">
        <v>23</v>
      </c>
      <c r="M784" t="s">
        <v>423</v>
      </c>
      <c r="N784" t="str">
        <f>INDEX(Products!B:B,MATCH(OrdersTable[[#This Row],[Product ID]],Products!A:A,0))</f>
        <v>Power Bank 20000mAh</v>
      </c>
      <c r="O784" t="str">
        <f>INDEX(Products!C:C,MATCH(OrdersTable[[#This Row],[Product ID]],Products!A:A,0))</f>
        <v>Electronics</v>
      </c>
      <c r="P784">
        <v>2</v>
      </c>
      <c r="Q784" s="5">
        <v>1799</v>
      </c>
      <c r="R784" s="74">
        <v>0.3</v>
      </c>
      <c r="S784" s="75">
        <f>OrdersTable[[#This Row],[Quantity]]*OrdersTable[[#This Row],[Unit Price]]</f>
        <v>3598</v>
      </c>
      <c r="T784" s="5">
        <f>OrdersTable[[#This Row],[Gross Sale]]*OrdersTable[[#This Row],[Discount_Clean2]]</f>
        <v>1079.3999999999999</v>
      </c>
      <c r="U784" s="5">
        <f>OrdersTable[[#This Row],[Gross Sale]]-OrdersTable[[#This Row],[Discount Amount]]</f>
        <v>2518.6000000000004</v>
      </c>
      <c r="V784" s="77">
        <f>INDEX(Products!E:E,MATCH(OrdersTable[[#This Row],[Product ID]],Products!A:A,0))</f>
        <v>1079</v>
      </c>
      <c r="W784" s="77">
        <f>OrdersTable[[#This Row],[Quantity]]*OrdersTable[[#This Row],[Unit Cost]]</f>
        <v>2158</v>
      </c>
      <c r="X784" s="77">
        <f>'Dropdown Lists'!$I$2*(1+OrdersTable[[#This Row],[Returned]])</f>
        <v>60</v>
      </c>
      <c r="Y784" s="76">
        <f>OrdersTable[[#This Row],[Net Revenue]]-OrdersTable[[#This Row],[COGS]]-OrdersTable[[#This Row],[Shipping Cost]]</f>
        <v>300.60000000000036</v>
      </c>
      <c r="Z784" s="78">
        <f>IFERROR(OrdersTable[[#This Row],[Profit]]/OrdersTable[[#This Row],[Net Revenue]],0)</f>
        <v>0.11935202096402776</v>
      </c>
      <c r="AA784" t="s">
        <v>18</v>
      </c>
      <c r="AB784" s="79">
        <v>45455</v>
      </c>
      <c r="AC784">
        <f>OrdersTable[[#This Row],[Delivery Date]]-OrdersTable[[#This Row],[Order Date]]</f>
        <v>2</v>
      </c>
      <c r="AD784" t="str">
        <f>IF(OrdersTable[[#This Row],[Delivery Days]]&lt;=2, "Express (≤2d)", IF(OrdersTable[[#This Row],[Delivery Days]]&lt;=4, "Standard (3-4d)", "Delayed (5d+)"))</f>
        <v>Express (≤2d)</v>
      </c>
      <c r="AE784">
        <v>4</v>
      </c>
      <c r="AF784">
        <v>0</v>
      </c>
    </row>
    <row r="785" spans="1:32" ht="15" x14ac:dyDescent="0.35">
      <c r="A785" t="s">
        <v>6672</v>
      </c>
      <c r="B785" s="1">
        <v>45453</v>
      </c>
      <c r="C785">
        <f>YEAR(OrdersTable[[#This Row],[Order Date]])</f>
        <v>2024</v>
      </c>
      <c r="D785" s="2">
        <f>DATE(YEAR(OrdersTable[[#This Row],[Order Date]]),MONTH(OrdersTable[[#This Row],[Order Date]]),1)</f>
        <v>45444</v>
      </c>
      <c r="E785">
        <f>MONTH(OrdersTable[[#This Row],[Order Date]])</f>
        <v>6</v>
      </c>
      <c r="F785" t="s">
        <v>5763</v>
      </c>
      <c r="G785" t="str">
        <f>IF(OrdersTable[[#This Row],[Order Date]]=_xlfn.MINIFS(Order_Date, Customer_ID, OrdersTable[[#This Row],[Customer ID]]), "New", "Repeat")</f>
        <v>New</v>
      </c>
      <c r="H785" t="s">
        <v>90</v>
      </c>
      <c r="I785" t="str">
        <f>INDEX(State!B:B,MATCH(OrdersTable[[#This Row],[State]],State!A:A,0))</f>
        <v>GA</v>
      </c>
      <c r="J785" t="str">
        <f>INDEX(State!C:C,MATCH(OrdersTable[[#This Row],[State Code]],State!B:B,0))</f>
        <v>West</v>
      </c>
      <c r="K785" t="s">
        <v>91</v>
      </c>
      <c r="L785" t="s">
        <v>23</v>
      </c>
      <c r="M785" t="s">
        <v>92</v>
      </c>
      <c r="N785" t="str">
        <f>INDEX(Products!B:B,MATCH(OrdersTable[[#This Row],[Product ID]],Products!A:A,0))</f>
        <v>Kolhapuri Sandals</v>
      </c>
      <c r="O785" t="str">
        <f>INDEX(Products!C:C,MATCH(OrdersTable[[#This Row],[Product ID]],Products!A:A,0))</f>
        <v>Footwear</v>
      </c>
      <c r="P785">
        <v>3</v>
      </c>
      <c r="Q785" s="5">
        <v>999</v>
      </c>
      <c r="R785" s="74">
        <v>0.05</v>
      </c>
      <c r="S785" s="75">
        <f>OrdersTable[[#This Row],[Quantity]]*OrdersTable[[#This Row],[Unit Price]]</f>
        <v>2997</v>
      </c>
      <c r="T785" s="5">
        <f>OrdersTable[[#This Row],[Gross Sale]]*OrdersTable[[#This Row],[Discount_Clean2]]</f>
        <v>149.85</v>
      </c>
      <c r="U785" s="5">
        <f>OrdersTable[[#This Row],[Gross Sale]]-OrdersTable[[#This Row],[Discount Amount]]</f>
        <v>2847.15</v>
      </c>
      <c r="V785" s="77">
        <f>INDEX(Products!E:E,MATCH(OrdersTable[[#This Row],[Product ID]],Products!A:A,0))</f>
        <v>400</v>
      </c>
      <c r="W785" s="77">
        <f>OrdersTable[[#This Row],[Quantity]]*OrdersTable[[#This Row],[Unit Cost]]</f>
        <v>1200</v>
      </c>
      <c r="X785" s="77">
        <f>'Dropdown Lists'!$I$2*(1+OrdersTable[[#This Row],[Returned]])</f>
        <v>60</v>
      </c>
      <c r="Y785" s="76">
        <f>OrdersTable[[#This Row],[Net Revenue]]-OrdersTable[[#This Row],[COGS]]-OrdersTable[[#This Row],[Shipping Cost]]</f>
        <v>1587.15</v>
      </c>
      <c r="Z785" s="78">
        <f>IFERROR(OrdersTable[[#This Row],[Profit]]/OrdersTable[[#This Row],[Net Revenue]],0)</f>
        <v>0.55745218903113647</v>
      </c>
      <c r="AA785" t="s">
        <v>2522</v>
      </c>
      <c r="AB785" s="79">
        <v>45457</v>
      </c>
      <c r="AC785">
        <f>OrdersTable[[#This Row],[Delivery Date]]-OrdersTable[[#This Row],[Order Date]]</f>
        <v>4</v>
      </c>
      <c r="AD785" t="str">
        <f>IF(OrdersTable[[#This Row],[Delivery Days]]&lt;=2, "Express (≤2d)", IF(OrdersTable[[#This Row],[Delivery Days]]&lt;=4, "Standard (3-4d)", "Delayed (5d+)"))</f>
        <v>Standard (3-4d)</v>
      </c>
      <c r="AE785">
        <v>3</v>
      </c>
      <c r="AF785">
        <v>0</v>
      </c>
    </row>
    <row r="786" spans="1:32" ht="15" x14ac:dyDescent="0.35">
      <c r="A786" t="s">
        <v>2265</v>
      </c>
      <c r="B786" s="1">
        <v>45453</v>
      </c>
      <c r="C786">
        <f>YEAR(OrdersTable[[#This Row],[Order Date]])</f>
        <v>2024</v>
      </c>
      <c r="D786" s="2">
        <f>DATE(YEAR(OrdersTable[[#This Row],[Order Date]]),MONTH(OrdersTable[[#This Row],[Order Date]]),1)</f>
        <v>45444</v>
      </c>
      <c r="E786">
        <f>MONTH(OrdersTable[[#This Row],[Order Date]])</f>
        <v>6</v>
      </c>
      <c r="F786" t="s">
        <v>2266</v>
      </c>
      <c r="G786" t="str">
        <f>IF(OrdersTable[[#This Row],[Order Date]]=_xlfn.MINIFS(Order_Date, Customer_ID, OrdersTable[[#This Row],[Customer ID]]), "New", "Repeat")</f>
        <v>New</v>
      </c>
      <c r="H786" t="s">
        <v>59</v>
      </c>
      <c r="I786" t="str">
        <f>INDEX(State!B:B,MATCH(OrdersTable[[#This Row],[State]],State!A:A,0))</f>
        <v>TN</v>
      </c>
      <c r="J786" t="str">
        <f>INDEX(State!C:C,MATCH(OrdersTable[[#This Row],[State Code]],State!B:B,0))</f>
        <v>South</v>
      </c>
      <c r="K786" t="s">
        <v>64</v>
      </c>
      <c r="L786" t="s">
        <v>23</v>
      </c>
      <c r="M786" t="s">
        <v>152</v>
      </c>
      <c r="N786" t="str">
        <f>INDEX(Products!B:B,MATCH(OrdersTable[[#This Row],[Product ID]],Products!A:A,0))</f>
        <v>Green Tea (100 bags)</v>
      </c>
      <c r="O786" t="str">
        <f>INDEX(Products!C:C,MATCH(OrdersTable[[#This Row],[Product ID]],Products!A:A,0))</f>
        <v>Wellness</v>
      </c>
      <c r="P786">
        <v>1</v>
      </c>
      <c r="Q786" s="5">
        <v>399</v>
      </c>
      <c r="R786" s="74">
        <v>0.3</v>
      </c>
      <c r="S786" s="75">
        <f>OrdersTable[[#This Row],[Quantity]]*OrdersTable[[#This Row],[Unit Price]]</f>
        <v>399</v>
      </c>
      <c r="T786" s="5">
        <f>OrdersTable[[#This Row],[Gross Sale]]*OrdersTable[[#This Row],[Discount_Clean2]]</f>
        <v>119.69999999999999</v>
      </c>
      <c r="U786" s="5">
        <f>OrdersTable[[#This Row],[Gross Sale]]-OrdersTable[[#This Row],[Discount Amount]]</f>
        <v>279.3</v>
      </c>
      <c r="V786" s="77">
        <f>INDEX(Products!E:E,MATCH(OrdersTable[[#This Row],[Product ID]],Products!A:A,0))</f>
        <v>128</v>
      </c>
      <c r="W786" s="77">
        <f>OrdersTable[[#This Row],[Quantity]]*OrdersTable[[#This Row],[Unit Cost]]</f>
        <v>128</v>
      </c>
      <c r="X786" s="77">
        <f>'Dropdown Lists'!$I$2*(1+OrdersTable[[#This Row],[Returned]])</f>
        <v>60</v>
      </c>
      <c r="Y786" s="76">
        <f>OrdersTable[[#This Row],[Net Revenue]]-OrdersTable[[#This Row],[COGS]]-OrdersTable[[#This Row],[Shipping Cost]]</f>
        <v>91.300000000000011</v>
      </c>
      <c r="Z786" s="78">
        <f>IFERROR(OrdersTable[[#This Row],[Profit]]/OrdersTable[[#This Row],[Net Revenue]],0)</f>
        <v>0.32688865019692093</v>
      </c>
      <c r="AA786" t="s">
        <v>18</v>
      </c>
      <c r="AB786" s="79">
        <v>45454</v>
      </c>
      <c r="AC786">
        <f>OrdersTable[[#This Row],[Delivery Date]]-OrdersTable[[#This Row],[Order Date]]</f>
        <v>1</v>
      </c>
      <c r="AD786" t="str">
        <f>IF(OrdersTable[[#This Row],[Delivery Days]]&lt;=2, "Express (≤2d)", IF(OrdersTable[[#This Row],[Delivery Days]]&lt;=4, "Standard (3-4d)", "Delayed (5d+)"))</f>
        <v>Express (≤2d)</v>
      </c>
      <c r="AE786">
        <v>5</v>
      </c>
      <c r="AF786">
        <v>0</v>
      </c>
    </row>
    <row r="787" spans="1:32" ht="15" x14ac:dyDescent="0.35">
      <c r="A787" t="s">
        <v>2711</v>
      </c>
      <c r="B787" s="1">
        <v>45454</v>
      </c>
      <c r="C787">
        <f>YEAR(OrdersTable[[#This Row],[Order Date]])</f>
        <v>2024</v>
      </c>
      <c r="D787" s="2">
        <f>DATE(YEAR(OrdersTable[[#This Row],[Order Date]]),MONTH(OrdersTable[[#This Row],[Order Date]]),1)</f>
        <v>45444</v>
      </c>
      <c r="E787">
        <f>MONTH(OrdersTable[[#This Row],[Order Date]])</f>
        <v>6</v>
      </c>
      <c r="F787" t="s">
        <v>2270</v>
      </c>
      <c r="G787" t="str">
        <f>IF(OrdersTable[[#This Row],[Order Date]]=_xlfn.MINIFS(Order_Date, Customer_ID, OrdersTable[[#This Row],[Customer ID]]), "New", "Repeat")</f>
        <v>New</v>
      </c>
      <c r="H787" t="s">
        <v>48</v>
      </c>
      <c r="I787" t="str">
        <f>INDEX(State!B:B,MATCH(OrdersTable[[#This Row],[State]],State!A:A,0))</f>
        <v>HR</v>
      </c>
      <c r="J787" t="str">
        <f>INDEX(State!C:C,MATCH(OrdersTable[[#This Row],[State Code]],State!B:B,0))</f>
        <v>North</v>
      </c>
      <c r="K787" t="s">
        <v>151</v>
      </c>
      <c r="L787" t="s">
        <v>65</v>
      </c>
      <c r="M787" t="s">
        <v>125</v>
      </c>
      <c r="N787" t="str">
        <f>INDEX(Products!B:B,MATCH(OrdersTable[[#This Row],[Product ID]],Products!A:A,0))</f>
        <v>Copper Water Bottle</v>
      </c>
      <c r="O787" t="str">
        <f>INDEX(Products!C:C,MATCH(OrdersTable[[#This Row],[Product ID]],Products!A:A,0))</f>
        <v>Home &amp; Kitchen</v>
      </c>
      <c r="P787">
        <v>1</v>
      </c>
      <c r="Q787" s="5">
        <v>899</v>
      </c>
      <c r="R787" s="74">
        <v>0.05</v>
      </c>
      <c r="S787" s="75">
        <f>OrdersTable[[#This Row],[Quantity]]*OrdersTable[[#This Row],[Unit Price]]</f>
        <v>899</v>
      </c>
      <c r="T787" s="5">
        <f>OrdersTable[[#This Row],[Gross Sale]]*OrdersTable[[#This Row],[Discount_Clean2]]</f>
        <v>44.95</v>
      </c>
      <c r="U787" s="5">
        <f>OrdersTable[[#This Row],[Gross Sale]]-OrdersTable[[#This Row],[Discount Amount]]</f>
        <v>854.05</v>
      </c>
      <c r="V787" s="77">
        <f>INDEX(Products!E:E,MATCH(OrdersTable[[#This Row],[Product ID]],Products!A:A,0))</f>
        <v>378</v>
      </c>
      <c r="W787" s="77">
        <f>OrdersTable[[#This Row],[Quantity]]*OrdersTable[[#This Row],[Unit Cost]]</f>
        <v>378</v>
      </c>
      <c r="X787" s="77">
        <f>'Dropdown Lists'!$I$2*(1+OrdersTable[[#This Row],[Returned]])</f>
        <v>60</v>
      </c>
      <c r="Y787" s="76">
        <f>OrdersTable[[#This Row],[Net Revenue]]-OrdersTable[[#This Row],[COGS]]-OrdersTable[[#This Row],[Shipping Cost]]</f>
        <v>416.04999999999995</v>
      </c>
      <c r="Z787" s="78">
        <f>IFERROR(OrdersTable[[#This Row],[Profit]]/OrdersTable[[#This Row],[Net Revenue]],0)</f>
        <v>0.48714946431707745</v>
      </c>
      <c r="AA787" t="s">
        <v>2522</v>
      </c>
      <c r="AB787" s="79">
        <v>45455</v>
      </c>
      <c r="AC787">
        <f>OrdersTable[[#This Row],[Delivery Date]]-OrdersTable[[#This Row],[Order Date]]</f>
        <v>1</v>
      </c>
      <c r="AD787" t="str">
        <f>IF(OrdersTable[[#This Row],[Delivery Days]]&lt;=2, "Express (≤2d)", IF(OrdersTable[[#This Row],[Delivery Days]]&lt;=4, "Standard (3-4d)", "Delayed (5d+)"))</f>
        <v>Express (≤2d)</v>
      </c>
      <c r="AE787">
        <v>3</v>
      </c>
      <c r="AF787">
        <v>0</v>
      </c>
    </row>
    <row r="788" spans="1:32" ht="15" x14ac:dyDescent="0.35">
      <c r="A788" t="s">
        <v>4345</v>
      </c>
      <c r="B788" s="1">
        <v>45454</v>
      </c>
      <c r="C788">
        <f>YEAR(OrdersTable[[#This Row],[Order Date]])</f>
        <v>2024</v>
      </c>
      <c r="D788" s="2">
        <f>DATE(YEAR(OrdersTable[[#This Row],[Order Date]]),MONTH(OrdersTable[[#This Row],[Order Date]]),1)</f>
        <v>45444</v>
      </c>
      <c r="E788">
        <f>MONTH(OrdersTable[[#This Row],[Order Date]])</f>
        <v>6</v>
      </c>
      <c r="F788" t="s">
        <v>4346</v>
      </c>
      <c r="G788" t="str">
        <f>IF(OrdersTable[[#This Row],[Order Date]]=_xlfn.MINIFS(Order_Date, Customer_ID, OrdersTable[[#This Row],[Customer ID]]), "New", "Repeat")</f>
        <v>New</v>
      </c>
      <c r="H788" t="s">
        <v>76</v>
      </c>
      <c r="I788" t="str">
        <f>INDEX(State!B:B,MATCH(OrdersTable[[#This Row],[State]],State!A:A,0))</f>
        <v>UP</v>
      </c>
      <c r="J788" t="str">
        <f>INDEX(State!C:C,MATCH(OrdersTable[[#This Row],[State Code]],State!B:B,0))</f>
        <v>North</v>
      </c>
      <c r="K788" t="s">
        <v>77</v>
      </c>
      <c r="L788" t="s">
        <v>23</v>
      </c>
      <c r="M788" t="s">
        <v>78</v>
      </c>
      <c r="N788" t="str">
        <f>INDEX(Products!B:B,MATCH(OrdersTable[[#This Row],[Product ID]],Products!A:A,0))</f>
        <v>Retinol Night Cream</v>
      </c>
      <c r="O788" t="str">
        <f>INDEX(Products!C:C,MATCH(OrdersTable[[#This Row],[Product ID]],Products!A:A,0))</f>
        <v>Skincare</v>
      </c>
      <c r="P788">
        <v>1</v>
      </c>
      <c r="Q788" s="5">
        <v>799</v>
      </c>
      <c r="R788" s="74">
        <v>0</v>
      </c>
      <c r="S788" s="75">
        <f>OrdersTable[[#This Row],[Quantity]]*OrdersTable[[#This Row],[Unit Price]]</f>
        <v>799</v>
      </c>
      <c r="T788" s="5">
        <f>OrdersTable[[#This Row],[Gross Sale]]*OrdersTable[[#This Row],[Discount_Clean2]]</f>
        <v>0</v>
      </c>
      <c r="U788" s="5">
        <f>OrdersTable[[#This Row],[Gross Sale]]-OrdersTable[[#This Row],[Discount Amount]]</f>
        <v>799</v>
      </c>
      <c r="V788" s="77">
        <f>INDEX(Products!E:E,MATCH(OrdersTable[[#This Row],[Product ID]],Products!A:A,0))</f>
        <v>216</v>
      </c>
      <c r="W788" s="77">
        <f>OrdersTable[[#This Row],[Quantity]]*OrdersTable[[#This Row],[Unit Cost]]</f>
        <v>216</v>
      </c>
      <c r="X788" s="77">
        <f>'Dropdown Lists'!$I$2*(1+OrdersTable[[#This Row],[Returned]])</f>
        <v>60</v>
      </c>
      <c r="Y788" s="76">
        <f>OrdersTable[[#This Row],[Net Revenue]]-OrdersTable[[#This Row],[COGS]]-OrdersTable[[#This Row],[Shipping Cost]]</f>
        <v>523</v>
      </c>
      <c r="Z788" s="78">
        <f>IFERROR(OrdersTable[[#This Row],[Profit]]/OrdersTable[[#This Row],[Net Revenue]],0)</f>
        <v>0.65456821026282852</v>
      </c>
      <c r="AA788" t="s">
        <v>4074</v>
      </c>
      <c r="AB788" s="79">
        <v>45457</v>
      </c>
      <c r="AC788">
        <f>OrdersTable[[#This Row],[Delivery Date]]-OrdersTable[[#This Row],[Order Date]]</f>
        <v>3</v>
      </c>
      <c r="AD788" t="str">
        <f>IF(OrdersTable[[#This Row],[Delivery Days]]&lt;=2, "Express (≤2d)", IF(OrdersTable[[#This Row],[Delivery Days]]&lt;=4, "Standard (3-4d)", "Delayed (5d+)"))</f>
        <v>Standard (3-4d)</v>
      </c>
      <c r="AE788">
        <v>4</v>
      </c>
      <c r="AF788">
        <v>0</v>
      </c>
    </row>
    <row r="789" spans="1:32" ht="15" x14ac:dyDescent="0.35">
      <c r="A789" t="s">
        <v>2267</v>
      </c>
      <c r="B789" s="1">
        <v>45454</v>
      </c>
      <c r="C789">
        <f>YEAR(OrdersTable[[#This Row],[Order Date]])</f>
        <v>2024</v>
      </c>
      <c r="D789" s="2">
        <f>DATE(YEAR(OrdersTable[[#This Row],[Order Date]]),MONTH(OrdersTable[[#This Row],[Order Date]]),1)</f>
        <v>45444</v>
      </c>
      <c r="E789">
        <f>MONTH(OrdersTable[[#This Row],[Order Date]])</f>
        <v>6</v>
      </c>
      <c r="F789" t="s">
        <v>2268</v>
      </c>
      <c r="G789" t="str">
        <f>IF(OrdersTable[[#This Row],[Order Date]]=_xlfn.MINIFS(Order_Date, Customer_ID, OrdersTable[[#This Row],[Customer ID]]), "New", "Repeat")</f>
        <v>New</v>
      </c>
      <c r="H789" t="s">
        <v>76</v>
      </c>
      <c r="I789" t="str">
        <f>INDEX(State!B:B,MATCH(OrdersTable[[#This Row],[State]],State!A:A,0))</f>
        <v>UP</v>
      </c>
      <c r="J789" t="str">
        <f>INDEX(State!C:C,MATCH(OrdersTable[[#This Row],[State Code]],State!B:B,0))</f>
        <v>North</v>
      </c>
      <c r="K789" t="s">
        <v>77</v>
      </c>
      <c r="L789" t="s">
        <v>16</v>
      </c>
      <c r="M789" t="s">
        <v>92</v>
      </c>
      <c r="N789" t="str">
        <f>INDEX(Products!B:B,MATCH(OrdersTable[[#This Row],[Product ID]],Products!A:A,0))</f>
        <v>Kolhapuri Sandals</v>
      </c>
      <c r="O789" t="str">
        <f>INDEX(Products!C:C,MATCH(OrdersTable[[#This Row],[Product ID]],Products!A:A,0))</f>
        <v>Footwear</v>
      </c>
      <c r="P789">
        <v>1</v>
      </c>
      <c r="Q789" s="5">
        <v>999</v>
      </c>
      <c r="R789" s="74">
        <v>0</v>
      </c>
      <c r="S789" s="75">
        <f>OrdersTable[[#This Row],[Quantity]]*OrdersTable[[#This Row],[Unit Price]]</f>
        <v>999</v>
      </c>
      <c r="T789" s="5">
        <f>OrdersTable[[#This Row],[Gross Sale]]*OrdersTable[[#This Row],[Discount_Clean2]]</f>
        <v>0</v>
      </c>
      <c r="U789" s="5">
        <f>OrdersTable[[#This Row],[Gross Sale]]-OrdersTable[[#This Row],[Discount Amount]]</f>
        <v>999</v>
      </c>
      <c r="V789" s="77">
        <f>INDEX(Products!E:E,MATCH(OrdersTable[[#This Row],[Product ID]],Products!A:A,0))</f>
        <v>400</v>
      </c>
      <c r="W789" s="77">
        <f>OrdersTable[[#This Row],[Quantity]]*OrdersTable[[#This Row],[Unit Cost]]</f>
        <v>400</v>
      </c>
      <c r="X789" s="77">
        <f>'Dropdown Lists'!$I$2*(1+OrdersTable[[#This Row],[Returned]])</f>
        <v>60</v>
      </c>
      <c r="Y789" s="76">
        <f>OrdersTable[[#This Row],[Net Revenue]]-OrdersTable[[#This Row],[COGS]]-OrdersTable[[#This Row],[Shipping Cost]]</f>
        <v>539</v>
      </c>
      <c r="Z789" s="78">
        <f>IFERROR(OrdersTable[[#This Row],[Profit]]/OrdersTable[[#This Row],[Net Revenue]],0)</f>
        <v>0.53953953953953959</v>
      </c>
      <c r="AA789" t="s">
        <v>18</v>
      </c>
      <c r="AB789" s="79">
        <v>45457</v>
      </c>
      <c r="AC789">
        <f>OrdersTable[[#This Row],[Delivery Date]]-OrdersTable[[#This Row],[Order Date]]</f>
        <v>3</v>
      </c>
      <c r="AD789" t="str">
        <f>IF(OrdersTable[[#This Row],[Delivery Days]]&lt;=2, "Express (≤2d)", IF(OrdersTable[[#This Row],[Delivery Days]]&lt;=4, "Standard (3-4d)", "Delayed (5d+)"))</f>
        <v>Standard (3-4d)</v>
      </c>
      <c r="AE789">
        <v>5</v>
      </c>
      <c r="AF789">
        <v>0</v>
      </c>
    </row>
    <row r="790" spans="1:32" ht="15" x14ac:dyDescent="0.35">
      <c r="A790" t="s">
        <v>6282</v>
      </c>
      <c r="B790" s="1">
        <v>45454</v>
      </c>
      <c r="C790">
        <f>YEAR(OrdersTable[[#This Row],[Order Date]])</f>
        <v>2024</v>
      </c>
      <c r="D790" s="2">
        <f>DATE(YEAR(OrdersTable[[#This Row],[Order Date]]),MONTH(OrdersTable[[#This Row],[Order Date]]),1)</f>
        <v>45444</v>
      </c>
      <c r="E790">
        <f>MONTH(OrdersTable[[#This Row],[Order Date]])</f>
        <v>6</v>
      </c>
      <c r="F790" t="s">
        <v>6283</v>
      </c>
      <c r="G790" t="str">
        <f>IF(OrdersTable[[#This Row],[Order Date]]=_xlfn.MINIFS(Order_Date, Customer_ID, OrdersTable[[#This Row],[Customer ID]]), "New", "Repeat")</f>
        <v>New</v>
      </c>
      <c r="H790" t="s">
        <v>32</v>
      </c>
      <c r="I790" t="str">
        <f>INDEX(State!B:B,MATCH(OrdersTable[[#This Row],[State]],State!A:A,0))</f>
        <v>BR</v>
      </c>
      <c r="J790" t="str">
        <f>INDEX(State!C:C,MATCH(OrdersTable[[#This Row],[State Code]],State!B:B,0))</f>
        <v>East</v>
      </c>
      <c r="K790" t="s">
        <v>33</v>
      </c>
      <c r="L790" t="s">
        <v>39</v>
      </c>
      <c r="M790" t="s">
        <v>51</v>
      </c>
      <c r="N790" t="str">
        <f>INDEX(Products!B:B,MATCH(OrdersTable[[#This Row],[Product ID]],Products!A:A,0))</f>
        <v>Anti-Dandruff Conditioner</v>
      </c>
      <c r="O790" t="str">
        <f>INDEX(Products!C:C,MATCH(OrdersTable[[#This Row],[Product ID]],Products!A:A,0))</f>
        <v>Haircare</v>
      </c>
      <c r="P790">
        <v>2</v>
      </c>
      <c r="Q790" s="5">
        <v>399</v>
      </c>
      <c r="R790" s="74">
        <v>0.3</v>
      </c>
      <c r="S790" s="75">
        <f>OrdersTable[[#This Row],[Quantity]]*OrdersTable[[#This Row],[Unit Price]]</f>
        <v>798</v>
      </c>
      <c r="T790" s="5">
        <f>OrdersTable[[#This Row],[Gross Sale]]*OrdersTable[[#This Row],[Discount_Clean2]]</f>
        <v>239.39999999999998</v>
      </c>
      <c r="U790" s="5">
        <f>OrdersTable[[#This Row],[Gross Sale]]-OrdersTable[[#This Row],[Discount Amount]]</f>
        <v>558.6</v>
      </c>
      <c r="V790" s="77">
        <f>INDEX(Products!E:E,MATCH(OrdersTable[[#This Row],[Product ID]],Products!A:A,0))</f>
        <v>136</v>
      </c>
      <c r="W790" s="77">
        <f>OrdersTable[[#This Row],[Quantity]]*OrdersTable[[#This Row],[Unit Cost]]</f>
        <v>272</v>
      </c>
      <c r="X790" s="77">
        <f>'Dropdown Lists'!$I$2*(1+OrdersTable[[#This Row],[Returned]])</f>
        <v>60</v>
      </c>
      <c r="Y790" s="76">
        <f>OrdersTable[[#This Row],[Net Revenue]]-OrdersTable[[#This Row],[COGS]]-OrdersTable[[#This Row],[Shipping Cost]]</f>
        <v>226.60000000000002</v>
      </c>
      <c r="Z790" s="78">
        <f>IFERROR(OrdersTable[[#This Row],[Profit]]/OrdersTable[[#This Row],[Net Revenue]],0)</f>
        <v>0.40565699964196206</v>
      </c>
      <c r="AA790" t="s">
        <v>18</v>
      </c>
      <c r="AB790" s="79">
        <v>45460</v>
      </c>
      <c r="AC790">
        <f>OrdersTable[[#This Row],[Delivery Date]]-OrdersTable[[#This Row],[Order Date]]</f>
        <v>6</v>
      </c>
      <c r="AD790" t="str">
        <f>IF(OrdersTable[[#This Row],[Delivery Days]]&lt;=2, "Express (≤2d)", IF(OrdersTable[[#This Row],[Delivery Days]]&lt;=4, "Standard (3-4d)", "Delayed (5d+)"))</f>
        <v>Delayed (5d+)</v>
      </c>
      <c r="AE790">
        <v>2</v>
      </c>
      <c r="AF790">
        <v>0</v>
      </c>
    </row>
    <row r="791" spans="1:32" ht="15" x14ac:dyDescent="0.35">
      <c r="A791" t="s">
        <v>1480</v>
      </c>
      <c r="B791" s="1">
        <v>45454</v>
      </c>
      <c r="C791">
        <f>YEAR(OrdersTable[[#This Row],[Order Date]])</f>
        <v>2024</v>
      </c>
      <c r="D791" s="2">
        <f>DATE(YEAR(OrdersTable[[#This Row],[Order Date]]),MONTH(OrdersTable[[#This Row],[Order Date]]),1)</f>
        <v>45444</v>
      </c>
      <c r="E791">
        <f>MONTH(OrdersTable[[#This Row],[Order Date]])</f>
        <v>6</v>
      </c>
      <c r="F791" t="s">
        <v>879</v>
      </c>
      <c r="G791" t="str">
        <f>IF(OrdersTable[[#This Row],[Order Date]]=_xlfn.MINIFS(Order_Date, Customer_ID, OrdersTable[[#This Row],[Customer ID]]), "New", "Repeat")</f>
        <v>New</v>
      </c>
      <c r="H791" t="s">
        <v>43</v>
      </c>
      <c r="I791" t="str">
        <f>INDEX(State!B:B,MATCH(OrdersTable[[#This Row],[State]],State!A:A,0))</f>
        <v>MP</v>
      </c>
      <c r="J791" t="str">
        <f>INDEX(State!C:C,MATCH(OrdersTable[[#This Row],[State Code]],State!B:B,0))</f>
        <v>West</v>
      </c>
      <c r="K791" t="s">
        <v>44</v>
      </c>
      <c r="L791" t="s">
        <v>39</v>
      </c>
      <c r="M791" t="s">
        <v>24</v>
      </c>
      <c r="N791" t="str">
        <f>INDEX(Products!B:B,MATCH(OrdersTable[[#This Row],[Product ID]],Products!A:A,0))</f>
        <v>Scented Candle Set</v>
      </c>
      <c r="O791" t="str">
        <f>INDEX(Products!C:C,MATCH(OrdersTable[[#This Row],[Product ID]],Products!A:A,0))</f>
        <v>Home &amp; Kitchen</v>
      </c>
      <c r="P791">
        <v>1</v>
      </c>
      <c r="Q791" s="5">
        <v>699</v>
      </c>
      <c r="R791" s="74">
        <v>0.15</v>
      </c>
      <c r="S791" s="75">
        <f>OrdersTable[[#This Row],[Quantity]]*OrdersTable[[#This Row],[Unit Price]]</f>
        <v>699</v>
      </c>
      <c r="T791" s="5">
        <f>OrdersTable[[#This Row],[Gross Sale]]*OrdersTable[[#This Row],[Discount_Clean2]]</f>
        <v>104.85</v>
      </c>
      <c r="U791" s="5">
        <f>OrdersTable[[#This Row],[Gross Sale]]-OrdersTable[[#This Row],[Discount Amount]]</f>
        <v>594.15</v>
      </c>
      <c r="V791" s="77">
        <f>INDEX(Products!E:E,MATCH(OrdersTable[[#This Row],[Product ID]],Products!A:A,0))</f>
        <v>245</v>
      </c>
      <c r="W791" s="77">
        <f>OrdersTable[[#This Row],[Quantity]]*OrdersTable[[#This Row],[Unit Cost]]</f>
        <v>245</v>
      </c>
      <c r="X791" s="77">
        <f>'Dropdown Lists'!$I$2*(1+OrdersTable[[#This Row],[Returned]])</f>
        <v>60</v>
      </c>
      <c r="Y791" s="76">
        <f>OrdersTable[[#This Row],[Net Revenue]]-OrdersTable[[#This Row],[COGS]]-OrdersTable[[#This Row],[Shipping Cost]]</f>
        <v>289.14999999999998</v>
      </c>
      <c r="Z791" s="78">
        <f>IFERROR(OrdersTable[[#This Row],[Profit]]/OrdersTable[[#This Row],[Net Revenue]],0)</f>
        <v>0.48666161743667424</v>
      </c>
      <c r="AA791" t="s">
        <v>18</v>
      </c>
      <c r="AB791" s="79">
        <v>45456</v>
      </c>
      <c r="AC791">
        <f>OrdersTable[[#This Row],[Delivery Date]]-OrdersTable[[#This Row],[Order Date]]</f>
        <v>2</v>
      </c>
      <c r="AD791" t="str">
        <f>IF(OrdersTable[[#This Row],[Delivery Days]]&lt;=2, "Express (≤2d)", IF(OrdersTable[[#This Row],[Delivery Days]]&lt;=4, "Standard (3-4d)", "Delayed (5d+)"))</f>
        <v>Express (≤2d)</v>
      </c>
      <c r="AF791">
        <v>0</v>
      </c>
    </row>
    <row r="792" spans="1:32" ht="15" x14ac:dyDescent="0.35">
      <c r="A792" t="s">
        <v>3407</v>
      </c>
      <c r="B792" s="1">
        <v>45454</v>
      </c>
      <c r="C792">
        <f>YEAR(OrdersTable[[#This Row],[Order Date]])</f>
        <v>2024</v>
      </c>
      <c r="D792" s="2">
        <f>DATE(YEAR(OrdersTable[[#This Row],[Order Date]]),MONTH(OrdersTable[[#This Row],[Order Date]]),1)</f>
        <v>45444</v>
      </c>
      <c r="E792">
        <f>MONTH(OrdersTable[[#This Row],[Order Date]])</f>
        <v>6</v>
      </c>
      <c r="F792" t="s">
        <v>3408</v>
      </c>
      <c r="G792" t="str">
        <f>IF(OrdersTable[[#This Row],[Order Date]]=_xlfn.MINIFS(Order_Date, Customer_ID, OrdersTable[[#This Row],[Customer ID]]), "New", "Repeat")</f>
        <v>New</v>
      </c>
      <c r="H792" t="s">
        <v>167</v>
      </c>
      <c r="I792" t="str">
        <f>INDEX(State!B:B,MATCH(OrdersTable[[#This Row],[State]],State!A:A,0))</f>
        <v>KA</v>
      </c>
      <c r="J792" t="str">
        <f>INDEX(State!C:C,MATCH(OrdersTable[[#This Row],[State Code]],State!B:B,0))</f>
        <v>South</v>
      </c>
      <c r="K792" t="s">
        <v>168</v>
      </c>
      <c r="L792" t="s">
        <v>65</v>
      </c>
      <c r="M792" t="s">
        <v>78</v>
      </c>
      <c r="N792" t="str">
        <f>INDEX(Products!B:B,MATCH(OrdersTable[[#This Row],[Product ID]],Products!A:A,0))</f>
        <v>Retinol Night Cream</v>
      </c>
      <c r="O792" t="str">
        <f>INDEX(Products!C:C,MATCH(OrdersTable[[#This Row],[Product ID]],Products!A:A,0))</f>
        <v>Skincare</v>
      </c>
      <c r="P792">
        <v>1</v>
      </c>
      <c r="Q792" s="5">
        <v>799</v>
      </c>
      <c r="R792" s="74">
        <v>0.05</v>
      </c>
      <c r="S792" s="75">
        <f>OrdersTable[[#This Row],[Quantity]]*OrdersTable[[#This Row],[Unit Price]]</f>
        <v>799</v>
      </c>
      <c r="T792" s="5">
        <f>OrdersTable[[#This Row],[Gross Sale]]*OrdersTable[[#This Row],[Discount_Clean2]]</f>
        <v>39.950000000000003</v>
      </c>
      <c r="U792" s="5">
        <f>OrdersTable[[#This Row],[Gross Sale]]-OrdersTable[[#This Row],[Discount Amount]]</f>
        <v>759.05</v>
      </c>
      <c r="V792" s="77">
        <f>INDEX(Products!E:E,MATCH(OrdersTable[[#This Row],[Product ID]],Products!A:A,0))</f>
        <v>216</v>
      </c>
      <c r="W792" s="77">
        <f>OrdersTable[[#This Row],[Quantity]]*OrdersTable[[#This Row],[Unit Cost]]</f>
        <v>216</v>
      </c>
      <c r="X792" s="77">
        <f>'Dropdown Lists'!$I$2*(1+OrdersTable[[#This Row],[Returned]])</f>
        <v>60</v>
      </c>
      <c r="Y792" s="76">
        <f>OrdersTable[[#This Row],[Net Revenue]]-OrdersTable[[#This Row],[COGS]]-OrdersTable[[#This Row],[Shipping Cost]]</f>
        <v>483.04999999999995</v>
      </c>
      <c r="Z792" s="78">
        <f>IFERROR(OrdersTable[[#This Row],[Profit]]/OrdersTable[[#This Row],[Net Revenue]],0)</f>
        <v>0.63638758975034582</v>
      </c>
      <c r="AA792" t="s">
        <v>2522</v>
      </c>
      <c r="AB792" s="79">
        <v>45455</v>
      </c>
      <c r="AC792">
        <f>OrdersTable[[#This Row],[Delivery Date]]-OrdersTable[[#This Row],[Order Date]]</f>
        <v>1</v>
      </c>
      <c r="AD792" t="str">
        <f>IF(OrdersTable[[#This Row],[Delivery Days]]&lt;=2, "Express (≤2d)", IF(OrdersTable[[#This Row],[Delivery Days]]&lt;=4, "Standard (3-4d)", "Delayed (5d+)"))</f>
        <v>Express (≤2d)</v>
      </c>
      <c r="AE792">
        <v>4</v>
      </c>
      <c r="AF792">
        <v>0</v>
      </c>
    </row>
    <row r="793" spans="1:32" ht="15" x14ac:dyDescent="0.35">
      <c r="A793" t="s">
        <v>4771</v>
      </c>
      <c r="B793" s="1">
        <v>45455</v>
      </c>
      <c r="C793">
        <f>YEAR(OrdersTable[[#This Row],[Order Date]])</f>
        <v>2024</v>
      </c>
      <c r="D793" s="2">
        <f>DATE(YEAR(OrdersTable[[#This Row],[Order Date]]),MONTH(OrdersTable[[#This Row],[Order Date]]),1)</f>
        <v>45444</v>
      </c>
      <c r="E793">
        <f>MONTH(OrdersTable[[#This Row],[Order Date]])</f>
        <v>6</v>
      </c>
      <c r="F793" t="s">
        <v>4772</v>
      </c>
      <c r="G793" t="str">
        <f>IF(OrdersTable[[#This Row],[Order Date]]=_xlfn.MINIFS(Order_Date, Customer_ID, OrdersTable[[#This Row],[Customer ID]]), "New", "Repeat")</f>
        <v>New</v>
      </c>
      <c r="H793" t="s">
        <v>54</v>
      </c>
      <c r="I793" t="str">
        <f>INDEX(State!B:B,MATCH(OrdersTable[[#This Row],[State]],State!A:A,0))</f>
        <v>RJ</v>
      </c>
      <c r="J793" t="str">
        <f>INDEX(State!C:C,MATCH(OrdersTable[[#This Row],[State Code]],State!B:B,0))</f>
        <v>North</v>
      </c>
      <c r="K793" t="s">
        <v>227</v>
      </c>
      <c r="L793" t="s">
        <v>65</v>
      </c>
      <c r="M793" t="s">
        <v>56</v>
      </c>
      <c r="N793" t="str">
        <f>INDEX(Products!B:B,MATCH(OrdersTable[[#This Row],[Product ID]],Products!A:A,0))</f>
        <v>Vitamin C Face Serum</v>
      </c>
      <c r="O793" t="str">
        <f>INDEX(Products!C:C,MATCH(OrdersTable[[#This Row],[Product ID]],Products!A:A,0))</f>
        <v>Skincare</v>
      </c>
      <c r="P793">
        <v>2</v>
      </c>
      <c r="Q793" s="5">
        <v>599</v>
      </c>
      <c r="R793" s="74">
        <v>0.15</v>
      </c>
      <c r="S793" s="75">
        <f>OrdersTable[[#This Row],[Quantity]]*OrdersTable[[#This Row],[Unit Price]]</f>
        <v>1198</v>
      </c>
      <c r="T793" s="5">
        <f>OrdersTable[[#This Row],[Gross Sale]]*OrdersTable[[#This Row],[Discount_Clean2]]</f>
        <v>179.7</v>
      </c>
      <c r="U793" s="5">
        <f>OrdersTable[[#This Row],[Gross Sale]]-OrdersTable[[#This Row],[Discount Amount]]</f>
        <v>1018.3</v>
      </c>
      <c r="V793" s="77">
        <f>INDEX(Products!E:E,MATCH(OrdersTable[[#This Row],[Product ID]],Products!A:A,0))</f>
        <v>180</v>
      </c>
      <c r="W793" s="77">
        <f>OrdersTable[[#This Row],[Quantity]]*OrdersTable[[#This Row],[Unit Cost]]</f>
        <v>360</v>
      </c>
      <c r="X793" s="77">
        <f>'Dropdown Lists'!$I$2*(1+OrdersTable[[#This Row],[Returned]])</f>
        <v>60</v>
      </c>
      <c r="Y793" s="76">
        <f>OrdersTable[[#This Row],[Net Revenue]]-OrdersTable[[#This Row],[COGS]]-OrdersTable[[#This Row],[Shipping Cost]]</f>
        <v>598.29999999999995</v>
      </c>
      <c r="Z793" s="78">
        <f>IFERROR(OrdersTable[[#This Row],[Profit]]/OrdersTable[[#This Row],[Net Revenue]],0)</f>
        <v>0.58754787390749286</v>
      </c>
      <c r="AA793" t="s">
        <v>4450</v>
      </c>
      <c r="AB793" s="79">
        <v>45461</v>
      </c>
      <c r="AC793">
        <f>OrdersTable[[#This Row],[Delivery Date]]-OrdersTable[[#This Row],[Order Date]]</f>
        <v>6</v>
      </c>
      <c r="AD793" t="str">
        <f>IF(OrdersTable[[#This Row],[Delivery Days]]&lt;=2, "Express (≤2d)", IF(OrdersTable[[#This Row],[Delivery Days]]&lt;=4, "Standard (3-4d)", "Delayed (5d+)"))</f>
        <v>Delayed (5d+)</v>
      </c>
      <c r="AE793">
        <v>4</v>
      </c>
      <c r="AF793">
        <v>0</v>
      </c>
    </row>
    <row r="794" spans="1:32" ht="15" x14ac:dyDescent="0.35">
      <c r="A794" t="s">
        <v>116</v>
      </c>
      <c r="B794" s="1">
        <v>45455</v>
      </c>
      <c r="C794">
        <f>YEAR(OrdersTable[[#This Row],[Order Date]])</f>
        <v>2024</v>
      </c>
      <c r="D794" s="2">
        <f>DATE(YEAR(OrdersTable[[#This Row],[Order Date]]),MONTH(OrdersTable[[#This Row],[Order Date]]),1)</f>
        <v>45444</v>
      </c>
      <c r="E794">
        <f>MONTH(OrdersTable[[#This Row],[Order Date]])</f>
        <v>6</v>
      </c>
      <c r="F794" t="s">
        <v>117</v>
      </c>
      <c r="G794" t="str">
        <f>IF(OrdersTable[[#This Row],[Order Date]]=_xlfn.MINIFS(Order_Date, Customer_ID, OrdersTable[[#This Row],[Customer ID]]), "New", "Repeat")</f>
        <v>Repeat</v>
      </c>
      <c r="H794" t="s">
        <v>76</v>
      </c>
      <c r="I794" t="str">
        <f>INDEX(State!B:B,MATCH(OrdersTable[[#This Row],[State]],State!A:A,0))</f>
        <v>UP</v>
      </c>
      <c r="J794" t="str">
        <f>INDEX(State!C:C,MATCH(OrdersTable[[#This Row],[State Code]],State!B:B,0))</f>
        <v>North</v>
      </c>
      <c r="K794" t="s">
        <v>118</v>
      </c>
      <c r="L794" t="s">
        <v>65</v>
      </c>
      <c r="M794" t="s">
        <v>24</v>
      </c>
      <c r="N794" t="str">
        <f>INDEX(Products!B:B,MATCH(OrdersTable[[#This Row],[Product ID]],Products!A:A,0))</f>
        <v>Scented Candle Set</v>
      </c>
      <c r="O794" t="str">
        <f>INDEX(Products!C:C,MATCH(OrdersTable[[#This Row],[Product ID]],Products!A:A,0))</f>
        <v>Home &amp; Kitchen</v>
      </c>
      <c r="P794">
        <v>1</v>
      </c>
      <c r="Q794" s="5">
        <v>699</v>
      </c>
      <c r="R794" s="74">
        <v>0.15</v>
      </c>
      <c r="S794" s="75">
        <f>OrdersTable[[#This Row],[Quantity]]*OrdersTable[[#This Row],[Unit Price]]</f>
        <v>699</v>
      </c>
      <c r="T794" s="5">
        <f>OrdersTable[[#This Row],[Gross Sale]]*OrdersTable[[#This Row],[Discount_Clean2]]</f>
        <v>104.85</v>
      </c>
      <c r="U794" s="5">
        <f>OrdersTable[[#This Row],[Gross Sale]]-OrdersTable[[#This Row],[Discount Amount]]</f>
        <v>594.15</v>
      </c>
      <c r="V794" s="77">
        <f>INDEX(Products!E:E,MATCH(OrdersTable[[#This Row],[Product ID]],Products!A:A,0))</f>
        <v>245</v>
      </c>
      <c r="W794" s="77">
        <f>OrdersTable[[#This Row],[Quantity]]*OrdersTable[[#This Row],[Unit Cost]]</f>
        <v>245</v>
      </c>
      <c r="X794" s="77">
        <f>'Dropdown Lists'!$I$2*(1+OrdersTable[[#This Row],[Returned]])</f>
        <v>60</v>
      </c>
      <c r="Y794" s="76">
        <f>OrdersTable[[#This Row],[Net Revenue]]-OrdersTable[[#This Row],[COGS]]-OrdersTable[[#This Row],[Shipping Cost]]</f>
        <v>289.14999999999998</v>
      </c>
      <c r="Z794" s="78">
        <f>IFERROR(OrdersTable[[#This Row],[Profit]]/OrdersTable[[#This Row],[Net Revenue]],0)</f>
        <v>0.48666161743667424</v>
      </c>
      <c r="AA794" t="s">
        <v>18</v>
      </c>
      <c r="AB794" s="79">
        <v>45458</v>
      </c>
      <c r="AC794">
        <f>OrdersTable[[#This Row],[Delivery Date]]-OrdersTable[[#This Row],[Order Date]]</f>
        <v>3</v>
      </c>
      <c r="AD794" t="str">
        <f>IF(OrdersTable[[#This Row],[Delivery Days]]&lt;=2, "Express (≤2d)", IF(OrdersTable[[#This Row],[Delivery Days]]&lt;=4, "Standard (3-4d)", "Delayed (5d+)"))</f>
        <v>Standard (3-4d)</v>
      </c>
      <c r="AE794">
        <v>4</v>
      </c>
      <c r="AF794">
        <v>0</v>
      </c>
    </row>
    <row r="795" spans="1:32" ht="15" x14ac:dyDescent="0.35">
      <c r="A795" t="s">
        <v>1349</v>
      </c>
      <c r="B795" s="1">
        <v>45455</v>
      </c>
      <c r="C795">
        <f>YEAR(OrdersTable[[#This Row],[Order Date]])</f>
        <v>2024</v>
      </c>
      <c r="D795" s="2">
        <f>DATE(YEAR(OrdersTable[[#This Row],[Order Date]]),MONTH(OrdersTable[[#This Row],[Order Date]]),1)</f>
        <v>45444</v>
      </c>
      <c r="E795">
        <f>MONTH(OrdersTable[[#This Row],[Order Date]])</f>
        <v>6</v>
      </c>
      <c r="F795" t="s">
        <v>879</v>
      </c>
      <c r="G795" t="str">
        <f>IF(OrdersTable[[#This Row],[Order Date]]=_xlfn.MINIFS(Order_Date, Customer_ID, OrdersTable[[#This Row],[Customer ID]]), "New", "Repeat")</f>
        <v>Repeat</v>
      </c>
      <c r="H795" t="s">
        <v>132</v>
      </c>
      <c r="I795" t="str">
        <f>INDEX(State!B:B,MATCH(OrdersTable[[#This Row],[State]],State!A:A,0))</f>
        <v>AS</v>
      </c>
      <c r="J795" t="str">
        <f>INDEX(State!C:C,MATCH(OrdersTable[[#This Row],[State Code]],State!B:B,0))</f>
        <v>East</v>
      </c>
      <c r="K795" t="s">
        <v>133</v>
      </c>
      <c r="L795" t="s">
        <v>23</v>
      </c>
      <c r="M795" t="s">
        <v>84</v>
      </c>
      <c r="N795" t="str">
        <f>INDEX(Products!B:B,MATCH(OrdersTable[[#This Row],[Product ID]],Products!A:A,0))</f>
        <v>Cotton Bedsheet</v>
      </c>
      <c r="O795" t="str">
        <f>INDEX(Products!C:C,MATCH(OrdersTable[[#This Row],[Product ID]],Products!A:A,0))</f>
        <v>Home &amp; Kitchen</v>
      </c>
      <c r="P795">
        <v>1</v>
      </c>
      <c r="Q795" s="5">
        <v>1299</v>
      </c>
      <c r="R795" s="74">
        <v>0.05</v>
      </c>
      <c r="S795" s="75">
        <f>OrdersTable[[#This Row],[Quantity]]*OrdersTable[[#This Row],[Unit Price]]</f>
        <v>1299</v>
      </c>
      <c r="T795" s="5">
        <f>OrdersTable[[#This Row],[Gross Sale]]*OrdersTable[[#This Row],[Discount_Clean2]]</f>
        <v>64.95</v>
      </c>
      <c r="U795" s="5">
        <f>OrdersTable[[#This Row],[Gross Sale]]-OrdersTable[[#This Row],[Discount Amount]]</f>
        <v>1234.05</v>
      </c>
      <c r="V795" s="77">
        <f>INDEX(Products!E:E,MATCH(OrdersTable[[#This Row],[Product ID]],Products!A:A,0))</f>
        <v>585</v>
      </c>
      <c r="W795" s="77">
        <f>OrdersTable[[#This Row],[Quantity]]*OrdersTable[[#This Row],[Unit Cost]]</f>
        <v>585</v>
      </c>
      <c r="X795" s="77">
        <f>'Dropdown Lists'!$I$2*(1+OrdersTable[[#This Row],[Returned]])</f>
        <v>60</v>
      </c>
      <c r="Y795" s="76">
        <f>OrdersTable[[#This Row],[Net Revenue]]-OrdersTable[[#This Row],[COGS]]-OrdersTable[[#This Row],[Shipping Cost]]</f>
        <v>589.04999999999995</v>
      </c>
      <c r="Z795" s="78">
        <f>IFERROR(OrdersTable[[#This Row],[Profit]]/OrdersTable[[#This Row],[Net Revenue]],0)</f>
        <v>0.47733074024553296</v>
      </c>
      <c r="AA795" t="s">
        <v>18</v>
      </c>
      <c r="AB795" s="79">
        <v>45460</v>
      </c>
      <c r="AC795">
        <f>OrdersTable[[#This Row],[Delivery Date]]-OrdersTable[[#This Row],[Order Date]]</f>
        <v>5</v>
      </c>
      <c r="AD795" t="str">
        <f>IF(OrdersTable[[#This Row],[Delivery Days]]&lt;=2, "Express (≤2d)", IF(OrdersTable[[#This Row],[Delivery Days]]&lt;=4, "Standard (3-4d)", "Delayed (5d+)"))</f>
        <v>Delayed (5d+)</v>
      </c>
      <c r="AF795">
        <v>0</v>
      </c>
    </row>
    <row r="796" spans="1:32" ht="15" x14ac:dyDescent="0.35">
      <c r="A796" t="s">
        <v>2911</v>
      </c>
      <c r="B796" s="1">
        <v>45455</v>
      </c>
      <c r="C796">
        <f>YEAR(OrdersTable[[#This Row],[Order Date]])</f>
        <v>2024</v>
      </c>
      <c r="D796" s="2">
        <f>DATE(YEAR(OrdersTable[[#This Row],[Order Date]]),MONTH(OrdersTable[[#This Row],[Order Date]]),1)</f>
        <v>45444</v>
      </c>
      <c r="E796">
        <f>MONTH(OrdersTable[[#This Row],[Order Date]])</f>
        <v>6</v>
      </c>
      <c r="F796" t="s">
        <v>2912</v>
      </c>
      <c r="G796" t="str">
        <f>IF(OrdersTable[[#This Row],[Order Date]]=_xlfn.MINIFS(Order_Date, Customer_ID, OrdersTable[[#This Row],[Customer ID]]), "New", "Repeat")</f>
        <v>New</v>
      </c>
      <c r="H796" t="s">
        <v>71</v>
      </c>
      <c r="I796" t="str">
        <f>INDEX(State!B:B,MATCH(OrdersTable[[#This Row],[State]],State!A:A,0))</f>
        <v>MH</v>
      </c>
      <c r="J796" t="str">
        <f>INDEX(State!C:C,MATCH(OrdersTable[[#This Row],[State Code]],State!B:B,0))</f>
        <v>West</v>
      </c>
      <c r="K796" t="s">
        <v>72</v>
      </c>
      <c r="L796" t="s">
        <v>50</v>
      </c>
      <c r="M796" t="s">
        <v>56</v>
      </c>
      <c r="N796" t="str">
        <f>INDEX(Products!B:B,MATCH(OrdersTable[[#This Row],[Product ID]],Products!A:A,0))</f>
        <v>Vitamin C Face Serum</v>
      </c>
      <c r="O796" t="str">
        <f>INDEX(Products!C:C,MATCH(OrdersTable[[#This Row],[Product ID]],Products!A:A,0))</f>
        <v>Skincare</v>
      </c>
      <c r="P796">
        <v>1</v>
      </c>
      <c r="Q796" s="5">
        <v>599</v>
      </c>
      <c r="R796" s="74">
        <v>0.25</v>
      </c>
      <c r="S796" s="75">
        <f>OrdersTable[[#This Row],[Quantity]]*OrdersTable[[#This Row],[Unit Price]]</f>
        <v>599</v>
      </c>
      <c r="T796" s="5">
        <f>OrdersTable[[#This Row],[Gross Sale]]*OrdersTable[[#This Row],[Discount_Clean2]]</f>
        <v>149.75</v>
      </c>
      <c r="U796" s="5">
        <f>OrdersTable[[#This Row],[Gross Sale]]-OrdersTable[[#This Row],[Discount Amount]]</f>
        <v>449.25</v>
      </c>
      <c r="V796" s="77">
        <f>INDEX(Products!E:E,MATCH(OrdersTable[[#This Row],[Product ID]],Products!A:A,0))</f>
        <v>180</v>
      </c>
      <c r="W796" s="77">
        <f>OrdersTable[[#This Row],[Quantity]]*OrdersTable[[#This Row],[Unit Cost]]</f>
        <v>180</v>
      </c>
      <c r="X796" s="77">
        <f>'Dropdown Lists'!$I$2*(1+OrdersTable[[#This Row],[Returned]])</f>
        <v>120</v>
      </c>
      <c r="Y796" s="76">
        <f>OrdersTable[[#This Row],[Net Revenue]]-OrdersTable[[#This Row],[COGS]]-OrdersTable[[#This Row],[Shipping Cost]]</f>
        <v>149.25</v>
      </c>
      <c r="Z796" s="78">
        <f>IFERROR(OrdersTable[[#This Row],[Profit]]/OrdersTable[[#This Row],[Net Revenue]],0)</f>
        <v>0.332220367278798</v>
      </c>
      <c r="AA796" t="s">
        <v>2522</v>
      </c>
      <c r="AB796" s="79">
        <v>45457</v>
      </c>
      <c r="AC796">
        <f>OrdersTable[[#This Row],[Delivery Date]]-OrdersTable[[#This Row],[Order Date]]</f>
        <v>2</v>
      </c>
      <c r="AD796" t="str">
        <f>IF(OrdersTable[[#This Row],[Delivery Days]]&lt;=2, "Express (≤2d)", IF(OrdersTable[[#This Row],[Delivery Days]]&lt;=4, "Standard (3-4d)", "Delayed (5d+)"))</f>
        <v>Express (≤2d)</v>
      </c>
      <c r="AF796">
        <v>1</v>
      </c>
    </row>
    <row r="797" spans="1:32" ht="15" x14ac:dyDescent="0.35">
      <c r="A797" t="s">
        <v>119</v>
      </c>
      <c r="B797" s="1">
        <v>45455</v>
      </c>
      <c r="C797">
        <f>YEAR(OrdersTable[[#This Row],[Order Date]])</f>
        <v>2024</v>
      </c>
      <c r="D797" s="2">
        <f>DATE(YEAR(OrdersTable[[#This Row],[Order Date]]),MONTH(OrdersTable[[#This Row],[Order Date]]),1)</f>
        <v>45444</v>
      </c>
      <c r="E797">
        <f>MONTH(OrdersTable[[#This Row],[Order Date]])</f>
        <v>6</v>
      </c>
      <c r="F797" t="s">
        <v>120</v>
      </c>
      <c r="G797" t="str">
        <f>IF(OrdersTable[[#This Row],[Order Date]]=_xlfn.MINIFS(Order_Date, Customer_ID, OrdersTable[[#This Row],[Customer ID]]), "New", "Repeat")</f>
        <v>Repeat</v>
      </c>
      <c r="H797" t="s">
        <v>95</v>
      </c>
      <c r="I797" t="str">
        <f>INDEX(State!B:B,MATCH(OrdersTable[[#This Row],[State]],State!A:A,0))</f>
        <v>TG</v>
      </c>
      <c r="J797" t="str">
        <f>INDEX(State!C:C,MATCH(OrdersTable[[#This Row],[State Code]],State!B:B,0))</f>
        <v>South</v>
      </c>
      <c r="K797" t="s">
        <v>96</v>
      </c>
      <c r="L797" t="s">
        <v>65</v>
      </c>
      <c r="M797" t="s">
        <v>61</v>
      </c>
      <c r="N797" t="str">
        <f>INDEX(Products!B:B,MATCH(OrdersTable[[#This Row],[Product ID]],Products!A:A,0))</f>
        <v>Multivitamin Gummies</v>
      </c>
      <c r="O797" t="str">
        <f>INDEX(Products!C:C,MATCH(OrdersTable[[#This Row],[Product ID]],Products!A:A,0))</f>
        <v>Wellness</v>
      </c>
      <c r="P797">
        <v>1</v>
      </c>
      <c r="Q797" s="5">
        <v>699</v>
      </c>
      <c r="R797" s="74">
        <v>0.25</v>
      </c>
      <c r="S797" s="75">
        <f>OrdersTable[[#This Row],[Quantity]]*OrdersTable[[#This Row],[Unit Price]]</f>
        <v>699</v>
      </c>
      <c r="T797" s="5">
        <f>OrdersTable[[#This Row],[Gross Sale]]*OrdersTable[[#This Row],[Discount_Clean2]]</f>
        <v>174.75</v>
      </c>
      <c r="U797" s="5">
        <f>OrdersTable[[#This Row],[Gross Sale]]-OrdersTable[[#This Row],[Discount Amount]]</f>
        <v>524.25</v>
      </c>
      <c r="V797" s="77">
        <f>INDEX(Products!E:E,MATCH(OrdersTable[[#This Row],[Product ID]],Products!A:A,0))</f>
        <v>238</v>
      </c>
      <c r="W797" s="77">
        <f>OrdersTable[[#This Row],[Quantity]]*OrdersTable[[#This Row],[Unit Cost]]</f>
        <v>238</v>
      </c>
      <c r="X797" s="77">
        <f>'Dropdown Lists'!$I$2*(1+OrdersTable[[#This Row],[Returned]])</f>
        <v>60</v>
      </c>
      <c r="Y797" s="76">
        <f>OrdersTable[[#This Row],[Net Revenue]]-OrdersTable[[#This Row],[COGS]]-OrdersTable[[#This Row],[Shipping Cost]]</f>
        <v>226.25</v>
      </c>
      <c r="Z797" s="78">
        <f>IFERROR(OrdersTable[[#This Row],[Profit]]/OrdersTable[[#This Row],[Net Revenue]],0)</f>
        <v>0.43156890796375774</v>
      </c>
      <c r="AA797" t="s">
        <v>18</v>
      </c>
      <c r="AB797" s="79">
        <v>45457</v>
      </c>
      <c r="AC797">
        <f>OrdersTable[[#This Row],[Delivery Date]]-OrdersTable[[#This Row],[Order Date]]</f>
        <v>2</v>
      </c>
      <c r="AD797" t="str">
        <f>IF(OrdersTable[[#This Row],[Delivery Days]]&lt;=2, "Express (≤2d)", IF(OrdersTable[[#This Row],[Delivery Days]]&lt;=4, "Standard (3-4d)", "Delayed (5d+)"))</f>
        <v>Express (≤2d)</v>
      </c>
      <c r="AE797">
        <v>4</v>
      </c>
      <c r="AF797">
        <v>0</v>
      </c>
    </row>
    <row r="798" spans="1:32" ht="15" x14ac:dyDescent="0.35">
      <c r="A798" t="s">
        <v>3729</v>
      </c>
      <c r="B798" s="1">
        <v>45455</v>
      </c>
      <c r="C798">
        <f>YEAR(OrdersTable[[#This Row],[Order Date]])</f>
        <v>2024</v>
      </c>
      <c r="D798" s="2">
        <f>DATE(YEAR(OrdersTable[[#This Row],[Order Date]]),MONTH(OrdersTable[[#This Row],[Order Date]]),1)</f>
        <v>45444</v>
      </c>
      <c r="E798">
        <f>MONTH(OrdersTable[[#This Row],[Order Date]])</f>
        <v>6</v>
      </c>
      <c r="F798" t="s">
        <v>970</v>
      </c>
      <c r="G798" t="str">
        <f>IF(OrdersTable[[#This Row],[Order Date]]=_xlfn.MINIFS(Order_Date, Customer_ID, OrdersTable[[#This Row],[Customer ID]]), "New", "Repeat")</f>
        <v>New</v>
      </c>
      <c r="H798" t="s">
        <v>167</v>
      </c>
      <c r="I798" t="str">
        <f>INDEX(State!B:B,MATCH(OrdersTable[[#This Row],[State]],State!A:A,0))</f>
        <v>KA</v>
      </c>
      <c r="J798" t="str">
        <f>INDEX(State!C:C,MATCH(OrdersTable[[#This Row],[State Code]],State!B:B,0))</f>
        <v>South</v>
      </c>
      <c r="K798" t="s">
        <v>190</v>
      </c>
      <c r="L798" t="s">
        <v>16</v>
      </c>
      <c r="M798" t="s">
        <v>17</v>
      </c>
      <c r="N798" t="str">
        <f>INDEX(Products!B:B,MATCH(OrdersTable[[#This Row],[Product ID]],Products!A:A,0))</f>
        <v>Casual Sneakers</v>
      </c>
      <c r="O798" t="str">
        <f>INDEX(Products!C:C,MATCH(OrdersTable[[#This Row],[Product ID]],Products!A:A,0))</f>
        <v>Footwear</v>
      </c>
      <c r="P798">
        <v>1</v>
      </c>
      <c r="Q798" s="5">
        <v>2199</v>
      </c>
      <c r="R798" s="74">
        <v>0.2</v>
      </c>
      <c r="S798" s="75">
        <f>OrdersTable[[#This Row],[Quantity]]*OrdersTable[[#This Row],[Unit Price]]</f>
        <v>2199</v>
      </c>
      <c r="T798" s="5">
        <f>OrdersTable[[#This Row],[Gross Sale]]*OrdersTable[[#This Row],[Discount_Clean2]]</f>
        <v>439.8</v>
      </c>
      <c r="U798" s="5">
        <f>OrdersTable[[#This Row],[Gross Sale]]-OrdersTable[[#This Row],[Discount Amount]]</f>
        <v>1759.2</v>
      </c>
      <c r="V798" s="77">
        <f>INDEX(Products!E:E,MATCH(OrdersTable[[#This Row],[Product ID]],Products!A:A,0))</f>
        <v>1034</v>
      </c>
      <c r="W798" s="77">
        <f>OrdersTable[[#This Row],[Quantity]]*OrdersTable[[#This Row],[Unit Cost]]</f>
        <v>1034</v>
      </c>
      <c r="X798" s="77">
        <f>'Dropdown Lists'!$I$2*(1+OrdersTable[[#This Row],[Returned]])</f>
        <v>60</v>
      </c>
      <c r="Y798" s="76">
        <f>OrdersTable[[#This Row],[Net Revenue]]-OrdersTable[[#This Row],[COGS]]-OrdersTable[[#This Row],[Shipping Cost]]</f>
        <v>665.2</v>
      </c>
      <c r="Z798" s="78">
        <f>IFERROR(OrdersTable[[#This Row],[Profit]]/OrdersTable[[#This Row],[Net Revenue]],0)</f>
        <v>0.37812642110050027</v>
      </c>
      <c r="AA798" t="s">
        <v>3495</v>
      </c>
      <c r="AB798" s="79">
        <v>45457</v>
      </c>
      <c r="AC798">
        <f>OrdersTable[[#This Row],[Delivery Date]]-OrdersTable[[#This Row],[Order Date]]</f>
        <v>2</v>
      </c>
      <c r="AD798" t="str">
        <f>IF(OrdersTable[[#This Row],[Delivery Days]]&lt;=2, "Express (≤2d)", IF(OrdersTable[[#This Row],[Delivery Days]]&lt;=4, "Standard (3-4d)", "Delayed (5d+)"))</f>
        <v>Express (≤2d)</v>
      </c>
      <c r="AF798">
        <v>0</v>
      </c>
    </row>
    <row r="799" spans="1:32" ht="15" x14ac:dyDescent="0.35">
      <c r="A799" t="s">
        <v>2712</v>
      </c>
      <c r="B799" s="1">
        <v>45456</v>
      </c>
      <c r="C799">
        <f>YEAR(OrdersTable[[#This Row],[Order Date]])</f>
        <v>2024</v>
      </c>
      <c r="D799" s="2">
        <f>DATE(YEAR(OrdersTable[[#This Row],[Order Date]]),MONTH(OrdersTable[[#This Row],[Order Date]]),1)</f>
        <v>45444</v>
      </c>
      <c r="E799">
        <f>MONTH(OrdersTable[[#This Row],[Order Date]])</f>
        <v>6</v>
      </c>
      <c r="F799" t="s">
        <v>2713</v>
      </c>
      <c r="G799" t="str">
        <f>IF(OrdersTable[[#This Row],[Order Date]]=_xlfn.MINIFS(Order_Date, Customer_ID, OrdersTable[[#This Row],[Customer ID]]), "New", "Repeat")</f>
        <v>Repeat</v>
      </c>
      <c r="H799" t="s">
        <v>21</v>
      </c>
      <c r="I799" t="str">
        <f>INDEX(State!B:B,MATCH(OrdersTable[[#This Row],[State]],State!A:A,0))</f>
        <v>PB</v>
      </c>
      <c r="J799" t="str">
        <f>INDEX(State!C:C,MATCH(OrdersTable[[#This Row],[State Code]],State!B:B,0))</f>
        <v>North</v>
      </c>
      <c r="K799" t="s">
        <v>260</v>
      </c>
      <c r="L799" t="s">
        <v>16</v>
      </c>
      <c r="M799" t="s">
        <v>87</v>
      </c>
      <c r="N799" t="str">
        <f>INDEX(Products!B:B,MATCH(OrdersTable[[#This Row],[Product ID]],Products!A:A,0))</f>
        <v>Linen Kurta</v>
      </c>
      <c r="O799" t="str">
        <f>INDEX(Products!C:C,MATCH(OrdersTable[[#This Row],[Product ID]],Products!A:A,0))</f>
        <v>Apparel</v>
      </c>
      <c r="P799">
        <v>1</v>
      </c>
      <c r="Q799" s="5">
        <v>1499</v>
      </c>
      <c r="R799" s="74">
        <v>0.25</v>
      </c>
      <c r="S799" s="75">
        <f>OrdersTable[[#This Row],[Quantity]]*OrdersTable[[#This Row],[Unit Price]]</f>
        <v>1499</v>
      </c>
      <c r="T799" s="5">
        <f>OrdersTable[[#This Row],[Gross Sale]]*OrdersTable[[#This Row],[Discount_Clean2]]</f>
        <v>374.75</v>
      </c>
      <c r="U799" s="5">
        <f>OrdersTable[[#This Row],[Gross Sale]]-OrdersTable[[#This Row],[Discount Amount]]</f>
        <v>1124.25</v>
      </c>
      <c r="V799" s="77">
        <f>INDEX(Products!E:E,MATCH(OrdersTable[[#This Row],[Product ID]],Products!A:A,0))</f>
        <v>630</v>
      </c>
      <c r="W799" s="77">
        <f>OrdersTable[[#This Row],[Quantity]]*OrdersTable[[#This Row],[Unit Cost]]</f>
        <v>630</v>
      </c>
      <c r="X799" s="77">
        <f>'Dropdown Lists'!$I$2*(1+OrdersTable[[#This Row],[Returned]])</f>
        <v>60</v>
      </c>
      <c r="Y799" s="76">
        <f>OrdersTable[[#This Row],[Net Revenue]]-OrdersTable[[#This Row],[COGS]]-OrdersTable[[#This Row],[Shipping Cost]]</f>
        <v>434.25</v>
      </c>
      <c r="Z799" s="78">
        <f>IFERROR(OrdersTable[[#This Row],[Profit]]/OrdersTable[[#This Row],[Net Revenue]],0)</f>
        <v>0.38625750500333556</v>
      </c>
      <c r="AA799" t="s">
        <v>2522</v>
      </c>
      <c r="AB799" s="79">
        <v>45458</v>
      </c>
      <c r="AC799">
        <f>OrdersTable[[#This Row],[Delivery Date]]-OrdersTable[[#This Row],[Order Date]]</f>
        <v>2</v>
      </c>
      <c r="AD799" t="str">
        <f>IF(OrdersTable[[#This Row],[Delivery Days]]&lt;=2, "Express (≤2d)", IF(OrdersTable[[#This Row],[Delivery Days]]&lt;=4, "Standard (3-4d)", "Delayed (5d+)"))</f>
        <v>Express (≤2d)</v>
      </c>
      <c r="AE799">
        <v>3</v>
      </c>
      <c r="AF799">
        <v>0</v>
      </c>
    </row>
    <row r="800" spans="1:32" ht="15" x14ac:dyDescent="0.35">
      <c r="A800" t="s">
        <v>484</v>
      </c>
      <c r="B800" s="1">
        <v>45456</v>
      </c>
      <c r="C800">
        <f>YEAR(OrdersTable[[#This Row],[Order Date]])</f>
        <v>2024</v>
      </c>
      <c r="D800" s="2">
        <f>DATE(YEAR(OrdersTable[[#This Row],[Order Date]]),MONTH(OrdersTable[[#This Row],[Order Date]]),1)</f>
        <v>45444</v>
      </c>
      <c r="E800">
        <f>MONTH(OrdersTable[[#This Row],[Order Date]])</f>
        <v>6</v>
      </c>
      <c r="F800" t="s">
        <v>485</v>
      </c>
      <c r="G800" t="str">
        <f>IF(OrdersTable[[#This Row],[Order Date]]=_xlfn.MINIFS(Order_Date, Customer_ID, OrdersTable[[#This Row],[Customer ID]]), "New", "Repeat")</f>
        <v>New</v>
      </c>
      <c r="H800" t="s">
        <v>158</v>
      </c>
      <c r="I800" t="str">
        <f>INDEX(State!B:B,MATCH(OrdersTable[[#This Row],[State]],State!A:A,0))</f>
        <v>HP</v>
      </c>
      <c r="J800" t="str">
        <f>INDEX(State!C:C,MATCH(OrdersTable[[#This Row],[State Code]],State!B:B,0))</f>
        <v>North</v>
      </c>
      <c r="K800" t="s">
        <v>159</v>
      </c>
      <c r="L800" t="s">
        <v>50</v>
      </c>
      <c r="M800" t="s">
        <v>45</v>
      </c>
      <c r="N800" t="str">
        <f>INDEX(Products!B:B,MATCH(OrdersTable[[#This Row],[Product ID]],Products!A:A,0))</f>
        <v>Argan Shampoo</v>
      </c>
      <c r="O800" t="str">
        <f>INDEX(Products!C:C,MATCH(OrdersTable[[#This Row],[Product ID]],Products!A:A,0))</f>
        <v>Haircare</v>
      </c>
      <c r="P800">
        <v>1</v>
      </c>
      <c r="Q800" s="5">
        <v>449</v>
      </c>
      <c r="R800" s="74">
        <v>0.05</v>
      </c>
      <c r="S800" s="75">
        <f>OrdersTable[[#This Row],[Quantity]]*OrdersTable[[#This Row],[Unit Price]]</f>
        <v>449</v>
      </c>
      <c r="T800" s="5">
        <f>OrdersTable[[#This Row],[Gross Sale]]*OrdersTable[[#This Row],[Discount_Clean2]]</f>
        <v>22.450000000000003</v>
      </c>
      <c r="U800" s="5">
        <f>OrdersTable[[#This Row],[Gross Sale]]-OrdersTable[[#This Row],[Discount Amount]]</f>
        <v>426.55</v>
      </c>
      <c r="V800" s="77">
        <f>INDEX(Products!E:E,MATCH(OrdersTable[[#This Row],[Product ID]],Products!A:A,0))</f>
        <v>148</v>
      </c>
      <c r="W800" s="77">
        <f>OrdersTable[[#This Row],[Quantity]]*OrdersTable[[#This Row],[Unit Cost]]</f>
        <v>148</v>
      </c>
      <c r="X800" s="77">
        <f>'Dropdown Lists'!$I$2*(1+OrdersTable[[#This Row],[Returned]])</f>
        <v>60</v>
      </c>
      <c r="Y800" s="76">
        <f>OrdersTable[[#This Row],[Net Revenue]]-OrdersTable[[#This Row],[COGS]]-OrdersTable[[#This Row],[Shipping Cost]]</f>
        <v>218.55</v>
      </c>
      <c r="Z800" s="78">
        <f>IFERROR(OrdersTable[[#This Row],[Profit]]/OrdersTable[[#This Row],[Net Revenue]],0)</f>
        <v>0.51236666275934828</v>
      </c>
      <c r="AA800" t="s">
        <v>18</v>
      </c>
      <c r="AB800" s="79">
        <v>45461</v>
      </c>
      <c r="AC800">
        <f>OrdersTable[[#This Row],[Delivery Date]]-OrdersTable[[#This Row],[Order Date]]</f>
        <v>5</v>
      </c>
      <c r="AD800" t="str">
        <f>IF(OrdersTable[[#This Row],[Delivery Days]]&lt;=2, "Express (≤2d)", IF(OrdersTable[[#This Row],[Delivery Days]]&lt;=4, "Standard (3-4d)", "Delayed (5d+)"))</f>
        <v>Delayed (5d+)</v>
      </c>
      <c r="AE800">
        <v>4</v>
      </c>
      <c r="AF800">
        <v>0</v>
      </c>
    </row>
    <row r="801" spans="1:32" ht="15" x14ac:dyDescent="0.35">
      <c r="A801" t="s">
        <v>744</v>
      </c>
      <c r="B801" s="1">
        <v>45456</v>
      </c>
      <c r="C801">
        <f>YEAR(OrdersTable[[#This Row],[Order Date]])</f>
        <v>2024</v>
      </c>
      <c r="D801" s="2">
        <f>DATE(YEAR(OrdersTable[[#This Row],[Order Date]]),MONTH(OrdersTable[[#This Row],[Order Date]]),1)</f>
        <v>45444</v>
      </c>
      <c r="E801">
        <f>MONTH(OrdersTable[[#This Row],[Order Date]])</f>
        <v>6</v>
      </c>
      <c r="F801" t="s">
        <v>745</v>
      </c>
      <c r="G801" t="str">
        <f>IF(OrdersTable[[#This Row],[Order Date]]=_xlfn.MINIFS(Order_Date, Customer_ID, OrdersTable[[#This Row],[Customer ID]]), "New", "Repeat")</f>
        <v>Repeat</v>
      </c>
      <c r="H801" t="s">
        <v>54</v>
      </c>
      <c r="I801" t="str">
        <f>INDEX(State!B:B,MATCH(OrdersTable[[#This Row],[State]],State!A:A,0))</f>
        <v>RJ</v>
      </c>
      <c r="J801" t="str">
        <f>INDEX(State!C:C,MATCH(OrdersTable[[#This Row],[State Code]],State!B:B,0))</f>
        <v>North</v>
      </c>
      <c r="K801" t="s">
        <v>227</v>
      </c>
      <c r="L801" t="s">
        <v>23</v>
      </c>
      <c r="M801" t="s">
        <v>173</v>
      </c>
      <c r="N801" t="str">
        <f>INDEX(Products!B:B,MATCH(OrdersTable[[#This Row],[Product ID]],Products!A:A,0))</f>
        <v>Wireless Earbuds</v>
      </c>
      <c r="O801" t="str">
        <f>INDEX(Products!C:C,MATCH(OrdersTable[[#This Row],[Product ID]],Products!A:A,0))</f>
        <v>Electronics</v>
      </c>
      <c r="P801">
        <v>1</v>
      </c>
      <c r="Q801" s="5">
        <v>1999</v>
      </c>
      <c r="R801" s="74">
        <v>0.35</v>
      </c>
      <c r="S801" s="75">
        <f>OrdersTable[[#This Row],[Quantity]]*OrdersTable[[#This Row],[Unit Price]]</f>
        <v>1999</v>
      </c>
      <c r="T801" s="5">
        <f>OrdersTable[[#This Row],[Gross Sale]]*OrdersTable[[#This Row],[Discount_Clean2]]</f>
        <v>699.65</v>
      </c>
      <c r="U801" s="5">
        <f>OrdersTable[[#This Row],[Gross Sale]]-OrdersTable[[#This Row],[Discount Amount]]</f>
        <v>1299.3499999999999</v>
      </c>
      <c r="V801" s="77">
        <f>INDEX(Products!E:E,MATCH(OrdersTable[[#This Row],[Product ID]],Products!A:A,0))</f>
        <v>1239</v>
      </c>
      <c r="W801" s="77">
        <f>OrdersTable[[#This Row],[Quantity]]*OrdersTable[[#This Row],[Unit Cost]]</f>
        <v>1239</v>
      </c>
      <c r="X801" s="77">
        <f>'Dropdown Lists'!$I$2*(1+OrdersTable[[#This Row],[Returned]])</f>
        <v>60</v>
      </c>
      <c r="Y801" s="76">
        <f>OrdersTable[[#This Row],[Net Revenue]]-OrdersTable[[#This Row],[COGS]]-OrdersTable[[#This Row],[Shipping Cost]]</f>
        <v>0.34999999999990905</v>
      </c>
      <c r="Z801" s="78">
        <f>IFERROR(OrdersTable[[#This Row],[Profit]]/OrdersTable[[#This Row],[Net Revenue]],0)</f>
        <v>2.6936545195667763E-4</v>
      </c>
      <c r="AA801" t="s">
        <v>18</v>
      </c>
      <c r="AB801" s="79">
        <v>45459</v>
      </c>
      <c r="AC801">
        <f>OrdersTable[[#This Row],[Delivery Date]]-OrdersTable[[#This Row],[Order Date]]</f>
        <v>3</v>
      </c>
      <c r="AD801" t="str">
        <f>IF(OrdersTable[[#This Row],[Delivery Days]]&lt;=2, "Express (≤2d)", IF(OrdersTable[[#This Row],[Delivery Days]]&lt;=4, "Standard (3-4d)", "Delayed (5d+)"))</f>
        <v>Standard (3-4d)</v>
      </c>
      <c r="AE801">
        <v>4</v>
      </c>
      <c r="AF801">
        <v>0</v>
      </c>
    </row>
    <row r="802" spans="1:32" ht="15" x14ac:dyDescent="0.35">
      <c r="A802" t="s">
        <v>4773</v>
      </c>
      <c r="B802" s="1">
        <v>45456</v>
      </c>
      <c r="C802">
        <f>YEAR(OrdersTable[[#This Row],[Order Date]])</f>
        <v>2024</v>
      </c>
      <c r="D802" s="2">
        <f>DATE(YEAR(OrdersTable[[#This Row],[Order Date]]),MONTH(OrdersTable[[#This Row],[Order Date]]),1)</f>
        <v>45444</v>
      </c>
      <c r="E802">
        <f>MONTH(OrdersTable[[#This Row],[Order Date]])</f>
        <v>6</v>
      </c>
      <c r="F802" t="s">
        <v>641</v>
      </c>
      <c r="G802" t="str">
        <f>IF(OrdersTable[[#This Row],[Order Date]]=_xlfn.MINIFS(Order_Date, Customer_ID, OrdersTable[[#This Row],[Customer ID]]), "New", "Repeat")</f>
        <v>Repeat</v>
      </c>
      <c r="H802" t="s">
        <v>54</v>
      </c>
      <c r="I802" t="str">
        <f>INDEX(State!B:B,MATCH(OrdersTable[[#This Row],[State]],State!A:A,0))</f>
        <v>RJ</v>
      </c>
      <c r="J802" t="str">
        <f>INDEX(State!C:C,MATCH(OrdersTable[[#This Row],[State Code]],State!B:B,0))</f>
        <v>North</v>
      </c>
      <c r="K802" t="s">
        <v>55</v>
      </c>
      <c r="L802" t="s">
        <v>65</v>
      </c>
      <c r="M802" t="s">
        <v>152</v>
      </c>
      <c r="N802" t="str">
        <f>INDEX(Products!B:B,MATCH(OrdersTable[[#This Row],[Product ID]],Products!A:A,0))</f>
        <v>Green Tea (100 bags)</v>
      </c>
      <c r="O802" t="str">
        <f>INDEX(Products!C:C,MATCH(OrdersTable[[#This Row],[Product ID]],Products!A:A,0))</f>
        <v>Wellness</v>
      </c>
      <c r="P802">
        <v>2</v>
      </c>
      <c r="Q802" s="5">
        <v>399</v>
      </c>
      <c r="R802" s="74">
        <v>0.35</v>
      </c>
      <c r="S802" s="75">
        <f>OrdersTable[[#This Row],[Quantity]]*OrdersTable[[#This Row],[Unit Price]]</f>
        <v>798</v>
      </c>
      <c r="T802" s="5">
        <f>OrdersTable[[#This Row],[Gross Sale]]*OrdersTable[[#This Row],[Discount_Clean2]]</f>
        <v>279.29999999999995</v>
      </c>
      <c r="U802" s="5">
        <f>OrdersTable[[#This Row],[Gross Sale]]-OrdersTable[[#This Row],[Discount Amount]]</f>
        <v>518.70000000000005</v>
      </c>
      <c r="V802" s="77">
        <f>INDEX(Products!E:E,MATCH(OrdersTable[[#This Row],[Product ID]],Products!A:A,0))</f>
        <v>128</v>
      </c>
      <c r="W802" s="77">
        <f>OrdersTable[[#This Row],[Quantity]]*OrdersTable[[#This Row],[Unit Cost]]</f>
        <v>256</v>
      </c>
      <c r="X802" s="77">
        <f>'Dropdown Lists'!$I$2*(1+OrdersTable[[#This Row],[Returned]])</f>
        <v>60</v>
      </c>
      <c r="Y802" s="76">
        <f>OrdersTable[[#This Row],[Net Revenue]]-OrdersTable[[#This Row],[COGS]]-OrdersTable[[#This Row],[Shipping Cost]]</f>
        <v>202.70000000000005</v>
      </c>
      <c r="Z802" s="78">
        <f>IFERROR(OrdersTable[[#This Row],[Profit]]/OrdersTable[[#This Row],[Net Revenue]],0)</f>
        <v>0.39078465394254874</v>
      </c>
      <c r="AA802" t="s">
        <v>4450</v>
      </c>
      <c r="AB802" s="79">
        <v>45460</v>
      </c>
      <c r="AC802">
        <f>OrdersTable[[#This Row],[Delivery Date]]-OrdersTable[[#This Row],[Order Date]]</f>
        <v>4</v>
      </c>
      <c r="AD802" t="str">
        <f>IF(OrdersTable[[#This Row],[Delivery Days]]&lt;=2, "Express (≤2d)", IF(OrdersTable[[#This Row],[Delivery Days]]&lt;=4, "Standard (3-4d)", "Delayed (5d+)"))</f>
        <v>Standard (3-4d)</v>
      </c>
      <c r="AF802">
        <v>0</v>
      </c>
    </row>
    <row r="803" spans="1:32" ht="15" x14ac:dyDescent="0.35">
      <c r="A803" t="s">
        <v>121</v>
      </c>
      <c r="B803" s="1">
        <v>45456</v>
      </c>
      <c r="C803">
        <f>YEAR(OrdersTable[[#This Row],[Order Date]])</f>
        <v>2024</v>
      </c>
      <c r="D803" s="2">
        <f>DATE(YEAR(OrdersTable[[#This Row],[Order Date]]),MONTH(OrdersTable[[#This Row],[Order Date]]),1)</f>
        <v>45444</v>
      </c>
      <c r="E803">
        <f>MONTH(OrdersTable[[#This Row],[Order Date]])</f>
        <v>6</v>
      </c>
      <c r="F803" t="s">
        <v>122</v>
      </c>
      <c r="G803" t="str">
        <f>IF(OrdersTable[[#This Row],[Order Date]]=_xlfn.MINIFS(Order_Date, Customer_ID, OrdersTable[[#This Row],[Customer ID]]), "New", "Repeat")</f>
        <v>New</v>
      </c>
      <c r="H803" t="s">
        <v>123</v>
      </c>
      <c r="I803" t="str">
        <f>INDEX(State!B:B,MATCH(OrdersTable[[#This Row],[State]],State!A:A,0))</f>
        <v>JH</v>
      </c>
      <c r="J803" t="str">
        <f>INDEX(State!C:C,MATCH(OrdersTable[[#This Row],[State Code]],State!B:B,0))</f>
        <v>East</v>
      </c>
      <c r="K803" t="s">
        <v>124</v>
      </c>
      <c r="L803" t="s">
        <v>65</v>
      </c>
      <c r="M803" t="s">
        <v>125</v>
      </c>
      <c r="N803" t="str">
        <f>INDEX(Products!B:B,MATCH(OrdersTable[[#This Row],[Product ID]],Products!A:A,0))</f>
        <v>Copper Water Bottle</v>
      </c>
      <c r="O803" t="str">
        <f>INDEX(Products!C:C,MATCH(OrdersTable[[#This Row],[Product ID]],Products!A:A,0))</f>
        <v>Home &amp; Kitchen</v>
      </c>
      <c r="P803">
        <v>1</v>
      </c>
      <c r="Q803" s="5">
        <v>899</v>
      </c>
      <c r="R803" s="74">
        <v>0.05</v>
      </c>
      <c r="S803" s="75">
        <f>OrdersTable[[#This Row],[Quantity]]*OrdersTable[[#This Row],[Unit Price]]</f>
        <v>899</v>
      </c>
      <c r="T803" s="5">
        <f>OrdersTable[[#This Row],[Gross Sale]]*OrdersTable[[#This Row],[Discount_Clean2]]</f>
        <v>44.95</v>
      </c>
      <c r="U803" s="5">
        <f>OrdersTable[[#This Row],[Gross Sale]]-OrdersTable[[#This Row],[Discount Amount]]</f>
        <v>854.05</v>
      </c>
      <c r="V803" s="77">
        <f>INDEX(Products!E:E,MATCH(OrdersTable[[#This Row],[Product ID]],Products!A:A,0))</f>
        <v>378</v>
      </c>
      <c r="W803" s="77">
        <f>OrdersTable[[#This Row],[Quantity]]*OrdersTable[[#This Row],[Unit Cost]]</f>
        <v>378</v>
      </c>
      <c r="X803" s="77">
        <f>'Dropdown Lists'!$I$2*(1+OrdersTable[[#This Row],[Returned]])</f>
        <v>60</v>
      </c>
      <c r="Y803" s="76">
        <f>OrdersTable[[#This Row],[Net Revenue]]-OrdersTable[[#This Row],[COGS]]-OrdersTable[[#This Row],[Shipping Cost]]</f>
        <v>416.04999999999995</v>
      </c>
      <c r="Z803" s="78">
        <f>IFERROR(OrdersTable[[#This Row],[Profit]]/OrdersTable[[#This Row],[Net Revenue]],0)</f>
        <v>0.48714946431707745</v>
      </c>
      <c r="AA803" t="s">
        <v>18</v>
      </c>
      <c r="AB803" s="79">
        <v>45457</v>
      </c>
      <c r="AC803">
        <f>OrdersTable[[#This Row],[Delivery Date]]-OrdersTable[[#This Row],[Order Date]]</f>
        <v>1</v>
      </c>
      <c r="AD803" t="str">
        <f>IF(OrdersTable[[#This Row],[Delivery Days]]&lt;=2, "Express (≤2d)", IF(OrdersTable[[#This Row],[Delivery Days]]&lt;=4, "Standard (3-4d)", "Delayed (5d+)"))</f>
        <v>Express (≤2d)</v>
      </c>
      <c r="AE803">
        <v>4</v>
      </c>
      <c r="AF803">
        <v>0</v>
      </c>
    </row>
    <row r="804" spans="1:32" ht="15" x14ac:dyDescent="0.35">
      <c r="A804" t="s">
        <v>3730</v>
      </c>
      <c r="B804" s="1">
        <v>45456</v>
      </c>
      <c r="C804">
        <f>YEAR(OrdersTable[[#This Row],[Order Date]])</f>
        <v>2024</v>
      </c>
      <c r="D804" s="2">
        <f>DATE(YEAR(OrdersTable[[#This Row],[Order Date]]),MONTH(OrdersTable[[#This Row],[Order Date]]),1)</f>
        <v>45444</v>
      </c>
      <c r="E804">
        <f>MONTH(OrdersTable[[#This Row],[Order Date]])</f>
        <v>6</v>
      </c>
      <c r="F804" t="s">
        <v>1273</v>
      </c>
      <c r="G804" t="str">
        <f>IF(OrdersTable[[#This Row],[Order Date]]=_xlfn.MINIFS(Order_Date, Customer_ID, OrdersTable[[#This Row],[Customer ID]]), "New", "Repeat")</f>
        <v>Repeat</v>
      </c>
      <c r="H804" t="s">
        <v>71</v>
      </c>
      <c r="I804" t="str">
        <f>INDEX(State!B:B,MATCH(OrdersTable[[#This Row],[State]],State!A:A,0))</f>
        <v>MH</v>
      </c>
      <c r="J804" t="str">
        <f>INDEX(State!C:C,MATCH(OrdersTable[[#This Row],[State Code]],State!B:B,0))</f>
        <v>West</v>
      </c>
      <c r="K804" t="s">
        <v>72</v>
      </c>
      <c r="L804" t="s">
        <v>39</v>
      </c>
      <c r="M804" t="s">
        <v>106</v>
      </c>
      <c r="N804" t="str">
        <f>INDEX(Products!B:B,MATCH(OrdersTable[[#This Row],[Product ID]],Products!A:A,0))</f>
        <v>Keratin Hair Mask</v>
      </c>
      <c r="O804" t="str">
        <f>INDEX(Products!C:C,MATCH(OrdersTable[[#This Row],[Product ID]],Products!A:A,0))</f>
        <v>Haircare</v>
      </c>
      <c r="P804">
        <v>1</v>
      </c>
      <c r="Q804" s="5">
        <v>549</v>
      </c>
      <c r="R804" s="74">
        <v>0.1</v>
      </c>
      <c r="S804" s="75">
        <f>OrdersTable[[#This Row],[Quantity]]*OrdersTable[[#This Row],[Unit Price]]</f>
        <v>549</v>
      </c>
      <c r="T804" s="5">
        <f>OrdersTable[[#This Row],[Gross Sale]]*OrdersTable[[#This Row],[Discount_Clean2]]</f>
        <v>54.900000000000006</v>
      </c>
      <c r="U804" s="5">
        <f>OrdersTable[[#This Row],[Gross Sale]]-OrdersTable[[#This Row],[Discount Amount]]</f>
        <v>494.1</v>
      </c>
      <c r="V804" s="77">
        <f>INDEX(Products!E:E,MATCH(OrdersTable[[#This Row],[Product ID]],Products!A:A,0))</f>
        <v>170</v>
      </c>
      <c r="W804" s="77">
        <f>OrdersTable[[#This Row],[Quantity]]*OrdersTable[[#This Row],[Unit Cost]]</f>
        <v>170</v>
      </c>
      <c r="X804" s="77">
        <f>'Dropdown Lists'!$I$2*(1+OrdersTable[[#This Row],[Returned]])</f>
        <v>60</v>
      </c>
      <c r="Y804" s="76">
        <f>OrdersTable[[#This Row],[Net Revenue]]-OrdersTable[[#This Row],[COGS]]-OrdersTable[[#This Row],[Shipping Cost]]</f>
        <v>264.10000000000002</v>
      </c>
      <c r="Z804" s="78">
        <f>IFERROR(OrdersTable[[#This Row],[Profit]]/OrdersTable[[#This Row],[Net Revenue]],0)</f>
        <v>0.53450718478040882</v>
      </c>
      <c r="AA804" t="s">
        <v>3495</v>
      </c>
      <c r="AB804" s="79">
        <v>45458</v>
      </c>
      <c r="AC804">
        <f>OrdersTable[[#This Row],[Delivery Date]]-OrdersTable[[#This Row],[Order Date]]</f>
        <v>2</v>
      </c>
      <c r="AD804" t="str">
        <f>IF(OrdersTable[[#This Row],[Delivery Days]]&lt;=2, "Express (≤2d)", IF(OrdersTable[[#This Row],[Delivery Days]]&lt;=4, "Standard (3-4d)", "Delayed (5d+)"))</f>
        <v>Express (≤2d)</v>
      </c>
      <c r="AF804">
        <v>0</v>
      </c>
    </row>
    <row r="805" spans="1:32" ht="15" x14ac:dyDescent="0.35">
      <c r="A805" t="s">
        <v>5091</v>
      </c>
      <c r="B805" s="1">
        <v>45456</v>
      </c>
      <c r="C805">
        <f>YEAR(OrdersTable[[#This Row],[Order Date]])</f>
        <v>2024</v>
      </c>
      <c r="D805" s="2">
        <f>DATE(YEAR(OrdersTable[[#This Row],[Order Date]]),MONTH(OrdersTable[[#This Row],[Order Date]]),1)</f>
        <v>45444</v>
      </c>
      <c r="E805">
        <f>MONTH(OrdersTable[[#This Row],[Order Date]])</f>
        <v>6</v>
      </c>
      <c r="F805" t="s">
        <v>1817</v>
      </c>
      <c r="G805" t="str">
        <f>IF(OrdersTable[[#This Row],[Order Date]]=_xlfn.MINIFS(Order_Date, Customer_ID, OrdersTable[[#This Row],[Customer ID]]), "New", "Repeat")</f>
        <v>New</v>
      </c>
      <c r="H805" t="s">
        <v>90</v>
      </c>
      <c r="I805" t="str">
        <f>INDEX(State!B:B,MATCH(OrdersTable[[#This Row],[State]],State!A:A,0))</f>
        <v>GA</v>
      </c>
      <c r="J805" t="str">
        <f>INDEX(State!C:C,MATCH(OrdersTable[[#This Row],[State Code]],State!B:B,0))</f>
        <v>West</v>
      </c>
      <c r="K805" t="s">
        <v>91</v>
      </c>
      <c r="L805" t="s">
        <v>23</v>
      </c>
      <c r="M805" t="s">
        <v>87</v>
      </c>
      <c r="N805" t="str">
        <f>INDEX(Products!B:B,MATCH(OrdersTable[[#This Row],[Product ID]],Products!A:A,0))</f>
        <v>Linen Kurta</v>
      </c>
      <c r="O805" t="str">
        <f>INDEX(Products!C:C,MATCH(OrdersTable[[#This Row],[Product ID]],Products!A:A,0))</f>
        <v>Apparel</v>
      </c>
      <c r="P805">
        <v>2</v>
      </c>
      <c r="Q805" s="5">
        <v>1499</v>
      </c>
      <c r="R805" s="74">
        <v>0.4</v>
      </c>
      <c r="S805" s="75">
        <f>OrdersTable[[#This Row],[Quantity]]*OrdersTable[[#This Row],[Unit Price]]</f>
        <v>2998</v>
      </c>
      <c r="T805" s="5">
        <f>OrdersTable[[#This Row],[Gross Sale]]*OrdersTable[[#This Row],[Discount_Clean2]]</f>
        <v>1199.2</v>
      </c>
      <c r="U805" s="5">
        <f>OrdersTable[[#This Row],[Gross Sale]]-OrdersTable[[#This Row],[Discount Amount]]</f>
        <v>1798.8</v>
      </c>
      <c r="V805" s="77">
        <f>INDEX(Products!E:E,MATCH(OrdersTable[[#This Row],[Product ID]],Products!A:A,0))</f>
        <v>630</v>
      </c>
      <c r="W805" s="77">
        <f>OrdersTable[[#This Row],[Quantity]]*OrdersTable[[#This Row],[Unit Cost]]</f>
        <v>1260</v>
      </c>
      <c r="X805" s="77">
        <f>'Dropdown Lists'!$I$2*(1+OrdersTable[[#This Row],[Returned]])</f>
        <v>60</v>
      </c>
      <c r="Y805" s="76">
        <f>OrdersTable[[#This Row],[Net Revenue]]-OrdersTable[[#This Row],[COGS]]-OrdersTable[[#This Row],[Shipping Cost]]</f>
        <v>478.79999999999995</v>
      </c>
      <c r="Z805" s="78">
        <f>IFERROR(OrdersTable[[#This Row],[Profit]]/OrdersTable[[#This Row],[Net Revenue]],0)</f>
        <v>0.26617745163442291</v>
      </c>
      <c r="AA805" t="s">
        <v>3495</v>
      </c>
      <c r="AB805" s="79">
        <v>45458</v>
      </c>
      <c r="AC805">
        <f>OrdersTable[[#This Row],[Delivery Date]]-OrdersTable[[#This Row],[Order Date]]</f>
        <v>2</v>
      </c>
      <c r="AD805" t="str">
        <f>IF(OrdersTable[[#This Row],[Delivery Days]]&lt;=2, "Express (≤2d)", IF(OrdersTable[[#This Row],[Delivery Days]]&lt;=4, "Standard (3-4d)", "Delayed (5d+)"))</f>
        <v>Express (≤2d)</v>
      </c>
      <c r="AF805">
        <v>0</v>
      </c>
    </row>
    <row r="806" spans="1:32" ht="15" x14ac:dyDescent="0.35">
      <c r="A806" t="s">
        <v>7058</v>
      </c>
      <c r="B806" s="1">
        <v>45457</v>
      </c>
      <c r="C806">
        <f>YEAR(OrdersTable[[#This Row],[Order Date]])</f>
        <v>2024</v>
      </c>
      <c r="D806" s="2">
        <f>DATE(YEAR(OrdersTable[[#This Row],[Order Date]]),MONTH(OrdersTable[[#This Row],[Order Date]]),1)</f>
        <v>45444</v>
      </c>
      <c r="E806">
        <f>MONTH(OrdersTable[[#This Row],[Order Date]])</f>
        <v>6</v>
      </c>
      <c r="F806" t="s">
        <v>6848</v>
      </c>
      <c r="G806" t="str">
        <f>IF(OrdersTable[[#This Row],[Order Date]]=_xlfn.MINIFS(Order_Date, Customer_ID, OrdersTable[[#This Row],[Customer ID]]), "New", "Repeat")</f>
        <v>Repeat</v>
      </c>
      <c r="H806" t="s">
        <v>158</v>
      </c>
      <c r="I806" t="str">
        <f>INDEX(State!B:B,MATCH(OrdersTable[[#This Row],[State]],State!A:A,0))</f>
        <v>HP</v>
      </c>
      <c r="J806" t="str">
        <f>INDEX(State!C:C,MATCH(OrdersTable[[#This Row],[State Code]],State!B:B,0))</f>
        <v>North</v>
      </c>
      <c r="K806" t="s">
        <v>159</v>
      </c>
      <c r="L806" t="s">
        <v>23</v>
      </c>
      <c r="M806" t="s">
        <v>61</v>
      </c>
      <c r="N806" t="str">
        <f>INDEX(Products!B:B,MATCH(OrdersTable[[#This Row],[Product ID]],Products!A:A,0))</f>
        <v>Multivitamin Gummies</v>
      </c>
      <c r="O806" t="str">
        <f>INDEX(Products!C:C,MATCH(OrdersTable[[#This Row],[Product ID]],Products!A:A,0))</f>
        <v>Wellness</v>
      </c>
      <c r="P806">
        <v>4</v>
      </c>
      <c r="Q806" s="5">
        <v>699</v>
      </c>
      <c r="R806" s="74">
        <v>0.25</v>
      </c>
      <c r="S806" s="75">
        <f>OrdersTable[[#This Row],[Quantity]]*OrdersTable[[#This Row],[Unit Price]]</f>
        <v>2796</v>
      </c>
      <c r="T806" s="5">
        <f>OrdersTable[[#This Row],[Gross Sale]]*OrdersTable[[#This Row],[Discount_Clean2]]</f>
        <v>699</v>
      </c>
      <c r="U806" s="5">
        <f>OrdersTable[[#This Row],[Gross Sale]]-OrdersTable[[#This Row],[Discount Amount]]</f>
        <v>2097</v>
      </c>
      <c r="V806" s="77">
        <f>INDEX(Products!E:E,MATCH(OrdersTable[[#This Row],[Product ID]],Products!A:A,0))</f>
        <v>238</v>
      </c>
      <c r="W806" s="77">
        <f>OrdersTable[[#This Row],[Quantity]]*OrdersTable[[#This Row],[Unit Cost]]</f>
        <v>952</v>
      </c>
      <c r="X806" s="77">
        <f>'Dropdown Lists'!$I$2*(1+OrdersTable[[#This Row],[Returned]])</f>
        <v>60</v>
      </c>
      <c r="Y806" s="76">
        <f>OrdersTable[[#This Row],[Net Revenue]]-OrdersTable[[#This Row],[COGS]]-OrdersTable[[#This Row],[Shipping Cost]]</f>
        <v>1085</v>
      </c>
      <c r="Z806" s="78">
        <f>IFERROR(OrdersTable[[#This Row],[Profit]]/OrdersTable[[#This Row],[Net Revenue]],0)</f>
        <v>0.51740581783500239</v>
      </c>
      <c r="AA806" t="s">
        <v>18</v>
      </c>
      <c r="AB806" s="79">
        <v>45462</v>
      </c>
      <c r="AC806">
        <f>OrdersTable[[#This Row],[Delivery Date]]-OrdersTable[[#This Row],[Order Date]]</f>
        <v>5</v>
      </c>
      <c r="AD806" t="str">
        <f>IF(OrdersTable[[#This Row],[Delivery Days]]&lt;=2, "Express (≤2d)", IF(OrdersTable[[#This Row],[Delivery Days]]&lt;=4, "Standard (3-4d)", "Delayed (5d+)"))</f>
        <v>Delayed (5d+)</v>
      </c>
      <c r="AE806">
        <v>3</v>
      </c>
      <c r="AF806">
        <v>0</v>
      </c>
    </row>
    <row r="807" spans="1:32" ht="15" x14ac:dyDescent="0.35">
      <c r="A807" t="s">
        <v>126</v>
      </c>
      <c r="B807" s="1">
        <v>45457</v>
      </c>
      <c r="C807">
        <f>YEAR(OrdersTable[[#This Row],[Order Date]])</f>
        <v>2024</v>
      </c>
      <c r="D807" s="2">
        <f>DATE(YEAR(OrdersTable[[#This Row],[Order Date]]),MONTH(OrdersTable[[#This Row],[Order Date]]),1)</f>
        <v>45444</v>
      </c>
      <c r="E807">
        <f>MONTH(OrdersTable[[#This Row],[Order Date]])</f>
        <v>6</v>
      </c>
      <c r="F807" t="s">
        <v>127</v>
      </c>
      <c r="G807" t="str">
        <f>IF(OrdersTable[[#This Row],[Order Date]]=_xlfn.MINIFS(Order_Date, Customer_ID, OrdersTable[[#This Row],[Customer ID]]), "New", "Repeat")</f>
        <v>Repeat</v>
      </c>
      <c r="H807" t="s">
        <v>128</v>
      </c>
      <c r="I807" t="str">
        <f>INDEX(State!B:B,MATCH(OrdersTable[[#This Row],[State]],State!A:A,0))</f>
        <v>DL</v>
      </c>
      <c r="J807" t="str">
        <f>INDEX(State!C:C,MATCH(OrdersTable[[#This Row],[State Code]],State!B:B,0))</f>
        <v>North</v>
      </c>
      <c r="K807" t="s">
        <v>129</v>
      </c>
      <c r="L807" t="s">
        <v>23</v>
      </c>
      <c r="M807" t="s">
        <v>73</v>
      </c>
      <c r="N807" t="str">
        <f>INDEX(Products!B:B,MATCH(OrdersTable[[#This Row],[Product ID]],Products!A:A,0))</f>
        <v>Hydrating Face Wash</v>
      </c>
      <c r="O807" t="str">
        <f>INDEX(Products!C:C,MATCH(OrdersTable[[#This Row],[Product ID]],Products!A:A,0))</f>
        <v>Skincare</v>
      </c>
      <c r="P807">
        <v>1</v>
      </c>
      <c r="Q807" s="5">
        <v>299</v>
      </c>
      <c r="R807" s="74">
        <v>0</v>
      </c>
      <c r="S807" s="75">
        <f>OrdersTable[[#This Row],[Quantity]]*OrdersTable[[#This Row],[Unit Price]]</f>
        <v>299</v>
      </c>
      <c r="T807" s="5">
        <f>OrdersTable[[#This Row],[Gross Sale]]*OrdersTable[[#This Row],[Discount_Clean2]]</f>
        <v>0</v>
      </c>
      <c r="U807" s="5">
        <f>OrdersTable[[#This Row],[Gross Sale]]-OrdersTable[[#This Row],[Discount Amount]]</f>
        <v>299</v>
      </c>
      <c r="V807" s="77">
        <f>INDEX(Products!E:E,MATCH(OrdersTable[[#This Row],[Product ID]],Products!A:A,0))</f>
        <v>90</v>
      </c>
      <c r="W807" s="77">
        <f>OrdersTable[[#This Row],[Quantity]]*OrdersTable[[#This Row],[Unit Cost]]</f>
        <v>90</v>
      </c>
      <c r="X807" s="77">
        <f>'Dropdown Lists'!$I$2*(1+OrdersTable[[#This Row],[Returned]])</f>
        <v>60</v>
      </c>
      <c r="Y807" s="76">
        <f>OrdersTable[[#This Row],[Net Revenue]]-OrdersTable[[#This Row],[COGS]]-OrdersTable[[#This Row],[Shipping Cost]]</f>
        <v>149</v>
      </c>
      <c r="Z807" s="78">
        <f>IFERROR(OrdersTable[[#This Row],[Profit]]/OrdersTable[[#This Row],[Net Revenue]],0)</f>
        <v>0.49832775919732442</v>
      </c>
      <c r="AA807" t="s">
        <v>18</v>
      </c>
      <c r="AB807" s="79">
        <v>45458</v>
      </c>
      <c r="AC807">
        <f>OrdersTable[[#This Row],[Delivery Date]]-OrdersTable[[#This Row],[Order Date]]</f>
        <v>1</v>
      </c>
      <c r="AD807" t="str">
        <f>IF(OrdersTable[[#This Row],[Delivery Days]]&lt;=2, "Express (≤2d)", IF(OrdersTable[[#This Row],[Delivery Days]]&lt;=4, "Standard (3-4d)", "Delayed (5d+)"))</f>
        <v>Express (≤2d)</v>
      </c>
      <c r="AE807">
        <v>4</v>
      </c>
      <c r="AF807">
        <v>0</v>
      </c>
    </row>
    <row r="808" spans="1:32" ht="15" x14ac:dyDescent="0.35">
      <c r="A808" t="s">
        <v>6494</v>
      </c>
      <c r="B808" s="1">
        <v>45457</v>
      </c>
      <c r="C808">
        <f>YEAR(OrdersTable[[#This Row],[Order Date]])</f>
        <v>2024</v>
      </c>
      <c r="D808" s="2">
        <f>DATE(YEAR(OrdersTable[[#This Row],[Order Date]]),MONTH(OrdersTable[[#This Row],[Order Date]]),1)</f>
        <v>45444</v>
      </c>
      <c r="E808">
        <f>MONTH(OrdersTable[[#This Row],[Order Date]])</f>
        <v>6</v>
      </c>
      <c r="F808" t="s">
        <v>984</v>
      </c>
      <c r="G808" t="str">
        <f>IF(OrdersTable[[#This Row],[Order Date]]=_xlfn.MINIFS(Order_Date, Customer_ID, OrdersTable[[#This Row],[Customer ID]]), "New", "Repeat")</f>
        <v>New</v>
      </c>
      <c r="H808" t="s">
        <v>95</v>
      </c>
      <c r="I808" t="str">
        <f>INDEX(State!B:B,MATCH(OrdersTable[[#This Row],[State]],State!A:A,0))</f>
        <v>TG</v>
      </c>
      <c r="J808" t="str">
        <f>INDEX(State!C:C,MATCH(OrdersTable[[#This Row],[State Code]],State!B:B,0))</f>
        <v>South</v>
      </c>
      <c r="K808" t="s">
        <v>96</v>
      </c>
      <c r="L808" t="s">
        <v>50</v>
      </c>
      <c r="M808" t="s">
        <v>56</v>
      </c>
      <c r="N808" t="str">
        <f>INDEX(Products!B:B,MATCH(OrdersTable[[#This Row],[Product ID]],Products!A:A,0))</f>
        <v>Vitamin C Face Serum</v>
      </c>
      <c r="O808" t="str">
        <f>INDEX(Products!C:C,MATCH(OrdersTable[[#This Row],[Product ID]],Products!A:A,0))</f>
        <v>Skincare</v>
      </c>
      <c r="P808">
        <v>3</v>
      </c>
      <c r="Q808" s="5">
        <v>599</v>
      </c>
      <c r="R808" s="74">
        <v>0.15</v>
      </c>
      <c r="S808" s="75">
        <f>OrdersTable[[#This Row],[Quantity]]*OrdersTable[[#This Row],[Unit Price]]</f>
        <v>1797</v>
      </c>
      <c r="T808" s="5">
        <f>OrdersTable[[#This Row],[Gross Sale]]*OrdersTable[[#This Row],[Discount_Clean2]]</f>
        <v>269.55</v>
      </c>
      <c r="U808" s="5">
        <f>OrdersTable[[#This Row],[Gross Sale]]-OrdersTable[[#This Row],[Discount Amount]]</f>
        <v>1527.45</v>
      </c>
      <c r="V808" s="77">
        <f>INDEX(Products!E:E,MATCH(OrdersTable[[#This Row],[Product ID]],Products!A:A,0))</f>
        <v>180</v>
      </c>
      <c r="W808" s="77">
        <f>OrdersTable[[#This Row],[Quantity]]*OrdersTable[[#This Row],[Unit Cost]]</f>
        <v>540</v>
      </c>
      <c r="X808" s="77">
        <f>'Dropdown Lists'!$I$2*(1+OrdersTable[[#This Row],[Returned]])</f>
        <v>60</v>
      </c>
      <c r="Y808" s="76">
        <f>OrdersTable[[#This Row],[Net Revenue]]-OrdersTable[[#This Row],[COGS]]-OrdersTable[[#This Row],[Shipping Cost]]</f>
        <v>927.45</v>
      </c>
      <c r="Z808" s="78">
        <f>IFERROR(OrdersTable[[#This Row],[Profit]]/OrdersTable[[#This Row],[Net Revenue]],0)</f>
        <v>0.60718845134046939</v>
      </c>
      <c r="AA808" t="s">
        <v>18</v>
      </c>
      <c r="AB808" s="79">
        <v>45459</v>
      </c>
      <c r="AC808">
        <f>OrdersTable[[#This Row],[Delivery Date]]-OrdersTable[[#This Row],[Order Date]]</f>
        <v>2</v>
      </c>
      <c r="AD808" t="str">
        <f>IF(OrdersTable[[#This Row],[Delivery Days]]&lt;=2, "Express (≤2d)", IF(OrdersTable[[#This Row],[Delivery Days]]&lt;=4, "Standard (3-4d)", "Delayed (5d+)"))</f>
        <v>Express (≤2d)</v>
      </c>
      <c r="AF808">
        <v>0</v>
      </c>
    </row>
    <row r="809" spans="1:32" ht="15" x14ac:dyDescent="0.35">
      <c r="A809" t="s">
        <v>6495</v>
      </c>
      <c r="B809" s="1">
        <v>45457</v>
      </c>
      <c r="C809">
        <f>YEAR(OrdersTable[[#This Row],[Order Date]])</f>
        <v>2024</v>
      </c>
      <c r="D809" s="2">
        <f>DATE(YEAR(OrdersTable[[#This Row],[Order Date]]),MONTH(OrdersTable[[#This Row],[Order Date]]),1)</f>
        <v>45444</v>
      </c>
      <c r="E809">
        <f>MONTH(OrdersTable[[#This Row],[Order Date]])</f>
        <v>6</v>
      </c>
      <c r="F809" t="s">
        <v>2536</v>
      </c>
      <c r="G809" t="str">
        <f>IF(OrdersTable[[#This Row],[Order Date]]=_xlfn.MINIFS(Order_Date, Customer_ID, OrdersTable[[#This Row],[Customer ID]]), "New", "Repeat")</f>
        <v>New</v>
      </c>
      <c r="H809" t="s">
        <v>14</v>
      </c>
      <c r="I809" t="str">
        <f>INDEX(State!B:B,MATCH(OrdersTable[[#This Row],[State]],State!A:A,0))</f>
        <v>OD</v>
      </c>
      <c r="J809" t="str">
        <f>INDEX(State!C:C,MATCH(OrdersTable[[#This Row],[State Code]],State!B:B,0))</f>
        <v>East</v>
      </c>
      <c r="K809" t="s">
        <v>15</v>
      </c>
      <c r="L809" t="s">
        <v>65</v>
      </c>
      <c r="M809" t="s">
        <v>160</v>
      </c>
      <c r="N809" t="str">
        <f>INDEX(Products!B:B,MATCH(OrdersTable[[#This Row],[Product ID]],Products!A:A,0))</f>
        <v>Niacinamide Toner</v>
      </c>
      <c r="O809" t="str">
        <f>INDEX(Products!C:C,MATCH(OrdersTable[[#This Row],[Product ID]],Products!A:A,0))</f>
        <v>Skincare</v>
      </c>
      <c r="P809">
        <v>3</v>
      </c>
      <c r="Q809" s="5">
        <v>399</v>
      </c>
      <c r="R809" s="74">
        <v>0.15</v>
      </c>
      <c r="S809" s="75">
        <f>OrdersTable[[#This Row],[Quantity]]*OrdersTable[[#This Row],[Unit Price]]</f>
        <v>1197</v>
      </c>
      <c r="T809" s="5">
        <f>OrdersTable[[#This Row],[Gross Sale]]*OrdersTable[[#This Row],[Discount_Clean2]]</f>
        <v>179.54999999999998</v>
      </c>
      <c r="U809" s="5">
        <f>OrdersTable[[#This Row],[Gross Sale]]-OrdersTable[[#This Row],[Discount Amount]]</f>
        <v>1017.45</v>
      </c>
      <c r="V809" s="77">
        <f>INDEX(Products!E:E,MATCH(OrdersTable[[#This Row],[Product ID]],Products!A:A,0))</f>
        <v>112</v>
      </c>
      <c r="W809" s="77">
        <f>OrdersTable[[#This Row],[Quantity]]*OrdersTable[[#This Row],[Unit Cost]]</f>
        <v>336</v>
      </c>
      <c r="X809" s="77">
        <f>'Dropdown Lists'!$I$2*(1+OrdersTable[[#This Row],[Returned]])</f>
        <v>60</v>
      </c>
      <c r="Y809" s="76">
        <f>OrdersTable[[#This Row],[Net Revenue]]-OrdersTable[[#This Row],[COGS]]-OrdersTable[[#This Row],[Shipping Cost]]</f>
        <v>621.45000000000005</v>
      </c>
      <c r="Z809" s="78">
        <f>IFERROR(OrdersTable[[#This Row],[Profit]]/OrdersTable[[#This Row],[Net Revenue]],0)</f>
        <v>0.61079168509509063</v>
      </c>
      <c r="AA809" t="s">
        <v>18</v>
      </c>
      <c r="AB809" s="79">
        <v>45463</v>
      </c>
      <c r="AC809">
        <f>OrdersTable[[#This Row],[Delivery Date]]-OrdersTable[[#This Row],[Order Date]]</f>
        <v>6</v>
      </c>
      <c r="AD809" t="str">
        <f>IF(OrdersTable[[#This Row],[Delivery Days]]&lt;=2, "Express (≤2d)", IF(OrdersTable[[#This Row],[Delivery Days]]&lt;=4, "Standard (3-4d)", "Delayed (5d+)"))</f>
        <v>Delayed (5d+)</v>
      </c>
      <c r="AE809">
        <v>3</v>
      </c>
      <c r="AF809">
        <v>0</v>
      </c>
    </row>
    <row r="810" spans="1:32" ht="15" x14ac:dyDescent="0.35">
      <c r="A810" t="s">
        <v>2269</v>
      </c>
      <c r="B810" s="1">
        <v>45457</v>
      </c>
      <c r="C810">
        <f>YEAR(OrdersTable[[#This Row],[Order Date]])</f>
        <v>2024</v>
      </c>
      <c r="D810" s="2">
        <f>DATE(YEAR(OrdersTable[[#This Row],[Order Date]]),MONTH(OrdersTable[[#This Row],[Order Date]]),1)</f>
        <v>45444</v>
      </c>
      <c r="E810">
        <f>MONTH(OrdersTable[[#This Row],[Order Date]])</f>
        <v>6</v>
      </c>
      <c r="F810" t="s">
        <v>2270</v>
      </c>
      <c r="G810" t="str">
        <f>IF(OrdersTable[[#This Row],[Order Date]]=_xlfn.MINIFS(Order_Date, Customer_ID, OrdersTable[[#This Row],[Customer ID]]), "New", "Repeat")</f>
        <v>Repeat</v>
      </c>
      <c r="H810" t="s">
        <v>167</v>
      </c>
      <c r="I810" t="str">
        <f>INDEX(State!B:B,MATCH(OrdersTable[[#This Row],[State]],State!A:A,0))</f>
        <v>KA</v>
      </c>
      <c r="J810" t="str">
        <f>INDEX(State!C:C,MATCH(OrdersTable[[#This Row],[State Code]],State!B:B,0))</f>
        <v>South</v>
      </c>
      <c r="K810" t="s">
        <v>190</v>
      </c>
      <c r="L810" t="s">
        <v>16</v>
      </c>
      <c r="M810" t="s">
        <v>34</v>
      </c>
      <c r="N810" t="str">
        <f>INDEX(Products!B:B,MATCH(OrdersTable[[#This Row],[Product ID]],Products!A:A,0))</f>
        <v>Flip Flops</v>
      </c>
      <c r="O810" t="str">
        <f>INDEX(Products!C:C,MATCH(OrdersTable[[#This Row],[Product ID]],Products!A:A,0))</f>
        <v>Footwear</v>
      </c>
      <c r="P810">
        <v>1</v>
      </c>
      <c r="Q810" s="5">
        <v>399</v>
      </c>
      <c r="R810" s="74">
        <v>0.1</v>
      </c>
      <c r="S810" s="75">
        <f>OrdersTable[[#This Row],[Quantity]]*OrdersTable[[#This Row],[Unit Price]]</f>
        <v>399</v>
      </c>
      <c r="T810" s="5">
        <f>OrdersTable[[#This Row],[Gross Sale]]*OrdersTable[[#This Row],[Discount_Clean2]]</f>
        <v>39.900000000000006</v>
      </c>
      <c r="U810" s="5">
        <f>OrdersTable[[#This Row],[Gross Sale]]-OrdersTable[[#This Row],[Discount Amount]]</f>
        <v>359.1</v>
      </c>
      <c r="V810" s="77">
        <f>INDEX(Products!E:E,MATCH(OrdersTable[[#This Row],[Product ID]],Products!A:A,0))</f>
        <v>152</v>
      </c>
      <c r="W810" s="77">
        <f>OrdersTable[[#This Row],[Quantity]]*OrdersTable[[#This Row],[Unit Cost]]</f>
        <v>152</v>
      </c>
      <c r="X810" s="77">
        <f>'Dropdown Lists'!$I$2*(1+OrdersTable[[#This Row],[Returned]])</f>
        <v>60</v>
      </c>
      <c r="Y810" s="76">
        <f>OrdersTable[[#This Row],[Net Revenue]]-OrdersTable[[#This Row],[COGS]]-OrdersTable[[#This Row],[Shipping Cost]]</f>
        <v>147.10000000000002</v>
      </c>
      <c r="Z810" s="78">
        <f>IFERROR(OrdersTable[[#This Row],[Profit]]/OrdersTable[[#This Row],[Net Revenue]],0)</f>
        <v>0.40963519910888335</v>
      </c>
      <c r="AA810" t="s">
        <v>18</v>
      </c>
      <c r="AB810" s="79">
        <v>45459</v>
      </c>
      <c r="AC810">
        <f>OrdersTable[[#This Row],[Delivery Date]]-OrdersTable[[#This Row],[Order Date]]</f>
        <v>2</v>
      </c>
      <c r="AD810" t="str">
        <f>IF(OrdersTable[[#This Row],[Delivery Days]]&lt;=2, "Express (≤2d)", IF(OrdersTable[[#This Row],[Delivery Days]]&lt;=4, "Standard (3-4d)", "Delayed (5d+)"))</f>
        <v>Express (≤2d)</v>
      </c>
      <c r="AE810">
        <v>5</v>
      </c>
      <c r="AF810">
        <v>0</v>
      </c>
    </row>
    <row r="811" spans="1:32" ht="15" x14ac:dyDescent="0.35">
      <c r="A811" t="s">
        <v>4662</v>
      </c>
      <c r="B811" s="1">
        <v>45458</v>
      </c>
      <c r="C811">
        <f>YEAR(OrdersTable[[#This Row],[Order Date]])</f>
        <v>2024</v>
      </c>
      <c r="D811" s="2">
        <f>DATE(YEAR(OrdersTable[[#This Row],[Order Date]]),MONTH(OrdersTable[[#This Row],[Order Date]]),1)</f>
        <v>45444</v>
      </c>
      <c r="E811">
        <f>MONTH(OrdersTable[[#This Row],[Order Date]])</f>
        <v>6</v>
      </c>
      <c r="F811" t="s">
        <v>4663</v>
      </c>
      <c r="G811" t="str">
        <f>IF(OrdersTable[[#This Row],[Order Date]]=_xlfn.MINIFS(Order_Date, Customer_ID, OrdersTable[[#This Row],[Customer ID]]), "New", "Repeat")</f>
        <v>New</v>
      </c>
      <c r="H811" t="s">
        <v>158</v>
      </c>
      <c r="I811" t="str">
        <f>INDEX(State!B:B,MATCH(OrdersTable[[#This Row],[State]],State!A:A,0))</f>
        <v>HP</v>
      </c>
      <c r="J811" t="str">
        <f>INDEX(State!C:C,MATCH(OrdersTable[[#This Row],[State Code]],State!B:B,0))</f>
        <v>North</v>
      </c>
      <c r="K811" t="s">
        <v>159</v>
      </c>
      <c r="L811" t="s">
        <v>39</v>
      </c>
      <c r="M811" t="s">
        <v>109</v>
      </c>
      <c r="N811" t="str">
        <f>INDEX(Products!B:B,MATCH(OrdersTable[[#This Row],[Product ID]],Products!A:A,0))</f>
        <v>Onion Hair Oil</v>
      </c>
      <c r="O811" t="str">
        <f>INDEX(Products!C:C,MATCH(OrdersTable[[#This Row],[Product ID]],Products!A:A,0))</f>
        <v>Haircare</v>
      </c>
      <c r="P811">
        <v>1</v>
      </c>
      <c r="Q811" s="5">
        <v>349</v>
      </c>
      <c r="R811" s="74">
        <v>0.25</v>
      </c>
      <c r="S811" s="75">
        <f>OrdersTable[[#This Row],[Quantity]]*OrdersTable[[#This Row],[Unit Price]]</f>
        <v>349</v>
      </c>
      <c r="T811" s="5">
        <f>OrdersTable[[#This Row],[Gross Sale]]*OrdersTable[[#This Row],[Discount_Clean2]]</f>
        <v>87.25</v>
      </c>
      <c r="U811" s="5">
        <f>OrdersTable[[#This Row],[Gross Sale]]-OrdersTable[[#This Row],[Discount Amount]]</f>
        <v>261.75</v>
      </c>
      <c r="V811" s="77">
        <f>INDEX(Products!E:E,MATCH(OrdersTable[[#This Row],[Product ID]],Products!A:A,0))</f>
        <v>105</v>
      </c>
      <c r="W811" s="77">
        <f>OrdersTable[[#This Row],[Quantity]]*OrdersTable[[#This Row],[Unit Cost]]</f>
        <v>105</v>
      </c>
      <c r="X811" s="77">
        <f>'Dropdown Lists'!$I$2*(1+OrdersTable[[#This Row],[Returned]])</f>
        <v>60</v>
      </c>
      <c r="Y811" s="76">
        <f>OrdersTable[[#This Row],[Net Revenue]]-OrdersTable[[#This Row],[COGS]]-OrdersTable[[#This Row],[Shipping Cost]]</f>
        <v>96.75</v>
      </c>
      <c r="Z811" s="78">
        <f>IFERROR(OrdersTable[[#This Row],[Profit]]/OrdersTable[[#This Row],[Net Revenue]],0)</f>
        <v>0.36962750716332377</v>
      </c>
      <c r="AA811" t="s">
        <v>4450</v>
      </c>
      <c r="AB811" s="79">
        <v>45464</v>
      </c>
      <c r="AC811">
        <f>OrdersTable[[#This Row],[Delivery Date]]-OrdersTable[[#This Row],[Order Date]]</f>
        <v>6</v>
      </c>
      <c r="AD811" t="str">
        <f>IF(OrdersTable[[#This Row],[Delivery Days]]&lt;=2, "Express (≤2d)", IF(OrdersTable[[#This Row],[Delivery Days]]&lt;=4, "Standard (3-4d)", "Delayed (5d+)"))</f>
        <v>Delayed (5d+)</v>
      </c>
      <c r="AE811">
        <v>2</v>
      </c>
      <c r="AF811">
        <v>0</v>
      </c>
    </row>
    <row r="812" spans="1:32" ht="15" x14ac:dyDescent="0.35">
      <c r="A812" t="s">
        <v>2560</v>
      </c>
      <c r="B812" s="1">
        <v>45458</v>
      </c>
      <c r="C812">
        <f>YEAR(OrdersTable[[#This Row],[Order Date]])</f>
        <v>2024</v>
      </c>
      <c r="D812" s="2">
        <f>DATE(YEAR(OrdersTable[[#This Row],[Order Date]]),MONTH(OrdersTable[[#This Row],[Order Date]]),1)</f>
        <v>45444</v>
      </c>
      <c r="E812">
        <f>MONTH(OrdersTable[[#This Row],[Order Date]])</f>
        <v>6</v>
      </c>
      <c r="F812" t="s">
        <v>2561</v>
      </c>
      <c r="G812" t="str">
        <f>IF(OrdersTable[[#This Row],[Order Date]]=_xlfn.MINIFS(Order_Date, Customer_ID, OrdersTable[[#This Row],[Customer ID]]), "New", "Repeat")</f>
        <v>New</v>
      </c>
      <c r="H812" t="s">
        <v>128</v>
      </c>
      <c r="I812" t="str">
        <f>INDEX(State!B:B,MATCH(OrdersTable[[#This Row],[State]],State!A:A,0))</f>
        <v>DL</v>
      </c>
      <c r="J812" t="str">
        <f>INDEX(State!C:C,MATCH(OrdersTable[[#This Row],[State Code]],State!B:B,0))</f>
        <v>North</v>
      </c>
      <c r="K812" t="s">
        <v>129</v>
      </c>
      <c r="L812" t="s">
        <v>39</v>
      </c>
      <c r="M812" t="s">
        <v>205</v>
      </c>
      <c r="N812" t="str">
        <f>INDEX(Products!B:B,MATCH(OrdersTable[[#This Row],[Product ID]],Products!A:A,0))</f>
        <v>Running Shoes</v>
      </c>
      <c r="O812" t="str">
        <f>INDEX(Products!C:C,MATCH(OrdersTable[[#This Row],[Product ID]],Products!A:A,0))</f>
        <v>Footwear</v>
      </c>
      <c r="P812">
        <v>1</v>
      </c>
      <c r="Q812" s="5">
        <v>2999</v>
      </c>
      <c r="R812" s="74">
        <v>0.15</v>
      </c>
      <c r="S812" s="75">
        <f>OrdersTable[[#This Row],[Quantity]]*OrdersTable[[#This Row],[Unit Price]]</f>
        <v>2999</v>
      </c>
      <c r="T812" s="5">
        <f>OrdersTable[[#This Row],[Gross Sale]]*OrdersTable[[#This Row],[Discount_Clean2]]</f>
        <v>449.84999999999997</v>
      </c>
      <c r="U812" s="5">
        <f>OrdersTable[[#This Row],[Gross Sale]]-OrdersTable[[#This Row],[Discount Amount]]</f>
        <v>2549.15</v>
      </c>
      <c r="V812" s="77">
        <f>INDEX(Products!E:E,MATCH(OrdersTable[[#This Row],[Product ID]],Products!A:A,0))</f>
        <v>1440</v>
      </c>
      <c r="W812" s="77">
        <f>OrdersTable[[#This Row],[Quantity]]*OrdersTable[[#This Row],[Unit Cost]]</f>
        <v>1440</v>
      </c>
      <c r="X812" s="77">
        <f>'Dropdown Lists'!$I$2*(1+OrdersTable[[#This Row],[Returned]])</f>
        <v>60</v>
      </c>
      <c r="Y812" s="76">
        <f>OrdersTable[[#This Row],[Net Revenue]]-OrdersTable[[#This Row],[COGS]]-OrdersTable[[#This Row],[Shipping Cost]]</f>
        <v>1049.1500000000001</v>
      </c>
      <c r="Z812" s="78">
        <f>IFERROR(OrdersTable[[#This Row],[Profit]]/OrdersTable[[#This Row],[Net Revenue]],0)</f>
        <v>0.41156856206970954</v>
      </c>
      <c r="AA812" t="s">
        <v>2522</v>
      </c>
      <c r="AB812" s="79">
        <v>45460</v>
      </c>
      <c r="AC812">
        <f>OrdersTable[[#This Row],[Delivery Date]]-OrdersTable[[#This Row],[Order Date]]</f>
        <v>2</v>
      </c>
      <c r="AD812" t="str">
        <f>IF(OrdersTable[[#This Row],[Delivery Days]]&lt;=2, "Express (≤2d)", IF(OrdersTable[[#This Row],[Delivery Days]]&lt;=4, "Standard (3-4d)", "Delayed (5d+)"))</f>
        <v>Express (≤2d)</v>
      </c>
      <c r="AE812">
        <v>5</v>
      </c>
      <c r="AF812">
        <v>0</v>
      </c>
    </row>
    <row r="813" spans="1:32" ht="15" x14ac:dyDescent="0.35">
      <c r="A813" t="s">
        <v>2271</v>
      </c>
      <c r="B813" s="1">
        <v>45458</v>
      </c>
      <c r="C813">
        <f>YEAR(OrdersTable[[#This Row],[Order Date]])</f>
        <v>2024</v>
      </c>
      <c r="D813" s="2">
        <f>DATE(YEAR(OrdersTable[[#This Row],[Order Date]]),MONTH(OrdersTable[[#This Row],[Order Date]]),1)</f>
        <v>45444</v>
      </c>
      <c r="E813">
        <f>MONTH(OrdersTable[[#This Row],[Order Date]])</f>
        <v>6</v>
      </c>
      <c r="F813" t="s">
        <v>694</v>
      </c>
      <c r="G813" t="str">
        <f>IF(OrdersTable[[#This Row],[Order Date]]=_xlfn.MINIFS(Order_Date, Customer_ID, OrdersTable[[#This Row],[Customer ID]]), "New", "Repeat")</f>
        <v>New</v>
      </c>
      <c r="H813" t="s">
        <v>71</v>
      </c>
      <c r="I813" t="str">
        <f>INDEX(State!B:B,MATCH(OrdersTable[[#This Row],[State]],State!A:A,0))</f>
        <v>MH</v>
      </c>
      <c r="J813" t="str">
        <f>INDEX(State!C:C,MATCH(OrdersTable[[#This Row],[State Code]],State!B:B,0))</f>
        <v>West</v>
      </c>
      <c r="K813" t="s">
        <v>81</v>
      </c>
      <c r="L813" t="s">
        <v>23</v>
      </c>
      <c r="M813" t="s">
        <v>109</v>
      </c>
      <c r="N813" t="str">
        <f>INDEX(Products!B:B,MATCH(OrdersTable[[#This Row],[Product ID]],Products!A:A,0))</f>
        <v>Onion Hair Oil</v>
      </c>
      <c r="O813" t="str">
        <f>INDEX(Products!C:C,MATCH(OrdersTable[[#This Row],[Product ID]],Products!A:A,0))</f>
        <v>Haircare</v>
      </c>
      <c r="P813">
        <v>1</v>
      </c>
      <c r="Q813" s="5">
        <v>349</v>
      </c>
      <c r="R813" s="74">
        <v>0.4</v>
      </c>
      <c r="S813" s="75">
        <f>OrdersTable[[#This Row],[Quantity]]*OrdersTable[[#This Row],[Unit Price]]</f>
        <v>349</v>
      </c>
      <c r="T813" s="5">
        <f>OrdersTable[[#This Row],[Gross Sale]]*OrdersTable[[#This Row],[Discount_Clean2]]</f>
        <v>139.6</v>
      </c>
      <c r="U813" s="5">
        <f>OrdersTable[[#This Row],[Gross Sale]]-OrdersTable[[#This Row],[Discount Amount]]</f>
        <v>209.4</v>
      </c>
      <c r="V813" s="77">
        <f>INDEX(Products!E:E,MATCH(OrdersTable[[#This Row],[Product ID]],Products!A:A,0))</f>
        <v>105</v>
      </c>
      <c r="W813" s="77">
        <f>OrdersTable[[#This Row],[Quantity]]*OrdersTable[[#This Row],[Unit Cost]]</f>
        <v>105</v>
      </c>
      <c r="X813" s="77">
        <f>'Dropdown Lists'!$I$2*(1+OrdersTable[[#This Row],[Returned]])</f>
        <v>120</v>
      </c>
      <c r="Y813" s="76">
        <f>OrdersTable[[#This Row],[Net Revenue]]-OrdersTable[[#This Row],[COGS]]-OrdersTable[[#This Row],[Shipping Cost]]</f>
        <v>-15.599999999999994</v>
      </c>
      <c r="Z813" s="78">
        <f>IFERROR(OrdersTable[[#This Row],[Profit]]/OrdersTable[[#This Row],[Net Revenue]],0)</f>
        <v>-7.4498567335243529E-2</v>
      </c>
      <c r="AA813" t="s">
        <v>18</v>
      </c>
      <c r="AB813" s="79">
        <v>45459</v>
      </c>
      <c r="AC813">
        <f>OrdersTable[[#This Row],[Delivery Date]]-OrdersTable[[#This Row],[Order Date]]</f>
        <v>1</v>
      </c>
      <c r="AD813" t="str">
        <f>IF(OrdersTable[[#This Row],[Delivery Days]]&lt;=2, "Express (≤2d)", IF(OrdersTable[[#This Row],[Delivery Days]]&lt;=4, "Standard (3-4d)", "Delayed (5d+)"))</f>
        <v>Express (≤2d)</v>
      </c>
      <c r="AE813">
        <v>5</v>
      </c>
      <c r="AF813">
        <v>1</v>
      </c>
    </row>
    <row r="814" spans="1:32" ht="15" x14ac:dyDescent="0.35">
      <c r="A814" t="s">
        <v>2272</v>
      </c>
      <c r="B814" s="1">
        <v>45458</v>
      </c>
      <c r="C814">
        <f>YEAR(OrdersTable[[#This Row],[Order Date]])</f>
        <v>2024</v>
      </c>
      <c r="D814" s="2">
        <f>DATE(YEAR(OrdersTable[[#This Row],[Order Date]]),MONTH(OrdersTable[[#This Row],[Order Date]]),1)</f>
        <v>45444</v>
      </c>
      <c r="E814">
        <f>MONTH(OrdersTable[[#This Row],[Order Date]])</f>
        <v>6</v>
      </c>
      <c r="F814" t="s">
        <v>2273</v>
      </c>
      <c r="G814" t="str">
        <f>IF(OrdersTable[[#This Row],[Order Date]]=_xlfn.MINIFS(Order_Date, Customer_ID, OrdersTable[[#This Row],[Customer ID]]), "New", "Repeat")</f>
        <v>New</v>
      </c>
      <c r="H814" t="s">
        <v>167</v>
      </c>
      <c r="I814" t="str">
        <f>INDEX(State!B:B,MATCH(OrdersTable[[#This Row],[State]],State!A:A,0))</f>
        <v>KA</v>
      </c>
      <c r="J814" t="str">
        <f>INDEX(State!C:C,MATCH(OrdersTable[[#This Row],[State Code]],State!B:B,0))</f>
        <v>South</v>
      </c>
      <c r="K814" t="s">
        <v>168</v>
      </c>
      <c r="L814" t="s">
        <v>65</v>
      </c>
      <c r="M814" t="s">
        <v>92</v>
      </c>
      <c r="N814" t="str">
        <f>INDEX(Products!B:B,MATCH(OrdersTable[[#This Row],[Product ID]],Products!A:A,0))</f>
        <v>Kolhapuri Sandals</v>
      </c>
      <c r="O814" t="str">
        <f>INDEX(Products!C:C,MATCH(OrdersTable[[#This Row],[Product ID]],Products!A:A,0))</f>
        <v>Footwear</v>
      </c>
      <c r="P814">
        <v>1</v>
      </c>
      <c r="Q814" s="5">
        <v>999</v>
      </c>
      <c r="R814" s="74">
        <v>0.05</v>
      </c>
      <c r="S814" s="75">
        <f>OrdersTable[[#This Row],[Quantity]]*OrdersTable[[#This Row],[Unit Price]]</f>
        <v>999</v>
      </c>
      <c r="T814" s="5">
        <f>OrdersTable[[#This Row],[Gross Sale]]*OrdersTable[[#This Row],[Discount_Clean2]]</f>
        <v>49.95</v>
      </c>
      <c r="U814" s="5">
        <f>OrdersTable[[#This Row],[Gross Sale]]-OrdersTable[[#This Row],[Discount Amount]]</f>
        <v>949.05</v>
      </c>
      <c r="V814" s="77">
        <f>INDEX(Products!E:E,MATCH(OrdersTable[[#This Row],[Product ID]],Products!A:A,0))</f>
        <v>400</v>
      </c>
      <c r="W814" s="77">
        <f>OrdersTable[[#This Row],[Quantity]]*OrdersTable[[#This Row],[Unit Cost]]</f>
        <v>400</v>
      </c>
      <c r="X814" s="77">
        <f>'Dropdown Lists'!$I$2*(1+OrdersTable[[#This Row],[Returned]])</f>
        <v>60</v>
      </c>
      <c r="Y814" s="76">
        <f>OrdersTable[[#This Row],[Net Revenue]]-OrdersTable[[#This Row],[COGS]]-OrdersTable[[#This Row],[Shipping Cost]]</f>
        <v>489.04999999999995</v>
      </c>
      <c r="Z814" s="78">
        <f>IFERROR(OrdersTable[[#This Row],[Profit]]/OrdersTable[[#This Row],[Net Revenue]],0)</f>
        <v>0.5153047784626732</v>
      </c>
      <c r="AA814" t="s">
        <v>18</v>
      </c>
      <c r="AB814" s="79">
        <v>45459</v>
      </c>
      <c r="AC814">
        <f>OrdersTable[[#This Row],[Delivery Date]]-OrdersTable[[#This Row],[Order Date]]</f>
        <v>1</v>
      </c>
      <c r="AD814" t="str">
        <f>IF(OrdersTable[[#This Row],[Delivery Days]]&lt;=2, "Express (≤2d)", IF(OrdersTable[[#This Row],[Delivery Days]]&lt;=4, "Standard (3-4d)", "Delayed (5d+)"))</f>
        <v>Express (≤2d)</v>
      </c>
      <c r="AE814">
        <v>5</v>
      </c>
      <c r="AF814">
        <v>0</v>
      </c>
    </row>
    <row r="815" spans="1:32" ht="15" x14ac:dyDescent="0.35">
      <c r="A815" t="s">
        <v>6284</v>
      </c>
      <c r="B815" s="1">
        <v>45459</v>
      </c>
      <c r="C815">
        <f>YEAR(OrdersTable[[#This Row],[Order Date]])</f>
        <v>2024</v>
      </c>
      <c r="D815" s="2">
        <f>DATE(YEAR(OrdersTable[[#This Row],[Order Date]]),MONTH(OrdersTable[[#This Row],[Order Date]]),1)</f>
        <v>45444</v>
      </c>
      <c r="E815">
        <f>MONTH(OrdersTable[[#This Row],[Order Date]])</f>
        <v>6</v>
      </c>
      <c r="F815" t="s">
        <v>1750</v>
      </c>
      <c r="G815" t="str">
        <f>IF(OrdersTable[[#This Row],[Order Date]]=_xlfn.MINIFS(Order_Date, Customer_ID, OrdersTable[[#This Row],[Customer ID]]), "New", "Repeat")</f>
        <v>New</v>
      </c>
      <c r="H815" t="s">
        <v>76</v>
      </c>
      <c r="I815" t="str">
        <f>INDEX(State!B:B,MATCH(OrdersTable[[#This Row],[State]],State!A:A,0))</f>
        <v>UP</v>
      </c>
      <c r="J815" t="str">
        <f>INDEX(State!C:C,MATCH(OrdersTable[[#This Row],[State Code]],State!B:B,0))</f>
        <v>North</v>
      </c>
      <c r="K815" t="s">
        <v>77</v>
      </c>
      <c r="L815" t="s">
        <v>39</v>
      </c>
      <c r="M815" t="s">
        <v>152</v>
      </c>
      <c r="N815" t="str">
        <f>INDEX(Products!B:B,MATCH(OrdersTable[[#This Row],[Product ID]],Products!A:A,0))</f>
        <v>Green Tea (100 bags)</v>
      </c>
      <c r="O815" t="str">
        <f>INDEX(Products!C:C,MATCH(OrdersTable[[#This Row],[Product ID]],Products!A:A,0))</f>
        <v>Wellness</v>
      </c>
      <c r="P815">
        <v>2</v>
      </c>
      <c r="Q815" s="5">
        <v>399</v>
      </c>
      <c r="R815" s="74">
        <v>0.35</v>
      </c>
      <c r="S815" s="75">
        <f>OrdersTable[[#This Row],[Quantity]]*OrdersTable[[#This Row],[Unit Price]]</f>
        <v>798</v>
      </c>
      <c r="T815" s="5">
        <f>OrdersTable[[#This Row],[Gross Sale]]*OrdersTable[[#This Row],[Discount_Clean2]]</f>
        <v>279.29999999999995</v>
      </c>
      <c r="U815" s="5">
        <f>OrdersTable[[#This Row],[Gross Sale]]-OrdersTable[[#This Row],[Discount Amount]]</f>
        <v>518.70000000000005</v>
      </c>
      <c r="V815" s="77">
        <f>INDEX(Products!E:E,MATCH(OrdersTable[[#This Row],[Product ID]],Products!A:A,0))</f>
        <v>128</v>
      </c>
      <c r="W815" s="77">
        <f>OrdersTable[[#This Row],[Quantity]]*OrdersTable[[#This Row],[Unit Cost]]</f>
        <v>256</v>
      </c>
      <c r="X815" s="77">
        <f>'Dropdown Lists'!$I$2*(1+OrdersTable[[#This Row],[Returned]])</f>
        <v>60</v>
      </c>
      <c r="Y815" s="76">
        <f>OrdersTable[[#This Row],[Net Revenue]]-OrdersTable[[#This Row],[COGS]]-OrdersTable[[#This Row],[Shipping Cost]]</f>
        <v>202.70000000000005</v>
      </c>
      <c r="Z815" s="78">
        <f>IFERROR(OrdersTable[[#This Row],[Profit]]/OrdersTable[[#This Row],[Net Revenue]],0)</f>
        <v>0.39078465394254874</v>
      </c>
      <c r="AA815" t="s">
        <v>18</v>
      </c>
      <c r="AB815" s="79">
        <v>45463</v>
      </c>
      <c r="AC815">
        <f>OrdersTable[[#This Row],[Delivery Date]]-OrdersTable[[#This Row],[Order Date]]</f>
        <v>4</v>
      </c>
      <c r="AD815" t="str">
        <f>IF(OrdersTable[[#This Row],[Delivery Days]]&lt;=2, "Express (≤2d)", IF(OrdersTable[[#This Row],[Delivery Days]]&lt;=4, "Standard (3-4d)", "Delayed (5d+)"))</f>
        <v>Standard (3-4d)</v>
      </c>
      <c r="AF815">
        <v>0</v>
      </c>
    </row>
    <row r="816" spans="1:32" ht="15" x14ac:dyDescent="0.35">
      <c r="A816" t="s">
        <v>4467</v>
      </c>
      <c r="B816" s="1">
        <v>45459</v>
      </c>
      <c r="C816">
        <f>YEAR(OrdersTable[[#This Row],[Order Date]])</f>
        <v>2024</v>
      </c>
      <c r="D816" s="2">
        <f>DATE(YEAR(OrdersTable[[#This Row],[Order Date]]),MONTH(OrdersTable[[#This Row],[Order Date]]),1)</f>
        <v>45444</v>
      </c>
      <c r="E816">
        <f>MONTH(OrdersTable[[#This Row],[Order Date]])</f>
        <v>6</v>
      </c>
      <c r="F816" t="s">
        <v>4468</v>
      </c>
      <c r="G816" t="str">
        <f>IF(OrdersTable[[#This Row],[Order Date]]=_xlfn.MINIFS(Order_Date, Customer_ID, OrdersTable[[#This Row],[Customer ID]]), "New", "Repeat")</f>
        <v>New</v>
      </c>
      <c r="H816" t="s">
        <v>76</v>
      </c>
      <c r="I816" t="str">
        <f>INDEX(State!B:B,MATCH(OrdersTable[[#This Row],[State]],State!A:A,0))</f>
        <v>UP</v>
      </c>
      <c r="J816" t="str">
        <f>INDEX(State!C:C,MATCH(OrdersTable[[#This Row],[State Code]],State!B:B,0))</f>
        <v>North</v>
      </c>
      <c r="K816" t="s">
        <v>77</v>
      </c>
      <c r="L816" t="s">
        <v>23</v>
      </c>
      <c r="M816" t="s">
        <v>61</v>
      </c>
      <c r="N816" t="str">
        <f>INDEX(Products!B:B,MATCH(OrdersTable[[#This Row],[Product ID]],Products!A:A,0))</f>
        <v>Multivitamin Gummies</v>
      </c>
      <c r="O816" t="str">
        <f>INDEX(Products!C:C,MATCH(OrdersTable[[#This Row],[Product ID]],Products!A:A,0))</f>
        <v>Wellness</v>
      </c>
      <c r="P816">
        <v>1</v>
      </c>
      <c r="Q816" s="5">
        <v>699</v>
      </c>
      <c r="R816" s="74">
        <v>0.15</v>
      </c>
      <c r="S816" s="75">
        <f>OrdersTable[[#This Row],[Quantity]]*OrdersTable[[#This Row],[Unit Price]]</f>
        <v>699</v>
      </c>
      <c r="T816" s="5">
        <f>OrdersTable[[#This Row],[Gross Sale]]*OrdersTable[[#This Row],[Discount_Clean2]]</f>
        <v>104.85</v>
      </c>
      <c r="U816" s="5">
        <f>OrdersTable[[#This Row],[Gross Sale]]-OrdersTable[[#This Row],[Discount Amount]]</f>
        <v>594.15</v>
      </c>
      <c r="V816" s="77">
        <f>INDEX(Products!E:E,MATCH(OrdersTable[[#This Row],[Product ID]],Products!A:A,0))</f>
        <v>238</v>
      </c>
      <c r="W816" s="77">
        <f>OrdersTable[[#This Row],[Quantity]]*OrdersTable[[#This Row],[Unit Cost]]</f>
        <v>238</v>
      </c>
      <c r="X816" s="77">
        <f>'Dropdown Lists'!$I$2*(1+OrdersTable[[#This Row],[Returned]])</f>
        <v>60</v>
      </c>
      <c r="Y816" s="76">
        <f>OrdersTable[[#This Row],[Net Revenue]]-OrdersTable[[#This Row],[COGS]]-OrdersTable[[#This Row],[Shipping Cost]]</f>
        <v>296.14999999999998</v>
      </c>
      <c r="Z816" s="78">
        <f>IFERROR(OrdersTable[[#This Row],[Profit]]/OrdersTable[[#This Row],[Net Revenue]],0)</f>
        <v>0.49844315408566858</v>
      </c>
      <c r="AA816" t="s">
        <v>4450</v>
      </c>
      <c r="AB816" s="79">
        <v>45461</v>
      </c>
      <c r="AC816">
        <f>OrdersTable[[#This Row],[Delivery Date]]-OrdersTable[[#This Row],[Order Date]]</f>
        <v>2</v>
      </c>
      <c r="AD816" t="str">
        <f>IF(OrdersTable[[#This Row],[Delivery Days]]&lt;=2, "Express (≤2d)", IF(OrdersTable[[#This Row],[Delivery Days]]&lt;=4, "Standard (3-4d)", "Delayed (5d+)"))</f>
        <v>Express (≤2d)</v>
      </c>
      <c r="AE816">
        <v>4</v>
      </c>
      <c r="AF816">
        <v>0</v>
      </c>
    </row>
    <row r="817" spans="1:32" ht="15" x14ac:dyDescent="0.35">
      <c r="A817" t="s">
        <v>2714</v>
      </c>
      <c r="B817" s="1">
        <v>45459</v>
      </c>
      <c r="C817">
        <f>YEAR(OrdersTable[[#This Row],[Order Date]])</f>
        <v>2024</v>
      </c>
      <c r="D817" s="2">
        <f>DATE(YEAR(OrdersTable[[#This Row],[Order Date]]),MONTH(OrdersTable[[#This Row],[Order Date]]),1)</f>
        <v>45444</v>
      </c>
      <c r="E817">
        <f>MONTH(OrdersTable[[#This Row],[Order Date]])</f>
        <v>6</v>
      </c>
      <c r="F817" t="s">
        <v>2715</v>
      </c>
      <c r="G817" t="str">
        <f>IF(OrdersTable[[#This Row],[Order Date]]=_xlfn.MINIFS(Order_Date, Customer_ID, OrdersTable[[#This Row],[Customer ID]]), "New", "Repeat")</f>
        <v>Repeat</v>
      </c>
      <c r="H817" t="s">
        <v>132</v>
      </c>
      <c r="I817" t="str">
        <f>INDEX(State!B:B,MATCH(OrdersTable[[#This Row],[State]],State!A:A,0))</f>
        <v>AS</v>
      </c>
      <c r="J817" t="str">
        <f>INDEX(State!C:C,MATCH(OrdersTable[[#This Row],[State Code]],State!B:B,0))</f>
        <v>East</v>
      </c>
      <c r="K817" t="s">
        <v>133</v>
      </c>
      <c r="L817" t="s">
        <v>65</v>
      </c>
      <c r="M817" t="s">
        <v>228</v>
      </c>
      <c r="N817" t="str">
        <f>INDEX(Products!B:B,MATCH(OrdersTable[[#This Row],[Product ID]],Products!A:A,0))</f>
        <v>Fast Charger 33W</v>
      </c>
      <c r="O817" t="str">
        <f>INDEX(Products!C:C,MATCH(OrdersTable[[#This Row],[Product ID]],Products!A:A,0))</f>
        <v>Electronics</v>
      </c>
      <c r="P817">
        <v>1</v>
      </c>
      <c r="Q817" s="5">
        <v>899</v>
      </c>
      <c r="R817" s="74">
        <v>0.1</v>
      </c>
      <c r="S817" s="75">
        <f>OrdersTable[[#This Row],[Quantity]]*OrdersTable[[#This Row],[Unit Price]]</f>
        <v>899</v>
      </c>
      <c r="T817" s="5">
        <f>OrdersTable[[#This Row],[Gross Sale]]*OrdersTable[[#This Row],[Discount_Clean2]]</f>
        <v>89.9</v>
      </c>
      <c r="U817" s="5">
        <f>OrdersTable[[#This Row],[Gross Sale]]-OrdersTable[[#This Row],[Discount Amount]]</f>
        <v>809.1</v>
      </c>
      <c r="V817" s="77">
        <f>INDEX(Products!E:E,MATCH(OrdersTable[[#This Row],[Product ID]],Products!A:A,0))</f>
        <v>494</v>
      </c>
      <c r="W817" s="77">
        <f>OrdersTable[[#This Row],[Quantity]]*OrdersTable[[#This Row],[Unit Cost]]</f>
        <v>494</v>
      </c>
      <c r="X817" s="77">
        <f>'Dropdown Lists'!$I$2*(1+OrdersTable[[#This Row],[Returned]])</f>
        <v>60</v>
      </c>
      <c r="Y817" s="76">
        <f>OrdersTable[[#This Row],[Net Revenue]]-OrdersTable[[#This Row],[COGS]]-OrdersTable[[#This Row],[Shipping Cost]]</f>
        <v>255.10000000000002</v>
      </c>
      <c r="Z817" s="78">
        <f>IFERROR(OrdersTable[[#This Row],[Profit]]/OrdersTable[[#This Row],[Net Revenue]],0)</f>
        <v>0.31528859226300832</v>
      </c>
      <c r="AA817" t="s">
        <v>2522</v>
      </c>
      <c r="AB817" s="79">
        <v>45466</v>
      </c>
      <c r="AC817">
        <f>OrdersTable[[#This Row],[Delivery Date]]-OrdersTable[[#This Row],[Order Date]]</f>
        <v>7</v>
      </c>
      <c r="AD817" t="str">
        <f>IF(OrdersTable[[#This Row],[Delivery Days]]&lt;=2, "Express (≤2d)", IF(OrdersTable[[#This Row],[Delivery Days]]&lt;=4, "Standard (3-4d)", "Delayed (5d+)"))</f>
        <v>Delayed (5d+)</v>
      </c>
      <c r="AE817">
        <v>3</v>
      </c>
      <c r="AF817">
        <v>0</v>
      </c>
    </row>
    <row r="818" spans="1:32" ht="15" x14ac:dyDescent="0.35">
      <c r="A818" t="s">
        <v>5869</v>
      </c>
      <c r="B818" s="1">
        <v>45459</v>
      </c>
      <c r="C818">
        <f>YEAR(OrdersTable[[#This Row],[Order Date]])</f>
        <v>2024</v>
      </c>
      <c r="D818" s="2">
        <f>DATE(YEAR(OrdersTable[[#This Row],[Order Date]]),MONTH(OrdersTable[[#This Row],[Order Date]]),1)</f>
        <v>45444</v>
      </c>
      <c r="E818">
        <f>MONTH(OrdersTable[[#This Row],[Order Date]])</f>
        <v>6</v>
      </c>
      <c r="F818" t="s">
        <v>4985</v>
      </c>
      <c r="G818" t="str">
        <f>IF(OrdersTable[[#This Row],[Order Date]]=_xlfn.MINIFS(Order_Date, Customer_ID, OrdersTable[[#This Row],[Customer ID]]), "New", "Repeat")</f>
        <v>New</v>
      </c>
      <c r="H818" t="s">
        <v>37</v>
      </c>
      <c r="I818" t="str">
        <f>INDEX(State!B:B,MATCH(OrdersTable[[#This Row],[State]],State!A:A,0))</f>
        <v>GJ</v>
      </c>
      <c r="J818" t="str">
        <f>INDEX(State!C:C,MATCH(OrdersTable[[#This Row],[State Code]],State!B:B,0))</f>
        <v>West</v>
      </c>
      <c r="K818" t="s">
        <v>38</v>
      </c>
      <c r="L818" t="s">
        <v>16</v>
      </c>
      <c r="M818" t="s">
        <v>92</v>
      </c>
      <c r="N818" t="str">
        <f>INDEX(Products!B:B,MATCH(OrdersTable[[#This Row],[Product ID]],Products!A:A,0))</f>
        <v>Kolhapuri Sandals</v>
      </c>
      <c r="O818" t="str">
        <f>INDEX(Products!C:C,MATCH(OrdersTable[[#This Row],[Product ID]],Products!A:A,0))</f>
        <v>Footwear</v>
      </c>
      <c r="P818">
        <v>2</v>
      </c>
      <c r="Q818" s="5">
        <v>999</v>
      </c>
      <c r="R818" s="74">
        <v>0.15</v>
      </c>
      <c r="S818" s="75">
        <f>OrdersTable[[#This Row],[Quantity]]*OrdersTable[[#This Row],[Unit Price]]</f>
        <v>1998</v>
      </c>
      <c r="T818" s="5">
        <f>OrdersTable[[#This Row],[Gross Sale]]*OrdersTable[[#This Row],[Discount_Clean2]]</f>
        <v>299.7</v>
      </c>
      <c r="U818" s="5">
        <f>OrdersTable[[#This Row],[Gross Sale]]-OrdersTable[[#This Row],[Discount Amount]]</f>
        <v>1698.3</v>
      </c>
      <c r="V818" s="77">
        <f>INDEX(Products!E:E,MATCH(OrdersTable[[#This Row],[Product ID]],Products!A:A,0))</f>
        <v>400</v>
      </c>
      <c r="W818" s="77">
        <f>OrdersTable[[#This Row],[Quantity]]*OrdersTable[[#This Row],[Unit Cost]]</f>
        <v>800</v>
      </c>
      <c r="X818" s="77">
        <f>'Dropdown Lists'!$I$2*(1+OrdersTable[[#This Row],[Returned]])</f>
        <v>60</v>
      </c>
      <c r="Y818" s="76">
        <f>OrdersTable[[#This Row],[Net Revenue]]-OrdersTable[[#This Row],[COGS]]-OrdersTable[[#This Row],[Shipping Cost]]</f>
        <v>838.3</v>
      </c>
      <c r="Z818" s="78">
        <f>IFERROR(OrdersTable[[#This Row],[Profit]]/OrdersTable[[#This Row],[Net Revenue]],0)</f>
        <v>0.49361125831714064</v>
      </c>
      <c r="AA818" t="s">
        <v>18</v>
      </c>
      <c r="AB818" s="79">
        <v>45463</v>
      </c>
      <c r="AC818">
        <f>OrdersTable[[#This Row],[Delivery Date]]-OrdersTable[[#This Row],[Order Date]]</f>
        <v>4</v>
      </c>
      <c r="AD818" t="str">
        <f>IF(OrdersTable[[#This Row],[Delivery Days]]&lt;=2, "Express (≤2d)", IF(OrdersTable[[#This Row],[Delivery Days]]&lt;=4, "Standard (3-4d)", "Delayed (5d+)"))</f>
        <v>Standard (3-4d)</v>
      </c>
      <c r="AF818">
        <v>0</v>
      </c>
    </row>
    <row r="819" spans="1:32" ht="15" x14ac:dyDescent="0.35">
      <c r="A819" t="s">
        <v>4774</v>
      </c>
      <c r="B819" s="1">
        <v>45459</v>
      </c>
      <c r="C819">
        <f>YEAR(OrdersTable[[#This Row],[Order Date]])</f>
        <v>2024</v>
      </c>
      <c r="D819" s="2">
        <f>DATE(YEAR(OrdersTable[[#This Row],[Order Date]]),MONTH(OrdersTable[[#This Row],[Order Date]]),1)</f>
        <v>45444</v>
      </c>
      <c r="E819">
        <f>MONTH(OrdersTable[[#This Row],[Order Date]])</f>
        <v>6</v>
      </c>
      <c r="F819" t="s">
        <v>4775</v>
      </c>
      <c r="G819" t="str">
        <f>IF(OrdersTable[[#This Row],[Order Date]]=_xlfn.MINIFS(Order_Date, Customer_ID, OrdersTable[[#This Row],[Customer ID]]), "New", "Repeat")</f>
        <v>New</v>
      </c>
      <c r="H819" t="s">
        <v>27</v>
      </c>
      <c r="I819" t="str">
        <f>INDEX(State!B:B,MATCH(OrdersTable[[#This Row],[State]],State!A:A,0))</f>
        <v>WB</v>
      </c>
      <c r="J819" t="str">
        <f>INDEX(State!C:C,MATCH(OrdersTable[[#This Row],[State Code]],State!B:B,0))</f>
        <v>East</v>
      </c>
      <c r="K819" t="s">
        <v>28</v>
      </c>
      <c r="L819" t="s">
        <v>65</v>
      </c>
      <c r="M819" t="s">
        <v>61</v>
      </c>
      <c r="N819" t="str">
        <f>INDEX(Products!B:B,MATCH(OrdersTable[[#This Row],[Product ID]],Products!A:A,0))</f>
        <v>Multivitamin Gummies</v>
      </c>
      <c r="O819" t="str">
        <f>INDEX(Products!C:C,MATCH(OrdersTable[[#This Row],[Product ID]],Products!A:A,0))</f>
        <v>Wellness</v>
      </c>
      <c r="P819">
        <v>2</v>
      </c>
      <c r="Q819" s="5">
        <v>699</v>
      </c>
      <c r="R819" s="74">
        <v>0.25</v>
      </c>
      <c r="S819" s="75">
        <f>OrdersTable[[#This Row],[Quantity]]*OrdersTable[[#This Row],[Unit Price]]</f>
        <v>1398</v>
      </c>
      <c r="T819" s="5">
        <f>OrdersTable[[#This Row],[Gross Sale]]*OrdersTable[[#This Row],[Discount_Clean2]]</f>
        <v>349.5</v>
      </c>
      <c r="U819" s="5">
        <f>OrdersTable[[#This Row],[Gross Sale]]-OrdersTable[[#This Row],[Discount Amount]]</f>
        <v>1048.5</v>
      </c>
      <c r="V819" s="77">
        <f>INDEX(Products!E:E,MATCH(OrdersTable[[#This Row],[Product ID]],Products!A:A,0))</f>
        <v>238</v>
      </c>
      <c r="W819" s="77">
        <f>OrdersTable[[#This Row],[Quantity]]*OrdersTable[[#This Row],[Unit Cost]]</f>
        <v>476</v>
      </c>
      <c r="X819" s="77">
        <f>'Dropdown Lists'!$I$2*(1+OrdersTable[[#This Row],[Returned]])</f>
        <v>60</v>
      </c>
      <c r="Y819" s="76">
        <f>OrdersTable[[#This Row],[Net Revenue]]-OrdersTable[[#This Row],[COGS]]-OrdersTable[[#This Row],[Shipping Cost]]</f>
        <v>512.5</v>
      </c>
      <c r="Z819" s="78">
        <f>IFERROR(OrdersTable[[#This Row],[Profit]]/OrdersTable[[#This Row],[Net Revenue]],0)</f>
        <v>0.48879351454458753</v>
      </c>
      <c r="AA819" t="s">
        <v>4450</v>
      </c>
      <c r="AB819" s="79">
        <v>45462</v>
      </c>
      <c r="AC819">
        <f>OrdersTable[[#This Row],[Delivery Date]]-OrdersTable[[#This Row],[Order Date]]</f>
        <v>3</v>
      </c>
      <c r="AD819" t="str">
        <f>IF(OrdersTable[[#This Row],[Delivery Days]]&lt;=2, "Express (≤2d)", IF(OrdersTable[[#This Row],[Delivery Days]]&lt;=4, "Standard (3-4d)", "Delayed (5d+)"))</f>
        <v>Standard (3-4d)</v>
      </c>
      <c r="AE819">
        <v>3</v>
      </c>
      <c r="AF819">
        <v>0</v>
      </c>
    </row>
    <row r="820" spans="1:32" ht="15" x14ac:dyDescent="0.35">
      <c r="A820" t="s">
        <v>6496</v>
      </c>
      <c r="B820" s="1">
        <v>45459</v>
      </c>
      <c r="C820">
        <f>YEAR(OrdersTable[[#This Row],[Order Date]])</f>
        <v>2024</v>
      </c>
      <c r="D820" s="2">
        <f>DATE(YEAR(OrdersTable[[#This Row],[Order Date]]),MONTH(OrdersTable[[#This Row],[Order Date]]),1)</f>
        <v>45444</v>
      </c>
      <c r="E820">
        <f>MONTH(OrdersTable[[#This Row],[Order Date]])</f>
        <v>6</v>
      </c>
      <c r="F820" t="s">
        <v>6497</v>
      </c>
      <c r="G820" t="str">
        <f>IF(OrdersTable[[#This Row],[Order Date]]=_xlfn.MINIFS(Order_Date, Customer_ID, OrdersTable[[#This Row],[Customer ID]]), "New", "Repeat")</f>
        <v>New</v>
      </c>
      <c r="H820" t="s">
        <v>95</v>
      </c>
      <c r="I820" t="str">
        <f>INDEX(State!B:B,MATCH(OrdersTable[[#This Row],[State]],State!A:A,0))</f>
        <v>TG</v>
      </c>
      <c r="J820" t="str">
        <f>INDEX(State!C:C,MATCH(OrdersTable[[#This Row],[State Code]],State!B:B,0))</f>
        <v>South</v>
      </c>
      <c r="K820" t="s">
        <v>96</v>
      </c>
      <c r="L820" t="s">
        <v>39</v>
      </c>
      <c r="M820" t="s">
        <v>92</v>
      </c>
      <c r="N820" t="str">
        <f>INDEX(Products!B:B,MATCH(OrdersTable[[#This Row],[Product ID]],Products!A:A,0))</f>
        <v>Kolhapuri Sandals</v>
      </c>
      <c r="O820" t="str">
        <f>INDEX(Products!C:C,MATCH(OrdersTable[[#This Row],[Product ID]],Products!A:A,0))</f>
        <v>Footwear</v>
      </c>
      <c r="P820">
        <v>3</v>
      </c>
      <c r="Q820" s="5">
        <v>999</v>
      </c>
      <c r="R820" s="74">
        <v>0</v>
      </c>
      <c r="S820" s="75">
        <f>OrdersTable[[#This Row],[Quantity]]*OrdersTable[[#This Row],[Unit Price]]</f>
        <v>2997</v>
      </c>
      <c r="T820" s="5">
        <f>OrdersTable[[#This Row],[Gross Sale]]*OrdersTable[[#This Row],[Discount_Clean2]]</f>
        <v>0</v>
      </c>
      <c r="U820" s="5">
        <f>OrdersTable[[#This Row],[Gross Sale]]-OrdersTable[[#This Row],[Discount Amount]]</f>
        <v>2997</v>
      </c>
      <c r="V820" s="77">
        <f>INDEX(Products!E:E,MATCH(OrdersTable[[#This Row],[Product ID]],Products!A:A,0))</f>
        <v>400</v>
      </c>
      <c r="W820" s="77">
        <f>OrdersTable[[#This Row],[Quantity]]*OrdersTable[[#This Row],[Unit Cost]]</f>
        <v>1200</v>
      </c>
      <c r="X820" s="77">
        <f>'Dropdown Lists'!$I$2*(1+OrdersTable[[#This Row],[Returned]])</f>
        <v>60</v>
      </c>
      <c r="Y820" s="76">
        <f>OrdersTable[[#This Row],[Net Revenue]]-OrdersTable[[#This Row],[COGS]]-OrdersTable[[#This Row],[Shipping Cost]]</f>
        <v>1737</v>
      </c>
      <c r="Z820" s="78">
        <f>IFERROR(OrdersTable[[#This Row],[Profit]]/OrdersTable[[#This Row],[Net Revenue]],0)</f>
        <v>0.57957957957957962</v>
      </c>
      <c r="AA820" t="s">
        <v>18</v>
      </c>
      <c r="AB820" s="79">
        <v>45463</v>
      </c>
      <c r="AC820">
        <f>OrdersTable[[#This Row],[Delivery Date]]-OrdersTable[[#This Row],[Order Date]]</f>
        <v>4</v>
      </c>
      <c r="AD820" t="str">
        <f>IF(OrdersTable[[#This Row],[Delivery Days]]&lt;=2, "Express (≤2d)", IF(OrdersTable[[#This Row],[Delivery Days]]&lt;=4, "Standard (3-4d)", "Delayed (5d+)"))</f>
        <v>Standard (3-4d)</v>
      </c>
      <c r="AE820">
        <v>5</v>
      </c>
      <c r="AF820">
        <v>0</v>
      </c>
    </row>
    <row r="821" spans="1:32" ht="15" x14ac:dyDescent="0.35">
      <c r="A821" t="s">
        <v>130</v>
      </c>
      <c r="B821" s="1">
        <v>45460</v>
      </c>
      <c r="C821">
        <f>YEAR(OrdersTable[[#This Row],[Order Date]])</f>
        <v>2024</v>
      </c>
      <c r="D821" s="2">
        <f>DATE(YEAR(OrdersTable[[#This Row],[Order Date]]),MONTH(OrdersTable[[#This Row],[Order Date]]),1)</f>
        <v>45444</v>
      </c>
      <c r="E821">
        <f>MONTH(OrdersTable[[#This Row],[Order Date]])</f>
        <v>6</v>
      </c>
      <c r="F821" t="s">
        <v>131</v>
      </c>
      <c r="G821" t="str">
        <f>IF(OrdersTable[[#This Row],[Order Date]]=_xlfn.MINIFS(Order_Date, Customer_ID, OrdersTable[[#This Row],[Customer ID]]), "New", "Repeat")</f>
        <v>New</v>
      </c>
      <c r="H821" t="s">
        <v>132</v>
      </c>
      <c r="I821" t="str">
        <f>INDEX(State!B:B,MATCH(OrdersTable[[#This Row],[State]],State!A:A,0))</f>
        <v>AS</v>
      </c>
      <c r="J821" t="str">
        <f>INDEX(State!C:C,MATCH(OrdersTable[[#This Row],[State Code]],State!B:B,0))</f>
        <v>East</v>
      </c>
      <c r="K821" t="s">
        <v>133</v>
      </c>
      <c r="L821" t="s">
        <v>39</v>
      </c>
      <c r="M821" t="s">
        <v>106</v>
      </c>
      <c r="N821" t="str">
        <f>INDEX(Products!B:B,MATCH(OrdersTable[[#This Row],[Product ID]],Products!A:A,0))</f>
        <v>Keratin Hair Mask</v>
      </c>
      <c r="O821" t="str">
        <f>INDEX(Products!C:C,MATCH(OrdersTable[[#This Row],[Product ID]],Products!A:A,0))</f>
        <v>Haircare</v>
      </c>
      <c r="P821">
        <v>1</v>
      </c>
      <c r="Q821" s="5">
        <v>549</v>
      </c>
      <c r="R821" s="74">
        <v>0.05</v>
      </c>
      <c r="S821" s="75">
        <f>OrdersTable[[#This Row],[Quantity]]*OrdersTable[[#This Row],[Unit Price]]</f>
        <v>549</v>
      </c>
      <c r="T821" s="5">
        <f>OrdersTable[[#This Row],[Gross Sale]]*OrdersTable[[#This Row],[Discount_Clean2]]</f>
        <v>27.450000000000003</v>
      </c>
      <c r="U821" s="5">
        <f>OrdersTable[[#This Row],[Gross Sale]]-OrdersTable[[#This Row],[Discount Amount]]</f>
        <v>521.54999999999995</v>
      </c>
      <c r="V821" s="77">
        <f>INDEX(Products!E:E,MATCH(OrdersTable[[#This Row],[Product ID]],Products!A:A,0))</f>
        <v>170</v>
      </c>
      <c r="W821" s="77">
        <f>OrdersTable[[#This Row],[Quantity]]*OrdersTable[[#This Row],[Unit Cost]]</f>
        <v>170</v>
      </c>
      <c r="X821" s="77">
        <f>'Dropdown Lists'!$I$2*(1+OrdersTable[[#This Row],[Returned]])</f>
        <v>60</v>
      </c>
      <c r="Y821" s="76">
        <f>OrdersTable[[#This Row],[Net Revenue]]-OrdersTable[[#This Row],[COGS]]-OrdersTable[[#This Row],[Shipping Cost]]</f>
        <v>291.54999999999995</v>
      </c>
      <c r="Z821" s="78">
        <f>IFERROR(OrdersTable[[#This Row],[Profit]]/OrdersTable[[#This Row],[Net Revenue]],0)</f>
        <v>0.55900680663407143</v>
      </c>
      <c r="AA821" t="s">
        <v>18</v>
      </c>
      <c r="AB821" s="79">
        <v>45467</v>
      </c>
      <c r="AC821">
        <f>OrdersTable[[#This Row],[Delivery Date]]-OrdersTable[[#This Row],[Order Date]]</f>
        <v>7</v>
      </c>
      <c r="AD821" t="str">
        <f>IF(OrdersTable[[#This Row],[Delivery Days]]&lt;=2, "Express (≤2d)", IF(OrdersTable[[#This Row],[Delivery Days]]&lt;=4, "Standard (3-4d)", "Delayed (5d+)"))</f>
        <v>Delayed (5d+)</v>
      </c>
      <c r="AE821">
        <v>4</v>
      </c>
      <c r="AF821">
        <v>0</v>
      </c>
    </row>
    <row r="822" spans="1:32" ht="15" x14ac:dyDescent="0.35">
      <c r="A822" t="s">
        <v>5328</v>
      </c>
      <c r="B822" s="1">
        <v>45460</v>
      </c>
      <c r="C822">
        <f>YEAR(OrdersTable[[#This Row],[Order Date]])</f>
        <v>2024</v>
      </c>
      <c r="D822" s="2">
        <f>DATE(YEAR(OrdersTable[[#This Row],[Order Date]]),MONTH(OrdersTable[[#This Row],[Order Date]]),1)</f>
        <v>45444</v>
      </c>
      <c r="E822">
        <f>MONTH(OrdersTable[[#This Row],[Order Date]])</f>
        <v>6</v>
      </c>
      <c r="F822" t="s">
        <v>5329</v>
      </c>
      <c r="G822" t="str">
        <f>IF(OrdersTable[[#This Row],[Order Date]]=_xlfn.MINIFS(Order_Date, Customer_ID, OrdersTable[[#This Row],[Customer ID]]), "New", "Repeat")</f>
        <v>New</v>
      </c>
      <c r="H822" t="s">
        <v>37</v>
      </c>
      <c r="I822" t="str">
        <f>INDEX(State!B:B,MATCH(OrdersTable[[#This Row],[State]],State!A:A,0))</f>
        <v>GJ</v>
      </c>
      <c r="J822" t="str">
        <f>INDEX(State!C:C,MATCH(OrdersTable[[#This Row],[State Code]],State!B:B,0))</f>
        <v>West</v>
      </c>
      <c r="K822" t="s">
        <v>38</v>
      </c>
      <c r="L822" t="s">
        <v>65</v>
      </c>
      <c r="M822" t="s">
        <v>84</v>
      </c>
      <c r="N822" t="str">
        <f>INDEX(Products!B:B,MATCH(OrdersTable[[#This Row],[Product ID]],Products!A:A,0))</f>
        <v>Cotton Bedsheet</v>
      </c>
      <c r="O822" t="str">
        <f>INDEX(Products!C:C,MATCH(OrdersTable[[#This Row],[Product ID]],Products!A:A,0))</f>
        <v>Home &amp; Kitchen</v>
      </c>
      <c r="P822">
        <v>2</v>
      </c>
      <c r="Q822" s="5">
        <v>1299</v>
      </c>
      <c r="R822" s="74">
        <v>0.1</v>
      </c>
      <c r="S822" s="75">
        <f>OrdersTable[[#This Row],[Quantity]]*OrdersTable[[#This Row],[Unit Price]]</f>
        <v>2598</v>
      </c>
      <c r="T822" s="5">
        <f>OrdersTable[[#This Row],[Gross Sale]]*OrdersTable[[#This Row],[Discount_Clean2]]</f>
        <v>259.8</v>
      </c>
      <c r="U822" s="5">
        <f>OrdersTable[[#This Row],[Gross Sale]]-OrdersTable[[#This Row],[Discount Amount]]</f>
        <v>2338.1999999999998</v>
      </c>
      <c r="V822" s="77">
        <f>INDEX(Products!E:E,MATCH(OrdersTable[[#This Row],[Product ID]],Products!A:A,0))</f>
        <v>585</v>
      </c>
      <c r="W822" s="77">
        <f>OrdersTable[[#This Row],[Quantity]]*OrdersTable[[#This Row],[Unit Cost]]</f>
        <v>1170</v>
      </c>
      <c r="X822" s="77">
        <f>'Dropdown Lists'!$I$2*(1+OrdersTable[[#This Row],[Returned]])</f>
        <v>120</v>
      </c>
      <c r="Y822" s="76">
        <f>OrdersTable[[#This Row],[Net Revenue]]-OrdersTable[[#This Row],[COGS]]-OrdersTable[[#This Row],[Shipping Cost]]</f>
        <v>1048.1999999999998</v>
      </c>
      <c r="Z822" s="78">
        <f>IFERROR(OrdersTable[[#This Row],[Profit]]/OrdersTable[[#This Row],[Net Revenue]],0)</f>
        <v>0.44829355914806257</v>
      </c>
      <c r="AA822" t="s">
        <v>2522</v>
      </c>
      <c r="AB822" s="79">
        <v>45464</v>
      </c>
      <c r="AC822">
        <f>OrdersTable[[#This Row],[Delivery Date]]-OrdersTable[[#This Row],[Order Date]]</f>
        <v>4</v>
      </c>
      <c r="AD822" t="str">
        <f>IF(OrdersTable[[#This Row],[Delivery Days]]&lt;=2, "Express (≤2d)", IF(OrdersTable[[#This Row],[Delivery Days]]&lt;=4, "Standard (3-4d)", "Delayed (5d+)"))</f>
        <v>Standard (3-4d)</v>
      </c>
      <c r="AE822">
        <v>3</v>
      </c>
      <c r="AF822">
        <v>1</v>
      </c>
    </row>
    <row r="823" spans="1:32" ht="15" x14ac:dyDescent="0.35">
      <c r="A823" t="s">
        <v>1223</v>
      </c>
      <c r="B823" s="1">
        <v>45460</v>
      </c>
      <c r="C823">
        <f>YEAR(OrdersTable[[#This Row],[Order Date]])</f>
        <v>2024</v>
      </c>
      <c r="D823" s="2">
        <f>DATE(YEAR(OrdersTable[[#This Row],[Order Date]]),MONTH(OrdersTable[[#This Row],[Order Date]]),1)</f>
        <v>45444</v>
      </c>
      <c r="E823">
        <f>MONTH(OrdersTable[[#This Row],[Order Date]])</f>
        <v>6</v>
      </c>
      <c r="F823" t="s">
        <v>1139</v>
      </c>
      <c r="G823" t="str">
        <f>IF(OrdersTable[[#This Row],[Order Date]]=_xlfn.MINIFS(Order_Date, Customer_ID, OrdersTable[[#This Row],[Customer ID]]), "New", "Repeat")</f>
        <v>Repeat</v>
      </c>
      <c r="H823" t="s">
        <v>482</v>
      </c>
      <c r="I823" t="str">
        <f>INDEX(State!B:B,MATCH(OrdersTable[[#This Row],[State]],State!A:A,0))</f>
        <v>CG</v>
      </c>
      <c r="J823" t="str">
        <f>INDEX(State!C:C,MATCH(OrdersTable[[#This Row],[State Code]],State!B:B,0))</f>
        <v>East</v>
      </c>
      <c r="K823" t="s">
        <v>483</v>
      </c>
      <c r="L823" t="s">
        <v>16</v>
      </c>
      <c r="M823" t="s">
        <v>34</v>
      </c>
      <c r="N823" t="str">
        <f>INDEX(Products!B:B,MATCH(OrdersTable[[#This Row],[Product ID]],Products!A:A,0))</f>
        <v>Flip Flops</v>
      </c>
      <c r="O823" t="str">
        <f>INDEX(Products!C:C,MATCH(OrdersTable[[#This Row],[Product ID]],Products!A:A,0))</f>
        <v>Footwear</v>
      </c>
      <c r="P823">
        <v>1</v>
      </c>
      <c r="Q823" s="5">
        <v>399</v>
      </c>
      <c r="R823" s="74">
        <v>0.05</v>
      </c>
      <c r="S823" s="75">
        <f>OrdersTable[[#This Row],[Quantity]]*OrdersTable[[#This Row],[Unit Price]]</f>
        <v>399</v>
      </c>
      <c r="T823" s="5">
        <f>OrdersTable[[#This Row],[Gross Sale]]*OrdersTable[[#This Row],[Discount_Clean2]]</f>
        <v>19.950000000000003</v>
      </c>
      <c r="U823" s="5">
        <f>OrdersTable[[#This Row],[Gross Sale]]-OrdersTable[[#This Row],[Discount Amount]]</f>
        <v>379.05</v>
      </c>
      <c r="V823" s="77">
        <f>INDEX(Products!E:E,MATCH(OrdersTable[[#This Row],[Product ID]],Products!A:A,0))</f>
        <v>152</v>
      </c>
      <c r="W823" s="77">
        <f>OrdersTable[[#This Row],[Quantity]]*OrdersTable[[#This Row],[Unit Cost]]</f>
        <v>152</v>
      </c>
      <c r="X823" s="77">
        <f>'Dropdown Lists'!$I$2*(1+OrdersTable[[#This Row],[Returned]])</f>
        <v>60</v>
      </c>
      <c r="Y823" s="76">
        <f>OrdersTable[[#This Row],[Net Revenue]]-OrdersTable[[#This Row],[COGS]]-OrdersTable[[#This Row],[Shipping Cost]]</f>
        <v>167.05</v>
      </c>
      <c r="Z823" s="78">
        <f>IFERROR(OrdersTable[[#This Row],[Profit]]/OrdersTable[[#This Row],[Net Revenue]],0)</f>
        <v>0.44070703073473161</v>
      </c>
      <c r="AA823" t="s">
        <v>18</v>
      </c>
      <c r="AB823" s="79">
        <v>45464</v>
      </c>
      <c r="AC823">
        <f>OrdersTable[[#This Row],[Delivery Date]]-OrdersTable[[#This Row],[Order Date]]</f>
        <v>4</v>
      </c>
      <c r="AD823" t="str">
        <f>IF(OrdersTable[[#This Row],[Delivery Days]]&lt;=2, "Express (≤2d)", IF(OrdersTable[[#This Row],[Delivery Days]]&lt;=4, "Standard (3-4d)", "Delayed (5d+)"))</f>
        <v>Standard (3-4d)</v>
      </c>
      <c r="AF823">
        <v>0</v>
      </c>
    </row>
    <row r="824" spans="1:32" ht="15" x14ac:dyDescent="0.35">
      <c r="A824" t="s">
        <v>3179</v>
      </c>
      <c r="B824" s="1">
        <v>45460</v>
      </c>
      <c r="C824">
        <f>YEAR(OrdersTable[[#This Row],[Order Date]])</f>
        <v>2024</v>
      </c>
      <c r="D824" s="2">
        <f>DATE(YEAR(OrdersTable[[#This Row],[Order Date]]),MONTH(OrdersTable[[#This Row],[Order Date]]),1)</f>
        <v>45444</v>
      </c>
      <c r="E824">
        <f>MONTH(OrdersTable[[#This Row],[Order Date]])</f>
        <v>6</v>
      </c>
      <c r="F824" t="s">
        <v>68</v>
      </c>
      <c r="G824" t="str">
        <f>IF(OrdersTable[[#This Row],[Order Date]]=_xlfn.MINIFS(Order_Date, Customer_ID, OrdersTable[[#This Row],[Customer ID]]), "New", "Repeat")</f>
        <v>Repeat</v>
      </c>
      <c r="H824" t="s">
        <v>71</v>
      </c>
      <c r="I824" t="str">
        <f>INDEX(State!B:B,MATCH(OrdersTable[[#This Row],[State]],State!A:A,0))</f>
        <v>MH</v>
      </c>
      <c r="J824" t="str">
        <f>INDEX(State!C:C,MATCH(OrdersTable[[#This Row],[State Code]],State!B:B,0))</f>
        <v>West</v>
      </c>
      <c r="K824" t="s">
        <v>102</v>
      </c>
      <c r="L824" t="s">
        <v>23</v>
      </c>
      <c r="M824" t="s">
        <v>73</v>
      </c>
      <c r="N824" t="str">
        <f>INDEX(Products!B:B,MATCH(OrdersTable[[#This Row],[Product ID]],Products!A:A,0))</f>
        <v>Hydrating Face Wash</v>
      </c>
      <c r="O824" t="str">
        <f>INDEX(Products!C:C,MATCH(OrdersTable[[#This Row],[Product ID]],Products!A:A,0))</f>
        <v>Skincare</v>
      </c>
      <c r="P824">
        <v>1</v>
      </c>
      <c r="Q824" s="5">
        <v>299</v>
      </c>
      <c r="R824" s="74">
        <v>0</v>
      </c>
      <c r="S824" s="75">
        <f>OrdersTable[[#This Row],[Quantity]]*OrdersTable[[#This Row],[Unit Price]]</f>
        <v>299</v>
      </c>
      <c r="T824" s="5">
        <f>OrdersTable[[#This Row],[Gross Sale]]*OrdersTable[[#This Row],[Discount_Clean2]]</f>
        <v>0</v>
      </c>
      <c r="U824" s="5">
        <f>OrdersTable[[#This Row],[Gross Sale]]-OrdersTable[[#This Row],[Discount Amount]]</f>
        <v>299</v>
      </c>
      <c r="V824" s="77">
        <f>INDEX(Products!E:E,MATCH(OrdersTable[[#This Row],[Product ID]],Products!A:A,0))</f>
        <v>90</v>
      </c>
      <c r="W824" s="77">
        <f>OrdersTable[[#This Row],[Quantity]]*OrdersTable[[#This Row],[Unit Cost]]</f>
        <v>90</v>
      </c>
      <c r="X824" s="77">
        <f>'Dropdown Lists'!$I$2*(1+OrdersTable[[#This Row],[Returned]])</f>
        <v>60</v>
      </c>
      <c r="Y824" s="76">
        <f>OrdersTable[[#This Row],[Net Revenue]]-OrdersTable[[#This Row],[COGS]]-OrdersTable[[#This Row],[Shipping Cost]]</f>
        <v>149</v>
      </c>
      <c r="Z824" s="78">
        <f>IFERROR(OrdersTable[[#This Row],[Profit]]/OrdersTable[[#This Row],[Net Revenue]],0)</f>
        <v>0.49832775919732442</v>
      </c>
      <c r="AA824" t="s">
        <v>2522</v>
      </c>
      <c r="AB824" s="79">
        <v>45461</v>
      </c>
      <c r="AC824">
        <f>OrdersTable[[#This Row],[Delivery Date]]-OrdersTable[[#This Row],[Order Date]]</f>
        <v>1</v>
      </c>
      <c r="AD824" t="str">
        <f>IF(OrdersTable[[#This Row],[Delivery Days]]&lt;=2, "Express (≤2d)", IF(OrdersTable[[#This Row],[Delivery Days]]&lt;=4, "Standard (3-4d)", "Delayed (5d+)"))</f>
        <v>Express (≤2d)</v>
      </c>
      <c r="AE824">
        <v>4</v>
      </c>
      <c r="AF824">
        <v>0</v>
      </c>
    </row>
    <row r="825" spans="1:32" ht="15" x14ac:dyDescent="0.35">
      <c r="A825" t="s">
        <v>5870</v>
      </c>
      <c r="B825" s="1">
        <v>45460</v>
      </c>
      <c r="C825">
        <f>YEAR(OrdersTable[[#This Row],[Order Date]])</f>
        <v>2024</v>
      </c>
      <c r="D825" s="2">
        <f>DATE(YEAR(OrdersTable[[#This Row],[Order Date]]),MONTH(OrdersTable[[#This Row],[Order Date]]),1)</f>
        <v>45444</v>
      </c>
      <c r="E825">
        <f>MONTH(OrdersTable[[#This Row],[Order Date]])</f>
        <v>6</v>
      </c>
      <c r="F825" t="s">
        <v>5871</v>
      </c>
      <c r="G825" t="str">
        <f>IF(OrdersTable[[#This Row],[Order Date]]=_xlfn.MINIFS(Order_Date, Customer_ID, OrdersTable[[#This Row],[Customer ID]]), "New", "Repeat")</f>
        <v>New</v>
      </c>
      <c r="H825" t="s">
        <v>167</v>
      </c>
      <c r="I825" t="str">
        <f>INDEX(State!B:B,MATCH(OrdersTable[[#This Row],[State]],State!A:A,0))</f>
        <v>KA</v>
      </c>
      <c r="J825" t="str">
        <f>INDEX(State!C:C,MATCH(OrdersTable[[#This Row],[State Code]],State!B:B,0))</f>
        <v>South</v>
      </c>
      <c r="K825" t="s">
        <v>190</v>
      </c>
      <c r="L825" t="s">
        <v>65</v>
      </c>
      <c r="M825" t="s">
        <v>24</v>
      </c>
      <c r="N825" t="str">
        <f>INDEX(Products!B:B,MATCH(OrdersTable[[#This Row],[Product ID]],Products!A:A,0))</f>
        <v>Scented Candle Set</v>
      </c>
      <c r="O825" t="str">
        <f>INDEX(Products!C:C,MATCH(OrdersTable[[#This Row],[Product ID]],Products!A:A,0))</f>
        <v>Home &amp; Kitchen</v>
      </c>
      <c r="P825">
        <v>2</v>
      </c>
      <c r="Q825" s="5">
        <v>699</v>
      </c>
      <c r="R825" s="74">
        <v>0.15</v>
      </c>
      <c r="S825" s="75">
        <f>OrdersTable[[#This Row],[Quantity]]*OrdersTable[[#This Row],[Unit Price]]</f>
        <v>1398</v>
      </c>
      <c r="T825" s="5">
        <f>OrdersTable[[#This Row],[Gross Sale]]*OrdersTable[[#This Row],[Discount_Clean2]]</f>
        <v>209.7</v>
      </c>
      <c r="U825" s="5">
        <f>OrdersTable[[#This Row],[Gross Sale]]-OrdersTable[[#This Row],[Discount Amount]]</f>
        <v>1188.3</v>
      </c>
      <c r="V825" s="77">
        <f>INDEX(Products!E:E,MATCH(OrdersTable[[#This Row],[Product ID]],Products!A:A,0))</f>
        <v>245</v>
      </c>
      <c r="W825" s="77">
        <f>OrdersTable[[#This Row],[Quantity]]*OrdersTable[[#This Row],[Unit Cost]]</f>
        <v>490</v>
      </c>
      <c r="X825" s="77">
        <f>'Dropdown Lists'!$I$2*(1+OrdersTable[[#This Row],[Returned]])</f>
        <v>60</v>
      </c>
      <c r="Y825" s="76">
        <f>OrdersTable[[#This Row],[Net Revenue]]-OrdersTable[[#This Row],[COGS]]-OrdersTable[[#This Row],[Shipping Cost]]</f>
        <v>638.29999999999995</v>
      </c>
      <c r="Z825" s="78">
        <f>IFERROR(OrdersTable[[#This Row],[Profit]]/OrdersTable[[#This Row],[Net Revenue]],0)</f>
        <v>0.53715391736093576</v>
      </c>
      <c r="AA825" t="s">
        <v>18</v>
      </c>
      <c r="AB825" s="79">
        <v>45463</v>
      </c>
      <c r="AC825">
        <f>OrdersTable[[#This Row],[Delivery Date]]-OrdersTable[[#This Row],[Order Date]]</f>
        <v>3</v>
      </c>
      <c r="AD825" t="str">
        <f>IF(OrdersTable[[#This Row],[Delivery Days]]&lt;=2, "Express (≤2d)", IF(OrdersTable[[#This Row],[Delivery Days]]&lt;=4, "Standard (3-4d)", "Delayed (5d+)"))</f>
        <v>Standard (3-4d)</v>
      </c>
      <c r="AF825">
        <v>0</v>
      </c>
    </row>
    <row r="826" spans="1:32" ht="15" x14ac:dyDescent="0.35">
      <c r="A826" t="s">
        <v>2913</v>
      </c>
      <c r="B826" s="1">
        <v>45461</v>
      </c>
      <c r="C826">
        <f>YEAR(OrdersTable[[#This Row],[Order Date]])</f>
        <v>2024</v>
      </c>
      <c r="D826" s="2">
        <f>DATE(YEAR(OrdersTable[[#This Row],[Order Date]]),MONTH(OrdersTable[[#This Row],[Order Date]]),1)</f>
        <v>45444</v>
      </c>
      <c r="E826">
        <f>MONTH(OrdersTable[[#This Row],[Order Date]])</f>
        <v>6</v>
      </c>
      <c r="F826" t="s">
        <v>2914</v>
      </c>
      <c r="G826" t="str">
        <f>IF(OrdersTable[[#This Row],[Order Date]]=_xlfn.MINIFS(Order_Date, Customer_ID, OrdersTable[[#This Row],[Customer ID]]), "New", "Repeat")</f>
        <v>New</v>
      </c>
      <c r="H826" t="s">
        <v>76</v>
      </c>
      <c r="I826" t="str">
        <f>INDEX(State!B:B,MATCH(OrdersTable[[#This Row],[State]],State!A:A,0))</f>
        <v>UP</v>
      </c>
      <c r="J826" t="str">
        <f>INDEX(State!C:C,MATCH(OrdersTable[[#This Row],[State Code]],State!B:B,0))</f>
        <v>North</v>
      </c>
      <c r="K826" t="s">
        <v>77</v>
      </c>
      <c r="L826" t="s">
        <v>50</v>
      </c>
      <c r="M826" t="s">
        <v>40</v>
      </c>
      <c r="N826" t="str">
        <f>INDEX(Products!B:B,MATCH(OrdersTable[[#This Row],[Product ID]],Products!A:A,0))</f>
        <v>Ashwagandha Capsules</v>
      </c>
      <c r="O826" t="str">
        <f>INDEX(Products!C:C,MATCH(OrdersTable[[#This Row],[Product ID]],Products!A:A,0))</f>
        <v>Wellness</v>
      </c>
      <c r="P826">
        <v>1</v>
      </c>
      <c r="Q826" s="5">
        <v>499</v>
      </c>
      <c r="R826" s="74">
        <v>0</v>
      </c>
      <c r="S826" s="75">
        <f>OrdersTable[[#This Row],[Quantity]]*OrdersTable[[#This Row],[Unit Price]]</f>
        <v>499</v>
      </c>
      <c r="T826" s="5">
        <f>OrdersTable[[#This Row],[Gross Sale]]*OrdersTable[[#This Row],[Discount_Clean2]]</f>
        <v>0</v>
      </c>
      <c r="U826" s="5">
        <f>OrdersTable[[#This Row],[Gross Sale]]-OrdersTable[[#This Row],[Discount Amount]]</f>
        <v>499</v>
      </c>
      <c r="V826" s="77">
        <f>INDEX(Products!E:E,MATCH(OrdersTable[[#This Row],[Product ID]],Products!A:A,0))</f>
        <v>150</v>
      </c>
      <c r="W826" s="77">
        <f>OrdersTable[[#This Row],[Quantity]]*OrdersTable[[#This Row],[Unit Cost]]</f>
        <v>150</v>
      </c>
      <c r="X826" s="77">
        <f>'Dropdown Lists'!$I$2*(1+OrdersTable[[#This Row],[Returned]])</f>
        <v>120</v>
      </c>
      <c r="Y826" s="76">
        <f>OrdersTable[[#This Row],[Net Revenue]]-OrdersTable[[#This Row],[COGS]]-OrdersTable[[#This Row],[Shipping Cost]]</f>
        <v>229</v>
      </c>
      <c r="Z826" s="78">
        <f>IFERROR(OrdersTable[[#This Row],[Profit]]/OrdersTable[[#This Row],[Net Revenue]],0)</f>
        <v>0.4589178356713427</v>
      </c>
      <c r="AA826" t="s">
        <v>2522</v>
      </c>
      <c r="AB826" s="79">
        <v>45465</v>
      </c>
      <c r="AC826">
        <f>OrdersTable[[#This Row],[Delivery Date]]-OrdersTable[[#This Row],[Order Date]]</f>
        <v>4</v>
      </c>
      <c r="AD826" t="str">
        <f>IF(OrdersTable[[#This Row],[Delivery Days]]&lt;=2, "Express (≤2d)", IF(OrdersTable[[#This Row],[Delivery Days]]&lt;=4, "Standard (3-4d)", "Delayed (5d+)"))</f>
        <v>Standard (3-4d)</v>
      </c>
      <c r="AF826">
        <v>1</v>
      </c>
    </row>
    <row r="827" spans="1:32" ht="15" x14ac:dyDescent="0.35">
      <c r="A827" t="s">
        <v>5872</v>
      </c>
      <c r="B827" s="1">
        <v>45461</v>
      </c>
      <c r="C827">
        <f>YEAR(OrdersTable[[#This Row],[Order Date]])</f>
        <v>2024</v>
      </c>
      <c r="D827" s="2">
        <f>DATE(YEAR(OrdersTable[[#This Row],[Order Date]]),MONTH(OrdersTable[[#This Row],[Order Date]]),1)</f>
        <v>45444</v>
      </c>
      <c r="E827">
        <f>MONTH(OrdersTable[[#This Row],[Order Date]])</f>
        <v>6</v>
      </c>
      <c r="F827" t="s">
        <v>4177</v>
      </c>
      <c r="G827" t="str">
        <f>IF(OrdersTable[[#This Row],[Order Date]]=_xlfn.MINIFS(Order_Date, Customer_ID, OrdersTable[[#This Row],[Customer ID]]), "New", "Repeat")</f>
        <v>New</v>
      </c>
      <c r="H827" t="s">
        <v>43</v>
      </c>
      <c r="I827" t="str">
        <f>INDEX(State!B:B,MATCH(OrdersTable[[#This Row],[State]],State!A:A,0))</f>
        <v>MP</v>
      </c>
      <c r="J827" t="str">
        <f>INDEX(State!C:C,MATCH(OrdersTable[[#This Row],[State Code]],State!B:B,0))</f>
        <v>West</v>
      </c>
      <c r="K827" t="s">
        <v>250</v>
      </c>
      <c r="L827" t="s">
        <v>50</v>
      </c>
      <c r="M827" t="s">
        <v>61</v>
      </c>
      <c r="N827" t="str">
        <f>INDEX(Products!B:B,MATCH(OrdersTable[[#This Row],[Product ID]],Products!A:A,0))</f>
        <v>Multivitamin Gummies</v>
      </c>
      <c r="O827" t="str">
        <f>INDEX(Products!C:C,MATCH(OrdersTable[[#This Row],[Product ID]],Products!A:A,0))</f>
        <v>Wellness</v>
      </c>
      <c r="P827">
        <v>2</v>
      </c>
      <c r="Q827" s="5">
        <v>699</v>
      </c>
      <c r="R827" s="74">
        <v>0.15</v>
      </c>
      <c r="S827" s="75">
        <f>OrdersTable[[#This Row],[Quantity]]*OrdersTable[[#This Row],[Unit Price]]</f>
        <v>1398</v>
      </c>
      <c r="T827" s="5">
        <f>OrdersTable[[#This Row],[Gross Sale]]*OrdersTable[[#This Row],[Discount_Clean2]]</f>
        <v>209.7</v>
      </c>
      <c r="U827" s="5">
        <f>OrdersTable[[#This Row],[Gross Sale]]-OrdersTable[[#This Row],[Discount Amount]]</f>
        <v>1188.3</v>
      </c>
      <c r="V827" s="77">
        <f>INDEX(Products!E:E,MATCH(OrdersTable[[#This Row],[Product ID]],Products!A:A,0))</f>
        <v>238</v>
      </c>
      <c r="W827" s="77">
        <f>OrdersTable[[#This Row],[Quantity]]*OrdersTable[[#This Row],[Unit Cost]]</f>
        <v>476</v>
      </c>
      <c r="X827" s="77">
        <f>'Dropdown Lists'!$I$2*(1+OrdersTable[[#This Row],[Returned]])</f>
        <v>60</v>
      </c>
      <c r="Y827" s="76">
        <f>OrdersTable[[#This Row],[Net Revenue]]-OrdersTable[[#This Row],[COGS]]-OrdersTable[[#This Row],[Shipping Cost]]</f>
        <v>652.29999999999995</v>
      </c>
      <c r="Z827" s="78">
        <f>IFERROR(OrdersTable[[#This Row],[Profit]]/OrdersTable[[#This Row],[Net Revenue]],0)</f>
        <v>0.54893545400993016</v>
      </c>
      <c r="AA827" t="s">
        <v>18</v>
      </c>
      <c r="AB827" s="79">
        <v>45465</v>
      </c>
      <c r="AC827">
        <f>OrdersTable[[#This Row],[Delivery Date]]-OrdersTable[[#This Row],[Order Date]]</f>
        <v>4</v>
      </c>
      <c r="AD827" t="str">
        <f>IF(OrdersTable[[#This Row],[Delivery Days]]&lt;=2, "Express (≤2d)", IF(OrdersTable[[#This Row],[Delivery Days]]&lt;=4, "Standard (3-4d)", "Delayed (5d+)"))</f>
        <v>Standard (3-4d)</v>
      </c>
      <c r="AF827">
        <v>0</v>
      </c>
    </row>
    <row r="828" spans="1:32" ht="15" x14ac:dyDescent="0.35">
      <c r="A828" t="s">
        <v>6673</v>
      </c>
      <c r="B828" s="1">
        <v>45461</v>
      </c>
      <c r="C828">
        <f>YEAR(OrdersTable[[#This Row],[Order Date]])</f>
        <v>2024</v>
      </c>
      <c r="D828" s="2">
        <f>DATE(YEAR(OrdersTable[[#This Row],[Order Date]]),MONTH(OrdersTable[[#This Row],[Order Date]]),1)</f>
        <v>45444</v>
      </c>
      <c r="E828">
        <f>MONTH(OrdersTable[[#This Row],[Order Date]])</f>
        <v>6</v>
      </c>
      <c r="F828" t="s">
        <v>4035</v>
      </c>
      <c r="G828" t="str">
        <f>IF(OrdersTable[[#This Row],[Order Date]]=_xlfn.MINIFS(Order_Date, Customer_ID, OrdersTable[[#This Row],[Customer ID]]), "New", "Repeat")</f>
        <v>New</v>
      </c>
      <c r="H828" t="s">
        <v>71</v>
      </c>
      <c r="I828" t="str">
        <f>INDEX(State!B:B,MATCH(OrdersTable[[#This Row],[State]],State!A:A,0))</f>
        <v>MH</v>
      </c>
      <c r="J828" t="str">
        <f>INDEX(State!C:C,MATCH(OrdersTable[[#This Row],[State Code]],State!B:B,0))</f>
        <v>West</v>
      </c>
      <c r="K828" t="s">
        <v>81</v>
      </c>
      <c r="L828" t="s">
        <v>50</v>
      </c>
      <c r="M828" t="s">
        <v>56</v>
      </c>
      <c r="N828" t="str">
        <f>INDEX(Products!B:B,MATCH(OrdersTable[[#This Row],[Product ID]],Products!A:A,0))</f>
        <v>Vitamin C Face Serum</v>
      </c>
      <c r="O828" t="str">
        <f>INDEX(Products!C:C,MATCH(OrdersTable[[#This Row],[Product ID]],Products!A:A,0))</f>
        <v>Skincare</v>
      </c>
      <c r="P828">
        <v>3</v>
      </c>
      <c r="Q828" s="5">
        <v>599</v>
      </c>
      <c r="R828" s="74">
        <v>0.15</v>
      </c>
      <c r="S828" s="75">
        <f>OrdersTable[[#This Row],[Quantity]]*OrdersTable[[#This Row],[Unit Price]]</f>
        <v>1797</v>
      </c>
      <c r="T828" s="5">
        <f>OrdersTable[[#This Row],[Gross Sale]]*OrdersTable[[#This Row],[Discount_Clean2]]</f>
        <v>269.55</v>
      </c>
      <c r="U828" s="5">
        <f>OrdersTable[[#This Row],[Gross Sale]]-OrdersTable[[#This Row],[Discount Amount]]</f>
        <v>1527.45</v>
      </c>
      <c r="V828" s="77">
        <f>INDEX(Products!E:E,MATCH(OrdersTable[[#This Row],[Product ID]],Products!A:A,0))</f>
        <v>180</v>
      </c>
      <c r="W828" s="77">
        <f>OrdersTable[[#This Row],[Quantity]]*OrdersTable[[#This Row],[Unit Cost]]</f>
        <v>540</v>
      </c>
      <c r="X828" s="77">
        <f>'Dropdown Lists'!$I$2*(1+OrdersTable[[#This Row],[Returned]])</f>
        <v>120</v>
      </c>
      <c r="Y828" s="76">
        <f>OrdersTable[[#This Row],[Net Revenue]]-OrdersTable[[#This Row],[COGS]]-OrdersTable[[#This Row],[Shipping Cost]]</f>
        <v>867.45</v>
      </c>
      <c r="Z828" s="78">
        <f>IFERROR(OrdersTable[[#This Row],[Profit]]/OrdersTable[[#This Row],[Net Revenue]],0)</f>
        <v>0.56790729647451632</v>
      </c>
      <c r="AA828" t="s">
        <v>2522</v>
      </c>
      <c r="AB828" s="79">
        <v>45462</v>
      </c>
      <c r="AC828">
        <f>OrdersTable[[#This Row],[Delivery Date]]-OrdersTable[[#This Row],[Order Date]]</f>
        <v>1</v>
      </c>
      <c r="AD828" t="str">
        <f>IF(OrdersTable[[#This Row],[Delivery Days]]&lt;=2, "Express (≤2d)", IF(OrdersTable[[#This Row],[Delivery Days]]&lt;=4, "Standard (3-4d)", "Delayed (5d+)"))</f>
        <v>Express (≤2d)</v>
      </c>
      <c r="AF828">
        <v>1</v>
      </c>
    </row>
    <row r="829" spans="1:32" ht="15" x14ac:dyDescent="0.35">
      <c r="A829" t="s">
        <v>2562</v>
      </c>
      <c r="B829" s="1">
        <v>45461</v>
      </c>
      <c r="C829">
        <f>YEAR(OrdersTable[[#This Row],[Order Date]])</f>
        <v>2024</v>
      </c>
      <c r="D829" s="2">
        <f>DATE(YEAR(OrdersTable[[#This Row],[Order Date]]),MONTH(OrdersTable[[#This Row],[Order Date]]),1)</f>
        <v>45444</v>
      </c>
      <c r="E829">
        <f>MONTH(OrdersTable[[#This Row],[Order Date]])</f>
        <v>6</v>
      </c>
      <c r="F829" t="s">
        <v>2563</v>
      </c>
      <c r="G829" t="str">
        <f>IF(OrdersTable[[#This Row],[Order Date]]=_xlfn.MINIFS(Order_Date, Customer_ID, OrdersTable[[#This Row],[Customer ID]]), "New", "Repeat")</f>
        <v>New</v>
      </c>
      <c r="H829" t="s">
        <v>95</v>
      </c>
      <c r="I829" t="str">
        <f>INDEX(State!B:B,MATCH(OrdersTable[[#This Row],[State]],State!A:A,0))</f>
        <v>TG</v>
      </c>
      <c r="J829" t="str">
        <f>INDEX(State!C:C,MATCH(OrdersTable[[#This Row],[State Code]],State!B:B,0))</f>
        <v>South</v>
      </c>
      <c r="K829" t="s">
        <v>96</v>
      </c>
      <c r="L829" t="s">
        <v>39</v>
      </c>
      <c r="M829" t="s">
        <v>45</v>
      </c>
      <c r="N829" t="str">
        <f>INDEX(Products!B:B,MATCH(OrdersTable[[#This Row],[Product ID]],Products!A:A,0))</f>
        <v>Argan Shampoo</v>
      </c>
      <c r="O829" t="str">
        <f>INDEX(Products!C:C,MATCH(OrdersTable[[#This Row],[Product ID]],Products!A:A,0))</f>
        <v>Haircare</v>
      </c>
      <c r="P829">
        <v>1</v>
      </c>
      <c r="Q829" s="5">
        <v>449</v>
      </c>
      <c r="R829" s="74">
        <v>0.05</v>
      </c>
      <c r="S829" s="75">
        <f>OrdersTable[[#This Row],[Quantity]]*OrdersTable[[#This Row],[Unit Price]]</f>
        <v>449</v>
      </c>
      <c r="T829" s="5">
        <f>OrdersTable[[#This Row],[Gross Sale]]*OrdersTable[[#This Row],[Discount_Clean2]]</f>
        <v>22.450000000000003</v>
      </c>
      <c r="U829" s="5">
        <f>OrdersTable[[#This Row],[Gross Sale]]-OrdersTable[[#This Row],[Discount Amount]]</f>
        <v>426.55</v>
      </c>
      <c r="V829" s="77">
        <f>INDEX(Products!E:E,MATCH(OrdersTable[[#This Row],[Product ID]],Products!A:A,0))</f>
        <v>148</v>
      </c>
      <c r="W829" s="77">
        <f>OrdersTable[[#This Row],[Quantity]]*OrdersTable[[#This Row],[Unit Cost]]</f>
        <v>148</v>
      </c>
      <c r="X829" s="77">
        <f>'Dropdown Lists'!$I$2*(1+OrdersTable[[#This Row],[Returned]])</f>
        <v>60</v>
      </c>
      <c r="Y829" s="76">
        <f>OrdersTable[[#This Row],[Net Revenue]]-OrdersTable[[#This Row],[COGS]]-OrdersTable[[#This Row],[Shipping Cost]]</f>
        <v>218.55</v>
      </c>
      <c r="Z829" s="78">
        <f>IFERROR(OrdersTable[[#This Row],[Profit]]/OrdersTable[[#This Row],[Net Revenue]],0)</f>
        <v>0.51236666275934828</v>
      </c>
      <c r="AA829" t="s">
        <v>2522</v>
      </c>
      <c r="AB829" s="79">
        <v>45463</v>
      </c>
      <c r="AC829">
        <f>OrdersTable[[#This Row],[Delivery Date]]-OrdersTable[[#This Row],[Order Date]]</f>
        <v>2</v>
      </c>
      <c r="AD829" t="str">
        <f>IF(OrdersTable[[#This Row],[Delivery Days]]&lt;=2, "Express (≤2d)", IF(OrdersTable[[#This Row],[Delivery Days]]&lt;=4, "Standard (3-4d)", "Delayed (5d+)"))</f>
        <v>Express (≤2d)</v>
      </c>
      <c r="AE829">
        <v>5</v>
      </c>
      <c r="AF829">
        <v>0</v>
      </c>
    </row>
    <row r="830" spans="1:32" ht="15" x14ac:dyDescent="0.35">
      <c r="A830" t="s">
        <v>1140</v>
      </c>
      <c r="B830" s="1">
        <v>45461</v>
      </c>
      <c r="C830">
        <f>YEAR(OrdersTable[[#This Row],[Order Date]])</f>
        <v>2024</v>
      </c>
      <c r="D830" s="2">
        <f>DATE(YEAR(OrdersTable[[#This Row],[Order Date]]),MONTH(OrdersTable[[#This Row],[Order Date]]),1)</f>
        <v>45444</v>
      </c>
      <c r="E830">
        <f>MONTH(OrdersTable[[#This Row],[Order Date]])</f>
        <v>6</v>
      </c>
      <c r="F830" t="s">
        <v>1141</v>
      </c>
      <c r="G830" t="str">
        <f>IF(OrdersTable[[#This Row],[Order Date]]=_xlfn.MINIFS(Order_Date, Customer_ID, OrdersTable[[#This Row],[Customer ID]]), "New", "Repeat")</f>
        <v>New</v>
      </c>
      <c r="H830" t="s">
        <v>59</v>
      </c>
      <c r="I830" t="str">
        <f>INDEX(State!B:B,MATCH(OrdersTable[[#This Row],[State]],State!A:A,0))</f>
        <v>TN</v>
      </c>
      <c r="J830" t="str">
        <f>INDEX(State!C:C,MATCH(OrdersTable[[#This Row],[State Code]],State!B:B,0))</f>
        <v>South</v>
      </c>
      <c r="K830" t="s">
        <v>64</v>
      </c>
      <c r="L830" t="s">
        <v>50</v>
      </c>
      <c r="M830" t="s">
        <v>45</v>
      </c>
      <c r="N830" t="str">
        <f>INDEX(Products!B:B,MATCH(OrdersTable[[#This Row],[Product ID]],Products!A:A,0))</f>
        <v>Argan Shampoo</v>
      </c>
      <c r="O830" t="str">
        <f>INDEX(Products!C:C,MATCH(OrdersTable[[#This Row],[Product ID]],Products!A:A,0))</f>
        <v>Haircare</v>
      </c>
      <c r="P830">
        <v>1</v>
      </c>
      <c r="Q830" s="5">
        <v>449</v>
      </c>
      <c r="R830" s="74">
        <v>0.1</v>
      </c>
      <c r="S830" s="75">
        <f>OrdersTable[[#This Row],[Quantity]]*OrdersTable[[#This Row],[Unit Price]]</f>
        <v>449</v>
      </c>
      <c r="T830" s="5">
        <f>OrdersTable[[#This Row],[Gross Sale]]*OrdersTable[[#This Row],[Discount_Clean2]]</f>
        <v>44.900000000000006</v>
      </c>
      <c r="U830" s="5">
        <f>OrdersTable[[#This Row],[Gross Sale]]-OrdersTable[[#This Row],[Discount Amount]]</f>
        <v>404.1</v>
      </c>
      <c r="V830" s="77">
        <f>INDEX(Products!E:E,MATCH(OrdersTable[[#This Row],[Product ID]],Products!A:A,0))</f>
        <v>148</v>
      </c>
      <c r="W830" s="77">
        <f>OrdersTable[[#This Row],[Quantity]]*OrdersTable[[#This Row],[Unit Cost]]</f>
        <v>148</v>
      </c>
      <c r="X830" s="77">
        <f>'Dropdown Lists'!$I$2*(1+OrdersTable[[#This Row],[Returned]])</f>
        <v>60</v>
      </c>
      <c r="Y830" s="76">
        <f>OrdersTable[[#This Row],[Net Revenue]]-OrdersTable[[#This Row],[COGS]]-OrdersTable[[#This Row],[Shipping Cost]]</f>
        <v>196.10000000000002</v>
      </c>
      <c r="Z830" s="78">
        <f>IFERROR(OrdersTable[[#This Row],[Profit]]/OrdersTable[[#This Row],[Net Revenue]],0)</f>
        <v>0.48527592180153428</v>
      </c>
      <c r="AA830" t="s">
        <v>18</v>
      </c>
      <c r="AB830" s="79">
        <v>45465</v>
      </c>
      <c r="AC830">
        <f>OrdersTable[[#This Row],[Delivery Date]]-OrdersTable[[#This Row],[Order Date]]</f>
        <v>4</v>
      </c>
      <c r="AD830" t="str">
        <f>IF(OrdersTable[[#This Row],[Delivery Days]]&lt;=2, "Express (≤2d)", IF(OrdersTable[[#This Row],[Delivery Days]]&lt;=4, "Standard (3-4d)", "Delayed (5d+)"))</f>
        <v>Standard (3-4d)</v>
      </c>
      <c r="AF830">
        <v>0</v>
      </c>
    </row>
    <row r="831" spans="1:32" ht="15" x14ac:dyDescent="0.35">
      <c r="A831" t="s">
        <v>6498</v>
      </c>
      <c r="B831" s="1">
        <v>45462</v>
      </c>
      <c r="C831">
        <f>YEAR(OrdersTable[[#This Row],[Order Date]])</f>
        <v>2024</v>
      </c>
      <c r="D831" s="2">
        <f>DATE(YEAR(OrdersTable[[#This Row],[Order Date]]),MONTH(OrdersTable[[#This Row],[Order Date]]),1)</f>
        <v>45444</v>
      </c>
      <c r="E831">
        <f>MONTH(OrdersTable[[#This Row],[Order Date]])</f>
        <v>6</v>
      </c>
      <c r="F831" t="s">
        <v>2692</v>
      </c>
      <c r="G831" t="str">
        <f>IF(OrdersTable[[#This Row],[Order Date]]=_xlfn.MINIFS(Order_Date, Customer_ID, OrdersTable[[#This Row],[Customer ID]]), "New", "Repeat")</f>
        <v>Repeat</v>
      </c>
      <c r="H831" t="s">
        <v>43</v>
      </c>
      <c r="I831" t="str">
        <f>INDEX(State!B:B,MATCH(OrdersTable[[#This Row],[State]],State!A:A,0))</f>
        <v>MP</v>
      </c>
      <c r="J831" t="str">
        <f>INDEX(State!C:C,MATCH(OrdersTable[[#This Row],[State Code]],State!B:B,0))</f>
        <v>West</v>
      </c>
      <c r="K831" t="s">
        <v>250</v>
      </c>
      <c r="L831" t="s">
        <v>65</v>
      </c>
      <c r="M831" t="s">
        <v>423</v>
      </c>
      <c r="N831" t="str">
        <f>INDEX(Products!B:B,MATCH(OrdersTable[[#This Row],[Product ID]],Products!A:A,0))</f>
        <v>Power Bank 20000mAh</v>
      </c>
      <c r="O831" t="str">
        <f>INDEX(Products!C:C,MATCH(OrdersTable[[#This Row],[Product ID]],Products!A:A,0))</f>
        <v>Electronics</v>
      </c>
      <c r="P831">
        <v>3</v>
      </c>
      <c r="Q831" s="5">
        <v>1799</v>
      </c>
      <c r="R831" s="74">
        <v>0.35</v>
      </c>
      <c r="S831" s="75">
        <f>OrdersTable[[#This Row],[Quantity]]*OrdersTable[[#This Row],[Unit Price]]</f>
        <v>5397</v>
      </c>
      <c r="T831" s="5">
        <f>OrdersTable[[#This Row],[Gross Sale]]*OrdersTable[[#This Row],[Discount_Clean2]]</f>
        <v>1888.9499999999998</v>
      </c>
      <c r="U831" s="5">
        <f>OrdersTable[[#This Row],[Gross Sale]]-OrdersTable[[#This Row],[Discount Amount]]</f>
        <v>3508.05</v>
      </c>
      <c r="V831" s="77">
        <f>INDEX(Products!E:E,MATCH(OrdersTable[[#This Row],[Product ID]],Products!A:A,0))</f>
        <v>1079</v>
      </c>
      <c r="W831" s="77">
        <f>OrdersTable[[#This Row],[Quantity]]*OrdersTable[[#This Row],[Unit Cost]]</f>
        <v>3237</v>
      </c>
      <c r="X831" s="77">
        <f>'Dropdown Lists'!$I$2*(1+OrdersTable[[#This Row],[Returned]])</f>
        <v>60</v>
      </c>
      <c r="Y831" s="76">
        <f>OrdersTable[[#This Row],[Net Revenue]]-OrdersTable[[#This Row],[COGS]]-OrdersTable[[#This Row],[Shipping Cost]]</f>
        <v>211.05000000000018</v>
      </c>
      <c r="Z831" s="78">
        <f>IFERROR(OrdersTable[[#This Row],[Profit]]/OrdersTable[[#This Row],[Net Revenue]],0)</f>
        <v>6.0161628255013519E-2</v>
      </c>
      <c r="AA831" t="s">
        <v>18</v>
      </c>
      <c r="AB831" s="79">
        <v>45467</v>
      </c>
      <c r="AC831">
        <f>OrdersTable[[#This Row],[Delivery Date]]-OrdersTable[[#This Row],[Order Date]]</f>
        <v>5</v>
      </c>
      <c r="AD831" t="str">
        <f>IF(OrdersTable[[#This Row],[Delivery Days]]&lt;=2, "Express (≤2d)", IF(OrdersTable[[#This Row],[Delivery Days]]&lt;=4, "Standard (3-4d)", "Delayed (5d+)"))</f>
        <v>Delayed (5d+)</v>
      </c>
      <c r="AE831">
        <v>3</v>
      </c>
      <c r="AF831">
        <v>0</v>
      </c>
    </row>
    <row r="832" spans="1:32" ht="15" x14ac:dyDescent="0.35">
      <c r="A832" t="s">
        <v>2716</v>
      </c>
      <c r="B832" s="1">
        <v>45462</v>
      </c>
      <c r="C832">
        <f>YEAR(OrdersTable[[#This Row],[Order Date]])</f>
        <v>2024</v>
      </c>
      <c r="D832" s="2">
        <f>DATE(YEAR(OrdersTable[[#This Row],[Order Date]]),MONTH(OrdersTable[[#This Row],[Order Date]]),1)</f>
        <v>45444</v>
      </c>
      <c r="E832">
        <f>MONTH(OrdersTable[[#This Row],[Order Date]])</f>
        <v>6</v>
      </c>
      <c r="F832" t="s">
        <v>2717</v>
      </c>
      <c r="G832" t="str">
        <f>IF(OrdersTable[[#This Row],[Order Date]]=_xlfn.MINIFS(Order_Date, Customer_ID, OrdersTable[[#This Row],[Customer ID]]), "New", "Repeat")</f>
        <v>New</v>
      </c>
      <c r="H832" t="s">
        <v>43</v>
      </c>
      <c r="I832" t="str">
        <f>INDEX(State!B:B,MATCH(OrdersTable[[#This Row],[State]],State!A:A,0))</f>
        <v>MP</v>
      </c>
      <c r="J832" t="str">
        <f>INDEX(State!C:C,MATCH(OrdersTable[[#This Row],[State Code]],State!B:B,0))</f>
        <v>West</v>
      </c>
      <c r="K832" t="s">
        <v>250</v>
      </c>
      <c r="L832" t="s">
        <v>39</v>
      </c>
      <c r="M832" t="s">
        <v>34</v>
      </c>
      <c r="N832" t="str">
        <f>INDEX(Products!B:B,MATCH(OrdersTable[[#This Row],[Product ID]],Products!A:A,0))</f>
        <v>Flip Flops</v>
      </c>
      <c r="O832" t="str">
        <f>INDEX(Products!C:C,MATCH(OrdersTable[[#This Row],[Product ID]],Products!A:A,0))</f>
        <v>Footwear</v>
      </c>
      <c r="P832">
        <v>1</v>
      </c>
      <c r="Q832" s="5">
        <v>399</v>
      </c>
      <c r="R832" s="74">
        <v>0</v>
      </c>
      <c r="S832" s="75">
        <f>OrdersTable[[#This Row],[Quantity]]*OrdersTable[[#This Row],[Unit Price]]</f>
        <v>399</v>
      </c>
      <c r="T832" s="5">
        <f>OrdersTable[[#This Row],[Gross Sale]]*OrdersTable[[#This Row],[Discount_Clean2]]</f>
        <v>0</v>
      </c>
      <c r="U832" s="5">
        <f>OrdersTable[[#This Row],[Gross Sale]]-OrdersTable[[#This Row],[Discount Amount]]</f>
        <v>399</v>
      </c>
      <c r="V832" s="77">
        <f>INDEX(Products!E:E,MATCH(OrdersTable[[#This Row],[Product ID]],Products!A:A,0))</f>
        <v>152</v>
      </c>
      <c r="W832" s="77">
        <f>OrdersTable[[#This Row],[Quantity]]*OrdersTable[[#This Row],[Unit Cost]]</f>
        <v>152</v>
      </c>
      <c r="X832" s="77">
        <f>'Dropdown Lists'!$I$2*(1+OrdersTable[[#This Row],[Returned]])</f>
        <v>60</v>
      </c>
      <c r="Y832" s="76">
        <f>OrdersTable[[#This Row],[Net Revenue]]-OrdersTable[[#This Row],[COGS]]-OrdersTable[[#This Row],[Shipping Cost]]</f>
        <v>187</v>
      </c>
      <c r="Z832" s="78">
        <f>IFERROR(OrdersTable[[#This Row],[Profit]]/OrdersTable[[#This Row],[Net Revenue]],0)</f>
        <v>0.46867167919799496</v>
      </c>
      <c r="AA832" t="s">
        <v>2522</v>
      </c>
      <c r="AB832" s="79">
        <v>45467</v>
      </c>
      <c r="AC832">
        <f>OrdersTable[[#This Row],[Delivery Date]]-OrdersTable[[#This Row],[Order Date]]</f>
        <v>5</v>
      </c>
      <c r="AD832" t="str">
        <f>IF(OrdersTable[[#This Row],[Delivery Days]]&lt;=2, "Express (≤2d)", IF(OrdersTable[[#This Row],[Delivery Days]]&lt;=4, "Standard (3-4d)", "Delayed (5d+)"))</f>
        <v>Delayed (5d+)</v>
      </c>
      <c r="AE832">
        <v>3</v>
      </c>
      <c r="AF832">
        <v>0</v>
      </c>
    </row>
    <row r="833" spans="1:32" ht="15" x14ac:dyDescent="0.35">
      <c r="A833" t="s">
        <v>6066</v>
      </c>
      <c r="B833" s="1">
        <v>45462</v>
      </c>
      <c r="C833">
        <f>YEAR(OrdersTable[[#This Row],[Order Date]])</f>
        <v>2024</v>
      </c>
      <c r="D833" s="2">
        <f>DATE(YEAR(OrdersTable[[#This Row],[Order Date]]),MONTH(OrdersTable[[#This Row],[Order Date]]),1)</f>
        <v>45444</v>
      </c>
      <c r="E833">
        <f>MONTH(OrdersTable[[#This Row],[Order Date]])</f>
        <v>6</v>
      </c>
      <c r="F833" t="s">
        <v>446</v>
      </c>
      <c r="G833" t="str">
        <f>IF(OrdersTable[[#This Row],[Order Date]]=_xlfn.MINIFS(Order_Date, Customer_ID, OrdersTable[[#This Row],[Customer ID]]), "New", "Repeat")</f>
        <v>Repeat</v>
      </c>
      <c r="H833" t="s">
        <v>27</v>
      </c>
      <c r="I833" t="str">
        <f>INDEX(State!B:B,MATCH(OrdersTable[[#This Row],[State]],State!A:A,0))</f>
        <v>WB</v>
      </c>
      <c r="J833" t="str">
        <f>INDEX(State!C:C,MATCH(OrdersTable[[#This Row],[State Code]],State!B:B,0))</f>
        <v>East</v>
      </c>
      <c r="K833" t="s">
        <v>28</v>
      </c>
      <c r="L833" t="s">
        <v>23</v>
      </c>
      <c r="M833" t="s">
        <v>87</v>
      </c>
      <c r="N833" t="str">
        <f>INDEX(Products!B:B,MATCH(OrdersTable[[#This Row],[Product ID]],Products!A:A,0))</f>
        <v>Linen Kurta</v>
      </c>
      <c r="O833" t="str">
        <f>INDEX(Products!C:C,MATCH(OrdersTable[[#This Row],[Product ID]],Products!A:A,0))</f>
        <v>Apparel</v>
      </c>
      <c r="P833">
        <v>2</v>
      </c>
      <c r="Q833" s="5">
        <v>1499</v>
      </c>
      <c r="R833" s="74">
        <v>0.3</v>
      </c>
      <c r="S833" s="75">
        <f>OrdersTable[[#This Row],[Quantity]]*OrdersTable[[#This Row],[Unit Price]]</f>
        <v>2998</v>
      </c>
      <c r="T833" s="5">
        <f>OrdersTable[[#This Row],[Gross Sale]]*OrdersTable[[#This Row],[Discount_Clean2]]</f>
        <v>899.4</v>
      </c>
      <c r="U833" s="5">
        <f>OrdersTable[[#This Row],[Gross Sale]]-OrdersTable[[#This Row],[Discount Amount]]</f>
        <v>2098.6</v>
      </c>
      <c r="V833" s="77">
        <f>INDEX(Products!E:E,MATCH(OrdersTable[[#This Row],[Product ID]],Products!A:A,0))</f>
        <v>630</v>
      </c>
      <c r="W833" s="77">
        <f>OrdersTable[[#This Row],[Quantity]]*OrdersTable[[#This Row],[Unit Cost]]</f>
        <v>1260</v>
      </c>
      <c r="X833" s="77">
        <f>'Dropdown Lists'!$I$2*(1+OrdersTable[[#This Row],[Returned]])</f>
        <v>60</v>
      </c>
      <c r="Y833" s="76">
        <f>OrdersTable[[#This Row],[Net Revenue]]-OrdersTable[[#This Row],[COGS]]-OrdersTable[[#This Row],[Shipping Cost]]</f>
        <v>778.59999999999991</v>
      </c>
      <c r="Z833" s="78">
        <f>IFERROR(OrdersTable[[#This Row],[Profit]]/OrdersTable[[#This Row],[Net Revenue]],0)</f>
        <v>0.3710092442580768</v>
      </c>
      <c r="AA833" t="s">
        <v>18</v>
      </c>
      <c r="AB833" s="79">
        <v>45467</v>
      </c>
      <c r="AC833">
        <f>OrdersTable[[#This Row],[Delivery Date]]-OrdersTable[[#This Row],[Order Date]]</f>
        <v>5</v>
      </c>
      <c r="AD833" t="str">
        <f>IF(OrdersTable[[#This Row],[Delivery Days]]&lt;=2, "Express (≤2d)", IF(OrdersTable[[#This Row],[Delivery Days]]&lt;=4, "Standard (3-4d)", "Delayed (5d+)"))</f>
        <v>Delayed (5d+)</v>
      </c>
      <c r="AE833">
        <v>4</v>
      </c>
      <c r="AF833">
        <v>0</v>
      </c>
    </row>
    <row r="834" spans="1:32" ht="15" x14ac:dyDescent="0.35">
      <c r="A834" t="s">
        <v>1481</v>
      </c>
      <c r="B834" s="1">
        <v>45462</v>
      </c>
      <c r="C834">
        <f>YEAR(OrdersTable[[#This Row],[Order Date]])</f>
        <v>2024</v>
      </c>
      <c r="D834" s="2">
        <f>DATE(YEAR(OrdersTable[[#This Row],[Order Date]]),MONTH(OrdersTable[[#This Row],[Order Date]]),1)</f>
        <v>45444</v>
      </c>
      <c r="E834">
        <f>MONTH(OrdersTable[[#This Row],[Order Date]])</f>
        <v>6</v>
      </c>
      <c r="F834" t="s">
        <v>553</v>
      </c>
      <c r="G834" t="str">
        <f>IF(OrdersTable[[#This Row],[Order Date]]=_xlfn.MINIFS(Order_Date, Customer_ID, OrdersTable[[#This Row],[Customer ID]]), "New", "Repeat")</f>
        <v>New</v>
      </c>
      <c r="H834" t="s">
        <v>71</v>
      </c>
      <c r="I834" t="str">
        <f>INDEX(State!B:B,MATCH(OrdersTable[[#This Row],[State]],State!A:A,0))</f>
        <v>MH</v>
      </c>
      <c r="J834" t="str">
        <f>INDEX(State!C:C,MATCH(OrdersTable[[#This Row],[State Code]],State!B:B,0))</f>
        <v>West</v>
      </c>
      <c r="K834" t="s">
        <v>72</v>
      </c>
      <c r="L834" t="s">
        <v>39</v>
      </c>
      <c r="M834" t="s">
        <v>24</v>
      </c>
      <c r="N834" t="str">
        <f>INDEX(Products!B:B,MATCH(OrdersTable[[#This Row],[Product ID]],Products!A:A,0))</f>
        <v>Scented Candle Set</v>
      </c>
      <c r="O834" t="str">
        <f>INDEX(Products!C:C,MATCH(OrdersTable[[#This Row],[Product ID]],Products!A:A,0))</f>
        <v>Home &amp; Kitchen</v>
      </c>
      <c r="P834">
        <v>1</v>
      </c>
      <c r="Q834" s="5">
        <v>699</v>
      </c>
      <c r="R834" s="74">
        <v>0.15</v>
      </c>
      <c r="S834" s="75">
        <f>OrdersTable[[#This Row],[Quantity]]*OrdersTable[[#This Row],[Unit Price]]</f>
        <v>699</v>
      </c>
      <c r="T834" s="5">
        <f>OrdersTable[[#This Row],[Gross Sale]]*OrdersTable[[#This Row],[Discount_Clean2]]</f>
        <v>104.85</v>
      </c>
      <c r="U834" s="5">
        <f>OrdersTable[[#This Row],[Gross Sale]]-OrdersTable[[#This Row],[Discount Amount]]</f>
        <v>594.15</v>
      </c>
      <c r="V834" s="77">
        <f>INDEX(Products!E:E,MATCH(OrdersTable[[#This Row],[Product ID]],Products!A:A,0))</f>
        <v>245</v>
      </c>
      <c r="W834" s="77">
        <f>OrdersTable[[#This Row],[Quantity]]*OrdersTable[[#This Row],[Unit Cost]]</f>
        <v>245</v>
      </c>
      <c r="X834" s="77">
        <f>'Dropdown Lists'!$I$2*(1+OrdersTable[[#This Row],[Returned]])</f>
        <v>60</v>
      </c>
      <c r="Y834" s="76">
        <f>OrdersTable[[#This Row],[Net Revenue]]-OrdersTable[[#This Row],[COGS]]-OrdersTable[[#This Row],[Shipping Cost]]</f>
        <v>289.14999999999998</v>
      </c>
      <c r="Z834" s="78">
        <f>IFERROR(OrdersTable[[#This Row],[Profit]]/OrdersTable[[#This Row],[Net Revenue]],0)</f>
        <v>0.48666161743667424</v>
      </c>
      <c r="AA834" t="s">
        <v>18</v>
      </c>
      <c r="AB834" s="79">
        <v>45465</v>
      </c>
      <c r="AC834">
        <f>OrdersTable[[#This Row],[Delivery Date]]-OrdersTable[[#This Row],[Order Date]]</f>
        <v>3</v>
      </c>
      <c r="AD834" t="str">
        <f>IF(OrdersTable[[#This Row],[Delivery Days]]&lt;=2, "Express (≤2d)", IF(OrdersTable[[#This Row],[Delivery Days]]&lt;=4, "Standard (3-4d)", "Delayed (5d+)"))</f>
        <v>Standard (3-4d)</v>
      </c>
      <c r="AF834">
        <v>0</v>
      </c>
    </row>
    <row r="835" spans="1:32" ht="15" x14ac:dyDescent="0.35">
      <c r="A835" t="s">
        <v>6499</v>
      </c>
      <c r="B835" s="1">
        <v>45462</v>
      </c>
      <c r="C835">
        <f>YEAR(OrdersTable[[#This Row],[Order Date]])</f>
        <v>2024</v>
      </c>
      <c r="D835" s="2">
        <f>DATE(YEAR(OrdersTable[[#This Row],[Order Date]]),MONTH(OrdersTable[[#This Row],[Order Date]]),1)</f>
        <v>45444</v>
      </c>
      <c r="E835">
        <f>MONTH(OrdersTable[[#This Row],[Order Date]])</f>
        <v>6</v>
      </c>
      <c r="F835" t="s">
        <v>6500</v>
      </c>
      <c r="G835" t="str">
        <f>IF(OrdersTable[[#This Row],[Order Date]]=_xlfn.MINIFS(Order_Date, Customer_ID, OrdersTable[[#This Row],[Customer ID]]), "New", "Repeat")</f>
        <v>New</v>
      </c>
      <c r="H835" t="s">
        <v>167</v>
      </c>
      <c r="I835" t="str">
        <f>INDEX(State!B:B,MATCH(OrdersTable[[#This Row],[State]],State!A:A,0))</f>
        <v>KA</v>
      </c>
      <c r="J835" t="str">
        <f>INDEX(State!C:C,MATCH(OrdersTable[[#This Row],[State Code]],State!B:B,0))</f>
        <v>South</v>
      </c>
      <c r="K835" t="s">
        <v>190</v>
      </c>
      <c r="L835" t="s">
        <v>39</v>
      </c>
      <c r="M835" t="s">
        <v>423</v>
      </c>
      <c r="N835" t="str">
        <f>INDEX(Products!B:B,MATCH(OrdersTable[[#This Row],[Product ID]],Products!A:A,0))</f>
        <v>Power Bank 20000mAh</v>
      </c>
      <c r="O835" t="str">
        <f>INDEX(Products!C:C,MATCH(OrdersTable[[#This Row],[Product ID]],Products!A:A,0))</f>
        <v>Electronics</v>
      </c>
      <c r="P835">
        <v>3</v>
      </c>
      <c r="Q835" s="5">
        <v>1799</v>
      </c>
      <c r="R835" s="74">
        <v>0.35</v>
      </c>
      <c r="S835" s="75">
        <f>OrdersTable[[#This Row],[Quantity]]*OrdersTable[[#This Row],[Unit Price]]</f>
        <v>5397</v>
      </c>
      <c r="T835" s="5">
        <f>OrdersTable[[#This Row],[Gross Sale]]*OrdersTable[[#This Row],[Discount_Clean2]]</f>
        <v>1888.9499999999998</v>
      </c>
      <c r="U835" s="5">
        <f>OrdersTable[[#This Row],[Gross Sale]]-OrdersTable[[#This Row],[Discount Amount]]</f>
        <v>3508.05</v>
      </c>
      <c r="V835" s="77">
        <f>INDEX(Products!E:E,MATCH(OrdersTable[[#This Row],[Product ID]],Products!A:A,0))</f>
        <v>1079</v>
      </c>
      <c r="W835" s="77">
        <f>OrdersTable[[#This Row],[Quantity]]*OrdersTable[[#This Row],[Unit Cost]]</f>
        <v>3237</v>
      </c>
      <c r="X835" s="77">
        <f>'Dropdown Lists'!$I$2*(1+OrdersTable[[#This Row],[Returned]])</f>
        <v>60</v>
      </c>
      <c r="Y835" s="76">
        <f>OrdersTable[[#This Row],[Net Revenue]]-OrdersTable[[#This Row],[COGS]]-OrdersTable[[#This Row],[Shipping Cost]]</f>
        <v>211.05000000000018</v>
      </c>
      <c r="Z835" s="78">
        <f>IFERROR(OrdersTable[[#This Row],[Profit]]/OrdersTable[[#This Row],[Net Revenue]],0)</f>
        <v>6.0161628255013519E-2</v>
      </c>
      <c r="AA835" t="s">
        <v>18</v>
      </c>
      <c r="AB835" s="79">
        <v>45466</v>
      </c>
      <c r="AC835">
        <f>OrdersTable[[#This Row],[Delivery Date]]-OrdersTable[[#This Row],[Order Date]]</f>
        <v>4</v>
      </c>
      <c r="AD835" t="str">
        <f>IF(OrdersTable[[#This Row],[Delivery Days]]&lt;=2, "Express (≤2d)", IF(OrdersTable[[#This Row],[Delivery Days]]&lt;=4, "Standard (3-4d)", "Delayed (5d+)"))</f>
        <v>Standard (3-4d)</v>
      </c>
      <c r="AF835">
        <v>0</v>
      </c>
    </row>
    <row r="836" spans="1:32" ht="15" x14ac:dyDescent="0.35">
      <c r="A836" t="s">
        <v>5479</v>
      </c>
      <c r="B836" s="1">
        <v>45464</v>
      </c>
      <c r="C836">
        <f>YEAR(OrdersTable[[#This Row],[Order Date]])</f>
        <v>2024</v>
      </c>
      <c r="D836" s="2">
        <f>DATE(YEAR(OrdersTable[[#This Row],[Order Date]]),MONTH(OrdersTable[[#This Row],[Order Date]]),1)</f>
        <v>45444</v>
      </c>
      <c r="E836">
        <f>MONTH(OrdersTable[[#This Row],[Order Date]])</f>
        <v>6</v>
      </c>
      <c r="F836" t="s">
        <v>2166</v>
      </c>
      <c r="G836" t="str">
        <f>IF(OrdersTable[[#This Row],[Order Date]]=_xlfn.MINIFS(Order_Date, Customer_ID, OrdersTable[[#This Row],[Customer ID]]), "New", "Repeat")</f>
        <v>New</v>
      </c>
      <c r="H836" t="s">
        <v>43</v>
      </c>
      <c r="I836" t="str">
        <f>INDEX(State!B:B,MATCH(OrdersTable[[#This Row],[State]],State!A:A,0))</f>
        <v>MP</v>
      </c>
      <c r="J836" t="str">
        <f>INDEX(State!C:C,MATCH(OrdersTable[[#This Row],[State Code]],State!B:B,0))</f>
        <v>West</v>
      </c>
      <c r="K836" t="s">
        <v>250</v>
      </c>
      <c r="L836" t="s">
        <v>23</v>
      </c>
      <c r="M836" t="s">
        <v>61</v>
      </c>
      <c r="N836" t="str">
        <f>INDEX(Products!B:B,MATCH(OrdersTable[[#This Row],[Product ID]],Products!A:A,0))</f>
        <v>Multivitamin Gummies</v>
      </c>
      <c r="O836" t="str">
        <f>INDEX(Products!C:C,MATCH(OrdersTable[[#This Row],[Product ID]],Products!A:A,0))</f>
        <v>Wellness</v>
      </c>
      <c r="P836">
        <v>2</v>
      </c>
      <c r="Q836" s="5">
        <v>699</v>
      </c>
      <c r="R836" s="74">
        <v>0.3</v>
      </c>
      <c r="S836" s="75">
        <f>OrdersTable[[#This Row],[Quantity]]*OrdersTable[[#This Row],[Unit Price]]</f>
        <v>1398</v>
      </c>
      <c r="T836" s="5">
        <f>OrdersTable[[#This Row],[Gross Sale]]*OrdersTable[[#This Row],[Discount_Clean2]]</f>
        <v>419.4</v>
      </c>
      <c r="U836" s="5">
        <f>OrdersTable[[#This Row],[Gross Sale]]-OrdersTable[[#This Row],[Discount Amount]]</f>
        <v>978.6</v>
      </c>
      <c r="V836" s="77">
        <f>INDEX(Products!E:E,MATCH(OrdersTable[[#This Row],[Product ID]],Products!A:A,0))</f>
        <v>238</v>
      </c>
      <c r="W836" s="77">
        <f>OrdersTable[[#This Row],[Quantity]]*OrdersTable[[#This Row],[Unit Cost]]</f>
        <v>476</v>
      </c>
      <c r="X836" s="77">
        <f>'Dropdown Lists'!$I$2*(1+OrdersTable[[#This Row],[Returned]])</f>
        <v>60</v>
      </c>
      <c r="Y836" s="76">
        <f>OrdersTable[[#This Row],[Net Revenue]]-OrdersTable[[#This Row],[COGS]]-OrdersTable[[#This Row],[Shipping Cost]]</f>
        <v>442.6</v>
      </c>
      <c r="Z836" s="78">
        <f>IFERROR(OrdersTable[[#This Row],[Profit]]/OrdersTable[[#This Row],[Net Revenue]],0)</f>
        <v>0.45227876558348662</v>
      </c>
      <c r="AA836" t="s">
        <v>2522</v>
      </c>
      <c r="AB836" s="79">
        <v>45468</v>
      </c>
      <c r="AC836">
        <f>OrdersTable[[#This Row],[Delivery Date]]-OrdersTable[[#This Row],[Order Date]]</f>
        <v>4</v>
      </c>
      <c r="AD836" t="str">
        <f>IF(OrdersTable[[#This Row],[Delivery Days]]&lt;=2, "Express (≤2d)", IF(OrdersTable[[#This Row],[Delivery Days]]&lt;=4, "Standard (3-4d)", "Delayed (5d+)"))</f>
        <v>Standard (3-4d)</v>
      </c>
      <c r="AE836">
        <v>4</v>
      </c>
      <c r="AF836">
        <v>0</v>
      </c>
    </row>
    <row r="837" spans="1:32" ht="15" x14ac:dyDescent="0.35">
      <c r="A837" t="s">
        <v>6067</v>
      </c>
      <c r="B837" s="1">
        <v>45464</v>
      </c>
      <c r="C837">
        <f>YEAR(OrdersTable[[#This Row],[Order Date]])</f>
        <v>2024</v>
      </c>
      <c r="D837" s="2">
        <f>DATE(YEAR(OrdersTable[[#This Row],[Order Date]]),MONTH(OrdersTable[[#This Row],[Order Date]]),1)</f>
        <v>45444</v>
      </c>
      <c r="E837">
        <f>MONTH(OrdersTable[[#This Row],[Order Date]])</f>
        <v>6</v>
      </c>
      <c r="F837" t="s">
        <v>1023</v>
      </c>
      <c r="G837" t="str">
        <f>IF(OrdersTable[[#This Row],[Order Date]]=_xlfn.MINIFS(Order_Date, Customer_ID, OrdersTable[[#This Row],[Customer ID]]), "New", "Repeat")</f>
        <v>New</v>
      </c>
      <c r="H837" t="s">
        <v>95</v>
      </c>
      <c r="I837" t="str">
        <f>INDEX(State!B:B,MATCH(OrdersTable[[#This Row],[State]],State!A:A,0))</f>
        <v>TG</v>
      </c>
      <c r="J837" t="str">
        <f>INDEX(State!C:C,MATCH(OrdersTable[[#This Row],[State Code]],State!B:B,0))</f>
        <v>South</v>
      </c>
      <c r="K837" t="s">
        <v>96</v>
      </c>
      <c r="L837" t="s">
        <v>65</v>
      </c>
      <c r="M837" t="s">
        <v>87</v>
      </c>
      <c r="N837" t="str">
        <f>INDEX(Products!B:B,MATCH(OrdersTable[[#This Row],[Product ID]],Products!A:A,0))</f>
        <v>Linen Kurta</v>
      </c>
      <c r="O837" t="str">
        <f>INDEX(Products!C:C,MATCH(OrdersTable[[#This Row],[Product ID]],Products!A:A,0))</f>
        <v>Apparel</v>
      </c>
      <c r="P837">
        <v>2</v>
      </c>
      <c r="Q837" s="5">
        <v>1499</v>
      </c>
      <c r="R837" s="74">
        <v>0.35</v>
      </c>
      <c r="S837" s="75">
        <f>OrdersTable[[#This Row],[Quantity]]*OrdersTable[[#This Row],[Unit Price]]</f>
        <v>2998</v>
      </c>
      <c r="T837" s="5">
        <f>OrdersTable[[#This Row],[Gross Sale]]*OrdersTable[[#This Row],[Discount_Clean2]]</f>
        <v>1049.3</v>
      </c>
      <c r="U837" s="5">
        <f>OrdersTable[[#This Row],[Gross Sale]]-OrdersTable[[#This Row],[Discount Amount]]</f>
        <v>1948.7</v>
      </c>
      <c r="V837" s="77">
        <f>INDEX(Products!E:E,MATCH(OrdersTable[[#This Row],[Product ID]],Products!A:A,0))</f>
        <v>630</v>
      </c>
      <c r="W837" s="77">
        <f>OrdersTable[[#This Row],[Quantity]]*OrdersTable[[#This Row],[Unit Cost]]</f>
        <v>1260</v>
      </c>
      <c r="X837" s="77">
        <f>'Dropdown Lists'!$I$2*(1+OrdersTable[[#This Row],[Returned]])</f>
        <v>120</v>
      </c>
      <c r="Y837" s="76">
        <f>OrdersTable[[#This Row],[Net Revenue]]-OrdersTable[[#This Row],[COGS]]-OrdersTable[[#This Row],[Shipping Cost]]</f>
        <v>568.70000000000005</v>
      </c>
      <c r="Z837" s="78">
        <f>IFERROR(OrdersTable[[#This Row],[Profit]]/OrdersTable[[#This Row],[Net Revenue]],0)</f>
        <v>0.29183558269615645</v>
      </c>
      <c r="AA837" t="s">
        <v>18</v>
      </c>
      <c r="AB837" s="79">
        <v>45466</v>
      </c>
      <c r="AC837">
        <f>OrdersTable[[#This Row],[Delivery Date]]-OrdersTable[[#This Row],[Order Date]]</f>
        <v>2</v>
      </c>
      <c r="AD837" t="str">
        <f>IF(OrdersTable[[#This Row],[Delivery Days]]&lt;=2, "Express (≤2d)", IF(OrdersTable[[#This Row],[Delivery Days]]&lt;=4, "Standard (3-4d)", "Delayed (5d+)"))</f>
        <v>Express (≤2d)</v>
      </c>
      <c r="AE837">
        <v>4</v>
      </c>
      <c r="AF837">
        <v>1</v>
      </c>
    </row>
    <row r="838" spans="1:32" ht="15" x14ac:dyDescent="0.35">
      <c r="A838" t="s">
        <v>3731</v>
      </c>
      <c r="B838" s="1">
        <v>45464</v>
      </c>
      <c r="C838">
        <f>YEAR(OrdersTable[[#This Row],[Order Date]])</f>
        <v>2024</v>
      </c>
      <c r="D838" s="2">
        <f>DATE(YEAR(OrdersTable[[#This Row],[Order Date]]),MONTH(OrdersTable[[#This Row],[Order Date]]),1)</f>
        <v>45444</v>
      </c>
      <c r="E838">
        <f>MONTH(OrdersTable[[#This Row],[Order Date]])</f>
        <v>6</v>
      </c>
      <c r="F838" t="s">
        <v>1154</v>
      </c>
      <c r="G838" t="str">
        <f>IF(OrdersTable[[#This Row],[Order Date]]=_xlfn.MINIFS(Order_Date, Customer_ID, OrdersTable[[#This Row],[Customer ID]]), "New", "Repeat")</f>
        <v>New</v>
      </c>
      <c r="H838" t="s">
        <v>167</v>
      </c>
      <c r="I838" t="str">
        <f>INDEX(State!B:B,MATCH(OrdersTable[[#This Row],[State]],State!A:A,0))</f>
        <v>KA</v>
      </c>
      <c r="J838" t="str">
        <f>INDEX(State!C:C,MATCH(OrdersTable[[#This Row],[State Code]],State!B:B,0))</f>
        <v>South</v>
      </c>
      <c r="K838" t="s">
        <v>190</v>
      </c>
      <c r="L838" t="s">
        <v>39</v>
      </c>
      <c r="M838" t="s">
        <v>29</v>
      </c>
      <c r="N838" t="str">
        <f>INDEX(Products!B:B,MATCH(OrdersTable[[#This Row],[Product ID]],Products!A:A,0))</f>
        <v>Joggers</v>
      </c>
      <c r="O838" t="str">
        <f>INDEX(Products!C:C,MATCH(OrdersTable[[#This Row],[Product ID]],Products!A:A,0))</f>
        <v>Apparel</v>
      </c>
      <c r="P838">
        <v>1</v>
      </c>
      <c r="Q838" s="5">
        <v>1199</v>
      </c>
      <c r="R838" s="74">
        <v>0.15</v>
      </c>
      <c r="S838" s="75">
        <f>OrdersTable[[#This Row],[Quantity]]*OrdersTable[[#This Row],[Unit Price]]</f>
        <v>1199</v>
      </c>
      <c r="T838" s="5">
        <f>OrdersTable[[#This Row],[Gross Sale]]*OrdersTable[[#This Row],[Discount_Clean2]]</f>
        <v>179.85</v>
      </c>
      <c r="U838" s="5">
        <f>OrdersTable[[#This Row],[Gross Sale]]-OrdersTable[[#This Row],[Discount Amount]]</f>
        <v>1019.15</v>
      </c>
      <c r="V838" s="77">
        <f>INDEX(Products!E:E,MATCH(OrdersTable[[#This Row],[Product ID]],Products!A:A,0))</f>
        <v>492</v>
      </c>
      <c r="W838" s="77">
        <f>OrdersTable[[#This Row],[Quantity]]*OrdersTable[[#This Row],[Unit Cost]]</f>
        <v>492</v>
      </c>
      <c r="X838" s="77">
        <f>'Dropdown Lists'!$I$2*(1+OrdersTable[[#This Row],[Returned]])</f>
        <v>60</v>
      </c>
      <c r="Y838" s="76">
        <f>OrdersTable[[#This Row],[Net Revenue]]-OrdersTable[[#This Row],[COGS]]-OrdersTable[[#This Row],[Shipping Cost]]</f>
        <v>467.15</v>
      </c>
      <c r="Z838" s="78">
        <f>IFERROR(OrdersTable[[#This Row],[Profit]]/OrdersTable[[#This Row],[Net Revenue]],0)</f>
        <v>0.45837217288917231</v>
      </c>
      <c r="AA838" t="s">
        <v>3495</v>
      </c>
      <c r="AB838" s="79">
        <v>45467</v>
      </c>
      <c r="AC838">
        <f>OrdersTable[[#This Row],[Delivery Date]]-OrdersTable[[#This Row],[Order Date]]</f>
        <v>3</v>
      </c>
      <c r="AD838" t="str">
        <f>IF(OrdersTable[[#This Row],[Delivery Days]]&lt;=2, "Express (≤2d)", IF(OrdersTable[[#This Row],[Delivery Days]]&lt;=4, "Standard (3-4d)", "Delayed (5d+)"))</f>
        <v>Standard (3-4d)</v>
      </c>
      <c r="AF838">
        <v>0</v>
      </c>
    </row>
    <row r="839" spans="1:32" ht="15" x14ac:dyDescent="0.35">
      <c r="A839" t="s">
        <v>4347</v>
      </c>
      <c r="B839" s="1">
        <v>45464</v>
      </c>
      <c r="C839">
        <f>YEAR(OrdersTable[[#This Row],[Order Date]])</f>
        <v>2024</v>
      </c>
      <c r="D839" s="2">
        <f>DATE(YEAR(OrdersTable[[#This Row],[Order Date]]),MONTH(OrdersTable[[#This Row],[Order Date]]),1)</f>
        <v>45444</v>
      </c>
      <c r="E839">
        <f>MONTH(OrdersTable[[#This Row],[Order Date]])</f>
        <v>6</v>
      </c>
      <c r="F839" t="s">
        <v>2692</v>
      </c>
      <c r="G839" t="str">
        <f>IF(OrdersTable[[#This Row],[Order Date]]=_xlfn.MINIFS(Order_Date, Customer_ID, OrdersTable[[#This Row],[Customer ID]]), "New", "Repeat")</f>
        <v>Repeat</v>
      </c>
      <c r="H839" t="s">
        <v>167</v>
      </c>
      <c r="I839" t="str">
        <f>INDEX(State!B:B,MATCH(OrdersTable[[#This Row],[State]],State!A:A,0))</f>
        <v>KA</v>
      </c>
      <c r="J839" t="str">
        <f>INDEX(State!C:C,MATCH(OrdersTable[[#This Row],[State Code]],State!B:B,0))</f>
        <v>South</v>
      </c>
      <c r="K839" t="s">
        <v>168</v>
      </c>
      <c r="L839" t="s">
        <v>23</v>
      </c>
      <c r="M839" t="s">
        <v>78</v>
      </c>
      <c r="N839" t="str">
        <f>INDEX(Products!B:B,MATCH(OrdersTable[[#This Row],[Product ID]],Products!A:A,0))</f>
        <v>Retinol Night Cream</v>
      </c>
      <c r="O839" t="str">
        <f>INDEX(Products!C:C,MATCH(OrdersTable[[#This Row],[Product ID]],Products!A:A,0))</f>
        <v>Skincare</v>
      </c>
      <c r="P839">
        <v>1</v>
      </c>
      <c r="Q839" s="5">
        <v>799</v>
      </c>
      <c r="R839" s="74">
        <v>0.05</v>
      </c>
      <c r="S839" s="75">
        <f>OrdersTable[[#This Row],[Quantity]]*OrdersTable[[#This Row],[Unit Price]]</f>
        <v>799</v>
      </c>
      <c r="T839" s="5">
        <f>OrdersTable[[#This Row],[Gross Sale]]*OrdersTable[[#This Row],[Discount_Clean2]]</f>
        <v>39.950000000000003</v>
      </c>
      <c r="U839" s="5">
        <f>OrdersTable[[#This Row],[Gross Sale]]-OrdersTable[[#This Row],[Discount Amount]]</f>
        <v>759.05</v>
      </c>
      <c r="V839" s="77">
        <f>INDEX(Products!E:E,MATCH(OrdersTable[[#This Row],[Product ID]],Products!A:A,0))</f>
        <v>216</v>
      </c>
      <c r="W839" s="77">
        <f>OrdersTable[[#This Row],[Quantity]]*OrdersTable[[#This Row],[Unit Cost]]</f>
        <v>216</v>
      </c>
      <c r="X839" s="77">
        <f>'Dropdown Lists'!$I$2*(1+OrdersTable[[#This Row],[Returned]])</f>
        <v>60</v>
      </c>
      <c r="Y839" s="76">
        <f>OrdersTable[[#This Row],[Net Revenue]]-OrdersTable[[#This Row],[COGS]]-OrdersTable[[#This Row],[Shipping Cost]]</f>
        <v>483.04999999999995</v>
      </c>
      <c r="Z839" s="78">
        <f>IFERROR(OrdersTable[[#This Row],[Profit]]/OrdersTable[[#This Row],[Net Revenue]],0)</f>
        <v>0.63638758975034582</v>
      </c>
      <c r="AA839" t="s">
        <v>4074</v>
      </c>
      <c r="AB839" s="79">
        <v>45465</v>
      </c>
      <c r="AC839">
        <f>OrdersTable[[#This Row],[Delivery Date]]-OrdersTable[[#This Row],[Order Date]]</f>
        <v>1</v>
      </c>
      <c r="AD839" t="str">
        <f>IF(OrdersTable[[#This Row],[Delivery Days]]&lt;=2, "Express (≤2d)", IF(OrdersTable[[#This Row],[Delivery Days]]&lt;=4, "Standard (3-4d)", "Delayed (5d+)"))</f>
        <v>Express (≤2d)</v>
      </c>
      <c r="AE839">
        <v>4</v>
      </c>
      <c r="AF839">
        <v>0</v>
      </c>
    </row>
    <row r="840" spans="1:32" ht="15" x14ac:dyDescent="0.35">
      <c r="A840" t="s">
        <v>3732</v>
      </c>
      <c r="B840" s="1">
        <v>45464</v>
      </c>
      <c r="C840">
        <f>YEAR(OrdersTable[[#This Row],[Order Date]])</f>
        <v>2024</v>
      </c>
      <c r="D840" s="2">
        <f>DATE(YEAR(OrdersTable[[#This Row],[Order Date]]),MONTH(OrdersTable[[#This Row],[Order Date]]),1)</f>
        <v>45444</v>
      </c>
      <c r="E840">
        <f>MONTH(OrdersTable[[#This Row],[Order Date]])</f>
        <v>6</v>
      </c>
      <c r="F840" t="s">
        <v>3039</v>
      </c>
      <c r="G840" t="str">
        <f>IF(OrdersTable[[#This Row],[Order Date]]=_xlfn.MINIFS(Order_Date, Customer_ID, OrdersTable[[#This Row],[Customer ID]]), "New", "Repeat")</f>
        <v>New</v>
      </c>
      <c r="H840" t="s">
        <v>167</v>
      </c>
      <c r="I840" t="str">
        <f>INDEX(State!B:B,MATCH(OrdersTable[[#This Row],[State]],State!A:A,0))</f>
        <v>KA</v>
      </c>
      <c r="J840" t="str">
        <f>INDEX(State!C:C,MATCH(OrdersTable[[#This Row],[State Code]],State!B:B,0))</f>
        <v>South</v>
      </c>
      <c r="K840" t="s">
        <v>168</v>
      </c>
      <c r="L840" t="s">
        <v>16</v>
      </c>
      <c r="M840" t="s">
        <v>176</v>
      </c>
      <c r="N840" t="str">
        <f>INDEX(Products!B:B,MATCH(OrdersTable[[#This Row],[Product ID]],Products!A:A,0))</f>
        <v>Denim Jacket</v>
      </c>
      <c r="O840" t="str">
        <f>INDEX(Products!C:C,MATCH(OrdersTable[[#This Row],[Product ID]],Products!A:A,0))</f>
        <v>Apparel</v>
      </c>
      <c r="P840">
        <v>1</v>
      </c>
      <c r="Q840" s="5">
        <v>2499</v>
      </c>
      <c r="R840" s="74">
        <v>0.05</v>
      </c>
      <c r="S840" s="75">
        <f>OrdersTable[[#This Row],[Quantity]]*OrdersTable[[#This Row],[Unit Price]]</f>
        <v>2499</v>
      </c>
      <c r="T840" s="5">
        <f>OrdersTable[[#This Row],[Gross Sale]]*OrdersTable[[#This Row],[Discount_Clean2]]</f>
        <v>124.95</v>
      </c>
      <c r="U840" s="5">
        <f>OrdersTable[[#This Row],[Gross Sale]]-OrdersTable[[#This Row],[Discount Amount]]</f>
        <v>2374.0500000000002</v>
      </c>
      <c r="V840" s="77">
        <f>INDEX(Products!E:E,MATCH(OrdersTable[[#This Row],[Product ID]],Products!A:A,0))</f>
        <v>1125</v>
      </c>
      <c r="W840" s="77">
        <f>OrdersTable[[#This Row],[Quantity]]*OrdersTable[[#This Row],[Unit Cost]]</f>
        <v>1125</v>
      </c>
      <c r="X840" s="77">
        <f>'Dropdown Lists'!$I$2*(1+OrdersTable[[#This Row],[Returned]])</f>
        <v>60</v>
      </c>
      <c r="Y840" s="76">
        <f>OrdersTable[[#This Row],[Net Revenue]]-OrdersTable[[#This Row],[COGS]]-OrdersTable[[#This Row],[Shipping Cost]]</f>
        <v>1189.0500000000002</v>
      </c>
      <c r="Z840" s="78">
        <f>IFERROR(OrdersTable[[#This Row],[Profit]]/OrdersTable[[#This Row],[Net Revenue]],0)</f>
        <v>0.50085297276805463</v>
      </c>
      <c r="AA840" t="s">
        <v>3495</v>
      </c>
      <c r="AB840" s="79">
        <v>45467</v>
      </c>
      <c r="AC840">
        <f>OrdersTable[[#This Row],[Delivery Date]]-OrdersTable[[#This Row],[Order Date]]</f>
        <v>3</v>
      </c>
      <c r="AD840" t="str">
        <f>IF(OrdersTable[[#This Row],[Delivery Days]]&lt;=2, "Express (≤2d)", IF(OrdersTable[[#This Row],[Delivery Days]]&lt;=4, "Standard (3-4d)", "Delayed (5d+)"))</f>
        <v>Standard (3-4d)</v>
      </c>
      <c r="AF840">
        <v>0</v>
      </c>
    </row>
    <row r="841" spans="1:32" ht="15" x14ac:dyDescent="0.35">
      <c r="A841" t="s">
        <v>7059</v>
      </c>
      <c r="B841" s="1">
        <v>45465</v>
      </c>
      <c r="C841">
        <f>YEAR(OrdersTable[[#This Row],[Order Date]])</f>
        <v>2024</v>
      </c>
      <c r="D841" s="2">
        <f>DATE(YEAR(OrdersTable[[#This Row],[Order Date]]),MONTH(OrdersTable[[#This Row],[Order Date]]),1)</f>
        <v>45444</v>
      </c>
      <c r="E841">
        <f>MONTH(OrdersTable[[#This Row],[Order Date]])</f>
        <v>6</v>
      </c>
      <c r="F841" t="s">
        <v>7060</v>
      </c>
      <c r="G841" t="str">
        <f>IF(OrdersTable[[#This Row],[Order Date]]=_xlfn.MINIFS(Order_Date, Customer_ID, OrdersTable[[#This Row],[Customer ID]]), "New", "Repeat")</f>
        <v>New</v>
      </c>
      <c r="H841" t="s">
        <v>76</v>
      </c>
      <c r="I841" t="str">
        <f>INDEX(State!B:B,MATCH(OrdersTable[[#This Row],[State]],State!A:A,0))</f>
        <v>UP</v>
      </c>
      <c r="J841" t="str">
        <f>INDEX(State!C:C,MATCH(OrdersTable[[#This Row],[State Code]],State!B:B,0))</f>
        <v>North</v>
      </c>
      <c r="K841" t="s">
        <v>118</v>
      </c>
      <c r="L841" t="s">
        <v>65</v>
      </c>
      <c r="M841" t="s">
        <v>78</v>
      </c>
      <c r="N841" t="str">
        <f>INDEX(Products!B:B,MATCH(OrdersTable[[#This Row],[Product ID]],Products!A:A,0))</f>
        <v>Retinol Night Cream</v>
      </c>
      <c r="O841" t="str">
        <f>INDEX(Products!C:C,MATCH(OrdersTable[[#This Row],[Product ID]],Products!A:A,0))</f>
        <v>Skincare</v>
      </c>
      <c r="P841">
        <v>4</v>
      </c>
      <c r="Q841" s="5">
        <v>799</v>
      </c>
      <c r="R841" s="74">
        <v>0.05</v>
      </c>
      <c r="S841" s="75">
        <f>OrdersTable[[#This Row],[Quantity]]*OrdersTable[[#This Row],[Unit Price]]</f>
        <v>3196</v>
      </c>
      <c r="T841" s="5">
        <f>OrdersTable[[#This Row],[Gross Sale]]*OrdersTable[[#This Row],[Discount_Clean2]]</f>
        <v>159.80000000000001</v>
      </c>
      <c r="U841" s="5">
        <f>OrdersTable[[#This Row],[Gross Sale]]-OrdersTable[[#This Row],[Discount Amount]]</f>
        <v>3036.2</v>
      </c>
      <c r="V841" s="77">
        <f>INDEX(Products!E:E,MATCH(OrdersTable[[#This Row],[Product ID]],Products!A:A,0))</f>
        <v>216</v>
      </c>
      <c r="W841" s="77">
        <f>OrdersTable[[#This Row],[Quantity]]*OrdersTable[[#This Row],[Unit Cost]]</f>
        <v>864</v>
      </c>
      <c r="X841" s="77">
        <f>'Dropdown Lists'!$I$2*(1+OrdersTable[[#This Row],[Returned]])</f>
        <v>60</v>
      </c>
      <c r="Y841" s="76">
        <f>OrdersTable[[#This Row],[Net Revenue]]-OrdersTable[[#This Row],[COGS]]-OrdersTable[[#This Row],[Shipping Cost]]</f>
        <v>2112.1999999999998</v>
      </c>
      <c r="Z841" s="78">
        <f>IFERROR(OrdersTable[[#This Row],[Profit]]/OrdersTable[[#This Row],[Net Revenue]],0)</f>
        <v>0.69567222185626765</v>
      </c>
      <c r="AA841" t="s">
        <v>18</v>
      </c>
      <c r="AB841" s="79">
        <v>45470</v>
      </c>
      <c r="AC841">
        <f>OrdersTable[[#This Row],[Delivery Date]]-OrdersTable[[#This Row],[Order Date]]</f>
        <v>5</v>
      </c>
      <c r="AD841" t="str">
        <f>IF(OrdersTable[[#This Row],[Delivery Days]]&lt;=2, "Express (≤2d)", IF(OrdersTable[[#This Row],[Delivery Days]]&lt;=4, "Standard (3-4d)", "Delayed (5d+)"))</f>
        <v>Delayed (5d+)</v>
      </c>
      <c r="AE841">
        <v>4</v>
      </c>
      <c r="AF841">
        <v>0</v>
      </c>
    </row>
    <row r="842" spans="1:32" ht="15" x14ac:dyDescent="0.35">
      <c r="A842" t="s">
        <v>2274</v>
      </c>
      <c r="B842" s="1">
        <v>45465</v>
      </c>
      <c r="C842">
        <f>YEAR(OrdersTable[[#This Row],[Order Date]])</f>
        <v>2024</v>
      </c>
      <c r="D842" s="2">
        <f>DATE(YEAR(OrdersTable[[#This Row],[Order Date]]),MONTH(OrdersTable[[#This Row],[Order Date]]),1)</f>
        <v>45444</v>
      </c>
      <c r="E842">
        <f>MONTH(OrdersTable[[#This Row],[Order Date]])</f>
        <v>6</v>
      </c>
      <c r="F842" t="s">
        <v>2275</v>
      </c>
      <c r="G842" t="str">
        <f>IF(OrdersTable[[#This Row],[Order Date]]=_xlfn.MINIFS(Order_Date, Customer_ID, OrdersTable[[#This Row],[Customer ID]]), "New", "Repeat")</f>
        <v>New</v>
      </c>
      <c r="H842" t="s">
        <v>43</v>
      </c>
      <c r="I842" t="str">
        <f>INDEX(State!B:B,MATCH(OrdersTable[[#This Row],[State]],State!A:A,0))</f>
        <v>MP</v>
      </c>
      <c r="J842" t="str">
        <f>INDEX(State!C:C,MATCH(OrdersTable[[#This Row],[State Code]],State!B:B,0))</f>
        <v>West</v>
      </c>
      <c r="K842" t="s">
        <v>250</v>
      </c>
      <c r="L842" t="s">
        <v>23</v>
      </c>
      <c r="M842" t="s">
        <v>228</v>
      </c>
      <c r="N842" t="str">
        <f>INDEX(Products!B:B,MATCH(OrdersTable[[#This Row],[Product ID]],Products!A:A,0))</f>
        <v>Fast Charger 33W</v>
      </c>
      <c r="O842" t="str">
        <f>INDEX(Products!C:C,MATCH(OrdersTable[[#This Row],[Product ID]],Products!A:A,0))</f>
        <v>Electronics</v>
      </c>
      <c r="P842">
        <v>1</v>
      </c>
      <c r="Q842" s="5">
        <v>899</v>
      </c>
      <c r="R842" s="74">
        <v>0.05</v>
      </c>
      <c r="S842" s="75">
        <f>OrdersTable[[#This Row],[Quantity]]*OrdersTable[[#This Row],[Unit Price]]</f>
        <v>899</v>
      </c>
      <c r="T842" s="5">
        <f>OrdersTable[[#This Row],[Gross Sale]]*OrdersTable[[#This Row],[Discount_Clean2]]</f>
        <v>44.95</v>
      </c>
      <c r="U842" s="5">
        <f>OrdersTable[[#This Row],[Gross Sale]]-OrdersTable[[#This Row],[Discount Amount]]</f>
        <v>854.05</v>
      </c>
      <c r="V842" s="77">
        <f>INDEX(Products!E:E,MATCH(OrdersTable[[#This Row],[Product ID]],Products!A:A,0))</f>
        <v>494</v>
      </c>
      <c r="W842" s="77">
        <f>OrdersTable[[#This Row],[Quantity]]*OrdersTable[[#This Row],[Unit Cost]]</f>
        <v>494</v>
      </c>
      <c r="X842" s="77">
        <f>'Dropdown Lists'!$I$2*(1+OrdersTable[[#This Row],[Returned]])</f>
        <v>120</v>
      </c>
      <c r="Y842" s="76">
        <f>OrdersTable[[#This Row],[Net Revenue]]-OrdersTable[[#This Row],[COGS]]-OrdersTable[[#This Row],[Shipping Cost]]</f>
        <v>240.04999999999995</v>
      </c>
      <c r="Z842" s="78">
        <f>IFERROR(OrdersTable[[#This Row],[Profit]]/OrdersTable[[#This Row],[Net Revenue]],0)</f>
        <v>0.281072536736725</v>
      </c>
      <c r="AA842" t="s">
        <v>18</v>
      </c>
      <c r="AB842" s="79">
        <v>45468</v>
      </c>
      <c r="AC842">
        <f>OrdersTable[[#This Row],[Delivery Date]]-OrdersTable[[#This Row],[Order Date]]</f>
        <v>3</v>
      </c>
      <c r="AD842" t="str">
        <f>IF(OrdersTable[[#This Row],[Delivery Days]]&lt;=2, "Express (≤2d)", IF(OrdersTable[[#This Row],[Delivery Days]]&lt;=4, "Standard (3-4d)", "Delayed (5d+)"))</f>
        <v>Standard (3-4d)</v>
      </c>
      <c r="AE842">
        <v>5</v>
      </c>
      <c r="AF842">
        <v>1</v>
      </c>
    </row>
    <row r="843" spans="1:32" ht="15" x14ac:dyDescent="0.35">
      <c r="A843" t="s">
        <v>3536</v>
      </c>
      <c r="B843" s="1">
        <v>45465</v>
      </c>
      <c r="C843">
        <f>YEAR(OrdersTable[[#This Row],[Order Date]])</f>
        <v>2024</v>
      </c>
      <c r="D843" s="2">
        <f>DATE(YEAR(OrdersTable[[#This Row],[Order Date]]),MONTH(OrdersTable[[#This Row],[Order Date]]),1)</f>
        <v>45444</v>
      </c>
      <c r="E843">
        <f>MONTH(OrdersTable[[#This Row],[Order Date]])</f>
        <v>6</v>
      </c>
      <c r="F843" t="s">
        <v>3537</v>
      </c>
      <c r="G843" t="str">
        <f>IF(OrdersTable[[#This Row],[Order Date]]=_xlfn.MINIFS(Order_Date, Customer_ID, OrdersTable[[#This Row],[Customer ID]]), "New", "Repeat")</f>
        <v>New</v>
      </c>
      <c r="H843" t="s">
        <v>71</v>
      </c>
      <c r="I843" t="str">
        <f>INDEX(State!B:B,MATCH(OrdersTable[[#This Row],[State]],State!A:A,0))</f>
        <v>MH</v>
      </c>
      <c r="J843" t="str">
        <f>INDEX(State!C:C,MATCH(OrdersTable[[#This Row],[State Code]],State!B:B,0))</f>
        <v>West</v>
      </c>
      <c r="K843" t="s">
        <v>72</v>
      </c>
      <c r="L843" t="s">
        <v>16</v>
      </c>
      <c r="M843" t="s">
        <v>255</v>
      </c>
      <c r="N843" t="str">
        <f>INDEX(Products!B:B,MATCH(OrdersTable[[#This Row],[Product ID]],Products!A:A,0))</f>
        <v>Cotton Oversized T-Shirt</v>
      </c>
      <c r="O843" t="str">
        <f>INDEX(Products!C:C,MATCH(OrdersTable[[#This Row],[Product ID]],Products!A:A,0))</f>
        <v>Apparel</v>
      </c>
      <c r="P843">
        <v>1</v>
      </c>
      <c r="Q843" s="5">
        <v>799</v>
      </c>
      <c r="R843" s="74">
        <v>0.1</v>
      </c>
      <c r="S843" s="75">
        <f>OrdersTable[[#This Row],[Quantity]]*OrdersTable[[#This Row],[Unit Price]]</f>
        <v>799</v>
      </c>
      <c r="T843" s="5">
        <f>OrdersTable[[#This Row],[Gross Sale]]*OrdersTable[[#This Row],[Discount_Clean2]]</f>
        <v>79.900000000000006</v>
      </c>
      <c r="U843" s="5">
        <f>OrdersTable[[#This Row],[Gross Sale]]-OrdersTable[[#This Row],[Discount Amount]]</f>
        <v>719.1</v>
      </c>
      <c r="V843" s="77">
        <f>INDEX(Products!E:E,MATCH(OrdersTable[[#This Row],[Product ID]],Products!A:A,0))</f>
        <v>320</v>
      </c>
      <c r="W843" s="77">
        <f>OrdersTable[[#This Row],[Quantity]]*OrdersTable[[#This Row],[Unit Cost]]</f>
        <v>320</v>
      </c>
      <c r="X843" s="77">
        <f>'Dropdown Lists'!$I$2*(1+OrdersTable[[#This Row],[Returned]])</f>
        <v>60</v>
      </c>
      <c r="Y843" s="76">
        <f>OrdersTable[[#This Row],[Net Revenue]]-OrdersTable[[#This Row],[COGS]]-OrdersTable[[#This Row],[Shipping Cost]]</f>
        <v>339.1</v>
      </c>
      <c r="Z843" s="78">
        <f>IFERROR(OrdersTable[[#This Row],[Profit]]/OrdersTable[[#This Row],[Net Revenue]],0)</f>
        <v>0.47156167431511614</v>
      </c>
      <c r="AA843" t="s">
        <v>3495</v>
      </c>
      <c r="AB843" s="79">
        <v>45467</v>
      </c>
      <c r="AC843">
        <f>OrdersTable[[#This Row],[Delivery Date]]-OrdersTable[[#This Row],[Order Date]]</f>
        <v>2</v>
      </c>
      <c r="AD843" t="str">
        <f>IF(OrdersTable[[#This Row],[Delivery Days]]&lt;=2, "Express (≤2d)", IF(OrdersTable[[#This Row],[Delivery Days]]&lt;=4, "Standard (3-4d)", "Delayed (5d+)"))</f>
        <v>Express (≤2d)</v>
      </c>
      <c r="AE843">
        <v>4</v>
      </c>
      <c r="AF843">
        <v>0</v>
      </c>
    </row>
    <row r="844" spans="1:32" ht="15" x14ac:dyDescent="0.35">
      <c r="A844" t="s">
        <v>6068</v>
      </c>
      <c r="B844" s="1">
        <v>45465</v>
      </c>
      <c r="C844">
        <f>YEAR(OrdersTable[[#This Row],[Order Date]])</f>
        <v>2024</v>
      </c>
      <c r="D844" s="2">
        <f>DATE(YEAR(OrdersTable[[#This Row],[Order Date]]),MONTH(OrdersTable[[#This Row],[Order Date]]),1)</f>
        <v>45444</v>
      </c>
      <c r="E844">
        <f>MONTH(OrdersTable[[#This Row],[Order Date]])</f>
        <v>6</v>
      </c>
      <c r="F844" t="s">
        <v>3865</v>
      </c>
      <c r="G844" t="str">
        <f>IF(OrdersTable[[#This Row],[Order Date]]=_xlfn.MINIFS(Order_Date, Customer_ID, OrdersTable[[#This Row],[Customer ID]]), "New", "Repeat")</f>
        <v>New</v>
      </c>
      <c r="H844" t="s">
        <v>95</v>
      </c>
      <c r="I844" t="str">
        <f>INDEX(State!B:B,MATCH(OrdersTable[[#This Row],[State]],State!A:A,0))</f>
        <v>TG</v>
      </c>
      <c r="J844" t="str">
        <f>INDEX(State!C:C,MATCH(OrdersTable[[#This Row],[State Code]],State!B:B,0))</f>
        <v>South</v>
      </c>
      <c r="K844" t="s">
        <v>96</v>
      </c>
      <c r="L844" t="s">
        <v>39</v>
      </c>
      <c r="M844" t="s">
        <v>423</v>
      </c>
      <c r="N844" t="str">
        <f>INDEX(Products!B:B,MATCH(OrdersTable[[#This Row],[Product ID]],Products!A:A,0))</f>
        <v>Power Bank 20000mAh</v>
      </c>
      <c r="O844" t="str">
        <f>INDEX(Products!C:C,MATCH(OrdersTable[[#This Row],[Product ID]],Products!A:A,0))</f>
        <v>Electronics</v>
      </c>
      <c r="P844">
        <v>2</v>
      </c>
      <c r="Q844" s="5">
        <v>1799</v>
      </c>
      <c r="R844" s="74">
        <v>0.3</v>
      </c>
      <c r="S844" s="75">
        <f>OrdersTable[[#This Row],[Quantity]]*OrdersTable[[#This Row],[Unit Price]]</f>
        <v>3598</v>
      </c>
      <c r="T844" s="5">
        <f>OrdersTable[[#This Row],[Gross Sale]]*OrdersTable[[#This Row],[Discount_Clean2]]</f>
        <v>1079.3999999999999</v>
      </c>
      <c r="U844" s="5">
        <f>OrdersTable[[#This Row],[Gross Sale]]-OrdersTable[[#This Row],[Discount Amount]]</f>
        <v>2518.6000000000004</v>
      </c>
      <c r="V844" s="77">
        <f>INDEX(Products!E:E,MATCH(OrdersTable[[#This Row],[Product ID]],Products!A:A,0))</f>
        <v>1079</v>
      </c>
      <c r="W844" s="77">
        <f>OrdersTable[[#This Row],[Quantity]]*OrdersTable[[#This Row],[Unit Cost]]</f>
        <v>2158</v>
      </c>
      <c r="X844" s="77">
        <f>'Dropdown Lists'!$I$2*(1+OrdersTable[[#This Row],[Returned]])</f>
        <v>60</v>
      </c>
      <c r="Y844" s="76">
        <f>OrdersTable[[#This Row],[Net Revenue]]-OrdersTable[[#This Row],[COGS]]-OrdersTable[[#This Row],[Shipping Cost]]</f>
        <v>300.60000000000036</v>
      </c>
      <c r="Z844" s="78">
        <f>IFERROR(OrdersTable[[#This Row],[Profit]]/OrdersTable[[#This Row],[Net Revenue]],0)</f>
        <v>0.11935202096402776</v>
      </c>
      <c r="AA844" t="s">
        <v>18</v>
      </c>
      <c r="AB844" s="79">
        <v>45468</v>
      </c>
      <c r="AC844">
        <f>OrdersTable[[#This Row],[Delivery Date]]-OrdersTable[[#This Row],[Order Date]]</f>
        <v>3</v>
      </c>
      <c r="AD844" t="str">
        <f>IF(OrdersTable[[#This Row],[Delivery Days]]&lt;=2, "Express (≤2d)", IF(OrdersTable[[#This Row],[Delivery Days]]&lt;=4, "Standard (3-4d)", "Delayed (5d+)"))</f>
        <v>Standard (3-4d)</v>
      </c>
      <c r="AE844">
        <v>4</v>
      </c>
      <c r="AF844">
        <v>0</v>
      </c>
    </row>
    <row r="845" spans="1:32" ht="15" x14ac:dyDescent="0.35">
      <c r="A845" t="s">
        <v>6674</v>
      </c>
      <c r="B845" s="1">
        <v>45466</v>
      </c>
      <c r="C845">
        <f>YEAR(OrdersTable[[#This Row],[Order Date]])</f>
        <v>2024</v>
      </c>
      <c r="D845" s="2">
        <f>DATE(YEAR(OrdersTable[[#This Row],[Order Date]]),MONTH(OrdersTable[[#This Row],[Order Date]]),1)</f>
        <v>45444</v>
      </c>
      <c r="E845">
        <f>MONTH(OrdersTable[[#This Row],[Order Date]])</f>
        <v>6</v>
      </c>
      <c r="F845" t="s">
        <v>1571</v>
      </c>
      <c r="G845" t="str">
        <f>IF(OrdersTable[[#This Row],[Order Date]]=_xlfn.MINIFS(Order_Date, Customer_ID, OrdersTable[[#This Row],[Customer ID]]), "New", "Repeat")</f>
        <v>New</v>
      </c>
      <c r="H845" t="s">
        <v>54</v>
      </c>
      <c r="I845" t="str">
        <f>INDEX(State!B:B,MATCH(OrdersTable[[#This Row],[State]],State!A:A,0))</f>
        <v>RJ</v>
      </c>
      <c r="J845" t="str">
        <f>INDEX(State!C:C,MATCH(OrdersTable[[#This Row],[State Code]],State!B:B,0))</f>
        <v>North</v>
      </c>
      <c r="K845" t="s">
        <v>227</v>
      </c>
      <c r="L845" t="s">
        <v>50</v>
      </c>
      <c r="M845" t="s">
        <v>106</v>
      </c>
      <c r="N845" t="str">
        <f>INDEX(Products!B:B,MATCH(OrdersTable[[#This Row],[Product ID]],Products!A:A,0))</f>
        <v>Keratin Hair Mask</v>
      </c>
      <c r="O845" t="str">
        <f>INDEX(Products!C:C,MATCH(OrdersTable[[#This Row],[Product ID]],Products!A:A,0))</f>
        <v>Haircare</v>
      </c>
      <c r="P845">
        <v>3</v>
      </c>
      <c r="Q845" s="5">
        <v>549</v>
      </c>
      <c r="R845" s="74">
        <v>0.1</v>
      </c>
      <c r="S845" s="75">
        <f>OrdersTable[[#This Row],[Quantity]]*OrdersTable[[#This Row],[Unit Price]]</f>
        <v>1647</v>
      </c>
      <c r="T845" s="5">
        <f>OrdersTable[[#This Row],[Gross Sale]]*OrdersTable[[#This Row],[Discount_Clean2]]</f>
        <v>164.70000000000002</v>
      </c>
      <c r="U845" s="5">
        <f>OrdersTable[[#This Row],[Gross Sale]]-OrdersTable[[#This Row],[Discount Amount]]</f>
        <v>1482.3</v>
      </c>
      <c r="V845" s="77">
        <f>INDEX(Products!E:E,MATCH(OrdersTable[[#This Row],[Product ID]],Products!A:A,0))</f>
        <v>170</v>
      </c>
      <c r="W845" s="77">
        <f>OrdersTable[[#This Row],[Quantity]]*OrdersTable[[#This Row],[Unit Cost]]</f>
        <v>510</v>
      </c>
      <c r="X845" s="77">
        <f>'Dropdown Lists'!$I$2*(1+OrdersTable[[#This Row],[Returned]])</f>
        <v>120</v>
      </c>
      <c r="Y845" s="76">
        <f>OrdersTable[[#This Row],[Net Revenue]]-OrdersTable[[#This Row],[COGS]]-OrdersTable[[#This Row],[Shipping Cost]]</f>
        <v>852.3</v>
      </c>
      <c r="Z845" s="78">
        <f>IFERROR(OrdersTable[[#This Row],[Profit]]/OrdersTable[[#This Row],[Net Revenue]],0)</f>
        <v>0.57498482088646019</v>
      </c>
      <c r="AA845" t="s">
        <v>2522</v>
      </c>
      <c r="AB845" s="79">
        <v>45471</v>
      </c>
      <c r="AC845">
        <f>OrdersTable[[#This Row],[Delivery Date]]-OrdersTable[[#This Row],[Order Date]]</f>
        <v>5</v>
      </c>
      <c r="AD845" t="str">
        <f>IF(OrdersTable[[#This Row],[Delivery Days]]&lt;=2, "Express (≤2d)", IF(OrdersTable[[#This Row],[Delivery Days]]&lt;=4, "Standard (3-4d)", "Delayed (5d+)"))</f>
        <v>Delayed (5d+)</v>
      </c>
      <c r="AE845">
        <v>4</v>
      </c>
      <c r="AF845">
        <v>1</v>
      </c>
    </row>
    <row r="846" spans="1:32" ht="15" x14ac:dyDescent="0.35">
      <c r="A846" t="s">
        <v>1224</v>
      </c>
      <c r="B846" s="1">
        <v>45466</v>
      </c>
      <c r="C846">
        <f>YEAR(OrdersTable[[#This Row],[Order Date]])</f>
        <v>2024</v>
      </c>
      <c r="D846" s="2">
        <f>DATE(YEAR(OrdersTable[[#This Row],[Order Date]]),MONTH(OrdersTable[[#This Row],[Order Date]]),1)</f>
        <v>45444</v>
      </c>
      <c r="E846">
        <f>MONTH(OrdersTable[[#This Row],[Order Date]])</f>
        <v>6</v>
      </c>
      <c r="F846" t="s">
        <v>1206</v>
      </c>
      <c r="G846" t="str">
        <f>IF(OrdersTable[[#This Row],[Order Date]]=_xlfn.MINIFS(Order_Date, Customer_ID, OrdersTable[[#This Row],[Customer ID]]), "New", "Repeat")</f>
        <v>New</v>
      </c>
      <c r="H846" t="s">
        <v>27</v>
      </c>
      <c r="I846" t="str">
        <f>INDEX(State!B:B,MATCH(OrdersTable[[#This Row],[State]],State!A:A,0))</f>
        <v>WB</v>
      </c>
      <c r="J846" t="str">
        <f>INDEX(State!C:C,MATCH(OrdersTable[[#This Row],[State Code]],State!B:B,0))</f>
        <v>East</v>
      </c>
      <c r="K846" t="s">
        <v>28</v>
      </c>
      <c r="L846" t="s">
        <v>16</v>
      </c>
      <c r="M846" t="s">
        <v>576</v>
      </c>
      <c r="N846" t="str">
        <f>INDEX(Products!B:B,MATCH(OrdersTable[[#This Row],[Product ID]],Products!A:A,0))</f>
        <v>Printed Saree</v>
      </c>
      <c r="O846" t="str">
        <f>INDEX(Products!C:C,MATCH(OrdersTable[[#This Row],[Product ID]],Products!A:A,0))</f>
        <v>Apparel</v>
      </c>
      <c r="P846">
        <v>1</v>
      </c>
      <c r="Q846" s="5">
        <v>1999</v>
      </c>
      <c r="R846" s="74">
        <v>0.1</v>
      </c>
      <c r="S846" s="75">
        <f>OrdersTable[[#This Row],[Quantity]]*OrdersTable[[#This Row],[Unit Price]]</f>
        <v>1999</v>
      </c>
      <c r="T846" s="5">
        <f>OrdersTable[[#This Row],[Gross Sale]]*OrdersTable[[#This Row],[Discount_Clean2]]</f>
        <v>199.9</v>
      </c>
      <c r="U846" s="5">
        <f>OrdersTable[[#This Row],[Gross Sale]]-OrdersTable[[#This Row],[Discount Amount]]</f>
        <v>1799.1</v>
      </c>
      <c r="V846" s="77">
        <f>INDEX(Products!E:E,MATCH(OrdersTable[[#This Row],[Product ID]],Products!A:A,0))</f>
        <v>880</v>
      </c>
      <c r="W846" s="77">
        <f>OrdersTable[[#This Row],[Quantity]]*OrdersTable[[#This Row],[Unit Cost]]</f>
        <v>880</v>
      </c>
      <c r="X846" s="77">
        <f>'Dropdown Lists'!$I$2*(1+OrdersTable[[#This Row],[Returned]])</f>
        <v>60</v>
      </c>
      <c r="Y846" s="76">
        <f>OrdersTable[[#This Row],[Net Revenue]]-OrdersTable[[#This Row],[COGS]]-OrdersTable[[#This Row],[Shipping Cost]]</f>
        <v>859.09999999999991</v>
      </c>
      <c r="Z846" s="78">
        <f>IFERROR(OrdersTable[[#This Row],[Profit]]/OrdersTable[[#This Row],[Net Revenue]],0)</f>
        <v>0.47751653604580063</v>
      </c>
      <c r="AA846" t="s">
        <v>18</v>
      </c>
      <c r="AB846" s="79">
        <v>45470</v>
      </c>
      <c r="AC846">
        <f>OrdersTable[[#This Row],[Delivery Date]]-OrdersTable[[#This Row],[Order Date]]</f>
        <v>4</v>
      </c>
      <c r="AD846" t="str">
        <f>IF(OrdersTable[[#This Row],[Delivery Days]]&lt;=2, "Express (≤2d)", IF(OrdersTable[[#This Row],[Delivery Days]]&lt;=4, "Standard (3-4d)", "Delayed (5d+)"))</f>
        <v>Standard (3-4d)</v>
      </c>
      <c r="AF846">
        <v>0</v>
      </c>
    </row>
    <row r="847" spans="1:32" ht="15" x14ac:dyDescent="0.35">
      <c r="A847" t="s">
        <v>2915</v>
      </c>
      <c r="B847" s="1">
        <v>45466</v>
      </c>
      <c r="C847">
        <f>YEAR(OrdersTable[[#This Row],[Order Date]])</f>
        <v>2024</v>
      </c>
      <c r="D847" s="2">
        <f>DATE(YEAR(OrdersTable[[#This Row],[Order Date]]),MONTH(OrdersTable[[#This Row],[Order Date]]),1)</f>
        <v>45444</v>
      </c>
      <c r="E847">
        <f>MONTH(OrdersTable[[#This Row],[Order Date]])</f>
        <v>6</v>
      </c>
      <c r="F847" t="s">
        <v>2916</v>
      </c>
      <c r="G847" t="str">
        <f>IF(OrdersTable[[#This Row],[Order Date]]=_xlfn.MINIFS(Order_Date, Customer_ID, OrdersTable[[#This Row],[Customer ID]]), "New", "Repeat")</f>
        <v>New</v>
      </c>
      <c r="H847" t="s">
        <v>95</v>
      </c>
      <c r="I847" t="str">
        <f>INDEX(State!B:B,MATCH(OrdersTable[[#This Row],[State]],State!A:A,0))</f>
        <v>TG</v>
      </c>
      <c r="J847" t="str">
        <f>INDEX(State!C:C,MATCH(OrdersTable[[#This Row],[State Code]],State!B:B,0))</f>
        <v>South</v>
      </c>
      <c r="K847" t="s">
        <v>96</v>
      </c>
      <c r="L847" t="s">
        <v>50</v>
      </c>
      <c r="M847" t="s">
        <v>40</v>
      </c>
      <c r="N847" t="str">
        <f>INDEX(Products!B:B,MATCH(OrdersTable[[#This Row],[Product ID]],Products!A:A,0))</f>
        <v>Ashwagandha Capsules</v>
      </c>
      <c r="O847" t="str">
        <f>INDEX(Products!C:C,MATCH(OrdersTable[[#This Row],[Product ID]],Products!A:A,0))</f>
        <v>Wellness</v>
      </c>
      <c r="P847">
        <v>1</v>
      </c>
      <c r="Q847" s="5">
        <v>499</v>
      </c>
      <c r="R847" s="74">
        <v>0</v>
      </c>
      <c r="S847" s="75">
        <f>OrdersTable[[#This Row],[Quantity]]*OrdersTable[[#This Row],[Unit Price]]</f>
        <v>499</v>
      </c>
      <c r="T847" s="5">
        <f>OrdersTable[[#This Row],[Gross Sale]]*OrdersTable[[#This Row],[Discount_Clean2]]</f>
        <v>0</v>
      </c>
      <c r="U847" s="5">
        <f>OrdersTable[[#This Row],[Gross Sale]]-OrdersTable[[#This Row],[Discount Amount]]</f>
        <v>499</v>
      </c>
      <c r="V847" s="77">
        <f>INDEX(Products!E:E,MATCH(OrdersTable[[#This Row],[Product ID]],Products!A:A,0))</f>
        <v>150</v>
      </c>
      <c r="W847" s="77">
        <f>OrdersTable[[#This Row],[Quantity]]*OrdersTable[[#This Row],[Unit Cost]]</f>
        <v>150</v>
      </c>
      <c r="X847" s="77">
        <f>'Dropdown Lists'!$I$2*(1+OrdersTable[[#This Row],[Returned]])</f>
        <v>60</v>
      </c>
      <c r="Y847" s="76">
        <f>OrdersTable[[#This Row],[Net Revenue]]-OrdersTable[[#This Row],[COGS]]-OrdersTable[[#This Row],[Shipping Cost]]</f>
        <v>289</v>
      </c>
      <c r="Z847" s="78">
        <f>IFERROR(OrdersTable[[#This Row],[Profit]]/OrdersTable[[#This Row],[Net Revenue]],0)</f>
        <v>0.57915831663326656</v>
      </c>
      <c r="AA847" t="s">
        <v>2522</v>
      </c>
      <c r="AB847" s="79">
        <v>45469</v>
      </c>
      <c r="AC847">
        <f>OrdersTable[[#This Row],[Delivery Date]]-OrdersTable[[#This Row],[Order Date]]</f>
        <v>3</v>
      </c>
      <c r="AD847" t="str">
        <f>IF(OrdersTable[[#This Row],[Delivery Days]]&lt;=2, "Express (≤2d)", IF(OrdersTable[[#This Row],[Delivery Days]]&lt;=4, "Standard (3-4d)", "Delayed (5d+)"))</f>
        <v>Standard (3-4d)</v>
      </c>
      <c r="AF847">
        <v>0</v>
      </c>
    </row>
    <row r="848" spans="1:32" ht="15" x14ac:dyDescent="0.35">
      <c r="A848" t="s">
        <v>6856</v>
      </c>
      <c r="B848" s="1">
        <v>45466</v>
      </c>
      <c r="C848">
        <f>YEAR(OrdersTable[[#This Row],[Order Date]])</f>
        <v>2024</v>
      </c>
      <c r="D848" s="2">
        <f>DATE(YEAR(OrdersTable[[#This Row],[Order Date]]),MONTH(OrdersTable[[#This Row],[Order Date]]),1)</f>
        <v>45444</v>
      </c>
      <c r="E848">
        <f>MONTH(OrdersTable[[#This Row],[Order Date]])</f>
        <v>6</v>
      </c>
      <c r="F848" t="s">
        <v>1391</v>
      </c>
      <c r="G848" t="str">
        <f>IF(OrdersTable[[#This Row],[Order Date]]=_xlfn.MINIFS(Order_Date, Customer_ID, OrdersTable[[#This Row],[Customer ID]]), "New", "Repeat")</f>
        <v>Repeat</v>
      </c>
      <c r="H848" t="s">
        <v>167</v>
      </c>
      <c r="I848" t="str">
        <f>INDEX(State!B:B,MATCH(OrdersTable[[#This Row],[State]],State!A:A,0))</f>
        <v>KA</v>
      </c>
      <c r="J848" t="str">
        <f>INDEX(State!C:C,MATCH(OrdersTable[[#This Row],[State Code]],State!B:B,0))</f>
        <v>South</v>
      </c>
      <c r="K848" t="s">
        <v>168</v>
      </c>
      <c r="L848" t="s">
        <v>50</v>
      </c>
      <c r="M848" t="s">
        <v>152</v>
      </c>
      <c r="N848" t="str">
        <f>INDEX(Products!B:B,MATCH(OrdersTable[[#This Row],[Product ID]],Products!A:A,0))</f>
        <v>Green Tea (100 bags)</v>
      </c>
      <c r="O848" t="str">
        <f>INDEX(Products!C:C,MATCH(OrdersTable[[#This Row],[Product ID]],Products!A:A,0))</f>
        <v>Wellness</v>
      </c>
      <c r="P848">
        <v>3</v>
      </c>
      <c r="Q848" s="5">
        <v>399</v>
      </c>
      <c r="R848" s="74">
        <v>0.35</v>
      </c>
      <c r="S848" s="75">
        <f>OrdersTable[[#This Row],[Quantity]]*OrdersTable[[#This Row],[Unit Price]]</f>
        <v>1197</v>
      </c>
      <c r="T848" s="5">
        <f>OrdersTable[[#This Row],[Gross Sale]]*OrdersTable[[#This Row],[Discount_Clean2]]</f>
        <v>418.95</v>
      </c>
      <c r="U848" s="5">
        <f>OrdersTable[[#This Row],[Gross Sale]]-OrdersTable[[#This Row],[Discount Amount]]</f>
        <v>778.05</v>
      </c>
      <c r="V848" s="77">
        <f>INDEX(Products!E:E,MATCH(OrdersTable[[#This Row],[Product ID]],Products!A:A,0))</f>
        <v>128</v>
      </c>
      <c r="W848" s="77">
        <f>OrdersTable[[#This Row],[Quantity]]*OrdersTable[[#This Row],[Unit Cost]]</f>
        <v>384</v>
      </c>
      <c r="X848" s="77">
        <f>'Dropdown Lists'!$I$2*(1+OrdersTable[[#This Row],[Returned]])</f>
        <v>60</v>
      </c>
      <c r="Y848" s="76">
        <f>OrdersTable[[#This Row],[Net Revenue]]-OrdersTable[[#This Row],[COGS]]-OrdersTable[[#This Row],[Shipping Cost]]</f>
        <v>334.04999999999995</v>
      </c>
      <c r="Z848" s="78">
        <f>IFERROR(OrdersTable[[#This Row],[Profit]]/OrdersTable[[#This Row],[Net Revenue]],0)</f>
        <v>0.42934258723732405</v>
      </c>
      <c r="AA848" t="s">
        <v>4074</v>
      </c>
      <c r="AB848" s="79">
        <v>45467</v>
      </c>
      <c r="AC848">
        <f>OrdersTable[[#This Row],[Delivery Date]]-OrdersTable[[#This Row],[Order Date]]</f>
        <v>1</v>
      </c>
      <c r="AD848" t="str">
        <f>IF(OrdersTable[[#This Row],[Delivery Days]]&lt;=2, "Express (≤2d)", IF(OrdersTable[[#This Row],[Delivery Days]]&lt;=4, "Standard (3-4d)", "Delayed (5d+)"))</f>
        <v>Express (≤2d)</v>
      </c>
      <c r="AF848">
        <v>0</v>
      </c>
    </row>
    <row r="849" spans="1:32" ht="15" x14ac:dyDescent="0.35">
      <c r="A849" t="s">
        <v>1858</v>
      </c>
      <c r="B849" s="1">
        <v>45467</v>
      </c>
      <c r="C849">
        <f>YEAR(OrdersTable[[#This Row],[Order Date]])</f>
        <v>2024</v>
      </c>
      <c r="D849" s="2">
        <f>DATE(YEAR(OrdersTable[[#This Row],[Order Date]]),MONTH(OrdersTable[[#This Row],[Order Date]]),1)</f>
        <v>45444</v>
      </c>
      <c r="E849">
        <f>MONTH(OrdersTable[[#This Row],[Order Date]])</f>
        <v>6</v>
      </c>
      <c r="F849" t="s">
        <v>1859</v>
      </c>
      <c r="G849" t="str">
        <f>IF(OrdersTable[[#This Row],[Order Date]]=_xlfn.MINIFS(Order_Date, Customer_ID, OrdersTable[[#This Row],[Customer ID]]), "New", "Repeat")</f>
        <v>New</v>
      </c>
      <c r="H849" t="s">
        <v>184</v>
      </c>
      <c r="I849" t="str">
        <f>INDEX(State!B:B,MATCH(OrdersTable[[#This Row],[State]],State!A:A,0))</f>
        <v>UK</v>
      </c>
      <c r="J849" t="str">
        <f>INDEX(State!C:C,MATCH(OrdersTable[[#This Row],[State Code]],State!B:B,0))</f>
        <v>North</v>
      </c>
      <c r="K849" t="s">
        <v>185</v>
      </c>
      <c r="L849" t="s">
        <v>16</v>
      </c>
      <c r="M849" t="s">
        <v>255</v>
      </c>
      <c r="N849" t="str">
        <f>INDEX(Products!B:B,MATCH(OrdersTable[[#This Row],[Product ID]],Products!A:A,0))</f>
        <v>Cotton Oversized T-Shirt</v>
      </c>
      <c r="O849" t="str">
        <f>INDEX(Products!C:C,MATCH(OrdersTable[[#This Row],[Product ID]],Products!A:A,0))</f>
        <v>Apparel</v>
      </c>
      <c r="P849">
        <v>1</v>
      </c>
      <c r="Q849" s="5">
        <v>799</v>
      </c>
      <c r="R849" s="74">
        <v>0.05</v>
      </c>
      <c r="S849" s="75">
        <f>OrdersTable[[#This Row],[Quantity]]*OrdersTable[[#This Row],[Unit Price]]</f>
        <v>799</v>
      </c>
      <c r="T849" s="5">
        <f>OrdersTable[[#This Row],[Gross Sale]]*OrdersTable[[#This Row],[Discount_Clean2]]</f>
        <v>39.950000000000003</v>
      </c>
      <c r="U849" s="5">
        <f>OrdersTable[[#This Row],[Gross Sale]]-OrdersTable[[#This Row],[Discount Amount]]</f>
        <v>759.05</v>
      </c>
      <c r="V849" s="77">
        <f>INDEX(Products!E:E,MATCH(OrdersTable[[#This Row],[Product ID]],Products!A:A,0))</f>
        <v>320</v>
      </c>
      <c r="W849" s="77">
        <f>OrdersTable[[#This Row],[Quantity]]*OrdersTable[[#This Row],[Unit Cost]]</f>
        <v>320</v>
      </c>
      <c r="X849" s="77">
        <f>'Dropdown Lists'!$I$2*(1+OrdersTable[[#This Row],[Returned]])</f>
        <v>60</v>
      </c>
      <c r="Y849" s="76">
        <f>OrdersTable[[#This Row],[Net Revenue]]-OrdersTable[[#This Row],[COGS]]-OrdersTable[[#This Row],[Shipping Cost]]</f>
        <v>379.04999999999995</v>
      </c>
      <c r="Z849" s="78">
        <f>IFERROR(OrdersTable[[#This Row],[Profit]]/OrdersTable[[#This Row],[Net Revenue]],0)</f>
        <v>0.49937421777221525</v>
      </c>
      <c r="AA849" t="s">
        <v>18</v>
      </c>
      <c r="AB849" s="79">
        <v>45471</v>
      </c>
      <c r="AC849">
        <f>OrdersTable[[#This Row],[Delivery Date]]-OrdersTable[[#This Row],[Order Date]]</f>
        <v>4</v>
      </c>
      <c r="AD849" t="str">
        <f>IF(OrdersTable[[#This Row],[Delivery Days]]&lt;=2, "Express (≤2d)", IF(OrdersTable[[#This Row],[Delivery Days]]&lt;=4, "Standard (3-4d)", "Delayed (5d+)"))</f>
        <v>Standard (3-4d)</v>
      </c>
      <c r="AE849">
        <v>3</v>
      </c>
      <c r="AF849">
        <v>0</v>
      </c>
    </row>
    <row r="850" spans="1:32" ht="15" x14ac:dyDescent="0.35">
      <c r="A850" t="s">
        <v>6285</v>
      </c>
      <c r="B850" s="1">
        <v>45467</v>
      </c>
      <c r="C850">
        <f>YEAR(OrdersTable[[#This Row],[Order Date]])</f>
        <v>2024</v>
      </c>
      <c r="D850" s="2">
        <f>DATE(YEAR(OrdersTable[[#This Row],[Order Date]]),MONTH(OrdersTable[[#This Row],[Order Date]]),1)</f>
        <v>45444</v>
      </c>
      <c r="E850">
        <f>MONTH(OrdersTable[[#This Row],[Order Date]])</f>
        <v>6</v>
      </c>
      <c r="F850" t="s">
        <v>6286</v>
      </c>
      <c r="G850" t="str">
        <f>IF(OrdersTable[[#This Row],[Order Date]]=_xlfn.MINIFS(Order_Date, Customer_ID, OrdersTable[[#This Row],[Customer ID]]), "New", "Repeat")</f>
        <v>New</v>
      </c>
      <c r="H850" t="s">
        <v>54</v>
      </c>
      <c r="I850" t="str">
        <f>INDEX(State!B:B,MATCH(OrdersTable[[#This Row],[State]],State!A:A,0))</f>
        <v>RJ</v>
      </c>
      <c r="J850" t="str">
        <f>INDEX(State!C:C,MATCH(OrdersTable[[#This Row],[State Code]],State!B:B,0))</f>
        <v>North</v>
      </c>
      <c r="K850" t="s">
        <v>55</v>
      </c>
      <c r="L850" t="s">
        <v>39</v>
      </c>
      <c r="M850" t="s">
        <v>51</v>
      </c>
      <c r="N850" t="str">
        <f>INDEX(Products!B:B,MATCH(OrdersTable[[#This Row],[Product ID]],Products!A:A,0))</f>
        <v>Anti-Dandruff Conditioner</v>
      </c>
      <c r="O850" t="str">
        <f>INDEX(Products!C:C,MATCH(OrdersTable[[#This Row],[Product ID]],Products!A:A,0))</f>
        <v>Haircare</v>
      </c>
      <c r="P850">
        <v>2</v>
      </c>
      <c r="Q850" s="5">
        <v>399</v>
      </c>
      <c r="R850" s="74">
        <v>0.25</v>
      </c>
      <c r="S850" s="75">
        <f>OrdersTable[[#This Row],[Quantity]]*OrdersTable[[#This Row],[Unit Price]]</f>
        <v>798</v>
      </c>
      <c r="T850" s="5">
        <f>OrdersTable[[#This Row],[Gross Sale]]*OrdersTable[[#This Row],[Discount_Clean2]]</f>
        <v>199.5</v>
      </c>
      <c r="U850" s="5">
        <f>OrdersTable[[#This Row],[Gross Sale]]-OrdersTable[[#This Row],[Discount Amount]]</f>
        <v>598.5</v>
      </c>
      <c r="V850" s="77">
        <f>INDEX(Products!E:E,MATCH(OrdersTable[[#This Row],[Product ID]],Products!A:A,0))</f>
        <v>136</v>
      </c>
      <c r="W850" s="77">
        <f>OrdersTable[[#This Row],[Quantity]]*OrdersTable[[#This Row],[Unit Cost]]</f>
        <v>272</v>
      </c>
      <c r="X850" s="77">
        <f>'Dropdown Lists'!$I$2*(1+OrdersTable[[#This Row],[Returned]])</f>
        <v>60</v>
      </c>
      <c r="Y850" s="76">
        <f>OrdersTable[[#This Row],[Net Revenue]]-OrdersTable[[#This Row],[COGS]]-OrdersTable[[#This Row],[Shipping Cost]]</f>
        <v>266.5</v>
      </c>
      <c r="Z850" s="78">
        <f>IFERROR(OrdersTable[[#This Row],[Profit]]/OrdersTable[[#This Row],[Net Revenue]],0)</f>
        <v>0.44527986633249789</v>
      </c>
      <c r="AA850" t="s">
        <v>18</v>
      </c>
      <c r="AB850" s="79">
        <v>45471</v>
      </c>
      <c r="AC850">
        <f>OrdersTable[[#This Row],[Delivery Date]]-OrdersTable[[#This Row],[Order Date]]</f>
        <v>4</v>
      </c>
      <c r="AD850" t="str">
        <f>IF(OrdersTable[[#This Row],[Delivery Days]]&lt;=2, "Express (≤2d)", IF(OrdersTable[[#This Row],[Delivery Days]]&lt;=4, "Standard (3-4d)", "Delayed (5d+)"))</f>
        <v>Standard (3-4d)</v>
      </c>
      <c r="AE850">
        <v>4</v>
      </c>
      <c r="AF850">
        <v>0</v>
      </c>
    </row>
    <row r="851" spans="1:32" ht="15" x14ac:dyDescent="0.35">
      <c r="A851" t="s">
        <v>4664</v>
      </c>
      <c r="B851" s="1">
        <v>45467</v>
      </c>
      <c r="C851">
        <f>YEAR(OrdersTable[[#This Row],[Order Date]])</f>
        <v>2024</v>
      </c>
      <c r="D851" s="2">
        <f>DATE(YEAR(OrdersTable[[#This Row],[Order Date]]),MONTH(OrdersTable[[#This Row],[Order Date]]),1)</f>
        <v>45444</v>
      </c>
      <c r="E851">
        <f>MONTH(OrdersTable[[#This Row],[Order Date]])</f>
        <v>6</v>
      </c>
      <c r="F851" t="s">
        <v>607</v>
      </c>
      <c r="G851" t="str">
        <f>IF(OrdersTable[[#This Row],[Order Date]]=_xlfn.MINIFS(Order_Date, Customer_ID, OrdersTable[[#This Row],[Customer ID]]), "New", "Repeat")</f>
        <v>New</v>
      </c>
      <c r="H851" t="s">
        <v>32</v>
      </c>
      <c r="I851" t="str">
        <f>INDEX(State!B:B,MATCH(OrdersTable[[#This Row],[State]],State!A:A,0))</f>
        <v>BR</v>
      </c>
      <c r="J851" t="str">
        <f>INDEX(State!C:C,MATCH(OrdersTable[[#This Row],[State Code]],State!B:B,0))</f>
        <v>East</v>
      </c>
      <c r="K851" t="s">
        <v>33</v>
      </c>
      <c r="L851" t="s">
        <v>39</v>
      </c>
      <c r="M851" t="s">
        <v>109</v>
      </c>
      <c r="N851" t="str">
        <f>INDEX(Products!B:B,MATCH(OrdersTable[[#This Row],[Product ID]],Products!A:A,0))</f>
        <v>Onion Hair Oil</v>
      </c>
      <c r="O851" t="str">
        <f>INDEX(Products!C:C,MATCH(OrdersTable[[#This Row],[Product ID]],Products!A:A,0))</f>
        <v>Haircare</v>
      </c>
      <c r="P851">
        <v>1</v>
      </c>
      <c r="Q851" s="5">
        <v>349</v>
      </c>
      <c r="R851" s="74">
        <v>0.25</v>
      </c>
      <c r="S851" s="75">
        <f>OrdersTable[[#This Row],[Quantity]]*OrdersTable[[#This Row],[Unit Price]]</f>
        <v>349</v>
      </c>
      <c r="T851" s="5">
        <f>OrdersTable[[#This Row],[Gross Sale]]*OrdersTable[[#This Row],[Discount_Clean2]]</f>
        <v>87.25</v>
      </c>
      <c r="U851" s="5">
        <f>OrdersTable[[#This Row],[Gross Sale]]-OrdersTable[[#This Row],[Discount Amount]]</f>
        <v>261.75</v>
      </c>
      <c r="V851" s="77">
        <f>INDEX(Products!E:E,MATCH(OrdersTable[[#This Row],[Product ID]],Products!A:A,0))</f>
        <v>105</v>
      </c>
      <c r="W851" s="77">
        <f>OrdersTable[[#This Row],[Quantity]]*OrdersTable[[#This Row],[Unit Cost]]</f>
        <v>105</v>
      </c>
      <c r="X851" s="77">
        <f>'Dropdown Lists'!$I$2*(1+OrdersTable[[#This Row],[Returned]])</f>
        <v>60</v>
      </c>
      <c r="Y851" s="76">
        <f>OrdersTable[[#This Row],[Net Revenue]]-OrdersTable[[#This Row],[COGS]]-OrdersTable[[#This Row],[Shipping Cost]]</f>
        <v>96.75</v>
      </c>
      <c r="Z851" s="78">
        <f>IFERROR(OrdersTable[[#This Row],[Profit]]/OrdersTable[[#This Row],[Net Revenue]],0)</f>
        <v>0.36962750716332377</v>
      </c>
      <c r="AA851" t="s">
        <v>4450</v>
      </c>
      <c r="AB851" s="79">
        <v>45472</v>
      </c>
      <c r="AC851">
        <f>OrdersTable[[#This Row],[Delivery Date]]-OrdersTable[[#This Row],[Order Date]]</f>
        <v>5</v>
      </c>
      <c r="AD851" t="str">
        <f>IF(OrdersTable[[#This Row],[Delivery Days]]&lt;=2, "Express (≤2d)", IF(OrdersTable[[#This Row],[Delivery Days]]&lt;=4, "Standard (3-4d)", "Delayed (5d+)"))</f>
        <v>Delayed (5d+)</v>
      </c>
      <c r="AE851">
        <v>3</v>
      </c>
      <c r="AF851">
        <v>0</v>
      </c>
    </row>
    <row r="852" spans="1:32" ht="15" x14ac:dyDescent="0.35">
      <c r="A852" t="s">
        <v>5480</v>
      </c>
      <c r="B852" s="1">
        <v>45467</v>
      </c>
      <c r="C852">
        <f>YEAR(OrdersTable[[#This Row],[Order Date]])</f>
        <v>2024</v>
      </c>
      <c r="D852" s="2">
        <f>DATE(YEAR(OrdersTable[[#This Row],[Order Date]]),MONTH(OrdersTable[[#This Row],[Order Date]]),1)</f>
        <v>45444</v>
      </c>
      <c r="E852">
        <f>MONTH(OrdersTable[[#This Row],[Order Date]])</f>
        <v>6</v>
      </c>
      <c r="F852" t="s">
        <v>4254</v>
      </c>
      <c r="G852" t="str">
        <f>IF(OrdersTable[[#This Row],[Order Date]]=_xlfn.MINIFS(Order_Date, Customer_ID, OrdersTable[[#This Row],[Customer ID]]), "New", "Repeat")</f>
        <v>Repeat</v>
      </c>
      <c r="H852" t="s">
        <v>27</v>
      </c>
      <c r="I852" t="str">
        <f>INDEX(State!B:B,MATCH(OrdersTable[[#This Row],[State]],State!A:A,0))</f>
        <v>WB</v>
      </c>
      <c r="J852" t="str">
        <f>INDEX(State!C:C,MATCH(OrdersTable[[#This Row],[State Code]],State!B:B,0))</f>
        <v>East</v>
      </c>
      <c r="K852" t="s">
        <v>28</v>
      </c>
      <c r="L852" t="s">
        <v>50</v>
      </c>
      <c r="M852" t="s">
        <v>109</v>
      </c>
      <c r="N852" t="str">
        <f>INDEX(Products!B:B,MATCH(OrdersTable[[#This Row],[Product ID]],Products!A:A,0))</f>
        <v>Onion Hair Oil</v>
      </c>
      <c r="O852" t="str">
        <f>INDEX(Products!C:C,MATCH(OrdersTable[[#This Row],[Product ID]],Products!A:A,0))</f>
        <v>Haircare</v>
      </c>
      <c r="P852">
        <v>2</v>
      </c>
      <c r="Q852" s="5">
        <v>349</v>
      </c>
      <c r="R852" s="74">
        <v>0.3</v>
      </c>
      <c r="S852" s="75">
        <f>OrdersTable[[#This Row],[Quantity]]*OrdersTable[[#This Row],[Unit Price]]</f>
        <v>698</v>
      </c>
      <c r="T852" s="5">
        <f>OrdersTable[[#This Row],[Gross Sale]]*OrdersTable[[#This Row],[Discount_Clean2]]</f>
        <v>209.4</v>
      </c>
      <c r="U852" s="5">
        <f>OrdersTable[[#This Row],[Gross Sale]]-OrdersTable[[#This Row],[Discount Amount]]</f>
        <v>488.6</v>
      </c>
      <c r="V852" s="77">
        <f>INDEX(Products!E:E,MATCH(OrdersTable[[#This Row],[Product ID]],Products!A:A,0))</f>
        <v>105</v>
      </c>
      <c r="W852" s="77">
        <f>OrdersTable[[#This Row],[Quantity]]*OrdersTable[[#This Row],[Unit Cost]]</f>
        <v>210</v>
      </c>
      <c r="X852" s="77">
        <f>'Dropdown Lists'!$I$2*(1+OrdersTable[[#This Row],[Returned]])</f>
        <v>60</v>
      </c>
      <c r="Y852" s="76">
        <f>OrdersTable[[#This Row],[Net Revenue]]-OrdersTable[[#This Row],[COGS]]-OrdersTable[[#This Row],[Shipping Cost]]</f>
        <v>218.60000000000002</v>
      </c>
      <c r="Z852" s="78">
        <f>IFERROR(OrdersTable[[#This Row],[Profit]]/OrdersTable[[#This Row],[Net Revenue]],0)</f>
        <v>0.44740073679901765</v>
      </c>
      <c r="AA852" t="s">
        <v>2522</v>
      </c>
      <c r="AB852" s="79">
        <v>45471</v>
      </c>
      <c r="AC852">
        <f>OrdersTable[[#This Row],[Delivery Date]]-OrdersTable[[#This Row],[Order Date]]</f>
        <v>4</v>
      </c>
      <c r="AD852" t="str">
        <f>IF(OrdersTable[[#This Row],[Delivery Days]]&lt;=2, "Express (≤2d)", IF(OrdersTable[[#This Row],[Delivery Days]]&lt;=4, "Standard (3-4d)", "Delayed (5d+)"))</f>
        <v>Standard (3-4d)</v>
      </c>
      <c r="AE852">
        <v>4</v>
      </c>
      <c r="AF852">
        <v>0</v>
      </c>
    </row>
    <row r="853" spans="1:32" ht="15" x14ac:dyDescent="0.35">
      <c r="A853" t="s">
        <v>746</v>
      </c>
      <c r="B853" s="1">
        <v>45467</v>
      </c>
      <c r="C853">
        <f>YEAR(OrdersTable[[#This Row],[Order Date]])</f>
        <v>2024</v>
      </c>
      <c r="D853" s="2">
        <f>DATE(YEAR(OrdersTable[[#This Row],[Order Date]]),MONTH(OrdersTable[[#This Row],[Order Date]]),1)</f>
        <v>45444</v>
      </c>
      <c r="E853">
        <f>MONTH(OrdersTable[[#This Row],[Order Date]])</f>
        <v>6</v>
      </c>
      <c r="F853" t="s">
        <v>747</v>
      </c>
      <c r="G853" t="str">
        <f>IF(OrdersTable[[#This Row],[Order Date]]=_xlfn.MINIFS(Order_Date, Customer_ID, OrdersTable[[#This Row],[Customer ID]]), "New", "Repeat")</f>
        <v>New</v>
      </c>
      <c r="H853" t="s">
        <v>71</v>
      </c>
      <c r="I853" t="str">
        <f>INDEX(State!B:B,MATCH(OrdersTable[[#This Row],[State]],State!A:A,0))</f>
        <v>MH</v>
      </c>
      <c r="J853" t="str">
        <f>INDEX(State!C:C,MATCH(OrdersTable[[#This Row],[State Code]],State!B:B,0))</f>
        <v>West</v>
      </c>
      <c r="K853" t="s">
        <v>102</v>
      </c>
      <c r="L853" t="s">
        <v>50</v>
      </c>
      <c r="M853" t="s">
        <v>61</v>
      </c>
      <c r="N853" t="str">
        <f>INDEX(Products!B:B,MATCH(OrdersTable[[#This Row],[Product ID]],Products!A:A,0))</f>
        <v>Multivitamin Gummies</v>
      </c>
      <c r="O853" t="str">
        <f>INDEX(Products!C:C,MATCH(OrdersTable[[#This Row],[Product ID]],Products!A:A,0))</f>
        <v>Wellness</v>
      </c>
      <c r="P853">
        <v>1</v>
      </c>
      <c r="Q853" s="5">
        <v>699</v>
      </c>
      <c r="R853" s="74">
        <v>0.25</v>
      </c>
      <c r="S853" s="75">
        <f>OrdersTable[[#This Row],[Quantity]]*OrdersTable[[#This Row],[Unit Price]]</f>
        <v>699</v>
      </c>
      <c r="T853" s="5">
        <f>OrdersTable[[#This Row],[Gross Sale]]*OrdersTable[[#This Row],[Discount_Clean2]]</f>
        <v>174.75</v>
      </c>
      <c r="U853" s="5">
        <f>OrdersTable[[#This Row],[Gross Sale]]-OrdersTable[[#This Row],[Discount Amount]]</f>
        <v>524.25</v>
      </c>
      <c r="V853" s="77">
        <f>INDEX(Products!E:E,MATCH(OrdersTable[[#This Row],[Product ID]],Products!A:A,0))</f>
        <v>238</v>
      </c>
      <c r="W853" s="77">
        <f>OrdersTable[[#This Row],[Quantity]]*OrdersTable[[#This Row],[Unit Cost]]</f>
        <v>238</v>
      </c>
      <c r="X853" s="77">
        <f>'Dropdown Lists'!$I$2*(1+OrdersTable[[#This Row],[Returned]])</f>
        <v>60</v>
      </c>
      <c r="Y853" s="76">
        <f>OrdersTable[[#This Row],[Net Revenue]]-OrdersTable[[#This Row],[COGS]]-OrdersTable[[#This Row],[Shipping Cost]]</f>
        <v>226.25</v>
      </c>
      <c r="Z853" s="78">
        <f>IFERROR(OrdersTable[[#This Row],[Profit]]/OrdersTable[[#This Row],[Net Revenue]],0)</f>
        <v>0.43156890796375774</v>
      </c>
      <c r="AA853" t="s">
        <v>18</v>
      </c>
      <c r="AB853" s="79">
        <v>45470</v>
      </c>
      <c r="AC853">
        <f>OrdersTable[[#This Row],[Delivery Date]]-OrdersTable[[#This Row],[Order Date]]</f>
        <v>3</v>
      </c>
      <c r="AD853" t="str">
        <f>IF(OrdersTable[[#This Row],[Delivery Days]]&lt;=2, "Express (≤2d)", IF(OrdersTable[[#This Row],[Delivery Days]]&lt;=4, "Standard (3-4d)", "Delayed (5d+)"))</f>
        <v>Standard (3-4d)</v>
      </c>
      <c r="AE853">
        <v>4</v>
      </c>
      <c r="AF853">
        <v>0</v>
      </c>
    </row>
    <row r="854" spans="1:32" ht="15" x14ac:dyDescent="0.35">
      <c r="A854" t="s">
        <v>134</v>
      </c>
      <c r="B854" s="1">
        <v>45467</v>
      </c>
      <c r="C854">
        <f>YEAR(OrdersTable[[#This Row],[Order Date]])</f>
        <v>2024</v>
      </c>
      <c r="D854" s="2">
        <f>DATE(YEAR(OrdersTable[[#This Row],[Order Date]]),MONTH(OrdersTable[[#This Row],[Order Date]]),1)</f>
        <v>45444</v>
      </c>
      <c r="E854">
        <f>MONTH(OrdersTable[[#This Row],[Order Date]])</f>
        <v>6</v>
      </c>
      <c r="F854" t="s">
        <v>135</v>
      </c>
      <c r="G854" t="str">
        <f>IF(OrdersTable[[#This Row],[Order Date]]=_xlfn.MINIFS(Order_Date, Customer_ID, OrdersTable[[#This Row],[Customer ID]]), "New", "Repeat")</f>
        <v>Repeat</v>
      </c>
      <c r="H854" t="s">
        <v>95</v>
      </c>
      <c r="I854" t="str">
        <f>INDEX(State!B:B,MATCH(OrdersTable[[#This Row],[State]],State!A:A,0))</f>
        <v>TG</v>
      </c>
      <c r="J854" t="str">
        <f>INDEX(State!C:C,MATCH(OrdersTable[[#This Row],[State Code]],State!B:B,0))</f>
        <v>South</v>
      </c>
      <c r="K854" t="s">
        <v>96</v>
      </c>
      <c r="L854" t="s">
        <v>16</v>
      </c>
      <c r="M854" t="s">
        <v>92</v>
      </c>
      <c r="N854" t="str">
        <f>INDEX(Products!B:B,MATCH(OrdersTable[[#This Row],[Product ID]],Products!A:A,0))</f>
        <v>Kolhapuri Sandals</v>
      </c>
      <c r="O854" t="str">
        <f>INDEX(Products!C:C,MATCH(OrdersTable[[#This Row],[Product ID]],Products!A:A,0))</f>
        <v>Footwear</v>
      </c>
      <c r="P854">
        <v>1</v>
      </c>
      <c r="Q854" s="5">
        <v>999</v>
      </c>
      <c r="R854" s="74">
        <v>0.1</v>
      </c>
      <c r="S854" s="75">
        <f>OrdersTable[[#This Row],[Quantity]]*OrdersTable[[#This Row],[Unit Price]]</f>
        <v>999</v>
      </c>
      <c r="T854" s="5">
        <f>OrdersTable[[#This Row],[Gross Sale]]*OrdersTable[[#This Row],[Discount_Clean2]]</f>
        <v>99.9</v>
      </c>
      <c r="U854" s="5">
        <f>OrdersTable[[#This Row],[Gross Sale]]-OrdersTable[[#This Row],[Discount Amount]]</f>
        <v>899.1</v>
      </c>
      <c r="V854" s="77">
        <f>INDEX(Products!E:E,MATCH(OrdersTable[[#This Row],[Product ID]],Products!A:A,0))</f>
        <v>400</v>
      </c>
      <c r="W854" s="77">
        <f>OrdersTable[[#This Row],[Quantity]]*OrdersTable[[#This Row],[Unit Cost]]</f>
        <v>400</v>
      </c>
      <c r="X854" s="77">
        <f>'Dropdown Lists'!$I$2*(1+OrdersTable[[#This Row],[Returned]])</f>
        <v>60</v>
      </c>
      <c r="Y854" s="76">
        <f>OrdersTable[[#This Row],[Net Revenue]]-OrdersTable[[#This Row],[COGS]]-OrdersTable[[#This Row],[Shipping Cost]]</f>
        <v>439.1</v>
      </c>
      <c r="Z854" s="78">
        <f>IFERROR(OrdersTable[[#This Row],[Profit]]/OrdersTable[[#This Row],[Net Revenue]],0)</f>
        <v>0.48837726615504395</v>
      </c>
      <c r="AA854" t="s">
        <v>18</v>
      </c>
      <c r="AB854" s="79">
        <v>45471</v>
      </c>
      <c r="AC854">
        <f>OrdersTable[[#This Row],[Delivery Date]]-OrdersTable[[#This Row],[Order Date]]</f>
        <v>4</v>
      </c>
      <c r="AD854" t="str">
        <f>IF(OrdersTable[[#This Row],[Delivery Days]]&lt;=2, "Express (≤2d)", IF(OrdersTable[[#This Row],[Delivery Days]]&lt;=4, "Standard (3-4d)", "Delayed (5d+)"))</f>
        <v>Standard (3-4d)</v>
      </c>
      <c r="AE854">
        <v>4</v>
      </c>
      <c r="AF854">
        <v>0</v>
      </c>
    </row>
    <row r="855" spans="1:32" ht="15" x14ac:dyDescent="0.35">
      <c r="A855" t="s">
        <v>6765</v>
      </c>
      <c r="B855" s="1">
        <v>45467</v>
      </c>
      <c r="C855">
        <f>YEAR(OrdersTable[[#This Row],[Order Date]])</f>
        <v>2024</v>
      </c>
      <c r="D855" s="2">
        <f>DATE(YEAR(OrdersTable[[#This Row],[Order Date]]),MONTH(OrdersTable[[#This Row],[Order Date]]),1)</f>
        <v>45444</v>
      </c>
      <c r="E855">
        <f>MONTH(OrdersTable[[#This Row],[Order Date]])</f>
        <v>6</v>
      </c>
      <c r="F855" t="s">
        <v>6766</v>
      </c>
      <c r="G855" t="str">
        <f>IF(OrdersTable[[#This Row],[Order Date]]=_xlfn.MINIFS(Order_Date, Customer_ID, OrdersTable[[#This Row],[Customer ID]]), "New", "Repeat")</f>
        <v>New</v>
      </c>
      <c r="H855" t="s">
        <v>95</v>
      </c>
      <c r="I855" t="str">
        <f>INDEX(State!B:B,MATCH(OrdersTable[[#This Row],[State]],State!A:A,0))</f>
        <v>TG</v>
      </c>
      <c r="J855" t="str">
        <f>INDEX(State!C:C,MATCH(OrdersTable[[#This Row],[State Code]],State!B:B,0))</f>
        <v>South</v>
      </c>
      <c r="K855" t="s">
        <v>96</v>
      </c>
      <c r="L855" t="s">
        <v>65</v>
      </c>
      <c r="M855" t="s">
        <v>17</v>
      </c>
      <c r="N855" t="str">
        <f>INDEX(Products!B:B,MATCH(OrdersTable[[#This Row],[Product ID]],Products!A:A,0))</f>
        <v>Casual Sneakers</v>
      </c>
      <c r="O855" t="str">
        <f>INDEX(Products!C:C,MATCH(OrdersTable[[#This Row],[Product ID]],Products!A:A,0))</f>
        <v>Footwear</v>
      </c>
      <c r="P855">
        <v>3</v>
      </c>
      <c r="Q855" s="5">
        <v>2199</v>
      </c>
      <c r="R855" s="74">
        <v>0.15</v>
      </c>
      <c r="S855" s="75">
        <f>OrdersTable[[#This Row],[Quantity]]*OrdersTable[[#This Row],[Unit Price]]</f>
        <v>6597</v>
      </c>
      <c r="T855" s="5">
        <f>OrdersTable[[#This Row],[Gross Sale]]*OrdersTable[[#This Row],[Discount_Clean2]]</f>
        <v>989.55</v>
      </c>
      <c r="U855" s="5">
        <f>OrdersTable[[#This Row],[Gross Sale]]-OrdersTable[[#This Row],[Discount Amount]]</f>
        <v>5607.45</v>
      </c>
      <c r="V855" s="77">
        <f>INDEX(Products!E:E,MATCH(OrdersTable[[#This Row],[Product ID]],Products!A:A,0))</f>
        <v>1034</v>
      </c>
      <c r="W855" s="77">
        <f>OrdersTable[[#This Row],[Quantity]]*OrdersTable[[#This Row],[Unit Cost]]</f>
        <v>3102</v>
      </c>
      <c r="X855" s="77">
        <f>'Dropdown Lists'!$I$2*(1+OrdersTable[[#This Row],[Returned]])</f>
        <v>60</v>
      </c>
      <c r="Y855" s="76">
        <f>OrdersTable[[#This Row],[Net Revenue]]-OrdersTable[[#This Row],[COGS]]-OrdersTable[[#This Row],[Shipping Cost]]</f>
        <v>2445.4499999999998</v>
      </c>
      <c r="Z855" s="78">
        <f>IFERROR(OrdersTable[[#This Row],[Profit]]/OrdersTable[[#This Row],[Net Revenue]],0)</f>
        <v>0.43610732150977716</v>
      </c>
      <c r="AA855" t="s">
        <v>3495</v>
      </c>
      <c r="AB855" s="79">
        <v>45470</v>
      </c>
      <c r="AC855">
        <f>OrdersTable[[#This Row],[Delivery Date]]-OrdersTable[[#This Row],[Order Date]]</f>
        <v>3</v>
      </c>
      <c r="AD855" t="str">
        <f>IF(OrdersTable[[#This Row],[Delivery Days]]&lt;=2, "Express (≤2d)", IF(OrdersTable[[#This Row],[Delivery Days]]&lt;=4, "Standard (3-4d)", "Delayed (5d+)"))</f>
        <v>Standard (3-4d)</v>
      </c>
      <c r="AF855">
        <v>0</v>
      </c>
    </row>
    <row r="856" spans="1:32" ht="15" x14ac:dyDescent="0.35">
      <c r="A856" t="s">
        <v>3180</v>
      </c>
      <c r="B856" s="1">
        <v>45467</v>
      </c>
      <c r="C856">
        <f>YEAR(OrdersTable[[#This Row],[Order Date]])</f>
        <v>2024</v>
      </c>
      <c r="D856" s="2">
        <f>DATE(YEAR(OrdersTable[[#This Row],[Order Date]]),MONTH(OrdersTable[[#This Row],[Order Date]]),1)</f>
        <v>45444</v>
      </c>
      <c r="E856">
        <f>MONTH(OrdersTable[[#This Row],[Order Date]])</f>
        <v>6</v>
      </c>
      <c r="F856" t="s">
        <v>3181</v>
      </c>
      <c r="G856" t="str">
        <f>IF(OrdersTable[[#This Row],[Order Date]]=_xlfn.MINIFS(Order_Date, Customer_ID, OrdersTable[[#This Row],[Customer ID]]), "New", "Repeat")</f>
        <v>New</v>
      </c>
      <c r="H856" t="s">
        <v>167</v>
      </c>
      <c r="I856" t="str">
        <f>INDEX(State!B:B,MATCH(OrdersTable[[#This Row],[State]],State!A:A,0))</f>
        <v>KA</v>
      </c>
      <c r="J856" t="str">
        <f>INDEX(State!C:C,MATCH(OrdersTable[[#This Row],[State Code]],State!B:B,0))</f>
        <v>South</v>
      </c>
      <c r="K856" t="s">
        <v>190</v>
      </c>
      <c r="L856" t="s">
        <v>16</v>
      </c>
      <c r="M856" t="s">
        <v>255</v>
      </c>
      <c r="N856" t="str">
        <f>INDEX(Products!B:B,MATCH(OrdersTable[[#This Row],[Product ID]],Products!A:A,0))</f>
        <v>Cotton Oversized T-Shirt</v>
      </c>
      <c r="O856" t="str">
        <f>INDEX(Products!C:C,MATCH(OrdersTable[[#This Row],[Product ID]],Products!A:A,0))</f>
        <v>Apparel</v>
      </c>
      <c r="P856">
        <v>1</v>
      </c>
      <c r="Q856" s="5">
        <v>799</v>
      </c>
      <c r="R856" s="74">
        <v>0.1</v>
      </c>
      <c r="S856" s="75">
        <f>OrdersTable[[#This Row],[Quantity]]*OrdersTable[[#This Row],[Unit Price]]</f>
        <v>799</v>
      </c>
      <c r="T856" s="5">
        <f>OrdersTable[[#This Row],[Gross Sale]]*OrdersTable[[#This Row],[Discount_Clean2]]</f>
        <v>79.900000000000006</v>
      </c>
      <c r="U856" s="5">
        <f>OrdersTable[[#This Row],[Gross Sale]]-OrdersTable[[#This Row],[Discount Amount]]</f>
        <v>719.1</v>
      </c>
      <c r="V856" s="77">
        <f>INDEX(Products!E:E,MATCH(OrdersTable[[#This Row],[Product ID]],Products!A:A,0))</f>
        <v>320</v>
      </c>
      <c r="W856" s="77">
        <f>OrdersTable[[#This Row],[Quantity]]*OrdersTable[[#This Row],[Unit Cost]]</f>
        <v>320</v>
      </c>
      <c r="X856" s="77">
        <f>'Dropdown Lists'!$I$2*(1+OrdersTable[[#This Row],[Returned]])</f>
        <v>60</v>
      </c>
      <c r="Y856" s="76">
        <f>OrdersTable[[#This Row],[Net Revenue]]-OrdersTable[[#This Row],[COGS]]-OrdersTable[[#This Row],[Shipping Cost]]</f>
        <v>339.1</v>
      </c>
      <c r="Z856" s="78">
        <f>IFERROR(OrdersTable[[#This Row],[Profit]]/OrdersTable[[#This Row],[Net Revenue]],0)</f>
        <v>0.47156167431511614</v>
      </c>
      <c r="AA856" t="s">
        <v>2522</v>
      </c>
      <c r="AB856" s="79">
        <v>45468</v>
      </c>
      <c r="AC856">
        <f>OrdersTable[[#This Row],[Delivery Date]]-OrdersTable[[#This Row],[Order Date]]</f>
        <v>1</v>
      </c>
      <c r="AD856" t="str">
        <f>IF(OrdersTable[[#This Row],[Delivery Days]]&lt;=2, "Express (≤2d)", IF(OrdersTable[[#This Row],[Delivery Days]]&lt;=4, "Standard (3-4d)", "Delayed (5d+)"))</f>
        <v>Express (≤2d)</v>
      </c>
      <c r="AE856">
        <v>4</v>
      </c>
      <c r="AF856">
        <v>0</v>
      </c>
    </row>
    <row r="857" spans="1:32" ht="15" x14ac:dyDescent="0.35">
      <c r="A857" t="s">
        <v>4776</v>
      </c>
      <c r="B857" s="1">
        <v>45468</v>
      </c>
      <c r="C857">
        <f>YEAR(OrdersTable[[#This Row],[Order Date]])</f>
        <v>2024</v>
      </c>
      <c r="D857" s="2">
        <f>DATE(YEAR(OrdersTable[[#This Row],[Order Date]]),MONTH(OrdersTable[[#This Row],[Order Date]]),1)</f>
        <v>45444</v>
      </c>
      <c r="E857">
        <f>MONTH(OrdersTable[[#This Row],[Order Date]])</f>
        <v>6</v>
      </c>
      <c r="F857" t="s">
        <v>897</v>
      </c>
      <c r="G857" t="str">
        <f>IF(OrdersTable[[#This Row],[Order Date]]=_xlfn.MINIFS(Order_Date, Customer_ID, OrdersTable[[#This Row],[Customer ID]]), "New", "Repeat")</f>
        <v>Repeat</v>
      </c>
      <c r="H857" t="s">
        <v>54</v>
      </c>
      <c r="I857" t="str">
        <f>INDEX(State!B:B,MATCH(OrdersTable[[#This Row],[State]],State!A:A,0))</f>
        <v>RJ</v>
      </c>
      <c r="J857" t="str">
        <f>INDEX(State!C:C,MATCH(OrdersTable[[#This Row],[State Code]],State!B:B,0))</f>
        <v>North</v>
      </c>
      <c r="K857" t="s">
        <v>55</v>
      </c>
      <c r="L857" t="s">
        <v>65</v>
      </c>
      <c r="M857" t="s">
        <v>92</v>
      </c>
      <c r="N857" t="str">
        <f>INDEX(Products!B:B,MATCH(OrdersTable[[#This Row],[Product ID]],Products!A:A,0))</f>
        <v>Kolhapuri Sandals</v>
      </c>
      <c r="O857" t="str">
        <f>INDEX(Products!C:C,MATCH(OrdersTable[[#This Row],[Product ID]],Products!A:A,0))</f>
        <v>Footwear</v>
      </c>
      <c r="P857">
        <v>2</v>
      </c>
      <c r="Q857" s="5">
        <v>999</v>
      </c>
      <c r="R857" s="74">
        <v>0.05</v>
      </c>
      <c r="S857" s="75">
        <f>OrdersTable[[#This Row],[Quantity]]*OrdersTable[[#This Row],[Unit Price]]</f>
        <v>1998</v>
      </c>
      <c r="T857" s="5">
        <f>OrdersTable[[#This Row],[Gross Sale]]*OrdersTable[[#This Row],[Discount_Clean2]]</f>
        <v>99.9</v>
      </c>
      <c r="U857" s="5">
        <f>OrdersTable[[#This Row],[Gross Sale]]-OrdersTable[[#This Row],[Discount Amount]]</f>
        <v>1898.1</v>
      </c>
      <c r="V857" s="77">
        <f>INDEX(Products!E:E,MATCH(OrdersTable[[#This Row],[Product ID]],Products!A:A,0))</f>
        <v>400</v>
      </c>
      <c r="W857" s="77">
        <f>OrdersTable[[#This Row],[Quantity]]*OrdersTable[[#This Row],[Unit Cost]]</f>
        <v>800</v>
      </c>
      <c r="X857" s="77">
        <f>'Dropdown Lists'!$I$2*(1+OrdersTable[[#This Row],[Returned]])</f>
        <v>60</v>
      </c>
      <c r="Y857" s="76">
        <f>OrdersTable[[#This Row],[Net Revenue]]-OrdersTable[[#This Row],[COGS]]-OrdersTable[[#This Row],[Shipping Cost]]</f>
        <v>1038.0999999999999</v>
      </c>
      <c r="Z857" s="78">
        <f>IFERROR(OrdersTable[[#This Row],[Profit]]/OrdersTable[[#This Row],[Net Revenue]],0)</f>
        <v>0.54691533638902057</v>
      </c>
      <c r="AA857" t="s">
        <v>4450</v>
      </c>
      <c r="AB857" s="79">
        <v>45473</v>
      </c>
      <c r="AC857">
        <f>OrdersTable[[#This Row],[Delivery Date]]-OrdersTable[[#This Row],[Order Date]]</f>
        <v>5</v>
      </c>
      <c r="AD857" t="str">
        <f>IF(OrdersTable[[#This Row],[Delivery Days]]&lt;=2, "Express (≤2d)", IF(OrdersTable[[#This Row],[Delivery Days]]&lt;=4, "Standard (3-4d)", "Delayed (5d+)"))</f>
        <v>Delayed (5d+)</v>
      </c>
      <c r="AF857">
        <v>0</v>
      </c>
    </row>
    <row r="858" spans="1:32" ht="15" x14ac:dyDescent="0.35">
      <c r="A858" t="s">
        <v>6857</v>
      </c>
      <c r="B858" s="1">
        <v>45468</v>
      </c>
      <c r="C858">
        <f>YEAR(OrdersTable[[#This Row],[Order Date]])</f>
        <v>2024</v>
      </c>
      <c r="D858" s="2">
        <f>DATE(YEAR(OrdersTable[[#This Row],[Order Date]]),MONTH(OrdersTable[[#This Row],[Order Date]]),1)</f>
        <v>45444</v>
      </c>
      <c r="E858">
        <f>MONTH(OrdersTable[[#This Row],[Order Date]])</f>
        <v>6</v>
      </c>
      <c r="F858" t="s">
        <v>6858</v>
      </c>
      <c r="G858" t="str">
        <f>IF(OrdersTable[[#This Row],[Order Date]]=_xlfn.MINIFS(Order_Date, Customer_ID, OrdersTable[[#This Row],[Customer ID]]), "New", "Repeat")</f>
        <v>New</v>
      </c>
      <c r="H858" t="s">
        <v>54</v>
      </c>
      <c r="I858" t="str">
        <f>INDEX(State!B:B,MATCH(OrdersTable[[#This Row],[State]],State!A:A,0))</f>
        <v>RJ</v>
      </c>
      <c r="J858" t="str">
        <f>INDEX(State!C:C,MATCH(OrdersTable[[#This Row],[State Code]],State!B:B,0))</f>
        <v>North</v>
      </c>
      <c r="K858" t="s">
        <v>227</v>
      </c>
      <c r="L858" t="s">
        <v>39</v>
      </c>
      <c r="M858" t="s">
        <v>40</v>
      </c>
      <c r="N858" t="str">
        <f>INDEX(Products!B:B,MATCH(OrdersTable[[#This Row],[Product ID]],Products!A:A,0))</f>
        <v>Ashwagandha Capsules</v>
      </c>
      <c r="O858" t="str">
        <f>INDEX(Products!C:C,MATCH(OrdersTable[[#This Row],[Product ID]],Products!A:A,0))</f>
        <v>Wellness</v>
      </c>
      <c r="P858">
        <v>3</v>
      </c>
      <c r="Q858" s="5">
        <v>499</v>
      </c>
      <c r="R858" s="74">
        <v>0.05</v>
      </c>
      <c r="S858" s="75">
        <f>OrdersTable[[#This Row],[Quantity]]*OrdersTable[[#This Row],[Unit Price]]</f>
        <v>1497</v>
      </c>
      <c r="T858" s="5">
        <f>OrdersTable[[#This Row],[Gross Sale]]*OrdersTable[[#This Row],[Discount_Clean2]]</f>
        <v>74.850000000000009</v>
      </c>
      <c r="U858" s="5">
        <f>OrdersTable[[#This Row],[Gross Sale]]-OrdersTable[[#This Row],[Discount Amount]]</f>
        <v>1422.15</v>
      </c>
      <c r="V858" s="77">
        <f>INDEX(Products!E:E,MATCH(OrdersTable[[#This Row],[Product ID]],Products!A:A,0))</f>
        <v>150</v>
      </c>
      <c r="W858" s="77">
        <f>OrdersTable[[#This Row],[Quantity]]*OrdersTable[[#This Row],[Unit Cost]]</f>
        <v>450</v>
      </c>
      <c r="X858" s="77">
        <f>'Dropdown Lists'!$I$2*(1+OrdersTable[[#This Row],[Returned]])</f>
        <v>60</v>
      </c>
      <c r="Y858" s="76">
        <f>OrdersTable[[#This Row],[Net Revenue]]-OrdersTable[[#This Row],[COGS]]-OrdersTable[[#This Row],[Shipping Cost]]</f>
        <v>912.15000000000009</v>
      </c>
      <c r="Z858" s="78">
        <f>IFERROR(OrdersTable[[#This Row],[Profit]]/OrdersTable[[#This Row],[Net Revenue]],0)</f>
        <v>0.64138803923636745</v>
      </c>
      <c r="AA858" t="s">
        <v>4074</v>
      </c>
      <c r="AB858" s="79">
        <v>45472</v>
      </c>
      <c r="AC858">
        <f>OrdersTable[[#This Row],[Delivery Date]]-OrdersTable[[#This Row],[Order Date]]</f>
        <v>4</v>
      </c>
      <c r="AD858" t="str">
        <f>IF(OrdersTable[[#This Row],[Delivery Days]]&lt;=2, "Express (≤2d)", IF(OrdersTable[[#This Row],[Delivery Days]]&lt;=4, "Standard (3-4d)", "Delayed (5d+)"))</f>
        <v>Standard (3-4d)</v>
      </c>
      <c r="AE858">
        <v>4</v>
      </c>
      <c r="AF858">
        <v>0</v>
      </c>
    </row>
    <row r="859" spans="1:32" ht="15" x14ac:dyDescent="0.35">
      <c r="A859" t="s">
        <v>5873</v>
      </c>
      <c r="B859" s="1">
        <v>45468</v>
      </c>
      <c r="C859">
        <f>YEAR(OrdersTable[[#This Row],[Order Date]])</f>
        <v>2024</v>
      </c>
      <c r="D859" s="2">
        <f>DATE(YEAR(OrdersTable[[#This Row],[Order Date]]),MONTH(OrdersTable[[#This Row],[Order Date]]),1)</f>
        <v>45444</v>
      </c>
      <c r="E859">
        <f>MONTH(OrdersTable[[#This Row],[Order Date]])</f>
        <v>6</v>
      </c>
      <c r="F859" t="s">
        <v>5437</v>
      </c>
      <c r="G859" t="str">
        <f>IF(OrdersTable[[#This Row],[Order Date]]=_xlfn.MINIFS(Order_Date, Customer_ID, OrdersTable[[#This Row],[Customer ID]]), "New", "Repeat")</f>
        <v>New</v>
      </c>
      <c r="H859" t="s">
        <v>54</v>
      </c>
      <c r="I859" t="str">
        <f>INDEX(State!B:B,MATCH(OrdersTable[[#This Row],[State]],State!A:A,0))</f>
        <v>RJ</v>
      </c>
      <c r="J859" t="str">
        <f>INDEX(State!C:C,MATCH(OrdersTable[[#This Row],[State Code]],State!B:B,0))</f>
        <v>North</v>
      </c>
      <c r="K859" t="s">
        <v>55</v>
      </c>
      <c r="L859" t="s">
        <v>39</v>
      </c>
      <c r="M859" t="s">
        <v>84</v>
      </c>
      <c r="N859" t="str">
        <f>INDEX(Products!B:B,MATCH(OrdersTable[[#This Row],[Product ID]],Products!A:A,0))</f>
        <v>Cotton Bedsheet</v>
      </c>
      <c r="O859" t="str">
        <f>INDEX(Products!C:C,MATCH(OrdersTable[[#This Row],[Product ID]],Products!A:A,0))</f>
        <v>Home &amp; Kitchen</v>
      </c>
      <c r="P859">
        <v>2</v>
      </c>
      <c r="Q859" s="5">
        <v>1299</v>
      </c>
      <c r="R859" s="74">
        <v>0</v>
      </c>
      <c r="S859" s="75">
        <f>OrdersTable[[#This Row],[Quantity]]*OrdersTable[[#This Row],[Unit Price]]</f>
        <v>2598</v>
      </c>
      <c r="T859" s="5">
        <f>OrdersTable[[#This Row],[Gross Sale]]*OrdersTable[[#This Row],[Discount_Clean2]]</f>
        <v>0</v>
      </c>
      <c r="U859" s="5">
        <f>OrdersTable[[#This Row],[Gross Sale]]-OrdersTable[[#This Row],[Discount Amount]]</f>
        <v>2598</v>
      </c>
      <c r="V859" s="77">
        <f>INDEX(Products!E:E,MATCH(OrdersTable[[#This Row],[Product ID]],Products!A:A,0))</f>
        <v>585</v>
      </c>
      <c r="W859" s="77">
        <f>OrdersTable[[#This Row],[Quantity]]*OrdersTable[[#This Row],[Unit Cost]]</f>
        <v>1170</v>
      </c>
      <c r="X859" s="77">
        <f>'Dropdown Lists'!$I$2*(1+OrdersTable[[#This Row],[Returned]])</f>
        <v>60</v>
      </c>
      <c r="Y859" s="76">
        <f>OrdersTable[[#This Row],[Net Revenue]]-OrdersTable[[#This Row],[COGS]]-OrdersTable[[#This Row],[Shipping Cost]]</f>
        <v>1368</v>
      </c>
      <c r="Z859" s="78">
        <f>IFERROR(OrdersTable[[#This Row],[Profit]]/OrdersTable[[#This Row],[Net Revenue]],0)</f>
        <v>0.52655889145496537</v>
      </c>
      <c r="AA859" t="s">
        <v>18</v>
      </c>
      <c r="AB859" s="79">
        <v>45474</v>
      </c>
      <c r="AC859">
        <f>OrdersTable[[#This Row],[Delivery Date]]-OrdersTable[[#This Row],[Order Date]]</f>
        <v>6</v>
      </c>
      <c r="AD859" t="str">
        <f>IF(OrdersTable[[#This Row],[Delivery Days]]&lt;=2, "Express (≤2d)", IF(OrdersTable[[#This Row],[Delivery Days]]&lt;=4, "Standard (3-4d)", "Delayed (5d+)"))</f>
        <v>Delayed (5d+)</v>
      </c>
      <c r="AF859">
        <v>0</v>
      </c>
    </row>
    <row r="860" spans="1:32" ht="15" x14ac:dyDescent="0.35">
      <c r="A860" t="s">
        <v>4665</v>
      </c>
      <c r="B860" s="1">
        <v>45468</v>
      </c>
      <c r="C860">
        <f>YEAR(OrdersTable[[#This Row],[Order Date]])</f>
        <v>2024</v>
      </c>
      <c r="D860" s="2">
        <f>DATE(YEAR(OrdersTable[[#This Row],[Order Date]]),MONTH(OrdersTable[[#This Row],[Order Date]]),1)</f>
        <v>45444</v>
      </c>
      <c r="E860">
        <f>MONTH(OrdersTable[[#This Row],[Order Date]])</f>
        <v>6</v>
      </c>
      <c r="F860" t="s">
        <v>4666</v>
      </c>
      <c r="G860" t="str">
        <f>IF(OrdersTable[[#This Row],[Order Date]]=_xlfn.MINIFS(Order_Date, Customer_ID, OrdersTable[[#This Row],[Customer ID]]), "New", "Repeat")</f>
        <v>New</v>
      </c>
      <c r="H860" t="s">
        <v>76</v>
      </c>
      <c r="I860" t="str">
        <f>INDEX(State!B:B,MATCH(OrdersTable[[#This Row],[State]],State!A:A,0))</f>
        <v>UP</v>
      </c>
      <c r="J860" t="str">
        <f>INDEX(State!C:C,MATCH(OrdersTable[[#This Row],[State Code]],State!B:B,0))</f>
        <v>North</v>
      </c>
      <c r="K860" t="s">
        <v>77</v>
      </c>
      <c r="L860" t="s">
        <v>16</v>
      </c>
      <c r="M860" t="s">
        <v>17</v>
      </c>
      <c r="N860" t="str">
        <f>INDEX(Products!B:B,MATCH(OrdersTable[[#This Row],[Product ID]],Products!A:A,0))</f>
        <v>Casual Sneakers</v>
      </c>
      <c r="O860" t="str">
        <f>INDEX(Products!C:C,MATCH(OrdersTable[[#This Row],[Product ID]],Products!A:A,0))</f>
        <v>Footwear</v>
      </c>
      <c r="P860">
        <v>1</v>
      </c>
      <c r="Q860" s="5">
        <v>2199</v>
      </c>
      <c r="R860" s="74">
        <v>0.2</v>
      </c>
      <c r="S860" s="75">
        <f>OrdersTable[[#This Row],[Quantity]]*OrdersTable[[#This Row],[Unit Price]]</f>
        <v>2199</v>
      </c>
      <c r="T860" s="5">
        <f>OrdersTable[[#This Row],[Gross Sale]]*OrdersTable[[#This Row],[Discount_Clean2]]</f>
        <v>439.8</v>
      </c>
      <c r="U860" s="5">
        <f>OrdersTable[[#This Row],[Gross Sale]]-OrdersTable[[#This Row],[Discount Amount]]</f>
        <v>1759.2</v>
      </c>
      <c r="V860" s="77">
        <f>INDEX(Products!E:E,MATCH(OrdersTable[[#This Row],[Product ID]],Products!A:A,0))</f>
        <v>1034</v>
      </c>
      <c r="W860" s="77">
        <f>OrdersTable[[#This Row],[Quantity]]*OrdersTable[[#This Row],[Unit Cost]]</f>
        <v>1034</v>
      </c>
      <c r="X860" s="77">
        <f>'Dropdown Lists'!$I$2*(1+OrdersTable[[#This Row],[Returned]])</f>
        <v>60</v>
      </c>
      <c r="Y860" s="76">
        <f>OrdersTable[[#This Row],[Net Revenue]]-OrdersTable[[#This Row],[COGS]]-OrdersTable[[#This Row],[Shipping Cost]]</f>
        <v>665.2</v>
      </c>
      <c r="Z860" s="78">
        <f>IFERROR(OrdersTable[[#This Row],[Profit]]/OrdersTable[[#This Row],[Net Revenue]],0)</f>
        <v>0.37812642110050027</v>
      </c>
      <c r="AA860" t="s">
        <v>4450</v>
      </c>
      <c r="AB860" s="79">
        <v>45472</v>
      </c>
      <c r="AC860">
        <f>OrdersTable[[#This Row],[Delivery Date]]-OrdersTable[[#This Row],[Order Date]]</f>
        <v>4</v>
      </c>
      <c r="AD860" t="str">
        <f>IF(OrdersTable[[#This Row],[Delivery Days]]&lt;=2, "Express (≤2d)", IF(OrdersTable[[#This Row],[Delivery Days]]&lt;=4, "Standard (3-4d)", "Delayed (5d+)"))</f>
        <v>Standard (3-4d)</v>
      </c>
      <c r="AE860">
        <v>3</v>
      </c>
      <c r="AF860">
        <v>0</v>
      </c>
    </row>
    <row r="861" spans="1:32" ht="15" x14ac:dyDescent="0.35">
      <c r="A861" t="s">
        <v>6287</v>
      </c>
      <c r="B861" s="1">
        <v>45468</v>
      </c>
      <c r="C861">
        <f>YEAR(OrdersTable[[#This Row],[Order Date]])</f>
        <v>2024</v>
      </c>
      <c r="D861" s="2">
        <f>DATE(YEAR(OrdersTable[[#This Row],[Order Date]]),MONTH(OrdersTable[[#This Row],[Order Date]]),1)</f>
        <v>45444</v>
      </c>
      <c r="E861">
        <f>MONTH(OrdersTable[[#This Row],[Order Date]])</f>
        <v>6</v>
      </c>
      <c r="F861" t="s">
        <v>6288</v>
      </c>
      <c r="G861" t="str">
        <f>IF(OrdersTable[[#This Row],[Order Date]]=_xlfn.MINIFS(Order_Date, Customer_ID, OrdersTable[[#This Row],[Customer ID]]), "New", "Repeat")</f>
        <v>New</v>
      </c>
      <c r="H861" t="s">
        <v>76</v>
      </c>
      <c r="I861" t="str">
        <f>INDEX(State!B:B,MATCH(OrdersTable[[#This Row],[State]],State!A:A,0))</f>
        <v>UP</v>
      </c>
      <c r="J861" t="str">
        <f>INDEX(State!C:C,MATCH(OrdersTable[[#This Row],[State Code]],State!B:B,0))</f>
        <v>North</v>
      </c>
      <c r="K861" t="s">
        <v>105</v>
      </c>
      <c r="L861" t="s">
        <v>65</v>
      </c>
      <c r="M861" t="s">
        <v>160</v>
      </c>
      <c r="N861" t="str">
        <f>INDEX(Products!B:B,MATCH(OrdersTable[[#This Row],[Product ID]],Products!A:A,0))</f>
        <v>Niacinamide Toner</v>
      </c>
      <c r="O861" t="str">
        <f>INDEX(Products!C:C,MATCH(OrdersTable[[#This Row],[Product ID]],Products!A:A,0))</f>
        <v>Skincare</v>
      </c>
      <c r="P861">
        <v>2</v>
      </c>
      <c r="Q861" s="5">
        <v>399</v>
      </c>
      <c r="R861" s="74">
        <v>0.3</v>
      </c>
      <c r="S861" s="75">
        <f>OrdersTable[[#This Row],[Quantity]]*OrdersTable[[#This Row],[Unit Price]]</f>
        <v>798</v>
      </c>
      <c r="T861" s="5">
        <f>OrdersTable[[#This Row],[Gross Sale]]*OrdersTable[[#This Row],[Discount_Clean2]]</f>
        <v>239.39999999999998</v>
      </c>
      <c r="U861" s="5">
        <f>OrdersTable[[#This Row],[Gross Sale]]-OrdersTable[[#This Row],[Discount Amount]]</f>
        <v>558.6</v>
      </c>
      <c r="V861" s="77">
        <f>INDEX(Products!E:E,MATCH(OrdersTable[[#This Row],[Product ID]],Products!A:A,0))</f>
        <v>112</v>
      </c>
      <c r="W861" s="77">
        <f>OrdersTable[[#This Row],[Quantity]]*OrdersTable[[#This Row],[Unit Cost]]</f>
        <v>224</v>
      </c>
      <c r="X861" s="77">
        <f>'Dropdown Lists'!$I$2*(1+OrdersTable[[#This Row],[Returned]])</f>
        <v>60</v>
      </c>
      <c r="Y861" s="76">
        <f>OrdersTable[[#This Row],[Net Revenue]]-OrdersTable[[#This Row],[COGS]]-OrdersTable[[#This Row],[Shipping Cost]]</f>
        <v>274.60000000000002</v>
      </c>
      <c r="Z861" s="78">
        <f>IFERROR(OrdersTable[[#This Row],[Profit]]/OrdersTable[[#This Row],[Net Revenue]],0)</f>
        <v>0.49158610812746151</v>
      </c>
      <c r="AA861" t="s">
        <v>18</v>
      </c>
      <c r="AB861" s="79">
        <v>45470</v>
      </c>
      <c r="AC861">
        <f>OrdersTable[[#This Row],[Delivery Date]]-OrdersTable[[#This Row],[Order Date]]</f>
        <v>2</v>
      </c>
      <c r="AD861" t="str">
        <f>IF(OrdersTable[[#This Row],[Delivery Days]]&lt;=2, "Express (≤2d)", IF(OrdersTable[[#This Row],[Delivery Days]]&lt;=4, "Standard (3-4d)", "Delayed (5d+)"))</f>
        <v>Express (≤2d)</v>
      </c>
      <c r="AE861">
        <v>3</v>
      </c>
      <c r="AF861">
        <v>0</v>
      </c>
    </row>
    <row r="862" spans="1:32" ht="15" x14ac:dyDescent="0.35">
      <c r="A862" t="s">
        <v>486</v>
      </c>
      <c r="B862" s="1">
        <v>45468</v>
      </c>
      <c r="C862">
        <f>YEAR(OrdersTable[[#This Row],[Order Date]])</f>
        <v>2024</v>
      </c>
      <c r="D862" s="2">
        <f>DATE(YEAR(OrdersTable[[#This Row],[Order Date]]),MONTH(OrdersTable[[#This Row],[Order Date]]),1)</f>
        <v>45444</v>
      </c>
      <c r="E862">
        <f>MONTH(OrdersTable[[#This Row],[Order Date]])</f>
        <v>6</v>
      </c>
      <c r="F862" t="s">
        <v>487</v>
      </c>
      <c r="G862" t="str">
        <f>IF(OrdersTable[[#This Row],[Order Date]]=_xlfn.MINIFS(Order_Date, Customer_ID, OrdersTable[[#This Row],[Customer ID]]), "New", "Repeat")</f>
        <v>Repeat</v>
      </c>
      <c r="H862" t="s">
        <v>32</v>
      </c>
      <c r="I862" t="str">
        <f>INDEX(State!B:B,MATCH(OrdersTable[[#This Row],[State]],State!A:A,0))</f>
        <v>BR</v>
      </c>
      <c r="J862" t="str">
        <f>INDEX(State!C:C,MATCH(OrdersTable[[#This Row],[State Code]],State!B:B,0))</f>
        <v>East</v>
      </c>
      <c r="K862" t="s">
        <v>33</v>
      </c>
      <c r="L862" t="s">
        <v>50</v>
      </c>
      <c r="M862" t="s">
        <v>51</v>
      </c>
      <c r="N862" t="str">
        <f>INDEX(Products!B:B,MATCH(OrdersTable[[#This Row],[Product ID]],Products!A:A,0))</f>
        <v>Anti-Dandruff Conditioner</v>
      </c>
      <c r="O862" t="str">
        <f>INDEX(Products!C:C,MATCH(OrdersTable[[#This Row],[Product ID]],Products!A:A,0))</f>
        <v>Haircare</v>
      </c>
      <c r="P862">
        <v>1</v>
      </c>
      <c r="Q862" s="5">
        <v>399</v>
      </c>
      <c r="R862" s="74">
        <v>0.45</v>
      </c>
      <c r="S862" s="75">
        <f>OrdersTable[[#This Row],[Quantity]]*OrdersTable[[#This Row],[Unit Price]]</f>
        <v>399</v>
      </c>
      <c r="T862" s="5">
        <f>OrdersTable[[#This Row],[Gross Sale]]*OrdersTable[[#This Row],[Discount_Clean2]]</f>
        <v>179.55</v>
      </c>
      <c r="U862" s="5">
        <f>OrdersTable[[#This Row],[Gross Sale]]-OrdersTable[[#This Row],[Discount Amount]]</f>
        <v>219.45</v>
      </c>
      <c r="V862" s="77">
        <f>INDEX(Products!E:E,MATCH(OrdersTable[[#This Row],[Product ID]],Products!A:A,0))</f>
        <v>136</v>
      </c>
      <c r="W862" s="77">
        <f>OrdersTable[[#This Row],[Quantity]]*OrdersTable[[#This Row],[Unit Cost]]</f>
        <v>136</v>
      </c>
      <c r="X862" s="77">
        <f>'Dropdown Lists'!$I$2*(1+OrdersTable[[#This Row],[Returned]])</f>
        <v>60</v>
      </c>
      <c r="Y862" s="76">
        <f>OrdersTable[[#This Row],[Net Revenue]]-OrdersTable[[#This Row],[COGS]]-OrdersTable[[#This Row],[Shipping Cost]]</f>
        <v>23.449999999999989</v>
      </c>
      <c r="Z862" s="78">
        <f>IFERROR(OrdersTable[[#This Row],[Profit]]/OrdersTable[[#This Row],[Net Revenue]],0)</f>
        <v>0.10685805422647524</v>
      </c>
      <c r="AA862" t="s">
        <v>18</v>
      </c>
      <c r="AB862" s="79">
        <v>45474</v>
      </c>
      <c r="AC862">
        <f>OrdersTable[[#This Row],[Delivery Date]]-OrdersTable[[#This Row],[Order Date]]</f>
        <v>6</v>
      </c>
      <c r="AD862" t="str">
        <f>IF(OrdersTable[[#This Row],[Delivery Days]]&lt;=2, "Express (≤2d)", IF(OrdersTable[[#This Row],[Delivery Days]]&lt;=4, "Standard (3-4d)", "Delayed (5d+)"))</f>
        <v>Delayed (5d+)</v>
      </c>
      <c r="AE862">
        <v>4</v>
      </c>
      <c r="AF862">
        <v>0</v>
      </c>
    </row>
    <row r="863" spans="1:32" ht="15" x14ac:dyDescent="0.35">
      <c r="A863" t="s">
        <v>3409</v>
      </c>
      <c r="B863" s="1">
        <v>45468</v>
      </c>
      <c r="C863">
        <f>YEAR(OrdersTable[[#This Row],[Order Date]])</f>
        <v>2024</v>
      </c>
      <c r="D863" s="2">
        <f>DATE(YEAR(OrdersTable[[#This Row],[Order Date]]),MONTH(OrdersTable[[#This Row],[Order Date]]),1)</f>
        <v>45444</v>
      </c>
      <c r="E863">
        <f>MONTH(OrdersTable[[#This Row],[Order Date]])</f>
        <v>6</v>
      </c>
      <c r="F863" t="s">
        <v>3410</v>
      </c>
      <c r="G863" t="str">
        <f>IF(OrdersTable[[#This Row],[Order Date]]=_xlfn.MINIFS(Order_Date, Customer_ID, OrdersTable[[#This Row],[Customer ID]]), "New", "Repeat")</f>
        <v>New</v>
      </c>
      <c r="H863" t="s">
        <v>132</v>
      </c>
      <c r="I863" t="str">
        <f>INDEX(State!B:B,MATCH(OrdersTable[[#This Row],[State]],State!A:A,0))</f>
        <v>AS</v>
      </c>
      <c r="J863" t="str">
        <f>INDEX(State!C:C,MATCH(OrdersTable[[#This Row],[State Code]],State!B:B,0))</f>
        <v>East</v>
      </c>
      <c r="K863" t="s">
        <v>133</v>
      </c>
      <c r="L863" t="s">
        <v>65</v>
      </c>
      <c r="M863" t="s">
        <v>40</v>
      </c>
      <c r="N863" t="str">
        <f>INDEX(Products!B:B,MATCH(OrdersTable[[#This Row],[Product ID]],Products!A:A,0))</f>
        <v>Ashwagandha Capsules</v>
      </c>
      <c r="O863" t="str">
        <f>INDEX(Products!C:C,MATCH(OrdersTable[[#This Row],[Product ID]],Products!A:A,0))</f>
        <v>Wellness</v>
      </c>
      <c r="P863">
        <v>1</v>
      </c>
      <c r="Q863" s="5">
        <v>499</v>
      </c>
      <c r="R863" s="74">
        <v>0</v>
      </c>
      <c r="S863" s="75">
        <f>OrdersTable[[#This Row],[Quantity]]*OrdersTable[[#This Row],[Unit Price]]</f>
        <v>499</v>
      </c>
      <c r="T863" s="5">
        <f>OrdersTable[[#This Row],[Gross Sale]]*OrdersTable[[#This Row],[Discount_Clean2]]</f>
        <v>0</v>
      </c>
      <c r="U863" s="5">
        <f>OrdersTable[[#This Row],[Gross Sale]]-OrdersTable[[#This Row],[Discount Amount]]</f>
        <v>499</v>
      </c>
      <c r="V863" s="77">
        <f>INDEX(Products!E:E,MATCH(OrdersTable[[#This Row],[Product ID]],Products!A:A,0))</f>
        <v>150</v>
      </c>
      <c r="W863" s="77">
        <f>OrdersTable[[#This Row],[Quantity]]*OrdersTable[[#This Row],[Unit Cost]]</f>
        <v>150</v>
      </c>
      <c r="X863" s="77">
        <f>'Dropdown Lists'!$I$2*(1+OrdersTable[[#This Row],[Returned]])</f>
        <v>120</v>
      </c>
      <c r="Y863" s="76">
        <f>OrdersTable[[#This Row],[Net Revenue]]-OrdersTable[[#This Row],[COGS]]-OrdersTable[[#This Row],[Shipping Cost]]</f>
        <v>229</v>
      </c>
      <c r="Z863" s="78">
        <f>IFERROR(OrdersTable[[#This Row],[Profit]]/OrdersTable[[#This Row],[Net Revenue]],0)</f>
        <v>0.4589178356713427</v>
      </c>
      <c r="AA863" t="s">
        <v>2522</v>
      </c>
      <c r="AB863" s="79">
        <v>45471</v>
      </c>
      <c r="AC863">
        <f>OrdersTable[[#This Row],[Delivery Date]]-OrdersTable[[#This Row],[Order Date]]</f>
        <v>3</v>
      </c>
      <c r="AD863" t="str">
        <f>IF(OrdersTable[[#This Row],[Delivery Days]]&lt;=2, "Express (≤2d)", IF(OrdersTable[[#This Row],[Delivery Days]]&lt;=4, "Standard (3-4d)", "Delayed (5d+)"))</f>
        <v>Standard (3-4d)</v>
      </c>
      <c r="AE863">
        <v>4</v>
      </c>
      <c r="AF863">
        <v>1</v>
      </c>
    </row>
    <row r="864" spans="1:32" ht="15" x14ac:dyDescent="0.35">
      <c r="A864" t="s">
        <v>3859</v>
      </c>
      <c r="B864" s="1">
        <v>45469</v>
      </c>
      <c r="C864">
        <f>YEAR(OrdersTable[[#This Row],[Order Date]])</f>
        <v>2024</v>
      </c>
      <c r="D864" s="2">
        <f>DATE(YEAR(OrdersTable[[#This Row],[Order Date]]),MONTH(OrdersTable[[#This Row],[Order Date]]),1)</f>
        <v>45444</v>
      </c>
      <c r="E864">
        <f>MONTH(OrdersTable[[#This Row],[Order Date]])</f>
        <v>6</v>
      </c>
      <c r="F864" t="s">
        <v>3225</v>
      </c>
      <c r="G864" t="str">
        <f>IF(OrdersTable[[#This Row],[Order Date]]=_xlfn.MINIFS(Order_Date, Customer_ID, OrdersTable[[#This Row],[Customer ID]]), "New", "Repeat")</f>
        <v>Repeat</v>
      </c>
      <c r="H864" t="s">
        <v>54</v>
      </c>
      <c r="I864" t="str">
        <f>INDEX(State!B:B,MATCH(OrdersTable[[#This Row],[State]],State!A:A,0))</f>
        <v>RJ</v>
      </c>
      <c r="J864" t="str">
        <f>INDEX(State!C:C,MATCH(OrdersTable[[#This Row],[State Code]],State!B:B,0))</f>
        <v>North</v>
      </c>
      <c r="K864" t="s">
        <v>55</v>
      </c>
      <c r="L864" t="s">
        <v>50</v>
      </c>
      <c r="M864" t="s">
        <v>109</v>
      </c>
      <c r="N864" t="str">
        <f>INDEX(Products!B:B,MATCH(OrdersTable[[#This Row],[Product ID]],Products!A:A,0))</f>
        <v>Onion Hair Oil</v>
      </c>
      <c r="O864" t="str">
        <f>INDEX(Products!C:C,MATCH(OrdersTable[[#This Row],[Product ID]],Products!A:A,0))</f>
        <v>Haircare</v>
      </c>
      <c r="P864">
        <v>1</v>
      </c>
      <c r="Q864" s="5">
        <v>349</v>
      </c>
      <c r="R864" s="74">
        <v>0.3</v>
      </c>
      <c r="S864" s="75">
        <f>OrdersTable[[#This Row],[Quantity]]*OrdersTable[[#This Row],[Unit Price]]</f>
        <v>349</v>
      </c>
      <c r="T864" s="5">
        <f>OrdersTable[[#This Row],[Gross Sale]]*OrdersTable[[#This Row],[Discount_Clean2]]</f>
        <v>104.7</v>
      </c>
      <c r="U864" s="5">
        <f>OrdersTable[[#This Row],[Gross Sale]]-OrdersTable[[#This Row],[Discount Amount]]</f>
        <v>244.3</v>
      </c>
      <c r="V864" s="77">
        <f>INDEX(Products!E:E,MATCH(OrdersTable[[#This Row],[Product ID]],Products!A:A,0))</f>
        <v>105</v>
      </c>
      <c r="W864" s="77">
        <f>OrdersTable[[#This Row],[Quantity]]*OrdersTable[[#This Row],[Unit Cost]]</f>
        <v>105</v>
      </c>
      <c r="X864" s="77">
        <f>'Dropdown Lists'!$I$2*(1+OrdersTable[[#This Row],[Returned]])</f>
        <v>60</v>
      </c>
      <c r="Y864" s="76">
        <f>OrdersTable[[#This Row],[Net Revenue]]-OrdersTable[[#This Row],[COGS]]-OrdersTable[[#This Row],[Shipping Cost]]</f>
        <v>79.300000000000011</v>
      </c>
      <c r="Z864" s="78">
        <f>IFERROR(OrdersTable[[#This Row],[Profit]]/OrdersTable[[#This Row],[Net Revenue]],0)</f>
        <v>0.32460090053213264</v>
      </c>
      <c r="AA864" t="s">
        <v>3495</v>
      </c>
      <c r="AB864" s="79">
        <v>45474</v>
      </c>
      <c r="AC864">
        <f>OrdersTable[[#This Row],[Delivery Date]]-OrdersTable[[#This Row],[Order Date]]</f>
        <v>5</v>
      </c>
      <c r="AD864" t="str">
        <f>IF(OrdersTable[[#This Row],[Delivery Days]]&lt;=2, "Express (≤2d)", IF(OrdersTable[[#This Row],[Delivery Days]]&lt;=4, "Standard (3-4d)", "Delayed (5d+)"))</f>
        <v>Delayed (5d+)</v>
      </c>
      <c r="AE864">
        <v>3</v>
      </c>
      <c r="AF864">
        <v>0</v>
      </c>
    </row>
    <row r="865" spans="1:32" ht="15" x14ac:dyDescent="0.35">
      <c r="A865" t="s">
        <v>3182</v>
      </c>
      <c r="B865" s="1">
        <v>45469</v>
      </c>
      <c r="C865">
        <f>YEAR(OrdersTable[[#This Row],[Order Date]])</f>
        <v>2024</v>
      </c>
      <c r="D865" s="2">
        <f>DATE(YEAR(OrdersTable[[#This Row],[Order Date]]),MONTH(OrdersTable[[#This Row],[Order Date]]),1)</f>
        <v>45444</v>
      </c>
      <c r="E865">
        <f>MONTH(OrdersTable[[#This Row],[Order Date]])</f>
        <v>6</v>
      </c>
      <c r="F865" t="s">
        <v>3183</v>
      </c>
      <c r="G865" t="str">
        <f>IF(OrdersTable[[#This Row],[Order Date]]=_xlfn.MINIFS(Order_Date, Customer_ID, OrdersTable[[#This Row],[Customer ID]]), "New", "Repeat")</f>
        <v>New</v>
      </c>
      <c r="H865" t="s">
        <v>316</v>
      </c>
      <c r="I865" t="str">
        <f>INDEX(State!B:B,MATCH(OrdersTable[[#This Row],[State]],State!A:A,0))</f>
        <v>KL</v>
      </c>
      <c r="J865" t="str">
        <f>INDEX(State!C:C,MATCH(OrdersTable[[#This Row],[State Code]],State!B:B,0))</f>
        <v>South</v>
      </c>
      <c r="K865" t="s">
        <v>338</v>
      </c>
      <c r="L865" t="s">
        <v>39</v>
      </c>
      <c r="M865" t="s">
        <v>160</v>
      </c>
      <c r="N865" t="str">
        <f>INDEX(Products!B:B,MATCH(OrdersTable[[#This Row],[Product ID]],Products!A:A,0))</f>
        <v>Niacinamide Toner</v>
      </c>
      <c r="O865" t="str">
        <f>INDEX(Products!C:C,MATCH(OrdersTable[[#This Row],[Product ID]],Products!A:A,0))</f>
        <v>Skincare</v>
      </c>
      <c r="P865">
        <v>1</v>
      </c>
      <c r="Q865" s="5">
        <v>399</v>
      </c>
      <c r="R865" s="74">
        <v>0.2</v>
      </c>
      <c r="S865" s="75">
        <f>OrdersTable[[#This Row],[Quantity]]*OrdersTable[[#This Row],[Unit Price]]</f>
        <v>399</v>
      </c>
      <c r="T865" s="5">
        <f>OrdersTable[[#This Row],[Gross Sale]]*OrdersTable[[#This Row],[Discount_Clean2]]</f>
        <v>79.800000000000011</v>
      </c>
      <c r="U865" s="5">
        <f>OrdersTable[[#This Row],[Gross Sale]]-OrdersTable[[#This Row],[Discount Amount]]</f>
        <v>319.2</v>
      </c>
      <c r="V865" s="77">
        <f>INDEX(Products!E:E,MATCH(OrdersTable[[#This Row],[Product ID]],Products!A:A,0))</f>
        <v>112</v>
      </c>
      <c r="W865" s="77">
        <f>OrdersTable[[#This Row],[Quantity]]*OrdersTable[[#This Row],[Unit Cost]]</f>
        <v>112</v>
      </c>
      <c r="X865" s="77">
        <f>'Dropdown Lists'!$I$2*(1+OrdersTable[[#This Row],[Returned]])</f>
        <v>60</v>
      </c>
      <c r="Y865" s="76">
        <f>OrdersTable[[#This Row],[Net Revenue]]-OrdersTable[[#This Row],[COGS]]-OrdersTable[[#This Row],[Shipping Cost]]</f>
        <v>147.19999999999999</v>
      </c>
      <c r="Z865" s="78">
        <f>IFERROR(OrdersTable[[#This Row],[Profit]]/OrdersTable[[#This Row],[Net Revenue]],0)</f>
        <v>0.46115288220551376</v>
      </c>
      <c r="AA865" t="s">
        <v>2522</v>
      </c>
      <c r="AB865" s="79">
        <v>45474</v>
      </c>
      <c r="AC865">
        <f>OrdersTable[[#This Row],[Delivery Date]]-OrdersTable[[#This Row],[Order Date]]</f>
        <v>5</v>
      </c>
      <c r="AD865" t="str">
        <f>IF(OrdersTable[[#This Row],[Delivery Days]]&lt;=2, "Express (≤2d)", IF(OrdersTable[[#This Row],[Delivery Days]]&lt;=4, "Standard (3-4d)", "Delayed (5d+)"))</f>
        <v>Delayed (5d+)</v>
      </c>
      <c r="AE865">
        <v>4</v>
      </c>
      <c r="AF865">
        <v>0</v>
      </c>
    </row>
    <row r="866" spans="1:32" ht="15" x14ac:dyDescent="0.35">
      <c r="A866" t="s">
        <v>4090</v>
      </c>
      <c r="B866" s="1">
        <v>45469</v>
      </c>
      <c r="C866">
        <f>YEAR(OrdersTable[[#This Row],[Order Date]])</f>
        <v>2024</v>
      </c>
      <c r="D866" s="2">
        <f>DATE(YEAR(OrdersTable[[#This Row],[Order Date]]),MONTH(OrdersTable[[#This Row],[Order Date]]),1)</f>
        <v>45444</v>
      </c>
      <c r="E866">
        <f>MONTH(OrdersTable[[#This Row],[Order Date]])</f>
        <v>6</v>
      </c>
      <c r="F866" t="s">
        <v>991</v>
      </c>
      <c r="G866" t="str">
        <f>IF(OrdersTable[[#This Row],[Order Date]]=_xlfn.MINIFS(Order_Date, Customer_ID, OrdersTable[[#This Row],[Customer ID]]), "New", "Repeat")</f>
        <v>New</v>
      </c>
      <c r="H866" t="s">
        <v>59</v>
      </c>
      <c r="I866" t="str">
        <f>INDEX(State!B:B,MATCH(OrdersTable[[#This Row],[State]],State!A:A,0))</f>
        <v>TN</v>
      </c>
      <c r="J866" t="str">
        <f>INDEX(State!C:C,MATCH(OrdersTable[[#This Row],[State Code]],State!B:B,0))</f>
        <v>South</v>
      </c>
      <c r="K866" t="s">
        <v>60</v>
      </c>
      <c r="L866" t="s">
        <v>23</v>
      </c>
      <c r="M866" t="s">
        <v>29</v>
      </c>
      <c r="N866" t="str">
        <f>INDEX(Products!B:B,MATCH(OrdersTable[[#This Row],[Product ID]],Products!A:A,0))</f>
        <v>Joggers</v>
      </c>
      <c r="O866" t="str">
        <f>INDEX(Products!C:C,MATCH(OrdersTable[[#This Row],[Product ID]],Products!A:A,0))</f>
        <v>Apparel</v>
      </c>
      <c r="P866">
        <v>1</v>
      </c>
      <c r="Q866" s="5">
        <v>1199</v>
      </c>
      <c r="R866" s="74">
        <v>0.05</v>
      </c>
      <c r="S866" s="75">
        <f>OrdersTable[[#This Row],[Quantity]]*OrdersTable[[#This Row],[Unit Price]]</f>
        <v>1199</v>
      </c>
      <c r="T866" s="5">
        <f>OrdersTable[[#This Row],[Gross Sale]]*OrdersTable[[#This Row],[Discount_Clean2]]</f>
        <v>59.95</v>
      </c>
      <c r="U866" s="5">
        <f>OrdersTable[[#This Row],[Gross Sale]]-OrdersTable[[#This Row],[Discount Amount]]</f>
        <v>1139.05</v>
      </c>
      <c r="V866" s="77">
        <f>INDEX(Products!E:E,MATCH(OrdersTable[[#This Row],[Product ID]],Products!A:A,0))</f>
        <v>492</v>
      </c>
      <c r="W866" s="77">
        <f>OrdersTable[[#This Row],[Quantity]]*OrdersTable[[#This Row],[Unit Cost]]</f>
        <v>492</v>
      </c>
      <c r="X866" s="77">
        <f>'Dropdown Lists'!$I$2*(1+OrdersTable[[#This Row],[Returned]])</f>
        <v>60</v>
      </c>
      <c r="Y866" s="76">
        <f>OrdersTable[[#This Row],[Net Revenue]]-OrdersTable[[#This Row],[COGS]]-OrdersTable[[#This Row],[Shipping Cost]]</f>
        <v>587.04999999999995</v>
      </c>
      <c r="Z866" s="78">
        <f>IFERROR(OrdersTable[[#This Row],[Profit]]/OrdersTable[[#This Row],[Net Revenue]],0)</f>
        <v>0.51538562837452262</v>
      </c>
      <c r="AA866" t="s">
        <v>4074</v>
      </c>
      <c r="AB866" s="79">
        <v>45470</v>
      </c>
      <c r="AC866">
        <f>OrdersTable[[#This Row],[Delivery Date]]-OrdersTable[[#This Row],[Order Date]]</f>
        <v>1</v>
      </c>
      <c r="AD866" t="str">
        <f>IF(OrdersTable[[#This Row],[Delivery Days]]&lt;=2, "Express (≤2d)", IF(OrdersTable[[#This Row],[Delivery Days]]&lt;=4, "Standard (3-4d)", "Delayed (5d+)"))</f>
        <v>Express (≤2d)</v>
      </c>
      <c r="AE866">
        <v>5</v>
      </c>
      <c r="AF866">
        <v>0</v>
      </c>
    </row>
    <row r="867" spans="1:32" ht="15" x14ac:dyDescent="0.35">
      <c r="A867" t="s">
        <v>3976</v>
      </c>
      <c r="B867" s="1">
        <v>45470</v>
      </c>
      <c r="C867">
        <f>YEAR(OrdersTable[[#This Row],[Order Date]])</f>
        <v>2024</v>
      </c>
      <c r="D867" s="2">
        <f>DATE(YEAR(OrdersTable[[#This Row],[Order Date]]),MONTH(OrdersTable[[#This Row],[Order Date]]),1)</f>
        <v>45444</v>
      </c>
      <c r="E867">
        <f>MONTH(OrdersTable[[#This Row],[Order Date]])</f>
        <v>6</v>
      </c>
      <c r="F867" t="s">
        <v>3821</v>
      </c>
      <c r="G867" t="str">
        <f>IF(OrdersTable[[#This Row],[Order Date]]=_xlfn.MINIFS(Order_Date, Customer_ID, OrdersTable[[#This Row],[Customer ID]]), "New", "Repeat")</f>
        <v>New</v>
      </c>
      <c r="H867" t="s">
        <v>76</v>
      </c>
      <c r="I867" t="str">
        <f>INDEX(State!B:B,MATCH(OrdersTable[[#This Row],[State]],State!A:A,0))</f>
        <v>UP</v>
      </c>
      <c r="J867" t="str">
        <f>INDEX(State!C:C,MATCH(OrdersTable[[#This Row],[State Code]],State!B:B,0))</f>
        <v>North</v>
      </c>
      <c r="K867" t="s">
        <v>118</v>
      </c>
      <c r="L867" t="s">
        <v>23</v>
      </c>
      <c r="M867" t="s">
        <v>148</v>
      </c>
      <c r="N867" t="str">
        <f>INDEX(Products!B:B,MATCH(OrdersTable[[#This Row],[Product ID]],Products!A:A,0))</f>
        <v>Smartwatch Strap</v>
      </c>
      <c r="O867" t="str">
        <f>INDEX(Products!C:C,MATCH(OrdersTable[[#This Row],[Product ID]],Products!A:A,0))</f>
        <v>Electronics</v>
      </c>
      <c r="P867">
        <v>1</v>
      </c>
      <c r="Q867" s="5">
        <v>499</v>
      </c>
      <c r="R867" s="74">
        <v>0.1</v>
      </c>
      <c r="S867" s="75">
        <f>OrdersTable[[#This Row],[Quantity]]*OrdersTable[[#This Row],[Unit Price]]</f>
        <v>499</v>
      </c>
      <c r="T867" s="5">
        <f>OrdersTable[[#This Row],[Gross Sale]]*OrdersTable[[#This Row],[Discount_Clean2]]</f>
        <v>49.900000000000006</v>
      </c>
      <c r="U867" s="5">
        <f>OrdersTable[[#This Row],[Gross Sale]]-OrdersTable[[#This Row],[Discount Amount]]</f>
        <v>449.1</v>
      </c>
      <c r="V867" s="77">
        <f>INDEX(Products!E:E,MATCH(OrdersTable[[#This Row],[Product ID]],Products!A:A,0))</f>
        <v>200</v>
      </c>
      <c r="W867" s="77">
        <f>OrdersTable[[#This Row],[Quantity]]*OrdersTable[[#This Row],[Unit Cost]]</f>
        <v>200</v>
      </c>
      <c r="X867" s="77">
        <f>'Dropdown Lists'!$I$2*(1+OrdersTable[[#This Row],[Returned]])</f>
        <v>60</v>
      </c>
      <c r="Y867" s="76">
        <f>OrdersTable[[#This Row],[Net Revenue]]-OrdersTable[[#This Row],[COGS]]-OrdersTable[[#This Row],[Shipping Cost]]</f>
        <v>189.10000000000002</v>
      </c>
      <c r="Z867" s="78">
        <f>IFERROR(OrdersTable[[#This Row],[Profit]]/OrdersTable[[#This Row],[Net Revenue]],0)</f>
        <v>0.42106435092407041</v>
      </c>
      <c r="AA867" t="s">
        <v>3495</v>
      </c>
      <c r="AB867" s="79">
        <v>45471</v>
      </c>
      <c r="AC867">
        <f>OrdersTable[[#This Row],[Delivery Date]]-OrdersTable[[#This Row],[Order Date]]</f>
        <v>1</v>
      </c>
      <c r="AD867" t="str">
        <f>IF(OrdersTable[[#This Row],[Delivery Days]]&lt;=2, "Express (≤2d)", IF(OrdersTable[[#This Row],[Delivery Days]]&lt;=4, "Standard (3-4d)", "Delayed (5d+)"))</f>
        <v>Express (≤2d)</v>
      </c>
      <c r="AE867">
        <v>5</v>
      </c>
      <c r="AF867">
        <v>0</v>
      </c>
    </row>
    <row r="868" spans="1:32" ht="15" x14ac:dyDescent="0.35">
      <c r="A868" t="s">
        <v>4777</v>
      </c>
      <c r="B868" s="1">
        <v>45470</v>
      </c>
      <c r="C868">
        <f>YEAR(OrdersTable[[#This Row],[Order Date]])</f>
        <v>2024</v>
      </c>
      <c r="D868" s="2">
        <f>DATE(YEAR(OrdersTable[[#This Row],[Order Date]]),MONTH(OrdersTable[[#This Row],[Order Date]]),1)</f>
        <v>45444</v>
      </c>
      <c r="E868">
        <f>MONTH(OrdersTable[[#This Row],[Order Date]])</f>
        <v>6</v>
      </c>
      <c r="F868" t="s">
        <v>4778</v>
      </c>
      <c r="G868" t="str">
        <f>IF(OrdersTable[[#This Row],[Order Date]]=_xlfn.MINIFS(Order_Date, Customer_ID, OrdersTable[[#This Row],[Customer ID]]), "New", "Repeat")</f>
        <v>New</v>
      </c>
      <c r="H868" t="s">
        <v>167</v>
      </c>
      <c r="I868" t="str">
        <f>INDEX(State!B:B,MATCH(OrdersTable[[#This Row],[State]],State!A:A,0))</f>
        <v>KA</v>
      </c>
      <c r="J868" t="str">
        <f>INDEX(State!C:C,MATCH(OrdersTable[[#This Row],[State Code]],State!B:B,0))</f>
        <v>South</v>
      </c>
      <c r="K868" t="s">
        <v>168</v>
      </c>
      <c r="L868" t="s">
        <v>23</v>
      </c>
      <c r="M868" t="s">
        <v>228</v>
      </c>
      <c r="N868" t="str">
        <f>INDEX(Products!B:B,MATCH(OrdersTable[[#This Row],[Product ID]],Products!A:A,0))</f>
        <v>Fast Charger 33W</v>
      </c>
      <c r="O868" t="str">
        <f>INDEX(Products!C:C,MATCH(OrdersTable[[#This Row],[Product ID]],Products!A:A,0))</f>
        <v>Electronics</v>
      </c>
      <c r="P868">
        <v>2</v>
      </c>
      <c r="Q868" s="5">
        <v>899</v>
      </c>
      <c r="R868" s="74">
        <v>0</v>
      </c>
      <c r="S868" s="75">
        <f>OrdersTable[[#This Row],[Quantity]]*OrdersTable[[#This Row],[Unit Price]]</f>
        <v>1798</v>
      </c>
      <c r="T868" s="5">
        <f>OrdersTable[[#This Row],[Gross Sale]]*OrdersTable[[#This Row],[Discount_Clean2]]</f>
        <v>0</v>
      </c>
      <c r="U868" s="5">
        <f>OrdersTable[[#This Row],[Gross Sale]]-OrdersTable[[#This Row],[Discount Amount]]</f>
        <v>1798</v>
      </c>
      <c r="V868" s="77">
        <f>INDEX(Products!E:E,MATCH(OrdersTable[[#This Row],[Product ID]],Products!A:A,0))</f>
        <v>494</v>
      </c>
      <c r="W868" s="77">
        <f>OrdersTable[[#This Row],[Quantity]]*OrdersTable[[#This Row],[Unit Cost]]</f>
        <v>988</v>
      </c>
      <c r="X868" s="77">
        <f>'Dropdown Lists'!$I$2*(1+OrdersTable[[#This Row],[Returned]])</f>
        <v>60</v>
      </c>
      <c r="Y868" s="76">
        <f>OrdersTable[[#This Row],[Net Revenue]]-OrdersTable[[#This Row],[COGS]]-OrdersTable[[#This Row],[Shipping Cost]]</f>
        <v>750</v>
      </c>
      <c r="Z868" s="78">
        <f>IFERROR(OrdersTable[[#This Row],[Profit]]/OrdersTable[[#This Row],[Net Revenue]],0)</f>
        <v>0.41713014460511677</v>
      </c>
      <c r="AA868" t="s">
        <v>4450</v>
      </c>
      <c r="AB868" s="79">
        <v>45472</v>
      </c>
      <c r="AC868">
        <f>OrdersTable[[#This Row],[Delivery Date]]-OrdersTable[[#This Row],[Order Date]]</f>
        <v>2</v>
      </c>
      <c r="AD868" t="str">
        <f>IF(OrdersTable[[#This Row],[Delivery Days]]&lt;=2, "Express (≤2d)", IF(OrdersTable[[#This Row],[Delivery Days]]&lt;=4, "Standard (3-4d)", "Delayed (5d+)"))</f>
        <v>Express (≤2d)</v>
      </c>
      <c r="AE868">
        <v>3</v>
      </c>
      <c r="AF868">
        <v>0</v>
      </c>
    </row>
    <row r="869" spans="1:32" ht="15" x14ac:dyDescent="0.35">
      <c r="A869" t="s">
        <v>2917</v>
      </c>
      <c r="B869" s="1">
        <v>45470</v>
      </c>
      <c r="C869">
        <f>YEAR(OrdersTable[[#This Row],[Order Date]])</f>
        <v>2024</v>
      </c>
      <c r="D869" s="2">
        <f>DATE(YEAR(OrdersTable[[#This Row],[Order Date]]),MONTH(OrdersTable[[#This Row],[Order Date]]),1)</f>
        <v>45444</v>
      </c>
      <c r="E869">
        <f>MONTH(OrdersTable[[#This Row],[Order Date]])</f>
        <v>6</v>
      </c>
      <c r="F869" t="s">
        <v>2787</v>
      </c>
      <c r="G869" t="str">
        <f>IF(OrdersTable[[#This Row],[Order Date]]=_xlfn.MINIFS(Order_Date, Customer_ID, OrdersTable[[#This Row],[Customer ID]]), "New", "Repeat")</f>
        <v>New</v>
      </c>
      <c r="H869" t="s">
        <v>167</v>
      </c>
      <c r="I869" t="str">
        <f>INDEX(State!B:B,MATCH(OrdersTable[[#This Row],[State]],State!A:A,0))</f>
        <v>KA</v>
      </c>
      <c r="J869" t="str">
        <f>INDEX(State!C:C,MATCH(OrdersTable[[#This Row],[State Code]],State!B:B,0))</f>
        <v>South</v>
      </c>
      <c r="K869" t="s">
        <v>168</v>
      </c>
      <c r="L869" t="s">
        <v>65</v>
      </c>
      <c r="M869" t="s">
        <v>45</v>
      </c>
      <c r="N869" t="str">
        <f>INDEX(Products!B:B,MATCH(OrdersTable[[#This Row],[Product ID]],Products!A:A,0))</f>
        <v>Argan Shampoo</v>
      </c>
      <c r="O869" t="str">
        <f>INDEX(Products!C:C,MATCH(OrdersTable[[#This Row],[Product ID]],Products!A:A,0))</f>
        <v>Haircare</v>
      </c>
      <c r="P869">
        <v>1</v>
      </c>
      <c r="Q869" s="5">
        <v>449</v>
      </c>
      <c r="R869" s="74">
        <v>0.05</v>
      </c>
      <c r="S869" s="75">
        <f>OrdersTable[[#This Row],[Quantity]]*OrdersTable[[#This Row],[Unit Price]]</f>
        <v>449</v>
      </c>
      <c r="T869" s="5">
        <f>OrdersTable[[#This Row],[Gross Sale]]*OrdersTable[[#This Row],[Discount_Clean2]]</f>
        <v>22.450000000000003</v>
      </c>
      <c r="U869" s="5">
        <f>OrdersTable[[#This Row],[Gross Sale]]-OrdersTable[[#This Row],[Discount Amount]]</f>
        <v>426.55</v>
      </c>
      <c r="V869" s="77">
        <f>INDEX(Products!E:E,MATCH(OrdersTable[[#This Row],[Product ID]],Products!A:A,0))</f>
        <v>148</v>
      </c>
      <c r="W869" s="77">
        <f>OrdersTable[[#This Row],[Quantity]]*OrdersTable[[#This Row],[Unit Cost]]</f>
        <v>148</v>
      </c>
      <c r="X869" s="77">
        <f>'Dropdown Lists'!$I$2*(1+OrdersTable[[#This Row],[Returned]])</f>
        <v>60</v>
      </c>
      <c r="Y869" s="76">
        <f>OrdersTable[[#This Row],[Net Revenue]]-OrdersTable[[#This Row],[COGS]]-OrdersTable[[#This Row],[Shipping Cost]]</f>
        <v>218.55</v>
      </c>
      <c r="Z869" s="78">
        <f>IFERROR(OrdersTable[[#This Row],[Profit]]/OrdersTable[[#This Row],[Net Revenue]],0)</f>
        <v>0.51236666275934828</v>
      </c>
      <c r="AA869" t="s">
        <v>2522</v>
      </c>
      <c r="AB869" s="79">
        <v>45471</v>
      </c>
      <c r="AC869">
        <f>OrdersTable[[#This Row],[Delivery Date]]-OrdersTable[[#This Row],[Order Date]]</f>
        <v>1</v>
      </c>
      <c r="AD869" t="str">
        <f>IF(OrdersTable[[#This Row],[Delivery Days]]&lt;=2, "Express (≤2d)", IF(OrdersTable[[#This Row],[Delivery Days]]&lt;=4, "Standard (3-4d)", "Delayed (5d+)"))</f>
        <v>Express (≤2d)</v>
      </c>
      <c r="AF869">
        <v>0</v>
      </c>
    </row>
    <row r="870" spans="1:32" ht="15" x14ac:dyDescent="0.35">
      <c r="A870" t="s">
        <v>5665</v>
      </c>
      <c r="B870" s="1">
        <v>45471</v>
      </c>
      <c r="C870">
        <f>YEAR(OrdersTable[[#This Row],[Order Date]])</f>
        <v>2024</v>
      </c>
      <c r="D870" s="2">
        <f>DATE(YEAR(OrdersTable[[#This Row],[Order Date]]),MONTH(OrdersTable[[#This Row],[Order Date]]),1)</f>
        <v>45444</v>
      </c>
      <c r="E870">
        <f>MONTH(OrdersTable[[#This Row],[Order Date]])</f>
        <v>6</v>
      </c>
      <c r="F870" t="s">
        <v>5666</v>
      </c>
      <c r="G870" t="str">
        <f>IF(OrdersTable[[#This Row],[Order Date]]=_xlfn.MINIFS(Order_Date, Customer_ID, OrdersTable[[#This Row],[Customer ID]]), "New", "Repeat")</f>
        <v>New</v>
      </c>
      <c r="H870" t="s">
        <v>123</v>
      </c>
      <c r="I870" t="str">
        <f>INDEX(State!B:B,MATCH(OrdersTable[[#This Row],[State]],State!A:A,0))</f>
        <v>JH</v>
      </c>
      <c r="J870" t="str">
        <f>INDEX(State!C:C,MATCH(OrdersTable[[#This Row],[State Code]],State!B:B,0))</f>
        <v>East</v>
      </c>
      <c r="K870" t="s">
        <v>124</v>
      </c>
      <c r="L870" t="s">
        <v>23</v>
      </c>
      <c r="M870" t="s">
        <v>148</v>
      </c>
      <c r="N870" t="str">
        <f>INDEX(Products!B:B,MATCH(OrdersTable[[#This Row],[Product ID]],Products!A:A,0))</f>
        <v>Smartwatch Strap</v>
      </c>
      <c r="O870" t="str">
        <f>INDEX(Products!C:C,MATCH(OrdersTable[[#This Row],[Product ID]],Products!A:A,0))</f>
        <v>Electronics</v>
      </c>
      <c r="P870">
        <v>2</v>
      </c>
      <c r="Q870" s="5">
        <v>499</v>
      </c>
      <c r="R870" s="74">
        <v>0.1</v>
      </c>
      <c r="S870" s="75">
        <f>OrdersTable[[#This Row],[Quantity]]*OrdersTable[[#This Row],[Unit Price]]</f>
        <v>998</v>
      </c>
      <c r="T870" s="5">
        <f>OrdersTable[[#This Row],[Gross Sale]]*OrdersTable[[#This Row],[Discount_Clean2]]</f>
        <v>99.800000000000011</v>
      </c>
      <c r="U870" s="5">
        <f>OrdersTable[[#This Row],[Gross Sale]]-OrdersTable[[#This Row],[Discount Amount]]</f>
        <v>898.2</v>
      </c>
      <c r="V870" s="77">
        <f>INDEX(Products!E:E,MATCH(OrdersTable[[#This Row],[Product ID]],Products!A:A,0))</f>
        <v>200</v>
      </c>
      <c r="W870" s="77">
        <f>OrdersTable[[#This Row],[Quantity]]*OrdersTable[[#This Row],[Unit Cost]]</f>
        <v>400</v>
      </c>
      <c r="X870" s="77">
        <f>'Dropdown Lists'!$I$2*(1+OrdersTable[[#This Row],[Returned]])</f>
        <v>60</v>
      </c>
      <c r="Y870" s="76">
        <f>OrdersTable[[#This Row],[Net Revenue]]-OrdersTable[[#This Row],[COGS]]-OrdersTable[[#This Row],[Shipping Cost]]</f>
        <v>438.20000000000005</v>
      </c>
      <c r="Z870" s="78">
        <f>IFERROR(OrdersTable[[#This Row],[Profit]]/OrdersTable[[#This Row],[Net Revenue]],0)</f>
        <v>0.4878646181251392</v>
      </c>
      <c r="AA870" t="s">
        <v>18</v>
      </c>
      <c r="AB870" s="79">
        <v>45475</v>
      </c>
      <c r="AC870">
        <f>OrdersTable[[#This Row],[Delivery Date]]-OrdersTable[[#This Row],[Order Date]]</f>
        <v>4</v>
      </c>
      <c r="AD870" t="str">
        <f>IF(OrdersTable[[#This Row],[Delivery Days]]&lt;=2, "Express (≤2d)", IF(OrdersTable[[#This Row],[Delivery Days]]&lt;=4, "Standard (3-4d)", "Delayed (5d+)"))</f>
        <v>Standard (3-4d)</v>
      </c>
      <c r="AE870">
        <v>3</v>
      </c>
      <c r="AF870">
        <v>0</v>
      </c>
    </row>
    <row r="871" spans="1:32" ht="15" x14ac:dyDescent="0.35">
      <c r="A871" t="s">
        <v>1648</v>
      </c>
      <c r="B871" s="1">
        <v>45472</v>
      </c>
      <c r="C871">
        <f>YEAR(OrdersTable[[#This Row],[Order Date]])</f>
        <v>2024</v>
      </c>
      <c r="D871" s="2">
        <f>DATE(YEAR(OrdersTable[[#This Row],[Order Date]]),MONTH(OrdersTable[[#This Row],[Order Date]]),1)</f>
        <v>45444</v>
      </c>
      <c r="E871">
        <f>MONTH(OrdersTable[[#This Row],[Order Date]])</f>
        <v>6</v>
      </c>
      <c r="F871" t="s">
        <v>1649</v>
      </c>
      <c r="G871" t="str">
        <f>IF(OrdersTable[[#This Row],[Order Date]]=_xlfn.MINIFS(Order_Date, Customer_ID, OrdersTable[[#This Row],[Customer ID]]), "New", "Repeat")</f>
        <v>New</v>
      </c>
      <c r="H871" t="s">
        <v>48</v>
      </c>
      <c r="I871" t="str">
        <f>INDEX(State!B:B,MATCH(OrdersTable[[#This Row],[State]],State!A:A,0))</f>
        <v>HR</v>
      </c>
      <c r="J871" t="str">
        <f>INDEX(State!C:C,MATCH(OrdersTable[[#This Row],[State Code]],State!B:B,0))</f>
        <v>North</v>
      </c>
      <c r="K871" t="s">
        <v>49</v>
      </c>
      <c r="L871" t="s">
        <v>65</v>
      </c>
      <c r="M871" t="s">
        <v>173</v>
      </c>
      <c r="N871" t="str">
        <f>INDEX(Products!B:B,MATCH(OrdersTable[[#This Row],[Product ID]],Products!A:A,0))</f>
        <v>Wireless Earbuds</v>
      </c>
      <c r="O871" t="str">
        <f>INDEX(Products!C:C,MATCH(OrdersTable[[#This Row],[Product ID]],Products!A:A,0))</f>
        <v>Electronics</v>
      </c>
      <c r="P871">
        <v>1</v>
      </c>
      <c r="Q871" s="5">
        <v>1999</v>
      </c>
      <c r="R871" s="74">
        <v>0.45</v>
      </c>
      <c r="S871" s="75">
        <f>OrdersTable[[#This Row],[Quantity]]*OrdersTable[[#This Row],[Unit Price]]</f>
        <v>1999</v>
      </c>
      <c r="T871" s="5">
        <f>OrdersTable[[#This Row],[Gross Sale]]*OrdersTable[[#This Row],[Discount_Clean2]]</f>
        <v>899.55000000000007</v>
      </c>
      <c r="U871" s="5">
        <f>OrdersTable[[#This Row],[Gross Sale]]-OrdersTable[[#This Row],[Discount Amount]]</f>
        <v>1099.4499999999998</v>
      </c>
      <c r="V871" s="77">
        <f>INDEX(Products!E:E,MATCH(OrdersTable[[#This Row],[Product ID]],Products!A:A,0))</f>
        <v>1239</v>
      </c>
      <c r="W871" s="77">
        <f>OrdersTable[[#This Row],[Quantity]]*OrdersTable[[#This Row],[Unit Cost]]</f>
        <v>1239</v>
      </c>
      <c r="X871" s="77">
        <f>'Dropdown Lists'!$I$2*(1+OrdersTable[[#This Row],[Returned]])</f>
        <v>60</v>
      </c>
      <c r="Y871" s="76">
        <f>OrdersTable[[#This Row],[Net Revenue]]-OrdersTable[[#This Row],[COGS]]-OrdersTable[[#This Row],[Shipping Cost]]</f>
        <v>-199.55000000000018</v>
      </c>
      <c r="Z871" s="78">
        <f>IFERROR(OrdersTable[[#This Row],[Profit]]/OrdersTable[[#This Row],[Net Revenue]],0)</f>
        <v>-0.18149984082950585</v>
      </c>
      <c r="AA871" t="s">
        <v>18</v>
      </c>
      <c r="AB871" s="79">
        <v>45473</v>
      </c>
      <c r="AC871">
        <f>OrdersTable[[#This Row],[Delivery Date]]-OrdersTable[[#This Row],[Order Date]]</f>
        <v>1</v>
      </c>
      <c r="AD871" t="str">
        <f>IF(OrdersTable[[#This Row],[Delivery Days]]&lt;=2, "Express (≤2d)", IF(OrdersTable[[#This Row],[Delivery Days]]&lt;=4, "Standard (3-4d)", "Delayed (5d+)"))</f>
        <v>Express (≤2d)</v>
      </c>
      <c r="AF871">
        <v>0</v>
      </c>
    </row>
    <row r="872" spans="1:32" ht="15" x14ac:dyDescent="0.35">
      <c r="A872" t="s">
        <v>2276</v>
      </c>
      <c r="B872" s="1">
        <v>45472</v>
      </c>
      <c r="C872">
        <f>YEAR(OrdersTable[[#This Row],[Order Date]])</f>
        <v>2024</v>
      </c>
      <c r="D872" s="2">
        <f>DATE(YEAR(OrdersTable[[#This Row],[Order Date]]),MONTH(OrdersTable[[#This Row],[Order Date]]),1)</f>
        <v>45444</v>
      </c>
      <c r="E872">
        <f>MONTH(OrdersTable[[#This Row],[Order Date]])</f>
        <v>6</v>
      </c>
      <c r="F872" t="s">
        <v>2277</v>
      </c>
      <c r="G872" t="str">
        <f>IF(OrdersTable[[#This Row],[Order Date]]=_xlfn.MINIFS(Order_Date, Customer_ID, OrdersTable[[#This Row],[Customer ID]]), "New", "Repeat")</f>
        <v>New</v>
      </c>
      <c r="H872" t="s">
        <v>128</v>
      </c>
      <c r="I872" t="str">
        <f>INDEX(State!B:B,MATCH(OrdersTable[[#This Row],[State]],State!A:A,0))</f>
        <v>DL</v>
      </c>
      <c r="J872" t="str">
        <f>INDEX(State!C:C,MATCH(OrdersTable[[#This Row],[State Code]],State!B:B,0))</f>
        <v>North</v>
      </c>
      <c r="K872" t="s">
        <v>129</v>
      </c>
      <c r="L872" t="s">
        <v>39</v>
      </c>
      <c r="M872" t="s">
        <v>56</v>
      </c>
      <c r="N872" t="str">
        <f>INDEX(Products!B:B,MATCH(OrdersTable[[#This Row],[Product ID]],Products!A:A,0))</f>
        <v>Vitamin C Face Serum</v>
      </c>
      <c r="O872" t="str">
        <f>INDEX(Products!C:C,MATCH(OrdersTable[[#This Row],[Product ID]],Products!A:A,0))</f>
        <v>Skincare</v>
      </c>
      <c r="P872">
        <v>1</v>
      </c>
      <c r="Q872" s="5">
        <v>599</v>
      </c>
      <c r="R872" s="74">
        <v>0.05</v>
      </c>
      <c r="S872" s="75">
        <f>OrdersTable[[#This Row],[Quantity]]*OrdersTable[[#This Row],[Unit Price]]</f>
        <v>599</v>
      </c>
      <c r="T872" s="5">
        <f>OrdersTable[[#This Row],[Gross Sale]]*OrdersTable[[#This Row],[Discount_Clean2]]</f>
        <v>29.950000000000003</v>
      </c>
      <c r="U872" s="5">
        <f>OrdersTable[[#This Row],[Gross Sale]]-OrdersTable[[#This Row],[Discount Amount]]</f>
        <v>569.04999999999995</v>
      </c>
      <c r="V872" s="77">
        <f>INDEX(Products!E:E,MATCH(OrdersTable[[#This Row],[Product ID]],Products!A:A,0))</f>
        <v>180</v>
      </c>
      <c r="W872" s="77">
        <f>OrdersTable[[#This Row],[Quantity]]*OrdersTable[[#This Row],[Unit Cost]]</f>
        <v>180</v>
      </c>
      <c r="X872" s="77">
        <f>'Dropdown Lists'!$I$2*(1+OrdersTable[[#This Row],[Returned]])</f>
        <v>60</v>
      </c>
      <c r="Y872" s="76">
        <f>OrdersTable[[#This Row],[Net Revenue]]-OrdersTable[[#This Row],[COGS]]-OrdersTable[[#This Row],[Shipping Cost]]</f>
        <v>329.04999999999995</v>
      </c>
      <c r="Z872" s="78">
        <f>IFERROR(OrdersTable[[#This Row],[Profit]]/OrdersTable[[#This Row],[Net Revenue]],0)</f>
        <v>0.57824444249187235</v>
      </c>
      <c r="AA872" t="s">
        <v>18</v>
      </c>
      <c r="AB872" s="79">
        <v>45474</v>
      </c>
      <c r="AC872">
        <f>OrdersTable[[#This Row],[Delivery Date]]-OrdersTable[[#This Row],[Order Date]]</f>
        <v>2</v>
      </c>
      <c r="AD872" t="str">
        <f>IF(OrdersTable[[#This Row],[Delivery Days]]&lt;=2, "Express (≤2d)", IF(OrdersTable[[#This Row],[Delivery Days]]&lt;=4, "Standard (3-4d)", "Delayed (5d+)"))</f>
        <v>Express (≤2d)</v>
      </c>
      <c r="AE872">
        <v>5</v>
      </c>
      <c r="AF872">
        <v>0</v>
      </c>
    </row>
    <row r="873" spans="1:32" ht="15" x14ac:dyDescent="0.35">
      <c r="A873" t="s">
        <v>3860</v>
      </c>
      <c r="B873" s="1">
        <v>45472</v>
      </c>
      <c r="C873">
        <f>YEAR(OrdersTable[[#This Row],[Order Date]])</f>
        <v>2024</v>
      </c>
      <c r="D873" s="2">
        <f>DATE(YEAR(OrdersTable[[#This Row],[Order Date]]),MONTH(OrdersTable[[#This Row],[Order Date]]),1)</f>
        <v>45444</v>
      </c>
      <c r="E873">
        <f>MONTH(OrdersTable[[#This Row],[Order Date]])</f>
        <v>6</v>
      </c>
      <c r="F873" t="s">
        <v>481</v>
      </c>
      <c r="G873" t="str">
        <f>IF(OrdersTable[[#This Row],[Order Date]]=_xlfn.MINIFS(Order_Date, Customer_ID, OrdersTable[[#This Row],[Customer ID]]), "New", "Repeat")</f>
        <v>Repeat</v>
      </c>
      <c r="H873" t="s">
        <v>132</v>
      </c>
      <c r="I873" t="str">
        <f>INDEX(State!B:B,MATCH(OrdersTable[[#This Row],[State]],State!A:A,0))</f>
        <v>AS</v>
      </c>
      <c r="J873" t="str">
        <f>INDEX(State!C:C,MATCH(OrdersTable[[#This Row],[State Code]],State!B:B,0))</f>
        <v>East</v>
      </c>
      <c r="K873" t="s">
        <v>133</v>
      </c>
      <c r="L873" t="s">
        <v>23</v>
      </c>
      <c r="M873" t="s">
        <v>125</v>
      </c>
      <c r="N873" t="str">
        <f>INDEX(Products!B:B,MATCH(OrdersTable[[#This Row],[Product ID]],Products!A:A,0))</f>
        <v>Copper Water Bottle</v>
      </c>
      <c r="O873" t="str">
        <f>INDEX(Products!C:C,MATCH(OrdersTable[[#This Row],[Product ID]],Products!A:A,0))</f>
        <v>Home &amp; Kitchen</v>
      </c>
      <c r="P873">
        <v>1</v>
      </c>
      <c r="Q873" s="5">
        <v>899</v>
      </c>
      <c r="R873" s="74">
        <v>0.05</v>
      </c>
      <c r="S873" s="75">
        <f>OrdersTable[[#This Row],[Quantity]]*OrdersTable[[#This Row],[Unit Price]]</f>
        <v>899</v>
      </c>
      <c r="T873" s="5">
        <f>OrdersTable[[#This Row],[Gross Sale]]*OrdersTable[[#This Row],[Discount_Clean2]]</f>
        <v>44.95</v>
      </c>
      <c r="U873" s="5">
        <f>OrdersTable[[#This Row],[Gross Sale]]-OrdersTable[[#This Row],[Discount Amount]]</f>
        <v>854.05</v>
      </c>
      <c r="V873" s="77">
        <f>INDEX(Products!E:E,MATCH(OrdersTable[[#This Row],[Product ID]],Products!A:A,0))</f>
        <v>378</v>
      </c>
      <c r="W873" s="77">
        <f>OrdersTable[[#This Row],[Quantity]]*OrdersTable[[#This Row],[Unit Cost]]</f>
        <v>378</v>
      </c>
      <c r="X873" s="77">
        <f>'Dropdown Lists'!$I$2*(1+OrdersTable[[#This Row],[Returned]])</f>
        <v>60</v>
      </c>
      <c r="Y873" s="76">
        <f>OrdersTable[[#This Row],[Net Revenue]]-OrdersTable[[#This Row],[COGS]]-OrdersTable[[#This Row],[Shipping Cost]]</f>
        <v>416.04999999999995</v>
      </c>
      <c r="Z873" s="78">
        <f>IFERROR(OrdersTable[[#This Row],[Profit]]/OrdersTable[[#This Row],[Net Revenue]],0)</f>
        <v>0.48714946431707745</v>
      </c>
      <c r="AA873" t="s">
        <v>3495</v>
      </c>
      <c r="AB873" s="79">
        <v>45479</v>
      </c>
      <c r="AC873">
        <f>OrdersTable[[#This Row],[Delivery Date]]-OrdersTable[[#This Row],[Order Date]]</f>
        <v>7</v>
      </c>
      <c r="AD873" t="str">
        <f>IF(OrdersTable[[#This Row],[Delivery Days]]&lt;=2, "Express (≤2d)", IF(OrdersTable[[#This Row],[Delivery Days]]&lt;=4, "Standard (3-4d)", "Delayed (5d+)"))</f>
        <v>Delayed (5d+)</v>
      </c>
      <c r="AE873">
        <v>3</v>
      </c>
      <c r="AF873">
        <v>0</v>
      </c>
    </row>
    <row r="874" spans="1:32" ht="15" x14ac:dyDescent="0.35">
      <c r="A874" t="s">
        <v>5092</v>
      </c>
      <c r="B874" s="1">
        <v>45472</v>
      </c>
      <c r="C874">
        <f>YEAR(OrdersTable[[#This Row],[Order Date]])</f>
        <v>2024</v>
      </c>
      <c r="D874" s="2">
        <f>DATE(YEAR(OrdersTable[[#This Row],[Order Date]]),MONTH(OrdersTable[[#This Row],[Order Date]]),1)</f>
        <v>45444</v>
      </c>
      <c r="E874">
        <f>MONTH(OrdersTable[[#This Row],[Order Date]])</f>
        <v>6</v>
      </c>
      <c r="F874" t="s">
        <v>2115</v>
      </c>
      <c r="G874" t="str">
        <f>IF(OrdersTable[[#This Row],[Order Date]]=_xlfn.MINIFS(Order_Date, Customer_ID, OrdersTable[[#This Row],[Customer ID]]), "New", "Repeat")</f>
        <v>New</v>
      </c>
      <c r="H874" t="s">
        <v>37</v>
      </c>
      <c r="I874" t="str">
        <f>INDEX(State!B:B,MATCH(OrdersTable[[#This Row],[State]],State!A:A,0))</f>
        <v>GJ</v>
      </c>
      <c r="J874" t="str">
        <f>INDEX(State!C:C,MATCH(OrdersTable[[#This Row],[State Code]],State!B:B,0))</f>
        <v>West</v>
      </c>
      <c r="K874" t="s">
        <v>38</v>
      </c>
      <c r="L874" t="s">
        <v>50</v>
      </c>
      <c r="M874" t="s">
        <v>45</v>
      </c>
      <c r="N874" t="str">
        <f>INDEX(Products!B:B,MATCH(OrdersTable[[#This Row],[Product ID]],Products!A:A,0))</f>
        <v>Argan Shampoo</v>
      </c>
      <c r="O874" t="str">
        <f>INDEX(Products!C:C,MATCH(OrdersTable[[#This Row],[Product ID]],Products!A:A,0))</f>
        <v>Haircare</v>
      </c>
      <c r="P874">
        <v>2</v>
      </c>
      <c r="Q874" s="5">
        <v>449</v>
      </c>
      <c r="R874" s="74">
        <v>0.05</v>
      </c>
      <c r="S874" s="75">
        <f>OrdersTable[[#This Row],[Quantity]]*OrdersTable[[#This Row],[Unit Price]]</f>
        <v>898</v>
      </c>
      <c r="T874" s="5">
        <f>OrdersTable[[#This Row],[Gross Sale]]*OrdersTable[[#This Row],[Discount_Clean2]]</f>
        <v>44.900000000000006</v>
      </c>
      <c r="U874" s="5">
        <f>OrdersTable[[#This Row],[Gross Sale]]-OrdersTable[[#This Row],[Discount Amount]]</f>
        <v>853.1</v>
      </c>
      <c r="V874" s="77">
        <f>INDEX(Products!E:E,MATCH(OrdersTable[[#This Row],[Product ID]],Products!A:A,0))</f>
        <v>148</v>
      </c>
      <c r="W874" s="77">
        <f>OrdersTable[[#This Row],[Quantity]]*OrdersTable[[#This Row],[Unit Cost]]</f>
        <v>296</v>
      </c>
      <c r="X874" s="77">
        <f>'Dropdown Lists'!$I$2*(1+OrdersTable[[#This Row],[Returned]])</f>
        <v>60</v>
      </c>
      <c r="Y874" s="76">
        <f>OrdersTable[[#This Row],[Net Revenue]]-OrdersTable[[#This Row],[COGS]]-OrdersTable[[#This Row],[Shipping Cost]]</f>
        <v>497.1</v>
      </c>
      <c r="Z874" s="78">
        <f>IFERROR(OrdersTable[[#This Row],[Profit]]/OrdersTable[[#This Row],[Net Revenue]],0)</f>
        <v>0.58269839409213453</v>
      </c>
      <c r="AA874" t="s">
        <v>3495</v>
      </c>
      <c r="AB874" s="79">
        <v>45474</v>
      </c>
      <c r="AC874">
        <f>OrdersTable[[#This Row],[Delivery Date]]-OrdersTable[[#This Row],[Order Date]]</f>
        <v>2</v>
      </c>
      <c r="AD874" t="str">
        <f>IF(OrdersTable[[#This Row],[Delivery Days]]&lt;=2, "Express (≤2d)", IF(OrdersTable[[#This Row],[Delivery Days]]&lt;=4, "Standard (3-4d)", "Delayed (5d+)"))</f>
        <v>Express (≤2d)</v>
      </c>
      <c r="AF874">
        <v>0</v>
      </c>
    </row>
    <row r="875" spans="1:32" ht="15" x14ac:dyDescent="0.35">
      <c r="A875" t="s">
        <v>6954</v>
      </c>
      <c r="B875" s="1">
        <v>45472</v>
      </c>
      <c r="C875">
        <f>YEAR(OrdersTable[[#This Row],[Order Date]])</f>
        <v>2024</v>
      </c>
      <c r="D875" s="2">
        <f>DATE(YEAR(OrdersTable[[#This Row],[Order Date]]),MONTH(OrdersTable[[#This Row],[Order Date]]),1)</f>
        <v>45444</v>
      </c>
      <c r="E875">
        <f>MONTH(OrdersTable[[#This Row],[Order Date]])</f>
        <v>6</v>
      </c>
      <c r="F875" t="s">
        <v>4666</v>
      </c>
      <c r="G875" t="str">
        <f>IF(OrdersTable[[#This Row],[Order Date]]=_xlfn.MINIFS(Order_Date, Customer_ID, OrdersTable[[#This Row],[Customer ID]]), "New", "Repeat")</f>
        <v>Repeat</v>
      </c>
      <c r="H875" t="s">
        <v>37</v>
      </c>
      <c r="I875" t="str">
        <f>INDEX(State!B:B,MATCH(OrdersTable[[#This Row],[State]],State!A:A,0))</f>
        <v>GJ</v>
      </c>
      <c r="J875" t="str">
        <f>INDEX(State!C:C,MATCH(OrdersTable[[#This Row],[State Code]],State!B:B,0))</f>
        <v>West</v>
      </c>
      <c r="K875" t="s">
        <v>38</v>
      </c>
      <c r="L875" t="s">
        <v>50</v>
      </c>
      <c r="M875" t="s">
        <v>61</v>
      </c>
      <c r="N875" t="str">
        <f>INDEX(Products!B:B,MATCH(OrdersTable[[#This Row],[Product ID]],Products!A:A,0))</f>
        <v>Multivitamin Gummies</v>
      </c>
      <c r="O875" t="str">
        <f>INDEX(Products!C:C,MATCH(OrdersTable[[#This Row],[Product ID]],Products!A:A,0))</f>
        <v>Wellness</v>
      </c>
      <c r="P875">
        <v>4</v>
      </c>
      <c r="Q875" s="5">
        <v>699</v>
      </c>
      <c r="R875" s="74">
        <v>0.2</v>
      </c>
      <c r="S875" s="75">
        <f>OrdersTable[[#This Row],[Quantity]]*OrdersTable[[#This Row],[Unit Price]]</f>
        <v>2796</v>
      </c>
      <c r="T875" s="5">
        <f>OrdersTable[[#This Row],[Gross Sale]]*OrdersTable[[#This Row],[Discount_Clean2]]</f>
        <v>559.20000000000005</v>
      </c>
      <c r="U875" s="5">
        <f>OrdersTable[[#This Row],[Gross Sale]]-OrdersTable[[#This Row],[Discount Amount]]</f>
        <v>2236.8000000000002</v>
      </c>
      <c r="V875" s="77">
        <f>INDEX(Products!E:E,MATCH(OrdersTable[[#This Row],[Product ID]],Products!A:A,0))</f>
        <v>238</v>
      </c>
      <c r="W875" s="77">
        <f>OrdersTable[[#This Row],[Quantity]]*OrdersTable[[#This Row],[Unit Cost]]</f>
        <v>952</v>
      </c>
      <c r="X875" s="77">
        <f>'Dropdown Lists'!$I$2*(1+OrdersTable[[#This Row],[Returned]])</f>
        <v>60</v>
      </c>
      <c r="Y875" s="76">
        <f>OrdersTable[[#This Row],[Net Revenue]]-OrdersTable[[#This Row],[COGS]]-OrdersTable[[#This Row],[Shipping Cost]]</f>
        <v>1224.8000000000002</v>
      </c>
      <c r="Z875" s="78">
        <f>IFERROR(OrdersTable[[#This Row],[Profit]]/OrdersTable[[#This Row],[Net Revenue]],0)</f>
        <v>0.54756795422031479</v>
      </c>
      <c r="AA875" t="s">
        <v>4450</v>
      </c>
      <c r="AB875" s="79">
        <v>45474</v>
      </c>
      <c r="AC875">
        <f>OrdersTable[[#This Row],[Delivery Date]]-OrdersTable[[#This Row],[Order Date]]</f>
        <v>2</v>
      </c>
      <c r="AD875" t="str">
        <f>IF(OrdersTable[[#This Row],[Delivery Days]]&lt;=2, "Express (≤2d)", IF(OrdersTable[[#This Row],[Delivery Days]]&lt;=4, "Standard (3-4d)", "Delayed (5d+)"))</f>
        <v>Express (≤2d)</v>
      </c>
      <c r="AF875">
        <v>0</v>
      </c>
    </row>
    <row r="876" spans="1:32" ht="15" x14ac:dyDescent="0.35">
      <c r="A876" t="s">
        <v>4915</v>
      </c>
      <c r="B876" s="1">
        <v>45472</v>
      </c>
      <c r="C876">
        <f>YEAR(OrdersTable[[#This Row],[Order Date]])</f>
        <v>2024</v>
      </c>
      <c r="D876" s="2">
        <f>DATE(YEAR(OrdersTable[[#This Row],[Order Date]]),MONTH(OrdersTable[[#This Row],[Order Date]]),1)</f>
        <v>45444</v>
      </c>
      <c r="E876">
        <f>MONTH(OrdersTable[[#This Row],[Order Date]])</f>
        <v>6</v>
      </c>
      <c r="F876" t="s">
        <v>506</v>
      </c>
      <c r="G876" t="str">
        <f>IF(OrdersTable[[#This Row],[Order Date]]=_xlfn.MINIFS(Order_Date, Customer_ID, OrdersTable[[#This Row],[Customer ID]]), "New", "Repeat")</f>
        <v>New</v>
      </c>
      <c r="H876" t="s">
        <v>27</v>
      </c>
      <c r="I876" t="str">
        <f>INDEX(State!B:B,MATCH(OrdersTable[[#This Row],[State]],State!A:A,0))</f>
        <v>WB</v>
      </c>
      <c r="J876" t="str">
        <f>INDEX(State!C:C,MATCH(OrdersTable[[#This Row],[State Code]],State!B:B,0))</f>
        <v>East</v>
      </c>
      <c r="K876" t="s">
        <v>28</v>
      </c>
      <c r="L876" t="s">
        <v>23</v>
      </c>
      <c r="M876" t="s">
        <v>106</v>
      </c>
      <c r="N876" t="str">
        <f>INDEX(Products!B:B,MATCH(OrdersTable[[#This Row],[Product ID]],Products!A:A,0))</f>
        <v>Keratin Hair Mask</v>
      </c>
      <c r="O876" t="str">
        <f>INDEX(Products!C:C,MATCH(OrdersTable[[#This Row],[Product ID]],Products!A:A,0))</f>
        <v>Haircare</v>
      </c>
      <c r="P876">
        <v>2</v>
      </c>
      <c r="Q876" s="5">
        <v>549</v>
      </c>
      <c r="R876" s="74">
        <v>0.2</v>
      </c>
      <c r="S876" s="75">
        <f>OrdersTable[[#This Row],[Quantity]]*OrdersTable[[#This Row],[Unit Price]]</f>
        <v>1098</v>
      </c>
      <c r="T876" s="5">
        <f>OrdersTable[[#This Row],[Gross Sale]]*OrdersTable[[#This Row],[Discount_Clean2]]</f>
        <v>219.60000000000002</v>
      </c>
      <c r="U876" s="5">
        <f>OrdersTable[[#This Row],[Gross Sale]]-OrdersTable[[#This Row],[Discount Amount]]</f>
        <v>878.4</v>
      </c>
      <c r="V876" s="77">
        <f>INDEX(Products!E:E,MATCH(OrdersTable[[#This Row],[Product ID]],Products!A:A,0))</f>
        <v>170</v>
      </c>
      <c r="W876" s="77">
        <f>OrdersTable[[#This Row],[Quantity]]*OrdersTable[[#This Row],[Unit Cost]]</f>
        <v>340</v>
      </c>
      <c r="X876" s="77">
        <f>'Dropdown Lists'!$I$2*(1+OrdersTable[[#This Row],[Returned]])</f>
        <v>60</v>
      </c>
      <c r="Y876" s="76">
        <f>OrdersTable[[#This Row],[Net Revenue]]-OrdersTable[[#This Row],[COGS]]-OrdersTable[[#This Row],[Shipping Cost]]</f>
        <v>478.4</v>
      </c>
      <c r="Z876" s="78">
        <f>IFERROR(OrdersTable[[#This Row],[Profit]]/OrdersTable[[#This Row],[Net Revenue]],0)</f>
        <v>0.54462659380692169</v>
      </c>
      <c r="AA876" t="s">
        <v>4074</v>
      </c>
      <c r="AB876" s="79">
        <v>45477</v>
      </c>
      <c r="AC876">
        <f>OrdersTable[[#This Row],[Delivery Date]]-OrdersTable[[#This Row],[Order Date]]</f>
        <v>5</v>
      </c>
      <c r="AD876" t="str">
        <f>IF(OrdersTable[[#This Row],[Delivery Days]]&lt;=2, "Express (≤2d)", IF(OrdersTable[[#This Row],[Delivery Days]]&lt;=4, "Standard (3-4d)", "Delayed (5d+)"))</f>
        <v>Delayed (5d+)</v>
      </c>
      <c r="AE876">
        <v>3</v>
      </c>
      <c r="AF876">
        <v>0</v>
      </c>
    </row>
    <row r="877" spans="1:32" ht="15" x14ac:dyDescent="0.35">
      <c r="A877" t="s">
        <v>136</v>
      </c>
      <c r="B877" s="1">
        <v>45472</v>
      </c>
      <c r="C877">
        <f>YEAR(OrdersTable[[#This Row],[Order Date]])</f>
        <v>2024</v>
      </c>
      <c r="D877" s="2">
        <f>DATE(YEAR(OrdersTable[[#This Row],[Order Date]]),MONTH(OrdersTable[[#This Row],[Order Date]]),1)</f>
        <v>45444</v>
      </c>
      <c r="E877">
        <f>MONTH(OrdersTable[[#This Row],[Order Date]])</f>
        <v>6</v>
      </c>
      <c r="F877" t="s">
        <v>137</v>
      </c>
      <c r="G877" t="str">
        <f>IF(OrdersTable[[#This Row],[Order Date]]=_xlfn.MINIFS(Order_Date, Customer_ID, OrdersTable[[#This Row],[Customer ID]]), "New", "Repeat")</f>
        <v>New</v>
      </c>
      <c r="H877" t="s">
        <v>71</v>
      </c>
      <c r="I877" t="str">
        <f>INDEX(State!B:B,MATCH(OrdersTable[[#This Row],[State]],State!A:A,0))</f>
        <v>MH</v>
      </c>
      <c r="J877" t="str">
        <f>INDEX(State!C:C,MATCH(OrdersTable[[#This Row],[State Code]],State!B:B,0))</f>
        <v>West</v>
      </c>
      <c r="K877" t="s">
        <v>81</v>
      </c>
      <c r="L877" t="s">
        <v>65</v>
      </c>
      <c r="M877" t="s">
        <v>92</v>
      </c>
      <c r="N877" t="str">
        <f>INDEX(Products!B:B,MATCH(OrdersTable[[#This Row],[Product ID]],Products!A:A,0))</f>
        <v>Kolhapuri Sandals</v>
      </c>
      <c r="O877" t="str">
        <f>INDEX(Products!C:C,MATCH(OrdersTable[[#This Row],[Product ID]],Products!A:A,0))</f>
        <v>Footwear</v>
      </c>
      <c r="P877">
        <v>1</v>
      </c>
      <c r="Q877" s="5">
        <v>999</v>
      </c>
      <c r="R877" s="74">
        <v>0.05</v>
      </c>
      <c r="S877" s="75">
        <f>OrdersTable[[#This Row],[Quantity]]*OrdersTable[[#This Row],[Unit Price]]</f>
        <v>999</v>
      </c>
      <c r="T877" s="5">
        <f>OrdersTable[[#This Row],[Gross Sale]]*OrdersTable[[#This Row],[Discount_Clean2]]</f>
        <v>49.95</v>
      </c>
      <c r="U877" s="5">
        <f>OrdersTable[[#This Row],[Gross Sale]]-OrdersTable[[#This Row],[Discount Amount]]</f>
        <v>949.05</v>
      </c>
      <c r="V877" s="77">
        <f>INDEX(Products!E:E,MATCH(OrdersTable[[#This Row],[Product ID]],Products!A:A,0))</f>
        <v>400</v>
      </c>
      <c r="W877" s="77">
        <f>OrdersTable[[#This Row],[Quantity]]*OrdersTable[[#This Row],[Unit Cost]]</f>
        <v>400</v>
      </c>
      <c r="X877" s="77">
        <f>'Dropdown Lists'!$I$2*(1+OrdersTable[[#This Row],[Returned]])</f>
        <v>60</v>
      </c>
      <c r="Y877" s="76">
        <f>OrdersTable[[#This Row],[Net Revenue]]-OrdersTable[[#This Row],[COGS]]-OrdersTable[[#This Row],[Shipping Cost]]</f>
        <v>489.04999999999995</v>
      </c>
      <c r="Z877" s="78">
        <f>IFERROR(OrdersTable[[#This Row],[Profit]]/OrdersTable[[#This Row],[Net Revenue]],0)</f>
        <v>0.5153047784626732</v>
      </c>
      <c r="AA877" t="s">
        <v>18</v>
      </c>
      <c r="AB877" s="79">
        <v>45474</v>
      </c>
      <c r="AC877">
        <f>OrdersTable[[#This Row],[Delivery Date]]-OrdersTable[[#This Row],[Order Date]]</f>
        <v>2</v>
      </c>
      <c r="AD877" t="str">
        <f>IF(OrdersTable[[#This Row],[Delivery Days]]&lt;=2, "Express (≤2d)", IF(OrdersTable[[#This Row],[Delivery Days]]&lt;=4, "Standard (3-4d)", "Delayed (5d+)"))</f>
        <v>Express (≤2d)</v>
      </c>
      <c r="AE877">
        <v>4</v>
      </c>
      <c r="AF877">
        <v>0</v>
      </c>
    </row>
    <row r="878" spans="1:32" ht="15" x14ac:dyDescent="0.35">
      <c r="A878" t="s">
        <v>488</v>
      </c>
      <c r="B878" s="1">
        <v>45472</v>
      </c>
      <c r="C878">
        <f>YEAR(OrdersTable[[#This Row],[Order Date]])</f>
        <v>2024</v>
      </c>
      <c r="D878" s="2">
        <f>DATE(YEAR(OrdersTable[[#This Row],[Order Date]]),MONTH(OrdersTable[[#This Row],[Order Date]]),1)</f>
        <v>45444</v>
      </c>
      <c r="E878">
        <f>MONTH(OrdersTable[[#This Row],[Order Date]])</f>
        <v>6</v>
      </c>
      <c r="F878" t="s">
        <v>489</v>
      </c>
      <c r="G878" t="str">
        <f>IF(OrdersTable[[#This Row],[Order Date]]=_xlfn.MINIFS(Order_Date, Customer_ID, OrdersTable[[#This Row],[Customer ID]]), "New", "Repeat")</f>
        <v>Repeat</v>
      </c>
      <c r="H878" t="s">
        <v>95</v>
      </c>
      <c r="I878" t="str">
        <f>INDEX(State!B:B,MATCH(OrdersTable[[#This Row],[State]],State!A:A,0))</f>
        <v>TG</v>
      </c>
      <c r="J878" t="str">
        <f>INDEX(State!C:C,MATCH(OrdersTable[[#This Row],[State Code]],State!B:B,0))</f>
        <v>South</v>
      </c>
      <c r="K878" t="s">
        <v>96</v>
      </c>
      <c r="L878" t="s">
        <v>16</v>
      </c>
      <c r="M878" t="s">
        <v>34</v>
      </c>
      <c r="N878" t="str">
        <f>INDEX(Products!B:B,MATCH(OrdersTable[[#This Row],[Product ID]],Products!A:A,0))</f>
        <v>Flip Flops</v>
      </c>
      <c r="O878" t="str">
        <f>INDEX(Products!C:C,MATCH(OrdersTable[[#This Row],[Product ID]],Products!A:A,0))</f>
        <v>Footwear</v>
      </c>
      <c r="P878">
        <v>1</v>
      </c>
      <c r="Q878" s="5">
        <v>399</v>
      </c>
      <c r="R878" s="74">
        <v>0.05</v>
      </c>
      <c r="S878" s="75">
        <f>OrdersTable[[#This Row],[Quantity]]*OrdersTable[[#This Row],[Unit Price]]</f>
        <v>399</v>
      </c>
      <c r="T878" s="5">
        <f>OrdersTable[[#This Row],[Gross Sale]]*OrdersTable[[#This Row],[Discount_Clean2]]</f>
        <v>19.950000000000003</v>
      </c>
      <c r="U878" s="5">
        <f>OrdersTable[[#This Row],[Gross Sale]]-OrdersTable[[#This Row],[Discount Amount]]</f>
        <v>379.05</v>
      </c>
      <c r="V878" s="77">
        <f>INDEX(Products!E:E,MATCH(OrdersTable[[#This Row],[Product ID]],Products!A:A,0))</f>
        <v>152</v>
      </c>
      <c r="W878" s="77">
        <f>OrdersTable[[#This Row],[Quantity]]*OrdersTable[[#This Row],[Unit Cost]]</f>
        <v>152</v>
      </c>
      <c r="X878" s="77">
        <f>'Dropdown Lists'!$I$2*(1+OrdersTable[[#This Row],[Returned]])</f>
        <v>60</v>
      </c>
      <c r="Y878" s="76">
        <f>OrdersTable[[#This Row],[Net Revenue]]-OrdersTable[[#This Row],[COGS]]-OrdersTable[[#This Row],[Shipping Cost]]</f>
        <v>167.05</v>
      </c>
      <c r="Z878" s="78">
        <f>IFERROR(OrdersTable[[#This Row],[Profit]]/OrdersTable[[#This Row],[Net Revenue]],0)</f>
        <v>0.44070703073473161</v>
      </c>
      <c r="AA878" t="s">
        <v>18</v>
      </c>
      <c r="AB878" s="79">
        <v>45474</v>
      </c>
      <c r="AC878">
        <f>OrdersTable[[#This Row],[Delivery Date]]-OrdersTable[[#This Row],[Order Date]]</f>
        <v>2</v>
      </c>
      <c r="AD878" t="str">
        <f>IF(OrdersTable[[#This Row],[Delivery Days]]&lt;=2, "Express (≤2d)", IF(OrdersTable[[#This Row],[Delivery Days]]&lt;=4, "Standard (3-4d)", "Delayed (5d+)"))</f>
        <v>Express (≤2d)</v>
      </c>
      <c r="AE878">
        <v>4</v>
      </c>
      <c r="AF878">
        <v>0</v>
      </c>
    </row>
    <row r="879" spans="1:32" ht="15" x14ac:dyDescent="0.35">
      <c r="A879" t="s">
        <v>3977</v>
      </c>
      <c r="B879" s="1">
        <v>45472</v>
      </c>
      <c r="C879">
        <f>YEAR(OrdersTable[[#This Row],[Order Date]])</f>
        <v>2024</v>
      </c>
      <c r="D879" s="2">
        <f>DATE(YEAR(OrdersTable[[#This Row],[Order Date]]),MONTH(OrdersTable[[#This Row],[Order Date]]),1)</f>
        <v>45444</v>
      </c>
      <c r="E879">
        <f>MONTH(OrdersTable[[#This Row],[Order Date]])</f>
        <v>6</v>
      </c>
      <c r="F879" t="s">
        <v>678</v>
      </c>
      <c r="G879" t="str">
        <f>IF(OrdersTable[[#This Row],[Order Date]]=_xlfn.MINIFS(Order_Date, Customer_ID, OrdersTable[[#This Row],[Customer ID]]), "New", "Repeat")</f>
        <v>Repeat</v>
      </c>
      <c r="H879" t="s">
        <v>167</v>
      </c>
      <c r="I879" t="str">
        <f>INDEX(State!B:B,MATCH(OrdersTable[[#This Row],[State]],State!A:A,0))</f>
        <v>KA</v>
      </c>
      <c r="J879" t="str">
        <f>INDEX(State!C:C,MATCH(OrdersTable[[#This Row],[State Code]],State!B:B,0))</f>
        <v>South</v>
      </c>
      <c r="K879" t="s">
        <v>190</v>
      </c>
      <c r="L879" t="s">
        <v>23</v>
      </c>
      <c r="M879" t="s">
        <v>66</v>
      </c>
      <c r="N879" t="str">
        <f>INDEX(Products!B:B,MATCH(OrdersTable[[#This Row],[Product ID]],Products!A:A,0))</f>
        <v>Sunscreen SPF 50</v>
      </c>
      <c r="O879" t="str">
        <f>INDEX(Products!C:C,MATCH(OrdersTable[[#This Row],[Product ID]],Products!A:A,0))</f>
        <v>Skincare</v>
      </c>
      <c r="P879">
        <v>1</v>
      </c>
      <c r="Q879" s="5">
        <v>449</v>
      </c>
      <c r="R879" s="74">
        <v>0</v>
      </c>
      <c r="S879" s="75">
        <f>OrdersTable[[#This Row],[Quantity]]*OrdersTable[[#This Row],[Unit Price]]</f>
        <v>449</v>
      </c>
      <c r="T879" s="5">
        <f>OrdersTable[[#This Row],[Gross Sale]]*OrdersTable[[#This Row],[Discount_Clean2]]</f>
        <v>0</v>
      </c>
      <c r="U879" s="5">
        <f>OrdersTable[[#This Row],[Gross Sale]]-OrdersTable[[#This Row],[Discount Amount]]</f>
        <v>449</v>
      </c>
      <c r="V879" s="77">
        <f>INDEX(Products!E:E,MATCH(OrdersTable[[#This Row],[Product ID]],Products!A:A,0))</f>
        <v>144</v>
      </c>
      <c r="W879" s="77">
        <f>OrdersTable[[#This Row],[Quantity]]*OrdersTable[[#This Row],[Unit Cost]]</f>
        <v>144</v>
      </c>
      <c r="X879" s="77">
        <f>'Dropdown Lists'!$I$2*(1+OrdersTable[[#This Row],[Returned]])</f>
        <v>60</v>
      </c>
      <c r="Y879" s="76">
        <f>OrdersTable[[#This Row],[Net Revenue]]-OrdersTable[[#This Row],[COGS]]-OrdersTable[[#This Row],[Shipping Cost]]</f>
        <v>245</v>
      </c>
      <c r="Z879" s="78">
        <f>IFERROR(OrdersTable[[#This Row],[Profit]]/OrdersTable[[#This Row],[Net Revenue]],0)</f>
        <v>0.54565701559020041</v>
      </c>
      <c r="AA879" t="s">
        <v>3495</v>
      </c>
      <c r="AB879" s="79">
        <v>45474</v>
      </c>
      <c r="AC879">
        <f>OrdersTable[[#This Row],[Delivery Date]]-OrdersTable[[#This Row],[Order Date]]</f>
        <v>2</v>
      </c>
      <c r="AD879" t="str">
        <f>IF(OrdersTable[[#This Row],[Delivery Days]]&lt;=2, "Express (≤2d)", IF(OrdersTable[[#This Row],[Delivery Days]]&lt;=4, "Standard (3-4d)", "Delayed (5d+)"))</f>
        <v>Express (≤2d)</v>
      </c>
      <c r="AE879">
        <v>5</v>
      </c>
      <c r="AF879">
        <v>0</v>
      </c>
    </row>
    <row r="880" spans="1:32" ht="15" x14ac:dyDescent="0.35">
      <c r="A880" t="s">
        <v>3411</v>
      </c>
      <c r="B880" s="1">
        <v>45472</v>
      </c>
      <c r="C880">
        <f>YEAR(OrdersTable[[#This Row],[Order Date]])</f>
        <v>2024</v>
      </c>
      <c r="D880" s="2">
        <f>DATE(YEAR(OrdersTable[[#This Row],[Order Date]]),MONTH(OrdersTable[[#This Row],[Order Date]]),1)</f>
        <v>45444</v>
      </c>
      <c r="E880">
        <f>MONTH(OrdersTable[[#This Row],[Order Date]])</f>
        <v>6</v>
      </c>
      <c r="F880" t="s">
        <v>2349</v>
      </c>
      <c r="G880" t="str">
        <f>IF(OrdersTable[[#This Row],[Order Date]]=_xlfn.MINIFS(Order_Date, Customer_ID, OrdersTable[[#This Row],[Customer ID]]), "New", "Repeat")</f>
        <v>Repeat</v>
      </c>
      <c r="H880" t="s">
        <v>59</v>
      </c>
      <c r="I880" t="str">
        <f>INDEX(State!B:B,MATCH(OrdersTable[[#This Row],[State]],State!A:A,0))</f>
        <v>TN</v>
      </c>
      <c r="J880" t="str">
        <f>INDEX(State!C:C,MATCH(OrdersTable[[#This Row],[State Code]],State!B:B,0))</f>
        <v>South</v>
      </c>
      <c r="K880" t="s">
        <v>60</v>
      </c>
      <c r="L880" t="s">
        <v>65</v>
      </c>
      <c r="M880" t="s">
        <v>84</v>
      </c>
      <c r="N880" t="str">
        <f>INDEX(Products!B:B,MATCH(OrdersTable[[#This Row],[Product ID]],Products!A:A,0))</f>
        <v>Cotton Bedsheet</v>
      </c>
      <c r="O880" t="str">
        <f>INDEX(Products!C:C,MATCH(OrdersTable[[#This Row],[Product ID]],Products!A:A,0))</f>
        <v>Home &amp; Kitchen</v>
      </c>
      <c r="P880">
        <v>1</v>
      </c>
      <c r="Q880" s="5">
        <v>1299</v>
      </c>
      <c r="R880" s="74">
        <v>0.05</v>
      </c>
      <c r="S880" s="75">
        <f>OrdersTable[[#This Row],[Quantity]]*OrdersTable[[#This Row],[Unit Price]]</f>
        <v>1299</v>
      </c>
      <c r="T880" s="5">
        <f>OrdersTable[[#This Row],[Gross Sale]]*OrdersTable[[#This Row],[Discount_Clean2]]</f>
        <v>64.95</v>
      </c>
      <c r="U880" s="5">
        <f>OrdersTable[[#This Row],[Gross Sale]]-OrdersTable[[#This Row],[Discount Amount]]</f>
        <v>1234.05</v>
      </c>
      <c r="V880" s="77">
        <f>INDEX(Products!E:E,MATCH(OrdersTable[[#This Row],[Product ID]],Products!A:A,0))</f>
        <v>585</v>
      </c>
      <c r="W880" s="77">
        <f>OrdersTable[[#This Row],[Quantity]]*OrdersTable[[#This Row],[Unit Cost]]</f>
        <v>585</v>
      </c>
      <c r="X880" s="77">
        <f>'Dropdown Lists'!$I$2*(1+OrdersTable[[#This Row],[Returned]])</f>
        <v>60</v>
      </c>
      <c r="Y880" s="76">
        <f>OrdersTable[[#This Row],[Net Revenue]]-OrdersTable[[#This Row],[COGS]]-OrdersTable[[#This Row],[Shipping Cost]]</f>
        <v>589.04999999999995</v>
      </c>
      <c r="Z880" s="78">
        <f>IFERROR(OrdersTable[[#This Row],[Profit]]/OrdersTable[[#This Row],[Net Revenue]],0)</f>
        <v>0.47733074024553296</v>
      </c>
      <c r="AA880" t="s">
        <v>2522</v>
      </c>
      <c r="AB880" s="79">
        <v>45475</v>
      </c>
      <c r="AC880">
        <f>OrdersTable[[#This Row],[Delivery Date]]-OrdersTable[[#This Row],[Order Date]]</f>
        <v>3</v>
      </c>
      <c r="AD880" t="str">
        <f>IF(OrdersTable[[#This Row],[Delivery Days]]&lt;=2, "Express (≤2d)", IF(OrdersTable[[#This Row],[Delivery Days]]&lt;=4, "Standard (3-4d)", "Delayed (5d+)"))</f>
        <v>Standard (3-4d)</v>
      </c>
      <c r="AE880">
        <v>4</v>
      </c>
      <c r="AF880">
        <v>0</v>
      </c>
    </row>
    <row r="881" spans="1:32" ht="15" x14ac:dyDescent="0.35">
      <c r="A881" t="s">
        <v>1860</v>
      </c>
      <c r="B881" s="1">
        <v>45473</v>
      </c>
      <c r="C881">
        <f>YEAR(OrdersTable[[#This Row],[Order Date]])</f>
        <v>2024</v>
      </c>
      <c r="D881" s="2">
        <f>DATE(YEAR(OrdersTable[[#This Row],[Order Date]]),MONTH(OrdersTable[[#This Row],[Order Date]]),1)</f>
        <v>45444</v>
      </c>
      <c r="E881">
        <f>MONTH(OrdersTable[[#This Row],[Order Date]])</f>
        <v>6</v>
      </c>
      <c r="F881" t="s">
        <v>1861</v>
      </c>
      <c r="G881" t="str">
        <f>IF(OrdersTable[[#This Row],[Order Date]]=_xlfn.MINIFS(Order_Date, Customer_ID, OrdersTable[[#This Row],[Customer ID]]), "New", "Repeat")</f>
        <v>New</v>
      </c>
      <c r="H881" t="s">
        <v>184</v>
      </c>
      <c r="I881" t="str">
        <f>INDEX(State!B:B,MATCH(OrdersTable[[#This Row],[State]],State!A:A,0))</f>
        <v>UK</v>
      </c>
      <c r="J881" t="str">
        <f>INDEX(State!C:C,MATCH(OrdersTable[[#This Row],[State Code]],State!B:B,0))</f>
        <v>North</v>
      </c>
      <c r="K881" t="s">
        <v>185</v>
      </c>
      <c r="L881" t="s">
        <v>39</v>
      </c>
      <c r="M881" t="s">
        <v>106</v>
      </c>
      <c r="N881" t="str">
        <f>INDEX(Products!B:B,MATCH(OrdersTable[[#This Row],[Product ID]],Products!A:A,0))</f>
        <v>Keratin Hair Mask</v>
      </c>
      <c r="O881" t="str">
        <f>INDEX(Products!C:C,MATCH(OrdersTable[[#This Row],[Product ID]],Products!A:A,0))</f>
        <v>Haircare</v>
      </c>
      <c r="P881">
        <v>1</v>
      </c>
      <c r="Q881" s="5">
        <v>549</v>
      </c>
      <c r="R881" s="74">
        <v>0.05</v>
      </c>
      <c r="S881" s="75">
        <f>OrdersTable[[#This Row],[Quantity]]*OrdersTable[[#This Row],[Unit Price]]</f>
        <v>549</v>
      </c>
      <c r="T881" s="5">
        <f>OrdersTable[[#This Row],[Gross Sale]]*OrdersTable[[#This Row],[Discount_Clean2]]</f>
        <v>27.450000000000003</v>
      </c>
      <c r="U881" s="5">
        <f>OrdersTable[[#This Row],[Gross Sale]]-OrdersTable[[#This Row],[Discount Amount]]</f>
        <v>521.54999999999995</v>
      </c>
      <c r="V881" s="77">
        <f>INDEX(Products!E:E,MATCH(OrdersTable[[#This Row],[Product ID]],Products!A:A,0))</f>
        <v>170</v>
      </c>
      <c r="W881" s="77">
        <f>OrdersTable[[#This Row],[Quantity]]*OrdersTable[[#This Row],[Unit Cost]]</f>
        <v>170</v>
      </c>
      <c r="X881" s="77">
        <f>'Dropdown Lists'!$I$2*(1+OrdersTable[[#This Row],[Returned]])</f>
        <v>60</v>
      </c>
      <c r="Y881" s="76">
        <f>OrdersTable[[#This Row],[Net Revenue]]-OrdersTable[[#This Row],[COGS]]-OrdersTable[[#This Row],[Shipping Cost]]</f>
        <v>291.54999999999995</v>
      </c>
      <c r="Z881" s="78">
        <f>IFERROR(OrdersTable[[#This Row],[Profit]]/OrdersTable[[#This Row],[Net Revenue]],0)</f>
        <v>0.55900680663407143</v>
      </c>
      <c r="AA881" t="s">
        <v>18</v>
      </c>
      <c r="AB881" s="79">
        <v>45477</v>
      </c>
      <c r="AC881">
        <f>OrdersTable[[#This Row],[Delivery Date]]-OrdersTable[[#This Row],[Order Date]]</f>
        <v>4</v>
      </c>
      <c r="AD881" t="str">
        <f>IF(OrdersTable[[#This Row],[Delivery Days]]&lt;=2, "Express (≤2d)", IF(OrdersTable[[#This Row],[Delivery Days]]&lt;=4, "Standard (3-4d)", "Delayed (5d+)"))</f>
        <v>Standard (3-4d)</v>
      </c>
      <c r="AE881">
        <v>3</v>
      </c>
      <c r="AF881">
        <v>0</v>
      </c>
    </row>
    <row r="882" spans="1:32" ht="15" x14ac:dyDescent="0.35">
      <c r="A882" t="s">
        <v>3538</v>
      </c>
      <c r="B882" s="1">
        <v>45473</v>
      </c>
      <c r="C882">
        <f>YEAR(OrdersTable[[#This Row],[Order Date]])</f>
        <v>2024</v>
      </c>
      <c r="D882" s="2">
        <f>DATE(YEAR(OrdersTable[[#This Row],[Order Date]]),MONTH(OrdersTable[[#This Row],[Order Date]]),1)</f>
        <v>45444</v>
      </c>
      <c r="E882">
        <f>MONTH(OrdersTable[[#This Row],[Order Date]])</f>
        <v>6</v>
      </c>
      <c r="F882" t="s">
        <v>3539</v>
      </c>
      <c r="G882" t="str">
        <f>IF(OrdersTable[[#This Row],[Order Date]]=_xlfn.MINIFS(Order_Date, Customer_ID, OrdersTable[[#This Row],[Customer ID]]), "New", "Repeat")</f>
        <v>New</v>
      </c>
      <c r="H882" t="s">
        <v>43</v>
      </c>
      <c r="I882" t="str">
        <f>INDEX(State!B:B,MATCH(OrdersTable[[#This Row],[State]],State!A:A,0))</f>
        <v>MP</v>
      </c>
      <c r="J882" t="str">
        <f>INDEX(State!C:C,MATCH(OrdersTable[[#This Row],[State Code]],State!B:B,0))</f>
        <v>West</v>
      </c>
      <c r="K882" t="s">
        <v>44</v>
      </c>
      <c r="L882" t="s">
        <v>50</v>
      </c>
      <c r="M882" t="s">
        <v>106</v>
      </c>
      <c r="N882" t="str">
        <f>INDEX(Products!B:B,MATCH(OrdersTable[[#This Row],[Product ID]],Products!A:A,0))</f>
        <v>Keratin Hair Mask</v>
      </c>
      <c r="O882" t="str">
        <f>INDEX(Products!C:C,MATCH(OrdersTable[[#This Row],[Product ID]],Products!A:A,0))</f>
        <v>Haircare</v>
      </c>
      <c r="P882">
        <v>1</v>
      </c>
      <c r="Q882" s="5">
        <v>549</v>
      </c>
      <c r="R882" s="74">
        <v>0.15</v>
      </c>
      <c r="S882" s="75">
        <f>OrdersTable[[#This Row],[Quantity]]*OrdersTable[[#This Row],[Unit Price]]</f>
        <v>549</v>
      </c>
      <c r="T882" s="5">
        <f>OrdersTable[[#This Row],[Gross Sale]]*OrdersTable[[#This Row],[Discount_Clean2]]</f>
        <v>82.35</v>
      </c>
      <c r="U882" s="5">
        <f>OrdersTable[[#This Row],[Gross Sale]]-OrdersTable[[#This Row],[Discount Amount]]</f>
        <v>466.65</v>
      </c>
      <c r="V882" s="77">
        <f>INDEX(Products!E:E,MATCH(OrdersTable[[#This Row],[Product ID]],Products!A:A,0))</f>
        <v>170</v>
      </c>
      <c r="W882" s="77">
        <f>OrdersTable[[#This Row],[Quantity]]*OrdersTable[[#This Row],[Unit Cost]]</f>
        <v>170</v>
      </c>
      <c r="X882" s="77">
        <f>'Dropdown Lists'!$I$2*(1+OrdersTable[[#This Row],[Returned]])</f>
        <v>60</v>
      </c>
      <c r="Y882" s="76">
        <f>OrdersTable[[#This Row],[Net Revenue]]-OrdersTable[[#This Row],[COGS]]-OrdersTable[[#This Row],[Shipping Cost]]</f>
        <v>236.64999999999998</v>
      </c>
      <c r="Z882" s="78">
        <f>IFERROR(OrdersTable[[#This Row],[Profit]]/OrdersTable[[#This Row],[Net Revenue]],0)</f>
        <v>0.50712525447337398</v>
      </c>
      <c r="AA882" t="s">
        <v>3495</v>
      </c>
      <c r="AB882" s="79">
        <v>45475</v>
      </c>
      <c r="AC882">
        <f>OrdersTable[[#This Row],[Delivery Date]]-OrdersTable[[#This Row],[Order Date]]</f>
        <v>2</v>
      </c>
      <c r="AD882" t="str">
        <f>IF(OrdersTable[[#This Row],[Delivery Days]]&lt;=2, "Express (≤2d)", IF(OrdersTable[[#This Row],[Delivery Days]]&lt;=4, "Standard (3-4d)", "Delayed (5d+)"))</f>
        <v>Express (≤2d)</v>
      </c>
      <c r="AE882">
        <v>4</v>
      </c>
      <c r="AF882">
        <v>0</v>
      </c>
    </row>
    <row r="883" spans="1:32" ht="15" x14ac:dyDescent="0.35">
      <c r="A883" t="s">
        <v>5481</v>
      </c>
      <c r="B883" s="1">
        <v>45473</v>
      </c>
      <c r="C883">
        <f>YEAR(OrdersTable[[#This Row],[Order Date]])</f>
        <v>2024</v>
      </c>
      <c r="D883" s="2">
        <f>DATE(YEAR(OrdersTable[[#This Row],[Order Date]]),MONTH(OrdersTable[[#This Row],[Order Date]]),1)</f>
        <v>45444</v>
      </c>
      <c r="E883">
        <f>MONTH(OrdersTable[[#This Row],[Order Date]])</f>
        <v>6</v>
      </c>
      <c r="F883" t="s">
        <v>3164</v>
      </c>
      <c r="G883" t="str">
        <f>IF(OrdersTable[[#This Row],[Order Date]]=_xlfn.MINIFS(Order_Date, Customer_ID, OrdersTable[[#This Row],[Customer ID]]), "New", "Repeat")</f>
        <v>Repeat</v>
      </c>
      <c r="H883" t="s">
        <v>71</v>
      </c>
      <c r="I883" t="str">
        <f>INDEX(State!B:B,MATCH(OrdersTable[[#This Row],[State]],State!A:A,0))</f>
        <v>MH</v>
      </c>
      <c r="J883" t="str">
        <f>INDEX(State!C:C,MATCH(OrdersTable[[#This Row],[State Code]],State!B:B,0))</f>
        <v>West</v>
      </c>
      <c r="K883" t="s">
        <v>81</v>
      </c>
      <c r="L883" t="s">
        <v>39</v>
      </c>
      <c r="M883" t="s">
        <v>565</v>
      </c>
      <c r="N883" t="str">
        <f>INDEX(Products!B:B,MATCH(OrdersTable[[#This Row],[Product ID]],Products!A:A,0))</f>
        <v>Ceramic Dinner Set</v>
      </c>
      <c r="O883" t="str">
        <f>INDEX(Products!C:C,MATCH(OrdersTable[[#This Row],[Product ID]],Products!A:A,0))</f>
        <v>Home &amp; Kitchen</v>
      </c>
      <c r="P883">
        <v>2</v>
      </c>
      <c r="Q883" s="5">
        <v>2499</v>
      </c>
      <c r="R883" s="74">
        <v>0.25</v>
      </c>
      <c r="S883" s="75">
        <f>OrdersTable[[#This Row],[Quantity]]*OrdersTable[[#This Row],[Unit Price]]</f>
        <v>4998</v>
      </c>
      <c r="T883" s="5">
        <f>OrdersTable[[#This Row],[Gross Sale]]*OrdersTable[[#This Row],[Discount_Clean2]]</f>
        <v>1249.5</v>
      </c>
      <c r="U883" s="5">
        <f>OrdersTable[[#This Row],[Gross Sale]]-OrdersTable[[#This Row],[Discount Amount]]</f>
        <v>3748.5</v>
      </c>
      <c r="V883" s="77">
        <f>INDEX(Products!E:E,MATCH(OrdersTable[[#This Row],[Product ID]],Products!A:A,0))</f>
        <v>1250</v>
      </c>
      <c r="W883" s="77">
        <f>OrdersTable[[#This Row],[Quantity]]*OrdersTable[[#This Row],[Unit Cost]]</f>
        <v>2500</v>
      </c>
      <c r="X883" s="77">
        <f>'Dropdown Lists'!$I$2*(1+OrdersTable[[#This Row],[Returned]])</f>
        <v>60</v>
      </c>
      <c r="Y883" s="76">
        <f>OrdersTable[[#This Row],[Net Revenue]]-OrdersTable[[#This Row],[COGS]]-OrdersTable[[#This Row],[Shipping Cost]]</f>
        <v>1188.5</v>
      </c>
      <c r="Z883" s="78">
        <f>IFERROR(OrdersTable[[#This Row],[Profit]]/OrdersTable[[#This Row],[Net Revenue]],0)</f>
        <v>0.31706015739629184</v>
      </c>
      <c r="AA883" t="s">
        <v>2522</v>
      </c>
      <c r="AB883" s="79">
        <v>45476</v>
      </c>
      <c r="AC883">
        <f>OrdersTable[[#This Row],[Delivery Date]]-OrdersTable[[#This Row],[Order Date]]</f>
        <v>3</v>
      </c>
      <c r="AD883" t="str">
        <f>IF(OrdersTable[[#This Row],[Delivery Days]]&lt;=2, "Express (≤2d)", IF(OrdersTable[[#This Row],[Delivery Days]]&lt;=4, "Standard (3-4d)", "Delayed (5d+)"))</f>
        <v>Standard (3-4d)</v>
      </c>
      <c r="AE883">
        <v>4</v>
      </c>
      <c r="AF883">
        <v>0</v>
      </c>
    </row>
    <row r="884" spans="1:32" ht="15" x14ac:dyDescent="0.35">
      <c r="A884" t="s">
        <v>1142</v>
      </c>
      <c r="B884" s="1">
        <v>45473</v>
      </c>
      <c r="C884">
        <f>YEAR(OrdersTable[[#This Row],[Order Date]])</f>
        <v>2024</v>
      </c>
      <c r="D884" s="2">
        <f>DATE(YEAR(OrdersTable[[#This Row],[Order Date]]),MONTH(OrdersTable[[#This Row],[Order Date]]),1)</f>
        <v>45444</v>
      </c>
      <c r="E884">
        <f>MONTH(OrdersTable[[#This Row],[Order Date]])</f>
        <v>6</v>
      </c>
      <c r="F884" t="s">
        <v>475</v>
      </c>
      <c r="G884" t="str">
        <f>IF(OrdersTable[[#This Row],[Order Date]]=_xlfn.MINIFS(Order_Date, Customer_ID, OrdersTable[[#This Row],[Customer ID]]), "New", "Repeat")</f>
        <v>Repeat</v>
      </c>
      <c r="H884" t="s">
        <v>167</v>
      </c>
      <c r="I884" t="str">
        <f>INDEX(State!B:B,MATCH(OrdersTable[[#This Row],[State]],State!A:A,0))</f>
        <v>KA</v>
      </c>
      <c r="J884" t="str">
        <f>INDEX(State!C:C,MATCH(OrdersTable[[#This Row],[State Code]],State!B:B,0))</f>
        <v>South</v>
      </c>
      <c r="K884" t="s">
        <v>168</v>
      </c>
      <c r="L884" t="s">
        <v>50</v>
      </c>
      <c r="M884" t="s">
        <v>40</v>
      </c>
      <c r="N884" t="str">
        <f>INDEX(Products!B:B,MATCH(OrdersTable[[#This Row],[Product ID]],Products!A:A,0))</f>
        <v>Ashwagandha Capsules</v>
      </c>
      <c r="O884" t="str">
        <f>INDEX(Products!C:C,MATCH(OrdersTable[[#This Row],[Product ID]],Products!A:A,0))</f>
        <v>Wellness</v>
      </c>
      <c r="P884">
        <v>1</v>
      </c>
      <c r="Q884" s="5">
        <v>499</v>
      </c>
      <c r="R884" s="74">
        <v>0</v>
      </c>
      <c r="S884" s="75">
        <f>OrdersTable[[#This Row],[Quantity]]*OrdersTable[[#This Row],[Unit Price]]</f>
        <v>499</v>
      </c>
      <c r="T884" s="5">
        <f>OrdersTable[[#This Row],[Gross Sale]]*OrdersTable[[#This Row],[Discount_Clean2]]</f>
        <v>0</v>
      </c>
      <c r="U884" s="5">
        <f>OrdersTable[[#This Row],[Gross Sale]]-OrdersTable[[#This Row],[Discount Amount]]</f>
        <v>499</v>
      </c>
      <c r="V884" s="77">
        <f>INDEX(Products!E:E,MATCH(OrdersTable[[#This Row],[Product ID]],Products!A:A,0))</f>
        <v>150</v>
      </c>
      <c r="W884" s="77">
        <f>OrdersTable[[#This Row],[Quantity]]*OrdersTable[[#This Row],[Unit Cost]]</f>
        <v>150</v>
      </c>
      <c r="X884" s="77">
        <f>'Dropdown Lists'!$I$2*(1+OrdersTable[[#This Row],[Returned]])</f>
        <v>60</v>
      </c>
      <c r="Y884" s="76">
        <f>OrdersTable[[#This Row],[Net Revenue]]-OrdersTable[[#This Row],[COGS]]-OrdersTable[[#This Row],[Shipping Cost]]</f>
        <v>289</v>
      </c>
      <c r="Z884" s="78">
        <f>IFERROR(OrdersTable[[#This Row],[Profit]]/OrdersTable[[#This Row],[Net Revenue]],0)</f>
        <v>0.57915831663326656</v>
      </c>
      <c r="AA884" t="s">
        <v>18</v>
      </c>
      <c r="AB884" s="79">
        <v>45476</v>
      </c>
      <c r="AC884">
        <f>OrdersTable[[#This Row],[Delivery Date]]-OrdersTable[[#This Row],[Order Date]]</f>
        <v>3</v>
      </c>
      <c r="AD884" t="str">
        <f>IF(OrdersTable[[#This Row],[Delivery Days]]&lt;=2, "Express (≤2d)", IF(OrdersTable[[#This Row],[Delivery Days]]&lt;=4, "Standard (3-4d)", "Delayed (5d+)"))</f>
        <v>Standard (3-4d)</v>
      </c>
      <c r="AF884">
        <v>0</v>
      </c>
    </row>
    <row r="885" spans="1:32" ht="15" x14ac:dyDescent="0.35">
      <c r="A885" t="s">
        <v>3861</v>
      </c>
      <c r="B885" s="1">
        <v>45474</v>
      </c>
      <c r="C885">
        <f>YEAR(OrdersTable[[#This Row],[Order Date]])</f>
        <v>2024</v>
      </c>
      <c r="D885" s="2">
        <f>DATE(YEAR(OrdersTable[[#This Row],[Order Date]]),MONTH(OrdersTable[[#This Row],[Order Date]]),1)</f>
        <v>45474</v>
      </c>
      <c r="E885">
        <f>MONTH(OrdersTable[[#This Row],[Order Date]])</f>
        <v>7</v>
      </c>
      <c r="F885" t="s">
        <v>3260</v>
      </c>
      <c r="G885" t="str">
        <f>IF(OrdersTable[[#This Row],[Order Date]]=_xlfn.MINIFS(Order_Date, Customer_ID, OrdersTable[[#This Row],[Customer ID]]), "New", "Repeat")</f>
        <v>New</v>
      </c>
      <c r="H885" t="s">
        <v>54</v>
      </c>
      <c r="I885" t="str">
        <f>INDEX(State!B:B,MATCH(OrdersTable[[#This Row],[State]],State!A:A,0))</f>
        <v>RJ</v>
      </c>
      <c r="J885" t="str">
        <f>INDEX(State!C:C,MATCH(OrdersTable[[#This Row],[State Code]],State!B:B,0))</f>
        <v>North</v>
      </c>
      <c r="K885" t="s">
        <v>227</v>
      </c>
      <c r="L885" t="s">
        <v>65</v>
      </c>
      <c r="M885" t="s">
        <v>61</v>
      </c>
      <c r="N885" t="str">
        <f>INDEX(Products!B:B,MATCH(OrdersTable[[#This Row],[Product ID]],Products!A:A,0))</f>
        <v>Multivitamin Gummies</v>
      </c>
      <c r="O885" t="str">
        <f>INDEX(Products!C:C,MATCH(OrdersTable[[#This Row],[Product ID]],Products!A:A,0))</f>
        <v>Wellness</v>
      </c>
      <c r="P885">
        <v>1</v>
      </c>
      <c r="Q885" s="5">
        <v>699</v>
      </c>
      <c r="R885" s="74">
        <v>0.15</v>
      </c>
      <c r="S885" s="75">
        <f>OrdersTable[[#This Row],[Quantity]]*OrdersTable[[#This Row],[Unit Price]]</f>
        <v>699</v>
      </c>
      <c r="T885" s="5">
        <f>OrdersTable[[#This Row],[Gross Sale]]*OrdersTable[[#This Row],[Discount_Clean2]]</f>
        <v>104.85</v>
      </c>
      <c r="U885" s="5">
        <f>OrdersTable[[#This Row],[Gross Sale]]-OrdersTable[[#This Row],[Discount Amount]]</f>
        <v>594.15</v>
      </c>
      <c r="V885" s="77">
        <f>INDEX(Products!E:E,MATCH(OrdersTable[[#This Row],[Product ID]],Products!A:A,0))</f>
        <v>238</v>
      </c>
      <c r="W885" s="77">
        <f>OrdersTable[[#This Row],[Quantity]]*OrdersTable[[#This Row],[Unit Cost]]</f>
        <v>238</v>
      </c>
      <c r="X885" s="77">
        <f>'Dropdown Lists'!$I$2*(1+OrdersTable[[#This Row],[Returned]])</f>
        <v>60</v>
      </c>
      <c r="Y885" s="76">
        <f>OrdersTable[[#This Row],[Net Revenue]]-OrdersTable[[#This Row],[COGS]]-OrdersTable[[#This Row],[Shipping Cost]]</f>
        <v>296.14999999999998</v>
      </c>
      <c r="Z885" s="78">
        <f>IFERROR(OrdersTable[[#This Row],[Profit]]/OrdersTable[[#This Row],[Net Revenue]],0)</f>
        <v>0.49844315408566858</v>
      </c>
      <c r="AA885" t="s">
        <v>3495</v>
      </c>
      <c r="AB885" s="79">
        <v>45478</v>
      </c>
      <c r="AC885">
        <f>OrdersTable[[#This Row],[Delivery Date]]-OrdersTable[[#This Row],[Order Date]]</f>
        <v>4</v>
      </c>
      <c r="AD885" t="str">
        <f>IF(OrdersTable[[#This Row],[Delivery Days]]&lt;=2, "Express (≤2d)", IF(OrdersTable[[#This Row],[Delivery Days]]&lt;=4, "Standard (3-4d)", "Delayed (5d+)"))</f>
        <v>Standard (3-4d)</v>
      </c>
      <c r="AE885">
        <v>3</v>
      </c>
      <c r="AF885">
        <v>0</v>
      </c>
    </row>
    <row r="886" spans="1:32" ht="15" x14ac:dyDescent="0.35">
      <c r="A886" t="s">
        <v>2084</v>
      </c>
      <c r="B886" s="1">
        <v>45474</v>
      </c>
      <c r="C886">
        <f>YEAR(OrdersTable[[#This Row],[Order Date]])</f>
        <v>2024</v>
      </c>
      <c r="D886" s="2">
        <f>DATE(YEAR(OrdersTable[[#This Row],[Order Date]]),MONTH(OrdersTable[[#This Row],[Order Date]]),1)</f>
        <v>45474</v>
      </c>
      <c r="E886">
        <f>MONTH(OrdersTable[[#This Row],[Order Date]])</f>
        <v>7</v>
      </c>
      <c r="F886" t="s">
        <v>2085</v>
      </c>
      <c r="G886" t="str">
        <f>IF(OrdersTable[[#This Row],[Order Date]]=_xlfn.MINIFS(Order_Date, Customer_ID, OrdersTable[[#This Row],[Customer ID]]), "New", "Repeat")</f>
        <v>New</v>
      </c>
      <c r="H886" t="s">
        <v>43</v>
      </c>
      <c r="I886" t="str">
        <f>INDEX(State!B:B,MATCH(OrdersTable[[#This Row],[State]],State!A:A,0))</f>
        <v>MP</v>
      </c>
      <c r="J886" t="str">
        <f>INDEX(State!C:C,MATCH(OrdersTable[[#This Row],[State Code]],State!B:B,0))</f>
        <v>West</v>
      </c>
      <c r="K886" t="s">
        <v>250</v>
      </c>
      <c r="L886" t="s">
        <v>65</v>
      </c>
      <c r="M886" t="s">
        <v>66</v>
      </c>
      <c r="N886" t="str">
        <f>INDEX(Products!B:B,MATCH(OrdersTable[[#This Row],[Product ID]],Products!A:A,0))</f>
        <v>Sunscreen SPF 50</v>
      </c>
      <c r="O886" t="str">
        <f>INDEX(Products!C:C,MATCH(OrdersTable[[#This Row],[Product ID]],Products!A:A,0))</f>
        <v>Skincare</v>
      </c>
      <c r="P886">
        <v>1</v>
      </c>
      <c r="Q886" s="5">
        <v>449</v>
      </c>
      <c r="R886" s="74">
        <v>0</v>
      </c>
      <c r="S886" s="75">
        <f>OrdersTable[[#This Row],[Quantity]]*OrdersTable[[#This Row],[Unit Price]]</f>
        <v>449</v>
      </c>
      <c r="T886" s="5">
        <f>OrdersTable[[#This Row],[Gross Sale]]*OrdersTable[[#This Row],[Discount_Clean2]]</f>
        <v>0</v>
      </c>
      <c r="U886" s="5">
        <f>OrdersTable[[#This Row],[Gross Sale]]-OrdersTable[[#This Row],[Discount Amount]]</f>
        <v>449</v>
      </c>
      <c r="V886" s="77">
        <f>INDEX(Products!E:E,MATCH(OrdersTable[[#This Row],[Product ID]],Products!A:A,0))</f>
        <v>144</v>
      </c>
      <c r="W886" s="77">
        <f>OrdersTable[[#This Row],[Quantity]]*OrdersTable[[#This Row],[Unit Cost]]</f>
        <v>144</v>
      </c>
      <c r="X886" s="77">
        <f>'Dropdown Lists'!$I$2*(1+OrdersTable[[#This Row],[Returned]])</f>
        <v>60</v>
      </c>
      <c r="Y886" s="76">
        <f>OrdersTable[[#This Row],[Net Revenue]]-OrdersTable[[#This Row],[COGS]]-OrdersTable[[#This Row],[Shipping Cost]]</f>
        <v>245</v>
      </c>
      <c r="Z886" s="78">
        <f>IFERROR(OrdersTable[[#This Row],[Profit]]/OrdersTable[[#This Row],[Net Revenue]],0)</f>
        <v>0.54565701559020041</v>
      </c>
      <c r="AA886" t="s">
        <v>18</v>
      </c>
      <c r="AB886" s="79">
        <v>45479</v>
      </c>
      <c r="AC886">
        <f>OrdersTable[[#This Row],[Delivery Date]]-OrdersTable[[#This Row],[Order Date]]</f>
        <v>5</v>
      </c>
      <c r="AD886" t="str">
        <f>IF(OrdersTable[[#This Row],[Delivery Days]]&lt;=2, "Express (≤2d)", IF(OrdersTable[[#This Row],[Delivery Days]]&lt;=4, "Standard (3-4d)", "Delayed (5d+)"))</f>
        <v>Delayed (5d+)</v>
      </c>
      <c r="AE886">
        <v>3</v>
      </c>
      <c r="AF886">
        <v>0</v>
      </c>
    </row>
    <row r="887" spans="1:32" ht="15" x14ac:dyDescent="0.35">
      <c r="A887" t="s">
        <v>2278</v>
      </c>
      <c r="B887" s="1">
        <v>45474</v>
      </c>
      <c r="C887">
        <f>YEAR(OrdersTable[[#This Row],[Order Date]])</f>
        <v>2024</v>
      </c>
      <c r="D887" s="2">
        <f>DATE(YEAR(OrdersTable[[#This Row],[Order Date]]),MONTH(OrdersTable[[#This Row],[Order Date]]),1)</f>
        <v>45474</v>
      </c>
      <c r="E887">
        <f>MONTH(OrdersTable[[#This Row],[Order Date]])</f>
        <v>7</v>
      </c>
      <c r="F887" t="s">
        <v>2279</v>
      </c>
      <c r="G887" t="str">
        <f>IF(OrdersTable[[#This Row],[Order Date]]=_xlfn.MINIFS(Order_Date, Customer_ID, OrdersTable[[#This Row],[Customer ID]]), "New", "Repeat")</f>
        <v>New</v>
      </c>
      <c r="H887" t="s">
        <v>71</v>
      </c>
      <c r="I887" t="str">
        <f>INDEX(State!B:B,MATCH(OrdersTable[[#This Row],[State]],State!A:A,0))</f>
        <v>MH</v>
      </c>
      <c r="J887" t="str">
        <f>INDEX(State!C:C,MATCH(OrdersTable[[#This Row],[State Code]],State!B:B,0))</f>
        <v>West</v>
      </c>
      <c r="K887" t="s">
        <v>72</v>
      </c>
      <c r="L887" t="s">
        <v>16</v>
      </c>
      <c r="M887" t="s">
        <v>92</v>
      </c>
      <c r="N887" t="str">
        <f>INDEX(Products!B:B,MATCH(OrdersTable[[#This Row],[Product ID]],Products!A:A,0))</f>
        <v>Kolhapuri Sandals</v>
      </c>
      <c r="O887" t="str">
        <f>INDEX(Products!C:C,MATCH(OrdersTable[[#This Row],[Product ID]],Products!A:A,0))</f>
        <v>Footwear</v>
      </c>
      <c r="P887">
        <v>1</v>
      </c>
      <c r="Q887" s="5">
        <v>999</v>
      </c>
      <c r="R887" s="74">
        <v>0.1</v>
      </c>
      <c r="S887" s="75">
        <f>OrdersTable[[#This Row],[Quantity]]*OrdersTable[[#This Row],[Unit Price]]</f>
        <v>999</v>
      </c>
      <c r="T887" s="5">
        <f>OrdersTable[[#This Row],[Gross Sale]]*OrdersTable[[#This Row],[Discount_Clean2]]</f>
        <v>99.9</v>
      </c>
      <c r="U887" s="5">
        <f>OrdersTable[[#This Row],[Gross Sale]]-OrdersTable[[#This Row],[Discount Amount]]</f>
        <v>899.1</v>
      </c>
      <c r="V887" s="77">
        <f>INDEX(Products!E:E,MATCH(OrdersTable[[#This Row],[Product ID]],Products!A:A,0))</f>
        <v>400</v>
      </c>
      <c r="W887" s="77">
        <f>OrdersTable[[#This Row],[Quantity]]*OrdersTable[[#This Row],[Unit Cost]]</f>
        <v>400</v>
      </c>
      <c r="X887" s="77">
        <f>'Dropdown Lists'!$I$2*(1+OrdersTable[[#This Row],[Returned]])</f>
        <v>60</v>
      </c>
      <c r="Y887" s="76">
        <f>OrdersTable[[#This Row],[Net Revenue]]-OrdersTable[[#This Row],[COGS]]-OrdersTable[[#This Row],[Shipping Cost]]</f>
        <v>439.1</v>
      </c>
      <c r="Z887" s="78">
        <f>IFERROR(OrdersTable[[#This Row],[Profit]]/OrdersTable[[#This Row],[Net Revenue]],0)</f>
        <v>0.48837726615504395</v>
      </c>
      <c r="AA887" t="s">
        <v>18</v>
      </c>
      <c r="AB887" s="79">
        <v>45476</v>
      </c>
      <c r="AC887">
        <f>OrdersTable[[#This Row],[Delivery Date]]-OrdersTable[[#This Row],[Order Date]]</f>
        <v>2</v>
      </c>
      <c r="AD887" t="str">
        <f>IF(OrdersTable[[#This Row],[Delivery Days]]&lt;=2, "Express (≤2d)", IF(OrdersTable[[#This Row],[Delivery Days]]&lt;=4, "Standard (3-4d)", "Delayed (5d+)"))</f>
        <v>Express (≤2d)</v>
      </c>
      <c r="AE887">
        <v>5</v>
      </c>
      <c r="AF887">
        <v>0</v>
      </c>
    </row>
    <row r="888" spans="1:32" ht="15" x14ac:dyDescent="0.35">
      <c r="A888" t="s">
        <v>4469</v>
      </c>
      <c r="B888" s="1">
        <v>45474</v>
      </c>
      <c r="C888">
        <f>YEAR(OrdersTable[[#This Row],[Order Date]])</f>
        <v>2024</v>
      </c>
      <c r="D888" s="2">
        <f>DATE(YEAR(OrdersTable[[#This Row],[Order Date]]),MONTH(OrdersTable[[#This Row],[Order Date]]),1)</f>
        <v>45474</v>
      </c>
      <c r="E888">
        <f>MONTH(OrdersTable[[#This Row],[Order Date]])</f>
        <v>7</v>
      </c>
      <c r="F888" t="s">
        <v>883</v>
      </c>
      <c r="G888" t="str">
        <f>IF(OrdersTable[[#This Row],[Order Date]]=_xlfn.MINIFS(Order_Date, Customer_ID, OrdersTable[[#This Row],[Customer ID]]), "New", "Repeat")</f>
        <v>Repeat</v>
      </c>
      <c r="H888" t="s">
        <v>167</v>
      </c>
      <c r="I888" t="str">
        <f>INDEX(State!B:B,MATCH(OrdersTable[[#This Row],[State]],State!A:A,0))</f>
        <v>KA</v>
      </c>
      <c r="J888" t="str">
        <f>INDEX(State!C:C,MATCH(OrdersTable[[#This Row],[State Code]],State!B:B,0))</f>
        <v>South</v>
      </c>
      <c r="K888" t="s">
        <v>190</v>
      </c>
      <c r="L888" t="s">
        <v>50</v>
      </c>
      <c r="M888" t="s">
        <v>51</v>
      </c>
      <c r="N888" t="str">
        <f>INDEX(Products!B:B,MATCH(OrdersTable[[#This Row],[Product ID]],Products!A:A,0))</f>
        <v>Anti-Dandruff Conditioner</v>
      </c>
      <c r="O888" t="str">
        <f>INDEX(Products!C:C,MATCH(OrdersTable[[#This Row],[Product ID]],Products!A:A,0))</f>
        <v>Haircare</v>
      </c>
      <c r="P888">
        <v>1</v>
      </c>
      <c r="Q888" s="5">
        <v>399</v>
      </c>
      <c r="R888" s="74">
        <v>0.35</v>
      </c>
      <c r="S888" s="75">
        <f>OrdersTable[[#This Row],[Quantity]]*OrdersTable[[#This Row],[Unit Price]]</f>
        <v>399</v>
      </c>
      <c r="T888" s="5">
        <f>OrdersTable[[#This Row],[Gross Sale]]*OrdersTable[[#This Row],[Discount_Clean2]]</f>
        <v>139.64999999999998</v>
      </c>
      <c r="U888" s="5">
        <f>OrdersTable[[#This Row],[Gross Sale]]-OrdersTable[[#This Row],[Discount Amount]]</f>
        <v>259.35000000000002</v>
      </c>
      <c r="V888" s="77">
        <f>INDEX(Products!E:E,MATCH(OrdersTable[[#This Row],[Product ID]],Products!A:A,0))</f>
        <v>136</v>
      </c>
      <c r="W888" s="77">
        <f>OrdersTable[[#This Row],[Quantity]]*OrdersTable[[#This Row],[Unit Cost]]</f>
        <v>136</v>
      </c>
      <c r="X888" s="77">
        <f>'Dropdown Lists'!$I$2*(1+OrdersTable[[#This Row],[Returned]])</f>
        <v>120</v>
      </c>
      <c r="Y888" s="76">
        <f>OrdersTable[[#This Row],[Net Revenue]]-OrdersTable[[#This Row],[COGS]]-OrdersTable[[#This Row],[Shipping Cost]]</f>
        <v>3.3500000000000227</v>
      </c>
      <c r="Z888" s="78">
        <f>IFERROR(OrdersTable[[#This Row],[Profit]]/OrdersTable[[#This Row],[Net Revenue]],0)</f>
        <v>1.2916907653749846E-2</v>
      </c>
      <c r="AA888" t="s">
        <v>4450</v>
      </c>
      <c r="AB888" s="79">
        <v>45478</v>
      </c>
      <c r="AC888">
        <f>OrdersTable[[#This Row],[Delivery Date]]-OrdersTable[[#This Row],[Order Date]]</f>
        <v>4</v>
      </c>
      <c r="AD888" t="str">
        <f>IF(OrdersTable[[#This Row],[Delivery Days]]&lt;=2, "Express (≤2d)", IF(OrdersTable[[#This Row],[Delivery Days]]&lt;=4, "Standard (3-4d)", "Delayed (5d+)"))</f>
        <v>Standard (3-4d)</v>
      </c>
      <c r="AE888">
        <v>4</v>
      </c>
      <c r="AF888">
        <v>1</v>
      </c>
    </row>
    <row r="889" spans="1:32" ht="15" x14ac:dyDescent="0.35">
      <c r="A889" t="s">
        <v>1862</v>
      </c>
      <c r="B889" s="1">
        <v>45474</v>
      </c>
      <c r="C889">
        <f>YEAR(OrdersTable[[#This Row],[Order Date]])</f>
        <v>2024</v>
      </c>
      <c r="D889" s="2">
        <f>DATE(YEAR(OrdersTable[[#This Row],[Order Date]]),MONTH(OrdersTable[[#This Row],[Order Date]]),1)</f>
        <v>45474</v>
      </c>
      <c r="E889">
        <f>MONTH(OrdersTable[[#This Row],[Order Date]])</f>
        <v>7</v>
      </c>
      <c r="F889" t="s">
        <v>1328</v>
      </c>
      <c r="G889" t="str">
        <f>IF(OrdersTable[[#This Row],[Order Date]]=_xlfn.MINIFS(Order_Date, Customer_ID, OrdersTable[[#This Row],[Customer ID]]), "New", "Repeat")</f>
        <v>Repeat</v>
      </c>
      <c r="H889" t="s">
        <v>275</v>
      </c>
      <c r="I889" t="str">
        <f>INDEX(State!B:B,MATCH(OrdersTable[[#This Row],[State]],State!A:A,0))</f>
        <v>AP</v>
      </c>
      <c r="J889" t="str">
        <f>INDEX(State!C:C,MATCH(OrdersTable[[#This Row],[State Code]],State!B:B,0))</f>
        <v>South</v>
      </c>
      <c r="K889" t="s">
        <v>491</v>
      </c>
      <c r="L889" t="s">
        <v>39</v>
      </c>
      <c r="M889" t="s">
        <v>255</v>
      </c>
      <c r="N889" t="str">
        <f>INDEX(Products!B:B,MATCH(OrdersTable[[#This Row],[Product ID]],Products!A:A,0))</f>
        <v>Cotton Oversized T-Shirt</v>
      </c>
      <c r="O889" t="str">
        <f>INDEX(Products!C:C,MATCH(OrdersTable[[#This Row],[Product ID]],Products!A:A,0))</f>
        <v>Apparel</v>
      </c>
      <c r="P889">
        <v>1</v>
      </c>
      <c r="Q889" s="5">
        <v>799</v>
      </c>
      <c r="R889" s="74">
        <v>0</v>
      </c>
      <c r="S889" s="75">
        <f>OrdersTable[[#This Row],[Quantity]]*OrdersTable[[#This Row],[Unit Price]]</f>
        <v>799</v>
      </c>
      <c r="T889" s="5">
        <f>OrdersTable[[#This Row],[Gross Sale]]*OrdersTable[[#This Row],[Discount_Clean2]]</f>
        <v>0</v>
      </c>
      <c r="U889" s="5">
        <f>OrdersTable[[#This Row],[Gross Sale]]-OrdersTable[[#This Row],[Discount Amount]]</f>
        <v>799</v>
      </c>
      <c r="V889" s="77">
        <f>INDEX(Products!E:E,MATCH(OrdersTable[[#This Row],[Product ID]],Products!A:A,0))</f>
        <v>320</v>
      </c>
      <c r="W889" s="77">
        <f>OrdersTable[[#This Row],[Quantity]]*OrdersTable[[#This Row],[Unit Cost]]</f>
        <v>320</v>
      </c>
      <c r="X889" s="77">
        <f>'Dropdown Lists'!$I$2*(1+OrdersTable[[#This Row],[Returned]])</f>
        <v>120</v>
      </c>
      <c r="Y889" s="76">
        <f>OrdersTable[[#This Row],[Net Revenue]]-OrdersTable[[#This Row],[COGS]]-OrdersTable[[#This Row],[Shipping Cost]]</f>
        <v>359</v>
      </c>
      <c r="Z889" s="78">
        <f>IFERROR(OrdersTable[[#This Row],[Profit]]/OrdersTable[[#This Row],[Net Revenue]],0)</f>
        <v>0.44931163954943681</v>
      </c>
      <c r="AA889" t="s">
        <v>18</v>
      </c>
      <c r="AB889" s="79">
        <v>45478</v>
      </c>
      <c r="AC889">
        <f>OrdersTable[[#This Row],[Delivery Date]]-OrdersTable[[#This Row],[Order Date]]</f>
        <v>4</v>
      </c>
      <c r="AD889" t="str">
        <f>IF(OrdersTable[[#This Row],[Delivery Days]]&lt;=2, "Express (≤2d)", IF(OrdersTable[[#This Row],[Delivery Days]]&lt;=4, "Standard (3-4d)", "Delayed (5d+)"))</f>
        <v>Standard (3-4d)</v>
      </c>
      <c r="AE889">
        <v>3</v>
      </c>
      <c r="AF889">
        <v>1</v>
      </c>
    </row>
    <row r="890" spans="1:32" ht="15" x14ac:dyDescent="0.35">
      <c r="A890" t="s">
        <v>6859</v>
      </c>
      <c r="B890" s="1">
        <v>45474</v>
      </c>
      <c r="C890">
        <f>YEAR(OrdersTable[[#This Row],[Order Date]])</f>
        <v>2024</v>
      </c>
      <c r="D890" s="2">
        <f>DATE(YEAR(OrdersTable[[#This Row],[Order Date]]),MONTH(OrdersTable[[#This Row],[Order Date]]),1)</f>
        <v>45474</v>
      </c>
      <c r="E890">
        <f>MONTH(OrdersTable[[#This Row],[Order Date]])</f>
        <v>7</v>
      </c>
      <c r="F890" t="s">
        <v>2947</v>
      </c>
      <c r="G890" t="str">
        <f>IF(OrdersTable[[#This Row],[Order Date]]=_xlfn.MINIFS(Order_Date, Customer_ID, OrdersTable[[#This Row],[Customer ID]]), "New", "Repeat")</f>
        <v>New</v>
      </c>
      <c r="H890" t="s">
        <v>275</v>
      </c>
      <c r="I890" t="str">
        <f>INDEX(State!B:B,MATCH(OrdersTable[[#This Row],[State]],State!A:A,0))</f>
        <v>AP</v>
      </c>
      <c r="J890" t="str">
        <f>INDEX(State!C:C,MATCH(OrdersTable[[#This Row],[State Code]],State!B:B,0))</f>
        <v>South</v>
      </c>
      <c r="K890" t="s">
        <v>491</v>
      </c>
      <c r="L890" t="s">
        <v>50</v>
      </c>
      <c r="M890" t="s">
        <v>152</v>
      </c>
      <c r="N890" t="str">
        <f>INDEX(Products!B:B,MATCH(OrdersTable[[#This Row],[Product ID]],Products!A:A,0))</f>
        <v>Green Tea (100 bags)</v>
      </c>
      <c r="O890" t="str">
        <f>INDEX(Products!C:C,MATCH(OrdersTable[[#This Row],[Product ID]],Products!A:A,0))</f>
        <v>Wellness</v>
      </c>
      <c r="P890">
        <v>3</v>
      </c>
      <c r="Q890" s="5">
        <v>399</v>
      </c>
      <c r="R890" s="74">
        <v>0.3</v>
      </c>
      <c r="S890" s="75">
        <f>OrdersTable[[#This Row],[Quantity]]*OrdersTable[[#This Row],[Unit Price]]</f>
        <v>1197</v>
      </c>
      <c r="T890" s="5">
        <f>OrdersTable[[#This Row],[Gross Sale]]*OrdersTable[[#This Row],[Discount_Clean2]]</f>
        <v>359.09999999999997</v>
      </c>
      <c r="U890" s="5">
        <f>OrdersTable[[#This Row],[Gross Sale]]-OrdersTable[[#This Row],[Discount Amount]]</f>
        <v>837.90000000000009</v>
      </c>
      <c r="V890" s="77">
        <f>INDEX(Products!E:E,MATCH(OrdersTable[[#This Row],[Product ID]],Products!A:A,0))</f>
        <v>128</v>
      </c>
      <c r="W890" s="77">
        <f>OrdersTable[[#This Row],[Quantity]]*OrdersTable[[#This Row],[Unit Cost]]</f>
        <v>384</v>
      </c>
      <c r="X890" s="77">
        <f>'Dropdown Lists'!$I$2*(1+OrdersTable[[#This Row],[Returned]])</f>
        <v>60</v>
      </c>
      <c r="Y890" s="76">
        <f>OrdersTable[[#This Row],[Net Revenue]]-OrdersTable[[#This Row],[COGS]]-OrdersTable[[#This Row],[Shipping Cost]]</f>
        <v>393.90000000000009</v>
      </c>
      <c r="Z890" s="78">
        <f>IFERROR(OrdersTable[[#This Row],[Profit]]/OrdersTable[[#This Row],[Net Revenue]],0)</f>
        <v>0.47010383100608671</v>
      </c>
      <c r="AA890" t="s">
        <v>4450</v>
      </c>
      <c r="AB890" s="79">
        <v>45477</v>
      </c>
      <c r="AC890">
        <f>OrdersTable[[#This Row],[Delivery Date]]-OrdersTable[[#This Row],[Order Date]]</f>
        <v>3</v>
      </c>
      <c r="AD890" t="str">
        <f>IF(OrdersTable[[#This Row],[Delivery Days]]&lt;=2, "Express (≤2d)", IF(OrdersTable[[#This Row],[Delivery Days]]&lt;=4, "Standard (3-4d)", "Delayed (5d+)"))</f>
        <v>Standard (3-4d)</v>
      </c>
      <c r="AE890">
        <v>4</v>
      </c>
      <c r="AF890">
        <v>0</v>
      </c>
    </row>
    <row r="891" spans="1:32" ht="15" x14ac:dyDescent="0.35">
      <c r="A891" t="s">
        <v>3412</v>
      </c>
      <c r="B891" s="1">
        <v>45474</v>
      </c>
      <c r="C891">
        <f>YEAR(OrdersTable[[#This Row],[Order Date]])</f>
        <v>2024</v>
      </c>
      <c r="D891" s="2">
        <f>DATE(YEAR(OrdersTable[[#This Row],[Order Date]]),MONTH(OrdersTable[[#This Row],[Order Date]]),1)</f>
        <v>45474</v>
      </c>
      <c r="E891">
        <f>MONTH(OrdersTable[[#This Row],[Order Date]])</f>
        <v>7</v>
      </c>
      <c r="F891" t="s">
        <v>2129</v>
      </c>
      <c r="G891" t="str">
        <f>IF(OrdersTable[[#This Row],[Order Date]]=_xlfn.MINIFS(Order_Date, Customer_ID, OrdersTable[[#This Row],[Customer ID]]), "New", "Repeat")</f>
        <v>Repeat</v>
      </c>
      <c r="H891" t="s">
        <v>59</v>
      </c>
      <c r="I891" t="str">
        <f>INDEX(State!B:B,MATCH(OrdersTable[[#This Row],[State]],State!A:A,0))</f>
        <v>TN</v>
      </c>
      <c r="J891" t="str">
        <f>INDEX(State!C:C,MATCH(OrdersTable[[#This Row],[State Code]],State!B:B,0))</f>
        <v>South</v>
      </c>
      <c r="K891" t="s">
        <v>60</v>
      </c>
      <c r="L891" t="s">
        <v>65</v>
      </c>
      <c r="M891" t="s">
        <v>228</v>
      </c>
      <c r="N891" t="str">
        <f>INDEX(Products!B:B,MATCH(OrdersTable[[#This Row],[Product ID]],Products!A:A,0))</f>
        <v>Fast Charger 33W</v>
      </c>
      <c r="O891" t="str">
        <f>INDEX(Products!C:C,MATCH(OrdersTable[[#This Row],[Product ID]],Products!A:A,0))</f>
        <v>Electronics</v>
      </c>
      <c r="P891">
        <v>1</v>
      </c>
      <c r="Q891" s="5">
        <v>899</v>
      </c>
      <c r="R891" s="74">
        <v>0.05</v>
      </c>
      <c r="S891" s="75">
        <f>OrdersTable[[#This Row],[Quantity]]*OrdersTable[[#This Row],[Unit Price]]</f>
        <v>899</v>
      </c>
      <c r="T891" s="5">
        <f>OrdersTable[[#This Row],[Gross Sale]]*OrdersTable[[#This Row],[Discount_Clean2]]</f>
        <v>44.95</v>
      </c>
      <c r="U891" s="5">
        <f>OrdersTable[[#This Row],[Gross Sale]]-OrdersTable[[#This Row],[Discount Amount]]</f>
        <v>854.05</v>
      </c>
      <c r="V891" s="77">
        <f>INDEX(Products!E:E,MATCH(OrdersTable[[#This Row],[Product ID]],Products!A:A,0))</f>
        <v>494</v>
      </c>
      <c r="W891" s="77">
        <f>OrdersTable[[#This Row],[Quantity]]*OrdersTable[[#This Row],[Unit Cost]]</f>
        <v>494</v>
      </c>
      <c r="X891" s="77">
        <f>'Dropdown Lists'!$I$2*(1+OrdersTable[[#This Row],[Returned]])</f>
        <v>60</v>
      </c>
      <c r="Y891" s="76">
        <f>OrdersTable[[#This Row],[Net Revenue]]-OrdersTable[[#This Row],[COGS]]-OrdersTable[[#This Row],[Shipping Cost]]</f>
        <v>300.04999999999995</v>
      </c>
      <c r="Z891" s="78">
        <f>IFERROR(OrdersTable[[#This Row],[Profit]]/OrdersTable[[#This Row],[Net Revenue]],0)</f>
        <v>0.35132603477548152</v>
      </c>
      <c r="AA891" t="s">
        <v>2522</v>
      </c>
      <c r="AB891" s="79">
        <v>45475</v>
      </c>
      <c r="AC891">
        <f>OrdersTable[[#This Row],[Delivery Date]]-OrdersTable[[#This Row],[Order Date]]</f>
        <v>1</v>
      </c>
      <c r="AD891" t="str">
        <f>IF(OrdersTable[[#This Row],[Delivery Days]]&lt;=2, "Express (≤2d)", IF(OrdersTable[[#This Row],[Delivery Days]]&lt;=4, "Standard (3-4d)", "Delayed (5d+)"))</f>
        <v>Express (≤2d)</v>
      </c>
      <c r="AE891">
        <v>4</v>
      </c>
      <c r="AF891">
        <v>0</v>
      </c>
    </row>
    <row r="892" spans="1:32" ht="15" x14ac:dyDescent="0.35">
      <c r="A892" t="s">
        <v>138</v>
      </c>
      <c r="B892" s="1">
        <v>45475</v>
      </c>
      <c r="C892">
        <f>YEAR(OrdersTable[[#This Row],[Order Date]])</f>
        <v>2024</v>
      </c>
      <c r="D892" s="2">
        <f>DATE(YEAR(OrdersTable[[#This Row],[Order Date]]),MONTH(OrdersTable[[#This Row],[Order Date]]),1)</f>
        <v>45474</v>
      </c>
      <c r="E892">
        <f>MONTH(OrdersTable[[#This Row],[Order Date]])</f>
        <v>7</v>
      </c>
      <c r="F892" t="s">
        <v>139</v>
      </c>
      <c r="G892" t="str">
        <f>IF(OrdersTable[[#This Row],[Order Date]]=_xlfn.MINIFS(Order_Date, Customer_ID, OrdersTable[[#This Row],[Customer ID]]), "New", "Repeat")</f>
        <v>New</v>
      </c>
      <c r="H892" t="s">
        <v>128</v>
      </c>
      <c r="I892" t="str">
        <f>INDEX(State!B:B,MATCH(OrdersTable[[#This Row],[State]],State!A:A,0))</f>
        <v>DL</v>
      </c>
      <c r="J892" t="str">
        <f>INDEX(State!C:C,MATCH(OrdersTable[[#This Row],[State Code]],State!B:B,0))</f>
        <v>North</v>
      </c>
      <c r="K892" t="s">
        <v>129</v>
      </c>
      <c r="L892" t="s">
        <v>50</v>
      </c>
      <c r="M892" t="s">
        <v>40</v>
      </c>
      <c r="N892" t="str">
        <f>INDEX(Products!B:B,MATCH(OrdersTable[[#This Row],[Product ID]],Products!A:A,0))</f>
        <v>Ashwagandha Capsules</v>
      </c>
      <c r="O892" t="str">
        <f>INDEX(Products!C:C,MATCH(OrdersTable[[#This Row],[Product ID]],Products!A:A,0))</f>
        <v>Wellness</v>
      </c>
      <c r="P892">
        <v>1</v>
      </c>
      <c r="Q892" s="5">
        <v>499</v>
      </c>
      <c r="R892" s="74">
        <v>0</v>
      </c>
      <c r="S892" s="75">
        <f>OrdersTable[[#This Row],[Quantity]]*OrdersTable[[#This Row],[Unit Price]]</f>
        <v>499</v>
      </c>
      <c r="T892" s="5">
        <f>OrdersTable[[#This Row],[Gross Sale]]*OrdersTable[[#This Row],[Discount_Clean2]]</f>
        <v>0</v>
      </c>
      <c r="U892" s="5">
        <f>OrdersTable[[#This Row],[Gross Sale]]-OrdersTable[[#This Row],[Discount Amount]]</f>
        <v>499</v>
      </c>
      <c r="V892" s="77">
        <f>INDEX(Products!E:E,MATCH(OrdersTable[[#This Row],[Product ID]],Products!A:A,0))</f>
        <v>150</v>
      </c>
      <c r="W892" s="77">
        <f>OrdersTable[[#This Row],[Quantity]]*OrdersTable[[#This Row],[Unit Cost]]</f>
        <v>150</v>
      </c>
      <c r="X892" s="77">
        <f>'Dropdown Lists'!$I$2*(1+OrdersTable[[#This Row],[Returned]])</f>
        <v>60</v>
      </c>
      <c r="Y892" s="76">
        <f>OrdersTable[[#This Row],[Net Revenue]]-OrdersTable[[#This Row],[COGS]]-OrdersTable[[#This Row],[Shipping Cost]]</f>
        <v>289</v>
      </c>
      <c r="Z892" s="78">
        <f>IFERROR(OrdersTable[[#This Row],[Profit]]/OrdersTable[[#This Row],[Net Revenue]],0)</f>
        <v>0.57915831663326656</v>
      </c>
      <c r="AA892" t="s">
        <v>18</v>
      </c>
      <c r="AB892" s="79">
        <v>45478</v>
      </c>
      <c r="AC892">
        <f>OrdersTable[[#This Row],[Delivery Date]]-OrdersTable[[#This Row],[Order Date]]</f>
        <v>3</v>
      </c>
      <c r="AD892" t="str">
        <f>IF(OrdersTable[[#This Row],[Delivery Days]]&lt;=2, "Express (≤2d)", IF(OrdersTable[[#This Row],[Delivery Days]]&lt;=4, "Standard (3-4d)", "Delayed (5d+)"))</f>
        <v>Standard (3-4d)</v>
      </c>
      <c r="AE892">
        <v>4</v>
      </c>
      <c r="AF892">
        <v>0</v>
      </c>
    </row>
    <row r="893" spans="1:32" ht="15" x14ac:dyDescent="0.35">
      <c r="A893" t="s">
        <v>4470</v>
      </c>
      <c r="B893" s="1">
        <v>45475</v>
      </c>
      <c r="C893">
        <f>YEAR(OrdersTable[[#This Row],[Order Date]])</f>
        <v>2024</v>
      </c>
      <c r="D893" s="2">
        <f>DATE(YEAR(OrdersTable[[#This Row],[Order Date]]),MONTH(OrdersTable[[#This Row],[Order Date]]),1)</f>
        <v>45474</v>
      </c>
      <c r="E893">
        <f>MONTH(OrdersTable[[#This Row],[Order Date]])</f>
        <v>7</v>
      </c>
      <c r="F893" t="s">
        <v>407</v>
      </c>
      <c r="G893" t="str">
        <f>IF(OrdersTable[[#This Row],[Order Date]]=_xlfn.MINIFS(Order_Date, Customer_ID, OrdersTable[[#This Row],[Customer ID]]), "New", "Repeat")</f>
        <v>New</v>
      </c>
      <c r="H893" t="s">
        <v>76</v>
      </c>
      <c r="I893" t="str">
        <f>INDEX(State!B:B,MATCH(OrdersTable[[#This Row],[State]],State!A:A,0))</f>
        <v>UP</v>
      </c>
      <c r="J893" t="str">
        <f>INDEX(State!C:C,MATCH(OrdersTable[[#This Row],[State Code]],State!B:B,0))</f>
        <v>North</v>
      </c>
      <c r="K893" t="s">
        <v>105</v>
      </c>
      <c r="L893" t="s">
        <v>65</v>
      </c>
      <c r="M893" t="s">
        <v>73</v>
      </c>
      <c r="N893" t="str">
        <f>INDEX(Products!B:B,MATCH(OrdersTable[[#This Row],[Product ID]],Products!A:A,0))</f>
        <v>Hydrating Face Wash</v>
      </c>
      <c r="O893" t="str">
        <f>INDEX(Products!C:C,MATCH(OrdersTable[[#This Row],[Product ID]],Products!A:A,0))</f>
        <v>Skincare</v>
      </c>
      <c r="P893">
        <v>1</v>
      </c>
      <c r="Q893" s="5">
        <v>299</v>
      </c>
      <c r="R893" s="74">
        <v>0.05</v>
      </c>
      <c r="S893" s="75">
        <f>OrdersTable[[#This Row],[Quantity]]*OrdersTable[[#This Row],[Unit Price]]</f>
        <v>299</v>
      </c>
      <c r="T893" s="5">
        <f>OrdersTable[[#This Row],[Gross Sale]]*OrdersTable[[#This Row],[Discount_Clean2]]</f>
        <v>14.950000000000001</v>
      </c>
      <c r="U893" s="5">
        <f>OrdersTable[[#This Row],[Gross Sale]]-OrdersTable[[#This Row],[Discount Amount]]</f>
        <v>284.05</v>
      </c>
      <c r="V893" s="77">
        <f>INDEX(Products!E:E,MATCH(OrdersTable[[#This Row],[Product ID]],Products!A:A,0))</f>
        <v>90</v>
      </c>
      <c r="W893" s="77">
        <f>OrdersTable[[#This Row],[Quantity]]*OrdersTable[[#This Row],[Unit Cost]]</f>
        <v>90</v>
      </c>
      <c r="X893" s="77">
        <f>'Dropdown Lists'!$I$2*(1+OrdersTable[[#This Row],[Returned]])</f>
        <v>60</v>
      </c>
      <c r="Y893" s="76">
        <f>OrdersTable[[#This Row],[Net Revenue]]-OrdersTable[[#This Row],[COGS]]-OrdersTable[[#This Row],[Shipping Cost]]</f>
        <v>134.05000000000001</v>
      </c>
      <c r="Z893" s="78">
        <f>IFERROR(OrdersTable[[#This Row],[Profit]]/OrdersTable[[#This Row],[Net Revenue]],0)</f>
        <v>0.47192395704981521</v>
      </c>
      <c r="AA893" t="s">
        <v>4450</v>
      </c>
      <c r="AB893" s="79">
        <v>45478</v>
      </c>
      <c r="AC893">
        <f>OrdersTable[[#This Row],[Delivery Date]]-OrdersTable[[#This Row],[Order Date]]</f>
        <v>3</v>
      </c>
      <c r="AD893" t="str">
        <f>IF(OrdersTable[[#This Row],[Delivery Days]]&lt;=2, "Express (≤2d)", IF(OrdersTable[[#This Row],[Delivery Days]]&lt;=4, "Standard (3-4d)", "Delayed (5d+)"))</f>
        <v>Standard (3-4d)</v>
      </c>
      <c r="AE893">
        <v>4</v>
      </c>
      <c r="AF893">
        <v>0</v>
      </c>
    </row>
    <row r="894" spans="1:32" ht="15" x14ac:dyDescent="0.35">
      <c r="A894" t="s">
        <v>1863</v>
      </c>
      <c r="B894" s="1">
        <v>45475</v>
      </c>
      <c r="C894">
        <f>YEAR(OrdersTable[[#This Row],[Order Date]])</f>
        <v>2024</v>
      </c>
      <c r="D894" s="2">
        <f>DATE(YEAR(OrdersTable[[#This Row],[Order Date]]),MONTH(OrdersTable[[#This Row],[Order Date]]),1)</f>
        <v>45474</v>
      </c>
      <c r="E894">
        <f>MONTH(OrdersTable[[#This Row],[Order Date]])</f>
        <v>7</v>
      </c>
      <c r="F894" t="s">
        <v>1864</v>
      </c>
      <c r="G894" t="str">
        <f>IF(OrdersTable[[#This Row],[Order Date]]=_xlfn.MINIFS(Order_Date, Customer_ID, OrdersTable[[#This Row],[Customer ID]]), "New", "Repeat")</f>
        <v>New</v>
      </c>
      <c r="H894" t="s">
        <v>32</v>
      </c>
      <c r="I894" t="str">
        <f>INDEX(State!B:B,MATCH(OrdersTable[[#This Row],[State]],State!A:A,0))</f>
        <v>BR</v>
      </c>
      <c r="J894" t="str">
        <f>INDEX(State!C:C,MATCH(OrdersTable[[#This Row],[State Code]],State!B:B,0))</f>
        <v>East</v>
      </c>
      <c r="K894" t="s">
        <v>33</v>
      </c>
      <c r="L894" t="s">
        <v>23</v>
      </c>
      <c r="M894" t="s">
        <v>24</v>
      </c>
      <c r="N894" t="str">
        <f>INDEX(Products!B:B,MATCH(OrdersTable[[#This Row],[Product ID]],Products!A:A,0))</f>
        <v>Scented Candle Set</v>
      </c>
      <c r="O894" t="str">
        <f>INDEX(Products!C:C,MATCH(OrdersTable[[#This Row],[Product ID]],Products!A:A,0))</f>
        <v>Home &amp; Kitchen</v>
      </c>
      <c r="P894">
        <v>1</v>
      </c>
      <c r="Q894" s="5">
        <v>699</v>
      </c>
      <c r="R894" s="74">
        <v>0.3</v>
      </c>
      <c r="S894" s="75">
        <f>OrdersTable[[#This Row],[Quantity]]*OrdersTable[[#This Row],[Unit Price]]</f>
        <v>699</v>
      </c>
      <c r="T894" s="5">
        <f>OrdersTable[[#This Row],[Gross Sale]]*OrdersTable[[#This Row],[Discount_Clean2]]</f>
        <v>209.7</v>
      </c>
      <c r="U894" s="5">
        <f>OrdersTable[[#This Row],[Gross Sale]]-OrdersTable[[#This Row],[Discount Amount]]</f>
        <v>489.3</v>
      </c>
      <c r="V894" s="77">
        <f>INDEX(Products!E:E,MATCH(OrdersTable[[#This Row],[Product ID]],Products!A:A,0))</f>
        <v>245</v>
      </c>
      <c r="W894" s="77">
        <f>OrdersTable[[#This Row],[Quantity]]*OrdersTable[[#This Row],[Unit Cost]]</f>
        <v>245</v>
      </c>
      <c r="X894" s="77">
        <f>'Dropdown Lists'!$I$2*(1+OrdersTable[[#This Row],[Returned]])</f>
        <v>60</v>
      </c>
      <c r="Y894" s="76">
        <f>OrdersTable[[#This Row],[Net Revenue]]-OrdersTable[[#This Row],[COGS]]-OrdersTable[[#This Row],[Shipping Cost]]</f>
        <v>184.3</v>
      </c>
      <c r="Z894" s="78">
        <f>IFERROR(OrdersTable[[#This Row],[Profit]]/OrdersTable[[#This Row],[Net Revenue]],0)</f>
        <v>0.37666053545881872</v>
      </c>
      <c r="AA894" t="s">
        <v>18</v>
      </c>
      <c r="AB894" s="79">
        <v>45481</v>
      </c>
      <c r="AC894">
        <f>OrdersTable[[#This Row],[Delivery Date]]-OrdersTable[[#This Row],[Order Date]]</f>
        <v>6</v>
      </c>
      <c r="AD894" t="str">
        <f>IF(OrdersTable[[#This Row],[Delivery Days]]&lt;=2, "Express (≤2d)", IF(OrdersTable[[#This Row],[Delivery Days]]&lt;=4, "Standard (3-4d)", "Delayed (5d+)"))</f>
        <v>Delayed (5d+)</v>
      </c>
      <c r="AE894">
        <v>3</v>
      </c>
      <c r="AF894">
        <v>0</v>
      </c>
    </row>
    <row r="895" spans="1:32" ht="15" x14ac:dyDescent="0.35">
      <c r="A895" t="s">
        <v>1865</v>
      </c>
      <c r="B895" s="1">
        <v>45475</v>
      </c>
      <c r="C895">
        <f>YEAR(OrdersTable[[#This Row],[Order Date]])</f>
        <v>2024</v>
      </c>
      <c r="D895" s="2">
        <f>DATE(YEAR(OrdersTable[[#This Row],[Order Date]]),MONTH(OrdersTable[[#This Row],[Order Date]]),1)</f>
        <v>45474</v>
      </c>
      <c r="E895">
        <f>MONTH(OrdersTable[[#This Row],[Order Date]])</f>
        <v>7</v>
      </c>
      <c r="F895" t="s">
        <v>1866</v>
      </c>
      <c r="G895" t="str">
        <f>IF(OrdersTable[[#This Row],[Order Date]]=_xlfn.MINIFS(Order_Date, Customer_ID, OrdersTable[[#This Row],[Customer ID]]), "New", "Repeat")</f>
        <v>Repeat</v>
      </c>
      <c r="H895" t="s">
        <v>37</v>
      </c>
      <c r="I895" t="str">
        <f>INDEX(State!B:B,MATCH(OrdersTable[[#This Row],[State]],State!A:A,0))</f>
        <v>GJ</v>
      </c>
      <c r="J895" t="str">
        <f>INDEX(State!C:C,MATCH(OrdersTable[[#This Row],[State Code]],State!B:B,0))</f>
        <v>West</v>
      </c>
      <c r="K895" t="s">
        <v>247</v>
      </c>
      <c r="L895" t="s">
        <v>23</v>
      </c>
      <c r="M895" t="s">
        <v>61</v>
      </c>
      <c r="N895" t="str">
        <f>INDEX(Products!B:B,MATCH(OrdersTable[[#This Row],[Product ID]],Products!A:A,0))</f>
        <v>Multivitamin Gummies</v>
      </c>
      <c r="O895" t="str">
        <f>INDEX(Products!C:C,MATCH(OrdersTable[[#This Row],[Product ID]],Products!A:A,0))</f>
        <v>Wellness</v>
      </c>
      <c r="P895">
        <v>1</v>
      </c>
      <c r="Q895" s="5">
        <v>699</v>
      </c>
      <c r="R895" s="74">
        <v>0.15</v>
      </c>
      <c r="S895" s="75">
        <f>OrdersTable[[#This Row],[Quantity]]*OrdersTable[[#This Row],[Unit Price]]</f>
        <v>699</v>
      </c>
      <c r="T895" s="5">
        <f>OrdersTable[[#This Row],[Gross Sale]]*OrdersTable[[#This Row],[Discount_Clean2]]</f>
        <v>104.85</v>
      </c>
      <c r="U895" s="5">
        <f>OrdersTable[[#This Row],[Gross Sale]]-OrdersTable[[#This Row],[Discount Amount]]</f>
        <v>594.15</v>
      </c>
      <c r="V895" s="77">
        <f>INDEX(Products!E:E,MATCH(OrdersTable[[#This Row],[Product ID]],Products!A:A,0))</f>
        <v>238</v>
      </c>
      <c r="W895" s="77">
        <f>OrdersTable[[#This Row],[Quantity]]*OrdersTable[[#This Row],[Unit Cost]]</f>
        <v>238</v>
      </c>
      <c r="X895" s="77">
        <f>'Dropdown Lists'!$I$2*(1+OrdersTable[[#This Row],[Returned]])</f>
        <v>60</v>
      </c>
      <c r="Y895" s="76">
        <f>OrdersTable[[#This Row],[Net Revenue]]-OrdersTable[[#This Row],[COGS]]-OrdersTable[[#This Row],[Shipping Cost]]</f>
        <v>296.14999999999998</v>
      </c>
      <c r="Z895" s="78">
        <f>IFERROR(OrdersTable[[#This Row],[Profit]]/OrdersTable[[#This Row],[Net Revenue]],0)</f>
        <v>0.49844315408566858</v>
      </c>
      <c r="AA895" t="s">
        <v>18</v>
      </c>
      <c r="AB895" s="79">
        <v>45478</v>
      </c>
      <c r="AC895">
        <f>OrdersTable[[#This Row],[Delivery Date]]-OrdersTable[[#This Row],[Order Date]]</f>
        <v>3</v>
      </c>
      <c r="AD895" t="str">
        <f>IF(OrdersTable[[#This Row],[Delivery Days]]&lt;=2, "Express (≤2d)", IF(OrdersTable[[#This Row],[Delivery Days]]&lt;=4, "Standard (3-4d)", "Delayed (5d+)"))</f>
        <v>Standard (3-4d)</v>
      </c>
      <c r="AE895">
        <v>3</v>
      </c>
      <c r="AF895">
        <v>0</v>
      </c>
    </row>
    <row r="896" spans="1:32" ht="15" x14ac:dyDescent="0.35">
      <c r="A896" t="s">
        <v>5762</v>
      </c>
      <c r="B896" s="1">
        <v>45475</v>
      </c>
      <c r="C896">
        <f>YEAR(OrdersTable[[#This Row],[Order Date]])</f>
        <v>2024</v>
      </c>
      <c r="D896" s="2">
        <f>DATE(YEAR(OrdersTable[[#This Row],[Order Date]]),MONTH(OrdersTable[[#This Row],[Order Date]]),1)</f>
        <v>45474</v>
      </c>
      <c r="E896">
        <f>MONTH(OrdersTable[[#This Row],[Order Date]])</f>
        <v>7</v>
      </c>
      <c r="F896" t="s">
        <v>5763</v>
      </c>
      <c r="G896" t="str">
        <f>IF(OrdersTable[[#This Row],[Order Date]]=_xlfn.MINIFS(Order_Date, Customer_ID, OrdersTable[[#This Row],[Customer ID]]), "New", "Repeat")</f>
        <v>Repeat</v>
      </c>
      <c r="H896" t="s">
        <v>37</v>
      </c>
      <c r="I896" t="str">
        <f>INDEX(State!B:B,MATCH(OrdersTable[[#This Row],[State]],State!A:A,0))</f>
        <v>GJ</v>
      </c>
      <c r="J896" t="str">
        <f>INDEX(State!C:C,MATCH(OrdersTable[[#This Row],[State Code]],State!B:B,0))</f>
        <v>West</v>
      </c>
      <c r="K896" t="s">
        <v>247</v>
      </c>
      <c r="L896" t="s">
        <v>50</v>
      </c>
      <c r="M896" t="s">
        <v>45</v>
      </c>
      <c r="N896" t="str">
        <f>INDEX(Products!B:B,MATCH(OrdersTable[[#This Row],[Product ID]],Products!A:A,0))</f>
        <v>Argan Shampoo</v>
      </c>
      <c r="O896" t="str">
        <f>INDEX(Products!C:C,MATCH(OrdersTable[[#This Row],[Product ID]],Products!A:A,0))</f>
        <v>Haircare</v>
      </c>
      <c r="P896">
        <v>2</v>
      </c>
      <c r="Q896" s="5">
        <v>449</v>
      </c>
      <c r="R896" s="74">
        <v>0</v>
      </c>
      <c r="S896" s="75">
        <f>OrdersTable[[#This Row],[Quantity]]*OrdersTable[[#This Row],[Unit Price]]</f>
        <v>898</v>
      </c>
      <c r="T896" s="5">
        <f>OrdersTable[[#This Row],[Gross Sale]]*OrdersTable[[#This Row],[Discount_Clean2]]</f>
        <v>0</v>
      </c>
      <c r="U896" s="5">
        <f>OrdersTable[[#This Row],[Gross Sale]]-OrdersTable[[#This Row],[Discount Amount]]</f>
        <v>898</v>
      </c>
      <c r="V896" s="77">
        <f>INDEX(Products!E:E,MATCH(OrdersTable[[#This Row],[Product ID]],Products!A:A,0))</f>
        <v>148</v>
      </c>
      <c r="W896" s="77">
        <f>OrdersTable[[#This Row],[Quantity]]*OrdersTable[[#This Row],[Unit Cost]]</f>
        <v>296</v>
      </c>
      <c r="X896" s="77">
        <f>'Dropdown Lists'!$I$2*(1+OrdersTable[[#This Row],[Returned]])</f>
        <v>60</v>
      </c>
      <c r="Y896" s="76">
        <f>OrdersTable[[#This Row],[Net Revenue]]-OrdersTable[[#This Row],[COGS]]-OrdersTable[[#This Row],[Shipping Cost]]</f>
        <v>542</v>
      </c>
      <c r="Z896" s="78">
        <f>IFERROR(OrdersTable[[#This Row],[Profit]]/OrdersTable[[#This Row],[Net Revenue]],0)</f>
        <v>0.60356347438752789</v>
      </c>
      <c r="AA896" t="s">
        <v>18</v>
      </c>
      <c r="AB896" s="79">
        <v>45476</v>
      </c>
      <c r="AC896">
        <f>OrdersTable[[#This Row],[Delivery Date]]-OrdersTable[[#This Row],[Order Date]]</f>
        <v>1</v>
      </c>
      <c r="AD896" t="str">
        <f>IF(OrdersTable[[#This Row],[Delivery Days]]&lt;=2, "Express (≤2d)", IF(OrdersTable[[#This Row],[Delivery Days]]&lt;=4, "Standard (3-4d)", "Delayed (5d+)"))</f>
        <v>Express (≤2d)</v>
      </c>
      <c r="AE896">
        <v>5</v>
      </c>
      <c r="AF896">
        <v>0</v>
      </c>
    </row>
    <row r="897" spans="1:32" ht="15" x14ac:dyDescent="0.35">
      <c r="A897" t="s">
        <v>4091</v>
      </c>
      <c r="B897" s="1">
        <v>45475</v>
      </c>
      <c r="C897">
        <f>YEAR(OrdersTable[[#This Row],[Order Date]])</f>
        <v>2024</v>
      </c>
      <c r="D897" s="2">
        <f>DATE(YEAR(OrdersTable[[#This Row],[Order Date]]),MONTH(OrdersTable[[#This Row],[Order Date]]),1)</f>
        <v>45474</v>
      </c>
      <c r="E897">
        <f>MONTH(OrdersTable[[#This Row],[Order Date]])</f>
        <v>7</v>
      </c>
      <c r="F897" t="s">
        <v>3931</v>
      </c>
      <c r="G897" t="str">
        <f>IF(OrdersTable[[#This Row],[Order Date]]=_xlfn.MINIFS(Order_Date, Customer_ID, OrdersTable[[#This Row],[Customer ID]]), "New", "Repeat")</f>
        <v>New</v>
      </c>
      <c r="H897" t="s">
        <v>71</v>
      </c>
      <c r="I897" t="str">
        <f>INDEX(State!B:B,MATCH(OrdersTable[[#This Row],[State]],State!A:A,0))</f>
        <v>MH</v>
      </c>
      <c r="J897" t="str">
        <f>INDEX(State!C:C,MATCH(OrdersTable[[#This Row],[State Code]],State!B:B,0))</f>
        <v>West</v>
      </c>
      <c r="K897" t="s">
        <v>102</v>
      </c>
      <c r="L897" t="s">
        <v>65</v>
      </c>
      <c r="M897" t="s">
        <v>106</v>
      </c>
      <c r="N897" t="str">
        <f>INDEX(Products!B:B,MATCH(OrdersTable[[#This Row],[Product ID]],Products!A:A,0))</f>
        <v>Keratin Hair Mask</v>
      </c>
      <c r="O897" t="str">
        <f>INDEX(Products!C:C,MATCH(OrdersTable[[#This Row],[Product ID]],Products!A:A,0))</f>
        <v>Haircare</v>
      </c>
      <c r="P897">
        <v>1</v>
      </c>
      <c r="Q897" s="5">
        <v>549</v>
      </c>
      <c r="R897" s="74">
        <v>0.1</v>
      </c>
      <c r="S897" s="75">
        <f>OrdersTable[[#This Row],[Quantity]]*OrdersTable[[#This Row],[Unit Price]]</f>
        <v>549</v>
      </c>
      <c r="T897" s="5">
        <f>OrdersTable[[#This Row],[Gross Sale]]*OrdersTable[[#This Row],[Discount_Clean2]]</f>
        <v>54.900000000000006</v>
      </c>
      <c r="U897" s="5">
        <f>OrdersTable[[#This Row],[Gross Sale]]-OrdersTable[[#This Row],[Discount Amount]]</f>
        <v>494.1</v>
      </c>
      <c r="V897" s="77">
        <f>INDEX(Products!E:E,MATCH(OrdersTable[[#This Row],[Product ID]],Products!A:A,0))</f>
        <v>170</v>
      </c>
      <c r="W897" s="77">
        <f>OrdersTable[[#This Row],[Quantity]]*OrdersTable[[#This Row],[Unit Cost]]</f>
        <v>170</v>
      </c>
      <c r="X897" s="77">
        <f>'Dropdown Lists'!$I$2*(1+OrdersTable[[#This Row],[Returned]])</f>
        <v>60</v>
      </c>
      <c r="Y897" s="76">
        <f>OrdersTable[[#This Row],[Net Revenue]]-OrdersTable[[#This Row],[COGS]]-OrdersTable[[#This Row],[Shipping Cost]]</f>
        <v>264.10000000000002</v>
      </c>
      <c r="Z897" s="78">
        <f>IFERROR(OrdersTable[[#This Row],[Profit]]/OrdersTable[[#This Row],[Net Revenue]],0)</f>
        <v>0.53450718478040882</v>
      </c>
      <c r="AA897" t="s">
        <v>4074</v>
      </c>
      <c r="AB897" s="79">
        <v>45476</v>
      </c>
      <c r="AC897">
        <f>OrdersTable[[#This Row],[Delivery Date]]-OrdersTable[[#This Row],[Order Date]]</f>
        <v>1</v>
      </c>
      <c r="AD897" t="str">
        <f>IF(OrdersTable[[#This Row],[Delivery Days]]&lt;=2, "Express (≤2d)", IF(OrdersTable[[#This Row],[Delivery Days]]&lt;=4, "Standard (3-4d)", "Delayed (5d+)"))</f>
        <v>Express (≤2d)</v>
      </c>
      <c r="AE897">
        <v>5</v>
      </c>
      <c r="AF897">
        <v>0</v>
      </c>
    </row>
    <row r="898" spans="1:32" ht="15" x14ac:dyDescent="0.35">
      <c r="A898" t="s">
        <v>490</v>
      </c>
      <c r="B898" s="1">
        <v>45475</v>
      </c>
      <c r="C898">
        <f>YEAR(OrdersTable[[#This Row],[Order Date]])</f>
        <v>2024</v>
      </c>
      <c r="D898" s="2">
        <f>DATE(YEAR(OrdersTable[[#This Row],[Order Date]]),MONTH(OrdersTable[[#This Row],[Order Date]]),1)</f>
        <v>45474</v>
      </c>
      <c r="E898">
        <f>MONTH(OrdersTable[[#This Row],[Order Date]])</f>
        <v>7</v>
      </c>
      <c r="F898" t="s">
        <v>313</v>
      </c>
      <c r="G898" t="str">
        <f>IF(OrdersTable[[#This Row],[Order Date]]=_xlfn.MINIFS(Order_Date, Customer_ID, OrdersTable[[#This Row],[Customer ID]]), "New", "Repeat")</f>
        <v>Repeat</v>
      </c>
      <c r="H898" t="s">
        <v>275</v>
      </c>
      <c r="I898" t="str">
        <f>INDEX(State!B:B,MATCH(OrdersTable[[#This Row],[State]],State!A:A,0))</f>
        <v>AP</v>
      </c>
      <c r="J898" t="str">
        <f>INDEX(State!C:C,MATCH(OrdersTable[[#This Row],[State Code]],State!B:B,0))</f>
        <v>South</v>
      </c>
      <c r="K898" t="s">
        <v>491</v>
      </c>
      <c r="L898" t="s">
        <v>23</v>
      </c>
      <c r="M898" t="s">
        <v>255</v>
      </c>
      <c r="N898" t="str">
        <f>INDEX(Products!B:B,MATCH(OrdersTable[[#This Row],[Product ID]],Products!A:A,0))</f>
        <v>Cotton Oversized T-Shirt</v>
      </c>
      <c r="O898" t="str">
        <f>INDEX(Products!C:C,MATCH(OrdersTable[[#This Row],[Product ID]],Products!A:A,0))</f>
        <v>Apparel</v>
      </c>
      <c r="P898">
        <v>1</v>
      </c>
      <c r="Q898" s="5">
        <v>799</v>
      </c>
      <c r="R898" s="74">
        <v>0</v>
      </c>
      <c r="S898" s="75">
        <f>OrdersTable[[#This Row],[Quantity]]*OrdersTable[[#This Row],[Unit Price]]</f>
        <v>799</v>
      </c>
      <c r="T898" s="5">
        <f>OrdersTable[[#This Row],[Gross Sale]]*OrdersTable[[#This Row],[Discount_Clean2]]</f>
        <v>0</v>
      </c>
      <c r="U898" s="5">
        <f>OrdersTable[[#This Row],[Gross Sale]]-OrdersTable[[#This Row],[Discount Amount]]</f>
        <v>799</v>
      </c>
      <c r="V898" s="77">
        <f>INDEX(Products!E:E,MATCH(OrdersTable[[#This Row],[Product ID]],Products!A:A,0))</f>
        <v>320</v>
      </c>
      <c r="W898" s="77">
        <f>OrdersTable[[#This Row],[Quantity]]*OrdersTable[[#This Row],[Unit Cost]]</f>
        <v>320</v>
      </c>
      <c r="X898" s="77">
        <f>'Dropdown Lists'!$I$2*(1+OrdersTable[[#This Row],[Returned]])</f>
        <v>60</v>
      </c>
      <c r="Y898" s="76">
        <f>OrdersTable[[#This Row],[Net Revenue]]-OrdersTable[[#This Row],[COGS]]-OrdersTable[[#This Row],[Shipping Cost]]</f>
        <v>419</v>
      </c>
      <c r="Z898" s="78">
        <f>IFERROR(OrdersTable[[#This Row],[Profit]]/OrdersTable[[#This Row],[Net Revenue]],0)</f>
        <v>0.52440550688360454</v>
      </c>
      <c r="AA898" t="s">
        <v>18</v>
      </c>
      <c r="AB898" s="79">
        <v>45479</v>
      </c>
      <c r="AC898">
        <f>OrdersTable[[#This Row],[Delivery Date]]-OrdersTable[[#This Row],[Order Date]]</f>
        <v>4</v>
      </c>
      <c r="AD898" t="str">
        <f>IF(OrdersTable[[#This Row],[Delivery Days]]&lt;=2, "Express (≤2d)", IF(OrdersTable[[#This Row],[Delivery Days]]&lt;=4, "Standard (3-4d)", "Delayed (5d+)"))</f>
        <v>Standard (3-4d)</v>
      </c>
      <c r="AE898">
        <v>4</v>
      </c>
      <c r="AF898">
        <v>0</v>
      </c>
    </row>
    <row r="899" spans="1:32" ht="15" x14ac:dyDescent="0.35">
      <c r="A899" t="s">
        <v>2918</v>
      </c>
      <c r="B899" s="1">
        <v>45476</v>
      </c>
      <c r="C899">
        <f>YEAR(OrdersTable[[#This Row],[Order Date]])</f>
        <v>2024</v>
      </c>
      <c r="D899" s="2">
        <f>DATE(YEAR(OrdersTable[[#This Row],[Order Date]]),MONTH(OrdersTable[[#This Row],[Order Date]]),1)</f>
        <v>45474</v>
      </c>
      <c r="E899">
        <f>MONTH(OrdersTable[[#This Row],[Order Date]])</f>
        <v>7</v>
      </c>
      <c r="F899" t="s">
        <v>284</v>
      </c>
      <c r="G899" t="str">
        <f>IF(OrdersTable[[#This Row],[Order Date]]=_xlfn.MINIFS(Order_Date, Customer_ID, OrdersTable[[#This Row],[Customer ID]]), "New", "Repeat")</f>
        <v>New</v>
      </c>
      <c r="H899" t="s">
        <v>54</v>
      </c>
      <c r="I899" t="str">
        <f>INDEX(State!B:B,MATCH(OrdersTable[[#This Row],[State]],State!A:A,0))</f>
        <v>RJ</v>
      </c>
      <c r="J899" t="str">
        <f>INDEX(State!C:C,MATCH(OrdersTable[[#This Row],[State Code]],State!B:B,0))</f>
        <v>North</v>
      </c>
      <c r="K899" t="s">
        <v>55</v>
      </c>
      <c r="L899" t="s">
        <v>16</v>
      </c>
      <c r="M899" t="s">
        <v>205</v>
      </c>
      <c r="N899" t="str">
        <f>INDEX(Products!B:B,MATCH(OrdersTable[[#This Row],[Product ID]],Products!A:A,0))</f>
        <v>Running Shoes</v>
      </c>
      <c r="O899" t="str">
        <f>INDEX(Products!C:C,MATCH(OrdersTable[[#This Row],[Product ID]],Products!A:A,0))</f>
        <v>Footwear</v>
      </c>
      <c r="P899">
        <v>1</v>
      </c>
      <c r="Q899" s="5">
        <v>2999</v>
      </c>
      <c r="R899" s="74">
        <v>0.15</v>
      </c>
      <c r="S899" s="75">
        <f>OrdersTable[[#This Row],[Quantity]]*OrdersTable[[#This Row],[Unit Price]]</f>
        <v>2999</v>
      </c>
      <c r="T899" s="5">
        <f>OrdersTable[[#This Row],[Gross Sale]]*OrdersTable[[#This Row],[Discount_Clean2]]</f>
        <v>449.84999999999997</v>
      </c>
      <c r="U899" s="5">
        <f>OrdersTable[[#This Row],[Gross Sale]]-OrdersTable[[#This Row],[Discount Amount]]</f>
        <v>2549.15</v>
      </c>
      <c r="V899" s="77">
        <f>INDEX(Products!E:E,MATCH(OrdersTable[[#This Row],[Product ID]],Products!A:A,0))</f>
        <v>1440</v>
      </c>
      <c r="W899" s="77">
        <f>OrdersTable[[#This Row],[Quantity]]*OrdersTable[[#This Row],[Unit Cost]]</f>
        <v>1440</v>
      </c>
      <c r="X899" s="77">
        <f>'Dropdown Lists'!$I$2*(1+OrdersTable[[#This Row],[Returned]])</f>
        <v>60</v>
      </c>
      <c r="Y899" s="76">
        <f>OrdersTable[[#This Row],[Net Revenue]]-OrdersTable[[#This Row],[COGS]]-OrdersTable[[#This Row],[Shipping Cost]]</f>
        <v>1049.1500000000001</v>
      </c>
      <c r="Z899" s="78">
        <f>IFERROR(OrdersTable[[#This Row],[Profit]]/OrdersTable[[#This Row],[Net Revenue]],0)</f>
        <v>0.41156856206970954</v>
      </c>
      <c r="AA899" t="s">
        <v>2522</v>
      </c>
      <c r="AB899" s="79">
        <v>45480</v>
      </c>
      <c r="AC899">
        <f>OrdersTable[[#This Row],[Delivery Date]]-OrdersTable[[#This Row],[Order Date]]</f>
        <v>4</v>
      </c>
      <c r="AD899" t="str">
        <f>IF(OrdersTable[[#This Row],[Delivery Days]]&lt;=2, "Express (≤2d)", IF(OrdersTable[[#This Row],[Delivery Days]]&lt;=4, "Standard (3-4d)", "Delayed (5d+)"))</f>
        <v>Standard (3-4d)</v>
      </c>
      <c r="AF899">
        <v>0</v>
      </c>
    </row>
    <row r="900" spans="1:32" ht="15" x14ac:dyDescent="0.35">
      <c r="A900" t="s">
        <v>3540</v>
      </c>
      <c r="B900" s="1">
        <v>45476</v>
      </c>
      <c r="C900">
        <f>YEAR(OrdersTable[[#This Row],[Order Date]])</f>
        <v>2024</v>
      </c>
      <c r="D900" s="2">
        <f>DATE(YEAR(OrdersTable[[#This Row],[Order Date]]),MONTH(OrdersTable[[#This Row],[Order Date]]),1)</f>
        <v>45474</v>
      </c>
      <c r="E900">
        <f>MONTH(OrdersTable[[#This Row],[Order Date]])</f>
        <v>7</v>
      </c>
      <c r="F900" t="s">
        <v>3541</v>
      </c>
      <c r="G900" t="str">
        <f>IF(OrdersTable[[#This Row],[Order Date]]=_xlfn.MINIFS(Order_Date, Customer_ID, OrdersTable[[#This Row],[Customer ID]]), "New", "Repeat")</f>
        <v>New</v>
      </c>
      <c r="H900" t="s">
        <v>48</v>
      </c>
      <c r="I900" t="str">
        <f>INDEX(State!B:B,MATCH(OrdersTable[[#This Row],[State]],State!A:A,0))</f>
        <v>HR</v>
      </c>
      <c r="J900" t="str">
        <f>INDEX(State!C:C,MATCH(OrdersTable[[#This Row],[State Code]],State!B:B,0))</f>
        <v>North</v>
      </c>
      <c r="K900" t="s">
        <v>151</v>
      </c>
      <c r="L900" t="s">
        <v>50</v>
      </c>
      <c r="M900" t="s">
        <v>78</v>
      </c>
      <c r="N900" t="str">
        <f>INDEX(Products!B:B,MATCH(OrdersTable[[#This Row],[Product ID]],Products!A:A,0))</f>
        <v>Retinol Night Cream</v>
      </c>
      <c r="O900" t="str">
        <f>INDEX(Products!C:C,MATCH(OrdersTable[[#This Row],[Product ID]],Products!A:A,0))</f>
        <v>Skincare</v>
      </c>
      <c r="P900">
        <v>1</v>
      </c>
      <c r="Q900" s="5">
        <v>799</v>
      </c>
      <c r="R900" s="74">
        <v>0.1</v>
      </c>
      <c r="S900" s="75">
        <f>OrdersTable[[#This Row],[Quantity]]*OrdersTable[[#This Row],[Unit Price]]</f>
        <v>799</v>
      </c>
      <c r="T900" s="5">
        <f>OrdersTable[[#This Row],[Gross Sale]]*OrdersTable[[#This Row],[Discount_Clean2]]</f>
        <v>79.900000000000006</v>
      </c>
      <c r="U900" s="5">
        <f>OrdersTable[[#This Row],[Gross Sale]]-OrdersTable[[#This Row],[Discount Amount]]</f>
        <v>719.1</v>
      </c>
      <c r="V900" s="77">
        <f>INDEX(Products!E:E,MATCH(OrdersTable[[#This Row],[Product ID]],Products!A:A,0))</f>
        <v>216</v>
      </c>
      <c r="W900" s="77">
        <f>OrdersTable[[#This Row],[Quantity]]*OrdersTable[[#This Row],[Unit Cost]]</f>
        <v>216</v>
      </c>
      <c r="X900" s="77">
        <f>'Dropdown Lists'!$I$2*(1+OrdersTable[[#This Row],[Returned]])</f>
        <v>120</v>
      </c>
      <c r="Y900" s="76">
        <f>OrdersTable[[#This Row],[Net Revenue]]-OrdersTable[[#This Row],[COGS]]-OrdersTable[[#This Row],[Shipping Cost]]</f>
        <v>383.1</v>
      </c>
      <c r="Z900" s="78">
        <f>IFERROR(OrdersTable[[#This Row],[Profit]]/OrdersTable[[#This Row],[Net Revenue]],0)</f>
        <v>0.53274926992073424</v>
      </c>
      <c r="AA900" t="s">
        <v>3495</v>
      </c>
      <c r="AB900" s="79">
        <v>45477</v>
      </c>
      <c r="AC900">
        <f>OrdersTable[[#This Row],[Delivery Date]]-OrdersTable[[#This Row],[Order Date]]</f>
        <v>1</v>
      </c>
      <c r="AD900" t="str">
        <f>IF(OrdersTable[[#This Row],[Delivery Days]]&lt;=2, "Express (≤2d)", IF(OrdersTable[[#This Row],[Delivery Days]]&lt;=4, "Standard (3-4d)", "Delayed (5d+)"))</f>
        <v>Express (≤2d)</v>
      </c>
      <c r="AE900">
        <v>4</v>
      </c>
      <c r="AF900">
        <v>1</v>
      </c>
    </row>
    <row r="901" spans="1:32" ht="15" x14ac:dyDescent="0.35">
      <c r="A901" t="s">
        <v>6955</v>
      </c>
      <c r="B901" s="1">
        <v>45476</v>
      </c>
      <c r="C901">
        <f>YEAR(OrdersTable[[#This Row],[Order Date]])</f>
        <v>2024</v>
      </c>
      <c r="D901" s="2">
        <f>DATE(YEAR(OrdersTable[[#This Row],[Order Date]]),MONTH(OrdersTable[[#This Row],[Order Date]]),1)</f>
        <v>45474</v>
      </c>
      <c r="E901">
        <f>MONTH(OrdersTable[[#This Row],[Order Date]])</f>
        <v>7</v>
      </c>
      <c r="F901" t="s">
        <v>2984</v>
      </c>
      <c r="G901" t="str">
        <f>IF(OrdersTable[[#This Row],[Order Date]]=_xlfn.MINIFS(Order_Date, Customer_ID, OrdersTable[[#This Row],[Customer ID]]), "New", "Repeat")</f>
        <v>New</v>
      </c>
      <c r="H901" t="s">
        <v>32</v>
      </c>
      <c r="I901" t="str">
        <f>INDEX(State!B:B,MATCH(OrdersTable[[#This Row],[State]],State!A:A,0))</f>
        <v>BR</v>
      </c>
      <c r="J901" t="str">
        <f>INDEX(State!C:C,MATCH(OrdersTable[[#This Row],[State Code]],State!B:B,0))</f>
        <v>East</v>
      </c>
      <c r="K901" t="s">
        <v>33</v>
      </c>
      <c r="L901" t="s">
        <v>23</v>
      </c>
      <c r="M901" t="s">
        <v>173</v>
      </c>
      <c r="N901" t="str">
        <f>INDEX(Products!B:B,MATCH(OrdersTable[[#This Row],[Product ID]],Products!A:A,0))</f>
        <v>Wireless Earbuds</v>
      </c>
      <c r="O901" t="str">
        <f>INDEX(Products!C:C,MATCH(OrdersTable[[#This Row],[Product ID]],Products!A:A,0))</f>
        <v>Electronics</v>
      </c>
      <c r="P901">
        <v>4</v>
      </c>
      <c r="Q901" s="5">
        <v>1999</v>
      </c>
      <c r="R901" s="74">
        <v>0.35</v>
      </c>
      <c r="S901" s="75">
        <f>OrdersTable[[#This Row],[Quantity]]*OrdersTable[[#This Row],[Unit Price]]</f>
        <v>7996</v>
      </c>
      <c r="T901" s="5">
        <f>OrdersTable[[#This Row],[Gross Sale]]*OrdersTable[[#This Row],[Discount_Clean2]]</f>
        <v>2798.6</v>
      </c>
      <c r="U901" s="5">
        <f>OrdersTable[[#This Row],[Gross Sale]]-OrdersTable[[#This Row],[Discount Amount]]</f>
        <v>5197.3999999999996</v>
      </c>
      <c r="V901" s="77">
        <f>INDEX(Products!E:E,MATCH(OrdersTable[[#This Row],[Product ID]],Products!A:A,0))</f>
        <v>1239</v>
      </c>
      <c r="W901" s="77">
        <f>OrdersTable[[#This Row],[Quantity]]*OrdersTable[[#This Row],[Unit Cost]]</f>
        <v>4956</v>
      </c>
      <c r="X901" s="77">
        <f>'Dropdown Lists'!$I$2*(1+OrdersTable[[#This Row],[Returned]])</f>
        <v>60</v>
      </c>
      <c r="Y901" s="76">
        <f>OrdersTable[[#This Row],[Net Revenue]]-OrdersTable[[#This Row],[COGS]]-OrdersTable[[#This Row],[Shipping Cost]]</f>
        <v>181.39999999999964</v>
      </c>
      <c r="Z901" s="78">
        <f>IFERROR(OrdersTable[[#This Row],[Profit]]/OrdersTable[[#This Row],[Net Revenue]],0)</f>
        <v>3.4902066417824229E-2</v>
      </c>
      <c r="AA901" t="s">
        <v>2522</v>
      </c>
      <c r="AB901" s="79">
        <v>45484</v>
      </c>
      <c r="AC901">
        <f>OrdersTable[[#This Row],[Delivery Date]]-OrdersTable[[#This Row],[Order Date]]</f>
        <v>8</v>
      </c>
      <c r="AD901" t="str">
        <f>IF(OrdersTable[[#This Row],[Delivery Days]]&lt;=2, "Express (≤2d)", IF(OrdersTable[[#This Row],[Delivery Days]]&lt;=4, "Standard (3-4d)", "Delayed (5d+)"))</f>
        <v>Delayed (5d+)</v>
      </c>
      <c r="AE901">
        <v>3</v>
      </c>
      <c r="AF901">
        <v>0</v>
      </c>
    </row>
    <row r="902" spans="1:32" ht="15" x14ac:dyDescent="0.35">
      <c r="A902" t="s">
        <v>3542</v>
      </c>
      <c r="B902" s="1">
        <v>45476</v>
      </c>
      <c r="C902">
        <f>YEAR(OrdersTable[[#This Row],[Order Date]])</f>
        <v>2024</v>
      </c>
      <c r="D902" s="2">
        <f>DATE(YEAR(OrdersTable[[#This Row],[Order Date]]),MONTH(OrdersTable[[#This Row],[Order Date]]),1)</f>
        <v>45474</v>
      </c>
      <c r="E902">
        <f>MONTH(OrdersTable[[#This Row],[Order Date]])</f>
        <v>7</v>
      </c>
      <c r="F902" t="s">
        <v>321</v>
      </c>
      <c r="G902" t="str">
        <f>IF(OrdersTable[[#This Row],[Order Date]]=_xlfn.MINIFS(Order_Date, Customer_ID, OrdersTable[[#This Row],[Customer ID]]), "New", "Repeat")</f>
        <v>New</v>
      </c>
      <c r="H902" t="s">
        <v>95</v>
      </c>
      <c r="I902" t="str">
        <f>INDEX(State!B:B,MATCH(OrdersTable[[#This Row],[State]],State!A:A,0))</f>
        <v>TG</v>
      </c>
      <c r="J902" t="str">
        <f>INDEX(State!C:C,MATCH(OrdersTable[[#This Row],[State Code]],State!B:B,0))</f>
        <v>South</v>
      </c>
      <c r="K902" t="s">
        <v>96</v>
      </c>
      <c r="L902" t="s">
        <v>39</v>
      </c>
      <c r="M902" t="s">
        <v>160</v>
      </c>
      <c r="N902" t="str">
        <f>INDEX(Products!B:B,MATCH(OrdersTable[[#This Row],[Product ID]],Products!A:A,0))</f>
        <v>Niacinamide Toner</v>
      </c>
      <c r="O902" t="str">
        <f>INDEX(Products!C:C,MATCH(OrdersTable[[#This Row],[Product ID]],Products!A:A,0))</f>
        <v>Skincare</v>
      </c>
      <c r="P902">
        <v>1</v>
      </c>
      <c r="Q902" s="5">
        <v>399</v>
      </c>
      <c r="R902" s="74">
        <v>0.15</v>
      </c>
      <c r="S902" s="75">
        <f>OrdersTable[[#This Row],[Quantity]]*OrdersTable[[#This Row],[Unit Price]]</f>
        <v>399</v>
      </c>
      <c r="T902" s="5">
        <f>OrdersTable[[#This Row],[Gross Sale]]*OrdersTable[[#This Row],[Discount_Clean2]]</f>
        <v>59.849999999999994</v>
      </c>
      <c r="U902" s="5">
        <f>OrdersTable[[#This Row],[Gross Sale]]-OrdersTable[[#This Row],[Discount Amount]]</f>
        <v>339.15</v>
      </c>
      <c r="V902" s="77">
        <f>INDEX(Products!E:E,MATCH(OrdersTable[[#This Row],[Product ID]],Products!A:A,0))</f>
        <v>112</v>
      </c>
      <c r="W902" s="77">
        <f>OrdersTable[[#This Row],[Quantity]]*OrdersTable[[#This Row],[Unit Cost]]</f>
        <v>112</v>
      </c>
      <c r="X902" s="77">
        <f>'Dropdown Lists'!$I$2*(1+OrdersTable[[#This Row],[Returned]])</f>
        <v>60</v>
      </c>
      <c r="Y902" s="76">
        <f>OrdersTable[[#This Row],[Net Revenue]]-OrdersTable[[#This Row],[COGS]]-OrdersTable[[#This Row],[Shipping Cost]]</f>
        <v>167.14999999999998</v>
      </c>
      <c r="Z902" s="78">
        <f>IFERROR(OrdersTable[[#This Row],[Profit]]/OrdersTable[[#This Row],[Net Revenue]],0)</f>
        <v>0.49284977148754233</v>
      </c>
      <c r="AA902" t="s">
        <v>3495</v>
      </c>
      <c r="AB902" s="79">
        <v>45481</v>
      </c>
      <c r="AC902">
        <f>OrdersTable[[#This Row],[Delivery Date]]-OrdersTable[[#This Row],[Order Date]]</f>
        <v>5</v>
      </c>
      <c r="AD902" t="str">
        <f>IF(OrdersTable[[#This Row],[Delivery Days]]&lt;=2, "Express (≤2d)", IF(OrdersTable[[#This Row],[Delivery Days]]&lt;=4, "Standard (3-4d)", "Delayed (5d+)"))</f>
        <v>Delayed (5d+)</v>
      </c>
      <c r="AE902">
        <v>4</v>
      </c>
      <c r="AF902">
        <v>0</v>
      </c>
    </row>
    <row r="903" spans="1:32" ht="15" x14ac:dyDescent="0.35">
      <c r="A903" t="s">
        <v>1350</v>
      </c>
      <c r="B903" s="1">
        <v>45477</v>
      </c>
      <c r="C903">
        <f>YEAR(OrdersTable[[#This Row],[Order Date]])</f>
        <v>2024</v>
      </c>
      <c r="D903" s="2">
        <f>DATE(YEAR(OrdersTable[[#This Row],[Order Date]]),MONTH(OrdersTable[[#This Row],[Order Date]]),1)</f>
        <v>45474</v>
      </c>
      <c r="E903">
        <f>MONTH(OrdersTable[[#This Row],[Order Date]])</f>
        <v>7</v>
      </c>
      <c r="F903" t="s">
        <v>234</v>
      </c>
      <c r="G903" t="str">
        <f>IF(OrdersTable[[#This Row],[Order Date]]=_xlfn.MINIFS(Order_Date, Customer_ID, OrdersTable[[#This Row],[Customer ID]]), "New", "Repeat")</f>
        <v>Repeat</v>
      </c>
      <c r="H903" t="s">
        <v>54</v>
      </c>
      <c r="I903" t="str">
        <f>INDEX(State!B:B,MATCH(OrdersTable[[#This Row],[State]],State!A:A,0))</f>
        <v>RJ</v>
      </c>
      <c r="J903" t="str">
        <f>INDEX(State!C:C,MATCH(OrdersTable[[#This Row],[State Code]],State!B:B,0))</f>
        <v>North</v>
      </c>
      <c r="K903" t="s">
        <v>227</v>
      </c>
      <c r="L903" t="s">
        <v>23</v>
      </c>
      <c r="M903" t="s">
        <v>66</v>
      </c>
      <c r="N903" t="str">
        <f>INDEX(Products!B:B,MATCH(OrdersTable[[#This Row],[Product ID]],Products!A:A,0))</f>
        <v>Sunscreen SPF 50</v>
      </c>
      <c r="O903" t="str">
        <f>INDEX(Products!C:C,MATCH(OrdersTable[[#This Row],[Product ID]],Products!A:A,0))</f>
        <v>Skincare</v>
      </c>
      <c r="P903">
        <v>1</v>
      </c>
      <c r="Q903" s="5">
        <v>449</v>
      </c>
      <c r="R903" s="74">
        <v>0.15</v>
      </c>
      <c r="S903" s="75">
        <f>OrdersTable[[#This Row],[Quantity]]*OrdersTable[[#This Row],[Unit Price]]</f>
        <v>449</v>
      </c>
      <c r="T903" s="5">
        <f>OrdersTable[[#This Row],[Gross Sale]]*OrdersTable[[#This Row],[Discount_Clean2]]</f>
        <v>67.349999999999994</v>
      </c>
      <c r="U903" s="5">
        <f>OrdersTable[[#This Row],[Gross Sale]]-OrdersTable[[#This Row],[Discount Amount]]</f>
        <v>381.65</v>
      </c>
      <c r="V903" s="77">
        <f>INDEX(Products!E:E,MATCH(OrdersTable[[#This Row],[Product ID]],Products!A:A,0))</f>
        <v>144</v>
      </c>
      <c r="W903" s="77">
        <f>OrdersTable[[#This Row],[Quantity]]*OrdersTable[[#This Row],[Unit Cost]]</f>
        <v>144</v>
      </c>
      <c r="X903" s="77">
        <f>'Dropdown Lists'!$I$2*(1+OrdersTable[[#This Row],[Returned]])</f>
        <v>60</v>
      </c>
      <c r="Y903" s="76">
        <f>OrdersTable[[#This Row],[Net Revenue]]-OrdersTable[[#This Row],[COGS]]-OrdersTable[[#This Row],[Shipping Cost]]</f>
        <v>177.64999999999998</v>
      </c>
      <c r="Z903" s="78">
        <f>IFERROR(OrdersTable[[#This Row],[Profit]]/OrdersTable[[#This Row],[Net Revenue]],0)</f>
        <v>0.465478841870824</v>
      </c>
      <c r="AA903" t="s">
        <v>18</v>
      </c>
      <c r="AB903" s="79">
        <v>45482</v>
      </c>
      <c r="AC903">
        <f>OrdersTable[[#This Row],[Delivery Date]]-OrdersTable[[#This Row],[Order Date]]</f>
        <v>5</v>
      </c>
      <c r="AD903" t="str">
        <f>IF(OrdersTable[[#This Row],[Delivery Days]]&lt;=2, "Express (≤2d)", IF(OrdersTable[[#This Row],[Delivery Days]]&lt;=4, "Standard (3-4d)", "Delayed (5d+)"))</f>
        <v>Delayed (5d+)</v>
      </c>
      <c r="AF903">
        <v>0</v>
      </c>
    </row>
    <row r="904" spans="1:32" ht="15" x14ac:dyDescent="0.35">
      <c r="A904" t="s">
        <v>1867</v>
      </c>
      <c r="B904" s="1">
        <v>45477</v>
      </c>
      <c r="C904">
        <f>YEAR(OrdersTable[[#This Row],[Order Date]])</f>
        <v>2024</v>
      </c>
      <c r="D904" s="2">
        <f>DATE(YEAR(OrdersTable[[#This Row],[Order Date]]),MONTH(OrdersTable[[#This Row],[Order Date]]),1)</f>
        <v>45474</v>
      </c>
      <c r="E904">
        <f>MONTH(OrdersTable[[#This Row],[Order Date]])</f>
        <v>7</v>
      </c>
      <c r="F904" t="s">
        <v>1868</v>
      </c>
      <c r="G904" t="str">
        <f>IF(OrdersTable[[#This Row],[Order Date]]=_xlfn.MINIFS(Order_Date, Customer_ID, OrdersTable[[#This Row],[Customer ID]]), "New", "Repeat")</f>
        <v>New</v>
      </c>
      <c r="H904" t="s">
        <v>54</v>
      </c>
      <c r="I904" t="str">
        <f>INDEX(State!B:B,MATCH(OrdersTable[[#This Row],[State]],State!A:A,0))</f>
        <v>RJ</v>
      </c>
      <c r="J904" t="str">
        <f>INDEX(State!C:C,MATCH(OrdersTable[[#This Row],[State Code]],State!B:B,0))</f>
        <v>North</v>
      </c>
      <c r="K904" t="s">
        <v>227</v>
      </c>
      <c r="L904" t="s">
        <v>23</v>
      </c>
      <c r="M904" t="s">
        <v>228</v>
      </c>
      <c r="N904" t="str">
        <f>INDEX(Products!B:B,MATCH(OrdersTable[[#This Row],[Product ID]],Products!A:A,0))</f>
        <v>Fast Charger 33W</v>
      </c>
      <c r="O904" t="str">
        <f>INDEX(Products!C:C,MATCH(OrdersTable[[#This Row],[Product ID]],Products!A:A,0))</f>
        <v>Electronics</v>
      </c>
      <c r="P904">
        <v>1</v>
      </c>
      <c r="Q904" s="5">
        <v>899</v>
      </c>
      <c r="R904" s="74">
        <v>0.05</v>
      </c>
      <c r="S904" s="75">
        <f>OrdersTable[[#This Row],[Quantity]]*OrdersTable[[#This Row],[Unit Price]]</f>
        <v>899</v>
      </c>
      <c r="T904" s="5">
        <f>OrdersTable[[#This Row],[Gross Sale]]*OrdersTable[[#This Row],[Discount_Clean2]]</f>
        <v>44.95</v>
      </c>
      <c r="U904" s="5">
        <f>OrdersTable[[#This Row],[Gross Sale]]-OrdersTable[[#This Row],[Discount Amount]]</f>
        <v>854.05</v>
      </c>
      <c r="V904" s="77">
        <f>INDEX(Products!E:E,MATCH(OrdersTable[[#This Row],[Product ID]],Products!A:A,0))</f>
        <v>494</v>
      </c>
      <c r="W904" s="77">
        <f>OrdersTable[[#This Row],[Quantity]]*OrdersTable[[#This Row],[Unit Cost]]</f>
        <v>494</v>
      </c>
      <c r="X904" s="77">
        <f>'Dropdown Lists'!$I$2*(1+OrdersTable[[#This Row],[Returned]])</f>
        <v>60</v>
      </c>
      <c r="Y904" s="76">
        <f>OrdersTable[[#This Row],[Net Revenue]]-OrdersTable[[#This Row],[COGS]]-OrdersTable[[#This Row],[Shipping Cost]]</f>
        <v>300.04999999999995</v>
      </c>
      <c r="Z904" s="78">
        <f>IFERROR(OrdersTable[[#This Row],[Profit]]/OrdersTable[[#This Row],[Net Revenue]],0)</f>
        <v>0.35132603477548152</v>
      </c>
      <c r="AA904" t="s">
        <v>18</v>
      </c>
      <c r="AB904" s="79">
        <v>45482</v>
      </c>
      <c r="AC904">
        <f>OrdersTable[[#This Row],[Delivery Date]]-OrdersTable[[#This Row],[Order Date]]</f>
        <v>5</v>
      </c>
      <c r="AD904" t="str">
        <f>IF(OrdersTable[[#This Row],[Delivery Days]]&lt;=2, "Express (≤2d)", IF(OrdersTable[[#This Row],[Delivery Days]]&lt;=4, "Standard (3-4d)", "Delayed (5d+)"))</f>
        <v>Delayed (5d+)</v>
      </c>
      <c r="AE904">
        <v>3</v>
      </c>
      <c r="AF904">
        <v>0</v>
      </c>
    </row>
    <row r="905" spans="1:32" ht="15" x14ac:dyDescent="0.35">
      <c r="A905" t="s">
        <v>140</v>
      </c>
      <c r="B905" s="1">
        <v>45477</v>
      </c>
      <c r="C905">
        <f>YEAR(OrdersTable[[#This Row],[Order Date]])</f>
        <v>2024</v>
      </c>
      <c r="D905" s="2">
        <f>DATE(YEAR(OrdersTable[[#This Row],[Order Date]]),MONTH(OrdersTable[[#This Row],[Order Date]]),1)</f>
        <v>45474</v>
      </c>
      <c r="E905">
        <f>MONTH(OrdersTable[[#This Row],[Order Date]])</f>
        <v>7</v>
      </c>
      <c r="F905" t="s">
        <v>141</v>
      </c>
      <c r="G905" t="str">
        <f>IF(OrdersTable[[#This Row],[Order Date]]=_xlfn.MINIFS(Order_Date, Customer_ID, OrdersTable[[#This Row],[Customer ID]]), "New", "Repeat")</f>
        <v>Repeat</v>
      </c>
      <c r="H905" t="s">
        <v>71</v>
      </c>
      <c r="I905" t="str">
        <f>INDEX(State!B:B,MATCH(OrdersTable[[#This Row],[State]],State!A:A,0))</f>
        <v>MH</v>
      </c>
      <c r="J905" t="str">
        <f>INDEX(State!C:C,MATCH(OrdersTable[[#This Row],[State Code]],State!B:B,0))</f>
        <v>West</v>
      </c>
      <c r="K905" t="s">
        <v>72</v>
      </c>
      <c r="L905" t="s">
        <v>39</v>
      </c>
      <c r="M905" t="s">
        <v>24</v>
      </c>
      <c r="N905" t="str">
        <f>INDEX(Products!B:B,MATCH(OrdersTable[[#This Row],[Product ID]],Products!A:A,0))</f>
        <v>Scented Candle Set</v>
      </c>
      <c r="O905" t="str">
        <f>INDEX(Products!C:C,MATCH(OrdersTable[[#This Row],[Product ID]],Products!A:A,0))</f>
        <v>Home &amp; Kitchen</v>
      </c>
      <c r="P905">
        <v>1</v>
      </c>
      <c r="Q905" s="5">
        <v>699</v>
      </c>
      <c r="R905" s="74">
        <v>0.2</v>
      </c>
      <c r="S905" s="75">
        <f>OrdersTable[[#This Row],[Quantity]]*OrdersTable[[#This Row],[Unit Price]]</f>
        <v>699</v>
      </c>
      <c r="T905" s="5">
        <f>OrdersTable[[#This Row],[Gross Sale]]*OrdersTable[[#This Row],[Discount_Clean2]]</f>
        <v>139.80000000000001</v>
      </c>
      <c r="U905" s="5">
        <f>OrdersTable[[#This Row],[Gross Sale]]-OrdersTable[[#This Row],[Discount Amount]]</f>
        <v>559.20000000000005</v>
      </c>
      <c r="V905" s="77">
        <f>INDEX(Products!E:E,MATCH(OrdersTable[[#This Row],[Product ID]],Products!A:A,0))</f>
        <v>245</v>
      </c>
      <c r="W905" s="77">
        <f>OrdersTable[[#This Row],[Quantity]]*OrdersTable[[#This Row],[Unit Cost]]</f>
        <v>245</v>
      </c>
      <c r="X905" s="77">
        <f>'Dropdown Lists'!$I$2*(1+OrdersTable[[#This Row],[Returned]])</f>
        <v>60</v>
      </c>
      <c r="Y905" s="76">
        <f>OrdersTable[[#This Row],[Net Revenue]]-OrdersTable[[#This Row],[COGS]]-OrdersTable[[#This Row],[Shipping Cost]]</f>
        <v>254.20000000000005</v>
      </c>
      <c r="Z905" s="78">
        <f>IFERROR(OrdersTable[[#This Row],[Profit]]/OrdersTable[[#This Row],[Net Revenue]],0)</f>
        <v>0.45457796852646642</v>
      </c>
      <c r="AA905" t="s">
        <v>18</v>
      </c>
      <c r="AB905" s="79">
        <v>45480</v>
      </c>
      <c r="AC905">
        <f>OrdersTable[[#This Row],[Delivery Date]]-OrdersTable[[#This Row],[Order Date]]</f>
        <v>3</v>
      </c>
      <c r="AD905" t="str">
        <f>IF(OrdersTable[[#This Row],[Delivery Days]]&lt;=2, "Express (≤2d)", IF(OrdersTable[[#This Row],[Delivery Days]]&lt;=4, "Standard (3-4d)", "Delayed (5d+)"))</f>
        <v>Standard (3-4d)</v>
      </c>
      <c r="AE905">
        <v>4</v>
      </c>
      <c r="AF905">
        <v>0</v>
      </c>
    </row>
    <row r="906" spans="1:32" ht="15" x14ac:dyDescent="0.35">
      <c r="A906" t="s">
        <v>5330</v>
      </c>
      <c r="B906" s="1">
        <v>45477</v>
      </c>
      <c r="C906">
        <f>YEAR(OrdersTable[[#This Row],[Order Date]])</f>
        <v>2024</v>
      </c>
      <c r="D906" s="2">
        <f>DATE(YEAR(OrdersTable[[#This Row],[Order Date]]),MONTH(OrdersTable[[#This Row],[Order Date]]),1)</f>
        <v>45474</v>
      </c>
      <c r="E906">
        <f>MONTH(OrdersTable[[#This Row],[Order Date]])</f>
        <v>7</v>
      </c>
      <c r="F906" t="s">
        <v>4326</v>
      </c>
      <c r="G906" t="str">
        <f>IF(OrdersTable[[#This Row],[Order Date]]=_xlfn.MINIFS(Order_Date, Customer_ID, OrdersTable[[#This Row],[Customer ID]]), "New", "Repeat")</f>
        <v>Repeat</v>
      </c>
      <c r="H906" t="s">
        <v>167</v>
      </c>
      <c r="I906" t="str">
        <f>INDEX(State!B:B,MATCH(OrdersTable[[#This Row],[State]],State!A:A,0))</f>
        <v>KA</v>
      </c>
      <c r="J906" t="str">
        <f>INDEX(State!C:C,MATCH(OrdersTable[[#This Row],[State Code]],State!B:B,0))</f>
        <v>South</v>
      </c>
      <c r="K906" t="s">
        <v>190</v>
      </c>
      <c r="L906" t="s">
        <v>65</v>
      </c>
      <c r="M906" t="s">
        <v>24</v>
      </c>
      <c r="N906" t="str">
        <f>INDEX(Products!B:B,MATCH(OrdersTable[[#This Row],[Product ID]],Products!A:A,0))</f>
        <v>Scented Candle Set</v>
      </c>
      <c r="O906" t="str">
        <f>INDEX(Products!C:C,MATCH(OrdersTable[[#This Row],[Product ID]],Products!A:A,0))</f>
        <v>Home &amp; Kitchen</v>
      </c>
      <c r="P906">
        <v>2</v>
      </c>
      <c r="Q906" s="5">
        <v>699</v>
      </c>
      <c r="R906" s="74">
        <v>0.2</v>
      </c>
      <c r="S906" s="75">
        <f>OrdersTable[[#This Row],[Quantity]]*OrdersTable[[#This Row],[Unit Price]]</f>
        <v>1398</v>
      </c>
      <c r="T906" s="5">
        <f>OrdersTable[[#This Row],[Gross Sale]]*OrdersTable[[#This Row],[Discount_Clean2]]</f>
        <v>279.60000000000002</v>
      </c>
      <c r="U906" s="5">
        <f>OrdersTable[[#This Row],[Gross Sale]]-OrdersTable[[#This Row],[Discount Amount]]</f>
        <v>1118.4000000000001</v>
      </c>
      <c r="V906" s="77">
        <f>INDEX(Products!E:E,MATCH(OrdersTable[[#This Row],[Product ID]],Products!A:A,0))</f>
        <v>245</v>
      </c>
      <c r="W906" s="77">
        <f>OrdersTable[[#This Row],[Quantity]]*OrdersTable[[#This Row],[Unit Cost]]</f>
        <v>490</v>
      </c>
      <c r="X906" s="77">
        <f>'Dropdown Lists'!$I$2*(1+OrdersTable[[#This Row],[Returned]])</f>
        <v>60</v>
      </c>
      <c r="Y906" s="76">
        <f>OrdersTable[[#This Row],[Net Revenue]]-OrdersTable[[#This Row],[COGS]]-OrdersTable[[#This Row],[Shipping Cost]]</f>
        <v>568.40000000000009</v>
      </c>
      <c r="Z906" s="78">
        <f>IFERROR(OrdersTable[[#This Row],[Profit]]/OrdersTable[[#This Row],[Net Revenue]],0)</f>
        <v>0.50822603719599435</v>
      </c>
      <c r="AA906" t="s">
        <v>2522</v>
      </c>
      <c r="AB906" s="79">
        <v>45480</v>
      </c>
      <c r="AC906">
        <f>OrdersTable[[#This Row],[Delivery Date]]-OrdersTable[[#This Row],[Order Date]]</f>
        <v>3</v>
      </c>
      <c r="AD906" t="str">
        <f>IF(OrdersTable[[#This Row],[Delivery Days]]&lt;=2, "Express (≤2d)", IF(OrdersTable[[#This Row],[Delivery Days]]&lt;=4, "Standard (3-4d)", "Delayed (5d+)"))</f>
        <v>Standard (3-4d)</v>
      </c>
      <c r="AE906">
        <v>5</v>
      </c>
      <c r="AF906">
        <v>0</v>
      </c>
    </row>
    <row r="907" spans="1:32" ht="15" x14ac:dyDescent="0.35">
      <c r="A907" t="s">
        <v>5764</v>
      </c>
      <c r="B907" s="1">
        <v>45477</v>
      </c>
      <c r="C907">
        <f>YEAR(OrdersTable[[#This Row],[Order Date]])</f>
        <v>2024</v>
      </c>
      <c r="D907" s="2">
        <f>DATE(YEAR(OrdersTable[[#This Row],[Order Date]]),MONTH(OrdersTable[[#This Row],[Order Date]]),1)</f>
        <v>45474</v>
      </c>
      <c r="E907">
        <f>MONTH(OrdersTable[[#This Row],[Order Date]])</f>
        <v>7</v>
      </c>
      <c r="F907" t="s">
        <v>5765</v>
      </c>
      <c r="G907" t="str">
        <f>IF(OrdersTable[[#This Row],[Order Date]]=_xlfn.MINIFS(Order_Date, Customer_ID, OrdersTable[[#This Row],[Customer ID]]), "New", "Repeat")</f>
        <v>Repeat</v>
      </c>
      <c r="H907" t="s">
        <v>275</v>
      </c>
      <c r="I907" t="str">
        <f>INDEX(State!B:B,MATCH(OrdersTable[[#This Row],[State]],State!A:A,0))</f>
        <v>AP</v>
      </c>
      <c r="J907" t="str">
        <f>INDEX(State!C:C,MATCH(OrdersTable[[#This Row],[State Code]],State!B:B,0))</f>
        <v>South</v>
      </c>
      <c r="K907" t="s">
        <v>276</v>
      </c>
      <c r="L907" t="s">
        <v>65</v>
      </c>
      <c r="M907" t="s">
        <v>66</v>
      </c>
      <c r="N907" t="str">
        <f>INDEX(Products!B:B,MATCH(OrdersTable[[#This Row],[Product ID]],Products!A:A,0))</f>
        <v>Sunscreen SPF 50</v>
      </c>
      <c r="O907" t="str">
        <f>INDEX(Products!C:C,MATCH(OrdersTable[[#This Row],[Product ID]],Products!A:A,0))</f>
        <v>Skincare</v>
      </c>
      <c r="P907">
        <v>2</v>
      </c>
      <c r="Q907" s="5">
        <v>449</v>
      </c>
      <c r="R907" s="74">
        <v>0.1</v>
      </c>
      <c r="S907" s="75">
        <f>OrdersTable[[#This Row],[Quantity]]*OrdersTable[[#This Row],[Unit Price]]</f>
        <v>898</v>
      </c>
      <c r="T907" s="5">
        <f>OrdersTable[[#This Row],[Gross Sale]]*OrdersTable[[#This Row],[Discount_Clean2]]</f>
        <v>89.800000000000011</v>
      </c>
      <c r="U907" s="5">
        <f>OrdersTable[[#This Row],[Gross Sale]]-OrdersTable[[#This Row],[Discount Amount]]</f>
        <v>808.2</v>
      </c>
      <c r="V907" s="77">
        <f>INDEX(Products!E:E,MATCH(OrdersTable[[#This Row],[Product ID]],Products!A:A,0))</f>
        <v>144</v>
      </c>
      <c r="W907" s="77">
        <f>OrdersTable[[#This Row],[Quantity]]*OrdersTable[[#This Row],[Unit Cost]]</f>
        <v>288</v>
      </c>
      <c r="X907" s="77">
        <f>'Dropdown Lists'!$I$2*(1+OrdersTable[[#This Row],[Returned]])</f>
        <v>60</v>
      </c>
      <c r="Y907" s="76">
        <f>OrdersTable[[#This Row],[Net Revenue]]-OrdersTable[[#This Row],[COGS]]-OrdersTable[[#This Row],[Shipping Cost]]</f>
        <v>460.20000000000005</v>
      </c>
      <c r="Z907" s="78">
        <f>IFERROR(OrdersTable[[#This Row],[Profit]]/OrdersTable[[#This Row],[Net Revenue]],0)</f>
        <v>0.56941351150705277</v>
      </c>
      <c r="AA907" t="s">
        <v>18</v>
      </c>
      <c r="AB907" s="79">
        <v>45481</v>
      </c>
      <c r="AC907">
        <f>OrdersTable[[#This Row],[Delivery Date]]-OrdersTable[[#This Row],[Order Date]]</f>
        <v>4</v>
      </c>
      <c r="AD907" t="str">
        <f>IF(OrdersTable[[#This Row],[Delivery Days]]&lt;=2, "Express (≤2d)", IF(OrdersTable[[#This Row],[Delivery Days]]&lt;=4, "Standard (3-4d)", "Delayed (5d+)"))</f>
        <v>Standard (3-4d)</v>
      </c>
      <c r="AE907">
        <v>5</v>
      </c>
      <c r="AF907">
        <v>0</v>
      </c>
    </row>
    <row r="908" spans="1:32" ht="15" x14ac:dyDescent="0.35">
      <c r="A908" t="s">
        <v>4667</v>
      </c>
      <c r="B908" s="1">
        <v>45478</v>
      </c>
      <c r="C908">
        <f>YEAR(OrdersTable[[#This Row],[Order Date]])</f>
        <v>2024</v>
      </c>
      <c r="D908" s="2">
        <f>DATE(YEAR(OrdersTable[[#This Row],[Order Date]]),MONTH(OrdersTable[[#This Row],[Order Date]]),1)</f>
        <v>45474</v>
      </c>
      <c r="E908">
        <f>MONTH(OrdersTable[[#This Row],[Order Date]])</f>
        <v>7</v>
      </c>
      <c r="F908" t="s">
        <v>4668</v>
      </c>
      <c r="G908" t="str">
        <f>IF(OrdersTable[[#This Row],[Order Date]]=_xlfn.MINIFS(Order_Date, Customer_ID, OrdersTable[[#This Row],[Customer ID]]), "New", "Repeat")</f>
        <v>New</v>
      </c>
      <c r="H908" t="s">
        <v>43</v>
      </c>
      <c r="I908" t="str">
        <f>INDEX(State!B:B,MATCH(OrdersTable[[#This Row],[State]],State!A:A,0))</f>
        <v>MP</v>
      </c>
      <c r="J908" t="str">
        <f>INDEX(State!C:C,MATCH(OrdersTable[[#This Row],[State Code]],State!B:B,0))</f>
        <v>West</v>
      </c>
      <c r="K908" t="s">
        <v>250</v>
      </c>
      <c r="L908" t="s">
        <v>65</v>
      </c>
      <c r="M908" t="s">
        <v>92</v>
      </c>
      <c r="N908" t="str">
        <f>INDEX(Products!B:B,MATCH(OrdersTable[[#This Row],[Product ID]],Products!A:A,0))</f>
        <v>Kolhapuri Sandals</v>
      </c>
      <c r="O908" t="str">
        <f>INDEX(Products!C:C,MATCH(OrdersTable[[#This Row],[Product ID]],Products!A:A,0))</f>
        <v>Footwear</v>
      </c>
      <c r="P908">
        <v>1</v>
      </c>
      <c r="Q908" s="5">
        <v>999</v>
      </c>
      <c r="R908" s="74">
        <v>0.05</v>
      </c>
      <c r="S908" s="75">
        <f>OrdersTable[[#This Row],[Quantity]]*OrdersTable[[#This Row],[Unit Price]]</f>
        <v>999</v>
      </c>
      <c r="T908" s="5">
        <f>OrdersTable[[#This Row],[Gross Sale]]*OrdersTable[[#This Row],[Discount_Clean2]]</f>
        <v>49.95</v>
      </c>
      <c r="U908" s="5">
        <f>OrdersTable[[#This Row],[Gross Sale]]-OrdersTable[[#This Row],[Discount Amount]]</f>
        <v>949.05</v>
      </c>
      <c r="V908" s="77">
        <f>INDEX(Products!E:E,MATCH(OrdersTable[[#This Row],[Product ID]],Products!A:A,0))</f>
        <v>400</v>
      </c>
      <c r="W908" s="77">
        <f>OrdersTable[[#This Row],[Quantity]]*OrdersTable[[#This Row],[Unit Cost]]</f>
        <v>400</v>
      </c>
      <c r="X908" s="77">
        <f>'Dropdown Lists'!$I$2*(1+OrdersTable[[#This Row],[Returned]])</f>
        <v>60</v>
      </c>
      <c r="Y908" s="76">
        <f>OrdersTable[[#This Row],[Net Revenue]]-OrdersTable[[#This Row],[COGS]]-OrdersTable[[#This Row],[Shipping Cost]]</f>
        <v>489.04999999999995</v>
      </c>
      <c r="Z908" s="78">
        <f>IFERROR(OrdersTable[[#This Row],[Profit]]/OrdersTable[[#This Row],[Net Revenue]],0)</f>
        <v>0.5153047784626732</v>
      </c>
      <c r="AA908" t="s">
        <v>4450</v>
      </c>
      <c r="AB908" s="79">
        <v>45482</v>
      </c>
      <c r="AC908">
        <f>OrdersTable[[#This Row],[Delivery Date]]-OrdersTable[[#This Row],[Order Date]]</f>
        <v>4</v>
      </c>
      <c r="AD908" t="str">
        <f>IF(OrdersTable[[#This Row],[Delivery Days]]&lt;=2, "Express (≤2d)", IF(OrdersTable[[#This Row],[Delivery Days]]&lt;=4, "Standard (3-4d)", "Delayed (5d+)"))</f>
        <v>Standard (3-4d)</v>
      </c>
      <c r="AE908">
        <v>3</v>
      </c>
      <c r="AF908">
        <v>0</v>
      </c>
    </row>
    <row r="909" spans="1:32" ht="15" x14ac:dyDescent="0.35">
      <c r="A909" t="s">
        <v>3543</v>
      </c>
      <c r="B909" s="1">
        <v>45478</v>
      </c>
      <c r="C909">
        <f>YEAR(OrdersTable[[#This Row],[Order Date]])</f>
        <v>2024</v>
      </c>
      <c r="D909" s="2">
        <f>DATE(YEAR(OrdersTable[[#This Row],[Order Date]]),MONTH(OrdersTable[[#This Row],[Order Date]]),1)</f>
        <v>45474</v>
      </c>
      <c r="E909">
        <f>MONTH(OrdersTable[[#This Row],[Order Date]])</f>
        <v>7</v>
      </c>
      <c r="F909" t="s">
        <v>1332</v>
      </c>
      <c r="G909" t="str">
        <f>IF(OrdersTable[[#This Row],[Order Date]]=_xlfn.MINIFS(Order_Date, Customer_ID, OrdersTable[[#This Row],[Customer ID]]), "New", "Repeat")</f>
        <v>Repeat</v>
      </c>
      <c r="H909" t="s">
        <v>167</v>
      </c>
      <c r="I909" t="str">
        <f>INDEX(State!B:B,MATCH(OrdersTable[[#This Row],[State]],State!A:A,0))</f>
        <v>KA</v>
      </c>
      <c r="J909" t="str">
        <f>INDEX(State!C:C,MATCH(OrdersTable[[#This Row],[State Code]],State!B:B,0))</f>
        <v>South</v>
      </c>
      <c r="K909" t="s">
        <v>190</v>
      </c>
      <c r="L909" t="s">
        <v>65</v>
      </c>
      <c r="M909" t="s">
        <v>228</v>
      </c>
      <c r="N909" t="str">
        <f>INDEX(Products!B:B,MATCH(OrdersTable[[#This Row],[Product ID]],Products!A:A,0))</f>
        <v>Fast Charger 33W</v>
      </c>
      <c r="O909" t="str">
        <f>INDEX(Products!C:C,MATCH(OrdersTable[[#This Row],[Product ID]],Products!A:A,0))</f>
        <v>Electronics</v>
      </c>
      <c r="P909">
        <v>1</v>
      </c>
      <c r="Q909" s="5">
        <v>899</v>
      </c>
      <c r="R909" s="74">
        <v>0.05</v>
      </c>
      <c r="S909" s="75">
        <f>OrdersTable[[#This Row],[Quantity]]*OrdersTable[[#This Row],[Unit Price]]</f>
        <v>899</v>
      </c>
      <c r="T909" s="5">
        <f>OrdersTable[[#This Row],[Gross Sale]]*OrdersTable[[#This Row],[Discount_Clean2]]</f>
        <v>44.95</v>
      </c>
      <c r="U909" s="5">
        <f>OrdersTable[[#This Row],[Gross Sale]]-OrdersTable[[#This Row],[Discount Amount]]</f>
        <v>854.05</v>
      </c>
      <c r="V909" s="77">
        <f>INDEX(Products!E:E,MATCH(OrdersTable[[#This Row],[Product ID]],Products!A:A,0))</f>
        <v>494</v>
      </c>
      <c r="W909" s="77">
        <f>OrdersTable[[#This Row],[Quantity]]*OrdersTable[[#This Row],[Unit Cost]]</f>
        <v>494</v>
      </c>
      <c r="X909" s="77">
        <f>'Dropdown Lists'!$I$2*(1+OrdersTable[[#This Row],[Returned]])</f>
        <v>60</v>
      </c>
      <c r="Y909" s="76">
        <f>OrdersTable[[#This Row],[Net Revenue]]-OrdersTable[[#This Row],[COGS]]-OrdersTable[[#This Row],[Shipping Cost]]</f>
        <v>300.04999999999995</v>
      </c>
      <c r="Z909" s="78">
        <f>IFERROR(OrdersTable[[#This Row],[Profit]]/OrdersTable[[#This Row],[Net Revenue]],0)</f>
        <v>0.35132603477548152</v>
      </c>
      <c r="AA909" t="s">
        <v>3495</v>
      </c>
      <c r="AB909" s="79">
        <v>45481</v>
      </c>
      <c r="AC909">
        <f>OrdersTable[[#This Row],[Delivery Date]]-OrdersTable[[#This Row],[Order Date]]</f>
        <v>3</v>
      </c>
      <c r="AD909" t="str">
        <f>IF(OrdersTable[[#This Row],[Delivery Days]]&lt;=2, "Express (≤2d)", IF(OrdersTable[[#This Row],[Delivery Days]]&lt;=4, "Standard (3-4d)", "Delayed (5d+)"))</f>
        <v>Standard (3-4d)</v>
      </c>
      <c r="AE909">
        <v>4</v>
      </c>
      <c r="AF909">
        <v>0</v>
      </c>
    </row>
    <row r="910" spans="1:32" ht="15" x14ac:dyDescent="0.35">
      <c r="A910" t="s">
        <v>142</v>
      </c>
      <c r="B910" s="1">
        <v>45479</v>
      </c>
      <c r="C910">
        <f>YEAR(OrdersTable[[#This Row],[Order Date]])</f>
        <v>2024</v>
      </c>
      <c r="D910" s="2">
        <f>DATE(YEAR(OrdersTable[[#This Row],[Order Date]]),MONTH(OrdersTable[[#This Row],[Order Date]]),1)</f>
        <v>45474</v>
      </c>
      <c r="E910">
        <f>MONTH(OrdersTable[[#This Row],[Order Date]])</f>
        <v>7</v>
      </c>
      <c r="F910" t="s">
        <v>143</v>
      </c>
      <c r="G910" t="str">
        <f>IF(OrdersTable[[#This Row],[Order Date]]=_xlfn.MINIFS(Order_Date, Customer_ID, OrdersTable[[#This Row],[Customer ID]]), "New", "Repeat")</f>
        <v>New</v>
      </c>
      <c r="H910" t="s">
        <v>128</v>
      </c>
      <c r="I910" t="str">
        <f>INDEX(State!B:B,MATCH(OrdersTable[[#This Row],[State]],State!A:A,0))</f>
        <v>DL</v>
      </c>
      <c r="J910" t="str">
        <f>INDEX(State!C:C,MATCH(OrdersTable[[#This Row],[State Code]],State!B:B,0))</f>
        <v>North</v>
      </c>
      <c r="K910" t="s">
        <v>129</v>
      </c>
      <c r="L910" t="s">
        <v>50</v>
      </c>
      <c r="M910" t="s">
        <v>66</v>
      </c>
      <c r="N910" t="str">
        <f>INDEX(Products!B:B,MATCH(OrdersTable[[#This Row],[Product ID]],Products!A:A,0))</f>
        <v>Sunscreen SPF 50</v>
      </c>
      <c r="O910" t="str">
        <f>INDEX(Products!C:C,MATCH(OrdersTable[[#This Row],[Product ID]],Products!A:A,0))</f>
        <v>Skincare</v>
      </c>
      <c r="P910">
        <v>1</v>
      </c>
      <c r="Q910" s="5">
        <v>449</v>
      </c>
      <c r="R910" s="74">
        <v>0</v>
      </c>
      <c r="S910" s="75">
        <f>OrdersTable[[#This Row],[Quantity]]*OrdersTable[[#This Row],[Unit Price]]</f>
        <v>449</v>
      </c>
      <c r="T910" s="5">
        <f>OrdersTable[[#This Row],[Gross Sale]]*OrdersTable[[#This Row],[Discount_Clean2]]</f>
        <v>0</v>
      </c>
      <c r="U910" s="5">
        <f>OrdersTable[[#This Row],[Gross Sale]]-OrdersTable[[#This Row],[Discount Amount]]</f>
        <v>449</v>
      </c>
      <c r="V910" s="77">
        <f>INDEX(Products!E:E,MATCH(OrdersTable[[#This Row],[Product ID]],Products!A:A,0))</f>
        <v>144</v>
      </c>
      <c r="W910" s="77">
        <f>OrdersTable[[#This Row],[Quantity]]*OrdersTable[[#This Row],[Unit Cost]]</f>
        <v>144</v>
      </c>
      <c r="X910" s="77">
        <f>'Dropdown Lists'!$I$2*(1+OrdersTable[[#This Row],[Returned]])</f>
        <v>60</v>
      </c>
      <c r="Y910" s="76">
        <f>OrdersTable[[#This Row],[Net Revenue]]-OrdersTable[[#This Row],[COGS]]-OrdersTable[[#This Row],[Shipping Cost]]</f>
        <v>245</v>
      </c>
      <c r="Z910" s="78">
        <f>IFERROR(OrdersTable[[#This Row],[Profit]]/OrdersTable[[#This Row],[Net Revenue]],0)</f>
        <v>0.54565701559020041</v>
      </c>
      <c r="AA910" t="s">
        <v>18</v>
      </c>
      <c r="AB910" s="79">
        <v>45481</v>
      </c>
      <c r="AC910">
        <f>OrdersTable[[#This Row],[Delivery Date]]-OrdersTable[[#This Row],[Order Date]]</f>
        <v>2</v>
      </c>
      <c r="AD910" t="str">
        <f>IF(OrdersTable[[#This Row],[Delivery Days]]&lt;=2, "Express (≤2d)", IF(OrdersTable[[#This Row],[Delivery Days]]&lt;=4, "Standard (3-4d)", "Delayed (5d+)"))</f>
        <v>Express (≤2d)</v>
      </c>
      <c r="AE910">
        <v>4</v>
      </c>
      <c r="AF910">
        <v>0</v>
      </c>
    </row>
    <row r="911" spans="1:32" ht="15" x14ac:dyDescent="0.35">
      <c r="A911" t="s">
        <v>4669</v>
      </c>
      <c r="B911" s="1">
        <v>45479</v>
      </c>
      <c r="C911">
        <f>YEAR(OrdersTable[[#This Row],[Order Date]])</f>
        <v>2024</v>
      </c>
      <c r="D911" s="2">
        <f>DATE(YEAR(OrdersTable[[#This Row],[Order Date]]),MONTH(OrdersTable[[#This Row],[Order Date]]),1)</f>
        <v>45474</v>
      </c>
      <c r="E911">
        <f>MONTH(OrdersTable[[#This Row],[Order Date]])</f>
        <v>7</v>
      </c>
      <c r="F911" t="s">
        <v>2752</v>
      </c>
      <c r="G911" t="str">
        <f>IF(OrdersTable[[#This Row],[Order Date]]=_xlfn.MINIFS(Order_Date, Customer_ID, OrdersTable[[#This Row],[Customer ID]]), "New", "Repeat")</f>
        <v>New</v>
      </c>
      <c r="H911" t="s">
        <v>32</v>
      </c>
      <c r="I911" t="str">
        <f>INDEX(State!B:B,MATCH(OrdersTable[[#This Row],[State]],State!A:A,0))</f>
        <v>BR</v>
      </c>
      <c r="J911" t="str">
        <f>INDEX(State!C:C,MATCH(OrdersTable[[#This Row],[State Code]],State!B:B,0))</f>
        <v>East</v>
      </c>
      <c r="K911" t="s">
        <v>33</v>
      </c>
      <c r="L911" t="s">
        <v>39</v>
      </c>
      <c r="M911" t="s">
        <v>17</v>
      </c>
      <c r="N911" t="str">
        <f>INDEX(Products!B:B,MATCH(OrdersTable[[#This Row],[Product ID]],Products!A:A,0))</f>
        <v>Casual Sneakers</v>
      </c>
      <c r="O911" t="str">
        <f>INDEX(Products!C:C,MATCH(OrdersTable[[#This Row],[Product ID]],Products!A:A,0))</f>
        <v>Footwear</v>
      </c>
      <c r="P911">
        <v>1</v>
      </c>
      <c r="Q911" s="5">
        <v>2199</v>
      </c>
      <c r="R911" s="74">
        <v>0.1</v>
      </c>
      <c r="S911" s="75">
        <f>OrdersTable[[#This Row],[Quantity]]*OrdersTable[[#This Row],[Unit Price]]</f>
        <v>2199</v>
      </c>
      <c r="T911" s="5">
        <f>OrdersTable[[#This Row],[Gross Sale]]*OrdersTable[[#This Row],[Discount_Clean2]]</f>
        <v>219.9</v>
      </c>
      <c r="U911" s="5">
        <f>OrdersTable[[#This Row],[Gross Sale]]-OrdersTable[[#This Row],[Discount Amount]]</f>
        <v>1979.1</v>
      </c>
      <c r="V911" s="77">
        <f>INDEX(Products!E:E,MATCH(OrdersTable[[#This Row],[Product ID]],Products!A:A,0))</f>
        <v>1034</v>
      </c>
      <c r="W911" s="77">
        <f>OrdersTable[[#This Row],[Quantity]]*OrdersTable[[#This Row],[Unit Cost]]</f>
        <v>1034</v>
      </c>
      <c r="X911" s="77">
        <f>'Dropdown Lists'!$I$2*(1+OrdersTable[[#This Row],[Returned]])</f>
        <v>120</v>
      </c>
      <c r="Y911" s="76">
        <f>OrdersTable[[#This Row],[Net Revenue]]-OrdersTable[[#This Row],[COGS]]-OrdersTable[[#This Row],[Shipping Cost]]</f>
        <v>825.09999999999991</v>
      </c>
      <c r="Z911" s="78">
        <f>IFERROR(OrdersTable[[#This Row],[Profit]]/OrdersTable[[#This Row],[Net Revenue]],0)</f>
        <v>0.41690667475114951</v>
      </c>
      <c r="AA911" t="s">
        <v>4450</v>
      </c>
      <c r="AB911" s="79">
        <v>45485</v>
      </c>
      <c r="AC911">
        <f>OrdersTable[[#This Row],[Delivery Date]]-OrdersTable[[#This Row],[Order Date]]</f>
        <v>6</v>
      </c>
      <c r="AD911" t="str">
        <f>IF(OrdersTable[[#This Row],[Delivery Days]]&lt;=2, "Express (≤2d)", IF(OrdersTable[[#This Row],[Delivery Days]]&lt;=4, "Standard (3-4d)", "Delayed (5d+)"))</f>
        <v>Delayed (5d+)</v>
      </c>
      <c r="AE911">
        <v>2</v>
      </c>
      <c r="AF911">
        <v>1</v>
      </c>
    </row>
    <row r="912" spans="1:32" ht="15" x14ac:dyDescent="0.35">
      <c r="A912" t="s">
        <v>6767</v>
      </c>
      <c r="B912" s="1">
        <v>45479</v>
      </c>
      <c r="C912">
        <f>YEAR(OrdersTable[[#This Row],[Order Date]])</f>
        <v>2024</v>
      </c>
      <c r="D912" s="2">
        <f>DATE(YEAR(OrdersTable[[#This Row],[Order Date]]),MONTH(OrdersTable[[#This Row],[Order Date]]),1)</f>
        <v>45474</v>
      </c>
      <c r="E912">
        <f>MONTH(OrdersTable[[#This Row],[Order Date]])</f>
        <v>7</v>
      </c>
      <c r="F912" t="s">
        <v>98</v>
      </c>
      <c r="G912" t="str">
        <f>IF(OrdersTable[[#This Row],[Order Date]]=_xlfn.MINIFS(Order_Date, Customer_ID, OrdersTable[[#This Row],[Customer ID]]), "New", "Repeat")</f>
        <v>Repeat</v>
      </c>
      <c r="H912" t="s">
        <v>37</v>
      </c>
      <c r="I912" t="str">
        <f>INDEX(State!B:B,MATCH(OrdersTable[[#This Row],[State]],State!A:A,0))</f>
        <v>GJ</v>
      </c>
      <c r="J912" t="str">
        <f>INDEX(State!C:C,MATCH(OrdersTable[[#This Row],[State Code]],State!B:B,0))</f>
        <v>West</v>
      </c>
      <c r="K912" t="s">
        <v>247</v>
      </c>
      <c r="L912" t="s">
        <v>50</v>
      </c>
      <c r="M912" t="s">
        <v>73</v>
      </c>
      <c r="N912" t="str">
        <f>INDEX(Products!B:B,MATCH(OrdersTable[[#This Row],[Product ID]],Products!A:A,0))</f>
        <v>Hydrating Face Wash</v>
      </c>
      <c r="O912" t="str">
        <f>INDEX(Products!C:C,MATCH(OrdersTable[[#This Row],[Product ID]],Products!A:A,0))</f>
        <v>Skincare</v>
      </c>
      <c r="P912">
        <v>3</v>
      </c>
      <c r="Q912" s="5">
        <v>299</v>
      </c>
      <c r="R912" s="74">
        <v>0</v>
      </c>
      <c r="S912" s="75">
        <f>OrdersTable[[#This Row],[Quantity]]*OrdersTable[[#This Row],[Unit Price]]</f>
        <v>897</v>
      </c>
      <c r="T912" s="5">
        <f>OrdersTable[[#This Row],[Gross Sale]]*OrdersTable[[#This Row],[Discount_Clean2]]</f>
        <v>0</v>
      </c>
      <c r="U912" s="5">
        <f>OrdersTable[[#This Row],[Gross Sale]]-OrdersTable[[#This Row],[Discount Amount]]</f>
        <v>897</v>
      </c>
      <c r="V912" s="77">
        <f>INDEX(Products!E:E,MATCH(OrdersTable[[#This Row],[Product ID]],Products!A:A,0))</f>
        <v>90</v>
      </c>
      <c r="W912" s="77">
        <f>OrdersTable[[#This Row],[Quantity]]*OrdersTable[[#This Row],[Unit Cost]]</f>
        <v>270</v>
      </c>
      <c r="X912" s="77">
        <f>'Dropdown Lists'!$I$2*(1+OrdersTable[[#This Row],[Returned]])</f>
        <v>60</v>
      </c>
      <c r="Y912" s="76">
        <f>OrdersTable[[#This Row],[Net Revenue]]-OrdersTable[[#This Row],[COGS]]-OrdersTable[[#This Row],[Shipping Cost]]</f>
        <v>567</v>
      </c>
      <c r="Z912" s="78">
        <f>IFERROR(OrdersTable[[#This Row],[Profit]]/OrdersTable[[#This Row],[Net Revenue]],0)</f>
        <v>0.63210702341137126</v>
      </c>
      <c r="AA912" t="s">
        <v>3495</v>
      </c>
      <c r="AB912" s="79">
        <v>45480</v>
      </c>
      <c r="AC912">
        <f>OrdersTable[[#This Row],[Delivery Date]]-OrdersTable[[#This Row],[Order Date]]</f>
        <v>1</v>
      </c>
      <c r="AD912" t="str">
        <f>IF(OrdersTable[[#This Row],[Delivery Days]]&lt;=2, "Express (≤2d)", IF(OrdersTable[[#This Row],[Delivery Days]]&lt;=4, "Standard (3-4d)", "Delayed (5d+)"))</f>
        <v>Express (≤2d)</v>
      </c>
      <c r="AE912">
        <v>4</v>
      </c>
      <c r="AF912">
        <v>0</v>
      </c>
    </row>
    <row r="913" spans="1:32" ht="15" x14ac:dyDescent="0.35">
      <c r="A913" t="s">
        <v>1650</v>
      </c>
      <c r="B913" s="1">
        <v>45479</v>
      </c>
      <c r="C913">
        <f>YEAR(OrdersTable[[#This Row],[Order Date]])</f>
        <v>2024</v>
      </c>
      <c r="D913" s="2">
        <f>DATE(YEAR(OrdersTable[[#This Row],[Order Date]]),MONTH(OrdersTable[[#This Row],[Order Date]]),1)</f>
        <v>45474</v>
      </c>
      <c r="E913">
        <f>MONTH(OrdersTable[[#This Row],[Order Date]])</f>
        <v>7</v>
      </c>
      <c r="F913" t="s">
        <v>1651</v>
      </c>
      <c r="G913" t="str">
        <f>IF(OrdersTable[[#This Row],[Order Date]]=_xlfn.MINIFS(Order_Date, Customer_ID, OrdersTable[[#This Row],[Customer ID]]), "New", "Repeat")</f>
        <v>New</v>
      </c>
      <c r="H913" t="s">
        <v>71</v>
      </c>
      <c r="I913" t="str">
        <f>INDEX(State!B:B,MATCH(OrdersTable[[#This Row],[State]],State!A:A,0))</f>
        <v>MH</v>
      </c>
      <c r="J913" t="str">
        <f>INDEX(State!C:C,MATCH(OrdersTable[[#This Row],[State Code]],State!B:B,0))</f>
        <v>West</v>
      </c>
      <c r="K913" t="s">
        <v>72</v>
      </c>
      <c r="L913" t="s">
        <v>65</v>
      </c>
      <c r="M913" t="s">
        <v>125</v>
      </c>
      <c r="N913" t="str">
        <f>INDEX(Products!B:B,MATCH(OrdersTable[[#This Row],[Product ID]],Products!A:A,0))</f>
        <v>Copper Water Bottle</v>
      </c>
      <c r="O913" t="str">
        <f>INDEX(Products!C:C,MATCH(OrdersTable[[#This Row],[Product ID]],Products!A:A,0))</f>
        <v>Home &amp; Kitchen</v>
      </c>
      <c r="P913">
        <v>1</v>
      </c>
      <c r="Q913" s="5">
        <v>899</v>
      </c>
      <c r="R913" s="74">
        <v>0.05</v>
      </c>
      <c r="S913" s="75">
        <f>OrdersTable[[#This Row],[Quantity]]*OrdersTable[[#This Row],[Unit Price]]</f>
        <v>899</v>
      </c>
      <c r="T913" s="5">
        <f>OrdersTable[[#This Row],[Gross Sale]]*OrdersTable[[#This Row],[Discount_Clean2]]</f>
        <v>44.95</v>
      </c>
      <c r="U913" s="5">
        <f>OrdersTable[[#This Row],[Gross Sale]]-OrdersTable[[#This Row],[Discount Amount]]</f>
        <v>854.05</v>
      </c>
      <c r="V913" s="77">
        <f>INDEX(Products!E:E,MATCH(OrdersTable[[#This Row],[Product ID]],Products!A:A,0))</f>
        <v>378</v>
      </c>
      <c r="W913" s="77">
        <f>OrdersTable[[#This Row],[Quantity]]*OrdersTable[[#This Row],[Unit Cost]]</f>
        <v>378</v>
      </c>
      <c r="X913" s="77">
        <f>'Dropdown Lists'!$I$2*(1+OrdersTable[[#This Row],[Returned]])</f>
        <v>60</v>
      </c>
      <c r="Y913" s="76">
        <f>OrdersTable[[#This Row],[Net Revenue]]-OrdersTable[[#This Row],[COGS]]-OrdersTable[[#This Row],[Shipping Cost]]</f>
        <v>416.04999999999995</v>
      </c>
      <c r="Z913" s="78">
        <f>IFERROR(OrdersTable[[#This Row],[Profit]]/OrdersTable[[#This Row],[Net Revenue]],0)</f>
        <v>0.48714946431707745</v>
      </c>
      <c r="AA913" t="s">
        <v>18</v>
      </c>
      <c r="AB913" s="79">
        <v>45482</v>
      </c>
      <c r="AC913">
        <f>OrdersTable[[#This Row],[Delivery Date]]-OrdersTable[[#This Row],[Order Date]]</f>
        <v>3</v>
      </c>
      <c r="AD913" t="str">
        <f>IF(OrdersTable[[#This Row],[Delivery Days]]&lt;=2, "Express (≤2d)", IF(OrdersTable[[#This Row],[Delivery Days]]&lt;=4, "Standard (3-4d)", "Delayed (5d+)"))</f>
        <v>Standard (3-4d)</v>
      </c>
      <c r="AF913">
        <v>0</v>
      </c>
    </row>
    <row r="914" spans="1:32" ht="15" x14ac:dyDescent="0.35">
      <c r="A914" t="s">
        <v>5667</v>
      </c>
      <c r="B914" s="1">
        <v>45479</v>
      </c>
      <c r="C914">
        <f>YEAR(OrdersTable[[#This Row],[Order Date]])</f>
        <v>2024</v>
      </c>
      <c r="D914" s="2">
        <f>DATE(YEAR(OrdersTable[[#This Row],[Order Date]]),MONTH(OrdersTable[[#This Row],[Order Date]]),1)</f>
        <v>45474</v>
      </c>
      <c r="E914">
        <f>MONTH(OrdersTable[[#This Row],[Order Date]])</f>
        <v>7</v>
      </c>
      <c r="F914" t="s">
        <v>2423</v>
      </c>
      <c r="G914" t="str">
        <f>IF(OrdersTable[[#This Row],[Order Date]]=_xlfn.MINIFS(Order_Date, Customer_ID, OrdersTable[[#This Row],[Customer ID]]), "New", "Repeat")</f>
        <v>New</v>
      </c>
      <c r="H914" t="s">
        <v>14</v>
      </c>
      <c r="I914" t="str">
        <f>INDEX(State!B:B,MATCH(OrdersTable[[#This Row],[State]],State!A:A,0))</f>
        <v>OD</v>
      </c>
      <c r="J914" t="str">
        <f>INDEX(State!C:C,MATCH(OrdersTable[[#This Row],[State Code]],State!B:B,0))</f>
        <v>East</v>
      </c>
      <c r="K914" t="s">
        <v>15</v>
      </c>
      <c r="L914" t="s">
        <v>39</v>
      </c>
      <c r="M914" t="s">
        <v>228</v>
      </c>
      <c r="N914" t="str">
        <f>INDEX(Products!B:B,MATCH(OrdersTable[[#This Row],[Product ID]],Products!A:A,0))</f>
        <v>Fast Charger 33W</v>
      </c>
      <c r="O914" t="str">
        <f>INDEX(Products!C:C,MATCH(OrdersTable[[#This Row],[Product ID]],Products!A:A,0))</f>
        <v>Electronics</v>
      </c>
      <c r="P914">
        <v>2</v>
      </c>
      <c r="Q914" s="5">
        <v>899</v>
      </c>
      <c r="R914" s="74">
        <v>0</v>
      </c>
      <c r="S914" s="75">
        <f>OrdersTable[[#This Row],[Quantity]]*OrdersTable[[#This Row],[Unit Price]]</f>
        <v>1798</v>
      </c>
      <c r="T914" s="5">
        <f>OrdersTable[[#This Row],[Gross Sale]]*OrdersTable[[#This Row],[Discount_Clean2]]</f>
        <v>0</v>
      </c>
      <c r="U914" s="5">
        <f>OrdersTable[[#This Row],[Gross Sale]]-OrdersTable[[#This Row],[Discount Amount]]</f>
        <v>1798</v>
      </c>
      <c r="V914" s="77">
        <f>INDEX(Products!E:E,MATCH(OrdersTable[[#This Row],[Product ID]],Products!A:A,0))</f>
        <v>494</v>
      </c>
      <c r="W914" s="77">
        <f>OrdersTable[[#This Row],[Quantity]]*OrdersTable[[#This Row],[Unit Cost]]</f>
        <v>988</v>
      </c>
      <c r="X914" s="77">
        <f>'Dropdown Lists'!$I$2*(1+OrdersTable[[#This Row],[Returned]])</f>
        <v>60</v>
      </c>
      <c r="Y914" s="76">
        <f>OrdersTable[[#This Row],[Net Revenue]]-OrdersTable[[#This Row],[COGS]]-OrdersTable[[#This Row],[Shipping Cost]]</f>
        <v>750</v>
      </c>
      <c r="Z914" s="78">
        <f>IFERROR(OrdersTable[[#This Row],[Profit]]/OrdersTable[[#This Row],[Net Revenue]],0)</f>
        <v>0.41713014460511677</v>
      </c>
      <c r="AA914" t="s">
        <v>18</v>
      </c>
      <c r="AB914" s="79">
        <v>45484</v>
      </c>
      <c r="AC914">
        <f>OrdersTable[[#This Row],[Delivery Date]]-OrdersTable[[#This Row],[Order Date]]</f>
        <v>5</v>
      </c>
      <c r="AD914" t="str">
        <f>IF(OrdersTable[[#This Row],[Delivery Days]]&lt;=2, "Express (≤2d)", IF(OrdersTable[[#This Row],[Delivery Days]]&lt;=4, "Standard (3-4d)", "Delayed (5d+)"))</f>
        <v>Delayed (5d+)</v>
      </c>
      <c r="AE914">
        <v>3</v>
      </c>
      <c r="AF914">
        <v>0</v>
      </c>
    </row>
    <row r="915" spans="1:32" ht="15" x14ac:dyDescent="0.35">
      <c r="A915" t="s">
        <v>4779</v>
      </c>
      <c r="B915" s="1">
        <v>45479</v>
      </c>
      <c r="C915">
        <f>YEAR(OrdersTable[[#This Row],[Order Date]])</f>
        <v>2024</v>
      </c>
      <c r="D915" s="2">
        <f>DATE(YEAR(OrdersTable[[#This Row],[Order Date]]),MONTH(OrdersTable[[#This Row],[Order Date]]),1)</f>
        <v>45474</v>
      </c>
      <c r="E915">
        <f>MONTH(OrdersTable[[#This Row],[Order Date]])</f>
        <v>7</v>
      </c>
      <c r="F915" t="s">
        <v>4780</v>
      </c>
      <c r="G915" t="str">
        <f>IF(OrdersTable[[#This Row],[Order Date]]=_xlfn.MINIFS(Order_Date, Customer_ID, OrdersTable[[#This Row],[Customer ID]]), "New", "Repeat")</f>
        <v>New</v>
      </c>
      <c r="H915" t="s">
        <v>167</v>
      </c>
      <c r="I915" t="str">
        <f>INDEX(State!B:B,MATCH(OrdersTable[[#This Row],[State]],State!A:A,0))</f>
        <v>KA</v>
      </c>
      <c r="J915" t="str">
        <f>INDEX(State!C:C,MATCH(OrdersTable[[#This Row],[State Code]],State!B:B,0))</f>
        <v>South</v>
      </c>
      <c r="K915" t="s">
        <v>190</v>
      </c>
      <c r="L915" t="s">
        <v>65</v>
      </c>
      <c r="M915" t="s">
        <v>176</v>
      </c>
      <c r="N915" t="str">
        <f>INDEX(Products!B:B,MATCH(OrdersTable[[#This Row],[Product ID]],Products!A:A,0))</f>
        <v>Denim Jacket</v>
      </c>
      <c r="O915" t="str">
        <f>INDEX(Products!C:C,MATCH(OrdersTable[[#This Row],[Product ID]],Products!A:A,0))</f>
        <v>Apparel</v>
      </c>
      <c r="P915">
        <v>2</v>
      </c>
      <c r="Q915" s="5">
        <v>2499</v>
      </c>
      <c r="R915" s="74">
        <v>0.1</v>
      </c>
      <c r="S915" s="75">
        <f>OrdersTable[[#This Row],[Quantity]]*OrdersTable[[#This Row],[Unit Price]]</f>
        <v>4998</v>
      </c>
      <c r="T915" s="5">
        <f>OrdersTable[[#This Row],[Gross Sale]]*OrdersTable[[#This Row],[Discount_Clean2]]</f>
        <v>499.8</v>
      </c>
      <c r="U915" s="5">
        <f>OrdersTable[[#This Row],[Gross Sale]]-OrdersTable[[#This Row],[Discount Amount]]</f>
        <v>4498.2</v>
      </c>
      <c r="V915" s="77">
        <f>INDEX(Products!E:E,MATCH(OrdersTable[[#This Row],[Product ID]],Products!A:A,0))</f>
        <v>1125</v>
      </c>
      <c r="W915" s="77">
        <f>OrdersTable[[#This Row],[Quantity]]*OrdersTable[[#This Row],[Unit Cost]]</f>
        <v>2250</v>
      </c>
      <c r="X915" s="77">
        <f>'Dropdown Lists'!$I$2*(1+OrdersTable[[#This Row],[Returned]])</f>
        <v>60</v>
      </c>
      <c r="Y915" s="76">
        <f>OrdersTable[[#This Row],[Net Revenue]]-OrdersTable[[#This Row],[COGS]]-OrdersTable[[#This Row],[Shipping Cost]]</f>
        <v>2188.1999999999998</v>
      </c>
      <c r="Z915" s="78">
        <f>IFERROR(OrdersTable[[#This Row],[Profit]]/OrdersTable[[#This Row],[Net Revenue]],0)</f>
        <v>0.48646125116713351</v>
      </c>
      <c r="AA915" t="s">
        <v>4450</v>
      </c>
      <c r="AB915" s="79">
        <v>45481</v>
      </c>
      <c r="AC915">
        <f>OrdersTable[[#This Row],[Delivery Date]]-OrdersTable[[#This Row],[Order Date]]</f>
        <v>2</v>
      </c>
      <c r="AD915" t="str">
        <f>IF(OrdersTable[[#This Row],[Delivery Days]]&lt;=2, "Express (≤2d)", IF(OrdersTable[[#This Row],[Delivery Days]]&lt;=4, "Standard (3-4d)", "Delayed (5d+)"))</f>
        <v>Express (≤2d)</v>
      </c>
      <c r="AE915">
        <v>5</v>
      </c>
      <c r="AF915">
        <v>0</v>
      </c>
    </row>
    <row r="916" spans="1:32" ht="15" x14ac:dyDescent="0.35">
      <c r="A916" t="s">
        <v>6675</v>
      </c>
      <c r="B916" s="1">
        <v>45479</v>
      </c>
      <c r="C916">
        <f>YEAR(OrdersTable[[#This Row],[Order Date]])</f>
        <v>2024</v>
      </c>
      <c r="D916" s="2">
        <f>DATE(YEAR(OrdersTable[[#This Row],[Order Date]]),MONTH(OrdersTable[[#This Row],[Order Date]]),1)</f>
        <v>45474</v>
      </c>
      <c r="E916">
        <f>MONTH(OrdersTable[[#This Row],[Order Date]])</f>
        <v>7</v>
      </c>
      <c r="F916" t="s">
        <v>1731</v>
      </c>
      <c r="G916" t="str">
        <f>IF(OrdersTable[[#This Row],[Order Date]]=_xlfn.MINIFS(Order_Date, Customer_ID, OrdersTable[[#This Row],[Customer ID]]), "New", "Repeat")</f>
        <v>New</v>
      </c>
      <c r="H916" t="s">
        <v>275</v>
      </c>
      <c r="I916" t="str">
        <f>INDEX(State!B:B,MATCH(OrdersTable[[#This Row],[State]],State!A:A,0))</f>
        <v>AP</v>
      </c>
      <c r="J916" t="str">
        <f>INDEX(State!C:C,MATCH(OrdersTable[[#This Row],[State Code]],State!B:B,0))</f>
        <v>South</v>
      </c>
      <c r="K916" t="s">
        <v>276</v>
      </c>
      <c r="L916" t="s">
        <v>50</v>
      </c>
      <c r="M916" t="s">
        <v>45</v>
      </c>
      <c r="N916" t="str">
        <f>INDEX(Products!B:B,MATCH(OrdersTable[[#This Row],[Product ID]],Products!A:A,0))</f>
        <v>Argan Shampoo</v>
      </c>
      <c r="O916" t="str">
        <f>INDEX(Products!C:C,MATCH(OrdersTable[[#This Row],[Product ID]],Products!A:A,0))</f>
        <v>Haircare</v>
      </c>
      <c r="P916">
        <v>3</v>
      </c>
      <c r="Q916" s="5">
        <v>449</v>
      </c>
      <c r="R916" s="74">
        <v>0</v>
      </c>
      <c r="S916" s="75">
        <f>OrdersTable[[#This Row],[Quantity]]*OrdersTable[[#This Row],[Unit Price]]</f>
        <v>1347</v>
      </c>
      <c r="T916" s="5">
        <f>OrdersTable[[#This Row],[Gross Sale]]*OrdersTable[[#This Row],[Discount_Clean2]]</f>
        <v>0</v>
      </c>
      <c r="U916" s="5">
        <f>OrdersTable[[#This Row],[Gross Sale]]-OrdersTable[[#This Row],[Discount Amount]]</f>
        <v>1347</v>
      </c>
      <c r="V916" s="77">
        <f>INDEX(Products!E:E,MATCH(OrdersTable[[#This Row],[Product ID]],Products!A:A,0))</f>
        <v>148</v>
      </c>
      <c r="W916" s="77">
        <f>OrdersTable[[#This Row],[Quantity]]*OrdersTable[[#This Row],[Unit Cost]]</f>
        <v>444</v>
      </c>
      <c r="X916" s="77">
        <f>'Dropdown Lists'!$I$2*(1+OrdersTable[[#This Row],[Returned]])</f>
        <v>60</v>
      </c>
      <c r="Y916" s="76">
        <f>OrdersTable[[#This Row],[Net Revenue]]-OrdersTable[[#This Row],[COGS]]-OrdersTable[[#This Row],[Shipping Cost]]</f>
        <v>843</v>
      </c>
      <c r="Z916" s="78">
        <f>IFERROR(OrdersTable[[#This Row],[Profit]]/OrdersTable[[#This Row],[Net Revenue]],0)</f>
        <v>0.62583518930957682</v>
      </c>
      <c r="AA916" t="s">
        <v>2522</v>
      </c>
      <c r="AB916" s="79">
        <v>45482</v>
      </c>
      <c r="AC916">
        <f>OrdersTable[[#This Row],[Delivery Date]]-OrdersTable[[#This Row],[Order Date]]</f>
        <v>3</v>
      </c>
      <c r="AD916" t="str">
        <f>IF(OrdersTable[[#This Row],[Delivery Days]]&lt;=2, "Express (≤2d)", IF(OrdersTable[[#This Row],[Delivery Days]]&lt;=4, "Standard (3-4d)", "Delayed (5d+)"))</f>
        <v>Standard (3-4d)</v>
      </c>
      <c r="AF916">
        <v>0</v>
      </c>
    </row>
    <row r="917" spans="1:32" ht="15" x14ac:dyDescent="0.35">
      <c r="A917" t="s">
        <v>7061</v>
      </c>
      <c r="B917" s="1">
        <v>45480</v>
      </c>
      <c r="C917">
        <f>YEAR(OrdersTable[[#This Row],[Order Date]])</f>
        <v>2024</v>
      </c>
      <c r="D917" s="2">
        <f>DATE(YEAR(OrdersTable[[#This Row],[Order Date]]),MONTH(OrdersTable[[#This Row],[Order Date]]),1)</f>
        <v>45474</v>
      </c>
      <c r="E917">
        <f>MONTH(OrdersTable[[#This Row],[Order Date]])</f>
        <v>7</v>
      </c>
      <c r="F917" t="s">
        <v>1396</v>
      </c>
      <c r="G917" t="str">
        <f>IF(OrdersTable[[#This Row],[Order Date]]=_xlfn.MINIFS(Order_Date, Customer_ID, OrdersTable[[#This Row],[Customer ID]]), "New", "Repeat")</f>
        <v>New</v>
      </c>
      <c r="H917" t="s">
        <v>48</v>
      </c>
      <c r="I917" t="str">
        <f>INDEX(State!B:B,MATCH(OrdersTable[[#This Row],[State]],State!A:A,0))</f>
        <v>HR</v>
      </c>
      <c r="J917" t="str">
        <f>INDEX(State!C:C,MATCH(OrdersTable[[#This Row],[State Code]],State!B:B,0))</f>
        <v>North</v>
      </c>
      <c r="K917" t="s">
        <v>151</v>
      </c>
      <c r="L917" t="s">
        <v>23</v>
      </c>
      <c r="M917" t="s">
        <v>109</v>
      </c>
      <c r="N917" t="str">
        <f>INDEX(Products!B:B,MATCH(OrdersTable[[#This Row],[Product ID]],Products!A:A,0))</f>
        <v>Onion Hair Oil</v>
      </c>
      <c r="O917" t="str">
        <f>INDEX(Products!C:C,MATCH(OrdersTable[[#This Row],[Product ID]],Products!A:A,0))</f>
        <v>Haircare</v>
      </c>
      <c r="P917">
        <v>4</v>
      </c>
      <c r="Q917" s="5">
        <v>349</v>
      </c>
      <c r="R917" s="74">
        <v>0.4</v>
      </c>
      <c r="S917" s="75">
        <f>OrdersTable[[#This Row],[Quantity]]*OrdersTable[[#This Row],[Unit Price]]</f>
        <v>1396</v>
      </c>
      <c r="T917" s="5">
        <f>OrdersTable[[#This Row],[Gross Sale]]*OrdersTable[[#This Row],[Discount_Clean2]]</f>
        <v>558.4</v>
      </c>
      <c r="U917" s="5">
        <f>OrdersTable[[#This Row],[Gross Sale]]-OrdersTable[[#This Row],[Discount Amount]]</f>
        <v>837.6</v>
      </c>
      <c r="V917" s="77">
        <f>INDEX(Products!E:E,MATCH(OrdersTable[[#This Row],[Product ID]],Products!A:A,0))</f>
        <v>105</v>
      </c>
      <c r="W917" s="77">
        <f>OrdersTable[[#This Row],[Quantity]]*OrdersTable[[#This Row],[Unit Cost]]</f>
        <v>420</v>
      </c>
      <c r="X917" s="77">
        <f>'Dropdown Lists'!$I$2*(1+OrdersTable[[#This Row],[Returned]])</f>
        <v>60</v>
      </c>
      <c r="Y917" s="76">
        <f>OrdersTable[[#This Row],[Net Revenue]]-OrdersTable[[#This Row],[COGS]]-OrdersTable[[#This Row],[Shipping Cost]]</f>
        <v>357.6</v>
      </c>
      <c r="Z917" s="78">
        <f>IFERROR(OrdersTable[[#This Row],[Profit]]/OrdersTable[[#This Row],[Net Revenue]],0)</f>
        <v>0.42693409742120347</v>
      </c>
      <c r="AA917" t="s">
        <v>18</v>
      </c>
      <c r="AB917" s="79">
        <v>45484</v>
      </c>
      <c r="AC917">
        <f>OrdersTable[[#This Row],[Delivery Date]]-OrdersTable[[#This Row],[Order Date]]</f>
        <v>4</v>
      </c>
      <c r="AD917" t="str">
        <f>IF(OrdersTable[[#This Row],[Delivery Days]]&lt;=2, "Express (≤2d)", IF(OrdersTable[[#This Row],[Delivery Days]]&lt;=4, "Standard (3-4d)", "Delayed (5d+)"))</f>
        <v>Standard (3-4d)</v>
      </c>
      <c r="AE917">
        <v>3</v>
      </c>
      <c r="AF917">
        <v>0</v>
      </c>
    </row>
    <row r="918" spans="1:32" ht="15" x14ac:dyDescent="0.35">
      <c r="A918" t="s">
        <v>1652</v>
      </c>
      <c r="B918" s="1">
        <v>45480</v>
      </c>
      <c r="C918">
        <f>YEAR(OrdersTable[[#This Row],[Order Date]])</f>
        <v>2024</v>
      </c>
      <c r="D918" s="2">
        <f>DATE(YEAR(OrdersTable[[#This Row],[Order Date]]),MONTH(OrdersTable[[#This Row],[Order Date]]),1)</f>
        <v>45474</v>
      </c>
      <c r="E918">
        <f>MONTH(OrdersTable[[#This Row],[Order Date]])</f>
        <v>7</v>
      </c>
      <c r="F918" t="s">
        <v>1653</v>
      </c>
      <c r="G918" t="str">
        <f>IF(OrdersTable[[#This Row],[Order Date]]=_xlfn.MINIFS(Order_Date, Customer_ID, OrdersTable[[#This Row],[Customer ID]]), "New", "Repeat")</f>
        <v>New</v>
      </c>
      <c r="H918" t="s">
        <v>128</v>
      </c>
      <c r="I918" t="str">
        <f>INDEX(State!B:B,MATCH(OrdersTable[[#This Row],[State]],State!A:A,0))</f>
        <v>DL</v>
      </c>
      <c r="J918" t="str">
        <f>INDEX(State!C:C,MATCH(OrdersTable[[#This Row],[State Code]],State!B:B,0))</f>
        <v>North</v>
      </c>
      <c r="K918" t="s">
        <v>129</v>
      </c>
      <c r="L918" t="s">
        <v>65</v>
      </c>
      <c r="M918" t="s">
        <v>29</v>
      </c>
      <c r="N918" t="str">
        <f>INDEX(Products!B:B,MATCH(OrdersTable[[#This Row],[Product ID]],Products!A:A,0))</f>
        <v>Joggers</v>
      </c>
      <c r="O918" t="str">
        <f>INDEX(Products!C:C,MATCH(OrdersTable[[#This Row],[Product ID]],Products!A:A,0))</f>
        <v>Apparel</v>
      </c>
      <c r="P918">
        <v>1</v>
      </c>
      <c r="Q918" s="5">
        <v>1199</v>
      </c>
      <c r="R918" s="74">
        <v>0.1</v>
      </c>
      <c r="S918" s="75">
        <f>OrdersTable[[#This Row],[Quantity]]*OrdersTable[[#This Row],[Unit Price]]</f>
        <v>1199</v>
      </c>
      <c r="T918" s="5">
        <f>OrdersTable[[#This Row],[Gross Sale]]*OrdersTable[[#This Row],[Discount_Clean2]]</f>
        <v>119.9</v>
      </c>
      <c r="U918" s="5">
        <f>OrdersTable[[#This Row],[Gross Sale]]-OrdersTable[[#This Row],[Discount Amount]]</f>
        <v>1079.0999999999999</v>
      </c>
      <c r="V918" s="77">
        <f>INDEX(Products!E:E,MATCH(OrdersTable[[#This Row],[Product ID]],Products!A:A,0))</f>
        <v>492</v>
      </c>
      <c r="W918" s="77">
        <f>OrdersTable[[#This Row],[Quantity]]*OrdersTable[[#This Row],[Unit Cost]]</f>
        <v>492</v>
      </c>
      <c r="X918" s="77">
        <f>'Dropdown Lists'!$I$2*(1+OrdersTable[[#This Row],[Returned]])</f>
        <v>60</v>
      </c>
      <c r="Y918" s="76">
        <f>OrdersTable[[#This Row],[Net Revenue]]-OrdersTable[[#This Row],[COGS]]-OrdersTable[[#This Row],[Shipping Cost]]</f>
        <v>527.09999999999991</v>
      </c>
      <c r="Z918" s="78">
        <f>IFERROR(OrdersTable[[#This Row],[Profit]]/OrdersTable[[#This Row],[Net Revenue]],0)</f>
        <v>0.48846260772866273</v>
      </c>
      <c r="AA918" t="s">
        <v>18</v>
      </c>
      <c r="AB918" s="79">
        <v>45482</v>
      </c>
      <c r="AC918">
        <f>OrdersTable[[#This Row],[Delivery Date]]-OrdersTable[[#This Row],[Order Date]]</f>
        <v>2</v>
      </c>
      <c r="AD918" t="str">
        <f>IF(OrdersTable[[#This Row],[Delivery Days]]&lt;=2, "Express (≤2d)", IF(OrdersTable[[#This Row],[Delivery Days]]&lt;=4, "Standard (3-4d)", "Delayed (5d+)"))</f>
        <v>Express (≤2d)</v>
      </c>
      <c r="AF918">
        <v>0</v>
      </c>
    </row>
    <row r="919" spans="1:32" ht="15" x14ac:dyDescent="0.35">
      <c r="A919" t="s">
        <v>1351</v>
      </c>
      <c r="B919" s="1">
        <v>45480</v>
      </c>
      <c r="C919">
        <f>YEAR(OrdersTable[[#This Row],[Order Date]])</f>
        <v>2024</v>
      </c>
      <c r="D919" s="2">
        <f>DATE(YEAR(OrdersTable[[#This Row],[Order Date]]),MONTH(OrdersTable[[#This Row],[Order Date]]),1)</f>
        <v>45474</v>
      </c>
      <c r="E919">
        <f>MONTH(OrdersTable[[#This Row],[Order Date]])</f>
        <v>7</v>
      </c>
      <c r="F919" t="s">
        <v>1352</v>
      </c>
      <c r="G919" t="str">
        <f>IF(OrdersTable[[#This Row],[Order Date]]=_xlfn.MINIFS(Order_Date, Customer_ID, OrdersTable[[#This Row],[Customer ID]]), "New", "Repeat")</f>
        <v>New</v>
      </c>
      <c r="H919" t="s">
        <v>43</v>
      </c>
      <c r="I919" t="str">
        <f>INDEX(State!B:B,MATCH(OrdersTable[[#This Row],[State]],State!A:A,0))</f>
        <v>MP</v>
      </c>
      <c r="J919" t="str">
        <f>INDEX(State!C:C,MATCH(OrdersTable[[#This Row],[State Code]],State!B:B,0))</f>
        <v>West</v>
      </c>
      <c r="K919" t="s">
        <v>44</v>
      </c>
      <c r="L919" t="s">
        <v>23</v>
      </c>
      <c r="M919" t="s">
        <v>152</v>
      </c>
      <c r="N919" t="str">
        <f>INDEX(Products!B:B,MATCH(OrdersTable[[#This Row],[Product ID]],Products!A:A,0))</f>
        <v>Green Tea (100 bags)</v>
      </c>
      <c r="O919" t="str">
        <f>INDEX(Products!C:C,MATCH(OrdersTable[[#This Row],[Product ID]],Products!A:A,0))</f>
        <v>Wellness</v>
      </c>
      <c r="P919">
        <v>1</v>
      </c>
      <c r="Q919" s="5">
        <v>399</v>
      </c>
      <c r="R919" s="74">
        <v>0.35</v>
      </c>
      <c r="S919" s="75">
        <f>OrdersTable[[#This Row],[Quantity]]*OrdersTable[[#This Row],[Unit Price]]</f>
        <v>399</v>
      </c>
      <c r="T919" s="5">
        <f>OrdersTable[[#This Row],[Gross Sale]]*OrdersTable[[#This Row],[Discount_Clean2]]</f>
        <v>139.64999999999998</v>
      </c>
      <c r="U919" s="5">
        <f>OrdersTable[[#This Row],[Gross Sale]]-OrdersTable[[#This Row],[Discount Amount]]</f>
        <v>259.35000000000002</v>
      </c>
      <c r="V919" s="77">
        <f>INDEX(Products!E:E,MATCH(OrdersTable[[#This Row],[Product ID]],Products!A:A,0))</f>
        <v>128</v>
      </c>
      <c r="W919" s="77">
        <f>OrdersTable[[#This Row],[Quantity]]*OrdersTable[[#This Row],[Unit Cost]]</f>
        <v>128</v>
      </c>
      <c r="X919" s="77">
        <f>'Dropdown Lists'!$I$2*(1+OrdersTable[[#This Row],[Returned]])</f>
        <v>60</v>
      </c>
      <c r="Y919" s="76">
        <f>OrdersTable[[#This Row],[Net Revenue]]-OrdersTable[[#This Row],[COGS]]-OrdersTable[[#This Row],[Shipping Cost]]</f>
        <v>71.350000000000023</v>
      </c>
      <c r="Z919" s="78">
        <f>IFERROR(OrdersTable[[#This Row],[Profit]]/OrdersTable[[#This Row],[Net Revenue]],0)</f>
        <v>0.27511085405822255</v>
      </c>
      <c r="AA919" t="s">
        <v>18</v>
      </c>
      <c r="AB919" s="79">
        <v>45483</v>
      </c>
      <c r="AC919">
        <f>OrdersTable[[#This Row],[Delivery Date]]-OrdersTable[[#This Row],[Order Date]]</f>
        <v>3</v>
      </c>
      <c r="AD919" t="str">
        <f>IF(OrdersTable[[#This Row],[Delivery Days]]&lt;=2, "Express (≤2d)", IF(OrdersTable[[#This Row],[Delivery Days]]&lt;=4, "Standard (3-4d)", "Delayed (5d+)"))</f>
        <v>Standard (3-4d)</v>
      </c>
      <c r="AF919">
        <v>0</v>
      </c>
    </row>
    <row r="920" spans="1:32" ht="15" x14ac:dyDescent="0.35">
      <c r="A920" t="s">
        <v>144</v>
      </c>
      <c r="B920" s="1">
        <v>45480</v>
      </c>
      <c r="C920">
        <f>YEAR(OrdersTable[[#This Row],[Order Date]])</f>
        <v>2024</v>
      </c>
      <c r="D920" s="2">
        <f>DATE(YEAR(OrdersTable[[#This Row],[Order Date]]),MONTH(OrdersTable[[#This Row],[Order Date]]),1)</f>
        <v>45474</v>
      </c>
      <c r="E920">
        <f>MONTH(OrdersTable[[#This Row],[Order Date]])</f>
        <v>7</v>
      </c>
      <c r="F920" t="s">
        <v>145</v>
      </c>
      <c r="G920" t="str">
        <f>IF(OrdersTable[[#This Row],[Order Date]]=_xlfn.MINIFS(Order_Date, Customer_ID, OrdersTable[[#This Row],[Customer ID]]), "New", "Repeat")</f>
        <v>New</v>
      </c>
      <c r="H920" t="s">
        <v>43</v>
      </c>
      <c r="I920" t="str">
        <f>INDEX(State!B:B,MATCH(OrdersTable[[#This Row],[State]],State!A:A,0))</f>
        <v>MP</v>
      </c>
      <c r="J920" t="str">
        <f>INDEX(State!C:C,MATCH(OrdersTable[[#This Row],[State Code]],State!B:B,0))</f>
        <v>West</v>
      </c>
      <c r="K920" t="s">
        <v>44</v>
      </c>
      <c r="L920" t="s">
        <v>65</v>
      </c>
      <c r="M920" t="s">
        <v>66</v>
      </c>
      <c r="N920" t="str">
        <f>INDEX(Products!B:B,MATCH(OrdersTable[[#This Row],[Product ID]],Products!A:A,0))</f>
        <v>Sunscreen SPF 50</v>
      </c>
      <c r="O920" t="str">
        <f>INDEX(Products!C:C,MATCH(OrdersTable[[#This Row],[Product ID]],Products!A:A,0))</f>
        <v>Skincare</v>
      </c>
      <c r="P920">
        <v>1</v>
      </c>
      <c r="Q920" s="5">
        <v>449</v>
      </c>
      <c r="R920" s="74">
        <v>0.05</v>
      </c>
      <c r="S920" s="75">
        <f>OrdersTable[[#This Row],[Quantity]]*OrdersTable[[#This Row],[Unit Price]]</f>
        <v>449</v>
      </c>
      <c r="T920" s="5">
        <f>OrdersTable[[#This Row],[Gross Sale]]*OrdersTable[[#This Row],[Discount_Clean2]]</f>
        <v>22.450000000000003</v>
      </c>
      <c r="U920" s="5">
        <f>OrdersTable[[#This Row],[Gross Sale]]-OrdersTable[[#This Row],[Discount Amount]]</f>
        <v>426.55</v>
      </c>
      <c r="V920" s="77">
        <f>INDEX(Products!E:E,MATCH(OrdersTable[[#This Row],[Product ID]],Products!A:A,0))</f>
        <v>144</v>
      </c>
      <c r="W920" s="77">
        <f>OrdersTable[[#This Row],[Quantity]]*OrdersTable[[#This Row],[Unit Cost]]</f>
        <v>144</v>
      </c>
      <c r="X920" s="77">
        <f>'Dropdown Lists'!$I$2*(1+OrdersTable[[#This Row],[Returned]])</f>
        <v>60</v>
      </c>
      <c r="Y920" s="76">
        <f>OrdersTable[[#This Row],[Net Revenue]]-OrdersTable[[#This Row],[COGS]]-OrdersTable[[#This Row],[Shipping Cost]]</f>
        <v>222.55</v>
      </c>
      <c r="Z920" s="78">
        <f>IFERROR(OrdersTable[[#This Row],[Profit]]/OrdersTable[[#This Row],[Net Revenue]],0)</f>
        <v>0.52174422693705313</v>
      </c>
      <c r="AA920" t="s">
        <v>18</v>
      </c>
      <c r="AB920" s="79">
        <v>45483</v>
      </c>
      <c r="AC920">
        <f>OrdersTable[[#This Row],[Delivery Date]]-OrdersTable[[#This Row],[Order Date]]</f>
        <v>3</v>
      </c>
      <c r="AD920" t="str">
        <f>IF(OrdersTable[[#This Row],[Delivery Days]]&lt;=2, "Express (≤2d)", IF(OrdersTable[[#This Row],[Delivery Days]]&lt;=4, "Standard (3-4d)", "Delayed (5d+)"))</f>
        <v>Standard (3-4d)</v>
      </c>
      <c r="AE920">
        <v>4</v>
      </c>
      <c r="AF920">
        <v>0</v>
      </c>
    </row>
    <row r="921" spans="1:32" ht="15" x14ac:dyDescent="0.35">
      <c r="A921" t="s">
        <v>3184</v>
      </c>
      <c r="B921" s="1">
        <v>45480</v>
      </c>
      <c r="C921">
        <f>YEAR(OrdersTable[[#This Row],[Order Date]])</f>
        <v>2024</v>
      </c>
      <c r="D921" s="2">
        <f>DATE(YEAR(OrdersTable[[#This Row],[Order Date]]),MONTH(OrdersTable[[#This Row],[Order Date]]),1)</f>
        <v>45474</v>
      </c>
      <c r="E921">
        <f>MONTH(OrdersTable[[#This Row],[Order Date]])</f>
        <v>7</v>
      </c>
      <c r="F921" t="s">
        <v>905</v>
      </c>
      <c r="G921" t="str">
        <f>IF(OrdersTable[[#This Row],[Order Date]]=_xlfn.MINIFS(Order_Date, Customer_ID, OrdersTable[[#This Row],[Customer ID]]), "New", "Repeat")</f>
        <v>Repeat</v>
      </c>
      <c r="H921" t="s">
        <v>27</v>
      </c>
      <c r="I921" t="str">
        <f>INDEX(State!B:B,MATCH(OrdersTable[[#This Row],[State]],State!A:A,0))</f>
        <v>WB</v>
      </c>
      <c r="J921" t="str">
        <f>INDEX(State!C:C,MATCH(OrdersTable[[#This Row],[State Code]],State!B:B,0))</f>
        <v>East</v>
      </c>
      <c r="K921" t="s">
        <v>28</v>
      </c>
      <c r="L921" t="s">
        <v>23</v>
      </c>
      <c r="M921" t="s">
        <v>106</v>
      </c>
      <c r="N921" t="str">
        <f>INDEX(Products!B:B,MATCH(OrdersTable[[#This Row],[Product ID]],Products!A:A,0))</f>
        <v>Keratin Hair Mask</v>
      </c>
      <c r="O921" t="str">
        <f>INDEX(Products!C:C,MATCH(OrdersTable[[#This Row],[Product ID]],Products!A:A,0))</f>
        <v>Haircare</v>
      </c>
      <c r="P921">
        <v>1</v>
      </c>
      <c r="Q921" s="5">
        <v>549</v>
      </c>
      <c r="R921" s="74">
        <v>0.2</v>
      </c>
      <c r="S921" s="75">
        <f>OrdersTable[[#This Row],[Quantity]]*OrdersTable[[#This Row],[Unit Price]]</f>
        <v>549</v>
      </c>
      <c r="T921" s="5">
        <f>OrdersTable[[#This Row],[Gross Sale]]*OrdersTable[[#This Row],[Discount_Clean2]]</f>
        <v>109.80000000000001</v>
      </c>
      <c r="U921" s="5">
        <f>OrdersTable[[#This Row],[Gross Sale]]-OrdersTable[[#This Row],[Discount Amount]]</f>
        <v>439.2</v>
      </c>
      <c r="V921" s="77">
        <f>INDEX(Products!E:E,MATCH(OrdersTable[[#This Row],[Product ID]],Products!A:A,0))</f>
        <v>170</v>
      </c>
      <c r="W921" s="77">
        <f>OrdersTable[[#This Row],[Quantity]]*OrdersTable[[#This Row],[Unit Cost]]</f>
        <v>170</v>
      </c>
      <c r="X921" s="77">
        <f>'Dropdown Lists'!$I$2*(1+OrdersTable[[#This Row],[Returned]])</f>
        <v>60</v>
      </c>
      <c r="Y921" s="76">
        <f>OrdersTable[[#This Row],[Net Revenue]]-OrdersTable[[#This Row],[COGS]]-OrdersTable[[#This Row],[Shipping Cost]]</f>
        <v>209.2</v>
      </c>
      <c r="Z921" s="78">
        <f>IFERROR(OrdersTable[[#This Row],[Profit]]/OrdersTable[[#This Row],[Net Revenue]],0)</f>
        <v>0.47632058287795992</v>
      </c>
      <c r="AA921" t="s">
        <v>2522</v>
      </c>
      <c r="AB921" s="79">
        <v>45484</v>
      </c>
      <c r="AC921">
        <f>OrdersTable[[#This Row],[Delivery Date]]-OrdersTable[[#This Row],[Order Date]]</f>
        <v>4</v>
      </c>
      <c r="AD921" t="str">
        <f>IF(OrdersTable[[#This Row],[Delivery Days]]&lt;=2, "Express (≤2d)", IF(OrdersTable[[#This Row],[Delivery Days]]&lt;=4, "Standard (3-4d)", "Delayed (5d+)"))</f>
        <v>Standard (3-4d)</v>
      </c>
      <c r="AE921">
        <v>4</v>
      </c>
      <c r="AF921">
        <v>0</v>
      </c>
    </row>
    <row r="922" spans="1:32" ht="15" x14ac:dyDescent="0.35">
      <c r="A922" t="s">
        <v>4471</v>
      </c>
      <c r="B922" s="1">
        <v>45480</v>
      </c>
      <c r="C922">
        <f>YEAR(OrdersTable[[#This Row],[Order Date]])</f>
        <v>2024</v>
      </c>
      <c r="D922" s="2">
        <f>DATE(YEAR(OrdersTable[[#This Row],[Order Date]]),MONTH(OrdersTable[[#This Row],[Order Date]]),1)</f>
        <v>45474</v>
      </c>
      <c r="E922">
        <f>MONTH(OrdersTable[[#This Row],[Order Date]])</f>
        <v>7</v>
      </c>
      <c r="F922" t="s">
        <v>4472</v>
      </c>
      <c r="G922" t="str">
        <f>IF(OrdersTable[[#This Row],[Order Date]]=_xlfn.MINIFS(Order_Date, Customer_ID, OrdersTable[[#This Row],[Customer ID]]), "New", "Repeat")</f>
        <v>New</v>
      </c>
      <c r="H922" t="s">
        <v>27</v>
      </c>
      <c r="I922" t="str">
        <f>INDEX(State!B:B,MATCH(OrdersTable[[#This Row],[State]],State!A:A,0))</f>
        <v>WB</v>
      </c>
      <c r="J922" t="str">
        <f>INDEX(State!C:C,MATCH(OrdersTable[[#This Row],[State Code]],State!B:B,0))</f>
        <v>East</v>
      </c>
      <c r="K922" t="s">
        <v>28</v>
      </c>
      <c r="L922" t="s">
        <v>50</v>
      </c>
      <c r="M922" t="s">
        <v>45</v>
      </c>
      <c r="N922" t="str">
        <f>INDEX(Products!B:B,MATCH(OrdersTable[[#This Row],[Product ID]],Products!A:A,0))</f>
        <v>Argan Shampoo</v>
      </c>
      <c r="O922" t="str">
        <f>INDEX(Products!C:C,MATCH(OrdersTable[[#This Row],[Product ID]],Products!A:A,0))</f>
        <v>Haircare</v>
      </c>
      <c r="P922">
        <v>1</v>
      </c>
      <c r="Q922" s="5">
        <v>449</v>
      </c>
      <c r="R922" s="74">
        <v>0.1</v>
      </c>
      <c r="S922" s="75">
        <f>OrdersTable[[#This Row],[Quantity]]*OrdersTable[[#This Row],[Unit Price]]</f>
        <v>449</v>
      </c>
      <c r="T922" s="5">
        <f>OrdersTable[[#This Row],[Gross Sale]]*OrdersTable[[#This Row],[Discount_Clean2]]</f>
        <v>44.900000000000006</v>
      </c>
      <c r="U922" s="5">
        <f>OrdersTable[[#This Row],[Gross Sale]]-OrdersTable[[#This Row],[Discount Amount]]</f>
        <v>404.1</v>
      </c>
      <c r="V922" s="77">
        <f>INDEX(Products!E:E,MATCH(OrdersTable[[#This Row],[Product ID]],Products!A:A,0))</f>
        <v>148</v>
      </c>
      <c r="W922" s="77">
        <f>OrdersTable[[#This Row],[Quantity]]*OrdersTable[[#This Row],[Unit Cost]]</f>
        <v>148</v>
      </c>
      <c r="X922" s="77">
        <f>'Dropdown Lists'!$I$2*(1+OrdersTable[[#This Row],[Returned]])</f>
        <v>60</v>
      </c>
      <c r="Y922" s="76">
        <f>OrdersTable[[#This Row],[Net Revenue]]-OrdersTable[[#This Row],[COGS]]-OrdersTable[[#This Row],[Shipping Cost]]</f>
        <v>196.10000000000002</v>
      </c>
      <c r="Z922" s="78">
        <f>IFERROR(OrdersTable[[#This Row],[Profit]]/OrdersTable[[#This Row],[Net Revenue]],0)</f>
        <v>0.48527592180153428</v>
      </c>
      <c r="AA922" t="s">
        <v>4450</v>
      </c>
      <c r="AB922" s="79">
        <v>45483</v>
      </c>
      <c r="AC922">
        <f>OrdersTable[[#This Row],[Delivery Date]]-OrdersTable[[#This Row],[Order Date]]</f>
        <v>3</v>
      </c>
      <c r="AD922" t="str">
        <f>IF(OrdersTable[[#This Row],[Delivery Days]]&lt;=2, "Express (≤2d)", IF(OrdersTable[[#This Row],[Delivery Days]]&lt;=4, "Standard (3-4d)", "Delayed (5d+)"))</f>
        <v>Standard (3-4d)</v>
      </c>
      <c r="AE922">
        <v>4</v>
      </c>
      <c r="AF922">
        <v>0</v>
      </c>
    </row>
    <row r="923" spans="1:32" ht="15" x14ac:dyDescent="0.35">
      <c r="A923" t="s">
        <v>916</v>
      </c>
      <c r="B923" s="1">
        <v>45480</v>
      </c>
      <c r="C923">
        <f>YEAR(OrdersTable[[#This Row],[Order Date]])</f>
        <v>2024</v>
      </c>
      <c r="D923" s="2">
        <f>DATE(YEAR(OrdersTable[[#This Row],[Order Date]]),MONTH(OrdersTable[[#This Row],[Order Date]]),1)</f>
        <v>45474</v>
      </c>
      <c r="E923">
        <f>MONTH(OrdersTable[[#This Row],[Order Date]])</f>
        <v>7</v>
      </c>
      <c r="F923" t="s">
        <v>917</v>
      </c>
      <c r="G923" t="str">
        <f>IF(OrdersTable[[#This Row],[Order Date]]=_xlfn.MINIFS(Order_Date, Customer_ID, OrdersTable[[#This Row],[Customer ID]]), "New", "Repeat")</f>
        <v>New</v>
      </c>
      <c r="H923" t="s">
        <v>71</v>
      </c>
      <c r="I923" t="str">
        <f>INDEX(State!B:B,MATCH(OrdersTable[[#This Row],[State]],State!A:A,0))</f>
        <v>MH</v>
      </c>
      <c r="J923" t="str">
        <f>INDEX(State!C:C,MATCH(OrdersTable[[#This Row],[State Code]],State!B:B,0))</f>
        <v>West</v>
      </c>
      <c r="K923" t="s">
        <v>102</v>
      </c>
      <c r="L923" t="s">
        <v>23</v>
      </c>
      <c r="M923" t="s">
        <v>40</v>
      </c>
      <c r="N923" t="str">
        <f>INDEX(Products!B:B,MATCH(OrdersTable[[#This Row],[Product ID]],Products!A:A,0))</f>
        <v>Ashwagandha Capsules</v>
      </c>
      <c r="O923" t="str">
        <f>INDEX(Products!C:C,MATCH(OrdersTable[[#This Row],[Product ID]],Products!A:A,0))</f>
        <v>Wellness</v>
      </c>
      <c r="P923">
        <v>1</v>
      </c>
      <c r="Q923" s="5">
        <v>499</v>
      </c>
      <c r="R923" s="74">
        <v>0</v>
      </c>
      <c r="S923" s="75">
        <f>OrdersTable[[#This Row],[Quantity]]*OrdersTable[[#This Row],[Unit Price]]</f>
        <v>499</v>
      </c>
      <c r="T923" s="5">
        <f>OrdersTable[[#This Row],[Gross Sale]]*OrdersTable[[#This Row],[Discount_Clean2]]</f>
        <v>0</v>
      </c>
      <c r="U923" s="5">
        <f>OrdersTable[[#This Row],[Gross Sale]]-OrdersTable[[#This Row],[Discount Amount]]</f>
        <v>499</v>
      </c>
      <c r="V923" s="77">
        <f>INDEX(Products!E:E,MATCH(OrdersTable[[#This Row],[Product ID]],Products!A:A,0))</f>
        <v>150</v>
      </c>
      <c r="W923" s="77">
        <f>OrdersTable[[#This Row],[Quantity]]*OrdersTable[[#This Row],[Unit Cost]]</f>
        <v>150</v>
      </c>
      <c r="X923" s="77">
        <f>'Dropdown Lists'!$I$2*(1+OrdersTable[[#This Row],[Returned]])</f>
        <v>60</v>
      </c>
      <c r="Y923" s="76">
        <f>OrdersTable[[#This Row],[Net Revenue]]-OrdersTable[[#This Row],[COGS]]-OrdersTable[[#This Row],[Shipping Cost]]</f>
        <v>289</v>
      </c>
      <c r="Z923" s="78">
        <f>IFERROR(OrdersTable[[#This Row],[Profit]]/OrdersTable[[#This Row],[Net Revenue]],0)</f>
        <v>0.57915831663326656</v>
      </c>
      <c r="AA923" t="s">
        <v>18</v>
      </c>
      <c r="AB923" s="79">
        <v>45481</v>
      </c>
      <c r="AC923">
        <f>OrdersTable[[#This Row],[Delivery Date]]-OrdersTable[[#This Row],[Order Date]]</f>
        <v>1</v>
      </c>
      <c r="AD923" t="str">
        <f>IF(OrdersTable[[#This Row],[Delivery Days]]&lt;=2, "Express (≤2d)", IF(OrdersTable[[#This Row],[Delivery Days]]&lt;=4, "Standard (3-4d)", "Delayed (5d+)"))</f>
        <v>Express (≤2d)</v>
      </c>
      <c r="AE923">
        <v>4</v>
      </c>
      <c r="AF923">
        <v>0</v>
      </c>
    </row>
    <row r="924" spans="1:32" ht="15" x14ac:dyDescent="0.35">
      <c r="A924" t="s">
        <v>2280</v>
      </c>
      <c r="B924" s="1">
        <v>45480</v>
      </c>
      <c r="C924">
        <f>YEAR(OrdersTable[[#This Row],[Order Date]])</f>
        <v>2024</v>
      </c>
      <c r="D924" s="2">
        <f>DATE(YEAR(OrdersTable[[#This Row],[Order Date]]),MONTH(OrdersTable[[#This Row],[Order Date]]),1)</f>
        <v>45474</v>
      </c>
      <c r="E924">
        <f>MONTH(OrdersTable[[#This Row],[Order Date]])</f>
        <v>7</v>
      </c>
      <c r="F924" t="s">
        <v>2281</v>
      </c>
      <c r="G924" t="str">
        <f>IF(OrdersTable[[#This Row],[Order Date]]=_xlfn.MINIFS(Order_Date, Customer_ID, OrdersTable[[#This Row],[Customer ID]]), "New", "Repeat")</f>
        <v>New</v>
      </c>
      <c r="H924" t="s">
        <v>95</v>
      </c>
      <c r="I924" t="str">
        <f>INDEX(State!B:B,MATCH(OrdersTable[[#This Row],[State]],State!A:A,0))</f>
        <v>TG</v>
      </c>
      <c r="J924" t="str">
        <f>INDEX(State!C:C,MATCH(OrdersTable[[#This Row],[State Code]],State!B:B,0))</f>
        <v>South</v>
      </c>
      <c r="K924" t="s">
        <v>96</v>
      </c>
      <c r="L924" t="s">
        <v>23</v>
      </c>
      <c r="M924" t="s">
        <v>255</v>
      </c>
      <c r="N924" t="str">
        <f>INDEX(Products!B:B,MATCH(OrdersTable[[#This Row],[Product ID]],Products!A:A,0))</f>
        <v>Cotton Oversized T-Shirt</v>
      </c>
      <c r="O924" t="str">
        <f>INDEX(Products!C:C,MATCH(OrdersTable[[#This Row],[Product ID]],Products!A:A,0))</f>
        <v>Apparel</v>
      </c>
      <c r="P924">
        <v>1</v>
      </c>
      <c r="Q924" s="5">
        <v>799</v>
      </c>
      <c r="R924" s="74">
        <v>0.05</v>
      </c>
      <c r="S924" s="75">
        <f>OrdersTable[[#This Row],[Quantity]]*OrdersTable[[#This Row],[Unit Price]]</f>
        <v>799</v>
      </c>
      <c r="T924" s="5">
        <f>OrdersTable[[#This Row],[Gross Sale]]*OrdersTable[[#This Row],[Discount_Clean2]]</f>
        <v>39.950000000000003</v>
      </c>
      <c r="U924" s="5">
        <f>OrdersTable[[#This Row],[Gross Sale]]-OrdersTable[[#This Row],[Discount Amount]]</f>
        <v>759.05</v>
      </c>
      <c r="V924" s="77">
        <f>INDEX(Products!E:E,MATCH(OrdersTable[[#This Row],[Product ID]],Products!A:A,0))</f>
        <v>320</v>
      </c>
      <c r="W924" s="77">
        <f>OrdersTable[[#This Row],[Quantity]]*OrdersTable[[#This Row],[Unit Cost]]</f>
        <v>320</v>
      </c>
      <c r="X924" s="77">
        <f>'Dropdown Lists'!$I$2*(1+OrdersTable[[#This Row],[Returned]])</f>
        <v>60</v>
      </c>
      <c r="Y924" s="76">
        <f>OrdersTable[[#This Row],[Net Revenue]]-OrdersTable[[#This Row],[COGS]]-OrdersTable[[#This Row],[Shipping Cost]]</f>
        <v>379.04999999999995</v>
      </c>
      <c r="Z924" s="78">
        <f>IFERROR(OrdersTable[[#This Row],[Profit]]/OrdersTable[[#This Row],[Net Revenue]],0)</f>
        <v>0.49937421777221525</v>
      </c>
      <c r="AA924" t="s">
        <v>18</v>
      </c>
      <c r="AB924" s="79">
        <v>45482</v>
      </c>
      <c r="AC924">
        <f>OrdersTable[[#This Row],[Delivery Date]]-OrdersTable[[#This Row],[Order Date]]</f>
        <v>2</v>
      </c>
      <c r="AD924" t="str">
        <f>IF(OrdersTable[[#This Row],[Delivery Days]]&lt;=2, "Express (≤2d)", IF(OrdersTable[[#This Row],[Delivery Days]]&lt;=4, "Standard (3-4d)", "Delayed (5d+)"))</f>
        <v>Express (≤2d)</v>
      </c>
      <c r="AE924">
        <v>5</v>
      </c>
      <c r="AF924">
        <v>0</v>
      </c>
    </row>
    <row r="925" spans="1:32" ht="15" x14ac:dyDescent="0.35">
      <c r="A925" t="s">
        <v>2282</v>
      </c>
      <c r="B925" s="1">
        <v>45480</v>
      </c>
      <c r="C925">
        <f>YEAR(OrdersTable[[#This Row],[Order Date]])</f>
        <v>2024</v>
      </c>
      <c r="D925" s="2">
        <f>DATE(YEAR(OrdersTable[[#This Row],[Order Date]]),MONTH(OrdersTable[[#This Row],[Order Date]]),1)</f>
        <v>45474</v>
      </c>
      <c r="E925">
        <f>MONTH(OrdersTable[[#This Row],[Order Date]])</f>
        <v>7</v>
      </c>
      <c r="F925" t="s">
        <v>2283</v>
      </c>
      <c r="G925" t="str">
        <f>IF(OrdersTable[[#This Row],[Order Date]]=_xlfn.MINIFS(Order_Date, Customer_ID, OrdersTable[[#This Row],[Customer ID]]), "New", "Repeat")</f>
        <v>Repeat</v>
      </c>
      <c r="H925" t="s">
        <v>14</v>
      </c>
      <c r="I925" t="str">
        <f>INDEX(State!B:B,MATCH(OrdersTable[[#This Row],[State]],State!A:A,0))</f>
        <v>OD</v>
      </c>
      <c r="J925" t="str">
        <f>INDEX(State!C:C,MATCH(OrdersTable[[#This Row],[State Code]],State!B:B,0))</f>
        <v>East</v>
      </c>
      <c r="K925" t="s">
        <v>15</v>
      </c>
      <c r="L925" t="s">
        <v>50</v>
      </c>
      <c r="M925" t="s">
        <v>73</v>
      </c>
      <c r="N925" t="str">
        <f>INDEX(Products!B:B,MATCH(OrdersTable[[#This Row],[Product ID]],Products!A:A,0))</f>
        <v>Hydrating Face Wash</v>
      </c>
      <c r="O925" t="str">
        <f>INDEX(Products!C:C,MATCH(OrdersTable[[#This Row],[Product ID]],Products!A:A,0))</f>
        <v>Skincare</v>
      </c>
      <c r="P925">
        <v>1</v>
      </c>
      <c r="Q925" s="5">
        <v>299</v>
      </c>
      <c r="R925" s="74">
        <v>0</v>
      </c>
      <c r="S925" s="75">
        <f>OrdersTable[[#This Row],[Quantity]]*OrdersTable[[#This Row],[Unit Price]]</f>
        <v>299</v>
      </c>
      <c r="T925" s="5">
        <f>OrdersTable[[#This Row],[Gross Sale]]*OrdersTable[[#This Row],[Discount_Clean2]]</f>
        <v>0</v>
      </c>
      <c r="U925" s="5">
        <f>OrdersTable[[#This Row],[Gross Sale]]-OrdersTable[[#This Row],[Discount Amount]]</f>
        <v>299</v>
      </c>
      <c r="V925" s="77">
        <f>INDEX(Products!E:E,MATCH(OrdersTable[[#This Row],[Product ID]],Products!A:A,0))</f>
        <v>90</v>
      </c>
      <c r="W925" s="77">
        <f>OrdersTable[[#This Row],[Quantity]]*OrdersTable[[#This Row],[Unit Cost]]</f>
        <v>90</v>
      </c>
      <c r="X925" s="77">
        <f>'Dropdown Lists'!$I$2*(1+OrdersTable[[#This Row],[Returned]])</f>
        <v>60</v>
      </c>
      <c r="Y925" s="76">
        <f>OrdersTable[[#This Row],[Net Revenue]]-OrdersTable[[#This Row],[COGS]]-OrdersTable[[#This Row],[Shipping Cost]]</f>
        <v>149</v>
      </c>
      <c r="Z925" s="78">
        <f>IFERROR(OrdersTable[[#This Row],[Profit]]/OrdersTable[[#This Row],[Net Revenue]],0)</f>
        <v>0.49832775919732442</v>
      </c>
      <c r="AA925" t="s">
        <v>18</v>
      </c>
      <c r="AB925" s="79">
        <v>45485</v>
      </c>
      <c r="AC925">
        <f>OrdersTable[[#This Row],[Delivery Date]]-OrdersTable[[#This Row],[Order Date]]</f>
        <v>5</v>
      </c>
      <c r="AD925" t="str">
        <f>IF(OrdersTable[[#This Row],[Delivery Days]]&lt;=2, "Express (≤2d)", IF(OrdersTable[[#This Row],[Delivery Days]]&lt;=4, "Standard (3-4d)", "Delayed (5d+)"))</f>
        <v>Delayed (5d+)</v>
      </c>
      <c r="AE925">
        <v>5</v>
      </c>
      <c r="AF925">
        <v>0</v>
      </c>
    </row>
    <row r="926" spans="1:32" ht="15" x14ac:dyDescent="0.35">
      <c r="A926" t="s">
        <v>2919</v>
      </c>
      <c r="B926" s="1">
        <v>45480</v>
      </c>
      <c r="C926">
        <f>YEAR(OrdersTable[[#This Row],[Order Date]])</f>
        <v>2024</v>
      </c>
      <c r="D926" s="2">
        <f>DATE(YEAR(OrdersTable[[#This Row],[Order Date]]),MONTH(OrdersTable[[#This Row],[Order Date]]),1)</f>
        <v>45474</v>
      </c>
      <c r="E926">
        <f>MONTH(OrdersTable[[#This Row],[Order Date]])</f>
        <v>7</v>
      </c>
      <c r="F926" t="s">
        <v>2920</v>
      </c>
      <c r="G926" t="str">
        <f>IF(OrdersTable[[#This Row],[Order Date]]=_xlfn.MINIFS(Order_Date, Customer_ID, OrdersTable[[#This Row],[Customer ID]]), "New", "Repeat")</f>
        <v>New</v>
      </c>
      <c r="H926" t="s">
        <v>316</v>
      </c>
      <c r="I926" t="str">
        <f>INDEX(State!B:B,MATCH(OrdersTable[[#This Row],[State]],State!A:A,0))</f>
        <v>KL</v>
      </c>
      <c r="J926" t="str">
        <f>INDEX(State!C:C,MATCH(OrdersTable[[#This Row],[State Code]],State!B:B,0))</f>
        <v>South</v>
      </c>
      <c r="K926" t="s">
        <v>317</v>
      </c>
      <c r="L926" t="s">
        <v>23</v>
      </c>
      <c r="M926" t="s">
        <v>45</v>
      </c>
      <c r="N926" t="str">
        <f>INDEX(Products!B:B,MATCH(OrdersTable[[#This Row],[Product ID]],Products!A:A,0))</f>
        <v>Argan Shampoo</v>
      </c>
      <c r="O926" t="str">
        <f>INDEX(Products!C:C,MATCH(OrdersTable[[#This Row],[Product ID]],Products!A:A,0))</f>
        <v>Haircare</v>
      </c>
      <c r="P926">
        <v>1</v>
      </c>
      <c r="Q926" s="5">
        <v>449</v>
      </c>
      <c r="R926" s="74">
        <v>0.05</v>
      </c>
      <c r="S926" s="75">
        <f>OrdersTable[[#This Row],[Quantity]]*OrdersTable[[#This Row],[Unit Price]]</f>
        <v>449</v>
      </c>
      <c r="T926" s="5">
        <f>OrdersTable[[#This Row],[Gross Sale]]*OrdersTable[[#This Row],[Discount_Clean2]]</f>
        <v>22.450000000000003</v>
      </c>
      <c r="U926" s="5">
        <f>OrdersTable[[#This Row],[Gross Sale]]-OrdersTable[[#This Row],[Discount Amount]]</f>
        <v>426.55</v>
      </c>
      <c r="V926" s="77">
        <f>INDEX(Products!E:E,MATCH(OrdersTable[[#This Row],[Product ID]],Products!A:A,0))</f>
        <v>148</v>
      </c>
      <c r="W926" s="77">
        <f>OrdersTable[[#This Row],[Quantity]]*OrdersTable[[#This Row],[Unit Cost]]</f>
        <v>148</v>
      </c>
      <c r="X926" s="77">
        <f>'Dropdown Lists'!$I$2*(1+OrdersTable[[#This Row],[Returned]])</f>
        <v>60</v>
      </c>
      <c r="Y926" s="76">
        <f>OrdersTable[[#This Row],[Net Revenue]]-OrdersTable[[#This Row],[COGS]]-OrdersTable[[#This Row],[Shipping Cost]]</f>
        <v>218.55</v>
      </c>
      <c r="Z926" s="78">
        <f>IFERROR(OrdersTable[[#This Row],[Profit]]/OrdersTable[[#This Row],[Net Revenue]],0)</f>
        <v>0.51236666275934828</v>
      </c>
      <c r="AA926" t="s">
        <v>2522</v>
      </c>
      <c r="AB926" s="79">
        <v>45486</v>
      </c>
      <c r="AC926">
        <f>OrdersTable[[#This Row],[Delivery Date]]-OrdersTable[[#This Row],[Order Date]]</f>
        <v>6</v>
      </c>
      <c r="AD926" t="str">
        <f>IF(OrdersTable[[#This Row],[Delivery Days]]&lt;=2, "Express (≤2d)", IF(OrdersTable[[#This Row],[Delivery Days]]&lt;=4, "Standard (3-4d)", "Delayed (5d+)"))</f>
        <v>Delayed (5d+)</v>
      </c>
      <c r="AF926">
        <v>0</v>
      </c>
    </row>
    <row r="927" spans="1:32" ht="15" x14ac:dyDescent="0.35">
      <c r="A927" t="s">
        <v>146</v>
      </c>
      <c r="B927" s="1">
        <v>45480</v>
      </c>
      <c r="C927">
        <f>YEAR(OrdersTable[[#This Row],[Order Date]])</f>
        <v>2024</v>
      </c>
      <c r="D927" s="2">
        <f>DATE(YEAR(OrdersTable[[#This Row],[Order Date]]),MONTH(OrdersTable[[#This Row],[Order Date]]),1)</f>
        <v>45474</v>
      </c>
      <c r="E927">
        <f>MONTH(OrdersTable[[#This Row],[Order Date]])</f>
        <v>7</v>
      </c>
      <c r="F927" t="s">
        <v>147</v>
      </c>
      <c r="G927" t="str">
        <f>IF(OrdersTable[[#This Row],[Order Date]]=_xlfn.MINIFS(Order_Date, Customer_ID, OrdersTable[[#This Row],[Customer ID]]), "New", "Repeat")</f>
        <v>New</v>
      </c>
      <c r="H927" t="s">
        <v>59</v>
      </c>
      <c r="I927" t="str">
        <f>INDEX(State!B:B,MATCH(OrdersTable[[#This Row],[State]],State!A:A,0))</f>
        <v>TN</v>
      </c>
      <c r="J927" t="str">
        <f>INDEX(State!C:C,MATCH(OrdersTable[[#This Row],[State Code]],State!B:B,0))</f>
        <v>South</v>
      </c>
      <c r="K927" t="s">
        <v>60</v>
      </c>
      <c r="L927" t="s">
        <v>65</v>
      </c>
      <c r="M927" t="s">
        <v>148</v>
      </c>
      <c r="N927" t="str">
        <f>INDEX(Products!B:B,MATCH(OrdersTable[[#This Row],[Product ID]],Products!A:A,0))</f>
        <v>Smartwatch Strap</v>
      </c>
      <c r="O927" t="str">
        <f>INDEX(Products!C:C,MATCH(OrdersTable[[#This Row],[Product ID]],Products!A:A,0))</f>
        <v>Electronics</v>
      </c>
      <c r="P927">
        <v>1</v>
      </c>
      <c r="Q927" s="5">
        <v>499</v>
      </c>
      <c r="R927" s="74">
        <v>0.1</v>
      </c>
      <c r="S927" s="75">
        <f>OrdersTable[[#This Row],[Quantity]]*OrdersTable[[#This Row],[Unit Price]]</f>
        <v>499</v>
      </c>
      <c r="T927" s="5">
        <f>OrdersTable[[#This Row],[Gross Sale]]*OrdersTable[[#This Row],[Discount_Clean2]]</f>
        <v>49.900000000000006</v>
      </c>
      <c r="U927" s="5">
        <f>OrdersTable[[#This Row],[Gross Sale]]-OrdersTable[[#This Row],[Discount Amount]]</f>
        <v>449.1</v>
      </c>
      <c r="V927" s="77">
        <f>INDEX(Products!E:E,MATCH(OrdersTable[[#This Row],[Product ID]],Products!A:A,0))</f>
        <v>200</v>
      </c>
      <c r="W927" s="77">
        <f>OrdersTable[[#This Row],[Quantity]]*OrdersTable[[#This Row],[Unit Cost]]</f>
        <v>200</v>
      </c>
      <c r="X927" s="77">
        <f>'Dropdown Lists'!$I$2*(1+OrdersTable[[#This Row],[Returned]])</f>
        <v>60</v>
      </c>
      <c r="Y927" s="76">
        <f>OrdersTable[[#This Row],[Net Revenue]]-OrdersTable[[#This Row],[COGS]]-OrdersTable[[#This Row],[Shipping Cost]]</f>
        <v>189.10000000000002</v>
      </c>
      <c r="Z927" s="78">
        <f>IFERROR(OrdersTable[[#This Row],[Profit]]/OrdersTable[[#This Row],[Net Revenue]],0)</f>
        <v>0.42106435092407041</v>
      </c>
      <c r="AA927" t="s">
        <v>18</v>
      </c>
      <c r="AB927" s="79">
        <v>45483</v>
      </c>
      <c r="AC927">
        <f>OrdersTable[[#This Row],[Delivery Date]]-OrdersTable[[#This Row],[Order Date]]</f>
        <v>3</v>
      </c>
      <c r="AD927" t="str">
        <f>IF(OrdersTable[[#This Row],[Delivery Days]]&lt;=2, "Express (≤2d)", IF(OrdersTable[[#This Row],[Delivery Days]]&lt;=4, "Standard (3-4d)", "Delayed (5d+)"))</f>
        <v>Standard (3-4d)</v>
      </c>
      <c r="AE927">
        <v>4</v>
      </c>
      <c r="AF927">
        <v>0</v>
      </c>
    </row>
    <row r="928" spans="1:32" ht="15" x14ac:dyDescent="0.35">
      <c r="A928" t="s">
        <v>149</v>
      </c>
      <c r="B928" s="1">
        <v>45481</v>
      </c>
      <c r="C928">
        <f>YEAR(OrdersTable[[#This Row],[Order Date]])</f>
        <v>2024</v>
      </c>
      <c r="D928" s="2">
        <f>DATE(YEAR(OrdersTable[[#This Row],[Order Date]]),MONTH(OrdersTable[[#This Row],[Order Date]]),1)</f>
        <v>45474</v>
      </c>
      <c r="E928">
        <f>MONTH(OrdersTable[[#This Row],[Order Date]])</f>
        <v>7</v>
      </c>
      <c r="F928" t="s">
        <v>150</v>
      </c>
      <c r="G928" t="str">
        <f>IF(OrdersTable[[#This Row],[Order Date]]=_xlfn.MINIFS(Order_Date, Customer_ID, OrdersTable[[#This Row],[Customer ID]]), "New", "Repeat")</f>
        <v>New</v>
      </c>
      <c r="H928" t="s">
        <v>48</v>
      </c>
      <c r="I928" t="str">
        <f>INDEX(State!B:B,MATCH(OrdersTable[[#This Row],[State]],State!A:A,0))</f>
        <v>HR</v>
      </c>
      <c r="J928" t="str">
        <f>INDEX(State!C:C,MATCH(OrdersTable[[#This Row],[State Code]],State!B:B,0))</f>
        <v>North</v>
      </c>
      <c r="K928" t="s">
        <v>151</v>
      </c>
      <c r="L928" t="s">
        <v>50</v>
      </c>
      <c r="M928" t="s">
        <v>152</v>
      </c>
      <c r="N928" t="str">
        <f>INDEX(Products!B:B,MATCH(OrdersTable[[#This Row],[Product ID]],Products!A:A,0))</f>
        <v>Green Tea (100 bags)</v>
      </c>
      <c r="O928" t="str">
        <f>INDEX(Products!C:C,MATCH(OrdersTable[[#This Row],[Product ID]],Products!A:A,0))</f>
        <v>Wellness</v>
      </c>
      <c r="P928">
        <v>1</v>
      </c>
      <c r="Q928" s="5">
        <v>399</v>
      </c>
      <c r="R928" s="74">
        <v>0.3</v>
      </c>
      <c r="S928" s="75">
        <f>OrdersTable[[#This Row],[Quantity]]*OrdersTable[[#This Row],[Unit Price]]</f>
        <v>399</v>
      </c>
      <c r="T928" s="5">
        <f>OrdersTable[[#This Row],[Gross Sale]]*OrdersTable[[#This Row],[Discount_Clean2]]</f>
        <v>119.69999999999999</v>
      </c>
      <c r="U928" s="5">
        <f>OrdersTable[[#This Row],[Gross Sale]]-OrdersTable[[#This Row],[Discount Amount]]</f>
        <v>279.3</v>
      </c>
      <c r="V928" s="77">
        <f>INDEX(Products!E:E,MATCH(OrdersTable[[#This Row],[Product ID]],Products!A:A,0))</f>
        <v>128</v>
      </c>
      <c r="W928" s="77">
        <f>OrdersTable[[#This Row],[Quantity]]*OrdersTable[[#This Row],[Unit Cost]]</f>
        <v>128</v>
      </c>
      <c r="X928" s="77">
        <f>'Dropdown Lists'!$I$2*(1+OrdersTable[[#This Row],[Returned]])</f>
        <v>60</v>
      </c>
      <c r="Y928" s="76">
        <f>OrdersTable[[#This Row],[Net Revenue]]-OrdersTable[[#This Row],[COGS]]-OrdersTable[[#This Row],[Shipping Cost]]</f>
        <v>91.300000000000011</v>
      </c>
      <c r="Z928" s="78">
        <f>IFERROR(OrdersTable[[#This Row],[Profit]]/OrdersTable[[#This Row],[Net Revenue]],0)</f>
        <v>0.32688865019692093</v>
      </c>
      <c r="AA928" t="s">
        <v>18</v>
      </c>
      <c r="AB928" s="79">
        <v>45484</v>
      </c>
      <c r="AC928">
        <f>OrdersTable[[#This Row],[Delivery Date]]-OrdersTable[[#This Row],[Order Date]]</f>
        <v>3</v>
      </c>
      <c r="AD928" t="str">
        <f>IF(OrdersTable[[#This Row],[Delivery Days]]&lt;=2, "Express (≤2d)", IF(OrdersTable[[#This Row],[Delivery Days]]&lt;=4, "Standard (3-4d)", "Delayed (5d+)"))</f>
        <v>Standard (3-4d)</v>
      </c>
      <c r="AE928">
        <v>4</v>
      </c>
      <c r="AF928">
        <v>0</v>
      </c>
    </row>
    <row r="929" spans="1:32" ht="15" x14ac:dyDescent="0.35">
      <c r="A929" t="s">
        <v>4230</v>
      </c>
      <c r="B929" s="1">
        <v>45481</v>
      </c>
      <c r="C929">
        <f>YEAR(OrdersTable[[#This Row],[Order Date]])</f>
        <v>2024</v>
      </c>
      <c r="D929" s="2">
        <f>DATE(YEAR(OrdersTable[[#This Row],[Order Date]]),MONTH(OrdersTable[[#This Row],[Order Date]]),1)</f>
        <v>45474</v>
      </c>
      <c r="E929">
        <f>MONTH(OrdersTable[[#This Row],[Order Date]])</f>
        <v>7</v>
      </c>
      <c r="F929" t="s">
        <v>648</v>
      </c>
      <c r="G929" t="str">
        <f>IF(OrdersTable[[#This Row],[Order Date]]=_xlfn.MINIFS(Order_Date, Customer_ID, OrdersTable[[#This Row],[Customer ID]]), "New", "Repeat")</f>
        <v>Repeat</v>
      </c>
      <c r="H929" t="s">
        <v>128</v>
      </c>
      <c r="I929" t="str">
        <f>INDEX(State!B:B,MATCH(OrdersTable[[#This Row],[State]],State!A:A,0))</f>
        <v>DL</v>
      </c>
      <c r="J929" t="str">
        <f>INDEX(State!C:C,MATCH(OrdersTable[[#This Row],[State Code]],State!B:B,0))</f>
        <v>North</v>
      </c>
      <c r="K929" t="s">
        <v>129</v>
      </c>
      <c r="L929" t="s">
        <v>65</v>
      </c>
      <c r="M929" t="s">
        <v>56</v>
      </c>
      <c r="N929" t="str">
        <f>INDEX(Products!B:B,MATCH(OrdersTable[[#This Row],[Product ID]],Products!A:A,0))</f>
        <v>Vitamin C Face Serum</v>
      </c>
      <c r="O929" t="str">
        <f>INDEX(Products!C:C,MATCH(OrdersTable[[#This Row],[Product ID]],Products!A:A,0))</f>
        <v>Skincare</v>
      </c>
      <c r="P929">
        <v>1</v>
      </c>
      <c r="Q929" s="5">
        <v>599</v>
      </c>
      <c r="R929" s="74">
        <v>0.15</v>
      </c>
      <c r="S929" s="75">
        <f>OrdersTable[[#This Row],[Quantity]]*OrdersTable[[#This Row],[Unit Price]]</f>
        <v>599</v>
      </c>
      <c r="T929" s="5">
        <f>OrdersTable[[#This Row],[Gross Sale]]*OrdersTable[[#This Row],[Discount_Clean2]]</f>
        <v>89.85</v>
      </c>
      <c r="U929" s="5">
        <f>OrdersTable[[#This Row],[Gross Sale]]-OrdersTable[[#This Row],[Discount Amount]]</f>
        <v>509.15</v>
      </c>
      <c r="V929" s="77">
        <f>INDEX(Products!E:E,MATCH(OrdersTable[[#This Row],[Product ID]],Products!A:A,0))</f>
        <v>180</v>
      </c>
      <c r="W929" s="77">
        <f>OrdersTable[[#This Row],[Quantity]]*OrdersTable[[#This Row],[Unit Cost]]</f>
        <v>180</v>
      </c>
      <c r="X929" s="77">
        <f>'Dropdown Lists'!$I$2*(1+OrdersTable[[#This Row],[Returned]])</f>
        <v>60</v>
      </c>
      <c r="Y929" s="76">
        <f>OrdersTable[[#This Row],[Net Revenue]]-OrdersTable[[#This Row],[COGS]]-OrdersTable[[#This Row],[Shipping Cost]]</f>
        <v>269.14999999999998</v>
      </c>
      <c r="Z929" s="78">
        <f>IFERROR(OrdersTable[[#This Row],[Profit]]/OrdersTable[[#This Row],[Net Revenue]],0)</f>
        <v>0.52862614160856325</v>
      </c>
      <c r="AA929" t="s">
        <v>4074</v>
      </c>
      <c r="AB929" s="79">
        <v>45483</v>
      </c>
      <c r="AC929">
        <f>OrdersTable[[#This Row],[Delivery Date]]-OrdersTable[[#This Row],[Order Date]]</f>
        <v>2</v>
      </c>
      <c r="AD929" t="str">
        <f>IF(OrdersTable[[#This Row],[Delivery Days]]&lt;=2, "Express (≤2d)", IF(OrdersTable[[#This Row],[Delivery Days]]&lt;=4, "Standard (3-4d)", "Delayed (5d+)"))</f>
        <v>Express (≤2d)</v>
      </c>
      <c r="AF929">
        <v>0</v>
      </c>
    </row>
    <row r="930" spans="1:32" ht="15" x14ac:dyDescent="0.35">
      <c r="A930" t="s">
        <v>2921</v>
      </c>
      <c r="B930" s="1">
        <v>45481</v>
      </c>
      <c r="C930">
        <f>YEAR(OrdersTable[[#This Row],[Order Date]])</f>
        <v>2024</v>
      </c>
      <c r="D930" s="2">
        <f>DATE(YEAR(OrdersTable[[#This Row],[Order Date]]),MONTH(OrdersTable[[#This Row],[Order Date]]),1)</f>
        <v>45474</v>
      </c>
      <c r="E930">
        <f>MONTH(OrdersTable[[#This Row],[Order Date]])</f>
        <v>7</v>
      </c>
      <c r="F930" t="s">
        <v>1382</v>
      </c>
      <c r="G930" t="str">
        <f>IF(OrdersTable[[#This Row],[Order Date]]=_xlfn.MINIFS(Order_Date, Customer_ID, OrdersTable[[#This Row],[Customer ID]]), "New", "Repeat")</f>
        <v>New</v>
      </c>
      <c r="H930" t="s">
        <v>32</v>
      </c>
      <c r="I930" t="str">
        <f>INDEX(State!B:B,MATCH(OrdersTable[[#This Row],[State]],State!A:A,0))</f>
        <v>BR</v>
      </c>
      <c r="J930" t="str">
        <f>INDEX(State!C:C,MATCH(OrdersTable[[#This Row],[State Code]],State!B:B,0))</f>
        <v>East</v>
      </c>
      <c r="K930" t="s">
        <v>33</v>
      </c>
      <c r="L930" t="s">
        <v>50</v>
      </c>
      <c r="M930" t="s">
        <v>73</v>
      </c>
      <c r="N930" t="str">
        <f>INDEX(Products!B:B,MATCH(OrdersTable[[#This Row],[Product ID]],Products!A:A,0))</f>
        <v>Hydrating Face Wash</v>
      </c>
      <c r="O930" t="str">
        <f>INDEX(Products!C:C,MATCH(OrdersTable[[#This Row],[Product ID]],Products!A:A,0))</f>
        <v>Skincare</v>
      </c>
      <c r="P930">
        <v>1</v>
      </c>
      <c r="Q930" s="5">
        <v>299</v>
      </c>
      <c r="R930" s="74">
        <v>0</v>
      </c>
      <c r="S930" s="75">
        <f>OrdersTable[[#This Row],[Quantity]]*OrdersTable[[#This Row],[Unit Price]]</f>
        <v>299</v>
      </c>
      <c r="T930" s="5">
        <f>OrdersTable[[#This Row],[Gross Sale]]*OrdersTable[[#This Row],[Discount_Clean2]]</f>
        <v>0</v>
      </c>
      <c r="U930" s="5">
        <f>OrdersTable[[#This Row],[Gross Sale]]-OrdersTable[[#This Row],[Discount Amount]]</f>
        <v>299</v>
      </c>
      <c r="V930" s="77">
        <f>INDEX(Products!E:E,MATCH(OrdersTable[[#This Row],[Product ID]],Products!A:A,0))</f>
        <v>90</v>
      </c>
      <c r="W930" s="77">
        <f>OrdersTable[[#This Row],[Quantity]]*OrdersTable[[#This Row],[Unit Cost]]</f>
        <v>90</v>
      </c>
      <c r="X930" s="77">
        <f>'Dropdown Lists'!$I$2*(1+OrdersTable[[#This Row],[Returned]])</f>
        <v>120</v>
      </c>
      <c r="Y930" s="76">
        <f>OrdersTable[[#This Row],[Net Revenue]]-OrdersTable[[#This Row],[COGS]]-OrdersTable[[#This Row],[Shipping Cost]]</f>
        <v>89</v>
      </c>
      <c r="Z930" s="78">
        <f>IFERROR(OrdersTable[[#This Row],[Profit]]/OrdersTable[[#This Row],[Net Revenue]],0)</f>
        <v>0.2976588628762542</v>
      </c>
      <c r="AA930" t="s">
        <v>2522</v>
      </c>
      <c r="AB930" s="79">
        <v>45485</v>
      </c>
      <c r="AC930">
        <f>OrdersTable[[#This Row],[Delivery Date]]-OrdersTable[[#This Row],[Order Date]]</f>
        <v>4</v>
      </c>
      <c r="AD930" t="str">
        <f>IF(OrdersTable[[#This Row],[Delivery Days]]&lt;=2, "Express (≤2d)", IF(OrdersTable[[#This Row],[Delivery Days]]&lt;=4, "Standard (3-4d)", "Delayed (5d+)"))</f>
        <v>Standard (3-4d)</v>
      </c>
      <c r="AF930">
        <v>1</v>
      </c>
    </row>
    <row r="931" spans="1:32" ht="15" x14ac:dyDescent="0.35">
      <c r="A931" t="s">
        <v>918</v>
      </c>
      <c r="B931" s="1">
        <v>45481</v>
      </c>
      <c r="C931">
        <f>YEAR(OrdersTable[[#This Row],[Order Date]])</f>
        <v>2024</v>
      </c>
      <c r="D931" s="2">
        <f>DATE(YEAR(OrdersTable[[#This Row],[Order Date]]),MONTH(OrdersTable[[#This Row],[Order Date]]),1)</f>
        <v>45474</v>
      </c>
      <c r="E931">
        <f>MONTH(OrdersTable[[#This Row],[Order Date]])</f>
        <v>7</v>
      </c>
      <c r="F931" t="s">
        <v>919</v>
      </c>
      <c r="G931" t="str">
        <f>IF(OrdersTable[[#This Row],[Order Date]]=_xlfn.MINIFS(Order_Date, Customer_ID, OrdersTable[[#This Row],[Customer ID]]), "New", "Repeat")</f>
        <v>New</v>
      </c>
      <c r="H931" t="s">
        <v>37</v>
      </c>
      <c r="I931" t="str">
        <f>INDEX(State!B:B,MATCH(OrdersTable[[#This Row],[State]],State!A:A,0))</f>
        <v>GJ</v>
      </c>
      <c r="J931" t="str">
        <f>INDEX(State!C:C,MATCH(OrdersTable[[#This Row],[State Code]],State!B:B,0))</f>
        <v>West</v>
      </c>
      <c r="K931" t="s">
        <v>247</v>
      </c>
      <c r="L931" t="s">
        <v>23</v>
      </c>
      <c r="M931" t="s">
        <v>61</v>
      </c>
      <c r="N931" t="str">
        <f>INDEX(Products!B:B,MATCH(OrdersTable[[#This Row],[Product ID]],Products!A:A,0))</f>
        <v>Multivitamin Gummies</v>
      </c>
      <c r="O931" t="str">
        <f>INDEX(Products!C:C,MATCH(OrdersTable[[#This Row],[Product ID]],Products!A:A,0))</f>
        <v>Wellness</v>
      </c>
      <c r="P931">
        <v>1</v>
      </c>
      <c r="Q931" s="5">
        <v>699</v>
      </c>
      <c r="R931" s="74">
        <v>0.25</v>
      </c>
      <c r="S931" s="75">
        <f>OrdersTable[[#This Row],[Quantity]]*OrdersTable[[#This Row],[Unit Price]]</f>
        <v>699</v>
      </c>
      <c r="T931" s="5">
        <f>OrdersTable[[#This Row],[Gross Sale]]*OrdersTable[[#This Row],[Discount_Clean2]]</f>
        <v>174.75</v>
      </c>
      <c r="U931" s="5">
        <f>OrdersTable[[#This Row],[Gross Sale]]-OrdersTable[[#This Row],[Discount Amount]]</f>
        <v>524.25</v>
      </c>
      <c r="V931" s="77">
        <f>INDEX(Products!E:E,MATCH(OrdersTable[[#This Row],[Product ID]],Products!A:A,0))</f>
        <v>238</v>
      </c>
      <c r="W931" s="77">
        <f>OrdersTable[[#This Row],[Quantity]]*OrdersTable[[#This Row],[Unit Cost]]</f>
        <v>238</v>
      </c>
      <c r="X931" s="77">
        <f>'Dropdown Lists'!$I$2*(1+OrdersTable[[#This Row],[Returned]])</f>
        <v>60</v>
      </c>
      <c r="Y931" s="76">
        <f>OrdersTable[[#This Row],[Net Revenue]]-OrdersTable[[#This Row],[COGS]]-OrdersTable[[#This Row],[Shipping Cost]]</f>
        <v>226.25</v>
      </c>
      <c r="Z931" s="78">
        <f>IFERROR(OrdersTable[[#This Row],[Profit]]/OrdersTable[[#This Row],[Net Revenue]],0)</f>
        <v>0.43156890796375774</v>
      </c>
      <c r="AA931" t="s">
        <v>18</v>
      </c>
      <c r="AB931" s="79">
        <v>45484</v>
      </c>
      <c r="AC931">
        <f>OrdersTable[[#This Row],[Delivery Date]]-OrdersTable[[#This Row],[Order Date]]</f>
        <v>3</v>
      </c>
      <c r="AD931" t="str">
        <f>IF(OrdersTable[[#This Row],[Delivery Days]]&lt;=2, "Express (≤2d)", IF(OrdersTable[[#This Row],[Delivery Days]]&lt;=4, "Standard (3-4d)", "Delayed (5d+)"))</f>
        <v>Standard (3-4d)</v>
      </c>
      <c r="AE931">
        <v>4</v>
      </c>
      <c r="AF931">
        <v>0</v>
      </c>
    </row>
    <row r="932" spans="1:32" ht="15" x14ac:dyDescent="0.35">
      <c r="A932" t="s">
        <v>6069</v>
      </c>
      <c r="B932" s="1">
        <v>45481</v>
      </c>
      <c r="C932">
        <f>YEAR(OrdersTable[[#This Row],[Order Date]])</f>
        <v>2024</v>
      </c>
      <c r="D932" s="2">
        <f>DATE(YEAR(OrdersTable[[#This Row],[Order Date]]),MONTH(OrdersTable[[#This Row],[Order Date]]),1)</f>
        <v>45474</v>
      </c>
      <c r="E932">
        <f>MONTH(OrdersTable[[#This Row],[Order Date]])</f>
        <v>7</v>
      </c>
      <c r="F932" t="s">
        <v>1762</v>
      </c>
      <c r="G932" t="str">
        <f>IF(OrdersTable[[#This Row],[Order Date]]=_xlfn.MINIFS(Order_Date, Customer_ID, OrdersTable[[#This Row],[Customer ID]]), "New", "Repeat")</f>
        <v>New</v>
      </c>
      <c r="H932" t="s">
        <v>27</v>
      </c>
      <c r="I932" t="str">
        <f>INDEX(State!B:B,MATCH(OrdersTable[[#This Row],[State]],State!A:A,0))</f>
        <v>WB</v>
      </c>
      <c r="J932" t="str">
        <f>INDEX(State!C:C,MATCH(OrdersTable[[#This Row],[State Code]],State!B:B,0))</f>
        <v>East</v>
      </c>
      <c r="K932" t="s">
        <v>28</v>
      </c>
      <c r="L932" t="s">
        <v>23</v>
      </c>
      <c r="M932" t="s">
        <v>66</v>
      </c>
      <c r="N932" t="str">
        <f>INDEX(Products!B:B,MATCH(OrdersTable[[#This Row],[Product ID]],Products!A:A,0))</f>
        <v>Sunscreen SPF 50</v>
      </c>
      <c r="O932" t="str">
        <f>INDEX(Products!C:C,MATCH(OrdersTable[[#This Row],[Product ID]],Products!A:A,0))</f>
        <v>Skincare</v>
      </c>
      <c r="P932">
        <v>2</v>
      </c>
      <c r="Q932" s="5">
        <v>449</v>
      </c>
      <c r="R932" s="74">
        <v>0.05</v>
      </c>
      <c r="S932" s="75">
        <f>OrdersTable[[#This Row],[Quantity]]*OrdersTable[[#This Row],[Unit Price]]</f>
        <v>898</v>
      </c>
      <c r="T932" s="5">
        <f>OrdersTable[[#This Row],[Gross Sale]]*OrdersTable[[#This Row],[Discount_Clean2]]</f>
        <v>44.900000000000006</v>
      </c>
      <c r="U932" s="5">
        <f>OrdersTable[[#This Row],[Gross Sale]]-OrdersTable[[#This Row],[Discount Amount]]</f>
        <v>853.1</v>
      </c>
      <c r="V932" s="77">
        <f>INDEX(Products!E:E,MATCH(OrdersTable[[#This Row],[Product ID]],Products!A:A,0))</f>
        <v>144</v>
      </c>
      <c r="W932" s="77">
        <f>OrdersTable[[#This Row],[Quantity]]*OrdersTable[[#This Row],[Unit Cost]]</f>
        <v>288</v>
      </c>
      <c r="X932" s="77">
        <f>'Dropdown Lists'!$I$2*(1+OrdersTable[[#This Row],[Returned]])</f>
        <v>60</v>
      </c>
      <c r="Y932" s="76">
        <f>OrdersTable[[#This Row],[Net Revenue]]-OrdersTable[[#This Row],[COGS]]-OrdersTable[[#This Row],[Shipping Cost]]</f>
        <v>505.1</v>
      </c>
      <c r="Z932" s="78">
        <f>IFERROR(OrdersTable[[#This Row],[Profit]]/OrdersTable[[#This Row],[Net Revenue]],0)</f>
        <v>0.59207595826983939</v>
      </c>
      <c r="AA932" t="s">
        <v>18</v>
      </c>
      <c r="AB932" s="79">
        <v>45485</v>
      </c>
      <c r="AC932">
        <f>OrdersTable[[#This Row],[Delivery Date]]-OrdersTable[[#This Row],[Order Date]]</f>
        <v>4</v>
      </c>
      <c r="AD932" t="str">
        <f>IF(OrdersTable[[#This Row],[Delivery Days]]&lt;=2, "Express (≤2d)", IF(OrdersTable[[#This Row],[Delivery Days]]&lt;=4, "Standard (3-4d)", "Delayed (5d+)"))</f>
        <v>Standard (3-4d)</v>
      </c>
      <c r="AE932">
        <v>4</v>
      </c>
      <c r="AF932">
        <v>0</v>
      </c>
    </row>
    <row r="933" spans="1:32" ht="15" x14ac:dyDescent="0.35">
      <c r="A933" t="s">
        <v>3544</v>
      </c>
      <c r="B933" s="1">
        <v>45481</v>
      </c>
      <c r="C933">
        <f>YEAR(OrdersTable[[#This Row],[Order Date]])</f>
        <v>2024</v>
      </c>
      <c r="D933" s="2">
        <f>DATE(YEAR(OrdersTable[[#This Row],[Order Date]]),MONTH(OrdersTable[[#This Row],[Order Date]]),1)</f>
        <v>45474</v>
      </c>
      <c r="E933">
        <f>MONTH(OrdersTable[[#This Row],[Order Date]])</f>
        <v>7</v>
      </c>
      <c r="F933" t="s">
        <v>3545</v>
      </c>
      <c r="G933" t="str">
        <f>IF(OrdersTable[[#This Row],[Order Date]]=_xlfn.MINIFS(Order_Date, Customer_ID, OrdersTable[[#This Row],[Customer ID]]), "New", "Repeat")</f>
        <v>Repeat</v>
      </c>
      <c r="H933" t="s">
        <v>71</v>
      </c>
      <c r="I933" t="str">
        <f>INDEX(State!B:B,MATCH(OrdersTable[[#This Row],[State]],State!A:A,0))</f>
        <v>MH</v>
      </c>
      <c r="J933" t="str">
        <f>INDEX(State!C:C,MATCH(OrdersTable[[#This Row],[State Code]],State!B:B,0))</f>
        <v>West</v>
      </c>
      <c r="K933" t="s">
        <v>72</v>
      </c>
      <c r="L933" t="s">
        <v>50</v>
      </c>
      <c r="M933" t="s">
        <v>78</v>
      </c>
      <c r="N933" t="str">
        <f>INDEX(Products!B:B,MATCH(OrdersTable[[#This Row],[Product ID]],Products!A:A,0))</f>
        <v>Retinol Night Cream</v>
      </c>
      <c r="O933" t="str">
        <f>INDEX(Products!C:C,MATCH(OrdersTable[[#This Row],[Product ID]],Products!A:A,0))</f>
        <v>Skincare</v>
      </c>
      <c r="P933">
        <v>1</v>
      </c>
      <c r="Q933" s="5">
        <v>799</v>
      </c>
      <c r="R933" s="74">
        <v>0.1</v>
      </c>
      <c r="S933" s="75">
        <f>OrdersTable[[#This Row],[Quantity]]*OrdersTable[[#This Row],[Unit Price]]</f>
        <v>799</v>
      </c>
      <c r="T933" s="5">
        <f>OrdersTable[[#This Row],[Gross Sale]]*OrdersTable[[#This Row],[Discount_Clean2]]</f>
        <v>79.900000000000006</v>
      </c>
      <c r="U933" s="5">
        <f>OrdersTable[[#This Row],[Gross Sale]]-OrdersTable[[#This Row],[Discount Amount]]</f>
        <v>719.1</v>
      </c>
      <c r="V933" s="77">
        <f>INDEX(Products!E:E,MATCH(OrdersTable[[#This Row],[Product ID]],Products!A:A,0))</f>
        <v>216</v>
      </c>
      <c r="W933" s="77">
        <f>OrdersTable[[#This Row],[Quantity]]*OrdersTable[[#This Row],[Unit Cost]]</f>
        <v>216</v>
      </c>
      <c r="X933" s="77">
        <f>'Dropdown Lists'!$I$2*(1+OrdersTable[[#This Row],[Returned]])</f>
        <v>60</v>
      </c>
      <c r="Y933" s="76">
        <f>OrdersTable[[#This Row],[Net Revenue]]-OrdersTable[[#This Row],[COGS]]-OrdersTable[[#This Row],[Shipping Cost]]</f>
        <v>443.1</v>
      </c>
      <c r="Z933" s="78">
        <f>IFERROR(OrdersTable[[#This Row],[Profit]]/OrdersTable[[#This Row],[Net Revenue]],0)</f>
        <v>0.61618690029203171</v>
      </c>
      <c r="AA933" t="s">
        <v>3495</v>
      </c>
      <c r="AB933" s="79">
        <v>45483</v>
      </c>
      <c r="AC933">
        <f>OrdersTable[[#This Row],[Delivery Date]]-OrdersTable[[#This Row],[Order Date]]</f>
        <v>2</v>
      </c>
      <c r="AD933" t="str">
        <f>IF(OrdersTable[[#This Row],[Delivery Days]]&lt;=2, "Express (≤2d)", IF(OrdersTable[[#This Row],[Delivery Days]]&lt;=4, "Standard (3-4d)", "Delayed (5d+)"))</f>
        <v>Express (≤2d)</v>
      </c>
      <c r="AE933">
        <v>4</v>
      </c>
      <c r="AF933">
        <v>0</v>
      </c>
    </row>
    <row r="934" spans="1:32" ht="15" x14ac:dyDescent="0.35">
      <c r="A934" t="s">
        <v>2284</v>
      </c>
      <c r="B934" s="1">
        <v>45481</v>
      </c>
      <c r="C934">
        <f>YEAR(OrdersTable[[#This Row],[Order Date]])</f>
        <v>2024</v>
      </c>
      <c r="D934" s="2">
        <f>DATE(YEAR(OrdersTable[[#This Row],[Order Date]]),MONTH(OrdersTable[[#This Row],[Order Date]]),1)</f>
        <v>45474</v>
      </c>
      <c r="E934">
        <f>MONTH(OrdersTable[[#This Row],[Order Date]])</f>
        <v>7</v>
      </c>
      <c r="F934" t="s">
        <v>710</v>
      </c>
      <c r="G934" t="str">
        <f>IF(OrdersTable[[#This Row],[Order Date]]=_xlfn.MINIFS(Order_Date, Customer_ID, OrdersTable[[#This Row],[Customer ID]]), "New", "Repeat")</f>
        <v>Repeat</v>
      </c>
      <c r="H934" t="s">
        <v>95</v>
      </c>
      <c r="I934" t="str">
        <f>INDEX(State!B:B,MATCH(OrdersTable[[#This Row],[State]],State!A:A,0))</f>
        <v>TG</v>
      </c>
      <c r="J934" t="str">
        <f>INDEX(State!C:C,MATCH(OrdersTable[[#This Row],[State Code]],State!B:B,0))</f>
        <v>South</v>
      </c>
      <c r="K934" t="s">
        <v>96</v>
      </c>
      <c r="L934" t="s">
        <v>65</v>
      </c>
      <c r="M934" t="s">
        <v>87</v>
      </c>
      <c r="N934" t="str">
        <f>INDEX(Products!B:B,MATCH(OrdersTable[[#This Row],[Product ID]],Products!A:A,0))</f>
        <v>Linen Kurta</v>
      </c>
      <c r="O934" t="str">
        <f>INDEX(Products!C:C,MATCH(OrdersTable[[#This Row],[Product ID]],Products!A:A,0))</f>
        <v>Apparel</v>
      </c>
      <c r="P934">
        <v>1</v>
      </c>
      <c r="Q934" s="5">
        <v>1499</v>
      </c>
      <c r="R934" s="74">
        <v>0.3</v>
      </c>
      <c r="S934" s="75">
        <f>OrdersTable[[#This Row],[Quantity]]*OrdersTable[[#This Row],[Unit Price]]</f>
        <v>1499</v>
      </c>
      <c r="T934" s="5">
        <f>OrdersTable[[#This Row],[Gross Sale]]*OrdersTable[[#This Row],[Discount_Clean2]]</f>
        <v>449.7</v>
      </c>
      <c r="U934" s="5">
        <f>OrdersTable[[#This Row],[Gross Sale]]-OrdersTable[[#This Row],[Discount Amount]]</f>
        <v>1049.3</v>
      </c>
      <c r="V934" s="77">
        <f>INDEX(Products!E:E,MATCH(OrdersTable[[#This Row],[Product ID]],Products!A:A,0))</f>
        <v>630</v>
      </c>
      <c r="W934" s="77">
        <f>OrdersTable[[#This Row],[Quantity]]*OrdersTable[[#This Row],[Unit Cost]]</f>
        <v>630</v>
      </c>
      <c r="X934" s="77">
        <f>'Dropdown Lists'!$I$2*(1+OrdersTable[[#This Row],[Returned]])</f>
        <v>60</v>
      </c>
      <c r="Y934" s="76">
        <f>OrdersTable[[#This Row],[Net Revenue]]-OrdersTable[[#This Row],[COGS]]-OrdersTable[[#This Row],[Shipping Cost]]</f>
        <v>359.29999999999995</v>
      </c>
      <c r="Z934" s="78">
        <f>IFERROR(OrdersTable[[#This Row],[Profit]]/OrdersTable[[#This Row],[Net Revenue]],0)</f>
        <v>0.34241875536071664</v>
      </c>
      <c r="AA934" t="s">
        <v>18</v>
      </c>
      <c r="AB934" s="79">
        <v>45482</v>
      </c>
      <c r="AC934">
        <f>OrdersTable[[#This Row],[Delivery Date]]-OrdersTable[[#This Row],[Order Date]]</f>
        <v>1</v>
      </c>
      <c r="AD934" t="str">
        <f>IF(OrdersTable[[#This Row],[Delivery Days]]&lt;=2, "Express (≤2d)", IF(OrdersTable[[#This Row],[Delivery Days]]&lt;=4, "Standard (3-4d)", "Delayed (5d+)"))</f>
        <v>Express (≤2d)</v>
      </c>
      <c r="AE934">
        <v>5</v>
      </c>
      <c r="AF934">
        <v>0</v>
      </c>
    </row>
    <row r="935" spans="1:32" ht="15" x14ac:dyDescent="0.35">
      <c r="A935" t="s">
        <v>4092</v>
      </c>
      <c r="B935" s="1">
        <v>45481</v>
      </c>
      <c r="C935">
        <f>YEAR(OrdersTable[[#This Row],[Order Date]])</f>
        <v>2024</v>
      </c>
      <c r="D935" s="2">
        <f>DATE(YEAR(OrdersTable[[#This Row],[Order Date]]),MONTH(OrdersTable[[#This Row],[Order Date]]),1)</f>
        <v>45474</v>
      </c>
      <c r="E935">
        <f>MONTH(OrdersTable[[#This Row],[Order Date]])</f>
        <v>7</v>
      </c>
      <c r="F935" t="s">
        <v>4093</v>
      </c>
      <c r="G935" t="str">
        <f>IF(OrdersTable[[#This Row],[Order Date]]=_xlfn.MINIFS(Order_Date, Customer_ID, OrdersTable[[#This Row],[Customer ID]]), "New", "Repeat")</f>
        <v>New</v>
      </c>
      <c r="H935" t="s">
        <v>59</v>
      </c>
      <c r="I935" t="str">
        <f>INDEX(State!B:B,MATCH(OrdersTable[[#This Row],[State]],State!A:A,0))</f>
        <v>TN</v>
      </c>
      <c r="J935" t="str">
        <f>INDEX(State!C:C,MATCH(OrdersTable[[#This Row],[State Code]],State!B:B,0))</f>
        <v>South</v>
      </c>
      <c r="K935" t="s">
        <v>60</v>
      </c>
      <c r="L935" t="s">
        <v>65</v>
      </c>
      <c r="M935" t="s">
        <v>160</v>
      </c>
      <c r="N935" t="str">
        <f>INDEX(Products!B:B,MATCH(OrdersTable[[#This Row],[Product ID]],Products!A:A,0))</f>
        <v>Niacinamide Toner</v>
      </c>
      <c r="O935" t="str">
        <f>INDEX(Products!C:C,MATCH(OrdersTable[[#This Row],[Product ID]],Products!A:A,0))</f>
        <v>Skincare</v>
      </c>
      <c r="P935">
        <v>1</v>
      </c>
      <c r="Q935" s="5">
        <v>399</v>
      </c>
      <c r="R935" s="74">
        <v>0.3</v>
      </c>
      <c r="S935" s="75">
        <f>OrdersTable[[#This Row],[Quantity]]*OrdersTable[[#This Row],[Unit Price]]</f>
        <v>399</v>
      </c>
      <c r="T935" s="5">
        <f>OrdersTable[[#This Row],[Gross Sale]]*OrdersTable[[#This Row],[Discount_Clean2]]</f>
        <v>119.69999999999999</v>
      </c>
      <c r="U935" s="5">
        <f>OrdersTable[[#This Row],[Gross Sale]]-OrdersTable[[#This Row],[Discount Amount]]</f>
        <v>279.3</v>
      </c>
      <c r="V935" s="77">
        <f>INDEX(Products!E:E,MATCH(OrdersTable[[#This Row],[Product ID]],Products!A:A,0))</f>
        <v>112</v>
      </c>
      <c r="W935" s="77">
        <f>OrdersTable[[#This Row],[Quantity]]*OrdersTable[[#This Row],[Unit Cost]]</f>
        <v>112</v>
      </c>
      <c r="X935" s="77">
        <f>'Dropdown Lists'!$I$2*(1+OrdersTable[[#This Row],[Returned]])</f>
        <v>60</v>
      </c>
      <c r="Y935" s="76">
        <f>OrdersTable[[#This Row],[Net Revenue]]-OrdersTable[[#This Row],[COGS]]-OrdersTable[[#This Row],[Shipping Cost]]</f>
        <v>107.30000000000001</v>
      </c>
      <c r="Z935" s="78">
        <f>IFERROR(OrdersTable[[#This Row],[Profit]]/OrdersTable[[#This Row],[Net Revenue]],0)</f>
        <v>0.38417472252058721</v>
      </c>
      <c r="AA935" t="s">
        <v>4074</v>
      </c>
      <c r="AB935" s="79">
        <v>45482</v>
      </c>
      <c r="AC935">
        <f>OrdersTable[[#This Row],[Delivery Date]]-OrdersTable[[#This Row],[Order Date]]</f>
        <v>1</v>
      </c>
      <c r="AD935" t="str">
        <f>IF(OrdersTable[[#This Row],[Delivery Days]]&lt;=2, "Express (≤2d)", IF(OrdersTable[[#This Row],[Delivery Days]]&lt;=4, "Standard (3-4d)", "Delayed (5d+)"))</f>
        <v>Express (≤2d)</v>
      </c>
      <c r="AE935">
        <v>3</v>
      </c>
      <c r="AF935">
        <v>0</v>
      </c>
    </row>
    <row r="936" spans="1:32" ht="15" x14ac:dyDescent="0.35">
      <c r="A936" t="s">
        <v>4348</v>
      </c>
      <c r="B936" s="1">
        <v>45482</v>
      </c>
      <c r="C936">
        <f>YEAR(OrdersTable[[#This Row],[Order Date]])</f>
        <v>2024</v>
      </c>
      <c r="D936" s="2">
        <f>DATE(YEAR(OrdersTable[[#This Row],[Order Date]]),MONTH(OrdersTable[[#This Row],[Order Date]]),1)</f>
        <v>45474</v>
      </c>
      <c r="E936">
        <f>MONTH(OrdersTable[[#This Row],[Order Date]])</f>
        <v>7</v>
      </c>
      <c r="F936" t="s">
        <v>2621</v>
      </c>
      <c r="G936" t="str">
        <f>IF(OrdersTable[[#This Row],[Order Date]]=_xlfn.MINIFS(Order_Date, Customer_ID, OrdersTable[[#This Row],[Customer ID]]), "New", "Repeat")</f>
        <v>New</v>
      </c>
      <c r="H936" t="s">
        <v>158</v>
      </c>
      <c r="I936" t="str">
        <f>INDEX(State!B:B,MATCH(OrdersTable[[#This Row],[State]],State!A:A,0))</f>
        <v>HP</v>
      </c>
      <c r="J936" t="str">
        <f>INDEX(State!C:C,MATCH(OrdersTable[[#This Row],[State Code]],State!B:B,0))</f>
        <v>North</v>
      </c>
      <c r="K936" t="s">
        <v>159</v>
      </c>
      <c r="L936" t="s">
        <v>23</v>
      </c>
      <c r="M936" t="s">
        <v>228</v>
      </c>
      <c r="N936" t="str">
        <f>INDEX(Products!B:B,MATCH(OrdersTable[[#This Row],[Product ID]],Products!A:A,0))</f>
        <v>Fast Charger 33W</v>
      </c>
      <c r="O936" t="str">
        <f>INDEX(Products!C:C,MATCH(OrdersTable[[#This Row],[Product ID]],Products!A:A,0))</f>
        <v>Electronics</v>
      </c>
      <c r="P936">
        <v>1</v>
      </c>
      <c r="Q936" s="5">
        <v>899</v>
      </c>
      <c r="R936" s="74">
        <v>0.15</v>
      </c>
      <c r="S936" s="75">
        <f>OrdersTable[[#This Row],[Quantity]]*OrdersTable[[#This Row],[Unit Price]]</f>
        <v>899</v>
      </c>
      <c r="T936" s="5">
        <f>OrdersTable[[#This Row],[Gross Sale]]*OrdersTable[[#This Row],[Discount_Clean2]]</f>
        <v>134.85</v>
      </c>
      <c r="U936" s="5">
        <f>OrdersTable[[#This Row],[Gross Sale]]-OrdersTable[[#This Row],[Discount Amount]]</f>
        <v>764.15</v>
      </c>
      <c r="V936" s="77">
        <f>INDEX(Products!E:E,MATCH(OrdersTable[[#This Row],[Product ID]],Products!A:A,0))</f>
        <v>494</v>
      </c>
      <c r="W936" s="77">
        <f>OrdersTable[[#This Row],[Quantity]]*OrdersTable[[#This Row],[Unit Cost]]</f>
        <v>494</v>
      </c>
      <c r="X936" s="77">
        <f>'Dropdown Lists'!$I$2*(1+OrdersTable[[#This Row],[Returned]])</f>
        <v>60</v>
      </c>
      <c r="Y936" s="76">
        <f>OrdersTable[[#This Row],[Net Revenue]]-OrdersTable[[#This Row],[COGS]]-OrdersTable[[#This Row],[Shipping Cost]]</f>
        <v>210.14999999999998</v>
      </c>
      <c r="Z936" s="78">
        <f>IFERROR(OrdersTable[[#This Row],[Profit]]/OrdersTable[[#This Row],[Net Revenue]],0)</f>
        <v>0.27501145063142052</v>
      </c>
      <c r="AA936" t="s">
        <v>4074</v>
      </c>
      <c r="AB936" s="79">
        <v>45486</v>
      </c>
      <c r="AC936">
        <f>OrdersTable[[#This Row],[Delivery Date]]-OrdersTable[[#This Row],[Order Date]]</f>
        <v>4</v>
      </c>
      <c r="AD936" t="str">
        <f>IF(OrdersTable[[#This Row],[Delivery Days]]&lt;=2, "Express (≤2d)", IF(OrdersTable[[#This Row],[Delivery Days]]&lt;=4, "Standard (3-4d)", "Delayed (5d+)"))</f>
        <v>Standard (3-4d)</v>
      </c>
      <c r="AE936">
        <v>4</v>
      </c>
      <c r="AF936">
        <v>0</v>
      </c>
    </row>
    <row r="937" spans="1:32" ht="15" x14ac:dyDescent="0.35">
      <c r="A937" t="s">
        <v>6070</v>
      </c>
      <c r="B937" s="1">
        <v>45482</v>
      </c>
      <c r="C937">
        <f>YEAR(OrdersTable[[#This Row],[Order Date]])</f>
        <v>2024</v>
      </c>
      <c r="D937" s="2">
        <f>DATE(YEAR(OrdersTable[[#This Row],[Order Date]]),MONTH(OrdersTable[[#This Row],[Order Date]]),1)</f>
        <v>45474</v>
      </c>
      <c r="E937">
        <f>MONTH(OrdersTable[[#This Row],[Order Date]])</f>
        <v>7</v>
      </c>
      <c r="F937" t="s">
        <v>6071</v>
      </c>
      <c r="G937" t="str">
        <f>IF(OrdersTable[[#This Row],[Order Date]]=_xlfn.MINIFS(Order_Date, Customer_ID, OrdersTable[[#This Row],[Customer ID]]), "New", "Repeat")</f>
        <v>New</v>
      </c>
      <c r="H937" t="s">
        <v>54</v>
      </c>
      <c r="I937" t="str">
        <f>INDEX(State!B:B,MATCH(OrdersTable[[#This Row],[State]],State!A:A,0))</f>
        <v>RJ</v>
      </c>
      <c r="J937" t="str">
        <f>INDEX(State!C:C,MATCH(OrdersTable[[#This Row],[State Code]],State!B:B,0))</f>
        <v>North</v>
      </c>
      <c r="K937" t="s">
        <v>55</v>
      </c>
      <c r="L937" t="s">
        <v>23</v>
      </c>
      <c r="M937" t="s">
        <v>109</v>
      </c>
      <c r="N937" t="str">
        <f>INDEX(Products!B:B,MATCH(OrdersTable[[#This Row],[Product ID]],Products!A:A,0))</f>
        <v>Onion Hair Oil</v>
      </c>
      <c r="O937" t="str">
        <f>INDEX(Products!C:C,MATCH(OrdersTable[[#This Row],[Product ID]],Products!A:A,0))</f>
        <v>Haircare</v>
      </c>
      <c r="P937">
        <v>2</v>
      </c>
      <c r="Q937" s="5">
        <v>349</v>
      </c>
      <c r="R937" s="74">
        <v>0.3</v>
      </c>
      <c r="S937" s="75">
        <f>OrdersTable[[#This Row],[Quantity]]*OrdersTable[[#This Row],[Unit Price]]</f>
        <v>698</v>
      </c>
      <c r="T937" s="5">
        <f>OrdersTable[[#This Row],[Gross Sale]]*OrdersTable[[#This Row],[Discount_Clean2]]</f>
        <v>209.4</v>
      </c>
      <c r="U937" s="5">
        <f>OrdersTable[[#This Row],[Gross Sale]]-OrdersTable[[#This Row],[Discount Amount]]</f>
        <v>488.6</v>
      </c>
      <c r="V937" s="77">
        <f>INDEX(Products!E:E,MATCH(OrdersTable[[#This Row],[Product ID]],Products!A:A,0))</f>
        <v>105</v>
      </c>
      <c r="W937" s="77">
        <f>OrdersTable[[#This Row],[Quantity]]*OrdersTable[[#This Row],[Unit Cost]]</f>
        <v>210</v>
      </c>
      <c r="X937" s="77">
        <f>'Dropdown Lists'!$I$2*(1+OrdersTable[[#This Row],[Returned]])</f>
        <v>60</v>
      </c>
      <c r="Y937" s="76">
        <f>OrdersTable[[#This Row],[Net Revenue]]-OrdersTable[[#This Row],[COGS]]-OrdersTable[[#This Row],[Shipping Cost]]</f>
        <v>218.60000000000002</v>
      </c>
      <c r="Z937" s="78">
        <f>IFERROR(OrdersTable[[#This Row],[Profit]]/OrdersTable[[#This Row],[Net Revenue]],0)</f>
        <v>0.44740073679901765</v>
      </c>
      <c r="AA937" t="s">
        <v>18</v>
      </c>
      <c r="AB937" s="79">
        <v>45485</v>
      </c>
      <c r="AC937">
        <f>OrdersTable[[#This Row],[Delivery Date]]-OrdersTable[[#This Row],[Order Date]]</f>
        <v>3</v>
      </c>
      <c r="AD937" t="str">
        <f>IF(OrdersTable[[#This Row],[Delivery Days]]&lt;=2, "Express (≤2d)", IF(OrdersTable[[#This Row],[Delivery Days]]&lt;=4, "Standard (3-4d)", "Delayed (5d+)"))</f>
        <v>Standard (3-4d)</v>
      </c>
      <c r="AE937">
        <v>4</v>
      </c>
      <c r="AF937">
        <v>0</v>
      </c>
    </row>
    <row r="938" spans="1:32" ht="15" x14ac:dyDescent="0.35">
      <c r="A938" t="s">
        <v>3546</v>
      </c>
      <c r="B938" s="1">
        <v>45482</v>
      </c>
      <c r="C938">
        <f>YEAR(OrdersTable[[#This Row],[Order Date]])</f>
        <v>2024</v>
      </c>
      <c r="D938" s="2">
        <f>DATE(YEAR(OrdersTable[[#This Row],[Order Date]]),MONTH(OrdersTable[[#This Row],[Order Date]]),1)</f>
        <v>45474</v>
      </c>
      <c r="E938">
        <f>MONTH(OrdersTable[[#This Row],[Order Date]])</f>
        <v>7</v>
      </c>
      <c r="F938" t="s">
        <v>2914</v>
      </c>
      <c r="G938" t="str">
        <f>IF(OrdersTable[[#This Row],[Order Date]]=_xlfn.MINIFS(Order_Date, Customer_ID, OrdersTable[[#This Row],[Customer ID]]), "New", "Repeat")</f>
        <v>Repeat</v>
      </c>
      <c r="H938" t="s">
        <v>128</v>
      </c>
      <c r="I938" t="str">
        <f>INDEX(State!B:B,MATCH(OrdersTable[[#This Row],[State]],State!A:A,0))</f>
        <v>DL</v>
      </c>
      <c r="J938" t="str">
        <f>INDEX(State!C:C,MATCH(OrdersTable[[#This Row],[State Code]],State!B:B,0))</f>
        <v>North</v>
      </c>
      <c r="K938" t="s">
        <v>129</v>
      </c>
      <c r="L938" t="s">
        <v>23</v>
      </c>
      <c r="M938" t="s">
        <v>148</v>
      </c>
      <c r="N938" t="str">
        <f>INDEX(Products!B:B,MATCH(OrdersTable[[#This Row],[Product ID]],Products!A:A,0))</f>
        <v>Smartwatch Strap</v>
      </c>
      <c r="O938" t="str">
        <f>INDEX(Products!C:C,MATCH(OrdersTable[[#This Row],[Product ID]],Products!A:A,0))</f>
        <v>Electronics</v>
      </c>
      <c r="P938">
        <v>1</v>
      </c>
      <c r="Q938" s="5">
        <v>499</v>
      </c>
      <c r="R938" s="74">
        <v>0.05</v>
      </c>
      <c r="S938" s="75">
        <f>OrdersTable[[#This Row],[Quantity]]*OrdersTable[[#This Row],[Unit Price]]</f>
        <v>499</v>
      </c>
      <c r="T938" s="5">
        <f>OrdersTable[[#This Row],[Gross Sale]]*OrdersTable[[#This Row],[Discount_Clean2]]</f>
        <v>24.950000000000003</v>
      </c>
      <c r="U938" s="5">
        <f>OrdersTable[[#This Row],[Gross Sale]]-OrdersTable[[#This Row],[Discount Amount]]</f>
        <v>474.05</v>
      </c>
      <c r="V938" s="77">
        <f>INDEX(Products!E:E,MATCH(OrdersTable[[#This Row],[Product ID]],Products!A:A,0))</f>
        <v>200</v>
      </c>
      <c r="W938" s="77">
        <f>OrdersTable[[#This Row],[Quantity]]*OrdersTable[[#This Row],[Unit Cost]]</f>
        <v>200</v>
      </c>
      <c r="X938" s="77">
        <f>'Dropdown Lists'!$I$2*(1+OrdersTable[[#This Row],[Returned]])</f>
        <v>120</v>
      </c>
      <c r="Y938" s="76">
        <f>OrdersTable[[#This Row],[Net Revenue]]-OrdersTable[[#This Row],[COGS]]-OrdersTable[[#This Row],[Shipping Cost]]</f>
        <v>154.05000000000001</v>
      </c>
      <c r="Z938" s="78">
        <f>IFERROR(OrdersTable[[#This Row],[Profit]]/OrdersTable[[#This Row],[Net Revenue]],0)</f>
        <v>0.32496572091551523</v>
      </c>
      <c r="AA938" t="s">
        <v>3495</v>
      </c>
      <c r="AB938" s="79">
        <v>45484</v>
      </c>
      <c r="AC938">
        <f>OrdersTable[[#This Row],[Delivery Date]]-OrdersTable[[#This Row],[Order Date]]</f>
        <v>2</v>
      </c>
      <c r="AD938" t="str">
        <f>IF(OrdersTable[[#This Row],[Delivery Days]]&lt;=2, "Express (≤2d)", IF(OrdersTable[[#This Row],[Delivery Days]]&lt;=4, "Standard (3-4d)", "Delayed (5d+)"))</f>
        <v>Express (≤2d)</v>
      </c>
      <c r="AE938">
        <v>4</v>
      </c>
      <c r="AF938">
        <v>1</v>
      </c>
    </row>
    <row r="939" spans="1:32" ht="15" x14ac:dyDescent="0.35">
      <c r="A939" t="s">
        <v>6289</v>
      </c>
      <c r="B939" s="1">
        <v>45482</v>
      </c>
      <c r="C939">
        <f>YEAR(OrdersTable[[#This Row],[Order Date]])</f>
        <v>2024</v>
      </c>
      <c r="D939" s="2">
        <f>DATE(YEAR(OrdersTable[[#This Row],[Order Date]]),MONTH(OrdersTable[[#This Row],[Order Date]]),1)</f>
        <v>45474</v>
      </c>
      <c r="E939">
        <f>MONTH(OrdersTable[[#This Row],[Order Date]])</f>
        <v>7</v>
      </c>
      <c r="F939" t="s">
        <v>1626</v>
      </c>
      <c r="G939" t="str">
        <f>IF(OrdersTable[[#This Row],[Order Date]]=_xlfn.MINIFS(Order_Date, Customer_ID, OrdersTable[[#This Row],[Customer ID]]), "New", "Repeat")</f>
        <v>Repeat</v>
      </c>
      <c r="H939" t="s">
        <v>27</v>
      </c>
      <c r="I939" t="str">
        <f>INDEX(State!B:B,MATCH(OrdersTable[[#This Row],[State]],State!A:A,0))</f>
        <v>WB</v>
      </c>
      <c r="J939" t="str">
        <f>INDEX(State!C:C,MATCH(OrdersTable[[#This Row],[State Code]],State!B:B,0))</f>
        <v>East</v>
      </c>
      <c r="K939" t="s">
        <v>28</v>
      </c>
      <c r="L939" t="s">
        <v>65</v>
      </c>
      <c r="M939" t="s">
        <v>152</v>
      </c>
      <c r="N939" t="str">
        <f>INDEX(Products!B:B,MATCH(OrdersTable[[#This Row],[Product ID]],Products!A:A,0))</f>
        <v>Green Tea (100 bags)</v>
      </c>
      <c r="O939" t="str">
        <f>INDEX(Products!C:C,MATCH(OrdersTable[[#This Row],[Product ID]],Products!A:A,0))</f>
        <v>Wellness</v>
      </c>
      <c r="P939">
        <v>2</v>
      </c>
      <c r="Q939" s="5">
        <v>399</v>
      </c>
      <c r="R939" s="74">
        <v>0.35</v>
      </c>
      <c r="S939" s="75">
        <f>OrdersTable[[#This Row],[Quantity]]*OrdersTable[[#This Row],[Unit Price]]</f>
        <v>798</v>
      </c>
      <c r="T939" s="5">
        <f>OrdersTable[[#This Row],[Gross Sale]]*OrdersTable[[#This Row],[Discount_Clean2]]</f>
        <v>279.29999999999995</v>
      </c>
      <c r="U939" s="5">
        <f>OrdersTable[[#This Row],[Gross Sale]]-OrdersTable[[#This Row],[Discount Amount]]</f>
        <v>518.70000000000005</v>
      </c>
      <c r="V939" s="77">
        <f>INDEX(Products!E:E,MATCH(OrdersTable[[#This Row],[Product ID]],Products!A:A,0))</f>
        <v>128</v>
      </c>
      <c r="W939" s="77">
        <f>OrdersTable[[#This Row],[Quantity]]*OrdersTable[[#This Row],[Unit Cost]]</f>
        <v>256</v>
      </c>
      <c r="X939" s="77">
        <f>'Dropdown Lists'!$I$2*(1+OrdersTable[[#This Row],[Returned]])</f>
        <v>60</v>
      </c>
      <c r="Y939" s="76">
        <f>OrdersTable[[#This Row],[Net Revenue]]-OrdersTable[[#This Row],[COGS]]-OrdersTable[[#This Row],[Shipping Cost]]</f>
        <v>202.70000000000005</v>
      </c>
      <c r="Z939" s="78">
        <f>IFERROR(OrdersTable[[#This Row],[Profit]]/OrdersTable[[#This Row],[Net Revenue]],0)</f>
        <v>0.39078465394254874</v>
      </c>
      <c r="AA939" t="s">
        <v>18</v>
      </c>
      <c r="AB939" s="79">
        <v>45485</v>
      </c>
      <c r="AC939">
        <f>OrdersTable[[#This Row],[Delivery Date]]-OrdersTable[[#This Row],[Order Date]]</f>
        <v>3</v>
      </c>
      <c r="AD939" t="str">
        <f>IF(OrdersTable[[#This Row],[Delivery Days]]&lt;=2, "Express (≤2d)", IF(OrdersTable[[#This Row],[Delivery Days]]&lt;=4, "Standard (3-4d)", "Delayed (5d+)"))</f>
        <v>Standard (3-4d)</v>
      </c>
      <c r="AE939">
        <v>3</v>
      </c>
      <c r="AF939">
        <v>0</v>
      </c>
    </row>
    <row r="940" spans="1:32" ht="15" x14ac:dyDescent="0.35">
      <c r="A940" t="s">
        <v>4094</v>
      </c>
      <c r="B940" s="1">
        <v>45482</v>
      </c>
      <c r="C940">
        <f>YEAR(OrdersTable[[#This Row],[Order Date]])</f>
        <v>2024</v>
      </c>
      <c r="D940" s="2">
        <f>DATE(YEAR(OrdersTable[[#This Row],[Order Date]]),MONTH(OrdersTable[[#This Row],[Order Date]]),1)</f>
        <v>45474</v>
      </c>
      <c r="E940">
        <f>MONTH(OrdersTable[[#This Row],[Order Date]])</f>
        <v>7</v>
      </c>
      <c r="F940" t="s">
        <v>4095</v>
      </c>
      <c r="G940" t="str">
        <f>IF(OrdersTable[[#This Row],[Order Date]]=_xlfn.MINIFS(Order_Date, Customer_ID, OrdersTable[[#This Row],[Customer ID]]), "New", "Repeat")</f>
        <v>New</v>
      </c>
      <c r="H940" t="s">
        <v>167</v>
      </c>
      <c r="I940" t="str">
        <f>INDEX(State!B:B,MATCH(OrdersTable[[#This Row],[State]],State!A:A,0))</f>
        <v>KA</v>
      </c>
      <c r="J940" t="str">
        <f>INDEX(State!C:C,MATCH(OrdersTable[[#This Row],[State Code]],State!B:B,0))</f>
        <v>South</v>
      </c>
      <c r="K940" t="s">
        <v>168</v>
      </c>
      <c r="L940" t="s">
        <v>16</v>
      </c>
      <c r="M940" t="s">
        <v>34</v>
      </c>
      <c r="N940" t="str">
        <f>INDEX(Products!B:B,MATCH(OrdersTable[[#This Row],[Product ID]],Products!A:A,0))</f>
        <v>Flip Flops</v>
      </c>
      <c r="O940" t="str">
        <f>INDEX(Products!C:C,MATCH(OrdersTable[[#This Row],[Product ID]],Products!A:A,0))</f>
        <v>Footwear</v>
      </c>
      <c r="P940">
        <v>1</v>
      </c>
      <c r="Q940" s="5">
        <v>399</v>
      </c>
      <c r="R940" s="74">
        <v>0.1</v>
      </c>
      <c r="S940" s="75">
        <f>OrdersTable[[#This Row],[Quantity]]*OrdersTable[[#This Row],[Unit Price]]</f>
        <v>399</v>
      </c>
      <c r="T940" s="5">
        <f>OrdersTable[[#This Row],[Gross Sale]]*OrdersTable[[#This Row],[Discount_Clean2]]</f>
        <v>39.900000000000006</v>
      </c>
      <c r="U940" s="5">
        <f>OrdersTable[[#This Row],[Gross Sale]]-OrdersTable[[#This Row],[Discount Amount]]</f>
        <v>359.1</v>
      </c>
      <c r="V940" s="77">
        <f>INDEX(Products!E:E,MATCH(OrdersTable[[#This Row],[Product ID]],Products!A:A,0))</f>
        <v>152</v>
      </c>
      <c r="W940" s="77">
        <f>OrdersTable[[#This Row],[Quantity]]*OrdersTable[[#This Row],[Unit Cost]]</f>
        <v>152</v>
      </c>
      <c r="X940" s="77">
        <f>'Dropdown Lists'!$I$2*(1+OrdersTable[[#This Row],[Returned]])</f>
        <v>60</v>
      </c>
      <c r="Y940" s="76">
        <f>OrdersTable[[#This Row],[Net Revenue]]-OrdersTable[[#This Row],[COGS]]-OrdersTable[[#This Row],[Shipping Cost]]</f>
        <v>147.10000000000002</v>
      </c>
      <c r="Z940" s="78">
        <f>IFERROR(OrdersTable[[#This Row],[Profit]]/OrdersTable[[#This Row],[Net Revenue]],0)</f>
        <v>0.40963519910888335</v>
      </c>
      <c r="AA940" t="s">
        <v>4074</v>
      </c>
      <c r="AB940" s="79">
        <v>45483</v>
      </c>
      <c r="AC940">
        <f>OrdersTable[[#This Row],[Delivery Date]]-OrdersTable[[#This Row],[Order Date]]</f>
        <v>1</v>
      </c>
      <c r="AD940" t="str">
        <f>IF(OrdersTable[[#This Row],[Delivery Days]]&lt;=2, "Express (≤2d)", IF(OrdersTable[[#This Row],[Delivery Days]]&lt;=4, "Standard (3-4d)", "Delayed (5d+)"))</f>
        <v>Express (≤2d)</v>
      </c>
      <c r="AE940">
        <v>3</v>
      </c>
      <c r="AF940">
        <v>0</v>
      </c>
    </row>
    <row r="941" spans="1:32" ht="15" x14ac:dyDescent="0.35">
      <c r="A941" t="s">
        <v>153</v>
      </c>
      <c r="B941" s="1">
        <v>45482</v>
      </c>
      <c r="C941">
        <f>YEAR(OrdersTable[[#This Row],[Order Date]])</f>
        <v>2024</v>
      </c>
      <c r="D941" s="2">
        <f>DATE(YEAR(OrdersTable[[#This Row],[Order Date]]),MONTH(OrdersTable[[#This Row],[Order Date]]),1)</f>
        <v>45474</v>
      </c>
      <c r="E941">
        <f>MONTH(OrdersTable[[#This Row],[Order Date]])</f>
        <v>7</v>
      </c>
      <c r="F941" t="s">
        <v>154</v>
      </c>
      <c r="G941" t="str">
        <f>IF(OrdersTable[[#This Row],[Order Date]]=_xlfn.MINIFS(Order_Date, Customer_ID, OrdersTable[[#This Row],[Customer ID]]), "New", "Repeat")</f>
        <v>New</v>
      </c>
      <c r="H941" t="s">
        <v>59</v>
      </c>
      <c r="I941" t="str">
        <f>INDEX(State!B:B,MATCH(OrdersTable[[#This Row],[State]],State!A:A,0))</f>
        <v>TN</v>
      </c>
      <c r="J941" t="str">
        <f>INDEX(State!C:C,MATCH(OrdersTable[[#This Row],[State Code]],State!B:B,0))</f>
        <v>South</v>
      </c>
      <c r="K941" t="s">
        <v>64</v>
      </c>
      <c r="L941" t="s">
        <v>50</v>
      </c>
      <c r="M941" t="s">
        <v>61</v>
      </c>
      <c r="N941" t="str">
        <f>INDEX(Products!B:B,MATCH(OrdersTable[[#This Row],[Product ID]],Products!A:A,0))</f>
        <v>Multivitamin Gummies</v>
      </c>
      <c r="O941" t="str">
        <f>INDEX(Products!C:C,MATCH(OrdersTable[[#This Row],[Product ID]],Products!A:A,0))</f>
        <v>Wellness</v>
      </c>
      <c r="P941">
        <v>1</v>
      </c>
      <c r="Q941" s="5">
        <v>699</v>
      </c>
      <c r="R941" s="74">
        <v>0.15</v>
      </c>
      <c r="S941" s="75">
        <f>OrdersTable[[#This Row],[Quantity]]*OrdersTable[[#This Row],[Unit Price]]</f>
        <v>699</v>
      </c>
      <c r="T941" s="5">
        <f>OrdersTable[[#This Row],[Gross Sale]]*OrdersTable[[#This Row],[Discount_Clean2]]</f>
        <v>104.85</v>
      </c>
      <c r="U941" s="5">
        <f>OrdersTable[[#This Row],[Gross Sale]]-OrdersTable[[#This Row],[Discount Amount]]</f>
        <v>594.15</v>
      </c>
      <c r="V941" s="77">
        <f>INDEX(Products!E:E,MATCH(OrdersTable[[#This Row],[Product ID]],Products!A:A,0))</f>
        <v>238</v>
      </c>
      <c r="W941" s="77">
        <f>OrdersTable[[#This Row],[Quantity]]*OrdersTable[[#This Row],[Unit Cost]]</f>
        <v>238</v>
      </c>
      <c r="X941" s="77">
        <f>'Dropdown Lists'!$I$2*(1+OrdersTable[[#This Row],[Returned]])</f>
        <v>60</v>
      </c>
      <c r="Y941" s="76">
        <f>OrdersTable[[#This Row],[Net Revenue]]-OrdersTable[[#This Row],[COGS]]-OrdersTable[[#This Row],[Shipping Cost]]</f>
        <v>296.14999999999998</v>
      </c>
      <c r="Z941" s="78">
        <f>IFERROR(OrdersTable[[#This Row],[Profit]]/OrdersTable[[#This Row],[Net Revenue]],0)</f>
        <v>0.49844315408566858</v>
      </c>
      <c r="AA941" t="s">
        <v>18</v>
      </c>
      <c r="AB941" s="79">
        <v>45484</v>
      </c>
      <c r="AC941">
        <f>OrdersTable[[#This Row],[Delivery Date]]-OrdersTable[[#This Row],[Order Date]]</f>
        <v>2</v>
      </c>
      <c r="AD941" t="str">
        <f>IF(OrdersTable[[#This Row],[Delivery Days]]&lt;=2, "Express (≤2d)", IF(OrdersTable[[#This Row],[Delivery Days]]&lt;=4, "Standard (3-4d)", "Delayed (5d+)"))</f>
        <v>Express (≤2d)</v>
      </c>
      <c r="AE941">
        <v>4</v>
      </c>
      <c r="AF941">
        <v>0</v>
      </c>
    </row>
    <row r="942" spans="1:32" ht="15" x14ac:dyDescent="0.35">
      <c r="A942" t="s">
        <v>2922</v>
      </c>
      <c r="B942" s="1">
        <v>45483</v>
      </c>
      <c r="C942">
        <f>YEAR(OrdersTable[[#This Row],[Order Date]])</f>
        <v>2024</v>
      </c>
      <c r="D942" s="2">
        <f>DATE(YEAR(OrdersTable[[#This Row],[Order Date]]),MONTH(OrdersTable[[#This Row],[Order Date]]),1)</f>
        <v>45474</v>
      </c>
      <c r="E942">
        <f>MONTH(OrdersTable[[#This Row],[Order Date]])</f>
        <v>7</v>
      </c>
      <c r="F942" t="s">
        <v>1414</v>
      </c>
      <c r="G942" t="str">
        <f>IF(OrdersTable[[#This Row],[Order Date]]=_xlfn.MINIFS(Order_Date, Customer_ID, OrdersTable[[#This Row],[Customer ID]]), "New", "Repeat")</f>
        <v>New</v>
      </c>
      <c r="H942" t="s">
        <v>76</v>
      </c>
      <c r="I942" t="str">
        <f>INDEX(State!B:B,MATCH(OrdersTable[[#This Row],[State]],State!A:A,0))</f>
        <v>UP</v>
      </c>
      <c r="J942" t="str">
        <f>INDEX(State!C:C,MATCH(OrdersTable[[#This Row],[State Code]],State!B:B,0))</f>
        <v>North</v>
      </c>
      <c r="K942" t="s">
        <v>77</v>
      </c>
      <c r="L942" t="s">
        <v>50</v>
      </c>
      <c r="M942" t="s">
        <v>56</v>
      </c>
      <c r="N942" t="str">
        <f>INDEX(Products!B:B,MATCH(OrdersTable[[#This Row],[Product ID]],Products!A:A,0))</f>
        <v>Vitamin C Face Serum</v>
      </c>
      <c r="O942" t="str">
        <f>INDEX(Products!C:C,MATCH(OrdersTable[[#This Row],[Product ID]],Products!A:A,0))</f>
        <v>Skincare</v>
      </c>
      <c r="P942">
        <v>1</v>
      </c>
      <c r="Q942" s="5">
        <v>599</v>
      </c>
      <c r="R942" s="74">
        <v>0.2</v>
      </c>
      <c r="S942" s="75">
        <f>OrdersTable[[#This Row],[Quantity]]*OrdersTable[[#This Row],[Unit Price]]</f>
        <v>599</v>
      </c>
      <c r="T942" s="5">
        <f>OrdersTable[[#This Row],[Gross Sale]]*OrdersTable[[#This Row],[Discount_Clean2]]</f>
        <v>119.80000000000001</v>
      </c>
      <c r="U942" s="5">
        <f>OrdersTable[[#This Row],[Gross Sale]]-OrdersTable[[#This Row],[Discount Amount]]</f>
        <v>479.2</v>
      </c>
      <c r="V942" s="77">
        <f>INDEX(Products!E:E,MATCH(OrdersTable[[#This Row],[Product ID]],Products!A:A,0))</f>
        <v>180</v>
      </c>
      <c r="W942" s="77">
        <f>OrdersTable[[#This Row],[Quantity]]*OrdersTable[[#This Row],[Unit Cost]]</f>
        <v>180</v>
      </c>
      <c r="X942" s="77">
        <f>'Dropdown Lists'!$I$2*(1+OrdersTable[[#This Row],[Returned]])</f>
        <v>60</v>
      </c>
      <c r="Y942" s="76">
        <f>OrdersTable[[#This Row],[Net Revenue]]-OrdersTable[[#This Row],[COGS]]-OrdersTable[[#This Row],[Shipping Cost]]</f>
        <v>239.2</v>
      </c>
      <c r="Z942" s="78">
        <f>IFERROR(OrdersTable[[#This Row],[Profit]]/OrdersTable[[#This Row],[Net Revenue]],0)</f>
        <v>0.4991652754590985</v>
      </c>
      <c r="AA942" t="s">
        <v>2522</v>
      </c>
      <c r="AB942" s="79">
        <v>45487</v>
      </c>
      <c r="AC942">
        <f>OrdersTable[[#This Row],[Delivery Date]]-OrdersTable[[#This Row],[Order Date]]</f>
        <v>4</v>
      </c>
      <c r="AD942" t="str">
        <f>IF(OrdersTable[[#This Row],[Delivery Days]]&lt;=2, "Express (≤2d)", IF(OrdersTable[[#This Row],[Delivery Days]]&lt;=4, "Standard (3-4d)", "Delayed (5d+)"))</f>
        <v>Standard (3-4d)</v>
      </c>
      <c r="AF942">
        <v>0</v>
      </c>
    </row>
    <row r="943" spans="1:32" ht="15" x14ac:dyDescent="0.35">
      <c r="A943" t="s">
        <v>1143</v>
      </c>
      <c r="B943" s="1">
        <v>45483</v>
      </c>
      <c r="C943">
        <f>YEAR(OrdersTable[[#This Row],[Order Date]])</f>
        <v>2024</v>
      </c>
      <c r="D943" s="2">
        <f>DATE(YEAR(OrdersTable[[#This Row],[Order Date]]),MONTH(OrdersTable[[#This Row],[Order Date]]),1)</f>
        <v>45474</v>
      </c>
      <c r="E943">
        <f>MONTH(OrdersTable[[#This Row],[Order Date]])</f>
        <v>7</v>
      </c>
      <c r="F943" t="s">
        <v>1144</v>
      </c>
      <c r="G943" t="str">
        <f>IF(OrdersTable[[#This Row],[Order Date]]=_xlfn.MINIFS(Order_Date, Customer_ID, OrdersTable[[#This Row],[Customer ID]]), "New", "Repeat")</f>
        <v>New</v>
      </c>
      <c r="H943" t="s">
        <v>32</v>
      </c>
      <c r="I943" t="str">
        <f>INDEX(State!B:B,MATCH(OrdersTable[[#This Row],[State]],State!A:A,0))</f>
        <v>BR</v>
      </c>
      <c r="J943" t="str">
        <f>INDEX(State!C:C,MATCH(OrdersTable[[#This Row],[State Code]],State!B:B,0))</f>
        <v>East</v>
      </c>
      <c r="K943" t="s">
        <v>33</v>
      </c>
      <c r="L943" t="s">
        <v>50</v>
      </c>
      <c r="M943" t="s">
        <v>109</v>
      </c>
      <c r="N943" t="str">
        <f>INDEX(Products!B:B,MATCH(OrdersTable[[#This Row],[Product ID]],Products!A:A,0))</f>
        <v>Onion Hair Oil</v>
      </c>
      <c r="O943" t="str">
        <f>INDEX(Products!C:C,MATCH(OrdersTable[[#This Row],[Product ID]],Products!A:A,0))</f>
        <v>Haircare</v>
      </c>
      <c r="P943">
        <v>1</v>
      </c>
      <c r="Q943" s="5">
        <v>349</v>
      </c>
      <c r="R943" s="74">
        <v>0.3</v>
      </c>
      <c r="S943" s="75">
        <f>OrdersTable[[#This Row],[Quantity]]*OrdersTable[[#This Row],[Unit Price]]</f>
        <v>349</v>
      </c>
      <c r="T943" s="5">
        <f>OrdersTable[[#This Row],[Gross Sale]]*OrdersTable[[#This Row],[Discount_Clean2]]</f>
        <v>104.7</v>
      </c>
      <c r="U943" s="5">
        <f>OrdersTable[[#This Row],[Gross Sale]]-OrdersTable[[#This Row],[Discount Amount]]</f>
        <v>244.3</v>
      </c>
      <c r="V943" s="77">
        <f>INDEX(Products!E:E,MATCH(OrdersTable[[#This Row],[Product ID]],Products!A:A,0))</f>
        <v>105</v>
      </c>
      <c r="W943" s="77">
        <f>OrdersTable[[#This Row],[Quantity]]*OrdersTable[[#This Row],[Unit Cost]]</f>
        <v>105</v>
      </c>
      <c r="X943" s="77">
        <f>'Dropdown Lists'!$I$2*(1+OrdersTable[[#This Row],[Returned]])</f>
        <v>60</v>
      </c>
      <c r="Y943" s="76">
        <f>OrdersTable[[#This Row],[Net Revenue]]-OrdersTable[[#This Row],[COGS]]-OrdersTable[[#This Row],[Shipping Cost]]</f>
        <v>79.300000000000011</v>
      </c>
      <c r="Z943" s="78">
        <f>IFERROR(OrdersTable[[#This Row],[Profit]]/OrdersTable[[#This Row],[Net Revenue]],0)</f>
        <v>0.32460090053213264</v>
      </c>
      <c r="AA943" t="s">
        <v>18</v>
      </c>
      <c r="AB943" s="79">
        <v>45486</v>
      </c>
      <c r="AC943">
        <f>OrdersTable[[#This Row],[Delivery Date]]-OrdersTable[[#This Row],[Order Date]]</f>
        <v>3</v>
      </c>
      <c r="AD943" t="str">
        <f>IF(OrdersTable[[#This Row],[Delivery Days]]&lt;=2, "Express (≤2d)", IF(OrdersTable[[#This Row],[Delivery Days]]&lt;=4, "Standard (3-4d)", "Delayed (5d+)"))</f>
        <v>Standard (3-4d)</v>
      </c>
      <c r="AF943">
        <v>0</v>
      </c>
    </row>
    <row r="944" spans="1:32" ht="15" x14ac:dyDescent="0.35">
      <c r="A944" t="s">
        <v>3185</v>
      </c>
      <c r="B944" s="1">
        <v>45483</v>
      </c>
      <c r="C944">
        <f>YEAR(OrdersTable[[#This Row],[Order Date]])</f>
        <v>2024</v>
      </c>
      <c r="D944" s="2">
        <f>DATE(YEAR(OrdersTable[[#This Row],[Order Date]]),MONTH(OrdersTable[[#This Row],[Order Date]]),1)</f>
        <v>45474</v>
      </c>
      <c r="E944">
        <f>MONTH(OrdersTable[[#This Row],[Order Date]])</f>
        <v>7</v>
      </c>
      <c r="F944" t="s">
        <v>3186</v>
      </c>
      <c r="G944" t="str">
        <f>IF(OrdersTable[[#This Row],[Order Date]]=_xlfn.MINIFS(Order_Date, Customer_ID, OrdersTable[[#This Row],[Customer ID]]), "New", "Repeat")</f>
        <v>New</v>
      </c>
      <c r="H944" t="s">
        <v>27</v>
      </c>
      <c r="I944" t="str">
        <f>INDEX(State!B:B,MATCH(OrdersTable[[#This Row],[State]],State!A:A,0))</f>
        <v>WB</v>
      </c>
      <c r="J944" t="str">
        <f>INDEX(State!C:C,MATCH(OrdersTable[[#This Row],[State Code]],State!B:B,0))</f>
        <v>East</v>
      </c>
      <c r="K944" t="s">
        <v>28</v>
      </c>
      <c r="L944" t="s">
        <v>39</v>
      </c>
      <c r="M944" t="s">
        <v>205</v>
      </c>
      <c r="N944" t="str">
        <f>INDEX(Products!B:B,MATCH(OrdersTable[[#This Row],[Product ID]],Products!A:A,0))</f>
        <v>Running Shoes</v>
      </c>
      <c r="O944" t="str">
        <f>INDEX(Products!C:C,MATCH(OrdersTable[[#This Row],[Product ID]],Products!A:A,0))</f>
        <v>Footwear</v>
      </c>
      <c r="P944">
        <v>1</v>
      </c>
      <c r="Q944" s="5">
        <v>2999</v>
      </c>
      <c r="R944" s="74">
        <v>0.15</v>
      </c>
      <c r="S944" s="75">
        <f>OrdersTable[[#This Row],[Quantity]]*OrdersTable[[#This Row],[Unit Price]]</f>
        <v>2999</v>
      </c>
      <c r="T944" s="5">
        <f>OrdersTable[[#This Row],[Gross Sale]]*OrdersTable[[#This Row],[Discount_Clean2]]</f>
        <v>449.84999999999997</v>
      </c>
      <c r="U944" s="5">
        <f>OrdersTable[[#This Row],[Gross Sale]]-OrdersTable[[#This Row],[Discount Amount]]</f>
        <v>2549.15</v>
      </c>
      <c r="V944" s="77">
        <f>INDEX(Products!E:E,MATCH(OrdersTable[[#This Row],[Product ID]],Products!A:A,0))</f>
        <v>1440</v>
      </c>
      <c r="W944" s="77">
        <f>OrdersTable[[#This Row],[Quantity]]*OrdersTable[[#This Row],[Unit Cost]]</f>
        <v>1440</v>
      </c>
      <c r="X944" s="77">
        <f>'Dropdown Lists'!$I$2*(1+OrdersTable[[#This Row],[Returned]])</f>
        <v>60</v>
      </c>
      <c r="Y944" s="76">
        <f>OrdersTable[[#This Row],[Net Revenue]]-OrdersTable[[#This Row],[COGS]]-OrdersTable[[#This Row],[Shipping Cost]]</f>
        <v>1049.1500000000001</v>
      </c>
      <c r="Z944" s="78">
        <f>IFERROR(OrdersTable[[#This Row],[Profit]]/OrdersTable[[#This Row],[Net Revenue]],0)</f>
        <v>0.41156856206970954</v>
      </c>
      <c r="AA944" t="s">
        <v>2522</v>
      </c>
      <c r="AB944" s="79">
        <v>45486</v>
      </c>
      <c r="AC944">
        <f>OrdersTable[[#This Row],[Delivery Date]]-OrdersTable[[#This Row],[Order Date]]</f>
        <v>3</v>
      </c>
      <c r="AD944" t="str">
        <f>IF(OrdersTable[[#This Row],[Delivery Days]]&lt;=2, "Express (≤2d)", IF(OrdersTable[[#This Row],[Delivery Days]]&lt;=4, "Standard (3-4d)", "Delayed (5d+)"))</f>
        <v>Standard (3-4d)</v>
      </c>
      <c r="AE944">
        <v>4</v>
      </c>
      <c r="AF944">
        <v>0</v>
      </c>
    </row>
    <row r="945" spans="1:32" ht="15" x14ac:dyDescent="0.35">
      <c r="A945" t="s">
        <v>3547</v>
      </c>
      <c r="B945" s="1">
        <v>45483</v>
      </c>
      <c r="C945">
        <f>YEAR(OrdersTable[[#This Row],[Order Date]])</f>
        <v>2024</v>
      </c>
      <c r="D945" s="2">
        <f>DATE(YEAR(OrdersTable[[#This Row],[Order Date]]),MONTH(OrdersTable[[#This Row],[Order Date]]),1)</f>
        <v>45474</v>
      </c>
      <c r="E945">
        <f>MONTH(OrdersTable[[#This Row],[Order Date]])</f>
        <v>7</v>
      </c>
      <c r="F945" t="s">
        <v>887</v>
      </c>
      <c r="G945" t="str">
        <f>IF(OrdersTable[[#This Row],[Order Date]]=_xlfn.MINIFS(Order_Date, Customer_ID, OrdersTable[[#This Row],[Customer ID]]), "New", "Repeat")</f>
        <v>New</v>
      </c>
      <c r="H945" t="s">
        <v>316</v>
      </c>
      <c r="I945" t="str">
        <f>INDEX(State!B:B,MATCH(OrdersTable[[#This Row],[State]],State!A:A,0))</f>
        <v>KL</v>
      </c>
      <c r="J945" t="str">
        <f>INDEX(State!C:C,MATCH(OrdersTable[[#This Row],[State Code]],State!B:B,0))</f>
        <v>South</v>
      </c>
      <c r="K945" t="s">
        <v>338</v>
      </c>
      <c r="L945" t="s">
        <v>65</v>
      </c>
      <c r="M945" t="s">
        <v>29</v>
      </c>
      <c r="N945" t="str">
        <f>INDEX(Products!B:B,MATCH(OrdersTable[[#This Row],[Product ID]],Products!A:A,0))</f>
        <v>Joggers</v>
      </c>
      <c r="O945" t="str">
        <f>INDEX(Products!C:C,MATCH(OrdersTable[[#This Row],[Product ID]],Products!A:A,0))</f>
        <v>Apparel</v>
      </c>
      <c r="P945">
        <v>1</v>
      </c>
      <c r="Q945" s="5">
        <v>1199</v>
      </c>
      <c r="R945" s="74">
        <v>0.05</v>
      </c>
      <c r="S945" s="75">
        <f>OrdersTable[[#This Row],[Quantity]]*OrdersTable[[#This Row],[Unit Price]]</f>
        <v>1199</v>
      </c>
      <c r="T945" s="5">
        <f>OrdersTable[[#This Row],[Gross Sale]]*OrdersTable[[#This Row],[Discount_Clean2]]</f>
        <v>59.95</v>
      </c>
      <c r="U945" s="5">
        <f>OrdersTable[[#This Row],[Gross Sale]]-OrdersTable[[#This Row],[Discount Amount]]</f>
        <v>1139.05</v>
      </c>
      <c r="V945" s="77">
        <f>INDEX(Products!E:E,MATCH(OrdersTable[[#This Row],[Product ID]],Products!A:A,0))</f>
        <v>492</v>
      </c>
      <c r="W945" s="77">
        <f>OrdersTable[[#This Row],[Quantity]]*OrdersTable[[#This Row],[Unit Cost]]</f>
        <v>492</v>
      </c>
      <c r="X945" s="77">
        <f>'Dropdown Lists'!$I$2*(1+OrdersTable[[#This Row],[Returned]])</f>
        <v>60</v>
      </c>
      <c r="Y945" s="76">
        <f>OrdersTable[[#This Row],[Net Revenue]]-OrdersTable[[#This Row],[COGS]]-OrdersTable[[#This Row],[Shipping Cost]]</f>
        <v>587.04999999999995</v>
      </c>
      <c r="Z945" s="78">
        <f>IFERROR(OrdersTable[[#This Row],[Profit]]/OrdersTable[[#This Row],[Net Revenue]],0)</f>
        <v>0.51538562837452262</v>
      </c>
      <c r="AA945" t="s">
        <v>3495</v>
      </c>
      <c r="AB945" s="79">
        <v>45486</v>
      </c>
      <c r="AC945">
        <f>OrdersTable[[#This Row],[Delivery Date]]-OrdersTable[[#This Row],[Order Date]]</f>
        <v>3</v>
      </c>
      <c r="AD945" t="str">
        <f>IF(OrdersTable[[#This Row],[Delivery Days]]&lt;=2, "Express (≤2d)", IF(OrdersTable[[#This Row],[Delivery Days]]&lt;=4, "Standard (3-4d)", "Delayed (5d+)"))</f>
        <v>Standard (3-4d)</v>
      </c>
      <c r="AE945">
        <v>4</v>
      </c>
      <c r="AF945">
        <v>0</v>
      </c>
    </row>
    <row r="946" spans="1:32" ht="15" x14ac:dyDescent="0.35">
      <c r="A946" t="s">
        <v>748</v>
      </c>
      <c r="B946" s="1">
        <v>45483</v>
      </c>
      <c r="C946">
        <f>YEAR(OrdersTable[[#This Row],[Order Date]])</f>
        <v>2024</v>
      </c>
      <c r="D946" s="2">
        <f>DATE(YEAR(OrdersTable[[#This Row],[Order Date]]),MONTH(OrdersTable[[#This Row],[Order Date]]),1)</f>
        <v>45474</v>
      </c>
      <c r="E946">
        <f>MONTH(OrdersTable[[#This Row],[Order Date]])</f>
        <v>7</v>
      </c>
      <c r="F946" t="s">
        <v>737</v>
      </c>
      <c r="G946" t="str">
        <f>IF(OrdersTable[[#This Row],[Order Date]]=_xlfn.MINIFS(Order_Date, Customer_ID, OrdersTable[[#This Row],[Customer ID]]), "New", "Repeat")</f>
        <v>Repeat</v>
      </c>
      <c r="H946" t="s">
        <v>316</v>
      </c>
      <c r="I946" t="str">
        <f>INDEX(State!B:B,MATCH(OrdersTable[[#This Row],[State]],State!A:A,0))</f>
        <v>KL</v>
      </c>
      <c r="J946" t="str">
        <f>INDEX(State!C:C,MATCH(OrdersTable[[#This Row],[State Code]],State!B:B,0))</f>
        <v>South</v>
      </c>
      <c r="K946" t="s">
        <v>317</v>
      </c>
      <c r="L946" t="s">
        <v>39</v>
      </c>
      <c r="M946" t="s">
        <v>106</v>
      </c>
      <c r="N946" t="str">
        <f>INDEX(Products!B:B,MATCH(OrdersTable[[#This Row],[Product ID]],Products!A:A,0))</f>
        <v>Keratin Hair Mask</v>
      </c>
      <c r="O946" t="str">
        <f>INDEX(Products!C:C,MATCH(OrdersTable[[#This Row],[Product ID]],Products!A:A,0))</f>
        <v>Haircare</v>
      </c>
      <c r="P946">
        <v>1</v>
      </c>
      <c r="Q946" s="5">
        <v>549</v>
      </c>
      <c r="R946" s="74">
        <v>0.05</v>
      </c>
      <c r="S946" s="75">
        <f>OrdersTable[[#This Row],[Quantity]]*OrdersTable[[#This Row],[Unit Price]]</f>
        <v>549</v>
      </c>
      <c r="T946" s="5">
        <f>OrdersTable[[#This Row],[Gross Sale]]*OrdersTable[[#This Row],[Discount_Clean2]]</f>
        <v>27.450000000000003</v>
      </c>
      <c r="U946" s="5">
        <f>OrdersTable[[#This Row],[Gross Sale]]-OrdersTable[[#This Row],[Discount Amount]]</f>
        <v>521.54999999999995</v>
      </c>
      <c r="V946" s="77">
        <f>INDEX(Products!E:E,MATCH(OrdersTable[[#This Row],[Product ID]],Products!A:A,0))</f>
        <v>170</v>
      </c>
      <c r="W946" s="77">
        <f>OrdersTable[[#This Row],[Quantity]]*OrdersTable[[#This Row],[Unit Cost]]</f>
        <v>170</v>
      </c>
      <c r="X946" s="77">
        <f>'Dropdown Lists'!$I$2*(1+OrdersTable[[#This Row],[Returned]])</f>
        <v>60</v>
      </c>
      <c r="Y946" s="76">
        <f>OrdersTable[[#This Row],[Net Revenue]]-OrdersTable[[#This Row],[COGS]]-OrdersTable[[#This Row],[Shipping Cost]]</f>
        <v>291.54999999999995</v>
      </c>
      <c r="Z946" s="78">
        <f>IFERROR(OrdersTable[[#This Row],[Profit]]/OrdersTable[[#This Row],[Net Revenue]],0)</f>
        <v>0.55900680663407143</v>
      </c>
      <c r="AA946" t="s">
        <v>18</v>
      </c>
      <c r="AB946" s="79">
        <v>45488</v>
      </c>
      <c r="AC946">
        <f>OrdersTable[[#This Row],[Delivery Date]]-OrdersTable[[#This Row],[Order Date]]</f>
        <v>5</v>
      </c>
      <c r="AD946" t="str">
        <f>IF(OrdersTable[[#This Row],[Delivery Days]]&lt;=2, "Express (≤2d)", IF(OrdersTable[[#This Row],[Delivery Days]]&lt;=4, "Standard (3-4d)", "Delayed (5d+)"))</f>
        <v>Delayed (5d+)</v>
      </c>
      <c r="AE946">
        <v>4</v>
      </c>
      <c r="AF946">
        <v>0</v>
      </c>
    </row>
    <row r="947" spans="1:32" ht="15" x14ac:dyDescent="0.35">
      <c r="A947" t="s">
        <v>2923</v>
      </c>
      <c r="B947" s="1">
        <v>45484</v>
      </c>
      <c r="C947">
        <f>YEAR(OrdersTable[[#This Row],[Order Date]])</f>
        <v>2024</v>
      </c>
      <c r="D947" s="2">
        <f>DATE(YEAR(OrdersTable[[#This Row],[Order Date]]),MONTH(OrdersTable[[#This Row],[Order Date]]),1)</f>
        <v>45474</v>
      </c>
      <c r="E947">
        <f>MONTH(OrdersTable[[#This Row],[Order Date]])</f>
        <v>7</v>
      </c>
      <c r="F947" t="s">
        <v>2924</v>
      </c>
      <c r="G947" t="str">
        <f>IF(OrdersTable[[#This Row],[Order Date]]=_xlfn.MINIFS(Order_Date, Customer_ID, OrdersTable[[#This Row],[Customer ID]]), "New", "Repeat")</f>
        <v>New</v>
      </c>
      <c r="H947" t="s">
        <v>32</v>
      </c>
      <c r="I947" t="str">
        <f>INDEX(State!B:B,MATCH(OrdersTable[[#This Row],[State]],State!A:A,0))</f>
        <v>BR</v>
      </c>
      <c r="J947" t="str">
        <f>INDEX(State!C:C,MATCH(OrdersTable[[#This Row],[State Code]],State!B:B,0))</f>
        <v>East</v>
      </c>
      <c r="K947" t="s">
        <v>33</v>
      </c>
      <c r="L947" t="s">
        <v>50</v>
      </c>
      <c r="M947" t="s">
        <v>66</v>
      </c>
      <c r="N947" t="str">
        <f>INDEX(Products!B:B,MATCH(OrdersTable[[#This Row],[Product ID]],Products!A:A,0))</f>
        <v>Sunscreen SPF 50</v>
      </c>
      <c r="O947" t="str">
        <f>INDEX(Products!C:C,MATCH(OrdersTable[[#This Row],[Product ID]],Products!A:A,0))</f>
        <v>Skincare</v>
      </c>
      <c r="P947">
        <v>1</v>
      </c>
      <c r="Q947" s="5">
        <v>449</v>
      </c>
      <c r="R947" s="74">
        <v>0.1</v>
      </c>
      <c r="S947" s="75">
        <f>OrdersTable[[#This Row],[Quantity]]*OrdersTable[[#This Row],[Unit Price]]</f>
        <v>449</v>
      </c>
      <c r="T947" s="5">
        <f>OrdersTable[[#This Row],[Gross Sale]]*OrdersTable[[#This Row],[Discount_Clean2]]</f>
        <v>44.900000000000006</v>
      </c>
      <c r="U947" s="5">
        <f>OrdersTable[[#This Row],[Gross Sale]]-OrdersTable[[#This Row],[Discount Amount]]</f>
        <v>404.1</v>
      </c>
      <c r="V947" s="77">
        <f>INDEX(Products!E:E,MATCH(OrdersTable[[#This Row],[Product ID]],Products!A:A,0))</f>
        <v>144</v>
      </c>
      <c r="W947" s="77">
        <f>OrdersTable[[#This Row],[Quantity]]*OrdersTable[[#This Row],[Unit Cost]]</f>
        <v>144</v>
      </c>
      <c r="X947" s="77">
        <f>'Dropdown Lists'!$I$2*(1+OrdersTable[[#This Row],[Returned]])</f>
        <v>60</v>
      </c>
      <c r="Y947" s="76">
        <f>OrdersTable[[#This Row],[Net Revenue]]-OrdersTable[[#This Row],[COGS]]-OrdersTable[[#This Row],[Shipping Cost]]</f>
        <v>200.10000000000002</v>
      </c>
      <c r="Z947" s="78">
        <f>IFERROR(OrdersTable[[#This Row],[Profit]]/OrdersTable[[#This Row],[Net Revenue]],0)</f>
        <v>0.4951744617668894</v>
      </c>
      <c r="AA947" t="s">
        <v>2522</v>
      </c>
      <c r="AB947" s="79">
        <v>45487</v>
      </c>
      <c r="AC947">
        <f>OrdersTable[[#This Row],[Delivery Date]]-OrdersTable[[#This Row],[Order Date]]</f>
        <v>3</v>
      </c>
      <c r="AD947" t="str">
        <f>IF(OrdersTable[[#This Row],[Delivery Days]]&lt;=2, "Express (≤2d)", IF(OrdersTable[[#This Row],[Delivery Days]]&lt;=4, "Standard (3-4d)", "Delayed (5d+)"))</f>
        <v>Standard (3-4d)</v>
      </c>
      <c r="AF947">
        <v>0</v>
      </c>
    </row>
    <row r="948" spans="1:32" ht="15" x14ac:dyDescent="0.35">
      <c r="A948" t="s">
        <v>5668</v>
      </c>
      <c r="B948" s="1">
        <v>45484</v>
      </c>
      <c r="C948">
        <f>YEAR(OrdersTable[[#This Row],[Order Date]])</f>
        <v>2024</v>
      </c>
      <c r="D948" s="2">
        <f>DATE(YEAR(OrdersTable[[#This Row],[Order Date]]),MONTH(OrdersTable[[#This Row],[Order Date]]),1)</f>
        <v>45474</v>
      </c>
      <c r="E948">
        <f>MONTH(OrdersTable[[#This Row],[Order Date]])</f>
        <v>7</v>
      </c>
      <c r="F948" t="s">
        <v>2496</v>
      </c>
      <c r="G948" t="str">
        <f>IF(OrdersTable[[#This Row],[Order Date]]=_xlfn.MINIFS(Order_Date, Customer_ID, OrdersTable[[#This Row],[Customer ID]]), "New", "Repeat")</f>
        <v>Repeat</v>
      </c>
      <c r="H948" t="s">
        <v>123</v>
      </c>
      <c r="I948" t="str">
        <f>INDEX(State!B:B,MATCH(OrdersTable[[#This Row],[State]],State!A:A,0))</f>
        <v>JH</v>
      </c>
      <c r="J948" t="str">
        <f>INDEX(State!C:C,MATCH(OrdersTable[[#This Row],[State Code]],State!B:B,0))</f>
        <v>East</v>
      </c>
      <c r="K948" t="s">
        <v>124</v>
      </c>
      <c r="L948" t="s">
        <v>23</v>
      </c>
      <c r="M948" t="s">
        <v>78</v>
      </c>
      <c r="N948" t="str">
        <f>INDEX(Products!B:B,MATCH(OrdersTable[[#This Row],[Product ID]],Products!A:A,0))</f>
        <v>Retinol Night Cream</v>
      </c>
      <c r="O948" t="str">
        <f>INDEX(Products!C:C,MATCH(OrdersTable[[#This Row],[Product ID]],Products!A:A,0))</f>
        <v>Skincare</v>
      </c>
      <c r="P948">
        <v>2</v>
      </c>
      <c r="Q948" s="5">
        <v>799</v>
      </c>
      <c r="R948" s="74">
        <v>0.1</v>
      </c>
      <c r="S948" s="75">
        <f>OrdersTable[[#This Row],[Quantity]]*OrdersTable[[#This Row],[Unit Price]]</f>
        <v>1598</v>
      </c>
      <c r="T948" s="5">
        <f>OrdersTable[[#This Row],[Gross Sale]]*OrdersTable[[#This Row],[Discount_Clean2]]</f>
        <v>159.80000000000001</v>
      </c>
      <c r="U948" s="5">
        <f>OrdersTable[[#This Row],[Gross Sale]]-OrdersTable[[#This Row],[Discount Amount]]</f>
        <v>1438.2</v>
      </c>
      <c r="V948" s="77">
        <f>INDEX(Products!E:E,MATCH(OrdersTable[[#This Row],[Product ID]],Products!A:A,0))</f>
        <v>216</v>
      </c>
      <c r="W948" s="77">
        <f>OrdersTable[[#This Row],[Quantity]]*OrdersTable[[#This Row],[Unit Cost]]</f>
        <v>432</v>
      </c>
      <c r="X948" s="77">
        <f>'Dropdown Lists'!$I$2*(1+OrdersTable[[#This Row],[Returned]])</f>
        <v>60</v>
      </c>
      <c r="Y948" s="76">
        <f>OrdersTable[[#This Row],[Net Revenue]]-OrdersTable[[#This Row],[COGS]]-OrdersTable[[#This Row],[Shipping Cost]]</f>
        <v>946.2</v>
      </c>
      <c r="Z948" s="78">
        <f>IFERROR(OrdersTable[[#This Row],[Profit]]/OrdersTable[[#This Row],[Net Revenue]],0)</f>
        <v>0.6579057154776804</v>
      </c>
      <c r="AA948" t="s">
        <v>18</v>
      </c>
      <c r="AB948" s="79">
        <v>45488</v>
      </c>
      <c r="AC948">
        <f>OrdersTable[[#This Row],[Delivery Date]]-OrdersTable[[#This Row],[Order Date]]</f>
        <v>4</v>
      </c>
      <c r="AD948" t="str">
        <f>IF(OrdersTable[[#This Row],[Delivery Days]]&lt;=2, "Express (≤2d)", IF(OrdersTable[[#This Row],[Delivery Days]]&lt;=4, "Standard (3-4d)", "Delayed (5d+)"))</f>
        <v>Standard (3-4d)</v>
      </c>
      <c r="AE948">
        <v>3</v>
      </c>
      <c r="AF948">
        <v>0</v>
      </c>
    </row>
    <row r="949" spans="1:32" ht="15" x14ac:dyDescent="0.35">
      <c r="A949" t="s">
        <v>6676</v>
      </c>
      <c r="B949" s="1">
        <v>45484</v>
      </c>
      <c r="C949">
        <f>YEAR(OrdersTable[[#This Row],[Order Date]])</f>
        <v>2024</v>
      </c>
      <c r="D949" s="2">
        <f>DATE(YEAR(OrdersTable[[#This Row],[Order Date]]),MONTH(OrdersTable[[#This Row],[Order Date]]),1)</f>
        <v>45474</v>
      </c>
      <c r="E949">
        <f>MONTH(OrdersTable[[#This Row],[Order Date]])</f>
        <v>7</v>
      </c>
      <c r="F949" t="s">
        <v>1171</v>
      </c>
      <c r="G949" t="str">
        <f>IF(OrdersTable[[#This Row],[Order Date]]=_xlfn.MINIFS(Order_Date, Customer_ID, OrdersTable[[#This Row],[Customer ID]]), "New", "Repeat")</f>
        <v>New</v>
      </c>
      <c r="H949" t="s">
        <v>27</v>
      </c>
      <c r="I949" t="str">
        <f>INDEX(State!B:B,MATCH(OrdersTable[[#This Row],[State]],State!A:A,0))</f>
        <v>WB</v>
      </c>
      <c r="J949" t="str">
        <f>INDEX(State!C:C,MATCH(OrdersTable[[#This Row],[State Code]],State!B:B,0))</f>
        <v>East</v>
      </c>
      <c r="K949" t="s">
        <v>28</v>
      </c>
      <c r="L949" t="s">
        <v>16</v>
      </c>
      <c r="M949" t="s">
        <v>29</v>
      </c>
      <c r="N949" t="str">
        <f>INDEX(Products!B:B,MATCH(OrdersTable[[#This Row],[Product ID]],Products!A:A,0))</f>
        <v>Joggers</v>
      </c>
      <c r="O949" t="str">
        <f>INDEX(Products!C:C,MATCH(OrdersTable[[#This Row],[Product ID]],Products!A:A,0))</f>
        <v>Apparel</v>
      </c>
      <c r="P949">
        <v>3</v>
      </c>
      <c r="Q949" s="5">
        <v>1199</v>
      </c>
      <c r="R949" s="74">
        <v>0.1</v>
      </c>
      <c r="S949" s="75">
        <f>OrdersTable[[#This Row],[Quantity]]*OrdersTable[[#This Row],[Unit Price]]</f>
        <v>3597</v>
      </c>
      <c r="T949" s="5">
        <f>OrdersTable[[#This Row],[Gross Sale]]*OrdersTable[[#This Row],[Discount_Clean2]]</f>
        <v>359.70000000000005</v>
      </c>
      <c r="U949" s="5">
        <f>OrdersTable[[#This Row],[Gross Sale]]-OrdersTable[[#This Row],[Discount Amount]]</f>
        <v>3237.3</v>
      </c>
      <c r="V949" s="77">
        <f>INDEX(Products!E:E,MATCH(OrdersTable[[#This Row],[Product ID]],Products!A:A,0))</f>
        <v>492</v>
      </c>
      <c r="W949" s="77">
        <f>OrdersTable[[#This Row],[Quantity]]*OrdersTable[[#This Row],[Unit Cost]]</f>
        <v>1476</v>
      </c>
      <c r="X949" s="77">
        <f>'Dropdown Lists'!$I$2*(1+OrdersTable[[#This Row],[Returned]])</f>
        <v>60</v>
      </c>
      <c r="Y949" s="76">
        <f>OrdersTable[[#This Row],[Net Revenue]]-OrdersTable[[#This Row],[COGS]]-OrdersTable[[#This Row],[Shipping Cost]]</f>
        <v>1701.3000000000002</v>
      </c>
      <c r="Z949" s="78">
        <f>IFERROR(OrdersTable[[#This Row],[Profit]]/OrdersTable[[#This Row],[Net Revenue]],0)</f>
        <v>0.52553053470484667</v>
      </c>
      <c r="AA949" t="s">
        <v>2522</v>
      </c>
      <c r="AB949" s="79">
        <v>45488</v>
      </c>
      <c r="AC949">
        <f>OrdersTable[[#This Row],[Delivery Date]]-OrdersTable[[#This Row],[Order Date]]</f>
        <v>4</v>
      </c>
      <c r="AD949" t="str">
        <f>IF(OrdersTable[[#This Row],[Delivery Days]]&lt;=2, "Express (≤2d)", IF(OrdersTable[[#This Row],[Delivery Days]]&lt;=4, "Standard (3-4d)", "Delayed (5d+)"))</f>
        <v>Standard (3-4d)</v>
      </c>
      <c r="AF949">
        <v>0</v>
      </c>
    </row>
    <row r="950" spans="1:32" ht="15" x14ac:dyDescent="0.35">
      <c r="A950" t="s">
        <v>4096</v>
      </c>
      <c r="B950" s="1">
        <v>45484</v>
      </c>
      <c r="C950">
        <f>YEAR(OrdersTable[[#This Row],[Order Date]])</f>
        <v>2024</v>
      </c>
      <c r="D950" s="2">
        <f>DATE(YEAR(OrdersTable[[#This Row],[Order Date]]),MONTH(OrdersTable[[#This Row],[Order Date]]),1)</f>
        <v>45474</v>
      </c>
      <c r="E950">
        <f>MONTH(OrdersTable[[#This Row],[Order Date]])</f>
        <v>7</v>
      </c>
      <c r="F950" t="s">
        <v>4097</v>
      </c>
      <c r="G950" t="str">
        <f>IF(OrdersTable[[#This Row],[Order Date]]=_xlfn.MINIFS(Order_Date, Customer_ID, OrdersTable[[#This Row],[Customer ID]]), "New", "Repeat")</f>
        <v>New</v>
      </c>
      <c r="H950" t="s">
        <v>71</v>
      </c>
      <c r="I950" t="str">
        <f>INDEX(State!B:B,MATCH(OrdersTable[[#This Row],[State]],State!A:A,0))</f>
        <v>MH</v>
      </c>
      <c r="J950" t="str">
        <f>INDEX(State!C:C,MATCH(OrdersTable[[#This Row],[State Code]],State!B:B,0))</f>
        <v>West</v>
      </c>
      <c r="K950" t="s">
        <v>81</v>
      </c>
      <c r="L950" t="s">
        <v>50</v>
      </c>
      <c r="M950" t="s">
        <v>73</v>
      </c>
      <c r="N950" t="str">
        <f>INDEX(Products!B:B,MATCH(OrdersTable[[#This Row],[Product ID]],Products!A:A,0))</f>
        <v>Hydrating Face Wash</v>
      </c>
      <c r="O950" t="str">
        <f>INDEX(Products!C:C,MATCH(OrdersTable[[#This Row],[Product ID]],Products!A:A,0))</f>
        <v>Skincare</v>
      </c>
      <c r="P950">
        <v>1</v>
      </c>
      <c r="Q950" s="5">
        <v>299</v>
      </c>
      <c r="R950" s="74">
        <v>0</v>
      </c>
      <c r="S950" s="75">
        <f>OrdersTable[[#This Row],[Quantity]]*OrdersTable[[#This Row],[Unit Price]]</f>
        <v>299</v>
      </c>
      <c r="T950" s="5">
        <f>OrdersTable[[#This Row],[Gross Sale]]*OrdersTable[[#This Row],[Discount_Clean2]]</f>
        <v>0</v>
      </c>
      <c r="U950" s="5">
        <f>OrdersTable[[#This Row],[Gross Sale]]-OrdersTable[[#This Row],[Discount Amount]]</f>
        <v>299</v>
      </c>
      <c r="V950" s="77">
        <f>INDEX(Products!E:E,MATCH(OrdersTable[[#This Row],[Product ID]],Products!A:A,0))</f>
        <v>90</v>
      </c>
      <c r="W950" s="77">
        <f>OrdersTable[[#This Row],[Quantity]]*OrdersTable[[#This Row],[Unit Cost]]</f>
        <v>90</v>
      </c>
      <c r="X950" s="77">
        <f>'Dropdown Lists'!$I$2*(1+OrdersTable[[#This Row],[Returned]])</f>
        <v>60</v>
      </c>
      <c r="Y950" s="76">
        <f>OrdersTable[[#This Row],[Net Revenue]]-OrdersTable[[#This Row],[COGS]]-OrdersTable[[#This Row],[Shipping Cost]]</f>
        <v>149</v>
      </c>
      <c r="Z950" s="78">
        <f>IFERROR(OrdersTable[[#This Row],[Profit]]/OrdersTable[[#This Row],[Net Revenue]],0)</f>
        <v>0.49832775919732442</v>
      </c>
      <c r="AA950" t="s">
        <v>4074</v>
      </c>
      <c r="AB950" s="79">
        <v>45488</v>
      </c>
      <c r="AC950">
        <f>OrdersTable[[#This Row],[Delivery Date]]-OrdersTable[[#This Row],[Order Date]]</f>
        <v>4</v>
      </c>
      <c r="AD950" t="str">
        <f>IF(OrdersTable[[#This Row],[Delivery Days]]&lt;=2, "Express (≤2d)", IF(OrdersTable[[#This Row],[Delivery Days]]&lt;=4, "Standard (3-4d)", "Delayed (5d+)"))</f>
        <v>Standard (3-4d)</v>
      </c>
      <c r="AE950">
        <v>3</v>
      </c>
      <c r="AF950">
        <v>0</v>
      </c>
    </row>
    <row r="951" spans="1:32" ht="15" x14ac:dyDescent="0.35">
      <c r="A951" t="s">
        <v>4568</v>
      </c>
      <c r="B951" s="1">
        <v>45484</v>
      </c>
      <c r="C951">
        <f>YEAR(OrdersTable[[#This Row],[Order Date]])</f>
        <v>2024</v>
      </c>
      <c r="D951" s="2">
        <f>DATE(YEAR(OrdersTable[[#This Row],[Order Date]]),MONTH(OrdersTable[[#This Row],[Order Date]]),1)</f>
        <v>45474</v>
      </c>
      <c r="E951">
        <f>MONTH(OrdersTable[[#This Row],[Order Date]])</f>
        <v>7</v>
      </c>
      <c r="F951" t="s">
        <v>2605</v>
      </c>
      <c r="G951" t="str">
        <f>IF(OrdersTable[[#This Row],[Order Date]]=_xlfn.MINIFS(Order_Date, Customer_ID, OrdersTable[[#This Row],[Customer ID]]), "New", "Repeat")</f>
        <v>Repeat</v>
      </c>
      <c r="H951" t="s">
        <v>316</v>
      </c>
      <c r="I951" t="str">
        <f>INDEX(State!B:B,MATCH(OrdersTable[[#This Row],[State]],State!A:A,0))</f>
        <v>KL</v>
      </c>
      <c r="J951" t="str">
        <f>INDEX(State!C:C,MATCH(OrdersTable[[#This Row],[State Code]],State!B:B,0))</f>
        <v>South</v>
      </c>
      <c r="K951" t="s">
        <v>338</v>
      </c>
      <c r="L951" t="s">
        <v>23</v>
      </c>
      <c r="M951" t="s">
        <v>576</v>
      </c>
      <c r="N951" t="str">
        <f>INDEX(Products!B:B,MATCH(OrdersTable[[#This Row],[Product ID]],Products!A:A,0))</f>
        <v>Printed Saree</v>
      </c>
      <c r="O951" t="str">
        <f>INDEX(Products!C:C,MATCH(OrdersTable[[#This Row],[Product ID]],Products!A:A,0))</f>
        <v>Apparel</v>
      </c>
      <c r="P951">
        <v>1</v>
      </c>
      <c r="Q951" s="5">
        <v>1999</v>
      </c>
      <c r="R951" s="74">
        <v>0</v>
      </c>
      <c r="S951" s="75">
        <f>OrdersTable[[#This Row],[Quantity]]*OrdersTable[[#This Row],[Unit Price]]</f>
        <v>1999</v>
      </c>
      <c r="T951" s="5">
        <f>OrdersTable[[#This Row],[Gross Sale]]*OrdersTable[[#This Row],[Discount_Clean2]]</f>
        <v>0</v>
      </c>
      <c r="U951" s="5">
        <f>OrdersTable[[#This Row],[Gross Sale]]-OrdersTable[[#This Row],[Discount Amount]]</f>
        <v>1999</v>
      </c>
      <c r="V951" s="77">
        <f>INDEX(Products!E:E,MATCH(OrdersTable[[#This Row],[Product ID]],Products!A:A,0))</f>
        <v>880</v>
      </c>
      <c r="W951" s="77">
        <f>OrdersTable[[#This Row],[Quantity]]*OrdersTable[[#This Row],[Unit Cost]]</f>
        <v>880</v>
      </c>
      <c r="X951" s="77">
        <f>'Dropdown Lists'!$I$2*(1+OrdersTable[[#This Row],[Returned]])</f>
        <v>60</v>
      </c>
      <c r="Y951" s="76">
        <f>OrdersTable[[#This Row],[Net Revenue]]-OrdersTable[[#This Row],[COGS]]-OrdersTable[[#This Row],[Shipping Cost]]</f>
        <v>1059</v>
      </c>
      <c r="Z951" s="78">
        <f>IFERROR(OrdersTable[[#This Row],[Profit]]/OrdersTable[[#This Row],[Net Revenue]],0)</f>
        <v>0.52976488244122066</v>
      </c>
      <c r="AA951" t="s">
        <v>4450</v>
      </c>
      <c r="AB951" s="79">
        <v>45486</v>
      </c>
      <c r="AC951">
        <f>OrdersTable[[#This Row],[Delivery Date]]-OrdersTable[[#This Row],[Order Date]]</f>
        <v>2</v>
      </c>
      <c r="AD951" t="str">
        <f>IF(OrdersTable[[#This Row],[Delivery Days]]&lt;=2, "Express (≤2d)", IF(OrdersTable[[#This Row],[Delivery Days]]&lt;=4, "Standard (3-4d)", "Delayed (5d+)"))</f>
        <v>Express (≤2d)</v>
      </c>
      <c r="AF951">
        <v>0</v>
      </c>
    </row>
    <row r="952" spans="1:32" ht="15" x14ac:dyDescent="0.35">
      <c r="A952" t="s">
        <v>5766</v>
      </c>
      <c r="B952" s="1">
        <v>45484</v>
      </c>
      <c r="C952">
        <f>YEAR(OrdersTable[[#This Row],[Order Date]])</f>
        <v>2024</v>
      </c>
      <c r="D952" s="2">
        <f>DATE(YEAR(OrdersTable[[#This Row],[Order Date]]),MONTH(OrdersTable[[#This Row],[Order Date]]),1)</f>
        <v>45474</v>
      </c>
      <c r="E952">
        <f>MONTH(OrdersTable[[#This Row],[Order Date]])</f>
        <v>7</v>
      </c>
      <c r="F952" t="s">
        <v>5767</v>
      </c>
      <c r="G952" t="str">
        <f>IF(OrdersTable[[#This Row],[Order Date]]=_xlfn.MINIFS(Order_Date, Customer_ID, OrdersTable[[#This Row],[Customer ID]]), "New", "Repeat")</f>
        <v>New</v>
      </c>
      <c r="H952" t="s">
        <v>59</v>
      </c>
      <c r="I952" t="str">
        <f>INDEX(State!B:B,MATCH(OrdersTable[[#This Row],[State]],State!A:A,0))</f>
        <v>TN</v>
      </c>
      <c r="J952" t="str">
        <f>INDEX(State!C:C,MATCH(OrdersTable[[#This Row],[State Code]],State!B:B,0))</f>
        <v>South</v>
      </c>
      <c r="K952" t="s">
        <v>60</v>
      </c>
      <c r="L952" t="s">
        <v>23</v>
      </c>
      <c r="M952" t="s">
        <v>66</v>
      </c>
      <c r="N952" t="str">
        <f>INDEX(Products!B:B,MATCH(OrdersTable[[#This Row],[Product ID]],Products!A:A,0))</f>
        <v>Sunscreen SPF 50</v>
      </c>
      <c r="O952" t="str">
        <f>INDEX(Products!C:C,MATCH(OrdersTable[[#This Row],[Product ID]],Products!A:A,0))</f>
        <v>Skincare</v>
      </c>
      <c r="P952">
        <v>2</v>
      </c>
      <c r="Q952" s="5">
        <v>449</v>
      </c>
      <c r="R952" s="74">
        <v>0.15</v>
      </c>
      <c r="S952" s="75">
        <f>OrdersTable[[#This Row],[Quantity]]*OrdersTable[[#This Row],[Unit Price]]</f>
        <v>898</v>
      </c>
      <c r="T952" s="5">
        <f>OrdersTable[[#This Row],[Gross Sale]]*OrdersTable[[#This Row],[Discount_Clean2]]</f>
        <v>134.69999999999999</v>
      </c>
      <c r="U952" s="5">
        <f>OrdersTable[[#This Row],[Gross Sale]]-OrdersTable[[#This Row],[Discount Amount]]</f>
        <v>763.3</v>
      </c>
      <c r="V952" s="77">
        <f>INDEX(Products!E:E,MATCH(OrdersTable[[#This Row],[Product ID]],Products!A:A,0))</f>
        <v>144</v>
      </c>
      <c r="W952" s="77">
        <f>OrdersTable[[#This Row],[Quantity]]*OrdersTable[[#This Row],[Unit Cost]]</f>
        <v>288</v>
      </c>
      <c r="X952" s="77">
        <f>'Dropdown Lists'!$I$2*(1+OrdersTable[[#This Row],[Returned]])</f>
        <v>60</v>
      </c>
      <c r="Y952" s="76">
        <f>OrdersTable[[#This Row],[Net Revenue]]-OrdersTable[[#This Row],[COGS]]-OrdersTable[[#This Row],[Shipping Cost]]</f>
        <v>415.29999999999995</v>
      </c>
      <c r="Z952" s="78">
        <f>IFERROR(OrdersTable[[#This Row],[Profit]]/OrdersTable[[#This Row],[Net Revenue]],0)</f>
        <v>0.54408489453687936</v>
      </c>
      <c r="AA952" t="s">
        <v>18</v>
      </c>
      <c r="AB952" s="79">
        <v>45487</v>
      </c>
      <c r="AC952">
        <f>OrdersTable[[#This Row],[Delivery Date]]-OrdersTable[[#This Row],[Order Date]]</f>
        <v>3</v>
      </c>
      <c r="AD952" t="str">
        <f>IF(OrdersTable[[#This Row],[Delivery Days]]&lt;=2, "Express (≤2d)", IF(OrdersTable[[#This Row],[Delivery Days]]&lt;=4, "Standard (3-4d)", "Delayed (5d+)"))</f>
        <v>Standard (3-4d)</v>
      </c>
      <c r="AE952">
        <v>5</v>
      </c>
      <c r="AF952">
        <v>0</v>
      </c>
    </row>
    <row r="953" spans="1:32" ht="15" x14ac:dyDescent="0.35">
      <c r="A953" t="s">
        <v>2925</v>
      </c>
      <c r="B953" s="1">
        <v>45485</v>
      </c>
      <c r="C953">
        <f>YEAR(OrdersTable[[#This Row],[Order Date]])</f>
        <v>2024</v>
      </c>
      <c r="D953" s="2">
        <f>DATE(YEAR(OrdersTable[[#This Row],[Order Date]]),MONTH(OrdersTable[[#This Row],[Order Date]]),1)</f>
        <v>45474</v>
      </c>
      <c r="E953">
        <f>MONTH(OrdersTable[[#This Row],[Order Date]])</f>
        <v>7</v>
      </c>
      <c r="F953" t="s">
        <v>2926</v>
      </c>
      <c r="G953" t="str">
        <f>IF(OrdersTable[[#This Row],[Order Date]]=_xlfn.MINIFS(Order_Date, Customer_ID, OrdersTable[[#This Row],[Customer ID]]), "New", "Repeat")</f>
        <v>Repeat</v>
      </c>
      <c r="H953" t="s">
        <v>54</v>
      </c>
      <c r="I953" t="str">
        <f>INDEX(State!B:B,MATCH(OrdersTable[[#This Row],[State]],State!A:A,0))</f>
        <v>RJ</v>
      </c>
      <c r="J953" t="str">
        <f>INDEX(State!C:C,MATCH(OrdersTable[[#This Row],[State Code]],State!B:B,0))</f>
        <v>North</v>
      </c>
      <c r="K953" t="s">
        <v>227</v>
      </c>
      <c r="L953" t="s">
        <v>65</v>
      </c>
      <c r="M953" t="s">
        <v>106</v>
      </c>
      <c r="N953" t="str">
        <f>INDEX(Products!B:B,MATCH(OrdersTable[[#This Row],[Product ID]],Products!A:A,0))</f>
        <v>Keratin Hair Mask</v>
      </c>
      <c r="O953" t="str">
        <f>INDEX(Products!C:C,MATCH(OrdersTable[[#This Row],[Product ID]],Products!A:A,0))</f>
        <v>Haircare</v>
      </c>
      <c r="P953">
        <v>1</v>
      </c>
      <c r="Q953" s="5">
        <v>549</v>
      </c>
      <c r="R953" s="74">
        <v>0.15</v>
      </c>
      <c r="S953" s="75">
        <f>OrdersTable[[#This Row],[Quantity]]*OrdersTable[[#This Row],[Unit Price]]</f>
        <v>549</v>
      </c>
      <c r="T953" s="5">
        <f>OrdersTable[[#This Row],[Gross Sale]]*OrdersTable[[#This Row],[Discount_Clean2]]</f>
        <v>82.35</v>
      </c>
      <c r="U953" s="5">
        <f>OrdersTable[[#This Row],[Gross Sale]]-OrdersTable[[#This Row],[Discount Amount]]</f>
        <v>466.65</v>
      </c>
      <c r="V953" s="77">
        <f>INDEX(Products!E:E,MATCH(OrdersTable[[#This Row],[Product ID]],Products!A:A,0))</f>
        <v>170</v>
      </c>
      <c r="W953" s="77">
        <f>OrdersTable[[#This Row],[Quantity]]*OrdersTable[[#This Row],[Unit Cost]]</f>
        <v>170</v>
      </c>
      <c r="X953" s="77">
        <f>'Dropdown Lists'!$I$2*(1+OrdersTable[[#This Row],[Returned]])</f>
        <v>60</v>
      </c>
      <c r="Y953" s="76">
        <f>OrdersTable[[#This Row],[Net Revenue]]-OrdersTable[[#This Row],[COGS]]-OrdersTable[[#This Row],[Shipping Cost]]</f>
        <v>236.64999999999998</v>
      </c>
      <c r="Z953" s="78">
        <f>IFERROR(OrdersTable[[#This Row],[Profit]]/OrdersTable[[#This Row],[Net Revenue]],0)</f>
        <v>0.50712525447337398</v>
      </c>
      <c r="AA953" t="s">
        <v>2522</v>
      </c>
      <c r="AB953" s="79">
        <v>45487</v>
      </c>
      <c r="AC953">
        <f>OrdersTable[[#This Row],[Delivery Date]]-OrdersTable[[#This Row],[Order Date]]</f>
        <v>2</v>
      </c>
      <c r="AD953" t="str">
        <f>IF(OrdersTable[[#This Row],[Delivery Days]]&lt;=2, "Express (≤2d)", IF(OrdersTable[[#This Row],[Delivery Days]]&lt;=4, "Standard (3-4d)", "Delayed (5d+)"))</f>
        <v>Express (≤2d)</v>
      </c>
      <c r="AF953">
        <v>0</v>
      </c>
    </row>
    <row r="954" spans="1:32" ht="15" x14ac:dyDescent="0.35">
      <c r="A954" t="s">
        <v>4569</v>
      </c>
      <c r="B954" s="1">
        <v>45485</v>
      </c>
      <c r="C954">
        <f>YEAR(OrdersTable[[#This Row],[Order Date]])</f>
        <v>2024</v>
      </c>
      <c r="D954" s="2">
        <f>DATE(YEAR(OrdersTable[[#This Row],[Order Date]]),MONTH(OrdersTable[[#This Row],[Order Date]]),1)</f>
        <v>45474</v>
      </c>
      <c r="E954">
        <f>MONTH(OrdersTable[[#This Row],[Order Date]])</f>
        <v>7</v>
      </c>
      <c r="F954" t="s">
        <v>4570</v>
      </c>
      <c r="G954" t="str">
        <f>IF(OrdersTable[[#This Row],[Order Date]]=_xlfn.MINIFS(Order_Date, Customer_ID, OrdersTable[[#This Row],[Customer ID]]), "New", "Repeat")</f>
        <v>New</v>
      </c>
      <c r="H954" t="s">
        <v>48</v>
      </c>
      <c r="I954" t="str">
        <f>INDEX(State!B:B,MATCH(OrdersTable[[#This Row],[State]],State!A:A,0))</f>
        <v>HR</v>
      </c>
      <c r="J954" t="str">
        <f>INDEX(State!C:C,MATCH(OrdersTable[[#This Row],[State Code]],State!B:B,0))</f>
        <v>North</v>
      </c>
      <c r="K954" t="s">
        <v>49</v>
      </c>
      <c r="L954" t="s">
        <v>23</v>
      </c>
      <c r="M954" t="s">
        <v>255</v>
      </c>
      <c r="N954" t="str">
        <f>INDEX(Products!B:B,MATCH(OrdersTable[[#This Row],[Product ID]],Products!A:A,0))</f>
        <v>Cotton Oversized T-Shirt</v>
      </c>
      <c r="O954" t="str">
        <f>INDEX(Products!C:C,MATCH(OrdersTable[[#This Row],[Product ID]],Products!A:A,0))</f>
        <v>Apparel</v>
      </c>
      <c r="P954">
        <v>1</v>
      </c>
      <c r="Q954" s="5">
        <v>799</v>
      </c>
      <c r="R954" s="74">
        <v>0.1</v>
      </c>
      <c r="S954" s="75">
        <f>OrdersTable[[#This Row],[Quantity]]*OrdersTable[[#This Row],[Unit Price]]</f>
        <v>799</v>
      </c>
      <c r="T954" s="5">
        <f>OrdersTable[[#This Row],[Gross Sale]]*OrdersTable[[#This Row],[Discount_Clean2]]</f>
        <v>79.900000000000006</v>
      </c>
      <c r="U954" s="5">
        <f>OrdersTable[[#This Row],[Gross Sale]]-OrdersTable[[#This Row],[Discount Amount]]</f>
        <v>719.1</v>
      </c>
      <c r="V954" s="77">
        <f>INDEX(Products!E:E,MATCH(OrdersTable[[#This Row],[Product ID]],Products!A:A,0))</f>
        <v>320</v>
      </c>
      <c r="W954" s="77">
        <f>OrdersTable[[#This Row],[Quantity]]*OrdersTable[[#This Row],[Unit Cost]]</f>
        <v>320</v>
      </c>
      <c r="X954" s="77">
        <f>'Dropdown Lists'!$I$2*(1+OrdersTable[[#This Row],[Returned]])</f>
        <v>60</v>
      </c>
      <c r="Y954" s="76">
        <f>OrdersTable[[#This Row],[Net Revenue]]-OrdersTable[[#This Row],[COGS]]-OrdersTable[[#This Row],[Shipping Cost]]</f>
        <v>339.1</v>
      </c>
      <c r="Z954" s="78">
        <f>IFERROR(OrdersTable[[#This Row],[Profit]]/OrdersTable[[#This Row],[Net Revenue]],0)</f>
        <v>0.47156167431511614</v>
      </c>
      <c r="AA954" t="s">
        <v>4450</v>
      </c>
      <c r="AB954" s="79">
        <v>45486</v>
      </c>
      <c r="AC954">
        <f>OrdersTable[[#This Row],[Delivery Date]]-OrdersTable[[#This Row],[Order Date]]</f>
        <v>1</v>
      </c>
      <c r="AD954" t="str">
        <f>IF(OrdersTable[[#This Row],[Delivery Days]]&lt;=2, "Express (≤2d)", IF(OrdersTable[[#This Row],[Delivery Days]]&lt;=4, "Standard (3-4d)", "Delayed (5d+)"))</f>
        <v>Express (≤2d)</v>
      </c>
      <c r="AF954">
        <v>0</v>
      </c>
    </row>
    <row r="955" spans="1:32" ht="15" x14ac:dyDescent="0.35">
      <c r="A955" t="s">
        <v>749</v>
      </c>
      <c r="B955" s="1">
        <v>45485</v>
      </c>
      <c r="C955">
        <f>YEAR(OrdersTable[[#This Row],[Order Date]])</f>
        <v>2024</v>
      </c>
      <c r="D955" s="2">
        <f>DATE(YEAR(OrdersTable[[#This Row],[Order Date]]),MONTH(OrdersTable[[#This Row],[Order Date]]),1)</f>
        <v>45474</v>
      </c>
      <c r="E955">
        <f>MONTH(OrdersTable[[#This Row],[Order Date]])</f>
        <v>7</v>
      </c>
      <c r="F955" t="s">
        <v>750</v>
      </c>
      <c r="G955" t="str">
        <f>IF(OrdersTable[[#This Row],[Order Date]]=_xlfn.MINIFS(Order_Date, Customer_ID, OrdersTable[[#This Row],[Customer ID]]), "New", "Repeat")</f>
        <v>Repeat</v>
      </c>
      <c r="H955" t="s">
        <v>132</v>
      </c>
      <c r="I955" t="str">
        <f>INDEX(State!B:B,MATCH(OrdersTable[[#This Row],[State]],State!A:A,0))</f>
        <v>AS</v>
      </c>
      <c r="J955" t="str">
        <f>INDEX(State!C:C,MATCH(OrdersTable[[#This Row],[State Code]],State!B:B,0))</f>
        <v>East</v>
      </c>
      <c r="K955" t="s">
        <v>133</v>
      </c>
      <c r="L955" t="s">
        <v>16</v>
      </c>
      <c r="M955" t="s">
        <v>176</v>
      </c>
      <c r="N955" t="str">
        <f>INDEX(Products!B:B,MATCH(OrdersTable[[#This Row],[Product ID]],Products!A:A,0))</f>
        <v>Denim Jacket</v>
      </c>
      <c r="O955" t="str">
        <f>INDEX(Products!C:C,MATCH(OrdersTable[[#This Row],[Product ID]],Products!A:A,0))</f>
        <v>Apparel</v>
      </c>
      <c r="P955">
        <v>1</v>
      </c>
      <c r="Q955" s="5">
        <v>2499</v>
      </c>
      <c r="R955" s="74">
        <v>0</v>
      </c>
      <c r="S955" s="75">
        <f>OrdersTable[[#This Row],[Quantity]]*OrdersTable[[#This Row],[Unit Price]]</f>
        <v>2499</v>
      </c>
      <c r="T955" s="5">
        <f>OrdersTable[[#This Row],[Gross Sale]]*OrdersTable[[#This Row],[Discount_Clean2]]</f>
        <v>0</v>
      </c>
      <c r="U955" s="5">
        <f>OrdersTable[[#This Row],[Gross Sale]]-OrdersTable[[#This Row],[Discount Amount]]</f>
        <v>2499</v>
      </c>
      <c r="V955" s="77">
        <f>INDEX(Products!E:E,MATCH(OrdersTable[[#This Row],[Product ID]],Products!A:A,0))</f>
        <v>1125</v>
      </c>
      <c r="W955" s="77">
        <f>OrdersTable[[#This Row],[Quantity]]*OrdersTable[[#This Row],[Unit Cost]]</f>
        <v>1125</v>
      </c>
      <c r="X955" s="77">
        <f>'Dropdown Lists'!$I$2*(1+OrdersTable[[#This Row],[Returned]])</f>
        <v>60</v>
      </c>
      <c r="Y955" s="76">
        <f>OrdersTable[[#This Row],[Net Revenue]]-OrdersTable[[#This Row],[COGS]]-OrdersTable[[#This Row],[Shipping Cost]]</f>
        <v>1314</v>
      </c>
      <c r="Z955" s="78">
        <f>IFERROR(OrdersTable[[#This Row],[Profit]]/OrdersTable[[#This Row],[Net Revenue]],0)</f>
        <v>0.5258103241296519</v>
      </c>
      <c r="AA955" t="s">
        <v>18</v>
      </c>
      <c r="AB955" s="79">
        <v>45489</v>
      </c>
      <c r="AC955">
        <f>OrdersTable[[#This Row],[Delivery Date]]-OrdersTable[[#This Row],[Order Date]]</f>
        <v>4</v>
      </c>
      <c r="AD955" t="str">
        <f>IF(OrdersTable[[#This Row],[Delivery Days]]&lt;=2, "Express (≤2d)", IF(OrdersTable[[#This Row],[Delivery Days]]&lt;=4, "Standard (3-4d)", "Delayed (5d+)"))</f>
        <v>Standard (3-4d)</v>
      </c>
      <c r="AE955">
        <v>4</v>
      </c>
      <c r="AF955">
        <v>0</v>
      </c>
    </row>
    <row r="956" spans="1:32" ht="15" x14ac:dyDescent="0.35">
      <c r="A956" t="s">
        <v>2927</v>
      </c>
      <c r="B956" s="1">
        <v>45485</v>
      </c>
      <c r="C956">
        <f>YEAR(OrdersTable[[#This Row],[Order Date]])</f>
        <v>2024</v>
      </c>
      <c r="D956" s="2">
        <f>DATE(YEAR(OrdersTable[[#This Row],[Order Date]]),MONTH(OrdersTable[[#This Row],[Order Date]]),1)</f>
        <v>45474</v>
      </c>
      <c r="E956">
        <f>MONTH(OrdersTable[[#This Row],[Order Date]])</f>
        <v>7</v>
      </c>
      <c r="F956" t="s">
        <v>2928</v>
      </c>
      <c r="G956" t="str">
        <f>IF(OrdersTable[[#This Row],[Order Date]]=_xlfn.MINIFS(Order_Date, Customer_ID, OrdersTable[[#This Row],[Customer ID]]), "New", "Repeat")</f>
        <v>Repeat</v>
      </c>
      <c r="H956" t="s">
        <v>37</v>
      </c>
      <c r="I956" t="str">
        <f>INDEX(State!B:B,MATCH(OrdersTable[[#This Row],[State]],State!A:A,0))</f>
        <v>GJ</v>
      </c>
      <c r="J956" t="str">
        <f>INDEX(State!C:C,MATCH(OrdersTable[[#This Row],[State Code]],State!B:B,0))</f>
        <v>West</v>
      </c>
      <c r="K956" t="s">
        <v>38</v>
      </c>
      <c r="L956" t="s">
        <v>39</v>
      </c>
      <c r="M956" t="s">
        <v>125</v>
      </c>
      <c r="N956" t="str">
        <f>INDEX(Products!B:B,MATCH(OrdersTable[[#This Row],[Product ID]],Products!A:A,0))</f>
        <v>Copper Water Bottle</v>
      </c>
      <c r="O956" t="str">
        <f>INDEX(Products!C:C,MATCH(OrdersTable[[#This Row],[Product ID]],Products!A:A,0))</f>
        <v>Home &amp; Kitchen</v>
      </c>
      <c r="P956">
        <v>1</v>
      </c>
      <c r="Q956" s="5">
        <v>899</v>
      </c>
      <c r="R956" s="74">
        <v>0</v>
      </c>
      <c r="S956" s="75">
        <f>OrdersTable[[#This Row],[Quantity]]*OrdersTable[[#This Row],[Unit Price]]</f>
        <v>899</v>
      </c>
      <c r="T956" s="5">
        <f>OrdersTable[[#This Row],[Gross Sale]]*OrdersTable[[#This Row],[Discount_Clean2]]</f>
        <v>0</v>
      </c>
      <c r="U956" s="5">
        <f>OrdersTable[[#This Row],[Gross Sale]]-OrdersTable[[#This Row],[Discount Amount]]</f>
        <v>899</v>
      </c>
      <c r="V956" s="77">
        <f>INDEX(Products!E:E,MATCH(OrdersTable[[#This Row],[Product ID]],Products!A:A,0))</f>
        <v>378</v>
      </c>
      <c r="W956" s="77">
        <f>OrdersTable[[#This Row],[Quantity]]*OrdersTable[[#This Row],[Unit Cost]]</f>
        <v>378</v>
      </c>
      <c r="X956" s="77">
        <f>'Dropdown Lists'!$I$2*(1+OrdersTable[[#This Row],[Returned]])</f>
        <v>60</v>
      </c>
      <c r="Y956" s="76">
        <f>OrdersTable[[#This Row],[Net Revenue]]-OrdersTable[[#This Row],[COGS]]-OrdersTable[[#This Row],[Shipping Cost]]</f>
        <v>461</v>
      </c>
      <c r="Z956" s="78">
        <f>IFERROR(OrdersTable[[#This Row],[Profit]]/OrdersTable[[#This Row],[Net Revenue]],0)</f>
        <v>0.51279199110122353</v>
      </c>
      <c r="AA956" t="s">
        <v>2522</v>
      </c>
      <c r="AB956" s="79">
        <v>45489</v>
      </c>
      <c r="AC956">
        <f>OrdersTable[[#This Row],[Delivery Date]]-OrdersTable[[#This Row],[Order Date]]</f>
        <v>4</v>
      </c>
      <c r="AD956" t="str">
        <f>IF(OrdersTable[[#This Row],[Delivery Days]]&lt;=2, "Express (≤2d)", IF(OrdersTable[[#This Row],[Delivery Days]]&lt;=4, "Standard (3-4d)", "Delayed (5d+)"))</f>
        <v>Standard (3-4d)</v>
      </c>
      <c r="AF956">
        <v>0</v>
      </c>
    </row>
    <row r="957" spans="1:32" ht="15" x14ac:dyDescent="0.35">
      <c r="A957" t="s">
        <v>1869</v>
      </c>
      <c r="B957" s="1">
        <v>45485</v>
      </c>
      <c r="C957">
        <f>YEAR(OrdersTable[[#This Row],[Order Date]])</f>
        <v>2024</v>
      </c>
      <c r="D957" s="2">
        <f>DATE(YEAR(OrdersTable[[#This Row],[Order Date]]),MONTH(OrdersTable[[#This Row],[Order Date]]),1)</f>
        <v>45474</v>
      </c>
      <c r="E957">
        <f>MONTH(OrdersTable[[#This Row],[Order Date]])</f>
        <v>7</v>
      </c>
      <c r="F957" t="s">
        <v>1870</v>
      </c>
      <c r="G957" t="str">
        <f>IF(OrdersTable[[#This Row],[Order Date]]=_xlfn.MINIFS(Order_Date, Customer_ID, OrdersTable[[#This Row],[Customer ID]]), "New", "Repeat")</f>
        <v>New</v>
      </c>
      <c r="H957" t="s">
        <v>123</v>
      </c>
      <c r="I957" t="str">
        <f>INDEX(State!B:B,MATCH(OrdersTable[[#This Row],[State]],State!A:A,0))</f>
        <v>JH</v>
      </c>
      <c r="J957" t="str">
        <f>INDEX(State!C:C,MATCH(OrdersTable[[#This Row],[State Code]],State!B:B,0))</f>
        <v>East</v>
      </c>
      <c r="K957" t="s">
        <v>124</v>
      </c>
      <c r="L957" t="s">
        <v>50</v>
      </c>
      <c r="M957" t="s">
        <v>160</v>
      </c>
      <c r="N957" t="str">
        <f>INDEX(Products!B:B,MATCH(OrdersTable[[#This Row],[Product ID]],Products!A:A,0))</f>
        <v>Niacinamide Toner</v>
      </c>
      <c r="O957" t="str">
        <f>INDEX(Products!C:C,MATCH(OrdersTable[[#This Row],[Product ID]],Products!A:A,0))</f>
        <v>Skincare</v>
      </c>
      <c r="P957">
        <v>1</v>
      </c>
      <c r="Q957" s="5">
        <v>399</v>
      </c>
      <c r="R957" s="74">
        <v>0.2</v>
      </c>
      <c r="S957" s="75">
        <f>OrdersTable[[#This Row],[Quantity]]*OrdersTable[[#This Row],[Unit Price]]</f>
        <v>399</v>
      </c>
      <c r="T957" s="5">
        <f>OrdersTable[[#This Row],[Gross Sale]]*OrdersTable[[#This Row],[Discount_Clean2]]</f>
        <v>79.800000000000011</v>
      </c>
      <c r="U957" s="5">
        <f>OrdersTable[[#This Row],[Gross Sale]]-OrdersTable[[#This Row],[Discount Amount]]</f>
        <v>319.2</v>
      </c>
      <c r="V957" s="77">
        <f>INDEX(Products!E:E,MATCH(OrdersTable[[#This Row],[Product ID]],Products!A:A,0))</f>
        <v>112</v>
      </c>
      <c r="W957" s="77">
        <f>OrdersTable[[#This Row],[Quantity]]*OrdersTable[[#This Row],[Unit Cost]]</f>
        <v>112</v>
      </c>
      <c r="X957" s="77">
        <f>'Dropdown Lists'!$I$2*(1+OrdersTable[[#This Row],[Returned]])</f>
        <v>60</v>
      </c>
      <c r="Y957" s="76">
        <f>OrdersTable[[#This Row],[Net Revenue]]-OrdersTable[[#This Row],[COGS]]-OrdersTable[[#This Row],[Shipping Cost]]</f>
        <v>147.19999999999999</v>
      </c>
      <c r="Z957" s="78">
        <f>IFERROR(OrdersTable[[#This Row],[Profit]]/OrdersTable[[#This Row],[Net Revenue]],0)</f>
        <v>0.46115288220551376</v>
      </c>
      <c r="AA957" t="s">
        <v>18</v>
      </c>
      <c r="AB957" s="79">
        <v>45490</v>
      </c>
      <c r="AC957">
        <f>OrdersTable[[#This Row],[Delivery Date]]-OrdersTable[[#This Row],[Order Date]]</f>
        <v>5</v>
      </c>
      <c r="AD957" t="str">
        <f>IF(OrdersTable[[#This Row],[Delivery Days]]&lt;=2, "Express (≤2d)", IF(OrdersTable[[#This Row],[Delivery Days]]&lt;=4, "Standard (3-4d)", "Delayed (5d+)"))</f>
        <v>Delayed (5d+)</v>
      </c>
      <c r="AE957">
        <v>3</v>
      </c>
      <c r="AF957">
        <v>0</v>
      </c>
    </row>
    <row r="958" spans="1:32" ht="15" x14ac:dyDescent="0.35">
      <c r="A958" t="s">
        <v>5581</v>
      </c>
      <c r="B958" s="1">
        <v>45485</v>
      </c>
      <c r="C958">
        <f>YEAR(OrdersTable[[#This Row],[Order Date]])</f>
        <v>2024</v>
      </c>
      <c r="D958" s="2">
        <f>DATE(YEAR(OrdersTable[[#This Row],[Order Date]]),MONTH(OrdersTable[[#This Row],[Order Date]]),1)</f>
        <v>45474</v>
      </c>
      <c r="E958">
        <f>MONTH(OrdersTable[[#This Row],[Order Date]])</f>
        <v>7</v>
      </c>
      <c r="F958" t="s">
        <v>1279</v>
      </c>
      <c r="G958" t="str">
        <f>IF(OrdersTable[[#This Row],[Order Date]]=_xlfn.MINIFS(Order_Date, Customer_ID, OrdersTable[[#This Row],[Customer ID]]), "New", "Repeat")</f>
        <v>New</v>
      </c>
      <c r="H958" t="s">
        <v>59</v>
      </c>
      <c r="I958" t="str">
        <f>INDEX(State!B:B,MATCH(OrdersTable[[#This Row],[State]],State!A:A,0))</f>
        <v>TN</v>
      </c>
      <c r="J958" t="str">
        <f>INDEX(State!C:C,MATCH(OrdersTable[[#This Row],[State Code]],State!B:B,0))</f>
        <v>South</v>
      </c>
      <c r="K958" t="s">
        <v>64</v>
      </c>
      <c r="L958" t="s">
        <v>65</v>
      </c>
      <c r="M958" t="s">
        <v>160</v>
      </c>
      <c r="N958" t="str">
        <f>INDEX(Products!B:B,MATCH(OrdersTable[[#This Row],[Product ID]],Products!A:A,0))</f>
        <v>Niacinamide Toner</v>
      </c>
      <c r="O958" t="str">
        <f>INDEX(Products!C:C,MATCH(OrdersTable[[#This Row],[Product ID]],Products!A:A,0))</f>
        <v>Skincare</v>
      </c>
      <c r="P958">
        <v>2</v>
      </c>
      <c r="Q958" s="5">
        <v>399</v>
      </c>
      <c r="R958" s="74">
        <v>0.25</v>
      </c>
      <c r="S958" s="75">
        <f>OrdersTable[[#This Row],[Quantity]]*OrdersTable[[#This Row],[Unit Price]]</f>
        <v>798</v>
      </c>
      <c r="T958" s="5">
        <f>OrdersTable[[#This Row],[Gross Sale]]*OrdersTable[[#This Row],[Discount_Clean2]]</f>
        <v>199.5</v>
      </c>
      <c r="U958" s="5">
        <f>OrdersTable[[#This Row],[Gross Sale]]-OrdersTable[[#This Row],[Discount Amount]]</f>
        <v>598.5</v>
      </c>
      <c r="V958" s="77">
        <f>INDEX(Products!E:E,MATCH(OrdersTable[[#This Row],[Product ID]],Products!A:A,0))</f>
        <v>112</v>
      </c>
      <c r="W958" s="77">
        <f>OrdersTable[[#This Row],[Quantity]]*OrdersTable[[#This Row],[Unit Cost]]</f>
        <v>224</v>
      </c>
      <c r="X958" s="77">
        <f>'Dropdown Lists'!$I$2*(1+OrdersTable[[#This Row],[Returned]])</f>
        <v>60</v>
      </c>
      <c r="Y958" s="76">
        <f>OrdersTable[[#This Row],[Net Revenue]]-OrdersTable[[#This Row],[COGS]]-OrdersTable[[#This Row],[Shipping Cost]]</f>
        <v>314.5</v>
      </c>
      <c r="Z958" s="78">
        <f>IFERROR(OrdersTable[[#This Row],[Profit]]/OrdersTable[[#This Row],[Net Revenue]],0)</f>
        <v>0.52548036758563077</v>
      </c>
      <c r="AA958" t="s">
        <v>2522</v>
      </c>
      <c r="AB958" s="79">
        <v>45487</v>
      </c>
      <c r="AC958">
        <f>OrdersTable[[#This Row],[Delivery Date]]-OrdersTable[[#This Row],[Order Date]]</f>
        <v>2</v>
      </c>
      <c r="AD958" t="str">
        <f>IF(OrdersTable[[#This Row],[Delivery Days]]&lt;=2, "Express (≤2d)", IF(OrdersTable[[#This Row],[Delivery Days]]&lt;=4, "Standard (3-4d)", "Delayed (5d+)"))</f>
        <v>Express (≤2d)</v>
      </c>
      <c r="AE958">
        <v>5</v>
      </c>
      <c r="AF958">
        <v>0</v>
      </c>
    </row>
    <row r="959" spans="1:32" ht="15" x14ac:dyDescent="0.35">
      <c r="A959" t="s">
        <v>6677</v>
      </c>
      <c r="B959" s="1">
        <v>45486</v>
      </c>
      <c r="C959">
        <f>YEAR(OrdersTable[[#This Row],[Order Date]])</f>
        <v>2024</v>
      </c>
      <c r="D959" s="2">
        <f>DATE(YEAR(OrdersTable[[#This Row],[Order Date]]),MONTH(OrdersTable[[#This Row],[Order Date]]),1)</f>
        <v>45474</v>
      </c>
      <c r="E959">
        <f>MONTH(OrdersTable[[#This Row],[Order Date]])</f>
        <v>7</v>
      </c>
      <c r="F959" t="s">
        <v>6678</v>
      </c>
      <c r="G959" t="str">
        <f>IF(OrdersTable[[#This Row],[Order Date]]=_xlfn.MINIFS(Order_Date, Customer_ID, OrdersTable[[#This Row],[Customer ID]]), "New", "Repeat")</f>
        <v>New</v>
      </c>
      <c r="H959" t="s">
        <v>37</v>
      </c>
      <c r="I959" t="str">
        <f>INDEX(State!B:B,MATCH(OrdersTable[[#This Row],[State]],State!A:A,0))</f>
        <v>GJ</v>
      </c>
      <c r="J959" t="str">
        <f>INDEX(State!C:C,MATCH(OrdersTable[[#This Row],[State Code]],State!B:B,0))</f>
        <v>West</v>
      </c>
      <c r="K959" t="s">
        <v>38</v>
      </c>
      <c r="L959" t="s">
        <v>23</v>
      </c>
      <c r="M959" t="s">
        <v>66</v>
      </c>
      <c r="N959" t="str">
        <f>INDEX(Products!B:B,MATCH(OrdersTable[[#This Row],[Product ID]],Products!A:A,0))</f>
        <v>Sunscreen SPF 50</v>
      </c>
      <c r="O959" t="str">
        <f>INDEX(Products!C:C,MATCH(OrdersTable[[#This Row],[Product ID]],Products!A:A,0))</f>
        <v>Skincare</v>
      </c>
      <c r="P959">
        <v>3</v>
      </c>
      <c r="Q959" s="5">
        <v>449</v>
      </c>
      <c r="R959" s="74">
        <v>0.05</v>
      </c>
      <c r="S959" s="75">
        <f>OrdersTable[[#This Row],[Quantity]]*OrdersTable[[#This Row],[Unit Price]]</f>
        <v>1347</v>
      </c>
      <c r="T959" s="5">
        <f>OrdersTable[[#This Row],[Gross Sale]]*OrdersTable[[#This Row],[Discount_Clean2]]</f>
        <v>67.350000000000009</v>
      </c>
      <c r="U959" s="5">
        <f>OrdersTable[[#This Row],[Gross Sale]]-OrdersTable[[#This Row],[Discount Amount]]</f>
        <v>1279.6500000000001</v>
      </c>
      <c r="V959" s="77">
        <f>INDEX(Products!E:E,MATCH(OrdersTable[[#This Row],[Product ID]],Products!A:A,0))</f>
        <v>144</v>
      </c>
      <c r="W959" s="77">
        <f>OrdersTable[[#This Row],[Quantity]]*OrdersTable[[#This Row],[Unit Cost]]</f>
        <v>432</v>
      </c>
      <c r="X959" s="77">
        <f>'Dropdown Lists'!$I$2*(1+OrdersTable[[#This Row],[Returned]])</f>
        <v>60</v>
      </c>
      <c r="Y959" s="76">
        <f>OrdersTable[[#This Row],[Net Revenue]]-OrdersTable[[#This Row],[COGS]]-OrdersTable[[#This Row],[Shipping Cost]]</f>
        <v>787.65000000000009</v>
      </c>
      <c r="Z959" s="78">
        <f>IFERROR(OrdersTable[[#This Row],[Profit]]/OrdersTable[[#This Row],[Net Revenue]],0)</f>
        <v>0.61551986871410158</v>
      </c>
      <c r="AA959" t="s">
        <v>2522</v>
      </c>
      <c r="AB959" s="79">
        <v>45489</v>
      </c>
      <c r="AC959">
        <f>OrdersTable[[#This Row],[Delivery Date]]-OrdersTable[[#This Row],[Order Date]]</f>
        <v>3</v>
      </c>
      <c r="AD959" t="str">
        <f>IF(OrdersTable[[#This Row],[Delivery Days]]&lt;=2, "Express (≤2d)", IF(OrdersTable[[#This Row],[Delivery Days]]&lt;=4, "Standard (3-4d)", "Delayed (5d+)"))</f>
        <v>Standard (3-4d)</v>
      </c>
      <c r="AE959">
        <v>4</v>
      </c>
      <c r="AF959">
        <v>0</v>
      </c>
    </row>
    <row r="960" spans="1:32" ht="15" x14ac:dyDescent="0.35">
      <c r="A960" t="s">
        <v>1654</v>
      </c>
      <c r="B960" s="1">
        <v>45486</v>
      </c>
      <c r="C960">
        <f>YEAR(OrdersTable[[#This Row],[Order Date]])</f>
        <v>2024</v>
      </c>
      <c r="D960" s="2">
        <f>DATE(YEAR(OrdersTable[[#This Row],[Order Date]]),MONTH(OrdersTable[[#This Row],[Order Date]]),1)</f>
        <v>45474</v>
      </c>
      <c r="E960">
        <f>MONTH(OrdersTable[[#This Row],[Order Date]])</f>
        <v>7</v>
      </c>
      <c r="F960" t="s">
        <v>1655</v>
      </c>
      <c r="G960" t="str">
        <f>IF(OrdersTable[[#This Row],[Order Date]]=_xlfn.MINIFS(Order_Date, Customer_ID, OrdersTable[[#This Row],[Customer ID]]), "New", "Repeat")</f>
        <v>New</v>
      </c>
      <c r="H960" t="s">
        <v>71</v>
      </c>
      <c r="I960" t="str">
        <f>INDEX(State!B:B,MATCH(OrdersTable[[#This Row],[State]],State!A:A,0))</f>
        <v>MH</v>
      </c>
      <c r="J960" t="str">
        <f>INDEX(State!C:C,MATCH(OrdersTable[[#This Row],[State Code]],State!B:B,0))</f>
        <v>West</v>
      </c>
      <c r="K960" t="s">
        <v>81</v>
      </c>
      <c r="L960" t="s">
        <v>65</v>
      </c>
      <c r="M960" t="s">
        <v>40</v>
      </c>
      <c r="N960" t="str">
        <f>INDEX(Products!B:B,MATCH(OrdersTable[[#This Row],[Product ID]],Products!A:A,0))</f>
        <v>Ashwagandha Capsules</v>
      </c>
      <c r="O960" t="str">
        <f>INDEX(Products!C:C,MATCH(OrdersTable[[#This Row],[Product ID]],Products!A:A,0))</f>
        <v>Wellness</v>
      </c>
      <c r="P960">
        <v>1</v>
      </c>
      <c r="Q960" s="5">
        <v>499</v>
      </c>
      <c r="R960" s="74">
        <v>0.1</v>
      </c>
      <c r="S960" s="75">
        <f>OrdersTable[[#This Row],[Quantity]]*OrdersTable[[#This Row],[Unit Price]]</f>
        <v>499</v>
      </c>
      <c r="T960" s="5">
        <f>OrdersTable[[#This Row],[Gross Sale]]*OrdersTable[[#This Row],[Discount_Clean2]]</f>
        <v>49.900000000000006</v>
      </c>
      <c r="U960" s="5">
        <f>OrdersTable[[#This Row],[Gross Sale]]-OrdersTable[[#This Row],[Discount Amount]]</f>
        <v>449.1</v>
      </c>
      <c r="V960" s="77">
        <f>INDEX(Products!E:E,MATCH(OrdersTable[[#This Row],[Product ID]],Products!A:A,0))</f>
        <v>150</v>
      </c>
      <c r="W960" s="77">
        <f>OrdersTable[[#This Row],[Quantity]]*OrdersTable[[#This Row],[Unit Cost]]</f>
        <v>150</v>
      </c>
      <c r="X960" s="77">
        <f>'Dropdown Lists'!$I$2*(1+OrdersTable[[#This Row],[Returned]])</f>
        <v>60</v>
      </c>
      <c r="Y960" s="76">
        <f>OrdersTable[[#This Row],[Net Revenue]]-OrdersTable[[#This Row],[COGS]]-OrdersTable[[#This Row],[Shipping Cost]]</f>
        <v>239.10000000000002</v>
      </c>
      <c r="Z960" s="78">
        <f>IFERROR(OrdersTable[[#This Row],[Profit]]/OrdersTable[[#This Row],[Net Revenue]],0)</f>
        <v>0.53239812959251842</v>
      </c>
      <c r="AA960" t="s">
        <v>18</v>
      </c>
      <c r="AB960" s="79">
        <v>45489</v>
      </c>
      <c r="AC960">
        <f>OrdersTable[[#This Row],[Delivery Date]]-OrdersTable[[#This Row],[Order Date]]</f>
        <v>3</v>
      </c>
      <c r="AD960" t="str">
        <f>IF(OrdersTable[[#This Row],[Delivery Days]]&lt;=2, "Express (≤2d)", IF(OrdersTable[[#This Row],[Delivery Days]]&lt;=4, "Standard (3-4d)", "Delayed (5d+)"))</f>
        <v>Standard (3-4d)</v>
      </c>
      <c r="AF960">
        <v>0</v>
      </c>
    </row>
    <row r="961" spans="1:32" ht="15" x14ac:dyDescent="0.35">
      <c r="A961" t="s">
        <v>6501</v>
      </c>
      <c r="B961" s="1">
        <v>45486</v>
      </c>
      <c r="C961">
        <f>YEAR(OrdersTable[[#This Row],[Order Date]])</f>
        <v>2024</v>
      </c>
      <c r="D961" s="2">
        <f>DATE(YEAR(OrdersTable[[#This Row],[Order Date]]),MONTH(OrdersTable[[#This Row],[Order Date]]),1)</f>
        <v>45474</v>
      </c>
      <c r="E961">
        <f>MONTH(OrdersTable[[#This Row],[Order Date]])</f>
        <v>7</v>
      </c>
      <c r="F961" t="s">
        <v>1984</v>
      </c>
      <c r="G961" t="str">
        <f>IF(OrdersTable[[#This Row],[Order Date]]=_xlfn.MINIFS(Order_Date, Customer_ID, OrdersTable[[#This Row],[Customer ID]]), "New", "Repeat")</f>
        <v>Repeat</v>
      </c>
      <c r="H961" t="s">
        <v>95</v>
      </c>
      <c r="I961" t="str">
        <f>INDEX(State!B:B,MATCH(OrdersTable[[#This Row],[State]],State!A:A,0))</f>
        <v>TG</v>
      </c>
      <c r="J961" t="str">
        <f>INDEX(State!C:C,MATCH(OrdersTable[[#This Row],[State Code]],State!B:B,0))</f>
        <v>South</v>
      </c>
      <c r="K961" t="s">
        <v>96</v>
      </c>
      <c r="L961" t="s">
        <v>23</v>
      </c>
      <c r="M961" t="s">
        <v>179</v>
      </c>
      <c r="N961" t="str">
        <f>INDEX(Products!B:B,MATCH(OrdersTable[[#This Row],[Product ID]],Products!A:A,0))</f>
        <v>Whey Protein 1kg</v>
      </c>
      <c r="O961" t="str">
        <f>INDEX(Products!C:C,MATCH(OrdersTable[[#This Row],[Product ID]],Products!A:A,0))</f>
        <v>Wellness</v>
      </c>
      <c r="P961">
        <v>3</v>
      </c>
      <c r="Q961" s="5">
        <v>2299</v>
      </c>
      <c r="R961" s="74">
        <v>0.35</v>
      </c>
      <c r="S961" s="75">
        <f>OrdersTable[[#This Row],[Quantity]]*OrdersTable[[#This Row],[Unit Price]]</f>
        <v>6897</v>
      </c>
      <c r="T961" s="5">
        <f>OrdersTable[[#This Row],[Gross Sale]]*OrdersTable[[#This Row],[Discount_Clean2]]</f>
        <v>2413.9499999999998</v>
      </c>
      <c r="U961" s="5">
        <f>OrdersTable[[#This Row],[Gross Sale]]-OrdersTable[[#This Row],[Discount Amount]]</f>
        <v>4483.05</v>
      </c>
      <c r="V961" s="77">
        <f>INDEX(Products!E:E,MATCH(OrdersTable[[#This Row],[Product ID]],Products!A:A,0))</f>
        <v>1333</v>
      </c>
      <c r="W961" s="77">
        <f>OrdersTable[[#This Row],[Quantity]]*OrdersTable[[#This Row],[Unit Cost]]</f>
        <v>3999</v>
      </c>
      <c r="X961" s="77">
        <f>'Dropdown Lists'!$I$2*(1+OrdersTable[[#This Row],[Returned]])</f>
        <v>120</v>
      </c>
      <c r="Y961" s="76">
        <f>OrdersTable[[#This Row],[Net Revenue]]-OrdersTable[[#This Row],[COGS]]-OrdersTable[[#This Row],[Shipping Cost]]</f>
        <v>364.05000000000018</v>
      </c>
      <c r="Z961" s="78">
        <f>IFERROR(OrdersTable[[#This Row],[Profit]]/OrdersTable[[#This Row],[Net Revenue]],0)</f>
        <v>8.1205875464248706E-2</v>
      </c>
      <c r="AA961" t="s">
        <v>18</v>
      </c>
      <c r="AB961" s="79">
        <v>45487</v>
      </c>
      <c r="AC961">
        <f>OrdersTable[[#This Row],[Delivery Date]]-OrdersTable[[#This Row],[Order Date]]</f>
        <v>1</v>
      </c>
      <c r="AD961" t="str">
        <f>IF(OrdersTable[[#This Row],[Delivery Days]]&lt;=2, "Express (≤2d)", IF(OrdersTable[[#This Row],[Delivery Days]]&lt;=4, "Standard (3-4d)", "Delayed (5d+)"))</f>
        <v>Express (≤2d)</v>
      </c>
      <c r="AF961">
        <v>1</v>
      </c>
    </row>
    <row r="962" spans="1:32" ht="15" x14ac:dyDescent="0.35">
      <c r="A962" t="s">
        <v>1482</v>
      </c>
      <c r="B962" s="1">
        <v>45486</v>
      </c>
      <c r="C962">
        <f>YEAR(OrdersTable[[#This Row],[Order Date]])</f>
        <v>2024</v>
      </c>
      <c r="D962" s="2">
        <f>DATE(YEAR(OrdersTable[[#This Row],[Order Date]]),MONTH(OrdersTable[[#This Row],[Order Date]]),1)</f>
        <v>45474</v>
      </c>
      <c r="E962">
        <f>MONTH(OrdersTable[[#This Row],[Order Date]])</f>
        <v>7</v>
      </c>
      <c r="F962" t="s">
        <v>1108</v>
      </c>
      <c r="G962" t="str">
        <f>IF(OrdersTable[[#This Row],[Order Date]]=_xlfn.MINIFS(Order_Date, Customer_ID, OrdersTable[[#This Row],[Customer ID]]), "New", "Repeat")</f>
        <v>Repeat</v>
      </c>
      <c r="H962" t="s">
        <v>14</v>
      </c>
      <c r="I962" t="str">
        <f>INDEX(State!B:B,MATCH(OrdersTable[[#This Row],[State]],State!A:A,0))</f>
        <v>OD</v>
      </c>
      <c r="J962" t="str">
        <f>INDEX(State!C:C,MATCH(OrdersTable[[#This Row],[State Code]],State!B:B,0))</f>
        <v>East</v>
      </c>
      <c r="K962" t="s">
        <v>15</v>
      </c>
      <c r="L962" t="s">
        <v>39</v>
      </c>
      <c r="M962" t="s">
        <v>423</v>
      </c>
      <c r="N962" t="str">
        <f>INDEX(Products!B:B,MATCH(OrdersTable[[#This Row],[Product ID]],Products!A:A,0))</f>
        <v>Power Bank 20000mAh</v>
      </c>
      <c r="O962" t="str">
        <f>INDEX(Products!C:C,MATCH(OrdersTable[[#This Row],[Product ID]],Products!A:A,0))</f>
        <v>Electronics</v>
      </c>
      <c r="P962">
        <v>1</v>
      </c>
      <c r="Q962" s="5">
        <v>1799</v>
      </c>
      <c r="R962" s="74">
        <v>0.35</v>
      </c>
      <c r="S962" s="75">
        <f>OrdersTable[[#This Row],[Quantity]]*OrdersTable[[#This Row],[Unit Price]]</f>
        <v>1799</v>
      </c>
      <c r="T962" s="5">
        <f>OrdersTable[[#This Row],[Gross Sale]]*OrdersTable[[#This Row],[Discount_Clean2]]</f>
        <v>629.65</v>
      </c>
      <c r="U962" s="5">
        <f>OrdersTable[[#This Row],[Gross Sale]]-OrdersTable[[#This Row],[Discount Amount]]</f>
        <v>1169.3499999999999</v>
      </c>
      <c r="V962" s="77">
        <f>INDEX(Products!E:E,MATCH(OrdersTable[[#This Row],[Product ID]],Products!A:A,0))</f>
        <v>1079</v>
      </c>
      <c r="W962" s="77">
        <f>OrdersTable[[#This Row],[Quantity]]*OrdersTable[[#This Row],[Unit Cost]]</f>
        <v>1079</v>
      </c>
      <c r="X962" s="77">
        <f>'Dropdown Lists'!$I$2*(1+OrdersTable[[#This Row],[Returned]])</f>
        <v>60</v>
      </c>
      <c r="Y962" s="76">
        <f>OrdersTable[[#This Row],[Net Revenue]]-OrdersTable[[#This Row],[COGS]]-OrdersTable[[#This Row],[Shipping Cost]]</f>
        <v>30.349999999999909</v>
      </c>
      <c r="Z962" s="78">
        <f>IFERROR(OrdersTable[[#This Row],[Profit]]/OrdersTable[[#This Row],[Net Revenue]],0)</f>
        <v>2.5954590156924712E-2</v>
      </c>
      <c r="AA962" t="s">
        <v>18</v>
      </c>
      <c r="AB962" s="79">
        <v>45491</v>
      </c>
      <c r="AC962">
        <f>OrdersTable[[#This Row],[Delivery Date]]-OrdersTable[[#This Row],[Order Date]]</f>
        <v>5</v>
      </c>
      <c r="AD962" t="str">
        <f>IF(OrdersTable[[#This Row],[Delivery Days]]&lt;=2, "Express (≤2d)", IF(OrdersTable[[#This Row],[Delivery Days]]&lt;=4, "Standard (3-4d)", "Delayed (5d+)"))</f>
        <v>Delayed (5d+)</v>
      </c>
      <c r="AF962">
        <v>0</v>
      </c>
    </row>
    <row r="963" spans="1:32" ht="15" x14ac:dyDescent="0.35">
      <c r="A963" t="s">
        <v>1225</v>
      </c>
      <c r="B963" s="1">
        <v>45487</v>
      </c>
      <c r="C963">
        <f>YEAR(OrdersTable[[#This Row],[Order Date]])</f>
        <v>2024</v>
      </c>
      <c r="D963" s="2">
        <f>DATE(YEAR(OrdersTable[[#This Row],[Order Date]]),MONTH(OrdersTable[[#This Row],[Order Date]]),1)</f>
        <v>45474</v>
      </c>
      <c r="E963">
        <f>MONTH(OrdersTable[[#This Row],[Order Date]])</f>
        <v>7</v>
      </c>
      <c r="F963" t="s">
        <v>1226</v>
      </c>
      <c r="G963" t="str">
        <f>IF(OrdersTable[[#This Row],[Order Date]]=_xlfn.MINIFS(Order_Date, Customer_ID, OrdersTable[[#This Row],[Customer ID]]), "New", "Repeat")</f>
        <v>New</v>
      </c>
      <c r="H963" t="s">
        <v>37</v>
      </c>
      <c r="I963" t="str">
        <f>INDEX(State!B:B,MATCH(OrdersTable[[#This Row],[State]],State!A:A,0))</f>
        <v>GJ</v>
      </c>
      <c r="J963" t="str">
        <f>INDEX(State!C:C,MATCH(OrdersTable[[#This Row],[State Code]],State!B:B,0))</f>
        <v>West</v>
      </c>
      <c r="K963" t="s">
        <v>38</v>
      </c>
      <c r="L963" t="s">
        <v>16</v>
      </c>
      <c r="M963" t="s">
        <v>576</v>
      </c>
      <c r="N963" t="str">
        <f>INDEX(Products!B:B,MATCH(OrdersTable[[#This Row],[Product ID]],Products!A:A,0))</f>
        <v>Printed Saree</v>
      </c>
      <c r="O963" t="str">
        <f>INDEX(Products!C:C,MATCH(OrdersTable[[#This Row],[Product ID]],Products!A:A,0))</f>
        <v>Apparel</v>
      </c>
      <c r="P963">
        <v>1</v>
      </c>
      <c r="Q963" s="5">
        <v>1999</v>
      </c>
      <c r="R963" s="74">
        <v>0.05</v>
      </c>
      <c r="S963" s="75">
        <f>OrdersTable[[#This Row],[Quantity]]*OrdersTable[[#This Row],[Unit Price]]</f>
        <v>1999</v>
      </c>
      <c r="T963" s="5">
        <f>OrdersTable[[#This Row],[Gross Sale]]*OrdersTable[[#This Row],[Discount_Clean2]]</f>
        <v>99.95</v>
      </c>
      <c r="U963" s="5">
        <f>OrdersTable[[#This Row],[Gross Sale]]-OrdersTable[[#This Row],[Discount Amount]]</f>
        <v>1899.05</v>
      </c>
      <c r="V963" s="77">
        <f>INDEX(Products!E:E,MATCH(OrdersTable[[#This Row],[Product ID]],Products!A:A,0))</f>
        <v>880</v>
      </c>
      <c r="W963" s="77">
        <f>OrdersTable[[#This Row],[Quantity]]*OrdersTable[[#This Row],[Unit Cost]]</f>
        <v>880</v>
      </c>
      <c r="X963" s="77">
        <f>'Dropdown Lists'!$I$2*(1+OrdersTable[[#This Row],[Returned]])</f>
        <v>60</v>
      </c>
      <c r="Y963" s="76">
        <f>OrdersTable[[#This Row],[Net Revenue]]-OrdersTable[[#This Row],[COGS]]-OrdersTable[[#This Row],[Shipping Cost]]</f>
        <v>959.05</v>
      </c>
      <c r="Z963" s="78">
        <f>IFERROR(OrdersTable[[#This Row],[Profit]]/OrdersTable[[#This Row],[Net Revenue]],0)</f>
        <v>0.50501566572760059</v>
      </c>
      <c r="AA963" t="s">
        <v>18</v>
      </c>
      <c r="AB963" s="79">
        <v>45491</v>
      </c>
      <c r="AC963">
        <f>OrdersTable[[#This Row],[Delivery Date]]-OrdersTable[[#This Row],[Order Date]]</f>
        <v>4</v>
      </c>
      <c r="AD963" t="str">
        <f>IF(OrdersTable[[#This Row],[Delivery Days]]&lt;=2, "Express (≤2d)", IF(OrdersTable[[#This Row],[Delivery Days]]&lt;=4, "Standard (3-4d)", "Delayed (5d+)"))</f>
        <v>Standard (3-4d)</v>
      </c>
      <c r="AF963">
        <v>0</v>
      </c>
    </row>
    <row r="964" spans="1:32" ht="15" x14ac:dyDescent="0.35">
      <c r="A964" t="s">
        <v>1656</v>
      </c>
      <c r="B964" s="1">
        <v>45487</v>
      </c>
      <c r="C964">
        <f>YEAR(OrdersTable[[#This Row],[Order Date]])</f>
        <v>2024</v>
      </c>
      <c r="D964" s="2">
        <f>DATE(YEAR(OrdersTable[[#This Row],[Order Date]]),MONTH(OrdersTable[[#This Row],[Order Date]]),1)</f>
        <v>45474</v>
      </c>
      <c r="E964">
        <f>MONTH(OrdersTable[[#This Row],[Order Date]])</f>
        <v>7</v>
      </c>
      <c r="F964" t="s">
        <v>1657</v>
      </c>
      <c r="G964" t="str">
        <f>IF(OrdersTable[[#This Row],[Order Date]]=_xlfn.MINIFS(Order_Date, Customer_ID, OrdersTable[[#This Row],[Customer ID]]), "New", "Repeat")</f>
        <v>New</v>
      </c>
      <c r="H964" t="s">
        <v>123</v>
      </c>
      <c r="I964" t="str">
        <f>INDEX(State!B:B,MATCH(OrdersTable[[#This Row],[State]],State!A:A,0))</f>
        <v>JH</v>
      </c>
      <c r="J964" t="str">
        <f>INDEX(State!C:C,MATCH(OrdersTable[[#This Row],[State Code]],State!B:B,0))</f>
        <v>East</v>
      </c>
      <c r="K964" t="s">
        <v>124</v>
      </c>
      <c r="L964" t="s">
        <v>65</v>
      </c>
      <c r="M964" t="s">
        <v>148</v>
      </c>
      <c r="N964" t="str">
        <f>INDEX(Products!B:B,MATCH(OrdersTable[[#This Row],[Product ID]],Products!A:A,0))</f>
        <v>Smartwatch Strap</v>
      </c>
      <c r="O964" t="str">
        <f>INDEX(Products!C:C,MATCH(OrdersTable[[#This Row],[Product ID]],Products!A:A,0))</f>
        <v>Electronics</v>
      </c>
      <c r="P964">
        <v>1</v>
      </c>
      <c r="Q964" s="5">
        <v>499</v>
      </c>
      <c r="R964" s="74">
        <v>0.15</v>
      </c>
      <c r="S964" s="75">
        <f>OrdersTable[[#This Row],[Quantity]]*OrdersTable[[#This Row],[Unit Price]]</f>
        <v>499</v>
      </c>
      <c r="T964" s="5">
        <f>OrdersTable[[#This Row],[Gross Sale]]*OrdersTable[[#This Row],[Discount_Clean2]]</f>
        <v>74.849999999999994</v>
      </c>
      <c r="U964" s="5">
        <f>OrdersTable[[#This Row],[Gross Sale]]-OrdersTable[[#This Row],[Discount Amount]]</f>
        <v>424.15</v>
      </c>
      <c r="V964" s="77">
        <f>INDEX(Products!E:E,MATCH(OrdersTable[[#This Row],[Product ID]],Products!A:A,0))</f>
        <v>200</v>
      </c>
      <c r="W964" s="77">
        <f>OrdersTable[[#This Row],[Quantity]]*OrdersTable[[#This Row],[Unit Cost]]</f>
        <v>200</v>
      </c>
      <c r="X964" s="77">
        <f>'Dropdown Lists'!$I$2*(1+OrdersTable[[#This Row],[Returned]])</f>
        <v>60</v>
      </c>
      <c r="Y964" s="76">
        <f>OrdersTable[[#This Row],[Net Revenue]]-OrdersTable[[#This Row],[COGS]]-OrdersTable[[#This Row],[Shipping Cost]]</f>
        <v>164.14999999999998</v>
      </c>
      <c r="Z964" s="78">
        <f>IFERROR(OrdersTable[[#This Row],[Profit]]/OrdersTable[[#This Row],[Net Revenue]],0)</f>
        <v>0.38700931274313327</v>
      </c>
      <c r="AA964" t="s">
        <v>18</v>
      </c>
      <c r="AB964" s="79">
        <v>45492</v>
      </c>
      <c r="AC964">
        <f>OrdersTable[[#This Row],[Delivery Date]]-OrdersTable[[#This Row],[Order Date]]</f>
        <v>5</v>
      </c>
      <c r="AD964" t="str">
        <f>IF(OrdersTable[[#This Row],[Delivery Days]]&lt;=2, "Express (≤2d)", IF(OrdersTable[[#This Row],[Delivery Days]]&lt;=4, "Standard (3-4d)", "Delayed (5d+)"))</f>
        <v>Delayed (5d+)</v>
      </c>
      <c r="AF964">
        <v>0</v>
      </c>
    </row>
    <row r="965" spans="1:32" ht="15" x14ac:dyDescent="0.35">
      <c r="A965" t="s">
        <v>2564</v>
      </c>
      <c r="B965" s="1">
        <v>45487</v>
      </c>
      <c r="C965">
        <f>YEAR(OrdersTable[[#This Row],[Order Date]])</f>
        <v>2024</v>
      </c>
      <c r="D965" s="2">
        <f>DATE(YEAR(OrdersTable[[#This Row],[Order Date]]),MONTH(OrdersTable[[#This Row],[Order Date]]),1)</f>
        <v>45474</v>
      </c>
      <c r="E965">
        <f>MONTH(OrdersTable[[#This Row],[Order Date]])</f>
        <v>7</v>
      </c>
      <c r="F965" t="s">
        <v>1121</v>
      </c>
      <c r="G965" t="str">
        <f>IF(OrdersTable[[#This Row],[Order Date]]=_xlfn.MINIFS(Order_Date, Customer_ID, OrdersTable[[#This Row],[Customer ID]]), "New", "Repeat")</f>
        <v>New</v>
      </c>
      <c r="H965" t="s">
        <v>71</v>
      </c>
      <c r="I965" t="str">
        <f>INDEX(State!B:B,MATCH(OrdersTable[[#This Row],[State]],State!A:A,0))</f>
        <v>MH</v>
      </c>
      <c r="J965" t="str">
        <f>INDEX(State!C:C,MATCH(OrdersTable[[#This Row],[State Code]],State!B:B,0))</f>
        <v>West</v>
      </c>
      <c r="K965" t="s">
        <v>102</v>
      </c>
      <c r="L965" t="s">
        <v>23</v>
      </c>
      <c r="M965" t="s">
        <v>255</v>
      </c>
      <c r="N965" t="str">
        <f>INDEX(Products!B:B,MATCH(OrdersTable[[#This Row],[Product ID]],Products!A:A,0))</f>
        <v>Cotton Oversized T-Shirt</v>
      </c>
      <c r="O965" t="str">
        <f>INDEX(Products!C:C,MATCH(OrdersTable[[#This Row],[Product ID]],Products!A:A,0))</f>
        <v>Apparel</v>
      </c>
      <c r="P965">
        <v>1</v>
      </c>
      <c r="Q965" s="5">
        <v>799</v>
      </c>
      <c r="R965" s="74">
        <v>0.1</v>
      </c>
      <c r="S965" s="75">
        <f>OrdersTable[[#This Row],[Quantity]]*OrdersTable[[#This Row],[Unit Price]]</f>
        <v>799</v>
      </c>
      <c r="T965" s="5">
        <f>OrdersTable[[#This Row],[Gross Sale]]*OrdersTable[[#This Row],[Discount_Clean2]]</f>
        <v>79.900000000000006</v>
      </c>
      <c r="U965" s="5">
        <f>OrdersTable[[#This Row],[Gross Sale]]-OrdersTable[[#This Row],[Discount Amount]]</f>
        <v>719.1</v>
      </c>
      <c r="V965" s="77">
        <f>INDEX(Products!E:E,MATCH(OrdersTable[[#This Row],[Product ID]],Products!A:A,0))</f>
        <v>320</v>
      </c>
      <c r="W965" s="77">
        <f>OrdersTable[[#This Row],[Quantity]]*OrdersTable[[#This Row],[Unit Cost]]</f>
        <v>320</v>
      </c>
      <c r="X965" s="77">
        <f>'Dropdown Lists'!$I$2*(1+OrdersTable[[#This Row],[Returned]])</f>
        <v>60</v>
      </c>
      <c r="Y965" s="76">
        <f>OrdersTable[[#This Row],[Net Revenue]]-OrdersTable[[#This Row],[COGS]]-OrdersTable[[#This Row],[Shipping Cost]]</f>
        <v>339.1</v>
      </c>
      <c r="Z965" s="78">
        <f>IFERROR(OrdersTable[[#This Row],[Profit]]/OrdersTable[[#This Row],[Net Revenue]],0)</f>
        <v>0.47156167431511614</v>
      </c>
      <c r="AA965" t="s">
        <v>2522</v>
      </c>
      <c r="AB965" s="79">
        <v>45490</v>
      </c>
      <c r="AC965">
        <f>OrdersTable[[#This Row],[Delivery Date]]-OrdersTable[[#This Row],[Order Date]]</f>
        <v>3</v>
      </c>
      <c r="AD965" t="str">
        <f>IF(OrdersTable[[#This Row],[Delivery Days]]&lt;=2, "Express (≤2d)", IF(OrdersTable[[#This Row],[Delivery Days]]&lt;=4, "Standard (3-4d)", "Delayed (5d+)"))</f>
        <v>Standard (3-4d)</v>
      </c>
      <c r="AE965">
        <v>5</v>
      </c>
      <c r="AF965">
        <v>0</v>
      </c>
    </row>
    <row r="966" spans="1:32" ht="15" x14ac:dyDescent="0.35">
      <c r="A966" t="s">
        <v>4098</v>
      </c>
      <c r="B966" s="1">
        <v>45488</v>
      </c>
      <c r="C966">
        <f>YEAR(OrdersTable[[#This Row],[Order Date]])</f>
        <v>2024</v>
      </c>
      <c r="D966" s="2">
        <f>DATE(YEAR(OrdersTable[[#This Row],[Order Date]]),MONTH(OrdersTable[[#This Row],[Order Date]]),1)</f>
        <v>45474</v>
      </c>
      <c r="E966">
        <f>MONTH(OrdersTable[[#This Row],[Order Date]])</f>
        <v>7</v>
      </c>
      <c r="F966" t="s">
        <v>676</v>
      </c>
      <c r="G966" t="str">
        <f>IF(OrdersTable[[#This Row],[Order Date]]=_xlfn.MINIFS(Order_Date, Customer_ID, OrdersTable[[#This Row],[Customer ID]]), "New", "Repeat")</f>
        <v>Repeat</v>
      </c>
      <c r="H966" t="s">
        <v>54</v>
      </c>
      <c r="I966" t="str">
        <f>INDEX(State!B:B,MATCH(OrdersTable[[#This Row],[State]],State!A:A,0))</f>
        <v>RJ</v>
      </c>
      <c r="J966" t="str">
        <f>INDEX(State!C:C,MATCH(OrdersTable[[#This Row],[State Code]],State!B:B,0))</f>
        <v>North</v>
      </c>
      <c r="K966" t="s">
        <v>55</v>
      </c>
      <c r="L966" t="s">
        <v>65</v>
      </c>
      <c r="M966" t="s">
        <v>56</v>
      </c>
      <c r="N966" t="str">
        <f>INDEX(Products!B:B,MATCH(OrdersTable[[#This Row],[Product ID]],Products!A:A,0))</f>
        <v>Vitamin C Face Serum</v>
      </c>
      <c r="O966" t="str">
        <f>INDEX(Products!C:C,MATCH(OrdersTable[[#This Row],[Product ID]],Products!A:A,0))</f>
        <v>Skincare</v>
      </c>
      <c r="P966">
        <v>1</v>
      </c>
      <c r="Q966" s="5">
        <v>599</v>
      </c>
      <c r="R966" s="74">
        <v>0.15</v>
      </c>
      <c r="S966" s="75">
        <f>OrdersTable[[#This Row],[Quantity]]*OrdersTable[[#This Row],[Unit Price]]</f>
        <v>599</v>
      </c>
      <c r="T966" s="5">
        <f>OrdersTable[[#This Row],[Gross Sale]]*OrdersTable[[#This Row],[Discount_Clean2]]</f>
        <v>89.85</v>
      </c>
      <c r="U966" s="5">
        <f>OrdersTable[[#This Row],[Gross Sale]]-OrdersTable[[#This Row],[Discount Amount]]</f>
        <v>509.15</v>
      </c>
      <c r="V966" s="77">
        <f>INDEX(Products!E:E,MATCH(OrdersTable[[#This Row],[Product ID]],Products!A:A,0))</f>
        <v>180</v>
      </c>
      <c r="W966" s="77">
        <f>OrdersTable[[#This Row],[Quantity]]*OrdersTable[[#This Row],[Unit Cost]]</f>
        <v>180</v>
      </c>
      <c r="X966" s="77">
        <f>'Dropdown Lists'!$I$2*(1+OrdersTable[[#This Row],[Returned]])</f>
        <v>60</v>
      </c>
      <c r="Y966" s="76">
        <f>OrdersTable[[#This Row],[Net Revenue]]-OrdersTable[[#This Row],[COGS]]-OrdersTable[[#This Row],[Shipping Cost]]</f>
        <v>269.14999999999998</v>
      </c>
      <c r="Z966" s="78">
        <f>IFERROR(OrdersTable[[#This Row],[Profit]]/OrdersTable[[#This Row],[Net Revenue]],0)</f>
        <v>0.52862614160856325</v>
      </c>
      <c r="AA966" t="s">
        <v>4074</v>
      </c>
      <c r="AB966" s="79">
        <v>45491</v>
      </c>
      <c r="AC966">
        <f>OrdersTable[[#This Row],[Delivery Date]]-OrdersTable[[#This Row],[Order Date]]</f>
        <v>3</v>
      </c>
      <c r="AD966" t="str">
        <f>IF(OrdersTable[[#This Row],[Delivery Days]]&lt;=2, "Express (≤2d)", IF(OrdersTable[[#This Row],[Delivery Days]]&lt;=4, "Standard (3-4d)", "Delayed (5d+)"))</f>
        <v>Standard (3-4d)</v>
      </c>
      <c r="AE966">
        <v>3</v>
      </c>
      <c r="AF966">
        <v>0</v>
      </c>
    </row>
    <row r="967" spans="1:32" ht="15" x14ac:dyDescent="0.35">
      <c r="A967" t="s">
        <v>2929</v>
      </c>
      <c r="B967" s="1">
        <v>45488</v>
      </c>
      <c r="C967">
        <f>YEAR(OrdersTable[[#This Row],[Order Date]])</f>
        <v>2024</v>
      </c>
      <c r="D967" s="2">
        <f>DATE(YEAR(OrdersTable[[#This Row],[Order Date]]),MONTH(OrdersTable[[#This Row],[Order Date]]),1)</f>
        <v>45474</v>
      </c>
      <c r="E967">
        <f>MONTH(OrdersTable[[#This Row],[Order Date]])</f>
        <v>7</v>
      </c>
      <c r="F967" t="s">
        <v>580</v>
      </c>
      <c r="G967" t="str">
        <f>IF(OrdersTable[[#This Row],[Order Date]]=_xlfn.MINIFS(Order_Date, Customer_ID, OrdersTable[[#This Row],[Customer ID]]), "New", "Repeat")</f>
        <v>New</v>
      </c>
      <c r="H967" t="s">
        <v>128</v>
      </c>
      <c r="I967" t="str">
        <f>INDEX(State!B:B,MATCH(OrdersTable[[#This Row],[State]],State!A:A,0))</f>
        <v>DL</v>
      </c>
      <c r="J967" t="str">
        <f>INDEX(State!C:C,MATCH(OrdersTable[[#This Row],[State Code]],State!B:B,0))</f>
        <v>North</v>
      </c>
      <c r="K967" t="s">
        <v>129</v>
      </c>
      <c r="L967" t="s">
        <v>50</v>
      </c>
      <c r="M967" t="s">
        <v>40</v>
      </c>
      <c r="N967" t="str">
        <f>INDEX(Products!B:B,MATCH(OrdersTable[[#This Row],[Product ID]],Products!A:A,0))</f>
        <v>Ashwagandha Capsules</v>
      </c>
      <c r="O967" t="str">
        <f>INDEX(Products!C:C,MATCH(OrdersTable[[#This Row],[Product ID]],Products!A:A,0))</f>
        <v>Wellness</v>
      </c>
      <c r="P967">
        <v>1</v>
      </c>
      <c r="Q967" s="5">
        <v>499</v>
      </c>
      <c r="R967" s="74">
        <v>0</v>
      </c>
      <c r="S967" s="75">
        <f>OrdersTable[[#This Row],[Quantity]]*OrdersTable[[#This Row],[Unit Price]]</f>
        <v>499</v>
      </c>
      <c r="T967" s="5">
        <f>OrdersTable[[#This Row],[Gross Sale]]*OrdersTable[[#This Row],[Discount_Clean2]]</f>
        <v>0</v>
      </c>
      <c r="U967" s="5">
        <f>OrdersTable[[#This Row],[Gross Sale]]-OrdersTable[[#This Row],[Discount Amount]]</f>
        <v>499</v>
      </c>
      <c r="V967" s="77">
        <f>INDEX(Products!E:E,MATCH(OrdersTable[[#This Row],[Product ID]],Products!A:A,0))</f>
        <v>150</v>
      </c>
      <c r="W967" s="77">
        <f>OrdersTable[[#This Row],[Quantity]]*OrdersTable[[#This Row],[Unit Cost]]</f>
        <v>150</v>
      </c>
      <c r="X967" s="77">
        <f>'Dropdown Lists'!$I$2*(1+OrdersTable[[#This Row],[Returned]])</f>
        <v>60</v>
      </c>
      <c r="Y967" s="76">
        <f>OrdersTable[[#This Row],[Net Revenue]]-OrdersTable[[#This Row],[COGS]]-OrdersTable[[#This Row],[Shipping Cost]]</f>
        <v>289</v>
      </c>
      <c r="Z967" s="78">
        <f>IFERROR(OrdersTable[[#This Row],[Profit]]/OrdersTable[[#This Row],[Net Revenue]],0)</f>
        <v>0.57915831663326656</v>
      </c>
      <c r="AA967" t="s">
        <v>2522</v>
      </c>
      <c r="AB967" s="79">
        <v>45491</v>
      </c>
      <c r="AC967">
        <f>OrdersTable[[#This Row],[Delivery Date]]-OrdersTable[[#This Row],[Order Date]]</f>
        <v>3</v>
      </c>
      <c r="AD967" t="str">
        <f>IF(OrdersTable[[#This Row],[Delivery Days]]&lt;=2, "Express (≤2d)", IF(OrdersTable[[#This Row],[Delivery Days]]&lt;=4, "Standard (3-4d)", "Delayed (5d+)"))</f>
        <v>Standard (3-4d)</v>
      </c>
      <c r="AF967">
        <v>0</v>
      </c>
    </row>
    <row r="968" spans="1:32" ht="15" x14ac:dyDescent="0.35">
      <c r="A968" t="s">
        <v>5874</v>
      </c>
      <c r="B968" s="1">
        <v>45488</v>
      </c>
      <c r="C968">
        <f>YEAR(OrdersTable[[#This Row],[Order Date]])</f>
        <v>2024</v>
      </c>
      <c r="D968" s="2">
        <f>DATE(YEAR(OrdersTable[[#This Row],[Order Date]]),MONTH(OrdersTable[[#This Row],[Order Date]]),1)</f>
        <v>45474</v>
      </c>
      <c r="E968">
        <f>MONTH(OrdersTable[[#This Row],[Order Date]])</f>
        <v>7</v>
      </c>
      <c r="F968" t="s">
        <v>3053</v>
      </c>
      <c r="G968" t="str">
        <f>IF(OrdersTable[[#This Row],[Order Date]]=_xlfn.MINIFS(Order_Date, Customer_ID, OrdersTable[[#This Row],[Customer ID]]), "New", "Repeat")</f>
        <v>New</v>
      </c>
      <c r="H968" t="s">
        <v>32</v>
      </c>
      <c r="I968" t="str">
        <f>INDEX(State!B:B,MATCH(OrdersTable[[#This Row],[State]],State!A:A,0))</f>
        <v>BR</v>
      </c>
      <c r="J968" t="str">
        <f>INDEX(State!C:C,MATCH(OrdersTable[[#This Row],[State Code]],State!B:B,0))</f>
        <v>East</v>
      </c>
      <c r="K968" t="s">
        <v>33</v>
      </c>
      <c r="L968" t="s">
        <v>65</v>
      </c>
      <c r="M968" t="s">
        <v>179</v>
      </c>
      <c r="N968" t="str">
        <f>INDEX(Products!B:B,MATCH(OrdersTable[[#This Row],[Product ID]],Products!A:A,0))</f>
        <v>Whey Protein 1kg</v>
      </c>
      <c r="O968" t="str">
        <f>INDEX(Products!C:C,MATCH(OrdersTable[[#This Row],[Product ID]],Products!A:A,0))</f>
        <v>Wellness</v>
      </c>
      <c r="P968">
        <v>2</v>
      </c>
      <c r="Q968" s="5">
        <v>2299</v>
      </c>
      <c r="R968" s="74">
        <v>0.35</v>
      </c>
      <c r="S968" s="75">
        <f>OrdersTable[[#This Row],[Quantity]]*OrdersTable[[#This Row],[Unit Price]]</f>
        <v>4598</v>
      </c>
      <c r="T968" s="5">
        <f>OrdersTable[[#This Row],[Gross Sale]]*OrdersTable[[#This Row],[Discount_Clean2]]</f>
        <v>1609.3</v>
      </c>
      <c r="U968" s="5">
        <f>OrdersTable[[#This Row],[Gross Sale]]-OrdersTable[[#This Row],[Discount Amount]]</f>
        <v>2988.7</v>
      </c>
      <c r="V968" s="77">
        <f>INDEX(Products!E:E,MATCH(OrdersTable[[#This Row],[Product ID]],Products!A:A,0))</f>
        <v>1333</v>
      </c>
      <c r="W968" s="77">
        <f>OrdersTable[[#This Row],[Quantity]]*OrdersTable[[#This Row],[Unit Cost]]</f>
        <v>2666</v>
      </c>
      <c r="X968" s="77">
        <f>'Dropdown Lists'!$I$2*(1+OrdersTable[[#This Row],[Returned]])</f>
        <v>60</v>
      </c>
      <c r="Y968" s="76">
        <f>OrdersTable[[#This Row],[Net Revenue]]-OrdersTable[[#This Row],[COGS]]-OrdersTable[[#This Row],[Shipping Cost]]</f>
        <v>262.69999999999982</v>
      </c>
      <c r="Z968" s="78">
        <f>IFERROR(OrdersTable[[#This Row],[Profit]]/OrdersTable[[#This Row],[Net Revenue]],0)</f>
        <v>8.7897748184829469E-2</v>
      </c>
      <c r="AA968" t="s">
        <v>18</v>
      </c>
      <c r="AB968" s="79">
        <v>45494</v>
      </c>
      <c r="AC968">
        <f>OrdersTable[[#This Row],[Delivery Date]]-OrdersTable[[#This Row],[Order Date]]</f>
        <v>6</v>
      </c>
      <c r="AD968" t="str">
        <f>IF(OrdersTable[[#This Row],[Delivery Days]]&lt;=2, "Express (≤2d)", IF(OrdersTable[[#This Row],[Delivery Days]]&lt;=4, "Standard (3-4d)", "Delayed (5d+)"))</f>
        <v>Delayed (5d+)</v>
      </c>
      <c r="AF968">
        <v>0</v>
      </c>
    </row>
    <row r="969" spans="1:32" ht="15" x14ac:dyDescent="0.35">
      <c r="A969" t="s">
        <v>1227</v>
      </c>
      <c r="B969" s="1">
        <v>45488</v>
      </c>
      <c r="C969">
        <f>YEAR(OrdersTable[[#This Row],[Order Date]])</f>
        <v>2024</v>
      </c>
      <c r="D969" s="2">
        <f>DATE(YEAR(OrdersTable[[#This Row],[Order Date]]),MONTH(OrdersTable[[#This Row],[Order Date]]),1)</f>
        <v>45474</v>
      </c>
      <c r="E969">
        <f>MONTH(OrdersTable[[#This Row],[Order Date]])</f>
        <v>7</v>
      </c>
      <c r="F969" t="s">
        <v>1228</v>
      </c>
      <c r="G969" t="str">
        <f>IF(OrdersTable[[#This Row],[Order Date]]=_xlfn.MINIFS(Order_Date, Customer_ID, OrdersTable[[#This Row],[Customer ID]]), "New", "Repeat")</f>
        <v>New</v>
      </c>
      <c r="H969" t="s">
        <v>32</v>
      </c>
      <c r="I969" t="str">
        <f>INDEX(State!B:B,MATCH(OrdersTable[[#This Row],[State]],State!A:A,0))</f>
        <v>BR</v>
      </c>
      <c r="J969" t="str">
        <f>INDEX(State!C:C,MATCH(OrdersTable[[#This Row],[State Code]],State!B:B,0))</f>
        <v>East</v>
      </c>
      <c r="K969" t="s">
        <v>33</v>
      </c>
      <c r="L969" t="s">
        <v>16</v>
      </c>
      <c r="M969" t="s">
        <v>255</v>
      </c>
      <c r="N969" t="str">
        <f>INDEX(Products!B:B,MATCH(OrdersTable[[#This Row],[Product ID]],Products!A:A,0))</f>
        <v>Cotton Oversized T-Shirt</v>
      </c>
      <c r="O969" t="str">
        <f>INDEX(Products!C:C,MATCH(OrdersTable[[#This Row],[Product ID]],Products!A:A,0))</f>
        <v>Apparel</v>
      </c>
      <c r="P969">
        <v>1</v>
      </c>
      <c r="Q969" s="5">
        <v>799</v>
      </c>
      <c r="R969" s="74">
        <v>0</v>
      </c>
      <c r="S969" s="75">
        <f>OrdersTable[[#This Row],[Quantity]]*OrdersTable[[#This Row],[Unit Price]]</f>
        <v>799</v>
      </c>
      <c r="T969" s="5">
        <f>OrdersTable[[#This Row],[Gross Sale]]*OrdersTable[[#This Row],[Discount_Clean2]]</f>
        <v>0</v>
      </c>
      <c r="U969" s="5">
        <f>OrdersTable[[#This Row],[Gross Sale]]-OrdersTable[[#This Row],[Discount Amount]]</f>
        <v>799</v>
      </c>
      <c r="V969" s="77">
        <f>INDEX(Products!E:E,MATCH(OrdersTable[[#This Row],[Product ID]],Products!A:A,0))</f>
        <v>320</v>
      </c>
      <c r="W969" s="77">
        <f>OrdersTable[[#This Row],[Quantity]]*OrdersTable[[#This Row],[Unit Cost]]</f>
        <v>320</v>
      </c>
      <c r="X969" s="77">
        <f>'Dropdown Lists'!$I$2*(1+OrdersTable[[#This Row],[Returned]])</f>
        <v>60</v>
      </c>
      <c r="Y969" s="76">
        <f>OrdersTable[[#This Row],[Net Revenue]]-OrdersTable[[#This Row],[COGS]]-OrdersTable[[#This Row],[Shipping Cost]]</f>
        <v>419</v>
      </c>
      <c r="Z969" s="78">
        <f>IFERROR(OrdersTable[[#This Row],[Profit]]/OrdersTable[[#This Row],[Net Revenue]],0)</f>
        <v>0.52440550688360454</v>
      </c>
      <c r="AA969" t="s">
        <v>18</v>
      </c>
      <c r="AB969" s="79">
        <v>45495</v>
      </c>
      <c r="AC969">
        <f>OrdersTable[[#This Row],[Delivery Date]]-OrdersTable[[#This Row],[Order Date]]</f>
        <v>7</v>
      </c>
      <c r="AD969" t="str">
        <f>IF(OrdersTable[[#This Row],[Delivery Days]]&lt;=2, "Express (≤2d)", IF(OrdersTable[[#This Row],[Delivery Days]]&lt;=4, "Standard (3-4d)", "Delayed (5d+)"))</f>
        <v>Delayed (5d+)</v>
      </c>
      <c r="AF969">
        <v>0</v>
      </c>
    </row>
    <row r="970" spans="1:32" ht="15" x14ac:dyDescent="0.35">
      <c r="A970" t="s">
        <v>3187</v>
      </c>
      <c r="B970" s="1">
        <v>45488</v>
      </c>
      <c r="C970">
        <f>YEAR(OrdersTable[[#This Row],[Order Date]])</f>
        <v>2024</v>
      </c>
      <c r="D970" s="2">
        <f>DATE(YEAR(OrdersTable[[#This Row],[Order Date]]),MONTH(OrdersTable[[#This Row],[Order Date]]),1)</f>
        <v>45474</v>
      </c>
      <c r="E970">
        <f>MONTH(OrdersTable[[#This Row],[Order Date]])</f>
        <v>7</v>
      </c>
      <c r="F970" t="s">
        <v>3188</v>
      </c>
      <c r="G970" t="str">
        <f>IF(OrdersTable[[#This Row],[Order Date]]=_xlfn.MINIFS(Order_Date, Customer_ID, OrdersTable[[#This Row],[Customer ID]]), "New", "Repeat")</f>
        <v>New</v>
      </c>
      <c r="H970" t="s">
        <v>37</v>
      </c>
      <c r="I970" t="str">
        <f>INDEX(State!B:B,MATCH(OrdersTable[[#This Row],[State]],State!A:A,0))</f>
        <v>GJ</v>
      </c>
      <c r="J970" t="str">
        <f>INDEX(State!C:C,MATCH(OrdersTable[[#This Row],[State Code]],State!B:B,0))</f>
        <v>West</v>
      </c>
      <c r="K970" t="s">
        <v>247</v>
      </c>
      <c r="L970" t="s">
        <v>39</v>
      </c>
      <c r="M970" t="s">
        <v>84</v>
      </c>
      <c r="N970" t="str">
        <f>INDEX(Products!B:B,MATCH(OrdersTable[[#This Row],[Product ID]],Products!A:A,0))</f>
        <v>Cotton Bedsheet</v>
      </c>
      <c r="O970" t="str">
        <f>INDEX(Products!C:C,MATCH(OrdersTable[[#This Row],[Product ID]],Products!A:A,0))</f>
        <v>Home &amp; Kitchen</v>
      </c>
      <c r="P970">
        <v>1</v>
      </c>
      <c r="Q970" s="5">
        <v>1299</v>
      </c>
      <c r="R970" s="74">
        <v>0.05</v>
      </c>
      <c r="S970" s="75">
        <f>OrdersTable[[#This Row],[Quantity]]*OrdersTable[[#This Row],[Unit Price]]</f>
        <v>1299</v>
      </c>
      <c r="T970" s="5">
        <f>OrdersTable[[#This Row],[Gross Sale]]*OrdersTable[[#This Row],[Discount_Clean2]]</f>
        <v>64.95</v>
      </c>
      <c r="U970" s="5">
        <f>OrdersTable[[#This Row],[Gross Sale]]-OrdersTable[[#This Row],[Discount Amount]]</f>
        <v>1234.05</v>
      </c>
      <c r="V970" s="77">
        <f>INDEX(Products!E:E,MATCH(OrdersTable[[#This Row],[Product ID]],Products!A:A,0))</f>
        <v>585</v>
      </c>
      <c r="W970" s="77">
        <f>OrdersTable[[#This Row],[Quantity]]*OrdersTable[[#This Row],[Unit Cost]]</f>
        <v>585</v>
      </c>
      <c r="X970" s="77">
        <f>'Dropdown Lists'!$I$2*(1+OrdersTable[[#This Row],[Returned]])</f>
        <v>120</v>
      </c>
      <c r="Y970" s="76">
        <f>OrdersTable[[#This Row],[Net Revenue]]-OrdersTable[[#This Row],[COGS]]-OrdersTable[[#This Row],[Shipping Cost]]</f>
        <v>529.04999999999995</v>
      </c>
      <c r="Z970" s="78">
        <f>IFERROR(OrdersTable[[#This Row],[Profit]]/OrdersTable[[#This Row],[Net Revenue]],0)</f>
        <v>0.42871034398930347</v>
      </c>
      <c r="AA970" t="s">
        <v>2522</v>
      </c>
      <c r="AB970" s="79">
        <v>45493</v>
      </c>
      <c r="AC970">
        <f>OrdersTable[[#This Row],[Delivery Date]]-OrdersTable[[#This Row],[Order Date]]</f>
        <v>5</v>
      </c>
      <c r="AD970" t="str">
        <f>IF(OrdersTable[[#This Row],[Delivery Days]]&lt;=2, "Express (≤2d)", IF(OrdersTable[[#This Row],[Delivery Days]]&lt;=4, "Standard (3-4d)", "Delayed (5d+)"))</f>
        <v>Delayed (5d+)</v>
      </c>
      <c r="AE970">
        <v>4</v>
      </c>
      <c r="AF970">
        <v>1</v>
      </c>
    </row>
    <row r="971" spans="1:32" ht="15" x14ac:dyDescent="0.35">
      <c r="A971" t="s">
        <v>2930</v>
      </c>
      <c r="B971" s="1">
        <v>45488</v>
      </c>
      <c r="C971">
        <f>YEAR(OrdersTable[[#This Row],[Order Date]])</f>
        <v>2024</v>
      </c>
      <c r="D971" s="2">
        <f>DATE(YEAR(OrdersTable[[#This Row],[Order Date]]),MONTH(OrdersTable[[#This Row],[Order Date]]),1)</f>
        <v>45474</v>
      </c>
      <c r="E971">
        <f>MONTH(OrdersTable[[#This Row],[Order Date]])</f>
        <v>7</v>
      </c>
      <c r="F971" t="s">
        <v>703</v>
      </c>
      <c r="G971" t="str">
        <f>IF(OrdersTable[[#This Row],[Order Date]]=_xlfn.MINIFS(Order_Date, Customer_ID, OrdersTable[[#This Row],[Customer ID]]), "New", "Repeat")</f>
        <v>New</v>
      </c>
      <c r="H971" t="s">
        <v>43</v>
      </c>
      <c r="I971" t="str">
        <f>INDEX(State!B:B,MATCH(OrdersTable[[#This Row],[State]],State!A:A,0))</f>
        <v>MP</v>
      </c>
      <c r="J971" t="str">
        <f>INDEX(State!C:C,MATCH(OrdersTable[[#This Row],[State Code]],State!B:B,0))</f>
        <v>West</v>
      </c>
      <c r="K971" t="s">
        <v>250</v>
      </c>
      <c r="L971" t="s">
        <v>39</v>
      </c>
      <c r="M971" t="s">
        <v>109</v>
      </c>
      <c r="N971" t="str">
        <f>INDEX(Products!B:B,MATCH(OrdersTable[[#This Row],[Product ID]],Products!A:A,0))</f>
        <v>Onion Hair Oil</v>
      </c>
      <c r="O971" t="str">
        <f>INDEX(Products!C:C,MATCH(OrdersTable[[#This Row],[Product ID]],Products!A:A,0))</f>
        <v>Haircare</v>
      </c>
      <c r="P971">
        <v>1</v>
      </c>
      <c r="Q971" s="5">
        <v>349</v>
      </c>
      <c r="R971" s="74">
        <v>0.3</v>
      </c>
      <c r="S971" s="75">
        <f>OrdersTable[[#This Row],[Quantity]]*OrdersTable[[#This Row],[Unit Price]]</f>
        <v>349</v>
      </c>
      <c r="T971" s="5">
        <f>OrdersTable[[#This Row],[Gross Sale]]*OrdersTable[[#This Row],[Discount_Clean2]]</f>
        <v>104.7</v>
      </c>
      <c r="U971" s="5">
        <f>OrdersTable[[#This Row],[Gross Sale]]-OrdersTable[[#This Row],[Discount Amount]]</f>
        <v>244.3</v>
      </c>
      <c r="V971" s="77">
        <f>INDEX(Products!E:E,MATCH(OrdersTable[[#This Row],[Product ID]],Products!A:A,0))</f>
        <v>105</v>
      </c>
      <c r="W971" s="77">
        <f>OrdersTable[[#This Row],[Quantity]]*OrdersTable[[#This Row],[Unit Cost]]</f>
        <v>105</v>
      </c>
      <c r="X971" s="77">
        <f>'Dropdown Lists'!$I$2*(1+OrdersTable[[#This Row],[Returned]])</f>
        <v>60</v>
      </c>
      <c r="Y971" s="76">
        <f>OrdersTable[[#This Row],[Net Revenue]]-OrdersTable[[#This Row],[COGS]]-OrdersTable[[#This Row],[Shipping Cost]]</f>
        <v>79.300000000000011</v>
      </c>
      <c r="Z971" s="78">
        <f>IFERROR(OrdersTable[[#This Row],[Profit]]/OrdersTable[[#This Row],[Net Revenue]],0)</f>
        <v>0.32460090053213264</v>
      </c>
      <c r="AA971" t="s">
        <v>2522</v>
      </c>
      <c r="AB971" s="79">
        <v>45493</v>
      </c>
      <c r="AC971">
        <f>OrdersTable[[#This Row],[Delivery Date]]-OrdersTable[[#This Row],[Order Date]]</f>
        <v>5</v>
      </c>
      <c r="AD971" t="str">
        <f>IF(OrdersTable[[#This Row],[Delivery Days]]&lt;=2, "Express (≤2d)", IF(OrdersTable[[#This Row],[Delivery Days]]&lt;=4, "Standard (3-4d)", "Delayed (5d+)"))</f>
        <v>Delayed (5d+)</v>
      </c>
      <c r="AF971">
        <v>0</v>
      </c>
    </row>
    <row r="972" spans="1:32" ht="15" x14ac:dyDescent="0.35">
      <c r="A972" t="s">
        <v>1658</v>
      </c>
      <c r="B972" s="1">
        <v>45488</v>
      </c>
      <c r="C972">
        <f>YEAR(OrdersTable[[#This Row],[Order Date]])</f>
        <v>2024</v>
      </c>
      <c r="D972" s="2">
        <f>DATE(YEAR(OrdersTable[[#This Row],[Order Date]]),MONTH(OrdersTable[[#This Row],[Order Date]]),1)</f>
        <v>45474</v>
      </c>
      <c r="E972">
        <f>MONTH(OrdersTable[[#This Row],[Order Date]])</f>
        <v>7</v>
      </c>
      <c r="F972" t="s">
        <v>1659</v>
      </c>
      <c r="G972" t="str">
        <f>IF(OrdersTable[[#This Row],[Order Date]]=_xlfn.MINIFS(Order_Date, Customer_ID, OrdersTable[[#This Row],[Customer ID]]), "New", "Repeat")</f>
        <v>New</v>
      </c>
      <c r="H972" t="s">
        <v>59</v>
      </c>
      <c r="I972" t="str">
        <f>INDEX(State!B:B,MATCH(OrdersTable[[#This Row],[State]],State!A:A,0))</f>
        <v>TN</v>
      </c>
      <c r="J972" t="str">
        <f>INDEX(State!C:C,MATCH(OrdersTable[[#This Row],[State Code]],State!B:B,0))</f>
        <v>South</v>
      </c>
      <c r="K972" t="s">
        <v>64</v>
      </c>
      <c r="L972" t="s">
        <v>65</v>
      </c>
      <c r="M972" t="s">
        <v>34</v>
      </c>
      <c r="N972" t="str">
        <f>INDEX(Products!B:B,MATCH(OrdersTable[[#This Row],[Product ID]],Products!A:A,0))</f>
        <v>Flip Flops</v>
      </c>
      <c r="O972" t="str">
        <f>INDEX(Products!C:C,MATCH(OrdersTable[[#This Row],[Product ID]],Products!A:A,0))</f>
        <v>Footwear</v>
      </c>
      <c r="P972">
        <v>1</v>
      </c>
      <c r="Q972" s="5">
        <v>399</v>
      </c>
      <c r="R972" s="74">
        <v>0.15</v>
      </c>
      <c r="S972" s="75">
        <f>OrdersTable[[#This Row],[Quantity]]*OrdersTable[[#This Row],[Unit Price]]</f>
        <v>399</v>
      </c>
      <c r="T972" s="5">
        <f>OrdersTable[[#This Row],[Gross Sale]]*OrdersTable[[#This Row],[Discount_Clean2]]</f>
        <v>59.849999999999994</v>
      </c>
      <c r="U972" s="5">
        <f>OrdersTable[[#This Row],[Gross Sale]]-OrdersTable[[#This Row],[Discount Amount]]</f>
        <v>339.15</v>
      </c>
      <c r="V972" s="77">
        <f>INDEX(Products!E:E,MATCH(OrdersTable[[#This Row],[Product ID]],Products!A:A,0))</f>
        <v>152</v>
      </c>
      <c r="W972" s="77">
        <f>OrdersTable[[#This Row],[Quantity]]*OrdersTable[[#This Row],[Unit Cost]]</f>
        <v>152</v>
      </c>
      <c r="X972" s="77">
        <f>'Dropdown Lists'!$I$2*(1+OrdersTable[[#This Row],[Returned]])</f>
        <v>60</v>
      </c>
      <c r="Y972" s="76">
        <f>OrdersTable[[#This Row],[Net Revenue]]-OrdersTable[[#This Row],[COGS]]-OrdersTable[[#This Row],[Shipping Cost]]</f>
        <v>127.14999999999998</v>
      </c>
      <c r="Z972" s="78">
        <f>IFERROR(OrdersTable[[#This Row],[Profit]]/OrdersTable[[#This Row],[Net Revenue]],0)</f>
        <v>0.37490785787999409</v>
      </c>
      <c r="AA972" t="s">
        <v>18</v>
      </c>
      <c r="AB972" s="79">
        <v>45492</v>
      </c>
      <c r="AC972">
        <f>OrdersTable[[#This Row],[Delivery Date]]-OrdersTable[[#This Row],[Order Date]]</f>
        <v>4</v>
      </c>
      <c r="AD972" t="str">
        <f>IF(OrdersTable[[#This Row],[Delivery Days]]&lt;=2, "Express (≤2d)", IF(OrdersTable[[#This Row],[Delivery Days]]&lt;=4, "Standard (3-4d)", "Delayed (5d+)"))</f>
        <v>Standard (3-4d)</v>
      </c>
      <c r="AF972">
        <v>0</v>
      </c>
    </row>
    <row r="973" spans="1:32" ht="15" x14ac:dyDescent="0.35">
      <c r="A973" t="s">
        <v>1483</v>
      </c>
      <c r="B973" s="1">
        <v>45489</v>
      </c>
      <c r="C973">
        <f>YEAR(OrdersTable[[#This Row],[Order Date]])</f>
        <v>2024</v>
      </c>
      <c r="D973" s="2">
        <f>DATE(YEAR(OrdersTable[[#This Row],[Order Date]]),MONTH(OrdersTable[[#This Row],[Order Date]]),1)</f>
        <v>45474</v>
      </c>
      <c r="E973">
        <f>MONTH(OrdersTable[[#This Row],[Order Date]])</f>
        <v>7</v>
      </c>
      <c r="F973" t="s">
        <v>1484</v>
      </c>
      <c r="G973" t="str">
        <f>IF(OrdersTable[[#This Row],[Order Date]]=_xlfn.MINIFS(Order_Date, Customer_ID, OrdersTable[[#This Row],[Customer ID]]), "New", "Repeat")</f>
        <v>New</v>
      </c>
      <c r="H973" t="s">
        <v>210</v>
      </c>
      <c r="I973" t="str">
        <f>INDEX(State!B:B,MATCH(OrdersTable[[#This Row],[State]],State!A:A,0))</f>
        <v>JK</v>
      </c>
      <c r="J973" t="str">
        <f>INDEX(State!C:C,MATCH(OrdersTable[[#This Row],[State Code]],State!B:B,0))</f>
        <v>North</v>
      </c>
      <c r="K973" t="s">
        <v>211</v>
      </c>
      <c r="L973" t="s">
        <v>39</v>
      </c>
      <c r="M973" t="s">
        <v>40</v>
      </c>
      <c r="N973" t="str">
        <f>INDEX(Products!B:B,MATCH(OrdersTable[[#This Row],[Product ID]],Products!A:A,0))</f>
        <v>Ashwagandha Capsules</v>
      </c>
      <c r="O973" t="str">
        <f>INDEX(Products!C:C,MATCH(OrdersTable[[#This Row],[Product ID]],Products!A:A,0))</f>
        <v>Wellness</v>
      </c>
      <c r="P973">
        <v>1</v>
      </c>
      <c r="Q973" s="5">
        <v>499</v>
      </c>
      <c r="R973" s="74">
        <v>0</v>
      </c>
      <c r="S973" s="75">
        <f>OrdersTable[[#This Row],[Quantity]]*OrdersTable[[#This Row],[Unit Price]]</f>
        <v>499</v>
      </c>
      <c r="T973" s="5">
        <f>OrdersTable[[#This Row],[Gross Sale]]*OrdersTable[[#This Row],[Discount_Clean2]]</f>
        <v>0</v>
      </c>
      <c r="U973" s="5">
        <f>OrdersTable[[#This Row],[Gross Sale]]-OrdersTable[[#This Row],[Discount Amount]]</f>
        <v>499</v>
      </c>
      <c r="V973" s="77">
        <f>INDEX(Products!E:E,MATCH(OrdersTable[[#This Row],[Product ID]],Products!A:A,0))</f>
        <v>150</v>
      </c>
      <c r="W973" s="77">
        <f>OrdersTable[[#This Row],[Quantity]]*OrdersTable[[#This Row],[Unit Cost]]</f>
        <v>150</v>
      </c>
      <c r="X973" s="77">
        <f>'Dropdown Lists'!$I$2*(1+OrdersTable[[#This Row],[Returned]])</f>
        <v>60</v>
      </c>
      <c r="Y973" s="76">
        <f>OrdersTable[[#This Row],[Net Revenue]]-OrdersTable[[#This Row],[COGS]]-OrdersTable[[#This Row],[Shipping Cost]]</f>
        <v>289</v>
      </c>
      <c r="Z973" s="78">
        <f>IFERROR(OrdersTable[[#This Row],[Profit]]/OrdersTable[[#This Row],[Net Revenue]],0)</f>
        <v>0.57915831663326656</v>
      </c>
      <c r="AA973" t="s">
        <v>18</v>
      </c>
      <c r="AB973" s="79">
        <v>45495</v>
      </c>
      <c r="AC973">
        <f>OrdersTable[[#This Row],[Delivery Date]]-OrdersTable[[#This Row],[Order Date]]</f>
        <v>6</v>
      </c>
      <c r="AD973" t="str">
        <f>IF(OrdersTable[[#This Row],[Delivery Days]]&lt;=2, "Express (≤2d)", IF(OrdersTable[[#This Row],[Delivery Days]]&lt;=4, "Standard (3-4d)", "Delayed (5d+)"))</f>
        <v>Delayed (5d+)</v>
      </c>
      <c r="AF973">
        <v>0</v>
      </c>
    </row>
    <row r="974" spans="1:32" ht="15" x14ac:dyDescent="0.35">
      <c r="A974" t="s">
        <v>4349</v>
      </c>
      <c r="B974" s="1">
        <v>45489</v>
      </c>
      <c r="C974">
        <f>YEAR(OrdersTable[[#This Row],[Order Date]])</f>
        <v>2024</v>
      </c>
      <c r="D974" s="2">
        <f>DATE(YEAR(OrdersTable[[#This Row],[Order Date]]),MONTH(OrdersTable[[#This Row],[Order Date]]),1)</f>
        <v>45474</v>
      </c>
      <c r="E974">
        <f>MONTH(OrdersTable[[#This Row],[Order Date]])</f>
        <v>7</v>
      </c>
      <c r="F974" t="s">
        <v>4350</v>
      </c>
      <c r="G974" t="str">
        <f>IF(OrdersTable[[#This Row],[Order Date]]=_xlfn.MINIFS(Order_Date, Customer_ID, OrdersTable[[#This Row],[Customer ID]]), "New", "Repeat")</f>
        <v>New</v>
      </c>
      <c r="H974" t="s">
        <v>32</v>
      </c>
      <c r="I974" t="str">
        <f>INDEX(State!B:B,MATCH(OrdersTable[[#This Row],[State]],State!A:A,0))</f>
        <v>BR</v>
      </c>
      <c r="J974" t="str">
        <f>INDEX(State!C:C,MATCH(OrdersTable[[#This Row],[State Code]],State!B:B,0))</f>
        <v>East</v>
      </c>
      <c r="K974" t="s">
        <v>33</v>
      </c>
      <c r="L974" t="s">
        <v>16</v>
      </c>
      <c r="M974" t="s">
        <v>92</v>
      </c>
      <c r="N974" t="str">
        <f>INDEX(Products!B:B,MATCH(OrdersTable[[#This Row],[Product ID]],Products!A:A,0))</f>
        <v>Kolhapuri Sandals</v>
      </c>
      <c r="O974" t="str">
        <f>INDEX(Products!C:C,MATCH(OrdersTable[[#This Row],[Product ID]],Products!A:A,0))</f>
        <v>Footwear</v>
      </c>
      <c r="P974">
        <v>1</v>
      </c>
      <c r="Q974" s="5">
        <v>999</v>
      </c>
      <c r="R974" s="74">
        <v>0</v>
      </c>
      <c r="S974" s="75">
        <f>OrdersTable[[#This Row],[Quantity]]*OrdersTable[[#This Row],[Unit Price]]</f>
        <v>999</v>
      </c>
      <c r="T974" s="5">
        <f>OrdersTable[[#This Row],[Gross Sale]]*OrdersTable[[#This Row],[Discount_Clean2]]</f>
        <v>0</v>
      </c>
      <c r="U974" s="5">
        <f>OrdersTable[[#This Row],[Gross Sale]]-OrdersTable[[#This Row],[Discount Amount]]</f>
        <v>999</v>
      </c>
      <c r="V974" s="77">
        <f>INDEX(Products!E:E,MATCH(OrdersTable[[#This Row],[Product ID]],Products!A:A,0))</f>
        <v>400</v>
      </c>
      <c r="W974" s="77">
        <f>OrdersTable[[#This Row],[Quantity]]*OrdersTable[[#This Row],[Unit Cost]]</f>
        <v>400</v>
      </c>
      <c r="X974" s="77">
        <f>'Dropdown Lists'!$I$2*(1+OrdersTable[[#This Row],[Returned]])</f>
        <v>60</v>
      </c>
      <c r="Y974" s="76">
        <f>OrdersTable[[#This Row],[Net Revenue]]-OrdersTable[[#This Row],[COGS]]-OrdersTable[[#This Row],[Shipping Cost]]</f>
        <v>539</v>
      </c>
      <c r="Z974" s="78">
        <f>IFERROR(OrdersTable[[#This Row],[Profit]]/OrdersTable[[#This Row],[Net Revenue]],0)</f>
        <v>0.53953953953953959</v>
      </c>
      <c r="AA974" t="s">
        <v>4074</v>
      </c>
      <c r="AB974" s="79">
        <v>45493</v>
      </c>
      <c r="AC974">
        <f>OrdersTable[[#This Row],[Delivery Date]]-OrdersTable[[#This Row],[Order Date]]</f>
        <v>4</v>
      </c>
      <c r="AD974" t="str">
        <f>IF(OrdersTable[[#This Row],[Delivery Days]]&lt;=2, "Express (≤2d)", IF(OrdersTable[[#This Row],[Delivery Days]]&lt;=4, "Standard (3-4d)", "Delayed (5d+)"))</f>
        <v>Standard (3-4d)</v>
      </c>
      <c r="AE974">
        <v>4</v>
      </c>
      <c r="AF974">
        <v>0</v>
      </c>
    </row>
    <row r="975" spans="1:32" ht="15" x14ac:dyDescent="0.35">
      <c r="A975" t="s">
        <v>4099</v>
      </c>
      <c r="B975" s="1">
        <v>45489</v>
      </c>
      <c r="C975">
        <f>YEAR(OrdersTable[[#This Row],[Order Date]])</f>
        <v>2024</v>
      </c>
      <c r="D975" s="2">
        <f>DATE(YEAR(OrdersTable[[#This Row],[Order Date]]),MONTH(OrdersTable[[#This Row],[Order Date]]),1)</f>
        <v>45474</v>
      </c>
      <c r="E975">
        <f>MONTH(OrdersTable[[#This Row],[Order Date]])</f>
        <v>7</v>
      </c>
      <c r="F975" t="s">
        <v>3013</v>
      </c>
      <c r="G975" t="str">
        <f>IF(OrdersTable[[#This Row],[Order Date]]=_xlfn.MINIFS(Order_Date, Customer_ID, OrdersTable[[#This Row],[Customer ID]]), "New", "Repeat")</f>
        <v>New</v>
      </c>
      <c r="H975" t="s">
        <v>37</v>
      </c>
      <c r="I975" t="str">
        <f>INDEX(State!B:B,MATCH(OrdersTable[[#This Row],[State]],State!A:A,0))</f>
        <v>GJ</v>
      </c>
      <c r="J975" t="str">
        <f>INDEX(State!C:C,MATCH(OrdersTable[[#This Row],[State Code]],State!B:B,0))</f>
        <v>West</v>
      </c>
      <c r="K975" t="s">
        <v>38</v>
      </c>
      <c r="L975" t="s">
        <v>50</v>
      </c>
      <c r="M975" t="s">
        <v>61</v>
      </c>
      <c r="N975" t="str">
        <f>INDEX(Products!B:B,MATCH(OrdersTable[[#This Row],[Product ID]],Products!A:A,0))</f>
        <v>Multivitamin Gummies</v>
      </c>
      <c r="O975" t="str">
        <f>INDEX(Products!C:C,MATCH(OrdersTable[[#This Row],[Product ID]],Products!A:A,0))</f>
        <v>Wellness</v>
      </c>
      <c r="P975">
        <v>1</v>
      </c>
      <c r="Q975" s="5">
        <v>699</v>
      </c>
      <c r="R975" s="74">
        <v>0.15</v>
      </c>
      <c r="S975" s="75">
        <f>OrdersTable[[#This Row],[Quantity]]*OrdersTable[[#This Row],[Unit Price]]</f>
        <v>699</v>
      </c>
      <c r="T975" s="5">
        <f>OrdersTable[[#This Row],[Gross Sale]]*OrdersTable[[#This Row],[Discount_Clean2]]</f>
        <v>104.85</v>
      </c>
      <c r="U975" s="5">
        <f>OrdersTable[[#This Row],[Gross Sale]]-OrdersTable[[#This Row],[Discount Amount]]</f>
        <v>594.15</v>
      </c>
      <c r="V975" s="77">
        <f>INDEX(Products!E:E,MATCH(OrdersTable[[#This Row],[Product ID]],Products!A:A,0))</f>
        <v>238</v>
      </c>
      <c r="W975" s="77">
        <f>OrdersTable[[#This Row],[Quantity]]*OrdersTable[[#This Row],[Unit Cost]]</f>
        <v>238</v>
      </c>
      <c r="X975" s="77">
        <f>'Dropdown Lists'!$I$2*(1+OrdersTable[[#This Row],[Returned]])</f>
        <v>60</v>
      </c>
      <c r="Y975" s="76">
        <f>OrdersTable[[#This Row],[Net Revenue]]-OrdersTable[[#This Row],[COGS]]-OrdersTable[[#This Row],[Shipping Cost]]</f>
        <v>296.14999999999998</v>
      </c>
      <c r="Z975" s="78">
        <f>IFERROR(OrdersTable[[#This Row],[Profit]]/OrdersTable[[#This Row],[Net Revenue]],0)</f>
        <v>0.49844315408566858</v>
      </c>
      <c r="AA975" t="s">
        <v>4074</v>
      </c>
      <c r="AB975" s="79">
        <v>45492</v>
      </c>
      <c r="AC975">
        <f>OrdersTable[[#This Row],[Delivery Date]]-OrdersTable[[#This Row],[Order Date]]</f>
        <v>3</v>
      </c>
      <c r="AD975" t="str">
        <f>IF(OrdersTable[[#This Row],[Delivery Days]]&lt;=2, "Express (≤2d)", IF(OrdersTable[[#This Row],[Delivery Days]]&lt;=4, "Standard (3-4d)", "Delayed (5d+)"))</f>
        <v>Standard (3-4d)</v>
      </c>
      <c r="AE975">
        <v>3</v>
      </c>
      <c r="AF975">
        <v>0</v>
      </c>
    </row>
    <row r="976" spans="1:32" ht="15" x14ac:dyDescent="0.35">
      <c r="A976" t="s">
        <v>2086</v>
      </c>
      <c r="B976" s="1">
        <v>45489</v>
      </c>
      <c r="C976">
        <f>YEAR(OrdersTable[[#This Row],[Order Date]])</f>
        <v>2024</v>
      </c>
      <c r="D976" s="2">
        <f>DATE(YEAR(OrdersTable[[#This Row],[Order Date]]),MONTH(OrdersTable[[#This Row],[Order Date]]),1)</f>
        <v>45474</v>
      </c>
      <c r="E976">
        <f>MONTH(OrdersTable[[#This Row],[Order Date]])</f>
        <v>7</v>
      </c>
      <c r="F976" t="s">
        <v>1872</v>
      </c>
      <c r="G976" t="str">
        <f>IF(OrdersTable[[#This Row],[Order Date]]=_xlfn.MINIFS(Order_Date, Customer_ID, OrdersTable[[#This Row],[Customer ID]]), "New", "Repeat")</f>
        <v>New</v>
      </c>
      <c r="H976" t="s">
        <v>71</v>
      </c>
      <c r="I976" t="str">
        <f>INDEX(State!B:B,MATCH(OrdersTable[[#This Row],[State]],State!A:A,0))</f>
        <v>MH</v>
      </c>
      <c r="J976" t="str">
        <f>INDEX(State!C:C,MATCH(OrdersTable[[#This Row],[State Code]],State!B:B,0))</f>
        <v>West</v>
      </c>
      <c r="K976" t="s">
        <v>102</v>
      </c>
      <c r="L976" t="s">
        <v>65</v>
      </c>
      <c r="M976" t="s">
        <v>87</v>
      </c>
      <c r="N976" t="str">
        <f>INDEX(Products!B:B,MATCH(OrdersTable[[#This Row],[Product ID]],Products!A:A,0))</f>
        <v>Linen Kurta</v>
      </c>
      <c r="O976" t="str">
        <f>INDEX(Products!C:C,MATCH(OrdersTable[[#This Row],[Product ID]],Products!A:A,0))</f>
        <v>Apparel</v>
      </c>
      <c r="P976">
        <v>1</v>
      </c>
      <c r="Q976" s="5">
        <v>1499</v>
      </c>
      <c r="R976" s="74">
        <v>0.3</v>
      </c>
      <c r="S976" s="75">
        <f>OrdersTable[[#This Row],[Quantity]]*OrdersTable[[#This Row],[Unit Price]]</f>
        <v>1499</v>
      </c>
      <c r="T976" s="5">
        <f>OrdersTable[[#This Row],[Gross Sale]]*OrdersTable[[#This Row],[Discount_Clean2]]</f>
        <v>449.7</v>
      </c>
      <c r="U976" s="5">
        <f>OrdersTable[[#This Row],[Gross Sale]]-OrdersTable[[#This Row],[Discount Amount]]</f>
        <v>1049.3</v>
      </c>
      <c r="V976" s="77">
        <f>INDEX(Products!E:E,MATCH(OrdersTable[[#This Row],[Product ID]],Products!A:A,0))</f>
        <v>630</v>
      </c>
      <c r="W976" s="77">
        <f>OrdersTable[[#This Row],[Quantity]]*OrdersTable[[#This Row],[Unit Cost]]</f>
        <v>630</v>
      </c>
      <c r="X976" s="77">
        <f>'Dropdown Lists'!$I$2*(1+OrdersTable[[#This Row],[Returned]])</f>
        <v>60</v>
      </c>
      <c r="Y976" s="76">
        <f>OrdersTable[[#This Row],[Net Revenue]]-OrdersTable[[#This Row],[COGS]]-OrdersTable[[#This Row],[Shipping Cost]]</f>
        <v>359.29999999999995</v>
      </c>
      <c r="Z976" s="78">
        <f>IFERROR(OrdersTable[[#This Row],[Profit]]/OrdersTable[[#This Row],[Net Revenue]],0)</f>
        <v>0.34241875536071664</v>
      </c>
      <c r="AA976" t="s">
        <v>18</v>
      </c>
      <c r="AB976" s="79">
        <v>45492</v>
      </c>
      <c r="AC976">
        <f>OrdersTable[[#This Row],[Delivery Date]]-OrdersTable[[#This Row],[Order Date]]</f>
        <v>3</v>
      </c>
      <c r="AD976" t="str">
        <f>IF(OrdersTable[[#This Row],[Delivery Days]]&lt;=2, "Express (≤2d)", IF(OrdersTable[[#This Row],[Delivery Days]]&lt;=4, "Standard (3-4d)", "Delayed (5d+)"))</f>
        <v>Standard (3-4d)</v>
      </c>
      <c r="AE976">
        <v>3</v>
      </c>
      <c r="AF976">
        <v>0</v>
      </c>
    </row>
    <row r="977" spans="1:32" ht="15" x14ac:dyDescent="0.35">
      <c r="A977" t="s">
        <v>5482</v>
      </c>
      <c r="B977" s="1">
        <v>45489</v>
      </c>
      <c r="C977">
        <f>YEAR(OrdersTable[[#This Row],[Order Date]])</f>
        <v>2024</v>
      </c>
      <c r="D977" s="2">
        <f>DATE(YEAR(OrdersTable[[#This Row],[Order Date]]),MONTH(OrdersTable[[#This Row],[Order Date]]),1)</f>
        <v>45474</v>
      </c>
      <c r="E977">
        <f>MONTH(OrdersTable[[#This Row],[Order Date]])</f>
        <v>7</v>
      </c>
      <c r="F977" t="s">
        <v>3181</v>
      </c>
      <c r="G977" t="str">
        <f>IF(OrdersTable[[#This Row],[Order Date]]=_xlfn.MINIFS(Order_Date, Customer_ID, OrdersTable[[#This Row],[Customer ID]]), "New", "Repeat")</f>
        <v>Repeat</v>
      </c>
      <c r="H977" t="s">
        <v>90</v>
      </c>
      <c r="I977" t="str">
        <f>INDEX(State!B:B,MATCH(OrdersTable[[#This Row],[State]],State!A:A,0))</f>
        <v>GA</v>
      </c>
      <c r="J977" t="str">
        <f>INDEX(State!C:C,MATCH(OrdersTable[[#This Row],[State Code]],State!B:B,0))</f>
        <v>West</v>
      </c>
      <c r="K977" t="s">
        <v>91</v>
      </c>
      <c r="L977" t="s">
        <v>39</v>
      </c>
      <c r="M977" t="s">
        <v>40</v>
      </c>
      <c r="N977" t="str">
        <f>INDEX(Products!B:B,MATCH(OrdersTable[[#This Row],[Product ID]],Products!A:A,0))</f>
        <v>Ashwagandha Capsules</v>
      </c>
      <c r="O977" t="str">
        <f>INDEX(Products!C:C,MATCH(OrdersTable[[#This Row],[Product ID]],Products!A:A,0))</f>
        <v>Wellness</v>
      </c>
      <c r="P977">
        <v>2</v>
      </c>
      <c r="Q977" s="5">
        <v>499</v>
      </c>
      <c r="R977" s="74">
        <v>0</v>
      </c>
      <c r="S977" s="75">
        <f>OrdersTable[[#This Row],[Quantity]]*OrdersTable[[#This Row],[Unit Price]]</f>
        <v>998</v>
      </c>
      <c r="T977" s="5">
        <f>OrdersTable[[#This Row],[Gross Sale]]*OrdersTable[[#This Row],[Discount_Clean2]]</f>
        <v>0</v>
      </c>
      <c r="U977" s="5">
        <f>OrdersTable[[#This Row],[Gross Sale]]-OrdersTable[[#This Row],[Discount Amount]]</f>
        <v>998</v>
      </c>
      <c r="V977" s="77">
        <f>INDEX(Products!E:E,MATCH(OrdersTable[[#This Row],[Product ID]],Products!A:A,0))</f>
        <v>150</v>
      </c>
      <c r="W977" s="77">
        <f>OrdersTable[[#This Row],[Quantity]]*OrdersTable[[#This Row],[Unit Cost]]</f>
        <v>300</v>
      </c>
      <c r="X977" s="77">
        <f>'Dropdown Lists'!$I$2*(1+OrdersTable[[#This Row],[Returned]])</f>
        <v>60</v>
      </c>
      <c r="Y977" s="76">
        <f>OrdersTable[[#This Row],[Net Revenue]]-OrdersTable[[#This Row],[COGS]]-OrdersTable[[#This Row],[Shipping Cost]]</f>
        <v>638</v>
      </c>
      <c r="Z977" s="78">
        <f>IFERROR(OrdersTable[[#This Row],[Profit]]/OrdersTable[[#This Row],[Net Revenue]],0)</f>
        <v>0.63927855711422843</v>
      </c>
      <c r="AA977" t="s">
        <v>2522</v>
      </c>
      <c r="AB977" s="79">
        <v>45493</v>
      </c>
      <c r="AC977">
        <f>OrdersTable[[#This Row],[Delivery Date]]-OrdersTable[[#This Row],[Order Date]]</f>
        <v>4</v>
      </c>
      <c r="AD977" t="str">
        <f>IF(OrdersTable[[#This Row],[Delivery Days]]&lt;=2, "Express (≤2d)", IF(OrdersTable[[#This Row],[Delivery Days]]&lt;=4, "Standard (3-4d)", "Delayed (5d+)"))</f>
        <v>Standard (3-4d)</v>
      </c>
      <c r="AE977">
        <v>4</v>
      </c>
      <c r="AF977">
        <v>0</v>
      </c>
    </row>
    <row r="978" spans="1:32" ht="15" x14ac:dyDescent="0.35">
      <c r="A978" t="s">
        <v>2565</v>
      </c>
      <c r="B978" s="1">
        <v>45489</v>
      </c>
      <c r="C978">
        <f>YEAR(OrdersTable[[#This Row],[Order Date]])</f>
        <v>2024</v>
      </c>
      <c r="D978" s="2">
        <f>DATE(YEAR(OrdersTable[[#This Row],[Order Date]]),MONTH(OrdersTable[[#This Row],[Order Date]]),1)</f>
        <v>45474</v>
      </c>
      <c r="E978">
        <f>MONTH(OrdersTable[[#This Row],[Order Date]])</f>
        <v>7</v>
      </c>
      <c r="F978" t="s">
        <v>405</v>
      </c>
      <c r="G978" t="str">
        <f>IF(OrdersTable[[#This Row],[Order Date]]=_xlfn.MINIFS(Order_Date, Customer_ID, OrdersTable[[#This Row],[Customer ID]]), "New", "Repeat")</f>
        <v>Repeat</v>
      </c>
      <c r="H978" t="s">
        <v>275</v>
      </c>
      <c r="I978" t="str">
        <f>INDEX(State!B:B,MATCH(OrdersTable[[#This Row],[State]],State!A:A,0))</f>
        <v>AP</v>
      </c>
      <c r="J978" t="str">
        <f>INDEX(State!C:C,MATCH(OrdersTable[[#This Row],[State Code]],State!B:B,0))</f>
        <v>South</v>
      </c>
      <c r="K978" t="s">
        <v>276</v>
      </c>
      <c r="L978" t="s">
        <v>65</v>
      </c>
      <c r="M978" t="s">
        <v>56</v>
      </c>
      <c r="N978" t="str">
        <f>INDEX(Products!B:B,MATCH(OrdersTable[[#This Row],[Product ID]],Products!A:A,0))</f>
        <v>Vitamin C Face Serum</v>
      </c>
      <c r="O978" t="str">
        <f>INDEX(Products!C:C,MATCH(OrdersTable[[#This Row],[Product ID]],Products!A:A,0))</f>
        <v>Skincare</v>
      </c>
      <c r="P978">
        <v>1</v>
      </c>
      <c r="Q978" s="5">
        <v>599</v>
      </c>
      <c r="R978" s="74">
        <v>0.2</v>
      </c>
      <c r="S978" s="75">
        <f>OrdersTable[[#This Row],[Quantity]]*OrdersTable[[#This Row],[Unit Price]]</f>
        <v>599</v>
      </c>
      <c r="T978" s="5">
        <f>OrdersTable[[#This Row],[Gross Sale]]*OrdersTable[[#This Row],[Discount_Clean2]]</f>
        <v>119.80000000000001</v>
      </c>
      <c r="U978" s="5">
        <f>OrdersTable[[#This Row],[Gross Sale]]-OrdersTable[[#This Row],[Discount Amount]]</f>
        <v>479.2</v>
      </c>
      <c r="V978" s="77">
        <f>INDEX(Products!E:E,MATCH(OrdersTable[[#This Row],[Product ID]],Products!A:A,0))</f>
        <v>180</v>
      </c>
      <c r="W978" s="77">
        <f>OrdersTable[[#This Row],[Quantity]]*OrdersTable[[#This Row],[Unit Cost]]</f>
        <v>180</v>
      </c>
      <c r="X978" s="77">
        <f>'Dropdown Lists'!$I$2*(1+OrdersTable[[#This Row],[Returned]])</f>
        <v>60</v>
      </c>
      <c r="Y978" s="76">
        <f>OrdersTable[[#This Row],[Net Revenue]]-OrdersTable[[#This Row],[COGS]]-OrdersTable[[#This Row],[Shipping Cost]]</f>
        <v>239.2</v>
      </c>
      <c r="Z978" s="78">
        <f>IFERROR(OrdersTable[[#This Row],[Profit]]/OrdersTable[[#This Row],[Net Revenue]],0)</f>
        <v>0.4991652754590985</v>
      </c>
      <c r="AA978" t="s">
        <v>2522</v>
      </c>
      <c r="AB978" s="79">
        <v>45490</v>
      </c>
      <c r="AC978">
        <f>OrdersTable[[#This Row],[Delivery Date]]-OrdersTable[[#This Row],[Order Date]]</f>
        <v>1</v>
      </c>
      <c r="AD978" t="str">
        <f>IF(OrdersTable[[#This Row],[Delivery Days]]&lt;=2, "Express (≤2d)", IF(OrdersTable[[#This Row],[Delivery Days]]&lt;=4, "Standard (3-4d)", "Delayed (5d+)"))</f>
        <v>Express (≤2d)</v>
      </c>
      <c r="AE978">
        <v>5</v>
      </c>
      <c r="AF978">
        <v>0</v>
      </c>
    </row>
    <row r="979" spans="1:32" ht="15" x14ac:dyDescent="0.35">
      <c r="A979" t="s">
        <v>5331</v>
      </c>
      <c r="B979" s="1">
        <v>45489</v>
      </c>
      <c r="C979">
        <f>YEAR(OrdersTable[[#This Row],[Order Date]])</f>
        <v>2024</v>
      </c>
      <c r="D979" s="2">
        <f>DATE(YEAR(OrdersTable[[#This Row],[Order Date]]),MONTH(OrdersTable[[#This Row],[Order Date]]),1)</f>
        <v>45474</v>
      </c>
      <c r="E979">
        <f>MONTH(OrdersTable[[#This Row],[Order Date]])</f>
        <v>7</v>
      </c>
      <c r="F979" t="s">
        <v>5332</v>
      </c>
      <c r="G979" t="str">
        <f>IF(OrdersTable[[#This Row],[Order Date]]=_xlfn.MINIFS(Order_Date, Customer_ID, OrdersTable[[#This Row],[Customer ID]]), "New", "Repeat")</f>
        <v>New</v>
      </c>
      <c r="H979" t="s">
        <v>316</v>
      </c>
      <c r="I979" t="str">
        <f>INDEX(State!B:B,MATCH(OrdersTable[[#This Row],[State]],State!A:A,0))</f>
        <v>KL</v>
      </c>
      <c r="J979" t="str">
        <f>INDEX(State!C:C,MATCH(OrdersTable[[#This Row],[State Code]],State!B:B,0))</f>
        <v>South</v>
      </c>
      <c r="K979" t="s">
        <v>317</v>
      </c>
      <c r="L979" t="s">
        <v>65</v>
      </c>
      <c r="M979" t="s">
        <v>56</v>
      </c>
      <c r="N979" t="str">
        <f>INDEX(Products!B:B,MATCH(OrdersTable[[#This Row],[Product ID]],Products!A:A,0))</f>
        <v>Vitamin C Face Serum</v>
      </c>
      <c r="O979" t="str">
        <f>INDEX(Products!C:C,MATCH(OrdersTable[[#This Row],[Product ID]],Products!A:A,0))</f>
        <v>Skincare</v>
      </c>
      <c r="P979">
        <v>2</v>
      </c>
      <c r="Q979" s="5">
        <v>599</v>
      </c>
      <c r="R979" s="74">
        <v>0.15</v>
      </c>
      <c r="S979" s="75">
        <f>OrdersTable[[#This Row],[Quantity]]*OrdersTable[[#This Row],[Unit Price]]</f>
        <v>1198</v>
      </c>
      <c r="T979" s="5">
        <f>OrdersTable[[#This Row],[Gross Sale]]*OrdersTable[[#This Row],[Discount_Clean2]]</f>
        <v>179.7</v>
      </c>
      <c r="U979" s="5">
        <f>OrdersTable[[#This Row],[Gross Sale]]-OrdersTable[[#This Row],[Discount Amount]]</f>
        <v>1018.3</v>
      </c>
      <c r="V979" s="77">
        <f>INDEX(Products!E:E,MATCH(OrdersTable[[#This Row],[Product ID]],Products!A:A,0))</f>
        <v>180</v>
      </c>
      <c r="W979" s="77">
        <f>OrdersTable[[#This Row],[Quantity]]*OrdersTable[[#This Row],[Unit Cost]]</f>
        <v>360</v>
      </c>
      <c r="X979" s="77">
        <f>'Dropdown Lists'!$I$2*(1+OrdersTable[[#This Row],[Returned]])</f>
        <v>60</v>
      </c>
      <c r="Y979" s="76">
        <f>OrdersTable[[#This Row],[Net Revenue]]-OrdersTable[[#This Row],[COGS]]-OrdersTable[[#This Row],[Shipping Cost]]</f>
        <v>598.29999999999995</v>
      </c>
      <c r="Z979" s="78">
        <f>IFERROR(OrdersTable[[#This Row],[Profit]]/OrdersTable[[#This Row],[Net Revenue]],0)</f>
        <v>0.58754787390749286</v>
      </c>
      <c r="AA979" t="s">
        <v>2522</v>
      </c>
      <c r="AB979" s="79">
        <v>45493</v>
      </c>
      <c r="AC979">
        <f>OrdersTable[[#This Row],[Delivery Date]]-OrdersTable[[#This Row],[Order Date]]</f>
        <v>4</v>
      </c>
      <c r="AD979" t="str">
        <f>IF(OrdersTable[[#This Row],[Delivery Days]]&lt;=2, "Express (≤2d)", IF(OrdersTable[[#This Row],[Delivery Days]]&lt;=4, "Standard (3-4d)", "Delayed (5d+)"))</f>
        <v>Standard (3-4d)</v>
      </c>
      <c r="AE979">
        <v>3</v>
      </c>
      <c r="AF979">
        <v>0</v>
      </c>
    </row>
    <row r="980" spans="1:32" ht="15" x14ac:dyDescent="0.35">
      <c r="A980" t="s">
        <v>3548</v>
      </c>
      <c r="B980" s="1">
        <v>45490</v>
      </c>
      <c r="C980">
        <f>YEAR(OrdersTable[[#This Row],[Order Date]])</f>
        <v>2024</v>
      </c>
      <c r="D980" s="2">
        <f>DATE(YEAR(OrdersTable[[#This Row],[Order Date]]),MONTH(OrdersTable[[#This Row],[Order Date]]),1)</f>
        <v>45474</v>
      </c>
      <c r="E980">
        <f>MONTH(OrdersTable[[#This Row],[Order Date]])</f>
        <v>7</v>
      </c>
      <c r="F980" t="s">
        <v>1608</v>
      </c>
      <c r="G980" t="str">
        <f>IF(OrdersTable[[#This Row],[Order Date]]=_xlfn.MINIFS(Order_Date, Customer_ID, OrdersTable[[#This Row],[Customer ID]]), "New", "Repeat")</f>
        <v>Repeat</v>
      </c>
      <c r="H980" t="s">
        <v>210</v>
      </c>
      <c r="I980" t="str">
        <f>INDEX(State!B:B,MATCH(OrdersTable[[#This Row],[State]],State!A:A,0))</f>
        <v>JK</v>
      </c>
      <c r="J980" t="str">
        <f>INDEX(State!C:C,MATCH(OrdersTable[[#This Row],[State Code]],State!B:B,0))</f>
        <v>North</v>
      </c>
      <c r="K980" t="s">
        <v>415</v>
      </c>
      <c r="L980" t="s">
        <v>39</v>
      </c>
      <c r="M980" t="s">
        <v>152</v>
      </c>
      <c r="N980" t="str">
        <f>INDEX(Products!B:B,MATCH(OrdersTable[[#This Row],[Product ID]],Products!A:A,0))</f>
        <v>Green Tea (100 bags)</v>
      </c>
      <c r="O980" t="str">
        <f>INDEX(Products!C:C,MATCH(OrdersTable[[#This Row],[Product ID]],Products!A:A,0))</f>
        <v>Wellness</v>
      </c>
      <c r="P980">
        <v>1</v>
      </c>
      <c r="Q980" s="5">
        <v>399</v>
      </c>
      <c r="R980" s="74">
        <v>0.4</v>
      </c>
      <c r="S980" s="75">
        <f>OrdersTable[[#This Row],[Quantity]]*OrdersTable[[#This Row],[Unit Price]]</f>
        <v>399</v>
      </c>
      <c r="T980" s="5">
        <f>OrdersTable[[#This Row],[Gross Sale]]*OrdersTable[[#This Row],[Discount_Clean2]]</f>
        <v>159.60000000000002</v>
      </c>
      <c r="U980" s="5">
        <f>OrdersTable[[#This Row],[Gross Sale]]-OrdersTable[[#This Row],[Discount Amount]]</f>
        <v>239.39999999999998</v>
      </c>
      <c r="V980" s="77">
        <f>INDEX(Products!E:E,MATCH(OrdersTable[[#This Row],[Product ID]],Products!A:A,0))</f>
        <v>128</v>
      </c>
      <c r="W980" s="77">
        <f>OrdersTable[[#This Row],[Quantity]]*OrdersTable[[#This Row],[Unit Cost]]</f>
        <v>128</v>
      </c>
      <c r="X980" s="77">
        <f>'Dropdown Lists'!$I$2*(1+OrdersTable[[#This Row],[Returned]])</f>
        <v>60</v>
      </c>
      <c r="Y980" s="76">
        <f>OrdersTable[[#This Row],[Net Revenue]]-OrdersTable[[#This Row],[COGS]]-OrdersTable[[#This Row],[Shipping Cost]]</f>
        <v>51.399999999999977</v>
      </c>
      <c r="Z980" s="78">
        <f>IFERROR(OrdersTable[[#This Row],[Profit]]/OrdersTable[[#This Row],[Net Revenue]],0)</f>
        <v>0.21470342522974095</v>
      </c>
      <c r="AA980" t="s">
        <v>3495</v>
      </c>
      <c r="AB980" s="79">
        <v>45495</v>
      </c>
      <c r="AC980">
        <f>OrdersTable[[#This Row],[Delivery Date]]-OrdersTable[[#This Row],[Order Date]]</f>
        <v>5</v>
      </c>
      <c r="AD980" t="str">
        <f>IF(OrdersTable[[#This Row],[Delivery Days]]&lt;=2, "Express (≤2d)", IF(OrdersTable[[#This Row],[Delivery Days]]&lt;=4, "Standard (3-4d)", "Delayed (5d+)"))</f>
        <v>Delayed (5d+)</v>
      </c>
      <c r="AE980">
        <v>4</v>
      </c>
      <c r="AF980">
        <v>0</v>
      </c>
    </row>
    <row r="981" spans="1:32" ht="15" x14ac:dyDescent="0.35">
      <c r="A981" t="s">
        <v>2285</v>
      </c>
      <c r="B981" s="1">
        <v>45490</v>
      </c>
      <c r="C981">
        <f>YEAR(OrdersTable[[#This Row],[Order Date]])</f>
        <v>2024</v>
      </c>
      <c r="D981" s="2">
        <f>DATE(YEAR(OrdersTable[[#This Row],[Order Date]]),MONTH(OrdersTable[[#This Row],[Order Date]]),1)</f>
        <v>45474</v>
      </c>
      <c r="E981">
        <f>MONTH(OrdersTable[[#This Row],[Order Date]])</f>
        <v>7</v>
      </c>
      <c r="F981" t="s">
        <v>451</v>
      </c>
      <c r="G981" t="str">
        <f>IF(OrdersTable[[#This Row],[Order Date]]=_xlfn.MINIFS(Order_Date, Customer_ID, OrdersTable[[#This Row],[Customer ID]]), "New", "Repeat")</f>
        <v>Repeat</v>
      </c>
      <c r="H981" t="s">
        <v>48</v>
      </c>
      <c r="I981" t="str">
        <f>INDEX(State!B:B,MATCH(OrdersTable[[#This Row],[State]],State!A:A,0))</f>
        <v>HR</v>
      </c>
      <c r="J981" t="str">
        <f>INDEX(State!C:C,MATCH(OrdersTable[[#This Row],[State Code]],State!B:B,0))</f>
        <v>North</v>
      </c>
      <c r="K981" t="s">
        <v>49</v>
      </c>
      <c r="L981" t="s">
        <v>23</v>
      </c>
      <c r="M981" t="s">
        <v>73</v>
      </c>
      <c r="N981" t="str">
        <f>INDEX(Products!B:B,MATCH(OrdersTable[[#This Row],[Product ID]],Products!A:A,0))</f>
        <v>Hydrating Face Wash</v>
      </c>
      <c r="O981" t="str">
        <f>INDEX(Products!C:C,MATCH(OrdersTable[[#This Row],[Product ID]],Products!A:A,0))</f>
        <v>Skincare</v>
      </c>
      <c r="P981">
        <v>1</v>
      </c>
      <c r="Q981" s="5">
        <v>299</v>
      </c>
      <c r="R981" s="74">
        <v>0</v>
      </c>
      <c r="S981" s="75">
        <f>OrdersTable[[#This Row],[Quantity]]*OrdersTable[[#This Row],[Unit Price]]</f>
        <v>299</v>
      </c>
      <c r="T981" s="5">
        <f>OrdersTable[[#This Row],[Gross Sale]]*OrdersTable[[#This Row],[Discount_Clean2]]</f>
        <v>0</v>
      </c>
      <c r="U981" s="5">
        <f>OrdersTable[[#This Row],[Gross Sale]]-OrdersTable[[#This Row],[Discount Amount]]</f>
        <v>299</v>
      </c>
      <c r="V981" s="77">
        <f>INDEX(Products!E:E,MATCH(OrdersTable[[#This Row],[Product ID]],Products!A:A,0))</f>
        <v>90</v>
      </c>
      <c r="W981" s="77">
        <f>OrdersTable[[#This Row],[Quantity]]*OrdersTable[[#This Row],[Unit Cost]]</f>
        <v>90</v>
      </c>
      <c r="X981" s="77">
        <f>'Dropdown Lists'!$I$2*(1+OrdersTable[[#This Row],[Returned]])</f>
        <v>60</v>
      </c>
      <c r="Y981" s="76">
        <f>OrdersTable[[#This Row],[Net Revenue]]-OrdersTable[[#This Row],[COGS]]-OrdersTable[[#This Row],[Shipping Cost]]</f>
        <v>149</v>
      </c>
      <c r="Z981" s="78">
        <f>IFERROR(OrdersTable[[#This Row],[Profit]]/OrdersTable[[#This Row],[Net Revenue]],0)</f>
        <v>0.49832775919732442</v>
      </c>
      <c r="AA981" t="s">
        <v>18</v>
      </c>
      <c r="AB981" s="79">
        <v>45491</v>
      </c>
      <c r="AC981">
        <f>OrdersTable[[#This Row],[Delivery Date]]-OrdersTable[[#This Row],[Order Date]]</f>
        <v>1</v>
      </c>
      <c r="AD981" t="str">
        <f>IF(OrdersTable[[#This Row],[Delivery Days]]&lt;=2, "Express (≤2d)", IF(OrdersTable[[#This Row],[Delivery Days]]&lt;=4, "Standard (3-4d)", "Delayed (5d+)"))</f>
        <v>Express (≤2d)</v>
      </c>
      <c r="AE981">
        <v>5</v>
      </c>
      <c r="AF981">
        <v>0</v>
      </c>
    </row>
    <row r="982" spans="1:32" ht="15" x14ac:dyDescent="0.35">
      <c r="A982" t="s">
        <v>2931</v>
      </c>
      <c r="B982" s="1">
        <v>45490</v>
      </c>
      <c r="C982">
        <f>YEAR(OrdersTable[[#This Row],[Order Date]])</f>
        <v>2024</v>
      </c>
      <c r="D982" s="2">
        <f>DATE(YEAR(OrdersTable[[#This Row],[Order Date]]),MONTH(OrdersTable[[#This Row],[Order Date]]),1)</f>
        <v>45474</v>
      </c>
      <c r="E982">
        <f>MONTH(OrdersTable[[#This Row],[Order Date]])</f>
        <v>7</v>
      </c>
      <c r="F982" t="s">
        <v>1655</v>
      </c>
      <c r="G982" t="str">
        <f>IF(OrdersTable[[#This Row],[Order Date]]=_xlfn.MINIFS(Order_Date, Customer_ID, OrdersTable[[#This Row],[Customer ID]]), "New", "Repeat")</f>
        <v>Repeat</v>
      </c>
      <c r="H982" t="s">
        <v>48</v>
      </c>
      <c r="I982" t="str">
        <f>INDEX(State!B:B,MATCH(OrdersTable[[#This Row],[State]],State!A:A,0))</f>
        <v>HR</v>
      </c>
      <c r="J982" t="str">
        <f>INDEX(State!C:C,MATCH(OrdersTable[[#This Row],[State Code]],State!B:B,0))</f>
        <v>North</v>
      </c>
      <c r="K982" t="s">
        <v>49</v>
      </c>
      <c r="L982" t="s">
        <v>23</v>
      </c>
      <c r="M982" t="s">
        <v>84</v>
      </c>
      <c r="N982" t="str">
        <f>INDEX(Products!B:B,MATCH(OrdersTable[[#This Row],[Product ID]],Products!A:A,0))</f>
        <v>Cotton Bedsheet</v>
      </c>
      <c r="O982" t="str">
        <f>INDEX(Products!C:C,MATCH(OrdersTable[[#This Row],[Product ID]],Products!A:A,0))</f>
        <v>Home &amp; Kitchen</v>
      </c>
      <c r="P982">
        <v>1</v>
      </c>
      <c r="Q982" s="5">
        <v>1299</v>
      </c>
      <c r="R982" s="74">
        <v>0.1</v>
      </c>
      <c r="S982" s="75">
        <f>OrdersTable[[#This Row],[Quantity]]*OrdersTable[[#This Row],[Unit Price]]</f>
        <v>1299</v>
      </c>
      <c r="T982" s="5">
        <f>OrdersTable[[#This Row],[Gross Sale]]*OrdersTable[[#This Row],[Discount_Clean2]]</f>
        <v>129.9</v>
      </c>
      <c r="U982" s="5">
        <f>OrdersTable[[#This Row],[Gross Sale]]-OrdersTable[[#This Row],[Discount Amount]]</f>
        <v>1169.0999999999999</v>
      </c>
      <c r="V982" s="77">
        <f>INDEX(Products!E:E,MATCH(OrdersTable[[#This Row],[Product ID]],Products!A:A,0))</f>
        <v>585</v>
      </c>
      <c r="W982" s="77">
        <f>OrdersTable[[#This Row],[Quantity]]*OrdersTable[[#This Row],[Unit Cost]]</f>
        <v>585</v>
      </c>
      <c r="X982" s="77">
        <f>'Dropdown Lists'!$I$2*(1+OrdersTable[[#This Row],[Returned]])</f>
        <v>60</v>
      </c>
      <c r="Y982" s="76">
        <f>OrdersTable[[#This Row],[Net Revenue]]-OrdersTable[[#This Row],[COGS]]-OrdersTable[[#This Row],[Shipping Cost]]</f>
        <v>524.09999999999991</v>
      </c>
      <c r="Z982" s="78">
        <f>IFERROR(OrdersTable[[#This Row],[Profit]]/OrdersTable[[#This Row],[Net Revenue]],0)</f>
        <v>0.44829355914806257</v>
      </c>
      <c r="AA982" t="s">
        <v>2522</v>
      </c>
      <c r="AB982" s="79">
        <v>45495</v>
      </c>
      <c r="AC982">
        <f>OrdersTable[[#This Row],[Delivery Date]]-OrdersTable[[#This Row],[Order Date]]</f>
        <v>5</v>
      </c>
      <c r="AD982" t="str">
        <f>IF(OrdersTable[[#This Row],[Delivery Days]]&lt;=2, "Express (≤2d)", IF(OrdersTable[[#This Row],[Delivery Days]]&lt;=4, "Standard (3-4d)", "Delayed (5d+)"))</f>
        <v>Delayed (5d+)</v>
      </c>
      <c r="AF982">
        <v>0</v>
      </c>
    </row>
    <row r="983" spans="1:32" ht="15" x14ac:dyDescent="0.35">
      <c r="A983" t="s">
        <v>4781</v>
      </c>
      <c r="B983" s="1">
        <v>45490</v>
      </c>
      <c r="C983">
        <f>YEAR(OrdersTable[[#This Row],[Order Date]])</f>
        <v>2024</v>
      </c>
      <c r="D983" s="2">
        <f>DATE(YEAR(OrdersTable[[#This Row],[Order Date]]),MONTH(OrdersTable[[#This Row],[Order Date]]),1)</f>
        <v>45474</v>
      </c>
      <c r="E983">
        <f>MONTH(OrdersTable[[#This Row],[Order Date]])</f>
        <v>7</v>
      </c>
      <c r="F983" t="s">
        <v>3437</v>
      </c>
      <c r="G983" t="str">
        <f>IF(OrdersTable[[#This Row],[Order Date]]=_xlfn.MINIFS(Order_Date, Customer_ID, OrdersTable[[#This Row],[Customer ID]]), "New", "Repeat")</f>
        <v>New</v>
      </c>
      <c r="H983" t="s">
        <v>37</v>
      </c>
      <c r="I983" t="str">
        <f>INDEX(State!B:B,MATCH(OrdersTable[[#This Row],[State]],State!A:A,0))</f>
        <v>GJ</v>
      </c>
      <c r="J983" t="str">
        <f>INDEX(State!C:C,MATCH(OrdersTable[[#This Row],[State Code]],State!B:B,0))</f>
        <v>West</v>
      </c>
      <c r="K983" t="s">
        <v>247</v>
      </c>
      <c r="L983" t="s">
        <v>16</v>
      </c>
      <c r="M983" t="s">
        <v>205</v>
      </c>
      <c r="N983" t="str">
        <f>INDEX(Products!B:B,MATCH(OrdersTable[[#This Row],[Product ID]],Products!A:A,0))</f>
        <v>Running Shoes</v>
      </c>
      <c r="O983" t="str">
        <f>INDEX(Products!C:C,MATCH(OrdersTable[[#This Row],[Product ID]],Products!A:A,0))</f>
        <v>Footwear</v>
      </c>
      <c r="P983">
        <v>2</v>
      </c>
      <c r="Q983" s="5">
        <v>2999</v>
      </c>
      <c r="R983" s="74">
        <v>0.3</v>
      </c>
      <c r="S983" s="75">
        <f>OrdersTable[[#This Row],[Quantity]]*OrdersTable[[#This Row],[Unit Price]]</f>
        <v>5998</v>
      </c>
      <c r="T983" s="5">
        <f>OrdersTable[[#This Row],[Gross Sale]]*OrdersTable[[#This Row],[Discount_Clean2]]</f>
        <v>1799.3999999999999</v>
      </c>
      <c r="U983" s="5">
        <f>OrdersTable[[#This Row],[Gross Sale]]-OrdersTable[[#This Row],[Discount Amount]]</f>
        <v>4198.6000000000004</v>
      </c>
      <c r="V983" s="77">
        <f>INDEX(Products!E:E,MATCH(OrdersTable[[#This Row],[Product ID]],Products!A:A,0))</f>
        <v>1440</v>
      </c>
      <c r="W983" s="77">
        <f>OrdersTable[[#This Row],[Quantity]]*OrdersTable[[#This Row],[Unit Cost]]</f>
        <v>2880</v>
      </c>
      <c r="X983" s="77">
        <f>'Dropdown Lists'!$I$2*(1+OrdersTable[[#This Row],[Returned]])</f>
        <v>60</v>
      </c>
      <c r="Y983" s="76">
        <f>OrdersTable[[#This Row],[Net Revenue]]-OrdersTable[[#This Row],[COGS]]-OrdersTable[[#This Row],[Shipping Cost]]</f>
        <v>1258.6000000000004</v>
      </c>
      <c r="Z983" s="78">
        <f>IFERROR(OrdersTable[[#This Row],[Profit]]/OrdersTable[[#This Row],[Net Revenue]],0)</f>
        <v>0.29976658886295438</v>
      </c>
      <c r="AA983" t="s">
        <v>4450</v>
      </c>
      <c r="AB983" s="79">
        <v>45494</v>
      </c>
      <c r="AC983">
        <f>OrdersTable[[#This Row],[Delivery Date]]-OrdersTable[[#This Row],[Order Date]]</f>
        <v>4</v>
      </c>
      <c r="AD983" t="str">
        <f>IF(OrdersTable[[#This Row],[Delivery Days]]&lt;=2, "Express (≤2d)", IF(OrdersTable[[#This Row],[Delivery Days]]&lt;=4, "Standard (3-4d)", "Delayed (5d+)"))</f>
        <v>Standard (3-4d)</v>
      </c>
      <c r="AE983">
        <v>4</v>
      </c>
      <c r="AF983">
        <v>0</v>
      </c>
    </row>
    <row r="984" spans="1:32" ht="15" x14ac:dyDescent="0.35">
      <c r="A984" t="s">
        <v>6679</v>
      </c>
      <c r="B984" s="1">
        <v>45490</v>
      </c>
      <c r="C984">
        <f>YEAR(OrdersTable[[#This Row],[Order Date]])</f>
        <v>2024</v>
      </c>
      <c r="D984" s="2">
        <f>DATE(YEAR(OrdersTable[[#This Row],[Order Date]]),MONTH(OrdersTable[[#This Row],[Order Date]]),1)</f>
        <v>45474</v>
      </c>
      <c r="E984">
        <f>MONTH(OrdersTable[[#This Row],[Order Date]])</f>
        <v>7</v>
      </c>
      <c r="F984" t="s">
        <v>6680</v>
      </c>
      <c r="G984" t="str">
        <f>IF(OrdersTable[[#This Row],[Order Date]]=_xlfn.MINIFS(Order_Date, Customer_ID, OrdersTable[[#This Row],[Customer ID]]), "New", "Repeat")</f>
        <v>New</v>
      </c>
      <c r="H984" t="s">
        <v>71</v>
      </c>
      <c r="I984" t="str">
        <f>INDEX(State!B:B,MATCH(OrdersTable[[#This Row],[State]],State!A:A,0))</f>
        <v>MH</v>
      </c>
      <c r="J984" t="str">
        <f>INDEX(State!C:C,MATCH(OrdersTable[[#This Row],[State Code]],State!B:B,0))</f>
        <v>West</v>
      </c>
      <c r="K984" t="s">
        <v>81</v>
      </c>
      <c r="L984" t="s">
        <v>65</v>
      </c>
      <c r="M984" t="s">
        <v>45</v>
      </c>
      <c r="N984" t="str">
        <f>INDEX(Products!B:B,MATCH(OrdersTable[[#This Row],[Product ID]],Products!A:A,0))</f>
        <v>Argan Shampoo</v>
      </c>
      <c r="O984" t="str">
        <f>INDEX(Products!C:C,MATCH(OrdersTable[[#This Row],[Product ID]],Products!A:A,0))</f>
        <v>Haircare</v>
      </c>
      <c r="P984">
        <v>3</v>
      </c>
      <c r="Q984" s="5">
        <v>449</v>
      </c>
      <c r="R984" s="74">
        <v>0.15</v>
      </c>
      <c r="S984" s="75">
        <f>OrdersTable[[#This Row],[Quantity]]*OrdersTable[[#This Row],[Unit Price]]</f>
        <v>1347</v>
      </c>
      <c r="T984" s="5">
        <f>OrdersTable[[#This Row],[Gross Sale]]*OrdersTable[[#This Row],[Discount_Clean2]]</f>
        <v>202.04999999999998</v>
      </c>
      <c r="U984" s="5">
        <f>OrdersTable[[#This Row],[Gross Sale]]-OrdersTable[[#This Row],[Discount Amount]]</f>
        <v>1144.95</v>
      </c>
      <c r="V984" s="77">
        <f>INDEX(Products!E:E,MATCH(OrdersTable[[#This Row],[Product ID]],Products!A:A,0))</f>
        <v>148</v>
      </c>
      <c r="W984" s="77">
        <f>OrdersTable[[#This Row],[Quantity]]*OrdersTable[[#This Row],[Unit Cost]]</f>
        <v>444</v>
      </c>
      <c r="X984" s="77">
        <f>'Dropdown Lists'!$I$2*(1+OrdersTable[[#This Row],[Returned]])</f>
        <v>60</v>
      </c>
      <c r="Y984" s="76">
        <f>OrdersTable[[#This Row],[Net Revenue]]-OrdersTable[[#This Row],[COGS]]-OrdersTable[[#This Row],[Shipping Cost]]</f>
        <v>640.95000000000005</v>
      </c>
      <c r="Z984" s="78">
        <f>IFERROR(OrdersTable[[#This Row],[Profit]]/OrdersTable[[#This Row],[Net Revenue]],0)</f>
        <v>0.55980610507009043</v>
      </c>
      <c r="AA984" t="s">
        <v>2522</v>
      </c>
      <c r="AB984" s="79">
        <v>45494</v>
      </c>
      <c r="AC984">
        <f>OrdersTable[[#This Row],[Delivery Date]]-OrdersTable[[#This Row],[Order Date]]</f>
        <v>4</v>
      </c>
      <c r="AD984" t="str">
        <f>IF(OrdersTable[[#This Row],[Delivery Days]]&lt;=2, "Express (≤2d)", IF(OrdersTable[[#This Row],[Delivery Days]]&lt;=4, "Standard (3-4d)", "Delayed (5d+)"))</f>
        <v>Standard (3-4d)</v>
      </c>
      <c r="AF984">
        <v>0</v>
      </c>
    </row>
    <row r="985" spans="1:32" ht="15" x14ac:dyDescent="0.35">
      <c r="A985" t="s">
        <v>4473</v>
      </c>
      <c r="B985" s="1">
        <v>45490</v>
      </c>
      <c r="C985">
        <f>YEAR(OrdersTable[[#This Row],[Order Date]])</f>
        <v>2024</v>
      </c>
      <c r="D985" s="2">
        <f>DATE(YEAR(OrdersTable[[#This Row],[Order Date]]),MONTH(OrdersTable[[#This Row],[Order Date]]),1)</f>
        <v>45474</v>
      </c>
      <c r="E985">
        <f>MONTH(OrdersTable[[#This Row],[Order Date]])</f>
        <v>7</v>
      </c>
      <c r="F985" t="s">
        <v>3901</v>
      </c>
      <c r="G985" t="str">
        <f>IF(OrdersTable[[#This Row],[Order Date]]=_xlfn.MINIFS(Order_Date, Customer_ID, OrdersTable[[#This Row],[Customer ID]]), "New", "Repeat")</f>
        <v>New</v>
      </c>
      <c r="H985" t="s">
        <v>95</v>
      </c>
      <c r="I985" t="str">
        <f>INDEX(State!B:B,MATCH(OrdersTable[[#This Row],[State]],State!A:A,0))</f>
        <v>TG</v>
      </c>
      <c r="J985" t="str">
        <f>INDEX(State!C:C,MATCH(OrdersTable[[#This Row],[State Code]],State!B:B,0))</f>
        <v>South</v>
      </c>
      <c r="K985" t="s">
        <v>96</v>
      </c>
      <c r="L985" t="s">
        <v>39</v>
      </c>
      <c r="M985" t="s">
        <v>66</v>
      </c>
      <c r="N985" t="str">
        <f>INDEX(Products!B:B,MATCH(OrdersTable[[#This Row],[Product ID]],Products!A:A,0))</f>
        <v>Sunscreen SPF 50</v>
      </c>
      <c r="O985" t="str">
        <f>INDEX(Products!C:C,MATCH(OrdersTable[[#This Row],[Product ID]],Products!A:A,0))</f>
        <v>Skincare</v>
      </c>
      <c r="P985">
        <v>1</v>
      </c>
      <c r="Q985" s="5">
        <v>449</v>
      </c>
      <c r="R985" s="74">
        <v>0</v>
      </c>
      <c r="S985" s="75">
        <f>OrdersTable[[#This Row],[Quantity]]*OrdersTable[[#This Row],[Unit Price]]</f>
        <v>449</v>
      </c>
      <c r="T985" s="5">
        <f>OrdersTable[[#This Row],[Gross Sale]]*OrdersTable[[#This Row],[Discount_Clean2]]</f>
        <v>0</v>
      </c>
      <c r="U985" s="5">
        <f>OrdersTable[[#This Row],[Gross Sale]]-OrdersTable[[#This Row],[Discount Amount]]</f>
        <v>449</v>
      </c>
      <c r="V985" s="77">
        <f>INDEX(Products!E:E,MATCH(OrdersTable[[#This Row],[Product ID]],Products!A:A,0))</f>
        <v>144</v>
      </c>
      <c r="W985" s="77">
        <f>OrdersTable[[#This Row],[Quantity]]*OrdersTable[[#This Row],[Unit Cost]]</f>
        <v>144</v>
      </c>
      <c r="X985" s="77">
        <f>'Dropdown Lists'!$I$2*(1+OrdersTable[[#This Row],[Returned]])</f>
        <v>60</v>
      </c>
      <c r="Y985" s="76">
        <f>OrdersTable[[#This Row],[Net Revenue]]-OrdersTable[[#This Row],[COGS]]-OrdersTable[[#This Row],[Shipping Cost]]</f>
        <v>245</v>
      </c>
      <c r="Z985" s="78">
        <f>IFERROR(OrdersTable[[#This Row],[Profit]]/OrdersTable[[#This Row],[Net Revenue]],0)</f>
        <v>0.54565701559020041</v>
      </c>
      <c r="AA985" t="s">
        <v>4450</v>
      </c>
      <c r="AB985" s="79">
        <v>45492</v>
      </c>
      <c r="AC985">
        <f>OrdersTable[[#This Row],[Delivery Date]]-OrdersTable[[#This Row],[Order Date]]</f>
        <v>2</v>
      </c>
      <c r="AD985" t="str">
        <f>IF(OrdersTable[[#This Row],[Delivery Days]]&lt;=2, "Express (≤2d)", IF(OrdersTable[[#This Row],[Delivery Days]]&lt;=4, "Standard (3-4d)", "Delayed (5d+)"))</f>
        <v>Express (≤2d)</v>
      </c>
      <c r="AE985">
        <v>4</v>
      </c>
      <c r="AF985">
        <v>0</v>
      </c>
    </row>
    <row r="986" spans="1:32" ht="15" x14ac:dyDescent="0.35">
      <c r="A986" t="s">
        <v>7062</v>
      </c>
      <c r="B986" s="1">
        <v>45490</v>
      </c>
      <c r="C986">
        <f>YEAR(OrdersTable[[#This Row],[Order Date]])</f>
        <v>2024</v>
      </c>
      <c r="D986" s="2">
        <f>DATE(YEAR(OrdersTable[[#This Row],[Order Date]]),MONTH(OrdersTable[[#This Row],[Order Date]]),1)</f>
        <v>45474</v>
      </c>
      <c r="E986">
        <f>MONTH(OrdersTable[[#This Row],[Order Date]])</f>
        <v>7</v>
      </c>
      <c r="F986" t="s">
        <v>5587</v>
      </c>
      <c r="G986" t="str">
        <f>IF(OrdersTable[[#This Row],[Order Date]]=_xlfn.MINIFS(Order_Date, Customer_ID, OrdersTable[[#This Row],[Customer ID]]), "New", "Repeat")</f>
        <v>New</v>
      </c>
      <c r="H986" t="s">
        <v>14</v>
      </c>
      <c r="I986" t="str">
        <f>INDEX(State!B:B,MATCH(OrdersTable[[#This Row],[State]],State!A:A,0))</f>
        <v>OD</v>
      </c>
      <c r="J986" t="str">
        <f>INDEX(State!C:C,MATCH(OrdersTable[[#This Row],[State Code]],State!B:B,0))</f>
        <v>East</v>
      </c>
      <c r="K986" t="s">
        <v>15</v>
      </c>
      <c r="L986" t="s">
        <v>16</v>
      </c>
      <c r="M986" t="s">
        <v>87</v>
      </c>
      <c r="N986" t="str">
        <f>INDEX(Products!B:B,MATCH(OrdersTable[[#This Row],[Product ID]],Products!A:A,0))</f>
        <v>Linen Kurta</v>
      </c>
      <c r="O986" t="str">
        <f>INDEX(Products!C:C,MATCH(OrdersTable[[#This Row],[Product ID]],Products!A:A,0))</f>
        <v>Apparel</v>
      </c>
      <c r="P986">
        <v>4</v>
      </c>
      <c r="Q986" s="5">
        <v>1499</v>
      </c>
      <c r="R986" s="74">
        <v>0.4</v>
      </c>
      <c r="S986" s="75">
        <f>OrdersTable[[#This Row],[Quantity]]*OrdersTable[[#This Row],[Unit Price]]</f>
        <v>5996</v>
      </c>
      <c r="T986" s="5">
        <f>OrdersTable[[#This Row],[Gross Sale]]*OrdersTable[[#This Row],[Discount_Clean2]]</f>
        <v>2398.4</v>
      </c>
      <c r="U986" s="5">
        <f>OrdersTable[[#This Row],[Gross Sale]]-OrdersTable[[#This Row],[Discount Amount]]</f>
        <v>3597.6</v>
      </c>
      <c r="V986" s="77">
        <f>INDEX(Products!E:E,MATCH(OrdersTable[[#This Row],[Product ID]],Products!A:A,0))</f>
        <v>630</v>
      </c>
      <c r="W986" s="77">
        <f>OrdersTable[[#This Row],[Quantity]]*OrdersTable[[#This Row],[Unit Cost]]</f>
        <v>2520</v>
      </c>
      <c r="X986" s="77">
        <f>'Dropdown Lists'!$I$2*(1+OrdersTable[[#This Row],[Returned]])</f>
        <v>60</v>
      </c>
      <c r="Y986" s="76">
        <f>OrdersTable[[#This Row],[Net Revenue]]-OrdersTable[[#This Row],[COGS]]-OrdersTable[[#This Row],[Shipping Cost]]</f>
        <v>1017.5999999999999</v>
      </c>
      <c r="Z986" s="78">
        <f>IFERROR(OrdersTable[[#This Row],[Profit]]/OrdersTable[[#This Row],[Net Revenue]],0)</f>
        <v>0.28285523682454966</v>
      </c>
      <c r="AA986" t="s">
        <v>18</v>
      </c>
      <c r="AB986" s="79">
        <v>45494</v>
      </c>
      <c r="AC986">
        <f>OrdersTable[[#This Row],[Delivery Date]]-OrdersTable[[#This Row],[Order Date]]</f>
        <v>4</v>
      </c>
      <c r="AD986" t="str">
        <f>IF(OrdersTable[[#This Row],[Delivery Days]]&lt;=2, "Express (≤2d)", IF(OrdersTable[[#This Row],[Delivery Days]]&lt;=4, "Standard (3-4d)", "Delayed (5d+)"))</f>
        <v>Standard (3-4d)</v>
      </c>
      <c r="AE986">
        <v>3</v>
      </c>
      <c r="AF986">
        <v>0</v>
      </c>
    </row>
    <row r="987" spans="1:32" ht="15" x14ac:dyDescent="0.35">
      <c r="A987" t="s">
        <v>6290</v>
      </c>
      <c r="B987" s="1">
        <v>45490</v>
      </c>
      <c r="C987">
        <f>YEAR(OrdersTable[[#This Row],[Order Date]])</f>
        <v>2024</v>
      </c>
      <c r="D987" s="2">
        <f>DATE(YEAR(OrdersTable[[#This Row],[Order Date]]),MONTH(OrdersTable[[#This Row],[Order Date]]),1)</f>
        <v>45474</v>
      </c>
      <c r="E987">
        <f>MONTH(OrdersTable[[#This Row],[Order Date]])</f>
        <v>7</v>
      </c>
      <c r="F987" t="s">
        <v>1729</v>
      </c>
      <c r="G987" t="str">
        <f>IF(OrdersTable[[#This Row],[Order Date]]=_xlfn.MINIFS(Order_Date, Customer_ID, OrdersTable[[#This Row],[Customer ID]]), "New", "Repeat")</f>
        <v>New</v>
      </c>
      <c r="H987" t="s">
        <v>14</v>
      </c>
      <c r="I987" t="str">
        <f>INDEX(State!B:B,MATCH(OrdersTable[[#This Row],[State]],State!A:A,0))</f>
        <v>OD</v>
      </c>
      <c r="J987" t="str">
        <f>INDEX(State!C:C,MATCH(OrdersTable[[#This Row],[State Code]],State!B:B,0))</f>
        <v>East</v>
      </c>
      <c r="K987" t="s">
        <v>15</v>
      </c>
      <c r="L987" t="s">
        <v>50</v>
      </c>
      <c r="M987" t="s">
        <v>51</v>
      </c>
      <c r="N987" t="str">
        <f>INDEX(Products!B:B,MATCH(OrdersTable[[#This Row],[Product ID]],Products!A:A,0))</f>
        <v>Anti-Dandruff Conditioner</v>
      </c>
      <c r="O987" t="str">
        <f>INDEX(Products!C:C,MATCH(OrdersTable[[#This Row],[Product ID]],Products!A:A,0))</f>
        <v>Haircare</v>
      </c>
      <c r="P987">
        <v>2</v>
      </c>
      <c r="Q987" s="5">
        <v>399</v>
      </c>
      <c r="R987" s="74">
        <v>0.35</v>
      </c>
      <c r="S987" s="75">
        <f>OrdersTable[[#This Row],[Quantity]]*OrdersTable[[#This Row],[Unit Price]]</f>
        <v>798</v>
      </c>
      <c r="T987" s="5">
        <f>OrdersTable[[#This Row],[Gross Sale]]*OrdersTable[[#This Row],[Discount_Clean2]]</f>
        <v>279.29999999999995</v>
      </c>
      <c r="U987" s="5">
        <f>OrdersTable[[#This Row],[Gross Sale]]-OrdersTable[[#This Row],[Discount Amount]]</f>
        <v>518.70000000000005</v>
      </c>
      <c r="V987" s="77">
        <f>INDEX(Products!E:E,MATCH(OrdersTable[[#This Row],[Product ID]],Products!A:A,0))</f>
        <v>136</v>
      </c>
      <c r="W987" s="77">
        <f>OrdersTable[[#This Row],[Quantity]]*OrdersTable[[#This Row],[Unit Cost]]</f>
        <v>272</v>
      </c>
      <c r="X987" s="77">
        <f>'Dropdown Lists'!$I$2*(1+OrdersTable[[#This Row],[Returned]])</f>
        <v>60</v>
      </c>
      <c r="Y987" s="76">
        <f>OrdersTable[[#This Row],[Net Revenue]]-OrdersTable[[#This Row],[COGS]]-OrdersTable[[#This Row],[Shipping Cost]]</f>
        <v>186.70000000000005</v>
      </c>
      <c r="Z987" s="78">
        <f>IFERROR(OrdersTable[[#This Row],[Profit]]/OrdersTable[[#This Row],[Net Revenue]],0)</f>
        <v>0.35993830730672843</v>
      </c>
      <c r="AA987" t="s">
        <v>18</v>
      </c>
      <c r="AB987" s="79">
        <v>45493</v>
      </c>
      <c r="AC987">
        <f>OrdersTable[[#This Row],[Delivery Date]]-OrdersTable[[#This Row],[Order Date]]</f>
        <v>3</v>
      </c>
      <c r="AD987" t="str">
        <f>IF(OrdersTable[[#This Row],[Delivery Days]]&lt;=2, "Express (≤2d)", IF(OrdersTable[[#This Row],[Delivery Days]]&lt;=4, "Standard (3-4d)", "Delayed (5d+)"))</f>
        <v>Standard (3-4d)</v>
      </c>
      <c r="AE987">
        <v>3</v>
      </c>
      <c r="AF987">
        <v>0</v>
      </c>
    </row>
    <row r="988" spans="1:32" ht="15" x14ac:dyDescent="0.35">
      <c r="A988" t="s">
        <v>4916</v>
      </c>
      <c r="B988" s="1">
        <v>45490</v>
      </c>
      <c r="C988">
        <f>YEAR(OrdersTable[[#This Row],[Order Date]])</f>
        <v>2024</v>
      </c>
      <c r="D988" s="2">
        <f>DATE(YEAR(OrdersTable[[#This Row],[Order Date]]),MONTH(OrdersTable[[#This Row],[Order Date]]),1)</f>
        <v>45474</v>
      </c>
      <c r="E988">
        <f>MONTH(OrdersTable[[#This Row],[Order Date]])</f>
        <v>7</v>
      </c>
      <c r="F988" t="s">
        <v>3537</v>
      </c>
      <c r="G988" t="str">
        <f>IF(OrdersTable[[#This Row],[Order Date]]=_xlfn.MINIFS(Order_Date, Customer_ID, OrdersTable[[#This Row],[Customer ID]]), "New", "Repeat")</f>
        <v>Repeat</v>
      </c>
      <c r="H988" t="s">
        <v>167</v>
      </c>
      <c r="I988" t="str">
        <f>INDEX(State!B:B,MATCH(OrdersTable[[#This Row],[State]],State!A:A,0))</f>
        <v>KA</v>
      </c>
      <c r="J988" t="str">
        <f>INDEX(State!C:C,MATCH(OrdersTable[[#This Row],[State Code]],State!B:B,0))</f>
        <v>South</v>
      </c>
      <c r="K988" t="s">
        <v>168</v>
      </c>
      <c r="L988" t="s">
        <v>16</v>
      </c>
      <c r="M988" t="s">
        <v>34</v>
      </c>
      <c r="N988" t="str">
        <f>INDEX(Products!B:B,MATCH(OrdersTable[[#This Row],[Product ID]],Products!A:A,0))</f>
        <v>Flip Flops</v>
      </c>
      <c r="O988" t="str">
        <f>INDEX(Products!C:C,MATCH(OrdersTable[[#This Row],[Product ID]],Products!A:A,0))</f>
        <v>Footwear</v>
      </c>
      <c r="P988">
        <v>2</v>
      </c>
      <c r="Q988" s="5">
        <v>399</v>
      </c>
      <c r="R988" s="74">
        <v>0.1</v>
      </c>
      <c r="S988" s="75">
        <f>OrdersTable[[#This Row],[Quantity]]*OrdersTable[[#This Row],[Unit Price]]</f>
        <v>798</v>
      </c>
      <c r="T988" s="5">
        <f>OrdersTable[[#This Row],[Gross Sale]]*OrdersTable[[#This Row],[Discount_Clean2]]</f>
        <v>79.800000000000011</v>
      </c>
      <c r="U988" s="5">
        <f>OrdersTable[[#This Row],[Gross Sale]]-OrdersTable[[#This Row],[Discount Amount]]</f>
        <v>718.2</v>
      </c>
      <c r="V988" s="77">
        <f>INDEX(Products!E:E,MATCH(OrdersTable[[#This Row],[Product ID]],Products!A:A,0))</f>
        <v>152</v>
      </c>
      <c r="W988" s="77">
        <f>OrdersTable[[#This Row],[Quantity]]*OrdersTable[[#This Row],[Unit Cost]]</f>
        <v>304</v>
      </c>
      <c r="X988" s="77">
        <f>'Dropdown Lists'!$I$2*(1+OrdersTable[[#This Row],[Returned]])</f>
        <v>60</v>
      </c>
      <c r="Y988" s="76">
        <f>OrdersTable[[#This Row],[Net Revenue]]-OrdersTable[[#This Row],[COGS]]-OrdersTable[[#This Row],[Shipping Cost]]</f>
        <v>354.20000000000005</v>
      </c>
      <c r="Z988" s="78">
        <f>IFERROR(OrdersTable[[#This Row],[Profit]]/OrdersTable[[#This Row],[Net Revenue]],0)</f>
        <v>0.49317738791423005</v>
      </c>
      <c r="AA988" t="s">
        <v>4074</v>
      </c>
      <c r="AB988" s="79">
        <v>45493</v>
      </c>
      <c r="AC988">
        <f>OrdersTable[[#This Row],[Delivery Date]]-OrdersTable[[#This Row],[Order Date]]</f>
        <v>3</v>
      </c>
      <c r="AD988" t="str">
        <f>IF(OrdersTable[[#This Row],[Delivery Days]]&lt;=2, "Express (≤2d)", IF(OrdersTable[[#This Row],[Delivery Days]]&lt;=4, "Standard (3-4d)", "Delayed (5d+)"))</f>
        <v>Standard (3-4d)</v>
      </c>
      <c r="AF988">
        <v>0</v>
      </c>
    </row>
    <row r="989" spans="1:32" ht="15" x14ac:dyDescent="0.35">
      <c r="A989" t="s">
        <v>5768</v>
      </c>
      <c r="B989" s="1">
        <v>45490</v>
      </c>
      <c r="C989">
        <f>YEAR(OrdersTable[[#This Row],[Order Date]])</f>
        <v>2024</v>
      </c>
      <c r="D989" s="2">
        <f>DATE(YEAR(OrdersTable[[#This Row],[Order Date]]),MONTH(OrdersTable[[#This Row],[Order Date]]),1)</f>
        <v>45474</v>
      </c>
      <c r="E989">
        <f>MONTH(OrdersTable[[#This Row],[Order Date]])</f>
        <v>7</v>
      </c>
      <c r="F989" t="s">
        <v>297</v>
      </c>
      <c r="G989" t="str">
        <f>IF(OrdersTable[[#This Row],[Order Date]]=_xlfn.MINIFS(Order_Date, Customer_ID, OrdersTable[[#This Row],[Customer ID]]), "New", "Repeat")</f>
        <v>New</v>
      </c>
      <c r="H989" t="s">
        <v>316</v>
      </c>
      <c r="I989" t="str">
        <f>INDEX(State!B:B,MATCH(OrdersTable[[#This Row],[State]],State!A:A,0))</f>
        <v>KL</v>
      </c>
      <c r="J989" t="str">
        <f>INDEX(State!C:C,MATCH(OrdersTable[[#This Row],[State Code]],State!B:B,0))</f>
        <v>South</v>
      </c>
      <c r="K989" t="s">
        <v>338</v>
      </c>
      <c r="L989" t="s">
        <v>65</v>
      </c>
      <c r="M989" t="s">
        <v>73</v>
      </c>
      <c r="N989" t="str">
        <f>INDEX(Products!B:B,MATCH(OrdersTable[[#This Row],[Product ID]],Products!A:A,0))</f>
        <v>Hydrating Face Wash</v>
      </c>
      <c r="O989" t="str">
        <f>INDEX(Products!C:C,MATCH(OrdersTable[[#This Row],[Product ID]],Products!A:A,0))</f>
        <v>Skincare</v>
      </c>
      <c r="P989">
        <v>2</v>
      </c>
      <c r="Q989" s="5">
        <v>299</v>
      </c>
      <c r="R989" s="74">
        <v>0</v>
      </c>
      <c r="S989" s="75">
        <f>OrdersTable[[#This Row],[Quantity]]*OrdersTable[[#This Row],[Unit Price]]</f>
        <v>598</v>
      </c>
      <c r="T989" s="5">
        <f>OrdersTable[[#This Row],[Gross Sale]]*OrdersTable[[#This Row],[Discount_Clean2]]</f>
        <v>0</v>
      </c>
      <c r="U989" s="5">
        <f>OrdersTable[[#This Row],[Gross Sale]]-OrdersTable[[#This Row],[Discount Amount]]</f>
        <v>598</v>
      </c>
      <c r="V989" s="77">
        <f>INDEX(Products!E:E,MATCH(OrdersTable[[#This Row],[Product ID]],Products!A:A,0))</f>
        <v>90</v>
      </c>
      <c r="W989" s="77">
        <f>OrdersTable[[#This Row],[Quantity]]*OrdersTable[[#This Row],[Unit Cost]]</f>
        <v>180</v>
      </c>
      <c r="X989" s="77">
        <f>'Dropdown Lists'!$I$2*(1+OrdersTable[[#This Row],[Returned]])</f>
        <v>60</v>
      </c>
      <c r="Y989" s="76">
        <f>OrdersTable[[#This Row],[Net Revenue]]-OrdersTable[[#This Row],[COGS]]-OrdersTable[[#This Row],[Shipping Cost]]</f>
        <v>358</v>
      </c>
      <c r="Z989" s="78">
        <f>IFERROR(OrdersTable[[#This Row],[Profit]]/OrdersTable[[#This Row],[Net Revenue]],0)</f>
        <v>0.59866220735785958</v>
      </c>
      <c r="AA989" t="s">
        <v>18</v>
      </c>
      <c r="AB989" s="79">
        <v>45493</v>
      </c>
      <c r="AC989">
        <f>OrdersTable[[#This Row],[Delivery Date]]-OrdersTable[[#This Row],[Order Date]]</f>
        <v>3</v>
      </c>
      <c r="AD989" t="str">
        <f>IF(OrdersTable[[#This Row],[Delivery Days]]&lt;=2, "Express (≤2d)", IF(OrdersTable[[#This Row],[Delivery Days]]&lt;=4, "Standard (3-4d)", "Delayed (5d+)"))</f>
        <v>Standard (3-4d)</v>
      </c>
      <c r="AE989">
        <v>5</v>
      </c>
      <c r="AF989">
        <v>0</v>
      </c>
    </row>
    <row r="990" spans="1:32" ht="15" x14ac:dyDescent="0.35">
      <c r="A990" t="s">
        <v>3549</v>
      </c>
      <c r="B990" s="1">
        <v>45491</v>
      </c>
      <c r="C990">
        <f>YEAR(OrdersTable[[#This Row],[Order Date]])</f>
        <v>2024</v>
      </c>
      <c r="D990" s="2">
        <f>DATE(YEAR(OrdersTable[[#This Row],[Order Date]]),MONTH(OrdersTable[[#This Row],[Order Date]]),1)</f>
        <v>45474</v>
      </c>
      <c r="E990">
        <f>MONTH(OrdersTable[[#This Row],[Order Date]])</f>
        <v>7</v>
      </c>
      <c r="F990" t="s">
        <v>1874</v>
      </c>
      <c r="G990" t="str">
        <f>IF(OrdersTable[[#This Row],[Order Date]]=_xlfn.MINIFS(Order_Date, Customer_ID, OrdersTable[[#This Row],[Customer ID]]), "New", "Repeat")</f>
        <v>New</v>
      </c>
      <c r="H990" t="s">
        <v>32</v>
      </c>
      <c r="I990" t="str">
        <f>INDEX(State!B:B,MATCH(OrdersTable[[#This Row],[State]],State!A:A,0))</f>
        <v>BR</v>
      </c>
      <c r="J990" t="str">
        <f>INDEX(State!C:C,MATCH(OrdersTable[[#This Row],[State Code]],State!B:B,0))</f>
        <v>East</v>
      </c>
      <c r="K990" t="s">
        <v>33</v>
      </c>
      <c r="L990" t="s">
        <v>65</v>
      </c>
      <c r="M990" t="s">
        <v>73</v>
      </c>
      <c r="N990" t="str">
        <f>INDEX(Products!B:B,MATCH(OrdersTable[[#This Row],[Product ID]],Products!A:A,0))</f>
        <v>Hydrating Face Wash</v>
      </c>
      <c r="O990" t="str">
        <f>INDEX(Products!C:C,MATCH(OrdersTable[[#This Row],[Product ID]],Products!A:A,0))</f>
        <v>Skincare</v>
      </c>
      <c r="P990">
        <v>1</v>
      </c>
      <c r="Q990" s="5">
        <v>299</v>
      </c>
      <c r="R990" s="74">
        <v>0</v>
      </c>
      <c r="S990" s="75">
        <f>OrdersTable[[#This Row],[Quantity]]*OrdersTable[[#This Row],[Unit Price]]</f>
        <v>299</v>
      </c>
      <c r="T990" s="5">
        <f>OrdersTable[[#This Row],[Gross Sale]]*OrdersTable[[#This Row],[Discount_Clean2]]</f>
        <v>0</v>
      </c>
      <c r="U990" s="5">
        <f>OrdersTable[[#This Row],[Gross Sale]]-OrdersTable[[#This Row],[Discount Amount]]</f>
        <v>299</v>
      </c>
      <c r="V990" s="77">
        <f>INDEX(Products!E:E,MATCH(OrdersTable[[#This Row],[Product ID]],Products!A:A,0))</f>
        <v>90</v>
      </c>
      <c r="W990" s="77">
        <f>OrdersTable[[#This Row],[Quantity]]*OrdersTable[[#This Row],[Unit Cost]]</f>
        <v>90</v>
      </c>
      <c r="X990" s="77">
        <f>'Dropdown Lists'!$I$2*(1+OrdersTable[[#This Row],[Returned]])</f>
        <v>60</v>
      </c>
      <c r="Y990" s="76">
        <f>OrdersTable[[#This Row],[Net Revenue]]-OrdersTable[[#This Row],[COGS]]-OrdersTable[[#This Row],[Shipping Cost]]</f>
        <v>149</v>
      </c>
      <c r="Z990" s="78">
        <f>IFERROR(OrdersTable[[#This Row],[Profit]]/OrdersTable[[#This Row],[Net Revenue]],0)</f>
        <v>0.49832775919732442</v>
      </c>
      <c r="AA990" t="s">
        <v>3495</v>
      </c>
      <c r="AB990" s="79">
        <v>45496</v>
      </c>
      <c r="AC990">
        <f>OrdersTable[[#This Row],[Delivery Date]]-OrdersTable[[#This Row],[Order Date]]</f>
        <v>5</v>
      </c>
      <c r="AD990" t="str">
        <f>IF(OrdersTable[[#This Row],[Delivery Days]]&lt;=2, "Express (≤2d)", IF(OrdersTable[[#This Row],[Delivery Days]]&lt;=4, "Standard (3-4d)", "Delayed (5d+)"))</f>
        <v>Delayed (5d+)</v>
      </c>
      <c r="AE990">
        <v>4</v>
      </c>
      <c r="AF990">
        <v>0</v>
      </c>
    </row>
    <row r="991" spans="1:32" ht="15" x14ac:dyDescent="0.35">
      <c r="A991" t="s">
        <v>2932</v>
      </c>
      <c r="B991" s="1">
        <v>45491</v>
      </c>
      <c r="C991">
        <f>YEAR(OrdersTable[[#This Row],[Order Date]])</f>
        <v>2024</v>
      </c>
      <c r="D991" s="2">
        <f>DATE(YEAR(OrdersTable[[#This Row],[Order Date]]),MONTH(OrdersTable[[#This Row],[Order Date]]),1)</f>
        <v>45474</v>
      </c>
      <c r="E991">
        <f>MONTH(OrdersTable[[#This Row],[Order Date]])</f>
        <v>7</v>
      </c>
      <c r="F991" t="s">
        <v>217</v>
      </c>
      <c r="G991" t="str">
        <f>IF(OrdersTable[[#This Row],[Order Date]]=_xlfn.MINIFS(Order_Date, Customer_ID, OrdersTable[[#This Row],[Customer ID]]), "New", "Repeat")</f>
        <v>Repeat</v>
      </c>
      <c r="H991" t="s">
        <v>132</v>
      </c>
      <c r="I991" t="str">
        <f>INDEX(State!B:B,MATCH(OrdersTable[[#This Row],[State]],State!A:A,0))</f>
        <v>AS</v>
      </c>
      <c r="J991" t="str">
        <f>INDEX(State!C:C,MATCH(OrdersTable[[#This Row],[State Code]],State!B:B,0))</f>
        <v>East</v>
      </c>
      <c r="K991" t="s">
        <v>133</v>
      </c>
      <c r="L991" t="s">
        <v>65</v>
      </c>
      <c r="M991" t="s">
        <v>56</v>
      </c>
      <c r="N991" t="str">
        <f>INDEX(Products!B:B,MATCH(OrdersTable[[#This Row],[Product ID]],Products!A:A,0))</f>
        <v>Vitamin C Face Serum</v>
      </c>
      <c r="O991" t="str">
        <f>INDEX(Products!C:C,MATCH(OrdersTable[[#This Row],[Product ID]],Products!A:A,0))</f>
        <v>Skincare</v>
      </c>
      <c r="P991">
        <v>1</v>
      </c>
      <c r="Q991" s="5">
        <v>599</v>
      </c>
      <c r="R991" s="74">
        <v>0.25</v>
      </c>
      <c r="S991" s="75">
        <f>OrdersTable[[#This Row],[Quantity]]*OrdersTable[[#This Row],[Unit Price]]</f>
        <v>599</v>
      </c>
      <c r="T991" s="5">
        <f>OrdersTable[[#This Row],[Gross Sale]]*OrdersTable[[#This Row],[Discount_Clean2]]</f>
        <v>149.75</v>
      </c>
      <c r="U991" s="5">
        <f>OrdersTable[[#This Row],[Gross Sale]]-OrdersTable[[#This Row],[Discount Amount]]</f>
        <v>449.25</v>
      </c>
      <c r="V991" s="77">
        <f>INDEX(Products!E:E,MATCH(OrdersTable[[#This Row],[Product ID]],Products!A:A,0))</f>
        <v>180</v>
      </c>
      <c r="W991" s="77">
        <f>OrdersTable[[#This Row],[Quantity]]*OrdersTable[[#This Row],[Unit Cost]]</f>
        <v>180</v>
      </c>
      <c r="X991" s="77">
        <f>'Dropdown Lists'!$I$2*(1+OrdersTable[[#This Row],[Returned]])</f>
        <v>60</v>
      </c>
      <c r="Y991" s="76">
        <f>OrdersTable[[#This Row],[Net Revenue]]-OrdersTable[[#This Row],[COGS]]-OrdersTable[[#This Row],[Shipping Cost]]</f>
        <v>209.25</v>
      </c>
      <c r="Z991" s="78">
        <f>IFERROR(OrdersTable[[#This Row],[Profit]]/OrdersTable[[#This Row],[Net Revenue]],0)</f>
        <v>0.46577629382303842</v>
      </c>
      <c r="AA991" t="s">
        <v>2522</v>
      </c>
      <c r="AB991" s="79">
        <v>45497</v>
      </c>
      <c r="AC991">
        <f>OrdersTable[[#This Row],[Delivery Date]]-OrdersTable[[#This Row],[Order Date]]</f>
        <v>6</v>
      </c>
      <c r="AD991" t="str">
        <f>IF(OrdersTable[[#This Row],[Delivery Days]]&lt;=2, "Express (≤2d)", IF(OrdersTable[[#This Row],[Delivery Days]]&lt;=4, "Standard (3-4d)", "Delayed (5d+)"))</f>
        <v>Delayed (5d+)</v>
      </c>
      <c r="AF991">
        <v>0</v>
      </c>
    </row>
    <row r="992" spans="1:32" ht="15" x14ac:dyDescent="0.35">
      <c r="A992" t="s">
        <v>155</v>
      </c>
      <c r="B992" s="1">
        <v>45491</v>
      </c>
      <c r="C992">
        <f>YEAR(OrdersTable[[#This Row],[Order Date]])</f>
        <v>2024</v>
      </c>
      <c r="D992" s="2">
        <f>DATE(YEAR(OrdersTable[[#This Row],[Order Date]]),MONTH(OrdersTable[[#This Row],[Order Date]]),1)</f>
        <v>45474</v>
      </c>
      <c r="E992">
        <f>MONTH(OrdersTable[[#This Row],[Order Date]])</f>
        <v>7</v>
      </c>
      <c r="F992" t="s">
        <v>94</v>
      </c>
      <c r="G992" t="str">
        <f>IF(OrdersTable[[#This Row],[Order Date]]=_xlfn.MINIFS(Order_Date, Customer_ID, OrdersTable[[#This Row],[Customer ID]]), "New", "Repeat")</f>
        <v>Repeat</v>
      </c>
      <c r="H992" t="s">
        <v>37</v>
      </c>
      <c r="I992" t="str">
        <f>INDEX(State!B:B,MATCH(OrdersTable[[#This Row],[State]],State!A:A,0))</f>
        <v>GJ</v>
      </c>
      <c r="J992" t="str">
        <f>INDEX(State!C:C,MATCH(OrdersTable[[#This Row],[State Code]],State!B:B,0))</f>
        <v>West</v>
      </c>
      <c r="K992" t="s">
        <v>38</v>
      </c>
      <c r="L992" t="s">
        <v>23</v>
      </c>
      <c r="M992" t="s">
        <v>78</v>
      </c>
      <c r="N992" t="str">
        <f>INDEX(Products!B:B,MATCH(OrdersTable[[#This Row],[Product ID]],Products!A:A,0))</f>
        <v>Retinol Night Cream</v>
      </c>
      <c r="O992" t="str">
        <f>INDEX(Products!C:C,MATCH(OrdersTable[[#This Row],[Product ID]],Products!A:A,0))</f>
        <v>Skincare</v>
      </c>
      <c r="P992">
        <v>1</v>
      </c>
      <c r="Q992" s="5">
        <v>799</v>
      </c>
      <c r="R992" s="74">
        <v>0.15</v>
      </c>
      <c r="S992" s="75">
        <f>OrdersTable[[#This Row],[Quantity]]*OrdersTable[[#This Row],[Unit Price]]</f>
        <v>799</v>
      </c>
      <c r="T992" s="5">
        <f>OrdersTable[[#This Row],[Gross Sale]]*OrdersTable[[#This Row],[Discount_Clean2]]</f>
        <v>119.85</v>
      </c>
      <c r="U992" s="5">
        <f>OrdersTable[[#This Row],[Gross Sale]]-OrdersTable[[#This Row],[Discount Amount]]</f>
        <v>679.15</v>
      </c>
      <c r="V992" s="77">
        <f>INDEX(Products!E:E,MATCH(OrdersTable[[#This Row],[Product ID]],Products!A:A,0))</f>
        <v>216</v>
      </c>
      <c r="W992" s="77">
        <f>OrdersTable[[#This Row],[Quantity]]*OrdersTable[[#This Row],[Unit Cost]]</f>
        <v>216</v>
      </c>
      <c r="X992" s="77">
        <f>'Dropdown Lists'!$I$2*(1+OrdersTable[[#This Row],[Returned]])</f>
        <v>60</v>
      </c>
      <c r="Y992" s="76">
        <f>OrdersTable[[#This Row],[Net Revenue]]-OrdersTable[[#This Row],[COGS]]-OrdersTable[[#This Row],[Shipping Cost]]</f>
        <v>403.15</v>
      </c>
      <c r="Z992" s="78">
        <f>IFERROR(OrdersTable[[#This Row],[Profit]]/OrdersTable[[#This Row],[Net Revenue]],0)</f>
        <v>0.59360965913273944</v>
      </c>
      <c r="AA992" t="s">
        <v>18</v>
      </c>
      <c r="AB992" s="79">
        <v>45493</v>
      </c>
      <c r="AC992">
        <f>OrdersTable[[#This Row],[Delivery Date]]-OrdersTable[[#This Row],[Order Date]]</f>
        <v>2</v>
      </c>
      <c r="AD992" t="str">
        <f>IF(OrdersTable[[#This Row],[Delivery Days]]&lt;=2, "Express (≤2d)", IF(OrdersTable[[#This Row],[Delivery Days]]&lt;=4, "Standard (3-4d)", "Delayed (5d+)"))</f>
        <v>Express (≤2d)</v>
      </c>
      <c r="AE992">
        <v>4</v>
      </c>
      <c r="AF992">
        <v>0</v>
      </c>
    </row>
    <row r="993" spans="1:32" ht="15" x14ac:dyDescent="0.35">
      <c r="A993" t="s">
        <v>920</v>
      </c>
      <c r="B993" s="1">
        <v>45491</v>
      </c>
      <c r="C993">
        <f>YEAR(OrdersTable[[#This Row],[Order Date]])</f>
        <v>2024</v>
      </c>
      <c r="D993" s="2">
        <f>DATE(YEAR(OrdersTable[[#This Row],[Order Date]]),MONTH(OrdersTable[[#This Row],[Order Date]]),1)</f>
        <v>45474</v>
      </c>
      <c r="E993">
        <f>MONTH(OrdersTable[[#This Row],[Order Date]])</f>
        <v>7</v>
      </c>
      <c r="F993" t="s">
        <v>921</v>
      </c>
      <c r="G993" t="str">
        <f>IF(OrdersTable[[#This Row],[Order Date]]=_xlfn.MINIFS(Order_Date, Customer_ID, OrdersTable[[#This Row],[Customer ID]]), "New", "Repeat")</f>
        <v>New</v>
      </c>
      <c r="H993" t="s">
        <v>71</v>
      </c>
      <c r="I993" t="str">
        <f>INDEX(State!B:B,MATCH(OrdersTable[[#This Row],[State]],State!A:A,0))</f>
        <v>MH</v>
      </c>
      <c r="J993" t="str">
        <f>INDEX(State!C:C,MATCH(OrdersTable[[#This Row],[State Code]],State!B:B,0))</f>
        <v>West</v>
      </c>
      <c r="K993" t="s">
        <v>102</v>
      </c>
      <c r="L993" t="s">
        <v>65</v>
      </c>
      <c r="M993" t="s">
        <v>66</v>
      </c>
      <c r="N993" t="str">
        <f>INDEX(Products!B:B,MATCH(OrdersTable[[#This Row],[Product ID]],Products!A:A,0))</f>
        <v>Sunscreen SPF 50</v>
      </c>
      <c r="O993" t="str">
        <f>INDEX(Products!C:C,MATCH(OrdersTable[[#This Row],[Product ID]],Products!A:A,0))</f>
        <v>Skincare</v>
      </c>
      <c r="P993">
        <v>1</v>
      </c>
      <c r="Q993" s="5">
        <v>449</v>
      </c>
      <c r="R993" s="74">
        <v>0.15</v>
      </c>
      <c r="S993" s="75">
        <f>OrdersTable[[#This Row],[Quantity]]*OrdersTable[[#This Row],[Unit Price]]</f>
        <v>449</v>
      </c>
      <c r="T993" s="5">
        <f>OrdersTable[[#This Row],[Gross Sale]]*OrdersTable[[#This Row],[Discount_Clean2]]</f>
        <v>67.349999999999994</v>
      </c>
      <c r="U993" s="5">
        <f>OrdersTable[[#This Row],[Gross Sale]]-OrdersTable[[#This Row],[Discount Amount]]</f>
        <v>381.65</v>
      </c>
      <c r="V993" s="77">
        <f>INDEX(Products!E:E,MATCH(OrdersTable[[#This Row],[Product ID]],Products!A:A,0))</f>
        <v>144</v>
      </c>
      <c r="W993" s="77">
        <f>OrdersTable[[#This Row],[Quantity]]*OrdersTable[[#This Row],[Unit Cost]]</f>
        <v>144</v>
      </c>
      <c r="X993" s="77">
        <f>'Dropdown Lists'!$I$2*(1+OrdersTable[[#This Row],[Returned]])</f>
        <v>60</v>
      </c>
      <c r="Y993" s="76">
        <f>OrdersTable[[#This Row],[Net Revenue]]-OrdersTable[[#This Row],[COGS]]-OrdersTable[[#This Row],[Shipping Cost]]</f>
        <v>177.64999999999998</v>
      </c>
      <c r="Z993" s="78">
        <f>IFERROR(OrdersTable[[#This Row],[Profit]]/OrdersTable[[#This Row],[Net Revenue]],0)</f>
        <v>0.465478841870824</v>
      </c>
      <c r="AA993" t="s">
        <v>18</v>
      </c>
      <c r="AB993" s="79">
        <v>45492</v>
      </c>
      <c r="AC993">
        <f>OrdersTable[[#This Row],[Delivery Date]]-OrdersTable[[#This Row],[Order Date]]</f>
        <v>1</v>
      </c>
      <c r="AD993" t="str">
        <f>IF(OrdersTable[[#This Row],[Delivery Days]]&lt;=2, "Express (≤2d)", IF(OrdersTable[[#This Row],[Delivery Days]]&lt;=4, "Standard (3-4d)", "Delayed (5d+)"))</f>
        <v>Express (≤2d)</v>
      </c>
      <c r="AE993">
        <v>4</v>
      </c>
      <c r="AF993">
        <v>0</v>
      </c>
    </row>
    <row r="994" spans="1:32" ht="15" x14ac:dyDescent="0.35">
      <c r="A994" t="s">
        <v>3189</v>
      </c>
      <c r="B994" s="1">
        <v>45491</v>
      </c>
      <c r="C994">
        <f>YEAR(OrdersTable[[#This Row],[Order Date]])</f>
        <v>2024</v>
      </c>
      <c r="D994" s="2">
        <f>DATE(YEAR(OrdersTable[[#This Row],[Order Date]]),MONTH(OrdersTable[[#This Row],[Order Date]]),1)</f>
        <v>45474</v>
      </c>
      <c r="E994">
        <f>MONTH(OrdersTable[[#This Row],[Order Date]])</f>
        <v>7</v>
      </c>
      <c r="F994" t="s">
        <v>2775</v>
      </c>
      <c r="G994" t="str">
        <f>IF(OrdersTable[[#This Row],[Order Date]]=_xlfn.MINIFS(Order_Date, Customer_ID, OrdersTable[[#This Row],[Customer ID]]), "New", "Repeat")</f>
        <v>New</v>
      </c>
      <c r="H994" t="s">
        <v>95</v>
      </c>
      <c r="I994" t="str">
        <f>INDEX(State!B:B,MATCH(OrdersTable[[#This Row],[State]],State!A:A,0))</f>
        <v>TG</v>
      </c>
      <c r="J994" t="str">
        <f>INDEX(State!C:C,MATCH(OrdersTable[[#This Row],[State Code]],State!B:B,0))</f>
        <v>South</v>
      </c>
      <c r="K994" t="s">
        <v>96</v>
      </c>
      <c r="L994" t="s">
        <v>39</v>
      </c>
      <c r="M994" t="s">
        <v>17</v>
      </c>
      <c r="N994" t="str">
        <f>INDEX(Products!B:B,MATCH(OrdersTable[[#This Row],[Product ID]],Products!A:A,0))</f>
        <v>Casual Sneakers</v>
      </c>
      <c r="O994" t="str">
        <f>INDEX(Products!C:C,MATCH(OrdersTable[[#This Row],[Product ID]],Products!A:A,0))</f>
        <v>Footwear</v>
      </c>
      <c r="P994">
        <v>1</v>
      </c>
      <c r="Q994" s="5">
        <v>2199</v>
      </c>
      <c r="R994" s="74">
        <v>0.25</v>
      </c>
      <c r="S994" s="75">
        <f>OrdersTable[[#This Row],[Quantity]]*OrdersTable[[#This Row],[Unit Price]]</f>
        <v>2199</v>
      </c>
      <c r="T994" s="5">
        <f>OrdersTable[[#This Row],[Gross Sale]]*OrdersTable[[#This Row],[Discount_Clean2]]</f>
        <v>549.75</v>
      </c>
      <c r="U994" s="5">
        <f>OrdersTable[[#This Row],[Gross Sale]]-OrdersTable[[#This Row],[Discount Amount]]</f>
        <v>1649.25</v>
      </c>
      <c r="V994" s="77">
        <f>INDEX(Products!E:E,MATCH(OrdersTable[[#This Row],[Product ID]],Products!A:A,0))</f>
        <v>1034</v>
      </c>
      <c r="W994" s="77">
        <f>OrdersTable[[#This Row],[Quantity]]*OrdersTable[[#This Row],[Unit Cost]]</f>
        <v>1034</v>
      </c>
      <c r="X994" s="77">
        <f>'Dropdown Lists'!$I$2*(1+OrdersTable[[#This Row],[Returned]])</f>
        <v>60</v>
      </c>
      <c r="Y994" s="76">
        <f>OrdersTable[[#This Row],[Net Revenue]]-OrdersTable[[#This Row],[COGS]]-OrdersTable[[#This Row],[Shipping Cost]]</f>
        <v>555.25</v>
      </c>
      <c r="Z994" s="78">
        <f>IFERROR(OrdersTable[[#This Row],[Profit]]/OrdersTable[[#This Row],[Net Revenue]],0)</f>
        <v>0.33666818250720026</v>
      </c>
      <c r="AA994" t="s">
        <v>2522</v>
      </c>
      <c r="AB994" s="79">
        <v>45492</v>
      </c>
      <c r="AC994">
        <f>OrdersTable[[#This Row],[Delivery Date]]-OrdersTable[[#This Row],[Order Date]]</f>
        <v>1</v>
      </c>
      <c r="AD994" t="str">
        <f>IF(OrdersTable[[#This Row],[Delivery Days]]&lt;=2, "Express (≤2d)", IF(OrdersTable[[#This Row],[Delivery Days]]&lt;=4, "Standard (3-4d)", "Delayed (5d+)"))</f>
        <v>Express (≤2d)</v>
      </c>
      <c r="AE994">
        <v>4</v>
      </c>
      <c r="AF994">
        <v>0</v>
      </c>
    </row>
    <row r="995" spans="1:32" ht="15" x14ac:dyDescent="0.35">
      <c r="A995" t="s">
        <v>3978</v>
      </c>
      <c r="B995" s="1">
        <v>45491</v>
      </c>
      <c r="C995">
        <f>YEAR(OrdersTable[[#This Row],[Order Date]])</f>
        <v>2024</v>
      </c>
      <c r="D995" s="2">
        <f>DATE(YEAR(OrdersTable[[#This Row],[Order Date]]),MONTH(OrdersTable[[#This Row],[Order Date]]),1)</f>
        <v>45474</v>
      </c>
      <c r="E995">
        <f>MONTH(OrdersTable[[#This Row],[Order Date]])</f>
        <v>7</v>
      </c>
      <c r="F995" t="s">
        <v>3979</v>
      </c>
      <c r="G995" t="str">
        <f>IF(OrdersTable[[#This Row],[Order Date]]=_xlfn.MINIFS(Order_Date, Customer_ID, OrdersTable[[#This Row],[Customer ID]]), "New", "Repeat")</f>
        <v>New</v>
      </c>
      <c r="H995" t="s">
        <v>59</v>
      </c>
      <c r="I995" t="str">
        <f>INDEX(State!B:B,MATCH(OrdersTable[[#This Row],[State]],State!A:A,0))</f>
        <v>TN</v>
      </c>
      <c r="J995" t="str">
        <f>INDEX(State!C:C,MATCH(OrdersTable[[#This Row],[State Code]],State!B:B,0))</f>
        <v>South</v>
      </c>
      <c r="K995" t="s">
        <v>64</v>
      </c>
      <c r="L995" t="s">
        <v>65</v>
      </c>
      <c r="M995" t="s">
        <v>228</v>
      </c>
      <c r="N995" t="str">
        <f>INDEX(Products!B:B,MATCH(OrdersTable[[#This Row],[Product ID]],Products!A:A,0))</f>
        <v>Fast Charger 33W</v>
      </c>
      <c r="O995" t="str">
        <f>INDEX(Products!C:C,MATCH(OrdersTable[[#This Row],[Product ID]],Products!A:A,0))</f>
        <v>Electronics</v>
      </c>
      <c r="P995">
        <v>1</v>
      </c>
      <c r="Q995" s="5">
        <v>899</v>
      </c>
      <c r="R995" s="74">
        <v>0</v>
      </c>
      <c r="S995" s="75">
        <f>OrdersTable[[#This Row],[Quantity]]*OrdersTable[[#This Row],[Unit Price]]</f>
        <v>899</v>
      </c>
      <c r="T995" s="5">
        <f>OrdersTable[[#This Row],[Gross Sale]]*OrdersTable[[#This Row],[Discount_Clean2]]</f>
        <v>0</v>
      </c>
      <c r="U995" s="5">
        <f>OrdersTable[[#This Row],[Gross Sale]]-OrdersTable[[#This Row],[Discount Amount]]</f>
        <v>899</v>
      </c>
      <c r="V995" s="77">
        <f>INDEX(Products!E:E,MATCH(OrdersTable[[#This Row],[Product ID]],Products!A:A,0))</f>
        <v>494</v>
      </c>
      <c r="W995" s="77">
        <f>OrdersTable[[#This Row],[Quantity]]*OrdersTable[[#This Row],[Unit Cost]]</f>
        <v>494</v>
      </c>
      <c r="X995" s="77">
        <f>'Dropdown Lists'!$I$2*(1+OrdersTable[[#This Row],[Returned]])</f>
        <v>60</v>
      </c>
      <c r="Y995" s="76">
        <f>OrdersTable[[#This Row],[Net Revenue]]-OrdersTable[[#This Row],[COGS]]-OrdersTable[[#This Row],[Shipping Cost]]</f>
        <v>345</v>
      </c>
      <c r="Z995" s="78">
        <f>IFERROR(OrdersTable[[#This Row],[Profit]]/OrdersTable[[#This Row],[Net Revenue]],0)</f>
        <v>0.38375973303670746</v>
      </c>
      <c r="AA995" t="s">
        <v>3495</v>
      </c>
      <c r="AB995" s="79">
        <v>45493</v>
      </c>
      <c r="AC995">
        <f>OrdersTable[[#This Row],[Delivery Date]]-OrdersTable[[#This Row],[Order Date]]</f>
        <v>2</v>
      </c>
      <c r="AD995" t="str">
        <f>IF(OrdersTable[[#This Row],[Delivery Days]]&lt;=2, "Express (≤2d)", IF(OrdersTable[[#This Row],[Delivery Days]]&lt;=4, "Standard (3-4d)", "Delayed (5d+)"))</f>
        <v>Express (≤2d)</v>
      </c>
      <c r="AE995">
        <v>5</v>
      </c>
      <c r="AF995">
        <v>0</v>
      </c>
    </row>
    <row r="996" spans="1:32" ht="15" x14ac:dyDescent="0.35">
      <c r="A996" t="s">
        <v>4474</v>
      </c>
      <c r="B996" s="1">
        <v>45492</v>
      </c>
      <c r="C996">
        <f>YEAR(OrdersTable[[#This Row],[Order Date]])</f>
        <v>2024</v>
      </c>
      <c r="D996" s="2">
        <f>DATE(YEAR(OrdersTable[[#This Row],[Order Date]]),MONTH(OrdersTable[[#This Row],[Order Date]]),1)</f>
        <v>45474</v>
      </c>
      <c r="E996">
        <f>MONTH(OrdersTable[[#This Row],[Order Date]])</f>
        <v>7</v>
      </c>
      <c r="F996" t="s">
        <v>4475</v>
      </c>
      <c r="G996" t="str">
        <f>IF(OrdersTable[[#This Row],[Order Date]]=_xlfn.MINIFS(Order_Date, Customer_ID, OrdersTable[[#This Row],[Customer ID]]), "New", "Repeat")</f>
        <v>New</v>
      </c>
      <c r="H996" t="s">
        <v>95</v>
      </c>
      <c r="I996" t="str">
        <f>INDEX(State!B:B,MATCH(OrdersTable[[#This Row],[State]],State!A:A,0))</f>
        <v>TG</v>
      </c>
      <c r="J996" t="str">
        <f>INDEX(State!C:C,MATCH(OrdersTable[[#This Row],[State Code]],State!B:B,0))</f>
        <v>South</v>
      </c>
      <c r="K996" t="s">
        <v>96</v>
      </c>
      <c r="L996" t="s">
        <v>23</v>
      </c>
      <c r="M996" t="s">
        <v>92</v>
      </c>
      <c r="N996" t="str">
        <f>INDEX(Products!B:B,MATCH(OrdersTable[[#This Row],[Product ID]],Products!A:A,0))</f>
        <v>Kolhapuri Sandals</v>
      </c>
      <c r="O996" t="str">
        <f>INDEX(Products!C:C,MATCH(OrdersTable[[#This Row],[Product ID]],Products!A:A,0))</f>
        <v>Footwear</v>
      </c>
      <c r="P996">
        <v>1</v>
      </c>
      <c r="Q996" s="5">
        <v>999</v>
      </c>
      <c r="R996" s="74">
        <v>0.05</v>
      </c>
      <c r="S996" s="75">
        <f>OrdersTable[[#This Row],[Quantity]]*OrdersTable[[#This Row],[Unit Price]]</f>
        <v>999</v>
      </c>
      <c r="T996" s="5">
        <f>OrdersTable[[#This Row],[Gross Sale]]*OrdersTable[[#This Row],[Discount_Clean2]]</f>
        <v>49.95</v>
      </c>
      <c r="U996" s="5">
        <f>OrdersTable[[#This Row],[Gross Sale]]-OrdersTable[[#This Row],[Discount Amount]]</f>
        <v>949.05</v>
      </c>
      <c r="V996" s="77">
        <f>INDEX(Products!E:E,MATCH(OrdersTable[[#This Row],[Product ID]],Products!A:A,0))</f>
        <v>400</v>
      </c>
      <c r="W996" s="77">
        <f>OrdersTable[[#This Row],[Quantity]]*OrdersTable[[#This Row],[Unit Cost]]</f>
        <v>400</v>
      </c>
      <c r="X996" s="77">
        <f>'Dropdown Lists'!$I$2*(1+OrdersTable[[#This Row],[Returned]])</f>
        <v>60</v>
      </c>
      <c r="Y996" s="76">
        <f>OrdersTable[[#This Row],[Net Revenue]]-OrdersTable[[#This Row],[COGS]]-OrdersTable[[#This Row],[Shipping Cost]]</f>
        <v>489.04999999999995</v>
      </c>
      <c r="Z996" s="78">
        <f>IFERROR(OrdersTable[[#This Row],[Profit]]/OrdersTable[[#This Row],[Net Revenue]],0)</f>
        <v>0.5153047784626732</v>
      </c>
      <c r="AA996" t="s">
        <v>4450</v>
      </c>
      <c r="AB996" s="79">
        <v>45494</v>
      </c>
      <c r="AC996">
        <f>OrdersTable[[#This Row],[Delivery Date]]-OrdersTable[[#This Row],[Order Date]]</f>
        <v>2</v>
      </c>
      <c r="AD996" t="str">
        <f>IF(OrdersTable[[#This Row],[Delivery Days]]&lt;=2, "Express (≤2d)", IF(OrdersTable[[#This Row],[Delivery Days]]&lt;=4, "Standard (3-4d)", "Delayed (5d+)"))</f>
        <v>Express (≤2d)</v>
      </c>
      <c r="AE996">
        <v>4</v>
      </c>
      <c r="AF996">
        <v>0</v>
      </c>
    </row>
    <row r="997" spans="1:32" ht="15" x14ac:dyDescent="0.35">
      <c r="A997" t="s">
        <v>6502</v>
      </c>
      <c r="B997" s="1">
        <v>45492</v>
      </c>
      <c r="C997">
        <f>YEAR(OrdersTable[[#This Row],[Order Date]])</f>
        <v>2024</v>
      </c>
      <c r="D997" s="2">
        <f>DATE(YEAR(OrdersTable[[#This Row],[Order Date]]),MONTH(OrdersTable[[#This Row],[Order Date]]),1)</f>
        <v>45474</v>
      </c>
      <c r="E997">
        <f>MONTH(OrdersTable[[#This Row],[Order Date]])</f>
        <v>7</v>
      </c>
      <c r="F997" t="s">
        <v>3806</v>
      </c>
      <c r="G997" t="str">
        <f>IF(OrdersTable[[#This Row],[Order Date]]=_xlfn.MINIFS(Order_Date, Customer_ID, OrdersTable[[#This Row],[Customer ID]]), "New", "Repeat")</f>
        <v>New</v>
      </c>
      <c r="H997" t="s">
        <v>167</v>
      </c>
      <c r="I997" t="str">
        <f>INDEX(State!B:B,MATCH(OrdersTable[[#This Row],[State]],State!A:A,0))</f>
        <v>KA</v>
      </c>
      <c r="J997" t="str">
        <f>INDEX(State!C:C,MATCH(OrdersTable[[#This Row],[State Code]],State!B:B,0))</f>
        <v>South</v>
      </c>
      <c r="K997" t="s">
        <v>168</v>
      </c>
      <c r="L997" t="s">
        <v>65</v>
      </c>
      <c r="M997" t="s">
        <v>152</v>
      </c>
      <c r="N997" t="str">
        <f>INDEX(Products!B:B,MATCH(OrdersTable[[#This Row],[Product ID]],Products!A:A,0))</f>
        <v>Green Tea (100 bags)</v>
      </c>
      <c r="O997" t="str">
        <f>INDEX(Products!C:C,MATCH(OrdersTable[[#This Row],[Product ID]],Products!A:A,0))</f>
        <v>Wellness</v>
      </c>
      <c r="P997">
        <v>3</v>
      </c>
      <c r="Q997" s="5">
        <v>399</v>
      </c>
      <c r="R997" s="74">
        <v>0.4</v>
      </c>
      <c r="S997" s="75">
        <f>OrdersTable[[#This Row],[Quantity]]*OrdersTable[[#This Row],[Unit Price]]</f>
        <v>1197</v>
      </c>
      <c r="T997" s="5">
        <f>OrdersTable[[#This Row],[Gross Sale]]*OrdersTable[[#This Row],[Discount_Clean2]]</f>
        <v>478.8</v>
      </c>
      <c r="U997" s="5">
        <f>OrdersTable[[#This Row],[Gross Sale]]-OrdersTable[[#This Row],[Discount Amount]]</f>
        <v>718.2</v>
      </c>
      <c r="V997" s="77">
        <f>INDEX(Products!E:E,MATCH(OrdersTable[[#This Row],[Product ID]],Products!A:A,0))</f>
        <v>128</v>
      </c>
      <c r="W997" s="77">
        <f>OrdersTable[[#This Row],[Quantity]]*OrdersTable[[#This Row],[Unit Cost]]</f>
        <v>384</v>
      </c>
      <c r="X997" s="77">
        <f>'Dropdown Lists'!$I$2*(1+OrdersTable[[#This Row],[Returned]])</f>
        <v>60</v>
      </c>
      <c r="Y997" s="76">
        <f>OrdersTable[[#This Row],[Net Revenue]]-OrdersTable[[#This Row],[COGS]]-OrdersTable[[#This Row],[Shipping Cost]]</f>
        <v>274.20000000000005</v>
      </c>
      <c r="Z997" s="78">
        <f>IFERROR(OrdersTable[[#This Row],[Profit]]/OrdersTable[[#This Row],[Net Revenue]],0)</f>
        <v>0.38178780284043445</v>
      </c>
      <c r="AA997" t="s">
        <v>18</v>
      </c>
      <c r="AB997" s="79">
        <v>45494</v>
      </c>
      <c r="AC997">
        <f>OrdersTable[[#This Row],[Delivery Date]]-OrdersTable[[#This Row],[Order Date]]</f>
        <v>2</v>
      </c>
      <c r="AD997" t="str">
        <f>IF(OrdersTable[[#This Row],[Delivery Days]]&lt;=2, "Express (≤2d)", IF(OrdersTable[[#This Row],[Delivery Days]]&lt;=4, "Standard (3-4d)", "Delayed (5d+)"))</f>
        <v>Express (≤2d)</v>
      </c>
      <c r="AE997">
        <v>3</v>
      </c>
      <c r="AF997">
        <v>0</v>
      </c>
    </row>
    <row r="998" spans="1:32" ht="15" x14ac:dyDescent="0.35">
      <c r="A998" t="s">
        <v>5333</v>
      </c>
      <c r="B998" s="1">
        <v>45492</v>
      </c>
      <c r="C998">
        <f>YEAR(OrdersTable[[#This Row],[Order Date]])</f>
        <v>2024</v>
      </c>
      <c r="D998" s="2">
        <f>DATE(YEAR(OrdersTable[[#This Row],[Order Date]]),MONTH(OrdersTable[[#This Row],[Order Date]]),1)</f>
        <v>45474</v>
      </c>
      <c r="E998">
        <f>MONTH(OrdersTable[[#This Row],[Order Date]])</f>
        <v>7</v>
      </c>
      <c r="F998" t="s">
        <v>1273</v>
      </c>
      <c r="G998" t="str">
        <f>IF(OrdersTable[[#This Row],[Order Date]]=_xlfn.MINIFS(Order_Date, Customer_ID, OrdersTable[[#This Row],[Customer ID]]), "New", "Repeat")</f>
        <v>Repeat</v>
      </c>
      <c r="H998" t="s">
        <v>275</v>
      </c>
      <c r="I998" t="str">
        <f>INDEX(State!B:B,MATCH(OrdersTable[[#This Row],[State]],State!A:A,0))</f>
        <v>AP</v>
      </c>
      <c r="J998" t="str">
        <f>INDEX(State!C:C,MATCH(OrdersTable[[#This Row],[State Code]],State!B:B,0))</f>
        <v>South</v>
      </c>
      <c r="K998" t="s">
        <v>491</v>
      </c>
      <c r="L998" t="s">
        <v>23</v>
      </c>
      <c r="M998" t="s">
        <v>40</v>
      </c>
      <c r="N998" t="str">
        <f>INDEX(Products!B:B,MATCH(OrdersTable[[#This Row],[Product ID]],Products!A:A,0))</f>
        <v>Ashwagandha Capsules</v>
      </c>
      <c r="O998" t="str">
        <f>INDEX(Products!C:C,MATCH(OrdersTable[[#This Row],[Product ID]],Products!A:A,0))</f>
        <v>Wellness</v>
      </c>
      <c r="P998">
        <v>2</v>
      </c>
      <c r="Q998" s="5">
        <v>499</v>
      </c>
      <c r="R998" s="74">
        <v>0</v>
      </c>
      <c r="S998" s="75">
        <f>OrdersTable[[#This Row],[Quantity]]*OrdersTable[[#This Row],[Unit Price]]</f>
        <v>998</v>
      </c>
      <c r="T998" s="5">
        <f>OrdersTable[[#This Row],[Gross Sale]]*OrdersTable[[#This Row],[Discount_Clean2]]</f>
        <v>0</v>
      </c>
      <c r="U998" s="5">
        <f>OrdersTable[[#This Row],[Gross Sale]]-OrdersTable[[#This Row],[Discount Amount]]</f>
        <v>998</v>
      </c>
      <c r="V998" s="77">
        <f>INDEX(Products!E:E,MATCH(OrdersTable[[#This Row],[Product ID]],Products!A:A,0))</f>
        <v>150</v>
      </c>
      <c r="W998" s="77">
        <f>OrdersTable[[#This Row],[Quantity]]*OrdersTable[[#This Row],[Unit Cost]]</f>
        <v>300</v>
      </c>
      <c r="X998" s="77">
        <f>'Dropdown Lists'!$I$2*(1+OrdersTable[[#This Row],[Returned]])</f>
        <v>60</v>
      </c>
      <c r="Y998" s="76">
        <f>OrdersTable[[#This Row],[Net Revenue]]-OrdersTable[[#This Row],[COGS]]-OrdersTable[[#This Row],[Shipping Cost]]</f>
        <v>638</v>
      </c>
      <c r="Z998" s="78">
        <f>IFERROR(OrdersTable[[#This Row],[Profit]]/OrdersTable[[#This Row],[Net Revenue]],0)</f>
        <v>0.63927855711422843</v>
      </c>
      <c r="AA998" t="s">
        <v>2522</v>
      </c>
      <c r="AB998" s="79">
        <v>45497</v>
      </c>
      <c r="AC998">
        <f>OrdersTable[[#This Row],[Delivery Date]]-OrdersTable[[#This Row],[Order Date]]</f>
        <v>5</v>
      </c>
      <c r="AD998" t="str">
        <f>IF(OrdersTable[[#This Row],[Delivery Days]]&lt;=2, "Express (≤2d)", IF(OrdersTable[[#This Row],[Delivery Days]]&lt;=4, "Standard (3-4d)", "Delayed (5d+)"))</f>
        <v>Delayed (5d+)</v>
      </c>
      <c r="AE998">
        <v>3</v>
      </c>
      <c r="AF998">
        <v>0</v>
      </c>
    </row>
    <row r="999" spans="1:32" ht="15" x14ac:dyDescent="0.35">
      <c r="A999" t="s">
        <v>492</v>
      </c>
      <c r="B999" s="1">
        <v>45493</v>
      </c>
      <c r="C999">
        <f>YEAR(OrdersTable[[#This Row],[Order Date]])</f>
        <v>2024</v>
      </c>
      <c r="D999" s="2">
        <f>DATE(YEAR(OrdersTable[[#This Row],[Order Date]]),MONTH(OrdersTable[[#This Row],[Order Date]]),1)</f>
        <v>45474</v>
      </c>
      <c r="E999">
        <f>MONTH(OrdersTable[[#This Row],[Order Date]])</f>
        <v>7</v>
      </c>
      <c r="F999" t="s">
        <v>493</v>
      </c>
      <c r="G999" t="str">
        <f>IF(OrdersTable[[#This Row],[Order Date]]=_xlfn.MINIFS(Order_Date, Customer_ID, OrdersTable[[#This Row],[Customer ID]]), "New", "Repeat")</f>
        <v>New</v>
      </c>
      <c r="H999" t="s">
        <v>32</v>
      </c>
      <c r="I999" t="str">
        <f>INDEX(State!B:B,MATCH(OrdersTable[[#This Row],[State]],State!A:A,0))</f>
        <v>BR</v>
      </c>
      <c r="J999" t="str">
        <f>INDEX(State!C:C,MATCH(OrdersTable[[#This Row],[State Code]],State!B:B,0))</f>
        <v>East</v>
      </c>
      <c r="K999" t="s">
        <v>33</v>
      </c>
      <c r="L999" t="s">
        <v>65</v>
      </c>
      <c r="M999" t="s">
        <v>255</v>
      </c>
      <c r="N999" t="str">
        <f>INDEX(Products!B:B,MATCH(OrdersTable[[#This Row],[Product ID]],Products!A:A,0))</f>
        <v>Cotton Oversized T-Shirt</v>
      </c>
      <c r="O999" t="str">
        <f>INDEX(Products!C:C,MATCH(OrdersTable[[#This Row],[Product ID]],Products!A:A,0))</f>
        <v>Apparel</v>
      </c>
      <c r="P999">
        <v>1</v>
      </c>
      <c r="Q999" s="5">
        <v>799</v>
      </c>
      <c r="R999" s="74">
        <v>0</v>
      </c>
      <c r="S999" s="75">
        <f>OrdersTable[[#This Row],[Quantity]]*OrdersTable[[#This Row],[Unit Price]]</f>
        <v>799</v>
      </c>
      <c r="T999" s="5">
        <f>OrdersTable[[#This Row],[Gross Sale]]*OrdersTable[[#This Row],[Discount_Clean2]]</f>
        <v>0</v>
      </c>
      <c r="U999" s="5">
        <f>OrdersTable[[#This Row],[Gross Sale]]-OrdersTable[[#This Row],[Discount Amount]]</f>
        <v>799</v>
      </c>
      <c r="V999" s="77">
        <f>INDEX(Products!E:E,MATCH(OrdersTable[[#This Row],[Product ID]],Products!A:A,0))</f>
        <v>320</v>
      </c>
      <c r="W999" s="77">
        <f>OrdersTable[[#This Row],[Quantity]]*OrdersTable[[#This Row],[Unit Cost]]</f>
        <v>320</v>
      </c>
      <c r="X999" s="77">
        <f>'Dropdown Lists'!$I$2*(1+OrdersTable[[#This Row],[Returned]])</f>
        <v>60</v>
      </c>
      <c r="Y999" s="76">
        <f>OrdersTable[[#This Row],[Net Revenue]]-OrdersTable[[#This Row],[COGS]]-OrdersTable[[#This Row],[Shipping Cost]]</f>
        <v>419</v>
      </c>
      <c r="Z999" s="78">
        <f>IFERROR(OrdersTable[[#This Row],[Profit]]/OrdersTable[[#This Row],[Net Revenue]],0)</f>
        <v>0.52440550688360454</v>
      </c>
      <c r="AA999" t="s">
        <v>18</v>
      </c>
      <c r="AB999" s="79">
        <v>45497</v>
      </c>
      <c r="AC999">
        <f>OrdersTable[[#This Row],[Delivery Date]]-OrdersTable[[#This Row],[Order Date]]</f>
        <v>4</v>
      </c>
      <c r="AD999" t="str">
        <f>IF(OrdersTable[[#This Row],[Delivery Days]]&lt;=2, "Express (≤2d)", IF(OrdersTable[[#This Row],[Delivery Days]]&lt;=4, "Standard (3-4d)", "Delayed (5d+)"))</f>
        <v>Standard (3-4d)</v>
      </c>
      <c r="AE999">
        <v>4</v>
      </c>
      <c r="AF999">
        <v>0</v>
      </c>
    </row>
    <row r="1000" spans="1:32" ht="15" x14ac:dyDescent="0.35">
      <c r="A1000" t="s">
        <v>6291</v>
      </c>
      <c r="B1000" s="1">
        <v>45493</v>
      </c>
      <c r="C1000">
        <f>YEAR(OrdersTable[[#This Row],[Order Date]])</f>
        <v>2024</v>
      </c>
      <c r="D1000" s="2">
        <f>DATE(YEAR(OrdersTable[[#This Row],[Order Date]]),MONTH(OrdersTable[[#This Row],[Order Date]]),1)</f>
        <v>45474</v>
      </c>
      <c r="E1000">
        <f>MONTH(OrdersTable[[#This Row],[Order Date]])</f>
        <v>7</v>
      </c>
      <c r="F1000" t="s">
        <v>4606</v>
      </c>
      <c r="G1000" t="str">
        <f>IF(OrdersTable[[#This Row],[Order Date]]=_xlfn.MINIFS(Order_Date, Customer_ID, OrdersTable[[#This Row],[Customer ID]]), "New", "Repeat")</f>
        <v>New</v>
      </c>
      <c r="H1000" t="s">
        <v>43</v>
      </c>
      <c r="I1000" t="str">
        <f>INDEX(State!B:B,MATCH(OrdersTable[[#This Row],[State]],State!A:A,0))</f>
        <v>MP</v>
      </c>
      <c r="J1000" t="str">
        <f>INDEX(State!C:C,MATCH(OrdersTable[[#This Row],[State Code]],State!B:B,0))</f>
        <v>West</v>
      </c>
      <c r="K1000" t="s">
        <v>44</v>
      </c>
      <c r="L1000" t="s">
        <v>16</v>
      </c>
      <c r="M1000" t="s">
        <v>34</v>
      </c>
      <c r="N1000" t="str">
        <f>INDEX(Products!B:B,MATCH(OrdersTable[[#This Row],[Product ID]],Products!A:A,0))</f>
        <v>Flip Flops</v>
      </c>
      <c r="O1000" t="str">
        <f>INDEX(Products!C:C,MATCH(OrdersTable[[#This Row],[Product ID]],Products!A:A,0))</f>
        <v>Footwear</v>
      </c>
      <c r="P1000">
        <v>2</v>
      </c>
      <c r="Q1000" s="5">
        <v>399</v>
      </c>
      <c r="R1000" s="74">
        <v>0.2</v>
      </c>
      <c r="S1000" s="75">
        <f>OrdersTable[[#This Row],[Quantity]]*OrdersTable[[#This Row],[Unit Price]]</f>
        <v>798</v>
      </c>
      <c r="T1000" s="5">
        <f>OrdersTable[[#This Row],[Gross Sale]]*OrdersTable[[#This Row],[Discount_Clean2]]</f>
        <v>159.60000000000002</v>
      </c>
      <c r="U1000" s="5">
        <f>OrdersTable[[#This Row],[Gross Sale]]-OrdersTable[[#This Row],[Discount Amount]]</f>
        <v>638.4</v>
      </c>
      <c r="V1000" s="77">
        <f>INDEX(Products!E:E,MATCH(OrdersTable[[#This Row],[Product ID]],Products!A:A,0))</f>
        <v>152</v>
      </c>
      <c r="W1000" s="77">
        <f>OrdersTable[[#This Row],[Quantity]]*OrdersTable[[#This Row],[Unit Cost]]</f>
        <v>304</v>
      </c>
      <c r="X1000" s="77">
        <f>'Dropdown Lists'!$I$2*(1+OrdersTable[[#This Row],[Returned]])</f>
        <v>60</v>
      </c>
      <c r="Y1000" s="76">
        <f>OrdersTable[[#This Row],[Net Revenue]]-OrdersTable[[#This Row],[COGS]]-OrdersTable[[#This Row],[Shipping Cost]]</f>
        <v>274.39999999999998</v>
      </c>
      <c r="Z1000" s="78">
        <f>IFERROR(OrdersTable[[#This Row],[Profit]]/OrdersTable[[#This Row],[Net Revenue]],0)</f>
        <v>0.42982456140350878</v>
      </c>
      <c r="AA1000" t="s">
        <v>18</v>
      </c>
      <c r="AB1000" s="79">
        <v>45498</v>
      </c>
      <c r="AC1000">
        <f>OrdersTable[[#This Row],[Delivery Date]]-OrdersTable[[#This Row],[Order Date]]</f>
        <v>5</v>
      </c>
      <c r="AD1000" t="str">
        <f>IF(OrdersTable[[#This Row],[Delivery Days]]&lt;=2, "Express (≤2d)", IF(OrdersTable[[#This Row],[Delivery Days]]&lt;=4, "Standard (3-4d)", "Delayed (5d+)"))</f>
        <v>Delayed (5d+)</v>
      </c>
      <c r="AE1000">
        <v>3</v>
      </c>
      <c r="AF1000">
        <v>0</v>
      </c>
    </row>
    <row r="1001" spans="1:32" ht="15" x14ac:dyDescent="0.35">
      <c r="A1001" t="s">
        <v>2718</v>
      </c>
      <c r="B1001" s="1">
        <v>45493</v>
      </c>
      <c r="C1001">
        <f>YEAR(OrdersTable[[#This Row],[Order Date]])</f>
        <v>2024</v>
      </c>
      <c r="D1001" s="2">
        <f>DATE(YEAR(OrdersTable[[#This Row],[Order Date]]),MONTH(OrdersTable[[#This Row],[Order Date]]),1)</f>
        <v>45474</v>
      </c>
      <c r="E1001">
        <f>MONTH(OrdersTable[[#This Row],[Order Date]])</f>
        <v>7</v>
      </c>
      <c r="F1001" t="s">
        <v>2719</v>
      </c>
      <c r="G1001" t="str">
        <f>IF(OrdersTable[[#This Row],[Order Date]]=_xlfn.MINIFS(Order_Date, Customer_ID, OrdersTable[[#This Row],[Customer ID]]), "New", "Repeat")</f>
        <v>New</v>
      </c>
      <c r="H1001" t="s">
        <v>482</v>
      </c>
      <c r="I1001" t="str">
        <f>INDEX(State!B:B,MATCH(OrdersTable[[#This Row],[State]],State!A:A,0))</f>
        <v>CG</v>
      </c>
      <c r="J1001" t="str">
        <f>INDEX(State!C:C,MATCH(OrdersTable[[#This Row],[State Code]],State!B:B,0))</f>
        <v>East</v>
      </c>
      <c r="K1001" t="s">
        <v>483</v>
      </c>
      <c r="L1001" t="s">
        <v>23</v>
      </c>
      <c r="M1001" t="s">
        <v>34</v>
      </c>
      <c r="N1001" t="str">
        <f>INDEX(Products!B:B,MATCH(OrdersTable[[#This Row],[Product ID]],Products!A:A,0))</f>
        <v>Flip Flops</v>
      </c>
      <c r="O1001" t="str">
        <f>INDEX(Products!C:C,MATCH(OrdersTable[[#This Row],[Product ID]],Products!A:A,0))</f>
        <v>Footwear</v>
      </c>
      <c r="P1001">
        <v>1</v>
      </c>
      <c r="Q1001" s="5">
        <v>399</v>
      </c>
      <c r="R1001" s="74">
        <v>0.2</v>
      </c>
      <c r="S1001" s="75">
        <f>OrdersTable[[#This Row],[Quantity]]*OrdersTable[[#This Row],[Unit Price]]</f>
        <v>399</v>
      </c>
      <c r="T1001" s="5">
        <f>OrdersTable[[#This Row],[Gross Sale]]*OrdersTable[[#This Row],[Discount_Clean2]]</f>
        <v>79.800000000000011</v>
      </c>
      <c r="U1001" s="5">
        <f>OrdersTable[[#This Row],[Gross Sale]]-OrdersTable[[#This Row],[Discount Amount]]</f>
        <v>319.2</v>
      </c>
      <c r="V1001" s="77">
        <f>INDEX(Products!E:E,MATCH(OrdersTable[[#This Row],[Product ID]],Products!A:A,0))</f>
        <v>152</v>
      </c>
      <c r="W1001" s="77">
        <f>OrdersTable[[#This Row],[Quantity]]*OrdersTable[[#This Row],[Unit Cost]]</f>
        <v>152</v>
      </c>
      <c r="X1001" s="77">
        <f>'Dropdown Lists'!$I$2*(1+OrdersTable[[#This Row],[Returned]])</f>
        <v>120</v>
      </c>
      <c r="Y1001" s="76">
        <f>OrdersTable[[#This Row],[Net Revenue]]-OrdersTable[[#This Row],[COGS]]-OrdersTable[[#This Row],[Shipping Cost]]</f>
        <v>47.199999999999989</v>
      </c>
      <c r="Z1001" s="78">
        <f>IFERROR(OrdersTable[[#This Row],[Profit]]/OrdersTable[[#This Row],[Net Revenue]],0)</f>
        <v>0.14786967418546362</v>
      </c>
      <c r="AA1001" t="s">
        <v>2522</v>
      </c>
      <c r="AB1001" s="79">
        <v>45500</v>
      </c>
      <c r="AC1001">
        <f>OrdersTable[[#This Row],[Delivery Date]]-OrdersTable[[#This Row],[Order Date]]</f>
        <v>7</v>
      </c>
      <c r="AD1001" t="str">
        <f>IF(OrdersTable[[#This Row],[Delivery Days]]&lt;=2, "Express (≤2d)", IF(OrdersTable[[#This Row],[Delivery Days]]&lt;=4, "Standard (3-4d)", "Delayed (5d+)"))</f>
        <v>Delayed (5d+)</v>
      </c>
      <c r="AE1001">
        <v>3</v>
      </c>
      <c r="AF1001">
        <v>1</v>
      </c>
    </row>
    <row r="1002" spans="1:32" ht="15" x14ac:dyDescent="0.35">
      <c r="A1002" t="s">
        <v>3550</v>
      </c>
      <c r="B1002" s="1">
        <v>45493</v>
      </c>
      <c r="C1002">
        <f>YEAR(OrdersTable[[#This Row],[Order Date]])</f>
        <v>2024</v>
      </c>
      <c r="D1002" s="2">
        <f>DATE(YEAR(OrdersTable[[#This Row],[Order Date]]),MONTH(OrdersTable[[#This Row],[Order Date]]),1)</f>
        <v>45474</v>
      </c>
      <c r="E1002">
        <f>MONTH(OrdersTable[[#This Row],[Order Date]])</f>
        <v>7</v>
      </c>
      <c r="F1002" t="s">
        <v>1988</v>
      </c>
      <c r="G1002" t="str">
        <f>IF(OrdersTable[[#This Row],[Order Date]]=_xlfn.MINIFS(Order_Date, Customer_ID, OrdersTable[[#This Row],[Customer ID]]), "New", "Repeat")</f>
        <v>New</v>
      </c>
      <c r="H1002" t="s">
        <v>27</v>
      </c>
      <c r="I1002" t="str">
        <f>INDEX(State!B:B,MATCH(OrdersTable[[#This Row],[State]],State!A:A,0))</f>
        <v>WB</v>
      </c>
      <c r="J1002" t="str">
        <f>INDEX(State!C:C,MATCH(OrdersTable[[#This Row],[State Code]],State!B:B,0))</f>
        <v>East</v>
      </c>
      <c r="K1002" t="s">
        <v>28</v>
      </c>
      <c r="L1002" t="s">
        <v>39</v>
      </c>
      <c r="M1002" t="s">
        <v>56</v>
      </c>
      <c r="N1002" t="str">
        <f>INDEX(Products!B:B,MATCH(OrdersTable[[#This Row],[Product ID]],Products!A:A,0))</f>
        <v>Vitamin C Face Serum</v>
      </c>
      <c r="O1002" t="str">
        <f>INDEX(Products!C:C,MATCH(OrdersTable[[#This Row],[Product ID]],Products!A:A,0))</f>
        <v>Skincare</v>
      </c>
      <c r="P1002">
        <v>1</v>
      </c>
      <c r="Q1002" s="5">
        <v>599</v>
      </c>
      <c r="R1002" s="74">
        <v>0.2</v>
      </c>
      <c r="S1002" s="75">
        <f>OrdersTable[[#This Row],[Quantity]]*OrdersTable[[#This Row],[Unit Price]]</f>
        <v>599</v>
      </c>
      <c r="T1002" s="5">
        <f>OrdersTable[[#This Row],[Gross Sale]]*OrdersTable[[#This Row],[Discount_Clean2]]</f>
        <v>119.80000000000001</v>
      </c>
      <c r="U1002" s="5">
        <f>OrdersTable[[#This Row],[Gross Sale]]-OrdersTable[[#This Row],[Discount Amount]]</f>
        <v>479.2</v>
      </c>
      <c r="V1002" s="77">
        <f>INDEX(Products!E:E,MATCH(OrdersTable[[#This Row],[Product ID]],Products!A:A,0))</f>
        <v>180</v>
      </c>
      <c r="W1002" s="77">
        <f>OrdersTable[[#This Row],[Quantity]]*OrdersTable[[#This Row],[Unit Cost]]</f>
        <v>180</v>
      </c>
      <c r="X1002" s="77">
        <f>'Dropdown Lists'!$I$2*(1+OrdersTable[[#This Row],[Returned]])</f>
        <v>60</v>
      </c>
      <c r="Y1002" s="76">
        <f>OrdersTable[[#This Row],[Net Revenue]]-OrdersTable[[#This Row],[COGS]]-OrdersTable[[#This Row],[Shipping Cost]]</f>
        <v>239.2</v>
      </c>
      <c r="Z1002" s="78">
        <f>IFERROR(OrdersTable[[#This Row],[Profit]]/OrdersTable[[#This Row],[Net Revenue]],0)</f>
        <v>0.4991652754590985</v>
      </c>
      <c r="AA1002" t="s">
        <v>3495</v>
      </c>
      <c r="AB1002" s="79">
        <v>45497</v>
      </c>
      <c r="AC1002">
        <f>OrdersTable[[#This Row],[Delivery Date]]-OrdersTable[[#This Row],[Order Date]]</f>
        <v>4</v>
      </c>
      <c r="AD1002" t="str">
        <f>IF(OrdersTable[[#This Row],[Delivery Days]]&lt;=2, "Express (≤2d)", IF(OrdersTable[[#This Row],[Delivery Days]]&lt;=4, "Standard (3-4d)", "Delayed (5d+)"))</f>
        <v>Standard (3-4d)</v>
      </c>
      <c r="AE1002">
        <v>4</v>
      </c>
      <c r="AF1002">
        <v>0</v>
      </c>
    </row>
    <row r="1003" spans="1:32" ht="15" x14ac:dyDescent="0.35">
      <c r="A1003" t="s">
        <v>1485</v>
      </c>
      <c r="B1003" s="1">
        <v>45493</v>
      </c>
      <c r="C1003">
        <f>YEAR(OrdersTable[[#This Row],[Order Date]])</f>
        <v>2024</v>
      </c>
      <c r="D1003" s="2">
        <f>DATE(YEAR(OrdersTable[[#This Row],[Order Date]]),MONTH(OrdersTable[[#This Row],[Order Date]]),1)</f>
        <v>45474</v>
      </c>
      <c r="E1003">
        <f>MONTH(OrdersTable[[#This Row],[Order Date]])</f>
        <v>7</v>
      </c>
      <c r="F1003" t="s">
        <v>1486</v>
      </c>
      <c r="G1003" t="str">
        <f>IF(OrdersTable[[#This Row],[Order Date]]=_xlfn.MINIFS(Order_Date, Customer_ID, OrdersTable[[#This Row],[Customer ID]]), "New", "Repeat")</f>
        <v>New</v>
      </c>
      <c r="H1003" t="s">
        <v>27</v>
      </c>
      <c r="I1003" t="str">
        <f>INDEX(State!B:B,MATCH(OrdersTable[[#This Row],[State]],State!A:A,0))</f>
        <v>WB</v>
      </c>
      <c r="J1003" t="str">
        <f>INDEX(State!C:C,MATCH(OrdersTable[[#This Row],[State Code]],State!B:B,0))</f>
        <v>East</v>
      </c>
      <c r="K1003" t="s">
        <v>28</v>
      </c>
      <c r="L1003" t="s">
        <v>39</v>
      </c>
      <c r="M1003" t="s">
        <v>92</v>
      </c>
      <c r="N1003" t="str">
        <f>INDEX(Products!B:B,MATCH(OrdersTable[[#This Row],[Product ID]],Products!A:A,0))</f>
        <v>Kolhapuri Sandals</v>
      </c>
      <c r="O1003" t="str">
        <f>INDEX(Products!C:C,MATCH(OrdersTable[[#This Row],[Product ID]],Products!A:A,0))</f>
        <v>Footwear</v>
      </c>
      <c r="P1003">
        <v>1</v>
      </c>
      <c r="Q1003" s="5">
        <v>999</v>
      </c>
      <c r="R1003" s="74">
        <v>0</v>
      </c>
      <c r="S1003" s="75">
        <f>OrdersTable[[#This Row],[Quantity]]*OrdersTable[[#This Row],[Unit Price]]</f>
        <v>999</v>
      </c>
      <c r="T1003" s="5">
        <f>OrdersTable[[#This Row],[Gross Sale]]*OrdersTable[[#This Row],[Discount_Clean2]]</f>
        <v>0</v>
      </c>
      <c r="U1003" s="5">
        <f>OrdersTable[[#This Row],[Gross Sale]]-OrdersTable[[#This Row],[Discount Amount]]</f>
        <v>999</v>
      </c>
      <c r="V1003" s="77">
        <f>INDEX(Products!E:E,MATCH(OrdersTable[[#This Row],[Product ID]],Products!A:A,0))</f>
        <v>400</v>
      </c>
      <c r="W1003" s="77">
        <f>OrdersTable[[#This Row],[Quantity]]*OrdersTable[[#This Row],[Unit Cost]]</f>
        <v>400</v>
      </c>
      <c r="X1003" s="77">
        <f>'Dropdown Lists'!$I$2*(1+OrdersTable[[#This Row],[Returned]])</f>
        <v>60</v>
      </c>
      <c r="Y1003" s="76">
        <f>OrdersTable[[#This Row],[Net Revenue]]-OrdersTable[[#This Row],[COGS]]-OrdersTable[[#This Row],[Shipping Cost]]</f>
        <v>539</v>
      </c>
      <c r="Z1003" s="78">
        <f>IFERROR(OrdersTable[[#This Row],[Profit]]/OrdersTable[[#This Row],[Net Revenue]],0)</f>
        <v>0.53953953953953959</v>
      </c>
      <c r="AA1003" t="s">
        <v>18</v>
      </c>
      <c r="AB1003" s="79">
        <v>45499</v>
      </c>
      <c r="AC1003">
        <f>OrdersTable[[#This Row],[Delivery Date]]-OrdersTable[[#This Row],[Order Date]]</f>
        <v>6</v>
      </c>
      <c r="AD1003" t="str">
        <f>IF(OrdersTable[[#This Row],[Delivery Days]]&lt;=2, "Express (≤2d)", IF(OrdersTable[[#This Row],[Delivery Days]]&lt;=4, "Standard (3-4d)", "Delayed (5d+)"))</f>
        <v>Delayed (5d+)</v>
      </c>
      <c r="AF1003">
        <v>0</v>
      </c>
    </row>
    <row r="1004" spans="1:32" ht="15" x14ac:dyDescent="0.35">
      <c r="A1004" t="s">
        <v>1353</v>
      </c>
      <c r="B1004" s="1">
        <v>45493</v>
      </c>
      <c r="C1004">
        <f>YEAR(OrdersTable[[#This Row],[Order Date]])</f>
        <v>2024</v>
      </c>
      <c r="D1004" s="2">
        <f>DATE(YEAR(OrdersTable[[#This Row],[Order Date]]),MONTH(OrdersTable[[#This Row],[Order Date]]),1)</f>
        <v>45474</v>
      </c>
      <c r="E1004">
        <f>MONTH(OrdersTable[[#This Row],[Order Date]])</f>
        <v>7</v>
      </c>
      <c r="F1004" t="s">
        <v>1354</v>
      </c>
      <c r="G1004" t="str">
        <f>IF(OrdersTable[[#This Row],[Order Date]]=_xlfn.MINIFS(Order_Date, Customer_ID, OrdersTable[[#This Row],[Customer ID]]), "New", "Repeat")</f>
        <v>New</v>
      </c>
      <c r="H1004" t="s">
        <v>71</v>
      </c>
      <c r="I1004" t="str">
        <f>INDEX(State!B:B,MATCH(OrdersTable[[#This Row],[State]],State!A:A,0))</f>
        <v>MH</v>
      </c>
      <c r="J1004" t="str">
        <f>INDEX(State!C:C,MATCH(OrdersTable[[#This Row],[State Code]],State!B:B,0))</f>
        <v>West</v>
      </c>
      <c r="K1004" t="s">
        <v>102</v>
      </c>
      <c r="L1004" t="s">
        <v>23</v>
      </c>
      <c r="M1004" t="s">
        <v>45</v>
      </c>
      <c r="N1004" t="str">
        <f>INDEX(Products!B:B,MATCH(OrdersTable[[#This Row],[Product ID]],Products!A:A,0))</f>
        <v>Argan Shampoo</v>
      </c>
      <c r="O1004" t="str">
        <f>INDEX(Products!C:C,MATCH(OrdersTable[[#This Row],[Product ID]],Products!A:A,0))</f>
        <v>Haircare</v>
      </c>
      <c r="P1004">
        <v>1</v>
      </c>
      <c r="Q1004" s="5">
        <v>449</v>
      </c>
      <c r="R1004" s="74">
        <v>0.05</v>
      </c>
      <c r="S1004" s="75">
        <f>OrdersTable[[#This Row],[Quantity]]*OrdersTable[[#This Row],[Unit Price]]</f>
        <v>449</v>
      </c>
      <c r="T1004" s="5">
        <f>OrdersTable[[#This Row],[Gross Sale]]*OrdersTable[[#This Row],[Discount_Clean2]]</f>
        <v>22.450000000000003</v>
      </c>
      <c r="U1004" s="5">
        <f>OrdersTable[[#This Row],[Gross Sale]]-OrdersTable[[#This Row],[Discount Amount]]</f>
        <v>426.55</v>
      </c>
      <c r="V1004" s="77">
        <f>INDEX(Products!E:E,MATCH(OrdersTable[[#This Row],[Product ID]],Products!A:A,0))</f>
        <v>148</v>
      </c>
      <c r="W1004" s="77">
        <f>OrdersTable[[#This Row],[Quantity]]*OrdersTable[[#This Row],[Unit Cost]]</f>
        <v>148</v>
      </c>
      <c r="X1004" s="77">
        <f>'Dropdown Lists'!$I$2*(1+OrdersTable[[#This Row],[Returned]])</f>
        <v>60</v>
      </c>
      <c r="Y1004" s="76">
        <f>OrdersTable[[#This Row],[Net Revenue]]-OrdersTable[[#This Row],[COGS]]-OrdersTable[[#This Row],[Shipping Cost]]</f>
        <v>218.55</v>
      </c>
      <c r="Z1004" s="78">
        <f>IFERROR(OrdersTable[[#This Row],[Profit]]/OrdersTable[[#This Row],[Net Revenue]],0)</f>
        <v>0.51236666275934828</v>
      </c>
      <c r="AA1004" t="s">
        <v>18</v>
      </c>
      <c r="AB1004" s="79">
        <v>45495</v>
      </c>
      <c r="AC1004">
        <f>OrdersTable[[#This Row],[Delivery Date]]-OrdersTable[[#This Row],[Order Date]]</f>
        <v>2</v>
      </c>
      <c r="AD1004" t="str">
        <f>IF(OrdersTable[[#This Row],[Delivery Days]]&lt;=2, "Express (≤2d)", IF(OrdersTable[[#This Row],[Delivery Days]]&lt;=4, "Standard (3-4d)", "Delayed (5d+)"))</f>
        <v>Express (≤2d)</v>
      </c>
      <c r="AF1004">
        <v>0</v>
      </c>
    </row>
    <row r="1005" spans="1:32" ht="15" x14ac:dyDescent="0.35">
      <c r="A1005" t="s">
        <v>4917</v>
      </c>
      <c r="B1005" s="1">
        <v>45493</v>
      </c>
      <c r="C1005">
        <f>YEAR(OrdersTable[[#This Row],[Order Date]])</f>
        <v>2024</v>
      </c>
      <c r="D1005" s="2">
        <f>DATE(YEAR(OrdersTable[[#This Row],[Order Date]]),MONTH(OrdersTable[[#This Row],[Order Date]]),1)</f>
        <v>45474</v>
      </c>
      <c r="E1005">
        <f>MONTH(OrdersTable[[#This Row],[Order Date]])</f>
        <v>7</v>
      </c>
      <c r="F1005" t="s">
        <v>3002</v>
      </c>
      <c r="G1005" t="str">
        <f>IF(OrdersTable[[#This Row],[Order Date]]=_xlfn.MINIFS(Order_Date, Customer_ID, OrdersTable[[#This Row],[Customer ID]]), "New", "Repeat")</f>
        <v>New</v>
      </c>
      <c r="H1005" t="s">
        <v>71</v>
      </c>
      <c r="I1005" t="str">
        <f>INDEX(State!B:B,MATCH(OrdersTable[[#This Row],[State]],State!A:A,0))</f>
        <v>MH</v>
      </c>
      <c r="J1005" t="str">
        <f>INDEX(State!C:C,MATCH(OrdersTable[[#This Row],[State Code]],State!B:B,0))</f>
        <v>West</v>
      </c>
      <c r="K1005" t="s">
        <v>72</v>
      </c>
      <c r="L1005" t="s">
        <v>65</v>
      </c>
      <c r="M1005" t="s">
        <v>40</v>
      </c>
      <c r="N1005" t="str">
        <f>INDEX(Products!B:B,MATCH(OrdersTable[[#This Row],[Product ID]],Products!A:A,0))</f>
        <v>Ashwagandha Capsules</v>
      </c>
      <c r="O1005" t="str">
        <f>INDEX(Products!C:C,MATCH(OrdersTable[[#This Row],[Product ID]],Products!A:A,0))</f>
        <v>Wellness</v>
      </c>
      <c r="P1005">
        <v>2</v>
      </c>
      <c r="Q1005" s="5">
        <v>499</v>
      </c>
      <c r="R1005" s="74">
        <v>0</v>
      </c>
      <c r="S1005" s="75">
        <f>OrdersTable[[#This Row],[Quantity]]*OrdersTable[[#This Row],[Unit Price]]</f>
        <v>998</v>
      </c>
      <c r="T1005" s="5">
        <f>OrdersTable[[#This Row],[Gross Sale]]*OrdersTable[[#This Row],[Discount_Clean2]]</f>
        <v>0</v>
      </c>
      <c r="U1005" s="5">
        <f>OrdersTable[[#This Row],[Gross Sale]]-OrdersTable[[#This Row],[Discount Amount]]</f>
        <v>998</v>
      </c>
      <c r="V1005" s="77">
        <f>INDEX(Products!E:E,MATCH(OrdersTable[[#This Row],[Product ID]],Products!A:A,0))</f>
        <v>150</v>
      </c>
      <c r="W1005" s="77">
        <f>OrdersTable[[#This Row],[Quantity]]*OrdersTable[[#This Row],[Unit Cost]]</f>
        <v>300</v>
      </c>
      <c r="X1005" s="77">
        <f>'Dropdown Lists'!$I$2*(1+OrdersTable[[#This Row],[Returned]])</f>
        <v>60</v>
      </c>
      <c r="Y1005" s="76">
        <f>OrdersTable[[#This Row],[Net Revenue]]-OrdersTable[[#This Row],[COGS]]-OrdersTable[[#This Row],[Shipping Cost]]</f>
        <v>638</v>
      </c>
      <c r="Z1005" s="78">
        <f>IFERROR(OrdersTable[[#This Row],[Profit]]/OrdersTable[[#This Row],[Net Revenue]],0)</f>
        <v>0.63927855711422843</v>
      </c>
      <c r="AA1005" t="s">
        <v>4074</v>
      </c>
      <c r="AB1005" s="79">
        <v>45495</v>
      </c>
      <c r="AC1005">
        <f>OrdersTable[[#This Row],[Delivery Date]]-OrdersTable[[#This Row],[Order Date]]</f>
        <v>2</v>
      </c>
      <c r="AD1005" t="str">
        <f>IF(OrdersTable[[#This Row],[Delivery Days]]&lt;=2, "Express (≤2d)", IF(OrdersTable[[#This Row],[Delivery Days]]&lt;=4, "Standard (3-4d)", "Delayed (5d+)"))</f>
        <v>Express (≤2d)</v>
      </c>
      <c r="AE1005">
        <v>4</v>
      </c>
      <c r="AF1005">
        <v>0</v>
      </c>
    </row>
    <row r="1006" spans="1:32" ht="15" x14ac:dyDescent="0.35">
      <c r="A1006" t="s">
        <v>4782</v>
      </c>
      <c r="B1006" s="1">
        <v>45493</v>
      </c>
      <c r="C1006">
        <f>YEAR(OrdersTable[[#This Row],[Order Date]])</f>
        <v>2024</v>
      </c>
      <c r="D1006" s="2">
        <f>DATE(YEAR(OrdersTable[[#This Row],[Order Date]]),MONTH(OrdersTable[[#This Row],[Order Date]]),1)</f>
        <v>45474</v>
      </c>
      <c r="E1006">
        <f>MONTH(OrdersTable[[#This Row],[Order Date]])</f>
        <v>7</v>
      </c>
      <c r="F1006" t="s">
        <v>1279</v>
      </c>
      <c r="G1006" t="str">
        <f>IF(OrdersTable[[#This Row],[Order Date]]=_xlfn.MINIFS(Order_Date, Customer_ID, OrdersTable[[#This Row],[Customer ID]]), "New", "Repeat")</f>
        <v>Repeat</v>
      </c>
      <c r="H1006" t="s">
        <v>95</v>
      </c>
      <c r="I1006" t="str">
        <f>INDEX(State!B:B,MATCH(OrdersTable[[#This Row],[State]],State!A:A,0))</f>
        <v>TG</v>
      </c>
      <c r="J1006" t="str">
        <f>INDEX(State!C:C,MATCH(OrdersTable[[#This Row],[State Code]],State!B:B,0))</f>
        <v>South</v>
      </c>
      <c r="K1006" t="s">
        <v>96</v>
      </c>
      <c r="L1006" t="s">
        <v>50</v>
      </c>
      <c r="M1006" t="s">
        <v>40</v>
      </c>
      <c r="N1006" t="str">
        <f>INDEX(Products!B:B,MATCH(OrdersTable[[#This Row],[Product ID]],Products!A:A,0))</f>
        <v>Ashwagandha Capsules</v>
      </c>
      <c r="O1006" t="str">
        <f>INDEX(Products!C:C,MATCH(OrdersTable[[#This Row],[Product ID]],Products!A:A,0))</f>
        <v>Wellness</v>
      </c>
      <c r="P1006">
        <v>2</v>
      </c>
      <c r="Q1006" s="5">
        <v>499</v>
      </c>
      <c r="R1006" s="74">
        <v>0.1</v>
      </c>
      <c r="S1006" s="75">
        <f>OrdersTable[[#This Row],[Quantity]]*OrdersTable[[#This Row],[Unit Price]]</f>
        <v>998</v>
      </c>
      <c r="T1006" s="5">
        <f>OrdersTable[[#This Row],[Gross Sale]]*OrdersTable[[#This Row],[Discount_Clean2]]</f>
        <v>99.800000000000011</v>
      </c>
      <c r="U1006" s="5">
        <f>OrdersTable[[#This Row],[Gross Sale]]-OrdersTable[[#This Row],[Discount Amount]]</f>
        <v>898.2</v>
      </c>
      <c r="V1006" s="77">
        <f>INDEX(Products!E:E,MATCH(OrdersTable[[#This Row],[Product ID]],Products!A:A,0))</f>
        <v>150</v>
      </c>
      <c r="W1006" s="77">
        <f>OrdersTable[[#This Row],[Quantity]]*OrdersTable[[#This Row],[Unit Cost]]</f>
        <v>300</v>
      </c>
      <c r="X1006" s="77">
        <f>'Dropdown Lists'!$I$2*(1+OrdersTable[[#This Row],[Returned]])</f>
        <v>60</v>
      </c>
      <c r="Y1006" s="76">
        <f>OrdersTable[[#This Row],[Net Revenue]]-OrdersTable[[#This Row],[COGS]]-OrdersTable[[#This Row],[Shipping Cost]]</f>
        <v>538.20000000000005</v>
      </c>
      <c r="Z1006" s="78">
        <f>IFERROR(OrdersTable[[#This Row],[Profit]]/OrdersTable[[#This Row],[Net Revenue]],0)</f>
        <v>0.59919839679358722</v>
      </c>
      <c r="AA1006" t="s">
        <v>4450</v>
      </c>
      <c r="AB1006" s="79">
        <v>45496</v>
      </c>
      <c r="AC1006">
        <f>OrdersTable[[#This Row],[Delivery Date]]-OrdersTable[[#This Row],[Order Date]]</f>
        <v>3</v>
      </c>
      <c r="AD1006" t="str">
        <f>IF(OrdersTable[[#This Row],[Delivery Days]]&lt;=2, "Express (≤2d)", IF(OrdersTable[[#This Row],[Delivery Days]]&lt;=4, "Standard (3-4d)", "Delayed (5d+)"))</f>
        <v>Standard (3-4d)</v>
      </c>
      <c r="AE1006">
        <v>3</v>
      </c>
      <c r="AF1006">
        <v>0</v>
      </c>
    </row>
    <row r="1007" spans="1:32" ht="15" x14ac:dyDescent="0.35">
      <c r="A1007" t="s">
        <v>6072</v>
      </c>
      <c r="B1007" s="1">
        <v>45493</v>
      </c>
      <c r="C1007">
        <f>YEAR(OrdersTable[[#This Row],[Order Date]])</f>
        <v>2024</v>
      </c>
      <c r="D1007" s="2">
        <f>DATE(YEAR(OrdersTable[[#This Row],[Order Date]]),MONTH(OrdersTable[[#This Row],[Order Date]]),1)</f>
        <v>45474</v>
      </c>
      <c r="E1007">
        <f>MONTH(OrdersTable[[#This Row],[Order Date]])</f>
        <v>7</v>
      </c>
      <c r="F1007" t="s">
        <v>6073</v>
      </c>
      <c r="G1007" t="str">
        <f>IF(OrdersTable[[#This Row],[Order Date]]=_xlfn.MINIFS(Order_Date, Customer_ID, OrdersTable[[#This Row],[Customer ID]]), "New", "Repeat")</f>
        <v>New</v>
      </c>
      <c r="H1007" t="s">
        <v>95</v>
      </c>
      <c r="I1007" t="str">
        <f>INDEX(State!B:B,MATCH(OrdersTable[[#This Row],[State]],State!A:A,0))</f>
        <v>TG</v>
      </c>
      <c r="J1007" t="str">
        <f>INDEX(State!C:C,MATCH(OrdersTable[[#This Row],[State Code]],State!B:B,0))</f>
        <v>South</v>
      </c>
      <c r="K1007" t="s">
        <v>96</v>
      </c>
      <c r="L1007" t="s">
        <v>23</v>
      </c>
      <c r="M1007" t="s">
        <v>45</v>
      </c>
      <c r="N1007" t="str">
        <f>INDEX(Products!B:B,MATCH(OrdersTable[[#This Row],[Product ID]],Products!A:A,0))</f>
        <v>Argan Shampoo</v>
      </c>
      <c r="O1007" t="str">
        <f>INDEX(Products!C:C,MATCH(OrdersTable[[#This Row],[Product ID]],Products!A:A,0))</f>
        <v>Haircare</v>
      </c>
      <c r="P1007">
        <v>2</v>
      </c>
      <c r="Q1007" s="5">
        <v>449</v>
      </c>
      <c r="R1007" s="74">
        <v>0.05</v>
      </c>
      <c r="S1007" s="75">
        <f>OrdersTable[[#This Row],[Quantity]]*OrdersTable[[#This Row],[Unit Price]]</f>
        <v>898</v>
      </c>
      <c r="T1007" s="5">
        <f>OrdersTable[[#This Row],[Gross Sale]]*OrdersTable[[#This Row],[Discount_Clean2]]</f>
        <v>44.900000000000006</v>
      </c>
      <c r="U1007" s="5">
        <f>OrdersTable[[#This Row],[Gross Sale]]-OrdersTable[[#This Row],[Discount Amount]]</f>
        <v>853.1</v>
      </c>
      <c r="V1007" s="77">
        <f>INDEX(Products!E:E,MATCH(OrdersTable[[#This Row],[Product ID]],Products!A:A,0))</f>
        <v>148</v>
      </c>
      <c r="W1007" s="77">
        <f>OrdersTable[[#This Row],[Quantity]]*OrdersTable[[#This Row],[Unit Cost]]</f>
        <v>296</v>
      </c>
      <c r="X1007" s="77">
        <f>'Dropdown Lists'!$I$2*(1+OrdersTable[[#This Row],[Returned]])</f>
        <v>120</v>
      </c>
      <c r="Y1007" s="76">
        <f>OrdersTable[[#This Row],[Net Revenue]]-OrdersTable[[#This Row],[COGS]]-OrdersTable[[#This Row],[Shipping Cost]]</f>
        <v>437.1</v>
      </c>
      <c r="Z1007" s="78">
        <f>IFERROR(OrdersTable[[#This Row],[Profit]]/OrdersTable[[#This Row],[Net Revenue]],0)</f>
        <v>0.51236666275934828</v>
      </c>
      <c r="AA1007" t="s">
        <v>18</v>
      </c>
      <c r="AB1007" s="79">
        <v>45496</v>
      </c>
      <c r="AC1007">
        <f>OrdersTable[[#This Row],[Delivery Date]]-OrdersTable[[#This Row],[Order Date]]</f>
        <v>3</v>
      </c>
      <c r="AD1007" t="str">
        <f>IF(OrdersTable[[#This Row],[Delivery Days]]&lt;=2, "Express (≤2d)", IF(OrdersTable[[#This Row],[Delivery Days]]&lt;=4, "Standard (3-4d)", "Delayed (5d+)"))</f>
        <v>Standard (3-4d)</v>
      </c>
      <c r="AE1007">
        <v>4</v>
      </c>
      <c r="AF1007">
        <v>1</v>
      </c>
    </row>
    <row r="1008" spans="1:32" ht="15" x14ac:dyDescent="0.35">
      <c r="A1008" t="s">
        <v>3190</v>
      </c>
      <c r="B1008" s="1">
        <v>45493</v>
      </c>
      <c r="C1008">
        <f>YEAR(OrdersTable[[#This Row],[Order Date]])</f>
        <v>2024</v>
      </c>
      <c r="D1008" s="2">
        <f>DATE(YEAR(OrdersTable[[#This Row],[Order Date]]),MONTH(OrdersTable[[#This Row],[Order Date]]),1)</f>
        <v>45474</v>
      </c>
      <c r="E1008">
        <f>MONTH(OrdersTable[[#This Row],[Order Date]])</f>
        <v>7</v>
      </c>
      <c r="F1008" t="s">
        <v>891</v>
      </c>
      <c r="G1008" t="str">
        <f>IF(OrdersTable[[#This Row],[Order Date]]=_xlfn.MINIFS(Order_Date, Customer_ID, OrdersTable[[#This Row],[Customer ID]]), "New", "Repeat")</f>
        <v>Repeat</v>
      </c>
      <c r="H1008" t="s">
        <v>14</v>
      </c>
      <c r="I1008" t="str">
        <f>INDEX(State!B:B,MATCH(OrdersTable[[#This Row],[State]],State!A:A,0))</f>
        <v>OD</v>
      </c>
      <c r="J1008" t="str">
        <f>INDEX(State!C:C,MATCH(OrdersTable[[#This Row],[State Code]],State!B:B,0))</f>
        <v>East</v>
      </c>
      <c r="K1008" t="s">
        <v>15</v>
      </c>
      <c r="L1008" t="s">
        <v>16</v>
      </c>
      <c r="M1008" t="s">
        <v>92</v>
      </c>
      <c r="N1008" t="str">
        <f>INDEX(Products!B:B,MATCH(OrdersTable[[#This Row],[Product ID]],Products!A:A,0))</f>
        <v>Kolhapuri Sandals</v>
      </c>
      <c r="O1008" t="str">
        <f>INDEX(Products!C:C,MATCH(OrdersTable[[#This Row],[Product ID]],Products!A:A,0))</f>
        <v>Footwear</v>
      </c>
      <c r="P1008">
        <v>1</v>
      </c>
      <c r="Q1008" s="5">
        <v>999</v>
      </c>
      <c r="R1008" s="74">
        <v>0.05</v>
      </c>
      <c r="S1008" s="75">
        <f>OrdersTable[[#This Row],[Quantity]]*OrdersTable[[#This Row],[Unit Price]]</f>
        <v>999</v>
      </c>
      <c r="T1008" s="5">
        <f>OrdersTable[[#This Row],[Gross Sale]]*OrdersTable[[#This Row],[Discount_Clean2]]</f>
        <v>49.95</v>
      </c>
      <c r="U1008" s="5">
        <f>OrdersTable[[#This Row],[Gross Sale]]-OrdersTable[[#This Row],[Discount Amount]]</f>
        <v>949.05</v>
      </c>
      <c r="V1008" s="77">
        <f>INDEX(Products!E:E,MATCH(OrdersTable[[#This Row],[Product ID]],Products!A:A,0))</f>
        <v>400</v>
      </c>
      <c r="W1008" s="77">
        <f>OrdersTable[[#This Row],[Quantity]]*OrdersTable[[#This Row],[Unit Cost]]</f>
        <v>400</v>
      </c>
      <c r="X1008" s="77">
        <f>'Dropdown Lists'!$I$2*(1+OrdersTable[[#This Row],[Returned]])</f>
        <v>60</v>
      </c>
      <c r="Y1008" s="76">
        <f>OrdersTable[[#This Row],[Net Revenue]]-OrdersTable[[#This Row],[COGS]]-OrdersTable[[#This Row],[Shipping Cost]]</f>
        <v>489.04999999999995</v>
      </c>
      <c r="Z1008" s="78">
        <f>IFERROR(OrdersTable[[#This Row],[Profit]]/OrdersTable[[#This Row],[Net Revenue]],0)</f>
        <v>0.5153047784626732</v>
      </c>
      <c r="AA1008" t="s">
        <v>2522</v>
      </c>
      <c r="AB1008" s="79">
        <v>45496</v>
      </c>
      <c r="AC1008">
        <f>OrdersTable[[#This Row],[Delivery Date]]-OrdersTable[[#This Row],[Order Date]]</f>
        <v>3</v>
      </c>
      <c r="AD1008" t="str">
        <f>IF(OrdersTable[[#This Row],[Delivery Days]]&lt;=2, "Express (≤2d)", IF(OrdersTable[[#This Row],[Delivery Days]]&lt;=4, "Standard (3-4d)", "Delayed (5d+)"))</f>
        <v>Standard (3-4d)</v>
      </c>
      <c r="AE1008">
        <v>4</v>
      </c>
      <c r="AF1008">
        <v>0</v>
      </c>
    </row>
    <row r="1009" spans="1:32" ht="15" x14ac:dyDescent="0.35">
      <c r="A1009" t="s">
        <v>6681</v>
      </c>
      <c r="B1009" s="1">
        <v>45493</v>
      </c>
      <c r="C1009">
        <f>YEAR(OrdersTable[[#This Row],[Order Date]])</f>
        <v>2024</v>
      </c>
      <c r="D1009" s="2">
        <f>DATE(YEAR(OrdersTable[[#This Row],[Order Date]]),MONTH(OrdersTable[[#This Row],[Order Date]]),1)</f>
        <v>45474</v>
      </c>
      <c r="E1009">
        <f>MONTH(OrdersTable[[#This Row],[Order Date]])</f>
        <v>7</v>
      </c>
      <c r="F1009" t="s">
        <v>6682</v>
      </c>
      <c r="G1009" t="str">
        <f>IF(OrdersTable[[#This Row],[Order Date]]=_xlfn.MINIFS(Order_Date, Customer_ID, OrdersTable[[#This Row],[Customer ID]]), "New", "Repeat")</f>
        <v>New</v>
      </c>
      <c r="H1009" t="s">
        <v>59</v>
      </c>
      <c r="I1009" t="str">
        <f>INDEX(State!B:B,MATCH(OrdersTable[[#This Row],[State]],State!A:A,0))</f>
        <v>TN</v>
      </c>
      <c r="J1009" t="str">
        <f>INDEX(State!C:C,MATCH(OrdersTable[[#This Row],[State Code]],State!B:B,0))</f>
        <v>South</v>
      </c>
      <c r="K1009" t="s">
        <v>60</v>
      </c>
      <c r="L1009" t="s">
        <v>65</v>
      </c>
      <c r="M1009" t="s">
        <v>92</v>
      </c>
      <c r="N1009" t="str">
        <f>INDEX(Products!B:B,MATCH(OrdersTable[[#This Row],[Product ID]],Products!A:A,0))</f>
        <v>Kolhapuri Sandals</v>
      </c>
      <c r="O1009" t="str">
        <f>INDEX(Products!C:C,MATCH(OrdersTable[[#This Row],[Product ID]],Products!A:A,0))</f>
        <v>Footwear</v>
      </c>
      <c r="P1009">
        <v>3</v>
      </c>
      <c r="Q1009" s="5">
        <v>999</v>
      </c>
      <c r="R1009" s="74">
        <v>0.05</v>
      </c>
      <c r="S1009" s="75">
        <f>OrdersTable[[#This Row],[Quantity]]*OrdersTable[[#This Row],[Unit Price]]</f>
        <v>2997</v>
      </c>
      <c r="T1009" s="5">
        <f>OrdersTable[[#This Row],[Gross Sale]]*OrdersTable[[#This Row],[Discount_Clean2]]</f>
        <v>149.85</v>
      </c>
      <c r="U1009" s="5">
        <f>OrdersTable[[#This Row],[Gross Sale]]-OrdersTable[[#This Row],[Discount Amount]]</f>
        <v>2847.15</v>
      </c>
      <c r="V1009" s="77">
        <f>INDEX(Products!E:E,MATCH(OrdersTable[[#This Row],[Product ID]],Products!A:A,0))</f>
        <v>400</v>
      </c>
      <c r="W1009" s="77">
        <f>OrdersTable[[#This Row],[Quantity]]*OrdersTable[[#This Row],[Unit Cost]]</f>
        <v>1200</v>
      </c>
      <c r="X1009" s="77">
        <f>'Dropdown Lists'!$I$2*(1+OrdersTable[[#This Row],[Returned]])</f>
        <v>120</v>
      </c>
      <c r="Y1009" s="76">
        <f>OrdersTable[[#This Row],[Net Revenue]]-OrdersTable[[#This Row],[COGS]]-OrdersTable[[#This Row],[Shipping Cost]]</f>
        <v>1527.15</v>
      </c>
      <c r="Z1009" s="78">
        <f>IFERROR(OrdersTable[[#This Row],[Profit]]/OrdersTable[[#This Row],[Net Revenue]],0)</f>
        <v>0.53637848374690478</v>
      </c>
      <c r="AA1009" t="s">
        <v>2522</v>
      </c>
      <c r="AB1009" s="79">
        <v>45496</v>
      </c>
      <c r="AC1009">
        <f>OrdersTable[[#This Row],[Delivery Date]]-OrdersTable[[#This Row],[Order Date]]</f>
        <v>3</v>
      </c>
      <c r="AD1009" t="str">
        <f>IF(OrdersTable[[#This Row],[Delivery Days]]&lt;=2, "Express (≤2d)", IF(OrdersTable[[#This Row],[Delivery Days]]&lt;=4, "Standard (3-4d)", "Delayed (5d+)"))</f>
        <v>Standard (3-4d)</v>
      </c>
      <c r="AF1009">
        <v>1</v>
      </c>
    </row>
    <row r="1010" spans="1:32" ht="15" x14ac:dyDescent="0.35">
      <c r="A1010" t="s">
        <v>156</v>
      </c>
      <c r="B1010" s="1">
        <v>45494</v>
      </c>
      <c r="C1010">
        <f>YEAR(OrdersTable[[#This Row],[Order Date]])</f>
        <v>2024</v>
      </c>
      <c r="D1010" s="2">
        <f>DATE(YEAR(OrdersTable[[#This Row],[Order Date]]),MONTH(OrdersTable[[#This Row],[Order Date]]),1)</f>
        <v>45474</v>
      </c>
      <c r="E1010">
        <f>MONTH(OrdersTable[[#This Row],[Order Date]])</f>
        <v>7</v>
      </c>
      <c r="F1010" t="s">
        <v>157</v>
      </c>
      <c r="G1010" t="str">
        <f>IF(OrdersTable[[#This Row],[Order Date]]=_xlfn.MINIFS(Order_Date, Customer_ID, OrdersTable[[#This Row],[Customer ID]]), "New", "Repeat")</f>
        <v>New</v>
      </c>
      <c r="H1010" t="s">
        <v>158</v>
      </c>
      <c r="I1010" t="str">
        <f>INDEX(State!B:B,MATCH(OrdersTable[[#This Row],[State]],State!A:A,0))</f>
        <v>HP</v>
      </c>
      <c r="J1010" t="str">
        <f>INDEX(State!C:C,MATCH(OrdersTable[[#This Row],[State Code]],State!B:B,0))</f>
        <v>North</v>
      </c>
      <c r="K1010" t="s">
        <v>159</v>
      </c>
      <c r="L1010" t="s">
        <v>50</v>
      </c>
      <c r="M1010" t="s">
        <v>160</v>
      </c>
      <c r="N1010" t="str">
        <f>INDEX(Products!B:B,MATCH(OrdersTable[[#This Row],[Product ID]],Products!A:A,0))</f>
        <v>Niacinamide Toner</v>
      </c>
      <c r="O1010" t="str">
        <f>INDEX(Products!C:C,MATCH(OrdersTable[[#This Row],[Product ID]],Products!A:A,0))</f>
        <v>Skincare</v>
      </c>
      <c r="P1010">
        <v>1</v>
      </c>
      <c r="Q1010" s="5">
        <v>399</v>
      </c>
      <c r="R1010" s="74">
        <v>0.25</v>
      </c>
      <c r="S1010" s="75">
        <f>OrdersTable[[#This Row],[Quantity]]*OrdersTable[[#This Row],[Unit Price]]</f>
        <v>399</v>
      </c>
      <c r="T1010" s="5">
        <f>OrdersTable[[#This Row],[Gross Sale]]*OrdersTable[[#This Row],[Discount_Clean2]]</f>
        <v>99.75</v>
      </c>
      <c r="U1010" s="5">
        <f>OrdersTable[[#This Row],[Gross Sale]]-OrdersTable[[#This Row],[Discount Amount]]</f>
        <v>299.25</v>
      </c>
      <c r="V1010" s="77">
        <f>INDEX(Products!E:E,MATCH(OrdersTable[[#This Row],[Product ID]],Products!A:A,0))</f>
        <v>112</v>
      </c>
      <c r="W1010" s="77">
        <f>OrdersTable[[#This Row],[Quantity]]*OrdersTable[[#This Row],[Unit Cost]]</f>
        <v>112</v>
      </c>
      <c r="X1010" s="77">
        <f>'Dropdown Lists'!$I$2*(1+OrdersTable[[#This Row],[Returned]])</f>
        <v>60</v>
      </c>
      <c r="Y1010" s="76">
        <f>OrdersTable[[#This Row],[Net Revenue]]-OrdersTable[[#This Row],[COGS]]-OrdersTable[[#This Row],[Shipping Cost]]</f>
        <v>127.25</v>
      </c>
      <c r="Z1010" s="78">
        <f>IFERROR(OrdersTable[[#This Row],[Profit]]/OrdersTable[[#This Row],[Net Revenue]],0)</f>
        <v>0.42522974101921468</v>
      </c>
      <c r="AA1010" t="s">
        <v>18</v>
      </c>
      <c r="AB1010" s="79">
        <v>45497</v>
      </c>
      <c r="AC1010">
        <f>OrdersTable[[#This Row],[Delivery Date]]-OrdersTable[[#This Row],[Order Date]]</f>
        <v>3</v>
      </c>
      <c r="AD1010" t="str">
        <f>IF(OrdersTable[[#This Row],[Delivery Days]]&lt;=2, "Express (≤2d)", IF(OrdersTable[[#This Row],[Delivery Days]]&lt;=4, "Standard (3-4d)", "Delayed (5d+)"))</f>
        <v>Standard (3-4d)</v>
      </c>
      <c r="AE1010">
        <v>4</v>
      </c>
      <c r="AF1010">
        <v>0</v>
      </c>
    </row>
    <row r="1011" spans="1:32" ht="15" x14ac:dyDescent="0.35">
      <c r="A1011" t="s">
        <v>3733</v>
      </c>
      <c r="B1011" s="1">
        <v>45494</v>
      </c>
      <c r="C1011">
        <f>YEAR(OrdersTable[[#This Row],[Order Date]])</f>
        <v>2024</v>
      </c>
      <c r="D1011" s="2">
        <f>DATE(YEAR(OrdersTable[[#This Row],[Order Date]]),MONTH(OrdersTable[[#This Row],[Order Date]]),1)</f>
        <v>45474</v>
      </c>
      <c r="E1011">
        <f>MONTH(OrdersTable[[#This Row],[Order Date]])</f>
        <v>7</v>
      </c>
      <c r="F1011" t="s">
        <v>1747</v>
      </c>
      <c r="G1011" t="str">
        <f>IF(OrdersTable[[#This Row],[Order Date]]=_xlfn.MINIFS(Order_Date, Customer_ID, OrdersTable[[#This Row],[Customer ID]]), "New", "Repeat")</f>
        <v>Repeat</v>
      </c>
      <c r="H1011" t="s">
        <v>43</v>
      </c>
      <c r="I1011" t="str">
        <f>INDEX(State!B:B,MATCH(OrdersTable[[#This Row],[State]],State!A:A,0))</f>
        <v>MP</v>
      </c>
      <c r="J1011" t="str">
        <f>INDEX(State!C:C,MATCH(OrdersTable[[#This Row],[State Code]],State!B:B,0))</f>
        <v>West</v>
      </c>
      <c r="K1011" t="s">
        <v>44</v>
      </c>
      <c r="L1011" t="s">
        <v>50</v>
      </c>
      <c r="M1011" t="s">
        <v>160</v>
      </c>
      <c r="N1011" t="str">
        <f>INDEX(Products!B:B,MATCH(OrdersTable[[#This Row],[Product ID]],Products!A:A,0))</f>
        <v>Niacinamide Toner</v>
      </c>
      <c r="O1011" t="str">
        <f>INDEX(Products!C:C,MATCH(OrdersTable[[#This Row],[Product ID]],Products!A:A,0))</f>
        <v>Skincare</v>
      </c>
      <c r="P1011">
        <v>1</v>
      </c>
      <c r="Q1011" s="5">
        <v>399</v>
      </c>
      <c r="R1011" s="74">
        <v>0.2</v>
      </c>
      <c r="S1011" s="75">
        <f>OrdersTable[[#This Row],[Quantity]]*OrdersTable[[#This Row],[Unit Price]]</f>
        <v>399</v>
      </c>
      <c r="T1011" s="5">
        <f>OrdersTable[[#This Row],[Gross Sale]]*OrdersTable[[#This Row],[Discount_Clean2]]</f>
        <v>79.800000000000011</v>
      </c>
      <c r="U1011" s="5">
        <f>OrdersTable[[#This Row],[Gross Sale]]-OrdersTable[[#This Row],[Discount Amount]]</f>
        <v>319.2</v>
      </c>
      <c r="V1011" s="77">
        <f>INDEX(Products!E:E,MATCH(OrdersTable[[#This Row],[Product ID]],Products!A:A,0))</f>
        <v>112</v>
      </c>
      <c r="W1011" s="77">
        <f>OrdersTable[[#This Row],[Quantity]]*OrdersTable[[#This Row],[Unit Cost]]</f>
        <v>112</v>
      </c>
      <c r="X1011" s="77">
        <f>'Dropdown Lists'!$I$2*(1+OrdersTable[[#This Row],[Returned]])</f>
        <v>60</v>
      </c>
      <c r="Y1011" s="76">
        <f>OrdersTable[[#This Row],[Net Revenue]]-OrdersTable[[#This Row],[COGS]]-OrdersTable[[#This Row],[Shipping Cost]]</f>
        <v>147.19999999999999</v>
      </c>
      <c r="Z1011" s="78">
        <f>IFERROR(OrdersTable[[#This Row],[Profit]]/OrdersTable[[#This Row],[Net Revenue]],0)</f>
        <v>0.46115288220551376</v>
      </c>
      <c r="AA1011" t="s">
        <v>3495</v>
      </c>
      <c r="AB1011" s="79">
        <v>45496</v>
      </c>
      <c r="AC1011">
        <f>OrdersTable[[#This Row],[Delivery Date]]-OrdersTable[[#This Row],[Order Date]]</f>
        <v>2</v>
      </c>
      <c r="AD1011" t="str">
        <f>IF(OrdersTable[[#This Row],[Delivery Days]]&lt;=2, "Express (≤2d)", IF(OrdersTable[[#This Row],[Delivery Days]]&lt;=4, "Standard (3-4d)", "Delayed (5d+)"))</f>
        <v>Express (≤2d)</v>
      </c>
      <c r="AF1011">
        <v>0</v>
      </c>
    </row>
    <row r="1012" spans="1:32" ht="15" x14ac:dyDescent="0.35">
      <c r="A1012" t="s">
        <v>1871</v>
      </c>
      <c r="B1012" s="1">
        <v>45494</v>
      </c>
      <c r="C1012">
        <f>YEAR(OrdersTable[[#This Row],[Order Date]])</f>
        <v>2024</v>
      </c>
      <c r="D1012" s="2">
        <f>DATE(YEAR(OrdersTable[[#This Row],[Order Date]]),MONTH(OrdersTable[[#This Row],[Order Date]]),1)</f>
        <v>45474</v>
      </c>
      <c r="E1012">
        <f>MONTH(OrdersTable[[#This Row],[Order Date]])</f>
        <v>7</v>
      </c>
      <c r="F1012" t="s">
        <v>1872</v>
      </c>
      <c r="G1012" t="str">
        <f>IF(OrdersTable[[#This Row],[Order Date]]=_xlfn.MINIFS(Order_Date, Customer_ID, OrdersTable[[#This Row],[Customer ID]]), "New", "Repeat")</f>
        <v>Repeat</v>
      </c>
      <c r="H1012" t="s">
        <v>482</v>
      </c>
      <c r="I1012" t="str">
        <f>INDEX(State!B:B,MATCH(OrdersTable[[#This Row],[State]],State!A:A,0))</f>
        <v>CG</v>
      </c>
      <c r="J1012" t="str">
        <f>INDEX(State!C:C,MATCH(OrdersTable[[#This Row],[State Code]],State!B:B,0))</f>
        <v>East</v>
      </c>
      <c r="K1012" t="s">
        <v>483</v>
      </c>
      <c r="L1012" t="s">
        <v>23</v>
      </c>
      <c r="M1012" t="s">
        <v>148</v>
      </c>
      <c r="N1012" t="str">
        <f>INDEX(Products!B:B,MATCH(OrdersTable[[#This Row],[Product ID]],Products!A:A,0))</f>
        <v>Smartwatch Strap</v>
      </c>
      <c r="O1012" t="str">
        <f>INDEX(Products!C:C,MATCH(OrdersTable[[#This Row],[Product ID]],Products!A:A,0))</f>
        <v>Electronics</v>
      </c>
      <c r="P1012">
        <v>1</v>
      </c>
      <c r="Q1012" s="5">
        <v>499</v>
      </c>
      <c r="R1012" s="74">
        <v>0.1</v>
      </c>
      <c r="S1012" s="75">
        <f>OrdersTable[[#This Row],[Quantity]]*OrdersTable[[#This Row],[Unit Price]]</f>
        <v>499</v>
      </c>
      <c r="T1012" s="5">
        <f>OrdersTable[[#This Row],[Gross Sale]]*OrdersTable[[#This Row],[Discount_Clean2]]</f>
        <v>49.900000000000006</v>
      </c>
      <c r="U1012" s="5">
        <f>OrdersTable[[#This Row],[Gross Sale]]-OrdersTable[[#This Row],[Discount Amount]]</f>
        <v>449.1</v>
      </c>
      <c r="V1012" s="77">
        <f>INDEX(Products!E:E,MATCH(OrdersTable[[#This Row],[Product ID]],Products!A:A,0))</f>
        <v>200</v>
      </c>
      <c r="W1012" s="77">
        <f>OrdersTable[[#This Row],[Quantity]]*OrdersTable[[#This Row],[Unit Cost]]</f>
        <v>200</v>
      </c>
      <c r="X1012" s="77">
        <f>'Dropdown Lists'!$I$2*(1+OrdersTable[[#This Row],[Returned]])</f>
        <v>60</v>
      </c>
      <c r="Y1012" s="76">
        <f>OrdersTable[[#This Row],[Net Revenue]]-OrdersTable[[#This Row],[COGS]]-OrdersTable[[#This Row],[Shipping Cost]]</f>
        <v>189.10000000000002</v>
      </c>
      <c r="Z1012" s="78">
        <f>IFERROR(OrdersTable[[#This Row],[Profit]]/OrdersTable[[#This Row],[Net Revenue]],0)</f>
        <v>0.42106435092407041</v>
      </c>
      <c r="AA1012" t="s">
        <v>18</v>
      </c>
      <c r="AB1012" s="79">
        <v>45500</v>
      </c>
      <c r="AC1012">
        <f>OrdersTable[[#This Row],[Delivery Date]]-OrdersTable[[#This Row],[Order Date]]</f>
        <v>6</v>
      </c>
      <c r="AD1012" t="str">
        <f>IF(OrdersTable[[#This Row],[Delivery Days]]&lt;=2, "Express (≤2d)", IF(OrdersTable[[#This Row],[Delivery Days]]&lt;=4, "Standard (3-4d)", "Delayed (5d+)"))</f>
        <v>Delayed (5d+)</v>
      </c>
      <c r="AE1012">
        <v>3</v>
      </c>
      <c r="AF1012">
        <v>0</v>
      </c>
    </row>
    <row r="1013" spans="1:32" ht="15" x14ac:dyDescent="0.35">
      <c r="A1013" t="s">
        <v>6683</v>
      </c>
      <c r="B1013" s="1">
        <v>45495</v>
      </c>
      <c r="C1013">
        <f>YEAR(OrdersTable[[#This Row],[Order Date]])</f>
        <v>2024</v>
      </c>
      <c r="D1013" s="2">
        <f>DATE(YEAR(OrdersTable[[#This Row],[Order Date]]),MONTH(OrdersTable[[#This Row],[Order Date]]),1)</f>
        <v>45474</v>
      </c>
      <c r="E1013">
        <f>MONTH(OrdersTable[[#This Row],[Order Date]])</f>
        <v>7</v>
      </c>
      <c r="F1013" t="s">
        <v>6684</v>
      </c>
      <c r="G1013" t="str">
        <f>IF(OrdersTable[[#This Row],[Order Date]]=_xlfn.MINIFS(Order_Date, Customer_ID, OrdersTable[[#This Row],[Customer ID]]), "New", "Repeat")</f>
        <v>New</v>
      </c>
      <c r="H1013" t="s">
        <v>32</v>
      </c>
      <c r="I1013" t="str">
        <f>INDEX(State!B:B,MATCH(OrdersTable[[#This Row],[State]],State!A:A,0))</f>
        <v>BR</v>
      </c>
      <c r="J1013" t="str">
        <f>INDEX(State!C:C,MATCH(OrdersTable[[#This Row],[State Code]],State!B:B,0))</f>
        <v>East</v>
      </c>
      <c r="K1013" t="s">
        <v>33</v>
      </c>
      <c r="L1013" t="s">
        <v>23</v>
      </c>
      <c r="M1013" t="s">
        <v>24</v>
      </c>
      <c r="N1013" t="str">
        <f>INDEX(Products!B:B,MATCH(OrdersTable[[#This Row],[Product ID]],Products!A:A,0))</f>
        <v>Scented Candle Set</v>
      </c>
      <c r="O1013" t="str">
        <f>INDEX(Products!C:C,MATCH(OrdersTable[[#This Row],[Product ID]],Products!A:A,0))</f>
        <v>Home &amp; Kitchen</v>
      </c>
      <c r="P1013">
        <v>3</v>
      </c>
      <c r="Q1013" s="5">
        <v>699</v>
      </c>
      <c r="R1013" s="74">
        <v>0.2</v>
      </c>
      <c r="S1013" s="75">
        <f>OrdersTable[[#This Row],[Quantity]]*OrdersTable[[#This Row],[Unit Price]]</f>
        <v>2097</v>
      </c>
      <c r="T1013" s="5">
        <f>OrdersTable[[#This Row],[Gross Sale]]*OrdersTable[[#This Row],[Discount_Clean2]]</f>
        <v>419.40000000000003</v>
      </c>
      <c r="U1013" s="5">
        <f>OrdersTable[[#This Row],[Gross Sale]]-OrdersTable[[#This Row],[Discount Amount]]</f>
        <v>1677.6</v>
      </c>
      <c r="V1013" s="77">
        <f>INDEX(Products!E:E,MATCH(OrdersTable[[#This Row],[Product ID]],Products!A:A,0))</f>
        <v>245</v>
      </c>
      <c r="W1013" s="77">
        <f>OrdersTable[[#This Row],[Quantity]]*OrdersTable[[#This Row],[Unit Cost]]</f>
        <v>735</v>
      </c>
      <c r="X1013" s="77">
        <f>'Dropdown Lists'!$I$2*(1+OrdersTable[[#This Row],[Returned]])</f>
        <v>60</v>
      </c>
      <c r="Y1013" s="76">
        <f>OrdersTable[[#This Row],[Net Revenue]]-OrdersTable[[#This Row],[COGS]]-OrdersTable[[#This Row],[Shipping Cost]]</f>
        <v>882.59999999999991</v>
      </c>
      <c r="Z1013" s="78">
        <f>IFERROR(OrdersTable[[#This Row],[Profit]]/OrdersTable[[#This Row],[Net Revenue]],0)</f>
        <v>0.52610872675250353</v>
      </c>
      <c r="AA1013" t="s">
        <v>2522</v>
      </c>
      <c r="AB1013" s="79">
        <v>45500</v>
      </c>
      <c r="AC1013">
        <f>OrdersTable[[#This Row],[Delivery Date]]-OrdersTable[[#This Row],[Order Date]]</f>
        <v>5</v>
      </c>
      <c r="AD1013" t="str">
        <f>IF(OrdersTable[[#This Row],[Delivery Days]]&lt;=2, "Express (≤2d)", IF(OrdersTable[[#This Row],[Delivery Days]]&lt;=4, "Standard (3-4d)", "Delayed (5d+)"))</f>
        <v>Delayed (5d+)</v>
      </c>
      <c r="AE1013">
        <v>3</v>
      </c>
      <c r="AF1013">
        <v>0</v>
      </c>
    </row>
    <row r="1014" spans="1:32" ht="15" x14ac:dyDescent="0.35">
      <c r="A1014" t="s">
        <v>4476</v>
      </c>
      <c r="B1014" s="1">
        <v>45495</v>
      </c>
      <c r="C1014">
        <f>YEAR(OrdersTable[[#This Row],[Order Date]])</f>
        <v>2024</v>
      </c>
      <c r="D1014" s="2">
        <f>DATE(YEAR(OrdersTable[[#This Row],[Order Date]]),MONTH(OrdersTable[[#This Row],[Order Date]]),1)</f>
        <v>45474</v>
      </c>
      <c r="E1014">
        <f>MONTH(OrdersTable[[#This Row],[Order Date]])</f>
        <v>7</v>
      </c>
      <c r="F1014" t="s">
        <v>2260</v>
      </c>
      <c r="G1014" t="str">
        <f>IF(OrdersTable[[#This Row],[Order Date]]=_xlfn.MINIFS(Order_Date, Customer_ID, OrdersTable[[#This Row],[Customer ID]]), "New", "Repeat")</f>
        <v>Repeat</v>
      </c>
      <c r="H1014" t="s">
        <v>43</v>
      </c>
      <c r="I1014" t="str">
        <f>INDEX(State!B:B,MATCH(OrdersTable[[#This Row],[State]],State!A:A,0))</f>
        <v>MP</v>
      </c>
      <c r="J1014" t="str">
        <f>INDEX(State!C:C,MATCH(OrdersTable[[#This Row],[State Code]],State!B:B,0))</f>
        <v>West</v>
      </c>
      <c r="K1014" t="s">
        <v>250</v>
      </c>
      <c r="L1014" t="s">
        <v>65</v>
      </c>
      <c r="M1014" t="s">
        <v>148</v>
      </c>
      <c r="N1014" t="str">
        <f>INDEX(Products!B:B,MATCH(OrdersTable[[#This Row],[Product ID]],Products!A:A,0))</f>
        <v>Smartwatch Strap</v>
      </c>
      <c r="O1014" t="str">
        <f>INDEX(Products!C:C,MATCH(OrdersTable[[#This Row],[Product ID]],Products!A:A,0))</f>
        <v>Electronics</v>
      </c>
      <c r="P1014">
        <v>1</v>
      </c>
      <c r="Q1014" s="5">
        <v>499</v>
      </c>
      <c r="R1014" s="74">
        <v>0.2</v>
      </c>
      <c r="S1014" s="75">
        <f>OrdersTable[[#This Row],[Quantity]]*OrdersTable[[#This Row],[Unit Price]]</f>
        <v>499</v>
      </c>
      <c r="T1014" s="5">
        <f>OrdersTable[[#This Row],[Gross Sale]]*OrdersTable[[#This Row],[Discount_Clean2]]</f>
        <v>99.800000000000011</v>
      </c>
      <c r="U1014" s="5">
        <f>OrdersTable[[#This Row],[Gross Sale]]-OrdersTable[[#This Row],[Discount Amount]]</f>
        <v>399.2</v>
      </c>
      <c r="V1014" s="77">
        <f>INDEX(Products!E:E,MATCH(OrdersTable[[#This Row],[Product ID]],Products!A:A,0))</f>
        <v>200</v>
      </c>
      <c r="W1014" s="77">
        <f>OrdersTable[[#This Row],[Quantity]]*OrdersTable[[#This Row],[Unit Cost]]</f>
        <v>200</v>
      </c>
      <c r="X1014" s="77">
        <f>'Dropdown Lists'!$I$2*(1+OrdersTable[[#This Row],[Returned]])</f>
        <v>60</v>
      </c>
      <c r="Y1014" s="76">
        <f>OrdersTable[[#This Row],[Net Revenue]]-OrdersTable[[#This Row],[COGS]]-OrdersTable[[#This Row],[Shipping Cost]]</f>
        <v>139.19999999999999</v>
      </c>
      <c r="Z1014" s="78">
        <f>IFERROR(OrdersTable[[#This Row],[Profit]]/OrdersTable[[#This Row],[Net Revenue]],0)</f>
        <v>0.34869739478957912</v>
      </c>
      <c r="AA1014" t="s">
        <v>4450</v>
      </c>
      <c r="AB1014" s="79">
        <v>45496</v>
      </c>
      <c r="AC1014">
        <f>OrdersTable[[#This Row],[Delivery Date]]-OrdersTable[[#This Row],[Order Date]]</f>
        <v>1</v>
      </c>
      <c r="AD1014" t="str">
        <f>IF(OrdersTable[[#This Row],[Delivery Days]]&lt;=2, "Express (≤2d)", IF(OrdersTable[[#This Row],[Delivery Days]]&lt;=4, "Standard (3-4d)", "Delayed (5d+)"))</f>
        <v>Express (≤2d)</v>
      </c>
      <c r="AE1014">
        <v>4</v>
      </c>
      <c r="AF1014">
        <v>0</v>
      </c>
    </row>
    <row r="1015" spans="1:32" ht="15" x14ac:dyDescent="0.35">
      <c r="A1015" t="s">
        <v>4571</v>
      </c>
      <c r="B1015" s="1">
        <v>45495</v>
      </c>
      <c r="C1015">
        <f>YEAR(OrdersTable[[#This Row],[Order Date]])</f>
        <v>2024</v>
      </c>
      <c r="D1015" s="2">
        <f>DATE(YEAR(OrdersTable[[#This Row],[Order Date]]),MONTH(OrdersTable[[#This Row],[Order Date]]),1)</f>
        <v>45474</v>
      </c>
      <c r="E1015">
        <f>MONTH(OrdersTable[[#This Row],[Order Date]])</f>
        <v>7</v>
      </c>
      <c r="F1015" t="s">
        <v>4572</v>
      </c>
      <c r="G1015" t="str">
        <f>IF(OrdersTable[[#This Row],[Order Date]]=_xlfn.MINIFS(Order_Date, Customer_ID, OrdersTable[[#This Row],[Customer ID]]), "New", "Repeat")</f>
        <v>New</v>
      </c>
      <c r="H1015" t="s">
        <v>123</v>
      </c>
      <c r="I1015" t="str">
        <f>INDEX(State!B:B,MATCH(OrdersTable[[#This Row],[State]],State!A:A,0))</f>
        <v>JH</v>
      </c>
      <c r="J1015" t="str">
        <f>INDEX(State!C:C,MATCH(OrdersTable[[#This Row],[State Code]],State!B:B,0))</f>
        <v>East</v>
      </c>
      <c r="K1015" t="s">
        <v>124</v>
      </c>
      <c r="L1015" t="s">
        <v>16</v>
      </c>
      <c r="M1015" t="s">
        <v>255</v>
      </c>
      <c r="N1015" t="str">
        <f>INDEX(Products!B:B,MATCH(OrdersTable[[#This Row],[Product ID]],Products!A:A,0))</f>
        <v>Cotton Oversized T-Shirt</v>
      </c>
      <c r="O1015" t="str">
        <f>INDEX(Products!C:C,MATCH(OrdersTable[[#This Row],[Product ID]],Products!A:A,0))</f>
        <v>Apparel</v>
      </c>
      <c r="P1015">
        <v>1</v>
      </c>
      <c r="Q1015" s="5">
        <v>799</v>
      </c>
      <c r="R1015" s="74">
        <v>0.1</v>
      </c>
      <c r="S1015" s="75">
        <f>OrdersTable[[#This Row],[Quantity]]*OrdersTable[[#This Row],[Unit Price]]</f>
        <v>799</v>
      </c>
      <c r="T1015" s="5">
        <f>OrdersTable[[#This Row],[Gross Sale]]*OrdersTable[[#This Row],[Discount_Clean2]]</f>
        <v>79.900000000000006</v>
      </c>
      <c r="U1015" s="5">
        <f>OrdersTable[[#This Row],[Gross Sale]]-OrdersTable[[#This Row],[Discount Amount]]</f>
        <v>719.1</v>
      </c>
      <c r="V1015" s="77">
        <f>INDEX(Products!E:E,MATCH(OrdersTable[[#This Row],[Product ID]],Products!A:A,0))</f>
        <v>320</v>
      </c>
      <c r="W1015" s="77">
        <f>OrdersTable[[#This Row],[Quantity]]*OrdersTable[[#This Row],[Unit Cost]]</f>
        <v>320</v>
      </c>
      <c r="X1015" s="77">
        <f>'Dropdown Lists'!$I$2*(1+OrdersTable[[#This Row],[Returned]])</f>
        <v>60</v>
      </c>
      <c r="Y1015" s="76">
        <f>OrdersTable[[#This Row],[Net Revenue]]-OrdersTable[[#This Row],[COGS]]-OrdersTable[[#This Row],[Shipping Cost]]</f>
        <v>339.1</v>
      </c>
      <c r="Z1015" s="78">
        <f>IFERROR(OrdersTable[[#This Row],[Profit]]/OrdersTable[[#This Row],[Net Revenue]],0)</f>
        <v>0.47156167431511614</v>
      </c>
      <c r="AA1015" t="s">
        <v>4450</v>
      </c>
      <c r="AB1015" s="79">
        <v>45500</v>
      </c>
      <c r="AC1015">
        <f>OrdersTable[[#This Row],[Delivery Date]]-OrdersTable[[#This Row],[Order Date]]</f>
        <v>5</v>
      </c>
      <c r="AD1015" t="str">
        <f>IF(OrdersTable[[#This Row],[Delivery Days]]&lt;=2, "Express (≤2d)", IF(OrdersTable[[#This Row],[Delivery Days]]&lt;=4, "Standard (3-4d)", "Delayed (5d+)"))</f>
        <v>Delayed (5d+)</v>
      </c>
      <c r="AF1015">
        <v>0</v>
      </c>
    </row>
    <row r="1016" spans="1:32" ht="15" x14ac:dyDescent="0.35">
      <c r="A1016" t="s">
        <v>3551</v>
      </c>
      <c r="B1016" s="1">
        <v>45495</v>
      </c>
      <c r="C1016">
        <f>YEAR(OrdersTable[[#This Row],[Order Date]])</f>
        <v>2024</v>
      </c>
      <c r="D1016" s="2">
        <f>DATE(YEAR(OrdersTable[[#This Row],[Order Date]]),MONTH(OrdersTable[[#This Row],[Order Date]]),1)</f>
        <v>45474</v>
      </c>
      <c r="E1016">
        <f>MONTH(OrdersTable[[#This Row],[Order Date]])</f>
        <v>7</v>
      </c>
      <c r="F1016" t="s">
        <v>3552</v>
      </c>
      <c r="G1016" t="str">
        <f>IF(OrdersTable[[#This Row],[Order Date]]=_xlfn.MINIFS(Order_Date, Customer_ID, OrdersTable[[#This Row],[Customer ID]]), "New", "Repeat")</f>
        <v>New</v>
      </c>
      <c r="H1016" t="s">
        <v>95</v>
      </c>
      <c r="I1016" t="str">
        <f>INDEX(State!B:B,MATCH(OrdersTable[[#This Row],[State]],State!A:A,0))</f>
        <v>TG</v>
      </c>
      <c r="J1016" t="str">
        <f>INDEX(State!C:C,MATCH(OrdersTable[[#This Row],[State Code]],State!B:B,0))</f>
        <v>South</v>
      </c>
      <c r="K1016" t="s">
        <v>96</v>
      </c>
      <c r="L1016" t="s">
        <v>65</v>
      </c>
      <c r="M1016" t="s">
        <v>66</v>
      </c>
      <c r="N1016" t="str">
        <f>INDEX(Products!B:B,MATCH(OrdersTable[[#This Row],[Product ID]],Products!A:A,0))</f>
        <v>Sunscreen SPF 50</v>
      </c>
      <c r="O1016" t="str">
        <f>INDEX(Products!C:C,MATCH(OrdersTable[[#This Row],[Product ID]],Products!A:A,0))</f>
        <v>Skincare</v>
      </c>
      <c r="P1016">
        <v>1</v>
      </c>
      <c r="Q1016" s="5">
        <v>449</v>
      </c>
      <c r="R1016" s="74">
        <v>0.05</v>
      </c>
      <c r="S1016" s="75">
        <f>OrdersTable[[#This Row],[Quantity]]*OrdersTable[[#This Row],[Unit Price]]</f>
        <v>449</v>
      </c>
      <c r="T1016" s="5">
        <f>OrdersTable[[#This Row],[Gross Sale]]*OrdersTable[[#This Row],[Discount_Clean2]]</f>
        <v>22.450000000000003</v>
      </c>
      <c r="U1016" s="5">
        <f>OrdersTable[[#This Row],[Gross Sale]]-OrdersTable[[#This Row],[Discount Amount]]</f>
        <v>426.55</v>
      </c>
      <c r="V1016" s="77">
        <f>INDEX(Products!E:E,MATCH(OrdersTable[[#This Row],[Product ID]],Products!A:A,0))</f>
        <v>144</v>
      </c>
      <c r="W1016" s="77">
        <f>OrdersTable[[#This Row],[Quantity]]*OrdersTable[[#This Row],[Unit Cost]]</f>
        <v>144</v>
      </c>
      <c r="X1016" s="77">
        <f>'Dropdown Lists'!$I$2*(1+OrdersTable[[#This Row],[Returned]])</f>
        <v>60</v>
      </c>
      <c r="Y1016" s="76">
        <f>OrdersTable[[#This Row],[Net Revenue]]-OrdersTable[[#This Row],[COGS]]-OrdersTable[[#This Row],[Shipping Cost]]</f>
        <v>222.55</v>
      </c>
      <c r="Z1016" s="78">
        <f>IFERROR(OrdersTable[[#This Row],[Profit]]/OrdersTable[[#This Row],[Net Revenue]],0)</f>
        <v>0.52174422693705313</v>
      </c>
      <c r="AA1016" t="s">
        <v>3495</v>
      </c>
      <c r="AB1016" s="79">
        <v>45496</v>
      </c>
      <c r="AC1016">
        <f>OrdersTable[[#This Row],[Delivery Date]]-OrdersTable[[#This Row],[Order Date]]</f>
        <v>1</v>
      </c>
      <c r="AD1016" t="str">
        <f>IF(OrdersTable[[#This Row],[Delivery Days]]&lt;=2, "Express (≤2d)", IF(OrdersTable[[#This Row],[Delivery Days]]&lt;=4, "Standard (3-4d)", "Delayed (5d+)"))</f>
        <v>Express (≤2d)</v>
      </c>
      <c r="AE1016">
        <v>4</v>
      </c>
      <c r="AF1016">
        <v>0</v>
      </c>
    </row>
    <row r="1017" spans="1:32" ht="15" x14ac:dyDescent="0.35">
      <c r="A1017" t="s">
        <v>4918</v>
      </c>
      <c r="B1017" s="1">
        <v>45495</v>
      </c>
      <c r="C1017">
        <f>YEAR(OrdersTable[[#This Row],[Order Date]])</f>
        <v>2024</v>
      </c>
      <c r="D1017" s="2">
        <f>DATE(YEAR(OrdersTable[[#This Row],[Order Date]]),MONTH(OrdersTable[[#This Row],[Order Date]]),1)</f>
        <v>45474</v>
      </c>
      <c r="E1017">
        <f>MONTH(OrdersTable[[#This Row],[Order Date]])</f>
        <v>7</v>
      </c>
      <c r="F1017" t="s">
        <v>719</v>
      </c>
      <c r="G1017" t="str">
        <f>IF(OrdersTable[[#This Row],[Order Date]]=_xlfn.MINIFS(Order_Date, Customer_ID, OrdersTable[[#This Row],[Customer ID]]), "New", "Repeat")</f>
        <v>New</v>
      </c>
      <c r="H1017" t="s">
        <v>167</v>
      </c>
      <c r="I1017" t="str">
        <f>INDEX(State!B:B,MATCH(OrdersTable[[#This Row],[State]],State!A:A,0))</f>
        <v>KA</v>
      </c>
      <c r="J1017" t="str">
        <f>INDEX(State!C:C,MATCH(OrdersTable[[#This Row],[State Code]],State!B:B,0))</f>
        <v>South</v>
      </c>
      <c r="K1017" t="s">
        <v>168</v>
      </c>
      <c r="L1017" t="s">
        <v>65</v>
      </c>
      <c r="M1017" t="s">
        <v>51</v>
      </c>
      <c r="N1017" t="str">
        <f>INDEX(Products!B:B,MATCH(OrdersTable[[#This Row],[Product ID]],Products!A:A,0))</f>
        <v>Anti-Dandruff Conditioner</v>
      </c>
      <c r="O1017" t="str">
        <f>INDEX(Products!C:C,MATCH(OrdersTable[[#This Row],[Product ID]],Products!A:A,0))</f>
        <v>Haircare</v>
      </c>
      <c r="P1017">
        <v>2</v>
      </c>
      <c r="Q1017" s="5">
        <v>399</v>
      </c>
      <c r="R1017" s="74">
        <v>0.45</v>
      </c>
      <c r="S1017" s="75">
        <f>OrdersTable[[#This Row],[Quantity]]*OrdersTable[[#This Row],[Unit Price]]</f>
        <v>798</v>
      </c>
      <c r="T1017" s="5">
        <f>OrdersTable[[#This Row],[Gross Sale]]*OrdersTable[[#This Row],[Discount_Clean2]]</f>
        <v>359.1</v>
      </c>
      <c r="U1017" s="5">
        <f>OrdersTable[[#This Row],[Gross Sale]]-OrdersTable[[#This Row],[Discount Amount]]</f>
        <v>438.9</v>
      </c>
      <c r="V1017" s="77">
        <f>INDEX(Products!E:E,MATCH(OrdersTable[[#This Row],[Product ID]],Products!A:A,0))</f>
        <v>136</v>
      </c>
      <c r="W1017" s="77">
        <f>OrdersTable[[#This Row],[Quantity]]*OrdersTable[[#This Row],[Unit Cost]]</f>
        <v>272</v>
      </c>
      <c r="X1017" s="77">
        <f>'Dropdown Lists'!$I$2*(1+OrdersTable[[#This Row],[Returned]])</f>
        <v>60</v>
      </c>
      <c r="Y1017" s="76">
        <f>OrdersTable[[#This Row],[Net Revenue]]-OrdersTable[[#This Row],[COGS]]-OrdersTable[[#This Row],[Shipping Cost]]</f>
        <v>106.89999999999998</v>
      </c>
      <c r="Z1017" s="78">
        <f>IFERROR(OrdersTable[[#This Row],[Profit]]/OrdersTable[[#This Row],[Net Revenue]],0)</f>
        <v>0.24356345408976984</v>
      </c>
      <c r="AA1017" t="s">
        <v>4074</v>
      </c>
      <c r="AB1017" s="79">
        <v>45497</v>
      </c>
      <c r="AC1017">
        <f>OrdersTable[[#This Row],[Delivery Date]]-OrdersTable[[#This Row],[Order Date]]</f>
        <v>2</v>
      </c>
      <c r="AD1017" t="str">
        <f>IF(OrdersTable[[#This Row],[Delivery Days]]&lt;=2, "Express (≤2d)", IF(OrdersTable[[#This Row],[Delivery Days]]&lt;=4, "Standard (3-4d)", "Delayed (5d+)"))</f>
        <v>Express (≤2d)</v>
      </c>
      <c r="AE1017">
        <v>5</v>
      </c>
      <c r="AF1017">
        <v>0</v>
      </c>
    </row>
    <row r="1018" spans="1:32" ht="15" x14ac:dyDescent="0.35">
      <c r="A1018" t="s">
        <v>2286</v>
      </c>
      <c r="B1018" s="1">
        <v>45496</v>
      </c>
      <c r="C1018">
        <f>YEAR(OrdersTable[[#This Row],[Order Date]])</f>
        <v>2024</v>
      </c>
      <c r="D1018" s="2">
        <f>DATE(YEAR(OrdersTable[[#This Row],[Order Date]]),MONTH(OrdersTable[[#This Row],[Order Date]]),1)</f>
        <v>45474</v>
      </c>
      <c r="E1018">
        <f>MONTH(OrdersTable[[#This Row],[Order Date]])</f>
        <v>7</v>
      </c>
      <c r="F1018" t="s">
        <v>852</v>
      </c>
      <c r="G1018" t="str">
        <f>IF(OrdersTable[[#This Row],[Order Date]]=_xlfn.MINIFS(Order_Date, Customer_ID, OrdersTable[[#This Row],[Customer ID]]), "New", "Repeat")</f>
        <v>New</v>
      </c>
      <c r="H1018" t="s">
        <v>48</v>
      </c>
      <c r="I1018" t="str">
        <f>INDEX(State!B:B,MATCH(OrdersTable[[#This Row],[State]],State!A:A,0))</f>
        <v>HR</v>
      </c>
      <c r="J1018" t="str">
        <f>INDEX(State!C:C,MATCH(OrdersTable[[#This Row],[State Code]],State!B:B,0))</f>
        <v>North</v>
      </c>
      <c r="K1018" t="s">
        <v>49</v>
      </c>
      <c r="L1018" t="s">
        <v>16</v>
      </c>
      <c r="M1018" t="s">
        <v>92</v>
      </c>
      <c r="N1018" t="str">
        <f>INDEX(Products!B:B,MATCH(OrdersTable[[#This Row],[Product ID]],Products!A:A,0))</f>
        <v>Kolhapuri Sandals</v>
      </c>
      <c r="O1018" t="str">
        <f>INDEX(Products!C:C,MATCH(OrdersTable[[#This Row],[Product ID]],Products!A:A,0))</f>
        <v>Footwear</v>
      </c>
      <c r="P1018">
        <v>1</v>
      </c>
      <c r="Q1018" s="5">
        <v>999</v>
      </c>
      <c r="R1018" s="74">
        <v>0.05</v>
      </c>
      <c r="S1018" s="75">
        <f>OrdersTable[[#This Row],[Quantity]]*OrdersTable[[#This Row],[Unit Price]]</f>
        <v>999</v>
      </c>
      <c r="T1018" s="5">
        <f>OrdersTable[[#This Row],[Gross Sale]]*OrdersTable[[#This Row],[Discount_Clean2]]</f>
        <v>49.95</v>
      </c>
      <c r="U1018" s="5">
        <f>OrdersTable[[#This Row],[Gross Sale]]-OrdersTable[[#This Row],[Discount Amount]]</f>
        <v>949.05</v>
      </c>
      <c r="V1018" s="77">
        <f>INDEX(Products!E:E,MATCH(OrdersTable[[#This Row],[Product ID]],Products!A:A,0))</f>
        <v>400</v>
      </c>
      <c r="W1018" s="77">
        <f>OrdersTable[[#This Row],[Quantity]]*OrdersTable[[#This Row],[Unit Cost]]</f>
        <v>400</v>
      </c>
      <c r="X1018" s="77">
        <f>'Dropdown Lists'!$I$2*(1+OrdersTable[[#This Row],[Returned]])</f>
        <v>60</v>
      </c>
      <c r="Y1018" s="76">
        <f>OrdersTable[[#This Row],[Net Revenue]]-OrdersTable[[#This Row],[COGS]]-OrdersTable[[#This Row],[Shipping Cost]]</f>
        <v>489.04999999999995</v>
      </c>
      <c r="Z1018" s="78">
        <f>IFERROR(OrdersTable[[#This Row],[Profit]]/OrdersTable[[#This Row],[Net Revenue]],0)</f>
        <v>0.5153047784626732</v>
      </c>
      <c r="AA1018" t="s">
        <v>18</v>
      </c>
      <c r="AB1018" s="79">
        <v>45501</v>
      </c>
      <c r="AC1018">
        <f>OrdersTable[[#This Row],[Delivery Date]]-OrdersTable[[#This Row],[Order Date]]</f>
        <v>5</v>
      </c>
      <c r="AD1018" t="str">
        <f>IF(OrdersTable[[#This Row],[Delivery Days]]&lt;=2, "Express (≤2d)", IF(OrdersTable[[#This Row],[Delivery Days]]&lt;=4, "Standard (3-4d)", "Delayed (5d+)"))</f>
        <v>Delayed (5d+)</v>
      </c>
      <c r="AE1018">
        <v>5</v>
      </c>
      <c r="AF1018">
        <v>0</v>
      </c>
    </row>
    <row r="1019" spans="1:32" ht="15" x14ac:dyDescent="0.35">
      <c r="A1019" t="s">
        <v>922</v>
      </c>
      <c r="B1019" s="1">
        <v>45496</v>
      </c>
      <c r="C1019">
        <f>YEAR(OrdersTable[[#This Row],[Order Date]])</f>
        <v>2024</v>
      </c>
      <c r="D1019" s="2">
        <f>DATE(YEAR(OrdersTable[[#This Row],[Order Date]]),MONTH(OrdersTable[[#This Row],[Order Date]]),1)</f>
        <v>45474</v>
      </c>
      <c r="E1019">
        <f>MONTH(OrdersTable[[#This Row],[Order Date]])</f>
        <v>7</v>
      </c>
      <c r="F1019" t="s">
        <v>923</v>
      </c>
      <c r="G1019" t="str">
        <f>IF(OrdersTable[[#This Row],[Order Date]]=_xlfn.MINIFS(Order_Date, Customer_ID, OrdersTable[[#This Row],[Customer ID]]), "New", "Repeat")</f>
        <v>New</v>
      </c>
      <c r="H1019" t="s">
        <v>128</v>
      </c>
      <c r="I1019" t="str">
        <f>INDEX(State!B:B,MATCH(OrdersTable[[#This Row],[State]],State!A:A,0))</f>
        <v>DL</v>
      </c>
      <c r="J1019" t="str">
        <f>INDEX(State!C:C,MATCH(OrdersTable[[#This Row],[State Code]],State!B:B,0))</f>
        <v>North</v>
      </c>
      <c r="K1019" t="s">
        <v>129</v>
      </c>
      <c r="L1019" t="s">
        <v>65</v>
      </c>
      <c r="M1019" t="s">
        <v>56</v>
      </c>
      <c r="N1019" t="str">
        <f>INDEX(Products!B:B,MATCH(OrdersTable[[#This Row],[Product ID]],Products!A:A,0))</f>
        <v>Vitamin C Face Serum</v>
      </c>
      <c r="O1019" t="str">
        <f>INDEX(Products!C:C,MATCH(OrdersTable[[#This Row],[Product ID]],Products!A:A,0))</f>
        <v>Skincare</v>
      </c>
      <c r="P1019">
        <v>1</v>
      </c>
      <c r="Q1019" s="5">
        <v>599</v>
      </c>
      <c r="R1019" s="74">
        <v>0.1</v>
      </c>
      <c r="S1019" s="75">
        <f>OrdersTable[[#This Row],[Quantity]]*OrdersTable[[#This Row],[Unit Price]]</f>
        <v>599</v>
      </c>
      <c r="T1019" s="5">
        <f>OrdersTable[[#This Row],[Gross Sale]]*OrdersTable[[#This Row],[Discount_Clean2]]</f>
        <v>59.900000000000006</v>
      </c>
      <c r="U1019" s="5">
        <f>OrdersTable[[#This Row],[Gross Sale]]-OrdersTable[[#This Row],[Discount Amount]]</f>
        <v>539.1</v>
      </c>
      <c r="V1019" s="77">
        <f>INDEX(Products!E:E,MATCH(OrdersTable[[#This Row],[Product ID]],Products!A:A,0))</f>
        <v>180</v>
      </c>
      <c r="W1019" s="77">
        <f>OrdersTable[[#This Row],[Quantity]]*OrdersTable[[#This Row],[Unit Cost]]</f>
        <v>180</v>
      </c>
      <c r="X1019" s="77">
        <f>'Dropdown Lists'!$I$2*(1+OrdersTable[[#This Row],[Returned]])</f>
        <v>60</v>
      </c>
      <c r="Y1019" s="76">
        <f>OrdersTable[[#This Row],[Net Revenue]]-OrdersTable[[#This Row],[COGS]]-OrdersTable[[#This Row],[Shipping Cost]]</f>
        <v>299.10000000000002</v>
      </c>
      <c r="Z1019" s="78">
        <f>IFERROR(OrdersTable[[#This Row],[Profit]]/OrdersTable[[#This Row],[Net Revenue]],0)</f>
        <v>0.5548135781858653</v>
      </c>
      <c r="AA1019" t="s">
        <v>18</v>
      </c>
      <c r="AB1019" s="79">
        <v>45497</v>
      </c>
      <c r="AC1019">
        <f>OrdersTable[[#This Row],[Delivery Date]]-OrdersTable[[#This Row],[Order Date]]</f>
        <v>1</v>
      </c>
      <c r="AD1019" t="str">
        <f>IF(OrdersTable[[#This Row],[Delivery Days]]&lt;=2, "Express (≤2d)", IF(OrdersTable[[#This Row],[Delivery Days]]&lt;=4, "Standard (3-4d)", "Delayed (5d+)"))</f>
        <v>Express (≤2d)</v>
      </c>
      <c r="AE1019">
        <v>4</v>
      </c>
      <c r="AF1019">
        <v>0</v>
      </c>
    </row>
    <row r="1020" spans="1:32" ht="15" x14ac:dyDescent="0.35">
      <c r="A1020" t="s">
        <v>751</v>
      </c>
      <c r="B1020" s="1">
        <v>45496</v>
      </c>
      <c r="C1020">
        <f>YEAR(OrdersTable[[#This Row],[Order Date]])</f>
        <v>2024</v>
      </c>
      <c r="D1020" s="2">
        <f>DATE(YEAR(OrdersTable[[#This Row],[Order Date]]),MONTH(OrdersTable[[#This Row],[Order Date]]),1)</f>
        <v>45474</v>
      </c>
      <c r="E1020">
        <f>MONTH(OrdersTable[[#This Row],[Order Date]])</f>
        <v>7</v>
      </c>
      <c r="F1020" t="s">
        <v>752</v>
      </c>
      <c r="G1020" t="str">
        <f>IF(OrdersTable[[#This Row],[Order Date]]=_xlfn.MINIFS(Order_Date, Customer_ID, OrdersTable[[#This Row],[Customer ID]]), "New", "Repeat")</f>
        <v>Repeat</v>
      </c>
      <c r="H1020" t="s">
        <v>37</v>
      </c>
      <c r="I1020" t="str">
        <f>INDEX(State!B:B,MATCH(OrdersTable[[#This Row],[State]],State!A:A,0))</f>
        <v>GJ</v>
      </c>
      <c r="J1020" t="str">
        <f>INDEX(State!C:C,MATCH(OrdersTable[[#This Row],[State Code]],State!B:B,0))</f>
        <v>West</v>
      </c>
      <c r="K1020" t="s">
        <v>247</v>
      </c>
      <c r="L1020" t="s">
        <v>65</v>
      </c>
      <c r="M1020" t="s">
        <v>29</v>
      </c>
      <c r="N1020" t="str">
        <f>INDEX(Products!B:B,MATCH(OrdersTable[[#This Row],[Product ID]],Products!A:A,0))</f>
        <v>Joggers</v>
      </c>
      <c r="O1020" t="str">
        <f>INDEX(Products!C:C,MATCH(OrdersTable[[#This Row],[Product ID]],Products!A:A,0))</f>
        <v>Apparel</v>
      </c>
      <c r="P1020">
        <v>1</v>
      </c>
      <c r="Q1020" s="5">
        <v>1199</v>
      </c>
      <c r="R1020" s="74">
        <v>0.2</v>
      </c>
      <c r="S1020" s="75">
        <f>OrdersTable[[#This Row],[Quantity]]*OrdersTable[[#This Row],[Unit Price]]</f>
        <v>1199</v>
      </c>
      <c r="T1020" s="5">
        <f>OrdersTable[[#This Row],[Gross Sale]]*OrdersTable[[#This Row],[Discount_Clean2]]</f>
        <v>239.8</v>
      </c>
      <c r="U1020" s="5">
        <f>OrdersTable[[#This Row],[Gross Sale]]-OrdersTable[[#This Row],[Discount Amount]]</f>
        <v>959.2</v>
      </c>
      <c r="V1020" s="77">
        <f>INDEX(Products!E:E,MATCH(OrdersTable[[#This Row],[Product ID]],Products!A:A,0))</f>
        <v>492</v>
      </c>
      <c r="W1020" s="77">
        <f>OrdersTable[[#This Row],[Quantity]]*OrdersTable[[#This Row],[Unit Cost]]</f>
        <v>492</v>
      </c>
      <c r="X1020" s="77">
        <f>'Dropdown Lists'!$I$2*(1+OrdersTable[[#This Row],[Returned]])</f>
        <v>60</v>
      </c>
      <c r="Y1020" s="76">
        <f>OrdersTable[[#This Row],[Net Revenue]]-OrdersTable[[#This Row],[COGS]]-OrdersTable[[#This Row],[Shipping Cost]]</f>
        <v>407.20000000000005</v>
      </c>
      <c r="Z1020" s="78">
        <f>IFERROR(OrdersTable[[#This Row],[Profit]]/OrdersTable[[#This Row],[Net Revenue]],0)</f>
        <v>0.42452043369474562</v>
      </c>
      <c r="AA1020" t="s">
        <v>18</v>
      </c>
      <c r="AB1020" s="79">
        <v>45498</v>
      </c>
      <c r="AC1020">
        <f>OrdersTable[[#This Row],[Delivery Date]]-OrdersTable[[#This Row],[Order Date]]</f>
        <v>2</v>
      </c>
      <c r="AD1020" t="str">
        <f>IF(OrdersTable[[#This Row],[Delivery Days]]&lt;=2, "Express (≤2d)", IF(OrdersTable[[#This Row],[Delivery Days]]&lt;=4, "Standard (3-4d)", "Delayed (5d+)"))</f>
        <v>Express (≤2d)</v>
      </c>
      <c r="AE1020">
        <v>4</v>
      </c>
      <c r="AF1020">
        <v>0</v>
      </c>
    </row>
    <row r="1021" spans="1:32" ht="15" x14ac:dyDescent="0.35">
      <c r="A1021" t="s">
        <v>2720</v>
      </c>
      <c r="B1021" s="1">
        <v>45496</v>
      </c>
      <c r="C1021">
        <f>YEAR(OrdersTable[[#This Row],[Order Date]])</f>
        <v>2024</v>
      </c>
      <c r="D1021" s="2">
        <f>DATE(YEAR(OrdersTable[[#This Row],[Order Date]]),MONTH(OrdersTable[[#This Row],[Order Date]]),1)</f>
        <v>45474</v>
      </c>
      <c r="E1021">
        <f>MONTH(OrdersTable[[#This Row],[Order Date]])</f>
        <v>7</v>
      </c>
      <c r="F1021" t="s">
        <v>1965</v>
      </c>
      <c r="G1021" t="str">
        <f>IF(OrdersTable[[#This Row],[Order Date]]=_xlfn.MINIFS(Order_Date, Customer_ID, OrdersTable[[#This Row],[Customer ID]]), "New", "Repeat")</f>
        <v>New</v>
      </c>
      <c r="H1021" t="s">
        <v>37</v>
      </c>
      <c r="I1021" t="str">
        <f>INDEX(State!B:B,MATCH(OrdersTable[[#This Row],[State]],State!A:A,0))</f>
        <v>GJ</v>
      </c>
      <c r="J1021" t="str">
        <f>INDEX(State!C:C,MATCH(OrdersTable[[#This Row],[State Code]],State!B:B,0))</f>
        <v>West</v>
      </c>
      <c r="K1021" t="s">
        <v>247</v>
      </c>
      <c r="L1021" t="s">
        <v>23</v>
      </c>
      <c r="M1021" t="s">
        <v>176</v>
      </c>
      <c r="N1021" t="str">
        <f>INDEX(Products!B:B,MATCH(OrdersTable[[#This Row],[Product ID]],Products!A:A,0))</f>
        <v>Denim Jacket</v>
      </c>
      <c r="O1021" t="str">
        <f>INDEX(Products!C:C,MATCH(OrdersTable[[#This Row],[Product ID]],Products!A:A,0))</f>
        <v>Apparel</v>
      </c>
      <c r="P1021">
        <v>1</v>
      </c>
      <c r="Q1021" s="5">
        <v>2499</v>
      </c>
      <c r="R1021" s="74">
        <v>0.1</v>
      </c>
      <c r="S1021" s="75">
        <f>OrdersTable[[#This Row],[Quantity]]*OrdersTable[[#This Row],[Unit Price]]</f>
        <v>2499</v>
      </c>
      <c r="T1021" s="5">
        <f>OrdersTable[[#This Row],[Gross Sale]]*OrdersTable[[#This Row],[Discount_Clean2]]</f>
        <v>249.9</v>
      </c>
      <c r="U1021" s="5">
        <f>OrdersTable[[#This Row],[Gross Sale]]-OrdersTable[[#This Row],[Discount Amount]]</f>
        <v>2249.1</v>
      </c>
      <c r="V1021" s="77">
        <f>INDEX(Products!E:E,MATCH(OrdersTable[[#This Row],[Product ID]],Products!A:A,0))</f>
        <v>1125</v>
      </c>
      <c r="W1021" s="77">
        <f>OrdersTable[[#This Row],[Quantity]]*OrdersTable[[#This Row],[Unit Cost]]</f>
        <v>1125</v>
      </c>
      <c r="X1021" s="77">
        <f>'Dropdown Lists'!$I$2*(1+OrdersTable[[#This Row],[Returned]])</f>
        <v>120</v>
      </c>
      <c r="Y1021" s="76">
        <f>OrdersTable[[#This Row],[Net Revenue]]-OrdersTable[[#This Row],[COGS]]-OrdersTable[[#This Row],[Shipping Cost]]</f>
        <v>1004.0999999999999</v>
      </c>
      <c r="Z1021" s="78">
        <f>IFERROR(OrdersTable[[#This Row],[Profit]]/OrdersTable[[#This Row],[Net Revenue]],0)</f>
        <v>0.44644524476457248</v>
      </c>
      <c r="AA1021" t="s">
        <v>2522</v>
      </c>
      <c r="AB1021" s="79">
        <v>45499</v>
      </c>
      <c r="AC1021">
        <f>OrdersTable[[#This Row],[Delivery Date]]-OrdersTable[[#This Row],[Order Date]]</f>
        <v>3</v>
      </c>
      <c r="AD1021" t="str">
        <f>IF(OrdersTable[[#This Row],[Delivery Days]]&lt;=2, "Express (≤2d)", IF(OrdersTable[[#This Row],[Delivery Days]]&lt;=4, "Standard (3-4d)", "Delayed (5d+)"))</f>
        <v>Standard (3-4d)</v>
      </c>
      <c r="AE1021">
        <v>3</v>
      </c>
      <c r="AF1021">
        <v>1</v>
      </c>
    </row>
    <row r="1022" spans="1:32" ht="15" x14ac:dyDescent="0.35">
      <c r="A1022" t="s">
        <v>1487</v>
      </c>
      <c r="B1022" s="1">
        <v>45496</v>
      </c>
      <c r="C1022">
        <f>YEAR(OrdersTable[[#This Row],[Order Date]])</f>
        <v>2024</v>
      </c>
      <c r="D1022" s="2">
        <f>DATE(YEAR(OrdersTable[[#This Row],[Order Date]]),MONTH(OrdersTable[[#This Row],[Order Date]]),1)</f>
        <v>45474</v>
      </c>
      <c r="E1022">
        <f>MONTH(OrdersTable[[#This Row],[Order Date]])</f>
        <v>7</v>
      </c>
      <c r="F1022" t="s">
        <v>1488</v>
      </c>
      <c r="G1022" t="str">
        <f>IF(OrdersTable[[#This Row],[Order Date]]=_xlfn.MINIFS(Order_Date, Customer_ID, OrdersTable[[#This Row],[Customer ID]]), "New", "Repeat")</f>
        <v>New</v>
      </c>
      <c r="H1022" t="s">
        <v>123</v>
      </c>
      <c r="I1022" t="str">
        <f>INDEX(State!B:B,MATCH(OrdersTable[[#This Row],[State]],State!A:A,0))</f>
        <v>JH</v>
      </c>
      <c r="J1022" t="str">
        <f>INDEX(State!C:C,MATCH(OrdersTable[[#This Row],[State Code]],State!B:B,0))</f>
        <v>East</v>
      </c>
      <c r="K1022" t="s">
        <v>124</v>
      </c>
      <c r="L1022" t="s">
        <v>39</v>
      </c>
      <c r="M1022" t="s">
        <v>45</v>
      </c>
      <c r="N1022" t="str">
        <f>INDEX(Products!B:B,MATCH(OrdersTable[[#This Row],[Product ID]],Products!A:A,0))</f>
        <v>Argan Shampoo</v>
      </c>
      <c r="O1022" t="str">
        <f>INDEX(Products!C:C,MATCH(OrdersTable[[#This Row],[Product ID]],Products!A:A,0))</f>
        <v>Haircare</v>
      </c>
      <c r="P1022">
        <v>1</v>
      </c>
      <c r="Q1022" s="5">
        <v>449</v>
      </c>
      <c r="R1022" s="74">
        <v>0</v>
      </c>
      <c r="S1022" s="75">
        <f>OrdersTable[[#This Row],[Quantity]]*OrdersTable[[#This Row],[Unit Price]]</f>
        <v>449</v>
      </c>
      <c r="T1022" s="5">
        <f>OrdersTable[[#This Row],[Gross Sale]]*OrdersTable[[#This Row],[Discount_Clean2]]</f>
        <v>0</v>
      </c>
      <c r="U1022" s="5">
        <f>OrdersTable[[#This Row],[Gross Sale]]-OrdersTable[[#This Row],[Discount Amount]]</f>
        <v>449</v>
      </c>
      <c r="V1022" s="77">
        <f>INDEX(Products!E:E,MATCH(OrdersTable[[#This Row],[Product ID]],Products!A:A,0))</f>
        <v>148</v>
      </c>
      <c r="W1022" s="77">
        <f>OrdersTable[[#This Row],[Quantity]]*OrdersTable[[#This Row],[Unit Cost]]</f>
        <v>148</v>
      </c>
      <c r="X1022" s="77">
        <f>'Dropdown Lists'!$I$2*(1+OrdersTable[[#This Row],[Returned]])</f>
        <v>60</v>
      </c>
      <c r="Y1022" s="76">
        <f>OrdersTable[[#This Row],[Net Revenue]]-OrdersTable[[#This Row],[COGS]]-OrdersTable[[#This Row],[Shipping Cost]]</f>
        <v>241</v>
      </c>
      <c r="Z1022" s="78">
        <f>IFERROR(OrdersTable[[#This Row],[Profit]]/OrdersTable[[#This Row],[Net Revenue]],0)</f>
        <v>0.53674832962138086</v>
      </c>
      <c r="AA1022" t="s">
        <v>18</v>
      </c>
      <c r="AB1022" s="79">
        <v>45502</v>
      </c>
      <c r="AC1022">
        <f>OrdersTable[[#This Row],[Delivery Date]]-OrdersTable[[#This Row],[Order Date]]</f>
        <v>6</v>
      </c>
      <c r="AD1022" t="str">
        <f>IF(OrdersTable[[#This Row],[Delivery Days]]&lt;=2, "Express (≤2d)", IF(OrdersTable[[#This Row],[Delivery Days]]&lt;=4, "Standard (3-4d)", "Delayed (5d+)"))</f>
        <v>Delayed (5d+)</v>
      </c>
      <c r="AF1022">
        <v>0</v>
      </c>
    </row>
    <row r="1023" spans="1:32" ht="15" x14ac:dyDescent="0.35">
      <c r="A1023" t="s">
        <v>5875</v>
      </c>
      <c r="B1023" s="1">
        <v>45496</v>
      </c>
      <c r="C1023">
        <f>YEAR(OrdersTable[[#This Row],[Order Date]])</f>
        <v>2024</v>
      </c>
      <c r="D1023" s="2">
        <f>DATE(YEAR(OrdersTable[[#This Row],[Order Date]]),MONTH(OrdersTable[[#This Row],[Order Date]]),1)</f>
        <v>45474</v>
      </c>
      <c r="E1023">
        <f>MONTH(OrdersTable[[#This Row],[Order Date]])</f>
        <v>7</v>
      </c>
      <c r="F1023" t="s">
        <v>5876</v>
      </c>
      <c r="G1023" t="str">
        <f>IF(OrdersTable[[#This Row],[Order Date]]=_xlfn.MINIFS(Order_Date, Customer_ID, OrdersTable[[#This Row],[Customer ID]]), "New", "Repeat")</f>
        <v>New</v>
      </c>
      <c r="H1023" t="s">
        <v>71</v>
      </c>
      <c r="I1023" t="str">
        <f>INDEX(State!B:B,MATCH(OrdersTable[[#This Row],[State]],State!A:A,0))</f>
        <v>MH</v>
      </c>
      <c r="J1023" t="str">
        <f>INDEX(State!C:C,MATCH(OrdersTable[[#This Row],[State Code]],State!B:B,0))</f>
        <v>West</v>
      </c>
      <c r="K1023" t="s">
        <v>72</v>
      </c>
      <c r="L1023" t="s">
        <v>65</v>
      </c>
      <c r="M1023" t="s">
        <v>24</v>
      </c>
      <c r="N1023" t="str">
        <f>INDEX(Products!B:B,MATCH(OrdersTable[[#This Row],[Product ID]],Products!A:A,0))</f>
        <v>Scented Candle Set</v>
      </c>
      <c r="O1023" t="str">
        <f>INDEX(Products!C:C,MATCH(OrdersTable[[#This Row],[Product ID]],Products!A:A,0))</f>
        <v>Home &amp; Kitchen</v>
      </c>
      <c r="P1023">
        <v>2</v>
      </c>
      <c r="Q1023" s="5">
        <v>699</v>
      </c>
      <c r="R1023" s="74">
        <v>0.25</v>
      </c>
      <c r="S1023" s="75">
        <f>OrdersTable[[#This Row],[Quantity]]*OrdersTable[[#This Row],[Unit Price]]</f>
        <v>1398</v>
      </c>
      <c r="T1023" s="5">
        <f>OrdersTable[[#This Row],[Gross Sale]]*OrdersTable[[#This Row],[Discount_Clean2]]</f>
        <v>349.5</v>
      </c>
      <c r="U1023" s="5">
        <f>OrdersTable[[#This Row],[Gross Sale]]-OrdersTable[[#This Row],[Discount Amount]]</f>
        <v>1048.5</v>
      </c>
      <c r="V1023" s="77">
        <f>INDEX(Products!E:E,MATCH(OrdersTable[[#This Row],[Product ID]],Products!A:A,0))</f>
        <v>245</v>
      </c>
      <c r="W1023" s="77">
        <f>OrdersTable[[#This Row],[Quantity]]*OrdersTable[[#This Row],[Unit Cost]]</f>
        <v>490</v>
      </c>
      <c r="X1023" s="77">
        <f>'Dropdown Lists'!$I$2*(1+OrdersTable[[#This Row],[Returned]])</f>
        <v>60</v>
      </c>
      <c r="Y1023" s="76">
        <f>OrdersTable[[#This Row],[Net Revenue]]-OrdersTable[[#This Row],[COGS]]-OrdersTable[[#This Row],[Shipping Cost]]</f>
        <v>498.5</v>
      </c>
      <c r="Z1023" s="78">
        <f>IFERROR(OrdersTable[[#This Row],[Profit]]/OrdersTable[[#This Row],[Net Revenue]],0)</f>
        <v>0.47544110634239389</v>
      </c>
      <c r="AA1023" t="s">
        <v>18</v>
      </c>
      <c r="AB1023" s="79">
        <v>45498</v>
      </c>
      <c r="AC1023">
        <f>OrdersTable[[#This Row],[Delivery Date]]-OrdersTable[[#This Row],[Order Date]]</f>
        <v>2</v>
      </c>
      <c r="AD1023" t="str">
        <f>IF(OrdersTable[[#This Row],[Delivery Days]]&lt;=2, "Express (≤2d)", IF(OrdersTable[[#This Row],[Delivery Days]]&lt;=4, "Standard (3-4d)", "Delayed (5d+)"))</f>
        <v>Express (≤2d)</v>
      </c>
      <c r="AF1023">
        <v>0</v>
      </c>
    </row>
    <row r="1024" spans="1:32" ht="15" x14ac:dyDescent="0.35">
      <c r="A1024" t="s">
        <v>3413</v>
      </c>
      <c r="B1024" s="1">
        <v>45496</v>
      </c>
      <c r="C1024">
        <f>YEAR(OrdersTable[[#This Row],[Order Date]])</f>
        <v>2024</v>
      </c>
      <c r="D1024" s="2">
        <f>DATE(YEAR(OrdersTable[[#This Row],[Order Date]]),MONTH(OrdersTable[[#This Row],[Order Date]]),1)</f>
        <v>45474</v>
      </c>
      <c r="E1024">
        <f>MONTH(OrdersTable[[#This Row],[Order Date]])</f>
        <v>7</v>
      </c>
      <c r="F1024" t="s">
        <v>1073</v>
      </c>
      <c r="G1024" t="str">
        <f>IF(OrdersTable[[#This Row],[Order Date]]=_xlfn.MINIFS(Order_Date, Customer_ID, OrdersTable[[#This Row],[Customer ID]]), "New", "Repeat")</f>
        <v>Repeat</v>
      </c>
      <c r="H1024" t="s">
        <v>71</v>
      </c>
      <c r="I1024" t="str">
        <f>INDEX(State!B:B,MATCH(OrdersTable[[#This Row],[State]],State!A:A,0))</f>
        <v>MH</v>
      </c>
      <c r="J1024" t="str">
        <f>INDEX(State!C:C,MATCH(OrdersTable[[#This Row],[State Code]],State!B:B,0))</f>
        <v>West</v>
      </c>
      <c r="K1024" t="s">
        <v>102</v>
      </c>
      <c r="L1024" t="s">
        <v>65</v>
      </c>
      <c r="M1024" t="s">
        <v>565</v>
      </c>
      <c r="N1024" t="str">
        <f>INDEX(Products!B:B,MATCH(OrdersTable[[#This Row],[Product ID]],Products!A:A,0))</f>
        <v>Ceramic Dinner Set</v>
      </c>
      <c r="O1024" t="str">
        <f>INDEX(Products!C:C,MATCH(OrdersTable[[#This Row],[Product ID]],Products!A:A,0))</f>
        <v>Home &amp; Kitchen</v>
      </c>
      <c r="P1024">
        <v>1</v>
      </c>
      <c r="Q1024" s="5">
        <v>2499</v>
      </c>
      <c r="R1024" s="74">
        <v>0.35</v>
      </c>
      <c r="S1024" s="75">
        <f>OrdersTable[[#This Row],[Quantity]]*OrdersTable[[#This Row],[Unit Price]]</f>
        <v>2499</v>
      </c>
      <c r="T1024" s="5">
        <f>OrdersTable[[#This Row],[Gross Sale]]*OrdersTable[[#This Row],[Discount_Clean2]]</f>
        <v>874.65</v>
      </c>
      <c r="U1024" s="5">
        <f>OrdersTable[[#This Row],[Gross Sale]]-OrdersTable[[#This Row],[Discount Amount]]</f>
        <v>1624.35</v>
      </c>
      <c r="V1024" s="77">
        <f>INDEX(Products!E:E,MATCH(OrdersTable[[#This Row],[Product ID]],Products!A:A,0))</f>
        <v>1250</v>
      </c>
      <c r="W1024" s="77">
        <f>OrdersTable[[#This Row],[Quantity]]*OrdersTable[[#This Row],[Unit Cost]]</f>
        <v>1250</v>
      </c>
      <c r="X1024" s="77">
        <f>'Dropdown Lists'!$I$2*(1+OrdersTable[[#This Row],[Returned]])</f>
        <v>60</v>
      </c>
      <c r="Y1024" s="76">
        <f>OrdersTable[[#This Row],[Net Revenue]]-OrdersTable[[#This Row],[COGS]]-OrdersTable[[#This Row],[Shipping Cost]]</f>
        <v>314.34999999999991</v>
      </c>
      <c r="Z1024" s="78">
        <f>IFERROR(OrdersTable[[#This Row],[Profit]]/OrdersTable[[#This Row],[Net Revenue]],0)</f>
        <v>0.19352356327146239</v>
      </c>
      <c r="AA1024" t="s">
        <v>2522</v>
      </c>
      <c r="AB1024" s="79">
        <v>45497</v>
      </c>
      <c r="AC1024">
        <f>OrdersTable[[#This Row],[Delivery Date]]-OrdersTable[[#This Row],[Order Date]]</f>
        <v>1</v>
      </c>
      <c r="AD1024" t="str">
        <f>IF(OrdersTable[[#This Row],[Delivery Days]]&lt;=2, "Express (≤2d)", IF(OrdersTable[[#This Row],[Delivery Days]]&lt;=4, "Standard (3-4d)", "Delayed (5d+)"))</f>
        <v>Express (≤2d)</v>
      </c>
      <c r="AE1024">
        <v>4</v>
      </c>
      <c r="AF1024">
        <v>0</v>
      </c>
    </row>
    <row r="1025" spans="1:32" ht="15" x14ac:dyDescent="0.35">
      <c r="A1025" t="s">
        <v>4919</v>
      </c>
      <c r="B1025" s="1">
        <v>45496</v>
      </c>
      <c r="C1025">
        <f>YEAR(OrdersTable[[#This Row],[Order Date]])</f>
        <v>2024</v>
      </c>
      <c r="D1025" s="2">
        <f>DATE(YEAR(OrdersTable[[#This Row],[Order Date]]),MONTH(OrdersTable[[#This Row],[Order Date]]),1)</f>
        <v>45474</v>
      </c>
      <c r="E1025">
        <f>MONTH(OrdersTable[[#This Row],[Order Date]])</f>
        <v>7</v>
      </c>
      <c r="F1025" t="s">
        <v>4399</v>
      </c>
      <c r="G1025" t="str">
        <f>IF(OrdersTable[[#This Row],[Order Date]]=_xlfn.MINIFS(Order_Date, Customer_ID, OrdersTable[[#This Row],[Customer ID]]), "New", "Repeat")</f>
        <v>New</v>
      </c>
      <c r="H1025" t="s">
        <v>95</v>
      </c>
      <c r="I1025" t="str">
        <f>INDEX(State!B:B,MATCH(OrdersTable[[#This Row],[State]],State!A:A,0))</f>
        <v>TG</v>
      </c>
      <c r="J1025" t="str">
        <f>INDEX(State!C:C,MATCH(OrdersTable[[#This Row],[State Code]],State!B:B,0))</f>
        <v>South</v>
      </c>
      <c r="K1025" t="s">
        <v>96</v>
      </c>
      <c r="L1025" t="s">
        <v>50</v>
      </c>
      <c r="M1025" t="s">
        <v>61</v>
      </c>
      <c r="N1025" t="str">
        <f>INDEX(Products!B:B,MATCH(OrdersTable[[#This Row],[Product ID]],Products!A:A,0))</f>
        <v>Multivitamin Gummies</v>
      </c>
      <c r="O1025" t="str">
        <f>INDEX(Products!C:C,MATCH(OrdersTable[[#This Row],[Product ID]],Products!A:A,0))</f>
        <v>Wellness</v>
      </c>
      <c r="P1025">
        <v>2</v>
      </c>
      <c r="Q1025" s="5">
        <v>699</v>
      </c>
      <c r="R1025" s="74">
        <v>0.2</v>
      </c>
      <c r="S1025" s="75">
        <f>OrdersTable[[#This Row],[Quantity]]*OrdersTable[[#This Row],[Unit Price]]</f>
        <v>1398</v>
      </c>
      <c r="T1025" s="5">
        <f>OrdersTable[[#This Row],[Gross Sale]]*OrdersTable[[#This Row],[Discount_Clean2]]</f>
        <v>279.60000000000002</v>
      </c>
      <c r="U1025" s="5">
        <f>OrdersTable[[#This Row],[Gross Sale]]-OrdersTable[[#This Row],[Discount Amount]]</f>
        <v>1118.4000000000001</v>
      </c>
      <c r="V1025" s="77">
        <f>INDEX(Products!E:E,MATCH(OrdersTable[[#This Row],[Product ID]],Products!A:A,0))</f>
        <v>238</v>
      </c>
      <c r="W1025" s="77">
        <f>OrdersTable[[#This Row],[Quantity]]*OrdersTable[[#This Row],[Unit Cost]]</f>
        <v>476</v>
      </c>
      <c r="X1025" s="77">
        <f>'Dropdown Lists'!$I$2*(1+OrdersTable[[#This Row],[Returned]])</f>
        <v>60</v>
      </c>
      <c r="Y1025" s="76">
        <f>OrdersTable[[#This Row],[Net Revenue]]-OrdersTable[[#This Row],[COGS]]-OrdersTable[[#This Row],[Shipping Cost]]</f>
        <v>582.40000000000009</v>
      </c>
      <c r="Z1025" s="78">
        <f>IFERROR(OrdersTable[[#This Row],[Profit]]/OrdersTable[[#This Row],[Net Revenue]],0)</f>
        <v>0.5207439198855508</v>
      </c>
      <c r="AA1025" t="s">
        <v>4074</v>
      </c>
      <c r="AB1025" s="79">
        <v>45499</v>
      </c>
      <c r="AC1025">
        <f>OrdersTable[[#This Row],[Delivery Date]]-OrdersTable[[#This Row],[Order Date]]</f>
        <v>3</v>
      </c>
      <c r="AD1025" t="str">
        <f>IF(OrdersTable[[#This Row],[Delivery Days]]&lt;=2, "Express (≤2d)", IF(OrdersTable[[#This Row],[Delivery Days]]&lt;=4, "Standard (3-4d)", "Delayed (5d+)"))</f>
        <v>Standard (3-4d)</v>
      </c>
      <c r="AE1025">
        <v>4</v>
      </c>
      <c r="AF1025">
        <v>0</v>
      </c>
    </row>
    <row r="1026" spans="1:32" ht="15" x14ac:dyDescent="0.35">
      <c r="A1026" t="s">
        <v>3553</v>
      </c>
      <c r="B1026" s="1">
        <v>45496</v>
      </c>
      <c r="C1026">
        <f>YEAR(OrdersTable[[#This Row],[Order Date]])</f>
        <v>2024</v>
      </c>
      <c r="D1026" s="2">
        <f>DATE(YEAR(OrdersTable[[#This Row],[Order Date]]),MONTH(OrdersTable[[#This Row],[Order Date]]),1)</f>
        <v>45474</v>
      </c>
      <c r="E1026">
        <f>MONTH(OrdersTable[[#This Row],[Order Date]])</f>
        <v>7</v>
      </c>
      <c r="F1026" t="s">
        <v>2003</v>
      </c>
      <c r="G1026" t="str">
        <f>IF(OrdersTable[[#This Row],[Order Date]]=_xlfn.MINIFS(Order_Date, Customer_ID, OrdersTable[[#This Row],[Customer ID]]), "New", "Repeat")</f>
        <v>New</v>
      </c>
      <c r="H1026" t="s">
        <v>275</v>
      </c>
      <c r="I1026" t="str">
        <f>INDEX(State!B:B,MATCH(OrdersTable[[#This Row],[State]],State!A:A,0))</f>
        <v>AP</v>
      </c>
      <c r="J1026" t="str">
        <f>INDEX(State!C:C,MATCH(OrdersTable[[#This Row],[State Code]],State!B:B,0))</f>
        <v>South</v>
      </c>
      <c r="K1026" t="s">
        <v>276</v>
      </c>
      <c r="L1026" t="s">
        <v>23</v>
      </c>
      <c r="M1026" t="s">
        <v>56</v>
      </c>
      <c r="N1026" t="str">
        <f>INDEX(Products!B:B,MATCH(OrdersTable[[#This Row],[Product ID]],Products!A:A,0))</f>
        <v>Vitamin C Face Serum</v>
      </c>
      <c r="O1026" t="str">
        <f>INDEX(Products!C:C,MATCH(OrdersTable[[#This Row],[Product ID]],Products!A:A,0))</f>
        <v>Skincare</v>
      </c>
      <c r="P1026">
        <v>1</v>
      </c>
      <c r="Q1026" s="5">
        <v>599</v>
      </c>
      <c r="R1026" s="74">
        <v>0.1</v>
      </c>
      <c r="S1026" s="75">
        <f>OrdersTable[[#This Row],[Quantity]]*OrdersTable[[#This Row],[Unit Price]]</f>
        <v>599</v>
      </c>
      <c r="T1026" s="5">
        <f>OrdersTable[[#This Row],[Gross Sale]]*OrdersTable[[#This Row],[Discount_Clean2]]</f>
        <v>59.900000000000006</v>
      </c>
      <c r="U1026" s="5">
        <f>OrdersTable[[#This Row],[Gross Sale]]-OrdersTable[[#This Row],[Discount Amount]]</f>
        <v>539.1</v>
      </c>
      <c r="V1026" s="77">
        <f>INDEX(Products!E:E,MATCH(OrdersTable[[#This Row],[Product ID]],Products!A:A,0))</f>
        <v>180</v>
      </c>
      <c r="W1026" s="77">
        <f>OrdersTable[[#This Row],[Quantity]]*OrdersTable[[#This Row],[Unit Cost]]</f>
        <v>180</v>
      </c>
      <c r="X1026" s="77">
        <f>'Dropdown Lists'!$I$2*(1+OrdersTable[[#This Row],[Returned]])</f>
        <v>60</v>
      </c>
      <c r="Y1026" s="76">
        <f>OrdersTable[[#This Row],[Net Revenue]]-OrdersTable[[#This Row],[COGS]]-OrdersTable[[#This Row],[Shipping Cost]]</f>
        <v>299.10000000000002</v>
      </c>
      <c r="Z1026" s="78">
        <f>IFERROR(OrdersTable[[#This Row],[Profit]]/OrdersTable[[#This Row],[Net Revenue]],0)</f>
        <v>0.5548135781858653</v>
      </c>
      <c r="AA1026" t="s">
        <v>3495</v>
      </c>
      <c r="AB1026" s="79">
        <v>45499</v>
      </c>
      <c r="AC1026">
        <f>OrdersTable[[#This Row],[Delivery Date]]-OrdersTable[[#This Row],[Order Date]]</f>
        <v>3</v>
      </c>
      <c r="AD1026" t="str">
        <f>IF(OrdersTable[[#This Row],[Delivery Days]]&lt;=2, "Express (≤2d)", IF(OrdersTable[[#This Row],[Delivery Days]]&lt;=4, "Standard (3-4d)", "Delayed (5d+)"))</f>
        <v>Standard (3-4d)</v>
      </c>
      <c r="AE1026">
        <v>4</v>
      </c>
      <c r="AF1026">
        <v>0</v>
      </c>
    </row>
    <row r="1027" spans="1:32" ht="15" x14ac:dyDescent="0.35">
      <c r="A1027" t="s">
        <v>3191</v>
      </c>
      <c r="B1027" s="1">
        <v>45497</v>
      </c>
      <c r="C1027">
        <f>YEAR(OrdersTable[[#This Row],[Order Date]])</f>
        <v>2024</v>
      </c>
      <c r="D1027" s="2">
        <f>DATE(YEAR(OrdersTable[[#This Row],[Order Date]]),MONTH(OrdersTable[[#This Row],[Order Date]]),1)</f>
        <v>45474</v>
      </c>
      <c r="E1027">
        <f>MONTH(OrdersTable[[#This Row],[Order Date]])</f>
        <v>7</v>
      </c>
      <c r="F1027" t="s">
        <v>631</v>
      </c>
      <c r="G1027" t="str">
        <f>IF(OrdersTable[[#This Row],[Order Date]]=_xlfn.MINIFS(Order_Date, Customer_ID, OrdersTable[[#This Row],[Customer ID]]), "New", "Repeat")</f>
        <v>New</v>
      </c>
      <c r="H1027" t="s">
        <v>43</v>
      </c>
      <c r="I1027" t="str">
        <f>INDEX(State!B:B,MATCH(OrdersTable[[#This Row],[State]],State!A:A,0))</f>
        <v>MP</v>
      </c>
      <c r="J1027" t="str">
        <f>INDEX(State!C:C,MATCH(OrdersTable[[#This Row],[State Code]],State!B:B,0))</f>
        <v>West</v>
      </c>
      <c r="K1027" t="s">
        <v>250</v>
      </c>
      <c r="L1027" t="s">
        <v>50</v>
      </c>
      <c r="M1027" t="s">
        <v>45</v>
      </c>
      <c r="N1027" t="str">
        <f>INDEX(Products!B:B,MATCH(OrdersTable[[#This Row],[Product ID]],Products!A:A,0))</f>
        <v>Argan Shampoo</v>
      </c>
      <c r="O1027" t="str">
        <f>INDEX(Products!C:C,MATCH(OrdersTable[[#This Row],[Product ID]],Products!A:A,0))</f>
        <v>Haircare</v>
      </c>
      <c r="P1027">
        <v>1</v>
      </c>
      <c r="Q1027" s="5">
        <v>449</v>
      </c>
      <c r="R1027" s="74">
        <v>0.1</v>
      </c>
      <c r="S1027" s="75">
        <f>OrdersTable[[#This Row],[Quantity]]*OrdersTable[[#This Row],[Unit Price]]</f>
        <v>449</v>
      </c>
      <c r="T1027" s="5">
        <f>OrdersTable[[#This Row],[Gross Sale]]*OrdersTable[[#This Row],[Discount_Clean2]]</f>
        <v>44.900000000000006</v>
      </c>
      <c r="U1027" s="5">
        <f>OrdersTable[[#This Row],[Gross Sale]]-OrdersTable[[#This Row],[Discount Amount]]</f>
        <v>404.1</v>
      </c>
      <c r="V1027" s="77">
        <f>INDEX(Products!E:E,MATCH(OrdersTable[[#This Row],[Product ID]],Products!A:A,0))</f>
        <v>148</v>
      </c>
      <c r="W1027" s="77">
        <f>OrdersTable[[#This Row],[Quantity]]*OrdersTable[[#This Row],[Unit Cost]]</f>
        <v>148</v>
      </c>
      <c r="X1027" s="77">
        <f>'Dropdown Lists'!$I$2*(1+OrdersTable[[#This Row],[Returned]])</f>
        <v>60</v>
      </c>
      <c r="Y1027" s="76">
        <f>OrdersTable[[#This Row],[Net Revenue]]-OrdersTable[[#This Row],[COGS]]-OrdersTable[[#This Row],[Shipping Cost]]</f>
        <v>196.10000000000002</v>
      </c>
      <c r="Z1027" s="78">
        <f>IFERROR(OrdersTable[[#This Row],[Profit]]/OrdersTable[[#This Row],[Net Revenue]],0)</f>
        <v>0.48527592180153428</v>
      </c>
      <c r="AA1027" t="s">
        <v>2522</v>
      </c>
      <c r="AB1027" s="79">
        <v>45500</v>
      </c>
      <c r="AC1027">
        <f>OrdersTable[[#This Row],[Delivery Date]]-OrdersTable[[#This Row],[Order Date]]</f>
        <v>3</v>
      </c>
      <c r="AD1027" t="str">
        <f>IF(OrdersTable[[#This Row],[Delivery Days]]&lt;=2, "Express (≤2d)", IF(OrdersTable[[#This Row],[Delivery Days]]&lt;=4, "Standard (3-4d)", "Delayed (5d+)"))</f>
        <v>Standard (3-4d)</v>
      </c>
      <c r="AE1027">
        <v>4</v>
      </c>
      <c r="AF1027">
        <v>0</v>
      </c>
    </row>
    <row r="1028" spans="1:32" ht="15" x14ac:dyDescent="0.35">
      <c r="A1028" t="s">
        <v>494</v>
      </c>
      <c r="B1028" s="1">
        <v>45497</v>
      </c>
      <c r="C1028">
        <f>YEAR(OrdersTable[[#This Row],[Order Date]])</f>
        <v>2024</v>
      </c>
      <c r="D1028" s="2">
        <f>DATE(YEAR(OrdersTable[[#This Row],[Order Date]]),MONTH(OrdersTable[[#This Row],[Order Date]]),1)</f>
        <v>45474</v>
      </c>
      <c r="E1028">
        <f>MONTH(OrdersTable[[#This Row],[Order Date]])</f>
        <v>7</v>
      </c>
      <c r="F1028" t="s">
        <v>495</v>
      </c>
      <c r="G1028" t="str">
        <f>IF(OrdersTable[[#This Row],[Order Date]]=_xlfn.MINIFS(Order_Date, Customer_ID, OrdersTable[[#This Row],[Customer ID]]), "New", "Repeat")</f>
        <v>New</v>
      </c>
      <c r="H1028" t="s">
        <v>59</v>
      </c>
      <c r="I1028" t="str">
        <f>INDEX(State!B:B,MATCH(OrdersTable[[#This Row],[State]],State!A:A,0))</f>
        <v>TN</v>
      </c>
      <c r="J1028" t="str">
        <f>INDEX(State!C:C,MATCH(OrdersTable[[#This Row],[State Code]],State!B:B,0))</f>
        <v>South</v>
      </c>
      <c r="K1028" t="s">
        <v>64</v>
      </c>
      <c r="L1028" t="s">
        <v>50</v>
      </c>
      <c r="M1028" t="s">
        <v>73</v>
      </c>
      <c r="N1028" t="str">
        <f>INDEX(Products!B:B,MATCH(OrdersTable[[#This Row],[Product ID]],Products!A:A,0))</f>
        <v>Hydrating Face Wash</v>
      </c>
      <c r="O1028" t="str">
        <f>INDEX(Products!C:C,MATCH(OrdersTable[[#This Row],[Product ID]],Products!A:A,0))</f>
        <v>Skincare</v>
      </c>
      <c r="P1028">
        <v>1</v>
      </c>
      <c r="Q1028" s="5">
        <v>299</v>
      </c>
      <c r="R1028" s="74">
        <v>0.05</v>
      </c>
      <c r="S1028" s="75">
        <f>OrdersTable[[#This Row],[Quantity]]*OrdersTable[[#This Row],[Unit Price]]</f>
        <v>299</v>
      </c>
      <c r="T1028" s="5">
        <f>OrdersTable[[#This Row],[Gross Sale]]*OrdersTable[[#This Row],[Discount_Clean2]]</f>
        <v>14.950000000000001</v>
      </c>
      <c r="U1028" s="5">
        <f>OrdersTable[[#This Row],[Gross Sale]]-OrdersTable[[#This Row],[Discount Amount]]</f>
        <v>284.05</v>
      </c>
      <c r="V1028" s="77">
        <f>INDEX(Products!E:E,MATCH(OrdersTable[[#This Row],[Product ID]],Products!A:A,0))</f>
        <v>90</v>
      </c>
      <c r="W1028" s="77">
        <f>OrdersTable[[#This Row],[Quantity]]*OrdersTable[[#This Row],[Unit Cost]]</f>
        <v>90</v>
      </c>
      <c r="X1028" s="77">
        <f>'Dropdown Lists'!$I$2*(1+OrdersTable[[#This Row],[Returned]])</f>
        <v>60</v>
      </c>
      <c r="Y1028" s="76">
        <f>OrdersTable[[#This Row],[Net Revenue]]-OrdersTable[[#This Row],[COGS]]-OrdersTable[[#This Row],[Shipping Cost]]</f>
        <v>134.05000000000001</v>
      </c>
      <c r="Z1028" s="78">
        <f>IFERROR(OrdersTable[[#This Row],[Profit]]/OrdersTable[[#This Row],[Net Revenue]],0)</f>
        <v>0.47192395704981521</v>
      </c>
      <c r="AA1028" t="s">
        <v>18</v>
      </c>
      <c r="AB1028" s="79">
        <v>45500</v>
      </c>
      <c r="AC1028">
        <f>OrdersTable[[#This Row],[Delivery Date]]-OrdersTable[[#This Row],[Order Date]]</f>
        <v>3</v>
      </c>
      <c r="AD1028" t="str">
        <f>IF(OrdersTable[[#This Row],[Delivery Days]]&lt;=2, "Express (≤2d)", IF(OrdersTable[[#This Row],[Delivery Days]]&lt;=4, "Standard (3-4d)", "Delayed (5d+)"))</f>
        <v>Standard (3-4d)</v>
      </c>
      <c r="AE1028">
        <v>4</v>
      </c>
      <c r="AF1028">
        <v>0</v>
      </c>
    </row>
    <row r="1029" spans="1:32" ht="15" x14ac:dyDescent="0.35">
      <c r="A1029" t="s">
        <v>1045</v>
      </c>
      <c r="B1029" s="1">
        <v>45498</v>
      </c>
      <c r="C1029">
        <f>YEAR(OrdersTable[[#This Row],[Order Date]])</f>
        <v>2024</v>
      </c>
      <c r="D1029" s="2">
        <f>DATE(YEAR(OrdersTable[[#This Row],[Order Date]]),MONTH(OrdersTable[[#This Row],[Order Date]]),1)</f>
        <v>45474</v>
      </c>
      <c r="E1029">
        <f>MONTH(OrdersTable[[#This Row],[Order Date]])</f>
        <v>7</v>
      </c>
      <c r="F1029" t="s">
        <v>1046</v>
      </c>
      <c r="G1029" t="str">
        <f>IF(OrdersTable[[#This Row],[Order Date]]=_xlfn.MINIFS(Order_Date, Customer_ID, OrdersTable[[#This Row],[Customer ID]]), "New", "Repeat")</f>
        <v>New</v>
      </c>
      <c r="H1029" t="s">
        <v>128</v>
      </c>
      <c r="I1029" t="str">
        <f>INDEX(State!B:B,MATCH(OrdersTable[[#This Row],[State]],State!A:A,0))</f>
        <v>DL</v>
      </c>
      <c r="J1029" t="str">
        <f>INDEX(State!C:C,MATCH(OrdersTable[[#This Row],[State Code]],State!B:B,0))</f>
        <v>North</v>
      </c>
      <c r="K1029" t="s">
        <v>129</v>
      </c>
      <c r="L1029" t="s">
        <v>50</v>
      </c>
      <c r="M1029" t="s">
        <v>40</v>
      </c>
      <c r="N1029" t="str">
        <f>INDEX(Products!B:B,MATCH(OrdersTable[[#This Row],[Product ID]],Products!A:A,0))</f>
        <v>Ashwagandha Capsules</v>
      </c>
      <c r="O1029" t="str">
        <f>INDEX(Products!C:C,MATCH(OrdersTable[[#This Row],[Product ID]],Products!A:A,0))</f>
        <v>Wellness</v>
      </c>
      <c r="P1029">
        <v>1</v>
      </c>
      <c r="Q1029" s="5">
        <v>499</v>
      </c>
      <c r="R1029" s="74">
        <v>0</v>
      </c>
      <c r="S1029" s="75">
        <f>OrdersTable[[#This Row],[Quantity]]*OrdersTable[[#This Row],[Unit Price]]</f>
        <v>499</v>
      </c>
      <c r="T1029" s="5">
        <f>OrdersTable[[#This Row],[Gross Sale]]*OrdersTable[[#This Row],[Discount_Clean2]]</f>
        <v>0</v>
      </c>
      <c r="U1029" s="5">
        <f>OrdersTable[[#This Row],[Gross Sale]]-OrdersTable[[#This Row],[Discount Amount]]</f>
        <v>499</v>
      </c>
      <c r="V1029" s="77">
        <f>INDEX(Products!E:E,MATCH(OrdersTable[[#This Row],[Product ID]],Products!A:A,0))</f>
        <v>150</v>
      </c>
      <c r="W1029" s="77">
        <f>OrdersTable[[#This Row],[Quantity]]*OrdersTable[[#This Row],[Unit Cost]]</f>
        <v>150</v>
      </c>
      <c r="X1029" s="77">
        <f>'Dropdown Lists'!$I$2*(1+OrdersTable[[#This Row],[Returned]])</f>
        <v>120</v>
      </c>
      <c r="Y1029" s="76">
        <f>OrdersTable[[#This Row],[Net Revenue]]-OrdersTable[[#This Row],[COGS]]-OrdersTable[[#This Row],[Shipping Cost]]</f>
        <v>229</v>
      </c>
      <c r="Z1029" s="78">
        <f>IFERROR(OrdersTable[[#This Row],[Profit]]/OrdersTable[[#This Row],[Net Revenue]],0)</f>
        <v>0.4589178356713427</v>
      </c>
      <c r="AA1029" t="s">
        <v>18</v>
      </c>
      <c r="AB1029" s="79">
        <v>45499</v>
      </c>
      <c r="AC1029">
        <f>OrdersTable[[#This Row],[Delivery Date]]-OrdersTable[[#This Row],[Order Date]]</f>
        <v>1</v>
      </c>
      <c r="AD1029" t="str">
        <f>IF(OrdersTable[[#This Row],[Delivery Days]]&lt;=2, "Express (≤2d)", IF(OrdersTable[[#This Row],[Delivery Days]]&lt;=4, "Standard (3-4d)", "Delayed (5d+)"))</f>
        <v>Express (≤2d)</v>
      </c>
      <c r="AE1029">
        <v>4</v>
      </c>
      <c r="AF1029">
        <v>1</v>
      </c>
    </row>
    <row r="1030" spans="1:32" ht="15" x14ac:dyDescent="0.35">
      <c r="A1030" t="s">
        <v>6074</v>
      </c>
      <c r="B1030" s="1">
        <v>45498</v>
      </c>
      <c r="C1030">
        <f>YEAR(OrdersTable[[#This Row],[Order Date]])</f>
        <v>2024</v>
      </c>
      <c r="D1030" s="2">
        <f>DATE(YEAR(OrdersTable[[#This Row],[Order Date]]),MONTH(OrdersTable[[#This Row],[Order Date]]),1)</f>
        <v>45474</v>
      </c>
      <c r="E1030">
        <f>MONTH(OrdersTable[[#This Row],[Order Date]])</f>
        <v>7</v>
      </c>
      <c r="F1030" t="s">
        <v>4463</v>
      </c>
      <c r="G1030" t="str">
        <f>IF(OrdersTable[[#This Row],[Order Date]]=_xlfn.MINIFS(Order_Date, Customer_ID, OrdersTable[[#This Row],[Customer ID]]), "New", "Repeat")</f>
        <v>Repeat</v>
      </c>
      <c r="H1030" t="s">
        <v>37</v>
      </c>
      <c r="I1030" t="str">
        <f>INDEX(State!B:B,MATCH(OrdersTable[[#This Row],[State]],State!A:A,0))</f>
        <v>GJ</v>
      </c>
      <c r="J1030" t="str">
        <f>INDEX(State!C:C,MATCH(OrdersTable[[#This Row],[State Code]],State!B:B,0))</f>
        <v>West</v>
      </c>
      <c r="K1030" t="s">
        <v>247</v>
      </c>
      <c r="L1030" t="s">
        <v>65</v>
      </c>
      <c r="M1030" t="s">
        <v>29</v>
      </c>
      <c r="N1030" t="str">
        <f>INDEX(Products!B:B,MATCH(OrdersTable[[#This Row],[Product ID]],Products!A:A,0))</f>
        <v>Joggers</v>
      </c>
      <c r="O1030" t="str">
        <f>INDEX(Products!C:C,MATCH(OrdersTable[[#This Row],[Product ID]],Products!A:A,0))</f>
        <v>Apparel</v>
      </c>
      <c r="P1030">
        <v>2</v>
      </c>
      <c r="Q1030" s="5">
        <v>1199</v>
      </c>
      <c r="R1030" s="74">
        <v>0.1</v>
      </c>
      <c r="S1030" s="75">
        <f>OrdersTable[[#This Row],[Quantity]]*OrdersTable[[#This Row],[Unit Price]]</f>
        <v>2398</v>
      </c>
      <c r="T1030" s="5">
        <f>OrdersTable[[#This Row],[Gross Sale]]*OrdersTable[[#This Row],[Discount_Clean2]]</f>
        <v>239.8</v>
      </c>
      <c r="U1030" s="5">
        <f>OrdersTable[[#This Row],[Gross Sale]]-OrdersTable[[#This Row],[Discount Amount]]</f>
        <v>2158.1999999999998</v>
      </c>
      <c r="V1030" s="77">
        <f>INDEX(Products!E:E,MATCH(OrdersTable[[#This Row],[Product ID]],Products!A:A,0))</f>
        <v>492</v>
      </c>
      <c r="W1030" s="77">
        <f>OrdersTable[[#This Row],[Quantity]]*OrdersTable[[#This Row],[Unit Cost]]</f>
        <v>984</v>
      </c>
      <c r="X1030" s="77">
        <f>'Dropdown Lists'!$I$2*(1+OrdersTable[[#This Row],[Returned]])</f>
        <v>60</v>
      </c>
      <c r="Y1030" s="76">
        <f>OrdersTable[[#This Row],[Net Revenue]]-OrdersTable[[#This Row],[COGS]]-OrdersTable[[#This Row],[Shipping Cost]]</f>
        <v>1114.1999999999998</v>
      </c>
      <c r="Z1030" s="78">
        <f>IFERROR(OrdersTable[[#This Row],[Profit]]/OrdersTable[[#This Row],[Net Revenue]],0)</f>
        <v>0.51626355296080062</v>
      </c>
      <c r="AA1030" t="s">
        <v>18</v>
      </c>
      <c r="AB1030" s="79">
        <v>45502</v>
      </c>
      <c r="AC1030">
        <f>OrdersTable[[#This Row],[Delivery Date]]-OrdersTable[[#This Row],[Order Date]]</f>
        <v>4</v>
      </c>
      <c r="AD1030" t="str">
        <f>IF(OrdersTable[[#This Row],[Delivery Days]]&lt;=2, "Express (≤2d)", IF(OrdersTable[[#This Row],[Delivery Days]]&lt;=4, "Standard (3-4d)", "Delayed (5d+)"))</f>
        <v>Standard (3-4d)</v>
      </c>
      <c r="AE1030">
        <v>4</v>
      </c>
      <c r="AF1030">
        <v>0</v>
      </c>
    </row>
    <row r="1031" spans="1:32" ht="15" x14ac:dyDescent="0.35">
      <c r="A1031" t="s">
        <v>2933</v>
      </c>
      <c r="B1031" s="1">
        <v>45498</v>
      </c>
      <c r="C1031">
        <f>YEAR(OrdersTable[[#This Row],[Order Date]])</f>
        <v>2024</v>
      </c>
      <c r="D1031" s="2">
        <f>DATE(YEAR(OrdersTable[[#This Row],[Order Date]]),MONTH(OrdersTable[[#This Row],[Order Date]]),1)</f>
        <v>45474</v>
      </c>
      <c r="E1031">
        <f>MONTH(OrdersTable[[#This Row],[Order Date]])</f>
        <v>7</v>
      </c>
      <c r="F1031" t="s">
        <v>2122</v>
      </c>
      <c r="G1031" t="str">
        <f>IF(OrdersTable[[#This Row],[Order Date]]=_xlfn.MINIFS(Order_Date, Customer_ID, OrdersTable[[#This Row],[Customer ID]]), "New", "Repeat")</f>
        <v>New</v>
      </c>
      <c r="H1031" t="s">
        <v>27</v>
      </c>
      <c r="I1031" t="str">
        <f>INDEX(State!B:B,MATCH(OrdersTable[[#This Row],[State]],State!A:A,0))</f>
        <v>WB</v>
      </c>
      <c r="J1031" t="str">
        <f>INDEX(State!C:C,MATCH(OrdersTable[[#This Row],[State Code]],State!B:B,0))</f>
        <v>East</v>
      </c>
      <c r="K1031" t="s">
        <v>28</v>
      </c>
      <c r="L1031" t="s">
        <v>39</v>
      </c>
      <c r="M1031" t="s">
        <v>576</v>
      </c>
      <c r="N1031" t="str">
        <f>INDEX(Products!B:B,MATCH(OrdersTable[[#This Row],[Product ID]],Products!A:A,0))</f>
        <v>Printed Saree</v>
      </c>
      <c r="O1031" t="str">
        <f>INDEX(Products!C:C,MATCH(OrdersTable[[#This Row],[Product ID]],Products!A:A,0))</f>
        <v>Apparel</v>
      </c>
      <c r="P1031">
        <v>1</v>
      </c>
      <c r="Q1031" s="5">
        <v>1999</v>
      </c>
      <c r="R1031" s="74">
        <v>0.1</v>
      </c>
      <c r="S1031" s="75">
        <f>OrdersTable[[#This Row],[Quantity]]*OrdersTable[[#This Row],[Unit Price]]</f>
        <v>1999</v>
      </c>
      <c r="T1031" s="5">
        <f>OrdersTable[[#This Row],[Gross Sale]]*OrdersTable[[#This Row],[Discount_Clean2]]</f>
        <v>199.9</v>
      </c>
      <c r="U1031" s="5">
        <f>OrdersTable[[#This Row],[Gross Sale]]-OrdersTable[[#This Row],[Discount Amount]]</f>
        <v>1799.1</v>
      </c>
      <c r="V1031" s="77">
        <f>INDEX(Products!E:E,MATCH(OrdersTable[[#This Row],[Product ID]],Products!A:A,0))</f>
        <v>880</v>
      </c>
      <c r="W1031" s="77">
        <f>OrdersTable[[#This Row],[Quantity]]*OrdersTable[[#This Row],[Unit Cost]]</f>
        <v>880</v>
      </c>
      <c r="X1031" s="77">
        <f>'Dropdown Lists'!$I$2*(1+OrdersTable[[#This Row],[Returned]])</f>
        <v>60</v>
      </c>
      <c r="Y1031" s="76">
        <f>OrdersTable[[#This Row],[Net Revenue]]-OrdersTable[[#This Row],[COGS]]-OrdersTable[[#This Row],[Shipping Cost]]</f>
        <v>859.09999999999991</v>
      </c>
      <c r="Z1031" s="78">
        <f>IFERROR(OrdersTable[[#This Row],[Profit]]/OrdersTable[[#This Row],[Net Revenue]],0)</f>
        <v>0.47751653604580063</v>
      </c>
      <c r="AA1031" t="s">
        <v>2522</v>
      </c>
      <c r="AB1031" s="79">
        <v>45503</v>
      </c>
      <c r="AC1031">
        <f>OrdersTable[[#This Row],[Delivery Date]]-OrdersTable[[#This Row],[Order Date]]</f>
        <v>5</v>
      </c>
      <c r="AD1031" t="str">
        <f>IF(OrdersTable[[#This Row],[Delivery Days]]&lt;=2, "Express (≤2d)", IF(OrdersTable[[#This Row],[Delivery Days]]&lt;=4, "Standard (3-4d)", "Delayed (5d+)"))</f>
        <v>Delayed (5d+)</v>
      </c>
      <c r="AF1031">
        <v>0</v>
      </c>
    </row>
    <row r="1032" spans="1:32" ht="15" x14ac:dyDescent="0.35">
      <c r="A1032" t="s">
        <v>6503</v>
      </c>
      <c r="B1032" s="1">
        <v>45498</v>
      </c>
      <c r="C1032">
        <f>YEAR(OrdersTable[[#This Row],[Order Date]])</f>
        <v>2024</v>
      </c>
      <c r="D1032" s="2">
        <f>DATE(YEAR(OrdersTable[[#This Row],[Order Date]]),MONTH(OrdersTable[[#This Row],[Order Date]]),1)</f>
        <v>45474</v>
      </c>
      <c r="E1032">
        <f>MONTH(OrdersTable[[#This Row],[Order Date]])</f>
        <v>7</v>
      </c>
      <c r="F1032" t="s">
        <v>3467</v>
      </c>
      <c r="G1032" t="str">
        <f>IF(OrdersTable[[#This Row],[Order Date]]=_xlfn.MINIFS(Order_Date, Customer_ID, OrdersTable[[#This Row],[Customer ID]]), "New", "Repeat")</f>
        <v>Repeat</v>
      </c>
      <c r="H1032" t="s">
        <v>167</v>
      </c>
      <c r="I1032" t="str">
        <f>INDEX(State!B:B,MATCH(OrdersTable[[#This Row],[State]],State!A:A,0))</f>
        <v>KA</v>
      </c>
      <c r="J1032" t="str">
        <f>INDEX(State!C:C,MATCH(OrdersTable[[#This Row],[State Code]],State!B:B,0))</f>
        <v>South</v>
      </c>
      <c r="K1032" t="s">
        <v>190</v>
      </c>
      <c r="L1032" t="s">
        <v>23</v>
      </c>
      <c r="M1032" t="s">
        <v>34</v>
      </c>
      <c r="N1032" t="str">
        <f>INDEX(Products!B:B,MATCH(OrdersTable[[#This Row],[Product ID]],Products!A:A,0))</f>
        <v>Flip Flops</v>
      </c>
      <c r="O1032" t="str">
        <f>INDEX(Products!C:C,MATCH(OrdersTable[[#This Row],[Product ID]],Products!A:A,0))</f>
        <v>Footwear</v>
      </c>
      <c r="P1032">
        <v>3</v>
      </c>
      <c r="Q1032" s="5">
        <v>399</v>
      </c>
      <c r="R1032" s="74">
        <v>0.1</v>
      </c>
      <c r="S1032" s="75">
        <f>OrdersTable[[#This Row],[Quantity]]*OrdersTable[[#This Row],[Unit Price]]</f>
        <v>1197</v>
      </c>
      <c r="T1032" s="5">
        <f>OrdersTable[[#This Row],[Gross Sale]]*OrdersTable[[#This Row],[Discount_Clean2]]</f>
        <v>119.7</v>
      </c>
      <c r="U1032" s="5">
        <f>OrdersTable[[#This Row],[Gross Sale]]-OrdersTable[[#This Row],[Discount Amount]]</f>
        <v>1077.3</v>
      </c>
      <c r="V1032" s="77">
        <f>INDEX(Products!E:E,MATCH(OrdersTable[[#This Row],[Product ID]],Products!A:A,0))</f>
        <v>152</v>
      </c>
      <c r="W1032" s="77">
        <f>OrdersTable[[#This Row],[Quantity]]*OrdersTable[[#This Row],[Unit Cost]]</f>
        <v>456</v>
      </c>
      <c r="X1032" s="77">
        <f>'Dropdown Lists'!$I$2*(1+OrdersTable[[#This Row],[Returned]])</f>
        <v>60</v>
      </c>
      <c r="Y1032" s="76">
        <f>OrdersTable[[#This Row],[Net Revenue]]-OrdersTable[[#This Row],[COGS]]-OrdersTable[[#This Row],[Shipping Cost]]</f>
        <v>561.29999999999995</v>
      </c>
      <c r="Z1032" s="78">
        <f>IFERROR(OrdersTable[[#This Row],[Profit]]/OrdersTable[[#This Row],[Net Revenue]],0)</f>
        <v>0.52102478418267895</v>
      </c>
      <c r="AA1032" t="s">
        <v>18</v>
      </c>
      <c r="AB1032" s="79">
        <v>45499</v>
      </c>
      <c r="AC1032">
        <f>OrdersTable[[#This Row],[Delivery Date]]-OrdersTable[[#This Row],[Order Date]]</f>
        <v>1</v>
      </c>
      <c r="AD1032" t="str">
        <f>IF(OrdersTable[[#This Row],[Delivery Days]]&lt;=2, "Express (≤2d)", IF(OrdersTable[[#This Row],[Delivery Days]]&lt;=4, "Standard (3-4d)", "Delayed (5d+)"))</f>
        <v>Express (≤2d)</v>
      </c>
      <c r="AF1032">
        <v>0</v>
      </c>
    </row>
    <row r="1033" spans="1:32" ht="15" x14ac:dyDescent="0.35">
      <c r="A1033" t="s">
        <v>1229</v>
      </c>
      <c r="B1033" s="1">
        <v>45498</v>
      </c>
      <c r="C1033">
        <f>YEAR(OrdersTable[[#This Row],[Order Date]])</f>
        <v>2024</v>
      </c>
      <c r="D1033" s="2">
        <f>DATE(YEAR(OrdersTable[[#This Row],[Order Date]]),MONTH(OrdersTable[[#This Row],[Order Date]]),1)</f>
        <v>45474</v>
      </c>
      <c r="E1033">
        <f>MONTH(OrdersTable[[#This Row],[Order Date]])</f>
        <v>7</v>
      </c>
      <c r="F1033" t="s">
        <v>1230</v>
      </c>
      <c r="G1033" t="str">
        <f>IF(OrdersTable[[#This Row],[Order Date]]=_xlfn.MINIFS(Order_Date, Customer_ID, OrdersTable[[#This Row],[Customer ID]]), "New", "Repeat")</f>
        <v>Repeat</v>
      </c>
      <c r="H1033" t="s">
        <v>167</v>
      </c>
      <c r="I1033" t="str">
        <f>INDEX(State!B:B,MATCH(OrdersTable[[#This Row],[State]],State!A:A,0))</f>
        <v>KA</v>
      </c>
      <c r="J1033" t="str">
        <f>INDEX(State!C:C,MATCH(OrdersTable[[#This Row],[State Code]],State!B:B,0))</f>
        <v>South</v>
      </c>
      <c r="K1033" t="s">
        <v>168</v>
      </c>
      <c r="L1033" t="s">
        <v>16</v>
      </c>
      <c r="M1033" t="s">
        <v>255</v>
      </c>
      <c r="N1033" t="str">
        <f>INDEX(Products!B:B,MATCH(OrdersTable[[#This Row],[Product ID]],Products!A:A,0))</f>
        <v>Cotton Oversized T-Shirt</v>
      </c>
      <c r="O1033" t="str">
        <f>INDEX(Products!C:C,MATCH(OrdersTable[[#This Row],[Product ID]],Products!A:A,0))</f>
        <v>Apparel</v>
      </c>
      <c r="P1033">
        <v>1</v>
      </c>
      <c r="Q1033" s="5">
        <v>799</v>
      </c>
      <c r="R1033" s="74">
        <v>0.05</v>
      </c>
      <c r="S1033" s="75">
        <f>OrdersTable[[#This Row],[Quantity]]*OrdersTable[[#This Row],[Unit Price]]</f>
        <v>799</v>
      </c>
      <c r="T1033" s="5">
        <f>OrdersTable[[#This Row],[Gross Sale]]*OrdersTable[[#This Row],[Discount_Clean2]]</f>
        <v>39.950000000000003</v>
      </c>
      <c r="U1033" s="5">
        <f>OrdersTable[[#This Row],[Gross Sale]]-OrdersTable[[#This Row],[Discount Amount]]</f>
        <v>759.05</v>
      </c>
      <c r="V1033" s="77">
        <f>INDEX(Products!E:E,MATCH(OrdersTable[[#This Row],[Product ID]],Products!A:A,0))</f>
        <v>320</v>
      </c>
      <c r="W1033" s="77">
        <f>OrdersTable[[#This Row],[Quantity]]*OrdersTable[[#This Row],[Unit Cost]]</f>
        <v>320</v>
      </c>
      <c r="X1033" s="77">
        <f>'Dropdown Lists'!$I$2*(1+OrdersTable[[#This Row],[Returned]])</f>
        <v>60</v>
      </c>
      <c r="Y1033" s="76">
        <f>OrdersTable[[#This Row],[Net Revenue]]-OrdersTable[[#This Row],[COGS]]-OrdersTable[[#This Row],[Shipping Cost]]</f>
        <v>379.04999999999995</v>
      </c>
      <c r="Z1033" s="78">
        <f>IFERROR(OrdersTable[[#This Row],[Profit]]/OrdersTable[[#This Row],[Net Revenue]],0)</f>
        <v>0.49937421777221525</v>
      </c>
      <c r="AA1033" t="s">
        <v>18</v>
      </c>
      <c r="AB1033" s="79">
        <v>45499</v>
      </c>
      <c r="AC1033">
        <f>OrdersTable[[#This Row],[Delivery Date]]-OrdersTable[[#This Row],[Order Date]]</f>
        <v>1</v>
      </c>
      <c r="AD1033" t="str">
        <f>IF(OrdersTable[[#This Row],[Delivery Days]]&lt;=2, "Express (≤2d)", IF(OrdersTable[[#This Row],[Delivery Days]]&lt;=4, "Standard (3-4d)", "Delayed (5d+)"))</f>
        <v>Express (≤2d)</v>
      </c>
      <c r="AF1033">
        <v>0</v>
      </c>
    </row>
    <row r="1034" spans="1:32" ht="15" x14ac:dyDescent="0.35">
      <c r="A1034" t="s">
        <v>6685</v>
      </c>
      <c r="B1034" s="1">
        <v>45498</v>
      </c>
      <c r="C1034">
        <f>YEAR(OrdersTable[[#This Row],[Order Date]])</f>
        <v>2024</v>
      </c>
      <c r="D1034" s="2">
        <f>DATE(YEAR(OrdersTable[[#This Row],[Order Date]]),MONTH(OrdersTable[[#This Row],[Order Date]]),1)</f>
        <v>45474</v>
      </c>
      <c r="E1034">
        <f>MONTH(OrdersTable[[#This Row],[Order Date]])</f>
        <v>7</v>
      </c>
      <c r="F1034" t="s">
        <v>654</v>
      </c>
      <c r="G1034" t="str">
        <f>IF(OrdersTable[[#This Row],[Order Date]]=_xlfn.MINIFS(Order_Date, Customer_ID, OrdersTable[[#This Row],[Customer ID]]), "New", "Repeat")</f>
        <v>New</v>
      </c>
      <c r="H1034" t="s">
        <v>59</v>
      </c>
      <c r="I1034" t="str">
        <f>INDEX(State!B:B,MATCH(OrdersTable[[#This Row],[State]],State!A:A,0))</f>
        <v>TN</v>
      </c>
      <c r="J1034" t="str">
        <f>INDEX(State!C:C,MATCH(OrdersTable[[#This Row],[State Code]],State!B:B,0))</f>
        <v>South</v>
      </c>
      <c r="K1034" t="s">
        <v>64</v>
      </c>
      <c r="L1034" t="s">
        <v>39</v>
      </c>
      <c r="M1034" t="s">
        <v>87</v>
      </c>
      <c r="N1034" t="str">
        <f>INDEX(Products!B:B,MATCH(OrdersTable[[#This Row],[Product ID]],Products!A:A,0))</f>
        <v>Linen Kurta</v>
      </c>
      <c r="O1034" t="str">
        <f>INDEX(Products!C:C,MATCH(OrdersTable[[#This Row],[Product ID]],Products!A:A,0))</f>
        <v>Apparel</v>
      </c>
      <c r="P1034">
        <v>3</v>
      </c>
      <c r="Q1034" s="5">
        <v>1499</v>
      </c>
      <c r="R1034" s="74">
        <v>0.35</v>
      </c>
      <c r="S1034" s="75">
        <f>OrdersTable[[#This Row],[Quantity]]*OrdersTable[[#This Row],[Unit Price]]</f>
        <v>4497</v>
      </c>
      <c r="T1034" s="5">
        <f>OrdersTable[[#This Row],[Gross Sale]]*OrdersTable[[#This Row],[Discount_Clean2]]</f>
        <v>1573.9499999999998</v>
      </c>
      <c r="U1034" s="5">
        <f>OrdersTable[[#This Row],[Gross Sale]]-OrdersTable[[#This Row],[Discount Amount]]</f>
        <v>2923.05</v>
      </c>
      <c r="V1034" s="77">
        <f>INDEX(Products!E:E,MATCH(OrdersTable[[#This Row],[Product ID]],Products!A:A,0))</f>
        <v>630</v>
      </c>
      <c r="W1034" s="77">
        <f>OrdersTable[[#This Row],[Quantity]]*OrdersTable[[#This Row],[Unit Cost]]</f>
        <v>1890</v>
      </c>
      <c r="X1034" s="77">
        <f>'Dropdown Lists'!$I$2*(1+OrdersTable[[#This Row],[Returned]])</f>
        <v>60</v>
      </c>
      <c r="Y1034" s="76">
        <f>OrdersTable[[#This Row],[Net Revenue]]-OrdersTable[[#This Row],[COGS]]-OrdersTable[[#This Row],[Shipping Cost]]</f>
        <v>973.05000000000018</v>
      </c>
      <c r="Z1034" s="78">
        <f>IFERROR(OrdersTable[[#This Row],[Profit]]/OrdersTable[[#This Row],[Net Revenue]],0)</f>
        <v>0.33288859239493002</v>
      </c>
      <c r="AA1034" t="s">
        <v>2522</v>
      </c>
      <c r="AB1034" s="79">
        <v>45501</v>
      </c>
      <c r="AC1034">
        <f>OrdersTable[[#This Row],[Delivery Date]]-OrdersTable[[#This Row],[Order Date]]</f>
        <v>3</v>
      </c>
      <c r="AD1034" t="str">
        <f>IF(OrdersTable[[#This Row],[Delivery Days]]&lt;=2, "Express (≤2d)", IF(OrdersTable[[#This Row],[Delivery Days]]&lt;=4, "Standard (3-4d)", "Delayed (5d+)"))</f>
        <v>Standard (3-4d)</v>
      </c>
      <c r="AE1034">
        <v>4</v>
      </c>
      <c r="AF1034">
        <v>0</v>
      </c>
    </row>
    <row r="1035" spans="1:32" ht="15" x14ac:dyDescent="0.35">
      <c r="A1035" t="s">
        <v>6075</v>
      </c>
      <c r="B1035" s="1">
        <v>45499</v>
      </c>
      <c r="C1035">
        <f>YEAR(OrdersTable[[#This Row],[Order Date]])</f>
        <v>2024</v>
      </c>
      <c r="D1035" s="2">
        <f>DATE(YEAR(OrdersTable[[#This Row],[Order Date]]),MONTH(OrdersTable[[#This Row],[Order Date]]),1)</f>
        <v>45474</v>
      </c>
      <c r="E1035">
        <f>MONTH(OrdersTable[[#This Row],[Order Date]])</f>
        <v>7</v>
      </c>
      <c r="F1035" t="s">
        <v>6076</v>
      </c>
      <c r="G1035" t="str">
        <f>IF(OrdersTable[[#This Row],[Order Date]]=_xlfn.MINIFS(Order_Date, Customer_ID, OrdersTable[[#This Row],[Customer ID]]), "New", "Repeat")</f>
        <v>New</v>
      </c>
      <c r="H1035" t="s">
        <v>128</v>
      </c>
      <c r="I1035" t="str">
        <f>INDEX(State!B:B,MATCH(OrdersTable[[#This Row],[State]],State!A:A,0))</f>
        <v>DL</v>
      </c>
      <c r="J1035" t="str">
        <f>INDEX(State!C:C,MATCH(OrdersTable[[#This Row],[State Code]],State!B:B,0))</f>
        <v>North</v>
      </c>
      <c r="K1035" t="s">
        <v>129</v>
      </c>
      <c r="L1035" t="s">
        <v>16</v>
      </c>
      <c r="M1035" t="s">
        <v>92</v>
      </c>
      <c r="N1035" t="str">
        <f>INDEX(Products!B:B,MATCH(OrdersTable[[#This Row],[Product ID]],Products!A:A,0))</f>
        <v>Kolhapuri Sandals</v>
      </c>
      <c r="O1035" t="str">
        <f>INDEX(Products!C:C,MATCH(OrdersTable[[#This Row],[Product ID]],Products!A:A,0))</f>
        <v>Footwear</v>
      </c>
      <c r="P1035">
        <v>2</v>
      </c>
      <c r="Q1035" s="5">
        <v>999</v>
      </c>
      <c r="R1035" s="74">
        <v>0.1</v>
      </c>
      <c r="S1035" s="75">
        <f>OrdersTable[[#This Row],[Quantity]]*OrdersTable[[#This Row],[Unit Price]]</f>
        <v>1998</v>
      </c>
      <c r="T1035" s="5">
        <f>OrdersTable[[#This Row],[Gross Sale]]*OrdersTable[[#This Row],[Discount_Clean2]]</f>
        <v>199.8</v>
      </c>
      <c r="U1035" s="5">
        <f>OrdersTable[[#This Row],[Gross Sale]]-OrdersTable[[#This Row],[Discount Amount]]</f>
        <v>1798.2</v>
      </c>
      <c r="V1035" s="77">
        <f>INDEX(Products!E:E,MATCH(OrdersTable[[#This Row],[Product ID]],Products!A:A,0))</f>
        <v>400</v>
      </c>
      <c r="W1035" s="77">
        <f>OrdersTable[[#This Row],[Quantity]]*OrdersTable[[#This Row],[Unit Cost]]</f>
        <v>800</v>
      </c>
      <c r="X1035" s="77">
        <f>'Dropdown Lists'!$I$2*(1+OrdersTable[[#This Row],[Returned]])</f>
        <v>60</v>
      </c>
      <c r="Y1035" s="76">
        <f>OrdersTable[[#This Row],[Net Revenue]]-OrdersTable[[#This Row],[COGS]]-OrdersTable[[#This Row],[Shipping Cost]]</f>
        <v>938.2</v>
      </c>
      <c r="Z1035" s="78">
        <f>IFERROR(OrdersTable[[#This Row],[Profit]]/OrdersTable[[#This Row],[Net Revenue]],0)</f>
        <v>0.52174396618841068</v>
      </c>
      <c r="AA1035" t="s">
        <v>18</v>
      </c>
      <c r="AB1035" s="79">
        <v>45500</v>
      </c>
      <c r="AC1035">
        <f>OrdersTable[[#This Row],[Delivery Date]]-OrdersTable[[#This Row],[Order Date]]</f>
        <v>1</v>
      </c>
      <c r="AD1035" t="str">
        <f>IF(OrdersTable[[#This Row],[Delivery Days]]&lt;=2, "Express (≤2d)", IF(OrdersTable[[#This Row],[Delivery Days]]&lt;=4, "Standard (3-4d)", "Delayed (5d+)"))</f>
        <v>Express (≤2d)</v>
      </c>
      <c r="AE1035">
        <v>4</v>
      </c>
      <c r="AF1035">
        <v>0</v>
      </c>
    </row>
    <row r="1036" spans="1:32" ht="15" x14ac:dyDescent="0.35">
      <c r="A1036" t="s">
        <v>3414</v>
      </c>
      <c r="B1036" s="1">
        <v>45499</v>
      </c>
      <c r="C1036">
        <f>YEAR(OrdersTable[[#This Row],[Order Date]])</f>
        <v>2024</v>
      </c>
      <c r="D1036" s="2">
        <f>DATE(YEAR(OrdersTable[[#This Row],[Order Date]]),MONTH(OrdersTable[[#This Row],[Order Date]]),1)</f>
        <v>45474</v>
      </c>
      <c r="E1036">
        <f>MONTH(OrdersTable[[#This Row],[Order Date]])</f>
        <v>7</v>
      </c>
      <c r="F1036" t="s">
        <v>1416</v>
      </c>
      <c r="G1036" t="str">
        <f>IF(OrdersTable[[#This Row],[Order Date]]=_xlfn.MINIFS(Order_Date, Customer_ID, OrdersTable[[#This Row],[Customer ID]]), "New", "Repeat")</f>
        <v>Repeat</v>
      </c>
      <c r="H1036" t="s">
        <v>37</v>
      </c>
      <c r="I1036" t="str">
        <f>INDEX(State!B:B,MATCH(OrdersTable[[#This Row],[State]],State!A:A,0))</f>
        <v>GJ</v>
      </c>
      <c r="J1036" t="str">
        <f>INDEX(State!C:C,MATCH(OrdersTable[[#This Row],[State Code]],State!B:B,0))</f>
        <v>West</v>
      </c>
      <c r="K1036" t="s">
        <v>38</v>
      </c>
      <c r="L1036" t="s">
        <v>65</v>
      </c>
      <c r="M1036" t="s">
        <v>40</v>
      </c>
      <c r="N1036" t="str">
        <f>INDEX(Products!B:B,MATCH(OrdersTable[[#This Row],[Product ID]],Products!A:A,0))</f>
        <v>Ashwagandha Capsules</v>
      </c>
      <c r="O1036" t="str">
        <f>INDEX(Products!C:C,MATCH(OrdersTable[[#This Row],[Product ID]],Products!A:A,0))</f>
        <v>Wellness</v>
      </c>
      <c r="P1036">
        <v>1</v>
      </c>
      <c r="Q1036" s="5">
        <v>499</v>
      </c>
      <c r="R1036" s="74">
        <v>0.05</v>
      </c>
      <c r="S1036" s="75">
        <f>OrdersTable[[#This Row],[Quantity]]*OrdersTable[[#This Row],[Unit Price]]</f>
        <v>499</v>
      </c>
      <c r="T1036" s="5">
        <f>OrdersTable[[#This Row],[Gross Sale]]*OrdersTable[[#This Row],[Discount_Clean2]]</f>
        <v>24.950000000000003</v>
      </c>
      <c r="U1036" s="5">
        <f>OrdersTable[[#This Row],[Gross Sale]]-OrdersTable[[#This Row],[Discount Amount]]</f>
        <v>474.05</v>
      </c>
      <c r="V1036" s="77">
        <f>INDEX(Products!E:E,MATCH(OrdersTable[[#This Row],[Product ID]],Products!A:A,0))</f>
        <v>150</v>
      </c>
      <c r="W1036" s="77">
        <f>OrdersTable[[#This Row],[Quantity]]*OrdersTable[[#This Row],[Unit Cost]]</f>
        <v>150</v>
      </c>
      <c r="X1036" s="77">
        <f>'Dropdown Lists'!$I$2*(1+OrdersTable[[#This Row],[Returned]])</f>
        <v>60</v>
      </c>
      <c r="Y1036" s="76">
        <f>OrdersTable[[#This Row],[Net Revenue]]-OrdersTable[[#This Row],[COGS]]-OrdersTable[[#This Row],[Shipping Cost]]</f>
        <v>264.05</v>
      </c>
      <c r="Z1036" s="78">
        <f>IFERROR(OrdersTable[[#This Row],[Profit]]/OrdersTable[[#This Row],[Net Revenue]],0)</f>
        <v>0.55700875435080688</v>
      </c>
      <c r="AA1036" t="s">
        <v>2522</v>
      </c>
      <c r="AB1036" s="79">
        <v>45501</v>
      </c>
      <c r="AC1036">
        <f>OrdersTable[[#This Row],[Delivery Date]]-OrdersTable[[#This Row],[Order Date]]</f>
        <v>2</v>
      </c>
      <c r="AD1036" t="str">
        <f>IF(OrdersTable[[#This Row],[Delivery Days]]&lt;=2, "Express (≤2d)", IF(OrdersTable[[#This Row],[Delivery Days]]&lt;=4, "Standard (3-4d)", "Delayed (5d+)"))</f>
        <v>Express (≤2d)</v>
      </c>
      <c r="AE1036">
        <v>4</v>
      </c>
      <c r="AF1036">
        <v>0</v>
      </c>
    </row>
    <row r="1037" spans="1:32" ht="15" x14ac:dyDescent="0.35">
      <c r="A1037" t="s">
        <v>2934</v>
      </c>
      <c r="B1037" s="1">
        <v>45499</v>
      </c>
      <c r="C1037">
        <f>YEAR(OrdersTable[[#This Row],[Order Date]])</f>
        <v>2024</v>
      </c>
      <c r="D1037" s="2">
        <f>DATE(YEAR(OrdersTable[[#This Row],[Order Date]]),MONTH(OrdersTable[[#This Row],[Order Date]]),1)</f>
        <v>45474</v>
      </c>
      <c r="E1037">
        <f>MONTH(OrdersTable[[#This Row],[Order Date]])</f>
        <v>7</v>
      </c>
      <c r="F1037" t="s">
        <v>1649</v>
      </c>
      <c r="G1037" t="str">
        <f>IF(OrdersTable[[#This Row],[Order Date]]=_xlfn.MINIFS(Order_Date, Customer_ID, OrdersTable[[#This Row],[Customer ID]]), "New", "Repeat")</f>
        <v>Repeat</v>
      </c>
      <c r="H1037" t="s">
        <v>43</v>
      </c>
      <c r="I1037" t="str">
        <f>INDEX(State!B:B,MATCH(OrdersTable[[#This Row],[State]],State!A:A,0))</f>
        <v>MP</v>
      </c>
      <c r="J1037" t="str">
        <f>INDEX(State!C:C,MATCH(OrdersTable[[#This Row],[State Code]],State!B:B,0))</f>
        <v>West</v>
      </c>
      <c r="K1037" t="s">
        <v>250</v>
      </c>
      <c r="L1037" t="s">
        <v>23</v>
      </c>
      <c r="M1037" t="s">
        <v>106</v>
      </c>
      <c r="N1037" t="str">
        <f>INDEX(Products!B:B,MATCH(OrdersTable[[#This Row],[Product ID]],Products!A:A,0))</f>
        <v>Keratin Hair Mask</v>
      </c>
      <c r="O1037" t="str">
        <f>INDEX(Products!C:C,MATCH(OrdersTable[[#This Row],[Product ID]],Products!A:A,0))</f>
        <v>Haircare</v>
      </c>
      <c r="P1037">
        <v>1</v>
      </c>
      <c r="Q1037" s="5">
        <v>549</v>
      </c>
      <c r="R1037" s="74">
        <v>0.15</v>
      </c>
      <c r="S1037" s="75">
        <f>OrdersTable[[#This Row],[Quantity]]*OrdersTable[[#This Row],[Unit Price]]</f>
        <v>549</v>
      </c>
      <c r="T1037" s="5">
        <f>OrdersTable[[#This Row],[Gross Sale]]*OrdersTable[[#This Row],[Discount_Clean2]]</f>
        <v>82.35</v>
      </c>
      <c r="U1037" s="5">
        <f>OrdersTable[[#This Row],[Gross Sale]]-OrdersTable[[#This Row],[Discount Amount]]</f>
        <v>466.65</v>
      </c>
      <c r="V1037" s="77">
        <f>INDEX(Products!E:E,MATCH(OrdersTable[[#This Row],[Product ID]],Products!A:A,0))</f>
        <v>170</v>
      </c>
      <c r="W1037" s="77">
        <f>OrdersTable[[#This Row],[Quantity]]*OrdersTable[[#This Row],[Unit Cost]]</f>
        <v>170</v>
      </c>
      <c r="X1037" s="77">
        <f>'Dropdown Lists'!$I$2*(1+OrdersTable[[#This Row],[Returned]])</f>
        <v>120</v>
      </c>
      <c r="Y1037" s="76">
        <f>OrdersTable[[#This Row],[Net Revenue]]-OrdersTable[[#This Row],[COGS]]-OrdersTable[[#This Row],[Shipping Cost]]</f>
        <v>176.64999999999998</v>
      </c>
      <c r="Z1037" s="78">
        <f>IFERROR(OrdersTable[[#This Row],[Profit]]/OrdersTable[[#This Row],[Net Revenue]],0)</f>
        <v>0.3785492339012107</v>
      </c>
      <c r="AA1037" t="s">
        <v>2522</v>
      </c>
      <c r="AB1037" s="79">
        <v>45503</v>
      </c>
      <c r="AC1037">
        <f>OrdersTable[[#This Row],[Delivery Date]]-OrdersTable[[#This Row],[Order Date]]</f>
        <v>4</v>
      </c>
      <c r="AD1037" t="str">
        <f>IF(OrdersTable[[#This Row],[Delivery Days]]&lt;=2, "Express (≤2d)", IF(OrdersTable[[#This Row],[Delivery Days]]&lt;=4, "Standard (3-4d)", "Delayed (5d+)"))</f>
        <v>Standard (3-4d)</v>
      </c>
      <c r="AF1037">
        <v>1</v>
      </c>
    </row>
    <row r="1038" spans="1:32" ht="15" x14ac:dyDescent="0.35">
      <c r="A1038" t="s">
        <v>4231</v>
      </c>
      <c r="B1038" s="1">
        <v>45499</v>
      </c>
      <c r="C1038">
        <f>YEAR(OrdersTable[[#This Row],[Order Date]])</f>
        <v>2024</v>
      </c>
      <c r="D1038" s="2">
        <f>DATE(YEAR(OrdersTable[[#This Row],[Order Date]]),MONTH(OrdersTable[[#This Row],[Order Date]]),1)</f>
        <v>45474</v>
      </c>
      <c r="E1038">
        <f>MONTH(OrdersTable[[#This Row],[Order Date]])</f>
        <v>7</v>
      </c>
      <c r="F1038" t="s">
        <v>4232</v>
      </c>
      <c r="G1038" t="str">
        <f>IF(OrdersTable[[#This Row],[Order Date]]=_xlfn.MINIFS(Order_Date, Customer_ID, OrdersTable[[#This Row],[Customer ID]]), "New", "Repeat")</f>
        <v>New</v>
      </c>
      <c r="H1038" t="s">
        <v>123</v>
      </c>
      <c r="I1038" t="str">
        <f>INDEX(State!B:B,MATCH(OrdersTable[[#This Row],[State]],State!A:A,0))</f>
        <v>JH</v>
      </c>
      <c r="J1038" t="str">
        <f>INDEX(State!C:C,MATCH(OrdersTable[[#This Row],[State Code]],State!B:B,0))</f>
        <v>East</v>
      </c>
      <c r="K1038" t="s">
        <v>124</v>
      </c>
      <c r="L1038" t="s">
        <v>16</v>
      </c>
      <c r="M1038" t="s">
        <v>255</v>
      </c>
      <c r="N1038" t="str">
        <f>INDEX(Products!B:B,MATCH(OrdersTable[[#This Row],[Product ID]],Products!A:A,0))</f>
        <v>Cotton Oversized T-Shirt</v>
      </c>
      <c r="O1038" t="str">
        <f>INDEX(Products!C:C,MATCH(OrdersTable[[#This Row],[Product ID]],Products!A:A,0))</f>
        <v>Apparel</v>
      </c>
      <c r="P1038">
        <v>1</v>
      </c>
      <c r="Q1038" s="5">
        <v>799</v>
      </c>
      <c r="R1038" s="74">
        <v>0</v>
      </c>
      <c r="S1038" s="75">
        <f>OrdersTable[[#This Row],[Quantity]]*OrdersTable[[#This Row],[Unit Price]]</f>
        <v>799</v>
      </c>
      <c r="T1038" s="5">
        <f>OrdersTable[[#This Row],[Gross Sale]]*OrdersTable[[#This Row],[Discount_Clean2]]</f>
        <v>0</v>
      </c>
      <c r="U1038" s="5">
        <f>OrdersTable[[#This Row],[Gross Sale]]-OrdersTable[[#This Row],[Discount Amount]]</f>
        <v>799</v>
      </c>
      <c r="V1038" s="77">
        <f>INDEX(Products!E:E,MATCH(OrdersTable[[#This Row],[Product ID]],Products!A:A,0))</f>
        <v>320</v>
      </c>
      <c r="W1038" s="77">
        <f>OrdersTable[[#This Row],[Quantity]]*OrdersTable[[#This Row],[Unit Cost]]</f>
        <v>320</v>
      </c>
      <c r="X1038" s="77">
        <f>'Dropdown Lists'!$I$2*(1+OrdersTable[[#This Row],[Returned]])</f>
        <v>60</v>
      </c>
      <c r="Y1038" s="76">
        <f>OrdersTable[[#This Row],[Net Revenue]]-OrdersTable[[#This Row],[COGS]]-OrdersTable[[#This Row],[Shipping Cost]]</f>
        <v>419</v>
      </c>
      <c r="Z1038" s="78">
        <f>IFERROR(OrdersTable[[#This Row],[Profit]]/OrdersTable[[#This Row],[Net Revenue]],0)</f>
        <v>0.52440550688360454</v>
      </c>
      <c r="AA1038" t="s">
        <v>4074</v>
      </c>
      <c r="AB1038" s="79">
        <v>45502</v>
      </c>
      <c r="AC1038">
        <f>OrdersTable[[#This Row],[Delivery Date]]-OrdersTable[[#This Row],[Order Date]]</f>
        <v>3</v>
      </c>
      <c r="AD1038" t="str">
        <f>IF(OrdersTable[[#This Row],[Delivery Days]]&lt;=2, "Express (≤2d)", IF(OrdersTable[[#This Row],[Delivery Days]]&lt;=4, "Standard (3-4d)", "Delayed (5d+)"))</f>
        <v>Standard (3-4d)</v>
      </c>
      <c r="AF1038">
        <v>0</v>
      </c>
    </row>
    <row r="1039" spans="1:32" ht="15" x14ac:dyDescent="0.35">
      <c r="A1039" t="s">
        <v>753</v>
      </c>
      <c r="B1039" s="1">
        <v>45500</v>
      </c>
      <c r="C1039">
        <f>YEAR(OrdersTable[[#This Row],[Order Date]])</f>
        <v>2024</v>
      </c>
      <c r="D1039" s="2">
        <f>DATE(YEAR(OrdersTable[[#This Row],[Order Date]]),MONTH(OrdersTable[[#This Row],[Order Date]]),1)</f>
        <v>45474</v>
      </c>
      <c r="E1039">
        <f>MONTH(OrdersTable[[#This Row],[Order Date]])</f>
        <v>7</v>
      </c>
      <c r="F1039" t="s">
        <v>754</v>
      </c>
      <c r="G1039" t="str">
        <f>IF(OrdersTable[[#This Row],[Order Date]]=_xlfn.MINIFS(Order_Date, Customer_ID, OrdersTable[[#This Row],[Customer ID]]), "New", "Repeat")</f>
        <v>New</v>
      </c>
      <c r="H1039" t="s">
        <v>48</v>
      </c>
      <c r="I1039" t="str">
        <f>INDEX(State!B:B,MATCH(OrdersTable[[#This Row],[State]],State!A:A,0))</f>
        <v>HR</v>
      </c>
      <c r="J1039" t="str">
        <f>INDEX(State!C:C,MATCH(OrdersTable[[#This Row],[State Code]],State!B:B,0))</f>
        <v>North</v>
      </c>
      <c r="K1039" t="s">
        <v>151</v>
      </c>
      <c r="L1039" t="s">
        <v>23</v>
      </c>
      <c r="M1039" t="s">
        <v>56</v>
      </c>
      <c r="N1039" t="str">
        <f>INDEX(Products!B:B,MATCH(OrdersTable[[#This Row],[Product ID]],Products!A:A,0))</f>
        <v>Vitamin C Face Serum</v>
      </c>
      <c r="O1039" t="str">
        <f>INDEX(Products!C:C,MATCH(OrdersTable[[#This Row],[Product ID]],Products!A:A,0))</f>
        <v>Skincare</v>
      </c>
      <c r="P1039">
        <v>1</v>
      </c>
      <c r="Q1039" s="5">
        <v>599</v>
      </c>
      <c r="R1039" s="74">
        <v>0.2</v>
      </c>
      <c r="S1039" s="75">
        <f>OrdersTable[[#This Row],[Quantity]]*OrdersTable[[#This Row],[Unit Price]]</f>
        <v>599</v>
      </c>
      <c r="T1039" s="5">
        <f>OrdersTable[[#This Row],[Gross Sale]]*OrdersTable[[#This Row],[Discount_Clean2]]</f>
        <v>119.80000000000001</v>
      </c>
      <c r="U1039" s="5">
        <f>OrdersTable[[#This Row],[Gross Sale]]-OrdersTable[[#This Row],[Discount Amount]]</f>
        <v>479.2</v>
      </c>
      <c r="V1039" s="77">
        <f>INDEX(Products!E:E,MATCH(OrdersTable[[#This Row],[Product ID]],Products!A:A,0))</f>
        <v>180</v>
      </c>
      <c r="W1039" s="77">
        <f>OrdersTable[[#This Row],[Quantity]]*OrdersTable[[#This Row],[Unit Cost]]</f>
        <v>180</v>
      </c>
      <c r="X1039" s="77">
        <f>'Dropdown Lists'!$I$2*(1+OrdersTable[[#This Row],[Returned]])</f>
        <v>60</v>
      </c>
      <c r="Y1039" s="76">
        <f>OrdersTable[[#This Row],[Net Revenue]]-OrdersTable[[#This Row],[COGS]]-OrdersTable[[#This Row],[Shipping Cost]]</f>
        <v>239.2</v>
      </c>
      <c r="Z1039" s="78">
        <f>IFERROR(OrdersTable[[#This Row],[Profit]]/OrdersTable[[#This Row],[Net Revenue]],0)</f>
        <v>0.4991652754590985</v>
      </c>
      <c r="AA1039" t="s">
        <v>18</v>
      </c>
      <c r="AB1039" s="79">
        <v>45502</v>
      </c>
      <c r="AC1039">
        <f>OrdersTable[[#This Row],[Delivery Date]]-OrdersTable[[#This Row],[Order Date]]</f>
        <v>2</v>
      </c>
      <c r="AD1039" t="str">
        <f>IF(OrdersTable[[#This Row],[Delivery Days]]&lt;=2, "Express (≤2d)", IF(OrdersTable[[#This Row],[Delivery Days]]&lt;=4, "Standard (3-4d)", "Delayed (5d+)"))</f>
        <v>Express (≤2d)</v>
      </c>
      <c r="AE1039">
        <v>4</v>
      </c>
      <c r="AF1039">
        <v>0</v>
      </c>
    </row>
    <row r="1040" spans="1:32" ht="15" x14ac:dyDescent="0.35">
      <c r="A1040" t="s">
        <v>6956</v>
      </c>
      <c r="B1040" s="1">
        <v>45500</v>
      </c>
      <c r="C1040">
        <f>YEAR(OrdersTable[[#This Row],[Order Date]])</f>
        <v>2024</v>
      </c>
      <c r="D1040" s="2">
        <f>DATE(YEAR(OrdersTable[[#This Row],[Order Date]]),MONTH(OrdersTable[[#This Row],[Order Date]]),1)</f>
        <v>45474</v>
      </c>
      <c r="E1040">
        <f>MONTH(OrdersTable[[#This Row],[Order Date]])</f>
        <v>7</v>
      </c>
      <c r="F1040" t="s">
        <v>6957</v>
      </c>
      <c r="G1040" t="str">
        <f>IF(OrdersTable[[#This Row],[Order Date]]=_xlfn.MINIFS(Order_Date, Customer_ID, OrdersTable[[#This Row],[Customer ID]]), "New", "Repeat")</f>
        <v>New</v>
      </c>
      <c r="H1040" t="s">
        <v>37</v>
      </c>
      <c r="I1040" t="str">
        <f>INDEX(State!B:B,MATCH(OrdersTable[[#This Row],[State]],State!A:A,0))</f>
        <v>GJ</v>
      </c>
      <c r="J1040" t="str">
        <f>INDEX(State!C:C,MATCH(OrdersTable[[#This Row],[State Code]],State!B:B,0))</f>
        <v>West</v>
      </c>
      <c r="K1040" t="s">
        <v>247</v>
      </c>
      <c r="L1040" t="s">
        <v>39</v>
      </c>
      <c r="M1040" t="s">
        <v>51</v>
      </c>
      <c r="N1040" t="str">
        <f>INDEX(Products!B:B,MATCH(OrdersTable[[#This Row],[Product ID]],Products!A:A,0))</f>
        <v>Anti-Dandruff Conditioner</v>
      </c>
      <c r="O1040" t="str">
        <f>INDEX(Products!C:C,MATCH(OrdersTable[[#This Row],[Product ID]],Products!A:A,0))</f>
        <v>Haircare</v>
      </c>
      <c r="P1040">
        <v>4</v>
      </c>
      <c r="Q1040" s="5">
        <v>399</v>
      </c>
      <c r="R1040" s="74">
        <v>0.35</v>
      </c>
      <c r="S1040" s="75">
        <f>OrdersTable[[#This Row],[Quantity]]*OrdersTable[[#This Row],[Unit Price]]</f>
        <v>1596</v>
      </c>
      <c r="T1040" s="5">
        <f>OrdersTable[[#This Row],[Gross Sale]]*OrdersTable[[#This Row],[Discount_Clean2]]</f>
        <v>558.59999999999991</v>
      </c>
      <c r="U1040" s="5">
        <f>OrdersTable[[#This Row],[Gross Sale]]-OrdersTable[[#This Row],[Discount Amount]]</f>
        <v>1037.4000000000001</v>
      </c>
      <c r="V1040" s="77">
        <f>INDEX(Products!E:E,MATCH(OrdersTable[[#This Row],[Product ID]],Products!A:A,0))</f>
        <v>136</v>
      </c>
      <c r="W1040" s="77">
        <f>OrdersTable[[#This Row],[Quantity]]*OrdersTable[[#This Row],[Unit Cost]]</f>
        <v>544</v>
      </c>
      <c r="X1040" s="77">
        <f>'Dropdown Lists'!$I$2*(1+OrdersTable[[#This Row],[Returned]])</f>
        <v>60</v>
      </c>
      <c r="Y1040" s="76">
        <f>OrdersTable[[#This Row],[Net Revenue]]-OrdersTable[[#This Row],[COGS]]-OrdersTable[[#This Row],[Shipping Cost]]</f>
        <v>433.40000000000009</v>
      </c>
      <c r="Z1040" s="78">
        <f>IFERROR(OrdersTable[[#This Row],[Profit]]/OrdersTable[[#This Row],[Net Revenue]],0)</f>
        <v>0.4177752072488915</v>
      </c>
      <c r="AA1040" t="s">
        <v>4450</v>
      </c>
      <c r="AB1040" s="79">
        <v>45503</v>
      </c>
      <c r="AC1040">
        <f>OrdersTable[[#This Row],[Delivery Date]]-OrdersTable[[#This Row],[Order Date]]</f>
        <v>3</v>
      </c>
      <c r="AD1040" t="str">
        <f>IF(OrdersTable[[#This Row],[Delivery Days]]&lt;=2, "Express (≤2d)", IF(OrdersTable[[#This Row],[Delivery Days]]&lt;=4, "Standard (3-4d)", "Delayed (5d+)"))</f>
        <v>Standard (3-4d)</v>
      </c>
      <c r="AE1040">
        <v>4</v>
      </c>
      <c r="AF1040">
        <v>0</v>
      </c>
    </row>
    <row r="1041" spans="1:32" ht="15" x14ac:dyDescent="0.35">
      <c r="A1041" t="s">
        <v>496</v>
      </c>
      <c r="B1041" s="1">
        <v>45500</v>
      </c>
      <c r="C1041">
        <f>YEAR(OrdersTable[[#This Row],[Order Date]])</f>
        <v>2024</v>
      </c>
      <c r="D1041" s="2">
        <f>DATE(YEAR(OrdersTable[[#This Row],[Order Date]]),MONTH(OrdersTable[[#This Row],[Order Date]]),1)</f>
        <v>45474</v>
      </c>
      <c r="E1041">
        <f>MONTH(OrdersTable[[#This Row],[Order Date]])</f>
        <v>7</v>
      </c>
      <c r="F1041" t="s">
        <v>497</v>
      </c>
      <c r="G1041" t="str">
        <f>IF(OrdersTable[[#This Row],[Order Date]]=_xlfn.MINIFS(Order_Date, Customer_ID, OrdersTable[[#This Row],[Customer ID]]), "New", "Repeat")</f>
        <v>New</v>
      </c>
      <c r="H1041" t="s">
        <v>43</v>
      </c>
      <c r="I1041" t="str">
        <f>INDEX(State!B:B,MATCH(OrdersTable[[#This Row],[State]],State!A:A,0))</f>
        <v>MP</v>
      </c>
      <c r="J1041" t="str">
        <f>INDEX(State!C:C,MATCH(OrdersTable[[#This Row],[State Code]],State!B:B,0))</f>
        <v>West</v>
      </c>
      <c r="K1041" t="s">
        <v>44</v>
      </c>
      <c r="L1041" t="s">
        <v>23</v>
      </c>
      <c r="M1041" t="s">
        <v>40</v>
      </c>
      <c r="N1041" t="str">
        <f>INDEX(Products!B:B,MATCH(OrdersTable[[#This Row],[Product ID]],Products!A:A,0))</f>
        <v>Ashwagandha Capsules</v>
      </c>
      <c r="O1041" t="str">
        <f>INDEX(Products!C:C,MATCH(OrdersTable[[#This Row],[Product ID]],Products!A:A,0))</f>
        <v>Wellness</v>
      </c>
      <c r="P1041">
        <v>1</v>
      </c>
      <c r="Q1041" s="5">
        <v>499</v>
      </c>
      <c r="R1041" s="74">
        <v>0.05</v>
      </c>
      <c r="S1041" s="75">
        <f>OrdersTable[[#This Row],[Quantity]]*OrdersTable[[#This Row],[Unit Price]]</f>
        <v>499</v>
      </c>
      <c r="T1041" s="5">
        <f>OrdersTable[[#This Row],[Gross Sale]]*OrdersTable[[#This Row],[Discount_Clean2]]</f>
        <v>24.950000000000003</v>
      </c>
      <c r="U1041" s="5">
        <f>OrdersTable[[#This Row],[Gross Sale]]-OrdersTable[[#This Row],[Discount Amount]]</f>
        <v>474.05</v>
      </c>
      <c r="V1041" s="77">
        <f>INDEX(Products!E:E,MATCH(OrdersTable[[#This Row],[Product ID]],Products!A:A,0))</f>
        <v>150</v>
      </c>
      <c r="W1041" s="77">
        <f>OrdersTable[[#This Row],[Quantity]]*OrdersTable[[#This Row],[Unit Cost]]</f>
        <v>150</v>
      </c>
      <c r="X1041" s="77">
        <f>'Dropdown Lists'!$I$2*(1+OrdersTable[[#This Row],[Returned]])</f>
        <v>60</v>
      </c>
      <c r="Y1041" s="76">
        <f>OrdersTable[[#This Row],[Net Revenue]]-OrdersTable[[#This Row],[COGS]]-OrdersTable[[#This Row],[Shipping Cost]]</f>
        <v>264.05</v>
      </c>
      <c r="Z1041" s="78">
        <f>IFERROR(OrdersTable[[#This Row],[Profit]]/OrdersTable[[#This Row],[Net Revenue]],0)</f>
        <v>0.55700875435080688</v>
      </c>
      <c r="AA1041" t="s">
        <v>18</v>
      </c>
      <c r="AB1041" s="79">
        <v>45503</v>
      </c>
      <c r="AC1041">
        <f>OrdersTable[[#This Row],[Delivery Date]]-OrdersTable[[#This Row],[Order Date]]</f>
        <v>3</v>
      </c>
      <c r="AD1041" t="str">
        <f>IF(OrdersTable[[#This Row],[Delivery Days]]&lt;=2, "Express (≤2d)", IF(OrdersTable[[#This Row],[Delivery Days]]&lt;=4, "Standard (3-4d)", "Delayed (5d+)"))</f>
        <v>Standard (3-4d)</v>
      </c>
      <c r="AE1041">
        <v>4</v>
      </c>
      <c r="AF1041">
        <v>0</v>
      </c>
    </row>
    <row r="1042" spans="1:32" ht="15" x14ac:dyDescent="0.35">
      <c r="A1042" t="s">
        <v>2935</v>
      </c>
      <c r="B1042" s="1">
        <v>45500</v>
      </c>
      <c r="C1042">
        <f>YEAR(OrdersTable[[#This Row],[Order Date]])</f>
        <v>2024</v>
      </c>
      <c r="D1042" s="2">
        <f>DATE(YEAR(OrdersTable[[#This Row],[Order Date]]),MONTH(OrdersTable[[#This Row],[Order Date]]),1)</f>
        <v>45474</v>
      </c>
      <c r="E1042">
        <f>MONTH(OrdersTable[[#This Row],[Order Date]])</f>
        <v>7</v>
      </c>
      <c r="F1042" t="s">
        <v>2936</v>
      </c>
      <c r="G1042" t="str">
        <f>IF(OrdersTable[[#This Row],[Order Date]]=_xlfn.MINIFS(Order_Date, Customer_ID, OrdersTable[[#This Row],[Customer ID]]), "New", "Repeat")</f>
        <v>New</v>
      </c>
      <c r="H1042" t="s">
        <v>95</v>
      </c>
      <c r="I1042" t="str">
        <f>INDEX(State!B:B,MATCH(OrdersTable[[#This Row],[State]],State!A:A,0))</f>
        <v>TG</v>
      </c>
      <c r="J1042" t="str">
        <f>INDEX(State!C:C,MATCH(OrdersTable[[#This Row],[State Code]],State!B:B,0))</f>
        <v>South</v>
      </c>
      <c r="K1042" t="s">
        <v>96</v>
      </c>
      <c r="L1042" t="s">
        <v>65</v>
      </c>
      <c r="M1042" t="s">
        <v>34</v>
      </c>
      <c r="N1042" t="str">
        <f>INDEX(Products!B:B,MATCH(OrdersTable[[#This Row],[Product ID]],Products!A:A,0))</f>
        <v>Flip Flops</v>
      </c>
      <c r="O1042" t="str">
        <f>INDEX(Products!C:C,MATCH(OrdersTable[[#This Row],[Product ID]],Products!A:A,0))</f>
        <v>Footwear</v>
      </c>
      <c r="P1042">
        <v>1</v>
      </c>
      <c r="Q1042" s="5">
        <v>399</v>
      </c>
      <c r="R1042" s="74">
        <v>0.15</v>
      </c>
      <c r="S1042" s="75">
        <f>OrdersTable[[#This Row],[Quantity]]*OrdersTable[[#This Row],[Unit Price]]</f>
        <v>399</v>
      </c>
      <c r="T1042" s="5">
        <f>OrdersTable[[#This Row],[Gross Sale]]*OrdersTable[[#This Row],[Discount_Clean2]]</f>
        <v>59.849999999999994</v>
      </c>
      <c r="U1042" s="5">
        <f>OrdersTable[[#This Row],[Gross Sale]]-OrdersTable[[#This Row],[Discount Amount]]</f>
        <v>339.15</v>
      </c>
      <c r="V1042" s="77">
        <f>INDEX(Products!E:E,MATCH(OrdersTable[[#This Row],[Product ID]],Products!A:A,0))</f>
        <v>152</v>
      </c>
      <c r="W1042" s="77">
        <f>OrdersTable[[#This Row],[Quantity]]*OrdersTable[[#This Row],[Unit Cost]]</f>
        <v>152</v>
      </c>
      <c r="X1042" s="77">
        <f>'Dropdown Lists'!$I$2*(1+OrdersTable[[#This Row],[Returned]])</f>
        <v>120</v>
      </c>
      <c r="Y1042" s="76">
        <f>OrdersTable[[#This Row],[Net Revenue]]-OrdersTable[[#This Row],[COGS]]-OrdersTable[[#This Row],[Shipping Cost]]</f>
        <v>67.149999999999977</v>
      </c>
      <c r="Z1042" s="78">
        <f>IFERROR(OrdersTable[[#This Row],[Profit]]/OrdersTable[[#This Row],[Net Revenue]],0)</f>
        <v>0.19799498746867161</v>
      </c>
      <c r="AA1042" t="s">
        <v>2522</v>
      </c>
      <c r="AB1042" s="79">
        <v>45501</v>
      </c>
      <c r="AC1042">
        <f>OrdersTable[[#This Row],[Delivery Date]]-OrdersTable[[#This Row],[Order Date]]</f>
        <v>1</v>
      </c>
      <c r="AD1042" t="str">
        <f>IF(OrdersTable[[#This Row],[Delivery Days]]&lt;=2, "Express (≤2d)", IF(OrdersTable[[#This Row],[Delivery Days]]&lt;=4, "Standard (3-4d)", "Delayed (5d+)"))</f>
        <v>Express (≤2d)</v>
      </c>
      <c r="AF1042">
        <v>1</v>
      </c>
    </row>
    <row r="1043" spans="1:32" ht="15" x14ac:dyDescent="0.35">
      <c r="A1043" t="s">
        <v>6077</v>
      </c>
      <c r="B1043" s="1">
        <v>45501</v>
      </c>
      <c r="C1043">
        <f>YEAR(OrdersTable[[#This Row],[Order Date]])</f>
        <v>2024</v>
      </c>
      <c r="D1043" s="2">
        <f>DATE(YEAR(OrdersTable[[#This Row],[Order Date]]),MONTH(OrdersTable[[#This Row],[Order Date]]),1)</f>
        <v>45474</v>
      </c>
      <c r="E1043">
        <f>MONTH(OrdersTable[[#This Row],[Order Date]])</f>
        <v>7</v>
      </c>
      <c r="F1043" t="s">
        <v>3343</v>
      </c>
      <c r="G1043" t="str">
        <f>IF(OrdersTable[[#This Row],[Order Date]]=_xlfn.MINIFS(Order_Date, Customer_ID, OrdersTable[[#This Row],[Customer ID]]), "New", "Repeat")</f>
        <v>Repeat</v>
      </c>
      <c r="H1043" t="s">
        <v>128</v>
      </c>
      <c r="I1043" t="str">
        <f>INDEX(State!B:B,MATCH(OrdersTable[[#This Row],[State]],State!A:A,0))</f>
        <v>DL</v>
      </c>
      <c r="J1043" t="str">
        <f>INDEX(State!C:C,MATCH(OrdersTable[[#This Row],[State Code]],State!B:B,0))</f>
        <v>North</v>
      </c>
      <c r="K1043" t="s">
        <v>129</v>
      </c>
      <c r="L1043" t="s">
        <v>16</v>
      </c>
      <c r="M1043" t="s">
        <v>205</v>
      </c>
      <c r="N1043" t="str">
        <f>INDEX(Products!B:B,MATCH(OrdersTable[[#This Row],[Product ID]],Products!A:A,0))</f>
        <v>Running Shoes</v>
      </c>
      <c r="O1043" t="str">
        <f>INDEX(Products!C:C,MATCH(OrdersTable[[#This Row],[Product ID]],Products!A:A,0))</f>
        <v>Footwear</v>
      </c>
      <c r="P1043">
        <v>2</v>
      </c>
      <c r="Q1043" s="5">
        <v>2999</v>
      </c>
      <c r="R1043" s="74">
        <v>0.2</v>
      </c>
      <c r="S1043" s="75">
        <f>OrdersTable[[#This Row],[Quantity]]*OrdersTable[[#This Row],[Unit Price]]</f>
        <v>5998</v>
      </c>
      <c r="T1043" s="5">
        <f>OrdersTable[[#This Row],[Gross Sale]]*OrdersTable[[#This Row],[Discount_Clean2]]</f>
        <v>1199.6000000000001</v>
      </c>
      <c r="U1043" s="5">
        <f>OrdersTable[[#This Row],[Gross Sale]]-OrdersTable[[#This Row],[Discount Amount]]</f>
        <v>4798.3999999999996</v>
      </c>
      <c r="V1043" s="77">
        <f>INDEX(Products!E:E,MATCH(OrdersTable[[#This Row],[Product ID]],Products!A:A,0))</f>
        <v>1440</v>
      </c>
      <c r="W1043" s="77">
        <f>OrdersTable[[#This Row],[Quantity]]*OrdersTable[[#This Row],[Unit Cost]]</f>
        <v>2880</v>
      </c>
      <c r="X1043" s="77">
        <f>'Dropdown Lists'!$I$2*(1+OrdersTable[[#This Row],[Returned]])</f>
        <v>60</v>
      </c>
      <c r="Y1043" s="76">
        <f>OrdersTable[[#This Row],[Net Revenue]]-OrdersTable[[#This Row],[COGS]]-OrdersTable[[#This Row],[Shipping Cost]]</f>
        <v>1858.3999999999996</v>
      </c>
      <c r="Z1043" s="78">
        <f>IFERROR(OrdersTable[[#This Row],[Profit]]/OrdersTable[[#This Row],[Net Revenue]],0)</f>
        <v>0.38729576525508497</v>
      </c>
      <c r="AA1043" t="s">
        <v>18</v>
      </c>
      <c r="AB1043" s="79">
        <v>45503</v>
      </c>
      <c r="AC1043">
        <f>OrdersTable[[#This Row],[Delivery Date]]-OrdersTable[[#This Row],[Order Date]]</f>
        <v>2</v>
      </c>
      <c r="AD1043" t="str">
        <f>IF(OrdersTable[[#This Row],[Delivery Days]]&lt;=2, "Express (≤2d)", IF(OrdersTable[[#This Row],[Delivery Days]]&lt;=4, "Standard (3-4d)", "Delayed (5d+)"))</f>
        <v>Express (≤2d)</v>
      </c>
      <c r="AE1043">
        <v>4</v>
      </c>
      <c r="AF1043">
        <v>0</v>
      </c>
    </row>
    <row r="1044" spans="1:32" ht="15" x14ac:dyDescent="0.35">
      <c r="A1044" t="s">
        <v>4783</v>
      </c>
      <c r="B1044" s="1">
        <v>45501</v>
      </c>
      <c r="C1044">
        <f>YEAR(OrdersTable[[#This Row],[Order Date]])</f>
        <v>2024</v>
      </c>
      <c r="D1044" s="2">
        <f>DATE(YEAR(OrdersTable[[#This Row],[Order Date]]),MONTH(OrdersTable[[#This Row],[Order Date]]),1)</f>
        <v>45474</v>
      </c>
      <c r="E1044">
        <f>MONTH(OrdersTable[[#This Row],[Order Date]])</f>
        <v>7</v>
      </c>
      <c r="F1044" t="s">
        <v>837</v>
      </c>
      <c r="G1044" t="str">
        <f>IF(OrdersTable[[#This Row],[Order Date]]=_xlfn.MINIFS(Order_Date, Customer_ID, OrdersTable[[#This Row],[Customer ID]]), "New", "Repeat")</f>
        <v>New</v>
      </c>
      <c r="H1044" t="s">
        <v>76</v>
      </c>
      <c r="I1044" t="str">
        <f>INDEX(State!B:B,MATCH(OrdersTable[[#This Row],[State]],State!A:A,0))</f>
        <v>UP</v>
      </c>
      <c r="J1044" t="str">
        <f>INDEX(State!C:C,MATCH(OrdersTable[[#This Row],[State Code]],State!B:B,0))</f>
        <v>North</v>
      </c>
      <c r="K1044" t="s">
        <v>118</v>
      </c>
      <c r="L1044" t="s">
        <v>65</v>
      </c>
      <c r="M1044" t="s">
        <v>576</v>
      </c>
      <c r="N1044" t="str">
        <f>INDEX(Products!B:B,MATCH(OrdersTable[[#This Row],[Product ID]],Products!A:A,0))</f>
        <v>Printed Saree</v>
      </c>
      <c r="O1044" t="str">
        <f>INDEX(Products!C:C,MATCH(OrdersTable[[#This Row],[Product ID]],Products!A:A,0))</f>
        <v>Apparel</v>
      </c>
      <c r="P1044">
        <v>2</v>
      </c>
      <c r="Q1044" s="5">
        <v>1999</v>
      </c>
      <c r="R1044" s="74">
        <v>0.05</v>
      </c>
      <c r="S1044" s="75">
        <f>OrdersTable[[#This Row],[Quantity]]*OrdersTable[[#This Row],[Unit Price]]</f>
        <v>3998</v>
      </c>
      <c r="T1044" s="5">
        <f>OrdersTable[[#This Row],[Gross Sale]]*OrdersTable[[#This Row],[Discount_Clean2]]</f>
        <v>199.9</v>
      </c>
      <c r="U1044" s="5">
        <f>OrdersTable[[#This Row],[Gross Sale]]-OrdersTable[[#This Row],[Discount Amount]]</f>
        <v>3798.1</v>
      </c>
      <c r="V1044" s="77">
        <f>INDEX(Products!E:E,MATCH(OrdersTable[[#This Row],[Product ID]],Products!A:A,0))</f>
        <v>880</v>
      </c>
      <c r="W1044" s="77">
        <f>OrdersTable[[#This Row],[Quantity]]*OrdersTable[[#This Row],[Unit Cost]]</f>
        <v>1760</v>
      </c>
      <c r="X1044" s="77">
        <f>'Dropdown Lists'!$I$2*(1+OrdersTable[[#This Row],[Returned]])</f>
        <v>60</v>
      </c>
      <c r="Y1044" s="76">
        <f>OrdersTable[[#This Row],[Net Revenue]]-OrdersTable[[#This Row],[COGS]]-OrdersTable[[#This Row],[Shipping Cost]]</f>
        <v>1978.1</v>
      </c>
      <c r="Z1044" s="78">
        <f>IFERROR(OrdersTable[[#This Row],[Profit]]/OrdersTable[[#This Row],[Net Revenue]],0)</f>
        <v>0.52081303809799639</v>
      </c>
      <c r="AA1044" t="s">
        <v>4450</v>
      </c>
      <c r="AB1044" s="79">
        <v>45504</v>
      </c>
      <c r="AC1044">
        <f>OrdersTable[[#This Row],[Delivery Date]]-OrdersTable[[#This Row],[Order Date]]</f>
        <v>3</v>
      </c>
      <c r="AD1044" t="str">
        <f>IF(OrdersTable[[#This Row],[Delivery Days]]&lt;=2, "Express (≤2d)", IF(OrdersTable[[#This Row],[Delivery Days]]&lt;=4, "Standard (3-4d)", "Delayed (5d+)"))</f>
        <v>Standard (3-4d)</v>
      </c>
      <c r="AF1044">
        <v>0</v>
      </c>
    </row>
    <row r="1045" spans="1:32" ht="15" x14ac:dyDescent="0.35">
      <c r="A1045" t="s">
        <v>2566</v>
      </c>
      <c r="B1045" s="1">
        <v>45501</v>
      </c>
      <c r="C1045">
        <f>YEAR(OrdersTable[[#This Row],[Order Date]])</f>
        <v>2024</v>
      </c>
      <c r="D1045" s="2">
        <f>DATE(YEAR(OrdersTable[[#This Row],[Order Date]]),MONTH(OrdersTable[[#This Row],[Order Date]]),1)</f>
        <v>45474</v>
      </c>
      <c r="E1045">
        <f>MONTH(OrdersTable[[#This Row],[Order Date]])</f>
        <v>7</v>
      </c>
      <c r="F1045" t="s">
        <v>2567</v>
      </c>
      <c r="G1045" t="str">
        <f>IF(OrdersTable[[#This Row],[Order Date]]=_xlfn.MINIFS(Order_Date, Customer_ID, OrdersTable[[#This Row],[Customer ID]]), "New", "Repeat")</f>
        <v>New</v>
      </c>
      <c r="H1045" t="s">
        <v>37</v>
      </c>
      <c r="I1045" t="str">
        <f>INDEX(State!B:B,MATCH(OrdersTable[[#This Row],[State]],State!A:A,0))</f>
        <v>GJ</v>
      </c>
      <c r="J1045" t="str">
        <f>INDEX(State!C:C,MATCH(OrdersTable[[#This Row],[State Code]],State!B:B,0))</f>
        <v>West</v>
      </c>
      <c r="K1045" t="s">
        <v>247</v>
      </c>
      <c r="L1045" t="s">
        <v>39</v>
      </c>
      <c r="M1045" t="s">
        <v>24</v>
      </c>
      <c r="N1045" t="str">
        <f>INDEX(Products!B:B,MATCH(OrdersTable[[#This Row],[Product ID]],Products!A:A,0))</f>
        <v>Scented Candle Set</v>
      </c>
      <c r="O1045" t="str">
        <f>INDEX(Products!C:C,MATCH(OrdersTable[[#This Row],[Product ID]],Products!A:A,0))</f>
        <v>Home &amp; Kitchen</v>
      </c>
      <c r="P1045">
        <v>1</v>
      </c>
      <c r="Q1045" s="5">
        <v>699</v>
      </c>
      <c r="R1045" s="74">
        <v>0.1</v>
      </c>
      <c r="S1045" s="75">
        <f>OrdersTable[[#This Row],[Quantity]]*OrdersTable[[#This Row],[Unit Price]]</f>
        <v>699</v>
      </c>
      <c r="T1045" s="5">
        <f>OrdersTable[[#This Row],[Gross Sale]]*OrdersTable[[#This Row],[Discount_Clean2]]</f>
        <v>69.900000000000006</v>
      </c>
      <c r="U1045" s="5">
        <f>OrdersTable[[#This Row],[Gross Sale]]-OrdersTable[[#This Row],[Discount Amount]]</f>
        <v>629.1</v>
      </c>
      <c r="V1045" s="77">
        <f>INDEX(Products!E:E,MATCH(OrdersTable[[#This Row],[Product ID]],Products!A:A,0))</f>
        <v>245</v>
      </c>
      <c r="W1045" s="77">
        <f>OrdersTable[[#This Row],[Quantity]]*OrdersTable[[#This Row],[Unit Cost]]</f>
        <v>245</v>
      </c>
      <c r="X1045" s="77">
        <f>'Dropdown Lists'!$I$2*(1+OrdersTable[[#This Row],[Returned]])</f>
        <v>120</v>
      </c>
      <c r="Y1045" s="76">
        <f>OrdersTable[[#This Row],[Net Revenue]]-OrdersTable[[#This Row],[COGS]]-OrdersTable[[#This Row],[Shipping Cost]]</f>
        <v>264.10000000000002</v>
      </c>
      <c r="Z1045" s="78">
        <f>IFERROR(OrdersTable[[#This Row],[Profit]]/OrdersTable[[#This Row],[Net Revenue]],0)</f>
        <v>0.41980607216658722</v>
      </c>
      <c r="AA1045" t="s">
        <v>2522</v>
      </c>
      <c r="AB1045" s="79">
        <v>45502</v>
      </c>
      <c r="AC1045">
        <f>OrdersTable[[#This Row],[Delivery Date]]-OrdersTable[[#This Row],[Order Date]]</f>
        <v>1</v>
      </c>
      <c r="AD1045" t="str">
        <f>IF(OrdersTable[[#This Row],[Delivery Days]]&lt;=2, "Express (≤2d)", IF(OrdersTable[[#This Row],[Delivery Days]]&lt;=4, "Standard (3-4d)", "Delayed (5d+)"))</f>
        <v>Express (≤2d)</v>
      </c>
      <c r="AE1045">
        <v>5</v>
      </c>
      <c r="AF1045">
        <v>1</v>
      </c>
    </row>
    <row r="1046" spans="1:32" ht="15" x14ac:dyDescent="0.35">
      <c r="A1046" t="s">
        <v>3980</v>
      </c>
      <c r="B1046" s="1">
        <v>45501</v>
      </c>
      <c r="C1046">
        <f>YEAR(OrdersTable[[#This Row],[Order Date]])</f>
        <v>2024</v>
      </c>
      <c r="D1046" s="2">
        <f>DATE(YEAR(OrdersTable[[#This Row],[Order Date]]),MONTH(OrdersTable[[#This Row],[Order Date]]),1)</f>
        <v>45474</v>
      </c>
      <c r="E1046">
        <f>MONTH(OrdersTable[[#This Row],[Order Date]])</f>
        <v>7</v>
      </c>
      <c r="F1046" t="s">
        <v>2103</v>
      </c>
      <c r="G1046" t="str">
        <f>IF(OrdersTable[[#This Row],[Order Date]]=_xlfn.MINIFS(Order_Date, Customer_ID, OrdersTable[[#This Row],[Customer ID]]), "New", "Repeat")</f>
        <v>New</v>
      </c>
      <c r="H1046" t="s">
        <v>27</v>
      </c>
      <c r="I1046" t="str">
        <f>INDEX(State!B:B,MATCH(OrdersTable[[#This Row],[State]],State!A:A,0))</f>
        <v>WB</v>
      </c>
      <c r="J1046" t="str">
        <f>INDEX(State!C:C,MATCH(OrdersTable[[#This Row],[State Code]],State!B:B,0))</f>
        <v>East</v>
      </c>
      <c r="K1046" t="s">
        <v>28</v>
      </c>
      <c r="L1046" t="s">
        <v>23</v>
      </c>
      <c r="M1046" t="s">
        <v>173</v>
      </c>
      <c r="N1046" t="str">
        <f>INDEX(Products!B:B,MATCH(OrdersTable[[#This Row],[Product ID]],Products!A:A,0))</f>
        <v>Wireless Earbuds</v>
      </c>
      <c r="O1046" t="str">
        <f>INDEX(Products!C:C,MATCH(OrdersTable[[#This Row],[Product ID]],Products!A:A,0))</f>
        <v>Electronics</v>
      </c>
      <c r="P1046">
        <v>1</v>
      </c>
      <c r="Q1046" s="5">
        <v>1999</v>
      </c>
      <c r="R1046" s="74">
        <v>0.35</v>
      </c>
      <c r="S1046" s="75">
        <f>OrdersTable[[#This Row],[Quantity]]*OrdersTable[[#This Row],[Unit Price]]</f>
        <v>1999</v>
      </c>
      <c r="T1046" s="5">
        <f>OrdersTable[[#This Row],[Gross Sale]]*OrdersTable[[#This Row],[Discount_Clean2]]</f>
        <v>699.65</v>
      </c>
      <c r="U1046" s="5">
        <f>OrdersTable[[#This Row],[Gross Sale]]-OrdersTable[[#This Row],[Discount Amount]]</f>
        <v>1299.3499999999999</v>
      </c>
      <c r="V1046" s="77">
        <f>INDEX(Products!E:E,MATCH(OrdersTable[[#This Row],[Product ID]],Products!A:A,0))</f>
        <v>1239</v>
      </c>
      <c r="W1046" s="77">
        <f>OrdersTable[[#This Row],[Quantity]]*OrdersTable[[#This Row],[Unit Cost]]</f>
        <v>1239</v>
      </c>
      <c r="X1046" s="77">
        <f>'Dropdown Lists'!$I$2*(1+OrdersTable[[#This Row],[Returned]])</f>
        <v>60</v>
      </c>
      <c r="Y1046" s="76">
        <f>OrdersTable[[#This Row],[Net Revenue]]-OrdersTable[[#This Row],[COGS]]-OrdersTable[[#This Row],[Shipping Cost]]</f>
        <v>0.34999999999990905</v>
      </c>
      <c r="Z1046" s="78">
        <f>IFERROR(OrdersTable[[#This Row],[Profit]]/OrdersTable[[#This Row],[Net Revenue]],0)</f>
        <v>2.6936545195667763E-4</v>
      </c>
      <c r="AA1046" t="s">
        <v>3495</v>
      </c>
      <c r="AB1046" s="79">
        <v>45505</v>
      </c>
      <c r="AC1046">
        <f>OrdersTable[[#This Row],[Delivery Date]]-OrdersTable[[#This Row],[Order Date]]</f>
        <v>4</v>
      </c>
      <c r="AD1046" t="str">
        <f>IF(OrdersTable[[#This Row],[Delivery Days]]&lt;=2, "Express (≤2d)", IF(OrdersTable[[#This Row],[Delivery Days]]&lt;=4, "Standard (3-4d)", "Delayed (5d+)"))</f>
        <v>Standard (3-4d)</v>
      </c>
      <c r="AE1046">
        <v>5</v>
      </c>
      <c r="AF1046">
        <v>0</v>
      </c>
    </row>
    <row r="1047" spans="1:32" ht="15" x14ac:dyDescent="0.35">
      <c r="A1047" t="s">
        <v>6504</v>
      </c>
      <c r="B1047" s="1">
        <v>45502</v>
      </c>
      <c r="C1047">
        <f>YEAR(OrdersTable[[#This Row],[Order Date]])</f>
        <v>2024</v>
      </c>
      <c r="D1047" s="2">
        <f>DATE(YEAR(OrdersTable[[#This Row],[Order Date]]),MONTH(OrdersTable[[#This Row],[Order Date]]),1)</f>
        <v>45474</v>
      </c>
      <c r="E1047">
        <f>MONTH(OrdersTable[[#This Row],[Order Date]])</f>
        <v>7</v>
      </c>
      <c r="F1047" t="s">
        <v>5506</v>
      </c>
      <c r="G1047" t="str">
        <f>IF(OrdersTable[[#This Row],[Order Date]]=_xlfn.MINIFS(Order_Date, Customer_ID, OrdersTable[[#This Row],[Customer ID]]), "New", "Repeat")</f>
        <v>New</v>
      </c>
      <c r="H1047" t="s">
        <v>32</v>
      </c>
      <c r="I1047" t="str">
        <f>INDEX(State!B:B,MATCH(OrdersTable[[#This Row],[State]],State!A:A,0))</f>
        <v>BR</v>
      </c>
      <c r="J1047" t="str">
        <f>INDEX(State!C:C,MATCH(OrdersTable[[#This Row],[State Code]],State!B:B,0))</f>
        <v>East</v>
      </c>
      <c r="K1047" t="s">
        <v>33</v>
      </c>
      <c r="L1047" t="s">
        <v>23</v>
      </c>
      <c r="M1047" t="s">
        <v>576</v>
      </c>
      <c r="N1047" t="str">
        <f>INDEX(Products!B:B,MATCH(OrdersTable[[#This Row],[Product ID]],Products!A:A,0))</f>
        <v>Printed Saree</v>
      </c>
      <c r="O1047" t="str">
        <f>INDEX(Products!C:C,MATCH(OrdersTable[[#This Row],[Product ID]],Products!A:A,0))</f>
        <v>Apparel</v>
      </c>
      <c r="P1047">
        <v>3</v>
      </c>
      <c r="Q1047" s="5">
        <v>1999</v>
      </c>
      <c r="R1047" s="74">
        <v>0.05</v>
      </c>
      <c r="S1047" s="75">
        <f>OrdersTable[[#This Row],[Quantity]]*OrdersTable[[#This Row],[Unit Price]]</f>
        <v>5997</v>
      </c>
      <c r="T1047" s="5">
        <f>OrdersTable[[#This Row],[Gross Sale]]*OrdersTable[[#This Row],[Discount_Clean2]]</f>
        <v>299.85000000000002</v>
      </c>
      <c r="U1047" s="5">
        <f>OrdersTable[[#This Row],[Gross Sale]]-OrdersTable[[#This Row],[Discount Amount]]</f>
        <v>5697.15</v>
      </c>
      <c r="V1047" s="77">
        <f>INDEX(Products!E:E,MATCH(OrdersTable[[#This Row],[Product ID]],Products!A:A,0))</f>
        <v>880</v>
      </c>
      <c r="W1047" s="77">
        <f>OrdersTable[[#This Row],[Quantity]]*OrdersTable[[#This Row],[Unit Cost]]</f>
        <v>2640</v>
      </c>
      <c r="X1047" s="77">
        <f>'Dropdown Lists'!$I$2*(1+OrdersTable[[#This Row],[Returned]])</f>
        <v>60</v>
      </c>
      <c r="Y1047" s="76">
        <f>OrdersTable[[#This Row],[Net Revenue]]-OrdersTable[[#This Row],[COGS]]-OrdersTable[[#This Row],[Shipping Cost]]</f>
        <v>2997.1499999999996</v>
      </c>
      <c r="Z1047" s="78">
        <f>IFERROR(OrdersTable[[#This Row],[Profit]]/OrdersTable[[#This Row],[Net Revenue]],0)</f>
        <v>0.52607882888812829</v>
      </c>
      <c r="AA1047" t="s">
        <v>18</v>
      </c>
      <c r="AB1047" s="79">
        <v>45507</v>
      </c>
      <c r="AC1047">
        <f>OrdersTable[[#This Row],[Delivery Date]]-OrdersTable[[#This Row],[Order Date]]</f>
        <v>5</v>
      </c>
      <c r="AD1047" t="str">
        <f>IF(OrdersTable[[#This Row],[Delivery Days]]&lt;=2, "Express (≤2d)", IF(OrdersTable[[#This Row],[Delivery Days]]&lt;=4, "Standard (3-4d)", "Delayed (5d+)"))</f>
        <v>Delayed (5d+)</v>
      </c>
      <c r="AE1047">
        <v>4</v>
      </c>
      <c r="AF1047">
        <v>0</v>
      </c>
    </row>
    <row r="1048" spans="1:32" ht="15" x14ac:dyDescent="0.35">
      <c r="A1048" t="s">
        <v>4233</v>
      </c>
      <c r="B1048" s="1">
        <v>45502</v>
      </c>
      <c r="C1048">
        <f>YEAR(OrdersTable[[#This Row],[Order Date]])</f>
        <v>2024</v>
      </c>
      <c r="D1048" s="2">
        <f>DATE(YEAR(OrdersTable[[#This Row],[Order Date]]),MONTH(OrdersTable[[#This Row],[Order Date]]),1)</f>
        <v>45474</v>
      </c>
      <c r="E1048">
        <f>MONTH(OrdersTable[[#This Row],[Order Date]])</f>
        <v>7</v>
      </c>
      <c r="F1048" t="s">
        <v>2676</v>
      </c>
      <c r="G1048" t="str">
        <f>IF(OrdersTable[[#This Row],[Order Date]]=_xlfn.MINIFS(Order_Date, Customer_ID, OrdersTable[[#This Row],[Customer ID]]), "New", "Repeat")</f>
        <v>New</v>
      </c>
      <c r="H1048" t="s">
        <v>167</v>
      </c>
      <c r="I1048" t="str">
        <f>INDEX(State!B:B,MATCH(OrdersTable[[#This Row],[State]],State!A:A,0))</f>
        <v>KA</v>
      </c>
      <c r="J1048" t="str">
        <f>INDEX(State!C:C,MATCH(OrdersTable[[#This Row],[State Code]],State!B:B,0))</f>
        <v>South</v>
      </c>
      <c r="K1048" t="s">
        <v>168</v>
      </c>
      <c r="L1048" t="s">
        <v>39</v>
      </c>
      <c r="M1048" t="s">
        <v>34</v>
      </c>
      <c r="N1048" t="str">
        <f>INDEX(Products!B:B,MATCH(OrdersTable[[#This Row],[Product ID]],Products!A:A,0))</f>
        <v>Flip Flops</v>
      </c>
      <c r="O1048" t="str">
        <f>INDEX(Products!C:C,MATCH(OrdersTable[[#This Row],[Product ID]],Products!A:A,0))</f>
        <v>Footwear</v>
      </c>
      <c r="P1048">
        <v>1</v>
      </c>
      <c r="Q1048" s="5">
        <v>399</v>
      </c>
      <c r="R1048" s="74">
        <v>0</v>
      </c>
      <c r="S1048" s="75">
        <f>OrdersTable[[#This Row],[Quantity]]*OrdersTable[[#This Row],[Unit Price]]</f>
        <v>399</v>
      </c>
      <c r="T1048" s="5">
        <f>OrdersTable[[#This Row],[Gross Sale]]*OrdersTable[[#This Row],[Discount_Clean2]]</f>
        <v>0</v>
      </c>
      <c r="U1048" s="5">
        <f>OrdersTable[[#This Row],[Gross Sale]]-OrdersTable[[#This Row],[Discount Amount]]</f>
        <v>399</v>
      </c>
      <c r="V1048" s="77">
        <f>INDEX(Products!E:E,MATCH(OrdersTable[[#This Row],[Product ID]],Products!A:A,0))</f>
        <v>152</v>
      </c>
      <c r="W1048" s="77">
        <f>OrdersTable[[#This Row],[Quantity]]*OrdersTable[[#This Row],[Unit Cost]]</f>
        <v>152</v>
      </c>
      <c r="X1048" s="77">
        <f>'Dropdown Lists'!$I$2*(1+OrdersTable[[#This Row],[Returned]])</f>
        <v>120</v>
      </c>
      <c r="Y1048" s="76">
        <f>OrdersTable[[#This Row],[Net Revenue]]-OrdersTable[[#This Row],[COGS]]-OrdersTable[[#This Row],[Shipping Cost]]</f>
        <v>127</v>
      </c>
      <c r="Z1048" s="78">
        <f>IFERROR(OrdersTable[[#This Row],[Profit]]/OrdersTable[[#This Row],[Net Revenue]],0)</f>
        <v>0.31829573934837091</v>
      </c>
      <c r="AA1048" t="s">
        <v>4074</v>
      </c>
      <c r="AB1048" s="79">
        <v>45504</v>
      </c>
      <c r="AC1048">
        <f>OrdersTable[[#This Row],[Delivery Date]]-OrdersTable[[#This Row],[Order Date]]</f>
        <v>2</v>
      </c>
      <c r="AD1048" t="str">
        <f>IF(OrdersTable[[#This Row],[Delivery Days]]&lt;=2, "Express (≤2d)", IF(OrdersTable[[#This Row],[Delivery Days]]&lt;=4, "Standard (3-4d)", "Delayed (5d+)"))</f>
        <v>Express (≤2d)</v>
      </c>
      <c r="AF1048">
        <v>1</v>
      </c>
    </row>
    <row r="1049" spans="1:32" ht="15" x14ac:dyDescent="0.35">
      <c r="A1049" t="s">
        <v>2721</v>
      </c>
      <c r="B1049" s="1">
        <v>45503</v>
      </c>
      <c r="C1049">
        <f>YEAR(OrdersTable[[#This Row],[Order Date]])</f>
        <v>2024</v>
      </c>
      <c r="D1049" s="2">
        <f>DATE(YEAR(OrdersTable[[#This Row],[Order Date]]),MONTH(OrdersTable[[#This Row],[Order Date]]),1)</f>
        <v>45474</v>
      </c>
      <c r="E1049">
        <f>MONTH(OrdersTable[[#This Row],[Order Date]])</f>
        <v>7</v>
      </c>
      <c r="F1049" t="s">
        <v>995</v>
      </c>
      <c r="G1049" t="str">
        <f>IF(OrdersTable[[#This Row],[Order Date]]=_xlfn.MINIFS(Order_Date, Customer_ID, OrdersTable[[#This Row],[Customer ID]]), "New", "Repeat")</f>
        <v>New</v>
      </c>
      <c r="H1049" t="s">
        <v>210</v>
      </c>
      <c r="I1049" t="str">
        <f>INDEX(State!B:B,MATCH(OrdersTable[[#This Row],[State]],State!A:A,0))</f>
        <v>JK</v>
      </c>
      <c r="J1049" t="str">
        <f>INDEX(State!C:C,MATCH(OrdersTable[[#This Row],[State Code]],State!B:B,0))</f>
        <v>North</v>
      </c>
      <c r="K1049" t="s">
        <v>211</v>
      </c>
      <c r="L1049" t="s">
        <v>39</v>
      </c>
      <c r="M1049" t="s">
        <v>228</v>
      </c>
      <c r="N1049" t="str">
        <f>INDEX(Products!B:B,MATCH(OrdersTable[[#This Row],[Product ID]],Products!A:A,0))</f>
        <v>Fast Charger 33W</v>
      </c>
      <c r="O1049" t="str">
        <f>INDEX(Products!C:C,MATCH(OrdersTable[[#This Row],[Product ID]],Products!A:A,0))</f>
        <v>Electronics</v>
      </c>
      <c r="P1049">
        <v>1</v>
      </c>
      <c r="Q1049" s="5">
        <v>899</v>
      </c>
      <c r="R1049" s="74">
        <v>0.1</v>
      </c>
      <c r="S1049" s="75">
        <f>OrdersTable[[#This Row],[Quantity]]*OrdersTable[[#This Row],[Unit Price]]</f>
        <v>899</v>
      </c>
      <c r="T1049" s="5">
        <f>OrdersTable[[#This Row],[Gross Sale]]*OrdersTable[[#This Row],[Discount_Clean2]]</f>
        <v>89.9</v>
      </c>
      <c r="U1049" s="5">
        <f>OrdersTable[[#This Row],[Gross Sale]]-OrdersTable[[#This Row],[Discount Amount]]</f>
        <v>809.1</v>
      </c>
      <c r="V1049" s="77">
        <f>INDEX(Products!E:E,MATCH(OrdersTable[[#This Row],[Product ID]],Products!A:A,0))</f>
        <v>494</v>
      </c>
      <c r="W1049" s="77">
        <f>OrdersTable[[#This Row],[Quantity]]*OrdersTable[[#This Row],[Unit Cost]]</f>
        <v>494</v>
      </c>
      <c r="X1049" s="77">
        <f>'Dropdown Lists'!$I$2*(1+OrdersTable[[#This Row],[Returned]])</f>
        <v>60</v>
      </c>
      <c r="Y1049" s="76">
        <f>OrdersTable[[#This Row],[Net Revenue]]-OrdersTable[[#This Row],[COGS]]-OrdersTable[[#This Row],[Shipping Cost]]</f>
        <v>255.10000000000002</v>
      </c>
      <c r="Z1049" s="78">
        <f>IFERROR(OrdersTable[[#This Row],[Profit]]/OrdersTable[[#This Row],[Net Revenue]],0)</f>
        <v>0.31528859226300832</v>
      </c>
      <c r="AA1049" t="s">
        <v>2522</v>
      </c>
      <c r="AB1049" s="79">
        <v>45511</v>
      </c>
      <c r="AC1049">
        <f>OrdersTable[[#This Row],[Delivery Date]]-OrdersTable[[#This Row],[Order Date]]</f>
        <v>8</v>
      </c>
      <c r="AD1049" t="str">
        <f>IF(OrdersTable[[#This Row],[Delivery Days]]&lt;=2, "Express (≤2d)", IF(OrdersTable[[#This Row],[Delivery Days]]&lt;=4, "Standard (3-4d)", "Delayed (5d+)"))</f>
        <v>Delayed (5d+)</v>
      </c>
      <c r="AE1049">
        <v>3</v>
      </c>
      <c r="AF1049">
        <v>0</v>
      </c>
    </row>
    <row r="1050" spans="1:32" ht="15" x14ac:dyDescent="0.35">
      <c r="A1050" t="s">
        <v>1489</v>
      </c>
      <c r="B1050" s="1">
        <v>45503</v>
      </c>
      <c r="C1050">
        <f>YEAR(OrdersTable[[#This Row],[Order Date]])</f>
        <v>2024</v>
      </c>
      <c r="D1050" s="2">
        <f>DATE(YEAR(OrdersTable[[#This Row],[Order Date]]),MONTH(OrdersTable[[#This Row],[Order Date]]),1)</f>
        <v>45474</v>
      </c>
      <c r="E1050">
        <f>MONTH(OrdersTable[[#This Row],[Order Date]])</f>
        <v>7</v>
      </c>
      <c r="F1050" t="s">
        <v>1490</v>
      </c>
      <c r="G1050" t="str">
        <f>IF(OrdersTable[[#This Row],[Order Date]]=_xlfn.MINIFS(Order_Date, Customer_ID, OrdersTable[[#This Row],[Customer ID]]), "New", "Repeat")</f>
        <v>New</v>
      </c>
      <c r="H1050" t="s">
        <v>54</v>
      </c>
      <c r="I1050" t="str">
        <f>INDEX(State!B:B,MATCH(OrdersTable[[#This Row],[State]],State!A:A,0))</f>
        <v>RJ</v>
      </c>
      <c r="J1050" t="str">
        <f>INDEX(State!C:C,MATCH(OrdersTable[[#This Row],[State Code]],State!B:B,0))</f>
        <v>North</v>
      </c>
      <c r="K1050" t="s">
        <v>55</v>
      </c>
      <c r="L1050" t="s">
        <v>39</v>
      </c>
      <c r="M1050" t="s">
        <v>66</v>
      </c>
      <c r="N1050" t="str">
        <f>INDEX(Products!B:B,MATCH(OrdersTable[[#This Row],[Product ID]],Products!A:A,0))</f>
        <v>Sunscreen SPF 50</v>
      </c>
      <c r="O1050" t="str">
        <f>INDEX(Products!C:C,MATCH(OrdersTable[[#This Row],[Product ID]],Products!A:A,0))</f>
        <v>Skincare</v>
      </c>
      <c r="P1050">
        <v>1</v>
      </c>
      <c r="Q1050" s="5">
        <v>449</v>
      </c>
      <c r="R1050" s="74">
        <v>0</v>
      </c>
      <c r="S1050" s="75">
        <f>OrdersTable[[#This Row],[Quantity]]*OrdersTable[[#This Row],[Unit Price]]</f>
        <v>449</v>
      </c>
      <c r="T1050" s="5">
        <f>OrdersTable[[#This Row],[Gross Sale]]*OrdersTable[[#This Row],[Discount_Clean2]]</f>
        <v>0</v>
      </c>
      <c r="U1050" s="5">
        <f>OrdersTable[[#This Row],[Gross Sale]]-OrdersTable[[#This Row],[Discount Amount]]</f>
        <v>449</v>
      </c>
      <c r="V1050" s="77">
        <f>INDEX(Products!E:E,MATCH(OrdersTable[[#This Row],[Product ID]],Products!A:A,0))</f>
        <v>144</v>
      </c>
      <c r="W1050" s="77">
        <f>OrdersTable[[#This Row],[Quantity]]*OrdersTable[[#This Row],[Unit Cost]]</f>
        <v>144</v>
      </c>
      <c r="X1050" s="77">
        <f>'Dropdown Lists'!$I$2*(1+OrdersTable[[#This Row],[Returned]])</f>
        <v>60</v>
      </c>
      <c r="Y1050" s="76">
        <f>OrdersTable[[#This Row],[Net Revenue]]-OrdersTable[[#This Row],[COGS]]-OrdersTable[[#This Row],[Shipping Cost]]</f>
        <v>245</v>
      </c>
      <c r="Z1050" s="78">
        <f>IFERROR(OrdersTable[[#This Row],[Profit]]/OrdersTable[[#This Row],[Net Revenue]],0)</f>
        <v>0.54565701559020041</v>
      </c>
      <c r="AA1050" t="s">
        <v>18</v>
      </c>
      <c r="AB1050" s="79">
        <v>45507</v>
      </c>
      <c r="AC1050">
        <f>OrdersTable[[#This Row],[Delivery Date]]-OrdersTable[[#This Row],[Order Date]]</f>
        <v>4</v>
      </c>
      <c r="AD1050" t="str">
        <f>IF(OrdersTable[[#This Row],[Delivery Days]]&lt;=2, "Express (≤2d)", IF(OrdersTable[[#This Row],[Delivery Days]]&lt;=4, "Standard (3-4d)", "Delayed (5d+)"))</f>
        <v>Standard (3-4d)</v>
      </c>
      <c r="AF1050">
        <v>0</v>
      </c>
    </row>
    <row r="1051" spans="1:32" ht="15" x14ac:dyDescent="0.35">
      <c r="A1051" t="s">
        <v>6292</v>
      </c>
      <c r="B1051" s="1">
        <v>45503</v>
      </c>
      <c r="C1051">
        <f>YEAR(OrdersTable[[#This Row],[Order Date]])</f>
        <v>2024</v>
      </c>
      <c r="D1051" s="2">
        <f>DATE(YEAR(OrdersTable[[#This Row],[Order Date]]),MONTH(OrdersTable[[#This Row],[Order Date]]),1)</f>
        <v>45474</v>
      </c>
      <c r="E1051">
        <f>MONTH(OrdersTable[[#This Row],[Order Date]])</f>
        <v>7</v>
      </c>
      <c r="F1051" t="s">
        <v>4097</v>
      </c>
      <c r="G1051" t="str">
        <f>IF(OrdersTable[[#This Row],[Order Date]]=_xlfn.MINIFS(Order_Date, Customer_ID, OrdersTable[[#This Row],[Customer ID]]), "New", "Repeat")</f>
        <v>Repeat</v>
      </c>
      <c r="H1051" t="s">
        <v>48</v>
      </c>
      <c r="I1051" t="str">
        <f>INDEX(State!B:B,MATCH(OrdersTable[[#This Row],[State]],State!A:A,0))</f>
        <v>HR</v>
      </c>
      <c r="J1051" t="str">
        <f>INDEX(State!C:C,MATCH(OrdersTable[[#This Row],[State Code]],State!B:B,0))</f>
        <v>North</v>
      </c>
      <c r="K1051" t="s">
        <v>151</v>
      </c>
      <c r="L1051" t="s">
        <v>39</v>
      </c>
      <c r="M1051" t="s">
        <v>152</v>
      </c>
      <c r="N1051" t="str">
        <f>INDEX(Products!B:B,MATCH(OrdersTable[[#This Row],[Product ID]],Products!A:A,0))</f>
        <v>Green Tea (100 bags)</v>
      </c>
      <c r="O1051" t="str">
        <f>INDEX(Products!C:C,MATCH(OrdersTable[[#This Row],[Product ID]],Products!A:A,0))</f>
        <v>Wellness</v>
      </c>
      <c r="P1051">
        <v>2</v>
      </c>
      <c r="Q1051" s="5">
        <v>399</v>
      </c>
      <c r="R1051" s="74">
        <v>0.3</v>
      </c>
      <c r="S1051" s="75">
        <f>OrdersTable[[#This Row],[Quantity]]*OrdersTable[[#This Row],[Unit Price]]</f>
        <v>798</v>
      </c>
      <c r="T1051" s="5">
        <f>OrdersTable[[#This Row],[Gross Sale]]*OrdersTable[[#This Row],[Discount_Clean2]]</f>
        <v>239.39999999999998</v>
      </c>
      <c r="U1051" s="5">
        <f>OrdersTable[[#This Row],[Gross Sale]]-OrdersTable[[#This Row],[Discount Amount]]</f>
        <v>558.6</v>
      </c>
      <c r="V1051" s="77">
        <f>INDEX(Products!E:E,MATCH(OrdersTable[[#This Row],[Product ID]],Products!A:A,0))</f>
        <v>128</v>
      </c>
      <c r="W1051" s="77">
        <f>OrdersTable[[#This Row],[Quantity]]*OrdersTable[[#This Row],[Unit Cost]]</f>
        <v>256</v>
      </c>
      <c r="X1051" s="77">
        <f>'Dropdown Lists'!$I$2*(1+OrdersTable[[#This Row],[Returned]])</f>
        <v>60</v>
      </c>
      <c r="Y1051" s="76">
        <f>OrdersTable[[#This Row],[Net Revenue]]-OrdersTable[[#This Row],[COGS]]-OrdersTable[[#This Row],[Shipping Cost]]</f>
        <v>242.60000000000002</v>
      </c>
      <c r="Z1051" s="78">
        <f>IFERROR(OrdersTable[[#This Row],[Profit]]/OrdersTable[[#This Row],[Net Revenue]],0)</f>
        <v>0.43430003580379523</v>
      </c>
      <c r="AA1051" t="s">
        <v>18</v>
      </c>
      <c r="AB1051" s="79">
        <v>45507</v>
      </c>
      <c r="AC1051">
        <f>OrdersTable[[#This Row],[Delivery Date]]-OrdersTable[[#This Row],[Order Date]]</f>
        <v>4</v>
      </c>
      <c r="AD1051" t="str">
        <f>IF(OrdersTable[[#This Row],[Delivery Days]]&lt;=2, "Express (≤2d)", IF(OrdersTable[[#This Row],[Delivery Days]]&lt;=4, "Standard (3-4d)", "Delayed (5d+)"))</f>
        <v>Standard (3-4d)</v>
      </c>
      <c r="AF1051">
        <v>0</v>
      </c>
    </row>
    <row r="1052" spans="1:32" ht="15" x14ac:dyDescent="0.35">
      <c r="A1052" t="s">
        <v>161</v>
      </c>
      <c r="B1052" s="1">
        <v>45503</v>
      </c>
      <c r="C1052">
        <f>YEAR(OrdersTable[[#This Row],[Order Date]])</f>
        <v>2024</v>
      </c>
      <c r="D1052" s="2">
        <f>DATE(YEAR(OrdersTable[[#This Row],[Order Date]]),MONTH(OrdersTable[[#This Row],[Order Date]]),1)</f>
        <v>45474</v>
      </c>
      <c r="E1052">
        <f>MONTH(OrdersTable[[#This Row],[Order Date]])</f>
        <v>7</v>
      </c>
      <c r="F1052" t="s">
        <v>162</v>
      </c>
      <c r="G1052" t="str">
        <f>IF(OrdersTable[[#This Row],[Order Date]]=_xlfn.MINIFS(Order_Date, Customer_ID, OrdersTable[[#This Row],[Customer ID]]), "New", "Repeat")</f>
        <v>New</v>
      </c>
      <c r="H1052" t="s">
        <v>37</v>
      </c>
      <c r="I1052" t="str">
        <f>INDEX(State!B:B,MATCH(OrdersTable[[#This Row],[State]],State!A:A,0))</f>
        <v>GJ</v>
      </c>
      <c r="J1052" t="str">
        <f>INDEX(State!C:C,MATCH(OrdersTable[[#This Row],[State Code]],State!B:B,0))</f>
        <v>West</v>
      </c>
      <c r="K1052" t="s">
        <v>38</v>
      </c>
      <c r="L1052" t="s">
        <v>23</v>
      </c>
      <c r="M1052" t="s">
        <v>106</v>
      </c>
      <c r="N1052" t="str">
        <f>INDEX(Products!B:B,MATCH(OrdersTable[[#This Row],[Product ID]],Products!A:A,0))</f>
        <v>Keratin Hair Mask</v>
      </c>
      <c r="O1052" t="str">
        <f>INDEX(Products!C:C,MATCH(OrdersTable[[#This Row],[Product ID]],Products!A:A,0))</f>
        <v>Haircare</v>
      </c>
      <c r="P1052">
        <v>1</v>
      </c>
      <c r="Q1052" s="5">
        <v>549</v>
      </c>
      <c r="R1052" s="74">
        <v>0.25</v>
      </c>
      <c r="S1052" s="75">
        <f>OrdersTable[[#This Row],[Quantity]]*OrdersTable[[#This Row],[Unit Price]]</f>
        <v>549</v>
      </c>
      <c r="T1052" s="5">
        <f>OrdersTable[[#This Row],[Gross Sale]]*OrdersTable[[#This Row],[Discount_Clean2]]</f>
        <v>137.25</v>
      </c>
      <c r="U1052" s="5">
        <f>OrdersTable[[#This Row],[Gross Sale]]-OrdersTable[[#This Row],[Discount Amount]]</f>
        <v>411.75</v>
      </c>
      <c r="V1052" s="77">
        <f>INDEX(Products!E:E,MATCH(OrdersTable[[#This Row],[Product ID]],Products!A:A,0))</f>
        <v>170</v>
      </c>
      <c r="W1052" s="77">
        <f>OrdersTable[[#This Row],[Quantity]]*OrdersTable[[#This Row],[Unit Cost]]</f>
        <v>170</v>
      </c>
      <c r="X1052" s="77">
        <f>'Dropdown Lists'!$I$2*(1+OrdersTable[[#This Row],[Returned]])</f>
        <v>60</v>
      </c>
      <c r="Y1052" s="76">
        <f>OrdersTable[[#This Row],[Net Revenue]]-OrdersTable[[#This Row],[COGS]]-OrdersTable[[#This Row],[Shipping Cost]]</f>
        <v>181.75</v>
      </c>
      <c r="Z1052" s="78">
        <f>IFERROR(OrdersTable[[#This Row],[Profit]]/OrdersTable[[#This Row],[Net Revenue]],0)</f>
        <v>0.44140862173649059</v>
      </c>
      <c r="AA1052" t="s">
        <v>18</v>
      </c>
      <c r="AB1052" s="79">
        <v>45507</v>
      </c>
      <c r="AC1052">
        <f>OrdersTable[[#This Row],[Delivery Date]]-OrdersTable[[#This Row],[Order Date]]</f>
        <v>4</v>
      </c>
      <c r="AD1052" t="str">
        <f>IF(OrdersTable[[#This Row],[Delivery Days]]&lt;=2, "Express (≤2d)", IF(OrdersTable[[#This Row],[Delivery Days]]&lt;=4, "Standard (3-4d)", "Delayed (5d+)"))</f>
        <v>Standard (3-4d)</v>
      </c>
      <c r="AE1052">
        <v>4</v>
      </c>
      <c r="AF1052">
        <v>0</v>
      </c>
    </row>
    <row r="1053" spans="1:32" ht="15" x14ac:dyDescent="0.35">
      <c r="A1053" t="s">
        <v>163</v>
      </c>
      <c r="B1053" s="1">
        <v>45503</v>
      </c>
      <c r="C1053">
        <f>YEAR(OrdersTable[[#This Row],[Order Date]])</f>
        <v>2024</v>
      </c>
      <c r="D1053" s="2">
        <f>DATE(YEAR(OrdersTable[[#This Row],[Order Date]]),MONTH(OrdersTable[[#This Row],[Order Date]]),1)</f>
        <v>45474</v>
      </c>
      <c r="E1053">
        <f>MONTH(OrdersTable[[#This Row],[Order Date]])</f>
        <v>7</v>
      </c>
      <c r="F1053" t="s">
        <v>164</v>
      </c>
      <c r="G1053" t="str">
        <f>IF(OrdersTable[[#This Row],[Order Date]]=_xlfn.MINIFS(Order_Date, Customer_ID, OrdersTable[[#This Row],[Customer ID]]), "New", "Repeat")</f>
        <v>New</v>
      </c>
      <c r="H1053" t="s">
        <v>71</v>
      </c>
      <c r="I1053" t="str">
        <f>INDEX(State!B:B,MATCH(OrdersTable[[#This Row],[State]],State!A:A,0))</f>
        <v>MH</v>
      </c>
      <c r="J1053" t="str">
        <f>INDEX(State!C:C,MATCH(OrdersTable[[#This Row],[State Code]],State!B:B,0))</f>
        <v>West</v>
      </c>
      <c r="K1053" t="s">
        <v>72</v>
      </c>
      <c r="L1053" t="s">
        <v>23</v>
      </c>
      <c r="M1053" t="s">
        <v>40</v>
      </c>
      <c r="N1053" t="str">
        <f>INDEX(Products!B:B,MATCH(OrdersTable[[#This Row],[Product ID]],Products!A:A,0))</f>
        <v>Ashwagandha Capsules</v>
      </c>
      <c r="O1053" t="str">
        <f>INDEX(Products!C:C,MATCH(OrdersTable[[#This Row],[Product ID]],Products!A:A,0))</f>
        <v>Wellness</v>
      </c>
      <c r="P1053">
        <v>1</v>
      </c>
      <c r="Q1053" s="5">
        <v>499</v>
      </c>
      <c r="R1053" s="74">
        <v>0</v>
      </c>
      <c r="S1053" s="75">
        <f>OrdersTable[[#This Row],[Quantity]]*OrdersTable[[#This Row],[Unit Price]]</f>
        <v>499</v>
      </c>
      <c r="T1053" s="5">
        <f>OrdersTable[[#This Row],[Gross Sale]]*OrdersTable[[#This Row],[Discount_Clean2]]</f>
        <v>0</v>
      </c>
      <c r="U1053" s="5">
        <f>OrdersTable[[#This Row],[Gross Sale]]-OrdersTable[[#This Row],[Discount Amount]]</f>
        <v>499</v>
      </c>
      <c r="V1053" s="77">
        <f>INDEX(Products!E:E,MATCH(OrdersTable[[#This Row],[Product ID]],Products!A:A,0))</f>
        <v>150</v>
      </c>
      <c r="W1053" s="77">
        <f>OrdersTable[[#This Row],[Quantity]]*OrdersTable[[#This Row],[Unit Cost]]</f>
        <v>150</v>
      </c>
      <c r="X1053" s="77">
        <f>'Dropdown Lists'!$I$2*(1+OrdersTable[[#This Row],[Returned]])</f>
        <v>60</v>
      </c>
      <c r="Y1053" s="76">
        <f>OrdersTable[[#This Row],[Net Revenue]]-OrdersTable[[#This Row],[COGS]]-OrdersTable[[#This Row],[Shipping Cost]]</f>
        <v>289</v>
      </c>
      <c r="Z1053" s="78">
        <f>IFERROR(OrdersTable[[#This Row],[Profit]]/OrdersTable[[#This Row],[Net Revenue]],0)</f>
        <v>0.57915831663326656</v>
      </c>
      <c r="AA1053" t="s">
        <v>18</v>
      </c>
      <c r="AB1053" s="79">
        <v>45504</v>
      </c>
      <c r="AC1053">
        <f>OrdersTable[[#This Row],[Delivery Date]]-OrdersTable[[#This Row],[Order Date]]</f>
        <v>1</v>
      </c>
      <c r="AD1053" t="str">
        <f>IF(OrdersTable[[#This Row],[Delivery Days]]&lt;=2, "Express (≤2d)", IF(OrdersTable[[#This Row],[Delivery Days]]&lt;=4, "Standard (3-4d)", "Delayed (5d+)"))</f>
        <v>Express (≤2d)</v>
      </c>
      <c r="AE1053">
        <v>4</v>
      </c>
      <c r="AF1053">
        <v>0</v>
      </c>
    </row>
    <row r="1054" spans="1:32" ht="15" x14ac:dyDescent="0.35">
      <c r="A1054" t="s">
        <v>1145</v>
      </c>
      <c r="B1054" s="1">
        <v>45504</v>
      </c>
      <c r="C1054">
        <f>YEAR(OrdersTable[[#This Row],[Order Date]])</f>
        <v>2024</v>
      </c>
      <c r="D1054" s="2">
        <f>DATE(YEAR(OrdersTable[[#This Row],[Order Date]]),MONTH(OrdersTable[[#This Row],[Order Date]]),1)</f>
        <v>45474</v>
      </c>
      <c r="E1054">
        <f>MONTH(OrdersTable[[#This Row],[Order Date]])</f>
        <v>7</v>
      </c>
      <c r="F1054" t="s">
        <v>1146</v>
      </c>
      <c r="G1054" t="str">
        <f>IF(OrdersTable[[#This Row],[Order Date]]=_xlfn.MINIFS(Order_Date, Customer_ID, OrdersTable[[#This Row],[Customer ID]]), "New", "Repeat")</f>
        <v>New</v>
      </c>
      <c r="H1054" t="s">
        <v>37</v>
      </c>
      <c r="I1054" t="str">
        <f>INDEX(State!B:B,MATCH(OrdersTable[[#This Row],[State]],State!A:A,0))</f>
        <v>GJ</v>
      </c>
      <c r="J1054" t="str">
        <f>INDEX(State!C:C,MATCH(OrdersTable[[#This Row],[State Code]],State!B:B,0))</f>
        <v>West</v>
      </c>
      <c r="K1054" t="s">
        <v>38</v>
      </c>
      <c r="L1054" t="s">
        <v>50</v>
      </c>
      <c r="M1054" t="s">
        <v>56</v>
      </c>
      <c r="N1054" t="str">
        <f>INDEX(Products!B:B,MATCH(OrdersTable[[#This Row],[Product ID]],Products!A:A,0))</f>
        <v>Vitamin C Face Serum</v>
      </c>
      <c r="O1054" t="str">
        <f>INDEX(Products!C:C,MATCH(OrdersTable[[#This Row],[Product ID]],Products!A:A,0))</f>
        <v>Skincare</v>
      </c>
      <c r="P1054">
        <v>1</v>
      </c>
      <c r="Q1054" s="5">
        <v>599</v>
      </c>
      <c r="R1054" s="74">
        <v>0.25</v>
      </c>
      <c r="S1054" s="75">
        <f>OrdersTable[[#This Row],[Quantity]]*OrdersTable[[#This Row],[Unit Price]]</f>
        <v>599</v>
      </c>
      <c r="T1054" s="5">
        <f>OrdersTable[[#This Row],[Gross Sale]]*OrdersTable[[#This Row],[Discount_Clean2]]</f>
        <v>149.75</v>
      </c>
      <c r="U1054" s="5">
        <f>OrdersTable[[#This Row],[Gross Sale]]-OrdersTable[[#This Row],[Discount Amount]]</f>
        <v>449.25</v>
      </c>
      <c r="V1054" s="77">
        <f>INDEX(Products!E:E,MATCH(OrdersTable[[#This Row],[Product ID]],Products!A:A,0))</f>
        <v>180</v>
      </c>
      <c r="W1054" s="77">
        <f>OrdersTable[[#This Row],[Quantity]]*OrdersTable[[#This Row],[Unit Cost]]</f>
        <v>180</v>
      </c>
      <c r="X1054" s="77">
        <f>'Dropdown Lists'!$I$2*(1+OrdersTable[[#This Row],[Returned]])</f>
        <v>60</v>
      </c>
      <c r="Y1054" s="76">
        <f>OrdersTable[[#This Row],[Net Revenue]]-OrdersTable[[#This Row],[COGS]]-OrdersTable[[#This Row],[Shipping Cost]]</f>
        <v>209.25</v>
      </c>
      <c r="Z1054" s="78">
        <f>IFERROR(OrdersTable[[#This Row],[Profit]]/OrdersTable[[#This Row],[Net Revenue]],0)</f>
        <v>0.46577629382303842</v>
      </c>
      <c r="AA1054" t="s">
        <v>18</v>
      </c>
      <c r="AB1054" s="79">
        <v>45507</v>
      </c>
      <c r="AC1054">
        <f>OrdersTable[[#This Row],[Delivery Date]]-OrdersTable[[#This Row],[Order Date]]</f>
        <v>3</v>
      </c>
      <c r="AD1054" t="str">
        <f>IF(OrdersTable[[#This Row],[Delivery Days]]&lt;=2, "Express (≤2d)", IF(OrdersTable[[#This Row],[Delivery Days]]&lt;=4, "Standard (3-4d)", "Delayed (5d+)"))</f>
        <v>Standard (3-4d)</v>
      </c>
      <c r="AF1054">
        <v>0</v>
      </c>
    </row>
    <row r="1055" spans="1:32" ht="15" x14ac:dyDescent="0.35">
      <c r="A1055" t="s">
        <v>4920</v>
      </c>
      <c r="B1055" s="1">
        <v>45504</v>
      </c>
      <c r="C1055">
        <f>YEAR(OrdersTable[[#This Row],[Order Date]])</f>
        <v>2024</v>
      </c>
      <c r="D1055" s="2">
        <f>DATE(YEAR(OrdersTable[[#This Row],[Order Date]]),MONTH(OrdersTable[[#This Row],[Order Date]]),1)</f>
        <v>45474</v>
      </c>
      <c r="E1055">
        <f>MONTH(OrdersTable[[#This Row],[Order Date]])</f>
        <v>7</v>
      </c>
      <c r="F1055" t="s">
        <v>3624</v>
      </c>
      <c r="G1055" t="str">
        <f>IF(OrdersTable[[#This Row],[Order Date]]=_xlfn.MINIFS(Order_Date, Customer_ID, OrdersTable[[#This Row],[Customer ID]]), "New", "Repeat")</f>
        <v>New</v>
      </c>
      <c r="H1055" t="s">
        <v>482</v>
      </c>
      <c r="I1055" t="str">
        <f>INDEX(State!B:B,MATCH(OrdersTable[[#This Row],[State]],State!A:A,0))</f>
        <v>CG</v>
      </c>
      <c r="J1055" t="str">
        <f>INDEX(State!C:C,MATCH(OrdersTable[[#This Row],[State Code]],State!B:B,0))</f>
        <v>East</v>
      </c>
      <c r="K1055" t="s">
        <v>483</v>
      </c>
      <c r="L1055" t="s">
        <v>50</v>
      </c>
      <c r="M1055" t="s">
        <v>40</v>
      </c>
      <c r="N1055" t="str">
        <f>INDEX(Products!B:B,MATCH(OrdersTable[[#This Row],[Product ID]],Products!A:A,0))</f>
        <v>Ashwagandha Capsules</v>
      </c>
      <c r="O1055" t="str">
        <f>INDEX(Products!C:C,MATCH(OrdersTable[[#This Row],[Product ID]],Products!A:A,0))</f>
        <v>Wellness</v>
      </c>
      <c r="P1055">
        <v>2</v>
      </c>
      <c r="Q1055" s="5">
        <v>499</v>
      </c>
      <c r="R1055" s="74">
        <v>0.1</v>
      </c>
      <c r="S1055" s="75">
        <f>OrdersTable[[#This Row],[Quantity]]*OrdersTable[[#This Row],[Unit Price]]</f>
        <v>998</v>
      </c>
      <c r="T1055" s="5">
        <f>OrdersTable[[#This Row],[Gross Sale]]*OrdersTable[[#This Row],[Discount_Clean2]]</f>
        <v>99.800000000000011</v>
      </c>
      <c r="U1055" s="5">
        <f>OrdersTable[[#This Row],[Gross Sale]]-OrdersTable[[#This Row],[Discount Amount]]</f>
        <v>898.2</v>
      </c>
      <c r="V1055" s="77">
        <f>INDEX(Products!E:E,MATCH(OrdersTable[[#This Row],[Product ID]],Products!A:A,0))</f>
        <v>150</v>
      </c>
      <c r="W1055" s="77">
        <f>OrdersTable[[#This Row],[Quantity]]*OrdersTable[[#This Row],[Unit Cost]]</f>
        <v>300</v>
      </c>
      <c r="X1055" s="77">
        <f>'Dropdown Lists'!$I$2*(1+OrdersTable[[#This Row],[Returned]])</f>
        <v>120</v>
      </c>
      <c r="Y1055" s="76">
        <f>OrdersTable[[#This Row],[Net Revenue]]-OrdersTable[[#This Row],[COGS]]-OrdersTable[[#This Row],[Shipping Cost]]</f>
        <v>478.20000000000005</v>
      </c>
      <c r="Z1055" s="78">
        <f>IFERROR(OrdersTable[[#This Row],[Profit]]/OrdersTable[[#This Row],[Net Revenue]],0)</f>
        <v>0.53239812959251842</v>
      </c>
      <c r="AA1055" t="s">
        <v>4074</v>
      </c>
      <c r="AB1055" s="79">
        <v>45509</v>
      </c>
      <c r="AC1055">
        <f>OrdersTable[[#This Row],[Delivery Date]]-OrdersTable[[#This Row],[Order Date]]</f>
        <v>5</v>
      </c>
      <c r="AD1055" t="str">
        <f>IF(OrdersTable[[#This Row],[Delivery Days]]&lt;=2, "Express (≤2d)", IF(OrdersTable[[#This Row],[Delivery Days]]&lt;=4, "Standard (3-4d)", "Delayed (5d+)"))</f>
        <v>Delayed (5d+)</v>
      </c>
      <c r="AE1055">
        <v>4</v>
      </c>
      <c r="AF1055">
        <v>1</v>
      </c>
    </row>
    <row r="1056" spans="1:32" ht="15" x14ac:dyDescent="0.35">
      <c r="A1056" t="s">
        <v>4784</v>
      </c>
      <c r="B1056" s="1">
        <v>45504</v>
      </c>
      <c r="C1056">
        <f>YEAR(OrdersTable[[#This Row],[Order Date]])</f>
        <v>2024</v>
      </c>
      <c r="D1056" s="2">
        <f>DATE(YEAR(OrdersTable[[#This Row],[Order Date]]),MONTH(OrdersTable[[#This Row],[Order Date]]),1)</f>
        <v>45474</v>
      </c>
      <c r="E1056">
        <f>MONTH(OrdersTable[[#This Row],[Order Date]])</f>
        <v>7</v>
      </c>
      <c r="F1056" t="s">
        <v>4785</v>
      </c>
      <c r="G1056" t="str">
        <f>IF(OrdersTable[[#This Row],[Order Date]]=_xlfn.MINIFS(Order_Date, Customer_ID, OrdersTable[[#This Row],[Customer ID]]), "New", "Repeat")</f>
        <v>New</v>
      </c>
      <c r="H1056" t="s">
        <v>167</v>
      </c>
      <c r="I1056" t="str">
        <f>INDEX(State!B:B,MATCH(OrdersTable[[#This Row],[State]],State!A:A,0))</f>
        <v>KA</v>
      </c>
      <c r="J1056" t="str">
        <f>INDEX(State!C:C,MATCH(OrdersTable[[#This Row],[State Code]],State!B:B,0))</f>
        <v>South</v>
      </c>
      <c r="K1056" t="s">
        <v>168</v>
      </c>
      <c r="L1056" t="s">
        <v>50</v>
      </c>
      <c r="M1056" t="s">
        <v>51</v>
      </c>
      <c r="N1056" t="str">
        <f>INDEX(Products!B:B,MATCH(OrdersTable[[#This Row],[Product ID]],Products!A:A,0))</f>
        <v>Anti-Dandruff Conditioner</v>
      </c>
      <c r="O1056" t="str">
        <f>INDEX(Products!C:C,MATCH(OrdersTable[[#This Row],[Product ID]],Products!A:A,0))</f>
        <v>Haircare</v>
      </c>
      <c r="P1056">
        <v>2</v>
      </c>
      <c r="Q1056" s="5">
        <v>399</v>
      </c>
      <c r="R1056" s="74">
        <v>0.45</v>
      </c>
      <c r="S1056" s="75">
        <f>OrdersTable[[#This Row],[Quantity]]*OrdersTable[[#This Row],[Unit Price]]</f>
        <v>798</v>
      </c>
      <c r="T1056" s="5">
        <f>OrdersTable[[#This Row],[Gross Sale]]*OrdersTable[[#This Row],[Discount_Clean2]]</f>
        <v>359.1</v>
      </c>
      <c r="U1056" s="5">
        <f>OrdersTable[[#This Row],[Gross Sale]]-OrdersTable[[#This Row],[Discount Amount]]</f>
        <v>438.9</v>
      </c>
      <c r="V1056" s="77">
        <f>INDEX(Products!E:E,MATCH(OrdersTable[[#This Row],[Product ID]],Products!A:A,0))</f>
        <v>136</v>
      </c>
      <c r="W1056" s="77">
        <f>OrdersTable[[#This Row],[Quantity]]*OrdersTable[[#This Row],[Unit Cost]]</f>
        <v>272</v>
      </c>
      <c r="X1056" s="77">
        <f>'Dropdown Lists'!$I$2*(1+OrdersTable[[#This Row],[Returned]])</f>
        <v>60</v>
      </c>
      <c r="Y1056" s="76">
        <f>OrdersTable[[#This Row],[Net Revenue]]-OrdersTable[[#This Row],[COGS]]-OrdersTable[[#This Row],[Shipping Cost]]</f>
        <v>106.89999999999998</v>
      </c>
      <c r="Z1056" s="78">
        <f>IFERROR(OrdersTable[[#This Row],[Profit]]/OrdersTable[[#This Row],[Net Revenue]],0)</f>
        <v>0.24356345408976984</v>
      </c>
      <c r="AA1056" t="s">
        <v>4450</v>
      </c>
      <c r="AB1056" s="79">
        <v>45507</v>
      </c>
      <c r="AC1056">
        <f>OrdersTable[[#This Row],[Delivery Date]]-OrdersTable[[#This Row],[Order Date]]</f>
        <v>3</v>
      </c>
      <c r="AD1056" t="str">
        <f>IF(OrdersTable[[#This Row],[Delivery Days]]&lt;=2, "Express (≤2d)", IF(OrdersTable[[#This Row],[Delivery Days]]&lt;=4, "Standard (3-4d)", "Delayed (5d+)"))</f>
        <v>Standard (3-4d)</v>
      </c>
      <c r="AE1056">
        <v>5</v>
      </c>
      <c r="AF1056">
        <v>0</v>
      </c>
    </row>
    <row r="1057" spans="1:32" ht="15" x14ac:dyDescent="0.35">
      <c r="A1057" t="s">
        <v>5334</v>
      </c>
      <c r="B1057" s="1">
        <v>45505</v>
      </c>
      <c r="C1057">
        <f>YEAR(OrdersTable[[#This Row],[Order Date]])</f>
        <v>2024</v>
      </c>
      <c r="D1057" s="2">
        <f>DATE(YEAR(OrdersTable[[#This Row],[Order Date]]),MONTH(OrdersTable[[#This Row],[Order Date]]),1)</f>
        <v>45505</v>
      </c>
      <c r="E1057">
        <f>MONTH(OrdersTable[[#This Row],[Order Date]])</f>
        <v>8</v>
      </c>
      <c r="F1057" t="s">
        <v>1939</v>
      </c>
      <c r="G1057" t="str">
        <f>IF(OrdersTable[[#This Row],[Order Date]]=_xlfn.MINIFS(Order_Date, Customer_ID, OrdersTable[[#This Row],[Customer ID]]), "New", "Repeat")</f>
        <v>New</v>
      </c>
      <c r="H1057" t="s">
        <v>54</v>
      </c>
      <c r="I1057" t="str">
        <f>INDEX(State!B:B,MATCH(OrdersTable[[#This Row],[State]],State!A:A,0))</f>
        <v>RJ</v>
      </c>
      <c r="J1057" t="str">
        <f>INDEX(State!C:C,MATCH(OrdersTable[[#This Row],[State Code]],State!B:B,0))</f>
        <v>North</v>
      </c>
      <c r="K1057" t="s">
        <v>55</v>
      </c>
      <c r="L1057" t="s">
        <v>16</v>
      </c>
      <c r="M1057" t="s">
        <v>92</v>
      </c>
      <c r="N1057" t="str">
        <f>INDEX(Products!B:B,MATCH(OrdersTable[[#This Row],[Product ID]],Products!A:A,0))</f>
        <v>Kolhapuri Sandals</v>
      </c>
      <c r="O1057" t="str">
        <f>INDEX(Products!C:C,MATCH(OrdersTable[[#This Row],[Product ID]],Products!A:A,0))</f>
        <v>Footwear</v>
      </c>
      <c r="P1057">
        <v>2</v>
      </c>
      <c r="Q1057" s="5">
        <v>999</v>
      </c>
      <c r="R1057" s="74">
        <v>0.05</v>
      </c>
      <c r="S1057" s="75">
        <f>OrdersTable[[#This Row],[Quantity]]*OrdersTable[[#This Row],[Unit Price]]</f>
        <v>1998</v>
      </c>
      <c r="T1057" s="5">
        <f>OrdersTable[[#This Row],[Gross Sale]]*OrdersTable[[#This Row],[Discount_Clean2]]</f>
        <v>99.9</v>
      </c>
      <c r="U1057" s="5">
        <f>OrdersTable[[#This Row],[Gross Sale]]-OrdersTable[[#This Row],[Discount Amount]]</f>
        <v>1898.1</v>
      </c>
      <c r="V1057" s="77">
        <f>INDEX(Products!E:E,MATCH(OrdersTable[[#This Row],[Product ID]],Products!A:A,0))</f>
        <v>400</v>
      </c>
      <c r="W1057" s="77">
        <f>OrdersTable[[#This Row],[Quantity]]*OrdersTable[[#This Row],[Unit Cost]]</f>
        <v>800</v>
      </c>
      <c r="X1057" s="77">
        <f>'Dropdown Lists'!$I$2*(1+OrdersTable[[#This Row],[Returned]])</f>
        <v>120</v>
      </c>
      <c r="Y1057" s="76">
        <f>OrdersTable[[#This Row],[Net Revenue]]-OrdersTable[[#This Row],[COGS]]-OrdersTable[[#This Row],[Shipping Cost]]</f>
        <v>978.09999999999991</v>
      </c>
      <c r="Z1057" s="78">
        <f>IFERROR(OrdersTable[[#This Row],[Profit]]/OrdersTable[[#This Row],[Net Revenue]],0)</f>
        <v>0.5153047784626732</v>
      </c>
      <c r="AA1057" t="s">
        <v>2522</v>
      </c>
      <c r="AB1057" s="79">
        <v>45509</v>
      </c>
      <c r="AC1057">
        <f>OrdersTable[[#This Row],[Delivery Date]]-OrdersTable[[#This Row],[Order Date]]</f>
        <v>4</v>
      </c>
      <c r="AD1057" t="str">
        <f>IF(OrdersTable[[#This Row],[Delivery Days]]&lt;=2, "Express (≤2d)", IF(OrdersTable[[#This Row],[Delivery Days]]&lt;=4, "Standard (3-4d)", "Delayed (5d+)"))</f>
        <v>Standard (3-4d)</v>
      </c>
      <c r="AF1057">
        <v>1</v>
      </c>
    </row>
    <row r="1058" spans="1:32" ht="15" x14ac:dyDescent="0.35">
      <c r="A1058" t="s">
        <v>2087</v>
      </c>
      <c r="B1058" s="1">
        <v>45505</v>
      </c>
      <c r="C1058">
        <f>YEAR(OrdersTable[[#This Row],[Order Date]])</f>
        <v>2024</v>
      </c>
      <c r="D1058" s="2">
        <f>DATE(YEAR(OrdersTable[[#This Row],[Order Date]]),MONTH(OrdersTable[[#This Row],[Order Date]]),1)</f>
        <v>45505</v>
      </c>
      <c r="E1058">
        <f>MONTH(OrdersTable[[#This Row],[Order Date]])</f>
        <v>8</v>
      </c>
      <c r="F1058" t="s">
        <v>2088</v>
      </c>
      <c r="G1058" t="str">
        <f>IF(OrdersTable[[#This Row],[Order Date]]=_xlfn.MINIFS(Order_Date, Customer_ID, OrdersTable[[#This Row],[Customer ID]]), "New", "Repeat")</f>
        <v>New</v>
      </c>
      <c r="H1058" t="s">
        <v>43</v>
      </c>
      <c r="I1058" t="str">
        <f>INDEX(State!B:B,MATCH(OrdersTable[[#This Row],[State]],State!A:A,0))</f>
        <v>MP</v>
      </c>
      <c r="J1058" t="str">
        <f>INDEX(State!C:C,MATCH(OrdersTable[[#This Row],[State Code]],State!B:B,0))</f>
        <v>West</v>
      </c>
      <c r="K1058" t="s">
        <v>250</v>
      </c>
      <c r="L1058" t="s">
        <v>39</v>
      </c>
      <c r="M1058" t="s">
        <v>56</v>
      </c>
      <c r="N1058" t="str">
        <f>INDEX(Products!B:B,MATCH(OrdersTable[[#This Row],[Product ID]],Products!A:A,0))</f>
        <v>Vitamin C Face Serum</v>
      </c>
      <c r="O1058" t="str">
        <f>INDEX(Products!C:C,MATCH(OrdersTable[[#This Row],[Product ID]],Products!A:A,0))</f>
        <v>Skincare</v>
      </c>
      <c r="P1058">
        <v>1</v>
      </c>
      <c r="Q1058" s="5">
        <v>599</v>
      </c>
      <c r="R1058" s="74">
        <v>0.1</v>
      </c>
      <c r="S1058" s="75">
        <f>OrdersTable[[#This Row],[Quantity]]*OrdersTable[[#This Row],[Unit Price]]</f>
        <v>599</v>
      </c>
      <c r="T1058" s="5">
        <f>OrdersTable[[#This Row],[Gross Sale]]*OrdersTable[[#This Row],[Discount_Clean2]]</f>
        <v>59.900000000000006</v>
      </c>
      <c r="U1058" s="5">
        <f>OrdersTable[[#This Row],[Gross Sale]]-OrdersTable[[#This Row],[Discount Amount]]</f>
        <v>539.1</v>
      </c>
      <c r="V1058" s="77">
        <f>INDEX(Products!E:E,MATCH(OrdersTable[[#This Row],[Product ID]],Products!A:A,0))</f>
        <v>180</v>
      </c>
      <c r="W1058" s="77">
        <f>OrdersTable[[#This Row],[Quantity]]*OrdersTable[[#This Row],[Unit Cost]]</f>
        <v>180</v>
      </c>
      <c r="X1058" s="77">
        <f>'Dropdown Lists'!$I$2*(1+OrdersTable[[#This Row],[Returned]])</f>
        <v>60</v>
      </c>
      <c r="Y1058" s="76">
        <f>OrdersTable[[#This Row],[Net Revenue]]-OrdersTable[[#This Row],[COGS]]-OrdersTable[[#This Row],[Shipping Cost]]</f>
        <v>299.10000000000002</v>
      </c>
      <c r="Z1058" s="78">
        <f>IFERROR(OrdersTable[[#This Row],[Profit]]/OrdersTable[[#This Row],[Net Revenue]],0)</f>
        <v>0.5548135781858653</v>
      </c>
      <c r="AA1058" t="s">
        <v>18</v>
      </c>
      <c r="AB1058" s="79">
        <v>45509</v>
      </c>
      <c r="AC1058">
        <f>OrdersTable[[#This Row],[Delivery Date]]-OrdersTable[[#This Row],[Order Date]]</f>
        <v>4</v>
      </c>
      <c r="AD1058" t="str">
        <f>IF(OrdersTable[[#This Row],[Delivery Days]]&lt;=2, "Express (≤2d)", IF(OrdersTable[[#This Row],[Delivery Days]]&lt;=4, "Standard (3-4d)", "Delayed (5d+)"))</f>
        <v>Standard (3-4d)</v>
      </c>
      <c r="AE1058">
        <v>3</v>
      </c>
      <c r="AF1058">
        <v>0</v>
      </c>
    </row>
    <row r="1059" spans="1:32" ht="15" x14ac:dyDescent="0.35">
      <c r="A1059" t="s">
        <v>2287</v>
      </c>
      <c r="B1059" s="1">
        <v>45505</v>
      </c>
      <c r="C1059">
        <f>YEAR(OrdersTable[[#This Row],[Order Date]])</f>
        <v>2024</v>
      </c>
      <c r="D1059" s="2">
        <f>DATE(YEAR(OrdersTable[[#This Row],[Order Date]]),MONTH(OrdersTable[[#This Row],[Order Date]]),1)</f>
        <v>45505</v>
      </c>
      <c r="E1059">
        <f>MONTH(OrdersTable[[#This Row],[Order Date]])</f>
        <v>8</v>
      </c>
      <c r="F1059" t="s">
        <v>1959</v>
      </c>
      <c r="G1059" t="str">
        <f>IF(OrdersTable[[#This Row],[Order Date]]=_xlfn.MINIFS(Order_Date, Customer_ID, OrdersTable[[#This Row],[Customer ID]]), "New", "Repeat")</f>
        <v>New</v>
      </c>
      <c r="H1059" t="s">
        <v>95</v>
      </c>
      <c r="I1059" t="str">
        <f>INDEX(State!B:B,MATCH(OrdersTable[[#This Row],[State]],State!A:A,0))</f>
        <v>TG</v>
      </c>
      <c r="J1059" t="str">
        <f>INDEX(State!C:C,MATCH(OrdersTable[[#This Row],[State Code]],State!B:B,0))</f>
        <v>South</v>
      </c>
      <c r="K1059" t="s">
        <v>96</v>
      </c>
      <c r="L1059" t="s">
        <v>16</v>
      </c>
      <c r="M1059" t="s">
        <v>17</v>
      </c>
      <c r="N1059" t="str">
        <f>INDEX(Products!B:B,MATCH(OrdersTable[[#This Row],[Product ID]],Products!A:A,0))</f>
        <v>Casual Sneakers</v>
      </c>
      <c r="O1059" t="str">
        <f>INDEX(Products!C:C,MATCH(OrdersTable[[#This Row],[Product ID]],Products!A:A,0))</f>
        <v>Footwear</v>
      </c>
      <c r="P1059">
        <v>1</v>
      </c>
      <c r="Q1059" s="5">
        <v>2199</v>
      </c>
      <c r="R1059" s="74">
        <v>0.25</v>
      </c>
      <c r="S1059" s="75">
        <f>OrdersTable[[#This Row],[Quantity]]*OrdersTable[[#This Row],[Unit Price]]</f>
        <v>2199</v>
      </c>
      <c r="T1059" s="5">
        <f>OrdersTable[[#This Row],[Gross Sale]]*OrdersTable[[#This Row],[Discount_Clean2]]</f>
        <v>549.75</v>
      </c>
      <c r="U1059" s="5">
        <f>OrdersTable[[#This Row],[Gross Sale]]-OrdersTable[[#This Row],[Discount Amount]]</f>
        <v>1649.25</v>
      </c>
      <c r="V1059" s="77">
        <f>INDEX(Products!E:E,MATCH(OrdersTable[[#This Row],[Product ID]],Products!A:A,0))</f>
        <v>1034</v>
      </c>
      <c r="W1059" s="77">
        <f>OrdersTable[[#This Row],[Quantity]]*OrdersTable[[#This Row],[Unit Cost]]</f>
        <v>1034</v>
      </c>
      <c r="X1059" s="77">
        <f>'Dropdown Lists'!$I$2*(1+OrdersTable[[#This Row],[Returned]])</f>
        <v>120</v>
      </c>
      <c r="Y1059" s="76">
        <f>OrdersTable[[#This Row],[Net Revenue]]-OrdersTable[[#This Row],[COGS]]-OrdersTable[[#This Row],[Shipping Cost]]</f>
        <v>495.25</v>
      </c>
      <c r="Z1059" s="78">
        <f>IFERROR(OrdersTable[[#This Row],[Profit]]/OrdersTable[[#This Row],[Net Revenue]],0)</f>
        <v>0.30028800970137942</v>
      </c>
      <c r="AA1059" t="s">
        <v>18</v>
      </c>
      <c r="AB1059" s="79">
        <v>45507</v>
      </c>
      <c r="AC1059">
        <f>OrdersTable[[#This Row],[Delivery Date]]-OrdersTable[[#This Row],[Order Date]]</f>
        <v>2</v>
      </c>
      <c r="AD1059" t="str">
        <f>IF(OrdersTable[[#This Row],[Delivery Days]]&lt;=2, "Express (≤2d)", IF(OrdersTable[[#This Row],[Delivery Days]]&lt;=4, "Standard (3-4d)", "Delayed (5d+)"))</f>
        <v>Express (≤2d)</v>
      </c>
      <c r="AE1059">
        <v>5</v>
      </c>
      <c r="AF1059">
        <v>1</v>
      </c>
    </row>
    <row r="1060" spans="1:32" ht="15" x14ac:dyDescent="0.35">
      <c r="A1060" t="s">
        <v>3554</v>
      </c>
      <c r="B1060" s="1">
        <v>45505</v>
      </c>
      <c r="C1060">
        <f>YEAR(OrdersTable[[#This Row],[Order Date]])</f>
        <v>2024</v>
      </c>
      <c r="D1060" s="2">
        <f>DATE(YEAR(OrdersTable[[#This Row],[Order Date]]),MONTH(OrdersTable[[#This Row],[Order Date]]),1)</f>
        <v>45505</v>
      </c>
      <c r="E1060">
        <f>MONTH(OrdersTable[[#This Row],[Order Date]])</f>
        <v>8</v>
      </c>
      <c r="F1060" t="s">
        <v>2851</v>
      </c>
      <c r="G1060" t="str">
        <f>IF(OrdersTable[[#This Row],[Order Date]]=_xlfn.MINIFS(Order_Date, Customer_ID, OrdersTable[[#This Row],[Customer ID]]), "New", "Repeat")</f>
        <v>New</v>
      </c>
      <c r="H1060" t="s">
        <v>14</v>
      </c>
      <c r="I1060" t="str">
        <f>INDEX(State!B:B,MATCH(OrdersTable[[#This Row],[State]],State!A:A,0))</f>
        <v>OD</v>
      </c>
      <c r="J1060" t="str">
        <f>INDEX(State!C:C,MATCH(OrdersTable[[#This Row],[State Code]],State!B:B,0))</f>
        <v>East</v>
      </c>
      <c r="K1060" t="s">
        <v>15</v>
      </c>
      <c r="L1060" t="s">
        <v>16</v>
      </c>
      <c r="M1060" t="s">
        <v>255</v>
      </c>
      <c r="N1060" t="str">
        <f>INDEX(Products!B:B,MATCH(OrdersTable[[#This Row],[Product ID]],Products!A:A,0))</f>
        <v>Cotton Oversized T-Shirt</v>
      </c>
      <c r="O1060" t="str">
        <f>INDEX(Products!C:C,MATCH(OrdersTable[[#This Row],[Product ID]],Products!A:A,0))</f>
        <v>Apparel</v>
      </c>
      <c r="P1060">
        <v>1</v>
      </c>
      <c r="Q1060" s="5">
        <v>799</v>
      </c>
      <c r="R1060" s="74">
        <v>0</v>
      </c>
      <c r="S1060" s="75">
        <f>OrdersTable[[#This Row],[Quantity]]*OrdersTable[[#This Row],[Unit Price]]</f>
        <v>799</v>
      </c>
      <c r="T1060" s="5">
        <f>OrdersTable[[#This Row],[Gross Sale]]*OrdersTable[[#This Row],[Discount_Clean2]]</f>
        <v>0</v>
      </c>
      <c r="U1060" s="5">
        <f>OrdersTable[[#This Row],[Gross Sale]]-OrdersTable[[#This Row],[Discount Amount]]</f>
        <v>799</v>
      </c>
      <c r="V1060" s="77">
        <f>INDEX(Products!E:E,MATCH(OrdersTable[[#This Row],[Product ID]],Products!A:A,0))</f>
        <v>320</v>
      </c>
      <c r="W1060" s="77">
        <f>OrdersTable[[#This Row],[Quantity]]*OrdersTable[[#This Row],[Unit Cost]]</f>
        <v>320</v>
      </c>
      <c r="X1060" s="77">
        <f>'Dropdown Lists'!$I$2*(1+OrdersTable[[#This Row],[Returned]])</f>
        <v>60</v>
      </c>
      <c r="Y1060" s="76">
        <f>OrdersTable[[#This Row],[Net Revenue]]-OrdersTable[[#This Row],[COGS]]-OrdersTable[[#This Row],[Shipping Cost]]</f>
        <v>419</v>
      </c>
      <c r="Z1060" s="78">
        <f>IFERROR(OrdersTable[[#This Row],[Profit]]/OrdersTable[[#This Row],[Net Revenue]],0)</f>
        <v>0.52440550688360454</v>
      </c>
      <c r="AA1060" t="s">
        <v>3495</v>
      </c>
      <c r="AB1060" s="79">
        <v>45509</v>
      </c>
      <c r="AC1060">
        <f>OrdersTable[[#This Row],[Delivery Date]]-OrdersTable[[#This Row],[Order Date]]</f>
        <v>4</v>
      </c>
      <c r="AD1060" t="str">
        <f>IF(OrdersTable[[#This Row],[Delivery Days]]&lt;=2, "Express (≤2d)", IF(OrdersTable[[#This Row],[Delivery Days]]&lt;=4, "Standard (3-4d)", "Delayed (5d+)"))</f>
        <v>Standard (3-4d)</v>
      </c>
      <c r="AE1060">
        <v>4</v>
      </c>
      <c r="AF1060">
        <v>0</v>
      </c>
    </row>
    <row r="1061" spans="1:32" ht="15" x14ac:dyDescent="0.35">
      <c r="A1061" t="s">
        <v>4921</v>
      </c>
      <c r="B1061" s="1">
        <v>45506</v>
      </c>
      <c r="C1061">
        <f>YEAR(OrdersTable[[#This Row],[Order Date]])</f>
        <v>2024</v>
      </c>
      <c r="D1061" s="2">
        <f>DATE(YEAR(OrdersTable[[#This Row],[Order Date]]),MONTH(OrdersTable[[#This Row],[Order Date]]),1)</f>
        <v>45505</v>
      </c>
      <c r="E1061">
        <f>MONTH(OrdersTable[[#This Row],[Order Date]])</f>
        <v>8</v>
      </c>
      <c r="F1061" t="s">
        <v>4862</v>
      </c>
      <c r="G1061" t="str">
        <f>IF(OrdersTable[[#This Row],[Order Date]]=_xlfn.MINIFS(Order_Date, Customer_ID, OrdersTable[[#This Row],[Customer ID]]), "New", "Repeat")</f>
        <v>New</v>
      </c>
      <c r="H1061" t="s">
        <v>21</v>
      </c>
      <c r="I1061" t="str">
        <f>INDEX(State!B:B,MATCH(OrdersTable[[#This Row],[State]],State!A:A,0))</f>
        <v>PB</v>
      </c>
      <c r="J1061" t="str">
        <f>INDEX(State!C:C,MATCH(OrdersTable[[#This Row],[State Code]],State!B:B,0))</f>
        <v>North</v>
      </c>
      <c r="K1061" t="s">
        <v>260</v>
      </c>
      <c r="L1061" t="s">
        <v>39</v>
      </c>
      <c r="M1061" t="s">
        <v>29</v>
      </c>
      <c r="N1061" t="str">
        <f>INDEX(Products!B:B,MATCH(OrdersTable[[#This Row],[Product ID]],Products!A:A,0))</f>
        <v>Joggers</v>
      </c>
      <c r="O1061" t="str">
        <f>INDEX(Products!C:C,MATCH(OrdersTable[[#This Row],[Product ID]],Products!A:A,0))</f>
        <v>Apparel</v>
      </c>
      <c r="P1061">
        <v>2</v>
      </c>
      <c r="Q1061" s="5">
        <v>1199</v>
      </c>
      <c r="R1061" s="74">
        <v>0.05</v>
      </c>
      <c r="S1061" s="75">
        <f>OrdersTable[[#This Row],[Quantity]]*OrdersTable[[#This Row],[Unit Price]]</f>
        <v>2398</v>
      </c>
      <c r="T1061" s="5">
        <f>OrdersTable[[#This Row],[Gross Sale]]*OrdersTable[[#This Row],[Discount_Clean2]]</f>
        <v>119.9</v>
      </c>
      <c r="U1061" s="5">
        <f>OrdersTable[[#This Row],[Gross Sale]]-OrdersTable[[#This Row],[Discount Amount]]</f>
        <v>2278.1</v>
      </c>
      <c r="V1061" s="77">
        <f>INDEX(Products!E:E,MATCH(OrdersTable[[#This Row],[Product ID]],Products!A:A,0))</f>
        <v>492</v>
      </c>
      <c r="W1061" s="77">
        <f>OrdersTable[[#This Row],[Quantity]]*OrdersTable[[#This Row],[Unit Cost]]</f>
        <v>984</v>
      </c>
      <c r="X1061" s="77">
        <f>'Dropdown Lists'!$I$2*(1+OrdersTable[[#This Row],[Returned]])</f>
        <v>120</v>
      </c>
      <c r="Y1061" s="76">
        <f>OrdersTable[[#This Row],[Net Revenue]]-OrdersTable[[#This Row],[COGS]]-OrdersTable[[#This Row],[Shipping Cost]]</f>
        <v>1174.0999999999999</v>
      </c>
      <c r="Z1061" s="78">
        <f>IFERROR(OrdersTable[[#This Row],[Profit]]/OrdersTable[[#This Row],[Net Revenue]],0)</f>
        <v>0.51538562837452262</v>
      </c>
      <c r="AA1061" t="s">
        <v>4074</v>
      </c>
      <c r="AB1061" s="79">
        <v>45507</v>
      </c>
      <c r="AC1061">
        <f>OrdersTable[[#This Row],[Delivery Date]]-OrdersTable[[#This Row],[Order Date]]</f>
        <v>1</v>
      </c>
      <c r="AD1061" t="str">
        <f>IF(OrdersTable[[#This Row],[Delivery Days]]&lt;=2, "Express (≤2d)", IF(OrdersTable[[#This Row],[Delivery Days]]&lt;=4, "Standard (3-4d)", "Delayed (5d+)"))</f>
        <v>Express (≤2d)</v>
      </c>
      <c r="AE1061">
        <v>5</v>
      </c>
      <c r="AF1061">
        <v>1</v>
      </c>
    </row>
    <row r="1062" spans="1:32" ht="15" x14ac:dyDescent="0.35">
      <c r="A1062" t="s">
        <v>5582</v>
      </c>
      <c r="B1062" s="1">
        <v>45506</v>
      </c>
      <c r="C1062">
        <f>YEAR(OrdersTable[[#This Row],[Order Date]])</f>
        <v>2024</v>
      </c>
      <c r="D1062" s="2">
        <f>DATE(YEAR(OrdersTable[[#This Row],[Order Date]]),MONTH(OrdersTable[[#This Row],[Order Date]]),1)</f>
        <v>45505</v>
      </c>
      <c r="E1062">
        <f>MONTH(OrdersTable[[#This Row],[Order Date]])</f>
        <v>8</v>
      </c>
      <c r="F1062" t="s">
        <v>1157</v>
      </c>
      <c r="G1062" t="str">
        <f>IF(OrdersTable[[#This Row],[Order Date]]=_xlfn.MINIFS(Order_Date, Customer_ID, OrdersTable[[#This Row],[Customer ID]]), "New", "Repeat")</f>
        <v>New</v>
      </c>
      <c r="H1062" t="s">
        <v>76</v>
      </c>
      <c r="I1062" t="str">
        <f>INDEX(State!B:B,MATCH(OrdersTable[[#This Row],[State]],State!A:A,0))</f>
        <v>UP</v>
      </c>
      <c r="J1062" t="str">
        <f>INDEX(State!C:C,MATCH(OrdersTable[[#This Row],[State Code]],State!B:B,0))</f>
        <v>North</v>
      </c>
      <c r="K1062" t="s">
        <v>105</v>
      </c>
      <c r="L1062" t="s">
        <v>65</v>
      </c>
      <c r="M1062" t="s">
        <v>51</v>
      </c>
      <c r="N1062" t="str">
        <f>INDEX(Products!B:B,MATCH(OrdersTable[[#This Row],[Product ID]],Products!A:A,0))</f>
        <v>Anti-Dandruff Conditioner</v>
      </c>
      <c r="O1062" t="str">
        <f>INDEX(Products!C:C,MATCH(OrdersTable[[#This Row],[Product ID]],Products!A:A,0))</f>
        <v>Haircare</v>
      </c>
      <c r="P1062">
        <v>2</v>
      </c>
      <c r="Q1062" s="5">
        <v>399</v>
      </c>
      <c r="R1062" s="74">
        <v>0.35</v>
      </c>
      <c r="S1062" s="75">
        <f>OrdersTable[[#This Row],[Quantity]]*OrdersTable[[#This Row],[Unit Price]]</f>
        <v>798</v>
      </c>
      <c r="T1062" s="5">
        <f>OrdersTable[[#This Row],[Gross Sale]]*OrdersTable[[#This Row],[Discount_Clean2]]</f>
        <v>279.29999999999995</v>
      </c>
      <c r="U1062" s="5">
        <f>OrdersTable[[#This Row],[Gross Sale]]-OrdersTable[[#This Row],[Discount Amount]]</f>
        <v>518.70000000000005</v>
      </c>
      <c r="V1062" s="77">
        <f>INDEX(Products!E:E,MATCH(OrdersTable[[#This Row],[Product ID]],Products!A:A,0))</f>
        <v>136</v>
      </c>
      <c r="W1062" s="77">
        <f>OrdersTable[[#This Row],[Quantity]]*OrdersTable[[#This Row],[Unit Cost]]</f>
        <v>272</v>
      </c>
      <c r="X1062" s="77">
        <f>'Dropdown Lists'!$I$2*(1+OrdersTable[[#This Row],[Returned]])</f>
        <v>60</v>
      </c>
      <c r="Y1062" s="76">
        <f>OrdersTable[[#This Row],[Net Revenue]]-OrdersTable[[#This Row],[COGS]]-OrdersTable[[#This Row],[Shipping Cost]]</f>
        <v>186.70000000000005</v>
      </c>
      <c r="Z1062" s="78">
        <f>IFERROR(OrdersTable[[#This Row],[Profit]]/OrdersTable[[#This Row],[Net Revenue]],0)</f>
        <v>0.35993830730672843</v>
      </c>
      <c r="AA1062" t="s">
        <v>2522</v>
      </c>
      <c r="AB1062" s="79">
        <v>45510</v>
      </c>
      <c r="AC1062">
        <f>OrdersTable[[#This Row],[Delivery Date]]-OrdersTable[[#This Row],[Order Date]]</f>
        <v>4</v>
      </c>
      <c r="AD1062" t="str">
        <f>IF(OrdersTable[[#This Row],[Delivery Days]]&lt;=2, "Express (≤2d)", IF(OrdersTable[[#This Row],[Delivery Days]]&lt;=4, "Standard (3-4d)", "Delayed (5d+)"))</f>
        <v>Standard (3-4d)</v>
      </c>
      <c r="AE1062">
        <v>4</v>
      </c>
      <c r="AF1062">
        <v>0</v>
      </c>
    </row>
    <row r="1063" spans="1:32" ht="15" x14ac:dyDescent="0.35">
      <c r="A1063" t="s">
        <v>2937</v>
      </c>
      <c r="B1063" s="1">
        <v>45506</v>
      </c>
      <c r="C1063">
        <f>YEAR(OrdersTable[[#This Row],[Order Date]])</f>
        <v>2024</v>
      </c>
      <c r="D1063" s="2">
        <f>DATE(YEAR(OrdersTable[[#This Row],[Order Date]]),MONTH(OrdersTable[[#This Row],[Order Date]]),1)</f>
        <v>45505</v>
      </c>
      <c r="E1063">
        <f>MONTH(OrdersTable[[#This Row],[Order Date]])</f>
        <v>8</v>
      </c>
      <c r="F1063" t="s">
        <v>2938</v>
      </c>
      <c r="G1063" t="str">
        <f>IF(OrdersTable[[#This Row],[Order Date]]=_xlfn.MINIFS(Order_Date, Customer_ID, OrdersTable[[#This Row],[Customer ID]]), "New", "Repeat")</f>
        <v>New</v>
      </c>
      <c r="H1063" t="s">
        <v>37</v>
      </c>
      <c r="I1063" t="str">
        <f>INDEX(State!B:B,MATCH(OrdersTable[[#This Row],[State]],State!A:A,0))</f>
        <v>GJ</v>
      </c>
      <c r="J1063" t="str">
        <f>INDEX(State!C:C,MATCH(OrdersTable[[#This Row],[State Code]],State!B:B,0))</f>
        <v>West</v>
      </c>
      <c r="K1063" t="s">
        <v>38</v>
      </c>
      <c r="L1063" t="s">
        <v>39</v>
      </c>
      <c r="M1063" t="s">
        <v>160</v>
      </c>
      <c r="N1063" t="str">
        <f>INDEX(Products!B:B,MATCH(OrdersTable[[#This Row],[Product ID]],Products!A:A,0))</f>
        <v>Niacinamide Toner</v>
      </c>
      <c r="O1063" t="str">
        <f>INDEX(Products!C:C,MATCH(OrdersTable[[#This Row],[Product ID]],Products!A:A,0))</f>
        <v>Skincare</v>
      </c>
      <c r="P1063">
        <v>1</v>
      </c>
      <c r="Q1063" s="5">
        <v>399</v>
      </c>
      <c r="R1063" s="74">
        <v>0.2</v>
      </c>
      <c r="S1063" s="75">
        <f>OrdersTable[[#This Row],[Quantity]]*OrdersTable[[#This Row],[Unit Price]]</f>
        <v>399</v>
      </c>
      <c r="T1063" s="5">
        <f>OrdersTable[[#This Row],[Gross Sale]]*OrdersTable[[#This Row],[Discount_Clean2]]</f>
        <v>79.800000000000011</v>
      </c>
      <c r="U1063" s="5">
        <f>OrdersTable[[#This Row],[Gross Sale]]-OrdersTable[[#This Row],[Discount Amount]]</f>
        <v>319.2</v>
      </c>
      <c r="V1063" s="77">
        <f>INDEX(Products!E:E,MATCH(OrdersTable[[#This Row],[Product ID]],Products!A:A,0))</f>
        <v>112</v>
      </c>
      <c r="W1063" s="77">
        <f>OrdersTable[[#This Row],[Quantity]]*OrdersTable[[#This Row],[Unit Cost]]</f>
        <v>112</v>
      </c>
      <c r="X1063" s="77">
        <f>'Dropdown Lists'!$I$2*(1+OrdersTable[[#This Row],[Returned]])</f>
        <v>60</v>
      </c>
      <c r="Y1063" s="76">
        <f>OrdersTable[[#This Row],[Net Revenue]]-OrdersTable[[#This Row],[COGS]]-OrdersTable[[#This Row],[Shipping Cost]]</f>
        <v>147.19999999999999</v>
      </c>
      <c r="Z1063" s="78">
        <f>IFERROR(OrdersTable[[#This Row],[Profit]]/OrdersTable[[#This Row],[Net Revenue]],0)</f>
        <v>0.46115288220551376</v>
      </c>
      <c r="AA1063" t="s">
        <v>2522</v>
      </c>
      <c r="AB1063" s="79">
        <v>45509</v>
      </c>
      <c r="AC1063">
        <f>OrdersTable[[#This Row],[Delivery Date]]-OrdersTable[[#This Row],[Order Date]]</f>
        <v>3</v>
      </c>
      <c r="AD1063" t="str">
        <f>IF(OrdersTable[[#This Row],[Delivery Days]]&lt;=2, "Express (≤2d)", IF(OrdersTable[[#This Row],[Delivery Days]]&lt;=4, "Standard (3-4d)", "Delayed (5d+)"))</f>
        <v>Standard (3-4d)</v>
      </c>
      <c r="AF1063">
        <v>0</v>
      </c>
    </row>
    <row r="1064" spans="1:32" ht="15" x14ac:dyDescent="0.35">
      <c r="A1064" t="s">
        <v>2568</v>
      </c>
      <c r="B1064" s="1">
        <v>45506</v>
      </c>
      <c r="C1064">
        <f>YEAR(OrdersTable[[#This Row],[Order Date]])</f>
        <v>2024</v>
      </c>
      <c r="D1064" s="2">
        <f>DATE(YEAR(OrdersTable[[#This Row],[Order Date]]),MONTH(OrdersTable[[#This Row],[Order Date]]),1)</f>
        <v>45505</v>
      </c>
      <c r="E1064">
        <f>MONTH(OrdersTable[[#This Row],[Order Date]])</f>
        <v>8</v>
      </c>
      <c r="F1064" t="s">
        <v>1963</v>
      </c>
      <c r="G1064" t="str">
        <f>IF(OrdersTable[[#This Row],[Order Date]]=_xlfn.MINIFS(Order_Date, Customer_ID, OrdersTable[[#This Row],[Customer ID]]), "New", "Repeat")</f>
        <v>New</v>
      </c>
      <c r="H1064" t="s">
        <v>482</v>
      </c>
      <c r="I1064" t="str">
        <f>INDEX(State!B:B,MATCH(OrdersTable[[#This Row],[State]],State!A:A,0))</f>
        <v>CG</v>
      </c>
      <c r="J1064" t="str">
        <f>INDEX(State!C:C,MATCH(OrdersTable[[#This Row],[State Code]],State!B:B,0))</f>
        <v>East</v>
      </c>
      <c r="K1064" t="s">
        <v>483</v>
      </c>
      <c r="L1064" t="s">
        <v>39</v>
      </c>
      <c r="M1064" t="s">
        <v>255</v>
      </c>
      <c r="N1064" t="str">
        <f>INDEX(Products!B:B,MATCH(OrdersTable[[#This Row],[Product ID]],Products!A:A,0))</f>
        <v>Cotton Oversized T-Shirt</v>
      </c>
      <c r="O1064" t="str">
        <f>INDEX(Products!C:C,MATCH(OrdersTable[[#This Row],[Product ID]],Products!A:A,0))</f>
        <v>Apparel</v>
      </c>
      <c r="P1064">
        <v>1</v>
      </c>
      <c r="Q1064" s="5">
        <v>799</v>
      </c>
      <c r="R1064" s="74">
        <v>0</v>
      </c>
      <c r="S1064" s="75">
        <f>OrdersTable[[#This Row],[Quantity]]*OrdersTable[[#This Row],[Unit Price]]</f>
        <v>799</v>
      </c>
      <c r="T1064" s="5">
        <f>OrdersTable[[#This Row],[Gross Sale]]*OrdersTable[[#This Row],[Discount_Clean2]]</f>
        <v>0</v>
      </c>
      <c r="U1064" s="5">
        <f>OrdersTable[[#This Row],[Gross Sale]]-OrdersTable[[#This Row],[Discount Amount]]</f>
        <v>799</v>
      </c>
      <c r="V1064" s="77">
        <f>INDEX(Products!E:E,MATCH(OrdersTable[[#This Row],[Product ID]],Products!A:A,0))</f>
        <v>320</v>
      </c>
      <c r="W1064" s="77">
        <f>OrdersTable[[#This Row],[Quantity]]*OrdersTable[[#This Row],[Unit Cost]]</f>
        <v>320</v>
      </c>
      <c r="X1064" s="77">
        <f>'Dropdown Lists'!$I$2*(1+OrdersTable[[#This Row],[Returned]])</f>
        <v>60</v>
      </c>
      <c r="Y1064" s="76">
        <f>OrdersTable[[#This Row],[Net Revenue]]-OrdersTable[[#This Row],[COGS]]-OrdersTable[[#This Row],[Shipping Cost]]</f>
        <v>419</v>
      </c>
      <c r="Z1064" s="78">
        <f>IFERROR(OrdersTable[[#This Row],[Profit]]/OrdersTable[[#This Row],[Net Revenue]],0)</f>
        <v>0.52440550688360454</v>
      </c>
      <c r="AA1064" t="s">
        <v>2522</v>
      </c>
      <c r="AB1064" s="79">
        <v>45510</v>
      </c>
      <c r="AC1064">
        <f>OrdersTable[[#This Row],[Delivery Date]]-OrdersTable[[#This Row],[Order Date]]</f>
        <v>4</v>
      </c>
      <c r="AD1064" t="str">
        <f>IF(OrdersTable[[#This Row],[Delivery Days]]&lt;=2, "Express (≤2d)", IF(OrdersTable[[#This Row],[Delivery Days]]&lt;=4, "Standard (3-4d)", "Delayed (5d+)"))</f>
        <v>Standard (3-4d)</v>
      </c>
      <c r="AE1064">
        <v>5</v>
      </c>
      <c r="AF1064">
        <v>0</v>
      </c>
    </row>
    <row r="1065" spans="1:32" ht="15" x14ac:dyDescent="0.35">
      <c r="A1065" t="s">
        <v>6505</v>
      </c>
      <c r="B1065" s="1">
        <v>45506</v>
      </c>
      <c r="C1065">
        <f>YEAR(OrdersTable[[#This Row],[Order Date]])</f>
        <v>2024</v>
      </c>
      <c r="D1065" s="2">
        <f>DATE(YEAR(OrdersTable[[#This Row],[Order Date]]),MONTH(OrdersTable[[#This Row],[Order Date]]),1)</f>
        <v>45505</v>
      </c>
      <c r="E1065">
        <f>MONTH(OrdersTable[[#This Row],[Order Date]])</f>
        <v>8</v>
      </c>
      <c r="F1065" t="s">
        <v>6506</v>
      </c>
      <c r="G1065" t="str">
        <f>IF(OrdersTable[[#This Row],[Order Date]]=_xlfn.MINIFS(Order_Date, Customer_ID, OrdersTable[[#This Row],[Customer ID]]), "New", "Repeat")</f>
        <v>New</v>
      </c>
      <c r="H1065" t="s">
        <v>71</v>
      </c>
      <c r="I1065" t="str">
        <f>INDEX(State!B:B,MATCH(OrdersTable[[#This Row],[State]],State!A:A,0))</f>
        <v>MH</v>
      </c>
      <c r="J1065" t="str">
        <f>INDEX(State!C:C,MATCH(OrdersTable[[#This Row],[State Code]],State!B:B,0))</f>
        <v>West</v>
      </c>
      <c r="K1065" t="s">
        <v>72</v>
      </c>
      <c r="L1065" t="s">
        <v>65</v>
      </c>
      <c r="M1065" t="s">
        <v>87</v>
      </c>
      <c r="N1065" t="str">
        <f>INDEX(Products!B:B,MATCH(OrdersTable[[#This Row],[Product ID]],Products!A:A,0))</f>
        <v>Linen Kurta</v>
      </c>
      <c r="O1065" t="str">
        <f>INDEX(Products!C:C,MATCH(OrdersTable[[#This Row],[Product ID]],Products!A:A,0))</f>
        <v>Apparel</v>
      </c>
      <c r="P1065">
        <v>3</v>
      </c>
      <c r="Q1065" s="5">
        <v>1499</v>
      </c>
      <c r="R1065" s="74">
        <v>0.3</v>
      </c>
      <c r="S1065" s="75">
        <f>OrdersTable[[#This Row],[Quantity]]*OrdersTable[[#This Row],[Unit Price]]</f>
        <v>4497</v>
      </c>
      <c r="T1065" s="5">
        <f>OrdersTable[[#This Row],[Gross Sale]]*OrdersTable[[#This Row],[Discount_Clean2]]</f>
        <v>1349.1</v>
      </c>
      <c r="U1065" s="5">
        <f>OrdersTable[[#This Row],[Gross Sale]]-OrdersTable[[#This Row],[Discount Amount]]</f>
        <v>3147.9</v>
      </c>
      <c r="V1065" s="77">
        <f>INDEX(Products!E:E,MATCH(OrdersTable[[#This Row],[Product ID]],Products!A:A,0))</f>
        <v>630</v>
      </c>
      <c r="W1065" s="77">
        <f>OrdersTable[[#This Row],[Quantity]]*OrdersTable[[#This Row],[Unit Cost]]</f>
        <v>1890</v>
      </c>
      <c r="X1065" s="77">
        <f>'Dropdown Lists'!$I$2*(1+OrdersTable[[#This Row],[Returned]])</f>
        <v>120</v>
      </c>
      <c r="Y1065" s="76">
        <f>OrdersTable[[#This Row],[Net Revenue]]-OrdersTable[[#This Row],[COGS]]-OrdersTable[[#This Row],[Shipping Cost]]</f>
        <v>1137.9000000000001</v>
      </c>
      <c r="Z1065" s="78">
        <f>IFERROR(OrdersTable[[#This Row],[Profit]]/OrdersTable[[#This Row],[Net Revenue]],0)</f>
        <v>0.36147908129229012</v>
      </c>
      <c r="AA1065" t="s">
        <v>18</v>
      </c>
      <c r="AB1065" s="79">
        <v>45509</v>
      </c>
      <c r="AC1065">
        <f>OrdersTable[[#This Row],[Delivery Date]]-OrdersTable[[#This Row],[Order Date]]</f>
        <v>3</v>
      </c>
      <c r="AD1065" t="str">
        <f>IF(OrdersTable[[#This Row],[Delivery Days]]&lt;=2, "Express (≤2d)", IF(OrdersTable[[#This Row],[Delivery Days]]&lt;=4, "Standard (3-4d)", "Delayed (5d+)"))</f>
        <v>Standard (3-4d)</v>
      </c>
      <c r="AE1065">
        <v>4</v>
      </c>
      <c r="AF1065">
        <v>1</v>
      </c>
    </row>
    <row r="1066" spans="1:32" ht="15" x14ac:dyDescent="0.35">
      <c r="A1066" t="s">
        <v>5769</v>
      </c>
      <c r="B1066" s="1">
        <v>45506</v>
      </c>
      <c r="C1066">
        <f>YEAR(OrdersTable[[#This Row],[Order Date]])</f>
        <v>2024</v>
      </c>
      <c r="D1066" s="2">
        <f>DATE(YEAR(OrdersTable[[#This Row],[Order Date]]),MONTH(OrdersTable[[#This Row],[Order Date]]),1)</f>
        <v>45505</v>
      </c>
      <c r="E1066">
        <f>MONTH(OrdersTable[[#This Row],[Order Date]])</f>
        <v>8</v>
      </c>
      <c r="F1066" t="s">
        <v>974</v>
      </c>
      <c r="G1066" t="str">
        <f>IF(OrdersTable[[#This Row],[Order Date]]=_xlfn.MINIFS(Order_Date, Customer_ID, OrdersTable[[#This Row],[Customer ID]]), "New", "Repeat")</f>
        <v>New</v>
      </c>
      <c r="H1066" t="s">
        <v>59</v>
      </c>
      <c r="I1066" t="str">
        <f>INDEX(State!B:B,MATCH(OrdersTable[[#This Row],[State]],State!A:A,0))</f>
        <v>TN</v>
      </c>
      <c r="J1066" t="str">
        <f>INDEX(State!C:C,MATCH(OrdersTable[[#This Row],[State Code]],State!B:B,0))</f>
        <v>South</v>
      </c>
      <c r="K1066" t="s">
        <v>64</v>
      </c>
      <c r="L1066" t="s">
        <v>65</v>
      </c>
      <c r="M1066" t="s">
        <v>40</v>
      </c>
      <c r="N1066" t="str">
        <f>INDEX(Products!B:B,MATCH(OrdersTable[[#This Row],[Product ID]],Products!A:A,0))</f>
        <v>Ashwagandha Capsules</v>
      </c>
      <c r="O1066" t="str">
        <f>INDEX(Products!C:C,MATCH(OrdersTable[[#This Row],[Product ID]],Products!A:A,0))</f>
        <v>Wellness</v>
      </c>
      <c r="P1066">
        <v>2</v>
      </c>
      <c r="Q1066" s="5">
        <v>499</v>
      </c>
      <c r="R1066" s="74">
        <v>0.05</v>
      </c>
      <c r="S1066" s="75">
        <f>OrdersTable[[#This Row],[Quantity]]*OrdersTable[[#This Row],[Unit Price]]</f>
        <v>998</v>
      </c>
      <c r="T1066" s="5">
        <f>OrdersTable[[#This Row],[Gross Sale]]*OrdersTable[[#This Row],[Discount_Clean2]]</f>
        <v>49.900000000000006</v>
      </c>
      <c r="U1066" s="5">
        <f>OrdersTable[[#This Row],[Gross Sale]]-OrdersTable[[#This Row],[Discount Amount]]</f>
        <v>948.1</v>
      </c>
      <c r="V1066" s="77">
        <f>INDEX(Products!E:E,MATCH(OrdersTable[[#This Row],[Product ID]],Products!A:A,0))</f>
        <v>150</v>
      </c>
      <c r="W1066" s="77">
        <f>OrdersTable[[#This Row],[Quantity]]*OrdersTable[[#This Row],[Unit Cost]]</f>
        <v>300</v>
      </c>
      <c r="X1066" s="77">
        <f>'Dropdown Lists'!$I$2*(1+OrdersTable[[#This Row],[Returned]])</f>
        <v>60</v>
      </c>
      <c r="Y1066" s="76">
        <f>OrdersTable[[#This Row],[Net Revenue]]-OrdersTable[[#This Row],[COGS]]-OrdersTable[[#This Row],[Shipping Cost]]</f>
        <v>588.1</v>
      </c>
      <c r="Z1066" s="78">
        <f>IFERROR(OrdersTable[[#This Row],[Profit]]/OrdersTable[[#This Row],[Net Revenue]],0)</f>
        <v>0.62029321801497728</v>
      </c>
      <c r="AA1066" t="s">
        <v>18</v>
      </c>
      <c r="AB1066" s="79">
        <v>45509</v>
      </c>
      <c r="AC1066">
        <f>OrdersTable[[#This Row],[Delivery Date]]-OrdersTable[[#This Row],[Order Date]]</f>
        <v>3</v>
      </c>
      <c r="AD1066" t="str">
        <f>IF(OrdersTable[[#This Row],[Delivery Days]]&lt;=2, "Express (≤2d)", IF(OrdersTable[[#This Row],[Delivery Days]]&lt;=4, "Standard (3-4d)", "Delayed (5d+)"))</f>
        <v>Standard (3-4d)</v>
      </c>
      <c r="AE1066">
        <v>5</v>
      </c>
      <c r="AF1066">
        <v>0</v>
      </c>
    </row>
    <row r="1067" spans="1:32" ht="15" x14ac:dyDescent="0.35">
      <c r="A1067" t="s">
        <v>755</v>
      </c>
      <c r="B1067" s="1">
        <v>45507</v>
      </c>
      <c r="C1067">
        <f>YEAR(OrdersTable[[#This Row],[Order Date]])</f>
        <v>2024</v>
      </c>
      <c r="D1067" s="2">
        <f>DATE(YEAR(OrdersTable[[#This Row],[Order Date]]),MONTH(OrdersTable[[#This Row],[Order Date]]),1)</f>
        <v>45505</v>
      </c>
      <c r="E1067">
        <f>MONTH(OrdersTable[[#This Row],[Order Date]])</f>
        <v>8</v>
      </c>
      <c r="F1067" t="s">
        <v>756</v>
      </c>
      <c r="G1067" t="str">
        <f>IF(OrdersTable[[#This Row],[Order Date]]=_xlfn.MINIFS(Order_Date, Customer_ID, OrdersTable[[#This Row],[Customer ID]]), "New", "Repeat")</f>
        <v>Repeat</v>
      </c>
      <c r="H1067" t="s">
        <v>54</v>
      </c>
      <c r="I1067" t="str">
        <f>INDEX(State!B:B,MATCH(OrdersTable[[#This Row],[State]],State!A:A,0))</f>
        <v>RJ</v>
      </c>
      <c r="J1067" t="str">
        <f>INDEX(State!C:C,MATCH(OrdersTable[[#This Row],[State Code]],State!B:B,0))</f>
        <v>North</v>
      </c>
      <c r="K1067" t="s">
        <v>227</v>
      </c>
      <c r="L1067" t="s">
        <v>23</v>
      </c>
      <c r="M1067" t="s">
        <v>61</v>
      </c>
      <c r="N1067" t="str">
        <f>INDEX(Products!B:B,MATCH(OrdersTable[[#This Row],[Product ID]],Products!A:A,0))</f>
        <v>Multivitamin Gummies</v>
      </c>
      <c r="O1067" t="str">
        <f>INDEX(Products!C:C,MATCH(OrdersTable[[#This Row],[Product ID]],Products!A:A,0))</f>
        <v>Wellness</v>
      </c>
      <c r="P1067">
        <v>1</v>
      </c>
      <c r="Q1067" s="5">
        <v>699</v>
      </c>
      <c r="R1067" s="74">
        <v>0.2</v>
      </c>
      <c r="S1067" s="75">
        <f>OrdersTable[[#This Row],[Quantity]]*OrdersTable[[#This Row],[Unit Price]]</f>
        <v>699</v>
      </c>
      <c r="T1067" s="5">
        <f>OrdersTable[[#This Row],[Gross Sale]]*OrdersTable[[#This Row],[Discount_Clean2]]</f>
        <v>139.80000000000001</v>
      </c>
      <c r="U1067" s="5">
        <f>OrdersTable[[#This Row],[Gross Sale]]-OrdersTable[[#This Row],[Discount Amount]]</f>
        <v>559.20000000000005</v>
      </c>
      <c r="V1067" s="77">
        <f>INDEX(Products!E:E,MATCH(OrdersTable[[#This Row],[Product ID]],Products!A:A,0))</f>
        <v>238</v>
      </c>
      <c r="W1067" s="77">
        <f>OrdersTable[[#This Row],[Quantity]]*OrdersTable[[#This Row],[Unit Cost]]</f>
        <v>238</v>
      </c>
      <c r="X1067" s="77">
        <f>'Dropdown Lists'!$I$2*(1+OrdersTable[[#This Row],[Returned]])</f>
        <v>60</v>
      </c>
      <c r="Y1067" s="76">
        <f>OrdersTable[[#This Row],[Net Revenue]]-OrdersTable[[#This Row],[COGS]]-OrdersTable[[#This Row],[Shipping Cost]]</f>
        <v>261.20000000000005</v>
      </c>
      <c r="Z1067" s="78">
        <f>IFERROR(OrdersTable[[#This Row],[Profit]]/OrdersTable[[#This Row],[Net Revenue]],0)</f>
        <v>0.46709585121602293</v>
      </c>
      <c r="AA1067" t="s">
        <v>18</v>
      </c>
      <c r="AB1067" s="79">
        <v>45511</v>
      </c>
      <c r="AC1067">
        <f>OrdersTable[[#This Row],[Delivery Date]]-OrdersTable[[#This Row],[Order Date]]</f>
        <v>4</v>
      </c>
      <c r="AD1067" t="str">
        <f>IF(OrdersTable[[#This Row],[Delivery Days]]&lt;=2, "Express (≤2d)", IF(OrdersTable[[#This Row],[Delivery Days]]&lt;=4, "Standard (3-4d)", "Delayed (5d+)"))</f>
        <v>Standard (3-4d)</v>
      </c>
      <c r="AE1067">
        <v>4</v>
      </c>
      <c r="AF1067">
        <v>0</v>
      </c>
    </row>
    <row r="1068" spans="1:32" ht="15" x14ac:dyDescent="0.35">
      <c r="A1068" t="s">
        <v>6686</v>
      </c>
      <c r="B1068" s="1">
        <v>45507</v>
      </c>
      <c r="C1068">
        <f>YEAR(OrdersTable[[#This Row],[Order Date]])</f>
        <v>2024</v>
      </c>
      <c r="D1068" s="2">
        <f>DATE(YEAR(OrdersTable[[#This Row],[Order Date]]),MONTH(OrdersTable[[#This Row],[Order Date]]),1)</f>
        <v>45505</v>
      </c>
      <c r="E1068">
        <f>MONTH(OrdersTable[[#This Row],[Order Date]])</f>
        <v>8</v>
      </c>
      <c r="F1068" t="s">
        <v>2536</v>
      </c>
      <c r="G1068" t="str">
        <f>IF(OrdersTable[[#This Row],[Order Date]]=_xlfn.MINIFS(Order_Date, Customer_ID, OrdersTable[[#This Row],[Customer ID]]), "New", "Repeat")</f>
        <v>Repeat</v>
      </c>
      <c r="H1068" t="s">
        <v>76</v>
      </c>
      <c r="I1068" t="str">
        <f>INDEX(State!B:B,MATCH(OrdersTable[[#This Row],[State]],State!A:A,0))</f>
        <v>UP</v>
      </c>
      <c r="J1068" t="str">
        <f>INDEX(State!C:C,MATCH(OrdersTable[[#This Row],[State Code]],State!B:B,0))</f>
        <v>North</v>
      </c>
      <c r="K1068" t="s">
        <v>105</v>
      </c>
      <c r="L1068" t="s">
        <v>23</v>
      </c>
      <c r="M1068" t="s">
        <v>255</v>
      </c>
      <c r="N1068" t="str">
        <f>INDEX(Products!B:B,MATCH(OrdersTable[[#This Row],[Product ID]],Products!A:A,0))</f>
        <v>Cotton Oversized T-Shirt</v>
      </c>
      <c r="O1068" t="str">
        <f>INDEX(Products!C:C,MATCH(OrdersTable[[#This Row],[Product ID]],Products!A:A,0))</f>
        <v>Apparel</v>
      </c>
      <c r="P1068">
        <v>3</v>
      </c>
      <c r="Q1068" s="5">
        <v>799</v>
      </c>
      <c r="R1068" s="74">
        <v>0</v>
      </c>
      <c r="S1068" s="75">
        <f>OrdersTable[[#This Row],[Quantity]]*OrdersTable[[#This Row],[Unit Price]]</f>
        <v>2397</v>
      </c>
      <c r="T1068" s="5">
        <f>OrdersTable[[#This Row],[Gross Sale]]*OrdersTable[[#This Row],[Discount_Clean2]]</f>
        <v>0</v>
      </c>
      <c r="U1068" s="5">
        <f>OrdersTable[[#This Row],[Gross Sale]]-OrdersTable[[#This Row],[Discount Amount]]</f>
        <v>2397</v>
      </c>
      <c r="V1068" s="77">
        <f>INDEX(Products!E:E,MATCH(OrdersTable[[#This Row],[Product ID]],Products!A:A,0))</f>
        <v>320</v>
      </c>
      <c r="W1068" s="77">
        <f>OrdersTable[[#This Row],[Quantity]]*OrdersTable[[#This Row],[Unit Cost]]</f>
        <v>960</v>
      </c>
      <c r="X1068" s="77">
        <f>'Dropdown Lists'!$I$2*(1+OrdersTable[[#This Row],[Returned]])</f>
        <v>120</v>
      </c>
      <c r="Y1068" s="76">
        <f>OrdersTable[[#This Row],[Net Revenue]]-OrdersTable[[#This Row],[COGS]]-OrdersTable[[#This Row],[Shipping Cost]]</f>
        <v>1317</v>
      </c>
      <c r="Z1068" s="78">
        <f>IFERROR(OrdersTable[[#This Row],[Profit]]/OrdersTable[[#This Row],[Net Revenue]],0)</f>
        <v>0.54943679599499373</v>
      </c>
      <c r="AA1068" t="s">
        <v>2522</v>
      </c>
      <c r="AB1068" s="79">
        <v>45509</v>
      </c>
      <c r="AC1068">
        <f>OrdersTable[[#This Row],[Delivery Date]]-OrdersTable[[#This Row],[Order Date]]</f>
        <v>2</v>
      </c>
      <c r="AD1068" t="str">
        <f>IF(OrdersTable[[#This Row],[Delivery Days]]&lt;=2, "Express (≤2d)", IF(OrdersTable[[#This Row],[Delivery Days]]&lt;=4, "Standard (3-4d)", "Delayed (5d+)"))</f>
        <v>Express (≤2d)</v>
      </c>
      <c r="AE1068">
        <v>4</v>
      </c>
      <c r="AF1068">
        <v>1</v>
      </c>
    </row>
    <row r="1069" spans="1:32" ht="15" x14ac:dyDescent="0.35">
      <c r="A1069" t="s">
        <v>5770</v>
      </c>
      <c r="B1069" s="1">
        <v>45507</v>
      </c>
      <c r="C1069">
        <f>YEAR(OrdersTable[[#This Row],[Order Date]])</f>
        <v>2024</v>
      </c>
      <c r="D1069" s="2">
        <f>DATE(YEAR(OrdersTable[[#This Row],[Order Date]]),MONTH(OrdersTable[[#This Row],[Order Date]]),1)</f>
        <v>45505</v>
      </c>
      <c r="E1069">
        <f>MONTH(OrdersTable[[#This Row],[Order Date]])</f>
        <v>8</v>
      </c>
      <c r="F1069" t="s">
        <v>3485</v>
      </c>
      <c r="G1069" t="str">
        <f>IF(OrdersTable[[#This Row],[Order Date]]=_xlfn.MINIFS(Order_Date, Customer_ID, OrdersTable[[#This Row],[Customer ID]]), "New", "Repeat")</f>
        <v>New</v>
      </c>
      <c r="H1069" t="s">
        <v>71</v>
      </c>
      <c r="I1069" t="str">
        <f>INDEX(State!B:B,MATCH(OrdersTable[[#This Row],[State]],State!A:A,0))</f>
        <v>MH</v>
      </c>
      <c r="J1069" t="str">
        <f>INDEX(State!C:C,MATCH(OrdersTable[[#This Row],[State Code]],State!B:B,0))</f>
        <v>West</v>
      </c>
      <c r="K1069" t="s">
        <v>72</v>
      </c>
      <c r="L1069" t="s">
        <v>23</v>
      </c>
      <c r="M1069" t="s">
        <v>173</v>
      </c>
      <c r="N1069" t="str">
        <f>INDEX(Products!B:B,MATCH(OrdersTable[[#This Row],[Product ID]],Products!A:A,0))</f>
        <v>Wireless Earbuds</v>
      </c>
      <c r="O1069" t="str">
        <f>INDEX(Products!C:C,MATCH(OrdersTable[[#This Row],[Product ID]],Products!A:A,0))</f>
        <v>Electronics</v>
      </c>
      <c r="P1069">
        <v>2</v>
      </c>
      <c r="Q1069" s="5">
        <v>1999</v>
      </c>
      <c r="R1069" s="74">
        <v>0.35</v>
      </c>
      <c r="S1069" s="75">
        <f>OrdersTable[[#This Row],[Quantity]]*OrdersTable[[#This Row],[Unit Price]]</f>
        <v>3998</v>
      </c>
      <c r="T1069" s="5">
        <f>OrdersTable[[#This Row],[Gross Sale]]*OrdersTable[[#This Row],[Discount_Clean2]]</f>
        <v>1399.3</v>
      </c>
      <c r="U1069" s="5">
        <f>OrdersTable[[#This Row],[Gross Sale]]-OrdersTable[[#This Row],[Discount Amount]]</f>
        <v>2598.6999999999998</v>
      </c>
      <c r="V1069" s="77">
        <f>INDEX(Products!E:E,MATCH(OrdersTable[[#This Row],[Product ID]],Products!A:A,0))</f>
        <v>1239</v>
      </c>
      <c r="W1069" s="77">
        <f>OrdersTable[[#This Row],[Quantity]]*OrdersTable[[#This Row],[Unit Cost]]</f>
        <v>2478</v>
      </c>
      <c r="X1069" s="77">
        <f>'Dropdown Lists'!$I$2*(1+OrdersTable[[#This Row],[Returned]])</f>
        <v>60</v>
      </c>
      <c r="Y1069" s="76">
        <f>OrdersTable[[#This Row],[Net Revenue]]-OrdersTable[[#This Row],[COGS]]-OrdersTable[[#This Row],[Shipping Cost]]</f>
        <v>60.699999999999818</v>
      </c>
      <c r="Z1069" s="78">
        <f>IFERROR(OrdersTable[[#This Row],[Profit]]/OrdersTable[[#This Row],[Net Revenue]],0)</f>
        <v>2.3357832762535044E-2</v>
      </c>
      <c r="AA1069" t="s">
        <v>18</v>
      </c>
      <c r="AB1069" s="79">
        <v>45509</v>
      </c>
      <c r="AC1069">
        <f>OrdersTable[[#This Row],[Delivery Date]]-OrdersTable[[#This Row],[Order Date]]</f>
        <v>2</v>
      </c>
      <c r="AD1069" t="str">
        <f>IF(OrdersTable[[#This Row],[Delivery Days]]&lt;=2, "Express (≤2d)", IF(OrdersTable[[#This Row],[Delivery Days]]&lt;=4, "Standard (3-4d)", "Delayed (5d+)"))</f>
        <v>Express (≤2d)</v>
      </c>
      <c r="AE1069">
        <v>5</v>
      </c>
      <c r="AF1069">
        <v>0</v>
      </c>
    </row>
    <row r="1070" spans="1:32" ht="15" x14ac:dyDescent="0.35">
      <c r="A1070" t="s">
        <v>6958</v>
      </c>
      <c r="B1070" s="1">
        <v>45507</v>
      </c>
      <c r="C1070">
        <f>YEAR(OrdersTable[[#This Row],[Order Date]])</f>
        <v>2024</v>
      </c>
      <c r="D1070" s="2">
        <f>DATE(YEAR(OrdersTable[[#This Row],[Order Date]]),MONTH(OrdersTable[[#This Row],[Order Date]]),1)</f>
        <v>45505</v>
      </c>
      <c r="E1070">
        <f>MONTH(OrdersTable[[#This Row],[Order Date]])</f>
        <v>8</v>
      </c>
      <c r="F1070" t="s">
        <v>6959</v>
      </c>
      <c r="G1070" t="str">
        <f>IF(OrdersTable[[#This Row],[Order Date]]=_xlfn.MINIFS(Order_Date, Customer_ID, OrdersTable[[#This Row],[Customer ID]]), "New", "Repeat")</f>
        <v>New</v>
      </c>
      <c r="H1070" t="s">
        <v>167</v>
      </c>
      <c r="I1070" t="str">
        <f>INDEX(State!B:B,MATCH(OrdersTable[[#This Row],[State]],State!A:A,0))</f>
        <v>KA</v>
      </c>
      <c r="J1070" t="str">
        <f>INDEX(State!C:C,MATCH(OrdersTable[[#This Row],[State Code]],State!B:B,0))</f>
        <v>South</v>
      </c>
      <c r="K1070" t="s">
        <v>190</v>
      </c>
      <c r="L1070" t="s">
        <v>65</v>
      </c>
      <c r="M1070" t="s">
        <v>228</v>
      </c>
      <c r="N1070" t="str">
        <f>INDEX(Products!B:B,MATCH(OrdersTable[[#This Row],[Product ID]],Products!A:A,0))</f>
        <v>Fast Charger 33W</v>
      </c>
      <c r="O1070" t="str">
        <f>INDEX(Products!C:C,MATCH(OrdersTable[[#This Row],[Product ID]],Products!A:A,0))</f>
        <v>Electronics</v>
      </c>
      <c r="P1070">
        <v>4</v>
      </c>
      <c r="Q1070" s="5">
        <v>899</v>
      </c>
      <c r="R1070" s="74">
        <v>0.15</v>
      </c>
      <c r="S1070" s="75">
        <f>OrdersTable[[#This Row],[Quantity]]*OrdersTable[[#This Row],[Unit Price]]</f>
        <v>3596</v>
      </c>
      <c r="T1070" s="5">
        <f>OrdersTable[[#This Row],[Gross Sale]]*OrdersTable[[#This Row],[Discount_Clean2]]</f>
        <v>539.4</v>
      </c>
      <c r="U1070" s="5">
        <f>OrdersTable[[#This Row],[Gross Sale]]-OrdersTable[[#This Row],[Discount Amount]]</f>
        <v>3056.6</v>
      </c>
      <c r="V1070" s="77">
        <f>INDEX(Products!E:E,MATCH(OrdersTable[[#This Row],[Product ID]],Products!A:A,0))</f>
        <v>494</v>
      </c>
      <c r="W1070" s="77">
        <f>OrdersTable[[#This Row],[Quantity]]*OrdersTable[[#This Row],[Unit Cost]]</f>
        <v>1976</v>
      </c>
      <c r="X1070" s="77">
        <f>'Dropdown Lists'!$I$2*(1+OrdersTable[[#This Row],[Returned]])</f>
        <v>60</v>
      </c>
      <c r="Y1070" s="76">
        <f>OrdersTable[[#This Row],[Net Revenue]]-OrdersTable[[#This Row],[COGS]]-OrdersTable[[#This Row],[Shipping Cost]]</f>
        <v>1020.5999999999999</v>
      </c>
      <c r="Z1070" s="78">
        <f>IFERROR(OrdersTable[[#This Row],[Profit]]/OrdersTable[[#This Row],[Net Revenue]],0)</f>
        <v>0.33390041222273115</v>
      </c>
      <c r="AA1070" t="s">
        <v>2522</v>
      </c>
      <c r="AB1070" s="79">
        <v>45510</v>
      </c>
      <c r="AC1070">
        <f>OrdersTable[[#This Row],[Delivery Date]]-OrdersTable[[#This Row],[Order Date]]</f>
        <v>3</v>
      </c>
      <c r="AD1070" t="str">
        <f>IF(OrdersTable[[#This Row],[Delivery Days]]&lt;=2, "Express (≤2d)", IF(OrdersTable[[#This Row],[Delivery Days]]&lt;=4, "Standard (3-4d)", "Delayed (5d+)"))</f>
        <v>Standard (3-4d)</v>
      </c>
      <c r="AF1070">
        <v>0</v>
      </c>
    </row>
    <row r="1071" spans="1:32" ht="15" x14ac:dyDescent="0.35">
      <c r="A1071" t="s">
        <v>1873</v>
      </c>
      <c r="B1071" s="1">
        <v>45507</v>
      </c>
      <c r="C1071">
        <f>YEAR(OrdersTable[[#This Row],[Order Date]])</f>
        <v>2024</v>
      </c>
      <c r="D1071" s="2">
        <f>DATE(YEAR(OrdersTable[[#This Row],[Order Date]]),MONTH(OrdersTable[[#This Row],[Order Date]]),1)</f>
        <v>45505</v>
      </c>
      <c r="E1071">
        <f>MONTH(OrdersTable[[#This Row],[Order Date]])</f>
        <v>8</v>
      </c>
      <c r="F1071" t="s">
        <v>1874</v>
      </c>
      <c r="G1071" t="str">
        <f>IF(OrdersTable[[#This Row],[Order Date]]=_xlfn.MINIFS(Order_Date, Customer_ID, OrdersTable[[#This Row],[Customer ID]]), "New", "Repeat")</f>
        <v>Repeat</v>
      </c>
      <c r="H1071" t="s">
        <v>167</v>
      </c>
      <c r="I1071" t="str">
        <f>INDEX(State!B:B,MATCH(OrdersTable[[#This Row],[State]],State!A:A,0))</f>
        <v>KA</v>
      </c>
      <c r="J1071" t="str">
        <f>INDEX(State!C:C,MATCH(OrdersTable[[#This Row],[State Code]],State!B:B,0))</f>
        <v>South</v>
      </c>
      <c r="K1071" t="s">
        <v>190</v>
      </c>
      <c r="L1071" t="s">
        <v>23</v>
      </c>
      <c r="M1071" t="s">
        <v>24</v>
      </c>
      <c r="N1071" t="str">
        <f>INDEX(Products!B:B,MATCH(OrdersTable[[#This Row],[Product ID]],Products!A:A,0))</f>
        <v>Scented Candle Set</v>
      </c>
      <c r="O1071" t="str">
        <f>INDEX(Products!C:C,MATCH(OrdersTable[[#This Row],[Product ID]],Products!A:A,0))</f>
        <v>Home &amp; Kitchen</v>
      </c>
      <c r="P1071">
        <v>1</v>
      </c>
      <c r="Q1071" s="5">
        <v>699</v>
      </c>
      <c r="R1071" s="74">
        <v>0.15</v>
      </c>
      <c r="S1071" s="75">
        <f>OrdersTable[[#This Row],[Quantity]]*OrdersTable[[#This Row],[Unit Price]]</f>
        <v>699</v>
      </c>
      <c r="T1071" s="5">
        <f>OrdersTable[[#This Row],[Gross Sale]]*OrdersTable[[#This Row],[Discount_Clean2]]</f>
        <v>104.85</v>
      </c>
      <c r="U1071" s="5">
        <f>OrdersTable[[#This Row],[Gross Sale]]-OrdersTable[[#This Row],[Discount Amount]]</f>
        <v>594.15</v>
      </c>
      <c r="V1071" s="77">
        <f>INDEX(Products!E:E,MATCH(OrdersTable[[#This Row],[Product ID]],Products!A:A,0))</f>
        <v>245</v>
      </c>
      <c r="W1071" s="77">
        <f>OrdersTable[[#This Row],[Quantity]]*OrdersTable[[#This Row],[Unit Cost]]</f>
        <v>245</v>
      </c>
      <c r="X1071" s="77">
        <f>'Dropdown Lists'!$I$2*(1+OrdersTable[[#This Row],[Returned]])</f>
        <v>60</v>
      </c>
      <c r="Y1071" s="76">
        <f>OrdersTable[[#This Row],[Net Revenue]]-OrdersTable[[#This Row],[COGS]]-OrdersTable[[#This Row],[Shipping Cost]]</f>
        <v>289.14999999999998</v>
      </c>
      <c r="Z1071" s="78">
        <f>IFERROR(OrdersTable[[#This Row],[Profit]]/OrdersTable[[#This Row],[Net Revenue]],0)</f>
        <v>0.48666161743667424</v>
      </c>
      <c r="AA1071" t="s">
        <v>18</v>
      </c>
      <c r="AB1071" s="79">
        <v>45509</v>
      </c>
      <c r="AC1071">
        <f>OrdersTable[[#This Row],[Delivery Date]]-OrdersTable[[#This Row],[Order Date]]</f>
        <v>2</v>
      </c>
      <c r="AD1071" t="str">
        <f>IF(OrdersTable[[#This Row],[Delivery Days]]&lt;=2, "Express (≤2d)", IF(OrdersTable[[#This Row],[Delivery Days]]&lt;=4, "Standard (3-4d)", "Delayed (5d+)"))</f>
        <v>Express (≤2d)</v>
      </c>
      <c r="AE1071">
        <v>3</v>
      </c>
      <c r="AF1071">
        <v>0</v>
      </c>
    </row>
    <row r="1072" spans="1:32" ht="15" x14ac:dyDescent="0.35">
      <c r="A1072" t="s">
        <v>498</v>
      </c>
      <c r="B1072" s="1">
        <v>45509</v>
      </c>
      <c r="C1072">
        <f>YEAR(OrdersTable[[#This Row],[Order Date]])</f>
        <v>2024</v>
      </c>
      <c r="D1072" s="2">
        <f>DATE(YEAR(OrdersTable[[#This Row],[Order Date]]),MONTH(OrdersTable[[#This Row],[Order Date]]),1)</f>
        <v>45505</v>
      </c>
      <c r="E1072">
        <f>MONTH(OrdersTable[[#This Row],[Order Date]])</f>
        <v>8</v>
      </c>
      <c r="F1072" t="s">
        <v>499</v>
      </c>
      <c r="G1072" t="str">
        <f>IF(OrdersTable[[#This Row],[Order Date]]=_xlfn.MINIFS(Order_Date, Customer_ID, OrdersTable[[#This Row],[Customer ID]]), "New", "Repeat")</f>
        <v>New</v>
      </c>
      <c r="H1072" t="s">
        <v>48</v>
      </c>
      <c r="I1072" t="str">
        <f>INDEX(State!B:B,MATCH(OrdersTable[[#This Row],[State]],State!A:A,0))</f>
        <v>HR</v>
      </c>
      <c r="J1072" t="str">
        <f>INDEX(State!C:C,MATCH(OrdersTable[[#This Row],[State Code]],State!B:B,0))</f>
        <v>North</v>
      </c>
      <c r="K1072" t="s">
        <v>151</v>
      </c>
      <c r="L1072" t="s">
        <v>39</v>
      </c>
      <c r="M1072" t="s">
        <v>106</v>
      </c>
      <c r="N1072" t="str">
        <f>INDEX(Products!B:B,MATCH(OrdersTable[[#This Row],[Product ID]],Products!A:A,0))</f>
        <v>Keratin Hair Mask</v>
      </c>
      <c r="O1072" t="str">
        <f>INDEX(Products!C:C,MATCH(OrdersTable[[#This Row],[Product ID]],Products!A:A,0))</f>
        <v>Haircare</v>
      </c>
      <c r="P1072">
        <v>1</v>
      </c>
      <c r="Q1072" s="5">
        <v>549</v>
      </c>
      <c r="R1072" s="74">
        <v>0.1</v>
      </c>
      <c r="S1072" s="75">
        <f>OrdersTable[[#This Row],[Quantity]]*OrdersTable[[#This Row],[Unit Price]]</f>
        <v>549</v>
      </c>
      <c r="T1072" s="5">
        <f>OrdersTable[[#This Row],[Gross Sale]]*OrdersTable[[#This Row],[Discount_Clean2]]</f>
        <v>54.900000000000006</v>
      </c>
      <c r="U1072" s="5">
        <f>OrdersTable[[#This Row],[Gross Sale]]-OrdersTable[[#This Row],[Discount Amount]]</f>
        <v>494.1</v>
      </c>
      <c r="V1072" s="77">
        <f>INDEX(Products!E:E,MATCH(OrdersTable[[#This Row],[Product ID]],Products!A:A,0))</f>
        <v>170</v>
      </c>
      <c r="W1072" s="77">
        <f>OrdersTable[[#This Row],[Quantity]]*OrdersTable[[#This Row],[Unit Cost]]</f>
        <v>170</v>
      </c>
      <c r="X1072" s="77">
        <f>'Dropdown Lists'!$I$2*(1+OrdersTable[[#This Row],[Returned]])</f>
        <v>60</v>
      </c>
      <c r="Y1072" s="76">
        <f>OrdersTable[[#This Row],[Net Revenue]]-OrdersTable[[#This Row],[COGS]]-OrdersTable[[#This Row],[Shipping Cost]]</f>
        <v>264.10000000000002</v>
      </c>
      <c r="Z1072" s="78">
        <f>IFERROR(OrdersTable[[#This Row],[Profit]]/OrdersTable[[#This Row],[Net Revenue]],0)</f>
        <v>0.53450718478040882</v>
      </c>
      <c r="AA1072" t="s">
        <v>18</v>
      </c>
      <c r="AB1072" s="79">
        <v>45512</v>
      </c>
      <c r="AC1072">
        <f>OrdersTable[[#This Row],[Delivery Date]]-OrdersTable[[#This Row],[Order Date]]</f>
        <v>3</v>
      </c>
      <c r="AD1072" t="str">
        <f>IF(OrdersTable[[#This Row],[Delivery Days]]&lt;=2, "Express (≤2d)", IF(OrdersTable[[#This Row],[Delivery Days]]&lt;=4, "Standard (3-4d)", "Delayed (5d+)"))</f>
        <v>Standard (3-4d)</v>
      </c>
      <c r="AE1072">
        <v>4</v>
      </c>
      <c r="AF1072">
        <v>0</v>
      </c>
    </row>
    <row r="1073" spans="1:32" ht="15" x14ac:dyDescent="0.35">
      <c r="A1073" t="s">
        <v>1355</v>
      </c>
      <c r="B1073" s="1">
        <v>45509</v>
      </c>
      <c r="C1073">
        <f>YEAR(OrdersTable[[#This Row],[Order Date]])</f>
        <v>2024</v>
      </c>
      <c r="D1073" s="2">
        <f>DATE(YEAR(OrdersTable[[#This Row],[Order Date]]),MONTH(OrdersTable[[#This Row],[Order Date]]),1)</f>
        <v>45505</v>
      </c>
      <c r="E1073">
        <f>MONTH(OrdersTable[[#This Row],[Order Date]])</f>
        <v>8</v>
      </c>
      <c r="F1073" t="s">
        <v>1356</v>
      </c>
      <c r="G1073" t="str">
        <f>IF(OrdersTable[[#This Row],[Order Date]]=_xlfn.MINIFS(Order_Date, Customer_ID, OrdersTable[[#This Row],[Customer ID]]), "New", "Repeat")</f>
        <v>New</v>
      </c>
      <c r="H1073" t="s">
        <v>43</v>
      </c>
      <c r="I1073" t="str">
        <f>INDEX(State!B:B,MATCH(OrdersTable[[#This Row],[State]],State!A:A,0))</f>
        <v>MP</v>
      </c>
      <c r="J1073" t="str">
        <f>INDEX(State!C:C,MATCH(OrdersTable[[#This Row],[State Code]],State!B:B,0))</f>
        <v>West</v>
      </c>
      <c r="K1073" t="s">
        <v>250</v>
      </c>
      <c r="L1073" t="s">
        <v>23</v>
      </c>
      <c r="M1073" t="s">
        <v>34</v>
      </c>
      <c r="N1073" t="str">
        <f>INDEX(Products!B:B,MATCH(OrdersTable[[#This Row],[Product ID]],Products!A:A,0))</f>
        <v>Flip Flops</v>
      </c>
      <c r="O1073" t="str">
        <f>INDEX(Products!C:C,MATCH(OrdersTable[[#This Row],[Product ID]],Products!A:A,0))</f>
        <v>Footwear</v>
      </c>
      <c r="P1073">
        <v>1</v>
      </c>
      <c r="Q1073" s="5">
        <v>399</v>
      </c>
      <c r="R1073" s="74">
        <v>0.2</v>
      </c>
      <c r="S1073" s="75">
        <f>OrdersTable[[#This Row],[Quantity]]*OrdersTable[[#This Row],[Unit Price]]</f>
        <v>399</v>
      </c>
      <c r="T1073" s="5">
        <f>OrdersTable[[#This Row],[Gross Sale]]*OrdersTable[[#This Row],[Discount_Clean2]]</f>
        <v>79.800000000000011</v>
      </c>
      <c r="U1073" s="5">
        <f>OrdersTable[[#This Row],[Gross Sale]]-OrdersTable[[#This Row],[Discount Amount]]</f>
        <v>319.2</v>
      </c>
      <c r="V1073" s="77">
        <f>INDEX(Products!E:E,MATCH(OrdersTable[[#This Row],[Product ID]],Products!A:A,0))</f>
        <v>152</v>
      </c>
      <c r="W1073" s="77">
        <f>OrdersTable[[#This Row],[Quantity]]*OrdersTable[[#This Row],[Unit Cost]]</f>
        <v>152</v>
      </c>
      <c r="X1073" s="77">
        <f>'Dropdown Lists'!$I$2*(1+OrdersTable[[#This Row],[Returned]])</f>
        <v>60</v>
      </c>
      <c r="Y1073" s="76">
        <f>OrdersTable[[#This Row],[Net Revenue]]-OrdersTable[[#This Row],[COGS]]-OrdersTable[[#This Row],[Shipping Cost]]</f>
        <v>107.19999999999999</v>
      </c>
      <c r="Z1073" s="78">
        <f>IFERROR(OrdersTable[[#This Row],[Profit]]/OrdersTable[[#This Row],[Net Revenue]],0)</f>
        <v>0.33583959899749372</v>
      </c>
      <c r="AA1073" t="s">
        <v>18</v>
      </c>
      <c r="AB1073" s="79">
        <v>45513</v>
      </c>
      <c r="AC1073">
        <f>OrdersTable[[#This Row],[Delivery Date]]-OrdersTable[[#This Row],[Order Date]]</f>
        <v>4</v>
      </c>
      <c r="AD1073" t="str">
        <f>IF(OrdersTable[[#This Row],[Delivery Days]]&lt;=2, "Express (≤2d)", IF(OrdersTable[[#This Row],[Delivery Days]]&lt;=4, "Standard (3-4d)", "Delayed (5d+)"))</f>
        <v>Standard (3-4d)</v>
      </c>
      <c r="AF1073">
        <v>0</v>
      </c>
    </row>
    <row r="1074" spans="1:32" ht="15" x14ac:dyDescent="0.35">
      <c r="A1074" t="s">
        <v>4234</v>
      </c>
      <c r="B1074" s="1">
        <v>45509</v>
      </c>
      <c r="C1074">
        <f>YEAR(OrdersTable[[#This Row],[Order Date]])</f>
        <v>2024</v>
      </c>
      <c r="D1074" s="2">
        <f>DATE(YEAR(OrdersTable[[#This Row],[Order Date]]),MONTH(OrdersTable[[#This Row],[Order Date]]),1)</f>
        <v>45505</v>
      </c>
      <c r="E1074">
        <f>MONTH(OrdersTable[[#This Row],[Order Date]])</f>
        <v>8</v>
      </c>
      <c r="F1074" t="s">
        <v>1085</v>
      </c>
      <c r="G1074" t="str">
        <f>IF(OrdersTable[[#This Row],[Order Date]]=_xlfn.MINIFS(Order_Date, Customer_ID, OrdersTable[[#This Row],[Customer ID]]), "New", "Repeat")</f>
        <v>New</v>
      </c>
      <c r="H1074" t="s">
        <v>95</v>
      </c>
      <c r="I1074" t="str">
        <f>INDEX(State!B:B,MATCH(OrdersTable[[#This Row],[State]],State!A:A,0))</f>
        <v>TG</v>
      </c>
      <c r="J1074" t="str">
        <f>INDEX(State!C:C,MATCH(OrdersTable[[#This Row],[State Code]],State!B:B,0))</f>
        <v>South</v>
      </c>
      <c r="K1074" t="s">
        <v>96</v>
      </c>
      <c r="L1074" t="s">
        <v>23</v>
      </c>
      <c r="M1074" t="s">
        <v>173</v>
      </c>
      <c r="N1074" t="str">
        <f>INDEX(Products!B:B,MATCH(OrdersTable[[#This Row],[Product ID]],Products!A:A,0))</f>
        <v>Wireless Earbuds</v>
      </c>
      <c r="O1074" t="str">
        <f>INDEX(Products!C:C,MATCH(OrdersTable[[#This Row],[Product ID]],Products!A:A,0))</f>
        <v>Electronics</v>
      </c>
      <c r="P1074">
        <v>1</v>
      </c>
      <c r="Q1074" s="5">
        <v>1999</v>
      </c>
      <c r="R1074" s="74">
        <v>0.35</v>
      </c>
      <c r="S1074" s="75">
        <f>OrdersTable[[#This Row],[Quantity]]*OrdersTable[[#This Row],[Unit Price]]</f>
        <v>1999</v>
      </c>
      <c r="T1074" s="5">
        <f>OrdersTable[[#This Row],[Gross Sale]]*OrdersTable[[#This Row],[Discount_Clean2]]</f>
        <v>699.65</v>
      </c>
      <c r="U1074" s="5">
        <f>OrdersTable[[#This Row],[Gross Sale]]-OrdersTable[[#This Row],[Discount Amount]]</f>
        <v>1299.3499999999999</v>
      </c>
      <c r="V1074" s="77">
        <f>INDEX(Products!E:E,MATCH(OrdersTable[[#This Row],[Product ID]],Products!A:A,0))</f>
        <v>1239</v>
      </c>
      <c r="W1074" s="77">
        <f>OrdersTable[[#This Row],[Quantity]]*OrdersTable[[#This Row],[Unit Cost]]</f>
        <v>1239</v>
      </c>
      <c r="X1074" s="77">
        <f>'Dropdown Lists'!$I$2*(1+OrdersTable[[#This Row],[Returned]])</f>
        <v>60</v>
      </c>
      <c r="Y1074" s="76">
        <f>OrdersTable[[#This Row],[Net Revenue]]-OrdersTable[[#This Row],[COGS]]-OrdersTable[[#This Row],[Shipping Cost]]</f>
        <v>0.34999999999990905</v>
      </c>
      <c r="Z1074" s="78">
        <f>IFERROR(OrdersTable[[#This Row],[Profit]]/OrdersTable[[#This Row],[Net Revenue]],0)</f>
        <v>2.6936545195667763E-4</v>
      </c>
      <c r="AA1074" t="s">
        <v>4074</v>
      </c>
      <c r="AB1074" s="79">
        <v>45513</v>
      </c>
      <c r="AC1074">
        <f>OrdersTable[[#This Row],[Delivery Date]]-OrdersTable[[#This Row],[Order Date]]</f>
        <v>4</v>
      </c>
      <c r="AD1074" t="str">
        <f>IF(OrdersTable[[#This Row],[Delivery Days]]&lt;=2, "Express (≤2d)", IF(OrdersTable[[#This Row],[Delivery Days]]&lt;=4, "Standard (3-4d)", "Delayed (5d+)"))</f>
        <v>Standard (3-4d)</v>
      </c>
      <c r="AF1074">
        <v>0</v>
      </c>
    </row>
    <row r="1075" spans="1:32" ht="15" x14ac:dyDescent="0.35">
      <c r="A1075" t="s">
        <v>2288</v>
      </c>
      <c r="B1075" s="1">
        <v>45509</v>
      </c>
      <c r="C1075">
        <f>YEAR(OrdersTable[[#This Row],[Order Date]])</f>
        <v>2024</v>
      </c>
      <c r="D1075" s="2">
        <f>DATE(YEAR(OrdersTable[[#This Row],[Order Date]]),MONTH(OrdersTable[[#This Row],[Order Date]]),1)</f>
        <v>45505</v>
      </c>
      <c r="E1075">
        <f>MONTH(OrdersTable[[#This Row],[Order Date]])</f>
        <v>8</v>
      </c>
      <c r="F1075" t="s">
        <v>841</v>
      </c>
      <c r="G1075" t="str">
        <f>IF(OrdersTable[[#This Row],[Order Date]]=_xlfn.MINIFS(Order_Date, Customer_ID, OrdersTable[[#This Row],[Customer ID]]), "New", "Repeat")</f>
        <v>New</v>
      </c>
      <c r="H1075" t="s">
        <v>167</v>
      </c>
      <c r="I1075" t="str">
        <f>INDEX(State!B:B,MATCH(OrdersTable[[#This Row],[State]],State!A:A,0))</f>
        <v>KA</v>
      </c>
      <c r="J1075" t="str">
        <f>INDEX(State!C:C,MATCH(OrdersTable[[#This Row],[State Code]],State!B:B,0))</f>
        <v>South</v>
      </c>
      <c r="K1075" t="s">
        <v>168</v>
      </c>
      <c r="L1075" t="s">
        <v>23</v>
      </c>
      <c r="M1075" t="s">
        <v>56</v>
      </c>
      <c r="N1075" t="str">
        <f>INDEX(Products!B:B,MATCH(OrdersTable[[#This Row],[Product ID]],Products!A:A,0))</f>
        <v>Vitamin C Face Serum</v>
      </c>
      <c r="O1075" t="str">
        <f>INDEX(Products!C:C,MATCH(OrdersTable[[#This Row],[Product ID]],Products!A:A,0))</f>
        <v>Skincare</v>
      </c>
      <c r="P1075">
        <v>1</v>
      </c>
      <c r="Q1075" s="5">
        <v>599</v>
      </c>
      <c r="R1075" s="74">
        <v>0.2</v>
      </c>
      <c r="S1075" s="75">
        <f>OrdersTable[[#This Row],[Quantity]]*OrdersTable[[#This Row],[Unit Price]]</f>
        <v>599</v>
      </c>
      <c r="T1075" s="5">
        <f>OrdersTable[[#This Row],[Gross Sale]]*OrdersTable[[#This Row],[Discount_Clean2]]</f>
        <v>119.80000000000001</v>
      </c>
      <c r="U1075" s="5">
        <f>OrdersTable[[#This Row],[Gross Sale]]-OrdersTable[[#This Row],[Discount Amount]]</f>
        <v>479.2</v>
      </c>
      <c r="V1075" s="77">
        <f>INDEX(Products!E:E,MATCH(OrdersTable[[#This Row],[Product ID]],Products!A:A,0))</f>
        <v>180</v>
      </c>
      <c r="W1075" s="77">
        <f>OrdersTable[[#This Row],[Quantity]]*OrdersTable[[#This Row],[Unit Cost]]</f>
        <v>180</v>
      </c>
      <c r="X1075" s="77">
        <f>'Dropdown Lists'!$I$2*(1+OrdersTable[[#This Row],[Returned]])</f>
        <v>60</v>
      </c>
      <c r="Y1075" s="76">
        <f>OrdersTable[[#This Row],[Net Revenue]]-OrdersTable[[#This Row],[COGS]]-OrdersTable[[#This Row],[Shipping Cost]]</f>
        <v>239.2</v>
      </c>
      <c r="Z1075" s="78">
        <f>IFERROR(OrdersTable[[#This Row],[Profit]]/OrdersTable[[#This Row],[Net Revenue]],0)</f>
        <v>0.4991652754590985</v>
      </c>
      <c r="AA1075" t="s">
        <v>18</v>
      </c>
      <c r="AB1075" s="79">
        <v>45510</v>
      </c>
      <c r="AC1075">
        <f>OrdersTable[[#This Row],[Delivery Date]]-OrdersTable[[#This Row],[Order Date]]</f>
        <v>1</v>
      </c>
      <c r="AD1075" t="str">
        <f>IF(OrdersTable[[#This Row],[Delivery Days]]&lt;=2, "Express (≤2d)", IF(OrdersTable[[#This Row],[Delivery Days]]&lt;=4, "Standard (3-4d)", "Delayed (5d+)"))</f>
        <v>Express (≤2d)</v>
      </c>
      <c r="AE1075">
        <v>5</v>
      </c>
      <c r="AF1075">
        <v>0</v>
      </c>
    </row>
    <row r="1076" spans="1:32" ht="15" x14ac:dyDescent="0.35">
      <c r="A1076" t="s">
        <v>3555</v>
      </c>
      <c r="B1076" s="1">
        <v>45509</v>
      </c>
      <c r="C1076">
        <f>YEAR(OrdersTable[[#This Row],[Order Date]])</f>
        <v>2024</v>
      </c>
      <c r="D1076" s="2">
        <f>DATE(YEAR(OrdersTable[[#This Row],[Order Date]]),MONTH(OrdersTable[[#This Row],[Order Date]]),1)</f>
        <v>45505</v>
      </c>
      <c r="E1076">
        <f>MONTH(OrdersTable[[#This Row],[Order Date]])</f>
        <v>8</v>
      </c>
      <c r="F1076" t="s">
        <v>3053</v>
      </c>
      <c r="G1076" t="str">
        <f>IF(OrdersTable[[#This Row],[Order Date]]=_xlfn.MINIFS(Order_Date, Customer_ID, OrdersTable[[#This Row],[Customer ID]]), "New", "Repeat")</f>
        <v>Repeat</v>
      </c>
      <c r="H1076" t="s">
        <v>167</v>
      </c>
      <c r="I1076" t="str">
        <f>INDEX(State!B:B,MATCH(OrdersTable[[#This Row],[State]],State!A:A,0))</f>
        <v>KA</v>
      </c>
      <c r="J1076" t="str">
        <f>INDEX(State!C:C,MATCH(OrdersTable[[#This Row],[State Code]],State!B:B,0))</f>
        <v>South</v>
      </c>
      <c r="K1076" t="s">
        <v>190</v>
      </c>
      <c r="L1076" t="s">
        <v>39</v>
      </c>
      <c r="M1076" t="s">
        <v>45</v>
      </c>
      <c r="N1076" t="str">
        <f>INDEX(Products!B:B,MATCH(OrdersTable[[#This Row],[Product ID]],Products!A:A,0))</f>
        <v>Argan Shampoo</v>
      </c>
      <c r="O1076" t="str">
        <f>INDEX(Products!C:C,MATCH(OrdersTable[[#This Row],[Product ID]],Products!A:A,0))</f>
        <v>Haircare</v>
      </c>
      <c r="P1076">
        <v>1</v>
      </c>
      <c r="Q1076" s="5">
        <v>449</v>
      </c>
      <c r="R1076" s="74">
        <v>0</v>
      </c>
      <c r="S1076" s="75">
        <f>OrdersTable[[#This Row],[Quantity]]*OrdersTable[[#This Row],[Unit Price]]</f>
        <v>449</v>
      </c>
      <c r="T1076" s="5">
        <f>OrdersTable[[#This Row],[Gross Sale]]*OrdersTable[[#This Row],[Discount_Clean2]]</f>
        <v>0</v>
      </c>
      <c r="U1076" s="5">
        <f>OrdersTable[[#This Row],[Gross Sale]]-OrdersTable[[#This Row],[Discount Amount]]</f>
        <v>449</v>
      </c>
      <c r="V1076" s="77">
        <f>INDEX(Products!E:E,MATCH(OrdersTable[[#This Row],[Product ID]],Products!A:A,0))</f>
        <v>148</v>
      </c>
      <c r="W1076" s="77">
        <f>OrdersTable[[#This Row],[Quantity]]*OrdersTable[[#This Row],[Unit Cost]]</f>
        <v>148</v>
      </c>
      <c r="X1076" s="77">
        <f>'Dropdown Lists'!$I$2*(1+OrdersTable[[#This Row],[Returned]])</f>
        <v>60</v>
      </c>
      <c r="Y1076" s="76">
        <f>OrdersTable[[#This Row],[Net Revenue]]-OrdersTable[[#This Row],[COGS]]-OrdersTable[[#This Row],[Shipping Cost]]</f>
        <v>241</v>
      </c>
      <c r="Z1076" s="78">
        <f>IFERROR(OrdersTable[[#This Row],[Profit]]/OrdersTable[[#This Row],[Net Revenue]],0)</f>
        <v>0.53674832962138086</v>
      </c>
      <c r="AA1076" t="s">
        <v>3495</v>
      </c>
      <c r="AB1076" s="79">
        <v>45511</v>
      </c>
      <c r="AC1076">
        <f>OrdersTable[[#This Row],[Delivery Date]]-OrdersTable[[#This Row],[Order Date]]</f>
        <v>2</v>
      </c>
      <c r="AD1076" t="str">
        <f>IF(OrdersTable[[#This Row],[Delivery Days]]&lt;=2, "Express (≤2d)", IF(OrdersTable[[#This Row],[Delivery Days]]&lt;=4, "Standard (3-4d)", "Delayed (5d+)"))</f>
        <v>Express (≤2d)</v>
      </c>
      <c r="AE1076">
        <v>4</v>
      </c>
      <c r="AF1076">
        <v>0</v>
      </c>
    </row>
    <row r="1077" spans="1:32" ht="15" x14ac:dyDescent="0.35">
      <c r="A1077" t="s">
        <v>6078</v>
      </c>
      <c r="B1077" s="1">
        <v>45510</v>
      </c>
      <c r="C1077">
        <f>YEAR(OrdersTable[[#This Row],[Order Date]])</f>
        <v>2024</v>
      </c>
      <c r="D1077" s="2">
        <f>DATE(YEAR(OrdersTable[[#This Row],[Order Date]]),MONTH(OrdersTable[[#This Row],[Order Date]]),1)</f>
        <v>45505</v>
      </c>
      <c r="E1077">
        <f>MONTH(OrdersTable[[#This Row],[Order Date]])</f>
        <v>8</v>
      </c>
      <c r="F1077" t="s">
        <v>897</v>
      </c>
      <c r="G1077" t="str">
        <f>IF(OrdersTable[[#This Row],[Order Date]]=_xlfn.MINIFS(Order_Date, Customer_ID, OrdersTable[[#This Row],[Customer ID]]), "New", "Repeat")</f>
        <v>Repeat</v>
      </c>
      <c r="H1077" t="s">
        <v>76</v>
      </c>
      <c r="I1077" t="str">
        <f>INDEX(State!B:B,MATCH(OrdersTable[[#This Row],[State]],State!A:A,0))</f>
        <v>UP</v>
      </c>
      <c r="J1077" t="str">
        <f>INDEX(State!C:C,MATCH(OrdersTable[[#This Row],[State Code]],State!B:B,0))</f>
        <v>North</v>
      </c>
      <c r="K1077" t="s">
        <v>77</v>
      </c>
      <c r="L1077" t="s">
        <v>50</v>
      </c>
      <c r="M1077" t="s">
        <v>66</v>
      </c>
      <c r="N1077" t="str">
        <f>INDEX(Products!B:B,MATCH(OrdersTable[[#This Row],[Product ID]],Products!A:A,0))</f>
        <v>Sunscreen SPF 50</v>
      </c>
      <c r="O1077" t="str">
        <f>INDEX(Products!C:C,MATCH(OrdersTable[[#This Row],[Product ID]],Products!A:A,0))</f>
        <v>Skincare</v>
      </c>
      <c r="P1077">
        <v>2</v>
      </c>
      <c r="Q1077" s="5">
        <v>449</v>
      </c>
      <c r="R1077" s="74">
        <v>0.1</v>
      </c>
      <c r="S1077" s="75">
        <f>OrdersTable[[#This Row],[Quantity]]*OrdersTable[[#This Row],[Unit Price]]</f>
        <v>898</v>
      </c>
      <c r="T1077" s="5">
        <f>OrdersTable[[#This Row],[Gross Sale]]*OrdersTable[[#This Row],[Discount_Clean2]]</f>
        <v>89.800000000000011</v>
      </c>
      <c r="U1077" s="5">
        <f>OrdersTable[[#This Row],[Gross Sale]]-OrdersTable[[#This Row],[Discount Amount]]</f>
        <v>808.2</v>
      </c>
      <c r="V1077" s="77">
        <f>INDEX(Products!E:E,MATCH(OrdersTable[[#This Row],[Product ID]],Products!A:A,0))</f>
        <v>144</v>
      </c>
      <c r="W1077" s="77">
        <f>OrdersTable[[#This Row],[Quantity]]*OrdersTable[[#This Row],[Unit Cost]]</f>
        <v>288</v>
      </c>
      <c r="X1077" s="77">
        <f>'Dropdown Lists'!$I$2*(1+OrdersTable[[#This Row],[Returned]])</f>
        <v>60</v>
      </c>
      <c r="Y1077" s="76">
        <f>OrdersTable[[#This Row],[Net Revenue]]-OrdersTable[[#This Row],[COGS]]-OrdersTable[[#This Row],[Shipping Cost]]</f>
        <v>460.20000000000005</v>
      </c>
      <c r="Z1077" s="78">
        <f>IFERROR(OrdersTable[[#This Row],[Profit]]/OrdersTable[[#This Row],[Net Revenue]],0)</f>
        <v>0.56941351150705277</v>
      </c>
      <c r="AA1077" t="s">
        <v>18</v>
      </c>
      <c r="AB1077" s="79">
        <v>45513</v>
      </c>
      <c r="AC1077">
        <f>OrdersTable[[#This Row],[Delivery Date]]-OrdersTable[[#This Row],[Order Date]]</f>
        <v>3</v>
      </c>
      <c r="AD1077" t="str">
        <f>IF(OrdersTable[[#This Row],[Delivery Days]]&lt;=2, "Express (≤2d)", IF(OrdersTable[[#This Row],[Delivery Days]]&lt;=4, "Standard (3-4d)", "Delayed (5d+)"))</f>
        <v>Standard (3-4d)</v>
      </c>
      <c r="AE1077">
        <v>4</v>
      </c>
      <c r="AF1077">
        <v>0</v>
      </c>
    </row>
    <row r="1078" spans="1:32" ht="15" x14ac:dyDescent="0.35">
      <c r="A1078" t="s">
        <v>5093</v>
      </c>
      <c r="B1078" s="1">
        <v>45510</v>
      </c>
      <c r="C1078">
        <f>YEAR(OrdersTable[[#This Row],[Order Date]])</f>
        <v>2024</v>
      </c>
      <c r="D1078" s="2">
        <f>DATE(YEAR(OrdersTable[[#This Row],[Order Date]]),MONTH(OrdersTable[[#This Row],[Order Date]]),1)</f>
        <v>45505</v>
      </c>
      <c r="E1078">
        <f>MONTH(OrdersTable[[#This Row],[Order Date]])</f>
        <v>8</v>
      </c>
      <c r="F1078" t="s">
        <v>3200</v>
      </c>
      <c r="G1078" t="str">
        <f>IF(OrdersTable[[#This Row],[Order Date]]=_xlfn.MINIFS(Order_Date, Customer_ID, OrdersTable[[#This Row],[Customer ID]]), "New", "Repeat")</f>
        <v>New</v>
      </c>
      <c r="H1078" t="s">
        <v>76</v>
      </c>
      <c r="I1078" t="str">
        <f>INDEX(State!B:B,MATCH(OrdersTable[[#This Row],[State]],State!A:A,0))</f>
        <v>UP</v>
      </c>
      <c r="J1078" t="str">
        <f>INDEX(State!C:C,MATCH(OrdersTable[[#This Row],[State Code]],State!B:B,0))</f>
        <v>North</v>
      </c>
      <c r="K1078" t="s">
        <v>77</v>
      </c>
      <c r="L1078" t="s">
        <v>65</v>
      </c>
      <c r="M1078" t="s">
        <v>125</v>
      </c>
      <c r="N1078" t="str">
        <f>INDEX(Products!B:B,MATCH(OrdersTable[[#This Row],[Product ID]],Products!A:A,0))</f>
        <v>Copper Water Bottle</v>
      </c>
      <c r="O1078" t="str">
        <f>INDEX(Products!C:C,MATCH(OrdersTable[[#This Row],[Product ID]],Products!A:A,0))</f>
        <v>Home &amp; Kitchen</v>
      </c>
      <c r="P1078">
        <v>2</v>
      </c>
      <c r="Q1078" s="5">
        <v>899</v>
      </c>
      <c r="R1078" s="74">
        <v>0.1</v>
      </c>
      <c r="S1078" s="75">
        <f>OrdersTable[[#This Row],[Quantity]]*OrdersTable[[#This Row],[Unit Price]]</f>
        <v>1798</v>
      </c>
      <c r="T1078" s="5">
        <f>OrdersTable[[#This Row],[Gross Sale]]*OrdersTable[[#This Row],[Discount_Clean2]]</f>
        <v>179.8</v>
      </c>
      <c r="U1078" s="5">
        <f>OrdersTable[[#This Row],[Gross Sale]]-OrdersTable[[#This Row],[Discount Amount]]</f>
        <v>1618.2</v>
      </c>
      <c r="V1078" s="77">
        <f>INDEX(Products!E:E,MATCH(OrdersTable[[#This Row],[Product ID]],Products!A:A,0))</f>
        <v>378</v>
      </c>
      <c r="W1078" s="77">
        <f>OrdersTable[[#This Row],[Quantity]]*OrdersTable[[#This Row],[Unit Cost]]</f>
        <v>756</v>
      </c>
      <c r="X1078" s="77">
        <f>'Dropdown Lists'!$I$2*(1+OrdersTable[[#This Row],[Returned]])</f>
        <v>60</v>
      </c>
      <c r="Y1078" s="76">
        <f>OrdersTable[[#This Row],[Net Revenue]]-OrdersTable[[#This Row],[COGS]]-OrdersTable[[#This Row],[Shipping Cost]]</f>
        <v>802.2</v>
      </c>
      <c r="Z1078" s="78">
        <f>IFERROR(OrdersTable[[#This Row],[Profit]]/OrdersTable[[#This Row],[Net Revenue]],0)</f>
        <v>0.4957360029662588</v>
      </c>
      <c r="AA1078" t="s">
        <v>3495</v>
      </c>
      <c r="AB1078" s="79">
        <v>45512</v>
      </c>
      <c r="AC1078">
        <f>OrdersTable[[#This Row],[Delivery Date]]-OrdersTable[[#This Row],[Order Date]]</f>
        <v>2</v>
      </c>
      <c r="AD1078" t="str">
        <f>IF(OrdersTable[[#This Row],[Delivery Days]]&lt;=2, "Express (≤2d)", IF(OrdersTable[[#This Row],[Delivery Days]]&lt;=4, "Standard (3-4d)", "Delayed (5d+)"))</f>
        <v>Express (≤2d)</v>
      </c>
      <c r="AF1078">
        <v>0</v>
      </c>
    </row>
    <row r="1079" spans="1:32" ht="15" x14ac:dyDescent="0.35">
      <c r="A1079" t="s">
        <v>4100</v>
      </c>
      <c r="B1079" s="1">
        <v>45510</v>
      </c>
      <c r="C1079">
        <f>YEAR(OrdersTable[[#This Row],[Order Date]])</f>
        <v>2024</v>
      </c>
      <c r="D1079" s="2">
        <f>DATE(YEAR(OrdersTable[[#This Row],[Order Date]]),MONTH(OrdersTable[[#This Row],[Order Date]]),1)</f>
        <v>45505</v>
      </c>
      <c r="E1079">
        <f>MONTH(OrdersTable[[#This Row],[Order Date]])</f>
        <v>8</v>
      </c>
      <c r="F1079" t="s">
        <v>4101</v>
      </c>
      <c r="G1079" t="str">
        <f>IF(OrdersTable[[#This Row],[Order Date]]=_xlfn.MINIFS(Order_Date, Customer_ID, OrdersTable[[#This Row],[Customer ID]]), "New", "Repeat")</f>
        <v>New</v>
      </c>
      <c r="H1079" t="s">
        <v>37</v>
      </c>
      <c r="I1079" t="str">
        <f>INDEX(State!B:B,MATCH(OrdersTable[[#This Row],[State]],State!A:A,0))</f>
        <v>GJ</v>
      </c>
      <c r="J1079" t="str">
        <f>INDEX(State!C:C,MATCH(OrdersTable[[#This Row],[State Code]],State!B:B,0))</f>
        <v>West</v>
      </c>
      <c r="K1079" t="s">
        <v>247</v>
      </c>
      <c r="L1079" t="s">
        <v>65</v>
      </c>
      <c r="M1079" t="s">
        <v>40</v>
      </c>
      <c r="N1079" t="str">
        <f>INDEX(Products!B:B,MATCH(OrdersTable[[#This Row],[Product ID]],Products!A:A,0))</f>
        <v>Ashwagandha Capsules</v>
      </c>
      <c r="O1079" t="str">
        <f>INDEX(Products!C:C,MATCH(OrdersTable[[#This Row],[Product ID]],Products!A:A,0))</f>
        <v>Wellness</v>
      </c>
      <c r="P1079">
        <v>1</v>
      </c>
      <c r="Q1079" s="5">
        <v>499</v>
      </c>
      <c r="R1079" s="74">
        <v>0.1</v>
      </c>
      <c r="S1079" s="75">
        <f>OrdersTable[[#This Row],[Quantity]]*OrdersTable[[#This Row],[Unit Price]]</f>
        <v>499</v>
      </c>
      <c r="T1079" s="5">
        <f>OrdersTable[[#This Row],[Gross Sale]]*OrdersTable[[#This Row],[Discount_Clean2]]</f>
        <v>49.900000000000006</v>
      </c>
      <c r="U1079" s="5">
        <f>OrdersTable[[#This Row],[Gross Sale]]-OrdersTable[[#This Row],[Discount Amount]]</f>
        <v>449.1</v>
      </c>
      <c r="V1079" s="77">
        <f>INDEX(Products!E:E,MATCH(OrdersTable[[#This Row],[Product ID]],Products!A:A,0))</f>
        <v>150</v>
      </c>
      <c r="W1079" s="77">
        <f>OrdersTable[[#This Row],[Quantity]]*OrdersTable[[#This Row],[Unit Cost]]</f>
        <v>150</v>
      </c>
      <c r="X1079" s="77">
        <f>'Dropdown Lists'!$I$2*(1+OrdersTable[[#This Row],[Returned]])</f>
        <v>60</v>
      </c>
      <c r="Y1079" s="76">
        <f>OrdersTable[[#This Row],[Net Revenue]]-OrdersTable[[#This Row],[COGS]]-OrdersTable[[#This Row],[Shipping Cost]]</f>
        <v>239.10000000000002</v>
      </c>
      <c r="Z1079" s="78">
        <f>IFERROR(OrdersTable[[#This Row],[Profit]]/OrdersTable[[#This Row],[Net Revenue]],0)</f>
        <v>0.53239812959251842</v>
      </c>
      <c r="AA1079" t="s">
        <v>4074</v>
      </c>
      <c r="AB1079" s="79">
        <v>45513</v>
      </c>
      <c r="AC1079">
        <f>OrdersTable[[#This Row],[Delivery Date]]-OrdersTable[[#This Row],[Order Date]]</f>
        <v>3</v>
      </c>
      <c r="AD1079" t="str">
        <f>IF(OrdersTable[[#This Row],[Delivery Days]]&lt;=2, "Express (≤2d)", IF(OrdersTable[[#This Row],[Delivery Days]]&lt;=4, "Standard (3-4d)", "Delayed (5d+)"))</f>
        <v>Standard (3-4d)</v>
      </c>
      <c r="AE1079">
        <v>3</v>
      </c>
      <c r="AF1079">
        <v>0</v>
      </c>
    </row>
    <row r="1080" spans="1:32" ht="15" x14ac:dyDescent="0.35">
      <c r="A1080" t="s">
        <v>5094</v>
      </c>
      <c r="B1080" s="1">
        <v>45510</v>
      </c>
      <c r="C1080">
        <f>YEAR(OrdersTable[[#This Row],[Order Date]])</f>
        <v>2024</v>
      </c>
      <c r="D1080" s="2">
        <f>DATE(YEAR(OrdersTable[[#This Row],[Order Date]]),MONTH(OrdersTable[[#This Row],[Order Date]]),1)</f>
        <v>45505</v>
      </c>
      <c r="E1080">
        <f>MONTH(OrdersTable[[#This Row],[Order Date]])</f>
        <v>8</v>
      </c>
      <c r="F1080" t="s">
        <v>5095</v>
      </c>
      <c r="G1080" t="str">
        <f>IF(OrdersTable[[#This Row],[Order Date]]=_xlfn.MINIFS(Order_Date, Customer_ID, OrdersTable[[#This Row],[Customer ID]]), "New", "Repeat")</f>
        <v>Repeat</v>
      </c>
      <c r="H1080" t="s">
        <v>43</v>
      </c>
      <c r="I1080" t="str">
        <f>INDEX(State!B:B,MATCH(OrdersTable[[#This Row],[State]],State!A:A,0))</f>
        <v>MP</v>
      </c>
      <c r="J1080" t="str">
        <f>INDEX(State!C:C,MATCH(OrdersTable[[#This Row],[State Code]],State!B:B,0))</f>
        <v>West</v>
      </c>
      <c r="K1080" t="s">
        <v>44</v>
      </c>
      <c r="L1080" t="s">
        <v>50</v>
      </c>
      <c r="M1080" t="s">
        <v>160</v>
      </c>
      <c r="N1080" t="str">
        <f>INDEX(Products!B:B,MATCH(OrdersTable[[#This Row],[Product ID]],Products!A:A,0))</f>
        <v>Niacinamide Toner</v>
      </c>
      <c r="O1080" t="str">
        <f>INDEX(Products!C:C,MATCH(OrdersTable[[#This Row],[Product ID]],Products!A:A,0))</f>
        <v>Skincare</v>
      </c>
      <c r="P1080">
        <v>2</v>
      </c>
      <c r="Q1080" s="5">
        <v>399</v>
      </c>
      <c r="R1080" s="74">
        <v>0.3</v>
      </c>
      <c r="S1080" s="75">
        <f>OrdersTable[[#This Row],[Quantity]]*OrdersTable[[#This Row],[Unit Price]]</f>
        <v>798</v>
      </c>
      <c r="T1080" s="5">
        <f>OrdersTable[[#This Row],[Gross Sale]]*OrdersTable[[#This Row],[Discount_Clean2]]</f>
        <v>239.39999999999998</v>
      </c>
      <c r="U1080" s="5">
        <f>OrdersTable[[#This Row],[Gross Sale]]-OrdersTable[[#This Row],[Discount Amount]]</f>
        <v>558.6</v>
      </c>
      <c r="V1080" s="77">
        <f>INDEX(Products!E:E,MATCH(OrdersTable[[#This Row],[Product ID]],Products!A:A,0))</f>
        <v>112</v>
      </c>
      <c r="W1080" s="77">
        <f>OrdersTable[[#This Row],[Quantity]]*OrdersTable[[#This Row],[Unit Cost]]</f>
        <v>224</v>
      </c>
      <c r="X1080" s="77">
        <f>'Dropdown Lists'!$I$2*(1+OrdersTable[[#This Row],[Returned]])</f>
        <v>60</v>
      </c>
      <c r="Y1080" s="76">
        <f>OrdersTable[[#This Row],[Net Revenue]]-OrdersTable[[#This Row],[COGS]]-OrdersTable[[#This Row],[Shipping Cost]]</f>
        <v>274.60000000000002</v>
      </c>
      <c r="Z1080" s="78">
        <f>IFERROR(OrdersTable[[#This Row],[Profit]]/OrdersTable[[#This Row],[Net Revenue]],0)</f>
        <v>0.49158610812746151</v>
      </c>
      <c r="AA1080" t="s">
        <v>3495</v>
      </c>
      <c r="AB1080" s="79">
        <v>45514</v>
      </c>
      <c r="AC1080">
        <f>OrdersTable[[#This Row],[Delivery Date]]-OrdersTable[[#This Row],[Order Date]]</f>
        <v>4</v>
      </c>
      <c r="AD1080" t="str">
        <f>IF(OrdersTable[[#This Row],[Delivery Days]]&lt;=2, "Express (≤2d)", IF(OrdersTable[[#This Row],[Delivery Days]]&lt;=4, "Standard (3-4d)", "Delayed (5d+)"))</f>
        <v>Standard (3-4d)</v>
      </c>
      <c r="AF1080">
        <v>0</v>
      </c>
    </row>
    <row r="1081" spans="1:32" ht="15" x14ac:dyDescent="0.35">
      <c r="A1081" t="s">
        <v>5096</v>
      </c>
      <c r="B1081" s="1">
        <v>45511</v>
      </c>
      <c r="C1081">
        <f>YEAR(OrdersTable[[#This Row],[Order Date]])</f>
        <v>2024</v>
      </c>
      <c r="D1081" s="2">
        <f>DATE(YEAR(OrdersTable[[#This Row],[Order Date]]),MONTH(OrdersTable[[#This Row],[Order Date]]),1)</f>
        <v>45505</v>
      </c>
      <c r="E1081">
        <f>MONTH(OrdersTable[[#This Row],[Order Date]])</f>
        <v>8</v>
      </c>
      <c r="F1081" t="s">
        <v>5097</v>
      </c>
      <c r="G1081" t="str">
        <f>IF(OrdersTable[[#This Row],[Order Date]]=_xlfn.MINIFS(Order_Date, Customer_ID, OrdersTable[[#This Row],[Customer ID]]), "New", "Repeat")</f>
        <v>New</v>
      </c>
      <c r="H1081" t="s">
        <v>210</v>
      </c>
      <c r="I1081" t="str">
        <f>INDEX(State!B:B,MATCH(OrdersTable[[#This Row],[State]],State!A:A,0))</f>
        <v>JK</v>
      </c>
      <c r="J1081" t="str">
        <f>INDEX(State!C:C,MATCH(OrdersTable[[#This Row],[State Code]],State!B:B,0))</f>
        <v>North</v>
      </c>
      <c r="K1081" t="s">
        <v>211</v>
      </c>
      <c r="L1081" t="s">
        <v>23</v>
      </c>
      <c r="M1081" t="s">
        <v>61</v>
      </c>
      <c r="N1081" t="str">
        <f>INDEX(Products!B:B,MATCH(OrdersTable[[#This Row],[Product ID]],Products!A:A,0))</f>
        <v>Multivitamin Gummies</v>
      </c>
      <c r="O1081" t="str">
        <f>INDEX(Products!C:C,MATCH(OrdersTable[[#This Row],[Product ID]],Products!A:A,0))</f>
        <v>Wellness</v>
      </c>
      <c r="P1081">
        <v>2</v>
      </c>
      <c r="Q1081" s="5">
        <v>699</v>
      </c>
      <c r="R1081" s="74">
        <v>0.25</v>
      </c>
      <c r="S1081" s="75">
        <f>OrdersTable[[#This Row],[Quantity]]*OrdersTable[[#This Row],[Unit Price]]</f>
        <v>1398</v>
      </c>
      <c r="T1081" s="5">
        <f>OrdersTable[[#This Row],[Gross Sale]]*OrdersTable[[#This Row],[Discount_Clean2]]</f>
        <v>349.5</v>
      </c>
      <c r="U1081" s="5">
        <f>OrdersTable[[#This Row],[Gross Sale]]-OrdersTable[[#This Row],[Discount Amount]]</f>
        <v>1048.5</v>
      </c>
      <c r="V1081" s="77">
        <f>INDEX(Products!E:E,MATCH(OrdersTable[[#This Row],[Product ID]],Products!A:A,0))</f>
        <v>238</v>
      </c>
      <c r="W1081" s="77">
        <f>OrdersTable[[#This Row],[Quantity]]*OrdersTable[[#This Row],[Unit Cost]]</f>
        <v>476</v>
      </c>
      <c r="X1081" s="77">
        <f>'Dropdown Lists'!$I$2*(1+OrdersTable[[#This Row],[Returned]])</f>
        <v>60</v>
      </c>
      <c r="Y1081" s="76">
        <f>OrdersTable[[#This Row],[Net Revenue]]-OrdersTable[[#This Row],[COGS]]-OrdersTable[[#This Row],[Shipping Cost]]</f>
        <v>512.5</v>
      </c>
      <c r="Z1081" s="78">
        <f>IFERROR(OrdersTable[[#This Row],[Profit]]/OrdersTable[[#This Row],[Net Revenue]],0)</f>
        <v>0.48879351454458753</v>
      </c>
      <c r="AA1081" t="s">
        <v>3495</v>
      </c>
      <c r="AB1081" s="79">
        <v>45517</v>
      </c>
      <c r="AC1081">
        <f>OrdersTable[[#This Row],[Delivery Date]]-OrdersTable[[#This Row],[Order Date]]</f>
        <v>6</v>
      </c>
      <c r="AD1081" t="str">
        <f>IF(OrdersTable[[#This Row],[Delivery Days]]&lt;=2, "Express (≤2d)", IF(OrdersTable[[#This Row],[Delivery Days]]&lt;=4, "Standard (3-4d)", "Delayed (5d+)"))</f>
        <v>Delayed (5d+)</v>
      </c>
      <c r="AF1081">
        <v>0</v>
      </c>
    </row>
    <row r="1082" spans="1:32" ht="15" x14ac:dyDescent="0.35">
      <c r="A1082" t="s">
        <v>2289</v>
      </c>
      <c r="B1082" s="1">
        <v>45511</v>
      </c>
      <c r="C1082">
        <f>YEAR(OrdersTable[[#This Row],[Order Date]])</f>
        <v>2024</v>
      </c>
      <c r="D1082" s="2">
        <f>DATE(YEAR(OrdersTable[[#This Row],[Order Date]]),MONTH(OrdersTable[[#This Row],[Order Date]]),1)</f>
        <v>45505</v>
      </c>
      <c r="E1082">
        <f>MONTH(OrdersTable[[#This Row],[Order Date]])</f>
        <v>8</v>
      </c>
      <c r="F1082" t="s">
        <v>2290</v>
      </c>
      <c r="G1082" t="str">
        <f>IF(OrdersTable[[#This Row],[Order Date]]=_xlfn.MINIFS(Order_Date, Customer_ID, OrdersTable[[#This Row],[Customer ID]]), "New", "Repeat")</f>
        <v>New</v>
      </c>
      <c r="H1082" t="s">
        <v>37</v>
      </c>
      <c r="I1082" t="str">
        <f>INDEX(State!B:B,MATCH(OrdersTable[[#This Row],[State]],State!A:A,0))</f>
        <v>GJ</v>
      </c>
      <c r="J1082" t="str">
        <f>INDEX(State!C:C,MATCH(OrdersTable[[#This Row],[State Code]],State!B:B,0))</f>
        <v>West</v>
      </c>
      <c r="K1082" t="s">
        <v>247</v>
      </c>
      <c r="L1082" t="s">
        <v>16</v>
      </c>
      <c r="M1082" t="s">
        <v>255</v>
      </c>
      <c r="N1082" t="str">
        <f>INDEX(Products!B:B,MATCH(OrdersTable[[#This Row],[Product ID]],Products!A:A,0))</f>
        <v>Cotton Oversized T-Shirt</v>
      </c>
      <c r="O1082" t="str">
        <f>INDEX(Products!C:C,MATCH(OrdersTable[[#This Row],[Product ID]],Products!A:A,0))</f>
        <v>Apparel</v>
      </c>
      <c r="P1082">
        <v>1</v>
      </c>
      <c r="Q1082" s="5">
        <v>799</v>
      </c>
      <c r="R1082" s="74">
        <v>0.1</v>
      </c>
      <c r="S1082" s="75">
        <f>OrdersTable[[#This Row],[Quantity]]*OrdersTable[[#This Row],[Unit Price]]</f>
        <v>799</v>
      </c>
      <c r="T1082" s="5">
        <f>OrdersTable[[#This Row],[Gross Sale]]*OrdersTable[[#This Row],[Discount_Clean2]]</f>
        <v>79.900000000000006</v>
      </c>
      <c r="U1082" s="5">
        <f>OrdersTable[[#This Row],[Gross Sale]]-OrdersTable[[#This Row],[Discount Amount]]</f>
        <v>719.1</v>
      </c>
      <c r="V1082" s="77">
        <f>INDEX(Products!E:E,MATCH(OrdersTable[[#This Row],[Product ID]],Products!A:A,0))</f>
        <v>320</v>
      </c>
      <c r="W1082" s="77">
        <f>OrdersTable[[#This Row],[Quantity]]*OrdersTable[[#This Row],[Unit Cost]]</f>
        <v>320</v>
      </c>
      <c r="X1082" s="77">
        <f>'Dropdown Lists'!$I$2*(1+OrdersTable[[#This Row],[Returned]])</f>
        <v>60</v>
      </c>
      <c r="Y1082" s="76">
        <f>OrdersTable[[#This Row],[Net Revenue]]-OrdersTable[[#This Row],[COGS]]-OrdersTable[[#This Row],[Shipping Cost]]</f>
        <v>339.1</v>
      </c>
      <c r="Z1082" s="78">
        <f>IFERROR(OrdersTable[[#This Row],[Profit]]/OrdersTable[[#This Row],[Net Revenue]],0)</f>
        <v>0.47156167431511614</v>
      </c>
      <c r="AA1082" t="s">
        <v>18</v>
      </c>
      <c r="AB1082" s="79">
        <v>45514</v>
      </c>
      <c r="AC1082">
        <f>OrdersTable[[#This Row],[Delivery Date]]-OrdersTable[[#This Row],[Order Date]]</f>
        <v>3</v>
      </c>
      <c r="AD1082" t="str">
        <f>IF(OrdersTable[[#This Row],[Delivery Days]]&lt;=2, "Express (≤2d)", IF(OrdersTable[[#This Row],[Delivery Days]]&lt;=4, "Standard (3-4d)", "Delayed (5d+)"))</f>
        <v>Standard (3-4d)</v>
      </c>
      <c r="AE1082">
        <v>5</v>
      </c>
      <c r="AF1082">
        <v>0</v>
      </c>
    </row>
    <row r="1083" spans="1:32" ht="15" x14ac:dyDescent="0.35">
      <c r="A1083" t="s">
        <v>2722</v>
      </c>
      <c r="B1083" s="1">
        <v>45511</v>
      </c>
      <c r="C1083">
        <f>YEAR(OrdersTable[[#This Row],[Order Date]])</f>
        <v>2024</v>
      </c>
      <c r="D1083" s="2">
        <f>DATE(YEAR(OrdersTable[[#This Row],[Order Date]]),MONTH(OrdersTable[[#This Row],[Order Date]]),1)</f>
        <v>45505</v>
      </c>
      <c r="E1083">
        <f>MONTH(OrdersTable[[#This Row],[Order Date]])</f>
        <v>8</v>
      </c>
      <c r="F1083" t="s">
        <v>2723</v>
      </c>
      <c r="G1083" t="str">
        <f>IF(OrdersTable[[#This Row],[Order Date]]=_xlfn.MINIFS(Order_Date, Customer_ID, OrdersTable[[#This Row],[Customer ID]]), "New", "Repeat")</f>
        <v>New</v>
      </c>
      <c r="H1083" t="s">
        <v>43</v>
      </c>
      <c r="I1083" t="str">
        <f>INDEX(State!B:B,MATCH(OrdersTable[[#This Row],[State]],State!A:A,0))</f>
        <v>MP</v>
      </c>
      <c r="J1083" t="str">
        <f>INDEX(State!C:C,MATCH(OrdersTable[[#This Row],[State Code]],State!B:B,0))</f>
        <v>West</v>
      </c>
      <c r="K1083" t="s">
        <v>250</v>
      </c>
      <c r="L1083" t="s">
        <v>50</v>
      </c>
      <c r="M1083" t="s">
        <v>45</v>
      </c>
      <c r="N1083" t="str">
        <f>INDEX(Products!B:B,MATCH(OrdersTable[[#This Row],[Product ID]],Products!A:A,0))</f>
        <v>Argan Shampoo</v>
      </c>
      <c r="O1083" t="str">
        <f>INDEX(Products!C:C,MATCH(OrdersTable[[#This Row],[Product ID]],Products!A:A,0))</f>
        <v>Haircare</v>
      </c>
      <c r="P1083">
        <v>1</v>
      </c>
      <c r="Q1083" s="5">
        <v>449</v>
      </c>
      <c r="R1083" s="74">
        <v>0</v>
      </c>
      <c r="S1083" s="75">
        <f>OrdersTable[[#This Row],[Quantity]]*OrdersTable[[#This Row],[Unit Price]]</f>
        <v>449</v>
      </c>
      <c r="T1083" s="5">
        <f>OrdersTable[[#This Row],[Gross Sale]]*OrdersTable[[#This Row],[Discount_Clean2]]</f>
        <v>0</v>
      </c>
      <c r="U1083" s="5">
        <f>OrdersTable[[#This Row],[Gross Sale]]-OrdersTable[[#This Row],[Discount Amount]]</f>
        <v>449</v>
      </c>
      <c r="V1083" s="77">
        <f>INDEX(Products!E:E,MATCH(OrdersTable[[#This Row],[Product ID]],Products!A:A,0))</f>
        <v>148</v>
      </c>
      <c r="W1083" s="77">
        <f>OrdersTable[[#This Row],[Quantity]]*OrdersTable[[#This Row],[Unit Cost]]</f>
        <v>148</v>
      </c>
      <c r="X1083" s="77">
        <f>'Dropdown Lists'!$I$2*(1+OrdersTable[[#This Row],[Returned]])</f>
        <v>60</v>
      </c>
      <c r="Y1083" s="76">
        <f>OrdersTable[[#This Row],[Net Revenue]]-OrdersTable[[#This Row],[COGS]]-OrdersTable[[#This Row],[Shipping Cost]]</f>
        <v>241</v>
      </c>
      <c r="Z1083" s="78">
        <f>IFERROR(OrdersTable[[#This Row],[Profit]]/OrdersTable[[#This Row],[Net Revenue]],0)</f>
        <v>0.53674832962138086</v>
      </c>
      <c r="AA1083" t="s">
        <v>2522</v>
      </c>
      <c r="AB1083" s="79">
        <v>45515</v>
      </c>
      <c r="AC1083">
        <f>OrdersTable[[#This Row],[Delivery Date]]-OrdersTable[[#This Row],[Order Date]]</f>
        <v>4</v>
      </c>
      <c r="AD1083" t="str">
        <f>IF(OrdersTable[[#This Row],[Delivery Days]]&lt;=2, "Express (≤2d)", IF(OrdersTable[[#This Row],[Delivery Days]]&lt;=4, "Standard (3-4d)", "Delayed (5d+)"))</f>
        <v>Standard (3-4d)</v>
      </c>
      <c r="AE1083">
        <v>3</v>
      </c>
      <c r="AF1083">
        <v>0</v>
      </c>
    </row>
    <row r="1084" spans="1:32" ht="15" x14ac:dyDescent="0.35">
      <c r="A1084" t="s">
        <v>4670</v>
      </c>
      <c r="B1084" s="1">
        <v>45511</v>
      </c>
      <c r="C1084">
        <f>YEAR(OrdersTable[[#This Row],[Order Date]])</f>
        <v>2024</v>
      </c>
      <c r="D1084" s="2">
        <f>DATE(YEAR(OrdersTable[[#This Row],[Order Date]]),MONTH(OrdersTable[[#This Row],[Order Date]]),1)</f>
        <v>45505</v>
      </c>
      <c r="E1084">
        <f>MONTH(OrdersTable[[#This Row],[Order Date]])</f>
        <v>8</v>
      </c>
      <c r="F1084" t="s">
        <v>4625</v>
      </c>
      <c r="G1084" t="str">
        <f>IF(OrdersTable[[#This Row],[Order Date]]=_xlfn.MINIFS(Order_Date, Customer_ID, OrdersTable[[#This Row],[Customer ID]]), "New", "Repeat")</f>
        <v>New</v>
      </c>
      <c r="H1084" t="s">
        <v>43</v>
      </c>
      <c r="I1084" t="str">
        <f>INDEX(State!B:B,MATCH(OrdersTable[[#This Row],[State]],State!A:A,0))</f>
        <v>MP</v>
      </c>
      <c r="J1084" t="str">
        <f>INDEX(State!C:C,MATCH(OrdersTable[[#This Row],[State Code]],State!B:B,0))</f>
        <v>West</v>
      </c>
      <c r="K1084" t="s">
        <v>250</v>
      </c>
      <c r="L1084" t="s">
        <v>23</v>
      </c>
      <c r="M1084" t="s">
        <v>17</v>
      </c>
      <c r="N1084" t="str">
        <f>INDEX(Products!B:B,MATCH(OrdersTable[[#This Row],[Product ID]],Products!A:A,0))</f>
        <v>Casual Sneakers</v>
      </c>
      <c r="O1084" t="str">
        <f>INDEX(Products!C:C,MATCH(OrdersTable[[#This Row],[Product ID]],Products!A:A,0))</f>
        <v>Footwear</v>
      </c>
      <c r="P1084">
        <v>1</v>
      </c>
      <c r="Q1084" s="5">
        <v>2199</v>
      </c>
      <c r="R1084" s="74">
        <v>0.2</v>
      </c>
      <c r="S1084" s="75">
        <f>OrdersTable[[#This Row],[Quantity]]*OrdersTable[[#This Row],[Unit Price]]</f>
        <v>2199</v>
      </c>
      <c r="T1084" s="5">
        <f>OrdersTable[[#This Row],[Gross Sale]]*OrdersTable[[#This Row],[Discount_Clean2]]</f>
        <v>439.8</v>
      </c>
      <c r="U1084" s="5">
        <f>OrdersTable[[#This Row],[Gross Sale]]-OrdersTable[[#This Row],[Discount Amount]]</f>
        <v>1759.2</v>
      </c>
      <c r="V1084" s="77">
        <f>INDEX(Products!E:E,MATCH(OrdersTable[[#This Row],[Product ID]],Products!A:A,0))</f>
        <v>1034</v>
      </c>
      <c r="W1084" s="77">
        <f>OrdersTable[[#This Row],[Quantity]]*OrdersTable[[#This Row],[Unit Cost]]</f>
        <v>1034</v>
      </c>
      <c r="X1084" s="77">
        <f>'Dropdown Lists'!$I$2*(1+OrdersTable[[#This Row],[Returned]])</f>
        <v>60</v>
      </c>
      <c r="Y1084" s="76">
        <f>OrdersTable[[#This Row],[Net Revenue]]-OrdersTable[[#This Row],[COGS]]-OrdersTable[[#This Row],[Shipping Cost]]</f>
        <v>665.2</v>
      </c>
      <c r="Z1084" s="78">
        <f>IFERROR(OrdersTable[[#This Row],[Profit]]/OrdersTable[[#This Row],[Net Revenue]],0)</f>
        <v>0.37812642110050027</v>
      </c>
      <c r="AA1084" t="s">
        <v>4450</v>
      </c>
      <c r="AB1084" s="79">
        <v>45512</v>
      </c>
      <c r="AC1084">
        <f>OrdersTable[[#This Row],[Delivery Date]]-OrdersTable[[#This Row],[Order Date]]</f>
        <v>1</v>
      </c>
      <c r="AD1084" t="str">
        <f>IF(OrdersTable[[#This Row],[Delivery Days]]&lt;=2, "Express (≤2d)", IF(OrdersTable[[#This Row],[Delivery Days]]&lt;=4, "Standard (3-4d)", "Delayed (5d+)"))</f>
        <v>Express (≤2d)</v>
      </c>
      <c r="AE1084">
        <v>5</v>
      </c>
      <c r="AF1084">
        <v>0</v>
      </c>
    </row>
    <row r="1085" spans="1:32" ht="15" x14ac:dyDescent="0.35">
      <c r="A1085" t="s">
        <v>2291</v>
      </c>
      <c r="B1085" s="1">
        <v>45511</v>
      </c>
      <c r="C1085">
        <f>YEAR(OrdersTable[[#This Row],[Order Date]])</f>
        <v>2024</v>
      </c>
      <c r="D1085" s="2">
        <f>DATE(YEAR(OrdersTable[[#This Row],[Order Date]]),MONTH(OrdersTable[[#This Row],[Order Date]]),1)</f>
        <v>45505</v>
      </c>
      <c r="E1085">
        <f>MONTH(OrdersTable[[#This Row],[Order Date]])</f>
        <v>8</v>
      </c>
      <c r="F1085" t="s">
        <v>2292</v>
      </c>
      <c r="G1085" t="str">
        <f>IF(OrdersTable[[#This Row],[Order Date]]=_xlfn.MINIFS(Order_Date, Customer_ID, OrdersTable[[#This Row],[Customer ID]]), "New", "Repeat")</f>
        <v>New</v>
      </c>
      <c r="H1085" t="s">
        <v>71</v>
      </c>
      <c r="I1085" t="str">
        <f>INDEX(State!B:B,MATCH(OrdersTable[[#This Row],[State]],State!A:A,0))</f>
        <v>MH</v>
      </c>
      <c r="J1085" t="str">
        <f>INDEX(State!C:C,MATCH(OrdersTable[[#This Row],[State Code]],State!B:B,0))</f>
        <v>West</v>
      </c>
      <c r="K1085" t="s">
        <v>81</v>
      </c>
      <c r="L1085" t="s">
        <v>50</v>
      </c>
      <c r="M1085" t="s">
        <v>109</v>
      </c>
      <c r="N1085" t="str">
        <f>INDEX(Products!B:B,MATCH(OrdersTable[[#This Row],[Product ID]],Products!A:A,0))</f>
        <v>Onion Hair Oil</v>
      </c>
      <c r="O1085" t="str">
        <f>INDEX(Products!C:C,MATCH(OrdersTable[[#This Row],[Product ID]],Products!A:A,0))</f>
        <v>Haircare</v>
      </c>
      <c r="P1085">
        <v>1</v>
      </c>
      <c r="Q1085" s="5">
        <v>349</v>
      </c>
      <c r="R1085" s="74">
        <v>0.3</v>
      </c>
      <c r="S1085" s="75">
        <f>OrdersTable[[#This Row],[Quantity]]*OrdersTable[[#This Row],[Unit Price]]</f>
        <v>349</v>
      </c>
      <c r="T1085" s="5">
        <f>OrdersTable[[#This Row],[Gross Sale]]*OrdersTable[[#This Row],[Discount_Clean2]]</f>
        <v>104.7</v>
      </c>
      <c r="U1085" s="5">
        <f>OrdersTable[[#This Row],[Gross Sale]]-OrdersTable[[#This Row],[Discount Amount]]</f>
        <v>244.3</v>
      </c>
      <c r="V1085" s="77">
        <f>INDEX(Products!E:E,MATCH(OrdersTable[[#This Row],[Product ID]],Products!A:A,0))</f>
        <v>105</v>
      </c>
      <c r="W1085" s="77">
        <f>OrdersTable[[#This Row],[Quantity]]*OrdersTable[[#This Row],[Unit Cost]]</f>
        <v>105</v>
      </c>
      <c r="X1085" s="77">
        <f>'Dropdown Lists'!$I$2*(1+OrdersTable[[#This Row],[Returned]])</f>
        <v>60</v>
      </c>
      <c r="Y1085" s="76">
        <f>OrdersTable[[#This Row],[Net Revenue]]-OrdersTable[[#This Row],[COGS]]-OrdersTable[[#This Row],[Shipping Cost]]</f>
        <v>79.300000000000011</v>
      </c>
      <c r="Z1085" s="78">
        <f>IFERROR(OrdersTable[[#This Row],[Profit]]/OrdersTable[[#This Row],[Net Revenue]],0)</f>
        <v>0.32460090053213264</v>
      </c>
      <c r="AA1085" t="s">
        <v>18</v>
      </c>
      <c r="AB1085" s="79">
        <v>45513</v>
      </c>
      <c r="AC1085">
        <f>OrdersTable[[#This Row],[Delivery Date]]-OrdersTable[[#This Row],[Order Date]]</f>
        <v>2</v>
      </c>
      <c r="AD1085" t="str">
        <f>IF(OrdersTable[[#This Row],[Delivery Days]]&lt;=2, "Express (≤2d)", IF(OrdersTable[[#This Row],[Delivery Days]]&lt;=4, "Standard (3-4d)", "Delayed (5d+)"))</f>
        <v>Express (≤2d)</v>
      </c>
      <c r="AE1085">
        <v>5</v>
      </c>
      <c r="AF1085">
        <v>0</v>
      </c>
    </row>
    <row r="1086" spans="1:32" ht="15" x14ac:dyDescent="0.35">
      <c r="A1086" t="s">
        <v>7063</v>
      </c>
      <c r="B1086" s="1">
        <v>45511</v>
      </c>
      <c r="C1086">
        <f>YEAR(OrdersTable[[#This Row],[Order Date]])</f>
        <v>2024</v>
      </c>
      <c r="D1086" s="2">
        <f>DATE(YEAR(OrdersTable[[#This Row],[Order Date]]),MONTH(OrdersTable[[#This Row],[Order Date]]),1)</f>
        <v>45505</v>
      </c>
      <c r="E1086">
        <f>MONTH(OrdersTable[[#This Row],[Order Date]])</f>
        <v>8</v>
      </c>
      <c r="F1086" t="s">
        <v>5148</v>
      </c>
      <c r="G1086" t="str">
        <f>IF(OrdersTable[[#This Row],[Order Date]]=_xlfn.MINIFS(Order_Date, Customer_ID, OrdersTable[[#This Row],[Customer ID]]), "New", "Repeat")</f>
        <v>New</v>
      </c>
      <c r="H1086" t="s">
        <v>95</v>
      </c>
      <c r="I1086" t="str">
        <f>INDEX(State!B:B,MATCH(OrdersTable[[#This Row],[State]],State!A:A,0))</f>
        <v>TG</v>
      </c>
      <c r="J1086" t="str">
        <f>INDEX(State!C:C,MATCH(OrdersTable[[#This Row],[State Code]],State!B:B,0))</f>
        <v>South</v>
      </c>
      <c r="K1086" t="s">
        <v>96</v>
      </c>
      <c r="L1086" t="s">
        <v>23</v>
      </c>
      <c r="M1086" t="s">
        <v>205</v>
      </c>
      <c r="N1086" t="str">
        <f>INDEX(Products!B:B,MATCH(OrdersTable[[#This Row],[Product ID]],Products!A:A,0))</f>
        <v>Running Shoes</v>
      </c>
      <c r="O1086" t="str">
        <f>INDEX(Products!C:C,MATCH(OrdersTable[[#This Row],[Product ID]],Products!A:A,0))</f>
        <v>Footwear</v>
      </c>
      <c r="P1086">
        <v>4</v>
      </c>
      <c r="Q1086" s="5">
        <v>2999</v>
      </c>
      <c r="R1086" s="74">
        <v>0.3</v>
      </c>
      <c r="S1086" s="75">
        <f>OrdersTable[[#This Row],[Quantity]]*OrdersTable[[#This Row],[Unit Price]]</f>
        <v>11996</v>
      </c>
      <c r="T1086" s="5">
        <f>OrdersTable[[#This Row],[Gross Sale]]*OrdersTable[[#This Row],[Discount_Clean2]]</f>
        <v>3598.7999999999997</v>
      </c>
      <c r="U1086" s="5">
        <f>OrdersTable[[#This Row],[Gross Sale]]-OrdersTable[[#This Row],[Discount Amount]]</f>
        <v>8397.2000000000007</v>
      </c>
      <c r="V1086" s="77">
        <f>INDEX(Products!E:E,MATCH(OrdersTable[[#This Row],[Product ID]],Products!A:A,0))</f>
        <v>1440</v>
      </c>
      <c r="W1086" s="77">
        <f>OrdersTable[[#This Row],[Quantity]]*OrdersTable[[#This Row],[Unit Cost]]</f>
        <v>5760</v>
      </c>
      <c r="X1086" s="77">
        <f>'Dropdown Lists'!$I$2*(1+OrdersTable[[#This Row],[Returned]])</f>
        <v>60</v>
      </c>
      <c r="Y1086" s="76">
        <f>OrdersTable[[#This Row],[Net Revenue]]-OrdersTable[[#This Row],[COGS]]-OrdersTable[[#This Row],[Shipping Cost]]</f>
        <v>2577.2000000000007</v>
      </c>
      <c r="Z1086" s="78">
        <f>IFERROR(OrdersTable[[#This Row],[Profit]]/OrdersTable[[#This Row],[Net Revenue]],0)</f>
        <v>0.3069118277521079</v>
      </c>
      <c r="AA1086" t="s">
        <v>18</v>
      </c>
      <c r="AB1086" s="79">
        <v>45513</v>
      </c>
      <c r="AC1086">
        <f>OrdersTable[[#This Row],[Delivery Date]]-OrdersTable[[#This Row],[Order Date]]</f>
        <v>2</v>
      </c>
      <c r="AD1086" t="str">
        <f>IF(OrdersTable[[#This Row],[Delivery Days]]&lt;=2, "Express (≤2d)", IF(OrdersTable[[#This Row],[Delivery Days]]&lt;=4, "Standard (3-4d)", "Delayed (5d+)"))</f>
        <v>Express (≤2d)</v>
      </c>
      <c r="AE1086">
        <v>4</v>
      </c>
      <c r="AF1086">
        <v>0</v>
      </c>
    </row>
    <row r="1087" spans="1:32" ht="15" x14ac:dyDescent="0.35">
      <c r="A1087" t="s">
        <v>2293</v>
      </c>
      <c r="B1087" s="1">
        <v>45511</v>
      </c>
      <c r="C1087">
        <f>YEAR(OrdersTable[[#This Row],[Order Date]])</f>
        <v>2024</v>
      </c>
      <c r="D1087" s="2">
        <f>DATE(YEAR(OrdersTable[[#This Row],[Order Date]]),MONTH(OrdersTable[[#This Row],[Order Date]]),1)</f>
        <v>45505</v>
      </c>
      <c r="E1087">
        <f>MONTH(OrdersTable[[#This Row],[Order Date]])</f>
        <v>8</v>
      </c>
      <c r="F1087" t="s">
        <v>2294</v>
      </c>
      <c r="G1087" t="str">
        <f>IF(OrdersTable[[#This Row],[Order Date]]=_xlfn.MINIFS(Order_Date, Customer_ID, OrdersTable[[#This Row],[Customer ID]]), "New", "Repeat")</f>
        <v>New</v>
      </c>
      <c r="H1087" t="s">
        <v>95</v>
      </c>
      <c r="I1087" t="str">
        <f>INDEX(State!B:B,MATCH(OrdersTable[[#This Row],[State]],State!A:A,0))</f>
        <v>TG</v>
      </c>
      <c r="J1087" t="str">
        <f>INDEX(State!C:C,MATCH(OrdersTable[[#This Row],[State Code]],State!B:B,0))</f>
        <v>South</v>
      </c>
      <c r="K1087" t="s">
        <v>96</v>
      </c>
      <c r="L1087" t="s">
        <v>39</v>
      </c>
      <c r="M1087" t="s">
        <v>56</v>
      </c>
      <c r="N1087" t="str">
        <f>INDEX(Products!B:B,MATCH(OrdersTable[[#This Row],[Product ID]],Products!A:A,0))</f>
        <v>Vitamin C Face Serum</v>
      </c>
      <c r="O1087" t="str">
        <f>INDEX(Products!C:C,MATCH(OrdersTable[[#This Row],[Product ID]],Products!A:A,0))</f>
        <v>Skincare</v>
      </c>
      <c r="P1087">
        <v>1</v>
      </c>
      <c r="Q1087" s="5">
        <v>599</v>
      </c>
      <c r="R1087" s="74">
        <v>0.1</v>
      </c>
      <c r="S1087" s="75">
        <f>OrdersTable[[#This Row],[Quantity]]*OrdersTable[[#This Row],[Unit Price]]</f>
        <v>599</v>
      </c>
      <c r="T1087" s="5">
        <f>OrdersTable[[#This Row],[Gross Sale]]*OrdersTable[[#This Row],[Discount_Clean2]]</f>
        <v>59.900000000000006</v>
      </c>
      <c r="U1087" s="5">
        <f>OrdersTable[[#This Row],[Gross Sale]]-OrdersTable[[#This Row],[Discount Amount]]</f>
        <v>539.1</v>
      </c>
      <c r="V1087" s="77">
        <f>INDEX(Products!E:E,MATCH(OrdersTable[[#This Row],[Product ID]],Products!A:A,0))</f>
        <v>180</v>
      </c>
      <c r="W1087" s="77">
        <f>OrdersTable[[#This Row],[Quantity]]*OrdersTable[[#This Row],[Unit Cost]]</f>
        <v>180</v>
      </c>
      <c r="X1087" s="77">
        <f>'Dropdown Lists'!$I$2*(1+OrdersTable[[#This Row],[Returned]])</f>
        <v>60</v>
      </c>
      <c r="Y1087" s="76">
        <f>OrdersTable[[#This Row],[Net Revenue]]-OrdersTable[[#This Row],[COGS]]-OrdersTable[[#This Row],[Shipping Cost]]</f>
        <v>299.10000000000002</v>
      </c>
      <c r="Z1087" s="78">
        <f>IFERROR(OrdersTable[[#This Row],[Profit]]/OrdersTable[[#This Row],[Net Revenue]],0)</f>
        <v>0.5548135781858653</v>
      </c>
      <c r="AA1087" t="s">
        <v>18</v>
      </c>
      <c r="AB1087" s="79">
        <v>45515</v>
      </c>
      <c r="AC1087">
        <f>OrdersTable[[#This Row],[Delivery Date]]-OrdersTable[[#This Row],[Order Date]]</f>
        <v>4</v>
      </c>
      <c r="AD1087" t="str">
        <f>IF(OrdersTable[[#This Row],[Delivery Days]]&lt;=2, "Express (≤2d)", IF(OrdersTable[[#This Row],[Delivery Days]]&lt;=4, "Standard (3-4d)", "Delayed (5d+)"))</f>
        <v>Standard (3-4d)</v>
      </c>
      <c r="AE1087">
        <v>5</v>
      </c>
      <c r="AF1087">
        <v>0</v>
      </c>
    </row>
    <row r="1088" spans="1:32" ht="15" x14ac:dyDescent="0.35">
      <c r="A1088" t="s">
        <v>6079</v>
      </c>
      <c r="B1088" s="1">
        <v>45512</v>
      </c>
      <c r="C1088">
        <f>YEAR(OrdersTable[[#This Row],[Order Date]])</f>
        <v>2024</v>
      </c>
      <c r="D1088" s="2">
        <f>DATE(YEAR(OrdersTable[[#This Row],[Order Date]]),MONTH(OrdersTable[[#This Row],[Order Date]]),1)</f>
        <v>45505</v>
      </c>
      <c r="E1088">
        <f>MONTH(OrdersTable[[#This Row],[Order Date]])</f>
        <v>8</v>
      </c>
      <c r="F1088" t="s">
        <v>6080</v>
      </c>
      <c r="G1088" t="str">
        <f>IF(OrdersTable[[#This Row],[Order Date]]=_xlfn.MINIFS(Order_Date, Customer_ID, OrdersTable[[#This Row],[Customer ID]]), "New", "Repeat")</f>
        <v>New</v>
      </c>
      <c r="H1088" t="s">
        <v>128</v>
      </c>
      <c r="I1088" t="str">
        <f>INDEX(State!B:B,MATCH(OrdersTable[[#This Row],[State]],State!A:A,0))</f>
        <v>DL</v>
      </c>
      <c r="J1088" t="str">
        <f>INDEX(State!C:C,MATCH(OrdersTable[[#This Row],[State Code]],State!B:B,0))</f>
        <v>North</v>
      </c>
      <c r="K1088" t="s">
        <v>129</v>
      </c>
      <c r="L1088" t="s">
        <v>16</v>
      </c>
      <c r="M1088" t="s">
        <v>92</v>
      </c>
      <c r="N1088" t="str">
        <f>INDEX(Products!B:B,MATCH(OrdersTable[[#This Row],[Product ID]],Products!A:A,0))</f>
        <v>Kolhapuri Sandals</v>
      </c>
      <c r="O1088" t="str">
        <f>INDEX(Products!C:C,MATCH(OrdersTable[[#This Row],[Product ID]],Products!A:A,0))</f>
        <v>Footwear</v>
      </c>
      <c r="P1088">
        <v>2</v>
      </c>
      <c r="Q1088" s="5">
        <v>999</v>
      </c>
      <c r="R1088" s="74">
        <v>0.05</v>
      </c>
      <c r="S1088" s="75">
        <f>OrdersTable[[#This Row],[Quantity]]*OrdersTable[[#This Row],[Unit Price]]</f>
        <v>1998</v>
      </c>
      <c r="T1088" s="5">
        <f>OrdersTable[[#This Row],[Gross Sale]]*OrdersTable[[#This Row],[Discount_Clean2]]</f>
        <v>99.9</v>
      </c>
      <c r="U1088" s="5">
        <f>OrdersTable[[#This Row],[Gross Sale]]-OrdersTable[[#This Row],[Discount Amount]]</f>
        <v>1898.1</v>
      </c>
      <c r="V1088" s="77">
        <f>INDEX(Products!E:E,MATCH(OrdersTable[[#This Row],[Product ID]],Products!A:A,0))</f>
        <v>400</v>
      </c>
      <c r="W1088" s="77">
        <f>OrdersTable[[#This Row],[Quantity]]*OrdersTable[[#This Row],[Unit Cost]]</f>
        <v>800</v>
      </c>
      <c r="X1088" s="77">
        <f>'Dropdown Lists'!$I$2*(1+OrdersTable[[#This Row],[Returned]])</f>
        <v>60</v>
      </c>
      <c r="Y1088" s="76">
        <f>OrdersTable[[#This Row],[Net Revenue]]-OrdersTable[[#This Row],[COGS]]-OrdersTable[[#This Row],[Shipping Cost]]</f>
        <v>1038.0999999999999</v>
      </c>
      <c r="Z1088" s="78">
        <f>IFERROR(OrdersTable[[#This Row],[Profit]]/OrdersTable[[#This Row],[Net Revenue]],0)</f>
        <v>0.54691533638902057</v>
      </c>
      <c r="AA1088" t="s">
        <v>18</v>
      </c>
      <c r="AB1088" s="79">
        <v>45514</v>
      </c>
      <c r="AC1088">
        <f>OrdersTable[[#This Row],[Delivery Date]]-OrdersTable[[#This Row],[Order Date]]</f>
        <v>2</v>
      </c>
      <c r="AD1088" t="str">
        <f>IF(OrdersTable[[#This Row],[Delivery Days]]&lt;=2, "Express (≤2d)", IF(OrdersTable[[#This Row],[Delivery Days]]&lt;=4, "Standard (3-4d)", "Delayed (5d+)"))</f>
        <v>Express (≤2d)</v>
      </c>
      <c r="AE1088">
        <v>4</v>
      </c>
      <c r="AF1088">
        <v>0</v>
      </c>
    </row>
    <row r="1089" spans="1:32" ht="15" x14ac:dyDescent="0.35">
      <c r="A1089" t="s">
        <v>5669</v>
      </c>
      <c r="B1089" s="1">
        <v>45512</v>
      </c>
      <c r="C1089">
        <f>YEAR(OrdersTable[[#This Row],[Order Date]])</f>
        <v>2024</v>
      </c>
      <c r="D1089" s="2">
        <f>DATE(YEAR(OrdersTable[[#This Row],[Order Date]]),MONTH(OrdersTable[[#This Row],[Order Date]]),1)</f>
        <v>45505</v>
      </c>
      <c r="E1089">
        <f>MONTH(OrdersTable[[#This Row],[Order Date]])</f>
        <v>8</v>
      </c>
      <c r="F1089" t="s">
        <v>5099</v>
      </c>
      <c r="G1089" t="str">
        <f>IF(OrdersTable[[#This Row],[Order Date]]=_xlfn.MINIFS(Order_Date, Customer_ID, OrdersTable[[#This Row],[Customer ID]]), "New", "Repeat")</f>
        <v>Repeat</v>
      </c>
      <c r="H1089" t="s">
        <v>43</v>
      </c>
      <c r="I1089" t="str">
        <f>INDEX(State!B:B,MATCH(OrdersTable[[#This Row],[State]],State!A:A,0))</f>
        <v>MP</v>
      </c>
      <c r="J1089" t="str">
        <f>INDEX(State!C:C,MATCH(OrdersTable[[#This Row],[State Code]],State!B:B,0))</f>
        <v>West</v>
      </c>
      <c r="K1089" t="s">
        <v>44</v>
      </c>
      <c r="L1089" t="s">
        <v>39</v>
      </c>
      <c r="M1089" t="s">
        <v>66</v>
      </c>
      <c r="N1089" t="str">
        <f>INDEX(Products!B:B,MATCH(OrdersTable[[#This Row],[Product ID]],Products!A:A,0))</f>
        <v>Sunscreen SPF 50</v>
      </c>
      <c r="O1089" t="str">
        <f>INDEX(Products!C:C,MATCH(OrdersTable[[#This Row],[Product ID]],Products!A:A,0))</f>
        <v>Skincare</v>
      </c>
      <c r="P1089">
        <v>2</v>
      </c>
      <c r="Q1089" s="5">
        <v>449</v>
      </c>
      <c r="R1089" s="74">
        <v>0.1</v>
      </c>
      <c r="S1089" s="75">
        <f>OrdersTable[[#This Row],[Quantity]]*OrdersTable[[#This Row],[Unit Price]]</f>
        <v>898</v>
      </c>
      <c r="T1089" s="5">
        <f>OrdersTable[[#This Row],[Gross Sale]]*OrdersTable[[#This Row],[Discount_Clean2]]</f>
        <v>89.800000000000011</v>
      </c>
      <c r="U1089" s="5">
        <f>OrdersTable[[#This Row],[Gross Sale]]-OrdersTable[[#This Row],[Discount Amount]]</f>
        <v>808.2</v>
      </c>
      <c r="V1089" s="77">
        <f>INDEX(Products!E:E,MATCH(OrdersTable[[#This Row],[Product ID]],Products!A:A,0))</f>
        <v>144</v>
      </c>
      <c r="W1089" s="77">
        <f>OrdersTable[[#This Row],[Quantity]]*OrdersTable[[#This Row],[Unit Cost]]</f>
        <v>288</v>
      </c>
      <c r="X1089" s="77">
        <f>'Dropdown Lists'!$I$2*(1+OrdersTable[[#This Row],[Returned]])</f>
        <v>60</v>
      </c>
      <c r="Y1089" s="76">
        <f>OrdersTable[[#This Row],[Net Revenue]]-OrdersTable[[#This Row],[COGS]]-OrdersTable[[#This Row],[Shipping Cost]]</f>
        <v>460.20000000000005</v>
      </c>
      <c r="Z1089" s="78">
        <f>IFERROR(OrdersTable[[#This Row],[Profit]]/OrdersTable[[#This Row],[Net Revenue]],0)</f>
        <v>0.56941351150705277</v>
      </c>
      <c r="AA1089" t="s">
        <v>18</v>
      </c>
      <c r="AB1089" s="79">
        <v>45516</v>
      </c>
      <c r="AC1089">
        <f>OrdersTable[[#This Row],[Delivery Date]]-OrdersTable[[#This Row],[Order Date]]</f>
        <v>4</v>
      </c>
      <c r="AD1089" t="str">
        <f>IF(OrdersTable[[#This Row],[Delivery Days]]&lt;=2, "Express (≤2d)", IF(OrdersTable[[#This Row],[Delivery Days]]&lt;=4, "Standard (3-4d)", "Delayed (5d+)"))</f>
        <v>Standard (3-4d)</v>
      </c>
      <c r="AE1089">
        <v>3</v>
      </c>
      <c r="AF1089">
        <v>0</v>
      </c>
    </row>
    <row r="1090" spans="1:32" ht="15" x14ac:dyDescent="0.35">
      <c r="A1090" t="s">
        <v>5483</v>
      </c>
      <c r="B1090" s="1">
        <v>45512</v>
      </c>
      <c r="C1090">
        <f>YEAR(OrdersTable[[#This Row],[Order Date]])</f>
        <v>2024</v>
      </c>
      <c r="D1090" s="2">
        <f>DATE(YEAR(OrdersTable[[#This Row],[Order Date]]),MONTH(OrdersTable[[#This Row],[Order Date]]),1)</f>
        <v>45505</v>
      </c>
      <c r="E1090">
        <f>MONTH(OrdersTable[[#This Row],[Order Date]])</f>
        <v>8</v>
      </c>
      <c r="F1090" t="s">
        <v>5484</v>
      </c>
      <c r="G1090" t="str">
        <f>IF(OrdersTable[[#This Row],[Order Date]]=_xlfn.MINIFS(Order_Date, Customer_ID, OrdersTable[[#This Row],[Customer ID]]), "New", "Repeat")</f>
        <v>New</v>
      </c>
      <c r="H1090" t="s">
        <v>43</v>
      </c>
      <c r="I1090" t="str">
        <f>INDEX(State!B:B,MATCH(OrdersTable[[#This Row],[State]],State!A:A,0))</f>
        <v>MP</v>
      </c>
      <c r="J1090" t="str">
        <f>INDEX(State!C:C,MATCH(OrdersTable[[#This Row],[State Code]],State!B:B,0))</f>
        <v>West</v>
      </c>
      <c r="K1090" t="s">
        <v>250</v>
      </c>
      <c r="L1090" t="s">
        <v>39</v>
      </c>
      <c r="M1090" t="s">
        <v>106</v>
      </c>
      <c r="N1090" t="str">
        <f>INDEX(Products!B:B,MATCH(OrdersTable[[#This Row],[Product ID]],Products!A:A,0))</f>
        <v>Keratin Hair Mask</v>
      </c>
      <c r="O1090" t="str">
        <f>INDEX(Products!C:C,MATCH(OrdersTable[[#This Row],[Product ID]],Products!A:A,0))</f>
        <v>Haircare</v>
      </c>
      <c r="P1090">
        <v>2</v>
      </c>
      <c r="Q1090" s="5">
        <v>549</v>
      </c>
      <c r="R1090" s="74">
        <v>0.15</v>
      </c>
      <c r="S1090" s="75">
        <f>OrdersTable[[#This Row],[Quantity]]*OrdersTable[[#This Row],[Unit Price]]</f>
        <v>1098</v>
      </c>
      <c r="T1090" s="5">
        <f>OrdersTable[[#This Row],[Gross Sale]]*OrdersTable[[#This Row],[Discount_Clean2]]</f>
        <v>164.7</v>
      </c>
      <c r="U1090" s="5">
        <f>OrdersTable[[#This Row],[Gross Sale]]-OrdersTable[[#This Row],[Discount Amount]]</f>
        <v>933.3</v>
      </c>
      <c r="V1090" s="77">
        <f>INDEX(Products!E:E,MATCH(OrdersTable[[#This Row],[Product ID]],Products!A:A,0))</f>
        <v>170</v>
      </c>
      <c r="W1090" s="77">
        <f>OrdersTable[[#This Row],[Quantity]]*OrdersTable[[#This Row],[Unit Cost]]</f>
        <v>340</v>
      </c>
      <c r="X1090" s="77">
        <f>'Dropdown Lists'!$I$2*(1+OrdersTable[[#This Row],[Returned]])</f>
        <v>60</v>
      </c>
      <c r="Y1090" s="76">
        <f>OrdersTable[[#This Row],[Net Revenue]]-OrdersTable[[#This Row],[COGS]]-OrdersTable[[#This Row],[Shipping Cost]]</f>
        <v>533.29999999999995</v>
      </c>
      <c r="Z1090" s="78">
        <f>IFERROR(OrdersTable[[#This Row],[Profit]]/OrdersTable[[#This Row],[Net Revenue]],0)</f>
        <v>0.57141326475945564</v>
      </c>
      <c r="AA1090" t="s">
        <v>2522</v>
      </c>
      <c r="AB1090" s="79">
        <v>45515</v>
      </c>
      <c r="AC1090">
        <f>OrdersTable[[#This Row],[Delivery Date]]-OrdersTable[[#This Row],[Order Date]]</f>
        <v>3</v>
      </c>
      <c r="AD1090" t="str">
        <f>IF(OrdersTable[[#This Row],[Delivery Days]]&lt;=2, "Express (≤2d)", IF(OrdersTable[[#This Row],[Delivery Days]]&lt;=4, "Standard (3-4d)", "Delayed (5d+)"))</f>
        <v>Standard (3-4d)</v>
      </c>
      <c r="AE1090">
        <v>4</v>
      </c>
      <c r="AF1090">
        <v>0</v>
      </c>
    </row>
    <row r="1091" spans="1:32" ht="15" x14ac:dyDescent="0.35">
      <c r="A1091" t="s">
        <v>2295</v>
      </c>
      <c r="B1091" s="1">
        <v>45512</v>
      </c>
      <c r="C1091">
        <f>YEAR(OrdersTable[[#This Row],[Order Date]])</f>
        <v>2024</v>
      </c>
      <c r="D1091" s="2">
        <f>DATE(YEAR(OrdersTable[[#This Row],[Order Date]]),MONTH(OrdersTable[[#This Row],[Order Date]]),1)</f>
        <v>45505</v>
      </c>
      <c r="E1091">
        <f>MONTH(OrdersTable[[#This Row],[Order Date]])</f>
        <v>8</v>
      </c>
      <c r="F1091" t="s">
        <v>2296</v>
      </c>
      <c r="G1091" t="str">
        <f>IF(OrdersTable[[#This Row],[Order Date]]=_xlfn.MINIFS(Order_Date, Customer_ID, OrdersTable[[#This Row],[Customer ID]]), "New", "Repeat")</f>
        <v>New</v>
      </c>
      <c r="H1091" t="s">
        <v>95</v>
      </c>
      <c r="I1091" t="str">
        <f>INDEX(State!B:B,MATCH(OrdersTable[[#This Row],[State]],State!A:A,0))</f>
        <v>TG</v>
      </c>
      <c r="J1091" t="str">
        <f>INDEX(State!C:C,MATCH(OrdersTable[[#This Row],[State Code]],State!B:B,0))</f>
        <v>South</v>
      </c>
      <c r="K1091" t="s">
        <v>96</v>
      </c>
      <c r="L1091" t="s">
        <v>23</v>
      </c>
      <c r="M1091" t="s">
        <v>109</v>
      </c>
      <c r="N1091" t="str">
        <f>INDEX(Products!B:B,MATCH(OrdersTable[[#This Row],[Product ID]],Products!A:A,0))</f>
        <v>Onion Hair Oil</v>
      </c>
      <c r="O1091" t="str">
        <f>INDEX(Products!C:C,MATCH(OrdersTable[[#This Row],[Product ID]],Products!A:A,0))</f>
        <v>Haircare</v>
      </c>
      <c r="P1091">
        <v>1</v>
      </c>
      <c r="Q1091" s="5">
        <v>349</v>
      </c>
      <c r="R1091" s="74">
        <v>0.25</v>
      </c>
      <c r="S1091" s="75">
        <f>OrdersTable[[#This Row],[Quantity]]*OrdersTable[[#This Row],[Unit Price]]</f>
        <v>349</v>
      </c>
      <c r="T1091" s="5">
        <f>OrdersTable[[#This Row],[Gross Sale]]*OrdersTable[[#This Row],[Discount_Clean2]]</f>
        <v>87.25</v>
      </c>
      <c r="U1091" s="5">
        <f>OrdersTable[[#This Row],[Gross Sale]]-OrdersTable[[#This Row],[Discount Amount]]</f>
        <v>261.75</v>
      </c>
      <c r="V1091" s="77">
        <f>INDEX(Products!E:E,MATCH(OrdersTable[[#This Row],[Product ID]],Products!A:A,0))</f>
        <v>105</v>
      </c>
      <c r="W1091" s="77">
        <f>OrdersTable[[#This Row],[Quantity]]*OrdersTable[[#This Row],[Unit Cost]]</f>
        <v>105</v>
      </c>
      <c r="X1091" s="77">
        <f>'Dropdown Lists'!$I$2*(1+OrdersTable[[#This Row],[Returned]])</f>
        <v>60</v>
      </c>
      <c r="Y1091" s="76">
        <f>OrdersTable[[#This Row],[Net Revenue]]-OrdersTable[[#This Row],[COGS]]-OrdersTable[[#This Row],[Shipping Cost]]</f>
        <v>96.75</v>
      </c>
      <c r="Z1091" s="78">
        <f>IFERROR(OrdersTable[[#This Row],[Profit]]/OrdersTable[[#This Row],[Net Revenue]],0)</f>
        <v>0.36962750716332377</v>
      </c>
      <c r="AA1091" t="s">
        <v>18</v>
      </c>
      <c r="AB1091" s="79">
        <v>45514</v>
      </c>
      <c r="AC1091">
        <f>OrdersTable[[#This Row],[Delivery Date]]-OrdersTable[[#This Row],[Order Date]]</f>
        <v>2</v>
      </c>
      <c r="AD1091" t="str">
        <f>IF(OrdersTable[[#This Row],[Delivery Days]]&lt;=2, "Express (≤2d)", IF(OrdersTable[[#This Row],[Delivery Days]]&lt;=4, "Standard (3-4d)", "Delayed (5d+)"))</f>
        <v>Express (≤2d)</v>
      </c>
      <c r="AE1091">
        <v>5</v>
      </c>
      <c r="AF1091">
        <v>0</v>
      </c>
    </row>
    <row r="1092" spans="1:32" ht="15" x14ac:dyDescent="0.35">
      <c r="A1092" t="s">
        <v>5098</v>
      </c>
      <c r="B1092" s="1">
        <v>45512</v>
      </c>
      <c r="C1092">
        <f>YEAR(OrdersTable[[#This Row],[Order Date]])</f>
        <v>2024</v>
      </c>
      <c r="D1092" s="2">
        <f>DATE(YEAR(OrdersTable[[#This Row],[Order Date]]),MONTH(OrdersTable[[#This Row],[Order Date]]),1)</f>
        <v>45505</v>
      </c>
      <c r="E1092">
        <f>MONTH(OrdersTable[[#This Row],[Order Date]])</f>
        <v>8</v>
      </c>
      <c r="F1092" t="s">
        <v>5099</v>
      </c>
      <c r="G1092" t="str">
        <f>IF(OrdersTable[[#This Row],[Order Date]]=_xlfn.MINIFS(Order_Date, Customer_ID, OrdersTable[[#This Row],[Customer ID]]), "New", "Repeat")</f>
        <v>Repeat</v>
      </c>
      <c r="H1092" t="s">
        <v>95</v>
      </c>
      <c r="I1092" t="str">
        <f>INDEX(State!B:B,MATCH(OrdersTable[[#This Row],[State]],State!A:A,0))</f>
        <v>TG</v>
      </c>
      <c r="J1092" t="str">
        <f>INDEX(State!C:C,MATCH(OrdersTable[[#This Row],[State Code]],State!B:B,0))</f>
        <v>South</v>
      </c>
      <c r="K1092" t="s">
        <v>96</v>
      </c>
      <c r="L1092" t="s">
        <v>39</v>
      </c>
      <c r="M1092" t="s">
        <v>152</v>
      </c>
      <c r="N1092" t="str">
        <f>INDEX(Products!B:B,MATCH(OrdersTable[[#This Row],[Product ID]],Products!A:A,0))</f>
        <v>Green Tea (100 bags)</v>
      </c>
      <c r="O1092" t="str">
        <f>INDEX(Products!C:C,MATCH(OrdersTable[[#This Row],[Product ID]],Products!A:A,0))</f>
        <v>Wellness</v>
      </c>
      <c r="P1092">
        <v>2</v>
      </c>
      <c r="Q1092" s="5">
        <v>399</v>
      </c>
      <c r="R1092" s="74">
        <v>0.3</v>
      </c>
      <c r="S1092" s="75">
        <f>OrdersTable[[#This Row],[Quantity]]*OrdersTable[[#This Row],[Unit Price]]</f>
        <v>798</v>
      </c>
      <c r="T1092" s="5">
        <f>OrdersTable[[#This Row],[Gross Sale]]*OrdersTable[[#This Row],[Discount_Clean2]]</f>
        <v>239.39999999999998</v>
      </c>
      <c r="U1092" s="5">
        <f>OrdersTable[[#This Row],[Gross Sale]]-OrdersTable[[#This Row],[Discount Amount]]</f>
        <v>558.6</v>
      </c>
      <c r="V1092" s="77">
        <f>INDEX(Products!E:E,MATCH(OrdersTable[[#This Row],[Product ID]],Products!A:A,0))</f>
        <v>128</v>
      </c>
      <c r="W1092" s="77">
        <f>OrdersTable[[#This Row],[Quantity]]*OrdersTable[[#This Row],[Unit Cost]]</f>
        <v>256</v>
      </c>
      <c r="X1092" s="77">
        <f>'Dropdown Lists'!$I$2*(1+OrdersTable[[#This Row],[Returned]])</f>
        <v>60</v>
      </c>
      <c r="Y1092" s="76">
        <f>OrdersTable[[#This Row],[Net Revenue]]-OrdersTable[[#This Row],[COGS]]-OrdersTable[[#This Row],[Shipping Cost]]</f>
        <v>242.60000000000002</v>
      </c>
      <c r="Z1092" s="78">
        <f>IFERROR(OrdersTable[[#This Row],[Profit]]/OrdersTable[[#This Row],[Net Revenue]],0)</f>
        <v>0.43430003580379523</v>
      </c>
      <c r="AA1092" t="s">
        <v>3495</v>
      </c>
      <c r="AB1092" s="79">
        <v>45516</v>
      </c>
      <c r="AC1092">
        <f>OrdersTable[[#This Row],[Delivery Date]]-OrdersTable[[#This Row],[Order Date]]</f>
        <v>4</v>
      </c>
      <c r="AD1092" t="str">
        <f>IF(OrdersTable[[#This Row],[Delivery Days]]&lt;=2, "Express (≤2d)", IF(OrdersTable[[#This Row],[Delivery Days]]&lt;=4, "Standard (3-4d)", "Delayed (5d+)"))</f>
        <v>Standard (3-4d)</v>
      </c>
      <c r="AE1092">
        <v>3</v>
      </c>
      <c r="AF1092">
        <v>0</v>
      </c>
    </row>
    <row r="1093" spans="1:32" ht="15" x14ac:dyDescent="0.35">
      <c r="A1093" t="s">
        <v>165</v>
      </c>
      <c r="B1093" s="1">
        <v>45512</v>
      </c>
      <c r="C1093">
        <f>YEAR(OrdersTable[[#This Row],[Order Date]])</f>
        <v>2024</v>
      </c>
      <c r="D1093" s="2">
        <f>DATE(YEAR(OrdersTable[[#This Row],[Order Date]]),MONTH(OrdersTable[[#This Row],[Order Date]]),1)</f>
        <v>45505</v>
      </c>
      <c r="E1093">
        <f>MONTH(OrdersTable[[#This Row],[Order Date]])</f>
        <v>8</v>
      </c>
      <c r="F1093" t="s">
        <v>166</v>
      </c>
      <c r="G1093" t="str">
        <f>IF(OrdersTable[[#This Row],[Order Date]]=_xlfn.MINIFS(Order_Date, Customer_ID, OrdersTable[[#This Row],[Customer ID]]), "New", "Repeat")</f>
        <v>New</v>
      </c>
      <c r="H1093" t="s">
        <v>167</v>
      </c>
      <c r="I1093" t="str">
        <f>INDEX(State!B:B,MATCH(OrdersTable[[#This Row],[State]],State!A:A,0))</f>
        <v>KA</v>
      </c>
      <c r="J1093" t="str">
        <f>INDEX(State!C:C,MATCH(OrdersTable[[#This Row],[State Code]],State!B:B,0))</f>
        <v>South</v>
      </c>
      <c r="K1093" t="s">
        <v>168</v>
      </c>
      <c r="L1093" t="s">
        <v>65</v>
      </c>
      <c r="M1093" t="s">
        <v>73</v>
      </c>
      <c r="N1093" t="str">
        <f>INDEX(Products!B:B,MATCH(OrdersTable[[#This Row],[Product ID]],Products!A:A,0))</f>
        <v>Hydrating Face Wash</v>
      </c>
      <c r="O1093" t="str">
        <f>INDEX(Products!C:C,MATCH(OrdersTable[[#This Row],[Product ID]],Products!A:A,0))</f>
        <v>Skincare</v>
      </c>
      <c r="P1093">
        <v>1</v>
      </c>
      <c r="Q1093" s="5">
        <v>299</v>
      </c>
      <c r="R1093" s="74">
        <v>0</v>
      </c>
      <c r="S1093" s="75">
        <f>OrdersTable[[#This Row],[Quantity]]*OrdersTable[[#This Row],[Unit Price]]</f>
        <v>299</v>
      </c>
      <c r="T1093" s="5">
        <f>OrdersTable[[#This Row],[Gross Sale]]*OrdersTable[[#This Row],[Discount_Clean2]]</f>
        <v>0</v>
      </c>
      <c r="U1093" s="5">
        <f>OrdersTable[[#This Row],[Gross Sale]]-OrdersTable[[#This Row],[Discount Amount]]</f>
        <v>299</v>
      </c>
      <c r="V1093" s="77">
        <f>INDEX(Products!E:E,MATCH(OrdersTable[[#This Row],[Product ID]],Products!A:A,0))</f>
        <v>90</v>
      </c>
      <c r="W1093" s="77">
        <f>OrdersTable[[#This Row],[Quantity]]*OrdersTable[[#This Row],[Unit Cost]]</f>
        <v>90</v>
      </c>
      <c r="X1093" s="77">
        <f>'Dropdown Lists'!$I$2*(1+OrdersTable[[#This Row],[Returned]])</f>
        <v>60</v>
      </c>
      <c r="Y1093" s="76">
        <f>OrdersTable[[#This Row],[Net Revenue]]-OrdersTable[[#This Row],[COGS]]-OrdersTable[[#This Row],[Shipping Cost]]</f>
        <v>149</v>
      </c>
      <c r="Z1093" s="78">
        <f>IFERROR(OrdersTable[[#This Row],[Profit]]/OrdersTable[[#This Row],[Net Revenue]],0)</f>
        <v>0.49832775919732442</v>
      </c>
      <c r="AA1093" t="s">
        <v>18</v>
      </c>
      <c r="AB1093" s="79">
        <v>45515</v>
      </c>
      <c r="AC1093">
        <f>OrdersTable[[#This Row],[Delivery Date]]-OrdersTable[[#This Row],[Order Date]]</f>
        <v>3</v>
      </c>
      <c r="AD1093" t="str">
        <f>IF(OrdersTable[[#This Row],[Delivery Days]]&lt;=2, "Express (≤2d)", IF(OrdersTable[[#This Row],[Delivery Days]]&lt;=4, "Standard (3-4d)", "Delayed (5d+)"))</f>
        <v>Standard (3-4d)</v>
      </c>
      <c r="AE1093">
        <v>4</v>
      </c>
      <c r="AF1093">
        <v>0</v>
      </c>
    </row>
    <row r="1094" spans="1:32" ht="15" x14ac:dyDescent="0.35">
      <c r="A1094" t="s">
        <v>3556</v>
      </c>
      <c r="B1094" s="1">
        <v>45513</v>
      </c>
      <c r="C1094">
        <f>YEAR(OrdersTable[[#This Row],[Order Date]])</f>
        <v>2024</v>
      </c>
      <c r="D1094" s="2">
        <f>DATE(YEAR(OrdersTable[[#This Row],[Order Date]]),MONTH(OrdersTable[[#This Row],[Order Date]]),1)</f>
        <v>45505</v>
      </c>
      <c r="E1094">
        <f>MONTH(OrdersTable[[#This Row],[Order Date]])</f>
        <v>8</v>
      </c>
      <c r="F1094" t="s">
        <v>3557</v>
      </c>
      <c r="G1094" t="str">
        <f>IF(OrdersTable[[#This Row],[Order Date]]=_xlfn.MINIFS(Order_Date, Customer_ID, OrdersTable[[#This Row],[Customer ID]]), "New", "Repeat")</f>
        <v>Repeat</v>
      </c>
      <c r="H1094" t="s">
        <v>21</v>
      </c>
      <c r="I1094" t="str">
        <f>INDEX(State!B:B,MATCH(OrdersTable[[#This Row],[State]],State!A:A,0))</f>
        <v>PB</v>
      </c>
      <c r="J1094" t="str">
        <f>INDEX(State!C:C,MATCH(OrdersTable[[#This Row],[State Code]],State!B:B,0))</f>
        <v>North</v>
      </c>
      <c r="K1094" t="s">
        <v>260</v>
      </c>
      <c r="L1094" t="s">
        <v>23</v>
      </c>
      <c r="M1094" t="s">
        <v>78</v>
      </c>
      <c r="N1094" t="str">
        <f>INDEX(Products!B:B,MATCH(OrdersTable[[#This Row],[Product ID]],Products!A:A,0))</f>
        <v>Retinol Night Cream</v>
      </c>
      <c r="O1094" t="str">
        <f>INDEX(Products!C:C,MATCH(OrdersTable[[#This Row],[Product ID]],Products!A:A,0))</f>
        <v>Skincare</v>
      </c>
      <c r="P1094">
        <v>1</v>
      </c>
      <c r="Q1094" s="5">
        <v>799</v>
      </c>
      <c r="R1094" s="74">
        <v>0.1</v>
      </c>
      <c r="S1094" s="75">
        <f>OrdersTable[[#This Row],[Quantity]]*OrdersTable[[#This Row],[Unit Price]]</f>
        <v>799</v>
      </c>
      <c r="T1094" s="5">
        <f>OrdersTable[[#This Row],[Gross Sale]]*OrdersTable[[#This Row],[Discount_Clean2]]</f>
        <v>79.900000000000006</v>
      </c>
      <c r="U1094" s="5">
        <f>OrdersTable[[#This Row],[Gross Sale]]-OrdersTable[[#This Row],[Discount Amount]]</f>
        <v>719.1</v>
      </c>
      <c r="V1094" s="77">
        <f>INDEX(Products!E:E,MATCH(OrdersTable[[#This Row],[Product ID]],Products!A:A,0))</f>
        <v>216</v>
      </c>
      <c r="W1094" s="77">
        <f>OrdersTable[[#This Row],[Quantity]]*OrdersTable[[#This Row],[Unit Cost]]</f>
        <v>216</v>
      </c>
      <c r="X1094" s="77">
        <f>'Dropdown Lists'!$I$2*(1+OrdersTable[[#This Row],[Returned]])</f>
        <v>60</v>
      </c>
      <c r="Y1094" s="76">
        <f>OrdersTable[[#This Row],[Net Revenue]]-OrdersTable[[#This Row],[COGS]]-OrdersTable[[#This Row],[Shipping Cost]]</f>
        <v>443.1</v>
      </c>
      <c r="Z1094" s="78">
        <f>IFERROR(OrdersTable[[#This Row],[Profit]]/OrdersTable[[#This Row],[Net Revenue]],0)</f>
        <v>0.61618690029203171</v>
      </c>
      <c r="AA1094" t="s">
        <v>3495</v>
      </c>
      <c r="AB1094" s="79">
        <v>45515</v>
      </c>
      <c r="AC1094">
        <f>OrdersTable[[#This Row],[Delivery Date]]-OrdersTable[[#This Row],[Order Date]]</f>
        <v>2</v>
      </c>
      <c r="AD1094" t="str">
        <f>IF(OrdersTable[[#This Row],[Delivery Days]]&lt;=2, "Express (≤2d)", IF(OrdersTable[[#This Row],[Delivery Days]]&lt;=4, "Standard (3-4d)", "Delayed (5d+)"))</f>
        <v>Express (≤2d)</v>
      </c>
      <c r="AE1094">
        <v>4</v>
      </c>
      <c r="AF1094">
        <v>0</v>
      </c>
    </row>
    <row r="1095" spans="1:32" ht="15" x14ac:dyDescent="0.35">
      <c r="A1095" t="s">
        <v>6768</v>
      </c>
      <c r="B1095" s="1">
        <v>45513</v>
      </c>
      <c r="C1095">
        <f>YEAR(OrdersTable[[#This Row],[Order Date]])</f>
        <v>2024</v>
      </c>
      <c r="D1095" s="2">
        <f>DATE(YEAR(OrdersTable[[#This Row],[Order Date]]),MONTH(OrdersTable[[#This Row],[Order Date]]),1)</f>
        <v>45505</v>
      </c>
      <c r="E1095">
        <f>MONTH(OrdersTable[[#This Row],[Order Date]])</f>
        <v>8</v>
      </c>
      <c r="F1095" t="s">
        <v>1636</v>
      </c>
      <c r="G1095" t="str">
        <f>IF(OrdersTable[[#This Row],[Order Date]]=_xlfn.MINIFS(Order_Date, Customer_ID, OrdersTable[[#This Row],[Customer ID]]), "New", "Repeat")</f>
        <v>Repeat</v>
      </c>
      <c r="H1095" t="s">
        <v>54</v>
      </c>
      <c r="I1095" t="str">
        <f>INDEX(State!B:B,MATCH(OrdersTable[[#This Row],[State]],State!A:A,0))</f>
        <v>RJ</v>
      </c>
      <c r="J1095" t="str">
        <f>INDEX(State!C:C,MATCH(OrdersTable[[#This Row],[State Code]],State!B:B,0))</f>
        <v>North</v>
      </c>
      <c r="K1095" t="s">
        <v>227</v>
      </c>
      <c r="L1095" t="s">
        <v>23</v>
      </c>
      <c r="M1095" t="s">
        <v>423</v>
      </c>
      <c r="N1095" t="str">
        <f>INDEX(Products!B:B,MATCH(OrdersTable[[#This Row],[Product ID]],Products!A:A,0))</f>
        <v>Power Bank 20000mAh</v>
      </c>
      <c r="O1095" t="str">
        <f>INDEX(Products!C:C,MATCH(OrdersTable[[#This Row],[Product ID]],Products!A:A,0))</f>
        <v>Electronics</v>
      </c>
      <c r="P1095">
        <v>3</v>
      </c>
      <c r="Q1095" s="5">
        <v>1799</v>
      </c>
      <c r="R1095" s="74">
        <v>0.3</v>
      </c>
      <c r="S1095" s="75">
        <f>OrdersTable[[#This Row],[Quantity]]*OrdersTable[[#This Row],[Unit Price]]</f>
        <v>5397</v>
      </c>
      <c r="T1095" s="5">
        <f>OrdersTable[[#This Row],[Gross Sale]]*OrdersTable[[#This Row],[Discount_Clean2]]</f>
        <v>1619.1</v>
      </c>
      <c r="U1095" s="5">
        <f>OrdersTable[[#This Row],[Gross Sale]]-OrdersTable[[#This Row],[Discount Amount]]</f>
        <v>3777.9</v>
      </c>
      <c r="V1095" s="77">
        <f>INDEX(Products!E:E,MATCH(OrdersTable[[#This Row],[Product ID]],Products!A:A,0))</f>
        <v>1079</v>
      </c>
      <c r="W1095" s="77">
        <f>OrdersTable[[#This Row],[Quantity]]*OrdersTable[[#This Row],[Unit Cost]]</f>
        <v>3237</v>
      </c>
      <c r="X1095" s="77">
        <f>'Dropdown Lists'!$I$2*(1+OrdersTable[[#This Row],[Returned]])</f>
        <v>60</v>
      </c>
      <c r="Y1095" s="76">
        <f>OrdersTable[[#This Row],[Net Revenue]]-OrdersTable[[#This Row],[COGS]]-OrdersTable[[#This Row],[Shipping Cost]]</f>
        <v>480.90000000000009</v>
      </c>
      <c r="Z1095" s="78">
        <f>IFERROR(OrdersTable[[#This Row],[Profit]]/OrdersTable[[#This Row],[Net Revenue]],0)</f>
        <v>0.12729294052251253</v>
      </c>
      <c r="AA1095" t="s">
        <v>3495</v>
      </c>
      <c r="AB1095" s="79">
        <v>45516</v>
      </c>
      <c r="AC1095">
        <f>OrdersTable[[#This Row],[Delivery Date]]-OrdersTable[[#This Row],[Order Date]]</f>
        <v>3</v>
      </c>
      <c r="AD1095" t="str">
        <f>IF(OrdersTable[[#This Row],[Delivery Days]]&lt;=2, "Express (≤2d)", IF(OrdersTable[[#This Row],[Delivery Days]]&lt;=4, "Standard (3-4d)", "Delayed (5d+)"))</f>
        <v>Standard (3-4d)</v>
      </c>
      <c r="AE1095">
        <v>4</v>
      </c>
      <c r="AF1095">
        <v>0</v>
      </c>
    </row>
    <row r="1096" spans="1:32" ht="15" x14ac:dyDescent="0.35">
      <c r="A1096" t="s">
        <v>6960</v>
      </c>
      <c r="B1096" s="1">
        <v>45513</v>
      </c>
      <c r="C1096">
        <f>YEAR(OrdersTable[[#This Row],[Order Date]])</f>
        <v>2024</v>
      </c>
      <c r="D1096" s="2">
        <f>DATE(YEAR(OrdersTable[[#This Row],[Order Date]]),MONTH(OrdersTable[[#This Row],[Order Date]]),1)</f>
        <v>45505</v>
      </c>
      <c r="E1096">
        <f>MONTH(OrdersTable[[#This Row],[Order Date]])</f>
        <v>8</v>
      </c>
      <c r="F1096" t="s">
        <v>6961</v>
      </c>
      <c r="G1096" t="str">
        <f>IF(OrdersTable[[#This Row],[Order Date]]=_xlfn.MINIFS(Order_Date, Customer_ID, OrdersTable[[#This Row],[Customer ID]]), "New", "Repeat")</f>
        <v>New</v>
      </c>
      <c r="H1096" t="s">
        <v>48</v>
      </c>
      <c r="I1096" t="str">
        <f>INDEX(State!B:B,MATCH(OrdersTable[[#This Row],[State]],State!A:A,0))</f>
        <v>HR</v>
      </c>
      <c r="J1096" t="str">
        <f>INDEX(State!C:C,MATCH(OrdersTable[[#This Row],[State Code]],State!B:B,0))</f>
        <v>North</v>
      </c>
      <c r="K1096" t="s">
        <v>151</v>
      </c>
      <c r="L1096" t="s">
        <v>65</v>
      </c>
      <c r="M1096" t="s">
        <v>109</v>
      </c>
      <c r="N1096" t="str">
        <f>INDEX(Products!B:B,MATCH(OrdersTable[[#This Row],[Product ID]],Products!A:A,0))</f>
        <v>Onion Hair Oil</v>
      </c>
      <c r="O1096" t="str">
        <f>INDEX(Products!C:C,MATCH(OrdersTable[[#This Row],[Product ID]],Products!A:A,0))</f>
        <v>Haircare</v>
      </c>
      <c r="P1096">
        <v>4</v>
      </c>
      <c r="Q1096" s="5">
        <v>349</v>
      </c>
      <c r="R1096" s="74">
        <v>0.35</v>
      </c>
      <c r="S1096" s="75">
        <f>OrdersTable[[#This Row],[Quantity]]*OrdersTable[[#This Row],[Unit Price]]</f>
        <v>1396</v>
      </c>
      <c r="T1096" s="5">
        <f>OrdersTable[[#This Row],[Gross Sale]]*OrdersTable[[#This Row],[Discount_Clean2]]</f>
        <v>488.59999999999997</v>
      </c>
      <c r="U1096" s="5">
        <f>OrdersTable[[#This Row],[Gross Sale]]-OrdersTable[[#This Row],[Discount Amount]]</f>
        <v>907.40000000000009</v>
      </c>
      <c r="V1096" s="77">
        <f>INDEX(Products!E:E,MATCH(OrdersTable[[#This Row],[Product ID]],Products!A:A,0))</f>
        <v>105</v>
      </c>
      <c r="W1096" s="77">
        <f>OrdersTable[[#This Row],[Quantity]]*OrdersTable[[#This Row],[Unit Cost]]</f>
        <v>420</v>
      </c>
      <c r="X1096" s="77">
        <f>'Dropdown Lists'!$I$2*(1+OrdersTable[[#This Row],[Returned]])</f>
        <v>60</v>
      </c>
      <c r="Y1096" s="76">
        <f>OrdersTable[[#This Row],[Net Revenue]]-OrdersTable[[#This Row],[COGS]]-OrdersTable[[#This Row],[Shipping Cost]]</f>
        <v>427.40000000000009</v>
      </c>
      <c r="Z1096" s="78">
        <f>IFERROR(OrdersTable[[#This Row],[Profit]]/OrdersTable[[#This Row],[Net Revenue]],0)</f>
        <v>0.47101608992726479</v>
      </c>
      <c r="AA1096" t="s">
        <v>2522</v>
      </c>
      <c r="AB1096" s="79">
        <v>45514</v>
      </c>
      <c r="AC1096">
        <f>OrdersTable[[#This Row],[Delivery Date]]-OrdersTable[[#This Row],[Order Date]]</f>
        <v>1</v>
      </c>
      <c r="AD1096" t="str">
        <f>IF(OrdersTable[[#This Row],[Delivery Days]]&lt;=2, "Express (≤2d)", IF(OrdersTable[[#This Row],[Delivery Days]]&lt;=4, "Standard (3-4d)", "Delayed (5d+)"))</f>
        <v>Express (≤2d)</v>
      </c>
      <c r="AE1096">
        <v>3</v>
      </c>
      <c r="AF1096">
        <v>0</v>
      </c>
    </row>
    <row r="1097" spans="1:32" ht="15" x14ac:dyDescent="0.35">
      <c r="A1097" t="s">
        <v>6293</v>
      </c>
      <c r="B1097" s="1">
        <v>45513</v>
      </c>
      <c r="C1097">
        <f>YEAR(OrdersTable[[#This Row],[Order Date]])</f>
        <v>2024</v>
      </c>
      <c r="D1097" s="2">
        <f>DATE(YEAR(OrdersTable[[#This Row],[Order Date]]),MONTH(OrdersTable[[#This Row],[Order Date]]),1)</f>
        <v>45505</v>
      </c>
      <c r="E1097">
        <f>MONTH(OrdersTable[[#This Row],[Order Date]])</f>
        <v>8</v>
      </c>
      <c r="F1097" t="s">
        <v>63</v>
      </c>
      <c r="G1097" t="str">
        <f>IF(OrdersTable[[#This Row],[Order Date]]=_xlfn.MINIFS(Order_Date, Customer_ID, OrdersTable[[#This Row],[Customer ID]]), "New", "Repeat")</f>
        <v>Repeat</v>
      </c>
      <c r="H1097" t="s">
        <v>27</v>
      </c>
      <c r="I1097" t="str">
        <f>INDEX(State!B:B,MATCH(OrdersTable[[#This Row],[State]],State!A:A,0))</f>
        <v>WB</v>
      </c>
      <c r="J1097" t="str">
        <f>INDEX(State!C:C,MATCH(OrdersTable[[#This Row],[State Code]],State!B:B,0))</f>
        <v>East</v>
      </c>
      <c r="K1097" t="s">
        <v>28</v>
      </c>
      <c r="L1097" t="s">
        <v>23</v>
      </c>
      <c r="M1097" t="s">
        <v>51</v>
      </c>
      <c r="N1097" t="str">
        <f>INDEX(Products!B:B,MATCH(OrdersTable[[#This Row],[Product ID]],Products!A:A,0))</f>
        <v>Anti-Dandruff Conditioner</v>
      </c>
      <c r="O1097" t="str">
        <f>INDEX(Products!C:C,MATCH(OrdersTable[[#This Row],[Product ID]],Products!A:A,0))</f>
        <v>Haircare</v>
      </c>
      <c r="P1097">
        <v>2</v>
      </c>
      <c r="Q1097" s="5">
        <v>399</v>
      </c>
      <c r="R1097" s="74">
        <v>0.4</v>
      </c>
      <c r="S1097" s="75">
        <f>OrdersTable[[#This Row],[Quantity]]*OrdersTable[[#This Row],[Unit Price]]</f>
        <v>798</v>
      </c>
      <c r="T1097" s="5">
        <f>OrdersTable[[#This Row],[Gross Sale]]*OrdersTable[[#This Row],[Discount_Clean2]]</f>
        <v>319.20000000000005</v>
      </c>
      <c r="U1097" s="5">
        <f>OrdersTable[[#This Row],[Gross Sale]]-OrdersTable[[#This Row],[Discount Amount]]</f>
        <v>478.79999999999995</v>
      </c>
      <c r="V1097" s="77">
        <f>INDEX(Products!E:E,MATCH(OrdersTable[[#This Row],[Product ID]],Products!A:A,0))</f>
        <v>136</v>
      </c>
      <c r="W1097" s="77">
        <f>OrdersTable[[#This Row],[Quantity]]*OrdersTable[[#This Row],[Unit Cost]]</f>
        <v>272</v>
      </c>
      <c r="X1097" s="77">
        <f>'Dropdown Lists'!$I$2*(1+OrdersTable[[#This Row],[Returned]])</f>
        <v>60</v>
      </c>
      <c r="Y1097" s="76">
        <f>OrdersTable[[#This Row],[Net Revenue]]-OrdersTable[[#This Row],[COGS]]-OrdersTable[[#This Row],[Shipping Cost]]</f>
        <v>146.79999999999995</v>
      </c>
      <c r="Z1097" s="78">
        <f>IFERROR(OrdersTable[[#This Row],[Profit]]/OrdersTable[[#This Row],[Net Revenue]],0)</f>
        <v>0.30659983291562232</v>
      </c>
      <c r="AA1097" t="s">
        <v>18</v>
      </c>
      <c r="AB1097" s="79">
        <v>45517</v>
      </c>
      <c r="AC1097">
        <f>OrdersTable[[#This Row],[Delivery Date]]-OrdersTable[[#This Row],[Order Date]]</f>
        <v>4</v>
      </c>
      <c r="AD1097" t="str">
        <f>IF(OrdersTable[[#This Row],[Delivery Days]]&lt;=2, "Express (≤2d)", IF(OrdersTable[[#This Row],[Delivery Days]]&lt;=4, "Standard (3-4d)", "Delayed (5d+)"))</f>
        <v>Standard (3-4d)</v>
      </c>
      <c r="AE1097">
        <v>3</v>
      </c>
      <c r="AF1097">
        <v>0</v>
      </c>
    </row>
    <row r="1098" spans="1:32" ht="15" x14ac:dyDescent="0.35">
      <c r="A1098" t="s">
        <v>5877</v>
      </c>
      <c r="B1098" s="1">
        <v>45513</v>
      </c>
      <c r="C1098">
        <f>YEAR(OrdersTable[[#This Row],[Order Date]])</f>
        <v>2024</v>
      </c>
      <c r="D1098" s="2">
        <f>DATE(YEAR(OrdersTable[[#This Row],[Order Date]]),MONTH(OrdersTable[[#This Row],[Order Date]]),1)</f>
        <v>45505</v>
      </c>
      <c r="E1098">
        <f>MONTH(OrdersTable[[#This Row],[Order Date]])</f>
        <v>8</v>
      </c>
      <c r="F1098" t="s">
        <v>4022</v>
      </c>
      <c r="G1098" t="str">
        <f>IF(OrdersTable[[#This Row],[Order Date]]=_xlfn.MINIFS(Order_Date, Customer_ID, OrdersTable[[#This Row],[Customer ID]]), "New", "Repeat")</f>
        <v>Repeat</v>
      </c>
      <c r="H1098" t="s">
        <v>27</v>
      </c>
      <c r="I1098" t="str">
        <f>INDEX(State!B:B,MATCH(OrdersTable[[#This Row],[State]],State!A:A,0))</f>
        <v>WB</v>
      </c>
      <c r="J1098" t="str">
        <f>INDEX(State!C:C,MATCH(OrdersTable[[#This Row],[State Code]],State!B:B,0))</f>
        <v>East</v>
      </c>
      <c r="K1098" t="s">
        <v>28</v>
      </c>
      <c r="L1098" t="s">
        <v>16</v>
      </c>
      <c r="M1098" t="s">
        <v>17</v>
      </c>
      <c r="N1098" t="str">
        <f>INDEX(Products!B:B,MATCH(OrdersTable[[#This Row],[Product ID]],Products!A:A,0))</f>
        <v>Casual Sneakers</v>
      </c>
      <c r="O1098" t="str">
        <f>INDEX(Products!C:C,MATCH(OrdersTable[[#This Row],[Product ID]],Products!A:A,0))</f>
        <v>Footwear</v>
      </c>
      <c r="P1098">
        <v>2</v>
      </c>
      <c r="Q1098" s="5">
        <v>2199</v>
      </c>
      <c r="R1098" s="74">
        <v>0.15</v>
      </c>
      <c r="S1098" s="75">
        <f>OrdersTable[[#This Row],[Quantity]]*OrdersTable[[#This Row],[Unit Price]]</f>
        <v>4398</v>
      </c>
      <c r="T1098" s="5">
        <f>OrdersTable[[#This Row],[Gross Sale]]*OrdersTable[[#This Row],[Discount_Clean2]]</f>
        <v>659.69999999999993</v>
      </c>
      <c r="U1098" s="5">
        <f>OrdersTable[[#This Row],[Gross Sale]]-OrdersTable[[#This Row],[Discount Amount]]</f>
        <v>3738.3</v>
      </c>
      <c r="V1098" s="77">
        <f>INDEX(Products!E:E,MATCH(OrdersTable[[#This Row],[Product ID]],Products!A:A,0))</f>
        <v>1034</v>
      </c>
      <c r="W1098" s="77">
        <f>OrdersTable[[#This Row],[Quantity]]*OrdersTable[[#This Row],[Unit Cost]]</f>
        <v>2068</v>
      </c>
      <c r="X1098" s="77">
        <f>'Dropdown Lists'!$I$2*(1+OrdersTable[[#This Row],[Returned]])</f>
        <v>60</v>
      </c>
      <c r="Y1098" s="76">
        <f>OrdersTable[[#This Row],[Net Revenue]]-OrdersTable[[#This Row],[COGS]]-OrdersTable[[#This Row],[Shipping Cost]]</f>
        <v>1610.3000000000002</v>
      </c>
      <c r="Z1098" s="78">
        <f>IFERROR(OrdersTable[[#This Row],[Profit]]/OrdersTable[[#This Row],[Net Revenue]],0)</f>
        <v>0.43075729609715652</v>
      </c>
      <c r="AA1098" t="s">
        <v>18</v>
      </c>
      <c r="AB1098" s="79">
        <v>45517</v>
      </c>
      <c r="AC1098">
        <f>OrdersTable[[#This Row],[Delivery Date]]-OrdersTable[[#This Row],[Order Date]]</f>
        <v>4</v>
      </c>
      <c r="AD1098" t="str">
        <f>IF(OrdersTable[[#This Row],[Delivery Days]]&lt;=2, "Express (≤2d)", IF(OrdersTable[[#This Row],[Delivery Days]]&lt;=4, "Standard (3-4d)", "Delayed (5d+)"))</f>
        <v>Standard (3-4d)</v>
      </c>
      <c r="AF1098">
        <v>0</v>
      </c>
    </row>
    <row r="1099" spans="1:32" ht="15" x14ac:dyDescent="0.35">
      <c r="A1099" t="s">
        <v>1875</v>
      </c>
      <c r="B1099" s="1">
        <v>45513</v>
      </c>
      <c r="C1099">
        <f>YEAR(OrdersTable[[#This Row],[Order Date]])</f>
        <v>2024</v>
      </c>
      <c r="D1099" s="2">
        <f>DATE(YEAR(OrdersTable[[#This Row],[Order Date]]),MONTH(OrdersTable[[#This Row],[Order Date]]),1)</f>
        <v>45505</v>
      </c>
      <c r="E1099">
        <f>MONTH(OrdersTable[[#This Row],[Order Date]])</f>
        <v>8</v>
      </c>
      <c r="F1099" t="s">
        <v>1408</v>
      </c>
      <c r="G1099" t="str">
        <f>IF(OrdersTable[[#This Row],[Order Date]]=_xlfn.MINIFS(Order_Date, Customer_ID, OrdersTable[[#This Row],[Customer ID]]), "New", "Repeat")</f>
        <v>New</v>
      </c>
      <c r="H1099" t="s">
        <v>167</v>
      </c>
      <c r="I1099" t="str">
        <f>INDEX(State!B:B,MATCH(OrdersTable[[#This Row],[State]],State!A:A,0))</f>
        <v>KA</v>
      </c>
      <c r="J1099" t="str">
        <f>INDEX(State!C:C,MATCH(OrdersTable[[#This Row],[State Code]],State!B:B,0))</f>
        <v>South</v>
      </c>
      <c r="K1099" t="s">
        <v>168</v>
      </c>
      <c r="L1099" t="s">
        <v>65</v>
      </c>
      <c r="M1099" t="s">
        <v>84</v>
      </c>
      <c r="N1099" t="str">
        <f>INDEX(Products!B:B,MATCH(OrdersTable[[#This Row],[Product ID]],Products!A:A,0))</f>
        <v>Cotton Bedsheet</v>
      </c>
      <c r="O1099" t="str">
        <f>INDEX(Products!C:C,MATCH(OrdersTable[[#This Row],[Product ID]],Products!A:A,0))</f>
        <v>Home &amp; Kitchen</v>
      </c>
      <c r="P1099">
        <v>1</v>
      </c>
      <c r="Q1099" s="5">
        <v>1299</v>
      </c>
      <c r="R1099" s="74">
        <v>0</v>
      </c>
      <c r="S1099" s="75">
        <f>OrdersTable[[#This Row],[Quantity]]*OrdersTable[[#This Row],[Unit Price]]</f>
        <v>1299</v>
      </c>
      <c r="T1099" s="5">
        <f>OrdersTable[[#This Row],[Gross Sale]]*OrdersTable[[#This Row],[Discount_Clean2]]</f>
        <v>0</v>
      </c>
      <c r="U1099" s="5">
        <f>OrdersTable[[#This Row],[Gross Sale]]-OrdersTable[[#This Row],[Discount Amount]]</f>
        <v>1299</v>
      </c>
      <c r="V1099" s="77">
        <f>INDEX(Products!E:E,MATCH(OrdersTable[[#This Row],[Product ID]],Products!A:A,0))</f>
        <v>585</v>
      </c>
      <c r="W1099" s="77">
        <f>OrdersTable[[#This Row],[Quantity]]*OrdersTable[[#This Row],[Unit Cost]]</f>
        <v>585</v>
      </c>
      <c r="X1099" s="77">
        <f>'Dropdown Lists'!$I$2*(1+OrdersTable[[#This Row],[Returned]])</f>
        <v>120</v>
      </c>
      <c r="Y1099" s="76">
        <f>OrdersTable[[#This Row],[Net Revenue]]-OrdersTable[[#This Row],[COGS]]-OrdersTable[[#This Row],[Shipping Cost]]</f>
        <v>594</v>
      </c>
      <c r="Z1099" s="78">
        <f>IFERROR(OrdersTable[[#This Row],[Profit]]/OrdersTable[[#This Row],[Net Revenue]],0)</f>
        <v>0.45727482678983833</v>
      </c>
      <c r="AA1099" t="s">
        <v>18</v>
      </c>
      <c r="AB1099" s="79">
        <v>45515</v>
      </c>
      <c r="AC1099">
        <f>OrdersTable[[#This Row],[Delivery Date]]-OrdersTable[[#This Row],[Order Date]]</f>
        <v>2</v>
      </c>
      <c r="AD1099" t="str">
        <f>IF(OrdersTable[[#This Row],[Delivery Days]]&lt;=2, "Express (≤2d)", IF(OrdersTable[[#This Row],[Delivery Days]]&lt;=4, "Standard (3-4d)", "Delayed (5d+)"))</f>
        <v>Express (≤2d)</v>
      </c>
      <c r="AE1099">
        <v>3</v>
      </c>
      <c r="AF1099">
        <v>1</v>
      </c>
    </row>
    <row r="1100" spans="1:32" ht="15" x14ac:dyDescent="0.35">
      <c r="A1100" t="s">
        <v>4351</v>
      </c>
      <c r="B1100" s="1">
        <v>45513</v>
      </c>
      <c r="C1100">
        <f>YEAR(OrdersTable[[#This Row],[Order Date]])</f>
        <v>2024</v>
      </c>
      <c r="D1100" s="2">
        <f>DATE(YEAR(OrdersTable[[#This Row],[Order Date]]),MONTH(OrdersTable[[#This Row],[Order Date]]),1)</f>
        <v>45505</v>
      </c>
      <c r="E1100">
        <f>MONTH(OrdersTable[[#This Row],[Order Date]])</f>
        <v>8</v>
      </c>
      <c r="F1100" t="s">
        <v>4352</v>
      </c>
      <c r="G1100" t="str">
        <f>IF(OrdersTable[[#This Row],[Order Date]]=_xlfn.MINIFS(Order_Date, Customer_ID, OrdersTable[[#This Row],[Customer ID]]), "New", "Repeat")</f>
        <v>New</v>
      </c>
      <c r="H1100" t="s">
        <v>167</v>
      </c>
      <c r="I1100" t="str">
        <f>INDEX(State!B:B,MATCH(OrdersTable[[#This Row],[State]],State!A:A,0))</f>
        <v>KA</v>
      </c>
      <c r="J1100" t="str">
        <f>INDEX(State!C:C,MATCH(OrdersTable[[#This Row],[State Code]],State!B:B,0))</f>
        <v>South</v>
      </c>
      <c r="K1100" t="s">
        <v>168</v>
      </c>
      <c r="L1100" t="s">
        <v>23</v>
      </c>
      <c r="M1100" t="s">
        <v>56</v>
      </c>
      <c r="N1100" t="str">
        <f>INDEX(Products!B:B,MATCH(OrdersTable[[#This Row],[Product ID]],Products!A:A,0))</f>
        <v>Vitamin C Face Serum</v>
      </c>
      <c r="O1100" t="str">
        <f>INDEX(Products!C:C,MATCH(OrdersTable[[#This Row],[Product ID]],Products!A:A,0))</f>
        <v>Skincare</v>
      </c>
      <c r="P1100">
        <v>1</v>
      </c>
      <c r="Q1100" s="5">
        <v>599</v>
      </c>
      <c r="R1100" s="74">
        <v>0.15</v>
      </c>
      <c r="S1100" s="75">
        <f>OrdersTable[[#This Row],[Quantity]]*OrdersTable[[#This Row],[Unit Price]]</f>
        <v>599</v>
      </c>
      <c r="T1100" s="5">
        <f>OrdersTable[[#This Row],[Gross Sale]]*OrdersTable[[#This Row],[Discount_Clean2]]</f>
        <v>89.85</v>
      </c>
      <c r="U1100" s="5">
        <f>OrdersTable[[#This Row],[Gross Sale]]-OrdersTable[[#This Row],[Discount Amount]]</f>
        <v>509.15</v>
      </c>
      <c r="V1100" s="77">
        <f>INDEX(Products!E:E,MATCH(OrdersTable[[#This Row],[Product ID]],Products!A:A,0))</f>
        <v>180</v>
      </c>
      <c r="W1100" s="77">
        <f>OrdersTable[[#This Row],[Quantity]]*OrdersTable[[#This Row],[Unit Cost]]</f>
        <v>180</v>
      </c>
      <c r="X1100" s="77">
        <f>'Dropdown Lists'!$I$2*(1+OrdersTable[[#This Row],[Returned]])</f>
        <v>60</v>
      </c>
      <c r="Y1100" s="76">
        <f>OrdersTable[[#This Row],[Net Revenue]]-OrdersTable[[#This Row],[COGS]]-OrdersTable[[#This Row],[Shipping Cost]]</f>
        <v>269.14999999999998</v>
      </c>
      <c r="Z1100" s="78">
        <f>IFERROR(OrdersTable[[#This Row],[Profit]]/OrdersTable[[#This Row],[Net Revenue]],0)</f>
        <v>0.52862614160856325</v>
      </c>
      <c r="AA1100" t="s">
        <v>4074</v>
      </c>
      <c r="AB1100" s="79">
        <v>45516</v>
      </c>
      <c r="AC1100">
        <f>OrdersTable[[#This Row],[Delivery Date]]-OrdersTable[[#This Row],[Order Date]]</f>
        <v>3</v>
      </c>
      <c r="AD1100" t="str">
        <f>IF(OrdersTable[[#This Row],[Delivery Days]]&lt;=2, "Express (≤2d)", IF(OrdersTable[[#This Row],[Delivery Days]]&lt;=4, "Standard (3-4d)", "Delayed (5d+)"))</f>
        <v>Standard (3-4d)</v>
      </c>
      <c r="AE1100">
        <v>4</v>
      </c>
      <c r="AF1100">
        <v>0</v>
      </c>
    </row>
    <row r="1101" spans="1:32" ht="15" x14ac:dyDescent="0.35">
      <c r="A1101" t="s">
        <v>169</v>
      </c>
      <c r="B1101" s="1">
        <v>45514</v>
      </c>
      <c r="C1101">
        <f>YEAR(OrdersTable[[#This Row],[Order Date]])</f>
        <v>2024</v>
      </c>
      <c r="D1101" s="2">
        <f>DATE(YEAR(OrdersTable[[#This Row],[Order Date]]),MONTH(OrdersTable[[#This Row],[Order Date]]),1)</f>
        <v>45505</v>
      </c>
      <c r="E1101">
        <f>MONTH(OrdersTable[[#This Row],[Order Date]])</f>
        <v>8</v>
      </c>
      <c r="F1101" t="s">
        <v>170</v>
      </c>
      <c r="G1101" t="str">
        <f>IF(OrdersTable[[#This Row],[Order Date]]=_xlfn.MINIFS(Order_Date, Customer_ID, OrdersTable[[#This Row],[Customer ID]]), "New", "Repeat")</f>
        <v>New</v>
      </c>
      <c r="H1101" t="s">
        <v>21</v>
      </c>
      <c r="I1101" t="str">
        <f>INDEX(State!B:B,MATCH(OrdersTable[[#This Row],[State]],State!A:A,0))</f>
        <v>PB</v>
      </c>
      <c r="J1101" t="str">
        <f>INDEX(State!C:C,MATCH(OrdersTable[[#This Row],[State Code]],State!B:B,0))</f>
        <v>North</v>
      </c>
      <c r="K1101" t="s">
        <v>22</v>
      </c>
      <c r="L1101" t="s">
        <v>50</v>
      </c>
      <c r="M1101" t="s">
        <v>106</v>
      </c>
      <c r="N1101" t="str">
        <f>INDEX(Products!B:B,MATCH(OrdersTable[[#This Row],[Product ID]],Products!A:A,0))</f>
        <v>Keratin Hair Mask</v>
      </c>
      <c r="O1101" t="str">
        <f>INDEX(Products!C:C,MATCH(OrdersTable[[#This Row],[Product ID]],Products!A:A,0))</f>
        <v>Haircare</v>
      </c>
      <c r="P1101">
        <v>1</v>
      </c>
      <c r="Q1101" s="5">
        <v>549</v>
      </c>
      <c r="R1101" s="74">
        <v>0.15</v>
      </c>
      <c r="S1101" s="75">
        <f>OrdersTable[[#This Row],[Quantity]]*OrdersTable[[#This Row],[Unit Price]]</f>
        <v>549</v>
      </c>
      <c r="T1101" s="5">
        <f>OrdersTable[[#This Row],[Gross Sale]]*OrdersTable[[#This Row],[Discount_Clean2]]</f>
        <v>82.35</v>
      </c>
      <c r="U1101" s="5">
        <f>OrdersTable[[#This Row],[Gross Sale]]-OrdersTable[[#This Row],[Discount Amount]]</f>
        <v>466.65</v>
      </c>
      <c r="V1101" s="77">
        <f>INDEX(Products!E:E,MATCH(OrdersTable[[#This Row],[Product ID]],Products!A:A,0))</f>
        <v>170</v>
      </c>
      <c r="W1101" s="77">
        <f>OrdersTable[[#This Row],[Quantity]]*OrdersTable[[#This Row],[Unit Cost]]</f>
        <v>170</v>
      </c>
      <c r="X1101" s="77">
        <f>'Dropdown Lists'!$I$2*(1+OrdersTable[[#This Row],[Returned]])</f>
        <v>60</v>
      </c>
      <c r="Y1101" s="76">
        <f>OrdersTable[[#This Row],[Net Revenue]]-OrdersTable[[#This Row],[COGS]]-OrdersTable[[#This Row],[Shipping Cost]]</f>
        <v>236.64999999999998</v>
      </c>
      <c r="Z1101" s="78">
        <f>IFERROR(OrdersTable[[#This Row],[Profit]]/OrdersTable[[#This Row],[Net Revenue]],0)</f>
        <v>0.50712525447337398</v>
      </c>
      <c r="AA1101" t="s">
        <v>18</v>
      </c>
      <c r="AB1101" s="79">
        <v>45517</v>
      </c>
      <c r="AC1101">
        <f>OrdersTable[[#This Row],[Delivery Date]]-OrdersTable[[#This Row],[Order Date]]</f>
        <v>3</v>
      </c>
      <c r="AD1101" t="str">
        <f>IF(OrdersTable[[#This Row],[Delivery Days]]&lt;=2, "Express (≤2d)", IF(OrdersTable[[#This Row],[Delivery Days]]&lt;=4, "Standard (3-4d)", "Delayed (5d+)"))</f>
        <v>Standard (3-4d)</v>
      </c>
      <c r="AE1101">
        <v>4</v>
      </c>
      <c r="AF1101">
        <v>0</v>
      </c>
    </row>
    <row r="1102" spans="1:32" ht="15" x14ac:dyDescent="0.35">
      <c r="A1102" t="s">
        <v>5100</v>
      </c>
      <c r="B1102" s="1">
        <v>45514</v>
      </c>
      <c r="C1102">
        <f>YEAR(OrdersTable[[#This Row],[Order Date]])</f>
        <v>2024</v>
      </c>
      <c r="D1102" s="2">
        <f>DATE(YEAR(OrdersTable[[#This Row],[Order Date]]),MONTH(OrdersTable[[#This Row],[Order Date]]),1)</f>
        <v>45505</v>
      </c>
      <c r="E1102">
        <f>MONTH(OrdersTable[[#This Row],[Order Date]])</f>
        <v>8</v>
      </c>
      <c r="F1102" t="s">
        <v>5101</v>
      </c>
      <c r="G1102" t="str">
        <f>IF(OrdersTable[[#This Row],[Order Date]]=_xlfn.MINIFS(Order_Date, Customer_ID, OrdersTable[[#This Row],[Customer ID]]), "New", "Repeat")</f>
        <v>New</v>
      </c>
      <c r="H1102" t="s">
        <v>32</v>
      </c>
      <c r="I1102" t="str">
        <f>INDEX(State!B:B,MATCH(OrdersTable[[#This Row],[State]],State!A:A,0))</f>
        <v>BR</v>
      </c>
      <c r="J1102" t="str">
        <f>INDEX(State!C:C,MATCH(OrdersTable[[#This Row],[State Code]],State!B:B,0))</f>
        <v>East</v>
      </c>
      <c r="K1102" t="s">
        <v>33</v>
      </c>
      <c r="L1102" t="s">
        <v>50</v>
      </c>
      <c r="M1102" t="s">
        <v>106</v>
      </c>
      <c r="N1102" t="str">
        <f>INDEX(Products!B:B,MATCH(OrdersTable[[#This Row],[Product ID]],Products!A:A,0))</f>
        <v>Keratin Hair Mask</v>
      </c>
      <c r="O1102" t="str">
        <f>INDEX(Products!C:C,MATCH(OrdersTable[[#This Row],[Product ID]],Products!A:A,0))</f>
        <v>Haircare</v>
      </c>
      <c r="P1102">
        <v>2</v>
      </c>
      <c r="Q1102" s="5">
        <v>549</v>
      </c>
      <c r="R1102" s="74">
        <v>0.25</v>
      </c>
      <c r="S1102" s="75">
        <f>OrdersTable[[#This Row],[Quantity]]*OrdersTable[[#This Row],[Unit Price]]</f>
        <v>1098</v>
      </c>
      <c r="T1102" s="5">
        <f>OrdersTable[[#This Row],[Gross Sale]]*OrdersTable[[#This Row],[Discount_Clean2]]</f>
        <v>274.5</v>
      </c>
      <c r="U1102" s="5">
        <f>OrdersTable[[#This Row],[Gross Sale]]-OrdersTable[[#This Row],[Discount Amount]]</f>
        <v>823.5</v>
      </c>
      <c r="V1102" s="77">
        <f>INDEX(Products!E:E,MATCH(OrdersTable[[#This Row],[Product ID]],Products!A:A,0))</f>
        <v>170</v>
      </c>
      <c r="W1102" s="77">
        <f>OrdersTable[[#This Row],[Quantity]]*OrdersTable[[#This Row],[Unit Cost]]</f>
        <v>340</v>
      </c>
      <c r="X1102" s="77">
        <f>'Dropdown Lists'!$I$2*(1+OrdersTable[[#This Row],[Returned]])</f>
        <v>60</v>
      </c>
      <c r="Y1102" s="76">
        <f>OrdersTable[[#This Row],[Net Revenue]]-OrdersTable[[#This Row],[COGS]]-OrdersTable[[#This Row],[Shipping Cost]]</f>
        <v>423.5</v>
      </c>
      <c r="Z1102" s="78">
        <f>IFERROR(OrdersTable[[#This Row],[Profit]]/OrdersTable[[#This Row],[Net Revenue]],0)</f>
        <v>0.51426836672738307</v>
      </c>
      <c r="AA1102" t="s">
        <v>3495</v>
      </c>
      <c r="AB1102" s="79">
        <v>45520</v>
      </c>
      <c r="AC1102">
        <f>OrdersTable[[#This Row],[Delivery Date]]-OrdersTable[[#This Row],[Order Date]]</f>
        <v>6</v>
      </c>
      <c r="AD1102" t="str">
        <f>IF(OrdersTable[[#This Row],[Delivery Days]]&lt;=2, "Express (≤2d)", IF(OrdersTable[[#This Row],[Delivery Days]]&lt;=4, "Standard (3-4d)", "Delayed (5d+)"))</f>
        <v>Delayed (5d+)</v>
      </c>
      <c r="AF1102">
        <v>0</v>
      </c>
    </row>
    <row r="1103" spans="1:32" ht="15" x14ac:dyDescent="0.35">
      <c r="A1103" t="s">
        <v>5102</v>
      </c>
      <c r="B1103" s="1">
        <v>45514</v>
      </c>
      <c r="C1103">
        <f>YEAR(OrdersTable[[#This Row],[Order Date]])</f>
        <v>2024</v>
      </c>
      <c r="D1103" s="2">
        <f>DATE(YEAR(OrdersTable[[#This Row],[Order Date]]),MONTH(OrdersTable[[#This Row],[Order Date]]),1)</f>
        <v>45505</v>
      </c>
      <c r="E1103">
        <f>MONTH(OrdersTable[[#This Row],[Order Date]])</f>
        <v>8</v>
      </c>
      <c r="F1103" t="s">
        <v>5103</v>
      </c>
      <c r="G1103" t="str">
        <f>IF(OrdersTable[[#This Row],[Order Date]]=_xlfn.MINIFS(Order_Date, Customer_ID, OrdersTable[[#This Row],[Customer ID]]), "New", "Repeat")</f>
        <v>New</v>
      </c>
      <c r="H1103" t="s">
        <v>37</v>
      </c>
      <c r="I1103" t="str">
        <f>INDEX(State!B:B,MATCH(OrdersTable[[#This Row],[State]],State!A:A,0))</f>
        <v>GJ</v>
      </c>
      <c r="J1103" t="str">
        <f>INDEX(State!C:C,MATCH(OrdersTable[[#This Row],[State Code]],State!B:B,0))</f>
        <v>West</v>
      </c>
      <c r="K1103" t="s">
        <v>247</v>
      </c>
      <c r="L1103" t="s">
        <v>16</v>
      </c>
      <c r="M1103" t="s">
        <v>87</v>
      </c>
      <c r="N1103" t="str">
        <f>INDEX(Products!B:B,MATCH(OrdersTable[[#This Row],[Product ID]],Products!A:A,0))</f>
        <v>Linen Kurta</v>
      </c>
      <c r="O1103" t="str">
        <f>INDEX(Products!C:C,MATCH(OrdersTable[[#This Row],[Product ID]],Products!A:A,0))</f>
        <v>Apparel</v>
      </c>
      <c r="P1103">
        <v>2</v>
      </c>
      <c r="Q1103" s="5">
        <v>1499</v>
      </c>
      <c r="R1103" s="74">
        <v>0.3</v>
      </c>
      <c r="S1103" s="75">
        <f>OrdersTable[[#This Row],[Quantity]]*OrdersTable[[#This Row],[Unit Price]]</f>
        <v>2998</v>
      </c>
      <c r="T1103" s="5">
        <f>OrdersTable[[#This Row],[Gross Sale]]*OrdersTable[[#This Row],[Discount_Clean2]]</f>
        <v>899.4</v>
      </c>
      <c r="U1103" s="5">
        <f>OrdersTable[[#This Row],[Gross Sale]]-OrdersTable[[#This Row],[Discount Amount]]</f>
        <v>2098.6</v>
      </c>
      <c r="V1103" s="77">
        <f>INDEX(Products!E:E,MATCH(OrdersTable[[#This Row],[Product ID]],Products!A:A,0))</f>
        <v>630</v>
      </c>
      <c r="W1103" s="77">
        <f>OrdersTable[[#This Row],[Quantity]]*OrdersTable[[#This Row],[Unit Cost]]</f>
        <v>1260</v>
      </c>
      <c r="X1103" s="77">
        <f>'Dropdown Lists'!$I$2*(1+OrdersTable[[#This Row],[Returned]])</f>
        <v>60</v>
      </c>
      <c r="Y1103" s="76">
        <f>OrdersTable[[#This Row],[Net Revenue]]-OrdersTable[[#This Row],[COGS]]-OrdersTable[[#This Row],[Shipping Cost]]</f>
        <v>778.59999999999991</v>
      </c>
      <c r="Z1103" s="78">
        <f>IFERROR(OrdersTable[[#This Row],[Profit]]/OrdersTable[[#This Row],[Net Revenue]],0)</f>
        <v>0.3710092442580768</v>
      </c>
      <c r="AA1103" t="s">
        <v>3495</v>
      </c>
      <c r="AB1103" s="79">
        <v>45516</v>
      </c>
      <c r="AC1103">
        <f>OrdersTable[[#This Row],[Delivery Date]]-OrdersTable[[#This Row],[Order Date]]</f>
        <v>2</v>
      </c>
      <c r="AD1103" t="str">
        <f>IF(OrdersTable[[#This Row],[Delivery Days]]&lt;=2, "Express (≤2d)", IF(OrdersTable[[#This Row],[Delivery Days]]&lt;=4, "Standard (3-4d)", "Delayed (5d+)"))</f>
        <v>Express (≤2d)</v>
      </c>
      <c r="AE1103">
        <v>4</v>
      </c>
      <c r="AF1103">
        <v>0</v>
      </c>
    </row>
    <row r="1104" spans="1:32" ht="15" x14ac:dyDescent="0.35">
      <c r="A1104" t="s">
        <v>2297</v>
      </c>
      <c r="B1104" s="1">
        <v>45514</v>
      </c>
      <c r="C1104">
        <f>YEAR(OrdersTable[[#This Row],[Order Date]])</f>
        <v>2024</v>
      </c>
      <c r="D1104" s="2">
        <f>DATE(YEAR(OrdersTable[[#This Row],[Order Date]]),MONTH(OrdersTable[[#This Row],[Order Date]]),1)</f>
        <v>45505</v>
      </c>
      <c r="E1104">
        <f>MONTH(OrdersTable[[#This Row],[Order Date]])</f>
        <v>8</v>
      </c>
      <c r="F1104" t="s">
        <v>2298</v>
      </c>
      <c r="G1104" t="str">
        <f>IF(OrdersTable[[#This Row],[Order Date]]=_xlfn.MINIFS(Order_Date, Customer_ID, OrdersTable[[#This Row],[Customer ID]]), "New", "Repeat")</f>
        <v>New</v>
      </c>
      <c r="H1104" t="s">
        <v>71</v>
      </c>
      <c r="I1104" t="str">
        <f>INDEX(State!B:B,MATCH(OrdersTable[[#This Row],[State]],State!A:A,0))</f>
        <v>MH</v>
      </c>
      <c r="J1104" t="str">
        <f>INDEX(State!C:C,MATCH(OrdersTable[[#This Row],[State Code]],State!B:B,0))</f>
        <v>West</v>
      </c>
      <c r="K1104" t="s">
        <v>102</v>
      </c>
      <c r="L1104" t="s">
        <v>23</v>
      </c>
      <c r="M1104" t="s">
        <v>109</v>
      </c>
      <c r="N1104" t="str">
        <f>INDEX(Products!B:B,MATCH(OrdersTable[[#This Row],[Product ID]],Products!A:A,0))</f>
        <v>Onion Hair Oil</v>
      </c>
      <c r="O1104" t="str">
        <f>INDEX(Products!C:C,MATCH(OrdersTable[[#This Row],[Product ID]],Products!A:A,0))</f>
        <v>Haircare</v>
      </c>
      <c r="P1104">
        <v>1</v>
      </c>
      <c r="Q1104" s="5">
        <v>349</v>
      </c>
      <c r="R1104" s="74">
        <v>0.3</v>
      </c>
      <c r="S1104" s="75">
        <f>OrdersTable[[#This Row],[Quantity]]*OrdersTable[[#This Row],[Unit Price]]</f>
        <v>349</v>
      </c>
      <c r="T1104" s="5">
        <f>OrdersTable[[#This Row],[Gross Sale]]*OrdersTable[[#This Row],[Discount_Clean2]]</f>
        <v>104.7</v>
      </c>
      <c r="U1104" s="5">
        <f>OrdersTable[[#This Row],[Gross Sale]]-OrdersTable[[#This Row],[Discount Amount]]</f>
        <v>244.3</v>
      </c>
      <c r="V1104" s="77">
        <f>INDEX(Products!E:E,MATCH(OrdersTable[[#This Row],[Product ID]],Products!A:A,0))</f>
        <v>105</v>
      </c>
      <c r="W1104" s="77">
        <f>OrdersTable[[#This Row],[Quantity]]*OrdersTable[[#This Row],[Unit Cost]]</f>
        <v>105</v>
      </c>
      <c r="X1104" s="77">
        <f>'Dropdown Lists'!$I$2*(1+OrdersTable[[#This Row],[Returned]])</f>
        <v>60</v>
      </c>
      <c r="Y1104" s="76">
        <f>OrdersTable[[#This Row],[Net Revenue]]-OrdersTable[[#This Row],[COGS]]-OrdersTable[[#This Row],[Shipping Cost]]</f>
        <v>79.300000000000011</v>
      </c>
      <c r="Z1104" s="78">
        <f>IFERROR(OrdersTable[[#This Row],[Profit]]/OrdersTable[[#This Row],[Net Revenue]],0)</f>
        <v>0.32460090053213264</v>
      </c>
      <c r="AA1104" t="s">
        <v>18</v>
      </c>
      <c r="AB1104" s="79">
        <v>45515</v>
      </c>
      <c r="AC1104">
        <f>OrdersTable[[#This Row],[Delivery Date]]-OrdersTable[[#This Row],[Order Date]]</f>
        <v>1</v>
      </c>
      <c r="AD1104" t="str">
        <f>IF(OrdersTable[[#This Row],[Delivery Days]]&lt;=2, "Express (≤2d)", IF(OrdersTable[[#This Row],[Delivery Days]]&lt;=4, "Standard (3-4d)", "Delayed (5d+)"))</f>
        <v>Express (≤2d)</v>
      </c>
      <c r="AE1104">
        <v>5</v>
      </c>
      <c r="AF1104">
        <v>0</v>
      </c>
    </row>
    <row r="1105" spans="1:32" ht="15" x14ac:dyDescent="0.35">
      <c r="A1105" t="s">
        <v>2939</v>
      </c>
      <c r="B1105" s="1">
        <v>45514</v>
      </c>
      <c r="C1105">
        <f>YEAR(OrdersTable[[#This Row],[Order Date]])</f>
        <v>2024</v>
      </c>
      <c r="D1105" s="2">
        <f>DATE(YEAR(OrdersTable[[#This Row],[Order Date]]),MONTH(OrdersTable[[#This Row],[Order Date]]),1)</f>
        <v>45505</v>
      </c>
      <c r="E1105">
        <f>MONTH(OrdersTable[[#This Row],[Order Date]])</f>
        <v>8</v>
      </c>
      <c r="F1105" t="s">
        <v>2894</v>
      </c>
      <c r="G1105" t="str">
        <f>IF(OrdersTable[[#This Row],[Order Date]]=_xlfn.MINIFS(Order_Date, Customer_ID, OrdersTable[[#This Row],[Customer ID]]), "New", "Repeat")</f>
        <v>Repeat</v>
      </c>
      <c r="H1105" t="s">
        <v>95</v>
      </c>
      <c r="I1105" t="str">
        <f>INDEX(State!B:B,MATCH(OrdersTable[[#This Row],[State]],State!A:A,0))</f>
        <v>TG</v>
      </c>
      <c r="J1105" t="str">
        <f>INDEX(State!C:C,MATCH(OrdersTable[[#This Row],[State Code]],State!B:B,0))</f>
        <v>South</v>
      </c>
      <c r="K1105" t="s">
        <v>96</v>
      </c>
      <c r="L1105" t="s">
        <v>65</v>
      </c>
      <c r="M1105" t="s">
        <v>51</v>
      </c>
      <c r="N1105" t="str">
        <f>INDEX(Products!B:B,MATCH(OrdersTable[[#This Row],[Product ID]],Products!A:A,0))</f>
        <v>Anti-Dandruff Conditioner</v>
      </c>
      <c r="O1105" t="str">
        <f>INDEX(Products!C:C,MATCH(OrdersTable[[#This Row],[Product ID]],Products!A:A,0))</f>
        <v>Haircare</v>
      </c>
      <c r="P1105">
        <v>1</v>
      </c>
      <c r="Q1105" s="5">
        <v>399</v>
      </c>
      <c r="R1105" s="74">
        <v>0.45</v>
      </c>
      <c r="S1105" s="75">
        <f>OrdersTable[[#This Row],[Quantity]]*OrdersTable[[#This Row],[Unit Price]]</f>
        <v>399</v>
      </c>
      <c r="T1105" s="5">
        <f>OrdersTable[[#This Row],[Gross Sale]]*OrdersTable[[#This Row],[Discount_Clean2]]</f>
        <v>179.55</v>
      </c>
      <c r="U1105" s="5">
        <f>OrdersTable[[#This Row],[Gross Sale]]-OrdersTable[[#This Row],[Discount Amount]]</f>
        <v>219.45</v>
      </c>
      <c r="V1105" s="77">
        <f>INDEX(Products!E:E,MATCH(OrdersTable[[#This Row],[Product ID]],Products!A:A,0))</f>
        <v>136</v>
      </c>
      <c r="W1105" s="77">
        <f>OrdersTable[[#This Row],[Quantity]]*OrdersTable[[#This Row],[Unit Cost]]</f>
        <v>136</v>
      </c>
      <c r="X1105" s="77">
        <f>'Dropdown Lists'!$I$2*(1+OrdersTable[[#This Row],[Returned]])</f>
        <v>60</v>
      </c>
      <c r="Y1105" s="76">
        <f>OrdersTable[[#This Row],[Net Revenue]]-OrdersTable[[#This Row],[COGS]]-OrdersTable[[#This Row],[Shipping Cost]]</f>
        <v>23.449999999999989</v>
      </c>
      <c r="Z1105" s="78">
        <f>IFERROR(OrdersTable[[#This Row],[Profit]]/OrdersTable[[#This Row],[Net Revenue]],0)</f>
        <v>0.10685805422647524</v>
      </c>
      <c r="AA1105" t="s">
        <v>2522</v>
      </c>
      <c r="AB1105" s="79">
        <v>45516</v>
      </c>
      <c r="AC1105">
        <f>OrdersTable[[#This Row],[Delivery Date]]-OrdersTable[[#This Row],[Order Date]]</f>
        <v>2</v>
      </c>
      <c r="AD1105" t="str">
        <f>IF(OrdersTable[[#This Row],[Delivery Days]]&lt;=2, "Express (≤2d)", IF(OrdersTable[[#This Row],[Delivery Days]]&lt;=4, "Standard (3-4d)", "Delayed (5d+)"))</f>
        <v>Express (≤2d)</v>
      </c>
      <c r="AF1105">
        <v>0</v>
      </c>
    </row>
    <row r="1106" spans="1:32" ht="15" x14ac:dyDescent="0.35">
      <c r="A1106" t="s">
        <v>6294</v>
      </c>
      <c r="B1106" s="1">
        <v>45515</v>
      </c>
      <c r="C1106">
        <f>YEAR(OrdersTable[[#This Row],[Order Date]])</f>
        <v>2024</v>
      </c>
      <c r="D1106" s="2">
        <f>DATE(YEAR(OrdersTable[[#This Row],[Order Date]]),MONTH(OrdersTable[[#This Row],[Order Date]]),1)</f>
        <v>45505</v>
      </c>
      <c r="E1106">
        <f>MONTH(OrdersTable[[#This Row],[Order Date]])</f>
        <v>8</v>
      </c>
      <c r="F1106" t="s">
        <v>2984</v>
      </c>
      <c r="G1106" t="str">
        <f>IF(OrdersTable[[#This Row],[Order Date]]=_xlfn.MINIFS(Order_Date, Customer_ID, OrdersTable[[#This Row],[Customer ID]]), "New", "Repeat")</f>
        <v>Repeat</v>
      </c>
      <c r="H1106" t="s">
        <v>76</v>
      </c>
      <c r="I1106" t="str">
        <f>INDEX(State!B:B,MATCH(OrdersTable[[#This Row],[State]],State!A:A,0))</f>
        <v>UP</v>
      </c>
      <c r="J1106" t="str">
        <f>INDEX(State!C:C,MATCH(OrdersTable[[#This Row],[State Code]],State!B:B,0))</f>
        <v>North</v>
      </c>
      <c r="K1106" t="s">
        <v>118</v>
      </c>
      <c r="L1106" t="s">
        <v>50</v>
      </c>
      <c r="M1106" t="s">
        <v>152</v>
      </c>
      <c r="N1106" t="str">
        <f>INDEX(Products!B:B,MATCH(OrdersTable[[#This Row],[Product ID]],Products!A:A,0))</f>
        <v>Green Tea (100 bags)</v>
      </c>
      <c r="O1106" t="str">
        <f>INDEX(Products!C:C,MATCH(OrdersTable[[#This Row],[Product ID]],Products!A:A,0))</f>
        <v>Wellness</v>
      </c>
      <c r="P1106">
        <v>2</v>
      </c>
      <c r="Q1106" s="5">
        <v>399</v>
      </c>
      <c r="R1106" s="74">
        <v>0.3</v>
      </c>
      <c r="S1106" s="75">
        <f>OrdersTable[[#This Row],[Quantity]]*OrdersTable[[#This Row],[Unit Price]]</f>
        <v>798</v>
      </c>
      <c r="T1106" s="5">
        <f>OrdersTable[[#This Row],[Gross Sale]]*OrdersTable[[#This Row],[Discount_Clean2]]</f>
        <v>239.39999999999998</v>
      </c>
      <c r="U1106" s="5">
        <f>OrdersTable[[#This Row],[Gross Sale]]-OrdersTable[[#This Row],[Discount Amount]]</f>
        <v>558.6</v>
      </c>
      <c r="V1106" s="77">
        <f>INDEX(Products!E:E,MATCH(OrdersTable[[#This Row],[Product ID]],Products!A:A,0))</f>
        <v>128</v>
      </c>
      <c r="W1106" s="77">
        <f>OrdersTable[[#This Row],[Quantity]]*OrdersTable[[#This Row],[Unit Cost]]</f>
        <v>256</v>
      </c>
      <c r="X1106" s="77">
        <f>'Dropdown Lists'!$I$2*(1+OrdersTable[[#This Row],[Returned]])</f>
        <v>60</v>
      </c>
      <c r="Y1106" s="76">
        <f>OrdersTable[[#This Row],[Net Revenue]]-OrdersTable[[#This Row],[COGS]]-OrdersTable[[#This Row],[Shipping Cost]]</f>
        <v>242.60000000000002</v>
      </c>
      <c r="Z1106" s="78">
        <f>IFERROR(OrdersTable[[#This Row],[Profit]]/OrdersTable[[#This Row],[Net Revenue]],0)</f>
        <v>0.43430003580379523</v>
      </c>
      <c r="AA1106" t="s">
        <v>18</v>
      </c>
      <c r="AB1106" s="79">
        <v>45519</v>
      </c>
      <c r="AC1106">
        <f>OrdersTable[[#This Row],[Delivery Date]]-OrdersTable[[#This Row],[Order Date]]</f>
        <v>4</v>
      </c>
      <c r="AD1106" t="str">
        <f>IF(OrdersTable[[#This Row],[Delivery Days]]&lt;=2, "Express (≤2d)", IF(OrdersTable[[#This Row],[Delivery Days]]&lt;=4, "Standard (3-4d)", "Delayed (5d+)"))</f>
        <v>Standard (3-4d)</v>
      </c>
      <c r="AF1106">
        <v>0</v>
      </c>
    </row>
    <row r="1107" spans="1:32" ht="15" x14ac:dyDescent="0.35">
      <c r="A1107" t="s">
        <v>757</v>
      </c>
      <c r="B1107" s="1">
        <v>45515</v>
      </c>
      <c r="C1107">
        <f>YEAR(OrdersTable[[#This Row],[Order Date]])</f>
        <v>2024</v>
      </c>
      <c r="D1107" s="2">
        <f>DATE(YEAR(OrdersTable[[#This Row],[Order Date]]),MONTH(OrdersTable[[#This Row],[Order Date]]),1)</f>
        <v>45505</v>
      </c>
      <c r="E1107">
        <f>MONTH(OrdersTable[[#This Row],[Order Date]])</f>
        <v>8</v>
      </c>
      <c r="F1107" t="s">
        <v>613</v>
      </c>
      <c r="G1107" t="str">
        <f>IF(OrdersTable[[#This Row],[Order Date]]=_xlfn.MINIFS(Order_Date, Customer_ID, OrdersTable[[#This Row],[Customer ID]]), "New", "Repeat")</f>
        <v>New</v>
      </c>
      <c r="H1107" t="s">
        <v>76</v>
      </c>
      <c r="I1107" t="str">
        <f>INDEX(State!B:B,MATCH(OrdersTable[[#This Row],[State]],State!A:A,0))</f>
        <v>UP</v>
      </c>
      <c r="J1107" t="str">
        <f>INDEX(State!C:C,MATCH(OrdersTable[[#This Row],[State Code]],State!B:B,0))</f>
        <v>North</v>
      </c>
      <c r="K1107" t="s">
        <v>118</v>
      </c>
      <c r="L1107" t="s">
        <v>39</v>
      </c>
      <c r="M1107" t="s">
        <v>40</v>
      </c>
      <c r="N1107" t="str">
        <f>INDEX(Products!B:B,MATCH(OrdersTable[[#This Row],[Product ID]],Products!A:A,0))</f>
        <v>Ashwagandha Capsules</v>
      </c>
      <c r="O1107" t="str">
        <f>INDEX(Products!C:C,MATCH(OrdersTable[[#This Row],[Product ID]],Products!A:A,0))</f>
        <v>Wellness</v>
      </c>
      <c r="P1107">
        <v>1</v>
      </c>
      <c r="Q1107" s="5">
        <v>499</v>
      </c>
      <c r="R1107" s="74">
        <v>0.05</v>
      </c>
      <c r="S1107" s="75">
        <f>OrdersTable[[#This Row],[Quantity]]*OrdersTable[[#This Row],[Unit Price]]</f>
        <v>499</v>
      </c>
      <c r="T1107" s="5">
        <f>OrdersTable[[#This Row],[Gross Sale]]*OrdersTable[[#This Row],[Discount_Clean2]]</f>
        <v>24.950000000000003</v>
      </c>
      <c r="U1107" s="5">
        <f>OrdersTable[[#This Row],[Gross Sale]]-OrdersTable[[#This Row],[Discount Amount]]</f>
        <v>474.05</v>
      </c>
      <c r="V1107" s="77">
        <f>INDEX(Products!E:E,MATCH(OrdersTable[[#This Row],[Product ID]],Products!A:A,0))</f>
        <v>150</v>
      </c>
      <c r="W1107" s="77">
        <f>OrdersTable[[#This Row],[Quantity]]*OrdersTable[[#This Row],[Unit Cost]]</f>
        <v>150</v>
      </c>
      <c r="X1107" s="77">
        <f>'Dropdown Lists'!$I$2*(1+OrdersTable[[#This Row],[Returned]])</f>
        <v>60</v>
      </c>
      <c r="Y1107" s="76">
        <f>OrdersTable[[#This Row],[Net Revenue]]-OrdersTable[[#This Row],[COGS]]-OrdersTable[[#This Row],[Shipping Cost]]</f>
        <v>264.05</v>
      </c>
      <c r="Z1107" s="78">
        <f>IFERROR(OrdersTable[[#This Row],[Profit]]/OrdersTable[[#This Row],[Net Revenue]],0)</f>
        <v>0.55700875435080688</v>
      </c>
      <c r="AA1107" t="s">
        <v>18</v>
      </c>
      <c r="AB1107" s="79">
        <v>45518</v>
      </c>
      <c r="AC1107">
        <f>OrdersTable[[#This Row],[Delivery Date]]-OrdersTable[[#This Row],[Order Date]]</f>
        <v>3</v>
      </c>
      <c r="AD1107" t="str">
        <f>IF(OrdersTable[[#This Row],[Delivery Days]]&lt;=2, "Express (≤2d)", IF(OrdersTable[[#This Row],[Delivery Days]]&lt;=4, "Standard (3-4d)", "Delayed (5d+)"))</f>
        <v>Standard (3-4d)</v>
      </c>
      <c r="AE1107">
        <v>4</v>
      </c>
      <c r="AF1107">
        <v>0</v>
      </c>
    </row>
    <row r="1108" spans="1:32" ht="15" x14ac:dyDescent="0.35">
      <c r="A1108" t="s">
        <v>4573</v>
      </c>
      <c r="B1108" s="1">
        <v>45515</v>
      </c>
      <c r="C1108">
        <f>YEAR(OrdersTable[[#This Row],[Order Date]])</f>
        <v>2024</v>
      </c>
      <c r="D1108" s="2">
        <f>DATE(YEAR(OrdersTable[[#This Row],[Order Date]]),MONTH(OrdersTable[[#This Row],[Order Date]]),1)</f>
        <v>45505</v>
      </c>
      <c r="E1108">
        <f>MONTH(OrdersTable[[#This Row],[Order Date]])</f>
        <v>8</v>
      </c>
      <c r="F1108" t="s">
        <v>1214</v>
      </c>
      <c r="G1108" t="str">
        <f>IF(OrdersTable[[#This Row],[Order Date]]=_xlfn.MINIFS(Order_Date, Customer_ID, OrdersTable[[#This Row],[Customer ID]]), "New", "Repeat")</f>
        <v>Repeat</v>
      </c>
      <c r="H1108" t="s">
        <v>43</v>
      </c>
      <c r="I1108" t="str">
        <f>INDEX(State!B:B,MATCH(OrdersTable[[#This Row],[State]],State!A:A,0))</f>
        <v>MP</v>
      </c>
      <c r="J1108" t="str">
        <f>INDEX(State!C:C,MATCH(OrdersTable[[#This Row],[State Code]],State!B:B,0))</f>
        <v>West</v>
      </c>
      <c r="K1108" t="s">
        <v>44</v>
      </c>
      <c r="L1108" t="s">
        <v>23</v>
      </c>
      <c r="M1108" t="s">
        <v>40</v>
      </c>
      <c r="N1108" t="str">
        <f>INDEX(Products!B:B,MATCH(OrdersTable[[#This Row],[Product ID]],Products!A:A,0))</f>
        <v>Ashwagandha Capsules</v>
      </c>
      <c r="O1108" t="str">
        <f>INDEX(Products!C:C,MATCH(OrdersTable[[#This Row],[Product ID]],Products!A:A,0))</f>
        <v>Wellness</v>
      </c>
      <c r="P1108">
        <v>1</v>
      </c>
      <c r="Q1108" s="5">
        <v>499</v>
      </c>
      <c r="R1108" s="74">
        <v>0.1</v>
      </c>
      <c r="S1108" s="75">
        <f>OrdersTable[[#This Row],[Quantity]]*OrdersTable[[#This Row],[Unit Price]]</f>
        <v>499</v>
      </c>
      <c r="T1108" s="5">
        <f>OrdersTable[[#This Row],[Gross Sale]]*OrdersTable[[#This Row],[Discount_Clean2]]</f>
        <v>49.900000000000006</v>
      </c>
      <c r="U1108" s="5">
        <f>OrdersTable[[#This Row],[Gross Sale]]-OrdersTable[[#This Row],[Discount Amount]]</f>
        <v>449.1</v>
      </c>
      <c r="V1108" s="77">
        <f>INDEX(Products!E:E,MATCH(OrdersTable[[#This Row],[Product ID]],Products!A:A,0))</f>
        <v>150</v>
      </c>
      <c r="W1108" s="77">
        <f>OrdersTable[[#This Row],[Quantity]]*OrdersTable[[#This Row],[Unit Cost]]</f>
        <v>150</v>
      </c>
      <c r="X1108" s="77">
        <f>'Dropdown Lists'!$I$2*(1+OrdersTable[[#This Row],[Returned]])</f>
        <v>60</v>
      </c>
      <c r="Y1108" s="76">
        <f>OrdersTable[[#This Row],[Net Revenue]]-OrdersTable[[#This Row],[COGS]]-OrdersTable[[#This Row],[Shipping Cost]]</f>
        <v>239.10000000000002</v>
      </c>
      <c r="Z1108" s="78">
        <f>IFERROR(OrdersTable[[#This Row],[Profit]]/OrdersTable[[#This Row],[Net Revenue]],0)</f>
        <v>0.53239812959251842</v>
      </c>
      <c r="AA1108" t="s">
        <v>4450</v>
      </c>
      <c r="AB1108" s="79">
        <v>45518</v>
      </c>
      <c r="AC1108">
        <f>OrdersTable[[#This Row],[Delivery Date]]-OrdersTable[[#This Row],[Order Date]]</f>
        <v>3</v>
      </c>
      <c r="AD1108" t="str">
        <f>IF(OrdersTable[[#This Row],[Delivery Days]]&lt;=2, "Express (≤2d)", IF(OrdersTable[[#This Row],[Delivery Days]]&lt;=4, "Standard (3-4d)", "Delayed (5d+)"))</f>
        <v>Standard (3-4d)</v>
      </c>
      <c r="AF1108">
        <v>0</v>
      </c>
    </row>
    <row r="1109" spans="1:32" ht="15" x14ac:dyDescent="0.35">
      <c r="A1109" t="s">
        <v>2299</v>
      </c>
      <c r="B1109" s="1">
        <v>45515</v>
      </c>
      <c r="C1109">
        <f>YEAR(OrdersTable[[#This Row],[Order Date]])</f>
        <v>2024</v>
      </c>
      <c r="D1109" s="2">
        <f>DATE(YEAR(OrdersTable[[#This Row],[Order Date]]),MONTH(OrdersTable[[#This Row],[Order Date]]),1)</f>
        <v>45505</v>
      </c>
      <c r="E1109">
        <f>MONTH(OrdersTable[[#This Row],[Order Date]])</f>
        <v>8</v>
      </c>
      <c r="F1109" t="s">
        <v>1760</v>
      </c>
      <c r="G1109" t="str">
        <f>IF(OrdersTable[[#This Row],[Order Date]]=_xlfn.MINIFS(Order_Date, Customer_ID, OrdersTable[[#This Row],[Customer ID]]), "New", "Repeat")</f>
        <v>New</v>
      </c>
      <c r="H1109" t="s">
        <v>43</v>
      </c>
      <c r="I1109" t="str">
        <f>INDEX(State!B:B,MATCH(OrdersTable[[#This Row],[State]],State!A:A,0))</f>
        <v>MP</v>
      </c>
      <c r="J1109" t="str">
        <f>INDEX(State!C:C,MATCH(OrdersTable[[#This Row],[State Code]],State!B:B,0))</f>
        <v>West</v>
      </c>
      <c r="K1109" t="s">
        <v>44</v>
      </c>
      <c r="L1109" t="s">
        <v>23</v>
      </c>
      <c r="M1109" t="s">
        <v>125</v>
      </c>
      <c r="N1109" t="str">
        <f>INDEX(Products!B:B,MATCH(OrdersTable[[#This Row],[Product ID]],Products!A:A,0))</f>
        <v>Copper Water Bottle</v>
      </c>
      <c r="O1109" t="str">
        <f>INDEX(Products!C:C,MATCH(OrdersTable[[#This Row],[Product ID]],Products!A:A,0))</f>
        <v>Home &amp; Kitchen</v>
      </c>
      <c r="P1109">
        <v>1</v>
      </c>
      <c r="Q1109" s="5">
        <v>899</v>
      </c>
      <c r="R1109" s="74">
        <v>0.1</v>
      </c>
      <c r="S1109" s="75">
        <f>OrdersTable[[#This Row],[Quantity]]*OrdersTable[[#This Row],[Unit Price]]</f>
        <v>899</v>
      </c>
      <c r="T1109" s="5">
        <f>OrdersTable[[#This Row],[Gross Sale]]*OrdersTable[[#This Row],[Discount_Clean2]]</f>
        <v>89.9</v>
      </c>
      <c r="U1109" s="5">
        <f>OrdersTable[[#This Row],[Gross Sale]]-OrdersTable[[#This Row],[Discount Amount]]</f>
        <v>809.1</v>
      </c>
      <c r="V1109" s="77">
        <f>INDEX(Products!E:E,MATCH(OrdersTable[[#This Row],[Product ID]],Products!A:A,0))</f>
        <v>378</v>
      </c>
      <c r="W1109" s="77">
        <f>OrdersTable[[#This Row],[Quantity]]*OrdersTable[[#This Row],[Unit Cost]]</f>
        <v>378</v>
      </c>
      <c r="X1109" s="77">
        <f>'Dropdown Lists'!$I$2*(1+OrdersTable[[#This Row],[Returned]])</f>
        <v>60</v>
      </c>
      <c r="Y1109" s="76">
        <f>OrdersTable[[#This Row],[Net Revenue]]-OrdersTable[[#This Row],[COGS]]-OrdersTable[[#This Row],[Shipping Cost]]</f>
        <v>371.1</v>
      </c>
      <c r="Z1109" s="78">
        <f>IFERROR(OrdersTable[[#This Row],[Profit]]/OrdersTable[[#This Row],[Net Revenue]],0)</f>
        <v>0.45865776789024842</v>
      </c>
      <c r="AA1109" t="s">
        <v>18</v>
      </c>
      <c r="AB1109" s="79">
        <v>45518</v>
      </c>
      <c r="AC1109">
        <f>OrdersTable[[#This Row],[Delivery Date]]-OrdersTable[[#This Row],[Order Date]]</f>
        <v>3</v>
      </c>
      <c r="AD1109" t="str">
        <f>IF(OrdersTable[[#This Row],[Delivery Days]]&lt;=2, "Express (≤2d)", IF(OrdersTable[[#This Row],[Delivery Days]]&lt;=4, "Standard (3-4d)", "Delayed (5d+)"))</f>
        <v>Standard (3-4d)</v>
      </c>
      <c r="AE1109">
        <v>5</v>
      </c>
      <c r="AF1109">
        <v>0</v>
      </c>
    </row>
    <row r="1110" spans="1:32" ht="15" x14ac:dyDescent="0.35">
      <c r="A1110" t="s">
        <v>1876</v>
      </c>
      <c r="B1110" s="1">
        <v>45516</v>
      </c>
      <c r="C1110">
        <f>YEAR(OrdersTable[[#This Row],[Order Date]])</f>
        <v>2024</v>
      </c>
      <c r="D1110" s="2">
        <f>DATE(YEAR(OrdersTable[[#This Row],[Order Date]]),MONTH(OrdersTable[[#This Row],[Order Date]]),1)</f>
        <v>45505</v>
      </c>
      <c r="E1110">
        <f>MONTH(OrdersTable[[#This Row],[Order Date]])</f>
        <v>8</v>
      </c>
      <c r="F1110" t="s">
        <v>1796</v>
      </c>
      <c r="G1110" t="str">
        <f>IF(OrdersTable[[#This Row],[Order Date]]=_xlfn.MINIFS(Order_Date, Customer_ID, OrdersTable[[#This Row],[Customer ID]]), "New", "Repeat")</f>
        <v>Repeat</v>
      </c>
      <c r="H1110" t="s">
        <v>76</v>
      </c>
      <c r="I1110" t="str">
        <f>INDEX(State!B:B,MATCH(OrdersTable[[#This Row],[State]],State!A:A,0))</f>
        <v>UP</v>
      </c>
      <c r="J1110" t="str">
        <f>INDEX(State!C:C,MATCH(OrdersTable[[#This Row],[State Code]],State!B:B,0))</f>
        <v>North</v>
      </c>
      <c r="K1110" t="s">
        <v>105</v>
      </c>
      <c r="L1110" t="s">
        <v>65</v>
      </c>
      <c r="M1110" t="s">
        <v>228</v>
      </c>
      <c r="N1110" t="str">
        <f>INDEX(Products!B:B,MATCH(OrdersTable[[#This Row],[Product ID]],Products!A:A,0))</f>
        <v>Fast Charger 33W</v>
      </c>
      <c r="O1110" t="str">
        <f>INDEX(Products!C:C,MATCH(OrdersTable[[#This Row],[Product ID]],Products!A:A,0))</f>
        <v>Electronics</v>
      </c>
      <c r="P1110">
        <v>1</v>
      </c>
      <c r="Q1110" s="5">
        <v>899</v>
      </c>
      <c r="R1110" s="74">
        <v>0.05</v>
      </c>
      <c r="S1110" s="75">
        <f>OrdersTable[[#This Row],[Quantity]]*OrdersTable[[#This Row],[Unit Price]]</f>
        <v>899</v>
      </c>
      <c r="T1110" s="5">
        <f>OrdersTable[[#This Row],[Gross Sale]]*OrdersTable[[#This Row],[Discount_Clean2]]</f>
        <v>44.95</v>
      </c>
      <c r="U1110" s="5">
        <f>OrdersTable[[#This Row],[Gross Sale]]-OrdersTable[[#This Row],[Discount Amount]]</f>
        <v>854.05</v>
      </c>
      <c r="V1110" s="77">
        <f>INDEX(Products!E:E,MATCH(OrdersTable[[#This Row],[Product ID]],Products!A:A,0))</f>
        <v>494</v>
      </c>
      <c r="W1110" s="77">
        <f>OrdersTable[[#This Row],[Quantity]]*OrdersTable[[#This Row],[Unit Cost]]</f>
        <v>494</v>
      </c>
      <c r="X1110" s="77">
        <f>'Dropdown Lists'!$I$2*(1+OrdersTable[[#This Row],[Returned]])</f>
        <v>60</v>
      </c>
      <c r="Y1110" s="76">
        <f>OrdersTable[[#This Row],[Net Revenue]]-OrdersTable[[#This Row],[COGS]]-OrdersTable[[#This Row],[Shipping Cost]]</f>
        <v>300.04999999999995</v>
      </c>
      <c r="Z1110" s="78">
        <f>IFERROR(OrdersTable[[#This Row],[Profit]]/OrdersTable[[#This Row],[Net Revenue]],0)</f>
        <v>0.35132603477548152</v>
      </c>
      <c r="AA1110" t="s">
        <v>18</v>
      </c>
      <c r="AB1110" s="79">
        <v>45520</v>
      </c>
      <c r="AC1110">
        <f>OrdersTable[[#This Row],[Delivery Date]]-OrdersTable[[#This Row],[Order Date]]</f>
        <v>4</v>
      </c>
      <c r="AD1110" t="str">
        <f>IF(OrdersTable[[#This Row],[Delivery Days]]&lt;=2, "Express (≤2d)", IF(OrdersTable[[#This Row],[Delivery Days]]&lt;=4, "Standard (3-4d)", "Delayed (5d+)"))</f>
        <v>Standard (3-4d)</v>
      </c>
      <c r="AE1110">
        <v>3</v>
      </c>
      <c r="AF1110">
        <v>0</v>
      </c>
    </row>
    <row r="1111" spans="1:32" ht="15" x14ac:dyDescent="0.35">
      <c r="A1111" t="s">
        <v>5771</v>
      </c>
      <c r="B1111" s="1">
        <v>45516</v>
      </c>
      <c r="C1111">
        <f>YEAR(OrdersTable[[#This Row],[Order Date]])</f>
        <v>2024</v>
      </c>
      <c r="D1111" s="2">
        <f>DATE(YEAR(OrdersTable[[#This Row],[Order Date]]),MONTH(OrdersTable[[#This Row],[Order Date]]),1)</f>
        <v>45505</v>
      </c>
      <c r="E1111">
        <f>MONTH(OrdersTable[[#This Row],[Order Date]])</f>
        <v>8</v>
      </c>
      <c r="F1111" t="s">
        <v>4500</v>
      </c>
      <c r="G1111" t="str">
        <f>IF(OrdersTable[[#This Row],[Order Date]]=_xlfn.MINIFS(Order_Date, Customer_ID, OrdersTable[[#This Row],[Customer ID]]), "New", "Repeat")</f>
        <v>New</v>
      </c>
      <c r="H1111" t="s">
        <v>43</v>
      </c>
      <c r="I1111" t="str">
        <f>INDEX(State!B:B,MATCH(OrdersTable[[#This Row],[State]],State!A:A,0))</f>
        <v>MP</v>
      </c>
      <c r="J1111" t="str">
        <f>INDEX(State!C:C,MATCH(OrdersTable[[#This Row],[State Code]],State!B:B,0))</f>
        <v>West</v>
      </c>
      <c r="K1111" t="s">
        <v>44</v>
      </c>
      <c r="L1111" t="s">
        <v>16</v>
      </c>
      <c r="M1111" t="s">
        <v>205</v>
      </c>
      <c r="N1111" t="str">
        <f>INDEX(Products!B:B,MATCH(OrdersTable[[#This Row],[Product ID]],Products!A:A,0))</f>
        <v>Running Shoes</v>
      </c>
      <c r="O1111" t="str">
        <f>INDEX(Products!C:C,MATCH(OrdersTable[[#This Row],[Product ID]],Products!A:A,0))</f>
        <v>Footwear</v>
      </c>
      <c r="P1111">
        <v>2</v>
      </c>
      <c r="Q1111" s="5">
        <v>2999</v>
      </c>
      <c r="R1111" s="74">
        <v>0.3</v>
      </c>
      <c r="S1111" s="75">
        <f>OrdersTable[[#This Row],[Quantity]]*OrdersTable[[#This Row],[Unit Price]]</f>
        <v>5998</v>
      </c>
      <c r="T1111" s="5">
        <f>OrdersTable[[#This Row],[Gross Sale]]*OrdersTable[[#This Row],[Discount_Clean2]]</f>
        <v>1799.3999999999999</v>
      </c>
      <c r="U1111" s="5">
        <f>OrdersTable[[#This Row],[Gross Sale]]-OrdersTable[[#This Row],[Discount Amount]]</f>
        <v>4198.6000000000004</v>
      </c>
      <c r="V1111" s="77">
        <f>INDEX(Products!E:E,MATCH(OrdersTable[[#This Row],[Product ID]],Products!A:A,0))</f>
        <v>1440</v>
      </c>
      <c r="W1111" s="77">
        <f>OrdersTable[[#This Row],[Quantity]]*OrdersTable[[#This Row],[Unit Cost]]</f>
        <v>2880</v>
      </c>
      <c r="X1111" s="77">
        <f>'Dropdown Lists'!$I$2*(1+OrdersTable[[#This Row],[Returned]])</f>
        <v>120</v>
      </c>
      <c r="Y1111" s="76">
        <f>OrdersTable[[#This Row],[Net Revenue]]-OrdersTable[[#This Row],[COGS]]-OrdersTable[[#This Row],[Shipping Cost]]</f>
        <v>1198.6000000000004</v>
      </c>
      <c r="Z1111" s="78">
        <f>IFERROR(OrdersTable[[#This Row],[Profit]]/OrdersTable[[#This Row],[Net Revenue]],0)</f>
        <v>0.28547611108464732</v>
      </c>
      <c r="AA1111" t="s">
        <v>18</v>
      </c>
      <c r="AB1111" s="79">
        <v>45520</v>
      </c>
      <c r="AC1111">
        <f>OrdersTable[[#This Row],[Delivery Date]]-OrdersTable[[#This Row],[Order Date]]</f>
        <v>4</v>
      </c>
      <c r="AD1111" t="str">
        <f>IF(OrdersTable[[#This Row],[Delivery Days]]&lt;=2, "Express (≤2d)", IF(OrdersTable[[#This Row],[Delivery Days]]&lt;=4, "Standard (3-4d)", "Delayed (5d+)"))</f>
        <v>Standard (3-4d)</v>
      </c>
      <c r="AE1111">
        <v>5</v>
      </c>
      <c r="AF1111">
        <v>1</v>
      </c>
    </row>
    <row r="1112" spans="1:32" ht="15" x14ac:dyDescent="0.35">
      <c r="A1112" t="s">
        <v>6295</v>
      </c>
      <c r="B1112" s="1">
        <v>45516</v>
      </c>
      <c r="C1112">
        <f>YEAR(OrdersTable[[#This Row],[Order Date]])</f>
        <v>2024</v>
      </c>
      <c r="D1112" s="2">
        <f>DATE(YEAR(OrdersTable[[#This Row],[Order Date]]),MONTH(OrdersTable[[#This Row],[Order Date]]),1)</f>
        <v>45505</v>
      </c>
      <c r="E1112">
        <f>MONTH(OrdersTable[[#This Row],[Order Date]])</f>
        <v>8</v>
      </c>
      <c r="F1112" t="s">
        <v>6296</v>
      </c>
      <c r="G1112" t="str">
        <f>IF(OrdersTable[[#This Row],[Order Date]]=_xlfn.MINIFS(Order_Date, Customer_ID, OrdersTable[[#This Row],[Customer ID]]), "New", "Repeat")</f>
        <v>New</v>
      </c>
      <c r="H1112" t="s">
        <v>43</v>
      </c>
      <c r="I1112" t="str">
        <f>INDEX(State!B:B,MATCH(OrdersTable[[#This Row],[State]],State!A:A,0))</f>
        <v>MP</v>
      </c>
      <c r="J1112" t="str">
        <f>INDEX(State!C:C,MATCH(OrdersTable[[#This Row],[State Code]],State!B:B,0))</f>
        <v>West</v>
      </c>
      <c r="K1112" t="s">
        <v>44</v>
      </c>
      <c r="L1112" t="s">
        <v>50</v>
      </c>
      <c r="M1112" t="s">
        <v>51</v>
      </c>
      <c r="N1112" t="str">
        <f>INDEX(Products!B:B,MATCH(OrdersTable[[#This Row],[Product ID]],Products!A:A,0))</f>
        <v>Anti-Dandruff Conditioner</v>
      </c>
      <c r="O1112" t="str">
        <f>INDEX(Products!C:C,MATCH(OrdersTable[[#This Row],[Product ID]],Products!A:A,0))</f>
        <v>Haircare</v>
      </c>
      <c r="P1112">
        <v>2</v>
      </c>
      <c r="Q1112" s="5">
        <v>399</v>
      </c>
      <c r="R1112" s="74">
        <v>0.35</v>
      </c>
      <c r="S1112" s="75">
        <f>OrdersTable[[#This Row],[Quantity]]*OrdersTable[[#This Row],[Unit Price]]</f>
        <v>798</v>
      </c>
      <c r="T1112" s="5">
        <f>OrdersTable[[#This Row],[Gross Sale]]*OrdersTable[[#This Row],[Discount_Clean2]]</f>
        <v>279.29999999999995</v>
      </c>
      <c r="U1112" s="5">
        <f>OrdersTable[[#This Row],[Gross Sale]]-OrdersTable[[#This Row],[Discount Amount]]</f>
        <v>518.70000000000005</v>
      </c>
      <c r="V1112" s="77">
        <f>INDEX(Products!E:E,MATCH(OrdersTable[[#This Row],[Product ID]],Products!A:A,0))</f>
        <v>136</v>
      </c>
      <c r="W1112" s="77">
        <f>OrdersTable[[#This Row],[Quantity]]*OrdersTable[[#This Row],[Unit Cost]]</f>
        <v>272</v>
      </c>
      <c r="X1112" s="77">
        <f>'Dropdown Lists'!$I$2*(1+OrdersTable[[#This Row],[Returned]])</f>
        <v>60</v>
      </c>
      <c r="Y1112" s="76">
        <f>OrdersTable[[#This Row],[Net Revenue]]-OrdersTable[[#This Row],[COGS]]-OrdersTable[[#This Row],[Shipping Cost]]</f>
        <v>186.70000000000005</v>
      </c>
      <c r="Z1112" s="78">
        <f>IFERROR(OrdersTable[[#This Row],[Profit]]/OrdersTable[[#This Row],[Net Revenue]],0)</f>
        <v>0.35993830730672843</v>
      </c>
      <c r="AA1112" t="s">
        <v>18</v>
      </c>
      <c r="AB1112" s="79">
        <v>45519</v>
      </c>
      <c r="AC1112">
        <f>OrdersTable[[#This Row],[Delivery Date]]-OrdersTable[[#This Row],[Order Date]]</f>
        <v>3</v>
      </c>
      <c r="AD1112" t="str">
        <f>IF(OrdersTable[[#This Row],[Delivery Days]]&lt;=2, "Express (≤2d)", IF(OrdersTable[[#This Row],[Delivery Days]]&lt;=4, "Standard (3-4d)", "Delayed (5d+)"))</f>
        <v>Standard (3-4d)</v>
      </c>
      <c r="AE1112">
        <v>4</v>
      </c>
      <c r="AF1112">
        <v>0</v>
      </c>
    </row>
    <row r="1113" spans="1:32" ht="15" x14ac:dyDescent="0.35">
      <c r="A1113" t="s">
        <v>500</v>
      </c>
      <c r="B1113" s="1">
        <v>45516</v>
      </c>
      <c r="C1113">
        <f>YEAR(OrdersTable[[#This Row],[Order Date]])</f>
        <v>2024</v>
      </c>
      <c r="D1113" s="2">
        <f>DATE(YEAR(OrdersTable[[#This Row],[Order Date]]),MONTH(OrdersTable[[#This Row],[Order Date]]),1)</f>
        <v>45505</v>
      </c>
      <c r="E1113">
        <f>MONTH(OrdersTable[[#This Row],[Order Date]])</f>
        <v>8</v>
      </c>
      <c r="F1113" t="s">
        <v>501</v>
      </c>
      <c r="G1113" t="str">
        <f>IF(OrdersTable[[#This Row],[Order Date]]=_xlfn.MINIFS(Order_Date, Customer_ID, OrdersTable[[#This Row],[Customer ID]]), "New", "Repeat")</f>
        <v>New</v>
      </c>
      <c r="H1113" t="s">
        <v>27</v>
      </c>
      <c r="I1113" t="str">
        <f>INDEX(State!B:B,MATCH(OrdersTable[[#This Row],[State]],State!A:A,0))</f>
        <v>WB</v>
      </c>
      <c r="J1113" t="str">
        <f>INDEX(State!C:C,MATCH(OrdersTable[[#This Row],[State Code]],State!B:B,0))</f>
        <v>East</v>
      </c>
      <c r="K1113" t="s">
        <v>28</v>
      </c>
      <c r="L1113" t="s">
        <v>23</v>
      </c>
      <c r="M1113" t="s">
        <v>78</v>
      </c>
      <c r="N1113" t="str">
        <f>INDEX(Products!B:B,MATCH(OrdersTable[[#This Row],[Product ID]],Products!A:A,0))</f>
        <v>Retinol Night Cream</v>
      </c>
      <c r="O1113" t="str">
        <f>INDEX(Products!C:C,MATCH(OrdersTable[[#This Row],[Product ID]],Products!A:A,0))</f>
        <v>Skincare</v>
      </c>
      <c r="P1113">
        <v>1</v>
      </c>
      <c r="Q1113" s="5">
        <v>799</v>
      </c>
      <c r="R1113" s="74">
        <v>0.05</v>
      </c>
      <c r="S1113" s="75">
        <f>OrdersTable[[#This Row],[Quantity]]*OrdersTable[[#This Row],[Unit Price]]</f>
        <v>799</v>
      </c>
      <c r="T1113" s="5">
        <f>OrdersTable[[#This Row],[Gross Sale]]*OrdersTable[[#This Row],[Discount_Clean2]]</f>
        <v>39.950000000000003</v>
      </c>
      <c r="U1113" s="5">
        <f>OrdersTable[[#This Row],[Gross Sale]]-OrdersTable[[#This Row],[Discount Amount]]</f>
        <v>759.05</v>
      </c>
      <c r="V1113" s="77">
        <f>INDEX(Products!E:E,MATCH(OrdersTable[[#This Row],[Product ID]],Products!A:A,0))</f>
        <v>216</v>
      </c>
      <c r="W1113" s="77">
        <f>OrdersTable[[#This Row],[Quantity]]*OrdersTable[[#This Row],[Unit Cost]]</f>
        <v>216</v>
      </c>
      <c r="X1113" s="77">
        <f>'Dropdown Lists'!$I$2*(1+OrdersTable[[#This Row],[Returned]])</f>
        <v>60</v>
      </c>
      <c r="Y1113" s="76">
        <f>OrdersTable[[#This Row],[Net Revenue]]-OrdersTable[[#This Row],[COGS]]-OrdersTable[[#This Row],[Shipping Cost]]</f>
        <v>483.04999999999995</v>
      </c>
      <c r="Z1113" s="78">
        <f>IFERROR(OrdersTable[[#This Row],[Profit]]/OrdersTable[[#This Row],[Net Revenue]],0)</f>
        <v>0.63638758975034582</v>
      </c>
      <c r="AA1113" t="s">
        <v>18</v>
      </c>
      <c r="AB1113" s="79">
        <v>45521</v>
      </c>
      <c r="AC1113">
        <f>OrdersTable[[#This Row],[Delivery Date]]-OrdersTable[[#This Row],[Order Date]]</f>
        <v>5</v>
      </c>
      <c r="AD1113" t="str">
        <f>IF(OrdersTable[[#This Row],[Delivery Days]]&lt;=2, "Express (≤2d)", IF(OrdersTable[[#This Row],[Delivery Days]]&lt;=4, "Standard (3-4d)", "Delayed (5d+)"))</f>
        <v>Delayed (5d+)</v>
      </c>
      <c r="AE1113">
        <v>4</v>
      </c>
      <c r="AF1113">
        <v>0</v>
      </c>
    </row>
    <row r="1114" spans="1:32" ht="15" x14ac:dyDescent="0.35">
      <c r="A1114" t="s">
        <v>1491</v>
      </c>
      <c r="B1114" s="1">
        <v>45517</v>
      </c>
      <c r="C1114">
        <f>YEAR(OrdersTable[[#This Row],[Order Date]])</f>
        <v>2024</v>
      </c>
      <c r="D1114" s="2">
        <f>DATE(YEAR(OrdersTable[[#This Row],[Order Date]]),MONTH(OrdersTable[[#This Row],[Order Date]]),1)</f>
        <v>45505</v>
      </c>
      <c r="E1114">
        <f>MONTH(OrdersTable[[#This Row],[Order Date]])</f>
        <v>8</v>
      </c>
      <c r="F1114" t="s">
        <v>1492</v>
      </c>
      <c r="G1114" t="str">
        <f>IF(OrdersTable[[#This Row],[Order Date]]=_xlfn.MINIFS(Order_Date, Customer_ID, OrdersTable[[#This Row],[Customer ID]]), "New", "Repeat")</f>
        <v>New</v>
      </c>
      <c r="H1114" t="s">
        <v>76</v>
      </c>
      <c r="I1114" t="str">
        <f>INDEX(State!B:B,MATCH(OrdersTable[[#This Row],[State]],State!A:A,0))</f>
        <v>UP</v>
      </c>
      <c r="J1114" t="str">
        <f>INDEX(State!C:C,MATCH(OrdersTable[[#This Row],[State Code]],State!B:B,0))</f>
        <v>North</v>
      </c>
      <c r="K1114" t="s">
        <v>118</v>
      </c>
      <c r="L1114" t="s">
        <v>39</v>
      </c>
      <c r="M1114" t="s">
        <v>34</v>
      </c>
      <c r="N1114" t="str">
        <f>INDEX(Products!B:B,MATCH(OrdersTable[[#This Row],[Product ID]],Products!A:A,0))</f>
        <v>Flip Flops</v>
      </c>
      <c r="O1114" t="str">
        <f>INDEX(Products!C:C,MATCH(OrdersTable[[#This Row],[Product ID]],Products!A:A,0))</f>
        <v>Footwear</v>
      </c>
      <c r="P1114">
        <v>1</v>
      </c>
      <c r="Q1114" s="5">
        <v>399</v>
      </c>
      <c r="R1114" s="74">
        <v>0.05</v>
      </c>
      <c r="S1114" s="75">
        <f>OrdersTable[[#This Row],[Quantity]]*OrdersTable[[#This Row],[Unit Price]]</f>
        <v>399</v>
      </c>
      <c r="T1114" s="5">
        <f>OrdersTable[[#This Row],[Gross Sale]]*OrdersTable[[#This Row],[Discount_Clean2]]</f>
        <v>19.950000000000003</v>
      </c>
      <c r="U1114" s="5">
        <f>OrdersTable[[#This Row],[Gross Sale]]-OrdersTable[[#This Row],[Discount Amount]]</f>
        <v>379.05</v>
      </c>
      <c r="V1114" s="77">
        <f>INDEX(Products!E:E,MATCH(OrdersTable[[#This Row],[Product ID]],Products!A:A,0))</f>
        <v>152</v>
      </c>
      <c r="W1114" s="77">
        <f>OrdersTable[[#This Row],[Quantity]]*OrdersTable[[#This Row],[Unit Cost]]</f>
        <v>152</v>
      </c>
      <c r="X1114" s="77">
        <f>'Dropdown Lists'!$I$2*(1+OrdersTable[[#This Row],[Returned]])</f>
        <v>120</v>
      </c>
      <c r="Y1114" s="76">
        <f>OrdersTable[[#This Row],[Net Revenue]]-OrdersTable[[#This Row],[COGS]]-OrdersTable[[#This Row],[Shipping Cost]]</f>
        <v>107.05000000000001</v>
      </c>
      <c r="Z1114" s="78">
        <f>IFERROR(OrdersTable[[#This Row],[Profit]]/OrdersTable[[#This Row],[Net Revenue]],0)</f>
        <v>0.2824165677351273</v>
      </c>
      <c r="AA1114" t="s">
        <v>18</v>
      </c>
      <c r="AB1114" s="79">
        <v>45523</v>
      </c>
      <c r="AC1114">
        <f>OrdersTable[[#This Row],[Delivery Date]]-OrdersTable[[#This Row],[Order Date]]</f>
        <v>6</v>
      </c>
      <c r="AD1114" t="str">
        <f>IF(OrdersTable[[#This Row],[Delivery Days]]&lt;=2, "Express (≤2d)", IF(OrdersTable[[#This Row],[Delivery Days]]&lt;=4, "Standard (3-4d)", "Delayed (5d+)"))</f>
        <v>Delayed (5d+)</v>
      </c>
      <c r="AF1114">
        <v>1</v>
      </c>
    </row>
    <row r="1115" spans="1:32" ht="15" x14ac:dyDescent="0.35">
      <c r="A1115" t="s">
        <v>5104</v>
      </c>
      <c r="B1115" s="1">
        <v>45517</v>
      </c>
      <c r="C1115">
        <f>YEAR(OrdersTable[[#This Row],[Order Date]])</f>
        <v>2024</v>
      </c>
      <c r="D1115" s="2">
        <f>DATE(YEAR(OrdersTable[[#This Row],[Order Date]]),MONTH(OrdersTable[[#This Row],[Order Date]]),1)</f>
        <v>45505</v>
      </c>
      <c r="E1115">
        <f>MONTH(OrdersTable[[#This Row],[Order Date]])</f>
        <v>8</v>
      </c>
      <c r="F1115" t="s">
        <v>3880</v>
      </c>
      <c r="G1115" t="str">
        <f>IF(OrdersTable[[#This Row],[Order Date]]=_xlfn.MINIFS(Order_Date, Customer_ID, OrdersTable[[#This Row],[Customer ID]]), "New", "Repeat")</f>
        <v>New</v>
      </c>
      <c r="H1115" t="s">
        <v>76</v>
      </c>
      <c r="I1115" t="str">
        <f>INDEX(State!B:B,MATCH(OrdersTable[[#This Row],[State]],State!A:A,0))</f>
        <v>UP</v>
      </c>
      <c r="J1115" t="str">
        <f>INDEX(State!C:C,MATCH(OrdersTable[[#This Row],[State Code]],State!B:B,0))</f>
        <v>North</v>
      </c>
      <c r="K1115" t="s">
        <v>118</v>
      </c>
      <c r="L1115" t="s">
        <v>65</v>
      </c>
      <c r="M1115" t="s">
        <v>87</v>
      </c>
      <c r="N1115" t="str">
        <f>INDEX(Products!B:B,MATCH(OrdersTable[[#This Row],[Product ID]],Products!A:A,0))</f>
        <v>Linen Kurta</v>
      </c>
      <c r="O1115" t="str">
        <f>INDEX(Products!C:C,MATCH(OrdersTable[[#This Row],[Product ID]],Products!A:A,0))</f>
        <v>Apparel</v>
      </c>
      <c r="P1115">
        <v>2</v>
      </c>
      <c r="Q1115" s="5">
        <v>1499</v>
      </c>
      <c r="R1115" s="74">
        <v>0.4</v>
      </c>
      <c r="S1115" s="75">
        <f>OrdersTable[[#This Row],[Quantity]]*OrdersTable[[#This Row],[Unit Price]]</f>
        <v>2998</v>
      </c>
      <c r="T1115" s="5">
        <f>OrdersTable[[#This Row],[Gross Sale]]*OrdersTable[[#This Row],[Discount_Clean2]]</f>
        <v>1199.2</v>
      </c>
      <c r="U1115" s="5">
        <f>OrdersTable[[#This Row],[Gross Sale]]-OrdersTable[[#This Row],[Discount Amount]]</f>
        <v>1798.8</v>
      </c>
      <c r="V1115" s="77">
        <f>INDEX(Products!E:E,MATCH(OrdersTable[[#This Row],[Product ID]],Products!A:A,0))</f>
        <v>630</v>
      </c>
      <c r="W1115" s="77">
        <f>OrdersTable[[#This Row],[Quantity]]*OrdersTable[[#This Row],[Unit Cost]]</f>
        <v>1260</v>
      </c>
      <c r="X1115" s="77">
        <f>'Dropdown Lists'!$I$2*(1+OrdersTable[[#This Row],[Returned]])</f>
        <v>120</v>
      </c>
      <c r="Y1115" s="76">
        <f>OrdersTable[[#This Row],[Net Revenue]]-OrdersTable[[#This Row],[COGS]]-OrdersTable[[#This Row],[Shipping Cost]]</f>
        <v>418.79999999999995</v>
      </c>
      <c r="Z1115" s="78">
        <f>IFERROR(OrdersTable[[#This Row],[Profit]]/OrdersTable[[#This Row],[Net Revenue]],0)</f>
        <v>0.23282188125416942</v>
      </c>
      <c r="AA1115" t="s">
        <v>3495</v>
      </c>
      <c r="AB1115" s="79">
        <v>45522</v>
      </c>
      <c r="AC1115">
        <f>OrdersTable[[#This Row],[Delivery Date]]-OrdersTable[[#This Row],[Order Date]]</f>
        <v>5</v>
      </c>
      <c r="AD1115" t="str">
        <f>IF(OrdersTable[[#This Row],[Delivery Days]]&lt;=2, "Express (≤2d)", IF(OrdersTable[[#This Row],[Delivery Days]]&lt;=4, "Standard (3-4d)", "Delayed (5d+)"))</f>
        <v>Delayed (5d+)</v>
      </c>
      <c r="AF1115">
        <v>1</v>
      </c>
    </row>
    <row r="1116" spans="1:32" ht="15" x14ac:dyDescent="0.35">
      <c r="A1116" t="s">
        <v>5335</v>
      </c>
      <c r="B1116" s="1">
        <v>45517</v>
      </c>
      <c r="C1116">
        <f>YEAR(OrdersTable[[#This Row],[Order Date]])</f>
        <v>2024</v>
      </c>
      <c r="D1116" s="2">
        <f>DATE(YEAR(OrdersTable[[#This Row],[Order Date]]),MONTH(OrdersTable[[#This Row],[Order Date]]),1)</f>
        <v>45505</v>
      </c>
      <c r="E1116">
        <f>MONTH(OrdersTable[[#This Row],[Order Date]])</f>
        <v>8</v>
      </c>
      <c r="F1116" t="s">
        <v>323</v>
      </c>
      <c r="G1116" t="str">
        <f>IF(OrdersTable[[#This Row],[Order Date]]=_xlfn.MINIFS(Order_Date, Customer_ID, OrdersTable[[#This Row],[Customer ID]]), "New", "Repeat")</f>
        <v>New</v>
      </c>
      <c r="H1116" t="s">
        <v>71</v>
      </c>
      <c r="I1116" t="str">
        <f>INDEX(State!B:B,MATCH(OrdersTable[[#This Row],[State]],State!A:A,0))</f>
        <v>MH</v>
      </c>
      <c r="J1116" t="str">
        <f>INDEX(State!C:C,MATCH(OrdersTable[[#This Row],[State Code]],State!B:B,0))</f>
        <v>West</v>
      </c>
      <c r="K1116" t="s">
        <v>81</v>
      </c>
      <c r="L1116" t="s">
        <v>65</v>
      </c>
      <c r="M1116" t="s">
        <v>84</v>
      </c>
      <c r="N1116" t="str">
        <f>INDEX(Products!B:B,MATCH(OrdersTable[[#This Row],[Product ID]],Products!A:A,0))</f>
        <v>Cotton Bedsheet</v>
      </c>
      <c r="O1116" t="str">
        <f>INDEX(Products!C:C,MATCH(OrdersTable[[#This Row],[Product ID]],Products!A:A,0))</f>
        <v>Home &amp; Kitchen</v>
      </c>
      <c r="P1116">
        <v>2</v>
      </c>
      <c r="Q1116" s="5">
        <v>1299</v>
      </c>
      <c r="R1116" s="74">
        <v>0.1</v>
      </c>
      <c r="S1116" s="75">
        <f>OrdersTable[[#This Row],[Quantity]]*OrdersTable[[#This Row],[Unit Price]]</f>
        <v>2598</v>
      </c>
      <c r="T1116" s="5">
        <f>OrdersTable[[#This Row],[Gross Sale]]*OrdersTable[[#This Row],[Discount_Clean2]]</f>
        <v>259.8</v>
      </c>
      <c r="U1116" s="5">
        <f>OrdersTable[[#This Row],[Gross Sale]]-OrdersTable[[#This Row],[Discount Amount]]</f>
        <v>2338.1999999999998</v>
      </c>
      <c r="V1116" s="77">
        <f>INDEX(Products!E:E,MATCH(OrdersTable[[#This Row],[Product ID]],Products!A:A,0))</f>
        <v>585</v>
      </c>
      <c r="W1116" s="77">
        <f>OrdersTable[[#This Row],[Quantity]]*OrdersTable[[#This Row],[Unit Cost]]</f>
        <v>1170</v>
      </c>
      <c r="X1116" s="77">
        <f>'Dropdown Lists'!$I$2*(1+OrdersTable[[#This Row],[Returned]])</f>
        <v>60</v>
      </c>
      <c r="Y1116" s="76">
        <f>OrdersTable[[#This Row],[Net Revenue]]-OrdersTable[[#This Row],[COGS]]-OrdersTable[[#This Row],[Shipping Cost]]</f>
        <v>1108.1999999999998</v>
      </c>
      <c r="Z1116" s="78">
        <f>IFERROR(OrdersTable[[#This Row],[Profit]]/OrdersTable[[#This Row],[Net Revenue]],0)</f>
        <v>0.47395432383885033</v>
      </c>
      <c r="AA1116" t="s">
        <v>2522</v>
      </c>
      <c r="AB1116" s="79">
        <v>45519</v>
      </c>
      <c r="AC1116">
        <f>OrdersTable[[#This Row],[Delivery Date]]-OrdersTable[[#This Row],[Order Date]]</f>
        <v>2</v>
      </c>
      <c r="AD1116" t="str">
        <f>IF(OrdersTable[[#This Row],[Delivery Days]]&lt;=2, "Express (≤2d)", IF(OrdersTable[[#This Row],[Delivery Days]]&lt;=4, "Standard (3-4d)", "Delayed (5d+)"))</f>
        <v>Express (≤2d)</v>
      </c>
      <c r="AE1116">
        <v>3</v>
      </c>
      <c r="AF1116">
        <v>0</v>
      </c>
    </row>
    <row r="1117" spans="1:32" ht="15" x14ac:dyDescent="0.35">
      <c r="A1117" t="s">
        <v>5336</v>
      </c>
      <c r="B1117" s="1">
        <v>45518</v>
      </c>
      <c r="C1117">
        <f>YEAR(OrdersTable[[#This Row],[Order Date]])</f>
        <v>2024</v>
      </c>
      <c r="D1117" s="2">
        <f>DATE(YEAR(OrdersTable[[#This Row],[Order Date]]),MONTH(OrdersTable[[#This Row],[Order Date]]),1)</f>
        <v>45505</v>
      </c>
      <c r="E1117">
        <f>MONTH(OrdersTable[[#This Row],[Order Date]])</f>
        <v>8</v>
      </c>
      <c r="F1117" t="s">
        <v>217</v>
      </c>
      <c r="G1117" t="str">
        <f>IF(OrdersTable[[#This Row],[Order Date]]=_xlfn.MINIFS(Order_Date, Customer_ID, OrdersTable[[#This Row],[Customer ID]]), "New", "Repeat")</f>
        <v>Repeat</v>
      </c>
      <c r="H1117" t="s">
        <v>76</v>
      </c>
      <c r="I1117" t="str">
        <f>INDEX(State!B:B,MATCH(OrdersTable[[#This Row],[State]],State!A:A,0))</f>
        <v>UP</v>
      </c>
      <c r="J1117" t="str">
        <f>INDEX(State!C:C,MATCH(OrdersTable[[#This Row],[State Code]],State!B:B,0))</f>
        <v>North</v>
      </c>
      <c r="K1117" t="s">
        <v>105</v>
      </c>
      <c r="L1117" t="s">
        <v>65</v>
      </c>
      <c r="M1117" t="s">
        <v>40</v>
      </c>
      <c r="N1117" t="str">
        <f>INDEX(Products!B:B,MATCH(OrdersTable[[#This Row],[Product ID]],Products!A:A,0))</f>
        <v>Ashwagandha Capsules</v>
      </c>
      <c r="O1117" t="str">
        <f>INDEX(Products!C:C,MATCH(OrdersTable[[#This Row],[Product ID]],Products!A:A,0))</f>
        <v>Wellness</v>
      </c>
      <c r="P1117">
        <v>2</v>
      </c>
      <c r="Q1117" s="5">
        <v>499</v>
      </c>
      <c r="R1117" s="74">
        <v>0</v>
      </c>
      <c r="S1117" s="75">
        <f>OrdersTable[[#This Row],[Quantity]]*OrdersTable[[#This Row],[Unit Price]]</f>
        <v>998</v>
      </c>
      <c r="T1117" s="5">
        <f>OrdersTable[[#This Row],[Gross Sale]]*OrdersTable[[#This Row],[Discount_Clean2]]</f>
        <v>0</v>
      </c>
      <c r="U1117" s="5">
        <f>OrdersTable[[#This Row],[Gross Sale]]-OrdersTable[[#This Row],[Discount Amount]]</f>
        <v>998</v>
      </c>
      <c r="V1117" s="77">
        <f>INDEX(Products!E:E,MATCH(OrdersTable[[#This Row],[Product ID]],Products!A:A,0))</f>
        <v>150</v>
      </c>
      <c r="W1117" s="77">
        <f>OrdersTable[[#This Row],[Quantity]]*OrdersTable[[#This Row],[Unit Cost]]</f>
        <v>300</v>
      </c>
      <c r="X1117" s="77">
        <f>'Dropdown Lists'!$I$2*(1+OrdersTable[[#This Row],[Returned]])</f>
        <v>60</v>
      </c>
      <c r="Y1117" s="76">
        <f>OrdersTable[[#This Row],[Net Revenue]]-OrdersTable[[#This Row],[COGS]]-OrdersTable[[#This Row],[Shipping Cost]]</f>
        <v>638</v>
      </c>
      <c r="Z1117" s="78">
        <f>IFERROR(OrdersTable[[#This Row],[Profit]]/OrdersTable[[#This Row],[Net Revenue]],0)</f>
        <v>0.63927855711422843</v>
      </c>
      <c r="AA1117" t="s">
        <v>2522</v>
      </c>
      <c r="AB1117" s="79">
        <v>45521</v>
      </c>
      <c r="AC1117">
        <f>OrdersTable[[#This Row],[Delivery Date]]-OrdersTable[[#This Row],[Order Date]]</f>
        <v>3</v>
      </c>
      <c r="AD1117" t="str">
        <f>IF(OrdersTable[[#This Row],[Delivery Days]]&lt;=2, "Express (≤2d)", IF(OrdersTable[[#This Row],[Delivery Days]]&lt;=4, "Standard (3-4d)", "Delayed (5d+)"))</f>
        <v>Standard (3-4d)</v>
      </c>
      <c r="AE1117">
        <v>5</v>
      </c>
      <c r="AF1117">
        <v>0</v>
      </c>
    </row>
    <row r="1118" spans="1:32" ht="15" x14ac:dyDescent="0.35">
      <c r="A1118" t="s">
        <v>2569</v>
      </c>
      <c r="B1118" s="1">
        <v>45518</v>
      </c>
      <c r="C1118">
        <f>YEAR(OrdersTable[[#This Row],[Order Date]])</f>
        <v>2024</v>
      </c>
      <c r="D1118" s="2">
        <f>DATE(YEAR(OrdersTable[[#This Row],[Order Date]]),MONTH(OrdersTable[[#This Row],[Order Date]]),1)</f>
        <v>45505</v>
      </c>
      <c r="E1118">
        <f>MONTH(OrdersTable[[#This Row],[Order Date]])</f>
        <v>8</v>
      </c>
      <c r="F1118" t="s">
        <v>47</v>
      </c>
      <c r="G1118" t="str">
        <f>IF(OrdersTable[[#This Row],[Order Date]]=_xlfn.MINIFS(Order_Date, Customer_ID, OrdersTable[[#This Row],[Customer ID]]), "New", "Repeat")</f>
        <v>Repeat</v>
      </c>
      <c r="H1118" t="s">
        <v>167</v>
      </c>
      <c r="I1118" t="str">
        <f>INDEX(State!B:B,MATCH(OrdersTable[[#This Row],[State]],State!A:A,0))</f>
        <v>KA</v>
      </c>
      <c r="J1118" t="str">
        <f>INDEX(State!C:C,MATCH(OrdersTable[[#This Row],[State Code]],State!B:B,0))</f>
        <v>South</v>
      </c>
      <c r="K1118" t="s">
        <v>168</v>
      </c>
      <c r="L1118" t="s">
        <v>23</v>
      </c>
      <c r="M1118" t="s">
        <v>160</v>
      </c>
      <c r="N1118" t="str">
        <f>INDEX(Products!B:B,MATCH(OrdersTable[[#This Row],[Product ID]],Products!A:A,0))</f>
        <v>Niacinamide Toner</v>
      </c>
      <c r="O1118" t="str">
        <f>INDEX(Products!C:C,MATCH(OrdersTable[[#This Row],[Product ID]],Products!A:A,0))</f>
        <v>Skincare</v>
      </c>
      <c r="P1118">
        <v>1</v>
      </c>
      <c r="Q1118" s="5">
        <v>399</v>
      </c>
      <c r="R1118" s="74">
        <v>0.2</v>
      </c>
      <c r="S1118" s="75">
        <f>OrdersTable[[#This Row],[Quantity]]*OrdersTable[[#This Row],[Unit Price]]</f>
        <v>399</v>
      </c>
      <c r="T1118" s="5">
        <f>OrdersTable[[#This Row],[Gross Sale]]*OrdersTable[[#This Row],[Discount_Clean2]]</f>
        <v>79.800000000000011</v>
      </c>
      <c r="U1118" s="5">
        <f>OrdersTable[[#This Row],[Gross Sale]]-OrdersTable[[#This Row],[Discount Amount]]</f>
        <v>319.2</v>
      </c>
      <c r="V1118" s="77">
        <f>INDEX(Products!E:E,MATCH(OrdersTable[[#This Row],[Product ID]],Products!A:A,0))</f>
        <v>112</v>
      </c>
      <c r="W1118" s="77">
        <f>OrdersTable[[#This Row],[Quantity]]*OrdersTable[[#This Row],[Unit Cost]]</f>
        <v>112</v>
      </c>
      <c r="X1118" s="77">
        <f>'Dropdown Lists'!$I$2*(1+OrdersTable[[#This Row],[Returned]])</f>
        <v>60</v>
      </c>
      <c r="Y1118" s="76">
        <f>OrdersTable[[#This Row],[Net Revenue]]-OrdersTable[[#This Row],[COGS]]-OrdersTable[[#This Row],[Shipping Cost]]</f>
        <v>147.19999999999999</v>
      </c>
      <c r="Z1118" s="78">
        <f>IFERROR(OrdersTable[[#This Row],[Profit]]/OrdersTable[[#This Row],[Net Revenue]],0)</f>
        <v>0.46115288220551376</v>
      </c>
      <c r="AA1118" t="s">
        <v>2522</v>
      </c>
      <c r="AB1118" s="79">
        <v>45519</v>
      </c>
      <c r="AC1118">
        <f>OrdersTable[[#This Row],[Delivery Date]]-OrdersTable[[#This Row],[Order Date]]</f>
        <v>1</v>
      </c>
      <c r="AD1118" t="str">
        <f>IF(OrdersTable[[#This Row],[Delivery Days]]&lt;=2, "Express (≤2d)", IF(OrdersTable[[#This Row],[Delivery Days]]&lt;=4, "Standard (3-4d)", "Delayed (5d+)"))</f>
        <v>Express (≤2d)</v>
      </c>
      <c r="AE1118">
        <v>5</v>
      </c>
      <c r="AF1118">
        <v>0</v>
      </c>
    </row>
    <row r="1119" spans="1:32" ht="15" x14ac:dyDescent="0.35">
      <c r="A1119" t="s">
        <v>2940</v>
      </c>
      <c r="B1119" s="1">
        <v>45518</v>
      </c>
      <c r="C1119">
        <f>YEAR(OrdersTable[[#This Row],[Order Date]])</f>
        <v>2024</v>
      </c>
      <c r="D1119" s="2">
        <f>DATE(YEAR(OrdersTable[[#This Row],[Order Date]]),MONTH(OrdersTable[[#This Row],[Order Date]]),1)</f>
        <v>45505</v>
      </c>
      <c r="E1119">
        <f>MONTH(OrdersTable[[#This Row],[Order Date]])</f>
        <v>8</v>
      </c>
      <c r="F1119" t="s">
        <v>1649</v>
      </c>
      <c r="G1119" t="str">
        <f>IF(OrdersTable[[#This Row],[Order Date]]=_xlfn.MINIFS(Order_Date, Customer_ID, OrdersTable[[#This Row],[Customer ID]]), "New", "Repeat")</f>
        <v>Repeat</v>
      </c>
      <c r="H1119" t="s">
        <v>167</v>
      </c>
      <c r="I1119" t="str">
        <f>INDEX(State!B:B,MATCH(OrdersTable[[#This Row],[State]],State!A:A,0))</f>
        <v>KA</v>
      </c>
      <c r="J1119" t="str">
        <f>INDEX(State!C:C,MATCH(OrdersTable[[#This Row],[State Code]],State!B:B,0))</f>
        <v>South</v>
      </c>
      <c r="K1119" t="s">
        <v>190</v>
      </c>
      <c r="L1119" t="s">
        <v>50</v>
      </c>
      <c r="M1119" t="s">
        <v>109</v>
      </c>
      <c r="N1119" t="str">
        <f>INDEX(Products!B:B,MATCH(OrdersTable[[#This Row],[Product ID]],Products!A:A,0))</f>
        <v>Onion Hair Oil</v>
      </c>
      <c r="O1119" t="str">
        <f>INDEX(Products!C:C,MATCH(OrdersTable[[#This Row],[Product ID]],Products!A:A,0))</f>
        <v>Haircare</v>
      </c>
      <c r="P1119">
        <v>1</v>
      </c>
      <c r="Q1119" s="5">
        <v>349</v>
      </c>
      <c r="R1119" s="74">
        <v>0.3</v>
      </c>
      <c r="S1119" s="75">
        <f>OrdersTable[[#This Row],[Quantity]]*OrdersTable[[#This Row],[Unit Price]]</f>
        <v>349</v>
      </c>
      <c r="T1119" s="5">
        <f>OrdersTable[[#This Row],[Gross Sale]]*OrdersTable[[#This Row],[Discount_Clean2]]</f>
        <v>104.7</v>
      </c>
      <c r="U1119" s="5">
        <f>OrdersTable[[#This Row],[Gross Sale]]-OrdersTable[[#This Row],[Discount Amount]]</f>
        <v>244.3</v>
      </c>
      <c r="V1119" s="77">
        <f>INDEX(Products!E:E,MATCH(OrdersTable[[#This Row],[Product ID]],Products!A:A,0))</f>
        <v>105</v>
      </c>
      <c r="W1119" s="77">
        <f>OrdersTable[[#This Row],[Quantity]]*OrdersTable[[#This Row],[Unit Cost]]</f>
        <v>105</v>
      </c>
      <c r="X1119" s="77">
        <f>'Dropdown Lists'!$I$2*(1+OrdersTable[[#This Row],[Returned]])</f>
        <v>60</v>
      </c>
      <c r="Y1119" s="76">
        <f>OrdersTable[[#This Row],[Net Revenue]]-OrdersTable[[#This Row],[COGS]]-OrdersTable[[#This Row],[Shipping Cost]]</f>
        <v>79.300000000000011</v>
      </c>
      <c r="Z1119" s="78">
        <f>IFERROR(OrdersTable[[#This Row],[Profit]]/OrdersTable[[#This Row],[Net Revenue]],0)</f>
        <v>0.32460090053213264</v>
      </c>
      <c r="AA1119" t="s">
        <v>2522</v>
      </c>
      <c r="AB1119" s="79">
        <v>45520</v>
      </c>
      <c r="AC1119">
        <f>OrdersTable[[#This Row],[Delivery Date]]-OrdersTable[[#This Row],[Order Date]]</f>
        <v>2</v>
      </c>
      <c r="AD1119" t="str">
        <f>IF(OrdersTable[[#This Row],[Delivery Days]]&lt;=2, "Express (≤2d)", IF(OrdersTable[[#This Row],[Delivery Days]]&lt;=4, "Standard (3-4d)", "Delayed (5d+)"))</f>
        <v>Express (≤2d)</v>
      </c>
      <c r="AF1119">
        <v>0</v>
      </c>
    </row>
    <row r="1120" spans="1:32" ht="15" x14ac:dyDescent="0.35">
      <c r="A1120" t="s">
        <v>2089</v>
      </c>
      <c r="B1120" s="1">
        <v>45519</v>
      </c>
      <c r="C1120">
        <f>YEAR(OrdersTable[[#This Row],[Order Date]])</f>
        <v>2024</v>
      </c>
      <c r="D1120" s="2">
        <f>DATE(YEAR(OrdersTable[[#This Row],[Order Date]]),MONTH(OrdersTable[[#This Row],[Order Date]]),1)</f>
        <v>45505</v>
      </c>
      <c r="E1120">
        <f>MONTH(OrdersTable[[#This Row],[Order Date]])</f>
        <v>8</v>
      </c>
      <c r="F1120" t="s">
        <v>2090</v>
      </c>
      <c r="G1120" t="str">
        <f>IF(OrdersTable[[#This Row],[Order Date]]=_xlfn.MINIFS(Order_Date, Customer_ID, OrdersTable[[#This Row],[Customer ID]]), "New", "Repeat")</f>
        <v>New</v>
      </c>
      <c r="H1120" t="s">
        <v>27</v>
      </c>
      <c r="I1120" t="str">
        <f>INDEX(State!B:B,MATCH(OrdersTable[[#This Row],[State]],State!A:A,0))</f>
        <v>WB</v>
      </c>
      <c r="J1120" t="str">
        <f>INDEX(State!C:C,MATCH(OrdersTable[[#This Row],[State Code]],State!B:B,0))</f>
        <v>East</v>
      </c>
      <c r="K1120" t="s">
        <v>28</v>
      </c>
      <c r="L1120" t="s">
        <v>39</v>
      </c>
      <c r="M1120" t="s">
        <v>61</v>
      </c>
      <c r="N1120" t="str">
        <f>INDEX(Products!B:B,MATCH(OrdersTable[[#This Row],[Product ID]],Products!A:A,0))</f>
        <v>Multivitamin Gummies</v>
      </c>
      <c r="O1120" t="str">
        <f>INDEX(Products!C:C,MATCH(OrdersTable[[#This Row],[Product ID]],Products!A:A,0))</f>
        <v>Wellness</v>
      </c>
      <c r="P1120">
        <v>1</v>
      </c>
      <c r="Q1120" s="5">
        <v>699</v>
      </c>
      <c r="R1120" s="74">
        <v>0.25</v>
      </c>
      <c r="S1120" s="75">
        <f>OrdersTable[[#This Row],[Quantity]]*OrdersTable[[#This Row],[Unit Price]]</f>
        <v>699</v>
      </c>
      <c r="T1120" s="5">
        <f>OrdersTable[[#This Row],[Gross Sale]]*OrdersTable[[#This Row],[Discount_Clean2]]</f>
        <v>174.75</v>
      </c>
      <c r="U1120" s="5">
        <f>OrdersTable[[#This Row],[Gross Sale]]-OrdersTable[[#This Row],[Discount Amount]]</f>
        <v>524.25</v>
      </c>
      <c r="V1120" s="77">
        <f>INDEX(Products!E:E,MATCH(OrdersTable[[#This Row],[Product ID]],Products!A:A,0))</f>
        <v>238</v>
      </c>
      <c r="W1120" s="77">
        <f>OrdersTable[[#This Row],[Quantity]]*OrdersTable[[#This Row],[Unit Cost]]</f>
        <v>238</v>
      </c>
      <c r="X1120" s="77">
        <f>'Dropdown Lists'!$I$2*(1+OrdersTable[[#This Row],[Returned]])</f>
        <v>60</v>
      </c>
      <c r="Y1120" s="76">
        <f>OrdersTable[[#This Row],[Net Revenue]]-OrdersTable[[#This Row],[COGS]]-OrdersTable[[#This Row],[Shipping Cost]]</f>
        <v>226.25</v>
      </c>
      <c r="Z1120" s="78">
        <f>IFERROR(OrdersTable[[#This Row],[Profit]]/OrdersTable[[#This Row],[Net Revenue]],0)</f>
        <v>0.43156890796375774</v>
      </c>
      <c r="AA1120" t="s">
        <v>18</v>
      </c>
      <c r="AB1120" s="79">
        <v>45524</v>
      </c>
      <c r="AC1120">
        <f>OrdersTable[[#This Row],[Delivery Date]]-OrdersTable[[#This Row],[Order Date]]</f>
        <v>5</v>
      </c>
      <c r="AD1120" t="str">
        <f>IF(OrdersTable[[#This Row],[Delivery Days]]&lt;=2, "Express (≤2d)", IF(OrdersTable[[#This Row],[Delivery Days]]&lt;=4, "Standard (3-4d)", "Delayed (5d+)"))</f>
        <v>Delayed (5d+)</v>
      </c>
      <c r="AE1120">
        <v>3</v>
      </c>
      <c r="AF1120">
        <v>0</v>
      </c>
    </row>
    <row r="1121" spans="1:32" ht="15" x14ac:dyDescent="0.35">
      <c r="A1121" t="s">
        <v>6962</v>
      </c>
      <c r="B1121" s="1">
        <v>45520</v>
      </c>
      <c r="C1121">
        <f>YEAR(OrdersTable[[#This Row],[Order Date]])</f>
        <v>2024</v>
      </c>
      <c r="D1121" s="2">
        <f>DATE(YEAR(OrdersTable[[#This Row],[Order Date]]),MONTH(OrdersTable[[#This Row],[Order Date]]),1)</f>
        <v>45505</v>
      </c>
      <c r="E1121">
        <f>MONTH(OrdersTable[[#This Row],[Order Date]])</f>
        <v>8</v>
      </c>
      <c r="F1121" t="s">
        <v>915</v>
      </c>
      <c r="G1121" t="str">
        <f>IF(OrdersTable[[#This Row],[Order Date]]=_xlfn.MINIFS(Order_Date, Customer_ID, OrdersTable[[#This Row],[Customer ID]]), "New", "Repeat")</f>
        <v>Repeat</v>
      </c>
      <c r="H1121" t="s">
        <v>210</v>
      </c>
      <c r="I1121" t="str">
        <f>INDEX(State!B:B,MATCH(OrdersTable[[#This Row],[State]],State!A:A,0))</f>
        <v>JK</v>
      </c>
      <c r="J1121" t="str">
        <f>INDEX(State!C:C,MATCH(OrdersTable[[#This Row],[State Code]],State!B:B,0))</f>
        <v>North</v>
      </c>
      <c r="K1121" t="s">
        <v>211</v>
      </c>
      <c r="L1121" t="s">
        <v>65</v>
      </c>
      <c r="M1121" t="s">
        <v>78</v>
      </c>
      <c r="N1121" t="str">
        <f>INDEX(Products!B:B,MATCH(OrdersTable[[#This Row],[Product ID]],Products!A:A,0))</f>
        <v>Retinol Night Cream</v>
      </c>
      <c r="O1121" t="str">
        <f>INDEX(Products!C:C,MATCH(OrdersTable[[#This Row],[Product ID]],Products!A:A,0))</f>
        <v>Skincare</v>
      </c>
      <c r="P1121">
        <v>4</v>
      </c>
      <c r="Q1121" s="5">
        <v>799</v>
      </c>
      <c r="R1121" s="74">
        <v>0.15</v>
      </c>
      <c r="S1121" s="75">
        <f>OrdersTable[[#This Row],[Quantity]]*OrdersTable[[#This Row],[Unit Price]]</f>
        <v>3196</v>
      </c>
      <c r="T1121" s="5">
        <f>OrdersTable[[#This Row],[Gross Sale]]*OrdersTable[[#This Row],[Discount_Clean2]]</f>
        <v>479.4</v>
      </c>
      <c r="U1121" s="5">
        <f>OrdersTable[[#This Row],[Gross Sale]]-OrdersTable[[#This Row],[Discount Amount]]</f>
        <v>2716.6</v>
      </c>
      <c r="V1121" s="77">
        <f>INDEX(Products!E:E,MATCH(OrdersTable[[#This Row],[Product ID]],Products!A:A,0))</f>
        <v>216</v>
      </c>
      <c r="W1121" s="77">
        <f>OrdersTable[[#This Row],[Quantity]]*OrdersTable[[#This Row],[Unit Cost]]</f>
        <v>864</v>
      </c>
      <c r="X1121" s="77">
        <f>'Dropdown Lists'!$I$2*(1+OrdersTable[[#This Row],[Returned]])</f>
        <v>120</v>
      </c>
      <c r="Y1121" s="76">
        <f>OrdersTable[[#This Row],[Net Revenue]]-OrdersTable[[#This Row],[COGS]]-OrdersTable[[#This Row],[Shipping Cost]]</f>
        <v>1732.6</v>
      </c>
      <c r="Z1121" s="78">
        <f>IFERROR(OrdersTable[[#This Row],[Profit]]/OrdersTable[[#This Row],[Net Revenue]],0)</f>
        <v>0.63778252227048515</v>
      </c>
      <c r="AA1121" t="s">
        <v>2522</v>
      </c>
      <c r="AB1121" s="79">
        <v>45524</v>
      </c>
      <c r="AC1121">
        <f>OrdersTable[[#This Row],[Delivery Date]]-OrdersTable[[#This Row],[Order Date]]</f>
        <v>4</v>
      </c>
      <c r="AD1121" t="str">
        <f>IF(OrdersTable[[#This Row],[Delivery Days]]&lt;=2, "Express (≤2d)", IF(OrdersTable[[#This Row],[Delivery Days]]&lt;=4, "Standard (3-4d)", "Delayed (5d+)"))</f>
        <v>Standard (3-4d)</v>
      </c>
      <c r="AF1121">
        <v>1</v>
      </c>
    </row>
    <row r="1122" spans="1:32" ht="15" x14ac:dyDescent="0.35">
      <c r="A1122" t="s">
        <v>3192</v>
      </c>
      <c r="B1122" s="1">
        <v>45520</v>
      </c>
      <c r="C1122">
        <f>YEAR(OrdersTable[[#This Row],[Order Date]])</f>
        <v>2024</v>
      </c>
      <c r="D1122" s="2">
        <f>DATE(YEAR(OrdersTable[[#This Row],[Order Date]]),MONTH(OrdersTable[[#This Row],[Order Date]]),1)</f>
        <v>45505</v>
      </c>
      <c r="E1122">
        <f>MONTH(OrdersTable[[#This Row],[Order Date]])</f>
        <v>8</v>
      </c>
      <c r="F1122" t="s">
        <v>2115</v>
      </c>
      <c r="G1122" t="str">
        <f>IF(OrdersTable[[#This Row],[Order Date]]=_xlfn.MINIFS(Order_Date, Customer_ID, OrdersTable[[#This Row],[Customer ID]]), "New", "Repeat")</f>
        <v>Repeat</v>
      </c>
      <c r="H1122" t="s">
        <v>48</v>
      </c>
      <c r="I1122" t="str">
        <f>INDEX(State!B:B,MATCH(OrdersTable[[#This Row],[State]],State!A:A,0))</f>
        <v>HR</v>
      </c>
      <c r="J1122" t="str">
        <f>INDEX(State!C:C,MATCH(OrdersTable[[#This Row],[State Code]],State!B:B,0))</f>
        <v>North</v>
      </c>
      <c r="K1122" t="s">
        <v>49</v>
      </c>
      <c r="L1122" t="s">
        <v>50</v>
      </c>
      <c r="M1122" t="s">
        <v>152</v>
      </c>
      <c r="N1122" t="str">
        <f>INDEX(Products!B:B,MATCH(OrdersTable[[#This Row],[Product ID]],Products!A:A,0))</f>
        <v>Green Tea (100 bags)</v>
      </c>
      <c r="O1122" t="str">
        <f>INDEX(Products!C:C,MATCH(OrdersTable[[#This Row],[Product ID]],Products!A:A,0))</f>
        <v>Wellness</v>
      </c>
      <c r="P1122">
        <v>1</v>
      </c>
      <c r="Q1122" s="5">
        <v>399</v>
      </c>
      <c r="R1122" s="74">
        <v>0.3</v>
      </c>
      <c r="S1122" s="75">
        <f>OrdersTable[[#This Row],[Quantity]]*OrdersTable[[#This Row],[Unit Price]]</f>
        <v>399</v>
      </c>
      <c r="T1122" s="5">
        <f>OrdersTable[[#This Row],[Gross Sale]]*OrdersTable[[#This Row],[Discount_Clean2]]</f>
        <v>119.69999999999999</v>
      </c>
      <c r="U1122" s="5">
        <f>OrdersTable[[#This Row],[Gross Sale]]-OrdersTable[[#This Row],[Discount Amount]]</f>
        <v>279.3</v>
      </c>
      <c r="V1122" s="77">
        <f>INDEX(Products!E:E,MATCH(OrdersTable[[#This Row],[Product ID]],Products!A:A,0))</f>
        <v>128</v>
      </c>
      <c r="W1122" s="77">
        <f>OrdersTable[[#This Row],[Quantity]]*OrdersTable[[#This Row],[Unit Cost]]</f>
        <v>128</v>
      </c>
      <c r="X1122" s="77">
        <f>'Dropdown Lists'!$I$2*(1+OrdersTable[[#This Row],[Returned]])</f>
        <v>60</v>
      </c>
      <c r="Y1122" s="76">
        <f>OrdersTable[[#This Row],[Net Revenue]]-OrdersTable[[#This Row],[COGS]]-OrdersTable[[#This Row],[Shipping Cost]]</f>
        <v>91.300000000000011</v>
      </c>
      <c r="Z1122" s="78">
        <f>IFERROR(OrdersTable[[#This Row],[Profit]]/OrdersTable[[#This Row],[Net Revenue]],0)</f>
        <v>0.32688865019692093</v>
      </c>
      <c r="AA1122" t="s">
        <v>2522</v>
      </c>
      <c r="AB1122" s="79">
        <v>45524</v>
      </c>
      <c r="AC1122">
        <f>OrdersTable[[#This Row],[Delivery Date]]-OrdersTable[[#This Row],[Order Date]]</f>
        <v>4</v>
      </c>
      <c r="AD1122" t="str">
        <f>IF(OrdersTable[[#This Row],[Delivery Days]]&lt;=2, "Express (≤2d)", IF(OrdersTable[[#This Row],[Delivery Days]]&lt;=4, "Standard (3-4d)", "Delayed (5d+)"))</f>
        <v>Standard (3-4d)</v>
      </c>
      <c r="AE1122">
        <v>4</v>
      </c>
      <c r="AF1122">
        <v>0</v>
      </c>
    </row>
    <row r="1123" spans="1:32" ht="15" x14ac:dyDescent="0.35">
      <c r="A1123" t="s">
        <v>3981</v>
      </c>
      <c r="B1123" s="1">
        <v>45520</v>
      </c>
      <c r="C1123">
        <f>YEAR(OrdersTable[[#This Row],[Order Date]])</f>
        <v>2024</v>
      </c>
      <c r="D1123" s="2">
        <f>DATE(YEAR(OrdersTable[[#This Row],[Order Date]]),MONTH(OrdersTable[[#This Row],[Order Date]]),1)</f>
        <v>45505</v>
      </c>
      <c r="E1123">
        <f>MONTH(OrdersTable[[#This Row],[Order Date]])</f>
        <v>8</v>
      </c>
      <c r="F1123" t="s">
        <v>139</v>
      </c>
      <c r="G1123" t="str">
        <f>IF(OrdersTable[[#This Row],[Order Date]]=_xlfn.MINIFS(Order_Date, Customer_ID, OrdersTable[[#This Row],[Customer ID]]), "New", "Repeat")</f>
        <v>Repeat</v>
      </c>
      <c r="H1123" t="s">
        <v>76</v>
      </c>
      <c r="I1123" t="str">
        <f>INDEX(State!B:B,MATCH(OrdersTable[[#This Row],[State]],State!A:A,0))</f>
        <v>UP</v>
      </c>
      <c r="J1123" t="str">
        <f>INDEX(State!C:C,MATCH(OrdersTable[[#This Row],[State Code]],State!B:B,0))</f>
        <v>North</v>
      </c>
      <c r="K1123" t="s">
        <v>77</v>
      </c>
      <c r="L1123" t="s">
        <v>39</v>
      </c>
      <c r="M1123" t="s">
        <v>176</v>
      </c>
      <c r="N1123" t="str">
        <f>INDEX(Products!B:B,MATCH(OrdersTable[[#This Row],[Product ID]],Products!A:A,0))</f>
        <v>Denim Jacket</v>
      </c>
      <c r="O1123" t="str">
        <f>INDEX(Products!C:C,MATCH(OrdersTable[[#This Row],[Product ID]],Products!A:A,0))</f>
        <v>Apparel</v>
      </c>
      <c r="P1123">
        <v>1</v>
      </c>
      <c r="Q1123" s="5">
        <v>2499</v>
      </c>
      <c r="R1123" s="74">
        <v>0</v>
      </c>
      <c r="S1123" s="75">
        <f>OrdersTable[[#This Row],[Quantity]]*OrdersTable[[#This Row],[Unit Price]]</f>
        <v>2499</v>
      </c>
      <c r="T1123" s="5">
        <f>OrdersTable[[#This Row],[Gross Sale]]*OrdersTable[[#This Row],[Discount_Clean2]]</f>
        <v>0</v>
      </c>
      <c r="U1123" s="5">
        <f>OrdersTable[[#This Row],[Gross Sale]]-OrdersTable[[#This Row],[Discount Amount]]</f>
        <v>2499</v>
      </c>
      <c r="V1123" s="77">
        <f>INDEX(Products!E:E,MATCH(OrdersTable[[#This Row],[Product ID]],Products!A:A,0))</f>
        <v>1125</v>
      </c>
      <c r="W1123" s="77">
        <f>OrdersTable[[#This Row],[Quantity]]*OrdersTable[[#This Row],[Unit Cost]]</f>
        <v>1125</v>
      </c>
      <c r="X1123" s="77">
        <f>'Dropdown Lists'!$I$2*(1+OrdersTable[[#This Row],[Returned]])</f>
        <v>60</v>
      </c>
      <c r="Y1123" s="76">
        <f>OrdersTable[[#This Row],[Net Revenue]]-OrdersTable[[#This Row],[COGS]]-OrdersTable[[#This Row],[Shipping Cost]]</f>
        <v>1314</v>
      </c>
      <c r="Z1123" s="78">
        <f>IFERROR(OrdersTable[[#This Row],[Profit]]/OrdersTable[[#This Row],[Net Revenue]],0)</f>
        <v>0.5258103241296519</v>
      </c>
      <c r="AA1123" t="s">
        <v>3495</v>
      </c>
      <c r="AB1123" s="79">
        <v>45522</v>
      </c>
      <c r="AC1123">
        <f>OrdersTable[[#This Row],[Delivery Date]]-OrdersTable[[#This Row],[Order Date]]</f>
        <v>2</v>
      </c>
      <c r="AD1123" t="str">
        <f>IF(OrdersTable[[#This Row],[Delivery Days]]&lt;=2, "Express (≤2d)", IF(OrdersTable[[#This Row],[Delivery Days]]&lt;=4, "Standard (3-4d)", "Delayed (5d+)"))</f>
        <v>Express (≤2d)</v>
      </c>
      <c r="AE1123">
        <v>5</v>
      </c>
      <c r="AF1123">
        <v>0</v>
      </c>
    </row>
    <row r="1124" spans="1:32" ht="15" x14ac:dyDescent="0.35">
      <c r="A1124" t="s">
        <v>1357</v>
      </c>
      <c r="B1124" s="1">
        <v>45520</v>
      </c>
      <c r="C1124">
        <f>YEAR(OrdersTable[[#This Row],[Order Date]])</f>
        <v>2024</v>
      </c>
      <c r="D1124" s="2">
        <f>DATE(YEAR(OrdersTable[[#This Row],[Order Date]]),MONTH(OrdersTable[[#This Row],[Order Date]]),1)</f>
        <v>45505</v>
      </c>
      <c r="E1124">
        <f>MONTH(OrdersTable[[#This Row],[Order Date]])</f>
        <v>8</v>
      </c>
      <c r="F1124" t="s">
        <v>382</v>
      </c>
      <c r="G1124" t="str">
        <f>IF(OrdersTable[[#This Row],[Order Date]]=_xlfn.MINIFS(Order_Date, Customer_ID, OrdersTable[[#This Row],[Customer ID]]), "New", "Repeat")</f>
        <v>New</v>
      </c>
      <c r="H1124" t="s">
        <v>76</v>
      </c>
      <c r="I1124" t="str">
        <f>INDEX(State!B:B,MATCH(OrdersTable[[#This Row],[State]],State!A:A,0))</f>
        <v>UP</v>
      </c>
      <c r="J1124" t="str">
        <f>INDEX(State!C:C,MATCH(OrdersTable[[#This Row],[State Code]],State!B:B,0))</f>
        <v>North</v>
      </c>
      <c r="K1124" t="s">
        <v>77</v>
      </c>
      <c r="L1124" t="s">
        <v>23</v>
      </c>
      <c r="M1124" t="s">
        <v>56</v>
      </c>
      <c r="N1124" t="str">
        <f>INDEX(Products!B:B,MATCH(OrdersTable[[#This Row],[Product ID]],Products!A:A,0))</f>
        <v>Vitamin C Face Serum</v>
      </c>
      <c r="O1124" t="str">
        <f>INDEX(Products!C:C,MATCH(OrdersTable[[#This Row],[Product ID]],Products!A:A,0))</f>
        <v>Skincare</v>
      </c>
      <c r="P1124">
        <v>1</v>
      </c>
      <c r="Q1124" s="5">
        <v>599</v>
      </c>
      <c r="R1124" s="74">
        <v>0.1</v>
      </c>
      <c r="S1124" s="75">
        <f>OrdersTable[[#This Row],[Quantity]]*OrdersTable[[#This Row],[Unit Price]]</f>
        <v>599</v>
      </c>
      <c r="T1124" s="5">
        <f>OrdersTable[[#This Row],[Gross Sale]]*OrdersTable[[#This Row],[Discount_Clean2]]</f>
        <v>59.900000000000006</v>
      </c>
      <c r="U1124" s="5">
        <f>OrdersTable[[#This Row],[Gross Sale]]-OrdersTable[[#This Row],[Discount Amount]]</f>
        <v>539.1</v>
      </c>
      <c r="V1124" s="77">
        <f>INDEX(Products!E:E,MATCH(OrdersTable[[#This Row],[Product ID]],Products!A:A,0))</f>
        <v>180</v>
      </c>
      <c r="W1124" s="77">
        <f>OrdersTable[[#This Row],[Quantity]]*OrdersTable[[#This Row],[Unit Cost]]</f>
        <v>180</v>
      </c>
      <c r="X1124" s="77">
        <f>'Dropdown Lists'!$I$2*(1+OrdersTable[[#This Row],[Returned]])</f>
        <v>60</v>
      </c>
      <c r="Y1124" s="76">
        <f>OrdersTable[[#This Row],[Net Revenue]]-OrdersTable[[#This Row],[COGS]]-OrdersTable[[#This Row],[Shipping Cost]]</f>
        <v>299.10000000000002</v>
      </c>
      <c r="Z1124" s="78">
        <f>IFERROR(OrdersTable[[#This Row],[Profit]]/OrdersTable[[#This Row],[Net Revenue]],0)</f>
        <v>0.5548135781858653</v>
      </c>
      <c r="AA1124" t="s">
        <v>18</v>
      </c>
      <c r="AB1124" s="79">
        <v>45524</v>
      </c>
      <c r="AC1124">
        <f>OrdersTable[[#This Row],[Delivery Date]]-OrdersTable[[#This Row],[Order Date]]</f>
        <v>4</v>
      </c>
      <c r="AD1124" t="str">
        <f>IF(OrdersTable[[#This Row],[Delivery Days]]&lt;=2, "Express (≤2d)", IF(OrdersTable[[#This Row],[Delivery Days]]&lt;=4, "Standard (3-4d)", "Delayed (5d+)"))</f>
        <v>Standard (3-4d)</v>
      </c>
      <c r="AF1124">
        <v>0</v>
      </c>
    </row>
    <row r="1125" spans="1:32" ht="15" x14ac:dyDescent="0.35">
      <c r="A1125" t="s">
        <v>5337</v>
      </c>
      <c r="B1125" s="1">
        <v>45520</v>
      </c>
      <c r="C1125">
        <f>YEAR(OrdersTable[[#This Row],[Order Date]])</f>
        <v>2024</v>
      </c>
      <c r="D1125" s="2">
        <f>DATE(YEAR(OrdersTable[[#This Row],[Order Date]]),MONTH(OrdersTable[[#This Row],[Order Date]]),1)</f>
        <v>45505</v>
      </c>
      <c r="E1125">
        <f>MONTH(OrdersTable[[#This Row],[Order Date]])</f>
        <v>8</v>
      </c>
      <c r="F1125" t="s">
        <v>2294</v>
      </c>
      <c r="G1125" t="str">
        <f>IF(OrdersTable[[#This Row],[Order Date]]=_xlfn.MINIFS(Order_Date, Customer_ID, OrdersTable[[#This Row],[Customer ID]]), "New", "Repeat")</f>
        <v>Repeat</v>
      </c>
      <c r="H1125" t="s">
        <v>27</v>
      </c>
      <c r="I1125" t="str">
        <f>INDEX(State!B:B,MATCH(OrdersTable[[#This Row],[State]],State!A:A,0))</f>
        <v>WB</v>
      </c>
      <c r="J1125" t="str">
        <f>INDEX(State!C:C,MATCH(OrdersTable[[#This Row],[State Code]],State!B:B,0))</f>
        <v>East</v>
      </c>
      <c r="K1125" t="s">
        <v>28</v>
      </c>
      <c r="L1125" t="s">
        <v>65</v>
      </c>
      <c r="M1125" t="s">
        <v>173</v>
      </c>
      <c r="N1125" t="str">
        <f>INDEX(Products!B:B,MATCH(OrdersTable[[#This Row],[Product ID]],Products!A:A,0))</f>
        <v>Wireless Earbuds</v>
      </c>
      <c r="O1125" t="str">
        <f>INDEX(Products!C:C,MATCH(OrdersTable[[#This Row],[Product ID]],Products!A:A,0))</f>
        <v>Electronics</v>
      </c>
      <c r="P1125">
        <v>2</v>
      </c>
      <c r="Q1125" s="5">
        <v>1999</v>
      </c>
      <c r="R1125" s="74">
        <v>0.4</v>
      </c>
      <c r="S1125" s="75">
        <f>OrdersTable[[#This Row],[Quantity]]*OrdersTable[[#This Row],[Unit Price]]</f>
        <v>3998</v>
      </c>
      <c r="T1125" s="5">
        <f>OrdersTable[[#This Row],[Gross Sale]]*OrdersTable[[#This Row],[Discount_Clean2]]</f>
        <v>1599.2</v>
      </c>
      <c r="U1125" s="5">
        <f>OrdersTable[[#This Row],[Gross Sale]]-OrdersTable[[#This Row],[Discount Amount]]</f>
        <v>2398.8000000000002</v>
      </c>
      <c r="V1125" s="77">
        <f>INDEX(Products!E:E,MATCH(OrdersTable[[#This Row],[Product ID]],Products!A:A,0))</f>
        <v>1239</v>
      </c>
      <c r="W1125" s="77">
        <f>OrdersTable[[#This Row],[Quantity]]*OrdersTable[[#This Row],[Unit Cost]]</f>
        <v>2478</v>
      </c>
      <c r="X1125" s="77">
        <f>'Dropdown Lists'!$I$2*(1+OrdersTable[[#This Row],[Returned]])</f>
        <v>120</v>
      </c>
      <c r="Y1125" s="76">
        <f>OrdersTable[[#This Row],[Net Revenue]]-OrdersTable[[#This Row],[COGS]]-OrdersTable[[#This Row],[Shipping Cost]]</f>
        <v>-199.19999999999982</v>
      </c>
      <c r="Z1125" s="78">
        <f>IFERROR(OrdersTable[[#This Row],[Profit]]/OrdersTable[[#This Row],[Net Revenue]],0)</f>
        <v>-8.3041520760380114E-2</v>
      </c>
      <c r="AA1125" t="s">
        <v>2522</v>
      </c>
      <c r="AB1125" s="79">
        <v>45522</v>
      </c>
      <c r="AC1125">
        <f>OrdersTable[[#This Row],[Delivery Date]]-OrdersTable[[#This Row],[Order Date]]</f>
        <v>2</v>
      </c>
      <c r="AD1125" t="str">
        <f>IF(OrdersTable[[#This Row],[Delivery Days]]&lt;=2, "Express (≤2d)", IF(OrdersTable[[#This Row],[Delivery Days]]&lt;=4, "Standard (3-4d)", "Delayed (5d+)"))</f>
        <v>Express (≤2d)</v>
      </c>
      <c r="AF1125">
        <v>1</v>
      </c>
    </row>
    <row r="1126" spans="1:32" ht="15" x14ac:dyDescent="0.35">
      <c r="A1126" t="s">
        <v>4235</v>
      </c>
      <c r="B1126" s="1">
        <v>45520</v>
      </c>
      <c r="C1126">
        <f>YEAR(OrdersTable[[#This Row],[Order Date]])</f>
        <v>2024</v>
      </c>
      <c r="D1126" s="2">
        <f>DATE(YEAR(OrdersTable[[#This Row],[Order Date]]),MONTH(OrdersTable[[#This Row],[Order Date]]),1)</f>
        <v>45505</v>
      </c>
      <c r="E1126">
        <f>MONTH(OrdersTable[[#This Row],[Order Date]])</f>
        <v>8</v>
      </c>
      <c r="F1126" t="s">
        <v>4236</v>
      </c>
      <c r="G1126" t="str">
        <f>IF(OrdersTable[[#This Row],[Order Date]]=_xlfn.MINIFS(Order_Date, Customer_ID, OrdersTable[[#This Row],[Customer ID]]), "New", "Repeat")</f>
        <v>New</v>
      </c>
      <c r="H1126" t="s">
        <v>71</v>
      </c>
      <c r="I1126" t="str">
        <f>INDEX(State!B:B,MATCH(OrdersTable[[#This Row],[State]],State!A:A,0))</f>
        <v>MH</v>
      </c>
      <c r="J1126" t="str">
        <f>INDEX(State!C:C,MATCH(OrdersTable[[#This Row],[State Code]],State!B:B,0))</f>
        <v>West</v>
      </c>
      <c r="K1126" t="s">
        <v>81</v>
      </c>
      <c r="L1126" t="s">
        <v>16</v>
      </c>
      <c r="M1126" t="s">
        <v>255</v>
      </c>
      <c r="N1126" t="str">
        <f>INDEX(Products!B:B,MATCH(OrdersTable[[#This Row],[Product ID]],Products!A:A,0))</f>
        <v>Cotton Oversized T-Shirt</v>
      </c>
      <c r="O1126" t="str">
        <f>INDEX(Products!C:C,MATCH(OrdersTable[[#This Row],[Product ID]],Products!A:A,0))</f>
        <v>Apparel</v>
      </c>
      <c r="P1126">
        <v>1</v>
      </c>
      <c r="Q1126" s="5">
        <v>799</v>
      </c>
      <c r="R1126" s="74">
        <v>0</v>
      </c>
      <c r="S1126" s="75">
        <f>OrdersTable[[#This Row],[Quantity]]*OrdersTable[[#This Row],[Unit Price]]</f>
        <v>799</v>
      </c>
      <c r="T1126" s="5">
        <f>OrdersTable[[#This Row],[Gross Sale]]*OrdersTable[[#This Row],[Discount_Clean2]]</f>
        <v>0</v>
      </c>
      <c r="U1126" s="5">
        <f>OrdersTable[[#This Row],[Gross Sale]]-OrdersTable[[#This Row],[Discount Amount]]</f>
        <v>799</v>
      </c>
      <c r="V1126" s="77">
        <f>INDEX(Products!E:E,MATCH(OrdersTable[[#This Row],[Product ID]],Products!A:A,0))</f>
        <v>320</v>
      </c>
      <c r="W1126" s="77">
        <f>OrdersTable[[#This Row],[Quantity]]*OrdersTable[[#This Row],[Unit Cost]]</f>
        <v>320</v>
      </c>
      <c r="X1126" s="77">
        <f>'Dropdown Lists'!$I$2*(1+OrdersTable[[#This Row],[Returned]])</f>
        <v>60</v>
      </c>
      <c r="Y1126" s="76">
        <f>OrdersTable[[#This Row],[Net Revenue]]-OrdersTable[[#This Row],[COGS]]-OrdersTable[[#This Row],[Shipping Cost]]</f>
        <v>419</v>
      </c>
      <c r="Z1126" s="78">
        <f>IFERROR(OrdersTable[[#This Row],[Profit]]/OrdersTable[[#This Row],[Net Revenue]],0)</f>
        <v>0.52440550688360454</v>
      </c>
      <c r="AA1126" t="s">
        <v>4074</v>
      </c>
      <c r="AB1126" s="79">
        <v>45522</v>
      </c>
      <c r="AC1126">
        <f>OrdersTable[[#This Row],[Delivery Date]]-OrdersTable[[#This Row],[Order Date]]</f>
        <v>2</v>
      </c>
      <c r="AD1126" t="str">
        <f>IF(OrdersTable[[#This Row],[Delivery Days]]&lt;=2, "Express (≤2d)", IF(OrdersTable[[#This Row],[Delivery Days]]&lt;=4, "Standard (3-4d)", "Delayed (5d+)"))</f>
        <v>Express (≤2d)</v>
      </c>
      <c r="AF1126">
        <v>0</v>
      </c>
    </row>
    <row r="1127" spans="1:32" ht="15" x14ac:dyDescent="0.35">
      <c r="A1127" t="s">
        <v>5878</v>
      </c>
      <c r="B1127" s="1">
        <v>45520</v>
      </c>
      <c r="C1127">
        <f>YEAR(OrdersTable[[#This Row],[Order Date]])</f>
        <v>2024</v>
      </c>
      <c r="D1127" s="2">
        <f>DATE(YEAR(OrdersTable[[#This Row],[Order Date]]),MONTH(OrdersTable[[#This Row],[Order Date]]),1)</f>
        <v>45505</v>
      </c>
      <c r="E1127">
        <f>MONTH(OrdersTable[[#This Row],[Order Date]])</f>
        <v>8</v>
      </c>
      <c r="F1127" t="s">
        <v>1662</v>
      </c>
      <c r="G1127" t="str">
        <f>IF(OrdersTable[[#This Row],[Order Date]]=_xlfn.MINIFS(Order_Date, Customer_ID, OrdersTable[[#This Row],[Customer ID]]), "New", "Repeat")</f>
        <v>New</v>
      </c>
      <c r="H1127" t="s">
        <v>167</v>
      </c>
      <c r="I1127" t="str">
        <f>INDEX(State!B:B,MATCH(OrdersTable[[#This Row],[State]],State!A:A,0))</f>
        <v>KA</v>
      </c>
      <c r="J1127" t="str">
        <f>INDEX(State!C:C,MATCH(OrdersTable[[#This Row],[State Code]],State!B:B,0))</f>
        <v>South</v>
      </c>
      <c r="K1127" t="s">
        <v>190</v>
      </c>
      <c r="L1127" t="s">
        <v>65</v>
      </c>
      <c r="M1127" t="s">
        <v>40</v>
      </c>
      <c r="N1127" t="str">
        <f>INDEX(Products!B:B,MATCH(OrdersTable[[#This Row],[Product ID]],Products!A:A,0))</f>
        <v>Ashwagandha Capsules</v>
      </c>
      <c r="O1127" t="str">
        <f>INDEX(Products!C:C,MATCH(OrdersTable[[#This Row],[Product ID]],Products!A:A,0))</f>
        <v>Wellness</v>
      </c>
      <c r="P1127">
        <v>2</v>
      </c>
      <c r="Q1127" s="5">
        <v>499</v>
      </c>
      <c r="R1127" s="74">
        <v>0</v>
      </c>
      <c r="S1127" s="75">
        <f>OrdersTable[[#This Row],[Quantity]]*OrdersTable[[#This Row],[Unit Price]]</f>
        <v>998</v>
      </c>
      <c r="T1127" s="5">
        <f>OrdersTable[[#This Row],[Gross Sale]]*OrdersTable[[#This Row],[Discount_Clean2]]</f>
        <v>0</v>
      </c>
      <c r="U1127" s="5">
        <f>OrdersTable[[#This Row],[Gross Sale]]-OrdersTable[[#This Row],[Discount Amount]]</f>
        <v>998</v>
      </c>
      <c r="V1127" s="77">
        <f>INDEX(Products!E:E,MATCH(OrdersTable[[#This Row],[Product ID]],Products!A:A,0))</f>
        <v>150</v>
      </c>
      <c r="W1127" s="77">
        <f>OrdersTable[[#This Row],[Quantity]]*OrdersTable[[#This Row],[Unit Cost]]</f>
        <v>300</v>
      </c>
      <c r="X1127" s="77">
        <f>'Dropdown Lists'!$I$2*(1+OrdersTable[[#This Row],[Returned]])</f>
        <v>60</v>
      </c>
      <c r="Y1127" s="76">
        <f>OrdersTable[[#This Row],[Net Revenue]]-OrdersTable[[#This Row],[COGS]]-OrdersTable[[#This Row],[Shipping Cost]]</f>
        <v>638</v>
      </c>
      <c r="Z1127" s="78">
        <f>IFERROR(OrdersTable[[#This Row],[Profit]]/OrdersTable[[#This Row],[Net Revenue]],0)</f>
        <v>0.63927855711422843</v>
      </c>
      <c r="AA1127" t="s">
        <v>18</v>
      </c>
      <c r="AB1127" s="79">
        <v>45521</v>
      </c>
      <c r="AC1127">
        <f>OrdersTable[[#This Row],[Delivery Date]]-OrdersTable[[#This Row],[Order Date]]</f>
        <v>1</v>
      </c>
      <c r="AD1127" t="str">
        <f>IF(OrdersTable[[#This Row],[Delivery Days]]&lt;=2, "Express (≤2d)", IF(OrdersTable[[#This Row],[Delivery Days]]&lt;=4, "Standard (3-4d)", "Delayed (5d+)"))</f>
        <v>Express (≤2d)</v>
      </c>
      <c r="AF1127">
        <v>0</v>
      </c>
    </row>
    <row r="1128" spans="1:32" ht="15" x14ac:dyDescent="0.35">
      <c r="A1128" t="s">
        <v>171</v>
      </c>
      <c r="B1128" s="1">
        <v>45520</v>
      </c>
      <c r="C1128">
        <f>YEAR(OrdersTable[[#This Row],[Order Date]])</f>
        <v>2024</v>
      </c>
      <c r="D1128" s="2">
        <f>DATE(YEAR(OrdersTable[[#This Row],[Order Date]]),MONTH(OrdersTable[[#This Row],[Order Date]]),1)</f>
        <v>45505</v>
      </c>
      <c r="E1128">
        <f>MONTH(OrdersTable[[#This Row],[Order Date]])</f>
        <v>8</v>
      </c>
      <c r="F1128" t="s">
        <v>172</v>
      </c>
      <c r="G1128" t="str">
        <f>IF(OrdersTable[[#This Row],[Order Date]]=_xlfn.MINIFS(Order_Date, Customer_ID, OrdersTable[[#This Row],[Customer ID]]), "New", "Repeat")</f>
        <v>New</v>
      </c>
      <c r="H1128" t="s">
        <v>167</v>
      </c>
      <c r="I1128" t="str">
        <f>INDEX(State!B:B,MATCH(OrdersTable[[#This Row],[State]],State!A:A,0))</f>
        <v>KA</v>
      </c>
      <c r="J1128" t="str">
        <f>INDEX(State!C:C,MATCH(OrdersTable[[#This Row],[State Code]],State!B:B,0))</f>
        <v>South</v>
      </c>
      <c r="K1128" t="s">
        <v>168</v>
      </c>
      <c r="L1128" t="s">
        <v>23</v>
      </c>
      <c r="M1128" t="s">
        <v>173</v>
      </c>
      <c r="N1128" t="str">
        <f>INDEX(Products!B:B,MATCH(OrdersTable[[#This Row],[Product ID]],Products!A:A,0))</f>
        <v>Wireless Earbuds</v>
      </c>
      <c r="O1128" t="str">
        <f>INDEX(Products!C:C,MATCH(OrdersTable[[#This Row],[Product ID]],Products!A:A,0))</f>
        <v>Electronics</v>
      </c>
      <c r="P1128">
        <v>1</v>
      </c>
      <c r="Q1128" s="5">
        <v>1999</v>
      </c>
      <c r="R1128" s="74">
        <v>0.4</v>
      </c>
      <c r="S1128" s="75">
        <f>OrdersTable[[#This Row],[Quantity]]*OrdersTable[[#This Row],[Unit Price]]</f>
        <v>1999</v>
      </c>
      <c r="T1128" s="5">
        <f>OrdersTable[[#This Row],[Gross Sale]]*OrdersTable[[#This Row],[Discount_Clean2]]</f>
        <v>799.6</v>
      </c>
      <c r="U1128" s="5">
        <f>OrdersTable[[#This Row],[Gross Sale]]-OrdersTable[[#This Row],[Discount Amount]]</f>
        <v>1199.4000000000001</v>
      </c>
      <c r="V1128" s="77">
        <f>INDEX(Products!E:E,MATCH(OrdersTable[[#This Row],[Product ID]],Products!A:A,0))</f>
        <v>1239</v>
      </c>
      <c r="W1128" s="77">
        <f>OrdersTable[[#This Row],[Quantity]]*OrdersTable[[#This Row],[Unit Cost]]</f>
        <v>1239</v>
      </c>
      <c r="X1128" s="77">
        <f>'Dropdown Lists'!$I$2*(1+OrdersTable[[#This Row],[Returned]])</f>
        <v>60</v>
      </c>
      <c r="Y1128" s="76">
        <f>OrdersTable[[#This Row],[Net Revenue]]-OrdersTable[[#This Row],[COGS]]-OrdersTable[[#This Row],[Shipping Cost]]</f>
        <v>-99.599999999999909</v>
      </c>
      <c r="Z1128" s="78">
        <f>IFERROR(OrdersTable[[#This Row],[Profit]]/OrdersTable[[#This Row],[Net Revenue]],0)</f>
        <v>-8.3041520760380114E-2</v>
      </c>
      <c r="AA1128" t="s">
        <v>18</v>
      </c>
      <c r="AB1128" s="79">
        <v>45522</v>
      </c>
      <c r="AC1128">
        <f>OrdersTable[[#This Row],[Delivery Date]]-OrdersTable[[#This Row],[Order Date]]</f>
        <v>2</v>
      </c>
      <c r="AD1128" t="str">
        <f>IF(OrdersTable[[#This Row],[Delivery Days]]&lt;=2, "Express (≤2d)", IF(OrdersTable[[#This Row],[Delivery Days]]&lt;=4, "Standard (3-4d)", "Delayed (5d+)"))</f>
        <v>Express (≤2d)</v>
      </c>
      <c r="AE1128">
        <v>4</v>
      </c>
      <c r="AF1128">
        <v>0</v>
      </c>
    </row>
    <row r="1129" spans="1:32" ht="15" x14ac:dyDescent="0.35">
      <c r="A1129" t="s">
        <v>6860</v>
      </c>
      <c r="B1129" s="1">
        <v>45520</v>
      </c>
      <c r="C1129">
        <f>YEAR(OrdersTable[[#This Row],[Order Date]])</f>
        <v>2024</v>
      </c>
      <c r="D1129" s="2">
        <f>DATE(YEAR(OrdersTable[[#This Row],[Order Date]]),MONTH(OrdersTable[[#This Row],[Order Date]]),1)</f>
        <v>45505</v>
      </c>
      <c r="E1129">
        <f>MONTH(OrdersTable[[#This Row],[Order Date]])</f>
        <v>8</v>
      </c>
      <c r="F1129" t="s">
        <v>1733</v>
      </c>
      <c r="G1129" t="str">
        <f>IF(OrdersTable[[#This Row],[Order Date]]=_xlfn.MINIFS(Order_Date, Customer_ID, OrdersTable[[#This Row],[Customer ID]]), "New", "Repeat")</f>
        <v>New</v>
      </c>
      <c r="H1129" t="s">
        <v>316</v>
      </c>
      <c r="I1129" t="str">
        <f>INDEX(State!B:B,MATCH(OrdersTable[[#This Row],[State]],State!A:A,0))</f>
        <v>KL</v>
      </c>
      <c r="J1129" t="str">
        <f>INDEX(State!C:C,MATCH(OrdersTable[[#This Row],[State Code]],State!B:B,0))</f>
        <v>South</v>
      </c>
      <c r="K1129" t="s">
        <v>338</v>
      </c>
      <c r="L1129" t="s">
        <v>65</v>
      </c>
      <c r="M1129" t="s">
        <v>24</v>
      </c>
      <c r="N1129" t="str">
        <f>INDEX(Products!B:B,MATCH(OrdersTable[[#This Row],[Product ID]],Products!A:A,0))</f>
        <v>Scented Candle Set</v>
      </c>
      <c r="O1129" t="str">
        <f>INDEX(Products!C:C,MATCH(OrdersTable[[#This Row],[Product ID]],Products!A:A,0))</f>
        <v>Home &amp; Kitchen</v>
      </c>
      <c r="P1129">
        <v>3</v>
      </c>
      <c r="Q1129" s="5">
        <v>699</v>
      </c>
      <c r="R1129" s="74">
        <v>0.3</v>
      </c>
      <c r="S1129" s="75">
        <f>OrdersTable[[#This Row],[Quantity]]*OrdersTable[[#This Row],[Unit Price]]</f>
        <v>2097</v>
      </c>
      <c r="T1129" s="5">
        <f>OrdersTable[[#This Row],[Gross Sale]]*OrdersTable[[#This Row],[Discount_Clean2]]</f>
        <v>629.1</v>
      </c>
      <c r="U1129" s="5">
        <f>OrdersTable[[#This Row],[Gross Sale]]-OrdersTable[[#This Row],[Discount Amount]]</f>
        <v>1467.9</v>
      </c>
      <c r="V1129" s="77">
        <f>INDEX(Products!E:E,MATCH(OrdersTable[[#This Row],[Product ID]],Products!A:A,0))</f>
        <v>245</v>
      </c>
      <c r="W1129" s="77">
        <f>OrdersTable[[#This Row],[Quantity]]*OrdersTable[[#This Row],[Unit Cost]]</f>
        <v>735</v>
      </c>
      <c r="X1129" s="77">
        <f>'Dropdown Lists'!$I$2*(1+OrdersTable[[#This Row],[Returned]])</f>
        <v>60</v>
      </c>
      <c r="Y1129" s="76">
        <f>OrdersTable[[#This Row],[Net Revenue]]-OrdersTable[[#This Row],[COGS]]-OrdersTable[[#This Row],[Shipping Cost]]</f>
        <v>672.90000000000009</v>
      </c>
      <c r="Z1129" s="78">
        <f>IFERROR(OrdersTable[[#This Row],[Profit]]/OrdersTable[[#This Row],[Net Revenue]],0)</f>
        <v>0.45840997343143269</v>
      </c>
      <c r="AA1129" t="s">
        <v>4074</v>
      </c>
      <c r="AB1129" s="79">
        <v>45524</v>
      </c>
      <c r="AC1129">
        <f>OrdersTable[[#This Row],[Delivery Date]]-OrdersTable[[#This Row],[Order Date]]</f>
        <v>4</v>
      </c>
      <c r="AD1129" t="str">
        <f>IF(OrdersTable[[#This Row],[Delivery Days]]&lt;=2, "Express (≤2d)", IF(OrdersTable[[#This Row],[Delivery Days]]&lt;=4, "Standard (3-4d)", "Delayed (5d+)"))</f>
        <v>Standard (3-4d)</v>
      </c>
      <c r="AE1129">
        <v>4</v>
      </c>
      <c r="AF1129">
        <v>0</v>
      </c>
    </row>
    <row r="1130" spans="1:32" ht="15" x14ac:dyDescent="0.35">
      <c r="A1130" t="s">
        <v>2091</v>
      </c>
      <c r="B1130" s="1">
        <v>45521</v>
      </c>
      <c r="C1130">
        <f>YEAR(OrdersTable[[#This Row],[Order Date]])</f>
        <v>2024</v>
      </c>
      <c r="D1130" s="2">
        <f>DATE(YEAR(OrdersTable[[#This Row],[Order Date]]),MONTH(OrdersTable[[#This Row],[Order Date]]),1)</f>
        <v>45505</v>
      </c>
      <c r="E1130">
        <f>MONTH(OrdersTable[[#This Row],[Order Date]])</f>
        <v>8</v>
      </c>
      <c r="F1130" t="s">
        <v>2092</v>
      </c>
      <c r="G1130" t="str">
        <f>IF(OrdersTable[[#This Row],[Order Date]]=_xlfn.MINIFS(Order_Date, Customer_ID, OrdersTable[[#This Row],[Customer ID]]), "New", "Repeat")</f>
        <v>New</v>
      </c>
      <c r="H1130" t="s">
        <v>27</v>
      </c>
      <c r="I1130" t="str">
        <f>INDEX(State!B:B,MATCH(OrdersTable[[#This Row],[State]],State!A:A,0))</f>
        <v>WB</v>
      </c>
      <c r="J1130" t="str">
        <f>INDEX(State!C:C,MATCH(OrdersTable[[#This Row],[State Code]],State!B:B,0))</f>
        <v>East</v>
      </c>
      <c r="K1130" t="s">
        <v>28</v>
      </c>
      <c r="L1130" t="s">
        <v>65</v>
      </c>
      <c r="M1130" t="s">
        <v>61</v>
      </c>
      <c r="N1130" t="str">
        <f>INDEX(Products!B:B,MATCH(OrdersTable[[#This Row],[Product ID]],Products!A:A,0))</f>
        <v>Multivitamin Gummies</v>
      </c>
      <c r="O1130" t="str">
        <f>INDEX(Products!C:C,MATCH(OrdersTable[[#This Row],[Product ID]],Products!A:A,0))</f>
        <v>Wellness</v>
      </c>
      <c r="P1130">
        <v>1</v>
      </c>
      <c r="Q1130" s="5">
        <v>699</v>
      </c>
      <c r="R1130" s="74">
        <v>0.2</v>
      </c>
      <c r="S1130" s="75">
        <f>OrdersTable[[#This Row],[Quantity]]*OrdersTable[[#This Row],[Unit Price]]</f>
        <v>699</v>
      </c>
      <c r="T1130" s="5">
        <f>OrdersTable[[#This Row],[Gross Sale]]*OrdersTable[[#This Row],[Discount_Clean2]]</f>
        <v>139.80000000000001</v>
      </c>
      <c r="U1130" s="5">
        <f>OrdersTable[[#This Row],[Gross Sale]]-OrdersTable[[#This Row],[Discount Amount]]</f>
        <v>559.20000000000005</v>
      </c>
      <c r="V1130" s="77">
        <f>INDEX(Products!E:E,MATCH(OrdersTable[[#This Row],[Product ID]],Products!A:A,0))</f>
        <v>238</v>
      </c>
      <c r="W1130" s="77">
        <f>OrdersTable[[#This Row],[Quantity]]*OrdersTable[[#This Row],[Unit Cost]]</f>
        <v>238</v>
      </c>
      <c r="X1130" s="77">
        <f>'Dropdown Lists'!$I$2*(1+OrdersTable[[#This Row],[Returned]])</f>
        <v>60</v>
      </c>
      <c r="Y1130" s="76">
        <f>OrdersTable[[#This Row],[Net Revenue]]-OrdersTable[[#This Row],[COGS]]-OrdersTable[[#This Row],[Shipping Cost]]</f>
        <v>261.20000000000005</v>
      </c>
      <c r="Z1130" s="78">
        <f>IFERROR(OrdersTable[[#This Row],[Profit]]/OrdersTable[[#This Row],[Net Revenue]],0)</f>
        <v>0.46709585121602293</v>
      </c>
      <c r="AA1130" t="s">
        <v>18</v>
      </c>
      <c r="AB1130" s="79">
        <v>45524</v>
      </c>
      <c r="AC1130">
        <f>OrdersTable[[#This Row],[Delivery Date]]-OrdersTable[[#This Row],[Order Date]]</f>
        <v>3</v>
      </c>
      <c r="AD1130" t="str">
        <f>IF(OrdersTable[[#This Row],[Delivery Days]]&lt;=2, "Express (≤2d)", IF(OrdersTable[[#This Row],[Delivery Days]]&lt;=4, "Standard (3-4d)", "Delayed (5d+)"))</f>
        <v>Standard (3-4d)</v>
      </c>
      <c r="AE1130">
        <v>3</v>
      </c>
      <c r="AF1130">
        <v>0</v>
      </c>
    </row>
    <row r="1131" spans="1:32" ht="15" x14ac:dyDescent="0.35">
      <c r="A1131" t="s">
        <v>4786</v>
      </c>
      <c r="B1131" s="1">
        <v>45521</v>
      </c>
      <c r="C1131">
        <f>YEAR(OrdersTable[[#This Row],[Order Date]])</f>
        <v>2024</v>
      </c>
      <c r="D1131" s="2">
        <f>DATE(YEAR(OrdersTable[[#This Row],[Order Date]]),MONTH(OrdersTable[[#This Row],[Order Date]]),1)</f>
        <v>45505</v>
      </c>
      <c r="E1131">
        <f>MONTH(OrdersTable[[#This Row],[Order Date]])</f>
        <v>8</v>
      </c>
      <c r="F1131" t="s">
        <v>1062</v>
      </c>
      <c r="G1131" t="str">
        <f>IF(OrdersTable[[#This Row],[Order Date]]=_xlfn.MINIFS(Order_Date, Customer_ID, OrdersTable[[#This Row],[Customer ID]]), "New", "Repeat")</f>
        <v>New</v>
      </c>
      <c r="H1131" t="s">
        <v>71</v>
      </c>
      <c r="I1131" t="str">
        <f>INDEX(State!B:B,MATCH(OrdersTable[[#This Row],[State]],State!A:A,0))</f>
        <v>MH</v>
      </c>
      <c r="J1131" t="str">
        <f>INDEX(State!C:C,MATCH(OrdersTable[[#This Row],[State Code]],State!B:B,0))</f>
        <v>West</v>
      </c>
      <c r="K1131" t="s">
        <v>72</v>
      </c>
      <c r="L1131" t="s">
        <v>23</v>
      </c>
      <c r="M1131" t="s">
        <v>106</v>
      </c>
      <c r="N1131" t="str">
        <f>INDEX(Products!B:B,MATCH(OrdersTable[[#This Row],[Product ID]],Products!A:A,0))</f>
        <v>Keratin Hair Mask</v>
      </c>
      <c r="O1131" t="str">
        <f>INDEX(Products!C:C,MATCH(OrdersTable[[#This Row],[Product ID]],Products!A:A,0))</f>
        <v>Haircare</v>
      </c>
      <c r="P1131">
        <v>2</v>
      </c>
      <c r="Q1131" s="5">
        <v>549</v>
      </c>
      <c r="R1131" s="74">
        <v>0.15</v>
      </c>
      <c r="S1131" s="75">
        <f>OrdersTable[[#This Row],[Quantity]]*OrdersTable[[#This Row],[Unit Price]]</f>
        <v>1098</v>
      </c>
      <c r="T1131" s="5">
        <f>OrdersTable[[#This Row],[Gross Sale]]*OrdersTable[[#This Row],[Discount_Clean2]]</f>
        <v>164.7</v>
      </c>
      <c r="U1131" s="5">
        <f>OrdersTable[[#This Row],[Gross Sale]]-OrdersTable[[#This Row],[Discount Amount]]</f>
        <v>933.3</v>
      </c>
      <c r="V1131" s="77">
        <f>INDEX(Products!E:E,MATCH(OrdersTable[[#This Row],[Product ID]],Products!A:A,0))</f>
        <v>170</v>
      </c>
      <c r="W1131" s="77">
        <f>OrdersTable[[#This Row],[Quantity]]*OrdersTable[[#This Row],[Unit Cost]]</f>
        <v>340</v>
      </c>
      <c r="X1131" s="77">
        <f>'Dropdown Lists'!$I$2*(1+OrdersTable[[#This Row],[Returned]])</f>
        <v>60</v>
      </c>
      <c r="Y1131" s="76">
        <f>OrdersTable[[#This Row],[Net Revenue]]-OrdersTable[[#This Row],[COGS]]-OrdersTable[[#This Row],[Shipping Cost]]</f>
        <v>533.29999999999995</v>
      </c>
      <c r="Z1131" s="78">
        <f>IFERROR(OrdersTable[[#This Row],[Profit]]/OrdersTable[[#This Row],[Net Revenue]],0)</f>
        <v>0.57141326475945564</v>
      </c>
      <c r="AA1131" t="s">
        <v>4450</v>
      </c>
      <c r="AB1131" s="79">
        <v>45524</v>
      </c>
      <c r="AC1131">
        <f>OrdersTable[[#This Row],[Delivery Date]]-OrdersTable[[#This Row],[Order Date]]</f>
        <v>3</v>
      </c>
      <c r="AD1131" t="str">
        <f>IF(OrdersTable[[#This Row],[Delivery Days]]&lt;=2, "Express (≤2d)", IF(OrdersTable[[#This Row],[Delivery Days]]&lt;=4, "Standard (3-4d)", "Delayed (5d+)"))</f>
        <v>Standard (3-4d)</v>
      </c>
      <c r="AE1131">
        <v>5</v>
      </c>
      <c r="AF1131">
        <v>0</v>
      </c>
    </row>
    <row r="1132" spans="1:32" ht="15" x14ac:dyDescent="0.35">
      <c r="A1132" t="s">
        <v>4237</v>
      </c>
      <c r="B1132" s="1">
        <v>45521</v>
      </c>
      <c r="C1132">
        <f>YEAR(OrdersTable[[#This Row],[Order Date]])</f>
        <v>2024</v>
      </c>
      <c r="D1132" s="2">
        <f>DATE(YEAR(OrdersTable[[#This Row],[Order Date]]),MONTH(OrdersTable[[#This Row],[Order Date]]),1)</f>
        <v>45505</v>
      </c>
      <c r="E1132">
        <f>MONTH(OrdersTable[[#This Row],[Order Date]])</f>
        <v>8</v>
      </c>
      <c r="F1132" t="s">
        <v>652</v>
      </c>
      <c r="G1132" t="str">
        <f>IF(OrdersTable[[#This Row],[Order Date]]=_xlfn.MINIFS(Order_Date, Customer_ID, OrdersTable[[#This Row],[Customer ID]]), "New", "Repeat")</f>
        <v>New</v>
      </c>
      <c r="H1132" t="s">
        <v>95</v>
      </c>
      <c r="I1132" t="str">
        <f>INDEX(State!B:B,MATCH(OrdersTable[[#This Row],[State]],State!A:A,0))</f>
        <v>TG</v>
      </c>
      <c r="J1132" t="str">
        <f>INDEX(State!C:C,MATCH(OrdersTable[[#This Row],[State Code]],State!B:B,0))</f>
        <v>South</v>
      </c>
      <c r="K1132" t="s">
        <v>96</v>
      </c>
      <c r="L1132" t="s">
        <v>65</v>
      </c>
      <c r="M1132" t="s">
        <v>255</v>
      </c>
      <c r="N1132" t="str">
        <f>INDEX(Products!B:B,MATCH(OrdersTable[[#This Row],[Product ID]],Products!A:A,0))</f>
        <v>Cotton Oversized T-Shirt</v>
      </c>
      <c r="O1132" t="str">
        <f>INDEX(Products!C:C,MATCH(OrdersTable[[#This Row],[Product ID]],Products!A:A,0))</f>
        <v>Apparel</v>
      </c>
      <c r="P1132">
        <v>1</v>
      </c>
      <c r="Q1132" s="5">
        <v>799</v>
      </c>
      <c r="R1132" s="74">
        <v>0</v>
      </c>
      <c r="S1132" s="75">
        <f>OrdersTable[[#This Row],[Quantity]]*OrdersTable[[#This Row],[Unit Price]]</f>
        <v>799</v>
      </c>
      <c r="T1132" s="5">
        <f>OrdersTable[[#This Row],[Gross Sale]]*OrdersTable[[#This Row],[Discount_Clean2]]</f>
        <v>0</v>
      </c>
      <c r="U1132" s="5">
        <f>OrdersTable[[#This Row],[Gross Sale]]-OrdersTable[[#This Row],[Discount Amount]]</f>
        <v>799</v>
      </c>
      <c r="V1132" s="77">
        <f>INDEX(Products!E:E,MATCH(OrdersTable[[#This Row],[Product ID]],Products!A:A,0))</f>
        <v>320</v>
      </c>
      <c r="W1132" s="77">
        <f>OrdersTable[[#This Row],[Quantity]]*OrdersTable[[#This Row],[Unit Cost]]</f>
        <v>320</v>
      </c>
      <c r="X1132" s="77">
        <f>'Dropdown Lists'!$I$2*(1+OrdersTable[[#This Row],[Returned]])</f>
        <v>120</v>
      </c>
      <c r="Y1132" s="76">
        <f>OrdersTable[[#This Row],[Net Revenue]]-OrdersTable[[#This Row],[COGS]]-OrdersTable[[#This Row],[Shipping Cost]]</f>
        <v>359</v>
      </c>
      <c r="Z1132" s="78">
        <f>IFERROR(OrdersTable[[#This Row],[Profit]]/OrdersTable[[#This Row],[Net Revenue]],0)</f>
        <v>0.44931163954943681</v>
      </c>
      <c r="AA1132" t="s">
        <v>4074</v>
      </c>
      <c r="AB1132" s="79">
        <v>45525</v>
      </c>
      <c r="AC1132">
        <f>OrdersTable[[#This Row],[Delivery Date]]-OrdersTable[[#This Row],[Order Date]]</f>
        <v>4</v>
      </c>
      <c r="AD1132" t="str">
        <f>IF(OrdersTable[[#This Row],[Delivery Days]]&lt;=2, "Express (≤2d)", IF(OrdersTable[[#This Row],[Delivery Days]]&lt;=4, "Standard (3-4d)", "Delayed (5d+)"))</f>
        <v>Standard (3-4d)</v>
      </c>
      <c r="AF1132">
        <v>1</v>
      </c>
    </row>
    <row r="1133" spans="1:32" ht="15" x14ac:dyDescent="0.35">
      <c r="A1133" t="s">
        <v>4787</v>
      </c>
      <c r="B1133" s="1">
        <v>45521</v>
      </c>
      <c r="C1133">
        <f>YEAR(OrdersTable[[#This Row],[Order Date]])</f>
        <v>2024</v>
      </c>
      <c r="D1133" s="2">
        <f>DATE(YEAR(OrdersTable[[#This Row],[Order Date]]),MONTH(OrdersTable[[#This Row],[Order Date]]),1)</f>
        <v>45505</v>
      </c>
      <c r="E1133">
        <f>MONTH(OrdersTable[[#This Row],[Order Date]])</f>
        <v>8</v>
      </c>
      <c r="F1133" t="s">
        <v>4788</v>
      </c>
      <c r="G1133" t="str">
        <f>IF(OrdersTable[[#This Row],[Order Date]]=_xlfn.MINIFS(Order_Date, Customer_ID, OrdersTable[[#This Row],[Customer ID]]), "New", "Repeat")</f>
        <v>New</v>
      </c>
      <c r="H1133" t="s">
        <v>95</v>
      </c>
      <c r="I1133" t="str">
        <f>INDEX(State!B:B,MATCH(OrdersTable[[#This Row],[State]],State!A:A,0))</f>
        <v>TG</v>
      </c>
      <c r="J1133" t="str">
        <f>INDEX(State!C:C,MATCH(OrdersTable[[#This Row],[State Code]],State!B:B,0))</f>
        <v>South</v>
      </c>
      <c r="K1133" t="s">
        <v>96</v>
      </c>
      <c r="L1133" t="s">
        <v>65</v>
      </c>
      <c r="M1133" t="s">
        <v>66</v>
      </c>
      <c r="N1133" t="str">
        <f>INDEX(Products!B:B,MATCH(OrdersTable[[#This Row],[Product ID]],Products!A:A,0))</f>
        <v>Sunscreen SPF 50</v>
      </c>
      <c r="O1133" t="str">
        <f>INDEX(Products!C:C,MATCH(OrdersTable[[#This Row],[Product ID]],Products!A:A,0))</f>
        <v>Skincare</v>
      </c>
      <c r="P1133">
        <v>2</v>
      </c>
      <c r="Q1133" s="5">
        <v>449</v>
      </c>
      <c r="R1133" s="74">
        <v>0.05</v>
      </c>
      <c r="S1133" s="75">
        <f>OrdersTable[[#This Row],[Quantity]]*OrdersTable[[#This Row],[Unit Price]]</f>
        <v>898</v>
      </c>
      <c r="T1133" s="5">
        <f>OrdersTable[[#This Row],[Gross Sale]]*OrdersTable[[#This Row],[Discount_Clean2]]</f>
        <v>44.900000000000006</v>
      </c>
      <c r="U1133" s="5">
        <f>OrdersTable[[#This Row],[Gross Sale]]-OrdersTable[[#This Row],[Discount Amount]]</f>
        <v>853.1</v>
      </c>
      <c r="V1133" s="77">
        <f>INDEX(Products!E:E,MATCH(OrdersTable[[#This Row],[Product ID]],Products!A:A,0))</f>
        <v>144</v>
      </c>
      <c r="W1133" s="77">
        <f>OrdersTable[[#This Row],[Quantity]]*OrdersTable[[#This Row],[Unit Cost]]</f>
        <v>288</v>
      </c>
      <c r="X1133" s="77">
        <f>'Dropdown Lists'!$I$2*(1+OrdersTable[[#This Row],[Returned]])</f>
        <v>60</v>
      </c>
      <c r="Y1133" s="76">
        <f>OrdersTable[[#This Row],[Net Revenue]]-OrdersTable[[#This Row],[COGS]]-OrdersTable[[#This Row],[Shipping Cost]]</f>
        <v>505.1</v>
      </c>
      <c r="Z1133" s="78">
        <f>IFERROR(OrdersTable[[#This Row],[Profit]]/OrdersTable[[#This Row],[Net Revenue]],0)</f>
        <v>0.59207595826983939</v>
      </c>
      <c r="AA1133" t="s">
        <v>4450</v>
      </c>
      <c r="AB1133" s="79">
        <v>45524</v>
      </c>
      <c r="AC1133">
        <f>OrdersTable[[#This Row],[Delivery Date]]-OrdersTable[[#This Row],[Order Date]]</f>
        <v>3</v>
      </c>
      <c r="AD1133" t="str">
        <f>IF(OrdersTable[[#This Row],[Delivery Days]]&lt;=2, "Express (≤2d)", IF(OrdersTable[[#This Row],[Delivery Days]]&lt;=4, "Standard (3-4d)", "Delayed (5d+)"))</f>
        <v>Standard (3-4d)</v>
      </c>
      <c r="AF1133">
        <v>0</v>
      </c>
    </row>
    <row r="1134" spans="1:32" ht="15" x14ac:dyDescent="0.35">
      <c r="A1134" t="s">
        <v>2941</v>
      </c>
      <c r="B1134" s="1">
        <v>45522</v>
      </c>
      <c r="C1134">
        <f>YEAR(OrdersTable[[#This Row],[Order Date]])</f>
        <v>2024</v>
      </c>
      <c r="D1134" s="2">
        <f>DATE(YEAR(OrdersTable[[#This Row],[Order Date]]),MONTH(OrdersTable[[#This Row],[Order Date]]),1)</f>
        <v>45505</v>
      </c>
      <c r="E1134">
        <f>MONTH(OrdersTable[[#This Row],[Order Date]])</f>
        <v>8</v>
      </c>
      <c r="F1134" t="s">
        <v>2942</v>
      </c>
      <c r="G1134" t="str">
        <f>IF(OrdersTable[[#This Row],[Order Date]]=_xlfn.MINIFS(Order_Date, Customer_ID, OrdersTable[[#This Row],[Customer ID]]), "New", "Repeat")</f>
        <v>Repeat</v>
      </c>
      <c r="H1134" t="s">
        <v>76</v>
      </c>
      <c r="I1134" t="str">
        <f>INDEX(State!B:B,MATCH(OrdersTable[[#This Row],[State]],State!A:A,0))</f>
        <v>UP</v>
      </c>
      <c r="J1134" t="str">
        <f>INDEX(State!C:C,MATCH(OrdersTable[[#This Row],[State Code]],State!B:B,0))</f>
        <v>North</v>
      </c>
      <c r="K1134" t="s">
        <v>77</v>
      </c>
      <c r="L1134" t="s">
        <v>16</v>
      </c>
      <c r="M1134" t="s">
        <v>17</v>
      </c>
      <c r="N1134" t="str">
        <f>INDEX(Products!B:B,MATCH(OrdersTable[[#This Row],[Product ID]],Products!A:A,0))</f>
        <v>Casual Sneakers</v>
      </c>
      <c r="O1134" t="str">
        <f>INDEX(Products!C:C,MATCH(OrdersTable[[#This Row],[Product ID]],Products!A:A,0))</f>
        <v>Footwear</v>
      </c>
      <c r="P1134">
        <v>1</v>
      </c>
      <c r="Q1134" s="5">
        <v>2199</v>
      </c>
      <c r="R1134" s="74">
        <v>0.15</v>
      </c>
      <c r="S1134" s="75">
        <f>OrdersTable[[#This Row],[Quantity]]*OrdersTable[[#This Row],[Unit Price]]</f>
        <v>2199</v>
      </c>
      <c r="T1134" s="5">
        <f>OrdersTable[[#This Row],[Gross Sale]]*OrdersTable[[#This Row],[Discount_Clean2]]</f>
        <v>329.84999999999997</v>
      </c>
      <c r="U1134" s="5">
        <f>OrdersTable[[#This Row],[Gross Sale]]-OrdersTable[[#This Row],[Discount Amount]]</f>
        <v>1869.15</v>
      </c>
      <c r="V1134" s="77">
        <f>INDEX(Products!E:E,MATCH(OrdersTable[[#This Row],[Product ID]],Products!A:A,0))</f>
        <v>1034</v>
      </c>
      <c r="W1134" s="77">
        <f>OrdersTable[[#This Row],[Quantity]]*OrdersTable[[#This Row],[Unit Cost]]</f>
        <v>1034</v>
      </c>
      <c r="X1134" s="77">
        <f>'Dropdown Lists'!$I$2*(1+OrdersTable[[#This Row],[Returned]])</f>
        <v>60</v>
      </c>
      <c r="Y1134" s="76">
        <f>OrdersTable[[#This Row],[Net Revenue]]-OrdersTable[[#This Row],[COGS]]-OrdersTable[[#This Row],[Shipping Cost]]</f>
        <v>775.15000000000009</v>
      </c>
      <c r="Z1134" s="78">
        <f>IFERROR(OrdersTable[[#This Row],[Profit]]/OrdersTable[[#This Row],[Net Revenue]],0)</f>
        <v>0.41470721985929437</v>
      </c>
      <c r="AA1134" t="s">
        <v>2522</v>
      </c>
      <c r="AB1134" s="79">
        <v>45525</v>
      </c>
      <c r="AC1134">
        <f>OrdersTable[[#This Row],[Delivery Date]]-OrdersTable[[#This Row],[Order Date]]</f>
        <v>3</v>
      </c>
      <c r="AD1134" t="str">
        <f>IF(OrdersTable[[#This Row],[Delivery Days]]&lt;=2, "Express (≤2d)", IF(OrdersTable[[#This Row],[Delivery Days]]&lt;=4, "Standard (3-4d)", "Delayed (5d+)"))</f>
        <v>Standard (3-4d)</v>
      </c>
      <c r="AF1134">
        <v>0</v>
      </c>
    </row>
    <row r="1135" spans="1:32" ht="15" x14ac:dyDescent="0.35">
      <c r="A1135" t="s">
        <v>174</v>
      </c>
      <c r="B1135" s="1">
        <v>45522</v>
      </c>
      <c r="C1135">
        <f>YEAR(OrdersTable[[#This Row],[Order Date]])</f>
        <v>2024</v>
      </c>
      <c r="D1135" s="2">
        <f>DATE(YEAR(OrdersTable[[#This Row],[Order Date]]),MONTH(OrdersTable[[#This Row],[Order Date]]),1)</f>
        <v>45505</v>
      </c>
      <c r="E1135">
        <f>MONTH(OrdersTable[[#This Row],[Order Date]])</f>
        <v>8</v>
      </c>
      <c r="F1135" t="s">
        <v>175</v>
      </c>
      <c r="G1135" t="str">
        <f>IF(OrdersTable[[#This Row],[Order Date]]=_xlfn.MINIFS(Order_Date, Customer_ID, OrdersTable[[#This Row],[Customer ID]]), "New", "Repeat")</f>
        <v>Repeat</v>
      </c>
      <c r="H1135" t="s">
        <v>27</v>
      </c>
      <c r="I1135" t="str">
        <f>INDEX(State!B:B,MATCH(OrdersTable[[#This Row],[State]],State!A:A,0))</f>
        <v>WB</v>
      </c>
      <c r="J1135" t="str">
        <f>INDEX(State!C:C,MATCH(OrdersTable[[#This Row],[State Code]],State!B:B,0))</f>
        <v>East</v>
      </c>
      <c r="K1135" t="s">
        <v>28</v>
      </c>
      <c r="L1135" t="s">
        <v>16</v>
      </c>
      <c r="M1135" t="s">
        <v>176</v>
      </c>
      <c r="N1135" t="str">
        <f>INDEX(Products!B:B,MATCH(OrdersTable[[#This Row],[Product ID]],Products!A:A,0))</f>
        <v>Denim Jacket</v>
      </c>
      <c r="O1135" t="str">
        <f>INDEX(Products!C:C,MATCH(OrdersTable[[#This Row],[Product ID]],Products!A:A,0))</f>
        <v>Apparel</v>
      </c>
      <c r="P1135">
        <v>1</v>
      </c>
      <c r="Q1135" s="5">
        <v>2499</v>
      </c>
      <c r="R1135" s="74">
        <v>0</v>
      </c>
      <c r="S1135" s="75">
        <f>OrdersTable[[#This Row],[Quantity]]*OrdersTable[[#This Row],[Unit Price]]</f>
        <v>2499</v>
      </c>
      <c r="T1135" s="5">
        <f>OrdersTable[[#This Row],[Gross Sale]]*OrdersTable[[#This Row],[Discount_Clean2]]</f>
        <v>0</v>
      </c>
      <c r="U1135" s="5">
        <f>OrdersTable[[#This Row],[Gross Sale]]-OrdersTable[[#This Row],[Discount Amount]]</f>
        <v>2499</v>
      </c>
      <c r="V1135" s="77">
        <f>INDEX(Products!E:E,MATCH(OrdersTable[[#This Row],[Product ID]],Products!A:A,0))</f>
        <v>1125</v>
      </c>
      <c r="W1135" s="77">
        <f>OrdersTable[[#This Row],[Quantity]]*OrdersTable[[#This Row],[Unit Cost]]</f>
        <v>1125</v>
      </c>
      <c r="X1135" s="77">
        <f>'Dropdown Lists'!$I$2*(1+OrdersTable[[#This Row],[Returned]])</f>
        <v>60</v>
      </c>
      <c r="Y1135" s="76">
        <f>OrdersTable[[#This Row],[Net Revenue]]-OrdersTable[[#This Row],[COGS]]-OrdersTable[[#This Row],[Shipping Cost]]</f>
        <v>1314</v>
      </c>
      <c r="Z1135" s="78">
        <f>IFERROR(OrdersTable[[#This Row],[Profit]]/OrdersTable[[#This Row],[Net Revenue]],0)</f>
        <v>0.5258103241296519</v>
      </c>
      <c r="AA1135" t="s">
        <v>18</v>
      </c>
      <c r="AB1135" s="79">
        <v>45525</v>
      </c>
      <c r="AC1135">
        <f>OrdersTable[[#This Row],[Delivery Date]]-OrdersTable[[#This Row],[Order Date]]</f>
        <v>3</v>
      </c>
      <c r="AD1135" t="str">
        <f>IF(OrdersTable[[#This Row],[Delivery Days]]&lt;=2, "Express (≤2d)", IF(OrdersTable[[#This Row],[Delivery Days]]&lt;=4, "Standard (3-4d)", "Delayed (5d+)"))</f>
        <v>Standard (3-4d)</v>
      </c>
      <c r="AE1135">
        <v>4</v>
      </c>
      <c r="AF1135">
        <v>0</v>
      </c>
    </row>
    <row r="1136" spans="1:32" ht="15" x14ac:dyDescent="0.35">
      <c r="A1136" t="s">
        <v>5583</v>
      </c>
      <c r="B1136" s="1">
        <v>45522</v>
      </c>
      <c r="C1136">
        <f>YEAR(OrdersTable[[#This Row],[Order Date]])</f>
        <v>2024</v>
      </c>
      <c r="D1136" s="2">
        <f>DATE(YEAR(OrdersTable[[#This Row],[Order Date]]),MONTH(OrdersTable[[#This Row],[Order Date]]),1)</f>
        <v>45505</v>
      </c>
      <c r="E1136">
        <f>MONTH(OrdersTable[[#This Row],[Order Date]])</f>
        <v>8</v>
      </c>
      <c r="F1136" t="s">
        <v>593</v>
      </c>
      <c r="G1136" t="str">
        <f>IF(OrdersTable[[#This Row],[Order Date]]=_xlfn.MINIFS(Order_Date, Customer_ID, OrdersTable[[#This Row],[Customer ID]]), "New", "Repeat")</f>
        <v>Repeat</v>
      </c>
      <c r="H1136" t="s">
        <v>71</v>
      </c>
      <c r="I1136" t="str">
        <f>INDEX(State!B:B,MATCH(OrdersTable[[#This Row],[State]],State!A:A,0))</f>
        <v>MH</v>
      </c>
      <c r="J1136" t="str">
        <f>INDEX(State!C:C,MATCH(OrdersTable[[#This Row],[State Code]],State!B:B,0))</f>
        <v>West</v>
      </c>
      <c r="K1136" t="s">
        <v>81</v>
      </c>
      <c r="L1136" t="s">
        <v>16</v>
      </c>
      <c r="M1136" t="s">
        <v>34</v>
      </c>
      <c r="N1136" t="str">
        <f>INDEX(Products!B:B,MATCH(OrdersTable[[#This Row],[Product ID]],Products!A:A,0))</f>
        <v>Flip Flops</v>
      </c>
      <c r="O1136" t="str">
        <f>INDEX(Products!C:C,MATCH(OrdersTable[[#This Row],[Product ID]],Products!A:A,0))</f>
        <v>Footwear</v>
      </c>
      <c r="P1136">
        <v>2</v>
      </c>
      <c r="Q1136" s="5">
        <v>399</v>
      </c>
      <c r="R1136" s="74">
        <v>0.15</v>
      </c>
      <c r="S1136" s="75">
        <f>OrdersTable[[#This Row],[Quantity]]*OrdersTable[[#This Row],[Unit Price]]</f>
        <v>798</v>
      </c>
      <c r="T1136" s="5">
        <f>OrdersTable[[#This Row],[Gross Sale]]*OrdersTable[[#This Row],[Discount_Clean2]]</f>
        <v>119.69999999999999</v>
      </c>
      <c r="U1136" s="5">
        <f>OrdersTable[[#This Row],[Gross Sale]]-OrdersTable[[#This Row],[Discount Amount]]</f>
        <v>678.3</v>
      </c>
      <c r="V1136" s="77">
        <f>INDEX(Products!E:E,MATCH(OrdersTable[[#This Row],[Product ID]],Products!A:A,0))</f>
        <v>152</v>
      </c>
      <c r="W1136" s="77">
        <f>OrdersTable[[#This Row],[Quantity]]*OrdersTable[[#This Row],[Unit Cost]]</f>
        <v>304</v>
      </c>
      <c r="X1136" s="77">
        <f>'Dropdown Lists'!$I$2*(1+OrdersTable[[#This Row],[Returned]])</f>
        <v>60</v>
      </c>
      <c r="Y1136" s="76">
        <f>OrdersTable[[#This Row],[Net Revenue]]-OrdersTable[[#This Row],[COGS]]-OrdersTable[[#This Row],[Shipping Cost]]</f>
        <v>314.29999999999995</v>
      </c>
      <c r="Z1136" s="78">
        <f>IFERROR(OrdersTable[[#This Row],[Profit]]/OrdersTable[[#This Row],[Net Revenue]],0)</f>
        <v>0.4633642930856553</v>
      </c>
      <c r="AA1136" t="s">
        <v>2522</v>
      </c>
      <c r="AB1136" s="79">
        <v>45523</v>
      </c>
      <c r="AC1136">
        <f>OrdersTable[[#This Row],[Delivery Date]]-OrdersTable[[#This Row],[Order Date]]</f>
        <v>1</v>
      </c>
      <c r="AD1136" t="str">
        <f>IF(OrdersTable[[#This Row],[Delivery Days]]&lt;=2, "Express (≤2d)", IF(OrdersTable[[#This Row],[Delivery Days]]&lt;=4, "Standard (3-4d)", "Delayed (5d+)"))</f>
        <v>Express (≤2d)</v>
      </c>
      <c r="AF1136">
        <v>0</v>
      </c>
    </row>
    <row r="1137" spans="1:32" ht="15" x14ac:dyDescent="0.35">
      <c r="A1137" t="s">
        <v>3982</v>
      </c>
      <c r="B1137" s="1">
        <v>45522</v>
      </c>
      <c r="C1137">
        <f>YEAR(OrdersTable[[#This Row],[Order Date]])</f>
        <v>2024</v>
      </c>
      <c r="D1137" s="2">
        <f>DATE(YEAR(OrdersTable[[#This Row],[Order Date]]),MONTH(OrdersTable[[#This Row],[Order Date]]),1)</f>
        <v>45505</v>
      </c>
      <c r="E1137">
        <f>MONTH(OrdersTable[[#This Row],[Order Date]])</f>
        <v>8</v>
      </c>
      <c r="F1137" t="s">
        <v>3983</v>
      </c>
      <c r="G1137" t="str">
        <f>IF(OrdersTable[[#This Row],[Order Date]]=_xlfn.MINIFS(Order_Date, Customer_ID, OrdersTable[[#This Row],[Customer ID]]), "New", "Repeat")</f>
        <v>New</v>
      </c>
      <c r="H1137" t="s">
        <v>71</v>
      </c>
      <c r="I1137" t="str">
        <f>INDEX(State!B:B,MATCH(OrdersTable[[#This Row],[State]],State!A:A,0))</f>
        <v>MH</v>
      </c>
      <c r="J1137" t="str">
        <f>INDEX(State!C:C,MATCH(OrdersTable[[#This Row],[State Code]],State!B:B,0))</f>
        <v>West</v>
      </c>
      <c r="K1137" t="s">
        <v>102</v>
      </c>
      <c r="L1137" t="s">
        <v>65</v>
      </c>
      <c r="M1137" t="s">
        <v>148</v>
      </c>
      <c r="N1137" t="str">
        <f>INDEX(Products!B:B,MATCH(OrdersTable[[#This Row],[Product ID]],Products!A:A,0))</f>
        <v>Smartwatch Strap</v>
      </c>
      <c r="O1137" t="str">
        <f>INDEX(Products!C:C,MATCH(OrdersTable[[#This Row],[Product ID]],Products!A:A,0))</f>
        <v>Electronics</v>
      </c>
      <c r="P1137">
        <v>1</v>
      </c>
      <c r="Q1137" s="5">
        <v>499</v>
      </c>
      <c r="R1137" s="74">
        <v>0.2</v>
      </c>
      <c r="S1137" s="75">
        <f>OrdersTable[[#This Row],[Quantity]]*OrdersTable[[#This Row],[Unit Price]]</f>
        <v>499</v>
      </c>
      <c r="T1137" s="5">
        <f>OrdersTable[[#This Row],[Gross Sale]]*OrdersTable[[#This Row],[Discount_Clean2]]</f>
        <v>99.800000000000011</v>
      </c>
      <c r="U1137" s="5">
        <f>OrdersTable[[#This Row],[Gross Sale]]-OrdersTable[[#This Row],[Discount Amount]]</f>
        <v>399.2</v>
      </c>
      <c r="V1137" s="77">
        <f>INDEX(Products!E:E,MATCH(OrdersTable[[#This Row],[Product ID]],Products!A:A,0))</f>
        <v>200</v>
      </c>
      <c r="W1137" s="77">
        <f>OrdersTable[[#This Row],[Quantity]]*OrdersTable[[#This Row],[Unit Cost]]</f>
        <v>200</v>
      </c>
      <c r="X1137" s="77">
        <f>'Dropdown Lists'!$I$2*(1+OrdersTable[[#This Row],[Returned]])</f>
        <v>60</v>
      </c>
      <c r="Y1137" s="76">
        <f>OrdersTable[[#This Row],[Net Revenue]]-OrdersTable[[#This Row],[COGS]]-OrdersTable[[#This Row],[Shipping Cost]]</f>
        <v>139.19999999999999</v>
      </c>
      <c r="Z1137" s="78">
        <f>IFERROR(OrdersTable[[#This Row],[Profit]]/OrdersTable[[#This Row],[Net Revenue]],0)</f>
        <v>0.34869739478957912</v>
      </c>
      <c r="AA1137" t="s">
        <v>3495</v>
      </c>
      <c r="AB1137" s="79">
        <v>45523</v>
      </c>
      <c r="AC1137">
        <f>OrdersTable[[#This Row],[Delivery Date]]-OrdersTable[[#This Row],[Order Date]]</f>
        <v>1</v>
      </c>
      <c r="AD1137" t="str">
        <f>IF(OrdersTable[[#This Row],[Delivery Days]]&lt;=2, "Express (≤2d)", IF(OrdersTable[[#This Row],[Delivery Days]]&lt;=4, "Standard (3-4d)", "Delayed (5d+)"))</f>
        <v>Express (≤2d)</v>
      </c>
      <c r="AE1137">
        <v>5</v>
      </c>
      <c r="AF1137">
        <v>0</v>
      </c>
    </row>
    <row r="1138" spans="1:32" ht="15" x14ac:dyDescent="0.35">
      <c r="A1138" t="s">
        <v>758</v>
      </c>
      <c r="B1138" s="1">
        <v>45523</v>
      </c>
      <c r="C1138">
        <f>YEAR(OrdersTable[[#This Row],[Order Date]])</f>
        <v>2024</v>
      </c>
      <c r="D1138" s="2">
        <f>DATE(YEAR(OrdersTable[[#This Row],[Order Date]]),MONTH(OrdersTable[[#This Row],[Order Date]]),1)</f>
        <v>45505</v>
      </c>
      <c r="E1138">
        <f>MONTH(OrdersTable[[#This Row],[Order Date]])</f>
        <v>8</v>
      </c>
      <c r="F1138" t="s">
        <v>759</v>
      </c>
      <c r="G1138" t="str">
        <f>IF(OrdersTable[[#This Row],[Order Date]]=_xlfn.MINIFS(Order_Date, Customer_ID, OrdersTable[[#This Row],[Customer ID]]), "New", "Repeat")</f>
        <v>New</v>
      </c>
      <c r="H1138" t="s">
        <v>158</v>
      </c>
      <c r="I1138" t="str">
        <f>INDEX(State!B:B,MATCH(OrdersTable[[#This Row],[State]],State!A:A,0))</f>
        <v>HP</v>
      </c>
      <c r="J1138" t="str">
        <f>INDEX(State!C:C,MATCH(OrdersTable[[#This Row],[State Code]],State!B:B,0))</f>
        <v>North</v>
      </c>
      <c r="K1138" t="s">
        <v>159</v>
      </c>
      <c r="L1138" t="s">
        <v>50</v>
      </c>
      <c r="M1138" t="s">
        <v>45</v>
      </c>
      <c r="N1138" t="str">
        <f>INDEX(Products!B:B,MATCH(OrdersTable[[#This Row],[Product ID]],Products!A:A,0))</f>
        <v>Argan Shampoo</v>
      </c>
      <c r="O1138" t="str">
        <f>INDEX(Products!C:C,MATCH(OrdersTable[[#This Row],[Product ID]],Products!A:A,0))</f>
        <v>Haircare</v>
      </c>
      <c r="P1138">
        <v>1</v>
      </c>
      <c r="Q1138" s="5">
        <v>449</v>
      </c>
      <c r="R1138" s="74">
        <v>0.1</v>
      </c>
      <c r="S1138" s="75">
        <f>OrdersTable[[#This Row],[Quantity]]*OrdersTable[[#This Row],[Unit Price]]</f>
        <v>449</v>
      </c>
      <c r="T1138" s="5">
        <f>OrdersTable[[#This Row],[Gross Sale]]*OrdersTable[[#This Row],[Discount_Clean2]]</f>
        <v>44.900000000000006</v>
      </c>
      <c r="U1138" s="5">
        <f>OrdersTable[[#This Row],[Gross Sale]]-OrdersTable[[#This Row],[Discount Amount]]</f>
        <v>404.1</v>
      </c>
      <c r="V1138" s="77">
        <f>INDEX(Products!E:E,MATCH(OrdersTable[[#This Row],[Product ID]],Products!A:A,0))</f>
        <v>148</v>
      </c>
      <c r="W1138" s="77">
        <f>OrdersTable[[#This Row],[Quantity]]*OrdersTable[[#This Row],[Unit Cost]]</f>
        <v>148</v>
      </c>
      <c r="X1138" s="77">
        <f>'Dropdown Lists'!$I$2*(1+OrdersTable[[#This Row],[Returned]])</f>
        <v>60</v>
      </c>
      <c r="Y1138" s="76">
        <f>OrdersTable[[#This Row],[Net Revenue]]-OrdersTable[[#This Row],[COGS]]-OrdersTable[[#This Row],[Shipping Cost]]</f>
        <v>196.10000000000002</v>
      </c>
      <c r="Z1138" s="78">
        <f>IFERROR(OrdersTable[[#This Row],[Profit]]/OrdersTable[[#This Row],[Net Revenue]],0)</f>
        <v>0.48527592180153428</v>
      </c>
      <c r="AA1138" t="s">
        <v>18</v>
      </c>
      <c r="AB1138" s="79">
        <v>45529</v>
      </c>
      <c r="AC1138">
        <f>OrdersTable[[#This Row],[Delivery Date]]-OrdersTable[[#This Row],[Order Date]]</f>
        <v>6</v>
      </c>
      <c r="AD1138" t="str">
        <f>IF(OrdersTable[[#This Row],[Delivery Days]]&lt;=2, "Express (≤2d)", IF(OrdersTable[[#This Row],[Delivery Days]]&lt;=4, "Standard (3-4d)", "Delayed (5d+)"))</f>
        <v>Delayed (5d+)</v>
      </c>
      <c r="AE1138">
        <v>4</v>
      </c>
      <c r="AF1138">
        <v>0</v>
      </c>
    </row>
    <row r="1139" spans="1:32" ht="15" x14ac:dyDescent="0.35">
      <c r="A1139" t="s">
        <v>3558</v>
      </c>
      <c r="B1139" s="1">
        <v>45523</v>
      </c>
      <c r="C1139">
        <f>YEAR(OrdersTable[[#This Row],[Order Date]])</f>
        <v>2024</v>
      </c>
      <c r="D1139" s="2">
        <f>DATE(YEAR(OrdersTable[[#This Row],[Order Date]]),MONTH(OrdersTable[[#This Row],[Order Date]]),1)</f>
        <v>45505</v>
      </c>
      <c r="E1139">
        <f>MONTH(OrdersTable[[#This Row],[Order Date]])</f>
        <v>8</v>
      </c>
      <c r="F1139" t="s">
        <v>2674</v>
      </c>
      <c r="G1139" t="str">
        <f>IF(OrdersTable[[#This Row],[Order Date]]=_xlfn.MINIFS(Order_Date, Customer_ID, OrdersTable[[#This Row],[Customer ID]]), "New", "Repeat")</f>
        <v>New</v>
      </c>
      <c r="H1139" t="s">
        <v>43</v>
      </c>
      <c r="I1139" t="str">
        <f>INDEX(State!B:B,MATCH(OrdersTable[[#This Row],[State]],State!A:A,0))</f>
        <v>MP</v>
      </c>
      <c r="J1139" t="str">
        <f>INDEX(State!C:C,MATCH(OrdersTable[[#This Row],[State Code]],State!B:B,0))</f>
        <v>West</v>
      </c>
      <c r="K1139" t="s">
        <v>44</v>
      </c>
      <c r="L1139" t="s">
        <v>16</v>
      </c>
      <c r="M1139" t="s">
        <v>34</v>
      </c>
      <c r="N1139" t="str">
        <f>INDEX(Products!B:B,MATCH(OrdersTable[[#This Row],[Product ID]],Products!A:A,0))</f>
        <v>Flip Flops</v>
      </c>
      <c r="O1139" t="str">
        <f>INDEX(Products!C:C,MATCH(OrdersTable[[#This Row],[Product ID]],Products!A:A,0))</f>
        <v>Footwear</v>
      </c>
      <c r="P1139">
        <v>1</v>
      </c>
      <c r="Q1139" s="5">
        <v>399</v>
      </c>
      <c r="R1139" s="74">
        <v>0.15</v>
      </c>
      <c r="S1139" s="75">
        <f>OrdersTable[[#This Row],[Quantity]]*OrdersTable[[#This Row],[Unit Price]]</f>
        <v>399</v>
      </c>
      <c r="T1139" s="5">
        <f>OrdersTable[[#This Row],[Gross Sale]]*OrdersTable[[#This Row],[Discount_Clean2]]</f>
        <v>59.849999999999994</v>
      </c>
      <c r="U1139" s="5">
        <f>OrdersTable[[#This Row],[Gross Sale]]-OrdersTable[[#This Row],[Discount Amount]]</f>
        <v>339.15</v>
      </c>
      <c r="V1139" s="77">
        <f>INDEX(Products!E:E,MATCH(OrdersTable[[#This Row],[Product ID]],Products!A:A,0))</f>
        <v>152</v>
      </c>
      <c r="W1139" s="77">
        <f>OrdersTable[[#This Row],[Quantity]]*OrdersTable[[#This Row],[Unit Cost]]</f>
        <v>152</v>
      </c>
      <c r="X1139" s="77">
        <f>'Dropdown Lists'!$I$2*(1+OrdersTable[[#This Row],[Returned]])</f>
        <v>60</v>
      </c>
      <c r="Y1139" s="76">
        <f>OrdersTable[[#This Row],[Net Revenue]]-OrdersTable[[#This Row],[COGS]]-OrdersTable[[#This Row],[Shipping Cost]]</f>
        <v>127.14999999999998</v>
      </c>
      <c r="Z1139" s="78">
        <f>IFERROR(OrdersTable[[#This Row],[Profit]]/OrdersTable[[#This Row],[Net Revenue]],0)</f>
        <v>0.37490785787999409</v>
      </c>
      <c r="AA1139" t="s">
        <v>3495</v>
      </c>
      <c r="AB1139" s="79">
        <v>45527</v>
      </c>
      <c r="AC1139">
        <f>OrdersTable[[#This Row],[Delivery Date]]-OrdersTable[[#This Row],[Order Date]]</f>
        <v>4</v>
      </c>
      <c r="AD1139" t="str">
        <f>IF(OrdersTable[[#This Row],[Delivery Days]]&lt;=2, "Express (≤2d)", IF(OrdersTable[[#This Row],[Delivery Days]]&lt;=4, "Standard (3-4d)", "Delayed (5d+)"))</f>
        <v>Standard (3-4d)</v>
      </c>
      <c r="AE1139">
        <v>4</v>
      </c>
      <c r="AF1139">
        <v>0</v>
      </c>
    </row>
    <row r="1140" spans="1:32" ht="15" x14ac:dyDescent="0.35">
      <c r="A1140" t="s">
        <v>760</v>
      </c>
      <c r="B1140" s="1">
        <v>45523</v>
      </c>
      <c r="C1140">
        <f>YEAR(OrdersTable[[#This Row],[Order Date]])</f>
        <v>2024</v>
      </c>
      <c r="D1140" s="2">
        <f>DATE(YEAR(OrdersTable[[#This Row],[Order Date]]),MONTH(OrdersTable[[#This Row],[Order Date]]),1)</f>
        <v>45505</v>
      </c>
      <c r="E1140">
        <f>MONTH(OrdersTable[[#This Row],[Order Date]])</f>
        <v>8</v>
      </c>
      <c r="F1140" t="s">
        <v>761</v>
      </c>
      <c r="G1140" t="str">
        <f>IF(OrdersTable[[#This Row],[Order Date]]=_xlfn.MINIFS(Order_Date, Customer_ID, OrdersTable[[#This Row],[Customer ID]]), "New", "Repeat")</f>
        <v>New</v>
      </c>
      <c r="H1140" t="s">
        <v>27</v>
      </c>
      <c r="I1140" t="str">
        <f>INDEX(State!B:B,MATCH(OrdersTable[[#This Row],[State]],State!A:A,0))</f>
        <v>WB</v>
      </c>
      <c r="J1140" t="str">
        <f>INDEX(State!C:C,MATCH(OrdersTable[[#This Row],[State Code]],State!B:B,0))</f>
        <v>East</v>
      </c>
      <c r="K1140" t="s">
        <v>28</v>
      </c>
      <c r="L1140" t="s">
        <v>16</v>
      </c>
      <c r="M1140" t="s">
        <v>34</v>
      </c>
      <c r="N1140" t="str">
        <f>INDEX(Products!B:B,MATCH(OrdersTable[[#This Row],[Product ID]],Products!A:A,0))</f>
        <v>Flip Flops</v>
      </c>
      <c r="O1140" t="str">
        <f>INDEX(Products!C:C,MATCH(OrdersTable[[#This Row],[Product ID]],Products!A:A,0))</f>
        <v>Footwear</v>
      </c>
      <c r="P1140">
        <v>1</v>
      </c>
      <c r="Q1140" s="5">
        <v>399</v>
      </c>
      <c r="R1140" s="74">
        <v>0.1</v>
      </c>
      <c r="S1140" s="75">
        <f>OrdersTable[[#This Row],[Quantity]]*OrdersTable[[#This Row],[Unit Price]]</f>
        <v>399</v>
      </c>
      <c r="T1140" s="5">
        <f>OrdersTable[[#This Row],[Gross Sale]]*OrdersTable[[#This Row],[Discount_Clean2]]</f>
        <v>39.900000000000006</v>
      </c>
      <c r="U1140" s="5">
        <f>OrdersTable[[#This Row],[Gross Sale]]-OrdersTable[[#This Row],[Discount Amount]]</f>
        <v>359.1</v>
      </c>
      <c r="V1140" s="77">
        <f>INDEX(Products!E:E,MATCH(OrdersTable[[#This Row],[Product ID]],Products!A:A,0))</f>
        <v>152</v>
      </c>
      <c r="W1140" s="77">
        <f>OrdersTable[[#This Row],[Quantity]]*OrdersTable[[#This Row],[Unit Cost]]</f>
        <v>152</v>
      </c>
      <c r="X1140" s="77">
        <f>'Dropdown Lists'!$I$2*(1+OrdersTable[[#This Row],[Returned]])</f>
        <v>60</v>
      </c>
      <c r="Y1140" s="76">
        <f>OrdersTable[[#This Row],[Net Revenue]]-OrdersTable[[#This Row],[COGS]]-OrdersTable[[#This Row],[Shipping Cost]]</f>
        <v>147.10000000000002</v>
      </c>
      <c r="Z1140" s="78">
        <f>IFERROR(OrdersTable[[#This Row],[Profit]]/OrdersTable[[#This Row],[Net Revenue]],0)</f>
        <v>0.40963519910888335</v>
      </c>
      <c r="AA1140" t="s">
        <v>18</v>
      </c>
      <c r="AB1140" s="79">
        <v>45526</v>
      </c>
      <c r="AC1140">
        <f>OrdersTable[[#This Row],[Delivery Date]]-OrdersTable[[#This Row],[Order Date]]</f>
        <v>3</v>
      </c>
      <c r="AD1140" t="str">
        <f>IF(OrdersTable[[#This Row],[Delivery Days]]&lt;=2, "Express (≤2d)", IF(OrdersTable[[#This Row],[Delivery Days]]&lt;=4, "Standard (3-4d)", "Delayed (5d+)"))</f>
        <v>Standard (3-4d)</v>
      </c>
      <c r="AE1140">
        <v>4</v>
      </c>
      <c r="AF1140">
        <v>0</v>
      </c>
    </row>
    <row r="1141" spans="1:32" ht="15" x14ac:dyDescent="0.35">
      <c r="A1141" t="s">
        <v>3193</v>
      </c>
      <c r="B1141" s="1">
        <v>45523</v>
      </c>
      <c r="C1141">
        <f>YEAR(OrdersTable[[#This Row],[Order Date]])</f>
        <v>2024</v>
      </c>
      <c r="D1141" s="2">
        <f>DATE(YEAR(OrdersTable[[#This Row],[Order Date]]),MONTH(OrdersTable[[#This Row],[Order Date]]),1)</f>
        <v>45505</v>
      </c>
      <c r="E1141">
        <f>MONTH(OrdersTable[[#This Row],[Order Date]])</f>
        <v>8</v>
      </c>
      <c r="F1141" t="s">
        <v>1817</v>
      </c>
      <c r="G1141" t="str">
        <f>IF(OrdersTable[[#This Row],[Order Date]]=_xlfn.MINIFS(Order_Date, Customer_ID, OrdersTable[[#This Row],[Customer ID]]), "New", "Repeat")</f>
        <v>Repeat</v>
      </c>
      <c r="H1141" t="s">
        <v>71</v>
      </c>
      <c r="I1141" t="str">
        <f>INDEX(State!B:B,MATCH(OrdersTable[[#This Row],[State]],State!A:A,0))</f>
        <v>MH</v>
      </c>
      <c r="J1141" t="str">
        <f>INDEX(State!C:C,MATCH(OrdersTable[[#This Row],[State Code]],State!B:B,0))</f>
        <v>West</v>
      </c>
      <c r="K1141" t="s">
        <v>72</v>
      </c>
      <c r="L1141" t="s">
        <v>39</v>
      </c>
      <c r="M1141" t="s">
        <v>73</v>
      </c>
      <c r="N1141" t="str">
        <f>INDEX(Products!B:B,MATCH(OrdersTable[[#This Row],[Product ID]],Products!A:A,0))</f>
        <v>Hydrating Face Wash</v>
      </c>
      <c r="O1141" t="str">
        <f>INDEX(Products!C:C,MATCH(OrdersTable[[#This Row],[Product ID]],Products!A:A,0))</f>
        <v>Skincare</v>
      </c>
      <c r="P1141">
        <v>1</v>
      </c>
      <c r="Q1141" s="5">
        <v>299</v>
      </c>
      <c r="R1141" s="74">
        <v>0</v>
      </c>
      <c r="S1141" s="75">
        <f>OrdersTable[[#This Row],[Quantity]]*OrdersTable[[#This Row],[Unit Price]]</f>
        <v>299</v>
      </c>
      <c r="T1141" s="5">
        <f>OrdersTable[[#This Row],[Gross Sale]]*OrdersTable[[#This Row],[Discount_Clean2]]</f>
        <v>0</v>
      </c>
      <c r="U1141" s="5">
        <f>OrdersTable[[#This Row],[Gross Sale]]-OrdersTable[[#This Row],[Discount Amount]]</f>
        <v>299</v>
      </c>
      <c r="V1141" s="77">
        <f>INDEX(Products!E:E,MATCH(OrdersTable[[#This Row],[Product ID]],Products!A:A,0))</f>
        <v>90</v>
      </c>
      <c r="W1141" s="77">
        <f>OrdersTable[[#This Row],[Quantity]]*OrdersTable[[#This Row],[Unit Cost]]</f>
        <v>90</v>
      </c>
      <c r="X1141" s="77">
        <f>'Dropdown Lists'!$I$2*(1+OrdersTable[[#This Row],[Returned]])</f>
        <v>60</v>
      </c>
      <c r="Y1141" s="76">
        <f>OrdersTable[[#This Row],[Net Revenue]]-OrdersTable[[#This Row],[COGS]]-OrdersTable[[#This Row],[Shipping Cost]]</f>
        <v>149</v>
      </c>
      <c r="Z1141" s="78">
        <f>IFERROR(OrdersTable[[#This Row],[Profit]]/OrdersTable[[#This Row],[Net Revenue]],0)</f>
        <v>0.49832775919732442</v>
      </c>
      <c r="AA1141" t="s">
        <v>2522</v>
      </c>
      <c r="AB1141" s="79">
        <v>45527</v>
      </c>
      <c r="AC1141">
        <f>OrdersTable[[#This Row],[Delivery Date]]-OrdersTable[[#This Row],[Order Date]]</f>
        <v>4</v>
      </c>
      <c r="AD1141" t="str">
        <f>IF(OrdersTable[[#This Row],[Delivery Days]]&lt;=2, "Express (≤2d)", IF(OrdersTable[[#This Row],[Delivery Days]]&lt;=4, "Standard (3-4d)", "Delayed (5d+)"))</f>
        <v>Standard (3-4d)</v>
      </c>
      <c r="AE1141">
        <v>4</v>
      </c>
      <c r="AF1141">
        <v>0</v>
      </c>
    </row>
    <row r="1142" spans="1:32" ht="15" x14ac:dyDescent="0.35">
      <c r="A1142" t="s">
        <v>5670</v>
      </c>
      <c r="B1142" s="1">
        <v>45523</v>
      </c>
      <c r="C1142">
        <f>YEAR(OrdersTable[[#This Row],[Order Date]])</f>
        <v>2024</v>
      </c>
      <c r="D1142" s="2">
        <f>DATE(YEAR(OrdersTable[[#This Row],[Order Date]]),MONTH(OrdersTable[[#This Row],[Order Date]]),1)</f>
        <v>45505</v>
      </c>
      <c r="E1142">
        <f>MONTH(OrdersTable[[#This Row],[Order Date]])</f>
        <v>8</v>
      </c>
      <c r="F1142" t="s">
        <v>4137</v>
      </c>
      <c r="G1142" t="str">
        <f>IF(OrdersTable[[#This Row],[Order Date]]=_xlfn.MINIFS(Order_Date, Customer_ID, OrdersTable[[#This Row],[Customer ID]]), "New", "Repeat")</f>
        <v>New</v>
      </c>
      <c r="H1142" t="s">
        <v>59</v>
      </c>
      <c r="I1142" t="str">
        <f>INDEX(State!B:B,MATCH(OrdersTable[[#This Row],[State]],State!A:A,0))</f>
        <v>TN</v>
      </c>
      <c r="J1142" t="str">
        <f>INDEX(State!C:C,MATCH(OrdersTable[[#This Row],[State Code]],State!B:B,0))</f>
        <v>South</v>
      </c>
      <c r="K1142" t="s">
        <v>64</v>
      </c>
      <c r="L1142" t="s">
        <v>23</v>
      </c>
      <c r="M1142" t="s">
        <v>84</v>
      </c>
      <c r="N1142" t="str">
        <f>INDEX(Products!B:B,MATCH(OrdersTable[[#This Row],[Product ID]],Products!A:A,0))</f>
        <v>Cotton Bedsheet</v>
      </c>
      <c r="O1142" t="str">
        <f>INDEX(Products!C:C,MATCH(OrdersTable[[#This Row],[Product ID]],Products!A:A,0))</f>
        <v>Home &amp; Kitchen</v>
      </c>
      <c r="P1142">
        <v>2</v>
      </c>
      <c r="Q1142" s="5">
        <v>1299</v>
      </c>
      <c r="R1142" s="74">
        <v>0</v>
      </c>
      <c r="S1142" s="75">
        <f>OrdersTable[[#This Row],[Quantity]]*OrdersTable[[#This Row],[Unit Price]]</f>
        <v>2598</v>
      </c>
      <c r="T1142" s="5">
        <f>OrdersTable[[#This Row],[Gross Sale]]*OrdersTable[[#This Row],[Discount_Clean2]]</f>
        <v>0</v>
      </c>
      <c r="U1142" s="5">
        <f>OrdersTable[[#This Row],[Gross Sale]]-OrdersTable[[#This Row],[Discount Amount]]</f>
        <v>2598</v>
      </c>
      <c r="V1142" s="77">
        <f>INDEX(Products!E:E,MATCH(OrdersTable[[#This Row],[Product ID]],Products!A:A,0))</f>
        <v>585</v>
      </c>
      <c r="W1142" s="77">
        <f>OrdersTable[[#This Row],[Quantity]]*OrdersTable[[#This Row],[Unit Cost]]</f>
        <v>1170</v>
      </c>
      <c r="X1142" s="77">
        <f>'Dropdown Lists'!$I$2*(1+OrdersTable[[#This Row],[Returned]])</f>
        <v>60</v>
      </c>
      <c r="Y1142" s="76">
        <f>OrdersTable[[#This Row],[Net Revenue]]-OrdersTable[[#This Row],[COGS]]-OrdersTable[[#This Row],[Shipping Cost]]</f>
        <v>1368</v>
      </c>
      <c r="Z1142" s="78">
        <f>IFERROR(OrdersTable[[#This Row],[Profit]]/OrdersTable[[#This Row],[Net Revenue]],0)</f>
        <v>0.52655889145496537</v>
      </c>
      <c r="AA1142" t="s">
        <v>18</v>
      </c>
      <c r="AB1142" s="79">
        <v>45526</v>
      </c>
      <c r="AC1142">
        <f>OrdersTable[[#This Row],[Delivery Date]]-OrdersTable[[#This Row],[Order Date]]</f>
        <v>3</v>
      </c>
      <c r="AD1142" t="str">
        <f>IF(OrdersTable[[#This Row],[Delivery Days]]&lt;=2, "Express (≤2d)", IF(OrdersTable[[#This Row],[Delivery Days]]&lt;=4, "Standard (3-4d)", "Delayed (5d+)"))</f>
        <v>Standard (3-4d)</v>
      </c>
      <c r="AE1142">
        <v>3</v>
      </c>
      <c r="AF1142">
        <v>0</v>
      </c>
    </row>
    <row r="1143" spans="1:32" ht="15" x14ac:dyDescent="0.35">
      <c r="A1143" t="s">
        <v>4789</v>
      </c>
      <c r="B1143" s="1">
        <v>45523</v>
      </c>
      <c r="C1143">
        <f>YEAR(OrdersTable[[#This Row],[Order Date]])</f>
        <v>2024</v>
      </c>
      <c r="D1143" s="2">
        <f>DATE(YEAR(OrdersTable[[#This Row],[Order Date]]),MONTH(OrdersTable[[#This Row],[Order Date]]),1)</f>
        <v>45505</v>
      </c>
      <c r="E1143">
        <f>MONTH(OrdersTable[[#This Row],[Order Date]])</f>
        <v>8</v>
      </c>
      <c r="F1143" t="s">
        <v>3177</v>
      </c>
      <c r="G1143" t="str">
        <f>IF(OrdersTable[[#This Row],[Order Date]]=_xlfn.MINIFS(Order_Date, Customer_ID, OrdersTable[[#This Row],[Customer ID]]), "New", "Repeat")</f>
        <v>Repeat</v>
      </c>
      <c r="H1143" t="s">
        <v>59</v>
      </c>
      <c r="I1143" t="str">
        <f>INDEX(State!B:B,MATCH(OrdersTable[[#This Row],[State]],State!A:A,0))</f>
        <v>TN</v>
      </c>
      <c r="J1143" t="str">
        <f>INDEX(State!C:C,MATCH(OrdersTable[[#This Row],[State Code]],State!B:B,0))</f>
        <v>South</v>
      </c>
      <c r="K1143" t="s">
        <v>64</v>
      </c>
      <c r="L1143" t="s">
        <v>50</v>
      </c>
      <c r="M1143" t="s">
        <v>109</v>
      </c>
      <c r="N1143" t="str">
        <f>INDEX(Products!B:B,MATCH(OrdersTable[[#This Row],[Product ID]],Products!A:A,0))</f>
        <v>Onion Hair Oil</v>
      </c>
      <c r="O1143" t="str">
        <f>INDEX(Products!C:C,MATCH(OrdersTable[[#This Row],[Product ID]],Products!A:A,0))</f>
        <v>Haircare</v>
      </c>
      <c r="P1143">
        <v>2</v>
      </c>
      <c r="Q1143" s="5">
        <v>349</v>
      </c>
      <c r="R1143" s="74">
        <v>0.25</v>
      </c>
      <c r="S1143" s="75">
        <f>OrdersTable[[#This Row],[Quantity]]*OrdersTable[[#This Row],[Unit Price]]</f>
        <v>698</v>
      </c>
      <c r="T1143" s="5">
        <f>OrdersTable[[#This Row],[Gross Sale]]*OrdersTable[[#This Row],[Discount_Clean2]]</f>
        <v>174.5</v>
      </c>
      <c r="U1143" s="5">
        <f>OrdersTable[[#This Row],[Gross Sale]]-OrdersTable[[#This Row],[Discount Amount]]</f>
        <v>523.5</v>
      </c>
      <c r="V1143" s="77">
        <f>INDEX(Products!E:E,MATCH(OrdersTable[[#This Row],[Product ID]],Products!A:A,0))</f>
        <v>105</v>
      </c>
      <c r="W1143" s="77">
        <f>OrdersTable[[#This Row],[Quantity]]*OrdersTable[[#This Row],[Unit Cost]]</f>
        <v>210</v>
      </c>
      <c r="X1143" s="77">
        <f>'Dropdown Lists'!$I$2*(1+OrdersTable[[#This Row],[Returned]])</f>
        <v>60</v>
      </c>
      <c r="Y1143" s="76">
        <f>OrdersTable[[#This Row],[Net Revenue]]-OrdersTable[[#This Row],[COGS]]-OrdersTable[[#This Row],[Shipping Cost]]</f>
        <v>253.5</v>
      </c>
      <c r="Z1143" s="78">
        <f>IFERROR(OrdersTable[[#This Row],[Profit]]/OrdersTable[[#This Row],[Net Revenue]],0)</f>
        <v>0.48424068767908307</v>
      </c>
      <c r="AA1143" t="s">
        <v>4450</v>
      </c>
      <c r="AB1143" s="79">
        <v>45525</v>
      </c>
      <c r="AC1143">
        <f>OrdersTable[[#This Row],[Delivery Date]]-OrdersTable[[#This Row],[Order Date]]</f>
        <v>2</v>
      </c>
      <c r="AD1143" t="str">
        <f>IF(OrdersTable[[#This Row],[Delivery Days]]&lt;=2, "Express (≤2d)", IF(OrdersTable[[#This Row],[Delivery Days]]&lt;=4, "Standard (3-4d)", "Delayed (5d+)"))</f>
        <v>Express (≤2d)</v>
      </c>
      <c r="AF1143">
        <v>0</v>
      </c>
    </row>
    <row r="1144" spans="1:32" ht="15" x14ac:dyDescent="0.35">
      <c r="A1144" t="s">
        <v>3194</v>
      </c>
      <c r="B1144" s="1">
        <v>45524</v>
      </c>
      <c r="C1144">
        <f>YEAR(OrdersTable[[#This Row],[Order Date]])</f>
        <v>2024</v>
      </c>
      <c r="D1144" s="2">
        <f>DATE(YEAR(OrdersTable[[#This Row],[Order Date]]),MONTH(OrdersTable[[#This Row],[Order Date]]),1)</f>
        <v>45505</v>
      </c>
      <c r="E1144">
        <f>MONTH(OrdersTable[[#This Row],[Order Date]])</f>
        <v>8</v>
      </c>
      <c r="F1144" t="s">
        <v>3195</v>
      </c>
      <c r="G1144" t="str">
        <f>IF(OrdersTable[[#This Row],[Order Date]]=_xlfn.MINIFS(Order_Date, Customer_ID, OrdersTable[[#This Row],[Customer ID]]), "New", "Repeat")</f>
        <v>New</v>
      </c>
      <c r="H1144" t="s">
        <v>76</v>
      </c>
      <c r="I1144" t="str">
        <f>INDEX(State!B:B,MATCH(OrdersTable[[#This Row],[State]],State!A:A,0))</f>
        <v>UP</v>
      </c>
      <c r="J1144" t="str">
        <f>INDEX(State!C:C,MATCH(OrdersTable[[#This Row],[State Code]],State!B:B,0))</f>
        <v>North</v>
      </c>
      <c r="K1144" t="s">
        <v>105</v>
      </c>
      <c r="L1144" t="s">
        <v>16</v>
      </c>
      <c r="M1144" t="s">
        <v>34</v>
      </c>
      <c r="N1144" t="str">
        <f>INDEX(Products!B:B,MATCH(OrdersTable[[#This Row],[Product ID]],Products!A:A,0))</f>
        <v>Flip Flops</v>
      </c>
      <c r="O1144" t="str">
        <f>INDEX(Products!C:C,MATCH(OrdersTable[[#This Row],[Product ID]],Products!A:A,0))</f>
        <v>Footwear</v>
      </c>
      <c r="P1144">
        <v>1</v>
      </c>
      <c r="Q1144" s="5">
        <v>399</v>
      </c>
      <c r="R1144" s="74">
        <v>0.2</v>
      </c>
      <c r="S1144" s="75">
        <f>OrdersTable[[#This Row],[Quantity]]*OrdersTable[[#This Row],[Unit Price]]</f>
        <v>399</v>
      </c>
      <c r="T1144" s="5">
        <f>OrdersTable[[#This Row],[Gross Sale]]*OrdersTable[[#This Row],[Discount_Clean2]]</f>
        <v>79.800000000000011</v>
      </c>
      <c r="U1144" s="5">
        <f>OrdersTable[[#This Row],[Gross Sale]]-OrdersTable[[#This Row],[Discount Amount]]</f>
        <v>319.2</v>
      </c>
      <c r="V1144" s="77">
        <f>INDEX(Products!E:E,MATCH(OrdersTable[[#This Row],[Product ID]],Products!A:A,0))</f>
        <v>152</v>
      </c>
      <c r="W1144" s="77">
        <f>OrdersTable[[#This Row],[Quantity]]*OrdersTable[[#This Row],[Unit Cost]]</f>
        <v>152</v>
      </c>
      <c r="X1144" s="77">
        <f>'Dropdown Lists'!$I$2*(1+OrdersTable[[#This Row],[Returned]])</f>
        <v>60</v>
      </c>
      <c r="Y1144" s="76">
        <f>OrdersTable[[#This Row],[Net Revenue]]-OrdersTable[[#This Row],[COGS]]-OrdersTable[[#This Row],[Shipping Cost]]</f>
        <v>107.19999999999999</v>
      </c>
      <c r="Z1144" s="78">
        <f>IFERROR(OrdersTable[[#This Row],[Profit]]/OrdersTable[[#This Row],[Net Revenue]],0)</f>
        <v>0.33583959899749372</v>
      </c>
      <c r="AA1144" t="s">
        <v>2522</v>
      </c>
      <c r="AB1144" s="79">
        <v>45528</v>
      </c>
      <c r="AC1144">
        <f>OrdersTable[[#This Row],[Delivery Date]]-OrdersTable[[#This Row],[Order Date]]</f>
        <v>4</v>
      </c>
      <c r="AD1144" t="str">
        <f>IF(OrdersTable[[#This Row],[Delivery Days]]&lt;=2, "Express (≤2d)", IF(OrdersTable[[#This Row],[Delivery Days]]&lt;=4, "Standard (3-4d)", "Delayed (5d+)"))</f>
        <v>Standard (3-4d)</v>
      </c>
      <c r="AE1144">
        <v>4</v>
      </c>
      <c r="AF1144">
        <v>0</v>
      </c>
    </row>
    <row r="1145" spans="1:32" ht="15" x14ac:dyDescent="0.35">
      <c r="A1145" t="s">
        <v>1147</v>
      </c>
      <c r="B1145" s="1">
        <v>45524</v>
      </c>
      <c r="C1145">
        <f>YEAR(OrdersTable[[#This Row],[Order Date]])</f>
        <v>2024</v>
      </c>
      <c r="D1145" s="2">
        <f>DATE(YEAR(OrdersTable[[#This Row],[Order Date]]),MONTH(OrdersTable[[#This Row],[Order Date]]),1)</f>
        <v>45505</v>
      </c>
      <c r="E1145">
        <f>MONTH(OrdersTable[[#This Row],[Order Date]])</f>
        <v>8</v>
      </c>
      <c r="F1145" t="s">
        <v>1148</v>
      </c>
      <c r="G1145" t="str">
        <f>IF(OrdersTable[[#This Row],[Order Date]]=_xlfn.MINIFS(Order_Date, Customer_ID, OrdersTable[[#This Row],[Customer ID]]), "New", "Repeat")</f>
        <v>Repeat</v>
      </c>
      <c r="H1145" t="s">
        <v>316</v>
      </c>
      <c r="I1145" t="str">
        <f>INDEX(State!B:B,MATCH(OrdersTable[[#This Row],[State]],State!A:A,0))</f>
        <v>KL</v>
      </c>
      <c r="J1145" t="str">
        <f>INDEX(State!C:C,MATCH(OrdersTable[[#This Row],[State Code]],State!B:B,0))</f>
        <v>South</v>
      </c>
      <c r="K1145" t="s">
        <v>338</v>
      </c>
      <c r="L1145" t="s">
        <v>50</v>
      </c>
      <c r="M1145" t="s">
        <v>66</v>
      </c>
      <c r="N1145" t="str">
        <f>INDEX(Products!B:B,MATCH(OrdersTable[[#This Row],[Product ID]],Products!A:A,0))</f>
        <v>Sunscreen SPF 50</v>
      </c>
      <c r="O1145" t="str">
        <f>INDEX(Products!C:C,MATCH(OrdersTable[[#This Row],[Product ID]],Products!A:A,0))</f>
        <v>Skincare</v>
      </c>
      <c r="P1145">
        <v>1</v>
      </c>
      <c r="Q1145" s="5">
        <v>449</v>
      </c>
      <c r="R1145" s="74">
        <v>0.05</v>
      </c>
      <c r="S1145" s="75">
        <f>OrdersTable[[#This Row],[Quantity]]*OrdersTable[[#This Row],[Unit Price]]</f>
        <v>449</v>
      </c>
      <c r="T1145" s="5">
        <f>OrdersTable[[#This Row],[Gross Sale]]*OrdersTable[[#This Row],[Discount_Clean2]]</f>
        <v>22.450000000000003</v>
      </c>
      <c r="U1145" s="5">
        <f>OrdersTable[[#This Row],[Gross Sale]]-OrdersTable[[#This Row],[Discount Amount]]</f>
        <v>426.55</v>
      </c>
      <c r="V1145" s="77">
        <f>INDEX(Products!E:E,MATCH(OrdersTable[[#This Row],[Product ID]],Products!A:A,0))</f>
        <v>144</v>
      </c>
      <c r="W1145" s="77">
        <f>OrdersTable[[#This Row],[Quantity]]*OrdersTable[[#This Row],[Unit Cost]]</f>
        <v>144</v>
      </c>
      <c r="X1145" s="77">
        <f>'Dropdown Lists'!$I$2*(1+OrdersTable[[#This Row],[Returned]])</f>
        <v>60</v>
      </c>
      <c r="Y1145" s="76">
        <f>OrdersTable[[#This Row],[Net Revenue]]-OrdersTable[[#This Row],[COGS]]-OrdersTable[[#This Row],[Shipping Cost]]</f>
        <v>222.55</v>
      </c>
      <c r="Z1145" s="78">
        <f>IFERROR(OrdersTable[[#This Row],[Profit]]/OrdersTable[[#This Row],[Net Revenue]],0)</f>
        <v>0.52174422693705313</v>
      </c>
      <c r="AA1145" t="s">
        <v>18</v>
      </c>
      <c r="AB1145" s="79">
        <v>45527</v>
      </c>
      <c r="AC1145">
        <f>OrdersTable[[#This Row],[Delivery Date]]-OrdersTable[[#This Row],[Order Date]]</f>
        <v>3</v>
      </c>
      <c r="AD1145" t="str">
        <f>IF(OrdersTable[[#This Row],[Delivery Days]]&lt;=2, "Express (≤2d)", IF(OrdersTable[[#This Row],[Delivery Days]]&lt;=4, "Standard (3-4d)", "Delayed (5d+)"))</f>
        <v>Standard (3-4d)</v>
      </c>
      <c r="AF1145">
        <v>0</v>
      </c>
    </row>
    <row r="1146" spans="1:32" ht="15" x14ac:dyDescent="0.35">
      <c r="A1146" t="s">
        <v>5879</v>
      </c>
      <c r="B1146" s="1">
        <v>45525</v>
      </c>
      <c r="C1146">
        <f>YEAR(OrdersTable[[#This Row],[Order Date]])</f>
        <v>2024</v>
      </c>
      <c r="D1146" s="2">
        <f>DATE(YEAR(OrdersTable[[#This Row],[Order Date]]),MONTH(OrdersTable[[#This Row],[Order Date]]),1)</f>
        <v>45505</v>
      </c>
      <c r="E1146">
        <f>MONTH(OrdersTable[[#This Row],[Order Date]])</f>
        <v>8</v>
      </c>
      <c r="F1146" t="s">
        <v>5880</v>
      </c>
      <c r="G1146" t="str">
        <f>IF(OrdersTable[[#This Row],[Order Date]]=_xlfn.MINIFS(Order_Date, Customer_ID, OrdersTable[[#This Row],[Customer ID]]), "New", "Repeat")</f>
        <v>New</v>
      </c>
      <c r="H1146" t="s">
        <v>54</v>
      </c>
      <c r="I1146" t="str">
        <f>INDEX(State!B:B,MATCH(OrdersTable[[#This Row],[State]],State!A:A,0))</f>
        <v>RJ</v>
      </c>
      <c r="J1146" t="str">
        <f>INDEX(State!C:C,MATCH(OrdersTable[[#This Row],[State Code]],State!B:B,0))</f>
        <v>North</v>
      </c>
      <c r="K1146" t="s">
        <v>227</v>
      </c>
      <c r="L1146" t="s">
        <v>65</v>
      </c>
      <c r="M1146" t="s">
        <v>45</v>
      </c>
      <c r="N1146" t="str">
        <f>INDEX(Products!B:B,MATCH(OrdersTable[[#This Row],[Product ID]],Products!A:A,0))</f>
        <v>Argan Shampoo</v>
      </c>
      <c r="O1146" t="str">
        <f>INDEX(Products!C:C,MATCH(OrdersTable[[#This Row],[Product ID]],Products!A:A,0))</f>
        <v>Haircare</v>
      </c>
      <c r="P1146">
        <v>2</v>
      </c>
      <c r="Q1146" s="5">
        <v>449</v>
      </c>
      <c r="R1146" s="74">
        <v>0</v>
      </c>
      <c r="S1146" s="75">
        <f>OrdersTable[[#This Row],[Quantity]]*OrdersTable[[#This Row],[Unit Price]]</f>
        <v>898</v>
      </c>
      <c r="T1146" s="5">
        <f>OrdersTable[[#This Row],[Gross Sale]]*OrdersTable[[#This Row],[Discount_Clean2]]</f>
        <v>0</v>
      </c>
      <c r="U1146" s="5">
        <f>OrdersTable[[#This Row],[Gross Sale]]-OrdersTable[[#This Row],[Discount Amount]]</f>
        <v>898</v>
      </c>
      <c r="V1146" s="77">
        <f>INDEX(Products!E:E,MATCH(OrdersTable[[#This Row],[Product ID]],Products!A:A,0))</f>
        <v>148</v>
      </c>
      <c r="W1146" s="77">
        <f>OrdersTable[[#This Row],[Quantity]]*OrdersTable[[#This Row],[Unit Cost]]</f>
        <v>296</v>
      </c>
      <c r="X1146" s="77">
        <f>'Dropdown Lists'!$I$2*(1+OrdersTable[[#This Row],[Returned]])</f>
        <v>60</v>
      </c>
      <c r="Y1146" s="76">
        <f>OrdersTable[[#This Row],[Net Revenue]]-OrdersTable[[#This Row],[COGS]]-OrdersTable[[#This Row],[Shipping Cost]]</f>
        <v>542</v>
      </c>
      <c r="Z1146" s="78">
        <f>IFERROR(OrdersTable[[#This Row],[Profit]]/OrdersTable[[#This Row],[Net Revenue]],0)</f>
        <v>0.60356347438752789</v>
      </c>
      <c r="AA1146" t="s">
        <v>18</v>
      </c>
      <c r="AB1146" s="79">
        <v>45529</v>
      </c>
      <c r="AC1146">
        <f>OrdersTable[[#This Row],[Delivery Date]]-OrdersTable[[#This Row],[Order Date]]</f>
        <v>4</v>
      </c>
      <c r="AD1146" t="str">
        <f>IF(OrdersTable[[#This Row],[Delivery Days]]&lt;=2, "Express (≤2d)", IF(OrdersTable[[#This Row],[Delivery Days]]&lt;=4, "Standard (3-4d)", "Delayed (5d+)"))</f>
        <v>Standard (3-4d)</v>
      </c>
      <c r="AF1146">
        <v>0</v>
      </c>
    </row>
    <row r="1147" spans="1:32" ht="15" x14ac:dyDescent="0.35">
      <c r="A1147" t="s">
        <v>762</v>
      </c>
      <c r="B1147" s="1">
        <v>45525</v>
      </c>
      <c r="C1147">
        <f>YEAR(OrdersTable[[#This Row],[Order Date]])</f>
        <v>2024</v>
      </c>
      <c r="D1147" s="2">
        <f>DATE(YEAR(OrdersTable[[#This Row],[Order Date]]),MONTH(OrdersTable[[#This Row],[Order Date]]),1)</f>
        <v>45505</v>
      </c>
      <c r="E1147">
        <f>MONTH(OrdersTable[[#This Row],[Order Date]])</f>
        <v>8</v>
      </c>
      <c r="F1147" t="s">
        <v>763</v>
      </c>
      <c r="G1147" t="str">
        <f>IF(OrdersTable[[#This Row],[Order Date]]=_xlfn.MINIFS(Order_Date, Customer_ID, OrdersTable[[#This Row],[Customer ID]]), "New", "Repeat")</f>
        <v>New</v>
      </c>
      <c r="H1147" t="s">
        <v>54</v>
      </c>
      <c r="I1147" t="str">
        <f>INDEX(State!B:B,MATCH(OrdersTable[[#This Row],[State]],State!A:A,0))</f>
        <v>RJ</v>
      </c>
      <c r="J1147" t="str">
        <f>INDEX(State!C:C,MATCH(OrdersTable[[#This Row],[State Code]],State!B:B,0))</f>
        <v>North</v>
      </c>
      <c r="K1147" t="s">
        <v>227</v>
      </c>
      <c r="L1147" t="s">
        <v>39</v>
      </c>
      <c r="M1147" t="s">
        <v>66</v>
      </c>
      <c r="N1147" t="str">
        <f>INDEX(Products!B:B,MATCH(OrdersTable[[#This Row],[Product ID]],Products!A:A,0))</f>
        <v>Sunscreen SPF 50</v>
      </c>
      <c r="O1147" t="str">
        <f>INDEX(Products!C:C,MATCH(OrdersTable[[#This Row],[Product ID]],Products!A:A,0))</f>
        <v>Skincare</v>
      </c>
      <c r="P1147">
        <v>1</v>
      </c>
      <c r="Q1147" s="5">
        <v>449</v>
      </c>
      <c r="R1147" s="74">
        <v>0.05</v>
      </c>
      <c r="S1147" s="75">
        <f>OrdersTable[[#This Row],[Quantity]]*OrdersTable[[#This Row],[Unit Price]]</f>
        <v>449</v>
      </c>
      <c r="T1147" s="5">
        <f>OrdersTable[[#This Row],[Gross Sale]]*OrdersTable[[#This Row],[Discount_Clean2]]</f>
        <v>22.450000000000003</v>
      </c>
      <c r="U1147" s="5">
        <f>OrdersTable[[#This Row],[Gross Sale]]-OrdersTable[[#This Row],[Discount Amount]]</f>
        <v>426.55</v>
      </c>
      <c r="V1147" s="77">
        <f>INDEX(Products!E:E,MATCH(OrdersTable[[#This Row],[Product ID]],Products!A:A,0))</f>
        <v>144</v>
      </c>
      <c r="W1147" s="77">
        <f>OrdersTable[[#This Row],[Quantity]]*OrdersTable[[#This Row],[Unit Cost]]</f>
        <v>144</v>
      </c>
      <c r="X1147" s="77">
        <f>'Dropdown Lists'!$I$2*(1+OrdersTable[[#This Row],[Returned]])</f>
        <v>60</v>
      </c>
      <c r="Y1147" s="76">
        <f>OrdersTable[[#This Row],[Net Revenue]]-OrdersTable[[#This Row],[COGS]]-OrdersTable[[#This Row],[Shipping Cost]]</f>
        <v>222.55</v>
      </c>
      <c r="Z1147" s="78">
        <f>IFERROR(OrdersTable[[#This Row],[Profit]]/OrdersTable[[#This Row],[Net Revenue]],0)</f>
        <v>0.52174422693705313</v>
      </c>
      <c r="AA1147" t="s">
        <v>18</v>
      </c>
      <c r="AB1147" s="79">
        <v>45529</v>
      </c>
      <c r="AC1147">
        <f>OrdersTable[[#This Row],[Delivery Date]]-OrdersTable[[#This Row],[Order Date]]</f>
        <v>4</v>
      </c>
      <c r="AD1147" t="str">
        <f>IF(OrdersTable[[#This Row],[Delivery Days]]&lt;=2, "Express (≤2d)", IF(OrdersTable[[#This Row],[Delivery Days]]&lt;=4, "Standard (3-4d)", "Delayed (5d+)"))</f>
        <v>Standard (3-4d)</v>
      </c>
      <c r="AE1147">
        <v>4</v>
      </c>
      <c r="AF1147">
        <v>0</v>
      </c>
    </row>
    <row r="1148" spans="1:32" ht="15" x14ac:dyDescent="0.35">
      <c r="A1148" t="s">
        <v>4790</v>
      </c>
      <c r="B1148" s="1">
        <v>45525</v>
      </c>
      <c r="C1148">
        <f>YEAR(OrdersTable[[#This Row],[Order Date]])</f>
        <v>2024</v>
      </c>
      <c r="D1148" s="2">
        <f>DATE(YEAR(OrdersTable[[#This Row],[Order Date]]),MONTH(OrdersTable[[#This Row],[Order Date]]),1)</f>
        <v>45505</v>
      </c>
      <c r="E1148">
        <f>MONTH(OrdersTable[[#This Row],[Order Date]])</f>
        <v>8</v>
      </c>
      <c r="F1148" t="s">
        <v>53</v>
      </c>
      <c r="G1148" t="str">
        <f>IF(OrdersTable[[#This Row],[Order Date]]=_xlfn.MINIFS(Order_Date, Customer_ID, OrdersTable[[#This Row],[Customer ID]]), "New", "Repeat")</f>
        <v>Repeat</v>
      </c>
      <c r="H1148" t="s">
        <v>128</v>
      </c>
      <c r="I1148" t="str">
        <f>INDEX(State!B:B,MATCH(OrdersTable[[#This Row],[State]],State!A:A,0))</f>
        <v>DL</v>
      </c>
      <c r="J1148" t="str">
        <f>INDEX(State!C:C,MATCH(OrdersTable[[#This Row],[State Code]],State!B:B,0))</f>
        <v>North</v>
      </c>
      <c r="K1148" t="s">
        <v>129</v>
      </c>
      <c r="L1148" t="s">
        <v>65</v>
      </c>
      <c r="M1148" t="s">
        <v>61</v>
      </c>
      <c r="N1148" t="str">
        <f>INDEX(Products!B:B,MATCH(OrdersTable[[#This Row],[Product ID]],Products!A:A,0))</f>
        <v>Multivitamin Gummies</v>
      </c>
      <c r="O1148" t="str">
        <f>INDEX(Products!C:C,MATCH(OrdersTable[[#This Row],[Product ID]],Products!A:A,0))</f>
        <v>Wellness</v>
      </c>
      <c r="P1148">
        <v>2</v>
      </c>
      <c r="Q1148" s="5">
        <v>699</v>
      </c>
      <c r="R1148" s="74">
        <v>0.3</v>
      </c>
      <c r="S1148" s="75">
        <f>OrdersTable[[#This Row],[Quantity]]*OrdersTable[[#This Row],[Unit Price]]</f>
        <v>1398</v>
      </c>
      <c r="T1148" s="5">
        <f>OrdersTable[[#This Row],[Gross Sale]]*OrdersTable[[#This Row],[Discount_Clean2]]</f>
        <v>419.4</v>
      </c>
      <c r="U1148" s="5">
        <f>OrdersTable[[#This Row],[Gross Sale]]-OrdersTable[[#This Row],[Discount Amount]]</f>
        <v>978.6</v>
      </c>
      <c r="V1148" s="77">
        <f>INDEX(Products!E:E,MATCH(OrdersTable[[#This Row],[Product ID]],Products!A:A,0))</f>
        <v>238</v>
      </c>
      <c r="W1148" s="77">
        <f>OrdersTable[[#This Row],[Quantity]]*OrdersTable[[#This Row],[Unit Cost]]</f>
        <v>476</v>
      </c>
      <c r="X1148" s="77">
        <f>'Dropdown Lists'!$I$2*(1+OrdersTable[[#This Row],[Returned]])</f>
        <v>60</v>
      </c>
      <c r="Y1148" s="76">
        <f>OrdersTable[[#This Row],[Net Revenue]]-OrdersTable[[#This Row],[COGS]]-OrdersTable[[#This Row],[Shipping Cost]]</f>
        <v>442.6</v>
      </c>
      <c r="Z1148" s="78">
        <f>IFERROR(OrdersTable[[#This Row],[Profit]]/OrdersTable[[#This Row],[Net Revenue]],0)</f>
        <v>0.45227876558348662</v>
      </c>
      <c r="AA1148" t="s">
        <v>4450</v>
      </c>
      <c r="AB1148" s="79">
        <v>45528</v>
      </c>
      <c r="AC1148">
        <f>OrdersTable[[#This Row],[Delivery Date]]-OrdersTable[[#This Row],[Order Date]]</f>
        <v>3</v>
      </c>
      <c r="AD1148" t="str">
        <f>IF(OrdersTable[[#This Row],[Delivery Days]]&lt;=2, "Express (≤2d)", IF(OrdersTable[[#This Row],[Delivery Days]]&lt;=4, "Standard (3-4d)", "Delayed (5d+)"))</f>
        <v>Standard (3-4d)</v>
      </c>
      <c r="AE1148">
        <v>4</v>
      </c>
      <c r="AF1148">
        <v>0</v>
      </c>
    </row>
    <row r="1149" spans="1:32" ht="15" x14ac:dyDescent="0.35">
      <c r="A1149" t="s">
        <v>3734</v>
      </c>
      <c r="B1149" s="1">
        <v>45525</v>
      </c>
      <c r="C1149">
        <f>YEAR(OrdersTable[[#This Row],[Order Date]])</f>
        <v>2024</v>
      </c>
      <c r="D1149" s="2">
        <f>DATE(YEAR(OrdersTable[[#This Row],[Order Date]]),MONTH(OrdersTable[[#This Row],[Order Date]]),1)</f>
        <v>45505</v>
      </c>
      <c r="E1149">
        <f>MONTH(OrdersTable[[#This Row],[Order Date]])</f>
        <v>8</v>
      </c>
      <c r="F1149" t="s">
        <v>3735</v>
      </c>
      <c r="G1149" t="str">
        <f>IF(OrdersTable[[#This Row],[Order Date]]=_xlfn.MINIFS(Order_Date, Customer_ID, OrdersTable[[#This Row],[Customer ID]]), "New", "Repeat")</f>
        <v>New</v>
      </c>
      <c r="H1149" t="s">
        <v>128</v>
      </c>
      <c r="I1149" t="str">
        <f>INDEX(State!B:B,MATCH(OrdersTable[[#This Row],[State]],State!A:A,0))</f>
        <v>DL</v>
      </c>
      <c r="J1149" t="str">
        <f>INDEX(State!C:C,MATCH(OrdersTable[[#This Row],[State Code]],State!B:B,0))</f>
        <v>North</v>
      </c>
      <c r="K1149" t="s">
        <v>129</v>
      </c>
      <c r="L1149" t="s">
        <v>50</v>
      </c>
      <c r="M1149" t="s">
        <v>61</v>
      </c>
      <c r="N1149" t="str">
        <f>INDEX(Products!B:B,MATCH(OrdersTable[[#This Row],[Product ID]],Products!A:A,0))</f>
        <v>Multivitamin Gummies</v>
      </c>
      <c r="O1149" t="str">
        <f>INDEX(Products!C:C,MATCH(OrdersTable[[#This Row],[Product ID]],Products!A:A,0))</f>
        <v>Wellness</v>
      </c>
      <c r="P1149">
        <v>1</v>
      </c>
      <c r="Q1149" s="5">
        <v>699</v>
      </c>
      <c r="R1149" s="74">
        <v>0.2</v>
      </c>
      <c r="S1149" s="75">
        <f>OrdersTable[[#This Row],[Quantity]]*OrdersTable[[#This Row],[Unit Price]]</f>
        <v>699</v>
      </c>
      <c r="T1149" s="5">
        <f>OrdersTable[[#This Row],[Gross Sale]]*OrdersTable[[#This Row],[Discount_Clean2]]</f>
        <v>139.80000000000001</v>
      </c>
      <c r="U1149" s="5">
        <f>OrdersTable[[#This Row],[Gross Sale]]-OrdersTable[[#This Row],[Discount Amount]]</f>
        <v>559.20000000000005</v>
      </c>
      <c r="V1149" s="77">
        <f>INDEX(Products!E:E,MATCH(OrdersTable[[#This Row],[Product ID]],Products!A:A,0))</f>
        <v>238</v>
      </c>
      <c r="W1149" s="77">
        <f>OrdersTable[[#This Row],[Quantity]]*OrdersTable[[#This Row],[Unit Cost]]</f>
        <v>238</v>
      </c>
      <c r="X1149" s="77">
        <f>'Dropdown Lists'!$I$2*(1+OrdersTable[[#This Row],[Returned]])</f>
        <v>60</v>
      </c>
      <c r="Y1149" s="76">
        <f>OrdersTable[[#This Row],[Net Revenue]]-OrdersTable[[#This Row],[COGS]]-OrdersTable[[#This Row],[Shipping Cost]]</f>
        <v>261.20000000000005</v>
      </c>
      <c r="Z1149" s="78">
        <f>IFERROR(OrdersTable[[#This Row],[Profit]]/OrdersTable[[#This Row],[Net Revenue]],0)</f>
        <v>0.46709585121602293</v>
      </c>
      <c r="AA1149" t="s">
        <v>3495</v>
      </c>
      <c r="AB1149" s="79">
        <v>45527</v>
      </c>
      <c r="AC1149">
        <f>OrdersTable[[#This Row],[Delivery Date]]-OrdersTable[[#This Row],[Order Date]]</f>
        <v>2</v>
      </c>
      <c r="AD1149" t="str">
        <f>IF(OrdersTable[[#This Row],[Delivery Days]]&lt;=2, "Express (≤2d)", IF(OrdersTable[[#This Row],[Delivery Days]]&lt;=4, "Standard (3-4d)", "Delayed (5d+)"))</f>
        <v>Express (≤2d)</v>
      </c>
      <c r="AF1149">
        <v>0</v>
      </c>
    </row>
    <row r="1150" spans="1:32" ht="15" x14ac:dyDescent="0.35">
      <c r="A1150" t="s">
        <v>5338</v>
      </c>
      <c r="B1150" s="1">
        <v>45525</v>
      </c>
      <c r="C1150">
        <f>YEAR(OrdersTable[[#This Row],[Order Date]])</f>
        <v>2024</v>
      </c>
      <c r="D1150" s="2">
        <f>DATE(YEAR(OrdersTable[[#This Row],[Order Date]]),MONTH(OrdersTable[[#This Row],[Order Date]]),1)</f>
        <v>45505</v>
      </c>
      <c r="E1150">
        <f>MONTH(OrdersTable[[#This Row],[Order Date]])</f>
        <v>8</v>
      </c>
      <c r="F1150" t="s">
        <v>5339</v>
      </c>
      <c r="G1150" t="str">
        <f>IF(OrdersTable[[#This Row],[Order Date]]=_xlfn.MINIFS(Order_Date, Customer_ID, OrdersTable[[#This Row],[Customer ID]]), "New", "Repeat")</f>
        <v>New</v>
      </c>
      <c r="H1150" t="s">
        <v>76</v>
      </c>
      <c r="I1150" t="str">
        <f>INDEX(State!B:B,MATCH(OrdersTable[[#This Row],[State]],State!A:A,0))</f>
        <v>UP</v>
      </c>
      <c r="J1150" t="str">
        <f>INDEX(State!C:C,MATCH(OrdersTable[[#This Row],[State Code]],State!B:B,0))</f>
        <v>North</v>
      </c>
      <c r="K1150" t="s">
        <v>105</v>
      </c>
      <c r="L1150" t="s">
        <v>65</v>
      </c>
      <c r="M1150" t="s">
        <v>29</v>
      </c>
      <c r="N1150" t="str">
        <f>INDEX(Products!B:B,MATCH(OrdersTable[[#This Row],[Product ID]],Products!A:A,0))</f>
        <v>Joggers</v>
      </c>
      <c r="O1150" t="str">
        <f>INDEX(Products!C:C,MATCH(OrdersTable[[#This Row],[Product ID]],Products!A:A,0))</f>
        <v>Apparel</v>
      </c>
      <c r="P1150">
        <v>2</v>
      </c>
      <c r="Q1150" s="5">
        <v>1199</v>
      </c>
      <c r="R1150" s="74">
        <v>0.05</v>
      </c>
      <c r="S1150" s="75">
        <f>OrdersTable[[#This Row],[Quantity]]*OrdersTable[[#This Row],[Unit Price]]</f>
        <v>2398</v>
      </c>
      <c r="T1150" s="5">
        <f>OrdersTable[[#This Row],[Gross Sale]]*OrdersTable[[#This Row],[Discount_Clean2]]</f>
        <v>119.9</v>
      </c>
      <c r="U1150" s="5">
        <f>OrdersTable[[#This Row],[Gross Sale]]-OrdersTable[[#This Row],[Discount Amount]]</f>
        <v>2278.1</v>
      </c>
      <c r="V1150" s="77">
        <f>INDEX(Products!E:E,MATCH(OrdersTable[[#This Row],[Product ID]],Products!A:A,0))</f>
        <v>492</v>
      </c>
      <c r="W1150" s="77">
        <f>OrdersTable[[#This Row],[Quantity]]*OrdersTable[[#This Row],[Unit Cost]]</f>
        <v>984</v>
      </c>
      <c r="X1150" s="77">
        <f>'Dropdown Lists'!$I$2*(1+OrdersTable[[#This Row],[Returned]])</f>
        <v>60</v>
      </c>
      <c r="Y1150" s="76">
        <f>OrdersTable[[#This Row],[Net Revenue]]-OrdersTable[[#This Row],[COGS]]-OrdersTable[[#This Row],[Shipping Cost]]</f>
        <v>1234.0999999999999</v>
      </c>
      <c r="Z1150" s="78">
        <f>IFERROR(OrdersTable[[#This Row],[Profit]]/OrdersTable[[#This Row],[Net Revenue]],0)</f>
        <v>0.54172336596286375</v>
      </c>
      <c r="AA1150" t="s">
        <v>2522</v>
      </c>
      <c r="AB1150" s="79">
        <v>45527</v>
      </c>
      <c r="AC1150">
        <f>OrdersTable[[#This Row],[Delivery Date]]-OrdersTable[[#This Row],[Order Date]]</f>
        <v>2</v>
      </c>
      <c r="AD1150" t="str">
        <f>IF(OrdersTable[[#This Row],[Delivery Days]]&lt;=2, "Express (≤2d)", IF(OrdersTable[[#This Row],[Delivery Days]]&lt;=4, "Standard (3-4d)", "Delayed (5d+)"))</f>
        <v>Express (≤2d)</v>
      </c>
      <c r="AE1150">
        <v>5</v>
      </c>
      <c r="AF1150">
        <v>0</v>
      </c>
    </row>
    <row r="1151" spans="1:32" ht="15" x14ac:dyDescent="0.35">
      <c r="A1151" t="s">
        <v>2300</v>
      </c>
      <c r="B1151" s="1">
        <v>45525</v>
      </c>
      <c r="C1151">
        <f>YEAR(OrdersTable[[#This Row],[Order Date]])</f>
        <v>2024</v>
      </c>
      <c r="D1151" s="2">
        <f>DATE(YEAR(OrdersTable[[#This Row],[Order Date]]),MONTH(OrdersTable[[#This Row],[Order Date]]),1)</f>
        <v>45505</v>
      </c>
      <c r="E1151">
        <f>MONTH(OrdersTable[[#This Row],[Order Date]])</f>
        <v>8</v>
      </c>
      <c r="F1151" t="s">
        <v>1729</v>
      </c>
      <c r="G1151" t="str">
        <f>IF(OrdersTable[[#This Row],[Order Date]]=_xlfn.MINIFS(Order_Date, Customer_ID, OrdersTable[[#This Row],[Customer ID]]), "New", "Repeat")</f>
        <v>Repeat</v>
      </c>
      <c r="H1151" t="s">
        <v>37</v>
      </c>
      <c r="I1151" t="str">
        <f>INDEX(State!B:B,MATCH(OrdersTable[[#This Row],[State]],State!A:A,0))</f>
        <v>GJ</v>
      </c>
      <c r="J1151" t="str">
        <f>INDEX(State!C:C,MATCH(OrdersTable[[#This Row],[State Code]],State!B:B,0))</f>
        <v>West</v>
      </c>
      <c r="K1151" t="s">
        <v>247</v>
      </c>
      <c r="L1151" t="s">
        <v>39</v>
      </c>
      <c r="M1151" t="s">
        <v>92</v>
      </c>
      <c r="N1151" t="str">
        <f>INDEX(Products!B:B,MATCH(OrdersTable[[#This Row],[Product ID]],Products!A:A,0))</f>
        <v>Kolhapuri Sandals</v>
      </c>
      <c r="O1151" t="str">
        <f>INDEX(Products!C:C,MATCH(OrdersTable[[#This Row],[Product ID]],Products!A:A,0))</f>
        <v>Footwear</v>
      </c>
      <c r="P1151">
        <v>1</v>
      </c>
      <c r="Q1151" s="5">
        <v>999</v>
      </c>
      <c r="R1151" s="74">
        <v>0.05</v>
      </c>
      <c r="S1151" s="75">
        <f>OrdersTable[[#This Row],[Quantity]]*OrdersTable[[#This Row],[Unit Price]]</f>
        <v>999</v>
      </c>
      <c r="T1151" s="5">
        <f>OrdersTable[[#This Row],[Gross Sale]]*OrdersTable[[#This Row],[Discount_Clean2]]</f>
        <v>49.95</v>
      </c>
      <c r="U1151" s="5">
        <f>OrdersTable[[#This Row],[Gross Sale]]-OrdersTable[[#This Row],[Discount Amount]]</f>
        <v>949.05</v>
      </c>
      <c r="V1151" s="77">
        <f>INDEX(Products!E:E,MATCH(OrdersTable[[#This Row],[Product ID]],Products!A:A,0))</f>
        <v>400</v>
      </c>
      <c r="W1151" s="77">
        <f>OrdersTable[[#This Row],[Quantity]]*OrdersTable[[#This Row],[Unit Cost]]</f>
        <v>400</v>
      </c>
      <c r="X1151" s="77">
        <f>'Dropdown Lists'!$I$2*(1+OrdersTable[[#This Row],[Returned]])</f>
        <v>60</v>
      </c>
      <c r="Y1151" s="76">
        <f>OrdersTable[[#This Row],[Net Revenue]]-OrdersTable[[#This Row],[COGS]]-OrdersTable[[#This Row],[Shipping Cost]]</f>
        <v>489.04999999999995</v>
      </c>
      <c r="Z1151" s="78">
        <f>IFERROR(OrdersTable[[#This Row],[Profit]]/OrdersTable[[#This Row],[Net Revenue]],0)</f>
        <v>0.5153047784626732</v>
      </c>
      <c r="AA1151" t="s">
        <v>18</v>
      </c>
      <c r="AB1151" s="79">
        <v>45529</v>
      </c>
      <c r="AC1151">
        <f>OrdersTable[[#This Row],[Delivery Date]]-OrdersTable[[#This Row],[Order Date]]</f>
        <v>4</v>
      </c>
      <c r="AD1151" t="str">
        <f>IF(OrdersTable[[#This Row],[Delivery Days]]&lt;=2, "Express (≤2d)", IF(OrdersTable[[#This Row],[Delivery Days]]&lt;=4, "Standard (3-4d)", "Delayed (5d+)"))</f>
        <v>Standard (3-4d)</v>
      </c>
      <c r="AE1151">
        <v>5</v>
      </c>
      <c r="AF1151">
        <v>0</v>
      </c>
    </row>
    <row r="1152" spans="1:32" ht="15" x14ac:dyDescent="0.35">
      <c r="A1152" t="s">
        <v>1660</v>
      </c>
      <c r="B1152" s="1">
        <v>45525</v>
      </c>
      <c r="C1152">
        <f>YEAR(OrdersTable[[#This Row],[Order Date]])</f>
        <v>2024</v>
      </c>
      <c r="D1152" s="2">
        <f>DATE(YEAR(OrdersTable[[#This Row],[Order Date]]),MONTH(OrdersTable[[#This Row],[Order Date]]),1)</f>
        <v>45505</v>
      </c>
      <c r="E1152">
        <f>MONTH(OrdersTable[[#This Row],[Order Date]])</f>
        <v>8</v>
      </c>
      <c r="F1152" t="s">
        <v>433</v>
      </c>
      <c r="G1152" t="str">
        <f>IF(OrdersTable[[#This Row],[Order Date]]=_xlfn.MINIFS(Order_Date, Customer_ID, OrdersTable[[#This Row],[Customer ID]]), "New", "Repeat")</f>
        <v>Repeat</v>
      </c>
      <c r="H1152" t="s">
        <v>71</v>
      </c>
      <c r="I1152" t="str">
        <f>INDEX(State!B:B,MATCH(OrdersTable[[#This Row],[State]],State!A:A,0))</f>
        <v>MH</v>
      </c>
      <c r="J1152" t="str">
        <f>INDEX(State!C:C,MATCH(OrdersTable[[#This Row],[State Code]],State!B:B,0))</f>
        <v>West</v>
      </c>
      <c r="K1152" t="s">
        <v>81</v>
      </c>
      <c r="L1152" t="s">
        <v>65</v>
      </c>
      <c r="M1152" t="s">
        <v>24</v>
      </c>
      <c r="N1152" t="str">
        <f>INDEX(Products!B:B,MATCH(OrdersTable[[#This Row],[Product ID]],Products!A:A,0))</f>
        <v>Scented Candle Set</v>
      </c>
      <c r="O1152" t="str">
        <f>INDEX(Products!C:C,MATCH(OrdersTable[[#This Row],[Product ID]],Products!A:A,0))</f>
        <v>Home &amp; Kitchen</v>
      </c>
      <c r="P1152">
        <v>1</v>
      </c>
      <c r="Q1152" s="5">
        <v>699</v>
      </c>
      <c r="R1152" s="74">
        <v>0.15</v>
      </c>
      <c r="S1152" s="75">
        <f>OrdersTable[[#This Row],[Quantity]]*OrdersTable[[#This Row],[Unit Price]]</f>
        <v>699</v>
      </c>
      <c r="T1152" s="5">
        <f>OrdersTable[[#This Row],[Gross Sale]]*OrdersTable[[#This Row],[Discount_Clean2]]</f>
        <v>104.85</v>
      </c>
      <c r="U1152" s="5">
        <f>OrdersTable[[#This Row],[Gross Sale]]-OrdersTable[[#This Row],[Discount Amount]]</f>
        <v>594.15</v>
      </c>
      <c r="V1152" s="77">
        <f>INDEX(Products!E:E,MATCH(OrdersTable[[#This Row],[Product ID]],Products!A:A,0))</f>
        <v>245</v>
      </c>
      <c r="W1152" s="77">
        <f>OrdersTable[[#This Row],[Quantity]]*OrdersTable[[#This Row],[Unit Cost]]</f>
        <v>245</v>
      </c>
      <c r="X1152" s="77">
        <f>'Dropdown Lists'!$I$2*(1+OrdersTable[[#This Row],[Returned]])</f>
        <v>60</v>
      </c>
      <c r="Y1152" s="76">
        <f>OrdersTable[[#This Row],[Net Revenue]]-OrdersTable[[#This Row],[COGS]]-OrdersTable[[#This Row],[Shipping Cost]]</f>
        <v>289.14999999999998</v>
      </c>
      <c r="Z1152" s="78">
        <f>IFERROR(OrdersTable[[#This Row],[Profit]]/OrdersTable[[#This Row],[Net Revenue]],0)</f>
        <v>0.48666161743667424</v>
      </c>
      <c r="AA1152" t="s">
        <v>18</v>
      </c>
      <c r="AB1152" s="79">
        <v>45526</v>
      </c>
      <c r="AC1152">
        <f>OrdersTable[[#This Row],[Delivery Date]]-OrdersTable[[#This Row],[Order Date]]</f>
        <v>1</v>
      </c>
      <c r="AD1152" t="str">
        <f>IF(OrdersTable[[#This Row],[Delivery Days]]&lt;=2, "Express (≤2d)", IF(OrdersTable[[#This Row],[Delivery Days]]&lt;=4, "Standard (3-4d)", "Delayed (5d+)"))</f>
        <v>Express (≤2d)</v>
      </c>
      <c r="AF1152">
        <v>0</v>
      </c>
    </row>
    <row r="1153" spans="1:32" ht="15" x14ac:dyDescent="0.35">
      <c r="A1153" t="s">
        <v>1877</v>
      </c>
      <c r="B1153" s="1">
        <v>45525</v>
      </c>
      <c r="C1153">
        <f>YEAR(OrdersTable[[#This Row],[Order Date]])</f>
        <v>2024</v>
      </c>
      <c r="D1153" s="2">
        <f>DATE(YEAR(OrdersTable[[#This Row],[Order Date]]),MONTH(OrdersTable[[#This Row],[Order Date]]),1)</f>
        <v>45505</v>
      </c>
      <c r="E1153">
        <f>MONTH(OrdersTable[[#This Row],[Order Date]])</f>
        <v>8</v>
      </c>
      <c r="F1153" t="s">
        <v>1878</v>
      </c>
      <c r="G1153" t="str">
        <f>IF(OrdersTable[[#This Row],[Order Date]]=_xlfn.MINIFS(Order_Date, Customer_ID, OrdersTable[[#This Row],[Customer ID]]), "New", "Repeat")</f>
        <v>Repeat</v>
      </c>
      <c r="H1153" t="s">
        <v>71</v>
      </c>
      <c r="I1153" t="str">
        <f>INDEX(State!B:B,MATCH(OrdersTable[[#This Row],[State]],State!A:A,0))</f>
        <v>MH</v>
      </c>
      <c r="J1153" t="str">
        <f>INDEX(State!C:C,MATCH(OrdersTable[[#This Row],[State Code]],State!B:B,0))</f>
        <v>West</v>
      </c>
      <c r="K1153" t="s">
        <v>102</v>
      </c>
      <c r="L1153" t="s">
        <v>39</v>
      </c>
      <c r="M1153" t="s">
        <v>92</v>
      </c>
      <c r="N1153" t="str">
        <f>INDEX(Products!B:B,MATCH(OrdersTable[[#This Row],[Product ID]],Products!A:A,0))</f>
        <v>Kolhapuri Sandals</v>
      </c>
      <c r="O1153" t="str">
        <f>INDEX(Products!C:C,MATCH(OrdersTable[[#This Row],[Product ID]],Products!A:A,0))</f>
        <v>Footwear</v>
      </c>
      <c r="P1153">
        <v>1</v>
      </c>
      <c r="Q1153" s="5">
        <v>999</v>
      </c>
      <c r="R1153" s="74">
        <v>0.1</v>
      </c>
      <c r="S1153" s="75">
        <f>OrdersTable[[#This Row],[Quantity]]*OrdersTable[[#This Row],[Unit Price]]</f>
        <v>999</v>
      </c>
      <c r="T1153" s="5">
        <f>OrdersTable[[#This Row],[Gross Sale]]*OrdersTable[[#This Row],[Discount_Clean2]]</f>
        <v>99.9</v>
      </c>
      <c r="U1153" s="5">
        <f>OrdersTable[[#This Row],[Gross Sale]]-OrdersTable[[#This Row],[Discount Amount]]</f>
        <v>899.1</v>
      </c>
      <c r="V1153" s="77">
        <f>INDEX(Products!E:E,MATCH(OrdersTable[[#This Row],[Product ID]],Products!A:A,0))</f>
        <v>400</v>
      </c>
      <c r="W1153" s="77">
        <f>OrdersTable[[#This Row],[Quantity]]*OrdersTable[[#This Row],[Unit Cost]]</f>
        <v>400</v>
      </c>
      <c r="X1153" s="77">
        <f>'Dropdown Lists'!$I$2*(1+OrdersTable[[#This Row],[Returned]])</f>
        <v>60</v>
      </c>
      <c r="Y1153" s="76">
        <f>OrdersTable[[#This Row],[Net Revenue]]-OrdersTable[[#This Row],[COGS]]-OrdersTable[[#This Row],[Shipping Cost]]</f>
        <v>439.1</v>
      </c>
      <c r="Z1153" s="78">
        <f>IFERROR(OrdersTable[[#This Row],[Profit]]/OrdersTable[[#This Row],[Net Revenue]],0)</f>
        <v>0.48837726615504395</v>
      </c>
      <c r="AA1153" t="s">
        <v>18</v>
      </c>
      <c r="AB1153" s="79">
        <v>45530</v>
      </c>
      <c r="AC1153">
        <f>OrdersTable[[#This Row],[Delivery Date]]-OrdersTable[[#This Row],[Order Date]]</f>
        <v>5</v>
      </c>
      <c r="AD1153" t="str">
        <f>IF(OrdersTable[[#This Row],[Delivery Days]]&lt;=2, "Express (≤2d)", IF(OrdersTable[[#This Row],[Delivery Days]]&lt;=4, "Standard (3-4d)", "Delayed (5d+)"))</f>
        <v>Delayed (5d+)</v>
      </c>
      <c r="AE1153">
        <v>3</v>
      </c>
      <c r="AF1153">
        <v>0</v>
      </c>
    </row>
    <row r="1154" spans="1:32" ht="15" x14ac:dyDescent="0.35">
      <c r="A1154" t="s">
        <v>5881</v>
      </c>
      <c r="B1154" s="1">
        <v>45525</v>
      </c>
      <c r="C1154">
        <f>YEAR(OrdersTable[[#This Row],[Order Date]])</f>
        <v>2024</v>
      </c>
      <c r="D1154" s="2">
        <f>DATE(YEAR(OrdersTable[[#This Row],[Order Date]]),MONTH(OrdersTable[[#This Row],[Order Date]]),1)</f>
        <v>45505</v>
      </c>
      <c r="E1154">
        <f>MONTH(OrdersTable[[#This Row],[Order Date]])</f>
        <v>8</v>
      </c>
      <c r="F1154" t="s">
        <v>1200</v>
      </c>
      <c r="G1154" t="str">
        <f>IF(OrdersTable[[#This Row],[Order Date]]=_xlfn.MINIFS(Order_Date, Customer_ID, OrdersTable[[#This Row],[Customer ID]]), "New", "Repeat")</f>
        <v>New</v>
      </c>
      <c r="H1154" t="s">
        <v>275</v>
      </c>
      <c r="I1154" t="str">
        <f>INDEX(State!B:B,MATCH(OrdersTable[[#This Row],[State]],State!A:A,0))</f>
        <v>AP</v>
      </c>
      <c r="J1154" t="str">
        <f>INDEX(State!C:C,MATCH(OrdersTable[[#This Row],[State Code]],State!B:B,0))</f>
        <v>South</v>
      </c>
      <c r="K1154" t="s">
        <v>276</v>
      </c>
      <c r="L1154" t="s">
        <v>16</v>
      </c>
      <c r="M1154" t="s">
        <v>92</v>
      </c>
      <c r="N1154" t="str">
        <f>INDEX(Products!B:B,MATCH(OrdersTable[[#This Row],[Product ID]],Products!A:A,0))</f>
        <v>Kolhapuri Sandals</v>
      </c>
      <c r="O1154" t="str">
        <f>INDEX(Products!C:C,MATCH(OrdersTable[[#This Row],[Product ID]],Products!A:A,0))</f>
        <v>Footwear</v>
      </c>
      <c r="P1154">
        <v>2</v>
      </c>
      <c r="Q1154" s="5">
        <v>999</v>
      </c>
      <c r="R1154" s="74">
        <v>0</v>
      </c>
      <c r="S1154" s="75">
        <f>OrdersTable[[#This Row],[Quantity]]*OrdersTable[[#This Row],[Unit Price]]</f>
        <v>1998</v>
      </c>
      <c r="T1154" s="5">
        <f>OrdersTable[[#This Row],[Gross Sale]]*OrdersTable[[#This Row],[Discount_Clean2]]</f>
        <v>0</v>
      </c>
      <c r="U1154" s="5">
        <f>OrdersTable[[#This Row],[Gross Sale]]-OrdersTable[[#This Row],[Discount Amount]]</f>
        <v>1998</v>
      </c>
      <c r="V1154" s="77">
        <f>INDEX(Products!E:E,MATCH(OrdersTable[[#This Row],[Product ID]],Products!A:A,0))</f>
        <v>400</v>
      </c>
      <c r="W1154" s="77">
        <f>OrdersTable[[#This Row],[Quantity]]*OrdersTable[[#This Row],[Unit Cost]]</f>
        <v>800</v>
      </c>
      <c r="X1154" s="77">
        <f>'Dropdown Lists'!$I$2*(1+OrdersTable[[#This Row],[Returned]])</f>
        <v>60</v>
      </c>
      <c r="Y1154" s="76">
        <f>OrdersTable[[#This Row],[Net Revenue]]-OrdersTable[[#This Row],[COGS]]-OrdersTable[[#This Row],[Shipping Cost]]</f>
        <v>1138</v>
      </c>
      <c r="Z1154" s="78">
        <f>IFERROR(OrdersTable[[#This Row],[Profit]]/OrdersTable[[#This Row],[Net Revenue]],0)</f>
        <v>0.56956956956956961</v>
      </c>
      <c r="AA1154" t="s">
        <v>18</v>
      </c>
      <c r="AB1154" s="79">
        <v>45528</v>
      </c>
      <c r="AC1154">
        <f>OrdersTable[[#This Row],[Delivery Date]]-OrdersTable[[#This Row],[Order Date]]</f>
        <v>3</v>
      </c>
      <c r="AD1154" t="str">
        <f>IF(OrdersTable[[#This Row],[Delivery Days]]&lt;=2, "Express (≤2d)", IF(OrdersTable[[#This Row],[Delivery Days]]&lt;=4, "Standard (3-4d)", "Delayed (5d+)"))</f>
        <v>Standard (3-4d)</v>
      </c>
      <c r="AF1154">
        <v>0</v>
      </c>
    </row>
    <row r="1155" spans="1:32" ht="15" x14ac:dyDescent="0.35">
      <c r="A1155" t="s">
        <v>5772</v>
      </c>
      <c r="B1155" s="1">
        <v>45526</v>
      </c>
      <c r="C1155">
        <f>YEAR(OrdersTable[[#This Row],[Order Date]])</f>
        <v>2024</v>
      </c>
      <c r="D1155" s="2">
        <f>DATE(YEAR(OrdersTable[[#This Row],[Order Date]]),MONTH(OrdersTable[[#This Row],[Order Date]]),1)</f>
        <v>45505</v>
      </c>
      <c r="E1155">
        <f>MONTH(OrdersTable[[#This Row],[Order Date]])</f>
        <v>8</v>
      </c>
      <c r="F1155" t="s">
        <v>1196</v>
      </c>
      <c r="G1155" t="str">
        <f>IF(OrdersTable[[#This Row],[Order Date]]=_xlfn.MINIFS(Order_Date, Customer_ID, OrdersTable[[#This Row],[Customer ID]]), "New", "Repeat")</f>
        <v>Repeat</v>
      </c>
      <c r="H1155" t="s">
        <v>43</v>
      </c>
      <c r="I1155" t="str">
        <f>INDEX(State!B:B,MATCH(OrdersTable[[#This Row],[State]],State!A:A,0))</f>
        <v>MP</v>
      </c>
      <c r="J1155" t="str">
        <f>INDEX(State!C:C,MATCH(OrdersTable[[#This Row],[State Code]],State!B:B,0))</f>
        <v>West</v>
      </c>
      <c r="K1155" t="s">
        <v>44</v>
      </c>
      <c r="L1155" t="s">
        <v>16</v>
      </c>
      <c r="M1155" t="s">
        <v>255</v>
      </c>
      <c r="N1155" t="str">
        <f>INDEX(Products!B:B,MATCH(OrdersTable[[#This Row],[Product ID]],Products!A:A,0))</f>
        <v>Cotton Oversized T-Shirt</v>
      </c>
      <c r="O1155" t="str">
        <f>INDEX(Products!C:C,MATCH(OrdersTable[[#This Row],[Product ID]],Products!A:A,0))</f>
        <v>Apparel</v>
      </c>
      <c r="P1155">
        <v>2</v>
      </c>
      <c r="Q1155" s="5">
        <v>799</v>
      </c>
      <c r="R1155" s="74">
        <v>0</v>
      </c>
      <c r="S1155" s="75">
        <f>OrdersTable[[#This Row],[Quantity]]*OrdersTable[[#This Row],[Unit Price]]</f>
        <v>1598</v>
      </c>
      <c r="T1155" s="5">
        <f>OrdersTable[[#This Row],[Gross Sale]]*OrdersTable[[#This Row],[Discount_Clean2]]</f>
        <v>0</v>
      </c>
      <c r="U1155" s="5">
        <f>OrdersTable[[#This Row],[Gross Sale]]-OrdersTable[[#This Row],[Discount Amount]]</f>
        <v>1598</v>
      </c>
      <c r="V1155" s="77">
        <f>INDEX(Products!E:E,MATCH(OrdersTable[[#This Row],[Product ID]],Products!A:A,0))</f>
        <v>320</v>
      </c>
      <c r="W1155" s="77">
        <f>OrdersTable[[#This Row],[Quantity]]*OrdersTable[[#This Row],[Unit Cost]]</f>
        <v>640</v>
      </c>
      <c r="X1155" s="77">
        <f>'Dropdown Lists'!$I$2*(1+OrdersTable[[#This Row],[Returned]])</f>
        <v>60</v>
      </c>
      <c r="Y1155" s="76">
        <f>OrdersTable[[#This Row],[Net Revenue]]-OrdersTable[[#This Row],[COGS]]-OrdersTable[[#This Row],[Shipping Cost]]</f>
        <v>898</v>
      </c>
      <c r="Z1155" s="78">
        <f>IFERROR(OrdersTable[[#This Row],[Profit]]/OrdersTable[[#This Row],[Net Revenue]],0)</f>
        <v>0.56195244055068838</v>
      </c>
      <c r="AA1155" t="s">
        <v>18</v>
      </c>
      <c r="AB1155" s="79">
        <v>45530</v>
      </c>
      <c r="AC1155">
        <f>OrdersTable[[#This Row],[Delivery Date]]-OrdersTable[[#This Row],[Order Date]]</f>
        <v>4</v>
      </c>
      <c r="AD1155" t="str">
        <f>IF(OrdersTable[[#This Row],[Delivery Days]]&lt;=2, "Express (≤2d)", IF(OrdersTable[[#This Row],[Delivery Days]]&lt;=4, "Standard (3-4d)", "Delayed (5d+)"))</f>
        <v>Standard (3-4d)</v>
      </c>
      <c r="AE1155">
        <v>5</v>
      </c>
      <c r="AF1155">
        <v>0</v>
      </c>
    </row>
    <row r="1156" spans="1:32" ht="15" x14ac:dyDescent="0.35">
      <c r="A1156" t="s">
        <v>3415</v>
      </c>
      <c r="B1156" s="1">
        <v>45526</v>
      </c>
      <c r="C1156">
        <f>YEAR(OrdersTable[[#This Row],[Order Date]])</f>
        <v>2024</v>
      </c>
      <c r="D1156" s="2">
        <f>DATE(YEAR(OrdersTable[[#This Row],[Order Date]]),MONTH(OrdersTable[[#This Row],[Order Date]]),1)</f>
        <v>45505</v>
      </c>
      <c r="E1156">
        <f>MONTH(OrdersTable[[#This Row],[Order Date]])</f>
        <v>8</v>
      </c>
      <c r="F1156" t="s">
        <v>3416</v>
      </c>
      <c r="G1156" t="str">
        <f>IF(OrdersTable[[#This Row],[Order Date]]=_xlfn.MINIFS(Order_Date, Customer_ID, OrdersTable[[#This Row],[Customer ID]]), "New", "Repeat")</f>
        <v>New</v>
      </c>
      <c r="H1156" t="s">
        <v>71</v>
      </c>
      <c r="I1156" t="str">
        <f>INDEX(State!B:B,MATCH(OrdersTable[[#This Row],[State]],State!A:A,0))</f>
        <v>MH</v>
      </c>
      <c r="J1156" t="str">
        <f>INDEX(State!C:C,MATCH(OrdersTable[[#This Row],[State Code]],State!B:B,0))</f>
        <v>West</v>
      </c>
      <c r="K1156" t="s">
        <v>72</v>
      </c>
      <c r="L1156" t="s">
        <v>65</v>
      </c>
      <c r="M1156" t="s">
        <v>61</v>
      </c>
      <c r="N1156" t="str">
        <f>INDEX(Products!B:B,MATCH(OrdersTable[[#This Row],[Product ID]],Products!A:A,0))</f>
        <v>Multivitamin Gummies</v>
      </c>
      <c r="O1156" t="str">
        <f>INDEX(Products!C:C,MATCH(OrdersTable[[#This Row],[Product ID]],Products!A:A,0))</f>
        <v>Wellness</v>
      </c>
      <c r="P1156">
        <v>1</v>
      </c>
      <c r="Q1156" s="5">
        <v>699</v>
      </c>
      <c r="R1156" s="74">
        <v>0.2</v>
      </c>
      <c r="S1156" s="75">
        <f>OrdersTable[[#This Row],[Quantity]]*OrdersTable[[#This Row],[Unit Price]]</f>
        <v>699</v>
      </c>
      <c r="T1156" s="5">
        <f>OrdersTable[[#This Row],[Gross Sale]]*OrdersTable[[#This Row],[Discount_Clean2]]</f>
        <v>139.80000000000001</v>
      </c>
      <c r="U1156" s="5">
        <f>OrdersTable[[#This Row],[Gross Sale]]-OrdersTable[[#This Row],[Discount Amount]]</f>
        <v>559.20000000000005</v>
      </c>
      <c r="V1156" s="77">
        <f>INDEX(Products!E:E,MATCH(OrdersTable[[#This Row],[Product ID]],Products!A:A,0))</f>
        <v>238</v>
      </c>
      <c r="W1156" s="77">
        <f>OrdersTable[[#This Row],[Quantity]]*OrdersTable[[#This Row],[Unit Cost]]</f>
        <v>238</v>
      </c>
      <c r="X1156" s="77">
        <f>'Dropdown Lists'!$I$2*(1+OrdersTable[[#This Row],[Returned]])</f>
        <v>60</v>
      </c>
      <c r="Y1156" s="76">
        <f>OrdersTable[[#This Row],[Net Revenue]]-OrdersTable[[#This Row],[COGS]]-OrdersTable[[#This Row],[Shipping Cost]]</f>
        <v>261.20000000000005</v>
      </c>
      <c r="Z1156" s="78">
        <f>IFERROR(OrdersTable[[#This Row],[Profit]]/OrdersTable[[#This Row],[Net Revenue]],0)</f>
        <v>0.46709585121602293</v>
      </c>
      <c r="AA1156" t="s">
        <v>2522</v>
      </c>
      <c r="AB1156" s="79">
        <v>45529</v>
      </c>
      <c r="AC1156">
        <f>OrdersTable[[#This Row],[Delivery Date]]-OrdersTable[[#This Row],[Order Date]]</f>
        <v>3</v>
      </c>
      <c r="AD1156" t="str">
        <f>IF(OrdersTable[[#This Row],[Delivery Days]]&lt;=2, "Express (≤2d)", IF(OrdersTable[[#This Row],[Delivery Days]]&lt;=4, "Standard (3-4d)", "Delayed (5d+)"))</f>
        <v>Standard (3-4d)</v>
      </c>
      <c r="AE1156">
        <v>4</v>
      </c>
      <c r="AF1156">
        <v>0</v>
      </c>
    </row>
    <row r="1157" spans="1:32" ht="15" x14ac:dyDescent="0.35">
      <c r="A1157" t="s">
        <v>1047</v>
      </c>
      <c r="B1157" s="1">
        <v>45527</v>
      </c>
      <c r="C1157">
        <f>YEAR(OrdersTable[[#This Row],[Order Date]])</f>
        <v>2024</v>
      </c>
      <c r="D1157" s="2">
        <f>DATE(YEAR(OrdersTable[[#This Row],[Order Date]]),MONTH(OrdersTable[[#This Row],[Order Date]]),1)</f>
        <v>45505</v>
      </c>
      <c r="E1157">
        <f>MONTH(OrdersTable[[#This Row],[Order Date]])</f>
        <v>8</v>
      </c>
      <c r="F1157" t="s">
        <v>976</v>
      </c>
      <c r="G1157" t="str">
        <f>IF(OrdersTable[[#This Row],[Order Date]]=_xlfn.MINIFS(Order_Date, Customer_ID, OrdersTable[[#This Row],[Customer ID]]), "New", "Repeat")</f>
        <v>New</v>
      </c>
      <c r="H1157" t="s">
        <v>54</v>
      </c>
      <c r="I1157" t="str">
        <f>INDEX(State!B:B,MATCH(OrdersTable[[#This Row],[State]],State!A:A,0))</f>
        <v>RJ</v>
      </c>
      <c r="J1157" t="str">
        <f>INDEX(State!C:C,MATCH(OrdersTable[[#This Row],[State Code]],State!B:B,0))</f>
        <v>North</v>
      </c>
      <c r="K1157" t="s">
        <v>227</v>
      </c>
      <c r="L1157" t="s">
        <v>50</v>
      </c>
      <c r="M1157" t="s">
        <v>73</v>
      </c>
      <c r="N1157" t="str">
        <f>INDEX(Products!B:B,MATCH(OrdersTable[[#This Row],[Product ID]],Products!A:A,0))</f>
        <v>Hydrating Face Wash</v>
      </c>
      <c r="O1157" t="str">
        <f>INDEX(Products!C:C,MATCH(OrdersTable[[#This Row],[Product ID]],Products!A:A,0))</f>
        <v>Skincare</v>
      </c>
      <c r="P1157">
        <v>1</v>
      </c>
      <c r="Q1157" s="5">
        <v>299</v>
      </c>
      <c r="R1157" s="74">
        <v>0.05</v>
      </c>
      <c r="S1157" s="75">
        <f>OrdersTable[[#This Row],[Quantity]]*OrdersTable[[#This Row],[Unit Price]]</f>
        <v>299</v>
      </c>
      <c r="T1157" s="5">
        <f>OrdersTable[[#This Row],[Gross Sale]]*OrdersTable[[#This Row],[Discount_Clean2]]</f>
        <v>14.950000000000001</v>
      </c>
      <c r="U1157" s="5">
        <f>OrdersTable[[#This Row],[Gross Sale]]-OrdersTable[[#This Row],[Discount Amount]]</f>
        <v>284.05</v>
      </c>
      <c r="V1157" s="77">
        <f>INDEX(Products!E:E,MATCH(OrdersTable[[#This Row],[Product ID]],Products!A:A,0))</f>
        <v>90</v>
      </c>
      <c r="W1157" s="77">
        <f>OrdersTable[[#This Row],[Quantity]]*OrdersTable[[#This Row],[Unit Cost]]</f>
        <v>90</v>
      </c>
      <c r="X1157" s="77">
        <f>'Dropdown Lists'!$I$2*(1+OrdersTable[[#This Row],[Returned]])</f>
        <v>120</v>
      </c>
      <c r="Y1157" s="76">
        <f>OrdersTable[[#This Row],[Net Revenue]]-OrdersTable[[#This Row],[COGS]]-OrdersTable[[#This Row],[Shipping Cost]]</f>
        <v>74.050000000000011</v>
      </c>
      <c r="Z1157" s="78">
        <f>IFERROR(OrdersTable[[#This Row],[Profit]]/OrdersTable[[#This Row],[Net Revenue]],0)</f>
        <v>0.26069353986974125</v>
      </c>
      <c r="AA1157" t="s">
        <v>18</v>
      </c>
      <c r="AB1157" s="79">
        <v>45530</v>
      </c>
      <c r="AC1157">
        <f>OrdersTable[[#This Row],[Delivery Date]]-OrdersTable[[#This Row],[Order Date]]</f>
        <v>3</v>
      </c>
      <c r="AD1157" t="str">
        <f>IF(OrdersTable[[#This Row],[Delivery Days]]&lt;=2, "Express (≤2d)", IF(OrdersTable[[#This Row],[Delivery Days]]&lt;=4, "Standard (3-4d)", "Delayed (5d+)"))</f>
        <v>Standard (3-4d)</v>
      </c>
      <c r="AE1157">
        <v>4</v>
      </c>
      <c r="AF1157">
        <v>1</v>
      </c>
    </row>
    <row r="1158" spans="1:32" ht="15" x14ac:dyDescent="0.35">
      <c r="A1158" t="s">
        <v>3196</v>
      </c>
      <c r="B1158" s="1">
        <v>45527</v>
      </c>
      <c r="C1158">
        <f>YEAR(OrdersTable[[#This Row],[Order Date]])</f>
        <v>2024</v>
      </c>
      <c r="D1158" s="2">
        <f>DATE(YEAR(OrdersTable[[#This Row],[Order Date]]),MONTH(OrdersTable[[#This Row],[Order Date]]),1)</f>
        <v>45505</v>
      </c>
      <c r="E1158">
        <f>MONTH(OrdersTable[[#This Row],[Order Date]])</f>
        <v>8</v>
      </c>
      <c r="F1158" t="s">
        <v>282</v>
      </c>
      <c r="G1158" t="str">
        <f>IF(OrdersTable[[#This Row],[Order Date]]=_xlfn.MINIFS(Order_Date, Customer_ID, OrdersTable[[#This Row],[Customer ID]]), "New", "Repeat")</f>
        <v>New</v>
      </c>
      <c r="H1158" t="s">
        <v>128</v>
      </c>
      <c r="I1158" t="str">
        <f>INDEX(State!B:B,MATCH(OrdersTable[[#This Row],[State]],State!A:A,0))</f>
        <v>DL</v>
      </c>
      <c r="J1158" t="str">
        <f>INDEX(State!C:C,MATCH(OrdersTable[[#This Row],[State Code]],State!B:B,0))</f>
        <v>North</v>
      </c>
      <c r="K1158" t="s">
        <v>129</v>
      </c>
      <c r="L1158" t="s">
        <v>16</v>
      </c>
      <c r="M1158" t="s">
        <v>92</v>
      </c>
      <c r="N1158" t="str">
        <f>INDEX(Products!B:B,MATCH(OrdersTable[[#This Row],[Product ID]],Products!A:A,0))</f>
        <v>Kolhapuri Sandals</v>
      </c>
      <c r="O1158" t="str">
        <f>INDEX(Products!C:C,MATCH(OrdersTable[[#This Row],[Product ID]],Products!A:A,0))</f>
        <v>Footwear</v>
      </c>
      <c r="P1158">
        <v>1</v>
      </c>
      <c r="Q1158" s="5">
        <v>999</v>
      </c>
      <c r="R1158" s="74">
        <v>0.15</v>
      </c>
      <c r="S1158" s="75">
        <f>OrdersTable[[#This Row],[Quantity]]*OrdersTable[[#This Row],[Unit Price]]</f>
        <v>999</v>
      </c>
      <c r="T1158" s="5">
        <f>OrdersTable[[#This Row],[Gross Sale]]*OrdersTable[[#This Row],[Discount_Clean2]]</f>
        <v>149.85</v>
      </c>
      <c r="U1158" s="5">
        <f>OrdersTable[[#This Row],[Gross Sale]]-OrdersTable[[#This Row],[Discount Amount]]</f>
        <v>849.15</v>
      </c>
      <c r="V1158" s="77">
        <f>INDEX(Products!E:E,MATCH(OrdersTable[[#This Row],[Product ID]],Products!A:A,0))</f>
        <v>400</v>
      </c>
      <c r="W1158" s="77">
        <f>OrdersTable[[#This Row],[Quantity]]*OrdersTable[[#This Row],[Unit Cost]]</f>
        <v>400</v>
      </c>
      <c r="X1158" s="77">
        <f>'Dropdown Lists'!$I$2*(1+OrdersTable[[#This Row],[Returned]])</f>
        <v>60</v>
      </c>
      <c r="Y1158" s="76">
        <f>OrdersTable[[#This Row],[Net Revenue]]-OrdersTable[[#This Row],[COGS]]-OrdersTable[[#This Row],[Shipping Cost]]</f>
        <v>389.15</v>
      </c>
      <c r="Z1158" s="78">
        <f>IFERROR(OrdersTable[[#This Row],[Profit]]/OrdersTable[[#This Row],[Net Revenue]],0)</f>
        <v>0.45828181122298767</v>
      </c>
      <c r="AA1158" t="s">
        <v>2522</v>
      </c>
      <c r="AB1158" s="79">
        <v>45529</v>
      </c>
      <c r="AC1158">
        <f>OrdersTable[[#This Row],[Delivery Date]]-OrdersTable[[#This Row],[Order Date]]</f>
        <v>2</v>
      </c>
      <c r="AD1158" t="str">
        <f>IF(OrdersTable[[#This Row],[Delivery Days]]&lt;=2, "Express (≤2d)", IF(OrdersTable[[#This Row],[Delivery Days]]&lt;=4, "Standard (3-4d)", "Delayed (5d+)"))</f>
        <v>Express (≤2d)</v>
      </c>
      <c r="AE1158">
        <v>4</v>
      </c>
      <c r="AF1158">
        <v>0</v>
      </c>
    </row>
    <row r="1159" spans="1:32" ht="15" x14ac:dyDescent="0.35">
      <c r="A1159" t="s">
        <v>924</v>
      </c>
      <c r="B1159" s="1">
        <v>45527</v>
      </c>
      <c r="C1159">
        <f>YEAR(OrdersTable[[#This Row],[Order Date]])</f>
        <v>2024</v>
      </c>
      <c r="D1159" s="2">
        <f>DATE(YEAR(OrdersTable[[#This Row],[Order Date]]),MONTH(OrdersTable[[#This Row],[Order Date]]),1)</f>
        <v>45505</v>
      </c>
      <c r="E1159">
        <f>MONTH(OrdersTable[[#This Row],[Order Date]])</f>
        <v>8</v>
      </c>
      <c r="F1159" t="s">
        <v>925</v>
      </c>
      <c r="G1159" t="str">
        <f>IF(OrdersTable[[#This Row],[Order Date]]=_xlfn.MINIFS(Order_Date, Customer_ID, OrdersTable[[#This Row],[Customer ID]]), "New", "Repeat")</f>
        <v>New</v>
      </c>
      <c r="H1159" t="s">
        <v>37</v>
      </c>
      <c r="I1159" t="str">
        <f>INDEX(State!B:B,MATCH(OrdersTable[[#This Row],[State]],State!A:A,0))</f>
        <v>GJ</v>
      </c>
      <c r="J1159" t="str">
        <f>INDEX(State!C:C,MATCH(OrdersTable[[#This Row],[State Code]],State!B:B,0))</f>
        <v>West</v>
      </c>
      <c r="K1159" t="s">
        <v>247</v>
      </c>
      <c r="L1159" t="s">
        <v>16</v>
      </c>
      <c r="M1159" t="s">
        <v>34</v>
      </c>
      <c r="N1159" t="str">
        <f>INDEX(Products!B:B,MATCH(OrdersTable[[#This Row],[Product ID]],Products!A:A,0))</f>
        <v>Flip Flops</v>
      </c>
      <c r="O1159" t="str">
        <f>INDEX(Products!C:C,MATCH(OrdersTable[[#This Row],[Product ID]],Products!A:A,0))</f>
        <v>Footwear</v>
      </c>
      <c r="P1159">
        <v>1</v>
      </c>
      <c r="Q1159" s="5">
        <v>399</v>
      </c>
      <c r="R1159" s="74">
        <v>0.15</v>
      </c>
      <c r="S1159" s="75">
        <f>OrdersTable[[#This Row],[Quantity]]*OrdersTable[[#This Row],[Unit Price]]</f>
        <v>399</v>
      </c>
      <c r="T1159" s="5">
        <f>OrdersTable[[#This Row],[Gross Sale]]*OrdersTable[[#This Row],[Discount_Clean2]]</f>
        <v>59.849999999999994</v>
      </c>
      <c r="U1159" s="5">
        <f>OrdersTable[[#This Row],[Gross Sale]]-OrdersTable[[#This Row],[Discount Amount]]</f>
        <v>339.15</v>
      </c>
      <c r="V1159" s="77">
        <f>INDEX(Products!E:E,MATCH(OrdersTable[[#This Row],[Product ID]],Products!A:A,0))</f>
        <v>152</v>
      </c>
      <c r="W1159" s="77">
        <f>OrdersTable[[#This Row],[Quantity]]*OrdersTable[[#This Row],[Unit Cost]]</f>
        <v>152</v>
      </c>
      <c r="X1159" s="77">
        <f>'Dropdown Lists'!$I$2*(1+OrdersTable[[#This Row],[Returned]])</f>
        <v>60</v>
      </c>
      <c r="Y1159" s="76">
        <f>OrdersTable[[#This Row],[Net Revenue]]-OrdersTable[[#This Row],[COGS]]-OrdersTable[[#This Row],[Shipping Cost]]</f>
        <v>127.14999999999998</v>
      </c>
      <c r="Z1159" s="78">
        <f>IFERROR(OrdersTable[[#This Row],[Profit]]/OrdersTable[[#This Row],[Net Revenue]],0)</f>
        <v>0.37490785787999409</v>
      </c>
      <c r="AA1159" t="s">
        <v>18</v>
      </c>
      <c r="AB1159" s="79">
        <v>45530</v>
      </c>
      <c r="AC1159">
        <f>OrdersTable[[#This Row],[Delivery Date]]-OrdersTable[[#This Row],[Order Date]]</f>
        <v>3</v>
      </c>
      <c r="AD1159" t="str">
        <f>IF(OrdersTable[[#This Row],[Delivery Days]]&lt;=2, "Express (≤2d)", IF(OrdersTable[[#This Row],[Delivery Days]]&lt;=4, "Standard (3-4d)", "Delayed (5d+)"))</f>
        <v>Standard (3-4d)</v>
      </c>
      <c r="AE1159">
        <v>4</v>
      </c>
      <c r="AF1159">
        <v>0</v>
      </c>
    </row>
    <row r="1160" spans="1:32" ht="15" x14ac:dyDescent="0.35">
      <c r="A1160" t="s">
        <v>4102</v>
      </c>
      <c r="B1160" s="1">
        <v>45527</v>
      </c>
      <c r="C1160">
        <f>YEAR(OrdersTable[[#This Row],[Order Date]])</f>
        <v>2024</v>
      </c>
      <c r="D1160" s="2">
        <f>DATE(YEAR(OrdersTable[[#This Row],[Order Date]]),MONTH(OrdersTable[[#This Row],[Order Date]]),1)</f>
        <v>45505</v>
      </c>
      <c r="E1160">
        <f>MONTH(OrdersTable[[#This Row],[Order Date]])</f>
        <v>8</v>
      </c>
      <c r="F1160" t="s">
        <v>36</v>
      </c>
      <c r="G1160" t="str">
        <f>IF(OrdersTable[[#This Row],[Order Date]]=_xlfn.MINIFS(Order_Date, Customer_ID, OrdersTable[[#This Row],[Customer ID]]), "New", "Repeat")</f>
        <v>Repeat</v>
      </c>
      <c r="H1160" t="s">
        <v>95</v>
      </c>
      <c r="I1160" t="str">
        <f>INDEX(State!B:B,MATCH(OrdersTable[[#This Row],[State]],State!A:A,0))</f>
        <v>TG</v>
      </c>
      <c r="J1160" t="str">
        <f>INDEX(State!C:C,MATCH(OrdersTable[[#This Row],[State Code]],State!B:B,0))</f>
        <v>South</v>
      </c>
      <c r="K1160" t="s">
        <v>96</v>
      </c>
      <c r="L1160" t="s">
        <v>23</v>
      </c>
      <c r="M1160" t="s">
        <v>40</v>
      </c>
      <c r="N1160" t="str">
        <f>INDEX(Products!B:B,MATCH(OrdersTable[[#This Row],[Product ID]],Products!A:A,0))</f>
        <v>Ashwagandha Capsules</v>
      </c>
      <c r="O1160" t="str">
        <f>INDEX(Products!C:C,MATCH(OrdersTable[[#This Row],[Product ID]],Products!A:A,0))</f>
        <v>Wellness</v>
      </c>
      <c r="P1160">
        <v>1</v>
      </c>
      <c r="Q1160" s="5">
        <v>499</v>
      </c>
      <c r="R1160" s="74">
        <v>0</v>
      </c>
      <c r="S1160" s="75">
        <f>OrdersTable[[#This Row],[Quantity]]*OrdersTable[[#This Row],[Unit Price]]</f>
        <v>499</v>
      </c>
      <c r="T1160" s="5">
        <f>OrdersTable[[#This Row],[Gross Sale]]*OrdersTable[[#This Row],[Discount_Clean2]]</f>
        <v>0</v>
      </c>
      <c r="U1160" s="5">
        <f>OrdersTable[[#This Row],[Gross Sale]]-OrdersTable[[#This Row],[Discount Amount]]</f>
        <v>499</v>
      </c>
      <c r="V1160" s="77">
        <f>INDEX(Products!E:E,MATCH(OrdersTable[[#This Row],[Product ID]],Products!A:A,0))</f>
        <v>150</v>
      </c>
      <c r="W1160" s="77">
        <f>OrdersTable[[#This Row],[Quantity]]*OrdersTable[[#This Row],[Unit Cost]]</f>
        <v>150</v>
      </c>
      <c r="X1160" s="77">
        <f>'Dropdown Lists'!$I$2*(1+OrdersTable[[#This Row],[Returned]])</f>
        <v>60</v>
      </c>
      <c r="Y1160" s="76">
        <f>OrdersTable[[#This Row],[Net Revenue]]-OrdersTable[[#This Row],[COGS]]-OrdersTable[[#This Row],[Shipping Cost]]</f>
        <v>289</v>
      </c>
      <c r="Z1160" s="78">
        <f>IFERROR(OrdersTable[[#This Row],[Profit]]/OrdersTable[[#This Row],[Net Revenue]],0)</f>
        <v>0.57915831663326656</v>
      </c>
      <c r="AA1160" t="s">
        <v>4074</v>
      </c>
      <c r="AB1160" s="79">
        <v>45529</v>
      </c>
      <c r="AC1160">
        <f>OrdersTable[[#This Row],[Delivery Date]]-OrdersTable[[#This Row],[Order Date]]</f>
        <v>2</v>
      </c>
      <c r="AD1160" t="str">
        <f>IF(OrdersTable[[#This Row],[Delivery Days]]&lt;=2, "Express (≤2d)", IF(OrdersTable[[#This Row],[Delivery Days]]&lt;=4, "Standard (3-4d)", "Delayed (5d+)"))</f>
        <v>Express (≤2d)</v>
      </c>
      <c r="AE1160">
        <v>5</v>
      </c>
      <c r="AF1160">
        <v>0</v>
      </c>
    </row>
    <row r="1161" spans="1:32" ht="15" x14ac:dyDescent="0.35">
      <c r="A1161" t="s">
        <v>6507</v>
      </c>
      <c r="B1161" s="1">
        <v>45528</v>
      </c>
      <c r="C1161">
        <f>YEAR(OrdersTable[[#This Row],[Order Date]])</f>
        <v>2024</v>
      </c>
      <c r="D1161" s="2">
        <f>DATE(YEAR(OrdersTable[[#This Row],[Order Date]]),MONTH(OrdersTable[[#This Row],[Order Date]]),1)</f>
        <v>45505</v>
      </c>
      <c r="E1161">
        <f>MONTH(OrdersTable[[#This Row],[Order Date]])</f>
        <v>8</v>
      </c>
      <c r="F1161" t="s">
        <v>94</v>
      </c>
      <c r="G1161" t="str">
        <f>IF(OrdersTable[[#This Row],[Order Date]]=_xlfn.MINIFS(Order_Date, Customer_ID, OrdersTable[[#This Row],[Customer ID]]), "New", "Repeat")</f>
        <v>Repeat</v>
      </c>
      <c r="H1161" t="s">
        <v>54</v>
      </c>
      <c r="I1161" t="str">
        <f>INDEX(State!B:B,MATCH(OrdersTable[[#This Row],[State]],State!A:A,0))</f>
        <v>RJ</v>
      </c>
      <c r="J1161" t="str">
        <f>INDEX(State!C:C,MATCH(OrdersTable[[#This Row],[State Code]],State!B:B,0))</f>
        <v>North</v>
      </c>
      <c r="K1161" t="s">
        <v>55</v>
      </c>
      <c r="L1161" t="s">
        <v>23</v>
      </c>
      <c r="M1161" t="s">
        <v>61</v>
      </c>
      <c r="N1161" t="str">
        <f>INDEX(Products!B:B,MATCH(OrdersTable[[#This Row],[Product ID]],Products!A:A,0))</f>
        <v>Multivitamin Gummies</v>
      </c>
      <c r="O1161" t="str">
        <f>INDEX(Products!C:C,MATCH(OrdersTable[[#This Row],[Product ID]],Products!A:A,0))</f>
        <v>Wellness</v>
      </c>
      <c r="P1161">
        <v>3</v>
      </c>
      <c r="Q1161" s="5">
        <v>699</v>
      </c>
      <c r="R1161" s="74">
        <v>0.2</v>
      </c>
      <c r="S1161" s="75">
        <f>OrdersTable[[#This Row],[Quantity]]*OrdersTable[[#This Row],[Unit Price]]</f>
        <v>2097</v>
      </c>
      <c r="T1161" s="5">
        <f>OrdersTable[[#This Row],[Gross Sale]]*OrdersTable[[#This Row],[Discount_Clean2]]</f>
        <v>419.40000000000003</v>
      </c>
      <c r="U1161" s="5">
        <f>OrdersTable[[#This Row],[Gross Sale]]-OrdersTable[[#This Row],[Discount Amount]]</f>
        <v>1677.6</v>
      </c>
      <c r="V1161" s="77">
        <f>INDEX(Products!E:E,MATCH(OrdersTable[[#This Row],[Product ID]],Products!A:A,0))</f>
        <v>238</v>
      </c>
      <c r="W1161" s="77">
        <f>OrdersTable[[#This Row],[Quantity]]*OrdersTable[[#This Row],[Unit Cost]]</f>
        <v>714</v>
      </c>
      <c r="X1161" s="77">
        <f>'Dropdown Lists'!$I$2*(1+OrdersTable[[#This Row],[Returned]])</f>
        <v>60</v>
      </c>
      <c r="Y1161" s="76">
        <f>OrdersTable[[#This Row],[Net Revenue]]-OrdersTable[[#This Row],[COGS]]-OrdersTable[[#This Row],[Shipping Cost]]</f>
        <v>903.59999999999991</v>
      </c>
      <c r="Z1161" s="78">
        <f>IFERROR(OrdersTable[[#This Row],[Profit]]/OrdersTable[[#This Row],[Net Revenue]],0)</f>
        <v>0.53862660944206009</v>
      </c>
      <c r="AA1161" t="s">
        <v>18</v>
      </c>
      <c r="AB1161" s="79">
        <v>45531</v>
      </c>
      <c r="AC1161">
        <f>OrdersTable[[#This Row],[Delivery Date]]-OrdersTable[[#This Row],[Order Date]]</f>
        <v>3</v>
      </c>
      <c r="AD1161" t="str">
        <f>IF(OrdersTable[[#This Row],[Delivery Days]]&lt;=2, "Express (≤2d)", IF(OrdersTable[[#This Row],[Delivery Days]]&lt;=4, "Standard (3-4d)", "Delayed (5d+)"))</f>
        <v>Standard (3-4d)</v>
      </c>
      <c r="AE1161">
        <v>4</v>
      </c>
      <c r="AF1161">
        <v>0</v>
      </c>
    </row>
    <row r="1162" spans="1:32" ht="15" x14ac:dyDescent="0.35">
      <c r="A1162" t="s">
        <v>926</v>
      </c>
      <c r="B1162" s="1">
        <v>45528</v>
      </c>
      <c r="C1162">
        <f>YEAR(OrdersTable[[#This Row],[Order Date]])</f>
        <v>2024</v>
      </c>
      <c r="D1162" s="2">
        <f>DATE(YEAR(OrdersTable[[#This Row],[Order Date]]),MONTH(OrdersTable[[#This Row],[Order Date]]),1)</f>
        <v>45505</v>
      </c>
      <c r="E1162">
        <f>MONTH(OrdersTable[[#This Row],[Order Date]])</f>
        <v>8</v>
      </c>
      <c r="F1162" t="s">
        <v>927</v>
      </c>
      <c r="G1162" t="str">
        <f>IF(OrdersTable[[#This Row],[Order Date]]=_xlfn.MINIFS(Order_Date, Customer_ID, OrdersTable[[#This Row],[Customer ID]]), "New", "Repeat")</f>
        <v>Repeat</v>
      </c>
      <c r="H1162" t="s">
        <v>54</v>
      </c>
      <c r="I1162" t="str">
        <f>INDEX(State!B:B,MATCH(OrdersTable[[#This Row],[State]],State!A:A,0))</f>
        <v>RJ</v>
      </c>
      <c r="J1162" t="str">
        <f>INDEX(State!C:C,MATCH(OrdersTable[[#This Row],[State Code]],State!B:B,0))</f>
        <v>North</v>
      </c>
      <c r="K1162" t="s">
        <v>55</v>
      </c>
      <c r="L1162" t="s">
        <v>50</v>
      </c>
      <c r="M1162" t="s">
        <v>152</v>
      </c>
      <c r="N1162" t="str">
        <f>INDEX(Products!B:B,MATCH(OrdersTable[[#This Row],[Product ID]],Products!A:A,0))</f>
        <v>Green Tea (100 bags)</v>
      </c>
      <c r="O1162" t="str">
        <f>INDEX(Products!C:C,MATCH(OrdersTable[[#This Row],[Product ID]],Products!A:A,0))</f>
        <v>Wellness</v>
      </c>
      <c r="P1162">
        <v>1</v>
      </c>
      <c r="Q1162" s="5">
        <v>399</v>
      </c>
      <c r="R1162" s="74">
        <v>0.4</v>
      </c>
      <c r="S1162" s="75">
        <f>OrdersTable[[#This Row],[Quantity]]*OrdersTable[[#This Row],[Unit Price]]</f>
        <v>399</v>
      </c>
      <c r="T1162" s="5">
        <f>OrdersTable[[#This Row],[Gross Sale]]*OrdersTable[[#This Row],[Discount_Clean2]]</f>
        <v>159.60000000000002</v>
      </c>
      <c r="U1162" s="5">
        <f>OrdersTable[[#This Row],[Gross Sale]]-OrdersTable[[#This Row],[Discount Amount]]</f>
        <v>239.39999999999998</v>
      </c>
      <c r="V1162" s="77">
        <f>INDEX(Products!E:E,MATCH(OrdersTable[[#This Row],[Product ID]],Products!A:A,0))</f>
        <v>128</v>
      </c>
      <c r="W1162" s="77">
        <f>OrdersTable[[#This Row],[Quantity]]*OrdersTable[[#This Row],[Unit Cost]]</f>
        <v>128</v>
      </c>
      <c r="X1162" s="77">
        <f>'Dropdown Lists'!$I$2*(1+OrdersTable[[#This Row],[Returned]])</f>
        <v>60</v>
      </c>
      <c r="Y1162" s="76">
        <f>OrdersTable[[#This Row],[Net Revenue]]-OrdersTable[[#This Row],[COGS]]-OrdersTable[[#This Row],[Shipping Cost]]</f>
        <v>51.399999999999977</v>
      </c>
      <c r="Z1162" s="78">
        <f>IFERROR(OrdersTable[[#This Row],[Profit]]/OrdersTable[[#This Row],[Net Revenue]],0)</f>
        <v>0.21470342522974095</v>
      </c>
      <c r="AA1162" t="s">
        <v>18</v>
      </c>
      <c r="AB1162" s="79">
        <v>45531</v>
      </c>
      <c r="AC1162">
        <f>OrdersTable[[#This Row],[Delivery Date]]-OrdersTable[[#This Row],[Order Date]]</f>
        <v>3</v>
      </c>
      <c r="AD1162" t="str">
        <f>IF(OrdersTable[[#This Row],[Delivery Days]]&lt;=2, "Express (≤2d)", IF(OrdersTable[[#This Row],[Delivery Days]]&lt;=4, "Standard (3-4d)", "Delayed (5d+)"))</f>
        <v>Standard (3-4d)</v>
      </c>
      <c r="AE1162">
        <v>4</v>
      </c>
      <c r="AF1162">
        <v>0</v>
      </c>
    </row>
    <row r="1163" spans="1:32" ht="15" x14ac:dyDescent="0.35">
      <c r="A1163" t="s">
        <v>3417</v>
      </c>
      <c r="B1163" s="1">
        <v>45528</v>
      </c>
      <c r="C1163">
        <f>YEAR(OrdersTable[[#This Row],[Order Date]])</f>
        <v>2024</v>
      </c>
      <c r="D1163" s="2">
        <f>DATE(YEAR(OrdersTable[[#This Row],[Order Date]]),MONTH(OrdersTable[[#This Row],[Order Date]]),1)</f>
        <v>45505</v>
      </c>
      <c r="E1163">
        <f>MONTH(OrdersTable[[#This Row],[Order Date]])</f>
        <v>8</v>
      </c>
      <c r="F1163" t="s">
        <v>3057</v>
      </c>
      <c r="G1163" t="str">
        <f>IF(OrdersTable[[#This Row],[Order Date]]=_xlfn.MINIFS(Order_Date, Customer_ID, OrdersTable[[#This Row],[Customer ID]]), "New", "Repeat")</f>
        <v>New</v>
      </c>
      <c r="H1163" t="s">
        <v>123</v>
      </c>
      <c r="I1163" t="str">
        <f>INDEX(State!B:B,MATCH(OrdersTable[[#This Row],[State]],State!A:A,0))</f>
        <v>JH</v>
      </c>
      <c r="J1163" t="str">
        <f>INDEX(State!C:C,MATCH(OrdersTable[[#This Row],[State Code]],State!B:B,0))</f>
        <v>East</v>
      </c>
      <c r="K1163" t="s">
        <v>124</v>
      </c>
      <c r="L1163" t="s">
        <v>65</v>
      </c>
      <c r="M1163" t="s">
        <v>24</v>
      </c>
      <c r="N1163" t="str">
        <f>INDEX(Products!B:B,MATCH(OrdersTable[[#This Row],[Product ID]],Products!A:A,0))</f>
        <v>Scented Candle Set</v>
      </c>
      <c r="O1163" t="str">
        <f>INDEX(Products!C:C,MATCH(OrdersTable[[#This Row],[Product ID]],Products!A:A,0))</f>
        <v>Home &amp; Kitchen</v>
      </c>
      <c r="P1163">
        <v>1</v>
      </c>
      <c r="Q1163" s="5">
        <v>699</v>
      </c>
      <c r="R1163" s="74">
        <v>0.15</v>
      </c>
      <c r="S1163" s="75">
        <f>OrdersTable[[#This Row],[Quantity]]*OrdersTable[[#This Row],[Unit Price]]</f>
        <v>699</v>
      </c>
      <c r="T1163" s="5">
        <f>OrdersTable[[#This Row],[Gross Sale]]*OrdersTable[[#This Row],[Discount_Clean2]]</f>
        <v>104.85</v>
      </c>
      <c r="U1163" s="5">
        <f>OrdersTable[[#This Row],[Gross Sale]]-OrdersTable[[#This Row],[Discount Amount]]</f>
        <v>594.15</v>
      </c>
      <c r="V1163" s="77">
        <f>INDEX(Products!E:E,MATCH(OrdersTable[[#This Row],[Product ID]],Products!A:A,0))</f>
        <v>245</v>
      </c>
      <c r="W1163" s="77">
        <f>OrdersTable[[#This Row],[Quantity]]*OrdersTable[[#This Row],[Unit Cost]]</f>
        <v>245</v>
      </c>
      <c r="X1163" s="77">
        <f>'Dropdown Lists'!$I$2*(1+OrdersTable[[#This Row],[Returned]])</f>
        <v>120</v>
      </c>
      <c r="Y1163" s="76">
        <f>OrdersTable[[#This Row],[Net Revenue]]-OrdersTable[[#This Row],[COGS]]-OrdersTable[[#This Row],[Shipping Cost]]</f>
        <v>229.14999999999998</v>
      </c>
      <c r="Z1163" s="78">
        <f>IFERROR(OrdersTable[[#This Row],[Profit]]/OrdersTable[[#This Row],[Net Revenue]],0)</f>
        <v>0.38567701758815109</v>
      </c>
      <c r="AA1163" t="s">
        <v>2522</v>
      </c>
      <c r="AB1163" s="79">
        <v>45533</v>
      </c>
      <c r="AC1163">
        <f>OrdersTable[[#This Row],[Delivery Date]]-OrdersTable[[#This Row],[Order Date]]</f>
        <v>5</v>
      </c>
      <c r="AD1163" t="str">
        <f>IF(OrdersTable[[#This Row],[Delivery Days]]&lt;=2, "Express (≤2d)", IF(OrdersTable[[#This Row],[Delivery Days]]&lt;=4, "Standard (3-4d)", "Delayed (5d+)"))</f>
        <v>Delayed (5d+)</v>
      </c>
      <c r="AE1163">
        <v>4</v>
      </c>
      <c r="AF1163">
        <v>1</v>
      </c>
    </row>
    <row r="1164" spans="1:32" ht="15" x14ac:dyDescent="0.35">
      <c r="A1164" t="s">
        <v>5485</v>
      </c>
      <c r="B1164" s="1">
        <v>45528</v>
      </c>
      <c r="C1164">
        <f>YEAR(OrdersTable[[#This Row],[Order Date]])</f>
        <v>2024</v>
      </c>
      <c r="D1164" s="2">
        <f>DATE(YEAR(OrdersTable[[#This Row],[Order Date]]),MONTH(OrdersTable[[#This Row],[Order Date]]),1)</f>
        <v>45505</v>
      </c>
      <c r="E1164">
        <f>MONTH(OrdersTable[[#This Row],[Order Date]])</f>
        <v>8</v>
      </c>
      <c r="F1164" t="s">
        <v>2957</v>
      </c>
      <c r="G1164" t="str">
        <f>IF(OrdersTable[[#This Row],[Order Date]]=_xlfn.MINIFS(Order_Date, Customer_ID, OrdersTable[[#This Row],[Customer ID]]), "New", "Repeat")</f>
        <v>Repeat</v>
      </c>
      <c r="H1164" t="s">
        <v>71</v>
      </c>
      <c r="I1164" t="str">
        <f>INDEX(State!B:B,MATCH(OrdersTable[[#This Row],[State]],State!A:A,0))</f>
        <v>MH</v>
      </c>
      <c r="J1164" t="str">
        <f>INDEX(State!C:C,MATCH(OrdersTable[[#This Row],[State Code]],State!B:B,0))</f>
        <v>West</v>
      </c>
      <c r="K1164" t="s">
        <v>81</v>
      </c>
      <c r="L1164" t="s">
        <v>23</v>
      </c>
      <c r="M1164" t="s">
        <v>179</v>
      </c>
      <c r="N1164" t="str">
        <f>INDEX(Products!B:B,MATCH(OrdersTable[[#This Row],[Product ID]],Products!A:A,0))</f>
        <v>Whey Protein 1kg</v>
      </c>
      <c r="O1164" t="str">
        <f>INDEX(Products!C:C,MATCH(OrdersTable[[#This Row],[Product ID]],Products!A:A,0))</f>
        <v>Wellness</v>
      </c>
      <c r="P1164">
        <v>2</v>
      </c>
      <c r="Q1164" s="5">
        <v>2299</v>
      </c>
      <c r="R1164" s="74">
        <v>0.4</v>
      </c>
      <c r="S1164" s="75">
        <f>OrdersTable[[#This Row],[Quantity]]*OrdersTable[[#This Row],[Unit Price]]</f>
        <v>4598</v>
      </c>
      <c r="T1164" s="5">
        <f>OrdersTable[[#This Row],[Gross Sale]]*OrdersTable[[#This Row],[Discount_Clean2]]</f>
        <v>1839.2</v>
      </c>
      <c r="U1164" s="5">
        <f>OrdersTable[[#This Row],[Gross Sale]]-OrdersTable[[#This Row],[Discount Amount]]</f>
        <v>2758.8</v>
      </c>
      <c r="V1164" s="77">
        <f>INDEX(Products!E:E,MATCH(OrdersTable[[#This Row],[Product ID]],Products!A:A,0))</f>
        <v>1333</v>
      </c>
      <c r="W1164" s="77">
        <f>OrdersTable[[#This Row],[Quantity]]*OrdersTable[[#This Row],[Unit Cost]]</f>
        <v>2666</v>
      </c>
      <c r="X1164" s="77">
        <f>'Dropdown Lists'!$I$2*(1+OrdersTable[[#This Row],[Returned]])</f>
        <v>60</v>
      </c>
      <c r="Y1164" s="76">
        <f>OrdersTable[[#This Row],[Net Revenue]]-OrdersTable[[#This Row],[COGS]]-OrdersTable[[#This Row],[Shipping Cost]]</f>
        <v>32.800000000000182</v>
      </c>
      <c r="Z1164" s="78">
        <f>IFERROR(OrdersTable[[#This Row],[Profit]]/OrdersTable[[#This Row],[Net Revenue]],0)</f>
        <v>1.188922720023205E-2</v>
      </c>
      <c r="AA1164" t="s">
        <v>2522</v>
      </c>
      <c r="AB1164" s="79">
        <v>45529</v>
      </c>
      <c r="AC1164">
        <f>OrdersTable[[#This Row],[Delivery Date]]-OrdersTable[[#This Row],[Order Date]]</f>
        <v>1</v>
      </c>
      <c r="AD1164" t="str">
        <f>IF(OrdersTable[[#This Row],[Delivery Days]]&lt;=2, "Express (≤2d)", IF(OrdersTable[[#This Row],[Delivery Days]]&lt;=4, "Standard (3-4d)", "Delayed (5d+)"))</f>
        <v>Express (≤2d)</v>
      </c>
      <c r="AE1164">
        <v>4</v>
      </c>
      <c r="AF1164">
        <v>0</v>
      </c>
    </row>
    <row r="1165" spans="1:32" ht="15" x14ac:dyDescent="0.35">
      <c r="A1165" t="s">
        <v>4353</v>
      </c>
      <c r="B1165" s="1">
        <v>45528</v>
      </c>
      <c r="C1165">
        <f>YEAR(OrdersTable[[#This Row],[Order Date]])</f>
        <v>2024</v>
      </c>
      <c r="D1165" s="2">
        <f>DATE(YEAR(OrdersTable[[#This Row],[Order Date]]),MONTH(OrdersTable[[#This Row],[Order Date]]),1)</f>
        <v>45505</v>
      </c>
      <c r="E1165">
        <f>MONTH(OrdersTable[[#This Row],[Order Date]])</f>
        <v>8</v>
      </c>
      <c r="F1165" t="s">
        <v>2010</v>
      </c>
      <c r="G1165" t="str">
        <f>IF(OrdersTable[[#This Row],[Order Date]]=_xlfn.MINIFS(Order_Date, Customer_ID, OrdersTable[[#This Row],[Customer ID]]), "New", "Repeat")</f>
        <v>New</v>
      </c>
      <c r="H1165" t="s">
        <v>167</v>
      </c>
      <c r="I1165" t="str">
        <f>INDEX(State!B:B,MATCH(OrdersTable[[#This Row],[State]],State!A:A,0))</f>
        <v>KA</v>
      </c>
      <c r="J1165" t="str">
        <f>INDEX(State!C:C,MATCH(OrdersTable[[#This Row],[State Code]],State!B:B,0))</f>
        <v>South</v>
      </c>
      <c r="K1165" t="s">
        <v>190</v>
      </c>
      <c r="L1165" t="s">
        <v>50</v>
      </c>
      <c r="M1165" t="s">
        <v>109</v>
      </c>
      <c r="N1165" t="str">
        <f>INDEX(Products!B:B,MATCH(OrdersTable[[#This Row],[Product ID]],Products!A:A,0))</f>
        <v>Onion Hair Oil</v>
      </c>
      <c r="O1165" t="str">
        <f>INDEX(Products!C:C,MATCH(OrdersTable[[#This Row],[Product ID]],Products!A:A,0))</f>
        <v>Haircare</v>
      </c>
      <c r="P1165">
        <v>1</v>
      </c>
      <c r="Q1165" s="5">
        <v>349</v>
      </c>
      <c r="R1165" s="74">
        <v>0.35</v>
      </c>
      <c r="S1165" s="75">
        <f>OrdersTable[[#This Row],[Quantity]]*OrdersTable[[#This Row],[Unit Price]]</f>
        <v>349</v>
      </c>
      <c r="T1165" s="5">
        <f>OrdersTable[[#This Row],[Gross Sale]]*OrdersTable[[#This Row],[Discount_Clean2]]</f>
        <v>122.14999999999999</v>
      </c>
      <c r="U1165" s="5">
        <f>OrdersTable[[#This Row],[Gross Sale]]-OrdersTable[[#This Row],[Discount Amount]]</f>
        <v>226.85000000000002</v>
      </c>
      <c r="V1165" s="77">
        <f>INDEX(Products!E:E,MATCH(OrdersTable[[#This Row],[Product ID]],Products!A:A,0))</f>
        <v>105</v>
      </c>
      <c r="W1165" s="77">
        <f>OrdersTable[[#This Row],[Quantity]]*OrdersTable[[#This Row],[Unit Cost]]</f>
        <v>105</v>
      </c>
      <c r="X1165" s="77">
        <f>'Dropdown Lists'!$I$2*(1+OrdersTable[[#This Row],[Returned]])</f>
        <v>60</v>
      </c>
      <c r="Y1165" s="76">
        <f>OrdersTable[[#This Row],[Net Revenue]]-OrdersTable[[#This Row],[COGS]]-OrdersTable[[#This Row],[Shipping Cost]]</f>
        <v>61.850000000000023</v>
      </c>
      <c r="Z1165" s="78">
        <f>IFERROR(OrdersTable[[#This Row],[Profit]]/OrdersTable[[#This Row],[Net Revenue]],0)</f>
        <v>0.27264712364998905</v>
      </c>
      <c r="AA1165" t="s">
        <v>4074</v>
      </c>
      <c r="AB1165" s="79">
        <v>45530</v>
      </c>
      <c r="AC1165">
        <f>OrdersTable[[#This Row],[Delivery Date]]-OrdersTable[[#This Row],[Order Date]]</f>
        <v>2</v>
      </c>
      <c r="AD1165" t="str">
        <f>IF(OrdersTable[[#This Row],[Delivery Days]]&lt;=2, "Express (≤2d)", IF(OrdersTable[[#This Row],[Delivery Days]]&lt;=4, "Standard (3-4d)", "Delayed (5d+)"))</f>
        <v>Express (≤2d)</v>
      </c>
      <c r="AE1165">
        <v>4</v>
      </c>
      <c r="AF1165">
        <v>0</v>
      </c>
    </row>
    <row r="1166" spans="1:32" ht="15" x14ac:dyDescent="0.35">
      <c r="A1166" t="s">
        <v>5340</v>
      </c>
      <c r="B1166" s="1">
        <v>45528</v>
      </c>
      <c r="C1166">
        <f>YEAR(OrdersTable[[#This Row],[Order Date]])</f>
        <v>2024</v>
      </c>
      <c r="D1166" s="2">
        <f>DATE(YEAR(OrdersTable[[#This Row],[Order Date]]),MONTH(OrdersTable[[#This Row],[Order Date]]),1)</f>
        <v>45505</v>
      </c>
      <c r="E1166">
        <f>MONTH(OrdersTable[[#This Row],[Order Date]])</f>
        <v>8</v>
      </c>
      <c r="F1166" t="s">
        <v>2122</v>
      </c>
      <c r="G1166" t="str">
        <f>IF(OrdersTable[[#This Row],[Order Date]]=_xlfn.MINIFS(Order_Date, Customer_ID, OrdersTable[[#This Row],[Customer ID]]), "New", "Repeat")</f>
        <v>Repeat</v>
      </c>
      <c r="H1166" t="s">
        <v>316</v>
      </c>
      <c r="I1166" t="str">
        <f>INDEX(State!B:B,MATCH(OrdersTable[[#This Row],[State]],State!A:A,0))</f>
        <v>KL</v>
      </c>
      <c r="J1166" t="str">
        <f>INDEX(State!C:C,MATCH(OrdersTable[[#This Row],[State Code]],State!B:B,0))</f>
        <v>South</v>
      </c>
      <c r="K1166" t="s">
        <v>338</v>
      </c>
      <c r="L1166" t="s">
        <v>50</v>
      </c>
      <c r="M1166" t="s">
        <v>40</v>
      </c>
      <c r="N1166" t="str">
        <f>INDEX(Products!B:B,MATCH(OrdersTable[[#This Row],[Product ID]],Products!A:A,0))</f>
        <v>Ashwagandha Capsules</v>
      </c>
      <c r="O1166" t="str">
        <f>INDEX(Products!C:C,MATCH(OrdersTable[[#This Row],[Product ID]],Products!A:A,0))</f>
        <v>Wellness</v>
      </c>
      <c r="P1166">
        <v>2</v>
      </c>
      <c r="Q1166" s="5">
        <v>499</v>
      </c>
      <c r="R1166" s="74">
        <v>0.1</v>
      </c>
      <c r="S1166" s="75">
        <f>OrdersTable[[#This Row],[Quantity]]*OrdersTable[[#This Row],[Unit Price]]</f>
        <v>998</v>
      </c>
      <c r="T1166" s="5">
        <f>OrdersTable[[#This Row],[Gross Sale]]*OrdersTable[[#This Row],[Discount_Clean2]]</f>
        <v>99.800000000000011</v>
      </c>
      <c r="U1166" s="5">
        <f>OrdersTable[[#This Row],[Gross Sale]]-OrdersTable[[#This Row],[Discount Amount]]</f>
        <v>898.2</v>
      </c>
      <c r="V1166" s="77">
        <f>INDEX(Products!E:E,MATCH(OrdersTable[[#This Row],[Product ID]],Products!A:A,0))</f>
        <v>150</v>
      </c>
      <c r="W1166" s="77">
        <f>OrdersTable[[#This Row],[Quantity]]*OrdersTable[[#This Row],[Unit Cost]]</f>
        <v>300</v>
      </c>
      <c r="X1166" s="77">
        <f>'Dropdown Lists'!$I$2*(1+OrdersTable[[#This Row],[Returned]])</f>
        <v>60</v>
      </c>
      <c r="Y1166" s="76">
        <f>OrdersTable[[#This Row],[Net Revenue]]-OrdersTable[[#This Row],[COGS]]-OrdersTable[[#This Row],[Shipping Cost]]</f>
        <v>538.20000000000005</v>
      </c>
      <c r="Z1166" s="78">
        <f>IFERROR(OrdersTable[[#This Row],[Profit]]/OrdersTable[[#This Row],[Net Revenue]],0)</f>
        <v>0.59919839679358722</v>
      </c>
      <c r="AA1166" t="s">
        <v>2522</v>
      </c>
      <c r="AB1166" s="79">
        <v>45533</v>
      </c>
      <c r="AC1166">
        <f>OrdersTable[[#This Row],[Delivery Date]]-OrdersTable[[#This Row],[Order Date]]</f>
        <v>5</v>
      </c>
      <c r="AD1166" t="str">
        <f>IF(OrdersTable[[#This Row],[Delivery Days]]&lt;=2, "Express (≤2d)", IF(OrdersTable[[#This Row],[Delivery Days]]&lt;=4, "Standard (3-4d)", "Delayed (5d+)"))</f>
        <v>Delayed (5d+)</v>
      </c>
      <c r="AF1166">
        <v>0</v>
      </c>
    </row>
    <row r="1167" spans="1:32" ht="15" x14ac:dyDescent="0.35">
      <c r="A1167" t="s">
        <v>502</v>
      </c>
      <c r="B1167" s="1">
        <v>45529</v>
      </c>
      <c r="C1167">
        <f>YEAR(OrdersTable[[#This Row],[Order Date]])</f>
        <v>2024</v>
      </c>
      <c r="D1167" s="2">
        <f>DATE(YEAR(OrdersTable[[#This Row],[Order Date]]),MONTH(OrdersTable[[#This Row],[Order Date]]),1)</f>
        <v>45505</v>
      </c>
      <c r="E1167">
        <f>MONTH(OrdersTable[[#This Row],[Order Date]])</f>
        <v>8</v>
      </c>
      <c r="F1167" t="s">
        <v>503</v>
      </c>
      <c r="G1167" t="str">
        <f>IF(OrdersTable[[#This Row],[Order Date]]=_xlfn.MINIFS(Order_Date, Customer_ID, OrdersTable[[#This Row],[Customer ID]]), "New", "Repeat")</f>
        <v>Repeat</v>
      </c>
      <c r="H1167" t="s">
        <v>21</v>
      </c>
      <c r="I1167" t="str">
        <f>INDEX(State!B:B,MATCH(OrdersTable[[#This Row],[State]],State!A:A,0))</f>
        <v>PB</v>
      </c>
      <c r="J1167" t="str">
        <f>INDEX(State!C:C,MATCH(OrdersTable[[#This Row],[State Code]],State!B:B,0))</f>
        <v>North</v>
      </c>
      <c r="K1167" t="s">
        <v>260</v>
      </c>
      <c r="L1167" t="s">
        <v>16</v>
      </c>
      <c r="M1167" t="s">
        <v>29</v>
      </c>
      <c r="N1167" t="str">
        <f>INDEX(Products!B:B,MATCH(OrdersTable[[#This Row],[Product ID]],Products!A:A,0))</f>
        <v>Joggers</v>
      </c>
      <c r="O1167" t="str">
        <f>INDEX(Products!C:C,MATCH(OrdersTable[[#This Row],[Product ID]],Products!A:A,0))</f>
        <v>Apparel</v>
      </c>
      <c r="P1167">
        <v>1</v>
      </c>
      <c r="Q1167" s="5">
        <v>1199</v>
      </c>
      <c r="R1167" s="74">
        <v>0.2</v>
      </c>
      <c r="S1167" s="75">
        <f>OrdersTable[[#This Row],[Quantity]]*OrdersTable[[#This Row],[Unit Price]]</f>
        <v>1199</v>
      </c>
      <c r="T1167" s="5">
        <f>OrdersTable[[#This Row],[Gross Sale]]*OrdersTable[[#This Row],[Discount_Clean2]]</f>
        <v>239.8</v>
      </c>
      <c r="U1167" s="5">
        <f>OrdersTable[[#This Row],[Gross Sale]]-OrdersTable[[#This Row],[Discount Amount]]</f>
        <v>959.2</v>
      </c>
      <c r="V1167" s="77">
        <f>INDEX(Products!E:E,MATCH(OrdersTable[[#This Row],[Product ID]],Products!A:A,0))</f>
        <v>492</v>
      </c>
      <c r="W1167" s="77">
        <f>OrdersTable[[#This Row],[Quantity]]*OrdersTable[[#This Row],[Unit Cost]]</f>
        <v>492</v>
      </c>
      <c r="X1167" s="77">
        <f>'Dropdown Lists'!$I$2*(1+OrdersTable[[#This Row],[Returned]])</f>
        <v>60</v>
      </c>
      <c r="Y1167" s="76">
        <f>OrdersTable[[#This Row],[Net Revenue]]-OrdersTable[[#This Row],[COGS]]-OrdersTable[[#This Row],[Shipping Cost]]</f>
        <v>407.20000000000005</v>
      </c>
      <c r="Z1167" s="78">
        <f>IFERROR(OrdersTable[[#This Row],[Profit]]/OrdersTable[[#This Row],[Net Revenue]],0)</f>
        <v>0.42452043369474562</v>
      </c>
      <c r="AA1167" t="s">
        <v>18</v>
      </c>
      <c r="AB1167" s="79">
        <v>45532</v>
      </c>
      <c r="AC1167">
        <f>OrdersTable[[#This Row],[Delivery Date]]-OrdersTable[[#This Row],[Order Date]]</f>
        <v>3</v>
      </c>
      <c r="AD1167" t="str">
        <f>IF(OrdersTable[[#This Row],[Delivery Days]]&lt;=2, "Express (≤2d)", IF(OrdersTable[[#This Row],[Delivery Days]]&lt;=4, "Standard (3-4d)", "Delayed (5d+)"))</f>
        <v>Standard (3-4d)</v>
      </c>
      <c r="AE1167">
        <v>4</v>
      </c>
      <c r="AF1167">
        <v>0</v>
      </c>
    </row>
    <row r="1168" spans="1:32" ht="15" x14ac:dyDescent="0.35">
      <c r="A1168" t="s">
        <v>1879</v>
      </c>
      <c r="B1168" s="1">
        <v>45529</v>
      </c>
      <c r="C1168">
        <f>YEAR(OrdersTable[[#This Row],[Order Date]])</f>
        <v>2024</v>
      </c>
      <c r="D1168" s="2">
        <f>DATE(YEAR(OrdersTable[[#This Row],[Order Date]]),MONTH(OrdersTable[[#This Row],[Order Date]]),1)</f>
        <v>45505</v>
      </c>
      <c r="E1168">
        <f>MONTH(OrdersTable[[#This Row],[Order Date]])</f>
        <v>8</v>
      </c>
      <c r="F1168" t="s">
        <v>1880</v>
      </c>
      <c r="G1168" t="str">
        <f>IF(OrdersTable[[#This Row],[Order Date]]=_xlfn.MINIFS(Order_Date, Customer_ID, OrdersTable[[#This Row],[Customer ID]]), "New", "Repeat")</f>
        <v>New</v>
      </c>
      <c r="H1168" t="s">
        <v>54</v>
      </c>
      <c r="I1168" t="str">
        <f>INDEX(State!B:B,MATCH(OrdersTable[[#This Row],[State]],State!A:A,0))</f>
        <v>RJ</v>
      </c>
      <c r="J1168" t="str">
        <f>INDEX(State!C:C,MATCH(OrdersTable[[#This Row],[State Code]],State!B:B,0))</f>
        <v>North</v>
      </c>
      <c r="K1168" t="s">
        <v>55</v>
      </c>
      <c r="L1168" t="s">
        <v>23</v>
      </c>
      <c r="M1168" t="s">
        <v>173</v>
      </c>
      <c r="N1168" t="str">
        <f>INDEX(Products!B:B,MATCH(OrdersTable[[#This Row],[Product ID]],Products!A:A,0))</f>
        <v>Wireless Earbuds</v>
      </c>
      <c r="O1168" t="str">
        <f>INDEX(Products!C:C,MATCH(OrdersTable[[#This Row],[Product ID]],Products!A:A,0))</f>
        <v>Electronics</v>
      </c>
      <c r="P1168">
        <v>1</v>
      </c>
      <c r="Q1168" s="5">
        <v>1999</v>
      </c>
      <c r="R1168" s="74">
        <v>0.35</v>
      </c>
      <c r="S1168" s="75">
        <f>OrdersTable[[#This Row],[Quantity]]*OrdersTable[[#This Row],[Unit Price]]</f>
        <v>1999</v>
      </c>
      <c r="T1168" s="5">
        <f>OrdersTable[[#This Row],[Gross Sale]]*OrdersTable[[#This Row],[Discount_Clean2]]</f>
        <v>699.65</v>
      </c>
      <c r="U1168" s="5">
        <f>OrdersTable[[#This Row],[Gross Sale]]-OrdersTable[[#This Row],[Discount Amount]]</f>
        <v>1299.3499999999999</v>
      </c>
      <c r="V1168" s="77">
        <f>INDEX(Products!E:E,MATCH(OrdersTable[[#This Row],[Product ID]],Products!A:A,0))</f>
        <v>1239</v>
      </c>
      <c r="W1168" s="77">
        <f>OrdersTable[[#This Row],[Quantity]]*OrdersTable[[#This Row],[Unit Cost]]</f>
        <v>1239</v>
      </c>
      <c r="X1168" s="77">
        <f>'Dropdown Lists'!$I$2*(1+OrdersTable[[#This Row],[Returned]])</f>
        <v>60</v>
      </c>
      <c r="Y1168" s="76">
        <f>OrdersTable[[#This Row],[Net Revenue]]-OrdersTable[[#This Row],[COGS]]-OrdersTable[[#This Row],[Shipping Cost]]</f>
        <v>0.34999999999990905</v>
      </c>
      <c r="Z1168" s="78">
        <f>IFERROR(OrdersTable[[#This Row],[Profit]]/OrdersTable[[#This Row],[Net Revenue]],0)</f>
        <v>2.6936545195667763E-4</v>
      </c>
      <c r="AA1168" t="s">
        <v>18</v>
      </c>
      <c r="AB1168" s="79">
        <v>45534</v>
      </c>
      <c r="AC1168">
        <f>OrdersTable[[#This Row],[Delivery Date]]-OrdersTable[[#This Row],[Order Date]]</f>
        <v>5</v>
      </c>
      <c r="AD1168" t="str">
        <f>IF(OrdersTable[[#This Row],[Delivery Days]]&lt;=2, "Express (≤2d)", IF(OrdersTable[[#This Row],[Delivery Days]]&lt;=4, "Standard (3-4d)", "Delayed (5d+)"))</f>
        <v>Delayed (5d+)</v>
      </c>
      <c r="AE1168">
        <v>3</v>
      </c>
      <c r="AF1168">
        <v>0</v>
      </c>
    </row>
    <row r="1169" spans="1:32" ht="15" x14ac:dyDescent="0.35">
      <c r="A1169" t="s">
        <v>1881</v>
      </c>
      <c r="B1169" s="1">
        <v>45529</v>
      </c>
      <c r="C1169">
        <f>YEAR(OrdersTable[[#This Row],[Order Date]])</f>
        <v>2024</v>
      </c>
      <c r="D1169" s="2">
        <f>DATE(YEAR(OrdersTable[[#This Row],[Order Date]]),MONTH(OrdersTable[[#This Row],[Order Date]]),1)</f>
        <v>45505</v>
      </c>
      <c r="E1169">
        <f>MONTH(OrdersTable[[#This Row],[Order Date]])</f>
        <v>8</v>
      </c>
      <c r="F1169" t="s">
        <v>202</v>
      </c>
      <c r="G1169" t="str">
        <f>IF(OrdersTable[[#This Row],[Order Date]]=_xlfn.MINIFS(Order_Date, Customer_ID, OrdersTable[[#This Row],[Customer ID]]), "New", "Repeat")</f>
        <v>New</v>
      </c>
      <c r="H1169" t="s">
        <v>128</v>
      </c>
      <c r="I1169" t="str">
        <f>INDEX(State!B:B,MATCH(OrdersTable[[#This Row],[State]],State!A:A,0))</f>
        <v>DL</v>
      </c>
      <c r="J1169" t="str">
        <f>INDEX(State!C:C,MATCH(OrdersTable[[#This Row],[State Code]],State!B:B,0))</f>
        <v>North</v>
      </c>
      <c r="K1169" t="s">
        <v>129</v>
      </c>
      <c r="L1169" t="s">
        <v>50</v>
      </c>
      <c r="M1169" t="s">
        <v>109</v>
      </c>
      <c r="N1169" t="str">
        <f>INDEX(Products!B:B,MATCH(OrdersTable[[#This Row],[Product ID]],Products!A:A,0))</f>
        <v>Onion Hair Oil</v>
      </c>
      <c r="O1169" t="str">
        <f>INDEX(Products!C:C,MATCH(OrdersTable[[#This Row],[Product ID]],Products!A:A,0))</f>
        <v>Haircare</v>
      </c>
      <c r="P1169">
        <v>1</v>
      </c>
      <c r="Q1169" s="5">
        <v>349</v>
      </c>
      <c r="R1169" s="74">
        <v>0.4</v>
      </c>
      <c r="S1169" s="75">
        <f>OrdersTable[[#This Row],[Quantity]]*OrdersTable[[#This Row],[Unit Price]]</f>
        <v>349</v>
      </c>
      <c r="T1169" s="5">
        <f>OrdersTable[[#This Row],[Gross Sale]]*OrdersTable[[#This Row],[Discount_Clean2]]</f>
        <v>139.6</v>
      </c>
      <c r="U1169" s="5">
        <f>OrdersTable[[#This Row],[Gross Sale]]-OrdersTable[[#This Row],[Discount Amount]]</f>
        <v>209.4</v>
      </c>
      <c r="V1169" s="77">
        <f>INDEX(Products!E:E,MATCH(OrdersTable[[#This Row],[Product ID]],Products!A:A,0))</f>
        <v>105</v>
      </c>
      <c r="W1169" s="77">
        <f>OrdersTable[[#This Row],[Quantity]]*OrdersTable[[#This Row],[Unit Cost]]</f>
        <v>105</v>
      </c>
      <c r="X1169" s="77">
        <f>'Dropdown Lists'!$I$2*(1+OrdersTable[[#This Row],[Returned]])</f>
        <v>60</v>
      </c>
      <c r="Y1169" s="76">
        <f>OrdersTable[[#This Row],[Net Revenue]]-OrdersTable[[#This Row],[COGS]]-OrdersTable[[#This Row],[Shipping Cost]]</f>
        <v>44.400000000000006</v>
      </c>
      <c r="Z1169" s="78">
        <f>IFERROR(OrdersTable[[#This Row],[Profit]]/OrdersTable[[#This Row],[Net Revenue]],0)</f>
        <v>0.21203438395415475</v>
      </c>
      <c r="AA1169" t="s">
        <v>18</v>
      </c>
      <c r="AB1169" s="79">
        <v>45531</v>
      </c>
      <c r="AC1169">
        <f>OrdersTable[[#This Row],[Delivery Date]]-OrdersTable[[#This Row],[Order Date]]</f>
        <v>2</v>
      </c>
      <c r="AD1169" t="str">
        <f>IF(OrdersTable[[#This Row],[Delivery Days]]&lt;=2, "Express (≤2d)", IF(OrdersTable[[#This Row],[Delivery Days]]&lt;=4, "Standard (3-4d)", "Delayed (5d+)"))</f>
        <v>Express (≤2d)</v>
      </c>
      <c r="AE1169">
        <v>3</v>
      </c>
      <c r="AF1169">
        <v>0</v>
      </c>
    </row>
    <row r="1170" spans="1:32" ht="15" x14ac:dyDescent="0.35">
      <c r="A1170" t="s">
        <v>4671</v>
      </c>
      <c r="B1170" s="1">
        <v>45529</v>
      </c>
      <c r="C1170">
        <f>YEAR(OrdersTable[[#This Row],[Order Date]])</f>
        <v>2024</v>
      </c>
      <c r="D1170" s="2">
        <f>DATE(YEAR(OrdersTable[[#This Row],[Order Date]]),MONTH(OrdersTable[[#This Row],[Order Date]]),1)</f>
        <v>45505</v>
      </c>
      <c r="E1170">
        <f>MONTH(OrdersTable[[#This Row],[Order Date]])</f>
        <v>8</v>
      </c>
      <c r="F1170" t="s">
        <v>1503</v>
      </c>
      <c r="G1170" t="str">
        <f>IF(OrdersTable[[#This Row],[Order Date]]=_xlfn.MINIFS(Order_Date, Customer_ID, OrdersTable[[#This Row],[Customer ID]]), "New", "Repeat")</f>
        <v>Repeat</v>
      </c>
      <c r="H1170" t="s">
        <v>128</v>
      </c>
      <c r="I1170" t="str">
        <f>INDEX(State!B:B,MATCH(OrdersTable[[#This Row],[State]],State!A:A,0))</f>
        <v>DL</v>
      </c>
      <c r="J1170" t="str">
        <f>INDEX(State!C:C,MATCH(OrdersTable[[#This Row],[State Code]],State!B:B,0))</f>
        <v>North</v>
      </c>
      <c r="K1170" t="s">
        <v>129</v>
      </c>
      <c r="L1170" t="s">
        <v>23</v>
      </c>
      <c r="M1170" t="s">
        <v>34</v>
      </c>
      <c r="N1170" t="str">
        <f>INDEX(Products!B:B,MATCH(OrdersTable[[#This Row],[Product ID]],Products!A:A,0))</f>
        <v>Flip Flops</v>
      </c>
      <c r="O1170" t="str">
        <f>INDEX(Products!C:C,MATCH(OrdersTable[[#This Row],[Product ID]],Products!A:A,0))</f>
        <v>Footwear</v>
      </c>
      <c r="P1170">
        <v>1</v>
      </c>
      <c r="Q1170" s="5">
        <v>399</v>
      </c>
      <c r="R1170" s="74">
        <v>0.2</v>
      </c>
      <c r="S1170" s="75">
        <f>OrdersTable[[#This Row],[Quantity]]*OrdersTable[[#This Row],[Unit Price]]</f>
        <v>399</v>
      </c>
      <c r="T1170" s="5">
        <f>OrdersTable[[#This Row],[Gross Sale]]*OrdersTable[[#This Row],[Discount_Clean2]]</f>
        <v>79.800000000000011</v>
      </c>
      <c r="U1170" s="5">
        <f>OrdersTable[[#This Row],[Gross Sale]]-OrdersTable[[#This Row],[Discount Amount]]</f>
        <v>319.2</v>
      </c>
      <c r="V1170" s="77">
        <f>INDEX(Products!E:E,MATCH(OrdersTable[[#This Row],[Product ID]],Products!A:A,0))</f>
        <v>152</v>
      </c>
      <c r="W1170" s="77">
        <f>OrdersTable[[#This Row],[Quantity]]*OrdersTable[[#This Row],[Unit Cost]]</f>
        <v>152</v>
      </c>
      <c r="X1170" s="77">
        <f>'Dropdown Lists'!$I$2*(1+OrdersTable[[#This Row],[Returned]])</f>
        <v>60</v>
      </c>
      <c r="Y1170" s="76">
        <f>OrdersTable[[#This Row],[Net Revenue]]-OrdersTable[[#This Row],[COGS]]-OrdersTable[[#This Row],[Shipping Cost]]</f>
        <v>107.19999999999999</v>
      </c>
      <c r="Z1170" s="78">
        <f>IFERROR(OrdersTable[[#This Row],[Profit]]/OrdersTable[[#This Row],[Net Revenue]],0)</f>
        <v>0.33583959899749372</v>
      </c>
      <c r="AA1170" t="s">
        <v>4450</v>
      </c>
      <c r="AB1170" s="79">
        <v>45533</v>
      </c>
      <c r="AC1170">
        <f>OrdersTable[[#This Row],[Delivery Date]]-OrdersTable[[#This Row],[Order Date]]</f>
        <v>4</v>
      </c>
      <c r="AD1170" t="str">
        <f>IF(OrdersTable[[#This Row],[Delivery Days]]&lt;=2, "Express (≤2d)", IF(OrdersTable[[#This Row],[Delivery Days]]&lt;=4, "Standard (3-4d)", "Delayed (5d+)"))</f>
        <v>Standard (3-4d)</v>
      </c>
      <c r="AE1170">
        <v>3</v>
      </c>
      <c r="AF1170">
        <v>0</v>
      </c>
    </row>
    <row r="1171" spans="1:32" ht="15" x14ac:dyDescent="0.35">
      <c r="A1171" t="s">
        <v>504</v>
      </c>
      <c r="B1171" s="1">
        <v>45529</v>
      </c>
      <c r="C1171">
        <f>YEAR(OrdersTable[[#This Row],[Order Date]])</f>
        <v>2024</v>
      </c>
      <c r="D1171" s="2">
        <f>DATE(YEAR(OrdersTable[[#This Row],[Order Date]]),MONTH(OrdersTable[[#This Row],[Order Date]]),1)</f>
        <v>45505</v>
      </c>
      <c r="E1171">
        <f>MONTH(OrdersTable[[#This Row],[Order Date]])</f>
        <v>8</v>
      </c>
      <c r="F1171" t="s">
        <v>358</v>
      </c>
      <c r="G1171" t="str">
        <f>IF(OrdersTable[[#This Row],[Order Date]]=_xlfn.MINIFS(Order_Date, Customer_ID, OrdersTable[[#This Row],[Customer ID]]), "New", "Repeat")</f>
        <v>New</v>
      </c>
      <c r="H1171" t="s">
        <v>128</v>
      </c>
      <c r="I1171" t="str">
        <f>INDEX(State!B:B,MATCH(OrdersTable[[#This Row],[State]],State!A:A,0))</f>
        <v>DL</v>
      </c>
      <c r="J1171" t="str">
        <f>INDEX(State!C:C,MATCH(OrdersTable[[#This Row],[State Code]],State!B:B,0))</f>
        <v>North</v>
      </c>
      <c r="K1171" t="s">
        <v>129</v>
      </c>
      <c r="L1171" t="s">
        <v>39</v>
      </c>
      <c r="M1171" t="s">
        <v>61</v>
      </c>
      <c r="N1171" t="str">
        <f>INDEX(Products!B:B,MATCH(OrdersTable[[#This Row],[Product ID]],Products!A:A,0))</f>
        <v>Multivitamin Gummies</v>
      </c>
      <c r="O1171" t="str">
        <f>INDEX(Products!C:C,MATCH(OrdersTable[[#This Row],[Product ID]],Products!A:A,0))</f>
        <v>Wellness</v>
      </c>
      <c r="P1171">
        <v>1</v>
      </c>
      <c r="Q1171" s="5">
        <v>699</v>
      </c>
      <c r="R1171" s="74">
        <v>0.15</v>
      </c>
      <c r="S1171" s="75">
        <f>OrdersTable[[#This Row],[Quantity]]*OrdersTable[[#This Row],[Unit Price]]</f>
        <v>699</v>
      </c>
      <c r="T1171" s="5">
        <f>OrdersTable[[#This Row],[Gross Sale]]*OrdersTable[[#This Row],[Discount_Clean2]]</f>
        <v>104.85</v>
      </c>
      <c r="U1171" s="5">
        <f>OrdersTable[[#This Row],[Gross Sale]]-OrdersTable[[#This Row],[Discount Amount]]</f>
        <v>594.15</v>
      </c>
      <c r="V1171" s="77">
        <f>INDEX(Products!E:E,MATCH(OrdersTable[[#This Row],[Product ID]],Products!A:A,0))</f>
        <v>238</v>
      </c>
      <c r="W1171" s="77">
        <f>OrdersTable[[#This Row],[Quantity]]*OrdersTable[[#This Row],[Unit Cost]]</f>
        <v>238</v>
      </c>
      <c r="X1171" s="77">
        <f>'Dropdown Lists'!$I$2*(1+OrdersTable[[#This Row],[Returned]])</f>
        <v>60</v>
      </c>
      <c r="Y1171" s="76">
        <f>OrdersTable[[#This Row],[Net Revenue]]-OrdersTable[[#This Row],[COGS]]-OrdersTable[[#This Row],[Shipping Cost]]</f>
        <v>296.14999999999998</v>
      </c>
      <c r="Z1171" s="78">
        <f>IFERROR(OrdersTable[[#This Row],[Profit]]/OrdersTable[[#This Row],[Net Revenue]],0)</f>
        <v>0.49844315408566858</v>
      </c>
      <c r="AA1171" t="s">
        <v>18</v>
      </c>
      <c r="AB1171" s="79">
        <v>45533</v>
      </c>
      <c r="AC1171">
        <f>OrdersTable[[#This Row],[Delivery Date]]-OrdersTable[[#This Row],[Order Date]]</f>
        <v>4</v>
      </c>
      <c r="AD1171" t="str">
        <f>IF(OrdersTable[[#This Row],[Delivery Days]]&lt;=2, "Express (≤2d)", IF(OrdersTable[[#This Row],[Delivery Days]]&lt;=4, "Standard (3-4d)", "Delayed (5d+)"))</f>
        <v>Standard (3-4d)</v>
      </c>
      <c r="AE1171">
        <v>4</v>
      </c>
      <c r="AF1171">
        <v>0</v>
      </c>
    </row>
    <row r="1172" spans="1:32" ht="15" x14ac:dyDescent="0.35">
      <c r="A1172" t="s">
        <v>3862</v>
      </c>
      <c r="B1172" s="1">
        <v>45529</v>
      </c>
      <c r="C1172">
        <f>YEAR(OrdersTable[[#This Row],[Order Date]])</f>
        <v>2024</v>
      </c>
      <c r="D1172" s="2">
        <f>DATE(YEAR(OrdersTable[[#This Row],[Order Date]]),MONTH(OrdersTable[[#This Row],[Order Date]]),1)</f>
        <v>45505</v>
      </c>
      <c r="E1172">
        <f>MONTH(OrdersTable[[#This Row],[Order Date]])</f>
        <v>8</v>
      </c>
      <c r="F1172" t="s">
        <v>2859</v>
      </c>
      <c r="G1172" t="str">
        <f>IF(OrdersTable[[#This Row],[Order Date]]=_xlfn.MINIFS(Order_Date, Customer_ID, OrdersTable[[#This Row],[Customer ID]]), "New", "Repeat")</f>
        <v>New</v>
      </c>
      <c r="H1172" t="s">
        <v>43</v>
      </c>
      <c r="I1172" t="str">
        <f>INDEX(State!B:B,MATCH(OrdersTable[[#This Row],[State]],State!A:A,0))</f>
        <v>MP</v>
      </c>
      <c r="J1172" t="str">
        <f>INDEX(State!C:C,MATCH(OrdersTable[[#This Row],[State Code]],State!B:B,0))</f>
        <v>West</v>
      </c>
      <c r="K1172" t="s">
        <v>44</v>
      </c>
      <c r="L1172" t="s">
        <v>65</v>
      </c>
      <c r="M1172" t="s">
        <v>78</v>
      </c>
      <c r="N1172" t="str">
        <f>INDEX(Products!B:B,MATCH(OrdersTable[[#This Row],[Product ID]],Products!A:A,0))</f>
        <v>Retinol Night Cream</v>
      </c>
      <c r="O1172" t="str">
        <f>INDEX(Products!C:C,MATCH(OrdersTable[[#This Row],[Product ID]],Products!A:A,0))</f>
        <v>Skincare</v>
      </c>
      <c r="P1172">
        <v>1</v>
      </c>
      <c r="Q1172" s="5">
        <v>799</v>
      </c>
      <c r="R1172" s="74">
        <v>0.15</v>
      </c>
      <c r="S1172" s="75">
        <f>OrdersTable[[#This Row],[Quantity]]*OrdersTable[[#This Row],[Unit Price]]</f>
        <v>799</v>
      </c>
      <c r="T1172" s="5">
        <f>OrdersTable[[#This Row],[Gross Sale]]*OrdersTable[[#This Row],[Discount_Clean2]]</f>
        <v>119.85</v>
      </c>
      <c r="U1172" s="5">
        <f>OrdersTable[[#This Row],[Gross Sale]]-OrdersTable[[#This Row],[Discount Amount]]</f>
        <v>679.15</v>
      </c>
      <c r="V1172" s="77">
        <f>INDEX(Products!E:E,MATCH(OrdersTable[[#This Row],[Product ID]],Products!A:A,0))</f>
        <v>216</v>
      </c>
      <c r="W1172" s="77">
        <f>OrdersTable[[#This Row],[Quantity]]*OrdersTable[[#This Row],[Unit Cost]]</f>
        <v>216</v>
      </c>
      <c r="X1172" s="77">
        <f>'Dropdown Lists'!$I$2*(1+OrdersTable[[#This Row],[Returned]])</f>
        <v>120</v>
      </c>
      <c r="Y1172" s="76">
        <f>OrdersTable[[#This Row],[Net Revenue]]-OrdersTable[[#This Row],[COGS]]-OrdersTable[[#This Row],[Shipping Cost]]</f>
        <v>343.15</v>
      </c>
      <c r="Z1172" s="78">
        <f>IFERROR(OrdersTable[[#This Row],[Profit]]/OrdersTable[[#This Row],[Net Revenue]],0)</f>
        <v>0.50526393285724802</v>
      </c>
      <c r="AA1172" t="s">
        <v>3495</v>
      </c>
      <c r="AB1172" s="79">
        <v>45534</v>
      </c>
      <c r="AC1172">
        <f>OrdersTable[[#This Row],[Delivery Date]]-OrdersTable[[#This Row],[Order Date]]</f>
        <v>5</v>
      </c>
      <c r="AD1172" t="str">
        <f>IF(OrdersTable[[#This Row],[Delivery Days]]&lt;=2, "Express (≤2d)", IF(OrdersTable[[#This Row],[Delivery Days]]&lt;=4, "Standard (3-4d)", "Delayed (5d+)"))</f>
        <v>Delayed (5d+)</v>
      </c>
      <c r="AE1172">
        <v>3</v>
      </c>
      <c r="AF1172">
        <v>1</v>
      </c>
    </row>
    <row r="1173" spans="1:32" ht="15" x14ac:dyDescent="0.35">
      <c r="A1173" t="s">
        <v>5486</v>
      </c>
      <c r="B1173" s="1">
        <v>45529</v>
      </c>
      <c r="C1173">
        <f>YEAR(OrdersTable[[#This Row],[Order Date]])</f>
        <v>2024</v>
      </c>
      <c r="D1173" s="2">
        <f>DATE(YEAR(OrdersTable[[#This Row],[Order Date]]),MONTH(OrdersTable[[#This Row],[Order Date]]),1)</f>
        <v>45505</v>
      </c>
      <c r="E1173">
        <f>MONTH(OrdersTable[[#This Row],[Order Date]])</f>
        <v>8</v>
      </c>
      <c r="F1173" t="s">
        <v>4338</v>
      </c>
      <c r="G1173" t="str">
        <f>IF(OrdersTable[[#This Row],[Order Date]]=_xlfn.MINIFS(Order_Date, Customer_ID, OrdersTable[[#This Row],[Customer ID]]), "New", "Repeat")</f>
        <v>Repeat</v>
      </c>
      <c r="H1173" t="s">
        <v>71</v>
      </c>
      <c r="I1173" t="str">
        <f>INDEX(State!B:B,MATCH(OrdersTable[[#This Row],[State]],State!A:A,0))</f>
        <v>MH</v>
      </c>
      <c r="J1173" t="str">
        <f>INDEX(State!C:C,MATCH(OrdersTable[[#This Row],[State Code]],State!B:B,0))</f>
        <v>West</v>
      </c>
      <c r="K1173" t="s">
        <v>72</v>
      </c>
      <c r="L1173" t="s">
        <v>50</v>
      </c>
      <c r="M1173" t="s">
        <v>73</v>
      </c>
      <c r="N1173" t="str">
        <f>INDEX(Products!B:B,MATCH(OrdersTable[[#This Row],[Product ID]],Products!A:A,0))</f>
        <v>Hydrating Face Wash</v>
      </c>
      <c r="O1173" t="str">
        <f>INDEX(Products!C:C,MATCH(OrdersTable[[#This Row],[Product ID]],Products!A:A,0))</f>
        <v>Skincare</v>
      </c>
      <c r="P1173">
        <v>2</v>
      </c>
      <c r="Q1173" s="5">
        <v>299</v>
      </c>
      <c r="R1173" s="74">
        <v>0</v>
      </c>
      <c r="S1173" s="75">
        <f>OrdersTable[[#This Row],[Quantity]]*OrdersTable[[#This Row],[Unit Price]]</f>
        <v>598</v>
      </c>
      <c r="T1173" s="5">
        <f>OrdersTable[[#This Row],[Gross Sale]]*OrdersTable[[#This Row],[Discount_Clean2]]</f>
        <v>0</v>
      </c>
      <c r="U1173" s="5">
        <f>OrdersTable[[#This Row],[Gross Sale]]-OrdersTable[[#This Row],[Discount Amount]]</f>
        <v>598</v>
      </c>
      <c r="V1173" s="77">
        <f>INDEX(Products!E:E,MATCH(OrdersTable[[#This Row],[Product ID]],Products!A:A,0))</f>
        <v>90</v>
      </c>
      <c r="W1173" s="77">
        <f>OrdersTable[[#This Row],[Quantity]]*OrdersTable[[#This Row],[Unit Cost]]</f>
        <v>180</v>
      </c>
      <c r="X1173" s="77">
        <f>'Dropdown Lists'!$I$2*(1+OrdersTable[[#This Row],[Returned]])</f>
        <v>60</v>
      </c>
      <c r="Y1173" s="76">
        <f>OrdersTable[[#This Row],[Net Revenue]]-OrdersTable[[#This Row],[COGS]]-OrdersTable[[#This Row],[Shipping Cost]]</f>
        <v>358</v>
      </c>
      <c r="Z1173" s="78">
        <f>IFERROR(OrdersTable[[#This Row],[Profit]]/OrdersTable[[#This Row],[Net Revenue]],0)</f>
        <v>0.59866220735785958</v>
      </c>
      <c r="AA1173" t="s">
        <v>2522</v>
      </c>
      <c r="AB1173" s="79">
        <v>45530</v>
      </c>
      <c r="AC1173">
        <f>OrdersTable[[#This Row],[Delivery Date]]-OrdersTable[[#This Row],[Order Date]]</f>
        <v>1</v>
      </c>
      <c r="AD1173" t="str">
        <f>IF(OrdersTable[[#This Row],[Delivery Days]]&lt;=2, "Express (≤2d)", IF(OrdersTable[[#This Row],[Delivery Days]]&lt;=4, "Standard (3-4d)", "Delayed (5d+)"))</f>
        <v>Express (≤2d)</v>
      </c>
      <c r="AE1173">
        <v>4</v>
      </c>
      <c r="AF1173">
        <v>0</v>
      </c>
    </row>
    <row r="1174" spans="1:32" ht="15" x14ac:dyDescent="0.35">
      <c r="A1174" t="s">
        <v>2301</v>
      </c>
      <c r="B1174" s="1">
        <v>45529</v>
      </c>
      <c r="C1174">
        <f>YEAR(OrdersTable[[#This Row],[Order Date]])</f>
        <v>2024</v>
      </c>
      <c r="D1174" s="2">
        <f>DATE(YEAR(OrdersTable[[#This Row],[Order Date]]),MONTH(OrdersTable[[#This Row],[Order Date]]),1)</f>
        <v>45505</v>
      </c>
      <c r="E1174">
        <f>MONTH(OrdersTable[[#This Row],[Order Date]])</f>
        <v>8</v>
      </c>
      <c r="F1174" t="s">
        <v>2302</v>
      </c>
      <c r="G1174" t="str">
        <f>IF(OrdersTable[[#This Row],[Order Date]]=_xlfn.MINIFS(Order_Date, Customer_ID, OrdersTable[[#This Row],[Customer ID]]), "New", "Repeat")</f>
        <v>New</v>
      </c>
      <c r="H1174" t="s">
        <v>167</v>
      </c>
      <c r="I1174" t="str">
        <f>INDEX(State!B:B,MATCH(OrdersTable[[#This Row],[State]],State!A:A,0))</f>
        <v>KA</v>
      </c>
      <c r="J1174" t="str">
        <f>INDEX(State!C:C,MATCH(OrdersTable[[#This Row],[State Code]],State!B:B,0))</f>
        <v>South</v>
      </c>
      <c r="K1174" t="s">
        <v>168</v>
      </c>
      <c r="L1174" t="s">
        <v>50</v>
      </c>
      <c r="M1174" t="s">
        <v>73</v>
      </c>
      <c r="N1174" t="str">
        <f>INDEX(Products!B:B,MATCH(OrdersTable[[#This Row],[Product ID]],Products!A:A,0))</f>
        <v>Hydrating Face Wash</v>
      </c>
      <c r="O1174" t="str">
        <f>INDEX(Products!C:C,MATCH(OrdersTable[[#This Row],[Product ID]],Products!A:A,0))</f>
        <v>Skincare</v>
      </c>
      <c r="P1174">
        <v>1</v>
      </c>
      <c r="Q1174" s="5">
        <v>299</v>
      </c>
      <c r="R1174" s="74">
        <v>0</v>
      </c>
      <c r="S1174" s="75">
        <f>OrdersTable[[#This Row],[Quantity]]*OrdersTable[[#This Row],[Unit Price]]</f>
        <v>299</v>
      </c>
      <c r="T1174" s="5">
        <f>OrdersTable[[#This Row],[Gross Sale]]*OrdersTable[[#This Row],[Discount_Clean2]]</f>
        <v>0</v>
      </c>
      <c r="U1174" s="5">
        <f>OrdersTable[[#This Row],[Gross Sale]]-OrdersTable[[#This Row],[Discount Amount]]</f>
        <v>299</v>
      </c>
      <c r="V1174" s="77">
        <f>INDEX(Products!E:E,MATCH(OrdersTable[[#This Row],[Product ID]],Products!A:A,0))</f>
        <v>90</v>
      </c>
      <c r="W1174" s="77">
        <f>OrdersTable[[#This Row],[Quantity]]*OrdersTable[[#This Row],[Unit Cost]]</f>
        <v>90</v>
      </c>
      <c r="X1174" s="77">
        <f>'Dropdown Lists'!$I$2*(1+OrdersTable[[#This Row],[Returned]])</f>
        <v>60</v>
      </c>
      <c r="Y1174" s="76">
        <f>OrdersTable[[#This Row],[Net Revenue]]-OrdersTable[[#This Row],[COGS]]-OrdersTable[[#This Row],[Shipping Cost]]</f>
        <v>149</v>
      </c>
      <c r="Z1174" s="78">
        <f>IFERROR(OrdersTable[[#This Row],[Profit]]/OrdersTable[[#This Row],[Net Revenue]],0)</f>
        <v>0.49832775919732442</v>
      </c>
      <c r="AA1174" t="s">
        <v>18</v>
      </c>
      <c r="AB1174" s="79">
        <v>45531</v>
      </c>
      <c r="AC1174">
        <f>OrdersTable[[#This Row],[Delivery Date]]-OrdersTable[[#This Row],[Order Date]]</f>
        <v>2</v>
      </c>
      <c r="AD1174" t="str">
        <f>IF(OrdersTable[[#This Row],[Delivery Days]]&lt;=2, "Express (≤2d)", IF(OrdersTable[[#This Row],[Delivery Days]]&lt;=4, "Standard (3-4d)", "Delayed (5d+)"))</f>
        <v>Express (≤2d)</v>
      </c>
      <c r="AE1174">
        <v>5</v>
      </c>
      <c r="AF1174">
        <v>0</v>
      </c>
    </row>
    <row r="1175" spans="1:32" ht="15" x14ac:dyDescent="0.35">
      <c r="A1175" t="s">
        <v>6081</v>
      </c>
      <c r="B1175" s="1">
        <v>45529</v>
      </c>
      <c r="C1175">
        <f>YEAR(OrdersTable[[#This Row],[Order Date]])</f>
        <v>2024</v>
      </c>
      <c r="D1175" s="2">
        <f>DATE(YEAR(OrdersTable[[#This Row],[Order Date]]),MONTH(OrdersTable[[#This Row],[Order Date]]),1)</f>
        <v>45505</v>
      </c>
      <c r="E1175">
        <f>MONTH(OrdersTable[[#This Row],[Order Date]])</f>
        <v>8</v>
      </c>
      <c r="F1175" t="s">
        <v>1861</v>
      </c>
      <c r="G1175" t="str">
        <f>IF(OrdersTable[[#This Row],[Order Date]]=_xlfn.MINIFS(Order_Date, Customer_ID, OrdersTable[[#This Row],[Customer ID]]), "New", "Repeat")</f>
        <v>Repeat</v>
      </c>
      <c r="H1175" t="s">
        <v>167</v>
      </c>
      <c r="I1175" t="str">
        <f>INDEX(State!B:B,MATCH(OrdersTable[[#This Row],[State]],State!A:A,0))</f>
        <v>KA</v>
      </c>
      <c r="J1175" t="str">
        <f>INDEX(State!C:C,MATCH(OrdersTable[[#This Row],[State Code]],State!B:B,0))</f>
        <v>South</v>
      </c>
      <c r="K1175" t="s">
        <v>190</v>
      </c>
      <c r="L1175" t="s">
        <v>16</v>
      </c>
      <c r="M1175" t="s">
        <v>87</v>
      </c>
      <c r="N1175" t="str">
        <f>INDEX(Products!B:B,MATCH(OrdersTable[[#This Row],[Product ID]],Products!A:A,0))</f>
        <v>Linen Kurta</v>
      </c>
      <c r="O1175" t="str">
        <f>INDEX(Products!C:C,MATCH(OrdersTable[[#This Row],[Product ID]],Products!A:A,0))</f>
        <v>Apparel</v>
      </c>
      <c r="P1175">
        <v>2</v>
      </c>
      <c r="Q1175" s="5">
        <v>1499</v>
      </c>
      <c r="R1175" s="74">
        <v>0.4</v>
      </c>
      <c r="S1175" s="75">
        <f>OrdersTable[[#This Row],[Quantity]]*OrdersTable[[#This Row],[Unit Price]]</f>
        <v>2998</v>
      </c>
      <c r="T1175" s="5">
        <f>OrdersTable[[#This Row],[Gross Sale]]*OrdersTable[[#This Row],[Discount_Clean2]]</f>
        <v>1199.2</v>
      </c>
      <c r="U1175" s="5">
        <f>OrdersTable[[#This Row],[Gross Sale]]-OrdersTable[[#This Row],[Discount Amount]]</f>
        <v>1798.8</v>
      </c>
      <c r="V1175" s="77">
        <f>INDEX(Products!E:E,MATCH(OrdersTable[[#This Row],[Product ID]],Products!A:A,0))</f>
        <v>630</v>
      </c>
      <c r="W1175" s="77">
        <f>OrdersTable[[#This Row],[Quantity]]*OrdersTable[[#This Row],[Unit Cost]]</f>
        <v>1260</v>
      </c>
      <c r="X1175" s="77">
        <f>'Dropdown Lists'!$I$2*(1+OrdersTable[[#This Row],[Returned]])</f>
        <v>60</v>
      </c>
      <c r="Y1175" s="76">
        <f>OrdersTable[[#This Row],[Net Revenue]]-OrdersTable[[#This Row],[COGS]]-OrdersTable[[#This Row],[Shipping Cost]]</f>
        <v>478.79999999999995</v>
      </c>
      <c r="Z1175" s="78">
        <f>IFERROR(OrdersTable[[#This Row],[Profit]]/OrdersTable[[#This Row],[Net Revenue]],0)</f>
        <v>0.26617745163442291</v>
      </c>
      <c r="AA1175" t="s">
        <v>18</v>
      </c>
      <c r="AB1175" s="79">
        <v>45531</v>
      </c>
      <c r="AC1175">
        <f>OrdersTable[[#This Row],[Delivery Date]]-OrdersTable[[#This Row],[Order Date]]</f>
        <v>2</v>
      </c>
      <c r="AD1175" t="str">
        <f>IF(OrdersTable[[#This Row],[Delivery Days]]&lt;=2, "Express (≤2d)", IF(OrdersTable[[#This Row],[Delivery Days]]&lt;=4, "Standard (3-4d)", "Delayed (5d+)"))</f>
        <v>Express (≤2d)</v>
      </c>
      <c r="AE1175">
        <v>4</v>
      </c>
      <c r="AF1175">
        <v>0</v>
      </c>
    </row>
    <row r="1176" spans="1:32" ht="15" x14ac:dyDescent="0.35">
      <c r="A1176" t="s">
        <v>5105</v>
      </c>
      <c r="B1176" s="1">
        <v>45529</v>
      </c>
      <c r="C1176">
        <f>YEAR(OrdersTable[[#This Row],[Order Date]])</f>
        <v>2024</v>
      </c>
      <c r="D1176" s="2">
        <f>DATE(YEAR(OrdersTable[[#This Row],[Order Date]]),MONTH(OrdersTable[[#This Row],[Order Date]]),1)</f>
        <v>45505</v>
      </c>
      <c r="E1176">
        <f>MONTH(OrdersTable[[#This Row],[Order Date]])</f>
        <v>8</v>
      </c>
      <c r="F1176" t="s">
        <v>3761</v>
      </c>
      <c r="G1176" t="str">
        <f>IF(OrdersTable[[#This Row],[Order Date]]=_xlfn.MINIFS(Order_Date, Customer_ID, OrdersTable[[#This Row],[Customer ID]]), "New", "Repeat")</f>
        <v>Repeat</v>
      </c>
      <c r="H1176" t="s">
        <v>59</v>
      </c>
      <c r="I1176" t="str">
        <f>INDEX(State!B:B,MATCH(OrdersTable[[#This Row],[State]],State!A:A,0))</f>
        <v>TN</v>
      </c>
      <c r="J1176" t="str">
        <f>INDEX(State!C:C,MATCH(OrdersTable[[#This Row],[State Code]],State!B:B,0))</f>
        <v>South</v>
      </c>
      <c r="K1176" t="s">
        <v>60</v>
      </c>
      <c r="L1176" t="s">
        <v>23</v>
      </c>
      <c r="M1176" t="s">
        <v>66</v>
      </c>
      <c r="N1176" t="str">
        <f>INDEX(Products!B:B,MATCH(OrdersTable[[#This Row],[Product ID]],Products!A:A,0))</f>
        <v>Sunscreen SPF 50</v>
      </c>
      <c r="O1176" t="str">
        <f>INDEX(Products!C:C,MATCH(OrdersTable[[#This Row],[Product ID]],Products!A:A,0))</f>
        <v>Skincare</v>
      </c>
      <c r="P1176">
        <v>2</v>
      </c>
      <c r="Q1176" s="5">
        <v>449</v>
      </c>
      <c r="R1176" s="74">
        <v>0.05</v>
      </c>
      <c r="S1176" s="75">
        <f>OrdersTable[[#This Row],[Quantity]]*OrdersTable[[#This Row],[Unit Price]]</f>
        <v>898</v>
      </c>
      <c r="T1176" s="5">
        <f>OrdersTable[[#This Row],[Gross Sale]]*OrdersTable[[#This Row],[Discount_Clean2]]</f>
        <v>44.900000000000006</v>
      </c>
      <c r="U1176" s="5">
        <f>OrdersTable[[#This Row],[Gross Sale]]-OrdersTable[[#This Row],[Discount Amount]]</f>
        <v>853.1</v>
      </c>
      <c r="V1176" s="77">
        <f>INDEX(Products!E:E,MATCH(OrdersTable[[#This Row],[Product ID]],Products!A:A,0))</f>
        <v>144</v>
      </c>
      <c r="W1176" s="77">
        <f>OrdersTable[[#This Row],[Quantity]]*OrdersTable[[#This Row],[Unit Cost]]</f>
        <v>288</v>
      </c>
      <c r="X1176" s="77">
        <f>'Dropdown Lists'!$I$2*(1+OrdersTable[[#This Row],[Returned]])</f>
        <v>60</v>
      </c>
      <c r="Y1176" s="76">
        <f>OrdersTable[[#This Row],[Net Revenue]]-OrdersTable[[#This Row],[COGS]]-OrdersTable[[#This Row],[Shipping Cost]]</f>
        <v>505.1</v>
      </c>
      <c r="Z1176" s="78">
        <f>IFERROR(OrdersTable[[#This Row],[Profit]]/OrdersTable[[#This Row],[Net Revenue]],0)</f>
        <v>0.59207595826983939</v>
      </c>
      <c r="AA1176" t="s">
        <v>3495</v>
      </c>
      <c r="AB1176" s="79">
        <v>45530</v>
      </c>
      <c r="AC1176">
        <f>OrdersTable[[#This Row],[Delivery Date]]-OrdersTable[[#This Row],[Order Date]]</f>
        <v>1</v>
      </c>
      <c r="AD1176" t="str">
        <f>IF(OrdersTable[[#This Row],[Delivery Days]]&lt;=2, "Express (≤2d)", IF(OrdersTable[[#This Row],[Delivery Days]]&lt;=4, "Standard (3-4d)", "Delayed (5d+)"))</f>
        <v>Express (≤2d)</v>
      </c>
      <c r="AE1176">
        <v>5</v>
      </c>
      <c r="AF1176">
        <v>0</v>
      </c>
    </row>
    <row r="1177" spans="1:32" ht="15" x14ac:dyDescent="0.35">
      <c r="A1177" t="s">
        <v>2943</v>
      </c>
      <c r="B1177" s="1">
        <v>45530</v>
      </c>
      <c r="C1177">
        <f>YEAR(OrdersTable[[#This Row],[Order Date]])</f>
        <v>2024</v>
      </c>
      <c r="D1177" s="2">
        <f>DATE(YEAR(OrdersTable[[#This Row],[Order Date]]),MONTH(OrdersTable[[#This Row],[Order Date]]),1)</f>
        <v>45505</v>
      </c>
      <c r="E1177">
        <f>MONTH(OrdersTable[[#This Row],[Order Date]])</f>
        <v>8</v>
      </c>
      <c r="F1177" t="s">
        <v>1378</v>
      </c>
      <c r="G1177" t="str">
        <f>IF(OrdersTable[[#This Row],[Order Date]]=_xlfn.MINIFS(Order_Date, Customer_ID, OrdersTable[[#This Row],[Customer ID]]), "New", "Repeat")</f>
        <v>New</v>
      </c>
      <c r="H1177" t="s">
        <v>210</v>
      </c>
      <c r="I1177" t="str">
        <f>INDEX(State!B:B,MATCH(OrdersTable[[#This Row],[State]],State!A:A,0))</f>
        <v>JK</v>
      </c>
      <c r="J1177" t="str">
        <f>INDEX(State!C:C,MATCH(OrdersTable[[#This Row],[State Code]],State!B:B,0))</f>
        <v>North</v>
      </c>
      <c r="K1177" t="s">
        <v>415</v>
      </c>
      <c r="L1177" t="s">
        <v>65</v>
      </c>
      <c r="M1177" t="s">
        <v>255</v>
      </c>
      <c r="N1177" t="str">
        <f>INDEX(Products!B:B,MATCH(OrdersTable[[#This Row],[Product ID]],Products!A:A,0))</f>
        <v>Cotton Oversized T-Shirt</v>
      </c>
      <c r="O1177" t="str">
        <f>INDEX(Products!C:C,MATCH(OrdersTable[[#This Row],[Product ID]],Products!A:A,0))</f>
        <v>Apparel</v>
      </c>
      <c r="P1177">
        <v>1</v>
      </c>
      <c r="Q1177" s="5">
        <v>799</v>
      </c>
      <c r="R1177" s="74">
        <v>0</v>
      </c>
      <c r="S1177" s="75">
        <f>OrdersTable[[#This Row],[Quantity]]*OrdersTable[[#This Row],[Unit Price]]</f>
        <v>799</v>
      </c>
      <c r="T1177" s="5">
        <f>OrdersTable[[#This Row],[Gross Sale]]*OrdersTable[[#This Row],[Discount_Clean2]]</f>
        <v>0</v>
      </c>
      <c r="U1177" s="5">
        <f>OrdersTable[[#This Row],[Gross Sale]]-OrdersTable[[#This Row],[Discount Amount]]</f>
        <v>799</v>
      </c>
      <c r="V1177" s="77">
        <f>INDEX(Products!E:E,MATCH(OrdersTable[[#This Row],[Product ID]],Products!A:A,0))</f>
        <v>320</v>
      </c>
      <c r="W1177" s="77">
        <f>OrdersTable[[#This Row],[Quantity]]*OrdersTable[[#This Row],[Unit Cost]]</f>
        <v>320</v>
      </c>
      <c r="X1177" s="77">
        <f>'Dropdown Lists'!$I$2*(1+OrdersTable[[#This Row],[Returned]])</f>
        <v>60</v>
      </c>
      <c r="Y1177" s="76">
        <f>OrdersTable[[#This Row],[Net Revenue]]-OrdersTable[[#This Row],[COGS]]-OrdersTable[[#This Row],[Shipping Cost]]</f>
        <v>419</v>
      </c>
      <c r="Z1177" s="78">
        <f>IFERROR(OrdersTable[[#This Row],[Profit]]/OrdersTable[[#This Row],[Net Revenue]],0)</f>
        <v>0.52440550688360454</v>
      </c>
      <c r="AA1177" t="s">
        <v>2522</v>
      </c>
      <c r="AB1177" s="79">
        <v>45535</v>
      </c>
      <c r="AC1177">
        <f>OrdersTable[[#This Row],[Delivery Date]]-OrdersTable[[#This Row],[Order Date]]</f>
        <v>5</v>
      </c>
      <c r="AD1177" t="str">
        <f>IF(OrdersTable[[#This Row],[Delivery Days]]&lt;=2, "Express (≤2d)", IF(OrdersTable[[#This Row],[Delivery Days]]&lt;=4, "Standard (3-4d)", "Delayed (5d+)"))</f>
        <v>Delayed (5d+)</v>
      </c>
      <c r="AF1177">
        <v>0</v>
      </c>
    </row>
    <row r="1178" spans="1:32" ht="15" x14ac:dyDescent="0.35">
      <c r="A1178" t="s">
        <v>6297</v>
      </c>
      <c r="B1178" s="1">
        <v>45530</v>
      </c>
      <c r="C1178">
        <f>YEAR(OrdersTable[[#This Row],[Order Date]])</f>
        <v>2024</v>
      </c>
      <c r="D1178" s="2">
        <f>DATE(YEAR(OrdersTable[[#This Row],[Order Date]]),MONTH(OrdersTable[[#This Row],[Order Date]]),1)</f>
        <v>45505</v>
      </c>
      <c r="E1178">
        <f>MONTH(OrdersTable[[#This Row],[Order Date]])</f>
        <v>8</v>
      </c>
      <c r="F1178" t="s">
        <v>115</v>
      </c>
      <c r="G1178" t="str">
        <f>IF(OrdersTable[[#This Row],[Order Date]]=_xlfn.MINIFS(Order_Date, Customer_ID, OrdersTable[[#This Row],[Customer ID]]), "New", "Repeat")</f>
        <v>Repeat</v>
      </c>
      <c r="H1178" t="s">
        <v>76</v>
      </c>
      <c r="I1178" t="str">
        <f>INDEX(State!B:B,MATCH(OrdersTable[[#This Row],[State]],State!A:A,0))</f>
        <v>UP</v>
      </c>
      <c r="J1178" t="str">
        <f>INDEX(State!C:C,MATCH(OrdersTable[[#This Row],[State Code]],State!B:B,0))</f>
        <v>North</v>
      </c>
      <c r="K1178" t="s">
        <v>105</v>
      </c>
      <c r="L1178" t="s">
        <v>16</v>
      </c>
      <c r="M1178" t="s">
        <v>34</v>
      </c>
      <c r="N1178" t="str">
        <f>INDEX(Products!B:B,MATCH(OrdersTable[[#This Row],[Product ID]],Products!A:A,0))</f>
        <v>Flip Flops</v>
      </c>
      <c r="O1178" t="str">
        <f>INDEX(Products!C:C,MATCH(OrdersTable[[#This Row],[Product ID]],Products!A:A,0))</f>
        <v>Footwear</v>
      </c>
      <c r="P1178">
        <v>2</v>
      </c>
      <c r="Q1178" s="5">
        <v>399</v>
      </c>
      <c r="R1178" s="74">
        <v>0.1</v>
      </c>
      <c r="S1178" s="75">
        <f>OrdersTable[[#This Row],[Quantity]]*OrdersTable[[#This Row],[Unit Price]]</f>
        <v>798</v>
      </c>
      <c r="T1178" s="5">
        <f>OrdersTable[[#This Row],[Gross Sale]]*OrdersTable[[#This Row],[Discount_Clean2]]</f>
        <v>79.800000000000011</v>
      </c>
      <c r="U1178" s="5">
        <f>OrdersTable[[#This Row],[Gross Sale]]-OrdersTable[[#This Row],[Discount Amount]]</f>
        <v>718.2</v>
      </c>
      <c r="V1178" s="77">
        <f>INDEX(Products!E:E,MATCH(OrdersTable[[#This Row],[Product ID]],Products!A:A,0))</f>
        <v>152</v>
      </c>
      <c r="W1178" s="77">
        <f>OrdersTable[[#This Row],[Quantity]]*OrdersTable[[#This Row],[Unit Cost]]</f>
        <v>304</v>
      </c>
      <c r="X1178" s="77">
        <f>'Dropdown Lists'!$I$2*(1+OrdersTable[[#This Row],[Returned]])</f>
        <v>60</v>
      </c>
      <c r="Y1178" s="76">
        <f>OrdersTable[[#This Row],[Net Revenue]]-OrdersTable[[#This Row],[COGS]]-OrdersTable[[#This Row],[Shipping Cost]]</f>
        <v>354.20000000000005</v>
      </c>
      <c r="Z1178" s="78">
        <f>IFERROR(OrdersTable[[#This Row],[Profit]]/OrdersTable[[#This Row],[Net Revenue]],0)</f>
        <v>0.49317738791423005</v>
      </c>
      <c r="AA1178" t="s">
        <v>18</v>
      </c>
      <c r="AB1178" s="79">
        <v>45535</v>
      </c>
      <c r="AC1178">
        <f>OrdersTable[[#This Row],[Delivery Date]]-OrdersTable[[#This Row],[Order Date]]</f>
        <v>5</v>
      </c>
      <c r="AD1178" t="str">
        <f>IF(OrdersTable[[#This Row],[Delivery Days]]&lt;=2, "Express (≤2d)", IF(OrdersTable[[#This Row],[Delivery Days]]&lt;=4, "Standard (3-4d)", "Delayed (5d+)"))</f>
        <v>Delayed (5d+)</v>
      </c>
      <c r="AE1178">
        <v>3</v>
      </c>
      <c r="AF1178">
        <v>0</v>
      </c>
    </row>
    <row r="1179" spans="1:32" ht="15" x14ac:dyDescent="0.35">
      <c r="A1179" t="s">
        <v>6963</v>
      </c>
      <c r="B1179" s="1">
        <v>45530</v>
      </c>
      <c r="C1179">
        <f>YEAR(OrdersTable[[#This Row],[Order Date]])</f>
        <v>2024</v>
      </c>
      <c r="D1179" s="2">
        <f>DATE(YEAR(OrdersTable[[#This Row],[Order Date]]),MONTH(OrdersTable[[#This Row],[Order Date]]),1)</f>
        <v>45505</v>
      </c>
      <c r="E1179">
        <f>MONTH(OrdersTable[[#This Row],[Order Date]])</f>
        <v>8</v>
      </c>
      <c r="F1179" t="s">
        <v>2292</v>
      </c>
      <c r="G1179" t="str">
        <f>IF(OrdersTable[[#This Row],[Order Date]]=_xlfn.MINIFS(Order_Date, Customer_ID, OrdersTable[[#This Row],[Customer ID]]), "New", "Repeat")</f>
        <v>Repeat</v>
      </c>
      <c r="H1179" t="s">
        <v>14</v>
      </c>
      <c r="I1179" t="str">
        <f>INDEX(State!B:B,MATCH(OrdersTable[[#This Row],[State]],State!A:A,0))</f>
        <v>OD</v>
      </c>
      <c r="J1179" t="str">
        <f>INDEX(State!C:C,MATCH(OrdersTable[[#This Row],[State Code]],State!B:B,0))</f>
        <v>East</v>
      </c>
      <c r="K1179" t="s">
        <v>15</v>
      </c>
      <c r="L1179" t="s">
        <v>23</v>
      </c>
      <c r="M1179" t="s">
        <v>148</v>
      </c>
      <c r="N1179" t="str">
        <f>INDEX(Products!B:B,MATCH(OrdersTable[[#This Row],[Product ID]],Products!A:A,0))</f>
        <v>Smartwatch Strap</v>
      </c>
      <c r="O1179" t="str">
        <f>INDEX(Products!C:C,MATCH(OrdersTable[[#This Row],[Product ID]],Products!A:A,0))</f>
        <v>Electronics</v>
      </c>
      <c r="P1179">
        <v>4</v>
      </c>
      <c r="Q1179" s="5">
        <v>499</v>
      </c>
      <c r="R1179" s="74">
        <v>0.1</v>
      </c>
      <c r="S1179" s="75">
        <f>OrdersTable[[#This Row],[Quantity]]*OrdersTable[[#This Row],[Unit Price]]</f>
        <v>1996</v>
      </c>
      <c r="T1179" s="5">
        <f>OrdersTable[[#This Row],[Gross Sale]]*OrdersTable[[#This Row],[Discount_Clean2]]</f>
        <v>199.60000000000002</v>
      </c>
      <c r="U1179" s="5">
        <f>OrdersTable[[#This Row],[Gross Sale]]-OrdersTable[[#This Row],[Discount Amount]]</f>
        <v>1796.4</v>
      </c>
      <c r="V1179" s="77">
        <f>INDEX(Products!E:E,MATCH(OrdersTable[[#This Row],[Product ID]],Products!A:A,0))</f>
        <v>200</v>
      </c>
      <c r="W1179" s="77">
        <f>OrdersTable[[#This Row],[Quantity]]*OrdersTable[[#This Row],[Unit Cost]]</f>
        <v>800</v>
      </c>
      <c r="X1179" s="77">
        <f>'Dropdown Lists'!$I$2*(1+OrdersTable[[#This Row],[Returned]])</f>
        <v>60</v>
      </c>
      <c r="Y1179" s="76">
        <f>OrdersTable[[#This Row],[Net Revenue]]-OrdersTable[[#This Row],[COGS]]-OrdersTable[[#This Row],[Shipping Cost]]</f>
        <v>936.40000000000009</v>
      </c>
      <c r="Z1179" s="78">
        <f>IFERROR(OrdersTable[[#This Row],[Profit]]/OrdersTable[[#This Row],[Net Revenue]],0)</f>
        <v>0.52126475172567355</v>
      </c>
      <c r="AA1179" t="s">
        <v>3495</v>
      </c>
      <c r="AB1179" s="79">
        <v>45533</v>
      </c>
      <c r="AC1179">
        <f>OrdersTable[[#This Row],[Delivery Date]]-OrdersTable[[#This Row],[Order Date]]</f>
        <v>3</v>
      </c>
      <c r="AD1179" t="str">
        <f>IF(OrdersTable[[#This Row],[Delivery Days]]&lt;=2, "Express (≤2d)", IF(OrdersTable[[#This Row],[Delivery Days]]&lt;=4, "Standard (3-4d)", "Delayed (5d+)"))</f>
        <v>Standard (3-4d)</v>
      </c>
      <c r="AF1179">
        <v>0</v>
      </c>
    </row>
    <row r="1180" spans="1:32" ht="15" x14ac:dyDescent="0.35">
      <c r="A1180" t="s">
        <v>505</v>
      </c>
      <c r="B1180" s="1">
        <v>45531</v>
      </c>
      <c r="C1180">
        <f>YEAR(OrdersTable[[#This Row],[Order Date]])</f>
        <v>2024</v>
      </c>
      <c r="D1180" s="2">
        <f>DATE(YEAR(OrdersTable[[#This Row],[Order Date]]),MONTH(OrdersTable[[#This Row],[Order Date]]),1)</f>
        <v>45505</v>
      </c>
      <c r="E1180">
        <f>MONTH(OrdersTable[[#This Row],[Order Date]])</f>
        <v>8</v>
      </c>
      <c r="F1180" t="s">
        <v>506</v>
      </c>
      <c r="G1180" t="str">
        <f>IF(OrdersTable[[#This Row],[Order Date]]=_xlfn.MINIFS(Order_Date, Customer_ID, OrdersTable[[#This Row],[Customer ID]]), "New", "Repeat")</f>
        <v>Repeat</v>
      </c>
      <c r="H1180" t="s">
        <v>76</v>
      </c>
      <c r="I1180" t="str">
        <f>INDEX(State!B:B,MATCH(OrdersTable[[#This Row],[State]],State!A:A,0))</f>
        <v>UP</v>
      </c>
      <c r="J1180" t="str">
        <f>INDEX(State!C:C,MATCH(OrdersTable[[#This Row],[State Code]],State!B:B,0))</f>
        <v>North</v>
      </c>
      <c r="K1180" t="s">
        <v>77</v>
      </c>
      <c r="L1180" t="s">
        <v>23</v>
      </c>
      <c r="M1180" t="s">
        <v>148</v>
      </c>
      <c r="N1180" t="str">
        <f>INDEX(Products!B:B,MATCH(OrdersTable[[#This Row],[Product ID]],Products!A:A,0))</f>
        <v>Smartwatch Strap</v>
      </c>
      <c r="O1180" t="str">
        <f>INDEX(Products!C:C,MATCH(OrdersTable[[#This Row],[Product ID]],Products!A:A,0))</f>
        <v>Electronics</v>
      </c>
      <c r="P1180">
        <v>1</v>
      </c>
      <c r="Q1180" s="5">
        <v>499</v>
      </c>
      <c r="R1180" s="74">
        <v>0.1</v>
      </c>
      <c r="S1180" s="75">
        <f>OrdersTable[[#This Row],[Quantity]]*OrdersTable[[#This Row],[Unit Price]]</f>
        <v>499</v>
      </c>
      <c r="T1180" s="5">
        <f>OrdersTable[[#This Row],[Gross Sale]]*OrdersTable[[#This Row],[Discount_Clean2]]</f>
        <v>49.900000000000006</v>
      </c>
      <c r="U1180" s="5">
        <f>OrdersTable[[#This Row],[Gross Sale]]-OrdersTable[[#This Row],[Discount Amount]]</f>
        <v>449.1</v>
      </c>
      <c r="V1180" s="77">
        <f>INDEX(Products!E:E,MATCH(OrdersTable[[#This Row],[Product ID]],Products!A:A,0))</f>
        <v>200</v>
      </c>
      <c r="W1180" s="77">
        <f>OrdersTable[[#This Row],[Quantity]]*OrdersTable[[#This Row],[Unit Cost]]</f>
        <v>200</v>
      </c>
      <c r="X1180" s="77">
        <f>'Dropdown Lists'!$I$2*(1+OrdersTable[[#This Row],[Returned]])</f>
        <v>60</v>
      </c>
      <c r="Y1180" s="76">
        <f>OrdersTable[[#This Row],[Net Revenue]]-OrdersTable[[#This Row],[COGS]]-OrdersTable[[#This Row],[Shipping Cost]]</f>
        <v>189.10000000000002</v>
      </c>
      <c r="Z1180" s="78">
        <f>IFERROR(OrdersTable[[#This Row],[Profit]]/OrdersTable[[#This Row],[Net Revenue]],0)</f>
        <v>0.42106435092407041</v>
      </c>
      <c r="AA1180" t="s">
        <v>18</v>
      </c>
      <c r="AB1180" s="79">
        <v>45535</v>
      </c>
      <c r="AC1180">
        <f>OrdersTable[[#This Row],[Delivery Date]]-OrdersTable[[#This Row],[Order Date]]</f>
        <v>4</v>
      </c>
      <c r="AD1180" t="str">
        <f>IF(OrdersTable[[#This Row],[Delivery Days]]&lt;=2, "Express (≤2d)", IF(OrdersTable[[#This Row],[Delivery Days]]&lt;=4, "Standard (3-4d)", "Delayed (5d+)"))</f>
        <v>Standard (3-4d)</v>
      </c>
      <c r="AE1180">
        <v>4</v>
      </c>
      <c r="AF1180">
        <v>0</v>
      </c>
    </row>
    <row r="1181" spans="1:32" ht="15" x14ac:dyDescent="0.35">
      <c r="A1181" t="s">
        <v>4477</v>
      </c>
      <c r="B1181" s="1">
        <v>45531</v>
      </c>
      <c r="C1181">
        <f>YEAR(OrdersTable[[#This Row],[Order Date]])</f>
        <v>2024</v>
      </c>
      <c r="D1181" s="2">
        <f>DATE(YEAR(OrdersTable[[#This Row],[Order Date]]),MONTH(OrdersTable[[#This Row],[Order Date]]),1)</f>
        <v>45505</v>
      </c>
      <c r="E1181">
        <f>MONTH(OrdersTable[[#This Row],[Order Date]])</f>
        <v>8</v>
      </c>
      <c r="F1181" t="s">
        <v>1079</v>
      </c>
      <c r="G1181" t="str">
        <f>IF(OrdersTable[[#This Row],[Order Date]]=_xlfn.MINIFS(Order_Date, Customer_ID, OrdersTable[[#This Row],[Customer ID]]), "New", "Repeat")</f>
        <v>New</v>
      </c>
      <c r="H1181" t="s">
        <v>76</v>
      </c>
      <c r="I1181" t="str">
        <f>INDEX(State!B:B,MATCH(OrdersTable[[#This Row],[State]],State!A:A,0))</f>
        <v>UP</v>
      </c>
      <c r="J1181" t="str">
        <f>INDEX(State!C:C,MATCH(OrdersTable[[#This Row],[State Code]],State!B:B,0))</f>
        <v>North</v>
      </c>
      <c r="K1181" t="s">
        <v>105</v>
      </c>
      <c r="L1181" t="s">
        <v>23</v>
      </c>
      <c r="M1181" t="s">
        <v>45</v>
      </c>
      <c r="N1181" t="str">
        <f>INDEX(Products!B:B,MATCH(OrdersTable[[#This Row],[Product ID]],Products!A:A,0))</f>
        <v>Argan Shampoo</v>
      </c>
      <c r="O1181" t="str">
        <f>INDEX(Products!C:C,MATCH(OrdersTable[[#This Row],[Product ID]],Products!A:A,0))</f>
        <v>Haircare</v>
      </c>
      <c r="P1181">
        <v>1</v>
      </c>
      <c r="Q1181" s="5">
        <v>449</v>
      </c>
      <c r="R1181" s="74">
        <v>0.05</v>
      </c>
      <c r="S1181" s="75">
        <f>OrdersTable[[#This Row],[Quantity]]*OrdersTable[[#This Row],[Unit Price]]</f>
        <v>449</v>
      </c>
      <c r="T1181" s="5">
        <f>OrdersTable[[#This Row],[Gross Sale]]*OrdersTable[[#This Row],[Discount_Clean2]]</f>
        <v>22.450000000000003</v>
      </c>
      <c r="U1181" s="5">
        <f>OrdersTable[[#This Row],[Gross Sale]]-OrdersTable[[#This Row],[Discount Amount]]</f>
        <v>426.55</v>
      </c>
      <c r="V1181" s="77">
        <f>INDEX(Products!E:E,MATCH(OrdersTable[[#This Row],[Product ID]],Products!A:A,0))</f>
        <v>148</v>
      </c>
      <c r="W1181" s="77">
        <f>OrdersTable[[#This Row],[Quantity]]*OrdersTable[[#This Row],[Unit Cost]]</f>
        <v>148</v>
      </c>
      <c r="X1181" s="77">
        <f>'Dropdown Lists'!$I$2*(1+OrdersTable[[#This Row],[Returned]])</f>
        <v>60</v>
      </c>
      <c r="Y1181" s="76">
        <f>OrdersTable[[#This Row],[Net Revenue]]-OrdersTable[[#This Row],[COGS]]-OrdersTable[[#This Row],[Shipping Cost]]</f>
        <v>218.55</v>
      </c>
      <c r="Z1181" s="78">
        <f>IFERROR(OrdersTable[[#This Row],[Profit]]/OrdersTable[[#This Row],[Net Revenue]],0)</f>
        <v>0.51236666275934828</v>
      </c>
      <c r="AA1181" t="s">
        <v>4450</v>
      </c>
      <c r="AB1181" s="79">
        <v>45534</v>
      </c>
      <c r="AC1181">
        <f>OrdersTable[[#This Row],[Delivery Date]]-OrdersTable[[#This Row],[Order Date]]</f>
        <v>3</v>
      </c>
      <c r="AD1181" t="str">
        <f>IF(OrdersTable[[#This Row],[Delivery Days]]&lt;=2, "Express (≤2d)", IF(OrdersTable[[#This Row],[Delivery Days]]&lt;=4, "Standard (3-4d)", "Delayed (5d+)"))</f>
        <v>Standard (3-4d)</v>
      </c>
      <c r="AE1181">
        <v>4</v>
      </c>
      <c r="AF1181">
        <v>0</v>
      </c>
    </row>
    <row r="1182" spans="1:32" ht="15" x14ac:dyDescent="0.35">
      <c r="A1182" t="s">
        <v>6508</v>
      </c>
      <c r="B1182" s="1">
        <v>45531</v>
      </c>
      <c r="C1182">
        <f>YEAR(OrdersTable[[#This Row],[Order Date]])</f>
        <v>2024</v>
      </c>
      <c r="D1182" s="2">
        <f>DATE(YEAR(OrdersTable[[#This Row],[Order Date]]),MONTH(OrdersTable[[#This Row],[Order Date]]),1)</f>
        <v>45505</v>
      </c>
      <c r="E1182">
        <f>MONTH(OrdersTable[[#This Row],[Order Date]])</f>
        <v>8</v>
      </c>
      <c r="F1182" t="s">
        <v>6509</v>
      </c>
      <c r="G1182" t="str">
        <f>IF(OrdersTable[[#This Row],[Order Date]]=_xlfn.MINIFS(Order_Date, Customer_ID, OrdersTable[[#This Row],[Customer ID]]), "New", "Repeat")</f>
        <v>New</v>
      </c>
      <c r="H1182" t="s">
        <v>43</v>
      </c>
      <c r="I1182" t="str">
        <f>INDEX(State!B:B,MATCH(OrdersTable[[#This Row],[State]],State!A:A,0))</f>
        <v>MP</v>
      </c>
      <c r="J1182" t="str">
        <f>INDEX(State!C:C,MATCH(OrdersTable[[#This Row],[State Code]],State!B:B,0))</f>
        <v>West</v>
      </c>
      <c r="K1182" t="s">
        <v>250</v>
      </c>
      <c r="L1182" t="s">
        <v>65</v>
      </c>
      <c r="M1182" t="s">
        <v>87</v>
      </c>
      <c r="N1182" t="str">
        <f>INDEX(Products!B:B,MATCH(OrdersTable[[#This Row],[Product ID]],Products!A:A,0))</f>
        <v>Linen Kurta</v>
      </c>
      <c r="O1182" t="str">
        <f>INDEX(Products!C:C,MATCH(OrdersTable[[#This Row],[Product ID]],Products!A:A,0))</f>
        <v>Apparel</v>
      </c>
      <c r="P1182">
        <v>3</v>
      </c>
      <c r="Q1182" s="5">
        <v>1499</v>
      </c>
      <c r="R1182" s="74">
        <v>0.3</v>
      </c>
      <c r="S1182" s="75">
        <f>OrdersTable[[#This Row],[Quantity]]*OrdersTable[[#This Row],[Unit Price]]</f>
        <v>4497</v>
      </c>
      <c r="T1182" s="5">
        <f>OrdersTable[[#This Row],[Gross Sale]]*OrdersTable[[#This Row],[Discount_Clean2]]</f>
        <v>1349.1</v>
      </c>
      <c r="U1182" s="5">
        <f>OrdersTable[[#This Row],[Gross Sale]]-OrdersTable[[#This Row],[Discount Amount]]</f>
        <v>3147.9</v>
      </c>
      <c r="V1182" s="77">
        <f>INDEX(Products!E:E,MATCH(OrdersTable[[#This Row],[Product ID]],Products!A:A,0))</f>
        <v>630</v>
      </c>
      <c r="W1182" s="77">
        <f>OrdersTable[[#This Row],[Quantity]]*OrdersTable[[#This Row],[Unit Cost]]</f>
        <v>1890</v>
      </c>
      <c r="X1182" s="77">
        <f>'Dropdown Lists'!$I$2*(1+OrdersTable[[#This Row],[Returned]])</f>
        <v>60</v>
      </c>
      <c r="Y1182" s="76">
        <f>OrdersTable[[#This Row],[Net Revenue]]-OrdersTable[[#This Row],[COGS]]-OrdersTable[[#This Row],[Shipping Cost]]</f>
        <v>1197.9000000000001</v>
      </c>
      <c r="Z1182" s="78">
        <f>IFERROR(OrdersTable[[#This Row],[Profit]]/OrdersTable[[#This Row],[Net Revenue]],0)</f>
        <v>0.38053940722386354</v>
      </c>
      <c r="AA1182" t="s">
        <v>18</v>
      </c>
      <c r="AB1182" s="79">
        <v>45532</v>
      </c>
      <c r="AC1182">
        <f>OrdersTable[[#This Row],[Delivery Date]]-OrdersTable[[#This Row],[Order Date]]</f>
        <v>1</v>
      </c>
      <c r="AD1182" t="str">
        <f>IF(OrdersTable[[#This Row],[Delivery Days]]&lt;=2, "Express (≤2d)", IF(OrdersTable[[#This Row],[Delivery Days]]&lt;=4, "Standard (3-4d)", "Delayed (5d+)"))</f>
        <v>Express (≤2d)</v>
      </c>
      <c r="AF1182">
        <v>0</v>
      </c>
    </row>
    <row r="1183" spans="1:32" ht="15" x14ac:dyDescent="0.35">
      <c r="A1183" t="s">
        <v>1661</v>
      </c>
      <c r="B1183" s="1">
        <v>45531</v>
      </c>
      <c r="C1183">
        <f>YEAR(OrdersTable[[#This Row],[Order Date]])</f>
        <v>2024</v>
      </c>
      <c r="D1183" s="2">
        <f>DATE(YEAR(OrdersTable[[#This Row],[Order Date]]),MONTH(OrdersTable[[#This Row],[Order Date]]),1)</f>
        <v>45505</v>
      </c>
      <c r="E1183">
        <f>MONTH(OrdersTable[[#This Row],[Order Date]])</f>
        <v>8</v>
      </c>
      <c r="F1183" t="s">
        <v>1662</v>
      </c>
      <c r="G1183" t="str">
        <f>IF(OrdersTable[[#This Row],[Order Date]]=_xlfn.MINIFS(Order_Date, Customer_ID, OrdersTable[[#This Row],[Customer ID]]), "New", "Repeat")</f>
        <v>Repeat</v>
      </c>
      <c r="H1183" t="s">
        <v>71</v>
      </c>
      <c r="I1183" t="str">
        <f>INDEX(State!B:B,MATCH(OrdersTable[[#This Row],[State]],State!A:A,0))</f>
        <v>MH</v>
      </c>
      <c r="J1183" t="str">
        <f>INDEX(State!C:C,MATCH(OrdersTable[[#This Row],[State Code]],State!B:B,0))</f>
        <v>West</v>
      </c>
      <c r="K1183" t="s">
        <v>81</v>
      </c>
      <c r="L1183" t="s">
        <v>65</v>
      </c>
      <c r="M1183" t="s">
        <v>148</v>
      </c>
      <c r="N1183" t="str">
        <f>INDEX(Products!B:B,MATCH(OrdersTable[[#This Row],[Product ID]],Products!A:A,0))</f>
        <v>Smartwatch Strap</v>
      </c>
      <c r="O1183" t="str">
        <f>INDEX(Products!C:C,MATCH(OrdersTable[[#This Row],[Product ID]],Products!A:A,0))</f>
        <v>Electronics</v>
      </c>
      <c r="P1183">
        <v>1</v>
      </c>
      <c r="Q1183" s="5">
        <v>499</v>
      </c>
      <c r="R1183" s="74">
        <v>0.1</v>
      </c>
      <c r="S1183" s="75">
        <f>OrdersTable[[#This Row],[Quantity]]*OrdersTable[[#This Row],[Unit Price]]</f>
        <v>499</v>
      </c>
      <c r="T1183" s="5">
        <f>OrdersTable[[#This Row],[Gross Sale]]*OrdersTable[[#This Row],[Discount_Clean2]]</f>
        <v>49.900000000000006</v>
      </c>
      <c r="U1183" s="5">
        <f>OrdersTable[[#This Row],[Gross Sale]]-OrdersTable[[#This Row],[Discount Amount]]</f>
        <v>449.1</v>
      </c>
      <c r="V1183" s="77">
        <f>INDEX(Products!E:E,MATCH(OrdersTable[[#This Row],[Product ID]],Products!A:A,0))</f>
        <v>200</v>
      </c>
      <c r="W1183" s="77">
        <f>OrdersTable[[#This Row],[Quantity]]*OrdersTable[[#This Row],[Unit Cost]]</f>
        <v>200</v>
      </c>
      <c r="X1183" s="77">
        <f>'Dropdown Lists'!$I$2*(1+OrdersTable[[#This Row],[Returned]])</f>
        <v>60</v>
      </c>
      <c r="Y1183" s="76">
        <f>OrdersTable[[#This Row],[Net Revenue]]-OrdersTable[[#This Row],[COGS]]-OrdersTable[[#This Row],[Shipping Cost]]</f>
        <v>189.10000000000002</v>
      </c>
      <c r="Z1183" s="78">
        <f>IFERROR(OrdersTable[[#This Row],[Profit]]/OrdersTable[[#This Row],[Net Revenue]],0)</f>
        <v>0.42106435092407041</v>
      </c>
      <c r="AA1183" t="s">
        <v>18</v>
      </c>
      <c r="AB1183" s="79">
        <v>45532</v>
      </c>
      <c r="AC1183">
        <f>OrdersTable[[#This Row],[Delivery Date]]-OrdersTable[[#This Row],[Order Date]]</f>
        <v>1</v>
      </c>
      <c r="AD1183" t="str">
        <f>IF(OrdersTable[[#This Row],[Delivery Days]]&lt;=2, "Express (≤2d)", IF(OrdersTable[[#This Row],[Delivery Days]]&lt;=4, "Standard (3-4d)", "Delayed (5d+)"))</f>
        <v>Express (≤2d)</v>
      </c>
      <c r="AF1183">
        <v>0</v>
      </c>
    </row>
    <row r="1184" spans="1:32" ht="15" x14ac:dyDescent="0.35">
      <c r="A1184" t="s">
        <v>3559</v>
      </c>
      <c r="B1184" s="1">
        <v>45531</v>
      </c>
      <c r="C1184">
        <f>YEAR(OrdersTable[[#This Row],[Order Date]])</f>
        <v>2024</v>
      </c>
      <c r="D1184" s="2">
        <f>DATE(YEAR(OrdersTable[[#This Row],[Order Date]]),MONTH(OrdersTable[[#This Row],[Order Date]]),1)</f>
        <v>45505</v>
      </c>
      <c r="E1184">
        <f>MONTH(OrdersTable[[#This Row],[Order Date]])</f>
        <v>8</v>
      </c>
      <c r="F1184" t="s">
        <v>1183</v>
      </c>
      <c r="G1184" t="str">
        <f>IF(OrdersTable[[#This Row],[Order Date]]=_xlfn.MINIFS(Order_Date, Customer_ID, OrdersTable[[#This Row],[Customer ID]]), "New", "Repeat")</f>
        <v>Repeat</v>
      </c>
      <c r="H1184" t="s">
        <v>95</v>
      </c>
      <c r="I1184" t="str">
        <f>INDEX(State!B:B,MATCH(OrdersTable[[#This Row],[State]],State!A:A,0))</f>
        <v>TG</v>
      </c>
      <c r="J1184" t="str">
        <f>INDEX(State!C:C,MATCH(OrdersTable[[#This Row],[State Code]],State!B:B,0))</f>
        <v>South</v>
      </c>
      <c r="K1184" t="s">
        <v>96</v>
      </c>
      <c r="L1184" t="s">
        <v>39</v>
      </c>
      <c r="M1184" t="s">
        <v>106</v>
      </c>
      <c r="N1184" t="str">
        <f>INDEX(Products!B:B,MATCH(OrdersTable[[#This Row],[Product ID]],Products!A:A,0))</f>
        <v>Keratin Hair Mask</v>
      </c>
      <c r="O1184" t="str">
        <f>INDEX(Products!C:C,MATCH(OrdersTable[[#This Row],[Product ID]],Products!A:A,0))</f>
        <v>Haircare</v>
      </c>
      <c r="P1184">
        <v>1</v>
      </c>
      <c r="Q1184" s="5">
        <v>549</v>
      </c>
      <c r="R1184" s="74">
        <v>0.1</v>
      </c>
      <c r="S1184" s="75">
        <f>OrdersTable[[#This Row],[Quantity]]*OrdersTable[[#This Row],[Unit Price]]</f>
        <v>549</v>
      </c>
      <c r="T1184" s="5">
        <f>OrdersTable[[#This Row],[Gross Sale]]*OrdersTable[[#This Row],[Discount_Clean2]]</f>
        <v>54.900000000000006</v>
      </c>
      <c r="U1184" s="5">
        <f>OrdersTable[[#This Row],[Gross Sale]]-OrdersTable[[#This Row],[Discount Amount]]</f>
        <v>494.1</v>
      </c>
      <c r="V1184" s="77">
        <f>INDEX(Products!E:E,MATCH(OrdersTable[[#This Row],[Product ID]],Products!A:A,0))</f>
        <v>170</v>
      </c>
      <c r="W1184" s="77">
        <f>OrdersTable[[#This Row],[Quantity]]*OrdersTable[[#This Row],[Unit Cost]]</f>
        <v>170</v>
      </c>
      <c r="X1184" s="77">
        <f>'Dropdown Lists'!$I$2*(1+OrdersTable[[#This Row],[Returned]])</f>
        <v>60</v>
      </c>
      <c r="Y1184" s="76">
        <f>OrdersTable[[#This Row],[Net Revenue]]-OrdersTable[[#This Row],[COGS]]-OrdersTable[[#This Row],[Shipping Cost]]</f>
        <v>264.10000000000002</v>
      </c>
      <c r="Z1184" s="78">
        <f>IFERROR(OrdersTable[[#This Row],[Profit]]/OrdersTable[[#This Row],[Net Revenue]],0)</f>
        <v>0.53450718478040882</v>
      </c>
      <c r="AA1184" t="s">
        <v>3495</v>
      </c>
      <c r="AB1184" s="79">
        <v>45534</v>
      </c>
      <c r="AC1184">
        <f>OrdersTable[[#This Row],[Delivery Date]]-OrdersTable[[#This Row],[Order Date]]</f>
        <v>3</v>
      </c>
      <c r="AD1184" t="str">
        <f>IF(OrdersTable[[#This Row],[Delivery Days]]&lt;=2, "Express (≤2d)", IF(OrdersTable[[#This Row],[Delivery Days]]&lt;=4, "Standard (3-4d)", "Delayed (5d+)"))</f>
        <v>Standard (3-4d)</v>
      </c>
      <c r="AE1184">
        <v>4</v>
      </c>
      <c r="AF1184">
        <v>0</v>
      </c>
    </row>
    <row r="1185" spans="1:32" ht="15" x14ac:dyDescent="0.35">
      <c r="A1185" t="s">
        <v>1358</v>
      </c>
      <c r="B1185" s="1">
        <v>45532</v>
      </c>
      <c r="C1185">
        <f>YEAR(OrdersTable[[#This Row],[Order Date]])</f>
        <v>2024</v>
      </c>
      <c r="D1185" s="2">
        <f>DATE(YEAR(OrdersTable[[#This Row],[Order Date]]),MONTH(OrdersTable[[#This Row],[Order Date]]),1)</f>
        <v>45505</v>
      </c>
      <c r="E1185">
        <f>MONTH(OrdersTable[[#This Row],[Order Date]])</f>
        <v>8</v>
      </c>
      <c r="F1185" t="s">
        <v>1359</v>
      </c>
      <c r="G1185" t="str">
        <f>IF(OrdersTable[[#This Row],[Order Date]]=_xlfn.MINIFS(Order_Date, Customer_ID, OrdersTable[[#This Row],[Customer ID]]), "New", "Repeat")</f>
        <v>New</v>
      </c>
      <c r="H1185" t="s">
        <v>71</v>
      </c>
      <c r="I1185" t="str">
        <f>INDEX(State!B:B,MATCH(OrdersTable[[#This Row],[State]],State!A:A,0))</f>
        <v>MH</v>
      </c>
      <c r="J1185" t="str">
        <f>INDEX(State!C:C,MATCH(OrdersTable[[#This Row],[State Code]],State!B:B,0))</f>
        <v>West</v>
      </c>
      <c r="K1185" t="s">
        <v>81</v>
      </c>
      <c r="L1185" t="s">
        <v>23</v>
      </c>
      <c r="M1185" t="s">
        <v>84</v>
      </c>
      <c r="N1185" t="str">
        <f>INDEX(Products!B:B,MATCH(OrdersTable[[#This Row],[Product ID]],Products!A:A,0))</f>
        <v>Cotton Bedsheet</v>
      </c>
      <c r="O1185" t="str">
        <f>INDEX(Products!C:C,MATCH(OrdersTable[[#This Row],[Product ID]],Products!A:A,0))</f>
        <v>Home &amp; Kitchen</v>
      </c>
      <c r="P1185">
        <v>1</v>
      </c>
      <c r="Q1185" s="5">
        <v>1299</v>
      </c>
      <c r="R1185" s="74">
        <v>0.1</v>
      </c>
      <c r="S1185" s="75">
        <f>OrdersTable[[#This Row],[Quantity]]*OrdersTable[[#This Row],[Unit Price]]</f>
        <v>1299</v>
      </c>
      <c r="T1185" s="5">
        <f>OrdersTable[[#This Row],[Gross Sale]]*OrdersTable[[#This Row],[Discount_Clean2]]</f>
        <v>129.9</v>
      </c>
      <c r="U1185" s="5">
        <f>OrdersTable[[#This Row],[Gross Sale]]-OrdersTable[[#This Row],[Discount Amount]]</f>
        <v>1169.0999999999999</v>
      </c>
      <c r="V1185" s="77">
        <f>INDEX(Products!E:E,MATCH(OrdersTable[[#This Row],[Product ID]],Products!A:A,0))</f>
        <v>585</v>
      </c>
      <c r="W1185" s="77">
        <f>OrdersTable[[#This Row],[Quantity]]*OrdersTable[[#This Row],[Unit Cost]]</f>
        <v>585</v>
      </c>
      <c r="X1185" s="77">
        <f>'Dropdown Lists'!$I$2*(1+OrdersTable[[#This Row],[Returned]])</f>
        <v>60</v>
      </c>
      <c r="Y1185" s="76">
        <f>OrdersTable[[#This Row],[Net Revenue]]-OrdersTable[[#This Row],[COGS]]-OrdersTable[[#This Row],[Shipping Cost]]</f>
        <v>524.09999999999991</v>
      </c>
      <c r="Z1185" s="78">
        <f>IFERROR(OrdersTable[[#This Row],[Profit]]/OrdersTable[[#This Row],[Net Revenue]],0)</f>
        <v>0.44829355914806257</v>
      </c>
      <c r="AA1185" t="s">
        <v>18</v>
      </c>
      <c r="AB1185" s="79">
        <v>45535</v>
      </c>
      <c r="AC1185">
        <f>OrdersTable[[#This Row],[Delivery Date]]-OrdersTable[[#This Row],[Order Date]]</f>
        <v>3</v>
      </c>
      <c r="AD1185" t="str">
        <f>IF(OrdersTable[[#This Row],[Delivery Days]]&lt;=2, "Express (≤2d)", IF(OrdersTable[[#This Row],[Delivery Days]]&lt;=4, "Standard (3-4d)", "Delayed (5d+)"))</f>
        <v>Standard (3-4d)</v>
      </c>
      <c r="AF1185">
        <v>0</v>
      </c>
    </row>
    <row r="1186" spans="1:32" ht="15" x14ac:dyDescent="0.35">
      <c r="A1186" t="s">
        <v>2093</v>
      </c>
      <c r="B1186" s="1">
        <v>45533</v>
      </c>
      <c r="C1186">
        <f>YEAR(OrdersTable[[#This Row],[Order Date]])</f>
        <v>2024</v>
      </c>
      <c r="D1186" s="2">
        <f>DATE(YEAR(OrdersTable[[#This Row],[Order Date]]),MONTH(OrdersTable[[#This Row],[Order Date]]),1)</f>
        <v>45505</v>
      </c>
      <c r="E1186">
        <f>MONTH(OrdersTable[[#This Row],[Order Date]])</f>
        <v>8</v>
      </c>
      <c r="F1186" t="s">
        <v>2094</v>
      </c>
      <c r="G1186" t="str">
        <f>IF(OrdersTable[[#This Row],[Order Date]]=_xlfn.MINIFS(Order_Date, Customer_ID, OrdersTable[[#This Row],[Customer ID]]), "New", "Repeat")</f>
        <v>Repeat</v>
      </c>
      <c r="H1186" t="s">
        <v>48</v>
      </c>
      <c r="I1186" t="str">
        <f>INDEX(State!B:B,MATCH(OrdersTable[[#This Row],[State]],State!A:A,0))</f>
        <v>HR</v>
      </c>
      <c r="J1186" t="str">
        <f>INDEX(State!C:C,MATCH(OrdersTable[[#This Row],[State Code]],State!B:B,0))</f>
        <v>North</v>
      </c>
      <c r="K1186" t="s">
        <v>151</v>
      </c>
      <c r="L1186" t="s">
        <v>23</v>
      </c>
      <c r="M1186" t="s">
        <v>24</v>
      </c>
      <c r="N1186" t="str">
        <f>INDEX(Products!B:B,MATCH(OrdersTable[[#This Row],[Product ID]],Products!A:A,0))</f>
        <v>Scented Candle Set</v>
      </c>
      <c r="O1186" t="str">
        <f>INDEX(Products!C:C,MATCH(OrdersTable[[#This Row],[Product ID]],Products!A:A,0))</f>
        <v>Home &amp; Kitchen</v>
      </c>
      <c r="P1186">
        <v>1</v>
      </c>
      <c r="Q1186" s="5">
        <v>699</v>
      </c>
      <c r="R1186" s="74">
        <v>0.2</v>
      </c>
      <c r="S1186" s="75">
        <f>OrdersTable[[#This Row],[Quantity]]*OrdersTable[[#This Row],[Unit Price]]</f>
        <v>699</v>
      </c>
      <c r="T1186" s="5">
        <f>OrdersTable[[#This Row],[Gross Sale]]*OrdersTable[[#This Row],[Discount_Clean2]]</f>
        <v>139.80000000000001</v>
      </c>
      <c r="U1186" s="5">
        <f>OrdersTable[[#This Row],[Gross Sale]]-OrdersTable[[#This Row],[Discount Amount]]</f>
        <v>559.20000000000005</v>
      </c>
      <c r="V1186" s="77">
        <f>INDEX(Products!E:E,MATCH(OrdersTable[[#This Row],[Product ID]],Products!A:A,0))</f>
        <v>245</v>
      </c>
      <c r="W1186" s="77">
        <f>OrdersTable[[#This Row],[Quantity]]*OrdersTable[[#This Row],[Unit Cost]]</f>
        <v>245</v>
      </c>
      <c r="X1186" s="77">
        <f>'Dropdown Lists'!$I$2*(1+OrdersTable[[#This Row],[Returned]])</f>
        <v>60</v>
      </c>
      <c r="Y1186" s="76">
        <f>OrdersTable[[#This Row],[Net Revenue]]-OrdersTable[[#This Row],[COGS]]-OrdersTable[[#This Row],[Shipping Cost]]</f>
        <v>254.20000000000005</v>
      </c>
      <c r="Z1186" s="78">
        <f>IFERROR(OrdersTable[[#This Row],[Profit]]/OrdersTable[[#This Row],[Net Revenue]],0)</f>
        <v>0.45457796852646642</v>
      </c>
      <c r="AA1186" t="s">
        <v>18</v>
      </c>
      <c r="AB1186" s="79">
        <v>45535</v>
      </c>
      <c r="AC1186">
        <f>OrdersTable[[#This Row],[Delivery Date]]-OrdersTable[[#This Row],[Order Date]]</f>
        <v>2</v>
      </c>
      <c r="AD1186" t="str">
        <f>IF(OrdersTable[[#This Row],[Delivery Days]]&lt;=2, "Express (≤2d)", IF(OrdersTable[[#This Row],[Delivery Days]]&lt;=4, "Standard (3-4d)", "Delayed (5d+)"))</f>
        <v>Express (≤2d)</v>
      </c>
      <c r="AE1186">
        <v>3</v>
      </c>
      <c r="AF1186">
        <v>0</v>
      </c>
    </row>
    <row r="1187" spans="1:32" ht="15" x14ac:dyDescent="0.35">
      <c r="A1187" t="s">
        <v>1663</v>
      </c>
      <c r="B1187" s="1">
        <v>45533</v>
      </c>
      <c r="C1187">
        <f>YEAR(OrdersTable[[#This Row],[Order Date]])</f>
        <v>2024</v>
      </c>
      <c r="D1187" s="2">
        <f>DATE(YEAR(OrdersTable[[#This Row],[Order Date]]),MONTH(OrdersTable[[#This Row],[Order Date]]),1)</f>
        <v>45505</v>
      </c>
      <c r="E1187">
        <f>MONTH(OrdersTable[[#This Row],[Order Date]])</f>
        <v>8</v>
      </c>
      <c r="F1187" t="s">
        <v>1664</v>
      </c>
      <c r="G1187" t="str">
        <f>IF(OrdersTable[[#This Row],[Order Date]]=_xlfn.MINIFS(Order_Date, Customer_ID, OrdersTable[[#This Row],[Customer ID]]), "New", "Repeat")</f>
        <v>New</v>
      </c>
      <c r="H1187" t="s">
        <v>95</v>
      </c>
      <c r="I1187" t="str">
        <f>INDEX(State!B:B,MATCH(OrdersTable[[#This Row],[State]],State!A:A,0))</f>
        <v>TG</v>
      </c>
      <c r="J1187" t="str">
        <f>INDEX(State!C:C,MATCH(OrdersTable[[#This Row],[State Code]],State!B:B,0))</f>
        <v>South</v>
      </c>
      <c r="K1187" t="s">
        <v>96</v>
      </c>
      <c r="L1187" t="s">
        <v>65</v>
      </c>
      <c r="M1187" t="s">
        <v>106</v>
      </c>
      <c r="N1187" t="str">
        <f>INDEX(Products!B:B,MATCH(OrdersTable[[#This Row],[Product ID]],Products!A:A,0))</f>
        <v>Keratin Hair Mask</v>
      </c>
      <c r="O1187" t="str">
        <f>INDEX(Products!C:C,MATCH(OrdersTable[[#This Row],[Product ID]],Products!A:A,0))</f>
        <v>Haircare</v>
      </c>
      <c r="P1187">
        <v>1</v>
      </c>
      <c r="Q1187" s="5">
        <v>549</v>
      </c>
      <c r="R1187" s="74">
        <v>0.1</v>
      </c>
      <c r="S1187" s="75">
        <f>OrdersTable[[#This Row],[Quantity]]*OrdersTable[[#This Row],[Unit Price]]</f>
        <v>549</v>
      </c>
      <c r="T1187" s="5">
        <f>OrdersTable[[#This Row],[Gross Sale]]*OrdersTable[[#This Row],[Discount_Clean2]]</f>
        <v>54.900000000000006</v>
      </c>
      <c r="U1187" s="5">
        <f>OrdersTable[[#This Row],[Gross Sale]]-OrdersTable[[#This Row],[Discount Amount]]</f>
        <v>494.1</v>
      </c>
      <c r="V1187" s="77">
        <f>INDEX(Products!E:E,MATCH(OrdersTable[[#This Row],[Product ID]],Products!A:A,0))</f>
        <v>170</v>
      </c>
      <c r="W1187" s="77">
        <f>OrdersTable[[#This Row],[Quantity]]*OrdersTable[[#This Row],[Unit Cost]]</f>
        <v>170</v>
      </c>
      <c r="X1187" s="77">
        <f>'Dropdown Lists'!$I$2*(1+OrdersTable[[#This Row],[Returned]])</f>
        <v>60</v>
      </c>
      <c r="Y1187" s="76">
        <f>OrdersTable[[#This Row],[Net Revenue]]-OrdersTable[[#This Row],[COGS]]-OrdersTable[[#This Row],[Shipping Cost]]</f>
        <v>264.10000000000002</v>
      </c>
      <c r="Z1187" s="78">
        <f>IFERROR(OrdersTable[[#This Row],[Profit]]/OrdersTable[[#This Row],[Net Revenue]],0)</f>
        <v>0.53450718478040882</v>
      </c>
      <c r="AA1187" t="s">
        <v>18</v>
      </c>
      <c r="AB1187" s="79">
        <v>45536</v>
      </c>
      <c r="AC1187">
        <f>OrdersTable[[#This Row],[Delivery Date]]-OrdersTable[[#This Row],[Order Date]]</f>
        <v>3</v>
      </c>
      <c r="AD1187" t="str">
        <f>IF(OrdersTable[[#This Row],[Delivery Days]]&lt;=2, "Express (≤2d)", IF(OrdersTable[[#This Row],[Delivery Days]]&lt;=4, "Standard (3-4d)", "Delayed (5d+)"))</f>
        <v>Standard (3-4d)</v>
      </c>
      <c r="AF1187">
        <v>0</v>
      </c>
    </row>
    <row r="1188" spans="1:32" ht="15" x14ac:dyDescent="0.35">
      <c r="A1188" t="s">
        <v>1493</v>
      </c>
      <c r="B1188" s="1">
        <v>45533</v>
      </c>
      <c r="C1188">
        <f>YEAR(OrdersTable[[#This Row],[Order Date]])</f>
        <v>2024</v>
      </c>
      <c r="D1188" s="2">
        <f>DATE(YEAR(OrdersTable[[#This Row],[Order Date]]),MONTH(OrdersTable[[#This Row],[Order Date]]),1)</f>
        <v>45505</v>
      </c>
      <c r="E1188">
        <f>MONTH(OrdersTable[[#This Row],[Order Date]])</f>
        <v>8</v>
      </c>
      <c r="F1188" t="s">
        <v>1494</v>
      </c>
      <c r="G1188" t="str">
        <f>IF(OrdersTable[[#This Row],[Order Date]]=_xlfn.MINIFS(Order_Date, Customer_ID, OrdersTable[[#This Row],[Customer ID]]), "New", "Repeat")</f>
        <v>New</v>
      </c>
      <c r="H1188" t="s">
        <v>167</v>
      </c>
      <c r="I1188" t="str">
        <f>INDEX(State!B:B,MATCH(OrdersTable[[#This Row],[State]],State!A:A,0))</f>
        <v>KA</v>
      </c>
      <c r="J1188" t="str">
        <f>INDEX(State!C:C,MATCH(OrdersTable[[#This Row],[State Code]],State!B:B,0))</f>
        <v>South</v>
      </c>
      <c r="K1188" t="s">
        <v>168</v>
      </c>
      <c r="L1188" t="s">
        <v>39</v>
      </c>
      <c r="M1188" t="s">
        <v>125</v>
      </c>
      <c r="N1188" t="str">
        <f>INDEX(Products!B:B,MATCH(OrdersTable[[#This Row],[Product ID]],Products!A:A,0))</f>
        <v>Copper Water Bottle</v>
      </c>
      <c r="O1188" t="str">
        <f>INDEX(Products!C:C,MATCH(OrdersTable[[#This Row],[Product ID]],Products!A:A,0))</f>
        <v>Home &amp; Kitchen</v>
      </c>
      <c r="P1188">
        <v>1</v>
      </c>
      <c r="Q1188" s="5">
        <v>899</v>
      </c>
      <c r="R1188" s="74">
        <v>0</v>
      </c>
      <c r="S1188" s="75">
        <f>OrdersTable[[#This Row],[Quantity]]*OrdersTable[[#This Row],[Unit Price]]</f>
        <v>899</v>
      </c>
      <c r="T1188" s="5">
        <f>OrdersTable[[#This Row],[Gross Sale]]*OrdersTable[[#This Row],[Discount_Clean2]]</f>
        <v>0</v>
      </c>
      <c r="U1188" s="5">
        <f>OrdersTable[[#This Row],[Gross Sale]]-OrdersTable[[#This Row],[Discount Amount]]</f>
        <v>899</v>
      </c>
      <c r="V1188" s="77">
        <f>INDEX(Products!E:E,MATCH(OrdersTable[[#This Row],[Product ID]],Products!A:A,0))</f>
        <v>378</v>
      </c>
      <c r="W1188" s="77">
        <f>OrdersTable[[#This Row],[Quantity]]*OrdersTable[[#This Row],[Unit Cost]]</f>
        <v>378</v>
      </c>
      <c r="X1188" s="77">
        <f>'Dropdown Lists'!$I$2*(1+OrdersTable[[#This Row],[Returned]])</f>
        <v>120</v>
      </c>
      <c r="Y1188" s="76">
        <f>OrdersTable[[#This Row],[Net Revenue]]-OrdersTable[[#This Row],[COGS]]-OrdersTable[[#This Row],[Shipping Cost]]</f>
        <v>401</v>
      </c>
      <c r="Z1188" s="78">
        <f>IFERROR(OrdersTable[[#This Row],[Profit]]/OrdersTable[[#This Row],[Net Revenue]],0)</f>
        <v>0.44605116796440492</v>
      </c>
      <c r="AA1188" t="s">
        <v>18</v>
      </c>
      <c r="AB1188" s="79">
        <v>45535</v>
      </c>
      <c r="AC1188">
        <f>OrdersTable[[#This Row],[Delivery Date]]-OrdersTable[[#This Row],[Order Date]]</f>
        <v>2</v>
      </c>
      <c r="AD1188" t="str">
        <f>IF(OrdersTable[[#This Row],[Delivery Days]]&lt;=2, "Express (≤2d)", IF(OrdersTable[[#This Row],[Delivery Days]]&lt;=4, "Standard (3-4d)", "Delayed (5d+)"))</f>
        <v>Express (≤2d)</v>
      </c>
      <c r="AF1188">
        <v>1</v>
      </c>
    </row>
    <row r="1189" spans="1:32" ht="15" x14ac:dyDescent="0.35">
      <c r="A1189" t="s">
        <v>1882</v>
      </c>
      <c r="B1189" s="1">
        <v>45534</v>
      </c>
      <c r="C1189">
        <f>YEAR(OrdersTable[[#This Row],[Order Date]])</f>
        <v>2024</v>
      </c>
      <c r="D1189" s="2">
        <f>DATE(YEAR(OrdersTable[[#This Row],[Order Date]]),MONTH(OrdersTable[[#This Row],[Order Date]]),1)</f>
        <v>45505</v>
      </c>
      <c r="E1189">
        <f>MONTH(OrdersTable[[#This Row],[Order Date]])</f>
        <v>8</v>
      </c>
      <c r="F1189" t="s">
        <v>1883</v>
      </c>
      <c r="G1189" t="str">
        <f>IF(OrdersTable[[#This Row],[Order Date]]=_xlfn.MINIFS(Order_Date, Customer_ID, OrdersTable[[#This Row],[Customer ID]]), "New", "Repeat")</f>
        <v>New</v>
      </c>
      <c r="H1189" t="s">
        <v>210</v>
      </c>
      <c r="I1189" t="str">
        <f>INDEX(State!B:B,MATCH(OrdersTable[[#This Row],[State]],State!A:A,0))</f>
        <v>JK</v>
      </c>
      <c r="J1189" t="str">
        <f>INDEX(State!C:C,MATCH(OrdersTable[[#This Row],[State Code]],State!B:B,0))</f>
        <v>North</v>
      </c>
      <c r="K1189" t="s">
        <v>415</v>
      </c>
      <c r="L1189" t="s">
        <v>65</v>
      </c>
      <c r="M1189" t="s">
        <v>24</v>
      </c>
      <c r="N1189" t="str">
        <f>INDEX(Products!B:B,MATCH(OrdersTable[[#This Row],[Product ID]],Products!A:A,0))</f>
        <v>Scented Candle Set</v>
      </c>
      <c r="O1189" t="str">
        <f>INDEX(Products!C:C,MATCH(OrdersTable[[#This Row],[Product ID]],Products!A:A,0))</f>
        <v>Home &amp; Kitchen</v>
      </c>
      <c r="P1189">
        <v>1</v>
      </c>
      <c r="Q1189" s="5">
        <v>699</v>
      </c>
      <c r="R1189" s="74">
        <v>0.2</v>
      </c>
      <c r="S1189" s="75">
        <f>OrdersTable[[#This Row],[Quantity]]*OrdersTable[[#This Row],[Unit Price]]</f>
        <v>699</v>
      </c>
      <c r="T1189" s="5">
        <f>OrdersTable[[#This Row],[Gross Sale]]*OrdersTable[[#This Row],[Discount_Clean2]]</f>
        <v>139.80000000000001</v>
      </c>
      <c r="U1189" s="5">
        <f>OrdersTable[[#This Row],[Gross Sale]]-OrdersTable[[#This Row],[Discount Amount]]</f>
        <v>559.20000000000005</v>
      </c>
      <c r="V1189" s="77">
        <f>INDEX(Products!E:E,MATCH(OrdersTable[[#This Row],[Product ID]],Products!A:A,0))</f>
        <v>245</v>
      </c>
      <c r="W1189" s="77">
        <f>OrdersTable[[#This Row],[Quantity]]*OrdersTable[[#This Row],[Unit Cost]]</f>
        <v>245</v>
      </c>
      <c r="X1189" s="77">
        <f>'Dropdown Lists'!$I$2*(1+OrdersTable[[#This Row],[Returned]])</f>
        <v>60</v>
      </c>
      <c r="Y1189" s="76">
        <f>OrdersTable[[#This Row],[Net Revenue]]-OrdersTable[[#This Row],[COGS]]-OrdersTable[[#This Row],[Shipping Cost]]</f>
        <v>254.20000000000005</v>
      </c>
      <c r="Z1189" s="78">
        <f>IFERROR(OrdersTable[[#This Row],[Profit]]/OrdersTable[[#This Row],[Net Revenue]],0)</f>
        <v>0.45457796852646642</v>
      </c>
      <c r="AA1189" t="s">
        <v>18</v>
      </c>
      <c r="AB1189" s="79">
        <v>45539</v>
      </c>
      <c r="AC1189">
        <f>OrdersTable[[#This Row],[Delivery Date]]-OrdersTable[[#This Row],[Order Date]]</f>
        <v>5</v>
      </c>
      <c r="AD1189" t="str">
        <f>IF(OrdersTable[[#This Row],[Delivery Days]]&lt;=2, "Express (≤2d)", IF(OrdersTable[[#This Row],[Delivery Days]]&lt;=4, "Standard (3-4d)", "Delayed (5d+)"))</f>
        <v>Delayed (5d+)</v>
      </c>
      <c r="AE1189">
        <v>3</v>
      </c>
      <c r="AF1189">
        <v>0</v>
      </c>
    </row>
    <row r="1190" spans="1:32" ht="15" x14ac:dyDescent="0.35">
      <c r="A1190" t="s">
        <v>1495</v>
      </c>
      <c r="B1190" s="1">
        <v>45534</v>
      </c>
      <c r="C1190">
        <f>YEAR(OrdersTable[[#This Row],[Order Date]])</f>
        <v>2024</v>
      </c>
      <c r="D1190" s="2">
        <f>DATE(YEAR(OrdersTable[[#This Row],[Order Date]]),MONTH(OrdersTable[[#This Row],[Order Date]]),1)</f>
        <v>45505</v>
      </c>
      <c r="E1190">
        <f>MONTH(OrdersTable[[#This Row],[Order Date]])</f>
        <v>8</v>
      </c>
      <c r="F1190" t="s">
        <v>761</v>
      </c>
      <c r="G1190" t="str">
        <f>IF(OrdersTable[[#This Row],[Order Date]]=_xlfn.MINIFS(Order_Date, Customer_ID, OrdersTable[[#This Row],[Customer ID]]), "New", "Repeat")</f>
        <v>Repeat</v>
      </c>
      <c r="H1190" t="s">
        <v>21</v>
      </c>
      <c r="I1190" t="str">
        <f>INDEX(State!B:B,MATCH(OrdersTable[[#This Row],[State]],State!A:A,0))</f>
        <v>PB</v>
      </c>
      <c r="J1190" t="str">
        <f>INDEX(State!C:C,MATCH(OrdersTable[[#This Row],[State Code]],State!B:B,0))</f>
        <v>North</v>
      </c>
      <c r="K1190" t="s">
        <v>260</v>
      </c>
      <c r="L1190" t="s">
        <v>39</v>
      </c>
      <c r="M1190" t="s">
        <v>576</v>
      </c>
      <c r="N1190" t="str">
        <f>INDEX(Products!B:B,MATCH(OrdersTable[[#This Row],[Product ID]],Products!A:A,0))</f>
        <v>Printed Saree</v>
      </c>
      <c r="O1190" t="str">
        <f>INDEX(Products!C:C,MATCH(OrdersTable[[#This Row],[Product ID]],Products!A:A,0))</f>
        <v>Apparel</v>
      </c>
      <c r="P1190">
        <v>1</v>
      </c>
      <c r="Q1190" s="5">
        <v>1999</v>
      </c>
      <c r="R1190" s="74">
        <v>0</v>
      </c>
      <c r="S1190" s="75">
        <f>OrdersTable[[#This Row],[Quantity]]*OrdersTable[[#This Row],[Unit Price]]</f>
        <v>1999</v>
      </c>
      <c r="T1190" s="5">
        <f>OrdersTable[[#This Row],[Gross Sale]]*OrdersTable[[#This Row],[Discount_Clean2]]</f>
        <v>0</v>
      </c>
      <c r="U1190" s="5">
        <f>OrdersTable[[#This Row],[Gross Sale]]-OrdersTable[[#This Row],[Discount Amount]]</f>
        <v>1999</v>
      </c>
      <c r="V1190" s="77">
        <f>INDEX(Products!E:E,MATCH(OrdersTable[[#This Row],[Product ID]],Products!A:A,0))</f>
        <v>880</v>
      </c>
      <c r="W1190" s="77">
        <f>OrdersTable[[#This Row],[Quantity]]*OrdersTable[[#This Row],[Unit Cost]]</f>
        <v>880</v>
      </c>
      <c r="X1190" s="77">
        <f>'Dropdown Lists'!$I$2*(1+OrdersTable[[#This Row],[Returned]])</f>
        <v>60</v>
      </c>
      <c r="Y1190" s="76">
        <f>OrdersTable[[#This Row],[Net Revenue]]-OrdersTable[[#This Row],[COGS]]-OrdersTable[[#This Row],[Shipping Cost]]</f>
        <v>1059</v>
      </c>
      <c r="Z1190" s="78">
        <f>IFERROR(OrdersTable[[#This Row],[Profit]]/OrdersTable[[#This Row],[Net Revenue]],0)</f>
        <v>0.52976488244122066</v>
      </c>
      <c r="AA1190" t="s">
        <v>18</v>
      </c>
      <c r="AB1190" s="79">
        <v>45540</v>
      </c>
      <c r="AC1190">
        <f>OrdersTable[[#This Row],[Delivery Date]]-OrdersTable[[#This Row],[Order Date]]</f>
        <v>6</v>
      </c>
      <c r="AD1190" t="str">
        <f>IF(OrdersTable[[#This Row],[Delivery Days]]&lt;=2, "Express (≤2d)", IF(OrdersTable[[#This Row],[Delivery Days]]&lt;=4, "Standard (3-4d)", "Delayed (5d+)"))</f>
        <v>Delayed (5d+)</v>
      </c>
      <c r="AF1190">
        <v>0</v>
      </c>
    </row>
    <row r="1191" spans="1:32" ht="15" x14ac:dyDescent="0.35">
      <c r="A1191" t="s">
        <v>2724</v>
      </c>
      <c r="B1191" s="1">
        <v>45534</v>
      </c>
      <c r="C1191">
        <f>YEAR(OrdersTable[[#This Row],[Order Date]])</f>
        <v>2024</v>
      </c>
      <c r="D1191" s="2">
        <f>DATE(YEAR(OrdersTable[[#This Row],[Order Date]]),MONTH(OrdersTable[[#This Row],[Order Date]]),1)</f>
        <v>45505</v>
      </c>
      <c r="E1191">
        <f>MONTH(OrdersTable[[#This Row],[Order Date]])</f>
        <v>8</v>
      </c>
      <c r="F1191" t="s">
        <v>727</v>
      </c>
      <c r="G1191" t="str">
        <f>IF(OrdersTable[[#This Row],[Order Date]]=_xlfn.MINIFS(Order_Date, Customer_ID, OrdersTable[[#This Row],[Customer ID]]), "New", "Repeat")</f>
        <v>Repeat</v>
      </c>
      <c r="H1191" t="s">
        <v>76</v>
      </c>
      <c r="I1191" t="str">
        <f>INDEX(State!B:B,MATCH(OrdersTable[[#This Row],[State]],State!A:A,0))</f>
        <v>UP</v>
      </c>
      <c r="J1191" t="str">
        <f>INDEX(State!C:C,MATCH(OrdersTable[[#This Row],[State Code]],State!B:B,0))</f>
        <v>North</v>
      </c>
      <c r="K1191" t="s">
        <v>105</v>
      </c>
      <c r="L1191" t="s">
        <v>65</v>
      </c>
      <c r="M1191" t="s">
        <v>56</v>
      </c>
      <c r="N1191" t="str">
        <f>INDEX(Products!B:B,MATCH(OrdersTable[[#This Row],[Product ID]],Products!A:A,0))</f>
        <v>Vitamin C Face Serum</v>
      </c>
      <c r="O1191" t="str">
        <f>INDEX(Products!C:C,MATCH(OrdersTable[[#This Row],[Product ID]],Products!A:A,0))</f>
        <v>Skincare</v>
      </c>
      <c r="P1191">
        <v>1</v>
      </c>
      <c r="Q1191" s="5">
        <v>599</v>
      </c>
      <c r="R1191" s="74">
        <v>0.2</v>
      </c>
      <c r="S1191" s="75">
        <f>OrdersTable[[#This Row],[Quantity]]*OrdersTable[[#This Row],[Unit Price]]</f>
        <v>599</v>
      </c>
      <c r="T1191" s="5">
        <f>OrdersTable[[#This Row],[Gross Sale]]*OrdersTable[[#This Row],[Discount_Clean2]]</f>
        <v>119.80000000000001</v>
      </c>
      <c r="U1191" s="5">
        <f>OrdersTable[[#This Row],[Gross Sale]]-OrdersTable[[#This Row],[Discount Amount]]</f>
        <v>479.2</v>
      </c>
      <c r="V1191" s="77">
        <f>INDEX(Products!E:E,MATCH(OrdersTable[[#This Row],[Product ID]],Products!A:A,0))</f>
        <v>180</v>
      </c>
      <c r="W1191" s="77">
        <f>OrdersTable[[#This Row],[Quantity]]*OrdersTable[[#This Row],[Unit Cost]]</f>
        <v>180</v>
      </c>
      <c r="X1191" s="77">
        <f>'Dropdown Lists'!$I$2*(1+OrdersTable[[#This Row],[Returned]])</f>
        <v>60</v>
      </c>
      <c r="Y1191" s="76">
        <f>OrdersTable[[#This Row],[Net Revenue]]-OrdersTable[[#This Row],[COGS]]-OrdersTable[[#This Row],[Shipping Cost]]</f>
        <v>239.2</v>
      </c>
      <c r="Z1191" s="78">
        <f>IFERROR(OrdersTable[[#This Row],[Profit]]/OrdersTable[[#This Row],[Net Revenue]],0)</f>
        <v>0.4991652754590985</v>
      </c>
      <c r="AA1191" t="s">
        <v>2522</v>
      </c>
      <c r="AB1191" s="79">
        <v>45540</v>
      </c>
      <c r="AC1191">
        <f>OrdersTable[[#This Row],[Delivery Date]]-OrdersTable[[#This Row],[Order Date]]</f>
        <v>6</v>
      </c>
      <c r="AD1191" t="str">
        <f>IF(OrdersTable[[#This Row],[Delivery Days]]&lt;=2, "Express (≤2d)", IF(OrdersTable[[#This Row],[Delivery Days]]&lt;=4, "Standard (3-4d)", "Delayed (5d+)"))</f>
        <v>Delayed (5d+)</v>
      </c>
      <c r="AE1191">
        <v>3</v>
      </c>
      <c r="AF1191">
        <v>0</v>
      </c>
    </row>
    <row r="1192" spans="1:32" ht="15" x14ac:dyDescent="0.35">
      <c r="A1192" t="s">
        <v>2944</v>
      </c>
      <c r="B1192" s="1">
        <v>45534</v>
      </c>
      <c r="C1192">
        <f>YEAR(OrdersTable[[#This Row],[Order Date]])</f>
        <v>2024</v>
      </c>
      <c r="D1192" s="2">
        <f>DATE(YEAR(OrdersTable[[#This Row],[Order Date]]),MONTH(OrdersTable[[#This Row],[Order Date]]),1)</f>
        <v>45505</v>
      </c>
      <c r="E1192">
        <f>MONTH(OrdersTable[[#This Row],[Order Date]])</f>
        <v>8</v>
      </c>
      <c r="F1192" t="s">
        <v>321</v>
      </c>
      <c r="G1192" t="str">
        <f>IF(OrdersTable[[#This Row],[Order Date]]=_xlfn.MINIFS(Order_Date, Customer_ID, OrdersTable[[#This Row],[Customer ID]]), "New", "Repeat")</f>
        <v>Repeat</v>
      </c>
      <c r="H1192" t="s">
        <v>76</v>
      </c>
      <c r="I1192" t="str">
        <f>INDEX(State!B:B,MATCH(OrdersTable[[#This Row],[State]],State!A:A,0))</f>
        <v>UP</v>
      </c>
      <c r="J1192" t="str">
        <f>INDEX(State!C:C,MATCH(OrdersTable[[#This Row],[State Code]],State!B:B,0))</f>
        <v>North</v>
      </c>
      <c r="K1192" t="s">
        <v>118</v>
      </c>
      <c r="L1192" t="s">
        <v>39</v>
      </c>
      <c r="M1192" t="s">
        <v>565</v>
      </c>
      <c r="N1192" t="str">
        <f>INDEX(Products!B:B,MATCH(OrdersTable[[#This Row],[Product ID]],Products!A:A,0))</f>
        <v>Ceramic Dinner Set</v>
      </c>
      <c r="O1192" t="str">
        <f>INDEX(Products!C:C,MATCH(OrdersTable[[#This Row],[Product ID]],Products!A:A,0))</f>
        <v>Home &amp; Kitchen</v>
      </c>
      <c r="P1192">
        <v>1</v>
      </c>
      <c r="Q1192" s="5">
        <v>2499</v>
      </c>
      <c r="R1192" s="74">
        <v>0.2</v>
      </c>
      <c r="S1192" s="75">
        <f>OrdersTable[[#This Row],[Quantity]]*OrdersTable[[#This Row],[Unit Price]]</f>
        <v>2499</v>
      </c>
      <c r="T1192" s="5">
        <f>OrdersTable[[#This Row],[Gross Sale]]*OrdersTable[[#This Row],[Discount_Clean2]]</f>
        <v>499.8</v>
      </c>
      <c r="U1192" s="5">
        <f>OrdersTable[[#This Row],[Gross Sale]]-OrdersTable[[#This Row],[Discount Amount]]</f>
        <v>1999.2</v>
      </c>
      <c r="V1192" s="77">
        <f>INDEX(Products!E:E,MATCH(OrdersTable[[#This Row],[Product ID]],Products!A:A,0))</f>
        <v>1250</v>
      </c>
      <c r="W1192" s="77">
        <f>OrdersTable[[#This Row],[Quantity]]*OrdersTable[[#This Row],[Unit Cost]]</f>
        <v>1250</v>
      </c>
      <c r="X1192" s="77">
        <f>'Dropdown Lists'!$I$2*(1+OrdersTable[[#This Row],[Returned]])</f>
        <v>60</v>
      </c>
      <c r="Y1192" s="76">
        <f>OrdersTable[[#This Row],[Net Revenue]]-OrdersTable[[#This Row],[COGS]]-OrdersTable[[#This Row],[Shipping Cost]]</f>
        <v>689.2</v>
      </c>
      <c r="Z1192" s="78">
        <f>IFERROR(OrdersTable[[#This Row],[Profit]]/OrdersTable[[#This Row],[Net Revenue]],0)</f>
        <v>0.34473789515806325</v>
      </c>
      <c r="AA1192" t="s">
        <v>2522</v>
      </c>
      <c r="AB1192" s="79">
        <v>45537</v>
      </c>
      <c r="AC1192">
        <f>OrdersTable[[#This Row],[Delivery Date]]-OrdersTable[[#This Row],[Order Date]]</f>
        <v>3</v>
      </c>
      <c r="AD1192" t="str">
        <f>IF(OrdersTable[[#This Row],[Delivery Days]]&lt;=2, "Express (≤2d)", IF(OrdersTable[[#This Row],[Delivery Days]]&lt;=4, "Standard (3-4d)", "Delayed (5d+)"))</f>
        <v>Standard (3-4d)</v>
      </c>
      <c r="AF1192">
        <v>0</v>
      </c>
    </row>
    <row r="1193" spans="1:32" ht="15" x14ac:dyDescent="0.35">
      <c r="A1193" t="s">
        <v>4922</v>
      </c>
      <c r="B1193" s="1">
        <v>45534</v>
      </c>
      <c r="C1193">
        <f>YEAR(OrdersTable[[#This Row],[Order Date]])</f>
        <v>2024</v>
      </c>
      <c r="D1193" s="2">
        <f>DATE(YEAR(OrdersTable[[#This Row],[Order Date]]),MONTH(OrdersTable[[#This Row],[Order Date]]),1)</f>
        <v>45505</v>
      </c>
      <c r="E1193">
        <f>MONTH(OrdersTable[[#This Row],[Order Date]])</f>
        <v>8</v>
      </c>
      <c r="F1193" t="s">
        <v>2842</v>
      </c>
      <c r="G1193" t="str">
        <f>IF(OrdersTable[[#This Row],[Order Date]]=_xlfn.MINIFS(Order_Date, Customer_ID, OrdersTable[[#This Row],[Customer ID]]), "New", "Repeat")</f>
        <v>New</v>
      </c>
      <c r="H1193" t="s">
        <v>37</v>
      </c>
      <c r="I1193" t="str">
        <f>INDEX(State!B:B,MATCH(OrdersTable[[#This Row],[State]],State!A:A,0))</f>
        <v>GJ</v>
      </c>
      <c r="J1193" t="str">
        <f>INDEX(State!C:C,MATCH(OrdersTable[[#This Row],[State Code]],State!B:B,0))</f>
        <v>West</v>
      </c>
      <c r="K1193" t="s">
        <v>247</v>
      </c>
      <c r="L1193" t="s">
        <v>16</v>
      </c>
      <c r="M1193" t="s">
        <v>92</v>
      </c>
      <c r="N1193" t="str">
        <f>INDEX(Products!B:B,MATCH(OrdersTable[[#This Row],[Product ID]],Products!A:A,0))</f>
        <v>Kolhapuri Sandals</v>
      </c>
      <c r="O1193" t="str">
        <f>INDEX(Products!C:C,MATCH(OrdersTable[[#This Row],[Product ID]],Products!A:A,0))</f>
        <v>Footwear</v>
      </c>
      <c r="P1193">
        <v>2</v>
      </c>
      <c r="Q1193" s="5">
        <v>999</v>
      </c>
      <c r="R1193" s="74">
        <v>0.05</v>
      </c>
      <c r="S1193" s="75">
        <f>OrdersTable[[#This Row],[Quantity]]*OrdersTable[[#This Row],[Unit Price]]</f>
        <v>1998</v>
      </c>
      <c r="T1193" s="5">
        <f>OrdersTable[[#This Row],[Gross Sale]]*OrdersTable[[#This Row],[Discount_Clean2]]</f>
        <v>99.9</v>
      </c>
      <c r="U1193" s="5">
        <f>OrdersTable[[#This Row],[Gross Sale]]-OrdersTable[[#This Row],[Discount Amount]]</f>
        <v>1898.1</v>
      </c>
      <c r="V1193" s="77">
        <f>INDEX(Products!E:E,MATCH(OrdersTable[[#This Row],[Product ID]],Products!A:A,0))</f>
        <v>400</v>
      </c>
      <c r="W1193" s="77">
        <f>OrdersTable[[#This Row],[Quantity]]*OrdersTable[[#This Row],[Unit Cost]]</f>
        <v>800</v>
      </c>
      <c r="X1193" s="77">
        <f>'Dropdown Lists'!$I$2*(1+OrdersTable[[#This Row],[Returned]])</f>
        <v>60</v>
      </c>
      <c r="Y1193" s="76">
        <f>OrdersTable[[#This Row],[Net Revenue]]-OrdersTable[[#This Row],[COGS]]-OrdersTable[[#This Row],[Shipping Cost]]</f>
        <v>1038.0999999999999</v>
      </c>
      <c r="Z1193" s="78">
        <f>IFERROR(OrdersTable[[#This Row],[Profit]]/OrdersTable[[#This Row],[Net Revenue]],0)</f>
        <v>0.54691533638902057</v>
      </c>
      <c r="AA1193" t="s">
        <v>4074</v>
      </c>
      <c r="AB1193" s="79">
        <v>45538</v>
      </c>
      <c r="AC1193">
        <f>OrdersTable[[#This Row],[Delivery Date]]-OrdersTable[[#This Row],[Order Date]]</f>
        <v>4</v>
      </c>
      <c r="AD1193" t="str">
        <f>IF(OrdersTable[[#This Row],[Delivery Days]]&lt;=2, "Express (≤2d)", IF(OrdersTable[[#This Row],[Delivery Days]]&lt;=4, "Standard (3-4d)", "Delayed (5d+)"))</f>
        <v>Standard (3-4d)</v>
      </c>
      <c r="AE1193">
        <v>3</v>
      </c>
      <c r="AF1193">
        <v>0</v>
      </c>
    </row>
    <row r="1194" spans="1:32" ht="15" x14ac:dyDescent="0.35">
      <c r="A1194" t="s">
        <v>2945</v>
      </c>
      <c r="B1194" s="1">
        <v>45534</v>
      </c>
      <c r="C1194">
        <f>YEAR(OrdersTable[[#This Row],[Order Date]])</f>
        <v>2024</v>
      </c>
      <c r="D1194" s="2">
        <f>DATE(YEAR(OrdersTable[[#This Row],[Order Date]]),MONTH(OrdersTable[[#This Row],[Order Date]]),1)</f>
        <v>45505</v>
      </c>
      <c r="E1194">
        <f>MONTH(OrdersTable[[#This Row],[Order Date]])</f>
        <v>8</v>
      </c>
      <c r="F1194" t="s">
        <v>763</v>
      </c>
      <c r="G1194" t="str">
        <f>IF(OrdersTable[[#This Row],[Order Date]]=_xlfn.MINIFS(Order_Date, Customer_ID, OrdersTable[[#This Row],[Customer ID]]), "New", "Repeat")</f>
        <v>Repeat</v>
      </c>
      <c r="H1194" t="s">
        <v>43</v>
      </c>
      <c r="I1194" t="str">
        <f>INDEX(State!B:B,MATCH(OrdersTable[[#This Row],[State]],State!A:A,0))</f>
        <v>MP</v>
      </c>
      <c r="J1194" t="str">
        <f>INDEX(State!C:C,MATCH(OrdersTable[[#This Row],[State Code]],State!B:B,0))</f>
        <v>West</v>
      </c>
      <c r="K1194" t="s">
        <v>250</v>
      </c>
      <c r="L1194" t="s">
        <v>16</v>
      </c>
      <c r="M1194" t="s">
        <v>34</v>
      </c>
      <c r="N1194" t="str">
        <f>INDEX(Products!B:B,MATCH(OrdersTable[[#This Row],[Product ID]],Products!A:A,0))</f>
        <v>Flip Flops</v>
      </c>
      <c r="O1194" t="str">
        <f>INDEX(Products!C:C,MATCH(OrdersTable[[#This Row],[Product ID]],Products!A:A,0))</f>
        <v>Footwear</v>
      </c>
      <c r="P1194">
        <v>1</v>
      </c>
      <c r="Q1194" s="5">
        <v>399</v>
      </c>
      <c r="R1194" s="74">
        <v>0.05</v>
      </c>
      <c r="S1194" s="75">
        <f>OrdersTable[[#This Row],[Quantity]]*OrdersTable[[#This Row],[Unit Price]]</f>
        <v>399</v>
      </c>
      <c r="T1194" s="5">
        <f>OrdersTable[[#This Row],[Gross Sale]]*OrdersTable[[#This Row],[Discount_Clean2]]</f>
        <v>19.950000000000003</v>
      </c>
      <c r="U1194" s="5">
        <f>OrdersTable[[#This Row],[Gross Sale]]-OrdersTable[[#This Row],[Discount Amount]]</f>
        <v>379.05</v>
      </c>
      <c r="V1194" s="77">
        <f>INDEX(Products!E:E,MATCH(OrdersTable[[#This Row],[Product ID]],Products!A:A,0))</f>
        <v>152</v>
      </c>
      <c r="W1194" s="77">
        <f>OrdersTable[[#This Row],[Quantity]]*OrdersTable[[#This Row],[Unit Cost]]</f>
        <v>152</v>
      </c>
      <c r="X1194" s="77">
        <f>'Dropdown Lists'!$I$2*(1+OrdersTable[[#This Row],[Returned]])</f>
        <v>60</v>
      </c>
      <c r="Y1194" s="76">
        <f>OrdersTable[[#This Row],[Net Revenue]]-OrdersTable[[#This Row],[COGS]]-OrdersTable[[#This Row],[Shipping Cost]]</f>
        <v>167.05</v>
      </c>
      <c r="Z1194" s="78">
        <f>IFERROR(OrdersTable[[#This Row],[Profit]]/OrdersTable[[#This Row],[Net Revenue]],0)</f>
        <v>0.44070703073473161</v>
      </c>
      <c r="AA1194" t="s">
        <v>2522</v>
      </c>
      <c r="AB1194" s="79">
        <v>45539</v>
      </c>
      <c r="AC1194">
        <f>OrdersTable[[#This Row],[Delivery Date]]-OrdersTable[[#This Row],[Order Date]]</f>
        <v>5</v>
      </c>
      <c r="AD1194" t="str">
        <f>IF(OrdersTable[[#This Row],[Delivery Days]]&lt;=2, "Express (≤2d)", IF(OrdersTable[[#This Row],[Delivery Days]]&lt;=4, "Standard (3-4d)", "Delayed (5d+)"))</f>
        <v>Delayed (5d+)</v>
      </c>
      <c r="AF1194">
        <v>0</v>
      </c>
    </row>
    <row r="1195" spans="1:32" ht="15" x14ac:dyDescent="0.35">
      <c r="A1195" t="s">
        <v>2303</v>
      </c>
      <c r="B1195" s="1">
        <v>45534</v>
      </c>
      <c r="C1195">
        <f>YEAR(OrdersTable[[#This Row],[Order Date]])</f>
        <v>2024</v>
      </c>
      <c r="D1195" s="2">
        <f>DATE(YEAR(OrdersTable[[#This Row],[Order Date]]),MONTH(OrdersTable[[#This Row],[Order Date]]),1)</f>
        <v>45505</v>
      </c>
      <c r="E1195">
        <f>MONTH(OrdersTable[[#This Row],[Order Date]])</f>
        <v>8</v>
      </c>
      <c r="F1195" t="s">
        <v>2304</v>
      </c>
      <c r="G1195" t="str">
        <f>IF(OrdersTable[[#This Row],[Order Date]]=_xlfn.MINIFS(Order_Date, Customer_ID, OrdersTable[[#This Row],[Customer ID]]), "New", "Repeat")</f>
        <v>Repeat</v>
      </c>
      <c r="H1195" t="s">
        <v>27</v>
      </c>
      <c r="I1195" t="str">
        <f>INDEX(State!B:B,MATCH(OrdersTable[[#This Row],[State]],State!A:A,0))</f>
        <v>WB</v>
      </c>
      <c r="J1195" t="str">
        <f>INDEX(State!C:C,MATCH(OrdersTable[[#This Row],[State Code]],State!B:B,0))</f>
        <v>East</v>
      </c>
      <c r="K1195" t="s">
        <v>28</v>
      </c>
      <c r="L1195" t="s">
        <v>39</v>
      </c>
      <c r="M1195" t="s">
        <v>160</v>
      </c>
      <c r="N1195" t="str">
        <f>INDEX(Products!B:B,MATCH(OrdersTable[[#This Row],[Product ID]],Products!A:A,0))</f>
        <v>Niacinamide Toner</v>
      </c>
      <c r="O1195" t="str">
        <f>INDEX(Products!C:C,MATCH(OrdersTable[[#This Row],[Product ID]],Products!A:A,0))</f>
        <v>Skincare</v>
      </c>
      <c r="P1195">
        <v>1</v>
      </c>
      <c r="Q1195" s="5">
        <v>399</v>
      </c>
      <c r="R1195" s="74">
        <v>0.25</v>
      </c>
      <c r="S1195" s="75">
        <f>OrdersTable[[#This Row],[Quantity]]*OrdersTable[[#This Row],[Unit Price]]</f>
        <v>399</v>
      </c>
      <c r="T1195" s="5">
        <f>OrdersTable[[#This Row],[Gross Sale]]*OrdersTable[[#This Row],[Discount_Clean2]]</f>
        <v>99.75</v>
      </c>
      <c r="U1195" s="5">
        <f>OrdersTable[[#This Row],[Gross Sale]]-OrdersTable[[#This Row],[Discount Amount]]</f>
        <v>299.25</v>
      </c>
      <c r="V1195" s="77">
        <f>INDEX(Products!E:E,MATCH(OrdersTable[[#This Row],[Product ID]],Products!A:A,0))</f>
        <v>112</v>
      </c>
      <c r="W1195" s="77">
        <f>OrdersTable[[#This Row],[Quantity]]*OrdersTable[[#This Row],[Unit Cost]]</f>
        <v>112</v>
      </c>
      <c r="X1195" s="77">
        <f>'Dropdown Lists'!$I$2*(1+OrdersTable[[#This Row],[Returned]])</f>
        <v>60</v>
      </c>
      <c r="Y1195" s="76">
        <f>OrdersTable[[#This Row],[Net Revenue]]-OrdersTable[[#This Row],[COGS]]-OrdersTable[[#This Row],[Shipping Cost]]</f>
        <v>127.25</v>
      </c>
      <c r="Z1195" s="78">
        <f>IFERROR(OrdersTable[[#This Row],[Profit]]/OrdersTable[[#This Row],[Net Revenue]],0)</f>
        <v>0.42522974101921468</v>
      </c>
      <c r="AA1195" t="s">
        <v>18</v>
      </c>
      <c r="AB1195" s="79">
        <v>45537</v>
      </c>
      <c r="AC1195">
        <f>OrdersTable[[#This Row],[Delivery Date]]-OrdersTable[[#This Row],[Order Date]]</f>
        <v>3</v>
      </c>
      <c r="AD1195" t="str">
        <f>IF(OrdersTable[[#This Row],[Delivery Days]]&lt;=2, "Express (≤2d)", IF(OrdersTable[[#This Row],[Delivery Days]]&lt;=4, "Standard (3-4d)", "Delayed (5d+)"))</f>
        <v>Standard (3-4d)</v>
      </c>
      <c r="AE1195">
        <v>5</v>
      </c>
      <c r="AF1195">
        <v>0</v>
      </c>
    </row>
    <row r="1196" spans="1:32" ht="15" x14ac:dyDescent="0.35">
      <c r="A1196" t="s">
        <v>1496</v>
      </c>
      <c r="B1196" s="1">
        <v>45534</v>
      </c>
      <c r="C1196">
        <f>YEAR(OrdersTable[[#This Row],[Order Date]])</f>
        <v>2024</v>
      </c>
      <c r="D1196" s="2">
        <f>DATE(YEAR(OrdersTable[[#This Row],[Order Date]]),MONTH(OrdersTable[[#This Row],[Order Date]]),1)</f>
        <v>45505</v>
      </c>
      <c r="E1196">
        <f>MONTH(OrdersTable[[#This Row],[Order Date]])</f>
        <v>8</v>
      </c>
      <c r="F1196" t="s">
        <v>1497</v>
      </c>
      <c r="G1196" t="str">
        <f>IF(OrdersTable[[#This Row],[Order Date]]=_xlfn.MINIFS(Order_Date, Customer_ID, OrdersTable[[#This Row],[Customer ID]]), "New", "Repeat")</f>
        <v>New</v>
      </c>
      <c r="H1196" t="s">
        <v>167</v>
      </c>
      <c r="I1196" t="str">
        <f>INDEX(State!B:B,MATCH(OrdersTable[[#This Row],[State]],State!A:A,0))</f>
        <v>KA</v>
      </c>
      <c r="J1196" t="str">
        <f>INDEX(State!C:C,MATCH(OrdersTable[[#This Row],[State Code]],State!B:B,0))</f>
        <v>South</v>
      </c>
      <c r="K1196" t="s">
        <v>168</v>
      </c>
      <c r="L1196" t="s">
        <v>39</v>
      </c>
      <c r="M1196" t="s">
        <v>160</v>
      </c>
      <c r="N1196" t="str">
        <f>INDEX(Products!B:B,MATCH(OrdersTable[[#This Row],[Product ID]],Products!A:A,0))</f>
        <v>Niacinamide Toner</v>
      </c>
      <c r="O1196" t="str">
        <f>INDEX(Products!C:C,MATCH(OrdersTable[[#This Row],[Product ID]],Products!A:A,0))</f>
        <v>Skincare</v>
      </c>
      <c r="P1196">
        <v>1</v>
      </c>
      <c r="Q1196" s="5">
        <v>399</v>
      </c>
      <c r="R1196" s="74">
        <v>0.2</v>
      </c>
      <c r="S1196" s="75">
        <f>OrdersTable[[#This Row],[Quantity]]*OrdersTable[[#This Row],[Unit Price]]</f>
        <v>399</v>
      </c>
      <c r="T1196" s="5">
        <f>OrdersTable[[#This Row],[Gross Sale]]*OrdersTable[[#This Row],[Discount_Clean2]]</f>
        <v>79.800000000000011</v>
      </c>
      <c r="U1196" s="5">
        <f>OrdersTable[[#This Row],[Gross Sale]]-OrdersTable[[#This Row],[Discount Amount]]</f>
        <v>319.2</v>
      </c>
      <c r="V1196" s="77">
        <f>INDEX(Products!E:E,MATCH(OrdersTable[[#This Row],[Product ID]],Products!A:A,0))</f>
        <v>112</v>
      </c>
      <c r="W1196" s="77">
        <f>OrdersTable[[#This Row],[Quantity]]*OrdersTable[[#This Row],[Unit Cost]]</f>
        <v>112</v>
      </c>
      <c r="X1196" s="77">
        <f>'Dropdown Lists'!$I$2*(1+OrdersTable[[#This Row],[Returned]])</f>
        <v>60</v>
      </c>
      <c r="Y1196" s="76">
        <f>OrdersTable[[#This Row],[Net Revenue]]-OrdersTable[[#This Row],[COGS]]-OrdersTable[[#This Row],[Shipping Cost]]</f>
        <v>147.19999999999999</v>
      </c>
      <c r="Z1196" s="78">
        <f>IFERROR(OrdersTable[[#This Row],[Profit]]/OrdersTable[[#This Row],[Net Revenue]],0)</f>
        <v>0.46115288220551376</v>
      </c>
      <c r="AA1196" t="s">
        <v>18</v>
      </c>
      <c r="AB1196" s="79">
        <v>45539</v>
      </c>
      <c r="AC1196">
        <f>OrdersTable[[#This Row],[Delivery Date]]-OrdersTable[[#This Row],[Order Date]]</f>
        <v>5</v>
      </c>
      <c r="AD1196" t="str">
        <f>IF(OrdersTable[[#This Row],[Delivery Days]]&lt;=2, "Express (≤2d)", IF(OrdersTable[[#This Row],[Delivery Days]]&lt;=4, "Standard (3-4d)", "Delayed (5d+)"))</f>
        <v>Delayed (5d+)</v>
      </c>
      <c r="AF1196">
        <v>0</v>
      </c>
    </row>
    <row r="1197" spans="1:32" ht="15" x14ac:dyDescent="0.35">
      <c r="A1197" t="s">
        <v>1665</v>
      </c>
      <c r="B1197" s="1">
        <v>45535</v>
      </c>
      <c r="C1197">
        <f>YEAR(OrdersTable[[#This Row],[Order Date]])</f>
        <v>2024</v>
      </c>
      <c r="D1197" s="2">
        <f>DATE(YEAR(OrdersTable[[#This Row],[Order Date]]),MONTH(OrdersTable[[#This Row],[Order Date]]),1)</f>
        <v>45505</v>
      </c>
      <c r="E1197">
        <f>MONTH(OrdersTable[[#This Row],[Order Date]])</f>
        <v>8</v>
      </c>
      <c r="F1197" t="s">
        <v>1666</v>
      </c>
      <c r="G1197" t="str">
        <f>IF(OrdersTable[[#This Row],[Order Date]]=_xlfn.MINIFS(Order_Date, Customer_ID, OrdersTable[[#This Row],[Customer ID]]), "New", "Repeat")</f>
        <v>New</v>
      </c>
      <c r="H1197" t="s">
        <v>128</v>
      </c>
      <c r="I1197" t="str">
        <f>INDEX(State!B:B,MATCH(OrdersTable[[#This Row],[State]],State!A:A,0))</f>
        <v>DL</v>
      </c>
      <c r="J1197" t="str">
        <f>INDEX(State!C:C,MATCH(OrdersTable[[#This Row],[State Code]],State!B:B,0))</f>
        <v>North</v>
      </c>
      <c r="K1197" t="s">
        <v>129</v>
      </c>
      <c r="L1197" t="s">
        <v>65</v>
      </c>
      <c r="M1197" t="s">
        <v>84</v>
      </c>
      <c r="N1197" t="str">
        <f>INDEX(Products!B:B,MATCH(OrdersTable[[#This Row],[Product ID]],Products!A:A,0))</f>
        <v>Cotton Bedsheet</v>
      </c>
      <c r="O1197" t="str">
        <f>INDEX(Products!C:C,MATCH(OrdersTable[[#This Row],[Product ID]],Products!A:A,0))</f>
        <v>Home &amp; Kitchen</v>
      </c>
      <c r="P1197">
        <v>1</v>
      </c>
      <c r="Q1197" s="5">
        <v>1299</v>
      </c>
      <c r="R1197" s="74">
        <v>0</v>
      </c>
      <c r="S1197" s="75">
        <f>OrdersTable[[#This Row],[Quantity]]*OrdersTable[[#This Row],[Unit Price]]</f>
        <v>1299</v>
      </c>
      <c r="T1197" s="5">
        <f>OrdersTable[[#This Row],[Gross Sale]]*OrdersTable[[#This Row],[Discount_Clean2]]</f>
        <v>0</v>
      </c>
      <c r="U1197" s="5">
        <f>OrdersTable[[#This Row],[Gross Sale]]-OrdersTable[[#This Row],[Discount Amount]]</f>
        <v>1299</v>
      </c>
      <c r="V1197" s="77">
        <f>INDEX(Products!E:E,MATCH(OrdersTable[[#This Row],[Product ID]],Products!A:A,0))</f>
        <v>585</v>
      </c>
      <c r="W1197" s="77">
        <f>OrdersTable[[#This Row],[Quantity]]*OrdersTable[[#This Row],[Unit Cost]]</f>
        <v>585</v>
      </c>
      <c r="X1197" s="77">
        <f>'Dropdown Lists'!$I$2*(1+OrdersTable[[#This Row],[Returned]])</f>
        <v>60</v>
      </c>
      <c r="Y1197" s="76">
        <f>OrdersTable[[#This Row],[Net Revenue]]-OrdersTable[[#This Row],[COGS]]-OrdersTable[[#This Row],[Shipping Cost]]</f>
        <v>654</v>
      </c>
      <c r="Z1197" s="78">
        <f>IFERROR(OrdersTable[[#This Row],[Profit]]/OrdersTable[[#This Row],[Net Revenue]],0)</f>
        <v>0.50346420323325636</v>
      </c>
      <c r="AA1197" t="s">
        <v>18</v>
      </c>
      <c r="AB1197" s="79">
        <v>45536</v>
      </c>
      <c r="AC1197">
        <f>OrdersTable[[#This Row],[Delivery Date]]-OrdersTable[[#This Row],[Order Date]]</f>
        <v>1</v>
      </c>
      <c r="AD1197" t="str">
        <f>IF(OrdersTable[[#This Row],[Delivery Days]]&lt;=2, "Express (≤2d)", IF(OrdersTable[[#This Row],[Delivery Days]]&lt;=4, "Standard (3-4d)", "Delayed (5d+)"))</f>
        <v>Express (≤2d)</v>
      </c>
      <c r="AF1197">
        <v>0</v>
      </c>
    </row>
    <row r="1198" spans="1:32" ht="15" x14ac:dyDescent="0.35">
      <c r="A1198" t="s">
        <v>5341</v>
      </c>
      <c r="B1198" s="1">
        <v>45535</v>
      </c>
      <c r="C1198">
        <f>YEAR(OrdersTable[[#This Row],[Order Date]])</f>
        <v>2024</v>
      </c>
      <c r="D1198" s="2">
        <f>DATE(YEAR(OrdersTable[[#This Row],[Order Date]]),MONTH(OrdersTable[[#This Row],[Order Date]]),1)</f>
        <v>45505</v>
      </c>
      <c r="E1198">
        <f>MONTH(OrdersTable[[#This Row],[Order Date]])</f>
        <v>8</v>
      </c>
      <c r="F1198" t="s">
        <v>1808</v>
      </c>
      <c r="G1198" t="str">
        <f>IF(OrdersTable[[#This Row],[Order Date]]=_xlfn.MINIFS(Order_Date, Customer_ID, OrdersTable[[#This Row],[Customer ID]]), "New", "Repeat")</f>
        <v>Repeat</v>
      </c>
      <c r="H1198" t="s">
        <v>76</v>
      </c>
      <c r="I1198" t="str">
        <f>INDEX(State!B:B,MATCH(OrdersTable[[#This Row],[State]],State!A:A,0))</f>
        <v>UP</v>
      </c>
      <c r="J1198" t="str">
        <f>INDEX(State!C:C,MATCH(OrdersTable[[#This Row],[State Code]],State!B:B,0))</f>
        <v>North</v>
      </c>
      <c r="K1198" t="s">
        <v>77</v>
      </c>
      <c r="L1198" t="s">
        <v>23</v>
      </c>
      <c r="M1198" t="s">
        <v>61</v>
      </c>
      <c r="N1198" t="str">
        <f>INDEX(Products!B:B,MATCH(OrdersTable[[#This Row],[Product ID]],Products!A:A,0))</f>
        <v>Multivitamin Gummies</v>
      </c>
      <c r="O1198" t="str">
        <f>INDEX(Products!C:C,MATCH(OrdersTable[[#This Row],[Product ID]],Products!A:A,0))</f>
        <v>Wellness</v>
      </c>
      <c r="P1198">
        <v>2</v>
      </c>
      <c r="Q1198" s="5">
        <v>699</v>
      </c>
      <c r="R1198" s="74">
        <v>0.3</v>
      </c>
      <c r="S1198" s="75">
        <f>OrdersTable[[#This Row],[Quantity]]*OrdersTable[[#This Row],[Unit Price]]</f>
        <v>1398</v>
      </c>
      <c r="T1198" s="5">
        <f>OrdersTable[[#This Row],[Gross Sale]]*OrdersTable[[#This Row],[Discount_Clean2]]</f>
        <v>419.4</v>
      </c>
      <c r="U1198" s="5">
        <f>OrdersTable[[#This Row],[Gross Sale]]-OrdersTable[[#This Row],[Discount Amount]]</f>
        <v>978.6</v>
      </c>
      <c r="V1198" s="77">
        <f>INDEX(Products!E:E,MATCH(OrdersTable[[#This Row],[Product ID]],Products!A:A,0))</f>
        <v>238</v>
      </c>
      <c r="W1198" s="77">
        <f>OrdersTable[[#This Row],[Quantity]]*OrdersTable[[#This Row],[Unit Cost]]</f>
        <v>476</v>
      </c>
      <c r="X1198" s="77">
        <f>'Dropdown Lists'!$I$2*(1+OrdersTable[[#This Row],[Returned]])</f>
        <v>120</v>
      </c>
      <c r="Y1198" s="76">
        <f>OrdersTable[[#This Row],[Net Revenue]]-OrdersTable[[#This Row],[COGS]]-OrdersTable[[#This Row],[Shipping Cost]]</f>
        <v>382.6</v>
      </c>
      <c r="Z1198" s="78">
        <f>IFERROR(OrdersTable[[#This Row],[Profit]]/OrdersTable[[#This Row],[Net Revenue]],0)</f>
        <v>0.39096668710402616</v>
      </c>
      <c r="AA1198" t="s">
        <v>2522</v>
      </c>
      <c r="AB1198" s="79">
        <v>45538</v>
      </c>
      <c r="AC1198">
        <f>OrdersTable[[#This Row],[Delivery Date]]-OrdersTable[[#This Row],[Order Date]]</f>
        <v>3</v>
      </c>
      <c r="AD1198" t="str">
        <f>IF(OrdersTable[[#This Row],[Delivery Days]]&lt;=2, "Express (≤2d)", IF(OrdersTable[[#This Row],[Delivery Days]]&lt;=4, "Standard (3-4d)", "Delayed (5d+)"))</f>
        <v>Standard (3-4d)</v>
      </c>
      <c r="AF1198">
        <v>1</v>
      </c>
    </row>
    <row r="1199" spans="1:32" ht="15" x14ac:dyDescent="0.35">
      <c r="A1199" t="s">
        <v>4354</v>
      </c>
      <c r="B1199" s="1">
        <v>45535</v>
      </c>
      <c r="C1199">
        <f>YEAR(OrdersTable[[#This Row],[Order Date]])</f>
        <v>2024</v>
      </c>
      <c r="D1199" s="2">
        <f>DATE(YEAR(OrdersTable[[#This Row],[Order Date]]),MONTH(OrdersTable[[#This Row],[Order Date]]),1)</f>
        <v>45505</v>
      </c>
      <c r="E1199">
        <f>MONTH(OrdersTable[[#This Row],[Order Date]])</f>
        <v>8</v>
      </c>
      <c r="F1199" t="s">
        <v>1959</v>
      </c>
      <c r="G1199" t="str">
        <f>IF(OrdersTable[[#This Row],[Order Date]]=_xlfn.MINIFS(Order_Date, Customer_ID, OrdersTable[[#This Row],[Customer ID]]), "New", "Repeat")</f>
        <v>Repeat</v>
      </c>
      <c r="H1199" t="s">
        <v>71</v>
      </c>
      <c r="I1199" t="str">
        <f>INDEX(State!B:B,MATCH(OrdersTable[[#This Row],[State]],State!A:A,0))</f>
        <v>MH</v>
      </c>
      <c r="J1199" t="str">
        <f>INDEX(State!C:C,MATCH(OrdersTable[[#This Row],[State Code]],State!B:B,0))</f>
        <v>West</v>
      </c>
      <c r="K1199" t="s">
        <v>72</v>
      </c>
      <c r="L1199" t="s">
        <v>65</v>
      </c>
      <c r="M1199" t="s">
        <v>61</v>
      </c>
      <c r="N1199" t="str">
        <f>INDEX(Products!B:B,MATCH(OrdersTable[[#This Row],[Product ID]],Products!A:A,0))</f>
        <v>Multivitamin Gummies</v>
      </c>
      <c r="O1199" t="str">
        <f>INDEX(Products!C:C,MATCH(OrdersTable[[#This Row],[Product ID]],Products!A:A,0))</f>
        <v>Wellness</v>
      </c>
      <c r="P1199">
        <v>1</v>
      </c>
      <c r="Q1199" s="5">
        <v>699</v>
      </c>
      <c r="R1199" s="74">
        <v>0.2</v>
      </c>
      <c r="S1199" s="75">
        <f>OrdersTable[[#This Row],[Quantity]]*OrdersTable[[#This Row],[Unit Price]]</f>
        <v>699</v>
      </c>
      <c r="T1199" s="5">
        <f>OrdersTable[[#This Row],[Gross Sale]]*OrdersTable[[#This Row],[Discount_Clean2]]</f>
        <v>139.80000000000001</v>
      </c>
      <c r="U1199" s="5">
        <f>OrdersTable[[#This Row],[Gross Sale]]-OrdersTable[[#This Row],[Discount Amount]]</f>
        <v>559.20000000000005</v>
      </c>
      <c r="V1199" s="77">
        <f>INDEX(Products!E:E,MATCH(OrdersTable[[#This Row],[Product ID]],Products!A:A,0))</f>
        <v>238</v>
      </c>
      <c r="W1199" s="77">
        <f>OrdersTable[[#This Row],[Quantity]]*OrdersTable[[#This Row],[Unit Cost]]</f>
        <v>238</v>
      </c>
      <c r="X1199" s="77">
        <f>'Dropdown Lists'!$I$2*(1+OrdersTable[[#This Row],[Returned]])</f>
        <v>60</v>
      </c>
      <c r="Y1199" s="76">
        <f>OrdersTable[[#This Row],[Net Revenue]]-OrdersTable[[#This Row],[COGS]]-OrdersTable[[#This Row],[Shipping Cost]]</f>
        <v>261.20000000000005</v>
      </c>
      <c r="Z1199" s="78">
        <f>IFERROR(OrdersTable[[#This Row],[Profit]]/OrdersTable[[#This Row],[Net Revenue]],0)</f>
        <v>0.46709585121602293</v>
      </c>
      <c r="AA1199" t="s">
        <v>4074</v>
      </c>
      <c r="AB1199" s="79">
        <v>45536</v>
      </c>
      <c r="AC1199">
        <f>OrdersTable[[#This Row],[Delivery Date]]-OrdersTable[[#This Row],[Order Date]]</f>
        <v>1</v>
      </c>
      <c r="AD1199" t="str">
        <f>IF(OrdersTable[[#This Row],[Delivery Days]]&lt;=2, "Express (≤2d)", IF(OrdersTable[[#This Row],[Delivery Days]]&lt;=4, "Standard (3-4d)", "Delayed (5d+)"))</f>
        <v>Express (≤2d)</v>
      </c>
      <c r="AE1199">
        <v>4</v>
      </c>
      <c r="AF1199">
        <v>0</v>
      </c>
    </row>
    <row r="1200" spans="1:32" ht="15" x14ac:dyDescent="0.35">
      <c r="A1200" t="s">
        <v>1884</v>
      </c>
      <c r="B1200" s="1">
        <v>45535</v>
      </c>
      <c r="C1200">
        <f>YEAR(OrdersTable[[#This Row],[Order Date]])</f>
        <v>2024</v>
      </c>
      <c r="D1200" s="2">
        <f>DATE(YEAR(OrdersTable[[#This Row],[Order Date]]),MONTH(OrdersTable[[#This Row],[Order Date]]),1)</f>
        <v>45505</v>
      </c>
      <c r="E1200">
        <f>MONTH(OrdersTable[[#This Row],[Order Date]])</f>
        <v>8</v>
      </c>
      <c r="F1200" t="s">
        <v>1885</v>
      </c>
      <c r="G1200" t="str">
        <f>IF(OrdersTable[[#This Row],[Order Date]]=_xlfn.MINIFS(Order_Date, Customer_ID, OrdersTable[[#This Row],[Customer ID]]), "New", "Repeat")</f>
        <v>New</v>
      </c>
      <c r="H1200" t="s">
        <v>71</v>
      </c>
      <c r="I1200" t="str">
        <f>INDEX(State!B:B,MATCH(OrdersTable[[#This Row],[State]],State!A:A,0))</f>
        <v>MH</v>
      </c>
      <c r="J1200" t="str">
        <f>INDEX(State!C:C,MATCH(OrdersTable[[#This Row],[State Code]],State!B:B,0))</f>
        <v>West</v>
      </c>
      <c r="K1200" t="s">
        <v>102</v>
      </c>
      <c r="L1200" t="s">
        <v>65</v>
      </c>
      <c r="M1200" t="s">
        <v>87</v>
      </c>
      <c r="N1200" t="str">
        <f>INDEX(Products!B:B,MATCH(OrdersTable[[#This Row],[Product ID]],Products!A:A,0))</f>
        <v>Linen Kurta</v>
      </c>
      <c r="O1200" t="str">
        <f>INDEX(Products!C:C,MATCH(OrdersTable[[#This Row],[Product ID]],Products!A:A,0))</f>
        <v>Apparel</v>
      </c>
      <c r="P1200">
        <v>1</v>
      </c>
      <c r="Q1200" s="5">
        <v>1499</v>
      </c>
      <c r="R1200" s="74">
        <v>0.25</v>
      </c>
      <c r="S1200" s="75">
        <f>OrdersTable[[#This Row],[Quantity]]*OrdersTable[[#This Row],[Unit Price]]</f>
        <v>1499</v>
      </c>
      <c r="T1200" s="5">
        <f>OrdersTable[[#This Row],[Gross Sale]]*OrdersTable[[#This Row],[Discount_Clean2]]</f>
        <v>374.75</v>
      </c>
      <c r="U1200" s="5">
        <f>OrdersTable[[#This Row],[Gross Sale]]-OrdersTable[[#This Row],[Discount Amount]]</f>
        <v>1124.25</v>
      </c>
      <c r="V1200" s="77">
        <f>INDEX(Products!E:E,MATCH(OrdersTable[[#This Row],[Product ID]],Products!A:A,0))</f>
        <v>630</v>
      </c>
      <c r="W1200" s="77">
        <f>OrdersTable[[#This Row],[Quantity]]*OrdersTable[[#This Row],[Unit Cost]]</f>
        <v>630</v>
      </c>
      <c r="X1200" s="77">
        <f>'Dropdown Lists'!$I$2*(1+OrdersTable[[#This Row],[Returned]])</f>
        <v>60</v>
      </c>
      <c r="Y1200" s="76">
        <f>OrdersTable[[#This Row],[Net Revenue]]-OrdersTable[[#This Row],[COGS]]-OrdersTable[[#This Row],[Shipping Cost]]</f>
        <v>434.25</v>
      </c>
      <c r="Z1200" s="78">
        <f>IFERROR(OrdersTable[[#This Row],[Profit]]/OrdersTable[[#This Row],[Net Revenue]],0)</f>
        <v>0.38625750500333556</v>
      </c>
      <c r="AA1200" t="s">
        <v>18</v>
      </c>
      <c r="AB1200" s="79">
        <v>45536</v>
      </c>
      <c r="AC1200">
        <f>OrdersTable[[#This Row],[Delivery Date]]-OrdersTable[[#This Row],[Order Date]]</f>
        <v>1</v>
      </c>
      <c r="AD1200" t="str">
        <f>IF(OrdersTable[[#This Row],[Delivery Days]]&lt;=2, "Express (≤2d)", IF(OrdersTable[[#This Row],[Delivery Days]]&lt;=4, "Standard (3-4d)", "Delayed (5d+)"))</f>
        <v>Express (≤2d)</v>
      </c>
      <c r="AE1200">
        <v>3</v>
      </c>
      <c r="AF1200">
        <v>0</v>
      </c>
    </row>
    <row r="1201" spans="1:32" ht="15" x14ac:dyDescent="0.35">
      <c r="A1201" t="s">
        <v>5487</v>
      </c>
      <c r="B1201" s="1">
        <v>45536</v>
      </c>
      <c r="C1201">
        <f>YEAR(OrdersTable[[#This Row],[Order Date]])</f>
        <v>2024</v>
      </c>
      <c r="D1201" s="2">
        <f>DATE(YEAR(OrdersTable[[#This Row],[Order Date]]),MONTH(OrdersTable[[#This Row],[Order Date]]),1)</f>
        <v>45536</v>
      </c>
      <c r="E1201">
        <f>MONTH(OrdersTable[[#This Row],[Order Date]])</f>
        <v>9</v>
      </c>
      <c r="F1201" t="s">
        <v>3041</v>
      </c>
      <c r="G1201" t="str">
        <f>IF(OrdersTable[[#This Row],[Order Date]]=_xlfn.MINIFS(Order_Date, Customer_ID, OrdersTable[[#This Row],[Customer ID]]), "New", "Repeat")</f>
        <v>Repeat</v>
      </c>
      <c r="H1201" t="s">
        <v>37</v>
      </c>
      <c r="I1201" t="str">
        <f>INDEX(State!B:B,MATCH(OrdersTable[[#This Row],[State]],State!A:A,0))</f>
        <v>GJ</v>
      </c>
      <c r="J1201" t="str">
        <f>INDEX(State!C:C,MATCH(OrdersTable[[#This Row],[State Code]],State!B:B,0))</f>
        <v>West</v>
      </c>
      <c r="K1201" t="s">
        <v>247</v>
      </c>
      <c r="L1201" t="s">
        <v>23</v>
      </c>
      <c r="M1201" t="s">
        <v>29</v>
      </c>
      <c r="N1201" t="str">
        <f>INDEX(Products!B:B,MATCH(OrdersTable[[#This Row],[Product ID]],Products!A:A,0))</f>
        <v>Joggers</v>
      </c>
      <c r="O1201" t="str">
        <f>INDEX(Products!C:C,MATCH(OrdersTable[[#This Row],[Product ID]],Products!A:A,0))</f>
        <v>Apparel</v>
      </c>
      <c r="P1201">
        <v>2</v>
      </c>
      <c r="Q1201" s="5">
        <v>1199</v>
      </c>
      <c r="R1201" s="74">
        <v>0.1</v>
      </c>
      <c r="S1201" s="75">
        <f>OrdersTable[[#This Row],[Quantity]]*OrdersTable[[#This Row],[Unit Price]]</f>
        <v>2398</v>
      </c>
      <c r="T1201" s="5">
        <f>OrdersTable[[#This Row],[Gross Sale]]*OrdersTable[[#This Row],[Discount_Clean2]]</f>
        <v>239.8</v>
      </c>
      <c r="U1201" s="5">
        <f>OrdersTable[[#This Row],[Gross Sale]]-OrdersTable[[#This Row],[Discount Amount]]</f>
        <v>2158.1999999999998</v>
      </c>
      <c r="V1201" s="77">
        <f>INDEX(Products!E:E,MATCH(OrdersTable[[#This Row],[Product ID]],Products!A:A,0))</f>
        <v>492</v>
      </c>
      <c r="W1201" s="77">
        <f>OrdersTable[[#This Row],[Quantity]]*OrdersTable[[#This Row],[Unit Cost]]</f>
        <v>984</v>
      </c>
      <c r="X1201" s="77">
        <f>'Dropdown Lists'!$I$2*(1+OrdersTable[[#This Row],[Returned]])</f>
        <v>60</v>
      </c>
      <c r="Y1201" s="76">
        <f>OrdersTable[[#This Row],[Net Revenue]]-OrdersTable[[#This Row],[COGS]]-OrdersTable[[#This Row],[Shipping Cost]]</f>
        <v>1114.1999999999998</v>
      </c>
      <c r="Z1201" s="78">
        <f>IFERROR(OrdersTable[[#This Row],[Profit]]/OrdersTable[[#This Row],[Net Revenue]],0)</f>
        <v>0.51626355296080062</v>
      </c>
      <c r="AA1201" t="s">
        <v>2522</v>
      </c>
      <c r="AB1201" s="79">
        <v>45537</v>
      </c>
      <c r="AC1201">
        <f>OrdersTable[[#This Row],[Delivery Date]]-OrdersTable[[#This Row],[Order Date]]</f>
        <v>1</v>
      </c>
      <c r="AD1201" t="str">
        <f>IF(OrdersTable[[#This Row],[Delivery Days]]&lt;=2, "Express (≤2d)", IF(OrdersTable[[#This Row],[Delivery Days]]&lt;=4, "Standard (3-4d)", "Delayed (5d+)"))</f>
        <v>Express (≤2d)</v>
      </c>
      <c r="AE1201">
        <v>4</v>
      </c>
      <c r="AF1201">
        <v>0</v>
      </c>
    </row>
    <row r="1202" spans="1:32" ht="15" x14ac:dyDescent="0.35">
      <c r="A1202" t="s">
        <v>6082</v>
      </c>
      <c r="B1202" s="1">
        <v>45536</v>
      </c>
      <c r="C1202">
        <f>YEAR(OrdersTable[[#This Row],[Order Date]])</f>
        <v>2024</v>
      </c>
      <c r="D1202" s="2">
        <f>DATE(YEAR(OrdersTable[[#This Row],[Order Date]]),MONTH(OrdersTable[[#This Row],[Order Date]]),1)</f>
        <v>45536</v>
      </c>
      <c r="E1202">
        <f>MONTH(OrdersTable[[#This Row],[Order Date]])</f>
        <v>9</v>
      </c>
      <c r="F1202" t="s">
        <v>2262</v>
      </c>
      <c r="G1202" t="str">
        <f>IF(OrdersTable[[#This Row],[Order Date]]=_xlfn.MINIFS(Order_Date, Customer_ID, OrdersTable[[#This Row],[Customer ID]]), "New", "Repeat")</f>
        <v>Repeat</v>
      </c>
      <c r="H1202" t="s">
        <v>482</v>
      </c>
      <c r="I1202" t="str">
        <f>INDEX(State!B:B,MATCH(OrdersTable[[#This Row],[State]],State!A:A,0))</f>
        <v>CG</v>
      </c>
      <c r="J1202" t="str">
        <f>INDEX(State!C:C,MATCH(OrdersTable[[#This Row],[State Code]],State!B:B,0))</f>
        <v>East</v>
      </c>
      <c r="K1202" t="s">
        <v>483</v>
      </c>
      <c r="L1202" t="s">
        <v>65</v>
      </c>
      <c r="M1202" t="s">
        <v>40</v>
      </c>
      <c r="N1202" t="str">
        <f>INDEX(Products!B:B,MATCH(OrdersTable[[#This Row],[Product ID]],Products!A:A,0))</f>
        <v>Ashwagandha Capsules</v>
      </c>
      <c r="O1202" t="str">
        <f>INDEX(Products!C:C,MATCH(OrdersTable[[#This Row],[Product ID]],Products!A:A,0))</f>
        <v>Wellness</v>
      </c>
      <c r="P1202">
        <v>2</v>
      </c>
      <c r="Q1202" s="5">
        <v>499</v>
      </c>
      <c r="R1202" s="74">
        <v>0</v>
      </c>
      <c r="S1202" s="75">
        <f>OrdersTable[[#This Row],[Quantity]]*OrdersTable[[#This Row],[Unit Price]]</f>
        <v>998</v>
      </c>
      <c r="T1202" s="5">
        <f>OrdersTable[[#This Row],[Gross Sale]]*OrdersTable[[#This Row],[Discount_Clean2]]</f>
        <v>0</v>
      </c>
      <c r="U1202" s="5">
        <f>OrdersTable[[#This Row],[Gross Sale]]-OrdersTable[[#This Row],[Discount Amount]]</f>
        <v>998</v>
      </c>
      <c r="V1202" s="77">
        <f>INDEX(Products!E:E,MATCH(OrdersTable[[#This Row],[Product ID]],Products!A:A,0))</f>
        <v>150</v>
      </c>
      <c r="W1202" s="77">
        <f>OrdersTable[[#This Row],[Quantity]]*OrdersTable[[#This Row],[Unit Cost]]</f>
        <v>300</v>
      </c>
      <c r="X1202" s="77">
        <f>'Dropdown Lists'!$I$2*(1+OrdersTable[[#This Row],[Returned]])</f>
        <v>60</v>
      </c>
      <c r="Y1202" s="76">
        <f>OrdersTable[[#This Row],[Net Revenue]]-OrdersTable[[#This Row],[COGS]]-OrdersTable[[#This Row],[Shipping Cost]]</f>
        <v>638</v>
      </c>
      <c r="Z1202" s="78">
        <f>IFERROR(OrdersTable[[#This Row],[Profit]]/OrdersTable[[#This Row],[Net Revenue]],0)</f>
        <v>0.63927855711422843</v>
      </c>
      <c r="AA1202" t="s">
        <v>18</v>
      </c>
      <c r="AB1202" s="79">
        <v>45539</v>
      </c>
      <c r="AC1202">
        <f>OrdersTable[[#This Row],[Delivery Date]]-OrdersTable[[#This Row],[Order Date]]</f>
        <v>3</v>
      </c>
      <c r="AD1202" t="str">
        <f>IF(OrdersTable[[#This Row],[Delivery Days]]&lt;=2, "Express (≤2d)", IF(OrdersTable[[#This Row],[Delivery Days]]&lt;=4, "Standard (3-4d)", "Delayed (5d+)"))</f>
        <v>Standard (3-4d)</v>
      </c>
      <c r="AE1202">
        <v>4</v>
      </c>
      <c r="AF1202">
        <v>0</v>
      </c>
    </row>
    <row r="1203" spans="1:32" ht="15" x14ac:dyDescent="0.35">
      <c r="A1203" t="s">
        <v>1231</v>
      </c>
      <c r="B1203" s="1">
        <v>45536</v>
      </c>
      <c r="C1203">
        <f>YEAR(OrdersTable[[#This Row],[Order Date]])</f>
        <v>2024</v>
      </c>
      <c r="D1203" s="2">
        <f>DATE(YEAR(OrdersTable[[#This Row],[Order Date]]),MONTH(OrdersTable[[#This Row],[Order Date]]),1)</f>
        <v>45536</v>
      </c>
      <c r="E1203">
        <f>MONTH(OrdersTable[[#This Row],[Order Date]])</f>
        <v>9</v>
      </c>
      <c r="F1203" t="s">
        <v>1232</v>
      </c>
      <c r="G1203" t="str">
        <f>IF(OrdersTable[[#This Row],[Order Date]]=_xlfn.MINIFS(Order_Date, Customer_ID, OrdersTable[[#This Row],[Customer ID]]), "New", "Repeat")</f>
        <v>Repeat</v>
      </c>
      <c r="H1203" t="s">
        <v>167</v>
      </c>
      <c r="I1203" t="str">
        <f>INDEX(State!B:B,MATCH(OrdersTable[[#This Row],[State]],State!A:A,0))</f>
        <v>KA</v>
      </c>
      <c r="J1203" t="str">
        <f>INDEX(State!C:C,MATCH(OrdersTable[[#This Row],[State Code]],State!B:B,0))</f>
        <v>South</v>
      </c>
      <c r="K1203" t="s">
        <v>190</v>
      </c>
      <c r="L1203" t="s">
        <v>16</v>
      </c>
      <c r="M1203" t="s">
        <v>92</v>
      </c>
      <c r="N1203" t="str">
        <f>INDEX(Products!B:B,MATCH(OrdersTable[[#This Row],[Product ID]],Products!A:A,0))</f>
        <v>Kolhapuri Sandals</v>
      </c>
      <c r="O1203" t="str">
        <f>INDEX(Products!C:C,MATCH(OrdersTable[[#This Row],[Product ID]],Products!A:A,0))</f>
        <v>Footwear</v>
      </c>
      <c r="P1203">
        <v>1</v>
      </c>
      <c r="Q1203" s="5">
        <v>999</v>
      </c>
      <c r="R1203" s="74">
        <v>0</v>
      </c>
      <c r="S1203" s="75">
        <f>OrdersTable[[#This Row],[Quantity]]*OrdersTable[[#This Row],[Unit Price]]</f>
        <v>999</v>
      </c>
      <c r="T1203" s="5">
        <f>OrdersTable[[#This Row],[Gross Sale]]*OrdersTable[[#This Row],[Discount_Clean2]]</f>
        <v>0</v>
      </c>
      <c r="U1203" s="5">
        <f>OrdersTable[[#This Row],[Gross Sale]]-OrdersTable[[#This Row],[Discount Amount]]</f>
        <v>999</v>
      </c>
      <c r="V1203" s="77">
        <f>INDEX(Products!E:E,MATCH(OrdersTable[[#This Row],[Product ID]],Products!A:A,0))</f>
        <v>400</v>
      </c>
      <c r="W1203" s="77">
        <f>OrdersTable[[#This Row],[Quantity]]*OrdersTable[[#This Row],[Unit Cost]]</f>
        <v>400</v>
      </c>
      <c r="X1203" s="77">
        <f>'Dropdown Lists'!$I$2*(1+OrdersTable[[#This Row],[Returned]])</f>
        <v>60</v>
      </c>
      <c r="Y1203" s="76">
        <f>OrdersTable[[#This Row],[Net Revenue]]-OrdersTable[[#This Row],[COGS]]-OrdersTable[[#This Row],[Shipping Cost]]</f>
        <v>539</v>
      </c>
      <c r="Z1203" s="78">
        <f>IFERROR(OrdersTable[[#This Row],[Profit]]/OrdersTable[[#This Row],[Net Revenue]],0)</f>
        <v>0.53953953953953959</v>
      </c>
      <c r="AA1203" t="s">
        <v>18</v>
      </c>
      <c r="AB1203" s="79">
        <v>45538</v>
      </c>
      <c r="AC1203">
        <f>OrdersTable[[#This Row],[Delivery Date]]-OrdersTable[[#This Row],[Order Date]]</f>
        <v>2</v>
      </c>
      <c r="AD1203" t="str">
        <f>IF(OrdersTable[[#This Row],[Delivery Days]]&lt;=2, "Express (≤2d)", IF(OrdersTable[[#This Row],[Delivery Days]]&lt;=4, "Standard (3-4d)", "Delayed (5d+)"))</f>
        <v>Express (≤2d)</v>
      </c>
      <c r="AF1203">
        <v>0</v>
      </c>
    </row>
    <row r="1204" spans="1:32" ht="15" x14ac:dyDescent="0.35">
      <c r="A1204" t="s">
        <v>7064</v>
      </c>
      <c r="B1204" s="1">
        <v>45537</v>
      </c>
      <c r="C1204">
        <f>YEAR(OrdersTable[[#This Row],[Order Date]])</f>
        <v>2024</v>
      </c>
      <c r="D1204" s="2">
        <f>DATE(YEAR(OrdersTable[[#This Row],[Order Date]]),MONTH(OrdersTable[[#This Row],[Order Date]]),1)</f>
        <v>45536</v>
      </c>
      <c r="E1204">
        <f>MONTH(OrdersTable[[#This Row],[Order Date]])</f>
        <v>9</v>
      </c>
      <c r="F1204" t="s">
        <v>3303</v>
      </c>
      <c r="G1204" t="str">
        <f>IF(OrdersTable[[#This Row],[Order Date]]=_xlfn.MINIFS(Order_Date, Customer_ID, OrdersTable[[#This Row],[Customer ID]]), "New", "Repeat")</f>
        <v>New</v>
      </c>
      <c r="H1204" t="s">
        <v>21</v>
      </c>
      <c r="I1204" t="str">
        <f>INDEX(State!B:B,MATCH(OrdersTable[[#This Row],[State]],State!A:A,0))</f>
        <v>PB</v>
      </c>
      <c r="J1204" t="str">
        <f>INDEX(State!C:C,MATCH(OrdersTable[[#This Row],[State Code]],State!B:B,0))</f>
        <v>North</v>
      </c>
      <c r="K1204" t="s">
        <v>22</v>
      </c>
      <c r="L1204" t="s">
        <v>65</v>
      </c>
      <c r="M1204" t="s">
        <v>73</v>
      </c>
      <c r="N1204" t="str">
        <f>INDEX(Products!B:B,MATCH(OrdersTable[[#This Row],[Product ID]],Products!A:A,0))</f>
        <v>Hydrating Face Wash</v>
      </c>
      <c r="O1204" t="str">
        <f>INDEX(Products!C:C,MATCH(OrdersTable[[#This Row],[Product ID]],Products!A:A,0))</f>
        <v>Skincare</v>
      </c>
      <c r="P1204">
        <v>4</v>
      </c>
      <c r="Q1204" s="5">
        <v>299</v>
      </c>
      <c r="R1204" s="74">
        <v>0</v>
      </c>
      <c r="S1204" s="75">
        <f>OrdersTable[[#This Row],[Quantity]]*OrdersTable[[#This Row],[Unit Price]]</f>
        <v>1196</v>
      </c>
      <c r="T1204" s="5">
        <f>OrdersTable[[#This Row],[Gross Sale]]*OrdersTable[[#This Row],[Discount_Clean2]]</f>
        <v>0</v>
      </c>
      <c r="U1204" s="5">
        <f>OrdersTable[[#This Row],[Gross Sale]]-OrdersTable[[#This Row],[Discount Amount]]</f>
        <v>1196</v>
      </c>
      <c r="V1204" s="77">
        <f>INDEX(Products!E:E,MATCH(OrdersTable[[#This Row],[Product ID]],Products!A:A,0))</f>
        <v>90</v>
      </c>
      <c r="W1204" s="77">
        <f>OrdersTable[[#This Row],[Quantity]]*OrdersTable[[#This Row],[Unit Cost]]</f>
        <v>360</v>
      </c>
      <c r="X1204" s="77">
        <f>'Dropdown Lists'!$I$2*(1+OrdersTable[[#This Row],[Returned]])</f>
        <v>60</v>
      </c>
      <c r="Y1204" s="76">
        <f>OrdersTable[[#This Row],[Net Revenue]]-OrdersTable[[#This Row],[COGS]]-OrdersTable[[#This Row],[Shipping Cost]]</f>
        <v>776</v>
      </c>
      <c r="Z1204" s="78">
        <f>IFERROR(OrdersTable[[#This Row],[Profit]]/OrdersTable[[#This Row],[Net Revenue]],0)</f>
        <v>0.6488294314381271</v>
      </c>
      <c r="AA1204" t="s">
        <v>18</v>
      </c>
      <c r="AB1204" s="79">
        <v>45541</v>
      </c>
      <c r="AC1204">
        <f>OrdersTable[[#This Row],[Delivery Date]]-OrdersTable[[#This Row],[Order Date]]</f>
        <v>4</v>
      </c>
      <c r="AD1204" t="str">
        <f>IF(OrdersTable[[#This Row],[Delivery Days]]&lt;=2, "Express (≤2d)", IF(OrdersTable[[#This Row],[Delivery Days]]&lt;=4, "Standard (3-4d)", "Delayed (5d+)"))</f>
        <v>Standard (3-4d)</v>
      </c>
      <c r="AF1204">
        <v>0</v>
      </c>
    </row>
    <row r="1205" spans="1:32" ht="15" x14ac:dyDescent="0.35">
      <c r="A1205" t="s">
        <v>1886</v>
      </c>
      <c r="B1205" s="1">
        <v>45537</v>
      </c>
      <c r="C1205">
        <f>YEAR(OrdersTable[[#This Row],[Order Date]])</f>
        <v>2024</v>
      </c>
      <c r="D1205" s="2">
        <f>DATE(YEAR(OrdersTable[[#This Row],[Order Date]]),MONTH(OrdersTable[[#This Row],[Order Date]]),1)</f>
        <v>45536</v>
      </c>
      <c r="E1205">
        <f>MONTH(OrdersTable[[#This Row],[Order Date]])</f>
        <v>9</v>
      </c>
      <c r="F1205" t="s">
        <v>1887</v>
      </c>
      <c r="G1205" t="str">
        <f>IF(OrdersTable[[#This Row],[Order Date]]=_xlfn.MINIFS(Order_Date, Customer_ID, OrdersTable[[#This Row],[Customer ID]]), "New", "Repeat")</f>
        <v>New</v>
      </c>
      <c r="H1205" t="s">
        <v>184</v>
      </c>
      <c r="I1205" t="str">
        <f>INDEX(State!B:B,MATCH(OrdersTable[[#This Row],[State]],State!A:A,0))</f>
        <v>UK</v>
      </c>
      <c r="J1205" t="str">
        <f>INDEX(State!C:C,MATCH(OrdersTable[[#This Row],[State Code]],State!B:B,0))</f>
        <v>North</v>
      </c>
      <c r="K1205" t="s">
        <v>185</v>
      </c>
      <c r="L1205" t="s">
        <v>65</v>
      </c>
      <c r="M1205" t="s">
        <v>24</v>
      </c>
      <c r="N1205" t="str">
        <f>INDEX(Products!B:B,MATCH(OrdersTable[[#This Row],[Product ID]],Products!A:A,0))</f>
        <v>Scented Candle Set</v>
      </c>
      <c r="O1205" t="str">
        <f>INDEX(Products!C:C,MATCH(OrdersTable[[#This Row],[Product ID]],Products!A:A,0))</f>
        <v>Home &amp; Kitchen</v>
      </c>
      <c r="P1205">
        <v>1</v>
      </c>
      <c r="Q1205" s="5">
        <v>699</v>
      </c>
      <c r="R1205" s="74">
        <v>0.2</v>
      </c>
      <c r="S1205" s="75">
        <f>OrdersTable[[#This Row],[Quantity]]*OrdersTable[[#This Row],[Unit Price]]</f>
        <v>699</v>
      </c>
      <c r="T1205" s="5">
        <f>OrdersTable[[#This Row],[Gross Sale]]*OrdersTable[[#This Row],[Discount_Clean2]]</f>
        <v>139.80000000000001</v>
      </c>
      <c r="U1205" s="5">
        <f>OrdersTable[[#This Row],[Gross Sale]]-OrdersTable[[#This Row],[Discount Amount]]</f>
        <v>559.20000000000005</v>
      </c>
      <c r="V1205" s="77">
        <f>INDEX(Products!E:E,MATCH(OrdersTable[[#This Row],[Product ID]],Products!A:A,0))</f>
        <v>245</v>
      </c>
      <c r="W1205" s="77">
        <f>OrdersTable[[#This Row],[Quantity]]*OrdersTable[[#This Row],[Unit Cost]]</f>
        <v>245</v>
      </c>
      <c r="X1205" s="77">
        <f>'Dropdown Lists'!$I$2*(1+OrdersTable[[#This Row],[Returned]])</f>
        <v>60</v>
      </c>
      <c r="Y1205" s="76">
        <f>OrdersTable[[#This Row],[Net Revenue]]-OrdersTable[[#This Row],[COGS]]-OrdersTable[[#This Row],[Shipping Cost]]</f>
        <v>254.20000000000005</v>
      </c>
      <c r="Z1205" s="78">
        <f>IFERROR(OrdersTable[[#This Row],[Profit]]/OrdersTable[[#This Row],[Net Revenue]],0)</f>
        <v>0.45457796852646642</v>
      </c>
      <c r="AA1205" t="s">
        <v>18</v>
      </c>
      <c r="AB1205" s="79">
        <v>45543</v>
      </c>
      <c r="AC1205">
        <f>OrdersTable[[#This Row],[Delivery Date]]-OrdersTable[[#This Row],[Order Date]]</f>
        <v>6</v>
      </c>
      <c r="AD1205" t="str">
        <f>IF(OrdersTable[[#This Row],[Delivery Days]]&lt;=2, "Express (≤2d)", IF(OrdersTable[[#This Row],[Delivery Days]]&lt;=4, "Standard (3-4d)", "Delayed (5d+)"))</f>
        <v>Delayed (5d+)</v>
      </c>
      <c r="AE1205">
        <v>3</v>
      </c>
      <c r="AF1205">
        <v>0</v>
      </c>
    </row>
    <row r="1206" spans="1:32" ht="15" x14ac:dyDescent="0.35">
      <c r="A1206" t="s">
        <v>4923</v>
      </c>
      <c r="B1206" s="1">
        <v>45537</v>
      </c>
      <c r="C1206">
        <f>YEAR(OrdersTable[[#This Row],[Order Date]])</f>
        <v>2024</v>
      </c>
      <c r="D1206" s="2">
        <f>DATE(YEAR(OrdersTable[[#This Row],[Order Date]]),MONTH(OrdersTable[[#This Row],[Order Date]]),1)</f>
        <v>45536</v>
      </c>
      <c r="E1206">
        <f>MONTH(OrdersTable[[#This Row],[Order Date]])</f>
        <v>9</v>
      </c>
      <c r="F1206" t="s">
        <v>4095</v>
      </c>
      <c r="G1206" t="str">
        <f>IF(OrdersTable[[#This Row],[Order Date]]=_xlfn.MINIFS(Order_Date, Customer_ID, OrdersTable[[#This Row],[Customer ID]]), "New", "Repeat")</f>
        <v>Repeat</v>
      </c>
      <c r="H1206" t="s">
        <v>27</v>
      </c>
      <c r="I1206" t="str">
        <f>INDEX(State!B:B,MATCH(OrdersTable[[#This Row],[State]],State!A:A,0))</f>
        <v>WB</v>
      </c>
      <c r="J1206" t="str">
        <f>INDEX(State!C:C,MATCH(OrdersTable[[#This Row],[State Code]],State!B:B,0))</f>
        <v>East</v>
      </c>
      <c r="K1206" t="s">
        <v>28</v>
      </c>
      <c r="L1206" t="s">
        <v>23</v>
      </c>
      <c r="M1206" t="s">
        <v>109</v>
      </c>
      <c r="N1206" t="str">
        <f>INDEX(Products!B:B,MATCH(OrdersTable[[#This Row],[Product ID]],Products!A:A,0))</f>
        <v>Onion Hair Oil</v>
      </c>
      <c r="O1206" t="str">
        <f>INDEX(Products!C:C,MATCH(OrdersTable[[#This Row],[Product ID]],Products!A:A,0))</f>
        <v>Haircare</v>
      </c>
      <c r="P1206">
        <v>2</v>
      </c>
      <c r="Q1206" s="5">
        <v>349</v>
      </c>
      <c r="R1206" s="74">
        <v>0.4</v>
      </c>
      <c r="S1206" s="75">
        <f>OrdersTable[[#This Row],[Quantity]]*OrdersTable[[#This Row],[Unit Price]]</f>
        <v>698</v>
      </c>
      <c r="T1206" s="5">
        <f>OrdersTable[[#This Row],[Gross Sale]]*OrdersTable[[#This Row],[Discount_Clean2]]</f>
        <v>279.2</v>
      </c>
      <c r="U1206" s="5">
        <f>OrdersTable[[#This Row],[Gross Sale]]-OrdersTable[[#This Row],[Discount Amount]]</f>
        <v>418.8</v>
      </c>
      <c r="V1206" s="77">
        <f>INDEX(Products!E:E,MATCH(OrdersTable[[#This Row],[Product ID]],Products!A:A,0))</f>
        <v>105</v>
      </c>
      <c r="W1206" s="77">
        <f>OrdersTable[[#This Row],[Quantity]]*OrdersTable[[#This Row],[Unit Cost]]</f>
        <v>210</v>
      </c>
      <c r="X1206" s="77">
        <f>'Dropdown Lists'!$I$2*(1+OrdersTable[[#This Row],[Returned]])</f>
        <v>60</v>
      </c>
      <c r="Y1206" s="76">
        <f>OrdersTable[[#This Row],[Net Revenue]]-OrdersTable[[#This Row],[COGS]]-OrdersTable[[#This Row],[Shipping Cost]]</f>
        <v>148.80000000000001</v>
      </c>
      <c r="Z1206" s="78">
        <f>IFERROR(OrdersTable[[#This Row],[Profit]]/OrdersTable[[#This Row],[Net Revenue]],0)</f>
        <v>0.35530085959885388</v>
      </c>
      <c r="AA1206" t="s">
        <v>4074</v>
      </c>
      <c r="AB1206" s="79">
        <v>45542</v>
      </c>
      <c r="AC1206">
        <f>OrdersTable[[#This Row],[Delivery Date]]-OrdersTable[[#This Row],[Order Date]]</f>
        <v>5</v>
      </c>
      <c r="AD1206" t="str">
        <f>IF(OrdersTable[[#This Row],[Delivery Days]]&lt;=2, "Express (≤2d)", IF(OrdersTable[[#This Row],[Delivery Days]]&lt;=4, "Standard (3-4d)", "Delayed (5d+)"))</f>
        <v>Delayed (5d+)</v>
      </c>
      <c r="AF1206">
        <v>0</v>
      </c>
    </row>
    <row r="1207" spans="1:32" ht="15" x14ac:dyDescent="0.35">
      <c r="A1207" t="s">
        <v>5773</v>
      </c>
      <c r="B1207" s="1">
        <v>45537</v>
      </c>
      <c r="C1207">
        <f>YEAR(OrdersTable[[#This Row],[Order Date]])</f>
        <v>2024</v>
      </c>
      <c r="D1207" s="2">
        <f>DATE(YEAR(OrdersTable[[#This Row],[Order Date]]),MONTH(OrdersTable[[#This Row],[Order Date]]),1)</f>
        <v>45536</v>
      </c>
      <c r="E1207">
        <f>MONTH(OrdersTable[[#This Row],[Order Date]])</f>
        <v>9</v>
      </c>
      <c r="F1207" t="s">
        <v>2571</v>
      </c>
      <c r="G1207" t="str">
        <f>IF(OrdersTable[[#This Row],[Order Date]]=_xlfn.MINIFS(Order_Date, Customer_ID, OrdersTable[[#This Row],[Customer ID]]), "New", "Repeat")</f>
        <v>New</v>
      </c>
      <c r="H1207" t="s">
        <v>90</v>
      </c>
      <c r="I1207" t="str">
        <f>INDEX(State!B:B,MATCH(OrdersTable[[#This Row],[State]],State!A:A,0))</f>
        <v>GA</v>
      </c>
      <c r="J1207" t="str">
        <f>INDEX(State!C:C,MATCH(OrdersTable[[#This Row],[State Code]],State!B:B,0))</f>
        <v>West</v>
      </c>
      <c r="K1207" t="s">
        <v>91</v>
      </c>
      <c r="L1207" t="s">
        <v>65</v>
      </c>
      <c r="M1207" t="s">
        <v>61</v>
      </c>
      <c r="N1207" t="str">
        <f>INDEX(Products!B:B,MATCH(OrdersTable[[#This Row],[Product ID]],Products!A:A,0))</f>
        <v>Multivitamin Gummies</v>
      </c>
      <c r="O1207" t="str">
        <f>INDEX(Products!C:C,MATCH(OrdersTable[[#This Row],[Product ID]],Products!A:A,0))</f>
        <v>Wellness</v>
      </c>
      <c r="P1207">
        <v>2</v>
      </c>
      <c r="Q1207" s="5">
        <v>699</v>
      </c>
      <c r="R1207" s="74">
        <v>0.3</v>
      </c>
      <c r="S1207" s="75">
        <f>OrdersTable[[#This Row],[Quantity]]*OrdersTable[[#This Row],[Unit Price]]</f>
        <v>1398</v>
      </c>
      <c r="T1207" s="5">
        <f>OrdersTable[[#This Row],[Gross Sale]]*OrdersTable[[#This Row],[Discount_Clean2]]</f>
        <v>419.4</v>
      </c>
      <c r="U1207" s="5">
        <f>OrdersTable[[#This Row],[Gross Sale]]-OrdersTable[[#This Row],[Discount Amount]]</f>
        <v>978.6</v>
      </c>
      <c r="V1207" s="77">
        <f>INDEX(Products!E:E,MATCH(OrdersTable[[#This Row],[Product ID]],Products!A:A,0))</f>
        <v>238</v>
      </c>
      <c r="W1207" s="77">
        <f>OrdersTable[[#This Row],[Quantity]]*OrdersTable[[#This Row],[Unit Cost]]</f>
        <v>476</v>
      </c>
      <c r="X1207" s="77">
        <f>'Dropdown Lists'!$I$2*(1+OrdersTable[[#This Row],[Returned]])</f>
        <v>60</v>
      </c>
      <c r="Y1207" s="76">
        <f>OrdersTable[[#This Row],[Net Revenue]]-OrdersTable[[#This Row],[COGS]]-OrdersTable[[#This Row],[Shipping Cost]]</f>
        <v>442.6</v>
      </c>
      <c r="Z1207" s="78">
        <f>IFERROR(OrdersTable[[#This Row],[Profit]]/OrdersTable[[#This Row],[Net Revenue]],0)</f>
        <v>0.45227876558348662</v>
      </c>
      <c r="AA1207" t="s">
        <v>18</v>
      </c>
      <c r="AB1207" s="79">
        <v>45539</v>
      </c>
      <c r="AC1207">
        <f>OrdersTable[[#This Row],[Delivery Date]]-OrdersTable[[#This Row],[Order Date]]</f>
        <v>2</v>
      </c>
      <c r="AD1207" t="str">
        <f>IF(OrdersTable[[#This Row],[Delivery Days]]&lt;=2, "Express (≤2d)", IF(OrdersTable[[#This Row],[Delivery Days]]&lt;=4, "Standard (3-4d)", "Delayed (5d+)"))</f>
        <v>Express (≤2d)</v>
      </c>
      <c r="AE1207">
        <v>5</v>
      </c>
      <c r="AF1207">
        <v>0</v>
      </c>
    </row>
    <row r="1208" spans="1:32" ht="15" x14ac:dyDescent="0.35">
      <c r="A1208" t="s">
        <v>4478</v>
      </c>
      <c r="B1208" s="1">
        <v>45537</v>
      </c>
      <c r="C1208">
        <f>YEAR(OrdersTable[[#This Row],[Order Date]])</f>
        <v>2024</v>
      </c>
      <c r="D1208" s="2">
        <f>DATE(YEAR(OrdersTable[[#This Row],[Order Date]]),MONTH(OrdersTable[[#This Row],[Order Date]]),1)</f>
        <v>45536</v>
      </c>
      <c r="E1208">
        <f>MONTH(OrdersTable[[#This Row],[Order Date]])</f>
        <v>9</v>
      </c>
      <c r="F1208" t="s">
        <v>1560</v>
      </c>
      <c r="G1208" t="str">
        <f>IF(OrdersTable[[#This Row],[Order Date]]=_xlfn.MINIFS(Order_Date, Customer_ID, OrdersTable[[#This Row],[Customer ID]]), "New", "Repeat")</f>
        <v>New</v>
      </c>
      <c r="H1208" t="s">
        <v>167</v>
      </c>
      <c r="I1208" t="str">
        <f>INDEX(State!B:B,MATCH(OrdersTable[[#This Row],[State]],State!A:A,0))</f>
        <v>KA</v>
      </c>
      <c r="J1208" t="str">
        <f>INDEX(State!C:C,MATCH(OrdersTable[[#This Row],[State Code]],State!B:B,0))</f>
        <v>South</v>
      </c>
      <c r="K1208" t="s">
        <v>168</v>
      </c>
      <c r="L1208" t="s">
        <v>23</v>
      </c>
      <c r="M1208" t="s">
        <v>87</v>
      </c>
      <c r="N1208" t="str">
        <f>INDEX(Products!B:B,MATCH(OrdersTable[[#This Row],[Product ID]],Products!A:A,0))</f>
        <v>Linen Kurta</v>
      </c>
      <c r="O1208" t="str">
        <f>INDEX(Products!C:C,MATCH(OrdersTable[[#This Row],[Product ID]],Products!A:A,0))</f>
        <v>Apparel</v>
      </c>
      <c r="P1208">
        <v>1</v>
      </c>
      <c r="Q1208" s="5">
        <v>1499</v>
      </c>
      <c r="R1208" s="74">
        <v>0.3</v>
      </c>
      <c r="S1208" s="75">
        <f>OrdersTable[[#This Row],[Quantity]]*OrdersTable[[#This Row],[Unit Price]]</f>
        <v>1499</v>
      </c>
      <c r="T1208" s="5">
        <f>OrdersTable[[#This Row],[Gross Sale]]*OrdersTable[[#This Row],[Discount_Clean2]]</f>
        <v>449.7</v>
      </c>
      <c r="U1208" s="5">
        <f>OrdersTable[[#This Row],[Gross Sale]]-OrdersTable[[#This Row],[Discount Amount]]</f>
        <v>1049.3</v>
      </c>
      <c r="V1208" s="77">
        <f>INDEX(Products!E:E,MATCH(OrdersTable[[#This Row],[Product ID]],Products!A:A,0))</f>
        <v>630</v>
      </c>
      <c r="W1208" s="77">
        <f>OrdersTable[[#This Row],[Quantity]]*OrdersTable[[#This Row],[Unit Cost]]</f>
        <v>630</v>
      </c>
      <c r="X1208" s="77">
        <f>'Dropdown Lists'!$I$2*(1+OrdersTable[[#This Row],[Returned]])</f>
        <v>60</v>
      </c>
      <c r="Y1208" s="76">
        <f>OrdersTable[[#This Row],[Net Revenue]]-OrdersTable[[#This Row],[COGS]]-OrdersTable[[#This Row],[Shipping Cost]]</f>
        <v>359.29999999999995</v>
      </c>
      <c r="Z1208" s="78">
        <f>IFERROR(OrdersTable[[#This Row],[Profit]]/OrdersTable[[#This Row],[Net Revenue]],0)</f>
        <v>0.34241875536071664</v>
      </c>
      <c r="AA1208" t="s">
        <v>4450</v>
      </c>
      <c r="AB1208" s="79">
        <v>45539</v>
      </c>
      <c r="AC1208">
        <f>OrdersTable[[#This Row],[Delivery Date]]-OrdersTable[[#This Row],[Order Date]]</f>
        <v>2</v>
      </c>
      <c r="AD1208" t="str">
        <f>IF(OrdersTable[[#This Row],[Delivery Days]]&lt;=2, "Express (≤2d)", IF(OrdersTable[[#This Row],[Delivery Days]]&lt;=4, "Standard (3-4d)", "Delayed (5d+)"))</f>
        <v>Express (≤2d)</v>
      </c>
      <c r="AE1208">
        <v>4</v>
      </c>
      <c r="AF1208">
        <v>0</v>
      </c>
    </row>
    <row r="1209" spans="1:32" ht="15" x14ac:dyDescent="0.35">
      <c r="A1209" t="s">
        <v>4355</v>
      </c>
      <c r="B1209" s="1">
        <v>45537</v>
      </c>
      <c r="C1209">
        <f>YEAR(OrdersTable[[#This Row],[Order Date]])</f>
        <v>2024</v>
      </c>
      <c r="D1209" s="2">
        <f>DATE(YEAR(OrdersTable[[#This Row],[Order Date]]),MONTH(OrdersTable[[#This Row],[Order Date]]),1)</f>
        <v>45536</v>
      </c>
      <c r="E1209">
        <f>MONTH(OrdersTable[[#This Row],[Order Date]])</f>
        <v>9</v>
      </c>
      <c r="F1209" t="s">
        <v>4356</v>
      </c>
      <c r="G1209" t="str">
        <f>IF(OrdersTable[[#This Row],[Order Date]]=_xlfn.MINIFS(Order_Date, Customer_ID, OrdersTable[[#This Row],[Customer ID]]), "New", "Repeat")</f>
        <v>New</v>
      </c>
      <c r="H1209" t="s">
        <v>167</v>
      </c>
      <c r="I1209" t="str">
        <f>INDEX(State!B:B,MATCH(OrdersTable[[#This Row],[State]],State!A:A,0))</f>
        <v>KA</v>
      </c>
      <c r="J1209" t="str">
        <f>INDEX(State!C:C,MATCH(OrdersTable[[#This Row],[State Code]],State!B:B,0))</f>
        <v>South</v>
      </c>
      <c r="K1209" t="s">
        <v>168</v>
      </c>
      <c r="L1209" t="s">
        <v>39</v>
      </c>
      <c r="M1209" t="s">
        <v>51</v>
      </c>
      <c r="N1209" t="str">
        <f>INDEX(Products!B:B,MATCH(OrdersTable[[#This Row],[Product ID]],Products!A:A,0))</f>
        <v>Anti-Dandruff Conditioner</v>
      </c>
      <c r="O1209" t="str">
        <f>INDEX(Products!C:C,MATCH(OrdersTable[[#This Row],[Product ID]],Products!A:A,0))</f>
        <v>Haircare</v>
      </c>
      <c r="P1209">
        <v>1</v>
      </c>
      <c r="Q1209" s="5">
        <v>399</v>
      </c>
      <c r="R1209" s="74">
        <v>0.25</v>
      </c>
      <c r="S1209" s="75">
        <f>OrdersTable[[#This Row],[Quantity]]*OrdersTable[[#This Row],[Unit Price]]</f>
        <v>399</v>
      </c>
      <c r="T1209" s="5">
        <f>OrdersTable[[#This Row],[Gross Sale]]*OrdersTable[[#This Row],[Discount_Clean2]]</f>
        <v>99.75</v>
      </c>
      <c r="U1209" s="5">
        <f>OrdersTable[[#This Row],[Gross Sale]]-OrdersTable[[#This Row],[Discount Amount]]</f>
        <v>299.25</v>
      </c>
      <c r="V1209" s="77">
        <f>INDEX(Products!E:E,MATCH(OrdersTable[[#This Row],[Product ID]],Products!A:A,0))</f>
        <v>136</v>
      </c>
      <c r="W1209" s="77">
        <f>OrdersTable[[#This Row],[Quantity]]*OrdersTable[[#This Row],[Unit Cost]]</f>
        <v>136</v>
      </c>
      <c r="X1209" s="77">
        <f>'Dropdown Lists'!$I$2*(1+OrdersTable[[#This Row],[Returned]])</f>
        <v>60</v>
      </c>
      <c r="Y1209" s="76">
        <f>OrdersTable[[#This Row],[Net Revenue]]-OrdersTable[[#This Row],[COGS]]-OrdersTable[[#This Row],[Shipping Cost]]</f>
        <v>103.25</v>
      </c>
      <c r="Z1209" s="78">
        <f>IFERROR(OrdersTable[[#This Row],[Profit]]/OrdersTable[[#This Row],[Net Revenue]],0)</f>
        <v>0.34502923976608185</v>
      </c>
      <c r="AA1209" t="s">
        <v>4074</v>
      </c>
      <c r="AB1209" s="79">
        <v>45539</v>
      </c>
      <c r="AC1209">
        <f>OrdersTable[[#This Row],[Delivery Date]]-OrdersTable[[#This Row],[Order Date]]</f>
        <v>2</v>
      </c>
      <c r="AD1209" t="str">
        <f>IF(OrdersTable[[#This Row],[Delivery Days]]&lt;=2, "Express (≤2d)", IF(OrdersTable[[#This Row],[Delivery Days]]&lt;=4, "Standard (3-4d)", "Delayed (5d+)"))</f>
        <v>Express (≤2d)</v>
      </c>
      <c r="AE1209">
        <v>4</v>
      </c>
      <c r="AF1209">
        <v>0</v>
      </c>
    </row>
    <row r="1210" spans="1:32" ht="15" x14ac:dyDescent="0.35">
      <c r="A1210" t="s">
        <v>5882</v>
      </c>
      <c r="B1210" s="1">
        <v>45537</v>
      </c>
      <c r="C1210">
        <f>YEAR(OrdersTable[[#This Row],[Order Date]])</f>
        <v>2024</v>
      </c>
      <c r="D1210" s="2">
        <f>DATE(YEAR(OrdersTable[[#This Row],[Order Date]]),MONTH(OrdersTable[[#This Row],[Order Date]]),1)</f>
        <v>45536</v>
      </c>
      <c r="E1210">
        <f>MONTH(OrdersTable[[#This Row],[Order Date]])</f>
        <v>9</v>
      </c>
      <c r="F1210" t="s">
        <v>821</v>
      </c>
      <c r="G1210" t="str">
        <f>IF(OrdersTable[[#This Row],[Order Date]]=_xlfn.MINIFS(Order_Date, Customer_ID, OrdersTable[[#This Row],[Customer ID]]), "New", "Repeat")</f>
        <v>New</v>
      </c>
      <c r="H1210" t="s">
        <v>167</v>
      </c>
      <c r="I1210" t="str">
        <f>INDEX(State!B:B,MATCH(OrdersTable[[#This Row],[State]],State!A:A,0))</f>
        <v>KA</v>
      </c>
      <c r="J1210" t="str">
        <f>INDEX(State!C:C,MATCH(OrdersTable[[#This Row],[State Code]],State!B:B,0))</f>
        <v>South</v>
      </c>
      <c r="K1210" t="s">
        <v>168</v>
      </c>
      <c r="L1210" t="s">
        <v>65</v>
      </c>
      <c r="M1210" t="s">
        <v>84</v>
      </c>
      <c r="N1210" t="str">
        <f>INDEX(Products!B:B,MATCH(OrdersTable[[#This Row],[Product ID]],Products!A:A,0))</f>
        <v>Cotton Bedsheet</v>
      </c>
      <c r="O1210" t="str">
        <f>INDEX(Products!C:C,MATCH(OrdersTable[[#This Row],[Product ID]],Products!A:A,0))</f>
        <v>Home &amp; Kitchen</v>
      </c>
      <c r="P1210">
        <v>2</v>
      </c>
      <c r="Q1210" s="5">
        <v>1299</v>
      </c>
      <c r="R1210" s="74">
        <v>0.05</v>
      </c>
      <c r="S1210" s="75">
        <f>OrdersTable[[#This Row],[Quantity]]*OrdersTable[[#This Row],[Unit Price]]</f>
        <v>2598</v>
      </c>
      <c r="T1210" s="5">
        <f>OrdersTable[[#This Row],[Gross Sale]]*OrdersTable[[#This Row],[Discount_Clean2]]</f>
        <v>129.9</v>
      </c>
      <c r="U1210" s="5">
        <f>OrdersTable[[#This Row],[Gross Sale]]-OrdersTable[[#This Row],[Discount Amount]]</f>
        <v>2468.1</v>
      </c>
      <c r="V1210" s="77">
        <f>INDEX(Products!E:E,MATCH(OrdersTable[[#This Row],[Product ID]],Products!A:A,0))</f>
        <v>585</v>
      </c>
      <c r="W1210" s="77">
        <f>OrdersTable[[#This Row],[Quantity]]*OrdersTable[[#This Row],[Unit Cost]]</f>
        <v>1170</v>
      </c>
      <c r="X1210" s="77">
        <f>'Dropdown Lists'!$I$2*(1+OrdersTable[[#This Row],[Returned]])</f>
        <v>60</v>
      </c>
      <c r="Y1210" s="76">
        <f>OrdersTable[[#This Row],[Net Revenue]]-OrdersTable[[#This Row],[COGS]]-OrdersTable[[#This Row],[Shipping Cost]]</f>
        <v>1238.0999999999999</v>
      </c>
      <c r="Z1210" s="78">
        <f>IFERROR(OrdersTable[[#This Row],[Profit]]/OrdersTable[[#This Row],[Net Revenue]],0)</f>
        <v>0.50164093837364776</v>
      </c>
      <c r="AA1210" t="s">
        <v>18</v>
      </c>
      <c r="AB1210" s="79">
        <v>45538</v>
      </c>
      <c r="AC1210">
        <f>OrdersTable[[#This Row],[Delivery Date]]-OrdersTable[[#This Row],[Order Date]]</f>
        <v>1</v>
      </c>
      <c r="AD1210" t="str">
        <f>IF(OrdersTable[[#This Row],[Delivery Days]]&lt;=2, "Express (≤2d)", IF(OrdersTable[[#This Row],[Delivery Days]]&lt;=4, "Standard (3-4d)", "Delayed (5d+)"))</f>
        <v>Express (≤2d)</v>
      </c>
      <c r="AF1210">
        <v>0</v>
      </c>
    </row>
    <row r="1211" spans="1:32" ht="15" x14ac:dyDescent="0.35">
      <c r="A1211" t="s">
        <v>7065</v>
      </c>
      <c r="B1211" s="1">
        <v>45538</v>
      </c>
      <c r="C1211">
        <f>YEAR(OrdersTable[[#This Row],[Order Date]])</f>
        <v>2024</v>
      </c>
      <c r="D1211" s="2">
        <f>DATE(YEAR(OrdersTable[[#This Row],[Order Date]]),MONTH(OrdersTable[[#This Row],[Order Date]]),1)</f>
        <v>45536</v>
      </c>
      <c r="E1211">
        <f>MONTH(OrdersTable[[#This Row],[Order Date]])</f>
        <v>9</v>
      </c>
      <c r="F1211" t="s">
        <v>1343</v>
      </c>
      <c r="G1211" t="str">
        <f>IF(OrdersTable[[#This Row],[Order Date]]=_xlfn.MINIFS(Order_Date, Customer_ID, OrdersTable[[#This Row],[Customer ID]]), "New", "Repeat")</f>
        <v>Repeat</v>
      </c>
      <c r="H1211" t="s">
        <v>184</v>
      </c>
      <c r="I1211" t="str">
        <f>INDEX(State!B:B,MATCH(OrdersTable[[#This Row],[State]],State!A:A,0))</f>
        <v>UK</v>
      </c>
      <c r="J1211" t="str">
        <f>INDEX(State!C:C,MATCH(OrdersTable[[#This Row],[State Code]],State!B:B,0))</f>
        <v>North</v>
      </c>
      <c r="K1211" t="s">
        <v>185</v>
      </c>
      <c r="L1211" t="s">
        <v>23</v>
      </c>
      <c r="M1211" t="s">
        <v>106</v>
      </c>
      <c r="N1211" t="str">
        <f>INDEX(Products!B:B,MATCH(OrdersTable[[#This Row],[Product ID]],Products!A:A,0))</f>
        <v>Keratin Hair Mask</v>
      </c>
      <c r="O1211" t="str">
        <f>INDEX(Products!C:C,MATCH(OrdersTable[[#This Row],[Product ID]],Products!A:A,0))</f>
        <v>Haircare</v>
      </c>
      <c r="P1211">
        <v>4</v>
      </c>
      <c r="Q1211" s="5">
        <v>549</v>
      </c>
      <c r="R1211" s="74">
        <v>0.2</v>
      </c>
      <c r="S1211" s="75">
        <f>OrdersTable[[#This Row],[Quantity]]*OrdersTable[[#This Row],[Unit Price]]</f>
        <v>2196</v>
      </c>
      <c r="T1211" s="5">
        <f>OrdersTable[[#This Row],[Gross Sale]]*OrdersTable[[#This Row],[Discount_Clean2]]</f>
        <v>439.20000000000005</v>
      </c>
      <c r="U1211" s="5">
        <f>OrdersTable[[#This Row],[Gross Sale]]-OrdersTable[[#This Row],[Discount Amount]]</f>
        <v>1756.8</v>
      </c>
      <c r="V1211" s="77">
        <f>INDEX(Products!E:E,MATCH(OrdersTable[[#This Row],[Product ID]],Products!A:A,0))</f>
        <v>170</v>
      </c>
      <c r="W1211" s="77">
        <f>OrdersTable[[#This Row],[Quantity]]*OrdersTable[[#This Row],[Unit Cost]]</f>
        <v>680</v>
      </c>
      <c r="X1211" s="77">
        <f>'Dropdown Lists'!$I$2*(1+OrdersTable[[#This Row],[Returned]])</f>
        <v>60</v>
      </c>
      <c r="Y1211" s="76">
        <f>OrdersTable[[#This Row],[Net Revenue]]-OrdersTable[[#This Row],[COGS]]-OrdersTable[[#This Row],[Shipping Cost]]</f>
        <v>1016.8</v>
      </c>
      <c r="Z1211" s="78">
        <f>IFERROR(OrdersTable[[#This Row],[Profit]]/OrdersTable[[#This Row],[Net Revenue]],0)</f>
        <v>0.57877959927140255</v>
      </c>
      <c r="AA1211" t="s">
        <v>18</v>
      </c>
      <c r="AB1211" s="79">
        <v>45543</v>
      </c>
      <c r="AC1211">
        <f>OrdersTable[[#This Row],[Delivery Date]]-OrdersTable[[#This Row],[Order Date]]</f>
        <v>5</v>
      </c>
      <c r="AD1211" t="str">
        <f>IF(OrdersTable[[#This Row],[Delivery Days]]&lt;=2, "Express (≤2d)", IF(OrdersTable[[#This Row],[Delivery Days]]&lt;=4, "Standard (3-4d)", "Delayed (5d+)"))</f>
        <v>Delayed (5d+)</v>
      </c>
      <c r="AF1211">
        <v>0</v>
      </c>
    </row>
    <row r="1212" spans="1:32" ht="15" x14ac:dyDescent="0.35">
      <c r="A1212" t="s">
        <v>2095</v>
      </c>
      <c r="B1212" s="1">
        <v>45538</v>
      </c>
      <c r="C1212">
        <f>YEAR(OrdersTable[[#This Row],[Order Date]])</f>
        <v>2024</v>
      </c>
      <c r="D1212" s="2">
        <f>DATE(YEAR(OrdersTable[[#This Row],[Order Date]]),MONTH(OrdersTable[[#This Row],[Order Date]]),1)</f>
        <v>45536</v>
      </c>
      <c r="E1212">
        <f>MONTH(OrdersTable[[#This Row],[Order Date]])</f>
        <v>9</v>
      </c>
      <c r="F1212" t="s">
        <v>2096</v>
      </c>
      <c r="G1212" t="str">
        <f>IF(OrdersTable[[#This Row],[Order Date]]=_xlfn.MINIFS(Order_Date, Customer_ID, OrdersTable[[#This Row],[Customer ID]]), "New", "Repeat")</f>
        <v>New</v>
      </c>
      <c r="H1212" t="s">
        <v>54</v>
      </c>
      <c r="I1212" t="str">
        <f>INDEX(State!B:B,MATCH(OrdersTable[[#This Row],[State]],State!A:A,0))</f>
        <v>RJ</v>
      </c>
      <c r="J1212" t="str">
        <f>INDEX(State!C:C,MATCH(OrdersTable[[#This Row],[State Code]],State!B:B,0))</f>
        <v>North</v>
      </c>
      <c r="K1212" t="s">
        <v>55</v>
      </c>
      <c r="L1212" t="s">
        <v>65</v>
      </c>
      <c r="M1212" t="s">
        <v>576</v>
      </c>
      <c r="N1212" t="str">
        <f>INDEX(Products!B:B,MATCH(OrdersTable[[#This Row],[Product ID]],Products!A:A,0))</f>
        <v>Printed Saree</v>
      </c>
      <c r="O1212" t="str">
        <f>INDEX(Products!C:C,MATCH(OrdersTable[[#This Row],[Product ID]],Products!A:A,0))</f>
        <v>Apparel</v>
      </c>
      <c r="P1212">
        <v>1</v>
      </c>
      <c r="Q1212" s="5">
        <v>1999</v>
      </c>
      <c r="R1212" s="74">
        <v>0.1</v>
      </c>
      <c r="S1212" s="75">
        <f>OrdersTable[[#This Row],[Quantity]]*OrdersTable[[#This Row],[Unit Price]]</f>
        <v>1999</v>
      </c>
      <c r="T1212" s="5">
        <f>OrdersTable[[#This Row],[Gross Sale]]*OrdersTable[[#This Row],[Discount_Clean2]]</f>
        <v>199.9</v>
      </c>
      <c r="U1212" s="5">
        <f>OrdersTable[[#This Row],[Gross Sale]]-OrdersTable[[#This Row],[Discount Amount]]</f>
        <v>1799.1</v>
      </c>
      <c r="V1212" s="77">
        <f>INDEX(Products!E:E,MATCH(OrdersTable[[#This Row],[Product ID]],Products!A:A,0))</f>
        <v>880</v>
      </c>
      <c r="W1212" s="77">
        <f>OrdersTable[[#This Row],[Quantity]]*OrdersTable[[#This Row],[Unit Cost]]</f>
        <v>880</v>
      </c>
      <c r="X1212" s="77">
        <f>'Dropdown Lists'!$I$2*(1+OrdersTable[[#This Row],[Returned]])</f>
        <v>60</v>
      </c>
      <c r="Y1212" s="76">
        <f>OrdersTable[[#This Row],[Net Revenue]]-OrdersTable[[#This Row],[COGS]]-OrdersTable[[#This Row],[Shipping Cost]]</f>
        <v>859.09999999999991</v>
      </c>
      <c r="Z1212" s="78">
        <f>IFERROR(OrdersTable[[#This Row],[Profit]]/OrdersTable[[#This Row],[Net Revenue]],0)</f>
        <v>0.47751653604580063</v>
      </c>
      <c r="AA1212" t="s">
        <v>18</v>
      </c>
      <c r="AB1212" s="79">
        <v>45542</v>
      </c>
      <c r="AC1212">
        <f>OrdersTable[[#This Row],[Delivery Date]]-OrdersTable[[#This Row],[Order Date]]</f>
        <v>4</v>
      </c>
      <c r="AD1212" t="str">
        <f>IF(OrdersTable[[#This Row],[Delivery Days]]&lt;=2, "Express (≤2d)", IF(OrdersTable[[#This Row],[Delivery Days]]&lt;=4, "Standard (3-4d)", "Delayed (5d+)"))</f>
        <v>Standard (3-4d)</v>
      </c>
      <c r="AE1212">
        <v>3</v>
      </c>
      <c r="AF1212">
        <v>0</v>
      </c>
    </row>
    <row r="1213" spans="1:32" ht="15" x14ac:dyDescent="0.35">
      <c r="A1213" t="s">
        <v>5671</v>
      </c>
      <c r="B1213" s="1">
        <v>45538</v>
      </c>
      <c r="C1213">
        <f>YEAR(OrdersTable[[#This Row],[Order Date]])</f>
        <v>2024</v>
      </c>
      <c r="D1213" s="2">
        <f>DATE(YEAR(OrdersTable[[#This Row],[Order Date]]),MONTH(OrdersTable[[#This Row],[Order Date]]),1)</f>
        <v>45536</v>
      </c>
      <c r="E1213">
        <f>MONTH(OrdersTable[[#This Row],[Order Date]])</f>
        <v>9</v>
      </c>
      <c r="F1213" t="s">
        <v>5672</v>
      </c>
      <c r="G1213" t="str">
        <f>IF(OrdersTable[[#This Row],[Order Date]]=_xlfn.MINIFS(Order_Date, Customer_ID, OrdersTable[[#This Row],[Customer ID]]), "New", "Repeat")</f>
        <v>New</v>
      </c>
      <c r="H1213" t="s">
        <v>128</v>
      </c>
      <c r="I1213" t="str">
        <f>INDEX(State!B:B,MATCH(OrdersTable[[#This Row],[State]],State!A:A,0))</f>
        <v>DL</v>
      </c>
      <c r="J1213" t="str">
        <f>INDEX(State!C:C,MATCH(OrdersTable[[#This Row],[State Code]],State!B:B,0))</f>
        <v>North</v>
      </c>
      <c r="K1213" t="s">
        <v>129</v>
      </c>
      <c r="L1213" t="s">
        <v>39</v>
      </c>
      <c r="M1213" t="s">
        <v>92</v>
      </c>
      <c r="N1213" t="str">
        <f>INDEX(Products!B:B,MATCH(OrdersTable[[#This Row],[Product ID]],Products!A:A,0))</f>
        <v>Kolhapuri Sandals</v>
      </c>
      <c r="O1213" t="str">
        <f>INDEX(Products!C:C,MATCH(OrdersTable[[#This Row],[Product ID]],Products!A:A,0))</f>
        <v>Footwear</v>
      </c>
      <c r="P1213">
        <v>2</v>
      </c>
      <c r="Q1213" s="5">
        <v>999</v>
      </c>
      <c r="R1213" s="74">
        <v>0</v>
      </c>
      <c r="S1213" s="75">
        <f>OrdersTable[[#This Row],[Quantity]]*OrdersTable[[#This Row],[Unit Price]]</f>
        <v>1998</v>
      </c>
      <c r="T1213" s="5">
        <f>OrdersTable[[#This Row],[Gross Sale]]*OrdersTable[[#This Row],[Discount_Clean2]]</f>
        <v>0</v>
      </c>
      <c r="U1213" s="5">
        <f>OrdersTable[[#This Row],[Gross Sale]]-OrdersTable[[#This Row],[Discount Amount]]</f>
        <v>1998</v>
      </c>
      <c r="V1213" s="77">
        <f>INDEX(Products!E:E,MATCH(OrdersTable[[#This Row],[Product ID]],Products!A:A,0))</f>
        <v>400</v>
      </c>
      <c r="W1213" s="77">
        <f>OrdersTable[[#This Row],[Quantity]]*OrdersTable[[#This Row],[Unit Cost]]</f>
        <v>800</v>
      </c>
      <c r="X1213" s="77">
        <f>'Dropdown Lists'!$I$2*(1+OrdersTable[[#This Row],[Returned]])</f>
        <v>60</v>
      </c>
      <c r="Y1213" s="76">
        <f>OrdersTable[[#This Row],[Net Revenue]]-OrdersTable[[#This Row],[COGS]]-OrdersTable[[#This Row],[Shipping Cost]]</f>
        <v>1138</v>
      </c>
      <c r="Z1213" s="78">
        <f>IFERROR(OrdersTable[[#This Row],[Profit]]/OrdersTable[[#This Row],[Net Revenue]],0)</f>
        <v>0.56956956956956961</v>
      </c>
      <c r="AA1213" t="s">
        <v>18</v>
      </c>
      <c r="AB1213" s="79">
        <v>45542</v>
      </c>
      <c r="AC1213">
        <f>OrdersTable[[#This Row],[Delivery Date]]-OrdersTable[[#This Row],[Order Date]]</f>
        <v>4</v>
      </c>
      <c r="AD1213" t="str">
        <f>IF(OrdersTable[[#This Row],[Delivery Days]]&lt;=2, "Express (≤2d)", IF(OrdersTable[[#This Row],[Delivery Days]]&lt;=4, "Standard (3-4d)", "Delayed (5d+)"))</f>
        <v>Standard (3-4d)</v>
      </c>
      <c r="AE1213">
        <v>3</v>
      </c>
      <c r="AF1213">
        <v>0</v>
      </c>
    </row>
    <row r="1214" spans="1:32" ht="15" x14ac:dyDescent="0.35">
      <c r="A1214" t="s">
        <v>6861</v>
      </c>
      <c r="B1214" s="1">
        <v>45538</v>
      </c>
      <c r="C1214">
        <f>YEAR(OrdersTable[[#This Row],[Order Date]])</f>
        <v>2024</v>
      </c>
      <c r="D1214" s="2">
        <f>DATE(YEAR(OrdersTable[[#This Row],[Order Date]]),MONTH(OrdersTable[[#This Row],[Order Date]]),1)</f>
        <v>45536</v>
      </c>
      <c r="E1214">
        <f>MONTH(OrdersTable[[#This Row],[Order Date]])</f>
        <v>9</v>
      </c>
      <c r="F1214" t="s">
        <v>6306</v>
      </c>
      <c r="G1214" t="str">
        <f>IF(OrdersTable[[#This Row],[Order Date]]=_xlfn.MINIFS(Order_Date, Customer_ID, OrdersTable[[#This Row],[Customer ID]]), "New", "Repeat")</f>
        <v>New</v>
      </c>
      <c r="H1214" t="s">
        <v>482</v>
      </c>
      <c r="I1214" t="str">
        <f>INDEX(State!B:B,MATCH(OrdersTable[[#This Row],[State]],State!A:A,0))</f>
        <v>CG</v>
      </c>
      <c r="J1214" t="str">
        <f>INDEX(State!C:C,MATCH(OrdersTable[[#This Row],[State Code]],State!B:B,0))</f>
        <v>East</v>
      </c>
      <c r="K1214" t="s">
        <v>483</v>
      </c>
      <c r="L1214" t="s">
        <v>39</v>
      </c>
      <c r="M1214" t="s">
        <v>29</v>
      </c>
      <c r="N1214" t="str">
        <f>INDEX(Products!B:B,MATCH(OrdersTable[[#This Row],[Product ID]],Products!A:A,0))</f>
        <v>Joggers</v>
      </c>
      <c r="O1214" t="str">
        <f>INDEX(Products!C:C,MATCH(OrdersTable[[#This Row],[Product ID]],Products!A:A,0))</f>
        <v>Apparel</v>
      </c>
      <c r="P1214">
        <v>3</v>
      </c>
      <c r="Q1214" s="5">
        <v>1199</v>
      </c>
      <c r="R1214" s="74">
        <v>0.1</v>
      </c>
      <c r="S1214" s="75">
        <f>OrdersTable[[#This Row],[Quantity]]*OrdersTable[[#This Row],[Unit Price]]</f>
        <v>3597</v>
      </c>
      <c r="T1214" s="5">
        <f>OrdersTable[[#This Row],[Gross Sale]]*OrdersTable[[#This Row],[Discount_Clean2]]</f>
        <v>359.70000000000005</v>
      </c>
      <c r="U1214" s="5">
        <f>OrdersTable[[#This Row],[Gross Sale]]-OrdersTable[[#This Row],[Discount Amount]]</f>
        <v>3237.3</v>
      </c>
      <c r="V1214" s="77">
        <f>INDEX(Products!E:E,MATCH(OrdersTable[[#This Row],[Product ID]],Products!A:A,0))</f>
        <v>492</v>
      </c>
      <c r="W1214" s="77">
        <f>OrdersTable[[#This Row],[Quantity]]*OrdersTable[[#This Row],[Unit Cost]]</f>
        <v>1476</v>
      </c>
      <c r="X1214" s="77">
        <f>'Dropdown Lists'!$I$2*(1+OrdersTable[[#This Row],[Returned]])</f>
        <v>60</v>
      </c>
      <c r="Y1214" s="76">
        <f>OrdersTable[[#This Row],[Net Revenue]]-OrdersTable[[#This Row],[COGS]]-OrdersTable[[#This Row],[Shipping Cost]]</f>
        <v>1701.3000000000002</v>
      </c>
      <c r="Z1214" s="78">
        <f>IFERROR(OrdersTable[[#This Row],[Profit]]/OrdersTable[[#This Row],[Net Revenue]],0)</f>
        <v>0.52553053470484667</v>
      </c>
      <c r="AA1214" t="s">
        <v>4450</v>
      </c>
      <c r="AB1214" s="79">
        <v>45543</v>
      </c>
      <c r="AC1214">
        <f>OrdersTable[[#This Row],[Delivery Date]]-OrdersTable[[#This Row],[Order Date]]</f>
        <v>5</v>
      </c>
      <c r="AD1214" t="str">
        <f>IF(OrdersTable[[#This Row],[Delivery Days]]&lt;=2, "Express (≤2d)", IF(OrdersTable[[#This Row],[Delivery Days]]&lt;=4, "Standard (3-4d)", "Delayed (5d+)"))</f>
        <v>Delayed (5d+)</v>
      </c>
      <c r="AE1214">
        <v>4</v>
      </c>
      <c r="AF1214">
        <v>0</v>
      </c>
    </row>
    <row r="1215" spans="1:32" ht="15" x14ac:dyDescent="0.35">
      <c r="A1215" t="s">
        <v>5673</v>
      </c>
      <c r="B1215" s="1">
        <v>45538</v>
      </c>
      <c r="C1215">
        <f>YEAR(OrdersTable[[#This Row],[Order Date]])</f>
        <v>2024</v>
      </c>
      <c r="D1215" s="2">
        <f>DATE(YEAR(OrdersTable[[#This Row],[Order Date]]),MONTH(OrdersTable[[#This Row],[Order Date]]),1)</f>
        <v>45536</v>
      </c>
      <c r="E1215">
        <f>MONTH(OrdersTable[[#This Row],[Order Date]])</f>
        <v>9</v>
      </c>
      <c r="F1215" t="s">
        <v>5674</v>
      </c>
      <c r="G1215" t="str">
        <f>IF(OrdersTable[[#This Row],[Order Date]]=_xlfn.MINIFS(Order_Date, Customer_ID, OrdersTable[[#This Row],[Customer ID]]), "New", "Repeat")</f>
        <v>New</v>
      </c>
      <c r="H1215" t="s">
        <v>123</v>
      </c>
      <c r="I1215" t="str">
        <f>INDEX(State!B:B,MATCH(OrdersTable[[#This Row],[State]],State!A:A,0))</f>
        <v>JH</v>
      </c>
      <c r="J1215" t="str">
        <f>INDEX(State!C:C,MATCH(OrdersTable[[#This Row],[State Code]],State!B:B,0))</f>
        <v>East</v>
      </c>
      <c r="K1215" t="s">
        <v>124</v>
      </c>
      <c r="L1215" t="s">
        <v>23</v>
      </c>
      <c r="M1215" t="s">
        <v>109</v>
      </c>
      <c r="N1215" t="str">
        <f>INDEX(Products!B:B,MATCH(OrdersTable[[#This Row],[Product ID]],Products!A:A,0))</f>
        <v>Onion Hair Oil</v>
      </c>
      <c r="O1215" t="str">
        <f>INDEX(Products!C:C,MATCH(OrdersTable[[#This Row],[Product ID]],Products!A:A,0))</f>
        <v>Haircare</v>
      </c>
      <c r="P1215">
        <v>2</v>
      </c>
      <c r="Q1215" s="5">
        <v>349</v>
      </c>
      <c r="R1215" s="74">
        <v>0.4</v>
      </c>
      <c r="S1215" s="75">
        <f>OrdersTable[[#This Row],[Quantity]]*OrdersTable[[#This Row],[Unit Price]]</f>
        <v>698</v>
      </c>
      <c r="T1215" s="5">
        <f>OrdersTable[[#This Row],[Gross Sale]]*OrdersTable[[#This Row],[Discount_Clean2]]</f>
        <v>279.2</v>
      </c>
      <c r="U1215" s="5">
        <f>OrdersTable[[#This Row],[Gross Sale]]-OrdersTable[[#This Row],[Discount Amount]]</f>
        <v>418.8</v>
      </c>
      <c r="V1215" s="77">
        <f>INDEX(Products!E:E,MATCH(OrdersTable[[#This Row],[Product ID]],Products!A:A,0))</f>
        <v>105</v>
      </c>
      <c r="W1215" s="77">
        <f>OrdersTable[[#This Row],[Quantity]]*OrdersTable[[#This Row],[Unit Cost]]</f>
        <v>210</v>
      </c>
      <c r="X1215" s="77">
        <f>'Dropdown Lists'!$I$2*(1+OrdersTable[[#This Row],[Returned]])</f>
        <v>60</v>
      </c>
      <c r="Y1215" s="76">
        <f>OrdersTable[[#This Row],[Net Revenue]]-OrdersTable[[#This Row],[COGS]]-OrdersTable[[#This Row],[Shipping Cost]]</f>
        <v>148.80000000000001</v>
      </c>
      <c r="Z1215" s="78">
        <f>IFERROR(OrdersTable[[#This Row],[Profit]]/OrdersTable[[#This Row],[Net Revenue]],0)</f>
        <v>0.35530085959885388</v>
      </c>
      <c r="AA1215" t="s">
        <v>18</v>
      </c>
      <c r="AB1215" s="79">
        <v>45542</v>
      </c>
      <c r="AC1215">
        <f>OrdersTable[[#This Row],[Delivery Date]]-OrdersTable[[#This Row],[Order Date]]</f>
        <v>4</v>
      </c>
      <c r="AD1215" t="str">
        <f>IF(OrdersTable[[#This Row],[Delivery Days]]&lt;=2, "Express (≤2d)", IF(OrdersTable[[#This Row],[Delivery Days]]&lt;=4, "Standard (3-4d)", "Delayed (5d+)"))</f>
        <v>Standard (3-4d)</v>
      </c>
      <c r="AE1215">
        <v>3</v>
      </c>
      <c r="AF1215">
        <v>0</v>
      </c>
    </row>
    <row r="1216" spans="1:32" ht="15" x14ac:dyDescent="0.35">
      <c r="A1216" t="s">
        <v>4924</v>
      </c>
      <c r="B1216" s="1">
        <v>45538</v>
      </c>
      <c r="C1216">
        <f>YEAR(OrdersTable[[#This Row],[Order Date]])</f>
        <v>2024</v>
      </c>
      <c r="D1216" s="2">
        <f>DATE(YEAR(OrdersTable[[#This Row],[Order Date]]),MONTH(OrdersTable[[#This Row],[Order Date]]),1)</f>
        <v>45536</v>
      </c>
      <c r="E1216">
        <f>MONTH(OrdersTable[[#This Row],[Order Date]])</f>
        <v>9</v>
      </c>
      <c r="F1216" t="s">
        <v>4925</v>
      </c>
      <c r="G1216" t="str">
        <f>IF(OrdersTable[[#This Row],[Order Date]]=_xlfn.MINIFS(Order_Date, Customer_ID, OrdersTable[[#This Row],[Customer ID]]), "New", "Repeat")</f>
        <v>New</v>
      </c>
      <c r="H1216" t="s">
        <v>167</v>
      </c>
      <c r="I1216" t="str">
        <f>INDEX(State!B:B,MATCH(OrdersTable[[#This Row],[State]],State!A:A,0))</f>
        <v>KA</v>
      </c>
      <c r="J1216" t="str">
        <f>INDEX(State!C:C,MATCH(OrdersTable[[#This Row],[State Code]],State!B:B,0))</f>
        <v>South</v>
      </c>
      <c r="K1216" t="s">
        <v>190</v>
      </c>
      <c r="L1216" t="s">
        <v>39</v>
      </c>
      <c r="M1216" t="s">
        <v>78</v>
      </c>
      <c r="N1216" t="str">
        <f>INDEX(Products!B:B,MATCH(OrdersTable[[#This Row],[Product ID]],Products!A:A,0))</f>
        <v>Retinol Night Cream</v>
      </c>
      <c r="O1216" t="str">
        <f>INDEX(Products!C:C,MATCH(OrdersTable[[#This Row],[Product ID]],Products!A:A,0))</f>
        <v>Skincare</v>
      </c>
      <c r="P1216">
        <v>2</v>
      </c>
      <c r="Q1216" s="5">
        <v>799</v>
      </c>
      <c r="R1216" s="74">
        <v>0</v>
      </c>
      <c r="S1216" s="75">
        <f>OrdersTable[[#This Row],[Quantity]]*OrdersTable[[#This Row],[Unit Price]]</f>
        <v>1598</v>
      </c>
      <c r="T1216" s="5">
        <f>OrdersTable[[#This Row],[Gross Sale]]*OrdersTable[[#This Row],[Discount_Clean2]]</f>
        <v>0</v>
      </c>
      <c r="U1216" s="5">
        <f>OrdersTable[[#This Row],[Gross Sale]]-OrdersTable[[#This Row],[Discount Amount]]</f>
        <v>1598</v>
      </c>
      <c r="V1216" s="77">
        <f>INDEX(Products!E:E,MATCH(OrdersTable[[#This Row],[Product ID]],Products!A:A,0))</f>
        <v>216</v>
      </c>
      <c r="W1216" s="77">
        <f>OrdersTable[[#This Row],[Quantity]]*OrdersTable[[#This Row],[Unit Cost]]</f>
        <v>432</v>
      </c>
      <c r="X1216" s="77">
        <f>'Dropdown Lists'!$I$2*(1+OrdersTable[[#This Row],[Returned]])</f>
        <v>60</v>
      </c>
      <c r="Y1216" s="76">
        <f>OrdersTable[[#This Row],[Net Revenue]]-OrdersTable[[#This Row],[COGS]]-OrdersTable[[#This Row],[Shipping Cost]]</f>
        <v>1106</v>
      </c>
      <c r="Z1216" s="78">
        <f>IFERROR(OrdersTable[[#This Row],[Profit]]/OrdersTable[[#This Row],[Net Revenue]],0)</f>
        <v>0.69211514392991236</v>
      </c>
      <c r="AA1216" t="s">
        <v>4074</v>
      </c>
      <c r="AB1216" s="79">
        <v>45539</v>
      </c>
      <c r="AC1216">
        <f>OrdersTable[[#This Row],[Delivery Date]]-OrdersTable[[#This Row],[Order Date]]</f>
        <v>1</v>
      </c>
      <c r="AD1216" t="str">
        <f>IF(OrdersTable[[#This Row],[Delivery Days]]&lt;=2, "Express (≤2d)", IF(OrdersTable[[#This Row],[Delivery Days]]&lt;=4, "Standard (3-4d)", "Delayed (5d+)"))</f>
        <v>Express (≤2d)</v>
      </c>
      <c r="AE1216">
        <v>5</v>
      </c>
      <c r="AF1216">
        <v>0</v>
      </c>
    </row>
    <row r="1217" spans="1:32" ht="15" x14ac:dyDescent="0.35">
      <c r="A1217" t="s">
        <v>4926</v>
      </c>
      <c r="B1217" s="1">
        <v>45538</v>
      </c>
      <c r="C1217">
        <f>YEAR(OrdersTable[[#This Row],[Order Date]])</f>
        <v>2024</v>
      </c>
      <c r="D1217" s="2">
        <f>DATE(YEAR(OrdersTable[[#This Row],[Order Date]]),MONTH(OrdersTable[[#This Row],[Order Date]]),1)</f>
        <v>45536</v>
      </c>
      <c r="E1217">
        <f>MONTH(OrdersTable[[#This Row],[Order Date]])</f>
        <v>9</v>
      </c>
      <c r="F1217" t="s">
        <v>329</v>
      </c>
      <c r="G1217" t="str">
        <f>IF(OrdersTable[[#This Row],[Order Date]]=_xlfn.MINIFS(Order_Date, Customer_ID, OrdersTable[[#This Row],[Customer ID]]), "New", "Repeat")</f>
        <v>New</v>
      </c>
      <c r="H1217" t="s">
        <v>59</v>
      </c>
      <c r="I1217" t="str">
        <f>INDEX(State!B:B,MATCH(OrdersTable[[#This Row],[State]],State!A:A,0))</f>
        <v>TN</v>
      </c>
      <c r="J1217" t="str">
        <f>INDEX(State!C:C,MATCH(OrdersTable[[#This Row],[State Code]],State!B:B,0))</f>
        <v>South</v>
      </c>
      <c r="K1217" t="s">
        <v>60</v>
      </c>
      <c r="L1217" t="s">
        <v>16</v>
      </c>
      <c r="M1217" t="s">
        <v>576</v>
      </c>
      <c r="N1217" t="str">
        <f>INDEX(Products!B:B,MATCH(OrdersTable[[#This Row],[Product ID]],Products!A:A,0))</f>
        <v>Printed Saree</v>
      </c>
      <c r="O1217" t="str">
        <f>INDEX(Products!C:C,MATCH(OrdersTable[[#This Row],[Product ID]],Products!A:A,0))</f>
        <v>Apparel</v>
      </c>
      <c r="P1217">
        <v>2</v>
      </c>
      <c r="Q1217" s="5">
        <v>1999</v>
      </c>
      <c r="R1217" s="74">
        <v>0.05</v>
      </c>
      <c r="S1217" s="75">
        <f>OrdersTable[[#This Row],[Quantity]]*OrdersTable[[#This Row],[Unit Price]]</f>
        <v>3998</v>
      </c>
      <c r="T1217" s="5">
        <f>OrdersTable[[#This Row],[Gross Sale]]*OrdersTable[[#This Row],[Discount_Clean2]]</f>
        <v>199.9</v>
      </c>
      <c r="U1217" s="5">
        <f>OrdersTable[[#This Row],[Gross Sale]]-OrdersTable[[#This Row],[Discount Amount]]</f>
        <v>3798.1</v>
      </c>
      <c r="V1217" s="77">
        <f>INDEX(Products!E:E,MATCH(OrdersTable[[#This Row],[Product ID]],Products!A:A,0))</f>
        <v>880</v>
      </c>
      <c r="W1217" s="77">
        <f>OrdersTable[[#This Row],[Quantity]]*OrdersTable[[#This Row],[Unit Cost]]</f>
        <v>1760</v>
      </c>
      <c r="X1217" s="77">
        <f>'Dropdown Lists'!$I$2*(1+OrdersTable[[#This Row],[Returned]])</f>
        <v>120</v>
      </c>
      <c r="Y1217" s="76">
        <f>OrdersTable[[#This Row],[Net Revenue]]-OrdersTable[[#This Row],[COGS]]-OrdersTable[[#This Row],[Shipping Cost]]</f>
        <v>1918.1</v>
      </c>
      <c r="Z1217" s="78">
        <f>IFERROR(OrdersTable[[#This Row],[Profit]]/OrdersTable[[#This Row],[Net Revenue]],0)</f>
        <v>0.50501566572760059</v>
      </c>
      <c r="AA1217" t="s">
        <v>4074</v>
      </c>
      <c r="AB1217" s="79">
        <v>45540</v>
      </c>
      <c r="AC1217">
        <f>OrdersTable[[#This Row],[Delivery Date]]-OrdersTable[[#This Row],[Order Date]]</f>
        <v>2</v>
      </c>
      <c r="AD1217" t="str">
        <f>IF(OrdersTable[[#This Row],[Delivery Days]]&lt;=2, "Express (≤2d)", IF(OrdersTable[[#This Row],[Delivery Days]]&lt;=4, "Standard (3-4d)", "Delayed (5d+)"))</f>
        <v>Express (≤2d)</v>
      </c>
      <c r="AE1217">
        <v>5</v>
      </c>
      <c r="AF1217">
        <v>1</v>
      </c>
    </row>
    <row r="1218" spans="1:32" ht="15" x14ac:dyDescent="0.35">
      <c r="A1218" t="s">
        <v>1888</v>
      </c>
      <c r="B1218" s="1">
        <v>45539</v>
      </c>
      <c r="C1218">
        <f>YEAR(OrdersTable[[#This Row],[Order Date]])</f>
        <v>2024</v>
      </c>
      <c r="D1218" s="2">
        <f>DATE(YEAR(OrdersTable[[#This Row],[Order Date]]),MONTH(OrdersTable[[#This Row],[Order Date]]),1)</f>
        <v>45536</v>
      </c>
      <c r="E1218">
        <f>MONTH(OrdersTable[[#This Row],[Order Date]])</f>
        <v>9</v>
      </c>
      <c r="F1218" t="s">
        <v>1889</v>
      </c>
      <c r="G1218" t="str">
        <f>IF(OrdersTable[[#This Row],[Order Date]]=_xlfn.MINIFS(Order_Date, Customer_ID, OrdersTable[[#This Row],[Customer ID]]), "New", "Repeat")</f>
        <v>New</v>
      </c>
      <c r="H1218" t="s">
        <v>21</v>
      </c>
      <c r="I1218" t="str">
        <f>INDEX(State!B:B,MATCH(OrdersTable[[#This Row],[State]],State!A:A,0))</f>
        <v>PB</v>
      </c>
      <c r="J1218" t="str">
        <f>INDEX(State!C:C,MATCH(OrdersTable[[#This Row],[State Code]],State!B:B,0))</f>
        <v>North</v>
      </c>
      <c r="K1218" t="s">
        <v>260</v>
      </c>
      <c r="L1218" t="s">
        <v>16</v>
      </c>
      <c r="M1218" t="s">
        <v>176</v>
      </c>
      <c r="N1218" t="str">
        <f>INDEX(Products!B:B,MATCH(OrdersTable[[#This Row],[Product ID]],Products!A:A,0))</f>
        <v>Denim Jacket</v>
      </c>
      <c r="O1218" t="str">
        <f>INDEX(Products!C:C,MATCH(OrdersTable[[#This Row],[Product ID]],Products!A:A,0))</f>
        <v>Apparel</v>
      </c>
      <c r="P1218">
        <v>1</v>
      </c>
      <c r="Q1218" s="5">
        <v>2499</v>
      </c>
      <c r="R1218" s="74">
        <v>0</v>
      </c>
      <c r="S1218" s="75">
        <f>OrdersTable[[#This Row],[Quantity]]*OrdersTable[[#This Row],[Unit Price]]</f>
        <v>2499</v>
      </c>
      <c r="T1218" s="5">
        <f>OrdersTable[[#This Row],[Gross Sale]]*OrdersTable[[#This Row],[Discount_Clean2]]</f>
        <v>0</v>
      </c>
      <c r="U1218" s="5">
        <f>OrdersTable[[#This Row],[Gross Sale]]-OrdersTable[[#This Row],[Discount Amount]]</f>
        <v>2499</v>
      </c>
      <c r="V1218" s="77">
        <f>INDEX(Products!E:E,MATCH(OrdersTable[[#This Row],[Product ID]],Products!A:A,0))</f>
        <v>1125</v>
      </c>
      <c r="W1218" s="77">
        <f>OrdersTable[[#This Row],[Quantity]]*OrdersTable[[#This Row],[Unit Cost]]</f>
        <v>1125</v>
      </c>
      <c r="X1218" s="77">
        <f>'Dropdown Lists'!$I$2*(1+OrdersTable[[#This Row],[Returned]])</f>
        <v>120</v>
      </c>
      <c r="Y1218" s="76">
        <f>OrdersTable[[#This Row],[Net Revenue]]-OrdersTable[[#This Row],[COGS]]-OrdersTable[[#This Row],[Shipping Cost]]</f>
        <v>1254</v>
      </c>
      <c r="Z1218" s="78">
        <f>IFERROR(OrdersTable[[#This Row],[Profit]]/OrdersTable[[#This Row],[Net Revenue]],0)</f>
        <v>0.50180072028811529</v>
      </c>
      <c r="AA1218" t="s">
        <v>18</v>
      </c>
      <c r="AB1218" s="79">
        <v>45542</v>
      </c>
      <c r="AC1218">
        <f>OrdersTable[[#This Row],[Delivery Date]]-OrdersTable[[#This Row],[Order Date]]</f>
        <v>3</v>
      </c>
      <c r="AD1218" t="str">
        <f>IF(OrdersTable[[#This Row],[Delivery Days]]&lt;=2, "Express (≤2d)", IF(OrdersTable[[#This Row],[Delivery Days]]&lt;=4, "Standard (3-4d)", "Delayed (5d+)"))</f>
        <v>Standard (3-4d)</v>
      </c>
      <c r="AE1218">
        <v>3</v>
      </c>
      <c r="AF1218">
        <v>1</v>
      </c>
    </row>
    <row r="1219" spans="1:32" ht="15" x14ac:dyDescent="0.35">
      <c r="A1219" t="s">
        <v>2946</v>
      </c>
      <c r="B1219" s="1">
        <v>45539</v>
      </c>
      <c r="C1219">
        <f>YEAR(OrdersTable[[#This Row],[Order Date]])</f>
        <v>2024</v>
      </c>
      <c r="D1219" s="2">
        <f>DATE(YEAR(OrdersTable[[#This Row],[Order Date]]),MONTH(OrdersTable[[#This Row],[Order Date]]),1)</f>
        <v>45536</v>
      </c>
      <c r="E1219">
        <f>MONTH(OrdersTable[[#This Row],[Order Date]])</f>
        <v>9</v>
      </c>
      <c r="F1219" t="s">
        <v>2947</v>
      </c>
      <c r="G1219" t="str">
        <f>IF(OrdersTable[[#This Row],[Order Date]]=_xlfn.MINIFS(Order_Date, Customer_ID, OrdersTable[[#This Row],[Customer ID]]), "New", "Repeat")</f>
        <v>Repeat</v>
      </c>
      <c r="H1219" t="s">
        <v>184</v>
      </c>
      <c r="I1219" t="str">
        <f>INDEX(State!B:B,MATCH(OrdersTable[[#This Row],[State]],State!A:A,0))</f>
        <v>UK</v>
      </c>
      <c r="J1219" t="str">
        <f>INDEX(State!C:C,MATCH(OrdersTable[[#This Row],[State Code]],State!B:B,0))</f>
        <v>North</v>
      </c>
      <c r="K1219" t="s">
        <v>185</v>
      </c>
      <c r="L1219" t="s">
        <v>23</v>
      </c>
      <c r="M1219" t="s">
        <v>228</v>
      </c>
      <c r="N1219" t="str">
        <f>INDEX(Products!B:B,MATCH(OrdersTable[[#This Row],[Product ID]],Products!A:A,0))</f>
        <v>Fast Charger 33W</v>
      </c>
      <c r="O1219" t="str">
        <f>INDEX(Products!C:C,MATCH(OrdersTable[[#This Row],[Product ID]],Products!A:A,0))</f>
        <v>Electronics</v>
      </c>
      <c r="P1219">
        <v>1</v>
      </c>
      <c r="Q1219" s="5">
        <v>899</v>
      </c>
      <c r="R1219" s="74">
        <v>0.05</v>
      </c>
      <c r="S1219" s="75">
        <f>OrdersTable[[#This Row],[Quantity]]*OrdersTable[[#This Row],[Unit Price]]</f>
        <v>899</v>
      </c>
      <c r="T1219" s="5">
        <f>OrdersTable[[#This Row],[Gross Sale]]*OrdersTable[[#This Row],[Discount_Clean2]]</f>
        <v>44.95</v>
      </c>
      <c r="U1219" s="5">
        <f>OrdersTable[[#This Row],[Gross Sale]]-OrdersTable[[#This Row],[Discount Amount]]</f>
        <v>854.05</v>
      </c>
      <c r="V1219" s="77">
        <f>INDEX(Products!E:E,MATCH(OrdersTable[[#This Row],[Product ID]],Products!A:A,0))</f>
        <v>494</v>
      </c>
      <c r="W1219" s="77">
        <f>OrdersTable[[#This Row],[Quantity]]*OrdersTable[[#This Row],[Unit Cost]]</f>
        <v>494</v>
      </c>
      <c r="X1219" s="77">
        <f>'Dropdown Lists'!$I$2*(1+OrdersTable[[#This Row],[Returned]])</f>
        <v>60</v>
      </c>
      <c r="Y1219" s="76">
        <f>OrdersTable[[#This Row],[Net Revenue]]-OrdersTable[[#This Row],[COGS]]-OrdersTable[[#This Row],[Shipping Cost]]</f>
        <v>300.04999999999995</v>
      </c>
      <c r="Z1219" s="78">
        <f>IFERROR(OrdersTable[[#This Row],[Profit]]/OrdersTable[[#This Row],[Net Revenue]],0)</f>
        <v>0.35132603477548152</v>
      </c>
      <c r="AA1219" t="s">
        <v>2522</v>
      </c>
      <c r="AB1219" s="79">
        <v>45544</v>
      </c>
      <c r="AC1219">
        <f>OrdersTable[[#This Row],[Delivery Date]]-OrdersTable[[#This Row],[Order Date]]</f>
        <v>5</v>
      </c>
      <c r="AD1219" t="str">
        <f>IF(OrdersTable[[#This Row],[Delivery Days]]&lt;=2, "Express (≤2d)", IF(OrdersTable[[#This Row],[Delivery Days]]&lt;=4, "Standard (3-4d)", "Delayed (5d+)"))</f>
        <v>Delayed (5d+)</v>
      </c>
      <c r="AF1219">
        <v>0</v>
      </c>
    </row>
    <row r="1220" spans="1:32" ht="15" x14ac:dyDescent="0.35">
      <c r="A1220" t="s">
        <v>5883</v>
      </c>
      <c r="B1220" s="1">
        <v>45539</v>
      </c>
      <c r="C1220">
        <f>YEAR(OrdersTable[[#This Row],[Order Date]])</f>
        <v>2024</v>
      </c>
      <c r="D1220" s="2">
        <f>DATE(YEAR(OrdersTable[[#This Row],[Order Date]]),MONTH(OrdersTable[[#This Row],[Order Date]]),1)</f>
        <v>45536</v>
      </c>
      <c r="E1220">
        <f>MONTH(OrdersTable[[#This Row],[Order Date]])</f>
        <v>9</v>
      </c>
      <c r="F1220" t="s">
        <v>5884</v>
      </c>
      <c r="G1220" t="str">
        <f>IF(OrdersTable[[#This Row],[Order Date]]=_xlfn.MINIFS(Order_Date, Customer_ID, OrdersTable[[#This Row],[Customer ID]]), "New", "Repeat")</f>
        <v>New</v>
      </c>
      <c r="H1220" t="s">
        <v>184</v>
      </c>
      <c r="I1220" t="str">
        <f>INDEX(State!B:B,MATCH(OrdersTable[[#This Row],[State]],State!A:A,0))</f>
        <v>UK</v>
      </c>
      <c r="J1220" t="str">
        <f>INDEX(State!C:C,MATCH(OrdersTable[[#This Row],[State Code]],State!B:B,0))</f>
        <v>North</v>
      </c>
      <c r="K1220" t="s">
        <v>185</v>
      </c>
      <c r="L1220" t="s">
        <v>39</v>
      </c>
      <c r="M1220" t="s">
        <v>576</v>
      </c>
      <c r="N1220" t="str">
        <f>INDEX(Products!B:B,MATCH(OrdersTable[[#This Row],[Product ID]],Products!A:A,0))</f>
        <v>Printed Saree</v>
      </c>
      <c r="O1220" t="str">
        <f>INDEX(Products!C:C,MATCH(OrdersTable[[#This Row],[Product ID]],Products!A:A,0))</f>
        <v>Apparel</v>
      </c>
      <c r="P1220">
        <v>2</v>
      </c>
      <c r="Q1220" s="5">
        <v>1999</v>
      </c>
      <c r="R1220" s="74">
        <v>0.1</v>
      </c>
      <c r="S1220" s="75">
        <f>OrdersTable[[#This Row],[Quantity]]*OrdersTable[[#This Row],[Unit Price]]</f>
        <v>3998</v>
      </c>
      <c r="T1220" s="5">
        <f>OrdersTable[[#This Row],[Gross Sale]]*OrdersTable[[#This Row],[Discount_Clean2]]</f>
        <v>399.8</v>
      </c>
      <c r="U1220" s="5">
        <f>OrdersTable[[#This Row],[Gross Sale]]-OrdersTable[[#This Row],[Discount Amount]]</f>
        <v>3598.2</v>
      </c>
      <c r="V1220" s="77">
        <f>INDEX(Products!E:E,MATCH(OrdersTable[[#This Row],[Product ID]],Products!A:A,0))</f>
        <v>880</v>
      </c>
      <c r="W1220" s="77">
        <f>OrdersTable[[#This Row],[Quantity]]*OrdersTable[[#This Row],[Unit Cost]]</f>
        <v>1760</v>
      </c>
      <c r="X1220" s="77">
        <f>'Dropdown Lists'!$I$2*(1+OrdersTable[[#This Row],[Returned]])</f>
        <v>60</v>
      </c>
      <c r="Y1220" s="76">
        <f>OrdersTable[[#This Row],[Net Revenue]]-OrdersTable[[#This Row],[COGS]]-OrdersTable[[#This Row],[Shipping Cost]]</f>
        <v>1778.1999999999998</v>
      </c>
      <c r="Z1220" s="78">
        <f>IFERROR(OrdersTable[[#This Row],[Profit]]/OrdersTable[[#This Row],[Net Revenue]],0)</f>
        <v>0.49419154021455169</v>
      </c>
      <c r="AA1220" t="s">
        <v>18</v>
      </c>
      <c r="AB1220" s="79">
        <v>45544</v>
      </c>
      <c r="AC1220">
        <f>OrdersTable[[#This Row],[Delivery Date]]-OrdersTable[[#This Row],[Order Date]]</f>
        <v>5</v>
      </c>
      <c r="AD1220" t="str">
        <f>IF(OrdersTable[[#This Row],[Delivery Days]]&lt;=2, "Express (≤2d)", IF(OrdersTable[[#This Row],[Delivery Days]]&lt;=4, "Standard (3-4d)", "Delayed (5d+)"))</f>
        <v>Delayed (5d+)</v>
      </c>
      <c r="AF1220">
        <v>0</v>
      </c>
    </row>
    <row r="1221" spans="1:32" ht="15" x14ac:dyDescent="0.35">
      <c r="A1221" t="s">
        <v>1890</v>
      </c>
      <c r="B1221" s="1">
        <v>45539</v>
      </c>
      <c r="C1221">
        <f>YEAR(OrdersTable[[#This Row],[Order Date]])</f>
        <v>2024</v>
      </c>
      <c r="D1221" s="2">
        <f>DATE(YEAR(OrdersTable[[#This Row],[Order Date]]),MONTH(OrdersTable[[#This Row],[Order Date]]),1)</f>
        <v>45536</v>
      </c>
      <c r="E1221">
        <f>MONTH(OrdersTable[[#This Row],[Order Date]])</f>
        <v>9</v>
      </c>
      <c r="F1221" t="s">
        <v>1891</v>
      </c>
      <c r="G1221" t="str">
        <f>IF(OrdersTable[[#This Row],[Order Date]]=_xlfn.MINIFS(Order_Date, Customer_ID, OrdersTable[[#This Row],[Customer ID]]), "New", "Repeat")</f>
        <v>New</v>
      </c>
      <c r="H1221" t="s">
        <v>54</v>
      </c>
      <c r="I1221" t="str">
        <f>INDEX(State!B:B,MATCH(OrdersTable[[#This Row],[State]],State!A:A,0))</f>
        <v>RJ</v>
      </c>
      <c r="J1221" t="str">
        <f>INDEX(State!C:C,MATCH(OrdersTable[[#This Row],[State Code]],State!B:B,0))</f>
        <v>North</v>
      </c>
      <c r="K1221" t="s">
        <v>227</v>
      </c>
      <c r="L1221" t="s">
        <v>39</v>
      </c>
      <c r="M1221" t="s">
        <v>92</v>
      </c>
      <c r="N1221" t="str">
        <f>INDEX(Products!B:B,MATCH(OrdersTable[[#This Row],[Product ID]],Products!A:A,0))</f>
        <v>Kolhapuri Sandals</v>
      </c>
      <c r="O1221" t="str">
        <f>INDEX(Products!C:C,MATCH(OrdersTable[[#This Row],[Product ID]],Products!A:A,0))</f>
        <v>Footwear</v>
      </c>
      <c r="P1221">
        <v>1</v>
      </c>
      <c r="Q1221" s="5">
        <v>999</v>
      </c>
      <c r="R1221" s="74">
        <v>0.05</v>
      </c>
      <c r="S1221" s="75">
        <f>OrdersTable[[#This Row],[Quantity]]*OrdersTable[[#This Row],[Unit Price]]</f>
        <v>999</v>
      </c>
      <c r="T1221" s="5">
        <f>OrdersTable[[#This Row],[Gross Sale]]*OrdersTable[[#This Row],[Discount_Clean2]]</f>
        <v>49.95</v>
      </c>
      <c r="U1221" s="5">
        <f>OrdersTable[[#This Row],[Gross Sale]]-OrdersTable[[#This Row],[Discount Amount]]</f>
        <v>949.05</v>
      </c>
      <c r="V1221" s="77">
        <f>INDEX(Products!E:E,MATCH(OrdersTable[[#This Row],[Product ID]],Products!A:A,0))</f>
        <v>400</v>
      </c>
      <c r="W1221" s="77">
        <f>OrdersTable[[#This Row],[Quantity]]*OrdersTable[[#This Row],[Unit Cost]]</f>
        <v>400</v>
      </c>
      <c r="X1221" s="77">
        <f>'Dropdown Lists'!$I$2*(1+OrdersTable[[#This Row],[Returned]])</f>
        <v>60</v>
      </c>
      <c r="Y1221" s="76">
        <f>OrdersTable[[#This Row],[Net Revenue]]-OrdersTable[[#This Row],[COGS]]-OrdersTable[[#This Row],[Shipping Cost]]</f>
        <v>489.04999999999995</v>
      </c>
      <c r="Z1221" s="78">
        <f>IFERROR(OrdersTable[[#This Row],[Profit]]/OrdersTable[[#This Row],[Net Revenue]],0)</f>
        <v>0.5153047784626732</v>
      </c>
      <c r="AA1221" t="s">
        <v>18</v>
      </c>
      <c r="AB1221" s="79">
        <v>45543</v>
      </c>
      <c r="AC1221">
        <f>OrdersTable[[#This Row],[Delivery Date]]-OrdersTable[[#This Row],[Order Date]]</f>
        <v>4</v>
      </c>
      <c r="AD1221" t="str">
        <f>IF(OrdersTable[[#This Row],[Delivery Days]]&lt;=2, "Express (≤2d)", IF(OrdersTable[[#This Row],[Delivery Days]]&lt;=4, "Standard (3-4d)", "Delayed (5d+)"))</f>
        <v>Standard (3-4d)</v>
      </c>
      <c r="AE1221">
        <v>3</v>
      </c>
      <c r="AF1221">
        <v>0</v>
      </c>
    </row>
    <row r="1222" spans="1:32" ht="15" x14ac:dyDescent="0.35">
      <c r="A1222" t="s">
        <v>4479</v>
      </c>
      <c r="B1222" s="1">
        <v>45539</v>
      </c>
      <c r="C1222">
        <f>YEAR(OrdersTable[[#This Row],[Order Date]])</f>
        <v>2024</v>
      </c>
      <c r="D1222" s="2">
        <f>DATE(YEAR(OrdersTable[[#This Row],[Order Date]]),MONTH(OrdersTable[[#This Row],[Order Date]]),1)</f>
        <v>45536</v>
      </c>
      <c r="E1222">
        <f>MONTH(OrdersTable[[#This Row],[Order Date]])</f>
        <v>9</v>
      </c>
      <c r="F1222" t="s">
        <v>3983</v>
      </c>
      <c r="G1222" t="str">
        <f>IF(OrdersTable[[#This Row],[Order Date]]=_xlfn.MINIFS(Order_Date, Customer_ID, OrdersTable[[#This Row],[Customer ID]]), "New", "Repeat")</f>
        <v>Repeat</v>
      </c>
      <c r="H1222" t="s">
        <v>54</v>
      </c>
      <c r="I1222" t="str">
        <f>INDEX(State!B:B,MATCH(OrdersTable[[#This Row],[State]],State!A:A,0))</f>
        <v>RJ</v>
      </c>
      <c r="J1222" t="str">
        <f>INDEX(State!C:C,MATCH(OrdersTable[[#This Row],[State Code]],State!B:B,0))</f>
        <v>North</v>
      </c>
      <c r="K1222" t="s">
        <v>55</v>
      </c>
      <c r="L1222" t="s">
        <v>65</v>
      </c>
      <c r="M1222" t="s">
        <v>45</v>
      </c>
      <c r="N1222" t="str">
        <f>INDEX(Products!B:B,MATCH(OrdersTable[[#This Row],[Product ID]],Products!A:A,0))</f>
        <v>Argan Shampoo</v>
      </c>
      <c r="O1222" t="str">
        <f>INDEX(Products!C:C,MATCH(OrdersTable[[#This Row],[Product ID]],Products!A:A,0))</f>
        <v>Haircare</v>
      </c>
      <c r="P1222">
        <v>1</v>
      </c>
      <c r="Q1222" s="5">
        <v>449</v>
      </c>
      <c r="R1222" s="74">
        <v>0.1</v>
      </c>
      <c r="S1222" s="75">
        <f>OrdersTable[[#This Row],[Quantity]]*OrdersTable[[#This Row],[Unit Price]]</f>
        <v>449</v>
      </c>
      <c r="T1222" s="5">
        <f>OrdersTable[[#This Row],[Gross Sale]]*OrdersTable[[#This Row],[Discount_Clean2]]</f>
        <v>44.900000000000006</v>
      </c>
      <c r="U1222" s="5">
        <f>OrdersTable[[#This Row],[Gross Sale]]-OrdersTable[[#This Row],[Discount Amount]]</f>
        <v>404.1</v>
      </c>
      <c r="V1222" s="77">
        <f>INDEX(Products!E:E,MATCH(OrdersTable[[#This Row],[Product ID]],Products!A:A,0))</f>
        <v>148</v>
      </c>
      <c r="W1222" s="77">
        <f>OrdersTable[[#This Row],[Quantity]]*OrdersTable[[#This Row],[Unit Cost]]</f>
        <v>148</v>
      </c>
      <c r="X1222" s="77">
        <f>'Dropdown Lists'!$I$2*(1+OrdersTable[[#This Row],[Returned]])</f>
        <v>60</v>
      </c>
      <c r="Y1222" s="76">
        <f>OrdersTable[[#This Row],[Net Revenue]]-OrdersTable[[#This Row],[COGS]]-OrdersTable[[#This Row],[Shipping Cost]]</f>
        <v>196.10000000000002</v>
      </c>
      <c r="Z1222" s="78">
        <f>IFERROR(OrdersTable[[#This Row],[Profit]]/OrdersTable[[#This Row],[Net Revenue]],0)</f>
        <v>0.48527592180153428</v>
      </c>
      <c r="AA1222" t="s">
        <v>4450</v>
      </c>
      <c r="AB1222" s="79">
        <v>45542</v>
      </c>
      <c r="AC1222">
        <f>OrdersTable[[#This Row],[Delivery Date]]-OrdersTable[[#This Row],[Order Date]]</f>
        <v>3</v>
      </c>
      <c r="AD1222" t="str">
        <f>IF(OrdersTable[[#This Row],[Delivery Days]]&lt;=2, "Express (≤2d)", IF(OrdersTable[[#This Row],[Delivery Days]]&lt;=4, "Standard (3-4d)", "Delayed (5d+)"))</f>
        <v>Standard (3-4d)</v>
      </c>
      <c r="AE1222">
        <v>4</v>
      </c>
      <c r="AF1222">
        <v>0</v>
      </c>
    </row>
    <row r="1223" spans="1:32" ht="15" x14ac:dyDescent="0.35">
      <c r="A1223" t="s">
        <v>1892</v>
      </c>
      <c r="B1223" s="1">
        <v>45539</v>
      </c>
      <c r="C1223">
        <f>YEAR(OrdersTable[[#This Row],[Order Date]])</f>
        <v>2024</v>
      </c>
      <c r="D1223" s="2">
        <f>DATE(YEAR(OrdersTable[[#This Row],[Order Date]]),MONTH(OrdersTable[[#This Row],[Order Date]]),1)</f>
        <v>45536</v>
      </c>
      <c r="E1223">
        <f>MONTH(OrdersTable[[#This Row],[Order Date]])</f>
        <v>9</v>
      </c>
      <c r="F1223" t="s">
        <v>1893</v>
      </c>
      <c r="G1223" t="str">
        <f>IF(OrdersTable[[#This Row],[Order Date]]=_xlfn.MINIFS(Order_Date, Customer_ID, OrdersTable[[#This Row],[Customer ID]]), "New", "Repeat")</f>
        <v>New</v>
      </c>
      <c r="H1223" t="s">
        <v>54</v>
      </c>
      <c r="I1223" t="str">
        <f>INDEX(State!B:B,MATCH(OrdersTable[[#This Row],[State]],State!A:A,0))</f>
        <v>RJ</v>
      </c>
      <c r="J1223" t="str">
        <f>INDEX(State!C:C,MATCH(OrdersTable[[#This Row],[State Code]],State!B:B,0))</f>
        <v>North</v>
      </c>
      <c r="K1223" t="s">
        <v>55</v>
      </c>
      <c r="L1223" t="s">
        <v>39</v>
      </c>
      <c r="M1223" t="s">
        <v>87</v>
      </c>
      <c r="N1223" t="str">
        <f>INDEX(Products!B:B,MATCH(OrdersTable[[#This Row],[Product ID]],Products!A:A,0))</f>
        <v>Linen Kurta</v>
      </c>
      <c r="O1223" t="str">
        <f>INDEX(Products!C:C,MATCH(OrdersTable[[#This Row],[Product ID]],Products!A:A,0))</f>
        <v>Apparel</v>
      </c>
      <c r="P1223">
        <v>1</v>
      </c>
      <c r="Q1223" s="5">
        <v>1499</v>
      </c>
      <c r="R1223" s="74">
        <v>0.2</v>
      </c>
      <c r="S1223" s="75">
        <f>OrdersTable[[#This Row],[Quantity]]*OrdersTable[[#This Row],[Unit Price]]</f>
        <v>1499</v>
      </c>
      <c r="T1223" s="5">
        <f>OrdersTable[[#This Row],[Gross Sale]]*OrdersTable[[#This Row],[Discount_Clean2]]</f>
        <v>299.8</v>
      </c>
      <c r="U1223" s="5">
        <f>OrdersTable[[#This Row],[Gross Sale]]-OrdersTable[[#This Row],[Discount Amount]]</f>
        <v>1199.2</v>
      </c>
      <c r="V1223" s="77">
        <f>INDEX(Products!E:E,MATCH(OrdersTable[[#This Row],[Product ID]],Products!A:A,0))</f>
        <v>630</v>
      </c>
      <c r="W1223" s="77">
        <f>OrdersTable[[#This Row],[Quantity]]*OrdersTable[[#This Row],[Unit Cost]]</f>
        <v>630</v>
      </c>
      <c r="X1223" s="77">
        <f>'Dropdown Lists'!$I$2*(1+OrdersTable[[#This Row],[Returned]])</f>
        <v>60</v>
      </c>
      <c r="Y1223" s="76">
        <f>OrdersTable[[#This Row],[Net Revenue]]-OrdersTable[[#This Row],[COGS]]-OrdersTable[[#This Row],[Shipping Cost]]</f>
        <v>509.20000000000005</v>
      </c>
      <c r="Z1223" s="78">
        <f>IFERROR(OrdersTable[[#This Row],[Profit]]/OrdersTable[[#This Row],[Net Revenue]],0)</f>
        <v>0.42461641094062713</v>
      </c>
      <c r="AA1223" t="s">
        <v>18</v>
      </c>
      <c r="AB1223" s="79">
        <v>45543</v>
      </c>
      <c r="AC1223">
        <f>OrdersTable[[#This Row],[Delivery Date]]-OrdersTable[[#This Row],[Order Date]]</f>
        <v>4</v>
      </c>
      <c r="AD1223" t="str">
        <f>IF(OrdersTable[[#This Row],[Delivery Days]]&lt;=2, "Express (≤2d)", IF(OrdersTable[[#This Row],[Delivery Days]]&lt;=4, "Standard (3-4d)", "Delayed (5d+)"))</f>
        <v>Standard (3-4d)</v>
      </c>
      <c r="AE1223">
        <v>3</v>
      </c>
      <c r="AF1223">
        <v>0</v>
      </c>
    </row>
    <row r="1224" spans="1:32" ht="15" x14ac:dyDescent="0.35">
      <c r="A1224" t="s">
        <v>507</v>
      </c>
      <c r="B1224" s="1">
        <v>45539</v>
      </c>
      <c r="C1224">
        <f>YEAR(OrdersTable[[#This Row],[Order Date]])</f>
        <v>2024</v>
      </c>
      <c r="D1224" s="2">
        <f>DATE(YEAR(OrdersTable[[#This Row],[Order Date]]),MONTH(OrdersTable[[#This Row],[Order Date]]),1)</f>
        <v>45536</v>
      </c>
      <c r="E1224">
        <f>MONTH(OrdersTable[[#This Row],[Order Date]])</f>
        <v>9</v>
      </c>
      <c r="F1224" t="s">
        <v>508</v>
      </c>
      <c r="G1224" t="str">
        <f>IF(OrdersTable[[#This Row],[Order Date]]=_xlfn.MINIFS(Order_Date, Customer_ID, OrdersTable[[#This Row],[Customer ID]]), "New", "Repeat")</f>
        <v>Repeat</v>
      </c>
      <c r="H1224" t="s">
        <v>54</v>
      </c>
      <c r="I1224" t="str">
        <f>INDEX(State!B:B,MATCH(OrdersTable[[#This Row],[State]],State!A:A,0))</f>
        <v>RJ</v>
      </c>
      <c r="J1224" t="str">
        <f>INDEX(State!C:C,MATCH(OrdersTable[[#This Row],[State Code]],State!B:B,0))</f>
        <v>North</v>
      </c>
      <c r="K1224" t="s">
        <v>227</v>
      </c>
      <c r="L1224" t="s">
        <v>23</v>
      </c>
      <c r="M1224" t="s">
        <v>29</v>
      </c>
      <c r="N1224" t="str">
        <f>INDEX(Products!B:B,MATCH(OrdersTable[[#This Row],[Product ID]],Products!A:A,0))</f>
        <v>Joggers</v>
      </c>
      <c r="O1224" t="str">
        <f>INDEX(Products!C:C,MATCH(OrdersTable[[#This Row],[Product ID]],Products!A:A,0))</f>
        <v>Apparel</v>
      </c>
      <c r="P1224">
        <v>1</v>
      </c>
      <c r="Q1224" s="5">
        <v>1199</v>
      </c>
      <c r="R1224" s="74">
        <v>0.1</v>
      </c>
      <c r="S1224" s="75">
        <f>OrdersTable[[#This Row],[Quantity]]*OrdersTable[[#This Row],[Unit Price]]</f>
        <v>1199</v>
      </c>
      <c r="T1224" s="5">
        <f>OrdersTable[[#This Row],[Gross Sale]]*OrdersTable[[#This Row],[Discount_Clean2]]</f>
        <v>119.9</v>
      </c>
      <c r="U1224" s="5">
        <f>OrdersTable[[#This Row],[Gross Sale]]-OrdersTable[[#This Row],[Discount Amount]]</f>
        <v>1079.0999999999999</v>
      </c>
      <c r="V1224" s="77">
        <f>INDEX(Products!E:E,MATCH(OrdersTable[[#This Row],[Product ID]],Products!A:A,0))</f>
        <v>492</v>
      </c>
      <c r="W1224" s="77">
        <f>OrdersTable[[#This Row],[Quantity]]*OrdersTable[[#This Row],[Unit Cost]]</f>
        <v>492</v>
      </c>
      <c r="X1224" s="77">
        <f>'Dropdown Lists'!$I$2*(1+OrdersTable[[#This Row],[Returned]])</f>
        <v>60</v>
      </c>
      <c r="Y1224" s="76">
        <f>OrdersTable[[#This Row],[Net Revenue]]-OrdersTable[[#This Row],[COGS]]-OrdersTable[[#This Row],[Shipping Cost]]</f>
        <v>527.09999999999991</v>
      </c>
      <c r="Z1224" s="78">
        <f>IFERROR(OrdersTable[[#This Row],[Profit]]/OrdersTable[[#This Row],[Net Revenue]],0)</f>
        <v>0.48846260772866273</v>
      </c>
      <c r="AA1224" t="s">
        <v>18</v>
      </c>
      <c r="AB1224" s="79">
        <v>45545</v>
      </c>
      <c r="AC1224">
        <f>OrdersTable[[#This Row],[Delivery Date]]-OrdersTable[[#This Row],[Order Date]]</f>
        <v>6</v>
      </c>
      <c r="AD1224" t="str">
        <f>IF(OrdersTable[[#This Row],[Delivery Days]]&lt;=2, "Express (≤2d)", IF(OrdersTable[[#This Row],[Delivery Days]]&lt;=4, "Standard (3-4d)", "Delayed (5d+)"))</f>
        <v>Delayed (5d+)</v>
      </c>
      <c r="AE1224">
        <v>4</v>
      </c>
      <c r="AF1224">
        <v>0</v>
      </c>
    </row>
    <row r="1225" spans="1:32" ht="15" x14ac:dyDescent="0.35">
      <c r="A1225" t="s">
        <v>2305</v>
      </c>
      <c r="B1225" s="1">
        <v>45539</v>
      </c>
      <c r="C1225">
        <f>YEAR(OrdersTable[[#This Row],[Order Date]])</f>
        <v>2024</v>
      </c>
      <c r="D1225" s="2">
        <f>DATE(YEAR(OrdersTable[[#This Row],[Order Date]]),MONTH(OrdersTable[[#This Row],[Order Date]]),1)</f>
        <v>45536</v>
      </c>
      <c r="E1225">
        <f>MONTH(OrdersTable[[#This Row],[Order Date]])</f>
        <v>9</v>
      </c>
      <c r="F1225" t="s">
        <v>2306</v>
      </c>
      <c r="G1225" t="str">
        <f>IF(OrdersTable[[#This Row],[Order Date]]=_xlfn.MINIFS(Order_Date, Customer_ID, OrdersTable[[#This Row],[Customer ID]]), "New", "Repeat")</f>
        <v>New</v>
      </c>
      <c r="H1225" t="s">
        <v>48</v>
      </c>
      <c r="I1225" t="str">
        <f>INDEX(State!B:B,MATCH(OrdersTable[[#This Row],[State]],State!A:A,0))</f>
        <v>HR</v>
      </c>
      <c r="J1225" t="str">
        <f>INDEX(State!C:C,MATCH(OrdersTable[[#This Row],[State Code]],State!B:B,0))</f>
        <v>North</v>
      </c>
      <c r="K1225" t="s">
        <v>49</v>
      </c>
      <c r="L1225" t="s">
        <v>65</v>
      </c>
      <c r="M1225" t="s">
        <v>78</v>
      </c>
      <c r="N1225" t="str">
        <f>INDEX(Products!B:B,MATCH(OrdersTable[[#This Row],[Product ID]],Products!A:A,0))</f>
        <v>Retinol Night Cream</v>
      </c>
      <c r="O1225" t="str">
        <f>INDEX(Products!C:C,MATCH(OrdersTable[[#This Row],[Product ID]],Products!A:A,0))</f>
        <v>Skincare</v>
      </c>
      <c r="P1225">
        <v>1</v>
      </c>
      <c r="Q1225" s="5">
        <v>799</v>
      </c>
      <c r="R1225" s="74">
        <v>0.05</v>
      </c>
      <c r="S1225" s="75">
        <f>OrdersTable[[#This Row],[Quantity]]*OrdersTable[[#This Row],[Unit Price]]</f>
        <v>799</v>
      </c>
      <c r="T1225" s="5">
        <f>OrdersTable[[#This Row],[Gross Sale]]*OrdersTable[[#This Row],[Discount_Clean2]]</f>
        <v>39.950000000000003</v>
      </c>
      <c r="U1225" s="5">
        <f>OrdersTable[[#This Row],[Gross Sale]]-OrdersTable[[#This Row],[Discount Amount]]</f>
        <v>759.05</v>
      </c>
      <c r="V1225" s="77">
        <f>INDEX(Products!E:E,MATCH(OrdersTable[[#This Row],[Product ID]],Products!A:A,0))</f>
        <v>216</v>
      </c>
      <c r="W1225" s="77">
        <f>OrdersTable[[#This Row],[Quantity]]*OrdersTable[[#This Row],[Unit Cost]]</f>
        <v>216</v>
      </c>
      <c r="X1225" s="77">
        <f>'Dropdown Lists'!$I$2*(1+OrdersTable[[#This Row],[Returned]])</f>
        <v>60</v>
      </c>
      <c r="Y1225" s="76">
        <f>OrdersTable[[#This Row],[Net Revenue]]-OrdersTable[[#This Row],[COGS]]-OrdersTable[[#This Row],[Shipping Cost]]</f>
        <v>483.04999999999995</v>
      </c>
      <c r="Z1225" s="78">
        <f>IFERROR(OrdersTable[[#This Row],[Profit]]/OrdersTable[[#This Row],[Net Revenue]],0)</f>
        <v>0.63638758975034582</v>
      </c>
      <c r="AA1225" t="s">
        <v>18</v>
      </c>
      <c r="AB1225" s="79">
        <v>45541</v>
      </c>
      <c r="AC1225">
        <f>OrdersTable[[#This Row],[Delivery Date]]-OrdersTable[[#This Row],[Order Date]]</f>
        <v>2</v>
      </c>
      <c r="AD1225" t="str">
        <f>IF(OrdersTable[[#This Row],[Delivery Days]]&lt;=2, "Express (≤2d)", IF(OrdersTable[[#This Row],[Delivery Days]]&lt;=4, "Standard (3-4d)", "Delayed (5d+)"))</f>
        <v>Express (≤2d)</v>
      </c>
      <c r="AE1225">
        <v>5</v>
      </c>
      <c r="AF1225">
        <v>0</v>
      </c>
    </row>
    <row r="1226" spans="1:32" ht="15" x14ac:dyDescent="0.35">
      <c r="A1226" t="s">
        <v>4574</v>
      </c>
      <c r="B1226" s="1">
        <v>45539</v>
      </c>
      <c r="C1226">
        <f>YEAR(OrdersTable[[#This Row],[Order Date]])</f>
        <v>2024</v>
      </c>
      <c r="D1226" s="2">
        <f>DATE(YEAR(OrdersTable[[#This Row],[Order Date]]),MONTH(OrdersTable[[#This Row],[Order Date]]),1)</f>
        <v>45536</v>
      </c>
      <c r="E1226">
        <f>MONTH(OrdersTable[[#This Row],[Order Date]])</f>
        <v>9</v>
      </c>
      <c r="F1226" t="s">
        <v>4575</v>
      </c>
      <c r="G1226" t="str">
        <f>IF(OrdersTable[[#This Row],[Order Date]]=_xlfn.MINIFS(Order_Date, Customer_ID, OrdersTable[[#This Row],[Customer ID]]), "New", "Repeat")</f>
        <v>New</v>
      </c>
      <c r="H1226" t="s">
        <v>48</v>
      </c>
      <c r="I1226" t="str">
        <f>INDEX(State!B:B,MATCH(OrdersTable[[#This Row],[State]],State!A:A,0))</f>
        <v>HR</v>
      </c>
      <c r="J1226" t="str">
        <f>INDEX(State!C:C,MATCH(OrdersTable[[#This Row],[State Code]],State!B:B,0))</f>
        <v>North</v>
      </c>
      <c r="K1226" t="s">
        <v>151</v>
      </c>
      <c r="L1226" t="s">
        <v>16</v>
      </c>
      <c r="M1226" t="s">
        <v>205</v>
      </c>
      <c r="N1226" t="str">
        <f>INDEX(Products!B:B,MATCH(OrdersTable[[#This Row],[Product ID]],Products!A:A,0))</f>
        <v>Running Shoes</v>
      </c>
      <c r="O1226" t="str">
        <f>INDEX(Products!C:C,MATCH(OrdersTable[[#This Row],[Product ID]],Products!A:A,0))</f>
        <v>Footwear</v>
      </c>
      <c r="P1226">
        <v>1</v>
      </c>
      <c r="Q1226" s="5">
        <v>2999</v>
      </c>
      <c r="R1226" s="74">
        <v>0.2</v>
      </c>
      <c r="S1226" s="75">
        <f>OrdersTable[[#This Row],[Quantity]]*OrdersTable[[#This Row],[Unit Price]]</f>
        <v>2999</v>
      </c>
      <c r="T1226" s="5">
        <f>OrdersTable[[#This Row],[Gross Sale]]*OrdersTable[[#This Row],[Discount_Clean2]]</f>
        <v>599.80000000000007</v>
      </c>
      <c r="U1226" s="5">
        <f>OrdersTable[[#This Row],[Gross Sale]]-OrdersTable[[#This Row],[Discount Amount]]</f>
        <v>2399.1999999999998</v>
      </c>
      <c r="V1226" s="77">
        <f>INDEX(Products!E:E,MATCH(OrdersTable[[#This Row],[Product ID]],Products!A:A,0))</f>
        <v>1440</v>
      </c>
      <c r="W1226" s="77">
        <f>OrdersTable[[#This Row],[Quantity]]*OrdersTable[[#This Row],[Unit Cost]]</f>
        <v>1440</v>
      </c>
      <c r="X1226" s="77">
        <f>'Dropdown Lists'!$I$2*(1+OrdersTable[[#This Row],[Returned]])</f>
        <v>60</v>
      </c>
      <c r="Y1226" s="76">
        <f>OrdersTable[[#This Row],[Net Revenue]]-OrdersTable[[#This Row],[COGS]]-OrdersTable[[#This Row],[Shipping Cost]]</f>
        <v>899.19999999999982</v>
      </c>
      <c r="Z1226" s="78">
        <f>IFERROR(OrdersTable[[#This Row],[Profit]]/OrdersTable[[#This Row],[Net Revenue]],0)</f>
        <v>0.3747915971990663</v>
      </c>
      <c r="AA1226" t="s">
        <v>4450</v>
      </c>
      <c r="AB1226" s="79">
        <v>45542</v>
      </c>
      <c r="AC1226">
        <f>OrdersTable[[#This Row],[Delivery Date]]-OrdersTable[[#This Row],[Order Date]]</f>
        <v>3</v>
      </c>
      <c r="AD1226" t="str">
        <f>IF(OrdersTable[[#This Row],[Delivery Days]]&lt;=2, "Express (≤2d)", IF(OrdersTable[[#This Row],[Delivery Days]]&lt;=4, "Standard (3-4d)", "Delayed (5d+)"))</f>
        <v>Standard (3-4d)</v>
      </c>
      <c r="AF1226">
        <v>0</v>
      </c>
    </row>
    <row r="1227" spans="1:32" ht="15" x14ac:dyDescent="0.35">
      <c r="A1227" t="s">
        <v>3197</v>
      </c>
      <c r="B1227" s="1">
        <v>45539</v>
      </c>
      <c r="C1227">
        <f>YEAR(OrdersTable[[#This Row],[Order Date]])</f>
        <v>2024</v>
      </c>
      <c r="D1227" s="2">
        <f>DATE(YEAR(OrdersTable[[#This Row],[Order Date]]),MONTH(OrdersTable[[#This Row],[Order Date]]),1)</f>
        <v>45536</v>
      </c>
      <c r="E1227">
        <f>MONTH(OrdersTable[[#This Row],[Order Date]])</f>
        <v>9</v>
      </c>
      <c r="F1227" t="s">
        <v>3198</v>
      </c>
      <c r="G1227" t="str">
        <f>IF(OrdersTable[[#This Row],[Order Date]]=_xlfn.MINIFS(Order_Date, Customer_ID, OrdersTable[[#This Row],[Customer ID]]), "New", "Repeat")</f>
        <v>New</v>
      </c>
      <c r="H1227" t="s">
        <v>76</v>
      </c>
      <c r="I1227" t="str">
        <f>INDEX(State!B:B,MATCH(OrdersTable[[#This Row],[State]],State!A:A,0))</f>
        <v>UP</v>
      </c>
      <c r="J1227" t="str">
        <f>INDEX(State!C:C,MATCH(OrdersTable[[#This Row],[State Code]],State!B:B,0))</f>
        <v>North</v>
      </c>
      <c r="K1227" t="s">
        <v>77</v>
      </c>
      <c r="L1227" t="s">
        <v>16</v>
      </c>
      <c r="M1227" t="s">
        <v>87</v>
      </c>
      <c r="N1227" t="str">
        <f>INDEX(Products!B:B,MATCH(OrdersTable[[#This Row],[Product ID]],Products!A:A,0))</f>
        <v>Linen Kurta</v>
      </c>
      <c r="O1227" t="str">
        <f>INDEX(Products!C:C,MATCH(OrdersTable[[#This Row],[Product ID]],Products!A:A,0))</f>
        <v>Apparel</v>
      </c>
      <c r="P1227">
        <v>1</v>
      </c>
      <c r="Q1227" s="5">
        <v>1499</v>
      </c>
      <c r="R1227" s="74">
        <v>0.25</v>
      </c>
      <c r="S1227" s="75">
        <f>OrdersTable[[#This Row],[Quantity]]*OrdersTable[[#This Row],[Unit Price]]</f>
        <v>1499</v>
      </c>
      <c r="T1227" s="5">
        <f>OrdersTable[[#This Row],[Gross Sale]]*OrdersTable[[#This Row],[Discount_Clean2]]</f>
        <v>374.75</v>
      </c>
      <c r="U1227" s="5">
        <f>OrdersTable[[#This Row],[Gross Sale]]-OrdersTable[[#This Row],[Discount Amount]]</f>
        <v>1124.25</v>
      </c>
      <c r="V1227" s="77">
        <f>INDEX(Products!E:E,MATCH(OrdersTable[[#This Row],[Product ID]],Products!A:A,0))</f>
        <v>630</v>
      </c>
      <c r="W1227" s="77">
        <f>OrdersTable[[#This Row],[Quantity]]*OrdersTable[[#This Row],[Unit Cost]]</f>
        <v>630</v>
      </c>
      <c r="X1227" s="77">
        <f>'Dropdown Lists'!$I$2*(1+OrdersTable[[#This Row],[Returned]])</f>
        <v>60</v>
      </c>
      <c r="Y1227" s="76">
        <f>OrdersTable[[#This Row],[Net Revenue]]-OrdersTable[[#This Row],[COGS]]-OrdersTable[[#This Row],[Shipping Cost]]</f>
        <v>434.25</v>
      </c>
      <c r="Z1227" s="78">
        <f>IFERROR(OrdersTable[[#This Row],[Profit]]/OrdersTable[[#This Row],[Net Revenue]],0)</f>
        <v>0.38625750500333556</v>
      </c>
      <c r="AA1227" t="s">
        <v>2522</v>
      </c>
      <c r="AB1227" s="79">
        <v>45543</v>
      </c>
      <c r="AC1227">
        <f>OrdersTable[[#This Row],[Delivery Date]]-OrdersTable[[#This Row],[Order Date]]</f>
        <v>4</v>
      </c>
      <c r="AD1227" t="str">
        <f>IF(OrdersTable[[#This Row],[Delivery Days]]&lt;=2, "Express (≤2d)", IF(OrdersTable[[#This Row],[Delivery Days]]&lt;=4, "Standard (3-4d)", "Delayed (5d+)"))</f>
        <v>Standard (3-4d)</v>
      </c>
      <c r="AE1227">
        <v>4</v>
      </c>
      <c r="AF1227">
        <v>0</v>
      </c>
    </row>
    <row r="1228" spans="1:32" ht="15" x14ac:dyDescent="0.35">
      <c r="A1228" t="s">
        <v>3199</v>
      </c>
      <c r="B1228" s="1">
        <v>45539</v>
      </c>
      <c r="C1228">
        <f>YEAR(OrdersTable[[#This Row],[Order Date]])</f>
        <v>2024</v>
      </c>
      <c r="D1228" s="2">
        <f>DATE(YEAR(OrdersTable[[#This Row],[Order Date]]),MONTH(OrdersTable[[#This Row],[Order Date]]),1)</f>
        <v>45536</v>
      </c>
      <c r="E1228">
        <f>MONTH(OrdersTable[[#This Row],[Order Date]])</f>
        <v>9</v>
      </c>
      <c r="F1228" t="s">
        <v>3200</v>
      </c>
      <c r="G1228" t="str">
        <f>IF(OrdersTable[[#This Row],[Order Date]]=_xlfn.MINIFS(Order_Date, Customer_ID, OrdersTable[[#This Row],[Customer ID]]), "New", "Repeat")</f>
        <v>Repeat</v>
      </c>
      <c r="H1228" t="s">
        <v>482</v>
      </c>
      <c r="I1228" t="str">
        <f>INDEX(State!B:B,MATCH(OrdersTable[[#This Row],[State]],State!A:A,0))</f>
        <v>CG</v>
      </c>
      <c r="J1228" t="str">
        <f>INDEX(State!C:C,MATCH(OrdersTable[[#This Row],[State Code]],State!B:B,0))</f>
        <v>East</v>
      </c>
      <c r="K1228" t="s">
        <v>483</v>
      </c>
      <c r="L1228" t="s">
        <v>16</v>
      </c>
      <c r="M1228" t="s">
        <v>87</v>
      </c>
      <c r="N1228" t="str">
        <f>INDEX(Products!B:B,MATCH(OrdersTable[[#This Row],[Product ID]],Products!A:A,0))</f>
        <v>Linen Kurta</v>
      </c>
      <c r="O1228" t="str">
        <f>INDEX(Products!C:C,MATCH(OrdersTable[[#This Row],[Product ID]],Products!A:A,0))</f>
        <v>Apparel</v>
      </c>
      <c r="P1228">
        <v>1</v>
      </c>
      <c r="Q1228" s="5">
        <v>1499</v>
      </c>
      <c r="R1228" s="74">
        <v>0.3</v>
      </c>
      <c r="S1228" s="75">
        <f>OrdersTable[[#This Row],[Quantity]]*OrdersTable[[#This Row],[Unit Price]]</f>
        <v>1499</v>
      </c>
      <c r="T1228" s="5">
        <f>OrdersTable[[#This Row],[Gross Sale]]*OrdersTable[[#This Row],[Discount_Clean2]]</f>
        <v>449.7</v>
      </c>
      <c r="U1228" s="5">
        <f>OrdersTable[[#This Row],[Gross Sale]]-OrdersTable[[#This Row],[Discount Amount]]</f>
        <v>1049.3</v>
      </c>
      <c r="V1228" s="77">
        <f>INDEX(Products!E:E,MATCH(OrdersTable[[#This Row],[Product ID]],Products!A:A,0))</f>
        <v>630</v>
      </c>
      <c r="W1228" s="77">
        <f>OrdersTable[[#This Row],[Quantity]]*OrdersTable[[#This Row],[Unit Cost]]</f>
        <v>630</v>
      </c>
      <c r="X1228" s="77">
        <f>'Dropdown Lists'!$I$2*(1+OrdersTable[[#This Row],[Returned]])</f>
        <v>60</v>
      </c>
      <c r="Y1228" s="76">
        <f>OrdersTable[[#This Row],[Net Revenue]]-OrdersTable[[#This Row],[COGS]]-OrdersTable[[#This Row],[Shipping Cost]]</f>
        <v>359.29999999999995</v>
      </c>
      <c r="Z1228" s="78">
        <f>IFERROR(OrdersTable[[#This Row],[Profit]]/OrdersTable[[#This Row],[Net Revenue]],0)</f>
        <v>0.34241875536071664</v>
      </c>
      <c r="AA1228" t="s">
        <v>2522</v>
      </c>
      <c r="AB1228" s="79">
        <v>45544</v>
      </c>
      <c r="AC1228">
        <f>OrdersTable[[#This Row],[Delivery Date]]-OrdersTable[[#This Row],[Order Date]]</f>
        <v>5</v>
      </c>
      <c r="AD1228" t="str">
        <f>IF(OrdersTable[[#This Row],[Delivery Days]]&lt;=2, "Express (≤2d)", IF(OrdersTable[[#This Row],[Delivery Days]]&lt;=4, "Standard (3-4d)", "Delayed (5d+)"))</f>
        <v>Delayed (5d+)</v>
      </c>
      <c r="AE1228">
        <v>4</v>
      </c>
      <c r="AF1228">
        <v>0</v>
      </c>
    </row>
    <row r="1229" spans="1:32" ht="15" x14ac:dyDescent="0.35">
      <c r="A1229" t="s">
        <v>4238</v>
      </c>
      <c r="B1229" s="1">
        <v>45539</v>
      </c>
      <c r="C1229">
        <f>YEAR(OrdersTable[[#This Row],[Order Date]])</f>
        <v>2024</v>
      </c>
      <c r="D1229" s="2">
        <f>DATE(YEAR(OrdersTable[[#This Row],[Order Date]]),MONTH(OrdersTable[[#This Row],[Order Date]]),1)</f>
        <v>45536</v>
      </c>
      <c r="E1229">
        <f>MONTH(OrdersTable[[#This Row],[Order Date]])</f>
        <v>9</v>
      </c>
      <c r="F1229" t="s">
        <v>2531</v>
      </c>
      <c r="G1229" t="str">
        <f>IF(OrdersTable[[#This Row],[Order Date]]=_xlfn.MINIFS(Order_Date, Customer_ID, OrdersTable[[#This Row],[Customer ID]]), "New", "Repeat")</f>
        <v>New</v>
      </c>
      <c r="H1229" t="s">
        <v>71</v>
      </c>
      <c r="I1229" t="str">
        <f>INDEX(State!B:B,MATCH(OrdersTable[[#This Row],[State]],State!A:A,0))</f>
        <v>MH</v>
      </c>
      <c r="J1229" t="str">
        <f>INDEX(State!C:C,MATCH(OrdersTable[[#This Row],[State Code]],State!B:B,0))</f>
        <v>West</v>
      </c>
      <c r="K1229" t="s">
        <v>72</v>
      </c>
      <c r="L1229" t="s">
        <v>16</v>
      </c>
      <c r="M1229" t="s">
        <v>92</v>
      </c>
      <c r="N1229" t="str">
        <f>INDEX(Products!B:B,MATCH(OrdersTable[[#This Row],[Product ID]],Products!A:A,0))</f>
        <v>Kolhapuri Sandals</v>
      </c>
      <c r="O1229" t="str">
        <f>INDEX(Products!C:C,MATCH(OrdersTable[[#This Row],[Product ID]],Products!A:A,0))</f>
        <v>Footwear</v>
      </c>
      <c r="P1229">
        <v>1</v>
      </c>
      <c r="Q1229" s="5">
        <v>999</v>
      </c>
      <c r="R1229" s="74">
        <v>0</v>
      </c>
      <c r="S1229" s="75">
        <f>OrdersTable[[#This Row],[Quantity]]*OrdersTable[[#This Row],[Unit Price]]</f>
        <v>999</v>
      </c>
      <c r="T1229" s="5">
        <f>OrdersTable[[#This Row],[Gross Sale]]*OrdersTable[[#This Row],[Discount_Clean2]]</f>
        <v>0</v>
      </c>
      <c r="U1229" s="5">
        <f>OrdersTable[[#This Row],[Gross Sale]]-OrdersTable[[#This Row],[Discount Amount]]</f>
        <v>999</v>
      </c>
      <c r="V1229" s="77">
        <f>INDEX(Products!E:E,MATCH(OrdersTable[[#This Row],[Product ID]],Products!A:A,0))</f>
        <v>400</v>
      </c>
      <c r="W1229" s="77">
        <f>OrdersTable[[#This Row],[Quantity]]*OrdersTable[[#This Row],[Unit Cost]]</f>
        <v>400</v>
      </c>
      <c r="X1229" s="77">
        <f>'Dropdown Lists'!$I$2*(1+OrdersTable[[#This Row],[Returned]])</f>
        <v>60</v>
      </c>
      <c r="Y1229" s="76">
        <f>OrdersTable[[#This Row],[Net Revenue]]-OrdersTable[[#This Row],[COGS]]-OrdersTable[[#This Row],[Shipping Cost]]</f>
        <v>539</v>
      </c>
      <c r="Z1229" s="78">
        <f>IFERROR(OrdersTable[[#This Row],[Profit]]/OrdersTable[[#This Row],[Net Revenue]],0)</f>
        <v>0.53953953953953959</v>
      </c>
      <c r="AA1229" t="s">
        <v>4074</v>
      </c>
      <c r="AB1229" s="79">
        <v>45541</v>
      </c>
      <c r="AC1229">
        <f>OrdersTable[[#This Row],[Delivery Date]]-OrdersTable[[#This Row],[Order Date]]</f>
        <v>2</v>
      </c>
      <c r="AD1229" t="str">
        <f>IF(OrdersTable[[#This Row],[Delivery Days]]&lt;=2, "Express (≤2d)", IF(OrdersTable[[#This Row],[Delivery Days]]&lt;=4, "Standard (3-4d)", "Delayed (5d+)"))</f>
        <v>Express (≤2d)</v>
      </c>
      <c r="AF1229">
        <v>0</v>
      </c>
    </row>
    <row r="1230" spans="1:32" ht="15" x14ac:dyDescent="0.35">
      <c r="A1230" t="s">
        <v>1360</v>
      </c>
      <c r="B1230" s="1">
        <v>45539</v>
      </c>
      <c r="C1230">
        <f>YEAR(OrdersTable[[#This Row],[Order Date]])</f>
        <v>2024</v>
      </c>
      <c r="D1230" s="2">
        <f>DATE(YEAR(OrdersTable[[#This Row],[Order Date]]),MONTH(OrdersTable[[#This Row],[Order Date]]),1)</f>
        <v>45536</v>
      </c>
      <c r="E1230">
        <f>MONTH(OrdersTable[[#This Row],[Order Date]])</f>
        <v>9</v>
      </c>
      <c r="F1230" t="s">
        <v>1361</v>
      </c>
      <c r="G1230" t="str">
        <f>IF(OrdersTable[[#This Row],[Order Date]]=_xlfn.MINIFS(Order_Date, Customer_ID, OrdersTable[[#This Row],[Customer ID]]), "New", "Repeat")</f>
        <v>New</v>
      </c>
      <c r="H1230" t="s">
        <v>167</v>
      </c>
      <c r="I1230" t="str">
        <f>INDEX(State!B:B,MATCH(OrdersTable[[#This Row],[State]],State!A:A,0))</f>
        <v>KA</v>
      </c>
      <c r="J1230" t="str">
        <f>INDEX(State!C:C,MATCH(OrdersTable[[#This Row],[State Code]],State!B:B,0))</f>
        <v>South</v>
      </c>
      <c r="K1230" t="s">
        <v>168</v>
      </c>
      <c r="L1230" t="s">
        <v>23</v>
      </c>
      <c r="M1230" t="s">
        <v>66</v>
      </c>
      <c r="N1230" t="str">
        <f>INDEX(Products!B:B,MATCH(OrdersTable[[#This Row],[Product ID]],Products!A:A,0))</f>
        <v>Sunscreen SPF 50</v>
      </c>
      <c r="O1230" t="str">
        <f>INDEX(Products!C:C,MATCH(OrdersTable[[#This Row],[Product ID]],Products!A:A,0))</f>
        <v>Skincare</v>
      </c>
      <c r="P1230">
        <v>1</v>
      </c>
      <c r="Q1230" s="5">
        <v>449</v>
      </c>
      <c r="R1230" s="74">
        <v>0.05</v>
      </c>
      <c r="S1230" s="75">
        <f>OrdersTable[[#This Row],[Quantity]]*OrdersTable[[#This Row],[Unit Price]]</f>
        <v>449</v>
      </c>
      <c r="T1230" s="5">
        <f>OrdersTable[[#This Row],[Gross Sale]]*OrdersTable[[#This Row],[Discount_Clean2]]</f>
        <v>22.450000000000003</v>
      </c>
      <c r="U1230" s="5">
        <f>OrdersTable[[#This Row],[Gross Sale]]-OrdersTable[[#This Row],[Discount Amount]]</f>
        <v>426.55</v>
      </c>
      <c r="V1230" s="77">
        <f>INDEX(Products!E:E,MATCH(OrdersTable[[#This Row],[Product ID]],Products!A:A,0))</f>
        <v>144</v>
      </c>
      <c r="W1230" s="77">
        <f>OrdersTable[[#This Row],[Quantity]]*OrdersTable[[#This Row],[Unit Cost]]</f>
        <v>144</v>
      </c>
      <c r="X1230" s="77">
        <f>'Dropdown Lists'!$I$2*(1+OrdersTable[[#This Row],[Returned]])</f>
        <v>60</v>
      </c>
      <c r="Y1230" s="76">
        <f>OrdersTable[[#This Row],[Net Revenue]]-OrdersTable[[#This Row],[COGS]]-OrdersTable[[#This Row],[Shipping Cost]]</f>
        <v>222.55</v>
      </c>
      <c r="Z1230" s="78">
        <f>IFERROR(OrdersTable[[#This Row],[Profit]]/OrdersTable[[#This Row],[Net Revenue]],0)</f>
        <v>0.52174422693705313</v>
      </c>
      <c r="AA1230" t="s">
        <v>18</v>
      </c>
      <c r="AB1230" s="79">
        <v>45540</v>
      </c>
      <c r="AC1230">
        <f>OrdersTable[[#This Row],[Delivery Date]]-OrdersTable[[#This Row],[Order Date]]</f>
        <v>1</v>
      </c>
      <c r="AD1230" t="str">
        <f>IF(OrdersTable[[#This Row],[Delivery Days]]&lt;=2, "Express (≤2d)", IF(OrdersTable[[#This Row],[Delivery Days]]&lt;=4, "Standard (3-4d)", "Delayed (5d+)"))</f>
        <v>Express (≤2d)</v>
      </c>
      <c r="AF1230">
        <v>0</v>
      </c>
    </row>
    <row r="1231" spans="1:32" ht="15" x14ac:dyDescent="0.35">
      <c r="A1231" t="s">
        <v>5885</v>
      </c>
      <c r="B1231" s="1">
        <v>45539</v>
      </c>
      <c r="C1231">
        <f>YEAR(OrdersTable[[#This Row],[Order Date]])</f>
        <v>2024</v>
      </c>
      <c r="D1231" s="2">
        <f>DATE(YEAR(OrdersTable[[#This Row],[Order Date]]),MONTH(OrdersTable[[#This Row],[Order Date]]),1)</f>
        <v>45536</v>
      </c>
      <c r="E1231">
        <f>MONTH(OrdersTable[[#This Row],[Order Date]])</f>
        <v>9</v>
      </c>
      <c r="F1231" t="s">
        <v>5886</v>
      </c>
      <c r="G1231" t="str">
        <f>IF(OrdersTable[[#This Row],[Order Date]]=_xlfn.MINIFS(Order_Date, Customer_ID, OrdersTable[[#This Row],[Customer ID]]), "New", "Repeat")</f>
        <v>New</v>
      </c>
      <c r="H1231" t="s">
        <v>316</v>
      </c>
      <c r="I1231" t="str">
        <f>INDEX(State!B:B,MATCH(OrdersTable[[#This Row],[State]],State!A:A,0))</f>
        <v>KL</v>
      </c>
      <c r="J1231" t="str">
        <f>INDEX(State!C:C,MATCH(OrdersTable[[#This Row],[State Code]],State!B:B,0))</f>
        <v>South</v>
      </c>
      <c r="K1231" t="s">
        <v>338</v>
      </c>
      <c r="L1231" t="s">
        <v>39</v>
      </c>
      <c r="M1231" t="s">
        <v>106</v>
      </c>
      <c r="N1231" t="str">
        <f>INDEX(Products!B:B,MATCH(OrdersTable[[#This Row],[Product ID]],Products!A:A,0))</f>
        <v>Keratin Hair Mask</v>
      </c>
      <c r="O1231" t="str">
        <f>INDEX(Products!C:C,MATCH(OrdersTable[[#This Row],[Product ID]],Products!A:A,0))</f>
        <v>Haircare</v>
      </c>
      <c r="P1231">
        <v>2</v>
      </c>
      <c r="Q1231" s="5">
        <v>549</v>
      </c>
      <c r="R1231" s="74">
        <v>0.1</v>
      </c>
      <c r="S1231" s="75">
        <f>OrdersTable[[#This Row],[Quantity]]*OrdersTable[[#This Row],[Unit Price]]</f>
        <v>1098</v>
      </c>
      <c r="T1231" s="5">
        <f>OrdersTable[[#This Row],[Gross Sale]]*OrdersTable[[#This Row],[Discount_Clean2]]</f>
        <v>109.80000000000001</v>
      </c>
      <c r="U1231" s="5">
        <f>OrdersTable[[#This Row],[Gross Sale]]-OrdersTable[[#This Row],[Discount Amount]]</f>
        <v>988.2</v>
      </c>
      <c r="V1231" s="77">
        <f>INDEX(Products!E:E,MATCH(OrdersTable[[#This Row],[Product ID]],Products!A:A,0))</f>
        <v>170</v>
      </c>
      <c r="W1231" s="77">
        <f>OrdersTable[[#This Row],[Quantity]]*OrdersTable[[#This Row],[Unit Cost]]</f>
        <v>340</v>
      </c>
      <c r="X1231" s="77">
        <f>'Dropdown Lists'!$I$2*(1+OrdersTable[[#This Row],[Returned]])</f>
        <v>60</v>
      </c>
      <c r="Y1231" s="76">
        <f>OrdersTable[[#This Row],[Net Revenue]]-OrdersTable[[#This Row],[COGS]]-OrdersTable[[#This Row],[Shipping Cost]]</f>
        <v>588.20000000000005</v>
      </c>
      <c r="Z1231" s="78">
        <f>IFERROR(OrdersTable[[#This Row],[Profit]]/OrdersTable[[#This Row],[Net Revenue]],0)</f>
        <v>0.59522363893948593</v>
      </c>
      <c r="AA1231" t="s">
        <v>18</v>
      </c>
      <c r="AB1231" s="79">
        <v>45543</v>
      </c>
      <c r="AC1231">
        <f>OrdersTable[[#This Row],[Delivery Date]]-OrdersTable[[#This Row],[Order Date]]</f>
        <v>4</v>
      </c>
      <c r="AD1231" t="str">
        <f>IF(OrdersTable[[#This Row],[Delivery Days]]&lt;=2, "Express (≤2d)", IF(OrdersTable[[#This Row],[Delivery Days]]&lt;=4, "Standard (3-4d)", "Delayed (5d+)"))</f>
        <v>Standard (3-4d)</v>
      </c>
      <c r="AF1231">
        <v>0</v>
      </c>
    </row>
    <row r="1232" spans="1:32" ht="15" x14ac:dyDescent="0.35">
      <c r="A1232" t="s">
        <v>4672</v>
      </c>
      <c r="B1232" s="1">
        <v>45540</v>
      </c>
      <c r="C1232">
        <f>YEAR(OrdersTable[[#This Row],[Order Date]])</f>
        <v>2024</v>
      </c>
      <c r="D1232" s="2">
        <f>DATE(YEAR(OrdersTable[[#This Row],[Order Date]]),MONTH(OrdersTable[[#This Row],[Order Date]]),1)</f>
        <v>45536</v>
      </c>
      <c r="E1232">
        <f>MONTH(OrdersTable[[#This Row],[Order Date]])</f>
        <v>9</v>
      </c>
      <c r="F1232" t="s">
        <v>4673</v>
      </c>
      <c r="G1232" t="str">
        <f>IF(OrdersTable[[#This Row],[Order Date]]=_xlfn.MINIFS(Order_Date, Customer_ID, OrdersTable[[#This Row],[Customer ID]]), "New", "Repeat")</f>
        <v>New</v>
      </c>
      <c r="H1232" t="s">
        <v>54</v>
      </c>
      <c r="I1232" t="str">
        <f>INDEX(State!B:B,MATCH(OrdersTable[[#This Row],[State]],State!A:A,0))</f>
        <v>RJ</v>
      </c>
      <c r="J1232" t="str">
        <f>INDEX(State!C:C,MATCH(OrdersTable[[#This Row],[State Code]],State!B:B,0))</f>
        <v>North</v>
      </c>
      <c r="K1232" t="s">
        <v>227</v>
      </c>
      <c r="L1232" t="s">
        <v>16</v>
      </c>
      <c r="M1232" t="s">
        <v>29</v>
      </c>
      <c r="N1232" t="str">
        <f>INDEX(Products!B:B,MATCH(OrdersTable[[#This Row],[Product ID]],Products!A:A,0))</f>
        <v>Joggers</v>
      </c>
      <c r="O1232" t="str">
        <f>INDEX(Products!C:C,MATCH(OrdersTable[[#This Row],[Product ID]],Products!A:A,0))</f>
        <v>Apparel</v>
      </c>
      <c r="P1232">
        <v>1</v>
      </c>
      <c r="Q1232" s="5">
        <v>1199</v>
      </c>
      <c r="R1232" s="74">
        <v>0.1</v>
      </c>
      <c r="S1232" s="75">
        <f>OrdersTable[[#This Row],[Quantity]]*OrdersTable[[#This Row],[Unit Price]]</f>
        <v>1199</v>
      </c>
      <c r="T1232" s="5">
        <f>OrdersTable[[#This Row],[Gross Sale]]*OrdersTable[[#This Row],[Discount_Clean2]]</f>
        <v>119.9</v>
      </c>
      <c r="U1232" s="5">
        <f>OrdersTable[[#This Row],[Gross Sale]]-OrdersTable[[#This Row],[Discount Amount]]</f>
        <v>1079.0999999999999</v>
      </c>
      <c r="V1232" s="77">
        <f>INDEX(Products!E:E,MATCH(OrdersTable[[#This Row],[Product ID]],Products!A:A,0))</f>
        <v>492</v>
      </c>
      <c r="W1232" s="77">
        <f>OrdersTable[[#This Row],[Quantity]]*OrdersTable[[#This Row],[Unit Cost]]</f>
        <v>492</v>
      </c>
      <c r="X1232" s="77">
        <f>'Dropdown Lists'!$I$2*(1+OrdersTable[[#This Row],[Returned]])</f>
        <v>60</v>
      </c>
      <c r="Y1232" s="76">
        <f>OrdersTable[[#This Row],[Net Revenue]]-OrdersTable[[#This Row],[COGS]]-OrdersTable[[#This Row],[Shipping Cost]]</f>
        <v>527.09999999999991</v>
      </c>
      <c r="Z1232" s="78">
        <f>IFERROR(OrdersTable[[#This Row],[Profit]]/OrdersTable[[#This Row],[Net Revenue]],0)</f>
        <v>0.48846260772866273</v>
      </c>
      <c r="AA1232" t="s">
        <v>4450</v>
      </c>
      <c r="AB1232" s="79">
        <v>45543</v>
      </c>
      <c r="AC1232">
        <f>OrdersTable[[#This Row],[Delivery Date]]-OrdersTable[[#This Row],[Order Date]]</f>
        <v>3</v>
      </c>
      <c r="AD1232" t="str">
        <f>IF(OrdersTable[[#This Row],[Delivery Days]]&lt;=2, "Express (≤2d)", IF(OrdersTable[[#This Row],[Delivery Days]]&lt;=4, "Standard (3-4d)", "Delayed (5d+)"))</f>
        <v>Standard (3-4d)</v>
      </c>
      <c r="AE1232">
        <v>3</v>
      </c>
      <c r="AF1232">
        <v>0</v>
      </c>
    </row>
    <row r="1233" spans="1:32" ht="15" x14ac:dyDescent="0.35">
      <c r="A1233" t="s">
        <v>3201</v>
      </c>
      <c r="B1233" s="1">
        <v>45540</v>
      </c>
      <c r="C1233">
        <f>YEAR(OrdersTable[[#This Row],[Order Date]])</f>
        <v>2024</v>
      </c>
      <c r="D1233" s="2">
        <f>DATE(YEAR(OrdersTable[[#This Row],[Order Date]]),MONTH(OrdersTable[[#This Row],[Order Date]]),1)</f>
        <v>45536</v>
      </c>
      <c r="E1233">
        <f>MONTH(OrdersTable[[#This Row],[Order Date]])</f>
        <v>9</v>
      </c>
      <c r="F1233" t="s">
        <v>809</v>
      </c>
      <c r="G1233" t="str">
        <f>IF(OrdersTable[[#This Row],[Order Date]]=_xlfn.MINIFS(Order_Date, Customer_ID, OrdersTable[[#This Row],[Customer ID]]), "New", "Repeat")</f>
        <v>Repeat</v>
      </c>
      <c r="H1233" t="s">
        <v>48</v>
      </c>
      <c r="I1233" t="str">
        <f>INDEX(State!B:B,MATCH(OrdersTable[[#This Row],[State]],State!A:A,0))</f>
        <v>HR</v>
      </c>
      <c r="J1233" t="str">
        <f>INDEX(State!C:C,MATCH(OrdersTable[[#This Row],[State Code]],State!B:B,0))</f>
        <v>North</v>
      </c>
      <c r="K1233" t="s">
        <v>151</v>
      </c>
      <c r="L1233" t="s">
        <v>39</v>
      </c>
      <c r="M1233" t="s">
        <v>106</v>
      </c>
      <c r="N1233" t="str">
        <f>INDEX(Products!B:B,MATCH(OrdersTable[[#This Row],[Product ID]],Products!A:A,0))</f>
        <v>Keratin Hair Mask</v>
      </c>
      <c r="O1233" t="str">
        <f>INDEX(Products!C:C,MATCH(OrdersTable[[#This Row],[Product ID]],Products!A:A,0))</f>
        <v>Haircare</v>
      </c>
      <c r="P1233">
        <v>1</v>
      </c>
      <c r="Q1233" s="5">
        <v>549</v>
      </c>
      <c r="R1233" s="74">
        <v>0.2</v>
      </c>
      <c r="S1233" s="75">
        <f>OrdersTable[[#This Row],[Quantity]]*OrdersTable[[#This Row],[Unit Price]]</f>
        <v>549</v>
      </c>
      <c r="T1233" s="5">
        <f>OrdersTable[[#This Row],[Gross Sale]]*OrdersTable[[#This Row],[Discount_Clean2]]</f>
        <v>109.80000000000001</v>
      </c>
      <c r="U1233" s="5">
        <f>OrdersTable[[#This Row],[Gross Sale]]-OrdersTable[[#This Row],[Discount Amount]]</f>
        <v>439.2</v>
      </c>
      <c r="V1233" s="77">
        <f>INDEX(Products!E:E,MATCH(OrdersTable[[#This Row],[Product ID]],Products!A:A,0))</f>
        <v>170</v>
      </c>
      <c r="W1233" s="77">
        <f>OrdersTable[[#This Row],[Quantity]]*OrdersTable[[#This Row],[Unit Cost]]</f>
        <v>170</v>
      </c>
      <c r="X1233" s="77">
        <f>'Dropdown Lists'!$I$2*(1+OrdersTable[[#This Row],[Returned]])</f>
        <v>60</v>
      </c>
      <c r="Y1233" s="76">
        <f>OrdersTable[[#This Row],[Net Revenue]]-OrdersTable[[#This Row],[COGS]]-OrdersTable[[#This Row],[Shipping Cost]]</f>
        <v>209.2</v>
      </c>
      <c r="Z1233" s="78">
        <f>IFERROR(OrdersTable[[#This Row],[Profit]]/OrdersTable[[#This Row],[Net Revenue]],0)</f>
        <v>0.47632058287795992</v>
      </c>
      <c r="AA1233" t="s">
        <v>2522</v>
      </c>
      <c r="AB1233" s="79">
        <v>45544</v>
      </c>
      <c r="AC1233">
        <f>OrdersTable[[#This Row],[Delivery Date]]-OrdersTable[[#This Row],[Order Date]]</f>
        <v>4</v>
      </c>
      <c r="AD1233" t="str">
        <f>IF(OrdersTable[[#This Row],[Delivery Days]]&lt;=2, "Express (≤2d)", IF(OrdersTable[[#This Row],[Delivery Days]]&lt;=4, "Standard (3-4d)", "Delayed (5d+)"))</f>
        <v>Standard (3-4d)</v>
      </c>
      <c r="AE1233">
        <v>4</v>
      </c>
      <c r="AF1233">
        <v>0</v>
      </c>
    </row>
    <row r="1234" spans="1:32" ht="15" x14ac:dyDescent="0.35">
      <c r="A1234" t="s">
        <v>5887</v>
      </c>
      <c r="B1234" s="1">
        <v>45540</v>
      </c>
      <c r="C1234">
        <f>YEAR(OrdersTable[[#This Row],[Order Date]])</f>
        <v>2024</v>
      </c>
      <c r="D1234" s="2">
        <f>DATE(YEAR(OrdersTable[[#This Row],[Order Date]]),MONTH(OrdersTable[[#This Row],[Order Date]]),1)</f>
        <v>45536</v>
      </c>
      <c r="E1234">
        <f>MONTH(OrdersTable[[#This Row],[Order Date]])</f>
        <v>9</v>
      </c>
      <c r="F1234" t="s">
        <v>5888</v>
      </c>
      <c r="G1234" t="str">
        <f>IF(OrdersTable[[#This Row],[Order Date]]=_xlfn.MINIFS(Order_Date, Customer_ID, OrdersTable[[#This Row],[Customer ID]]), "New", "Repeat")</f>
        <v>New</v>
      </c>
      <c r="H1234" t="s">
        <v>32</v>
      </c>
      <c r="I1234" t="str">
        <f>INDEX(State!B:B,MATCH(OrdersTable[[#This Row],[State]],State!A:A,0))</f>
        <v>BR</v>
      </c>
      <c r="J1234" t="str">
        <f>INDEX(State!C:C,MATCH(OrdersTable[[#This Row],[State Code]],State!B:B,0))</f>
        <v>East</v>
      </c>
      <c r="K1234" t="s">
        <v>33</v>
      </c>
      <c r="L1234" t="s">
        <v>23</v>
      </c>
      <c r="M1234" t="s">
        <v>565</v>
      </c>
      <c r="N1234" t="str">
        <f>INDEX(Products!B:B,MATCH(OrdersTable[[#This Row],[Product ID]],Products!A:A,0))</f>
        <v>Ceramic Dinner Set</v>
      </c>
      <c r="O1234" t="str">
        <f>INDEX(Products!C:C,MATCH(OrdersTable[[#This Row],[Product ID]],Products!A:A,0))</f>
        <v>Home &amp; Kitchen</v>
      </c>
      <c r="P1234">
        <v>2</v>
      </c>
      <c r="Q1234" s="5">
        <v>2499</v>
      </c>
      <c r="R1234" s="74">
        <v>0.4</v>
      </c>
      <c r="S1234" s="75">
        <f>OrdersTable[[#This Row],[Quantity]]*OrdersTable[[#This Row],[Unit Price]]</f>
        <v>4998</v>
      </c>
      <c r="T1234" s="5">
        <f>OrdersTable[[#This Row],[Gross Sale]]*OrdersTable[[#This Row],[Discount_Clean2]]</f>
        <v>1999.2</v>
      </c>
      <c r="U1234" s="5">
        <f>OrdersTable[[#This Row],[Gross Sale]]-OrdersTable[[#This Row],[Discount Amount]]</f>
        <v>2998.8</v>
      </c>
      <c r="V1234" s="77">
        <f>INDEX(Products!E:E,MATCH(OrdersTable[[#This Row],[Product ID]],Products!A:A,0))</f>
        <v>1250</v>
      </c>
      <c r="W1234" s="77">
        <f>OrdersTable[[#This Row],[Quantity]]*OrdersTable[[#This Row],[Unit Cost]]</f>
        <v>2500</v>
      </c>
      <c r="X1234" s="77">
        <f>'Dropdown Lists'!$I$2*(1+OrdersTable[[#This Row],[Returned]])</f>
        <v>60</v>
      </c>
      <c r="Y1234" s="76">
        <f>OrdersTable[[#This Row],[Net Revenue]]-OrdersTable[[#This Row],[COGS]]-OrdersTable[[#This Row],[Shipping Cost]]</f>
        <v>438.80000000000018</v>
      </c>
      <c r="Z1234" s="78">
        <f>IFERROR(OrdersTable[[#This Row],[Profit]]/OrdersTable[[#This Row],[Net Revenue]],0)</f>
        <v>0.14632519674536487</v>
      </c>
      <c r="AA1234" t="s">
        <v>18</v>
      </c>
      <c r="AB1234" s="79">
        <v>45544</v>
      </c>
      <c r="AC1234">
        <f>OrdersTable[[#This Row],[Delivery Date]]-OrdersTable[[#This Row],[Order Date]]</f>
        <v>4</v>
      </c>
      <c r="AD1234" t="str">
        <f>IF(OrdersTable[[#This Row],[Delivery Days]]&lt;=2, "Express (≤2d)", IF(OrdersTable[[#This Row],[Delivery Days]]&lt;=4, "Standard (3-4d)", "Delayed (5d+)"))</f>
        <v>Standard (3-4d)</v>
      </c>
      <c r="AF1234">
        <v>0</v>
      </c>
    </row>
    <row r="1235" spans="1:32" ht="15" x14ac:dyDescent="0.35">
      <c r="A1235" t="s">
        <v>3202</v>
      </c>
      <c r="B1235" s="1">
        <v>45541</v>
      </c>
      <c r="C1235">
        <f>YEAR(OrdersTable[[#This Row],[Order Date]])</f>
        <v>2024</v>
      </c>
      <c r="D1235" s="2">
        <f>DATE(YEAR(OrdersTable[[#This Row],[Order Date]]),MONTH(OrdersTable[[#This Row],[Order Date]]),1)</f>
        <v>45536</v>
      </c>
      <c r="E1235">
        <f>MONTH(OrdersTable[[#This Row],[Order Date]])</f>
        <v>9</v>
      </c>
      <c r="F1235" t="s">
        <v>2550</v>
      </c>
      <c r="G1235" t="str">
        <f>IF(OrdersTable[[#This Row],[Order Date]]=_xlfn.MINIFS(Order_Date, Customer_ID, OrdersTable[[#This Row],[Customer ID]]), "New", "Repeat")</f>
        <v>Repeat</v>
      </c>
      <c r="H1235" t="s">
        <v>48</v>
      </c>
      <c r="I1235" t="str">
        <f>INDEX(State!B:B,MATCH(OrdersTable[[#This Row],[State]],State!A:A,0))</f>
        <v>HR</v>
      </c>
      <c r="J1235" t="str">
        <f>INDEX(State!C:C,MATCH(OrdersTable[[#This Row],[State Code]],State!B:B,0))</f>
        <v>North</v>
      </c>
      <c r="K1235" t="s">
        <v>151</v>
      </c>
      <c r="L1235" t="s">
        <v>16</v>
      </c>
      <c r="M1235" t="s">
        <v>34</v>
      </c>
      <c r="N1235" t="str">
        <f>INDEX(Products!B:B,MATCH(OrdersTable[[#This Row],[Product ID]],Products!A:A,0))</f>
        <v>Flip Flops</v>
      </c>
      <c r="O1235" t="str">
        <f>INDEX(Products!C:C,MATCH(OrdersTable[[#This Row],[Product ID]],Products!A:A,0))</f>
        <v>Footwear</v>
      </c>
      <c r="P1235">
        <v>1</v>
      </c>
      <c r="Q1235" s="5">
        <v>399</v>
      </c>
      <c r="R1235" s="74">
        <v>0.1</v>
      </c>
      <c r="S1235" s="75">
        <f>OrdersTable[[#This Row],[Quantity]]*OrdersTable[[#This Row],[Unit Price]]</f>
        <v>399</v>
      </c>
      <c r="T1235" s="5">
        <f>OrdersTable[[#This Row],[Gross Sale]]*OrdersTable[[#This Row],[Discount_Clean2]]</f>
        <v>39.900000000000006</v>
      </c>
      <c r="U1235" s="5">
        <f>OrdersTable[[#This Row],[Gross Sale]]-OrdersTable[[#This Row],[Discount Amount]]</f>
        <v>359.1</v>
      </c>
      <c r="V1235" s="77">
        <f>INDEX(Products!E:E,MATCH(OrdersTable[[#This Row],[Product ID]],Products!A:A,0))</f>
        <v>152</v>
      </c>
      <c r="W1235" s="77">
        <f>OrdersTable[[#This Row],[Quantity]]*OrdersTable[[#This Row],[Unit Cost]]</f>
        <v>152</v>
      </c>
      <c r="X1235" s="77">
        <f>'Dropdown Lists'!$I$2*(1+OrdersTable[[#This Row],[Returned]])</f>
        <v>60</v>
      </c>
      <c r="Y1235" s="76">
        <f>OrdersTable[[#This Row],[Net Revenue]]-OrdersTable[[#This Row],[COGS]]-OrdersTable[[#This Row],[Shipping Cost]]</f>
        <v>147.10000000000002</v>
      </c>
      <c r="Z1235" s="78">
        <f>IFERROR(OrdersTable[[#This Row],[Profit]]/OrdersTable[[#This Row],[Net Revenue]],0)</f>
        <v>0.40963519910888335</v>
      </c>
      <c r="AA1235" t="s">
        <v>2522</v>
      </c>
      <c r="AB1235" s="79">
        <v>45543</v>
      </c>
      <c r="AC1235">
        <f>OrdersTable[[#This Row],[Delivery Date]]-OrdersTable[[#This Row],[Order Date]]</f>
        <v>2</v>
      </c>
      <c r="AD1235" t="str">
        <f>IF(OrdersTable[[#This Row],[Delivery Days]]&lt;=2, "Express (≤2d)", IF(OrdersTable[[#This Row],[Delivery Days]]&lt;=4, "Standard (3-4d)", "Delayed (5d+)"))</f>
        <v>Express (≤2d)</v>
      </c>
      <c r="AE1235">
        <v>4</v>
      </c>
      <c r="AF1235">
        <v>0</v>
      </c>
    </row>
    <row r="1236" spans="1:32" ht="15" x14ac:dyDescent="0.35">
      <c r="A1236" t="s">
        <v>4791</v>
      </c>
      <c r="B1236" s="1">
        <v>45541</v>
      </c>
      <c r="C1236">
        <f>YEAR(OrdersTable[[#This Row],[Order Date]])</f>
        <v>2024</v>
      </c>
      <c r="D1236" s="2">
        <f>DATE(YEAR(OrdersTable[[#This Row],[Order Date]]),MONTH(OrdersTable[[#This Row],[Order Date]]),1)</f>
        <v>45536</v>
      </c>
      <c r="E1236">
        <f>MONTH(OrdersTable[[#This Row],[Order Date]])</f>
        <v>9</v>
      </c>
      <c r="F1236" t="s">
        <v>468</v>
      </c>
      <c r="G1236" t="str">
        <f>IF(OrdersTable[[#This Row],[Order Date]]=_xlfn.MINIFS(Order_Date, Customer_ID, OrdersTable[[#This Row],[Customer ID]]), "New", "Repeat")</f>
        <v>Repeat</v>
      </c>
      <c r="H1236" t="s">
        <v>48</v>
      </c>
      <c r="I1236" t="str">
        <f>INDEX(State!B:B,MATCH(OrdersTable[[#This Row],[State]],State!A:A,0))</f>
        <v>HR</v>
      </c>
      <c r="J1236" t="str">
        <f>INDEX(State!C:C,MATCH(OrdersTable[[#This Row],[State Code]],State!B:B,0))</f>
        <v>North</v>
      </c>
      <c r="K1236" t="s">
        <v>151</v>
      </c>
      <c r="L1236" t="s">
        <v>65</v>
      </c>
      <c r="M1236" t="s">
        <v>228</v>
      </c>
      <c r="N1236" t="str">
        <f>INDEX(Products!B:B,MATCH(OrdersTable[[#This Row],[Product ID]],Products!A:A,0))</f>
        <v>Fast Charger 33W</v>
      </c>
      <c r="O1236" t="str">
        <f>INDEX(Products!C:C,MATCH(OrdersTable[[#This Row],[Product ID]],Products!A:A,0))</f>
        <v>Electronics</v>
      </c>
      <c r="P1236">
        <v>2</v>
      </c>
      <c r="Q1236" s="5">
        <v>899</v>
      </c>
      <c r="R1236" s="74">
        <v>0.1</v>
      </c>
      <c r="S1236" s="75">
        <f>OrdersTable[[#This Row],[Quantity]]*OrdersTable[[#This Row],[Unit Price]]</f>
        <v>1798</v>
      </c>
      <c r="T1236" s="5">
        <f>OrdersTable[[#This Row],[Gross Sale]]*OrdersTable[[#This Row],[Discount_Clean2]]</f>
        <v>179.8</v>
      </c>
      <c r="U1236" s="5">
        <f>OrdersTable[[#This Row],[Gross Sale]]-OrdersTable[[#This Row],[Discount Amount]]</f>
        <v>1618.2</v>
      </c>
      <c r="V1236" s="77">
        <f>INDEX(Products!E:E,MATCH(OrdersTable[[#This Row],[Product ID]],Products!A:A,0))</f>
        <v>494</v>
      </c>
      <c r="W1236" s="77">
        <f>OrdersTable[[#This Row],[Quantity]]*OrdersTable[[#This Row],[Unit Cost]]</f>
        <v>988</v>
      </c>
      <c r="X1236" s="77">
        <f>'Dropdown Lists'!$I$2*(1+OrdersTable[[#This Row],[Returned]])</f>
        <v>60</v>
      </c>
      <c r="Y1236" s="76">
        <f>OrdersTable[[#This Row],[Net Revenue]]-OrdersTable[[#This Row],[COGS]]-OrdersTable[[#This Row],[Shipping Cost]]</f>
        <v>570.20000000000005</v>
      </c>
      <c r="Z1236" s="78">
        <f>IFERROR(OrdersTable[[#This Row],[Profit]]/OrdersTable[[#This Row],[Net Revenue]],0)</f>
        <v>0.3523668273390187</v>
      </c>
      <c r="AA1236" t="s">
        <v>4450</v>
      </c>
      <c r="AB1236" s="79">
        <v>45542</v>
      </c>
      <c r="AC1236">
        <f>OrdersTable[[#This Row],[Delivery Date]]-OrdersTable[[#This Row],[Order Date]]</f>
        <v>1</v>
      </c>
      <c r="AD1236" t="str">
        <f>IF(OrdersTable[[#This Row],[Delivery Days]]&lt;=2, "Express (≤2d)", IF(OrdersTable[[#This Row],[Delivery Days]]&lt;=4, "Standard (3-4d)", "Delayed (5d+)"))</f>
        <v>Express (≤2d)</v>
      </c>
      <c r="AE1236">
        <v>4</v>
      </c>
      <c r="AF1236">
        <v>0</v>
      </c>
    </row>
    <row r="1237" spans="1:32" ht="15" x14ac:dyDescent="0.35">
      <c r="A1237" t="s">
        <v>1667</v>
      </c>
      <c r="B1237" s="1">
        <v>45541</v>
      </c>
      <c r="C1237">
        <f>YEAR(OrdersTable[[#This Row],[Order Date]])</f>
        <v>2024</v>
      </c>
      <c r="D1237" s="2">
        <f>DATE(YEAR(OrdersTable[[#This Row],[Order Date]]),MONTH(OrdersTable[[#This Row],[Order Date]]),1)</f>
        <v>45536</v>
      </c>
      <c r="E1237">
        <f>MONTH(OrdersTable[[#This Row],[Order Date]])</f>
        <v>9</v>
      </c>
      <c r="F1237" t="s">
        <v>433</v>
      </c>
      <c r="G1237" t="str">
        <f>IF(OrdersTable[[#This Row],[Order Date]]=_xlfn.MINIFS(Order_Date, Customer_ID, OrdersTable[[#This Row],[Customer ID]]), "New", "Repeat")</f>
        <v>Repeat</v>
      </c>
      <c r="H1237" t="s">
        <v>128</v>
      </c>
      <c r="I1237" t="str">
        <f>INDEX(State!B:B,MATCH(OrdersTable[[#This Row],[State]],State!A:A,0))</f>
        <v>DL</v>
      </c>
      <c r="J1237" t="str">
        <f>INDEX(State!C:C,MATCH(OrdersTable[[#This Row],[State Code]],State!B:B,0))</f>
        <v>North</v>
      </c>
      <c r="K1237" t="s">
        <v>129</v>
      </c>
      <c r="L1237" t="s">
        <v>65</v>
      </c>
      <c r="M1237" t="s">
        <v>152</v>
      </c>
      <c r="N1237" t="str">
        <f>INDEX(Products!B:B,MATCH(OrdersTable[[#This Row],[Product ID]],Products!A:A,0))</f>
        <v>Green Tea (100 bags)</v>
      </c>
      <c r="O1237" t="str">
        <f>INDEX(Products!C:C,MATCH(OrdersTable[[#This Row],[Product ID]],Products!A:A,0))</f>
        <v>Wellness</v>
      </c>
      <c r="P1237">
        <v>1</v>
      </c>
      <c r="Q1237" s="5">
        <v>399</v>
      </c>
      <c r="R1237" s="74">
        <v>0.3</v>
      </c>
      <c r="S1237" s="75">
        <f>OrdersTable[[#This Row],[Quantity]]*OrdersTable[[#This Row],[Unit Price]]</f>
        <v>399</v>
      </c>
      <c r="T1237" s="5">
        <f>OrdersTable[[#This Row],[Gross Sale]]*OrdersTable[[#This Row],[Discount_Clean2]]</f>
        <v>119.69999999999999</v>
      </c>
      <c r="U1237" s="5">
        <f>OrdersTable[[#This Row],[Gross Sale]]-OrdersTable[[#This Row],[Discount Amount]]</f>
        <v>279.3</v>
      </c>
      <c r="V1237" s="77">
        <f>INDEX(Products!E:E,MATCH(OrdersTable[[#This Row],[Product ID]],Products!A:A,0))</f>
        <v>128</v>
      </c>
      <c r="W1237" s="77">
        <f>OrdersTable[[#This Row],[Quantity]]*OrdersTable[[#This Row],[Unit Cost]]</f>
        <v>128</v>
      </c>
      <c r="X1237" s="77">
        <f>'Dropdown Lists'!$I$2*(1+OrdersTable[[#This Row],[Returned]])</f>
        <v>60</v>
      </c>
      <c r="Y1237" s="76">
        <f>OrdersTable[[#This Row],[Net Revenue]]-OrdersTable[[#This Row],[COGS]]-OrdersTable[[#This Row],[Shipping Cost]]</f>
        <v>91.300000000000011</v>
      </c>
      <c r="Z1237" s="78">
        <f>IFERROR(OrdersTable[[#This Row],[Profit]]/OrdersTable[[#This Row],[Net Revenue]],0)</f>
        <v>0.32688865019692093</v>
      </c>
      <c r="AA1237" t="s">
        <v>18</v>
      </c>
      <c r="AB1237" s="79">
        <v>45545</v>
      </c>
      <c r="AC1237">
        <f>OrdersTable[[#This Row],[Delivery Date]]-OrdersTable[[#This Row],[Order Date]]</f>
        <v>4</v>
      </c>
      <c r="AD1237" t="str">
        <f>IF(OrdersTable[[#This Row],[Delivery Days]]&lt;=2, "Express (≤2d)", IF(OrdersTable[[#This Row],[Delivery Days]]&lt;=4, "Standard (3-4d)", "Delayed (5d+)"))</f>
        <v>Standard (3-4d)</v>
      </c>
      <c r="AF1237">
        <v>0</v>
      </c>
    </row>
    <row r="1238" spans="1:32" ht="15" x14ac:dyDescent="0.35">
      <c r="A1238" t="s">
        <v>3863</v>
      </c>
      <c r="B1238" s="1">
        <v>45541</v>
      </c>
      <c r="C1238">
        <f>YEAR(OrdersTable[[#This Row],[Order Date]])</f>
        <v>2024</v>
      </c>
      <c r="D1238" s="2">
        <f>DATE(YEAR(OrdersTable[[#This Row],[Order Date]]),MONTH(OrdersTable[[#This Row],[Order Date]]),1)</f>
        <v>45536</v>
      </c>
      <c r="E1238">
        <f>MONTH(OrdersTable[[#This Row],[Order Date]])</f>
        <v>9</v>
      </c>
      <c r="F1238" t="s">
        <v>1293</v>
      </c>
      <c r="G1238" t="str">
        <f>IF(OrdersTable[[#This Row],[Order Date]]=_xlfn.MINIFS(Order_Date, Customer_ID, OrdersTable[[#This Row],[Customer ID]]), "New", "Repeat")</f>
        <v>New</v>
      </c>
      <c r="H1238" t="s">
        <v>128</v>
      </c>
      <c r="I1238" t="str">
        <f>INDEX(State!B:B,MATCH(OrdersTable[[#This Row],[State]],State!A:A,0))</f>
        <v>DL</v>
      </c>
      <c r="J1238" t="str">
        <f>INDEX(State!C:C,MATCH(OrdersTable[[#This Row],[State Code]],State!B:B,0))</f>
        <v>North</v>
      </c>
      <c r="K1238" t="s">
        <v>129</v>
      </c>
      <c r="L1238" t="s">
        <v>50</v>
      </c>
      <c r="M1238" t="s">
        <v>78</v>
      </c>
      <c r="N1238" t="str">
        <f>INDEX(Products!B:B,MATCH(OrdersTable[[#This Row],[Product ID]],Products!A:A,0))</f>
        <v>Retinol Night Cream</v>
      </c>
      <c r="O1238" t="str">
        <f>INDEX(Products!C:C,MATCH(OrdersTable[[#This Row],[Product ID]],Products!A:A,0))</f>
        <v>Skincare</v>
      </c>
      <c r="P1238">
        <v>1</v>
      </c>
      <c r="Q1238" s="5">
        <v>799</v>
      </c>
      <c r="R1238" s="74">
        <v>0.05</v>
      </c>
      <c r="S1238" s="75">
        <f>OrdersTable[[#This Row],[Quantity]]*OrdersTable[[#This Row],[Unit Price]]</f>
        <v>799</v>
      </c>
      <c r="T1238" s="5">
        <f>OrdersTable[[#This Row],[Gross Sale]]*OrdersTable[[#This Row],[Discount_Clean2]]</f>
        <v>39.950000000000003</v>
      </c>
      <c r="U1238" s="5">
        <f>OrdersTable[[#This Row],[Gross Sale]]-OrdersTable[[#This Row],[Discount Amount]]</f>
        <v>759.05</v>
      </c>
      <c r="V1238" s="77">
        <f>INDEX(Products!E:E,MATCH(OrdersTable[[#This Row],[Product ID]],Products!A:A,0))</f>
        <v>216</v>
      </c>
      <c r="W1238" s="77">
        <f>OrdersTable[[#This Row],[Quantity]]*OrdersTable[[#This Row],[Unit Cost]]</f>
        <v>216</v>
      </c>
      <c r="X1238" s="77">
        <f>'Dropdown Lists'!$I$2*(1+OrdersTable[[#This Row],[Returned]])</f>
        <v>60</v>
      </c>
      <c r="Y1238" s="76">
        <f>OrdersTable[[#This Row],[Net Revenue]]-OrdersTable[[#This Row],[COGS]]-OrdersTable[[#This Row],[Shipping Cost]]</f>
        <v>483.04999999999995</v>
      </c>
      <c r="Z1238" s="78">
        <f>IFERROR(OrdersTable[[#This Row],[Profit]]/OrdersTable[[#This Row],[Net Revenue]],0)</f>
        <v>0.63638758975034582</v>
      </c>
      <c r="AA1238" t="s">
        <v>3495</v>
      </c>
      <c r="AB1238" s="79">
        <v>45545</v>
      </c>
      <c r="AC1238">
        <f>OrdersTable[[#This Row],[Delivery Date]]-OrdersTable[[#This Row],[Order Date]]</f>
        <v>4</v>
      </c>
      <c r="AD1238" t="str">
        <f>IF(OrdersTable[[#This Row],[Delivery Days]]&lt;=2, "Express (≤2d)", IF(OrdersTable[[#This Row],[Delivery Days]]&lt;=4, "Standard (3-4d)", "Delayed (5d+)"))</f>
        <v>Standard (3-4d)</v>
      </c>
      <c r="AE1238">
        <v>3</v>
      </c>
      <c r="AF1238">
        <v>0</v>
      </c>
    </row>
    <row r="1239" spans="1:32" ht="15" x14ac:dyDescent="0.35">
      <c r="A1239" t="s">
        <v>3418</v>
      </c>
      <c r="B1239" s="1">
        <v>45541</v>
      </c>
      <c r="C1239">
        <f>YEAR(OrdersTable[[#This Row],[Order Date]])</f>
        <v>2024</v>
      </c>
      <c r="D1239" s="2">
        <f>DATE(YEAR(OrdersTable[[#This Row],[Order Date]]),MONTH(OrdersTable[[#This Row],[Order Date]]),1)</f>
        <v>45536</v>
      </c>
      <c r="E1239">
        <f>MONTH(OrdersTable[[#This Row],[Order Date]])</f>
        <v>9</v>
      </c>
      <c r="F1239" t="s">
        <v>3419</v>
      </c>
      <c r="G1239" t="str">
        <f>IF(OrdersTable[[#This Row],[Order Date]]=_xlfn.MINIFS(Order_Date, Customer_ID, OrdersTable[[#This Row],[Customer ID]]), "New", "Repeat")</f>
        <v>New</v>
      </c>
      <c r="H1239" t="s">
        <v>37</v>
      </c>
      <c r="I1239" t="str">
        <f>INDEX(State!B:B,MATCH(OrdersTable[[#This Row],[State]],State!A:A,0))</f>
        <v>GJ</v>
      </c>
      <c r="J1239" t="str">
        <f>INDEX(State!C:C,MATCH(OrdersTable[[#This Row],[State Code]],State!B:B,0))</f>
        <v>West</v>
      </c>
      <c r="K1239" t="s">
        <v>247</v>
      </c>
      <c r="L1239" t="s">
        <v>65</v>
      </c>
      <c r="M1239" t="s">
        <v>160</v>
      </c>
      <c r="N1239" t="str">
        <f>INDEX(Products!B:B,MATCH(OrdersTable[[#This Row],[Product ID]],Products!A:A,0))</f>
        <v>Niacinamide Toner</v>
      </c>
      <c r="O1239" t="str">
        <f>INDEX(Products!C:C,MATCH(OrdersTable[[#This Row],[Product ID]],Products!A:A,0))</f>
        <v>Skincare</v>
      </c>
      <c r="P1239">
        <v>1</v>
      </c>
      <c r="Q1239" s="5">
        <v>399</v>
      </c>
      <c r="R1239" s="74">
        <v>0.3</v>
      </c>
      <c r="S1239" s="75">
        <f>OrdersTable[[#This Row],[Quantity]]*OrdersTable[[#This Row],[Unit Price]]</f>
        <v>399</v>
      </c>
      <c r="T1239" s="5">
        <f>OrdersTable[[#This Row],[Gross Sale]]*OrdersTable[[#This Row],[Discount_Clean2]]</f>
        <v>119.69999999999999</v>
      </c>
      <c r="U1239" s="5">
        <f>OrdersTable[[#This Row],[Gross Sale]]-OrdersTable[[#This Row],[Discount Amount]]</f>
        <v>279.3</v>
      </c>
      <c r="V1239" s="77">
        <f>INDEX(Products!E:E,MATCH(OrdersTable[[#This Row],[Product ID]],Products!A:A,0))</f>
        <v>112</v>
      </c>
      <c r="W1239" s="77">
        <f>OrdersTable[[#This Row],[Quantity]]*OrdersTable[[#This Row],[Unit Cost]]</f>
        <v>112</v>
      </c>
      <c r="X1239" s="77">
        <f>'Dropdown Lists'!$I$2*(1+OrdersTable[[#This Row],[Returned]])</f>
        <v>120</v>
      </c>
      <c r="Y1239" s="76">
        <f>OrdersTable[[#This Row],[Net Revenue]]-OrdersTable[[#This Row],[COGS]]-OrdersTable[[#This Row],[Shipping Cost]]</f>
        <v>47.300000000000011</v>
      </c>
      <c r="Z1239" s="78">
        <f>IFERROR(OrdersTable[[#This Row],[Profit]]/OrdersTable[[#This Row],[Net Revenue]],0)</f>
        <v>0.16935195130683856</v>
      </c>
      <c r="AA1239" t="s">
        <v>2522</v>
      </c>
      <c r="AB1239" s="79">
        <v>45544</v>
      </c>
      <c r="AC1239">
        <f>OrdersTable[[#This Row],[Delivery Date]]-OrdersTable[[#This Row],[Order Date]]</f>
        <v>3</v>
      </c>
      <c r="AD1239" t="str">
        <f>IF(OrdersTable[[#This Row],[Delivery Days]]&lt;=2, "Express (≤2d)", IF(OrdersTable[[#This Row],[Delivery Days]]&lt;=4, "Standard (3-4d)", "Delayed (5d+)"))</f>
        <v>Standard (3-4d)</v>
      </c>
      <c r="AE1239">
        <v>4</v>
      </c>
      <c r="AF1239">
        <v>1</v>
      </c>
    </row>
    <row r="1240" spans="1:32" ht="15" x14ac:dyDescent="0.35">
      <c r="A1240" t="s">
        <v>6769</v>
      </c>
      <c r="B1240" s="1">
        <v>45541</v>
      </c>
      <c r="C1240">
        <f>YEAR(OrdersTable[[#This Row],[Order Date]])</f>
        <v>2024</v>
      </c>
      <c r="D1240" s="2">
        <f>DATE(YEAR(OrdersTable[[#This Row],[Order Date]]),MONTH(OrdersTable[[#This Row],[Order Date]]),1)</f>
        <v>45536</v>
      </c>
      <c r="E1240">
        <f>MONTH(OrdersTable[[#This Row],[Order Date]])</f>
        <v>9</v>
      </c>
      <c r="F1240" t="s">
        <v>86</v>
      </c>
      <c r="G1240" t="str">
        <f>IF(OrdersTable[[#This Row],[Order Date]]=_xlfn.MINIFS(Order_Date, Customer_ID, OrdersTable[[#This Row],[Customer ID]]), "New", "Repeat")</f>
        <v>Repeat</v>
      </c>
      <c r="H1240" t="s">
        <v>37</v>
      </c>
      <c r="I1240" t="str">
        <f>INDEX(State!B:B,MATCH(OrdersTable[[#This Row],[State]],State!A:A,0))</f>
        <v>GJ</v>
      </c>
      <c r="J1240" t="str">
        <f>INDEX(State!C:C,MATCH(OrdersTable[[#This Row],[State Code]],State!B:B,0))</f>
        <v>West</v>
      </c>
      <c r="K1240" t="s">
        <v>247</v>
      </c>
      <c r="L1240" t="s">
        <v>16</v>
      </c>
      <c r="M1240" t="s">
        <v>255</v>
      </c>
      <c r="N1240" t="str">
        <f>INDEX(Products!B:B,MATCH(OrdersTable[[#This Row],[Product ID]],Products!A:A,0))</f>
        <v>Cotton Oversized T-Shirt</v>
      </c>
      <c r="O1240" t="str">
        <f>INDEX(Products!C:C,MATCH(OrdersTable[[#This Row],[Product ID]],Products!A:A,0))</f>
        <v>Apparel</v>
      </c>
      <c r="P1240">
        <v>3</v>
      </c>
      <c r="Q1240" s="5">
        <v>799</v>
      </c>
      <c r="R1240" s="74">
        <v>0</v>
      </c>
      <c r="S1240" s="75">
        <f>OrdersTable[[#This Row],[Quantity]]*OrdersTable[[#This Row],[Unit Price]]</f>
        <v>2397</v>
      </c>
      <c r="T1240" s="5">
        <f>OrdersTable[[#This Row],[Gross Sale]]*OrdersTable[[#This Row],[Discount_Clean2]]</f>
        <v>0</v>
      </c>
      <c r="U1240" s="5">
        <f>OrdersTable[[#This Row],[Gross Sale]]-OrdersTable[[#This Row],[Discount Amount]]</f>
        <v>2397</v>
      </c>
      <c r="V1240" s="77">
        <f>INDEX(Products!E:E,MATCH(OrdersTable[[#This Row],[Product ID]],Products!A:A,0))</f>
        <v>320</v>
      </c>
      <c r="W1240" s="77">
        <f>OrdersTable[[#This Row],[Quantity]]*OrdersTable[[#This Row],[Unit Cost]]</f>
        <v>960</v>
      </c>
      <c r="X1240" s="77">
        <f>'Dropdown Lists'!$I$2*(1+OrdersTable[[#This Row],[Returned]])</f>
        <v>60</v>
      </c>
      <c r="Y1240" s="76">
        <f>OrdersTable[[#This Row],[Net Revenue]]-OrdersTable[[#This Row],[COGS]]-OrdersTable[[#This Row],[Shipping Cost]]</f>
        <v>1377</v>
      </c>
      <c r="Z1240" s="78">
        <f>IFERROR(OrdersTable[[#This Row],[Profit]]/OrdersTable[[#This Row],[Net Revenue]],0)</f>
        <v>0.57446808510638303</v>
      </c>
      <c r="AA1240" t="s">
        <v>3495</v>
      </c>
      <c r="AB1240" s="79">
        <v>45543</v>
      </c>
      <c r="AC1240">
        <f>OrdersTable[[#This Row],[Delivery Date]]-OrdersTable[[#This Row],[Order Date]]</f>
        <v>2</v>
      </c>
      <c r="AD1240" t="str">
        <f>IF(OrdersTable[[#This Row],[Delivery Days]]&lt;=2, "Express (≤2d)", IF(OrdersTable[[#This Row],[Delivery Days]]&lt;=4, "Standard (3-4d)", "Delayed (5d+)"))</f>
        <v>Express (≤2d)</v>
      </c>
      <c r="AF1240">
        <v>0</v>
      </c>
    </row>
    <row r="1241" spans="1:32" ht="15" x14ac:dyDescent="0.35">
      <c r="A1241" t="s">
        <v>7066</v>
      </c>
      <c r="B1241" s="1">
        <v>45541</v>
      </c>
      <c r="C1241">
        <f>YEAR(OrdersTable[[#This Row],[Order Date]])</f>
        <v>2024</v>
      </c>
      <c r="D1241" s="2">
        <f>DATE(YEAR(OrdersTable[[#This Row],[Order Date]]),MONTH(OrdersTable[[#This Row],[Order Date]]),1)</f>
        <v>45536</v>
      </c>
      <c r="E1241">
        <f>MONTH(OrdersTable[[#This Row],[Order Date]])</f>
        <v>9</v>
      </c>
      <c r="F1241" t="s">
        <v>2818</v>
      </c>
      <c r="G1241" t="str">
        <f>IF(OrdersTable[[#This Row],[Order Date]]=_xlfn.MINIFS(Order_Date, Customer_ID, OrdersTable[[#This Row],[Customer ID]]), "New", "Repeat")</f>
        <v>New</v>
      </c>
      <c r="H1241" t="s">
        <v>59</v>
      </c>
      <c r="I1241" t="str">
        <f>INDEX(State!B:B,MATCH(OrdersTable[[#This Row],[State]],State!A:A,0))</f>
        <v>TN</v>
      </c>
      <c r="J1241" t="str">
        <f>INDEX(State!C:C,MATCH(OrdersTable[[#This Row],[State Code]],State!B:B,0))</f>
        <v>South</v>
      </c>
      <c r="K1241" t="s">
        <v>60</v>
      </c>
      <c r="L1241" t="s">
        <v>65</v>
      </c>
      <c r="M1241" t="s">
        <v>152</v>
      </c>
      <c r="N1241" t="str">
        <f>INDEX(Products!B:B,MATCH(OrdersTable[[#This Row],[Product ID]],Products!A:A,0))</f>
        <v>Green Tea (100 bags)</v>
      </c>
      <c r="O1241" t="str">
        <f>INDEX(Products!C:C,MATCH(OrdersTable[[#This Row],[Product ID]],Products!A:A,0))</f>
        <v>Wellness</v>
      </c>
      <c r="P1241">
        <v>4</v>
      </c>
      <c r="Q1241" s="5">
        <v>399</v>
      </c>
      <c r="R1241" s="74">
        <v>0.35</v>
      </c>
      <c r="S1241" s="75">
        <f>OrdersTable[[#This Row],[Quantity]]*OrdersTable[[#This Row],[Unit Price]]</f>
        <v>1596</v>
      </c>
      <c r="T1241" s="5">
        <f>OrdersTable[[#This Row],[Gross Sale]]*OrdersTable[[#This Row],[Discount_Clean2]]</f>
        <v>558.59999999999991</v>
      </c>
      <c r="U1241" s="5">
        <f>OrdersTable[[#This Row],[Gross Sale]]-OrdersTable[[#This Row],[Discount Amount]]</f>
        <v>1037.4000000000001</v>
      </c>
      <c r="V1241" s="77">
        <f>INDEX(Products!E:E,MATCH(OrdersTable[[#This Row],[Product ID]],Products!A:A,0))</f>
        <v>128</v>
      </c>
      <c r="W1241" s="77">
        <f>OrdersTable[[#This Row],[Quantity]]*OrdersTable[[#This Row],[Unit Cost]]</f>
        <v>512</v>
      </c>
      <c r="X1241" s="77">
        <f>'Dropdown Lists'!$I$2*(1+OrdersTable[[#This Row],[Returned]])</f>
        <v>60</v>
      </c>
      <c r="Y1241" s="76">
        <f>OrdersTable[[#This Row],[Net Revenue]]-OrdersTable[[#This Row],[COGS]]-OrdersTable[[#This Row],[Shipping Cost]]</f>
        <v>465.40000000000009</v>
      </c>
      <c r="Z1241" s="78">
        <f>IFERROR(OrdersTable[[#This Row],[Profit]]/OrdersTable[[#This Row],[Net Revenue]],0)</f>
        <v>0.44862155388471181</v>
      </c>
      <c r="AA1241" t="s">
        <v>18</v>
      </c>
      <c r="AB1241" s="79">
        <v>45542</v>
      </c>
      <c r="AC1241">
        <f>OrdersTable[[#This Row],[Delivery Date]]-OrdersTable[[#This Row],[Order Date]]</f>
        <v>1</v>
      </c>
      <c r="AD1241" t="str">
        <f>IF(OrdersTable[[#This Row],[Delivery Days]]&lt;=2, "Express (≤2d)", IF(OrdersTable[[#This Row],[Delivery Days]]&lt;=4, "Standard (3-4d)", "Delayed (5d+)"))</f>
        <v>Express (≤2d)</v>
      </c>
      <c r="AE1241">
        <v>4</v>
      </c>
      <c r="AF1241">
        <v>0</v>
      </c>
    </row>
    <row r="1242" spans="1:32" ht="15" x14ac:dyDescent="0.35">
      <c r="A1242" t="s">
        <v>4674</v>
      </c>
      <c r="B1242" s="1">
        <v>45542</v>
      </c>
      <c r="C1242">
        <f>YEAR(OrdersTable[[#This Row],[Order Date]])</f>
        <v>2024</v>
      </c>
      <c r="D1242" s="2">
        <f>DATE(YEAR(OrdersTable[[#This Row],[Order Date]]),MONTH(OrdersTable[[#This Row],[Order Date]]),1)</f>
        <v>45536</v>
      </c>
      <c r="E1242">
        <f>MONTH(OrdersTable[[#This Row],[Order Date]])</f>
        <v>9</v>
      </c>
      <c r="F1242" t="s">
        <v>270</v>
      </c>
      <c r="G1242" t="str">
        <f>IF(OrdersTable[[#This Row],[Order Date]]=_xlfn.MINIFS(Order_Date, Customer_ID, OrdersTable[[#This Row],[Customer ID]]), "New", "Repeat")</f>
        <v>New</v>
      </c>
      <c r="H1242" t="s">
        <v>76</v>
      </c>
      <c r="I1242" t="str">
        <f>INDEX(State!B:B,MATCH(OrdersTable[[#This Row],[State]],State!A:A,0))</f>
        <v>UP</v>
      </c>
      <c r="J1242" t="str">
        <f>INDEX(State!C:C,MATCH(OrdersTable[[#This Row],[State Code]],State!B:B,0))</f>
        <v>North</v>
      </c>
      <c r="K1242" t="s">
        <v>77</v>
      </c>
      <c r="L1242" t="s">
        <v>23</v>
      </c>
      <c r="M1242" t="s">
        <v>125</v>
      </c>
      <c r="N1242" t="str">
        <f>INDEX(Products!B:B,MATCH(OrdersTable[[#This Row],[Product ID]],Products!A:A,0))</f>
        <v>Copper Water Bottle</v>
      </c>
      <c r="O1242" t="str">
        <f>INDEX(Products!C:C,MATCH(OrdersTable[[#This Row],[Product ID]],Products!A:A,0))</f>
        <v>Home &amp; Kitchen</v>
      </c>
      <c r="P1242">
        <v>1</v>
      </c>
      <c r="Q1242" s="5">
        <v>899</v>
      </c>
      <c r="R1242" s="74">
        <v>0.1</v>
      </c>
      <c r="S1242" s="75">
        <f>OrdersTable[[#This Row],[Quantity]]*OrdersTable[[#This Row],[Unit Price]]</f>
        <v>899</v>
      </c>
      <c r="T1242" s="5">
        <f>OrdersTable[[#This Row],[Gross Sale]]*OrdersTable[[#This Row],[Discount_Clean2]]</f>
        <v>89.9</v>
      </c>
      <c r="U1242" s="5">
        <f>OrdersTable[[#This Row],[Gross Sale]]-OrdersTable[[#This Row],[Discount Amount]]</f>
        <v>809.1</v>
      </c>
      <c r="V1242" s="77">
        <f>INDEX(Products!E:E,MATCH(OrdersTable[[#This Row],[Product ID]],Products!A:A,0))</f>
        <v>378</v>
      </c>
      <c r="W1242" s="77">
        <f>OrdersTable[[#This Row],[Quantity]]*OrdersTable[[#This Row],[Unit Cost]]</f>
        <v>378</v>
      </c>
      <c r="X1242" s="77">
        <f>'Dropdown Lists'!$I$2*(1+OrdersTable[[#This Row],[Returned]])</f>
        <v>60</v>
      </c>
      <c r="Y1242" s="76">
        <f>OrdersTable[[#This Row],[Net Revenue]]-OrdersTable[[#This Row],[COGS]]-OrdersTable[[#This Row],[Shipping Cost]]</f>
        <v>371.1</v>
      </c>
      <c r="Z1242" s="78">
        <f>IFERROR(OrdersTable[[#This Row],[Profit]]/OrdersTable[[#This Row],[Net Revenue]],0)</f>
        <v>0.45865776789024842</v>
      </c>
      <c r="AA1242" t="s">
        <v>4450</v>
      </c>
      <c r="AB1242" s="79">
        <v>45547</v>
      </c>
      <c r="AC1242">
        <f>OrdersTable[[#This Row],[Delivery Date]]-OrdersTable[[#This Row],[Order Date]]</f>
        <v>5</v>
      </c>
      <c r="AD1242" t="str">
        <f>IF(OrdersTable[[#This Row],[Delivery Days]]&lt;=2, "Express (≤2d)", IF(OrdersTable[[#This Row],[Delivery Days]]&lt;=4, "Standard (3-4d)", "Delayed (5d+)"))</f>
        <v>Delayed (5d+)</v>
      </c>
      <c r="AE1242">
        <v>5</v>
      </c>
      <c r="AF1242">
        <v>0</v>
      </c>
    </row>
    <row r="1243" spans="1:32" ht="15" x14ac:dyDescent="0.35">
      <c r="A1243" t="s">
        <v>2725</v>
      </c>
      <c r="B1243" s="1">
        <v>45542</v>
      </c>
      <c r="C1243">
        <f>YEAR(OrdersTable[[#This Row],[Order Date]])</f>
        <v>2024</v>
      </c>
      <c r="D1243" s="2">
        <f>DATE(YEAR(OrdersTable[[#This Row],[Order Date]]),MONTH(OrdersTable[[#This Row],[Order Date]]),1)</f>
        <v>45536</v>
      </c>
      <c r="E1243">
        <f>MONTH(OrdersTable[[#This Row],[Order Date]])</f>
        <v>9</v>
      </c>
      <c r="F1243" t="s">
        <v>2726</v>
      </c>
      <c r="G1243" t="str">
        <f>IF(OrdersTable[[#This Row],[Order Date]]=_xlfn.MINIFS(Order_Date, Customer_ID, OrdersTable[[#This Row],[Customer ID]]), "New", "Repeat")</f>
        <v>New</v>
      </c>
      <c r="H1243" t="s">
        <v>76</v>
      </c>
      <c r="I1243" t="str">
        <f>INDEX(State!B:B,MATCH(OrdersTable[[#This Row],[State]],State!A:A,0))</f>
        <v>UP</v>
      </c>
      <c r="J1243" t="str">
        <f>INDEX(State!C:C,MATCH(OrdersTable[[#This Row],[State Code]],State!B:B,0))</f>
        <v>North</v>
      </c>
      <c r="K1243" t="s">
        <v>105</v>
      </c>
      <c r="L1243" t="s">
        <v>16</v>
      </c>
      <c r="M1243" t="s">
        <v>34</v>
      </c>
      <c r="N1243" t="str">
        <f>INDEX(Products!B:B,MATCH(OrdersTable[[#This Row],[Product ID]],Products!A:A,0))</f>
        <v>Flip Flops</v>
      </c>
      <c r="O1243" t="str">
        <f>INDEX(Products!C:C,MATCH(OrdersTable[[#This Row],[Product ID]],Products!A:A,0))</f>
        <v>Footwear</v>
      </c>
      <c r="P1243">
        <v>1</v>
      </c>
      <c r="Q1243" s="5">
        <v>399</v>
      </c>
      <c r="R1243" s="74">
        <v>0.15</v>
      </c>
      <c r="S1243" s="75">
        <f>OrdersTable[[#This Row],[Quantity]]*OrdersTable[[#This Row],[Unit Price]]</f>
        <v>399</v>
      </c>
      <c r="T1243" s="5">
        <f>OrdersTable[[#This Row],[Gross Sale]]*OrdersTable[[#This Row],[Discount_Clean2]]</f>
        <v>59.849999999999994</v>
      </c>
      <c r="U1243" s="5">
        <f>OrdersTable[[#This Row],[Gross Sale]]-OrdersTable[[#This Row],[Discount Amount]]</f>
        <v>339.15</v>
      </c>
      <c r="V1243" s="77">
        <f>INDEX(Products!E:E,MATCH(OrdersTable[[#This Row],[Product ID]],Products!A:A,0))</f>
        <v>152</v>
      </c>
      <c r="W1243" s="77">
        <f>OrdersTable[[#This Row],[Quantity]]*OrdersTable[[#This Row],[Unit Cost]]</f>
        <v>152</v>
      </c>
      <c r="X1243" s="77">
        <f>'Dropdown Lists'!$I$2*(1+OrdersTable[[#This Row],[Returned]])</f>
        <v>60</v>
      </c>
      <c r="Y1243" s="76">
        <f>OrdersTable[[#This Row],[Net Revenue]]-OrdersTable[[#This Row],[COGS]]-OrdersTable[[#This Row],[Shipping Cost]]</f>
        <v>127.14999999999998</v>
      </c>
      <c r="Z1243" s="78">
        <f>IFERROR(OrdersTable[[#This Row],[Profit]]/OrdersTable[[#This Row],[Net Revenue]],0)</f>
        <v>0.37490785787999409</v>
      </c>
      <c r="AA1243" t="s">
        <v>2522</v>
      </c>
      <c r="AB1243" s="79">
        <v>45545</v>
      </c>
      <c r="AC1243">
        <f>OrdersTable[[#This Row],[Delivery Date]]-OrdersTable[[#This Row],[Order Date]]</f>
        <v>3</v>
      </c>
      <c r="AD1243" t="str">
        <f>IF(OrdersTable[[#This Row],[Delivery Days]]&lt;=2, "Express (≤2d)", IF(OrdersTable[[#This Row],[Delivery Days]]&lt;=4, "Standard (3-4d)", "Delayed (5d+)"))</f>
        <v>Standard (3-4d)</v>
      </c>
      <c r="AE1243">
        <v>3</v>
      </c>
      <c r="AF1243">
        <v>0</v>
      </c>
    </row>
    <row r="1244" spans="1:32" ht="15" x14ac:dyDescent="0.35">
      <c r="A1244" t="s">
        <v>6770</v>
      </c>
      <c r="B1244" s="1">
        <v>45542</v>
      </c>
      <c r="C1244">
        <f>YEAR(OrdersTable[[#This Row],[Order Date]])</f>
        <v>2024</v>
      </c>
      <c r="D1244" s="2">
        <f>DATE(YEAR(OrdersTable[[#This Row],[Order Date]]),MONTH(OrdersTable[[#This Row],[Order Date]]),1)</f>
        <v>45536</v>
      </c>
      <c r="E1244">
        <f>MONTH(OrdersTable[[#This Row],[Order Date]])</f>
        <v>9</v>
      </c>
      <c r="F1244" t="s">
        <v>560</v>
      </c>
      <c r="G1244" t="str">
        <f>IF(OrdersTable[[#This Row],[Order Date]]=_xlfn.MINIFS(Order_Date, Customer_ID, OrdersTable[[#This Row],[Customer ID]]), "New", "Repeat")</f>
        <v>New</v>
      </c>
      <c r="H1244" t="s">
        <v>71</v>
      </c>
      <c r="I1244" t="str">
        <f>INDEX(State!B:B,MATCH(OrdersTable[[#This Row],[State]],State!A:A,0))</f>
        <v>MH</v>
      </c>
      <c r="J1244" t="str">
        <f>INDEX(State!C:C,MATCH(OrdersTable[[#This Row],[State Code]],State!B:B,0))</f>
        <v>West</v>
      </c>
      <c r="K1244" t="s">
        <v>102</v>
      </c>
      <c r="L1244" t="s">
        <v>65</v>
      </c>
      <c r="M1244" t="s">
        <v>51</v>
      </c>
      <c r="N1244" t="str">
        <f>INDEX(Products!B:B,MATCH(OrdersTable[[#This Row],[Product ID]],Products!A:A,0))</f>
        <v>Anti-Dandruff Conditioner</v>
      </c>
      <c r="O1244" t="str">
        <f>INDEX(Products!C:C,MATCH(OrdersTable[[#This Row],[Product ID]],Products!A:A,0))</f>
        <v>Haircare</v>
      </c>
      <c r="P1244">
        <v>3</v>
      </c>
      <c r="Q1244" s="5">
        <v>399</v>
      </c>
      <c r="R1244" s="74">
        <v>0.3</v>
      </c>
      <c r="S1244" s="75">
        <f>OrdersTable[[#This Row],[Quantity]]*OrdersTable[[#This Row],[Unit Price]]</f>
        <v>1197</v>
      </c>
      <c r="T1244" s="5">
        <f>OrdersTable[[#This Row],[Gross Sale]]*OrdersTable[[#This Row],[Discount_Clean2]]</f>
        <v>359.09999999999997</v>
      </c>
      <c r="U1244" s="5">
        <f>OrdersTable[[#This Row],[Gross Sale]]-OrdersTable[[#This Row],[Discount Amount]]</f>
        <v>837.90000000000009</v>
      </c>
      <c r="V1244" s="77">
        <f>INDEX(Products!E:E,MATCH(OrdersTable[[#This Row],[Product ID]],Products!A:A,0))</f>
        <v>136</v>
      </c>
      <c r="W1244" s="77">
        <f>OrdersTable[[#This Row],[Quantity]]*OrdersTable[[#This Row],[Unit Cost]]</f>
        <v>408</v>
      </c>
      <c r="X1244" s="77">
        <f>'Dropdown Lists'!$I$2*(1+OrdersTable[[#This Row],[Returned]])</f>
        <v>60</v>
      </c>
      <c r="Y1244" s="76">
        <f>OrdersTable[[#This Row],[Net Revenue]]-OrdersTable[[#This Row],[COGS]]-OrdersTable[[#This Row],[Shipping Cost]]</f>
        <v>369.90000000000009</v>
      </c>
      <c r="Z1244" s="78">
        <f>IFERROR(OrdersTable[[#This Row],[Profit]]/OrdersTable[[#This Row],[Net Revenue]],0)</f>
        <v>0.44146079484425355</v>
      </c>
      <c r="AA1244" t="s">
        <v>3495</v>
      </c>
      <c r="AB1244" s="79">
        <v>45546</v>
      </c>
      <c r="AC1244">
        <f>OrdersTable[[#This Row],[Delivery Date]]-OrdersTable[[#This Row],[Order Date]]</f>
        <v>4</v>
      </c>
      <c r="AD1244" t="str">
        <f>IF(OrdersTable[[#This Row],[Delivery Days]]&lt;=2, "Express (≤2d)", IF(OrdersTable[[#This Row],[Delivery Days]]&lt;=4, "Standard (3-4d)", "Delayed (5d+)"))</f>
        <v>Standard (3-4d)</v>
      </c>
      <c r="AF1244">
        <v>0</v>
      </c>
    </row>
    <row r="1245" spans="1:32" ht="15" x14ac:dyDescent="0.35">
      <c r="A1245" t="s">
        <v>177</v>
      </c>
      <c r="B1245" s="1">
        <v>45542</v>
      </c>
      <c r="C1245">
        <f>YEAR(OrdersTable[[#This Row],[Order Date]])</f>
        <v>2024</v>
      </c>
      <c r="D1245" s="2">
        <f>DATE(YEAR(OrdersTable[[#This Row],[Order Date]]),MONTH(OrdersTable[[#This Row],[Order Date]]),1)</f>
        <v>45536</v>
      </c>
      <c r="E1245">
        <f>MONTH(OrdersTable[[#This Row],[Order Date]])</f>
        <v>9</v>
      </c>
      <c r="F1245" t="s">
        <v>178</v>
      </c>
      <c r="G1245" t="str">
        <f>IF(OrdersTable[[#This Row],[Order Date]]=_xlfn.MINIFS(Order_Date, Customer_ID, OrdersTable[[#This Row],[Customer ID]]), "New", "Repeat")</f>
        <v>New</v>
      </c>
      <c r="H1245" t="s">
        <v>167</v>
      </c>
      <c r="I1245" t="str">
        <f>INDEX(State!B:B,MATCH(OrdersTable[[#This Row],[State]],State!A:A,0))</f>
        <v>KA</v>
      </c>
      <c r="J1245" t="str">
        <f>INDEX(State!C:C,MATCH(OrdersTable[[#This Row],[State Code]],State!B:B,0))</f>
        <v>South</v>
      </c>
      <c r="K1245" t="s">
        <v>168</v>
      </c>
      <c r="L1245" t="s">
        <v>65</v>
      </c>
      <c r="M1245" t="s">
        <v>179</v>
      </c>
      <c r="N1245" t="str">
        <f>INDEX(Products!B:B,MATCH(OrdersTable[[#This Row],[Product ID]],Products!A:A,0))</f>
        <v>Whey Protein 1kg</v>
      </c>
      <c r="O1245" t="str">
        <f>INDEX(Products!C:C,MATCH(OrdersTable[[#This Row],[Product ID]],Products!A:A,0))</f>
        <v>Wellness</v>
      </c>
      <c r="P1245">
        <v>1</v>
      </c>
      <c r="Q1245" s="5">
        <v>2299</v>
      </c>
      <c r="R1245" s="74">
        <v>0.3</v>
      </c>
      <c r="S1245" s="75">
        <f>OrdersTable[[#This Row],[Quantity]]*OrdersTable[[#This Row],[Unit Price]]</f>
        <v>2299</v>
      </c>
      <c r="T1245" s="5">
        <f>OrdersTable[[#This Row],[Gross Sale]]*OrdersTable[[#This Row],[Discount_Clean2]]</f>
        <v>689.69999999999993</v>
      </c>
      <c r="U1245" s="5">
        <f>OrdersTable[[#This Row],[Gross Sale]]-OrdersTable[[#This Row],[Discount Amount]]</f>
        <v>1609.3000000000002</v>
      </c>
      <c r="V1245" s="77">
        <f>INDEX(Products!E:E,MATCH(OrdersTable[[#This Row],[Product ID]],Products!A:A,0))</f>
        <v>1333</v>
      </c>
      <c r="W1245" s="77">
        <f>OrdersTable[[#This Row],[Quantity]]*OrdersTable[[#This Row],[Unit Cost]]</f>
        <v>1333</v>
      </c>
      <c r="X1245" s="77">
        <f>'Dropdown Lists'!$I$2*(1+OrdersTable[[#This Row],[Returned]])</f>
        <v>60</v>
      </c>
      <c r="Y1245" s="76">
        <f>OrdersTable[[#This Row],[Net Revenue]]-OrdersTable[[#This Row],[COGS]]-OrdersTable[[#This Row],[Shipping Cost]]</f>
        <v>216.30000000000018</v>
      </c>
      <c r="Z1245" s="78">
        <f>IFERROR(OrdersTable[[#This Row],[Profit]]/OrdersTable[[#This Row],[Net Revenue]],0)</f>
        <v>0.13440626359286656</v>
      </c>
      <c r="AA1245" t="s">
        <v>18</v>
      </c>
      <c r="AB1245" s="79">
        <v>45545</v>
      </c>
      <c r="AC1245">
        <f>OrdersTable[[#This Row],[Delivery Date]]-OrdersTable[[#This Row],[Order Date]]</f>
        <v>3</v>
      </c>
      <c r="AD1245" t="str">
        <f>IF(OrdersTable[[#This Row],[Delivery Days]]&lt;=2, "Express (≤2d)", IF(OrdersTable[[#This Row],[Delivery Days]]&lt;=4, "Standard (3-4d)", "Delayed (5d+)"))</f>
        <v>Standard (3-4d)</v>
      </c>
      <c r="AE1245">
        <v>4</v>
      </c>
      <c r="AF1245">
        <v>0</v>
      </c>
    </row>
    <row r="1246" spans="1:32" ht="15" x14ac:dyDescent="0.35">
      <c r="A1246" t="s">
        <v>1894</v>
      </c>
      <c r="B1246" s="1">
        <v>45542</v>
      </c>
      <c r="C1246">
        <f>YEAR(OrdersTable[[#This Row],[Order Date]])</f>
        <v>2024</v>
      </c>
      <c r="D1246" s="2">
        <f>DATE(YEAR(OrdersTable[[#This Row],[Order Date]]),MONTH(OrdersTable[[#This Row],[Order Date]]),1)</f>
        <v>45536</v>
      </c>
      <c r="E1246">
        <f>MONTH(OrdersTable[[#This Row],[Order Date]])</f>
        <v>9</v>
      </c>
      <c r="F1246" t="s">
        <v>475</v>
      </c>
      <c r="G1246" t="str">
        <f>IF(OrdersTable[[#This Row],[Order Date]]=_xlfn.MINIFS(Order_Date, Customer_ID, OrdersTable[[#This Row],[Customer ID]]), "New", "Repeat")</f>
        <v>Repeat</v>
      </c>
      <c r="H1246" t="s">
        <v>59</v>
      </c>
      <c r="I1246" t="str">
        <f>INDEX(State!B:B,MATCH(OrdersTable[[#This Row],[State]],State!A:A,0))</f>
        <v>TN</v>
      </c>
      <c r="J1246" t="str">
        <f>INDEX(State!C:C,MATCH(OrdersTable[[#This Row],[State Code]],State!B:B,0))</f>
        <v>South</v>
      </c>
      <c r="K1246" t="s">
        <v>64</v>
      </c>
      <c r="L1246" t="s">
        <v>65</v>
      </c>
      <c r="M1246" t="s">
        <v>34</v>
      </c>
      <c r="N1246" t="str">
        <f>INDEX(Products!B:B,MATCH(OrdersTable[[#This Row],[Product ID]],Products!A:A,0))</f>
        <v>Flip Flops</v>
      </c>
      <c r="O1246" t="str">
        <f>INDEX(Products!C:C,MATCH(OrdersTable[[#This Row],[Product ID]],Products!A:A,0))</f>
        <v>Footwear</v>
      </c>
      <c r="P1246">
        <v>1</v>
      </c>
      <c r="Q1246" s="5">
        <v>399</v>
      </c>
      <c r="R1246" s="74">
        <v>0.2</v>
      </c>
      <c r="S1246" s="75">
        <f>OrdersTable[[#This Row],[Quantity]]*OrdersTable[[#This Row],[Unit Price]]</f>
        <v>399</v>
      </c>
      <c r="T1246" s="5">
        <f>OrdersTable[[#This Row],[Gross Sale]]*OrdersTable[[#This Row],[Discount_Clean2]]</f>
        <v>79.800000000000011</v>
      </c>
      <c r="U1246" s="5">
        <f>OrdersTable[[#This Row],[Gross Sale]]-OrdersTable[[#This Row],[Discount Amount]]</f>
        <v>319.2</v>
      </c>
      <c r="V1246" s="77">
        <f>INDEX(Products!E:E,MATCH(OrdersTable[[#This Row],[Product ID]],Products!A:A,0))</f>
        <v>152</v>
      </c>
      <c r="W1246" s="77">
        <f>OrdersTable[[#This Row],[Quantity]]*OrdersTable[[#This Row],[Unit Cost]]</f>
        <v>152</v>
      </c>
      <c r="X1246" s="77">
        <f>'Dropdown Lists'!$I$2*(1+OrdersTable[[#This Row],[Returned]])</f>
        <v>60</v>
      </c>
      <c r="Y1246" s="76">
        <f>OrdersTable[[#This Row],[Net Revenue]]-OrdersTable[[#This Row],[COGS]]-OrdersTable[[#This Row],[Shipping Cost]]</f>
        <v>107.19999999999999</v>
      </c>
      <c r="Z1246" s="78">
        <f>IFERROR(OrdersTable[[#This Row],[Profit]]/OrdersTable[[#This Row],[Net Revenue]],0)</f>
        <v>0.33583959899749372</v>
      </c>
      <c r="AA1246" t="s">
        <v>18</v>
      </c>
      <c r="AB1246" s="79">
        <v>45545</v>
      </c>
      <c r="AC1246">
        <f>OrdersTable[[#This Row],[Delivery Date]]-OrdersTable[[#This Row],[Order Date]]</f>
        <v>3</v>
      </c>
      <c r="AD1246" t="str">
        <f>IF(OrdersTable[[#This Row],[Delivery Days]]&lt;=2, "Express (≤2d)", IF(OrdersTable[[#This Row],[Delivery Days]]&lt;=4, "Standard (3-4d)", "Delayed (5d+)"))</f>
        <v>Standard (3-4d)</v>
      </c>
      <c r="AE1246">
        <v>3</v>
      </c>
      <c r="AF1246">
        <v>0</v>
      </c>
    </row>
    <row r="1247" spans="1:32" ht="15" x14ac:dyDescent="0.35">
      <c r="A1247" t="s">
        <v>3203</v>
      </c>
      <c r="B1247" s="1">
        <v>45542</v>
      </c>
      <c r="C1247">
        <f>YEAR(OrdersTable[[#This Row],[Order Date]])</f>
        <v>2024</v>
      </c>
      <c r="D1247" s="2">
        <f>DATE(YEAR(OrdersTable[[#This Row],[Order Date]]),MONTH(OrdersTable[[#This Row],[Order Date]]),1)</f>
        <v>45536</v>
      </c>
      <c r="E1247">
        <f>MONTH(OrdersTable[[#This Row],[Order Date]])</f>
        <v>9</v>
      </c>
      <c r="F1247" t="s">
        <v>3204</v>
      </c>
      <c r="G1247" t="str">
        <f>IF(OrdersTable[[#This Row],[Order Date]]=_xlfn.MINIFS(Order_Date, Customer_ID, OrdersTable[[#This Row],[Customer ID]]), "New", "Repeat")</f>
        <v>New</v>
      </c>
      <c r="H1247" t="s">
        <v>59</v>
      </c>
      <c r="I1247" t="str">
        <f>INDEX(State!B:B,MATCH(OrdersTable[[#This Row],[State]],State!A:A,0))</f>
        <v>TN</v>
      </c>
      <c r="J1247" t="str">
        <f>INDEX(State!C:C,MATCH(OrdersTable[[#This Row],[State Code]],State!B:B,0))</f>
        <v>South</v>
      </c>
      <c r="K1247" t="s">
        <v>64</v>
      </c>
      <c r="L1247" t="s">
        <v>16</v>
      </c>
      <c r="M1247" t="s">
        <v>176</v>
      </c>
      <c r="N1247" t="str">
        <f>INDEX(Products!B:B,MATCH(OrdersTable[[#This Row],[Product ID]],Products!A:A,0))</f>
        <v>Denim Jacket</v>
      </c>
      <c r="O1247" t="str">
        <f>INDEX(Products!C:C,MATCH(OrdersTable[[#This Row],[Product ID]],Products!A:A,0))</f>
        <v>Apparel</v>
      </c>
      <c r="P1247">
        <v>1</v>
      </c>
      <c r="Q1247" s="5">
        <v>2499</v>
      </c>
      <c r="R1247" s="74">
        <v>0</v>
      </c>
      <c r="S1247" s="75">
        <f>OrdersTable[[#This Row],[Quantity]]*OrdersTable[[#This Row],[Unit Price]]</f>
        <v>2499</v>
      </c>
      <c r="T1247" s="5">
        <f>OrdersTable[[#This Row],[Gross Sale]]*OrdersTable[[#This Row],[Discount_Clean2]]</f>
        <v>0</v>
      </c>
      <c r="U1247" s="5">
        <f>OrdersTable[[#This Row],[Gross Sale]]-OrdersTable[[#This Row],[Discount Amount]]</f>
        <v>2499</v>
      </c>
      <c r="V1247" s="77">
        <f>INDEX(Products!E:E,MATCH(OrdersTable[[#This Row],[Product ID]],Products!A:A,0))</f>
        <v>1125</v>
      </c>
      <c r="W1247" s="77">
        <f>OrdersTable[[#This Row],[Quantity]]*OrdersTable[[#This Row],[Unit Cost]]</f>
        <v>1125</v>
      </c>
      <c r="X1247" s="77">
        <f>'Dropdown Lists'!$I$2*(1+OrdersTable[[#This Row],[Returned]])</f>
        <v>60</v>
      </c>
      <c r="Y1247" s="76">
        <f>OrdersTable[[#This Row],[Net Revenue]]-OrdersTable[[#This Row],[COGS]]-OrdersTable[[#This Row],[Shipping Cost]]</f>
        <v>1314</v>
      </c>
      <c r="Z1247" s="78">
        <f>IFERROR(OrdersTable[[#This Row],[Profit]]/OrdersTable[[#This Row],[Net Revenue]],0)</f>
        <v>0.5258103241296519</v>
      </c>
      <c r="AA1247" t="s">
        <v>2522</v>
      </c>
      <c r="AB1247" s="79">
        <v>45545</v>
      </c>
      <c r="AC1247">
        <f>OrdersTable[[#This Row],[Delivery Date]]-OrdersTable[[#This Row],[Order Date]]</f>
        <v>3</v>
      </c>
      <c r="AD1247" t="str">
        <f>IF(OrdersTable[[#This Row],[Delivery Days]]&lt;=2, "Express (≤2d)", IF(OrdersTable[[#This Row],[Delivery Days]]&lt;=4, "Standard (3-4d)", "Delayed (5d+)"))</f>
        <v>Standard (3-4d)</v>
      </c>
      <c r="AE1247">
        <v>4</v>
      </c>
      <c r="AF1247">
        <v>0</v>
      </c>
    </row>
    <row r="1248" spans="1:32" ht="15" x14ac:dyDescent="0.35">
      <c r="A1248" t="s">
        <v>1498</v>
      </c>
      <c r="B1248" s="1">
        <v>45543</v>
      </c>
      <c r="C1248">
        <f>YEAR(OrdersTable[[#This Row],[Order Date]])</f>
        <v>2024</v>
      </c>
      <c r="D1248" s="2">
        <f>DATE(YEAR(OrdersTable[[#This Row],[Order Date]]),MONTH(OrdersTable[[#This Row],[Order Date]]),1)</f>
        <v>45536</v>
      </c>
      <c r="E1248">
        <f>MONTH(OrdersTable[[#This Row],[Order Date]])</f>
        <v>9</v>
      </c>
      <c r="F1248" t="s">
        <v>1499</v>
      </c>
      <c r="G1248" t="str">
        <f>IF(OrdersTable[[#This Row],[Order Date]]=_xlfn.MINIFS(Order_Date, Customer_ID, OrdersTable[[#This Row],[Customer ID]]), "New", "Repeat")</f>
        <v>Repeat</v>
      </c>
      <c r="H1248" t="s">
        <v>76</v>
      </c>
      <c r="I1248" t="str">
        <f>INDEX(State!B:B,MATCH(OrdersTable[[#This Row],[State]],State!A:A,0))</f>
        <v>UP</v>
      </c>
      <c r="J1248" t="str">
        <f>INDEX(State!C:C,MATCH(OrdersTable[[#This Row],[State Code]],State!B:B,0))</f>
        <v>North</v>
      </c>
      <c r="K1248" t="s">
        <v>118</v>
      </c>
      <c r="L1248" t="s">
        <v>39</v>
      </c>
      <c r="M1248" t="s">
        <v>160</v>
      </c>
      <c r="N1248" t="str">
        <f>INDEX(Products!B:B,MATCH(OrdersTable[[#This Row],[Product ID]],Products!A:A,0))</f>
        <v>Niacinamide Toner</v>
      </c>
      <c r="O1248" t="str">
        <f>INDEX(Products!C:C,MATCH(OrdersTable[[#This Row],[Product ID]],Products!A:A,0))</f>
        <v>Skincare</v>
      </c>
      <c r="P1248">
        <v>1</v>
      </c>
      <c r="Q1248" s="5">
        <v>399</v>
      </c>
      <c r="R1248" s="74">
        <v>0.1</v>
      </c>
      <c r="S1248" s="75">
        <f>OrdersTable[[#This Row],[Quantity]]*OrdersTable[[#This Row],[Unit Price]]</f>
        <v>399</v>
      </c>
      <c r="T1248" s="5">
        <f>OrdersTable[[#This Row],[Gross Sale]]*OrdersTable[[#This Row],[Discount_Clean2]]</f>
        <v>39.900000000000006</v>
      </c>
      <c r="U1248" s="5">
        <f>OrdersTable[[#This Row],[Gross Sale]]-OrdersTable[[#This Row],[Discount Amount]]</f>
        <v>359.1</v>
      </c>
      <c r="V1248" s="77">
        <f>INDEX(Products!E:E,MATCH(OrdersTable[[#This Row],[Product ID]],Products!A:A,0))</f>
        <v>112</v>
      </c>
      <c r="W1248" s="77">
        <f>OrdersTable[[#This Row],[Quantity]]*OrdersTable[[#This Row],[Unit Cost]]</f>
        <v>112</v>
      </c>
      <c r="X1248" s="77">
        <f>'Dropdown Lists'!$I$2*(1+OrdersTable[[#This Row],[Returned]])</f>
        <v>60</v>
      </c>
      <c r="Y1248" s="76">
        <f>OrdersTable[[#This Row],[Net Revenue]]-OrdersTable[[#This Row],[COGS]]-OrdersTable[[#This Row],[Shipping Cost]]</f>
        <v>187.10000000000002</v>
      </c>
      <c r="Z1248" s="78">
        <f>IFERROR(OrdersTable[[#This Row],[Profit]]/OrdersTable[[#This Row],[Net Revenue]],0)</f>
        <v>0.52102478418267895</v>
      </c>
      <c r="AA1248" t="s">
        <v>18</v>
      </c>
      <c r="AB1248" s="79">
        <v>45550</v>
      </c>
      <c r="AC1248">
        <f>OrdersTable[[#This Row],[Delivery Date]]-OrdersTable[[#This Row],[Order Date]]</f>
        <v>7</v>
      </c>
      <c r="AD1248" t="str">
        <f>IF(OrdersTable[[#This Row],[Delivery Days]]&lt;=2, "Express (≤2d)", IF(OrdersTable[[#This Row],[Delivery Days]]&lt;=4, "Standard (3-4d)", "Delayed (5d+)"))</f>
        <v>Delayed (5d+)</v>
      </c>
      <c r="AF1248">
        <v>0</v>
      </c>
    </row>
    <row r="1249" spans="1:32" ht="15" x14ac:dyDescent="0.35">
      <c r="A1249" t="s">
        <v>2570</v>
      </c>
      <c r="B1249" s="1">
        <v>45543</v>
      </c>
      <c r="C1249">
        <f>YEAR(OrdersTable[[#This Row],[Order Date]])</f>
        <v>2024</v>
      </c>
      <c r="D1249" s="2">
        <f>DATE(YEAR(OrdersTable[[#This Row],[Order Date]]),MONTH(OrdersTable[[#This Row],[Order Date]]),1)</f>
        <v>45536</v>
      </c>
      <c r="E1249">
        <f>MONTH(OrdersTable[[#This Row],[Order Date]])</f>
        <v>9</v>
      </c>
      <c r="F1249" t="s">
        <v>2571</v>
      </c>
      <c r="G1249" t="str">
        <f>IF(OrdersTable[[#This Row],[Order Date]]=_xlfn.MINIFS(Order_Date, Customer_ID, OrdersTable[[#This Row],[Customer ID]]), "New", "Repeat")</f>
        <v>Repeat</v>
      </c>
      <c r="H1249" t="s">
        <v>76</v>
      </c>
      <c r="I1249" t="str">
        <f>INDEX(State!B:B,MATCH(OrdersTable[[#This Row],[State]],State!A:A,0))</f>
        <v>UP</v>
      </c>
      <c r="J1249" t="str">
        <f>INDEX(State!C:C,MATCH(OrdersTable[[#This Row],[State Code]],State!B:B,0))</f>
        <v>North</v>
      </c>
      <c r="K1249" t="s">
        <v>118</v>
      </c>
      <c r="L1249" t="s">
        <v>65</v>
      </c>
      <c r="M1249" t="s">
        <v>125</v>
      </c>
      <c r="N1249" t="str">
        <f>INDEX(Products!B:B,MATCH(OrdersTable[[#This Row],[Product ID]],Products!A:A,0))</f>
        <v>Copper Water Bottle</v>
      </c>
      <c r="O1249" t="str">
        <f>INDEX(Products!C:C,MATCH(OrdersTable[[#This Row],[Product ID]],Products!A:A,0))</f>
        <v>Home &amp; Kitchen</v>
      </c>
      <c r="P1249">
        <v>1</v>
      </c>
      <c r="Q1249" s="5">
        <v>899</v>
      </c>
      <c r="R1249" s="74">
        <v>0.05</v>
      </c>
      <c r="S1249" s="75">
        <f>OrdersTable[[#This Row],[Quantity]]*OrdersTable[[#This Row],[Unit Price]]</f>
        <v>899</v>
      </c>
      <c r="T1249" s="5">
        <f>OrdersTable[[#This Row],[Gross Sale]]*OrdersTable[[#This Row],[Discount_Clean2]]</f>
        <v>44.95</v>
      </c>
      <c r="U1249" s="5">
        <f>OrdersTable[[#This Row],[Gross Sale]]-OrdersTable[[#This Row],[Discount Amount]]</f>
        <v>854.05</v>
      </c>
      <c r="V1249" s="77">
        <f>INDEX(Products!E:E,MATCH(OrdersTable[[#This Row],[Product ID]],Products!A:A,0))</f>
        <v>378</v>
      </c>
      <c r="W1249" s="77">
        <f>OrdersTable[[#This Row],[Quantity]]*OrdersTable[[#This Row],[Unit Cost]]</f>
        <v>378</v>
      </c>
      <c r="X1249" s="77">
        <f>'Dropdown Lists'!$I$2*(1+OrdersTable[[#This Row],[Returned]])</f>
        <v>60</v>
      </c>
      <c r="Y1249" s="76">
        <f>OrdersTable[[#This Row],[Net Revenue]]-OrdersTable[[#This Row],[COGS]]-OrdersTable[[#This Row],[Shipping Cost]]</f>
        <v>416.04999999999995</v>
      </c>
      <c r="Z1249" s="78">
        <f>IFERROR(OrdersTable[[#This Row],[Profit]]/OrdersTable[[#This Row],[Net Revenue]],0)</f>
        <v>0.48714946431707745</v>
      </c>
      <c r="AA1249" t="s">
        <v>2522</v>
      </c>
      <c r="AB1249" s="79">
        <v>45546</v>
      </c>
      <c r="AC1249">
        <f>OrdersTable[[#This Row],[Delivery Date]]-OrdersTable[[#This Row],[Order Date]]</f>
        <v>3</v>
      </c>
      <c r="AD1249" t="str">
        <f>IF(OrdersTable[[#This Row],[Delivery Days]]&lt;=2, "Express (≤2d)", IF(OrdersTable[[#This Row],[Delivery Days]]&lt;=4, "Standard (3-4d)", "Delayed (5d+)"))</f>
        <v>Standard (3-4d)</v>
      </c>
      <c r="AE1249">
        <v>5</v>
      </c>
      <c r="AF1249">
        <v>0</v>
      </c>
    </row>
    <row r="1250" spans="1:32" ht="15" x14ac:dyDescent="0.35">
      <c r="A1250" t="s">
        <v>3205</v>
      </c>
      <c r="B1250" s="1">
        <v>45543</v>
      </c>
      <c r="C1250">
        <f>YEAR(OrdersTable[[#This Row],[Order Date]])</f>
        <v>2024</v>
      </c>
      <c r="D1250" s="2">
        <f>DATE(YEAR(OrdersTable[[#This Row],[Order Date]]),MONTH(OrdersTable[[#This Row],[Order Date]]),1)</f>
        <v>45536</v>
      </c>
      <c r="E1250">
        <f>MONTH(OrdersTable[[#This Row],[Order Date]])</f>
        <v>9</v>
      </c>
      <c r="F1250" t="s">
        <v>3206</v>
      </c>
      <c r="G1250" t="str">
        <f>IF(OrdersTable[[#This Row],[Order Date]]=_xlfn.MINIFS(Order_Date, Customer_ID, OrdersTable[[#This Row],[Customer ID]]), "New", "Repeat")</f>
        <v>New</v>
      </c>
      <c r="H1250" t="s">
        <v>76</v>
      </c>
      <c r="I1250" t="str">
        <f>INDEX(State!B:B,MATCH(OrdersTable[[#This Row],[State]],State!A:A,0))</f>
        <v>UP</v>
      </c>
      <c r="J1250" t="str">
        <f>INDEX(State!C:C,MATCH(OrdersTable[[#This Row],[State Code]],State!B:B,0))</f>
        <v>North</v>
      </c>
      <c r="K1250" t="s">
        <v>77</v>
      </c>
      <c r="L1250" t="s">
        <v>50</v>
      </c>
      <c r="M1250" t="s">
        <v>61</v>
      </c>
      <c r="N1250" t="str">
        <f>INDEX(Products!B:B,MATCH(OrdersTable[[#This Row],[Product ID]],Products!A:A,0))</f>
        <v>Multivitamin Gummies</v>
      </c>
      <c r="O1250" t="str">
        <f>INDEX(Products!C:C,MATCH(OrdersTable[[#This Row],[Product ID]],Products!A:A,0))</f>
        <v>Wellness</v>
      </c>
      <c r="P1250">
        <v>1</v>
      </c>
      <c r="Q1250" s="5">
        <v>699</v>
      </c>
      <c r="R1250" s="74">
        <v>0.15</v>
      </c>
      <c r="S1250" s="75">
        <f>OrdersTable[[#This Row],[Quantity]]*OrdersTable[[#This Row],[Unit Price]]</f>
        <v>699</v>
      </c>
      <c r="T1250" s="5">
        <f>OrdersTable[[#This Row],[Gross Sale]]*OrdersTable[[#This Row],[Discount_Clean2]]</f>
        <v>104.85</v>
      </c>
      <c r="U1250" s="5">
        <f>OrdersTable[[#This Row],[Gross Sale]]-OrdersTable[[#This Row],[Discount Amount]]</f>
        <v>594.15</v>
      </c>
      <c r="V1250" s="77">
        <f>INDEX(Products!E:E,MATCH(OrdersTable[[#This Row],[Product ID]],Products!A:A,0))</f>
        <v>238</v>
      </c>
      <c r="W1250" s="77">
        <f>OrdersTable[[#This Row],[Quantity]]*OrdersTable[[#This Row],[Unit Cost]]</f>
        <v>238</v>
      </c>
      <c r="X1250" s="77">
        <f>'Dropdown Lists'!$I$2*(1+OrdersTable[[#This Row],[Returned]])</f>
        <v>60</v>
      </c>
      <c r="Y1250" s="76">
        <f>OrdersTable[[#This Row],[Net Revenue]]-OrdersTable[[#This Row],[COGS]]-OrdersTable[[#This Row],[Shipping Cost]]</f>
        <v>296.14999999999998</v>
      </c>
      <c r="Z1250" s="78">
        <f>IFERROR(OrdersTable[[#This Row],[Profit]]/OrdersTable[[#This Row],[Net Revenue]],0)</f>
        <v>0.49844315408566858</v>
      </c>
      <c r="AA1250" t="s">
        <v>2522</v>
      </c>
      <c r="AB1250" s="79">
        <v>45547</v>
      </c>
      <c r="AC1250">
        <f>OrdersTable[[#This Row],[Delivery Date]]-OrdersTable[[#This Row],[Order Date]]</f>
        <v>4</v>
      </c>
      <c r="AD1250" t="str">
        <f>IF(OrdersTable[[#This Row],[Delivery Days]]&lt;=2, "Express (≤2d)", IF(OrdersTable[[#This Row],[Delivery Days]]&lt;=4, "Standard (3-4d)", "Delayed (5d+)"))</f>
        <v>Standard (3-4d)</v>
      </c>
      <c r="AE1250">
        <v>4</v>
      </c>
      <c r="AF1250">
        <v>0</v>
      </c>
    </row>
    <row r="1251" spans="1:32" ht="15" x14ac:dyDescent="0.35">
      <c r="A1251" t="s">
        <v>5342</v>
      </c>
      <c r="B1251" s="1">
        <v>45543</v>
      </c>
      <c r="C1251">
        <f>YEAR(OrdersTable[[#This Row],[Order Date]])</f>
        <v>2024</v>
      </c>
      <c r="D1251" s="2">
        <f>DATE(YEAR(OrdersTable[[#This Row],[Order Date]]),MONTH(OrdersTable[[#This Row],[Order Date]]),1)</f>
        <v>45536</v>
      </c>
      <c r="E1251">
        <f>MONTH(OrdersTable[[#This Row],[Order Date]])</f>
        <v>9</v>
      </c>
      <c r="F1251" t="s">
        <v>2849</v>
      </c>
      <c r="G1251" t="str">
        <f>IF(OrdersTable[[#This Row],[Order Date]]=_xlfn.MINIFS(Order_Date, Customer_ID, OrdersTable[[#This Row],[Customer ID]]), "New", "Repeat")</f>
        <v>New</v>
      </c>
      <c r="H1251" t="s">
        <v>43</v>
      </c>
      <c r="I1251" t="str">
        <f>INDEX(State!B:B,MATCH(OrdersTable[[#This Row],[State]],State!A:A,0))</f>
        <v>MP</v>
      </c>
      <c r="J1251" t="str">
        <f>INDEX(State!C:C,MATCH(OrdersTable[[#This Row],[State Code]],State!B:B,0))</f>
        <v>West</v>
      </c>
      <c r="K1251" t="s">
        <v>44</v>
      </c>
      <c r="L1251" t="s">
        <v>23</v>
      </c>
      <c r="M1251" t="s">
        <v>423</v>
      </c>
      <c r="N1251" t="str">
        <f>INDEX(Products!B:B,MATCH(OrdersTable[[#This Row],[Product ID]],Products!A:A,0))</f>
        <v>Power Bank 20000mAh</v>
      </c>
      <c r="O1251" t="str">
        <f>INDEX(Products!C:C,MATCH(OrdersTable[[#This Row],[Product ID]],Products!A:A,0))</f>
        <v>Electronics</v>
      </c>
      <c r="P1251">
        <v>2</v>
      </c>
      <c r="Q1251" s="5">
        <v>1799</v>
      </c>
      <c r="R1251" s="74">
        <v>0.35</v>
      </c>
      <c r="S1251" s="75">
        <f>OrdersTable[[#This Row],[Quantity]]*OrdersTable[[#This Row],[Unit Price]]</f>
        <v>3598</v>
      </c>
      <c r="T1251" s="5">
        <f>OrdersTable[[#This Row],[Gross Sale]]*OrdersTable[[#This Row],[Discount_Clean2]]</f>
        <v>1259.3</v>
      </c>
      <c r="U1251" s="5">
        <f>OrdersTable[[#This Row],[Gross Sale]]-OrdersTable[[#This Row],[Discount Amount]]</f>
        <v>2338.6999999999998</v>
      </c>
      <c r="V1251" s="77">
        <f>INDEX(Products!E:E,MATCH(OrdersTable[[#This Row],[Product ID]],Products!A:A,0))</f>
        <v>1079</v>
      </c>
      <c r="W1251" s="77">
        <f>OrdersTable[[#This Row],[Quantity]]*OrdersTable[[#This Row],[Unit Cost]]</f>
        <v>2158</v>
      </c>
      <c r="X1251" s="77">
        <f>'Dropdown Lists'!$I$2*(1+OrdersTable[[#This Row],[Returned]])</f>
        <v>60</v>
      </c>
      <c r="Y1251" s="76">
        <f>OrdersTable[[#This Row],[Net Revenue]]-OrdersTable[[#This Row],[COGS]]-OrdersTable[[#This Row],[Shipping Cost]]</f>
        <v>120.69999999999982</v>
      </c>
      <c r="Z1251" s="78">
        <f>IFERROR(OrdersTable[[#This Row],[Profit]]/OrdersTable[[#This Row],[Net Revenue]],0)</f>
        <v>5.1609868730491226E-2</v>
      </c>
      <c r="AA1251" t="s">
        <v>2522</v>
      </c>
      <c r="AB1251" s="79">
        <v>45548</v>
      </c>
      <c r="AC1251">
        <f>OrdersTable[[#This Row],[Delivery Date]]-OrdersTable[[#This Row],[Order Date]]</f>
        <v>5</v>
      </c>
      <c r="AD1251" t="str">
        <f>IF(OrdersTable[[#This Row],[Delivery Days]]&lt;=2, "Express (≤2d)", IF(OrdersTable[[#This Row],[Delivery Days]]&lt;=4, "Standard (3-4d)", "Delayed (5d+)"))</f>
        <v>Delayed (5d+)</v>
      </c>
      <c r="AF1251">
        <v>0</v>
      </c>
    </row>
    <row r="1252" spans="1:32" ht="15" x14ac:dyDescent="0.35">
      <c r="A1252" t="s">
        <v>5584</v>
      </c>
      <c r="B1252" s="1">
        <v>45543</v>
      </c>
      <c r="C1252">
        <f>YEAR(OrdersTable[[#This Row],[Order Date]])</f>
        <v>2024</v>
      </c>
      <c r="D1252" s="2">
        <f>DATE(YEAR(OrdersTable[[#This Row],[Order Date]]),MONTH(OrdersTable[[#This Row],[Order Date]]),1)</f>
        <v>45536</v>
      </c>
      <c r="E1252">
        <f>MONTH(OrdersTable[[#This Row],[Order Date]])</f>
        <v>9</v>
      </c>
      <c r="F1252" t="s">
        <v>2591</v>
      </c>
      <c r="G1252" t="str">
        <f>IF(OrdersTable[[#This Row],[Order Date]]=_xlfn.MINIFS(Order_Date, Customer_ID, OrdersTable[[#This Row],[Customer ID]]), "New", "Repeat")</f>
        <v>Repeat</v>
      </c>
      <c r="H1252" t="s">
        <v>43</v>
      </c>
      <c r="I1252" t="str">
        <f>INDEX(State!B:B,MATCH(OrdersTable[[#This Row],[State]],State!A:A,0))</f>
        <v>MP</v>
      </c>
      <c r="J1252" t="str">
        <f>INDEX(State!C:C,MATCH(OrdersTable[[#This Row],[State Code]],State!B:B,0))</f>
        <v>West</v>
      </c>
      <c r="K1252" t="s">
        <v>250</v>
      </c>
      <c r="L1252" t="s">
        <v>50</v>
      </c>
      <c r="M1252" t="s">
        <v>160</v>
      </c>
      <c r="N1252" t="str">
        <f>INDEX(Products!B:B,MATCH(OrdersTable[[#This Row],[Product ID]],Products!A:A,0))</f>
        <v>Niacinamide Toner</v>
      </c>
      <c r="O1252" t="str">
        <f>INDEX(Products!C:C,MATCH(OrdersTable[[#This Row],[Product ID]],Products!A:A,0))</f>
        <v>Skincare</v>
      </c>
      <c r="P1252">
        <v>2</v>
      </c>
      <c r="Q1252" s="5">
        <v>399</v>
      </c>
      <c r="R1252" s="74">
        <v>0.3</v>
      </c>
      <c r="S1252" s="75">
        <f>OrdersTable[[#This Row],[Quantity]]*OrdersTable[[#This Row],[Unit Price]]</f>
        <v>798</v>
      </c>
      <c r="T1252" s="5">
        <f>OrdersTable[[#This Row],[Gross Sale]]*OrdersTable[[#This Row],[Discount_Clean2]]</f>
        <v>239.39999999999998</v>
      </c>
      <c r="U1252" s="5">
        <f>OrdersTable[[#This Row],[Gross Sale]]-OrdersTable[[#This Row],[Discount Amount]]</f>
        <v>558.6</v>
      </c>
      <c r="V1252" s="77">
        <f>INDEX(Products!E:E,MATCH(OrdersTable[[#This Row],[Product ID]],Products!A:A,0))</f>
        <v>112</v>
      </c>
      <c r="W1252" s="77">
        <f>OrdersTable[[#This Row],[Quantity]]*OrdersTable[[#This Row],[Unit Cost]]</f>
        <v>224</v>
      </c>
      <c r="X1252" s="77">
        <f>'Dropdown Lists'!$I$2*(1+OrdersTable[[#This Row],[Returned]])</f>
        <v>60</v>
      </c>
      <c r="Y1252" s="76">
        <f>OrdersTable[[#This Row],[Net Revenue]]-OrdersTable[[#This Row],[COGS]]-OrdersTable[[#This Row],[Shipping Cost]]</f>
        <v>274.60000000000002</v>
      </c>
      <c r="Z1252" s="78">
        <f>IFERROR(OrdersTable[[#This Row],[Profit]]/OrdersTable[[#This Row],[Net Revenue]],0)</f>
        <v>0.49158610812746151</v>
      </c>
      <c r="AA1252" t="s">
        <v>2522</v>
      </c>
      <c r="AB1252" s="79">
        <v>45546</v>
      </c>
      <c r="AC1252">
        <f>OrdersTable[[#This Row],[Delivery Date]]-OrdersTable[[#This Row],[Order Date]]</f>
        <v>3</v>
      </c>
      <c r="AD1252" t="str">
        <f>IF(OrdersTable[[#This Row],[Delivery Days]]&lt;=2, "Express (≤2d)", IF(OrdersTable[[#This Row],[Delivery Days]]&lt;=4, "Standard (3-4d)", "Delayed (5d+)"))</f>
        <v>Standard (3-4d)</v>
      </c>
      <c r="AE1252">
        <v>4</v>
      </c>
      <c r="AF1252">
        <v>0</v>
      </c>
    </row>
    <row r="1253" spans="1:32" ht="15" x14ac:dyDescent="0.35">
      <c r="A1253" t="s">
        <v>3984</v>
      </c>
      <c r="B1253" s="1">
        <v>45543</v>
      </c>
      <c r="C1253">
        <f>YEAR(OrdersTable[[#This Row],[Order Date]])</f>
        <v>2024</v>
      </c>
      <c r="D1253" s="2">
        <f>DATE(YEAR(OrdersTable[[#This Row],[Order Date]]),MONTH(OrdersTable[[#This Row],[Order Date]]),1)</f>
        <v>45536</v>
      </c>
      <c r="E1253">
        <f>MONTH(OrdersTable[[#This Row],[Order Date]])</f>
        <v>9</v>
      </c>
      <c r="F1253" t="s">
        <v>3985</v>
      </c>
      <c r="G1253" t="str">
        <f>IF(OrdersTable[[#This Row],[Order Date]]=_xlfn.MINIFS(Order_Date, Customer_ID, OrdersTable[[#This Row],[Customer ID]]), "New", "Repeat")</f>
        <v>New</v>
      </c>
      <c r="H1253" t="s">
        <v>71</v>
      </c>
      <c r="I1253" t="str">
        <f>INDEX(State!B:B,MATCH(OrdersTable[[#This Row],[State]],State!A:A,0))</f>
        <v>MH</v>
      </c>
      <c r="J1253" t="str">
        <f>INDEX(State!C:C,MATCH(OrdersTable[[#This Row],[State Code]],State!B:B,0))</f>
        <v>West</v>
      </c>
      <c r="K1253" t="s">
        <v>72</v>
      </c>
      <c r="L1253" t="s">
        <v>65</v>
      </c>
      <c r="M1253" t="s">
        <v>34</v>
      </c>
      <c r="N1253" t="str">
        <f>INDEX(Products!B:B,MATCH(OrdersTable[[#This Row],[Product ID]],Products!A:A,0))</f>
        <v>Flip Flops</v>
      </c>
      <c r="O1253" t="str">
        <f>INDEX(Products!C:C,MATCH(OrdersTable[[#This Row],[Product ID]],Products!A:A,0))</f>
        <v>Footwear</v>
      </c>
      <c r="P1253">
        <v>1</v>
      </c>
      <c r="Q1253" s="5">
        <v>399</v>
      </c>
      <c r="R1253" s="74">
        <v>0.15</v>
      </c>
      <c r="S1253" s="75">
        <f>OrdersTable[[#This Row],[Quantity]]*OrdersTable[[#This Row],[Unit Price]]</f>
        <v>399</v>
      </c>
      <c r="T1253" s="5">
        <f>OrdersTable[[#This Row],[Gross Sale]]*OrdersTable[[#This Row],[Discount_Clean2]]</f>
        <v>59.849999999999994</v>
      </c>
      <c r="U1253" s="5">
        <f>OrdersTable[[#This Row],[Gross Sale]]-OrdersTable[[#This Row],[Discount Amount]]</f>
        <v>339.15</v>
      </c>
      <c r="V1253" s="77">
        <f>INDEX(Products!E:E,MATCH(OrdersTable[[#This Row],[Product ID]],Products!A:A,0))</f>
        <v>152</v>
      </c>
      <c r="W1253" s="77">
        <f>OrdersTable[[#This Row],[Quantity]]*OrdersTable[[#This Row],[Unit Cost]]</f>
        <v>152</v>
      </c>
      <c r="X1253" s="77">
        <f>'Dropdown Lists'!$I$2*(1+OrdersTable[[#This Row],[Returned]])</f>
        <v>60</v>
      </c>
      <c r="Y1253" s="76">
        <f>OrdersTable[[#This Row],[Net Revenue]]-OrdersTable[[#This Row],[COGS]]-OrdersTable[[#This Row],[Shipping Cost]]</f>
        <v>127.14999999999998</v>
      </c>
      <c r="Z1253" s="78">
        <f>IFERROR(OrdersTable[[#This Row],[Profit]]/OrdersTable[[#This Row],[Net Revenue]],0)</f>
        <v>0.37490785787999409</v>
      </c>
      <c r="AA1253" t="s">
        <v>3495</v>
      </c>
      <c r="AB1253" s="79">
        <v>45545</v>
      </c>
      <c r="AC1253">
        <f>OrdersTable[[#This Row],[Delivery Date]]-OrdersTable[[#This Row],[Order Date]]</f>
        <v>2</v>
      </c>
      <c r="AD1253" t="str">
        <f>IF(OrdersTable[[#This Row],[Delivery Days]]&lt;=2, "Express (≤2d)", IF(OrdersTable[[#This Row],[Delivery Days]]&lt;=4, "Standard (3-4d)", "Delayed (5d+)"))</f>
        <v>Express (≤2d)</v>
      </c>
      <c r="AE1253">
        <v>5</v>
      </c>
      <c r="AF1253">
        <v>0</v>
      </c>
    </row>
    <row r="1254" spans="1:32" ht="15" x14ac:dyDescent="0.35">
      <c r="A1254" t="s">
        <v>6083</v>
      </c>
      <c r="B1254" s="1">
        <v>45543</v>
      </c>
      <c r="C1254">
        <f>YEAR(OrdersTable[[#This Row],[Order Date]])</f>
        <v>2024</v>
      </c>
      <c r="D1254" s="2">
        <f>DATE(YEAR(OrdersTable[[#This Row],[Order Date]]),MONTH(OrdersTable[[#This Row],[Order Date]]),1)</f>
        <v>45536</v>
      </c>
      <c r="E1254">
        <f>MONTH(OrdersTable[[#This Row],[Order Date]])</f>
        <v>9</v>
      </c>
      <c r="F1254" t="s">
        <v>4236</v>
      </c>
      <c r="G1254" t="str">
        <f>IF(OrdersTable[[#This Row],[Order Date]]=_xlfn.MINIFS(Order_Date, Customer_ID, OrdersTable[[#This Row],[Customer ID]]), "New", "Repeat")</f>
        <v>Repeat</v>
      </c>
      <c r="H1254" t="s">
        <v>59</v>
      </c>
      <c r="I1254" t="str">
        <f>INDEX(State!B:B,MATCH(OrdersTable[[#This Row],[State]],State!A:A,0))</f>
        <v>TN</v>
      </c>
      <c r="J1254" t="str">
        <f>INDEX(State!C:C,MATCH(OrdersTable[[#This Row],[State Code]],State!B:B,0))</f>
        <v>South</v>
      </c>
      <c r="K1254" t="s">
        <v>60</v>
      </c>
      <c r="L1254" t="s">
        <v>23</v>
      </c>
      <c r="M1254" t="s">
        <v>73</v>
      </c>
      <c r="N1254" t="str">
        <f>INDEX(Products!B:B,MATCH(OrdersTable[[#This Row],[Product ID]],Products!A:A,0))</f>
        <v>Hydrating Face Wash</v>
      </c>
      <c r="O1254" t="str">
        <f>INDEX(Products!C:C,MATCH(OrdersTable[[#This Row],[Product ID]],Products!A:A,0))</f>
        <v>Skincare</v>
      </c>
      <c r="P1254">
        <v>2</v>
      </c>
      <c r="Q1254" s="5">
        <v>299</v>
      </c>
      <c r="R1254" s="74">
        <v>0</v>
      </c>
      <c r="S1254" s="75">
        <f>OrdersTable[[#This Row],[Quantity]]*OrdersTable[[#This Row],[Unit Price]]</f>
        <v>598</v>
      </c>
      <c r="T1254" s="5">
        <f>OrdersTable[[#This Row],[Gross Sale]]*OrdersTable[[#This Row],[Discount_Clean2]]</f>
        <v>0</v>
      </c>
      <c r="U1254" s="5">
        <f>OrdersTable[[#This Row],[Gross Sale]]-OrdersTable[[#This Row],[Discount Amount]]</f>
        <v>598</v>
      </c>
      <c r="V1254" s="77">
        <f>INDEX(Products!E:E,MATCH(OrdersTable[[#This Row],[Product ID]],Products!A:A,0))</f>
        <v>90</v>
      </c>
      <c r="W1254" s="77">
        <f>OrdersTable[[#This Row],[Quantity]]*OrdersTable[[#This Row],[Unit Cost]]</f>
        <v>180</v>
      </c>
      <c r="X1254" s="77">
        <f>'Dropdown Lists'!$I$2*(1+OrdersTable[[#This Row],[Returned]])</f>
        <v>120</v>
      </c>
      <c r="Y1254" s="76">
        <f>OrdersTable[[#This Row],[Net Revenue]]-OrdersTable[[#This Row],[COGS]]-OrdersTable[[#This Row],[Shipping Cost]]</f>
        <v>298</v>
      </c>
      <c r="Z1254" s="78">
        <f>IFERROR(OrdersTable[[#This Row],[Profit]]/OrdersTable[[#This Row],[Net Revenue]],0)</f>
        <v>0.49832775919732442</v>
      </c>
      <c r="AA1254" t="s">
        <v>18</v>
      </c>
      <c r="AB1254" s="79">
        <v>45547</v>
      </c>
      <c r="AC1254">
        <f>OrdersTable[[#This Row],[Delivery Date]]-OrdersTable[[#This Row],[Order Date]]</f>
        <v>4</v>
      </c>
      <c r="AD1254" t="str">
        <f>IF(OrdersTable[[#This Row],[Delivery Days]]&lt;=2, "Express (≤2d)", IF(OrdersTable[[#This Row],[Delivery Days]]&lt;=4, "Standard (3-4d)", "Delayed (5d+)"))</f>
        <v>Standard (3-4d)</v>
      </c>
      <c r="AE1254">
        <v>4</v>
      </c>
      <c r="AF1254">
        <v>1</v>
      </c>
    </row>
    <row r="1255" spans="1:32" ht="15" x14ac:dyDescent="0.35">
      <c r="A1255" t="s">
        <v>1895</v>
      </c>
      <c r="B1255" s="1">
        <v>45544</v>
      </c>
      <c r="C1255">
        <f>YEAR(OrdersTable[[#This Row],[Order Date]])</f>
        <v>2024</v>
      </c>
      <c r="D1255" s="2">
        <f>DATE(YEAR(OrdersTable[[#This Row],[Order Date]]),MONTH(OrdersTable[[#This Row],[Order Date]]),1)</f>
        <v>45536</v>
      </c>
      <c r="E1255">
        <f>MONTH(OrdersTable[[#This Row],[Order Date]])</f>
        <v>9</v>
      </c>
      <c r="F1255" t="s">
        <v>1896</v>
      </c>
      <c r="G1255" t="str">
        <f>IF(OrdersTable[[#This Row],[Order Date]]=_xlfn.MINIFS(Order_Date, Customer_ID, OrdersTable[[#This Row],[Customer ID]]), "New", "Repeat")</f>
        <v>Repeat</v>
      </c>
      <c r="H1255" t="s">
        <v>54</v>
      </c>
      <c r="I1255" t="str">
        <f>INDEX(State!B:B,MATCH(OrdersTable[[#This Row],[State]],State!A:A,0))</f>
        <v>RJ</v>
      </c>
      <c r="J1255" t="str">
        <f>INDEX(State!C:C,MATCH(OrdersTable[[#This Row],[State Code]],State!B:B,0))</f>
        <v>North</v>
      </c>
      <c r="K1255" t="s">
        <v>227</v>
      </c>
      <c r="L1255" t="s">
        <v>65</v>
      </c>
      <c r="M1255" t="s">
        <v>61</v>
      </c>
      <c r="N1255" t="str">
        <f>INDEX(Products!B:B,MATCH(OrdersTable[[#This Row],[Product ID]],Products!A:A,0))</f>
        <v>Multivitamin Gummies</v>
      </c>
      <c r="O1255" t="str">
        <f>INDEX(Products!C:C,MATCH(OrdersTable[[#This Row],[Product ID]],Products!A:A,0))</f>
        <v>Wellness</v>
      </c>
      <c r="P1255">
        <v>1</v>
      </c>
      <c r="Q1255" s="5">
        <v>699</v>
      </c>
      <c r="R1255" s="74">
        <v>0.2</v>
      </c>
      <c r="S1255" s="75">
        <f>OrdersTable[[#This Row],[Quantity]]*OrdersTable[[#This Row],[Unit Price]]</f>
        <v>699</v>
      </c>
      <c r="T1255" s="5">
        <f>OrdersTable[[#This Row],[Gross Sale]]*OrdersTable[[#This Row],[Discount_Clean2]]</f>
        <v>139.80000000000001</v>
      </c>
      <c r="U1255" s="5">
        <f>OrdersTable[[#This Row],[Gross Sale]]-OrdersTable[[#This Row],[Discount Amount]]</f>
        <v>559.20000000000005</v>
      </c>
      <c r="V1255" s="77">
        <f>INDEX(Products!E:E,MATCH(OrdersTable[[#This Row],[Product ID]],Products!A:A,0))</f>
        <v>238</v>
      </c>
      <c r="W1255" s="77">
        <f>OrdersTable[[#This Row],[Quantity]]*OrdersTable[[#This Row],[Unit Cost]]</f>
        <v>238</v>
      </c>
      <c r="X1255" s="77">
        <f>'Dropdown Lists'!$I$2*(1+OrdersTable[[#This Row],[Returned]])</f>
        <v>60</v>
      </c>
      <c r="Y1255" s="76">
        <f>OrdersTable[[#This Row],[Net Revenue]]-OrdersTable[[#This Row],[COGS]]-OrdersTable[[#This Row],[Shipping Cost]]</f>
        <v>261.20000000000005</v>
      </c>
      <c r="Z1255" s="78">
        <f>IFERROR(OrdersTable[[#This Row],[Profit]]/OrdersTable[[#This Row],[Net Revenue]],0)</f>
        <v>0.46709585121602293</v>
      </c>
      <c r="AA1255" t="s">
        <v>18</v>
      </c>
      <c r="AB1255" s="79">
        <v>45548</v>
      </c>
      <c r="AC1255">
        <f>OrdersTable[[#This Row],[Delivery Date]]-OrdersTable[[#This Row],[Order Date]]</f>
        <v>4</v>
      </c>
      <c r="AD1255" t="str">
        <f>IF(OrdersTable[[#This Row],[Delivery Days]]&lt;=2, "Express (≤2d)", IF(OrdersTable[[#This Row],[Delivery Days]]&lt;=4, "Standard (3-4d)", "Delayed (5d+)"))</f>
        <v>Standard (3-4d)</v>
      </c>
      <c r="AE1255">
        <v>3</v>
      </c>
      <c r="AF1255">
        <v>0</v>
      </c>
    </row>
    <row r="1256" spans="1:32" ht="15" x14ac:dyDescent="0.35">
      <c r="A1256" t="s">
        <v>764</v>
      </c>
      <c r="B1256" s="1">
        <v>45544</v>
      </c>
      <c r="C1256">
        <f>YEAR(OrdersTable[[#This Row],[Order Date]])</f>
        <v>2024</v>
      </c>
      <c r="D1256" s="2">
        <f>DATE(YEAR(OrdersTable[[#This Row],[Order Date]]),MONTH(OrdersTable[[#This Row],[Order Date]]),1)</f>
        <v>45536</v>
      </c>
      <c r="E1256">
        <f>MONTH(OrdersTable[[#This Row],[Order Date]])</f>
        <v>9</v>
      </c>
      <c r="F1256" t="s">
        <v>765</v>
      </c>
      <c r="G1256" t="str">
        <f>IF(OrdersTable[[#This Row],[Order Date]]=_xlfn.MINIFS(Order_Date, Customer_ID, OrdersTable[[#This Row],[Customer ID]]), "New", "Repeat")</f>
        <v>Repeat</v>
      </c>
      <c r="H1256" t="s">
        <v>71</v>
      </c>
      <c r="I1256" t="str">
        <f>INDEX(State!B:B,MATCH(OrdersTable[[#This Row],[State]],State!A:A,0))</f>
        <v>MH</v>
      </c>
      <c r="J1256" t="str">
        <f>INDEX(State!C:C,MATCH(OrdersTable[[#This Row],[State Code]],State!B:B,0))</f>
        <v>West</v>
      </c>
      <c r="K1256" t="s">
        <v>102</v>
      </c>
      <c r="L1256" t="s">
        <v>23</v>
      </c>
      <c r="M1256" t="s">
        <v>160</v>
      </c>
      <c r="N1256" t="str">
        <f>INDEX(Products!B:B,MATCH(OrdersTable[[#This Row],[Product ID]],Products!A:A,0))</f>
        <v>Niacinamide Toner</v>
      </c>
      <c r="O1256" t="str">
        <f>INDEX(Products!C:C,MATCH(OrdersTable[[#This Row],[Product ID]],Products!A:A,0))</f>
        <v>Skincare</v>
      </c>
      <c r="P1256">
        <v>1</v>
      </c>
      <c r="Q1256" s="5">
        <v>399</v>
      </c>
      <c r="R1256" s="74">
        <v>0.2</v>
      </c>
      <c r="S1256" s="75">
        <f>OrdersTable[[#This Row],[Quantity]]*OrdersTable[[#This Row],[Unit Price]]</f>
        <v>399</v>
      </c>
      <c r="T1256" s="5">
        <f>OrdersTable[[#This Row],[Gross Sale]]*OrdersTable[[#This Row],[Discount_Clean2]]</f>
        <v>79.800000000000011</v>
      </c>
      <c r="U1256" s="5">
        <f>OrdersTable[[#This Row],[Gross Sale]]-OrdersTable[[#This Row],[Discount Amount]]</f>
        <v>319.2</v>
      </c>
      <c r="V1256" s="77">
        <f>INDEX(Products!E:E,MATCH(OrdersTable[[#This Row],[Product ID]],Products!A:A,0))</f>
        <v>112</v>
      </c>
      <c r="W1256" s="77">
        <f>OrdersTable[[#This Row],[Quantity]]*OrdersTable[[#This Row],[Unit Cost]]</f>
        <v>112</v>
      </c>
      <c r="X1256" s="77">
        <f>'Dropdown Lists'!$I$2*(1+OrdersTable[[#This Row],[Returned]])</f>
        <v>60</v>
      </c>
      <c r="Y1256" s="76">
        <f>OrdersTable[[#This Row],[Net Revenue]]-OrdersTable[[#This Row],[COGS]]-OrdersTable[[#This Row],[Shipping Cost]]</f>
        <v>147.19999999999999</v>
      </c>
      <c r="Z1256" s="78">
        <f>IFERROR(OrdersTable[[#This Row],[Profit]]/OrdersTable[[#This Row],[Net Revenue]],0)</f>
        <v>0.46115288220551376</v>
      </c>
      <c r="AA1256" t="s">
        <v>18</v>
      </c>
      <c r="AB1256" s="79">
        <v>45546</v>
      </c>
      <c r="AC1256">
        <f>OrdersTable[[#This Row],[Delivery Date]]-OrdersTable[[#This Row],[Order Date]]</f>
        <v>2</v>
      </c>
      <c r="AD1256" t="str">
        <f>IF(OrdersTable[[#This Row],[Delivery Days]]&lt;=2, "Express (≤2d)", IF(OrdersTable[[#This Row],[Delivery Days]]&lt;=4, "Standard (3-4d)", "Delayed (5d+)"))</f>
        <v>Express (≤2d)</v>
      </c>
      <c r="AE1256">
        <v>4</v>
      </c>
      <c r="AF1256">
        <v>0</v>
      </c>
    </row>
    <row r="1257" spans="1:32" ht="15" x14ac:dyDescent="0.35">
      <c r="A1257" t="s">
        <v>766</v>
      </c>
      <c r="B1257" s="1">
        <v>45544</v>
      </c>
      <c r="C1257">
        <f>YEAR(OrdersTable[[#This Row],[Order Date]])</f>
        <v>2024</v>
      </c>
      <c r="D1257" s="2">
        <f>DATE(YEAR(OrdersTable[[#This Row],[Order Date]]),MONTH(OrdersTable[[#This Row],[Order Date]]),1)</f>
        <v>45536</v>
      </c>
      <c r="E1257">
        <f>MONTH(OrdersTable[[#This Row],[Order Date]])</f>
        <v>9</v>
      </c>
      <c r="F1257" t="s">
        <v>767</v>
      </c>
      <c r="G1257" t="str">
        <f>IF(OrdersTable[[#This Row],[Order Date]]=_xlfn.MINIFS(Order_Date, Customer_ID, OrdersTable[[#This Row],[Customer ID]]), "New", "Repeat")</f>
        <v>Repeat</v>
      </c>
      <c r="H1257" t="s">
        <v>71</v>
      </c>
      <c r="I1257" t="str">
        <f>INDEX(State!B:B,MATCH(OrdersTable[[#This Row],[State]],State!A:A,0))</f>
        <v>MH</v>
      </c>
      <c r="J1257" t="str">
        <f>INDEX(State!C:C,MATCH(OrdersTable[[#This Row],[State Code]],State!B:B,0))</f>
        <v>West</v>
      </c>
      <c r="K1257" t="s">
        <v>81</v>
      </c>
      <c r="L1257" t="s">
        <v>16</v>
      </c>
      <c r="M1257" t="s">
        <v>34</v>
      </c>
      <c r="N1257" t="str">
        <f>INDEX(Products!B:B,MATCH(OrdersTable[[#This Row],[Product ID]],Products!A:A,0))</f>
        <v>Flip Flops</v>
      </c>
      <c r="O1257" t="str">
        <f>INDEX(Products!C:C,MATCH(OrdersTable[[#This Row],[Product ID]],Products!A:A,0))</f>
        <v>Footwear</v>
      </c>
      <c r="P1257">
        <v>1</v>
      </c>
      <c r="Q1257" s="5">
        <v>399</v>
      </c>
      <c r="R1257" s="74">
        <v>0.1</v>
      </c>
      <c r="S1257" s="75">
        <f>OrdersTable[[#This Row],[Quantity]]*OrdersTable[[#This Row],[Unit Price]]</f>
        <v>399</v>
      </c>
      <c r="T1257" s="5">
        <f>OrdersTable[[#This Row],[Gross Sale]]*OrdersTable[[#This Row],[Discount_Clean2]]</f>
        <v>39.900000000000006</v>
      </c>
      <c r="U1257" s="5">
        <f>OrdersTable[[#This Row],[Gross Sale]]-OrdersTable[[#This Row],[Discount Amount]]</f>
        <v>359.1</v>
      </c>
      <c r="V1257" s="77">
        <f>INDEX(Products!E:E,MATCH(OrdersTable[[#This Row],[Product ID]],Products!A:A,0))</f>
        <v>152</v>
      </c>
      <c r="W1257" s="77">
        <f>OrdersTable[[#This Row],[Quantity]]*OrdersTable[[#This Row],[Unit Cost]]</f>
        <v>152</v>
      </c>
      <c r="X1257" s="77">
        <f>'Dropdown Lists'!$I$2*(1+OrdersTable[[#This Row],[Returned]])</f>
        <v>60</v>
      </c>
      <c r="Y1257" s="76">
        <f>OrdersTable[[#This Row],[Net Revenue]]-OrdersTable[[#This Row],[COGS]]-OrdersTable[[#This Row],[Shipping Cost]]</f>
        <v>147.10000000000002</v>
      </c>
      <c r="Z1257" s="78">
        <f>IFERROR(OrdersTable[[#This Row],[Profit]]/OrdersTable[[#This Row],[Net Revenue]],0)</f>
        <v>0.40963519910888335</v>
      </c>
      <c r="AA1257" t="s">
        <v>18</v>
      </c>
      <c r="AB1257" s="79">
        <v>45548</v>
      </c>
      <c r="AC1257">
        <f>OrdersTable[[#This Row],[Delivery Date]]-OrdersTable[[#This Row],[Order Date]]</f>
        <v>4</v>
      </c>
      <c r="AD1257" t="str">
        <f>IF(OrdersTable[[#This Row],[Delivery Days]]&lt;=2, "Express (≤2d)", IF(OrdersTable[[#This Row],[Delivery Days]]&lt;=4, "Standard (3-4d)", "Delayed (5d+)"))</f>
        <v>Standard (3-4d)</v>
      </c>
      <c r="AE1257">
        <v>4</v>
      </c>
      <c r="AF1257">
        <v>0</v>
      </c>
    </row>
    <row r="1258" spans="1:32" ht="15" x14ac:dyDescent="0.35">
      <c r="A1258" t="s">
        <v>5343</v>
      </c>
      <c r="B1258" s="1">
        <v>45544</v>
      </c>
      <c r="C1258">
        <f>YEAR(OrdersTable[[#This Row],[Order Date]])</f>
        <v>2024</v>
      </c>
      <c r="D1258" s="2">
        <f>DATE(YEAR(OrdersTable[[#This Row],[Order Date]]),MONTH(OrdersTable[[#This Row],[Order Date]]),1)</f>
        <v>45536</v>
      </c>
      <c r="E1258">
        <f>MONTH(OrdersTable[[#This Row],[Order Date]])</f>
        <v>9</v>
      </c>
      <c r="F1258" t="s">
        <v>5344</v>
      </c>
      <c r="G1258" t="str">
        <f>IF(OrdersTable[[#This Row],[Order Date]]=_xlfn.MINIFS(Order_Date, Customer_ID, OrdersTable[[#This Row],[Customer ID]]), "New", "Repeat")</f>
        <v>New</v>
      </c>
      <c r="H1258" t="s">
        <v>167</v>
      </c>
      <c r="I1258" t="str">
        <f>INDEX(State!B:B,MATCH(OrdersTable[[#This Row],[State]],State!A:A,0))</f>
        <v>KA</v>
      </c>
      <c r="J1258" t="str">
        <f>INDEX(State!C:C,MATCH(OrdersTable[[#This Row],[State Code]],State!B:B,0))</f>
        <v>South</v>
      </c>
      <c r="K1258" t="s">
        <v>190</v>
      </c>
      <c r="L1258" t="s">
        <v>65</v>
      </c>
      <c r="M1258" t="s">
        <v>87</v>
      </c>
      <c r="N1258" t="str">
        <f>INDEX(Products!B:B,MATCH(OrdersTable[[#This Row],[Product ID]],Products!A:A,0))</f>
        <v>Linen Kurta</v>
      </c>
      <c r="O1258" t="str">
        <f>INDEX(Products!C:C,MATCH(OrdersTable[[#This Row],[Product ID]],Products!A:A,0))</f>
        <v>Apparel</v>
      </c>
      <c r="P1258">
        <v>2</v>
      </c>
      <c r="Q1258" s="5">
        <v>1499</v>
      </c>
      <c r="R1258" s="74">
        <v>0.4</v>
      </c>
      <c r="S1258" s="75">
        <f>OrdersTable[[#This Row],[Quantity]]*OrdersTable[[#This Row],[Unit Price]]</f>
        <v>2998</v>
      </c>
      <c r="T1258" s="5">
        <f>OrdersTable[[#This Row],[Gross Sale]]*OrdersTable[[#This Row],[Discount_Clean2]]</f>
        <v>1199.2</v>
      </c>
      <c r="U1258" s="5">
        <f>OrdersTable[[#This Row],[Gross Sale]]-OrdersTable[[#This Row],[Discount Amount]]</f>
        <v>1798.8</v>
      </c>
      <c r="V1258" s="77">
        <f>INDEX(Products!E:E,MATCH(OrdersTable[[#This Row],[Product ID]],Products!A:A,0))</f>
        <v>630</v>
      </c>
      <c r="W1258" s="77">
        <f>OrdersTable[[#This Row],[Quantity]]*OrdersTable[[#This Row],[Unit Cost]]</f>
        <v>1260</v>
      </c>
      <c r="X1258" s="77">
        <f>'Dropdown Lists'!$I$2*(1+OrdersTable[[#This Row],[Returned]])</f>
        <v>60</v>
      </c>
      <c r="Y1258" s="76">
        <f>OrdersTable[[#This Row],[Net Revenue]]-OrdersTable[[#This Row],[COGS]]-OrdersTable[[#This Row],[Shipping Cost]]</f>
        <v>478.79999999999995</v>
      </c>
      <c r="Z1258" s="78">
        <f>IFERROR(OrdersTable[[#This Row],[Profit]]/OrdersTable[[#This Row],[Net Revenue]],0)</f>
        <v>0.26617745163442291</v>
      </c>
      <c r="AA1258" t="s">
        <v>2522</v>
      </c>
      <c r="AB1258" s="79">
        <v>45545</v>
      </c>
      <c r="AC1258">
        <f>OrdersTable[[#This Row],[Delivery Date]]-OrdersTable[[#This Row],[Order Date]]</f>
        <v>1</v>
      </c>
      <c r="AD1258" t="str">
        <f>IF(OrdersTable[[#This Row],[Delivery Days]]&lt;=2, "Express (≤2d)", IF(OrdersTable[[#This Row],[Delivery Days]]&lt;=4, "Standard (3-4d)", "Delayed (5d+)"))</f>
        <v>Express (≤2d)</v>
      </c>
      <c r="AF1258">
        <v>0</v>
      </c>
    </row>
    <row r="1259" spans="1:32" ht="15" x14ac:dyDescent="0.35">
      <c r="A1259" t="s">
        <v>1362</v>
      </c>
      <c r="B1259" s="1">
        <v>45544</v>
      </c>
      <c r="C1259">
        <f>YEAR(OrdersTable[[#This Row],[Order Date]])</f>
        <v>2024</v>
      </c>
      <c r="D1259" s="2">
        <f>DATE(YEAR(OrdersTable[[#This Row],[Order Date]]),MONTH(OrdersTable[[#This Row],[Order Date]]),1)</f>
        <v>45536</v>
      </c>
      <c r="E1259">
        <f>MONTH(OrdersTable[[#This Row],[Order Date]])</f>
        <v>9</v>
      </c>
      <c r="F1259" t="s">
        <v>1363</v>
      </c>
      <c r="G1259" t="str">
        <f>IF(OrdersTable[[#This Row],[Order Date]]=_xlfn.MINIFS(Order_Date, Customer_ID, OrdersTable[[#This Row],[Customer ID]]), "New", "Repeat")</f>
        <v>New</v>
      </c>
      <c r="H1259" t="s">
        <v>59</v>
      </c>
      <c r="I1259" t="str">
        <f>INDEX(State!B:B,MATCH(OrdersTable[[#This Row],[State]],State!A:A,0))</f>
        <v>TN</v>
      </c>
      <c r="J1259" t="str">
        <f>INDEX(State!C:C,MATCH(OrdersTable[[#This Row],[State Code]],State!B:B,0))</f>
        <v>South</v>
      </c>
      <c r="K1259" t="s">
        <v>60</v>
      </c>
      <c r="L1259" t="s">
        <v>23</v>
      </c>
      <c r="M1259" t="s">
        <v>255</v>
      </c>
      <c r="N1259" t="str">
        <f>INDEX(Products!B:B,MATCH(OrdersTable[[#This Row],[Product ID]],Products!A:A,0))</f>
        <v>Cotton Oversized T-Shirt</v>
      </c>
      <c r="O1259" t="str">
        <f>INDEX(Products!C:C,MATCH(OrdersTable[[#This Row],[Product ID]],Products!A:A,0))</f>
        <v>Apparel</v>
      </c>
      <c r="P1259">
        <v>1</v>
      </c>
      <c r="Q1259" s="5">
        <v>799</v>
      </c>
      <c r="R1259" s="74">
        <v>0.1</v>
      </c>
      <c r="S1259" s="75">
        <f>OrdersTable[[#This Row],[Quantity]]*OrdersTable[[#This Row],[Unit Price]]</f>
        <v>799</v>
      </c>
      <c r="T1259" s="5">
        <f>OrdersTable[[#This Row],[Gross Sale]]*OrdersTable[[#This Row],[Discount_Clean2]]</f>
        <v>79.900000000000006</v>
      </c>
      <c r="U1259" s="5">
        <f>OrdersTable[[#This Row],[Gross Sale]]-OrdersTable[[#This Row],[Discount Amount]]</f>
        <v>719.1</v>
      </c>
      <c r="V1259" s="77">
        <f>INDEX(Products!E:E,MATCH(OrdersTable[[#This Row],[Product ID]],Products!A:A,0))</f>
        <v>320</v>
      </c>
      <c r="W1259" s="77">
        <f>OrdersTable[[#This Row],[Quantity]]*OrdersTable[[#This Row],[Unit Cost]]</f>
        <v>320</v>
      </c>
      <c r="X1259" s="77">
        <f>'Dropdown Lists'!$I$2*(1+OrdersTable[[#This Row],[Returned]])</f>
        <v>60</v>
      </c>
      <c r="Y1259" s="76">
        <f>OrdersTable[[#This Row],[Net Revenue]]-OrdersTable[[#This Row],[COGS]]-OrdersTable[[#This Row],[Shipping Cost]]</f>
        <v>339.1</v>
      </c>
      <c r="Z1259" s="78">
        <f>IFERROR(OrdersTable[[#This Row],[Profit]]/OrdersTable[[#This Row],[Net Revenue]],0)</f>
        <v>0.47156167431511614</v>
      </c>
      <c r="AA1259" t="s">
        <v>18</v>
      </c>
      <c r="AB1259" s="79">
        <v>45547</v>
      </c>
      <c r="AC1259">
        <f>OrdersTable[[#This Row],[Delivery Date]]-OrdersTable[[#This Row],[Order Date]]</f>
        <v>3</v>
      </c>
      <c r="AD1259" t="str">
        <f>IF(OrdersTable[[#This Row],[Delivery Days]]&lt;=2, "Express (≤2d)", IF(OrdersTable[[#This Row],[Delivery Days]]&lt;=4, "Standard (3-4d)", "Delayed (5d+)"))</f>
        <v>Standard (3-4d)</v>
      </c>
      <c r="AF1259">
        <v>0</v>
      </c>
    </row>
    <row r="1260" spans="1:32" ht="15" x14ac:dyDescent="0.35">
      <c r="A1260" t="s">
        <v>2727</v>
      </c>
      <c r="B1260" s="1">
        <v>45545</v>
      </c>
      <c r="C1260">
        <f>YEAR(OrdersTable[[#This Row],[Order Date]])</f>
        <v>2024</v>
      </c>
      <c r="D1260" s="2">
        <f>DATE(YEAR(OrdersTable[[#This Row],[Order Date]]),MONTH(OrdersTable[[#This Row],[Order Date]]),1)</f>
        <v>45536</v>
      </c>
      <c r="E1260">
        <f>MONTH(OrdersTable[[#This Row],[Order Date]])</f>
        <v>9</v>
      </c>
      <c r="F1260" t="s">
        <v>2728</v>
      </c>
      <c r="G1260" t="str">
        <f>IF(OrdersTable[[#This Row],[Order Date]]=_xlfn.MINIFS(Order_Date, Customer_ID, OrdersTable[[#This Row],[Customer ID]]), "New", "Repeat")</f>
        <v>New</v>
      </c>
      <c r="H1260" t="s">
        <v>76</v>
      </c>
      <c r="I1260" t="str">
        <f>INDEX(State!B:B,MATCH(OrdersTable[[#This Row],[State]],State!A:A,0))</f>
        <v>UP</v>
      </c>
      <c r="J1260" t="str">
        <f>INDEX(State!C:C,MATCH(OrdersTable[[#This Row],[State Code]],State!B:B,0))</f>
        <v>North</v>
      </c>
      <c r="K1260" t="s">
        <v>105</v>
      </c>
      <c r="L1260" t="s">
        <v>23</v>
      </c>
      <c r="M1260" t="s">
        <v>17</v>
      </c>
      <c r="N1260" t="str">
        <f>INDEX(Products!B:B,MATCH(OrdersTable[[#This Row],[Product ID]],Products!A:A,0))</f>
        <v>Casual Sneakers</v>
      </c>
      <c r="O1260" t="str">
        <f>INDEX(Products!C:C,MATCH(OrdersTable[[#This Row],[Product ID]],Products!A:A,0))</f>
        <v>Footwear</v>
      </c>
      <c r="P1260">
        <v>1</v>
      </c>
      <c r="Q1260" s="5">
        <v>2199</v>
      </c>
      <c r="R1260" s="74">
        <v>0.2</v>
      </c>
      <c r="S1260" s="75">
        <f>OrdersTable[[#This Row],[Quantity]]*OrdersTable[[#This Row],[Unit Price]]</f>
        <v>2199</v>
      </c>
      <c r="T1260" s="5">
        <f>OrdersTable[[#This Row],[Gross Sale]]*OrdersTable[[#This Row],[Discount_Clean2]]</f>
        <v>439.8</v>
      </c>
      <c r="U1260" s="5">
        <f>OrdersTable[[#This Row],[Gross Sale]]-OrdersTable[[#This Row],[Discount Amount]]</f>
        <v>1759.2</v>
      </c>
      <c r="V1260" s="77">
        <f>INDEX(Products!E:E,MATCH(OrdersTable[[#This Row],[Product ID]],Products!A:A,0))</f>
        <v>1034</v>
      </c>
      <c r="W1260" s="77">
        <f>OrdersTable[[#This Row],[Quantity]]*OrdersTable[[#This Row],[Unit Cost]]</f>
        <v>1034</v>
      </c>
      <c r="X1260" s="77">
        <f>'Dropdown Lists'!$I$2*(1+OrdersTable[[#This Row],[Returned]])</f>
        <v>60</v>
      </c>
      <c r="Y1260" s="76">
        <f>OrdersTable[[#This Row],[Net Revenue]]-OrdersTable[[#This Row],[COGS]]-OrdersTable[[#This Row],[Shipping Cost]]</f>
        <v>665.2</v>
      </c>
      <c r="Z1260" s="78">
        <f>IFERROR(OrdersTable[[#This Row],[Profit]]/OrdersTable[[#This Row],[Net Revenue]],0)</f>
        <v>0.37812642110050027</v>
      </c>
      <c r="AA1260" t="s">
        <v>2522</v>
      </c>
      <c r="AB1260" s="79">
        <v>45549</v>
      </c>
      <c r="AC1260">
        <f>OrdersTable[[#This Row],[Delivery Date]]-OrdersTable[[#This Row],[Order Date]]</f>
        <v>4</v>
      </c>
      <c r="AD1260" t="str">
        <f>IF(OrdersTable[[#This Row],[Delivery Days]]&lt;=2, "Express (≤2d)", IF(OrdersTable[[#This Row],[Delivery Days]]&lt;=4, "Standard (3-4d)", "Delayed (5d+)"))</f>
        <v>Standard (3-4d)</v>
      </c>
      <c r="AE1260">
        <v>3</v>
      </c>
      <c r="AF1260">
        <v>0</v>
      </c>
    </row>
    <row r="1261" spans="1:32" ht="15" x14ac:dyDescent="0.35">
      <c r="A1261" t="s">
        <v>2097</v>
      </c>
      <c r="B1261" s="1">
        <v>45545</v>
      </c>
      <c r="C1261">
        <f>YEAR(OrdersTable[[#This Row],[Order Date]])</f>
        <v>2024</v>
      </c>
      <c r="D1261" s="2">
        <f>DATE(YEAR(OrdersTable[[#This Row],[Order Date]]),MONTH(OrdersTable[[#This Row],[Order Date]]),1)</f>
        <v>45536</v>
      </c>
      <c r="E1261">
        <f>MONTH(OrdersTable[[#This Row],[Order Date]])</f>
        <v>9</v>
      </c>
      <c r="F1261" t="s">
        <v>2098</v>
      </c>
      <c r="G1261" t="str">
        <f>IF(OrdersTable[[#This Row],[Order Date]]=_xlfn.MINIFS(Order_Date, Customer_ID, OrdersTable[[#This Row],[Customer ID]]), "New", "Repeat")</f>
        <v>Repeat</v>
      </c>
      <c r="H1261" t="s">
        <v>27</v>
      </c>
      <c r="I1261" t="str">
        <f>INDEX(State!B:B,MATCH(OrdersTable[[#This Row],[State]],State!A:A,0))</f>
        <v>WB</v>
      </c>
      <c r="J1261" t="str">
        <f>INDEX(State!C:C,MATCH(OrdersTable[[#This Row],[State Code]],State!B:B,0))</f>
        <v>East</v>
      </c>
      <c r="K1261" t="s">
        <v>28</v>
      </c>
      <c r="L1261" t="s">
        <v>23</v>
      </c>
      <c r="M1261" t="s">
        <v>565</v>
      </c>
      <c r="N1261" t="str">
        <f>INDEX(Products!B:B,MATCH(OrdersTable[[#This Row],[Product ID]],Products!A:A,0))</f>
        <v>Ceramic Dinner Set</v>
      </c>
      <c r="O1261" t="str">
        <f>INDEX(Products!C:C,MATCH(OrdersTable[[#This Row],[Product ID]],Products!A:A,0))</f>
        <v>Home &amp; Kitchen</v>
      </c>
      <c r="P1261">
        <v>1</v>
      </c>
      <c r="Q1261" s="5">
        <v>2499</v>
      </c>
      <c r="R1261" s="74">
        <v>0.25</v>
      </c>
      <c r="S1261" s="75">
        <f>OrdersTable[[#This Row],[Quantity]]*OrdersTable[[#This Row],[Unit Price]]</f>
        <v>2499</v>
      </c>
      <c r="T1261" s="5">
        <f>OrdersTable[[#This Row],[Gross Sale]]*OrdersTable[[#This Row],[Discount_Clean2]]</f>
        <v>624.75</v>
      </c>
      <c r="U1261" s="5">
        <f>OrdersTable[[#This Row],[Gross Sale]]-OrdersTable[[#This Row],[Discount Amount]]</f>
        <v>1874.25</v>
      </c>
      <c r="V1261" s="77">
        <f>INDEX(Products!E:E,MATCH(OrdersTable[[#This Row],[Product ID]],Products!A:A,0))</f>
        <v>1250</v>
      </c>
      <c r="W1261" s="77">
        <f>OrdersTable[[#This Row],[Quantity]]*OrdersTable[[#This Row],[Unit Cost]]</f>
        <v>1250</v>
      </c>
      <c r="X1261" s="77">
        <f>'Dropdown Lists'!$I$2*(1+OrdersTable[[#This Row],[Returned]])</f>
        <v>60</v>
      </c>
      <c r="Y1261" s="76">
        <f>OrdersTable[[#This Row],[Net Revenue]]-OrdersTable[[#This Row],[COGS]]-OrdersTable[[#This Row],[Shipping Cost]]</f>
        <v>564.25</v>
      </c>
      <c r="Z1261" s="78">
        <f>IFERROR(OrdersTable[[#This Row],[Profit]]/OrdersTable[[#This Row],[Net Revenue]],0)</f>
        <v>0.30105375483526742</v>
      </c>
      <c r="AA1261" t="s">
        <v>18</v>
      </c>
      <c r="AB1261" s="79">
        <v>45549</v>
      </c>
      <c r="AC1261">
        <f>OrdersTable[[#This Row],[Delivery Date]]-OrdersTable[[#This Row],[Order Date]]</f>
        <v>4</v>
      </c>
      <c r="AD1261" t="str">
        <f>IF(OrdersTable[[#This Row],[Delivery Days]]&lt;=2, "Express (≤2d)", IF(OrdersTable[[#This Row],[Delivery Days]]&lt;=4, "Standard (3-4d)", "Delayed (5d+)"))</f>
        <v>Standard (3-4d)</v>
      </c>
      <c r="AE1261">
        <v>3</v>
      </c>
      <c r="AF1261">
        <v>0</v>
      </c>
    </row>
    <row r="1262" spans="1:32" ht="15" x14ac:dyDescent="0.35">
      <c r="A1262" t="s">
        <v>3207</v>
      </c>
      <c r="B1262" s="1">
        <v>45545</v>
      </c>
      <c r="C1262">
        <f>YEAR(OrdersTable[[#This Row],[Order Date]])</f>
        <v>2024</v>
      </c>
      <c r="D1262" s="2">
        <f>DATE(YEAR(OrdersTable[[#This Row],[Order Date]]),MONTH(OrdersTable[[#This Row],[Order Date]]),1)</f>
        <v>45536</v>
      </c>
      <c r="E1262">
        <f>MONTH(OrdersTable[[#This Row],[Order Date]])</f>
        <v>9</v>
      </c>
      <c r="F1262" t="s">
        <v>3208</v>
      </c>
      <c r="G1262" t="str">
        <f>IF(OrdersTable[[#This Row],[Order Date]]=_xlfn.MINIFS(Order_Date, Customer_ID, OrdersTable[[#This Row],[Customer ID]]), "New", "Repeat")</f>
        <v>New</v>
      </c>
      <c r="H1262" t="s">
        <v>71</v>
      </c>
      <c r="I1262" t="str">
        <f>INDEX(State!B:B,MATCH(OrdersTable[[#This Row],[State]],State!A:A,0))</f>
        <v>MH</v>
      </c>
      <c r="J1262" t="str">
        <f>INDEX(State!C:C,MATCH(OrdersTable[[#This Row],[State Code]],State!B:B,0))</f>
        <v>West</v>
      </c>
      <c r="K1262" t="s">
        <v>102</v>
      </c>
      <c r="L1262" t="s">
        <v>50</v>
      </c>
      <c r="M1262" t="s">
        <v>66</v>
      </c>
      <c r="N1262" t="str">
        <f>INDEX(Products!B:B,MATCH(OrdersTable[[#This Row],[Product ID]],Products!A:A,0))</f>
        <v>Sunscreen SPF 50</v>
      </c>
      <c r="O1262" t="str">
        <f>INDEX(Products!C:C,MATCH(OrdersTable[[#This Row],[Product ID]],Products!A:A,0))</f>
        <v>Skincare</v>
      </c>
      <c r="P1262">
        <v>1</v>
      </c>
      <c r="Q1262" s="5">
        <v>449</v>
      </c>
      <c r="R1262" s="74">
        <v>0.1</v>
      </c>
      <c r="S1262" s="75">
        <f>OrdersTable[[#This Row],[Quantity]]*OrdersTable[[#This Row],[Unit Price]]</f>
        <v>449</v>
      </c>
      <c r="T1262" s="5">
        <f>OrdersTable[[#This Row],[Gross Sale]]*OrdersTable[[#This Row],[Discount_Clean2]]</f>
        <v>44.900000000000006</v>
      </c>
      <c r="U1262" s="5">
        <f>OrdersTable[[#This Row],[Gross Sale]]-OrdersTable[[#This Row],[Discount Amount]]</f>
        <v>404.1</v>
      </c>
      <c r="V1262" s="77">
        <f>INDEX(Products!E:E,MATCH(OrdersTable[[#This Row],[Product ID]],Products!A:A,0))</f>
        <v>144</v>
      </c>
      <c r="W1262" s="77">
        <f>OrdersTable[[#This Row],[Quantity]]*OrdersTable[[#This Row],[Unit Cost]]</f>
        <v>144</v>
      </c>
      <c r="X1262" s="77">
        <f>'Dropdown Lists'!$I$2*(1+OrdersTable[[#This Row],[Returned]])</f>
        <v>60</v>
      </c>
      <c r="Y1262" s="76">
        <f>OrdersTable[[#This Row],[Net Revenue]]-OrdersTable[[#This Row],[COGS]]-OrdersTable[[#This Row],[Shipping Cost]]</f>
        <v>200.10000000000002</v>
      </c>
      <c r="Z1262" s="78">
        <f>IFERROR(OrdersTable[[#This Row],[Profit]]/OrdersTable[[#This Row],[Net Revenue]],0)</f>
        <v>0.4951744617668894</v>
      </c>
      <c r="AA1262" t="s">
        <v>2522</v>
      </c>
      <c r="AB1262" s="79">
        <v>45546</v>
      </c>
      <c r="AC1262">
        <f>OrdersTable[[#This Row],[Delivery Date]]-OrdersTable[[#This Row],[Order Date]]</f>
        <v>1</v>
      </c>
      <c r="AD1262" t="str">
        <f>IF(OrdersTable[[#This Row],[Delivery Days]]&lt;=2, "Express (≤2d)", IF(OrdersTable[[#This Row],[Delivery Days]]&lt;=4, "Standard (3-4d)", "Delayed (5d+)"))</f>
        <v>Express (≤2d)</v>
      </c>
      <c r="AE1262">
        <v>4</v>
      </c>
      <c r="AF1262">
        <v>0</v>
      </c>
    </row>
    <row r="1263" spans="1:32" ht="15" x14ac:dyDescent="0.35">
      <c r="A1263" t="s">
        <v>5585</v>
      </c>
      <c r="B1263" s="1">
        <v>45545</v>
      </c>
      <c r="C1263">
        <f>YEAR(OrdersTable[[#This Row],[Order Date]])</f>
        <v>2024</v>
      </c>
      <c r="D1263" s="2">
        <f>DATE(YEAR(OrdersTable[[#This Row],[Order Date]]),MONTH(OrdersTable[[#This Row],[Order Date]]),1)</f>
        <v>45536</v>
      </c>
      <c r="E1263">
        <f>MONTH(OrdersTable[[#This Row],[Order Date]])</f>
        <v>9</v>
      </c>
      <c r="F1263" t="s">
        <v>3219</v>
      </c>
      <c r="G1263" t="str">
        <f>IF(OrdersTable[[#This Row],[Order Date]]=_xlfn.MINIFS(Order_Date, Customer_ID, OrdersTable[[#This Row],[Customer ID]]), "New", "Repeat")</f>
        <v>Repeat</v>
      </c>
      <c r="H1263" t="s">
        <v>71</v>
      </c>
      <c r="I1263" t="str">
        <f>INDEX(State!B:B,MATCH(OrdersTable[[#This Row],[State]],State!A:A,0))</f>
        <v>MH</v>
      </c>
      <c r="J1263" t="str">
        <f>INDEX(State!C:C,MATCH(OrdersTable[[#This Row],[State Code]],State!B:B,0))</f>
        <v>West</v>
      </c>
      <c r="K1263" t="s">
        <v>72</v>
      </c>
      <c r="L1263" t="s">
        <v>65</v>
      </c>
      <c r="M1263" t="s">
        <v>51</v>
      </c>
      <c r="N1263" t="str">
        <f>INDEX(Products!B:B,MATCH(OrdersTable[[#This Row],[Product ID]],Products!A:A,0))</f>
        <v>Anti-Dandruff Conditioner</v>
      </c>
      <c r="O1263" t="str">
        <f>INDEX(Products!C:C,MATCH(OrdersTable[[#This Row],[Product ID]],Products!A:A,0))</f>
        <v>Haircare</v>
      </c>
      <c r="P1263">
        <v>2</v>
      </c>
      <c r="Q1263" s="5">
        <v>399</v>
      </c>
      <c r="R1263" s="74">
        <v>0.45</v>
      </c>
      <c r="S1263" s="75">
        <f>OrdersTable[[#This Row],[Quantity]]*OrdersTable[[#This Row],[Unit Price]]</f>
        <v>798</v>
      </c>
      <c r="T1263" s="5">
        <f>OrdersTable[[#This Row],[Gross Sale]]*OrdersTable[[#This Row],[Discount_Clean2]]</f>
        <v>359.1</v>
      </c>
      <c r="U1263" s="5">
        <f>OrdersTable[[#This Row],[Gross Sale]]-OrdersTable[[#This Row],[Discount Amount]]</f>
        <v>438.9</v>
      </c>
      <c r="V1263" s="77">
        <f>INDEX(Products!E:E,MATCH(OrdersTable[[#This Row],[Product ID]],Products!A:A,0))</f>
        <v>136</v>
      </c>
      <c r="W1263" s="77">
        <f>OrdersTable[[#This Row],[Quantity]]*OrdersTable[[#This Row],[Unit Cost]]</f>
        <v>272</v>
      </c>
      <c r="X1263" s="77">
        <f>'Dropdown Lists'!$I$2*(1+OrdersTable[[#This Row],[Returned]])</f>
        <v>60</v>
      </c>
      <c r="Y1263" s="76">
        <f>OrdersTable[[#This Row],[Net Revenue]]-OrdersTable[[#This Row],[COGS]]-OrdersTable[[#This Row],[Shipping Cost]]</f>
        <v>106.89999999999998</v>
      </c>
      <c r="Z1263" s="78">
        <f>IFERROR(OrdersTable[[#This Row],[Profit]]/OrdersTable[[#This Row],[Net Revenue]],0)</f>
        <v>0.24356345408976984</v>
      </c>
      <c r="AA1263" t="s">
        <v>2522</v>
      </c>
      <c r="AB1263" s="79">
        <v>45546</v>
      </c>
      <c r="AC1263">
        <f>OrdersTable[[#This Row],[Delivery Date]]-OrdersTable[[#This Row],[Order Date]]</f>
        <v>1</v>
      </c>
      <c r="AD1263" t="str">
        <f>IF(OrdersTable[[#This Row],[Delivery Days]]&lt;=2, "Express (≤2d)", IF(OrdersTable[[#This Row],[Delivery Days]]&lt;=4, "Standard (3-4d)", "Delayed (5d+)"))</f>
        <v>Express (≤2d)</v>
      </c>
      <c r="AF1263">
        <v>0</v>
      </c>
    </row>
    <row r="1264" spans="1:32" ht="15" x14ac:dyDescent="0.35">
      <c r="A1264" t="s">
        <v>768</v>
      </c>
      <c r="B1264" s="1">
        <v>45545</v>
      </c>
      <c r="C1264">
        <f>YEAR(OrdersTable[[#This Row],[Order Date]])</f>
        <v>2024</v>
      </c>
      <c r="D1264" s="2">
        <f>DATE(YEAR(OrdersTable[[#This Row],[Order Date]]),MONTH(OrdersTable[[#This Row],[Order Date]]),1)</f>
        <v>45536</v>
      </c>
      <c r="E1264">
        <f>MONTH(OrdersTable[[#This Row],[Order Date]])</f>
        <v>9</v>
      </c>
      <c r="F1264" t="s">
        <v>739</v>
      </c>
      <c r="G1264" t="str">
        <f>IF(OrdersTable[[#This Row],[Order Date]]=_xlfn.MINIFS(Order_Date, Customer_ID, OrdersTable[[#This Row],[Customer ID]]), "New", "Repeat")</f>
        <v>Repeat</v>
      </c>
      <c r="H1264" t="s">
        <v>95</v>
      </c>
      <c r="I1264" t="str">
        <f>INDEX(State!B:B,MATCH(OrdersTable[[#This Row],[State]],State!A:A,0))</f>
        <v>TG</v>
      </c>
      <c r="J1264" t="str">
        <f>INDEX(State!C:C,MATCH(OrdersTable[[#This Row],[State Code]],State!B:B,0))</f>
        <v>South</v>
      </c>
      <c r="K1264" t="s">
        <v>96</v>
      </c>
      <c r="L1264" t="s">
        <v>39</v>
      </c>
      <c r="M1264" t="s">
        <v>61</v>
      </c>
      <c r="N1264" t="str">
        <f>INDEX(Products!B:B,MATCH(OrdersTable[[#This Row],[Product ID]],Products!A:A,0))</f>
        <v>Multivitamin Gummies</v>
      </c>
      <c r="O1264" t="str">
        <f>INDEX(Products!C:C,MATCH(OrdersTable[[#This Row],[Product ID]],Products!A:A,0))</f>
        <v>Wellness</v>
      </c>
      <c r="P1264">
        <v>1</v>
      </c>
      <c r="Q1264" s="5">
        <v>699</v>
      </c>
      <c r="R1264" s="74">
        <v>0.25</v>
      </c>
      <c r="S1264" s="75">
        <f>OrdersTable[[#This Row],[Quantity]]*OrdersTable[[#This Row],[Unit Price]]</f>
        <v>699</v>
      </c>
      <c r="T1264" s="5">
        <f>OrdersTable[[#This Row],[Gross Sale]]*OrdersTable[[#This Row],[Discount_Clean2]]</f>
        <v>174.75</v>
      </c>
      <c r="U1264" s="5">
        <f>OrdersTable[[#This Row],[Gross Sale]]-OrdersTable[[#This Row],[Discount Amount]]</f>
        <v>524.25</v>
      </c>
      <c r="V1264" s="77">
        <f>INDEX(Products!E:E,MATCH(OrdersTable[[#This Row],[Product ID]],Products!A:A,0))</f>
        <v>238</v>
      </c>
      <c r="W1264" s="77">
        <f>OrdersTable[[#This Row],[Quantity]]*OrdersTable[[#This Row],[Unit Cost]]</f>
        <v>238</v>
      </c>
      <c r="X1264" s="77">
        <f>'Dropdown Lists'!$I$2*(1+OrdersTable[[#This Row],[Returned]])</f>
        <v>60</v>
      </c>
      <c r="Y1264" s="76">
        <f>OrdersTable[[#This Row],[Net Revenue]]-OrdersTable[[#This Row],[COGS]]-OrdersTable[[#This Row],[Shipping Cost]]</f>
        <v>226.25</v>
      </c>
      <c r="Z1264" s="78">
        <f>IFERROR(OrdersTable[[#This Row],[Profit]]/OrdersTable[[#This Row],[Net Revenue]],0)</f>
        <v>0.43156890796375774</v>
      </c>
      <c r="AA1264" t="s">
        <v>18</v>
      </c>
      <c r="AB1264" s="79">
        <v>45548</v>
      </c>
      <c r="AC1264">
        <f>OrdersTable[[#This Row],[Delivery Date]]-OrdersTable[[#This Row],[Order Date]]</f>
        <v>3</v>
      </c>
      <c r="AD1264" t="str">
        <f>IF(OrdersTable[[#This Row],[Delivery Days]]&lt;=2, "Express (≤2d)", IF(OrdersTable[[#This Row],[Delivery Days]]&lt;=4, "Standard (3-4d)", "Delayed (5d+)"))</f>
        <v>Standard (3-4d)</v>
      </c>
      <c r="AE1264">
        <v>4</v>
      </c>
      <c r="AF1264">
        <v>0</v>
      </c>
    </row>
    <row r="1265" spans="1:32" ht="15" x14ac:dyDescent="0.35">
      <c r="A1265" t="s">
        <v>509</v>
      </c>
      <c r="B1265" s="1">
        <v>45545</v>
      </c>
      <c r="C1265">
        <f>YEAR(OrdersTable[[#This Row],[Order Date]])</f>
        <v>2024</v>
      </c>
      <c r="D1265" s="2">
        <f>DATE(YEAR(OrdersTable[[#This Row],[Order Date]]),MONTH(OrdersTable[[#This Row],[Order Date]]),1)</f>
        <v>45536</v>
      </c>
      <c r="E1265">
        <f>MONTH(OrdersTable[[#This Row],[Order Date]])</f>
        <v>9</v>
      </c>
      <c r="F1265" t="s">
        <v>510</v>
      </c>
      <c r="G1265" t="str">
        <f>IF(OrdersTable[[#This Row],[Order Date]]=_xlfn.MINIFS(Order_Date, Customer_ID, OrdersTable[[#This Row],[Customer ID]]), "New", "Repeat")</f>
        <v>New</v>
      </c>
      <c r="H1265" t="s">
        <v>167</v>
      </c>
      <c r="I1265" t="str">
        <f>INDEX(State!B:B,MATCH(OrdersTable[[#This Row],[State]],State!A:A,0))</f>
        <v>KA</v>
      </c>
      <c r="J1265" t="str">
        <f>INDEX(State!C:C,MATCH(OrdersTable[[#This Row],[State Code]],State!B:B,0))</f>
        <v>South</v>
      </c>
      <c r="K1265" t="s">
        <v>168</v>
      </c>
      <c r="L1265" t="s">
        <v>39</v>
      </c>
      <c r="M1265" t="s">
        <v>255</v>
      </c>
      <c r="N1265" t="str">
        <f>INDEX(Products!B:B,MATCH(OrdersTable[[#This Row],[Product ID]],Products!A:A,0))</f>
        <v>Cotton Oversized T-Shirt</v>
      </c>
      <c r="O1265" t="str">
        <f>INDEX(Products!C:C,MATCH(OrdersTable[[#This Row],[Product ID]],Products!A:A,0))</f>
        <v>Apparel</v>
      </c>
      <c r="P1265">
        <v>1</v>
      </c>
      <c r="Q1265" s="5">
        <v>799</v>
      </c>
      <c r="R1265" s="74">
        <v>0.05</v>
      </c>
      <c r="S1265" s="75">
        <f>OrdersTable[[#This Row],[Quantity]]*OrdersTable[[#This Row],[Unit Price]]</f>
        <v>799</v>
      </c>
      <c r="T1265" s="5">
        <f>OrdersTable[[#This Row],[Gross Sale]]*OrdersTable[[#This Row],[Discount_Clean2]]</f>
        <v>39.950000000000003</v>
      </c>
      <c r="U1265" s="5">
        <f>OrdersTable[[#This Row],[Gross Sale]]-OrdersTable[[#This Row],[Discount Amount]]</f>
        <v>759.05</v>
      </c>
      <c r="V1265" s="77">
        <f>INDEX(Products!E:E,MATCH(OrdersTable[[#This Row],[Product ID]],Products!A:A,0))</f>
        <v>320</v>
      </c>
      <c r="W1265" s="77">
        <f>OrdersTable[[#This Row],[Quantity]]*OrdersTable[[#This Row],[Unit Cost]]</f>
        <v>320</v>
      </c>
      <c r="X1265" s="77">
        <f>'Dropdown Lists'!$I$2*(1+OrdersTable[[#This Row],[Returned]])</f>
        <v>60</v>
      </c>
      <c r="Y1265" s="76">
        <f>OrdersTable[[#This Row],[Net Revenue]]-OrdersTable[[#This Row],[COGS]]-OrdersTable[[#This Row],[Shipping Cost]]</f>
        <v>379.04999999999995</v>
      </c>
      <c r="Z1265" s="78">
        <f>IFERROR(OrdersTable[[#This Row],[Profit]]/OrdersTable[[#This Row],[Net Revenue]],0)</f>
        <v>0.49937421777221525</v>
      </c>
      <c r="AA1265" t="s">
        <v>18</v>
      </c>
      <c r="AB1265" s="79">
        <v>45548</v>
      </c>
      <c r="AC1265">
        <f>OrdersTable[[#This Row],[Delivery Date]]-OrdersTable[[#This Row],[Order Date]]</f>
        <v>3</v>
      </c>
      <c r="AD1265" t="str">
        <f>IF(OrdersTable[[#This Row],[Delivery Days]]&lt;=2, "Express (≤2d)", IF(OrdersTable[[#This Row],[Delivery Days]]&lt;=4, "Standard (3-4d)", "Delayed (5d+)"))</f>
        <v>Standard (3-4d)</v>
      </c>
      <c r="AE1265">
        <v>4</v>
      </c>
      <c r="AF1265">
        <v>0</v>
      </c>
    </row>
    <row r="1266" spans="1:32" ht="15" x14ac:dyDescent="0.35">
      <c r="A1266" t="s">
        <v>6084</v>
      </c>
      <c r="B1266" s="1">
        <v>45545</v>
      </c>
      <c r="C1266">
        <f>YEAR(OrdersTable[[#This Row],[Order Date]])</f>
        <v>2024</v>
      </c>
      <c r="D1266" s="2">
        <f>DATE(YEAR(OrdersTable[[#This Row],[Order Date]]),MONTH(OrdersTable[[#This Row],[Order Date]]),1)</f>
        <v>45536</v>
      </c>
      <c r="E1266">
        <f>MONTH(OrdersTable[[#This Row],[Order Date]])</f>
        <v>9</v>
      </c>
      <c r="F1266" t="s">
        <v>710</v>
      </c>
      <c r="G1266" t="str">
        <f>IF(OrdersTable[[#This Row],[Order Date]]=_xlfn.MINIFS(Order_Date, Customer_ID, OrdersTable[[#This Row],[Customer ID]]), "New", "Repeat")</f>
        <v>Repeat</v>
      </c>
      <c r="H1266" t="s">
        <v>59</v>
      </c>
      <c r="I1266" t="str">
        <f>INDEX(State!B:B,MATCH(OrdersTable[[#This Row],[State]],State!A:A,0))</f>
        <v>TN</v>
      </c>
      <c r="J1266" t="str">
        <f>INDEX(State!C:C,MATCH(OrdersTable[[#This Row],[State Code]],State!B:B,0))</f>
        <v>South</v>
      </c>
      <c r="K1266" t="s">
        <v>60</v>
      </c>
      <c r="L1266" t="s">
        <v>23</v>
      </c>
      <c r="M1266" t="s">
        <v>78</v>
      </c>
      <c r="N1266" t="str">
        <f>INDEX(Products!B:B,MATCH(OrdersTable[[#This Row],[Product ID]],Products!A:A,0))</f>
        <v>Retinol Night Cream</v>
      </c>
      <c r="O1266" t="str">
        <f>INDEX(Products!C:C,MATCH(OrdersTable[[#This Row],[Product ID]],Products!A:A,0))</f>
        <v>Skincare</v>
      </c>
      <c r="P1266">
        <v>2</v>
      </c>
      <c r="Q1266" s="5">
        <v>799</v>
      </c>
      <c r="R1266" s="74">
        <v>0</v>
      </c>
      <c r="S1266" s="75">
        <f>OrdersTable[[#This Row],[Quantity]]*OrdersTable[[#This Row],[Unit Price]]</f>
        <v>1598</v>
      </c>
      <c r="T1266" s="5">
        <f>OrdersTable[[#This Row],[Gross Sale]]*OrdersTable[[#This Row],[Discount_Clean2]]</f>
        <v>0</v>
      </c>
      <c r="U1266" s="5">
        <f>OrdersTable[[#This Row],[Gross Sale]]-OrdersTable[[#This Row],[Discount Amount]]</f>
        <v>1598</v>
      </c>
      <c r="V1266" s="77">
        <f>INDEX(Products!E:E,MATCH(OrdersTable[[#This Row],[Product ID]],Products!A:A,0))</f>
        <v>216</v>
      </c>
      <c r="W1266" s="77">
        <f>OrdersTable[[#This Row],[Quantity]]*OrdersTable[[#This Row],[Unit Cost]]</f>
        <v>432</v>
      </c>
      <c r="X1266" s="77">
        <f>'Dropdown Lists'!$I$2*(1+OrdersTable[[#This Row],[Returned]])</f>
        <v>60</v>
      </c>
      <c r="Y1266" s="76">
        <f>OrdersTable[[#This Row],[Net Revenue]]-OrdersTable[[#This Row],[COGS]]-OrdersTable[[#This Row],[Shipping Cost]]</f>
        <v>1106</v>
      </c>
      <c r="Z1266" s="78">
        <f>IFERROR(OrdersTable[[#This Row],[Profit]]/OrdersTable[[#This Row],[Net Revenue]],0)</f>
        <v>0.69211514392991236</v>
      </c>
      <c r="AA1266" t="s">
        <v>18</v>
      </c>
      <c r="AB1266" s="79">
        <v>45547</v>
      </c>
      <c r="AC1266">
        <f>OrdersTable[[#This Row],[Delivery Date]]-OrdersTable[[#This Row],[Order Date]]</f>
        <v>2</v>
      </c>
      <c r="AD1266" t="str">
        <f>IF(OrdersTable[[#This Row],[Delivery Days]]&lt;=2, "Express (≤2d)", IF(OrdersTable[[#This Row],[Delivery Days]]&lt;=4, "Standard (3-4d)", "Delayed (5d+)"))</f>
        <v>Express (≤2d)</v>
      </c>
      <c r="AE1266">
        <v>4</v>
      </c>
      <c r="AF1266">
        <v>0</v>
      </c>
    </row>
    <row r="1267" spans="1:32" ht="15" x14ac:dyDescent="0.35">
      <c r="A1267" t="s">
        <v>6298</v>
      </c>
      <c r="B1267" s="1">
        <v>45546</v>
      </c>
      <c r="C1267">
        <f>YEAR(OrdersTable[[#This Row],[Order Date]])</f>
        <v>2024</v>
      </c>
      <c r="D1267" s="2">
        <f>DATE(YEAR(OrdersTable[[#This Row],[Order Date]]),MONTH(OrdersTable[[#This Row],[Order Date]]),1)</f>
        <v>45536</v>
      </c>
      <c r="E1267">
        <f>MONTH(OrdersTable[[#This Row],[Order Date]])</f>
        <v>9</v>
      </c>
      <c r="F1267" t="s">
        <v>6299</v>
      </c>
      <c r="G1267" t="str">
        <f>IF(OrdersTable[[#This Row],[Order Date]]=_xlfn.MINIFS(Order_Date, Customer_ID, OrdersTable[[#This Row],[Customer ID]]), "New", "Repeat")</f>
        <v>New</v>
      </c>
      <c r="H1267" t="s">
        <v>76</v>
      </c>
      <c r="I1267" t="str">
        <f>INDEX(State!B:B,MATCH(OrdersTable[[#This Row],[State]],State!A:A,0))</f>
        <v>UP</v>
      </c>
      <c r="J1267" t="str">
        <f>INDEX(State!C:C,MATCH(OrdersTable[[#This Row],[State Code]],State!B:B,0))</f>
        <v>North</v>
      </c>
      <c r="K1267" t="s">
        <v>105</v>
      </c>
      <c r="L1267" t="s">
        <v>50</v>
      </c>
      <c r="M1267" t="s">
        <v>160</v>
      </c>
      <c r="N1267" t="str">
        <f>INDEX(Products!B:B,MATCH(OrdersTable[[#This Row],[Product ID]],Products!A:A,0))</f>
        <v>Niacinamide Toner</v>
      </c>
      <c r="O1267" t="str">
        <f>INDEX(Products!C:C,MATCH(OrdersTable[[#This Row],[Product ID]],Products!A:A,0))</f>
        <v>Skincare</v>
      </c>
      <c r="P1267">
        <v>2</v>
      </c>
      <c r="Q1267" s="5">
        <v>399</v>
      </c>
      <c r="R1267" s="74">
        <v>0.3</v>
      </c>
      <c r="S1267" s="75">
        <f>OrdersTable[[#This Row],[Quantity]]*OrdersTable[[#This Row],[Unit Price]]</f>
        <v>798</v>
      </c>
      <c r="T1267" s="5">
        <f>OrdersTable[[#This Row],[Gross Sale]]*OrdersTable[[#This Row],[Discount_Clean2]]</f>
        <v>239.39999999999998</v>
      </c>
      <c r="U1267" s="5">
        <f>OrdersTable[[#This Row],[Gross Sale]]-OrdersTable[[#This Row],[Discount Amount]]</f>
        <v>558.6</v>
      </c>
      <c r="V1267" s="77">
        <f>INDEX(Products!E:E,MATCH(OrdersTable[[#This Row],[Product ID]],Products!A:A,0))</f>
        <v>112</v>
      </c>
      <c r="W1267" s="77">
        <f>OrdersTable[[#This Row],[Quantity]]*OrdersTable[[#This Row],[Unit Cost]]</f>
        <v>224</v>
      </c>
      <c r="X1267" s="77">
        <f>'Dropdown Lists'!$I$2*(1+OrdersTable[[#This Row],[Returned]])</f>
        <v>60</v>
      </c>
      <c r="Y1267" s="76">
        <f>OrdersTable[[#This Row],[Net Revenue]]-OrdersTable[[#This Row],[COGS]]-OrdersTable[[#This Row],[Shipping Cost]]</f>
        <v>274.60000000000002</v>
      </c>
      <c r="Z1267" s="78">
        <f>IFERROR(OrdersTable[[#This Row],[Profit]]/OrdersTable[[#This Row],[Net Revenue]],0)</f>
        <v>0.49158610812746151</v>
      </c>
      <c r="AA1267" t="s">
        <v>18</v>
      </c>
      <c r="AB1267" s="79">
        <v>45548</v>
      </c>
      <c r="AC1267">
        <f>OrdersTable[[#This Row],[Delivery Date]]-OrdersTable[[#This Row],[Order Date]]</f>
        <v>2</v>
      </c>
      <c r="AD1267" t="str">
        <f>IF(OrdersTable[[#This Row],[Delivery Days]]&lt;=2, "Express (≤2d)", IF(OrdersTable[[#This Row],[Delivery Days]]&lt;=4, "Standard (3-4d)", "Delayed (5d+)"))</f>
        <v>Express (≤2d)</v>
      </c>
      <c r="AE1267">
        <v>5</v>
      </c>
      <c r="AF1267">
        <v>0</v>
      </c>
    </row>
    <row r="1268" spans="1:32" ht="15" x14ac:dyDescent="0.35">
      <c r="A1268" t="s">
        <v>2307</v>
      </c>
      <c r="B1268" s="1">
        <v>45546</v>
      </c>
      <c r="C1268">
        <f>YEAR(OrdersTable[[#This Row],[Order Date]])</f>
        <v>2024</v>
      </c>
      <c r="D1268" s="2">
        <f>DATE(YEAR(OrdersTable[[#This Row],[Order Date]]),MONTH(OrdersTable[[#This Row],[Order Date]]),1)</f>
        <v>45536</v>
      </c>
      <c r="E1268">
        <f>MONTH(OrdersTable[[#This Row],[Order Date]])</f>
        <v>9</v>
      </c>
      <c r="F1268" t="s">
        <v>2308</v>
      </c>
      <c r="G1268" t="str">
        <f>IF(OrdersTable[[#This Row],[Order Date]]=_xlfn.MINIFS(Order_Date, Customer_ID, OrdersTable[[#This Row],[Customer ID]]), "New", "Repeat")</f>
        <v>New</v>
      </c>
      <c r="H1268" t="s">
        <v>43</v>
      </c>
      <c r="I1268" t="str">
        <f>INDEX(State!B:B,MATCH(OrdersTable[[#This Row],[State]],State!A:A,0))</f>
        <v>MP</v>
      </c>
      <c r="J1268" t="str">
        <f>INDEX(State!C:C,MATCH(OrdersTable[[#This Row],[State Code]],State!B:B,0))</f>
        <v>West</v>
      </c>
      <c r="K1268" t="s">
        <v>44</v>
      </c>
      <c r="L1268" t="s">
        <v>50</v>
      </c>
      <c r="M1268" t="s">
        <v>160</v>
      </c>
      <c r="N1268" t="str">
        <f>INDEX(Products!B:B,MATCH(OrdersTable[[#This Row],[Product ID]],Products!A:A,0))</f>
        <v>Niacinamide Toner</v>
      </c>
      <c r="O1268" t="str">
        <f>INDEX(Products!C:C,MATCH(OrdersTable[[#This Row],[Product ID]],Products!A:A,0))</f>
        <v>Skincare</v>
      </c>
      <c r="P1268">
        <v>1</v>
      </c>
      <c r="Q1268" s="5">
        <v>399</v>
      </c>
      <c r="R1268" s="74">
        <v>0.15</v>
      </c>
      <c r="S1268" s="75">
        <f>OrdersTable[[#This Row],[Quantity]]*OrdersTable[[#This Row],[Unit Price]]</f>
        <v>399</v>
      </c>
      <c r="T1268" s="5">
        <f>OrdersTable[[#This Row],[Gross Sale]]*OrdersTable[[#This Row],[Discount_Clean2]]</f>
        <v>59.849999999999994</v>
      </c>
      <c r="U1268" s="5">
        <f>OrdersTable[[#This Row],[Gross Sale]]-OrdersTable[[#This Row],[Discount Amount]]</f>
        <v>339.15</v>
      </c>
      <c r="V1268" s="77">
        <f>INDEX(Products!E:E,MATCH(OrdersTable[[#This Row],[Product ID]],Products!A:A,0))</f>
        <v>112</v>
      </c>
      <c r="W1268" s="77">
        <f>OrdersTable[[#This Row],[Quantity]]*OrdersTable[[#This Row],[Unit Cost]]</f>
        <v>112</v>
      </c>
      <c r="X1268" s="77">
        <f>'Dropdown Lists'!$I$2*(1+OrdersTable[[#This Row],[Returned]])</f>
        <v>60</v>
      </c>
      <c r="Y1268" s="76">
        <f>OrdersTable[[#This Row],[Net Revenue]]-OrdersTable[[#This Row],[COGS]]-OrdersTable[[#This Row],[Shipping Cost]]</f>
        <v>167.14999999999998</v>
      </c>
      <c r="Z1268" s="78">
        <f>IFERROR(OrdersTable[[#This Row],[Profit]]/OrdersTable[[#This Row],[Net Revenue]],0)</f>
        <v>0.49284977148754233</v>
      </c>
      <c r="AA1268" t="s">
        <v>18</v>
      </c>
      <c r="AB1268" s="79">
        <v>45549</v>
      </c>
      <c r="AC1268">
        <f>OrdersTable[[#This Row],[Delivery Date]]-OrdersTable[[#This Row],[Order Date]]</f>
        <v>3</v>
      </c>
      <c r="AD1268" t="str">
        <f>IF(OrdersTable[[#This Row],[Delivery Days]]&lt;=2, "Express (≤2d)", IF(OrdersTable[[#This Row],[Delivery Days]]&lt;=4, "Standard (3-4d)", "Delayed (5d+)"))</f>
        <v>Standard (3-4d)</v>
      </c>
      <c r="AE1268">
        <v>5</v>
      </c>
      <c r="AF1268">
        <v>0</v>
      </c>
    </row>
    <row r="1269" spans="1:32" ht="15" x14ac:dyDescent="0.35">
      <c r="A1269" t="s">
        <v>5586</v>
      </c>
      <c r="B1269" s="1">
        <v>45546</v>
      </c>
      <c r="C1269">
        <f>YEAR(OrdersTable[[#This Row],[Order Date]])</f>
        <v>2024</v>
      </c>
      <c r="D1269" s="2">
        <f>DATE(YEAR(OrdersTable[[#This Row],[Order Date]]),MONTH(OrdersTable[[#This Row],[Order Date]]),1)</f>
        <v>45536</v>
      </c>
      <c r="E1269">
        <f>MONTH(OrdersTable[[#This Row],[Order Date]])</f>
        <v>9</v>
      </c>
      <c r="F1269" t="s">
        <v>5587</v>
      </c>
      <c r="G1269" t="str">
        <f>IF(OrdersTable[[#This Row],[Order Date]]=_xlfn.MINIFS(Order_Date, Customer_ID, OrdersTable[[#This Row],[Customer ID]]), "New", "Repeat")</f>
        <v>Repeat</v>
      </c>
      <c r="H1269" t="s">
        <v>43</v>
      </c>
      <c r="I1269" t="str">
        <f>INDEX(State!B:B,MATCH(OrdersTable[[#This Row],[State]],State!A:A,0))</f>
        <v>MP</v>
      </c>
      <c r="J1269" t="str">
        <f>INDEX(State!C:C,MATCH(OrdersTable[[#This Row],[State Code]],State!B:B,0))</f>
        <v>West</v>
      </c>
      <c r="K1269" t="s">
        <v>250</v>
      </c>
      <c r="L1269" t="s">
        <v>65</v>
      </c>
      <c r="M1269" t="s">
        <v>51</v>
      </c>
      <c r="N1269" t="str">
        <f>INDEX(Products!B:B,MATCH(OrdersTable[[#This Row],[Product ID]],Products!A:A,0))</f>
        <v>Anti-Dandruff Conditioner</v>
      </c>
      <c r="O1269" t="str">
        <f>INDEX(Products!C:C,MATCH(OrdersTable[[#This Row],[Product ID]],Products!A:A,0))</f>
        <v>Haircare</v>
      </c>
      <c r="P1269">
        <v>2</v>
      </c>
      <c r="Q1269" s="5">
        <v>399</v>
      </c>
      <c r="R1269" s="74">
        <v>0.35</v>
      </c>
      <c r="S1269" s="75">
        <f>OrdersTable[[#This Row],[Quantity]]*OrdersTable[[#This Row],[Unit Price]]</f>
        <v>798</v>
      </c>
      <c r="T1269" s="5">
        <f>OrdersTable[[#This Row],[Gross Sale]]*OrdersTable[[#This Row],[Discount_Clean2]]</f>
        <v>279.29999999999995</v>
      </c>
      <c r="U1269" s="5">
        <f>OrdersTable[[#This Row],[Gross Sale]]-OrdersTable[[#This Row],[Discount Amount]]</f>
        <v>518.70000000000005</v>
      </c>
      <c r="V1269" s="77">
        <f>INDEX(Products!E:E,MATCH(OrdersTable[[#This Row],[Product ID]],Products!A:A,0))</f>
        <v>136</v>
      </c>
      <c r="W1269" s="77">
        <f>OrdersTable[[#This Row],[Quantity]]*OrdersTable[[#This Row],[Unit Cost]]</f>
        <v>272</v>
      </c>
      <c r="X1269" s="77">
        <f>'Dropdown Lists'!$I$2*(1+OrdersTable[[#This Row],[Returned]])</f>
        <v>120</v>
      </c>
      <c r="Y1269" s="76">
        <f>OrdersTable[[#This Row],[Net Revenue]]-OrdersTable[[#This Row],[COGS]]-OrdersTable[[#This Row],[Shipping Cost]]</f>
        <v>126.70000000000005</v>
      </c>
      <c r="Z1269" s="78">
        <f>IFERROR(OrdersTable[[#This Row],[Profit]]/OrdersTable[[#This Row],[Net Revenue]],0)</f>
        <v>0.24426450742240222</v>
      </c>
      <c r="AA1269" t="s">
        <v>2522</v>
      </c>
      <c r="AB1269" s="79">
        <v>45549</v>
      </c>
      <c r="AC1269">
        <f>OrdersTable[[#This Row],[Delivery Date]]-OrdersTable[[#This Row],[Order Date]]</f>
        <v>3</v>
      </c>
      <c r="AD1269" t="str">
        <f>IF(OrdersTable[[#This Row],[Delivery Days]]&lt;=2, "Express (≤2d)", IF(OrdersTable[[#This Row],[Delivery Days]]&lt;=4, "Standard (3-4d)", "Delayed (5d+)"))</f>
        <v>Standard (3-4d)</v>
      </c>
      <c r="AE1269">
        <v>3</v>
      </c>
      <c r="AF1269">
        <v>1</v>
      </c>
    </row>
    <row r="1270" spans="1:32" ht="15" x14ac:dyDescent="0.35">
      <c r="A1270" t="s">
        <v>1500</v>
      </c>
      <c r="B1270" s="1">
        <v>45546</v>
      </c>
      <c r="C1270">
        <f>YEAR(OrdersTable[[#This Row],[Order Date]])</f>
        <v>2024</v>
      </c>
      <c r="D1270" s="2">
        <f>DATE(YEAR(OrdersTable[[#This Row],[Order Date]]),MONTH(OrdersTable[[#This Row],[Order Date]]),1)</f>
        <v>45536</v>
      </c>
      <c r="E1270">
        <f>MONTH(OrdersTable[[#This Row],[Order Date]])</f>
        <v>9</v>
      </c>
      <c r="F1270" t="s">
        <v>1501</v>
      </c>
      <c r="G1270" t="str">
        <f>IF(OrdersTable[[#This Row],[Order Date]]=_xlfn.MINIFS(Order_Date, Customer_ID, OrdersTable[[#This Row],[Customer ID]]), "New", "Repeat")</f>
        <v>New</v>
      </c>
      <c r="H1270" t="s">
        <v>59</v>
      </c>
      <c r="I1270" t="str">
        <f>INDEX(State!B:B,MATCH(OrdersTable[[#This Row],[State]],State!A:A,0))</f>
        <v>TN</v>
      </c>
      <c r="J1270" t="str">
        <f>INDEX(State!C:C,MATCH(OrdersTable[[#This Row],[State Code]],State!B:B,0))</f>
        <v>South</v>
      </c>
      <c r="K1270" t="s">
        <v>60</v>
      </c>
      <c r="L1270" t="s">
        <v>39</v>
      </c>
      <c r="M1270" t="s">
        <v>152</v>
      </c>
      <c r="N1270" t="str">
        <f>INDEX(Products!B:B,MATCH(OrdersTable[[#This Row],[Product ID]],Products!A:A,0))</f>
        <v>Green Tea (100 bags)</v>
      </c>
      <c r="O1270" t="str">
        <f>INDEX(Products!C:C,MATCH(OrdersTable[[#This Row],[Product ID]],Products!A:A,0))</f>
        <v>Wellness</v>
      </c>
      <c r="P1270">
        <v>1</v>
      </c>
      <c r="Q1270" s="5">
        <v>399</v>
      </c>
      <c r="R1270" s="74">
        <v>0.35</v>
      </c>
      <c r="S1270" s="75">
        <f>OrdersTable[[#This Row],[Quantity]]*OrdersTable[[#This Row],[Unit Price]]</f>
        <v>399</v>
      </c>
      <c r="T1270" s="5">
        <f>OrdersTable[[#This Row],[Gross Sale]]*OrdersTable[[#This Row],[Discount_Clean2]]</f>
        <v>139.64999999999998</v>
      </c>
      <c r="U1270" s="5">
        <f>OrdersTable[[#This Row],[Gross Sale]]-OrdersTable[[#This Row],[Discount Amount]]</f>
        <v>259.35000000000002</v>
      </c>
      <c r="V1270" s="77">
        <f>INDEX(Products!E:E,MATCH(OrdersTable[[#This Row],[Product ID]],Products!A:A,0))</f>
        <v>128</v>
      </c>
      <c r="W1270" s="77">
        <f>OrdersTable[[#This Row],[Quantity]]*OrdersTable[[#This Row],[Unit Cost]]</f>
        <v>128</v>
      </c>
      <c r="X1270" s="77">
        <f>'Dropdown Lists'!$I$2*(1+OrdersTable[[#This Row],[Returned]])</f>
        <v>60</v>
      </c>
      <c r="Y1270" s="76">
        <f>OrdersTable[[#This Row],[Net Revenue]]-OrdersTable[[#This Row],[COGS]]-OrdersTable[[#This Row],[Shipping Cost]]</f>
        <v>71.350000000000023</v>
      </c>
      <c r="Z1270" s="78">
        <f>IFERROR(OrdersTable[[#This Row],[Profit]]/OrdersTable[[#This Row],[Net Revenue]],0)</f>
        <v>0.27511085405822255</v>
      </c>
      <c r="AA1270" t="s">
        <v>18</v>
      </c>
      <c r="AB1270" s="79">
        <v>45550</v>
      </c>
      <c r="AC1270">
        <f>OrdersTable[[#This Row],[Delivery Date]]-OrdersTable[[#This Row],[Order Date]]</f>
        <v>4</v>
      </c>
      <c r="AD1270" t="str">
        <f>IF(OrdersTable[[#This Row],[Delivery Days]]&lt;=2, "Express (≤2d)", IF(OrdersTable[[#This Row],[Delivery Days]]&lt;=4, "Standard (3-4d)", "Delayed (5d+)"))</f>
        <v>Standard (3-4d)</v>
      </c>
      <c r="AF1270">
        <v>0</v>
      </c>
    </row>
    <row r="1271" spans="1:32" ht="15" x14ac:dyDescent="0.35">
      <c r="A1271" t="s">
        <v>4675</v>
      </c>
      <c r="B1271" s="1">
        <v>45547</v>
      </c>
      <c r="C1271">
        <f>YEAR(OrdersTable[[#This Row],[Order Date]])</f>
        <v>2024</v>
      </c>
      <c r="D1271" s="2">
        <f>DATE(YEAR(OrdersTable[[#This Row],[Order Date]]),MONTH(OrdersTable[[#This Row],[Order Date]]),1)</f>
        <v>45536</v>
      </c>
      <c r="E1271">
        <f>MONTH(OrdersTable[[#This Row],[Order Date]])</f>
        <v>9</v>
      </c>
      <c r="F1271" t="s">
        <v>1764</v>
      </c>
      <c r="G1271" t="str">
        <f>IF(OrdersTable[[#This Row],[Order Date]]=_xlfn.MINIFS(Order_Date, Customer_ID, OrdersTable[[#This Row],[Customer ID]]), "New", "Repeat")</f>
        <v>Repeat</v>
      </c>
      <c r="H1271" t="s">
        <v>132</v>
      </c>
      <c r="I1271" t="str">
        <f>INDEX(State!B:B,MATCH(OrdersTable[[#This Row],[State]],State!A:A,0))</f>
        <v>AS</v>
      </c>
      <c r="J1271" t="str">
        <f>INDEX(State!C:C,MATCH(OrdersTable[[#This Row],[State Code]],State!B:B,0))</f>
        <v>East</v>
      </c>
      <c r="K1271" t="s">
        <v>133</v>
      </c>
      <c r="L1271" t="s">
        <v>16</v>
      </c>
      <c r="M1271" t="s">
        <v>176</v>
      </c>
      <c r="N1271" t="str">
        <f>INDEX(Products!B:B,MATCH(OrdersTable[[#This Row],[Product ID]],Products!A:A,0))</f>
        <v>Denim Jacket</v>
      </c>
      <c r="O1271" t="str">
        <f>INDEX(Products!C:C,MATCH(OrdersTable[[#This Row],[Product ID]],Products!A:A,0))</f>
        <v>Apparel</v>
      </c>
      <c r="P1271">
        <v>1</v>
      </c>
      <c r="Q1271" s="5">
        <v>2499</v>
      </c>
      <c r="R1271" s="74">
        <v>0.1</v>
      </c>
      <c r="S1271" s="75">
        <f>OrdersTable[[#This Row],[Quantity]]*OrdersTable[[#This Row],[Unit Price]]</f>
        <v>2499</v>
      </c>
      <c r="T1271" s="5">
        <f>OrdersTable[[#This Row],[Gross Sale]]*OrdersTable[[#This Row],[Discount_Clean2]]</f>
        <v>249.9</v>
      </c>
      <c r="U1271" s="5">
        <f>OrdersTable[[#This Row],[Gross Sale]]-OrdersTable[[#This Row],[Discount Amount]]</f>
        <v>2249.1</v>
      </c>
      <c r="V1271" s="77">
        <f>INDEX(Products!E:E,MATCH(OrdersTable[[#This Row],[Product ID]],Products!A:A,0))</f>
        <v>1125</v>
      </c>
      <c r="W1271" s="77">
        <f>OrdersTable[[#This Row],[Quantity]]*OrdersTable[[#This Row],[Unit Cost]]</f>
        <v>1125</v>
      </c>
      <c r="X1271" s="77">
        <f>'Dropdown Lists'!$I$2*(1+OrdersTable[[#This Row],[Returned]])</f>
        <v>60</v>
      </c>
      <c r="Y1271" s="76">
        <f>OrdersTable[[#This Row],[Net Revenue]]-OrdersTable[[#This Row],[COGS]]-OrdersTable[[#This Row],[Shipping Cost]]</f>
        <v>1064.0999999999999</v>
      </c>
      <c r="Z1271" s="78">
        <f>IFERROR(OrdersTable[[#This Row],[Profit]]/OrdersTable[[#This Row],[Net Revenue]],0)</f>
        <v>0.4731225823662798</v>
      </c>
      <c r="AA1271" t="s">
        <v>4450</v>
      </c>
      <c r="AB1271" s="79">
        <v>45552</v>
      </c>
      <c r="AC1271">
        <f>OrdersTable[[#This Row],[Delivery Date]]-OrdersTable[[#This Row],[Order Date]]</f>
        <v>5</v>
      </c>
      <c r="AD1271" t="str">
        <f>IF(OrdersTable[[#This Row],[Delivery Days]]&lt;=2, "Express (≤2d)", IF(OrdersTable[[#This Row],[Delivery Days]]&lt;=4, "Standard (3-4d)", "Delayed (5d+)"))</f>
        <v>Delayed (5d+)</v>
      </c>
      <c r="AE1271">
        <v>5</v>
      </c>
      <c r="AF1271">
        <v>0</v>
      </c>
    </row>
    <row r="1272" spans="1:32" ht="15" x14ac:dyDescent="0.35">
      <c r="A1272" t="s">
        <v>4239</v>
      </c>
      <c r="B1272" s="1">
        <v>45547</v>
      </c>
      <c r="C1272">
        <f>YEAR(OrdersTable[[#This Row],[Order Date]])</f>
        <v>2024</v>
      </c>
      <c r="D1272" s="2">
        <f>DATE(YEAR(OrdersTable[[#This Row],[Order Date]]),MONTH(OrdersTable[[#This Row],[Order Date]]),1)</f>
        <v>45536</v>
      </c>
      <c r="E1272">
        <f>MONTH(OrdersTable[[#This Row],[Order Date]])</f>
        <v>9</v>
      </c>
      <c r="F1272" t="s">
        <v>4240</v>
      </c>
      <c r="G1272" t="str">
        <f>IF(OrdersTable[[#This Row],[Order Date]]=_xlfn.MINIFS(Order_Date, Customer_ID, OrdersTable[[#This Row],[Customer ID]]), "New", "Repeat")</f>
        <v>Repeat</v>
      </c>
      <c r="H1272" t="s">
        <v>37</v>
      </c>
      <c r="I1272" t="str">
        <f>INDEX(State!B:B,MATCH(OrdersTable[[#This Row],[State]],State!A:A,0))</f>
        <v>GJ</v>
      </c>
      <c r="J1272" t="str">
        <f>INDEX(State!C:C,MATCH(OrdersTable[[#This Row],[State Code]],State!B:B,0))</f>
        <v>West</v>
      </c>
      <c r="K1272" t="s">
        <v>38</v>
      </c>
      <c r="L1272" t="s">
        <v>50</v>
      </c>
      <c r="M1272" t="s">
        <v>56</v>
      </c>
      <c r="N1272" t="str">
        <f>INDEX(Products!B:B,MATCH(OrdersTable[[#This Row],[Product ID]],Products!A:A,0))</f>
        <v>Vitamin C Face Serum</v>
      </c>
      <c r="O1272" t="str">
        <f>INDEX(Products!C:C,MATCH(OrdersTable[[#This Row],[Product ID]],Products!A:A,0))</f>
        <v>Skincare</v>
      </c>
      <c r="P1272">
        <v>1</v>
      </c>
      <c r="Q1272" s="5">
        <v>599</v>
      </c>
      <c r="R1272" s="74">
        <v>0.2</v>
      </c>
      <c r="S1272" s="75">
        <f>OrdersTable[[#This Row],[Quantity]]*OrdersTable[[#This Row],[Unit Price]]</f>
        <v>599</v>
      </c>
      <c r="T1272" s="5">
        <f>OrdersTable[[#This Row],[Gross Sale]]*OrdersTable[[#This Row],[Discount_Clean2]]</f>
        <v>119.80000000000001</v>
      </c>
      <c r="U1272" s="5">
        <f>OrdersTable[[#This Row],[Gross Sale]]-OrdersTable[[#This Row],[Discount Amount]]</f>
        <v>479.2</v>
      </c>
      <c r="V1272" s="77">
        <f>INDEX(Products!E:E,MATCH(OrdersTable[[#This Row],[Product ID]],Products!A:A,0))</f>
        <v>180</v>
      </c>
      <c r="W1272" s="77">
        <f>OrdersTable[[#This Row],[Quantity]]*OrdersTable[[#This Row],[Unit Cost]]</f>
        <v>180</v>
      </c>
      <c r="X1272" s="77">
        <f>'Dropdown Lists'!$I$2*(1+OrdersTable[[#This Row],[Returned]])</f>
        <v>60</v>
      </c>
      <c r="Y1272" s="76">
        <f>OrdersTable[[#This Row],[Net Revenue]]-OrdersTable[[#This Row],[COGS]]-OrdersTable[[#This Row],[Shipping Cost]]</f>
        <v>239.2</v>
      </c>
      <c r="Z1272" s="78">
        <f>IFERROR(OrdersTable[[#This Row],[Profit]]/OrdersTable[[#This Row],[Net Revenue]],0)</f>
        <v>0.4991652754590985</v>
      </c>
      <c r="AA1272" t="s">
        <v>4074</v>
      </c>
      <c r="AB1272" s="79">
        <v>45550</v>
      </c>
      <c r="AC1272">
        <f>OrdersTable[[#This Row],[Delivery Date]]-OrdersTable[[#This Row],[Order Date]]</f>
        <v>3</v>
      </c>
      <c r="AD1272" t="str">
        <f>IF(OrdersTable[[#This Row],[Delivery Days]]&lt;=2, "Express (≤2d)", IF(OrdersTable[[#This Row],[Delivery Days]]&lt;=4, "Standard (3-4d)", "Delayed (5d+)"))</f>
        <v>Standard (3-4d)</v>
      </c>
      <c r="AF1272">
        <v>0</v>
      </c>
    </row>
    <row r="1273" spans="1:32" ht="15" x14ac:dyDescent="0.35">
      <c r="A1273" t="s">
        <v>3560</v>
      </c>
      <c r="B1273" s="1">
        <v>45547</v>
      </c>
      <c r="C1273">
        <f>YEAR(OrdersTable[[#This Row],[Order Date]])</f>
        <v>2024</v>
      </c>
      <c r="D1273" s="2">
        <f>DATE(YEAR(OrdersTable[[#This Row],[Order Date]]),MONTH(OrdersTable[[#This Row],[Order Date]]),1)</f>
        <v>45536</v>
      </c>
      <c r="E1273">
        <f>MONTH(OrdersTable[[#This Row],[Order Date]])</f>
        <v>9</v>
      </c>
      <c r="F1273" t="s">
        <v>1588</v>
      </c>
      <c r="G1273" t="str">
        <f>IF(OrdersTable[[#This Row],[Order Date]]=_xlfn.MINIFS(Order_Date, Customer_ID, OrdersTable[[#This Row],[Customer ID]]), "New", "Repeat")</f>
        <v>New</v>
      </c>
      <c r="H1273" t="s">
        <v>43</v>
      </c>
      <c r="I1273" t="str">
        <f>INDEX(State!B:B,MATCH(OrdersTable[[#This Row],[State]],State!A:A,0))</f>
        <v>MP</v>
      </c>
      <c r="J1273" t="str">
        <f>INDEX(State!C:C,MATCH(OrdersTable[[#This Row],[State Code]],State!B:B,0))</f>
        <v>West</v>
      </c>
      <c r="K1273" t="s">
        <v>250</v>
      </c>
      <c r="L1273" t="s">
        <v>39</v>
      </c>
      <c r="M1273" t="s">
        <v>51</v>
      </c>
      <c r="N1273" t="str">
        <f>INDEX(Products!B:B,MATCH(OrdersTable[[#This Row],[Product ID]],Products!A:A,0))</f>
        <v>Anti-Dandruff Conditioner</v>
      </c>
      <c r="O1273" t="str">
        <f>INDEX(Products!C:C,MATCH(OrdersTable[[#This Row],[Product ID]],Products!A:A,0))</f>
        <v>Haircare</v>
      </c>
      <c r="P1273">
        <v>1</v>
      </c>
      <c r="Q1273" s="5">
        <v>399</v>
      </c>
      <c r="R1273" s="74">
        <v>0.25</v>
      </c>
      <c r="S1273" s="75">
        <f>OrdersTable[[#This Row],[Quantity]]*OrdersTable[[#This Row],[Unit Price]]</f>
        <v>399</v>
      </c>
      <c r="T1273" s="5">
        <f>OrdersTable[[#This Row],[Gross Sale]]*OrdersTable[[#This Row],[Discount_Clean2]]</f>
        <v>99.75</v>
      </c>
      <c r="U1273" s="5">
        <f>OrdersTable[[#This Row],[Gross Sale]]-OrdersTable[[#This Row],[Discount Amount]]</f>
        <v>299.25</v>
      </c>
      <c r="V1273" s="77">
        <f>INDEX(Products!E:E,MATCH(OrdersTable[[#This Row],[Product ID]],Products!A:A,0))</f>
        <v>136</v>
      </c>
      <c r="W1273" s="77">
        <f>OrdersTable[[#This Row],[Quantity]]*OrdersTable[[#This Row],[Unit Cost]]</f>
        <v>136</v>
      </c>
      <c r="X1273" s="77">
        <f>'Dropdown Lists'!$I$2*(1+OrdersTable[[#This Row],[Returned]])</f>
        <v>60</v>
      </c>
      <c r="Y1273" s="76">
        <f>OrdersTable[[#This Row],[Net Revenue]]-OrdersTable[[#This Row],[COGS]]-OrdersTable[[#This Row],[Shipping Cost]]</f>
        <v>103.25</v>
      </c>
      <c r="Z1273" s="78">
        <f>IFERROR(OrdersTable[[#This Row],[Profit]]/OrdersTable[[#This Row],[Net Revenue]],0)</f>
        <v>0.34502923976608185</v>
      </c>
      <c r="AA1273" t="s">
        <v>3495</v>
      </c>
      <c r="AB1273" s="79">
        <v>45550</v>
      </c>
      <c r="AC1273">
        <f>OrdersTable[[#This Row],[Delivery Date]]-OrdersTable[[#This Row],[Order Date]]</f>
        <v>3</v>
      </c>
      <c r="AD1273" t="str">
        <f>IF(OrdersTable[[#This Row],[Delivery Days]]&lt;=2, "Express (≤2d)", IF(OrdersTable[[#This Row],[Delivery Days]]&lt;=4, "Standard (3-4d)", "Delayed (5d+)"))</f>
        <v>Standard (3-4d)</v>
      </c>
      <c r="AE1273">
        <v>4</v>
      </c>
      <c r="AF1273">
        <v>0</v>
      </c>
    </row>
    <row r="1274" spans="1:32" ht="15" x14ac:dyDescent="0.35">
      <c r="A1274" t="s">
        <v>3864</v>
      </c>
      <c r="B1274" s="1">
        <v>45547</v>
      </c>
      <c r="C1274">
        <f>YEAR(OrdersTable[[#This Row],[Order Date]])</f>
        <v>2024</v>
      </c>
      <c r="D1274" s="2">
        <f>DATE(YEAR(OrdersTable[[#This Row],[Order Date]]),MONTH(OrdersTable[[#This Row],[Order Date]]),1)</f>
        <v>45536</v>
      </c>
      <c r="E1274">
        <f>MONTH(OrdersTable[[#This Row],[Order Date]])</f>
        <v>9</v>
      </c>
      <c r="F1274" t="s">
        <v>3865</v>
      </c>
      <c r="G1274" t="str">
        <f>IF(OrdersTable[[#This Row],[Order Date]]=_xlfn.MINIFS(Order_Date, Customer_ID, OrdersTable[[#This Row],[Customer ID]]), "New", "Repeat")</f>
        <v>Repeat</v>
      </c>
      <c r="H1274" t="s">
        <v>43</v>
      </c>
      <c r="I1274" t="str">
        <f>INDEX(State!B:B,MATCH(OrdersTable[[#This Row],[State]],State!A:A,0))</f>
        <v>MP</v>
      </c>
      <c r="J1274" t="str">
        <f>INDEX(State!C:C,MATCH(OrdersTable[[#This Row],[State Code]],State!B:B,0))</f>
        <v>West</v>
      </c>
      <c r="K1274" t="s">
        <v>250</v>
      </c>
      <c r="L1274" t="s">
        <v>65</v>
      </c>
      <c r="M1274" t="s">
        <v>92</v>
      </c>
      <c r="N1274" t="str">
        <f>INDEX(Products!B:B,MATCH(OrdersTable[[#This Row],[Product ID]],Products!A:A,0))</f>
        <v>Kolhapuri Sandals</v>
      </c>
      <c r="O1274" t="str">
        <f>INDEX(Products!C:C,MATCH(OrdersTable[[#This Row],[Product ID]],Products!A:A,0))</f>
        <v>Footwear</v>
      </c>
      <c r="P1274">
        <v>1</v>
      </c>
      <c r="Q1274" s="5">
        <v>999</v>
      </c>
      <c r="R1274" s="74">
        <v>0</v>
      </c>
      <c r="S1274" s="75">
        <f>OrdersTable[[#This Row],[Quantity]]*OrdersTable[[#This Row],[Unit Price]]</f>
        <v>999</v>
      </c>
      <c r="T1274" s="5">
        <f>OrdersTable[[#This Row],[Gross Sale]]*OrdersTable[[#This Row],[Discount_Clean2]]</f>
        <v>0</v>
      </c>
      <c r="U1274" s="5">
        <f>OrdersTable[[#This Row],[Gross Sale]]-OrdersTable[[#This Row],[Discount Amount]]</f>
        <v>999</v>
      </c>
      <c r="V1274" s="77">
        <f>INDEX(Products!E:E,MATCH(OrdersTable[[#This Row],[Product ID]],Products!A:A,0))</f>
        <v>400</v>
      </c>
      <c r="W1274" s="77">
        <f>OrdersTable[[#This Row],[Quantity]]*OrdersTable[[#This Row],[Unit Cost]]</f>
        <v>400</v>
      </c>
      <c r="X1274" s="77">
        <f>'Dropdown Lists'!$I$2*(1+OrdersTable[[#This Row],[Returned]])</f>
        <v>60</v>
      </c>
      <c r="Y1274" s="76">
        <f>OrdersTable[[#This Row],[Net Revenue]]-OrdersTable[[#This Row],[COGS]]-OrdersTable[[#This Row],[Shipping Cost]]</f>
        <v>539</v>
      </c>
      <c r="Z1274" s="78">
        <f>IFERROR(OrdersTable[[#This Row],[Profit]]/OrdersTable[[#This Row],[Net Revenue]],0)</f>
        <v>0.53953953953953959</v>
      </c>
      <c r="AA1274" t="s">
        <v>3495</v>
      </c>
      <c r="AB1274" s="79">
        <v>45552</v>
      </c>
      <c r="AC1274">
        <f>OrdersTable[[#This Row],[Delivery Date]]-OrdersTable[[#This Row],[Order Date]]</f>
        <v>5</v>
      </c>
      <c r="AD1274" t="str">
        <f>IF(OrdersTable[[#This Row],[Delivery Days]]&lt;=2, "Express (≤2d)", IF(OrdersTable[[#This Row],[Delivery Days]]&lt;=4, "Standard (3-4d)", "Delayed (5d+)"))</f>
        <v>Delayed (5d+)</v>
      </c>
      <c r="AE1274">
        <v>3</v>
      </c>
      <c r="AF1274">
        <v>0</v>
      </c>
    </row>
    <row r="1275" spans="1:32" ht="15" x14ac:dyDescent="0.35">
      <c r="A1275" t="s">
        <v>511</v>
      </c>
      <c r="B1275" s="1">
        <v>45547</v>
      </c>
      <c r="C1275">
        <f>YEAR(OrdersTable[[#This Row],[Order Date]])</f>
        <v>2024</v>
      </c>
      <c r="D1275" s="2">
        <f>DATE(YEAR(OrdersTable[[#This Row],[Order Date]]),MONTH(OrdersTable[[#This Row],[Order Date]]),1)</f>
        <v>45536</v>
      </c>
      <c r="E1275">
        <f>MONTH(OrdersTable[[#This Row],[Order Date]])</f>
        <v>9</v>
      </c>
      <c r="F1275" t="s">
        <v>512</v>
      </c>
      <c r="G1275" t="str">
        <f>IF(OrdersTable[[#This Row],[Order Date]]=_xlfn.MINIFS(Order_Date, Customer_ID, OrdersTable[[#This Row],[Customer ID]]), "New", "Repeat")</f>
        <v>New</v>
      </c>
      <c r="H1275" t="s">
        <v>43</v>
      </c>
      <c r="I1275" t="str">
        <f>INDEX(State!B:B,MATCH(OrdersTable[[#This Row],[State]],State!A:A,0))</f>
        <v>MP</v>
      </c>
      <c r="J1275" t="str">
        <f>INDEX(State!C:C,MATCH(OrdersTable[[#This Row],[State Code]],State!B:B,0))</f>
        <v>West</v>
      </c>
      <c r="K1275" t="s">
        <v>44</v>
      </c>
      <c r="L1275" t="s">
        <v>16</v>
      </c>
      <c r="M1275" t="s">
        <v>17</v>
      </c>
      <c r="N1275" t="str">
        <f>INDEX(Products!B:B,MATCH(OrdersTable[[#This Row],[Product ID]],Products!A:A,0))</f>
        <v>Casual Sneakers</v>
      </c>
      <c r="O1275" t="str">
        <f>INDEX(Products!C:C,MATCH(OrdersTable[[#This Row],[Product ID]],Products!A:A,0))</f>
        <v>Footwear</v>
      </c>
      <c r="P1275">
        <v>1</v>
      </c>
      <c r="Q1275" s="5">
        <v>2199</v>
      </c>
      <c r="R1275" s="74">
        <v>0.15</v>
      </c>
      <c r="S1275" s="75">
        <f>OrdersTable[[#This Row],[Quantity]]*OrdersTable[[#This Row],[Unit Price]]</f>
        <v>2199</v>
      </c>
      <c r="T1275" s="5">
        <f>OrdersTable[[#This Row],[Gross Sale]]*OrdersTable[[#This Row],[Discount_Clean2]]</f>
        <v>329.84999999999997</v>
      </c>
      <c r="U1275" s="5">
        <f>OrdersTable[[#This Row],[Gross Sale]]-OrdersTable[[#This Row],[Discount Amount]]</f>
        <v>1869.15</v>
      </c>
      <c r="V1275" s="77">
        <f>INDEX(Products!E:E,MATCH(OrdersTable[[#This Row],[Product ID]],Products!A:A,0))</f>
        <v>1034</v>
      </c>
      <c r="W1275" s="77">
        <f>OrdersTable[[#This Row],[Quantity]]*OrdersTable[[#This Row],[Unit Cost]]</f>
        <v>1034</v>
      </c>
      <c r="X1275" s="77">
        <f>'Dropdown Lists'!$I$2*(1+OrdersTable[[#This Row],[Returned]])</f>
        <v>60</v>
      </c>
      <c r="Y1275" s="76">
        <f>OrdersTable[[#This Row],[Net Revenue]]-OrdersTable[[#This Row],[COGS]]-OrdersTable[[#This Row],[Shipping Cost]]</f>
        <v>775.15000000000009</v>
      </c>
      <c r="Z1275" s="78">
        <f>IFERROR(OrdersTable[[#This Row],[Profit]]/OrdersTable[[#This Row],[Net Revenue]],0)</f>
        <v>0.41470721985929437</v>
      </c>
      <c r="AA1275" t="s">
        <v>18</v>
      </c>
      <c r="AB1275" s="79">
        <v>45551</v>
      </c>
      <c r="AC1275">
        <f>OrdersTable[[#This Row],[Delivery Date]]-OrdersTable[[#This Row],[Order Date]]</f>
        <v>4</v>
      </c>
      <c r="AD1275" t="str">
        <f>IF(OrdersTable[[#This Row],[Delivery Days]]&lt;=2, "Express (≤2d)", IF(OrdersTable[[#This Row],[Delivery Days]]&lt;=4, "Standard (3-4d)", "Delayed (5d+)"))</f>
        <v>Standard (3-4d)</v>
      </c>
      <c r="AE1275">
        <v>4</v>
      </c>
      <c r="AF1275">
        <v>0</v>
      </c>
    </row>
    <row r="1276" spans="1:32" ht="15" x14ac:dyDescent="0.35">
      <c r="A1276" t="s">
        <v>4480</v>
      </c>
      <c r="B1276" s="1">
        <v>45547</v>
      </c>
      <c r="C1276">
        <f>YEAR(OrdersTable[[#This Row],[Order Date]])</f>
        <v>2024</v>
      </c>
      <c r="D1276" s="2">
        <f>DATE(YEAR(OrdersTable[[#This Row],[Order Date]]),MONTH(OrdersTable[[#This Row],[Order Date]]),1)</f>
        <v>45536</v>
      </c>
      <c r="E1276">
        <f>MONTH(OrdersTable[[#This Row],[Order Date]])</f>
        <v>9</v>
      </c>
      <c r="F1276" t="s">
        <v>4481</v>
      </c>
      <c r="G1276" t="str">
        <f>IF(OrdersTable[[#This Row],[Order Date]]=_xlfn.MINIFS(Order_Date, Customer_ID, OrdersTable[[#This Row],[Customer ID]]), "New", "Repeat")</f>
        <v>New</v>
      </c>
      <c r="H1276" t="s">
        <v>27</v>
      </c>
      <c r="I1276" t="str">
        <f>INDEX(State!B:B,MATCH(OrdersTable[[#This Row],[State]],State!A:A,0))</f>
        <v>WB</v>
      </c>
      <c r="J1276" t="str">
        <f>INDEX(State!C:C,MATCH(OrdersTable[[#This Row],[State Code]],State!B:B,0))</f>
        <v>East</v>
      </c>
      <c r="K1276" t="s">
        <v>28</v>
      </c>
      <c r="L1276" t="s">
        <v>39</v>
      </c>
      <c r="M1276" t="s">
        <v>576</v>
      </c>
      <c r="N1276" t="str">
        <f>INDEX(Products!B:B,MATCH(OrdersTable[[#This Row],[Product ID]],Products!A:A,0))</f>
        <v>Printed Saree</v>
      </c>
      <c r="O1276" t="str">
        <f>INDEX(Products!C:C,MATCH(OrdersTable[[#This Row],[Product ID]],Products!A:A,0))</f>
        <v>Apparel</v>
      </c>
      <c r="P1276">
        <v>1</v>
      </c>
      <c r="Q1276" s="5">
        <v>1999</v>
      </c>
      <c r="R1276" s="74">
        <v>0</v>
      </c>
      <c r="S1276" s="75">
        <f>OrdersTable[[#This Row],[Quantity]]*OrdersTable[[#This Row],[Unit Price]]</f>
        <v>1999</v>
      </c>
      <c r="T1276" s="5">
        <f>OrdersTable[[#This Row],[Gross Sale]]*OrdersTable[[#This Row],[Discount_Clean2]]</f>
        <v>0</v>
      </c>
      <c r="U1276" s="5">
        <f>OrdersTable[[#This Row],[Gross Sale]]-OrdersTable[[#This Row],[Discount Amount]]</f>
        <v>1999</v>
      </c>
      <c r="V1276" s="77">
        <f>INDEX(Products!E:E,MATCH(OrdersTable[[#This Row],[Product ID]],Products!A:A,0))</f>
        <v>880</v>
      </c>
      <c r="W1276" s="77">
        <f>OrdersTable[[#This Row],[Quantity]]*OrdersTable[[#This Row],[Unit Cost]]</f>
        <v>880</v>
      </c>
      <c r="X1276" s="77">
        <f>'Dropdown Lists'!$I$2*(1+OrdersTable[[#This Row],[Returned]])</f>
        <v>60</v>
      </c>
      <c r="Y1276" s="76">
        <f>OrdersTable[[#This Row],[Net Revenue]]-OrdersTable[[#This Row],[COGS]]-OrdersTable[[#This Row],[Shipping Cost]]</f>
        <v>1059</v>
      </c>
      <c r="Z1276" s="78">
        <f>IFERROR(OrdersTable[[#This Row],[Profit]]/OrdersTable[[#This Row],[Net Revenue]],0)</f>
        <v>0.52976488244122066</v>
      </c>
      <c r="AA1276" t="s">
        <v>4450</v>
      </c>
      <c r="AB1276" s="79">
        <v>45550</v>
      </c>
      <c r="AC1276">
        <f>OrdersTable[[#This Row],[Delivery Date]]-OrdersTable[[#This Row],[Order Date]]</f>
        <v>3</v>
      </c>
      <c r="AD1276" t="str">
        <f>IF(OrdersTable[[#This Row],[Delivery Days]]&lt;=2, "Express (≤2d)", IF(OrdersTable[[#This Row],[Delivery Days]]&lt;=4, "Standard (3-4d)", "Delayed (5d+)"))</f>
        <v>Standard (3-4d)</v>
      </c>
      <c r="AE1276">
        <v>4</v>
      </c>
      <c r="AF1276">
        <v>0</v>
      </c>
    </row>
    <row r="1277" spans="1:32" ht="15" x14ac:dyDescent="0.35">
      <c r="A1277" t="s">
        <v>4357</v>
      </c>
      <c r="B1277" s="1">
        <v>45547</v>
      </c>
      <c r="C1277">
        <f>YEAR(OrdersTable[[#This Row],[Order Date]])</f>
        <v>2024</v>
      </c>
      <c r="D1277" s="2">
        <f>DATE(YEAR(OrdersTable[[#This Row],[Order Date]]),MONTH(OrdersTable[[#This Row],[Order Date]]),1)</f>
        <v>45536</v>
      </c>
      <c r="E1277">
        <f>MONTH(OrdersTable[[#This Row],[Order Date]])</f>
        <v>9</v>
      </c>
      <c r="F1277" t="s">
        <v>1025</v>
      </c>
      <c r="G1277" t="str">
        <f>IF(OrdersTable[[#This Row],[Order Date]]=_xlfn.MINIFS(Order_Date, Customer_ID, OrdersTable[[#This Row],[Customer ID]]), "New", "Repeat")</f>
        <v>New</v>
      </c>
      <c r="H1277" t="s">
        <v>167</v>
      </c>
      <c r="I1277" t="str">
        <f>INDEX(State!B:B,MATCH(OrdersTable[[#This Row],[State]],State!A:A,0))</f>
        <v>KA</v>
      </c>
      <c r="J1277" t="str">
        <f>INDEX(State!C:C,MATCH(OrdersTable[[#This Row],[State Code]],State!B:B,0))</f>
        <v>South</v>
      </c>
      <c r="K1277" t="s">
        <v>190</v>
      </c>
      <c r="L1277" t="s">
        <v>50</v>
      </c>
      <c r="M1277" t="s">
        <v>106</v>
      </c>
      <c r="N1277" t="str">
        <f>INDEX(Products!B:B,MATCH(OrdersTable[[#This Row],[Product ID]],Products!A:A,0))</f>
        <v>Keratin Hair Mask</v>
      </c>
      <c r="O1277" t="str">
        <f>INDEX(Products!C:C,MATCH(OrdersTable[[#This Row],[Product ID]],Products!A:A,0))</f>
        <v>Haircare</v>
      </c>
      <c r="P1277">
        <v>1</v>
      </c>
      <c r="Q1277" s="5">
        <v>549</v>
      </c>
      <c r="R1277" s="74">
        <v>0.2</v>
      </c>
      <c r="S1277" s="75">
        <f>OrdersTable[[#This Row],[Quantity]]*OrdersTable[[#This Row],[Unit Price]]</f>
        <v>549</v>
      </c>
      <c r="T1277" s="5">
        <f>OrdersTable[[#This Row],[Gross Sale]]*OrdersTable[[#This Row],[Discount_Clean2]]</f>
        <v>109.80000000000001</v>
      </c>
      <c r="U1277" s="5">
        <f>OrdersTable[[#This Row],[Gross Sale]]-OrdersTable[[#This Row],[Discount Amount]]</f>
        <v>439.2</v>
      </c>
      <c r="V1277" s="77">
        <f>INDEX(Products!E:E,MATCH(OrdersTable[[#This Row],[Product ID]],Products!A:A,0))</f>
        <v>170</v>
      </c>
      <c r="W1277" s="77">
        <f>OrdersTable[[#This Row],[Quantity]]*OrdersTable[[#This Row],[Unit Cost]]</f>
        <v>170</v>
      </c>
      <c r="X1277" s="77">
        <f>'Dropdown Lists'!$I$2*(1+OrdersTable[[#This Row],[Returned]])</f>
        <v>60</v>
      </c>
      <c r="Y1277" s="76">
        <f>OrdersTable[[#This Row],[Net Revenue]]-OrdersTable[[#This Row],[COGS]]-OrdersTable[[#This Row],[Shipping Cost]]</f>
        <v>209.2</v>
      </c>
      <c r="Z1277" s="78">
        <f>IFERROR(OrdersTable[[#This Row],[Profit]]/OrdersTable[[#This Row],[Net Revenue]],0)</f>
        <v>0.47632058287795992</v>
      </c>
      <c r="AA1277" t="s">
        <v>4074</v>
      </c>
      <c r="AB1277" s="79">
        <v>45551</v>
      </c>
      <c r="AC1277">
        <f>OrdersTable[[#This Row],[Delivery Date]]-OrdersTable[[#This Row],[Order Date]]</f>
        <v>4</v>
      </c>
      <c r="AD1277" t="str">
        <f>IF(OrdersTable[[#This Row],[Delivery Days]]&lt;=2, "Express (≤2d)", IF(OrdersTable[[#This Row],[Delivery Days]]&lt;=4, "Standard (3-4d)", "Delayed (5d+)"))</f>
        <v>Standard (3-4d)</v>
      </c>
      <c r="AE1277">
        <v>4</v>
      </c>
      <c r="AF1277">
        <v>0</v>
      </c>
    </row>
    <row r="1278" spans="1:32" ht="15" x14ac:dyDescent="0.35">
      <c r="A1278" t="s">
        <v>6510</v>
      </c>
      <c r="B1278" s="1">
        <v>45547</v>
      </c>
      <c r="C1278">
        <f>YEAR(OrdersTable[[#This Row],[Order Date]])</f>
        <v>2024</v>
      </c>
      <c r="D1278" s="2">
        <f>DATE(YEAR(OrdersTable[[#This Row],[Order Date]]),MONTH(OrdersTable[[#This Row],[Order Date]]),1)</f>
        <v>45536</v>
      </c>
      <c r="E1278">
        <f>MONTH(OrdersTable[[#This Row],[Order Date]])</f>
        <v>9</v>
      </c>
      <c r="F1278" t="s">
        <v>3111</v>
      </c>
      <c r="G1278" t="str">
        <f>IF(OrdersTable[[#This Row],[Order Date]]=_xlfn.MINIFS(Order_Date, Customer_ID, OrdersTable[[#This Row],[Customer ID]]), "New", "Repeat")</f>
        <v>New</v>
      </c>
      <c r="H1278" t="s">
        <v>59</v>
      </c>
      <c r="I1278" t="str">
        <f>INDEX(State!B:B,MATCH(OrdersTable[[#This Row],[State]],State!A:A,0))</f>
        <v>TN</v>
      </c>
      <c r="J1278" t="str">
        <f>INDEX(State!C:C,MATCH(OrdersTable[[#This Row],[State Code]],State!B:B,0))</f>
        <v>South</v>
      </c>
      <c r="K1278" t="s">
        <v>60</v>
      </c>
      <c r="L1278" t="s">
        <v>65</v>
      </c>
      <c r="M1278" t="s">
        <v>45</v>
      </c>
      <c r="N1278" t="str">
        <f>INDEX(Products!B:B,MATCH(OrdersTable[[#This Row],[Product ID]],Products!A:A,0))</f>
        <v>Argan Shampoo</v>
      </c>
      <c r="O1278" t="str">
        <f>INDEX(Products!C:C,MATCH(OrdersTable[[#This Row],[Product ID]],Products!A:A,0))</f>
        <v>Haircare</v>
      </c>
      <c r="P1278">
        <v>3</v>
      </c>
      <c r="Q1278" s="5">
        <v>449</v>
      </c>
      <c r="R1278" s="74">
        <v>0.05</v>
      </c>
      <c r="S1278" s="75">
        <f>OrdersTable[[#This Row],[Quantity]]*OrdersTable[[#This Row],[Unit Price]]</f>
        <v>1347</v>
      </c>
      <c r="T1278" s="5">
        <f>OrdersTable[[#This Row],[Gross Sale]]*OrdersTable[[#This Row],[Discount_Clean2]]</f>
        <v>67.350000000000009</v>
      </c>
      <c r="U1278" s="5">
        <f>OrdersTable[[#This Row],[Gross Sale]]-OrdersTable[[#This Row],[Discount Amount]]</f>
        <v>1279.6500000000001</v>
      </c>
      <c r="V1278" s="77">
        <f>INDEX(Products!E:E,MATCH(OrdersTable[[#This Row],[Product ID]],Products!A:A,0))</f>
        <v>148</v>
      </c>
      <c r="W1278" s="77">
        <f>OrdersTable[[#This Row],[Quantity]]*OrdersTable[[#This Row],[Unit Cost]]</f>
        <v>444</v>
      </c>
      <c r="X1278" s="77">
        <f>'Dropdown Lists'!$I$2*(1+OrdersTable[[#This Row],[Returned]])</f>
        <v>60</v>
      </c>
      <c r="Y1278" s="76">
        <f>OrdersTable[[#This Row],[Net Revenue]]-OrdersTable[[#This Row],[COGS]]-OrdersTable[[#This Row],[Shipping Cost]]</f>
        <v>775.65000000000009</v>
      </c>
      <c r="Z1278" s="78">
        <f>IFERROR(OrdersTable[[#This Row],[Profit]]/OrdersTable[[#This Row],[Net Revenue]],0)</f>
        <v>0.60614230453639673</v>
      </c>
      <c r="AA1278" t="s">
        <v>18</v>
      </c>
      <c r="AB1278" s="79">
        <v>45552</v>
      </c>
      <c r="AC1278">
        <f>OrdersTable[[#This Row],[Delivery Date]]-OrdersTable[[#This Row],[Order Date]]</f>
        <v>5</v>
      </c>
      <c r="AD1278" t="str">
        <f>IF(OrdersTable[[#This Row],[Delivery Days]]&lt;=2, "Express (≤2d)", IF(OrdersTable[[#This Row],[Delivery Days]]&lt;=4, "Standard (3-4d)", "Delayed (5d+)"))</f>
        <v>Delayed (5d+)</v>
      </c>
      <c r="AF1278">
        <v>0</v>
      </c>
    </row>
    <row r="1279" spans="1:32" ht="15" x14ac:dyDescent="0.35">
      <c r="A1279" t="s">
        <v>6300</v>
      </c>
      <c r="B1279" s="1">
        <v>45548</v>
      </c>
      <c r="C1279">
        <f>YEAR(OrdersTable[[#This Row],[Order Date]])</f>
        <v>2024</v>
      </c>
      <c r="D1279" s="2">
        <f>DATE(YEAR(OrdersTable[[#This Row],[Order Date]]),MONTH(OrdersTable[[#This Row],[Order Date]]),1)</f>
        <v>45536</v>
      </c>
      <c r="E1279">
        <f>MONTH(OrdersTable[[#This Row],[Order Date]])</f>
        <v>9</v>
      </c>
      <c r="F1279" t="s">
        <v>2936</v>
      </c>
      <c r="G1279" t="str">
        <f>IF(OrdersTable[[#This Row],[Order Date]]=_xlfn.MINIFS(Order_Date, Customer_ID, OrdersTable[[#This Row],[Customer ID]]), "New", "Repeat")</f>
        <v>Repeat</v>
      </c>
      <c r="H1279" t="s">
        <v>37</v>
      </c>
      <c r="I1279" t="str">
        <f>INDEX(State!B:B,MATCH(OrdersTable[[#This Row],[State]],State!A:A,0))</f>
        <v>GJ</v>
      </c>
      <c r="J1279" t="str">
        <f>INDEX(State!C:C,MATCH(OrdersTable[[#This Row],[State Code]],State!B:B,0))</f>
        <v>West</v>
      </c>
      <c r="K1279" t="s">
        <v>247</v>
      </c>
      <c r="L1279" t="s">
        <v>65</v>
      </c>
      <c r="M1279" t="s">
        <v>51</v>
      </c>
      <c r="N1279" t="str">
        <f>INDEX(Products!B:B,MATCH(OrdersTable[[#This Row],[Product ID]],Products!A:A,0))</f>
        <v>Anti-Dandruff Conditioner</v>
      </c>
      <c r="O1279" t="str">
        <f>INDEX(Products!C:C,MATCH(OrdersTable[[#This Row],[Product ID]],Products!A:A,0))</f>
        <v>Haircare</v>
      </c>
      <c r="P1279">
        <v>2</v>
      </c>
      <c r="Q1279" s="5">
        <v>399</v>
      </c>
      <c r="R1279" s="74">
        <v>0.4</v>
      </c>
      <c r="S1279" s="75">
        <f>OrdersTable[[#This Row],[Quantity]]*OrdersTable[[#This Row],[Unit Price]]</f>
        <v>798</v>
      </c>
      <c r="T1279" s="5">
        <f>OrdersTable[[#This Row],[Gross Sale]]*OrdersTable[[#This Row],[Discount_Clean2]]</f>
        <v>319.20000000000005</v>
      </c>
      <c r="U1279" s="5">
        <f>OrdersTable[[#This Row],[Gross Sale]]-OrdersTable[[#This Row],[Discount Amount]]</f>
        <v>478.79999999999995</v>
      </c>
      <c r="V1279" s="77">
        <f>INDEX(Products!E:E,MATCH(OrdersTable[[#This Row],[Product ID]],Products!A:A,0))</f>
        <v>136</v>
      </c>
      <c r="W1279" s="77">
        <f>OrdersTable[[#This Row],[Quantity]]*OrdersTable[[#This Row],[Unit Cost]]</f>
        <v>272</v>
      </c>
      <c r="X1279" s="77">
        <f>'Dropdown Lists'!$I$2*(1+OrdersTable[[#This Row],[Returned]])</f>
        <v>60</v>
      </c>
      <c r="Y1279" s="76">
        <f>OrdersTable[[#This Row],[Net Revenue]]-OrdersTable[[#This Row],[COGS]]-OrdersTable[[#This Row],[Shipping Cost]]</f>
        <v>146.79999999999995</v>
      </c>
      <c r="Z1279" s="78">
        <f>IFERROR(OrdersTable[[#This Row],[Profit]]/OrdersTable[[#This Row],[Net Revenue]],0)</f>
        <v>0.30659983291562232</v>
      </c>
      <c r="AA1279" t="s">
        <v>18</v>
      </c>
      <c r="AB1279" s="79">
        <v>45551</v>
      </c>
      <c r="AC1279">
        <f>OrdersTable[[#This Row],[Delivery Date]]-OrdersTable[[#This Row],[Order Date]]</f>
        <v>3</v>
      </c>
      <c r="AD1279" t="str">
        <f>IF(OrdersTable[[#This Row],[Delivery Days]]&lt;=2, "Express (≤2d)", IF(OrdersTable[[#This Row],[Delivery Days]]&lt;=4, "Standard (3-4d)", "Delayed (5d+)"))</f>
        <v>Standard (3-4d)</v>
      </c>
      <c r="AF1279">
        <v>0</v>
      </c>
    </row>
    <row r="1280" spans="1:32" ht="15" x14ac:dyDescent="0.35">
      <c r="A1280" t="s">
        <v>1502</v>
      </c>
      <c r="B1280" s="1">
        <v>45548</v>
      </c>
      <c r="C1280">
        <f>YEAR(OrdersTable[[#This Row],[Order Date]])</f>
        <v>2024</v>
      </c>
      <c r="D1280" s="2">
        <f>DATE(YEAR(OrdersTable[[#This Row],[Order Date]]),MONTH(OrdersTable[[#This Row],[Order Date]]),1)</f>
        <v>45536</v>
      </c>
      <c r="E1280">
        <f>MONTH(OrdersTable[[#This Row],[Order Date]])</f>
        <v>9</v>
      </c>
      <c r="F1280" t="s">
        <v>1503</v>
      </c>
      <c r="G1280" t="str">
        <f>IF(OrdersTable[[#This Row],[Order Date]]=_xlfn.MINIFS(Order_Date, Customer_ID, OrdersTable[[#This Row],[Customer ID]]), "New", "Repeat")</f>
        <v>Repeat</v>
      </c>
      <c r="H1280" t="s">
        <v>43</v>
      </c>
      <c r="I1280" t="str">
        <f>INDEX(State!B:B,MATCH(OrdersTable[[#This Row],[State]],State!A:A,0))</f>
        <v>MP</v>
      </c>
      <c r="J1280" t="str">
        <f>INDEX(State!C:C,MATCH(OrdersTable[[#This Row],[State Code]],State!B:B,0))</f>
        <v>West</v>
      </c>
      <c r="K1280" t="s">
        <v>250</v>
      </c>
      <c r="L1280" t="s">
        <v>39</v>
      </c>
      <c r="M1280" t="s">
        <v>40</v>
      </c>
      <c r="N1280" t="str">
        <f>INDEX(Products!B:B,MATCH(OrdersTable[[#This Row],[Product ID]],Products!A:A,0))</f>
        <v>Ashwagandha Capsules</v>
      </c>
      <c r="O1280" t="str">
        <f>INDEX(Products!C:C,MATCH(OrdersTable[[#This Row],[Product ID]],Products!A:A,0))</f>
        <v>Wellness</v>
      </c>
      <c r="P1280">
        <v>1</v>
      </c>
      <c r="Q1280" s="5">
        <v>499</v>
      </c>
      <c r="R1280" s="74">
        <v>0</v>
      </c>
      <c r="S1280" s="75">
        <f>OrdersTable[[#This Row],[Quantity]]*OrdersTable[[#This Row],[Unit Price]]</f>
        <v>499</v>
      </c>
      <c r="T1280" s="5">
        <f>OrdersTable[[#This Row],[Gross Sale]]*OrdersTable[[#This Row],[Discount_Clean2]]</f>
        <v>0</v>
      </c>
      <c r="U1280" s="5">
        <f>OrdersTable[[#This Row],[Gross Sale]]-OrdersTable[[#This Row],[Discount Amount]]</f>
        <v>499</v>
      </c>
      <c r="V1280" s="77">
        <f>INDEX(Products!E:E,MATCH(OrdersTable[[#This Row],[Product ID]],Products!A:A,0))</f>
        <v>150</v>
      </c>
      <c r="W1280" s="77">
        <f>OrdersTable[[#This Row],[Quantity]]*OrdersTable[[#This Row],[Unit Cost]]</f>
        <v>150</v>
      </c>
      <c r="X1280" s="77">
        <f>'Dropdown Lists'!$I$2*(1+OrdersTable[[#This Row],[Returned]])</f>
        <v>60</v>
      </c>
      <c r="Y1280" s="76">
        <f>OrdersTable[[#This Row],[Net Revenue]]-OrdersTable[[#This Row],[COGS]]-OrdersTable[[#This Row],[Shipping Cost]]</f>
        <v>289</v>
      </c>
      <c r="Z1280" s="78">
        <f>IFERROR(OrdersTable[[#This Row],[Profit]]/OrdersTable[[#This Row],[Net Revenue]],0)</f>
        <v>0.57915831663326656</v>
      </c>
      <c r="AA1280" t="s">
        <v>18</v>
      </c>
      <c r="AB1280" s="79">
        <v>45554</v>
      </c>
      <c r="AC1280">
        <f>OrdersTable[[#This Row],[Delivery Date]]-OrdersTable[[#This Row],[Order Date]]</f>
        <v>6</v>
      </c>
      <c r="AD1280" t="str">
        <f>IF(OrdersTable[[#This Row],[Delivery Days]]&lt;=2, "Express (≤2d)", IF(OrdersTable[[#This Row],[Delivery Days]]&lt;=4, "Standard (3-4d)", "Delayed (5d+)"))</f>
        <v>Delayed (5d+)</v>
      </c>
      <c r="AF1280">
        <v>0</v>
      </c>
    </row>
    <row r="1281" spans="1:32" ht="15" x14ac:dyDescent="0.35">
      <c r="A1281" t="s">
        <v>7067</v>
      </c>
      <c r="B1281" s="1">
        <v>45548</v>
      </c>
      <c r="C1281">
        <f>YEAR(OrdersTable[[#This Row],[Order Date]])</f>
        <v>2024</v>
      </c>
      <c r="D1281" s="2">
        <f>DATE(YEAR(OrdersTable[[#This Row],[Order Date]]),MONTH(OrdersTable[[#This Row],[Order Date]]),1)</f>
        <v>45536</v>
      </c>
      <c r="E1281">
        <f>MONTH(OrdersTable[[#This Row],[Order Date]])</f>
        <v>9</v>
      </c>
      <c r="F1281" t="s">
        <v>5868</v>
      </c>
      <c r="G1281" t="str">
        <f>IF(OrdersTable[[#This Row],[Order Date]]=_xlfn.MINIFS(Order_Date, Customer_ID, OrdersTable[[#This Row],[Customer ID]]), "New", "Repeat")</f>
        <v>Repeat</v>
      </c>
      <c r="H1281" t="s">
        <v>316</v>
      </c>
      <c r="I1281" t="str">
        <f>INDEX(State!B:B,MATCH(OrdersTable[[#This Row],[State]],State!A:A,0))</f>
        <v>KL</v>
      </c>
      <c r="J1281" t="str">
        <f>INDEX(State!C:C,MATCH(OrdersTable[[#This Row],[State Code]],State!B:B,0))</f>
        <v>South</v>
      </c>
      <c r="K1281" t="s">
        <v>338</v>
      </c>
      <c r="L1281" t="s">
        <v>65</v>
      </c>
      <c r="M1281" t="s">
        <v>40</v>
      </c>
      <c r="N1281" t="str">
        <f>INDEX(Products!B:B,MATCH(OrdersTable[[#This Row],[Product ID]],Products!A:A,0))</f>
        <v>Ashwagandha Capsules</v>
      </c>
      <c r="O1281" t="str">
        <f>INDEX(Products!C:C,MATCH(OrdersTable[[#This Row],[Product ID]],Products!A:A,0))</f>
        <v>Wellness</v>
      </c>
      <c r="P1281">
        <v>4</v>
      </c>
      <c r="Q1281" s="5">
        <v>499</v>
      </c>
      <c r="R1281" s="74">
        <v>0.1</v>
      </c>
      <c r="S1281" s="75">
        <f>OrdersTable[[#This Row],[Quantity]]*OrdersTable[[#This Row],[Unit Price]]</f>
        <v>1996</v>
      </c>
      <c r="T1281" s="5">
        <f>OrdersTable[[#This Row],[Gross Sale]]*OrdersTable[[#This Row],[Discount_Clean2]]</f>
        <v>199.60000000000002</v>
      </c>
      <c r="U1281" s="5">
        <f>OrdersTable[[#This Row],[Gross Sale]]-OrdersTable[[#This Row],[Discount Amount]]</f>
        <v>1796.4</v>
      </c>
      <c r="V1281" s="77">
        <f>INDEX(Products!E:E,MATCH(OrdersTable[[#This Row],[Product ID]],Products!A:A,0))</f>
        <v>150</v>
      </c>
      <c r="W1281" s="77">
        <f>OrdersTable[[#This Row],[Quantity]]*OrdersTable[[#This Row],[Unit Cost]]</f>
        <v>600</v>
      </c>
      <c r="X1281" s="77">
        <f>'Dropdown Lists'!$I$2*(1+OrdersTable[[#This Row],[Returned]])</f>
        <v>60</v>
      </c>
      <c r="Y1281" s="76">
        <f>OrdersTable[[#This Row],[Net Revenue]]-OrdersTable[[#This Row],[COGS]]-OrdersTable[[#This Row],[Shipping Cost]]</f>
        <v>1136.4000000000001</v>
      </c>
      <c r="Z1281" s="78">
        <f>IFERROR(OrdersTable[[#This Row],[Profit]]/OrdersTable[[#This Row],[Net Revenue]],0)</f>
        <v>0.63259853039412162</v>
      </c>
      <c r="AA1281" t="s">
        <v>18</v>
      </c>
      <c r="AB1281" s="79">
        <v>45551</v>
      </c>
      <c r="AC1281">
        <f>OrdersTable[[#This Row],[Delivery Date]]-OrdersTable[[#This Row],[Order Date]]</f>
        <v>3</v>
      </c>
      <c r="AD1281" t="str">
        <f>IF(OrdersTable[[#This Row],[Delivery Days]]&lt;=2, "Express (≤2d)", IF(OrdersTable[[#This Row],[Delivery Days]]&lt;=4, "Standard (3-4d)", "Delayed (5d+)"))</f>
        <v>Standard (3-4d)</v>
      </c>
      <c r="AE1281">
        <v>4</v>
      </c>
      <c r="AF1281">
        <v>0</v>
      </c>
    </row>
    <row r="1282" spans="1:32" ht="15" x14ac:dyDescent="0.35">
      <c r="A1282" t="s">
        <v>6085</v>
      </c>
      <c r="B1282" s="1">
        <v>45548</v>
      </c>
      <c r="C1282">
        <f>YEAR(OrdersTable[[#This Row],[Order Date]])</f>
        <v>2024</v>
      </c>
      <c r="D1282" s="2">
        <f>DATE(YEAR(OrdersTable[[#This Row],[Order Date]]),MONTH(OrdersTable[[#This Row],[Order Date]]),1)</f>
        <v>45536</v>
      </c>
      <c r="E1282">
        <f>MONTH(OrdersTable[[#This Row],[Order Date]])</f>
        <v>9</v>
      </c>
      <c r="F1282" t="s">
        <v>6086</v>
      </c>
      <c r="G1282" t="str">
        <f>IF(OrdersTable[[#This Row],[Order Date]]=_xlfn.MINIFS(Order_Date, Customer_ID, OrdersTable[[#This Row],[Customer ID]]), "New", "Repeat")</f>
        <v>Repeat</v>
      </c>
      <c r="H1282" t="s">
        <v>59</v>
      </c>
      <c r="I1282" t="str">
        <f>INDEX(State!B:B,MATCH(OrdersTable[[#This Row],[State]],State!A:A,0))</f>
        <v>TN</v>
      </c>
      <c r="J1282" t="str">
        <f>INDEX(State!C:C,MATCH(OrdersTable[[#This Row],[State Code]],State!B:B,0))</f>
        <v>South</v>
      </c>
      <c r="K1282" t="s">
        <v>60</v>
      </c>
      <c r="L1282" t="s">
        <v>50</v>
      </c>
      <c r="M1282" t="s">
        <v>40</v>
      </c>
      <c r="N1282" t="str">
        <f>INDEX(Products!B:B,MATCH(OrdersTable[[#This Row],[Product ID]],Products!A:A,0))</f>
        <v>Ashwagandha Capsules</v>
      </c>
      <c r="O1282" t="str">
        <f>INDEX(Products!C:C,MATCH(OrdersTable[[#This Row],[Product ID]],Products!A:A,0))</f>
        <v>Wellness</v>
      </c>
      <c r="P1282">
        <v>2</v>
      </c>
      <c r="Q1282" s="5">
        <v>499</v>
      </c>
      <c r="R1282" s="74">
        <v>0</v>
      </c>
      <c r="S1282" s="75">
        <f>OrdersTable[[#This Row],[Quantity]]*OrdersTable[[#This Row],[Unit Price]]</f>
        <v>998</v>
      </c>
      <c r="T1282" s="5">
        <f>OrdersTable[[#This Row],[Gross Sale]]*OrdersTable[[#This Row],[Discount_Clean2]]</f>
        <v>0</v>
      </c>
      <c r="U1282" s="5">
        <f>OrdersTable[[#This Row],[Gross Sale]]-OrdersTable[[#This Row],[Discount Amount]]</f>
        <v>998</v>
      </c>
      <c r="V1282" s="77">
        <f>INDEX(Products!E:E,MATCH(OrdersTable[[#This Row],[Product ID]],Products!A:A,0))</f>
        <v>150</v>
      </c>
      <c r="W1282" s="77">
        <f>OrdersTable[[#This Row],[Quantity]]*OrdersTable[[#This Row],[Unit Cost]]</f>
        <v>300</v>
      </c>
      <c r="X1282" s="77">
        <f>'Dropdown Lists'!$I$2*(1+OrdersTable[[#This Row],[Returned]])</f>
        <v>120</v>
      </c>
      <c r="Y1282" s="76">
        <f>OrdersTable[[#This Row],[Net Revenue]]-OrdersTable[[#This Row],[COGS]]-OrdersTable[[#This Row],[Shipping Cost]]</f>
        <v>578</v>
      </c>
      <c r="Z1282" s="78">
        <f>IFERROR(OrdersTable[[#This Row],[Profit]]/OrdersTable[[#This Row],[Net Revenue]],0)</f>
        <v>0.57915831663326656</v>
      </c>
      <c r="AA1282" t="s">
        <v>18</v>
      </c>
      <c r="AB1282" s="79">
        <v>45551</v>
      </c>
      <c r="AC1282">
        <f>OrdersTable[[#This Row],[Delivery Date]]-OrdersTable[[#This Row],[Order Date]]</f>
        <v>3</v>
      </c>
      <c r="AD1282" t="str">
        <f>IF(OrdersTable[[#This Row],[Delivery Days]]&lt;=2, "Express (≤2d)", IF(OrdersTable[[#This Row],[Delivery Days]]&lt;=4, "Standard (3-4d)", "Delayed (5d+)"))</f>
        <v>Standard (3-4d)</v>
      </c>
      <c r="AE1282">
        <v>4</v>
      </c>
      <c r="AF1282">
        <v>1</v>
      </c>
    </row>
    <row r="1283" spans="1:32" ht="15" x14ac:dyDescent="0.35">
      <c r="A1283" t="s">
        <v>1668</v>
      </c>
      <c r="B1283" s="1">
        <v>45549</v>
      </c>
      <c r="C1283">
        <f>YEAR(OrdersTable[[#This Row],[Order Date]])</f>
        <v>2024</v>
      </c>
      <c r="D1283" s="2">
        <f>DATE(YEAR(OrdersTable[[#This Row],[Order Date]]),MONTH(OrdersTable[[#This Row],[Order Date]]),1)</f>
        <v>45536</v>
      </c>
      <c r="E1283">
        <f>MONTH(OrdersTable[[#This Row],[Order Date]])</f>
        <v>9</v>
      </c>
      <c r="F1283" t="s">
        <v>1669</v>
      </c>
      <c r="G1283" t="str">
        <f>IF(OrdersTable[[#This Row],[Order Date]]=_xlfn.MINIFS(Order_Date, Customer_ID, OrdersTable[[#This Row],[Customer ID]]), "New", "Repeat")</f>
        <v>New</v>
      </c>
      <c r="H1283" t="s">
        <v>21</v>
      </c>
      <c r="I1283" t="str">
        <f>INDEX(State!B:B,MATCH(OrdersTable[[#This Row],[State]],State!A:A,0))</f>
        <v>PB</v>
      </c>
      <c r="J1283" t="str">
        <f>INDEX(State!C:C,MATCH(OrdersTable[[#This Row],[State Code]],State!B:B,0))</f>
        <v>North</v>
      </c>
      <c r="K1283" t="s">
        <v>22</v>
      </c>
      <c r="L1283" t="s">
        <v>65</v>
      </c>
      <c r="M1283" t="s">
        <v>40</v>
      </c>
      <c r="N1283" t="str">
        <f>INDEX(Products!B:B,MATCH(OrdersTable[[#This Row],[Product ID]],Products!A:A,0))</f>
        <v>Ashwagandha Capsules</v>
      </c>
      <c r="O1283" t="str">
        <f>INDEX(Products!C:C,MATCH(OrdersTable[[#This Row],[Product ID]],Products!A:A,0))</f>
        <v>Wellness</v>
      </c>
      <c r="P1283">
        <v>1</v>
      </c>
      <c r="Q1283" s="5">
        <v>499</v>
      </c>
      <c r="R1283" s="74">
        <v>0</v>
      </c>
      <c r="S1283" s="75">
        <f>OrdersTable[[#This Row],[Quantity]]*OrdersTable[[#This Row],[Unit Price]]</f>
        <v>499</v>
      </c>
      <c r="T1283" s="5">
        <f>OrdersTable[[#This Row],[Gross Sale]]*OrdersTable[[#This Row],[Discount_Clean2]]</f>
        <v>0</v>
      </c>
      <c r="U1283" s="5">
        <f>OrdersTable[[#This Row],[Gross Sale]]-OrdersTable[[#This Row],[Discount Amount]]</f>
        <v>499</v>
      </c>
      <c r="V1283" s="77">
        <f>INDEX(Products!E:E,MATCH(OrdersTable[[#This Row],[Product ID]],Products!A:A,0))</f>
        <v>150</v>
      </c>
      <c r="W1283" s="77">
        <f>OrdersTable[[#This Row],[Quantity]]*OrdersTable[[#This Row],[Unit Cost]]</f>
        <v>150</v>
      </c>
      <c r="X1283" s="77">
        <f>'Dropdown Lists'!$I$2*(1+OrdersTable[[#This Row],[Returned]])</f>
        <v>60</v>
      </c>
      <c r="Y1283" s="76">
        <f>OrdersTable[[#This Row],[Net Revenue]]-OrdersTable[[#This Row],[COGS]]-OrdersTable[[#This Row],[Shipping Cost]]</f>
        <v>289</v>
      </c>
      <c r="Z1283" s="78">
        <f>IFERROR(OrdersTable[[#This Row],[Profit]]/OrdersTable[[#This Row],[Net Revenue]],0)</f>
        <v>0.57915831663326656</v>
      </c>
      <c r="AA1283" t="s">
        <v>18</v>
      </c>
      <c r="AB1283" s="79">
        <v>45553</v>
      </c>
      <c r="AC1283">
        <f>OrdersTable[[#This Row],[Delivery Date]]-OrdersTable[[#This Row],[Order Date]]</f>
        <v>4</v>
      </c>
      <c r="AD1283" t="str">
        <f>IF(OrdersTable[[#This Row],[Delivery Days]]&lt;=2, "Express (≤2d)", IF(OrdersTable[[#This Row],[Delivery Days]]&lt;=4, "Standard (3-4d)", "Delayed (5d+)"))</f>
        <v>Standard (3-4d)</v>
      </c>
      <c r="AF1283">
        <v>0</v>
      </c>
    </row>
    <row r="1284" spans="1:32" ht="15" x14ac:dyDescent="0.35">
      <c r="A1284" t="s">
        <v>5889</v>
      </c>
      <c r="B1284" s="1">
        <v>45549</v>
      </c>
      <c r="C1284">
        <f>YEAR(OrdersTable[[#This Row],[Order Date]])</f>
        <v>2024</v>
      </c>
      <c r="D1284" s="2">
        <f>DATE(YEAR(OrdersTable[[#This Row],[Order Date]]),MONTH(OrdersTable[[#This Row],[Order Date]]),1)</f>
        <v>45536</v>
      </c>
      <c r="E1284">
        <f>MONTH(OrdersTable[[#This Row],[Order Date]])</f>
        <v>9</v>
      </c>
      <c r="F1284" t="s">
        <v>5890</v>
      </c>
      <c r="G1284" t="str">
        <f>IF(OrdersTable[[#This Row],[Order Date]]=_xlfn.MINIFS(Order_Date, Customer_ID, OrdersTable[[#This Row],[Customer ID]]), "New", "Repeat")</f>
        <v>Repeat</v>
      </c>
      <c r="H1284" t="s">
        <v>184</v>
      </c>
      <c r="I1284" t="str">
        <f>INDEX(State!B:B,MATCH(OrdersTable[[#This Row],[State]],State!A:A,0))</f>
        <v>UK</v>
      </c>
      <c r="J1284" t="str">
        <f>INDEX(State!C:C,MATCH(OrdersTable[[#This Row],[State Code]],State!B:B,0))</f>
        <v>North</v>
      </c>
      <c r="K1284" t="s">
        <v>185</v>
      </c>
      <c r="L1284" t="s">
        <v>65</v>
      </c>
      <c r="M1284" t="s">
        <v>24</v>
      </c>
      <c r="N1284" t="str">
        <f>INDEX(Products!B:B,MATCH(OrdersTable[[#This Row],[Product ID]],Products!A:A,0))</f>
        <v>Scented Candle Set</v>
      </c>
      <c r="O1284" t="str">
        <f>INDEX(Products!C:C,MATCH(OrdersTable[[#This Row],[Product ID]],Products!A:A,0))</f>
        <v>Home &amp; Kitchen</v>
      </c>
      <c r="P1284">
        <v>2</v>
      </c>
      <c r="Q1284" s="5">
        <v>699</v>
      </c>
      <c r="R1284" s="74">
        <v>0.3</v>
      </c>
      <c r="S1284" s="75">
        <f>OrdersTable[[#This Row],[Quantity]]*OrdersTable[[#This Row],[Unit Price]]</f>
        <v>1398</v>
      </c>
      <c r="T1284" s="5">
        <f>OrdersTable[[#This Row],[Gross Sale]]*OrdersTable[[#This Row],[Discount_Clean2]]</f>
        <v>419.4</v>
      </c>
      <c r="U1284" s="5">
        <f>OrdersTable[[#This Row],[Gross Sale]]-OrdersTable[[#This Row],[Discount Amount]]</f>
        <v>978.6</v>
      </c>
      <c r="V1284" s="77">
        <f>INDEX(Products!E:E,MATCH(OrdersTable[[#This Row],[Product ID]],Products!A:A,0))</f>
        <v>245</v>
      </c>
      <c r="W1284" s="77">
        <f>OrdersTable[[#This Row],[Quantity]]*OrdersTable[[#This Row],[Unit Cost]]</f>
        <v>490</v>
      </c>
      <c r="X1284" s="77">
        <f>'Dropdown Lists'!$I$2*(1+OrdersTable[[#This Row],[Returned]])</f>
        <v>60</v>
      </c>
      <c r="Y1284" s="76">
        <f>OrdersTable[[#This Row],[Net Revenue]]-OrdersTable[[#This Row],[COGS]]-OrdersTable[[#This Row],[Shipping Cost]]</f>
        <v>428.6</v>
      </c>
      <c r="Z1284" s="78">
        <f>IFERROR(OrdersTable[[#This Row],[Profit]]/OrdersTable[[#This Row],[Net Revenue]],0)</f>
        <v>0.43797261393827919</v>
      </c>
      <c r="AA1284" t="s">
        <v>18</v>
      </c>
      <c r="AB1284" s="79">
        <v>45554</v>
      </c>
      <c r="AC1284">
        <f>OrdersTable[[#This Row],[Delivery Date]]-OrdersTable[[#This Row],[Order Date]]</f>
        <v>5</v>
      </c>
      <c r="AD1284" t="str">
        <f>IF(OrdersTable[[#This Row],[Delivery Days]]&lt;=2, "Express (≤2d)", IF(OrdersTable[[#This Row],[Delivery Days]]&lt;=4, "Standard (3-4d)", "Delayed (5d+)"))</f>
        <v>Delayed (5d+)</v>
      </c>
      <c r="AF1284">
        <v>0</v>
      </c>
    </row>
    <row r="1285" spans="1:32" ht="15" x14ac:dyDescent="0.35">
      <c r="A1285" t="s">
        <v>2948</v>
      </c>
      <c r="B1285" s="1">
        <v>45549</v>
      </c>
      <c r="C1285">
        <f>YEAR(OrdersTable[[#This Row],[Order Date]])</f>
        <v>2024</v>
      </c>
      <c r="D1285" s="2">
        <f>DATE(YEAR(OrdersTable[[#This Row],[Order Date]]),MONTH(OrdersTable[[#This Row],[Order Date]]),1)</f>
        <v>45536</v>
      </c>
      <c r="E1285">
        <f>MONTH(OrdersTable[[#This Row],[Order Date]])</f>
        <v>9</v>
      </c>
      <c r="F1285" t="s">
        <v>532</v>
      </c>
      <c r="G1285" t="str">
        <f>IF(OrdersTable[[#This Row],[Order Date]]=_xlfn.MINIFS(Order_Date, Customer_ID, OrdersTable[[#This Row],[Customer ID]]), "New", "Repeat")</f>
        <v>New</v>
      </c>
      <c r="H1285" t="s">
        <v>48</v>
      </c>
      <c r="I1285" t="str">
        <f>INDEX(State!B:B,MATCH(OrdersTable[[#This Row],[State]],State!A:A,0))</f>
        <v>HR</v>
      </c>
      <c r="J1285" t="str">
        <f>INDEX(State!C:C,MATCH(OrdersTable[[#This Row],[State Code]],State!B:B,0))</f>
        <v>North</v>
      </c>
      <c r="K1285" t="s">
        <v>151</v>
      </c>
      <c r="L1285" t="s">
        <v>16</v>
      </c>
      <c r="M1285" t="s">
        <v>255</v>
      </c>
      <c r="N1285" t="str">
        <f>INDEX(Products!B:B,MATCH(OrdersTable[[#This Row],[Product ID]],Products!A:A,0))</f>
        <v>Cotton Oversized T-Shirt</v>
      </c>
      <c r="O1285" t="str">
        <f>INDEX(Products!C:C,MATCH(OrdersTable[[#This Row],[Product ID]],Products!A:A,0))</f>
        <v>Apparel</v>
      </c>
      <c r="P1285">
        <v>1</v>
      </c>
      <c r="Q1285" s="5">
        <v>799</v>
      </c>
      <c r="R1285" s="74">
        <v>0.05</v>
      </c>
      <c r="S1285" s="75">
        <f>OrdersTable[[#This Row],[Quantity]]*OrdersTable[[#This Row],[Unit Price]]</f>
        <v>799</v>
      </c>
      <c r="T1285" s="5">
        <f>OrdersTable[[#This Row],[Gross Sale]]*OrdersTable[[#This Row],[Discount_Clean2]]</f>
        <v>39.950000000000003</v>
      </c>
      <c r="U1285" s="5">
        <f>OrdersTable[[#This Row],[Gross Sale]]-OrdersTable[[#This Row],[Discount Amount]]</f>
        <v>759.05</v>
      </c>
      <c r="V1285" s="77">
        <f>INDEX(Products!E:E,MATCH(OrdersTable[[#This Row],[Product ID]],Products!A:A,0))</f>
        <v>320</v>
      </c>
      <c r="W1285" s="77">
        <f>OrdersTable[[#This Row],[Quantity]]*OrdersTable[[#This Row],[Unit Cost]]</f>
        <v>320</v>
      </c>
      <c r="X1285" s="77">
        <f>'Dropdown Lists'!$I$2*(1+OrdersTable[[#This Row],[Returned]])</f>
        <v>60</v>
      </c>
      <c r="Y1285" s="76">
        <f>OrdersTable[[#This Row],[Net Revenue]]-OrdersTable[[#This Row],[COGS]]-OrdersTable[[#This Row],[Shipping Cost]]</f>
        <v>379.04999999999995</v>
      </c>
      <c r="Z1285" s="78">
        <f>IFERROR(OrdersTable[[#This Row],[Profit]]/OrdersTable[[#This Row],[Net Revenue]],0)</f>
        <v>0.49937421777221525</v>
      </c>
      <c r="AA1285" t="s">
        <v>2522</v>
      </c>
      <c r="AB1285" s="79">
        <v>45551</v>
      </c>
      <c r="AC1285">
        <f>OrdersTable[[#This Row],[Delivery Date]]-OrdersTable[[#This Row],[Order Date]]</f>
        <v>2</v>
      </c>
      <c r="AD1285" t="str">
        <f>IF(OrdersTable[[#This Row],[Delivery Days]]&lt;=2, "Express (≤2d)", IF(OrdersTable[[#This Row],[Delivery Days]]&lt;=4, "Standard (3-4d)", "Delayed (5d+)"))</f>
        <v>Express (≤2d)</v>
      </c>
      <c r="AF1285">
        <v>0</v>
      </c>
    </row>
    <row r="1286" spans="1:32" ht="15" x14ac:dyDescent="0.35">
      <c r="A1286" t="s">
        <v>1670</v>
      </c>
      <c r="B1286" s="1">
        <v>45549</v>
      </c>
      <c r="C1286">
        <f>YEAR(OrdersTable[[#This Row],[Order Date]])</f>
        <v>2024</v>
      </c>
      <c r="D1286" s="2">
        <f>DATE(YEAR(OrdersTable[[#This Row],[Order Date]]),MONTH(OrdersTable[[#This Row],[Order Date]]),1)</f>
        <v>45536</v>
      </c>
      <c r="E1286">
        <f>MONTH(OrdersTable[[#This Row],[Order Date]])</f>
        <v>9</v>
      </c>
      <c r="F1286" t="s">
        <v>1671</v>
      </c>
      <c r="G1286" t="str">
        <f>IF(OrdersTable[[#This Row],[Order Date]]=_xlfn.MINIFS(Order_Date, Customer_ID, OrdersTable[[#This Row],[Customer ID]]), "New", "Repeat")</f>
        <v>New</v>
      </c>
      <c r="H1286" t="s">
        <v>48</v>
      </c>
      <c r="I1286" t="str">
        <f>INDEX(State!B:B,MATCH(OrdersTable[[#This Row],[State]],State!A:A,0))</f>
        <v>HR</v>
      </c>
      <c r="J1286" t="str">
        <f>INDEX(State!C:C,MATCH(OrdersTable[[#This Row],[State Code]],State!B:B,0))</f>
        <v>North</v>
      </c>
      <c r="K1286" t="s">
        <v>49</v>
      </c>
      <c r="L1286" t="s">
        <v>65</v>
      </c>
      <c r="M1286" t="s">
        <v>576</v>
      </c>
      <c r="N1286" t="str">
        <f>INDEX(Products!B:B,MATCH(OrdersTable[[#This Row],[Product ID]],Products!A:A,0))</f>
        <v>Printed Saree</v>
      </c>
      <c r="O1286" t="str">
        <f>INDEX(Products!C:C,MATCH(OrdersTable[[#This Row],[Product ID]],Products!A:A,0))</f>
        <v>Apparel</v>
      </c>
      <c r="P1286">
        <v>1</v>
      </c>
      <c r="Q1286" s="5">
        <v>1999</v>
      </c>
      <c r="R1286" s="74">
        <v>0</v>
      </c>
      <c r="S1286" s="75">
        <f>OrdersTable[[#This Row],[Quantity]]*OrdersTable[[#This Row],[Unit Price]]</f>
        <v>1999</v>
      </c>
      <c r="T1286" s="5">
        <f>OrdersTable[[#This Row],[Gross Sale]]*OrdersTable[[#This Row],[Discount_Clean2]]</f>
        <v>0</v>
      </c>
      <c r="U1286" s="5">
        <f>OrdersTable[[#This Row],[Gross Sale]]-OrdersTable[[#This Row],[Discount Amount]]</f>
        <v>1999</v>
      </c>
      <c r="V1286" s="77">
        <f>INDEX(Products!E:E,MATCH(OrdersTable[[#This Row],[Product ID]],Products!A:A,0))</f>
        <v>880</v>
      </c>
      <c r="W1286" s="77">
        <f>OrdersTable[[#This Row],[Quantity]]*OrdersTable[[#This Row],[Unit Cost]]</f>
        <v>880</v>
      </c>
      <c r="X1286" s="77">
        <f>'Dropdown Lists'!$I$2*(1+OrdersTable[[#This Row],[Returned]])</f>
        <v>60</v>
      </c>
      <c r="Y1286" s="76">
        <f>OrdersTable[[#This Row],[Net Revenue]]-OrdersTable[[#This Row],[COGS]]-OrdersTable[[#This Row],[Shipping Cost]]</f>
        <v>1059</v>
      </c>
      <c r="Z1286" s="78">
        <f>IFERROR(OrdersTable[[#This Row],[Profit]]/OrdersTable[[#This Row],[Net Revenue]],0)</f>
        <v>0.52976488244122066</v>
      </c>
      <c r="AA1286" t="s">
        <v>18</v>
      </c>
      <c r="AB1286" s="79">
        <v>45552</v>
      </c>
      <c r="AC1286">
        <f>OrdersTable[[#This Row],[Delivery Date]]-OrdersTable[[#This Row],[Order Date]]</f>
        <v>3</v>
      </c>
      <c r="AD1286" t="str">
        <f>IF(OrdersTable[[#This Row],[Delivery Days]]&lt;=2, "Express (≤2d)", IF(OrdersTable[[#This Row],[Delivery Days]]&lt;=4, "Standard (3-4d)", "Delayed (5d+)"))</f>
        <v>Standard (3-4d)</v>
      </c>
      <c r="AF1286">
        <v>0</v>
      </c>
    </row>
    <row r="1287" spans="1:32" ht="15" x14ac:dyDescent="0.35">
      <c r="A1287" t="s">
        <v>2729</v>
      </c>
      <c r="B1287" s="1">
        <v>45549</v>
      </c>
      <c r="C1287">
        <f>YEAR(OrdersTable[[#This Row],[Order Date]])</f>
        <v>2024</v>
      </c>
      <c r="D1287" s="2">
        <f>DATE(YEAR(OrdersTable[[#This Row],[Order Date]]),MONTH(OrdersTable[[#This Row],[Order Date]]),1)</f>
        <v>45536</v>
      </c>
      <c r="E1287">
        <f>MONTH(OrdersTable[[#This Row],[Order Date]])</f>
        <v>9</v>
      </c>
      <c r="F1287" t="s">
        <v>2730</v>
      </c>
      <c r="G1287" t="str">
        <f>IF(OrdersTable[[#This Row],[Order Date]]=_xlfn.MINIFS(Order_Date, Customer_ID, OrdersTable[[#This Row],[Customer ID]]), "New", "Repeat")</f>
        <v>New</v>
      </c>
      <c r="H1287" t="s">
        <v>76</v>
      </c>
      <c r="I1287" t="str">
        <f>INDEX(State!B:B,MATCH(OrdersTable[[#This Row],[State]],State!A:A,0))</f>
        <v>UP</v>
      </c>
      <c r="J1287" t="str">
        <f>INDEX(State!C:C,MATCH(OrdersTable[[#This Row],[State Code]],State!B:B,0))</f>
        <v>North</v>
      </c>
      <c r="K1287" t="s">
        <v>77</v>
      </c>
      <c r="L1287" t="s">
        <v>23</v>
      </c>
      <c r="M1287" t="s">
        <v>45</v>
      </c>
      <c r="N1287" t="str">
        <f>INDEX(Products!B:B,MATCH(OrdersTable[[#This Row],[Product ID]],Products!A:A,0))</f>
        <v>Argan Shampoo</v>
      </c>
      <c r="O1287" t="str">
        <f>INDEX(Products!C:C,MATCH(OrdersTable[[#This Row],[Product ID]],Products!A:A,0))</f>
        <v>Haircare</v>
      </c>
      <c r="P1287">
        <v>1</v>
      </c>
      <c r="Q1287" s="5">
        <v>449</v>
      </c>
      <c r="R1287" s="74">
        <v>0.05</v>
      </c>
      <c r="S1287" s="75">
        <f>OrdersTable[[#This Row],[Quantity]]*OrdersTable[[#This Row],[Unit Price]]</f>
        <v>449</v>
      </c>
      <c r="T1287" s="5">
        <f>OrdersTable[[#This Row],[Gross Sale]]*OrdersTable[[#This Row],[Discount_Clean2]]</f>
        <v>22.450000000000003</v>
      </c>
      <c r="U1287" s="5">
        <f>OrdersTable[[#This Row],[Gross Sale]]-OrdersTable[[#This Row],[Discount Amount]]</f>
        <v>426.55</v>
      </c>
      <c r="V1287" s="77">
        <f>INDEX(Products!E:E,MATCH(OrdersTable[[#This Row],[Product ID]],Products!A:A,0))</f>
        <v>148</v>
      </c>
      <c r="W1287" s="77">
        <f>OrdersTable[[#This Row],[Quantity]]*OrdersTable[[#This Row],[Unit Cost]]</f>
        <v>148</v>
      </c>
      <c r="X1287" s="77">
        <f>'Dropdown Lists'!$I$2*(1+OrdersTable[[#This Row],[Returned]])</f>
        <v>60</v>
      </c>
      <c r="Y1287" s="76">
        <f>OrdersTable[[#This Row],[Net Revenue]]-OrdersTable[[#This Row],[COGS]]-OrdersTable[[#This Row],[Shipping Cost]]</f>
        <v>218.55</v>
      </c>
      <c r="Z1287" s="78">
        <f>IFERROR(OrdersTable[[#This Row],[Profit]]/OrdersTable[[#This Row],[Net Revenue]],0)</f>
        <v>0.51236666275934828</v>
      </c>
      <c r="AA1287" t="s">
        <v>2522</v>
      </c>
      <c r="AB1287" s="79">
        <v>45554</v>
      </c>
      <c r="AC1287">
        <f>OrdersTable[[#This Row],[Delivery Date]]-OrdersTable[[#This Row],[Order Date]]</f>
        <v>5</v>
      </c>
      <c r="AD1287" t="str">
        <f>IF(OrdersTable[[#This Row],[Delivery Days]]&lt;=2, "Express (≤2d)", IF(OrdersTable[[#This Row],[Delivery Days]]&lt;=4, "Standard (3-4d)", "Delayed (5d+)"))</f>
        <v>Delayed (5d+)</v>
      </c>
      <c r="AE1287">
        <v>3</v>
      </c>
      <c r="AF1287">
        <v>0</v>
      </c>
    </row>
    <row r="1288" spans="1:32" ht="15" x14ac:dyDescent="0.35">
      <c r="A1288" t="s">
        <v>6687</v>
      </c>
      <c r="B1288" s="1">
        <v>45549</v>
      </c>
      <c r="C1288">
        <f>YEAR(OrdersTable[[#This Row],[Order Date]])</f>
        <v>2024</v>
      </c>
      <c r="D1288" s="2">
        <f>DATE(YEAR(OrdersTable[[#This Row],[Order Date]]),MONTH(OrdersTable[[#This Row],[Order Date]]),1)</f>
        <v>45536</v>
      </c>
      <c r="E1288">
        <f>MONTH(OrdersTable[[#This Row],[Order Date]])</f>
        <v>9</v>
      </c>
      <c r="F1288" t="s">
        <v>823</v>
      </c>
      <c r="G1288" t="str">
        <f>IF(OrdersTable[[#This Row],[Order Date]]=_xlfn.MINIFS(Order_Date, Customer_ID, OrdersTable[[#This Row],[Customer ID]]), "New", "Repeat")</f>
        <v>New</v>
      </c>
      <c r="H1288" t="s">
        <v>123</v>
      </c>
      <c r="I1288" t="str">
        <f>INDEX(State!B:B,MATCH(OrdersTable[[#This Row],[State]],State!A:A,0))</f>
        <v>JH</v>
      </c>
      <c r="J1288" t="str">
        <f>INDEX(State!C:C,MATCH(OrdersTable[[#This Row],[State Code]],State!B:B,0))</f>
        <v>East</v>
      </c>
      <c r="K1288" t="s">
        <v>124</v>
      </c>
      <c r="L1288" t="s">
        <v>65</v>
      </c>
      <c r="M1288" t="s">
        <v>109</v>
      </c>
      <c r="N1288" t="str">
        <f>INDEX(Products!B:B,MATCH(OrdersTable[[#This Row],[Product ID]],Products!A:A,0))</f>
        <v>Onion Hair Oil</v>
      </c>
      <c r="O1288" t="str">
        <f>INDEX(Products!C:C,MATCH(OrdersTable[[#This Row],[Product ID]],Products!A:A,0))</f>
        <v>Haircare</v>
      </c>
      <c r="P1288">
        <v>3</v>
      </c>
      <c r="Q1288" s="5">
        <v>349</v>
      </c>
      <c r="R1288" s="74">
        <v>0.3</v>
      </c>
      <c r="S1288" s="75">
        <f>OrdersTable[[#This Row],[Quantity]]*OrdersTable[[#This Row],[Unit Price]]</f>
        <v>1047</v>
      </c>
      <c r="T1288" s="5">
        <f>OrdersTable[[#This Row],[Gross Sale]]*OrdersTable[[#This Row],[Discount_Clean2]]</f>
        <v>314.09999999999997</v>
      </c>
      <c r="U1288" s="5">
        <f>OrdersTable[[#This Row],[Gross Sale]]-OrdersTable[[#This Row],[Discount Amount]]</f>
        <v>732.90000000000009</v>
      </c>
      <c r="V1288" s="77">
        <f>INDEX(Products!E:E,MATCH(OrdersTable[[#This Row],[Product ID]],Products!A:A,0))</f>
        <v>105</v>
      </c>
      <c r="W1288" s="77">
        <f>OrdersTable[[#This Row],[Quantity]]*OrdersTable[[#This Row],[Unit Cost]]</f>
        <v>315</v>
      </c>
      <c r="X1288" s="77">
        <f>'Dropdown Lists'!$I$2*(1+OrdersTable[[#This Row],[Returned]])</f>
        <v>60</v>
      </c>
      <c r="Y1288" s="76">
        <f>OrdersTable[[#This Row],[Net Revenue]]-OrdersTable[[#This Row],[COGS]]-OrdersTable[[#This Row],[Shipping Cost]]</f>
        <v>357.90000000000009</v>
      </c>
      <c r="Z1288" s="78">
        <f>IFERROR(OrdersTable[[#This Row],[Profit]]/OrdersTable[[#This Row],[Net Revenue]],0)</f>
        <v>0.48833401555464601</v>
      </c>
      <c r="AA1288" t="s">
        <v>2522</v>
      </c>
      <c r="AB1288" s="79">
        <v>45554</v>
      </c>
      <c r="AC1288">
        <f>OrdersTable[[#This Row],[Delivery Date]]-OrdersTable[[#This Row],[Order Date]]</f>
        <v>5</v>
      </c>
      <c r="AD1288" t="str">
        <f>IF(OrdersTable[[#This Row],[Delivery Days]]&lt;=2, "Express (≤2d)", IF(OrdersTable[[#This Row],[Delivery Days]]&lt;=4, "Standard (3-4d)", "Delayed (5d+)"))</f>
        <v>Delayed (5d+)</v>
      </c>
      <c r="AE1288">
        <v>4</v>
      </c>
      <c r="AF1288">
        <v>0</v>
      </c>
    </row>
    <row r="1289" spans="1:32" ht="15" x14ac:dyDescent="0.35">
      <c r="A1289" t="s">
        <v>5488</v>
      </c>
      <c r="B1289" s="1">
        <v>45549</v>
      </c>
      <c r="C1289">
        <f>YEAR(OrdersTable[[#This Row],[Order Date]])</f>
        <v>2024</v>
      </c>
      <c r="D1289" s="2">
        <f>DATE(YEAR(OrdersTable[[#This Row],[Order Date]]),MONTH(OrdersTable[[#This Row],[Order Date]]),1)</f>
        <v>45536</v>
      </c>
      <c r="E1289">
        <f>MONTH(OrdersTable[[#This Row],[Order Date]])</f>
        <v>9</v>
      </c>
      <c r="F1289" t="s">
        <v>2416</v>
      </c>
      <c r="G1289" t="str">
        <f>IF(OrdersTable[[#This Row],[Order Date]]=_xlfn.MINIFS(Order_Date, Customer_ID, OrdersTable[[#This Row],[Customer ID]]), "New", "Repeat")</f>
        <v>New</v>
      </c>
      <c r="H1289" t="s">
        <v>95</v>
      </c>
      <c r="I1289" t="str">
        <f>INDEX(State!B:B,MATCH(OrdersTable[[#This Row],[State]],State!A:A,0))</f>
        <v>TG</v>
      </c>
      <c r="J1289" t="str">
        <f>INDEX(State!C:C,MATCH(OrdersTable[[#This Row],[State Code]],State!B:B,0))</f>
        <v>South</v>
      </c>
      <c r="K1289" t="s">
        <v>96</v>
      </c>
      <c r="L1289" t="s">
        <v>65</v>
      </c>
      <c r="M1289" t="s">
        <v>61</v>
      </c>
      <c r="N1289" t="str">
        <f>INDEX(Products!B:B,MATCH(OrdersTable[[#This Row],[Product ID]],Products!A:A,0))</f>
        <v>Multivitamin Gummies</v>
      </c>
      <c r="O1289" t="str">
        <f>INDEX(Products!C:C,MATCH(OrdersTable[[#This Row],[Product ID]],Products!A:A,0))</f>
        <v>Wellness</v>
      </c>
      <c r="P1289">
        <v>2</v>
      </c>
      <c r="Q1289" s="5">
        <v>699</v>
      </c>
      <c r="R1289" s="74">
        <v>0.3</v>
      </c>
      <c r="S1289" s="75">
        <f>OrdersTable[[#This Row],[Quantity]]*OrdersTable[[#This Row],[Unit Price]]</f>
        <v>1398</v>
      </c>
      <c r="T1289" s="5">
        <f>OrdersTable[[#This Row],[Gross Sale]]*OrdersTable[[#This Row],[Discount_Clean2]]</f>
        <v>419.4</v>
      </c>
      <c r="U1289" s="5">
        <f>OrdersTable[[#This Row],[Gross Sale]]-OrdersTable[[#This Row],[Discount Amount]]</f>
        <v>978.6</v>
      </c>
      <c r="V1289" s="77">
        <f>INDEX(Products!E:E,MATCH(OrdersTable[[#This Row],[Product ID]],Products!A:A,0))</f>
        <v>238</v>
      </c>
      <c r="W1289" s="77">
        <f>OrdersTable[[#This Row],[Quantity]]*OrdersTable[[#This Row],[Unit Cost]]</f>
        <v>476</v>
      </c>
      <c r="X1289" s="77">
        <f>'Dropdown Lists'!$I$2*(1+OrdersTable[[#This Row],[Returned]])</f>
        <v>60</v>
      </c>
      <c r="Y1289" s="76">
        <f>OrdersTable[[#This Row],[Net Revenue]]-OrdersTable[[#This Row],[COGS]]-OrdersTable[[#This Row],[Shipping Cost]]</f>
        <v>442.6</v>
      </c>
      <c r="Z1289" s="78">
        <f>IFERROR(OrdersTable[[#This Row],[Profit]]/OrdersTable[[#This Row],[Net Revenue]],0)</f>
        <v>0.45227876558348662</v>
      </c>
      <c r="AA1289" t="s">
        <v>2522</v>
      </c>
      <c r="AB1289" s="79">
        <v>45553</v>
      </c>
      <c r="AC1289">
        <f>OrdersTable[[#This Row],[Delivery Date]]-OrdersTable[[#This Row],[Order Date]]</f>
        <v>4</v>
      </c>
      <c r="AD1289" t="str">
        <f>IF(OrdersTable[[#This Row],[Delivery Days]]&lt;=2, "Express (≤2d)", IF(OrdersTable[[#This Row],[Delivery Days]]&lt;=4, "Standard (3-4d)", "Delayed (5d+)"))</f>
        <v>Standard (3-4d)</v>
      </c>
      <c r="AE1289">
        <v>4</v>
      </c>
      <c r="AF1289">
        <v>0</v>
      </c>
    </row>
    <row r="1290" spans="1:32" ht="15" x14ac:dyDescent="0.35">
      <c r="A1290" t="s">
        <v>1672</v>
      </c>
      <c r="B1290" s="1">
        <v>45549</v>
      </c>
      <c r="C1290">
        <f>YEAR(OrdersTable[[#This Row],[Order Date]])</f>
        <v>2024</v>
      </c>
      <c r="D1290" s="2">
        <f>DATE(YEAR(OrdersTable[[#This Row],[Order Date]]),MONTH(OrdersTable[[#This Row],[Order Date]]),1)</f>
        <v>45536</v>
      </c>
      <c r="E1290">
        <f>MONTH(OrdersTable[[#This Row],[Order Date]])</f>
        <v>9</v>
      </c>
      <c r="F1290" t="s">
        <v>1673</v>
      </c>
      <c r="G1290" t="str">
        <f>IF(OrdersTable[[#This Row],[Order Date]]=_xlfn.MINIFS(Order_Date, Customer_ID, OrdersTable[[#This Row],[Customer ID]]), "New", "Repeat")</f>
        <v>Repeat</v>
      </c>
      <c r="H1290" t="s">
        <v>95</v>
      </c>
      <c r="I1290" t="str">
        <f>INDEX(State!B:B,MATCH(OrdersTable[[#This Row],[State]],State!A:A,0))</f>
        <v>TG</v>
      </c>
      <c r="J1290" t="str">
        <f>INDEX(State!C:C,MATCH(OrdersTable[[#This Row],[State Code]],State!B:B,0))</f>
        <v>South</v>
      </c>
      <c r="K1290" t="s">
        <v>96</v>
      </c>
      <c r="L1290" t="s">
        <v>65</v>
      </c>
      <c r="M1290" t="s">
        <v>40</v>
      </c>
      <c r="N1290" t="str">
        <f>INDEX(Products!B:B,MATCH(OrdersTable[[#This Row],[Product ID]],Products!A:A,0))</f>
        <v>Ashwagandha Capsules</v>
      </c>
      <c r="O1290" t="str">
        <f>INDEX(Products!C:C,MATCH(OrdersTable[[#This Row],[Product ID]],Products!A:A,0))</f>
        <v>Wellness</v>
      </c>
      <c r="P1290">
        <v>1</v>
      </c>
      <c r="Q1290" s="5">
        <v>499</v>
      </c>
      <c r="R1290" s="74">
        <v>0.05</v>
      </c>
      <c r="S1290" s="75">
        <f>OrdersTable[[#This Row],[Quantity]]*OrdersTable[[#This Row],[Unit Price]]</f>
        <v>499</v>
      </c>
      <c r="T1290" s="5">
        <f>OrdersTable[[#This Row],[Gross Sale]]*OrdersTable[[#This Row],[Discount_Clean2]]</f>
        <v>24.950000000000003</v>
      </c>
      <c r="U1290" s="5">
        <f>OrdersTable[[#This Row],[Gross Sale]]-OrdersTable[[#This Row],[Discount Amount]]</f>
        <v>474.05</v>
      </c>
      <c r="V1290" s="77">
        <f>INDEX(Products!E:E,MATCH(OrdersTable[[#This Row],[Product ID]],Products!A:A,0))</f>
        <v>150</v>
      </c>
      <c r="W1290" s="77">
        <f>OrdersTable[[#This Row],[Quantity]]*OrdersTable[[#This Row],[Unit Cost]]</f>
        <v>150</v>
      </c>
      <c r="X1290" s="77">
        <f>'Dropdown Lists'!$I$2*(1+OrdersTable[[#This Row],[Returned]])</f>
        <v>60</v>
      </c>
      <c r="Y1290" s="76">
        <f>OrdersTable[[#This Row],[Net Revenue]]-OrdersTable[[#This Row],[COGS]]-OrdersTable[[#This Row],[Shipping Cost]]</f>
        <v>264.05</v>
      </c>
      <c r="Z1290" s="78">
        <f>IFERROR(OrdersTable[[#This Row],[Profit]]/OrdersTable[[#This Row],[Net Revenue]],0)</f>
        <v>0.55700875435080688</v>
      </c>
      <c r="AA1290" t="s">
        <v>18</v>
      </c>
      <c r="AB1290" s="79">
        <v>45550</v>
      </c>
      <c r="AC1290">
        <f>OrdersTable[[#This Row],[Delivery Date]]-OrdersTable[[#This Row],[Order Date]]</f>
        <v>1</v>
      </c>
      <c r="AD1290" t="str">
        <f>IF(OrdersTable[[#This Row],[Delivery Days]]&lt;=2, "Express (≤2d)", IF(OrdersTable[[#This Row],[Delivery Days]]&lt;=4, "Standard (3-4d)", "Delayed (5d+)"))</f>
        <v>Express (≤2d)</v>
      </c>
      <c r="AF1290">
        <v>0</v>
      </c>
    </row>
    <row r="1291" spans="1:32" ht="15" x14ac:dyDescent="0.35">
      <c r="A1291" t="s">
        <v>4927</v>
      </c>
      <c r="B1291" s="1">
        <v>45549</v>
      </c>
      <c r="C1291">
        <f>YEAR(OrdersTable[[#This Row],[Order Date]])</f>
        <v>2024</v>
      </c>
      <c r="D1291" s="2">
        <f>DATE(YEAR(OrdersTable[[#This Row],[Order Date]]),MONTH(OrdersTable[[#This Row],[Order Date]]),1)</f>
        <v>45536</v>
      </c>
      <c r="E1291">
        <f>MONTH(OrdersTable[[#This Row],[Order Date]])</f>
        <v>9</v>
      </c>
      <c r="F1291" t="s">
        <v>2952</v>
      </c>
      <c r="G1291" t="str">
        <f>IF(OrdersTable[[#This Row],[Order Date]]=_xlfn.MINIFS(Order_Date, Customer_ID, OrdersTable[[#This Row],[Customer ID]]), "New", "Repeat")</f>
        <v>New</v>
      </c>
      <c r="H1291" t="s">
        <v>167</v>
      </c>
      <c r="I1291" t="str">
        <f>INDEX(State!B:B,MATCH(OrdersTable[[#This Row],[State]],State!A:A,0))</f>
        <v>KA</v>
      </c>
      <c r="J1291" t="str">
        <f>INDEX(State!C:C,MATCH(OrdersTable[[#This Row],[State Code]],State!B:B,0))</f>
        <v>South</v>
      </c>
      <c r="K1291" t="s">
        <v>168</v>
      </c>
      <c r="L1291" t="s">
        <v>50</v>
      </c>
      <c r="M1291" t="s">
        <v>160</v>
      </c>
      <c r="N1291" t="str">
        <f>INDEX(Products!B:B,MATCH(OrdersTable[[#This Row],[Product ID]],Products!A:A,0))</f>
        <v>Niacinamide Toner</v>
      </c>
      <c r="O1291" t="str">
        <f>INDEX(Products!C:C,MATCH(OrdersTable[[#This Row],[Product ID]],Products!A:A,0))</f>
        <v>Skincare</v>
      </c>
      <c r="P1291">
        <v>2</v>
      </c>
      <c r="Q1291" s="5">
        <v>399</v>
      </c>
      <c r="R1291" s="74">
        <v>0.2</v>
      </c>
      <c r="S1291" s="75">
        <f>OrdersTable[[#This Row],[Quantity]]*OrdersTable[[#This Row],[Unit Price]]</f>
        <v>798</v>
      </c>
      <c r="T1291" s="5">
        <f>OrdersTable[[#This Row],[Gross Sale]]*OrdersTable[[#This Row],[Discount_Clean2]]</f>
        <v>159.60000000000002</v>
      </c>
      <c r="U1291" s="5">
        <f>OrdersTable[[#This Row],[Gross Sale]]-OrdersTable[[#This Row],[Discount Amount]]</f>
        <v>638.4</v>
      </c>
      <c r="V1291" s="77">
        <f>INDEX(Products!E:E,MATCH(OrdersTable[[#This Row],[Product ID]],Products!A:A,0))</f>
        <v>112</v>
      </c>
      <c r="W1291" s="77">
        <f>OrdersTable[[#This Row],[Quantity]]*OrdersTable[[#This Row],[Unit Cost]]</f>
        <v>224</v>
      </c>
      <c r="X1291" s="77">
        <f>'Dropdown Lists'!$I$2*(1+OrdersTable[[#This Row],[Returned]])</f>
        <v>60</v>
      </c>
      <c r="Y1291" s="76">
        <f>OrdersTable[[#This Row],[Net Revenue]]-OrdersTable[[#This Row],[COGS]]-OrdersTable[[#This Row],[Shipping Cost]]</f>
        <v>354.4</v>
      </c>
      <c r="Z1291" s="78">
        <f>IFERROR(OrdersTable[[#This Row],[Profit]]/OrdersTable[[#This Row],[Net Revenue]],0)</f>
        <v>0.55513784461152882</v>
      </c>
      <c r="AA1291" t="s">
        <v>4074</v>
      </c>
      <c r="AB1291" s="79">
        <v>45553</v>
      </c>
      <c r="AC1291">
        <f>OrdersTable[[#This Row],[Delivery Date]]-OrdersTable[[#This Row],[Order Date]]</f>
        <v>4</v>
      </c>
      <c r="AD1291" t="str">
        <f>IF(OrdersTable[[#This Row],[Delivery Days]]&lt;=2, "Express (≤2d)", IF(OrdersTable[[#This Row],[Delivery Days]]&lt;=4, "Standard (3-4d)", "Delayed (5d+)"))</f>
        <v>Standard (3-4d)</v>
      </c>
      <c r="AE1291">
        <v>4</v>
      </c>
      <c r="AF1291">
        <v>0</v>
      </c>
    </row>
    <row r="1292" spans="1:32" ht="15" x14ac:dyDescent="0.35">
      <c r="A1292" t="s">
        <v>2731</v>
      </c>
      <c r="B1292" s="1">
        <v>45549</v>
      </c>
      <c r="C1292">
        <f>YEAR(OrdersTable[[#This Row],[Order Date]])</f>
        <v>2024</v>
      </c>
      <c r="D1292" s="2">
        <f>DATE(YEAR(OrdersTable[[#This Row],[Order Date]]),MONTH(OrdersTable[[#This Row],[Order Date]]),1)</f>
        <v>45536</v>
      </c>
      <c r="E1292">
        <f>MONTH(OrdersTable[[#This Row],[Order Date]])</f>
        <v>9</v>
      </c>
      <c r="F1292" t="s">
        <v>2732</v>
      </c>
      <c r="G1292" t="str">
        <f>IF(OrdersTable[[#This Row],[Order Date]]=_xlfn.MINIFS(Order_Date, Customer_ID, OrdersTable[[#This Row],[Customer ID]]), "New", "Repeat")</f>
        <v>New</v>
      </c>
      <c r="H1292" t="s">
        <v>167</v>
      </c>
      <c r="I1292" t="str">
        <f>INDEX(State!B:B,MATCH(OrdersTable[[#This Row],[State]],State!A:A,0))</f>
        <v>KA</v>
      </c>
      <c r="J1292" t="str">
        <f>INDEX(State!C:C,MATCH(OrdersTable[[#This Row],[State Code]],State!B:B,0))</f>
        <v>South</v>
      </c>
      <c r="K1292" t="s">
        <v>168</v>
      </c>
      <c r="L1292" t="s">
        <v>39</v>
      </c>
      <c r="M1292" t="s">
        <v>148</v>
      </c>
      <c r="N1292" t="str">
        <f>INDEX(Products!B:B,MATCH(OrdersTable[[#This Row],[Product ID]],Products!A:A,0))</f>
        <v>Smartwatch Strap</v>
      </c>
      <c r="O1292" t="str">
        <f>INDEX(Products!C:C,MATCH(OrdersTable[[#This Row],[Product ID]],Products!A:A,0))</f>
        <v>Electronics</v>
      </c>
      <c r="P1292">
        <v>1</v>
      </c>
      <c r="Q1292" s="5">
        <v>499</v>
      </c>
      <c r="R1292" s="74">
        <v>0.15</v>
      </c>
      <c r="S1292" s="75">
        <f>OrdersTable[[#This Row],[Quantity]]*OrdersTable[[#This Row],[Unit Price]]</f>
        <v>499</v>
      </c>
      <c r="T1292" s="5">
        <f>OrdersTable[[#This Row],[Gross Sale]]*OrdersTable[[#This Row],[Discount_Clean2]]</f>
        <v>74.849999999999994</v>
      </c>
      <c r="U1292" s="5">
        <f>OrdersTable[[#This Row],[Gross Sale]]-OrdersTable[[#This Row],[Discount Amount]]</f>
        <v>424.15</v>
      </c>
      <c r="V1292" s="77">
        <f>INDEX(Products!E:E,MATCH(OrdersTable[[#This Row],[Product ID]],Products!A:A,0))</f>
        <v>200</v>
      </c>
      <c r="W1292" s="77">
        <f>OrdersTable[[#This Row],[Quantity]]*OrdersTable[[#This Row],[Unit Cost]]</f>
        <v>200</v>
      </c>
      <c r="X1292" s="77">
        <f>'Dropdown Lists'!$I$2*(1+OrdersTable[[#This Row],[Returned]])</f>
        <v>60</v>
      </c>
      <c r="Y1292" s="76">
        <f>OrdersTable[[#This Row],[Net Revenue]]-OrdersTable[[#This Row],[COGS]]-OrdersTable[[#This Row],[Shipping Cost]]</f>
        <v>164.14999999999998</v>
      </c>
      <c r="Z1292" s="78">
        <f>IFERROR(OrdersTable[[#This Row],[Profit]]/OrdersTable[[#This Row],[Net Revenue]],0)</f>
        <v>0.38700931274313327</v>
      </c>
      <c r="AA1292" t="s">
        <v>2522</v>
      </c>
      <c r="AB1292" s="79">
        <v>45553</v>
      </c>
      <c r="AC1292">
        <f>OrdersTable[[#This Row],[Delivery Date]]-OrdersTable[[#This Row],[Order Date]]</f>
        <v>4</v>
      </c>
      <c r="AD1292" t="str">
        <f>IF(OrdersTable[[#This Row],[Delivery Days]]&lt;=2, "Express (≤2d)", IF(OrdersTable[[#This Row],[Delivery Days]]&lt;=4, "Standard (3-4d)", "Delayed (5d+)"))</f>
        <v>Standard (3-4d)</v>
      </c>
      <c r="AE1292">
        <v>3</v>
      </c>
      <c r="AF1292">
        <v>0</v>
      </c>
    </row>
    <row r="1293" spans="1:32" ht="15" x14ac:dyDescent="0.35">
      <c r="A1293" t="s">
        <v>4482</v>
      </c>
      <c r="B1293" s="1">
        <v>45549</v>
      </c>
      <c r="C1293">
        <f>YEAR(OrdersTable[[#This Row],[Order Date]])</f>
        <v>2024</v>
      </c>
      <c r="D1293" s="2">
        <f>DATE(YEAR(OrdersTable[[#This Row],[Order Date]]),MONTH(OrdersTable[[#This Row],[Order Date]]),1)</f>
        <v>45536</v>
      </c>
      <c r="E1293">
        <f>MONTH(OrdersTable[[#This Row],[Order Date]])</f>
        <v>9</v>
      </c>
      <c r="F1293" t="s">
        <v>1386</v>
      </c>
      <c r="G1293" t="str">
        <f>IF(OrdersTable[[#This Row],[Order Date]]=_xlfn.MINIFS(Order_Date, Customer_ID, OrdersTable[[#This Row],[Customer ID]]), "New", "Repeat")</f>
        <v>Repeat</v>
      </c>
      <c r="H1293" t="s">
        <v>167</v>
      </c>
      <c r="I1293" t="str">
        <f>INDEX(State!B:B,MATCH(OrdersTable[[#This Row],[State]],State!A:A,0))</f>
        <v>KA</v>
      </c>
      <c r="J1293" t="str">
        <f>INDEX(State!C:C,MATCH(OrdersTable[[#This Row],[State Code]],State!B:B,0))</f>
        <v>South</v>
      </c>
      <c r="K1293" t="s">
        <v>190</v>
      </c>
      <c r="L1293" t="s">
        <v>16</v>
      </c>
      <c r="M1293" t="s">
        <v>29</v>
      </c>
      <c r="N1293" t="str">
        <f>INDEX(Products!B:B,MATCH(OrdersTable[[#This Row],[Product ID]],Products!A:A,0))</f>
        <v>Joggers</v>
      </c>
      <c r="O1293" t="str">
        <f>INDEX(Products!C:C,MATCH(OrdersTable[[#This Row],[Product ID]],Products!A:A,0))</f>
        <v>Apparel</v>
      </c>
      <c r="P1293">
        <v>1</v>
      </c>
      <c r="Q1293" s="5">
        <v>1199</v>
      </c>
      <c r="R1293" s="74">
        <v>0.15</v>
      </c>
      <c r="S1293" s="75">
        <f>OrdersTable[[#This Row],[Quantity]]*OrdersTable[[#This Row],[Unit Price]]</f>
        <v>1199</v>
      </c>
      <c r="T1293" s="5">
        <f>OrdersTable[[#This Row],[Gross Sale]]*OrdersTable[[#This Row],[Discount_Clean2]]</f>
        <v>179.85</v>
      </c>
      <c r="U1293" s="5">
        <f>OrdersTable[[#This Row],[Gross Sale]]-OrdersTable[[#This Row],[Discount Amount]]</f>
        <v>1019.15</v>
      </c>
      <c r="V1293" s="77">
        <f>INDEX(Products!E:E,MATCH(OrdersTable[[#This Row],[Product ID]],Products!A:A,0))</f>
        <v>492</v>
      </c>
      <c r="W1293" s="77">
        <f>OrdersTable[[#This Row],[Quantity]]*OrdersTable[[#This Row],[Unit Cost]]</f>
        <v>492</v>
      </c>
      <c r="X1293" s="77">
        <f>'Dropdown Lists'!$I$2*(1+OrdersTable[[#This Row],[Returned]])</f>
        <v>60</v>
      </c>
      <c r="Y1293" s="76">
        <f>OrdersTable[[#This Row],[Net Revenue]]-OrdersTable[[#This Row],[COGS]]-OrdersTable[[#This Row],[Shipping Cost]]</f>
        <v>467.15</v>
      </c>
      <c r="Z1293" s="78">
        <f>IFERROR(OrdersTable[[#This Row],[Profit]]/OrdersTable[[#This Row],[Net Revenue]],0)</f>
        <v>0.45837217288917231</v>
      </c>
      <c r="AA1293" t="s">
        <v>4450</v>
      </c>
      <c r="AB1293" s="79">
        <v>45551</v>
      </c>
      <c r="AC1293">
        <f>OrdersTable[[#This Row],[Delivery Date]]-OrdersTable[[#This Row],[Order Date]]</f>
        <v>2</v>
      </c>
      <c r="AD1293" t="str">
        <f>IF(OrdersTable[[#This Row],[Delivery Days]]&lt;=2, "Express (≤2d)", IF(OrdersTable[[#This Row],[Delivery Days]]&lt;=4, "Standard (3-4d)", "Delayed (5d+)"))</f>
        <v>Express (≤2d)</v>
      </c>
      <c r="AE1293">
        <v>4</v>
      </c>
      <c r="AF1293">
        <v>0</v>
      </c>
    </row>
    <row r="1294" spans="1:32" ht="15" x14ac:dyDescent="0.35">
      <c r="A1294" t="s">
        <v>4928</v>
      </c>
      <c r="B1294" s="1">
        <v>45550</v>
      </c>
      <c r="C1294">
        <f>YEAR(OrdersTable[[#This Row],[Order Date]])</f>
        <v>2024</v>
      </c>
      <c r="D1294" s="2">
        <f>DATE(YEAR(OrdersTable[[#This Row],[Order Date]]),MONTH(OrdersTable[[#This Row],[Order Date]]),1)</f>
        <v>45536</v>
      </c>
      <c r="E1294">
        <f>MONTH(OrdersTable[[#This Row],[Order Date]])</f>
        <v>9</v>
      </c>
      <c r="F1294" t="s">
        <v>3437</v>
      </c>
      <c r="G1294" t="str">
        <f>IF(OrdersTable[[#This Row],[Order Date]]=_xlfn.MINIFS(Order_Date, Customer_ID, OrdersTable[[#This Row],[Customer ID]]), "New", "Repeat")</f>
        <v>Repeat</v>
      </c>
      <c r="H1294" t="s">
        <v>48</v>
      </c>
      <c r="I1294" t="str">
        <f>INDEX(State!B:B,MATCH(OrdersTable[[#This Row],[State]],State!A:A,0))</f>
        <v>HR</v>
      </c>
      <c r="J1294" t="str">
        <f>INDEX(State!C:C,MATCH(OrdersTable[[#This Row],[State Code]],State!B:B,0))</f>
        <v>North</v>
      </c>
      <c r="K1294" t="s">
        <v>49</v>
      </c>
      <c r="L1294" t="s">
        <v>16</v>
      </c>
      <c r="M1294" t="s">
        <v>87</v>
      </c>
      <c r="N1294" t="str">
        <f>INDEX(Products!B:B,MATCH(OrdersTable[[#This Row],[Product ID]],Products!A:A,0))</f>
        <v>Linen Kurta</v>
      </c>
      <c r="O1294" t="str">
        <f>INDEX(Products!C:C,MATCH(OrdersTable[[#This Row],[Product ID]],Products!A:A,0))</f>
        <v>Apparel</v>
      </c>
      <c r="P1294">
        <v>2</v>
      </c>
      <c r="Q1294" s="5">
        <v>1499</v>
      </c>
      <c r="R1294" s="74">
        <v>0.3</v>
      </c>
      <c r="S1294" s="75">
        <f>OrdersTable[[#This Row],[Quantity]]*OrdersTable[[#This Row],[Unit Price]]</f>
        <v>2998</v>
      </c>
      <c r="T1294" s="5">
        <f>OrdersTable[[#This Row],[Gross Sale]]*OrdersTable[[#This Row],[Discount_Clean2]]</f>
        <v>899.4</v>
      </c>
      <c r="U1294" s="5">
        <f>OrdersTable[[#This Row],[Gross Sale]]-OrdersTable[[#This Row],[Discount Amount]]</f>
        <v>2098.6</v>
      </c>
      <c r="V1294" s="77">
        <f>INDEX(Products!E:E,MATCH(OrdersTable[[#This Row],[Product ID]],Products!A:A,0))</f>
        <v>630</v>
      </c>
      <c r="W1294" s="77">
        <f>OrdersTable[[#This Row],[Quantity]]*OrdersTable[[#This Row],[Unit Cost]]</f>
        <v>1260</v>
      </c>
      <c r="X1294" s="77">
        <f>'Dropdown Lists'!$I$2*(1+OrdersTable[[#This Row],[Returned]])</f>
        <v>60</v>
      </c>
      <c r="Y1294" s="76">
        <f>OrdersTable[[#This Row],[Net Revenue]]-OrdersTable[[#This Row],[COGS]]-OrdersTable[[#This Row],[Shipping Cost]]</f>
        <v>778.59999999999991</v>
      </c>
      <c r="Z1294" s="78">
        <f>IFERROR(OrdersTable[[#This Row],[Profit]]/OrdersTable[[#This Row],[Net Revenue]],0)</f>
        <v>0.3710092442580768</v>
      </c>
      <c r="AA1294" t="s">
        <v>4074</v>
      </c>
      <c r="AB1294" s="79">
        <v>45553</v>
      </c>
      <c r="AC1294">
        <f>OrdersTable[[#This Row],[Delivery Date]]-OrdersTable[[#This Row],[Order Date]]</f>
        <v>3</v>
      </c>
      <c r="AD1294" t="str">
        <f>IF(OrdersTable[[#This Row],[Delivery Days]]&lt;=2, "Express (≤2d)", IF(OrdersTable[[#This Row],[Delivery Days]]&lt;=4, "Standard (3-4d)", "Delayed (5d+)"))</f>
        <v>Standard (3-4d)</v>
      </c>
      <c r="AE1294">
        <v>4</v>
      </c>
      <c r="AF1294">
        <v>0</v>
      </c>
    </row>
    <row r="1295" spans="1:32" ht="15" x14ac:dyDescent="0.35">
      <c r="A1295" t="s">
        <v>3866</v>
      </c>
      <c r="B1295" s="1">
        <v>45550</v>
      </c>
      <c r="C1295">
        <f>YEAR(OrdersTable[[#This Row],[Order Date]])</f>
        <v>2024</v>
      </c>
      <c r="D1295" s="2">
        <f>DATE(YEAR(OrdersTable[[#This Row],[Order Date]]),MONTH(OrdersTable[[#This Row],[Order Date]]),1)</f>
        <v>45536</v>
      </c>
      <c r="E1295">
        <f>MONTH(OrdersTable[[#This Row],[Order Date]])</f>
        <v>9</v>
      </c>
      <c r="F1295" t="s">
        <v>3867</v>
      </c>
      <c r="G1295" t="str">
        <f>IF(OrdersTable[[#This Row],[Order Date]]=_xlfn.MINIFS(Order_Date, Customer_ID, OrdersTable[[#This Row],[Customer ID]]), "New", "Repeat")</f>
        <v>New</v>
      </c>
      <c r="H1295" t="s">
        <v>76</v>
      </c>
      <c r="I1295" t="str">
        <f>INDEX(State!B:B,MATCH(OrdersTable[[#This Row],[State]],State!A:A,0))</f>
        <v>UP</v>
      </c>
      <c r="J1295" t="str">
        <f>INDEX(State!C:C,MATCH(OrdersTable[[#This Row],[State Code]],State!B:B,0))</f>
        <v>North</v>
      </c>
      <c r="K1295" t="s">
        <v>118</v>
      </c>
      <c r="L1295" t="s">
        <v>39</v>
      </c>
      <c r="M1295" t="s">
        <v>56</v>
      </c>
      <c r="N1295" t="str">
        <f>INDEX(Products!B:B,MATCH(OrdersTable[[#This Row],[Product ID]],Products!A:A,0))</f>
        <v>Vitamin C Face Serum</v>
      </c>
      <c r="O1295" t="str">
        <f>INDEX(Products!C:C,MATCH(OrdersTable[[#This Row],[Product ID]],Products!A:A,0))</f>
        <v>Skincare</v>
      </c>
      <c r="P1295">
        <v>1</v>
      </c>
      <c r="Q1295" s="5">
        <v>599</v>
      </c>
      <c r="R1295" s="74">
        <v>0.2</v>
      </c>
      <c r="S1295" s="75">
        <f>OrdersTable[[#This Row],[Quantity]]*OrdersTable[[#This Row],[Unit Price]]</f>
        <v>599</v>
      </c>
      <c r="T1295" s="5">
        <f>OrdersTable[[#This Row],[Gross Sale]]*OrdersTable[[#This Row],[Discount_Clean2]]</f>
        <v>119.80000000000001</v>
      </c>
      <c r="U1295" s="5">
        <f>OrdersTable[[#This Row],[Gross Sale]]-OrdersTable[[#This Row],[Discount Amount]]</f>
        <v>479.2</v>
      </c>
      <c r="V1295" s="77">
        <f>INDEX(Products!E:E,MATCH(OrdersTable[[#This Row],[Product ID]],Products!A:A,0))</f>
        <v>180</v>
      </c>
      <c r="W1295" s="77">
        <f>OrdersTable[[#This Row],[Quantity]]*OrdersTable[[#This Row],[Unit Cost]]</f>
        <v>180</v>
      </c>
      <c r="X1295" s="77">
        <f>'Dropdown Lists'!$I$2*(1+OrdersTable[[#This Row],[Returned]])</f>
        <v>60</v>
      </c>
      <c r="Y1295" s="76">
        <f>OrdersTable[[#This Row],[Net Revenue]]-OrdersTable[[#This Row],[COGS]]-OrdersTable[[#This Row],[Shipping Cost]]</f>
        <v>239.2</v>
      </c>
      <c r="Z1295" s="78">
        <f>IFERROR(OrdersTable[[#This Row],[Profit]]/OrdersTable[[#This Row],[Net Revenue]],0)</f>
        <v>0.4991652754590985</v>
      </c>
      <c r="AA1295" t="s">
        <v>3495</v>
      </c>
      <c r="AB1295" s="79">
        <v>45555</v>
      </c>
      <c r="AC1295">
        <f>OrdersTable[[#This Row],[Delivery Date]]-OrdersTable[[#This Row],[Order Date]]</f>
        <v>5</v>
      </c>
      <c r="AD1295" t="str">
        <f>IF(OrdersTable[[#This Row],[Delivery Days]]&lt;=2, "Express (≤2d)", IF(OrdersTable[[#This Row],[Delivery Days]]&lt;=4, "Standard (3-4d)", "Delayed (5d+)"))</f>
        <v>Delayed (5d+)</v>
      </c>
      <c r="AE1295">
        <v>3</v>
      </c>
      <c r="AF1295">
        <v>0</v>
      </c>
    </row>
    <row r="1296" spans="1:32" ht="15" x14ac:dyDescent="0.35">
      <c r="A1296" t="s">
        <v>5774</v>
      </c>
      <c r="B1296" s="1">
        <v>45550</v>
      </c>
      <c r="C1296">
        <f>YEAR(OrdersTable[[#This Row],[Order Date]])</f>
        <v>2024</v>
      </c>
      <c r="D1296" s="2">
        <f>DATE(YEAR(OrdersTable[[#This Row],[Order Date]]),MONTH(OrdersTable[[#This Row],[Order Date]]),1)</f>
        <v>45536</v>
      </c>
      <c r="E1296">
        <f>MONTH(OrdersTable[[#This Row],[Order Date]])</f>
        <v>9</v>
      </c>
      <c r="F1296" t="s">
        <v>1917</v>
      </c>
      <c r="G1296" t="str">
        <f>IF(OrdersTable[[#This Row],[Order Date]]=_xlfn.MINIFS(Order_Date, Customer_ID, OrdersTable[[#This Row],[Customer ID]]), "New", "Repeat")</f>
        <v>New</v>
      </c>
      <c r="H1296" t="s">
        <v>95</v>
      </c>
      <c r="I1296" t="str">
        <f>INDEX(State!B:B,MATCH(OrdersTable[[#This Row],[State]],State!A:A,0))</f>
        <v>TG</v>
      </c>
      <c r="J1296" t="str">
        <f>INDEX(State!C:C,MATCH(OrdersTable[[#This Row],[State Code]],State!B:B,0))</f>
        <v>South</v>
      </c>
      <c r="K1296" t="s">
        <v>96</v>
      </c>
      <c r="L1296" t="s">
        <v>16</v>
      </c>
      <c r="M1296" t="s">
        <v>87</v>
      </c>
      <c r="N1296" t="str">
        <f>INDEX(Products!B:B,MATCH(OrdersTable[[#This Row],[Product ID]],Products!A:A,0))</f>
        <v>Linen Kurta</v>
      </c>
      <c r="O1296" t="str">
        <f>INDEX(Products!C:C,MATCH(OrdersTable[[#This Row],[Product ID]],Products!A:A,0))</f>
        <v>Apparel</v>
      </c>
      <c r="P1296">
        <v>2</v>
      </c>
      <c r="Q1296" s="5">
        <v>1499</v>
      </c>
      <c r="R1296" s="74">
        <v>0.35</v>
      </c>
      <c r="S1296" s="75">
        <f>OrdersTable[[#This Row],[Quantity]]*OrdersTable[[#This Row],[Unit Price]]</f>
        <v>2998</v>
      </c>
      <c r="T1296" s="5">
        <f>OrdersTable[[#This Row],[Gross Sale]]*OrdersTable[[#This Row],[Discount_Clean2]]</f>
        <v>1049.3</v>
      </c>
      <c r="U1296" s="5">
        <f>OrdersTable[[#This Row],[Gross Sale]]-OrdersTable[[#This Row],[Discount Amount]]</f>
        <v>1948.7</v>
      </c>
      <c r="V1296" s="77">
        <f>INDEX(Products!E:E,MATCH(OrdersTable[[#This Row],[Product ID]],Products!A:A,0))</f>
        <v>630</v>
      </c>
      <c r="W1296" s="77">
        <f>OrdersTable[[#This Row],[Quantity]]*OrdersTable[[#This Row],[Unit Cost]]</f>
        <v>1260</v>
      </c>
      <c r="X1296" s="77">
        <f>'Dropdown Lists'!$I$2*(1+OrdersTable[[#This Row],[Returned]])</f>
        <v>120</v>
      </c>
      <c r="Y1296" s="76">
        <f>OrdersTable[[#This Row],[Net Revenue]]-OrdersTable[[#This Row],[COGS]]-OrdersTable[[#This Row],[Shipping Cost]]</f>
        <v>568.70000000000005</v>
      </c>
      <c r="Z1296" s="78">
        <f>IFERROR(OrdersTable[[#This Row],[Profit]]/OrdersTable[[#This Row],[Net Revenue]],0)</f>
        <v>0.29183558269615645</v>
      </c>
      <c r="AA1296" t="s">
        <v>18</v>
      </c>
      <c r="AB1296" s="79">
        <v>45551</v>
      </c>
      <c r="AC1296">
        <f>OrdersTable[[#This Row],[Delivery Date]]-OrdersTable[[#This Row],[Order Date]]</f>
        <v>1</v>
      </c>
      <c r="AD1296" t="str">
        <f>IF(OrdersTable[[#This Row],[Delivery Days]]&lt;=2, "Express (≤2d)", IF(OrdersTable[[#This Row],[Delivery Days]]&lt;=4, "Standard (3-4d)", "Delayed (5d+)"))</f>
        <v>Express (≤2d)</v>
      </c>
      <c r="AE1296">
        <v>5</v>
      </c>
      <c r="AF1296">
        <v>1</v>
      </c>
    </row>
    <row r="1297" spans="1:32" ht="15" x14ac:dyDescent="0.35">
      <c r="A1297" t="s">
        <v>5675</v>
      </c>
      <c r="B1297" s="1">
        <v>45550</v>
      </c>
      <c r="C1297">
        <f>YEAR(OrdersTable[[#This Row],[Order Date]])</f>
        <v>2024</v>
      </c>
      <c r="D1297" s="2">
        <f>DATE(YEAR(OrdersTable[[#This Row],[Order Date]]),MONTH(OrdersTable[[#This Row],[Order Date]]),1)</f>
        <v>45536</v>
      </c>
      <c r="E1297">
        <f>MONTH(OrdersTable[[#This Row],[Order Date]])</f>
        <v>9</v>
      </c>
      <c r="F1297" t="s">
        <v>1874</v>
      </c>
      <c r="G1297" t="str">
        <f>IF(OrdersTable[[#This Row],[Order Date]]=_xlfn.MINIFS(Order_Date, Customer_ID, OrdersTable[[#This Row],[Customer ID]]), "New", "Repeat")</f>
        <v>Repeat</v>
      </c>
      <c r="H1297" t="s">
        <v>167</v>
      </c>
      <c r="I1297" t="str">
        <f>INDEX(State!B:B,MATCH(OrdersTable[[#This Row],[State]],State!A:A,0))</f>
        <v>KA</v>
      </c>
      <c r="J1297" t="str">
        <f>INDEX(State!C:C,MATCH(OrdersTable[[#This Row],[State Code]],State!B:B,0))</f>
        <v>South</v>
      </c>
      <c r="K1297" t="s">
        <v>190</v>
      </c>
      <c r="L1297" t="s">
        <v>23</v>
      </c>
      <c r="M1297" t="s">
        <v>29</v>
      </c>
      <c r="N1297" t="str">
        <f>INDEX(Products!B:B,MATCH(OrdersTable[[#This Row],[Product ID]],Products!A:A,0))</f>
        <v>Joggers</v>
      </c>
      <c r="O1297" t="str">
        <f>INDEX(Products!C:C,MATCH(OrdersTable[[#This Row],[Product ID]],Products!A:A,0))</f>
        <v>Apparel</v>
      </c>
      <c r="P1297">
        <v>2</v>
      </c>
      <c r="Q1297" s="5">
        <v>1199</v>
      </c>
      <c r="R1297" s="74">
        <v>0.2</v>
      </c>
      <c r="S1297" s="75">
        <f>OrdersTable[[#This Row],[Quantity]]*OrdersTable[[#This Row],[Unit Price]]</f>
        <v>2398</v>
      </c>
      <c r="T1297" s="5">
        <f>OrdersTable[[#This Row],[Gross Sale]]*OrdersTable[[#This Row],[Discount_Clean2]]</f>
        <v>479.6</v>
      </c>
      <c r="U1297" s="5">
        <f>OrdersTable[[#This Row],[Gross Sale]]-OrdersTable[[#This Row],[Discount Amount]]</f>
        <v>1918.4</v>
      </c>
      <c r="V1297" s="77">
        <f>INDEX(Products!E:E,MATCH(OrdersTable[[#This Row],[Product ID]],Products!A:A,0))</f>
        <v>492</v>
      </c>
      <c r="W1297" s="77">
        <f>OrdersTable[[#This Row],[Quantity]]*OrdersTable[[#This Row],[Unit Cost]]</f>
        <v>984</v>
      </c>
      <c r="X1297" s="77">
        <f>'Dropdown Lists'!$I$2*(1+OrdersTable[[#This Row],[Returned]])</f>
        <v>60</v>
      </c>
      <c r="Y1297" s="76">
        <f>OrdersTable[[#This Row],[Net Revenue]]-OrdersTable[[#This Row],[COGS]]-OrdersTable[[#This Row],[Shipping Cost]]</f>
        <v>874.40000000000009</v>
      </c>
      <c r="Z1297" s="78">
        <f>IFERROR(OrdersTable[[#This Row],[Profit]]/OrdersTable[[#This Row],[Net Revenue]],0)</f>
        <v>0.45579649708090075</v>
      </c>
      <c r="AA1297" t="s">
        <v>18</v>
      </c>
      <c r="AB1297" s="79">
        <v>45553</v>
      </c>
      <c r="AC1297">
        <f>OrdersTable[[#This Row],[Delivery Date]]-OrdersTable[[#This Row],[Order Date]]</f>
        <v>3</v>
      </c>
      <c r="AD1297" t="str">
        <f>IF(OrdersTable[[#This Row],[Delivery Days]]&lt;=2, "Express (≤2d)", IF(OrdersTable[[#This Row],[Delivery Days]]&lt;=4, "Standard (3-4d)", "Delayed (5d+)"))</f>
        <v>Standard (3-4d)</v>
      </c>
      <c r="AE1297">
        <v>3</v>
      </c>
      <c r="AF1297">
        <v>0</v>
      </c>
    </row>
    <row r="1298" spans="1:32" ht="15" x14ac:dyDescent="0.35">
      <c r="A1298" t="s">
        <v>769</v>
      </c>
      <c r="B1298" s="1">
        <v>45551</v>
      </c>
      <c r="C1298">
        <f>YEAR(OrdersTable[[#This Row],[Order Date]])</f>
        <v>2024</v>
      </c>
      <c r="D1298" s="2">
        <f>DATE(YEAR(OrdersTable[[#This Row],[Order Date]]),MONTH(OrdersTable[[#This Row],[Order Date]]),1)</f>
        <v>45536</v>
      </c>
      <c r="E1298">
        <f>MONTH(OrdersTable[[#This Row],[Order Date]])</f>
        <v>9</v>
      </c>
      <c r="F1298" t="s">
        <v>770</v>
      </c>
      <c r="G1298" t="str">
        <f>IF(OrdersTable[[#This Row],[Order Date]]=_xlfn.MINIFS(Order_Date, Customer_ID, OrdersTable[[#This Row],[Customer ID]]), "New", "Repeat")</f>
        <v>New</v>
      </c>
      <c r="H1298" t="s">
        <v>54</v>
      </c>
      <c r="I1298" t="str">
        <f>INDEX(State!B:B,MATCH(OrdersTable[[#This Row],[State]],State!A:A,0))</f>
        <v>RJ</v>
      </c>
      <c r="J1298" t="str">
        <f>INDEX(State!C:C,MATCH(OrdersTable[[#This Row],[State Code]],State!B:B,0))</f>
        <v>North</v>
      </c>
      <c r="K1298" t="s">
        <v>227</v>
      </c>
      <c r="L1298" t="s">
        <v>39</v>
      </c>
      <c r="M1298" t="s">
        <v>61</v>
      </c>
      <c r="N1298" t="str">
        <f>INDEX(Products!B:B,MATCH(OrdersTable[[#This Row],[Product ID]],Products!A:A,0))</f>
        <v>Multivitamin Gummies</v>
      </c>
      <c r="O1298" t="str">
        <f>INDEX(Products!C:C,MATCH(OrdersTable[[#This Row],[Product ID]],Products!A:A,0))</f>
        <v>Wellness</v>
      </c>
      <c r="P1298">
        <v>1</v>
      </c>
      <c r="Q1298" s="5">
        <v>699</v>
      </c>
      <c r="R1298" s="74">
        <v>0.2</v>
      </c>
      <c r="S1298" s="75">
        <f>OrdersTable[[#This Row],[Quantity]]*OrdersTable[[#This Row],[Unit Price]]</f>
        <v>699</v>
      </c>
      <c r="T1298" s="5">
        <f>OrdersTable[[#This Row],[Gross Sale]]*OrdersTable[[#This Row],[Discount_Clean2]]</f>
        <v>139.80000000000001</v>
      </c>
      <c r="U1298" s="5">
        <f>OrdersTable[[#This Row],[Gross Sale]]-OrdersTable[[#This Row],[Discount Amount]]</f>
        <v>559.20000000000005</v>
      </c>
      <c r="V1298" s="77">
        <f>INDEX(Products!E:E,MATCH(OrdersTable[[#This Row],[Product ID]],Products!A:A,0))</f>
        <v>238</v>
      </c>
      <c r="W1298" s="77">
        <f>OrdersTable[[#This Row],[Quantity]]*OrdersTable[[#This Row],[Unit Cost]]</f>
        <v>238</v>
      </c>
      <c r="X1298" s="77">
        <f>'Dropdown Lists'!$I$2*(1+OrdersTable[[#This Row],[Returned]])</f>
        <v>60</v>
      </c>
      <c r="Y1298" s="76">
        <f>OrdersTable[[#This Row],[Net Revenue]]-OrdersTable[[#This Row],[COGS]]-OrdersTable[[#This Row],[Shipping Cost]]</f>
        <v>261.20000000000005</v>
      </c>
      <c r="Z1298" s="78">
        <f>IFERROR(OrdersTable[[#This Row],[Profit]]/OrdersTable[[#This Row],[Net Revenue]],0)</f>
        <v>0.46709585121602293</v>
      </c>
      <c r="AA1298" t="s">
        <v>18</v>
      </c>
      <c r="AB1298" s="79">
        <v>45554</v>
      </c>
      <c r="AC1298">
        <f>OrdersTable[[#This Row],[Delivery Date]]-OrdersTable[[#This Row],[Order Date]]</f>
        <v>3</v>
      </c>
      <c r="AD1298" t="str">
        <f>IF(OrdersTable[[#This Row],[Delivery Days]]&lt;=2, "Express (≤2d)", IF(OrdersTable[[#This Row],[Delivery Days]]&lt;=4, "Standard (3-4d)", "Delayed (5d+)"))</f>
        <v>Standard (3-4d)</v>
      </c>
      <c r="AE1298">
        <v>4</v>
      </c>
      <c r="AF1298">
        <v>0</v>
      </c>
    </row>
    <row r="1299" spans="1:32" ht="15" x14ac:dyDescent="0.35">
      <c r="A1299" t="s">
        <v>2733</v>
      </c>
      <c r="B1299" s="1">
        <v>45551</v>
      </c>
      <c r="C1299">
        <f>YEAR(OrdersTable[[#This Row],[Order Date]])</f>
        <v>2024</v>
      </c>
      <c r="D1299" s="2">
        <f>DATE(YEAR(OrdersTable[[#This Row],[Order Date]]),MONTH(OrdersTable[[#This Row],[Order Date]]),1)</f>
        <v>45536</v>
      </c>
      <c r="E1299">
        <f>MONTH(OrdersTable[[#This Row],[Order Date]])</f>
        <v>9</v>
      </c>
      <c r="F1299" t="s">
        <v>2734</v>
      </c>
      <c r="G1299" t="str">
        <f>IF(OrdersTable[[#This Row],[Order Date]]=_xlfn.MINIFS(Order_Date, Customer_ID, OrdersTable[[#This Row],[Customer ID]]), "New", "Repeat")</f>
        <v>New</v>
      </c>
      <c r="H1299" t="s">
        <v>48</v>
      </c>
      <c r="I1299" t="str">
        <f>INDEX(State!B:B,MATCH(OrdersTable[[#This Row],[State]],State!A:A,0))</f>
        <v>HR</v>
      </c>
      <c r="J1299" t="str">
        <f>INDEX(State!C:C,MATCH(OrdersTable[[#This Row],[State Code]],State!B:B,0))</f>
        <v>North</v>
      </c>
      <c r="K1299" t="s">
        <v>49</v>
      </c>
      <c r="L1299" t="s">
        <v>65</v>
      </c>
      <c r="M1299" t="s">
        <v>34</v>
      </c>
      <c r="N1299" t="str">
        <f>INDEX(Products!B:B,MATCH(OrdersTable[[#This Row],[Product ID]],Products!A:A,0))</f>
        <v>Flip Flops</v>
      </c>
      <c r="O1299" t="str">
        <f>INDEX(Products!C:C,MATCH(OrdersTable[[#This Row],[Product ID]],Products!A:A,0))</f>
        <v>Footwear</v>
      </c>
      <c r="P1299">
        <v>1</v>
      </c>
      <c r="Q1299" s="5">
        <v>399</v>
      </c>
      <c r="R1299" s="74">
        <v>0.1</v>
      </c>
      <c r="S1299" s="75">
        <f>OrdersTable[[#This Row],[Quantity]]*OrdersTable[[#This Row],[Unit Price]]</f>
        <v>399</v>
      </c>
      <c r="T1299" s="5">
        <f>OrdersTable[[#This Row],[Gross Sale]]*OrdersTable[[#This Row],[Discount_Clean2]]</f>
        <v>39.900000000000006</v>
      </c>
      <c r="U1299" s="5">
        <f>OrdersTable[[#This Row],[Gross Sale]]-OrdersTable[[#This Row],[Discount Amount]]</f>
        <v>359.1</v>
      </c>
      <c r="V1299" s="77">
        <f>INDEX(Products!E:E,MATCH(OrdersTable[[#This Row],[Product ID]],Products!A:A,0))</f>
        <v>152</v>
      </c>
      <c r="W1299" s="77">
        <f>OrdersTable[[#This Row],[Quantity]]*OrdersTable[[#This Row],[Unit Cost]]</f>
        <v>152</v>
      </c>
      <c r="X1299" s="77">
        <f>'Dropdown Lists'!$I$2*(1+OrdersTable[[#This Row],[Returned]])</f>
        <v>120</v>
      </c>
      <c r="Y1299" s="76">
        <f>OrdersTable[[#This Row],[Net Revenue]]-OrdersTable[[#This Row],[COGS]]-OrdersTable[[#This Row],[Shipping Cost]]</f>
        <v>87.100000000000023</v>
      </c>
      <c r="Z1299" s="78">
        <f>IFERROR(OrdersTable[[#This Row],[Profit]]/OrdersTable[[#This Row],[Net Revenue]],0)</f>
        <v>0.24255082149818996</v>
      </c>
      <c r="AA1299" t="s">
        <v>2522</v>
      </c>
      <c r="AB1299" s="79">
        <v>45555</v>
      </c>
      <c r="AC1299">
        <f>OrdersTable[[#This Row],[Delivery Date]]-OrdersTable[[#This Row],[Order Date]]</f>
        <v>4</v>
      </c>
      <c r="AD1299" t="str">
        <f>IF(OrdersTable[[#This Row],[Delivery Days]]&lt;=2, "Express (≤2d)", IF(OrdersTable[[#This Row],[Delivery Days]]&lt;=4, "Standard (3-4d)", "Delayed (5d+)"))</f>
        <v>Standard (3-4d)</v>
      </c>
      <c r="AE1299">
        <v>3</v>
      </c>
      <c r="AF1299">
        <v>1</v>
      </c>
    </row>
    <row r="1300" spans="1:32" ht="15" x14ac:dyDescent="0.35">
      <c r="A1300" t="s">
        <v>4241</v>
      </c>
      <c r="B1300" s="1">
        <v>45551</v>
      </c>
      <c r="C1300">
        <f>YEAR(OrdersTable[[#This Row],[Order Date]])</f>
        <v>2024</v>
      </c>
      <c r="D1300" s="2">
        <f>DATE(YEAR(OrdersTable[[#This Row],[Order Date]]),MONTH(OrdersTable[[#This Row],[Order Date]]),1)</f>
        <v>45536</v>
      </c>
      <c r="E1300">
        <f>MONTH(OrdersTable[[#This Row],[Order Date]])</f>
        <v>9</v>
      </c>
      <c r="F1300" t="s">
        <v>530</v>
      </c>
      <c r="G1300" t="str">
        <f>IF(OrdersTable[[#This Row],[Order Date]]=_xlfn.MINIFS(Order_Date, Customer_ID, OrdersTable[[#This Row],[Customer ID]]), "New", "Repeat")</f>
        <v>New</v>
      </c>
      <c r="H1300" t="s">
        <v>128</v>
      </c>
      <c r="I1300" t="str">
        <f>INDEX(State!B:B,MATCH(OrdersTable[[#This Row],[State]],State!A:A,0))</f>
        <v>DL</v>
      </c>
      <c r="J1300" t="str">
        <f>INDEX(State!C:C,MATCH(OrdersTable[[#This Row],[State Code]],State!B:B,0))</f>
        <v>North</v>
      </c>
      <c r="K1300" t="s">
        <v>129</v>
      </c>
      <c r="L1300" t="s">
        <v>65</v>
      </c>
      <c r="M1300" t="s">
        <v>92</v>
      </c>
      <c r="N1300" t="str">
        <f>INDEX(Products!B:B,MATCH(OrdersTable[[#This Row],[Product ID]],Products!A:A,0))</f>
        <v>Kolhapuri Sandals</v>
      </c>
      <c r="O1300" t="str">
        <f>INDEX(Products!C:C,MATCH(OrdersTable[[#This Row],[Product ID]],Products!A:A,0))</f>
        <v>Footwear</v>
      </c>
      <c r="P1300">
        <v>1</v>
      </c>
      <c r="Q1300" s="5">
        <v>999</v>
      </c>
      <c r="R1300" s="74">
        <v>0.05</v>
      </c>
      <c r="S1300" s="75">
        <f>OrdersTable[[#This Row],[Quantity]]*OrdersTable[[#This Row],[Unit Price]]</f>
        <v>999</v>
      </c>
      <c r="T1300" s="5">
        <f>OrdersTable[[#This Row],[Gross Sale]]*OrdersTable[[#This Row],[Discount_Clean2]]</f>
        <v>49.95</v>
      </c>
      <c r="U1300" s="5">
        <f>OrdersTable[[#This Row],[Gross Sale]]-OrdersTable[[#This Row],[Discount Amount]]</f>
        <v>949.05</v>
      </c>
      <c r="V1300" s="77">
        <f>INDEX(Products!E:E,MATCH(OrdersTable[[#This Row],[Product ID]],Products!A:A,0))</f>
        <v>400</v>
      </c>
      <c r="W1300" s="77">
        <f>OrdersTable[[#This Row],[Quantity]]*OrdersTable[[#This Row],[Unit Cost]]</f>
        <v>400</v>
      </c>
      <c r="X1300" s="77">
        <f>'Dropdown Lists'!$I$2*(1+OrdersTable[[#This Row],[Returned]])</f>
        <v>60</v>
      </c>
      <c r="Y1300" s="76">
        <f>OrdersTable[[#This Row],[Net Revenue]]-OrdersTable[[#This Row],[COGS]]-OrdersTable[[#This Row],[Shipping Cost]]</f>
        <v>489.04999999999995</v>
      </c>
      <c r="Z1300" s="78">
        <f>IFERROR(OrdersTable[[#This Row],[Profit]]/OrdersTable[[#This Row],[Net Revenue]],0)</f>
        <v>0.5153047784626732</v>
      </c>
      <c r="AA1300" t="s">
        <v>4074</v>
      </c>
      <c r="AB1300" s="79">
        <v>45555</v>
      </c>
      <c r="AC1300">
        <f>OrdersTable[[#This Row],[Delivery Date]]-OrdersTable[[#This Row],[Order Date]]</f>
        <v>4</v>
      </c>
      <c r="AD1300" t="str">
        <f>IF(OrdersTable[[#This Row],[Delivery Days]]&lt;=2, "Express (≤2d)", IF(OrdersTable[[#This Row],[Delivery Days]]&lt;=4, "Standard (3-4d)", "Delayed (5d+)"))</f>
        <v>Standard (3-4d)</v>
      </c>
      <c r="AF1300">
        <v>0</v>
      </c>
    </row>
    <row r="1301" spans="1:32" ht="15" x14ac:dyDescent="0.35">
      <c r="A1301" t="s">
        <v>180</v>
      </c>
      <c r="B1301" s="1">
        <v>45551</v>
      </c>
      <c r="C1301">
        <f>YEAR(OrdersTable[[#This Row],[Order Date]])</f>
        <v>2024</v>
      </c>
      <c r="D1301" s="2">
        <f>DATE(YEAR(OrdersTable[[#This Row],[Order Date]]),MONTH(OrdersTable[[#This Row],[Order Date]]),1)</f>
        <v>45536</v>
      </c>
      <c r="E1301">
        <f>MONTH(OrdersTable[[#This Row],[Order Date]])</f>
        <v>9</v>
      </c>
      <c r="F1301" t="s">
        <v>181</v>
      </c>
      <c r="G1301" t="str">
        <f>IF(OrdersTable[[#This Row],[Order Date]]=_xlfn.MINIFS(Order_Date, Customer_ID, OrdersTable[[#This Row],[Customer ID]]), "New", "Repeat")</f>
        <v>New</v>
      </c>
      <c r="H1301" t="s">
        <v>76</v>
      </c>
      <c r="I1301" t="str">
        <f>INDEX(State!B:B,MATCH(OrdersTable[[#This Row],[State]],State!A:A,0))</f>
        <v>UP</v>
      </c>
      <c r="J1301" t="str">
        <f>INDEX(State!C:C,MATCH(OrdersTable[[#This Row],[State Code]],State!B:B,0))</f>
        <v>North</v>
      </c>
      <c r="K1301" t="s">
        <v>118</v>
      </c>
      <c r="L1301" t="s">
        <v>39</v>
      </c>
      <c r="M1301" t="s">
        <v>73</v>
      </c>
      <c r="N1301" t="str">
        <f>INDEX(Products!B:B,MATCH(OrdersTable[[#This Row],[Product ID]],Products!A:A,0))</f>
        <v>Hydrating Face Wash</v>
      </c>
      <c r="O1301" t="str">
        <f>INDEX(Products!C:C,MATCH(OrdersTable[[#This Row],[Product ID]],Products!A:A,0))</f>
        <v>Skincare</v>
      </c>
      <c r="P1301">
        <v>1</v>
      </c>
      <c r="Q1301" s="5">
        <v>299</v>
      </c>
      <c r="R1301" s="74">
        <v>0</v>
      </c>
      <c r="S1301" s="75">
        <f>OrdersTable[[#This Row],[Quantity]]*OrdersTable[[#This Row],[Unit Price]]</f>
        <v>299</v>
      </c>
      <c r="T1301" s="5">
        <f>OrdersTable[[#This Row],[Gross Sale]]*OrdersTable[[#This Row],[Discount_Clean2]]</f>
        <v>0</v>
      </c>
      <c r="U1301" s="5">
        <f>OrdersTable[[#This Row],[Gross Sale]]-OrdersTable[[#This Row],[Discount Amount]]</f>
        <v>299</v>
      </c>
      <c r="V1301" s="77">
        <f>INDEX(Products!E:E,MATCH(OrdersTable[[#This Row],[Product ID]],Products!A:A,0))</f>
        <v>90</v>
      </c>
      <c r="W1301" s="77">
        <f>OrdersTable[[#This Row],[Quantity]]*OrdersTable[[#This Row],[Unit Cost]]</f>
        <v>90</v>
      </c>
      <c r="X1301" s="77">
        <f>'Dropdown Lists'!$I$2*(1+OrdersTable[[#This Row],[Returned]])</f>
        <v>60</v>
      </c>
      <c r="Y1301" s="76">
        <f>OrdersTable[[#This Row],[Net Revenue]]-OrdersTable[[#This Row],[COGS]]-OrdersTable[[#This Row],[Shipping Cost]]</f>
        <v>149</v>
      </c>
      <c r="Z1301" s="78">
        <f>IFERROR(OrdersTable[[#This Row],[Profit]]/OrdersTable[[#This Row],[Net Revenue]],0)</f>
        <v>0.49832775919732442</v>
      </c>
      <c r="AA1301" t="s">
        <v>18</v>
      </c>
      <c r="AB1301" s="79">
        <v>45555</v>
      </c>
      <c r="AC1301">
        <f>OrdersTable[[#This Row],[Delivery Date]]-OrdersTable[[#This Row],[Order Date]]</f>
        <v>4</v>
      </c>
      <c r="AD1301" t="str">
        <f>IF(OrdersTable[[#This Row],[Delivery Days]]&lt;=2, "Express (≤2d)", IF(OrdersTable[[#This Row],[Delivery Days]]&lt;=4, "Standard (3-4d)", "Delayed (5d+)"))</f>
        <v>Standard (3-4d)</v>
      </c>
      <c r="AE1301">
        <v>4</v>
      </c>
      <c r="AF1301">
        <v>0</v>
      </c>
    </row>
    <row r="1302" spans="1:32" ht="15" x14ac:dyDescent="0.35">
      <c r="A1302" t="s">
        <v>2735</v>
      </c>
      <c r="B1302" s="1">
        <v>45551</v>
      </c>
      <c r="C1302">
        <f>YEAR(OrdersTable[[#This Row],[Order Date]])</f>
        <v>2024</v>
      </c>
      <c r="D1302" s="2">
        <f>DATE(YEAR(OrdersTable[[#This Row],[Order Date]]),MONTH(OrdersTable[[#This Row],[Order Date]]),1)</f>
        <v>45536</v>
      </c>
      <c r="E1302">
        <f>MONTH(OrdersTable[[#This Row],[Order Date]])</f>
        <v>9</v>
      </c>
      <c r="F1302" t="s">
        <v>1014</v>
      </c>
      <c r="G1302" t="str">
        <f>IF(OrdersTable[[#This Row],[Order Date]]=_xlfn.MINIFS(Order_Date, Customer_ID, OrdersTable[[#This Row],[Customer ID]]), "New", "Repeat")</f>
        <v>New</v>
      </c>
      <c r="H1302" t="s">
        <v>37</v>
      </c>
      <c r="I1302" t="str">
        <f>INDEX(State!B:B,MATCH(OrdersTable[[#This Row],[State]],State!A:A,0))</f>
        <v>GJ</v>
      </c>
      <c r="J1302" t="str">
        <f>INDEX(State!C:C,MATCH(OrdersTable[[#This Row],[State Code]],State!B:B,0))</f>
        <v>West</v>
      </c>
      <c r="K1302" t="s">
        <v>38</v>
      </c>
      <c r="L1302" t="s">
        <v>65</v>
      </c>
      <c r="M1302" t="s">
        <v>152</v>
      </c>
      <c r="N1302" t="str">
        <f>INDEX(Products!B:B,MATCH(OrdersTable[[#This Row],[Product ID]],Products!A:A,0))</f>
        <v>Green Tea (100 bags)</v>
      </c>
      <c r="O1302" t="str">
        <f>INDEX(Products!C:C,MATCH(OrdersTable[[#This Row],[Product ID]],Products!A:A,0))</f>
        <v>Wellness</v>
      </c>
      <c r="P1302">
        <v>1</v>
      </c>
      <c r="Q1302" s="5">
        <v>399</v>
      </c>
      <c r="R1302" s="74">
        <v>0.35</v>
      </c>
      <c r="S1302" s="75">
        <f>OrdersTable[[#This Row],[Quantity]]*OrdersTable[[#This Row],[Unit Price]]</f>
        <v>399</v>
      </c>
      <c r="T1302" s="5">
        <f>OrdersTable[[#This Row],[Gross Sale]]*OrdersTable[[#This Row],[Discount_Clean2]]</f>
        <v>139.64999999999998</v>
      </c>
      <c r="U1302" s="5">
        <f>OrdersTable[[#This Row],[Gross Sale]]-OrdersTable[[#This Row],[Discount Amount]]</f>
        <v>259.35000000000002</v>
      </c>
      <c r="V1302" s="77">
        <f>INDEX(Products!E:E,MATCH(OrdersTable[[#This Row],[Product ID]],Products!A:A,0))</f>
        <v>128</v>
      </c>
      <c r="W1302" s="77">
        <f>OrdersTable[[#This Row],[Quantity]]*OrdersTable[[#This Row],[Unit Cost]]</f>
        <v>128</v>
      </c>
      <c r="X1302" s="77">
        <f>'Dropdown Lists'!$I$2*(1+OrdersTable[[#This Row],[Returned]])</f>
        <v>120</v>
      </c>
      <c r="Y1302" s="76">
        <f>OrdersTable[[#This Row],[Net Revenue]]-OrdersTable[[#This Row],[COGS]]-OrdersTable[[#This Row],[Shipping Cost]]</f>
        <v>11.350000000000023</v>
      </c>
      <c r="Z1302" s="78">
        <f>IFERROR(OrdersTable[[#This Row],[Profit]]/OrdersTable[[#This Row],[Net Revenue]],0)</f>
        <v>4.3763254289570161E-2</v>
      </c>
      <c r="AA1302" t="s">
        <v>2522</v>
      </c>
      <c r="AB1302" s="79">
        <v>45553</v>
      </c>
      <c r="AC1302">
        <f>OrdersTable[[#This Row],[Delivery Date]]-OrdersTable[[#This Row],[Order Date]]</f>
        <v>2</v>
      </c>
      <c r="AD1302" t="str">
        <f>IF(OrdersTable[[#This Row],[Delivery Days]]&lt;=2, "Express (≤2d)", IF(OrdersTable[[#This Row],[Delivery Days]]&lt;=4, "Standard (3-4d)", "Delayed (5d+)"))</f>
        <v>Express (≤2d)</v>
      </c>
      <c r="AE1302">
        <v>3</v>
      </c>
      <c r="AF1302">
        <v>1</v>
      </c>
    </row>
    <row r="1303" spans="1:32" ht="15" x14ac:dyDescent="0.35">
      <c r="A1303" t="s">
        <v>3420</v>
      </c>
      <c r="B1303" s="1">
        <v>45551</v>
      </c>
      <c r="C1303">
        <f>YEAR(OrdersTable[[#This Row],[Order Date]])</f>
        <v>2024</v>
      </c>
      <c r="D1303" s="2">
        <f>DATE(YEAR(OrdersTable[[#This Row],[Order Date]]),MONTH(OrdersTable[[#This Row],[Order Date]]),1)</f>
        <v>45536</v>
      </c>
      <c r="E1303">
        <f>MONTH(OrdersTable[[#This Row],[Order Date]])</f>
        <v>9</v>
      </c>
      <c r="F1303" t="s">
        <v>3421</v>
      </c>
      <c r="G1303" t="str">
        <f>IF(OrdersTable[[#This Row],[Order Date]]=_xlfn.MINIFS(Order_Date, Customer_ID, OrdersTable[[#This Row],[Customer ID]]), "New", "Repeat")</f>
        <v>New</v>
      </c>
      <c r="H1303" t="s">
        <v>37</v>
      </c>
      <c r="I1303" t="str">
        <f>INDEX(State!B:B,MATCH(OrdersTable[[#This Row],[State]],State!A:A,0))</f>
        <v>GJ</v>
      </c>
      <c r="J1303" t="str">
        <f>INDEX(State!C:C,MATCH(OrdersTable[[#This Row],[State Code]],State!B:B,0))</f>
        <v>West</v>
      </c>
      <c r="K1303" t="s">
        <v>247</v>
      </c>
      <c r="L1303" t="s">
        <v>65</v>
      </c>
      <c r="M1303" t="s">
        <v>106</v>
      </c>
      <c r="N1303" t="str">
        <f>INDEX(Products!B:B,MATCH(OrdersTable[[#This Row],[Product ID]],Products!A:A,0))</f>
        <v>Keratin Hair Mask</v>
      </c>
      <c r="O1303" t="str">
        <f>INDEX(Products!C:C,MATCH(OrdersTable[[#This Row],[Product ID]],Products!A:A,0))</f>
        <v>Haircare</v>
      </c>
      <c r="P1303">
        <v>1</v>
      </c>
      <c r="Q1303" s="5">
        <v>549</v>
      </c>
      <c r="R1303" s="74">
        <v>0.15</v>
      </c>
      <c r="S1303" s="75">
        <f>OrdersTable[[#This Row],[Quantity]]*OrdersTable[[#This Row],[Unit Price]]</f>
        <v>549</v>
      </c>
      <c r="T1303" s="5">
        <f>OrdersTable[[#This Row],[Gross Sale]]*OrdersTable[[#This Row],[Discount_Clean2]]</f>
        <v>82.35</v>
      </c>
      <c r="U1303" s="5">
        <f>OrdersTable[[#This Row],[Gross Sale]]-OrdersTable[[#This Row],[Discount Amount]]</f>
        <v>466.65</v>
      </c>
      <c r="V1303" s="77">
        <f>INDEX(Products!E:E,MATCH(OrdersTable[[#This Row],[Product ID]],Products!A:A,0))</f>
        <v>170</v>
      </c>
      <c r="W1303" s="77">
        <f>OrdersTable[[#This Row],[Quantity]]*OrdersTable[[#This Row],[Unit Cost]]</f>
        <v>170</v>
      </c>
      <c r="X1303" s="77">
        <f>'Dropdown Lists'!$I$2*(1+OrdersTable[[#This Row],[Returned]])</f>
        <v>60</v>
      </c>
      <c r="Y1303" s="76">
        <f>OrdersTable[[#This Row],[Net Revenue]]-OrdersTable[[#This Row],[COGS]]-OrdersTable[[#This Row],[Shipping Cost]]</f>
        <v>236.64999999999998</v>
      </c>
      <c r="Z1303" s="78">
        <f>IFERROR(OrdersTable[[#This Row],[Profit]]/OrdersTable[[#This Row],[Net Revenue]],0)</f>
        <v>0.50712525447337398</v>
      </c>
      <c r="AA1303" t="s">
        <v>2522</v>
      </c>
      <c r="AB1303" s="79">
        <v>45554</v>
      </c>
      <c r="AC1303">
        <f>OrdersTable[[#This Row],[Delivery Date]]-OrdersTable[[#This Row],[Order Date]]</f>
        <v>3</v>
      </c>
      <c r="AD1303" t="str">
        <f>IF(OrdersTable[[#This Row],[Delivery Days]]&lt;=2, "Express (≤2d)", IF(OrdersTable[[#This Row],[Delivery Days]]&lt;=4, "Standard (3-4d)", "Delayed (5d+)"))</f>
        <v>Standard (3-4d)</v>
      </c>
      <c r="AE1303">
        <v>4</v>
      </c>
      <c r="AF1303">
        <v>0</v>
      </c>
    </row>
    <row r="1304" spans="1:32" ht="15" x14ac:dyDescent="0.35">
      <c r="A1304" t="s">
        <v>2736</v>
      </c>
      <c r="B1304" s="1">
        <v>45551</v>
      </c>
      <c r="C1304">
        <f>YEAR(OrdersTable[[#This Row],[Order Date]])</f>
        <v>2024</v>
      </c>
      <c r="D1304" s="2">
        <f>DATE(YEAR(OrdersTable[[#This Row],[Order Date]]),MONTH(OrdersTable[[#This Row],[Order Date]]),1)</f>
        <v>45536</v>
      </c>
      <c r="E1304">
        <f>MONTH(OrdersTable[[#This Row],[Order Date]])</f>
        <v>9</v>
      </c>
      <c r="F1304" t="s">
        <v>982</v>
      </c>
      <c r="G1304" t="str">
        <f>IF(OrdersTable[[#This Row],[Order Date]]=_xlfn.MINIFS(Order_Date, Customer_ID, OrdersTable[[#This Row],[Customer ID]]), "New", "Repeat")</f>
        <v>New</v>
      </c>
      <c r="H1304" t="s">
        <v>71</v>
      </c>
      <c r="I1304" t="str">
        <f>INDEX(State!B:B,MATCH(OrdersTable[[#This Row],[State]],State!A:A,0))</f>
        <v>MH</v>
      </c>
      <c r="J1304" t="str">
        <f>INDEX(State!C:C,MATCH(OrdersTable[[#This Row],[State Code]],State!B:B,0))</f>
        <v>West</v>
      </c>
      <c r="K1304" t="s">
        <v>102</v>
      </c>
      <c r="L1304" t="s">
        <v>65</v>
      </c>
      <c r="M1304" t="s">
        <v>73</v>
      </c>
      <c r="N1304" t="str">
        <f>INDEX(Products!B:B,MATCH(OrdersTable[[#This Row],[Product ID]],Products!A:A,0))</f>
        <v>Hydrating Face Wash</v>
      </c>
      <c r="O1304" t="str">
        <f>INDEX(Products!C:C,MATCH(OrdersTable[[#This Row],[Product ID]],Products!A:A,0))</f>
        <v>Skincare</v>
      </c>
      <c r="P1304">
        <v>1</v>
      </c>
      <c r="Q1304" s="5">
        <v>299</v>
      </c>
      <c r="R1304" s="74">
        <v>0</v>
      </c>
      <c r="S1304" s="75">
        <f>OrdersTable[[#This Row],[Quantity]]*OrdersTable[[#This Row],[Unit Price]]</f>
        <v>299</v>
      </c>
      <c r="T1304" s="5">
        <f>OrdersTable[[#This Row],[Gross Sale]]*OrdersTable[[#This Row],[Discount_Clean2]]</f>
        <v>0</v>
      </c>
      <c r="U1304" s="5">
        <f>OrdersTable[[#This Row],[Gross Sale]]-OrdersTable[[#This Row],[Discount Amount]]</f>
        <v>299</v>
      </c>
      <c r="V1304" s="77">
        <f>INDEX(Products!E:E,MATCH(OrdersTable[[#This Row],[Product ID]],Products!A:A,0))</f>
        <v>90</v>
      </c>
      <c r="W1304" s="77">
        <f>OrdersTable[[#This Row],[Quantity]]*OrdersTable[[#This Row],[Unit Cost]]</f>
        <v>90</v>
      </c>
      <c r="X1304" s="77">
        <f>'Dropdown Lists'!$I$2*(1+OrdersTable[[#This Row],[Returned]])</f>
        <v>60</v>
      </c>
      <c r="Y1304" s="76">
        <f>OrdersTable[[#This Row],[Net Revenue]]-OrdersTable[[#This Row],[COGS]]-OrdersTable[[#This Row],[Shipping Cost]]</f>
        <v>149</v>
      </c>
      <c r="Z1304" s="78">
        <f>IFERROR(OrdersTable[[#This Row],[Profit]]/OrdersTable[[#This Row],[Net Revenue]],0)</f>
        <v>0.49832775919732442</v>
      </c>
      <c r="AA1304" t="s">
        <v>2522</v>
      </c>
      <c r="AB1304" s="79">
        <v>45554</v>
      </c>
      <c r="AC1304">
        <f>OrdersTable[[#This Row],[Delivery Date]]-OrdersTable[[#This Row],[Order Date]]</f>
        <v>3</v>
      </c>
      <c r="AD1304" t="str">
        <f>IF(OrdersTable[[#This Row],[Delivery Days]]&lt;=2, "Express (≤2d)", IF(OrdersTable[[#This Row],[Delivery Days]]&lt;=4, "Standard (3-4d)", "Delayed (5d+)"))</f>
        <v>Standard (3-4d)</v>
      </c>
      <c r="AE1304">
        <v>3</v>
      </c>
      <c r="AF1304">
        <v>0</v>
      </c>
    </row>
    <row r="1305" spans="1:32" ht="15" x14ac:dyDescent="0.35">
      <c r="A1305" t="s">
        <v>1674</v>
      </c>
      <c r="B1305" s="1">
        <v>45551</v>
      </c>
      <c r="C1305">
        <f>YEAR(OrdersTable[[#This Row],[Order Date]])</f>
        <v>2024</v>
      </c>
      <c r="D1305" s="2">
        <f>DATE(YEAR(OrdersTable[[#This Row],[Order Date]]),MONTH(OrdersTable[[#This Row],[Order Date]]),1)</f>
        <v>45536</v>
      </c>
      <c r="E1305">
        <f>MONTH(OrdersTable[[#This Row],[Order Date]])</f>
        <v>9</v>
      </c>
      <c r="F1305" t="s">
        <v>1675</v>
      </c>
      <c r="G1305" t="str">
        <f>IF(OrdersTable[[#This Row],[Order Date]]=_xlfn.MINIFS(Order_Date, Customer_ID, OrdersTable[[#This Row],[Customer ID]]), "New", "Repeat")</f>
        <v>New</v>
      </c>
      <c r="H1305" t="s">
        <v>167</v>
      </c>
      <c r="I1305" t="str">
        <f>INDEX(State!B:B,MATCH(OrdersTable[[#This Row],[State]],State!A:A,0))</f>
        <v>KA</v>
      </c>
      <c r="J1305" t="str">
        <f>INDEX(State!C:C,MATCH(OrdersTable[[#This Row],[State Code]],State!B:B,0))</f>
        <v>South</v>
      </c>
      <c r="K1305" t="s">
        <v>168</v>
      </c>
      <c r="L1305" t="s">
        <v>65</v>
      </c>
      <c r="M1305" t="s">
        <v>34</v>
      </c>
      <c r="N1305" t="str">
        <f>INDEX(Products!B:B,MATCH(OrdersTable[[#This Row],[Product ID]],Products!A:A,0))</f>
        <v>Flip Flops</v>
      </c>
      <c r="O1305" t="str">
        <f>INDEX(Products!C:C,MATCH(OrdersTable[[#This Row],[Product ID]],Products!A:A,0))</f>
        <v>Footwear</v>
      </c>
      <c r="P1305">
        <v>1</v>
      </c>
      <c r="Q1305" s="5">
        <v>399</v>
      </c>
      <c r="R1305" s="74">
        <v>0.15</v>
      </c>
      <c r="S1305" s="75">
        <f>OrdersTable[[#This Row],[Quantity]]*OrdersTable[[#This Row],[Unit Price]]</f>
        <v>399</v>
      </c>
      <c r="T1305" s="5">
        <f>OrdersTable[[#This Row],[Gross Sale]]*OrdersTable[[#This Row],[Discount_Clean2]]</f>
        <v>59.849999999999994</v>
      </c>
      <c r="U1305" s="5">
        <f>OrdersTable[[#This Row],[Gross Sale]]-OrdersTable[[#This Row],[Discount Amount]]</f>
        <v>339.15</v>
      </c>
      <c r="V1305" s="77">
        <f>INDEX(Products!E:E,MATCH(OrdersTable[[#This Row],[Product ID]],Products!A:A,0))</f>
        <v>152</v>
      </c>
      <c r="W1305" s="77">
        <f>OrdersTable[[#This Row],[Quantity]]*OrdersTable[[#This Row],[Unit Cost]]</f>
        <v>152</v>
      </c>
      <c r="X1305" s="77">
        <f>'Dropdown Lists'!$I$2*(1+OrdersTable[[#This Row],[Returned]])</f>
        <v>60</v>
      </c>
      <c r="Y1305" s="76">
        <f>OrdersTable[[#This Row],[Net Revenue]]-OrdersTable[[#This Row],[COGS]]-OrdersTable[[#This Row],[Shipping Cost]]</f>
        <v>127.14999999999998</v>
      </c>
      <c r="Z1305" s="78">
        <f>IFERROR(OrdersTable[[#This Row],[Profit]]/OrdersTable[[#This Row],[Net Revenue]],0)</f>
        <v>0.37490785787999409</v>
      </c>
      <c r="AA1305" t="s">
        <v>18</v>
      </c>
      <c r="AB1305" s="79">
        <v>45552</v>
      </c>
      <c r="AC1305">
        <f>OrdersTable[[#This Row],[Delivery Date]]-OrdersTable[[#This Row],[Order Date]]</f>
        <v>1</v>
      </c>
      <c r="AD1305" t="str">
        <f>IF(OrdersTable[[#This Row],[Delivery Days]]&lt;=2, "Express (≤2d)", IF(OrdersTable[[#This Row],[Delivery Days]]&lt;=4, "Standard (3-4d)", "Delayed (5d+)"))</f>
        <v>Express (≤2d)</v>
      </c>
      <c r="AF1305">
        <v>0</v>
      </c>
    </row>
    <row r="1306" spans="1:32" ht="15" x14ac:dyDescent="0.35">
      <c r="A1306" t="s">
        <v>3986</v>
      </c>
      <c r="B1306" s="1">
        <v>45551</v>
      </c>
      <c r="C1306">
        <f>YEAR(OrdersTable[[#This Row],[Order Date]])</f>
        <v>2024</v>
      </c>
      <c r="D1306" s="2">
        <f>DATE(YEAR(OrdersTable[[#This Row],[Order Date]]),MONTH(OrdersTable[[#This Row],[Order Date]]),1)</f>
        <v>45536</v>
      </c>
      <c r="E1306">
        <f>MONTH(OrdersTable[[#This Row],[Order Date]])</f>
        <v>9</v>
      </c>
      <c r="F1306" t="s">
        <v>707</v>
      </c>
      <c r="G1306" t="str">
        <f>IF(OrdersTable[[#This Row],[Order Date]]=_xlfn.MINIFS(Order_Date, Customer_ID, OrdersTable[[#This Row],[Customer ID]]), "New", "Repeat")</f>
        <v>Repeat</v>
      </c>
      <c r="H1306" t="s">
        <v>59</v>
      </c>
      <c r="I1306" t="str">
        <f>INDEX(State!B:B,MATCH(OrdersTable[[#This Row],[State]],State!A:A,0))</f>
        <v>TN</v>
      </c>
      <c r="J1306" t="str">
        <f>INDEX(State!C:C,MATCH(OrdersTable[[#This Row],[State Code]],State!B:B,0))</f>
        <v>South</v>
      </c>
      <c r="K1306" t="s">
        <v>64</v>
      </c>
      <c r="L1306" t="s">
        <v>39</v>
      </c>
      <c r="M1306" t="s">
        <v>106</v>
      </c>
      <c r="N1306" t="str">
        <f>INDEX(Products!B:B,MATCH(OrdersTable[[#This Row],[Product ID]],Products!A:A,0))</f>
        <v>Keratin Hair Mask</v>
      </c>
      <c r="O1306" t="str">
        <f>INDEX(Products!C:C,MATCH(OrdersTable[[#This Row],[Product ID]],Products!A:A,0))</f>
        <v>Haircare</v>
      </c>
      <c r="P1306">
        <v>1</v>
      </c>
      <c r="Q1306" s="5">
        <v>549</v>
      </c>
      <c r="R1306" s="74">
        <v>0.1</v>
      </c>
      <c r="S1306" s="75">
        <f>OrdersTable[[#This Row],[Quantity]]*OrdersTable[[#This Row],[Unit Price]]</f>
        <v>549</v>
      </c>
      <c r="T1306" s="5">
        <f>OrdersTable[[#This Row],[Gross Sale]]*OrdersTable[[#This Row],[Discount_Clean2]]</f>
        <v>54.900000000000006</v>
      </c>
      <c r="U1306" s="5">
        <f>OrdersTable[[#This Row],[Gross Sale]]-OrdersTable[[#This Row],[Discount Amount]]</f>
        <v>494.1</v>
      </c>
      <c r="V1306" s="77">
        <f>INDEX(Products!E:E,MATCH(OrdersTable[[#This Row],[Product ID]],Products!A:A,0))</f>
        <v>170</v>
      </c>
      <c r="W1306" s="77">
        <f>OrdersTable[[#This Row],[Quantity]]*OrdersTable[[#This Row],[Unit Cost]]</f>
        <v>170</v>
      </c>
      <c r="X1306" s="77">
        <f>'Dropdown Lists'!$I$2*(1+OrdersTable[[#This Row],[Returned]])</f>
        <v>60</v>
      </c>
      <c r="Y1306" s="76">
        <f>OrdersTable[[#This Row],[Net Revenue]]-OrdersTable[[#This Row],[COGS]]-OrdersTable[[#This Row],[Shipping Cost]]</f>
        <v>264.10000000000002</v>
      </c>
      <c r="Z1306" s="78">
        <f>IFERROR(OrdersTable[[#This Row],[Profit]]/OrdersTable[[#This Row],[Net Revenue]],0)</f>
        <v>0.53450718478040882</v>
      </c>
      <c r="AA1306" t="s">
        <v>3495</v>
      </c>
      <c r="AB1306" s="79">
        <v>45554</v>
      </c>
      <c r="AC1306">
        <f>OrdersTable[[#This Row],[Delivery Date]]-OrdersTable[[#This Row],[Order Date]]</f>
        <v>3</v>
      </c>
      <c r="AD1306" t="str">
        <f>IF(OrdersTable[[#This Row],[Delivery Days]]&lt;=2, "Express (≤2d)", IF(OrdersTable[[#This Row],[Delivery Days]]&lt;=4, "Standard (3-4d)", "Delayed (5d+)"))</f>
        <v>Standard (3-4d)</v>
      </c>
      <c r="AE1306">
        <v>5</v>
      </c>
      <c r="AF1306">
        <v>0</v>
      </c>
    </row>
    <row r="1307" spans="1:32" ht="15" x14ac:dyDescent="0.35">
      <c r="A1307" t="s">
        <v>1048</v>
      </c>
      <c r="B1307" s="1">
        <v>45552</v>
      </c>
      <c r="C1307">
        <f>YEAR(OrdersTable[[#This Row],[Order Date]])</f>
        <v>2024</v>
      </c>
      <c r="D1307" s="2">
        <f>DATE(YEAR(OrdersTable[[#This Row],[Order Date]]),MONTH(OrdersTable[[#This Row],[Order Date]]),1)</f>
        <v>45536</v>
      </c>
      <c r="E1307">
        <f>MONTH(OrdersTable[[#This Row],[Order Date]])</f>
        <v>9</v>
      </c>
      <c r="F1307" t="s">
        <v>1025</v>
      </c>
      <c r="G1307" t="str">
        <f>IF(OrdersTable[[#This Row],[Order Date]]=_xlfn.MINIFS(Order_Date, Customer_ID, OrdersTable[[#This Row],[Customer ID]]), "New", "Repeat")</f>
        <v>Repeat</v>
      </c>
      <c r="H1307" t="s">
        <v>128</v>
      </c>
      <c r="I1307" t="str">
        <f>INDEX(State!B:B,MATCH(OrdersTable[[#This Row],[State]],State!A:A,0))</f>
        <v>DL</v>
      </c>
      <c r="J1307" t="str">
        <f>INDEX(State!C:C,MATCH(OrdersTable[[#This Row],[State Code]],State!B:B,0))</f>
        <v>North</v>
      </c>
      <c r="K1307" t="s">
        <v>129</v>
      </c>
      <c r="L1307" t="s">
        <v>65</v>
      </c>
      <c r="M1307" t="s">
        <v>205</v>
      </c>
      <c r="N1307" t="str">
        <f>INDEX(Products!B:B,MATCH(OrdersTable[[#This Row],[Product ID]],Products!A:A,0))</f>
        <v>Running Shoes</v>
      </c>
      <c r="O1307" t="str">
        <f>INDEX(Products!C:C,MATCH(OrdersTable[[#This Row],[Product ID]],Products!A:A,0))</f>
        <v>Footwear</v>
      </c>
      <c r="P1307">
        <v>1</v>
      </c>
      <c r="Q1307" s="5">
        <v>2999</v>
      </c>
      <c r="R1307" s="74">
        <v>0.2</v>
      </c>
      <c r="S1307" s="75">
        <f>OrdersTable[[#This Row],[Quantity]]*OrdersTable[[#This Row],[Unit Price]]</f>
        <v>2999</v>
      </c>
      <c r="T1307" s="5">
        <f>OrdersTable[[#This Row],[Gross Sale]]*OrdersTable[[#This Row],[Discount_Clean2]]</f>
        <v>599.80000000000007</v>
      </c>
      <c r="U1307" s="5">
        <f>OrdersTable[[#This Row],[Gross Sale]]-OrdersTable[[#This Row],[Discount Amount]]</f>
        <v>2399.1999999999998</v>
      </c>
      <c r="V1307" s="77">
        <f>INDEX(Products!E:E,MATCH(OrdersTable[[#This Row],[Product ID]],Products!A:A,0))</f>
        <v>1440</v>
      </c>
      <c r="W1307" s="77">
        <f>OrdersTable[[#This Row],[Quantity]]*OrdersTable[[#This Row],[Unit Cost]]</f>
        <v>1440</v>
      </c>
      <c r="X1307" s="77">
        <f>'Dropdown Lists'!$I$2*(1+OrdersTable[[#This Row],[Returned]])</f>
        <v>120</v>
      </c>
      <c r="Y1307" s="76">
        <f>OrdersTable[[#This Row],[Net Revenue]]-OrdersTable[[#This Row],[COGS]]-OrdersTable[[#This Row],[Shipping Cost]]</f>
        <v>839.19999999999982</v>
      </c>
      <c r="Z1307" s="78">
        <f>IFERROR(OrdersTable[[#This Row],[Profit]]/OrdersTable[[#This Row],[Net Revenue]],0)</f>
        <v>0.34978326108702895</v>
      </c>
      <c r="AA1307" t="s">
        <v>18</v>
      </c>
      <c r="AB1307" s="79">
        <v>45555</v>
      </c>
      <c r="AC1307">
        <f>OrdersTable[[#This Row],[Delivery Date]]-OrdersTable[[#This Row],[Order Date]]</f>
        <v>3</v>
      </c>
      <c r="AD1307" t="str">
        <f>IF(OrdersTable[[#This Row],[Delivery Days]]&lt;=2, "Express (≤2d)", IF(OrdersTable[[#This Row],[Delivery Days]]&lt;=4, "Standard (3-4d)", "Delayed (5d+)"))</f>
        <v>Standard (3-4d)</v>
      </c>
      <c r="AE1307">
        <v>4</v>
      </c>
      <c r="AF1307">
        <v>1</v>
      </c>
    </row>
    <row r="1308" spans="1:32" ht="15" x14ac:dyDescent="0.35">
      <c r="A1308" t="s">
        <v>5106</v>
      </c>
      <c r="B1308" s="1">
        <v>45552</v>
      </c>
      <c r="C1308">
        <f>YEAR(OrdersTable[[#This Row],[Order Date]])</f>
        <v>2024</v>
      </c>
      <c r="D1308" s="2">
        <f>DATE(YEAR(OrdersTable[[#This Row],[Order Date]]),MONTH(OrdersTable[[#This Row],[Order Date]]),1)</f>
        <v>45536</v>
      </c>
      <c r="E1308">
        <f>MONTH(OrdersTable[[#This Row],[Order Date]])</f>
        <v>9</v>
      </c>
      <c r="F1308" t="s">
        <v>5107</v>
      </c>
      <c r="G1308" t="str">
        <f>IF(OrdersTable[[#This Row],[Order Date]]=_xlfn.MINIFS(Order_Date, Customer_ID, OrdersTable[[#This Row],[Customer ID]]), "New", "Repeat")</f>
        <v>New</v>
      </c>
      <c r="H1308" t="s">
        <v>27</v>
      </c>
      <c r="I1308" t="str">
        <f>INDEX(State!B:B,MATCH(OrdersTable[[#This Row],[State]],State!A:A,0))</f>
        <v>WB</v>
      </c>
      <c r="J1308" t="str">
        <f>INDEX(State!C:C,MATCH(OrdersTable[[#This Row],[State Code]],State!B:B,0))</f>
        <v>East</v>
      </c>
      <c r="K1308" t="s">
        <v>28</v>
      </c>
      <c r="L1308" t="s">
        <v>65</v>
      </c>
      <c r="M1308" t="s">
        <v>423</v>
      </c>
      <c r="N1308" t="str">
        <f>INDEX(Products!B:B,MATCH(OrdersTable[[#This Row],[Product ID]],Products!A:A,0))</f>
        <v>Power Bank 20000mAh</v>
      </c>
      <c r="O1308" t="str">
        <f>INDEX(Products!C:C,MATCH(OrdersTable[[#This Row],[Product ID]],Products!A:A,0))</f>
        <v>Electronics</v>
      </c>
      <c r="P1308">
        <v>2</v>
      </c>
      <c r="Q1308" s="5">
        <v>1799</v>
      </c>
      <c r="R1308" s="74">
        <v>0.35</v>
      </c>
      <c r="S1308" s="75">
        <f>OrdersTable[[#This Row],[Quantity]]*OrdersTable[[#This Row],[Unit Price]]</f>
        <v>3598</v>
      </c>
      <c r="T1308" s="5">
        <f>OrdersTable[[#This Row],[Gross Sale]]*OrdersTable[[#This Row],[Discount_Clean2]]</f>
        <v>1259.3</v>
      </c>
      <c r="U1308" s="5">
        <f>OrdersTable[[#This Row],[Gross Sale]]-OrdersTable[[#This Row],[Discount Amount]]</f>
        <v>2338.6999999999998</v>
      </c>
      <c r="V1308" s="77">
        <f>INDEX(Products!E:E,MATCH(OrdersTable[[#This Row],[Product ID]],Products!A:A,0))</f>
        <v>1079</v>
      </c>
      <c r="W1308" s="77">
        <f>OrdersTable[[#This Row],[Quantity]]*OrdersTable[[#This Row],[Unit Cost]]</f>
        <v>2158</v>
      </c>
      <c r="X1308" s="77">
        <f>'Dropdown Lists'!$I$2*(1+OrdersTable[[#This Row],[Returned]])</f>
        <v>60</v>
      </c>
      <c r="Y1308" s="76">
        <f>OrdersTable[[#This Row],[Net Revenue]]-OrdersTable[[#This Row],[COGS]]-OrdersTable[[#This Row],[Shipping Cost]]</f>
        <v>120.69999999999982</v>
      </c>
      <c r="Z1308" s="78">
        <f>IFERROR(OrdersTable[[#This Row],[Profit]]/OrdersTable[[#This Row],[Net Revenue]],0)</f>
        <v>5.1609868730491226E-2</v>
      </c>
      <c r="AA1308" t="s">
        <v>3495</v>
      </c>
      <c r="AB1308" s="79">
        <v>45556</v>
      </c>
      <c r="AC1308">
        <f>OrdersTable[[#This Row],[Delivery Date]]-OrdersTable[[#This Row],[Order Date]]</f>
        <v>4</v>
      </c>
      <c r="AD1308" t="str">
        <f>IF(OrdersTable[[#This Row],[Delivery Days]]&lt;=2, "Express (≤2d)", IF(OrdersTable[[#This Row],[Delivery Days]]&lt;=4, "Standard (3-4d)", "Delayed (5d+)"))</f>
        <v>Standard (3-4d)</v>
      </c>
      <c r="AE1308">
        <v>4</v>
      </c>
      <c r="AF1308">
        <v>0</v>
      </c>
    </row>
    <row r="1309" spans="1:32" ht="15" x14ac:dyDescent="0.35">
      <c r="A1309" t="s">
        <v>4792</v>
      </c>
      <c r="B1309" s="1">
        <v>45552</v>
      </c>
      <c r="C1309">
        <f>YEAR(OrdersTable[[#This Row],[Order Date]])</f>
        <v>2024</v>
      </c>
      <c r="D1309" s="2">
        <f>DATE(YEAR(OrdersTable[[#This Row],[Order Date]]),MONTH(OrdersTable[[#This Row],[Order Date]]),1)</f>
        <v>45536</v>
      </c>
      <c r="E1309">
        <f>MONTH(OrdersTable[[#This Row],[Order Date]])</f>
        <v>9</v>
      </c>
      <c r="F1309" t="s">
        <v>4793</v>
      </c>
      <c r="G1309" t="str">
        <f>IF(OrdersTable[[#This Row],[Order Date]]=_xlfn.MINIFS(Order_Date, Customer_ID, OrdersTable[[#This Row],[Customer ID]]), "New", "Repeat")</f>
        <v>Repeat</v>
      </c>
      <c r="H1309" t="s">
        <v>71</v>
      </c>
      <c r="I1309" t="str">
        <f>INDEX(State!B:B,MATCH(OrdersTable[[#This Row],[State]],State!A:A,0))</f>
        <v>MH</v>
      </c>
      <c r="J1309" t="str">
        <f>INDEX(State!C:C,MATCH(OrdersTable[[#This Row],[State Code]],State!B:B,0))</f>
        <v>West</v>
      </c>
      <c r="K1309" t="s">
        <v>72</v>
      </c>
      <c r="L1309" t="s">
        <v>39</v>
      </c>
      <c r="M1309" t="s">
        <v>51</v>
      </c>
      <c r="N1309" t="str">
        <f>INDEX(Products!B:B,MATCH(OrdersTable[[#This Row],[Product ID]],Products!A:A,0))</f>
        <v>Anti-Dandruff Conditioner</v>
      </c>
      <c r="O1309" t="str">
        <f>INDEX(Products!C:C,MATCH(OrdersTable[[#This Row],[Product ID]],Products!A:A,0))</f>
        <v>Haircare</v>
      </c>
      <c r="P1309">
        <v>2</v>
      </c>
      <c r="Q1309" s="5">
        <v>399</v>
      </c>
      <c r="R1309" s="74">
        <v>0.3</v>
      </c>
      <c r="S1309" s="75">
        <f>OrdersTable[[#This Row],[Quantity]]*OrdersTable[[#This Row],[Unit Price]]</f>
        <v>798</v>
      </c>
      <c r="T1309" s="5">
        <f>OrdersTable[[#This Row],[Gross Sale]]*OrdersTable[[#This Row],[Discount_Clean2]]</f>
        <v>239.39999999999998</v>
      </c>
      <c r="U1309" s="5">
        <f>OrdersTable[[#This Row],[Gross Sale]]-OrdersTable[[#This Row],[Discount Amount]]</f>
        <v>558.6</v>
      </c>
      <c r="V1309" s="77">
        <f>INDEX(Products!E:E,MATCH(OrdersTable[[#This Row],[Product ID]],Products!A:A,0))</f>
        <v>136</v>
      </c>
      <c r="W1309" s="77">
        <f>OrdersTable[[#This Row],[Quantity]]*OrdersTable[[#This Row],[Unit Cost]]</f>
        <v>272</v>
      </c>
      <c r="X1309" s="77">
        <f>'Dropdown Lists'!$I$2*(1+OrdersTable[[#This Row],[Returned]])</f>
        <v>60</v>
      </c>
      <c r="Y1309" s="76">
        <f>OrdersTable[[#This Row],[Net Revenue]]-OrdersTable[[#This Row],[COGS]]-OrdersTable[[#This Row],[Shipping Cost]]</f>
        <v>226.60000000000002</v>
      </c>
      <c r="Z1309" s="78">
        <f>IFERROR(OrdersTable[[#This Row],[Profit]]/OrdersTable[[#This Row],[Net Revenue]],0)</f>
        <v>0.40565699964196206</v>
      </c>
      <c r="AA1309" t="s">
        <v>4450</v>
      </c>
      <c r="AB1309" s="79">
        <v>45554</v>
      </c>
      <c r="AC1309">
        <f>OrdersTable[[#This Row],[Delivery Date]]-OrdersTable[[#This Row],[Order Date]]</f>
        <v>2</v>
      </c>
      <c r="AD1309" t="str">
        <f>IF(OrdersTable[[#This Row],[Delivery Days]]&lt;=2, "Express (≤2d)", IF(OrdersTable[[#This Row],[Delivery Days]]&lt;=4, "Standard (3-4d)", "Delayed (5d+)"))</f>
        <v>Express (≤2d)</v>
      </c>
      <c r="AE1309">
        <v>4</v>
      </c>
      <c r="AF1309">
        <v>0</v>
      </c>
    </row>
    <row r="1310" spans="1:32" ht="15" x14ac:dyDescent="0.35">
      <c r="A1310" t="s">
        <v>3868</v>
      </c>
      <c r="B1310" s="1">
        <v>45552</v>
      </c>
      <c r="C1310">
        <f>YEAR(OrdersTable[[#This Row],[Order Date]])</f>
        <v>2024</v>
      </c>
      <c r="D1310" s="2">
        <f>DATE(YEAR(OrdersTable[[#This Row],[Order Date]]),MONTH(OrdersTable[[#This Row],[Order Date]]),1)</f>
        <v>45536</v>
      </c>
      <c r="E1310">
        <f>MONTH(OrdersTable[[#This Row],[Order Date]])</f>
        <v>9</v>
      </c>
      <c r="F1310" t="s">
        <v>3869</v>
      </c>
      <c r="G1310" t="str">
        <f>IF(OrdersTable[[#This Row],[Order Date]]=_xlfn.MINIFS(Order_Date, Customer_ID, OrdersTable[[#This Row],[Customer ID]]), "New", "Repeat")</f>
        <v>Repeat</v>
      </c>
      <c r="H1310" t="s">
        <v>316</v>
      </c>
      <c r="I1310" t="str">
        <f>INDEX(State!B:B,MATCH(OrdersTable[[#This Row],[State]],State!A:A,0))</f>
        <v>KL</v>
      </c>
      <c r="J1310" t="str">
        <f>INDEX(State!C:C,MATCH(OrdersTable[[#This Row],[State Code]],State!B:B,0))</f>
        <v>South</v>
      </c>
      <c r="K1310" t="s">
        <v>338</v>
      </c>
      <c r="L1310" t="s">
        <v>16</v>
      </c>
      <c r="M1310" t="s">
        <v>34</v>
      </c>
      <c r="N1310" t="str">
        <f>INDEX(Products!B:B,MATCH(OrdersTable[[#This Row],[Product ID]],Products!A:A,0))</f>
        <v>Flip Flops</v>
      </c>
      <c r="O1310" t="str">
        <f>INDEX(Products!C:C,MATCH(OrdersTable[[#This Row],[Product ID]],Products!A:A,0))</f>
        <v>Footwear</v>
      </c>
      <c r="P1310">
        <v>1</v>
      </c>
      <c r="Q1310" s="5">
        <v>399</v>
      </c>
      <c r="R1310" s="74">
        <v>0.2</v>
      </c>
      <c r="S1310" s="75">
        <f>OrdersTable[[#This Row],[Quantity]]*OrdersTable[[#This Row],[Unit Price]]</f>
        <v>399</v>
      </c>
      <c r="T1310" s="5">
        <f>OrdersTable[[#This Row],[Gross Sale]]*OrdersTable[[#This Row],[Discount_Clean2]]</f>
        <v>79.800000000000011</v>
      </c>
      <c r="U1310" s="5">
        <f>OrdersTable[[#This Row],[Gross Sale]]-OrdersTable[[#This Row],[Discount Amount]]</f>
        <v>319.2</v>
      </c>
      <c r="V1310" s="77">
        <f>INDEX(Products!E:E,MATCH(OrdersTable[[#This Row],[Product ID]],Products!A:A,0))</f>
        <v>152</v>
      </c>
      <c r="W1310" s="77">
        <f>OrdersTable[[#This Row],[Quantity]]*OrdersTable[[#This Row],[Unit Cost]]</f>
        <v>152</v>
      </c>
      <c r="X1310" s="77">
        <f>'Dropdown Lists'!$I$2*(1+OrdersTable[[#This Row],[Returned]])</f>
        <v>60</v>
      </c>
      <c r="Y1310" s="76">
        <f>OrdersTable[[#This Row],[Net Revenue]]-OrdersTable[[#This Row],[COGS]]-OrdersTable[[#This Row],[Shipping Cost]]</f>
        <v>107.19999999999999</v>
      </c>
      <c r="Z1310" s="78">
        <f>IFERROR(OrdersTable[[#This Row],[Profit]]/OrdersTable[[#This Row],[Net Revenue]],0)</f>
        <v>0.33583959899749372</v>
      </c>
      <c r="AA1310" t="s">
        <v>3495</v>
      </c>
      <c r="AB1310" s="79">
        <v>45554</v>
      </c>
      <c r="AC1310">
        <f>OrdersTable[[#This Row],[Delivery Date]]-OrdersTable[[#This Row],[Order Date]]</f>
        <v>2</v>
      </c>
      <c r="AD1310" t="str">
        <f>IF(OrdersTable[[#This Row],[Delivery Days]]&lt;=2, "Express (≤2d)", IF(OrdersTable[[#This Row],[Delivery Days]]&lt;=4, "Standard (3-4d)", "Delayed (5d+)"))</f>
        <v>Express (≤2d)</v>
      </c>
      <c r="AE1310">
        <v>3</v>
      </c>
      <c r="AF1310">
        <v>0</v>
      </c>
    </row>
    <row r="1311" spans="1:32" ht="15" x14ac:dyDescent="0.35">
      <c r="A1311" t="s">
        <v>1364</v>
      </c>
      <c r="B1311" s="1">
        <v>45553</v>
      </c>
      <c r="C1311">
        <f>YEAR(OrdersTable[[#This Row],[Order Date]])</f>
        <v>2024</v>
      </c>
      <c r="D1311" s="2">
        <f>DATE(YEAR(OrdersTable[[#This Row],[Order Date]]),MONTH(OrdersTable[[#This Row],[Order Date]]),1)</f>
        <v>45536</v>
      </c>
      <c r="E1311">
        <f>MONTH(OrdersTable[[#This Row],[Order Date]])</f>
        <v>9</v>
      </c>
      <c r="F1311" t="s">
        <v>1365</v>
      </c>
      <c r="G1311" t="str">
        <f>IF(OrdersTable[[#This Row],[Order Date]]=_xlfn.MINIFS(Order_Date, Customer_ID, OrdersTable[[#This Row],[Customer ID]]), "New", "Repeat")</f>
        <v>Repeat</v>
      </c>
      <c r="H1311" t="s">
        <v>54</v>
      </c>
      <c r="I1311" t="str">
        <f>INDEX(State!B:B,MATCH(OrdersTable[[#This Row],[State]],State!A:A,0))</f>
        <v>RJ</v>
      </c>
      <c r="J1311" t="str">
        <f>INDEX(State!C:C,MATCH(OrdersTable[[#This Row],[State Code]],State!B:B,0))</f>
        <v>North</v>
      </c>
      <c r="K1311" t="s">
        <v>55</v>
      </c>
      <c r="L1311" t="s">
        <v>23</v>
      </c>
      <c r="M1311" t="s">
        <v>228</v>
      </c>
      <c r="N1311" t="str">
        <f>INDEX(Products!B:B,MATCH(OrdersTable[[#This Row],[Product ID]],Products!A:A,0))</f>
        <v>Fast Charger 33W</v>
      </c>
      <c r="O1311" t="str">
        <f>INDEX(Products!C:C,MATCH(OrdersTable[[#This Row],[Product ID]],Products!A:A,0))</f>
        <v>Electronics</v>
      </c>
      <c r="P1311">
        <v>1</v>
      </c>
      <c r="Q1311" s="5">
        <v>899</v>
      </c>
      <c r="R1311" s="74">
        <v>0.15</v>
      </c>
      <c r="S1311" s="75">
        <f>OrdersTable[[#This Row],[Quantity]]*OrdersTable[[#This Row],[Unit Price]]</f>
        <v>899</v>
      </c>
      <c r="T1311" s="5">
        <f>OrdersTable[[#This Row],[Gross Sale]]*OrdersTable[[#This Row],[Discount_Clean2]]</f>
        <v>134.85</v>
      </c>
      <c r="U1311" s="5">
        <f>OrdersTable[[#This Row],[Gross Sale]]-OrdersTable[[#This Row],[Discount Amount]]</f>
        <v>764.15</v>
      </c>
      <c r="V1311" s="77">
        <f>INDEX(Products!E:E,MATCH(OrdersTable[[#This Row],[Product ID]],Products!A:A,0))</f>
        <v>494</v>
      </c>
      <c r="W1311" s="77">
        <f>OrdersTable[[#This Row],[Quantity]]*OrdersTable[[#This Row],[Unit Cost]]</f>
        <v>494</v>
      </c>
      <c r="X1311" s="77">
        <f>'Dropdown Lists'!$I$2*(1+OrdersTable[[#This Row],[Returned]])</f>
        <v>60</v>
      </c>
      <c r="Y1311" s="76">
        <f>OrdersTable[[#This Row],[Net Revenue]]-OrdersTable[[#This Row],[COGS]]-OrdersTable[[#This Row],[Shipping Cost]]</f>
        <v>210.14999999999998</v>
      </c>
      <c r="Z1311" s="78">
        <f>IFERROR(OrdersTable[[#This Row],[Profit]]/OrdersTable[[#This Row],[Net Revenue]],0)</f>
        <v>0.27501145063142052</v>
      </c>
      <c r="AA1311" t="s">
        <v>18</v>
      </c>
      <c r="AB1311" s="79">
        <v>45555</v>
      </c>
      <c r="AC1311">
        <f>OrdersTable[[#This Row],[Delivery Date]]-OrdersTable[[#This Row],[Order Date]]</f>
        <v>2</v>
      </c>
      <c r="AD1311" t="str">
        <f>IF(OrdersTable[[#This Row],[Delivery Days]]&lt;=2, "Express (≤2d)", IF(OrdersTable[[#This Row],[Delivery Days]]&lt;=4, "Standard (3-4d)", "Delayed (5d+)"))</f>
        <v>Express (≤2d)</v>
      </c>
      <c r="AF1311">
        <v>0</v>
      </c>
    </row>
    <row r="1312" spans="1:32" ht="15" x14ac:dyDescent="0.35">
      <c r="A1312" t="s">
        <v>771</v>
      </c>
      <c r="B1312" s="1">
        <v>45553</v>
      </c>
      <c r="C1312">
        <f>YEAR(OrdersTable[[#This Row],[Order Date]])</f>
        <v>2024</v>
      </c>
      <c r="D1312" s="2">
        <f>DATE(YEAR(OrdersTable[[#This Row],[Order Date]]),MONTH(OrdersTable[[#This Row],[Order Date]]),1)</f>
        <v>45536</v>
      </c>
      <c r="E1312">
        <f>MONTH(OrdersTable[[#This Row],[Order Date]])</f>
        <v>9</v>
      </c>
      <c r="F1312" t="s">
        <v>772</v>
      </c>
      <c r="G1312" t="str">
        <f>IF(OrdersTable[[#This Row],[Order Date]]=_xlfn.MINIFS(Order_Date, Customer_ID, OrdersTable[[#This Row],[Customer ID]]), "New", "Repeat")</f>
        <v>New</v>
      </c>
      <c r="H1312" t="s">
        <v>48</v>
      </c>
      <c r="I1312" t="str">
        <f>INDEX(State!B:B,MATCH(OrdersTable[[#This Row],[State]],State!A:A,0))</f>
        <v>HR</v>
      </c>
      <c r="J1312" t="str">
        <f>INDEX(State!C:C,MATCH(OrdersTable[[#This Row],[State Code]],State!B:B,0))</f>
        <v>North</v>
      </c>
      <c r="K1312" t="s">
        <v>49</v>
      </c>
      <c r="L1312" t="s">
        <v>23</v>
      </c>
      <c r="M1312" t="s">
        <v>205</v>
      </c>
      <c r="N1312" t="str">
        <f>INDEX(Products!B:B,MATCH(OrdersTable[[#This Row],[Product ID]],Products!A:A,0))</f>
        <v>Running Shoes</v>
      </c>
      <c r="O1312" t="str">
        <f>INDEX(Products!C:C,MATCH(OrdersTable[[#This Row],[Product ID]],Products!A:A,0))</f>
        <v>Footwear</v>
      </c>
      <c r="P1312">
        <v>1</v>
      </c>
      <c r="Q1312" s="5">
        <v>2999</v>
      </c>
      <c r="R1312" s="74">
        <v>0.2</v>
      </c>
      <c r="S1312" s="75">
        <f>OrdersTable[[#This Row],[Quantity]]*OrdersTable[[#This Row],[Unit Price]]</f>
        <v>2999</v>
      </c>
      <c r="T1312" s="5">
        <f>OrdersTable[[#This Row],[Gross Sale]]*OrdersTable[[#This Row],[Discount_Clean2]]</f>
        <v>599.80000000000007</v>
      </c>
      <c r="U1312" s="5">
        <f>OrdersTable[[#This Row],[Gross Sale]]-OrdersTable[[#This Row],[Discount Amount]]</f>
        <v>2399.1999999999998</v>
      </c>
      <c r="V1312" s="77">
        <f>INDEX(Products!E:E,MATCH(OrdersTable[[#This Row],[Product ID]],Products!A:A,0))</f>
        <v>1440</v>
      </c>
      <c r="W1312" s="77">
        <f>OrdersTable[[#This Row],[Quantity]]*OrdersTable[[#This Row],[Unit Cost]]</f>
        <v>1440</v>
      </c>
      <c r="X1312" s="77">
        <f>'Dropdown Lists'!$I$2*(1+OrdersTable[[#This Row],[Returned]])</f>
        <v>60</v>
      </c>
      <c r="Y1312" s="76">
        <f>OrdersTable[[#This Row],[Net Revenue]]-OrdersTable[[#This Row],[COGS]]-OrdersTable[[#This Row],[Shipping Cost]]</f>
        <v>899.19999999999982</v>
      </c>
      <c r="Z1312" s="78">
        <f>IFERROR(OrdersTable[[#This Row],[Profit]]/OrdersTable[[#This Row],[Net Revenue]],0)</f>
        <v>0.3747915971990663</v>
      </c>
      <c r="AA1312" t="s">
        <v>18</v>
      </c>
      <c r="AB1312" s="79">
        <v>45556</v>
      </c>
      <c r="AC1312">
        <f>OrdersTable[[#This Row],[Delivery Date]]-OrdersTable[[#This Row],[Order Date]]</f>
        <v>3</v>
      </c>
      <c r="AD1312" t="str">
        <f>IF(OrdersTable[[#This Row],[Delivery Days]]&lt;=2, "Express (≤2d)", IF(OrdersTable[[#This Row],[Delivery Days]]&lt;=4, "Standard (3-4d)", "Delayed (5d+)"))</f>
        <v>Standard (3-4d)</v>
      </c>
      <c r="AE1312">
        <v>4</v>
      </c>
      <c r="AF1312">
        <v>0</v>
      </c>
    </row>
    <row r="1313" spans="1:32" ht="15" x14ac:dyDescent="0.35">
      <c r="A1313" t="s">
        <v>4242</v>
      </c>
      <c r="B1313" s="1">
        <v>45553</v>
      </c>
      <c r="C1313">
        <f>YEAR(OrdersTable[[#This Row],[Order Date]])</f>
        <v>2024</v>
      </c>
      <c r="D1313" s="2">
        <f>DATE(YEAR(OrdersTable[[#This Row],[Order Date]]),MONTH(OrdersTable[[#This Row],[Order Date]]),1)</f>
        <v>45536</v>
      </c>
      <c r="E1313">
        <f>MONTH(OrdersTable[[#This Row],[Order Date]])</f>
        <v>9</v>
      </c>
      <c r="F1313" t="s">
        <v>75</v>
      </c>
      <c r="G1313" t="str">
        <f>IF(OrdersTable[[#This Row],[Order Date]]=_xlfn.MINIFS(Order_Date, Customer_ID, OrdersTable[[#This Row],[Customer ID]]), "New", "Repeat")</f>
        <v>Repeat</v>
      </c>
      <c r="H1313" t="s">
        <v>123</v>
      </c>
      <c r="I1313" t="str">
        <f>INDEX(State!B:B,MATCH(OrdersTable[[#This Row],[State]],State!A:A,0))</f>
        <v>JH</v>
      </c>
      <c r="J1313" t="str">
        <f>INDEX(State!C:C,MATCH(OrdersTable[[#This Row],[State Code]],State!B:B,0))</f>
        <v>East</v>
      </c>
      <c r="K1313" t="s">
        <v>124</v>
      </c>
      <c r="L1313" t="s">
        <v>65</v>
      </c>
      <c r="M1313" t="s">
        <v>109</v>
      </c>
      <c r="N1313" t="str">
        <f>INDEX(Products!B:B,MATCH(OrdersTable[[#This Row],[Product ID]],Products!A:A,0))</f>
        <v>Onion Hair Oil</v>
      </c>
      <c r="O1313" t="str">
        <f>INDEX(Products!C:C,MATCH(OrdersTable[[#This Row],[Product ID]],Products!A:A,0))</f>
        <v>Haircare</v>
      </c>
      <c r="P1313">
        <v>1</v>
      </c>
      <c r="Q1313" s="5">
        <v>349</v>
      </c>
      <c r="R1313" s="74">
        <v>0.25</v>
      </c>
      <c r="S1313" s="75">
        <f>OrdersTable[[#This Row],[Quantity]]*OrdersTable[[#This Row],[Unit Price]]</f>
        <v>349</v>
      </c>
      <c r="T1313" s="5">
        <f>OrdersTable[[#This Row],[Gross Sale]]*OrdersTable[[#This Row],[Discount_Clean2]]</f>
        <v>87.25</v>
      </c>
      <c r="U1313" s="5">
        <f>OrdersTable[[#This Row],[Gross Sale]]-OrdersTable[[#This Row],[Discount Amount]]</f>
        <v>261.75</v>
      </c>
      <c r="V1313" s="77">
        <f>INDEX(Products!E:E,MATCH(OrdersTable[[#This Row],[Product ID]],Products!A:A,0))</f>
        <v>105</v>
      </c>
      <c r="W1313" s="77">
        <f>OrdersTable[[#This Row],[Quantity]]*OrdersTable[[#This Row],[Unit Cost]]</f>
        <v>105</v>
      </c>
      <c r="X1313" s="77">
        <f>'Dropdown Lists'!$I$2*(1+OrdersTable[[#This Row],[Returned]])</f>
        <v>60</v>
      </c>
      <c r="Y1313" s="76">
        <f>OrdersTable[[#This Row],[Net Revenue]]-OrdersTable[[#This Row],[COGS]]-OrdersTable[[#This Row],[Shipping Cost]]</f>
        <v>96.75</v>
      </c>
      <c r="Z1313" s="78">
        <f>IFERROR(OrdersTable[[#This Row],[Profit]]/OrdersTable[[#This Row],[Net Revenue]],0)</f>
        <v>0.36962750716332377</v>
      </c>
      <c r="AA1313" t="s">
        <v>4074</v>
      </c>
      <c r="AB1313" s="79">
        <v>45558</v>
      </c>
      <c r="AC1313">
        <f>OrdersTable[[#This Row],[Delivery Date]]-OrdersTable[[#This Row],[Order Date]]</f>
        <v>5</v>
      </c>
      <c r="AD1313" t="str">
        <f>IF(OrdersTable[[#This Row],[Delivery Days]]&lt;=2, "Express (≤2d)", IF(OrdersTable[[#This Row],[Delivery Days]]&lt;=4, "Standard (3-4d)", "Delayed (5d+)"))</f>
        <v>Delayed (5d+)</v>
      </c>
      <c r="AF1313">
        <v>0</v>
      </c>
    </row>
    <row r="1314" spans="1:32" ht="15" x14ac:dyDescent="0.35">
      <c r="A1314" t="s">
        <v>2949</v>
      </c>
      <c r="B1314" s="1">
        <v>45553</v>
      </c>
      <c r="C1314">
        <f>YEAR(OrdersTable[[#This Row],[Order Date]])</f>
        <v>2024</v>
      </c>
      <c r="D1314" s="2">
        <f>DATE(YEAR(OrdersTable[[#This Row],[Order Date]]),MONTH(OrdersTable[[#This Row],[Order Date]]),1)</f>
        <v>45536</v>
      </c>
      <c r="E1314">
        <f>MONTH(OrdersTable[[#This Row],[Order Date]])</f>
        <v>9</v>
      </c>
      <c r="F1314" t="s">
        <v>2950</v>
      </c>
      <c r="G1314" t="str">
        <f>IF(OrdersTable[[#This Row],[Order Date]]=_xlfn.MINIFS(Order_Date, Customer_ID, OrdersTable[[#This Row],[Customer ID]]), "New", "Repeat")</f>
        <v>New</v>
      </c>
      <c r="H1314" t="s">
        <v>71</v>
      </c>
      <c r="I1314" t="str">
        <f>INDEX(State!B:B,MATCH(OrdersTable[[#This Row],[State]],State!A:A,0))</f>
        <v>MH</v>
      </c>
      <c r="J1314" t="str">
        <f>INDEX(State!C:C,MATCH(OrdersTable[[#This Row],[State Code]],State!B:B,0))</f>
        <v>West</v>
      </c>
      <c r="K1314" t="s">
        <v>102</v>
      </c>
      <c r="L1314" t="s">
        <v>65</v>
      </c>
      <c r="M1314" t="s">
        <v>51</v>
      </c>
      <c r="N1314" t="str">
        <f>INDEX(Products!B:B,MATCH(OrdersTable[[#This Row],[Product ID]],Products!A:A,0))</f>
        <v>Anti-Dandruff Conditioner</v>
      </c>
      <c r="O1314" t="str">
        <f>INDEX(Products!C:C,MATCH(OrdersTable[[#This Row],[Product ID]],Products!A:A,0))</f>
        <v>Haircare</v>
      </c>
      <c r="P1314">
        <v>1</v>
      </c>
      <c r="Q1314" s="5">
        <v>399</v>
      </c>
      <c r="R1314" s="74">
        <v>0.3</v>
      </c>
      <c r="S1314" s="75">
        <f>OrdersTable[[#This Row],[Quantity]]*OrdersTable[[#This Row],[Unit Price]]</f>
        <v>399</v>
      </c>
      <c r="T1314" s="5">
        <f>OrdersTable[[#This Row],[Gross Sale]]*OrdersTable[[#This Row],[Discount_Clean2]]</f>
        <v>119.69999999999999</v>
      </c>
      <c r="U1314" s="5">
        <f>OrdersTable[[#This Row],[Gross Sale]]-OrdersTable[[#This Row],[Discount Amount]]</f>
        <v>279.3</v>
      </c>
      <c r="V1314" s="77">
        <f>INDEX(Products!E:E,MATCH(OrdersTable[[#This Row],[Product ID]],Products!A:A,0))</f>
        <v>136</v>
      </c>
      <c r="W1314" s="77">
        <f>OrdersTable[[#This Row],[Quantity]]*OrdersTable[[#This Row],[Unit Cost]]</f>
        <v>136</v>
      </c>
      <c r="X1314" s="77">
        <f>'Dropdown Lists'!$I$2*(1+OrdersTable[[#This Row],[Returned]])</f>
        <v>120</v>
      </c>
      <c r="Y1314" s="76">
        <f>OrdersTable[[#This Row],[Net Revenue]]-OrdersTable[[#This Row],[COGS]]-OrdersTable[[#This Row],[Shipping Cost]]</f>
        <v>23.300000000000011</v>
      </c>
      <c r="Z1314" s="78">
        <f>IFERROR(OrdersTable[[#This Row],[Profit]]/OrdersTable[[#This Row],[Net Revenue]],0)</f>
        <v>8.3422842821339105E-2</v>
      </c>
      <c r="AA1314" t="s">
        <v>2522</v>
      </c>
      <c r="AB1314" s="79">
        <v>45555</v>
      </c>
      <c r="AC1314">
        <f>OrdersTable[[#This Row],[Delivery Date]]-OrdersTable[[#This Row],[Order Date]]</f>
        <v>2</v>
      </c>
      <c r="AD1314" t="str">
        <f>IF(OrdersTable[[#This Row],[Delivery Days]]&lt;=2, "Express (≤2d)", IF(OrdersTable[[#This Row],[Delivery Days]]&lt;=4, "Standard (3-4d)", "Delayed (5d+)"))</f>
        <v>Express (≤2d)</v>
      </c>
      <c r="AF1314">
        <v>1</v>
      </c>
    </row>
    <row r="1315" spans="1:32" ht="15" x14ac:dyDescent="0.35">
      <c r="A1315" t="s">
        <v>2520</v>
      </c>
      <c r="B1315" s="1">
        <v>45553</v>
      </c>
      <c r="C1315">
        <f>YEAR(OrdersTable[[#This Row],[Order Date]])</f>
        <v>2024</v>
      </c>
      <c r="D1315" s="2">
        <f>DATE(YEAR(OrdersTable[[#This Row],[Order Date]]),MONTH(OrdersTable[[#This Row],[Order Date]]),1)</f>
        <v>45536</v>
      </c>
      <c r="E1315">
        <f>MONTH(OrdersTable[[#This Row],[Order Date]])</f>
        <v>9</v>
      </c>
      <c r="F1315" t="s">
        <v>2521</v>
      </c>
      <c r="G1315" t="str">
        <f>IF(OrdersTable[[#This Row],[Order Date]]=_xlfn.MINIFS(Order_Date, Customer_ID, OrdersTable[[#This Row],[Customer ID]]), "New", "Repeat")</f>
        <v>New</v>
      </c>
      <c r="H1315" t="s">
        <v>71</v>
      </c>
      <c r="I1315" t="str">
        <f>INDEX(State!B:B,MATCH(OrdersTable[[#This Row],[State]],State!A:A,0))</f>
        <v>MH</v>
      </c>
      <c r="J1315" t="str">
        <f>INDEX(State!C:C,MATCH(OrdersTable[[#This Row],[State Code]],State!B:B,0))</f>
        <v>West</v>
      </c>
      <c r="K1315" t="s">
        <v>81</v>
      </c>
      <c r="L1315" t="s">
        <v>39</v>
      </c>
      <c r="M1315" t="s">
        <v>51</v>
      </c>
      <c r="N1315" t="str">
        <f>INDEX(Products!B:B,MATCH(OrdersTable[[#This Row],[Product ID]],Products!A:A,0))</f>
        <v>Anti-Dandruff Conditioner</v>
      </c>
      <c r="O1315" t="str">
        <f>INDEX(Products!C:C,MATCH(OrdersTable[[#This Row],[Product ID]],Products!A:A,0))</f>
        <v>Haircare</v>
      </c>
      <c r="P1315">
        <v>1</v>
      </c>
      <c r="Q1315" s="5">
        <v>399</v>
      </c>
      <c r="R1315" s="74">
        <v>0.35</v>
      </c>
      <c r="S1315" s="75">
        <f>OrdersTable[[#This Row],[Quantity]]*OrdersTable[[#This Row],[Unit Price]]</f>
        <v>399</v>
      </c>
      <c r="T1315" s="5">
        <f>OrdersTable[[#This Row],[Gross Sale]]*OrdersTable[[#This Row],[Discount_Clean2]]</f>
        <v>139.64999999999998</v>
      </c>
      <c r="U1315" s="5">
        <f>OrdersTable[[#This Row],[Gross Sale]]-OrdersTable[[#This Row],[Discount Amount]]</f>
        <v>259.35000000000002</v>
      </c>
      <c r="V1315" s="77">
        <f>INDEX(Products!E:E,MATCH(OrdersTable[[#This Row],[Product ID]],Products!A:A,0))</f>
        <v>136</v>
      </c>
      <c r="W1315" s="77">
        <f>OrdersTable[[#This Row],[Quantity]]*OrdersTable[[#This Row],[Unit Cost]]</f>
        <v>136</v>
      </c>
      <c r="X1315" s="77">
        <f>'Dropdown Lists'!$I$2*(1+OrdersTable[[#This Row],[Returned]])</f>
        <v>60</v>
      </c>
      <c r="Y1315" s="76">
        <f>OrdersTable[[#This Row],[Net Revenue]]-OrdersTable[[#This Row],[COGS]]-OrdersTable[[#This Row],[Shipping Cost]]</f>
        <v>63.350000000000023</v>
      </c>
      <c r="Z1315" s="78">
        <f>IFERROR(OrdersTable[[#This Row],[Profit]]/OrdersTable[[#This Row],[Net Revenue]],0)</f>
        <v>0.24426450742240222</v>
      </c>
      <c r="AA1315" t="s">
        <v>2522</v>
      </c>
      <c r="AB1315" s="79">
        <v>45557</v>
      </c>
      <c r="AC1315">
        <f>OrdersTable[[#This Row],[Delivery Date]]-OrdersTable[[#This Row],[Order Date]]</f>
        <v>4</v>
      </c>
      <c r="AD1315" t="str">
        <f>IF(OrdersTable[[#This Row],[Delivery Days]]&lt;=2, "Express (≤2d)", IF(OrdersTable[[#This Row],[Delivery Days]]&lt;=4, "Standard (3-4d)", "Delayed (5d+)"))</f>
        <v>Standard (3-4d)</v>
      </c>
      <c r="AE1315">
        <v>2</v>
      </c>
      <c r="AF1315">
        <v>0</v>
      </c>
    </row>
    <row r="1316" spans="1:32" ht="15" x14ac:dyDescent="0.35">
      <c r="A1316" t="s">
        <v>6688</v>
      </c>
      <c r="B1316" s="1">
        <v>45554</v>
      </c>
      <c r="C1316">
        <f>YEAR(OrdersTable[[#This Row],[Order Date]])</f>
        <v>2024</v>
      </c>
      <c r="D1316" s="2">
        <f>DATE(YEAR(OrdersTable[[#This Row],[Order Date]]),MONTH(OrdersTable[[#This Row],[Order Date]]),1)</f>
        <v>45536</v>
      </c>
      <c r="E1316">
        <f>MONTH(OrdersTable[[#This Row],[Order Date]])</f>
        <v>9</v>
      </c>
      <c r="F1316" t="s">
        <v>6689</v>
      </c>
      <c r="G1316" t="str">
        <f>IF(OrdersTable[[#This Row],[Order Date]]=_xlfn.MINIFS(Order_Date, Customer_ID, OrdersTable[[#This Row],[Customer ID]]), "New", "Repeat")</f>
        <v>Repeat</v>
      </c>
      <c r="H1316" t="s">
        <v>76</v>
      </c>
      <c r="I1316" t="str">
        <f>INDEX(State!B:B,MATCH(OrdersTable[[#This Row],[State]],State!A:A,0))</f>
        <v>UP</v>
      </c>
      <c r="J1316" t="str">
        <f>INDEX(State!C:C,MATCH(OrdersTable[[#This Row],[State Code]],State!B:B,0))</f>
        <v>North</v>
      </c>
      <c r="K1316" t="s">
        <v>118</v>
      </c>
      <c r="L1316" t="s">
        <v>23</v>
      </c>
      <c r="M1316" t="s">
        <v>40</v>
      </c>
      <c r="N1316" t="str">
        <f>INDEX(Products!B:B,MATCH(OrdersTable[[#This Row],[Product ID]],Products!A:A,0))</f>
        <v>Ashwagandha Capsules</v>
      </c>
      <c r="O1316" t="str">
        <f>INDEX(Products!C:C,MATCH(OrdersTable[[#This Row],[Product ID]],Products!A:A,0))</f>
        <v>Wellness</v>
      </c>
      <c r="P1316">
        <v>3</v>
      </c>
      <c r="Q1316" s="5">
        <v>499</v>
      </c>
      <c r="R1316" s="74">
        <v>0.1</v>
      </c>
      <c r="S1316" s="75">
        <f>OrdersTable[[#This Row],[Quantity]]*OrdersTable[[#This Row],[Unit Price]]</f>
        <v>1497</v>
      </c>
      <c r="T1316" s="5">
        <f>OrdersTable[[#This Row],[Gross Sale]]*OrdersTable[[#This Row],[Discount_Clean2]]</f>
        <v>149.70000000000002</v>
      </c>
      <c r="U1316" s="5">
        <f>OrdersTable[[#This Row],[Gross Sale]]-OrdersTable[[#This Row],[Discount Amount]]</f>
        <v>1347.3</v>
      </c>
      <c r="V1316" s="77">
        <f>INDEX(Products!E:E,MATCH(OrdersTable[[#This Row],[Product ID]],Products!A:A,0))</f>
        <v>150</v>
      </c>
      <c r="W1316" s="77">
        <f>OrdersTable[[#This Row],[Quantity]]*OrdersTable[[#This Row],[Unit Cost]]</f>
        <v>450</v>
      </c>
      <c r="X1316" s="77">
        <f>'Dropdown Lists'!$I$2*(1+OrdersTable[[#This Row],[Returned]])</f>
        <v>60</v>
      </c>
      <c r="Y1316" s="76">
        <f>OrdersTable[[#This Row],[Net Revenue]]-OrdersTable[[#This Row],[COGS]]-OrdersTable[[#This Row],[Shipping Cost]]</f>
        <v>837.3</v>
      </c>
      <c r="Z1316" s="78">
        <f>IFERROR(OrdersTable[[#This Row],[Profit]]/OrdersTable[[#This Row],[Net Revenue]],0)</f>
        <v>0.62146515252727674</v>
      </c>
      <c r="AA1316" t="s">
        <v>2522</v>
      </c>
      <c r="AB1316" s="79">
        <v>45556</v>
      </c>
      <c r="AC1316">
        <f>OrdersTable[[#This Row],[Delivery Date]]-OrdersTable[[#This Row],[Order Date]]</f>
        <v>2</v>
      </c>
      <c r="AD1316" t="str">
        <f>IF(OrdersTable[[#This Row],[Delivery Days]]&lt;=2, "Express (≤2d)", IF(OrdersTable[[#This Row],[Delivery Days]]&lt;=4, "Standard (3-4d)", "Delayed (5d+)"))</f>
        <v>Express (≤2d)</v>
      </c>
      <c r="AE1316">
        <v>5</v>
      </c>
      <c r="AF1316">
        <v>0</v>
      </c>
    </row>
    <row r="1317" spans="1:32" ht="15" x14ac:dyDescent="0.35">
      <c r="A1317" t="s">
        <v>6964</v>
      </c>
      <c r="B1317" s="1">
        <v>45554</v>
      </c>
      <c r="C1317">
        <f>YEAR(OrdersTable[[#This Row],[Order Date]])</f>
        <v>2024</v>
      </c>
      <c r="D1317" s="2">
        <f>DATE(YEAR(OrdersTable[[#This Row],[Order Date]]),MONTH(OrdersTable[[#This Row],[Order Date]]),1)</f>
        <v>45536</v>
      </c>
      <c r="E1317">
        <f>MONTH(OrdersTable[[#This Row],[Order Date]])</f>
        <v>9</v>
      </c>
      <c r="F1317" t="s">
        <v>5027</v>
      </c>
      <c r="G1317" t="str">
        <f>IF(OrdersTable[[#This Row],[Order Date]]=_xlfn.MINIFS(Order_Date, Customer_ID, OrdersTable[[#This Row],[Customer ID]]), "New", "Repeat")</f>
        <v>New</v>
      </c>
      <c r="H1317" t="s">
        <v>76</v>
      </c>
      <c r="I1317" t="str">
        <f>INDEX(State!B:B,MATCH(OrdersTable[[#This Row],[State]],State!A:A,0))</f>
        <v>UP</v>
      </c>
      <c r="J1317" t="str">
        <f>INDEX(State!C:C,MATCH(OrdersTable[[#This Row],[State Code]],State!B:B,0))</f>
        <v>North</v>
      </c>
      <c r="K1317" t="s">
        <v>105</v>
      </c>
      <c r="L1317" t="s">
        <v>39</v>
      </c>
      <c r="M1317" t="s">
        <v>84</v>
      </c>
      <c r="N1317" t="str">
        <f>INDEX(Products!B:B,MATCH(OrdersTable[[#This Row],[Product ID]],Products!A:A,0))</f>
        <v>Cotton Bedsheet</v>
      </c>
      <c r="O1317" t="str">
        <f>INDEX(Products!C:C,MATCH(OrdersTable[[#This Row],[Product ID]],Products!A:A,0))</f>
        <v>Home &amp; Kitchen</v>
      </c>
      <c r="P1317">
        <v>4</v>
      </c>
      <c r="Q1317" s="5">
        <v>1299</v>
      </c>
      <c r="R1317" s="74">
        <v>0</v>
      </c>
      <c r="S1317" s="75">
        <f>OrdersTable[[#This Row],[Quantity]]*OrdersTable[[#This Row],[Unit Price]]</f>
        <v>5196</v>
      </c>
      <c r="T1317" s="5">
        <f>OrdersTable[[#This Row],[Gross Sale]]*OrdersTable[[#This Row],[Discount_Clean2]]</f>
        <v>0</v>
      </c>
      <c r="U1317" s="5">
        <f>OrdersTable[[#This Row],[Gross Sale]]-OrdersTable[[#This Row],[Discount Amount]]</f>
        <v>5196</v>
      </c>
      <c r="V1317" s="77">
        <f>INDEX(Products!E:E,MATCH(OrdersTable[[#This Row],[Product ID]],Products!A:A,0))</f>
        <v>585</v>
      </c>
      <c r="W1317" s="77">
        <f>OrdersTable[[#This Row],[Quantity]]*OrdersTable[[#This Row],[Unit Cost]]</f>
        <v>2340</v>
      </c>
      <c r="X1317" s="77">
        <f>'Dropdown Lists'!$I$2*(1+OrdersTable[[#This Row],[Returned]])</f>
        <v>60</v>
      </c>
      <c r="Y1317" s="76">
        <f>OrdersTable[[#This Row],[Net Revenue]]-OrdersTable[[#This Row],[COGS]]-OrdersTable[[#This Row],[Shipping Cost]]</f>
        <v>2796</v>
      </c>
      <c r="Z1317" s="78">
        <f>IFERROR(OrdersTable[[#This Row],[Profit]]/OrdersTable[[#This Row],[Net Revenue]],0)</f>
        <v>0.53810623556581982</v>
      </c>
      <c r="AA1317" t="s">
        <v>2522</v>
      </c>
      <c r="AB1317" s="79">
        <v>45558</v>
      </c>
      <c r="AC1317">
        <f>OrdersTable[[#This Row],[Delivery Date]]-OrdersTable[[#This Row],[Order Date]]</f>
        <v>4</v>
      </c>
      <c r="AD1317" t="str">
        <f>IF(OrdersTable[[#This Row],[Delivery Days]]&lt;=2, "Express (≤2d)", IF(OrdersTable[[#This Row],[Delivery Days]]&lt;=4, "Standard (3-4d)", "Delayed (5d+)"))</f>
        <v>Standard (3-4d)</v>
      </c>
      <c r="AE1317">
        <v>4</v>
      </c>
      <c r="AF1317">
        <v>0</v>
      </c>
    </row>
    <row r="1318" spans="1:32" ht="15" x14ac:dyDescent="0.35">
      <c r="A1318" t="s">
        <v>3870</v>
      </c>
      <c r="B1318" s="1">
        <v>45554</v>
      </c>
      <c r="C1318">
        <f>YEAR(OrdersTable[[#This Row],[Order Date]])</f>
        <v>2024</v>
      </c>
      <c r="D1318" s="2">
        <f>DATE(YEAR(OrdersTable[[#This Row],[Order Date]]),MONTH(OrdersTable[[#This Row],[Order Date]]),1)</f>
        <v>45536</v>
      </c>
      <c r="E1318">
        <f>MONTH(OrdersTable[[#This Row],[Order Date]])</f>
        <v>9</v>
      </c>
      <c r="F1318" t="s">
        <v>3584</v>
      </c>
      <c r="G1318" t="str">
        <f>IF(OrdersTable[[#This Row],[Order Date]]=_xlfn.MINIFS(Order_Date, Customer_ID, OrdersTable[[#This Row],[Customer ID]]), "New", "Repeat")</f>
        <v>New</v>
      </c>
      <c r="H1318" t="s">
        <v>59</v>
      </c>
      <c r="I1318" t="str">
        <f>INDEX(State!B:B,MATCH(OrdersTable[[#This Row],[State]],State!A:A,0))</f>
        <v>TN</v>
      </c>
      <c r="J1318" t="str">
        <f>INDEX(State!C:C,MATCH(OrdersTable[[#This Row],[State Code]],State!B:B,0))</f>
        <v>South</v>
      </c>
      <c r="K1318" t="s">
        <v>60</v>
      </c>
      <c r="L1318" t="s">
        <v>50</v>
      </c>
      <c r="M1318" t="s">
        <v>152</v>
      </c>
      <c r="N1318" t="str">
        <f>INDEX(Products!B:B,MATCH(OrdersTable[[#This Row],[Product ID]],Products!A:A,0))</f>
        <v>Green Tea (100 bags)</v>
      </c>
      <c r="O1318" t="str">
        <f>INDEX(Products!C:C,MATCH(OrdersTable[[#This Row],[Product ID]],Products!A:A,0))</f>
        <v>Wellness</v>
      </c>
      <c r="P1318">
        <v>1</v>
      </c>
      <c r="Q1318" s="5">
        <v>399</v>
      </c>
      <c r="R1318" s="74">
        <v>0.45</v>
      </c>
      <c r="S1318" s="75">
        <f>OrdersTable[[#This Row],[Quantity]]*OrdersTable[[#This Row],[Unit Price]]</f>
        <v>399</v>
      </c>
      <c r="T1318" s="5">
        <f>OrdersTable[[#This Row],[Gross Sale]]*OrdersTable[[#This Row],[Discount_Clean2]]</f>
        <v>179.55</v>
      </c>
      <c r="U1318" s="5">
        <f>OrdersTable[[#This Row],[Gross Sale]]-OrdersTable[[#This Row],[Discount Amount]]</f>
        <v>219.45</v>
      </c>
      <c r="V1318" s="77">
        <f>INDEX(Products!E:E,MATCH(OrdersTable[[#This Row],[Product ID]],Products!A:A,0))</f>
        <v>128</v>
      </c>
      <c r="W1318" s="77">
        <f>OrdersTable[[#This Row],[Quantity]]*OrdersTable[[#This Row],[Unit Cost]]</f>
        <v>128</v>
      </c>
      <c r="X1318" s="77">
        <f>'Dropdown Lists'!$I$2*(1+OrdersTable[[#This Row],[Returned]])</f>
        <v>60</v>
      </c>
      <c r="Y1318" s="76">
        <f>OrdersTable[[#This Row],[Net Revenue]]-OrdersTable[[#This Row],[COGS]]-OrdersTable[[#This Row],[Shipping Cost]]</f>
        <v>31.449999999999989</v>
      </c>
      <c r="Z1318" s="78">
        <f>IFERROR(OrdersTable[[#This Row],[Profit]]/OrdersTable[[#This Row],[Net Revenue]],0)</f>
        <v>0.14331282752335381</v>
      </c>
      <c r="AA1318" t="s">
        <v>3495</v>
      </c>
      <c r="AB1318" s="79">
        <v>45557</v>
      </c>
      <c r="AC1318">
        <f>OrdersTable[[#This Row],[Delivery Date]]-OrdersTable[[#This Row],[Order Date]]</f>
        <v>3</v>
      </c>
      <c r="AD1318" t="str">
        <f>IF(OrdersTable[[#This Row],[Delivery Days]]&lt;=2, "Express (≤2d)", IF(OrdersTable[[#This Row],[Delivery Days]]&lt;=4, "Standard (3-4d)", "Delayed (5d+)"))</f>
        <v>Standard (3-4d)</v>
      </c>
      <c r="AE1318">
        <v>3</v>
      </c>
      <c r="AF1318">
        <v>0</v>
      </c>
    </row>
    <row r="1319" spans="1:32" ht="15" x14ac:dyDescent="0.35">
      <c r="A1319" t="s">
        <v>928</v>
      </c>
      <c r="B1319" s="1">
        <v>45555</v>
      </c>
      <c r="C1319">
        <f>YEAR(OrdersTable[[#This Row],[Order Date]])</f>
        <v>2024</v>
      </c>
      <c r="D1319" s="2">
        <f>DATE(YEAR(OrdersTable[[#This Row],[Order Date]]),MONTH(OrdersTable[[#This Row],[Order Date]]),1)</f>
        <v>45536</v>
      </c>
      <c r="E1319">
        <f>MONTH(OrdersTable[[#This Row],[Order Date]])</f>
        <v>9</v>
      </c>
      <c r="F1319" t="s">
        <v>929</v>
      </c>
      <c r="G1319" t="str">
        <f>IF(OrdersTable[[#This Row],[Order Date]]=_xlfn.MINIFS(Order_Date, Customer_ID, OrdersTable[[#This Row],[Customer ID]]), "New", "Repeat")</f>
        <v>New</v>
      </c>
      <c r="H1319" t="s">
        <v>128</v>
      </c>
      <c r="I1319" t="str">
        <f>INDEX(State!B:B,MATCH(OrdersTable[[#This Row],[State]],State!A:A,0))</f>
        <v>DL</v>
      </c>
      <c r="J1319" t="str">
        <f>INDEX(State!C:C,MATCH(OrdersTable[[#This Row],[State Code]],State!B:B,0))</f>
        <v>North</v>
      </c>
      <c r="K1319" t="s">
        <v>129</v>
      </c>
      <c r="L1319" t="s">
        <v>65</v>
      </c>
      <c r="M1319" t="s">
        <v>24</v>
      </c>
      <c r="N1319" t="str">
        <f>INDEX(Products!B:B,MATCH(OrdersTable[[#This Row],[Product ID]],Products!A:A,0))</f>
        <v>Scented Candle Set</v>
      </c>
      <c r="O1319" t="str">
        <f>INDEX(Products!C:C,MATCH(OrdersTable[[#This Row],[Product ID]],Products!A:A,0))</f>
        <v>Home &amp; Kitchen</v>
      </c>
      <c r="P1319">
        <v>1</v>
      </c>
      <c r="Q1319" s="5">
        <v>699</v>
      </c>
      <c r="R1319" s="74">
        <v>0.2</v>
      </c>
      <c r="S1319" s="75">
        <f>OrdersTable[[#This Row],[Quantity]]*OrdersTable[[#This Row],[Unit Price]]</f>
        <v>699</v>
      </c>
      <c r="T1319" s="5">
        <f>OrdersTable[[#This Row],[Gross Sale]]*OrdersTable[[#This Row],[Discount_Clean2]]</f>
        <v>139.80000000000001</v>
      </c>
      <c r="U1319" s="5">
        <f>OrdersTable[[#This Row],[Gross Sale]]-OrdersTable[[#This Row],[Discount Amount]]</f>
        <v>559.20000000000005</v>
      </c>
      <c r="V1319" s="77">
        <f>INDEX(Products!E:E,MATCH(OrdersTable[[#This Row],[Product ID]],Products!A:A,0))</f>
        <v>245</v>
      </c>
      <c r="W1319" s="77">
        <f>OrdersTable[[#This Row],[Quantity]]*OrdersTable[[#This Row],[Unit Cost]]</f>
        <v>245</v>
      </c>
      <c r="X1319" s="77">
        <f>'Dropdown Lists'!$I$2*(1+OrdersTable[[#This Row],[Returned]])</f>
        <v>60</v>
      </c>
      <c r="Y1319" s="76">
        <f>OrdersTable[[#This Row],[Net Revenue]]-OrdersTable[[#This Row],[COGS]]-OrdersTable[[#This Row],[Shipping Cost]]</f>
        <v>254.20000000000005</v>
      </c>
      <c r="Z1319" s="78">
        <f>IFERROR(OrdersTable[[#This Row],[Profit]]/OrdersTable[[#This Row],[Net Revenue]],0)</f>
        <v>0.45457796852646642</v>
      </c>
      <c r="AA1319" t="s">
        <v>18</v>
      </c>
      <c r="AB1319" s="79">
        <v>45556</v>
      </c>
      <c r="AC1319">
        <f>OrdersTable[[#This Row],[Delivery Date]]-OrdersTable[[#This Row],[Order Date]]</f>
        <v>1</v>
      </c>
      <c r="AD1319" t="str">
        <f>IF(OrdersTable[[#This Row],[Delivery Days]]&lt;=2, "Express (≤2d)", IF(OrdersTable[[#This Row],[Delivery Days]]&lt;=4, "Standard (3-4d)", "Delayed (5d+)"))</f>
        <v>Express (≤2d)</v>
      </c>
      <c r="AE1319">
        <v>4</v>
      </c>
      <c r="AF1319">
        <v>0</v>
      </c>
    </row>
    <row r="1320" spans="1:32" ht="15" x14ac:dyDescent="0.35">
      <c r="A1320" t="s">
        <v>4794</v>
      </c>
      <c r="B1320" s="1">
        <v>45555</v>
      </c>
      <c r="C1320">
        <f>YEAR(OrdersTable[[#This Row],[Order Date]])</f>
        <v>2024</v>
      </c>
      <c r="D1320" s="2">
        <f>DATE(YEAR(OrdersTable[[#This Row],[Order Date]]),MONTH(OrdersTable[[#This Row],[Order Date]]),1)</f>
        <v>45536</v>
      </c>
      <c r="E1320">
        <f>MONTH(OrdersTable[[#This Row],[Order Date]])</f>
        <v>9</v>
      </c>
      <c r="F1320" t="s">
        <v>3510</v>
      </c>
      <c r="G1320" t="str">
        <f>IF(OrdersTable[[#This Row],[Order Date]]=_xlfn.MINIFS(Order_Date, Customer_ID, OrdersTable[[#This Row],[Customer ID]]), "New", "Repeat")</f>
        <v>Repeat</v>
      </c>
      <c r="H1320" t="s">
        <v>128</v>
      </c>
      <c r="I1320" t="str">
        <f>INDEX(State!B:B,MATCH(OrdersTable[[#This Row],[State]],State!A:A,0))</f>
        <v>DL</v>
      </c>
      <c r="J1320" t="str">
        <f>INDEX(State!C:C,MATCH(OrdersTable[[#This Row],[State Code]],State!B:B,0))</f>
        <v>North</v>
      </c>
      <c r="K1320" t="s">
        <v>129</v>
      </c>
      <c r="L1320" t="s">
        <v>39</v>
      </c>
      <c r="M1320" t="s">
        <v>66</v>
      </c>
      <c r="N1320" t="str">
        <f>INDEX(Products!B:B,MATCH(OrdersTable[[#This Row],[Product ID]],Products!A:A,0))</f>
        <v>Sunscreen SPF 50</v>
      </c>
      <c r="O1320" t="str">
        <f>INDEX(Products!C:C,MATCH(OrdersTable[[#This Row],[Product ID]],Products!A:A,0))</f>
        <v>Skincare</v>
      </c>
      <c r="P1320">
        <v>2</v>
      </c>
      <c r="Q1320" s="5">
        <v>449</v>
      </c>
      <c r="R1320" s="74">
        <v>0</v>
      </c>
      <c r="S1320" s="75">
        <f>OrdersTable[[#This Row],[Quantity]]*OrdersTable[[#This Row],[Unit Price]]</f>
        <v>898</v>
      </c>
      <c r="T1320" s="5">
        <f>OrdersTable[[#This Row],[Gross Sale]]*OrdersTable[[#This Row],[Discount_Clean2]]</f>
        <v>0</v>
      </c>
      <c r="U1320" s="5">
        <f>OrdersTable[[#This Row],[Gross Sale]]-OrdersTable[[#This Row],[Discount Amount]]</f>
        <v>898</v>
      </c>
      <c r="V1320" s="77">
        <f>INDEX(Products!E:E,MATCH(OrdersTable[[#This Row],[Product ID]],Products!A:A,0))</f>
        <v>144</v>
      </c>
      <c r="W1320" s="77">
        <f>OrdersTable[[#This Row],[Quantity]]*OrdersTable[[#This Row],[Unit Cost]]</f>
        <v>288</v>
      </c>
      <c r="X1320" s="77">
        <f>'Dropdown Lists'!$I$2*(1+OrdersTable[[#This Row],[Returned]])</f>
        <v>60</v>
      </c>
      <c r="Y1320" s="76">
        <f>OrdersTable[[#This Row],[Net Revenue]]-OrdersTable[[#This Row],[COGS]]-OrdersTable[[#This Row],[Shipping Cost]]</f>
        <v>550</v>
      </c>
      <c r="Z1320" s="78">
        <f>IFERROR(OrdersTable[[#This Row],[Profit]]/OrdersTable[[#This Row],[Net Revenue]],0)</f>
        <v>0.61247216035634744</v>
      </c>
      <c r="AA1320" t="s">
        <v>4450</v>
      </c>
      <c r="AB1320" s="79">
        <v>45557</v>
      </c>
      <c r="AC1320">
        <f>OrdersTable[[#This Row],[Delivery Date]]-OrdersTable[[#This Row],[Order Date]]</f>
        <v>2</v>
      </c>
      <c r="AD1320" t="str">
        <f>IF(OrdersTable[[#This Row],[Delivery Days]]&lt;=2, "Express (≤2d)", IF(OrdersTable[[#This Row],[Delivery Days]]&lt;=4, "Standard (3-4d)", "Delayed (5d+)"))</f>
        <v>Express (≤2d)</v>
      </c>
      <c r="AE1320">
        <v>3</v>
      </c>
      <c r="AF1320">
        <v>0</v>
      </c>
    </row>
    <row r="1321" spans="1:32" ht="15" x14ac:dyDescent="0.35">
      <c r="A1321" t="s">
        <v>1504</v>
      </c>
      <c r="B1321" s="1">
        <v>45555</v>
      </c>
      <c r="C1321">
        <f>YEAR(OrdersTable[[#This Row],[Order Date]])</f>
        <v>2024</v>
      </c>
      <c r="D1321" s="2">
        <f>DATE(YEAR(OrdersTable[[#This Row],[Order Date]]),MONTH(OrdersTable[[#This Row],[Order Date]]),1)</f>
        <v>45536</v>
      </c>
      <c r="E1321">
        <f>MONTH(OrdersTable[[#This Row],[Order Date]])</f>
        <v>9</v>
      </c>
      <c r="F1321" t="s">
        <v>1505</v>
      </c>
      <c r="G1321" t="str">
        <f>IF(OrdersTable[[#This Row],[Order Date]]=_xlfn.MINIFS(Order_Date, Customer_ID, OrdersTable[[#This Row],[Customer ID]]), "New", "Repeat")</f>
        <v>New</v>
      </c>
      <c r="H1321" t="s">
        <v>167</v>
      </c>
      <c r="I1321" t="str">
        <f>INDEX(State!B:B,MATCH(OrdersTable[[#This Row],[State]],State!A:A,0))</f>
        <v>KA</v>
      </c>
      <c r="J1321" t="str">
        <f>INDEX(State!C:C,MATCH(OrdersTable[[#This Row],[State Code]],State!B:B,0))</f>
        <v>South</v>
      </c>
      <c r="K1321" t="s">
        <v>190</v>
      </c>
      <c r="L1321" t="s">
        <v>39</v>
      </c>
      <c r="M1321" t="s">
        <v>106</v>
      </c>
      <c r="N1321" t="str">
        <f>INDEX(Products!B:B,MATCH(OrdersTable[[#This Row],[Product ID]],Products!A:A,0))</f>
        <v>Keratin Hair Mask</v>
      </c>
      <c r="O1321" t="str">
        <f>INDEX(Products!C:C,MATCH(OrdersTable[[#This Row],[Product ID]],Products!A:A,0))</f>
        <v>Haircare</v>
      </c>
      <c r="P1321">
        <v>1</v>
      </c>
      <c r="Q1321" s="5">
        <v>549</v>
      </c>
      <c r="R1321" s="74">
        <v>0.15</v>
      </c>
      <c r="S1321" s="75">
        <f>OrdersTable[[#This Row],[Quantity]]*OrdersTable[[#This Row],[Unit Price]]</f>
        <v>549</v>
      </c>
      <c r="T1321" s="5">
        <f>OrdersTable[[#This Row],[Gross Sale]]*OrdersTable[[#This Row],[Discount_Clean2]]</f>
        <v>82.35</v>
      </c>
      <c r="U1321" s="5">
        <f>OrdersTable[[#This Row],[Gross Sale]]-OrdersTable[[#This Row],[Discount Amount]]</f>
        <v>466.65</v>
      </c>
      <c r="V1321" s="77">
        <f>INDEX(Products!E:E,MATCH(OrdersTable[[#This Row],[Product ID]],Products!A:A,0))</f>
        <v>170</v>
      </c>
      <c r="W1321" s="77">
        <f>OrdersTable[[#This Row],[Quantity]]*OrdersTable[[#This Row],[Unit Cost]]</f>
        <v>170</v>
      </c>
      <c r="X1321" s="77">
        <f>'Dropdown Lists'!$I$2*(1+OrdersTable[[#This Row],[Returned]])</f>
        <v>60</v>
      </c>
      <c r="Y1321" s="76">
        <f>OrdersTable[[#This Row],[Net Revenue]]-OrdersTable[[#This Row],[COGS]]-OrdersTable[[#This Row],[Shipping Cost]]</f>
        <v>236.64999999999998</v>
      </c>
      <c r="Z1321" s="78">
        <f>IFERROR(OrdersTable[[#This Row],[Profit]]/OrdersTable[[#This Row],[Net Revenue]],0)</f>
        <v>0.50712525447337398</v>
      </c>
      <c r="AA1321" t="s">
        <v>18</v>
      </c>
      <c r="AB1321" s="79">
        <v>45558</v>
      </c>
      <c r="AC1321">
        <f>OrdersTable[[#This Row],[Delivery Date]]-OrdersTable[[#This Row],[Order Date]]</f>
        <v>3</v>
      </c>
      <c r="AD1321" t="str">
        <f>IF(OrdersTable[[#This Row],[Delivery Days]]&lt;=2, "Express (≤2d)", IF(OrdersTable[[#This Row],[Delivery Days]]&lt;=4, "Standard (3-4d)", "Delayed (5d+)"))</f>
        <v>Standard (3-4d)</v>
      </c>
      <c r="AF1321">
        <v>0</v>
      </c>
    </row>
    <row r="1322" spans="1:32" ht="15" x14ac:dyDescent="0.35">
      <c r="A1322" t="s">
        <v>6965</v>
      </c>
      <c r="B1322" s="1">
        <v>45555</v>
      </c>
      <c r="C1322">
        <f>YEAR(OrdersTable[[#This Row],[Order Date]])</f>
        <v>2024</v>
      </c>
      <c r="D1322" s="2">
        <f>DATE(YEAR(OrdersTable[[#This Row],[Order Date]]),MONTH(OrdersTable[[#This Row],[Order Date]]),1)</f>
        <v>45536</v>
      </c>
      <c r="E1322">
        <f>MONTH(OrdersTable[[#This Row],[Order Date]])</f>
        <v>9</v>
      </c>
      <c r="F1322" t="s">
        <v>6966</v>
      </c>
      <c r="G1322" t="str">
        <f>IF(OrdersTable[[#This Row],[Order Date]]=_xlfn.MINIFS(Order_Date, Customer_ID, OrdersTable[[#This Row],[Customer ID]]), "New", "Repeat")</f>
        <v>New</v>
      </c>
      <c r="H1322" t="s">
        <v>59</v>
      </c>
      <c r="I1322" t="str">
        <f>INDEX(State!B:B,MATCH(OrdersTable[[#This Row],[State]],State!A:A,0))</f>
        <v>TN</v>
      </c>
      <c r="J1322" t="str">
        <f>INDEX(State!C:C,MATCH(OrdersTable[[#This Row],[State Code]],State!B:B,0))</f>
        <v>South</v>
      </c>
      <c r="K1322" t="s">
        <v>64</v>
      </c>
      <c r="L1322" t="s">
        <v>39</v>
      </c>
      <c r="M1322" t="s">
        <v>228</v>
      </c>
      <c r="N1322" t="str">
        <f>INDEX(Products!B:B,MATCH(OrdersTable[[#This Row],[Product ID]],Products!A:A,0))</f>
        <v>Fast Charger 33W</v>
      </c>
      <c r="O1322" t="str">
        <f>INDEX(Products!C:C,MATCH(OrdersTable[[#This Row],[Product ID]],Products!A:A,0))</f>
        <v>Electronics</v>
      </c>
      <c r="P1322">
        <v>4</v>
      </c>
      <c r="Q1322" s="5">
        <v>899</v>
      </c>
      <c r="R1322" s="74">
        <v>0.1</v>
      </c>
      <c r="S1322" s="75">
        <f>OrdersTable[[#This Row],[Quantity]]*OrdersTable[[#This Row],[Unit Price]]</f>
        <v>3596</v>
      </c>
      <c r="T1322" s="5">
        <f>OrdersTable[[#This Row],[Gross Sale]]*OrdersTable[[#This Row],[Discount_Clean2]]</f>
        <v>359.6</v>
      </c>
      <c r="U1322" s="5">
        <f>OrdersTable[[#This Row],[Gross Sale]]-OrdersTable[[#This Row],[Discount Amount]]</f>
        <v>3236.4</v>
      </c>
      <c r="V1322" s="77">
        <f>INDEX(Products!E:E,MATCH(OrdersTable[[#This Row],[Product ID]],Products!A:A,0))</f>
        <v>494</v>
      </c>
      <c r="W1322" s="77">
        <f>OrdersTable[[#This Row],[Quantity]]*OrdersTable[[#This Row],[Unit Cost]]</f>
        <v>1976</v>
      </c>
      <c r="X1322" s="77">
        <f>'Dropdown Lists'!$I$2*(1+OrdersTable[[#This Row],[Returned]])</f>
        <v>60</v>
      </c>
      <c r="Y1322" s="76">
        <f>OrdersTable[[#This Row],[Net Revenue]]-OrdersTable[[#This Row],[COGS]]-OrdersTable[[#This Row],[Shipping Cost]]</f>
        <v>1200.4000000000001</v>
      </c>
      <c r="Z1322" s="78">
        <f>IFERROR(OrdersTable[[#This Row],[Profit]]/OrdersTable[[#This Row],[Net Revenue]],0)</f>
        <v>0.37090594487702389</v>
      </c>
      <c r="AA1322" t="s">
        <v>2522</v>
      </c>
      <c r="AB1322" s="79">
        <v>45559</v>
      </c>
      <c r="AC1322">
        <f>OrdersTable[[#This Row],[Delivery Date]]-OrdersTable[[#This Row],[Order Date]]</f>
        <v>4</v>
      </c>
      <c r="AD1322" t="str">
        <f>IF(OrdersTable[[#This Row],[Delivery Days]]&lt;=2, "Express (≤2d)", IF(OrdersTable[[#This Row],[Delivery Days]]&lt;=4, "Standard (3-4d)", "Delayed (5d+)"))</f>
        <v>Standard (3-4d)</v>
      </c>
      <c r="AF1322">
        <v>0</v>
      </c>
    </row>
    <row r="1323" spans="1:32" ht="15" x14ac:dyDescent="0.35">
      <c r="A1323" t="s">
        <v>4795</v>
      </c>
      <c r="B1323" s="1">
        <v>45556</v>
      </c>
      <c r="C1323">
        <f>YEAR(OrdersTable[[#This Row],[Order Date]])</f>
        <v>2024</v>
      </c>
      <c r="D1323" s="2">
        <f>DATE(YEAR(OrdersTable[[#This Row],[Order Date]]),MONTH(OrdersTable[[#This Row],[Order Date]]),1)</f>
        <v>45536</v>
      </c>
      <c r="E1323">
        <f>MONTH(OrdersTable[[#This Row],[Order Date]])</f>
        <v>9</v>
      </c>
      <c r="F1323" t="s">
        <v>671</v>
      </c>
      <c r="G1323" t="str">
        <f>IF(OrdersTable[[#This Row],[Order Date]]=_xlfn.MINIFS(Order_Date, Customer_ID, OrdersTable[[#This Row],[Customer ID]]), "New", "Repeat")</f>
        <v>New</v>
      </c>
      <c r="H1323" t="s">
        <v>21</v>
      </c>
      <c r="I1323" t="str">
        <f>INDEX(State!B:B,MATCH(OrdersTable[[#This Row],[State]],State!A:A,0))</f>
        <v>PB</v>
      </c>
      <c r="J1323" t="str">
        <f>INDEX(State!C:C,MATCH(OrdersTable[[#This Row],[State Code]],State!B:B,0))</f>
        <v>North</v>
      </c>
      <c r="K1323" t="s">
        <v>22</v>
      </c>
      <c r="L1323" t="s">
        <v>23</v>
      </c>
      <c r="M1323" t="s">
        <v>565</v>
      </c>
      <c r="N1323" t="str">
        <f>INDEX(Products!B:B,MATCH(OrdersTable[[#This Row],[Product ID]],Products!A:A,0))</f>
        <v>Ceramic Dinner Set</v>
      </c>
      <c r="O1323" t="str">
        <f>INDEX(Products!C:C,MATCH(OrdersTable[[#This Row],[Product ID]],Products!A:A,0))</f>
        <v>Home &amp; Kitchen</v>
      </c>
      <c r="P1323">
        <v>2</v>
      </c>
      <c r="Q1323" s="5">
        <v>2499</v>
      </c>
      <c r="R1323" s="74">
        <v>0.35</v>
      </c>
      <c r="S1323" s="75">
        <f>OrdersTable[[#This Row],[Quantity]]*OrdersTable[[#This Row],[Unit Price]]</f>
        <v>4998</v>
      </c>
      <c r="T1323" s="5">
        <f>OrdersTable[[#This Row],[Gross Sale]]*OrdersTable[[#This Row],[Discount_Clean2]]</f>
        <v>1749.3</v>
      </c>
      <c r="U1323" s="5">
        <f>OrdersTable[[#This Row],[Gross Sale]]-OrdersTable[[#This Row],[Discount Amount]]</f>
        <v>3248.7</v>
      </c>
      <c r="V1323" s="77">
        <f>INDEX(Products!E:E,MATCH(OrdersTable[[#This Row],[Product ID]],Products!A:A,0))</f>
        <v>1250</v>
      </c>
      <c r="W1323" s="77">
        <f>OrdersTable[[#This Row],[Quantity]]*OrdersTable[[#This Row],[Unit Cost]]</f>
        <v>2500</v>
      </c>
      <c r="X1323" s="77">
        <f>'Dropdown Lists'!$I$2*(1+OrdersTable[[#This Row],[Returned]])</f>
        <v>60</v>
      </c>
      <c r="Y1323" s="76">
        <f>OrdersTable[[#This Row],[Net Revenue]]-OrdersTable[[#This Row],[COGS]]-OrdersTable[[#This Row],[Shipping Cost]]</f>
        <v>688.69999999999982</v>
      </c>
      <c r="Z1323" s="78">
        <f>IFERROR(OrdersTable[[#This Row],[Profit]]/OrdersTable[[#This Row],[Net Revenue]],0)</f>
        <v>0.21199248930341363</v>
      </c>
      <c r="AA1323" t="s">
        <v>4450</v>
      </c>
      <c r="AB1323" s="79">
        <v>45557</v>
      </c>
      <c r="AC1323">
        <f>OrdersTable[[#This Row],[Delivery Date]]-OrdersTable[[#This Row],[Order Date]]</f>
        <v>1</v>
      </c>
      <c r="AD1323" t="str">
        <f>IF(OrdersTable[[#This Row],[Delivery Days]]&lt;=2, "Express (≤2d)", IF(OrdersTable[[#This Row],[Delivery Days]]&lt;=4, "Standard (3-4d)", "Delayed (5d+)"))</f>
        <v>Express (≤2d)</v>
      </c>
      <c r="AE1323">
        <v>5</v>
      </c>
      <c r="AF1323">
        <v>0</v>
      </c>
    </row>
    <row r="1324" spans="1:32" ht="15" x14ac:dyDescent="0.35">
      <c r="A1324" t="s">
        <v>182</v>
      </c>
      <c r="B1324" s="1">
        <v>45556</v>
      </c>
      <c r="C1324">
        <f>YEAR(OrdersTable[[#This Row],[Order Date]])</f>
        <v>2024</v>
      </c>
      <c r="D1324" s="2">
        <f>DATE(YEAR(OrdersTable[[#This Row],[Order Date]]),MONTH(OrdersTable[[#This Row],[Order Date]]),1)</f>
        <v>45536</v>
      </c>
      <c r="E1324">
        <f>MONTH(OrdersTable[[#This Row],[Order Date]])</f>
        <v>9</v>
      </c>
      <c r="F1324" t="s">
        <v>183</v>
      </c>
      <c r="G1324" t="str">
        <f>IF(OrdersTable[[#This Row],[Order Date]]=_xlfn.MINIFS(Order_Date, Customer_ID, OrdersTable[[#This Row],[Customer ID]]), "New", "Repeat")</f>
        <v>New</v>
      </c>
      <c r="H1324" t="s">
        <v>184</v>
      </c>
      <c r="I1324" t="str">
        <f>INDEX(State!B:B,MATCH(OrdersTable[[#This Row],[State]],State!A:A,0))</f>
        <v>UK</v>
      </c>
      <c r="J1324" t="str">
        <f>INDEX(State!C:C,MATCH(OrdersTable[[#This Row],[State Code]],State!B:B,0))</f>
        <v>North</v>
      </c>
      <c r="K1324" t="s">
        <v>185</v>
      </c>
      <c r="L1324" t="s">
        <v>16</v>
      </c>
      <c r="M1324" t="s">
        <v>34</v>
      </c>
      <c r="N1324" t="str">
        <f>INDEX(Products!B:B,MATCH(OrdersTable[[#This Row],[Product ID]],Products!A:A,0))</f>
        <v>Flip Flops</v>
      </c>
      <c r="O1324" t="str">
        <f>INDEX(Products!C:C,MATCH(OrdersTable[[#This Row],[Product ID]],Products!A:A,0))</f>
        <v>Footwear</v>
      </c>
      <c r="P1324">
        <v>1</v>
      </c>
      <c r="Q1324" s="5">
        <v>399</v>
      </c>
      <c r="R1324" s="74">
        <v>0.15</v>
      </c>
      <c r="S1324" s="75">
        <f>OrdersTable[[#This Row],[Quantity]]*OrdersTable[[#This Row],[Unit Price]]</f>
        <v>399</v>
      </c>
      <c r="T1324" s="5">
        <f>OrdersTable[[#This Row],[Gross Sale]]*OrdersTable[[#This Row],[Discount_Clean2]]</f>
        <v>59.849999999999994</v>
      </c>
      <c r="U1324" s="5">
        <f>OrdersTable[[#This Row],[Gross Sale]]-OrdersTable[[#This Row],[Discount Amount]]</f>
        <v>339.15</v>
      </c>
      <c r="V1324" s="77">
        <f>INDEX(Products!E:E,MATCH(OrdersTable[[#This Row],[Product ID]],Products!A:A,0))</f>
        <v>152</v>
      </c>
      <c r="W1324" s="77">
        <f>OrdersTable[[#This Row],[Quantity]]*OrdersTable[[#This Row],[Unit Cost]]</f>
        <v>152</v>
      </c>
      <c r="X1324" s="77">
        <f>'Dropdown Lists'!$I$2*(1+OrdersTable[[#This Row],[Returned]])</f>
        <v>60</v>
      </c>
      <c r="Y1324" s="76">
        <f>OrdersTable[[#This Row],[Net Revenue]]-OrdersTable[[#This Row],[COGS]]-OrdersTable[[#This Row],[Shipping Cost]]</f>
        <v>127.14999999999998</v>
      </c>
      <c r="Z1324" s="78">
        <f>IFERROR(OrdersTable[[#This Row],[Profit]]/OrdersTable[[#This Row],[Net Revenue]],0)</f>
        <v>0.37490785787999409</v>
      </c>
      <c r="AA1324" t="s">
        <v>18</v>
      </c>
      <c r="AB1324" s="79">
        <v>45559</v>
      </c>
      <c r="AC1324">
        <f>OrdersTable[[#This Row],[Delivery Date]]-OrdersTable[[#This Row],[Order Date]]</f>
        <v>3</v>
      </c>
      <c r="AD1324" t="str">
        <f>IF(OrdersTable[[#This Row],[Delivery Days]]&lt;=2, "Express (≤2d)", IF(OrdersTable[[#This Row],[Delivery Days]]&lt;=4, "Standard (3-4d)", "Delayed (5d+)"))</f>
        <v>Standard (3-4d)</v>
      </c>
      <c r="AE1324">
        <v>4</v>
      </c>
      <c r="AF1324">
        <v>0</v>
      </c>
    </row>
    <row r="1325" spans="1:32" ht="15" x14ac:dyDescent="0.35">
      <c r="A1325" t="s">
        <v>2572</v>
      </c>
      <c r="B1325" s="1">
        <v>45556</v>
      </c>
      <c r="C1325">
        <f>YEAR(OrdersTable[[#This Row],[Order Date]])</f>
        <v>2024</v>
      </c>
      <c r="D1325" s="2">
        <f>DATE(YEAR(OrdersTable[[#This Row],[Order Date]]),MONTH(OrdersTable[[#This Row],[Order Date]]),1)</f>
        <v>45536</v>
      </c>
      <c r="E1325">
        <f>MONTH(OrdersTable[[#This Row],[Order Date]])</f>
        <v>9</v>
      </c>
      <c r="F1325" t="s">
        <v>2573</v>
      </c>
      <c r="G1325" t="str">
        <f>IF(OrdersTable[[#This Row],[Order Date]]=_xlfn.MINIFS(Order_Date, Customer_ID, OrdersTable[[#This Row],[Customer ID]]), "New", "Repeat")</f>
        <v>Repeat</v>
      </c>
      <c r="H1325" t="s">
        <v>54</v>
      </c>
      <c r="I1325" t="str">
        <f>INDEX(State!B:B,MATCH(OrdersTable[[#This Row],[State]],State!A:A,0))</f>
        <v>RJ</v>
      </c>
      <c r="J1325" t="str">
        <f>INDEX(State!C:C,MATCH(OrdersTable[[#This Row],[State Code]],State!B:B,0))</f>
        <v>North</v>
      </c>
      <c r="K1325" t="s">
        <v>55</v>
      </c>
      <c r="L1325" t="s">
        <v>50</v>
      </c>
      <c r="M1325" t="s">
        <v>73</v>
      </c>
      <c r="N1325" t="str">
        <f>INDEX(Products!B:B,MATCH(OrdersTable[[#This Row],[Product ID]],Products!A:A,0))</f>
        <v>Hydrating Face Wash</v>
      </c>
      <c r="O1325" t="str">
        <f>INDEX(Products!C:C,MATCH(OrdersTable[[#This Row],[Product ID]],Products!A:A,0))</f>
        <v>Skincare</v>
      </c>
      <c r="P1325">
        <v>1</v>
      </c>
      <c r="Q1325" s="5">
        <v>299</v>
      </c>
      <c r="R1325" s="74">
        <v>0</v>
      </c>
      <c r="S1325" s="75">
        <f>OrdersTable[[#This Row],[Quantity]]*OrdersTable[[#This Row],[Unit Price]]</f>
        <v>299</v>
      </c>
      <c r="T1325" s="5">
        <f>OrdersTable[[#This Row],[Gross Sale]]*OrdersTable[[#This Row],[Discount_Clean2]]</f>
        <v>0</v>
      </c>
      <c r="U1325" s="5">
        <f>OrdersTable[[#This Row],[Gross Sale]]-OrdersTable[[#This Row],[Discount Amount]]</f>
        <v>299</v>
      </c>
      <c r="V1325" s="77">
        <f>INDEX(Products!E:E,MATCH(OrdersTable[[#This Row],[Product ID]],Products!A:A,0))</f>
        <v>90</v>
      </c>
      <c r="W1325" s="77">
        <f>OrdersTable[[#This Row],[Quantity]]*OrdersTable[[#This Row],[Unit Cost]]</f>
        <v>90</v>
      </c>
      <c r="X1325" s="77">
        <f>'Dropdown Lists'!$I$2*(1+OrdersTable[[#This Row],[Returned]])</f>
        <v>60</v>
      </c>
      <c r="Y1325" s="76">
        <f>OrdersTable[[#This Row],[Net Revenue]]-OrdersTable[[#This Row],[COGS]]-OrdersTable[[#This Row],[Shipping Cost]]</f>
        <v>149</v>
      </c>
      <c r="Z1325" s="78">
        <f>IFERROR(OrdersTable[[#This Row],[Profit]]/OrdersTable[[#This Row],[Net Revenue]],0)</f>
        <v>0.49832775919732442</v>
      </c>
      <c r="AA1325" t="s">
        <v>2522</v>
      </c>
      <c r="AB1325" s="79">
        <v>45560</v>
      </c>
      <c r="AC1325">
        <f>OrdersTable[[#This Row],[Delivery Date]]-OrdersTable[[#This Row],[Order Date]]</f>
        <v>4</v>
      </c>
      <c r="AD1325" t="str">
        <f>IF(OrdersTable[[#This Row],[Delivery Days]]&lt;=2, "Express (≤2d)", IF(OrdersTable[[#This Row],[Delivery Days]]&lt;=4, "Standard (3-4d)", "Delayed (5d+)"))</f>
        <v>Standard (3-4d)</v>
      </c>
      <c r="AE1325">
        <v>5</v>
      </c>
      <c r="AF1325">
        <v>0</v>
      </c>
    </row>
    <row r="1326" spans="1:32" ht="15" x14ac:dyDescent="0.35">
      <c r="A1326" t="s">
        <v>5489</v>
      </c>
      <c r="B1326" s="1">
        <v>45556</v>
      </c>
      <c r="C1326">
        <f>YEAR(OrdersTable[[#This Row],[Order Date]])</f>
        <v>2024</v>
      </c>
      <c r="D1326" s="2">
        <f>DATE(YEAR(OrdersTable[[#This Row],[Order Date]]),MONTH(OrdersTable[[#This Row],[Order Date]]),1)</f>
        <v>45536</v>
      </c>
      <c r="E1326">
        <f>MONTH(OrdersTable[[#This Row],[Order Date]])</f>
        <v>9</v>
      </c>
      <c r="F1326" t="s">
        <v>2433</v>
      </c>
      <c r="G1326" t="str">
        <f>IF(OrdersTable[[#This Row],[Order Date]]=_xlfn.MINIFS(Order_Date, Customer_ID, OrdersTable[[#This Row],[Customer ID]]), "New", "Repeat")</f>
        <v>New</v>
      </c>
      <c r="H1326" t="s">
        <v>48</v>
      </c>
      <c r="I1326" t="str">
        <f>INDEX(State!B:B,MATCH(OrdersTable[[#This Row],[State]],State!A:A,0))</f>
        <v>HR</v>
      </c>
      <c r="J1326" t="str">
        <f>INDEX(State!C:C,MATCH(OrdersTable[[#This Row],[State Code]],State!B:B,0))</f>
        <v>North</v>
      </c>
      <c r="K1326" t="s">
        <v>151</v>
      </c>
      <c r="L1326" t="s">
        <v>65</v>
      </c>
      <c r="M1326" t="s">
        <v>56</v>
      </c>
      <c r="N1326" t="str">
        <f>INDEX(Products!B:B,MATCH(OrdersTable[[#This Row],[Product ID]],Products!A:A,0))</f>
        <v>Vitamin C Face Serum</v>
      </c>
      <c r="O1326" t="str">
        <f>INDEX(Products!C:C,MATCH(OrdersTable[[#This Row],[Product ID]],Products!A:A,0))</f>
        <v>Skincare</v>
      </c>
      <c r="P1326">
        <v>2</v>
      </c>
      <c r="Q1326" s="5">
        <v>599</v>
      </c>
      <c r="R1326" s="74">
        <v>0.25</v>
      </c>
      <c r="S1326" s="75">
        <f>OrdersTable[[#This Row],[Quantity]]*OrdersTable[[#This Row],[Unit Price]]</f>
        <v>1198</v>
      </c>
      <c r="T1326" s="5">
        <f>OrdersTable[[#This Row],[Gross Sale]]*OrdersTable[[#This Row],[Discount_Clean2]]</f>
        <v>299.5</v>
      </c>
      <c r="U1326" s="5">
        <f>OrdersTable[[#This Row],[Gross Sale]]-OrdersTable[[#This Row],[Discount Amount]]</f>
        <v>898.5</v>
      </c>
      <c r="V1326" s="77">
        <f>INDEX(Products!E:E,MATCH(OrdersTable[[#This Row],[Product ID]],Products!A:A,0))</f>
        <v>180</v>
      </c>
      <c r="W1326" s="77">
        <f>OrdersTable[[#This Row],[Quantity]]*OrdersTable[[#This Row],[Unit Cost]]</f>
        <v>360</v>
      </c>
      <c r="X1326" s="77">
        <f>'Dropdown Lists'!$I$2*(1+OrdersTable[[#This Row],[Returned]])</f>
        <v>60</v>
      </c>
      <c r="Y1326" s="76">
        <f>OrdersTable[[#This Row],[Net Revenue]]-OrdersTable[[#This Row],[COGS]]-OrdersTable[[#This Row],[Shipping Cost]]</f>
        <v>478.5</v>
      </c>
      <c r="Z1326" s="78">
        <f>IFERROR(OrdersTable[[#This Row],[Profit]]/OrdersTable[[#This Row],[Net Revenue]],0)</f>
        <v>0.53255425709515858</v>
      </c>
      <c r="AA1326" t="s">
        <v>2522</v>
      </c>
      <c r="AB1326" s="79">
        <v>45558</v>
      </c>
      <c r="AC1326">
        <f>OrdersTable[[#This Row],[Delivery Date]]-OrdersTable[[#This Row],[Order Date]]</f>
        <v>2</v>
      </c>
      <c r="AD1326" t="str">
        <f>IF(OrdersTable[[#This Row],[Delivery Days]]&lt;=2, "Express (≤2d)", IF(OrdersTable[[#This Row],[Delivery Days]]&lt;=4, "Standard (3-4d)", "Delayed (5d+)"))</f>
        <v>Express (≤2d)</v>
      </c>
      <c r="AE1326">
        <v>4</v>
      </c>
      <c r="AF1326">
        <v>0</v>
      </c>
    </row>
    <row r="1327" spans="1:32" ht="15" x14ac:dyDescent="0.35">
      <c r="A1327" t="s">
        <v>2737</v>
      </c>
      <c r="B1327" s="1">
        <v>45556</v>
      </c>
      <c r="C1327">
        <f>YEAR(OrdersTable[[#This Row],[Order Date]])</f>
        <v>2024</v>
      </c>
      <c r="D1327" s="2">
        <f>DATE(YEAR(OrdersTable[[#This Row],[Order Date]]),MONTH(OrdersTable[[#This Row],[Order Date]]),1)</f>
        <v>45536</v>
      </c>
      <c r="E1327">
        <f>MONTH(OrdersTable[[#This Row],[Order Date]])</f>
        <v>9</v>
      </c>
      <c r="F1327" t="s">
        <v>2738</v>
      </c>
      <c r="G1327" t="str">
        <f>IF(OrdersTable[[#This Row],[Order Date]]=_xlfn.MINIFS(Order_Date, Customer_ID, OrdersTable[[#This Row],[Customer ID]]), "New", "Repeat")</f>
        <v>New</v>
      </c>
      <c r="H1327" t="s">
        <v>76</v>
      </c>
      <c r="I1327" t="str">
        <f>INDEX(State!B:B,MATCH(OrdersTable[[#This Row],[State]],State!A:A,0))</f>
        <v>UP</v>
      </c>
      <c r="J1327" t="str">
        <f>INDEX(State!C:C,MATCH(OrdersTable[[#This Row],[State Code]],State!B:B,0))</f>
        <v>North</v>
      </c>
      <c r="K1327" t="s">
        <v>118</v>
      </c>
      <c r="L1327" t="s">
        <v>39</v>
      </c>
      <c r="M1327" t="s">
        <v>56</v>
      </c>
      <c r="N1327" t="str">
        <f>INDEX(Products!B:B,MATCH(OrdersTable[[#This Row],[Product ID]],Products!A:A,0))</f>
        <v>Vitamin C Face Serum</v>
      </c>
      <c r="O1327" t="str">
        <f>INDEX(Products!C:C,MATCH(OrdersTable[[#This Row],[Product ID]],Products!A:A,0))</f>
        <v>Skincare</v>
      </c>
      <c r="P1327">
        <v>1</v>
      </c>
      <c r="Q1327" s="5">
        <v>599</v>
      </c>
      <c r="R1327" s="74">
        <v>0.05</v>
      </c>
      <c r="S1327" s="75">
        <f>OrdersTable[[#This Row],[Quantity]]*OrdersTable[[#This Row],[Unit Price]]</f>
        <v>599</v>
      </c>
      <c r="T1327" s="5">
        <f>OrdersTable[[#This Row],[Gross Sale]]*OrdersTable[[#This Row],[Discount_Clean2]]</f>
        <v>29.950000000000003</v>
      </c>
      <c r="U1327" s="5">
        <f>OrdersTable[[#This Row],[Gross Sale]]-OrdersTable[[#This Row],[Discount Amount]]</f>
        <v>569.04999999999995</v>
      </c>
      <c r="V1327" s="77">
        <f>INDEX(Products!E:E,MATCH(OrdersTable[[#This Row],[Product ID]],Products!A:A,0))</f>
        <v>180</v>
      </c>
      <c r="W1327" s="77">
        <f>OrdersTable[[#This Row],[Quantity]]*OrdersTable[[#This Row],[Unit Cost]]</f>
        <v>180</v>
      </c>
      <c r="X1327" s="77">
        <f>'Dropdown Lists'!$I$2*(1+OrdersTable[[#This Row],[Returned]])</f>
        <v>120</v>
      </c>
      <c r="Y1327" s="76">
        <f>OrdersTable[[#This Row],[Net Revenue]]-OrdersTable[[#This Row],[COGS]]-OrdersTable[[#This Row],[Shipping Cost]]</f>
        <v>269.04999999999995</v>
      </c>
      <c r="Z1327" s="78">
        <f>IFERROR(OrdersTable[[#This Row],[Profit]]/OrdersTable[[#This Row],[Net Revenue]],0)</f>
        <v>0.47280555311484046</v>
      </c>
      <c r="AA1327" t="s">
        <v>2522</v>
      </c>
      <c r="AB1327" s="79">
        <v>45559</v>
      </c>
      <c r="AC1327">
        <f>OrdersTable[[#This Row],[Delivery Date]]-OrdersTable[[#This Row],[Order Date]]</f>
        <v>3</v>
      </c>
      <c r="AD1327" t="str">
        <f>IF(OrdersTable[[#This Row],[Delivery Days]]&lt;=2, "Express (≤2d)", IF(OrdersTable[[#This Row],[Delivery Days]]&lt;=4, "Standard (3-4d)", "Delayed (5d+)"))</f>
        <v>Standard (3-4d)</v>
      </c>
      <c r="AE1327">
        <v>3</v>
      </c>
      <c r="AF1327">
        <v>1</v>
      </c>
    </row>
    <row r="1328" spans="1:32" ht="15" x14ac:dyDescent="0.35">
      <c r="A1328" t="s">
        <v>4676</v>
      </c>
      <c r="B1328" s="1">
        <v>45556</v>
      </c>
      <c r="C1328">
        <f>YEAR(OrdersTable[[#This Row],[Order Date]])</f>
        <v>2024</v>
      </c>
      <c r="D1328" s="2">
        <f>DATE(YEAR(OrdersTable[[#This Row],[Order Date]]),MONTH(OrdersTable[[#This Row],[Order Date]]),1)</f>
        <v>45536</v>
      </c>
      <c r="E1328">
        <f>MONTH(OrdersTable[[#This Row],[Order Date]])</f>
        <v>9</v>
      </c>
      <c r="F1328" t="s">
        <v>315</v>
      </c>
      <c r="G1328" t="str">
        <f>IF(OrdersTable[[#This Row],[Order Date]]=_xlfn.MINIFS(Order_Date, Customer_ID, OrdersTable[[#This Row],[Customer ID]]), "New", "Repeat")</f>
        <v>New</v>
      </c>
      <c r="H1328" t="s">
        <v>71</v>
      </c>
      <c r="I1328" t="str">
        <f>INDEX(State!B:B,MATCH(OrdersTable[[#This Row],[State]],State!A:A,0))</f>
        <v>MH</v>
      </c>
      <c r="J1328" t="str">
        <f>INDEX(State!C:C,MATCH(OrdersTable[[#This Row],[State Code]],State!B:B,0))</f>
        <v>West</v>
      </c>
      <c r="K1328" t="s">
        <v>102</v>
      </c>
      <c r="L1328" t="s">
        <v>16</v>
      </c>
      <c r="M1328" t="s">
        <v>34</v>
      </c>
      <c r="N1328" t="str">
        <f>INDEX(Products!B:B,MATCH(OrdersTable[[#This Row],[Product ID]],Products!A:A,0))</f>
        <v>Flip Flops</v>
      </c>
      <c r="O1328" t="str">
        <f>INDEX(Products!C:C,MATCH(OrdersTable[[#This Row],[Product ID]],Products!A:A,0))</f>
        <v>Footwear</v>
      </c>
      <c r="P1328">
        <v>1</v>
      </c>
      <c r="Q1328" s="5">
        <v>399</v>
      </c>
      <c r="R1328" s="74">
        <v>0.05</v>
      </c>
      <c r="S1328" s="75">
        <f>OrdersTable[[#This Row],[Quantity]]*OrdersTable[[#This Row],[Unit Price]]</f>
        <v>399</v>
      </c>
      <c r="T1328" s="5">
        <f>OrdersTable[[#This Row],[Gross Sale]]*OrdersTable[[#This Row],[Discount_Clean2]]</f>
        <v>19.950000000000003</v>
      </c>
      <c r="U1328" s="5">
        <f>OrdersTable[[#This Row],[Gross Sale]]-OrdersTable[[#This Row],[Discount Amount]]</f>
        <v>379.05</v>
      </c>
      <c r="V1328" s="77">
        <f>INDEX(Products!E:E,MATCH(OrdersTable[[#This Row],[Product ID]],Products!A:A,0))</f>
        <v>152</v>
      </c>
      <c r="W1328" s="77">
        <f>OrdersTable[[#This Row],[Quantity]]*OrdersTable[[#This Row],[Unit Cost]]</f>
        <v>152</v>
      </c>
      <c r="X1328" s="77">
        <f>'Dropdown Lists'!$I$2*(1+OrdersTable[[#This Row],[Returned]])</f>
        <v>60</v>
      </c>
      <c r="Y1328" s="76">
        <f>OrdersTable[[#This Row],[Net Revenue]]-OrdersTable[[#This Row],[COGS]]-OrdersTable[[#This Row],[Shipping Cost]]</f>
        <v>167.05</v>
      </c>
      <c r="Z1328" s="78">
        <f>IFERROR(OrdersTable[[#This Row],[Profit]]/OrdersTable[[#This Row],[Net Revenue]],0)</f>
        <v>0.44070703073473161</v>
      </c>
      <c r="AA1328" t="s">
        <v>4450</v>
      </c>
      <c r="AB1328" s="79">
        <v>45557</v>
      </c>
      <c r="AC1328">
        <f>OrdersTable[[#This Row],[Delivery Date]]-OrdersTable[[#This Row],[Order Date]]</f>
        <v>1</v>
      </c>
      <c r="AD1328" t="str">
        <f>IF(OrdersTable[[#This Row],[Delivery Days]]&lt;=2, "Express (≤2d)", IF(OrdersTable[[#This Row],[Delivery Days]]&lt;=4, "Standard (3-4d)", "Delayed (5d+)"))</f>
        <v>Express (≤2d)</v>
      </c>
      <c r="AE1328">
        <v>5</v>
      </c>
      <c r="AF1328">
        <v>0</v>
      </c>
    </row>
    <row r="1329" spans="1:32" ht="15" x14ac:dyDescent="0.35">
      <c r="A1329" t="s">
        <v>6862</v>
      </c>
      <c r="B1329" s="1">
        <v>45556</v>
      </c>
      <c r="C1329">
        <f>YEAR(OrdersTable[[#This Row],[Order Date]])</f>
        <v>2024</v>
      </c>
      <c r="D1329" s="2">
        <f>DATE(YEAR(OrdersTable[[#This Row],[Order Date]]),MONTH(OrdersTable[[#This Row],[Order Date]]),1)</f>
        <v>45536</v>
      </c>
      <c r="E1329">
        <f>MONTH(OrdersTable[[#This Row],[Order Date]])</f>
        <v>9</v>
      </c>
      <c r="F1329" t="s">
        <v>6863</v>
      </c>
      <c r="G1329" t="str">
        <f>IF(OrdersTable[[#This Row],[Order Date]]=_xlfn.MINIFS(Order_Date, Customer_ID, OrdersTable[[#This Row],[Customer ID]]), "New", "Repeat")</f>
        <v>New</v>
      </c>
      <c r="H1329" t="s">
        <v>14</v>
      </c>
      <c r="I1329" t="str">
        <f>INDEX(State!B:B,MATCH(OrdersTable[[#This Row],[State]],State!A:A,0))</f>
        <v>OD</v>
      </c>
      <c r="J1329" t="str">
        <f>INDEX(State!C:C,MATCH(OrdersTable[[#This Row],[State Code]],State!B:B,0))</f>
        <v>East</v>
      </c>
      <c r="K1329" t="s">
        <v>15</v>
      </c>
      <c r="L1329" t="s">
        <v>39</v>
      </c>
      <c r="M1329" t="s">
        <v>73</v>
      </c>
      <c r="N1329" t="str">
        <f>INDEX(Products!B:B,MATCH(OrdersTable[[#This Row],[Product ID]],Products!A:A,0))</f>
        <v>Hydrating Face Wash</v>
      </c>
      <c r="O1329" t="str">
        <f>INDEX(Products!C:C,MATCH(OrdersTable[[#This Row],[Product ID]],Products!A:A,0))</f>
        <v>Skincare</v>
      </c>
      <c r="P1329">
        <v>3</v>
      </c>
      <c r="Q1329" s="5">
        <v>299</v>
      </c>
      <c r="R1329" s="74">
        <v>0</v>
      </c>
      <c r="S1329" s="75">
        <f>OrdersTable[[#This Row],[Quantity]]*OrdersTable[[#This Row],[Unit Price]]</f>
        <v>897</v>
      </c>
      <c r="T1329" s="5">
        <f>OrdersTable[[#This Row],[Gross Sale]]*OrdersTable[[#This Row],[Discount_Clean2]]</f>
        <v>0</v>
      </c>
      <c r="U1329" s="5">
        <f>OrdersTable[[#This Row],[Gross Sale]]-OrdersTable[[#This Row],[Discount Amount]]</f>
        <v>897</v>
      </c>
      <c r="V1329" s="77">
        <f>INDEX(Products!E:E,MATCH(OrdersTable[[#This Row],[Product ID]],Products!A:A,0))</f>
        <v>90</v>
      </c>
      <c r="W1329" s="77">
        <f>OrdersTable[[#This Row],[Quantity]]*OrdersTable[[#This Row],[Unit Cost]]</f>
        <v>270</v>
      </c>
      <c r="X1329" s="77">
        <f>'Dropdown Lists'!$I$2*(1+OrdersTable[[#This Row],[Returned]])</f>
        <v>60</v>
      </c>
      <c r="Y1329" s="76">
        <f>OrdersTable[[#This Row],[Net Revenue]]-OrdersTable[[#This Row],[COGS]]-OrdersTable[[#This Row],[Shipping Cost]]</f>
        <v>567</v>
      </c>
      <c r="Z1329" s="78">
        <f>IFERROR(OrdersTable[[#This Row],[Profit]]/OrdersTable[[#This Row],[Net Revenue]],0)</f>
        <v>0.63210702341137126</v>
      </c>
      <c r="AA1329" t="s">
        <v>4450</v>
      </c>
      <c r="AB1329" s="79">
        <v>45559</v>
      </c>
      <c r="AC1329">
        <f>OrdersTable[[#This Row],[Delivery Date]]-OrdersTable[[#This Row],[Order Date]]</f>
        <v>3</v>
      </c>
      <c r="AD1329" t="str">
        <f>IF(OrdersTable[[#This Row],[Delivery Days]]&lt;=2, "Express (≤2d)", IF(OrdersTable[[#This Row],[Delivery Days]]&lt;=4, "Standard (3-4d)", "Delayed (5d+)"))</f>
        <v>Standard (3-4d)</v>
      </c>
      <c r="AE1329">
        <v>3</v>
      </c>
      <c r="AF1329">
        <v>0</v>
      </c>
    </row>
    <row r="1330" spans="1:32" ht="15" x14ac:dyDescent="0.35">
      <c r="A1330" t="s">
        <v>3987</v>
      </c>
      <c r="B1330" s="1">
        <v>45557</v>
      </c>
      <c r="C1330">
        <f>YEAR(OrdersTable[[#This Row],[Order Date]])</f>
        <v>2024</v>
      </c>
      <c r="D1330" s="2">
        <f>DATE(YEAR(OrdersTable[[#This Row],[Order Date]]),MONTH(OrdersTable[[#This Row],[Order Date]]),1)</f>
        <v>45536</v>
      </c>
      <c r="E1330">
        <f>MONTH(OrdersTable[[#This Row],[Order Date]])</f>
        <v>9</v>
      </c>
      <c r="F1330" t="s">
        <v>955</v>
      </c>
      <c r="G1330" t="str">
        <f>IF(OrdersTable[[#This Row],[Order Date]]=_xlfn.MINIFS(Order_Date, Customer_ID, OrdersTable[[#This Row],[Customer ID]]), "New", "Repeat")</f>
        <v>Repeat</v>
      </c>
      <c r="H1330" t="s">
        <v>21</v>
      </c>
      <c r="I1330" t="str">
        <f>INDEX(State!B:B,MATCH(OrdersTable[[#This Row],[State]],State!A:A,0))</f>
        <v>PB</v>
      </c>
      <c r="J1330" t="str">
        <f>INDEX(State!C:C,MATCH(OrdersTable[[#This Row],[State Code]],State!B:B,0))</f>
        <v>North</v>
      </c>
      <c r="K1330" t="s">
        <v>260</v>
      </c>
      <c r="L1330" t="s">
        <v>65</v>
      </c>
      <c r="M1330" t="s">
        <v>34</v>
      </c>
      <c r="N1330" t="str">
        <f>INDEX(Products!B:B,MATCH(OrdersTable[[#This Row],[Product ID]],Products!A:A,0))</f>
        <v>Flip Flops</v>
      </c>
      <c r="O1330" t="str">
        <f>INDEX(Products!C:C,MATCH(OrdersTable[[#This Row],[Product ID]],Products!A:A,0))</f>
        <v>Footwear</v>
      </c>
      <c r="P1330">
        <v>1</v>
      </c>
      <c r="Q1330" s="5">
        <v>399</v>
      </c>
      <c r="R1330" s="74">
        <v>0.05</v>
      </c>
      <c r="S1330" s="75">
        <f>OrdersTable[[#This Row],[Quantity]]*OrdersTable[[#This Row],[Unit Price]]</f>
        <v>399</v>
      </c>
      <c r="T1330" s="5">
        <f>OrdersTable[[#This Row],[Gross Sale]]*OrdersTable[[#This Row],[Discount_Clean2]]</f>
        <v>19.950000000000003</v>
      </c>
      <c r="U1330" s="5">
        <f>OrdersTable[[#This Row],[Gross Sale]]-OrdersTable[[#This Row],[Discount Amount]]</f>
        <v>379.05</v>
      </c>
      <c r="V1330" s="77">
        <f>INDEX(Products!E:E,MATCH(OrdersTable[[#This Row],[Product ID]],Products!A:A,0))</f>
        <v>152</v>
      </c>
      <c r="W1330" s="77">
        <f>OrdersTable[[#This Row],[Quantity]]*OrdersTable[[#This Row],[Unit Cost]]</f>
        <v>152</v>
      </c>
      <c r="X1330" s="77">
        <f>'Dropdown Lists'!$I$2*(1+OrdersTable[[#This Row],[Returned]])</f>
        <v>60</v>
      </c>
      <c r="Y1330" s="76">
        <f>OrdersTable[[#This Row],[Net Revenue]]-OrdersTable[[#This Row],[COGS]]-OrdersTable[[#This Row],[Shipping Cost]]</f>
        <v>167.05</v>
      </c>
      <c r="Z1330" s="78">
        <f>IFERROR(OrdersTable[[#This Row],[Profit]]/OrdersTable[[#This Row],[Net Revenue]],0)</f>
        <v>0.44070703073473161</v>
      </c>
      <c r="AA1330" t="s">
        <v>3495</v>
      </c>
      <c r="AB1330" s="79">
        <v>45560</v>
      </c>
      <c r="AC1330">
        <f>OrdersTable[[#This Row],[Delivery Date]]-OrdersTable[[#This Row],[Order Date]]</f>
        <v>3</v>
      </c>
      <c r="AD1330" t="str">
        <f>IF(OrdersTable[[#This Row],[Delivery Days]]&lt;=2, "Express (≤2d)", IF(OrdersTable[[#This Row],[Delivery Days]]&lt;=4, "Standard (3-4d)", "Delayed (5d+)"))</f>
        <v>Standard (3-4d)</v>
      </c>
      <c r="AE1330">
        <v>5</v>
      </c>
      <c r="AF1330">
        <v>0</v>
      </c>
    </row>
    <row r="1331" spans="1:32" ht="15" x14ac:dyDescent="0.35">
      <c r="A1331" t="s">
        <v>2309</v>
      </c>
      <c r="B1331" s="1">
        <v>45557</v>
      </c>
      <c r="C1331">
        <f>YEAR(OrdersTable[[#This Row],[Order Date]])</f>
        <v>2024</v>
      </c>
      <c r="D1331" s="2">
        <f>DATE(YEAR(OrdersTable[[#This Row],[Order Date]]),MONTH(OrdersTable[[#This Row],[Order Date]]),1)</f>
        <v>45536</v>
      </c>
      <c r="E1331">
        <f>MONTH(OrdersTable[[#This Row],[Order Date]])</f>
        <v>9</v>
      </c>
      <c r="F1331" t="s">
        <v>2012</v>
      </c>
      <c r="G1331" t="str">
        <f>IF(OrdersTable[[#This Row],[Order Date]]=_xlfn.MINIFS(Order_Date, Customer_ID, OrdersTable[[#This Row],[Customer ID]]), "New", "Repeat")</f>
        <v>Repeat</v>
      </c>
      <c r="H1331" t="s">
        <v>54</v>
      </c>
      <c r="I1331" t="str">
        <f>INDEX(State!B:B,MATCH(OrdersTable[[#This Row],[State]],State!A:A,0))</f>
        <v>RJ</v>
      </c>
      <c r="J1331" t="str">
        <f>INDEX(State!C:C,MATCH(OrdersTable[[#This Row],[State Code]],State!B:B,0))</f>
        <v>North</v>
      </c>
      <c r="K1331" t="s">
        <v>55</v>
      </c>
      <c r="L1331" t="s">
        <v>50</v>
      </c>
      <c r="M1331" t="s">
        <v>160</v>
      </c>
      <c r="N1331" t="str">
        <f>INDEX(Products!B:B,MATCH(OrdersTable[[#This Row],[Product ID]],Products!A:A,0))</f>
        <v>Niacinamide Toner</v>
      </c>
      <c r="O1331" t="str">
        <f>INDEX(Products!C:C,MATCH(OrdersTable[[#This Row],[Product ID]],Products!A:A,0))</f>
        <v>Skincare</v>
      </c>
      <c r="P1331">
        <v>1</v>
      </c>
      <c r="Q1331" s="5">
        <v>399</v>
      </c>
      <c r="R1331" s="74">
        <v>0.2</v>
      </c>
      <c r="S1331" s="75">
        <f>OrdersTable[[#This Row],[Quantity]]*OrdersTable[[#This Row],[Unit Price]]</f>
        <v>399</v>
      </c>
      <c r="T1331" s="5">
        <f>OrdersTable[[#This Row],[Gross Sale]]*OrdersTable[[#This Row],[Discount_Clean2]]</f>
        <v>79.800000000000011</v>
      </c>
      <c r="U1331" s="5">
        <f>OrdersTable[[#This Row],[Gross Sale]]-OrdersTable[[#This Row],[Discount Amount]]</f>
        <v>319.2</v>
      </c>
      <c r="V1331" s="77">
        <f>INDEX(Products!E:E,MATCH(OrdersTable[[#This Row],[Product ID]],Products!A:A,0))</f>
        <v>112</v>
      </c>
      <c r="W1331" s="77">
        <f>OrdersTable[[#This Row],[Quantity]]*OrdersTable[[#This Row],[Unit Cost]]</f>
        <v>112</v>
      </c>
      <c r="X1331" s="77">
        <f>'Dropdown Lists'!$I$2*(1+OrdersTable[[#This Row],[Returned]])</f>
        <v>60</v>
      </c>
      <c r="Y1331" s="76">
        <f>OrdersTable[[#This Row],[Net Revenue]]-OrdersTable[[#This Row],[COGS]]-OrdersTable[[#This Row],[Shipping Cost]]</f>
        <v>147.19999999999999</v>
      </c>
      <c r="Z1331" s="78">
        <f>IFERROR(OrdersTable[[#This Row],[Profit]]/OrdersTable[[#This Row],[Net Revenue]],0)</f>
        <v>0.46115288220551376</v>
      </c>
      <c r="AA1331" t="s">
        <v>18</v>
      </c>
      <c r="AB1331" s="79">
        <v>45558</v>
      </c>
      <c r="AC1331">
        <f>OrdersTable[[#This Row],[Delivery Date]]-OrdersTable[[#This Row],[Order Date]]</f>
        <v>1</v>
      </c>
      <c r="AD1331" t="str">
        <f>IF(OrdersTable[[#This Row],[Delivery Days]]&lt;=2, "Express (≤2d)", IF(OrdersTable[[#This Row],[Delivery Days]]&lt;=4, "Standard (3-4d)", "Delayed (5d+)"))</f>
        <v>Express (≤2d)</v>
      </c>
      <c r="AE1331">
        <v>5</v>
      </c>
      <c r="AF1331">
        <v>0</v>
      </c>
    </row>
    <row r="1332" spans="1:32" ht="15" x14ac:dyDescent="0.35">
      <c r="A1332" t="s">
        <v>1506</v>
      </c>
      <c r="B1332" s="1">
        <v>45557</v>
      </c>
      <c r="C1332">
        <f>YEAR(OrdersTable[[#This Row],[Order Date]])</f>
        <v>2024</v>
      </c>
      <c r="D1332" s="2">
        <f>DATE(YEAR(OrdersTable[[#This Row],[Order Date]]),MONTH(OrdersTable[[#This Row],[Order Date]]),1)</f>
        <v>45536</v>
      </c>
      <c r="E1332">
        <f>MONTH(OrdersTable[[#This Row],[Order Date]])</f>
        <v>9</v>
      </c>
      <c r="F1332" t="s">
        <v>376</v>
      </c>
      <c r="G1332" t="str">
        <f>IF(OrdersTable[[#This Row],[Order Date]]=_xlfn.MINIFS(Order_Date, Customer_ID, OrdersTable[[#This Row],[Customer ID]]), "New", "Repeat")</f>
        <v>Repeat</v>
      </c>
      <c r="H1332" t="s">
        <v>76</v>
      </c>
      <c r="I1332" t="str">
        <f>INDEX(State!B:B,MATCH(OrdersTable[[#This Row],[State]],State!A:A,0))</f>
        <v>UP</v>
      </c>
      <c r="J1332" t="str">
        <f>INDEX(State!C:C,MATCH(OrdersTable[[#This Row],[State Code]],State!B:B,0))</f>
        <v>North</v>
      </c>
      <c r="K1332" t="s">
        <v>77</v>
      </c>
      <c r="L1332" t="s">
        <v>39</v>
      </c>
      <c r="M1332" t="s">
        <v>228</v>
      </c>
      <c r="N1332" t="str">
        <f>INDEX(Products!B:B,MATCH(OrdersTable[[#This Row],[Product ID]],Products!A:A,0))</f>
        <v>Fast Charger 33W</v>
      </c>
      <c r="O1332" t="str">
        <f>INDEX(Products!C:C,MATCH(OrdersTable[[#This Row],[Product ID]],Products!A:A,0))</f>
        <v>Electronics</v>
      </c>
      <c r="P1332">
        <v>1</v>
      </c>
      <c r="Q1332" s="5">
        <v>899</v>
      </c>
      <c r="R1332" s="74">
        <v>0.1</v>
      </c>
      <c r="S1332" s="75">
        <f>OrdersTable[[#This Row],[Quantity]]*OrdersTable[[#This Row],[Unit Price]]</f>
        <v>899</v>
      </c>
      <c r="T1332" s="5">
        <f>OrdersTable[[#This Row],[Gross Sale]]*OrdersTable[[#This Row],[Discount_Clean2]]</f>
        <v>89.9</v>
      </c>
      <c r="U1332" s="5">
        <f>OrdersTable[[#This Row],[Gross Sale]]-OrdersTable[[#This Row],[Discount Amount]]</f>
        <v>809.1</v>
      </c>
      <c r="V1332" s="77">
        <f>INDEX(Products!E:E,MATCH(OrdersTable[[#This Row],[Product ID]],Products!A:A,0))</f>
        <v>494</v>
      </c>
      <c r="W1332" s="77">
        <f>OrdersTable[[#This Row],[Quantity]]*OrdersTable[[#This Row],[Unit Cost]]</f>
        <v>494</v>
      </c>
      <c r="X1332" s="77">
        <f>'Dropdown Lists'!$I$2*(1+OrdersTable[[#This Row],[Returned]])</f>
        <v>60</v>
      </c>
      <c r="Y1332" s="76">
        <f>OrdersTable[[#This Row],[Net Revenue]]-OrdersTable[[#This Row],[COGS]]-OrdersTable[[#This Row],[Shipping Cost]]</f>
        <v>255.10000000000002</v>
      </c>
      <c r="Z1332" s="78">
        <f>IFERROR(OrdersTable[[#This Row],[Profit]]/OrdersTable[[#This Row],[Net Revenue]],0)</f>
        <v>0.31528859226300832</v>
      </c>
      <c r="AA1332" t="s">
        <v>18</v>
      </c>
      <c r="AB1332" s="79">
        <v>45560</v>
      </c>
      <c r="AC1332">
        <f>OrdersTable[[#This Row],[Delivery Date]]-OrdersTable[[#This Row],[Order Date]]</f>
        <v>3</v>
      </c>
      <c r="AD1332" t="str">
        <f>IF(OrdersTable[[#This Row],[Delivery Days]]&lt;=2, "Express (≤2d)", IF(OrdersTable[[#This Row],[Delivery Days]]&lt;=4, "Standard (3-4d)", "Delayed (5d+)"))</f>
        <v>Standard (3-4d)</v>
      </c>
      <c r="AF1332">
        <v>0</v>
      </c>
    </row>
    <row r="1333" spans="1:32" ht="15" x14ac:dyDescent="0.35">
      <c r="A1333" t="s">
        <v>1233</v>
      </c>
      <c r="B1333" s="1">
        <v>45557</v>
      </c>
      <c r="C1333">
        <f>YEAR(OrdersTable[[#This Row],[Order Date]])</f>
        <v>2024</v>
      </c>
      <c r="D1333" s="2">
        <f>DATE(YEAR(OrdersTable[[#This Row],[Order Date]]),MONTH(OrdersTable[[#This Row],[Order Date]]),1)</f>
        <v>45536</v>
      </c>
      <c r="E1333">
        <f>MONTH(OrdersTable[[#This Row],[Order Date]])</f>
        <v>9</v>
      </c>
      <c r="F1333" t="s">
        <v>141</v>
      </c>
      <c r="G1333" t="str">
        <f>IF(OrdersTable[[#This Row],[Order Date]]=_xlfn.MINIFS(Order_Date, Customer_ID, OrdersTable[[#This Row],[Customer ID]]), "New", "Repeat")</f>
        <v>Repeat</v>
      </c>
      <c r="H1333" t="s">
        <v>71</v>
      </c>
      <c r="I1333" t="str">
        <f>INDEX(State!B:B,MATCH(OrdersTable[[#This Row],[State]],State!A:A,0))</f>
        <v>MH</v>
      </c>
      <c r="J1333" t="str">
        <f>INDEX(State!C:C,MATCH(OrdersTable[[#This Row],[State Code]],State!B:B,0))</f>
        <v>West</v>
      </c>
      <c r="K1333" t="s">
        <v>102</v>
      </c>
      <c r="L1333" t="s">
        <v>16</v>
      </c>
      <c r="M1333" t="s">
        <v>176</v>
      </c>
      <c r="N1333" t="str">
        <f>INDEX(Products!B:B,MATCH(OrdersTable[[#This Row],[Product ID]],Products!A:A,0))</f>
        <v>Denim Jacket</v>
      </c>
      <c r="O1333" t="str">
        <f>INDEX(Products!C:C,MATCH(OrdersTable[[#This Row],[Product ID]],Products!A:A,0))</f>
        <v>Apparel</v>
      </c>
      <c r="P1333">
        <v>1</v>
      </c>
      <c r="Q1333" s="5">
        <v>2499</v>
      </c>
      <c r="R1333" s="74">
        <v>0.05</v>
      </c>
      <c r="S1333" s="75">
        <f>OrdersTable[[#This Row],[Quantity]]*OrdersTable[[#This Row],[Unit Price]]</f>
        <v>2499</v>
      </c>
      <c r="T1333" s="5">
        <f>OrdersTable[[#This Row],[Gross Sale]]*OrdersTable[[#This Row],[Discount_Clean2]]</f>
        <v>124.95</v>
      </c>
      <c r="U1333" s="5">
        <f>OrdersTable[[#This Row],[Gross Sale]]-OrdersTable[[#This Row],[Discount Amount]]</f>
        <v>2374.0500000000002</v>
      </c>
      <c r="V1333" s="77">
        <f>INDEX(Products!E:E,MATCH(OrdersTable[[#This Row],[Product ID]],Products!A:A,0))</f>
        <v>1125</v>
      </c>
      <c r="W1333" s="77">
        <f>OrdersTable[[#This Row],[Quantity]]*OrdersTable[[#This Row],[Unit Cost]]</f>
        <v>1125</v>
      </c>
      <c r="X1333" s="77">
        <f>'Dropdown Lists'!$I$2*(1+OrdersTable[[#This Row],[Returned]])</f>
        <v>60</v>
      </c>
      <c r="Y1333" s="76">
        <f>OrdersTable[[#This Row],[Net Revenue]]-OrdersTable[[#This Row],[COGS]]-OrdersTable[[#This Row],[Shipping Cost]]</f>
        <v>1189.0500000000002</v>
      </c>
      <c r="Z1333" s="78">
        <f>IFERROR(OrdersTable[[#This Row],[Profit]]/OrdersTable[[#This Row],[Net Revenue]],0)</f>
        <v>0.50085297276805463</v>
      </c>
      <c r="AA1333" t="s">
        <v>18</v>
      </c>
      <c r="AB1333" s="79">
        <v>45560</v>
      </c>
      <c r="AC1333">
        <f>OrdersTable[[#This Row],[Delivery Date]]-OrdersTable[[#This Row],[Order Date]]</f>
        <v>3</v>
      </c>
      <c r="AD1333" t="str">
        <f>IF(OrdersTable[[#This Row],[Delivery Days]]&lt;=2, "Express (≤2d)", IF(OrdersTable[[#This Row],[Delivery Days]]&lt;=4, "Standard (3-4d)", "Delayed (5d+)"))</f>
        <v>Standard (3-4d)</v>
      </c>
      <c r="AF1333">
        <v>0</v>
      </c>
    </row>
    <row r="1334" spans="1:32" ht="15" x14ac:dyDescent="0.35">
      <c r="A1334" t="s">
        <v>2310</v>
      </c>
      <c r="B1334" s="1">
        <v>45557</v>
      </c>
      <c r="C1334">
        <f>YEAR(OrdersTable[[#This Row],[Order Date]])</f>
        <v>2024</v>
      </c>
      <c r="D1334" s="2">
        <f>DATE(YEAR(OrdersTable[[#This Row],[Order Date]]),MONTH(OrdersTable[[#This Row],[Order Date]]),1)</f>
        <v>45536</v>
      </c>
      <c r="E1334">
        <f>MONTH(OrdersTable[[#This Row],[Order Date]])</f>
        <v>9</v>
      </c>
      <c r="F1334" t="s">
        <v>2311</v>
      </c>
      <c r="G1334" t="str">
        <f>IF(OrdersTable[[#This Row],[Order Date]]=_xlfn.MINIFS(Order_Date, Customer_ID, OrdersTable[[#This Row],[Customer ID]]), "New", "Repeat")</f>
        <v>New</v>
      </c>
      <c r="H1334" t="s">
        <v>71</v>
      </c>
      <c r="I1334" t="str">
        <f>INDEX(State!B:B,MATCH(OrdersTable[[#This Row],[State]],State!A:A,0))</f>
        <v>MH</v>
      </c>
      <c r="J1334" t="str">
        <f>INDEX(State!C:C,MATCH(OrdersTable[[#This Row],[State Code]],State!B:B,0))</f>
        <v>West</v>
      </c>
      <c r="K1334" t="s">
        <v>81</v>
      </c>
      <c r="L1334" t="s">
        <v>16</v>
      </c>
      <c r="M1334" t="s">
        <v>17</v>
      </c>
      <c r="N1334" t="str">
        <f>INDEX(Products!B:B,MATCH(OrdersTable[[#This Row],[Product ID]],Products!A:A,0))</f>
        <v>Casual Sneakers</v>
      </c>
      <c r="O1334" t="str">
        <f>INDEX(Products!C:C,MATCH(OrdersTable[[#This Row],[Product ID]],Products!A:A,0))</f>
        <v>Footwear</v>
      </c>
      <c r="P1334">
        <v>1</v>
      </c>
      <c r="Q1334" s="5">
        <v>2199</v>
      </c>
      <c r="R1334" s="74">
        <v>0.2</v>
      </c>
      <c r="S1334" s="75">
        <f>OrdersTable[[#This Row],[Quantity]]*OrdersTable[[#This Row],[Unit Price]]</f>
        <v>2199</v>
      </c>
      <c r="T1334" s="5">
        <f>OrdersTable[[#This Row],[Gross Sale]]*OrdersTable[[#This Row],[Discount_Clean2]]</f>
        <v>439.8</v>
      </c>
      <c r="U1334" s="5">
        <f>OrdersTable[[#This Row],[Gross Sale]]-OrdersTable[[#This Row],[Discount Amount]]</f>
        <v>1759.2</v>
      </c>
      <c r="V1334" s="77">
        <f>INDEX(Products!E:E,MATCH(OrdersTable[[#This Row],[Product ID]],Products!A:A,0))</f>
        <v>1034</v>
      </c>
      <c r="W1334" s="77">
        <f>OrdersTable[[#This Row],[Quantity]]*OrdersTable[[#This Row],[Unit Cost]]</f>
        <v>1034</v>
      </c>
      <c r="X1334" s="77">
        <f>'Dropdown Lists'!$I$2*(1+OrdersTable[[#This Row],[Returned]])</f>
        <v>60</v>
      </c>
      <c r="Y1334" s="76">
        <f>OrdersTable[[#This Row],[Net Revenue]]-OrdersTable[[#This Row],[COGS]]-OrdersTable[[#This Row],[Shipping Cost]]</f>
        <v>665.2</v>
      </c>
      <c r="Z1334" s="78">
        <f>IFERROR(OrdersTable[[#This Row],[Profit]]/OrdersTable[[#This Row],[Net Revenue]],0)</f>
        <v>0.37812642110050027</v>
      </c>
      <c r="AA1334" t="s">
        <v>18</v>
      </c>
      <c r="AB1334" s="79">
        <v>45560</v>
      </c>
      <c r="AC1334">
        <f>OrdersTable[[#This Row],[Delivery Date]]-OrdersTable[[#This Row],[Order Date]]</f>
        <v>3</v>
      </c>
      <c r="AD1334" t="str">
        <f>IF(OrdersTable[[#This Row],[Delivery Days]]&lt;=2, "Express (≤2d)", IF(OrdersTable[[#This Row],[Delivery Days]]&lt;=4, "Standard (3-4d)", "Delayed (5d+)"))</f>
        <v>Standard (3-4d)</v>
      </c>
      <c r="AE1334">
        <v>5</v>
      </c>
      <c r="AF1334">
        <v>0</v>
      </c>
    </row>
    <row r="1335" spans="1:32" ht="15" x14ac:dyDescent="0.35">
      <c r="A1335" t="s">
        <v>4243</v>
      </c>
      <c r="B1335" s="1">
        <v>45557</v>
      </c>
      <c r="C1335">
        <f>YEAR(OrdersTable[[#This Row],[Order Date]])</f>
        <v>2024</v>
      </c>
      <c r="D1335" s="2">
        <f>DATE(YEAR(OrdersTable[[#This Row],[Order Date]]),MONTH(OrdersTable[[#This Row],[Order Date]]),1)</f>
        <v>45536</v>
      </c>
      <c r="E1335">
        <f>MONTH(OrdersTable[[#This Row],[Order Date]])</f>
        <v>9</v>
      </c>
      <c r="F1335" t="s">
        <v>4244</v>
      </c>
      <c r="G1335" t="str">
        <f>IF(OrdersTable[[#This Row],[Order Date]]=_xlfn.MINIFS(Order_Date, Customer_ID, OrdersTable[[#This Row],[Customer ID]]), "New", "Repeat")</f>
        <v>New</v>
      </c>
      <c r="H1335" t="s">
        <v>95</v>
      </c>
      <c r="I1335" t="str">
        <f>INDEX(State!B:B,MATCH(OrdersTable[[#This Row],[State]],State!A:A,0))</f>
        <v>TG</v>
      </c>
      <c r="J1335" t="str">
        <f>INDEX(State!C:C,MATCH(OrdersTable[[#This Row],[State Code]],State!B:B,0))</f>
        <v>South</v>
      </c>
      <c r="K1335" t="s">
        <v>96</v>
      </c>
      <c r="L1335" t="s">
        <v>23</v>
      </c>
      <c r="M1335" t="s">
        <v>92</v>
      </c>
      <c r="N1335" t="str">
        <f>INDEX(Products!B:B,MATCH(OrdersTable[[#This Row],[Product ID]],Products!A:A,0))</f>
        <v>Kolhapuri Sandals</v>
      </c>
      <c r="O1335" t="str">
        <f>INDEX(Products!C:C,MATCH(OrdersTable[[#This Row],[Product ID]],Products!A:A,0))</f>
        <v>Footwear</v>
      </c>
      <c r="P1335">
        <v>1</v>
      </c>
      <c r="Q1335" s="5">
        <v>999</v>
      </c>
      <c r="R1335" s="74">
        <v>0.15</v>
      </c>
      <c r="S1335" s="75">
        <f>OrdersTable[[#This Row],[Quantity]]*OrdersTable[[#This Row],[Unit Price]]</f>
        <v>999</v>
      </c>
      <c r="T1335" s="5">
        <f>OrdersTable[[#This Row],[Gross Sale]]*OrdersTable[[#This Row],[Discount_Clean2]]</f>
        <v>149.85</v>
      </c>
      <c r="U1335" s="5">
        <f>OrdersTable[[#This Row],[Gross Sale]]-OrdersTable[[#This Row],[Discount Amount]]</f>
        <v>849.15</v>
      </c>
      <c r="V1335" s="77">
        <f>INDEX(Products!E:E,MATCH(OrdersTable[[#This Row],[Product ID]],Products!A:A,0))</f>
        <v>400</v>
      </c>
      <c r="W1335" s="77">
        <f>OrdersTable[[#This Row],[Quantity]]*OrdersTable[[#This Row],[Unit Cost]]</f>
        <v>400</v>
      </c>
      <c r="X1335" s="77">
        <f>'Dropdown Lists'!$I$2*(1+OrdersTable[[#This Row],[Returned]])</f>
        <v>60</v>
      </c>
      <c r="Y1335" s="76">
        <f>OrdersTable[[#This Row],[Net Revenue]]-OrdersTable[[#This Row],[COGS]]-OrdersTable[[#This Row],[Shipping Cost]]</f>
        <v>389.15</v>
      </c>
      <c r="Z1335" s="78">
        <f>IFERROR(OrdersTable[[#This Row],[Profit]]/OrdersTable[[#This Row],[Net Revenue]],0)</f>
        <v>0.45828181122298767</v>
      </c>
      <c r="AA1335" t="s">
        <v>4074</v>
      </c>
      <c r="AB1335" s="79">
        <v>45559</v>
      </c>
      <c r="AC1335">
        <f>OrdersTable[[#This Row],[Delivery Date]]-OrdersTable[[#This Row],[Order Date]]</f>
        <v>2</v>
      </c>
      <c r="AD1335" t="str">
        <f>IF(OrdersTable[[#This Row],[Delivery Days]]&lt;=2, "Express (≤2d)", IF(OrdersTable[[#This Row],[Delivery Days]]&lt;=4, "Standard (3-4d)", "Delayed (5d+)"))</f>
        <v>Express (≤2d)</v>
      </c>
      <c r="AF1335">
        <v>0</v>
      </c>
    </row>
    <row r="1336" spans="1:32" ht="15" x14ac:dyDescent="0.35">
      <c r="A1336" t="s">
        <v>3871</v>
      </c>
      <c r="B1336" s="1">
        <v>45557</v>
      </c>
      <c r="C1336">
        <f>YEAR(OrdersTable[[#This Row],[Order Date]])</f>
        <v>2024</v>
      </c>
      <c r="D1336" s="2">
        <f>DATE(YEAR(OrdersTable[[#This Row],[Order Date]]),MONTH(OrdersTable[[#This Row],[Order Date]]),1)</f>
        <v>45536</v>
      </c>
      <c r="E1336">
        <f>MONTH(OrdersTable[[#This Row],[Order Date]])</f>
        <v>9</v>
      </c>
      <c r="F1336" t="s">
        <v>2277</v>
      </c>
      <c r="G1336" t="str">
        <f>IF(OrdersTable[[#This Row],[Order Date]]=_xlfn.MINIFS(Order_Date, Customer_ID, OrdersTable[[#This Row],[Customer ID]]), "New", "Repeat")</f>
        <v>Repeat</v>
      </c>
      <c r="H1336" t="s">
        <v>90</v>
      </c>
      <c r="I1336" t="str">
        <f>INDEX(State!B:B,MATCH(OrdersTable[[#This Row],[State]],State!A:A,0))</f>
        <v>GA</v>
      </c>
      <c r="J1336" t="str">
        <f>INDEX(State!C:C,MATCH(OrdersTable[[#This Row],[State Code]],State!B:B,0))</f>
        <v>West</v>
      </c>
      <c r="K1336" t="s">
        <v>91</v>
      </c>
      <c r="L1336" t="s">
        <v>65</v>
      </c>
      <c r="M1336" t="s">
        <v>160</v>
      </c>
      <c r="N1336" t="str">
        <f>INDEX(Products!B:B,MATCH(OrdersTable[[#This Row],[Product ID]],Products!A:A,0))</f>
        <v>Niacinamide Toner</v>
      </c>
      <c r="O1336" t="str">
        <f>INDEX(Products!C:C,MATCH(OrdersTable[[#This Row],[Product ID]],Products!A:A,0))</f>
        <v>Skincare</v>
      </c>
      <c r="P1336">
        <v>1</v>
      </c>
      <c r="Q1336" s="5">
        <v>399</v>
      </c>
      <c r="R1336" s="74">
        <v>0.2</v>
      </c>
      <c r="S1336" s="75">
        <f>OrdersTable[[#This Row],[Quantity]]*OrdersTable[[#This Row],[Unit Price]]</f>
        <v>399</v>
      </c>
      <c r="T1336" s="5">
        <f>OrdersTable[[#This Row],[Gross Sale]]*OrdersTable[[#This Row],[Discount_Clean2]]</f>
        <v>79.800000000000011</v>
      </c>
      <c r="U1336" s="5">
        <f>OrdersTable[[#This Row],[Gross Sale]]-OrdersTable[[#This Row],[Discount Amount]]</f>
        <v>319.2</v>
      </c>
      <c r="V1336" s="77">
        <f>INDEX(Products!E:E,MATCH(OrdersTable[[#This Row],[Product ID]],Products!A:A,0))</f>
        <v>112</v>
      </c>
      <c r="W1336" s="77">
        <f>OrdersTable[[#This Row],[Quantity]]*OrdersTable[[#This Row],[Unit Cost]]</f>
        <v>112</v>
      </c>
      <c r="X1336" s="77">
        <f>'Dropdown Lists'!$I$2*(1+OrdersTable[[#This Row],[Returned]])</f>
        <v>60</v>
      </c>
      <c r="Y1336" s="76">
        <f>OrdersTable[[#This Row],[Net Revenue]]-OrdersTable[[#This Row],[COGS]]-OrdersTable[[#This Row],[Shipping Cost]]</f>
        <v>147.19999999999999</v>
      </c>
      <c r="Z1336" s="78">
        <f>IFERROR(OrdersTable[[#This Row],[Profit]]/OrdersTable[[#This Row],[Net Revenue]],0)</f>
        <v>0.46115288220551376</v>
      </c>
      <c r="AA1336" t="s">
        <v>3495</v>
      </c>
      <c r="AB1336" s="79">
        <v>45562</v>
      </c>
      <c r="AC1336">
        <f>OrdersTable[[#This Row],[Delivery Date]]-OrdersTable[[#This Row],[Order Date]]</f>
        <v>5</v>
      </c>
      <c r="AD1336" t="str">
        <f>IF(OrdersTable[[#This Row],[Delivery Days]]&lt;=2, "Express (≤2d)", IF(OrdersTable[[#This Row],[Delivery Days]]&lt;=4, "Standard (3-4d)", "Delayed (5d+)"))</f>
        <v>Delayed (5d+)</v>
      </c>
      <c r="AE1336">
        <v>3</v>
      </c>
      <c r="AF1336">
        <v>0</v>
      </c>
    </row>
    <row r="1337" spans="1:32" ht="15" x14ac:dyDescent="0.35">
      <c r="A1337" t="s">
        <v>6771</v>
      </c>
      <c r="B1337" s="1">
        <v>45557</v>
      </c>
      <c r="C1337">
        <f>YEAR(OrdersTable[[#This Row],[Order Date]])</f>
        <v>2024</v>
      </c>
      <c r="D1337" s="2">
        <f>DATE(YEAR(OrdersTable[[#This Row],[Order Date]]),MONTH(OrdersTable[[#This Row],[Order Date]]),1)</f>
        <v>45536</v>
      </c>
      <c r="E1337">
        <f>MONTH(OrdersTable[[#This Row],[Order Date]])</f>
        <v>9</v>
      </c>
      <c r="F1337" t="s">
        <v>881</v>
      </c>
      <c r="G1337" t="str">
        <f>IF(OrdersTable[[#This Row],[Order Date]]=_xlfn.MINIFS(Order_Date, Customer_ID, OrdersTable[[#This Row],[Customer ID]]), "New", "Repeat")</f>
        <v>New</v>
      </c>
      <c r="H1337" t="s">
        <v>167</v>
      </c>
      <c r="I1337" t="str">
        <f>INDEX(State!B:B,MATCH(OrdersTable[[#This Row],[State]],State!A:A,0))</f>
        <v>KA</v>
      </c>
      <c r="J1337" t="str">
        <f>INDEX(State!C:C,MATCH(OrdersTable[[#This Row],[State Code]],State!B:B,0))</f>
        <v>South</v>
      </c>
      <c r="K1337" t="s">
        <v>190</v>
      </c>
      <c r="L1337" t="s">
        <v>16</v>
      </c>
      <c r="M1337" t="s">
        <v>34</v>
      </c>
      <c r="N1337" t="str">
        <f>INDEX(Products!B:B,MATCH(OrdersTable[[#This Row],[Product ID]],Products!A:A,0))</f>
        <v>Flip Flops</v>
      </c>
      <c r="O1337" t="str">
        <f>INDEX(Products!C:C,MATCH(OrdersTable[[#This Row],[Product ID]],Products!A:A,0))</f>
        <v>Footwear</v>
      </c>
      <c r="P1337">
        <v>3</v>
      </c>
      <c r="Q1337" s="5">
        <v>399</v>
      </c>
      <c r="R1337" s="74">
        <v>0.15</v>
      </c>
      <c r="S1337" s="75">
        <f>OrdersTable[[#This Row],[Quantity]]*OrdersTable[[#This Row],[Unit Price]]</f>
        <v>1197</v>
      </c>
      <c r="T1337" s="5">
        <f>OrdersTable[[#This Row],[Gross Sale]]*OrdersTable[[#This Row],[Discount_Clean2]]</f>
        <v>179.54999999999998</v>
      </c>
      <c r="U1337" s="5">
        <f>OrdersTable[[#This Row],[Gross Sale]]-OrdersTable[[#This Row],[Discount Amount]]</f>
        <v>1017.45</v>
      </c>
      <c r="V1337" s="77">
        <f>INDEX(Products!E:E,MATCH(OrdersTable[[#This Row],[Product ID]],Products!A:A,0))</f>
        <v>152</v>
      </c>
      <c r="W1337" s="77">
        <f>OrdersTable[[#This Row],[Quantity]]*OrdersTable[[#This Row],[Unit Cost]]</f>
        <v>456</v>
      </c>
      <c r="X1337" s="77">
        <f>'Dropdown Lists'!$I$2*(1+OrdersTable[[#This Row],[Returned]])</f>
        <v>60</v>
      </c>
      <c r="Y1337" s="76">
        <f>OrdersTable[[#This Row],[Net Revenue]]-OrdersTable[[#This Row],[COGS]]-OrdersTable[[#This Row],[Shipping Cost]]</f>
        <v>501.45000000000005</v>
      </c>
      <c r="Z1337" s="78">
        <f>IFERROR(OrdersTable[[#This Row],[Profit]]/OrdersTable[[#This Row],[Net Revenue]],0)</f>
        <v>0.49284977148754239</v>
      </c>
      <c r="AA1337" t="s">
        <v>3495</v>
      </c>
      <c r="AB1337" s="79">
        <v>45558</v>
      </c>
      <c r="AC1337">
        <f>OrdersTable[[#This Row],[Delivery Date]]-OrdersTable[[#This Row],[Order Date]]</f>
        <v>1</v>
      </c>
      <c r="AD1337" t="str">
        <f>IF(OrdersTable[[#This Row],[Delivery Days]]&lt;=2, "Express (≤2d)", IF(OrdersTable[[#This Row],[Delivery Days]]&lt;=4, "Standard (3-4d)", "Delayed (5d+)"))</f>
        <v>Express (≤2d)</v>
      </c>
      <c r="AE1337">
        <v>5</v>
      </c>
      <c r="AF1337">
        <v>0</v>
      </c>
    </row>
    <row r="1338" spans="1:32" ht="15" x14ac:dyDescent="0.35">
      <c r="A1338" t="s">
        <v>1507</v>
      </c>
      <c r="B1338" s="1">
        <v>45557</v>
      </c>
      <c r="C1338">
        <f>YEAR(OrdersTable[[#This Row],[Order Date]])</f>
        <v>2024</v>
      </c>
      <c r="D1338" s="2">
        <f>DATE(YEAR(OrdersTable[[#This Row],[Order Date]]),MONTH(OrdersTable[[#This Row],[Order Date]]),1)</f>
        <v>45536</v>
      </c>
      <c r="E1338">
        <f>MONTH(OrdersTable[[#This Row],[Order Date]])</f>
        <v>9</v>
      </c>
      <c r="F1338" t="s">
        <v>1508</v>
      </c>
      <c r="G1338" t="str">
        <f>IF(OrdersTable[[#This Row],[Order Date]]=_xlfn.MINIFS(Order_Date, Customer_ID, OrdersTable[[#This Row],[Customer ID]]), "New", "Repeat")</f>
        <v>New</v>
      </c>
      <c r="H1338" t="s">
        <v>316</v>
      </c>
      <c r="I1338" t="str">
        <f>INDEX(State!B:B,MATCH(OrdersTable[[#This Row],[State]],State!A:A,0))</f>
        <v>KL</v>
      </c>
      <c r="J1338" t="str">
        <f>INDEX(State!C:C,MATCH(OrdersTable[[#This Row],[State Code]],State!B:B,0))</f>
        <v>South</v>
      </c>
      <c r="K1338" t="s">
        <v>338</v>
      </c>
      <c r="L1338" t="s">
        <v>39</v>
      </c>
      <c r="M1338" t="s">
        <v>87</v>
      </c>
      <c r="N1338" t="str">
        <f>INDEX(Products!B:B,MATCH(OrdersTable[[#This Row],[Product ID]],Products!A:A,0))</f>
        <v>Linen Kurta</v>
      </c>
      <c r="O1338" t="str">
        <f>INDEX(Products!C:C,MATCH(OrdersTable[[#This Row],[Product ID]],Products!A:A,0))</f>
        <v>Apparel</v>
      </c>
      <c r="P1338">
        <v>1</v>
      </c>
      <c r="Q1338" s="5">
        <v>1499</v>
      </c>
      <c r="R1338" s="74">
        <v>0.2</v>
      </c>
      <c r="S1338" s="75">
        <f>OrdersTable[[#This Row],[Quantity]]*OrdersTable[[#This Row],[Unit Price]]</f>
        <v>1499</v>
      </c>
      <c r="T1338" s="5">
        <f>OrdersTable[[#This Row],[Gross Sale]]*OrdersTable[[#This Row],[Discount_Clean2]]</f>
        <v>299.8</v>
      </c>
      <c r="U1338" s="5">
        <f>OrdersTable[[#This Row],[Gross Sale]]-OrdersTable[[#This Row],[Discount Amount]]</f>
        <v>1199.2</v>
      </c>
      <c r="V1338" s="77">
        <f>INDEX(Products!E:E,MATCH(OrdersTable[[#This Row],[Product ID]],Products!A:A,0))</f>
        <v>630</v>
      </c>
      <c r="W1338" s="77">
        <f>OrdersTable[[#This Row],[Quantity]]*OrdersTable[[#This Row],[Unit Cost]]</f>
        <v>630</v>
      </c>
      <c r="X1338" s="77">
        <f>'Dropdown Lists'!$I$2*(1+OrdersTable[[#This Row],[Returned]])</f>
        <v>60</v>
      </c>
      <c r="Y1338" s="76">
        <f>OrdersTable[[#This Row],[Net Revenue]]-OrdersTable[[#This Row],[COGS]]-OrdersTable[[#This Row],[Shipping Cost]]</f>
        <v>509.20000000000005</v>
      </c>
      <c r="Z1338" s="78">
        <f>IFERROR(OrdersTable[[#This Row],[Profit]]/OrdersTable[[#This Row],[Net Revenue]],0)</f>
        <v>0.42461641094062713</v>
      </c>
      <c r="AA1338" t="s">
        <v>18</v>
      </c>
      <c r="AB1338" s="79">
        <v>45561</v>
      </c>
      <c r="AC1338">
        <f>OrdersTable[[#This Row],[Delivery Date]]-OrdersTable[[#This Row],[Order Date]]</f>
        <v>4</v>
      </c>
      <c r="AD1338" t="str">
        <f>IF(OrdersTable[[#This Row],[Delivery Days]]&lt;=2, "Express (≤2d)", IF(OrdersTable[[#This Row],[Delivery Days]]&lt;=4, "Standard (3-4d)", "Delayed (5d+)"))</f>
        <v>Standard (3-4d)</v>
      </c>
      <c r="AF1338">
        <v>0</v>
      </c>
    </row>
    <row r="1339" spans="1:32" ht="15" x14ac:dyDescent="0.35">
      <c r="A1339" t="s">
        <v>5108</v>
      </c>
      <c r="B1339" s="1">
        <v>45557</v>
      </c>
      <c r="C1339">
        <f>YEAR(OrdersTable[[#This Row],[Order Date]])</f>
        <v>2024</v>
      </c>
      <c r="D1339" s="2">
        <f>DATE(YEAR(OrdersTable[[#This Row],[Order Date]]),MONTH(OrdersTable[[#This Row],[Order Date]]),1)</f>
        <v>45536</v>
      </c>
      <c r="E1339">
        <f>MONTH(OrdersTable[[#This Row],[Order Date]])</f>
        <v>9</v>
      </c>
      <c r="F1339" t="s">
        <v>4019</v>
      </c>
      <c r="G1339" t="str">
        <f>IF(OrdersTable[[#This Row],[Order Date]]=_xlfn.MINIFS(Order_Date, Customer_ID, OrdersTable[[#This Row],[Customer ID]]), "New", "Repeat")</f>
        <v>New</v>
      </c>
      <c r="H1339" t="s">
        <v>59</v>
      </c>
      <c r="I1339" t="str">
        <f>INDEX(State!B:B,MATCH(OrdersTable[[#This Row],[State]],State!A:A,0))</f>
        <v>TN</v>
      </c>
      <c r="J1339" t="str">
        <f>INDEX(State!C:C,MATCH(OrdersTable[[#This Row],[State Code]],State!B:B,0))</f>
        <v>South</v>
      </c>
      <c r="K1339" t="s">
        <v>64</v>
      </c>
      <c r="L1339" t="s">
        <v>23</v>
      </c>
      <c r="M1339" t="s">
        <v>160</v>
      </c>
      <c r="N1339" t="str">
        <f>INDEX(Products!B:B,MATCH(OrdersTable[[#This Row],[Product ID]],Products!A:A,0))</f>
        <v>Niacinamide Toner</v>
      </c>
      <c r="O1339" t="str">
        <f>INDEX(Products!C:C,MATCH(OrdersTable[[#This Row],[Product ID]],Products!A:A,0))</f>
        <v>Skincare</v>
      </c>
      <c r="P1339">
        <v>2</v>
      </c>
      <c r="Q1339" s="5">
        <v>399</v>
      </c>
      <c r="R1339" s="74">
        <v>0.3</v>
      </c>
      <c r="S1339" s="75">
        <f>OrdersTable[[#This Row],[Quantity]]*OrdersTable[[#This Row],[Unit Price]]</f>
        <v>798</v>
      </c>
      <c r="T1339" s="5">
        <f>OrdersTable[[#This Row],[Gross Sale]]*OrdersTable[[#This Row],[Discount_Clean2]]</f>
        <v>239.39999999999998</v>
      </c>
      <c r="U1339" s="5">
        <f>OrdersTable[[#This Row],[Gross Sale]]-OrdersTable[[#This Row],[Discount Amount]]</f>
        <v>558.6</v>
      </c>
      <c r="V1339" s="77">
        <f>INDEX(Products!E:E,MATCH(OrdersTable[[#This Row],[Product ID]],Products!A:A,0))</f>
        <v>112</v>
      </c>
      <c r="W1339" s="77">
        <f>OrdersTable[[#This Row],[Quantity]]*OrdersTable[[#This Row],[Unit Cost]]</f>
        <v>224</v>
      </c>
      <c r="X1339" s="77">
        <f>'Dropdown Lists'!$I$2*(1+OrdersTable[[#This Row],[Returned]])</f>
        <v>60</v>
      </c>
      <c r="Y1339" s="76">
        <f>OrdersTable[[#This Row],[Net Revenue]]-OrdersTable[[#This Row],[COGS]]-OrdersTable[[#This Row],[Shipping Cost]]</f>
        <v>274.60000000000002</v>
      </c>
      <c r="Z1339" s="78">
        <f>IFERROR(OrdersTable[[#This Row],[Profit]]/OrdersTable[[#This Row],[Net Revenue]],0)</f>
        <v>0.49158610812746151</v>
      </c>
      <c r="AA1339" t="s">
        <v>3495</v>
      </c>
      <c r="AB1339" s="79">
        <v>45560</v>
      </c>
      <c r="AC1339">
        <f>OrdersTable[[#This Row],[Delivery Date]]-OrdersTable[[#This Row],[Order Date]]</f>
        <v>3</v>
      </c>
      <c r="AD1339" t="str">
        <f>IF(OrdersTable[[#This Row],[Delivery Days]]&lt;=2, "Express (≤2d)", IF(OrdersTable[[#This Row],[Delivery Days]]&lt;=4, "Standard (3-4d)", "Delayed (5d+)"))</f>
        <v>Standard (3-4d)</v>
      </c>
      <c r="AE1339">
        <v>4</v>
      </c>
      <c r="AF1339">
        <v>0</v>
      </c>
    </row>
    <row r="1340" spans="1:32" ht="15" x14ac:dyDescent="0.35">
      <c r="A1340" t="s">
        <v>5109</v>
      </c>
      <c r="B1340" s="1">
        <v>45558</v>
      </c>
      <c r="C1340">
        <f>YEAR(OrdersTable[[#This Row],[Order Date]])</f>
        <v>2024</v>
      </c>
      <c r="D1340" s="2">
        <f>DATE(YEAR(OrdersTable[[#This Row],[Order Date]]),MONTH(OrdersTable[[#This Row],[Order Date]]),1)</f>
        <v>45536</v>
      </c>
      <c r="E1340">
        <f>MONTH(OrdersTable[[#This Row],[Order Date]])</f>
        <v>9</v>
      </c>
      <c r="F1340" t="s">
        <v>3347</v>
      </c>
      <c r="G1340" t="str">
        <f>IF(OrdersTable[[#This Row],[Order Date]]=_xlfn.MINIFS(Order_Date, Customer_ID, OrdersTable[[#This Row],[Customer ID]]), "New", "Repeat")</f>
        <v>New</v>
      </c>
      <c r="H1340" t="s">
        <v>71</v>
      </c>
      <c r="I1340" t="str">
        <f>INDEX(State!B:B,MATCH(OrdersTable[[#This Row],[State]],State!A:A,0))</f>
        <v>MH</v>
      </c>
      <c r="J1340" t="str">
        <f>INDEX(State!C:C,MATCH(OrdersTable[[#This Row],[State Code]],State!B:B,0))</f>
        <v>West</v>
      </c>
      <c r="K1340" t="s">
        <v>102</v>
      </c>
      <c r="L1340" t="s">
        <v>65</v>
      </c>
      <c r="M1340" t="s">
        <v>34</v>
      </c>
      <c r="N1340" t="str">
        <f>INDEX(Products!B:B,MATCH(OrdersTable[[#This Row],[Product ID]],Products!A:A,0))</f>
        <v>Flip Flops</v>
      </c>
      <c r="O1340" t="str">
        <f>INDEX(Products!C:C,MATCH(OrdersTable[[#This Row],[Product ID]],Products!A:A,0))</f>
        <v>Footwear</v>
      </c>
      <c r="P1340">
        <v>2</v>
      </c>
      <c r="Q1340" s="5">
        <v>399</v>
      </c>
      <c r="R1340" s="74">
        <v>0.05</v>
      </c>
      <c r="S1340" s="75">
        <f>OrdersTable[[#This Row],[Quantity]]*OrdersTable[[#This Row],[Unit Price]]</f>
        <v>798</v>
      </c>
      <c r="T1340" s="5">
        <f>OrdersTable[[#This Row],[Gross Sale]]*OrdersTable[[#This Row],[Discount_Clean2]]</f>
        <v>39.900000000000006</v>
      </c>
      <c r="U1340" s="5">
        <f>OrdersTable[[#This Row],[Gross Sale]]-OrdersTable[[#This Row],[Discount Amount]]</f>
        <v>758.1</v>
      </c>
      <c r="V1340" s="77">
        <f>INDEX(Products!E:E,MATCH(OrdersTable[[#This Row],[Product ID]],Products!A:A,0))</f>
        <v>152</v>
      </c>
      <c r="W1340" s="77">
        <f>OrdersTable[[#This Row],[Quantity]]*OrdersTable[[#This Row],[Unit Cost]]</f>
        <v>304</v>
      </c>
      <c r="X1340" s="77">
        <f>'Dropdown Lists'!$I$2*(1+OrdersTable[[#This Row],[Returned]])</f>
        <v>60</v>
      </c>
      <c r="Y1340" s="76">
        <f>OrdersTable[[#This Row],[Net Revenue]]-OrdersTable[[#This Row],[COGS]]-OrdersTable[[#This Row],[Shipping Cost]]</f>
        <v>394.1</v>
      </c>
      <c r="Z1340" s="78">
        <f>IFERROR(OrdersTable[[#This Row],[Profit]]/OrdersTable[[#This Row],[Net Revenue]],0)</f>
        <v>0.51985226223453374</v>
      </c>
      <c r="AA1340" t="s">
        <v>3495</v>
      </c>
      <c r="AB1340" s="79">
        <v>45560</v>
      </c>
      <c r="AC1340">
        <f>OrdersTable[[#This Row],[Delivery Date]]-OrdersTable[[#This Row],[Order Date]]</f>
        <v>2</v>
      </c>
      <c r="AD1340" t="str">
        <f>IF(OrdersTable[[#This Row],[Delivery Days]]&lt;=2, "Express (≤2d)", IF(OrdersTable[[#This Row],[Delivery Days]]&lt;=4, "Standard (3-4d)", "Delayed (5d+)"))</f>
        <v>Express (≤2d)</v>
      </c>
      <c r="AE1340">
        <v>5</v>
      </c>
      <c r="AF1340">
        <v>0</v>
      </c>
    </row>
    <row r="1341" spans="1:32" ht="15" x14ac:dyDescent="0.35">
      <c r="A1341" t="s">
        <v>930</v>
      </c>
      <c r="B1341" s="1">
        <v>45558</v>
      </c>
      <c r="C1341">
        <f>YEAR(OrdersTable[[#This Row],[Order Date]])</f>
        <v>2024</v>
      </c>
      <c r="D1341" s="2">
        <f>DATE(YEAR(OrdersTable[[#This Row],[Order Date]]),MONTH(OrdersTable[[#This Row],[Order Date]]),1)</f>
        <v>45536</v>
      </c>
      <c r="E1341">
        <f>MONTH(OrdersTable[[#This Row],[Order Date]])</f>
        <v>9</v>
      </c>
      <c r="F1341" t="s">
        <v>931</v>
      </c>
      <c r="G1341" t="str">
        <f>IF(OrdersTable[[#This Row],[Order Date]]=_xlfn.MINIFS(Order_Date, Customer_ID, OrdersTable[[#This Row],[Customer ID]]), "New", "Repeat")</f>
        <v>New</v>
      </c>
      <c r="H1341" t="s">
        <v>71</v>
      </c>
      <c r="I1341" t="str">
        <f>INDEX(State!B:B,MATCH(OrdersTable[[#This Row],[State]],State!A:A,0))</f>
        <v>MH</v>
      </c>
      <c r="J1341" t="str">
        <f>INDEX(State!C:C,MATCH(OrdersTable[[#This Row],[State Code]],State!B:B,0))</f>
        <v>West</v>
      </c>
      <c r="K1341" t="s">
        <v>81</v>
      </c>
      <c r="L1341" t="s">
        <v>65</v>
      </c>
      <c r="M1341" t="s">
        <v>24</v>
      </c>
      <c r="N1341" t="str">
        <f>INDEX(Products!B:B,MATCH(OrdersTable[[#This Row],[Product ID]],Products!A:A,0))</f>
        <v>Scented Candle Set</v>
      </c>
      <c r="O1341" t="str">
        <f>INDEX(Products!C:C,MATCH(OrdersTable[[#This Row],[Product ID]],Products!A:A,0))</f>
        <v>Home &amp; Kitchen</v>
      </c>
      <c r="P1341">
        <v>1</v>
      </c>
      <c r="Q1341" s="5">
        <v>699</v>
      </c>
      <c r="R1341" s="74">
        <v>0.2</v>
      </c>
      <c r="S1341" s="75">
        <f>OrdersTable[[#This Row],[Quantity]]*OrdersTable[[#This Row],[Unit Price]]</f>
        <v>699</v>
      </c>
      <c r="T1341" s="5">
        <f>OrdersTable[[#This Row],[Gross Sale]]*OrdersTable[[#This Row],[Discount_Clean2]]</f>
        <v>139.80000000000001</v>
      </c>
      <c r="U1341" s="5">
        <f>OrdersTable[[#This Row],[Gross Sale]]-OrdersTable[[#This Row],[Discount Amount]]</f>
        <v>559.20000000000005</v>
      </c>
      <c r="V1341" s="77">
        <f>INDEX(Products!E:E,MATCH(OrdersTable[[#This Row],[Product ID]],Products!A:A,0))</f>
        <v>245</v>
      </c>
      <c r="W1341" s="77">
        <f>OrdersTable[[#This Row],[Quantity]]*OrdersTable[[#This Row],[Unit Cost]]</f>
        <v>245</v>
      </c>
      <c r="X1341" s="77">
        <f>'Dropdown Lists'!$I$2*(1+OrdersTable[[#This Row],[Returned]])</f>
        <v>60</v>
      </c>
      <c r="Y1341" s="76">
        <f>OrdersTable[[#This Row],[Net Revenue]]-OrdersTable[[#This Row],[COGS]]-OrdersTable[[#This Row],[Shipping Cost]]</f>
        <v>254.20000000000005</v>
      </c>
      <c r="Z1341" s="78">
        <f>IFERROR(OrdersTable[[#This Row],[Profit]]/OrdersTable[[#This Row],[Net Revenue]],0)</f>
        <v>0.45457796852646642</v>
      </c>
      <c r="AA1341" t="s">
        <v>18</v>
      </c>
      <c r="AB1341" s="79">
        <v>45563</v>
      </c>
      <c r="AC1341">
        <f>OrdersTable[[#This Row],[Delivery Date]]-OrdersTable[[#This Row],[Order Date]]</f>
        <v>5</v>
      </c>
      <c r="AD1341" t="str">
        <f>IF(OrdersTable[[#This Row],[Delivery Days]]&lt;=2, "Express (≤2d)", IF(OrdersTable[[#This Row],[Delivery Days]]&lt;=4, "Standard (3-4d)", "Delayed (5d+)"))</f>
        <v>Delayed (5d+)</v>
      </c>
      <c r="AE1341">
        <v>4</v>
      </c>
      <c r="AF1341">
        <v>0</v>
      </c>
    </row>
    <row r="1342" spans="1:32" ht="15" x14ac:dyDescent="0.35">
      <c r="A1342" t="s">
        <v>1366</v>
      </c>
      <c r="B1342" s="1">
        <v>45558</v>
      </c>
      <c r="C1342">
        <f>YEAR(OrdersTable[[#This Row],[Order Date]])</f>
        <v>2024</v>
      </c>
      <c r="D1342" s="2">
        <f>DATE(YEAR(OrdersTable[[#This Row],[Order Date]]),MONTH(OrdersTable[[#This Row],[Order Date]]),1)</f>
        <v>45536</v>
      </c>
      <c r="E1342">
        <f>MONTH(OrdersTable[[#This Row],[Order Date]])</f>
        <v>9</v>
      </c>
      <c r="F1342" t="s">
        <v>558</v>
      </c>
      <c r="G1342" t="str">
        <f>IF(OrdersTable[[#This Row],[Order Date]]=_xlfn.MINIFS(Order_Date, Customer_ID, OrdersTable[[#This Row],[Customer ID]]), "New", "Repeat")</f>
        <v>New</v>
      </c>
      <c r="H1342" t="s">
        <v>95</v>
      </c>
      <c r="I1342" t="str">
        <f>INDEX(State!B:B,MATCH(OrdersTable[[#This Row],[State]],State!A:A,0))</f>
        <v>TG</v>
      </c>
      <c r="J1342" t="str">
        <f>INDEX(State!C:C,MATCH(OrdersTable[[#This Row],[State Code]],State!B:B,0))</f>
        <v>South</v>
      </c>
      <c r="K1342" t="s">
        <v>96</v>
      </c>
      <c r="L1342" t="s">
        <v>23</v>
      </c>
      <c r="M1342" t="s">
        <v>106</v>
      </c>
      <c r="N1342" t="str">
        <f>INDEX(Products!B:B,MATCH(OrdersTable[[#This Row],[Product ID]],Products!A:A,0))</f>
        <v>Keratin Hair Mask</v>
      </c>
      <c r="O1342" t="str">
        <f>INDEX(Products!C:C,MATCH(OrdersTable[[#This Row],[Product ID]],Products!A:A,0))</f>
        <v>Haircare</v>
      </c>
      <c r="P1342">
        <v>1</v>
      </c>
      <c r="Q1342" s="5">
        <v>549</v>
      </c>
      <c r="R1342" s="74">
        <v>0.2</v>
      </c>
      <c r="S1342" s="75">
        <f>OrdersTable[[#This Row],[Quantity]]*OrdersTable[[#This Row],[Unit Price]]</f>
        <v>549</v>
      </c>
      <c r="T1342" s="5">
        <f>OrdersTable[[#This Row],[Gross Sale]]*OrdersTable[[#This Row],[Discount_Clean2]]</f>
        <v>109.80000000000001</v>
      </c>
      <c r="U1342" s="5">
        <f>OrdersTable[[#This Row],[Gross Sale]]-OrdersTable[[#This Row],[Discount Amount]]</f>
        <v>439.2</v>
      </c>
      <c r="V1342" s="77">
        <f>INDEX(Products!E:E,MATCH(OrdersTable[[#This Row],[Product ID]],Products!A:A,0))</f>
        <v>170</v>
      </c>
      <c r="W1342" s="77">
        <f>OrdersTable[[#This Row],[Quantity]]*OrdersTable[[#This Row],[Unit Cost]]</f>
        <v>170</v>
      </c>
      <c r="X1342" s="77">
        <f>'Dropdown Lists'!$I$2*(1+OrdersTable[[#This Row],[Returned]])</f>
        <v>60</v>
      </c>
      <c r="Y1342" s="76">
        <f>OrdersTable[[#This Row],[Net Revenue]]-OrdersTable[[#This Row],[COGS]]-OrdersTable[[#This Row],[Shipping Cost]]</f>
        <v>209.2</v>
      </c>
      <c r="Z1342" s="78">
        <f>IFERROR(OrdersTable[[#This Row],[Profit]]/OrdersTable[[#This Row],[Net Revenue]],0)</f>
        <v>0.47632058287795992</v>
      </c>
      <c r="AA1342" t="s">
        <v>18</v>
      </c>
      <c r="AB1342" s="79">
        <v>45561</v>
      </c>
      <c r="AC1342">
        <f>OrdersTable[[#This Row],[Delivery Date]]-OrdersTable[[#This Row],[Order Date]]</f>
        <v>3</v>
      </c>
      <c r="AD1342" t="str">
        <f>IF(OrdersTable[[#This Row],[Delivery Days]]&lt;=2, "Express (≤2d)", IF(OrdersTable[[#This Row],[Delivery Days]]&lt;=4, "Standard (3-4d)", "Delayed (5d+)"))</f>
        <v>Standard (3-4d)</v>
      </c>
      <c r="AF1342">
        <v>0</v>
      </c>
    </row>
    <row r="1343" spans="1:32" ht="15" x14ac:dyDescent="0.35">
      <c r="A1343" t="s">
        <v>5775</v>
      </c>
      <c r="B1343" s="1">
        <v>45558</v>
      </c>
      <c r="C1343">
        <f>YEAR(OrdersTable[[#This Row],[Order Date]])</f>
        <v>2024</v>
      </c>
      <c r="D1343" s="2">
        <f>DATE(YEAR(OrdersTable[[#This Row],[Order Date]]),MONTH(OrdersTable[[#This Row],[Order Date]]),1)</f>
        <v>45536</v>
      </c>
      <c r="E1343">
        <f>MONTH(OrdersTable[[#This Row],[Order Date]])</f>
        <v>9</v>
      </c>
      <c r="F1343" t="s">
        <v>883</v>
      </c>
      <c r="G1343" t="str">
        <f>IF(OrdersTable[[#This Row],[Order Date]]=_xlfn.MINIFS(Order_Date, Customer_ID, OrdersTable[[#This Row],[Customer ID]]), "New", "Repeat")</f>
        <v>Repeat</v>
      </c>
      <c r="H1343" t="s">
        <v>167</v>
      </c>
      <c r="I1343" t="str">
        <f>INDEX(State!B:B,MATCH(OrdersTable[[#This Row],[State]],State!A:A,0))</f>
        <v>KA</v>
      </c>
      <c r="J1343" t="str">
        <f>INDEX(State!C:C,MATCH(OrdersTable[[#This Row],[State Code]],State!B:B,0))</f>
        <v>South</v>
      </c>
      <c r="K1343" t="s">
        <v>190</v>
      </c>
      <c r="L1343" t="s">
        <v>23</v>
      </c>
      <c r="M1343" t="s">
        <v>61</v>
      </c>
      <c r="N1343" t="str">
        <f>INDEX(Products!B:B,MATCH(OrdersTable[[#This Row],[Product ID]],Products!A:A,0))</f>
        <v>Multivitamin Gummies</v>
      </c>
      <c r="O1343" t="str">
        <f>INDEX(Products!C:C,MATCH(OrdersTable[[#This Row],[Product ID]],Products!A:A,0))</f>
        <v>Wellness</v>
      </c>
      <c r="P1343">
        <v>2</v>
      </c>
      <c r="Q1343" s="5">
        <v>699</v>
      </c>
      <c r="R1343" s="74">
        <v>0.2</v>
      </c>
      <c r="S1343" s="75">
        <f>OrdersTable[[#This Row],[Quantity]]*OrdersTable[[#This Row],[Unit Price]]</f>
        <v>1398</v>
      </c>
      <c r="T1343" s="5">
        <f>OrdersTable[[#This Row],[Gross Sale]]*OrdersTable[[#This Row],[Discount_Clean2]]</f>
        <v>279.60000000000002</v>
      </c>
      <c r="U1343" s="5">
        <f>OrdersTable[[#This Row],[Gross Sale]]-OrdersTable[[#This Row],[Discount Amount]]</f>
        <v>1118.4000000000001</v>
      </c>
      <c r="V1343" s="77">
        <f>INDEX(Products!E:E,MATCH(OrdersTable[[#This Row],[Product ID]],Products!A:A,0))</f>
        <v>238</v>
      </c>
      <c r="W1343" s="77">
        <f>OrdersTable[[#This Row],[Quantity]]*OrdersTable[[#This Row],[Unit Cost]]</f>
        <v>476</v>
      </c>
      <c r="X1343" s="77">
        <f>'Dropdown Lists'!$I$2*(1+OrdersTable[[#This Row],[Returned]])</f>
        <v>60</v>
      </c>
      <c r="Y1343" s="76">
        <f>OrdersTable[[#This Row],[Net Revenue]]-OrdersTable[[#This Row],[COGS]]-OrdersTable[[#This Row],[Shipping Cost]]</f>
        <v>582.40000000000009</v>
      </c>
      <c r="Z1343" s="78">
        <f>IFERROR(OrdersTable[[#This Row],[Profit]]/OrdersTable[[#This Row],[Net Revenue]],0)</f>
        <v>0.5207439198855508</v>
      </c>
      <c r="AA1343" t="s">
        <v>18</v>
      </c>
      <c r="AB1343" s="79">
        <v>45559</v>
      </c>
      <c r="AC1343">
        <f>OrdersTable[[#This Row],[Delivery Date]]-OrdersTable[[#This Row],[Order Date]]</f>
        <v>1</v>
      </c>
      <c r="AD1343" t="str">
        <f>IF(OrdersTable[[#This Row],[Delivery Days]]&lt;=2, "Express (≤2d)", IF(OrdersTable[[#This Row],[Delivery Days]]&lt;=4, "Standard (3-4d)", "Delayed (5d+)"))</f>
        <v>Express (≤2d)</v>
      </c>
      <c r="AE1343">
        <v>5</v>
      </c>
      <c r="AF1343">
        <v>0</v>
      </c>
    </row>
    <row r="1344" spans="1:32" ht="15" x14ac:dyDescent="0.35">
      <c r="A1344" t="s">
        <v>1367</v>
      </c>
      <c r="B1344" s="1">
        <v>45558</v>
      </c>
      <c r="C1344">
        <f>YEAR(OrdersTable[[#This Row],[Order Date]])</f>
        <v>2024</v>
      </c>
      <c r="D1344" s="2">
        <f>DATE(YEAR(OrdersTable[[#This Row],[Order Date]]),MONTH(OrdersTable[[#This Row],[Order Date]]),1)</f>
        <v>45536</v>
      </c>
      <c r="E1344">
        <f>MONTH(OrdersTable[[#This Row],[Order Date]])</f>
        <v>9</v>
      </c>
      <c r="F1344" t="s">
        <v>1368</v>
      </c>
      <c r="G1344" t="str">
        <f>IF(OrdersTable[[#This Row],[Order Date]]=_xlfn.MINIFS(Order_Date, Customer_ID, OrdersTable[[#This Row],[Customer ID]]), "New", "Repeat")</f>
        <v>New</v>
      </c>
      <c r="H1344" t="s">
        <v>275</v>
      </c>
      <c r="I1344" t="str">
        <f>INDEX(State!B:B,MATCH(OrdersTable[[#This Row],[State]],State!A:A,0))</f>
        <v>AP</v>
      </c>
      <c r="J1344" t="str">
        <f>INDEX(State!C:C,MATCH(OrdersTable[[#This Row],[State Code]],State!B:B,0))</f>
        <v>South</v>
      </c>
      <c r="K1344" t="s">
        <v>491</v>
      </c>
      <c r="L1344" t="s">
        <v>23</v>
      </c>
      <c r="M1344" t="s">
        <v>106</v>
      </c>
      <c r="N1344" t="str">
        <f>INDEX(Products!B:B,MATCH(OrdersTable[[#This Row],[Product ID]],Products!A:A,0))</f>
        <v>Keratin Hair Mask</v>
      </c>
      <c r="O1344" t="str">
        <f>INDEX(Products!C:C,MATCH(OrdersTable[[#This Row],[Product ID]],Products!A:A,0))</f>
        <v>Haircare</v>
      </c>
      <c r="P1344">
        <v>1</v>
      </c>
      <c r="Q1344" s="5">
        <v>549</v>
      </c>
      <c r="R1344" s="74">
        <v>0.1</v>
      </c>
      <c r="S1344" s="75">
        <f>OrdersTable[[#This Row],[Quantity]]*OrdersTable[[#This Row],[Unit Price]]</f>
        <v>549</v>
      </c>
      <c r="T1344" s="5">
        <f>OrdersTable[[#This Row],[Gross Sale]]*OrdersTable[[#This Row],[Discount_Clean2]]</f>
        <v>54.900000000000006</v>
      </c>
      <c r="U1344" s="5">
        <f>OrdersTable[[#This Row],[Gross Sale]]-OrdersTable[[#This Row],[Discount Amount]]</f>
        <v>494.1</v>
      </c>
      <c r="V1344" s="77">
        <f>INDEX(Products!E:E,MATCH(OrdersTable[[#This Row],[Product ID]],Products!A:A,0))</f>
        <v>170</v>
      </c>
      <c r="W1344" s="77">
        <f>OrdersTable[[#This Row],[Quantity]]*OrdersTable[[#This Row],[Unit Cost]]</f>
        <v>170</v>
      </c>
      <c r="X1344" s="77">
        <f>'Dropdown Lists'!$I$2*(1+OrdersTable[[#This Row],[Returned]])</f>
        <v>60</v>
      </c>
      <c r="Y1344" s="76">
        <f>OrdersTable[[#This Row],[Net Revenue]]-OrdersTable[[#This Row],[COGS]]-OrdersTable[[#This Row],[Shipping Cost]]</f>
        <v>264.10000000000002</v>
      </c>
      <c r="Z1344" s="78">
        <f>IFERROR(OrdersTable[[#This Row],[Profit]]/OrdersTable[[#This Row],[Net Revenue]],0)</f>
        <v>0.53450718478040882</v>
      </c>
      <c r="AA1344" t="s">
        <v>18</v>
      </c>
      <c r="AB1344" s="79">
        <v>45563</v>
      </c>
      <c r="AC1344">
        <f>OrdersTable[[#This Row],[Delivery Date]]-OrdersTable[[#This Row],[Order Date]]</f>
        <v>5</v>
      </c>
      <c r="AD1344" t="str">
        <f>IF(OrdersTable[[#This Row],[Delivery Days]]&lt;=2, "Express (≤2d)", IF(OrdersTable[[#This Row],[Delivery Days]]&lt;=4, "Standard (3-4d)", "Delayed (5d+)"))</f>
        <v>Delayed (5d+)</v>
      </c>
      <c r="AF1344">
        <v>0</v>
      </c>
    </row>
    <row r="1345" spans="1:32" ht="15" x14ac:dyDescent="0.35">
      <c r="A1345" t="s">
        <v>3988</v>
      </c>
      <c r="B1345" s="1">
        <v>45559</v>
      </c>
      <c r="C1345">
        <f>YEAR(OrdersTable[[#This Row],[Order Date]])</f>
        <v>2024</v>
      </c>
      <c r="D1345" s="2">
        <f>DATE(YEAR(OrdersTable[[#This Row],[Order Date]]),MONTH(OrdersTable[[#This Row],[Order Date]]),1)</f>
        <v>45536</v>
      </c>
      <c r="E1345">
        <f>MONTH(OrdersTable[[#This Row],[Order Date]])</f>
        <v>9</v>
      </c>
      <c r="F1345" t="s">
        <v>3989</v>
      </c>
      <c r="G1345" t="str">
        <f>IF(OrdersTable[[#This Row],[Order Date]]=_xlfn.MINIFS(Order_Date, Customer_ID, OrdersTable[[#This Row],[Customer ID]]), "New", "Repeat")</f>
        <v>New</v>
      </c>
      <c r="H1345" t="s">
        <v>48</v>
      </c>
      <c r="I1345" t="str">
        <f>INDEX(State!B:B,MATCH(OrdersTable[[#This Row],[State]],State!A:A,0))</f>
        <v>HR</v>
      </c>
      <c r="J1345" t="str">
        <f>INDEX(State!C:C,MATCH(OrdersTable[[#This Row],[State Code]],State!B:B,0))</f>
        <v>North</v>
      </c>
      <c r="K1345" t="s">
        <v>151</v>
      </c>
      <c r="L1345" t="s">
        <v>65</v>
      </c>
      <c r="M1345" t="s">
        <v>160</v>
      </c>
      <c r="N1345" t="str">
        <f>INDEX(Products!B:B,MATCH(OrdersTable[[#This Row],[Product ID]],Products!A:A,0))</f>
        <v>Niacinamide Toner</v>
      </c>
      <c r="O1345" t="str">
        <f>INDEX(Products!C:C,MATCH(OrdersTable[[#This Row],[Product ID]],Products!A:A,0))</f>
        <v>Skincare</v>
      </c>
      <c r="P1345">
        <v>1</v>
      </c>
      <c r="Q1345" s="5">
        <v>399</v>
      </c>
      <c r="R1345" s="74">
        <v>0.2</v>
      </c>
      <c r="S1345" s="75">
        <f>OrdersTable[[#This Row],[Quantity]]*OrdersTable[[#This Row],[Unit Price]]</f>
        <v>399</v>
      </c>
      <c r="T1345" s="5">
        <f>OrdersTable[[#This Row],[Gross Sale]]*OrdersTable[[#This Row],[Discount_Clean2]]</f>
        <v>79.800000000000011</v>
      </c>
      <c r="U1345" s="5">
        <f>OrdersTable[[#This Row],[Gross Sale]]-OrdersTable[[#This Row],[Discount Amount]]</f>
        <v>319.2</v>
      </c>
      <c r="V1345" s="77">
        <f>INDEX(Products!E:E,MATCH(OrdersTable[[#This Row],[Product ID]],Products!A:A,0))</f>
        <v>112</v>
      </c>
      <c r="W1345" s="77">
        <f>OrdersTable[[#This Row],[Quantity]]*OrdersTable[[#This Row],[Unit Cost]]</f>
        <v>112</v>
      </c>
      <c r="X1345" s="77">
        <f>'Dropdown Lists'!$I$2*(1+OrdersTable[[#This Row],[Returned]])</f>
        <v>60</v>
      </c>
      <c r="Y1345" s="76">
        <f>OrdersTable[[#This Row],[Net Revenue]]-OrdersTable[[#This Row],[COGS]]-OrdersTable[[#This Row],[Shipping Cost]]</f>
        <v>147.19999999999999</v>
      </c>
      <c r="Z1345" s="78">
        <f>IFERROR(OrdersTable[[#This Row],[Profit]]/OrdersTable[[#This Row],[Net Revenue]],0)</f>
        <v>0.46115288220551376</v>
      </c>
      <c r="AA1345" t="s">
        <v>3495</v>
      </c>
      <c r="AB1345" s="79">
        <v>45562</v>
      </c>
      <c r="AC1345">
        <f>OrdersTable[[#This Row],[Delivery Date]]-OrdersTable[[#This Row],[Order Date]]</f>
        <v>3</v>
      </c>
      <c r="AD1345" t="str">
        <f>IF(OrdersTable[[#This Row],[Delivery Days]]&lt;=2, "Express (≤2d)", IF(OrdersTable[[#This Row],[Delivery Days]]&lt;=4, "Standard (3-4d)", "Delayed (5d+)"))</f>
        <v>Standard (3-4d)</v>
      </c>
      <c r="AE1345">
        <v>5</v>
      </c>
      <c r="AF1345">
        <v>0</v>
      </c>
    </row>
    <row r="1346" spans="1:32" ht="15" x14ac:dyDescent="0.35">
      <c r="A1346" t="s">
        <v>513</v>
      </c>
      <c r="B1346" s="1">
        <v>45559</v>
      </c>
      <c r="C1346">
        <f>YEAR(OrdersTable[[#This Row],[Order Date]])</f>
        <v>2024</v>
      </c>
      <c r="D1346" s="2">
        <f>DATE(YEAR(OrdersTable[[#This Row],[Order Date]]),MONTH(OrdersTable[[#This Row],[Order Date]]),1)</f>
        <v>45536</v>
      </c>
      <c r="E1346">
        <f>MONTH(OrdersTable[[#This Row],[Order Date]])</f>
        <v>9</v>
      </c>
      <c r="F1346" t="s">
        <v>514</v>
      </c>
      <c r="G1346" t="str">
        <f>IF(OrdersTable[[#This Row],[Order Date]]=_xlfn.MINIFS(Order_Date, Customer_ID, OrdersTable[[#This Row],[Customer ID]]), "New", "Repeat")</f>
        <v>New</v>
      </c>
      <c r="H1346" t="s">
        <v>48</v>
      </c>
      <c r="I1346" t="str">
        <f>INDEX(State!B:B,MATCH(OrdersTable[[#This Row],[State]],State!A:A,0))</f>
        <v>HR</v>
      </c>
      <c r="J1346" t="str">
        <f>INDEX(State!C:C,MATCH(OrdersTable[[#This Row],[State Code]],State!B:B,0))</f>
        <v>North</v>
      </c>
      <c r="K1346" t="s">
        <v>49</v>
      </c>
      <c r="L1346" t="s">
        <v>50</v>
      </c>
      <c r="M1346" t="s">
        <v>73</v>
      </c>
      <c r="N1346" t="str">
        <f>INDEX(Products!B:B,MATCH(OrdersTable[[#This Row],[Product ID]],Products!A:A,0))</f>
        <v>Hydrating Face Wash</v>
      </c>
      <c r="O1346" t="str">
        <f>INDEX(Products!C:C,MATCH(OrdersTable[[#This Row],[Product ID]],Products!A:A,0))</f>
        <v>Skincare</v>
      </c>
      <c r="P1346">
        <v>1</v>
      </c>
      <c r="Q1346" s="5">
        <v>299</v>
      </c>
      <c r="R1346" s="74">
        <v>0.1</v>
      </c>
      <c r="S1346" s="75">
        <f>OrdersTable[[#This Row],[Quantity]]*OrdersTable[[#This Row],[Unit Price]]</f>
        <v>299</v>
      </c>
      <c r="T1346" s="5">
        <f>OrdersTable[[#This Row],[Gross Sale]]*OrdersTable[[#This Row],[Discount_Clean2]]</f>
        <v>29.900000000000002</v>
      </c>
      <c r="U1346" s="5">
        <f>OrdersTable[[#This Row],[Gross Sale]]-OrdersTable[[#This Row],[Discount Amount]]</f>
        <v>269.10000000000002</v>
      </c>
      <c r="V1346" s="77">
        <f>INDEX(Products!E:E,MATCH(OrdersTable[[#This Row],[Product ID]],Products!A:A,0))</f>
        <v>90</v>
      </c>
      <c r="W1346" s="77">
        <f>OrdersTable[[#This Row],[Quantity]]*OrdersTable[[#This Row],[Unit Cost]]</f>
        <v>90</v>
      </c>
      <c r="X1346" s="77">
        <f>'Dropdown Lists'!$I$2*(1+OrdersTable[[#This Row],[Returned]])</f>
        <v>60</v>
      </c>
      <c r="Y1346" s="76">
        <f>OrdersTable[[#This Row],[Net Revenue]]-OrdersTable[[#This Row],[COGS]]-OrdersTable[[#This Row],[Shipping Cost]]</f>
        <v>119.10000000000002</v>
      </c>
      <c r="Z1346" s="78">
        <f>IFERROR(OrdersTable[[#This Row],[Profit]]/OrdersTable[[#This Row],[Net Revenue]],0)</f>
        <v>0.4425863991081383</v>
      </c>
      <c r="AA1346" t="s">
        <v>18</v>
      </c>
      <c r="AB1346" s="79">
        <v>45564</v>
      </c>
      <c r="AC1346">
        <f>OrdersTable[[#This Row],[Delivery Date]]-OrdersTable[[#This Row],[Order Date]]</f>
        <v>5</v>
      </c>
      <c r="AD1346" t="str">
        <f>IF(OrdersTable[[#This Row],[Delivery Days]]&lt;=2, "Express (≤2d)", IF(OrdersTable[[#This Row],[Delivery Days]]&lt;=4, "Standard (3-4d)", "Delayed (5d+)"))</f>
        <v>Delayed (5d+)</v>
      </c>
      <c r="AE1346">
        <v>4</v>
      </c>
      <c r="AF1346">
        <v>0</v>
      </c>
    </row>
    <row r="1347" spans="1:32" ht="15" x14ac:dyDescent="0.35">
      <c r="A1347" t="s">
        <v>5776</v>
      </c>
      <c r="B1347" s="1">
        <v>45559</v>
      </c>
      <c r="C1347">
        <f>YEAR(OrdersTable[[#This Row],[Order Date]])</f>
        <v>2024</v>
      </c>
      <c r="D1347" s="2">
        <f>DATE(YEAR(OrdersTable[[#This Row],[Order Date]]),MONTH(OrdersTable[[#This Row],[Order Date]]),1)</f>
        <v>45536</v>
      </c>
      <c r="E1347">
        <f>MONTH(OrdersTable[[#This Row],[Order Date]])</f>
        <v>9</v>
      </c>
      <c r="F1347" t="s">
        <v>3569</v>
      </c>
      <c r="G1347" t="str">
        <f>IF(OrdersTable[[#This Row],[Order Date]]=_xlfn.MINIFS(Order_Date, Customer_ID, OrdersTable[[#This Row],[Customer ID]]), "New", "Repeat")</f>
        <v>New</v>
      </c>
      <c r="H1347" t="s">
        <v>37</v>
      </c>
      <c r="I1347" t="str">
        <f>INDEX(State!B:B,MATCH(OrdersTable[[#This Row],[State]],State!A:A,0))</f>
        <v>GJ</v>
      </c>
      <c r="J1347" t="str">
        <f>INDEX(State!C:C,MATCH(OrdersTable[[#This Row],[State Code]],State!B:B,0))</f>
        <v>West</v>
      </c>
      <c r="K1347" t="s">
        <v>38</v>
      </c>
      <c r="L1347" t="s">
        <v>39</v>
      </c>
      <c r="M1347" t="s">
        <v>255</v>
      </c>
      <c r="N1347" t="str">
        <f>INDEX(Products!B:B,MATCH(OrdersTable[[#This Row],[Product ID]],Products!A:A,0))</f>
        <v>Cotton Oversized T-Shirt</v>
      </c>
      <c r="O1347" t="str">
        <f>INDEX(Products!C:C,MATCH(OrdersTable[[#This Row],[Product ID]],Products!A:A,0))</f>
        <v>Apparel</v>
      </c>
      <c r="P1347">
        <v>2</v>
      </c>
      <c r="Q1347" s="5">
        <v>799</v>
      </c>
      <c r="R1347" s="74">
        <v>0</v>
      </c>
      <c r="S1347" s="75">
        <f>OrdersTable[[#This Row],[Quantity]]*OrdersTable[[#This Row],[Unit Price]]</f>
        <v>1598</v>
      </c>
      <c r="T1347" s="5">
        <f>OrdersTable[[#This Row],[Gross Sale]]*OrdersTable[[#This Row],[Discount_Clean2]]</f>
        <v>0</v>
      </c>
      <c r="U1347" s="5">
        <f>OrdersTable[[#This Row],[Gross Sale]]-OrdersTable[[#This Row],[Discount Amount]]</f>
        <v>1598</v>
      </c>
      <c r="V1347" s="77">
        <f>INDEX(Products!E:E,MATCH(OrdersTable[[#This Row],[Product ID]],Products!A:A,0))</f>
        <v>320</v>
      </c>
      <c r="W1347" s="77">
        <f>OrdersTable[[#This Row],[Quantity]]*OrdersTable[[#This Row],[Unit Cost]]</f>
        <v>640</v>
      </c>
      <c r="X1347" s="77">
        <f>'Dropdown Lists'!$I$2*(1+OrdersTable[[#This Row],[Returned]])</f>
        <v>60</v>
      </c>
      <c r="Y1347" s="76">
        <f>OrdersTable[[#This Row],[Net Revenue]]-OrdersTable[[#This Row],[COGS]]-OrdersTable[[#This Row],[Shipping Cost]]</f>
        <v>898</v>
      </c>
      <c r="Z1347" s="78">
        <f>IFERROR(OrdersTable[[#This Row],[Profit]]/OrdersTable[[#This Row],[Net Revenue]],0)</f>
        <v>0.56195244055068838</v>
      </c>
      <c r="AA1347" t="s">
        <v>18</v>
      </c>
      <c r="AB1347" s="79">
        <v>45561</v>
      </c>
      <c r="AC1347">
        <f>OrdersTable[[#This Row],[Delivery Date]]-OrdersTable[[#This Row],[Order Date]]</f>
        <v>2</v>
      </c>
      <c r="AD1347" t="str">
        <f>IF(OrdersTable[[#This Row],[Delivery Days]]&lt;=2, "Express (≤2d)", IF(OrdersTable[[#This Row],[Delivery Days]]&lt;=4, "Standard (3-4d)", "Delayed (5d+)"))</f>
        <v>Express (≤2d)</v>
      </c>
      <c r="AE1347">
        <v>5</v>
      </c>
      <c r="AF1347">
        <v>0</v>
      </c>
    </row>
    <row r="1348" spans="1:32" ht="15" x14ac:dyDescent="0.35">
      <c r="A1348" t="s">
        <v>5345</v>
      </c>
      <c r="B1348" s="1">
        <v>45559</v>
      </c>
      <c r="C1348">
        <f>YEAR(OrdersTable[[#This Row],[Order Date]])</f>
        <v>2024</v>
      </c>
      <c r="D1348" s="2">
        <f>DATE(YEAR(OrdersTable[[#This Row],[Order Date]]),MONTH(OrdersTable[[#This Row],[Order Date]]),1)</f>
        <v>45536</v>
      </c>
      <c r="E1348">
        <f>MONTH(OrdersTable[[#This Row],[Order Date]])</f>
        <v>9</v>
      </c>
      <c r="F1348" t="s">
        <v>5346</v>
      </c>
      <c r="G1348" t="str">
        <f>IF(OrdersTable[[#This Row],[Order Date]]=_xlfn.MINIFS(Order_Date, Customer_ID, OrdersTable[[#This Row],[Customer ID]]), "New", "Repeat")</f>
        <v>Repeat</v>
      </c>
      <c r="H1348" t="s">
        <v>27</v>
      </c>
      <c r="I1348" t="str">
        <f>INDEX(State!B:B,MATCH(OrdersTable[[#This Row],[State]],State!A:A,0))</f>
        <v>WB</v>
      </c>
      <c r="J1348" t="str">
        <f>INDEX(State!C:C,MATCH(OrdersTable[[#This Row],[State Code]],State!B:B,0))</f>
        <v>East</v>
      </c>
      <c r="K1348" t="s">
        <v>28</v>
      </c>
      <c r="L1348" t="s">
        <v>65</v>
      </c>
      <c r="M1348" t="s">
        <v>106</v>
      </c>
      <c r="N1348" t="str">
        <f>INDEX(Products!B:B,MATCH(OrdersTable[[#This Row],[Product ID]],Products!A:A,0))</f>
        <v>Keratin Hair Mask</v>
      </c>
      <c r="O1348" t="str">
        <f>INDEX(Products!C:C,MATCH(OrdersTable[[#This Row],[Product ID]],Products!A:A,0))</f>
        <v>Haircare</v>
      </c>
      <c r="P1348">
        <v>2</v>
      </c>
      <c r="Q1348" s="5">
        <v>549</v>
      </c>
      <c r="R1348" s="74">
        <v>0.1</v>
      </c>
      <c r="S1348" s="75">
        <f>OrdersTable[[#This Row],[Quantity]]*OrdersTable[[#This Row],[Unit Price]]</f>
        <v>1098</v>
      </c>
      <c r="T1348" s="5">
        <f>OrdersTable[[#This Row],[Gross Sale]]*OrdersTable[[#This Row],[Discount_Clean2]]</f>
        <v>109.80000000000001</v>
      </c>
      <c r="U1348" s="5">
        <f>OrdersTable[[#This Row],[Gross Sale]]-OrdersTable[[#This Row],[Discount Amount]]</f>
        <v>988.2</v>
      </c>
      <c r="V1348" s="77">
        <f>INDEX(Products!E:E,MATCH(OrdersTable[[#This Row],[Product ID]],Products!A:A,0))</f>
        <v>170</v>
      </c>
      <c r="W1348" s="77">
        <f>OrdersTable[[#This Row],[Quantity]]*OrdersTable[[#This Row],[Unit Cost]]</f>
        <v>340</v>
      </c>
      <c r="X1348" s="77">
        <f>'Dropdown Lists'!$I$2*(1+OrdersTable[[#This Row],[Returned]])</f>
        <v>120</v>
      </c>
      <c r="Y1348" s="76">
        <f>OrdersTable[[#This Row],[Net Revenue]]-OrdersTable[[#This Row],[COGS]]-OrdersTable[[#This Row],[Shipping Cost]]</f>
        <v>528.20000000000005</v>
      </c>
      <c r="Z1348" s="78">
        <f>IFERROR(OrdersTable[[#This Row],[Profit]]/OrdersTable[[#This Row],[Net Revenue]],0)</f>
        <v>0.53450718478040882</v>
      </c>
      <c r="AA1348" t="s">
        <v>2522</v>
      </c>
      <c r="AB1348" s="79">
        <v>45564</v>
      </c>
      <c r="AC1348">
        <f>OrdersTable[[#This Row],[Delivery Date]]-OrdersTable[[#This Row],[Order Date]]</f>
        <v>5</v>
      </c>
      <c r="AD1348" t="str">
        <f>IF(OrdersTable[[#This Row],[Delivery Days]]&lt;=2, "Express (≤2d)", IF(OrdersTable[[#This Row],[Delivery Days]]&lt;=4, "Standard (3-4d)", "Delayed (5d+)"))</f>
        <v>Delayed (5d+)</v>
      </c>
      <c r="AE1348">
        <v>3</v>
      </c>
      <c r="AF1348">
        <v>1</v>
      </c>
    </row>
    <row r="1349" spans="1:32" ht="15" x14ac:dyDescent="0.35">
      <c r="A1349" t="s">
        <v>186</v>
      </c>
      <c r="B1349" s="1">
        <v>45559</v>
      </c>
      <c r="C1349">
        <f>YEAR(OrdersTable[[#This Row],[Order Date]])</f>
        <v>2024</v>
      </c>
      <c r="D1349" s="2">
        <f>DATE(YEAR(OrdersTable[[#This Row],[Order Date]]),MONTH(OrdersTable[[#This Row],[Order Date]]),1)</f>
        <v>45536</v>
      </c>
      <c r="E1349">
        <f>MONTH(OrdersTable[[#This Row],[Order Date]])</f>
        <v>9</v>
      </c>
      <c r="F1349" t="s">
        <v>187</v>
      </c>
      <c r="G1349" t="str">
        <f>IF(OrdersTable[[#This Row],[Order Date]]=_xlfn.MINIFS(Order_Date, Customer_ID, OrdersTable[[#This Row],[Customer ID]]), "New", "Repeat")</f>
        <v>Repeat</v>
      </c>
      <c r="H1349" t="s">
        <v>71</v>
      </c>
      <c r="I1349" t="str">
        <f>INDEX(State!B:B,MATCH(OrdersTable[[#This Row],[State]],State!A:A,0))</f>
        <v>MH</v>
      </c>
      <c r="J1349" t="str">
        <f>INDEX(State!C:C,MATCH(OrdersTable[[#This Row],[State Code]],State!B:B,0))</f>
        <v>West</v>
      </c>
      <c r="K1349" t="s">
        <v>72</v>
      </c>
      <c r="L1349" t="s">
        <v>39</v>
      </c>
      <c r="M1349" t="s">
        <v>45</v>
      </c>
      <c r="N1349" t="str">
        <f>INDEX(Products!B:B,MATCH(OrdersTable[[#This Row],[Product ID]],Products!A:A,0))</f>
        <v>Argan Shampoo</v>
      </c>
      <c r="O1349" t="str">
        <f>INDEX(Products!C:C,MATCH(OrdersTable[[#This Row],[Product ID]],Products!A:A,0))</f>
        <v>Haircare</v>
      </c>
      <c r="P1349">
        <v>1</v>
      </c>
      <c r="Q1349" s="5">
        <v>449</v>
      </c>
      <c r="R1349" s="74">
        <v>0</v>
      </c>
      <c r="S1349" s="75">
        <f>OrdersTable[[#This Row],[Quantity]]*OrdersTable[[#This Row],[Unit Price]]</f>
        <v>449</v>
      </c>
      <c r="T1349" s="5">
        <f>OrdersTable[[#This Row],[Gross Sale]]*OrdersTable[[#This Row],[Discount_Clean2]]</f>
        <v>0</v>
      </c>
      <c r="U1349" s="5">
        <f>OrdersTable[[#This Row],[Gross Sale]]-OrdersTable[[#This Row],[Discount Amount]]</f>
        <v>449</v>
      </c>
      <c r="V1349" s="77">
        <f>INDEX(Products!E:E,MATCH(OrdersTable[[#This Row],[Product ID]],Products!A:A,0))</f>
        <v>148</v>
      </c>
      <c r="W1349" s="77">
        <f>OrdersTable[[#This Row],[Quantity]]*OrdersTable[[#This Row],[Unit Cost]]</f>
        <v>148</v>
      </c>
      <c r="X1349" s="77">
        <f>'Dropdown Lists'!$I$2*(1+OrdersTable[[#This Row],[Returned]])</f>
        <v>60</v>
      </c>
      <c r="Y1349" s="76">
        <f>OrdersTable[[#This Row],[Net Revenue]]-OrdersTable[[#This Row],[COGS]]-OrdersTable[[#This Row],[Shipping Cost]]</f>
        <v>241</v>
      </c>
      <c r="Z1349" s="78">
        <f>IFERROR(OrdersTable[[#This Row],[Profit]]/OrdersTable[[#This Row],[Net Revenue]],0)</f>
        <v>0.53674832962138086</v>
      </c>
      <c r="AA1349" t="s">
        <v>18</v>
      </c>
      <c r="AB1349" s="79">
        <v>45563</v>
      </c>
      <c r="AC1349">
        <f>OrdersTable[[#This Row],[Delivery Date]]-OrdersTable[[#This Row],[Order Date]]</f>
        <v>4</v>
      </c>
      <c r="AD1349" t="str">
        <f>IF(OrdersTable[[#This Row],[Delivery Days]]&lt;=2, "Express (≤2d)", IF(OrdersTable[[#This Row],[Delivery Days]]&lt;=4, "Standard (3-4d)", "Delayed (5d+)"))</f>
        <v>Standard (3-4d)</v>
      </c>
      <c r="AE1349">
        <v>4</v>
      </c>
      <c r="AF1349">
        <v>0</v>
      </c>
    </row>
    <row r="1350" spans="1:32" ht="15" x14ac:dyDescent="0.35">
      <c r="A1350" t="s">
        <v>3736</v>
      </c>
      <c r="B1350" s="1">
        <v>45559</v>
      </c>
      <c r="C1350">
        <f>YEAR(OrdersTable[[#This Row],[Order Date]])</f>
        <v>2024</v>
      </c>
      <c r="D1350" s="2">
        <f>DATE(YEAR(OrdersTable[[#This Row],[Order Date]]),MONTH(OrdersTable[[#This Row],[Order Date]]),1)</f>
        <v>45536</v>
      </c>
      <c r="E1350">
        <f>MONTH(OrdersTable[[#This Row],[Order Date]])</f>
        <v>9</v>
      </c>
      <c r="F1350" t="s">
        <v>3063</v>
      </c>
      <c r="G1350" t="str">
        <f>IF(OrdersTable[[#This Row],[Order Date]]=_xlfn.MINIFS(Order_Date, Customer_ID, OrdersTable[[#This Row],[Customer ID]]), "New", "Repeat")</f>
        <v>New</v>
      </c>
      <c r="H1350" t="s">
        <v>167</v>
      </c>
      <c r="I1350" t="str">
        <f>INDEX(State!B:B,MATCH(OrdersTable[[#This Row],[State]],State!A:A,0))</f>
        <v>KA</v>
      </c>
      <c r="J1350" t="str">
        <f>INDEX(State!C:C,MATCH(OrdersTable[[#This Row],[State Code]],State!B:B,0))</f>
        <v>South</v>
      </c>
      <c r="K1350" t="s">
        <v>168</v>
      </c>
      <c r="L1350" t="s">
        <v>39</v>
      </c>
      <c r="M1350" t="s">
        <v>255</v>
      </c>
      <c r="N1350" t="str">
        <f>INDEX(Products!B:B,MATCH(OrdersTable[[#This Row],[Product ID]],Products!A:A,0))</f>
        <v>Cotton Oversized T-Shirt</v>
      </c>
      <c r="O1350" t="str">
        <f>INDEX(Products!C:C,MATCH(OrdersTable[[#This Row],[Product ID]],Products!A:A,0))</f>
        <v>Apparel</v>
      </c>
      <c r="P1350">
        <v>1</v>
      </c>
      <c r="Q1350" s="5">
        <v>799</v>
      </c>
      <c r="R1350" s="74">
        <v>0</v>
      </c>
      <c r="S1350" s="75">
        <f>OrdersTable[[#This Row],[Quantity]]*OrdersTable[[#This Row],[Unit Price]]</f>
        <v>799</v>
      </c>
      <c r="T1350" s="5">
        <f>OrdersTable[[#This Row],[Gross Sale]]*OrdersTable[[#This Row],[Discount_Clean2]]</f>
        <v>0</v>
      </c>
      <c r="U1350" s="5">
        <f>OrdersTable[[#This Row],[Gross Sale]]-OrdersTable[[#This Row],[Discount Amount]]</f>
        <v>799</v>
      </c>
      <c r="V1350" s="77">
        <f>INDEX(Products!E:E,MATCH(OrdersTable[[#This Row],[Product ID]],Products!A:A,0))</f>
        <v>320</v>
      </c>
      <c r="W1350" s="77">
        <f>OrdersTable[[#This Row],[Quantity]]*OrdersTable[[#This Row],[Unit Cost]]</f>
        <v>320</v>
      </c>
      <c r="X1350" s="77">
        <f>'Dropdown Lists'!$I$2*(1+OrdersTable[[#This Row],[Returned]])</f>
        <v>60</v>
      </c>
      <c r="Y1350" s="76">
        <f>OrdersTable[[#This Row],[Net Revenue]]-OrdersTable[[#This Row],[COGS]]-OrdersTable[[#This Row],[Shipping Cost]]</f>
        <v>419</v>
      </c>
      <c r="Z1350" s="78">
        <f>IFERROR(OrdersTable[[#This Row],[Profit]]/OrdersTable[[#This Row],[Net Revenue]],0)</f>
        <v>0.52440550688360454</v>
      </c>
      <c r="AA1350" t="s">
        <v>3495</v>
      </c>
      <c r="AB1350" s="79">
        <v>45561</v>
      </c>
      <c r="AC1350">
        <f>OrdersTable[[#This Row],[Delivery Date]]-OrdersTable[[#This Row],[Order Date]]</f>
        <v>2</v>
      </c>
      <c r="AD1350" t="str">
        <f>IF(OrdersTable[[#This Row],[Delivery Days]]&lt;=2, "Express (≤2d)", IF(OrdersTable[[#This Row],[Delivery Days]]&lt;=4, "Standard (3-4d)", "Delayed (5d+)"))</f>
        <v>Express (≤2d)</v>
      </c>
      <c r="AF1350">
        <v>0</v>
      </c>
    </row>
    <row r="1351" spans="1:32" ht="15" x14ac:dyDescent="0.35">
      <c r="A1351" t="s">
        <v>4103</v>
      </c>
      <c r="B1351" s="1">
        <v>45559</v>
      </c>
      <c r="C1351">
        <f>YEAR(OrdersTable[[#This Row],[Order Date]])</f>
        <v>2024</v>
      </c>
      <c r="D1351" s="2">
        <f>DATE(YEAR(OrdersTable[[#This Row],[Order Date]]),MONTH(OrdersTable[[#This Row],[Order Date]]),1)</f>
        <v>45536</v>
      </c>
      <c r="E1351">
        <f>MONTH(OrdersTable[[#This Row],[Order Date]])</f>
        <v>9</v>
      </c>
      <c r="F1351" t="s">
        <v>3262</v>
      </c>
      <c r="G1351" t="str">
        <f>IF(OrdersTable[[#This Row],[Order Date]]=_xlfn.MINIFS(Order_Date, Customer_ID, OrdersTable[[#This Row],[Customer ID]]), "New", "Repeat")</f>
        <v>New</v>
      </c>
      <c r="H1351" t="s">
        <v>59</v>
      </c>
      <c r="I1351" t="str">
        <f>INDEX(State!B:B,MATCH(OrdersTable[[#This Row],[State]],State!A:A,0))</f>
        <v>TN</v>
      </c>
      <c r="J1351" t="str">
        <f>INDEX(State!C:C,MATCH(OrdersTable[[#This Row],[State Code]],State!B:B,0))</f>
        <v>South</v>
      </c>
      <c r="K1351" t="s">
        <v>64</v>
      </c>
      <c r="L1351" t="s">
        <v>65</v>
      </c>
      <c r="M1351" t="s">
        <v>228</v>
      </c>
      <c r="N1351" t="str">
        <f>INDEX(Products!B:B,MATCH(OrdersTable[[#This Row],[Product ID]],Products!A:A,0))</f>
        <v>Fast Charger 33W</v>
      </c>
      <c r="O1351" t="str">
        <f>INDEX(Products!C:C,MATCH(OrdersTable[[#This Row],[Product ID]],Products!A:A,0))</f>
        <v>Electronics</v>
      </c>
      <c r="P1351">
        <v>1</v>
      </c>
      <c r="Q1351" s="5">
        <v>899</v>
      </c>
      <c r="R1351" s="74">
        <v>0.1</v>
      </c>
      <c r="S1351" s="75">
        <f>OrdersTable[[#This Row],[Quantity]]*OrdersTable[[#This Row],[Unit Price]]</f>
        <v>899</v>
      </c>
      <c r="T1351" s="5">
        <f>OrdersTable[[#This Row],[Gross Sale]]*OrdersTable[[#This Row],[Discount_Clean2]]</f>
        <v>89.9</v>
      </c>
      <c r="U1351" s="5">
        <f>OrdersTable[[#This Row],[Gross Sale]]-OrdersTable[[#This Row],[Discount Amount]]</f>
        <v>809.1</v>
      </c>
      <c r="V1351" s="77">
        <f>INDEX(Products!E:E,MATCH(OrdersTable[[#This Row],[Product ID]],Products!A:A,0))</f>
        <v>494</v>
      </c>
      <c r="W1351" s="77">
        <f>OrdersTable[[#This Row],[Quantity]]*OrdersTable[[#This Row],[Unit Cost]]</f>
        <v>494</v>
      </c>
      <c r="X1351" s="77">
        <f>'Dropdown Lists'!$I$2*(1+OrdersTable[[#This Row],[Returned]])</f>
        <v>120</v>
      </c>
      <c r="Y1351" s="76">
        <f>OrdersTable[[#This Row],[Net Revenue]]-OrdersTable[[#This Row],[COGS]]-OrdersTable[[#This Row],[Shipping Cost]]</f>
        <v>195.10000000000002</v>
      </c>
      <c r="Z1351" s="78">
        <f>IFERROR(OrdersTable[[#This Row],[Profit]]/OrdersTable[[#This Row],[Net Revenue]],0)</f>
        <v>0.24113212211098753</v>
      </c>
      <c r="AA1351" t="s">
        <v>4074</v>
      </c>
      <c r="AB1351" s="79">
        <v>45561</v>
      </c>
      <c r="AC1351">
        <f>OrdersTable[[#This Row],[Delivery Date]]-OrdersTable[[#This Row],[Order Date]]</f>
        <v>2</v>
      </c>
      <c r="AD1351" t="str">
        <f>IF(OrdersTable[[#This Row],[Delivery Days]]&lt;=2, "Express (≤2d)", IF(OrdersTable[[#This Row],[Delivery Days]]&lt;=4, "Standard (3-4d)", "Delayed (5d+)"))</f>
        <v>Express (≤2d)</v>
      </c>
      <c r="AE1351">
        <v>5</v>
      </c>
      <c r="AF1351">
        <v>1</v>
      </c>
    </row>
    <row r="1352" spans="1:32" ht="15" x14ac:dyDescent="0.35">
      <c r="A1352" t="s">
        <v>5110</v>
      </c>
      <c r="B1352" s="1">
        <v>45560</v>
      </c>
      <c r="C1352">
        <f>YEAR(OrdersTable[[#This Row],[Order Date]])</f>
        <v>2024</v>
      </c>
      <c r="D1352" s="2">
        <f>DATE(YEAR(OrdersTable[[#This Row],[Order Date]]),MONTH(OrdersTable[[#This Row],[Order Date]]),1)</f>
        <v>45536</v>
      </c>
      <c r="E1352">
        <f>MONTH(OrdersTable[[#This Row],[Order Date]])</f>
        <v>9</v>
      </c>
      <c r="F1352" t="s">
        <v>5111</v>
      </c>
      <c r="G1352" t="str">
        <f>IF(OrdersTable[[#This Row],[Order Date]]=_xlfn.MINIFS(Order_Date, Customer_ID, OrdersTable[[#This Row],[Customer ID]]), "New", "Repeat")</f>
        <v>New</v>
      </c>
      <c r="H1352" t="s">
        <v>48</v>
      </c>
      <c r="I1352" t="str">
        <f>INDEX(State!B:B,MATCH(OrdersTable[[#This Row],[State]],State!A:A,0))</f>
        <v>HR</v>
      </c>
      <c r="J1352" t="str">
        <f>INDEX(State!C:C,MATCH(OrdersTable[[#This Row],[State Code]],State!B:B,0))</f>
        <v>North</v>
      </c>
      <c r="K1352" t="s">
        <v>151</v>
      </c>
      <c r="L1352" t="s">
        <v>65</v>
      </c>
      <c r="M1352" t="s">
        <v>173</v>
      </c>
      <c r="N1352" t="str">
        <f>INDEX(Products!B:B,MATCH(OrdersTable[[#This Row],[Product ID]],Products!A:A,0))</f>
        <v>Wireless Earbuds</v>
      </c>
      <c r="O1352" t="str">
        <f>INDEX(Products!C:C,MATCH(OrdersTable[[#This Row],[Product ID]],Products!A:A,0))</f>
        <v>Electronics</v>
      </c>
      <c r="P1352">
        <v>2</v>
      </c>
      <c r="Q1352" s="5">
        <v>1999</v>
      </c>
      <c r="R1352" s="74">
        <v>0.35</v>
      </c>
      <c r="S1352" s="75">
        <f>OrdersTable[[#This Row],[Quantity]]*OrdersTable[[#This Row],[Unit Price]]</f>
        <v>3998</v>
      </c>
      <c r="T1352" s="5">
        <f>OrdersTable[[#This Row],[Gross Sale]]*OrdersTable[[#This Row],[Discount_Clean2]]</f>
        <v>1399.3</v>
      </c>
      <c r="U1352" s="5">
        <f>OrdersTable[[#This Row],[Gross Sale]]-OrdersTable[[#This Row],[Discount Amount]]</f>
        <v>2598.6999999999998</v>
      </c>
      <c r="V1352" s="77">
        <f>INDEX(Products!E:E,MATCH(OrdersTable[[#This Row],[Product ID]],Products!A:A,0))</f>
        <v>1239</v>
      </c>
      <c r="W1352" s="77">
        <f>OrdersTable[[#This Row],[Quantity]]*OrdersTable[[#This Row],[Unit Cost]]</f>
        <v>2478</v>
      </c>
      <c r="X1352" s="77">
        <f>'Dropdown Lists'!$I$2*(1+OrdersTable[[#This Row],[Returned]])</f>
        <v>60</v>
      </c>
      <c r="Y1352" s="76">
        <f>OrdersTable[[#This Row],[Net Revenue]]-OrdersTable[[#This Row],[COGS]]-OrdersTable[[#This Row],[Shipping Cost]]</f>
        <v>60.699999999999818</v>
      </c>
      <c r="Z1352" s="78">
        <f>IFERROR(OrdersTable[[#This Row],[Profit]]/OrdersTable[[#This Row],[Net Revenue]],0)</f>
        <v>2.3357832762535044E-2</v>
      </c>
      <c r="AA1352" t="s">
        <v>3495</v>
      </c>
      <c r="AB1352" s="79">
        <v>45564</v>
      </c>
      <c r="AC1352">
        <f>OrdersTable[[#This Row],[Delivery Date]]-OrdersTable[[#This Row],[Order Date]]</f>
        <v>4</v>
      </c>
      <c r="AD1352" t="str">
        <f>IF(OrdersTable[[#This Row],[Delivery Days]]&lt;=2, "Express (≤2d)", IF(OrdersTable[[#This Row],[Delivery Days]]&lt;=4, "Standard (3-4d)", "Delayed (5d+)"))</f>
        <v>Standard (3-4d)</v>
      </c>
      <c r="AE1352">
        <v>3</v>
      </c>
      <c r="AF1352">
        <v>0</v>
      </c>
    </row>
    <row r="1353" spans="1:32" ht="15" x14ac:dyDescent="0.35">
      <c r="A1353" t="s">
        <v>6967</v>
      </c>
      <c r="B1353" s="1">
        <v>45560</v>
      </c>
      <c r="C1353">
        <f>YEAR(OrdersTable[[#This Row],[Order Date]])</f>
        <v>2024</v>
      </c>
      <c r="D1353" s="2">
        <f>DATE(YEAR(OrdersTable[[#This Row],[Order Date]]),MONTH(OrdersTable[[#This Row],[Order Date]]),1)</f>
        <v>45536</v>
      </c>
      <c r="E1353">
        <f>MONTH(OrdersTable[[#This Row],[Order Date]])</f>
        <v>9</v>
      </c>
      <c r="F1353" t="s">
        <v>6968</v>
      </c>
      <c r="G1353" t="str">
        <f>IF(OrdersTable[[#This Row],[Order Date]]=_xlfn.MINIFS(Order_Date, Customer_ID, OrdersTable[[#This Row],[Customer ID]]), "New", "Repeat")</f>
        <v>New</v>
      </c>
      <c r="H1353" t="s">
        <v>37</v>
      </c>
      <c r="I1353" t="str">
        <f>INDEX(State!B:B,MATCH(OrdersTable[[#This Row],[State]],State!A:A,0))</f>
        <v>GJ</v>
      </c>
      <c r="J1353" t="str">
        <f>INDEX(State!C:C,MATCH(OrdersTable[[#This Row],[State Code]],State!B:B,0))</f>
        <v>West</v>
      </c>
      <c r="K1353" t="s">
        <v>38</v>
      </c>
      <c r="L1353" t="s">
        <v>39</v>
      </c>
      <c r="M1353" t="s">
        <v>179</v>
      </c>
      <c r="N1353" t="str">
        <f>INDEX(Products!B:B,MATCH(OrdersTable[[#This Row],[Product ID]],Products!A:A,0))</f>
        <v>Whey Protein 1kg</v>
      </c>
      <c r="O1353" t="str">
        <f>INDEX(Products!C:C,MATCH(OrdersTable[[#This Row],[Product ID]],Products!A:A,0))</f>
        <v>Wellness</v>
      </c>
      <c r="P1353">
        <v>4</v>
      </c>
      <c r="Q1353" s="5">
        <v>2299</v>
      </c>
      <c r="R1353" s="74">
        <v>0.3</v>
      </c>
      <c r="S1353" s="75">
        <f>OrdersTable[[#This Row],[Quantity]]*OrdersTable[[#This Row],[Unit Price]]</f>
        <v>9196</v>
      </c>
      <c r="T1353" s="5">
        <f>OrdersTable[[#This Row],[Gross Sale]]*OrdersTable[[#This Row],[Discount_Clean2]]</f>
        <v>2758.7999999999997</v>
      </c>
      <c r="U1353" s="5">
        <f>OrdersTable[[#This Row],[Gross Sale]]-OrdersTable[[#This Row],[Discount Amount]]</f>
        <v>6437.2000000000007</v>
      </c>
      <c r="V1353" s="77">
        <f>INDEX(Products!E:E,MATCH(OrdersTable[[#This Row],[Product ID]],Products!A:A,0))</f>
        <v>1333</v>
      </c>
      <c r="W1353" s="77">
        <f>OrdersTable[[#This Row],[Quantity]]*OrdersTable[[#This Row],[Unit Cost]]</f>
        <v>5332</v>
      </c>
      <c r="X1353" s="77">
        <f>'Dropdown Lists'!$I$2*(1+OrdersTable[[#This Row],[Returned]])</f>
        <v>120</v>
      </c>
      <c r="Y1353" s="76">
        <f>OrdersTable[[#This Row],[Net Revenue]]-OrdersTable[[#This Row],[COGS]]-OrdersTable[[#This Row],[Shipping Cost]]</f>
        <v>985.20000000000073</v>
      </c>
      <c r="Z1353" s="78">
        <f>IFERROR(OrdersTable[[#This Row],[Profit]]/OrdersTable[[#This Row],[Net Revenue]],0)</f>
        <v>0.15304790902877036</v>
      </c>
      <c r="AA1353" t="s">
        <v>2522</v>
      </c>
      <c r="AB1353" s="79">
        <v>45564</v>
      </c>
      <c r="AC1353">
        <f>OrdersTable[[#This Row],[Delivery Date]]-OrdersTable[[#This Row],[Order Date]]</f>
        <v>4</v>
      </c>
      <c r="AD1353" t="str">
        <f>IF(OrdersTable[[#This Row],[Delivery Days]]&lt;=2, "Express (≤2d)", IF(OrdersTable[[#This Row],[Delivery Days]]&lt;=4, "Standard (3-4d)", "Delayed (5d+)"))</f>
        <v>Standard (3-4d)</v>
      </c>
      <c r="AF1353">
        <v>1</v>
      </c>
    </row>
    <row r="1354" spans="1:32" ht="15" x14ac:dyDescent="0.35">
      <c r="A1354" t="s">
        <v>932</v>
      </c>
      <c r="B1354" s="1">
        <v>45560</v>
      </c>
      <c r="C1354">
        <f>YEAR(OrdersTable[[#This Row],[Order Date]])</f>
        <v>2024</v>
      </c>
      <c r="D1354" s="2">
        <f>DATE(YEAR(OrdersTable[[#This Row],[Order Date]]),MONTH(OrdersTable[[#This Row],[Order Date]]),1)</f>
        <v>45536</v>
      </c>
      <c r="E1354">
        <f>MONTH(OrdersTable[[#This Row],[Order Date]])</f>
        <v>9</v>
      </c>
      <c r="F1354" t="s">
        <v>933</v>
      </c>
      <c r="G1354" t="str">
        <f>IF(OrdersTable[[#This Row],[Order Date]]=_xlfn.MINIFS(Order_Date, Customer_ID, OrdersTable[[#This Row],[Customer ID]]), "New", "Repeat")</f>
        <v>New</v>
      </c>
      <c r="H1354" t="s">
        <v>59</v>
      </c>
      <c r="I1354" t="str">
        <f>INDEX(State!B:B,MATCH(OrdersTable[[#This Row],[State]],State!A:A,0))</f>
        <v>TN</v>
      </c>
      <c r="J1354" t="str">
        <f>INDEX(State!C:C,MATCH(OrdersTable[[#This Row],[State Code]],State!B:B,0))</f>
        <v>South</v>
      </c>
      <c r="K1354" t="s">
        <v>64</v>
      </c>
      <c r="L1354" t="s">
        <v>39</v>
      </c>
      <c r="M1354" t="s">
        <v>78</v>
      </c>
      <c r="N1354" t="str">
        <f>INDEX(Products!B:B,MATCH(OrdersTable[[#This Row],[Product ID]],Products!A:A,0))</f>
        <v>Retinol Night Cream</v>
      </c>
      <c r="O1354" t="str">
        <f>INDEX(Products!C:C,MATCH(OrdersTable[[#This Row],[Product ID]],Products!A:A,0))</f>
        <v>Skincare</v>
      </c>
      <c r="P1354">
        <v>1</v>
      </c>
      <c r="Q1354" s="5">
        <v>799</v>
      </c>
      <c r="R1354" s="74">
        <v>0.1</v>
      </c>
      <c r="S1354" s="75">
        <f>OrdersTable[[#This Row],[Quantity]]*OrdersTable[[#This Row],[Unit Price]]</f>
        <v>799</v>
      </c>
      <c r="T1354" s="5">
        <f>OrdersTable[[#This Row],[Gross Sale]]*OrdersTable[[#This Row],[Discount_Clean2]]</f>
        <v>79.900000000000006</v>
      </c>
      <c r="U1354" s="5">
        <f>OrdersTable[[#This Row],[Gross Sale]]-OrdersTable[[#This Row],[Discount Amount]]</f>
        <v>719.1</v>
      </c>
      <c r="V1354" s="77">
        <f>INDEX(Products!E:E,MATCH(OrdersTable[[#This Row],[Product ID]],Products!A:A,0))</f>
        <v>216</v>
      </c>
      <c r="W1354" s="77">
        <f>OrdersTable[[#This Row],[Quantity]]*OrdersTable[[#This Row],[Unit Cost]]</f>
        <v>216</v>
      </c>
      <c r="X1354" s="77">
        <f>'Dropdown Lists'!$I$2*(1+OrdersTable[[#This Row],[Returned]])</f>
        <v>60</v>
      </c>
      <c r="Y1354" s="76">
        <f>OrdersTable[[#This Row],[Net Revenue]]-OrdersTable[[#This Row],[COGS]]-OrdersTable[[#This Row],[Shipping Cost]]</f>
        <v>443.1</v>
      </c>
      <c r="Z1354" s="78">
        <f>IFERROR(OrdersTable[[#This Row],[Profit]]/OrdersTable[[#This Row],[Net Revenue]],0)</f>
        <v>0.61618690029203171</v>
      </c>
      <c r="AA1354" t="s">
        <v>18</v>
      </c>
      <c r="AB1354" s="79">
        <v>45562</v>
      </c>
      <c r="AC1354">
        <f>OrdersTable[[#This Row],[Delivery Date]]-OrdersTable[[#This Row],[Order Date]]</f>
        <v>2</v>
      </c>
      <c r="AD1354" t="str">
        <f>IF(OrdersTable[[#This Row],[Delivery Days]]&lt;=2, "Express (≤2d)", IF(OrdersTable[[#This Row],[Delivery Days]]&lt;=4, "Standard (3-4d)", "Delayed (5d+)"))</f>
        <v>Express (≤2d)</v>
      </c>
      <c r="AE1354">
        <v>4</v>
      </c>
      <c r="AF1354">
        <v>0</v>
      </c>
    </row>
    <row r="1355" spans="1:32" ht="15" x14ac:dyDescent="0.35">
      <c r="A1355" t="s">
        <v>2951</v>
      </c>
      <c r="B1355" s="1">
        <v>45561</v>
      </c>
      <c r="C1355">
        <f>YEAR(OrdersTable[[#This Row],[Order Date]])</f>
        <v>2024</v>
      </c>
      <c r="D1355" s="2">
        <f>DATE(YEAR(OrdersTable[[#This Row],[Order Date]]),MONTH(OrdersTable[[#This Row],[Order Date]]),1)</f>
        <v>45536</v>
      </c>
      <c r="E1355">
        <f>MONTH(OrdersTable[[#This Row],[Order Date]])</f>
        <v>9</v>
      </c>
      <c r="F1355" t="s">
        <v>2952</v>
      </c>
      <c r="G1355" t="str">
        <f>IF(OrdersTable[[#This Row],[Order Date]]=_xlfn.MINIFS(Order_Date, Customer_ID, OrdersTable[[#This Row],[Customer ID]]), "New", "Repeat")</f>
        <v>Repeat</v>
      </c>
      <c r="H1355" t="s">
        <v>76</v>
      </c>
      <c r="I1355" t="str">
        <f>INDEX(State!B:B,MATCH(OrdersTable[[#This Row],[State]],State!A:A,0))</f>
        <v>UP</v>
      </c>
      <c r="J1355" t="str">
        <f>INDEX(State!C:C,MATCH(OrdersTable[[#This Row],[State Code]],State!B:B,0))</f>
        <v>North</v>
      </c>
      <c r="K1355" t="s">
        <v>77</v>
      </c>
      <c r="L1355" t="s">
        <v>65</v>
      </c>
      <c r="M1355" t="s">
        <v>160</v>
      </c>
      <c r="N1355" t="str">
        <f>INDEX(Products!B:B,MATCH(OrdersTable[[#This Row],[Product ID]],Products!A:A,0))</f>
        <v>Niacinamide Toner</v>
      </c>
      <c r="O1355" t="str">
        <f>INDEX(Products!C:C,MATCH(OrdersTable[[#This Row],[Product ID]],Products!A:A,0))</f>
        <v>Skincare</v>
      </c>
      <c r="P1355">
        <v>1</v>
      </c>
      <c r="Q1355" s="5">
        <v>399</v>
      </c>
      <c r="R1355" s="74">
        <v>0.25</v>
      </c>
      <c r="S1355" s="75">
        <f>OrdersTable[[#This Row],[Quantity]]*OrdersTable[[#This Row],[Unit Price]]</f>
        <v>399</v>
      </c>
      <c r="T1355" s="5">
        <f>OrdersTable[[#This Row],[Gross Sale]]*OrdersTable[[#This Row],[Discount_Clean2]]</f>
        <v>99.75</v>
      </c>
      <c r="U1355" s="5">
        <f>OrdersTable[[#This Row],[Gross Sale]]-OrdersTable[[#This Row],[Discount Amount]]</f>
        <v>299.25</v>
      </c>
      <c r="V1355" s="77">
        <f>INDEX(Products!E:E,MATCH(OrdersTable[[#This Row],[Product ID]],Products!A:A,0))</f>
        <v>112</v>
      </c>
      <c r="W1355" s="77">
        <f>OrdersTable[[#This Row],[Quantity]]*OrdersTable[[#This Row],[Unit Cost]]</f>
        <v>112</v>
      </c>
      <c r="X1355" s="77">
        <f>'Dropdown Lists'!$I$2*(1+OrdersTable[[#This Row],[Returned]])</f>
        <v>60</v>
      </c>
      <c r="Y1355" s="76">
        <f>OrdersTable[[#This Row],[Net Revenue]]-OrdersTable[[#This Row],[COGS]]-OrdersTable[[#This Row],[Shipping Cost]]</f>
        <v>127.25</v>
      </c>
      <c r="Z1355" s="78">
        <f>IFERROR(OrdersTable[[#This Row],[Profit]]/OrdersTable[[#This Row],[Net Revenue]],0)</f>
        <v>0.42522974101921468</v>
      </c>
      <c r="AA1355" t="s">
        <v>2522</v>
      </c>
      <c r="AB1355" s="79">
        <v>45565</v>
      </c>
      <c r="AC1355">
        <f>OrdersTable[[#This Row],[Delivery Date]]-OrdersTable[[#This Row],[Order Date]]</f>
        <v>4</v>
      </c>
      <c r="AD1355" t="str">
        <f>IF(OrdersTable[[#This Row],[Delivery Days]]&lt;=2, "Express (≤2d)", IF(OrdersTable[[#This Row],[Delivery Days]]&lt;=4, "Standard (3-4d)", "Delayed (5d+)"))</f>
        <v>Standard (3-4d)</v>
      </c>
      <c r="AF1355">
        <v>0</v>
      </c>
    </row>
    <row r="1356" spans="1:32" ht="15" x14ac:dyDescent="0.35">
      <c r="A1356" t="s">
        <v>6511</v>
      </c>
      <c r="B1356" s="1">
        <v>45562</v>
      </c>
      <c r="C1356">
        <f>YEAR(OrdersTable[[#This Row],[Order Date]])</f>
        <v>2024</v>
      </c>
      <c r="D1356" s="2">
        <f>DATE(YEAR(OrdersTable[[#This Row],[Order Date]]),MONTH(OrdersTable[[#This Row],[Order Date]]),1)</f>
        <v>45536</v>
      </c>
      <c r="E1356">
        <f>MONTH(OrdersTable[[#This Row],[Order Date]])</f>
        <v>9</v>
      </c>
      <c r="F1356" t="s">
        <v>3582</v>
      </c>
      <c r="G1356" t="str">
        <f>IF(OrdersTable[[#This Row],[Order Date]]=_xlfn.MINIFS(Order_Date, Customer_ID, OrdersTable[[#This Row],[Customer ID]]), "New", "Repeat")</f>
        <v>New</v>
      </c>
      <c r="H1356" t="s">
        <v>128</v>
      </c>
      <c r="I1356" t="str">
        <f>INDEX(State!B:B,MATCH(OrdersTable[[#This Row],[State]],State!A:A,0))</f>
        <v>DL</v>
      </c>
      <c r="J1356" t="str">
        <f>INDEX(State!C:C,MATCH(OrdersTable[[#This Row],[State Code]],State!B:B,0))</f>
        <v>North</v>
      </c>
      <c r="K1356" t="s">
        <v>129</v>
      </c>
      <c r="L1356" t="s">
        <v>23</v>
      </c>
      <c r="M1356" t="s">
        <v>173</v>
      </c>
      <c r="N1356" t="str">
        <f>INDEX(Products!B:B,MATCH(OrdersTable[[#This Row],[Product ID]],Products!A:A,0))</f>
        <v>Wireless Earbuds</v>
      </c>
      <c r="O1356" t="str">
        <f>INDEX(Products!C:C,MATCH(OrdersTable[[#This Row],[Product ID]],Products!A:A,0))</f>
        <v>Electronics</v>
      </c>
      <c r="P1356">
        <v>3</v>
      </c>
      <c r="Q1356" s="5">
        <v>1999</v>
      </c>
      <c r="R1356" s="74">
        <v>0.4</v>
      </c>
      <c r="S1356" s="75">
        <f>OrdersTable[[#This Row],[Quantity]]*OrdersTable[[#This Row],[Unit Price]]</f>
        <v>5997</v>
      </c>
      <c r="T1356" s="5">
        <f>OrdersTable[[#This Row],[Gross Sale]]*OrdersTable[[#This Row],[Discount_Clean2]]</f>
        <v>2398.8000000000002</v>
      </c>
      <c r="U1356" s="5">
        <f>OrdersTable[[#This Row],[Gross Sale]]-OrdersTable[[#This Row],[Discount Amount]]</f>
        <v>3598.2</v>
      </c>
      <c r="V1356" s="77">
        <f>INDEX(Products!E:E,MATCH(OrdersTable[[#This Row],[Product ID]],Products!A:A,0))</f>
        <v>1239</v>
      </c>
      <c r="W1356" s="77">
        <f>OrdersTable[[#This Row],[Quantity]]*OrdersTable[[#This Row],[Unit Cost]]</f>
        <v>3717</v>
      </c>
      <c r="X1356" s="77">
        <f>'Dropdown Lists'!$I$2*(1+OrdersTable[[#This Row],[Returned]])</f>
        <v>60</v>
      </c>
      <c r="Y1356" s="76">
        <f>OrdersTable[[#This Row],[Net Revenue]]-OrdersTable[[#This Row],[COGS]]-OrdersTable[[#This Row],[Shipping Cost]]</f>
        <v>-178.80000000000018</v>
      </c>
      <c r="Z1356" s="78">
        <f>IFERROR(OrdersTable[[#This Row],[Profit]]/OrdersTable[[#This Row],[Net Revenue]],0)</f>
        <v>-4.9691512422878156E-2</v>
      </c>
      <c r="AA1356" t="s">
        <v>18</v>
      </c>
      <c r="AB1356" s="79">
        <v>45564</v>
      </c>
      <c r="AC1356">
        <f>OrdersTable[[#This Row],[Delivery Date]]-OrdersTable[[#This Row],[Order Date]]</f>
        <v>2</v>
      </c>
      <c r="AD1356" t="str">
        <f>IF(OrdersTable[[#This Row],[Delivery Days]]&lt;=2, "Express (≤2d)", IF(OrdersTable[[#This Row],[Delivery Days]]&lt;=4, "Standard (3-4d)", "Delayed (5d+)"))</f>
        <v>Express (≤2d)</v>
      </c>
      <c r="AE1356">
        <v>5</v>
      </c>
      <c r="AF1356">
        <v>0</v>
      </c>
    </row>
    <row r="1357" spans="1:32" ht="15" x14ac:dyDescent="0.35">
      <c r="A1357" t="s">
        <v>5777</v>
      </c>
      <c r="B1357" s="1">
        <v>45562</v>
      </c>
      <c r="C1357">
        <f>YEAR(OrdersTable[[#This Row],[Order Date]])</f>
        <v>2024</v>
      </c>
      <c r="D1357" s="2">
        <f>DATE(YEAR(OrdersTable[[#This Row],[Order Date]]),MONTH(OrdersTable[[#This Row],[Order Date]]),1)</f>
        <v>45536</v>
      </c>
      <c r="E1357">
        <f>MONTH(OrdersTable[[#This Row],[Order Date]])</f>
        <v>9</v>
      </c>
      <c r="F1357" t="s">
        <v>3816</v>
      </c>
      <c r="G1357" t="str">
        <f>IF(OrdersTable[[#This Row],[Order Date]]=_xlfn.MINIFS(Order_Date, Customer_ID, OrdersTable[[#This Row],[Customer ID]]), "New", "Repeat")</f>
        <v>New</v>
      </c>
      <c r="H1357" t="s">
        <v>128</v>
      </c>
      <c r="I1357" t="str">
        <f>INDEX(State!B:B,MATCH(OrdersTable[[#This Row],[State]],State!A:A,0))</f>
        <v>DL</v>
      </c>
      <c r="J1357" t="str">
        <f>INDEX(State!C:C,MATCH(OrdersTable[[#This Row],[State Code]],State!B:B,0))</f>
        <v>North</v>
      </c>
      <c r="K1357" t="s">
        <v>129</v>
      </c>
      <c r="L1357" t="s">
        <v>16</v>
      </c>
      <c r="M1357" t="s">
        <v>255</v>
      </c>
      <c r="N1357" t="str">
        <f>INDEX(Products!B:B,MATCH(OrdersTable[[#This Row],[Product ID]],Products!A:A,0))</f>
        <v>Cotton Oversized T-Shirt</v>
      </c>
      <c r="O1357" t="str">
        <f>INDEX(Products!C:C,MATCH(OrdersTable[[#This Row],[Product ID]],Products!A:A,0))</f>
        <v>Apparel</v>
      </c>
      <c r="P1357">
        <v>2</v>
      </c>
      <c r="Q1357" s="5">
        <v>799</v>
      </c>
      <c r="R1357" s="74">
        <v>0</v>
      </c>
      <c r="S1357" s="75">
        <f>OrdersTable[[#This Row],[Quantity]]*OrdersTable[[#This Row],[Unit Price]]</f>
        <v>1598</v>
      </c>
      <c r="T1357" s="5">
        <f>OrdersTable[[#This Row],[Gross Sale]]*OrdersTable[[#This Row],[Discount_Clean2]]</f>
        <v>0</v>
      </c>
      <c r="U1357" s="5">
        <f>OrdersTable[[#This Row],[Gross Sale]]-OrdersTable[[#This Row],[Discount Amount]]</f>
        <v>1598</v>
      </c>
      <c r="V1357" s="77">
        <f>INDEX(Products!E:E,MATCH(OrdersTable[[#This Row],[Product ID]],Products!A:A,0))</f>
        <v>320</v>
      </c>
      <c r="W1357" s="77">
        <f>OrdersTable[[#This Row],[Quantity]]*OrdersTable[[#This Row],[Unit Cost]]</f>
        <v>640</v>
      </c>
      <c r="X1357" s="77">
        <f>'Dropdown Lists'!$I$2*(1+OrdersTable[[#This Row],[Returned]])</f>
        <v>120</v>
      </c>
      <c r="Y1357" s="76">
        <f>OrdersTable[[#This Row],[Net Revenue]]-OrdersTable[[#This Row],[COGS]]-OrdersTable[[#This Row],[Shipping Cost]]</f>
        <v>838</v>
      </c>
      <c r="Z1357" s="78">
        <f>IFERROR(OrdersTable[[#This Row],[Profit]]/OrdersTable[[#This Row],[Net Revenue]],0)</f>
        <v>0.52440550688360454</v>
      </c>
      <c r="AA1357" t="s">
        <v>18</v>
      </c>
      <c r="AB1357" s="79">
        <v>45563</v>
      </c>
      <c r="AC1357">
        <f>OrdersTable[[#This Row],[Delivery Date]]-OrdersTable[[#This Row],[Order Date]]</f>
        <v>1</v>
      </c>
      <c r="AD1357" t="str">
        <f>IF(OrdersTable[[#This Row],[Delivery Days]]&lt;=2, "Express (≤2d)", IF(OrdersTable[[#This Row],[Delivery Days]]&lt;=4, "Standard (3-4d)", "Delayed (5d+)"))</f>
        <v>Express (≤2d)</v>
      </c>
      <c r="AE1357">
        <v>5</v>
      </c>
      <c r="AF1357">
        <v>1</v>
      </c>
    </row>
    <row r="1358" spans="1:32" ht="15" x14ac:dyDescent="0.35">
      <c r="A1358" t="s">
        <v>934</v>
      </c>
      <c r="B1358" s="1">
        <v>45562</v>
      </c>
      <c r="C1358">
        <f>YEAR(OrdersTable[[#This Row],[Order Date]])</f>
        <v>2024</v>
      </c>
      <c r="D1358" s="2">
        <f>DATE(YEAR(OrdersTable[[#This Row],[Order Date]]),MONTH(OrdersTable[[#This Row],[Order Date]]),1)</f>
        <v>45536</v>
      </c>
      <c r="E1358">
        <f>MONTH(OrdersTable[[#This Row],[Order Date]])</f>
        <v>9</v>
      </c>
      <c r="F1358" t="s">
        <v>935</v>
      </c>
      <c r="G1358" t="str">
        <f>IF(OrdersTable[[#This Row],[Order Date]]=_xlfn.MINIFS(Order_Date, Customer_ID, OrdersTable[[#This Row],[Customer ID]]), "New", "Repeat")</f>
        <v>New</v>
      </c>
      <c r="H1358" t="s">
        <v>76</v>
      </c>
      <c r="I1358" t="str">
        <f>INDEX(State!B:B,MATCH(OrdersTable[[#This Row],[State]],State!A:A,0))</f>
        <v>UP</v>
      </c>
      <c r="J1358" t="str">
        <f>INDEX(State!C:C,MATCH(OrdersTable[[#This Row],[State Code]],State!B:B,0))</f>
        <v>North</v>
      </c>
      <c r="K1358" t="s">
        <v>105</v>
      </c>
      <c r="L1358" t="s">
        <v>39</v>
      </c>
      <c r="M1358" t="s">
        <v>125</v>
      </c>
      <c r="N1358" t="str">
        <f>INDEX(Products!B:B,MATCH(OrdersTable[[#This Row],[Product ID]],Products!A:A,0))</f>
        <v>Copper Water Bottle</v>
      </c>
      <c r="O1358" t="str">
        <f>INDEX(Products!C:C,MATCH(OrdersTable[[#This Row],[Product ID]],Products!A:A,0))</f>
        <v>Home &amp; Kitchen</v>
      </c>
      <c r="P1358">
        <v>1</v>
      </c>
      <c r="Q1358" s="5">
        <v>899</v>
      </c>
      <c r="R1358" s="74">
        <v>0</v>
      </c>
      <c r="S1358" s="75">
        <f>OrdersTable[[#This Row],[Quantity]]*OrdersTable[[#This Row],[Unit Price]]</f>
        <v>899</v>
      </c>
      <c r="T1358" s="5">
        <f>OrdersTable[[#This Row],[Gross Sale]]*OrdersTable[[#This Row],[Discount_Clean2]]</f>
        <v>0</v>
      </c>
      <c r="U1358" s="5">
        <f>OrdersTable[[#This Row],[Gross Sale]]-OrdersTable[[#This Row],[Discount Amount]]</f>
        <v>899</v>
      </c>
      <c r="V1358" s="77">
        <f>INDEX(Products!E:E,MATCH(OrdersTable[[#This Row],[Product ID]],Products!A:A,0))</f>
        <v>378</v>
      </c>
      <c r="W1358" s="77">
        <f>OrdersTable[[#This Row],[Quantity]]*OrdersTable[[#This Row],[Unit Cost]]</f>
        <v>378</v>
      </c>
      <c r="X1358" s="77">
        <f>'Dropdown Lists'!$I$2*(1+OrdersTable[[#This Row],[Returned]])</f>
        <v>60</v>
      </c>
      <c r="Y1358" s="76">
        <f>OrdersTable[[#This Row],[Net Revenue]]-OrdersTable[[#This Row],[COGS]]-OrdersTable[[#This Row],[Shipping Cost]]</f>
        <v>461</v>
      </c>
      <c r="Z1358" s="78">
        <f>IFERROR(OrdersTable[[#This Row],[Profit]]/OrdersTable[[#This Row],[Net Revenue]],0)</f>
        <v>0.51279199110122353</v>
      </c>
      <c r="AA1358" t="s">
        <v>18</v>
      </c>
      <c r="AB1358" s="79">
        <v>45567</v>
      </c>
      <c r="AC1358">
        <f>OrdersTable[[#This Row],[Delivery Date]]-OrdersTable[[#This Row],[Order Date]]</f>
        <v>5</v>
      </c>
      <c r="AD1358" t="str">
        <f>IF(OrdersTable[[#This Row],[Delivery Days]]&lt;=2, "Express (≤2d)", IF(OrdersTable[[#This Row],[Delivery Days]]&lt;=4, "Standard (3-4d)", "Delayed (5d+)"))</f>
        <v>Delayed (5d+)</v>
      </c>
      <c r="AE1358">
        <v>4</v>
      </c>
      <c r="AF1358">
        <v>0</v>
      </c>
    </row>
    <row r="1359" spans="1:32" ht="15" x14ac:dyDescent="0.35">
      <c r="A1359" t="s">
        <v>6301</v>
      </c>
      <c r="B1359" s="1">
        <v>45562</v>
      </c>
      <c r="C1359">
        <f>YEAR(OrdersTable[[#This Row],[Order Date]])</f>
        <v>2024</v>
      </c>
      <c r="D1359" s="2">
        <f>DATE(YEAR(OrdersTable[[#This Row],[Order Date]]),MONTH(OrdersTable[[#This Row],[Order Date]]),1)</f>
        <v>45536</v>
      </c>
      <c r="E1359">
        <f>MONTH(OrdersTable[[#This Row],[Order Date]])</f>
        <v>9</v>
      </c>
      <c r="F1359" t="s">
        <v>6228</v>
      </c>
      <c r="G1359" t="str">
        <f>IF(OrdersTable[[#This Row],[Order Date]]=_xlfn.MINIFS(Order_Date, Customer_ID, OrdersTable[[#This Row],[Customer ID]]), "New", "Repeat")</f>
        <v>New</v>
      </c>
      <c r="H1359" t="s">
        <v>43</v>
      </c>
      <c r="I1359" t="str">
        <f>INDEX(State!B:B,MATCH(OrdersTable[[#This Row],[State]],State!A:A,0))</f>
        <v>MP</v>
      </c>
      <c r="J1359" t="str">
        <f>INDEX(State!C:C,MATCH(OrdersTable[[#This Row],[State Code]],State!B:B,0))</f>
        <v>West</v>
      </c>
      <c r="K1359" t="s">
        <v>44</v>
      </c>
      <c r="L1359" t="s">
        <v>23</v>
      </c>
      <c r="M1359" t="s">
        <v>51</v>
      </c>
      <c r="N1359" t="str">
        <f>INDEX(Products!B:B,MATCH(OrdersTable[[#This Row],[Product ID]],Products!A:A,0))</f>
        <v>Anti-Dandruff Conditioner</v>
      </c>
      <c r="O1359" t="str">
        <f>INDEX(Products!C:C,MATCH(OrdersTable[[#This Row],[Product ID]],Products!A:A,0))</f>
        <v>Haircare</v>
      </c>
      <c r="P1359">
        <v>2</v>
      </c>
      <c r="Q1359" s="5">
        <v>399</v>
      </c>
      <c r="R1359" s="74">
        <v>0.4</v>
      </c>
      <c r="S1359" s="75">
        <f>OrdersTable[[#This Row],[Quantity]]*OrdersTable[[#This Row],[Unit Price]]</f>
        <v>798</v>
      </c>
      <c r="T1359" s="5">
        <f>OrdersTable[[#This Row],[Gross Sale]]*OrdersTable[[#This Row],[Discount_Clean2]]</f>
        <v>319.20000000000005</v>
      </c>
      <c r="U1359" s="5">
        <f>OrdersTable[[#This Row],[Gross Sale]]-OrdersTable[[#This Row],[Discount Amount]]</f>
        <v>478.79999999999995</v>
      </c>
      <c r="V1359" s="77">
        <f>INDEX(Products!E:E,MATCH(OrdersTable[[#This Row],[Product ID]],Products!A:A,0))</f>
        <v>136</v>
      </c>
      <c r="W1359" s="77">
        <f>OrdersTable[[#This Row],[Quantity]]*OrdersTable[[#This Row],[Unit Cost]]</f>
        <v>272</v>
      </c>
      <c r="X1359" s="77">
        <f>'Dropdown Lists'!$I$2*(1+OrdersTable[[#This Row],[Returned]])</f>
        <v>60</v>
      </c>
      <c r="Y1359" s="76">
        <f>OrdersTable[[#This Row],[Net Revenue]]-OrdersTable[[#This Row],[COGS]]-OrdersTable[[#This Row],[Shipping Cost]]</f>
        <v>146.79999999999995</v>
      </c>
      <c r="Z1359" s="78">
        <f>IFERROR(OrdersTable[[#This Row],[Profit]]/OrdersTable[[#This Row],[Net Revenue]],0)</f>
        <v>0.30659983291562232</v>
      </c>
      <c r="AA1359" t="s">
        <v>18</v>
      </c>
      <c r="AB1359" s="79">
        <v>45565</v>
      </c>
      <c r="AC1359">
        <f>OrdersTable[[#This Row],[Delivery Date]]-OrdersTable[[#This Row],[Order Date]]</f>
        <v>3</v>
      </c>
      <c r="AD1359" t="str">
        <f>IF(OrdersTable[[#This Row],[Delivery Days]]&lt;=2, "Express (≤2d)", IF(OrdersTable[[#This Row],[Delivery Days]]&lt;=4, "Standard (3-4d)", "Delayed (5d+)"))</f>
        <v>Standard (3-4d)</v>
      </c>
      <c r="AE1359">
        <v>3</v>
      </c>
      <c r="AF1359">
        <v>0</v>
      </c>
    </row>
    <row r="1360" spans="1:32" ht="15" x14ac:dyDescent="0.35">
      <c r="A1360" t="s">
        <v>515</v>
      </c>
      <c r="B1360" s="1">
        <v>45562</v>
      </c>
      <c r="C1360">
        <f>YEAR(OrdersTable[[#This Row],[Order Date]])</f>
        <v>2024</v>
      </c>
      <c r="D1360" s="2">
        <f>DATE(YEAR(OrdersTable[[#This Row],[Order Date]]),MONTH(OrdersTable[[#This Row],[Order Date]]),1)</f>
        <v>45536</v>
      </c>
      <c r="E1360">
        <f>MONTH(OrdersTable[[#This Row],[Order Date]])</f>
        <v>9</v>
      </c>
      <c r="F1360" t="s">
        <v>516</v>
      </c>
      <c r="G1360" t="str">
        <f>IF(OrdersTable[[#This Row],[Order Date]]=_xlfn.MINIFS(Order_Date, Customer_ID, OrdersTable[[#This Row],[Customer ID]]), "New", "Repeat")</f>
        <v>New</v>
      </c>
      <c r="H1360" t="s">
        <v>27</v>
      </c>
      <c r="I1360" t="str">
        <f>INDEX(State!B:B,MATCH(OrdersTable[[#This Row],[State]],State!A:A,0))</f>
        <v>WB</v>
      </c>
      <c r="J1360" t="str">
        <f>INDEX(State!C:C,MATCH(OrdersTable[[#This Row],[State Code]],State!B:B,0))</f>
        <v>East</v>
      </c>
      <c r="K1360" t="s">
        <v>28</v>
      </c>
      <c r="L1360" t="s">
        <v>23</v>
      </c>
      <c r="M1360" t="s">
        <v>160</v>
      </c>
      <c r="N1360" t="str">
        <f>INDEX(Products!B:B,MATCH(OrdersTable[[#This Row],[Product ID]],Products!A:A,0))</f>
        <v>Niacinamide Toner</v>
      </c>
      <c r="O1360" t="str">
        <f>INDEX(Products!C:C,MATCH(OrdersTable[[#This Row],[Product ID]],Products!A:A,0))</f>
        <v>Skincare</v>
      </c>
      <c r="P1360">
        <v>1</v>
      </c>
      <c r="Q1360" s="5">
        <v>399</v>
      </c>
      <c r="R1360" s="74">
        <v>0.25</v>
      </c>
      <c r="S1360" s="75">
        <f>OrdersTable[[#This Row],[Quantity]]*OrdersTable[[#This Row],[Unit Price]]</f>
        <v>399</v>
      </c>
      <c r="T1360" s="5">
        <f>OrdersTable[[#This Row],[Gross Sale]]*OrdersTable[[#This Row],[Discount_Clean2]]</f>
        <v>99.75</v>
      </c>
      <c r="U1360" s="5">
        <f>OrdersTable[[#This Row],[Gross Sale]]-OrdersTable[[#This Row],[Discount Amount]]</f>
        <v>299.25</v>
      </c>
      <c r="V1360" s="77">
        <f>INDEX(Products!E:E,MATCH(OrdersTable[[#This Row],[Product ID]],Products!A:A,0))</f>
        <v>112</v>
      </c>
      <c r="W1360" s="77">
        <f>OrdersTable[[#This Row],[Quantity]]*OrdersTable[[#This Row],[Unit Cost]]</f>
        <v>112</v>
      </c>
      <c r="X1360" s="77">
        <f>'Dropdown Lists'!$I$2*(1+OrdersTable[[#This Row],[Returned]])</f>
        <v>60</v>
      </c>
      <c r="Y1360" s="76">
        <f>OrdersTable[[#This Row],[Net Revenue]]-OrdersTable[[#This Row],[COGS]]-OrdersTable[[#This Row],[Shipping Cost]]</f>
        <v>127.25</v>
      </c>
      <c r="Z1360" s="78">
        <f>IFERROR(OrdersTable[[#This Row],[Profit]]/OrdersTable[[#This Row],[Net Revenue]],0)</f>
        <v>0.42522974101921468</v>
      </c>
      <c r="AA1360" t="s">
        <v>18</v>
      </c>
      <c r="AB1360" s="79">
        <v>45565</v>
      </c>
      <c r="AC1360">
        <f>OrdersTable[[#This Row],[Delivery Date]]-OrdersTable[[#This Row],[Order Date]]</f>
        <v>3</v>
      </c>
      <c r="AD1360" t="str">
        <f>IF(OrdersTable[[#This Row],[Delivery Days]]&lt;=2, "Express (≤2d)", IF(OrdersTable[[#This Row],[Delivery Days]]&lt;=4, "Standard (3-4d)", "Delayed (5d+)"))</f>
        <v>Standard (3-4d)</v>
      </c>
      <c r="AE1360">
        <v>4</v>
      </c>
      <c r="AF1360">
        <v>0</v>
      </c>
    </row>
    <row r="1361" spans="1:32" ht="15" x14ac:dyDescent="0.35">
      <c r="A1361" t="s">
        <v>5676</v>
      </c>
      <c r="B1361" s="1">
        <v>45562</v>
      </c>
      <c r="C1361">
        <f>YEAR(OrdersTable[[#This Row],[Order Date]])</f>
        <v>2024</v>
      </c>
      <c r="D1361" s="2">
        <f>DATE(YEAR(OrdersTable[[#This Row],[Order Date]]),MONTH(OrdersTable[[#This Row],[Order Date]]),1)</f>
        <v>45536</v>
      </c>
      <c r="E1361">
        <f>MONTH(OrdersTable[[#This Row],[Order Date]])</f>
        <v>9</v>
      </c>
      <c r="F1361" t="s">
        <v>804</v>
      </c>
      <c r="G1361" t="str">
        <f>IF(OrdersTable[[#This Row],[Order Date]]=_xlfn.MINIFS(Order_Date, Customer_ID, OrdersTable[[#This Row],[Customer ID]]), "New", "Repeat")</f>
        <v>New</v>
      </c>
      <c r="H1361" t="s">
        <v>14</v>
      </c>
      <c r="I1361" t="str">
        <f>INDEX(State!B:B,MATCH(OrdersTable[[#This Row],[State]],State!A:A,0))</f>
        <v>OD</v>
      </c>
      <c r="J1361" t="str">
        <f>INDEX(State!C:C,MATCH(OrdersTable[[#This Row],[State Code]],State!B:B,0))</f>
        <v>East</v>
      </c>
      <c r="K1361" t="s">
        <v>15</v>
      </c>
      <c r="L1361" t="s">
        <v>65</v>
      </c>
      <c r="M1361" t="s">
        <v>87</v>
      </c>
      <c r="N1361" t="str">
        <f>INDEX(Products!B:B,MATCH(OrdersTable[[#This Row],[Product ID]],Products!A:A,0))</f>
        <v>Linen Kurta</v>
      </c>
      <c r="O1361" t="str">
        <f>INDEX(Products!C:C,MATCH(OrdersTable[[#This Row],[Product ID]],Products!A:A,0))</f>
        <v>Apparel</v>
      </c>
      <c r="P1361">
        <v>2</v>
      </c>
      <c r="Q1361" s="5">
        <v>1499</v>
      </c>
      <c r="R1361" s="74">
        <v>0.3</v>
      </c>
      <c r="S1361" s="75">
        <f>OrdersTable[[#This Row],[Quantity]]*OrdersTable[[#This Row],[Unit Price]]</f>
        <v>2998</v>
      </c>
      <c r="T1361" s="5">
        <f>OrdersTable[[#This Row],[Gross Sale]]*OrdersTable[[#This Row],[Discount_Clean2]]</f>
        <v>899.4</v>
      </c>
      <c r="U1361" s="5">
        <f>OrdersTable[[#This Row],[Gross Sale]]-OrdersTable[[#This Row],[Discount Amount]]</f>
        <v>2098.6</v>
      </c>
      <c r="V1361" s="77">
        <f>INDEX(Products!E:E,MATCH(OrdersTable[[#This Row],[Product ID]],Products!A:A,0))</f>
        <v>630</v>
      </c>
      <c r="W1361" s="77">
        <f>OrdersTable[[#This Row],[Quantity]]*OrdersTable[[#This Row],[Unit Cost]]</f>
        <v>1260</v>
      </c>
      <c r="X1361" s="77">
        <f>'Dropdown Lists'!$I$2*(1+OrdersTable[[#This Row],[Returned]])</f>
        <v>60</v>
      </c>
      <c r="Y1361" s="76">
        <f>OrdersTable[[#This Row],[Net Revenue]]-OrdersTable[[#This Row],[COGS]]-OrdersTable[[#This Row],[Shipping Cost]]</f>
        <v>778.59999999999991</v>
      </c>
      <c r="Z1361" s="78">
        <f>IFERROR(OrdersTable[[#This Row],[Profit]]/OrdersTable[[#This Row],[Net Revenue]],0)</f>
        <v>0.3710092442580768</v>
      </c>
      <c r="AA1361" t="s">
        <v>18</v>
      </c>
      <c r="AB1361" s="79">
        <v>45568</v>
      </c>
      <c r="AC1361">
        <f>OrdersTable[[#This Row],[Delivery Date]]-OrdersTable[[#This Row],[Order Date]]</f>
        <v>6</v>
      </c>
      <c r="AD1361" t="str">
        <f>IF(OrdersTable[[#This Row],[Delivery Days]]&lt;=2, "Express (≤2d)", IF(OrdersTable[[#This Row],[Delivery Days]]&lt;=4, "Standard (3-4d)", "Delayed (5d+)"))</f>
        <v>Delayed (5d+)</v>
      </c>
      <c r="AE1361">
        <v>3</v>
      </c>
      <c r="AF1361">
        <v>0</v>
      </c>
    </row>
    <row r="1362" spans="1:32" ht="15" x14ac:dyDescent="0.35">
      <c r="A1362" t="s">
        <v>188</v>
      </c>
      <c r="B1362" s="1">
        <v>45562</v>
      </c>
      <c r="C1362">
        <f>YEAR(OrdersTable[[#This Row],[Order Date]])</f>
        <v>2024</v>
      </c>
      <c r="D1362" s="2">
        <f>DATE(YEAR(OrdersTable[[#This Row],[Order Date]]),MONTH(OrdersTable[[#This Row],[Order Date]]),1)</f>
        <v>45536</v>
      </c>
      <c r="E1362">
        <f>MONTH(OrdersTable[[#This Row],[Order Date]])</f>
        <v>9</v>
      </c>
      <c r="F1362" t="s">
        <v>189</v>
      </c>
      <c r="G1362" t="str">
        <f>IF(OrdersTable[[#This Row],[Order Date]]=_xlfn.MINIFS(Order_Date, Customer_ID, OrdersTable[[#This Row],[Customer ID]]), "New", "Repeat")</f>
        <v>Repeat</v>
      </c>
      <c r="H1362" t="s">
        <v>167</v>
      </c>
      <c r="I1362" t="str">
        <f>INDEX(State!B:B,MATCH(OrdersTable[[#This Row],[State]],State!A:A,0))</f>
        <v>KA</v>
      </c>
      <c r="J1362" t="str">
        <f>INDEX(State!C:C,MATCH(OrdersTable[[#This Row],[State Code]],State!B:B,0))</f>
        <v>South</v>
      </c>
      <c r="K1362" t="s">
        <v>190</v>
      </c>
      <c r="L1362" t="s">
        <v>65</v>
      </c>
      <c r="M1362" t="s">
        <v>160</v>
      </c>
      <c r="N1362" t="str">
        <f>INDEX(Products!B:B,MATCH(OrdersTable[[#This Row],[Product ID]],Products!A:A,0))</f>
        <v>Niacinamide Toner</v>
      </c>
      <c r="O1362" t="str">
        <f>INDEX(Products!C:C,MATCH(OrdersTable[[#This Row],[Product ID]],Products!A:A,0))</f>
        <v>Skincare</v>
      </c>
      <c r="P1362">
        <v>1</v>
      </c>
      <c r="Q1362" s="5">
        <v>399</v>
      </c>
      <c r="R1362" s="74">
        <v>0.25</v>
      </c>
      <c r="S1362" s="75">
        <f>OrdersTable[[#This Row],[Quantity]]*OrdersTable[[#This Row],[Unit Price]]</f>
        <v>399</v>
      </c>
      <c r="T1362" s="5">
        <f>OrdersTable[[#This Row],[Gross Sale]]*OrdersTable[[#This Row],[Discount_Clean2]]</f>
        <v>99.75</v>
      </c>
      <c r="U1362" s="5">
        <f>OrdersTable[[#This Row],[Gross Sale]]-OrdersTable[[#This Row],[Discount Amount]]</f>
        <v>299.25</v>
      </c>
      <c r="V1362" s="77">
        <f>INDEX(Products!E:E,MATCH(OrdersTable[[#This Row],[Product ID]],Products!A:A,0))</f>
        <v>112</v>
      </c>
      <c r="W1362" s="77">
        <f>OrdersTable[[#This Row],[Quantity]]*OrdersTable[[#This Row],[Unit Cost]]</f>
        <v>112</v>
      </c>
      <c r="X1362" s="77">
        <f>'Dropdown Lists'!$I$2*(1+OrdersTable[[#This Row],[Returned]])</f>
        <v>60</v>
      </c>
      <c r="Y1362" s="76">
        <f>OrdersTable[[#This Row],[Net Revenue]]-OrdersTable[[#This Row],[COGS]]-OrdersTable[[#This Row],[Shipping Cost]]</f>
        <v>127.25</v>
      </c>
      <c r="Z1362" s="78">
        <f>IFERROR(OrdersTable[[#This Row],[Profit]]/OrdersTable[[#This Row],[Net Revenue]],0)</f>
        <v>0.42522974101921468</v>
      </c>
      <c r="AA1362" t="s">
        <v>18</v>
      </c>
      <c r="AB1362" s="79">
        <v>45564</v>
      </c>
      <c r="AC1362">
        <f>OrdersTable[[#This Row],[Delivery Date]]-OrdersTable[[#This Row],[Order Date]]</f>
        <v>2</v>
      </c>
      <c r="AD1362" t="str">
        <f>IF(OrdersTable[[#This Row],[Delivery Days]]&lt;=2, "Express (≤2d)", IF(OrdersTable[[#This Row],[Delivery Days]]&lt;=4, "Standard (3-4d)", "Delayed (5d+)"))</f>
        <v>Express (≤2d)</v>
      </c>
      <c r="AE1362">
        <v>4</v>
      </c>
      <c r="AF1362">
        <v>0</v>
      </c>
    </row>
    <row r="1363" spans="1:32" ht="15" x14ac:dyDescent="0.35">
      <c r="A1363" t="s">
        <v>2574</v>
      </c>
      <c r="B1363" s="1">
        <v>45562</v>
      </c>
      <c r="C1363">
        <f>YEAR(OrdersTable[[#This Row],[Order Date]])</f>
        <v>2024</v>
      </c>
      <c r="D1363" s="2">
        <f>DATE(YEAR(OrdersTable[[#This Row],[Order Date]]),MONTH(OrdersTable[[#This Row],[Order Date]]),1)</f>
        <v>45536</v>
      </c>
      <c r="E1363">
        <f>MONTH(OrdersTable[[#This Row],[Order Date]])</f>
        <v>9</v>
      </c>
      <c r="F1363" t="s">
        <v>2575</v>
      </c>
      <c r="G1363" t="str">
        <f>IF(OrdersTable[[#This Row],[Order Date]]=_xlfn.MINIFS(Order_Date, Customer_ID, OrdersTable[[#This Row],[Customer ID]]), "New", "Repeat")</f>
        <v>Repeat</v>
      </c>
      <c r="H1363" t="s">
        <v>167</v>
      </c>
      <c r="I1363" t="str">
        <f>INDEX(State!B:B,MATCH(OrdersTable[[#This Row],[State]],State!A:A,0))</f>
        <v>KA</v>
      </c>
      <c r="J1363" t="str">
        <f>INDEX(State!C:C,MATCH(OrdersTable[[#This Row],[State Code]],State!B:B,0))</f>
        <v>South</v>
      </c>
      <c r="K1363" t="s">
        <v>190</v>
      </c>
      <c r="L1363" t="s">
        <v>39</v>
      </c>
      <c r="M1363" t="s">
        <v>176</v>
      </c>
      <c r="N1363" t="str">
        <f>INDEX(Products!B:B,MATCH(OrdersTable[[#This Row],[Product ID]],Products!A:A,0))</f>
        <v>Denim Jacket</v>
      </c>
      <c r="O1363" t="str">
        <f>INDEX(Products!C:C,MATCH(OrdersTable[[#This Row],[Product ID]],Products!A:A,0))</f>
        <v>Apparel</v>
      </c>
      <c r="P1363">
        <v>1</v>
      </c>
      <c r="Q1363" s="5">
        <v>2499</v>
      </c>
      <c r="R1363" s="74">
        <v>0</v>
      </c>
      <c r="S1363" s="75">
        <f>OrdersTable[[#This Row],[Quantity]]*OrdersTable[[#This Row],[Unit Price]]</f>
        <v>2499</v>
      </c>
      <c r="T1363" s="5">
        <f>OrdersTable[[#This Row],[Gross Sale]]*OrdersTable[[#This Row],[Discount_Clean2]]</f>
        <v>0</v>
      </c>
      <c r="U1363" s="5">
        <f>OrdersTable[[#This Row],[Gross Sale]]-OrdersTable[[#This Row],[Discount Amount]]</f>
        <v>2499</v>
      </c>
      <c r="V1363" s="77">
        <f>INDEX(Products!E:E,MATCH(OrdersTable[[#This Row],[Product ID]],Products!A:A,0))</f>
        <v>1125</v>
      </c>
      <c r="W1363" s="77">
        <f>OrdersTable[[#This Row],[Quantity]]*OrdersTable[[#This Row],[Unit Cost]]</f>
        <v>1125</v>
      </c>
      <c r="X1363" s="77">
        <f>'Dropdown Lists'!$I$2*(1+OrdersTable[[#This Row],[Returned]])</f>
        <v>60</v>
      </c>
      <c r="Y1363" s="76">
        <f>OrdersTable[[#This Row],[Net Revenue]]-OrdersTable[[#This Row],[COGS]]-OrdersTable[[#This Row],[Shipping Cost]]</f>
        <v>1314</v>
      </c>
      <c r="Z1363" s="78">
        <f>IFERROR(OrdersTable[[#This Row],[Profit]]/OrdersTable[[#This Row],[Net Revenue]],0)</f>
        <v>0.5258103241296519</v>
      </c>
      <c r="AA1363" t="s">
        <v>2522</v>
      </c>
      <c r="AB1363" s="79">
        <v>45564</v>
      </c>
      <c r="AC1363">
        <f>OrdersTable[[#This Row],[Delivery Date]]-OrdersTable[[#This Row],[Order Date]]</f>
        <v>2</v>
      </c>
      <c r="AD1363" t="str">
        <f>IF(OrdersTable[[#This Row],[Delivery Days]]&lt;=2, "Express (≤2d)", IF(OrdersTable[[#This Row],[Delivery Days]]&lt;=4, "Standard (3-4d)", "Delayed (5d+)"))</f>
        <v>Express (≤2d)</v>
      </c>
      <c r="AE1363">
        <v>5</v>
      </c>
      <c r="AF1363">
        <v>0</v>
      </c>
    </row>
    <row r="1364" spans="1:32" ht="15" x14ac:dyDescent="0.35">
      <c r="A1364" t="s">
        <v>3422</v>
      </c>
      <c r="B1364" s="1">
        <v>45562</v>
      </c>
      <c r="C1364">
        <f>YEAR(OrdersTable[[#This Row],[Order Date]])</f>
        <v>2024</v>
      </c>
      <c r="D1364" s="2">
        <f>DATE(YEAR(OrdersTable[[#This Row],[Order Date]]),MONTH(OrdersTable[[#This Row],[Order Date]]),1)</f>
        <v>45536</v>
      </c>
      <c r="E1364">
        <f>MONTH(OrdersTable[[#This Row],[Order Date]])</f>
        <v>9</v>
      </c>
      <c r="F1364" t="s">
        <v>1839</v>
      </c>
      <c r="G1364" t="str">
        <f>IF(OrdersTable[[#This Row],[Order Date]]=_xlfn.MINIFS(Order_Date, Customer_ID, OrdersTable[[#This Row],[Customer ID]]), "New", "Repeat")</f>
        <v>Repeat</v>
      </c>
      <c r="H1364" t="s">
        <v>167</v>
      </c>
      <c r="I1364" t="str">
        <f>INDEX(State!B:B,MATCH(OrdersTable[[#This Row],[State]],State!A:A,0))</f>
        <v>KA</v>
      </c>
      <c r="J1364" t="str">
        <f>INDEX(State!C:C,MATCH(OrdersTable[[#This Row],[State Code]],State!B:B,0))</f>
        <v>South</v>
      </c>
      <c r="K1364" t="s">
        <v>190</v>
      </c>
      <c r="L1364" t="s">
        <v>65</v>
      </c>
      <c r="M1364" t="s">
        <v>29</v>
      </c>
      <c r="N1364" t="str">
        <f>INDEX(Products!B:B,MATCH(OrdersTable[[#This Row],[Product ID]],Products!A:A,0))</f>
        <v>Joggers</v>
      </c>
      <c r="O1364" t="str">
        <f>INDEX(Products!C:C,MATCH(OrdersTable[[#This Row],[Product ID]],Products!A:A,0))</f>
        <v>Apparel</v>
      </c>
      <c r="P1364">
        <v>1</v>
      </c>
      <c r="Q1364" s="5">
        <v>1199</v>
      </c>
      <c r="R1364" s="74">
        <v>0.2</v>
      </c>
      <c r="S1364" s="75">
        <f>OrdersTable[[#This Row],[Quantity]]*OrdersTable[[#This Row],[Unit Price]]</f>
        <v>1199</v>
      </c>
      <c r="T1364" s="5">
        <f>OrdersTable[[#This Row],[Gross Sale]]*OrdersTable[[#This Row],[Discount_Clean2]]</f>
        <v>239.8</v>
      </c>
      <c r="U1364" s="5">
        <f>OrdersTable[[#This Row],[Gross Sale]]-OrdersTable[[#This Row],[Discount Amount]]</f>
        <v>959.2</v>
      </c>
      <c r="V1364" s="77">
        <f>INDEX(Products!E:E,MATCH(OrdersTable[[#This Row],[Product ID]],Products!A:A,0))</f>
        <v>492</v>
      </c>
      <c r="W1364" s="77">
        <f>OrdersTable[[#This Row],[Quantity]]*OrdersTable[[#This Row],[Unit Cost]]</f>
        <v>492</v>
      </c>
      <c r="X1364" s="77">
        <f>'Dropdown Lists'!$I$2*(1+OrdersTable[[#This Row],[Returned]])</f>
        <v>60</v>
      </c>
      <c r="Y1364" s="76">
        <f>OrdersTable[[#This Row],[Net Revenue]]-OrdersTable[[#This Row],[COGS]]-OrdersTable[[#This Row],[Shipping Cost]]</f>
        <v>407.20000000000005</v>
      </c>
      <c r="Z1364" s="78">
        <f>IFERROR(OrdersTable[[#This Row],[Profit]]/OrdersTable[[#This Row],[Net Revenue]],0)</f>
        <v>0.42452043369474562</v>
      </c>
      <c r="AA1364" t="s">
        <v>2522</v>
      </c>
      <c r="AB1364" s="79">
        <v>45564</v>
      </c>
      <c r="AC1364">
        <f>OrdersTable[[#This Row],[Delivery Date]]-OrdersTable[[#This Row],[Order Date]]</f>
        <v>2</v>
      </c>
      <c r="AD1364" t="str">
        <f>IF(OrdersTable[[#This Row],[Delivery Days]]&lt;=2, "Express (≤2d)", IF(OrdersTable[[#This Row],[Delivery Days]]&lt;=4, "Standard (3-4d)", "Delayed (5d+)"))</f>
        <v>Express (≤2d)</v>
      </c>
      <c r="AE1364">
        <v>4</v>
      </c>
      <c r="AF1364">
        <v>0</v>
      </c>
    </row>
    <row r="1365" spans="1:32" ht="15" x14ac:dyDescent="0.35">
      <c r="A1365" t="s">
        <v>4245</v>
      </c>
      <c r="B1365" s="1">
        <v>45563</v>
      </c>
      <c r="C1365">
        <f>YEAR(OrdersTable[[#This Row],[Order Date]])</f>
        <v>2024</v>
      </c>
      <c r="D1365" s="2">
        <f>DATE(YEAR(OrdersTable[[#This Row],[Order Date]]),MONTH(OrdersTable[[#This Row],[Order Date]]),1)</f>
        <v>45536</v>
      </c>
      <c r="E1365">
        <f>MONTH(OrdersTable[[#This Row],[Order Date]])</f>
        <v>9</v>
      </c>
      <c r="F1365" t="s">
        <v>3347</v>
      </c>
      <c r="G1365" t="str">
        <f>IF(OrdersTable[[#This Row],[Order Date]]=_xlfn.MINIFS(Order_Date, Customer_ID, OrdersTable[[#This Row],[Customer ID]]), "New", "Repeat")</f>
        <v>Repeat</v>
      </c>
      <c r="H1365" t="s">
        <v>37</v>
      </c>
      <c r="I1365" t="str">
        <f>INDEX(State!B:B,MATCH(OrdersTable[[#This Row],[State]],State!A:A,0))</f>
        <v>GJ</v>
      </c>
      <c r="J1365" t="str">
        <f>INDEX(State!C:C,MATCH(OrdersTable[[#This Row],[State Code]],State!B:B,0))</f>
        <v>West</v>
      </c>
      <c r="K1365" t="s">
        <v>38</v>
      </c>
      <c r="L1365" t="s">
        <v>50</v>
      </c>
      <c r="M1365" t="s">
        <v>66</v>
      </c>
      <c r="N1365" t="str">
        <f>INDEX(Products!B:B,MATCH(OrdersTable[[#This Row],[Product ID]],Products!A:A,0))</f>
        <v>Sunscreen SPF 50</v>
      </c>
      <c r="O1365" t="str">
        <f>INDEX(Products!C:C,MATCH(OrdersTable[[#This Row],[Product ID]],Products!A:A,0))</f>
        <v>Skincare</v>
      </c>
      <c r="P1365">
        <v>1</v>
      </c>
      <c r="Q1365" s="5">
        <v>449</v>
      </c>
      <c r="R1365" s="74">
        <v>0.1</v>
      </c>
      <c r="S1365" s="75">
        <f>OrdersTable[[#This Row],[Quantity]]*OrdersTable[[#This Row],[Unit Price]]</f>
        <v>449</v>
      </c>
      <c r="T1365" s="5">
        <f>OrdersTable[[#This Row],[Gross Sale]]*OrdersTable[[#This Row],[Discount_Clean2]]</f>
        <v>44.900000000000006</v>
      </c>
      <c r="U1365" s="5">
        <f>OrdersTable[[#This Row],[Gross Sale]]-OrdersTable[[#This Row],[Discount Amount]]</f>
        <v>404.1</v>
      </c>
      <c r="V1365" s="77">
        <f>INDEX(Products!E:E,MATCH(OrdersTable[[#This Row],[Product ID]],Products!A:A,0))</f>
        <v>144</v>
      </c>
      <c r="W1365" s="77">
        <f>OrdersTable[[#This Row],[Quantity]]*OrdersTable[[#This Row],[Unit Cost]]</f>
        <v>144</v>
      </c>
      <c r="X1365" s="77">
        <f>'Dropdown Lists'!$I$2*(1+OrdersTable[[#This Row],[Returned]])</f>
        <v>60</v>
      </c>
      <c r="Y1365" s="76">
        <f>OrdersTable[[#This Row],[Net Revenue]]-OrdersTable[[#This Row],[COGS]]-OrdersTable[[#This Row],[Shipping Cost]]</f>
        <v>200.10000000000002</v>
      </c>
      <c r="Z1365" s="78">
        <f>IFERROR(OrdersTable[[#This Row],[Profit]]/OrdersTable[[#This Row],[Net Revenue]],0)</f>
        <v>0.4951744617668894</v>
      </c>
      <c r="AA1365" t="s">
        <v>4074</v>
      </c>
      <c r="AB1365" s="79">
        <v>45565</v>
      </c>
      <c r="AC1365">
        <f>OrdersTable[[#This Row],[Delivery Date]]-OrdersTable[[#This Row],[Order Date]]</f>
        <v>2</v>
      </c>
      <c r="AD1365" t="str">
        <f>IF(OrdersTable[[#This Row],[Delivery Days]]&lt;=2, "Express (≤2d)", IF(OrdersTable[[#This Row],[Delivery Days]]&lt;=4, "Standard (3-4d)", "Delayed (5d+)"))</f>
        <v>Express (≤2d)</v>
      </c>
      <c r="AF1365">
        <v>0</v>
      </c>
    </row>
    <row r="1366" spans="1:32" ht="15" x14ac:dyDescent="0.35">
      <c r="A1366" t="s">
        <v>5490</v>
      </c>
      <c r="B1366" s="1">
        <v>45563</v>
      </c>
      <c r="C1366">
        <f>YEAR(OrdersTable[[#This Row],[Order Date]])</f>
        <v>2024</v>
      </c>
      <c r="D1366" s="2">
        <f>DATE(YEAR(OrdersTable[[#This Row],[Order Date]]),MONTH(OrdersTable[[#This Row],[Order Date]]),1)</f>
        <v>45536</v>
      </c>
      <c r="E1366">
        <f>MONTH(OrdersTable[[#This Row],[Order Date]])</f>
        <v>9</v>
      </c>
      <c r="F1366" t="s">
        <v>2617</v>
      </c>
      <c r="G1366" t="str">
        <f>IF(OrdersTable[[#This Row],[Order Date]]=_xlfn.MINIFS(Order_Date, Customer_ID, OrdersTable[[#This Row],[Customer ID]]), "New", "Repeat")</f>
        <v>New</v>
      </c>
      <c r="H1366" t="s">
        <v>43</v>
      </c>
      <c r="I1366" t="str">
        <f>INDEX(State!B:B,MATCH(OrdersTable[[#This Row],[State]],State!A:A,0))</f>
        <v>MP</v>
      </c>
      <c r="J1366" t="str">
        <f>INDEX(State!C:C,MATCH(OrdersTable[[#This Row],[State Code]],State!B:B,0))</f>
        <v>West</v>
      </c>
      <c r="K1366" t="s">
        <v>44</v>
      </c>
      <c r="L1366" t="s">
        <v>50</v>
      </c>
      <c r="M1366" t="s">
        <v>40</v>
      </c>
      <c r="N1366" t="str">
        <f>INDEX(Products!B:B,MATCH(OrdersTable[[#This Row],[Product ID]],Products!A:A,0))</f>
        <v>Ashwagandha Capsules</v>
      </c>
      <c r="O1366" t="str">
        <f>INDEX(Products!C:C,MATCH(OrdersTable[[#This Row],[Product ID]],Products!A:A,0))</f>
        <v>Wellness</v>
      </c>
      <c r="P1366">
        <v>2</v>
      </c>
      <c r="Q1366" s="5">
        <v>499</v>
      </c>
      <c r="R1366" s="74">
        <v>0.1</v>
      </c>
      <c r="S1366" s="75">
        <f>OrdersTable[[#This Row],[Quantity]]*OrdersTable[[#This Row],[Unit Price]]</f>
        <v>998</v>
      </c>
      <c r="T1366" s="5">
        <f>OrdersTable[[#This Row],[Gross Sale]]*OrdersTable[[#This Row],[Discount_Clean2]]</f>
        <v>99.800000000000011</v>
      </c>
      <c r="U1366" s="5">
        <f>OrdersTable[[#This Row],[Gross Sale]]-OrdersTable[[#This Row],[Discount Amount]]</f>
        <v>898.2</v>
      </c>
      <c r="V1366" s="77">
        <f>INDEX(Products!E:E,MATCH(OrdersTable[[#This Row],[Product ID]],Products!A:A,0))</f>
        <v>150</v>
      </c>
      <c r="W1366" s="77">
        <f>OrdersTable[[#This Row],[Quantity]]*OrdersTable[[#This Row],[Unit Cost]]</f>
        <v>300</v>
      </c>
      <c r="X1366" s="77">
        <f>'Dropdown Lists'!$I$2*(1+OrdersTable[[#This Row],[Returned]])</f>
        <v>120</v>
      </c>
      <c r="Y1366" s="76">
        <f>OrdersTable[[#This Row],[Net Revenue]]-OrdersTable[[#This Row],[COGS]]-OrdersTable[[#This Row],[Shipping Cost]]</f>
        <v>478.20000000000005</v>
      </c>
      <c r="Z1366" s="78">
        <f>IFERROR(OrdersTable[[#This Row],[Profit]]/OrdersTable[[#This Row],[Net Revenue]],0)</f>
        <v>0.53239812959251842</v>
      </c>
      <c r="AA1366" t="s">
        <v>2522</v>
      </c>
      <c r="AB1366" s="79">
        <v>45566</v>
      </c>
      <c r="AC1366">
        <f>OrdersTable[[#This Row],[Delivery Date]]-OrdersTable[[#This Row],[Order Date]]</f>
        <v>3</v>
      </c>
      <c r="AD1366" t="str">
        <f>IF(OrdersTable[[#This Row],[Delivery Days]]&lt;=2, "Express (≤2d)", IF(OrdersTable[[#This Row],[Delivery Days]]&lt;=4, "Standard (3-4d)", "Delayed (5d+)"))</f>
        <v>Standard (3-4d)</v>
      </c>
      <c r="AE1366">
        <v>4</v>
      </c>
      <c r="AF1366">
        <v>1</v>
      </c>
    </row>
    <row r="1367" spans="1:32" ht="15" x14ac:dyDescent="0.35">
      <c r="A1367" t="s">
        <v>3209</v>
      </c>
      <c r="B1367" s="1">
        <v>45563</v>
      </c>
      <c r="C1367">
        <f>YEAR(OrdersTable[[#This Row],[Order Date]])</f>
        <v>2024</v>
      </c>
      <c r="D1367" s="2">
        <f>DATE(YEAR(OrdersTable[[#This Row],[Order Date]]),MONTH(OrdersTable[[#This Row],[Order Date]]),1)</f>
        <v>45536</v>
      </c>
      <c r="E1367">
        <f>MONTH(OrdersTable[[#This Row],[Order Date]])</f>
        <v>9</v>
      </c>
      <c r="F1367" t="s">
        <v>915</v>
      </c>
      <c r="G1367" t="str">
        <f>IF(OrdersTable[[#This Row],[Order Date]]=_xlfn.MINIFS(Order_Date, Customer_ID, OrdersTable[[#This Row],[Customer ID]]), "New", "Repeat")</f>
        <v>Repeat</v>
      </c>
      <c r="H1367" t="s">
        <v>43</v>
      </c>
      <c r="I1367" t="str">
        <f>INDEX(State!B:B,MATCH(OrdersTable[[#This Row],[State]],State!A:A,0))</f>
        <v>MP</v>
      </c>
      <c r="J1367" t="str">
        <f>INDEX(State!C:C,MATCH(OrdersTable[[#This Row],[State Code]],State!B:B,0))</f>
        <v>West</v>
      </c>
      <c r="K1367" t="s">
        <v>44</v>
      </c>
      <c r="L1367" t="s">
        <v>16</v>
      </c>
      <c r="M1367" t="s">
        <v>92</v>
      </c>
      <c r="N1367" t="str">
        <f>INDEX(Products!B:B,MATCH(OrdersTable[[#This Row],[Product ID]],Products!A:A,0))</f>
        <v>Kolhapuri Sandals</v>
      </c>
      <c r="O1367" t="str">
        <f>INDEX(Products!C:C,MATCH(OrdersTable[[#This Row],[Product ID]],Products!A:A,0))</f>
        <v>Footwear</v>
      </c>
      <c r="P1367">
        <v>1</v>
      </c>
      <c r="Q1367" s="5">
        <v>999</v>
      </c>
      <c r="R1367" s="74">
        <v>0.1</v>
      </c>
      <c r="S1367" s="75">
        <f>OrdersTable[[#This Row],[Quantity]]*OrdersTable[[#This Row],[Unit Price]]</f>
        <v>999</v>
      </c>
      <c r="T1367" s="5">
        <f>OrdersTable[[#This Row],[Gross Sale]]*OrdersTable[[#This Row],[Discount_Clean2]]</f>
        <v>99.9</v>
      </c>
      <c r="U1367" s="5">
        <f>OrdersTable[[#This Row],[Gross Sale]]-OrdersTable[[#This Row],[Discount Amount]]</f>
        <v>899.1</v>
      </c>
      <c r="V1367" s="77">
        <f>INDEX(Products!E:E,MATCH(OrdersTable[[#This Row],[Product ID]],Products!A:A,0))</f>
        <v>400</v>
      </c>
      <c r="W1367" s="77">
        <f>OrdersTable[[#This Row],[Quantity]]*OrdersTable[[#This Row],[Unit Cost]]</f>
        <v>400</v>
      </c>
      <c r="X1367" s="77">
        <f>'Dropdown Lists'!$I$2*(1+OrdersTable[[#This Row],[Returned]])</f>
        <v>60</v>
      </c>
      <c r="Y1367" s="76">
        <f>OrdersTable[[#This Row],[Net Revenue]]-OrdersTable[[#This Row],[COGS]]-OrdersTable[[#This Row],[Shipping Cost]]</f>
        <v>439.1</v>
      </c>
      <c r="Z1367" s="78">
        <f>IFERROR(OrdersTable[[#This Row],[Profit]]/OrdersTable[[#This Row],[Net Revenue]],0)</f>
        <v>0.48837726615504395</v>
      </c>
      <c r="AA1367" t="s">
        <v>2522</v>
      </c>
      <c r="AB1367" s="79">
        <v>45566</v>
      </c>
      <c r="AC1367">
        <f>OrdersTable[[#This Row],[Delivery Date]]-OrdersTable[[#This Row],[Order Date]]</f>
        <v>3</v>
      </c>
      <c r="AD1367" t="str">
        <f>IF(OrdersTable[[#This Row],[Delivery Days]]&lt;=2, "Express (≤2d)", IF(OrdersTable[[#This Row],[Delivery Days]]&lt;=4, "Standard (3-4d)", "Delayed (5d+)"))</f>
        <v>Standard (3-4d)</v>
      </c>
      <c r="AE1367">
        <v>4</v>
      </c>
      <c r="AF1367">
        <v>0</v>
      </c>
    </row>
    <row r="1368" spans="1:32" ht="15" x14ac:dyDescent="0.35">
      <c r="A1368" t="s">
        <v>3990</v>
      </c>
      <c r="B1368" s="1">
        <v>45563</v>
      </c>
      <c r="C1368">
        <f>YEAR(OrdersTable[[#This Row],[Order Date]])</f>
        <v>2024</v>
      </c>
      <c r="D1368" s="2">
        <f>DATE(YEAR(OrdersTable[[#This Row],[Order Date]]),MONTH(OrdersTable[[#This Row],[Order Date]]),1)</f>
        <v>45536</v>
      </c>
      <c r="E1368">
        <f>MONTH(OrdersTable[[#This Row],[Order Date]])</f>
        <v>9</v>
      </c>
      <c r="F1368" t="s">
        <v>3991</v>
      </c>
      <c r="G1368" t="str">
        <f>IF(OrdersTable[[#This Row],[Order Date]]=_xlfn.MINIFS(Order_Date, Customer_ID, OrdersTable[[#This Row],[Customer ID]]), "New", "Repeat")</f>
        <v>New</v>
      </c>
      <c r="H1368" t="s">
        <v>27</v>
      </c>
      <c r="I1368" t="str">
        <f>INDEX(State!B:B,MATCH(OrdersTable[[#This Row],[State]],State!A:A,0))</f>
        <v>WB</v>
      </c>
      <c r="J1368" t="str">
        <f>INDEX(State!C:C,MATCH(OrdersTable[[#This Row],[State Code]],State!B:B,0))</f>
        <v>East</v>
      </c>
      <c r="K1368" t="s">
        <v>28</v>
      </c>
      <c r="L1368" t="s">
        <v>23</v>
      </c>
      <c r="M1368" t="s">
        <v>66</v>
      </c>
      <c r="N1368" t="str">
        <f>INDEX(Products!B:B,MATCH(OrdersTable[[#This Row],[Product ID]],Products!A:A,0))</f>
        <v>Sunscreen SPF 50</v>
      </c>
      <c r="O1368" t="str">
        <f>INDEX(Products!C:C,MATCH(OrdersTable[[#This Row],[Product ID]],Products!A:A,0))</f>
        <v>Skincare</v>
      </c>
      <c r="P1368">
        <v>1</v>
      </c>
      <c r="Q1368" s="5">
        <v>449</v>
      </c>
      <c r="R1368" s="74">
        <v>0.15</v>
      </c>
      <c r="S1368" s="75">
        <f>OrdersTable[[#This Row],[Quantity]]*OrdersTable[[#This Row],[Unit Price]]</f>
        <v>449</v>
      </c>
      <c r="T1368" s="5">
        <f>OrdersTable[[#This Row],[Gross Sale]]*OrdersTable[[#This Row],[Discount_Clean2]]</f>
        <v>67.349999999999994</v>
      </c>
      <c r="U1368" s="5">
        <f>OrdersTable[[#This Row],[Gross Sale]]-OrdersTable[[#This Row],[Discount Amount]]</f>
        <v>381.65</v>
      </c>
      <c r="V1368" s="77">
        <f>INDEX(Products!E:E,MATCH(OrdersTable[[#This Row],[Product ID]],Products!A:A,0))</f>
        <v>144</v>
      </c>
      <c r="W1368" s="77">
        <f>OrdersTable[[#This Row],[Quantity]]*OrdersTable[[#This Row],[Unit Cost]]</f>
        <v>144</v>
      </c>
      <c r="X1368" s="77">
        <f>'Dropdown Lists'!$I$2*(1+OrdersTable[[#This Row],[Returned]])</f>
        <v>60</v>
      </c>
      <c r="Y1368" s="76">
        <f>OrdersTable[[#This Row],[Net Revenue]]-OrdersTable[[#This Row],[COGS]]-OrdersTable[[#This Row],[Shipping Cost]]</f>
        <v>177.64999999999998</v>
      </c>
      <c r="Z1368" s="78">
        <f>IFERROR(OrdersTable[[#This Row],[Profit]]/OrdersTable[[#This Row],[Net Revenue]],0)</f>
        <v>0.465478841870824</v>
      </c>
      <c r="AA1368" t="s">
        <v>3495</v>
      </c>
      <c r="AB1368" s="79">
        <v>45568</v>
      </c>
      <c r="AC1368">
        <f>OrdersTable[[#This Row],[Delivery Date]]-OrdersTable[[#This Row],[Order Date]]</f>
        <v>5</v>
      </c>
      <c r="AD1368" t="str">
        <f>IF(OrdersTable[[#This Row],[Delivery Days]]&lt;=2, "Express (≤2d)", IF(OrdersTable[[#This Row],[Delivery Days]]&lt;=4, "Standard (3-4d)", "Delayed (5d+)"))</f>
        <v>Delayed (5d+)</v>
      </c>
      <c r="AE1368">
        <v>5</v>
      </c>
      <c r="AF1368">
        <v>0</v>
      </c>
    </row>
    <row r="1369" spans="1:32" ht="15" x14ac:dyDescent="0.35">
      <c r="A1369" t="s">
        <v>517</v>
      </c>
      <c r="B1369" s="1">
        <v>45563</v>
      </c>
      <c r="C1369">
        <f>YEAR(OrdersTable[[#This Row],[Order Date]])</f>
        <v>2024</v>
      </c>
      <c r="D1369" s="2">
        <f>DATE(YEAR(OrdersTable[[#This Row],[Order Date]]),MONTH(OrdersTable[[#This Row],[Order Date]]),1)</f>
        <v>45536</v>
      </c>
      <c r="E1369">
        <f>MONTH(OrdersTable[[#This Row],[Order Date]])</f>
        <v>9</v>
      </c>
      <c r="F1369" t="s">
        <v>518</v>
      </c>
      <c r="G1369" t="str">
        <f>IF(OrdersTable[[#This Row],[Order Date]]=_xlfn.MINIFS(Order_Date, Customer_ID, OrdersTable[[#This Row],[Customer ID]]), "New", "Repeat")</f>
        <v>New</v>
      </c>
      <c r="H1369" t="s">
        <v>27</v>
      </c>
      <c r="I1369" t="str">
        <f>INDEX(State!B:B,MATCH(OrdersTable[[#This Row],[State]],State!A:A,0))</f>
        <v>WB</v>
      </c>
      <c r="J1369" t="str">
        <f>INDEX(State!C:C,MATCH(OrdersTable[[#This Row],[State Code]],State!B:B,0))</f>
        <v>East</v>
      </c>
      <c r="K1369" t="s">
        <v>28</v>
      </c>
      <c r="L1369" t="s">
        <v>16</v>
      </c>
      <c r="M1369" t="s">
        <v>29</v>
      </c>
      <c r="N1369" t="str">
        <f>INDEX(Products!B:B,MATCH(OrdersTable[[#This Row],[Product ID]],Products!A:A,0))</f>
        <v>Joggers</v>
      </c>
      <c r="O1369" t="str">
        <f>INDEX(Products!C:C,MATCH(OrdersTable[[#This Row],[Product ID]],Products!A:A,0))</f>
        <v>Apparel</v>
      </c>
      <c r="P1369">
        <v>1</v>
      </c>
      <c r="Q1369" s="5">
        <v>1199</v>
      </c>
      <c r="R1369" s="74">
        <v>0.1</v>
      </c>
      <c r="S1369" s="75">
        <f>OrdersTable[[#This Row],[Quantity]]*OrdersTable[[#This Row],[Unit Price]]</f>
        <v>1199</v>
      </c>
      <c r="T1369" s="5">
        <f>OrdersTable[[#This Row],[Gross Sale]]*OrdersTable[[#This Row],[Discount_Clean2]]</f>
        <v>119.9</v>
      </c>
      <c r="U1369" s="5">
        <f>OrdersTable[[#This Row],[Gross Sale]]-OrdersTable[[#This Row],[Discount Amount]]</f>
        <v>1079.0999999999999</v>
      </c>
      <c r="V1369" s="77">
        <f>INDEX(Products!E:E,MATCH(OrdersTable[[#This Row],[Product ID]],Products!A:A,0))</f>
        <v>492</v>
      </c>
      <c r="W1369" s="77">
        <f>OrdersTable[[#This Row],[Quantity]]*OrdersTable[[#This Row],[Unit Cost]]</f>
        <v>492</v>
      </c>
      <c r="X1369" s="77">
        <f>'Dropdown Lists'!$I$2*(1+OrdersTable[[#This Row],[Returned]])</f>
        <v>60</v>
      </c>
      <c r="Y1369" s="76">
        <f>OrdersTable[[#This Row],[Net Revenue]]-OrdersTable[[#This Row],[COGS]]-OrdersTable[[#This Row],[Shipping Cost]]</f>
        <v>527.09999999999991</v>
      </c>
      <c r="Z1369" s="78">
        <f>IFERROR(OrdersTable[[#This Row],[Profit]]/OrdersTable[[#This Row],[Net Revenue]],0)</f>
        <v>0.48846260772866273</v>
      </c>
      <c r="AA1369" t="s">
        <v>18</v>
      </c>
      <c r="AB1369" s="79">
        <v>45566</v>
      </c>
      <c r="AC1369">
        <f>OrdersTable[[#This Row],[Delivery Date]]-OrdersTable[[#This Row],[Order Date]]</f>
        <v>3</v>
      </c>
      <c r="AD1369" t="str">
        <f>IF(OrdersTable[[#This Row],[Delivery Days]]&lt;=2, "Express (≤2d)", IF(OrdersTable[[#This Row],[Delivery Days]]&lt;=4, "Standard (3-4d)", "Delayed (5d+)"))</f>
        <v>Standard (3-4d)</v>
      </c>
      <c r="AE1369">
        <v>4</v>
      </c>
      <c r="AF1369">
        <v>0</v>
      </c>
    </row>
    <row r="1370" spans="1:32" ht="15" x14ac:dyDescent="0.35">
      <c r="A1370" t="s">
        <v>5677</v>
      </c>
      <c r="B1370" s="1">
        <v>45563</v>
      </c>
      <c r="C1370">
        <f>YEAR(OrdersTable[[#This Row],[Order Date]])</f>
        <v>2024</v>
      </c>
      <c r="D1370" s="2">
        <f>DATE(YEAR(OrdersTable[[#This Row],[Order Date]]),MONTH(OrdersTable[[#This Row],[Order Date]]),1)</f>
        <v>45536</v>
      </c>
      <c r="E1370">
        <f>MONTH(OrdersTable[[#This Row],[Order Date]])</f>
        <v>9</v>
      </c>
      <c r="F1370" t="s">
        <v>1608</v>
      </c>
      <c r="G1370" t="str">
        <f>IF(OrdersTable[[#This Row],[Order Date]]=_xlfn.MINIFS(Order_Date, Customer_ID, OrdersTable[[#This Row],[Customer ID]]), "New", "Repeat")</f>
        <v>Repeat</v>
      </c>
      <c r="H1370" t="s">
        <v>14</v>
      </c>
      <c r="I1370" t="str">
        <f>INDEX(State!B:B,MATCH(OrdersTable[[#This Row],[State]],State!A:A,0))</f>
        <v>OD</v>
      </c>
      <c r="J1370" t="str">
        <f>INDEX(State!C:C,MATCH(OrdersTable[[#This Row],[State Code]],State!B:B,0))</f>
        <v>East</v>
      </c>
      <c r="K1370" t="s">
        <v>15</v>
      </c>
      <c r="L1370" t="s">
        <v>65</v>
      </c>
      <c r="M1370" t="s">
        <v>78</v>
      </c>
      <c r="N1370" t="str">
        <f>INDEX(Products!B:B,MATCH(OrdersTable[[#This Row],[Product ID]],Products!A:A,0))</f>
        <v>Retinol Night Cream</v>
      </c>
      <c r="O1370" t="str">
        <f>INDEX(Products!C:C,MATCH(OrdersTable[[#This Row],[Product ID]],Products!A:A,0))</f>
        <v>Skincare</v>
      </c>
      <c r="P1370">
        <v>2</v>
      </c>
      <c r="Q1370" s="5">
        <v>799</v>
      </c>
      <c r="R1370" s="74">
        <v>0.05</v>
      </c>
      <c r="S1370" s="75">
        <f>OrdersTable[[#This Row],[Quantity]]*OrdersTable[[#This Row],[Unit Price]]</f>
        <v>1598</v>
      </c>
      <c r="T1370" s="5">
        <f>OrdersTable[[#This Row],[Gross Sale]]*OrdersTable[[#This Row],[Discount_Clean2]]</f>
        <v>79.900000000000006</v>
      </c>
      <c r="U1370" s="5">
        <f>OrdersTable[[#This Row],[Gross Sale]]-OrdersTable[[#This Row],[Discount Amount]]</f>
        <v>1518.1</v>
      </c>
      <c r="V1370" s="77">
        <f>INDEX(Products!E:E,MATCH(OrdersTable[[#This Row],[Product ID]],Products!A:A,0))</f>
        <v>216</v>
      </c>
      <c r="W1370" s="77">
        <f>OrdersTable[[#This Row],[Quantity]]*OrdersTable[[#This Row],[Unit Cost]]</f>
        <v>432</v>
      </c>
      <c r="X1370" s="77">
        <f>'Dropdown Lists'!$I$2*(1+OrdersTable[[#This Row],[Returned]])</f>
        <v>60</v>
      </c>
      <c r="Y1370" s="76">
        <f>OrdersTable[[#This Row],[Net Revenue]]-OrdersTable[[#This Row],[COGS]]-OrdersTable[[#This Row],[Shipping Cost]]</f>
        <v>1026.0999999999999</v>
      </c>
      <c r="Z1370" s="78">
        <f>IFERROR(OrdersTable[[#This Row],[Profit]]/OrdersTable[[#This Row],[Net Revenue]],0)</f>
        <v>0.67591067782096037</v>
      </c>
      <c r="AA1370" t="s">
        <v>18</v>
      </c>
      <c r="AB1370" s="79">
        <v>45568</v>
      </c>
      <c r="AC1370">
        <f>OrdersTable[[#This Row],[Delivery Date]]-OrdersTable[[#This Row],[Order Date]]</f>
        <v>5</v>
      </c>
      <c r="AD1370" t="str">
        <f>IF(OrdersTable[[#This Row],[Delivery Days]]&lt;=2, "Express (≤2d)", IF(OrdersTable[[#This Row],[Delivery Days]]&lt;=4, "Standard (3-4d)", "Delayed (5d+)"))</f>
        <v>Delayed (5d+)</v>
      </c>
      <c r="AE1370">
        <v>3</v>
      </c>
      <c r="AF1370">
        <v>0</v>
      </c>
    </row>
    <row r="1371" spans="1:32" ht="15" x14ac:dyDescent="0.35">
      <c r="A1371" t="s">
        <v>4929</v>
      </c>
      <c r="B1371" s="1">
        <v>45563</v>
      </c>
      <c r="C1371">
        <f>YEAR(OrdersTable[[#This Row],[Order Date]])</f>
        <v>2024</v>
      </c>
      <c r="D1371" s="2">
        <f>DATE(YEAR(OrdersTable[[#This Row],[Order Date]]),MONTH(OrdersTable[[#This Row],[Order Date]]),1)</f>
        <v>45536</v>
      </c>
      <c r="E1371">
        <f>MONTH(OrdersTable[[#This Row],[Order Date]])</f>
        <v>9</v>
      </c>
      <c r="F1371" t="s">
        <v>4930</v>
      </c>
      <c r="G1371" t="str">
        <f>IF(OrdersTable[[#This Row],[Order Date]]=_xlfn.MINIFS(Order_Date, Customer_ID, OrdersTable[[#This Row],[Customer ID]]), "New", "Repeat")</f>
        <v>New</v>
      </c>
      <c r="H1371" t="s">
        <v>167</v>
      </c>
      <c r="I1371" t="str">
        <f>INDEX(State!B:B,MATCH(OrdersTable[[#This Row],[State]],State!A:A,0))</f>
        <v>KA</v>
      </c>
      <c r="J1371" t="str">
        <f>INDEX(State!C:C,MATCH(OrdersTable[[#This Row],[State Code]],State!B:B,0))</f>
        <v>South</v>
      </c>
      <c r="K1371" t="s">
        <v>190</v>
      </c>
      <c r="L1371" t="s">
        <v>50</v>
      </c>
      <c r="M1371" t="s">
        <v>78</v>
      </c>
      <c r="N1371" t="str">
        <f>INDEX(Products!B:B,MATCH(OrdersTable[[#This Row],[Product ID]],Products!A:A,0))</f>
        <v>Retinol Night Cream</v>
      </c>
      <c r="O1371" t="str">
        <f>INDEX(Products!C:C,MATCH(OrdersTable[[#This Row],[Product ID]],Products!A:A,0))</f>
        <v>Skincare</v>
      </c>
      <c r="P1371">
        <v>2</v>
      </c>
      <c r="Q1371" s="5">
        <v>799</v>
      </c>
      <c r="R1371" s="74">
        <v>0</v>
      </c>
      <c r="S1371" s="75">
        <f>OrdersTable[[#This Row],[Quantity]]*OrdersTable[[#This Row],[Unit Price]]</f>
        <v>1598</v>
      </c>
      <c r="T1371" s="5">
        <f>OrdersTable[[#This Row],[Gross Sale]]*OrdersTable[[#This Row],[Discount_Clean2]]</f>
        <v>0</v>
      </c>
      <c r="U1371" s="5">
        <f>OrdersTable[[#This Row],[Gross Sale]]-OrdersTable[[#This Row],[Discount Amount]]</f>
        <v>1598</v>
      </c>
      <c r="V1371" s="77">
        <f>INDEX(Products!E:E,MATCH(OrdersTable[[#This Row],[Product ID]],Products!A:A,0))</f>
        <v>216</v>
      </c>
      <c r="W1371" s="77">
        <f>OrdersTable[[#This Row],[Quantity]]*OrdersTable[[#This Row],[Unit Cost]]</f>
        <v>432</v>
      </c>
      <c r="X1371" s="77">
        <f>'Dropdown Lists'!$I$2*(1+OrdersTable[[#This Row],[Returned]])</f>
        <v>60</v>
      </c>
      <c r="Y1371" s="76">
        <f>OrdersTable[[#This Row],[Net Revenue]]-OrdersTable[[#This Row],[COGS]]-OrdersTable[[#This Row],[Shipping Cost]]</f>
        <v>1106</v>
      </c>
      <c r="Z1371" s="78">
        <f>IFERROR(OrdersTable[[#This Row],[Profit]]/OrdersTable[[#This Row],[Net Revenue]],0)</f>
        <v>0.69211514392991236</v>
      </c>
      <c r="AA1371" t="s">
        <v>4074</v>
      </c>
      <c r="AB1371" s="79">
        <v>45564</v>
      </c>
      <c r="AC1371">
        <f>OrdersTable[[#This Row],[Delivery Date]]-OrdersTable[[#This Row],[Order Date]]</f>
        <v>1</v>
      </c>
      <c r="AD1371" t="str">
        <f>IF(OrdersTable[[#This Row],[Delivery Days]]&lt;=2, "Express (≤2d)", IF(OrdersTable[[#This Row],[Delivery Days]]&lt;=4, "Standard (3-4d)", "Delayed (5d+)"))</f>
        <v>Express (≤2d)</v>
      </c>
      <c r="AE1371">
        <v>4</v>
      </c>
      <c r="AF1371">
        <v>0</v>
      </c>
    </row>
    <row r="1372" spans="1:32" ht="15" x14ac:dyDescent="0.35">
      <c r="A1372" t="s">
        <v>3210</v>
      </c>
      <c r="B1372" s="1">
        <v>45563</v>
      </c>
      <c r="C1372">
        <f>YEAR(OrdersTable[[#This Row],[Order Date]])</f>
        <v>2024</v>
      </c>
      <c r="D1372" s="2">
        <f>DATE(YEAR(OrdersTable[[#This Row],[Order Date]]),MONTH(OrdersTable[[#This Row],[Order Date]]),1)</f>
        <v>45536</v>
      </c>
      <c r="E1372">
        <f>MONTH(OrdersTable[[#This Row],[Order Date]])</f>
        <v>9</v>
      </c>
      <c r="F1372" t="s">
        <v>3211</v>
      </c>
      <c r="G1372" t="str">
        <f>IF(OrdersTable[[#This Row],[Order Date]]=_xlfn.MINIFS(Order_Date, Customer_ID, OrdersTable[[#This Row],[Customer ID]]), "New", "Repeat")</f>
        <v>New</v>
      </c>
      <c r="H1372" t="s">
        <v>167</v>
      </c>
      <c r="I1372" t="str">
        <f>INDEX(State!B:B,MATCH(OrdersTable[[#This Row],[State]],State!A:A,0))</f>
        <v>KA</v>
      </c>
      <c r="J1372" t="str">
        <f>INDEX(State!C:C,MATCH(OrdersTable[[#This Row],[State Code]],State!B:B,0))</f>
        <v>South</v>
      </c>
      <c r="K1372" t="s">
        <v>168</v>
      </c>
      <c r="L1372" t="s">
        <v>39</v>
      </c>
      <c r="M1372" t="s">
        <v>34</v>
      </c>
      <c r="N1372" t="str">
        <f>INDEX(Products!B:B,MATCH(OrdersTable[[#This Row],[Product ID]],Products!A:A,0))</f>
        <v>Flip Flops</v>
      </c>
      <c r="O1372" t="str">
        <f>INDEX(Products!C:C,MATCH(OrdersTable[[#This Row],[Product ID]],Products!A:A,0))</f>
        <v>Footwear</v>
      </c>
      <c r="P1372">
        <v>1</v>
      </c>
      <c r="Q1372" s="5">
        <v>399</v>
      </c>
      <c r="R1372" s="74">
        <v>0.1</v>
      </c>
      <c r="S1372" s="75">
        <f>OrdersTable[[#This Row],[Quantity]]*OrdersTable[[#This Row],[Unit Price]]</f>
        <v>399</v>
      </c>
      <c r="T1372" s="5">
        <f>OrdersTable[[#This Row],[Gross Sale]]*OrdersTable[[#This Row],[Discount_Clean2]]</f>
        <v>39.900000000000006</v>
      </c>
      <c r="U1372" s="5">
        <f>OrdersTable[[#This Row],[Gross Sale]]-OrdersTable[[#This Row],[Discount Amount]]</f>
        <v>359.1</v>
      </c>
      <c r="V1372" s="77">
        <f>INDEX(Products!E:E,MATCH(OrdersTable[[#This Row],[Product ID]],Products!A:A,0))</f>
        <v>152</v>
      </c>
      <c r="W1372" s="77">
        <f>OrdersTable[[#This Row],[Quantity]]*OrdersTable[[#This Row],[Unit Cost]]</f>
        <v>152</v>
      </c>
      <c r="X1372" s="77">
        <f>'Dropdown Lists'!$I$2*(1+OrdersTable[[#This Row],[Returned]])</f>
        <v>120</v>
      </c>
      <c r="Y1372" s="76">
        <f>OrdersTable[[#This Row],[Net Revenue]]-OrdersTable[[#This Row],[COGS]]-OrdersTable[[#This Row],[Shipping Cost]]</f>
        <v>87.100000000000023</v>
      </c>
      <c r="Z1372" s="78">
        <f>IFERROR(OrdersTable[[#This Row],[Profit]]/OrdersTable[[#This Row],[Net Revenue]],0)</f>
        <v>0.24255082149818996</v>
      </c>
      <c r="AA1372" t="s">
        <v>2522</v>
      </c>
      <c r="AB1372" s="79">
        <v>45566</v>
      </c>
      <c r="AC1372">
        <f>OrdersTable[[#This Row],[Delivery Date]]-OrdersTable[[#This Row],[Order Date]]</f>
        <v>3</v>
      </c>
      <c r="AD1372" t="str">
        <f>IF(OrdersTable[[#This Row],[Delivery Days]]&lt;=2, "Express (≤2d)", IF(OrdersTable[[#This Row],[Delivery Days]]&lt;=4, "Standard (3-4d)", "Delayed (5d+)"))</f>
        <v>Standard (3-4d)</v>
      </c>
      <c r="AE1372">
        <v>4</v>
      </c>
      <c r="AF1372">
        <v>1</v>
      </c>
    </row>
    <row r="1373" spans="1:32" ht="15" x14ac:dyDescent="0.35">
      <c r="A1373" t="s">
        <v>2312</v>
      </c>
      <c r="B1373" s="1">
        <v>45564</v>
      </c>
      <c r="C1373">
        <f>YEAR(OrdersTable[[#This Row],[Order Date]])</f>
        <v>2024</v>
      </c>
      <c r="D1373" s="2">
        <f>DATE(YEAR(OrdersTable[[#This Row],[Order Date]]),MONTH(OrdersTable[[#This Row],[Order Date]]),1)</f>
        <v>45536</v>
      </c>
      <c r="E1373">
        <f>MONTH(OrdersTable[[#This Row],[Order Date]])</f>
        <v>9</v>
      </c>
      <c r="F1373" t="s">
        <v>2313</v>
      </c>
      <c r="G1373" t="str">
        <f>IF(OrdersTable[[#This Row],[Order Date]]=_xlfn.MINIFS(Order_Date, Customer_ID, OrdersTable[[#This Row],[Customer ID]]), "New", "Repeat")</f>
        <v>New</v>
      </c>
      <c r="H1373" t="s">
        <v>27</v>
      </c>
      <c r="I1373" t="str">
        <f>INDEX(State!B:B,MATCH(OrdersTable[[#This Row],[State]],State!A:A,0))</f>
        <v>WB</v>
      </c>
      <c r="J1373" t="str">
        <f>INDEX(State!C:C,MATCH(OrdersTable[[#This Row],[State Code]],State!B:B,0))</f>
        <v>East</v>
      </c>
      <c r="K1373" t="s">
        <v>28</v>
      </c>
      <c r="L1373" t="s">
        <v>16</v>
      </c>
      <c r="M1373" t="s">
        <v>205</v>
      </c>
      <c r="N1373" t="str">
        <f>INDEX(Products!B:B,MATCH(OrdersTable[[#This Row],[Product ID]],Products!A:A,0))</f>
        <v>Running Shoes</v>
      </c>
      <c r="O1373" t="str">
        <f>INDEX(Products!C:C,MATCH(OrdersTable[[#This Row],[Product ID]],Products!A:A,0))</f>
        <v>Footwear</v>
      </c>
      <c r="P1373">
        <v>1</v>
      </c>
      <c r="Q1373" s="5">
        <v>2999</v>
      </c>
      <c r="R1373" s="74">
        <v>0.2</v>
      </c>
      <c r="S1373" s="75">
        <f>OrdersTable[[#This Row],[Quantity]]*OrdersTable[[#This Row],[Unit Price]]</f>
        <v>2999</v>
      </c>
      <c r="T1373" s="5">
        <f>OrdersTable[[#This Row],[Gross Sale]]*OrdersTable[[#This Row],[Discount_Clean2]]</f>
        <v>599.80000000000007</v>
      </c>
      <c r="U1373" s="5">
        <f>OrdersTable[[#This Row],[Gross Sale]]-OrdersTable[[#This Row],[Discount Amount]]</f>
        <v>2399.1999999999998</v>
      </c>
      <c r="V1373" s="77">
        <f>INDEX(Products!E:E,MATCH(OrdersTable[[#This Row],[Product ID]],Products!A:A,0))</f>
        <v>1440</v>
      </c>
      <c r="W1373" s="77">
        <f>OrdersTable[[#This Row],[Quantity]]*OrdersTable[[#This Row],[Unit Cost]]</f>
        <v>1440</v>
      </c>
      <c r="X1373" s="77">
        <f>'Dropdown Lists'!$I$2*(1+OrdersTable[[#This Row],[Returned]])</f>
        <v>60</v>
      </c>
      <c r="Y1373" s="76">
        <f>OrdersTable[[#This Row],[Net Revenue]]-OrdersTable[[#This Row],[COGS]]-OrdersTable[[#This Row],[Shipping Cost]]</f>
        <v>899.19999999999982</v>
      </c>
      <c r="Z1373" s="78">
        <f>IFERROR(OrdersTable[[#This Row],[Profit]]/OrdersTable[[#This Row],[Net Revenue]],0)</f>
        <v>0.3747915971990663</v>
      </c>
      <c r="AA1373" t="s">
        <v>18</v>
      </c>
      <c r="AB1373" s="79">
        <v>45566</v>
      </c>
      <c r="AC1373">
        <f>OrdersTable[[#This Row],[Delivery Date]]-OrdersTable[[#This Row],[Order Date]]</f>
        <v>2</v>
      </c>
      <c r="AD1373" t="str">
        <f>IF(OrdersTable[[#This Row],[Delivery Days]]&lt;=2, "Express (≤2d)", IF(OrdersTable[[#This Row],[Delivery Days]]&lt;=4, "Standard (3-4d)", "Delayed (5d+)"))</f>
        <v>Express (≤2d)</v>
      </c>
      <c r="AE1373">
        <v>5</v>
      </c>
      <c r="AF1373">
        <v>0</v>
      </c>
    </row>
    <row r="1374" spans="1:32" ht="15" x14ac:dyDescent="0.35">
      <c r="A1374" t="s">
        <v>5112</v>
      </c>
      <c r="B1374" s="1">
        <v>45564</v>
      </c>
      <c r="C1374">
        <f>YEAR(OrdersTable[[#This Row],[Order Date]])</f>
        <v>2024</v>
      </c>
      <c r="D1374" s="2">
        <f>DATE(YEAR(OrdersTable[[#This Row],[Order Date]]),MONTH(OrdersTable[[#This Row],[Order Date]]),1)</f>
        <v>45536</v>
      </c>
      <c r="E1374">
        <f>MONTH(OrdersTable[[#This Row],[Order Date]])</f>
        <v>9</v>
      </c>
      <c r="F1374" t="s">
        <v>5113</v>
      </c>
      <c r="G1374" t="str">
        <f>IF(OrdersTable[[#This Row],[Order Date]]=_xlfn.MINIFS(Order_Date, Customer_ID, OrdersTable[[#This Row],[Customer ID]]), "New", "Repeat")</f>
        <v>New</v>
      </c>
      <c r="H1374" t="s">
        <v>71</v>
      </c>
      <c r="I1374" t="str">
        <f>INDEX(State!B:B,MATCH(OrdersTable[[#This Row],[State]],State!A:A,0))</f>
        <v>MH</v>
      </c>
      <c r="J1374" t="str">
        <f>INDEX(State!C:C,MATCH(OrdersTable[[#This Row],[State Code]],State!B:B,0))</f>
        <v>West</v>
      </c>
      <c r="K1374" t="s">
        <v>102</v>
      </c>
      <c r="L1374" t="s">
        <v>50</v>
      </c>
      <c r="M1374" t="s">
        <v>51</v>
      </c>
      <c r="N1374" t="str">
        <f>INDEX(Products!B:B,MATCH(OrdersTable[[#This Row],[Product ID]],Products!A:A,0))</f>
        <v>Anti-Dandruff Conditioner</v>
      </c>
      <c r="O1374" t="str">
        <f>INDEX(Products!C:C,MATCH(OrdersTable[[#This Row],[Product ID]],Products!A:A,0))</f>
        <v>Haircare</v>
      </c>
      <c r="P1374">
        <v>2</v>
      </c>
      <c r="Q1374" s="5">
        <v>399</v>
      </c>
      <c r="R1374" s="74">
        <v>0.35</v>
      </c>
      <c r="S1374" s="75">
        <f>OrdersTable[[#This Row],[Quantity]]*OrdersTable[[#This Row],[Unit Price]]</f>
        <v>798</v>
      </c>
      <c r="T1374" s="5">
        <f>OrdersTable[[#This Row],[Gross Sale]]*OrdersTable[[#This Row],[Discount_Clean2]]</f>
        <v>279.29999999999995</v>
      </c>
      <c r="U1374" s="5">
        <f>OrdersTable[[#This Row],[Gross Sale]]-OrdersTable[[#This Row],[Discount Amount]]</f>
        <v>518.70000000000005</v>
      </c>
      <c r="V1374" s="77">
        <f>INDEX(Products!E:E,MATCH(OrdersTable[[#This Row],[Product ID]],Products!A:A,0))</f>
        <v>136</v>
      </c>
      <c r="W1374" s="77">
        <f>OrdersTable[[#This Row],[Quantity]]*OrdersTable[[#This Row],[Unit Cost]]</f>
        <v>272</v>
      </c>
      <c r="X1374" s="77">
        <f>'Dropdown Lists'!$I$2*(1+OrdersTable[[#This Row],[Returned]])</f>
        <v>60</v>
      </c>
      <c r="Y1374" s="76">
        <f>OrdersTable[[#This Row],[Net Revenue]]-OrdersTable[[#This Row],[COGS]]-OrdersTable[[#This Row],[Shipping Cost]]</f>
        <v>186.70000000000005</v>
      </c>
      <c r="Z1374" s="78">
        <f>IFERROR(OrdersTable[[#This Row],[Profit]]/OrdersTable[[#This Row],[Net Revenue]],0)</f>
        <v>0.35993830730672843</v>
      </c>
      <c r="AA1374" t="s">
        <v>3495</v>
      </c>
      <c r="AB1374" s="79">
        <v>45566</v>
      </c>
      <c r="AC1374">
        <f>OrdersTable[[#This Row],[Delivery Date]]-OrdersTable[[#This Row],[Order Date]]</f>
        <v>2</v>
      </c>
      <c r="AD1374" t="str">
        <f>IF(OrdersTable[[#This Row],[Delivery Days]]&lt;=2, "Express (≤2d)", IF(OrdersTable[[#This Row],[Delivery Days]]&lt;=4, "Standard (3-4d)", "Delayed (5d+)"))</f>
        <v>Express (≤2d)</v>
      </c>
      <c r="AF1374">
        <v>0</v>
      </c>
    </row>
    <row r="1375" spans="1:32" ht="15" x14ac:dyDescent="0.35">
      <c r="A1375" t="s">
        <v>6302</v>
      </c>
      <c r="B1375" s="1">
        <v>45564</v>
      </c>
      <c r="C1375">
        <f>YEAR(OrdersTable[[#This Row],[Order Date]])</f>
        <v>2024</v>
      </c>
      <c r="D1375" s="2">
        <f>DATE(YEAR(OrdersTable[[#This Row],[Order Date]]),MONTH(OrdersTable[[#This Row],[Order Date]]),1)</f>
        <v>45536</v>
      </c>
      <c r="E1375">
        <f>MONTH(OrdersTable[[#This Row],[Order Date]])</f>
        <v>9</v>
      </c>
      <c r="F1375" t="s">
        <v>6303</v>
      </c>
      <c r="G1375" t="str">
        <f>IF(OrdersTable[[#This Row],[Order Date]]=_xlfn.MINIFS(Order_Date, Customer_ID, OrdersTable[[#This Row],[Customer ID]]), "New", "Repeat")</f>
        <v>New</v>
      </c>
      <c r="H1375" t="s">
        <v>95</v>
      </c>
      <c r="I1375" t="str">
        <f>INDEX(State!B:B,MATCH(OrdersTable[[#This Row],[State]],State!A:A,0))</f>
        <v>TG</v>
      </c>
      <c r="J1375" t="str">
        <f>INDEX(State!C:C,MATCH(OrdersTable[[#This Row],[State Code]],State!B:B,0))</f>
        <v>South</v>
      </c>
      <c r="K1375" t="s">
        <v>96</v>
      </c>
      <c r="L1375" t="s">
        <v>39</v>
      </c>
      <c r="M1375" t="s">
        <v>152</v>
      </c>
      <c r="N1375" t="str">
        <f>INDEX(Products!B:B,MATCH(OrdersTable[[#This Row],[Product ID]],Products!A:A,0))</f>
        <v>Green Tea (100 bags)</v>
      </c>
      <c r="O1375" t="str">
        <f>INDEX(Products!C:C,MATCH(OrdersTable[[#This Row],[Product ID]],Products!A:A,0))</f>
        <v>Wellness</v>
      </c>
      <c r="P1375">
        <v>2</v>
      </c>
      <c r="Q1375" s="5">
        <v>399</v>
      </c>
      <c r="R1375" s="74">
        <v>0.3</v>
      </c>
      <c r="S1375" s="75">
        <f>OrdersTable[[#This Row],[Quantity]]*OrdersTable[[#This Row],[Unit Price]]</f>
        <v>798</v>
      </c>
      <c r="T1375" s="5">
        <f>OrdersTable[[#This Row],[Gross Sale]]*OrdersTable[[#This Row],[Discount_Clean2]]</f>
        <v>239.39999999999998</v>
      </c>
      <c r="U1375" s="5">
        <f>OrdersTable[[#This Row],[Gross Sale]]-OrdersTable[[#This Row],[Discount Amount]]</f>
        <v>558.6</v>
      </c>
      <c r="V1375" s="77">
        <f>INDEX(Products!E:E,MATCH(OrdersTable[[#This Row],[Product ID]],Products!A:A,0))</f>
        <v>128</v>
      </c>
      <c r="W1375" s="77">
        <f>OrdersTable[[#This Row],[Quantity]]*OrdersTable[[#This Row],[Unit Cost]]</f>
        <v>256</v>
      </c>
      <c r="X1375" s="77">
        <f>'Dropdown Lists'!$I$2*(1+OrdersTable[[#This Row],[Returned]])</f>
        <v>60</v>
      </c>
      <c r="Y1375" s="76">
        <f>OrdersTable[[#This Row],[Net Revenue]]-OrdersTable[[#This Row],[COGS]]-OrdersTable[[#This Row],[Shipping Cost]]</f>
        <v>242.60000000000002</v>
      </c>
      <c r="Z1375" s="78">
        <f>IFERROR(OrdersTable[[#This Row],[Profit]]/OrdersTable[[#This Row],[Net Revenue]],0)</f>
        <v>0.43430003580379523</v>
      </c>
      <c r="AA1375" t="s">
        <v>18</v>
      </c>
      <c r="AB1375" s="79">
        <v>45567</v>
      </c>
      <c r="AC1375">
        <f>OrdersTable[[#This Row],[Delivery Date]]-OrdersTable[[#This Row],[Order Date]]</f>
        <v>3</v>
      </c>
      <c r="AD1375" t="str">
        <f>IF(OrdersTable[[#This Row],[Delivery Days]]&lt;=2, "Express (≤2d)", IF(OrdersTable[[#This Row],[Delivery Days]]&lt;=4, "Standard (3-4d)", "Delayed (5d+)"))</f>
        <v>Standard (3-4d)</v>
      </c>
      <c r="AF1375">
        <v>0</v>
      </c>
    </row>
    <row r="1376" spans="1:32" ht="15" x14ac:dyDescent="0.35">
      <c r="A1376" t="s">
        <v>936</v>
      </c>
      <c r="B1376" s="1">
        <v>45564</v>
      </c>
      <c r="C1376">
        <f>YEAR(OrdersTable[[#This Row],[Order Date]])</f>
        <v>2024</v>
      </c>
      <c r="D1376" s="2">
        <f>DATE(YEAR(OrdersTable[[#This Row],[Order Date]]),MONTH(OrdersTable[[#This Row],[Order Date]]),1)</f>
        <v>45536</v>
      </c>
      <c r="E1376">
        <f>MONTH(OrdersTable[[#This Row],[Order Date]])</f>
        <v>9</v>
      </c>
      <c r="F1376" t="s">
        <v>575</v>
      </c>
      <c r="G1376" t="str">
        <f>IF(OrdersTable[[#This Row],[Order Date]]=_xlfn.MINIFS(Order_Date, Customer_ID, OrdersTable[[#This Row],[Customer ID]]), "New", "Repeat")</f>
        <v>New</v>
      </c>
      <c r="H1376" t="s">
        <v>316</v>
      </c>
      <c r="I1376" t="str">
        <f>INDEX(State!B:B,MATCH(OrdersTable[[#This Row],[State]],State!A:A,0))</f>
        <v>KL</v>
      </c>
      <c r="J1376" t="str">
        <f>INDEX(State!C:C,MATCH(OrdersTable[[#This Row],[State Code]],State!B:B,0))</f>
        <v>South</v>
      </c>
      <c r="K1376" t="s">
        <v>317</v>
      </c>
      <c r="L1376" t="s">
        <v>65</v>
      </c>
      <c r="M1376" t="s">
        <v>125</v>
      </c>
      <c r="N1376" t="str">
        <f>INDEX(Products!B:B,MATCH(OrdersTable[[#This Row],[Product ID]],Products!A:A,0))</f>
        <v>Copper Water Bottle</v>
      </c>
      <c r="O1376" t="str">
        <f>INDEX(Products!C:C,MATCH(OrdersTable[[#This Row],[Product ID]],Products!A:A,0))</f>
        <v>Home &amp; Kitchen</v>
      </c>
      <c r="P1376">
        <v>1</v>
      </c>
      <c r="Q1376" s="5">
        <v>899</v>
      </c>
      <c r="R1376" s="74">
        <v>0.05</v>
      </c>
      <c r="S1376" s="75">
        <f>OrdersTable[[#This Row],[Quantity]]*OrdersTable[[#This Row],[Unit Price]]</f>
        <v>899</v>
      </c>
      <c r="T1376" s="5">
        <f>OrdersTable[[#This Row],[Gross Sale]]*OrdersTable[[#This Row],[Discount_Clean2]]</f>
        <v>44.95</v>
      </c>
      <c r="U1376" s="5">
        <f>OrdersTable[[#This Row],[Gross Sale]]-OrdersTable[[#This Row],[Discount Amount]]</f>
        <v>854.05</v>
      </c>
      <c r="V1376" s="77">
        <f>INDEX(Products!E:E,MATCH(OrdersTable[[#This Row],[Product ID]],Products!A:A,0))</f>
        <v>378</v>
      </c>
      <c r="W1376" s="77">
        <f>OrdersTable[[#This Row],[Quantity]]*OrdersTable[[#This Row],[Unit Cost]]</f>
        <v>378</v>
      </c>
      <c r="X1376" s="77">
        <f>'Dropdown Lists'!$I$2*(1+OrdersTable[[#This Row],[Returned]])</f>
        <v>60</v>
      </c>
      <c r="Y1376" s="76">
        <f>OrdersTable[[#This Row],[Net Revenue]]-OrdersTable[[#This Row],[COGS]]-OrdersTable[[#This Row],[Shipping Cost]]</f>
        <v>416.04999999999995</v>
      </c>
      <c r="Z1376" s="78">
        <f>IFERROR(OrdersTable[[#This Row],[Profit]]/OrdersTable[[#This Row],[Net Revenue]],0)</f>
        <v>0.48714946431707745</v>
      </c>
      <c r="AA1376" t="s">
        <v>18</v>
      </c>
      <c r="AB1376" s="79">
        <v>45568</v>
      </c>
      <c r="AC1376">
        <f>OrdersTable[[#This Row],[Delivery Date]]-OrdersTable[[#This Row],[Order Date]]</f>
        <v>4</v>
      </c>
      <c r="AD1376" t="str">
        <f>IF(OrdersTable[[#This Row],[Delivery Days]]&lt;=2, "Express (≤2d)", IF(OrdersTable[[#This Row],[Delivery Days]]&lt;=4, "Standard (3-4d)", "Delayed (5d+)"))</f>
        <v>Standard (3-4d)</v>
      </c>
      <c r="AE1376">
        <v>4</v>
      </c>
      <c r="AF1376">
        <v>0</v>
      </c>
    </row>
    <row r="1377" spans="1:32" ht="15" x14ac:dyDescent="0.35">
      <c r="A1377" t="s">
        <v>4358</v>
      </c>
      <c r="B1377" s="1">
        <v>45564</v>
      </c>
      <c r="C1377">
        <f>YEAR(OrdersTable[[#This Row],[Order Date]])</f>
        <v>2024</v>
      </c>
      <c r="D1377" s="2">
        <f>DATE(YEAR(OrdersTable[[#This Row],[Order Date]]),MONTH(OrdersTable[[#This Row],[Order Date]]),1)</f>
        <v>45536</v>
      </c>
      <c r="E1377">
        <f>MONTH(OrdersTable[[#This Row],[Order Date]])</f>
        <v>9</v>
      </c>
      <c r="F1377" t="s">
        <v>4359</v>
      </c>
      <c r="G1377" t="str">
        <f>IF(OrdersTable[[#This Row],[Order Date]]=_xlfn.MINIFS(Order_Date, Customer_ID, OrdersTable[[#This Row],[Customer ID]]), "New", "Repeat")</f>
        <v>New</v>
      </c>
      <c r="H1377" t="s">
        <v>316</v>
      </c>
      <c r="I1377" t="str">
        <f>INDEX(State!B:B,MATCH(OrdersTable[[#This Row],[State]],State!A:A,0))</f>
        <v>KL</v>
      </c>
      <c r="J1377" t="str">
        <f>INDEX(State!C:C,MATCH(OrdersTable[[#This Row],[State Code]],State!B:B,0))</f>
        <v>South</v>
      </c>
      <c r="K1377" t="s">
        <v>338</v>
      </c>
      <c r="L1377" t="s">
        <v>23</v>
      </c>
      <c r="M1377" t="s">
        <v>125</v>
      </c>
      <c r="N1377" t="str">
        <f>INDEX(Products!B:B,MATCH(OrdersTable[[#This Row],[Product ID]],Products!A:A,0))</f>
        <v>Copper Water Bottle</v>
      </c>
      <c r="O1377" t="str">
        <f>INDEX(Products!C:C,MATCH(OrdersTable[[#This Row],[Product ID]],Products!A:A,0))</f>
        <v>Home &amp; Kitchen</v>
      </c>
      <c r="P1377">
        <v>1</v>
      </c>
      <c r="Q1377" s="5">
        <v>899</v>
      </c>
      <c r="R1377" s="74">
        <v>0.1</v>
      </c>
      <c r="S1377" s="75">
        <f>OrdersTable[[#This Row],[Quantity]]*OrdersTable[[#This Row],[Unit Price]]</f>
        <v>899</v>
      </c>
      <c r="T1377" s="5">
        <f>OrdersTable[[#This Row],[Gross Sale]]*OrdersTable[[#This Row],[Discount_Clean2]]</f>
        <v>89.9</v>
      </c>
      <c r="U1377" s="5">
        <f>OrdersTable[[#This Row],[Gross Sale]]-OrdersTable[[#This Row],[Discount Amount]]</f>
        <v>809.1</v>
      </c>
      <c r="V1377" s="77">
        <f>INDEX(Products!E:E,MATCH(OrdersTable[[#This Row],[Product ID]],Products!A:A,0))</f>
        <v>378</v>
      </c>
      <c r="W1377" s="77">
        <f>OrdersTable[[#This Row],[Quantity]]*OrdersTable[[#This Row],[Unit Cost]]</f>
        <v>378</v>
      </c>
      <c r="X1377" s="77">
        <f>'Dropdown Lists'!$I$2*(1+OrdersTable[[#This Row],[Returned]])</f>
        <v>60</v>
      </c>
      <c r="Y1377" s="76">
        <f>OrdersTable[[#This Row],[Net Revenue]]-OrdersTable[[#This Row],[COGS]]-OrdersTable[[#This Row],[Shipping Cost]]</f>
        <v>371.1</v>
      </c>
      <c r="Z1377" s="78">
        <f>IFERROR(OrdersTable[[#This Row],[Profit]]/OrdersTable[[#This Row],[Net Revenue]],0)</f>
        <v>0.45865776789024842</v>
      </c>
      <c r="AA1377" t="s">
        <v>4074</v>
      </c>
      <c r="AB1377" s="79">
        <v>45568</v>
      </c>
      <c r="AC1377">
        <f>OrdersTable[[#This Row],[Delivery Date]]-OrdersTable[[#This Row],[Order Date]]</f>
        <v>4</v>
      </c>
      <c r="AD1377" t="str">
        <f>IF(OrdersTable[[#This Row],[Delivery Days]]&lt;=2, "Express (≤2d)", IF(OrdersTable[[#This Row],[Delivery Days]]&lt;=4, "Standard (3-4d)", "Delayed (5d+)"))</f>
        <v>Standard (3-4d)</v>
      </c>
      <c r="AE1377">
        <v>4</v>
      </c>
      <c r="AF1377">
        <v>0</v>
      </c>
    </row>
    <row r="1378" spans="1:32" ht="15" x14ac:dyDescent="0.35">
      <c r="A1378" t="s">
        <v>1369</v>
      </c>
      <c r="B1378" s="1">
        <v>45564</v>
      </c>
      <c r="C1378">
        <f>YEAR(OrdersTable[[#This Row],[Order Date]])</f>
        <v>2024</v>
      </c>
      <c r="D1378" s="2">
        <f>DATE(YEAR(OrdersTable[[#This Row],[Order Date]]),MONTH(OrdersTable[[#This Row],[Order Date]]),1)</f>
        <v>45536</v>
      </c>
      <c r="E1378">
        <f>MONTH(OrdersTable[[#This Row],[Order Date]])</f>
        <v>9</v>
      </c>
      <c r="F1378" t="s">
        <v>1370</v>
      </c>
      <c r="G1378" t="str">
        <f>IF(OrdersTable[[#This Row],[Order Date]]=_xlfn.MINIFS(Order_Date, Customer_ID, OrdersTable[[#This Row],[Customer ID]]), "New", "Repeat")</f>
        <v>New</v>
      </c>
      <c r="H1378" t="s">
        <v>59</v>
      </c>
      <c r="I1378" t="str">
        <f>INDEX(State!B:B,MATCH(OrdersTable[[#This Row],[State]],State!A:A,0))</f>
        <v>TN</v>
      </c>
      <c r="J1378" t="str">
        <f>INDEX(State!C:C,MATCH(OrdersTable[[#This Row],[State Code]],State!B:B,0))</f>
        <v>South</v>
      </c>
      <c r="K1378" t="s">
        <v>60</v>
      </c>
      <c r="L1378" t="s">
        <v>23</v>
      </c>
      <c r="M1378" t="s">
        <v>255</v>
      </c>
      <c r="N1378" t="str">
        <f>INDEX(Products!B:B,MATCH(OrdersTable[[#This Row],[Product ID]],Products!A:A,0))</f>
        <v>Cotton Oversized T-Shirt</v>
      </c>
      <c r="O1378" t="str">
        <f>INDEX(Products!C:C,MATCH(OrdersTable[[#This Row],[Product ID]],Products!A:A,0))</f>
        <v>Apparel</v>
      </c>
      <c r="P1378">
        <v>1</v>
      </c>
      <c r="Q1378" s="5">
        <v>799</v>
      </c>
      <c r="R1378" s="74">
        <v>0.05</v>
      </c>
      <c r="S1378" s="75">
        <f>OrdersTable[[#This Row],[Quantity]]*OrdersTable[[#This Row],[Unit Price]]</f>
        <v>799</v>
      </c>
      <c r="T1378" s="5">
        <f>OrdersTable[[#This Row],[Gross Sale]]*OrdersTable[[#This Row],[Discount_Clean2]]</f>
        <v>39.950000000000003</v>
      </c>
      <c r="U1378" s="5">
        <f>OrdersTable[[#This Row],[Gross Sale]]-OrdersTable[[#This Row],[Discount Amount]]</f>
        <v>759.05</v>
      </c>
      <c r="V1378" s="77">
        <f>INDEX(Products!E:E,MATCH(OrdersTable[[#This Row],[Product ID]],Products!A:A,0))</f>
        <v>320</v>
      </c>
      <c r="W1378" s="77">
        <f>OrdersTable[[#This Row],[Quantity]]*OrdersTable[[#This Row],[Unit Cost]]</f>
        <v>320</v>
      </c>
      <c r="X1378" s="77">
        <f>'Dropdown Lists'!$I$2*(1+OrdersTable[[#This Row],[Returned]])</f>
        <v>60</v>
      </c>
      <c r="Y1378" s="76">
        <f>OrdersTable[[#This Row],[Net Revenue]]-OrdersTable[[#This Row],[COGS]]-OrdersTable[[#This Row],[Shipping Cost]]</f>
        <v>379.04999999999995</v>
      </c>
      <c r="Z1378" s="78">
        <f>IFERROR(OrdersTable[[#This Row],[Profit]]/OrdersTable[[#This Row],[Net Revenue]],0)</f>
        <v>0.49937421777221525</v>
      </c>
      <c r="AA1378" t="s">
        <v>18</v>
      </c>
      <c r="AB1378" s="79">
        <v>45570</v>
      </c>
      <c r="AC1378">
        <f>OrdersTable[[#This Row],[Delivery Date]]-OrdersTable[[#This Row],[Order Date]]</f>
        <v>6</v>
      </c>
      <c r="AD1378" t="str">
        <f>IF(OrdersTable[[#This Row],[Delivery Days]]&lt;=2, "Express (≤2d)", IF(OrdersTable[[#This Row],[Delivery Days]]&lt;=4, "Standard (3-4d)", "Delayed (5d+)"))</f>
        <v>Delayed (5d+)</v>
      </c>
      <c r="AF1378">
        <v>0</v>
      </c>
    </row>
    <row r="1379" spans="1:32" ht="15" x14ac:dyDescent="0.35">
      <c r="A1379" t="s">
        <v>3561</v>
      </c>
      <c r="B1379" s="1">
        <v>45565</v>
      </c>
      <c r="C1379">
        <f>YEAR(OrdersTable[[#This Row],[Order Date]])</f>
        <v>2024</v>
      </c>
      <c r="D1379" s="2">
        <f>DATE(YEAR(OrdersTable[[#This Row],[Order Date]]),MONTH(OrdersTable[[#This Row],[Order Date]]),1)</f>
        <v>45536</v>
      </c>
      <c r="E1379">
        <f>MONTH(OrdersTable[[#This Row],[Order Date]])</f>
        <v>9</v>
      </c>
      <c r="F1379" t="s">
        <v>31</v>
      </c>
      <c r="G1379" t="str">
        <f>IF(OrdersTable[[#This Row],[Order Date]]=_xlfn.MINIFS(Order_Date, Customer_ID, OrdersTable[[#This Row],[Customer ID]]), "New", "Repeat")</f>
        <v>Repeat</v>
      </c>
      <c r="H1379" t="s">
        <v>54</v>
      </c>
      <c r="I1379" t="str">
        <f>INDEX(State!B:B,MATCH(OrdersTable[[#This Row],[State]],State!A:A,0))</f>
        <v>RJ</v>
      </c>
      <c r="J1379" t="str">
        <f>INDEX(State!C:C,MATCH(OrdersTable[[#This Row],[State Code]],State!B:B,0))</f>
        <v>North</v>
      </c>
      <c r="K1379" t="s">
        <v>227</v>
      </c>
      <c r="L1379" t="s">
        <v>50</v>
      </c>
      <c r="M1379" t="s">
        <v>78</v>
      </c>
      <c r="N1379" t="str">
        <f>INDEX(Products!B:B,MATCH(OrdersTable[[#This Row],[Product ID]],Products!A:A,0))</f>
        <v>Retinol Night Cream</v>
      </c>
      <c r="O1379" t="str">
        <f>INDEX(Products!C:C,MATCH(OrdersTable[[#This Row],[Product ID]],Products!A:A,0))</f>
        <v>Skincare</v>
      </c>
      <c r="P1379">
        <v>1</v>
      </c>
      <c r="Q1379" s="5">
        <v>799</v>
      </c>
      <c r="R1379" s="74">
        <v>0.05</v>
      </c>
      <c r="S1379" s="75">
        <f>OrdersTable[[#This Row],[Quantity]]*OrdersTable[[#This Row],[Unit Price]]</f>
        <v>799</v>
      </c>
      <c r="T1379" s="5">
        <f>OrdersTable[[#This Row],[Gross Sale]]*OrdersTable[[#This Row],[Discount_Clean2]]</f>
        <v>39.950000000000003</v>
      </c>
      <c r="U1379" s="5">
        <f>OrdersTable[[#This Row],[Gross Sale]]-OrdersTable[[#This Row],[Discount Amount]]</f>
        <v>759.05</v>
      </c>
      <c r="V1379" s="77">
        <f>INDEX(Products!E:E,MATCH(OrdersTable[[#This Row],[Product ID]],Products!A:A,0))</f>
        <v>216</v>
      </c>
      <c r="W1379" s="77">
        <f>OrdersTable[[#This Row],[Quantity]]*OrdersTable[[#This Row],[Unit Cost]]</f>
        <v>216</v>
      </c>
      <c r="X1379" s="77">
        <f>'Dropdown Lists'!$I$2*(1+OrdersTable[[#This Row],[Returned]])</f>
        <v>60</v>
      </c>
      <c r="Y1379" s="76">
        <f>OrdersTable[[#This Row],[Net Revenue]]-OrdersTable[[#This Row],[COGS]]-OrdersTable[[#This Row],[Shipping Cost]]</f>
        <v>483.04999999999995</v>
      </c>
      <c r="Z1379" s="78">
        <f>IFERROR(OrdersTable[[#This Row],[Profit]]/OrdersTable[[#This Row],[Net Revenue]],0)</f>
        <v>0.63638758975034582</v>
      </c>
      <c r="AA1379" t="s">
        <v>3495</v>
      </c>
      <c r="AB1379" s="79">
        <v>45568</v>
      </c>
      <c r="AC1379">
        <f>OrdersTable[[#This Row],[Delivery Date]]-OrdersTable[[#This Row],[Order Date]]</f>
        <v>3</v>
      </c>
      <c r="AD1379" t="str">
        <f>IF(OrdersTable[[#This Row],[Delivery Days]]&lt;=2, "Express (≤2d)", IF(OrdersTable[[#This Row],[Delivery Days]]&lt;=4, "Standard (3-4d)", "Delayed (5d+)"))</f>
        <v>Standard (3-4d)</v>
      </c>
      <c r="AE1379">
        <v>4</v>
      </c>
      <c r="AF1379">
        <v>0</v>
      </c>
    </row>
    <row r="1380" spans="1:32" ht="15" x14ac:dyDescent="0.35">
      <c r="A1380" t="s">
        <v>6512</v>
      </c>
      <c r="B1380" s="1">
        <v>45565</v>
      </c>
      <c r="C1380">
        <f>YEAR(OrdersTable[[#This Row],[Order Date]])</f>
        <v>2024</v>
      </c>
      <c r="D1380" s="2">
        <f>DATE(YEAR(OrdersTable[[#This Row],[Order Date]]),MONTH(OrdersTable[[#This Row],[Order Date]]),1)</f>
        <v>45536</v>
      </c>
      <c r="E1380">
        <f>MONTH(OrdersTable[[#This Row],[Order Date]])</f>
        <v>9</v>
      </c>
      <c r="F1380" t="s">
        <v>1066</v>
      </c>
      <c r="G1380" t="str">
        <f>IF(OrdersTable[[#This Row],[Order Date]]=_xlfn.MINIFS(Order_Date, Customer_ID, OrdersTable[[#This Row],[Customer ID]]), "New", "Repeat")</f>
        <v>New</v>
      </c>
      <c r="H1380" t="s">
        <v>54</v>
      </c>
      <c r="I1380" t="str">
        <f>INDEX(State!B:B,MATCH(OrdersTable[[#This Row],[State]],State!A:A,0))</f>
        <v>RJ</v>
      </c>
      <c r="J1380" t="str">
        <f>INDEX(State!C:C,MATCH(OrdersTable[[#This Row],[State Code]],State!B:B,0))</f>
        <v>North</v>
      </c>
      <c r="K1380" t="s">
        <v>227</v>
      </c>
      <c r="L1380" t="s">
        <v>16</v>
      </c>
      <c r="M1380" t="s">
        <v>29</v>
      </c>
      <c r="N1380" t="str">
        <f>INDEX(Products!B:B,MATCH(OrdersTable[[#This Row],[Product ID]],Products!A:A,0))</f>
        <v>Joggers</v>
      </c>
      <c r="O1380" t="str">
        <f>INDEX(Products!C:C,MATCH(OrdersTable[[#This Row],[Product ID]],Products!A:A,0))</f>
        <v>Apparel</v>
      </c>
      <c r="P1380">
        <v>3</v>
      </c>
      <c r="Q1380" s="5">
        <v>1199</v>
      </c>
      <c r="R1380" s="74">
        <v>0.15</v>
      </c>
      <c r="S1380" s="75">
        <f>OrdersTable[[#This Row],[Quantity]]*OrdersTable[[#This Row],[Unit Price]]</f>
        <v>3597</v>
      </c>
      <c r="T1380" s="5">
        <f>OrdersTable[[#This Row],[Gross Sale]]*OrdersTable[[#This Row],[Discount_Clean2]]</f>
        <v>539.54999999999995</v>
      </c>
      <c r="U1380" s="5">
        <f>OrdersTable[[#This Row],[Gross Sale]]-OrdersTable[[#This Row],[Discount Amount]]</f>
        <v>3057.45</v>
      </c>
      <c r="V1380" s="77">
        <f>INDEX(Products!E:E,MATCH(OrdersTable[[#This Row],[Product ID]],Products!A:A,0))</f>
        <v>492</v>
      </c>
      <c r="W1380" s="77">
        <f>OrdersTable[[#This Row],[Quantity]]*OrdersTable[[#This Row],[Unit Cost]]</f>
        <v>1476</v>
      </c>
      <c r="X1380" s="77">
        <f>'Dropdown Lists'!$I$2*(1+OrdersTable[[#This Row],[Returned]])</f>
        <v>60</v>
      </c>
      <c r="Y1380" s="76">
        <f>OrdersTable[[#This Row],[Net Revenue]]-OrdersTable[[#This Row],[COGS]]-OrdersTable[[#This Row],[Shipping Cost]]</f>
        <v>1521.4499999999998</v>
      </c>
      <c r="Z1380" s="78">
        <f>IFERROR(OrdersTable[[#This Row],[Profit]]/OrdersTable[[#This Row],[Net Revenue]],0)</f>
        <v>0.49762056615807287</v>
      </c>
      <c r="AA1380" t="s">
        <v>18</v>
      </c>
      <c r="AB1380" s="79">
        <v>45570</v>
      </c>
      <c r="AC1380">
        <f>OrdersTable[[#This Row],[Delivery Date]]-OrdersTable[[#This Row],[Order Date]]</f>
        <v>5</v>
      </c>
      <c r="AD1380" t="str">
        <f>IF(OrdersTable[[#This Row],[Delivery Days]]&lt;=2, "Express (≤2d)", IF(OrdersTable[[#This Row],[Delivery Days]]&lt;=4, "Standard (3-4d)", "Delayed (5d+)"))</f>
        <v>Delayed (5d+)</v>
      </c>
      <c r="AF1380">
        <v>0</v>
      </c>
    </row>
    <row r="1381" spans="1:32" ht="15" x14ac:dyDescent="0.35">
      <c r="A1381" t="s">
        <v>1897</v>
      </c>
      <c r="B1381" s="1">
        <v>45565</v>
      </c>
      <c r="C1381">
        <f>YEAR(OrdersTable[[#This Row],[Order Date]])</f>
        <v>2024</v>
      </c>
      <c r="D1381" s="2">
        <f>DATE(YEAR(OrdersTable[[#This Row],[Order Date]]),MONTH(OrdersTable[[#This Row],[Order Date]]),1)</f>
        <v>45536</v>
      </c>
      <c r="E1381">
        <f>MONTH(OrdersTable[[#This Row],[Order Date]])</f>
        <v>9</v>
      </c>
      <c r="F1381" t="s">
        <v>1898</v>
      </c>
      <c r="G1381" t="str">
        <f>IF(OrdersTable[[#This Row],[Order Date]]=_xlfn.MINIFS(Order_Date, Customer_ID, OrdersTable[[#This Row],[Customer ID]]), "New", "Repeat")</f>
        <v>New</v>
      </c>
      <c r="H1381" t="s">
        <v>54</v>
      </c>
      <c r="I1381" t="str">
        <f>INDEX(State!B:B,MATCH(OrdersTable[[#This Row],[State]],State!A:A,0))</f>
        <v>RJ</v>
      </c>
      <c r="J1381" t="str">
        <f>INDEX(State!C:C,MATCH(OrdersTable[[#This Row],[State Code]],State!B:B,0))</f>
        <v>North</v>
      </c>
      <c r="K1381" t="s">
        <v>227</v>
      </c>
      <c r="L1381" t="s">
        <v>50</v>
      </c>
      <c r="M1381" t="s">
        <v>40</v>
      </c>
      <c r="N1381" t="str">
        <f>INDEX(Products!B:B,MATCH(OrdersTable[[#This Row],[Product ID]],Products!A:A,0))</f>
        <v>Ashwagandha Capsules</v>
      </c>
      <c r="O1381" t="str">
        <f>INDEX(Products!C:C,MATCH(OrdersTable[[#This Row],[Product ID]],Products!A:A,0))</f>
        <v>Wellness</v>
      </c>
      <c r="P1381">
        <v>1</v>
      </c>
      <c r="Q1381" s="5">
        <v>499</v>
      </c>
      <c r="R1381" s="74">
        <v>0</v>
      </c>
      <c r="S1381" s="75">
        <f>OrdersTable[[#This Row],[Quantity]]*OrdersTable[[#This Row],[Unit Price]]</f>
        <v>499</v>
      </c>
      <c r="T1381" s="5">
        <f>OrdersTable[[#This Row],[Gross Sale]]*OrdersTable[[#This Row],[Discount_Clean2]]</f>
        <v>0</v>
      </c>
      <c r="U1381" s="5">
        <f>OrdersTable[[#This Row],[Gross Sale]]-OrdersTable[[#This Row],[Discount Amount]]</f>
        <v>499</v>
      </c>
      <c r="V1381" s="77">
        <f>INDEX(Products!E:E,MATCH(OrdersTable[[#This Row],[Product ID]],Products!A:A,0))</f>
        <v>150</v>
      </c>
      <c r="W1381" s="77">
        <f>OrdersTable[[#This Row],[Quantity]]*OrdersTable[[#This Row],[Unit Cost]]</f>
        <v>150</v>
      </c>
      <c r="X1381" s="77">
        <f>'Dropdown Lists'!$I$2*(1+OrdersTable[[#This Row],[Returned]])</f>
        <v>60</v>
      </c>
      <c r="Y1381" s="76">
        <f>OrdersTable[[#This Row],[Net Revenue]]-OrdersTable[[#This Row],[COGS]]-OrdersTable[[#This Row],[Shipping Cost]]</f>
        <v>289</v>
      </c>
      <c r="Z1381" s="78">
        <f>IFERROR(OrdersTable[[#This Row],[Profit]]/OrdersTable[[#This Row],[Net Revenue]],0)</f>
        <v>0.57915831663326656</v>
      </c>
      <c r="AA1381" t="s">
        <v>18</v>
      </c>
      <c r="AB1381" s="79">
        <v>45569</v>
      </c>
      <c r="AC1381">
        <f>OrdersTable[[#This Row],[Delivery Date]]-OrdersTable[[#This Row],[Order Date]]</f>
        <v>4</v>
      </c>
      <c r="AD1381" t="str">
        <f>IF(OrdersTable[[#This Row],[Delivery Days]]&lt;=2, "Express (≤2d)", IF(OrdersTable[[#This Row],[Delivery Days]]&lt;=4, "Standard (3-4d)", "Delayed (5d+)"))</f>
        <v>Standard (3-4d)</v>
      </c>
      <c r="AE1381">
        <v>3</v>
      </c>
      <c r="AF1381">
        <v>0</v>
      </c>
    </row>
    <row r="1382" spans="1:32" ht="15" x14ac:dyDescent="0.35">
      <c r="A1382" t="s">
        <v>4246</v>
      </c>
      <c r="B1382" s="1">
        <v>45565</v>
      </c>
      <c r="C1382">
        <f>YEAR(OrdersTable[[#This Row],[Order Date]])</f>
        <v>2024</v>
      </c>
      <c r="D1382" s="2">
        <f>DATE(YEAR(OrdersTable[[#This Row],[Order Date]]),MONTH(OrdersTable[[#This Row],[Order Date]]),1)</f>
        <v>45536</v>
      </c>
      <c r="E1382">
        <f>MONTH(OrdersTable[[#This Row],[Order Date]])</f>
        <v>9</v>
      </c>
      <c r="F1382" t="s">
        <v>3759</v>
      </c>
      <c r="G1382" t="str">
        <f>IF(OrdersTable[[#This Row],[Order Date]]=_xlfn.MINIFS(Order_Date, Customer_ID, OrdersTable[[#This Row],[Customer ID]]), "New", "Repeat")</f>
        <v>Repeat</v>
      </c>
      <c r="H1382" t="s">
        <v>48</v>
      </c>
      <c r="I1382" t="str">
        <f>INDEX(State!B:B,MATCH(OrdersTable[[#This Row],[State]],State!A:A,0))</f>
        <v>HR</v>
      </c>
      <c r="J1382" t="str">
        <f>INDEX(State!C:C,MATCH(OrdersTable[[#This Row],[State Code]],State!B:B,0))</f>
        <v>North</v>
      </c>
      <c r="K1382" t="s">
        <v>151</v>
      </c>
      <c r="L1382" t="s">
        <v>39</v>
      </c>
      <c r="M1382" t="s">
        <v>40</v>
      </c>
      <c r="N1382" t="str">
        <f>INDEX(Products!B:B,MATCH(OrdersTable[[#This Row],[Product ID]],Products!A:A,0))</f>
        <v>Ashwagandha Capsules</v>
      </c>
      <c r="O1382" t="str">
        <f>INDEX(Products!C:C,MATCH(OrdersTable[[#This Row],[Product ID]],Products!A:A,0))</f>
        <v>Wellness</v>
      </c>
      <c r="P1382">
        <v>1</v>
      </c>
      <c r="Q1382" s="5">
        <v>499</v>
      </c>
      <c r="R1382" s="74">
        <v>0</v>
      </c>
      <c r="S1382" s="75">
        <f>OrdersTable[[#This Row],[Quantity]]*OrdersTable[[#This Row],[Unit Price]]</f>
        <v>499</v>
      </c>
      <c r="T1382" s="5">
        <f>OrdersTable[[#This Row],[Gross Sale]]*OrdersTable[[#This Row],[Discount_Clean2]]</f>
        <v>0</v>
      </c>
      <c r="U1382" s="5">
        <f>OrdersTable[[#This Row],[Gross Sale]]-OrdersTable[[#This Row],[Discount Amount]]</f>
        <v>499</v>
      </c>
      <c r="V1382" s="77">
        <f>INDEX(Products!E:E,MATCH(OrdersTable[[#This Row],[Product ID]],Products!A:A,0))</f>
        <v>150</v>
      </c>
      <c r="W1382" s="77">
        <f>OrdersTable[[#This Row],[Quantity]]*OrdersTable[[#This Row],[Unit Cost]]</f>
        <v>150</v>
      </c>
      <c r="X1382" s="77">
        <f>'Dropdown Lists'!$I$2*(1+OrdersTable[[#This Row],[Returned]])</f>
        <v>60</v>
      </c>
      <c r="Y1382" s="76">
        <f>OrdersTable[[#This Row],[Net Revenue]]-OrdersTable[[#This Row],[COGS]]-OrdersTable[[#This Row],[Shipping Cost]]</f>
        <v>289</v>
      </c>
      <c r="Z1382" s="78">
        <f>IFERROR(OrdersTable[[#This Row],[Profit]]/OrdersTable[[#This Row],[Net Revenue]],0)</f>
        <v>0.57915831663326656</v>
      </c>
      <c r="AA1382" t="s">
        <v>4074</v>
      </c>
      <c r="AB1382" s="79">
        <v>45570</v>
      </c>
      <c r="AC1382">
        <f>OrdersTable[[#This Row],[Delivery Date]]-OrdersTable[[#This Row],[Order Date]]</f>
        <v>5</v>
      </c>
      <c r="AD1382" t="str">
        <f>IF(OrdersTable[[#This Row],[Delivery Days]]&lt;=2, "Express (≤2d)", IF(OrdersTable[[#This Row],[Delivery Days]]&lt;=4, "Standard (3-4d)", "Delayed (5d+)"))</f>
        <v>Delayed (5d+)</v>
      </c>
      <c r="AF1382">
        <v>0</v>
      </c>
    </row>
    <row r="1383" spans="1:32" ht="15" x14ac:dyDescent="0.35">
      <c r="A1383" t="s">
        <v>6969</v>
      </c>
      <c r="B1383" s="1">
        <v>45565</v>
      </c>
      <c r="C1383">
        <f>YEAR(OrdersTable[[#This Row],[Order Date]])</f>
        <v>2024</v>
      </c>
      <c r="D1383" s="2">
        <f>DATE(YEAR(OrdersTable[[#This Row],[Order Date]]),MONTH(OrdersTable[[#This Row],[Order Date]]),1)</f>
        <v>45536</v>
      </c>
      <c r="E1383">
        <f>MONTH(OrdersTable[[#This Row],[Order Date]])</f>
        <v>9</v>
      </c>
      <c r="F1383" t="s">
        <v>3022</v>
      </c>
      <c r="G1383" t="str">
        <f>IF(OrdersTable[[#This Row],[Order Date]]=_xlfn.MINIFS(Order_Date, Customer_ID, OrdersTable[[#This Row],[Customer ID]]), "New", "Repeat")</f>
        <v>New</v>
      </c>
      <c r="H1383" t="s">
        <v>48</v>
      </c>
      <c r="I1383" t="str">
        <f>INDEX(State!B:B,MATCH(OrdersTable[[#This Row],[State]],State!A:A,0))</f>
        <v>HR</v>
      </c>
      <c r="J1383" t="str">
        <f>INDEX(State!C:C,MATCH(OrdersTable[[#This Row],[State Code]],State!B:B,0))</f>
        <v>North</v>
      </c>
      <c r="K1383" t="s">
        <v>151</v>
      </c>
      <c r="L1383" t="s">
        <v>23</v>
      </c>
      <c r="M1383" t="s">
        <v>24</v>
      </c>
      <c r="N1383" t="str">
        <f>INDEX(Products!B:B,MATCH(OrdersTable[[#This Row],[Product ID]],Products!A:A,0))</f>
        <v>Scented Candle Set</v>
      </c>
      <c r="O1383" t="str">
        <f>INDEX(Products!C:C,MATCH(OrdersTable[[#This Row],[Product ID]],Products!A:A,0))</f>
        <v>Home &amp; Kitchen</v>
      </c>
      <c r="P1383">
        <v>4</v>
      </c>
      <c r="Q1383" s="5">
        <v>699</v>
      </c>
      <c r="R1383" s="74">
        <v>0.25</v>
      </c>
      <c r="S1383" s="75">
        <f>OrdersTable[[#This Row],[Quantity]]*OrdersTable[[#This Row],[Unit Price]]</f>
        <v>2796</v>
      </c>
      <c r="T1383" s="5">
        <f>OrdersTable[[#This Row],[Gross Sale]]*OrdersTable[[#This Row],[Discount_Clean2]]</f>
        <v>699</v>
      </c>
      <c r="U1383" s="5">
        <f>OrdersTable[[#This Row],[Gross Sale]]-OrdersTable[[#This Row],[Discount Amount]]</f>
        <v>2097</v>
      </c>
      <c r="V1383" s="77">
        <f>INDEX(Products!E:E,MATCH(OrdersTable[[#This Row],[Product ID]],Products!A:A,0))</f>
        <v>245</v>
      </c>
      <c r="W1383" s="77">
        <f>OrdersTable[[#This Row],[Quantity]]*OrdersTable[[#This Row],[Unit Cost]]</f>
        <v>980</v>
      </c>
      <c r="X1383" s="77">
        <f>'Dropdown Lists'!$I$2*(1+OrdersTable[[#This Row],[Returned]])</f>
        <v>60</v>
      </c>
      <c r="Y1383" s="76">
        <f>OrdersTable[[#This Row],[Net Revenue]]-OrdersTable[[#This Row],[COGS]]-OrdersTable[[#This Row],[Shipping Cost]]</f>
        <v>1057</v>
      </c>
      <c r="Z1383" s="78">
        <f>IFERROR(OrdersTable[[#This Row],[Profit]]/OrdersTable[[#This Row],[Net Revenue]],0)</f>
        <v>0.50405340963280876</v>
      </c>
      <c r="AA1383" t="s">
        <v>4074</v>
      </c>
      <c r="AB1383" s="79">
        <v>45568</v>
      </c>
      <c r="AC1383">
        <f>OrdersTable[[#This Row],[Delivery Date]]-OrdersTable[[#This Row],[Order Date]]</f>
        <v>3</v>
      </c>
      <c r="AD1383" t="str">
        <f>IF(OrdersTable[[#This Row],[Delivery Days]]&lt;=2, "Express (≤2d)", IF(OrdersTable[[#This Row],[Delivery Days]]&lt;=4, "Standard (3-4d)", "Delayed (5d+)"))</f>
        <v>Standard (3-4d)</v>
      </c>
      <c r="AF1383">
        <v>0</v>
      </c>
    </row>
    <row r="1384" spans="1:32" ht="15" x14ac:dyDescent="0.35">
      <c r="A1384" t="s">
        <v>1676</v>
      </c>
      <c r="B1384" s="1">
        <v>45565</v>
      </c>
      <c r="C1384">
        <f>YEAR(OrdersTable[[#This Row],[Order Date]])</f>
        <v>2024</v>
      </c>
      <c r="D1384" s="2">
        <f>DATE(YEAR(OrdersTable[[#This Row],[Order Date]]),MONTH(OrdersTable[[#This Row],[Order Date]]),1)</f>
        <v>45536</v>
      </c>
      <c r="E1384">
        <f>MONTH(OrdersTable[[#This Row],[Order Date]])</f>
        <v>9</v>
      </c>
      <c r="F1384" t="s">
        <v>1677</v>
      </c>
      <c r="G1384" t="str">
        <f>IF(OrdersTable[[#This Row],[Order Date]]=_xlfn.MINIFS(Order_Date, Customer_ID, OrdersTable[[#This Row],[Customer ID]]), "New", "Repeat")</f>
        <v>New</v>
      </c>
      <c r="H1384" t="s">
        <v>76</v>
      </c>
      <c r="I1384" t="str">
        <f>INDEX(State!B:B,MATCH(OrdersTable[[#This Row],[State]],State!A:A,0))</f>
        <v>UP</v>
      </c>
      <c r="J1384" t="str">
        <f>INDEX(State!C:C,MATCH(OrdersTable[[#This Row],[State Code]],State!B:B,0))</f>
        <v>North</v>
      </c>
      <c r="K1384" t="s">
        <v>77</v>
      </c>
      <c r="L1384" t="s">
        <v>65</v>
      </c>
      <c r="M1384" t="s">
        <v>51</v>
      </c>
      <c r="N1384" t="str">
        <f>INDEX(Products!B:B,MATCH(OrdersTable[[#This Row],[Product ID]],Products!A:A,0))</f>
        <v>Anti-Dandruff Conditioner</v>
      </c>
      <c r="O1384" t="str">
        <f>INDEX(Products!C:C,MATCH(OrdersTable[[#This Row],[Product ID]],Products!A:A,0))</f>
        <v>Haircare</v>
      </c>
      <c r="P1384">
        <v>1</v>
      </c>
      <c r="Q1384" s="5">
        <v>399</v>
      </c>
      <c r="R1384" s="74">
        <v>0.35</v>
      </c>
      <c r="S1384" s="75">
        <f>OrdersTable[[#This Row],[Quantity]]*OrdersTable[[#This Row],[Unit Price]]</f>
        <v>399</v>
      </c>
      <c r="T1384" s="5">
        <f>OrdersTable[[#This Row],[Gross Sale]]*OrdersTable[[#This Row],[Discount_Clean2]]</f>
        <v>139.64999999999998</v>
      </c>
      <c r="U1384" s="5">
        <f>OrdersTable[[#This Row],[Gross Sale]]-OrdersTable[[#This Row],[Discount Amount]]</f>
        <v>259.35000000000002</v>
      </c>
      <c r="V1384" s="77">
        <f>INDEX(Products!E:E,MATCH(OrdersTable[[#This Row],[Product ID]],Products!A:A,0))</f>
        <v>136</v>
      </c>
      <c r="W1384" s="77">
        <f>OrdersTable[[#This Row],[Quantity]]*OrdersTable[[#This Row],[Unit Cost]]</f>
        <v>136</v>
      </c>
      <c r="X1384" s="77">
        <f>'Dropdown Lists'!$I$2*(1+OrdersTable[[#This Row],[Returned]])</f>
        <v>60</v>
      </c>
      <c r="Y1384" s="76">
        <f>OrdersTable[[#This Row],[Net Revenue]]-OrdersTable[[#This Row],[COGS]]-OrdersTable[[#This Row],[Shipping Cost]]</f>
        <v>63.350000000000023</v>
      </c>
      <c r="Z1384" s="78">
        <f>IFERROR(OrdersTable[[#This Row],[Profit]]/OrdersTable[[#This Row],[Net Revenue]],0)</f>
        <v>0.24426450742240222</v>
      </c>
      <c r="AA1384" t="s">
        <v>18</v>
      </c>
      <c r="AB1384" s="79">
        <v>45569</v>
      </c>
      <c r="AC1384">
        <f>OrdersTable[[#This Row],[Delivery Date]]-OrdersTable[[#This Row],[Order Date]]</f>
        <v>4</v>
      </c>
      <c r="AD1384" t="str">
        <f>IF(OrdersTable[[#This Row],[Delivery Days]]&lt;=2, "Express (≤2d)", IF(OrdersTable[[#This Row],[Delivery Days]]&lt;=4, "Standard (3-4d)", "Delayed (5d+)"))</f>
        <v>Standard (3-4d)</v>
      </c>
      <c r="AF1384">
        <v>0</v>
      </c>
    </row>
    <row r="1385" spans="1:32" ht="15" x14ac:dyDescent="0.35">
      <c r="A1385" t="s">
        <v>5491</v>
      </c>
      <c r="B1385" s="1">
        <v>45565</v>
      </c>
      <c r="C1385">
        <f>YEAR(OrdersTable[[#This Row],[Order Date]])</f>
        <v>2024</v>
      </c>
      <c r="D1385" s="2">
        <f>DATE(YEAR(OrdersTable[[#This Row],[Order Date]]),MONTH(OrdersTable[[#This Row],[Order Date]]),1)</f>
        <v>45536</v>
      </c>
      <c r="E1385">
        <f>MONTH(OrdersTable[[#This Row],[Order Date]])</f>
        <v>9</v>
      </c>
      <c r="F1385" t="s">
        <v>2414</v>
      </c>
      <c r="G1385" t="str">
        <f>IF(OrdersTable[[#This Row],[Order Date]]=_xlfn.MINIFS(Order_Date, Customer_ID, OrdersTable[[#This Row],[Customer ID]]), "New", "Repeat")</f>
        <v>Repeat</v>
      </c>
      <c r="H1385" t="s">
        <v>76</v>
      </c>
      <c r="I1385" t="str">
        <f>INDEX(State!B:B,MATCH(OrdersTable[[#This Row],[State]],State!A:A,0))</f>
        <v>UP</v>
      </c>
      <c r="J1385" t="str">
        <f>INDEX(State!C:C,MATCH(OrdersTable[[#This Row],[State Code]],State!B:B,0))</f>
        <v>North</v>
      </c>
      <c r="K1385" t="s">
        <v>77</v>
      </c>
      <c r="L1385" t="s">
        <v>65</v>
      </c>
      <c r="M1385" t="s">
        <v>106</v>
      </c>
      <c r="N1385" t="str">
        <f>INDEX(Products!B:B,MATCH(OrdersTable[[#This Row],[Product ID]],Products!A:A,0))</f>
        <v>Keratin Hair Mask</v>
      </c>
      <c r="O1385" t="str">
        <f>INDEX(Products!C:C,MATCH(OrdersTable[[#This Row],[Product ID]],Products!A:A,0))</f>
        <v>Haircare</v>
      </c>
      <c r="P1385">
        <v>2</v>
      </c>
      <c r="Q1385" s="5">
        <v>549</v>
      </c>
      <c r="R1385" s="74">
        <v>0.15</v>
      </c>
      <c r="S1385" s="75">
        <f>OrdersTable[[#This Row],[Quantity]]*OrdersTable[[#This Row],[Unit Price]]</f>
        <v>1098</v>
      </c>
      <c r="T1385" s="5">
        <f>OrdersTable[[#This Row],[Gross Sale]]*OrdersTable[[#This Row],[Discount_Clean2]]</f>
        <v>164.7</v>
      </c>
      <c r="U1385" s="5">
        <f>OrdersTable[[#This Row],[Gross Sale]]-OrdersTable[[#This Row],[Discount Amount]]</f>
        <v>933.3</v>
      </c>
      <c r="V1385" s="77">
        <f>INDEX(Products!E:E,MATCH(OrdersTable[[#This Row],[Product ID]],Products!A:A,0))</f>
        <v>170</v>
      </c>
      <c r="W1385" s="77">
        <f>OrdersTable[[#This Row],[Quantity]]*OrdersTable[[#This Row],[Unit Cost]]</f>
        <v>340</v>
      </c>
      <c r="X1385" s="77">
        <f>'Dropdown Lists'!$I$2*(1+OrdersTable[[#This Row],[Returned]])</f>
        <v>60</v>
      </c>
      <c r="Y1385" s="76">
        <f>OrdersTable[[#This Row],[Net Revenue]]-OrdersTable[[#This Row],[COGS]]-OrdersTable[[#This Row],[Shipping Cost]]</f>
        <v>533.29999999999995</v>
      </c>
      <c r="Z1385" s="78">
        <f>IFERROR(OrdersTable[[#This Row],[Profit]]/OrdersTable[[#This Row],[Net Revenue]],0)</f>
        <v>0.57141326475945564</v>
      </c>
      <c r="AA1385" t="s">
        <v>2522</v>
      </c>
      <c r="AB1385" s="79">
        <v>45568</v>
      </c>
      <c r="AC1385">
        <f>OrdersTable[[#This Row],[Delivery Date]]-OrdersTable[[#This Row],[Order Date]]</f>
        <v>3</v>
      </c>
      <c r="AD1385" t="str">
        <f>IF(OrdersTable[[#This Row],[Delivery Days]]&lt;=2, "Express (≤2d)", IF(OrdersTable[[#This Row],[Delivery Days]]&lt;=4, "Standard (3-4d)", "Delayed (5d+)"))</f>
        <v>Standard (3-4d)</v>
      </c>
      <c r="AE1385">
        <v>4</v>
      </c>
      <c r="AF1385">
        <v>0</v>
      </c>
    </row>
    <row r="1386" spans="1:32" ht="15" x14ac:dyDescent="0.35">
      <c r="A1386" t="s">
        <v>5114</v>
      </c>
      <c r="B1386" s="1">
        <v>45565</v>
      </c>
      <c r="C1386">
        <f>YEAR(OrdersTable[[#This Row],[Order Date]])</f>
        <v>2024</v>
      </c>
      <c r="D1386" s="2">
        <f>DATE(YEAR(OrdersTable[[#This Row],[Order Date]]),MONTH(OrdersTable[[#This Row],[Order Date]]),1)</f>
        <v>45536</v>
      </c>
      <c r="E1386">
        <f>MONTH(OrdersTable[[#This Row],[Order Date]])</f>
        <v>9</v>
      </c>
      <c r="F1386" t="s">
        <v>5115</v>
      </c>
      <c r="G1386" t="str">
        <f>IF(OrdersTable[[#This Row],[Order Date]]=_xlfn.MINIFS(Order_Date, Customer_ID, OrdersTable[[#This Row],[Customer ID]]), "New", "Repeat")</f>
        <v>New</v>
      </c>
      <c r="H1386" t="s">
        <v>71</v>
      </c>
      <c r="I1386" t="str">
        <f>INDEX(State!B:B,MATCH(OrdersTable[[#This Row],[State]],State!A:A,0))</f>
        <v>MH</v>
      </c>
      <c r="J1386" t="str">
        <f>INDEX(State!C:C,MATCH(OrdersTable[[#This Row],[State Code]],State!B:B,0))</f>
        <v>West</v>
      </c>
      <c r="K1386" t="s">
        <v>102</v>
      </c>
      <c r="L1386" t="s">
        <v>39</v>
      </c>
      <c r="M1386" t="s">
        <v>423</v>
      </c>
      <c r="N1386" t="str">
        <f>INDEX(Products!B:B,MATCH(OrdersTable[[#This Row],[Product ID]],Products!A:A,0))</f>
        <v>Power Bank 20000mAh</v>
      </c>
      <c r="O1386" t="str">
        <f>INDEX(Products!C:C,MATCH(OrdersTable[[#This Row],[Product ID]],Products!A:A,0))</f>
        <v>Electronics</v>
      </c>
      <c r="P1386">
        <v>2</v>
      </c>
      <c r="Q1386" s="5">
        <v>1799</v>
      </c>
      <c r="R1386" s="74">
        <v>0.3</v>
      </c>
      <c r="S1386" s="75">
        <f>OrdersTable[[#This Row],[Quantity]]*OrdersTable[[#This Row],[Unit Price]]</f>
        <v>3598</v>
      </c>
      <c r="T1386" s="5">
        <f>OrdersTable[[#This Row],[Gross Sale]]*OrdersTable[[#This Row],[Discount_Clean2]]</f>
        <v>1079.3999999999999</v>
      </c>
      <c r="U1386" s="5">
        <f>OrdersTable[[#This Row],[Gross Sale]]-OrdersTable[[#This Row],[Discount Amount]]</f>
        <v>2518.6000000000004</v>
      </c>
      <c r="V1386" s="77">
        <f>INDEX(Products!E:E,MATCH(OrdersTable[[#This Row],[Product ID]],Products!A:A,0))</f>
        <v>1079</v>
      </c>
      <c r="W1386" s="77">
        <f>OrdersTable[[#This Row],[Quantity]]*OrdersTable[[#This Row],[Unit Cost]]</f>
        <v>2158</v>
      </c>
      <c r="X1386" s="77">
        <f>'Dropdown Lists'!$I$2*(1+OrdersTable[[#This Row],[Returned]])</f>
        <v>60</v>
      </c>
      <c r="Y1386" s="76">
        <f>OrdersTable[[#This Row],[Net Revenue]]-OrdersTable[[#This Row],[COGS]]-OrdersTable[[#This Row],[Shipping Cost]]</f>
        <v>300.60000000000036</v>
      </c>
      <c r="Z1386" s="78">
        <f>IFERROR(OrdersTable[[#This Row],[Profit]]/OrdersTable[[#This Row],[Net Revenue]],0)</f>
        <v>0.11935202096402776</v>
      </c>
      <c r="AA1386" t="s">
        <v>3495</v>
      </c>
      <c r="AB1386" s="79">
        <v>45569</v>
      </c>
      <c r="AC1386">
        <f>OrdersTable[[#This Row],[Delivery Date]]-OrdersTable[[#This Row],[Order Date]]</f>
        <v>4</v>
      </c>
      <c r="AD1386" t="str">
        <f>IF(OrdersTable[[#This Row],[Delivery Days]]&lt;=2, "Express (≤2d)", IF(OrdersTable[[#This Row],[Delivery Days]]&lt;=4, "Standard (3-4d)", "Delayed (5d+)"))</f>
        <v>Standard (3-4d)</v>
      </c>
      <c r="AE1386">
        <v>3</v>
      </c>
      <c r="AF1386">
        <v>0</v>
      </c>
    </row>
    <row r="1387" spans="1:32" ht="15" x14ac:dyDescent="0.35">
      <c r="A1387" t="s">
        <v>6864</v>
      </c>
      <c r="B1387" s="1">
        <v>45565</v>
      </c>
      <c r="C1387">
        <f>YEAR(OrdersTable[[#This Row],[Order Date]])</f>
        <v>2024</v>
      </c>
      <c r="D1387" s="2">
        <f>DATE(YEAR(OrdersTable[[#This Row],[Order Date]]),MONTH(OrdersTable[[#This Row],[Order Date]]),1)</f>
        <v>45536</v>
      </c>
      <c r="E1387">
        <f>MONTH(OrdersTable[[#This Row],[Order Date]])</f>
        <v>9</v>
      </c>
      <c r="F1387" t="s">
        <v>6865</v>
      </c>
      <c r="G1387" t="str">
        <f>IF(OrdersTable[[#This Row],[Order Date]]=_xlfn.MINIFS(Order_Date, Customer_ID, OrdersTable[[#This Row],[Customer ID]]), "New", "Repeat")</f>
        <v>New</v>
      </c>
      <c r="H1387" t="s">
        <v>71</v>
      </c>
      <c r="I1387" t="str">
        <f>INDEX(State!B:B,MATCH(OrdersTable[[#This Row],[State]],State!A:A,0))</f>
        <v>MH</v>
      </c>
      <c r="J1387" t="str">
        <f>INDEX(State!C:C,MATCH(OrdersTable[[#This Row],[State Code]],State!B:B,0))</f>
        <v>West</v>
      </c>
      <c r="K1387" t="s">
        <v>102</v>
      </c>
      <c r="L1387" t="s">
        <v>65</v>
      </c>
      <c r="M1387" t="s">
        <v>173</v>
      </c>
      <c r="N1387" t="str">
        <f>INDEX(Products!B:B,MATCH(OrdersTable[[#This Row],[Product ID]],Products!A:A,0))</f>
        <v>Wireless Earbuds</v>
      </c>
      <c r="O1387" t="str">
        <f>INDEX(Products!C:C,MATCH(OrdersTable[[#This Row],[Product ID]],Products!A:A,0))</f>
        <v>Electronics</v>
      </c>
      <c r="P1387">
        <v>3</v>
      </c>
      <c r="Q1387" s="5">
        <v>1999</v>
      </c>
      <c r="R1387" s="74">
        <v>0.4</v>
      </c>
      <c r="S1387" s="75">
        <f>OrdersTable[[#This Row],[Quantity]]*OrdersTable[[#This Row],[Unit Price]]</f>
        <v>5997</v>
      </c>
      <c r="T1387" s="5">
        <f>OrdersTable[[#This Row],[Gross Sale]]*OrdersTable[[#This Row],[Discount_Clean2]]</f>
        <v>2398.8000000000002</v>
      </c>
      <c r="U1387" s="5">
        <f>OrdersTable[[#This Row],[Gross Sale]]-OrdersTable[[#This Row],[Discount Amount]]</f>
        <v>3598.2</v>
      </c>
      <c r="V1387" s="77">
        <f>INDEX(Products!E:E,MATCH(OrdersTable[[#This Row],[Product ID]],Products!A:A,0))</f>
        <v>1239</v>
      </c>
      <c r="W1387" s="77">
        <f>OrdersTable[[#This Row],[Quantity]]*OrdersTable[[#This Row],[Unit Cost]]</f>
        <v>3717</v>
      </c>
      <c r="X1387" s="77">
        <f>'Dropdown Lists'!$I$2*(1+OrdersTable[[#This Row],[Returned]])</f>
        <v>60</v>
      </c>
      <c r="Y1387" s="76">
        <f>OrdersTable[[#This Row],[Net Revenue]]-OrdersTable[[#This Row],[COGS]]-OrdersTable[[#This Row],[Shipping Cost]]</f>
        <v>-178.80000000000018</v>
      </c>
      <c r="Z1387" s="78">
        <f>IFERROR(OrdersTable[[#This Row],[Profit]]/OrdersTable[[#This Row],[Net Revenue]],0)</f>
        <v>-4.9691512422878156E-2</v>
      </c>
      <c r="AA1387" t="s">
        <v>4074</v>
      </c>
      <c r="AB1387" s="79">
        <v>45566</v>
      </c>
      <c r="AC1387">
        <f>OrdersTable[[#This Row],[Delivery Date]]-OrdersTable[[#This Row],[Order Date]]</f>
        <v>1</v>
      </c>
      <c r="AD1387" t="str">
        <f>IF(OrdersTable[[#This Row],[Delivery Days]]&lt;=2, "Express (≤2d)", IF(OrdersTable[[#This Row],[Delivery Days]]&lt;=4, "Standard (3-4d)", "Delayed (5d+)"))</f>
        <v>Express (≤2d)</v>
      </c>
      <c r="AE1387">
        <v>5</v>
      </c>
      <c r="AF1387">
        <v>0</v>
      </c>
    </row>
    <row r="1388" spans="1:32" ht="15" x14ac:dyDescent="0.35">
      <c r="A1388" t="s">
        <v>5347</v>
      </c>
      <c r="B1388" s="1">
        <v>45565</v>
      </c>
      <c r="C1388">
        <f>YEAR(OrdersTable[[#This Row],[Order Date]])</f>
        <v>2024</v>
      </c>
      <c r="D1388" s="2">
        <f>DATE(YEAR(OrdersTable[[#This Row],[Order Date]]),MONTH(OrdersTable[[#This Row],[Order Date]]),1)</f>
        <v>45536</v>
      </c>
      <c r="E1388">
        <f>MONTH(OrdersTable[[#This Row],[Order Date]])</f>
        <v>9</v>
      </c>
      <c r="F1388" t="s">
        <v>5348</v>
      </c>
      <c r="G1388" t="str">
        <f>IF(OrdersTable[[#This Row],[Order Date]]=_xlfn.MINIFS(Order_Date, Customer_ID, OrdersTable[[#This Row],[Customer ID]]), "New", "Repeat")</f>
        <v>New</v>
      </c>
      <c r="H1388" t="s">
        <v>167</v>
      </c>
      <c r="I1388" t="str">
        <f>INDEX(State!B:B,MATCH(OrdersTable[[#This Row],[State]],State!A:A,0))</f>
        <v>KA</v>
      </c>
      <c r="J1388" t="str">
        <f>INDEX(State!C:C,MATCH(OrdersTable[[#This Row],[State Code]],State!B:B,0))</f>
        <v>South</v>
      </c>
      <c r="K1388" t="s">
        <v>190</v>
      </c>
      <c r="L1388" t="s">
        <v>65</v>
      </c>
      <c r="M1388" t="s">
        <v>109</v>
      </c>
      <c r="N1388" t="str">
        <f>INDEX(Products!B:B,MATCH(OrdersTable[[#This Row],[Product ID]],Products!A:A,0))</f>
        <v>Onion Hair Oil</v>
      </c>
      <c r="O1388" t="str">
        <f>INDEX(Products!C:C,MATCH(OrdersTable[[#This Row],[Product ID]],Products!A:A,0))</f>
        <v>Haircare</v>
      </c>
      <c r="P1388">
        <v>2</v>
      </c>
      <c r="Q1388" s="5">
        <v>349</v>
      </c>
      <c r="R1388" s="74">
        <v>0.3</v>
      </c>
      <c r="S1388" s="75">
        <f>OrdersTable[[#This Row],[Quantity]]*OrdersTable[[#This Row],[Unit Price]]</f>
        <v>698</v>
      </c>
      <c r="T1388" s="5">
        <f>OrdersTable[[#This Row],[Gross Sale]]*OrdersTable[[#This Row],[Discount_Clean2]]</f>
        <v>209.4</v>
      </c>
      <c r="U1388" s="5">
        <f>OrdersTable[[#This Row],[Gross Sale]]-OrdersTable[[#This Row],[Discount Amount]]</f>
        <v>488.6</v>
      </c>
      <c r="V1388" s="77">
        <f>INDEX(Products!E:E,MATCH(OrdersTable[[#This Row],[Product ID]],Products!A:A,0))</f>
        <v>105</v>
      </c>
      <c r="W1388" s="77">
        <f>OrdersTable[[#This Row],[Quantity]]*OrdersTable[[#This Row],[Unit Cost]]</f>
        <v>210</v>
      </c>
      <c r="X1388" s="77">
        <f>'Dropdown Lists'!$I$2*(1+OrdersTable[[#This Row],[Returned]])</f>
        <v>60</v>
      </c>
      <c r="Y1388" s="76">
        <f>OrdersTable[[#This Row],[Net Revenue]]-OrdersTable[[#This Row],[COGS]]-OrdersTable[[#This Row],[Shipping Cost]]</f>
        <v>218.60000000000002</v>
      </c>
      <c r="Z1388" s="78">
        <f>IFERROR(OrdersTable[[#This Row],[Profit]]/OrdersTable[[#This Row],[Net Revenue]],0)</f>
        <v>0.44740073679901765</v>
      </c>
      <c r="AA1388" t="s">
        <v>2522</v>
      </c>
      <c r="AB1388" s="79">
        <v>45566</v>
      </c>
      <c r="AC1388">
        <f>OrdersTable[[#This Row],[Delivery Date]]-OrdersTable[[#This Row],[Order Date]]</f>
        <v>1</v>
      </c>
      <c r="AD1388" t="str">
        <f>IF(OrdersTable[[#This Row],[Delivery Days]]&lt;=2, "Express (≤2d)", IF(OrdersTable[[#This Row],[Delivery Days]]&lt;=4, "Standard (3-4d)", "Delayed (5d+)"))</f>
        <v>Express (≤2d)</v>
      </c>
      <c r="AF1388">
        <v>0</v>
      </c>
    </row>
    <row r="1389" spans="1:32" ht="15" x14ac:dyDescent="0.35">
      <c r="A1389" t="s">
        <v>3212</v>
      </c>
      <c r="B1389" s="1">
        <v>45565</v>
      </c>
      <c r="C1389">
        <f>YEAR(OrdersTable[[#This Row],[Order Date]])</f>
        <v>2024</v>
      </c>
      <c r="D1389" s="2">
        <f>DATE(YEAR(OrdersTable[[#This Row],[Order Date]]),MONTH(OrdersTable[[#This Row],[Order Date]]),1)</f>
        <v>45536</v>
      </c>
      <c r="E1389">
        <f>MONTH(OrdersTable[[#This Row],[Order Date]])</f>
        <v>9</v>
      </c>
      <c r="F1389" t="s">
        <v>1095</v>
      </c>
      <c r="G1389" t="str">
        <f>IF(OrdersTable[[#This Row],[Order Date]]=_xlfn.MINIFS(Order_Date, Customer_ID, OrdersTable[[#This Row],[Customer ID]]), "New", "Repeat")</f>
        <v>New</v>
      </c>
      <c r="H1389" t="s">
        <v>59</v>
      </c>
      <c r="I1389" t="str">
        <f>INDEX(State!B:B,MATCH(OrdersTable[[#This Row],[State]],State!A:A,0))</f>
        <v>TN</v>
      </c>
      <c r="J1389" t="str">
        <f>INDEX(State!C:C,MATCH(OrdersTable[[#This Row],[State Code]],State!B:B,0))</f>
        <v>South</v>
      </c>
      <c r="K1389" t="s">
        <v>64</v>
      </c>
      <c r="L1389" t="s">
        <v>16</v>
      </c>
      <c r="M1389" t="s">
        <v>29</v>
      </c>
      <c r="N1389" t="str">
        <f>INDEX(Products!B:B,MATCH(OrdersTable[[#This Row],[Product ID]],Products!A:A,0))</f>
        <v>Joggers</v>
      </c>
      <c r="O1389" t="str">
        <f>INDEX(Products!C:C,MATCH(OrdersTable[[#This Row],[Product ID]],Products!A:A,0))</f>
        <v>Apparel</v>
      </c>
      <c r="P1389">
        <v>1</v>
      </c>
      <c r="Q1389" s="5">
        <v>1199</v>
      </c>
      <c r="R1389" s="74">
        <v>0.1</v>
      </c>
      <c r="S1389" s="75">
        <f>OrdersTable[[#This Row],[Quantity]]*OrdersTable[[#This Row],[Unit Price]]</f>
        <v>1199</v>
      </c>
      <c r="T1389" s="5">
        <f>OrdersTable[[#This Row],[Gross Sale]]*OrdersTable[[#This Row],[Discount_Clean2]]</f>
        <v>119.9</v>
      </c>
      <c r="U1389" s="5">
        <f>OrdersTable[[#This Row],[Gross Sale]]-OrdersTable[[#This Row],[Discount Amount]]</f>
        <v>1079.0999999999999</v>
      </c>
      <c r="V1389" s="77">
        <f>INDEX(Products!E:E,MATCH(OrdersTable[[#This Row],[Product ID]],Products!A:A,0))</f>
        <v>492</v>
      </c>
      <c r="W1389" s="77">
        <f>OrdersTable[[#This Row],[Quantity]]*OrdersTable[[#This Row],[Unit Cost]]</f>
        <v>492</v>
      </c>
      <c r="X1389" s="77">
        <f>'Dropdown Lists'!$I$2*(1+OrdersTable[[#This Row],[Returned]])</f>
        <v>60</v>
      </c>
      <c r="Y1389" s="76">
        <f>OrdersTable[[#This Row],[Net Revenue]]-OrdersTable[[#This Row],[COGS]]-OrdersTable[[#This Row],[Shipping Cost]]</f>
        <v>527.09999999999991</v>
      </c>
      <c r="Z1389" s="78">
        <f>IFERROR(OrdersTable[[#This Row],[Profit]]/OrdersTable[[#This Row],[Net Revenue]],0)</f>
        <v>0.48846260772866273</v>
      </c>
      <c r="AA1389" t="s">
        <v>2522</v>
      </c>
      <c r="AB1389" s="79">
        <v>45569</v>
      </c>
      <c r="AC1389">
        <f>OrdersTable[[#This Row],[Delivery Date]]-OrdersTable[[#This Row],[Order Date]]</f>
        <v>4</v>
      </c>
      <c r="AD1389" t="str">
        <f>IF(OrdersTable[[#This Row],[Delivery Days]]&lt;=2, "Express (≤2d)", IF(OrdersTable[[#This Row],[Delivery Days]]&lt;=4, "Standard (3-4d)", "Delayed (5d+)"))</f>
        <v>Standard (3-4d)</v>
      </c>
      <c r="AE1389">
        <v>4</v>
      </c>
      <c r="AF1389">
        <v>0</v>
      </c>
    </row>
    <row r="1390" spans="1:32" ht="15" x14ac:dyDescent="0.35">
      <c r="A1390" t="s">
        <v>1678</v>
      </c>
      <c r="B1390" s="1">
        <v>45566</v>
      </c>
      <c r="C1390">
        <f>YEAR(OrdersTable[[#This Row],[Order Date]])</f>
        <v>2024</v>
      </c>
      <c r="D1390" s="2">
        <f>DATE(YEAR(OrdersTable[[#This Row],[Order Date]]),MONTH(OrdersTable[[#This Row],[Order Date]]),1)</f>
        <v>45566</v>
      </c>
      <c r="E1390">
        <f>MONTH(OrdersTable[[#This Row],[Order Date]])</f>
        <v>10</v>
      </c>
      <c r="F1390" t="s">
        <v>1490</v>
      </c>
      <c r="G1390" t="str">
        <f>IF(OrdersTable[[#This Row],[Order Date]]=_xlfn.MINIFS(Order_Date, Customer_ID, OrdersTable[[#This Row],[Customer ID]]), "New", "Repeat")</f>
        <v>Repeat</v>
      </c>
      <c r="H1390" t="s">
        <v>37</v>
      </c>
      <c r="I1390" t="str">
        <f>INDEX(State!B:B,MATCH(OrdersTable[[#This Row],[State]],State!A:A,0))</f>
        <v>GJ</v>
      </c>
      <c r="J1390" t="str">
        <f>INDEX(State!C:C,MATCH(OrdersTable[[#This Row],[State Code]],State!B:B,0))</f>
        <v>West</v>
      </c>
      <c r="K1390" t="s">
        <v>38</v>
      </c>
      <c r="L1390" t="s">
        <v>65</v>
      </c>
      <c r="M1390" t="s">
        <v>125</v>
      </c>
      <c r="N1390" t="str">
        <f>INDEX(Products!B:B,MATCH(OrdersTable[[#This Row],[Product ID]],Products!A:A,0))</f>
        <v>Copper Water Bottle</v>
      </c>
      <c r="O1390" t="str">
        <f>INDEX(Products!C:C,MATCH(OrdersTable[[#This Row],[Product ID]],Products!A:A,0))</f>
        <v>Home &amp; Kitchen</v>
      </c>
      <c r="P1390">
        <v>1</v>
      </c>
      <c r="Q1390" s="5">
        <v>899</v>
      </c>
      <c r="R1390" s="74">
        <v>0.15</v>
      </c>
      <c r="S1390" s="75">
        <f>OrdersTable[[#This Row],[Quantity]]*OrdersTable[[#This Row],[Unit Price]]</f>
        <v>899</v>
      </c>
      <c r="T1390" s="5">
        <f>OrdersTable[[#This Row],[Gross Sale]]*OrdersTable[[#This Row],[Discount_Clean2]]</f>
        <v>134.85</v>
      </c>
      <c r="U1390" s="5">
        <f>OrdersTable[[#This Row],[Gross Sale]]-OrdersTable[[#This Row],[Discount Amount]]</f>
        <v>764.15</v>
      </c>
      <c r="V1390" s="77">
        <f>INDEX(Products!E:E,MATCH(OrdersTable[[#This Row],[Product ID]],Products!A:A,0))</f>
        <v>378</v>
      </c>
      <c r="W1390" s="77">
        <f>OrdersTable[[#This Row],[Quantity]]*OrdersTable[[#This Row],[Unit Cost]]</f>
        <v>378</v>
      </c>
      <c r="X1390" s="77">
        <f>'Dropdown Lists'!$I$2*(1+OrdersTable[[#This Row],[Returned]])</f>
        <v>60</v>
      </c>
      <c r="Y1390" s="76">
        <f>OrdersTable[[#This Row],[Net Revenue]]-OrdersTable[[#This Row],[COGS]]-OrdersTable[[#This Row],[Shipping Cost]]</f>
        <v>326.14999999999998</v>
      </c>
      <c r="Z1390" s="78">
        <f>IFERROR(OrdersTable[[#This Row],[Profit]]/OrdersTable[[#This Row],[Net Revenue]],0)</f>
        <v>0.42681410717791007</v>
      </c>
      <c r="AA1390" t="s">
        <v>18</v>
      </c>
      <c r="AB1390" s="79">
        <v>45570</v>
      </c>
      <c r="AC1390">
        <f>OrdersTable[[#This Row],[Delivery Date]]-OrdersTable[[#This Row],[Order Date]]</f>
        <v>4</v>
      </c>
      <c r="AD1390" t="str">
        <f>IF(OrdersTable[[#This Row],[Delivery Days]]&lt;=2, "Express (≤2d)", IF(OrdersTable[[#This Row],[Delivery Days]]&lt;=4, "Standard (3-4d)", "Delayed (5d+)"))</f>
        <v>Standard (3-4d)</v>
      </c>
      <c r="AF1390">
        <v>0</v>
      </c>
    </row>
    <row r="1391" spans="1:32" ht="15" x14ac:dyDescent="0.35">
      <c r="A1391" t="s">
        <v>1899</v>
      </c>
      <c r="B1391" s="1">
        <v>45566</v>
      </c>
      <c r="C1391">
        <f>YEAR(OrdersTable[[#This Row],[Order Date]])</f>
        <v>2024</v>
      </c>
      <c r="D1391" s="2">
        <f>DATE(YEAR(OrdersTable[[#This Row],[Order Date]]),MONTH(OrdersTable[[#This Row],[Order Date]]),1)</f>
        <v>45566</v>
      </c>
      <c r="E1391">
        <f>MONTH(OrdersTable[[#This Row],[Order Date]])</f>
        <v>10</v>
      </c>
      <c r="F1391" t="s">
        <v>1900</v>
      </c>
      <c r="G1391" t="str">
        <f>IF(OrdersTable[[#This Row],[Order Date]]=_xlfn.MINIFS(Order_Date, Customer_ID, OrdersTable[[#This Row],[Customer ID]]), "New", "Repeat")</f>
        <v>New</v>
      </c>
      <c r="H1391" t="s">
        <v>43</v>
      </c>
      <c r="I1391" t="str">
        <f>INDEX(State!B:B,MATCH(OrdersTable[[#This Row],[State]],State!A:A,0))</f>
        <v>MP</v>
      </c>
      <c r="J1391" t="str">
        <f>INDEX(State!C:C,MATCH(OrdersTable[[#This Row],[State Code]],State!B:B,0))</f>
        <v>West</v>
      </c>
      <c r="K1391" t="s">
        <v>44</v>
      </c>
      <c r="L1391" t="s">
        <v>39</v>
      </c>
      <c r="M1391" t="s">
        <v>34</v>
      </c>
      <c r="N1391" t="str">
        <f>INDEX(Products!B:B,MATCH(OrdersTable[[#This Row],[Product ID]],Products!A:A,0))</f>
        <v>Flip Flops</v>
      </c>
      <c r="O1391" t="str">
        <f>INDEX(Products!C:C,MATCH(OrdersTable[[#This Row],[Product ID]],Products!A:A,0))</f>
        <v>Footwear</v>
      </c>
      <c r="P1391">
        <v>1</v>
      </c>
      <c r="Q1391" s="5">
        <v>399</v>
      </c>
      <c r="R1391" s="74">
        <v>0.1</v>
      </c>
      <c r="S1391" s="75">
        <f>OrdersTable[[#This Row],[Quantity]]*OrdersTable[[#This Row],[Unit Price]]</f>
        <v>399</v>
      </c>
      <c r="T1391" s="5">
        <f>OrdersTable[[#This Row],[Gross Sale]]*OrdersTable[[#This Row],[Discount_Clean2]]</f>
        <v>39.900000000000006</v>
      </c>
      <c r="U1391" s="5">
        <f>OrdersTable[[#This Row],[Gross Sale]]-OrdersTable[[#This Row],[Discount Amount]]</f>
        <v>359.1</v>
      </c>
      <c r="V1391" s="77">
        <f>INDEX(Products!E:E,MATCH(OrdersTable[[#This Row],[Product ID]],Products!A:A,0))</f>
        <v>152</v>
      </c>
      <c r="W1391" s="77">
        <f>OrdersTable[[#This Row],[Quantity]]*OrdersTable[[#This Row],[Unit Cost]]</f>
        <v>152</v>
      </c>
      <c r="X1391" s="77">
        <f>'Dropdown Lists'!$I$2*(1+OrdersTable[[#This Row],[Returned]])</f>
        <v>60</v>
      </c>
      <c r="Y1391" s="76">
        <f>OrdersTable[[#This Row],[Net Revenue]]-OrdersTable[[#This Row],[COGS]]-OrdersTable[[#This Row],[Shipping Cost]]</f>
        <v>147.10000000000002</v>
      </c>
      <c r="Z1391" s="78">
        <f>IFERROR(OrdersTable[[#This Row],[Profit]]/OrdersTable[[#This Row],[Net Revenue]],0)</f>
        <v>0.40963519910888335</v>
      </c>
      <c r="AA1391" t="s">
        <v>18</v>
      </c>
      <c r="AB1391" s="79">
        <v>45572</v>
      </c>
      <c r="AC1391">
        <f>OrdersTable[[#This Row],[Delivery Date]]-OrdersTable[[#This Row],[Order Date]]</f>
        <v>6</v>
      </c>
      <c r="AD1391" t="str">
        <f>IF(OrdersTable[[#This Row],[Delivery Days]]&lt;=2, "Express (≤2d)", IF(OrdersTable[[#This Row],[Delivery Days]]&lt;=4, "Standard (3-4d)", "Delayed (5d+)"))</f>
        <v>Delayed (5d+)</v>
      </c>
      <c r="AE1391">
        <v>3</v>
      </c>
      <c r="AF1391">
        <v>0</v>
      </c>
    </row>
    <row r="1392" spans="1:32" ht="15" x14ac:dyDescent="0.35">
      <c r="A1392" t="s">
        <v>7146</v>
      </c>
      <c r="B1392" s="1">
        <v>45566</v>
      </c>
      <c r="C1392">
        <f>YEAR(OrdersTable[[#This Row],[Order Date]])</f>
        <v>2024</v>
      </c>
      <c r="D1392" s="2">
        <f>DATE(YEAR(OrdersTable[[#This Row],[Order Date]]),MONTH(OrdersTable[[#This Row],[Order Date]]),1)</f>
        <v>45566</v>
      </c>
      <c r="E1392">
        <f>MONTH(OrdersTable[[#This Row],[Order Date]])</f>
        <v>10</v>
      </c>
      <c r="F1392" t="s">
        <v>7147</v>
      </c>
      <c r="G1392" t="str">
        <f>IF(OrdersTable[[#This Row],[Order Date]]=_xlfn.MINIFS(Order_Date, Customer_ID, OrdersTable[[#This Row],[Customer ID]]), "New", "Repeat")</f>
        <v>New</v>
      </c>
      <c r="H1392" t="s">
        <v>27</v>
      </c>
      <c r="I1392" t="str">
        <f>INDEX(State!B:B,MATCH(OrdersTable[[#This Row],[State]],State!A:A,0))</f>
        <v>WB</v>
      </c>
      <c r="J1392" t="str">
        <f>INDEX(State!C:C,MATCH(OrdersTable[[#This Row],[State Code]],State!B:B,0))</f>
        <v>East</v>
      </c>
      <c r="K1392" t="s">
        <v>28</v>
      </c>
      <c r="L1392" t="s">
        <v>39</v>
      </c>
      <c r="M1392" t="s">
        <v>61</v>
      </c>
      <c r="N1392" t="str">
        <f>INDEX(Products!B:B,MATCH(OrdersTable[[#This Row],[Product ID]],Products!A:A,0))</f>
        <v>Multivitamin Gummies</v>
      </c>
      <c r="O1392" t="str">
        <f>INDEX(Products!C:C,MATCH(OrdersTable[[#This Row],[Product ID]],Products!A:A,0))</f>
        <v>Wellness</v>
      </c>
      <c r="P1392">
        <v>5</v>
      </c>
      <c r="Q1392" s="5">
        <v>699</v>
      </c>
      <c r="R1392" s="74">
        <v>0.35</v>
      </c>
      <c r="S1392" s="75">
        <f>OrdersTable[[#This Row],[Quantity]]*OrdersTable[[#This Row],[Unit Price]]</f>
        <v>3495</v>
      </c>
      <c r="T1392" s="5">
        <f>OrdersTable[[#This Row],[Gross Sale]]*OrdersTable[[#This Row],[Discount_Clean2]]</f>
        <v>1223.25</v>
      </c>
      <c r="U1392" s="5">
        <f>OrdersTable[[#This Row],[Gross Sale]]-OrdersTable[[#This Row],[Discount Amount]]</f>
        <v>2271.75</v>
      </c>
      <c r="V1392" s="77">
        <f>INDEX(Products!E:E,MATCH(OrdersTable[[#This Row],[Product ID]],Products!A:A,0))</f>
        <v>238</v>
      </c>
      <c r="W1392" s="77">
        <f>OrdersTable[[#This Row],[Quantity]]*OrdersTable[[#This Row],[Unit Cost]]</f>
        <v>1190</v>
      </c>
      <c r="X1392" s="77">
        <f>'Dropdown Lists'!$I$2*(1+OrdersTable[[#This Row],[Returned]])</f>
        <v>60</v>
      </c>
      <c r="Y1392" s="76">
        <f>OrdersTable[[#This Row],[Net Revenue]]-OrdersTable[[#This Row],[COGS]]-OrdersTable[[#This Row],[Shipping Cost]]</f>
        <v>1021.75</v>
      </c>
      <c r="Z1392" s="78">
        <f>IFERROR(OrdersTable[[#This Row],[Profit]]/OrdersTable[[#This Row],[Net Revenue]],0)</f>
        <v>0.44976339826125233</v>
      </c>
      <c r="AA1392" t="s">
        <v>18</v>
      </c>
      <c r="AB1392" s="79">
        <v>45572</v>
      </c>
      <c r="AC1392">
        <f>OrdersTable[[#This Row],[Delivery Date]]-OrdersTable[[#This Row],[Order Date]]</f>
        <v>6</v>
      </c>
      <c r="AD1392" t="str">
        <f>IF(OrdersTable[[#This Row],[Delivery Days]]&lt;=2, "Express (≤2d)", IF(OrdersTable[[#This Row],[Delivery Days]]&lt;=4, "Standard (3-4d)", "Delayed (5d+)"))</f>
        <v>Delayed (5d+)</v>
      </c>
      <c r="AE1392">
        <v>4</v>
      </c>
      <c r="AF1392">
        <v>0</v>
      </c>
    </row>
    <row r="1393" spans="1:32" ht="15" x14ac:dyDescent="0.35">
      <c r="A1393" t="s">
        <v>6304</v>
      </c>
      <c r="B1393" s="1">
        <v>45566</v>
      </c>
      <c r="C1393">
        <f>YEAR(OrdersTable[[#This Row],[Order Date]])</f>
        <v>2024</v>
      </c>
      <c r="D1393" s="2">
        <f>DATE(YEAR(OrdersTable[[#This Row],[Order Date]]),MONTH(OrdersTable[[#This Row],[Order Date]]),1)</f>
        <v>45566</v>
      </c>
      <c r="E1393">
        <f>MONTH(OrdersTable[[#This Row],[Order Date]])</f>
        <v>10</v>
      </c>
      <c r="F1393" t="s">
        <v>633</v>
      </c>
      <c r="G1393" t="str">
        <f>IF(OrdersTable[[#This Row],[Order Date]]=_xlfn.MINIFS(Order_Date, Customer_ID, OrdersTable[[#This Row],[Customer ID]]), "New", "Repeat")</f>
        <v>New</v>
      </c>
      <c r="H1393" t="s">
        <v>95</v>
      </c>
      <c r="I1393" t="str">
        <f>INDEX(State!B:B,MATCH(OrdersTable[[#This Row],[State]],State!A:A,0))</f>
        <v>TG</v>
      </c>
      <c r="J1393" t="str">
        <f>INDEX(State!C:C,MATCH(OrdersTable[[#This Row],[State Code]],State!B:B,0))</f>
        <v>South</v>
      </c>
      <c r="K1393" t="s">
        <v>96</v>
      </c>
      <c r="L1393" t="s">
        <v>50</v>
      </c>
      <c r="M1393" t="s">
        <v>51</v>
      </c>
      <c r="N1393" t="str">
        <f>INDEX(Products!B:B,MATCH(OrdersTable[[#This Row],[Product ID]],Products!A:A,0))</f>
        <v>Anti-Dandruff Conditioner</v>
      </c>
      <c r="O1393" t="str">
        <f>INDEX(Products!C:C,MATCH(OrdersTable[[#This Row],[Product ID]],Products!A:A,0))</f>
        <v>Haircare</v>
      </c>
      <c r="P1393">
        <v>2</v>
      </c>
      <c r="Q1393" s="5">
        <v>399</v>
      </c>
      <c r="R1393" s="74">
        <v>0.4</v>
      </c>
      <c r="S1393" s="75">
        <f>OrdersTable[[#This Row],[Quantity]]*OrdersTable[[#This Row],[Unit Price]]</f>
        <v>798</v>
      </c>
      <c r="T1393" s="5">
        <f>OrdersTable[[#This Row],[Gross Sale]]*OrdersTable[[#This Row],[Discount_Clean2]]</f>
        <v>319.20000000000005</v>
      </c>
      <c r="U1393" s="5">
        <f>OrdersTable[[#This Row],[Gross Sale]]-OrdersTable[[#This Row],[Discount Amount]]</f>
        <v>478.79999999999995</v>
      </c>
      <c r="V1393" s="77">
        <f>INDEX(Products!E:E,MATCH(OrdersTable[[#This Row],[Product ID]],Products!A:A,0))</f>
        <v>136</v>
      </c>
      <c r="W1393" s="77">
        <f>OrdersTable[[#This Row],[Quantity]]*OrdersTable[[#This Row],[Unit Cost]]</f>
        <v>272</v>
      </c>
      <c r="X1393" s="77">
        <f>'Dropdown Lists'!$I$2*(1+OrdersTable[[#This Row],[Returned]])</f>
        <v>60</v>
      </c>
      <c r="Y1393" s="76">
        <f>OrdersTable[[#This Row],[Net Revenue]]-OrdersTable[[#This Row],[COGS]]-OrdersTable[[#This Row],[Shipping Cost]]</f>
        <v>146.79999999999995</v>
      </c>
      <c r="Z1393" s="78">
        <f>IFERROR(OrdersTable[[#This Row],[Profit]]/OrdersTable[[#This Row],[Net Revenue]],0)</f>
        <v>0.30659983291562232</v>
      </c>
      <c r="AA1393" t="s">
        <v>18</v>
      </c>
      <c r="AB1393" s="79">
        <v>45569</v>
      </c>
      <c r="AC1393">
        <f>OrdersTable[[#This Row],[Delivery Date]]-OrdersTable[[#This Row],[Order Date]]</f>
        <v>3</v>
      </c>
      <c r="AD1393" t="str">
        <f>IF(OrdersTable[[#This Row],[Delivery Days]]&lt;=2, "Express (≤2d)", IF(OrdersTable[[#This Row],[Delivery Days]]&lt;=4, "Standard (3-4d)", "Delayed (5d+)"))</f>
        <v>Standard (3-4d)</v>
      </c>
      <c r="AF1393">
        <v>0</v>
      </c>
    </row>
    <row r="1394" spans="1:32" ht="15" x14ac:dyDescent="0.35">
      <c r="A1394" t="s">
        <v>6305</v>
      </c>
      <c r="B1394" s="1">
        <v>45566</v>
      </c>
      <c r="C1394">
        <f>YEAR(OrdersTable[[#This Row],[Order Date]])</f>
        <v>2024</v>
      </c>
      <c r="D1394" s="2">
        <f>DATE(YEAR(OrdersTable[[#This Row],[Order Date]]),MONTH(OrdersTable[[#This Row],[Order Date]]),1)</f>
        <v>45566</v>
      </c>
      <c r="E1394">
        <f>MONTH(OrdersTable[[#This Row],[Order Date]])</f>
        <v>10</v>
      </c>
      <c r="F1394" t="s">
        <v>6306</v>
      </c>
      <c r="G1394" t="str">
        <f>IF(OrdersTable[[#This Row],[Order Date]]=_xlfn.MINIFS(Order_Date, Customer_ID, OrdersTable[[#This Row],[Customer ID]]), "New", "Repeat")</f>
        <v>Repeat</v>
      </c>
      <c r="H1394" t="s">
        <v>90</v>
      </c>
      <c r="I1394" t="str">
        <f>INDEX(State!B:B,MATCH(OrdersTable[[#This Row],[State]],State!A:A,0))</f>
        <v>GA</v>
      </c>
      <c r="J1394" t="str">
        <f>INDEX(State!C:C,MATCH(OrdersTable[[#This Row],[State Code]],State!B:B,0))</f>
        <v>West</v>
      </c>
      <c r="K1394" t="s">
        <v>91</v>
      </c>
      <c r="L1394" t="s">
        <v>50</v>
      </c>
      <c r="M1394" t="s">
        <v>152</v>
      </c>
      <c r="N1394" t="str">
        <f>INDEX(Products!B:B,MATCH(OrdersTable[[#This Row],[Product ID]],Products!A:A,0))</f>
        <v>Green Tea (100 bags)</v>
      </c>
      <c r="O1394" t="str">
        <f>INDEX(Products!C:C,MATCH(OrdersTable[[#This Row],[Product ID]],Products!A:A,0))</f>
        <v>Wellness</v>
      </c>
      <c r="P1394">
        <v>2</v>
      </c>
      <c r="Q1394" s="5">
        <v>399</v>
      </c>
      <c r="R1394" s="74">
        <v>0.35</v>
      </c>
      <c r="S1394" s="75">
        <f>OrdersTable[[#This Row],[Quantity]]*OrdersTable[[#This Row],[Unit Price]]</f>
        <v>798</v>
      </c>
      <c r="T1394" s="5">
        <f>OrdersTable[[#This Row],[Gross Sale]]*OrdersTable[[#This Row],[Discount_Clean2]]</f>
        <v>279.29999999999995</v>
      </c>
      <c r="U1394" s="5">
        <f>OrdersTable[[#This Row],[Gross Sale]]-OrdersTable[[#This Row],[Discount Amount]]</f>
        <v>518.70000000000005</v>
      </c>
      <c r="V1394" s="77">
        <f>INDEX(Products!E:E,MATCH(OrdersTable[[#This Row],[Product ID]],Products!A:A,0))</f>
        <v>128</v>
      </c>
      <c r="W1394" s="77">
        <f>OrdersTable[[#This Row],[Quantity]]*OrdersTable[[#This Row],[Unit Cost]]</f>
        <v>256</v>
      </c>
      <c r="X1394" s="77">
        <f>'Dropdown Lists'!$I$2*(1+OrdersTable[[#This Row],[Returned]])</f>
        <v>60</v>
      </c>
      <c r="Y1394" s="76">
        <f>OrdersTable[[#This Row],[Net Revenue]]-OrdersTable[[#This Row],[COGS]]-OrdersTable[[#This Row],[Shipping Cost]]</f>
        <v>202.70000000000005</v>
      </c>
      <c r="Z1394" s="78">
        <f>IFERROR(OrdersTable[[#This Row],[Profit]]/OrdersTable[[#This Row],[Net Revenue]],0)</f>
        <v>0.39078465394254874</v>
      </c>
      <c r="AA1394" t="s">
        <v>18</v>
      </c>
      <c r="AB1394" s="79">
        <v>45570</v>
      </c>
      <c r="AC1394">
        <f>OrdersTable[[#This Row],[Delivery Date]]-OrdersTable[[#This Row],[Order Date]]</f>
        <v>4</v>
      </c>
      <c r="AD1394" t="str">
        <f>IF(OrdersTable[[#This Row],[Delivery Days]]&lt;=2, "Express (≤2d)", IF(OrdersTable[[#This Row],[Delivery Days]]&lt;=4, "Standard (3-4d)", "Delayed (5d+)"))</f>
        <v>Standard (3-4d)</v>
      </c>
      <c r="AE1394">
        <v>3</v>
      </c>
      <c r="AF1394">
        <v>0</v>
      </c>
    </row>
    <row r="1395" spans="1:32" ht="15" x14ac:dyDescent="0.35">
      <c r="A1395" t="s">
        <v>5891</v>
      </c>
      <c r="B1395" s="1">
        <v>45566</v>
      </c>
      <c r="C1395">
        <f>YEAR(OrdersTable[[#This Row],[Order Date]])</f>
        <v>2024</v>
      </c>
      <c r="D1395" s="2">
        <f>DATE(YEAR(OrdersTable[[#This Row],[Order Date]]),MONTH(OrdersTable[[#This Row],[Order Date]]),1)</f>
        <v>45566</v>
      </c>
      <c r="E1395">
        <f>MONTH(OrdersTable[[#This Row],[Order Date]])</f>
        <v>10</v>
      </c>
      <c r="F1395" t="s">
        <v>2546</v>
      </c>
      <c r="G1395" t="str">
        <f>IF(OrdersTable[[#This Row],[Order Date]]=_xlfn.MINIFS(Order_Date, Customer_ID, OrdersTable[[#This Row],[Customer ID]]), "New", "Repeat")</f>
        <v>Repeat</v>
      </c>
      <c r="H1395" t="s">
        <v>167</v>
      </c>
      <c r="I1395" t="str">
        <f>INDEX(State!B:B,MATCH(OrdersTable[[#This Row],[State]],State!A:A,0))</f>
        <v>KA</v>
      </c>
      <c r="J1395" t="str">
        <f>INDEX(State!C:C,MATCH(OrdersTable[[#This Row],[State Code]],State!B:B,0))</f>
        <v>South</v>
      </c>
      <c r="K1395" t="s">
        <v>190</v>
      </c>
      <c r="L1395" t="s">
        <v>16</v>
      </c>
      <c r="M1395" t="s">
        <v>29</v>
      </c>
      <c r="N1395" t="str">
        <f>INDEX(Products!B:B,MATCH(OrdersTable[[#This Row],[Product ID]],Products!A:A,0))</f>
        <v>Joggers</v>
      </c>
      <c r="O1395" t="str">
        <f>INDEX(Products!C:C,MATCH(OrdersTable[[#This Row],[Product ID]],Products!A:A,0))</f>
        <v>Apparel</v>
      </c>
      <c r="P1395">
        <v>2</v>
      </c>
      <c r="Q1395" s="5">
        <v>1199</v>
      </c>
      <c r="R1395" s="74">
        <v>0.3</v>
      </c>
      <c r="S1395" s="75">
        <f>OrdersTable[[#This Row],[Quantity]]*OrdersTable[[#This Row],[Unit Price]]</f>
        <v>2398</v>
      </c>
      <c r="T1395" s="5">
        <f>OrdersTable[[#This Row],[Gross Sale]]*OrdersTable[[#This Row],[Discount_Clean2]]</f>
        <v>719.4</v>
      </c>
      <c r="U1395" s="5">
        <f>OrdersTable[[#This Row],[Gross Sale]]-OrdersTable[[#This Row],[Discount Amount]]</f>
        <v>1678.6</v>
      </c>
      <c r="V1395" s="77">
        <f>INDEX(Products!E:E,MATCH(OrdersTable[[#This Row],[Product ID]],Products!A:A,0))</f>
        <v>492</v>
      </c>
      <c r="W1395" s="77">
        <f>OrdersTable[[#This Row],[Quantity]]*OrdersTable[[#This Row],[Unit Cost]]</f>
        <v>984</v>
      </c>
      <c r="X1395" s="77">
        <f>'Dropdown Lists'!$I$2*(1+OrdersTable[[#This Row],[Returned]])</f>
        <v>60</v>
      </c>
      <c r="Y1395" s="76">
        <f>OrdersTable[[#This Row],[Net Revenue]]-OrdersTable[[#This Row],[COGS]]-OrdersTable[[#This Row],[Shipping Cost]]</f>
        <v>634.59999999999991</v>
      </c>
      <c r="Z1395" s="78">
        <f>IFERROR(OrdersTable[[#This Row],[Profit]]/OrdersTable[[#This Row],[Net Revenue]],0)</f>
        <v>0.37805313952102937</v>
      </c>
      <c r="AA1395" t="s">
        <v>18</v>
      </c>
      <c r="AB1395" s="79">
        <v>45569</v>
      </c>
      <c r="AC1395">
        <f>OrdersTable[[#This Row],[Delivery Date]]-OrdersTable[[#This Row],[Order Date]]</f>
        <v>3</v>
      </c>
      <c r="AD1395" t="str">
        <f>IF(OrdersTable[[#This Row],[Delivery Days]]&lt;=2, "Express (≤2d)", IF(OrdersTable[[#This Row],[Delivery Days]]&lt;=4, "Standard (3-4d)", "Delayed (5d+)"))</f>
        <v>Standard (3-4d)</v>
      </c>
      <c r="AF1395">
        <v>0</v>
      </c>
    </row>
    <row r="1396" spans="1:32" ht="15" x14ac:dyDescent="0.35">
      <c r="A1396" t="s">
        <v>5588</v>
      </c>
      <c r="B1396" s="1">
        <v>45567</v>
      </c>
      <c r="C1396">
        <f>YEAR(OrdersTable[[#This Row],[Order Date]])</f>
        <v>2024</v>
      </c>
      <c r="D1396" s="2">
        <f>DATE(YEAR(OrdersTable[[#This Row],[Order Date]]),MONTH(OrdersTable[[#This Row],[Order Date]]),1)</f>
        <v>45566</v>
      </c>
      <c r="E1396">
        <f>MONTH(OrdersTable[[#This Row],[Order Date]])</f>
        <v>10</v>
      </c>
      <c r="F1396" t="s">
        <v>512</v>
      </c>
      <c r="G1396" t="str">
        <f>IF(OrdersTable[[#This Row],[Order Date]]=_xlfn.MINIFS(Order_Date, Customer_ID, OrdersTable[[#This Row],[Customer ID]]), "New", "Repeat")</f>
        <v>Repeat</v>
      </c>
      <c r="H1396" t="s">
        <v>21</v>
      </c>
      <c r="I1396" t="str">
        <f>INDEX(State!B:B,MATCH(OrdersTable[[#This Row],[State]],State!A:A,0))</f>
        <v>PB</v>
      </c>
      <c r="J1396" t="str">
        <f>INDEX(State!C:C,MATCH(OrdersTable[[#This Row],[State Code]],State!B:B,0))</f>
        <v>North</v>
      </c>
      <c r="K1396" t="s">
        <v>260</v>
      </c>
      <c r="L1396" t="s">
        <v>50</v>
      </c>
      <c r="M1396" t="s">
        <v>152</v>
      </c>
      <c r="N1396" t="str">
        <f>INDEX(Products!B:B,MATCH(OrdersTable[[#This Row],[Product ID]],Products!A:A,0))</f>
        <v>Green Tea (100 bags)</v>
      </c>
      <c r="O1396" t="str">
        <f>INDEX(Products!C:C,MATCH(OrdersTable[[#This Row],[Product ID]],Products!A:A,0))</f>
        <v>Wellness</v>
      </c>
      <c r="P1396">
        <v>2</v>
      </c>
      <c r="Q1396" s="5">
        <v>399</v>
      </c>
      <c r="R1396" s="74">
        <v>0.45</v>
      </c>
      <c r="S1396" s="75">
        <f>OrdersTable[[#This Row],[Quantity]]*OrdersTable[[#This Row],[Unit Price]]</f>
        <v>798</v>
      </c>
      <c r="T1396" s="5">
        <f>OrdersTable[[#This Row],[Gross Sale]]*OrdersTable[[#This Row],[Discount_Clean2]]</f>
        <v>359.1</v>
      </c>
      <c r="U1396" s="5">
        <f>OrdersTable[[#This Row],[Gross Sale]]-OrdersTable[[#This Row],[Discount Amount]]</f>
        <v>438.9</v>
      </c>
      <c r="V1396" s="77">
        <f>INDEX(Products!E:E,MATCH(OrdersTable[[#This Row],[Product ID]],Products!A:A,0))</f>
        <v>128</v>
      </c>
      <c r="W1396" s="77">
        <f>OrdersTable[[#This Row],[Quantity]]*OrdersTable[[#This Row],[Unit Cost]]</f>
        <v>256</v>
      </c>
      <c r="X1396" s="77">
        <f>'Dropdown Lists'!$I$2*(1+OrdersTable[[#This Row],[Returned]])</f>
        <v>60</v>
      </c>
      <c r="Y1396" s="76">
        <f>OrdersTable[[#This Row],[Net Revenue]]-OrdersTable[[#This Row],[COGS]]-OrdersTable[[#This Row],[Shipping Cost]]</f>
        <v>122.89999999999998</v>
      </c>
      <c r="Z1396" s="78">
        <f>IFERROR(OrdersTable[[#This Row],[Profit]]/OrdersTable[[#This Row],[Net Revenue]],0)</f>
        <v>0.28001822738664839</v>
      </c>
      <c r="AA1396" t="s">
        <v>2522</v>
      </c>
      <c r="AB1396" s="79">
        <v>45571</v>
      </c>
      <c r="AC1396">
        <f>OrdersTable[[#This Row],[Delivery Date]]-OrdersTable[[#This Row],[Order Date]]</f>
        <v>4</v>
      </c>
      <c r="AD1396" t="str">
        <f>IF(OrdersTable[[#This Row],[Delivery Days]]&lt;=2, "Express (≤2d)", IF(OrdersTable[[#This Row],[Delivery Days]]&lt;=4, "Standard (3-4d)", "Delayed (5d+)"))</f>
        <v>Standard (3-4d)</v>
      </c>
      <c r="AE1396">
        <v>3</v>
      </c>
      <c r="AF1396">
        <v>0</v>
      </c>
    </row>
    <row r="1397" spans="1:32" ht="15" x14ac:dyDescent="0.35">
      <c r="A1397" t="s">
        <v>3992</v>
      </c>
      <c r="B1397" s="1">
        <v>45567</v>
      </c>
      <c r="C1397">
        <f>YEAR(OrdersTable[[#This Row],[Order Date]])</f>
        <v>2024</v>
      </c>
      <c r="D1397" s="2">
        <f>DATE(YEAR(OrdersTable[[#This Row],[Order Date]]),MONTH(OrdersTable[[#This Row],[Order Date]]),1)</f>
        <v>45566</v>
      </c>
      <c r="E1397">
        <f>MONTH(OrdersTable[[#This Row],[Order Date]])</f>
        <v>10</v>
      </c>
      <c r="F1397" t="s">
        <v>181</v>
      </c>
      <c r="G1397" t="str">
        <f>IF(OrdersTable[[#This Row],[Order Date]]=_xlfn.MINIFS(Order_Date, Customer_ID, OrdersTable[[#This Row],[Customer ID]]), "New", "Repeat")</f>
        <v>Repeat</v>
      </c>
      <c r="H1397" t="s">
        <v>21</v>
      </c>
      <c r="I1397" t="str">
        <f>INDEX(State!B:B,MATCH(OrdersTable[[#This Row],[State]],State!A:A,0))</f>
        <v>PB</v>
      </c>
      <c r="J1397" t="str">
        <f>INDEX(State!C:C,MATCH(OrdersTable[[#This Row],[State Code]],State!B:B,0))</f>
        <v>North</v>
      </c>
      <c r="K1397" t="s">
        <v>22</v>
      </c>
      <c r="L1397" t="s">
        <v>23</v>
      </c>
      <c r="M1397" t="s">
        <v>255</v>
      </c>
      <c r="N1397" t="str">
        <f>INDEX(Products!B:B,MATCH(OrdersTable[[#This Row],[Product ID]],Products!A:A,0))</f>
        <v>Cotton Oversized T-Shirt</v>
      </c>
      <c r="O1397" t="str">
        <f>INDEX(Products!C:C,MATCH(OrdersTable[[#This Row],[Product ID]],Products!A:A,0))</f>
        <v>Apparel</v>
      </c>
      <c r="P1397">
        <v>1</v>
      </c>
      <c r="Q1397" s="5">
        <v>799</v>
      </c>
      <c r="R1397" s="74">
        <v>0.1</v>
      </c>
      <c r="S1397" s="75">
        <f>OrdersTable[[#This Row],[Quantity]]*OrdersTable[[#This Row],[Unit Price]]</f>
        <v>799</v>
      </c>
      <c r="T1397" s="5">
        <f>OrdersTable[[#This Row],[Gross Sale]]*OrdersTable[[#This Row],[Discount_Clean2]]</f>
        <v>79.900000000000006</v>
      </c>
      <c r="U1397" s="5">
        <f>OrdersTable[[#This Row],[Gross Sale]]-OrdersTable[[#This Row],[Discount Amount]]</f>
        <v>719.1</v>
      </c>
      <c r="V1397" s="77">
        <f>INDEX(Products!E:E,MATCH(OrdersTable[[#This Row],[Product ID]],Products!A:A,0))</f>
        <v>320</v>
      </c>
      <c r="W1397" s="77">
        <f>OrdersTable[[#This Row],[Quantity]]*OrdersTable[[#This Row],[Unit Cost]]</f>
        <v>320</v>
      </c>
      <c r="X1397" s="77">
        <f>'Dropdown Lists'!$I$2*(1+OrdersTable[[#This Row],[Returned]])</f>
        <v>120</v>
      </c>
      <c r="Y1397" s="76">
        <f>OrdersTable[[#This Row],[Net Revenue]]-OrdersTable[[#This Row],[COGS]]-OrdersTable[[#This Row],[Shipping Cost]]</f>
        <v>279.10000000000002</v>
      </c>
      <c r="Z1397" s="78">
        <f>IFERROR(OrdersTable[[#This Row],[Profit]]/OrdersTable[[#This Row],[Net Revenue]],0)</f>
        <v>0.38812404394381866</v>
      </c>
      <c r="AA1397" t="s">
        <v>3495</v>
      </c>
      <c r="AB1397" s="79">
        <v>45571</v>
      </c>
      <c r="AC1397">
        <f>OrdersTable[[#This Row],[Delivery Date]]-OrdersTable[[#This Row],[Order Date]]</f>
        <v>4</v>
      </c>
      <c r="AD1397" t="str">
        <f>IF(OrdersTable[[#This Row],[Delivery Days]]&lt;=2, "Express (≤2d)", IF(OrdersTable[[#This Row],[Delivery Days]]&lt;=4, "Standard (3-4d)", "Delayed (5d+)"))</f>
        <v>Standard (3-4d)</v>
      </c>
      <c r="AE1397">
        <v>5</v>
      </c>
      <c r="AF1397">
        <v>1</v>
      </c>
    </row>
    <row r="1398" spans="1:32" ht="15" x14ac:dyDescent="0.35">
      <c r="A1398" t="s">
        <v>6772</v>
      </c>
      <c r="B1398" s="1">
        <v>45567</v>
      </c>
      <c r="C1398">
        <f>YEAR(OrdersTable[[#This Row],[Order Date]])</f>
        <v>2024</v>
      </c>
      <c r="D1398" s="2">
        <f>DATE(YEAR(OrdersTable[[#This Row],[Order Date]]),MONTH(OrdersTable[[#This Row],[Order Date]]),1)</f>
        <v>45566</v>
      </c>
      <c r="E1398">
        <f>MONTH(OrdersTable[[#This Row],[Order Date]])</f>
        <v>10</v>
      </c>
      <c r="F1398" t="s">
        <v>1550</v>
      </c>
      <c r="G1398" t="str">
        <f>IF(OrdersTable[[#This Row],[Order Date]]=_xlfn.MINIFS(Order_Date, Customer_ID, OrdersTable[[#This Row],[Customer ID]]), "New", "Repeat")</f>
        <v>New</v>
      </c>
      <c r="H1398" t="s">
        <v>184</v>
      </c>
      <c r="I1398" t="str">
        <f>INDEX(State!B:B,MATCH(OrdersTable[[#This Row],[State]],State!A:A,0))</f>
        <v>UK</v>
      </c>
      <c r="J1398" t="str">
        <f>INDEX(State!C:C,MATCH(OrdersTable[[#This Row],[State Code]],State!B:B,0))</f>
        <v>North</v>
      </c>
      <c r="K1398" t="s">
        <v>185</v>
      </c>
      <c r="L1398" t="s">
        <v>16</v>
      </c>
      <c r="M1398" t="s">
        <v>34</v>
      </c>
      <c r="N1398" t="str">
        <f>INDEX(Products!B:B,MATCH(OrdersTable[[#This Row],[Product ID]],Products!A:A,0))</f>
        <v>Flip Flops</v>
      </c>
      <c r="O1398" t="str">
        <f>INDEX(Products!C:C,MATCH(OrdersTable[[#This Row],[Product ID]],Products!A:A,0))</f>
        <v>Footwear</v>
      </c>
      <c r="P1398">
        <v>3</v>
      </c>
      <c r="Q1398" s="5">
        <v>399</v>
      </c>
      <c r="R1398" s="74">
        <v>0.3</v>
      </c>
      <c r="S1398" s="75">
        <f>OrdersTable[[#This Row],[Quantity]]*OrdersTable[[#This Row],[Unit Price]]</f>
        <v>1197</v>
      </c>
      <c r="T1398" s="5">
        <f>OrdersTable[[#This Row],[Gross Sale]]*OrdersTable[[#This Row],[Discount_Clean2]]</f>
        <v>359.09999999999997</v>
      </c>
      <c r="U1398" s="5">
        <f>OrdersTable[[#This Row],[Gross Sale]]-OrdersTable[[#This Row],[Discount Amount]]</f>
        <v>837.90000000000009</v>
      </c>
      <c r="V1398" s="77">
        <f>INDEX(Products!E:E,MATCH(OrdersTable[[#This Row],[Product ID]],Products!A:A,0))</f>
        <v>152</v>
      </c>
      <c r="W1398" s="77">
        <f>OrdersTable[[#This Row],[Quantity]]*OrdersTable[[#This Row],[Unit Cost]]</f>
        <v>456</v>
      </c>
      <c r="X1398" s="77">
        <f>'Dropdown Lists'!$I$2*(1+OrdersTable[[#This Row],[Returned]])</f>
        <v>60</v>
      </c>
      <c r="Y1398" s="76">
        <f>OrdersTable[[#This Row],[Net Revenue]]-OrdersTable[[#This Row],[COGS]]-OrdersTable[[#This Row],[Shipping Cost]]</f>
        <v>321.90000000000009</v>
      </c>
      <c r="Z1398" s="78">
        <f>IFERROR(OrdersTable[[#This Row],[Profit]]/OrdersTable[[#This Row],[Net Revenue]],0)</f>
        <v>0.38417472252058726</v>
      </c>
      <c r="AA1398" t="s">
        <v>3495</v>
      </c>
      <c r="AB1398" s="79">
        <v>45573</v>
      </c>
      <c r="AC1398">
        <f>OrdersTable[[#This Row],[Delivery Date]]-OrdersTable[[#This Row],[Order Date]]</f>
        <v>6</v>
      </c>
      <c r="AD1398" t="str">
        <f>IF(OrdersTable[[#This Row],[Delivery Days]]&lt;=2, "Express (≤2d)", IF(OrdersTable[[#This Row],[Delivery Days]]&lt;=4, "Standard (3-4d)", "Delayed (5d+)"))</f>
        <v>Delayed (5d+)</v>
      </c>
      <c r="AE1398">
        <v>3</v>
      </c>
      <c r="AF1398">
        <v>0</v>
      </c>
    </row>
    <row r="1399" spans="1:32" ht="15" x14ac:dyDescent="0.35">
      <c r="A1399" t="s">
        <v>5678</v>
      </c>
      <c r="B1399" s="1">
        <v>45567</v>
      </c>
      <c r="C1399">
        <f>YEAR(OrdersTable[[#This Row],[Order Date]])</f>
        <v>2024</v>
      </c>
      <c r="D1399" s="2">
        <f>DATE(YEAR(OrdersTable[[#This Row],[Order Date]]),MONTH(OrdersTable[[#This Row],[Order Date]]),1)</f>
        <v>45566</v>
      </c>
      <c r="E1399">
        <f>MONTH(OrdersTable[[#This Row],[Order Date]])</f>
        <v>10</v>
      </c>
      <c r="F1399" t="s">
        <v>131</v>
      </c>
      <c r="G1399" t="str">
        <f>IF(OrdersTable[[#This Row],[Order Date]]=_xlfn.MINIFS(Order_Date, Customer_ID, OrdersTable[[#This Row],[Customer ID]]), "New", "Repeat")</f>
        <v>Repeat</v>
      </c>
      <c r="H1399" t="s">
        <v>76</v>
      </c>
      <c r="I1399" t="str">
        <f>INDEX(State!B:B,MATCH(OrdersTable[[#This Row],[State]],State!A:A,0))</f>
        <v>UP</v>
      </c>
      <c r="J1399" t="str">
        <f>INDEX(State!C:C,MATCH(OrdersTable[[#This Row],[State Code]],State!B:B,0))</f>
        <v>North</v>
      </c>
      <c r="K1399" t="s">
        <v>77</v>
      </c>
      <c r="L1399" t="s">
        <v>65</v>
      </c>
      <c r="M1399" t="s">
        <v>84</v>
      </c>
      <c r="N1399" t="str">
        <f>INDEX(Products!B:B,MATCH(OrdersTable[[#This Row],[Product ID]],Products!A:A,0))</f>
        <v>Cotton Bedsheet</v>
      </c>
      <c r="O1399" t="str">
        <f>INDEX(Products!C:C,MATCH(OrdersTable[[#This Row],[Product ID]],Products!A:A,0))</f>
        <v>Home &amp; Kitchen</v>
      </c>
      <c r="P1399">
        <v>2</v>
      </c>
      <c r="Q1399" s="5">
        <v>1299</v>
      </c>
      <c r="R1399" s="74">
        <v>0.2</v>
      </c>
      <c r="S1399" s="75">
        <f>OrdersTable[[#This Row],[Quantity]]*OrdersTable[[#This Row],[Unit Price]]</f>
        <v>2598</v>
      </c>
      <c r="T1399" s="5">
        <f>OrdersTable[[#This Row],[Gross Sale]]*OrdersTable[[#This Row],[Discount_Clean2]]</f>
        <v>519.6</v>
      </c>
      <c r="U1399" s="5">
        <f>OrdersTable[[#This Row],[Gross Sale]]-OrdersTable[[#This Row],[Discount Amount]]</f>
        <v>2078.4</v>
      </c>
      <c r="V1399" s="77">
        <f>INDEX(Products!E:E,MATCH(OrdersTable[[#This Row],[Product ID]],Products!A:A,0))</f>
        <v>585</v>
      </c>
      <c r="W1399" s="77">
        <f>OrdersTable[[#This Row],[Quantity]]*OrdersTable[[#This Row],[Unit Cost]]</f>
        <v>1170</v>
      </c>
      <c r="X1399" s="77">
        <f>'Dropdown Lists'!$I$2*(1+OrdersTable[[#This Row],[Returned]])</f>
        <v>60</v>
      </c>
      <c r="Y1399" s="76">
        <f>OrdersTable[[#This Row],[Net Revenue]]-OrdersTable[[#This Row],[COGS]]-OrdersTable[[#This Row],[Shipping Cost]]</f>
        <v>848.40000000000009</v>
      </c>
      <c r="Z1399" s="78">
        <f>IFERROR(OrdersTable[[#This Row],[Profit]]/OrdersTable[[#This Row],[Net Revenue]],0)</f>
        <v>0.40819861431870674</v>
      </c>
      <c r="AA1399" t="s">
        <v>18</v>
      </c>
      <c r="AB1399" s="79">
        <v>45571</v>
      </c>
      <c r="AC1399">
        <f>OrdersTable[[#This Row],[Delivery Date]]-OrdersTable[[#This Row],[Order Date]]</f>
        <v>4</v>
      </c>
      <c r="AD1399" t="str">
        <f>IF(OrdersTable[[#This Row],[Delivery Days]]&lt;=2, "Express (≤2d)", IF(OrdersTable[[#This Row],[Delivery Days]]&lt;=4, "Standard (3-4d)", "Delayed (5d+)"))</f>
        <v>Standard (3-4d)</v>
      </c>
      <c r="AE1399">
        <v>3</v>
      </c>
      <c r="AF1399">
        <v>0</v>
      </c>
    </row>
    <row r="1400" spans="1:32" ht="15" x14ac:dyDescent="0.35">
      <c r="A1400" t="s">
        <v>3562</v>
      </c>
      <c r="B1400" s="1">
        <v>45567</v>
      </c>
      <c r="C1400">
        <f>YEAR(OrdersTable[[#This Row],[Order Date]])</f>
        <v>2024</v>
      </c>
      <c r="D1400" s="2">
        <f>DATE(YEAR(OrdersTable[[#This Row],[Order Date]]),MONTH(OrdersTable[[#This Row],[Order Date]]),1)</f>
        <v>45566</v>
      </c>
      <c r="E1400">
        <f>MONTH(OrdersTable[[#This Row],[Order Date]])</f>
        <v>10</v>
      </c>
      <c r="F1400" t="s">
        <v>3563</v>
      </c>
      <c r="G1400" t="str">
        <f>IF(OrdersTable[[#This Row],[Order Date]]=_xlfn.MINIFS(Order_Date, Customer_ID, OrdersTable[[#This Row],[Customer ID]]), "New", "Repeat")</f>
        <v>New</v>
      </c>
      <c r="H1400" t="s">
        <v>76</v>
      </c>
      <c r="I1400" t="str">
        <f>INDEX(State!B:B,MATCH(OrdersTable[[#This Row],[State]],State!A:A,0))</f>
        <v>UP</v>
      </c>
      <c r="J1400" t="str">
        <f>INDEX(State!C:C,MATCH(OrdersTable[[#This Row],[State Code]],State!B:B,0))</f>
        <v>North</v>
      </c>
      <c r="K1400" t="s">
        <v>118</v>
      </c>
      <c r="L1400" t="s">
        <v>23</v>
      </c>
      <c r="M1400" t="s">
        <v>109</v>
      </c>
      <c r="N1400" t="str">
        <f>INDEX(Products!B:B,MATCH(OrdersTable[[#This Row],[Product ID]],Products!A:A,0))</f>
        <v>Onion Hair Oil</v>
      </c>
      <c r="O1400" t="str">
        <f>INDEX(Products!C:C,MATCH(OrdersTable[[#This Row],[Product ID]],Products!A:A,0))</f>
        <v>Haircare</v>
      </c>
      <c r="P1400">
        <v>1</v>
      </c>
      <c r="Q1400" s="5">
        <v>349</v>
      </c>
      <c r="R1400" s="74">
        <v>0.45</v>
      </c>
      <c r="S1400" s="75">
        <f>OrdersTable[[#This Row],[Quantity]]*OrdersTable[[#This Row],[Unit Price]]</f>
        <v>349</v>
      </c>
      <c r="T1400" s="5">
        <f>OrdersTable[[#This Row],[Gross Sale]]*OrdersTable[[#This Row],[Discount_Clean2]]</f>
        <v>157.05000000000001</v>
      </c>
      <c r="U1400" s="5">
        <f>OrdersTable[[#This Row],[Gross Sale]]-OrdersTable[[#This Row],[Discount Amount]]</f>
        <v>191.95</v>
      </c>
      <c r="V1400" s="77">
        <f>INDEX(Products!E:E,MATCH(OrdersTable[[#This Row],[Product ID]],Products!A:A,0))</f>
        <v>105</v>
      </c>
      <c r="W1400" s="77">
        <f>OrdersTable[[#This Row],[Quantity]]*OrdersTable[[#This Row],[Unit Cost]]</f>
        <v>105</v>
      </c>
      <c r="X1400" s="77">
        <f>'Dropdown Lists'!$I$2*(1+OrdersTable[[#This Row],[Returned]])</f>
        <v>60</v>
      </c>
      <c r="Y1400" s="76">
        <f>OrdersTable[[#This Row],[Net Revenue]]-OrdersTable[[#This Row],[COGS]]-OrdersTable[[#This Row],[Shipping Cost]]</f>
        <v>26.949999999999989</v>
      </c>
      <c r="Z1400" s="78">
        <f>IFERROR(OrdersTable[[#This Row],[Profit]]/OrdersTable[[#This Row],[Net Revenue]],0)</f>
        <v>0.1404011461318051</v>
      </c>
      <c r="AA1400" t="s">
        <v>3495</v>
      </c>
      <c r="AB1400" s="79">
        <v>45570</v>
      </c>
      <c r="AC1400">
        <f>OrdersTable[[#This Row],[Delivery Date]]-OrdersTable[[#This Row],[Order Date]]</f>
        <v>3</v>
      </c>
      <c r="AD1400" t="str">
        <f>IF(OrdersTable[[#This Row],[Delivery Days]]&lt;=2, "Express (≤2d)", IF(OrdersTable[[#This Row],[Delivery Days]]&lt;=4, "Standard (3-4d)", "Delayed (5d+)"))</f>
        <v>Standard (3-4d)</v>
      </c>
      <c r="AE1400">
        <v>4</v>
      </c>
      <c r="AF1400">
        <v>0</v>
      </c>
    </row>
    <row r="1401" spans="1:32" ht="15" x14ac:dyDescent="0.35">
      <c r="A1401" t="s">
        <v>4931</v>
      </c>
      <c r="B1401" s="1">
        <v>45567</v>
      </c>
      <c r="C1401">
        <f>YEAR(OrdersTable[[#This Row],[Order Date]])</f>
        <v>2024</v>
      </c>
      <c r="D1401" s="2">
        <f>DATE(YEAR(OrdersTable[[#This Row],[Order Date]]),MONTH(OrdersTable[[#This Row],[Order Date]]),1)</f>
        <v>45566</v>
      </c>
      <c r="E1401">
        <f>MONTH(OrdersTable[[#This Row],[Order Date]])</f>
        <v>10</v>
      </c>
      <c r="F1401" t="s">
        <v>3528</v>
      </c>
      <c r="G1401" t="str">
        <f>IF(OrdersTable[[#This Row],[Order Date]]=_xlfn.MINIFS(Order_Date, Customer_ID, OrdersTable[[#This Row],[Customer ID]]), "New", "Repeat")</f>
        <v>Repeat</v>
      </c>
      <c r="H1401" t="s">
        <v>76</v>
      </c>
      <c r="I1401" t="str">
        <f>INDEX(State!B:B,MATCH(OrdersTable[[#This Row],[State]],State!A:A,0))</f>
        <v>UP</v>
      </c>
      <c r="J1401" t="str">
        <f>INDEX(State!C:C,MATCH(OrdersTable[[#This Row],[State Code]],State!B:B,0))</f>
        <v>North</v>
      </c>
      <c r="K1401" t="s">
        <v>118</v>
      </c>
      <c r="L1401" t="s">
        <v>65</v>
      </c>
      <c r="M1401" t="s">
        <v>24</v>
      </c>
      <c r="N1401" t="str">
        <f>INDEX(Products!B:B,MATCH(OrdersTable[[#This Row],[Product ID]],Products!A:A,0))</f>
        <v>Scented Candle Set</v>
      </c>
      <c r="O1401" t="str">
        <f>INDEX(Products!C:C,MATCH(OrdersTable[[#This Row],[Product ID]],Products!A:A,0))</f>
        <v>Home &amp; Kitchen</v>
      </c>
      <c r="P1401">
        <v>2</v>
      </c>
      <c r="Q1401" s="5">
        <v>699</v>
      </c>
      <c r="R1401" s="74">
        <v>0.25</v>
      </c>
      <c r="S1401" s="75">
        <f>OrdersTable[[#This Row],[Quantity]]*OrdersTable[[#This Row],[Unit Price]]</f>
        <v>1398</v>
      </c>
      <c r="T1401" s="5">
        <f>OrdersTable[[#This Row],[Gross Sale]]*OrdersTable[[#This Row],[Discount_Clean2]]</f>
        <v>349.5</v>
      </c>
      <c r="U1401" s="5">
        <f>OrdersTable[[#This Row],[Gross Sale]]-OrdersTable[[#This Row],[Discount Amount]]</f>
        <v>1048.5</v>
      </c>
      <c r="V1401" s="77">
        <f>INDEX(Products!E:E,MATCH(OrdersTable[[#This Row],[Product ID]],Products!A:A,0))</f>
        <v>245</v>
      </c>
      <c r="W1401" s="77">
        <f>OrdersTable[[#This Row],[Quantity]]*OrdersTable[[#This Row],[Unit Cost]]</f>
        <v>490</v>
      </c>
      <c r="X1401" s="77">
        <f>'Dropdown Lists'!$I$2*(1+OrdersTable[[#This Row],[Returned]])</f>
        <v>60</v>
      </c>
      <c r="Y1401" s="76">
        <f>OrdersTable[[#This Row],[Net Revenue]]-OrdersTable[[#This Row],[COGS]]-OrdersTable[[#This Row],[Shipping Cost]]</f>
        <v>498.5</v>
      </c>
      <c r="Z1401" s="78">
        <f>IFERROR(OrdersTable[[#This Row],[Profit]]/OrdersTable[[#This Row],[Net Revenue]],0)</f>
        <v>0.47544110634239389</v>
      </c>
      <c r="AA1401" t="s">
        <v>4074</v>
      </c>
      <c r="AB1401" s="79">
        <v>45571</v>
      </c>
      <c r="AC1401">
        <f>OrdersTable[[#This Row],[Delivery Date]]-OrdersTable[[#This Row],[Order Date]]</f>
        <v>4</v>
      </c>
      <c r="AD1401" t="str">
        <f>IF(OrdersTable[[#This Row],[Delivery Days]]&lt;=2, "Express (≤2d)", IF(OrdersTable[[#This Row],[Delivery Days]]&lt;=4, "Standard (3-4d)", "Delayed (5d+)"))</f>
        <v>Standard (3-4d)</v>
      </c>
      <c r="AE1401">
        <v>4</v>
      </c>
      <c r="AF1401">
        <v>0</v>
      </c>
    </row>
    <row r="1402" spans="1:32" ht="15" x14ac:dyDescent="0.35">
      <c r="A1402" t="s">
        <v>4932</v>
      </c>
      <c r="B1402" s="1">
        <v>45567</v>
      </c>
      <c r="C1402">
        <f>YEAR(OrdersTable[[#This Row],[Order Date]])</f>
        <v>2024</v>
      </c>
      <c r="D1402" s="2">
        <f>DATE(YEAR(OrdersTable[[#This Row],[Order Date]]),MONTH(OrdersTable[[#This Row],[Order Date]]),1)</f>
        <v>45566</v>
      </c>
      <c r="E1402">
        <f>MONTH(OrdersTable[[#This Row],[Order Date]])</f>
        <v>10</v>
      </c>
      <c r="F1402" t="s">
        <v>835</v>
      </c>
      <c r="G1402" t="str">
        <f>IF(OrdersTable[[#This Row],[Order Date]]=_xlfn.MINIFS(Order_Date, Customer_ID, OrdersTable[[#This Row],[Customer ID]]), "New", "Repeat")</f>
        <v>New</v>
      </c>
      <c r="H1402" t="s">
        <v>43</v>
      </c>
      <c r="I1402" t="str">
        <f>INDEX(State!B:B,MATCH(OrdersTable[[#This Row],[State]],State!A:A,0))</f>
        <v>MP</v>
      </c>
      <c r="J1402" t="str">
        <f>INDEX(State!C:C,MATCH(OrdersTable[[#This Row],[State Code]],State!B:B,0))</f>
        <v>West</v>
      </c>
      <c r="K1402" t="s">
        <v>44</v>
      </c>
      <c r="L1402" t="s">
        <v>39</v>
      </c>
      <c r="M1402" t="s">
        <v>106</v>
      </c>
      <c r="N1402" t="str">
        <f>INDEX(Products!B:B,MATCH(OrdersTable[[#This Row],[Product ID]],Products!A:A,0))</f>
        <v>Keratin Hair Mask</v>
      </c>
      <c r="O1402" t="str">
        <f>INDEX(Products!C:C,MATCH(OrdersTable[[#This Row],[Product ID]],Products!A:A,0))</f>
        <v>Haircare</v>
      </c>
      <c r="P1402">
        <v>2</v>
      </c>
      <c r="Q1402" s="5">
        <v>549</v>
      </c>
      <c r="R1402" s="74">
        <v>0.3</v>
      </c>
      <c r="S1402" s="75">
        <f>OrdersTable[[#This Row],[Quantity]]*OrdersTable[[#This Row],[Unit Price]]</f>
        <v>1098</v>
      </c>
      <c r="T1402" s="5">
        <f>OrdersTable[[#This Row],[Gross Sale]]*OrdersTable[[#This Row],[Discount_Clean2]]</f>
        <v>329.4</v>
      </c>
      <c r="U1402" s="5">
        <f>OrdersTable[[#This Row],[Gross Sale]]-OrdersTable[[#This Row],[Discount Amount]]</f>
        <v>768.6</v>
      </c>
      <c r="V1402" s="77">
        <f>INDEX(Products!E:E,MATCH(OrdersTable[[#This Row],[Product ID]],Products!A:A,0))</f>
        <v>170</v>
      </c>
      <c r="W1402" s="77">
        <f>OrdersTable[[#This Row],[Quantity]]*OrdersTable[[#This Row],[Unit Cost]]</f>
        <v>340</v>
      </c>
      <c r="X1402" s="77">
        <f>'Dropdown Lists'!$I$2*(1+OrdersTable[[#This Row],[Returned]])</f>
        <v>60</v>
      </c>
      <c r="Y1402" s="76">
        <f>OrdersTable[[#This Row],[Net Revenue]]-OrdersTable[[#This Row],[COGS]]-OrdersTable[[#This Row],[Shipping Cost]]</f>
        <v>368.6</v>
      </c>
      <c r="Z1402" s="78">
        <f>IFERROR(OrdersTable[[#This Row],[Profit]]/OrdersTable[[#This Row],[Net Revenue]],0)</f>
        <v>0.47957325006505336</v>
      </c>
      <c r="AA1402" t="s">
        <v>4074</v>
      </c>
      <c r="AB1402" s="79">
        <v>45572</v>
      </c>
      <c r="AC1402">
        <f>OrdersTable[[#This Row],[Delivery Date]]-OrdersTable[[#This Row],[Order Date]]</f>
        <v>5</v>
      </c>
      <c r="AD1402" t="str">
        <f>IF(OrdersTable[[#This Row],[Delivery Days]]&lt;=2, "Express (≤2d)", IF(OrdersTable[[#This Row],[Delivery Days]]&lt;=4, "Standard (3-4d)", "Delayed (5d+)"))</f>
        <v>Delayed (5d+)</v>
      </c>
      <c r="AE1402">
        <v>2</v>
      </c>
      <c r="AF1402">
        <v>0</v>
      </c>
    </row>
    <row r="1403" spans="1:32" ht="15" x14ac:dyDescent="0.35">
      <c r="A1403" t="s">
        <v>2099</v>
      </c>
      <c r="B1403" s="1">
        <v>45567</v>
      </c>
      <c r="C1403">
        <f>YEAR(OrdersTable[[#This Row],[Order Date]])</f>
        <v>2024</v>
      </c>
      <c r="D1403" s="2">
        <f>DATE(YEAR(OrdersTable[[#This Row],[Order Date]]),MONTH(OrdersTable[[#This Row],[Order Date]]),1)</f>
        <v>45566</v>
      </c>
      <c r="E1403">
        <f>MONTH(OrdersTable[[#This Row],[Order Date]])</f>
        <v>10</v>
      </c>
      <c r="F1403" t="s">
        <v>2100</v>
      </c>
      <c r="G1403" t="str">
        <f>IF(OrdersTable[[#This Row],[Order Date]]=_xlfn.MINIFS(Order_Date, Customer_ID, OrdersTable[[#This Row],[Customer ID]]), "New", "Repeat")</f>
        <v>Repeat</v>
      </c>
      <c r="H1403" t="s">
        <v>27</v>
      </c>
      <c r="I1403" t="str">
        <f>INDEX(State!B:B,MATCH(OrdersTable[[#This Row],[State]],State!A:A,0))</f>
        <v>WB</v>
      </c>
      <c r="J1403" t="str">
        <f>INDEX(State!C:C,MATCH(OrdersTable[[#This Row],[State Code]],State!B:B,0))</f>
        <v>East</v>
      </c>
      <c r="K1403" t="s">
        <v>28</v>
      </c>
      <c r="L1403" t="s">
        <v>65</v>
      </c>
      <c r="M1403" t="s">
        <v>24</v>
      </c>
      <c r="N1403" t="str">
        <f>INDEX(Products!B:B,MATCH(OrdersTable[[#This Row],[Product ID]],Products!A:A,0))</f>
        <v>Scented Candle Set</v>
      </c>
      <c r="O1403" t="str">
        <f>INDEX(Products!C:C,MATCH(OrdersTable[[#This Row],[Product ID]],Products!A:A,0))</f>
        <v>Home &amp; Kitchen</v>
      </c>
      <c r="P1403">
        <v>1</v>
      </c>
      <c r="Q1403" s="5">
        <v>699</v>
      </c>
      <c r="R1403" s="74">
        <v>0.25</v>
      </c>
      <c r="S1403" s="75">
        <f>OrdersTable[[#This Row],[Quantity]]*OrdersTable[[#This Row],[Unit Price]]</f>
        <v>699</v>
      </c>
      <c r="T1403" s="5">
        <f>OrdersTable[[#This Row],[Gross Sale]]*OrdersTable[[#This Row],[Discount_Clean2]]</f>
        <v>174.75</v>
      </c>
      <c r="U1403" s="5">
        <f>OrdersTable[[#This Row],[Gross Sale]]-OrdersTable[[#This Row],[Discount Amount]]</f>
        <v>524.25</v>
      </c>
      <c r="V1403" s="77">
        <f>INDEX(Products!E:E,MATCH(OrdersTable[[#This Row],[Product ID]],Products!A:A,0))</f>
        <v>245</v>
      </c>
      <c r="W1403" s="77">
        <f>OrdersTable[[#This Row],[Quantity]]*OrdersTable[[#This Row],[Unit Cost]]</f>
        <v>245</v>
      </c>
      <c r="X1403" s="77">
        <f>'Dropdown Lists'!$I$2*(1+OrdersTable[[#This Row],[Returned]])</f>
        <v>60</v>
      </c>
      <c r="Y1403" s="76">
        <f>OrdersTable[[#This Row],[Net Revenue]]-OrdersTable[[#This Row],[COGS]]-OrdersTable[[#This Row],[Shipping Cost]]</f>
        <v>219.25</v>
      </c>
      <c r="Z1403" s="78">
        <f>IFERROR(OrdersTable[[#This Row],[Profit]]/OrdersTable[[#This Row],[Net Revenue]],0)</f>
        <v>0.41821649976156416</v>
      </c>
      <c r="AA1403" t="s">
        <v>18</v>
      </c>
      <c r="AB1403" s="79">
        <v>45572</v>
      </c>
      <c r="AC1403">
        <f>OrdersTable[[#This Row],[Delivery Date]]-OrdersTable[[#This Row],[Order Date]]</f>
        <v>5</v>
      </c>
      <c r="AD1403" t="str">
        <f>IF(OrdersTable[[#This Row],[Delivery Days]]&lt;=2, "Express (≤2d)", IF(OrdersTable[[#This Row],[Delivery Days]]&lt;=4, "Standard (3-4d)", "Delayed (5d+)"))</f>
        <v>Delayed (5d+)</v>
      </c>
      <c r="AE1403">
        <v>3</v>
      </c>
      <c r="AF1403">
        <v>0</v>
      </c>
    </row>
    <row r="1404" spans="1:32" ht="15" x14ac:dyDescent="0.35">
      <c r="A1404" t="s">
        <v>5116</v>
      </c>
      <c r="B1404" s="1">
        <v>45567</v>
      </c>
      <c r="C1404">
        <f>YEAR(OrdersTable[[#This Row],[Order Date]])</f>
        <v>2024</v>
      </c>
      <c r="D1404" s="2">
        <f>DATE(YEAR(OrdersTable[[#This Row],[Order Date]]),MONTH(OrdersTable[[#This Row],[Order Date]]),1)</f>
        <v>45566</v>
      </c>
      <c r="E1404">
        <f>MONTH(OrdersTable[[#This Row],[Order Date]])</f>
        <v>10</v>
      </c>
      <c r="F1404" t="s">
        <v>5117</v>
      </c>
      <c r="G1404" t="str">
        <f>IF(OrdersTable[[#This Row],[Order Date]]=_xlfn.MINIFS(Order_Date, Customer_ID, OrdersTable[[#This Row],[Customer ID]]), "New", "Repeat")</f>
        <v>New</v>
      </c>
      <c r="H1404" t="s">
        <v>71</v>
      </c>
      <c r="I1404" t="str">
        <f>INDEX(State!B:B,MATCH(OrdersTable[[#This Row],[State]],State!A:A,0))</f>
        <v>MH</v>
      </c>
      <c r="J1404" t="str">
        <f>INDEX(State!C:C,MATCH(OrdersTable[[#This Row],[State Code]],State!B:B,0))</f>
        <v>West</v>
      </c>
      <c r="K1404" t="s">
        <v>72</v>
      </c>
      <c r="L1404" t="s">
        <v>65</v>
      </c>
      <c r="M1404" t="s">
        <v>148</v>
      </c>
      <c r="N1404" t="str">
        <f>INDEX(Products!B:B,MATCH(OrdersTable[[#This Row],[Product ID]],Products!A:A,0))</f>
        <v>Smartwatch Strap</v>
      </c>
      <c r="O1404" t="str">
        <f>INDEX(Products!C:C,MATCH(OrdersTable[[#This Row],[Product ID]],Products!A:A,0))</f>
        <v>Electronics</v>
      </c>
      <c r="P1404">
        <v>2</v>
      </c>
      <c r="Q1404" s="5">
        <v>499</v>
      </c>
      <c r="R1404" s="74">
        <v>0.3</v>
      </c>
      <c r="S1404" s="75">
        <f>OrdersTable[[#This Row],[Quantity]]*OrdersTable[[#This Row],[Unit Price]]</f>
        <v>998</v>
      </c>
      <c r="T1404" s="5">
        <f>OrdersTable[[#This Row],[Gross Sale]]*OrdersTable[[#This Row],[Discount_Clean2]]</f>
        <v>299.39999999999998</v>
      </c>
      <c r="U1404" s="5">
        <f>OrdersTable[[#This Row],[Gross Sale]]-OrdersTable[[#This Row],[Discount Amount]]</f>
        <v>698.6</v>
      </c>
      <c r="V1404" s="77">
        <f>INDEX(Products!E:E,MATCH(OrdersTable[[#This Row],[Product ID]],Products!A:A,0))</f>
        <v>200</v>
      </c>
      <c r="W1404" s="77">
        <f>OrdersTable[[#This Row],[Quantity]]*OrdersTable[[#This Row],[Unit Cost]]</f>
        <v>400</v>
      </c>
      <c r="X1404" s="77">
        <f>'Dropdown Lists'!$I$2*(1+OrdersTable[[#This Row],[Returned]])</f>
        <v>60</v>
      </c>
      <c r="Y1404" s="76">
        <f>OrdersTable[[#This Row],[Net Revenue]]-OrdersTable[[#This Row],[COGS]]-OrdersTable[[#This Row],[Shipping Cost]]</f>
        <v>238.60000000000002</v>
      </c>
      <c r="Z1404" s="78">
        <f>IFERROR(OrdersTable[[#This Row],[Profit]]/OrdersTable[[#This Row],[Net Revenue]],0)</f>
        <v>0.34154022330375039</v>
      </c>
      <c r="AA1404" t="s">
        <v>3495</v>
      </c>
      <c r="AB1404" s="79">
        <v>45569</v>
      </c>
      <c r="AC1404">
        <f>OrdersTable[[#This Row],[Delivery Date]]-OrdersTable[[#This Row],[Order Date]]</f>
        <v>2</v>
      </c>
      <c r="AD1404" t="str">
        <f>IF(OrdersTable[[#This Row],[Delivery Days]]&lt;=2, "Express (≤2d)", IF(OrdersTable[[#This Row],[Delivery Days]]&lt;=4, "Standard (3-4d)", "Delayed (5d+)"))</f>
        <v>Express (≤2d)</v>
      </c>
      <c r="AE1404">
        <v>4</v>
      </c>
      <c r="AF1404">
        <v>0</v>
      </c>
    </row>
    <row r="1405" spans="1:32" ht="15" x14ac:dyDescent="0.35">
      <c r="A1405" t="s">
        <v>5778</v>
      </c>
      <c r="B1405" s="1">
        <v>45567</v>
      </c>
      <c r="C1405">
        <f>YEAR(OrdersTable[[#This Row],[Order Date]])</f>
        <v>2024</v>
      </c>
      <c r="D1405" s="2">
        <f>DATE(YEAR(OrdersTable[[#This Row],[Order Date]]),MONTH(OrdersTable[[#This Row],[Order Date]]),1)</f>
        <v>45566</v>
      </c>
      <c r="E1405">
        <f>MONTH(OrdersTable[[#This Row],[Order Date]])</f>
        <v>10</v>
      </c>
      <c r="F1405" t="s">
        <v>2283</v>
      </c>
      <c r="G1405" t="str">
        <f>IF(OrdersTable[[#This Row],[Order Date]]=_xlfn.MINIFS(Order_Date, Customer_ID, OrdersTable[[#This Row],[Customer ID]]), "New", "Repeat")</f>
        <v>Repeat</v>
      </c>
      <c r="H1405" t="s">
        <v>95</v>
      </c>
      <c r="I1405" t="str">
        <f>INDEX(State!B:B,MATCH(OrdersTable[[#This Row],[State]],State!A:A,0))</f>
        <v>TG</v>
      </c>
      <c r="J1405" t="str">
        <f>INDEX(State!C:C,MATCH(OrdersTable[[#This Row],[State Code]],State!B:B,0))</f>
        <v>South</v>
      </c>
      <c r="K1405" t="s">
        <v>96</v>
      </c>
      <c r="L1405" t="s">
        <v>50</v>
      </c>
      <c r="M1405" t="s">
        <v>106</v>
      </c>
      <c r="N1405" t="str">
        <f>INDEX(Products!B:B,MATCH(OrdersTable[[#This Row],[Product ID]],Products!A:A,0))</f>
        <v>Keratin Hair Mask</v>
      </c>
      <c r="O1405" t="str">
        <f>INDEX(Products!C:C,MATCH(OrdersTable[[#This Row],[Product ID]],Products!A:A,0))</f>
        <v>Haircare</v>
      </c>
      <c r="P1405">
        <v>2</v>
      </c>
      <c r="Q1405" s="5">
        <v>549</v>
      </c>
      <c r="R1405" s="74">
        <v>0.4</v>
      </c>
      <c r="S1405" s="75">
        <f>OrdersTable[[#This Row],[Quantity]]*OrdersTable[[#This Row],[Unit Price]]</f>
        <v>1098</v>
      </c>
      <c r="T1405" s="5">
        <f>OrdersTable[[#This Row],[Gross Sale]]*OrdersTable[[#This Row],[Discount_Clean2]]</f>
        <v>439.20000000000005</v>
      </c>
      <c r="U1405" s="5">
        <f>OrdersTable[[#This Row],[Gross Sale]]-OrdersTable[[#This Row],[Discount Amount]]</f>
        <v>658.8</v>
      </c>
      <c r="V1405" s="77">
        <f>INDEX(Products!E:E,MATCH(OrdersTable[[#This Row],[Product ID]],Products!A:A,0))</f>
        <v>170</v>
      </c>
      <c r="W1405" s="77">
        <f>OrdersTable[[#This Row],[Quantity]]*OrdersTable[[#This Row],[Unit Cost]]</f>
        <v>340</v>
      </c>
      <c r="X1405" s="77">
        <f>'Dropdown Lists'!$I$2*(1+OrdersTable[[#This Row],[Returned]])</f>
        <v>60</v>
      </c>
      <c r="Y1405" s="76">
        <f>OrdersTable[[#This Row],[Net Revenue]]-OrdersTable[[#This Row],[COGS]]-OrdersTable[[#This Row],[Shipping Cost]]</f>
        <v>258.79999999999995</v>
      </c>
      <c r="Z1405" s="78">
        <f>IFERROR(OrdersTable[[#This Row],[Profit]]/OrdersTable[[#This Row],[Net Revenue]],0)</f>
        <v>0.39283545840922884</v>
      </c>
      <c r="AA1405" t="s">
        <v>18</v>
      </c>
      <c r="AB1405" s="79">
        <v>45569</v>
      </c>
      <c r="AC1405">
        <f>OrdersTable[[#This Row],[Delivery Date]]-OrdersTable[[#This Row],[Order Date]]</f>
        <v>2</v>
      </c>
      <c r="AD1405" t="str">
        <f>IF(OrdersTable[[#This Row],[Delivery Days]]&lt;=2, "Express (≤2d)", IF(OrdersTable[[#This Row],[Delivery Days]]&lt;=4, "Standard (3-4d)", "Delayed (5d+)"))</f>
        <v>Express (≤2d)</v>
      </c>
      <c r="AE1405">
        <v>5</v>
      </c>
      <c r="AF1405">
        <v>0</v>
      </c>
    </row>
    <row r="1406" spans="1:32" ht="15" x14ac:dyDescent="0.35">
      <c r="A1406" t="s">
        <v>2314</v>
      </c>
      <c r="B1406" s="1">
        <v>45567</v>
      </c>
      <c r="C1406">
        <f>YEAR(OrdersTable[[#This Row],[Order Date]])</f>
        <v>2024</v>
      </c>
      <c r="D1406" s="2">
        <f>DATE(YEAR(OrdersTable[[#This Row],[Order Date]]),MONTH(OrdersTable[[#This Row],[Order Date]]),1)</f>
        <v>45566</v>
      </c>
      <c r="E1406">
        <f>MONTH(OrdersTable[[#This Row],[Order Date]])</f>
        <v>10</v>
      </c>
      <c r="F1406" t="s">
        <v>1104</v>
      </c>
      <c r="G1406" t="str">
        <f>IF(OrdersTable[[#This Row],[Order Date]]=_xlfn.MINIFS(Order_Date, Customer_ID, OrdersTable[[#This Row],[Customer ID]]), "New", "Repeat")</f>
        <v>New</v>
      </c>
      <c r="H1406" t="s">
        <v>95</v>
      </c>
      <c r="I1406" t="str">
        <f>INDEX(State!B:B,MATCH(OrdersTable[[#This Row],[State]],State!A:A,0))</f>
        <v>TG</v>
      </c>
      <c r="J1406" t="str">
        <f>INDEX(State!C:C,MATCH(OrdersTable[[#This Row],[State Code]],State!B:B,0))</f>
        <v>South</v>
      </c>
      <c r="K1406" t="s">
        <v>96</v>
      </c>
      <c r="L1406" t="s">
        <v>50</v>
      </c>
      <c r="M1406" t="s">
        <v>179</v>
      </c>
      <c r="N1406" t="str">
        <f>INDEX(Products!B:B,MATCH(OrdersTable[[#This Row],[Product ID]],Products!A:A,0))</f>
        <v>Whey Protein 1kg</v>
      </c>
      <c r="O1406" t="str">
        <f>INDEX(Products!C:C,MATCH(OrdersTable[[#This Row],[Product ID]],Products!A:A,0))</f>
        <v>Wellness</v>
      </c>
      <c r="P1406">
        <v>1</v>
      </c>
      <c r="Q1406" s="5">
        <v>2299</v>
      </c>
      <c r="R1406" s="74">
        <v>0.5</v>
      </c>
      <c r="S1406" s="75">
        <f>OrdersTable[[#This Row],[Quantity]]*OrdersTable[[#This Row],[Unit Price]]</f>
        <v>2299</v>
      </c>
      <c r="T1406" s="5">
        <f>OrdersTable[[#This Row],[Gross Sale]]*OrdersTable[[#This Row],[Discount_Clean2]]</f>
        <v>1149.5</v>
      </c>
      <c r="U1406" s="5">
        <f>OrdersTable[[#This Row],[Gross Sale]]-OrdersTable[[#This Row],[Discount Amount]]</f>
        <v>1149.5</v>
      </c>
      <c r="V1406" s="77">
        <f>INDEX(Products!E:E,MATCH(OrdersTable[[#This Row],[Product ID]],Products!A:A,0))</f>
        <v>1333</v>
      </c>
      <c r="W1406" s="77">
        <f>OrdersTable[[#This Row],[Quantity]]*OrdersTable[[#This Row],[Unit Cost]]</f>
        <v>1333</v>
      </c>
      <c r="X1406" s="77">
        <f>'Dropdown Lists'!$I$2*(1+OrdersTable[[#This Row],[Returned]])</f>
        <v>60</v>
      </c>
      <c r="Y1406" s="76">
        <f>OrdersTable[[#This Row],[Net Revenue]]-OrdersTable[[#This Row],[COGS]]-OrdersTable[[#This Row],[Shipping Cost]]</f>
        <v>-243.5</v>
      </c>
      <c r="Z1406" s="78">
        <f>IFERROR(OrdersTable[[#This Row],[Profit]]/OrdersTable[[#This Row],[Net Revenue]],0)</f>
        <v>-0.21183123096998696</v>
      </c>
      <c r="AA1406" t="s">
        <v>18</v>
      </c>
      <c r="AB1406" s="79">
        <v>45568</v>
      </c>
      <c r="AC1406">
        <f>OrdersTable[[#This Row],[Delivery Date]]-OrdersTable[[#This Row],[Order Date]]</f>
        <v>1</v>
      </c>
      <c r="AD1406" t="str">
        <f>IF(OrdersTable[[#This Row],[Delivery Days]]&lt;=2, "Express (≤2d)", IF(OrdersTable[[#This Row],[Delivery Days]]&lt;=4, "Standard (3-4d)", "Delayed (5d+)"))</f>
        <v>Express (≤2d)</v>
      </c>
      <c r="AE1406">
        <v>5</v>
      </c>
      <c r="AF1406">
        <v>0</v>
      </c>
    </row>
    <row r="1407" spans="1:32" ht="15" x14ac:dyDescent="0.35">
      <c r="A1407" t="s">
        <v>2315</v>
      </c>
      <c r="B1407" s="1">
        <v>45567</v>
      </c>
      <c r="C1407">
        <f>YEAR(OrdersTable[[#This Row],[Order Date]])</f>
        <v>2024</v>
      </c>
      <c r="D1407" s="2">
        <f>DATE(YEAR(OrdersTable[[#This Row],[Order Date]]),MONTH(OrdersTable[[#This Row],[Order Date]]),1)</f>
        <v>45566</v>
      </c>
      <c r="E1407">
        <f>MONTH(OrdersTable[[#This Row],[Order Date]])</f>
        <v>10</v>
      </c>
      <c r="F1407" t="s">
        <v>2316</v>
      </c>
      <c r="G1407" t="str">
        <f>IF(OrdersTable[[#This Row],[Order Date]]=_xlfn.MINIFS(Order_Date, Customer_ID, OrdersTable[[#This Row],[Customer ID]]), "New", "Repeat")</f>
        <v>New</v>
      </c>
      <c r="H1407" t="s">
        <v>167</v>
      </c>
      <c r="I1407" t="str">
        <f>INDEX(State!B:B,MATCH(OrdersTable[[#This Row],[State]],State!A:A,0))</f>
        <v>KA</v>
      </c>
      <c r="J1407" t="str">
        <f>INDEX(State!C:C,MATCH(OrdersTable[[#This Row],[State Code]],State!B:B,0))</f>
        <v>South</v>
      </c>
      <c r="K1407" t="s">
        <v>168</v>
      </c>
      <c r="L1407" t="s">
        <v>23</v>
      </c>
      <c r="M1407" t="s">
        <v>73</v>
      </c>
      <c r="N1407" t="str">
        <f>INDEX(Products!B:B,MATCH(OrdersTable[[#This Row],[Product ID]],Products!A:A,0))</f>
        <v>Hydrating Face Wash</v>
      </c>
      <c r="O1407" t="str">
        <f>INDEX(Products!C:C,MATCH(OrdersTable[[#This Row],[Product ID]],Products!A:A,0))</f>
        <v>Skincare</v>
      </c>
      <c r="P1407">
        <v>1</v>
      </c>
      <c r="Q1407" s="5">
        <v>299</v>
      </c>
      <c r="R1407" s="74">
        <v>0.05</v>
      </c>
      <c r="S1407" s="75">
        <f>OrdersTable[[#This Row],[Quantity]]*OrdersTable[[#This Row],[Unit Price]]</f>
        <v>299</v>
      </c>
      <c r="T1407" s="5">
        <f>OrdersTable[[#This Row],[Gross Sale]]*OrdersTable[[#This Row],[Discount_Clean2]]</f>
        <v>14.950000000000001</v>
      </c>
      <c r="U1407" s="5">
        <f>OrdersTable[[#This Row],[Gross Sale]]-OrdersTable[[#This Row],[Discount Amount]]</f>
        <v>284.05</v>
      </c>
      <c r="V1407" s="77">
        <f>INDEX(Products!E:E,MATCH(OrdersTable[[#This Row],[Product ID]],Products!A:A,0))</f>
        <v>90</v>
      </c>
      <c r="W1407" s="77">
        <f>OrdersTable[[#This Row],[Quantity]]*OrdersTable[[#This Row],[Unit Cost]]</f>
        <v>90</v>
      </c>
      <c r="X1407" s="77">
        <f>'Dropdown Lists'!$I$2*(1+OrdersTable[[#This Row],[Returned]])</f>
        <v>60</v>
      </c>
      <c r="Y1407" s="76">
        <f>OrdersTable[[#This Row],[Net Revenue]]-OrdersTable[[#This Row],[COGS]]-OrdersTable[[#This Row],[Shipping Cost]]</f>
        <v>134.05000000000001</v>
      </c>
      <c r="Z1407" s="78">
        <f>IFERROR(OrdersTable[[#This Row],[Profit]]/OrdersTable[[#This Row],[Net Revenue]],0)</f>
        <v>0.47192395704981521</v>
      </c>
      <c r="AA1407" t="s">
        <v>18</v>
      </c>
      <c r="AB1407" s="79">
        <v>45570</v>
      </c>
      <c r="AC1407">
        <f>OrdersTable[[#This Row],[Delivery Date]]-OrdersTable[[#This Row],[Order Date]]</f>
        <v>3</v>
      </c>
      <c r="AD1407" t="str">
        <f>IF(OrdersTable[[#This Row],[Delivery Days]]&lt;=2, "Express (≤2d)", IF(OrdersTable[[#This Row],[Delivery Days]]&lt;=4, "Standard (3-4d)", "Delayed (5d+)"))</f>
        <v>Standard (3-4d)</v>
      </c>
      <c r="AE1407">
        <v>5</v>
      </c>
      <c r="AF1407">
        <v>0</v>
      </c>
    </row>
    <row r="1408" spans="1:32" ht="15" x14ac:dyDescent="0.35">
      <c r="A1408" t="s">
        <v>3423</v>
      </c>
      <c r="B1408" s="1">
        <v>45568</v>
      </c>
      <c r="C1408">
        <f>YEAR(OrdersTable[[#This Row],[Order Date]])</f>
        <v>2024</v>
      </c>
      <c r="D1408" s="2">
        <f>DATE(YEAR(OrdersTable[[#This Row],[Order Date]]),MONTH(OrdersTable[[#This Row],[Order Date]]),1)</f>
        <v>45566</v>
      </c>
      <c r="E1408">
        <f>MONTH(OrdersTable[[#This Row],[Order Date]])</f>
        <v>10</v>
      </c>
      <c r="F1408" t="s">
        <v>3332</v>
      </c>
      <c r="G1408" t="str">
        <f>IF(OrdersTable[[#This Row],[Order Date]]=_xlfn.MINIFS(Order_Date, Customer_ID, OrdersTable[[#This Row],[Customer ID]]), "New", "Repeat")</f>
        <v>New</v>
      </c>
      <c r="H1408" t="s">
        <v>184</v>
      </c>
      <c r="I1408" t="str">
        <f>INDEX(State!B:B,MATCH(OrdersTable[[#This Row],[State]],State!A:A,0))</f>
        <v>UK</v>
      </c>
      <c r="J1408" t="str">
        <f>INDEX(State!C:C,MATCH(OrdersTable[[#This Row],[State Code]],State!B:B,0))</f>
        <v>North</v>
      </c>
      <c r="K1408" t="s">
        <v>185</v>
      </c>
      <c r="L1408" t="s">
        <v>65</v>
      </c>
      <c r="M1408" t="s">
        <v>176</v>
      </c>
      <c r="N1408" t="str">
        <f>INDEX(Products!B:B,MATCH(OrdersTable[[#This Row],[Product ID]],Products!A:A,0))</f>
        <v>Denim Jacket</v>
      </c>
      <c r="O1408" t="str">
        <f>INDEX(Products!C:C,MATCH(OrdersTable[[#This Row],[Product ID]],Products!A:A,0))</f>
        <v>Apparel</v>
      </c>
      <c r="P1408">
        <v>1</v>
      </c>
      <c r="Q1408" s="5">
        <v>2499</v>
      </c>
      <c r="R1408" s="74">
        <v>0.1</v>
      </c>
      <c r="S1408" s="75">
        <f>OrdersTable[[#This Row],[Quantity]]*OrdersTable[[#This Row],[Unit Price]]</f>
        <v>2499</v>
      </c>
      <c r="T1408" s="5">
        <f>OrdersTable[[#This Row],[Gross Sale]]*OrdersTable[[#This Row],[Discount_Clean2]]</f>
        <v>249.9</v>
      </c>
      <c r="U1408" s="5">
        <f>OrdersTable[[#This Row],[Gross Sale]]-OrdersTable[[#This Row],[Discount Amount]]</f>
        <v>2249.1</v>
      </c>
      <c r="V1408" s="77">
        <f>INDEX(Products!E:E,MATCH(OrdersTable[[#This Row],[Product ID]],Products!A:A,0))</f>
        <v>1125</v>
      </c>
      <c r="W1408" s="77">
        <f>OrdersTable[[#This Row],[Quantity]]*OrdersTable[[#This Row],[Unit Cost]]</f>
        <v>1125</v>
      </c>
      <c r="X1408" s="77">
        <f>'Dropdown Lists'!$I$2*(1+OrdersTable[[#This Row],[Returned]])</f>
        <v>60</v>
      </c>
      <c r="Y1408" s="76">
        <f>OrdersTable[[#This Row],[Net Revenue]]-OrdersTable[[#This Row],[COGS]]-OrdersTable[[#This Row],[Shipping Cost]]</f>
        <v>1064.0999999999999</v>
      </c>
      <c r="Z1408" s="78">
        <f>IFERROR(OrdersTable[[#This Row],[Profit]]/OrdersTable[[#This Row],[Net Revenue]],0)</f>
        <v>0.4731225823662798</v>
      </c>
      <c r="AA1408" t="s">
        <v>2522</v>
      </c>
      <c r="AB1408" s="79">
        <v>45573</v>
      </c>
      <c r="AC1408">
        <f>OrdersTable[[#This Row],[Delivery Date]]-OrdersTable[[#This Row],[Order Date]]</f>
        <v>5</v>
      </c>
      <c r="AD1408" t="str">
        <f>IF(OrdersTable[[#This Row],[Delivery Days]]&lt;=2, "Express (≤2d)", IF(OrdersTable[[#This Row],[Delivery Days]]&lt;=4, "Standard (3-4d)", "Delayed (5d+)"))</f>
        <v>Delayed (5d+)</v>
      </c>
      <c r="AE1408">
        <v>4</v>
      </c>
      <c r="AF1408">
        <v>0</v>
      </c>
    </row>
    <row r="1409" spans="1:32" ht="15" x14ac:dyDescent="0.35">
      <c r="A1409" t="s">
        <v>3564</v>
      </c>
      <c r="B1409" s="1">
        <v>45568</v>
      </c>
      <c r="C1409">
        <f>YEAR(OrdersTable[[#This Row],[Order Date]])</f>
        <v>2024</v>
      </c>
      <c r="D1409" s="2">
        <f>DATE(YEAR(OrdersTable[[#This Row],[Order Date]]),MONTH(OrdersTable[[#This Row],[Order Date]]),1)</f>
        <v>45566</v>
      </c>
      <c r="E1409">
        <f>MONTH(OrdersTable[[#This Row],[Order Date]])</f>
        <v>10</v>
      </c>
      <c r="F1409" t="s">
        <v>1129</v>
      </c>
      <c r="G1409" t="str">
        <f>IF(OrdersTable[[#This Row],[Order Date]]=_xlfn.MINIFS(Order_Date, Customer_ID, OrdersTable[[#This Row],[Customer ID]]), "New", "Repeat")</f>
        <v>Repeat</v>
      </c>
      <c r="H1409" t="s">
        <v>123</v>
      </c>
      <c r="I1409" t="str">
        <f>INDEX(State!B:B,MATCH(OrdersTable[[#This Row],[State]],State!A:A,0))</f>
        <v>JH</v>
      </c>
      <c r="J1409" t="str">
        <f>INDEX(State!C:C,MATCH(OrdersTable[[#This Row],[State Code]],State!B:B,0))</f>
        <v>East</v>
      </c>
      <c r="K1409" t="s">
        <v>124</v>
      </c>
      <c r="L1409" t="s">
        <v>50</v>
      </c>
      <c r="M1409" t="s">
        <v>45</v>
      </c>
      <c r="N1409" t="str">
        <f>INDEX(Products!B:B,MATCH(OrdersTable[[#This Row],[Product ID]],Products!A:A,0))</f>
        <v>Argan Shampoo</v>
      </c>
      <c r="O1409" t="str">
        <f>INDEX(Products!C:C,MATCH(OrdersTable[[#This Row],[Product ID]],Products!A:A,0))</f>
        <v>Haircare</v>
      </c>
      <c r="P1409">
        <v>1</v>
      </c>
      <c r="Q1409" s="5">
        <v>449</v>
      </c>
      <c r="R1409" s="74">
        <v>0.2</v>
      </c>
      <c r="S1409" s="75">
        <f>OrdersTable[[#This Row],[Quantity]]*OrdersTable[[#This Row],[Unit Price]]</f>
        <v>449</v>
      </c>
      <c r="T1409" s="5">
        <f>OrdersTable[[#This Row],[Gross Sale]]*OrdersTable[[#This Row],[Discount_Clean2]]</f>
        <v>89.800000000000011</v>
      </c>
      <c r="U1409" s="5">
        <f>OrdersTable[[#This Row],[Gross Sale]]-OrdersTable[[#This Row],[Discount Amount]]</f>
        <v>359.2</v>
      </c>
      <c r="V1409" s="77">
        <f>INDEX(Products!E:E,MATCH(OrdersTable[[#This Row],[Product ID]],Products!A:A,0))</f>
        <v>148</v>
      </c>
      <c r="W1409" s="77">
        <f>OrdersTable[[#This Row],[Quantity]]*OrdersTable[[#This Row],[Unit Cost]]</f>
        <v>148</v>
      </c>
      <c r="X1409" s="77">
        <f>'Dropdown Lists'!$I$2*(1+OrdersTable[[#This Row],[Returned]])</f>
        <v>60</v>
      </c>
      <c r="Y1409" s="76">
        <f>OrdersTable[[#This Row],[Net Revenue]]-OrdersTable[[#This Row],[COGS]]-OrdersTable[[#This Row],[Shipping Cost]]</f>
        <v>151.19999999999999</v>
      </c>
      <c r="Z1409" s="78">
        <f>IFERROR(OrdersTable[[#This Row],[Profit]]/OrdersTable[[#This Row],[Net Revenue]],0)</f>
        <v>0.42093541202672602</v>
      </c>
      <c r="AA1409" t="s">
        <v>3495</v>
      </c>
      <c r="AB1409" s="79">
        <v>45572</v>
      </c>
      <c r="AC1409">
        <f>OrdersTable[[#This Row],[Delivery Date]]-OrdersTable[[#This Row],[Order Date]]</f>
        <v>4</v>
      </c>
      <c r="AD1409" t="str">
        <f>IF(OrdersTable[[#This Row],[Delivery Days]]&lt;=2, "Express (≤2d)", IF(OrdersTable[[#This Row],[Delivery Days]]&lt;=4, "Standard (3-4d)", "Delayed (5d+)"))</f>
        <v>Standard (3-4d)</v>
      </c>
      <c r="AE1409">
        <v>4</v>
      </c>
      <c r="AF1409">
        <v>0</v>
      </c>
    </row>
    <row r="1410" spans="1:32" ht="15" x14ac:dyDescent="0.35">
      <c r="A1410" t="s">
        <v>5349</v>
      </c>
      <c r="B1410" s="1">
        <v>45568</v>
      </c>
      <c r="C1410">
        <f>YEAR(OrdersTable[[#This Row],[Order Date]])</f>
        <v>2024</v>
      </c>
      <c r="D1410" s="2">
        <f>DATE(YEAR(OrdersTable[[#This Row],[Order Date]]),MONTH(OrdersTable[[#This Row],[Order Date]]),1)</f>
        <v>45566</v>
      </c>
      <c r="E1410">
        <f>MONTH(OrdersTable[[#This Row],[Order Date]])</f>
        <v>10</v>
      </c>
      <c r="F1410" t="s">
        <v>2197</v>
      </c>
      <c r="G1410" t="str">
        <f>IF(OrdersTable[[#This Row],[Order Date]]=_xlfn.MINIFS(Order_Date, Customer_ID, OrdersTable[[#This Row],[Customer ID]]), "New", "Repeat")</f>
        <v>Repeat</v>
      </c>
      <c r="H1410" t="s">
        <v>275</v>
      </c>
      <c r="I1410" t="str">
        <f>INDEX(State!B:B,MATCH(OrdersTable[[#This Row],[State]],State!A:A,0))</f>
        <v>AP</v>
      </c>
      <c r="J1410" t="str">
        <f>INDEX(State!C:C,MATCH(OrdersTable[[#This Row],[State Code]],State!B:B,0))</f>
        <v>South</v>
      </c>
      <c r="K1410" t="s">
        <v>491</v>
      </c>
      <c r="L1410" t="s">
        <v>23</v>
      </c>
      <c r="M1410" t="s">
        <v>40</v>
      </c>
      <c r="N1410" t="str">
        <f>INDEX(Products!B:B,MATCH(OrdersTable[[#This Row],[Product ID]],Products!A:A,0))</f>
        <v>Ashwagandha Capsules</v>
      </c>
      <c r="O1410" t="str">
        <f>INDEX(Products!C:C,MATCH(OrdersTable[[#This Row],[Product ID]],Products!A:A,0))</f>
        <v>Wellness</v>
      </c>
      <c r="P1410">
        <v>2</v>
      </c>
      <c r="Q1410" s="5">
        <v>499</v>
      </c>
      <c r="R1410" s="74">
        <v>0.05</v>
      </c>
      <c r="S1410" s="75">
        <f>OrdersTable[[#This Row],[Quantity]]*OrdersTable[[#This Row],[Unit Price]]</f>
        <v>998</v>
      </c>
      <c r="T1410" s="5">
        <f>OrdersTable[[#This Row],[Gross Sale]]*OrdersTable[[#This Row],[Discount_Clean2]]</f>
        <v>49.900000000000006</v>
      </c>
      <c r="U1410" s="5">
        <f>OrdersTable[[#This Row],[Gross Sale]]-OrdersTable[[#This Row],[Discount Amount]]</f>
        <v>948.1</v>
      </c>
      <c r="V1410" s="77">
        <f>INDEX(Products!E:E,MATCH(OrdersTable[[#This Row],[Product ID]],Products!A:A,0))</f>
        <v>150</v>
      </c>
      <c r="W1410" s="77">
        <f>OrdersTable[[#This Row],[Quantity]]*OrdersTable[[#This Row],[Unit Cost]]</f>
        <v>300</v>
      </c>
      <c r="X1410" s="77">
        <f>'Dropdown Lists'!$I$2*(1+OrdersTable[[#This Row],[Returned]])</f>
        <v>60</v>
      </c>
      <c r="Y1410" s="76">
        <f>OrdersTable[[#This Row],[Net Revenue]]-OrdersTable[[#This Row],[COGS]]-OrdersTable[[#This Row],[Shipping Cost]]</f>
        <v>588.1</v>
      </c>
      <c r="Z1410" s="78">
        <f>IFERROR(OrdersTable[[#This Row],[Profit]]/OrdersTable[[#This Row],[Net Revenue]],0)</f>
        <v>0.62029321801497728</v>
      </c>
      <c r="AA1410" t="s">
        <v>2522</v>
      </c>
      <c r="AB1410" s="79">
        <v>45574</v>
      </c>
      <c r="AC1410">
        <f>OrdersTable[[#This Row],[Delivery Date]]-OrdersTable[[#This Row],[Order Date]]</f>
        <v>6</v>
      </c>
      <c r="AD1410" t="str">
        <f>IF(OrdersTable[[#This Row],[Delivery Days]]&lt;=2, "Express (≤2d)", IF(OrdersTable[[#This Row],[Delivery Days]]&lt;=4, "Standard (3-4d)", "Delayed (5d+)"))</f>
        <v>Delayed (5d+)</v>
      </c>
      <c r="AF1410">
        <v>0</v>
      </c>
    </row>
    <row r="1411" spans="1:32" ht="15" x14ac:dyDescent="0.35">
      <c r="A1411" t="s">
        <v>191</v>
      </c>
      <c r="B1411" s="1">
        <v>45569</v>
      </c>
      <c r="C1411">
        <f>YEAR(OrdersTable[[#This Row],[Order Date]])</f>
        <v>2024</v>
      </c>
      <c r="D1411" s="2">
        <f>DATE(YEAR(OrdersTable[[#This Row],[Order Date]]),MONTH(OrdersTable[[#This Row],[Order Date]]),1)</f>
        <v>45566</v>
      </c>
      <c r="E1411">
        <f>MONTH(OrdersTable[[#This Row],[Order Date]])</f>
        <v>10</v>
      </c>
      <c r="F1411" t="s">
        <v>192</v>
      </c>
      <c r="G1411" t="str">
        <f>IF(OrdersTable[[#This Row],[Order Date]]=_xlfn.MINIFS(Order_Date, Customer_ID, OrdersTable[[#This Row],[Customer ID]]), "New", "Repeat")</f>
        <v>New</v>
      </c>
      <c r="H1411" t="s">
        <v>132</v>
      </c>
      <c r="I1411" t="str">
        <f>INDEX(State!B:B,MATCH(OrdersTable[[#This Row],[State]],State!A:A,0))</f>
        <v>AS</v>
      </c>
      <c r="J1411" t="str">
        <f>INDEX(State!C:C,MATCH(OrdersTable[[#This Row],[State Code]],State!B:B,0))</f>
        <v>East</v>
      </c>
      <c r="K1411" t="s">
        <v>133</v>
      </c>
      <c r="L1411" t="s">
        <v>65</v>
      </c>
      <c r="M1411" t="s">
        <v>92</v>
      </c>
      <c r="N1411" t="str">
        <f>INDEX(Products!B:B,MATCH(OrdersTable[[#This Row],[Product ID]],Products!A:A,0))</f>
        <v>Kolhapuri Sandals</v>
      </c>
      <c r="O1411" t="str">
        <f>INDEX(Products!C:C,MATCH(OrdersTable[[#This Row],[Product ID]],Products!A:A,0))</f>
        <v>Footwear</v>
      </c>
      <c r="P1411">
        <v>1</v>
      </c>
      <c r="Q1411" s="5">
        <v>999</v>
      </c>
      <c r="R1411" s="74">
        <v>0.2</v>
      </c>
      <c r="S1411" s="75">
        <f>OrdersTable[[#This Row],[Quantity]]*OrdersTable[[#This Row],[Unit Price]]</f>
        <v>999</v>
      </c>
      <c r="T1411" s="5">
        <f>OrdersTable[[#This Row],[Gross Sale]]*OrdersTable[[#This Row],[Discount_Clean2]]</f>
        <v>199.8</v>
      </c>
      <c r="U1411" s="5">
        <f>OrdersTable[[#This Row],[Gross Sale]]-OrdersTable[[#This Row],[Discount Amount]]</f>
        <v>799.2</v>
      </c>
      <c r="V1411" s="77">
        <f>INDEX(Products!E:E,MATCH(OrdersTable[[#This Row],[Product ID]],Products!A:A,0))</f>
        <v>400</v>
      </c>
      <c r="W1411" s="77">
        <f>OrdersTable[[#This Row],[Quantity]]*OrdersTable[[#This Row],[Unit Cost]]</f>
        <v>400</v>
      </c>
      <c r="X1411" s="77">
        <f>'Dropdown Lists'!$I$2*(1+OrdersTable[[#This Row],[Returned]])</f>
        <v>60</v>
      </c>
      <c r="Y1411" s="76">
        <f>OrdersTable[[#This Row],[Net Revenue]]-OrdersTable[[#This Row],[COGS]]-OrdersTable[[#This Row],[Shipping Cost]]</f>
        <v>339.20000000000005</v>
      </c>
      <c r="Z1411" s="78">
        <f>IFERROR(OrdersTable[[#This Row],[Profit]]/OrdersTable[[#This Row],[Net Revenue]],0)</f>
        <v>0.42442442442442446</v>
      </c>
      <c r="AA1411" t="s">
        <v>18</v>
      </c>
      <c r="AB1411" s="79">
        <v>45578</v>
      </c>
      <c r="AC1411">
        <f>OrdersTable[[#This Row],[Delivery Date]]-OrdersTable[[#This Row],[Order Date]]</f>
        <v>9</v>
      </c>
      <c r="AD1411" t="str">
        <f>IF(OrdersTable[[#This Row],[Delivery Days]]&lt;=2, "Express (≤2d)", IF(OrdersTable[[#This Row],[Delivery Days]]&lt;=4, "Standard (3-4d)", "Delayed (5d+)"))</f>
        <v>Delayed (5d+)</v>
      </c>
      <c r="AE1411">
        <v>4</v>
      </c>
      <c r="AF1411">
        <v>0</v>
      </c>
    </row>
    <row r="1412" spans="1:32" ht="15" x14ac:dyDescent="0.35">
      <c r="A1412" t="s">
        <v>6087</v>
      </c>
      <c r="B1412" s="1">
        <v>45569</v>
      </c>
      <c r="C1412">
        <f>YEAR(OrdersTable[[#This Row],[Order Date]])</f>
        <v>2024</v>
      </c>
      <c r="D1412" s="2">
        <f>DATE(YEAR(OrdersTable[[#This Row],[Order Date]]),MONTH(OrdersTable[[#This Row],[Order Date]]),1)</f>
        <v>45566</v>
      </c>
      <c r="E1412">
        <f>MONTH(OrdersTable[[#This Row],[Order Date]])</f>
        <v>10</v>
      </c>
      <c r="F1412" t="s">
        <v>2538</v>
      </c>
      <c r="G1412" t="str">
        <f>IF(OrdersTable[[#This Row],[Order Date]]=_xlfn.MINIFS(Order_Date, Customer_ID, OrdersTable[[#This Row],[Customer ID]]), "New", "Repeat")</f>
        <v>Repeat</v>
      </c>
      <c r="H1412" t="s">
        <v>43</v>
      </c>
      <c r="I1412" t="str">
        <f>INDEX(State!B:B,MATCH(OrdersTable[[#This Row],[State]],State!A:A,0))</f>
        <v>MP</v>
      </c>
      <c r="J1412" t="str">
        <f>INDEX(State!C:C,MATCH(OrdersTable[[#This Row],[State Code]],State!B:B,0))</f>
        <v>West</v>
      </c>
      <c r="K1412" t="s">
        <v>44</v>
      </c>
      <c r="L1412" t="s">
        <v>16</v>
      </c>
      <c r="M1412" t="s">
        <v>87</v>
      </c>
      <c r="N1412" t="str">
        <f>INDEX(Products!B:B,MATCH(OrdersTable[[#This Row],[Product ID]],Products!A:A,0))</f>
        <v>Linen Kurta</v>
      </c>
      <c r="O1412" t="str">
        <f>INDEX(Products!C:C,MATCH(OrdersTable[[#This Row],[Product ID]],Products!A:A,0))</f>
        <v>Apparel</v>
      </c>
      <c r="P1412">
        <v>2</v>
      </c>
      <c r="Q1412" s="5">
        <v>1499</v>
      </c>
      <c r="R1412" s="74">
        <v>0.4</v>
      </c>
      <c r="S1412" s="75">
        <f>OrdersTable[[#This Row],[Quantity]]*OrdersTable[[#This Row],[Unit Price]]</f>
        <v>2998</v>
      </c>
      <c r="T1412" s="5">
        <f>OrdersTable[[#This Row],[Gross Sale]]*OrdersTable[[#This Row],[Discount_Clean2]]</f>
        <v>1199.2</v>
      </c>
      <c r="U1412" s="5">
        <f>OrdersTable[[#This Row],[Gross Sale]]-OrdersTable[[#This Row],[Discount Amount]]</f>
        <v>1798.8</v>
      </c>
      <c r="V1412" s="77">
        <f>INDEX(Products!E:E,MATCH(OrdersTable[[#This Row],[Product ID]],Products!A:A,0))</f>
        <v>630</v>
      </c>
      <c r="W1412" s="77">
        <f>OrdersTable[[#This Row],[Quantity]]*OrdersTable[[#This Row],[Unit Cost]]</f>
        <v>1260</v>
      </c>
      <c r="X1412" s="77">
        <f>'Dropdown Lists'!$I$2*(1+OrdersTable[[#This Row],[Returned]])</f>
        <v>60</v>
      </c>
      <c r="Y1412" s="76">
        <f>OrdersTable[[#This Row],[Net Revenue]]-OrdersTable[[#This Row],[COGS]]-OrdersTable[[#This Row],[Shipping Cost]]</f>
        <v>478.79999999999995</v>
      </c>
      <c r="Z1412" s="78">
        <f>IFERROR(OrdersTable[[#This Row],[Profit]]/OrdersTable[[#This Row],[Net Revenue]],0)</f>
        <v>0.26617745163442291</v>
      </c>
      <c r="AA1412" t="s">
        <v>18</v>
      </c>
      <c r="AB1412" s="79">
        <v>45572</v>
      </c>
      <c r="AC1412">
        <f>OrdersTable[[#This Row],[Delivery Date]]-OrdersTable[[#This Row],[Order Date]]</f>
        <v>3</v>
      </c>
      <c r="AD1412" t="str">
        <f>IF(OrdersTable[[#This Row],[Delivery Days]]&lt;=2, "Express (≤2d)", IF(OrdersTable[[#This Row],[Delivery Days]]&lt;=4, "Standard (3-4d)", "Delayed (5d+)"))</f>
        <v>Standard (3-4d)</v>
      </c>
      <c r="AE1412">
        <v>4</v>
      </c>
      <c r="AF1412">
        <v>0</v>
      </c>
    </row>
    <row r="1413" spans="1:32" ht="15" x14ac:dyDescent="0.35">
      <c r="A1413" t="s">
        <v>4483</v>
      </c>
      <c r="B1413" s="1">
        <v>45569</v>
      </c>
      <c r="C1413">
        <f>YEAR(OrdersTable[[#This Row],[Order Date]])</f>
        <v>2024</v>
      </c>
      <c r="D1413" s="2">
        <f>DATE(YEAR(OrdersTable[[#This Row],[Order Date]]),MONTH(OrdersTable[[#This Row],[Order Date]]),1)</f>
        <v>45566</v>
      </c>
      <c r="E1413">
        <f>MONTH(OrdersTable[[#This Row],[Order Date]])</f>
        <v>10</v>
      </c>
      <c r="F1413" t="s">
        <v>2418</v>
      </c>
      <c r="G1413" t="str">
        <f>IF(OrdersTable[[#This Row],[Order Date]]=_xlfn.MINIFS(Order_Date, Customer_ID, OrdersTable[[#This Row],[Customer ID]]), "New", "Repeat")</f>
        <v>New</v>
      </c>
      <c r="H1413" t="s">
        <v>71</v>
      </c>
      <c r="I1413" t="str">
        <f>INDEX(State!B:B,MATCH(OrdersTable[[#This Row],[State]],State!A:A,0))</f>
        <v>MH</v>
      </c>
      <c r="J1413" t="str">
        <f>INDEX(State!C:C,MATCH(OrdersTable[[#This Row],[State Code]],State!B:B,0))</f>
        <v>West</v>
      </c>
      <c r="K1413" t="s">
        <v>102</v>
      </c>
      <c r="L1413" t="s">
        <v>65</v>
      </c>
      <c r="M1413" t="s">
        <v>66</v>
      </c>
      <c r="N1413" t="str">
        <f>INDEX(Products!B:B,MATCH(OrdersTable[[#This Row],[Product ID]],Products!A:A,0))</f>
        <v>Sunscreen SPF 50</v>
      </c>
      <c r="O1413" t="str">
        <f>INDEX(Products!C:C,MATCH(OrdersTable[[#This Row],[Product ID]],Products!A:A,0))</f>
        <v>Skincare</v>
      </c>
      <c r="P1413">
        <v>1</v>
      </c>
      <c r="Q1413" s="5">
        <v>449</v>
      </c>
      <c r="R1413" s="74">
        <v>0.2</v>
      </c>
      <c r="S1413" s="75">
        <f>OrdersTable[[#This Row],[Quantity]]*OrdersTable[[#This Row],[Unit Price]]</f>
        <v>449</v>
      </c>
      <c r="T1413" s="5">
        <f>OrdersTable[[#This Row],[Gross Sale]]*OrdersTable[[#This Row],[Discount_Clean2]]</f>
        <v>89.800000000000011</v>
      </c>
      <c r="U1413" s="5">
        <f>OrdersTable[[#This Row],[Gross Sale]]-OrdersTable[[#This Row],[Discount Amount]]</f>
        <v>359.2</v>
      </c>
      <c r="V1413" s="77">
        <f>INDEX(Products!E:E,MATCH(OrdersTable[[#This Row],[Product ID]],Products!A:A,0))</f>
        <v>144</v>
      </c>
      <c r="W1413" s="77">
        <f>OrdersTable[[#This Row],[Quantity]]*OrdersTable[[#This Row],[Unit Cost]]</f>
        <v>144</v>
      </c>
      <c r="X1413" s="77">
        <f>'Dropdown Lists'!$I$2*(1+OrdersTable[[#This Row],[Returned]])</f>
        <v>60</v>
      </c>
      <c r="Y1413" s="76">
        <f>OrdersTable[[#This Row],[Net Revenue]]-OrdersTable[[#This Row],[COGS]]-OrdersTable[[#This Row],[Shipping Cost]]</f>
        <v>155.19999999999999</v>
      </c>
      <c r="Z1413" s="78">
        <f>IFERROR(OrdersTable[[#This Row],[Profit]]/OrdersTable[[#This Row],[Net Revenue]],0)</f>
        <v>0.43207126948775054</v>
      </c>
      <c r="AA1413" t="s">
        <v>4450</v>
      </c>
      <c r="AB1413" s="79">
        <v>45573</v>
      </c>
      <c r="AC1413">
        <f>OrdersTable[[#This Row],[Delivery Date]]-OrdersTable[[#This Row],[Order Date]]</f>
        <v>4</v>
      </c>
      <c r="AD1413" t="str">
        <f>IF(OrdersTable[[#This Row],[Delivery Days]]&lt;=2, "Express (≤2d)", IF(OrdersTable[[#This Row],[Delivery Days]]&lt;=4, "Standard (3-4d)", "Delayed (5d+)"))</f>
        <v>Standard (3-4d)</v>
      </c>
      <c r="AE1413">
        <v>4</v>
      </c>
      <c r="AF1413">
        <v>0</v>
      </c>
    </row>
    <row r="1414" spans="1:32" ht="15" x14ac:dyDescent="0.35">
      <c r="A1414" t="s">
        <v>5118</v>
      </c>
      <c r="B1414" s="1">
        <v>45569</v>
      </c>
      <c r="C1414">
        <f>YEAR(OrdersTable[[#This Row],[Order Date]])</f>
        <v>2024</v>
      </c>
      <c r="D1414" s="2">
        <f>DATE(YEAR(OrdersTable[[#This Row],[Order Date]]),MONTH(OrdersTable[[#This Row],[Order Date]]),1)</f>
        <v>45566</v>
      </c>
      <c r="E1414">
        <f>MONTH(OrdersTable[[#This Row],[Order Date]])</f>
        <v>10</v>
      </c>
      <c r="F1414" t="s">
        <v>1854</v>
      </c>
      <c r="G1414" t="str">
        <f>IF(OrdersTable[[#This Row],[Order Date]]=_xlfn.MINIFS(Order_Date, Customer_ID, OrdersTable[[#This Row],[Customer ID]]), "New", "Repeat")</f>
        <v>Repeat</v>
      </c>
      <c r="H1414" t="s">
        <v>275</v>
      </c>
      <c r="I1414" t="str">
        <f>INDEX(State!B:B,MATCH(OrdersTable[[#This Row],[State]],State!A:A,0))</f>
        <v>AP</v>
      </c>
      <c r="J1414" t="str">
        <f>INDEX(State!C:C,MATCH(OrdersTable[[#This Row],[State Code]],State!B:B,0))</f>
        <v>South</v>
      </c>
      <c r="K1414" t="s">
        <v>491</v>
      </c>
      <c r="L1414" t="s">
        <v>39</v>
      </c>
      <c r="M1414" t="s">
        <v>87</v>
      </c>
      <c r="N1414" t="str">
        <f>INDEX(Products!B:B,MATCH(OrdersTable[[#This Row],[Product ID]],Products!A:A,0))</f>
        <v>Linen Kurta</v>
      </c>
      <c r="O1414" t="str">
        <f>INDEX(Products!C:C,MATCH(OrdersTable[[#This Row],[Product ID]],Products!A:A,0))</f>
        <v>Apparel</v>
      </c>
      <c r="P1414">
        <v>2</v>
      </c>
      <c r="Q1414" s="5">
        <v>1499</v>
      </c>
      <c r="R1414" s="74">
        <v>0.35</v>
      </c>
      <c r="S1414" s="75">
        <f>OrdersTable[[#This Row],[Quantity]]*OrdersTable[[#This Row],[Unit Price]]</f>
        <v>2998</v>
      </c>
      <c r="T1414" s="5">
        <f>OrdersTable[[#This Row],[Gross Sale]]*OrdersTable[[#This Row],[Discount_Clean2]]</f>
        <v>1049.3</v>
      </c>
      <c r="U1414" s="5">
        <f>OrdersTable[[#This Row],[Gross Sale]]-OrdersTable[[#This Row],[Discount Amount]]</f>
        <v>1948.7</v>
      </c>
      <c r="V1414" s="77">
        <f>INDEX(Products!E:E,MATCH(OrdersTable[[#This Row],[Product ID]],Products!A:A,0))</f>
        <v>630</v>
      </c>
      <c r="W1414" s="77">
        <f>OrdersTable[[#This Row],[Quantity]]*OrdersTable[[#This Row],[Unit Cost]]</f>
        <v>1260</v>
      </c>
      <c r="X1414" s="77">
        <f>'Dropdown Lists'!$I$2*(1+OrdersTable[[#This Row],[Returned]])</f>
        <v>60</v>
      </c>
      <c r="Y1414" s="76">
        <f>OrdersTable[[#This Row],[Net Revenue]]-OrdersTable[[#This Row],[COGS]]-OrdersTable[[#This Row],[Shipping Cost]]</f>
        <v>628.70000000000005</v>
      </c>
      <c r="Z1414" s="78">
        <f>IFERROR(OrdersTable[[#This Row],[Profit]]/OrdersTable[[#This Row],[Net Revenue]],0)</f>
        <v>0.32262533997023657</v>
      </c>
      <c r="AA1414" t="s">
        <v>3495</v>
      </c>
      <c r="AB1414" s="79">
        <v>45571</v>
      </c>
      <c r="AC1414">
        <f>OrdersTable[[#This Row],[Delivery Date]]-OrdersTable[[#This Row],[Order Date]]</f>
        <v>2</v>
      </c>
      <c r="AD1414" t="str">
        <f>IF(OrdersTable[[#This Row],[Delivery Days]]&lt;=2, "Express (≤2d)", IF(OrdersTable[[#This Row],[Delivery Days]]&lt;=4, "Standard (3-4d)", "Delayed (5d+)"))</f>
        <v>Express (≤2d)</v>
      </c>
      <c r="AE1414">
        <v>4</v>
      </c>
      <c r="AF1414">
        <v>0</v>
      </c>
    </row>
    <row r="1415" spans="1:32" ht="15" x14ac:dyDescent="0.35">
      <c r="A1415" t="s">
        <v>2953</v>
      </c>
      <c r="B1415" s="1">
        <v>45569</v>
      </c>
      <c r="C1415">
        <f>YEAR(OrdersTable[[#This Row],[Order Date]])</f>
        <v>2024</v>
      </c>
      <c r="D1415" s="2">
        <f>DATE(YEAR(OrdersTable[[#This Row],[Order Date]]),MONTH(OrdersTable[[#This Row],[Order Date]]),1)</f>
        <v>45566</v>
      </c>
      <c r="E1415">
        <f>MONTH(OrdersTable[[#This Row],[Order Date]])</f>
        <v>10</v>
      </c>
      <c r="F1415" t="s">
        <v>745</v>
      </c>
      <c r="G1415" t="str">
        <f>IF(OrdersTable[[#This Row],[Order Date]]=_xlfn.MINIFS(Order_Date, Customer_ID, OrdersTable[[#This Row],[Customer ID]]), "New", "Repeat")</f>
        <v>Repeat</v>
      </c>
      <c r="H1415" t="s">
        <v>316</v>
      </c>
      <c r="I1415" t="str">
        <f>INDEX(State!B:B,MATCH(OrdersTable[[#This Row],[State]],State!A:A,0))</f>
        <v>KL</v>
      </c>
      <c r="J1415" t="str">
        <f>INDEX(State!C:C,MATCH(OrdersTable[[#This Row],[State Code]],State!B:B,0))</f>
        <v>South</v>
      </c>
      <c r="K1415" t="s">
        <v>338</v>
      </c>
      <c r="L1415" t="s">
        <v>23</v>
      </c>
      <c r="M1415" t="s">
        <v>148</v>
      </c>
      <c r="N1415" t="str">
        <f>INDEX(Products!B:B,MATCH(OrdersTable[[#This Row],[Product ID]],Products!A:A,0))</f>
        <v>Smartwatch Strap</v>
      </c>
      <c r="O1415" t="str">
        <f>INDEX(Products!C:C,MATCH(OrdersTable[[#This Row],[Product ID]],Products!A:A,0))</f>
        <v>Electronics</v>
      </c>
      <c r="P1415">
        <v>1</v>
      </c>
      <c r="Q1415" s="5">
        <v>499</v>
      </c>
      <c r="R1415" s="74">
        <v>0.25</v>
      </c>
      <c r="S1415" s="75">
        <f>OrdersTable[[#This Row],[Quantity]]*OrdersTable[[#This Row],[Unit Price]]</f>
        <v>499</v>
      </c>
      <c r="T1415" s="5">
        <f>OrdersTable[[#This Row],[Gross Sale]]*OrdersTable[[#This Row],[Discount_Clean2]]</f>
        <v>124.75</v>
      </c>
      <c r="U1415" s="5">
        <f>OrdersTable[[#This Row],[Gross Sale]]-OrdersTable[[#This Row],[Discount Amount]]</f>
        <v>374.25</v>
      </c>
      <c r="V1415" s="77">
        <f>INDEX(Products!E:E,MATCH(OrdersTable[[#This Row],[Product ID]],Products!A:A,0))</f>
        <v>200</v>
      </c>
      <c r="W1415" s="77">
        <f>OrdersTable[[#This Row],[Quantity]]*OrdersTable[[#This Row],[Unit Cost]]</f>
        <v>200</v>
      </c>
      <c r="X1415" s="77">
        <f>'Dropdown Lists'!$I$2*(1+OrdersTable[[#This Row],[Returned]])</f>
        <v>60</v>
      </c>
      <c r="Y1415" s="76">
        <f>OrdersTable[[#This Row],[Net Revenue]]-OrdersTable[[#This Row],[COGS]]-OrdersTable[[#This Row],[Shipping Cost]]</f>
        <v>114.25</v>
      </c>
      <c r="Z1415" s="78">
        <f>IFERROR(OrdersTable[[#This Row],[Profit]]/OrdersTable[[#This Row],[Net Revenue]],0)</f>
        <v>0.30527722110888444</v>
      </c>
      <c r="AA1415" t="s">
        <v>2522</v>
      </c>
      <c r="AB1415" s="79">
        <v>45571</v>
      </c>
      <c r="AC1415">
        <f>OrdersTable[[#This Row],[Delivery Date]]-OrdersTable[[#This Row],[Order Date]]</f>
        <v>2</v>
      </c>
      <c r="AD1415" t="str">
        <f>IF(OrdersTable[[#This Row],[Delivery Days]]&lt;=2, "Express (≤2d)", IF(OrdersTable[[#This Row],[Delivery Days]]&lt;=4, "Standard (3-4d)", "Delayed (5d+)"))</f>
        <v>Express (≤2d)</v>
      </c>
      <c r="AF1415">
        <v>0</v>
      </c>
    </row>
    <row r="1416" spans="1:32" ht="15" x14ac:dyDescent="0.35">
      <c r="A1416" t="s">
        <v>6866</v>
      </c>
      <c r="B1416" s="1">
        <v>45569</v>
      </c>
      <c r="C1416">
        <f>YEAR(OrdersTable[[#This Row],[Order Date]])</f>
        <v>2024</v>
      </c>
      <c r="D1416" s="2">
        <f>DATE(YEAR(OrdersTable[[#This Row],[Order Date]]),MONTH(OrdersTable[[#This Row],[Order Date]]),1)</f>
        <v>45566</v>
      </c>
      <c r="E1416">
        <f>MONTH(OrdersTable[[#This Row],[Order Date]])</f>
        <v>10</v>
      </c>
      <c r="F1416" t="s">
        <v>1324</v>
      </c>
      <c r="G1416" t="str">
        <f>IF(OrdersTable[[#This Row],[Order Date]]=_xlfn.MINIFS(Order_Date, Customer_ID, OrdersTable[[#This Row],[Customer ID]]), "New", "Repeat")</f>
        <v>New</v>
      </c>
      <c r="H1416" t="s">
        <v>59</v>
      </c>
      <c r="I1416" t="str">
        <f>INDEX(State!B:B,MATCH(OrdersTable[[#This Row],[State]],State!A:A,0))</f>
        <v>TN</v>
      </c>
      <c r="J1416" t="str">
        <f>INDEX(State!C:C,MATCH(OrdersTable[[#This Row],[State Code]],State!B:B,0))</f>
        <v>South</v>
      </c>
      <c r="K1416" t="s">
        <v>60</v>
      </c>
      <c r="L1416" t="s">
        <v>65</v>
      </c>
      <c r="M1416" t="s">
        <v>179</v>
      </c>
      <c r="N1416" t="str">
        <f>INDEX(Products!B:B,MATCH(OrdersTable[[#This Row],[Product ID]],Products!A:A,0))</f>
        <v>Whey Protein 1kg</v>
      </c>
      <c r="O1416" t="str">
        <f>INDEX(Products!C:C,MATCH(OrdersTable[[#This Row],[Product ID]],Products!A:A,0))</f>
        <v>Wellness</v>
      </c>
      <c r="P1416">
        <v>3</v>
      </c>
      <c r="Q1416" s="5">
        <v>2299</v>
      </c>
      <c r="R1416" s="74">
        <v>0.4</v>
      </c>
      <c r="S1416" s="75">
        <f>OrdersTable[[#This Row],[Quantity]]*OrdersTable[[#This Row],[Unit Price]]</f>
        <v>6897</v>
      </c>
      <c r="T1416" s="5">
        <f>OrdersTable[[#This Row],[Gross Sale]]*OrdersTable[[#This Row],[Discount_Clean2]]</f>
        <v>2758.8</v>
      </c>
      <c r="U1416" s="5">
        <f>OrdersTable[[#This Row],[Gross Sale]]-OrdersTable[[#This Row],[Discount Amount]]</f>
        <v>4138.2</v>
      </c>
      <c r="V1416" s="77">
        <f>INDEX(Products!E:E,MATCH(OrdersTable[[#This Row],[Product ID]],Products!A:A,0))</f>
        <v>1333</v>
      </c>
      <c r="W1416" s="77">
        <f>OrdersTable[[#This Row],[Quantity]]*OrdersTable[[#This Row],[Unit Cost]]</f>
        <v>3999</v>
      </c>
      <c r="X1416" s="77">
        <f>'Dropdown Lists'!$I$2*(1+OrdersTable[[#This Row],[Returned]])</f>
        <v>60</v>
      </c>
      <c r="Y1416" s="76">
        <f>OrdersTable[[#This Row],[Net Revenue]]-OrdersTable[[#This Row],[COGS]]-OrdersTable[[#This Row],[Shipping Cost]]</f>
        <v>79.199999999999818</v>
      </c>
      <c r="Z1416" s="78">
        <f>IFERROR(OrdersTable[[#This Row],[Profit]]/OrdersTable[[#This Row],[Net Revenue]],0)</f>
        <v>1.9138755980861202E-2</v>
      </c>
      <c r="AA1416" t="s">
        <v>4074</v>
      </c>
      <c r="AB1416" s="79">
        <v>45572</v>
      </c>
      <c r="AC1416">
        <f>OrdersTable[[#This Row],[Delivery Date]]-OrdersTable[[#This Row],[Order Date]]</f>
        <v>3</v>
      </c>
      <c r="AD1416" t="str">
        <f>IF(OrdersTable[[#This Row],[Delivery Days]]&lt;=2, "Express (≤2d)", IF(OrdersTable[[#This Row],[Delivery Days]]&lt;=4, "Standard (3-4d)", "Delayed (5d+)"))</f>
        <v>Standard (3-4d)</v>
      </c>
      <c r="AE1416">
        <v>3</v>
      </c>
      <c r="AF1416">
        <v>0</v>
      </c>
    </row>
    <row r="1417" spans="1:32" ht="15" x14ac:dyDescent="0.35">
      <c r="A1417" t="s">
        <v>4796</v>
      </c>
      <c r="B1417" s="1">
        <v>45569</v>
      </c>
      <c r="C1417">
        <f>YEAR(OrdersTable[[#This Row],[Order Date]])</f>
        <v>2024</v>
      </c>
      <c r="D1417" s="2">
        <f>DATE(YEAR(OrdersTable[[#This Row],[Order Date]]),MONTH(OrdersTable[[#This Row],[Order Date]]),1)</f>
        <v>45566</v>
      </c>
      <c r="E1417">
        <f>MONTH(OrdersTable[[#This Row],[Order Date]])</f>
        <v>10</v>
      </c>
      <c r="F1417" t="s">
        <v>2969</v>
      </c>
      <c r="G1417" t="str">
        <f>IF(OrdersTable[[#This Row],[Order Date]]=_xlfn.MINIFS(Order_Date, Customer_ID, OrdersTable[[#This Row],[Customer ID]]), "New", "Repeat")</f>
        <v>New</v>
      </c>
      <c r="H1417" t="s">
        <v>59</v>
      </c>
      <c r="I1417" t="str">
        <f>INDEX(State!B:B,MATCH(OrdersTable[[#This Row],[State]],State!A:A,0))</f>
        <v>TN</v>
      </c>
      <c r="J1417" t="str">
        <f>INDEX(State!C:C,MATCH(OrdersTable[[#This Row],[State Code]],State!B:B,0))</f>
        <v>South</v>
      </c>
      <c r="K1417" t="s">
        <v>64</v>
      </c>
      <c r="L1417" t="s">
        <v>39</v>
      </c>
      <c r="M1417" t="s">
        <v>29</v>
      </c>
      <c r="N1417" t="str">
        <f>INDEX(Products!B:B,MATCH(OrdersTable[[#This Row],[Product ID]],Products!A:A,0))</f>
        <v>Joggers</v>
      </c>
      <c r="O1417" t="str">
        <f>INDEX(Products!C:C,MATCH(OrdersTable[[#This Row],[Product ID]],Products!A:A,0))</f>
        <v>Apparel</v>
      </c>
      <c r="P1417">
        <v>2</v>
      </c>
      <c r="Q1417" s="5">
        <v>1199</v>
      </c>
      <c r="R1417" s="74">
        <v>0.3</v>
      </c>
      <c r="S1417" s="75">
        <f>OrdersTable[[#This Row],[Quantity]]*OrdersTable[[#This Row],[Unit Price]]</f>
        <v>2398</v>
      </c>
      <c r="T1417" s="5">
        <f>OrdersTable[[#This Row],[Gross Sale]]*OrdersTable[[#This Row],[Discount_Clean2]]</f>
        <v>719.4</v>
      </c>
      <c r="U1417" s="5">
        <f>OrdersTable[[#This Row],[Gross Sale]]-OrdersTable[[#This Row],[Discount Amount]]</f>
        <v>1678.6</v>
      </c>
      <c r="V1417" s="77">
        <f>INDEX(Products!E:E,MATCH(OrdersTable[[#This Row],[Product ID]],Products!A:A,0))</f>
        <v>492</v>
      </c>
      <c r="W1417" s="77">
        <f>OrdersTable[[#This Row],[Quantity]]*OrdersTable[[#This Row],[Unit Cost]]</f>
        <v>984</v>
      </c>
      <c r="X1417" s="77">
        <f>'Dropdown Lists'!$I$2*(1+OrdersTable[[#This Row],[Returned]])</f>
        <v>60</v>
      </c>
      <c r="Y1417" s="76">
        <f>OrdersTable[[#This Row],[Net Revenue]]-OrdersTable[[#This Row],[COGS]]-OrdersTable[[#This Row],[Shipping Cost]]</f>
        <v>634.59999999999991</v>
      </c>
      <c r="Z1417" s="78">
        <f>IFERROR(OrdersTable[[#This Row],[Profit]]/OrdersTable[[#This Row],[Net Revenue]],0)</f>
        <v>0.37805313952102937</v>
      </c>
      <c r="AA1417" t="s">
        <v>4450</v>
      </c>
      <c r="AB1417" s="79">
        <v>45571</v>
      </c>
      <c r="AC1417">
        <f>OrdersTable[[#This Row],[Delivery Date]]-OrdersTable[[#This Row],[Order Date]]</f>
        <v>2</v>
      </c>
      <c r="AD1417" t="str">
        <f>IF(OrdersTable[[#This Row],[Delivery Days]]&lt;=2, "Express (≤2d)", IF(OrdersTable[[#This Row],[Delivery Days]]&lt;=4, "Standard (3-4d)", "Delayed (5d+)"))</f>
        <v>Express (≤2d)</v>
      </c>
      <c r="AF1417">
        <v>0</v>
      </c>
    </row>
    <row r="1418" spans="1:32" ht="15" x14ac:dyDescent="0.35">
      <c r="A1418" t="s">
        <v>4576</v>
      </c>
      <c r="B1418" s="1">
        <v>45570</v>
      </c>
      <c r="C1418">
        <f>YEAR(OrdersTable[[#This Row],[Order Date]])</f>
        <v>2024</v>
      </c>
      <c r="D1418" s="2">
        <f>DATE(YEAR(OrdersTable[[#This Row],[Order Date]]),MONTH(OrdersTable[[#This Row],[Order Date]]),1)</f>
        <v>45566</v>
      </c>
      <c r="E1418">
        <f>MONTH(OrdersTable[[#This Row],[Order Date]])</f>
        <v>10</v>
      </c>
      <c r="F1418" t="s">
        <v>2338</v>
      </c>
      <c r="G1418" t="str">
        <f>IF(OrdersTable[[#This Row],[Order Date]]=_xlfn.MINIFS(Order_Date, Customer_ID, OrdersTable[[#This Row],[Customer ID]]), "New", "Repeat")</f>
        <v>Repeat</v>
      </c>
      <c r="H1418" t="s">
        <v>210</v>
      </c>
      <c r="I1418" t="str">
        <f>INDEX(State!B:B,MATCH(OrdersTable[[#This Row],[State]],State!A:A,0))</f>
        <v>JK</v>
      </c>
      <c r="J1418" t="str">
        <f>INDEX(State!C:C,MATCH(OrdersTable[[#This Row],[State Code]],State!B:B,0))</f>
        <v>North</v>
      </c>
      <c r="K1418" t="s">
        <v>211</v>
      </c>
      <c r="L1418" t="s">
        <v>23</v>
      </c>
      <c r="M1418" t="s">
        <v>160</v>
      </c>
      <c r="N1418" t="str">
        <f>INDEX(Products!B:B,MATCH(OrdersTable[[#This Row],[Product ID]],Products!A:A,0))</f>
        <v>Niacinamide Toner</v>
      </c>
      <c r="O1418" t="str">
        <f>INDEX(Products!C:C,MATCH(OrdersTable[[#This Row],[Product ID]],Products!A:A,0))</f>
        <v>Skincare</v>
      </c>
      <c r="P1418">
        <v>1</v>
      </c>
      <c r="Q1418" s="5">
        <v>399</v>
      </c>
      <c r="R1418" s="74">
        <v>0.2</v>
      </c>
      <c r="S1418" s="75">
        <f>OrdersTable[[#This Row],[Quantity]]*OrdersTable[[#This Row],[Unit Price]]</f>
        <v>399</v>
      </c>
      <c r="T1418" s="5">
        <f>OrdersTable[[#This Row],[Gross Sale]]*OrdersTable[[#This Row],[Discount_Clean2]]</f>
        <v>79.800000000000011</v>
      </c>
      <c r="U1418" s="5">
        <f>OrdersTable[[#This Row],[Gross Sale]]-OrdersTable[[#This Row],[Discount Amount]]</f>
        <v>319.2</v>
      </c>
      <c r="V1418" s="77">
        <f>INDEX(Products!E:E,MATCH(OrdersTable[[#This Row],[Product ID]],Products!A:A,0))</f>
        <v>112</v>
      </c>
      <c r="W1418" s="77">
        <f>OrdersTable[[#This Row],[Quantity]]*OrdersTable[[#This Row],[Unit Cost]]</f>
        <v>112</v>
      </c>
      <c r="X1418" s="77">
        <f>'Dropdown Lists'!$I$2*(1+OrdersTable[[#This Row],[Returned]])</f>
        <v>60</v>
      </c>
      <c r="Y1418" s="76">
        <f>OrdersTable[[#This Row],[Net Revenue]]-OrdersTable[[#This Row],[COGS]]-OrdersTable[[#This Row],[Shipping Cost]]</f>
        <v>147.19999999999999</v>
      </c>
      <c r="Z1418" s="78">
        <f>IFERROR(OrdersTable[[#This Row],[Profit]]/OrdersTable[[#This Row],[Net Revenue]],0)</f>
        <v>0.46115288220551376</v>
      </c>
      <c r="AA1418" t="s">
        <v>4450</v>
      </c>
      <c r="AB1418" s="79">
        <v>45574</v>
      </c>
      <c r="AC1418">
        <f>OrdersTable[[#This Row],[Delivery Date]]-OrdersTable[[#This Row],[Order Date]]</f>
        <v>4</v>
      </c>
      <c r="AD1418" t="str">
        <f>IF(OrdersTable[[#This Row],[Delivery Days]]&lt;=2, "Express (≤2d)", IF(OrdersTable[[#This Row],[Delivery Days]]&lt;=4, "Standard (3-4d)", "Delayed (5d+)"))</f>
        <v>Standard (3-4d)</v>
      </c>
      <c r="AF1418">
        <v>0</v>
      </c>
    </row>
    <row r="1419" spans="1:32" ht="15" x14ac:dyDescent="0.35">
      <c r="A1419" t="s">
        <v>4577</v>
      </c>
      <c r="B1419" s="1">
        <v>45570</v>
      </c>
      <c r="C1419">
        <f>YEAR(OrdersTable[[#This Row],[Order Date]])</f>
        <v>2024</v>
      </c>
      <c r="D1419" s="2">
        <f>DATE(YEAR(OrdersTable[[#This Row],[Order Date]]),MONTH(OrdersTable[[#This Row],[Order Date]]),1)</f>
        <v>45566</v>
      </c>
      <c r="E1419">
        <f>MONTH(OrdersTable[[#This Row],[Order Date]])</f>
        <v>10</v>
      </c>
      <c r="F1419" t="s">
        <v>1929</v>
      </c>
      <c r="G1419" t="str">
        <f>IF(OrdersTable[[#This Row],[Order Date]]=_xlfn.MINIFS(Order_Date, Customer_ID, OrdersTable[[#This Row],[Customer ID]]), "New", "Repeat")</f>
        <v>New</v>
      </c>
      <c r="H1419" t="s">
        <v>21</v>
      </c>
      <c r="I1419" t="str">
        <f>INDEX(State!B:B,MATCH(OrdersTable[[#This Row],[State]],State!A:A,0))</f>
        <v>PB</v>
      </c>
      <c r="J1419" t="str">
        <f>INDEX(State!C:C,MATCH(OrdersTable[[#This Row],[State Code]],State!B:B,0))</f>
        <v>North</v>
      </c>
      <c r="K1419" t="s">
        <v>260</v>
      </c>
      <c r="L1419" t="s">
        <v>16</v>
      </c>
      <c r="M1419" t="s">
        <v>255</v>
      </c>
      <c r="N1419" t="str">
        <f>INDEX(Products!B:B,MATCH(OrdersTable[[#This Row],[Product ID]],Products!A:A,0))</f>
        <v>Cotton Oversized T-Shirt</v>
      </c>
      <c r="O1419" t="str">
        <f>INDEX(Products!C:C,MATCH(OrdersTable[[#This Row],[Product ID]],Products!A:A,0))</f>
        <v>Apparel</v>
      </c>
      <c r="P1419">
        <v>1</v>
      </c>
      <c r="Q1419" s="5">
        <v>799</v>
      </c>
      <c r="R1419" s="74">
        <v>0.2</v>
      </c>
      <c r="S1419" s="75">
        <f>OrdersTable[[#This Row],[Quantity]]*OrdersTable[[#This Row],[Unit Price]]</f>
        <v>799</v>
      </c>
      <c r="T1419" s="5">
        <f>OrdersTable[[#This Row],[Gross Sale]]*OrdersTable[[#This Row],[Discount_Clean2]]</f>
        <v>159.80000000000001</v>
      </c>
      <c r="U1419" s="5">
        <f>OrdersTable[[#This Row],[Gross Sale]]-OrdersTable[[#This Row],[Discount Amount]]</f>
        <v>639.20000000000005</v>
      </c>
      <c r="V1419" s="77">
        <f>INDEX(Products!E:E,MATCH(OrdersTable[[#This Row],[Product ID]],Products!A:A,0))</f>
        <v>320</v>
      </c>
      <c r="W1419" s="77">
        <f>OrdersTable[[#This Row],[Quantity]]*OrdersTable[[#This Row],[Unit Cost]]</f>
        <v>320</v>
      </c>
      <c r="X1419" s="77">
        <f>'Dropdown Lists'!$I$2*(1+OrdersTable[[#This Row],[Returned]])</f>
        <v>60</v>
      </c>
      <c r="Y1419" s="76">
        <f>OrdersTable[[#This Row],[Net Revenue]]-OrdersTable[[#This Row],[COGS]]-OrdersTable[[#This Row],[Shipping Cost]]</f>
        <v>259.20000000000005</v>
      </c>
      <c r="Z1419" s="78">
        <f>IFERROR(OrdersTable[[#This Row],[Profit]]/OrdersTable[[#This Row],[Net Revenue]],0)</f>
        <v>0.40550688360450565</v>
      </c>
      <c r="AA1419" t="s">
        <v>4450</v>
      </c>
      <c r="AB1419" s="79">
        <v>45577</v>
      </c>
      <c r="AC1419">
        <f>OrdersTable[[#This Row],[Delivery Date]]-OrdersTable[[#This Row],[Order Date]]</f>
        <v>7</v>
      </c>
      <c r="AD1419" t="str">
        <f>IF(OrdersTable[[#This Row],[Delivery Days]]&lt;=2, "Express (≤2d)", IF(OrdersTable[[#This Row],[Delivery Days]]&lt;=4, "Standard (3-4d)", "Delayed (5d+)"))</f>
        <v>Delayed (5d+)</v>
      </c>
      <c r="AF1419">
        <v>0</v>
      </c>
    </row>
    <row r="1420" spans="1:32" ht="15" x14ac:dyDescent="0.35">
      <c r="A1420" t="s">
        <v>519</v>
      </c>
      <c r="B1420" s="1">
        <v>45570</v>
      </c>
      <c r="C1420">
        <f>YEAR(OrdersTable[[#This Row],[Order Date]])</f>
        <v>2024</v>
      </c>
      <c r="D1420" s="2">
        <f>DATE(YEAR(OrdersTable[[#This Row],[Order Date]]),MONTH(OrdersTable[[#This Row],[Order Date]]),1)</f>
        <v>45566</v>
      </c>
      <c r="E1420">
        <f>MONTH(OrdersTable[[#This Row],[Order Date]])</f>
        <v>10</v>
      </c>
      <c r="F1420" t="s">
        <v>399</v>
      </c>
      <c r="G1420" t="str">
        <f>IF(OrdersTable[[#This Row],[Order Date]]=_xlfn.MINIFS(Order_Date, Customer_ID, OrdersTable[[#This Row],[Customer ID]]), "New", "Repeat")</f>
        <v>Repeat</v>
      </c>
      <c r="H1420" t="s">
        <v>21</v>
      </c>
      <c r="I1420" t="str">
        <f>INDEX(State!B:B,MATCH(OrdersTable[[#This Row],[State]],State!A:A,0))</f>
        <v>PB</v>
      </c>
      <c r="J1420" t="str">
        <f>INDEX(State!C:C,MATCH(OrdersTable[[#This Row],[State Code]],State!B:B,0))</f>
        <v>North</v>
      </c>
      <c r="K1420" t="s">
        <v>22</v>
      </c>
      <c r="L1420" t="s">
        <v>50</v>
      </c>
      <c r="M1420" t="s">
        <v>45</v>
      </c>
      <c r="N1420" t="str">
        <f>INDEX(Products!B:B,MATCH(OrdersTable[[#This Row],[Product ID]],Products!A:A,0))</f>
        <v>Argan Shampoo</v>
      </c>
      <c r="O1420" t="str">
        <f>INDEX(Products!C:C,MATCH(OrdersTable[[#This Row],[Product ID]],Products!A:A,0))</f>
        <v>Haircare</v>
      </c>
      <c r="P1420">
        <v>1</v>
      </c>
      <c r="Q1420" s="5">
        <v>449</v>
      </c>
      <c r="R1420" s="74">
        <v>0.15</v>
      </c>
      <c r="S1420" s="75">
        <f>OrdersTable[[#This Row],[Quantity]]*OrdersTable[[#This Row],[Unit Price]]</f>
        <v>449</v>
      </c>
      <c r="T1420" s="5">
        <f>OrdersTable[[#This Row],[Gross Sale]]*OrdersTable[[#This Row],[Discount_Clean2]]</f>
        <v>67.349999999999994</v>
      </c>
      <c r="U1420" s="5">
        <f>OrdersTable[[#This Row],[Gross Sale]]-OrdersTable[[#This Row],[Discount Amount]]</f>
        <v>381.65</v>
      </c>
      <c r="V1420" s="77">
        <f>INDEX(Products!E:E,MATCH(OrdersTable[[#This Row],[Product ID]],Products!A:A,0))</f>
        <v>148</v>
      </c>
      <c r="W1420" s="77">
        <f>OrdersTable[[#This Row],[Quantity]]*OrdersTable[[#This Row],[Unit Cost]]</f>
        <v>148</v>
      </c>
      <c r="X1420" s="77">
        <f>'Dropdown Lists'!$I$2*(1+OrdersTable[[#This Row],[Returned]])</f>
        <v>60</v>
      </c>
      <c r="Y1420" s="76">
        <f>OrdersTable[[#This Row],[Net Revenue]]-OrdersTable[[#This Row],[COGS]]-OrdersTable[[#This Row],[Shipping Cost]]</f>
        <v>173.64999999999998</v>
      </c>
      <c r="Z1420" s="78">
        <f>IFERROR(OrdersTable[[#This Row],[Profit]]/OrdersTable[[#This Row],[Net Revenue]],0)</f>
        <v>0.45499803484868334</v>
      </c>
      <c r="AA1420" t="s">
        <v>18</v>
      </c>
      <c r="AB1420" s="79">
        <v>45575</v>
      </c>
      <c r="AC1420">
        <f>OrdersTable[[#This Row],[Delivery Date]]-OrdersTable[[#This Row],[Order Date]]</f>
        <v>5</v>
      </c>
      <c r="AD1420" t="str">
        <f>IF(OrdersTable[[#This Row],[Delivery Days]]&lt;=2, "Express (≤2d)", IF(OrdersTable[[#This Row],[Delivery Days]]&lt;=4, "Standard (3-4d)", "Delayed (5d+)"))</f>
        <v>Delayed (5d+)</v>
      </c>
      <c r="AE1420">
        <v>4</v>
      </c>
      <c r="AF1420">
        <v>0</v>
      </c>
    </row>
    <row r="1421" spans="1:32" ht="15" x14ac:dyDescent="0.35">
      <c r="A1421" t="s">
        <v>1049</v>
      </c>
      <c r="B1421" s="1">
        <v>45570</v>
      </c>
      <c r="C1421">
        <f>YEAR(OrdersTable[[#This Row],[Order Date]])</f>
        <v>2024</v>
      </c>
      <c r="D1421" s="2">
        <f>DATE(YEAR(OrdersTable[[#This Row],[Order Date]]),MONTH(OrdersTable[[#This Row],[Order Date]]),1)</f>
        <v>45566</v>
      </c>
      <c r="E1421">
        <f>MONTH(OrdersTable[[#This Row],[Order Date]])</f>
        <v>10</v>
      </c>
      <c r="F1421" t="s">
        <v>1050</v>
      </c>
      <c r="G1421" t="str">
        <f>IF(OrdersTable[[#This Row],[Order Date]]=_xlfn.MINIFS(Order_Date, Customer_ID, OrdersTable[[#This Row],[Customer ID]]), "New", "Repeat")</f>
        <v>New</v>
      </c>
      <c r="H1421" t="s">
        <v>21</v>
      </c>
      <c r="I1421" t="str">
        <f>INDEX(State!B:B,MATCH(OrdersTable[[#This Row],[State]],State!A:A,0))</f>
        <v>PB</v>
      </c>
      <c r="J1421" t="str">
        <f>INDEX(State!C:C,MATCH(OrdersTable[[#This Row],[State Code]],State!B:B,0))</f>
        <v>North</v>
      </c>
      <c r="K1421" t="s">
        <v>22</v>
      </c>
      <c r="L1421" t="s">
        <v>65</v>
      </c>
      <c r="M1421" t="s">
        <v>61</v>
      </c>
      <c r="N1421" t="str">
        <f>INDEX(Products!B:B,MATCH(OrdersTable[[#This Row],[Product ID]],Products!A:A,0))</f>
        <v>Multivitamin Gummies</v>
      </c>
      <c r="O1421" t="str">
        <f>INDEX(Products!C:C,MATCH(OrdersTable[[#This Row],[Product ID]],Products!A:A,0))</f>
        <v>Wellness</v>
      </c>
      <c r="P1421">
        <v>1</v>
      </c>
      <c r="Q1421" s="5">
        <v>699</v>
      </c>
      <c r="R1421" s="74">
        <v>0.35</v>
      </c>
      <c r="S1421" s="75">
        <f>OrdersTable[[#This Row],[Quantity]]*OrdersTable[[#This Row],[Unit Price]]</f>
        <v>699</v>
      </c>
      <c r="T1421" s="5">
        <f>OrdersTable[[#This Row],[Gross Sale]]*OrdersTable[[#This Row],[Discount_Clean2]]</f>
        <v>244.64999999999998</v>
      </c>
      <c r="U1421" s="5">
        <f>OrdersTable[[#This Row],[Gross Sale]]-OrdersTable[[#This Row],[Discount Amount]]</f>
        <v>454.35</v>
      </c>
      <c r="V1421" s="77">
        <f>INDEX(Products!E:E,MATCH(OrdersTable[[#This Row],[Product ID]],Products!A:A,0))</f>
        <v>238</v>
      </c>
      <c r="W1421" s="77">
        <f>OrdersTable[[#This Row],[Quantity]]*OrdersTable[[#This Row],[Unit Cost]]</f>
        <v>238</v>
      </c>
      <c r="X1421" s="77">
        <f>'Dropdown Lists'!$I$2*(1+OrdersTable[[#This Row],[Returned]])</f>
        <v>120</v>
      </c>
      <c r="Y1421" s="76">
        <f>OrdersTable[[#This Row],[Net Revenue]]-OrdersTable[[#This Row],[COGS]]-OrdersTable[[#This Row],[Shipping Cost]]</f>
        <v>96.350000000000023</v>
      </c>
      <c r="Z1421" s="78">
        <f>IFERROR(OrdersTable[[#This Row],[Profit]]/OrdersTable[[#This Row],[Net Revenue]],0)</f>
        <v>0.21206118631011339</v>
      </c>
      <c r="AA1421" t="s">
        <v>18</v>
      </c>
      <c r="AB1421" s="79">
        <v>45575</v>
      </c>
      <c r="AC1421">
        <f>OrdersTable[[#This Row],[Delivery Date]]-OrdersTable[[#This Row],[Order Date]]</f>
        <v>5</v>
      </c>
      <c r="AD1421" t="str">
        <f>IF(OrdersTable[[#This Row],[Delivery Days]]&lt;=2, "Express (≤2d)", IF(OrdersTable[[#This Row],[Delivery Days]]&lt;=4, "Standard (3-4d)", "Delayed (5d+)"))</f>
        <v>Delayed (5d+)</v>
      </c>
      <c r="AE1421">
        <v>4</v>
      </c>
      <c r="AF1421">
        <v>1</v>
      </c>
    </row>
    <row r="1422" spans="1:32" ht="15" x14ac:dyDescent="0.35">
      <c r="A1422" t="s">
        <v>3213</v>
      </c>
      <c r="B1422" s="1">
        <v>45570</v>
      </c>
      <c r="C1422">
        <f>YEAR(OrdersTable[[#This Row],[Order Date]])</f>
        <v>2024</v>
      </c>
      <c r="D1422" s="2">
        <f>DATE(YEAR(OrdersTable[[#This Row],[Order Date]]),MONTH(OrdersTable[[#This Row],[Order Date]]),1)</f>
        <v>45566</v>
      </c>
      <c r="E1422">
        <f>MONTH(OrdersTable[[#This Row],[Order Date]])</f>
        <v>10</v>
      </c>
      <c r="F1422" t="s">
        <v>3214</v>
      </c>
      <c r="G1422" t="str">
        <f>IF(OrdersTable[[#This Row],[Order Date]]=_xlfn.MINIFS(Order_Date, Customer_ID, OrdersTable[[#This Row],[Customer ID]]), "New", "Repeat")</f>
        <v>New</v>
      </c>
      <c r="H1422" t="s">
        <v>21</v>
      </c>
      <c r="I1422" t="str">
        <f>INDEX(State!B:B,MATCH(OrdersTable[[#This Row],[State]],State!A:A,0))</f>
        <v>PB</v>
      </c>
      <c r="J1422" t="str">
        <f>INDEX(State!C:C,MATCH(OrdersTable[[#This Row],[State Code]],State!B:B,0))</f>
        <v>North</v>
      </c>
      <c r="K1422" t="s">
        <v>22</v>
      </c>
      <c r="L1422" t="s">
        <v>23</v>
      </c>
      <c r="M1422" t="s">
        <v>34</v>
      </c>
      <c r="N1422" t="str">
        <f>INDEX(Products!B:B,MATCH(OrdersTable[[#This Row],[Product ID]],Products!A:A,0))</f>
        <v>Flip Flops</v>
      </c>
      <c r="O1422" t="str">
        <f>INDEX(Products!C:C,MATCH(OrdersTable[[#This Row],[Product ID]],Products!A:A,0))</f>
        <v>Footwear</v>
      </c>
      <c r="P1422">
        <v>1</v>
      </c>
      <c r="Q1422" s="5">
        <v>399</v>
      </c>
      <c r="R1422" s="74">
        <v>0.1</v>
      </c>
      <c r="S1422" s="75">
        <f>OrdersTable[[#This Row],[Quantity]]*OrdersTable[[#This Row],[Unit Price]]</f>
        <v>399</v>
      </c>
      <c r="T1422" s="5">
        <f>OrdersTable[[#This Row],[Gross Sale]]*OrdersTable[[#This Row],[Discount_Clean2]]</f>
        <v>39.900000000000006</v>
      </c>
      <c r="U1422" s="5">
        <f>OrdersTable[[#This Row],[Gross Sale]]-OrdersTable[[#This Row],[Discount Amount]]</f>
        <v>359.1</v>
      </c>
      <c r="V1422" s="77">
        <f>INDEX(Products!E:E,MATCH(OrdersTable[[#This Row],[Product ID]],Products!A:A,0))</f>
        <v>152</v>
      </c>
      <c r="W1422" s="77">
        <f>OrdersTable[[#This Row],[Quantity]]*OrdersTable[[#This Row],[Unit Cost]]</f>
        <v>152</v>
      </c>
      <c r="X1422" s="77">
        <f>'Dropdown Lists'!$I$2*(1+OrdersTable[[#This Row],[Returned]])</f>
        <v>60</v>
      </c>
      <c r="Y1422" s="76">
        <f>OrdersTable[[#This Row],[Net Revenue]]-OrdersTable[[#This Row],[COGS]]-OrdersTable[[#This Row],[Shipping Cost]]</f>
        <v>147.10000000000002</v>
      </c>
      <c r="Z1422" s="78">
        <f>IFERROR(OrdersTable[[#This Row],[Profit]]/OrdersTable[[#This Row],[Net Revenue]],0)</f>
        <v>0.40963519910888335</v>
      </c>
      <c r="AA1422" t="s">
        <v>2522</v>
      </c>
      <c r="AB1422" s="79">
        <v>45573</v>
      </c>
      <c r="AC1422">
        <f>OrdersTable[[#This Row],[Delivery Date]]-OrdersTable[[#This Row],[Order Date]]</f>
        <v>3</v>
      </c>
      <c r="AD1422" t="str">
        <f>IF(OrdersTable[[#This Row],[Delivery Days]]&lt;=2, "Express (≤2d)", IF(OrdersTable[[#This Row],[Delivery Days]]&lt;=4, "Standard (3-4d)", "Delayed (5d+)"))</f>
        <v>Standard (3-4d)</v>
      </c>
      <c r="AE1422">
        <v>4</v>
      </c>
      <c r="AF1422">
        <v>0</v>
      </c>
    </row>
    <row r="1423" spans="1:32" ht="15" x14ac:dyDescent="0.35">
      <c r="A1423" t="s">
        <v>2498</v>
      </c>
      <c r="B1423" s="1">
        <v>45570</v>
      </c>
      <c r="C1423">
        <f>YEAR(OrdersTable[[#This Row],[Order Date]])</f>
        <v>2024</v>
      </c>
      <c r="D1423" s="2">
        <f>DATE(YEAR(OrdersTable[[#This Row],[Order Date]]),MONTH(OrdersTable[[#This Row],[Order Date]]),1)</f>
        <v>45566</v>
      </c>
      <c r="E1423">
        <f>MONTH(OrdersTable[[#This Row],[Order Date]])</f>
        <v>10</v>
      </c>
      <c r="F1423" t="s">
        <v>2499</v>
      </c>
      <c r="G1423" t="str">
        <f>IF(OrdersTable[[#This Row],[Order Date]]=_xlfn.MINIFS(Order_Date, Customer_ID, OrdersTable[[#This Row],[Customer ID]]), "New", "Repeat")</f>
        <v>New</v>
      </c>
      <c r="H1423" t="s">
        <v>184</v>
      </c>
      <c r="I1423" t="str">
        <f>INDEX(State!B:B,MATCH(OrdersTable[[#This Row],[State]],State!A:A,0))</f>
        <v>UK</v>
      </c>
      <c r="J1423" t="str">
        <f>INDEX(State!C:C,MATCH(OrdersTable[[#This Row],[State Code]],State!B:B,0))</f>
        <v>North</v>
      </c>
      <c r="K1423" t="s">
        <v>185</v>
      </c>
      <c r="L1423" t="s">
        <v>23</v>
      </c>
      <c r="M1423" t="s">
        <v>51</v>
      </c>
      <c r="N1423" t="str">
        <f>INDEX(Products!B:B,MATCH(OrdersTable[[#This Row],[Product ID]],Products!A:A,0))</f>
        <v>Anti-Dandruff Conditioner</v>
      </c>
      <c r="O1423" t="str">
        <f>INDEX(Products!C:C,MATCH(OrdersTable[[#This Row],[Product ID]],Products!A:A,0))</f>
        <v>Haircare</v>
      </c>
      <c r="P1423">
        <v>1</v>
      </c>
      <c r="Q1423" s="5">
        <v>399</v>
      </c>
      <c r="R1423" s="74">
        <v>0.55000000000000004</v>
      </c>
      <c r="S1423" s="75">
        <f>OrdersTable[[#This Row],[Quantity]]*OrdersTable[[#This Row],[Unit Price]]</f>
        <v>399</v>
      </c>
      <c r="T1423" s="5">
        <f>OrdersTable[[#This Row],[Gross Sale]]*OrdersTable[[#This Row],[Discount_Clean2]]</f>
        <v>219.45000000000002</v>
      </c>
      <c r="U1423" s="5">
        <f>OrdersTable[[#This Row],[Gross Sale]]-OrdersTable[[#This Row],[Discount Amount]]</f>
        <v>179.54999999999998</v>
      </c>
      <c r="V1423" s="77">
        <f>INDEX(Products!E:E,MATCH(OrdersTable[[#This Row],[Product ID]],Products!A:A,0))</f>
        <v>136</v>
      </c>
      <c r="W1423" s="77">
        <f>OrdersTable[[#This Row],[Quantity]]*OrdersTable[[#This Row],[Unit Cost]]</f>
        <v>136</v>
      </c>
      <c r="X1423" s="77">
        <f>'Dropdown Lists'!$I$2*(1+OrdersTable[[#This Row],[Returned]])</f>
        <v>60</v>
      </c>
      <c r="Y1423" s="76">
        <f>OrdersTable[[#This Row],[Net Revenue]]-OrdersTable[[#This Row],[COGS]]-OrdersTable[[#This Row],[Shipping Cost]]</f>
        <v>-16.450000000000017</v>
      </c>
      <c r="Z1423" s="78">
        <f>IFERROR(OrdersTable[[#This Row],[Profit]]/OrdersTable[[#This Row],[Net Revenue]],0)</f>
        <v>-9.1617933723196987E-2</v>
      </c>
      <c r="AA1423" t="s">
        <v>18</v>
      </c>
      <c r="AB1423" s="79">
        <v>45574</v>
      </c>
      <c r="AC1423">
        <f>OrdersTable[[#This Row],[Delivery Date]]-OrdersTable[[#This Row],[Order Date]]</f>
        <v>4</v>
      </c>
      <c r="AD1423" t="str">
        <f>IF(OrdersTable[[#This Row],[Delivery Days]]&lt;=2, "Express (≤2d)", IF(OrdersTable[[#This Row],[Delivery Days]]&lt;=4, "Standard (3-4d)", "Delayed (5d+)"))</f>
        <v>Standard (3-4d)</v>
      </c>
      <c r="AE1423">
        <v>2</v>
      </c>
      <c r="AF1423">
        <v>0</v>
      </c>
    </row>
    <row r="1424" spans="1:32" ht="15" x14ac:dyDescent="0.35">
      <c r="A1424" t="s">
        <v>5779</v>
      </c>
      <c r="B1424" s="1">
        <v>45570</v>
      </c>
      <c r="C1424">
        <f>YEAR(OrdersTable[[#This Row],[Order Date]])</f>
        <v>2024</v>
      </c>
      <c r="D1424" s="2">
        <f>DATE(YEAR(OrdersTable[[#This Row],[Order Date]]),MONTH(OrdersTable[[#This Row],[Order Date]]),1)</f>
        <v>45566</v>
      </c>
      <c r="E1424">
        <f>MONTH(OrdersTable[[#This Row],[Order Date]])</f>
        <v>10</v>
      </c>
      <c r="F1424" t="s">
        <v>5780</v>
      </c>
      <c r="G1424" t="str">
        <f>IF(OrdersTable[[#This Row],[Order Date]]=_xlfn.MINIFS(Order_Date, Customer_ID, OrdersTable[[#This Row],[Customer ID]]), "New", "Repeat")</f>
        <v>New</v>
      </c>
      <c r="H1424" t="s">
        <v>48</v>
      </c>
      <c r="I1424" t="str">
        <f>INDEX(State!B:B,MATCH(OrdersTable[[#This Row],[State]],State!A:A,0))</f>
        <v>HR</v>
      </c>
      <c r="J1424" t="str">
        <f>INDEX(State!C:C,MATCH(OrdersTable[[#This Row],[State Code]],State!B:B,0))</f>
        <v>North</v>
      </c>
      <c r="K1424" t="s">
        <v>49</v>
      </c>
      <c r="L1424" t="s">
        <v>65</v>
      </c>
      <c r="M1424" t="s">
        <v>148</v>
      </c>
      <c r="N1424" t="str">
        <f>INDEX(Products!B:B,MATCH(OrdersTable[[#This Row],[Product ID]],Products!A:A,0))</f>
        <v>Smartwatch Strap</v>
      </c>
      <c r="O1424" t="str">
        <f>INDEX(Products!C:C,MATCH(OrdersTable[[#This Row],[Product ID]],Products!A:A,0))</f>
        <v>Electronics</v>
      </c>
      <c r="P1424">
        <v>2</v>
      </c>
      <c r="Q1424" s="5">
        <v>499</v>
      </c>
      <c r="R1424" s="74">
        <v>0.15</v>
      </c>
      <c r="S1424" s="75">
        <f>OrdersTable[[#This Row],[Quantity]]*OrdersTable[[#This Row],[Unit Price]]</f>
        <v>998</v>
      </c>
      <c r="T1424" s="5">
        <f>OrdersTable[[#This Row],[Gross Sale]]*OrdersTable[[#This Row],[Discount_Clean2]]</f>
        <v>149.69999999999999</v>
      </c>
      <c r="U1424" s="5">
        <f>OrdersTable[[#This Row],[Gross Sale]]-OrdersTable[[#This Row],[Discount Amount]]</f>
        <v>848.3</v>
      </c>
      <c r="V1424" s="77">
        <f>INDEX(Products!E:E,MATCH(OrdersTable[[#This Row],[Product ID]],Products!A:A,0))</f>
        <v>200</v>
      </c>
      <c r="W1424" s="77">
        <f>OrdersTable[[#This Row],[Quantity]]*OrdersTable[[#This Row],[Unit Cost]]</f>
        <v>400</v>
      </c>
      <c r="X1424" s="77">
        <f>'Dropdown Lists'!$I$2*(1+OrdersTable[[#This Row],[Returned]])</f>
        <v>60</v>
      </c>
      <c r="Y1424" s="76">
        <f>OrdersTable[[#This Row],[Net Revenue]]-OrdersTable[[#This Row],[COGS]]-OrdersTable[[#This Row],[Shipping Cost]]</f>
        <v>388.29999999999995</v>
      </c>
      <c r="Z1424" s="78">
        <f>IFERROR(OrdersTable[[#This Row],[Profit]]/OrdersTable[[#This Row],[Net Revenue]],0)</f>
        <v>0.45773900742661794</v>
      </c>
      <c r="AA1424" t="s">
        <v>18</v>
      </c>
      <c r="AB1424" s="79">
        <v>45572</v>
      </c>
      <c r="AC1424">
        <f>OrdersTable[[#This Row],[Delivery Date]]-OrdersTable[[#This Row],[Order Date]]</f>
        <v>2</v>
      </c>
      <c r="AD1424" t="str">
        <f>IF(OrdersTable[[#This Row],[Delivery Days]]&lt;=2, "Express (≤2d)", IF(OrdersTable[[#This Row],[Delivery Days]]&lt;=4, "Standard (3-4d)", "Delayed (5d+)"))</f>
        <v>Express (≤2d)</v>
      </c>
      <c r="AE1424">
        <v>5</v>
      </c>
      <c r="AF1424">
        <v>0</v>
      </c>
    </row>
    <row r="1425" spans="1:32" ht="15" x14ac:dyDescent="0.35">
      <c r="A1425" t="s">
        <v>193</v>
      </c>
      <c r="B1425" s="1">
        <v>45570</v>
      </c>
      <c r="C1425">
        <f>YEAR(OrdersTable[[#This Row],[Order Date]])</f>
        <v>2024</v>
      </c>
      <c r="D1425" s="2">
        <f>DATE(YEAR(OrdersTable[[#This Row],[Order Date]]),MONTH(OrdersTable[[#This Row],[Order Date]]),1)</f>
        <v>45566</v>
      </c>
      <c r="E1425">
        <f>MONTH(OrdersTable[[#This Row],[Order Date]])</f>
        <v>10</v>
      </c>
      <c r="F1425" t="s">
        <v>194</v>
      </c>
      <c r="G1425" t="str">
        <f>IF(OrdersTable[[#This Row],[Order Date]]=_xlfn.MINIFS(Order_Date, Customer_ID, OrdersTable[[#This Row],[Customer ID]]), "New", "Repeat")</f>
        <v>New</v>
      </c>
      <c r="H1425" t="s">
        <v>76</v>
      </c>
      <c r="I1425" t="str">
        <f>INDEX(State!B:B,MATCH(OrdersTable[[#This Row],[State]],State!A:A,0))</f>
        <v>UP</v>
      </c>
      <c r="J1425" t="str">
        <f>INDEX(State!C:C,MATCH(OrdersTable[[#This Row],[State Code]],State!B:B,0))</f>
        <v>North</v>
      </c>
      <c r="K1425" t="s">
        <v>77</v>
      </c>
      <c r="L1425" t="s">
        <v>65</v>
      </c>
      <c r="M1425" t="s">
        <v>73</v>
      </c>
      <c r="N1425" t="str">
        <f>INDEX(Products!B:B,MATCH(OrdersTable[[#This Row],[Product ID]],Products!A:A,0))</f>
        <v>Hydrating Face Wash</v>
      </c>
      <c r="O1425" t="str">
        <f>INDEX(Products!C:C,MATCH(OrdersTable[[#This Row],[Product ID]],Products!A:A,0))</f>
        <v>Skincare</v>
      </c>
      <c r="P1425">
        <v>1</v>
      </c>
      <c r="Q1425" s="5">
        <v>299</v>
      </c>
      <c r="R1425" s="74">
        <v>0.2</v>
      </c>
      <c r="S1425" s="75">
        <f>OrdersTable[[#This Row],[Quantity]]*OrdersTable[[#This Row],[Unit Price]]</f>
        <v>299</v>
      </c>
      <c r="T1425" s="5">
        <f>OrdersTable[[#This Row],[Gross Sale]]*OrdersTable[[#This Row],[Discount_Clean2]]</f>
        <v>59.800000000000004</v>
      </c>
      <c r="U1425" s="5">
        <f>OrdersTable[[#This Row],[Gross Sale]]-OrdersTable[[#This Row],[Discount Amount]]</f>
        <v>239.2</v>
      </c>
      <c r="V1425" s="77">
        <f>INDEX(Products!E:E,MATCH(OrdersTable[[#This Row],[Product ID]],Products!A:A,0))</f>
        <v>90</v>
      </c>
      <c r="W1425" s="77">
        <f>OrdersTable[[#This Row],[Quantity]]*OrdersTable[[#This Row],[Unit Cost]]</f>
        <v>90</v>
      </c>
      <c r="X1425" s="77">
        <f>'Dropdown Lists'!$I$2*(1+OrdersTable[[#This Row],[Returned]])</f>
        <v>60</v>
      </c>
      <c r="Y1425" s="76">
        <f>OrdersTable[[#This Row],[Net Revenue]]-OrdersTable[[#This Row],[COGS]]-OrdersTable[[#This Row],[Shipping Cost]]</f>
        <v>89.199999999999989</v>
      </c>
      <c r="Z1425" s="78">
        <f>IFERROR(OrdersTable[[#This Row],[Profit]]/OrdersTable[[#This Row],[Net Revenue]],0)</f>
        <v>0.37290969899665549</v>
      </c>
      <c r="AA1425" t="s">
        <v>18</v>
      </c>
      <c r="AB1425" s="79">
        <v>45573</v>
      </c>
      <c r="AC1425">
        <f>OrdersTable[[#This Row],[Delivery Date]]-OrdersTable[[#This Row],[Order Date]]</f>
        <v>3</v>
      </c>
      <c r="AD1425" t="str">
        <f>IF(OrdersTable[[#This Row],[Delivery Days]]&lt;=2, "Express (≤2d)", IF(OrdersTable[[#This Row],[Delivery Days]]&lt;=4, "Standard (3-4d)", "Delayed (5d+)"))</f>
        <v>Standard (3-4d)</v>
      </c>
      <c r="AE1425">
        <v>4</v>
      </c>
      <c r="AF1425">
        <v>0</v>
      </c>
    </row>
    <row r="1426" spans="1:32" ht="15" x14ac:dyDescent="0.35">
      <c r="A1426" t="s">
        <v>195</v>
      </c>
      <c r="B1426" s="1">
        <v>45570</v>
      </c>
      <c r="C1426">
        <f>YEAR(OrdersTable[[#This Row],[Order Date]])</f>
        <v>2024</v>
      </c>
      <c r="D1426" s="2">
        <f>DATE(YEAR(OrdersTable[[#This Row],[Order Date]]),MONTH(OrdersTable[[#This Row],[Order Date]]),1)</f>
        <v>45566</v>
      </c>
      <c r="E1426">
        <f>MONTH(OrdersTable[[#This Row],[Order Date]])</f>
        <v>10</v>
      </c>
      <c r="F1426" t="s">
        <v>196</v>
      </c>
      <c r="G1426" t="str">
        <f>IF(OrdersTable[[#This Row],[Order Date]]=_xlfn.MINIFS(Order_Date, Customer_ID, OrdersTable[[#This Row],[Customer ID]]), "New", "Repeat")</f>
        <v>New</v>
      </c>
      <c r="H1426" t="s">
        <v>37</v>
      </c>
      <c r="I1426" t="str">
        <f>INDEX(State!B:B,MATCH(OrdersTable[[#This Row],[State]],State!A:A,0))</f>
        <v>GJ</v>
      </c>
      <c r="J1426" t="str">
        <f>INDEX(State!C:C,MATCH(OrdersTable[[#This Row],[State Code]],State!B:B,0))</f>
        <v>West</v>
      </c>
      <c r="K1426" t="s">
        <v>38</v>
      </c>
      <c r="L1426" t="s">
        <v>65</v>
      </c>
      <c r="M1426" t="s">
        <v>78</v>
      </c>
      <c r="N1426" t="str">
        <f>INDEX(Products!B:B,MATCH(OrdersTable[[#This Row],[Product ID]],Products!A:A,0))</f>
        <v>Retinol Night Cream</v>
      </c>
      <c r="O1426" t="str">
        <f>INDEX(Products!C:C,MATCH(OrdersTable[[#This Row],[Product ID]],Products!A:A,0))</f>
        <v>Skincare</v>
      </c>
      <c r="P1426">
        <v>1</v>
      </c>
      <c r="Q1426" s="5">
        <v>799</v>
      </c>
      <c r="R1426" s="74">
        <v>0.2</v>
      </c>
      <c r="S1426" s="75">
        <f>OrdersTable[[#This Row],[Quantity]]*OrdersTable[[#This Row],[Unit Price]]</f>
        <v>799</v>
      </c>
      <c r="T1426" s="5">
        <f>OrdersTable[[#This Row],[Gross Sale]]*OrdersTable[[#This Row],[Discount_Clean2]]</f>
        <v>159.80000000000001</v>
      </c>
      <c r="U1426" s="5">
        <f>OrdersTable[[#This Row],[Gross Sale]]-OrdersTable[[#This Row],[Discount Amount]]</f>
        <v>639.20000000000005</v>
      </c>
      <c r="V1426" s="77">
        <f>INDEX(Products!E:E,MATCH(OrdersTable[[#This Row],[Product ID]],Products!A:A,0))</f>
        <v>216</v>
      </c>
      <c r="W1426" s="77">
        <f>OrdersTable[[#This Row],[Quantity]]*OrdersTable[[#This Row],[Unit Cost]]</f>
        <v>216</v>
      </c>
      <c r="X1426" s="77">
        <f>'Dropdown Lists'!$I$2*(1+OrdersTable[[#This Row],[Returned]])</f>
        <v>60</v>
      </c>
      <c r="Y1426" s="76">
        <f>OrdersTable[[#This Row],[Net Revenue]]-OrdersTable[[#This Row],[COGS]]-OrdersTable[[#This Row],[Shipping Cost]]</f>
        <v>363.20000000000005</v>
      </c>
      <c r="Z1426" s="78">
        <f>IFERROR(OrdersTable[[#This Row],[Profit]]/OrdersTable[[#This Row],[Net Revenue]],0)</f>
        <v>0.56821026282853571</v>
      </c>
      <c r="AA1426" t="s">
        <v>18</v>
      </c>
      <c r="AB1426" s="79">
        <v>45575</v>
      </c>
      <c r="AC1426">
        <f>OrdersTable[[#This Row],[Delivery Date]]-OrdersTable[[#This Row],[Order Date]]</f>
        <v>5</v>
      </c>
      <c r="AD1426" t="str">
        <f>IF(OrdersTable[[#This Row],[Delivery Days]]&lt;=2, "Express (≤2d)", IF(OrdersTable[[#This Row],[Delivery Days]]&lt;=4, "Standard (3-4d)", "Delayed (5d+)"))</f>
        <v>Delayed (5d+)</v>
      </c>
      <c r="AE1426">
        <v>4</v>
      </c>
      <c r="AF1426">
        <v>0</v>
      </c>
    </row>
    <row r="1427" spans="1:32" ht="15" x14ac:dyDescent="0.35">
      <c r="A1427" t="s">
        <v>6088</v>
      </c>
      <c r="B1427" s="1">
        <v>45570</v>
      </c>
      <c r="C1427">
        <f>YEAR(OrdersTable[[#This Row],[Order Date]])</f>
        <v>2024</v>
      </c>
      <c r="D1427" s="2">
        <f>DATE(YEAR(OrdersTable[[#This Row],[Order Date]]),MONTH(OrdersTable[[#This Row],[Order Date]]),1)</f>
        <v>45566</v>
      </c>
      <c r="E1427">
        <f>MONTH(OrdersTable[[#This Row],[Order Date]])</f>
        <v>10</v>
      </c>
      <c r="F1427" t="s">
        <v>2020</v>
      </c>
      <c r="G1427" t="str">
        <f>IF(OrdersTable[[#This Row],[Order Date]]=_xlfn.MINIFS(Order_Date, Customer_ID, OrdersTable[[#This Row],[Customer ID]]), "New", "Repeat")</f>
        <v>New</v>
      </c>
      <c r="H1427" t="s">
        <v>37</v>
      </c>
      <c r="I1427" t="str">
        <f>INDEX(State!B:B,MATCH(OrdersTable[[#This Row],[State]],State!A:A,0))</f>
        <v>GJ</v>
      </c>
      <c r="J1427" t="str">
        <f>INDEX(State!C:C,MATCH(OrdersTable[[#This Row],[State Code]],State!B:B,0))</f>
        <v>West</v>
      </c>
      <c r="K1427" t="s">
        <v>38</v>
      </c>
      <c r="L1427" t="s">
        <v>39</v>
      </c>
      <c r="M1427" t="s">
        <v>84</v>
      </c>
      <c r="N1427" t="str">
        <f>INDEX(Products!B:B,MATCH(OrdersTable[[#This Row],[Product ID]],Products!A:A,0))</f>
        <v>Cotton Bedsheet</v>
      </c>
      <c r="O1427" t="str">
        <f>INDEX(Products!C:C,MATCH(OrdersTable[[#This Row],[Product ID]],Products!A:A,0))</f>
        <v>Home &amp; Kitchen</v>
      </c>
      <c r="P1427">
        <v>2</v>
      </c>
      <c r="Q1427" s="5">
        <v>1299</v>
      </c>
      <c r="R1427" s="74">
        <v>0.1</v>
      </c>
      <c r="S1427" s="75">
        <f>OrdersTable[[#This Row],[Quantity]]*OrdersTable[[#This Row],[Unit Price]]</f>
        <v>2598</v>
      </c>
      <c r="T1427" s="5">
        <f>OrdersTable[[#This Row],[Gross Sale]]*OrdersTable[[#This Row],[Discount_Clean2]]</f>
        <v>259.8</v>
      </c>
      <c r="U1427" s="5">
        <f>OrdersTable[[#This Row],[Gross Sale]]-OrdersTable[[#This Row],[Discount Amount]]</f>
        <v>2338.1999999999998</v>
      </c>
      <c r="V1427" s="77">
        <f>INDEX(Products!E:E,MATCH(OrdersTable[[#This Row],[Product ID]],Products!A:A,0))</f>
        <v>585</v>
      </c>
      <c r="W1427" s="77">
        <f>OrdersTable[[#This Row],[Quantity]]*OrdersTable[[#This Row],[Unit Cost]]</f>
        <v>1170</v>
      </c>
      <c r="X1427" s="77">
        <f>'Dropdown Lists'!$I$2*(1+OrdersTable[[#This Row],[Returned]])</f>
        <v>60</v>
      </c>
      <c r="Y1427" s="76">
        <f>OrdersTable[[#This Row],[Net Revenue]]-OrdersTable[[#This Row],[COGS]]-OrdersTable[[#This Row],[Shipping Cost]]</f>
        <v>1108.1999999999998</v>
      </c>
      <c r="Z1427" s="78">
        <f>IFERROR(OrdersTable[[#This Row],[Profit]]/OrdersTable[[#This Row],[Net Revenue]],0)</f>
        <v>0.47395432383885033</v>
      </c>
      <c r="AA1427" t="s">
        <v>18</v>
      </c>
      <c r="AB1427" s="79">
        <v>45574</v>
      </c>
      <c r="AC1427">
        <f>OrdersTable[[#This Row],[Delivery Date]]-OrdersTable[[#This Row],[Order Date]]</f>
        <v>4</v>
      </c>
      <c r="AD1427" t="str">
        <f>IF(OrdersTable[[#This Row],[Delivery Days]]&lt;=2, "Express (≤2d)", IF(OrdersTable[[#This Row],[Delivery Days]]&lt;=4, "Standard (3-4d)", "Delayed (5d+)"))</f>
        <v>Standard (3-4d)</v>
      </c>
      <c r="AE1427">
        <v>4</v>
      </c>
      <c r="AF1427">
        <v>0</v>
      </c>
    </row>
    <row r="1428" spans="1:32" ht="15" x14ac:dyDescent="0.35">
      <c r="A1428" t="s">
        <v>3424</v>
      </c>
      <c r="B1428" s="1">
        <v>45570</v>
      </c>
      <c r="C1428">
        <f>YEAR(OrdersTable[[#This Row],[Order Date]])</f>
        <v>2024</v>
      </c>
      <c r="D1428" s="2">
        <f>DATE(YEAR(OrdersTable[[#This Row],[Order Date]]),MONTH(OrdersTable[[#This Row],[Order Date]]),1)</f>
        <v>45566</v>
      </c>
      <c r="E1428">
        <f>MONTH(OrdersTable[[#This Row],[Order Date]])</f>
        <v>10</v>
      </c>
      <c r="F1428" t="s">
        <v>75</v>
      </c>
      <c r="G1428" t="str">
        <f>IF(OrdersTable[[#This Row],[Order Date]]=_xlfn.MINIFS(Order_Date, Customer_ID, OrdersTable[[#This Row],[Customer ID]]), "New", "Repeat")</f>
        <v>Repeat</v>
      </c>
      <c r="H1428" t="s">
        <v>43</v>
      </c>
      <c r="I1428" t="str">
        <f>INDEX(State!B:B,MATCH(OrdersTable[[#This Row],[State]],State!A:A,0))</f>
        <v>MP</v>
      </c>
      <c r="J1428" t="str">
        <f>INDEX(State!C:C,MATCH(OrdersTable[[#This Row],[State Code]],State!B:B,0))</f>
        <v>West</v>
      </c>
      <c r="K1428" t="s">
        <v>44</v>
      </c>
      <c r="L1428" t="s">
        <v>65</v>
      </c>
      <c r="M1428" t="s">
        <v>34</v>
      </c>
      <c r="N1428" t="str">
        <f>INDEX(Products!B:B,MATCH(OrdersTable[[#This Row],[Product ID]],Products!A:A,0))</f>
        <v>Flip Flops</v>
      </c>
      <c r="O1428" t="str">
        <f>INDEX(Products!C:C,MATCH(OrdersTable[[#This Row],[Product ID]],Products!A:A,0))</f>
        <v>Footwear</v>
      </c>
      <c r="P1428">
        <v>1</v>
      </c>
      <c r="Q1428" s="5">
        <v>399</v>
      </c>
      <c r="R1428" s="74">
        <v>0.25</v>
      </c>
      <c r="S1428" s="75">
        <f>OrdersTable[[#This Row],[Quantity]]*OrdersTable[[#This Row],[Unit Price]]</f>
        <v>399</v>
      </c>
      <c r="T1428" s="5">
        <f>OrdersTable[[#This Row],[Gross Sale]]*OrdersTable[[#This Row],[Discount_Clean2]]</f>
        <v>99.75</v>
      </c>
      <c r="U1428" s="5">
        <f>OrdersTable[[#This Row],[Gross Sale]]-OrdersTable[[#This Row],[Discount Amount]]</f>
        <v>299.25</v>
      </c>
      <c r="V1428" s="77">
        <f>INDEX(Products!E:E,MATCH(OrdersTable[[#This Row],[Product ID]],Products!A:A,0))</f>
        <v>152</v>
      </c>
      <c r="W1428" s="77">
        <f>OrdersTable[[#This Row],[Quantity]]*OrdersTable[[#This Row],[Unit Cost]]</f>
        <v>152</v>
      </c>
      <c r="X1428" s="77">
        <f>'Dropdown Lists'!$I$2*(1+OrdersTable[[#This Row],[Returned]])</f>
        <v>120</v>
      </c>
      <c r="Y1428" s="76">
        <f>OrdersTable[[#This Row],[Net Revenue]]-OrdersTable[[#This Row],[COGS]]-OrdersTable[[#This Row],[Shipping Cost]]</f>
        <v>27.25</v>
      </c>
      <c r="Z1428" s="78">
        <f>IFERROR(OrdersTable[[#This Row],[Profit]]/OrdersTable[[#This Row],[Net Revenue]],0)</f>
        <v>9.1060985797827898E-2</v>
      </c>
      <c r="AA1428" t="s">
        <v>2522</v>
      </c>
      <c r="AB1428" s="79">
        <v>45573</v>
      </c>
      <c r="AC1428">
        <f>OrdersTable[[#This Row],[Delivery Date]]-OrdersTable[[#This Row],[Order Date]]</f>
        <v>3</v>
      </c>
      <c r="AD1428" t="str">
        <f>IF(OrdersTable[[#This Row],[Delivery Days]]&lt;=2, "Express (≤2d)", IF(OrdersTable[[#This Row],[Delivery Days]]&lt;=4, "Standard (3-4d)", "Delayed (5d+)"))</f>
        <v>Standard (3-4d)</v>
      </c>
      <c r="AE1428">
        <v>4</v>
      </c>
      <c r="AF1428">
        <v>1</v>
      </c>
    </row>
    <row r="1429" spans="1:32" ht="15" x14ac:dyDescent="0.35">
      <c r="A1429" t="s">
        <v>3737</v>
      </c>
      <c r="B1429" s="1">
        <v>45570</v>
      </c>
      <c r="C1429">
        <f>YEAR(OrdersTable[[#This Row],[Order Date]])</f>
        <v>2024</v>
      </c>
      <c r="D1429" s="2">
        <f>DATE(YEAR(OrdersTable[[#This Row],[Order Date]]),MONTH(OrdersTable[[#This Row],[Order Date]]),1)</f>
        <v>45566</v>
      </c>
      <c r="E1429">
        <f>MONTH(OrdersTable[[#This Row],[Order Date]])</f>
        <v>10</v>
      </c>
      <c r="F1429" t="s">
        <v>733</v>
      </c>
      <c r="G1429" t="str">
        <f>IF(OrdersTable[[#This Row],[Order Date]]=_xlfn.MINIFS(Order_Date, Customer_ID, OrdersTable[[#This Row],[Customer ID]]), "New", "Repeat")</f>
        <v>Repeat</v>
      </c>
      <c r="H1429" t="s">
        <v>71</v>
      </c>
      <c r="I1429" t="str">
        <f>INDEX(State!B:B,MATCH(OrdersTable[[#This Row],[State]],State!A:A,0))</f>
        <v>MH</v>
      </c>
      <c r="J1429" t="str">
        <f>INDEX(State!C:C,MATCH(OrdersTable[[#This Row],[State Code]],State!B:B,0))</f>
        <v>West</v>
      </c>
      <c r="K1429" t="s">
        <v>72</v>
      </c>
      <c r="L1429" t="s">
        <v>39</v>
      </c>
      <c r="M1429" t="s">
        <v>565</v>
      </c>
      <c r="N1429" t="str">
        <f>INDEX(Products!B:B,MATCH(OrdersTable[[#This Row],[Product ID]],Products!A:A,0))</f>
        <v>Ceramic Dinner Set</v>
      </c>
      <c r="O1429" t="str">
        <f>INDEX(Products!C:C,MATCH(OrdersTable[[#This Row],[Product ID]],Products!A:A,0))</f>
        <v>Home &amp; Kitchen</v>
      </c>
      <c r="P1429">
        <v>1</v>
      </c>
      <c r="Q1429" s="5">
        <v>2499</v>
      </c>
      <c r="R1429" s="74">
        <v>0.25</v>
      </c>
      <c r="S1429" s="75">
        <f>OrdersTable[[#This Row],[Quantity]]*OrdersTable[[#This Row],[Unit Price]]</f>
        <v>2499</v>
      </c>
      <c r="T1429" s="5">
        <f>OrdersTable[[#This Row],[Gross Sale]]*OrdersTable[[#This Row],[Discount_Clean2]]</f>
        <v>624.75</v>
      </c>
      <c r="U1429" s="5">
        <f>OrdersTable[[#This Row],[Gross Sale]]-OrdersTable[[#This Row],[Discount Amount]]</f>
        <v>1874.25</v>
      </c>
      <c r="V1429" s="77">
        <f>INDEX(Products!E:E,MATCH(OrdersTable[[#This Row],[Product ID]],Products!A:A,0))</f>
        <v>1250</v>
      </c>
      <c r="W1429" s="77">
        <f>OrdersTable[[#This Row],[Quantity]]*OrdersTable[[#This Row],[Unit Cost]]</f>
        <v>1250</v>
      </c>
      <c r="X1429" s="77">
        <f>'Dropdown Lists'!$I$2*(1+OrdersTable[[#This Row],[Returned]])</f>
        <v>60</v>
      </c>
      <c r="Y1429" s="76">
        <f>OrdersTable[[#This Row],[Net Revenue]]-OrdersTable[[#This Row],[COGS]]-OrdersTable[[#This Row],[Shipping Cost]]</f>
        <v>564.25</v>
      </c>
      <c r="Z1429" s="78">
        <f>IFERROR(OrdersTable[[#This Row],[Profit]]/OrdersTable[[#This Row],[Net Revenue]],0)</f>
        <v>0.30105375483526742</v>
      </c>
      <c r="AA1429" t="s">
        <v>3495</v>
      </c>
      <c r="AB1429" s="79">
        <v>45575</v>
      </c>
      <c r="AC1429">
        <f>OrdersTable[[#This Row],[Delivery Date]]-OrdersTable[[#This Row],[Order Date]]</f>
        <v>5</v>
      </c>
      <c r="AD1429" t="str">
        <f>IF(OrdersTable[[#This Row],[Delivery Days]]&lt;=2, "Express (≤2d)", IF(OrdersTable[[#This Row],[Delivery Days]]&lt;=4, "Standard (3-4d)", "Delayed (5d+)"))</f>
        <v>Delayed (5d+)</v>
      </c>
      <c r="AF1429">
        <v>0</v>
      </c>
    </row>
    <row r="1430" spans="1:32" ht="15" x14ac:dyDescent="0.35">
      <c r="A1430" t="s">
        <v>6513</v>
      </c>
      <c r="B1430" s="1">
        <v>45570</v>
      </c>
      <c r="C1430">
        <f>YEAR(OrdersTable[[#This Row],[Order Date]])</f>
        <v>2024</v>
      </c>
      <c r="D1430" s="2">
        <f>DATE(YEAR(OrdersTable[[#This Row],[Order Date]]),MONTH(OrdersTable[[#This Row],[Order Date]]),1)</f>
        <v>45566</v>
      </c>
      <c r="E1430">
        <f>MONTH(OrdersTable[[#This Row],[Order Date]])</f>
        <v>10</v>
      </c>
      <c r="F1430" t="s">
        <v>6514</v>
      </c>
      <c r="G1430" t="str">
        <f>IF(OrdersTable[[#This Row],[Order Date]]=_xlfn.MINIFS(Order_Date, Customer_ID, OrdersTable[[#This Row],[Customer ID]]), "New", "Repeat")</f>
        <v>New</v>
      </c>
      <c r="H1430" t="s">
        <v>167</v>
      </c>
      <c r="I1430" t="str">
        <f>INDEX(State!B:B,MATCH(OrdersTable[[#This Row],[State]],State!A:A,0))</f>
        <v>KA</v>
      </c>
      <c r="J1430" t="str">
        <f>INDEX(State!C:C,MATCH(OrdersTable[[#This Row],[State Code]],State!B:B,0))</f>
        <v>South</v>
      </c>
      <c r="K1430" t="s">
        <v>190</v>
      </c>
      <c r="L1430" t="s">
        <v>16</v>
      </c>
      <c r="M1430" t="s">
        <v>87</v>
      </c>
      <c r="N1430" t="str">
        <f>INDEX(Products!B:B,MATCH(OrdersTable[[#This Row],[Product ID]],Products!A:A,0))</f>
        <v>Linen Kurta</v>
      </c>
      <c r="O1430" t="str">
        <f>INDEX(Products!C:C,MATCH(OrdersTable[[#This Row],[Product ID]],Products!A:A,0))</f>
        <v>Apparel</v>
      </c>
      <c r="P1430">
        <v>3</v>
      </c>
      <c r="Q1430" s="5">
        <v>1499</v>
      </c>
      <c r="R1430" s="74">
        <v>0.5</v>
      </c>
      <c r="S1430" s="75">
        <f>OrdersTable[[#This Row],[Quantity]]*OrdersTable[[#This Row],[Unit Price]]</f>
        <v>4497</v>
      </c>
      <c r="T1430" s="5">
        <f>OrdersTable[[#This Row],[Gross Sale]]*OrdersTable[[#This Row],[Discount_Clean2]]</f>
        <v>2248.5</v>
      </c>
      <c r="U1430" s="5">
        <f>OrdersTable[[#This Row],[Gross Sale]]-OrdersTable[[#This Row],[Discount Amount]]</f>
        <v>2248.5</v>
      </c>
      <c r="V1430" s="77">
        <f>INDEX(Products!E:E,MATCH(OrdersTable[[#This Row],[Product ID]],Products!A:A,0))</f>
        <v>630</v>
      </c>
      <c r="W1430" s="77">
        <f>OrdersTable[[#This Row],[Quantity]]*OrdersTable[[#This Row],[Unit Cost]]</f>
        <v>1890</v>
      </c>
      <c r="X1430" s="77">
        <f>'Dropdown Lists'!$I$2*(1+OrdersTable[[#This Row],[Returned]])</f>
        <v>60</v>
      </c>
      <c r="Y1430" s="76">
        <f>OrdersTable[[#This Row],[Net Revenue]]-OrdersTable[[#This Row],[COGS]]-OrdersTable[[#This Row],[Shipping Cost]]</f>
        <v>298.5</v>
      </c>
      <c r="Z1430" s="78">
        <f>IFERROR(OrdersTable[[#This Row],[Profit]]/OrdersTable[[#This Row],[Net Revenue]],0)</f>
        <v>0.13275517011340893</v>
      </c>
      <c r="AA1430" t="s">
        <v>18</v>
      </c>
      <c r="AB1430" s="79">
        <v>45573</v>
      </c>
      <c r="AC1430">
        <f>OrdersTable[[#This Row],[Delivery Date]]-OrdersTable[[#This Row],[Order Date]]</f>
        <v>3</v>
      </c>
      <c r="AD1430" t="str">
        <f>IF(OrdersTable[[#This Row],[Delivery Days]]&lt;=2, "Express (≤2d)", IF(OrdersTable[[#This Row],[Delivery Days]]&lt;=4, "Standard (3-4d)", "Delayed (5d+)"))</f>
        <v>Standard (3-4d)</v>
      </c>
      <c r="AE1430">
        <v>4</v>
      </c>
      <c r="AF1430">
        <v>0</v>
      </c>
    </row>
    <row r="1431" spans="1:32" ht="15" x14ac:dyDescent="0.35">
      <c r="A1431" t="s">
        <v>5892</v>
      </c>
      <c r="B1431" s="1">
        <v>45570</v>
      </c>
      <c r="C1431">
        <f>YEAR(OrdersTable[[#This Row],[Order Date]])</f>
        <v>2024</v>
      </c>
      <c r="D1431" s="2">
        <f>DATE(YEAR(OrdersTable[[#This Row],[Order Date]]),MONTH(OrdersTable[[#This Row],[Order Date]]),1)</f>
        <v>45566</v>
      </c>
      <c r="E1431">
        <f>MONTH(OrdersTable[[#This Row],[Order Date]])</f>
        <v>10</v>
      </c>
      <c r="F1431" t="s">
        <v>1058</v>
      </c>
      <c r="G1431" t="str">
        <f>IF(OrdersTable[[#This Row],[Order Date]]=_xlfn.MINIFS(Order_Date, Customer_ID, OrdersTable[[#This Row],[Customer ID]]), "New", "Repeat")</f>
        <v>New</v>
      </c>
      <c r="H1431" t="s">
        <v>167</v>
      </c>
      <c r="I1431" t="str">
        <f>INDEX(State!B:B,MATCH(OrdersTable[[#This Row],[State]],State!A:A,0))</f>
        <v>KA</v>
      </c>
      <c r="J1431" t="str">
        <f>INDEX(State!C:C,MATCH(OrdersTable[[#This Row],[State Code]],State!B:B,0))</f>
        <v>South</v>
      </c>
      <c r="K1431" t="s">
        <v>168</v>
      </c>
      <c r="L1431" t="s">
        <v>65</v>
      </c>
      <c r="M1431" t="s">
        <v>179</v>
      </c>
      <c r="N1431" t="str">
        <f>INDEX(Products!B:B,MATCH(OrdersTable[[#This Row],[Product ID]],Products!A:A,0))</f>
        <v>Whey Protein 1kg</v>
      </c>
      <c r="O1431" t="str">
        <f>INDEX(Products!C:C,MATCH(OrdersTable[[#This Row],[Product ID]],Products!A:A,0))</f>
        <v>Wellness</v>
      </c>
      <c r="P1431">
        <v>2</v>
      </c>
      <c r="Q1431" s="5">
        <v>2299</v>
      </c>
      <c r="R1431" s="74">
        <v>0.6</v>
      </c>
      <c r="S1431" s="75">
        <f>OrdersTable[[#This Row],[Quantity]]*OrdersTable[[#This Row],[Unit Price]]</f>
        <v>4598</v>
      </c>
      <c r="T1431" s="5">
        <f>OrdersTable[[#This Row],[Gross Sale]]*OrdersTable[[#This Row],[Discount_Clean2]]</f>
        <v>2758.7999999999997</v>
      </c>
      <c r="U1431" s="5">
        <f>OrdersTable[[#This Row],[Gross Sale]]-OrdersTable[[#This Row],[Discount Amount]]</f>
        <v>1839.2000000000003</v>
      </c>
      <c r="V1431" s="77">
        <f>INDEX(Products!E:E,MATCH(OrdersTable[[#This Row],[Product ID]],Products!A:A,0))</f>
        <v>1333</v>
      </c>
      <c r="W1431" s="77">
        <f>OrdersTable[[#This Row],[Quantity]]*OrdersTable[[#This Row],[Unit Cost]]</f>
        <v>2666</v>
      </c>
      <c r="X1431" s="77">
        <f>'Dropdown Lists'!$I$2*(1+OrdersTable[[#This Row],[Returned]])</f>
        <v>60</v>
      </c>
      <c r="Y1431" s="76">
        <f>OrdersTable[[#This Row],[Net Revenue]]-OrdersTable[[#This Row],[COGS]]-OrdersTable[[#This Row],[Shipping Cost]]</f>
        <v>-886.79999999999973</v>
      </c>
      <c r="Z1431" s="78">
        <f>IFERROR(OrdersTable[[#This Row],[Profit]]/OrdersTable[[#This Row],[Net Revenue]],0)</f>
        <v>-0.48216615919965178</v>
      </c>
      <c r="AA1431" t="s">
        <v>18</v>
      </c>
      <c r="AB1431" s="79">
        <v>45572</v>
      </c>
      <c r="AC1431">
        <f>OrdersTable[[#This Row],[Delivery Date]]-OrdersTable[[#This Row],[Order Date]]</f>
        <v>2</v>
      </c>
      <c r="AD1431" t="str">
        <f>IF(OrdersTable[[#This Row],[Delivery Days]]&lt;=2, "Express (≤2d)", IF(OrdersTable[[#This Row],[Delivery Days]]&lt;=4, "Standard (3-4d)", "Delayed (5d+)"))</f>
        <v>Express (≤2d)</v>
      </c>
      <c r="AF1431">
        <v>0</v>
      </c>
    </row>
    <row r="1432" spans="1:32" ht="15" x14ac:dyDescent="0.35">
      <c r="A1432" t="s">
        <v>5119</v>
      </c>
      <c r="B1432" s="1">
        <v>45570</v>
      </c>
      <c r="C1432">
        <f>YEAR(OrdersTable[[#This Row],[Order Date]])</f>
        <v>2024</v>
      </c>
      <c r="D1432" s="2">
        <f>DATE(YEAR(OrdersTable[[#This Row],[Order Date]]),MONTH(OrdersTable[[#This Row],[Order Date]]),1)</f>
        <v>45566</v>
      </c>
      <c r="E1432">
        <f>MONTH(OrdersTable[[#This Row],[Order Date]])</f>
        <v>10</v>
      </c>
      <c r="F1432" t="s">
        <v>532</v>
      </c>
      <c r="G1432" t="str">
        <f>IF(OrdersTable[[#This Row],[Order Date]]=_xlfn.MINIFS(Order_Date, Customer_ID, OrdersTable[[#This Row],[Customer ID]]), "New", "Repeat")</f>
        <v>Repeat</v>
      </c>
      <c r="H1432" t="s">
        <v>316</v>
      </c>
      <c r="I1432" t="str">
        <f>INDEX(State!B:B,MATCH(OrdersTable[[#This Row],[State]],State!A:A,0))</f>
        <v>KL</v>
      </c>
      <c r="J1432" t="str">
        <f>INDEX(State!C:C,MATCH(OrdersTable[[#This Row],[State Code]],State!B:B,0))</f>
        <v>South</v>
      </c>
      <c r="K1432" t="s">
        <v>317</v>
      </c>
      <c r="L1432" t="s">
        <v>39</v>
      </c>
      <c r="M1432" t="s">
        <v>179</v>
      </c>
      <c r="N1432" t="str">
        <f>INDEX(Products!B:B,MATCH(OrdersTable[[#This Row],[Product ID]],Products!A:A,0))</f>
        <v>Whey Protein 1kg</v>
      </c>
      <c r="O1432" t="str">
        <f>INDEX(Products!C:C,MATCH(OrdersTable[[#This Row],[Product ID]],Products!A:A,0))</f>
        <v>Wellness</v>
      </c>
      <c r="P1432">
        <v>2</v>
      </c>
      <c r="Q1432" s="5">
        <v>2299</v>
      </c>
      <c r="R1432" s="74">
        <v>0.6</v>
      </c>
      <c r="S1432" s="75">
        <f>OrdersTable[[#This Row],[Quantity]]*OrdersTable[[#This Row],[Unit Price]]</f>
        <v>4598</v>
      </c>
      <c r="T1432" s="5">
        <f>OrdersTable[[#This Row],[Gross Sale]]*OrdersTable[[#This Row],[Discount_Clean2]]</f>
        <v>2758.7999999999997</v>
      </c>
      <c r="U1432" s="5">
        <f>OrdersTable[[#This Row],[Gross Sale]]-OrdersTable[[#This Row],[Discount Amount]]</f>
        <v>1839.2000000000003</v>
      </c>
      <c r="V1432" s="77">
        <f>INDEX(Products!E:E,MATCH(OrdersTable[[#This Row],[Product ID]],Products!A:A,0))</f>
        <v>1333</v>
      </c>
      <c r="W1432" s="77">
        <f>OrdersTable[[#This Row],[Quantity]]*OrdersTable[[#This Row],[Unit Cost]]</f>
        <v>2666</v>
      </c>
      <c r="X1432" s="77">
        <f>'Dropdown Lists'!$I$2*(1+OrdersTable[[#This Row],[Returned]])</f>
        <v>60</v>
      </c>
      <c r="Y1432" s="76">
        <f>OrdersTable[[#This Row],[Net Revenue]]-OrdersTable[[#This Row],[COGS]]-OrdersTable[[#This Row],[Shipping Cost]]</f>
        <v>-886.79999999999973</v>
      </c>
      <c r="Z1432" s="78">
        <f>IFERROR(OrdersTable[[#This Row],[Profit]]/OrdersTable[[#This Row],[Net Revenue]],0)</f>
        <v>-0.48216615919965178</v>
      </c>
      <c r="AA1432" t="s">
        <v>3495</v>
      </c>
      <c r="AB1432" s="79">
        <v>45577</v>
      </c>
      <c r="AC1432">
        <f>OrdersTable[[#This Row],[Delivery Date]]-OrdersTable[[#This Row],[Order Date]]</f>
        <v>7</v>
      </c>
      <c r="AD1432" t="str">
        <f>IF(OrdersTable[[#This Row],[Delivery Days]]&lt;=2, "Express (≤2d)", IF(OrdersTable[[#This Row],[Delivery Days]]&lt;=4, "Standard (3-4d)", "Delayed (5d+)"))</f>
        <v>Delayed (5d+)</v>
      </c>
      <c r="AE1432">
        <v>3</v>
      </c>
      <c r="AF1432">
        <v>0</v>
      </c>
    </row>
    <row r="1433" spans="1:32" ht="15" x14ac:dyDescent="0.35">
      <c r="A1433" t="s">
        <v>197</v>
      </c>
      <c r="B1433" s="1">
        <v>45571</v>
      </c>
      <c r="C1433">
        <f>YEAR(OrdersTable[[#This Row],[Order Date]])</f>
        <v>2024</v>
      </c>
      <c r="D1433" s="2">
        <f>DATE(YEAR(OrdersTable[[#This Row],[Order Date]]),MONTH(OrdersTable[[#This Row],[Order Date]]),1)</f>
        <v>45566</v>
      </c>
      <c r="E1433">
        <f>MONTH(OrdersTable[[#This Row],[Order Date]])</f>
        <v>10</v>
      </c>
      <c r="F1433" t="s">
        <v>198</v>
      </c>
      <c r="G1433" t="str">
        <f>IF(OrdersTable[[#This Row],[Order Date]]=_xlfn.MINIFS(Order_Date, Customer_ID, OrdersTable[[#This Row],[Customer ID]]), "New", "Repeat")</f>
        <v>New</v>
      </c>
      <c r="H1433" t="s">
        <v>48</v>
      </c>
      <c r="I1433" t="str">
        <f>INDEX(State!B:B,MATCH(OrdersTable[[#This Row],[State]],State!A:A,0))</f>
        <v>HR</v>
      </c>
      <c r="J1433" t="str">
        <f>INDEX(State!C:C,MATCH(OrdersTable[[#This Row],[State Code]],State!B:B,0))</f>
        <v>North</v>
      </c>
      <c r="K1433" t="s">
        <v>49</v>
      </c>
      <c r="L1433" t="s">
        <v>65</v>
      </c>
      <c r="M1433" t="s">
        <v>73</v>
      </c>
      <c r="N1433" t="str">
        <f>INDEX(Products!B:B,MATCH(OrdersTable[[#This Row],[Product ID]],Products!A:A,0))</f>
        <v>Hydrating Face Wash</v>
      </c>
      <c r="O1433" t="str">
        <f>INDEX(Products!C:C,MATCH(OrdersTable[[#This Row],[Product ID]],Products!A:A,0))</f>
        <v>Skincare</v>
      </c>
      <c r="P1433">
        <v>1</v>
      </c>
      <c r="Q1433" s="5">
        <v>299</v>
      </c>
      <c r="R1433" s="74">
        <v>0.2</v>
      </c>
      <c r="S1433" s="75">
        <f>OrdersTable[[#This Row],[Quantity]]*OrdersTable[[#This Row],[Unit Price]]</f>
        <v>299</v>
      </c>
      <c r="T1433" s="5">
        <f>OrdersTable[[#This Row],[Gross Sale]]*OrdersTable[[#This Row],[Discount_Clean2]]</f>
        <v>59.800000000000004</v>
      </c>
      <c r="U1433" s="5">
        <f>OrdersTable[[#This Row],[Gross Sale]]-OrdersTable[[#This Row],[Discount Amount]]</f>
        <v>239.2</v>
      </c>
      <c r="V1433" s="77">
        <f>INDEX(Products!E:E,MATCH(OrdersTable[[#This Row],[Product ID]],Products!A:A,0))</f>
        <v>90</v>
      </c>
      <c r="W1433" s="77">
        <f>OrdersTable[[#This Row],[Quantity]]*OrdersTable[[#This Row],[Unit Cost]]</f>
        <v>90</v>
      </c>
      <c r="X1433" s="77">
        <f>'Dropdown Lists'!$I$2*(1+OrdersTable[[#This Row],[Returned]])</f>
        <v>60</v>
      </c>
      <c r="Y1433" s="76">
        <f>OrdersTable[[#This Row],[Net Revenue]]-OrdersTable[[#This Row],[COGS]]-OrdersTable[[#This Row],[Shipping Cost]]</f>
        <v>89.199999999999989</v>
      </c>
      <c r="Z1433" s="78">
        <f>IFERROR(OrdersTable[[#This Row],[Profit]]/OrdersTable[[#This Row],[Net Revenue]],0)</f>
        <v>0.37290969899665549</v>
      </c>
      <c r="AA1433" t="s">
        <v>18</v>
      </c>
      <c r="AB1433" s="79">
        <v>45574</v>
      </c>
      <c r="AC1433">
        <f>OrdersTable[[#This Row],[Delivery Date]]-OrdersTable[[#This Row],[Order Date]]</f>
        <v>3</v>
      </c>
      <c r="AD1433" t="str">
        <f>IF(OrdersTable[[#This Row],[Delivery Days]]&lt;=2, "Express (≤2d)", IF(OrdersTable[[#This Row],[Delivery Days]]&lt;=4, "Standard (3-4d)", "Delayed (5d+)"))</f>
        <v>Standard (3-4d)</v>
      </c>
      <c r="AE1433">
        <v>4</v>
      </c>
      <c r="AF1433">
        <v>0</v>
      </c>
    </row>
    <row r="1434" spans="1:32" ht="15" x14ac:dyDescent="0.35">
      <c r="A1434" t="s">
        <v>3565</v>
      </c>
      <c r="B1434" s="1">
        <v>45571</v>
      </c>
      <c r="C1434">
        <f>YEAR(OrdersTable[[#This Row],[Order Date]])</f>
        <v>2024</v>
      </c>
      <c r="D1434" s="2">
        <f>DATE(YEAR(OrdersTable[[#This Row],[Order Date]]),MONTH(OrdersTable[[#This Row],[Order Date]]),1)</f>
        <v>45566</v>
      </c>
      <c r="E1434">
        <f>MONTH(OrdersTable[[#This Row],[Order Date]])</f>
        <v>10</v>
      </c>
      <c r="F1434" t="s">
        <v>641</v>
      </c>
      <c r="G1434" t="str">
        <f>IF(OrdersTable[[#This Row],[Order Date]]=_xlfn.MINIFS(Order_Date, Customer_ID, OrdersTable[[#This Row],[Customer ID]]), "New", "Repeat")</f>
        <v>Repeat</v>
      </c>
      <c r="H1434" t="s">
        <v>48</v>
      </c>
      <c r="I1434" t="str">
        <f>INDEX(State!B:B,MATCH(OrdersTable[[#This Row],[State]],State!A:A,0))</f>
        <v>HR</v>
      </c>
      <c r="J1434" t="str">
        <f>INDEX(State!C:C,MATCH(OrdersTable[[#This Row],[State Code]],State!B:B,0))</f>
        <v>North</v>
      </c>
      <c r="K1434" t="s">
        <v>49</v>
      </c>
      <c r="L1434" t="s">
        <v>23</v>
      </c>
      <c r="M1434" t="s">
        <v>148</v>
      </c>
      <c r="N1434" t="str">
        <f>INDEX(Products!B:B,MATCH(OrdersTable[[#This Row],[Product ID]],Products!A:A,0))</f>
        <v>Smartwatch Strap</v>
      </c>
      <c r="O1434" t="str">
        <f>INDEX(Products!C:C,MATCH(OrdersTable[[#This Row],[Product ID]],Products!A:A,0))</f>
        <v>Electronics</v>
      </c>
      <c r="P1434">
        <v>1</v>
      </c>
      <c r="Q1434" s="5">
        <v>499</v>
      </c>
      <c r="R1434" s="74">
        <v>0.25</v>
      </c>
      <c r="S1434" s="75">
        <f>OrdersTable[[#This Row],[Quantity]]*OrdersTable[[#This Row],[Unit Price]]</f>
        <v>499</v>
      </c>
      <c r="T1434" s="5">
        <f>OrdersTable[[#This Row],[Gross Sale]]*OrdersTable[[#This Row],[Discount_Clean2]]</f>
        <v>124.75</v>
      </c>
      <c r="U1434" s="5">
        <f>OrdersTable[[#This Row],[Gross Sale]]-OrdersTable[[#This Row],[Discount Amount]]</f>
        <v>374.25</v>
      </c>
      <c r="V1434" s="77">
        <f>INDEX(Products!E:E,MATCH(OrdersTable[[#This Row],[Product ID]],Products!A:A,0))</f>
        <v>200</v>
      </c>
      <c r="W1434" s="77">
        <f>OrdersTable[[#This Row],[Quantity]]*OrdersTable[[#This Row],[Unit Cost]]</f>
        <v>200</v>
      </c>
      <c r="X1434" s="77">
        <f>'Dropdown Lists'!$I$2*(1+OrdersTable[[#This Row],[Returned]])</f>
        <v>60</v>
      </c>
      <c r="Y1434" s="76">
        <f>OrdersTable[[#This Row],[Net Revenue]]-OrdersTable[[#This Row],[COGS]]-OrdersTable[[#This Row],[Shipping Cost]]</f>
        <v>114.25</v>
      </c>
      <c r="Z1434" s="78">
        <f>IFERROR(OrdersTable[[#This Row],[Profit]]/OrdersTable[[#This Row],[Net Revenue]],0)</f>
        <v>0.30527722110888444</v>
      </c>
      <c r="AA1434" t="s">
        <v>3495</v>
      </c>
      <c r="AB1434" s="79">
        <v>45575</v>
      </c>
      <c r="AC1434">
        <f>OrdersTable[[#This Row],[Delivery Date]]-OrdersTable[[#This Row],[Order Date]]</f>
        <v>4</v>
      </c>
      <c r="AD1434" t="str">
        <f>IF(OrdersTable[[#This Row],[Delivery Days]]&lt;=2, "Express (≤2d)", IF(OrdersTable[[#This Row],[Delivery Days]]&lt;=4, "Standard (3-4d)", "Delayed (5d+)"))</f>
        <v>Standard (3-4d)</v>
      </c>
      <c r="AE1434">
        <v>4</v>
      </c>
      <c r="AF1434">
        <v>0</v>
      </c>
    </row>
    <row r="1435" spans="1:32" ht="15" x14ac:dyDescent="0.35">
      <c r="A1435" t="s">
        <v>2954</v>
      </c>
      <c r="B1435" s="1">
        <v>45571</v>
      </c>
      <c r="C1435">
        <f>YEAR(OrdersTable[[#This Row],[Order Date]])</f>
        <v>2024</v>
      </c>
      <c r="D1435" s="2">
        <f>DATE(YEAR(OrdersTable[[#This Row],[Order Date]]),MONTH(OrdersTable[[#This Row],[Order Date]]),1)</f>
        <v>45566</v>
      </c>
      <c r="E1435">
        <f>MONTH(OrdersTable[[#This Row],[Order Date]])</f>
        <v>10</v>
      </c>
      <c r="F1435" t="s">
        <v>2955</v>
      </c>
      <c r="G1435" t="str">
        <f>IF(OrdersTable[[#This Row],[Order Date]]=_xlfn.MINIFS(Order_Date, Customer_ID, OrdersTable[[#This Row],[Customer ID]]), "New", "Repeat")</f>
        <v>New</v>
      </c>
      <c r="H1435" t="s">
        <v>76</v>
      </c>
      <c r="I1435" t="str">
        <f>INDEX(State!B:B,MATCH(OrdersTable[[#This Row],[State]],State!A:A,0))</f>
        <v>UP</v>
      </c>
      <c r="J1435" t="str">
        <f>INDEX(State!C:C,MATCH(OrdersTable[[#This Row],[State Code]],State!B:B,0))</f>
        <v>North</v>
      </c>
      <c r="K1435" t="s">
        <v>77</v>
      </c>
      <c r="L1435" t="s">
        <v>23</v>
      </c>
      <c r="M1435" t="s">
        <v>56</v>
      </c>
      <c r="N1435" t="str">
        <f>INDEX(Products!B:B,MATCH(OrdersTable[[#This Row],[Product ID]],Products!A:A,0))</f>
        <v>Vitamin C Face Serum</v>
      </c>
      <c r="O1435" t="str">
        <f>INDEX(Products!C:C,MATCH(OrdersTable[[#This Row],[Product ID]],Products!A:A,0))</f>
        <v>Skincare</v>
      </c>
      <c r="P1435">
        <v>1</v>
      </c>
      <c r="Q1435" s="5">
        <v>599</v>
      </c>
      <c r="R1435" s="74">
        <v>0.2</v>
      </c>
      <c r="S1435" s="75">
        <f>OrdersTable[[#This Row],[Quantity]]*OrdersTable[[#This Row],[Unit Price]]</f>
        <v>599</v>
      </c>
      <c r="T1435" s="5">
        <f>OrdersTable[[#This Row],[Gross Sale]]*OrdersTable[[#This Row],[Discount_Clean2]]</f>
        <v>119.80000000000001</v>
      </c>
      <c r="U1435" s="5">
        <f>OrdersTable[[#This Row],[Gross Sale]]-OrdersTable[[#This Row],[Discount Amount]]</f>
        <v>479.2</v>
      </c>
      <c r="V1435" s="77">
        <f>INDEX(Products!E:E,MATCH(OrdersTable[[#This Row],[Product ID]],Products!A:A,0))</f>
        <v>180</v>
      </c>
      <c r="W1435" s="77">
        <f>OrdersTable[[#This Row],[Quantity]]*OrdersTable[[#This Row],[Unit Cost]]</f>
        <v>180</v>
      </c>
      <c r="X1435" s="77">
        <f>'Dropdown Lists'!$I$2*(1+OrdersTable[[#This Row],[Returned]])</f>
        <v>60</v>
      </c>
      <c r="Y1435" s="76">
        <f>OrdersTable[[#This Row],[Net Revenue]]-OrdersTable[[#This Row],[COGS]]-OrdersTable[[#This Row],[Shipping Cost]]</f>
        <v>239.2</v>
      </c>
      <c r="Z1435" s="78">
        <f>IFERROR(OrdersTable[[#This Row],[Profit]]/OrdersTable[[#This Row],[Net Revenue]],0)</f>
        <v>0.4991652754590985</v>
      </c>
      <c r="AA1435" t="s">
        <v>2522</v>
      </c>
      <c r="AB1435" s="79">
        <v>45575</v>
      </c>
      <c r="AC1435">
        <f>OrdersTable[[#This Row],[Delivery Date]]-OrdersTable[[#This Row],[Order Date]]</f>
        <v>4</v>
      </c>
      <c r="AD1435" t="str">
        <f>IF(OrdersTable[[#This Row],[Delivery Days]]&lt;=2, "Express (≤2d)", IF(OrdersTable[[#This Row],[Delivery Days]]&lt;=4, "Standard (3-4d)", "Delayed (5d+)"))</f>
        <v>Standard (3-4d)</v>
      </c>
      <c r="AF1435">
        <v>0</v>
      </c>
    </row>
    <row r="1436" spans="1:32" ht="15" x14ac:dyDescent="0.35">
      <c r="A1436" t="s">
        <v>2956</v>
      </c>
      <c r="B1436" s="1">
        <v>45571</v>
      </c>
      <c r="C1436">
        <f>YEAR(OrdersTable[[#This Row],[Order Date]])</f>
        <v>2024</v>
      </c>
      <c r="D1436" s="2">
        <f>DATE(YEAR(OrdersTable[[#This Row],[Order Date]]),MONTH(OrdersTable[[#This Row],[Order Date]]),1)</f>
        <v>45566</v>
      </c>
      <c r="E1436">
        <f>MONTH(OrdersTable[[#This Row],[Order Date]])</f>
        <v>10</v>
      </c>
      <c r="F1436" t="s">
        <v>2957</v>
      </c>
      <c r="G1436" t="str">
        <f>IF(OrdersTable[[#This Row],[Order Date]]=_xlfn.MINIFS(Order_Date, Customer_ID, OrdersTable[[#This Row],[Customer ID]]), "New", "Repeat")</f>
        <v>Repeat</v>
      </c>
      <c r="H1436" t="s">
        <v>132</v>
      </c>
      <c r="I1436" t="str">
        <f>INDEX(State!B:B,MATCH(OrdersTable[[#This Row],[State]],State!A:A,0))</f>
        <v>AS</v>
      </c>
      <c r="J1436" t="str">
        <f>INDEX(State!C:C,MATCH(OrdersTable[[#This Row],[State Code]],State!B:B,0))</f>
        <v>East</v>
      </c>
      <c r="K1436" t="s">
        <v>133</v>
      </c>
      <c r="L1436" t="s">
        <v>39</v>
      </c>
      <c r="M1436" t="s">
        <v>78</v>
      </c>
      <c r="N1436" t="str">
        <f>INDEX(Products!B:B,MATCH(OrdersTable[[#This Row],[Product ID]],Products!A:A,0))</f>
        <v>Retinol Night Cream</v>
      </c>
      <c r="O1436" t="str">
        <f>INDEX(Products!C:C,MATCH(OrdersTable[[#This Row],[Product ID]],Products!A:A,0))</f>
        <v>Skincare</v>
      </c>
      <c r="P1436">
        <v>1</v>
      </c>
      <c r="Q1436" s="5">
        <v>799</v>
      </c>
      <c r="R1436" s="74">
        <v>0.05</v>
      </c>
      <c r="S1436" s="75">
        <f>OrdersTable[[#This Row],[Quantity]]*OrdersTable[[#This Row],[Unit Price]]</f>
        <v>799</v>
      </c>
      <c r="T1436" s="5">
        <f>OrdersTable[[#This Row],[Gross Sale]]*OrdersTable[[#This Row],[Discount_Clean2]]</f>
        <v>39.950000000000003</v>
      </c>
      <c r="U1436" s="5">
        <f>OrdersTable[[#This Row],[Gross Sale]]-OrdersTable[[#This Row],[Discount Amount]]</f>
        <v>759.05</v>
      </c>
      <c r="V1436" s="77">
        <f>INDEX(Products!E:E,MATCH(OrdersTable[[#This Row],[Product ID]],Products!A:A,0))</f>
        <v>216</v>
      </c>
      <c r="W1436" s="77">
        <f>OrdersTable[[#This Row],[Quantity]]*OrdersTable[[#This Row],[Unit Cost]]</f>
        <v>216</v>
      </c>
      <c r="X1436" s="77">
        <f>'Dropdown Lists'!$I$2*(1+OrdersTable[[#This Row],[Returned]])</f>
        <v>60</v>
      </c>
      <c r="Y1436" s="76">
        <f>OrdersTable[[#This Row],[Net Revenue]]-OrdersTable[[#This Row],[COGS]]-OrdersTable[[#This Row],[Shipping Cost]]</f>
        <v>483.04999999999995</v>
      </c>
      <c r="Z1436" s="78">
        <f>IFERROR(OrdersTable[[#This Row],[Profit]]/OrdersTable[[#This Row],[Net Revenue]],0)</f>
        <v>0.63638758975034582</v>
      </c>
      <c r="AA1436" t="s">
        <v>2522</v>
      </c>
      <c r="AB1436" s="79">
        <v>45578</v>
      </c>
      <c r="AC1436">
        <f>OrdersTable[[#This Row],[Delivery Date]]-OrdersTable[[#This Row],[Order Date]]</f>
        <v>7</v>
      </c>
      <c r="AD1436" t="str">
        <f>IF(OrdersTable[[#This Row],[Delivery Days]]&lt;=2, "Express (≤2d)", IF(OrdersTable[[#This Row],[Delivery Days]]&lt;=4, "Standard (3-4d)", "Delayed (5d+)"))</f>
        <v>Delayed (5d+)</v>
      </c>
      <c r="AF1436">
        <v>0</v>
      </c>
    </row>
    <row r="1437" spans="1:32" ht="15" x14ac:dyDescent="0.35">
      <c r="A1437" t="s">
        <v>5350</v>
      </c>
      <c r="B1437" s="1">
        <v>45571</v>
      </c>
      <c r="C1437">
        <f>YEAR(OrdersTable[[#This Row],[Order Date]])</f>
        <v>2024</v>
      </c>
      <c r="D1437" s="2">
        <f>DATE(YEAR(OrdersTable[[#This Row],[Order Date]]),MONTH(OrdersTable[[#This Row],[Order Date]]),1)</f>
        <v>45566</v>
      </c>
      <c r="E1437">
        <f>MONTH(OrdersTable[[#This Row],[Order Date]])</f>
        <v>10</v>
      </c>
      <c r="F1437" t="s">
        <v>1811</v>
      </c>
      <c r="G1437" t="str">
        <f>IF(OrdersTable[[#This Row],[Order Date]]=_xlfn.MINIFS(Order_Date, Customer_ID, OrdersTable[[#This Row],[Customer ID]]), "New", "Repeat")</f>
        <v>New</v>
      </c>
      <c r="H1437" t="s">
        <v>37</v>
      </c>
      <c r="I1437" t="str">
        <f>INDEX(State!B:B,MATCH(OrdersTable[[#This Row],[State]],State!A:A,0))</f>
        <v>GJ</v>
      </c>
      <c r="J1437" t="str">
        <f>INDEX(State!C:C,MATCH(OrdersTable[[#This Row],[State Code]],State!B:B,0))</f>
        <v>West</v>
      </c>
      <c r="K1437" t="s">
        <v>38</v>
      </c>
      <c r="L1437" t="s">
        <v>65</v>
      </c>
      <c r="M1437" t="s">
        <v>24</v>
      </c>
      <c r="N1437" t="str">
        <f>INDEX(Products!B:B,MATCH(OrdersTable[[#This Row],[Product ID]],Products!A:A,0))</f>
        <v>Scented Candle Set</v>
      </c>
      <c r="O1437" t="str">
        <f>INDEX(Products!C:C,MATCH(OrdersTable[[#This Row],[Product ID]],Products!A:A,0))</f>
        <v>Home &amp; Kitchen</v>
      </c>
      <c r="P1437">
        <v>2</v>
      </c>
      <c r="Q1437" s="5">
        <v>699</v>
      </c>
      <c r="R1437" s="74">
        <v>0.35</v>
      </c>
      <c r="S1437" s="75">
        <f>OrdersTable[[#This Row],[Quantity]]*OrdersTable[[#This Row],[Unit Price]]</f>
        <v>1398</v>
      </c>
      <c r="T1437" s="5">
        <f>OrdersTable[[#This Row],[Gross Sale]]*OrdersTable[[#This Row],[Discount_Clean2]]</f>
        <v>489.29999999999995</v>
      </c>
      <c r="U1437" s="5">
        <f>OrdersTable[[#This Row],[Gross Sale]]-OrdersTable[[#This Row],[Discount Amount]]</f>
        <v>908.7</v>
      </c>
      <c r="V1437" s="77">
        <f>INDEX(Products!E:E,MATCH(OrdersTable[[#This Row],[Product ID]],Products!A:A,0))</f>
        <v>245</v>
      </c>
      <c r="W1437" s="77">
        <f>OrdersTable[[#This Row],[Quantity]]*OrdersTable[[#This Row],[Unit Cost]]</f>
        <v>490</v>
      </c>
      <c r="X1437" s="77">
        <f>'Dropdown Lists'!$I$2*(1+OrdersTable[[#This Row],[Returned]])</f>
        <v>60</v>
      </c>
      <c r="Y1437" s="76">
        <f>OrdersTable[[#This Row],[Net Revenue]]-OrdersTable[[#This Row],[COGS]]-OrdersTable[[#This Row],[Shipping Cost]]</f>
        <v>358.70000000000005</v>
      </c>
      <c r="Z1437" s="78">
        <f>IFERROR(OrdersTable[[#This Row],[Profit]]/OrdersTable[[#This Row],[Net Revenue]],0)</f>
        <v>0.39473973808737761</v>
      </c>
      <c r="AA1437" t="s">
        <v>2522</v>
      </c>
      <c r="AB1437" s="79">
        <v>45573</v>
      </c>
      <c r="AC1437">
        <f>OrdersTable[[#This Row],[Delivery Date]]-OrdersTable[[#This Row],[Order Date]]</f>
        <v>2</v>
      </c>
      <c r="AD1437" t="str">
        <f>IF(OrdersTable[[#This Row],[Delivery Days]]&lt;=2, "Express (≤2d)", IF(OrdersTable[[#This Row],[Delivery Days]]&lt;=4, "Standard (3-4d)", "Delayed (5d+)"))</f>
        <v>Express (≤2d)</v>
      </c>
      <c r="AE1437">
        <v>3</v>
      </c>
      <c r="AF1437">
        <v>0</v>
      </c>
    </row>
    <row r="1438" spans="1:32" ht="15" x14ac:dyDescent="0.35">
      <c r="A1438" t="s">
        <v>4797</v>
      </c>
      <c r="B1438" s="1">
        <v>45571</v>
      </c>
      <c r="C1438">
        <f>YEAR(OrdersTable[[#This Row],[Order Date]])</f>
        <v>2024</v>
      </c>
      <c r="D1438" s="2">
        <f>DATE(YEAR(OrdersTable[[#This Row],[Order Date]]),MONTH(OrdersTable[[#This Row],[Order Date]]),1)</f>
        <v>45566</v>
      </c>
      <c r="E1438">
        <f>MONTH(OrdersTable[[#This Row],[Order Date]])</f>
        <v>10</v>
      </c>
      <c r="F1438" t="s">
        <v>4798</v>
      </c>
      <c r="G1438" t="str">
        <f>IF(OrdersTable[[#This Row],[Order Date]]=_xlfn.MINIFS(Order_Date, Customer_ID, OrdersTable[[#This Row],[Customer ID]]), "New", "Repeat")</f>
        <v>New</v>
      </c>
      <c r="H1438" t="s">
        <v>43</v>
      </c>
      <c r="I1438" t="str">
        <f>INDEX(State!B:B,MATCH(OrdersTable[[#This Row],[State]],State!A:A,0))</f>
        <v>MP</v>
      </c>
      <c r="J1438" t="str">
        <f>INDEX(State!C:C,MATCH(OrdersTable[[#This Row],[State Code]],State!B:B,0))</f>
        <v>West</v>
      </c>
      <c r="K1438" t="s">
        <v>44</v>
      </c>
      <c r="L1438" t="s">
        <v>50</v>
      </c>
      <c r="M1438" t="s">
        <v>61</v>
      </c>
      <c r="N1438" t="str">
        <f>INDEX(Products!B:B,MATCH(OrdersTable[[#This Row],[Product ID]],Products!A:A,0))</f>
        <v>Multivitamin Gummies</v>
      </c>
      <c r="O1438" t="str">
        <f>INDEX(Products!C:C,MATCH(OrdersTable[[#This Row],[Product ID]],Products!A:A,0))</f>
        <v>Wellness</v>
      </c>
      <c r="P1438">
        <v>2</v>
      </c>
      <c r="Q1438" s="5">
        <v>699</v>
      </c>
      <c r="R1438" s="74">
        <v>0.45</v>
      </c>
      <c r="S1438" s="75">
        <f>OrdersTable[[#This Row],[Quantity]]*OrdersTable[[#This Row],[Unit Price]]</f>
        <v>1398</v>
      </c>
      <c r="T1438" s="5">
        <f>OrdersTable[[#This Row],[Gross Sale]]*OrdersTable[[#This Row],[Discount_Clean2]]</f>
        <v>629.1</v>
      </c>
      <c r="U1438" s="5">
        <f>OrdersTable[[#This Row],[Gross Sale]]-OrdersTable[[#This Row],[Discount Amount]]</f>
        <v>768.9</v>
      </c>
      <c r="V1438" s="77">
        <f>INDEX(Products!E:E,MATCH(OrdersTable[[#This Row],[Product ID]],Products!A:A,0))</f>
        <v>238</v>
      </c>
      <c r="W1438" s="77">
        <f>OrdersTable[[#This Row],[Quantity]]*OrdersTable[[#This Row],[Unit Cost]]</f>
        <v>476</v>
      </c>
      <c r="X1438" s="77">
        <f>'Dropdown Lists'!$I$2*(1+OrdersTable[[#This Row],[Returned]])</f>
        <v>120</v>
      </c>
      <c r="Y1438" s="76">
        <f>OrdersTable[[#This Row],[Net Revenue]]-OrdersTable[[#This Row],[COGS]]-OrdersTable[[#This Row],[Shipping Cost]]</f>
        <v>172.89999999999998</v>
      </c>
      <c r="Z1438" s="78">
        <f>IFERROR(OrdersTable[[#This Row],[Profit]]/OrdersTable[[#This Row],[Net Revenue]],0)</f>
        <v>0.22486669267785145</v>
      </c>
      <c r="AA1438" t="s">
        <v>4450</v>
      </c>
      <c r="AB1438" s="79">
        <v>45575</v>
      </c>
      <c r="AC1438">
        <f>OrdersTable[[#This Row],[Delivery Date]]-OrdersTable[[#This Row],[Order Date]]</f>
        <v>4</v>
      </c>
      <c r="AD1438" t="str">
        <f>IF(OrdersTable[[#This Row],[Delivery Days]]&lt;=2, "Express (≤2d)", IF(OrdersTable[[#This Row],[Delivery Days]]&lt;=4, "Standard (3-4d)", "Delayed (5d+)"))</f>
        <v>Standard (3-4d)</v>
      </c>
      <c r="AE1438">
        <v>4</v>
      </c>
      <c r="AF1438">
        <v>1</v>
      </c>
    </row>
    <row r="1439" spans="1:32" ht="15" x14ac:dyDescent="0.35">
      <c r="A1439" t="s">
        <v>6089</v>
      </c>
      <c r="B1439" s="1">
        <v>45571</v>
      </c>
      <c r="C1439">
        <f>YEAR(OrdersTable[[#This Row],[Order Date]])</f>
        <v>2024</v>
      </c>
      <c r="D1439" s="2">
        <f>DATE(YEAR(OrdersTable[[#This Row],[Order Date]]),MONTH(OrdersTable[[#This Row],[Order Date]]),1)</f>
        <v>45566</v>
      </c>
      <c r="E1439">
        <f>MONTH(OrdersTable[[#This Row],[Order Date]])</f>
        <v>10</v>
      </c>
      <c r="F1439" t="s">
        <v>6090</v>
      </c>
      <c r="G1439" t="str">
        <f>IF(OrdersTable[[#This Row],[Order Date]]=_xlfn.MINIFS(Order_Date, Customer_ID, OrdersTable[[#This Row],[Customer ID]]), "New", "Repeat")</f>
        <v>New</v>
      </c>
      <c r="H1439" t="s">
        <v>43</v>
      </c>
      <c r="I1439" t="str">
        <f>INDEX(State!B:B,MATCH(OrdersTable[[#This Row],[State]],State!A:A,0))</f>
        <v>MP</v>
      </c>
      <c r="J1439" t="str">
        <f>INDEX(State!C:C,MATCH(OrdersTable[[#This Row],[State Code]],State!B:B,0))</f>
        <v>West</v>
      </c>
      <c r="K1439" t="s">
        <v>250</v>
      </c>
      <c r="L1439" t="s">
        <v>39</v>
      </c>
      <c r="M1439" t="s">
        <v>109</v>
      </c>
      <c r="N1439" t="str">
        <f>INDEX(Products!B:B,MATCH(OrdersTable[[#This Row],[Product ID]],Products!A:A,0))</f>
        <v>Onion Hair Oil</v>
      </c>
      <c r="O1439" t="str">
        <f>INDEX(Products!C:C,MATCH(OrdersTable[[#This Row],[Product ID]],Products!A:A,0))</f>
        <v>Haircare</v>
      </c>
      <c r="P1439">
        <v>2</v>
      </c>
      <c r="Q1439" s="5">
        <v>349</v>
      </c>
      <c r="R1439" s="74">
        <v>0.4</v>
      </c>
      <c r="S1439" s="75">
        <f>OrdersTable[[#This Row],[Quantity]]*OrdersTable[[#This Row],[Unit Price]]</f>
        <v>698</v>
      </c>
      <c r="T1439" s="5">
        <f>OrdersTable[[#This Row],[Gross Sale]]*OrdersTable[[#This Row],[Discount_Clean2]]</f>
        <v>279.2</v>
      </c>
      <c r="U1439" s="5">
        <f>OrdersTable[[#This Row],[Gross Sale]]-OrdersTable[[#This Row],[Discount Amount]]</f>
        <v>418.8</v>
      </c>
      <c r="V1439" s="77">
        <f>INDEX(Products!E:E,MATCH(OrdersTable[[#This Row],[Product ID]],Products!A:A,0))</f>
        <v>105</v>
      </c>
      <c r="W1439" s="77">
        <f>OrdersTable[[#This Row],[Quantity]]*OrdersTable[[#This Row],[Unit Cost]]</f>
        <v>210</v>
      </c>
      <c r="X1439" s="77">
        <f>'Dropdown Lists'!$I$2*(1+OrdersTable[[#This Row],[Returned]])</f>
        <v>60</v>
      </c>
      <c r="Y1439" s="76">
        <f>OrdersTable[[#This Row],[Net Revenue]]-OrdersTable[[#This Row],[COGS]]-OrdersTable[[#This Row],[Shipping Cost]]</f>
        <v>148.80000000000001</v>
      </c>
      <c r="Z1439" s="78">
        <f>IFERROR(OrdersTable[[#This Row],[Profit]]/OrdersTable[[#This Row],[Net Revenue]],0)</f>
        <v>0.35530085959885388</v>
      </c>
      <c r="AA1439" t="s">
        <v>18</v>
      </c>
      <c r="AB1439" s="79">
        <v>45576</v>
      </c>
      <c r="AC1439">
        <f>OrdersTable[[#This Row],[Delivery Date]]-OrdersTable[[#This Row],[Order Date]]</f>
        <v>5</v>
      </c>
      <c r="AD1439" t="str">
        <f>IF(OrdersTable[[#This Row],[Delivery Days]]&lt;=2, "Express (≤2d)", IF(OrdersTable[[#This Row],[Delivery Days]]&lt;=4, "Standard (3-4d)", "Delayed (5d+)"))</f>
        <v>Delayed (5d+)</v>
      </c>
      <c r="AE1439">
        <v>4</v>
      </c>
      <c r="AF1439">
        <v>0</v>
      </c>
    </row>
    <row r="1440" spans="1:32" ht="15" x14ac:dyDescent="0.35">
      <c r="A1440" t="s">
        <v>1234</v>
      </c>
      <c r="B1440" s="1">
        <v>45571</v>
      </c>
      <c r="C1440">
        <f>YEAR(OrdersTable[[#This Row],[Order Date]])</f>
        <v>2024</v>
      </c>
      <c r="D1440" s="2">
        <f>DATE(YEAR(OrdersTable[[#This Row],[Order Date]]),MONTH(OrdersTable[[#This Row],[Order Date]]),1)</f>
        <v>45566</v>
      </c>
      <c r="E1440">
        <f>MONTH(OrdersTable[[#This Row],[Order Date]])</f>
        <v>10</v>
      </c>
      <c r="F1440" t="s">
        <v>1235</v>
      </c>
      <c r="G1440" t="str">
        <f>IF(OrdersTable[[#This Row],[Order Date]]=_xlfn.MINIFS(Order_Date, Customer_ID, OrdersTable[[#This Row],[Customer ID]]), "New", "Repeat")</f>
        <v>New</v>
      </c>
      <c r="H1440" t="s">
        <v>27</v>
      </c>
      <c r="I1440" t="str">
        <f>INDEX(State!B:B,MATCH(OrdersTable[[#This Row],[State]],State!A:A,0))</f>
        <v>WB</v>
      </c>
      <c r="J1440" t="str">
        <f>INDEX(State!C:C,MATCH(OrdersTable[[#This Row],[State Code]],State!B:B,0))</f>
        <v>East</v>
      </c>
      <c r="K1440" t="s">
        <v>28</v>
      </c>
      <c r="L1440" t="s">
        <v>16</v>
      </c>
      <c r="M1440" t="s">
        <v>92</v>
      </c>
      <c r="N1440" t="str">
        <f>INDEX(Products!B:B,MATCH(OrdersTable[[#This Row],[Product ID]],Products!A:A,0))</f>
        <v>Kolhapuri Sandals</v>
      </c>
      <c r="O1440" t="str">
        <f>INDEX(Products!C:C,MATCH(OrdersTable[[#This Row],[Product ID]],Products!A:A,0))</f>
        <v>Footwear</v>
      </c>
      <c r="P1440">
        <v>1</v>
      </c>
      <c r="Q1440" s="5">
        <v>999</v>
      </c>
      <c r="R1440" s="74">
        <v>0.05</v>
      </c>
      <c r="S1440" s="75">
        <f>OrdersTable[[#This Row],[Quantity]]*OrdersTable[[#This Row],[Unit Price]]</f>
        <v>999</v>
      </c>
      <c r="T1440" s="5">
        <f>OrdersTable[[#This Row],[Gross Sale]]*OrdersTable[[#This Row],[Discount_Clean2]]</f>
        <v>49.95</v>
      </c>
      <c r="U1440" s="5">
        <f>OrdersTable[[#This Row],[Gross Sale]]-OrdersTable[[#This Row],[Discount Amount]]</f>
        <v>949.05</v>
      </c>
      <c r="V1440" s="77">
        <f>INDEX(Products!E:E,MATCH(OrdersTable[[#This Row],[Product ID]],Products!A:A,0))</f>
        <v>400</v>
      </c>
      <c r="W1440" s="77">
        <f>OrdersTable[[#This Row],[Quantity]]*OrdersTable[[#This Row],[Unit Cost]]</f>
        <v>400</v>
      </c>
      <c r="X1440" s="77">
        <f>'Dropdown Lists'!$I$2*(1+OrdersTable[[#This Row],[Returned]])</f>
        <v>60</v>
      </c>
      <c r="Y1440" s="76">
        <f>OrdersTable[[#This Row],[Net Revenue]]-OrdersTable[[#This Row],[COGS]]-OrdersTable[[#This Row],[Shipping Cost]]</f>
        <v>489.04999999999995</v>
      </c>
      <c r="Z1440" s="78">
        <f>IFERROR(OrdersTable[[#This Row],[Profit]]/OrdersTable[[#This Row],[Net Revenue]],0)</f>
        <v>0.5153047784626732</v>
      </c>
      <c r="AA1440" t="s">
        <v>18</v>
      </c>
      <c r="AB1440" s="79">
        <v>45575</v>
      </c>
      <c r="AC1440">
        <f>OrdersTable[[#This Row],[Delivery Date]]-OrdersTable[[#This Row],[Order Date]]</f>
        <v>4</v>
      </c>
      <c r="AD1440" t="str">
        <f>IF(OrdersTable[[#This Row],[Delivery Days]]&lt;=2, "Express (≤2d)", IF(OrdersTable[[#This Row],[Delivery Days]]&lt;=4, "Standard (3-4d)", "Delayed (5d+)"))</f>
        <v>Standard (3-4d)</v>
      </c>
      <c r="AF1440">
        <v>0</v>
      </c>
    </row>
    <row r="1441" spans="1:32" ht="15" x14ac:dyDescent="0.35">
      <c r="A1441" t="s">
        <v>773</v>
      </c>
      <c r="B1441" s="1">
        <v>45571</v>
      </c>
      <c r="C1441">
        <f>YEAR(OrdersTable[[#This Row],[Order Date]])</f>
        <v>2024</v>
      </c>
      <c r="D1441" s="2">
        <f>DATE(YEAR(OrdersTable[[#This Row],[Order Date]]),MONTH(OrdersTable[[#This Row],[Order Date]]),1)</f>
        <v>45566</v>
      </c>
      <c r="E1441">
        <f>MONTH(OrdersTable[[#This Row],[Order Date]])</f>
        <v>10</v>
      </c>
      <c r="F1441" t="s">
        <v>774</v>
      </c>
      <c r="G1441" t="str">
        <f>IF(OrdersTable[[#This Row],[Order Date]]=_xlfn.MINIFS(Order_Date, Customer_ID, OrdersTable[[#This Row],[Customer ID]]), "New", "Repeat")</f>
        <v>New</v>
      </c>
      <c r="H1441" t="s">
        <v>71</v>
      </c>
      <c r="I1441" t="str">
        <f>INDEX(State!B:B,MATCH(OrdersTable[[#This Row],[State]],State!A:A,0))</f>
        <v>MH</v>
      </c>
      <c r="J1441" t="str">
        <f>INDEX(State!C:C,MATCH(OrdersTable[[#This Row],[State Code]],State!B:B,0))</f>
        <v>West</v>
      </c>
      <c r="K1441" t="s">
        <v>81</v>
      </c>
      <c r="L1441" t="s">
        <v>50</v>
      </c>
      <c r="M1441" t="s">
        <v>61</v>
      </c>
      <c r="N1441" t="str">
        <f>INDEX(Products!B:B,MATCH(OrdersTable[[#This Row],[Product ID]],Products!A:A,0))</f>
        <v>Multivitamin Gummies</v>
      </c>
      <c r="O1441" t="str">
        <f>INDEX(Products!C:C,MATCH(OrdersTable[[#This Row],[Product ID]],Products!A:A,0))</f>
        <v>Wellness</v>
      </c>
      <c r="P1441">
        <v>1</v>
      </c>
      <c r="Q1441" s="5">
        <v>699</v>
      </c>
      <c r="R1441" s="74">
        <v>0.3</v>
      </c>
      <c r="S1441" s="75">
        <f>OrdersTable[[#This Row],[Quantity]]*OrdersTable[[#This Row],[Unit Price]]</f>
        <v>699</v>
      </c>
      <c r="T1441" s="5">
        <f>OrdersTable[[#This Row],[Gross Sale]]*OrdersTable[[#This Row],[Discount_Clean2]]</f>
        <v>209.7</v>
      </c>
      <c r="U1441" s="5">
        <f>OrdersTable[[#This Row],[Gross Sale]]-OrdersTable[[#This Row],[Discount Amount]]</f>
        <v>489.3</v>
      </c>
      <c r="V1441" s="77">
        <f>INDEX(Products!E:E,MATCH(OrdersTable[[#This Row],[Product ID]],Products!A:A,0))</f>
        <v>238</v>
      </c>
      <c r="W1441" s="77">
        <f>OrdersTable[[#This Row],[Quantity]]*OrdersTable[[#This Row],[Unit Cost]]</f>
        <v>238</v>
      </c>
      <c r="X1441" s="77">
        <f>'Dropdown Lists'!$I$2*(1+OrdersTable[[#This Row],[Returned]])</f>
        <v>60</v>
      </c>
      <c r="Y1441" s="76">
        <f>OrdersTable[[#This Row],[Net Revenue]]-OrdersTable[[#This Row],[COGS]]-OrdersTable[[#This Row],[Shipping Cost]]</f>
        <v>191.3</v>
      </c>
      <c r="Z1441" s="78">
        <f>IFERROR(OrdersTable[[#This Row],[Profit]]/OrdersTable[[#This Row],[Net Revenue]],0)</f>
        <v>0.39096668710402616</v>
      </c>
      <c r="AA1441" t="s">
        <v>18</v>
      </c>
      <c r="AB1441" s="79">
        <v>45575</v>
      </c>
      <c r="AC1441">
        <f>OrdersTable[[#This Row],[Delivery Date]]-OrdersTable[[#This Row],[Order Date]]</f>
        <v>4</v>
      </c>
      <c r="AD1441" t="str">
        <f>IF(OrdersTable[[#This Row],[Delivery Days]]&lt;=2, "Express (≤2d)", IF(OrdersTable[[#This Row],[Delivery Days]]&lt;=4, "Standard (3-4d)", "Delayed (5d+)"))</f>
        <v>Standard (3-4d)</v>
      </c>
      <c r="AE1441">
        <v>4</v>
      </c>
      <c r="AF1441">
        <v>0</v>
      </c>
    </row>
    <row r="1442" spans="1:32" ht="15" x14ac:dyDescent="0.35">
      <c r="A1442" t="s">
        <v>1901</v>
      </c>
      <c r="B1442" s="1">
        <v>45571</v>
      </c>
      <c r="C1442">
        <f>YEAR(OrdersTable[[#This Row],[Order Date]])</f>
        <v>2024</v>
      </c>
      <c r="D1442" s="2">
        <f>DATE(YEAR(OrdersTable[[#This Row],[Order Date]]),MONTH(OrdersTable[[#This Row],[Order Date]]),1)</f>
        <v>45566</v>
      </c>
      <c r="E1442">
        <f>MONTH(OrdersTable[[#This Row],[Order Date]])</f>
        <v>10</v>
      </c>
      <c r="F1442" t="s">
        <v>1902</v>
      </c>
      <c r="G1442" t="str">
        <f>IF(OrdersTable[[#This Row],[Order Date]]=_xlfn.MINIFS(Order_Date, Customer_ID, OrdersTable[[#This Row],[Customer ID]]), "New", "Repeat")</f>
        <v>New</v>
      </c>
      <c r="H1442" t="s">
        <v>71</v>
      </c>
      <c r="I1442" t="str">
        <f>INDEX(State!B:B,MATCH(OrdersTable[[#This Row],[State]],State!A:A,0))</f>
        <v>MH</v>
      </c>
      <c r="J1442" t="str">
        <f>INDEX(State!C:C,MATCH(OrdersTable[[#This Row],[State Code]],State!B:B,0))</f>
        <v>West</v>
      </c>
      <c r="K1442" t="s">
        <v>72</v>
      </c>
      <c r="L1442" t="s">
        <v>16</v>
      </c>
      <c r="M1442" t="s">
        <v>576</v>
      </c>
      <c r="N1442" t="str">
        <f>INDEX(Products!B:B,MATCH(OrdersTable[[#This Row],[Product ID]],Products!A:A,0))</f>
        <v>Printed Saree</v>
      </c>
      <c r="O1442" t="str">
        <f>INDEX(Products!C:C,MATCH(OrdersTable[[#This Row],[Product ID]],Products!A:A,0))</f>
        <v>Apparel</v>
      </c>
      <c r="P1442">
        <v>1</v>
      </c>
      <c r="Q1442" s="5">
        <v>1999</v>
      </c>
      <c r="R1442" s="74">
        <v>0.25</v>
      </c>
      <c r="S1442" s="75">
        <f>OrdersTable[[#This Row],[Quantity]]*OrdersTable[[#This Row],[Unit Price]]</f>
        <v>1999</v>
      </c>
      <c r="T1442" s="5">
        <f>OrdersTable[[#This Row],[Gross Sale]]*OrdersTable[[#This Row],[Discount_Clean2]]</f>
        <v>499.75</v>
      </c>
      <c r="U1442" s="5">
        <f>OrdersTable[[#This Row],[Gross Sale]]-OrdersTable[[#This Row],[Discount Amount]]</f>
        <v>1499.25</v>
      </c>
      <c r="V1442" s="77">
        <f>INDEX(Products!E:E,MATCH(OrdersTable[[#This Row],[Product ID]],Products!A:A,0))</f>
        <v>880</v>
      </c>
      <c r="W1442" s="77">
        <f>OrdersTable[[#This Row],[Quantity]]*OrdersTable[[#This Row],[Unit Cost]]</f>
        <v>880</v>
      </c>
      <c r="X1442" s="77">
        <f>'Dropdown Lists'!$I$2*(1+OrdersTable[[#This Row],[Returned]])</f>
        <v>60</v>
      </c>
      <c r="Y1442" s="76">
        <f>OrdersTable[[#This Row],[Net Revenue]]-OrdersTable[[#This Row],[COGS]]-OrdersTable[[#This Row],[Shipping Cost]]</f>
        <v>559.25</v>
      </c>
      <c r="Z1442" s="78">
        <f>IFERROR(OrdersTable[[#This Row],[Profit]]/OrdersTable[[#This Row],[Net Revenue]],0)</f>
        <v>0.37301984325496079</v>
      </c>
      <c r="AA1442" t="s">
        <v>18</v>
      </c>
      <c r="AB1442" s="79">
        <v>45576</v>
      </c>
      <c r="AC1442">
        <f>OrdersTable[[#This Row],[Delivery Date]]-OrdersTable[[#This Row],[Order Date]]</f>
        <v>5</v>
      </c>
      <c r="AD1442" t="str">
        <f>IF(OrdersTable[[#This Row],[Delivery Days]]&lt;=2, "Express (≤2d)", IF(OrdersTable[[#This Row],[Delivery Days]]&lt;=4, "Standard (3-4d)", "Delayed (5d+)"))</f>
        <v>Delayed (5d+)</v>
      </c>
      <c r="AE1442">
        <v>3</v>
      </c>
      <c r="AF1442">
        <v>0</v>
      </c>
    </row>
    <row r="1443" spans="1:32" ht="15" x14ac:dyDescent="0.35">
      <c r="A1443" t="s">
        <v>5351</v>
      </c>
      <c r="B1443" s="1">
        <v>45571</v>
      </c>
      <c r="C1443">
        <f>YEAR(OrdersTable[[#This Row],[Order Date]])</f>
        <v>2024</v>
      </c>
      <c r="D1443" s="2">
        <f>DATE(YEAR(OrdersTable[[#This Row],[Order Date]]),MONTH(OrdersTable[[#This Row],[Order Date]]),1)</f>
        <v>45566</v>
      </c>
      <c r="E1443">
        <f>MONTH(OrdersTable[[#This Row],[Order Date]])</f>
        <v>10</v>
      </c>
      <c r="F1443" t="s">
        <v>5352</v>
      </c>
      <c r="G1443" t="str">
        <f>IF(OrdersTable[[#This Row],[Order Date]]=_xlfn.MINIFS(Order_Date, Customer_ID, OrdersTable[[#This Row],[Customer ID]]), "New", "Repeat")</f>
        <v>New</v>
      </c>
      <c r="H1443" t="s">
        <v>95</v>
      </c>
      <c r="I1443" t="str">
        <f>INDEX(State!B:B,MATCH(OrdersTable[[#This Row],[State]],State!A:A,0))</f>
        <v>TG</v>
      </c>
      <c r="J1443" t="str">
        <f>INDEX(State!C:C,MATCH(OrdersTable[[#This Row],[State Code]],State!B:B,0))</f>
        <v>South</v>
      </c>
      <c r="K1443" t="s">
        <v>96</v>
      </c>
      <c r="L1443" t="s">
        <v>23</v>
      </c>
      <c r="M1443" t="s">
        <v>125</v>
      </c>
      <c r="N1443" t="str">
        <f>INDEX(Products!B:B,MATCH(OrdersTable[[#This Row],[Product ID]],Products!A:A,0))</f>
        <v>Copper Water Bottle</v>
      </c>
      <c r="O1443" t="str">
        <f>INDEX(Products!C:C,MATCH(OrdersTable[[#This Row],[Product ID]],Products!A:A,0))</f>
        <v>Home &amp; Kitchen</v>
      </c>
      <c r="P1443">
        <v>2</v>
      </c>
      <c r="Q1443" s="5">
        <v>899</v>
      </c>
      <c r="R1443" s="74">
        <v>0.35</v>
      </c>
      <c r="S1443" s="75">
        <f>OrdersTable[[#This Row],[Quantity]]*OrdersTable[[#This Row],[Unit Price]]</f>
        <v>1798</v>
      </c>
      <c r="T1443" s="5">
        <f>OrdersTable[[#This Row],[Gross Sale]]*OrdersTable[[#This Row],[Discount_Clean2]]</f>
        <v>629.29999999999995</v>
      </c>
      <c r="U1443" s="5">
        <f>OrdersTable[[#This Row],[Gross Sale]]-OrdersTable[[#This Row],[Discount Amount]]</f>
        <v>1168.7</v>
      </c>
      <c r="V1443" s="77">
        <f>INDEX(Products!E:E,MATCH(OrdersTable[[#This Row],[Product ID]],Products!A:A,0))</f>
        <v>378</v>
      </c>
      <c r="W1443" s="77">
        <f>OrdersTable[[#This Row],[Quantity]]*OrdersTable[[#This Row],[Unit Cost]]</f>
        <v>756</v>
      </c>
      <c r="X1443" s="77">
        <f>'Dropdown Lists'!$I$2*(1+OrdersTable[[#This Row],[Returned]])</f>
        <v>60</v>
      </c>
      <c r="Y1443" s="76">
        <f>OrdersTable[[#This Row],[Net Revenue]]-OrdersTable[[#This Row],[COGS]]-OrdersTable[[#This Row],[Shipping Cost]]</f>
        <v>352.70000000000005</v>
      </c>
      <c r="Z1443" s="78">
        <f>IFERROR(OrdersTable[[#This Row],[Profit]]/OrdersTable[[#This Row],[Net Revenue]],0)</f>
        <v>0.30178831179943527</v>
      </c>
      <c r="AA1443" t="s">
        <v>2522</v>
      </c>
      <c r="AB1443" s="79">
        <v>45574</v>
      </c>
      <c r="AC1443">
        <f>OrdersTable[[#This Row],[Delivery Date]]-OrdersTable[[#This Row],[Order Date]]</f>
        <v>3</v>
      </c>
      <c r="AD1443" t="str">
        <f>IF(OrdersTable[[#This Row],[Delivery Days]]&lt;=2, "Express (≤2d)", IF(OrdersTable[[#This Row],[Delivery Days]]&lt;=4, "Standard (3-4d)", "Delayed (5d+)"))</f>
        <v>Standard (3-4d)</v>
      </c>
      <c r="AF1443">
        <v>0</v>
      </c>
    </row>
    <row r="1444" spans="1:32" ht="15" x14ac:dyDescent="0.35">
      <c r="A1444" t="s">
        <v>199</v>
      </c>
      <c r="B1444" s="1">
        <v>45571</v>
      </c>
      <c r="C1444">
        <f>YEAR(OrdersTable[[#This Row],[Order Date]])</f>
        <v>2024</v>
      </c>
      <c r="D1444" s="2">
        <f>DATE(YEAR(OrdersTable[[#This Row],[Order Date]]),MONTH(OrdersTable[[#This Row],[Order Date]]),1)</f>
        <v>45566</v>
      </c>
      <c r="E1444">
        <f>MONTH(OrdersTable[[#This Row],[Order Date]])</f>
        <v>10</v>
      </c>
      <c r="F1444" t="s">
        <v>200</v>
      </c>
      <c r="G1444" t="str">
        <f>IF(OrdersTable[[#This Row],[Order Date]]=_xlfn.MINIFS(Order_Date, Customer_ID, OrdersTable[[#This Row],[Customer ID]]), "New", "Repeat")</f>
        <v>Repeat</v>
      </c>
      <c r="H1444" t="s">
        <v>95</v>
      </c>
      <c r="I1444" t="str">
        <f>INDEX(State!B:B,MATCH(OrdersTable[[#This Row],[State]],State!A:A,0))</f>
        <v>TG</v>
      </c>
      <c r="J1444" t="str">
        <f>INDEX(State!C:C,MATCH(OrdersTable[[#This Row],[State Code]],State!B:B,0))</f>
        <v>South</v>
      </c>
      <c r="K1444" t="s">
        <v>96</v>
      </c>
      <c r="L1444" t="s">
        <v>23</v>
      </c>
      <c r="M1444" t="s">
        <v>125</v>
      </c>
      <c r="N1444" t="str">
        <f>INDEX(Products!B:B,MATCH(OrdersTable[[#This Row],[Product ID]],Products!A:A,0))</f>
        <v>Copper Water Bottle</v>
      </c>
      <c r="O1444" t="str">
        <f>INDEX(Products!C:C,MATCH(OrdersTable[[#This Row],[Product ID]],Products!A:A,0))</f>
        <v>Home &amp; Kitchen</v>
      </c>
      <c r="P1444">
        <v>1</v>
      </c>
      <c r="Q1444" s="5">
        <v>899</v>
      </c>
      <c r="R1444" s="74">
        <v>0.1</v>
      </c>
      <c r="S1444" s="75">
        <f>OrdersTable[[#This Row],[Quantity]]*OrdersTable[[#This Row],[Unit Price]]</f>
        <v>899</v>
      </c>
      <c r="T1444" s="5">
        <f>OrdersTable[[#This Row],[Gross Sale]]*OrdersTable[[#This Row],[Discount_Clean2]]</f>
        <v>89.9</v>
      </c>
      <c r="U1444" s="5">
        <f>OrdersTable[[#This Row],[Gross Sale]]-OrdersTable[[#This Row],[Discount Amount]]</f>
        <v>809.1</v>
      </c>
      <c r="V1444" s="77">
        <f>INDEX(Products!E:E,MATCH(OrdersTable[[#This Row],[Product ID]],Products!A:A,0))</f>
        <v>378</v>
      </c>
      <c r="W1444" s="77">
        <f>OrdersTable[[#This Row],[Quantity]]*OrdersTable[[#This Row],[Unit Cost]]</f>
        <v>378</v>
      </c>
      <c r="X1444" s="77">
        <f>'Dropdown Lists'!$I$2*(1+OrdersTable[[#This Row],[Returned]])</f>
        <v>60</v>
      </c>
      <c r="Y1444" s="76">
        <f>OrdersTable[[#This Row],[Net Revenue]]-OrdersTable[[#This Row],[COGS]]-OrdersTable[[#This Row],[Shipping Cost]]</f>
        <v>371.1</v>
      </c>
      <c r="Z1444" s="78">
        <f>IFERROR(OrdersTable[[#This Row],[Profit]]/OrdersTable[[#This Row],[Net Revenue]],0)</f>
        <v>0.45865776789024842</v>
      </c>
      <c r="AA1444" t="s">
        <v>18</v>
      </c>
      <c r="AB1444" s="79">
        <v>45575</v>
      </c>
      <c r="AC1444">
        <f>OrdersTable[[#This Row],[Delivery Date]]-OrdersTable[[#This Row],[Order Date]]</f>
        <v>4</v>
      </c>
      <c r="AD1444" t="str">
        <f>IF(OrdersTable[[#This Row],[Delivery Days]]&lt;=2, "Express (≤2d)", IF(OrdersTable[[#This Row],[Delivery Days]]&lt;=4, "Standard (3-4d)", "Delayed (5d+)"))</f>
        <v>Standard (3-4d)</v>
      </c>
      <c r="AE1444">
        <v>4</v>
      </c>
      <c r="AF1444">
        <v>0</v>
      </c>
    </row>
    <row r="1445" spans="1:32" ht="15" x14ac:dyDescent="0.35">
      <c r="A1445" t="s">
        <v>937</v>
      </c>
      <c r="B1445" s="1">
        <v>45571</v>
      </c>
      <c r="C1445">
        <f>YEAR(OrdersTable[[#This Row],[Order Date]])</f>
        <v>2024</v>
      </c>
      <c r="D1445" s="2">
        <f>DATE(YEAR(OrdersTable[[#This Row],[Order Date]]),MONTH(OrdersTable[[#This Row],[Order Date]]),1)</f>
        <v>45566</v>
      </c>
      <c r="E1445">
        <f>MONTH(OrdersTable[[#This Row],[Order Date]])</f>
        <v>10</v>
      </c>
      <c r="F1445" t="s">
        <v>938</v>
      </c>
      <c r="G1445" t="str">
        <f>IF(OrdersTable[[#This Row],[Order Date]]=_xlfn.MINIFS(Order_Date, Customer_ID, OrdersTable[[#This Row],[Customer ID]]), "New", "Repeat")</f>
        <v>Repeat</v>
      </c>
      <c r="H1445" t="s">
        <v>167</v>
      </c>
      <c r="I1445" t="str">
        <f>INDEX(State!B:B,MATCH(OrdersTable[[#This Row],[State]],State!A:A,0))</f>
        <v>KA</v>
      </c>
      <c r="J1445" t="str">
        <f>INDEX(State!C:C,MATCH(OrdersTable[[#This Row],[State Code]],State!B:B,0))</f>
        <v>South</v>
      </c>
      <c r="K1445" t="s">
        <v>190</v>
      </c>
      <c r="L1445" t="s">
        <v>65</v>
      </c>
      <c r="M1445" t="s">
        <v>148</v>
      </c>
      <c r="N1445" t="str">
        <f>INDEX(Products!B:B,MATCH(OrdersTable[[#This Row],[Product ID]],Products!A:A,0))</f>
        <v>Smartwatch Strap</v>
      </c>
      <c r="O1445" t="str">
        <f>INDEX(Products!C:C,MATCH(OrdersTable[[#This Row],[Product ID]],Products!A:A,0))</f>
        <v>Electronics</v>
      </c>
      <c r="P1445">
        <v>1</v>
      </c>
      <c r="Q1445" s="5">
        <v>499</v>
      </c>
      <c r="R1445" s="74">
        <v>0.35</v>
      </c>
      <c r="S1445" s="75">
        <f>OrdersTable[[#This Row],[Quantity]]*OrdersTable[[#This Row],[Unit Price]]</f>
        <v>499</v>
      </c>
      <c r="T1445" s="5">
        <f>OrdersTable[[#This Row],[Gross Sale]]*OrdersTable[[#This Row],[Discount_Clean2]]</f>
        <v>174.64999999999998</v>
      </c>
      <c r="U1445" s="5">
        <f>OrdersTable[[#This Row],[Gross Sale]]-OrdersTable[[#This Row],[Discount Amount]]</f>
        <v>324.35000000000002</v>
      </c>
      <c r="V1445" s="77">
        <f>INDEX(Products!E:E,MATCH(OrdersTable[[#This Row],[Product ID]],Products!A:A,0))</f>
        <v>200</v>
      </c>
      <c r="W1445" s="77">
        <f>OrdersTable[[#This Row],[Quantity]]*OrdersTable[[#This Row],[Unit Cost]]</f>
        <v>200</v>
      </c>
      <c r="X1445" s="77">
        <f>'Dropdown Lists'!$I$2*(1+OrdersTable[[#This Row],[Returned]])</f>
        <v>60</v>
      </c>
      <c r="Y1445" s="76">
        <f>OrdersTable[[#This Row],[Net Revenue]]-OrdersTable[[#This Row],[COGS]]-OrdersTable[[#This Row],[Shipping Cost]]</f>
        <v>64.350000000000023</v>
      </c>
      <c r="Z1445" s="78">
        <f>IFERROR(OrdersTable[[#This Row],[Profit]]/OrdersTable[[#This Row],[Net Revenue]],0)</f>
        <v>0.19839679358717441</v>
      </c>
      <c r="AA1445" t="s">
        <v>18</v>
      </c>
      <c r="AB1445" s="79">
        <v>45574</v>
      </c>
      <c r="AC1445">
        <f>OrdersTable[[#This Row],[Delivery Date]]-OrdersTable[[#This Row],[Order Date]]</f>
        <v>3</v>
      </c>
      <c r="AD1445" t="str">
        <f>IF(OrdersTable[[#This Row],[Delivery Days]]&lt;=2, "Express (≤2d)", IF(OrdersTable[[#This Row],[Delivery Days]]&lt;=4, "Standard (3-4d)", "Delayed (5d+)"))</f>
        <v>Standard (3-4d)</v>
      </c>
      <c r="AE1445">
        <v>4</v>
      </c>
      <c r="AF1445">
        <v>0</v>
      </c>
    </row>
    <row r="1446" spans="1:32" ht="15" x14ac:dyDescent="0.35">
      <c r="A1446" t="s">
        <v>2317</v>
      </c>
      <c r="B1446" s="1">
        <v>45571</v>
      </c>
      <c r="C1446">
        <f>YEAR(OrdersTable[[#This Row],[Order Date]])</f>
        <v>2024</v>
      </c>
      <c r="D1446" s="2">
        <f>DATE(YEAR(OrdersTable[[#This Row],[Order Date]]),MONTH(OrdersTable[[#This Row],[Order Date]]),1)</f>
        <v>45566</v>
      </c>
      <c r="E1446">
        <f>MONTH(OrdersTable[[#This Row],[Order Date]])</f>
        <v>10</v>
      </c>
      <c r="F1446" t="s">
        <v>2318</v>
      </c>
      <c r="G1446" t="str">
        <f>IF(OrdersTable[[#This Row],[Order Date]]=_xlfn.MINIFS(Order_Date, Customer_ID, OrdersTable[[#This Row],[Customer ID]]), "New", "Repeat")</f>
        <v>New</v>
      </c>
      <c r="H1446" t="s">
        <v>167</v>
      </c>
      <c r="I1446" t="str">
        <f>INDEX(State!B:B,MATCH(OrdersTable[[#This Row],[State]],State!A:A,0))</f>
        <v>KA</v>
      </c>
      <c r="J1446" t="str">
        <f>INDEX(State!C:C,MATCH(OrdersTable[[#This Row],[State Code]],State!B:B,0))</f>
        <v>South</v>
      </c>
      <c r="K1446" t="s">
        <v>168</v>
      </c>
      <c r="L1446" t="s">
        <v>50</v>
      </c>
      <c r="M1446" t="s">
        <v>106</v>
      </c>
      <c r="N1446" t="str">
        <f>INDEX(Products!B:B,MATCH(OrdersTable[[#This Row],[Product ID]],Products!A:A,0))</f>
        <v>Keratin Hair Mask</v>
      </c>
      <c r="O1446" t="str">
        <f>INDEX(Products!C:C,MATCH(OrdersTable[[#This Row],[Product ID]],Products!A:A,0))</f>
        <v>Haircare</v>
      </c>
      <c r="P1446">
        <v>1</v>
      </c>
      <c r="Q1446" s="5">
        <v>549</v>
      </c>
      <c r="R1446" s="74">
        <v>0.15</v>
      </c>
      <c r="S1446" s="75">
        <f>OrdersTable[[#This Row],[Quantity]]*OrdersTable[[#This Row],[Unit Price]]</f>
        <v>549</v>
      </c>
      <c r="T1446" s="5">
        <f>OrdersTable[[#This Row],[Gross Sale]]*OrdersTable[[#This Row],[Discount_Clean2]]</f>
        <v>82.35</v>
      </c>
      <c r="U1446" s="5">
        <f>OrdersTable[[#This Row],[Gross Sale]]-OrdersTable[[#This Row],[Discount Amount]]</f>
        <v>466.65</v>
      </c>
      <c r="V1446" s="77">
        <f>INDEX(Products!E:E,MATCH(OrdersTable[[#This Row],[Product ID]],Products!A:A,0))</f>
        <v>170</v>
      </c>
      <c r="W1446" s="77">
        <f>OrdersTable[[#This Row],[Quantity]]*OrdersTable[[#This Row],[Unit Cost]]</f>
        <v>170</v>
      </c>
      <c r="X1446" s="77">
        <f>'Dropdown Lists'!$I$2*(1+OrdersTable[[#This Row],[Returned]])</f>
        <v>60</v>
      </c>
      <c r="Y1446" s="76">
        <f>OrdersTable[[#This Row],[Net Revenue]]-OrdersTable[[#This Row],[COGS]]-OrdersTable[[#This Row],[Shipping Cost]]</f>
        <v>236.64999999999998</v>
      </c>
      <c r="Z1446" s="78">
        <f>IFERROR(OrdersTable[[#This Row],[Profit]]/OrdersTable[[#This Row],[Net Revenue]],0)</f>
        <v>0.50712525447337398</v>
      </c>
      <c r="AA1446" t="s">
        <v>18</v>
      </c>
      <c r="AB1446" s="79">
        <v>45574</v>
      </c>
      <c r="AC1446">
        <f>OrdersTable[[#This Row],[Delivery Date]]-OrdersTable[[#This Row],[Order Date]]</f>
        <v>3</v>
      </c>
      <c r="AD1446" t="str">
        <f>IF(OrdersTable[[#This Row],[Delivery Days]]&lt;=2, "Express (≤2d)", IF(OrdersTable[[#This Row],[Delivery Days]]&lt;=4, "Standard (3-4d)", "Delayed (5d+)"))</f>
        <v>Standard (3-4d)</v>
      </c>
      <c r="AE1446">
        <v>5</v>
      </c>
      <c r="AF1446">
        <v>0</v>
      </c>
    </row>
    <row r="1447" spans="1:32" ht="15" x14ac:dyDescent="0.35">
      <c r="A1447" t="s">
        <v>1371</v>
      </c>
      <c r="B1447" s="1">
        <v>45572</v>
      </c>
      <c r="C1447">
        <f>YEAR(OrdersTable[[#This Row],[Order Date]])</f>
        <v>2024</v>
      </c>
      <c r="D1447" s="2">
        <f>DATE(YEAR(OrdersTable[[#This Row],[Order Date]]),MONTH(OrdersTable[[#This Row],[Order Date]]),1)</f>
        <v>45566</v>
      </c>
      <c r="E1447">
        <f>MONTH(OrdersTable[[#This Row],[Order Date]])</f>
        <v>10</v>
      </c>
      <c r="F1447" t="s">
        <v>1372</v>
      </c>
      <c r="G1447" t="str">
        <f>IF(OrdersTable[[#This Row],[Order Date]]=_xlfn.MINIFS(Order_Date, Customer_ID, OrdersTable[[#This Row],[Customer ID]]), "New", "Repeat")</f>
        <v>New</v>
      </c>
      <c r="H1447" t="s">
        <v>21</v>
      </c>
      <c r="I1447" t="str">
        <f>INDEX(State!B:B,MATCH(OrdersTable[[#This Row],[State]],State!A:A,0))</f>
        <v>PB</v>
      </c>
      <c r="J1447" t="str">
        <f>INDEX(State!C:C,MATCH(OrdersTable[[#This Row],[State Code]],State!B:B,0))</f>
        <v>North</v>
      </c>
      <c r="K1447" t="s">
        <v>260</v>
      </c>
      <c r="L1447" t="s">
        <v>23</v>
      </c>
      <c r="M1447" t="s">
        <v>125</v>
      </c>
      <c r="N1447" t="str">
        <f>INDEX(Products!B:B,MATCH(OrdersTable[[#This Row],[Product ID]],Products!A:A,0))</f>
        <v>Copper Water Bottle</v>
      </c>
      <c r="O1447" t="str">
        <f>INDEX(Products!C:C,MATCH(OrdersTable[[#This Row],[Product ID]],Products!A:A,0))</f>
        <v>Home &amp; Kitchen</v>
      </c>
      <c r="P1447">
        <v>1</v>
      </c>
      <c r="Q1447" s="5">
        <v>899</v>
      </c>
      <c r="R1447" s="74">
        <v>0.2</v>
      </c>
      <c r="S1447" s="75">
        <f>OrdersTable[[#This Row],[Quantity]]*OrdersTable[[#This Row],[Unit Price]]</f>
        <v>899</v>
      </c>
      <c r="T1447" s="5">
        <f>OrdersTable[[#This Row],[Gross Sale]]*OrdersTable[[#This Row],[Discount_Clean2]]</f>
        <v>179.8</v>
      </c>
      <c r="U1447" s="5">
        <f>OrdersTable[[#This Row],[Gross Sale]]-OrdersTable[[#This Row],[Discount Amount]]</f>
        <v>719.2</v>
      </c>
      <c r="V1447" s="77">
        <f>INDEX(Products!E:E,MATCH(OrdersTable[[#This Row],[Product ID]],Products!A:A,0))</f>
        <v>378</v>
      </c>
      <c r="W1447" s="77">
        <f>OrdersTable[[#This Row],[Quantity]]*OrdersTable[[#This Row],[Unit Cost]]</f>
        <v>378</v>
      </c>
      <c r="X1447" s="77">
        <f>'Dropdown Lists'!$I$2*(1+OrdersTable[[#This Row],[Returned]])</f>
        <v>60</v>
      </c>
      <c r="Y1447" s="76">
        <f>OrdersTable[[#This Row],[Net Revenue]]-OrdersTable[[#This Row],[COGS]]-OrdersTable[[#This Row],[Shipping Cost]]</f>
        <v>281.20000000000005</v>
      </c>
      <c r="Z1447" s="78">
        <f>IFERROR(OrdersTable[[#This Row],[Profit]]/OrdersTable[[#This Row],[Net Revenue]],0)</f>
        <v>0.39098998887652953</v>
      </c>
      <c r="AA1447" t="s">
        <v>18</v>
      </c>
      <c r="AB1447" s="79">
        <v>45576</v>
      </c>
      <c r="AC1447">
        <f>OrdersTable[[#This Row],[Delivery Date]]-OrdersTable[[#This Row],[Order Date]]</f>
        <v>4</v>
      </c>
      <c r="AD1447" t="str">
        <f>IF(OrdersTable[[#This Row],[Delivery Days]]&lt;=2, "Express (≤2d)", IF(OrdersTable[[#This Row],[Delivery Days]]&lt;=4, "Standard (3-4d)", "Delayed (5d+)"))</f>
        <v>Standard (3-4d)</v>
      </c>
      <c r="AF1447">
        <v>0</v>
      </c>
    </row>
    <row r="1448" spans="1:32" ht="15" x14ac:dyDescent="0.35">
      <c r="A1448" t="s">
        <v>2739</v>
      </c>
      <c r="B1448" s="1">
        <v>45572</v>
      </c>
      <c r="C1448">
        <f>YEAR(OrdersTable[[#This Row],[Order Date]])</f>
        <v>2024</v>
      </c>
      <c r="D1448" s="2">
        <f>DATE(YEAR(OrdersTable[[#This Row],[Order Date]]),MONTH(OrdersTable[[#This Row],[Order Date]]),1)</f>
        <v>45566</v>
      </c>
      <c r="E1448">
        <f>MONTH(OrdersTable[[#This Row],[Order Date]])</f>
        <v>10</v>
      </c>
      <c r="F1448" t="s">
        <v>2740</v>
      </c>
      <c r="G1448" t="str">
        <f>IF(OrdersTable[[#This Row],[Order Date]]=_xlfn.MINIFS(Order_Date, Customer_ID, OrdersTable[[#This Row],[Customer ID]]), "New", "Repeat")</f>
        <v>New</v>
      </c>
      <c r="H1448" t="s">
        <v>76</v>
      </c>
      <c r="I1448" t="str">
        <f>INDEX(State!B:B,MATCH(OrdersTable[[#This Row],[State]],State!A:A,0))</f>
        <v>UP</v>
      </c>
      <c r="J1448" t="str">
        <f>INDEX(State!C:C,MATCH(OrdersTable[[#This Row],[State Code]],State!B:B,0))</f>
        <v>North</v>
      </c>
      <c r="K1448" t="s">
        <v>77</v>
      </c>
      <c r="L1448" t="s">
        <v>23</v>
      </c>
      <c r="M1448" t="s">
        <v>34</v>
      </c>
      <c r="N1448" t="str">
        <f>INDEX(Products!B:B,MATCH(OrdersTable[[#This Row],[Product ID]],Products!A:A,0))</f>
        <v>Flip Flops</v>
      </c>
      <c r="O1448" t="str">
        <f>INDEX(Products!C:C,MATCH(OrdersTable[[#This Row],[Product ID]],Products!A:A,0))</f>
        <v>Footwear</v>
      </c>
      <c r="P1448">
        <v>1</v>
      </c>
      <c r="Q1448" s="5">
        <v>399</v>
      </c>
      <c r="R1448" s="74">
        <v>0.25</v>
      </c>
      <c r="S1448" s="75">
        <f>OrdersTable[[#This Row],[Quantity]]*OrdersTable[[#This Row],[Unit Price]]</f>
        <v>399</v>
      </c>
      <c r="T1448" s="5">
        <f>OrdersTable[[#This Row],[Gross Sale]]*OrdersTable[[#This Row],[Discount_Clean2]]</f>
        <v>99.75</v>
      </c>
      <c r="U1448" s="5">
        <f>OrdersTable[[#This Row],[Gross Sale]]-OrdersTable[[#This Row],[Discount Amount]]</f>
        <v>299.25</v>
      </c>
      <c r="V1448" s="77">
        <f>INDEX(Products!E:E,MATCH(OrdersTable[[#This Row],[Product ID]],Products!A:A,0))</f>
        <v>152</v>
      </c>
      <c r="W1448" s="77">
        <f>OrdersTable[[#This Row],[Quantity]]*OrdersTable[[#This Row],[Unit Cost]]</f>
        <v>152</v>
      </c>
      <c r="X1448" s="77">
        <f>'Dropdown Lists'!$I$2*(1+OrdersTable[[#This Row],[Returned]])</f>
        <v>60</v>
      </c>
      <c r="Y1448" s="76">
        <f>OrdersTable[[#This Row],[Net Revenue]]-OrdersTable[[#This Row],[COGS]]-OrdersTable[[#This Row],[Shipping Cost]]</f>
        <v>87.25</v>
      </c>
      <c r="Z1448" s="78">
        <f>IFERROR(OrdersTable[[#This Row],[Profit]]/OrdersTable[[#This Row],[Net Revenue]],0)</f>
        <v>0.29156223893065997</v>
      </c>
      <c r="AA1448" t="s">
        <v>2522</v>
      </c>
      <c r="AB1448" s="79">
        <v>45577</v>
      </c>
      <c r="AC1448">
        <f>OrdersTable[[#This Row],[Delivery Date]]-OrdersTable[[#This Row],[Order Date]]</f>
        <v>5</v>
      </c>
      <c r="AD1448" t="str">
        <f>IF(OrdersTable[[#This Row],[Delivery Days]]&lt;=2, "Express (≤2d)", IF(OrdersTable[[#This Row],[Delivery Days]]&lt;=4, "Standard (3-4d)", "Delayed (5d+)"))</f>
        <v>Delayed (5d+)</v>
      </c>
      <c r="AE1448">
        <v>3</v>
      </c>
      <c r="AF1448">
        <v>0</v>
      </c>
    </row>
    <row r="1449" spans="1:32" ht="15" x14ac:dyDescent="0.35">
      <c r="A1449" t="s">
        <v>4360</v>
      </c>
      <c r="B1449" s="1">
        <v>45572</v>
      </c>
      <c r="C1449">
        <f>YEAR(OrdersTable[[#This Row],[Order Date]])</f>
        <v>2024</v>
      </c>
      <c r="D1449" s="2">
        <f>DATE(YEAR(OrdersTable[[#This Row],[Order Date]]),MONTH(OrdersTable[[#This Row],[Order Date]]),1)</f>
        <v>45566</v>
      </c>
      <c r="E1449">
        <f>MONTH(OrdersTable[[#This Row],[Order Date]])</f>
        <v>10</v>
      </c>
      <c r="F1449" t="s">
        <v>1793</v>
      </c>
      <c r="G1449" t="str">
        <f>IF(OrdersTable[[#This Row],[Order Date]]=_xlfn.MINIFS(Order_Date, Customer_ID, OrdersTable[[#This Row],[Customer ID]]), "New", "Repeat")</f>
        <v>Repeat</v>
      </c>
      <c r="H1449" t="s">
        <v>71</v>
      </c>
      <c r="I1449" t="str">
        <f>INDEX(State!B:B,MATCH(OrdersTable[[#This Row],[State]],State!A:A,0))</f>
        <v>MH</v>
      </c>
      <c r="J1449" t="str">
        <f>INDEX(State!C:C,MATCH(OrdersTable[[#This Row],[State Code]],State!B:B,0))</f>
        <v>West</v>
      </c>
      <c r="K1449" t="s">
        <v>81</v>
      </c>
      <c r="L1449" t="s">
        <v>16</v>
      </c>
      <c r="M1449" t="s">
        <v>34</v>
      </c>
      <c r="N1449" t="str">
        <f>INDEX(Products!B:B,MATCH(OrdersTable[[#This Row],[Product ID]],Products!A:A,0))</f>
        <v>Flip Flops</v>
      </c>
      <c r="O1449" t="str">
        <f>INDEX(Products!C:C,MATCH(OrdersTable[[#This Row],[Product ID]],Products!A:A,0))</f>
        <v>Footwear</v>
      </c>
      <c r="P1449">
        <v>1</v>
      </c>
      <c r="Q1449" s="5">
        <v>399</v>
      </c>
      <c r="R1449" s="74">
        <v>0.1</v>
      </c>
      <c r="S1449" s="75">
        <f>OrdersTable[[#This Row],[Quantity]]*OrdersTable[[#This Row],[Unit Price]]</f>
        <v>399</v>
      </c>
      <c r="T1449" s="5">
        <f>OrdersTable[[#This Row],[Gross Sale]]*OrdersTable[[#This Row],[Discount_Clean2]]</f>
        <v>39.900000000000006</v>
      </c>
      <c r="U1449" s="5">
        <f>OrdersTable[[#This Row],[Gross Sale]]-OrdersTable[[#This Row],[Discount Amount]]</f>
        <v>359.1</v>
      </c>
      <c r="V1449" s="77">
        <f>INDEX(Products!E:E,MATCH(OrdersTable[[#This Row],[Product ID]],Products!A:A,0))</f>
        <v>152</v>
      </c>
      <c r="W1449" s="77">
        <f>OrdersTable[[#This Row],[Quantity]]*OrdersTable[[#This Row],[Unit Cost]]</f>
        <v>152</v>
      </c>
      <c r="X1449" s="77">
        <f>'Dropdown Lists'!$I$2*(1+OrdersTable[[#This Row],[Returned]])</f>
        <v>60</v>
      </c>
      <c r="Y1449" s="76">
        <f>OrdersTable[[#This Row],[Net Revenue]]-OrdersTable[[#This Row],[COGS]]-OrdersTable[[#This Row],[Shipping Cost]]</f>
        <v>147.10000000000002</v>
      </c>
      <c r="Z1449" s="78">
        <f>IFERROR(OrdersTable[[#This Row],[Profit]]/OrdersTable[[#This Row],[Net Revenue]],0)</f>
        <v>0.40963519910888335</v>
      </c>
      <c r="AA1449" t="s">
        <v>4074</v>
      </c>
      <c r="AB1449" s="79">
        <v>45575</v>
      </c>
      <c r="AC1449">
        <f>OrdersTable[[#This Row],[Delivery Date]]-OrdersTable[[#This Row],[Order Date]]</f>
        <v>3</v>
      </c>
      <c r="AD1449" t="str">
        <f>IF(OrdersTable[[#This Row],[Delivery Days]]&lt;=2, "Express (≤2d)", IF(OrdersTable[[#This Row],[Delivery Days]]&lt;=4, "Standard (3-4d)", "Delayed (5d+)"))</f>
        <v>Standard (3-4d)</v>
      </c>
      <c r="AE1449">
        <v>4</v>
      </c>
      <c r="AF1449">
        <v>0</v>
      </c>
    </row>
    <row r="1450" spans="1:32" ht="15" x14ac:dyDescent="0.35">
      <c r="A1450" t="s">
        <v>3993</v>
      </c>
      <c r="B1450" s="1">
        <v>45572</v>
      </c>
      <c r="C1450">
        <f>YEAR(OrdersTable[[#This Row],[Order Date]])</f>
        <v>2024</v>
      </c>
      <c r="D1450" s="2">
        <f>DATE(YEAR(OrdersTable[[#This Row],[Order Date]]),MONTH(OrdersTable[[#This Row],[Order Date]]),1)</f>
        <v>45566</v>
      </c>
      <c r="E1450">
        <f>MONTH(OrdersTable[[#This Row],[Order Date]])</f>
        <v>10</v>
      </c>
      <c r="F1450" t="s">
        <v>2270</v>
      </c>
      <c r="G1450" t="str">
        <f>IF(OrdersTable[[#This Row],[Order Date]]=_xlfn.MINIFS(Order_Date, Customer_ID, OrdersTable[[#This Row],[Customer ID]]), "New", "Repeat")</f>
        <v>Repeat</v>
      </c>
      <c r="H1450" t="s">
        <v>71</v>
      </c>
      <c r="I1450" t="str">
        <f>INDEX(State!B:B,MATCH(OrdersTable[[#This Row],[State]],State!A:A,0))</f>
        <v>MH</v>
      </c>
      <c r="J1450" t="str">
        <f>INDEX(State!C:C,MATCH(OrdersTable[[#This Row],[State Code]],State!B:B,0))</f>
        <v>West</v>
      </c>
      <c r="K1450" t="s">
        <v>102</v>
      </c>
      <c r="L1450" t="s">
        <v>65</v>
      </c>
      <c r="M1450" t="s">
        <v>24</v>
      </c>
      <c r="N1450" t="str">
        <f>INDEX(Products!B:B,MATCH(OrdersTable[[#This Row],[Product ID]],Products!A:A,0))</f>
        <v>Scented Candle Set</v>
      </c>
      <c r="O1450" t="str">
        <f>INDEX(Products!C:C,MATCH(OrdersTable[[#This Row],[Product ID]],Products!A:A,0))</f>
        <v>Home &amp; Kitchen</v>
      </c>
      <c r="P1450">
        <v>1</v>
      </c>
      <c r="Q1450" s="5">
        <v>699</v>
      </c>
      <c r="R1450" s="74">
        <v>0.25</v>
      </c>
      <c r="S1450" s="75">
        <f>OrdersTable[[#This Row],[Quantity]]*OrdersTable[[#This Row],[Unit Price]]</f>
        <v>699</v>
      </c>
      <c r="T1450" s="5">
        <f>OrdersTable[[#This Row],[Gross Sale]]*OrdersTable[[#This Row],[Discount_Clean2]]</f>
        <v>174.75</v>
      </c>
      <c r="U1450" s="5">
        <f>OrdersTable[[#This Row],[Gross Sale]]-OrdersTable[[#This Row],[Discount Amount]]</f>
        <v>524.25</v>
      </c>
      <c r="V1450" s="77">
        <f>INDEX(Products!E:E,MATCH(OrdersTable[[#This Row],[Product ID]],Products!A:A,0))</f>
        <v>245</v>
      </c>
      <c r="W1450" s="77">
        <f>OrdersTable[[#This Row],[Quantity]]*OrdersTable[[#This Row],[Unit Cost]]</f>
        <v>245</v>
      </c>
      <c r="X1450" s="77">
        <f>'Dropdown Lists'!$I$2*(1+OrdersTable[[#This Row],[Returned]])</f>
        <v>60</v>
      </c>
      <c r="Y1450" s="76">
        <f>OrdersTable[[#This Row],[Net Revenue]]-OrdersTable[[#This Row],[COGS]]-OrdersTable[[#This Row],[Shipping Cost]]</f>
        <v>219.25</v>
      </c>
      <c r="Z1450" s="78">
        <f>IFERROR(OrdersTable[[#This Row],[Profit]]/OrdersTable[[#This Row],[Net Revenue]],0)</f>
        <v>0.41821649976156416</v>
      </c>
      <c r="AA1450" t="s">
        <v>3495</v>
      </c>
      <c r="AB1450" s="79">
        <v>45575</v>
      </c>
      <c r="AC1450">
        <f>OrdersTable[[#This Row],[Delivery Date]]-OrdersTable[[#This Row],[Order Date]]</f>
        <v>3</v>
      </c>
      <c r="AD1450" t="str">
        <f>IF(OrdersTable[[#This Row],[Delivery Days]]&lt;=2, "Express (≤2d)", IF(OrdersTable[[#This Row],[Delivery Days]]&lt;=4, "Standard (3-4d)", "Delayed (5d+)"))</f>
        <v>Standard (3-4d)</v>
      </c>
      <c r="AE1450">
        <v>5</v>
      </c>
      <c r="AF1450">
        <v>0</v>
      </c>
    </row>
    <row r="1451" spans="1:32" ht="15" x14ac:dyDescent="0.35">
      <c r="A1451" t="s">
        <v>5893</v>
      </c>
      <c r="B1451" s="1">
        <v>45572</v>
      </c>
      <c r="C1451">
        <f>YEAR(OrdersTable[[#This Row],[Order Date]])</f>
        <v>2024</v>
      </c>
      <c r="D1451" s="2">
        <f>DATE(YEAR(OrdersTable[[#This Row],[Order Date]]),MONTH(OrdersTable[[#This Row],[Order Date]]),1)</f>
        <v>45566</v>
      </c>
      <c r="E1451">
        <f>MONTH(OrdersTable[[#This Row],[Order Date]])</f>
        <v>10</v>
      </c>
      <c r="F1451" t="s">
        <v>5894</v>
      </c>
      <c r="G1451" t="str">
        <f>IF(OrdersTable[[#This Row],[Order Date]]=_xlfn.MINIFS(Order_Date, Customer_ID, OrdersTable[[#This Row],[Customer ID]]), "New", "Repeat")</f>
        <v>New</v>
      </c>
      <c r="H1451" t="s">
        <v>14</v>
      </c>
      <c r="I1451" t="str">
        <f>INDEX(State!B:B,MATCH(OrdersTable[[#This Row],[State]],State!A:A,0))</f>
        <v>OD</v>
      </c>
      <c r="J1451" t="str">
        <f>INDEX(State!C:C,MATCH(OrdersTable[[#This Row],[State Code]],State!B:B,0))</f>
        <v>East</v>
      </c>
      <c r="K1451" t="s">
        <v>15</v>
      </c>
      <c r="L1451" t="s">
        <v>23</v>
      </c>
      <c r="M1451" t="s">
        <v>45</v>
      </c>
      <c r="N1451" t="str">
        <f>INDEX(Products!B:B,MATCH(OrdersTable[[#This Row],[Product ID]],Products!A:A,0))</f>
        <v>Argan Shampoo</v>
      </c>
      <c r="O1451" t="str">
        <f>INDEX(Products!C:C,MATCH(OrdersTable[[#This Row],[Product ID]],Products!A:A,0))</f>
        <v>Haircare</v>
      </c>
      <c r="P1451">
        <v>2</v>
      </c>
      <c r="Q1451" s="5">
        <v>449</v>
      </c>
      <c r="R1451" s="74">
        <v>0.3</v>
      </c>
      <c r="S1451" s="75">
        <f>OrdersTable[[#This Row],[Quantity]]*OrdersTable[[#This Row],[Unit Price]]</f>
        <v>898</v>
      </c>
      <c r="T1451" s="5">
        <f>OrdersTable[[#This Row],[Gross Sale]]*OrdersTable[[#This Row],[Discount_Clean2]]</f>
        <v>269.39999999999998</v>
      </c>
      <c r="U1451" s="5">
        <f>OrdersTable[[#This Row],[Gross Sale]]-OrdersTable[[#This Row],[Discount Amount]]</f>
        <v>628.6</v>
      </c>
      <c r="V1451" s="77">
        <f>INDEX(Products!E:E,MATCH(OrdersTable[[#This Row],[Product ID]],Products!A:A,0))</f>
        <v>148</v>
      </c>
      <c r="W1451" s="77">
        <f>OrdersTable[[#This Row],[Quantity]]*OrdersTable[[#This Row],[Unit Cost]]</f>
        <v>296</v>
      </c>
      <c r="X1451" s="77">
        <f>'Dropdown Lists'!$I$2*(1+OrdersTable[[#This Row],[Returned]])</f>
        <v>60</v>
      </c>
      <c r="Y1451" s="76">
        <f>OrdersTable[[#This Row],[Net Revenue]]-OrdersTable[[#This Row],[COGS]]-OrdersTable[[#This Row],[Shipping Cost]]</f>
        <v>272.60000000000002</v>
      </c>
      <c r="Z1451" s="78">
        <f>IFERROR(OrdersTable[[#This Row],[Profit]]/OrdersTable[[#This Row],[Net Revenue]],0)</f>
        <v>0.43366210626789692</v>
      </c>
      <c r="AA1451" t="s">
        <v>18</v>
      </c>
      <c r="AB1451" s="79">
        <v>45576</v>
      </c>
      <c r="AC1451">
        <f>OrdersTable[[#This Row],[Delivery Date]]-OrdersTable[[#This Row],[Order Date]]</f>
        <v>4</v>
      </c>
      <c r="AD1451" t="str">
        <f>IF(OrdersTable[[#This Row],[Delivery Days]]&lt;=2, "Express (≤2d)", IF(OrdersTable[[#This Row],[Delivery Days]]&lt;=4, "Standard (3-4d)", "Delayed (5d+)"))</f>
        <v>Standard (3-4d)</v>
      </c>
      <c r="AF1451">
        <v>0</v>
      </c>
    </row>
    <row r="1452" spans="1:32" ht="15" x14ac:dyDescent="0.35">
      <c r="A1452" t="s">
        <v>3215</v>
      </c>
      <c r="B1452" s="1">
        <v>45572</v>
      </c>
      <c r="C1452">
        <f>YEAR(OrdersTable[[#This Row],[Order Date]])</f>
        <v>2024</v>
      </c>
      <c r="D1452" s="2">
        <f>DATE(YEAR(OrdersTable[[#This Row],[Order Date]]),MONTH(OrdersTable[[#This Row],[Order Date]]),1)</f>
        <v>45566</v>
      </c>
      <c r="E1452">
        <f>MONTH(OrdersTable[[#This Row],[Order Date]])</f>
        <v>10</v>
      </c>
      <c r="F1452" t="s">
        <v>3216</v>
      </c>
      <c r="G1452" t="str">
        <f>IF(OrdersTable[[#This Row],[Order Date]]=_xlfn.MINIFS(Order_Date, Customer_ID, OrdersTable[[#This Row],[Customer ID]]), "New", "Repeat")</f>
        <v>New</v>
      </c>
      <c r="H1452" t="s">
        <v>167</v>
      </c>
      <c r="I1452" t="str">
        <f>INDEX(State!B:B,MATCH(OrdersTable[[#This Row],[State]],State!A:A,0))</f>
        <v>KA</v>
      </c>
      <c r="J1452" t="str">
        <f>INDEX(State!C:C,MATCH(OrdersTable[[#This Row],[State Code]],State!B:B,0))</f>
        <v>South</v>
      </c>
      <c r="K1452" t="s">
        <v>190</v>
      </c>
      <c r="L1452" t="s">
        <v>23</v>
      </c>
      <c r="M1452" t="s">
        <v>34</v>
      </c>
      <c r="N1452" t="str">
        <f>INDEX(Products!B:B,MATCH(OrdersTable[[#This Row],[Product ID]],Products!A:A,0))</f>
        <v>Flip Flops</v>
      </c>
      <c r="O1452" t="str">
        <f>INDEX(Products!C:C,MATCH(OrdersTable[[#This Row],[Product ID]],Products!A:A,0))</f>
        <v>Footwear</v>
      </c>
      <c r="P1452">
        <v>1</v>
      </c>
      <c r="Q1452" s="5">
        <v>399</v>
      </c>
      <c r="R1452" s="74">
        <v>0.35</v>
      </c>
      <c r="S1452" s="75">
        <f>OrdersTable[[#This Row],[Quantity]]*OrdersTable[[#This Row],[Unit Price]]</f>
        <v>399</v>
      </c>
      <c r="T1452" s="5">
        <f>OrdersTable[[#This Row],[Gross Sale]]*OrdersTable[[#This Row],[Discount_Clean2]]</f>
        <v>139.64999999999998</v>
      </c>
      <c r="U1452" s="5">
        <f>OrdersTable[[#This Row],[Gross Sale]]-OrdersTable[[#This Row],[Discount Amount]]</f>
        <v>259.35000000000002</v>
      </c>
      <c r="V1452" s="77">
        <f>INDEX(Products!E:E,MATCH(OrdersTable[[#This Row],[Product ID]],Products!A:A,0))</f>
        <v>152</v>
      </c>
      <c r="W1452" s="77">
        <f>OrdersTable[[#This Row],[Quantity]]*OrdersTable[[#This Row],[Unit Cost]]</f>
        <v>152</v>
      </c>
      <c r="X1452" s="77">
        <f>'Dropdown Lists'!$I$2*(1+OrdersTable[[#This Row],[Returned]])</f>
        <v>60</v>
      </c>
      <c r="Y1452" s="76">
        <f>OrdersTable[[#This Row],[Net Revenue]]-OrdersTable[[#This Row],[COGS]]-OrdersTable[[#This Row],[Shipping Cost]]</f>
        <v>47.350000000000023</v>
      </c>
      <c r="Z1452" s="78">
        <f>IFERROR(OrdersTable[[#This Row],[Profit]]/OrdersTable[[#This Row],[Net Revenue]],0)</f>
        <v>0.1825718141507616</v>
      </c>
      <c r="AA1452" t="s">
        <v>2522</v>
      </c>
      <c r="AB1452" s="79">
        <v>45574</v>
      </c>
      <c r="AC1452">
        <f>OrdersTable[[#This Row],[Delivery Date]]-OrdersTable[[#This Row],[Order Date]]</f>
        <v>2</v>
      </c>
      <c r="AD1452" t="str">
        <f>IF(OrdersTable[[#This Row],[Delivery Days]]&lt;=2, "Express (≤2d)", IF(OrdersTable[[#This Row],[Delivery Days]]&lt;=4, "Standard (3-4d)", "Delayed (5d+)"))</f>
        <v>Express (≤2d)</v>
      </c>
      <c r="AE1452">
        <v>4</v>
      </c>
      <c r="AF1452">
        <v>0</v>
      </c>
    </row>
    <row r="1453" spans="1:32" ht="15" x14ac:dyDescent="0.35">
      <c r="A1453" t="s">
        <v>6307</v>
      </c>
      <c r="B1453" s="1">
        <v>45572</v>
      </c>
      <c r="C1453">
        <f>YEAR(OrdersTable[[#This Row],[Order Date]])</f>
        <v>2024</v>
      </c>
      <c r="D1453" s="2">
        <f>DATE(YEAR(OrdersTable[[#This Row],[Order Date]]),MONTH(OrdersTable[[#This Row],[Order Date]]),1)</f>
        <v>45566</v>
      </c>
      <c r="E1453">
        <f>MONTH(OrdersTable[[#This Row],[Order Date]])</f>
        <v>10</v>
      </c>
      <c r="F1453" t="s">
        <v>3880</v>
      </c>
      <c r="G1453" t="str">
        <f>IF(OrdersTable[[#This Row],[Order Date]]=_xlfn.MINIFS(Order_Date, Customer_ID, OrdersTable[[#This Row],[Customer ID]]), "New", "Repeat")</f>
        <v>Repeat</v>
      </c>
      <c r="H1453" t="s">
        <v>275</v>
      </c>
      <c r="I1453" t="str">
        <f>INDEX(State!B:B,MATCH(OrdersTable[[#This Row],[State]],State!A:A,0))</f>
        <v>AP</v>
      </c>
      <c r="J1453" t="str">
        <f>INDEX(State!C:C,MATCH(OrdersTable[[#This Row],[State Code]],State!B:B,0))</f>
        <v>South</v>
      </c>
      <c r="K1453" t="s">
        <v>276</v>
      </c>
      <c r="L1453" t="s">
        <v>23</v>
      </c>
      <c r="M1453" t="s">
        <v>160</v>
      </c>
      <c r="N1453" t="str">
        <f>INDEX(Products!B:B,MATCH(OrdersTable[[#This Row],[Product ID]],Products!A:A,0))</f>
        <v>Niacinamide Toner</v>
      </c>
      <c r="O1453" t="str">
        <f>INDEX(Products!C:C,MATCH(OrdersTable[[#This Row],[Product ID]],Products!A:A,0))</f>
        <v>Skincare</v>
      </c>
      <c r="P1453">
        <v>2</v>
      </c>
      <c r="Q1453" s="5">
        <v>399</v>
      </c>
      <c r="R1453" s="74">
        <v>0.35</v>
      </c>
      <c r="S1453" s="75">
        <f>OrdersTable[[#This Row],[Quantity]]*OrdersTable[[#This Row],[Unit Price]]</f>
        <v>798</v>
      </c>
      <c r="T1453" s="5">
        <f>OrdersTable[[#This Row],[Gross Sale]]*OrdersTable[[#This Row],[Discount_Clean2]]</f>
        <v>279.29999999999995</v>
      </c>
      <c r="U1453" s="5">
        <f>OrdersTable[[#This Row],[Gross Sale]]-OrdersTable[[#This Row],[Discount Amount]]</f>
        <v>518.70000000000005</v>
      </c>
      <c r="V1453" s="77">
        <f>INDEX(Products!E:E,MATCH(OrdersTable[[#This Row],[Product ID]],Products!A:A,0))</f>
        <v>112</v>
      </c>
      <c r="W1453" s="77">
        <f>OrdersTable[[#This Row],[Quantity]]*OrdersTable[[#This Row],[Unit Cost]]</f>
        <v>224</v>
      </c>
      <c r="X1453" s="77">
        <f>'Dropdown Lists'!$I$2*(1+OrdersTable[[#This Row],[Returned]])</f>
        <v>60</v>
      </c>
      <c r="Y1453" s="76">
        <f>OrdersTable[[#This Row],[Net Revenue]]-OrdersTable[[#This Row],[COGS]]-OrdersTable[[#This Row],[Shipping Cost]]</f>
        <v>234.70000000000005</v>
      </c>
      <c r="Z1453" s="78">
        <f>IFERROR(OrdersTable[[#This Row],[Profit]]/OrdersTable[[#This Row],[Net Revenue]],0)</f>
        <v>0.45247734721418936</v>
      </c>
      <c r="AA1453" t="s">
        <v>18</v>
      </c>
      <c r="AB1453" s="79">
        <v>45576</v>
      </c>
      <c r="AC1453">
        <f>OrdersTable[[#This Row],[Delivery Date]]-OrdersTable[[#This Row],[Order Date]]</f>
        <v>4</v>
      </c>
      <c r="AD1453" t="str">
        <f>IF(OrdersTable[[#This Row],[Delivery Days]]&lt;=2, "Express (≤2d)", IF(OrdersTable[[#This Row],[Delivery Days]]&lt;=4, "Standard (3-4d)", "Delayed (5d+)"))</f>
        <v>Standard (3-4d)</v>
      </c>
      <c r="AE1453">
        <v>4</v>
      </c>
      <c r="AF1453">
        <v>0</v>
      </c>
    </row>
    <row r="1454" spans="1:32" ht="15" x14ac:dyDescent="0.35">
      <c r="A1454" t="s">
        <v>6308</v>
      </c>
      <c r="B1454" s="1">
        <v>45572</v>
      </c>
      <c r="C1454">
        <f>YEAR(OrdersTable[[#This Row],[Order Date]])</f>
        <v>2024</v>
      </c>
      <c r="D1454" s="2">
        <f>DATE(YEAR(OrdersTable[[#This Row],[Order Date]]),MONTH(OrdersTable[[#This Row],[Order Date]]),1)</f>
        <v>45566</v>
      </c>
      <c r="E1454">
        <f>MONTH(OrdersTable[[#This Row],[Order Date]])</f>
        <v>10</v>
      </c>
      <c r="F1454" t="s">
        <v>6309</v>
      </c>
      <c r="G1454" t="str">
        <f>IF(OrdersTable[[#This Row],[Order Date]]=_xlfn.MINIFS(Order_Date, Customer_ID, OrdersTable[[#This Row],[Customer ID]]), "New", "Repeat")</f>
        <v>New</v>
      </c>
      <c r="H1454" t="s">
        <v>59</v>
      </c>
      <c r="I1454" t="str">
        <f>INDEX(State!B:B,MATCH(OrdersTable[[#This Row],[State]],State!A:A,0))</f>
        <v>TN</v>
      </c>
      <c r="J1454" t="str">
        <f>INDEX(State!C:C,MATCH(OrdersTable[[#This Row],[State Code]],State!B:B,0))</f>
        <v>South</v>
      </c>
      <c r="K1454" t="s">
        <v>64</v>
      </c>
      <c r="L1454" t="s">
        <v>23</v>
      </c>
      <c r="M1454" t="s">
        <v>51</v>
      </c>
      <c r="N1454" t="str">
        <f>INDEX(Products!B:B,MATCH(OrdersTable[[#This Row],[Product ID]],Products!A:A,0))</f>
        <v>Anti-Dandruff Conditioner</v>
      </c>
      <c r="O1454" t="str">
        <f>INDEX(Products!C:C,MATCH(OrdersTable[[#This Row],[Product ID]],Products!A:A,0))</f>
        <v>Haircare</v>
      </c>
      <c r="P1454">
        <v>2</v>
      </c>
      <c r="Q1454" s="5">
        <v>399</v>
      </c>
      <c r="R1454" s="74">
        <v>0.45</v>
      </c>
      <c r="S1454" s="75">
        <f>OrdersTable[[#This Row],[Quantity]]*OrdersTable[[#This Row],[Unit Price]]</f>
        <v>798</v>
      </c>
      <c r="T1454" s="5">
        <f>OrdersTable[[#This Row],[Gross Sale]]*OrdersTable[[#This Row],[Discount_Clean2]]</f>
        <v>359.1</v>
      </c>
      <c r="U1454" s="5">
        <f>OrdersTable[[#This Row],[Gross Sale]]-OrdersTable[[#This Row],[Discount Amount]]</f>
        <v>438.9</v>
      </c>
      <c r="V1454" s="77">
        <f>INDEX(Products!E:E,MATCH(OrdersTable[[#This Row],[Product ID]],Products!A:A,0))</f>
        <v>136</v>
      </c>
      <c r="W1454" s="77">
        <f>OrdersTable[[#This Row],[Quantity]]*OrdersTable[[#This Row],[Unit Cost]]</f>
        <v>272</v>
      </c>
      <c r="X1454" s="77">
        <f>'Dropdown Lists'!$I$2*(1+OrdersTable[[#This Row],[Returned]])</f>
        <v>60</v>
      </c>
      <c r="Y1454" s="76">
        <f>OrdersTable[[#This Row],[Net Revenue]]-OrdersTable[[#This Row],[COGS]]-OrdersTable[[#This Row],[Shipping Cost]]</f>
        <v>106.89999999999998</v>
      </c>
      <c r="Z1454" s="78">
        <f>IFERROR(OrdersTable[[#This Row],[Profit]]/OrdersTable[[#This Row],[Net Revenue]],0)</f>
        <v>0.24356345408976984</v>
      </c>
      <c r="AA1454" t="s">
        <v>18</v>
      </c>
      <c r="AB1454" s="79">
        <v>45574</v>
      </c>
      <c r="AC1454">
        <f>OrdersTable[[#This Row],[Delivery Date]]-OrdersTable[[#This Row],[Order Date]]</f>
        <v>2</v>
      </c>
      <c r="AD1454" t="str">
        <f>IF(OrdersTable[[#This Row],[Delivery Days]]&lt;=2, "Express (≤2d)", IF(OrdersTable[[#This Row],[Delivery Days]]&lt;=4, "Standard (3-4d)", "Delayed (5d+)"))</f>
        <v>Express (≤2d)</v>
      </c>
      <c r="AF1454">
        <v>0</v>
      </c>
    </row>
    <row r="1455" spans="1:32" ht="15" x14ac:dyDescent="0.35">
      <c r="A1455" t="s">
        <v>2741</v>
      </c>
      <c r="B1455" s="1">
        <v>45573</v>
      </c>
      <c r="C1455">
        <f>YEAR(OrdersTable[[#This Row],[Order Date]])</f>
        <v>2024</v>
      </c>
      <c r="D1455" s="2">
        <f>DATE(YEAR(OrdersTable[[#This Row],[Order Date]]),MONTH(OrdersTable[[#This Row],[Order Date]]),1)</f>
        <v>45566</v>
      </c>
      <c r="E1455">
        <f>MONTH(OrdersTable[[#This Row],[Order Date]])</f>
        <v>10</v>
      </c>
      <c r="F1455" t="s">
        <v>2742</v>
      </c>
      <c r="G1455" t="str">
        <f>IF(OrdersTable[[#This Row],[Order Date]]=_xlfn.MINIFS(Order_Date, Customer_ID, OrdersTable[[#This Row],[Customer ID]]), "New", "Repeat")</f>
        <v>New</v>
      </c>
      <c r="H1455" t="s">
        <v>54</v>
      </c>
      <c r="I1455" t="str">
        <f>INDEX(State!B:B,MATCH(OrdersTable[[#This Row],[State]],State!A:A,0))</f>
        <v>RJ</v>
      </c>
      <c r="J1455" t="str">
        <f>INDEX(State!C:C,MATCH(OrdersTable[[#This Row],[State Code]],State!B:B,0))</f>
        <v>North</v>
      </c>
      <c r="K1455" t="s">
        <v>227</v>
      </c>
      <c r="L1455" t="s">
        <v>16</v>
      </c>
      <c r="M1455" t="s">
        <v>255</v>
      </c>
      <c r="N1455" t="str">
        <f>INDEX(Products!B:B,MATCH(OrdersTable[[#This Row],[Product ID]],Products!A:A,0))</f>
        <v>Cotton Oversized T-Shirt</v>
      </c>
      <c r="O1455" t="str">
        <f>INDEX(Products!C:C,MATCH(OrdersTable[[#This Row],[Product ID]],Products!A:A,0))</f>
        <v>Apparel</v>
      </c>
      <c r="P1455">
        <v>1</v>
      </c>
      <c r="Q1455" s="5">
        <v>799</v>
      </c>
      <c r="R1455" s="74">
        <v>0.25</v>
      </c>
      <c r="S1455" s="75">
        <f>OrdersTable[[#This Row],[Quantity]]*OrdersTable[[#This Row],[Unit Price]]</f>
        <v>799</v>
      </c>
      <c r="T1455" s="5">
        <f>OrdersTable[[#This Row],[Gross Sale]]*OrdersTable[[#This Row],[Discount_Clean2]]</f>
        <v>199.75</v>
      </c>
      <c r="U1455" s="5">
        <f>OrdersTable[[#This Row],[Gross Sale]]-OrdersTable[[#This Row],[Discount Amount]]</f>
        <v>599.25</v>
      </c>
      <c r="V1455" s="77">
        <f>INDEX(Products!E:E,MATCH(OrdersTable[[#This Row],[Product ID]],Products!A:A,0))</f>
        <v>320</v>
      </c>
      <c r="W1455" s="77">
        <f>OrdersTable[[#This Row],[Quantity]]*OrdersTable[[#This Row],[Unit Cost]]</f>
        <v>320</v>
      </c>
      <c r="X1455" s="77">
        <f>'Dropdown Lists'!$I$2*(1+OrdersTable[[#This Row],[Returned]])</f>
        <v>60</v>
      </c>
      <c r="Y1455" s="76">
        <f>OrdersTable[[#This Row],[Net Revenue]]-OrdersTable[[#This Row],[COGS]]-OrdersTable[[#This Row],[Shipping Cost]]</f>
        <v>219.25</v>
      </c>
      <c r="Z1455" s="78">
        <f>IFERROR(OrdersTable[[#This Row],[Profit]]/OrdersTable[[#This Row],[Net Revenue]],0)</f>
        <v>0.36587400917813934</v>
      </c>
      <c r="AA1455" t="s">
        <v>2522</v>
      </c>
      <c r="AB1455" s="79">
        <v>45578</v>
      </c>
      <c r="AC1455">
        <f>OrdersTable[[#This Row],[Delivery Date]]-OrdersTable[[#This Row],[Order Date]]</f>
        <v>5</v>
      </c>
      <c r="AD1455" t="str">
        <f>IF(OrdersTable[[#This Row],[Delivery Days]]&lt;=2, "Express (≤2d)", IF(OrdersTable[[#This Row],[Delivery Days]]&lt;=4, "Standard (3-4d)", "Delayed (5d+)"))</f>
        <v>Delayed (5d+)</v>
      </c>
      <c r="AE1455">
        <v>3</v>
      </c>
      <c r="AF1455">
        <v>0</v>
      </c>
    </row>
    <row r="1456" spans="1:32" ht="15" x14ac:dyDescent="0.35">
      <c r="A1456" t="s">
        <v>5679</v>
      </c>
      <c r="B1456" s="1">
        <v>45573</v>
      </c>
      <c r="C1456">
        <f>YEAR(OrdersTable[[#This Row],[Order Date]])</f>
        <v>2024</v>
      </c>
      <c r="D1456" s="2">
        <f>DATE(YEAR(OrdersTable[[#This Row],[Order Date]]),MONTH(OrdersTable[[#This Row],[Order Date]]),1)</f>
        <v>45566</v>
      </c>
      <c r="E1456">
        <f>MONTH(OrdersTable[[#This Row],[Order Date]])</f>
        <v>10</v>
      </c>
      <c r="F1456" t="s">
        <v>5680</v>
      </c>
      <c r="G1456" t="str">
        <f>IF(OrdersTable[[#This Row],[Order Date]]=_xlfn.MINIFS(Order_Date, Customer_ID, OrdersTable[[#This Row],[Customer ID]]), "New", "Repeat")</f>
        <v>Repeat</v>
      </c>
      <c r="H1456" t="s">
        <v>48</v>
      </c>
      <c r="I1456" t="str">
        <f>INDEX(State!B:B,MATCH(OrdersTable[[#This Row],[State]],State!A:A,0))</f>
        <v>HR</v>
      </c>
      <c r="J1456" t="str">
        <f>INDEX(State!C:C,MATCH(OrdersTable[[#This Row],[State Code]],State!B:B,0))</f>
        <v>North</v>
      </c>
      <c r="K1456" t="s">
        <v>49</v>
      </c>
      <c r="L1456" t="s">
        <v>23</v>
      </c>
      <c r="M1456" t="s">
        <v>17</v>
      </c>
      <c r="N1456" t="str">
        <f>INDEX(Products!B:B,MATCH(OrdersTable[[#This Row],[Product ID]],Products!A:A,0))</f>
        <v>Casual Sneakers</v>
      </c>
      <c r="O1456" t="str">
        <f>INDEX(Products!C:C,MATCH(OrdersTable[[#This Row],[Product ID]],Products!A:A,0))</f>
        <v>Footwear</v>
      </c>
      <c r="P1456">
        <v>2</v>
      </c>
      <c r="Q1456" s="5">
        <v>2199</v>
      </c>
      <c r="R1456" s="74">
        <v>0.4</v>
      </c>
      <c r="S1456" s="75">
        <f>OrdersTable[[#This Row],[Quantity]]*OrdersTable[[#This Row],[Unit Price]]</f>
        <v>4398</v>
      </c>
      <c r="T1456" s="5">
        <f>OrdersTable[[#This Row],[Gross Sale]]*OrdersTable[[#This Row],[Discount_Clean2]]</f>
        <v>1759.2</v>
      </c>
      <c r="U1456" s="5">
        <f>OrdersTable[[#This Row],[Gross Sale]]-OrdersTable[[#This Row],[Discount Amount]]</f>
        <v>2638.8</v>
      </c>
      <c r="V1456" s="77">
        <f>INDEX(Products!E:E,MATCH(OrdersTable[[#This Row],[Product ID]],Products!A:A,0))</f>
        <v>1034</v>
      </c>
      <c r="W1456" s="77">
        <f>OrdersTable[[#This Row],[Quantity]]*OrdersTable[[#This Row],[Unit Cost]]</f>
        <v>2068</v>
      </c>
      <c r="X1456" s="77">
        <f>'Dropdown Lists'!$I$2*(1+OrdersTable[[#This Row],[Returned]])</f>
        <v>60</v>
      </c>
      <c r="Y1456" s="76">
        <f>OrdersTable[[#This Row],[Net Revenue]]-OrdersTable[[#This Row],[COGS]]-OrdersTable[[#This Row],[Shipping Cost]]</f>
        <v>510.80000000000018</v>
      </c>
      <c r="Z1456" s="78">
        <f>IFERROR(OrdersTable[[#This Row],[Profit]]/OrdersTable[[#This Row],[Net Revenue]],0)</f>
        <v>0.19357283613763837</v>
      </c>
      <c r="AA1456" t="s">
        <v>18</v>
      </c>
      <c r="AB1456" s="79">
        <v>45576</v>
      </c>
      <c r="AC1456">
        <f>OrdersTable[[#This Row],[Delivery Date]]-OrdersTable[[#This Row],[Order Date]]</f>
        <v>3</v>
      </c>
      <c r="AD1456" t="str">
        <f>IF(OrdersTable[[#This Row],[Delivery Days]]&lt;=2, "Express (≤2d)", IF(OrdersTable[[#This Row],[Delivery Days]]&lt;=4, "Standard (3-4d)", "Delayed (5d+)"))</f>
        <v>Standard (3-4d)</v>
      </c>
      <c r="AE1456">
        <v>3</v>
      </c>
      <c r="AF1456">
        <v>0</v>
      </c>
    </row>
    <row r="1457" spans="1:32" ht="15" x14ac:dyDescent="0.35">
      <c r="A1457" t="s">
        <v>6091</v>
      </c>
      <c r="B1457" s="1">
        <v>45573</v>
      </c>
      <c r="C1457">
        <f>YEAR(OrdersTable[[#This Row],[Order Date]])</f>
        <v>2024</v>
      </c>
      <c r="D1457" s="2">
        <f>DATE(YEAR(OrdersTable[[#This Row],[Order Date]]),MONTH(OrdersTable[[#This Row],[Order Date]]),1)</f>
        <v>45566</v>
      </c>
      <c r="E1457">
        <f>MONTH(OrdersTable[[#This Row],[Order Date]])</f>
        <v>10</v>
      </c>
      <c r="F1457" t="s">
        <v>6092</v>
      </c>
      <c r="G1457" t="str">
        <f>IF(OrdersTable[[#This Row],[Order Date]]=_xlfn.MINIFS(Order_Date, Customer_ID, OrdersTable[[#This Row],[Customer ID]]), "New", "Repeat")</f>
        <v>New</v>
      </c>
      <c r="H1457" t="s">
        <v>76</v>
      </c>
      <c r="I1457" t="str">
        <f>INDEX(State!B:B,MATCH(OrdersTable[[#This Row],[State]],State!A:A,0))</f>
        <v>UP</v>
      </c>
      <c r="J1457" t="str">
        <f>INDEX(State!C:C,MATCH(OrdersTable[[#This Row],[State Code]],State!B:B,0))</f>
        <v>North</v>
      </c>
      <c r="K1457" t="s">
        <v>118</v>
      </c>
      <c r="L1457" t="s">
        <v>39</v>
      </c>
      <c r="M1457" t="s">
        <v>176</v>
      </c>
      <c r="N1457" t="str">
        <f>INDEX(Products!B:B,MATCH(OrdersTable[[#This Row],[Product ID]],Products!A:A,0))</f>
        <v>Denim Jacket</v>
      </c>
      <c r="O1457" t="str">
        <f>INDEX(Products!C:C,MATCH(OrdersTable[[#This Row],[Product ID]],Products!A:A,0))</f>
        <v>Apparel</v>
      </c>
      <c r="P1457">
        <v>2</v>
      </c>
      <c r="Q1457" s="5">
        <v>2499</v>
      </c>
      <c r="R1457" s="74">
        <v>0.05</v>
      </c>
      <c r="S1457" s="75">
        <f>OrdersTable[[#This Row],[Quantity]]*OrdersTable[[#This Row],[Unit Price]]</f>
        <v>4998</v>
      </c>
      <c r="T1457" s="5">
        <f>OrdersTable[[#This Row],[Gross Sale]]*OrdersTable[[#This Row],[Discount_Clean2]]</f>
        <v>249.9</v>
      </c>
      <c r="U1457" s="5">
        <f>OrdersTable[[#This Row],[Gross Sale]]-OrdersTable[[#This Row],[Discount Amount]]</f>
        <v>4748.1000000000004</v>
      </c>
      <c r="V1457" s="77">
        <f>INDEX(Products!E:E,MATCH(OrdersTable[[#This Row],[Product ID]],Products!A:A,0))</f>
        <v>1125</v>
      </c>
      <c r="W1457" s="77">
        <f>OrdersTable[[#This Row],[Quantity]]*OrdersTable[[#This Row],[Unit Cost]]</f>
        <v>2250</v>
      </c>
      <c r="X1457" s="77">
        <f>'Dropdown Lists'!$I$2*(1+OrdersTable[[#This Row],[Returned]])</f>
        <v>60</v>
      </c>
      <c r="Y1457" s="76">
        <f>OrdersTable[[#This Row],[Net Revenue]]-OrdersTable[[#This Row],[COGS]]-OrdersTable[[#This Row],[Shipping Cost]]</f>
        <v>2438.1000000000004</v>
      </c>
      <c r="Z1457" s="78">
        <f>IFERROR(OrdersTable[[#This Row],[Profit]]/OrdersTable[[#This Row],[Net Revenue]],0)</f>
        <v>0.51348960636886343</v>
      </c>
      <c r="AA1457" t="s">
        <v>18</v>
      </c>
      <c r="AB1457" s="79">
        <v>45578</v>
      </c>
      <c r="AC1457">
        <f>OrdersTable[[#This Row],[Delivery Date]]-OrdersTable[[#This Row],[Order Date]]</f>
        <v>5</v>
      </c>
      <c r="AD1457" t="str">
        <f>IF(OrdersTable[[#This Row],[Delivery Days]]&lt;=2, "Express (≤2d)", IF(OrdersTable[[#This Row],[Delivery Days]]&lt;=4, "Standard (3-4d)", "Delayed (5d+)"))</f>
        <v>Delayed (5d+)</v>
      </c>
      <c r="AE1457">
        <v>4</v>
      </c>
      <c r="AF1457">
        <v>0</v>
      </c>
    </row>
    <row r="1458" spans="1:32" ht="15" x14ac:dyDescent="0.35">
      <c r="A1458" t="s">
        <v>1679</v>
      </c>
      <c r="B1458" s="1">
        <v>45573</v>
      </c>
      <c r="C1458">
        <f>YEAR(OrdersTable[[#This Row],[Order Date]])</f>
        <v>2024</v>
      </c>
      <c r="D1458" s="2">
        <f>DATE(YEAR(OrdersTable[[#This Row],[Order Date]]),MONTH(OrdersTable[[#This Row],[Order Date]]),1)</f>
        <v>45566</v>
      </c>
      <c r="E1458">
        <f>MONTH(OrdersTable[[#This Row],[Order Date]])</f>
        <v>10</v>
      </c>
      <c r="F1458" t="s">
        <v>1680</v>
      </c>
      <c r="G1458" t="str">
        <f>IF(OrdersTable[[#This Row],[Order Date]]=_xlfn.MINIFS(Order_Date, Customer_ID, OrdersTable[[#This Row],[Customer ID]]), "New", "Repeat")</f>
        <v>New</v>
      </c>
      <c r="H1458" t="s">
        <v>32</v>
      </c>
      <c r="I1458" t="str">
        <f>INDEX(State!B:B,MATCH(OrdersTable[[#This Row],[State]],State!A:A,0))</f>
        <v>BR</v>
      </c>
      <c r="J1458" t="str">
        <f>INDEX(State!C:C,MATCH(OrdersTable[[#This Row],[State Code]],State!B:B,0))</f>
        <v>East</v>
      </c>
      <c r="K1458" t="s">
        <v>33</v>
      </c>
      <c r="L1458" t="s">
        <v>65</v>
      </c>
      <c r="M1458" t="s">
        <v>152</v>
      </c>
      <c r="N1458" t="str">
        <f>INDEX(Products!B:B,MATCH(OrdersTable[[#This Row],[Product ID]],Products!A:A,0))</f>
        <v>Green Tea (100 bags)</v>
      </c>
      <c r="O1458" t="str">
        <f>INDEX(Products!C:C,MATCH(OrdersTable[[#This Row],[Product ID]],Products!A:A,0))</f>
        <v>Wellness</v>
      </c>
      <c r="P1458">
        <v>1</v>
      </c>
      <c r="Q1458" s="5">
        <v>399</v>
      </c>
      <c r="R1458" s="74">
        <v>0.4</v>
      </c>
      <c r="S1458" s="75">
        <f>OrdersTable[[#This Row],[Quantity]]*OrdersTable[[#This Row],[Unit Price]]</f>
        <v>399</v>
      </c>
      <c r="T1458" s="5">
        <f>OrdersTable[[#This Row],[Gross Sale]]*OrdersTable[[#This Row],[Discount_Clean2]]</f>
        <v>159.60000000000002</v>
      </c>
      <c r="U1458" s="5">
        <f>OrdersTable[[#This Row],[Gross Sale]]-OrdersTable[[#This Row],[Discount Amount]]</f>
        <v>239.39999999999998</v>
      </c>
      <c r="V1458" s="77">
        <f>INDEX(Products!E:E,MATCH(OrdersTable[[#This Row],[Product ID]],Products!A:A,0))</f>
        <v>128</v>
      </c>
      <c r="W1458" s="77">
        <f>OrdersTable[[#This Row],[Quantity]]*OrdersTable[[#This Row],[Unit Cost]]</f>
        <v>128</v>
      </c>
      <c r="X1458" s="77">
        <f>'Dropdown Lists'!$I$2*(1+OrdersTable[[#This Row],[Returned]])</f>
        <v>60</v>
      </c>
      <c r="Y1458" s="76">
        <f>OrdersTable[[#This Row],[Net Revenue]]-OrdersTable[[#This Row],[COGS]]-OrdersTable[[#This Row],[Shipping Cost]]</f>
        <v>51.399999999999977</v>
      </c>
      <c r="Z1458" s="78">
        <f>IFERROR(OrdersTable[[#This Row],[Profit]]/OrdersTable[[#This Row],[Net Revenue]],0)</f>
        <v>0.21470342522974095</v>
      </c>
      <c r="AA1458" t="s">
        <v>18</v>
      </c>
      <c r="AB1458" s="79">
        <v>45578</v>
      </c>
      <c r="AC1458">
        <f>OrdersTable[[#This Row],[Delivery Date]]-OrdersTable[[#This Row],[Order Date]]</f>
        <v>5</v>
      </c>
      <c r="AD1458" t="str">
        <f>IF(OrdersTable[[#This Row],[Delivery Days]]&lt;=2, "Express (≤2d)", IF(OrdersTable[[#This Row],[Delivery Days]]&lt;=4, "Standard (3-4d)", "Delayed (5d+)"))</f>
        <v>Delayed (5d+)</v>
      </c>
      <c r="AF1458">
        <v>0</v>
      </c>
    </row>
    <row r="1459" spans="1:32" ht="15" x14ac:dyDescent="0.35">
      <c r="A1459" t="s">
        <v>1681</v>
      </c>
      <c r="B1459" s="1">
        <v>45573</v>
      </c>
      <c r="C1459">
        <f>YEAR(OrdersTable[[#This Row],[Order Date]])</f>
        <v>2024</v>
      </c>
      <c r="D1459" s="2">
        <f>DATE(YEAR(OrdersTable[[#This Row],[Order Date]]),MONTH(OrdersTable[[#This Row],[Order Date]]),1)</f>
        <v>45566</v>
      </c>
      <c r="E1459">
        <f>MONTH(OrdersTable[[#This Row],[Order Date]])</f>
        <v>10</v>
      </c>
      <c r="F1459" t="s">
        <v>1682</v>
      </c>
      <c r="G1459" t="str">
        <f>IF(OrdersTable[[#This Row],[Order Date]]=_xlfn.MINIFS(Order_Date, Customer_ID, OrdersTable[[#This Row],[Customer ID]]), "New", "Repeat")</f>
        <v>Repeat</v>
      </c>
      <c r="H1459" t="s">
        <v>37</v>
      </c>
      <c r="I1459" t="str">
        <f>INDEX(State!B:B,MATCH(OrdersTable[[#This Row],[State]],State!A:A,0))</f>
        <v>GJ</v>
      </c>
      <c r="J1459" t="str">
        <f>INDEX(State!C:C,MATCH(OrdersTable[[#This Row],[State Code]],State!B:B,0))</f>
        <v>West</v>
      </c>
      <c r="K1459" t="s">
        <v>38</v>
      </c>
      <c r="L1459" t="s">
        <v>65</v>
      </c>
      <c r="M1459" t="s">
        <v>228</v>
      </c>
      <c r="N1459" t="str">
        <f>INDEX(Products!B:B,MATCH(OrdersTable[[#This Row],[Product ID]],Products!A:A,0))</f>
        <v>Fast Charger 33W</v>
      </c>
      <c r="O1459" t="str">
        <f>INDEX(Products!C:C,MATCH(OrdersTable[[#This Row],[Product ID]],Products!A:A,0))</f>
        <v>Electronics</v>
      </c>
      <c r="P1459">
        <v>1</v>
      </c>
      <c r="Q1459" s="5">
        <v>899</v>
      </c>
      <c r="R1459" s="74">
        <v>0.15</v>
      </c>
      <c r="S1459" s="75">
        <f>OrdersTable[[#This Row],[Quantity]]*OrdersTable[[#This Row],[Unit Price]]</f>
        <v>899</v>
      </c>
      <c r="T1459" s="5">
        <f>OrdersTable[[#This Row],[Gross Sale]]*OrdersTable[[#This Row],[Discount_Clean2]]</f>
        <v>134.85</v>
      </c>
      <c r="U1459" s="5">
        <f>OrdersTable[[#This Row],[Gross Sale]]-OrdersTable[[#This Row],[Discount Amount]]</f>
        <v>764.15</v>
      </c>
      <c r="V1459" s="77">
        <f>INDEX(Products!E:E,MATCH(OrdersTable[[#This Row],[Product ID]],Products!A:A,0))</f>
        <v>494</v>
      </c>
      <c r="W1459" s="77">
        <f>OrdersTable[[#This Row],[Quantity]]*OrdersTable[[#This Row],[Unit Cost]]</f>
        <v>494</v>
      </c>
      <c r="X1459" s="77">
        <f>'Dropdown Lists'!$I$2*(1+OrdersTable[[#This Row],[Returned]])</f>
        <v>60</v>
      </c>
      <c r="Y1459" s="76">
        <f>OrdersTable[[#This Row],[Net Revenue]]-OrdersTable[[#This Row],[COGS]]-OrdersTable[[#This Row],[Shipping Cost]]</f>
        <v>210.14999999999998</v>
      </c>
      <c r="Z1459" s="78">
        <f>IFERROR(OrdersTable[[#This Row],[Profit]]/OrdersTable[[#This Row],[Net Revenue]],0)</f>
        <v>0.27501145063142052</v>
      </c>
      <c r="AA1459" t="s">
        <v>18</v>
      </c>
      <c r="AB1459" s="79">
        <v>45576</v>
      </c>
      <c r="AC1459">
        <f>OrdersTable[[#This Row],[Delivery Date]]-OrdersTable[[#This Row],[Order Date]]</f>
        <v>3</v>
      </c>
      <c r="AD1459" t="str">
        <f>IF(OrdersTable[[#This Row],[Delivery Days]]&lt;=2, "Express (≤2d)", IF(OrdersTable[[#This Row],[Delivery Days]]&lt;=4, "Standard (3-4d)", "Delayed (5d+)"))</f>
        <v>Standard (3-4d)</v>
      </c>
      <c r="AF1459">
        <v>0</v>
      </c>
    </row>
    <row r="1460" spans="1:32" ht="15" x14ac:dyDescent="0.35">
      <c r="A1460" t="s">
        <v>2101</v>
      </c>
      <c r="B1460" s="1">
        <v>45573</v>
      </c>
      <c r="C1460">
        <f>YEAR(OrdersTable[[#This Row],[Order Date]])</f>
        <v>2024</v>
      </c>
      <c r="D1460" s="2">
        <f>DATE(YEAR(OrdersTable[[#This Row],[Order Date]]),MONTH(OrdersTable[[#This Row],[Order Date]]),1)</f>
        <v>45566</v>
      </c>
      <c r="E1460">
        <f>MONTH(OrdersTable[[#This Row],[Order Date]])</f>
        <v>10</v>
      </c>
      <c r="F1460" t="s">
        <v>234</v>
      </c>
      <c r="G1460" t="str">
        <f>IF(OrdersTable[[#This Row],[Order Date]]=_xlfn.MINIFS(Order_Date, Customer_ID, OrdersTable[[#This Row],[Customer ID]]), "New", "Repeat")</f>
        <v>Repeat</v>
      </c>
      <c r="H1460" t="s">
        <v>43</v>
      </c>
      <c r="I1460" t="str">
        <f>INDEX(State!B:B,MATCH(OrdersTable[[#This Row],[State]],State!A:A,0))</f>
        <v>MP</v>
      </c>
      <c r="J1460" t="str">
        <f>INDEX(State!C:C,MATCH(OrdersTable[[#This Row],[State Code]],State!B:B,0))</f>
        <v>West</v>
      </c>
      <c r="K1460" t="s">
        <v>44</v>
      </c>
      <c r="L1460" t="s">
        <v>23</v>
      </c>
      <c r="M1460" t="s">
        <v>152</v>
      </c>
      <c r="N1460" t="str">
        <f>INDEX(Products!B:B,MATCH(OrdersTable[[#This Row],[Product ID]],Products!A:A,0))</f>
        <v>Green Tea (100 bags)</v>
      </c>
      <c r="O1460" t="str">
        <f>INDEX(Products!C:C,MATCH(OrdersTable[[#This Row],[Product ID]],Products!A:A,0))</f>
        <v>Wellness</v>
      </c>
      <c r="P1460">
        <v>1</v>
      </c>
      <c r="Q1460" s="5">
        <v>399</v>
      </c>
      <c r="R1460" s="74">
        <v>0.35</v>
      </c>
      <c r="S1460" s="75">
        <f>OrdersTable[[#This Row],[Quantity]]*OrdersTable[[#This Row],[Unit Price]]</f>
        <v>399</v>
      </c>
      <c r="T1460" s="5">
        <f>OrdersTable[[#This Row],[Gross Sale]]*OrdersTable[[#This Row],[Discount_Clean2]]</f>
        <v>139.64999999999998</v>
      </c>
      <c r="U1460" s="5">
        <f>OrdersTable[[#This Row],[Gross Sale]]-OrdersTable[[#This Row],[Discount Amount]]</f>
        <v>259.35000000000002</v>
      </c>
      <c r="V1460" s="77">
        <f>INDEX(Products!E:E,MATCH(OrdersTable[[#This Row],[Product ID]],Products!A:A,0))</f>
        <v>128</v>
      </c>
      <c r="W1460" s="77">
        <f>OrdersTable[[#This Row],[Quantity]]*OrdersTable[[#This Row],[Unit Cost]]</f>
        <v>128</v>
      </c>
      <c r="X1460" s="77">
        <f>'Dropdown Lists'!$I$2*(1+OrdersTable[[#This Row],[Returned]])</f>
        <v>60</v>
      </c>
      <c r="Y1460" s="76">
        <f>OrdersTable[[#This Row],[Net Revenue]]-OrdersTable[[#This Row],[COGS]]-OrdersTable[[#This Row],[Shipping Cost]]</f>
        <v>71.350000000000023</v>
      </c>
      <c r="Z1460" s="78">
        <f>IFERROR(OrdersTable[[#This Row],[Profit]]/OrdersTable[[#This Row],[Net Revenue]],0)</f>
        <v>0.27511085405822255</v>
      </c>
      <c r="AA1460" t="s">
        <v>18</v>
      </c>
      <c r="AB1460" s="79">
        <v>45578</v>
      </c>
      <c r="AC1460">
        <f>OrdersTable[[#This Row],[Delivery Date]]-OrdersTable[[#This Row],[Order Date]]</f>
        <v>5</v>
      </c>
      <c r="AD1460" t="str">
        <f>IF(OrdersTable[[#This Row],[Delivery Days]]&lt;=2, "Express (≤2d)", IF(OrdersTable[[#This Row],[Delivery Days]]&lt;=4, "Standard (3-4d)", "Delayed (5d+)"))</f>
        <v>Delayed (5d+)</v>
      </c>
      <c r="AE1460">
        <v>3</v>
      </c>
      <c r="AF1460">
        <v>0</v>
      </c>
    </row>
    <row r="1461" spans="1:32" ht="15" x14ac:dyDescent="0.35">
      <c r="A1461" t="s">
        <v>7068</v>
      </c>
      <c r="B1461" s="1">
        <v>45573</v>
      </c>
      <c r="C1461">
        <f>YEAR(OrdersTable[[#This Row],[Order Date]])</f>
        <v>2024</v>
      </c>
      <c r="D1461" s="2">
        <f>DATE(YEAR(OrdersTable[[#This Row],[Order Date]]),MONTH(OrdersTable[[#This Row],[Order Date]]),1)</f>
        <v>45566</v>
      </c>
      <c r="E1461">
        <f>MONTH(OrdersTable[[#This Row],[Order Date]])</f>
        <v>10</v>
      </c>
      <c r="F1461" t="s">
        <v>7069</v>
      </c>
      <c r="G1461" t="str">
        <f>IF(OrdersTable[[#This Row],[Order Date]]=_xlfn.MINIFS(Order_Date, Customer_ID, OrdersTable[[#This Row],[Customer ID]]), "New", "Repeat")</f>
        <v>New</v>
      </c>
      <c r="H1461" t="s">
        <v>27</v>
      </c>
      <c r="I1461" t="str">
        <f>INDEX(State!B:B,MATCH(OrdersTable[[#This Row],[State]],State!A:A,0))</f>
        <v>WB</v>
      </c>
      <c r="J1461" t="str">
        <f>INDEX(State!C:C,MATCH(OrdersTable[[#This Row],[State Code]],State!B:B,0))</f>
        <v>East</v>
      </c>
      <c r="K1461" t="s">
        <v>28</v>
      </c>
      <c r="L1461" t="s">
        <v>23</v>
      </c>
      <c r="M1461" t="s">
        <v>179</v>
      </c>
      <c r="N1461" t="str">
        <f>INDEX(Products!B:B,MATCH(OrdersTable[[#This Row],[Product ID]],Products!A:A,0))</f>
        <v>Whey Protein 1kg</v>
      </c>
      <c r="O1461" t="str">
        <f>INDEX(Products!C:C,MATCH(OrdersTable[[#This Row],[Product ID]],Products!A:A,0))</f>
        <v>Wellness</v>
      </c>
      <c r="P1461">
        <v>4</v>
      </c>
      <c r="Q1461" s="5">
        <v>2299</v>
      </c>
      <c r="R1461" s="74">
        <v>0.35</v>
      </c>
      <c r="S1461" s="75">
        <f>OrdersTable[[#This Row],[Quantity]]*OrdersTable[[#This Row],[Unit Price]]</f>
        <v>9196</v>
      </c>
      <c r="T1461" s="5">
        <f>OrdersTable[[#This Row],[Gross Sale]]*OrdersTable[[#This Row],[Discount_Clean2]]</f>
        <v>3218.6</v>
      </c>
      <c r="U1461" s="5">
        <f>OrdersTable[[#This Row],[Gross Sale]]-OrdersTable[[#This Row],[Discount Amount]]</f>
        <v>5977.4</v>
      </c>
      <c r="V1461" s="77">
        <f>INDEX(Products!E:E,MATCH(OrdersTable[[#This Row],[Product ID]],Products!A:A,0))</f>
        <v>1333</v>
      </c>
      <c r="W1461" s="77">
        <f>OrdersTable[[#This Row],[Quantity]]*OrdersTable[[#This Row],[Unit Cost]]</f>
        <v>5332</v>
      </c>
      <c r="X1461" s="77">
        <f>'Dropdown Lists'!$I$2*(1+OrdersTable[[#This Row],[Returned]])</f>
        <v>60</v>
      </c>
      <c r="Y1461" s="76">
        <f>OrdersTable[[#This Row],[Net Revenue]]-OrdersTable[[#This Row],[COGS]]-OrdersTable[[#This Row],[Shipping Cost]]</f>
        <v>585.39999999999964</v>
      </c>
      <c r="Z1461" s="78">
        <f>IFERROR(OrdersTable[[#This Row],[Profit]]/OrdersTable[[#This Row],[Net Revenue]],0)</f>
        <v>9.7935557265700746E-2</v>
      </c>
      <c r="AA1461" t="s">
        <v>18</v>
      </c>
      <c r="AB1461" s="79">
        <v>45575</v>
      </c>
      <c r="AC1461">
        <f>OrdersTable[[#This Row],[Delivery Date]]-OrdersTable[[#This Row],[Order Date]]</f>
        <v>2</v>
      </c>
      <c r="AD1461" t="str">
        <f>IF(OrdersTable[[#This Row],[Delivery Days]]&lt;=2, "Express (≤2d)", IF(OrdersTable[[#This Row],[Delivery Days]]&lt;=4, "Standard (3-4d)", "Delayed (5d+)"))</f>
        <v>Express (≤2d)</v>
      </c>
      <c r="AE1461">
        <v>4</v>
      </c>
      <c r="AF1461">
        <v>0</v>
      </c>
    </row>
    <row r="1462" spans="1:32" ht="15" x14ac:dyDescent="0.35">
      <c r="A1462" t="s">
        <v>6093</v>
      </c>
      <c r="B1462" s="1">
        <v>45573</v>
      </c>
      <c r="C1462">
        <f>YEAR(OrdersTable[[#This Row],[Order Date]])</f>
        <v>2024</v>
      </c>
      <c r="D1462" s="2">
        <f>DATE(YEAR(OrdersTable[[#This Row],[Order Date]]),MONTH(OrdersTable[[#This Row],[Order Date]]),1)</f>
        <v>45566</v>
      </c>
      <c r="E1462">
        <f>MONTH(OrdersTable[[#This Row],[Order Date]])</f>
        <v>10</v>
      </c>
      <c r="F1462" t="s">
        <v>4270</v>
      </c>
      <c r="G1462" t="str">
        <f>IF(OrdersTable[[#This Row],[Order Date]]=_xlfn.MINIFS(Order_Date, Customer_ID, OrdersTable[[#This Row],[Customer ID]]), "New", "Repeat")</f>
        <v>New</v>
      </c>
      <c r="H1462" t="s">
        <v>71</v>
      </c>
      <c r="I1462" t="str">
        <f>INDEX(State!B:B,MATCH(OrdersTable[[#This Row],[State]],State!A:A,0))</f>
        <v>MH</v>
      </c>
      <c r="J1462" t="str">
        <f>INDEX(State!C:C,MATCH(OrdersTable[[#This Row],[State Code]],State!B:B,0))</f>
        <v>West</v>
      </c>
      <c r="K1462" t="s">
        <v>102</v>
      </c>
      <c r="L1462" t="s">
        <v>65</v>
      </c>
      <c r="M1462" t="s">
        <v>228</v>
      </c>
      <c r="N1462" t="str">
        <f>INDEX(Products!B:B,MATCH(OrdersTable[[#This Row],[Product ID]],Products!A:A,0))</f>
        <v>Fast Charger 33W</v>
      </c>
      <c r="O1462" t="str">
        <f>INDEX(Products!C:C,MATCH(OrdersTable[[#This Row],[Product ID]],Products!A:A,0))</f>
        <v>Electronics</v>
      </c>
      <c r="P1462">
        <v>2</v>
      </c>
      <c r="Q1462" s="5">
        <v>899</v>
      </c>
      <c r="R1462" s="74">
        <v>0.05</v>
      </c>
      <c r="S1462" s="75">
        <f>OrdersTable[[#This Row],[Quantity]]*OrdersTable[[#This Row],[Unit Price]]</f>
        <v>1798</v>
      </c>
      <c r="T1462" s="5">
        <f>OrdersTable[[#This Row],[Gross Sale]]*OrdersTable[[#This Row],[Discount_Clean2]]</f>
        <v>89.9</v>
      </c>
      <c r="U1462" s="5">
        <f>OrdersTable[[#This Row],[Gross Sale]]-OrdersTable[[#This Row],[Discount Amount]]</f>
        <v>1708.1</v>
      </c>
      <c r="V1462" s="77">
        <f>INDEX(Products!E:E,MATCH(OrdersTable[[#This Row],[Product ID]],Products!A:A,0))</f>
        <v>494</v>
      </c>
      <c r="W1462" s="77">
        <f>OrdersTable[[#This Row],[Quantity]]*OrdersTable[[#This Row],[Unit Cost]]</f>
        <v>988</v>
      </c>
      <c r="X1462" s="77">
        <f>'Dropdown Lists'!$I$2*(1+OrdersTable[[#This Row],[Returned]])</f>
        <v>60</v>
      </c>
      <c r="Y1462" s="76">
        <f>OrdersTable[[#This Row],[Net Revenue]]-OrdersTable[[#This Row],[COGS]]-OrdersTable[[#This Row],[Shipping Cost]]</f>
        <v>660.09999999999991</v>
      </c>
      <c r="Z1462" s="78">
        <f>IFERROR(OrdersTable[[#This Row],[Profit]]/OrdersTable[[#This Row],[Net Revenue]],0)</f>
        <v>0.38645278379485976</v>
      </c>
      <c r="AA1462" t="s">
        <v>18</v>
      </c>
      <c r="AB1462" s="79">
        <v>45574</v>
      </c>
      <c r="AC1462">
        <f>OrdersTable[[#This Row],[Delivery Date]]-OrdersTable[[#This Row],[Order Date]]</f>
        <v>1</v>
      </c>
      <c r="AD1462" t="str">
        <f>IF(OrdersTable[[#This Row],[Delivery Days]]&lt;=2, "Express (≤2d)", IF(OrdersTable[[#This Row],[Delivery Days]]&lt;=4, "Standard (3-4d)", "Delayed (5d+)"))</f>
        <v>Express (≤2d)</v>
      </c>
      <c r="AE1462">
        <v>4</v>
      </c>
      <c r="AF1462">
        <v>0</v>
      </c>
    </row>
    <row r="1463" spans="1:32" ht="15" x14ac:dyDescent="0.35">
      <c r="A1463" t="s">
        <v>2319</v>
      </c>
      <c r="B1463" s="1">
        <v>45573</v>
      </c>
      <c r="C1463">
        <f>YEAR(OrdersTable[[#This Row],[Order Date]])</f>
        <v>2024</v>
      </c>
      <c r="D1463" s="2">
        <f>DATE(YEAR(OrdersTable[[#This Row],[Order Date]]),MONTH(OrdersTable[[#This Row],[Order Date]]),1)</f>
        <v>45566</v>
      </c>
      <c r="E1463">
        <f>MONTH(OrdersTable[[#This Row],[Order Date]])</f>
        <v>10</v>
      </c>
      <c r="F1463" t="s">
        <v>593</v>
      </c>
      <c r="G1463" t="str">
        <f>IF(OrdersTable[[#This Row],[Order Date]]=_xlfn.MINIFS(Order_Date, Customer_ID, OrdersTable[[#This Row],[Customer ID]]), "New", "Repeat")</f>
        <v>Repeat</v>
      </c>
      <c r="H1463" t="s">
        <v>95</v>
      </c>
      <c r="I1463" t="str">
        <f>INDEX(State!B:B,MATCH(OrdersTable[[#This Row],[State]],State!A:A,0))</f>
        <v>TG</v>
      </c>
      <c r="J1463" t="str">
        <f>INDEX(State!C:C,MATCH(OrdersTable[[#This Row],[State Code]],State!B:B,0))</f>
        <v>South</v>
      </c>
      <c r="K1463" t="s">
        <v>96</v>
      </c>
      <c r="L1463" t="s">
        <v>65</v>
      </c>
      <c r="M1463" t="s">
        <v>92</v>
      </c>
      <c r="N1463" t="str">
        <f>INDEX(Products!B:B,MATCH(OrdersTable[[#This Row],[Product ID]],Products!A:A,0))</f>
        <v>Kolhapuri Sandals</v>
      </c>
      <c r="O1463" t="str">
        <f>INDEX(Products!C:C,MATCH(OrdersTable[[#This Row],[Product ID]],Products!A:A,0))</f>
        <v>Footwear</v>
      </c>
      <c r="P1463">
        <v>1</v>
      </c>
      <c r="Q1463" s="5">
        <v>999</v>
      </c>
      <c r="R1463" s="74">
        <v>0.3</v>
      </c>
      <c r="S1463" s="75">
        <f>OrdersTable[[#This Row],[Quantity]]*OrdersTable[[#This Row],[Unit Price]]</f>
        <v>999</v>
      </c>
      <c r="T1463" s="5">
        <f>OrdersTable[[#This Row],[Gross Sale]]*OrdersTable[[#This Row],[Discount_Clean2]]</f>
        <v>299.7</v>
      </c>
      <c r="U1463" s="5">
        <f>OrdersTable[[#This Row],[Gross Sale]]-OrdersTable[[#This Row],[Discount Amount]]</f>
        <v>699.3</v>
      </c>
      <c r="V1463" s="77">
        <f>INDEX(Products!E:E,MATCH(OrdersTable[[#This Row],[Product ID]],Products!A:A,0))</f>
        <v>400</v>
      </c>
      <c r="W1463" s="77">
        <f>OrdersTable[[#This Row],[Quantity]]*OrdersTable[[#This Row],[Unit Cost]]</f>
        <v>400</v>
      </c>
      <c r="X1463" s="77">
        <f>'Dropdown Lists'!$I$2*(1+OrdersTable[[#This Row],[Returned]])</f>
        <v>60</v>
      </c>
      <c r="Y1463" s="76">
        <f>OrdersTable[[#This Row],[Net Revenue]]-OrdersTable[[#This Row],[COGS]]-OrdersTable[[#This Row],[Shipping Cost]]</f>
        <v>239.29999999999995</v>
      </c>
      <c r="Z1463" s="78">
        <f>IFERROR(OrdersTable[[#This Row],[Profit]]/OrdersTable[[#This Row],[Net Revenue]],0)</f>
        <v>0.34219934219934217</v>
      </c>
      <c r="AA1463" t="s">
        <v>18</v>
      </c>
      <c r="AB1463" s="79">
        <v>45574</v>
      </c>
      <c r="AC1463">
        <f>OrdersTable[[#This Row],[Delivery Date]]-OrdersTable[[#This Row],[Order Date]]</f>
        <v>1</v>
      </c>
      <c r="AD1463" t="str">
        <f>IF(OrdersTable[[#This Row],[Delivery Days]]&lt;=2, "Express (≤2d)", IF(OrdersTable[[#This Row],[Delivery Days]]&lt;=4, "Standard (3-4d)", "Delayed (5d+)"))</f>
        <v>Express (≤2d)</v>
      </c>
      <c r="AE1463">
        <v>5</v>
      </c>
      <c r="AF1463">
        <v>0</v>
      </c>
    </row>
    <row r="1464" spans="1:32" ht="15" x14ac:dyDescent="0.35">
      <c r="A1464" t="s">
        <v>5120</v>
      </c>
      <c r="B1464" s="1">
        <v>45573</v>
      </c>
      <c r="C1464">
        <f>YEAR(OrdersTable[[#This Row],[Order Date]])</f>
        <v>2024</v>
      </c>
      <c r="D1464" s="2">
        <f>DATE(YEAR(OrdersTable[[#This Row],[Order Date]]),MONTH(OrdersTable[[#This Row],[Order Date]]),1)</f>
        <v>45566</v>
      </c>
      <c r="E1464">
        <f>MONTH(OrdersTable[[#This Row],[Order Date]])</f>
        <v>10</v>
      </c>
      <c r="F1464" t="s">
        <v>5121</v>
      </c>
      <c r="G1464" t="str">
        <f>IF(OrdersTable[[#This Row],[Order Date]]=_xlfn.MINIFS(Order_Date, Customer_ID, OrdersTable[[#This Row],[Customer ID]]), "New", "Repeat")</f>
        <v>Repeat</v>
      </c>
      <c r="H1464" t="s">
        <v>90</v>
      </c>
      <c r="I1464" t="str">
        <f>INDEX(State!B:B,MATCH(OrdersTable[[#This Row],[State]],State!A:A,0))</f>
        <v>GA</v>
      </c>
      <c r="J1464" t="str">
        <f>INDEX(State!C:C,MATCH(OrdersTable[[#This Row],[State Code]],State!B:B,0))</f>
        <v>West</v>
      </c>
      <c r="K1464" t="s">
        <v>91</v>
      </c>
      <c r="L1464" t="s">
        <v>23</v>
      </c>
      <c r="M1464" t="s">
        <v>73</v>
      </c>
      <c r="N1464" t="str">
        <f>INDEX(Products!B:B,MATCH(OrdersTable[[#This Row],[Product ID]],Products!A:A,0))</f>
        <v>Hydrating Face Wash</v>
      </c>
      <c r="O1464" t="str">
        <f>INDEX(Products!C:C,MATCH(OrdersTable[[#This Row],[Product ID]],Products!A:A,0))</f>
        <v>Skincare</v>
      </c>
      <c r="P1464">
        <v>2</v>
      </c>
      <c r="Q1464" s="5">
        <v>299</v>
      </c>
      <c r="R1464" s="74">
        <v>0.1</v>
      </c>
      <c r="S1464" s="75">
        <f>OrdersTable[[#This Row],[Quantity]]*OrdersTable[[#This Row],[Unit Price]]</f>
        <v>598</v>
      </c>
      <c r="T1464" s="5">
        <f>OrdersTable[[#This Row],[Gross Sale]]*OrdersTable[[#This Row],[Discount_Clean2]]</f>
        <v>59.800000000000004</v>
      </c>
      <c r="U1464" s="5">
        <f>OrdersTable[[#This Row],[Gross Sale]]-OrdersTable[[#This Row],[Discount Amount]]</f>
        <v>538.20000000000005</v>
      </c>
      <c r="V1464" s="77">
        <f>INDEX(Products!E:E,MATCH(OrdersTable[[#This Row],[Product ID]],Products!A:A,0))</f>
        <v>90</v>
      </c>
      <c r="W1464" s="77">
        <f>OrdersTable[[#This Row],[Quantity]]*OrdersTable[[#This Row],[Unit Cost]]</f>
        <v>180</v>
      </c>
      <c r="X1464" s="77">
        <f>'Dropdown Lists'!$I$2*(1+OrdersTable[[#This Row],[Returned]])</f>
        <v>60</v>
      </c>
      <c r="Y1464" s="76">
        <f>OrdersTable[[#This Row],[Net Revenue]]-OrdersTable[[#This Row],[COGS]]-OrdersTable[[#This Row],[Shipping Cost]]</f>
        <v>298.20000000000005</v>
      </c>
      <c r="Z1464" s="78">
        <f>IFERROR(OrdersTable[[#This Row],[Profit]]/OrdersTable[[#This Row],[Net Revenue]],0)</f>
        <v>0.55406911928651059</v>
      </c>
      <c r="AA1464" t="s">
        <v>3495</v>
      </c>
      <c r="AB1464" s="79">
        <v>45577</v>
      </c>
      <c r="AC1464">
        <f>OrdersTable[[#This Row],[Delivery Date]]-OrdersTable[[#This Row],[Order Date]]</f>
        <v>4</v>
      </c>
      <c r="AD1464" t="str">
        <f>IF(OrdersTable[[#This Row],[Delivery Days]]&lt;=2, "Express (≤2d)", IF(OrdersTable[[#This Row],[Delivery Days]]&lt;=4, "Standard (3-4d)", "Delayed (5d+)"))</f>
        <v>Standard (3-4d)</v>
      </c>
      <c r="AE1464">
        <v>4</v>
      </c>
      <c r="AF1464">
        <v>0</v>
      </c>
    </row>
    <row r="1465" spans="1:32" ht="15" x14ac:dyDescent="0.35">
      <c r="A1465" t="s">
        <v>6773</v>
      </c>
      <c r="B1465" s="1">
        <v>45573</v>
      </c>
      <c r="C1465">
        <f>YEAR(OrdersTable[[#This Row],[Order Date]])</f>
        <v>2024</v>
      </c>
      <c r="D1465" s="2">
        <f>DATE(YEAR(OrdersTable[[#This Row],[Order Date]]),MONTH(OrdersTable[[#This Row],[Order Date]]),1)</f>
        <v>45566</v>
      </c>
      <c r="E1465">
        <f>MONTH(OrdersTable[[#This Row],[Order Date]])</f>
        <v>10</v>
      </c>
      <c r="F1465" t="s">
        <v>508</v>
      </c>
      <c r="G1465" t="str">
        <f>IF(OrdersTable[[#This Row],[Order Date]]=_xlfn.MINIFS(Order_Date, Customer_ID, OrdersTable[[#This Row],[Customer ID]]), "New", "Repeat")</f>
        <v>Repeat</v>
      </c>
      <c r="H1465" t="s">
        <v>59</v>
      </c>
      <c r="I1465" t="str">
        <f>INDEX(State!B:B,MATCH(OrdersTable[[#This Row],[State]],State!A:A,0))</f>
        <v>TN</v>
      </c>
      <c r="J1465" t="str">
        <f>INDEX(State!C:C,MATCH(OrdersTable[[#This Row],[State Code]],State!B:B,0))</f>
        <v>South</v>
      </c>
      <c r="K1465" t="s">
        <v>60</v>
      </c>
      <c r="L1465" t="s">
        <v>50</v>
      </c>
      <c r="M1465" t="s">
        <v>51</v>
      </c>
      <c r="N1465" t="str">
        <f>INDEX(Products!B:B,MATCH(OrdersTable[[#This Row],[Product ID]],Products!A:A,0))</f>
        <v>Anti-Dandruff Conditioner</v>
      </c>
      <c r="O1465" t="str">
        <f>INDEX(Products!C:C,MATCH(OrdersTable[[#This Row],[Product ID]],Products!A:A,0))</f>
        <v>Haircare</v>
      </c>
      <c r="P1465">
        <v>3</v>
      </c>
      <c r="Q1465" s="5">
        <v>399</v>
      </c>
      <c r="R1465" s="74">
        <v>0.55000000000000004</v>
      </c>
      <c r="S1465" s="75">
        <f>OrdersTable[[#This Row],[Quantity]]*OrdersTable[[#This Row],[Unit Price]]</f>
        <v>1197</v>
      </c>
      <c r="T1465" s="5">
        <f>OrdersTable[[#This Row],[Gross Sale]]*OrdersTable[[#This Row],[Discount_Clean2]]</f>
        <v>658.35</v>
      </c>
      <c r="U1465" s="5">
        <f>OrdersTable[[#This Row],[Gross Sale]]-OrdersTable[[#This Row],[Discount Amount]]</f>
        <v>538.65</v>
      </c>
      <c r="V1465" s="77">
        <f>INDEX(Products!E:E,MATCH(OrdersTable[[#This Row],[Product ID]],Products!A:A,0))</f>
        <v>136</v>
      </c>
      <c r="W1465" s="77">
        <f>OrdersTable[[#This Row],[Quantity]]*OrdersTable[[#This Row],[Unit Cost]]</f>
        <v>408</v>
      </c>
      <c r="X1465" s="77">
        <f>'Dropdown Lists'!$I$2*(1+OrdersTable[[#This Row],[Returned]])</f>
        <v>60</v>
      </c>
      <c r="Y1465" s="76">
        <f>OrdersTable[[#This Row],[Net Revenue]]-OrdersTable[[#This Row],[COGS]]-OrdersTable[[#This Row],[Shipping Cost]]</f>
        <v>70.649999999999977</v>
      </c>
      <c r="Z1465" s="78">
        <f>IFERROR(OrdersTable[[#This Row],[Profit]]/OrdersTable[[#This Row],[Net Revenue]],0)</f>
        <v>0.13116123642439428</v>
      </c>
      <c r="AA1465" t="s">
        <v>3495</v>
      </c>
      <c r="AB1465" s="79">
        <v>45578</v>
      </c>
      <c r="AC1465">
        <f>OrdersTable[[#This Row],[Delivery Date]]-OrdersTable[[#This Row],[Order Date]]</f>
        <v>5</v>
      </c>
      <c r="AD1465" t="str">
        <f>IF(OrdersTable[[#This Row],[Delivery Days]]&lt;=2, "Express (≤2d)", IF(OrdersTable[[#This Row],[Delivery Days]]&lt;=4, "Standard (3-4d)", "Delayed (5d+)"))</f>
        <v>Delayed (5d+)</v>
      </c>
      <c r="AE1465">
        <v>2</v>
      </c>
      <c r="AF1465">
        <v>0</v>
      </c>
    </row>
    <row r="1466" spans="1:32" ht="15" x14ac:dyDescent="0.35">
      <c r="A1466" t="s">
        <v>2958</v>
      </c>
      <c r="B1466" s="1">
        <v>45573</v>
      </c>
      <c r="C1466">
        <f>YEAR(OrdersTable[[#This Row],[Order Date]])</f>
        <v>2024</v>
      </c>
      <c r="D1466" s="2">
        <f>DATE(YEAR(OrdersTable[[#This Row],[Order Date]]),MONTH(OrdersTable[[#This Row],[Order Date]]),1)</f>
        <v>45566</v>
      </c>
      <c r="E1466">
        <f>MONTH(OrdersTable[[#This Row],[Order Date]])</f>
        <v>10</v>
      </c>
      <c r="F1466" t="s">
        <v>13</v>
      </c>
      <c r="G1466" t="str">
        <f>IF(OrdersTable[[#This Row],[Order Date]]=_xlfn.MINIFS(Order_Date, Customer_ID, OrdersTable[[#This Row],[Customer ID]]), "New", "Repeat")</f>
        <v>Repeat</v>
      </c>
      <c r="H1466" t="s">
        <v>59</v>
      </c>
      <c r="I1466" t="str">
        <f>INDEX(State!B:B,MATCH(OrdersTable[[#This Row],[State]],State!A:A,0))</f>
        <v>TN</v>
      </c>
      <c r="J1466" t="str">
        <f>INDEX(State!C:C,MATCH(OrdersTable[[#This Row],[State Code]],State!B:B,0))</f>
        <v>South</v>
      </c>
      <c r="K1466" t="s">
        <v>64</v>
      </c>
      <c r="L1466" t="s">
        <v>65</v>
      </c>
      <c r="M1466" t="s">
        <v>73</v>
      </c>
      <c r="N1466" t="str">
        <f>INDEX(Products!B:B,MATCH(OrdersTable[[#This Row],[Product ID]],Products!A:A,0))</f>
        <v>Hydrating Face Wash</v>
      </c>
      <c r="O1466" t="str">
        <f>INDEX(Products!C:C,MATCH(OrdersTable[[#This Row],[Product ID]],Products!A:A,0))</f>
        <v>Skincare</v>
      </c>
      <c r="P1466">
        <v>1</v>
      </c>
      <c r="Q1466" s="5">
        <v>299</v>
      </c>
      <c r="R1466" s="74">
        <v>0.2</v>
      </c>
      <c r="S1466" s="75">
        <f>OrdersTable[[#This Row],[Quantity]]*OrdersTable[[#This Row],[Unit Price]]</f>
        <v>299</v>
      </c>
      <c r="T1466" s="5">
        <f>OrdersTable[[#This Row],[Gross Sale]]*OrdersTable[[#This Row],[Discount_Clean2]]</f>
        <v>59.800000000000004</v>
      </c>
      <c r="U1466" s="5">
        <f>OrdersTable[[#This Row],[Gross Sale]]-OrdersTable[[#This Row],[Discount Amount]]</f>
        <v>239.2</v>
      </c>
      <c r="V1466" s="77">
        <f>INDEX(Products!E:E,MATCH(OrdersTable[[#This Row],[Product ID]],Products!A:A,0))</f>
        <v>90</v>
      </c>
      <c r="W1466" s="77">
        <f>OrdersTable[[#This Row],[Quantity]]*OrdersTable[[#This Row],[Unit Cost]]</f>
        <v>90</v>
      </c>
      <c r="X1466" s="77">
        <f>'Dropdown Lists'!$I$2*(1+OrdersTable[[#This Row],[Returned]])</f>
        <v>60</v>
      </c>
      <c r="Y1466" s="76">
        <f>OrdersTable[[#This Row],[Net Revenue]]-OrdersTable[[#This Row],[COGS]]-OrdersTable[[#This Row],[Shipping Cost]]</f>
        <v>89.199999999999989</v>
      </c>
      <c r="Z1466" s="78">
        <f>IFERROR(OrdersTable[[#This Row],[Profit]]/OrdersTable[[#This Row],[Net Revenue]],0)</f>
        <v>0.37290969899665549</v>
      </c>
      <c r="AA1466" t="s">
        <v>2522</v>
      </c>
      <c r="AB1466" s="79">
        <v>45578</v>
      </c>
      <c r="AC1466">
        <f>OrdersTable[[#This Row],[Delivery Date]]-OrdersTable[[#This Row],[Order Date]]</f>
        <v>5</v>
      </c>
      <c r="AD1466" t="str">
        <f>IF(OrdersTable[[#This Row],[Delivery Days]]&lt;=2, "Express (≤2d)", IF(OrdersTable[[#This Row],[Delivery Days]]&lt;=4, "Standard (3-4d)", "Delayed (5d+)"))</f>
        <v>Delayed (5d+)</v>
      </c>
      <c r="AF1466">
        <v>0</v>
      </c>
    </row>
    <row r="1467" spans="1:32" ht="15" x14ac:dyDescent="0.35">
      <c r="A1467" t="s">
        <v>4933</v>
      </c>
      <c r="B1467" s="1">
        <v>45574</v>
      </c>
      <c r="C1467">
        <f>YEAR(OrdersTable[[#This Row],[Order Date]])</f>
        <v>2024</v>
      </c>
      <c r="D1467" s="2">
        <f>DATE(YEAR(OrdersTable[[#This Row],[Order Date]]),MONTH(OrdersTable[[#This Row],[Order Date]]),1)</f>
        <v>45566</v>
      </c>
      <c r="E1467">
        <f>MONTH(OrdersTable[[#This Row],[Order Date]])</f>
        <v>10</v>
      </c>
      <c r="F1467" t="s">
        <v>2924</v>
      </c>
      <c r="G1467" t="str">
        <f>IF(OrdersTable[[#This Row],[Order Date]]=_xlfn.MINIFS(Order_Date, Customer_ID, OrdersTable[[#This Row],[Customer ID]]), "New", "Repeat")</f>
        <v>Repeat</v>
      </c>
      <c r="H1467" t="s">
        <v>210</v>
      </c>
      <c r="I1467" t="str">
        <f>INDEX(State!B:B,MATCH(OrdersTable[[#This Row],[State]],State!A:A,0))</f>
        <v>JK</v>
      </c>
      <c r="J1467" t="str">
        <f>INDEX(State!C:C,MATCH(OrdersTable[[#This Row],[State Code]],State!B:B,0))</f>
        <v>North</v>
      </c>
      <c r="K1467" t="s">
        <v>415</v>
      </c>
      <c r="L1467" t="s">
        <v>65</v>
      </c>
      <c r="M1467" t="s">
        <v>576</v>
      </c>
      <c r="N1467" t="str">
        <f>INDEX(Products!B:B,MATCH(OrdersTable[[#This Row],[Product ID]],Products!A:A,0))</f>
        <v>Printed Saree</v>
      </c>
      <c r="O1467" t="str">
        <f>INDEX(Products!C:C,MATCH(OrdersTable[[#This Row],[Product ID]],Products!A:A,0))</f>
        <v>Apparel</v>
      </c>
      <c r="P1467">
        <v>2</v>
      </c>
      <c r="Q1467" s="5">
        <v>1999</v>
      </c>
      <c r="R1467" s="74">
        <v>0.3</v>
      </c>
      <c r="S1467" s="75">
        <f>OrdersTable[[#This Row],[Quantity]]*OrdersTable[[#This Row],[Unit Price]]</f>
        <v>3998</v>
      </c>
      <c r="T1467" s="5">
        <f>OrdersTable[[#This Row],[Gross Sale]]*OrdersTable[[#This Row],[Discount_Clean2]]</f>
        <v>1199.3999999999999</v>
      </c>
      <c r="U1467" s="5">
        <f>OrdersTable[[#This Row],[Gross Sale]]-OrdersTable[[#This Row],[Discount Amount]]</f>
        <v>2798.6000000000004</v>
      </c>
      <c r="V1467" s="77">
        <f>INDEX(Products!E:E,MATCH(OrdersTable[[#This Row],[Product ID]],Products!A:A,0))</f>
        <v>880</v>
      </c>
      <c r="W1467" s="77">
        <f>OrdersTable[[#This Row],[Quantity]]*OrdersTable[[#This Row],[Unit Cost]]</f>
        <v>1760</v>
      </c>
      <c r="X1467" s="77">
        <f>'Dropdown Lists'!$I$2*(1+OrdersTable[[#This Row],[Returned]])</f>
        <v>120</v>
      </c>
      <c r="Y1467" s="76">
        <f>OrdersTable[[#This Row],[Net Revenue]]-OrdersTable[[#This Row],[COGS]]-OrdersTable[[#This Row],[Shipping Cost]]</f>
        <v>918.60000000000036</v>
      </c>
      <c r="Z1467" s="78">
        <f>IFERROR(OrdersTable[[#This Row],[Profit]]/OrdersTable[[#This Row],[Net Revenue]],0)</f>
        <v>0.32823554634460095</v>
      </c>
      <c r="AA1467" t="s">
        <v>4074</v>
      </c>
      <c r="AB1467" s="79">
        <v>45580</v>
      </c>
      <c r="AC1467">
        <f>OrdersTable[[#This Row],[Delivery Date]]-OrdersTable[[#This Row],[Order Date]]</f>
        <v>6</v>
      </c>
      <c r="AD1467" t="str">
        <f>IF(OrdersTable[[#This Row],[Delivery Days]]&lt;=2, "Express (≤2d)", IF(OrdersTable[[#This Row],[Delivery Days]]&lt;=4, "Standard (3-4d)", "Delayed (5d+)"))</f>
        <v>Delayed (5d+)</v>
      </c>
      <c r="AF1467">
        <v>1</v>
      </c>
    </row>
    <row r="1468" spans="1:32" ht="15" x14ac:dyDescent="0.35">
      <c r="A1468" t="s">
        <v>5353</v>
      </c>
      <c r="B1468" s="1">
        <v>45574</v>
      </c>
      <c r="C1468">
        <f>YEAR(OrdersTable[[#This Row],[Order Date]])</f>
        <v>2024</v>
      </c>
      <c r="D1468" s="2">
        <f>DATE(YEAR(OrdersTable[[#This Row],[Order Date]]),MONTH(OrdersTable[[#This Row],[Order Date]]),1)</f>
        <v>45566</v>
      </c>
      <c r="E1468">
        <f>MONTH(OrdersTable[[#This Row],[Order Date]])</f>
        <v>10</v>
      </c>
      <c r="F1468" t="s">
        <v>5354</v>
      </c>
      <c r="G1468" t="str">
        <f>IF(OrdersTable[[#This Row],[Order Date]]=_xlfn.MINIFS(Order_Date, Customer_ID, OrdersTable[[#This Row],[Customer ID]]), "New", "Repeat")</f>
        <v>New</v>
      </c>
      <c r="H1468" t="s">
        <v>21</v>
      </c>
      <c r="I1468" t="str">
        <f>INDEX(State!B:B,MATCH(OrdersTable[[#This Row],[State]],State!A:A,0))</f>
        <v>PB</v>
      </c>
      <c r="J1468" t="str">
        <f>INDEX(State!C:C,MATCH(OrdersTable[[#This Row],[State Code]],State!B:B,0))</f>
        <v>North</v>
      </c>
      <c r="K1468" t="s">
        <v>260</v>
      </c>
      <c r="L1468" t="s">
        <v>50</v>
      </c>
      <c r="M1468" t="s">
        <v>106</v>
      </c>
      <c r="N1468" t="str">
        <f>INDEX(Products!B:B,MATCH(OrdersTable[[#This Row],[Product ID]],Products!A:A,0))</f>
        <v>Keratin Hair Mask</v>
      </c>
      <c r="O1468" t="str">
        <f>INDEX(Products!C:C,MATCH(OrdersTable[[#This Row],[Product ID]],Products!A:A,0))</f>
        <v>Haircare</v>
      </c>
      <c r="P1468">
        <v>2</v>
      </c>
      <c r="Q1468" s="5">
        <v>549</v>
      </c>
      <c r="R1468" s="74">
        <v>0.35</v>
      </c>
      <c r="S1468" s="75">
        <f>OrdersTable[[#This Row],[Quantity]]*OrdersTable[[#This Row],[Unit Price]]</f>
        <v>1098</v>
      </c>
      <c r="T1468" s="5">
        <f>OrdersTable[[#This Row],[Gross Sale]]*OrdersTable[[#This Row],[Discount_Clean2]]</f>
        <v>384.29999999999995</v>
      </c>
      <c r="U1468" s="5">
        <f>OrdersTable[[#This Row],[Gross Sale]]-OrdersTable[[#This Row],[Discount Amount]]</f>
        <v>713.7</v>
      </c>
      <c r="V1468" s="77">
        <f>INDEX(Products!E:E,MATCH(OrdersTable[[#This Row],[Product ID]],Products!A:A,0))</f>
        <v>170</v>
      </c>
      <c r="W1468" s="77">
        <f>OrdersTable[[#This Row],[Quantity]]*OrdersTable[[#This Row],[Unit Cost]]</f>
        <v>340</v>
      </c>
      <c r="X1468" s="77">
        <f>'Dropdown Lists'!$I$2*(1+OrdersTable[[#This Row],[Returned]])</f>
        <v>60</v>
      </c>
      <c r="Y1468" s="76">
        <f>OrdersTable[[#This Row],[Net Revenue]]-OrdersTable[[#This Row],[COGS]]-OrdersTable[[#This Row],[Shipping Cost]]</f>
        <v>313.70000000000005</v>
      </c>
      <c r="Z1468" s="78">
        <f>IFERROR(OrdersTable[[#This Row],[Profit]]/OrdersTable[[#This Row],[Net Revenue]],0)</f>
        <v>0.43954042314698055</v>
      </c>
      <c r="AA1468" t="s">
        <v>2522</v>
      </c>
      <c r="AB1468" s="79">
        <v>45576</v>
      </c>
      <c r="AC1468">
        <f>OrdersTable[[#This Row],[Delivery Date]]-OrdersTable[[#This Row],[Order Date]]</f>
        <v>2</v>
      </c>
      <c r="AD1468" t="str">
        <f>IF(OrdersTable[[#This Row],[Delivery Days]]&lt;=2, "Express (≤2d)", IF(OrdersTable[[#This Row],[Delivery Days]]&lt;=4, "Standard (3-4d)", "Delayed (5d+)"))</f>
        <v>Express (≤2d)</v>
      </c>
      <c r="AF1468">
        <v>0</v>
      </c>
    </row>
    <row r="1469" spans="1:32" ht="15" x14ac:dyDescent="0.35">
      <c r="A1469" t="s">
        <v>4361</v>
      </c>
      <c r="B1469" s="1">
        <v>45574</v>
      </c>
      <c r="C1469">
        <f>YEAR(OrdersTable[[#This Row],[Order Date]])</f>
        <v>2024</v>
      </c>
      <c r="D1469" s="2">
        <f>DATE(YEAR(OrdersTable[[#This Row],[Order Date]]),MONTH(OrdersTable[[#This Row],[Order Date]]),1)</f>
        <v>45566</v>
      </c>
      <c r="E1469">
        <f>MONTH(OrdersTable[[#This Row],[Order Date]])</f>
        <v>10</v>
      </c>
      <c r="F1469" t="s">
        <v>1255</v>
      </c>
      <c r="G1469" t="str">
        <f>IF(OrdersTable[[#This Row],[Order Date]]=_xlfn.MINIFS(Order_Date, Customer_ID, OrdersTable[[#This Row],[Customer ID]]), "New", "Repeat")</f>
        <v>New</v>
      </c>
      <c r="H1469" t="s">
        <v>54</v>
      </c>
      <c r="I1469" t="str">
        <f>INDEX(State!B:B,MATCH(OrdersTable[[#This Row],[State]],State!A:A,0))</f>
        <v>RJ</v>
      </c>
      <c r="J1469" t="str">
        <f>INDEX(State!C:C,MATCH(OrdersTable[[#This Row],[State Code]],State!B:B,0))</f>
        <v>North</v>
      </c>
      <c r="K1469" t="s">
        <v>55</v>
      </c>
      <c r="L1469" t="s">
        <v>50</v>
      </c>
      <c r="M1469" t="s">
        <v>66</v>
      </c>
      <c r="N1469" t="str">
        <f>INDEX(Products!B:B,MATCH(OrdersTable[[#This Row],[Product ID]],Products!A:A,0))</f>
        <v>Sunscreen SPF 50</v>
      </c>
      <c r="O1469" t="str">
        <f>INDEX(Products!C:C,MATCH(OrdersTable[[#This Row],[Product ID]],Products!A:A,0))</f>
        <v>Skincare</v>
      </c>
      <c r="P1469">
        <v>1</v>
      </c>
      <c r="Q1469" s="5">
        <v>449</v>
      </c>
      <c r="R1469" s="74">
        <v>0.15</v>
      </c>
      <c r="S1469" s="75">
        <f>OrdersTable[[#This Row],[Quantity]]*OrdersTable[[#This Row],[Unit Price]]</f>
        <v>449</v>
      </c>
      <c r="T1469" s="5">
        <f>OrdersTable[[#This Row],[Gross Sale]]*OrdersTable[[#This Row],[Discount_Clean2]]</f>
        <v>67.349999999999994</v>
      </c>
      <c r="U1469" s="5">
        <f>OrdersTable[[#This Row],[Gross Sale]]-OrdersTable[[#This Row],[Discount Amount]]</f>
        <v>381.65</v>
      </c>
      <c r="V1469" s="77">
        <f>INDEX(Products!E:E,MATCH(OrdersTable[[#This Row],[Product ID]],Products!A:A,0))</f>
        <v>144</v>
      </c>
      <c r="W1469" s="77">
        <f>OrdersTable[[#This Row],[Quantity]]*OrdersTable[[#This Row],[Unit Cost]]</f>
        <v>144</v>
      </c>
      <c r="X1469" s="77">
        <f>'Dropdown Lists'!$I$2*(1+OrdersTable[[#This Row],[Returned]])</f>
        <v>120</v>
      </c>
      <c r="Y1469" s="76">
        <f>OrdersTable[[#This Row],[Net Revenue]]-OrdersTable[[#This Row],[COGS]]-OrdersTable[[#This Row],[Shipping Cost]]</f>
        <v>117.64999999999998</v>
      </c>
      <c r="Z1469" s="78">
        <f>IFERROR(OrdersTable[[#This Row],[Profit]]/OrdersTable[[#This Row],[Net Revenue]],0)</f>
        <v>0.30826673653871345</v>
      </c>
      <c r="AA1469" t="s">
        <v>4074</v>
      </c>
      <c r="AB1469" s="79">
        <v>45579</v>
      </c>
      <c r="AC1469">
        <f>OrdersTable[[#This Row],[Delivery Date]]-OrdersTable[[#This Row],[Order Date]]</f>
        <v>5</v>
      </c>
      <c r="AD1469" t="str">
        <f>IF(OrdersTable[[#This Row],[Delivery Days]]&lt;=2, "Express (≤2d)", IF(OrdersTable[[#This Row],[Delivery Days]]&lt;=4, "Standard (3-4d)", "Delayed (5d+)"))</f>
        <v>Delayed (5d+)</v>
      </c>
      <c r="AE1469">
        <v>4</v>
      </c>
      <c r="AF1469">
        <v>1</v>
      </c>
    </row>
    <row r="1470" spans="1:32" ht="15" x14ac:dyDescent="0.35">
      <c r="A1470" t="s">
        <v>3566</v>
      </c>
      <c r="B1470" s="1">
        <v>45574</v>
      </c>
      <c r="C1470">
        <f>YEAR(OrdersTable[[#This Row],[Order Date]])</f>
        <v>2024</v>
      </c>
      <c r="D1470" s="2">
        <f>DATE(YEAR(OrdersTable[[#This Row],[Order Date]]),MONTH(OrdersTable[[#This Row],[Order Date]]),1)</f>
        <v>45566</v>
      </c>
      <c r="E1470">
        <f>MONTH(OrdersTable[[#This Row],[Order Date]])</f>
        <v>10</v>
      </c>
      <c r="F1470" t="s">
        <v>742</v>
      </c>
      <c r="G1470" t="str">
        <f>IF(OrdersTable[[#This Row],[Order Date]]=_xlfn.MINIFS(Order_Date, Customer_ID, OrdersTable[[#This Row],[Customer ID]]), "New", "Repeat")</f>
        <v>Repeat</v>
      </c>
      <c r="H1470" t="s">
        <v>37</v>
      </c>
      <c r="I1470" t="str">
        <f>INDEX(State!B:B,MATCH(OrdersTable[[#This Row],[State]],State!A:A,0))</f>
        <v>GJ</v>
      </c>
      <c r="J1470" t="str">
        <f>INDEX(State!C:C,MATCH(OrdersTable[[#This Row],[State Code]],State!B:B,0))</f>
        <v>West</v>
      </c>
      <c r="K1470" t="s">
        <v>247</v>
      </c>
      <c r="L1470" t="s">
        <v>16</v>
      </c>
      <c r="M1470" t="s">
        <v>176</v>
      </c>
      <c r="N1470" t="str">
        <f>INDEX(Products!B:B,MATCH(OrdersTable[[#This Row],[Product ID]],Products!A:A,0))</f>
        <v>Denim Jacket</v>
      </c>
      <c r="O1470" t="str">
        <f>INDEX(Products!C:C,MATCH(OrdersTable[[#This Row],[Product ID]],Products!A:A,0))</f>
        <v>Apparel</v>
      </c>
      <c r="P1470">
        <v>1</v>
      </c>
      <c r="Q1470" s="5">
        <v>2499</v>
      </c>
      <c r="R1470" s="74">
        <v>0.1</v>
      </c>
      <c r="S1470" s="75">
        <f>OrdersTable[[#This Row],[Quantity]]*OrdersTable[[#This Row],[Unit Price]]</f>
        <v>2499</v>
      </c>
      <c r="T1470" s="5">
        <f>OrdersTable[[#This Row],[Gross Sale]]*OrdersTable[[#This Row],[Discount_Clean2]]</f>
        <v>249.9</v>
      </c>
      <c r="U1470" s="5">
        <f>OrdersTable[[#This Row],[Gross Sale]]-OrdersTable[[#This Row],[Discount Amount]]</f>
        <v>2249.1</v>
      </c>
      <c r="V1470" s="77">
        <f>INDEX(Products!E:E,MATCH(OrdersTable[[#This Row],[Product ID]],Products!A:A,0))</f>
        <v>1125</v>
      </c>
      <c r="W1470" s="77">
        <f>OrdersTable[[#This Row],[Quantity]]*OrdersTable[[#This Row],[Unit Cost]]</f>
        <v>1125</v>
      </c>
      <c r="X1470" s="77">
        <f>'Dropdown Lists'!$I$2*(1+OrdersTable[[#This Row],[Returned]])</f>
        <v>60</v>
      </c>
      <c r="Y1470" s="76">
        <f>OrdersTable[[#This Row],[Net Revenue]]-OrdersTable[[#This Row],[COGS]]-OrdersTable[[#This Row],[Shipping Cost]]</f>
        <v>1064.0999999999999</v>
      </c>
      <c r="Z1470" s="78">
        <f>IFERROR(OrdersTable[[#This Row],[Profit]]/OrdersTable[[#This Row],[Net Revenue]],0)</f>
        <v>0.4731225823662798</v>
      </c>
      <c r="AA1470" t="s">
        <v>3495</v>
      </c>
      <c r="AB1470" s="79">
        <v>45575</v>
      </c>
      <c r="AC1470">
        <f>OrdersTable[[#This Row],[Delivery Date]]-OrdersTable[[#This Row],[Order Date]]</f>
        <v>1</v>
      </c>
      <c r="AD1470" t="str">
        <f>IF(OrdersTable[[#This Row],[Delivery Days]]&lt;=2, "Express (≤2d)", IF(OrdersTable[[#This Row],[Delivery Days]]&lt;=4, "Standard (3-4d)", "Delayed (5d+)"))</f>
        <v>Express (≤2d)</v>
      </c>
      <c r="AE1470">
        <v>4</v>
      </c>
      <c r="AF1470">
        <v>0</v>
      </c>
    </row>
    <row r="1471" spans="1:32" ht="15" x14ac:dyDescent="0.35">
      <c r="A1471" t="s">
        <v>2102</v>
      </c>
      <c r="B1471" s="1">
        <v>45574</v>
      </c>
      <c r="C1471">
        <f>YEAR(OrdersTable[[#This Row],[Order Date]])</f>
        <v>2024</v>
      </c>
      <c r="D1471" s="2">
        <f>DATE(YEAR(OrdersTable[[#This Row],[Order Date]]),MONTH(OrdersTable[[#This Row],[Order Date]]),1)</f>
        <v>45566</v>
      </c>
      <c r="E1471">
        <f>MONTH(OrdersTable[[#This Row],[Order Date]])</f>
        <v>10</v>
      </c>
      <c r="F1471" t="s">
        <v>2103</v>
      </c>
      <c r="G1471" t="str">
        <f>IF(OrdersTable[[#This Row],[Order Date]]=_xlfn.MINIFS(Order_Date, Customer_ID, OrdersTable[[#This Row],[Customer ID]]), "New", "Repeat")</f>
        <v>Repeat</v>
      </c>
      <c r="H1471" t="s">
        <v>482</v>
      </c>
      <c r="I1471" t="str">
        <f>INDEX(State!B:B,MATCH(OrdersTable[[#This Row],[State]],State!A:A,0))</f>
        <v>CG</v>
      </c>
      <c r="J1471" t="str">
        <f>INDEX(State!C:C,MATCH(OrdersTable[[#This Row],[State Code]],State!B:B,0))</f>
        <v>East</v>
      </c>
      <c r="K1471" t="s">
        <v>483</v>
      </c>
      <c r="L1471" t="s">
        <v>39</v>
      </c>
      <c r="M1471" t="s">
        <v>576</v>
      </c>
      <c r="N1471" t="str">
        <f>INDEX(Products!B:B,MATCH(OrdersTable[[#This Row],[Product ID]],Products!A:A,0))</f>
        <v>Printed Saree</v>
      </c>
      <c r="O1471" t="str">
        <f>INDEX(Products!C:C,MATCH(OrdersTable[[#This Row],[Product ID]],Products!A:A,0))</f>
        <v>Apparel</v>
      </c>
      <c r="P1471">
        <v>1</v>
      </c>
      <c r="Q1471" s="5">
        <v>1999</v>
      </c>
      <c r="R1471" s="74">
        <v>0.15</v>
      </c>
      <c r="S1471" s="75">
        <f>OrdersTable[[#This Row],[Quantity]]*OrdersTable[[#This Row],[Unit Price]]</f>
        <v>1999</v>
      </c>
      <c r="T1471" s="5">
        <f>OrdersTable[[#This Row],[Gross Sale]]*OrdersTable[[#This Row],[Discount_Clean2]]</f>
        <v>299.84999999999997</v>
      </c>
      <c r="U1471" s="5">
        <f>OrdersTable[[#This Row],[Gross Sale]]-OrdersTable[[#This Row],[Discount Amount]]</f>
        <v>1699.15</v>
      </c>
      <c r="V1471" s="77">
        <f>INDEX(Products!E:E,MATCH(OrdersTable[[#This Row],[Product ID]],Products!A:A,0))</f>
        <v>880</v>
      </c>
      <c r="W1471" s="77">
        <f>OrdersTable[[#This Row],[Quantity]]*OrdersTable[[#This Row],[Unit Cost]]</f>
        <v>880</v>
      </c>
      <c r="X1471" s="77">
        <f>'Dropdown Lists'!$I$2*(1+OrdersTable[[#This Row],[Returned]])</f>
        <v>60</v>
      </c>
      <c r="Y1471" s="76">
        <f>OrdersTable[[#This Row],[Net Revenue]]-OrdersTable[[#This Row],[COGS]]-OrdersTable[[#This Row],[Shipping Cost]]</f>
        <v>759.15000000000009</v>
      </c>
      <c r="Z1471" s="78">
        <f>IFERROR(OrdersTable[[#This Row],[Profit]]/OrdersTable[[#This Row],[Net Revenue]],0)</f>
        <v>0.44678221463673018</v>
      </c>
      <c r="AA1471" t="s">
        <v>18</v>
      </c>
      <c r="AB1471" s="79">
        <v>45579</v>
      </c>
      <c r="AC1471">
        <f>OrdersTable[[#This Row],[Delivery Date]]-OrdersTable[[#This Row],[Order Date]]</f>
        <v>5</v>
      </c>
      <c r="AD1471" t="str">
        <f>IF(OrdersTable[[#This Row],[Delivery Days]]&lt;=2, "Express (≤2d)", IF(OrdersTable[[#This Row],[Delivery Days]]&lt;=4, "Standard (3-4d)", "Delayed (5d+)"))</f>
        <v>Delayed (5d+)</v>
      </c>
      <c r="AE1471">
        <v>3</v>
      </c>
      <c r="AF1471">
        <v>0</v>
      </c>
    </row>
    <row r="1472" spans="1:32" ht="15" x14ac:dyDescent="0.35">
      <c r="A1472" t="s">
        <v>4934</v>
      </c>
      <c r="B1472" s="1">
        <v>45574</v>
      </c>
      <c r="C1472">
        <f>YEAR(OrdersTable[[#This Row],[Order Date]])</f>
        <v>2024</v>
      </c>
      <c r="D1472" s="2">
        <f>DATE(YEAR(OrdersTable[[#This Row],[Order Date]]),MONTH(OrdersTable[[#This Row],[Order Date]]),1)</f>
        <v>45566</v>
      </c>
      <c r="E1472">
        <f>MONTH(OrdersTable[[#This Row],[Order Date]])</f>
        <v>10</v>
      </c>
      <c r="F1472" t="s">
        <v>4935</v>
      </c>
      <c r="G1472" t="str">
        <f>IF(OrdersTable[[#This Row],[Order Date]]=_xlfn.MINIFS(Order_Date, Customer_ID, OrdersTable[[#This Row],[Customer ID]]), "New", "Repeat")</f>
        <v>New</v>
      </c>
      <c r="H1472" t="s">
        <v>71</v>
      </c>
      <c r="I1472" t="str">
        <f>INDEX(State!B:B,MATCH(OrdersTable[[#This Row],[State]],State!A:A,0))</f>
        <v>MH</v>
      </c>
      <c r="J1472" t="str">
        <f>INDEX(State!C:C,MATCH(OrdersTable[[#This Row],[State Code]],State!B:B,0))</f>
        <v>West</v>
      </c>
      <c r="K1472" t="s">
        <v>81</v>
      </c>
      <c r="L1472" t="s">
        <v>50</v>
      </c>
      <c r="M1472" t="s">
        <v>106</v>
      </c>
      <c r="N1472" t="str">
        <f>INDEX(Products!B:B,MATCH(OrdersTable[[#This Row],[Product ID]],Products!A:A,0))</f>
        <v>Keratin Hair Mask</v>
      </c>
      <c r="O1472" t="str">
        <f>INDEX(Products!C:C,MATCH(OrdersTable[[#This Row],[Product ID]],Products!A:A,0))</f>
        <v>Haircare</v>
      </c>
      <c r="P1472">
        <v>2</v>
      </c>
      <c r="Q1472" s="5">
        <v>549</v>
      </c>
      <c r="R1472" s="74">
        <v>0.3</v>
      </c>
      <c r="S1472" s="75">
        <f>OrdersTable[[#This Row],[Quantity]]*OrdersTable[[#This Row],[Unit Price]]</f>
        <v>1098</v>
      </c>
      <c r="T1472" s="5">
        <f>OrdersTable[[#This Row],[Gross Sale]]*OrdersTable[[#This Row],[Discount_Clean2]]</f>
        <v>329.4</v>
      </c>
      <c r="U1472" s="5">
        <f>OrdersTable[[#This Row],[Gross Sale]]-OrdersTable[[#This Row],[Discount Amount]]</f>
        <v>768.6</v>
      </c>
      <c r="V1472" s="77">
        <f>INDEX(Products!E:E,MATCH(OrdersTable[[#This Row],[Product ID]],Products!A:A,0))</f>
        <v>170</v>
      </c>
      <c r="W1472" s="77">
        <f>OrdersTable[[#This Row],[Quantity]]*OrdersTable[[#This Row],[Unit Cost]]</f>
        <v>340</v>
      </c>
      <c r="X1472" s="77">
        <f>'Dropdown Lists'!$I$2*(1+OrdersTable[[#This Row],[Returned]])</f>
        <v>120</v>
      </c>
      <c r="Y1472" s="76">
        <f>OrdersTable[[#This Row],[Net Revenue]]-OrdersTable[[#This Row],[COGS]]-OrdersTable[[#This Row],[Shipping Cost]]</f>
        <v>308.60000000000002</v>
      </c>
      <c r="Z1472" s="78">
        <f>IFERROR(OrdersTable[[#This Row],[Profit]]/OrdersTable[[#This Row],[Net Revenue]],0)</f>
        <v>0.40150923757481138</v>
      </c>
      <c r="AA1472" t="s">
        <v>4074</v>
      </c>
      <c r="AB1472" s="79">
        <v>45575</v>
      </c>
      <c r="AC1472">
        <f>OrdersTable[[#This Row],[Delivery Date]]-OrdersTable[[#This Row],[Order Date]]</f>
        <v>1</v>
      </c>
      <c r="AD1472" t="str">
        <f>IF(OrdersTable[[#This Row],[Delivery Days]]&lt;=2, "Express (≤2d)", IF(OrdersTable[[#This Row],[Delivery Days]]&lt;=4, "Standard (3-4d)", "Delayed (5d+)"))</f>
        <v>Express (≤2d)</v>
      </c>
      <c r="AF1472">
        <v>1</v>
      </c>
    </row>
    <row r="1473" spans="1:32" ht="15" x14ac:dyDescent="0.35">
      <c r="A1473" t="s">
        <v>7070</v>
      </c>
      <c r="B1473" s="1">
        <v>45574</v>
      </c>
      <c r="C1473">
        <f>YEAR(OrdersTable[[#This Row],[Order Date]])</f>
        <v>2024</v>
      </c>
      <c r="D1473" s="2">
        <f>DATE(YEAR(OrdersTable[[#This Row],[Order Date]]),MONTH(OrdersTable[[#This Row],[Order Date]]),1)</f>
        <v>45566</v>
      </c>
      <c r="E1473">
        <f>MONTH(OrdersTable[[#This Row],[Order Date]])</f>
        <v>10</v>
      </c>
      <c r="F1473" t="s">
        <v>3592</v>
      </c>
      <c r="G1473" t="str">
        <f>IF(OrdersTable[[#This Row],[Order Date]]=_xlfn.MINIFS(Order_Date, Customer_ID, OrdersTable[[#This Row],[Customer ID]]), "New", "Repeat")</f>
        <v>New</v>
      </c>
      <c r="H1473" t="s">
        <v>167</v>
      </c>
      <c r="I1473" t="str">
        <f>INDEX(State!B:B,MATCH(OrdersTable[[#This Row],[State]],State!A:A,0))</f>
        <v>KA</v>
      </c>
      <c r="J1473" t="str">
        <f>INDEX(State!C:C,MATCH(OrdersTable[[#This Row],[State Code]],State!B:B,0))</f>
        <v>South</v>
      </c>
      <c r="K1473" t="s">
        <v>190</v>
      </c>
      <c r="L1473" t="s">
        <v>39</v>
      </c>
      <c r="M1473" t="s">
        <v>66</v>
      </c>
      <c r="N1473" t="str">
        <f>INDEX(Products!B:B,MATCH(OrdersTable[[#This Row],[Product ID]],Products!A:A,0))</f>
        <v>Sunscreen SPF 50</v>
      </c>
      <c r="O1473" t="str">
        <f>INDEX(Products!C:C,MATCH(OrdersTable[[#This Row],[Product ID]],Products!A:A,0))</f>
        <v>Skincare</v>
      </c>
      <c r="P1473">
        <v>4</v>
      </c>
      <c r="Q1473" s="5">
        <v>449</v>
      </c>
      <c r="R1473" s="74">
        <v>0.25</v>
      </c>
      <c r="S1473" s="75">
        <f>OrdersTable[[#This Row],[Quantity]]*OrdersTable[[#This Row],[Unit Price]]</f>
        <v>1796</v>
      </c>
      <c r="T1473" s="5">
        <f>OrdersTable[[#This Row],[Gross Sale]]*OrdersTable[[#This Row],[Discount_Clean2]]</f>
        <v>449</v>
      </c>
      <c r="U1473" s="5">
        <f>OrdersTable[[#This Row],[Gross Sale]]-OrdersTable[[#This Row],[Discount Amount]]</f>
        <v>1347</v>
      </c>
      <c r="V1473" s="77">
        <f>INDEX(Products!E:E,MATCH(OrdersTable[[#This Row],[Product ID]],Products!A:A,0))</f>
        <v>144</v>
      </c>
      <c r="W1473" s="77">
        <f>OrdersTable[[#This Row],[Quantity]]*OrdersTable[[#This Row],[Unit Cost]]</f>
        <v>576</v>
      </c>
      <c r="X1473" s="77">
        <f>'Dropdown Lists'!$I$2*(1+OrdersTable[[#This Row],[Returned]])</f>
        <v>60</v>
      </c>
      <c r="Y1473" s="76">
        <f>OrdersTable[[#This Row],[Net Revenue]]-OrdersTable[[#This Row],[COGS]]-OrdersTable[[#This Row],[Shipping Cost]]</f>
        <v>711</v>
      </c>
      <c r="Z1473" s="78">
        <f>IFERROR(OrdersTable[[#This Row],[Profit]]/OrdersTable[[#This Row],[Net Revenue]],0)</f>
        <v>0.5278396436525612</v>
      </c>
      <c r="AA1473" t="s">
        <v>18</v>
      </c>
      <c r="AB1473" s="79">
        <v>45579</v>
      </c>
      <c r="AC1473">
        <f>OrdersTable[[#This Row],[Delivery Date]]-OrdersTable[[#This Row],[Order Date]]</f>
        <v>5</v>
      </c>
      <c r="AD1473" t="str">
        <f>IF(OrdersTable[[#This Row],[Delivery Days]]&lt;=2, "Express (≤2d)", IF(OrdersTable[[#This Row],[Delivery Days]]&lt;=4, "Standard (3-4d)", "Delayed (5d+)"))</f>
        <v>Delayed (5d+)</v>
      </c>
      <c r="AE1473">
        <v>3</v>
      </c>
      <c r="AF1473">
        <v>0</v>
      </c>
    </row>
    <row r="1474" spans="1:32" ht="15" x14ac:dyDescent="0.35">
      <c r="A1474" t="s">
        <v>5589</v>
      </c>
      <c r="B1474" s="1">
        <v>45574</v>
      </c>
      <c r="C1474">
        <f>YEAR(OrdersTable[[#This Row],[Order Date]])</f>
        <v>2024</v>
      </c>
      <c r="D1474" s="2">
        <f>DATE(YEAR(OrdersTable[[#This Row],[Order Date]]),MONTH(OrdersTable[[#This Row],[Order Date]]),1)</f>
        <v>45566</v>
      </c>
      <c r="E1474">
        <f>MONTH(OrdersTable[[#This Row],[Order Date]])</f>
        <v>10</v>
      </c>
      <c r="F1474" t="s">
        <v>5055</v>
      </c>
      <c r="G1474" t="str">
        <f>IF(OrdersTable[[#This Row],[Order Date]]=_xlfn.MINIFS(Order_Date, Customer_ID, OrdersTable[[#This Row],[Customer ID]]), "New", "Repeat")</f>
        <v>New</v>
      </c>
      <c r="H1474" t="s">
        <v>167</v>
      </c>
      <c r="I1474" t="str">
        <f>INDEX(State!B:B,MATCH(OrdersTable[[#This Row],[State]],State!A:A,0))</f>
        <v>KA</v>
      </c>
      <c r="J1474" t="str">
        <f>INDEX(State!C:C,MATCH(OrdersTable[[#This Row],[State Code]],State!B:B,0))</f>
        <v>South</v>
      </c>
      <c r="K1474" t="s">
        <v>168</v>
      </c>
      <c r="L1474" t="s">
        <v>50</v>
      </c>
      <c r="M1474" t="s">
        <v>152</v>
      </c>
      <c r="N1474" t="str">
        <f>INDEX(Products!B:B,MATCH(OrdersTable[[#This Row],[Product ID]],Products!A:A,0))</f>
        <v>Green Tea (100 bags)</v>
      </c>
      <c r="O1474" t="str">
        <f>INDEX(Products!C:C,MATCH(OrdersTable[[#This Row],[Product ID]],Products!A:A,0))</f>
        <v>Wellness</v>
      </c>
      <c r="P1474">
        <v>2</v>
      </c>
      <c r="Q1474" s="5">
        <v>399</v>
      </c>
      <c r="R1474" s="74">
        <v>0.55000000000000004</v>
      </c>
      <c r="S1474" s="75">
        <f>OrdersTable[[#This Row],[Quantity]]*OrdersTable[[#This Row],[Unit Price]]</f>
        <v>798</v>
      </c>
      <c r="T1474" s="5">
        <f>OrdersTable[[#This Row],[Gross Sale]]*OrdersTable[[#This Row],[Discount_Clean2]]</f>
        <v>438.90000000000003</v>
      </c>
      <c r="U1474" s="5">
        <f>OrdersTable[[#This Row],[Gross Sale]]-OrdersTable[[#This Row],[Discount Amount]]</f>
        <v>359.09999999999997</v>
      </c>
      <c r="V1474" s="77">
        <f>INDEX(Products!E:E,MATCH(OrdersTable[[#This Row],[Product ID]],Products!A:A,0))</f>
        <v>128</v>
      </c>
      <c r="W1474" s="77">
        <f>OrdersTable[[#This Row],[Quantity]]*OrdersTable[[#This Row],[Unit Cost]]</f>
        <v>256</v>
      </c>
      <c r="X1474" s="77">
        <f>'Dropdown Lists'!$I$2*(1+OrdersTable[[#This Row],[Returned]])</f>
        <v>60</v>
      </c>
      <c r="Y1474" s="76">
        <f>OrdersTable[[#This Row],[Net Revenue]]-OrdersTable[[#This Row],[COGS]]-OrdersTable[[#This Row],[Shipping Cost]]</f>
        <v>43.099999999999966</v>
      </c>
      <c r="Z1474" s="78">
        <f>IFERROR(OrdersTable[[#This Row],[Profit]]/OrdersTable[[#This Row],[Net Revenue]],0)</f>
        <v>0.12002227791701467</v>
      </c>
      <c r="AA1474" t="s">
        <v>2522</v>
      </c>
      <c r="AB1474" s="79">
        <v>45575</v>
      </c>
      <c r="AC1474">
        <f>OrdersTable[[#This Row],[Delivery Date]]-OrdersTable[[#This Row],[Order Date]]</f>
        <v>1</v>
      </c>
      <c r="AD1474" t="str">
        <f>IF(OrdersTable[[#This Row],[Delivery Days]]&lt;=2, "Express (≤2d)", IF(OrdersTable[[#This Row],[Delivery Days]]&lt;=4, "Standard (3-4d)", "Delayed (5d+)"))</f>
        <v>Express (≤2d)</v>
      </c>
      <c r="AF1474">
        <v>0</v>
      </c>
    </row>
    <row r="1475" spans="1:32" ht="15" x14ac:dyDescent="0.35">
      <c r="A1475" t="s">
        <v>1903</v>
      </c>
      <c r="B1475" s="1">
        <v>45574</v>
      </c>
      <c r="C1475">
        <f>YEAR(OrdersTable[[#This Row],[Order Date]])</f>
        <v>2024</v>
      </c>
      <c r="D1475" s="2">
        <f>DATE(YEAR(OrdersTable[[#This Row],[Order Date]]),MONTH(OrdersTable[[#This Row],[Order Date]]),1)</f>
        <v>45566</v>
      </c>
      <c r="E1475">
        <f>MONTH(OrdersTable[[#This Row],[Order Date]])</f>
        <v>10</v>
      </c>
      <c r="F1475" t="s">
        <v>1904</v>
      </c>
      <c r="G1475" t="str">
        <f>IF(OrdersTable[[#This Row],[Order Date]]=_xlfn.MINIFS(Order_Date, Customer_ID, OrdersTable[[#This Row],[Customer ID]]), "New", "Repeat")</f>
        <v>New</v>
      </c>
      <c r="H1475" t="s">
        <v>167</v>
      </c>
      <c r="I1475" t="str">
        <f>INDEX(State!B:B,MATCH(OrdersTable[[#This Row],[State]],State!A:A,0))</f>
        <v>KA</v>
      </c>
      <c r="J1475" t="str">
        <f>INDEX(State!C:C,MATCH(OrdersTable[[#This Row],[State Code]],State!B:B,0))</f>
        <v>South</v>
      </c>
      <c r="K1475" t="s">
        <v>168</v>
      </c>
      <c r="L1475" t="s">
        <v>39</v>
      </c>
      <c r="M1475" t="s">
        <v>61</v>
      </c>
      <c r="N1475" t="str">
        <f>INDEX(Products!B:B,MATCH(OrdersTable[[#This Row],[Product ID]],Products!A:A,0))</f>
        <v>Multivitamin Gummies</v>
      </c>
      <c r="O1475" t="str">
        <f>INDEX(Products!C:C,MATCH(OrdersTable[[#This Row],[Product ID]],Products!A:A,0))</f>
        <v>Wellness</v>
      </c>
      <c r="P1475">
        <v>1</v>
      </c>
      <c r="Q1475" s="5">
        <v>699</v>
      </c>
      <c r="R1475" s="74">
        <v>0.45</v>
      </c>
      <c r="S1475" s="75">
        <f>OrdersTable[[#This Row],[Quantity]]*OrdersTable[[#This Row],[Unit Price]]</f>
        <v>699</v>
      </c>
      <c r="T1475" s="5">
        <f>OrdersTable[[#This Row],[Gross Sale]]*OrdersTable[[#This Row],[Discount_Clean2]]</f>
        <v>314.55</v>
      </c>
      <c r="U1475" s="5">
        <f>OrdersTable[[#This Row],[Gross Sale]]-OrdersTable[[#This Row],[Discount Amount]]</f>
        <v>384.45</v>
      </c>
      <c r="V1475" s="77">
        <f>INDEX(Products!E:E,MATCH(OrdersTable[[#This Row],[Product ID]],Products!A:A,0))</f>
        <v>238</v>
      </c>
      <c r="W1475" s="77">
        <f>OrdersTable[[#This Row],[Quantity]]*OrdersTable[[#This Row],[Unit Cost]]</f>
        <v>238</v>
      </c>
      <c r="X1475" s="77">
        <f>'Dropdown Lists'!$I$2*(1+OrdersTable[[#This Row],[Returned]])</f>
        <v>60</v>
      </c>
      <c r="Y1475" s="76">
        <f>OrdersTable[[#This Row],[Net Revenue]]-OrdersTable[[#This Row],[COGS]]-OrdersTable[[#This Row],[Shipping Cost]]</f>
        <v>86.449999999999989</v>
      </c>
      <c r="Z1475" s="78">
        <f>IFERROR(OrdersTable[[#This Row],[Profit]]/OrdersTable[[#This Row],[Net Revenue]],0)</f>
        <v>0.22486669267785145</v>
      </c>
      <c r="AA1475" t="s">
        <v>18</v>
      </c>
      <c r="AB1475" s="79">
        <v>45576</v>
      </c>
      <c r="AC1475">
        <f>OrdersTable[[#This Row],[Delivery Date]]-OrdersTable[[#This Row],[Order Date]]</f>
        <v>2</v>
      </c>
      <c r="AD1475" t="str">
        <f>IF(OrdersTable[[#This Row],[Delivery Days]]&lt;=2, "Express (≤2d)", IF(OrdersTable[[#This Row],[Delivery Days]]&lt;=4, "Standard (3-4d)", "Delayed (5d+)"))</f>
        <v>Express (≤2d)</v>
      </c>
      <c r="AE1475">
        <v>3</v>
      </c>
      <c r="AF1475">
        <v>0</v>
      </c>
    </row>
    <row r="1476" spans="1:32" ht="15" x14ac:dyDescent="0.35">
      <c r="A1476" t="s">
        <v>5122</v>
      </c>
      <c r="B1476" s="1">
        <v>45574</v>
      </c>
      <c r="C1476">
        <f>YEAR(OrdersTable[[#This Row],[Order Date]])</f>
        <v>2024</v>
      </c>
      <c r="D1476" s="2">
        <f>DATE(YEAR(OrdersTable[[#This Row],[Order Date]]),MONTH(OrdersTable[[#This Row],[Order Date]]),1)</f>
        <v>45566</v>
      </c>
      <c r="E1476">
        <f>MONTH(OrdersTable[[#This Row],[Order Date]])</f>
        <v>10</v>
      </c>
      <c r="F1476" t="s">
        <v>2715</v>
      </c>
      <c r="G1476" t="str">
        <f>IF(OrdersTable[[#This Row],[Order Date]]=_xlfn.MINIFS(Order_Date, Customer_ID, OrdersTable[[#This Row],[Customer ID]]), "New", "Repeat")</f>
        <v>Repeat</v>
      </c>
      <c r="H1476" t="s">
        <v>316</v>
      </c>
      <c r="I1476" t="str">
        <f>INDEX(State!B:B,MATCH(OrdersTable[[#This Row],[State]],State!A:A,0))</f>
        <v>KL</v>
      </c>
      <c r="J1476" t="str">
        <f>INDEX(State!C:C,MATCH(OrdersTable[[#This Row],[State Code]],State!B:B,0))</f>
        <v>South</v>
      </c>
      <c r="K1476" t="s">
        <v>317</v>
      </c>
      <c r="L1476" t="s">
        <v>65</v>
      </c>
      <c r="M1476" t="s">
        <v>78</v>
      </c>
      <c r="N1476" t="str">
        <f>INDEX(Products!B:B,MATCH(OrdersTable[[#This Row],[Product ID]],Products!A:A,0))</f>
        <v>Retinol Night Cream</v>
      </c>
      <c r="O1476" t="str">
        <f>INDEX(Products!C:C,MATCH(OrdersTable[[#This Row],[Product ID]],Products!A:A,0))</f>
        <v>Skincare</v>
      </c>
      <c r="P1476">
        <v>2</v>
      </c>
      <c r="Q1476" s="5">
        <v>799</v>
      </c>
      <c r="R1476" s="74">
        <v>0.35</v>
      </c>
      <c r="S1476" s="75">
        <f>OrdersTable[[#This Row],[Quantity]]*OrdersTable[[#This Row],[Unit Price]]</f>
        <v>1598</v>
      </c>
      <c r="T1476" s="5">
        <f>OrdersTable[[#This Row],[Gross Sale]]*OrdersTable[[#This Row],[Discount_Clean2]]</f>
        <v>559.29999999999995</v>
      </c>
      <c r="U1476" s="5">
        <f>OrdersTable[[#This Row],[Gross Sale]]-OrdersTable[[#This Row],[Discount Amount]]</f>
        <v>1038.7</v>
      </c>
      <c r="V1476" s="77">
        <f>INDEX(Products!E:E,MATCH(OrdersTable[[#This Row],[Product ID]],Products!A:A,0))</f>
        <v>216</v>
      </c>
      <c r="W1476" s="77">
        <f>OrdersTable[[#This Row],[Quantity]]*OrdersTable[[#This Row],[Unit Cost]]</f>
        <v>432</v>
      </c>
      <c r="X1476" s="77">
        <f>'Dropdown Lists'!$I$2*(1+OrdersTable[[#This Row],[Returned]])</f>
        <v>60</v>
      </c>
      <c r="Y1476" s="76">
        <f>OrdersTable[[#This Row],[Net Revenue]]-OrdersTable[[#This Row],[COGS]]-OrdersTable[[#This Row],[Shipping Cost]]</f>
        <v>546.70000000000005</v>
      </c>
      <c r="Z1476" s="78">
        <f>IFERROR(OrdersTable[[#This Row],[Profit]]/OrdersTable[[#This Row],[Net Revenue]],0)</f>
        <v>0.52633099066140365</v>
      </c>
      <c r="AA1476" t="s">
        <v>3495</v>
      </c>
      <c r="AB1476" s="79">
        <v>45577</v>
      </c>
      <c r="AC1476">
        <f>OrdersTable[[#This Row],[Delivery Date]]-OrdersTable[[#This Row],[Order Date]]</f>
        <v>3</v>
      </c>
      <c r="AD1476" t="str">
        <f>IF(OrdersTable[[#This Row],[Delivery Days]]&lt;=2, "Express (≤2d)", IF(OrdersTable[[#This Row],[Delivery Days]]&lt;=4, "Standard (3-4d)", "Delayed (5d+)"))</f>
        <v>Standard (3-4d)</v>
      </c>
      <c r="AE1476">
        <v>5</v>
      </c>
      <c r="AF1476">
        <v>0</v>
      </c>
    </row>
    <row r="1477" spans="1:32" ht="15" x14ac:dyDescent="0.35">
      <c r="A1477" t="s">
        <v>6094</v>
      </c>
      <c r="B1477" s="1">
        <v>45575</v>
      </c>
      <c r="C1477">
        <f>YEAR(OrdersTable[[#This Row],[Order Date]])</f>
        <v>2024</v>
      </c>
      <c r="D1477" s="2">
        <f>DATE(YEAR(OrdersTable[[#This Row],[Order Date]]),MONTH(OrdersTable[[#This Row],[Order Date]]),1)</f>
        <v>45566</v>
      </c>
      <c r="E1477">
        <f>MONTH(OrdersTable[[#This Row],[Order Date]])</f>
        <v>10</v>
      </c>
      <c r="F1477" t="s">
        <v>6095</v>
      </c>
      <c r="G1477" t="str">
        <f>IF(OrdersTable[[#This Row],[Order Date]]=_xlfn.MINIFS(Order_Date, Customer_ID, OrdersTable[[#This Row],[Customer ID]]), "New", "Repeat")</f>
        <v>New</v>
      </c>
      <c r="H1477" t="s">
        <v>21</v>
      </c>
      <c r="I1477" t="str">
        <f>INDEX(State!B:B,MATCH(OrdersTable[[#This Row],[State]],State!A:A,0))</f>
        <v>PB</v>
      </c>
      <c r="J1477" t="str">
        <f>INDEX(State!C:C,MATCH(OrdersTable[[#This Row],[State Code]],State!B:B,0))</f>
        <v>North</v>
      </c>
      <c r="K1477" t="s">
        <v>260</v>
      </c>
      <c r="L1477" t="s">
        <v>16</v>
      </c>
      <c r="M1477" t="s">
        <v>87</v>
      </c>
      <c r="N1477" t="str">
        <f>INDEX(Products!B:B,MATCH(OrdersTable[[#This Row],[Product ID]],Products!A:A,0))</f>
        <v>Linen Kurta</v>
      </c>
      <c r="O1477" t="str">
        <f>INDEX(Products!C:C,MATCH(OrdersTable[[#This Row],[Product ID]],Products!A:A,0))</f>
        <v>Apparel</v>
      </c>
      <c r="P1477">
        <v>2</v>
      </c>
      <c r="Q1477" s="5">
        <v>1499</v>
      </c>
      <c r="R1477" s="74">
        <v>0.55000000000000004</v>
      </c>
      <c r="S1477" s="75">
        <f>OrdersTable[[#This Row],[Quantity]]*OrdersTable[[#This Row],[Unit Price]]</f>
        <v>2998</v>
      </c>
      <c r="T1477" s="5">
        <f>OrdersTable[[#This Row],[Gross Sale]]*OrdersTable[[#This Row],[Discount_Clean2]]</f>
        <v>1648.9</v>
      </c>
      <c r="U1477" s="5">
        <f>OrdersTable[[#This Row],[Gross Sale]]-OrdersTable[[#This Row],[Discount Amount]]</f>
        <v>1349.1</v>
      </c>
      <c r="V1477" s="77">
        <f>INDEX(Products!E:E,MATCH(OrdersTable[[#This Row],[Product ID]],Products!A:A,0))</f>
        <v>630</v>
      </c>
      <c r="W1477" s="77">
        <f>OrdersTable[[#This Row],[Quantity]]*OrdersTable[[#This Row],[Unit Cost]]</f>
        <v>1260</v>
      </c>
      <c r="X1477" s="77">
        <f>'Dropdown Lists'!$I$2*(1+OrdersTable[[#This Row],[Returned]])</f>
        <v>60</v>
      </c>
      <c r="Y1477" s="76">
        <f>OrdersTable[[#This Row],[Net Revenue]]-OrdersTable[[#This Row],[COGS]]-OrdersTable[[#This Row],[Shipping Cost]]</f>
        <v>29.099999999999909</v>
      </c>
      <c r="Z1477" s="78">
        <f>IFERROR(OrdersTable[[#This Row],[Profit]]/OrdersTable[[#This Row],[Net Revenue]],0)</f>
        <v>2.1569935512563865E-2</v>
      </c>
      <c r="AA1477" t="s">
        <v>18</v>
      </c>
      <c r="AB1477" s="79">
        <v>45579</v>
      </c>
      <c r="AC1477">
        <f>OrdersTable[[#This Row],[Delivery Date]]-OrdersTable[[#This Row],[Order Date]]</f>
        <v>4</v>
      </c>
      <c r="AD1477" t="str">
        <f>IF(OrdersTable[[#This Row],[Delivery Days]]&lt;=2, "Express (≤2d)", IF(OrdersTable[[#This Row],[Delivery Days]]&lt;=4, "Standard (3-4d)", "Delayed (5d+)"))</f>
        <v>Standard (3-4d)</v>
      </c>
      <c r="AE1477">
        <v>4</v>
      </c>
      <c r="AF1477">
        <v>0</v>
      </c>
    </row>
    <row r="1478" spans="1:32" ht="15" x14ac:dyDescent="0.35">
      <c r="A1478" t="s">
        <v>4578</v>
      </c>
      <c r="B1478" s="1">
        <v>45575</v>
      </c>
      <c r="C1478">
        <f>YEAR(OrdersTable[[#This Row],[Order Date]])</f>
        <v>2024</v>
      </c>
      <c r="D1478" s="2">
        <f>DATE(YEAR(OrdersTable[[#This Row],[Order Date]]),MONTH(OrdersTable[[#This Row],[Order Date]]),1)</f>
        <v>45566</v>
      </c>
      <c r="E1478">
        <f>MONTH(OrdersTable[[#This Row],[Order Date]])</f>
        <v>10</v>
      </c>
      <c r="F1478" t="s">
        <v>1813</v>
      </c>
      <c r="G1478" t="str">
        <f>IF(OrdersTable[[#This Row],[Order Date]]=_xlfn.MINIFS(Order_Date, Customer_ID, OrdersTable[[#This Row],[Customer ID]]), "New", "Repeat")</f>
        <v>New</v>
      </c>
      <c r="H1478" t="s">
        <v>184</v>
      </c>
      <c r="I1478" t="str">
        <f>INDEX(State!B:B,MATCH(OrdersTable[[#This Row],[State]],State!A:A,0))</f>
        <v>UK</v>
      </c>
      <c r="J1478" t="str">
        <f>INDEX(State!C:C,MATCH(OrdersTable[[#This Row],[State Code]],State!B:B,0))</f>
        <v>North</v>
      </c>
      <c r="K1478" t="s">
        <v>185</v>
      </c>
      <c r="L1478" t="s">
        <v>50</v>
      </c>
      <c r="M1478" t="s">
        <v>45</v>
      </c>
      <c r="N1478" t="str">
        <f>INDEX(Products!B:B,MATCH(OrdersTable[[#This Row],[Product ID]],Products!A:A,0))</f>
        <v>Argan Shampoo</v>
      </c>
      <c r="O1478" t="str">
        <f>INDEX(Products!C:C,MATCH(OrdersTable[[#This Row],[Product ID]],Products!A:A,0))</f>
        <v>Haircare</v>
      </c>
      <c r="P1478">
        <v>1</v>
      </c>
      <c r="Q1478" s="5">
        <v>449</v>
      </c>
      <c r="R1478" s="74">
        <v>0.25</v>
      </c>
      <c r="S1478" s="75">
        <f>OrdersTable[[#This Row],[Quantity]]*OrdersTable[[#This Row],[Unit Price]]</f>
        <v>449</v>
      </c>
      <c r="T1478" s="5">
        <f>OrdersTable[[#This Row],[Gross Sale]]*OrdersTable[[#This Row],[Discount_Clean2]]</f>
        <v>112.25</v>
      </c>
      <c r="U1478" s="5">
        <f>OrdersTable[[#This Row],[Gross Sale]]-OrdersTable[[#This Row],[Discount Amount]]</f>
        <v>336.75</v>
      </c>
      <c r="V1478" s="77">
        <f>INDEX(Products!E:E,MATCH(OrdersTable[[#This Row],[Product ID]],Products!A:A,0))</f>
        <v>148</v>
      </c>
      <c r="W1478" s="77">
        <f>OrdersTable[[#This Row],[Quantity]]*OrdersTable[[#This Row],[Unit Cost]]</f>
        <v>148</v>
      </c>
      <c r="X1478" s="77">
        <f>'Dropdown Lists'!$I$2*(1+OrdersTable[[#This Row],[Returned]])</f>
        <v>60</v>
      </c>
      <c r="Y1478" s="76">
        <f>OrdersTable[[#This Row],[Net Revenue]]-OrdersTable[[#This Row],[COGS]]-OrdersTable[[#This Row],[Shipping Cost]]</f>
        <v>128.75</v>
      </c>
      <c r="Z1478" s="78">
        <f>IFERROR(OrdersTable[[#This Row],[Profit]]/OrdersTable[[#This Row],[Net Revenue]],0)</f>
        <v>0.38233110616184113</v>
      </c>
      <c r="AA1478" t="s">
        <v>4450</v>
      </c>
      <c r="AB1478" s="79">
        <v>45580</v>
      </c>
      <c r="AC1478">
        <f>OrdersTable[[#This Row],[Delivery Date]]-OrdersTable[[#This Row],[Order Date]]</f>
        <v>5</v>
      </c>
      <c r="AD1478" t="str">
        <f>IF(OrdersTable[[#This Row],[Delivery Days]]&lt;=2, "Express (≤2d)", IF(OrdersTable[[#This Row],[Delivery Days]]&lt;=4, "Standard (3-4d)", "Delayed (5d+)"))</f>
        <v>Delayed (5d+)</v>
      </c>
      <c r="AF1478">
        <v>0</v>
      </c>
    </row>
    <row r="1479" spans="1:32" ht="15" x14ac:dyDescent="0.35">
      <c r="A1479" t="s">
        <v>1149</v>
      </c>
      <c r="B1479" s="1">
        <v>45575</v>
      </c>
      <c r="C1479">
        <f>YEAR(OrdersTable[[#This Row],[Order Date]])</f>
        <v>2024</v>
      </c>
      <c r="D1479" s="2">
        <f>DATE(YEAR(OrdersTable[[#This Row],[Order Date]]),MONTH(OrdersTable[[#This Row],[Order Date]]),1)</f>
        <v>45566</v>
      </c>
      <c r="E1479">
        <f>MONTH(OrdersTable[[#This Row],[Order Date]])</f>
        <v>10</v>
      </c>
      <c r="F1479" t="s">
        <v>1150</v>
      </c>
      <c r="G1479" t="str">
        <f>IF(OrdersTable[[#This Row],[Order Date]]=_xlfn.MINIFS(Order_Date, Customer_ID, OrdersTable[[#This Row],[Customer ID]]), "New", "Repeat")</f>
        <v>Repeat</v>
      </c>
      <c r="H1479" t="s">
        <v>76</v>
      </c>
      <c r="I1479" t="str">
        <f>INDEX(State!B:B,MATCH(OrdersTable[[#This Row],[State]],State!A:A,0))</f>
        <v>UP</v>
      </c>
      <c r="J1479" t="str">
        <f>INDEX(State!C:C,MATCH(OrdersTable[[#This Row],[State Code]],State!B:B,0))</f>
        <v>North</v>
      </c>
      <c r="K1479" t="s">
        <v>77</v>
      </c>
      <c r="L1479" t="s">
        <v>50</v>
      </c>
      <c r="M1479" t="s">
        <v>45</v>
      </c>
      <c r="N1479" t="str">
        <f>INDEX(Products!B:B,MATCH(OrdersTable[[#This Row],[Product ID]],Products!A:A,0))</f>
        <v>Argan Shampoo</v>
      </c>
      <c r="O1479" t="str">
        <f>INDEX(Products!C:C,MATCH(OrdersTable[[#This Row],[Product ID]],Products!A:A,0))</f>
        <v>Haircare</v>
      </c>
      <c r="P1479">
        <v>1</v>
      </c>
      <c r="Q1479" s="5">
        <v>449</v>
      </c>
      <c r="R1479" s="74">
        <v>0.05</v>
      </c>
      <c r="S1479" s="75">
        <f>OrdersTable[[#This Row],[Quantity]]*OrdersTable[[#This Row],[Unit Price]]</f>
        <v>449</v>
      </c>
      <c r="T1479" s="5">
        <f>OrdersTable[[#This Row],[Gross Sale]]*OrdersTable[[#This Row],[Discount_Clean2]]</f>
        <v>22.450000000000003</v>
      </c>
      <c r="U1479" s="5">
        <f>OrdersTable[[#This Row],[Gross Sale]]-OrdersTable[[#This Row],[Discount Amount]]</f>
        <v>426.55</v>
      </c>
      <c r="V1479" s="77">
        <f>INDEX(Products!E:E,MATCH(OrdersTable[[#This Row],[Product ID]],Products!A:A,0))</f>
        <v>148</v>
      </c>
      <c r="W1479" s="77">
        <f>OrdersTable[[#This Row],[Quantity]]*OrdersTable[[#This Row],[Unit Cost]]</f>
        <v>148</v>
      </c>
      <c r="X1479" s="77">
        <f>'Dropdown Lists'!$I$2*(1+OrdersTable[[#This Row],[Returned]])</f>
        <v>120</v>
      </c>
      <c r="Y1479" s="76">
        <f>OrdersTable[[#This Row],[Net Revenue]]-OrdersTable[[#This Row],[COGS]]-OrdersTable[[#This Row],[Shipping Cost]]</f>
        <v>158.55000000000001</v>
      </c>
      <c r="Z1479" s="78">
        <f>IFERROR(OrdersTable[[#This Row],[Profit]]/OrdersTable[[#This Row],[Net Revenue]],0)</f>
        <v>0.37170320009377567</v>
      </c>
      <c r="AA1479" t="s">
        <v>18</v>
      </c>
      <c r="AB1479" s="79">
        <v>45578</v>
      </c>
      <c r="AC1479">
        <f>OrdersTable[[#This Row],[Delivery Date]]-OrdersTable[[#This Row],[Order Date]]</f>
        <v>3</v>
      </c>
      <c r="AD1479" t="str">
        <f>IF(OrdersTable[[#This Row],[Delivery Days]]&lt;=2, "Express (≤2d)", IF(OrdersTable[[#This Row],[Delivery Days]]&lt;=4, "Standard (3-4d)", "Delayed (5d+)"))</f>
        <v>Standard (3-4d)</v>
      </c>
      <c r="AF1479">
        <v>1</v>
      </c>
    </row>
    <row r="1480" spans="1:32" ht="15" x14ac:dyDescent="0.35">
      <c r="A1480" t="s">
        <v>4362</v>
      </c>
      <c r="B1480" s="1">
        <v>45575</v>
      </c>
      <c r="C1480">
        <f>YEAR(OrdersTable[[#This Row],[Order Date]])</f>
        <v>2024</v>
      </c>
      <c r="D1480" s="2">
        <f>DATE(YEAR(OrdersTable[[#This Row],[Order Date]]),MONTH(OrdersTable[[#This Row],[Order Date]]),1)</f>
        <v>45566</v>
      </c>
      <c r="E1480">
        <f>MONTH(OrdersTable[[#This Row],[Order Date]])</f>
        <v>10</v>
      </c>
      <c r="F1480" t="s">
        <v>4363</v>
      </c>
      <c r="G1480" t="str">
        <f>IF(OrdersTable[[#This Row],[Order Date]]=_xlfn.MINIFS(Order_Date, Customer_ID, OrdersTable[[#This Row],[Customer ID]]), "New", "Repeat")</f>
        <v>New</v>
      </c>
      <c r="H1480" t="s">
        <v>123</v>
      </c>
      <c r="I1480" t="str">
        <f>INDEX(State!B:B,MATCH(OrdersTable[[#This Row],[State]],State!A:A,0))</f>
        <v>JH</v>
      </c>
      <c r="J1480" t="str">
        <f>INDEX(State!C:C,MATCH(OrdersTable[[#This Row],[State Code]],State!B:B,0))</f>
        <v>East</v>
      </c>
      <c r="K1480" t="s">
        <v>124</v>
      </c>
      <c r="L1480" t="s">
        <v>39</v>
      </c>
      <c r="M1480" t="s">
        <v>56</v>
      </c>
      <c r="N1480" t="str">
        <f>INDEX(Products!B:B,MATCH(OrdersTable[[#This Row],[Product ID]],Products!A:A,0))</f>
        <v>Vitamin C Face Serum</v>
      </c>
      <c r="O1480" t="str">
        <f>INDEX(Products!C:C,MATCH(OrdersTable[[#This Row],[Product ID]],Products!A:A,0))</f>
        <v>Skincare</v>
      </c>
      <c r="P1480">
        <v>1</v>
      </c>
      <c r="Q1480" s="5">
        <v>599</v>
      </c>
      <c r="R1480" s="74">
        <v>0.2</v>
      </c>
      <c r="S1480" s="75">
        <f>OrdersTable[[#This Row],[Quantity]]*OrdersTable[[#This Row],[Unit Price]]</f>
        <v>599</v>
      </c>
      <c r="T1480" s="5">
        <f>OrdersTable[[#This Row],[Gross Sale]]*OrdersTable[[#This Row],[Discount_Clean2]]</f>
        <v>119.80000000000001</v>
      </c>
      <c r="U1480" s="5">
        <f>OrdersTable[[#This Row],[Gross Sale]]-OrdersTable[[#This Row],[Discount Amount]]</f>
        <v>479.2</v>
      </c>
      <c r="V1480" s="77">
        <f>INDEX(Products!E:E,MATCH(OrdersTable[[#This Row],[Product ID]],Products!A:A,0))</f>
        <v>180</v>
      </c>
      <c r="W1480" s="77">
        <f>OrdersTable[[#This Row],[Quantity]]*OrdersTable[[#This Row],[Unit Cost]]</f>
        <v>180</v>
      </c>
      <c r="X1480" s="77">
        <f>'Dropdown Lists'!$I$2*(1+OrdersTable[[#This Row],[Returned]])</f>
        <v>60</v>
      </c>
      <c r="Y1480" s="76">
        <f>OrdersTable[[#This Row],[Net Revenue]]-OrdersTable[[#This Row],[COGS]]-OrdersTable[[#This Row],[Shipping Cost]]</f>
        <v>239.2</v>
      </c>
      <c r="Z1480" s="78">
        <f>IFERROR(OrdersTable[[#This Row],[Profit]]/OrdersTable[[#This Row],[Net Revenue]],0)</f>
        <v>0.4991652754590985</v>
      </c>
      <c r="AA1480" t="s">
        <v>4074</v>
      </c>
      <c r="AB1480" s="79">
        <v>45580</v>
      </c>
      <c r="AC1480">
        <f>OrdersTable[[#This Row],[Delivery Date]]-OrdersTable[[#This Row],[Order Date]]</f>
        <v>5</v>
      </c>
      <c r="AD1480" t="str">
        <f>IF(OrdersTable[[#This Row],[Delivery Days]]&lt;=2, "Express (≤2d)", IF(OrdersTable[[#This Row],[Delivery Days]]&lt;=4, "Standard (3-4d)", "Delayed (5d+)"))</f>
        <v>Delayed (5d+)</v>
      </c>
      <c r="AE1480">
        <v>4</v>
      </c>
      <c r="AF1480">
        <v>0</v>
      </c>
    </row>
    <row r="1481" spans="1:32" ht="15" x14ac:dyDescent="0.35">
      <c r="A1481" t="s">
        <v>520</v>
      </c>
      <c r="B1481" s="1">
        <v>45575</v>
      </c>
      <c r="C1481">
        <f>YEAR(OrdersTable[[#This Row],[Order Date]])</f>
        <v>2024</v>
      </c>
      <c r="D1481" s="2">
        <f>DATE(YEAR(OrdersTable[[#This Row],[Order Date]]),MONTH(OrdersTable[[#This Row],[Order Date]]),1)</f>
        <v>45566</v>
      </c>
      <c r="E1481">
        <f>MONTH(OrdersTable[[#This Row],[Order Date]])</f>
        <v>10</v>
      </c>
      <c r="F1481" t="s">
        <v>521</v>
      </c>
      <c r="G1481" t="str">
        <f>IF(OrdersTable[[#This Row],[Order Date]]=_xlfn.MINIFS(Order_Date, Customer_ID, OrdersTable[[#This Row],[Customer ID]]), "New", "Repeat")</f>
        <v>New</v>
      </c>
      <c r="H1481" t="s">
        <v>71</v>
      </c>
      <c r="I1481" t="str">
        <f>INDEX(State!B:B,MATCH(OrdersTable[[#This Row],[State]],State!A:A,0))</f>
        <v>MH</v>
      </c>
      <c r="J1481" t="str">
        <f>INDEX(State!C:C,MATCH(OrdersTable[[#This Row],[State Code]],State!B:B,0))</f>
        <v>West</v>
      </c>
      <c r="K1481" t="s">
        <v>81</v>
      </c>
      <c r="L1481" t="s">
        <v>50</v>
      </c>
      <c r="M1481" t="s">
        <v>45</v>
      </c>
      <c r="N1481" t="str">
        <f>INDEX(Products!B:B,MATCH(OrdersTable[[#This Row],[Product ID]],Products!A:A,0))</f>
        <v>Argan Shampoo</v>
      </c>
      <c r="O1481" t="str">
        <f>INDEX(Products!C:C,MATCH(OrdersTable[[#This Row],[Product ID]],Products!A:A,0))</f>
        <v>Haircare</v>
      </c>
      <c r="P1481">
        <v>1</v>
      </c>
      <c r="Q1481" s="5">
        <v>449</v>
      </c>
      <c r="R1481" s="74">
        <v>0.1</v>
      </c>
      <c r="S1481" s="75">
        <f>OrdersTable[[#This Row],[Quantity]]*OrdersTable[[#This Row],[Unit Price]]</f>
        <v>449</v>
      </c>
      <c r="T1481" s="5">
        <f>OrdersTable[[#This Row],[Gross Sale]]*OrdersTable[[#This Row],[Discount_Clean2]]</f>
        <v>44.900000000000006</v>
      </c>
      <c r="U1481" s="5">
        <f>OrdersTable[[#This Row],[Gross Sale]]-OrdersTable[[#This Row],[Discount Amount]]</f>
        <v>404.1</v>
      </c>
      <c r="V1481" s="77">
        <f>INDEX(Products!E:E,MATCH(OrdersTable[[#This Row],[Product ID]],Products!A:A,0))</f>
        <v>148</v>
      </c>
      <c r="W1481" s="77">
        <f>OrdersTable[[#This Row],[Quantity]]*OrdersTable[[#This Row],[Unit Cost]]</f>
        <v>148</v>
      </c>
      <c r="X1481" s="77">
        <f>'Dropdown Lists'!$I$2*(1+OrdersTable[[#This Row],[Returned]])</f>
        <v>60</v>
      </c>
      <c r="Y1481" s="76">
        <f>OrdersTable[[#This Row],[Net Revenue]]-OrdersTable[[#This Row],[COGS]]-OrdersTable[[#This Row],[Shipping Cost]]</f>
        <v>196.10000000000002</v>
      </c>
      <c r="Z1481" s="78">
        <f>IFERROR(OrdersTable[[#This Row],[Profit]]/OrdersTable[[#This Row],[Net Revenue]],0)</f>
        <v>0.48527592180153428</v>
      </c>
      <c r="AA1481" t="s">
        <v>18</v>
      </c>
      <c r="AB1481" s="79">
        <v>45578</v>
      </c>
      <c r="AC1481">
        <f>OrdersTable[[#This Row],[Delivery Date]]-OrdersTable[[#This Row],[Order Date]]</f>
        <v>3</v>
      </c>
      <c r="AD1481" t="str">
        <f>IF(OrdersTable[[#This Row],[Delivery Days]]&lt;=2, "Express (≤2d)", IF(OrdersTable[[#This Row],[Delivery Days]]&lt;=4, "Standard (3-4d)", "Delayed (5d+)"))</f>
        <v>Standard (3-4d)</v>
      </c>
      <c r="AE1481">
        <v>4</v>
      </c>
      <c r="AF1481">
        <v>0</v>
      </c>
    </row>
    <row r="1482" spans="1:32" ht="15" x14ac:dyDescent="0.35">
      <c r="A1482" t="s">
        <v>4936</v>
      </c>
      <c r="B1482" s="1">
        <v>45575</v>
      </c>
      <c r="C1482">
        <f>YEAR(OrdersTable[[#This Row],[Order Date]])</f>
        <v>2024</v>
      </c>
      <c r="D1482" s="2">
        <f>DATE(YEAR(OrdersTable[[#This Row],[Order Date]]),MONTH(OrdersTable[[#This Row],[Order Date]]),1)</f>
        <v>45566</v>
      </c>
      <c r="E1482">
        <f>MONTH(OrdersTable[[#This Row],[Order Date]])</f>
        <v>10</v>
      </c>
      <c r="F1482" t="s">
        <v>1980</v>
      </c>
      <c r="G1482" t="str">
        <f>IF(OrdersTable[[#This Row],[Order Date]]=_xlfn.MINIFS(Order_Date, Customer_ID, OrdersTable[[#This Row],[Customer ID]]), "New", "Repeat")</f>
        <v>New</v>
      </c>
      <c r="H1482" t="s">
        <v>95</v>
      </c>
      <c r="I1482" t="str">
        <f>INDEX(State!B:B,MATCH(OrdersTable[[#This Row],[State]],State!A:A,0))</f>
        <v>TG</v>
      </c>
      <c r="J1482" t="str">
        <f>INDEX(State!C:C,MATCH(OrdersTable[[#This Row],[State Code]],State!B:B,0))</f>
        <v>South</v>
      </c>
      <c r="K1482" t="s">
        <v>96</v>
      </c>
      <c r="L1482" t="s">
        <v>65</v>
      </c>
      <c r="M1482" t="s">
        <v>73</v>
      </c>
      <c r="N1482" t="str">
        <f>INDEX(Products!B:B,MATCH(OrdersTable[[#This Row],[Product ID]],Products!A:A,0))</f>
        <v>Hydrating Face Wash</v>
      </c>
      <c r="O1482" t="str">
        <f>INDEX(Products!C:C,MATCH(OrdersTable[[#This Row],[Product ID]],Products!A:A,0))</f>
        <v>Skincare</v>
      </c>
      <c r="P1482">
        <v>2</v>
      </c>
      <c r="Q1482" s="5">
        <v>299</v>
      </c>
      <c r="R1482" s="74">
        <v>0.3</v>
      </c>
      <c r="S1482" s="75">
        <f>OrdersTable[[#This Row],[Quantity]]*OrdersTable[[#This Row],[Unit Price]]</f>
        <v>598</v>
      </c>
      <c r="T1482" s="5">
        <f>OrdersTable[[#This Row],[Gross Sale]]*OrdersTable[[#This Row],[Discount_Clean2]]</f>
        <v>179.4</v>
      </c>
      <c r="U1482" s="5">
        <f>OrdersTable[[#This Row],[Gross Sale]]-OrdersTable[[#This Row],[Discount Amount]]</f>
        <v>418.6</v>
      </c>
      <c r="V1482" s="77">
        <f>INDEX(Products!E:E,MATCH(OrdersTable[[#This Row],[Product ID]],Products!A:A,0))</f>
        <v>90</v>
      </c>
      <c r="W1482" s="77">
        <f>OrdersTable[[#This Row],[Quantity]]*OrdersTable[[#This Row],[Unit Cost]]</f>
        <v>180</v>
      </c>
      <c r="X1482" s="77">
        <f>'Dropdown Lists'!$I$2*(1+OrdersTable[[#This Row],[Returned]])</f>
        <v>60</v>
      </c>
      <c r="Y1482" s="76">
        <f>OrdersTable[[#This Row],[Net Revenue]]-OrdersTable[[#This Row],[COGS]]-OrdersTable[[#This Row],[Shipping Cost]]</f>
        <v>178.60000000000002</v>
      </c>
      <c r="Z1482" s="78">
        <f>IFERROR(OrdersTable[[#This Row],[Profit]]/OrdersTable[[#This Row],[Net Revenue]],0)</f>
        <v>0.42666029622551366</v>
      </c>
      <c r="AA1482" t="s">
        <v>4074</v>
      </c>
      <c r="AB1482" s="79">
        <v>45579</v>
      </c>
      <c r="AC1482">
        <f>OrdersTable[[#This Row],[Delivery Date]]-OrdersTable[[#This Row],[Order Date]]</f>
        <v>4</v>
      </c>
      <c r="AD1482" t="str">
        <f>IF(OrdersTable[[#This Row],[Delivery Days]]&lt;=2, "Express (≤2d)", IF(OrdersTable[[#This Row],[Delivery Days]]&lt;=4, "Standard (3-4d)", "Delayed (5d+)"))</f>
        <v>Standard (3-4d)</v>
      </c>
      <c r="AE1482">
        <v>3</v>
      </c>
      <c r="AF1482">
        <v>0</v>
      </c>
    </row>
    <row r="1483" spans="1:32" ht="15" x14ac:dyDescent="0.35">
      <c r="A1483" t="s">
        <v>4799</v>
      </c>
      <c r="B1483" s="1">
        <v>45575</v>
      </c>
      <c r="C1483">
        <f>YEAR(OrdersTable[[#This Row],[Order Date]])</f>
        <v>2024</v>
      </c>
      <c r="D1483" s="2">
        <f>DATE(YEAR(OrdersTable[[#This Row],[Order Date]]),MONTH(OrdersTable[[#This Row],[Order Date]]),1)</f>
        <v>45566</v>
      </c>
      <c r="E1483">
        <f>MONTH(OrdersTable[[#This Row],[Order Date]])</f>
        <v>10</v>
      </c>
      <c r="F1483" t="s">
        <v>1079</v>
      </c>
      <c r="G1483" t="str">
        <f>IF(OrdersTable[[#This Row],[Order Date]]=_xlfn.MINIFS(Order_Date, Customer_ID, OrdersTable[[#This Row],[Customer ID]]), "New", "Repeat")</f>
        <v>Repeat</v>
      </c>
      <c r="H1483" t="s">
        <v>167</v>
      </c>
      <c r="I1483" t="str">
        <f>INDEX(State!B:B,MATCH(OrdersTable[[#This Row],[State]],State!A:A,0))</f>
        <v>KA</v>
      </c>
      <c r="J1483" t="str">
        <f>INDEX(State!C:C,MATCH(OrdersTable[[#This Row],[State Code]],State!B:B,0))</f>
        <v>South</v>
      </c>
      <c r="K1483" t="s">
        <v>190</v>
      </c>
      <c r="L1483" t="s">
        <v>23</v>
      </c>
      <c r="M1483" t="s">
        <v>160</v>
      </c>
      <c r="N1483" t="str">
        <f>INDEX(Products!B:B,MATCH(OrdersTable[[#This Row],[Product ID]],Products!A:A,0))</f>
        <v>Niacinamide Toner</v>
      </c>
      <c r="O1483" t="str">
        <f>INDEX(Products!C:C,MATCH(OrdersTable[[#This Row],[Product ID]],Products!A:A,0))</f>
        <v>Skincare</v>
      </c>
      <c r="P1483">
        <v>2</v>
      </c>
      <c r="Q1483" s="5">
        <v>399</v>
      </c>
      <c r="R1483" s="74">
        <v>0.3</v>
      </c>
      <c r="S1483" s="75">
        <f>OrdersTable[[#This Row],[Quantity]]*OrdersTable[[#This Row],[Unit Price]]</f>
        <v>798</v>
      </c>
      <c r="T1483" s="5">
        <f>OrdersTable[[#This Row],[Gross Sale]]*OrdersTable[[#This Row],[Discount_Clean2]]</f>
        <v>239.39999999999998</v>
      </c>
      <c r="U1483" s="5">
        <f>OrdersTable[[#This Row],[Gross Sale]]-OrdersTable[[#This Row],[Discount Amount]]</f>
        <v>558.6</v>
      </c>
      <c r="V1483" s="77">
        <f>INDEX(Products!E:E,MATCH(OrdersTable[[#This Row],[Product ID]],Products!A:A,0))</f>
        <v>112</v>
      </c>
      <c r="W1483" s="77">
        <f>OrdersTable[[#This Row],[Quantity]]*OrdersTable[[#This Row],[Unit Cost]]</f>
        <v>224</v>
      </c>
      <c r="X1483" s="77">
        <f>'Dropdown Lists'!$I$2*(1+OrdersTable[[#This Row],[Returned]])</f>
        <v>60</v>
      </c>
      <c r="Y1483" s="76">
        <f>OrdersTable[[#This Row],[Net Revenue]]-OrdersTable[[#This Row],[COGS]]-OrdersTable[[#This Row],[Shipping Cost]]</f>
        <v>274.60000000000002</v>
      </c>
      <c r="Z1483" s="78">
        <f>IFERROR(OrdersTable[[#This Row],[Profit]]/OrdersTable[[#This Row],[Net Revenue]],0)</f>
        <v>0.49158610812746151</v>
      </c>
      <c r="AA1483" t="s">
        <v>4450</v>
      </c>
      <c r="AB1483" s="79">
        <v>45577</v>
      </c>
      <c r="AC1483">
        <f>OrdersTable[[#This Row],[Delivery Date]]-OrdersTable[[#This Row],[Order Date]]</f>
        <v>2</v>
      </c>
      <c r="AD1483" t="str">
        <f>IF(OrdersTable[[#This Row],[Delivery Days]]&lt;=2, "Express (≤2d)", IF(OrdersTable[[#This Row],[Delivery Days]]&lt;=4, "Standard (3-4d)", "Delayed (5d+)"))</f>
        <v>Express (≤2d)</v>
      </c>
      <c r="AE1483">
        <v>5</v>
      </c>
      <c r="AF1483">
        <v>0</v>
      </c>
    </row>
    <row r="1484" spans="1:32" ht="15" x14ac:dyDescent="0.35">
      <c r="A1484" t="s">
        <v>1051</v>
      </c>
      <c r="B1484" s="1">
        <v>45575</v>
      </c>
      <c r="C1484">
        <f>YEAR(OrdersTable[[#This Row],[Order Date]])</f>
        <v>2024</v>
      </c>
      <c r="D1484" s="2">
        <f>DATE(YEAR(OrdersTable[[#This Row],[Order Date]]),MONTH(OrdersTable[[#This Row],[Order Date]]),1)</f>
        <v>45566</v>
      </c>
      <c r="E1484">
        <f>MONTH(OrdersTable[[#This Row],[Order Date]])</f>
        <v>10</v>
      </c>
      <c r="F1484" t="s">
        <v>1052</v>
      </c>
      <c r="G1484" t="str">
        <f>IF(OrdersTable[[#This Row],[Order Date]]=_xlfn.MINIFS(Order_Date, Customer_ID, OrdersTable[[#This Row],[Customer ID]]), "New", "Repeat")</f>
        <v>Repeat</v>
      </c>
      <c r="H1484" t="s">
        <v>167</v>
      </c>
      <c r="I1484" t="str">
        <f>INDEX(State!B:B,MATCH(OrdersTable[[#This Row],[State]],State!A:A,0))</f>
        <v>KA</v>
      </c>
      <c r="J1484" t="str">
        <f>INDEX(State!C:C,MATCH(OrdersTable[[#This Row],[State Code]],State!B:B,0))</f>
        <v>South</v>
      </c>
      <c r="K1484" t="s">
        <v>168</v>
      </c>
      <c r="L1484" t="s">
        <v>23</v>
      </c>
      <c r="M1484" t="s">
        <v>228</v>
      </c>
      <c r="N1484" t="str">
        <f>INDEX(Products!B:B,MATCH(OrdersTable[[#This Row],[Product ID]],Products!A:A,0))</f>
        <v>Fast Charger 33W</v>
      </c>
      <c r="O1484" t="str">
        <f>INDEX(Products!C:C,MATCH(OrdersTable[[#This Row],[Product ID]],Products!A:A,0))</f>
        <v>Electronics</v>
      </c>
      <c r="P1484">
        <v>1</v>
      </c>
      <c r="Q1484" s="5">
        <v>899</v>
      </c>
      <c r="R1484" s="74">
        <v>0.35</v>
      </c>
      <c r="S1484" s="75">
        <f>OrdersTable[[#This Row],[Quantity]]*OrdersTable[[#This Row],[Unit Price]]</f>
        <v>899</v>
      </c>
      <c r="T1484" s="5">
        <f>OrdersTable[[#This Row],[Gross Sale]]*OrdersTable[[#This Row],[Discount_Clean2]]</f>
        <v>314.64999999999998</v>
      </c>
      <c r="U1484" s="5">
        <f>OrdersTable[[#This Row],[Gross Sale]]-OrdersTable[[#This Row],[Discount Amount]]</f>
        <v>584.35</v>
      </c>
      <c r="V1484" s="77">
        <f>INDEX(Products!E:E,MATCH(OrdersTable[[#This Row],[Product ID]],Products!A:A,0))</f>
        <v>494</v>
      </c>
      <c r="W1484" s="77">
        <f>OrdersTable[[#This Row],[Quantity]]*OrdersTable[[#This Row],[Unit Cost]]</f>
        <v>494</v>
      </c>
      <c r="X1484" s="77">
        <f>'Dropdown Lists'!$I$2*(1+OrdersTable[[#This Row],[Returned]])</f>
        <v>120</v>
      </c>
      <c r="Y1484" s="76">
        <f>OrdersTable[[#This Row],[Net Revenue]]-OrdersTable[[#This Row],[COGS]]-OrdersTable[[#This Row],[Shipping Cost]]</f>
        <v>-29.649999999999977</v>
      </c>
      <c r="Z1484" s="78">
        <f>IFERROR(OrdersTable[[#This Row],[Profit]]/OrdersTable[[#This Row],[Net Revenue]],0)</f>
        <v>-5.0740138615555708E-2</v>
      </c>
      <c r="AA1484" t="s">
        <v>18</v>
      </c>
      <c r="AB1484" s="79">
        <v>45578</v>
      </c>
      <c r="AC1484">
        <f>OrdersTable[[#This Row],[Delivery Date]]-OrdersTable[[#This Row],[Order Date]]</f>
        <v>3</v>
      </c>
      <c r="AD1484" t="str">
        <f>IF(OrdersTable[[#This Row],[Delivery Days]]&lt;=2, "Express (≤2d)", IF(OrdersTable[[#This Row],[Delivery Days]]&lt;=4, "Standard (3-4d)", "Delayed (5d+)"))</f>
        <v>Standard (3-4d)</v>
      </c>
      <c r="AE1484">
        <v>4</v>
      </c>
      <c r="AF1484">
        <v>1</v>
      </c>
    </row>
    <row r="1485" spans="1:32" ht="15" x14ac:dyDescent="0.35">
      <c r="A1485" t="s">
        <v>4247</v>
      </c>
      <c r="B1485" s="1">
        <v>45575</v>
      </c>
      <c r="C1485">
        <f>YEAR(OrdersTable[[#This Row],[Order Date]])</f>
        <v>2024</v>
      </c>
      <c r="D1485" s="2">
        <f>DATE(YEAR(OrdersTable[[#This Row],[Order Date]]),MONTH(OrdersTable[[#This Row],[Order Date]]),1)</f>
        <v>45566</v>
      </c>
      <c r="E1485">
        <f>MONTH(OrdersTable[[#This Row],[Order Date]])</f>
        <v>10</v>
      </c>
      <c r="F1485" t="s">
        <v>959</v>
      </c>
      <c r="G1485" t="str">
        <f>IF(OrdersTable[[#This Row],[Order Date]]=_xlfn.MINIFS(Order_Date, Customer_ID, OrdersTable[[#This Row],[Customer ID]]), "New", "Repeat")</f>
        <v>New</v>
      </c>
      <c r="H1485" t="s">
        <v>167</v>
      </c>
      <c r="I1485" t="str">
        <f>INDEX(State!B:B,MATCH(OrdersTable[[#This Row],[State]],State!A:A,0))</f>
        <v>KA</v>
      </c>
      <c r="J1485" t="str">
        <f>INDEX(State!C:C,MATCH(OrdersTable[[#This Row],[State Code]],State!B:B,0))</f>
        <v>South</v>
      </c>
      <c r="K1485" t="s">
        <v>190</v>
      </c>
      <c r="L1485" t="s">
        <v>23</v>
      </c>
      <c r="M1485" t="s">
        <v>176</v>
      </c>
      <c r="N1485" t="str">
        <f>INDEX(Products!B:B,MATCH(OrdersTable[[#This Row],[Product ID]],Products!A:A,0))</f>
        <v>Denim Jacket</v>
      </c>
      <c r="O1485" t="str">
        <f>INDEX(Products!C:C,MATCH(OrdersTable[[#This Row],[Product ID]],Products!A:A,0))</f>
        <v>Apparel</v>
      </c>
      <c r="P1485">
        <v>1</v>
      </c>
      <c r="Q1485" s="5">
        <v>2499</v>
      </c>
      <c r="R1485" s="74">
        <v>0.05</v>
      </c>
      <c r="S1485" s="75">
        <f>OrdersTable[[#This Row],[Quantity]]*OrdersTable[[#This Row],[Unit Price]]</f>
        <v>2499</v>
      </c>
      <c r="T1485" s="5">
        <f>OrdersTable[[#This Row],[Gross Sale]]*OrdersTable[[#This Row],[Discount_Clean2]]</f>
        <v>124.95</v>
      </c>
      <c r="U1485" s="5">
        <f>OrdersTable[[#This Row],[Gross Sale]]-OrdersTable[[#This Row],[Discount Amount]]</f>
        <v>2374.0500000000002</v>
      </c>
      <c r="V1485" s="77">
        <f>INDEX(Products!E:E,MATCH(OrdersTable[[#This Row],[Product ID]],Products!A:A,0))</f>
        <v>1125</v>
      </c>
      <c r="W1485" s="77">
        <f>OrdersTable[[#This Row],[Quantity]]*OrdersTable[[#This Row],[Unit Cost]]</f>
        <v>1125</v>
      </c>
      <c r="X1485" s="77">
        <f>'Dropdown Lists'!$I$2*(1+OrdersTable[[#This Row],[Returned]])</f>
        <v>120</v>
      </c>
      <c r="Y1485" s="76">
        <f>OrdersTable[[#This Row],[Net Revenue]]-OrdersTable[[#This Row],[COGS]]-OrdersTable[[#This Row],[Shipping Cost]]</f>
        <v>1129.0500000000002</v>
      </c>
      <c r="Z1485" s="78">
        <f>IFERROR(OrdersTable[[#This Row],[Profit]]/OrdersTable[[#This Row],[Net Revenue]],0)</f>
        <v>0.47557970556643714</v>
      </c>
      <c r="AA1485" t="s">
        <v>4074</v>
      </c>
      <c r="AB1485" s="79">
        <v>45578</v>
      </c>
      <c r="AC1485">
        <f>OrdersTable[[#This Row],[Delivery Date]]-OrdersTable[[#This Row],[Order Date]]</f>
        <v>3</v>
      </c>
      <c r="AD1485" t="str">
        <f>IF(OrdersTable[[#This Row],[Delivery Days]]&lt;=2, "Express (≤2d)", IF(OrdersTable[[#This Row],[Delivery Days]]&lt;=4, "Standard (3-4d)", "Delayed (5d+)"))</f>
        <v>Standard (3-4d)</v>
      </c>
      <c r="AF1485">
        <v>1</v>
      </c>
    </row>
    <row r="1486" spans="1:32" ht="15" x14ac:dyDescent="0.35">
      <c r="A1486" t="s">
        <v>1373</v>
      </c>
      <c r="B1486" s="1">
        <v>45575</v>
      </c>
      <c r="C1486">
        <f>YEAR(OrdersTable[[#This Row],[Order Date]])</f>
        <v>2024</v>
      </c>
      <c r="D1486" s="2">
        <f>DATE(YEAR(OrdersTable[[#This Row],[Order Date]]),MONTH(OrdersTable[[#This Row],[Order Date]]),1)</f>
        <v>45566</v>
      </c>
      <c r="E1486">
        <f>MONTH(OrdersTable[[#This Row],[Order Date]])</f>
        <v>10</v>
      </c>
      <c r="F1486" t="s">
        <v>1374</v>
      </c>
      <c r="G1486" t="str">
        <f>IF(OrdersTable[[#This Row],[Order Date]]=_xlfn.MINIFS(Order_Date, Customer_ID, OrdersTable[[#This Row],[Customer ID]]), "New", "Repeat")</f>
        <v>Repeat</v>
      </c>
      <c r="H1486" t="s">
        <v>275</v>
      </c>
      <c r="I1486" t="str">
        <f>INDEX(State!B:B,MATCH(OrdersTable[[#This Row],[State]],State!A:A,0))</f>
        <v>AP</v>
      </c>
      <c r="J1486" t="str">
        <f>INDEX(State!C:C,MATCH(OrdersTable[[#This Row],[State Code]],State!B:B,0))</f>
        <v>South</v>
      </c>
      <c r="K1486" t="s">
        <v>276</v>
      </c>
      <c r="L1486" t="s">
        <v>23</v>
      </c>
      <c r="M1486" t="s">
        <v>73</v>
      </c>
      <c r="N1486" t="str">
        <f>INDEX(Products!B:B,MATCH(OrdersTable[[#This Row],[Product ID]],Products!A:A,0))</f>
        <v>Hydrating Face Wash</v>
      </c>
      <c r="O1486" t="str">
        <f>INDEX(Products!C:C,MATCH(OrdersTable[[#This Row],[Product ID]],Products!A:A,0))</f>
        <v>Skincare</v>
      </c>
      <c r="P1486">
        <v>1</v>
      </c>
      <c r="Q1486" s="5">
        <v>299</v>
      </c>
      <c r="R1486" s="74">
        <v>0.2</v>
      </c>
      <c r="S1486" s="75">
        <f>OrdersTable[[#This Row],[Quantity]]*OrdersTable[[#This Row],[Unit Price]]</f>
        <v>299</v>
      </c>
      <c r="T1486" s="5">
        <f>OrdersTable[[#This Row],[Gross Sale]]*OrdersTable[[#This Row],[Discount_Clean2]]</f>
        <v>59.800000000000004</v>
      </c>
      <c r="U1486" s="5">
        <f>OrdersTable[[#This Row],[Gross Sale]]-OrdersTable[[#This Row],[Discount Amount]]</f>
        <v>239.2</v>
      </c>
      <c r="V1486" s="77">
        <f>INDEX(Products!E:E,MATCH(OrdersTable[[#This Row],[Product ID]],Products!A:A,0))</f>
        <v>90</v>
      </c>
      <c r="W1486" s="77">
        <f>OrdersTable[[#This Row],[Quantity]]*OrdersTable[[#This Row],[Unit Cost]]</f>
        <v>90</v>
      </c>
      <c r="X1486" s="77">
        <f>'Dropdown Lists'!$I$2*(1+OrdersTable[[#This Row],[Returned]])</f>
        <v>60</v>
      </c>
      <c r="Y1486" s="76">
        <f>OrdersTable[[#This Row],[Net Revenue]]-OrdersTable[[#This Row],[COGS]]-OrdersTable[[#This Row],[Shipping Cost]]</f>
        <v>89.199999999999989</v>
      </c>
      <c r="Z1486" s="78">
        <f>IFERROR(OrdersTable[[#This Row],[Profit]]/OrdersTable[[#This Row],[Net Revenue]],0)</f>
        <v>0.37290969899665549</v>
      </c>
      <c r="AA1486" t="s">
        <v>18</v>
      </c>
      <c r="AB1486" s="79">
        <v>45577</v>
      </c>
      <c r="AC1486">
        <f>OrdersTable[[#This Row],[Delivery Date]]-OrdersTable[[#This Row],[Order Date]]</f>
        <v>2</v>
      </c>
      <c r="AD1486" t="str">
        <f>IF(OrdersTable[[#This Row],[Delivery Days]]&lt;=2, "Express (≤2d)", IF(OrdersTable[[#This Row],[Delivery Days]]&lt;=4, "Standard (3-4d)", "Delayed (5d+)"))</f>
        <v>Express (≤2d)</v>
      </c>
      <c r="AF1486">
        <v>0</v>
      </c>
    </row>
    <row r="1487" spans="1:32" ht="15" x14ac:dyDescent="0.35">
      <c r="A1487" t="s">
        <v>2743</v>
      </c>
      <c r="B1487" s="1">
        <v>45575</v>
      </c>
      <c r="C1487">
        <f>YEAR(OrdersTable[[#This Row],[Order Date]])</f>
        <v>2024</v>
      </c>
      <c r="D1487" s="2">
        <f>DATE(YEAR(OrdersTable[[#This Row],[Order Date]]),MONTH(OrdersTable[[#This Row],[Order Date]]),1)</f>
        <v>45566</v>
      </c>
      <c r="E1487">
        <f>MONTH(OrdersTable[[#This Row],[Order Date]])</f>
        <v>10</v>
      </c>
      <c r="F1487" t="s">
        <v>2744</v>
      </c>
      <c r="G1487" t="str">
        <f>IF(OrdersTable[[#This Row],[Order Date]]=_xlfn.MINIFS(Order_Date, Customer_ID, OrdersTable[[#This Row],[Customer ID]]), "New", "Repeat")</f>
        <v>Repeat</v>
      </c>
      <c r="H1487" t="s">
        <v>316</v>
      </c>
      <c r="I1487" t="str">
        <f>INDEX(State!B:B,MATCH(OrdersTable[[#This Row],[State]],State!A:A,0))</f>
        <v>KL</v>
      </c>
      <c r="J1487" t="str">
        <f>INDEX(State!C:C,MATCH(OrdersTable[[#This Row],[State Code]],State!B:B,0))</f>
        <v>South</v>
      </c>
      <c r="K1487" t="s">
        <v>317</v>
      </c>
      <c r="L1487" t="s">
        <v>16</v>
      </c>
      <c r="M1487" t="s">
        <v>576</v>
      </c>
      <c r="N1487" t="str">
        <f>INDEX(Products!B:B,MATCH(OrdersTable[[#This Row],[Product ID]],Products!A:A,0))</f>
        <v>Printed Saree</v>
      </c>
      <c r="O1487" t="str">
        <f>INDEX(Products!C:C,MATCH(OrdersTable[[#This Row],[Product ID]],Products!A:A,0))</f>
        <v>Apparel</v>
      </c>
      <c r="P1487">
        <v>1</v>
      </c>
      <c r="Q1487" s="5">
        <v>1999</v>
      </c>
      <c r="R1487" s="74">
        <v>0.15</v>
      </c>
      <c r="S1487" s="75">
        <f>OrdersTable[[#This Row],[Quantity]]*OrdersTable[[#This Row],[Unit Price]]</f>
        <v>1999</v>
      </c>
      <c r="T1487" s="5">
        <f>OrdersTable[[#This Row],[Gross Sale]]*OrdersTable[[#This Row],[Discount_Clean2]]</f>
        <v>299.84999999999997</v>
      </c>
      <c r="U1487" s="5">
        <f>OrdersTable[[#This Row],[Gross Sale]]-OrdersTable[[#This Row],[Discount Amount]]</f>
        <v>1699.15</v>
      </c>
      <c r="V1487" s="77">
        <f>INDEX(Products!E:E,MATCH(OrdersTable[[#This Row],[Product ID]],Products!A:A,0))</f>
        <v>880</v>
      </c>
      <c r="W1487" s="77">
        <f>OrdersTable[[#This Row],[Quantity]]*OrdersTable[[#This Row],[Unit Cost]]</f>
        <v>880</v>
      </c>
      <c r="X1487" s="77">
        <f>'Dropdown Lists'!$I$2*(1+OrdersTable[[#This Row],[Returned]])</f>
        <v>120</v>
      </c>
      <c r="Y1487" s="76">
        <f>OrdersTable[[#This Row],[Net Revenue]]-OrdersTable[[#This Row],[COGS]]-OrdersTable[[#This Row],[Shipping Cost]]</f>
        <v>699.15000000000009</v>
      </c>
      <c r="Z1487" s="78">
        <f>IFERROR(OrdersTable[[#This Row],[Profit]]/OrdersTable[[#This Row],[Net Revenue]],0)</f>
        <v>0.41147044110290443</v>
      </c>
      <c r="AA1487" t="s">
        <v>2522</v>
      </c>
      <c r="AB1487" s="79">
        <v>45579</v>
      </c>
      <c r="AC1487">
        <f>OrdersTable[[#This Row],[Delivery Date]]-OrdersTable[[#This Row],[Order Date]]</f>
        <v>4</v>
      </c>
      <c r="AD1487" t="str">
        <f>IF(OrdersTable[[#This Row],[Delivery Days]]&lt;=2, "Express (≤2d)", IF(OrdersTable[[#This Row],[Delivery Days]]&lt;=4, "Standard (3-4d)", "Delayed (5d+)"))</f>
        <v>Standard (3-4d)</v>
      </c>
      <c r="AE1487">
        <v>3</v>
      </c>
      <c r="AF1487">
        <v>1</v>
      </c>
    </row>
    <row r="1488" spans="1:32" ht="15" x14ac:dyDescent="0.35">
      <c r="A1488" t="s">
        <v>4937</v>
      </c>
      <c r="B1488" s="1">
        <v>45576</v>
      </c>
      <c r="C1488">
        <f>YEAR(OrdersTable[[#This Row],[Order Date]])</f>
        <v>2024</v>
      </c>
      <c r="D1488" s="2">
        <f>DATE(YEAR(OrdersTable[[#This Row],[Order Date]]),MONTH(OrdersTable[[#This Row],[Order Date]]),1)</f>
        <v>45566</v>
      </c>
      <c r="E1488">
        <f>MONTH(OrdersTable[[#This Row],[Order Date]])</f>
        <v>10</v>
      </c>
      <c r="F1488" t="s">
        <v>1422</v>
      </c>
      <c r="G1488" t="str">
        <f>IF(OrdersTable[[#This Row],[Order Date]]=_xlfn.MINIFS(Order_Date, Customer_ID, OrdersTable[[#This Row],[Customer ID]]), "New", "Repeat")</f>
        <v>New</v>
      </c>
      <c r="H1488" t="s">
        <v>184</v>
      </c>
      <c r="I1488" t="str">
        <f>INDEX(State!B:B,MATCH(OrdersTable[[#This Row],[State]],State!A:A,0))</f>
        <v>UK</v>
      </c>
      <c r="J1488" t="str">
        <f>INDEX(State!C:C,MATCH(OrdersTable[[#This Row],[State Code]],State!B:B,0))</f>
        <v>North</v>
      </c>
      <c r="K1488" t="s">
        <v>185</v>
      </c>
      <c r="L1488" t="s">
        <v>16</v>
      </c>
      <c r="M1488" t="s">
        <v>255</v>
      </c>
      <c r="N1488" t="str">
        <f>INDEX(Products!B:B,MATCH(OrdersTable[[#This Row],[Product ID]],Products!A:A,0))</f>
        <v>Cotton Oversized T-Shirt</v>
      </c>
      <c r="O1488" t="str">
        <f>INDEX(Products!C:C,MATCH(OrdersTable[[#This Row],[Product ID]],Products!A:A,0))</f>
        <v>Apparel</v>
      </c>
      <c r="P1488">
        <v>2</v>
      </c>
      <c r="Q1488" s="5">
        <v>799</v>
      </c>
      <c r="R1488" s="74">
        <v>0.05</v>
      </c>
      <c r="S1488" s="75">
        <f>OrdersTable[[#This Row],[Quantity]]*OrdersTable[[#This Row],[Unit Price]]</f>
        <v>1598</v>
      </c>
      <c r="T1488" s="5">
        <f>OrdersTable[[#This Row],[Gross Sale]]*OrdersTable[[#This Row],[Discount_Clean2]]</f>
        <v>79.900000000000006</v>
      </c>
      <c r="U1488" s="5">
        <f>OrdersTable[[#This Row],[Gross Sale]]-OrdersTable[[#This Row],[Discount Amount]]</f>
        <v>1518.1</v>
      </c>
      <c r="V1488" s="77">
        <f>INDEX(Products!E:E,MATCH(OrdersTable[[#This Row],[Product ID]],Products!A:A,0))</f>
        <v>320</v>
      </c>
      <c r="W1488" s="77">
        <f>OrdersTable[[#This Row],[Quantity]]*OrdersTable[[#This Row],[Unit Cost]]</f>
        <v>640</v>
      </c>
      <c r="X1488" s="77">
        <f>'Dropdown Lists'!$I$2*(1+OrdersTable[[#This Row],[Returned]])</f>
        <v>60</v>
      </c>
      <c r="Y1488" s="76">
        <f>OrdersTable[[#This Row],[Net Revenue]]-OrdersTable[[#This Row],[COGS]]-OrdersTable[[#This Row],[Shipping Cost]]</f>
        <v>818.09999999999991</v>
      </c>
      <c r="Z1488" s="78">
        <f>IFERROR(OrdersTable[[#This Row],[Profit]]/OrdersTable[[#This Row],[Net Revenue]],0)</f>
        <v>0.5388973058428298</v>
      </c>
      <c r="AA1488" t="s">
        <v>4074</v>
      </c>
      <c r="AB1488" s="79">
        <v>45584</v>
      </c>
      <c r="AC1488">
        <f>OrdersTable[[#This Row],[Delivery Date]]-OrdersTable[[#This Row],[Order Date]]</f>
        <v>8</v>
      </c>
      <c r="AD1488" t="str">
        <f>IF(OrdersTable[[#This Row],[Delivery Days]]&lt;=2, "Express (≤2d)", IF(OrdersTable[[#This Row],[Delivery Days]]&lt;=4, "Standard (3-4d)", "Delayed (5d+)"))</f>
        <v>Delayed (5d+)</v>
      </c>
      <c r="AE1488">
        <v>2</v>
      </c>
      <c r="AF1488">
        <v>0</v>
      </c>
    </row>
    <row r="1489" spans="1:32" ht="15" x14ac:dyDescent="0.35">
      <c r="A1489" t="s">
        <v>4364</v>
      </c>
      <c r="B1489" s="1">
        <v>45576</v>
      </c>
      <c r="C1489">
        <f>YEAR(OrdersTable[[#This Row],[Order Date]])</f>
        <v>2024</v>
      </c>
      <c r="D1489" s="2">
        <f>DATE(YEAR(OrdersTable[[#This Row],[Order Date]]),MONTH(OrdersTable[[#This Row],[Order Date]]),1)</f>
        <v>45566</v>
      </c>
      <c r="E1489">
        <f>MONTH(OrdersTable[[#This Row],[Order Date]])</f>
        <v>10</v>
      </c>
      <c r="F1489" t="s">
        <v>4313</v>
      </c>
      <c r="G1489" t="str">
        <f>IF(OrdersTable[[#This Row],[Order Date]]=_xlfn.MINIFS(Order_Date, Customer_ID, OrdersTable[[#This Row],[Customer ID]]), "New", "Repeat")</f>
        <v>New</v>
      </c>
      <c r="H1489" t="s">
        <v>128</v>
      </c>
      <c r="I1489" t="str">
        <f>INDEX(State!B:B,MATCH(OrdersTable[[#This Row],[State]],State!A:A,0))</f>
        <v>DL</v>
      </c>
      <c r="J1489" t="str">
        <f>INDEX(State!C:C,MATCH(OrdersTable[[#This Row],[State Code]],State!B:B,0))</f>
        <v>North</v>
      </c>
      <c r="K1489" t="s">
        <v>129</v>
      </c>
      <c r="L1489" t="s">
        <v>23</v>
      </c>
      <c r="M1489" t="s">
        <v>106</v>
      </c>
      <c r="N1489" t="str">
        <f>INDEX(Products!B:B,MATCH(OrdersTable[[#This Row],[Product ID]],Products!A:A,0))</f>
        <v>Keratin Hair Mask</v>
      </c>
      <c r="O1489" t="str">
        <f>INDEX(Products!C:C,MATCH(OrdersTable[[#This Row],[Product ID]],Products!A:A,0))</f>
        <v>Haircare</v>
      </c>
      <c r="P1489">
        <v>1</v>
      </c>
      <c r="Q1489" s="5">
        <v>549</v>
      </c>
      <c r="R1489" s="74">
        <v>0.2</v>
      </c>
      <c r="S1489" s="75">
        <f>OrdersTable[[#This Row],[Quantity]]*OrdersTable[[#This Row],[Unit Price]]</f>
        <v>549</v>
      </c>
      <c r="T1489" s="5">
        <f>OrdersTable[[#This Row],[Gross Sale]]*OrdersTable[[#This Row],[Discount_Clean2]]</f>
        <v>109.80000000000001</v>
      </c>
      <c r="U1489" s="5">
        <f>OrdersTable[[#This Row],[Gross Sale]]-OrdersTable[[#This Row],[Discount Amount]]</f>
        <v>439.2</v>
      </c>
      <c r="V1489" s="77">
        <f>INDEX(Products!E:E,MATCH(OrdersTable[[#This Row],[Product ID]],Products!A:A,0))</f>
        <v>170</v>
      </c>
      <c r="W1489" s="77">
        <f>OrdersTable[[#This Row],[Quantity]]*OrdersTable[[#This Row],[Unit Cost]]</f>
        <v>170</v>
      </c>
      <c r="X1489" s="77">
        <f>'Dropdown Lists'!$I$2*(1+OrdersTable[[#This Row],[Returned]])</f>
        <v>60</v>
      </c>
      <c r="Y1489" s="76">
        <f>OrdersTable[[#This Row],[Net Revenue]]-OrdersTable[[#This Row],[COGS]]-OrdersTable[[#This Row],[Shipping Cost]]</f>
        <v>209.2</v>
      </c>
      <c r="Z1489" s="78">
        <f>IFERROR(OrdersTable[[#This Row],[Profit]]/OrdersTable[[#This Row],[Net Revenue]],0)</f>
        <v>0.47632058287795992</v>
      </c>
      <c r="AA1489" t="s">
        <v>4074</v>
      </c>
      <c r="AB1489" s="79">
        <v>45578</v>
      </c>
      <c r="AC1489">
        <f>OrdersTable[[#This Row],[Delivery Date]]-OrdersTable[[#This Row],[Order Date]]</f>
        <v>2</v>
      </c>
      <c r="AD1489" t="str">
        <f>IF(OrdersTable[[#This Row],[Delivery Days]]&lt;=2, "Express (≤2d)", IF(OrdersTable[[#This Row],[Delivery Days]]&lt;=4, "Standard (3-4d)", "Delayed (5d+)"))</f>
        <v>Express (≤2d)</v>
      </c>
      <c r="AE1489">
        <v>4</v>
      </c>
      <c r="AF1489">
        <v>0</v>
      </c>
    </row>
    <row r="1490" spans="1:32" ht="15" x14ac:dyDescent="0.35">
      <c r="A1490" t="s">
        <v>6774</v>
      </c>
      <c r="B1490" s="1">
        <v>45576</v>
      </c>
      <c r="C1490">
        <f>YEAR(OrdersTable[[#This Row],[Order Date]])</f>
        <v>2024</v>
      </c>
      <c r="D1490" s="2">
        <f>DATE(YEAR(OrdersTable[[#This Row],[Order Date]]),MONTH(OrdersTable[[#This Row],[Order Date]]),1)</f>
        <v>45566</v>
      </c>
      <c r="E1490">
        <f>MONTH(OrdersTable[[#This Row],[Order Date]])</f>
        <v>10</v>
      </c>
      <c r="F1490" t="s">
        <v>6775</v>
      </c>
      <c r="G1490" t="str">
        <f>IF(OrdersTable[[#This Row],[Order Date]]=_xlfn.MINIFS(Order_Date, Customer_ID, OrdersTable[[#This Row],[Customer ID]]), "New", "Repeat")</f>
        <v>New</v>
      </c>
      <c r="H1490" t="s">
        <v>76</v>
      </c>
      <c r="I1490" t="str">
        <f>INDEX(State!B:B,MATCH(OrdersTable[[#This Row],[State]],State!A:A,0))</f>
        <v>UP</v>
      </c>
      <c r="J1490" t="str">
        <f>INDEX(State!C:C,MATCH(OrdersTable[[#This Row],[State Code]],State!B:B,0))</f>
        <v>North</v>
      </c>
      <c r="K1490" t="s">
        <v>105</v>
      </c>
      <c r="L1490" t="s">
        <v>65</v>
      </c>
      <c r="M1490" t="s">
        <v>148</v>
      </c>
      <c r="N1490" t="str">
        <f>INDEX(Products!B:B,MATCH(OrdersTable[[#This Row],[Product ID]],Products!A:A,0))</f>
        <v>Smartwatch Strap</v>
      </c>
      <c r="O1490" t="str">
        <f>INDEX(Products!C:C,MATCH(OrdersTable[[#This Row],[Product ID]],Products!A:A,0))</f>
        <v>Electronics</v>
      </c>
      <c r="P1490">
        <v>3</v>
      </c>
      <c r="Q1490" s="5">
        <v>499</v>
      </c>
      <c r="R1490" s="74">
        <v>0.4</v>
      </c>
      <c r="S1490" s="75">
        <f>OrdersTable[[#This Row],[Quantity]]*OrdersTable[[#This Row],[Unit Price]]</f>
        <v>1497</v>
      </c>
      <c r="T1490" s="5">
        <f>OrdersTable[[#This Row],[Gross Sale]]*OrdersTable[[#This Row],[Discount_Clean2]]</f>
        <v>598.80000000000007</v>
      </c>
      <c r="U1490" s="5">
        <f>OrdersTable[[#This Row],[Gross Sale]]-OrdersTable[[#This Row],[Discount Amount]]</f>
        <v>898.19999999999993</v>
      </c>
      <c r="V1490" s="77">
        <f>INDEX(Products!E:E,MATCH(OrdersTable[[#This Row],[Product ID]],Products!A:A,0))</f>
        <v>200</v>
      </c>
      <c r="W1490" s="77">
        <f>OrdersTable[[#This Row],[Quantity]]*OrdersTable[[#This Row],[Unit Cost]]</f>
        <v>600</v>
      </c>
      <c r="X1490" s="77">
        <f>'Dropdown Lists'!$I$2*(1+OrdersTable[[#This Row],[Returned]])</f>
        <v>60</v>
      </c>
      <c r="Y1490" s="76">
        <f>OrdersTable[[#This Row],[Net Revenue]]-OrdersTable[[#This Row],[COGS]]-OrdersTable[[#This Row],[Shipping Cost]]</f>
        <v>238.19999999999993</v>
      </c>
      <c r="Z1490" s="78">
        <f>IFERROR(OrdersTable[[#This Row],[Profit]]/OrdersTable[[#This Row],[Net Revenue]],0)</f>
        <v>0.26519706078824312</v>
      </c>
      <c r="AA1490" t="s">
        <v>3495</v>
      </c>
      <c r="AB1490" s="79">
        <v>45582</v>
      </c>
      <c r="AC1490">
        <f>OrdersTable[[#This Row],[Delivery Date]]-OrdersTable[[#This Row],[Order Date]]</f>
        <v>6</v>
      </c>
      <c r="AD1490" t="str">
        <f>IF(OrdersTable[[#This Row],[Delivery Days]]&lt;=2, "Express (≤2d)", IF(OrdersTable[[#This Row],[Delivery Days]]&lt;=4, "Standard (3-4d)", "Delayed (5d+)"))</f>
        <v>Delayed (5d+)</v>
      </c>
      <c r="AE1490">
        <v>3</v>
      </c>
      <c r="AF1490">
        <v>0</v>
      </c>
    </row>
    <row r="1491" spans="1:32" ht="15" x14ac:dyDescent="0.35">
      <c r="A1491" t="s">
        <v>3872</v>
      </c>
      <c r="B1491" s="1">
        <v>45576</v>
      </c>
      <c r="C1491">
        <f>YEAR(OrdersTable[[#This Row],[Order Date]])</f>
        <v>2024</v>
      </c>
      <c r="D1491" s="2">
        <f>DATE(YEAR(OrdersTable[[#This Row],[Order Date]]),MONTH(OrdersTable[[#This Row],[Order Date]]),1)</f>
        <v>45566</v>
      </c>
      <c r="E1491">
        <f>MONTH(OrdersTable[[#This Row],[Order Date]])</f>
        <v>10</v>
      </c>
      <c r="F1491" t="s">
        <v>905</v>
      </c>
      <c r="G1491" t="str">
        <f>IF(OrdersTable[[#This Row],[Order Date]]=_xlfn.MINIFS(Order_Date, Customer_ID, OrdersTable[[#This Row],[Customer ID]]), "New", "Repeat")</f>
        <v>Repeat</v>
      </c>
      <c r="H1491" t="s">
        <v>32</v>
      </c>
      <c r="I1491" t="str">
        <f>INDEX(State!B:B,MATCH(OrdersTable[[#This Row],[State]],State!A:A,0))</f>
        <v>BR</v>
      </c>
      <c r="J1491" t="str">
        <f>INDEX(State!C:C,MATCH(OrdersTable[[#This Row],[State Code]],State!B:B,0))</f>
        <v>East</v>
      </c>
      <c r="K1491" t="s">
        <v>33</v>
      </c>
      <c r="L1491" t="s">
        <v>65</v>
      </c>
      <c r="M1491" t="s">
        <v>40</v>
      </c>
      <c r="N1491" t="str">
        <f>INDEX(Products!B:B,MATCH(OrdersTable[[#This Row],[Product ID]],Products!A:A,0))</f>
        <v>Ashwagandha Capsules</v>
      </c>
      <c r="O1491" t="str">
        <f>INDEX(Products!C:C,MATCH(OrdersTable[[#This Row],[Product ID]],Products!A:A,0))</f>
        <v>Wellness</v>
      </c>
      <c r="P1491">
        <v>1</v>
      </c>
      <c r="Q1491" s="5">
        <v>499</v>
      </c>
      <c r="R1491" s="74">
        <v>0.05</v>
      </c>
      <c r="S1491" s="75">
        <f>OrdersTable[[#This Row],[Quantity]]*OrdersTable[[#This Row],[Unit Price]]</f>
        <v>499</v>
      </c>
      <c r="T1491" s="5">
        <f>OrdersTable[[#This Row],[Gross Sale]]*OrdersTable[[#This Row],[Discount_Clean2]]</f>
        <v>24.950000000000003</v>
      </c>
      <c r="U1491" s="5">
        <f>OrdersTable[[#This Row],[Gross Sale]]-OrdersTable[[#This Row],[Discount Amount]]</f>
        <v>474.05</v>
      </c>
      <c r="V1491" s="77">
        <f>INDEX(Products!E:E,MATCH(OrdersTable[[#This Row],[Product ID]],Products!A:A,0))</f>
        <v>150</v>
      </c>
      <c r="W1491" s="77">
        <f>OrdersTable[[#This Row],[Quantity]]*OrdersTable[[#This Row],[Unit Cost]]</f>
        <v>150</v>
      </c>
      <c r="X1491" s="77">
        <f>'Dropdown Lists'!$I$2*(1+OrdersTable[[#This Row],[Returned]])</f>
        <v>60</v>
      </c>
      <c r="Y1491" s="76">
        <f>OrdersTable[[#This Row],[Net Revenue]]-OrdersTable[[#This Row],[COGS]]-OrdersTable[[#This Row],[Shipping Cost]]</f>
        <v>264.05</v>
      </c>
      <c r="Z1491" s="78">
        <f>IFERROR(OrdersTable[[#This Row],[Profit]]/OrdersTable[[#This Row],[Net Revenue]],0)</f>
        <v>0.55700875435080688</v>
      </c>
      <c r="AA1491" t="s">
        <v>3495</v>
      </c>
      <c r="AB1491" s="79">
        <v>45582</v>
      </c>
      <c r="AC1491">
        <f>OrdersTable[[#This Row],[Delivery Date]]-OrdersTable[[#This Row],[Order Date]]</f>
        <v>6</v>
      </c>
      <c r="AD1491" t="str">
        <f>IF(OrdersTable[[#This Row],[Delivery Days]]&lt;=2, "Express (≤2d)", IF(OrdersTable[[#This Row],[Delivery Days]]&lt;=4, "Standard (3-4d)", "Delayed (5d+)"))</f>
        <v>Delayed (5d+)</v>
      </c>
      <c r="AE1491">
        <v>3</v>
      </c>
      <c r="AF1491">
        <v>0</v>
      </c>
    </row>
    <row r="1492" spans="1:32" ht="15" x14ac:dyDescent="0.35">
      <c r="A1492" t="s">
        <v>522</v>
      </c>
      <c r="B1492" s="1">
        <v>45576</v>
      </c>
      <c r="C1492">
        <f>YEAR(OrdersTable[[#This Row],[Order Date]])</f>
        <v>2024</v>
      </c>
      <c r="D1492" s="2">
        <f>DATE(YEAR(OrdersTable[[#This Row],[Order Date]]),MONTH(OrdersTable[[#This Row],[Order Date]]),1)</f>
        <v>45566</v>
      </c>
      <c r="E1492">
        <f>MONTH(OrdersTable[[#This Row],[Order Date]])</f>
        <v>10</v>
      </c>
      <c r="F1492" t="s">
        <v>523</v>
      </c>
      <c r="G1492" t="str">
        <f>IF(OrdersTable[[#This Row],[Order Date]]=_xlfn.MINIFS(Order_Date, Customer_ID, OrdersTable[[#This Row],[Customer ID]]), "New", "Repeat")</f>
        <v>New</v>
      </c>
      <c r="H1492" t="s">
        <v>37</v>
      </c>
      <c r="I1492" t="str">
        <f>INDEX(State!B:B,MATCH(OrdersTable[[#This Row],[State]],State!A:A,0))</f>
        <v>GJ</v>
      </c>
      <c r="J1492" t="str">
        <f>INDEX(State!C:C,MATCH(OrdersTable[[#This Row],[State Code]],State!B:B,0))</f>
        <v>West</v>
      </c>
      <c r="K1492" t="s">
        <v>247</v>
      </c>
      <c r="L1492" t="s">
        <v>65</v>
      </c>
      <c r="M1492" t="s">
        <v>56</v>
      </c>
      <c r="N1492" t="str">
        <f>INDEX(Products!B:B,MATCH(OrdersTable[[#This Row],[Product ID]],Products!A:A,0))</f>
        <v>Vitamin C Face Serum</v>
      </c>
      <c r="O1492" t="str">
        <f>INDEX(Products!C:C,MATCH(OrdersTable[[#This Row],[Product ID]],Products!A:A,0))</f>
        <v>Skincare</v>
      </c>
      <c r="P1492">
        <v>1</v>
      </c>
      <c r="Q1492" s="5">
        <v>599</v>
      </c>
      <c r="R1492" s="74">
        <v>0.3</v>
      </c>
      <c r="S1492" s="75">
        <f>OrdersTable[[#This Row],[Quantity]]*OrdersTable[[#This Row],[Unit Price]]</f>
        <v>599</v>
      </c>
      <c r="T1492" s="5">
        <f>OrdersTable[[#This Row],[Gross Sale]]*OrdersTable[[#This Row],[Discount_Clean2]]</f>
        <v>179.7</v>
      </c>
      <c r="U1492" s="5">
        <f>OrdersTable[[#This Row],[Gross Sale]]-OrdersTable[[#This Row],[Discount Amount]]</f>
        <v>419.3</v>
      </c>
      <c r="V1492" s="77">
        <f>INDEX(Products!E:E,MATCH(OrdersTable[[#This Row],[Product ID]],Products!A:A,0))</f>
        <v>180</v>
      </c>
      <c r="W1492" s="77">
        <f>OrdersTable[[#This Row],[Quantity]]*OrdersTable[[#This Row],[Unit Cost]]</f>
        <v>180</v>
      </c>
      <c r="X1492" s="77">
        <f>'Dropdown Lists'!$I$2*(1+OrdersTable[[#This Row],[Returned]])</f>
        <v>60</v>
      </c>
      <c r="Y1492" s="76">
        <f>OrdersTable[[#This Row],[Net Revenue]]-OrdersTable[[#This Row],[COGS]]-OrdersTable[[#This Row],[Shipping Cost]]</f>
        <v>179.3</v>
      </c>
      <c r="Z1492" s="78">
        <f>IFERROR(OrdersTable[[#This Row],[Profit]]/OrdersTable[[#This Row],[Net Revenue]],0)</f>
        <v>0.42761745766754117</v>
      </c>
      <c r="AA1492" t="s">
        <v>18</v>
      </c>
      <c r="AB1492" s="79">
        <v>45580</v>
      </c>
      <c r="AC1492">
        <f>OrdersTable[[#This Row],[Delivery Date]]-OrdersTable[[#This Row],[Order Date]]</f>
        <v>4</v>
      </c>
      <c r="AD1492" t="str">
        <f>IF(OrdersTable[[#This Row],[Delivery Days]]&lt;=2, "Express (≤2d)", IF(OrdersTable[[#This Row],[Delivery Days]]&lt;=4, "Standard (3-4d)", "Delayed (5d+)"))</f>
        <v>Standard (3-4d)</v>
      </c>
      <c r="AE1492">
        <v>4</v>
      </c>
      <c r="AF1492">
        <v>0</v>
      </c>
    </row>
    <row r="1493" spans="1:32" ht="15" x14ac:dyDescent="0.35">
      <c r="A1493" t="s">
        <v>2576</v>
      </c>
      <c r="B1493" s="1">
        <v>45576</v>
      </c>
      <c r="C1493">
        <f>YEAR(OrdersTable[[#This Row],[Order Date]])</f>
        <v>2024</v>
      </c>
      <c r="D1493" s="2">
        <f>DATE(YEAR(OrdersTable[[#This Row],[Order Date]]),MONTH(OrdersTable[[#This Row],[Order Date]]),1)</f>
        <v>45566</v>
      </c>
      <c r="E1493">
        <f>MONTH(OrdersTable[[#This Row],[Order Date]])</f>
        <v>10</v>
      </c>
      <c r="F1493" t="s">
        <v>2577</v>
      </c>
      <c r="G1493" t="str">
        <f>IF(OrdersTable[[#This Row],[Order Date]]=_xlfn.MINIFS(Order_Date, Customer_ID, OrdersTable[[#This Row],[Customer ID]]), "New", "Repeat")</f>
        <v>New</v>
      </c>
      <c r="H1493" t="s">
        <v>71</v>
      </c>
      <c r="I1493" t="str">
        <f>INDEX(State!B:B,MATCH(OrdersTable[[#This Row],[State]],State!A:A,0))</f>
        <v>MH</v>
      </c>
      <c r="J1493" t="str">
        <f>INDEX(State!C:C,MATCH(OrdersTable[[#This Row],[State Code]],State!B:B,0))</f>
        <v>West</v>
      </c>
      <c r="K1493" t="s">
        <v>102</v>
      </c>
      <c r="L1493" t="s">
        <v>23</v>
      </c>
      <c r="M1493" t="s">
        <v>109</v>
      </c>
      <c r="N1493" t="str">
        <f>INDEX(Products!B:B,MATCH(OrdersTable[[#This Row],[Product ID]],Products!A:A,0))</f>
        <v>Onion Hair Oil</v>
      </c>
      <c r="O1493" t="str">
        <f>INDEX(Products!C:C,MATCH(OrdersTable[[#This Row],[Product ID]],Products!A:A,0))</f>
        <v>Haircare</v>
      </c>
      <c r="P1493">
        <v>1</v>
      </c>
      <c r="Q1493" s="5">
        <v>349</v>
      </c>
      <c r="R1493" s="74">
        <v>0.35</v>
      </c>
      <c r="S1493" s="75">
        <f>OrdersTable[[#This Row],[Quantity]]*OrdersTable[[#This Row],[Unit Price]]</f>
        <v>349</v>
      </c>
      <c r="T1493" s="5">
        <f>OrdersTable[[#This Row],[Gross Sale]]*OrdersTable[[#This Row],[Discount_Clean2]]</f>
        <v>122.14999999999999</v>
      </c>
      <c r="U1493" s="5">
        <f>OrdersTable[[#This Row],[Gross Sale]]-OrdersTable[[#This Row],[Discount Amount]]</f>
        <v>226.85000000000002</v>
      </c>
      <c r="V1493" s="77">
        <f>INDEX(Products!E:E,MATCH(OrdersTable[[#This Row],[Product ID]],Products!A:A,0))</f>
        <v>105</v>
      </c>
      <c r="W1493" s="77">
        <f>OrdersTable[[#This Row],[Quantity]]*OrdersTable[[#This Row],[Unit Cost]]</f>
        <v>105</v>
      </c>
      <c r="X1493" s="77">
        <f>'Dropdown Lists'!$I$2*(1+OrdersTable[[#This Row],[Returned]])</f>
        <v>60</v>
      </c>
      <c r="Y1493" s="76">
        <f>OrdersTable[[#This Row],[Net Revenue]]-OrdersTable[[#This Row],[COGS]]-OrdersTable[[#This Row],[Shipping Cost]]</f>
        <v>61.850000000000023</v>
      </c>
      <c r="Z1493" s="78">
        <f>IFERROR(OrdersTable[[#This Row],[Profit]]/OrdersTable[[#This Row],[Net Revenue]],0)</f>
        <v>0.27264712364998905</v>
      </c>
      <c r="AA1493" t="s">
        <v>2522</v>
      </c>
      <c r="AB1493" s="79">
        <v>45580</v>
      </c>
      <c r="AC1493">
        <f>OrdersTable[[#This Row],[Delivery Date]]-OrdersTable[[#This Row],[Order Date]]</f>
        <v>4</v>
      </c>
      <c r="AD1493" t="str">
        <f>IF(OrdersTable[[#This Row],[Delivery Days]]&lt;=2, "Express (≤2d)", IF(OrdersTable[[#This Row],[Delivery Days]]&lt;=4, "Standard (3-4d)", "Delayed (5d+)"))</f>
        <v>Standard (3-4d)</v>
      </c>
      <c r="AE1493">
        <v>5</v>
      </c>
      <c r="AF1493">
        <v>0</v>
      </c>
    </row>
    <row r="1494" spans="1:32" ht="15" x14ac:dyDescent="0.35">
      <c r="A1494" t="s">
        <v>3217</v>
      </c>
      <c r="B1494" s="1">
        <v>45576</v>
      </c>
      <c r="C1494">
        <f>YEAR(OrdersTable[[#This Row],[Order Date]])</f>
        <v>2024</v>
      </c>
      <c r="D1494" s="2">
        <f>DATE(YEAR(OrdersTable[[#This Row],[Order Date]]),MONTH(OrdersTable[[#This Row],[Order Date]]),1)</f>
        <v>45566</v>
      </c>
      <c r="E1494">
        <f>MONTH(OrdersTable[[#This Row],[Order Date]])</f>
        <v>10</v>
      </c>
      <c r="F1494" t="s">
        <v>1137</v>
      </c>
      <c r="G1494" t="str">
        <f>IF(OrdersTable[[#This Row],[Order Date]]=_xlfn.MINIFS(Order_Date, Customer_ID, OrdersTable[[#This Row],[Customer ID]]), "New", "Repeat")</f>
        <v>Repeat</v>
      </c>
      <c r="H1494" t="s">
        <v>59</v>
      </c>
      <c r="I1494" t="str">
        <f>INDEX(State!B:B,MATCH(OrdersTable[[#This Row],[State]],State!A:A,0))</f>
        <v>TN</v>
      </c>
      <c r="J1494" t="str">
        <f>INDEX(State!C:C,MATCH(OrdersTable[[#This Row],[State Code]],State!B:B,0))</f>
        <v>South</v>
      </c>
      <c r="K1494" t="s">
        <v>60</v>
      </c>
      <c r="L1494" t="s">
        <v>39</v>
      </c>
      <c r="M1494" t="s">
        <v>61</v>
      </c>
      <c r="N1494" t="str">
        <f>INDEX(Products!B:B,MATCH(OrdersTable[[#This Row],[Product ID]],Products!A:A,0))</f>
        <v>Multivitamin Gummies</v>
      </c>
      <c r="O1494" t="str">
        <f>INDEX(Products!C:C,MATCH(OrdersTable[[#This Row],[Product ID]],Products!A:A,0))</f>
        <v>Wellness</v>
      </c>
      <c r="P1494">
        <v>1</v>
      </c>
      <c r="Q1494" s="5">
        <v>699</v>
      </c>
      <c r="R1494" s="74">
        <v>0.25</v>
      </c>
      <c r="S1494" s="75">
        <f>OrdersTable[[#This Row],[Quantity]]*OrdersTable[[#This Row],[Unit Price]]</f>
        <v>699</v>
      </c>
      <c r="T1494" s="5">
        <f>OrdersTable[[#This Row],[Gross Sale]]*OrdersTable[[#This Row],[Discount_Clean2]]</f>
        <v>174.75</v>
      </c>
      <c r="U1494" s="5">
        <f>OrdersTable[[#This Row],[Gross Sale]]-OrdersTable[[#This Row],[Discount Amount]]</f>
        <v>524.25</v>
      </c>
      <c r="V1494" s="77">
        <f>INDEX(Products!E:E,MATCH(OrdersTable[[#This Row],[Product ID]],Products!A:A,0))</f>
        <v>238</v>
      </c>
      <c r="W1494" s="77">
        <f>OrdersTable[[#This Row],[Quantity]]*OrdersTable[[#This Row],[Unit Cost]]</f>
        <v>238</v>
      </c>
      <c r="X1494" s="77">
        <f>'Dropdown Lists'!$I$2*(1+OrdersTable[[#This Row],[Returned]])</f>
        <v>60</v>
      </c>
      <c r="Y1494" s="76">
        <f>OrdersTable[[#This Row],[Net Revenue]]-OrdersTable[[#This Row],[COGS]]-OrdersTable[[#This Row],[Shipping Cost]]</f>
        <v>226.25</v>
      </c>
      <c r="Z1494" s="78">
        <f>IFERROR(OrdersTable[[#This Row],[Profit]]/OrdersTable[[#This Row],[Net Revenue]],0)</f>
        <v>0.43156890796375774</v>
      </c>
      <c r="AA1494" t="s">
        <v>2522</v>
      </c>
      <c r="AB1494" s="79">
        <v>45580</v>
      </c>
      <c r="AC1494">
        <f>OrdersTable[[#This Row],[Delivery Date]]-OrdersTable[[#This Row],[Order Date]]</f>
        <v>4</v>
      </c>
      <c r="AD1494" t="str">
        <f>IF(OrdersTable[[#This Row],[Delivery Days]]&lt;=2, "Express (≤2d)", IF(OrdersTable[[#This Row],[Delivery Days]]&lt;=4, "Standard (3-4d)", "Delayed (5d+)"))</f>
        <v>Standard (3-4d)</v>
      </c>
      <c r="AE1494">
        <v>4</v>
      </c>
      <c r="AF1494">
        <v>0</v>
      </c>
    </row>
    <row r="1495" spans="1:32" ht="15" x14ac:dyDescent="0.35">
      <c r="A1495" t="s">
        <v>4677</v>
      </c>
      <c r="B1495" s="1">
        <v>45576</v>
      </c>
      <c r="C1495">
        <f>YEAR(OrdersTable[[#This Row],[Order Date]])</f>
        <v>2024</v>
      </c>
      <c r="D1495" s="2">
        <f>DATE(YEAR(OrdersTable[[#This Row],[Order Date]]),MONTH(OrdersTable[[#This Row],[Order Date]]),1)</f>
        <v>45566</v>
      </c>
      <c r="E1495">
        <f>MONTH(OrdersTable[[#This Row],[Order Date]])</f>
        <v>10</v>
      </c>
      <c r="F1495" t="s">
        <v>4678</v>
      </c>
      <c r="G1495" t="str">
        <f>IF(OrdersTable[[#This Row],[Order Date]]=_xlfn.MINIFS(Order_Date, Customer_ID, OrdersTable[[#This Row],[Customer ID]]), "New", "Repeat")</f>
        <v>New</v>
      </c>
      <c r="H1495" t="s">
        <v>59</v>
      </c>
      <c r="I1495" t="str">
        <f>INDEX(State!B:B,MATCH(OrdersTable[[#This Row],[State]],State!A:A,0))</f>
        <v>TN</v>
      </c>
      <c r="J1495" t="str">
        <f>INDEX(State!C:C,MATCH(OrdersTable[[#This Row],[State Code]],State!B:B,0))</f>
        <v>South</v>
      </c>
      <c r="K1495" t="s">
        <v>60</v>
      </c>
      <c r="L1495" t="s">
        <v>39</v>
      </c>
      <c r="M1495" t="s">
        <v>34</v>
      </c>
      <c r="N1495" t="str">
        <f>INDEX(Products!B:B,MATCH(OrdersTable[[#This Row],[Product ID]],Products!A:A,0))</f>
        <v>Flip Flops</v>
      </c>
      <c r="O1495" t="str">
        <f>INDEX(Products!C:C,MATCH(OrdersTable[[#This Row],[Product ID]],Products!A:A,0))</f>
        <v>Footwear</v>
      </c>
      <c r="P1495">
        <v>1</v>
      </c>
      <c r="Q1495" s="5">
        <v>399</v>
      </c>
      <c r="R1495" s="74">
        <v>0.25</v>
      </c>
      <c r="S1495" s="75">
        <f>OrdersTable[[#This Row],[Quantity]]*OrdersTable[[#This Row],[Unit Price]]</f>
        <v>399</v>
      </c>
      <c r="T1495" s="5">
        <f>OrdersTable[[#This Row],[Gross Sale]]*OrdersTable[[#This Row],[Discount_Clean2]]</f>
        <v>99.75</v>
      </c>
      <c r="U1495" s="5">
        <f>OrdersTable[[#This Row],[Gross Sale]]-OrdersTable[[#This Row],[Discount Amount]]</f>
        <v>299.25</v>
      </c>
      <c r="V1495" s="77">
        <f>INDEX(Products!E:E,MATCH(OrdersTable[[#This Row],[Product ID]],Products!A:A,0))</f>
        <v>152</v>
      </c>
      <c r="W1495" s="77">
        <f>OrdersTable[[#This Row],[Quantity]]*OrdersTable[[#This Row],[Unit Cost]]</f>
        <v>152</v>
      </c>
      <c r="X1495" s="77">
        <f>'Dropdown Lists'!$I$2*(1+OrdersTable[[#This Row],[Returned]])</f>
        <v>60</v>
      </c>
      <c r="Y1495" s="76">
        <f>OrdersTable[[#This Row],[Net Revenue]]-OrdersTable[[#This Row],[COGS]]-OrdersTable[[#This Row],[Shipping Cost]]</f>
        <v>87.25</v>
      </c>
      <c r="Z1495" s="78">
        <f>IFERROR(OrdersTable[[#This Row],[Profit]]/OrdersTable[[#This Row],[Net Revenue]],0)</f>
        <v>0.29156223893065997</v>
      </c>
      <c r="AA1495" t="s">
        <v>4450</v>
      </c>
      <c r="AB1495" s="79">
        <v>45580</v>
      </c>
      <c r="AC1495">
        <f>OrdersTable[[#This Row],[Delivery Date]]-OrdersTable[[#This Row],[Order Date]]</f>
        <v>4</v>
      </c>
      <c r="AD1495" t="str">
        <f>IF(OrdersTable[[#This Row],[Delivery Days]]&lt;=2, "Express (≤2d)", IF(OrdersTable[[#This Row],[Delivery Days]]&lt;=4, "Standard (3-4d)", "Delayed (5d+)"))</f>
        <v>Standard (3-4d)</v>
      </c>
      <c r="AE1495">
        <v>3</v>
      </c>
      <c r="AF1495">
        <v>0</v>
      </c>
    </row>
    <row r="1496" spans="1:32" ht="15" x14ac:dyDescent="0.35">
      <c r="A1496" t="s">
        <v>4938</v>
      </c>
      <c r="B1496" s="1">
        <v>45577</v>
      </c>
      <c r="C1496">
        <f>YEAR(OrdersTable[[#This Row],[Order Date]])</f>
        <v>2024</v>
      </c>
      <c r="D1496" s="2">
        <f>DATE(YEAR(OrdersTable[[#This Row],[Order Date]]),MONTH(OrdersTable[[#This Row],[Order Date]]),1)</f>
        <v>45566</v>
      </c>
      <c r="E1496">
        <f>MONTH(OrdersTable[[#This Row],[Order Date]])</f>
        <v>10</v>
      </c>
      <c r="F1496" t="s">
        <v>4778</v>
      </c>
      <c r="G1496" t="str">
        <f>IF(OrdersTable[[#This Row],[Order Date]]=_xlfn.MINIFS(Order_Date, Customer_ID, OrdersTable[[#This Row],[Customer ID]]), "New", "Repeat")</f>
        <v>Repeat</v>
      </c>
      <c r="H1496" t="s">
        <v>76</v>
      </c>
      <c r="I1496" t="str">
        <f>INDEX(State!B:B,MATCH(OrdersTable[[#This Row],[State]],State!A:A,0))</f>
        <v>UP</v>
      </c>
      <c r="J1496" t="str">
        <f>INDEX(State!C:C,MATCH(OrdersTable[[#This Row],[State Code]],State!B:B,0))</f>
        <v>North</v>
      </c>
      <c r="K1496" t="s">
        <v>77</v>
      </c>
      <c r="L1496" t="s">
        <v>50</v>
      </c>
      <c r="M1496" t="s">
        <v>51</v>
      </c>
      <c r="N1496" t="str">
        <f>INDEX(Products!B:B,MATCH(OrdersTable[[#This Row],[Product ID]],Products!A:A,0))</f>
        <v>Anti-Dandruff Conditioner</v>
      </c>
      <c r="O1496" t="str">
        <f>INDEX(Products!C:C,MATCH(OrdersTable[[#This Row],[Product ID]],Products!A:A,0))</f>
        <v>Haircare</v>
      </c>
      <c r="P1496">
        <v>2</v>
      </c>
      <c r="Q1496" s="5">
        <v>399</v>
      </c>
      <c r="R1496" s="74">
        <v>0.5</v>
      </c>
      <c r="S1496" s="75">
        <f>OrdersTable[[#This Row],[Quantity]]*OrdersTable[[#This Row],[Unit Price]]</f>
        <v>798</v>
      </c>
      <c r="T1496" s="5">
        <f>OrdersTable[[#This Row],[Gross Sale]]*OrdersTable[[#This Row],[Discount_Clean2]]</f>
        <v>399</v>
      </c>
      <c r="U1496" s="5">
        <f>OrdersTable[[#This Row],[Gross Sale]]-OrdersTable[[#This Row],[Discount Amount]]</f>
        <v>399</v>
      </c>
      <c r="V1496" s="77">
        <f>INDEX(Products!E:E,MATCH(OrdersTable[[#This Row],[Product ID]],Products!A:A,0))</f>
        <v>136</v>
      </c>
      <c r="W1496" s="77">
        <f>OrdersTable[[#This Row],[Quantity]]*OrdersTable[[#This Row],[Unit Cost]]</f>
        <v>272</v>
      </c>
      <c r="X1496" s="77">
        <f>'Dropdown Lists'!$I$2*(1+OrdersTable[[#This Row],[Returned]])</f>
        <v>60</v>
      </c>
      <c r="Y1496" s="76">
        <f>OrdersTable[[#This Row],[Net Revenue]]-OrdersTable[[#This Row],[COGS]]-OrdersTable[[#This Row],[Shipping Cost]]</f>
        <v>67</v>
      </c>
      <c r="Z1496" s="78">
        <f>IFERROR(OrdersTable[[#This Row],[Profit]]/OrdersTable[[#This Row],[Net Revenue]],0)</f>
        <v>0.16791979949874686</v>
      </c>
      <c r="AA1496" t="s">
        <v>4074</v>
      </c>
      <c r="AB1496" s="79">
        <v>45582</v>
      </c>
      <c r="AC1496">
        <f>OrdersTable[[#This Row],[Delivery Date]]-OrdersTable[[#This Row],[Order Date]]</f>
        <v>5</v>
      </c>
      <c r="AD1496" t="str">
        <f>IF(OrdersTable[[#This Row],[Delivery Days]]&lt;=2, "Express (≤2d)", IF(OrdersTable[[#This Row],[Delivery Days]]&lt;=4, "Standard (3-4d)", "Delayed (5d+)"))</f>
        <v>Delayed (5d+)</v>
      </c>
      <c r="AE1496">
        <v>3</v>
      </c>
      <c r="AF1496">
        <v>0</v>
      </c>
    </row>
    <row r="1497" spans="1:32" ht="15" x14ac:dyDescent="0.35">
      <c r="A1497" t="s">
        <v>5123</v>
      </c>
      <c r="B1497" s="1">
        <v>45577</v>
      </c>
      <c r="C1497">
        <f>YEAR(OrdersTable[[#This Row],[Order Date]])</f>
        <v>2024</v>
      </c>
      <c r="D1497" s="2">
        <f>DATE(YEAR(OrdersTable[[#This Row],[Order Date]]),MONTH(OrdersTable[[#This Row],[Order Date]]),1)</f>
        <v>45566</v>
      </c>
      <c r="E1497">
        <f>MONTH(OrdersTable[[#This Row],[Order Date]])</f>
        <v>10</v>
      </c>
      <c r="F1497" t="s">
        <v>2292</v>
      </c>
      <c r="G1497" t="str">
        <f>IF(OrdersTable[[#This Row],[Order Date]]=_xlfn.MINIFS(Order_Date, Customer_ID, OrdersTable[[#This Row],[Customer ID]]), "New", "Repeat")</f>
        <v>Repeat</v>
      </c>
      <c r="H1497" t="s">
        <v>76</v>
      </c>
      <c r="I1497" t="str">
        <f>INDEX(State!B:B,MATCH(OrdersTable[[#This Row],[State]],State!A:A,0))</f>
        <v>UP</v>
      </c>
      <c r="J1497" t="str">
        <f>INDEX(State!C:C,MATCH(OrdersTable[[#This Row],[State Code]],State!B:B,0))</f>
        <v>North</v>
      </c>
      <c r="K1497" t="s">
        <v>105</v>
      </c>
      <c r="L1497" t="s">
        <v>16</v>
      </c>
      <c r="M1497" t="s">
        <v>576</v>
      </c>
      <c r="N1497" t="str">
        <f>INDEX(Products!B:B,MATCH(OrdersTable[[#This Row],[Product ID]],Products!A:A,0))</f>
        <v>Printed Saree</v>
      </c>
      <c r="O1497" t="str">
        <f>INDEX(Products!C:C,MATCH(OrdersTable[[#This Row],[Product ID]],Products!A:A,0))</f>
        <v>Apparel</v>
      </c>
      <c r="P1497">
        <v>2</v>
      </c>
      <c r="Q1497" s="5">
        <v>1999</v>
      </c>
      <c r="R1497" s="74">
        <v>0.25</v>
      </c>
      <c r="S1497" s="75">
        <f>OrdersTable[[#This Row],[Quantity]]*OrdersTable[[#This Row],[Unit Price]]</f>
        <v>3998</v>
      </c>
      <c r="T1497" s="5">
        <f>OrdersTable[[#This Row],[Gross Sale]]*OrdersTable[[#This Row],[Discount_Clean2]]</f>
        <v>999.5</v>
      </c>
      <c r="U1497" s="5">
        <f>OrdersTable[[#This Row],[Gross Sale]]-OrdersTable[[#This Row],[Discount Amount]]</f>
        <v>2998.5</v>
      </c>
      <c r="V1497" s="77">
        <f>INDEX(Products!E:E,MATCH(OrdersTable[[#This Row],[Product ID]],Products!A:A,0))</f>
        <v>880</v>
      </c>
      <c r="W1497" s="77">
        <f>OrdersTable[[#This Row],[Quantity]]*OrdersTable[[#This Row],[Unit Cost]]</f>
        <v>1760</v>
      </c>
      <c r="X1497" s="77">
        <f>'Dropdown Lists'!$I$2*(1+OrdersTable[[#This Row],[Returned]])</f>
        <v>60</v>
      </c>
      <c r="Y1497" s="76">
        <f>OrdersTable[[#This Row],[Net Revenue]]-OrdersTable[[#This Row],[COGS]]-OrdersTable[[#This Row],[Shipping Cost]]</f>
        <v>1178.5</v>
      </c>
      <c r="Z1497" s="78">
        <f>IFERROR(OrdersTable[[#This Row],[Profit]]/OrdersTable[[#This Row],[Net Revenue]],0)</f>
        <v>0.39302984825746207</v>
      </c>
      <c r="AA1497" t="s">
        <v>3495</v>
      </c>
      <c r="AB1497" s="79">
        <v>45581</v>
      </c>
      <c r="AC1497">
        <f>OrdersTable[[#This Row],[Delivery Date]]-OrdersTable[[#This Row],[Order Date]]</f>
        <v>4</v>
      </c>
      <c r="AD1497" t="str">
        <f>IF(OrdersTable[[#This Row],[Delivery Days]]&lt;=2, "Express (≤2d)", IF(OrdersTable[[#This Row],[Delivery Days]]&lt;=4, "Standard (3-4d)", "Delayed (5d+)"))</f>
        <v>Standard (3-4d)</v>
      </c>
      <c r="AE1497">
        <v>4</v>
      </c>
      <c r="AF1497">
        <v>0</v>
      </c>
    </row>
    <row r="1498" spans="1:32" ht="15" x14ac:dyDescent="0.35">
      <c r="A1498" t="s">
        <v>2959</v>
      </c>
      <c r="B1498" s="1">
        <v>45577</v>
      </c>
      <c r="C1498">
        <f>YEAR(OrdersTable[[#This Row],[Order Date]])</f>
        <v>2024</v>
      </c>
      <c r="D1498" s="2">
        <f>DATE(YEAR(OrdersTable[[#This Row],[Order Date]]),MONTH(OrdersTable[[#This Row],[Order Date]]),1)</f>
        <v>45566</v>
      </c>
      <c r="E1498">
        <f>MONTH(OrdersTable[[#This Row],[Order Date]])</f>
        <v>10</v>
      </c>
      <c r="F1498" t="s">
        <v>2960</v>
      </c>
      <c r="G1498" t="str">
        <f>IF(OrdersTable[[#This Row],[Order Date]]=_xlfn.MINIFS(Order_Date, Customer_ID, OrdersTable[[#This Row],[Customer ID]]), "New", "Repeat")</f>
        <v>Repeat</v>
      </c>
      <c r="H1498" t="s">
        <v>132</v>
      </c>
      <c r="I1498" t="str">
        <f>INDEX(State!B:B,MATCH(OrdersTable[[#This Row],[State]],State!A:A,0))</f>
        <v>AS</v>
      </c>
      <c r="J1498" t="str">
        <f>INDEX(State!C:C,MATCH(OrdersTable[[#This Row],[State Code]],State!B:B,0))</f>
        <v>East</v>
      </c>
      <c r="K1498" t="s">
        <v>133</v>
      </c>
      <c r="L1498" t="s">
        <v>23</v>
      </c>
      <c r="M1498" t="s">
        <v>17</v>
      </c>
      <c r="N1498" t="str">
        <f>INDEX(Products!B:B,MATCH(OrdersTable[[#This Row],[Product ID]],Products!A:A,0))</f>
        <v>Casual Sneakers</v>
      </c>
      <c r="O1498" t="str">
        <f>INDEX(Products!C:C,MATCH(OrdersTable[[#This Row],[Product ID]],Products!A:A,0))</f>
        <v>Footwear</v>
      </c>
      <c r="P1498">
        <v>1</v>
      </c>
      <c r="Q1498" s="5">
        <v>2199</v>
      </c>
      <c r="R1498" s="74">
        <v>0.35</v>
      </c>
      <c r="S1498" s="75">
        <f>OrdersTable[[#This Row],[Quantity]]*OrdersTable[[#This Row],[Unit Price]]</f>
        <v>2199</v>
      </c>
      <c r="T1498" s="5">
        <f>OrdersTable[[#This Row],[Gross Sale]]*OrdersTable[[#This Row],[Discount_Clean2]]</f>
        <v>769.65</v>
      </c>
      <c r="U1498" s="5">
        <f>OrdersTable[[#This Row],[Gross Sale]]-OrdersTable[[#This Row],[Discount Amount]]</f>
        <v>1429.35</v>
      </c>
      <c r="V1498" s="77">
        <f>INDEX(Products!E:E,MATCH(OrdersTable[[#This Row],[Product ID]],Products!A:A,0))</f>
        <v>1034</v>
      </c>
      <c r="W1498" s="77">
        <f>OrdersTable[[#This Row],[Quantity]]*OrdersTable[[#This Row],[Unit Cost]]</f>
        <v>1034</v>
      </c>
      <c r="X1498" s="77">
        <f>'Dropdown Lists'!$I$2*(1+OrdersTable[[#This Row],[Returned]])</f>
        <v>60</v>
      </c>
      <c r="Y1498" s="76">
        <f>OrdersTable[[#This Row],[Net Revenue]]-OrdersTable[[#This Row],[COGS]]-OrdersTable[[#This Row],[Shipping Cost]]</f>
        <v>335.34999999999991</v>
      </c>
      <c r="Z1498" s="78">
        <f>IFERROR(OrdersTable[[#This Row],[Profit]]/OrdersTable[[#This Row],[Net Revenue]],0)</f>
        <v>0.23461713366215409</v>
      </c>
      <c r="AA1498" t="s">
        <v>2522</v>
      </c>
      <c r="AB1498" s="79">
        <v>45585</v>
      </c>
      <c r="AC1498">
        <f>OrdersTable[[#This Row],[Delivery Date]]-OrdersTable[[#This Row],[Order Date]]</f>
        <v>8</v>
      </c>
      <c r="AD1498" t="str">
        <f>IF(OrdersTable[[#This Row],[Delivery Days]]&lt;=2, "Express (≤2d)", IF(OrdersTable[[#This Row],[Delivery Days]]&lt;=4, "Standard (3-4d)", "Delayed (5d+)"))</f>
        <v>Delayed (5d+)</v>
      </c>
      <c r="AF1498">
        <v>0</v>
      </c>
    </row>
    <row r="1499" spans="1:32" ht="15" x14ac:dyDescent="0.35">
      <c r="A1499" t="s">
        <v>7148</v>
      </c>
      <c r="B1499" s="1">
        <v>45577</v>
      </c>
      <c r="C1499">
        <f>YEAR(OrdersTable[[#This Row],[Order Date]])</f>
        <v>2024</v>
      </c>
      <c r="D1499" s="2">
        <f>DATE(YEAR(OrdersTable[[#This Row],[Order Date]]),MONTH(OrdersTable[[#This Row],[Order Date]]),1)</f>
        <v>45566</v>
      </c>
      <c r="E1499">
        <f>MONTH(OrdersTable[[#This Row],[Order Date]])</f>
        <v>10</v>
      </c>
      <c r="F1499" t="s">
        <v>2969</v>
      </c>
      <c r="G1499" t="str">
        <f>IF(OrdersTable[[#This Row],[Order Date]]=_xlfn.MINIFS(Order_Date, Customer_ID, OrdersTable[[#This Row],[Customer ID]]), "New", "Repeat")</f>
        <v>Repeat</v>
      </c>
      <c r="H1499" t="s">
        <v>132</v>
      </c>
      <c r="I1499" t="str">
        <f>INDEX(State!B:B,MATCH(OrdersTable[[#This Row],[State]],State!A:A,0))</f>
        <v>AS</v>
      </c>
      <c r="J1499" t="str">
        <f>INDEX(State!C:C,MATCH(OrdersTable[[#This Row],[State Code]],State!B:B,0))</f>
        <v>East</v>
      </c>
      <c r="K1499" t="s">
        <v>133</v>
      </c>
      <c r="L1499" t="s">
        <v>23</v>
      </c>
      <c r="M1499" t="s">
        <v>51</v>
      </c>
      <c r="N1499" t="str">
        <f>INDEX(Products!B:B,MATCH(OrdersTable[[#This Row],[Product ID]],Products!A:A,0))</f>
        <v>Anti-Dandruff Conditioner</v>
      </c>
      <c r="O1499" t="str">
        <f>INDEX(Products!C:C,MATCH(OrdersTable[[#This Row],[Product ID]],Products!A:A,0))</f>
        <v>Haircare</v>
      </c>
      <c r="P1499">
        <v>5</v>
      </c>
      <c r="Q1499" s="5">
        <v>399</v>
      </c>
      <c r="R1499" s="74">
        <v>0.45</v>
      </c>
      <c r="S1499" s="75">
        <f>OrdersTable[[#This Row],[Quantity]]*OrdersTable[[#This Row],[Unit Price]]</f>
        <v>1995</v>
      </c>
      <c r="T1499" s="5">
        <f>OrdersTable[[#This Row],[Gross Sale]]*OrdersTable[[#This Row],[Discount_Clean2]]</f>
        <v>897.75</v>
      </c>
      <c r="U1499" s="5">
        <f>OrdersTable[[#This Row],[Gross Sale]]-OrdersTable[[#This Row],[Discount Amount]]</f>
        <v>1097.25</v>
      </c>
      <c r="V1499" s="77">
        <f>INDEX(Products!E:E,MATCH(OrdersTable[[#This Row],[Product ID]],Products!A:A,0))</f>
        <v>136</v>
      </c>
      <c r="W1499" s="77">
        <f>OrdersTable[[#This Row],[Quantity]]*OrdersTable[[#This Row],[Unit Cost]]</f>
        <v>680</v>
      </c>
      <c r="X1499" s="77">
        <f>'Dropdown Lists'!$I$2*(1+OrdersTable[[#This Row],[Returned]])</f>
        <v>60</v>
      </c>
      <c r="Y1499" s="76">
        <f>OrdersTable[[#This Row],[Net Revenue]]-OrdersTable[[#This Row],[COGS]]-OrdersTable[[#This Row],[Shipping Cost]]</f>
        <v>357.25</v>
      </c>
      <c r="Z1499" s="78">
        <f>IFERROR(OrdersTable[[#This Row],[Profit]]/OrdersTable[[#This Row],[Net Revenue]],0)</f>
        <v>0.32558669400774665</v>
      </c>
      <c r="AA1499" t="s">
        <v>18</v>
      </c>
      <c r="AB1499" s="79">
        <v>45582</v>
      </c>
      <c r="AC1499">
        <f>OrdersTable[[#This Row],[Delivery Date]]-OrdersTable[[#This Row],[Order Date]]</f>
        <v>5</v>
      </c>
      <c r="AD1499" t="str">
        <f>IF(OrdersTable[[#This Row],[Delivery Days]]&lt;=2, "Express (≤2d)", IF(OrdersTable[[#This Row],[Delivery Days]]&lt;=4, "Standard (3-4d)", "Delayed (5d+)"))</f>
        <v>Delayed (5d+)</v>
      </c>
      <c r="AE1499">
        <v>4</v>
      </c>
      <c r="AF1499">
        <v>0</v>
      </c>
    </row>
    <row r="1500" spans="1:32" ht="15" x14ac:dyDescent="0.35">
      <c r="A1500" t="s">
        <v>6096</v>
      </c>
      <c r="B1500" s="1">
        <v>45577</v>
      </c>
      <c r="C1500">
        <f>YEAR(OrdersTable[[#This Row],[Order Date]])</f>
        <v>2024</v>
      </c>
      <c r="D1500" s="2">
        <f>DATE(YEAR(OrdersTable[[#This Row],[Order Date]]),MONTH(OrdersTable[[#This Row],[Order Date]]),1)</f>
        <v>45566</v>
      </c>
      <c r="E1500">
        <f>MONTH(OrdersTable[[#This Row],[Order Date]])</f>
        <v>10</v>
      </c>
      <c r="F1500" t="s">
        <v>929</v>
      </c>
      <c r="G1500" t="str">
        <f>IF(OrdersTable[[#This Row],[Order Date]]=_xlfn.MINIFS(Order_Date, Customer_ID, OrdersTable[[#This Row],[Customer ID]]), "New", "Repeat")</f>
        <v>Repeat</v>
      </c>
      <c r="H1500" t="s">
        <v>37</v>
      </c>
      <c r="I1500" t="str">
        <f>INDEX(State!B:B,MATCH(OrdersTable[[#This Row],[State]],State!A:A,0))</f>
        <v>GJ</v>
      </c>
      <c r="J1500" t="str">
        <f>INDEX(State!C:C,MATCH(OrdersTable[[#This Row],[State Code]],State!B:B,0))</f>
        <v>West</v>
      </c>
      <c r="K1500" t="s">
        <v>38</v>
      </c>
      <c r="L1500" t="s">
        <v>39</v>
      </c>
      <c r="M1500" t="s">
        <v>92</v>
      </c>
      <c r="N1500" t="str">
        <f>INDEX(Products!B:B,MATCH(OrdersTable[[#This Row],[Product ID]],Products!A:A,0))</f>
        <v>Kolhapuri Sandals</v>
      </c>
      <c r="O1500" t="str">
        <f>INDEX(Products!C:C,MATCH(OrdersTable[[#This Row],[Product ID]],Products!A:A,0))</f>
        <v>Footwear</v>
      </c>
      <c r="P1500">
        <v>2</v>
      </c>
      <c r="Q1500" s="5">
        <v>999</v>
      </c>
      <c r="R1500" s="74">
        <v>0.1</v>
      </c>
      <c r="S1500" s="75">
        <f>OrdersTable[[#This Row],[Quantity]]*OrdersTable[[#This Row],[Unit Price]]</f>
        <v>1998</v>
      </c>
      <c r="T1500" s="5">
        <f>OrdersTable[[#This Row],[Gross Sale]]*OrdersTable[[#This Row],[Discount_Clean2]]</f>
        <v>199.8</v>
      </c>
      <c r="U1500" s="5">
        <f>OrdersTable[[#This Row],[Gross Sale]]-OrdersTable[[#This Row],[Discount Amount]]</f>
        <v>1798.2</v>
      </c>
      <c r="V1500" s="77">
        <f>INDEX(Products!E:E,MATCH(OrdersTable[[#This Row],[Product ID]],Products!A:A,0))</f>
        <v>400</v>
      </c>
      <c r="W1500" s="77">
        <f>OrdersTable[[#This Row],[Quantity]]*OrdersTable[[#This Row],[Unit Cost]]</f>
        <v>800</v>
      </c>
      <c r="X1500" s="77">
        <f>'Dropdown Lists'!$I$2*(1+OrdersTable[[#This Row],[Returned]])</f>
        <v>60</v>
      </c>
      <c r="Y1500" s="76">
        <f>OrdersTable[[#This Row],[Net Revenue]]-OrdersTable[[#This Row],[COGS]]-OrdersTable[[#This Row],[Shipping Cost]]</f>
        <v>938.2</v>
      </c>
      <c r="Z1500" s="78">
        <f>IFERROR(OrdersTable[[#This Row],[Profit]]/OrdersTable[[#This Row],[Net Revenue]],0)</f>
        <v>0.52174396618841068</v>
      </c>
      <c r="AA1500" t="s">
        <v>18</v>
      </c>
      <c r="AB1500" s="79">
        <v>45581</v>
      </c>
      <c r="AC1500">
        <f>OrdersTable[[#This Row],[Delivery Date]]-OrdersTable[[#This Row],[Order Date]]</f>
        <v>4</v>
      </c>
      <c r="AD1500" t="str">
        <f>IF(OrdersTable[[#This Row],[Delivery Days]]&lt;=2, "Express (≤2d)", IF(OrdersTable[[#This Row],[Delivery Days]]&lt;=4, "Standard (3-4d)", "Delayed (5d+)"))</f>
        <v>Standard (3-4d)</v>
      </c>
      <c r="AE1500">
        <v>4</v>
      </c>
      <c r="AF1500">
        <v>0</v>
      </c>
    </row>
    <row r="1501" spans="1:32" ht="15" x14ac:dyDescent="0.35">
      <c r="A1501" t="s">
        <v>1905</v>
      </c>
      <c r="B1501" s="1">
        <v>45577</v>
      </c>
      <c r="C1501">
        <f>YEAR(OrdersTable[[#This Row],[Order Date]])</f>
        <v>2024</v>
      </c>
      <c r="D1501" s="2">
        <f>DATE(YEAR(OrdersTable[[#This Row],[Order Date]]),MONTH(OrdersTable[[#This Row],[Order Date]]),1)</f>
        <v>45566</v>
      </c>
      <c r="E1501">
        <f>MONTH(OrdersTable[[#This Row],[Order Date]])</f>
        <v>10</v>
      </c>
      <c r="F1501" t="s">
        <v>1906</v>
      </c>
      <c r="G1501" t="str">
        <f>IF(OrdersTable[[#This Row],[Order Date]]=_xlfn.MINIFS(Order_Date, Customer_ID, OrdersTable[[#This Row],[Customer ID]]), "New", "Repeat")</f>
        <v>Repeat</v>
      </c>
      <c r="H1501" t="s">
        <v>123</v>
      </c>
      <c r="I1501" t="str">
        <f>INDEX(State!B:B,MATCH(OrdersTable[[#This Row],[State]],State!A:A,0))</f>
        <v>JH</v>
      </c>
      <c r="J1501" t="str">
        <f>INDEX(State!C:C,MATCH(OrdersTable[[#This Row],[State Code]],State!B:B,0))</f>
        <v>East</v>
      </c>
      <c r="K1501" t="s">
        <v>124</v>
      </c>
      <c r="L1501" t="s">
        <v>39</v>
      </c>
      <c r="M1501" t="s">
        <v>92</v>
      </c>
      <c r="N1501" t="str">
        <f>INDEX(Products!B:B,MATCH(OrdersTable[[#This Row],[Product ID]],Products!A:A,0))</f>
        <v>Kolhapuri Sandals</v>
      </c>
      <c r="O1501" t="str">
        <f>INDEX(Products!C:C,MATCH(OrdersTable[[#This Row],[Product ID]],Products!A:A,0))</f>
        <v>Footwear</v>
      </c>
      <c r="P1501">
        <v>1</v>
      </c>
      <c r="Q1501" s="5">
        <v>999</v>
      </c>
      <c r="R1501" s="74">
        <v>0.15</v>
      </c>
      <c r="S1501" s="75">
        <f>OrdersTable[[#This Row],[Quantity]]*OrdersTable[[#This Row],[Unit Price]]</f>
        <v>999</v>
      </c>
      <c r="T1501" s="5">
        <f>OrdersTable[[#This Row],[Gross Sale]]*OrdersTable[[#This Row],[Discount_Clean2]]</f>
        <v>149.85</v>
      </c>
      <c r="U1501" s="5">
        <f>OrdersTable[[#This Row],[Gross Sale]]-OrdersTable[[#This Row],[Discount Amount]]</f>
        <v>849.15</v>
      </c>
      <c r="V1501" s="77">
        <f>INDEX(Products!E:E,MATCH(OrdersTable[[#This Row],[Product ID]],Products!A:A,0))</f>
        <v>400</v>
      </c>
      <c r="W1501" s="77">
        <f>OrdersTable[[#This Row],[Quantity]]*OrdersTable[[#This Row],[Unit Cost]]</f>
        <v>400</v>
      </c>
      <c r="X1501" s="77">
        <f>'Dropdown Lists'!$I$2*(1+OrdersTable[[#This Row],[Returned]])</f>
        <v>60</v>
      </c>
      <c r="Y1501" s="76">
        <f>OrdersTable[[#This Row],[Net Revenue]]-OrdersTable[[#This Row],[COGS]]-OrdersTable[[#This Row],[Shipping Cost]]</f>
        <v>389.15</v>
      </c>
      <c r="Z1501" s="78">
        <f>IFERROR(OrdersTable[[#This Row],[Profit]]/OrdersTable[[#This Row],[Net Revenue]],0)</f>
        <v>0.45828181122298767</v>
      </c>
      <c r="AA1501" t="s">
        <v>18</v>
      </c>
      <c r="AB1501" s="79">
        <v>45583</v>
      </c>
      <c r="AC1501">
        <f>OrdersTable[[#This Row],[Delivery Date]]-OrdersTable[[#This Row],[Order Date]]</f>
        <v>6</v>
      </c>
      <c r="AD1501" t="str">
        <f>IF(OrdersTable[[#This Row],[Delivery Days]]&lt;=2, "Express (≤2d)", IF(OrdersTable[[#This Row],[Delivery Days]]&lt;=4, "Standard (3-4d)", "Delayed (5d+)"))</f>
        <v>Delayed (5d+)</v>
      </c>
      <c r="AE1501">
        <v>3</v>
      </c>
      <c r="AF1501">
        <v>0</v>
      </c>
    </row>
    <row r="1502" spans="1:32" ht="15" x14ac:dyDescent="0.35">
      <c r="A1502" t="s">
        <v>4679</v>
      </c>
      <c r="B1502" s="1">
        <v>45577</v>
      </c>
      <c r="C1502">
        <f>YEAR(OrdersTable[[#This Row],[Order Date]])</f>
        <v>2024</v>
      </c>
      <c r="D1502" s="2">
        <f>DATE(YEAR(OrdersTable[[#This Row],[Order Date]]),MONTH(OrdersTable[[#This Row],[Order Date]]),1)</f>
        <v>45566</v>
      </c>
      <c r="E1502">
        <f>MONTH(OrdersTable[[#This Row],[Order Date]])</f>
        <v>10</v>
      </c>
      <c r="F1502" t="s">
        <v>4680</v>
      </c>
      <c r="G1502" t="str">
        <f>IF(OrdersTable[[#This Row],[Order Date]]=_xlfn.MINIFS(Order_Date, Customer_ID, OrdersTable[[#This Row],[Customer ID]]), "New", "Repeat")</f>
        <v>New</v>
      </c>
      <c r="H1502" t="s">
        <v>71</v>
      </c>
      <c r="I1502" t="str">
        <f>INDEX(State!B:B,MATCH(OrdersTable[[#This Row],[State]],State!A:A,0))</f>
        <v>MH</v>
      </c>
      <c r="J1502" t="str">
        <f>INDEX(State!C:C,MATCH(OrdersTable[[#This Row],[State Code]],State!B:B,0))</f>
        <v>West</v>
      </c>
      <c r="K1502" t="s">
        <v>72</v>
      </c>
      <c r="L1502" t="s">
        <v>39</v>
      </c>
      <c r="M1502" t="s">
        <v>84</v>
      </c>
      <c r="N1502" t="str">
        <f>INDEX(Products!B:B,MATCH(OrdersTable[[#This Row],[Product ID]],Products!A:A,0))</f>
        <v>Cotton Bedsheet</v>
      </c>
      <c r="O1502" t="str">
        <f>INDEX(Products!C:C,MATCH(OrdersTable[[#This Row],[Product ID]],Products!A:A,0))</f>
        <v>Home &amp; Kitchen</v>
      </c>
      <c r="P1502">
        <v>1</v>
      </c>
      <c r="Q1502" s="5">
        <v>1299</v>
      </c>
      <c r="R1502" s="74">
        <v>0.1</v>
      </c>
      <c r="S1502" s="75">
        <f>OrdersTable[[#This Row],[Quantity]]*OrdersTable[[#This Row],[Unit Price]]</f>
        <v>1299</v>
      </c>
      <c r="T1502" s="5">
        <f>OrdersTable[[#This Row],[Gross Sale]]*OrdersTable[[#This Row],[Discount_Clean2]]</f>
        <v>129.9</v>
      </c>
      <c r="U1502" s="5">
        <f>OrdersTable[[#This Row],[Gross Sale]]-OrdersTable[[#This Row],[Discount Amount]]</f>
        <v>1169.0999999999999</v>
      </c>
      <c r="V1502" s="77">
        <f>INDEX(Products!E:E,MATCH(OrdersTable[[#This Row],[Product ID]],Products!A:A,0))</f>
        <v>585</v>
      </c>
      <c r="W1502" s="77">
        <f>OrdersTable[[#This Row],[Quantity]]*OrdersTable[[#This Row],[Unit Cost]]</f>
        <v>585</v>
      </c>
      <c r="X1502" s="77">
        <f>'Dropdown Lists'!$I$2*(1+OrdersTable[[#This Row],[Returned]])</f>
        <v>60</v>
      </c>
      <c r="Y1502" s="76">
        <f>OrdersTable[[#This Row],[Net Revenue]]-OrdersTable[[#This Row],[COGS]]-OrdersTable[[#This Row],[Shipping Cost]]</f>
        <v>524.09999999999991</v>
      </c>
      <c r="Z1502" s="78">
        <f>IFERROR(OrdersTable[[#This Row],[Profit]]/OrdersTable[[#This Row],[Net Revenue]],0)</f>
        <v>0.44829355914806257</v>
      </c>
      <c r="AA1502" t="s">
        <v>4450</v>
      </c>
      <c r="AB1502" s="79">
        <v>45579</v>
      </c>
      <c r="AC1502">
        <f>OrdersTable[[#This Row],[Delivery Date]]-OrdersTable[[#This Row],[Order Date]]</f>
        <v>2</v>
      </c>
      <c r="AD1502" t="str">
        <f>IF(OrdersTable[[#This Row],[Delivery Days]]&lt;=2, "Express (≤2d)", IF(OrdersTable[[#This Row],[Delivery Days]]&lt;=4, "Standard (3-4d)", "Delayed (5d+)"))</f>
        <v>Express (≤2d)</v>
      </c>
      <c r="AE1502">
        <v>5</v>
      </c>
      <c r="AF1502">
        <v>0</v>
      </c>
    </row>
    <row r="1503" spans="1:32" ht="15" x14ac:dyDescent="0.35">
      <c r="A1503" t="s">
        <v>5124</v>
      </c>
      <c r="B1503" s="1">
        <v>45577</v>
      </c>
      <c r="C1503">
        <f>YEAR(OrdersTable[[#This Row],[Order Date]])</f>
        <v>2024</v>
      </c>
      <c r="D1503" s="2">
        <f>DATE(YEAR(OrdersTable[[#This Row],[Order Date]]),MONTH(OrdersTable[[#This Row],[Order Date]]),1)</f>
        <v>45566</v>
      </c>
      <c r="E1503">
        <f>MONTH(OrdersTable[[#This Row],[Order Date]])</f>
        <v>10</v>
      </c>
      <c r="F1503" t="s">
        <v>2503</v>
      </c>
      <c r="G1503" t="str">
        <f>IF(OrdersTable[[#This Row],[Order Date]]=_xlfn.MINIFS(Order_Date, Customer_ID, OrdersTable[[#This Row],[Customer ID]]), "New", "Repeat")</f>
        <v>New</v>
      </c>
      <c r="H1503" t="s">
        <v>275</v>
      </c>
      <c r="I1503" t="str">
        <f>INDEX(State!B:B,MATCH(OrdersTable[[#This Row],[State]],State!A:A,0))</f>
        <v>AP</v>
      </c>
      <c r="J1503" t="str">
        <f>INDEX(State!C:C,MATCH(OrdersTable[[#This Row],[State Code]],State!B:B,0))</f>
        <v>South</v>
      </c>
      <c r="K1503" t="s">
        <v>491</v>
      </c>
      <c r="L1503" t="s">
        <v>39</v>
      </c>
      <c r="M1503" t="s">
        <v>109</v>
      </c>
      <c r="N1503" t="str">
        <f>INDEX(Products!B:B,MATCH(OrdersTable[[#This Row],[Product ID]],Products!A:A,0))</f>
        <v>Onion Hair Oil</v>
      </c>
      <c r="O1503" t="str">
        <f>INDEX(Products!C:C,MATCH(OrdersTable[[#This Row],[Product ID]],Products!A:A,0))</f>
        <v>Haircare</v>
      </c>
      <c r="P1503">
        <v>2</v>
      </c>
      <c r="Q1503" s="5">
        <v>349</v>
      </c>
      <c r="R1503" s="74">
        <v>0.4</v>
      </c>
      <c r="S1503" s="75">
        <f>OrdersTable[[#This Row],[Quantity]]*OrdersTable[[#This Row],[Unit Price]]</f>
        <v>698</v>
      </c>
      <c r="T1503" s="5">
        <f>OrdersTable[[#This Row],[Gross Sale]]*OrdersTable[[#This Row],[Discount_Clean2]]</f>
        <v>279.2</v>
      </c>
      <c r="U1503" s="5">
        <f>OrdersTable[[#This Row],[Gross Sale]]-OrdersTable[[#This Row],[Discount Amount]]</f>
        <v>418.8</v>
      </c>
      <c r="V1503" s="77">
        <f>INDEX(Products!E:E,MATCH(OrdersTable[[#This Row],[Product ID]],Products!A:A,0))</f>
        <v>105</v>
      </c>
      <c r="W1503" s="77">
        <f>OrdersTable[[#This Row],[Quantity]]*OrdersTable[[#This Row],[Unit Cost]]</f>
        <v>210</v>
      </c>
      <c r="X1503" s="77">
        <f>'Dropdown Lists'!$I$2*(1+OrdersTable[[#This Row],[Returned]])</f>
        <v>60</v>
      </c>
      <c r="Y1503" s="76">
        <f>OrdersTable[[#This Row],[Net Revenue]]-OrdersTable[[#This Row],[COGS]]-OrdersTable[[#This Row],[Shipping Cost]]</f>
        <v>148.80000000000001</v>
      </c>
      <c r="Z1503" s="78">
        <f>IFERROR(OrdersTable[[#This Row],[Profit]]/OrdersTable[[#This Row],[Net Revenue]],0)</f>
        <v>0.35530085959885388</v>
      </c>
      <c r="AA1503" t="s">
        <v>3495</v>
      </c>
      <c r="AB1503" s="79">
        <v>45580</v>
      </c>
      <c r="AC1503">
        <f>OrdersTable[[#This Row],[Delivery Date]]-OrdersTable[[#This Row],[Order Date]]</f>
        <v>3</v>
      </c>
      <c r="AD1503" t="str">
        <f>IF(OrdersTable[[#This Row],[Delivery Days]]&lt;=2, "Express (≤2d)", IF(OrdersTable[[#This Row],[Delivery Days]]&lt;=4, "Standard (3-4d)", "Delayed (5d+)"))</f>
        <v>Standard (3-4d)</v>
      </c>
      <c r="AF1503">
        <v>0</v>
      </c>
    </row>
    <row r="1504" spans="1:32" ht="15" x14ac:dyDescent="0.35">
      <c r="A1504" t="s">
        <v>2578</v>
      </c>
      <c r="B1504" s="1">
        <v>45578</v>
      </c>
      <c r="C1504">
        <f>YEAR(OrdersTable[[#This Row],[Order Date]])</f>
        <v>2024</v>
      </c>
      <c r="D1504" s="2">
        <f>DATE(YEAR(OrdersTable[[#This Row],[Order Date]]),MONTH(OrdersTable[[#This Row],[Order Date]]),1)</f>
        <v>45566</v>
      </c>
      <c r="E1504">
        <f>MONTH(OrdersTable[[#This Row],[Order Date]])</f>
        <v>10</v>
      </c>
      <c r="F1504" t="s">
        <v>2579</v>
      </c>
      <c r="G1504" t="str">
        <f>IF(OrdersTable[[#This Row],[Order Date]]=_xlfn.MINIFS(Order_Date, Customer_ID, OrdersTable[[#This Row],[Customer ID]]), "New", "Repeat")</f>
        <v>New</v>
      </c>
      <c r="H1504" t="s">
        <v>27</v>
      </c>
      <c r="I1504" t="str">
        <f>INDEX(State!B:B,MATCH(OrdersTable[[#This Row],[State]],State!A:A,0))</f>
        <v>WB</v>
      </c>
      <c r="J1504" t="str">
        <f>INDEX(State!C:C,MATCH(OrdersTable[[#This Row],[State Code]],State!B:B,0))</f>
        <v>East</v>
      </c>
      <c r="K1504" t="s">
        <v>28</v>
      </c>
      <c r="L1504" t="s">
        <v>50</v>
      </c>
      <c r="M1504" t="s">
        <v>40</v>
      </c>
      <c r="N1504" t="str">
        <f>INDEX(Products!B:B,MATCH(OrdersTable[[#This Row],[Product ID]],Products!A:A,0))</f>
        <v>Ashwagandha Capsules</v>
      </c>
      <c r="O1504" t="str">
        <f>INDEX(Products!C:C,MATCH(OrdersTable[[#This Row],[Product ID]],Products!A:A,0))</f>
        <v>Wellness</v>
      </c>
      <c r="P1504">
        <v>1</v>
      </c>
      <c r="Q1504" s="5">
        <v>499</v>
      </c>
      <c r="R1504" s="74">
        <v>0.1</v>
      </c>
      <c r="S1504" s="75">
        <f>OrdersTable[[#This Row],[Quantity]]*OrdersTable[[#This Row],[Unit Price]]</f>
        <v>499</v>
      </c>
      <c r="T1504" s="5">
        <f>OrdersTable[[#This Row],[Gross Sale]]*OrdersTable[[#This Row],[Discount_Clean2]]</f>
        <v>49.900000000000006</v>
      </c>
      <c r="U1504" s="5">
        <f>OrdersTable[[#This Row],[Gross Sale]]-OrdersTable[[#This Row],[Discount Amount]]</f>
        <v>449.1</v>
      </c>
      <c r="V1504" s="77">
        <f>INDEX(Products!E:E,MATCH(OrdersTable[[#This Row],[Product ID]],Products!A:A,0))</f>
        <v>150</v>
      </c>
      <c r="W1504" s="77">
        <f>OrdersTable[[#This Row],[Quantity]]*OrdersTable[[#This Row],[Unit Cost]]</f>
        <v>150</v>
      </c>
      <c r="X1504" s="77">
        <f>'Dropdown Lists'!$I$2*(1+OrdersTable[[#This Row],[Returned]])</f>
        <v>120</v>
      </c>
      <c r="Y1504" s="76">
        <f>OrdersTable[[#This Row],[Net Revenue]]-OrdersTable[[#This Row],[COGS]]-OrdersTable[[#This Row],[Shipping Cost]]</f>
        <v>179.10000000000002</v>
      </c>
      <c r="Z1504" s="78">
        <f>IFERROR(OrdersTable[[#This Row],[Profit]]/OrdersTable[[#This Row],[Net Revenue]],0)</f>
        <v>0.39879759519038077</v>
      </c>
      <c r="AA1504" t="s">
        <v>2522</v>
      </c>
      <c r="AB1504" s="79">
        <v>45580</v>
      </c>
      <c r="AC1504">
        <f>OrdersTable[[#This Row],[Delivery Date]]-OrdersTable[[#This Row],[Order Date]]</f>
        <v>2</v>
      </c>
      <c r="AD1504" t="str">
        <f>IF(OrdersTable[[#This Row],[Delivery Days]]&lt;=2, "Express (≤2d)", IF(OrdersTable[[#This Row],[Delivery Days]]&lt;=4, "Standard (3-4d)", "Delayed (5d+)"))</f>
        <v>Express (≤2d)</v>
      </c>
      <c r="AE1504">
        <v>5</v>
      </c>
      <c r="AF1504">
        <v>1</v>
      </c>
    </row>
    <row r="1505" spans="1:32" ht="15" x14ac:dyDescent="0.35">
      <c r="A1505" t="s">
        <v>4939</v>
      </c>
      <c r="B1505" s="1">
        <v>45578</v>
      </c>
      <c r="C1505">
        <f>YEAR(OrdersTable[[#This Row],[Order Date]])</f>
        <v>2024</v>
      </c>
      <c r="D1505" s="2">
        <f>DATE(YEAR(OrdersTable[[#This Row],[Order Date]]),MONTH(OrdersTable[[#This Row],[Order Date]]),1)</f>
        <v>45566</v>
      </c>
      <c r="E1505">
        <f>MONTH(OrdersTable[[#This Row],[Order Date]])</f>
        <v>10</v>
      </c>
      <c r="F1505" t="s">
        <v>1382</v>
      </c>
      <c r="G1505" t="str">
        <f>IF(OrdersTable[[#This Row],[Order Date]]=_xlfn.MINIFS(Order_Date, Customer_ID, OrdersTable[[#This Row],[Customer ID]]), "New", "Repeat")</f>
        <v>Repeat</v>
      </c>
      <c r="H1505" t="s">
        <v>27</v>
      </c>
      <c r="I1505" t="str">
        <f>INDEX(State!B:B,MATCH(OrdersTable[[#This Row],[State]],State!A:A,0))</f>
        <v>WB</v>
      </c>
      <c r="J1505" t="str">
        <f>INDEX(State!C:C,MATCH(OrdersTable[[#This Row],[State Code]],State!B:B,0))</f>
        <v>East</v>
      </c>
      <c r="K1505" t="s">
        <v>28</v>
      </c>
      <c r="L1505" t="s">
        <v>16</v>
      </c>
      <c r="M1505" t="s">
        <v>176</v>
      </c>
      <c r="N1505" t="str">
        <f>INDEX(Products!B:B,MATCH(OrdersTable[[#This Row],[Product ID]],Products!A:A,0))</f>
        <v>Denim Jacket</v>
      </c>
      <c r="O1505" t="str">
        <f>INDEX(Products!C:C,MATCH(OrdersTable[[#This Row],[Product ID]],Products!A:A,0))</f>
        <v>Apparel</v>
      </c>
      <c r="P1505">
        <v>2</v>
      </c>
      <c r="Q1505" s="5">
        <v>2499</v>
      </c>
      <c r="R1505" s="74">
        <v>0.15</v>
      </c>
      <c r="S1505" s="75">
        <f>OrdersTable[[#This Row],[Quantity]]*OrdersTable[[#This Row],[Unit Price]]</f>
        <v>4998</v>
      </c>
      <c r="T1505" s="5">
        <f>OrdersTable[[#This Row],[Gross Sale]]*OrdersTable[[#This Row],[Discount_Clean2]]</f>
        <v>749.69999999999993</v>
      </c>
      <c r="U1505" s="5">
        <f>OrdersTable[[#This Row],[Gross Sale]]-OrdersTable[[#This Row],[Discount Amount]]</f>
        <v>4248.3</v>
      </c>
      <c r="V1505" s="77">
        <f>INDEX(Products!E:E,MATCH(OrdersTable[[#This Row],[Product ID]],Products!A:A,0))</f>
        <v>1125</v>
      </c>
      <c r="W1505" s="77">
        <f>OrdersTable[[#This Row],[Quantity]]*OrdersTable[[#This Row],[Unit Cost]]</f>
        <v>2250</v>
      </c>
      <c r="X1505" s="77">
        <f>'Dropdown Lists'!$I$2*(1+OrdersTable[[#This Row],[Returned]])</f>
        <v>60</v>
      </c>
      <c r="Y1505" s="76">
        <f>OrdersTable[[#This Row],[Net Revenue]]-OrdersTable[[#This Row],[COGS]]-OrdersTable[[#This Row],[Shipping Cost]]</f>
        <v>1938.3000000000002</v>
      </c>
      <c r="Z1505" s="78">
        <f>IFERROR(OrdersTable[[#This Row],[Profit]]/OrdersTable[[#This Row],[Net Revenue]],0)</f>
        <v>0.45625308947108256</v>
      </c>
      <c r="AA1505" t="s">
        <v>4074</v>
      </c>
      <c r="AB1505" s="79">
        <v>45584</v>
      </c>
      <c r="AC1505">
        <f>OrdersTable[[#This Row],[Delivery Date]]-OrdersTable[[#This Row],[Order Date]]</f>
        <v>6</v>
      </c>
      <c r="AD1505" t="str">
        <f>IF(OrdersTable[[#This Row],[Delivery Days]]&lt;=2, "Express (≤2d)", IF(OrdersTable[[#This Row],[Delivery Days]]&lt;=4, "Standard (3-4d)", "Delayed (5d+)"))</f>
        <v>Delayed (5d+)</v>
      </c>
      <c r="AE1505">
        <v>4</v>
      </c>
      <c r="AF1505">
        <v>0</v>
      </c>
    </row>
    <row r="1506" spans="1:32" ht="15" x14ac:dyDescent="0.35">
      <c r="A1506" t="s">
        <v>5649</v>
      </c>
      <c r="B1506" s="1">
        <v>45578</v>
      </c>
      <c r="C1506">
        <f>YEAR(OrdersTable[[#This Row],[Order Date]])</f>
        <v>2024</v>
      </c>
      <c r="D1506" s="2">
        <f>DATE(YEAR(OrdersTable[[#This Row],[Order Date]]),MONTH(OrdersTable[[#This Row],[Order Date]]),1)</f>
        <v>45566</v>
      </c>
      <c r="E1506">
        <f>MONTH(OrdersTable[[#This Row],[Order Date]])</f>
        <v>10</v>
      </c>
      <c r="F1506" t="s">
        <v>5344</v>
      </c>
      <c r="G1506" t="str">
        <f>IF(OrdersTable[[#This Row],[Order Date]]=_xlfn.MINIFS(Order_Date, Customer_ID, OrdersTable[[#This Row],[Customer ID]]), "New", "Repeat")</f>
        <v>Repeat</v>
      </c>
      <c r="H1506" t="s">
        <v>71</v>
      </c>
      <c r="I1506" t="str">
        <f>INDEX(State!B:B,MATCH(OrdersTable[[#This Row],[State]],State!A:A,0))</f>
        <v>MH</v>
      </c>
      <c r="J1506" t="str">
        <f>INDEX(State!C:C,MATCH(OrdersTable[[#This Row],[State Code]],State!B:B,0))</f>
        <v>West</v>
      </c>
      <c r="K1506" t="s">
        <v>72</v>
      </c>
      <c r="L1506" t="s">
        <v>23</v>
      </c>
      <c r="M1506" t="s">
        <v>87</v>
      </c>
      <c r="N1506" t="str">
        <f>INDEX(Products!B:B,MATCH(OrdersTable[[#This Row],[Product ID]],Products!A:A,0))</f>
        <v>Linen Kurta</v>
      </c>
      <c r="O1506" t="str">
        <f>INDEX(Products!C:C,MATCH(OrdersTable[[#This Row],[Product ID]],Products!A:A,0))</f>
        <v>Apparel</v>
      </c>
      <c r="P1506">
        <v>2</v>
      </c>
      <c r="Q1506" s="5">
        <v>1499</v>
      </c>
      <c r="R1506" s="74">
        <v>0.5</v>
      </c>
      <c r="S1506" s="75">
        <f>OrdersTable[[#This Row],[Quantity]]*OrdersTable[[#This Row],[Unit Price]]</f>
        <v>2998</v>
      </c>
      <c r="T1506" s="5">
        <f>OrdersTable[[#This Row],[Gross Sale]]*OrdersTable[[#This Row],[Discount_Clean2]]</f>
        <v>1499</v>
      </c>
      <c r="U1506" s="5">
        <f>OrdersTable[[#This Row],[Gross Sale]]-OrdersTable[[#This Row],[Discount Amount]]</f>
        <v>1499</v>
      </c>
      <c r="V1506" s="77">
        <f>INDEX(Products!E:E,MATCH(OrdersTable[[#This Row],[Product ID]],Products!A:A,0))</f>
        <v>630</v>
      </c>
      <c r="W1506" s="77">
        <f>OrdersTable[[#This Row],[Quantity]]*OrdersTable[[#This Row],[Unit Cost]]</f>
        <v>1260</v>
      </c>
      <c r="X1506" s="77">
        <f>'Dropdown Lists'!$I$2*(1+OrdersTable[[#This Row],[Returned]])</f>
        <v>120</v>
      </c>
      <c r="Y1506" s="76">
        <f>OrdersTable[[#This Row],[Net Revenue]]-OrdersTable[[#This Row],[COGS]]-OrdersTable[[#This Row],[Shipping Cost]]</f>
        <v>119</v>
      </c>
      <c r="Z1506" s="78">
        <f>IFERROR(OrdersTable[[#This Row],[Profit]]/OrdersTable[[#This Row],[Net Revenue]],0)</f>
        <v>7.9386257505003333E-2</v>
      </c>
      <c r="AA1506" t="s">
        <v>18</v>
      </c>
      <c r="AB1506" s="79">
        <v>45581</v>
      </c>
      <c r="AC1506">
        <f>OrdersTable[[#This Row],[Delivery Date]]-OrdersTable[[#This Row],[Order Date]]</f>
        <v>3</v>
      </c>
      <c r="AD1506" t="str">
        <f>IF(OrdersTable[[#This Row],[Delivery Days]]&lt;=2, "Express (≤2d)", IF(OrdersTable[[#This Row],[Delivery Days]]&lt;=4, "Standard (3-4d)", "Delayed (5d+)"))</f>
        <v>Standard (3-4d)</v>
      </c>
      <c r="AE1506">
        <v>2</v>
      </c>
      <c r="AF1506">
        <v>1</v>
      </c>
    </row>
    <row r="1507" spans="1:32" ht="15" x14ac:dyDescent="0.35">
      <c r="A1507" t="s">
        <v>6867</v>
      </c>
      <c r="B1507" s="1">
        <v>45578</v>
      </c>
      <c r="C1507">
        <f>YEAR(OrdersTable[[#This Row],[Order Date]])</f>
        <v>2024</v>
      </c>
      <c r="D1507" s="2">
        <f>DATE(YEAR(OrdersTable[[#This Row],[Order Date]]),MONTH(OrdersTable[[#This Row],[Order Date]]),1)</f>
        <v>45566</v>
      </c>
      <c r="E1507">
        <f>MONTH(OrdersTable[[#This Row],[Order Date]])</f>
        <v>10</v>
      </c>
      <c r="F1507" t="s">
        <v>2887</v>
      </c>
      <c r="G1507" t="str">
        <f>IF(OrdersTable[[#This Row],[Order Date]]=_xlfn.MINIFS(Order_Date, Customer_ID, OrdersTable[[#This Row],[Customer ID]]), "New", "Repeat")</f>
        <v>Repeat</v>
      </c>
      <c r="H1507" t="s">
        <v>71</v>
      </c>
      <c r="I1507" t="str">
        <f>INDEX(State!B:B,MATCH(OrdersTable[[#This Row],[State]],State!A:A,0))</f>
        <v>MH</v>
      </c>
      <c r="J1507" t="str">
        <f>INDEX(State!C:C,MATCH(OrdersTable[[#This Row],[State Code]],State!B:B,0))</f>
        <v>West</v>
      </c>
      <c r="K1507" t="s">
        <v>102</v>
      </c>
      <c r="L1507" t="s">
        <v>39</v>
      </c>
      <c r="M1507" t="s">
        <v>24</v>
      </c>
      <c r="N1507" t="str">
        <f>INDEX(Products!B:B,MATCH(OrdersTable[[#This Row],[Product ID]],Products!A:A,0))</f>
        <v>Scented Candle Set</v>
      </c>
      <c r="O1507" t="str">
        <f>INDEX(Products!C:C,MATCH(OrdersTable[[#This Row],[Product ID]],Products!A:A,0))</f>
        <v>Home &amp; Kitchen</v>
      </c>
      <c r="P1507">
        <v>3</v>
      </c>
      <c r="Q1507" s="5">
        <v>699</v>
      </c>
      <c r="R1507" s="74">
        <v>0.3</v>
      </c>
      <c r="S1507" s="75">
        <f>OrdersTable[[#This Row],[Quantity]]*OrdersTable[[#This Row],[Unit Price]]</f>
        <v>2097</v>
      </c>
      <c r="T1507" s="5">
        <f>OrdersTable[[#This Row],[Gross Sale]]*OrdersTable[[#This Row],[Discount_Clean2]]</f>
        <v>629.1</v>
      </c>
      <c r="U1507" s="5">
        <f>OrdersTable[[#This Row],[Gross Sale]]-OrdersTable[[#This Row],[Discount Amount]]</f>
        <v>1467.9</v>
      </c>
      <c r="V1507" s="77">
        <f>INDEX(Products!E:E,MATCH(OrdersTable[[#This Row],[Product ID]],Products!A:A,0))</f>
        <v>245</v>
      </c>
      <c r="W1507" s="77">
        <f>OrdersTable[[#This Row],[Quantity]]*OrdersTable[[#This Row],[Unit Cost]]</f>
        <v>735</v>
      </c>
      <c r="X1507" s="77">
        <f>'Dropdown Lists'!$I$2*(1+OrdersTable[[#This Row],[Returned]])</f>
        <v>120</v>
      </c>
      <c r="Y1507" s="76">
        <f>OrdersTable[[#This Row],[Net Revenue]]-OrdersTable[[#This Row],[COGS]]-OrdersTable[[#This Row],[Shipping Cost]]</f>
        <v>612.90000000000009</v>
      </c>
      <c r="Z1507" s="78">
        <f>IFERROR(OrdersTable[[#This Row],[Profit]]/OrdersTable[[#This Row],[Net Revenue]],0)</f>
        <v>0.41753525444512574</v>
      </c>
      <c r="AA1507" t="s">
        <v>4450</v>
      </c>
      <c r="AB1507" s="79">
        <v>45581</v>
      </c>
      <c r="AC1507">
        <f>OrdersTable[[#This Row],[Delivery Date]]-OrdersTable[[#This Row],[Order Date]]</f>
        <v>3</v>
      </c>
      <c r="AD1507" t="str">
        <f>IF(OrdersTable[[#This Row],[Delivery Days]]&lt;=2, "Express (≤2d)", IF(OrdersTable[[#This Row],[Delivery Days]]&lt;=4, "Standard (3-4d)", "Delayed (5d+)"))</f>
        <v>Standard (3-4d)</v>
      </c>
      <c r="AF1507">
        <v>1</v>
      </c>
    </row>
    <row r="1508" spans="1:32" ht="15" x14ac:dyDescent="0.35">
      <c r="A1508" t="s">
        <v>2961</v>
      </c>
      <c r="B1508" s="1">
        <v>45578</v>
      </c>
      <c r="C1508">
        <f>YEAR(OrdersTable[[#This Row],[Order Date]])</f>
        <v>2024</v>
      </c>
      <c r="D1508" s="2">
        <f>DATE(YEAR(OrdersTable[[#This Row],[Order Date]]),MONTH(OrdersTable[[#This Row],[Order Date]]),1)</f>
        <v>45566</v>
      </c>
      <c r="E1508">
        <f>MONTH(OrdersTable[[#This Row],[Order Date]])</f>
        <v>10</v>
      </c>
      <c r="F1508" t="s">
        <v>274</v>
      </c>
      <c r="G1508" t="str">
        <f>IF(OrdersTable[[#This Row],[Order Date]]=_xlfn.MINIFS(Order_Date, Customer_ID, OrdersTable[[#This Row],[Customer ID]]), "New", "Repeat")</f>
        <v>Repeat</v>
      </c>
      <c r="H1508" t="s">
        <v>167</v>
      </c>
      <c r="I1508" t="str">
        <f>INDEX(State!B:B,MATCH(OrdersTable[[#This Row],[State]],State!A:A,0))</f>
        <v>KA</v>
      </c>
      <c r="J1508" t="str">
        <f>INDEX(State!C:C,MATCH(OrdersTable[[#This Row],[State Code]],State!B:B,0))</f>
        <v>South</v>
      </c>
      <c r="K1508" t="s">
        <v>190</v>
      </c>
      <c r="L1508" t="s">
        <v>23</v>
      </c>
      <c r="M1508" t="s">
        <v>160</v>
      </c>
      <c r="N1508" t="str">
        <f>INDEX(Products!B:B,MATCH(OrdersTable[[#This Row],[Product ID]],Products!A:A,0))</f>
        <v>Niacinamide Toner</v>
      </c>
      <c r="O1508" t="str">
        <f>INDEX(Products!C:C,MATCH(OrdersTable[[#This Row],[Product ID]],Products!A:A,0))</f>
        <v>Skincare</v>
      </c>
      <c r="P1508">
        <v>1</v>
      </c>
      <c r="Q1508" s="5">
        <v>399</v>
      </c>
      <c r="R1508" s="74">
        <v>0.25</v>
      </c>
      <c r="S1508" s="75">
        <f>OrdersTable[[#This Row],[Quantity]]*OrdersTable[[#This Row],[Unit Price]]</f>
        <v>399</v>
      </c>
      <c r="T1508" s="5">
        <f>OrdersTable[[#This Row],[Gross Sale]]*OrdersTable[[#This Row],[Discount_Clean2]]</f>
        <v>99.75</v>
      </c>
      <c r="U1508" s="5">
        <f>OrdersTable[[#This Row],[Gross Sale]]-OrdersTable[[#This Row],[Discount Amount]]</f>
        <v>299.25</v>
      </c>
      <c r="V1508" s="77">
        <f>INDEX(Products!E:E,MATCH(OrdersTable[[#This Row],[Product ID]],Products!A:A,0))</f>
        <v>112</v>
      </c>
      <c r="W1508" s="77">
        <f>OrdersTable[[#This Row],[Quantity]]*OrdersTable[[#This Row],[Unit Cost]]</f>
        <v>112</v>
      </c>
      <c r="X1508" s="77">
        <f>'Dropdown Lists'!$I$2*(1+OrdersTable[[#This Row],[Returned]])</f>
        <v>60</v>
      </c>
      <c r="Y1508" s="76">
        <f>OrdersTable[[#This Row],[Net Revenue]]-OrdersTable[[#This Row],[COGS]]-OrdersTable[[#This Row],[Shipping Cost]]</f>
        <v>127.25</v>
      </c>
      <c r="Z1508" s="78">
        <f>IFERROR(OrdersTable[[#This Row],[Profit]]/OrdersTable[[#This Row],[Net Revenue]],0)</f>
        <v>0.42522974101921468</v>
      </c>
      <c r="AA1508" t="s">
        <v>2522</v>
      </c>
      <c r="AB1508" s="79">
        <v>45579</v>
      </c>
      <c r="AC1508">
        <f>OrdersTable[[#This Row],[Delivery Date]]-OrdersTable[[#This Row],[Order Date]]</f>
        <v>1</v>
      </c>
      <c r="AD1508" t="str">
        <f>IF(OrdersTable[[#This Row],[Delivery Days]]&lt;=2, "Express (≤2d)", IF(OrdersTable[[#This Row],[Delivery Days]]&lt;=4, "Standard (3-4d)", "Delayed (5d+)"))</f>
        <v>Express (≤2d)</v>
      </c>
      <c r="AF1508">
        <v>0</v>
      </c>
    </row>
    <row r="1509" spans="1:32" ht="15" x14ac:dyDescent="0.35">
      <c r="A1509" t="s">
        <v>2320</v>
      </c>
      <c r="B1509" s="1">
        <v>45578</v>
      </c>
      <c r="C1509">
        <f>YEAR(OrdersTable[[#This Row],[Order Date]])</f>
        <v>2024</v>
      </c>
      <c r="D1509" s="2">
        <f>DATE(YEAR(OrdersTable[[#This Row],[Order Date]]),MONTH(OrdersTable[[#This Row],[Order Date]]),1)</f>
        <v>45566</v>
      </c>
      <c r="E1509">
        <f>MONTH(OrdersTable[[#This Row],[Order Date]])</f>
        <v>10</v>
      </c>
      <c r="F1509" t="s">
        <v>573</v>
      </c>
      <c r="G1509" t="str">
        <f>IF(OrdersTable[[#This Row],[Order Date]]=_xlfn.MINIFS(Order_Date, Customer_ID, OrdersTable[[#This Row],[Customer ID]]), "New", "Repeat")</f>
        <v>Repeat</v>
      </c>
      <c r="H1509" t="s">
        <v>167</v>
      </c>
      <c r="I1509" t="str">
        <f>INDEX(State!B:B,MATCH(OrdersTable[[#This Row],[State]],State!A:A,0))</f>
        <v>KA</v>
      </c>
      <c r="J1509" t="str">
        <f>INDEX(State!C:C,MATCH(OrdersTable[[#This Row],[State Code]],State!B:B,0))</f>
        <v>South</v>
      </c>
      <c r="K1509" t="s">
        <v>190</v>
      </c>
      <c r="L1509" t="s">
        <v>65</v>
      </c>
      <c r="M1509" t="s">
        <v>78</v>
      </c>
      <c r="N1509" t="str">
        <f>INDEX(Products!B:B,MATCH(OrdersTable[[#This Row],[Product ID]],Products!A:A,0))</f>
        <v>Retinol Night Cream</v>
      </c>
      <c r="O1509" t="str">
        <f>INDEX(Products!C:C,MATCH(OrdersTable[[#This Row],[Product ID]],Products!A:A,0))</f>
        <v>Skincare</v>
      </c>
      <c r="P1509">
        <v>1</v>
      </c>
      <c r="Q1509" s="5">
        <v>799</v>
      </c>
      <c r="R1509" s="74">
        <v>0.25</v>
      </c>
      <c r="S1509" s="75">
        <f>OrdersTable[[#This Row],[Quantity]]*OrdersTable[[#This Row],[Unit Price]]</f>
        <v>799</v>
      </c>
      <c r="T1509" s="5">
        <f>OrdersTable[[#This Row],[Gross Sale]]*OrdersTable[[#This Row],[Discount_Clean2]]</f>
        <v>199.75</v>
      </c>
      <c r="U1509" s="5">
        <f>OrdersTable[[#This Row],[Gross Sale]]-OrdersTable[[#This Row],[Discount Amount]]</f>
        <v>599.25</v>
      </c>
      <c r="V1509" s="77">
        <f>INDEX(Products!E:E,MATCH(OrdersTable[[#This Row],[Product ID]],Products!A:A,0))</f>
        <v>216</v>
      </c>
      <c r="W1509" s="77">
        <f>OrdersTable[[#This Row],[Quantity]]*OrdersTable[[#This Row],[Unit Cost]]</f>
        <v>216</v>
      </c>
      <c r="X1509" s="77">
        <f>'Dropdown Lists'!$I$2*(1+OrdersTable[[#This Row],[Returned]])</f>
        <v>60</v>
      </c>
      <c r="Y1509" s="76">
        <f>OrdersTable[[#This Row],[Net Revenue]]-OrdersTable[[#This Row],[COGS]]-OrdersTable[[#This Row],[Shipping Cost]]</f>
        <v>323.25</v>
      </c>
      <c r="Z1509" s="78">
        <f>IFERROR(OrdersTable[[#This Row],[Profit]]/OrdersTable[[#This Row],[Net Revenue]],0)</f>
        <v>0.5394242803504381</v>
      </c>
      <c r="AA1509" t="s">
        <v>18</v>
      </c>
      <c r="AB1509" s="79">
        <v>45579</v>
      </c>
      <c r="AC1509">
        <f>OrdersTable[[#This Row],[Delivery Date]]-OrdersTable[[#This Row],[Order Date]]</f>
        <v>1</v>
      </c>
      <c r="AD1509" t="str">
        <f>IF(OrdersTable[[#This Row],[Delivery Days]]&lt;=2, "Express (≤2d)", IF(OrdersTable[[#This Row],[Delivery Days]]&lt;=4, "Standard (3-4d)", "Delayed (5d+)"))</f>
        <v>Express (≤2d)</v>
      </c>
      <c r="AE1509">
        <v>5</v>
      </c>
      <c r="AF1509">
        <v>0</v>
      </c>
    </row>
    <row r="1510" spans="1:32" ht="15" x14ac:dyDescent="0.35">
      <c r="A1510" t="s">
        <v>2745</v>
      </c>
      <c r="B1510" s="1">
        <v>45579</v>
      </c>
      <c r="C1510">
        <f>YEAR(OrdersTable[[#This Row],[Order Date]])</f>
        <v>2024</v>
      </c>
      <c r="D1510" s="2">
        <f>DATE(YEAR(OrdersTable[[#This Row],[Order Date]]),MONTH(OrdersTable[[#This Row],[Order Date]]),1)</f>
        <v>45566</v>
      </c>
      <c r="E1510">
        <f>MONTH(OrdersTable[[#This Row],[Order Date]])</f>
        <v>10</v>
      </c>
      <c r="F1510" t="s">
        <v>2746</v>
      </c>
      <c r="G1510" t="str">
        <f>IF(OrdersTable[[#This Row],[Order Date]]=_xlfn.MINIFS(Order_Date, Customer_ID, OrdersTable[[#This Row],[Customer ID]]), "New", "Repeat")</f>
        <v>New</v>
      </c>
      <c r="H1510" t="s">
        <v>21</v>
      </c>
      <c r="I1510" t="str">
        <f>INDEX(State!B:B,MATCH(OrdersTable[[#This Row],[State]],State!A:A,0))</f>
        <v>PB</v>
      </c>
      <c r="J1510" t="str">
        <f>INDEX(State!C:C,MATCH(OrdersTable[[#This Row],[State Code]],State!B:B,0))</f>
        <v>North</v>
      </c>
      <c r="K1510" t="s">
        <v>22</v>
      </c>
      <c r="L1510" t="s">
        <v>65</v>
      </c>
      <c r="M1510" t="s">
        <v>51</v>
      </c>
      <c r="N1510" t="str">
        <f>INDEX(Products!B:B,MATCH(OrdersTable[[#This Row],[Product ID]],Products!A:A,0))</f>
        <v>Anti-Dandruff Conditioner</v>
      </c>
      <c r="O1510" t="str">
        <f>INDEX(Products!C:C,MATCH(OrdersTable[[#This Row],[Product ID]],Products!A:A,0))</f>
        <v>Haircare</v>
      </c>
      <c r="P1510">
        <v>1</v>
      </c>
      <c r="Q1510" s="5">
        <v>399</v>
      </c>
      <c r="R1510" s="74">
        <v>0.6</v>
      </c>
      <c r="S1510" s="75">
        <f>OrdersTable[[#This Row],[Quantity]]*OrdersTable[[#This Row],[Unit Price]]</f>
        <v>399</v>
      </c>
      <c r="T1510" s="5">
        <f>OrdersTable[[#This Row],[Gross Sale]]*OrdersTable[[#This Row],[Discount_Clean2]]</f>
        <v>239.39999999999998</v>
      </c>
      <c r="U1510" s="5">
        <f>OrdersTable[[#This Row],[Gross Sale]]-OrdersTable[[#This Row],[Discount Amount]]</f>
        <v>159.60000000000002</v>
      </c>
      <c r="V1510" s="77">
        <f>INDEX(Products!E:E,MATCH(OrdersTable[[#This Row],[Product ID]],Products!A:A,0))</f>
        <v>136</v>
      </c>
      <c r="W1510" s="77">
        <f>OrdersTable[[#This Row],[Quantity]]*OrdersTable[[#This Row],[Unit Cost]]</f>
        <v>136</v>
      </c>
      <c r="X1510" s="77">
        <f>'Dropdown Lists'!$I$2*(1+OrdersTable[[#This Row],[Returned]])</f>
        <v>60</v>
      </c>
      <c r="Y1510" s="76">
        <f>OrdersTable[[#This Row],[Net Revenue]]-OrdersTable[[#This Row],[COGS]]-OrdersTable[[#This Row],[Shipping Cost]]</f>
        <v>-36.399999999999977</v>
      </c>
      <c r="Z1510" s="78">
        <f>IFERROR(OrdersTable[[#This Row],[Profit]]/OrdersTable[[#This Row],[Net Revenue]],0)</f>
        <v>-0.22807017543859631</v>
      </c>
      <c r="AA1510" t="s">
        <v>2522</v>
      </c>
      <c r="AB1510" s="79">
        <v>45582</v>
      </c>
      <c r="AC1510">
        <f>OrdersTable[[#This Row],[Delivery Date]]-OrdersTable[[#This Row],[Order Date]]</f>
        <v>3</v>
      </c>
      <c r="AD1510" t="str">
        <f>IF(OrdersTable[[#This Row],[Delivery Days]]&lt;=2, "Express (≤2d)", IF(OrdersTable[[#This Row],[Delivery Days]]&lt;=4, "Standard (3-4d)", "Delayed (5d+)"))</f>
        <v>Standard (3-4d)</v>
      </c>
      <c r="AE1510">
        <v>3</v>
      </c>
      <c r="AF1510">
        <v>0</v>
      </c>
    </row>
    <row r="1511" spans="1:32" ht="15" x14ac:dyDescent="0.35">
      <c r="A1511" t="s">
        <v>2962</v>
      </c>
      <c r="B1511" s="1">
        <v>45579</v>
      </c>
      <c r="C1511">
        <f>YEAR(OrdersTable[[#This Row],[Order Date]])</f>
        <v>2024</v>
      </c>
      <c r="D1511" s="2">
        <f>DATE(YEAR(OrdersTable[[#This Row],[Order Date]]),MONTH(OrdersTable[[#This Row],[Order Date]]),1)</f>
        <v>45566</v>
      </c>
      <c r="E1511">
        <f>MONTH(OrdersTable[[#This Row],[Order Date]])</f>
        <v>10</v>
      </c>
      <c r="F1511" t="s">
        <v>352</v>
      </c>
      <c r="G1511" t="str">
        <f>IF(OrdersTable[[#This Row],[Order Date]]=_xlfn.MINIFS(Order_Date, Customer_ID, OrdersTable[[#This Row],[Customer ID]]), "New", "Repeat")</f>
        <v>Repeat</v>
      </c>
      <c r="H1511" t="s">
        <v>54</v>
      </c>
      <c r="I1511" t="str">
        <f>INDEX(State!B:B,MATCH(OrdersTable[[#This Row],[State]],State!A:A,0))</f>
        <v>RJ</v>
      </c>
      <c r="J1511" t="str">
        <f>INDEX(State!C:C,MATCH(OrdersTable[[#This Row],[State Code]],State!B:B,0))</f>
        <v>North</v>
      </c>
      <c r="K1511" t="s">
        <v>55</v>
      </c>
      <c r="L1511" t="s">
        <v>65</v>
      </c>
      <c r="M1511" t="s">
        <v>205</v>
      </c>
      <c r="N1511" t="str">
        <f>INDEX(Products!B:B,MATCH(OrdersTable[[#This Row],[Product ID]],Products!A:A,0))</f>
        <v>Running Shoes</v>
      </c>
      <c r="O1511" t="str">
        <f>INDEX(Products!C:C,MATCH(OrdersTable[[#This Row],[Product ID]],Products!A:A,0))</f>
        <v>Footwear</v>
      </c>
      <c r="P1511">
        <v>1</v>
      </c>
      <c r="Q1511" s="5">
        <v>2999</v>
      </c>
      <c r="R1511" s="74">
        <v>0.2</v>
      </c>
      <c r="S1511" s="75">
        <f>OrdersTable[[#This Row],[Quantity]]*OrdersTable[[#This Row],[Unit Price]]</f>
        <v>2999</v>
      </c>
      <c r="T1511" s="5">
        <f>OrdersTable[[#This Row],[Gross Sale]]*OrdersTable[[#This Row],[Discount_Clean2]]</f>
        <v>599.80000000000007</v>
      </c>
      <c r="U1511" s="5">
        <f>OrdersTable[[#This Row],[Gross Sale]]-OrdersTable[[#This Row],[Discount Amount]]</f>
        <v>2399.1999999999998</v>
      </c>
      <c r="V1511" s="77">
        <f>INDEX(Products!E:E,MATCH(OrdersTable[[#This Row],[Product ID]],Products!A:A,0))</f>
        <v>1440</v>
      </c>
      <c r="W1511" s="77">
        <f>OrdersTable[[#This Row],[Quantity]]*OrdersTable[[#This Row],[Unit Cost]]</f>
        <v>1440</v>
      </c>
      <c r="X1511" s="77">
        <f>'Dropdown Lists'!$I$2*(1+OrdersTable[[#This Row],[Returned]])</f>
        <v>60</v>
      </c>
      <c r="Y1511" s="76">
        <f>OrdersTable[[#This Row],[Net Revenue]]-OrdersTable[[#This Row],[COGS]]-OrdersTable[[#This Row],[Shipping Cost]]</f>
        <v>899.19999999999982</v>
      </c>
      <c r="Z1511" s="78">
        <f>IFERROR(OrdersTable[[#This Row],[Profit]]/OrdersTable[[#This Row],[Net Revenue]],0)</f>
        <v>0.3747915971990663</v>
      </c>
      <c r="AA1511" t="s">
        <v>2522</v>
      </c>
      <c r="AB1511" s="79">
        <v>45583</v>
      </c>
      <c r="AC1511">
        <f>OrdersTable[[#This Row],[Delivery Date]]-OrdersTable[[#This Row],[Order Date]]</f>
        <v>4</v>
      </c>
      <c r="AD1511" t="str">
        <f>IF(OrdersTable[[#This Row],[Delivery Days]]&lt;=2, "Express (≤2d)", IF(OrdersTable[[#This Row],[Delivery Days]]&lt;=4, "Standard (3-4d)", "Delayed (5d+)"))</f>
        <v>Standard (3-4d)</v>
      </c>
      <c r="AF1511">
        <v>0</v>
      </c>
    </row>
    <row r="1512" spans="1:32" ht="15" x14ac:dyDescent="0.35">
      <c r="A1512" t="s">
        <v>4484</v>
      </c>
      <c r="B1512" s="1">
        <v>45579</v>
      </c>
      <c r="C1512">
        <f>YEAR(OrdersTable[[#This Row],[Order Date]])</f>
        <v>2024</v>
      </c>
      <c r="D1512" s="2">
        <f>DATE(YEAR(OrdersTable[[#This Row],[Order Date]]),MONTH(OrdersTable[[#This Row],[Order Date]]),1)</f>
        <v>45566</v>
      </c>
      <c r="E1512">
        <f>MONTH(OrdersTable[[#This Row],[Order Date]])</f>
        <v>10</v>
      </c>
      <c r="F1512" t="s">
        <v>2531</v>
      </c>
      <c r="G1512" t="str">
        <f>IF(OrdersTable[[#This Row],[Order Date]]=_xlfn.MINIFS(Order_Date, Customer_ID, OrdersTable[[#This Row],[Customer ID]]), "New", "Repeat")</f>
        <v>Repeat</v>
      </c>
      <c r="H1512" t="s">
        <v>76</v>
      </c>
      <c r="I1512" t="str">
        <f>INDEX(State!B:B,MATCH(OrdersTable[[#This Row],[State]],State!A:A,0))</f>
        <v>UP</v>
      </c>
      <c r="J1512" t="str">
        <f>INDEX(State!C:C,MATCH(OrdersTable[[#This Row],[State Code]],State!B:B,0))</f>
        <v>North</v>
      </c>
      <c r="K1512" t="s">
        <v>77</v>
      </c>
      <c r="L1512" t="s">
        <v>16</v>
      </c>
      <c r="M1512" t="s">
        <v>205</v>
      </c>
      <c r="N1512" t="str">
        <f>INDEX(Products!B:B,MATCH(OrdersTable[[#This Row],[Product ID]],Products!A:A,0))</f>
        <v>Running Shoes</v>
      </c>
      <c r="O1512" t="str">
        <f>INDEX(Products!C:C,MATCH(OrdersTable[[#This Row],[Product ID]],Products!A:A,0))</f>
        <v>Footwear</v>
      </c>
      <c r="P1512">
        <v>1</v>
      </c>
      <c r="Q1512" s="5">
        <v>2999</v>
      </c>
      <c r="R1512" s="74">
        <v>0.25</v>
      </c>
      <c r="S1512" s="75">
        <f>OrdersTable[[#This Row],[Quantity]]*OrdersTable[[#This Row],[Unit Price]]</f>
        <v>2999</v>
      </c>
      <c r="T1512" s="5">
        <f>OrdersTable[[#This Row],[Gross Sale]]*OrdersTable[[#This Row],[Discount_Clean2]]</f>
        <v>749.75</v>
      </c>
      <c r="U1512" s="5">
        <f>OrdersTable[[#This Row],[Gross Sale]]-OrdersTable[[#This Row],[Discount Amount]]</f>
        <v>2249.25</v>
      </c>
      <c r="V1512" s="77">
        <f>INDEX(Products!E:E,MATCH(OrdersTable[[#This Row],[Product ID]],Products!A:A,0))</f>
        <v>1440</v>
      </c>
      <c r="W1512" s="77">
        <f>OrdersTable[[#This Row],[Quantity]]*OrdersTable[[#This Row],[Unit Cost]]</f>
        <v>1440</v>
      </c>
      <c r="X1512" s="77">
        <f>'Dropdown Lists'!$I$2*(1+OrdersTable[[#This Row],[Returned]])</f>
        <v>60</v>
      </c>
      <c r="Y1512" s="76">
        <f>OrdersTable[[#This Row],[Net Revenue]]-OrdersTable[[#This Row],[COGS]]-OrdersTable[[#This Row],[Shipping Cost]]</f>
        <v>749.25</v>
      </c>
      <c r="Z1512" s="78">
        <f>IFERROR(OrdersTable[[#This Row],[Profit]]/OrdersTable[[#This Row],[Net Revenue]],0)</f>
        <v>0.33311103701233746</v>
      </c>
      <c r="AA1512" t="s">
        <v>4450</v>
      </c>
      <c r="AB1512" s="79">
        <v>45583</v>
      </c>
      <c r="AC1512">
        <f>OrdersTable[[#This Row],[Delivery Date]]-OrdersTable[[#This Row],[Order Date]]</f>
        <v>4</v>
      </c>
      <c r="AD1512" t="str">
        <f>IF(OrdersTable[[#This Row],[Delivery Days]]&lt;=2, "Express (≤2d)", IF(OrdersTable[[#This Row],[Delivery Days]]&lt;=4, "Standard (3-4d)", "Delayed (5d+)"))</f>
        <v>Standard (3-4d)</v>
      </c>
      <c r="AE1512">
        <v>4</v>
      </c>
      <c r="AF1512">
        <v>0</v>
      </c>
    </row>
    <row r="1513" spans="1:32" ht="15" x14ac:dyDescent="0.35">
      <c r="A1513" t="s">
        <v>6310</v>
      </c>
      <c r="B1513" s="1">
        <v>45579</v>
      </c>
      <c r="C1513">
        <f>YEAR(OrdersTable[[#This Row],[Order Date]])</f>
        <v>2024</v>
      </c>
      <c r="D1513" s="2">
        <f>DATE(YEAR(OrdersTable[[#This Row],[Order Date]]),MONTH(OrdersTable[[#This Row],[Order Date]]),1)</f>
        <v>45566</v>
      </c>
      <c r="E1513">
        <f>MONTH(OrdersTable[[#This Row],[Order Date]])</f>
        <v>10</v>
      </c>
      <c r="F1513" t="s">
        <v>189</v>
      </c>
      <c r="G1513" t="str">
        <f>IF(OrdersTable[[#This Row],[Order Date]]=_xlfn.MINIFS(Order_Date, Customer_ID, OrdersTable[[#This Row],[Customer ID]]), "New", "Repeat")</f>
        <v>Repeat</v>
      </c>
      <c r="H1513" t="s">
        <v>132</v>
      </c>
      <c r="I1513" t="str">
        <f>INDEX(State!B:B,MATCH(OrdersTable[[#This Row],[State]],State!A:A,0))</f>
        <v>AS</v>
      </c>
      <c r="J1513" t="str">
        <f>INDEX(State!C:C,MATCH(OrdersTable[[#This Row],[State Code]],State!B:B,0))</f>
        <v>East</v>
      </c>
      <c r="K1513" t="s">
        <v>133</v>
      </c>
      <c r="L1513" t="s">
        <v>23</v>
      </c>
      <c r="M1513" t="s">
        <v>152</v>
      </c>
      <c r="N1513" t="str">
        <f>INDEX(Products!B:B,MATCH(OrdersTable[[#This Row],[Product ID]],Products!A:A,0))</f>
        <v>Green Tea (100 bags)</v>
      </c>
      <c r="O1513" t="str">
        <f>INDEX(Products!C:C,MATCH(OrdersTable[[#This Row],[Product ID]],Products!A:A,0))</f>
        <v>Wellness</v>
      </c>
      <c r="P1513">
        <v>2</v>
      </c>
      <c r="Q1513" s="5">
        <v>399</v>
      </c>
      <c r="R1513" s="74">
        <v>0.55000000000000004</v>
      </c>
      <c r="S1513" s="75">
        <f>OrdersTable[[#This Row],[Quantity]]*OrdersTable[[#This Row],[Unit Price]]</f>
        <v>798</v>
      </c>
      <c r="T1513" s="5">
        <f>OrdersTable[[#This Row],[Gross Sale]]*OrdersTable[[#This Row],[Discount_Clean2]]</f>
        <v>438.90000000000003</v>
      </c>
      <c r="U1513" s="5">
        <f>OrdersTable[[#This Row],[Gross Sale]]-OrdersTable[[#This Row],[Discount Amount]]</f>
        <v>359.09999999999997</v>
      </c>
      <c r="V1513" s="77">
        <f>INDEX(Products!E:E,MATCH(OrdersTable[[#This Row],[Product ID]],Products!A:A,0))</f>
        <v>128</v>
      </c>
      <c r="W1513" s="77">
        <f>OrdersTable[[#This Row],[Quantity]]*OrdersTable[[#This Row],[Unit Cost]]</f>
        <v>256</v>
      </c>
      <c r="X1513" s="77">
        <f>'Dropdown Lists'!$I$2*(1+OrdersTable[[#This Row],[Returned]])</f>
        <v>120</v>
      </c>
      <c r="Y1513" s="76">
        <f>OrdersTable[[#This Row],[Net Revenue]]-OrdersTable[[#This Row],[COGS]]-OrdersTable[[#This Row],[Shipping Cost]]</f>
        <v>-16.900000000000034</v>
      </c>
      <c r="Z1513" s="78">
        <f>IFERROR(OrdersTable[[#This Row],[Profit]]/OrdersTable[[#This Row],[Net Revenue]],0)</f>
        <v>-4.7062099693678743E-2</v>
      </c>
      <c r="AA1513" t="s">
        <v>18</v>
      </c>
      <c r="AB1513" s="79">
        <v>45584</v>
      </c>
      <c r="AC1513">
        <f>OrdersTable[[#This Row],[Delivery Date]]-OrdersTable[[#This Row],[Order Date]]</f>
        <v>5</v>
      </c>
      <c r="AD1513" t="str">
        <f>IF(OrdersTable[[#This Row],[Delivery Days]]&lt;=2, "Express (≤2d)", IF(OrdersTable[[#This Row],[Delivery Days]]&lt;=4, "Standard (3-4d)", "Delayed (5d+)"))</f>
        <v>Delayed (5d+)</v>
      </c>
      <c r="AF1513">
        <v>1</v>
      </c>
    </row>
    <row r="1514" spans="1:32" ht="15" x14ac:dyDescent="0.35">
      <c r="A1514" t="s">
        <v>6690</v>
      </c>
      <c r="B1514" s="1">
        <v>45579</v>
      </c>
      <c r="C1514">
        <f>YEAR(OrdersTable[[#This Row],[Order Date]])</f>
        <v>2024</v>
      </c>
      <c r="D1514" s="2">
        <f>DATE(YEAR(OrdersTable[[#This Row],[Order Date]]),MONTH(OrdersTable[[#This Row],[Order Date]]),1)</f>
        <v>45566</v>
      </c>
      <c r="E1514">
        <f>MONTH(OrdersTable[[#This Row],[Order Date]])</f>
        <v>10</v>
      </c>
      <c r="F1514" t="s">
        <v>2496</v>
      </c>
      <c r="G1514" t="str">
        <f>IF(OrdersTable[[#This Row],[Order Date]]=_xlfn.MINIFS(Order_Date, Customer_ID, OrdersTable[[#This Row],[Customer ID]]), "New", "Repeat")</f>
        <v>Repeat</v>
      </c>
      <c r="H1514" t="s">
        <v>43</v>
      </c>
      <c r="I1514" t="str">
        <f>INDEX(State!B:B,MATCH(OrdersTable[[#This Row],[State]],State!A:A,0))</f>
        <v>MP</v>
      </c>
      <c r="J1514" t="str">
        <f>INDEX(State!C:C,MATCH(OrdersTable[[#This Row],[State Code]],State!B:B,0))</f>
        <v>West</v>
      </c>
      <c r="K1514" t="s">
        <v>250</v>
      </c>
      <c r="L1514" t="s">
        <v>50</v>
      </c>
      <c r="M1514" t="s">
        <v>56</v>
      </c>
      <c r="N1514" t="str">
        <f>INDEX(Products!B:B,MATCH(OrdersTable[[#This Row],[Product ID]],Products!A:A,0))</f>
        <v>Vitamin C Face Serum</v>
      </c>
      <c r="O1514" t="str">
        <f>INDEX(Products!C:C,MATCH(OrdersTable[[#This Row],[Product ID]],Products!A:A,0))</f>
        <v>Skincare</v>
      </c>
      <c r="P1514">
        <v>3</v>
      </c>
      <c r="Q1514" s="5">
        <v>599</v>
      </c>
      <c r="R1514" s="74">
        <v>0.4</v>
      </c>
      <c r="S1514" s="75">
        <f>OrdersTable[[#This Row],[Quantity]]*OrdersTable[[#This Row],[Unit Price]]</f>
        <v>1797</v>
      </c>
      <c r="T1514" s="5">
        <f>OrdersTable[[#This Row],[Gross Sale]]*OrdersTable[[#This Row],[Discount_Clean2]]</f>
        <v>718.80000000000007</v>
      </c>
      <c r="U1514" s="5">
        <f>OrdersTable[[#This Row],[Gross Sale]]-OrdersTable[[#This Row],[Discount Amount]]</f>
        <v>1078.1999999999998</v>
      </c>
      <c r="V1514" s="77">
        <f>INDEX(Products!E:E,MATCH(OrdersTable[[#This Row],[Product ID]],Products!A:A,0))</f>
        <v>180</v>
      </c>
      <c r="W1514" s="77">
        <f>OrdersTable[[#This Row],[Quantity]]*OrdersTable[[#This Row],[Unit Cost]]</f>
        <v>540</v>
      </c>
      <c r="X1514" s="77">
        <f>'Dropdown Lists'!$I$2*(1+OrdersTable[[#This Row],[Returned]])</f>
        <v>60</v>
      </c>
      <c r="Y1514" s="76">
        <f>OrdersTable[[#This Row],[Net Revenue]]-OrdersTable[[#This Row],[COGS]]-OrdersTable[[#This Row],[Shipping Cost]]</f>
        <v>478.19999999999982</v>
      </c>
      <c r="Z1514" s="78">
        <f>IFERROR(OrdersTable[[#This Row],[Profit]]/OrdersTable[[#This Row],[Net Revenue]],0)</f>
        <v>0.44351697273233159</v>
      </c>
      <c r="AA1514" t="s">
        <v>2522</v>
      </c>
      <c r="AB1514" s="79">
        <v>45584</v>
      </c>
      <c r="AC1514">
        <f>OrdersTable[[#This Row],[Delivery Date]]-OrdersTable[[#This Row],[Order Date]]</f>
        <v>5</v>
      </c>
      <c r="AD1514" t="str">
        <f>IF(OrdersTable[[#This Row],[Delivery Days]]&lt;=2, "Express (≤2d)", IF(OrdersTable[[#This Row],[Delivery Days]]&lt;=4, "Standard (3-4d)", "Delayed (5d+)"))</f>
        <v>Delayed (5d+)</v>
      </c>
      <c r="AF1514">
        <v>0</v>
      </c>
    </row>
    <row r="1515" spans="1:32" ht="15" x14ac:dyDescent="0.35">
      <c r="A1515" t="s">
        <v>4062</v>
      </c>
      <c r="B1515" s="1">
        <v>45579</v>
      </c>
      <c r="C1515">
        <f>YEAR(OrdersTable[[#This Row],[Order Date]])</f>
        <v>2024</v>
      </c>
      <c r="D1515" s="2">
        <f>DATE(YEAR(OrdersTable[[#This Row],[Order Date]]),MONTH(OrdersTable[[#This Row],[Order Date]]),1)</f>
        <v>45566</v>
      </c>
      <c r="E1515">
        <f>MONTH(OrdersTable[[#This Row],[Order Date]])</f>
        <v>10</v>
      </c>
      <c r="F1515" t="s">
        <v>1093</v>
      </c>
      <c r="G1515" t="str">
        <f>IF(OrdersTable[[#This Row],[Order Date]]=_xlfn.MINIFS(Order_Date, Customer_ID, OrdersTable[[#This Row],[Customer ID]]), "New", "Repeat")</f>
        <v>Repeat</v>
      </c>
      <c r="H1515" t="s">
        <v>482</v>
      </c>
      <c r="I1515" t="str">
        <f>INDEX(State!B:B,MATCH(OrdersTable[[#This Row],[State]],State!A:A,0))</f>
        <v>CG</v>
      </c>
      <c r="J1515" t="str">
        <f>INDEX(State!C:C,MATCH(OrdersTable[[#This Row],[State Code]],State!B:B,0))</f>
        <v>East</v>
      </c>
      <c r="K1515" t="s">
        <v>483</v>
      </c>
      <c r="L1515" t="s">
        <v>23</v>
      </c>
      <c r="M1515" t="s">
        <v>106</v>
      </c>
      <c r="N1515" t="str">
        <f>INDEX(Products!B:B,MATCH(OrdersTable[[#This Row],[Product ID]],Products!A:A,0))</f>
        <v>Keratin Hair Mask</v>
      </c>
      <c r="O1515" t="str">
        <f>INDEX(Products!C:C,MATCH(OrdersTable[[#This Row],[Product ID]],Products!A:A,0))</f>
        <v>Haircare</v>
      </c>
      <c r="P1515">
        <v>1</v>
      </c>
      <c r="Q1515" s="5">
        <v>549</v>
      </c>
      <c r="R1515" s="74">
        <v>0.45</v>
      </c>
      <c r="S1515" s="75">
        <f>OrdersTable[[#This Row],[Quantity]]*OrdersTable[[#This Row],[Unit Price]]</f>
        <v>549</v>
      </c>
      <c r="T1515" s="5">
        <f>OrdersTable[[#This Row],[Gross Sale]]*OrdersTable[[#This Row],[Discount_Clean2]]</f>
        <v>247.05</v>
      </c>
      <c r="U1515" s="5">
        <f>OrdersTable[[#This Row],[Gross Sale]]-OrdersTable[[#This Row],[Discount Amount]]</f>
        <v>301.95</v>
      </c>
      <c r="V1515" s="77">
        <f>INDEX(Products!E:E,MATCH(OrdersTable[[#This Row],[Product ID]],Products!A:A,0))</f>
        <v>170</v>
      </c>
      <c r="W1515" s="77">
        <f>OrdersTable[[#This Row],[Quantity]]*OrdersTable[[#This Row],[Unit Cost]]</f>
        <v>170</v>
      </c>
      <c r="X1515" s="77">
        <f>'Dropdown Lists'!$I$2*(1+OrdersTable[[#This Row],[Returned]])</f>
        <v>60</v>
      </c>
      <c r="Y1515" s="76">
        <f>OrdersTable[[#This Row],[Net Revenue]]-OrdersTable[[#This Row],[COGS]]-OrdersTable[[#This Row],[Shipping Cost]]</f>
        <v>71.949999999999989</v>
      </c>
      <c r="Z1515" s="78">
        <f>IFERROR(OrdersTable[[#This Row],[Profit]]/OrdersTable[[#This Row],[Net Revenue]],0)</f>
        <v>0.2382844841861235</v>
      </c>
      <c r="AA1515" t="s">
        <v>3495</v>
      </c>
      <c r="AB1515" s="79">
        <v>45586</v>
      </c>
      <c r="AC1515">
        <f>OrdersTable[[#This Row],[Delivery Date]]-OrdersTable[[#This Row],[Order Date]]</f>
        <v>7</v>
      </c>
      <c r="AD1515" t="str">
        <f>IF(OrdersTable[[#This Row],[Delivery Days]]&lt;=2, "Express (≤2d)", IF(OrdersTable[[#This Row],[Delivery Days]]&lt;=4, "Standard (3-4d)", "Delayed (5d+)"))</f>
        <v>Delayed (5d+)</v>
      </c>
      <c r="AE1515">
        <v>2</v>
      </c>
      <c r="AF1515">
        <v>0</v>
      </c>
    </row>
    <row r="1516" spans="1:32" ht="15" x14ac:dyDescent="0.35">
      <c r="A1516" t="s">
        <v>7071</v>
      </c>
      <c r="B1516" s="1">
        <v>45579</v>
      </c>
      <c r="C1516">
        <f>YEAR(OrdersTable[[#This Row],[Order Date]])</f>
        <v>2024</v>
      </c>
      <c r="D1516" s="2">
        <f>DATE(YEAR(OrdersTable[[#This Row],[Order Date]]),MONTH(OrdersTable[[#This Row],[Order Date]]),1)</f>
        <v>45566</v>
      </c>
      <c r="E1516">
        <f>MONTH(OrdersTable[[#This Row],[Order Date]])</f>
        <v>10</v>
      </c>
      <c r="F1516" t="s">
        <v>6266</v>
      </c>
      <c r="G1516" t="str">
        <f>IF(OrdersTable[[#This Row],[Order Date]]=_xlfn.MINIFS(Order_Date, Customer_ID, OrdersTable[[#This Row],[Customer ID]]), "New", "Repeat")</f>
        <v>Repeat</v>
      </c>
      <c r="H1516" t="s">
        <v>71</v>
      </c>
      <c r="I1516" t="str">
        <f>INDEX(State!B:B,MATCH(OrdersTable[[#This Row],[State]],State!A:A,0))</f>
        <v>MH</v>
      </c>
      <c r="J1516" t="str">
        <f>INDEX(State!C:C,MATCH(OrdersTable[[#This Row],[State Code]],State!B:B,0))</f>
        <v>West</v>
      </c>
      <c r="K1516" t="s">
        <v>72</v>
      </c>
      <c r="L1516" t="s">
        <v>65</v>
      </c>
      <c r="M1516" t="s">
        <v>87</v>
      </c>
      <c r="N1516" t="str">
        <f>INDEX(Products!B:B,MATCH(OrdersTable[[#This Row],[Product ID]],Products!A:A,0))</f>
        <v>Linen Kurta</v>
      </c>
      <c r="O1516" t="str">
        <f>INDEX(Products!C:C,MATCH(OrdersTable[[#This Row],[Product ID]],Products!A:A,0))</f>
        <v>Apparel</v>
      </c>
      <c r="P1516">
        <v>4</v>
      </c>
      <c r="Q1516" s="5">
        <v>1499</v>
      </c>
      <c r="R1516" s="74">
        <v>0.45</v>
      </c>
      <c r="S1516" s="75">
        <f>OrdersTable[[#This Row],[Quantity]]*OrdersTable[[#This Row],[Unit Price]]</f>
        <v>5996</v>
      </c>
      <c r="T1516" s="5">
        <f>OrdersTable[[#This Row],[Gross Sale]]*OrdersTable[[#This Row],[Discount_Clean2]]</f>
        <v>2698.2000000000003</v>
      </c>
      <c r="U1516" s="5">
        <f>OrdersTable[[#This Row],[Gross Sale]]-OrdersTable[[#This Row],[Discount Amount]]</f>
        <v>3297.7999999999997</v>
      </c>
      <c r="V1516" s="77">
        <f>INDEX(Products!E:E,MATCH(OrdersTable[[#This Row],[Product ID]],Products!A:A,0))</f>
        <v>630</v>
      </c>
      <c r="W1516" s="77">
        <f>OrdersTable[[#This Row],[Quantity]]*OrdersTable[[#This Row],[Unit Cost]]</f>
        <v>2520</v>
      </c>
      <c r="X1516" s="77">
        <f>'Dropdown Lists'!$I$2*(1+OrdersTable[[#This Row],[Returned]])</f>
        <v>60</v>
      </c>
      <c r="Y1516" s="76">
        <f>OrdersTable[[#This Row],[Net Revenue]]-OrdersTable[[#This Row],[COGS]]-OrdersTable[[#This Row],[Shipping Cost]]</f>
        <v>717.79999999999973</v>
      </c>
      <c r="Z1516" s="78">
        <f>IFERROR(OrdersTable[[#This Row],[Profit]]/OrdersTable[[#This Row],[Net Revenue]],0)</f>
        <v>0.21766025835405414</v>
      </c>
      <c r="AA1516" t="s">
        <v>18</v>
      </c>
      <c r="AB1516" s="79">
        <v>45581</v>
      </c>
      <c r="AC1516">
        <f>OrdersTable[[#This Row],[Delivery Date]]-OrdersTable[[#This Row],[Order Date]]</f>
        <v>2</v>
      </c>
      <c r="AD1516" t="str">
        <f>IF(OrdersTable[[#This Row],[Delivery Days]]&lt;=2, "Express (≤2d)", IF(OrdersTable[[#This Row],[Delivery Days]]&lt;=4, "Standard (3-4d)", "Delayed (5d+)"))</f>
        <v>Express (≤2d)</v>
      </c>
      <c r="AE1516">
        <v>4</v>
      </c>
      <c r="AF1516">
        <v>0</v>
      </c>
    </row>
    <row r="1517" spans="1:32" ht="15" x14ac:dyDescent="0.35">
      <c r="A1517" t="s">
        <v>2580</v>
      </c>
      <c r="B1517" s="1">
        <v>45579</v>
      </c>
      <c r="C1517">
        <f>YEAR(OrdersTable[[#This Row],[Order Date]])</f>
        <v>2024</v>
      </c>
      <c r="D1517" s="2">
        <f>DATE(YEAR(OrdersTable[[#This Row],[Order Date]]),MONTH(OrdersTable[[#This Row],[Order Date]]),1)</f>
        <v>45566</v>
      </c>
      <c r="E1517">
        <f>MONTH(OrdersTable[[#This Row],[Order Date]])</f>
        <v>10</v>
      </c>
      <c r="F1517" t="s">
        <v>1662</v>
      </c>
      <c r="G1517" t="str">
        <f>IF(OrdersTable[[#This Row],[Order Date]]=_xlfn.MINIFS(Order_Date, Customer_ID, OrdersTable[[#This Row],[Customer ID]]), "New", "Repeat")</f>
        <v>Repeat</v>
      </c>
      <c r="H1517" t="s">
        <v>71</v>
      </c>
      <c r="I1517" t="str">
        <f>INDEX(State!B:B,MATCH(OrdersTable[[#This Row],[State]],State!A:A,0))</f>
        <v>MH</v>
      </c>
      <c r="J1517" t="str">
        <f>INDEX(State!C:C,MATCH(OrdersTable[[#This Row],[State Code]],State!B:B,0))</f>
        <v>West</v>
      </c>
      <c r="K1517" t="s">
        <v>72</v>
      </c>
      <c r="L1517" t="s">
        <v>16</v>
      </c>
      <c r="M1517" t="s">
        <v>29</v>
      </c>
      <c r="N1517" t="str">
        <f>INDEX(Products!B:B,MATCH(OrdersTable[[#This Row],[Product ID]],Products!A:A,0))</f>
        <v>Joggers</v>
      </c>
      <c r="O1517" t="str">
        <f>INDEX(Products!C:C,MATCH(OrdersTable[[#This Row],[Product ID]],Products!A:A,0))</f>
        <v>Apparel</v>
      </c>
      <c r="P1517">
        <v>1</v>
      </c>
      <c r="Q1517" s="5">
        <v>1199</v>
      </c>
      <c r="R1517" s="74">
        <v>0.15</v>
      </c>
      <c r="S1517" s="75">
        <f>OrdersTable[[#This Row],[Quantity]]*OrdersTable[[#This Row],[Unit Price]]</f>
        <v>1199</v>
      </c>
      <c r="T1517" s="5">
        <f>OrdersTable[[#This Row],[Gross Sale]]*OrdersTable[[#This Row],[Discount_Clean2]]</f>
        <v>179.85</v>
      </c>
      <c r="U1517" s="5">
        <f>OrdersTable[[#This Row],[Gross Sale]]-OrdersTable[[#This Row],[Discount Amount]]</f>
        <v>1019.15</v>
      </c>
      <c r="V1517" s="77">
        <f>INDEX(Products!E:E,MATCH(OrdersTable[[#This Row],[Product ID]],Products!A:A,0))</f>
        <v>492</v>
      </c>
      <c r="W1517" s="77">
        <f>OrdersTable[[#This Row],[Quantity]]*OrdersTable[[#This Row],[Unit Cost]]</f>
        <v>492</v>
      </c>
      <c r="X1517" s="77">
        <f>'Dropdown Lists'!$I$2*(1+OrdersTable[[#This Row],[Returned]])</f>
        <v>60</v>
      </c>
      <c r="Y1517" s="76">
        <f>OrdersTable[[#This Row],[Net Revenue]]-OrdersTable[[#This Row],[COGS]]-OrdersTable[[#This Row],[Shipping Cost]]</f>
        <v>467.15</v>
      </c>
      <c r="Z1517" s="78">
        <f>IFERROR(OrdersTable[[#This Row],[Profit]]/OrdersTable[[#This Row],[Net Revenue]],0)</f>
        <v>0.45837217288917231</v>
      </c>
      <c r="AA1517" t="s">
        <v>2522</v>
      </c>
      <c r="AB1517" s="79">
        <v>45581</v>
      </c>
      <c r="AC1517">
        <f>OrdersTable[[#This Row],[Delivery Date]]-OrdersTable[[#This Row],[Order Date]]</f>
        <v>2</v>
      </c>
      <c r="AD1517" t="str">
        <f>IF(OrdersTable[[#This Row],[Delivery Days]]&lt;=2, "Express (≤2d)", IF(OrdersTable[[#This Row],[Delivery Days]]&lt;=4, "Standard (3-4d)", "Delayed (5d+)"))</f>
        <v>Express (≤2d)</v>
      </c>
      <c r="AE1517">
        <v>5</v>
      </c>
      <c r="AF1517">
        <v>0</v>
      </c>
    </row>
    <row r="1518" spans="1:32" ht="15" x14ac:dyDescent="0.35">
      <c r="A1518" t="s">
        <v>6097</v>
      </c>
      <c r="B1518" s="1">
        <v>45579</v>
      </c>
      <c r="C1518">
        <f>YEAR(OrdersTable[[#This Row],[Order Date]])</f>
        <v>2024</v>
      </c>
      <c r="D1518" s="2">
        <f>DATE(YEAR(OrdersTable[[#This Row],[Order Date]]),MONTH(OrdersTable[[#This Row],[Order Date]]),1)</f>
        <v>45566</v>
      </c>
      <c r="E1518">
        <f>MONTH(OrdersTable[[#This Row],[Order Date]])</f>
        <v>10</v>
      </c>
      <c r="F1518" t="s">
        <v>1866</v>
      </c>
      <c r="G1518" t="str">
        <f>IF(OrdersTable[[#This Row],[Order Date]]=_xlfn.MINIFS(Order_Date, Customer_ID, OrdersTable[[#This Row],[Customer ID]]), "New", "Repeat")</f>
        <v>Repeat</v>
      </c>
      <c r="H1518" t="s">
        <v>14</v>
      </c>
      <c r="I1518" t="str">
        <f>INDEX(State!B:B,MATCH(OrdersTable[[#This Row],[State]],State!A:A,0))</f>
        <v>OD</v>
      </c>
      <c r="J1518" t="str">
        <f>INDEX(State!C:C,MATCH(OrdersTable[[#This Row],[State Code]],State!B:B,0))</f>
        <v>East</v>
      </c>
      <c r="K1518" t="s">
        <v>15</v>
      </c>
      <c r="L1518" t="s">
        <v>39</v>
      </c>
      <c r="M1518" t="s">
        <v>24</v>
      </c>
      <c r="N1518" t="str">
        <f>INDEX(Products!B:B,MATCH(OrdersTable[[#This Row],[Product ID]],Products!A:A,0))</f>
        <v>Scented Candle Set</v>
      </c>
      <c r="O1518" t="str">
        <f>INDEX(Products!C:C,MATCH(OrdersTable[[#This Row],[Product ID]],Products!A:A,0))</f>
        <v>Home &amp; Kitchen</v>
      </c>
      <c r="P1518">
        <v>2</v>
      </c>
      <c r="Q1518" s="5">
        <v>699</v>
      </c>
      <c r="R1518" s="74">
        <v>0.25</v>
      </c>
      <c r="S1518" s="75">
        <f>OrdersTable[[#This Row],[Quantity]]*OrdersTable[[#This Row],[Unit Price]]</f>
        <v>1398</v>
      </c>
      <c r="T1518" s="5">
        <f>OrdersTable[[#This Row],[Gross Sale]]*OrdersTable[[#This Row],[Discount_Clean2]]</f>
        <v>349.5</v>
      </c>
      <c r="U1518" s="5">
        <f>OrdersTable[[#This Row],[Gross Sale]]-OrdersTable[[#This Row],[Discount Amount]]</f>
        <v>1048.5</v>
      </c>
      <c r="V1518" s="77">
        <f>INDEX(Products!E:E,MATCH(OrdersTable[[#This Row],[Product ID]],Products!A:A,0))</f>
        <v>245</v>
      </c>
      <c r="W1518" s="77">
        <f>OrdersTable[[#This Row],[Quantity]]*OrdersTable[[#This Row],[Unit Cost]]</f>
        <v>490</v>
      </c>
      <c r="X1518" s="77">
        <f>'Dropdown Lists'!$I$2*(1+OrdersTable[[#This Row],[Returned]])</f>
        <v>60</v>
      </c>
      <c r="Y1518" s="76">
        <f>OrdersTable[[#This Row],[Net Revenue]]-OrdersTable[[#This Row],[COGS]]-OrdersTable[[#This Row],[Shipping Cost]]</f>
        <v>498.5</v>
      </c>
      <c r="Z1518" s="78">
        <f>IFERROR(OrdersTable[[#This Row],[Profit]]/OrdersTable[[#This Row],[Net Revenue]],0)</f>
        <v>0.47544110634239389</v>
      </c>
      <c r="AA1518" t="s">
        <v>18</v>
      </c>
      <c r="AB1518" s="79">
        <v>45582</v>
      </c>
      <c r="AC1518">
        <f>OrdersTable[[#This Row],[Delivery Date]]-OrdersTable[[#This Row],[Order Date]]</f>
        <v>3</v>
      </c>
      <c r="AD1518" t="str">
        <f>IF(OrdersTable[[#This Row],[Delivery Days]]&lt;=2, "Express (≤2d)", IF(OrdersTable[[#This Row],[Delivery Days]]&lt;=4, "Standard (3-4d)", "Delayed (5d+)"))</f>
        <v>Standard (3-4d)</v>
      </c>
      <c r="AE1518">
        <v>4</v>
      </c>
      <c r="AF1518">
        <v>0</v>
      </c>
    </row>
    <row r="1519" spans="1:32" ht="15" x14ac:dyDescent="0.35">
      <c r="A1519" t="s">
        <v>1907</v>
      </c>
      <c r="B1519" s="1">
        <v>45579</v>
      </c>
      <c r="C1519">
        <f>YEAR(OrdersTable[[#This Row],[Order Date]])</f>
        <v>2024</v>
      </c>
      <c r="D1519" s="2">
        <f>DATE(YEAR(OrdersTable[[#This Row],[Order Date]]),MONTH(OrdersTable[[#This Row],[Order Date]]),1)</f>
        <v>45566</v>
      </c>
      <c r="E1519">
        <f>MONTH(OrdersTable[[#This Row],[Order Date]])</f>
        <v>10</v>
      </c>
      <c r="F1519" t="s">
        <v>1908</v>
      </c>
      <c r="G1519" t="str">
        <f>IF(OrdersTable[[#This Row],[Order Date]]=_xlfn.MINIFS(Order_Date, Customer_ID, OrdersTable[[#This Row],[Customer ID]]), "New", "Repeat")</f>
        <v>New</v>
      </c>
      <c r="H1519" t="s">
        <v>167</v>
      </c>
      <c r="I1519" t="str">
        <f>INDEX(State!B:B,MATCH(OrdersTable[[#This Row],[State]],State!A:A,0))</f>
        <v>KA</v>
      </c>
      <c r="J1519" t="str">
        <f>INDEX(State!C:C,MATCH(OrdersTable[[#This Row],[State Code]],State!B:B,0))</f>
        <v>South</v>
      </c>
      <c r="K1519" t="s">
        <v>168</v>
      </c>
      <c r="L1519" t="s">
        <v>23</v>
      </c>
      <c r="M1519" t="s">
        <v>92</v>
      </c>
      <c r="N1519" t="str">
        <f>INDEX(Products!B:B,MATCH(OrdersTable[[#This Row],[Product ID]],Products!A:A,0))</f>
        <v>Kolhapuri Sandals</v>
      </c>
      <c r="O1519" t="str">
        <f>INDEX(Products!C:C,MATCH(OrdersTable[[#This Row],[Product ID]],Products!A:A,0))</f>
        <v>Footwear</v>
      </c>
      <c r="P1519">
        <v>1</v>
      </c>
      <c r="Q1519" s="5">
        <v>999</v>
      </c>
      <c r="R1519" s="74">
        <v>0.2</v>
      </c>
      <c r="S1519" s="75">
        <f>OrdersTable[[#This Row],[Quantity]]*OrdersTable[[#This Row],[Unit Price]]</f>
        <v>999</v>
      </c>
      <c r="T1519" s="5">
        <f>OrdersTable[[#This Row],[Gross Sale]]*OrdersTable[[#This Row],[Discount_Clean2]]</f>
        <v>199.8</v>
      </c>
      <c r="U1519" s="5">
        <f>OrdersTable[[#This Row],[Gross Sale]]-OrdersTable[[#This Row],[Discount Amount]]</f>
        <v>799.2</v>
      </c>
      <c r="V1519" s="77">
        <f>INDEX(Products!E:E,MATCH(OrdersTable[[#This Row],[Product ID]],Products!A:A,0))</f>
        <v>400</v>
      </c>
      <c r="W1519" s="77">
        <f>OrdersTable[[#This Row],[Quantity]]*OrdersTable[[#This Row],[Unit Cost]]</f>
        <v>400</v>
      </c>
      <c r="X1519" s="77">
        <f>'Dropdown Lists'!$I$2*(1+OrdersTable[[#This Row],[Returned]])</f>
        <v>60</v>
      </c>
      <c r="Y1519" s="76">
        <f>OrdersTable[[#This Row],[Net Revenue]]-OrdersTable[[#This Row],[COGS]]-OrdersTable[[#This Row],[Shipping Cost]]</f>
        <v>339.20000000000005</v>
      </c>
      <c r="Z1519" s="78">
        <f>IFERROR(OrdersTable[[#This Row],[Profit]]/OrdersTable[[#This Row],[Net Revenue]],0)</f>
        <v>0.42442442442442446</v>
      </c>
      <c r="AA1519" t="s">
        <v>18</v>
      </c>
      <c r="AB1519" s="79">
        <v>45582</v>
      </c>
      <c r="AC1519">
        <f>OrdersTable[[#This Row],[Delivery Date]]-OrdersTable[[#This Row],[Order Date]]</f>
        <v>3</v>
      </c>
      <c r="AD1519" t="str">
        <f>IF(OrdersTable[[#This Row],[Delivery Days]]&lt;=2, "Express (≤2d)", IF(OrdersTable[[#This Row],[Delivery Days]]&lt;=4, "Standard (3-4d)", "Delayed (5d+)"))</f>
        <v>Standard (3-4d)</v>
      </c>
      <c r="AE1519">
        <v>3</v>
      </c>
      <c r="AF1519">
        <v>0</v>
      </c>
    </row>
    <row r="1520" spans="1:32" ht="15" x14ac:dyDescent="0.35">
      <c r="A1520" t="s">
        <v>6098</v>
      </c>
      <c r="B1520" s="1">
        <v>45579</v>
      </c>
      <c r="C1520">
        <f>YEAR(OrdersTable[[#This Row],[Order Date]])</f>
        <v>2024</v>
      </c>
      <c r="D1520" s="2">
        <f>DATE(YEAR(OrdersTable[[#This Row],[Order Date]]),MONTH(OrdersTable[[#This Row],[Order Date]]),1)</f>
        <v>45566</v>
      </c>
      <c r="E1520">
        <f>MONTH(OrdersTable[[#This Row],[Order Date]])</f>
        <v>10</v>
      </c>
      <c r="F1520" t="s">
        <v>6052</v>
      </c>
      <c r="G1520" t="str">
        <f>IF(OrdersTable[[#This Row],[Order Date]]=_xlfn.MINIFS(Order_Date, Customer_ID, OrdersTable[[#This Row],[Customer ID]]), "New", "Repeat")</f>
        <v>Repeat</v>
      </c>
      <c r="H1520" t="s">
        <v>167</v>
      </c>
      <c r="I1520" t="str">
        <f>INDEX(State!B:B,MATCH(OrdersTable[[#This Row],[State]],State!A:A,0))</f>
        <v>KA</v>
      </c>
      <c r="J1520" t="str">
        <f>INDEX(State!C:C,MATCH(OrdersTable[[#This Row],[State Code]],State!B:B,0))</f>
        <v>South</v>
      </c>
      <c r="K1520" t="s">
        <v>190</v>
      </c>
      <c r="L1520" t="s">
        <v>65</v>
      </c>
      <c r="M1520" t="s">
        <v>66</v>
      </c>
      <c r="N1520" t="str">
        <f>INDEX(Products!B:B,MATCH(OrdersTable[[#This Row],[Product ID]],Products!A:A,0))</f>
        <v>Sunscreen SPF 50</v>
      </c>
      <c r="O1520" t="str">
        <f>INDEX(Products!C:C,MATCH(OrdersTable[[#This Row],[Product ID]],Products!A:A,0))</f>
        <v>Skincare</v>
      </c>
      <c r="P1520">
        <v>2</v>
      </c>
      <c r="Q1520" s="5">
        <v>449</v>
      </c>
      <c r="R1520" s="74">
        <v>0.3</v>
      </c>
      <c r="S1520" s="75">
        <f>OrdersTable[[#This Row],[Quantity]]*OrdersTable[[#This Row],[Unit Price]]</f>
        <v>898</v>
      </c>
      <c r="T1520" s="5">
        <f>OrdersTable[[#This Row],[Gross Sale]]*OrdersTable[[#This Row],[Discount_Clean2]]</f>
        <v>269.39999999999998</v>
      </c>
      <c r="U1520" s="5">
        <f>OrdersTable[[#This Row],[Gross Sale]]-OrdersTable[[#This Row],[Discount Amount]]</f>
        <v>628.6</v>
      </c>
      <c r="V1520" s="77">
        <f>INDEX(Products!E:E,MATCH(OrdersTable[[#This Row],[Product ID]],Products!A:A,0))</f>
        <v>144</v>
      </c>
      <c r="W1520" s="77">
        <f>OrdersTable[[#This Row],[Quantity]]*OrdersTable[[#This Row],[Unit Cost]]</f>
        <v>288</v>
      </c>
      <c r="X1520" s="77">
        <f>'Dropdown Lists'!$I$2*(1+OrdersTable[[#This Row],[Returned]])</f>
        <v>60</v>
      </c>
      <c r="Y1520" s="76">
        <f>OrdersTable[[#This Row],[Net Revenue]]-OrdersTable[[#This Row],[COGS]]-OrdersTable[[#This Row],[Shipping Cost]]</f>
        <v>280.60000000000002</v>
      </c>
      <c r="Z1520" s="78">
        <f>IFERROR(OrdersTable[[#This Row],[Profit]]/OrdersTable[[#This Row],[Net Revenue]],0)</f>
        <v>0.44638880050906776</v>
      </c>
      <c r="AA1520" t="s">
        <v>18</v>
      </c>
      <c r="AB1520" s="79">
        <v>45581</v>
      </c>
      <c r="AC1520">
        <f>OrdersTable[[#This Row],[Delivery Date]]-OrdersTable[[#This Row],[Order Date]]</f>
        <v>2</v>
      </c>
      <c r="AD1520" t="str">
        <f>IF(OrdersTable[[#This Row],[Delivery Days]]&lt;=2, "Express (≤2d)", IF(OrdersTable[[#This Row],[Delivery Days]]&lt;=4, "Standard (3-4d)", "Delayed (5d+)"))</f>
        <v>Express (≤2d)</v>
      </c>
      <c r="AE1520">
        <v>4</v>
      </c>
      <c r="AF1520">
        <v>0</v>
      </c>
    </row>
    <row r="1521" spans="1:32" ht="15" x14ac:dyDescent="0.35">
      <c r="A1521" t="s">
        <v>5355</v>
      </c>
      <c r="B1521" s="1">
        <v>45579</v>
      </c>
      <c r="C1521">
        <f>YEAR(OrdersTable[[#This Row],[Order Date]])</f>
        <v>2024</v>
      </c>
      <c r="D1521" s="2">
        <f>DATE(YEAR(OrdersTable[[#This Row],[Order Date]]),MONTH(OrdersTable[[#This Row],[Order Date]]),1)</f>
        <v>45566</v>
      </c>
      <c r="E1521">
        <f>MONTH(OrdersTable[[#This Row],[Order Date]])</f>
        <v>10</v>
      </c>
      <c r="F1521" t="s">
        <v>1499</v>
      </c>
      <c r="G1521" t="str">
        <f>IF(OrdersTable[[#This Row],[Order Date]]=_xlfn.MINIFS(Order_Date, Customer_ID, OrdersTable[[#This Row],[Customer ID]]), "New", "Repeat")</f>
        <v>Repeat</v>
      </c>
      <c r="H1521" t="s">
        <v>167</v>
      </c>
      <c r="I1521" t="str">
        <f>INDEX(State!B:B,MATCH(OrdersTable[[#This Row],[State]],State!A:A,0))</f>
        <v>KA</v>
      </c>
      <c r="J1521" t="str">
        <f>INDEX(State!C:C,MATCH(OrdersTable[[#This Row],[State Code]],State!B:B,0))</f>
        <v>South</v>
      </c>
      <c r="K1521" t="s">
        <v>168</v>
      </c>
      <c r="L1521" t="s">
        <v>65</v>
      </c>
      <c r="M1521" t="s">
        <v>109</v>
      </c>
      <c r="N1521" t="str">
        <f>INDEX(Products!B:B,MATCH(OrdersTable[[#This Row],[Product ID]],Products!A:A,0))</f>
        <v>Onion Hair Oil</v>
      </c>
      <c r="O1521" t="str">
        <f>INDEX(Products!C:C,MATCH(OrdersTable[[#This Row],[Product ID]],Products!A:A,0))</f>
        <v>Haircare</v>
      </c>
      <c r="P1521">
        <v>2</v>
      </c>
      <c r="Q1521" s="5">
        <v>349</v>
      </c>
      <c r="R1521" s="74">
        <v>0.5</v>
      </c>
      <c r="S1521" s="75">
        <f>OrdersTable[[#This Row],[Quantity]]*OrdersTable[[#This Row],[Unit Price]]</f>
        <v>698</v>
      </c>
      <c r="T1521" s="5">
        <f>OrdersTable[[#This Row],[Gross Sale]]*OrdersTable[[#This Row],[Discount_Clean2]]</f>
        <v>349</v>
      </c>
      <c r="U1521" s="5">
        <f>OrdersTable[[#This Row],[Gross Sale]]-OrdersTable[[#This Row],[Discount Amount]]</f>
        <v>349</v>
      </c>
      <c r="V1521" s="77">
        <f>INDEX(Products!E:E,MATCH(OrdersTable[[#This Row],[Product ID]],Products!A:A,0))</f>
        <v>105</v>
      </c>
      <c r="W1521" s="77">
        <f>OrdersTable[[#This Row],[Quantity]]*OrdersTable[[#This Row],[Unit Cost]]</f>
        <v>210</v>
      </c>
      <c r="X1521" s="77">
        <f>'Dropdown Lists'!$I$2*(1+OrdersTable[[#This Row],[Returned]])</f>
        <v>120</v>
      </c>
      <c r="Y1521" s="76">
        <f>OrdersTable[[#This Row],[Net Revenue]]-OrdersTable[[#This Row],[COGS]]-OrdersTable[[#This Row],[Shipping Cost]]</f>
        <v>19</v>
      </c>
      <c r="Z1521" s="78">
        <f>IFERROR(OrdersTable[[#This Row],[Profit]]/OrdersTable[[#This Row],[Net Revenue]],0)</f>
        <v>5.4441260744985676E-2</v>
      </c>
      <c r="AA1521" t="s">
        <v>2522</v>
      </c>
      <c r="AB1521" s="79">
        <v>45581</v>
      </c>
      <c r="AC1521">
        <f>OrdersTable[[#This Row],[Delivery Date]]-OrdersTable[[#This Row],[Order Date]]</f>
        <v>2</v>
      </c>
      <c r="AD1521" t="str">
        <f>IF(OrdersTable[[#This Row],[Delivery Days]]&lt;=2, "Express (≤2d)", IF(OrdersTable[[#This Row],[Delivery Days]]&lt;=4, "Standard (3-4d)", "Delayed (5d+)"))</f>
        <v>Express (≤2d)</v>
      </c>
      <c r="AE1521">
        <v>5</v>
      </c>
      <c r="AF1521">
        <v>1</v>
      </c>
    </row>
    <row r="1522" spans="1:32" ht="15" x14ac:dyDescent="0.35">
      <c r="A1522" t="s">
        <v>3738</v>
      </c>
      <c r="B1522" s="1">
        <v>45579</v>
      </c>
      <c r="C1522">
        <f>YEAR(OrdersTable[[#This Row],[Order Date]])</f>
        <v>2024</v>
      </c>
      <c r="D1522" s="2">
        <f>DATE(YEAR(OrdersTable[[#This Row],[Order Date]]),MONTH(OrdersTable[[#This Row],[Order Date]]),1)</f>
        <v>45566</v>
      </c>
      <c r="E1522">
        <f>MONTH(OrdersTable[[#This Row],[Order Date]])</f>
        <v>10</v>
      </c>
      <c r="F1522" t="s">
        <v>3739</v>
      </c>
      <c r="G1522" t="str">
        <f>IF(OrdersTable[[#This Row],[Order Date]]=_xlfn.MINIFS(Order_Date, Customer_ID, OrdersTable[[#This Row],[Customer ID]]), "New", "Repeat")</f>
        <v>Repeat</v>
      </c>
      <c r="H1522" t="s">
        <v>59</v>
      </c>
      <c r="I1522" t="str">
        <f>INDEX(State!B:B,MATCH(OrdersTable[[#This Row],[State]],State!A:A,0))</f>
        <v>TN</v>
      </c>
      <c r="J1522" t="str">
        <f>INDEX(State!C:C,MATCH(OrdersTable[[#This Row],[State Code]],State!B:B,0))</f>
        <v>South</v>
      </c>
      <c r="K1522" t="s">
        <v>64</v>
      </c>
      <c r="L1522" t="s">
        <v>65</v>
      </c>
      <c r="M1522" t="s">
        <v>24</v>
      </c>
      <c r="N1522" t="str">
        <f>INDEX(Products!B:B,MATCH(OrdersTable[[#This Row],[Product ID]],Products!A:A,0))</f>
        <v>Scented Candle Set</v>
      </c>
      <c r="O1522" t="str">
        <f>INDEX(Products!C:C,MATCH(OrdersTable[[#This Row],[Product ID]],Products!A:A,0))</f>
        <v>Home &amp; Kitchen</v>
      </c>
      <c r="P1522">
        <v>1</v>
      </c>
      <c r="Q1522" s="5">
        <v>699</v>
      </c>
      <c r="R1522" s="74">
        <v>0.4</v>
      </c>
      <c r="S1522" s="75">
        <f>OrdersTable[[#This Row],[Quantity]]*OrdersTable[[#This Row],[Unit Price]]</f>
        <v>699</v>
      </c>
      <c r="T1522" s="5">
        <f>OrdersTable[[#This Row],[Gross Sale]]*OrdersTable[[#This Row],[Discount_Clean2]]</f>
        <v>279.60000000000002</v>
      </c>
      <c r="U1522" s="5">
        <f>OrdersTable[[#This Row],[Gross Sale]]-OrdersTable[[#This Row],[Discount Amount]]</f>
        <v>419.4</v>
      </c>
      <c r="V1522" s="77">
        <f>INDEX(Products!E:E,MATCH(OrdersTable[[#This Row],[Product ID]],Products!A:A,0))</f>
        <v>245</v>
      </c>
      <c r="W1522" s="77">
        <f>OrdersTable[[#This Row],[Quantity]]*OrdersTable[[#This Row],[Unit Cost]]</f>
        <v>245</v>
      </c>
      <c r="X1522" s="77">
        <f>'Dropdown Lists'!$I$2*(1+OrdersTable[[#This Row],[Returned]])</f>
        <v>60</v>
      </c>
      <c r="Y1522" s="76">
        <f>OrdersTable[[#This Row],[Net Revenue]]-OrdersTable[[#This Row],[COGS]]-OrdersTable[[#This Row],[Shipping Cost]]</f>
        <v>114.39999999999998</v>
      </c>
      <c r="Z1522" s="78">
        <f>IFERROR(OrdersTable[[#This Row],[Profit]]/OrdersTable[[#This Row],[Net Revenue]],0)</f>
        <v>0.27277062470195512</v>
      </c>
      <c r="AA1522" t="s">
        <v>3495</v>
      </c>
      <c r="AB1522" s="79">
        <v>45581</v>
      </c>
      <c r="AC1522">
        <f>OrdersTable[[#This Row],[Delivery Date]]-OrdersTable[[#This Row],[Order Date]]</f>
        <v>2</v>
      </c>
      <c r="AD1522" t="str">
        <f>IF(OrdersTable[[#This Row],[Delivery Days]]&lt;=2, "Express (≤2d)", IF(OrdersTable[[#This Row],[Delivery Days]]&lt;=4, "Standard (3-4d)", "Delayed (5d+)"))</f>
        <v>Express (≤2d)</v>
      </c>
      <c r="AF1522">
        <v>0</v>
      </c>
    </row>
    <row r="1523" spans="1:32" ht="15" x14ac:dyDescent="0.35">
      <c r="A1523" t="s">
        <v>7072</v>
      </c>
      <c r="B1523" s="1">
        <v>45580</v>
      </c>
      <c r="C1523">
        <f>YEAR(OrdersTable[[#This Row],[Order Date]])</f>
        <v>2024</v>
      </c>
      <c r="D1523" s="2">
        <f>DATE(YEAR(OrdersTable[[#This Row],[Order Date]]),MONTH(OrdersTable[[#This Row],[Order Date]]),1)</f>
        <v>45566</v>
      </c>
      <c r="E1523">
        <f>MONTH(OrdersTable[[#This Row],[Order Date]])</f>
        <v>10</v>
      </c>
      <c r="F1523" t="s">
        <v>493</v>
      </c>
      <c r="G1523" t="str">
        <f>IF(OrdersTable[[#This Row],[Order Date]]=_xlfn.MINIFS(Order_Date, Customer_ID, OrdersTable[[#This Row],[Customer ID]]), "New", "Repeat")</f>
        <v>Repeat</v>
      </c>
      <c r="H1523" t="s">
        <v>210</v>
      </c>
      <c r="I1523" t="str">
        <f>INDEX(State!B:B,MATCH(OrdersTable[[#This Row],[State]],State!A:A,0))</f>
        <v>JK</v>
      </c>
      <c r="J1523" t="str">
        <f>INDEX(State!C:C,MATCH(OrdersTable[[#This Row],[State Code]],State!B:B,0))</f>
        <v>North</v>
      </c>
      <c r="K1523" t="s">
        <v>415</v>
      </c>
      <c r="L1523" t="s">
        <v>65</v>
      </c>
      <c r="M1523" t="s">
        <v>152</v>
      </c>
      <c r="N1523" t="str">
        <f>INDEX(Products!B:B,MATCH(OrdersTable[[#This Row],[Product ID]],Products!A:A,0))</f>
        <v>Green Tea (100 bags)</v>
      </c>
      <c r="O1523" t="str">
        <f>INDEX(Products!C:C,MATCH(OrdersTable[[#This Row],[Product ID]],Products!A:A,0))</f>
        <v>Wellness</v>
      </c>
      <c r="P1523">
        <v>4</v>
      </c>
      <c r="Q1523" s="5">
        <v>399</v>
      </c>
      <c r="R1523" s="74">
        <v>0.45</v>
      </c>
      <c r="S1523" s="75">
        <f>OrdersTable[[#This Row],[Quantity]]*OrdersTable[[#This Row],[Unit Price]]</f>
        <v>1596</v>
      </c>
      <c r="T1523" s="5">
        <f>OrdersTable[[#This Row],[Gross Sale]]*OrdersTable[[#This Row],[Discount_Clean2]]</f>
        <v>718.2</v>
      </c>
      <c r="U1523" s="5">
        <f>OrdersTable[[#This Row],[Gross Sale]]-OrdersTable[[#This Row],[Discount Amount]]</f>
        <v>877.8</v>
      </c>
      <c r="V1523" s="77">
        <f>INDEX(Products!E:E,MATCH(OrdersTable[[#This Row],[Product ID]],Products!A:A,0))</f>
        <v>128</v>
      </c>
      <c r="W1523" s="77">
        <f>OrdersTable[[#This Row],[Quantity]]*OrdersTable[[#This Row],[Unit Cost]]</f>
        <v>512</v>
      </c>
      <c r="X1523" s="77">
        <f>'Dropdown Lists'!$I$2*(1+OrdersTable[[#This Row],[Returned]])</f>
        <v>60</v>
      </c>
      <c r="Y1523" s="76">
        <f>OrdersTable[[#This Row],[Net Revenue]]-OrdersTable[[#This Row],[COGS]]-OrdersTable[[#This Row],[Shipping Cost]]</f>
        <v>305.79999999999995</v>
      </c>
      <c r="Z1523" s="78">
        <f>IFERROR(OrdersTable[[#This Row],[Profit]]/OrdersTable[[#This Row],[Net Revenue]],0)</f>
        <v>0.34837092731829572</v>
      </c>
      <c r="AA1523" t="s">
        <v>18</v>
      </c>
      <c r="AB1523" s="79">
        <v>45587</v>
      </c>
      <c r="AC1523">
        <f>OrdersTable[[#This Row],[Delivery Date]]-OrdersTable[[#This Row],[Order Date]]</f>
        <v>7</v>
      </c>
      <c r="AD1523" t="str">
        <f>IF(OrdersTable[[#This Row],[Delivery Days]]&lt;=2, "Express (≤2d)", IF(OrdersTable[[#This Row],[Delivery Days]]&lt;=4, "Standard (3-4d)", "Delayed (5d+)"))</f>
        <v>Delayed (5d+)</v>
      </c>
      <c r="AF1523">
        <v>0</v>
      </c>
    </row>
    <row r="1524" spans="1:32" ht="15" x14ac:dyDescent="0.35">
      <c r="A1524" t="s">
        <v>5781</v>
      </c>
      <c r="B1524" s="1">
        <v>45580</v>
      </c>
      <c r="C1524">
        <f>YEAR(OrdersTable[[#This Row],[Order Date]])</f>
        <v>2024</v>
      </c>
      <c r="D1524" s="2">
        <f>DATE(YEAR(OrdersTable[[#This Row],[Order Date]]),MONTH(OrdersTable[[#This Row],[Order Date]]),1)</f>
        <v>45566</v>
      </c>
      <c r="E1524">
        <f>MONTH(OrdersTable[[#This Row],[Order Date]])</f>
        <v>10</v>
      </c>
      <c r="F1524" t="s">
        <v>1005</v>
      </c>
      <c r="G1524" t="str">
        <f>IF(OrdersTable[[#This Row],[Order Date]]=_xlfn.MINIFS(Order_Date, Customer_ID, OrdersTable[[#This Row],[Customer ID]]), "New", "Repeat")</f>
        <v>New</v>
      </c>
      <c r="H1524" t="s">
        <v>54</v>
      </c>
      <c r="I1524" t="str">
        <f>INDEX(State!B:B,MATCH(OrdersTable[[#This Row],[State]],State!A:A,0))</f>
        <v>RJ</v>
      </c>
      <c r="J1524" t="str">
        <f>INDEX(State!C:C,MATCH(OrdersTable[[#This Row],[State Code]],State!B:B,0))</f>
        <v>North</v>
      </c>
      <c r="K1524" t="s">
        <v>227</v>
      </c>
      <c r="L1524" t="s">
        <v>65</v>
      </c>
      <c r="M1524" t="s">
        <v>565</v>
      </c>
      <c r="N1524" t="str">
        <f>INDEX(Products!B:B,MATCH(OrdersTable[[#This Row],[Product ID]],Products!A:A,0))</f>
        <v>Ceramic Dinner Set</v>
      </c>
      <c r="O1524" t="str">
        <f>INDEX(Products!C:C,MATCH(OrdersTable[[#This Row],[Product ID]],Products!A:A,0))</f>
        <v>Home &amp; Kitchen</v>
      </c>
      <c r="P1524">
        <v>2</v>
      </c>
      <c r="Q1524" s="5">
        <v>2499</v>
      </c>
      <c r="R1524" s="74">
        <v>0.55000000000000004</v>
      </c>
      <c r="S1524" s="75">
        <f>OrdersTable[[#This Row],[Quantity]]*OrdersTable[[#This Row],[Unit Price]]</f>
        <v>4998</v>
      </c>
      <c r="T1524" s="5">
        <f>OrdersTable[[#This Row],[Gross Sale]]*OrdersTable[[#This Row],[Discount_Clean2]]</f>
        <v>2748.9</v>
      </c>
      <c r="U1524" s="5">
        <f>OrdersTable[[#This Row],[Gross Sale]]-OrdersTable[[#This Row],[Discount Amount]]</f>
        <v>2249.1</v>
      </c>
      <c r="V1524" s="77">
        <f>INDEX(Products!E:E,MATCH(OrdersTable[[#This Row],[Product ID]],Products!A:A,0))</f>
        <v>1250</v>
      </c>
      <c r="W1524" s="77">
        <f>OrdersTable[[#This Row],[Quantity]]*OrdersTable[[#This Row],[Unit Cost]]</f>
        <v>2500</v>
      </c>
      <c r="X1524" s="77">
        <f>'Dropdown Lists'!$I$2*(1+OrdersTable[[#This Row],[Returned]])</f>
        <v>60</v>
      </c>
      <c r="Y1524" s="76">
        <f>OrdersTable[[#This Row],[Net Revenue]]-OrdersTable[[#This Row],[COGS]]-OrdersTable[[#This Row],[Shipping Cost]]</f>
        <v>-310.90000000000009</v>
      </c>
      <c r="Z1524" s="78">
        <f>IFERROR(OrdersTable[[#This Row],[Profit]]/OrdersTable[[#This Row],[Net Revenue]],0)</f>
        <v>-0.13823307100618029</v>
      </c>
      <c r="AA1524" t="s">
        <v>18</v>
      </c>
      <c r="AB1524" s="79">
        <v>45585</v>
      </c>
      <c r="AC1524">
        <f>OrdersTable[[#This Row],[Delivery Date]]-OrdersTable[[#This Row],[Order Date]]</f>
        <v>5</v>
      </c>
      <c r="AD1524" t="str">
        <f>IF(OrdersTable[[#This Row],[Delivery Days]]&lt;=2, "Express (≤2d)", IF(OrdersTable[[#This Row],[Delivery Days]]&lt;=4, "Standard (3-4d)", "Delayed (5d+)"))</f>
        <v>Delayed (5d+)</v>
      </c>
      <c r="AE1524">
        <v>5</v>
      </c>
      <c r="AF1524">
        <v>0</v>
      </c>
    </row>
    <row r="1525" spans="1:32" ht="15" x14ac:dyDescent="0.35">
      <c r="A1525" t="s">
        <v>5125</v>
      </c>
      <c r="B1525" s="1">
        <v>45580</v>
      </c>
      <c r="C1525">
        <f>YEAR(OrdersTable[[#This Row],[Order Date]])</f>
        <v>2024</v>
      </c>
      <c r="D1525" s="2">
        <f>DATE(YEAR(OrdersTable[[#This Row],[Order Date]]),MONTH(OrdersTable[[#This Row],[Order Date]]),1)</f>
        <v>45566</v>
      </c>
      <c r="E1525">
        <f>MONTH(OrdersTable[[#This Row],[Order Date]])</f>
        <v>10</v>
      </c>
      <c r="F1525" t="s">
        <v>2137</v>
      </c>
      <c r="G1525" t="str">
        <f>IF(OrdersTable[[#This Row],[Order Date]]=_xlfn.MINIFS(Order_Date, Customer_ID, OrdersTable[[#This Row],[Customer ID]]), "New", "Repeat")</f>
        <v>New</v>
      </c>
      <c r="H1525" t="s">
        <v>48</v>
      </c>
      <c r="I1525" t="str">
        <f>INDEX(State!B:B,MATCH(OrdersTable[[#This Row],[State]],State!A:A,0))</f>
        <v>HR</v>
      </c>
      <c r="J1525" t="str">
        <f>INDEX(State!C:C,MATCH(OrdersTable[[#This Row],[State Code]],State!B:B,0))</f>
        <v>North</v>
      </c>
      <c r="K1525" t="s">
        <v>49</v>
      </c>
      <c r="L1525" t="s">
        <v>23</v>
      </c>
      <c r="M1525" t="s">
        <v>56</v>
      </c>
      <c r="N1525" t="str">
        <f>INDEX(Products!B:B,MATCH(OrdersTable[[#This Row],[Product ID]],Products!A:A,0))</f>
        <v>Vitamin C Face Serum</v>
      </c>
      <c r="O1525" t="str">
        <f>INDEX(Products!C:C,MATCH(OrdersTable[[#This Row],[Product ID]],Products!A:A,0))</f>
        <v>Skincare</v>
      </c>
      <c r="P1525">
        <v>2</v>
      </c>
      <c r="Q1525" s="5">
        <v>599</v>
      </c>
      <c r="R1525" s="74">
        <v>0.3</v>
      </c>
      <c r="S1525" s="75">
        <f>OrdersTable[[#This Row],[Quantity]]*OrdersTable[[#This Row],[Unit Price]]</f>
        <v>1198</v>
      </c>
      <c r="T1525" s="5">
        <f>OrdersTable[[#This Row],[Gross Sale]]*OrdersTable[[#This Row],[Discount_Clean2]]</f>
        <v>359.4</v>
      </c>
      <c r="U1525" s="5">
        <f>OrdersTable[[#This Row],[Gross Sale]]-OrdersTable[[#This Row],[Discount Amount]]</f>
        <v>838.6</v>
      </c>
      <c r="V1525" s="77">
        <f>INDEX(Products!E:E,MATCH(OrdersTable[[#This Row],[Product ID]],Products!A:A,0))</f>
        <v>180</v>
      </c>
      <c r="W1525" s="77">
        <f>OrdersTable[[#This Row],[Quantity]]*OrdersTable[[#This Row],[Unit Cost]]</f>
        <v>360</v>
      </c>
      <c r="X1525" s="77">
        <f>'Dropdown Lists'!$I$2*(1+OrdersTable[[#This Row],[Returned]])</f>
        <v>60</v>
      </c>
      <c r="Y1525" s="76">
        <f>OrdersTable[[#This Row],[Net Revenue]]-OrdersTable[[#This Row],[COGS]]-OrdersTable[[#This Row],[Shipping Cost]]</f>
        <v>418.6</v>
      </c>
      <c r="Z1525" s="78">
        <f>IFERROR(OrdersTable[[#This Row],[Profit]]/OrdersTable[[#This Row],[Net Revenue]],0)</f>
        <v>0.4991652754590985</v>
      </c>
      <c r="AA1525" t="s">
        <v>3495</v>
      </c>
      <c r="AB1525" s="79">
        <v>45582</v>
      </c>
      <c r="AC1525">
        <f>OrdersTable[[#This Row],[Delivery Date]]-OrdersTable[[#This Row],[Order Date]]</f>
        <v>2</v>
      </c>
      <c r="AD1525" t="str">
        <f>IF(OrdersTable[[#This Row],[Delivery Days]]&lt;=2, "Express (≤2d)", IF(OrdersTable[[#This Row],[Delivery Days]]&lt;=4, "Standard (3-4d)", "Delayed (5d+)"))</f>
        <v>Express (≤2d)</v>
      </c>
      <c r="AE1525">
        <v>5</v>
      </c>
      <c r="AF1525">
        <v>0</v>
      </c>
    </row>
    <row r="1526" spans="1:32" ht="15" x14ac:dyDescent="0.35">
      <c r="A1526" t="s">
        <v>6691</v>
      </c>
      <c r="B1526" s="1">
        <v>45580</v>
      </c>
      <c r="C1526">
        <f>YEAR(OrdersTable[[#This Row],[Order Date]])</f>
        <v>2024</v>
      </c>
      <c r="D1526" s="2">
        <f>DATE(YEAR(OrdersTable[[#This Row],[Order Date]]),MONTH(OrdersTable[[#This Row],[Order Date]]),1)</f>
        <v>45566</v>
      </c>
      <c r="E1526">
        <f>MONTH(OrdersTable[[#This Row],[Order Date]])</f>
        <v>10</v>
      </c>
      <c r="F1526" t="s">
        <v>5850</v>
      </c>
      <c r="G1526" t="str">
        <f>IF(OrdersTable[[#This Row],[Order Date]]=_xlfn.MINIFS(Order_Date, Customer_ID, OrdersTable[[#This Row],[Customer ID]]), "New", "Repeat")</f>
        <v>Repeat</v>
      </c>
      <c r="H1526" t="s">
        <v>123</v>
      </c>
      <c r="I1526" t="str">
        <f>INDEX(State!B:B,MATCH(OrdersTable[[#This Row],[State]],State!A:A,0))</f>
        <v>JH</v>
      </c>
      <c r="J1526" t="str">
        <f>INDEX(State!C:C,MATCH(OrdersTable[[#This Row],[State Code]],State!B:B,0))</f>
        <v>East</v>
      </c>
      <c r="K1526" t="s">
        <v>124</v>
      </c>
      <c r="L1526" t="s">
        <v>23</v>
      </c>
      <c r="M1526" t="s">
        <v>66</v>
      </c>
      <c r="N1526" t="str">
        <f>INDEX(Products!B:B,MATCH(OrdersTable[[#This Row],[Product ID]],Products!A:A,0))</f>
        <v>Sunscreen SPF 50</v>
      </c>
      <c r="O1526" t="str">
        <f>INDEX(Products!C:C,MATCH(OrdersTable[[#This Row],[Product ID]],Products!A:A,0))</f>
        <v>Skincare</v>
      </c>
      <c r="P1526">
        <v>3</v>
      </c>
      <c r="Q1526" s="5">
        <v>449</v>
      </c>
      <c r="R1526" s="74">
        <v>0.3</v>
      </c>
      <c r="S1526" s="75">
        <f>OrdersTable[[#This Row],[Quantity]]*OrdersTable[[#This Row],[Unit Price]]</f>
        <v>1347</v>
      </c>
      <c r="T1526" s="5">
        <f>OrdersTable[[#This Row],[Gross Sale]]*OrdersTable[[#This Row],[Discount_Clean2]]</f>
        <v>404.09999999999997</v>
      </c>
      <c r="U1526" s="5">
        <f>OrdersTable[[#This Row],[Gross Sale]]-OrdersTable[[#This Row],[Discount Amount]]</f>
        <v>942.90000000000009</v>
      </c>
      <c r="V1526" s="77">
        <f>INDEX(Products!E:E,MATCH(OrdersTable[[#This Row],[Product ID]],Products!A:A,0))</f>
        <v>144</v>
      </c>
      <c r="W1526" s="77">
        <f>OrdersTable[[#This Row],[Quantity]]*OrdersTable[[#This Row],[Unit Cost]]</f>
        <v>432</v>
      </c>
      <c r="X1526" s="77">
        <f>'Dropdown Lists'!$I$2*(1+OrdersTable[[#This Row],[Returned]])</f>
        <v>60</v>
      </c>
      <c r="Y1526" s="76">
        <f>OrdersTable[[#This Row],[Net Revenue]]-OrdersTable[[#This Row],[COGS]]-OrdersTable[[#This Row],[Shipping Cost]]</f>
        <v>450.90000000000009</v>
      </c>
      <c r="Z1526" s="78">
        <f>IFERROR(OrdersTable[[#This Row],[Profit]]/OrdersTable[[#This Row],[Net Revenue]],0)</f>
        <v>0.47820553611199496</v>
      </c>
      <c r="AA1526" t="s">
        <v>2522</v>
      </c>
      <c r="AB1526" s="79">
        <v>45585</v>
      </c>
      <c r="AC1526">
        <f>OrdersTable[[#This Row],[Delivery Date]]-OrdersTable[[#This Row],[Order Date]]</f>
        <v>5</v>
      </c>
      <c r="AD1526" t="str">
        <f>IF(OrdersTable[[#This Row],[Delivery Days]]&lt;=2, "Express (≤2d)", IF(OrdersTable[[#This Row],[Delivery Days]]&lt;=4, "Standard (3-4d)", "Delayed (5d+)"))</f>
        <v>Delayed (5d+)</v>
      </c>
      <c r="AF1526">
        <v>0</v>
      </c>
    </row>
    <row r="1527" spans="1:32" ht="15" x14ac:dyDescent="0.35">
      <c r="A1527" t="s">
        <v>4365</v>
      </c>
      <c r="B1527" s="1">
        <v>45580</v>
      </c>
      <c r="C1527">
        <f>YEAR(OrdersTable[[#This Row],[Order Date]])</f>
        <v>2024</v>
      </c>
      <c r="D1527" s="2">
        <f>DATE(YEAR(OrdersTable[[#This Row],[Order Date]]),MONTH(OrdersTable[[#This Row],[Order Date]]),1)</f>
        <v>45566</v>
      </c>
      <c r="E1527">
        <f>MONTH(OrdersTable[[#This Row],[Order Date]])</f>
        <v>10</v>
      </c>
      <c r="F1527" t="s">
        <v>2349</v>
      </c>
      <c r="G1527" t="str">
        <f>IF(OrdersTable[[#This Row],[Order Date]]=_xlfn.MINIFS(Order_Date, Customer_ID, OrdersTable[[#This Row],[Customer ID]]), "New", "Repeat")</f>
        <v>Repeat</v>
      </c>
      <c r="H1527" t="s">
        <v>167</v>
      </c>
      <c r="I1527" t="str">
        <f>INDEX(State!B:B,MATCH(OrdersTable[[#This Row],[State]],State!A:A,0))</f>
        <v>KA</v>
      </c>
      <c r="J1527" t="str">
        <f>INDEX(State!C:C,MATCH(OrdersTable[[#This Row],[State Code]],State!B:B,0))</f>
        <v>South</v>
      </c>
      <c r="K1527" t="s">
        <v>168</v>
      </c>
      <c r="L1527" t="s">
        <v>16</v>
      </c>
      <c r="M1527" t="s">
        <v>92</v>
      </c>
      <c r="N1527" t="str">
        <f>INDEX(Products!B:B,MATCH(OrdersTable[[#This Row],[Product ID]],Products!A:A,0))</f>
        <v>Kolhapuri Sandals</v>
      </c>
      <c r="O1527" t="str">
        <f>INDEX(Products!C:C,MATCH(OrdersTable[[#This Row],[Product ID]],Products!A:A,0))</f>
        <v>Footwear</v>
      </c>
      <c r="P1527">
        <v>1</v>
      </c>
      <c r="Q1527" s="5">
        <v>999</v>
      </c>
      <c r="R1527" s="74">
        <v>0.3</v>
      </c>
      <c r="S1527" s="75">
        <f>OrdersTable[[#This Row],[Quantity]]*OrdersTable[[#This Row],[Unit Price]]</f>
        <v>999</v>
      </c>
      <c r="T1527" s="5">
        <f>OrdersTable[[#This Row],[Gross Sale]]*OrdersTable[[#This Row],[Discount_Clean2]]</f>
        <v>299.7</v>
      </c>
      <c r="U1527" s="5">
        <f>OrdersTable[[#This Row],[Gross Sale]]-OrdersTable[[#This Row],[Discount Amount]]</f>
        <v>699.3</v>
      </c>
      <c r="V1527" s="77">
        <f>INDEX(Products!E:E,MATCH(OrdersTable[[#This Row],[Product ID]],Products!A:A,0))</f>
        <v>400</v>
      </c>
      <c r="W1527" s="77">
        <f>OrdersTable[[#This Row],[Quantity]]*OrdersTable[[#This Row],[Unit Cost]]</f>
        <v>400</v>
      </c>
      <c r="X1527" s="77">
        <f>'Dropdown Lists'!$I$2*(1+OrdersTable[[#This Row],[Returned]])</f>
        <v>60</v>
      </c>
      <c r="Y1527" s="76">
        <f>OrdersTable[[#This Row],[Net Revenue]]-OrdersTable[[#This Row],[COGS]]-OrdersTable[[#This Row],[Shipping Cost]]</f>
        <v>239.29999999999995</v>
      </c>
      <c r="Z1527" s="78">
        <f>IFERROR(OrdersTable[[#This Row],[Profit]]/OrdersTable[[#This Row],[Net Revenue]],0)</f>
        <v>0.34219934219934217</v>
      </c>
      <c r="AA1527" t="s">
        <v>4074</v>
      </c>
      <c r="AB1527" s="79">
        <v>45583</v>
      </c>
      <c r="AC1527">
        <f>OrdersTable[[#This Row],[Delivery Date]]-OrdersTable[[#This Row],[Order Date]]</f>
        <v>3</v>
      </c>
      <c r="AD1527" t="str">
        <f>IF(OrdersTable[[#This Row],[Delivery Days]]&lt;=2, "Express (≤2d)", IF(OrdersTable[[#This Row],[Delivery Days]]&lt;=4, "Standard (3-4d)", "Delayed (5d+)"))</f>
        <v>Standard (3-4d)</v>
      </c>
      <c r="AE1527">
        <v>4</v>
      </c>
      <c r="AF1527">
        <v>0</v>
      </c>
    </row>
    <row r="1528" spans="1:32" ht="15" x14ac:dyDescent="0.35">
      <c r="A1528" t="s">
        <v>6776</v>
      </c>
      <c r="B1528" s="1">
        <v>45580</v>
      </c>
      <c r="C1528">
        <f>YEAR(OrdersTable[[#This Row],[Order Date]])</f>
        <v>2024</v>
      </c>
      <c r="D1528" s="2">
        <f>DATE(YEAR(OrdersTable[[#This Row],[Order Date]]),MONTH(OrdersTable[[#This Row],[Order Date]]),1)</f>
        <v>45566</v>
      </c>
      <c r="E1528">
        <f>MONTH(OrdersTable[[#This Row],[Order Date]])</f>
        <v>10</v>
      </c>
      <c r="F1528" t="s">
        <v>933</v>
      </c>
      <c r="G1528" t="str">
        <f>IF(OrdersTable[[#This Row],[Order Date]]=_xlfn.MINIFS(Order_Date, Customer_ID, OrdersTable[[#This Row],[Customer ID]]), "New", "Repeat")</f>
        <v>Repeat</v>
      </c>
      <c r="H1528" t="s">
        <v>167</v>
      </c>
      <c r="I1528" t="str">
        <f>INDEX(State!B:B,MATCH(OrdersTable[[#This Row],[State]],State!A:A,0))</f>
        <v>KA</v>
      </c>
      <c r="J1528" t="str">
        <f>INDEX(State!C:C,MATCH(OrdersTable[[#This Row],[State Code]],State!B:B,0))</f>
        <v>South</v>
      </c>
      <c r="K1528" t="s">
        <v>168</v>
      </c>
      <c r="L1528" t="s">
        <v>65</v>
      </c>
      <c r="M1528" t="s">
        <v>106</v>
      </c>
      <c r="N1528" t="str">
        <f>INDEX(Products!B:B,MATCH(OrdersTable[[#This Row],[Product ID]],Products!A:A,0))</f>
        <v>Keratin Hair Mask</v>
      </c>
      <c r="O1528" t="str">
        <f>INDEX(Products!C:C,MATCH(OrdersTable[[#This Row],[Product ID]],Products!A:A,0))</f>
        <v>Haircare</v>
      </c>
      <c r="P1528">
        <v>3</v>
      </c>
      <c r="Q1528" s="5">
        <v>549</v>
      </c>
      <c r="R1528" s="74">
        <v>0.3</v>
      </c>
      <c r="S1528" s="75">
        <f>OrdersTable[[#This Row],[Quantity]]*OrdersTable[[#This Row],[Unit Price]]</f>
        <v>1647</v>
      </c>
      <c r="T1528" s="5">
        <f>OrdersTable[[#This Row],[Gross Sale]]*OrdersTable[[#This Row],[Discount_Clean2]]</f>
        <v>494.09999999999997</v>
      </c>
      <c r="U1528" s="5">
        <f>OrdersTable[[#This Row],[Gross Sale]]-OrdersTable[[#This Row],[Discount Amount]]</f>
        <v>1152.9000000000001</v>
      </c>
      <c r="V1528" s="77">
        <f>INDEX(Products!E:E,MATCH(OrdersTable[[#This Row],[Product ID]],Products!A:A,0))</f>
        <v>170</v>
      </c>
      <c r="W1528" s="77">
        <f>OrdersTable[[#This Row],[Quantity]]*OrdersTable[[#This Row],[Unit Cost]]</f>
        <v>510</v>
      </c>
      <c r="X1528" s="77">
        <f>'Dropdown Lists'!$I$2*(1+OrdersTable[[#This Row],[Returned]])</f>
        <v>60</v>
      </c>
      <c r="Y1528" s="76">
        <f>OrdersTable[[#This Row],[Net Revenue]]-OrdersTable[[#This Row],[COGS]]-OrdersTable[[#This Row],[Shipping Cost]]</f>
        <v>582.90000000000009</v>
      </c>
      <c r="Z1528" s="78">
        <f>IFERROR(OrdersTable[[#This Row],[Profit]]/OrdersTable[[#This Row],[Net Revenue]],0)</f>
        <v>0.50559458756180076</v>
      </c>
      <c r="AA1528" t="s">
        <v>3495</v>
      </c>
      <c r="AB1528" s="79">
        <v>45582</v>
      </c>
      <c r="AC1528">
        <f>OrdersTable[[#This Row],[Delivery Date]]-OrdersTable[[#This Row],[Order Date]]</f>
        <v>2</v>
      </c>
      <c r="AD1528" t="str">
        <f>IF(OrdersTable[[#This Row],[Delivery Days]]&lt;=2, "Express (≤2d)", IF(OrdersTable[[#This Row],[Delivery Days]]&lt;=4, "Standard (3-4d)", "Delayed (5d+)"))</f>
        <v>Express (≤2d)</v>
      </c>
      <c r="AE1528">
        <v>4</v>
      </c>
      <c r="AF1528">
        <v>0</v>
      </c>
    </row>
    <row r="1529" spans="1:32" ht="15" x14ac:dyDescent="0.35">
      <c r="A1529" t="s">
        <v>1909</v>
      </c>
      <c r="B1529" s="1">
        <v>45580</v>
      </c>
      <c r="C1529">
        <f>YEAR(OrdersTable[[#This Row],[Order Date]])</f>
        <v>2024</v>
      </c>
      <c r="D1529" s="2">
        <f>DATE(YEAR(OrdersTable[[#This Row],[Order Date]]),MONTH(OrdersTable[[#This Row],[Order Date]]),1)</f>
        <v>45566</v>
      </c>
      <c r="E1529">
        <f>MONTH(OrdersTable[[#This Row],[Order Date]])</f>
        <v>10</v>
      </c>
      <c r="F1529" t="s">
        <v>1297</v>
      </c>
      <c r="G1529" t="str">
        <f>IF(OrdersTable[[#This Row],[Order Date]]=_xlfn.MINIFS(Order_Date, Customer_ID, OrdersTable[[#This Row],[Customer ID]]), "New", "Repeat")</f>
        <v>New</v>
      </c>
      <c r="H1529" t="s">
        <v>59</v>
      </c>
      <c r="I1529" t="str">
        <f>INDEX(State!B:B,MATCH(OrdersTable[[#This Row],[State]],State!A:A,0))</f>
        <v>TN</v>
      </c>
      <c r="J1529" t="str">
        <f>INDEX(State!C:C,MATCH(OrdersTable[[#This Row],[State Code]],State!B:B,0))</f>
        <v>South</v>
      </c>
      <c r="K1529" t="s">
        <v>60</v>
      </c>
      <c r="L1529" t="s">
        <v>39</v>
      </c>
      <c r="M1529" t="s">
        <v>66</v>
      </c>
      <c r="N1529" t="str">
        <f>INDEX(Products!B:B,MATCH(OrdersTable[[#This Row],[Product ID]],Products!A:A,0))</f>
        <v>Sunscreen SPF 50</v>
      </c>
      <c r="O1529" t="str">
        <f>INDEX(Products!C:C,MATCH(OrdersTable[[#This Row],[Product ID]],Products!A:A,0))</f>
        <v>Skincare</v>
      </c>
      <c r="P1529">
        <v>1</v>
      </c>
      <c r="Q1529" s="5">
        <v>449</v>
      </c>
      <c r="R1529" s="74">
        <v>0.25</v>
      </c>
      <c r="S1529" s="75">
        <f>OrdersTable[[#This Row],[Quantity]]*OrdersTable[[#This Row],[Unit Price]]</f>
        <v>449</v>
      </c>
      <c r="T1529" s="5">
        <f>OrdersTable[[#This Row],[Gross Sale]]*OrdersTable[[#This Row],[Discount_Clean2]]</f>
        <v>112.25</v>
      </c>
      <c r="U1529" s="5">
        <f>OrdersTable[[#This Row],[Gross Sale]]-OrdersTable[[#This Row],[Discount Amount]]</f>
        <v>336.75</v>
      </c>
      <c r="V1529" s="77">
        <f>INDEX(Products!E:E,MATCH(OrdersTable[[#This Row],[Product ID]],Products!A:A,0))</f>
        <v>144</v>
      </c>
      <c r="W1529" s="77">
        <f>OrdersTable[[#This Row],[Quantity]]*OrdersTable[[#This Row],[Unit Cost]]</f>
        <v>144</v>
      </c>
      <c r="X1529" s="77">
        <f>'Dropdown Lists'!$I$2*(1+OrdersTable[[#This Row],[Returned]])</f>
        <v>60</v>
      </c>
      <c r="Y1529" s="76">
        <f>OrdersTable[[#This Row],[Net Revenue]]-OrdersTable[[#This Row],[COGS]]-OrdersTable[[#This Row],[Shipping Cost]]</f>
        <v>132.75</v>
      </c>
      <c r="Z1529" s="78">
        <f>IFERROR(OrdersTable[[#This Row],[Profit]]/OrdersTable[[#This Row],[Net Revenue]],0)</f>
        <v>0.39420935412026725</v>
      </c>
      <c r="AA1529" t="s">
        <v>18</v>
      </c>
      <c r="AB1529" s="79">
        <v>45585</v>
      </c>
      <c r="AC1529">
        <f>OrdersTable[[#This Row],[Delivery Date]]-OrdersTable[[#This Row],[Order Date]]</f>
        <v>5</v>
      </c>
      <c r="AD1529" t="str">
        <f>IF(OrdersTable[[#This Row],[Delivery Days]]&lt;=2, "Express (≤2d)", IF(OrdersTable[[#This Row],[Delivery Days]]&lt;=4, "Standard (3-4d)", "Delayed (5d+)"))</f>
        <v>Delayed (5d+)</v>
      </c>
      <c r="AE1529">
        <v>3</v>
      </c>
      <c r="AF1529">
        <v>0</v>
      </c>
    </row>
    <row r="1530" spans="1:32" ht="15" x14ac:dyDescent="0.35">
      <c r="A1530" t="s">
        <v>1683</v>
      </c>
      <c r="B1530" s="1">
        <v>45580</v>
      </c>
      <c r="C1530">
        <f>YEAR(OrdersTable[[#This Row],[Order Date]])</f>
        <v>2024</v>
      </c>
      <c r="D1530" s="2">
        <f>DATE(YEAR(OrdersTable[[#This Row],[Order Date]]),MONTH(OrdersTable[[#This Row],[Order Date]]),1)</f>
        <v>45566</v>
      </c>
      <c r="E1530">
        <f>MONTH(OrdersTable[[#This Row],[Order Date]])</f>
        <v>10</v>
      </c>
      <c r="F1530" t="s">
        <v>1684</v>
      </c>
      <c r="G1530" t="str">
        <f>IF(OrdersTable[[#This Row],[Order Date]]=_xlfn.MINIFS(Order_Date, Customer_ID, OrdersTable[[#This Row],[Customer ID]]), "New", "Repeat")</f>
        <v>New</v>
      </c>
      <c r="H1530" t="s">
        <v>59</v>
      </c>
      <c r="I1530" t="str">
        <f>INDEX(State!B:B,MATCH(OrdersTable[[#This Row],[State]],State!A:A,0))</f>
        <v>TN</v>
      </c>
      <c r="J1530" t="str">
        <f>INDEX(State!C:C,MATCH(OrdersTable[[#This Row],[State Code]],State!B:B,0))</f>
        <v>South</v>
      </c>
      <c r="K1530" t="s">
        <v>64</v>
      </c>
      <c r="L1530" t="s">
        <v>65</v>
      </c>
      <c r="M1530" t="s">
        <v>423</v>
      </c>
      <c r="N1530" t="str">
        <f>INDEX(Products!B:B,MATCH(OrdersTable[[#This Row],[Product ID]],Products!A:A,0))</f>
        <v>Power Bank 20000mAh</v>
      </c>
      <c r="O1530" t="str">
        <f>INDEX(Products!C:C,MATCH(OrdersTable[[#This Row],[Product ID]],Products!A:A,0))</f>
        <v>Electronics</v>
      </c>
      <c r="P1530">
        <v>1</v>
      </c>
      <c r="Q1530" s="5">
        <v>1799</v>
      </c>
      <c r="R1530" s="74">
        <v>0.4</v>
      </c>
      <c r="S1530" s="75">
        <f>OrdersTable[[#This Row],[Quantity]]*OrdersTable[[#This Row],[Unit Price]]</f>
        <v>1799</v>
      </c>
      <c r="T1530" s="5">
        <f>OrdersTable[[#This Row],[Gross Sale]]*OrdersTable[[#This Row],[Discount_Clean2]]</f>
        <v>719.6</v>
      </c>
      <c r="U1530" s="5">
        <f>OrdersTable[[#This Row],[Gross Sale]]-OrdersTable[[#This Row],[Discount Amount]]</f>
        <v>1079.4000000000001</v>
      </c>
      <c r="V1530" s="77">
        <f>INDEX(Products!E:E,MATCH(OrdersTable[[#This Row],[Product ID]],Products!A:A,0))</f>
        <v>1079</v>
      </c>
      <c r="W1530" s="77">
        <f>OrdersTable[[#This Row],[Quantity]]*OrdersTable[[#This Row],[Unit Cost]]</f>
        <v>1079</v>
      </c>
      <c r="X1530" s="77">
        <f>'Dropdown Lists'!$I$2*(1+OrdersTable[[#This Row],[Returned]])</f>
        <v>60</v>
      </c>
      <c r="Y1530" s="76">
        <f>OrdersTable[[#This Row],[Net Revenue]]-OrdersTable[[#This Row],[COGS]]-OrdersTable[[#This Row],[Shipping Cost]]</f>
        <v>-59.599999999999909</v>
      </c>
      <c r="Z1530" s="78">
        <f>IFERROR(OrdersTable[[#This Row],[Profit]]/OrdersTable[[#This Row],[Net Revenue]],0)</f>
        <v>-5.5215860663331388E-2</v>
      </c>
      <c r="AA1530" t="s">
        <v>18</v>
      </c>
      <c r="AB1530" s="79">
        <v>45586</v>
      </c>
      <c r="AC1530">
        <f>OrdersTable[[#This Row],[Delivery Date]]-OrdersTable[[#This Row],[Order Date]]</f>
        <v>6</v>
      </c>
      <c r="AD1530" t="str">
        <f>IF(OrdersTable[[#This Row],[Delivery Days]]&lt;=2, "Express (≤2d)", IF(OrdersTable[[#This Row],[Delivery Days]]&lt;=4, "Standard (3-4d)", "Delayed (5d+)"))</f>
        <v>Delayed (5d+)</v>
      </c>
      <c r="AF1530">
        <v>0</v>
      </c>
    </row>
    <row r="1531" spans="1:32" ht="15" x14ac:dyDescent="0.35">
      <c r="A1531" t="s">
        <v>6099</v>
      </c>
      <c r="B1531" s="1">
        <v>45581</v>
      </c>
      <c r="C1531">
        <f>YEAR(OrdersTable[[#This Row],[Order Date]])</f>
        <v>2024</v>
      </c>
      <c r="D1531" s="2">
        <f>DATE(YEAR(OrdersTable[[#This Row],[Order Date]]),MONTH(OrdersTable[[#This Row],[Order Date]]),1)</f>
        <v>45566</v>
      </c>
      <c r="E1531">
        <f>MONTH(OrdersTable[[#This Row],[Order Date]])</f>
        <v>10</v>
      </c>
      <c r="F1531" t="s">
        <v>6100</v>
      </c>
      <c r="G1531" t="str">
        <f>IF(OrdersTable[[#This Row],[Order Date]]=_xlfn.MINIFS(Order_Date, Customer_ID, OrdersTable[[#This Row],[Customer ID]]), "New", "Repeat")</f>
        <v>New</v>
      </c>
      <c r="H1531" t="s">
        <v>128</v>
      </c>
      <c r="I1531" t="str">
        <f>INDEX(State!B:B,MATCH(OrdersTable[[#This Row],[State]],State!A:A,0))</f>
        <v>DL</v>
      </c>
      <c r="J1531" t="str">
        <f>INDEX(State!C:C,MATCH(OrdersTable[[#This Row],[State Code]],State!B:B,0))</f>
        <v>North</v>
      </c>
      <c r="K1531" t="s">
        <v>129</v>
      </c>
      <c r="L1531" t="s">
        <v>16</v>
      </c>
      <c r="M1531" t="s">
        <v>29</v>
      </c>
      <c r="N1531" t="str">
        <f>INDEX(Products!B:B,MATCH(OrdersTable[[#This Row],[Product ID]],Products!A:A,0))</f>
        <v>Joggers</v>
      </c>
      <c r="O1531" t="str">
        <f>INDEX(Products!C:C,MATCH(OrdersTable[[#This Row],[Product ID]],Products!A:A,0))</f>
        <v>Apparel</v>
      </c>
      <c r="P1531">
        <v>2</v>
      </c>
      <c r="Q1531" s="5">
        <v>1199</v>
      </c>
      <c r="R1531" s="74">
        <v>0.3</v>
      </c>
      <c r="S1531" s="75">
        <f>OrdersTable[[#This Row],[Quantity]]*OrdersTable[[#This Row],[Unit Price]]</f>
        <v>2398</v>
      </c>
      <c r="T1531" s="5">
        <f>OrdersTable[[#This Row],[Gross Sale]]*OrdersTable[[#This Row],[Discount_Clean2]]</f>
        <v>719.4</v>
      </c>
      <c r="U1531" s="5">
        <f>OrdersTable[[#This Row],[Gross Sale]]-OrdersTable[[#This Row],[Discount Amount]]</f>
        <v>1678.6</v>
      </c>
      <c r="V1531" s="77">
        <f>INDEX(Products!E:E,MATCH(OrdersTable[[#This Row],[Product ID]],Products!A:A,0))</f>
        <v>492</v>
      </c>
      <c r="W1531" s="77">
        <f>OrdersTable[[#This Row],[Quantity]]*OrdersTable[[#This Row],[Unit Cost]]</f>
        <v>984</v>
      </c>
      <c r="X1531" s="77">
        <f>'Dropdown Lists'!$I$2*(1+OrdersTable[[#This Row],[Returned]])</f>
        <v>60</v>
      </c>
      <c r="Y1531" s="76">
        <f>OrdersTable[[#This Row],[Net Revenue]]-OrdersTable[[#This Row],[COGS]]-OrdersTable[[#This Row],[Shipping Cost]]</f>
        <v>634.59999999999991</v>
      </c>
      <c r="Z1531" s="78">
        <f>IFERROR(OrdersTable[[#This Row],[Profit]]/OrdersTable[[#This Row],[Net Revenue]],0)</f>
        <v>0.37805313952102937</v>
      </c>
      <c r="AA1531" t="s">
        <v>18</v>
      </c>
      <c r="AB1531" s="79">
        <v>45584</v>
      </c>
      <c r="AC1531">
        <f>OrdersTable[[#This Row],[Delivery Date]]-OrdersTable[[#This Row],[Order Date]]</f>
        <v>3</v>
      </c>
      <c r="AD1531" t="str">
        <f>IF(OrdersTable[[#This Row],[Delivery Days]]&lt;=2, "Express (≤2d)", IF(OrdersTable[[#This Row],[Delivery Days]]&lt;=4, "Standard (3-4d)", "Delayed (5d+)"))</f>
        <v>Standard (3-4d)</v>
      </c>
      <c r="AE1531">
        <v>4</v>
      </c>
      <c r="AF1531">
        <v>0</v>
      </c>
    </row>
    <row r="1532" spans="1:32" ht="15" x14ac:dyDescent="0.35">
      <c r="A1532" t="s">
        <v>2581</v>
      </c>
      <c r="B1532" s="1">
        <v>45581</v>
      </c>
      <c r="C1532">
        <f>YEAR(OrdersTable[[#This Row],[Order Date]])</f>
        <v>2024</v>
      </c>
      <c r="D1532" s="2">
        <f>DATE(YEAR(OrdersTable[[#This Row],[Order Date]]),MONTH(OrdersTable[[#This Row],[Order Date]]),1)</f>
        <v>45566</v>
      </c>
      <c r="E1532">
        <f>MONTH(OrdersTable[[#This Row],[Order Date]])</f>
        <v>10</v>
      </c>
      <c r="F1532" t="s">
        <v>2582</v>
      </c>
      <c r="G1532" t="str">
        <f>IF(OrdersTable[[#This Row],[Order Date]]=_xlfn.MINIFS(Order_Date, Customer_ID, OrdersTable[[#This Row],[Customer ID]]), "New", "Repeat")</f>
        <v>New</v>
      </c>
      <c r="H1532" t="s">
        <v>128</v>
      </c>
      <c r="I1532" t="str">
        <f>INDEX(State!B:B,MATCH(OrdersTable[[#This Row],[State]],State!A:A,0))</f>
        <v>DL</v>
      </c>
      <c r="J1532" t="str">
        <f>INDEX(State!C:C,MATCH(OrdersTable[[#This Row],[State Code]],State!B:B,0))</f>
        <v>North</v>
      </c>
      <c r="K1532" t="s">
        <v>129</v>
      </c>
      <c r="L1532" t="s">
        <v>65</v>
      </c>
      <c r="M1532" t="s">
        <v>61</v>
      </c>
      <c r="N1532" t="str">
        <f>INDEX(Products!B:B,MATCH(OrdersTable[[#This Row],[Product ID]],Products!A:A,0))</f>
        <v>Multivitamin Gummies</v>
      </c>
      <c r="O1532" t="str">
        <f>INDEX(Products!C:C,MATCH(OrdersTable[[#This Row],[Product ID]],Products!A:A,0))</f>
        <v>Wellness</v>
      </c>
      <c r="P1532">
        <v>1</v>
      </c>
      <c r="Q1532" s="5">
        <v>699</v>
      </c>
      <c r="R1532" s="74">
        <v>0.35</v>
      </c>
      <c r="S1532" s="75">
        <f>OrdersTable[[#This Row],[Quantity]]*OrdersTable[[#This Row],[Unit Price]]</f>
        <v>699</v>
      </c>
      <c r="T1532" s="5">
        <f>OrdersTable[[#This Row],[Gross Sale]]*OrdersTable[[#This Row],[Discount_Clean2]]</f>
        <v>244.64999999999998</v>
      </c>
      <c r="U1532" s="5">
        <f>OrdersTable[[#This Row],[Gross Sale]]-OrdersTable[[#This Row],[Discount Amount]]</f>
        <v>454.35</v>
      </c>
      <c r="V1532" s="77">
        <f>INDEX(Products!E:E,MATCH(OrdersTable[[#This Row],[Product ID]],Products!A:A,0))</f>
        <v>238</v>
      </c>
      <c r="W1532" s="77">
        <f>OrdersTable[[#This Row],[Quantity]]*OrdersTable[[#This Row],[Unit Cost]]</f>
        <v>238</v>
      </c>
      <c r="X1532" s="77">
        <f>'Dropdown Lists'!$I$2*(1+OrdersTable[[#This Row],[Returned]])</f>
        <v>120</v>
      </c>
      <c r="Y1532" s="76">
        <f>OrdersTable[[#This Row],[Net Revenue]]-OrdersTable[[#This Row],[COGS]]-OrdersTable[[#This Row],[Shipping Cost]]</f>
        <v>96.350000000000023</v>
      </c>
      <c r="Z1532" s="78">
        <f>IFERROR(OrdersTable[[#This Row],[Profit]]/OrdersTable[[#This Row],[Net Revenue]],0)</f>
        <v>0.21206118631011339</v>
      </c>
      <c r="AA1532" t="s">
        <v>2522</v>
      </c>
      <c r="AB1532" s="79">
        <v>45583</v>
      </c>
      <c r="AC1532">
        <f>OrdersTable[[#This Row],[Delivery Date]]-OrdersTable[[#This Row],[Order Date]]</f>
        <v>2</v>
      </c>
      <c r="AD1532" t="str">
        <f>IF(OrdersTable[[#This Row],[Delivery Days]]&lt;=2, "Express (≤2d)", IF(OrdersTable[[#This Row],[Delivery Days]]&lt;=4, "Standard (3-4d)", "Delayed (5d+)"))</f>
        <v>Express (≤2d)</v>
      </c>
      <c r="AE1532">
        <v>5</v>
      </c>
      <c r="AF1532">
        <v>1</v>
      </c>
    </row>
    <row r="1533" spans="1:32" ht="15" x14ac:dyDescent="0.35">
      <c r="A1533" t="s">
        <v>939</v>
      </c>
      <c r="B1533" s="1">
        <v>45581</v>
      </c>
      <c r="C1533">
        <f>YEAR(OrdersTable[[#This Row],[Order Date]])</f>
        <v>2024</v>
      </c>
      <c r="D1533" s="2">
        <f>DATE(YEAR(OrdersTable[[#This Row],[Order Date]]),MONTH(OrdersTable[[#This Row],[Order Date]]),1)</f>
        <v>45566</v>
      </c>
      <c r="E1533">
        <f>MONTH(OrdersTable[[#This Row],[Order Date]])</f>
        <v>10</v>
      </c>
      <c r="F1533" t="s">
        <v>460</v>
      </c>
      <c r="G1533" t="str">
        <f>IF(OrdersTable[[#This Row],[Order Date]]=_xlfn.MINIFS(Order_Date, Customer_ID, OrdersTable[[#This Row],[Customer ID]]), "New", "Repeat")</f>
        <v>Repeat</v>
      </c>
      <c r="H1533" t="s">
        <v>37</v>
      </c>
      <c r="I1533" t="str">
        <f>INDEX(State!B:B,MATCH(OrdersTable[[#This Row],[State]],State!A:A,0))</f>
        <v>GJ</v>
      </c>
      <c r="J1533" t="str">
        <f>INDEX(State!C:C,MATCH(OrdersTable[[#This Row],[State Code]],State!B:B,0))</f>
        <v>West</v>
      </c>
      <c r="K1533" t="s">
        <v>247</v>
      </c>
      <c r="L1533" t="s">
        <v>23</v>
      </c>
      <c r="M1533" t="s">
        <v>61</v>
      </c>
      <c r="N1533" t="str">
        <f>INDEX(Products!B:B,MATCH(OrdersTable[[#This Row],[Product ID]],Products!A:A,0))</f>
        <v>Multivitamin Gummies</v>
      </c>
      <c r="O1533" t="str">
        <f>INDEX(Products!C:C,MATCH(OrdersTable[[#This Row],[Product ID]],Products!A:A,0))</f>
        <v>Wellness</v>
      </c>
      <c r="P1533">
        <v>1</v>
      </c>
      <c r="Q1533" s="5">
        <v>699</v>
      </c>
      <c r="R1533" s="74">
        <v>0.25</v>
      </c>
      <c r="S1533" s="75">
        <f>OrdersTable[[#This Row],[Quantity]]*OrdersTable[[#This Row],[Unit Price]]</f>
        <v>699</v>
      </c>
      <c r="T1533" s="5">
        <f>OrdersTable[[#This Row],[Gross Sale]]*OrdersTable[[#This Row],[Discount_Clean2]]</f>
        <v>174.75</v>
      </c>
      <c r="U1533" s="5">
        <f>OrdersTable[[#This Row],[Gross Sale]]-OrdersTable[[#This Row],[Discount Amount]]</f>
        <v>524.25</v>
      </c>
      <c r="V1533" s="77">
        <f>INDEX(Products!E:E,MATCH(OrdersTable[[#This Row],[Product ID]],Products!A:A,0))</f>
        <v>238</v>
      </c>
      <c r="W1533" s="77">
        <f>OrdersTable[[#This Row],[Quantity]]*OrdersTable[[#This Row],[Unit Cost]]</f>
        <v>238</v>
      </c>
      <c r="X1533" s="77">
        <f>'Dropdown Lists'!$I$2*(1+OrdersTable[[#This Row],[Returned]])</f>
        <v>60</v>
      </c>
      <c r="Y1533" s="76">
        <f>OrdersTable[[#This Row],[Net Revenue]]-OrdersTable[[#This Row],[COGS]]-OrdersTable[[#This Row],[Shipping Cost]]</f>
        <v>226.25</v>
      </c>
      <c r="Z1533" s="78">
        <f>IFERROR(OrdersTable[[#This Row],[Profit]]/OrdersTable[[#This Row],[Net Revenue]],0)</f>
        <v>0.43156890796375774</v>
      </c>
      <c r="AA1533" t="s">
        <v>18</v>
      </c>
      <c r="AB1533" s="79">
        <v>45584</v>
      </c>
      <c r="AC1533">
        <f>OrdersTable[[#This Row],[Delivery Date]]-OrdersTable[[#This Row],[Order Date]]</f>
        <v>3</v>
      </c>
      <c r="AD1533" t="str">
        <f>IF(OrdersTable[[#This Row],[Delivery Days]]&lt;=2, "Express (≤2d)", IF(OrdersTable[[#This Row],[Delivery Days]]&lt;=4, "Standard (3-4d)", "Delayed (5d+)"))</f>
        <v>Standard (3-4d)</v>
      </c>
      <c r="AE1533">
        <v>4</v>
      </c>
      <c r="AF1533">
        <v>0</v>
      </c>
    </row>
    <row r="1534" spans="1:32" ht="15" x14ac:dyDescent="0.35">
      <c r="A1534" t="s">
        <v>1910</v>
      </c>
      <c r="B1534" s="1">
        <v>45581</v>
      </c>
      <c r="C1534">
        <f>YEAR(OrdersTable[[#This Row],[Order Date]])</f>
        <v>2024</v>
      </c>
      <c r="D1534" s="2">
        <f>DATE(YEAR(OrdersTable[[#This Row],[Order Date]]),MONTH(OrdersTable[[#This Row],[Order Date]]),1)</f>
        <v>45566</v>
      </c>
      <c r="E1534">
        <f>MONTH(OrdersTable[[#This Row],[Order Date]])</f>
        <v>10</v>
      </c>
      <c r="F1534" t="s">
        <v>1911</v>
      </c>
      <c r="G1534" t="str">
        <f>IF(OrdersTable[[#This Row],[Order Date]]=_xlfn.MINIFS(Order_Date, Customer_ID, OrdersTable[[#This Row],[Customer ID]]), "New", "Repeat")</f>
        <v>New</v>
      </c>
      <c r="H1534" t="s">
        <v>43</v>
      </c>
      <c r="I1534" t="str">
        <f>INDEX(State!B:B,MATCH(OrdersTable[[#This Row],[State]],State!A:A,0))</f>
        <v>MP</v>
      </c>
      <c r="J1534" t="str">
        <f>INDEX(State!C:C,MATCH(OrdersTable[[#This Row],[State Code]],State!B:B,0))</f>
        <v>West</v>
      </c>
      <c r="K1534" t="s">
        <v>44</v>
      </c>
      <c r="L1534" t="s">
        <v>23</v>
      </c>
      <c r="M1534" t="s">
        <v>160</v>
      </c>
      <c r="N1534" t="str">
        <f>INDEX(Products!B:B,MATCH(OrdersTable[[#This Row],[Product ID]],Products!A:A,0))</f>
        <v>Niacinamide Toner</v>
      </c>
      <c r="O1534" t="str">
        <f>INDEX(Products!C:C,MATCH(OrdersTable[[#This Row],[Product ID]],Products!A:A,0))</f>
        <v>Skincare</v>
      </c>
      <c r="P1534">
        <v>1</v>
      </c>
      <c r="Q1534" s="5">
        <v>399</v>
      </c>
      <c r="R1534" s="74">
        <v>0.4</v>
      </c>
      <c r="S1534" s="75">
        <f>OrdersTable[[#This Row],[Quantity]]*OrdersTable[[#This Row],[Unit Price]]</f>
        <v>399</v>
      </c>
      <c r="T1534" s="5">
        <f>OrdersTable[[#This Row],[Gross Sale]]*OrdersTable[[#This Row],[Discount_Clean2]]</f>
        <v>159.60000000000002</v>
      </c>
      <c r="U1534" s="5">
        <f>OrdersTable[[#This Row],[Gross Sale]]-OrdersTable[[#This Row],[Discount Amount]]</f>
        <v>239.39999999999998</v>
      </c>
      <c r="V1534" s="77">
        <f>INDEX(Products!E:E,MATCH(OrdersTable[[#This Row],[Product ID]],Products!A:A,0))</f>
        <v>112</v>
      </c>
      <c r="W1534" s="77">
        <f>OrdersTable[[#This Row],[Quantity]]*OrdersTable[[#This Row],[Unit Cost]]</f>
        <v>112</v>
      </c>
      <c r="X1534" s="77">
        <f>'Dropdown Lists'!$I$2*(1+OrdersTable[[#This Row],[Returned]])</f>
        <v>60</v>
      </c>
      <c r="Y1534" s="76">
        <f>OrdersTable[[#This Row],[Net Revenue]]-OrdersTable[[#This Row],[COGS]]-OrdersTable[[#This Row],[Shipping Cost]]</f>
        <v>67.399999999999977</v>
      </c>
      <c r="Z1534" s="78">
        <f>IFERROR(OrdersTable[[#This Row],[Profit]]/OrdersTable[[#This Row],[Net Revenue]],0)</f>
        <v>0.28153717627401831</v>
      </c>
      <c r="AA1534" t="s">
        <v>18</v>
      </c>
      <c r="AB1534" s="79">
        <v>45586</v>
      </c>
      <c r="AC1534">
        <f>OrdersTable[[#This Row],[Delivery Date]]-OrdersTable[[#This Row],[Order Date]]</f>
        <v>5</v>
      </c>
      <c r="AD1534" t="str">
        <f>IF(OrdersTable[[#This Row],[Delivery Days]]&lt;=2, "Express (≤2d)", IF(OrdersTable[[#This Row],[Delivery Days]]&lt;=4, "Standard (3-4d)", "Delayed (5d+)"))</f>
        <v>Delayed (5d+)</v>
      </c>
      <c r="AE1534">
        <v>3</v>
      </c>
      <c r="AF1534">
        <v>0</v>
      </c>
    </row>
    <row r="1535" spans="1:32" ht="15" x14ac:dyDescent="0.35">
      <c r="A1535" t="s">
        <v>6311</v>
      </c>
      <c r="B1535" s="1">
        <v>45581</v>
      </c>
      <c r="C1535">
        <f>YEAR(OrdersTable[[#This Row],[Order Date]])</f>
        <v>2024</v>
      </c>
      <c r="D1535" s="2">
        <f>DATE(YEAR(OrdersTable[[#This Row],[Order Date]]),MONTH(OrdersTable[[#This Row],[Order Date]]),1)</f>
        <v>45566</v>
      </c>
      <c r="E1535">
        <f>MONTH(OrdersTable[[#This Row],[Order Date]])</f>
        <v>10</v>
      </c>
      <c r="F1535" t="s">
        <v>1546</v>
      </c>
      <c r="G1535" t="str">
        <f>IF(OrdersTable[[#This Row],[Order Date]]=_xlfn.MINIFS(Order_Date, Customer_ID, OrdersTable[[#This Row],[Customer ID]]), "New", "Repeat")</f>
        <v>Repeat</v>
      </c>
      <c r="H1535" t="s">
        <v>71</v>
      </c>
      <c r="I1535" t="str">
        <f>INDEX(State!B:B,MATCH(OrdersTable[[#This Row],[State]],State!A:A,0))</f>
        <v>MH</v>
      </c>
      <c r="J1535" t="str">
        <f>INDEX(State!C:C,MATCH(OrdersTable[[#This Row],[State Code]],State!B:B,0))</f>
        <v>West</v>
      </c>
      <c r="K1535" t="s">
        <v>102</v>
      </c>
      <c r="L1535" t="s">
        <v>23</v>
      </c>
      <c r="M1535" t="s">
        <v>34</v>
      </c>
      <c r="N1535" t="str">
        <f>INDEX(Products!B:B,MATCH(OrdersTable[[#This Row],[Product ID]],Products!A:A,0))</f>
        <v>Flip Flops</v>
      </c>
      <c r="O1535" t="str">
        <f>INDEX(Products!C:C,MATCH(OrdersTable[[#This Row],[Product ID]],Products!A:A,0))</f>
        <v>Footwear</v>
      </c>
      <c r="P1535">
        <v>2</v>
      </c>
      <c r="Q1535" s="5">
        <v>399</v>
      </c>
      <c r="R1535" s="74">
        <v>0.3</v>
      </c>
      <c r="S1535" s="75">
        <f>OrdersTable[[#This Row],[Quantity]]*OrdersTable[[#This Row],[Unit Price]]</f>
        <v>798</v>
      </c>
      <c r="T1535" s="5">
        <f>OrdersTable[[#This Row],[Gross Sale]]*OrdersTable[[#This Row],[Discount_Clean2]]</f>
        <v>239.39999999999998</v>
      </c>
      <c r="U1535" s="5">
        <f>OrdersTable[[#This Row],[Gross Sale]]-OrdersTable[[#This Row],[Discount Amount]]</f>
        <v>558.6</v>
      </c>
      <c r="V1535" s="77">
        <f>INDEX(Products!E:E,MATCH(OrdersTable[[#This Row],[Product ID]],Products!A:A,0))</f>
        <v>152</v>
      </c>
      <c r="W1535" s="77">
        <f>OrdersTable[[#This Row],[Quantity]]*OrdersTable[[#This Row],[Unit Cost]]</f>
        <v>304</v>
      </c>
      <c r="X1535" s="77">
        <f>'Dropdown Lists'!$I$2*(1+OrdersTable[[#This Row],[Returned]])</f>
        <v>60</v>
      </c>
      <c r="Y1535" s="76">
        <f>OrdersTable[[#This Row],[Net Revenue]]-OrdersTable[[#This Row],[COGS]]-OrdersTable[[#This Row],[Shipping Cost]]</f>
        <v>194.60000000000002</v>
      </c>
      <c r="Z1535" s="78">
        <f>IFERROR(OrdersTable[[#This Row],[Profit]]/OrdersTable[[#This Row],[Net Revenue]],0)</f>
        <v>0.34837092731829578</v>
      </c>
      <c r="AA1535" t="s">
        <v>18</v>
      </c>
      <c r="AB1535" s="79">
        <v>45584</v>
      </c>
      <c r="AC1535">
        <f>OrdersTable[[#This Row],[Delivery Date]]-OrdersTable[[#This Row],[Order Date]]</f>
        <v>3</v>
      </c>
      <c r="AD1535" t="str">
        <f>IF(OrdersTable[[#This Row],[Delivery Days]]&lt;=2, "Express (≤2d)", IF(OrdersTable[[#This Row],[Delivery Days]]&lt;=4, "Standard (3-4d)", "Delayed (5d+)"))</f>
        <v>Standard (3-4d)</v>
      </c>
      <c r="AE1535">
        <v>4</v>
      </c>
      <c r="AF1535">
        <v>0</v>
      </c>
    </row>
    <row r="1536" spans="1:32" ht="15" x14ac:dyDescent="0.35">
      <c r="A1536" t="s">
        <v>6515</v>
      </c>
      <c r="B1536" s="1">
        <v>45581</v>
      </c>
      <c r="C1536">
        <f>YEAR(OrdersTable[[#This Row],[Order Date]])</f>
        <v>2024</v>
      </c>
      <c r="D1536" s="2">
        <f>DATE(YEAR(OrdersTable[[#This Row],[Order Date]]),MONTH(OrdersTable[[#This Row],[Order Date]]),1)</f>
        <v>45566</v>
      </c>
      <c r="E1536">
        <f>MONTH(OrdersTable[[#This Row],[Order Date]])</f>
        <v>10</v>
      </c>
      <c r="F1536" t="s">
        <v>5035</v>
      </c>
      <c r="G1536" t="str">
        <f>IF(OrdersTable[[#This Row],[Order Date]]=_xlfn.MINIFS(Order_Date, Customer_ID, OrdersTable[[#This Row],[Customer ID]]), "New", "Repeat")</f>
        <v>New</v>
      </c>
      <c r="H1536" t="s">
        <v>167</v>
      </c>
      <c r="I1536" t="str">
        <f>INDEX(State!B:B,MATCH(OrdersTable[[#This Row],[State]],State!A:A,0))</f>
        <v>KA</v>
      </c>
      <c r="J1536" t="str">
        <f>INDEX(State!C:C,MATCH(OrdersTable[[#This Row],[State Code]],State!B:B,0))</f>
        <v>South</v>
      </c>
      <c r="K1536" t="s">
        <v>168</v>
      </c>
      <c r="L1536" t="s">
        <v>65</v>
      </c>
      <c r="M1536" t="s">
        <v>255</v>
      </c>
      <c r="N1536" t="str">
        <f>INDEX(Products!B:B,MATCH(OrdersTable[[#This Row],[Product ID]],Products!A:A,0))</f>
        <v>Cotton Oversized T-Shirt</v>
      </c>
      <c r="O1536" t="str">
        <f>INDEX(Products!C:C,MATCH(OrdersTable[[#This Row],[Product ID]],Products!A:A,0))</f>
        <v>Apparel</v>
      </c>
      <c r="P1536">
        <v>3</v>
      </c>
      <c r="Q1536" s="5">
        <v>799</v>
      </c>
      <c r="R1536" s="74">
        <v>0.15</v>
      </c>
      <c r="S1536" s="75">
        <f>OrdersTable[[#This Row],[Quantity]]*OrdersTable[[#This Row],[Unit Price]]</f>
        <v>2397</v>
      </c>
      <c r="T1536" s="5">
        <f>OrdersTable[[#This Row],[Gross Sale]]*OrdersTable[[#This Row],[Discount_Clean2]]</f>
        <v>359.55</v>
      </c>
      <c r="U1536" s="5">
        <f>OrdersTable[[#This Row],[Gross Sale]]-OrdersTable[[#This Row],[Discount Amount]]</f>
        <v>2037.45</v>
      </c>
      <c r="V1536" s="77">
        <f>INDEX(Products!E:E,MATCH(OrdersTable[[#This Row],[Product ID]],Products!A:A,0))</f>
        <v>320</v>
      </c>
      <c r="W1536" s="77">
        <f>OrdersTable[[#This Row],[Quantity]]*OrdersTable[[#This Row],[Unit Cost]]</f>
        <v>960</v>
      </c>
      <c r="X1536" s="77">
        <f>'Dropdown Lists'!$I$2*(1+OrdersTable[[#This Row],[Returned]])</f>
        <v>120</v>
      </c>
      <c r="Y1536" s="76">
        <f>OrdersTable[[#This Row],[Net Revenue]]-OrdersTable[[#This Row],[COGS]]-OrdersTable[[#This Row],[Shipping Cost]]</f>
        <v>957.45</v>
      </c>
      <c r="Z1536" s="78">
        <f>IFERROR(OrdersTable[[#This Row],[Profit]]/OrdersTable[[#This Row],[Net Revenue]],0)</f>
        <v>0.46992564234705148</v>
      </c>
      <c r="AA1536" t="s">
        <v>18</v>
      </c>
      <c r="AB1536" s="79">
        <v>45585</v>
      </c>
      <c r="AC1536">
        <f>OrdersTable[[#This Row],[Delivery Date]]-OrdersTable[[#This Row],[Order Date]]</f>
        <v>4</v>
      </c>
      <c r="AD1536" t="str">
        <f>IF(OrdersTable[[#This Row],[Delivery Days]]&lt;=2, "Express (≤2d)", IF(OrdersTable[[#This Row],[Delivery Days]]&lt;=4, "Standard (3-4d)", "Delayed (5d+)"))</f>
        <v>Standard (3-4d)</v>
      </c>
      <c r="AF1536">
        <v>1</v>
      </c>
    </row>
    <row r="1537" spans="1:32" ht="15" x14ac:dyDescent="0.35">
      <c r="A1537" t="s">
        <v>4366</v>
      </c>
      <c r="B1537" s="1">
        <v>45581</v>
      </c>
      <c r="C1537">
        <f>YEAR(OrdersTable[[#This Row],[Order Date]])</f>
        <v>2024</v>
      </c>
      <c r="D1537" s="2">
        <f>DATE(YEAR(OrdersTable[[#This Row],[Order Date]]),MONTH(OrdersTable[[#This Row],[Order Date]]),1)</f>
        <v>45566</v>
      </c>
      <c r="E1537">
        <f>MONTH(OrdersTable[[#This Row],[Order Date]])</f>
        <v>10</v>
      </c>
      <c r="F1537" t="s">
        <v>3195</v>
      </c>
      <c r="G1537" t="str">
        <f>IF(OrdersTable[[#This Row],[Order Date]]=_xlfn.MINIFS(Order_Date, Customer_ID, OrdersTable[[#This Row],[Customer ID]]), "New", "Repeat")</f>
        <v>Repeat</v>
      </c>
      <c r="H1537" t="s">
        <v>167</v>
      </c>
      <c r="I1537" t="str">
        <f>INDEX(State!B:B,MATCH(OrdersTable[[#This Row],[State]],State!A:A,0))</f>
        <v>KA</v>
      </c>
      <c r="J1537" t="str">
        <f>INDEX(State!C:C,MATCH(OrdersTable[[#This Row],[State Code]],State!B:B,0))</f>
        <v>South</v>
      </c>
      <c r="K1537" t="s">
        <v>168</v>
      </c>
      <c r="L1537" t="s">
        <v>23</v>
      </c>
      <c r="M1537" t="s">
        <v>255</v>
      </c>
      <c r="N1537" t="str">
        <f>INDEX(Products!B:B,MATCH(OrdersTable[[#This Row],[Product ID]],Products!A:A,0))</f>
        <v>Cotton Oversized T-Shirt</v>
      </c>
      <c r="O1537" t="str">
        <f>INDEX(Products!C:C,MATCH(OrdersTable[[#This Row],[Product ID]],Products!A:A,0))</f>
        <v>Apparel</v>
      </c>
      <c r="P1537">
        <v>1</v>
      </c>
      <c r="Q1537" s="5">
        <v>799</v>
      </c>
      <c r="R1537" s="74">
        <v>0.25</v>
      </c>
      <c r="S1537" s="75">
        <f>OrdersTable[[#This Row],[Quantity]]*OrdersTable[[#This Row],[Unit Price]]</f>
        <v>799</v>
      </c>
      <c r="T1537" s="5">
        <f>OrdersTable[[#This Row],[Gross Sale]]*OrdersTable[[#This Row],[Discount_Clean2]]</f>
        <v>199.75</v>
      </c>
      <c r="U1537" s="5">
        <f>OrdersTable[[#This Row],[Gross Sale]]-OrdersTable[[#This Row],[Discount Amount]]</f>
        <v>599.25</v>
      </c>
      <c r="V1537" s="77">
        <f>INDEX(Products!E:E,MATCH(OrdersTable[[#This Row],[Product ID]],Products!A:A,0))</f>
        <v>320</v>
      </c>
      <c r="W1537" s="77">
        <f>OrdersTable[[#This Row],[Quantity]]*OrdersTable[[#This Row],[Unit Cost]]</f>
        <v>320</v>
      </c>
      <c r="X1537" s="77">
        <f>'Dropdown Lists'!$I$2*(1+OrdersTable[[#This Row],[Returned]])</f>
        <v>60</v>
      </c>
      <c r="Y1537" s="76">
        <f>OrdersTable[[#This Row],[Net Revenue]]-OrdersTable[[#This Row],[COGS]]-OrdersTable[[#This Row],[Shipping Cost]]</f>
        <v>219.25</v>
      </c>
      <c r="Z1537" s="78">
        <f>IFERROR(OrdersTable[[#This Row],[Profit]]/OrdersTable[[#This Row],[Net Revenue]],0)</f>
        <v>0.36587400917813934</v>
      </c>
      <c r="AA1537" t="s">
        <v>4074</v>
      </c>
      <c r="AB1537" s="79">
        <v>45582</v>
      </c>
      <c r="AC1537">
        <f>OrdersTable[[#This Row],[Delivery Date]]-OrdersTable[[#This Row],[Order Date]]</f>
        <v>1</v>
      </c>
      <c r="AD1537" t="str">
        <f>IF(OrdersTable[[#This Row],[Delivery Days]]&lt;=2, "Express (≤2d)", IF(OrdersTable[[#This Row],[Delivery Days]]&lt;=4, "Standard (3-4d)", "Delayed (5d+)"))</f>
        <v>Express (≤2d)</v>
      </c>
      <c r="AE1537">
        <v>4</v>
      </c>
      <c r="AF1537">
        <v>0</v>
      </c>
    </row>
    <row r="1538" spans="1:32" ht="15" x14ac:dyDescent="0.35">
      <c r="A1538" t="s">
        <v>5895</v>
      </c>
      <c r="B1538" s="1">
        <v>45581</v>
      </c>
      <c r="C1538">
        <f>YEAR(OrdersTable[[#This Row],[Order Date]])</f>
        <v>2024</v>
      </c>
      <c r="D1538" s="2">
        <f>DATE(YEAR(OrdersTable[[#This Row],[Order Date]]),MONTH(OrdersTable[[#This Row],[Order Date]]),1)</f>
        <v>45566</v>
      </c>
      <c r="E1538">
        <f>MONTH(OrdersTable[[#This Row],[Order Date]])</f>
        <v>10</v>
      </c>
      <c r="F1538" t="s">
        <v>2100</v>
      </c>
      <c r="G1538" t="str">
        <f>IF(OrdersTable[[#This Row],[Order Date]]=_xlfn.MINIFS(Order_Date, Customer_ID, OrdersTable[[#This Row],[Customer ID]]), "New", "Repeat")</f>
        <v>Repeat</v>
      </c>
      <c r="H1538" t="s">
        <v>59</v>
      </c>
      <c r="I1538" t="str">
        <f>INDEX(State!B:B,MATCH(OrdersTable[[#This Row],[State]],State!A:A,0))</f>
        <v>TN</v>
      </c>
      <c r="J1538" t="str">
        <f>INDEX(State!C:C,MATCH(OrdersTable[[#This Row],[State Code]],State!B:B,0))</f>
        <v>South</v>
      </c>
      <c r="K1538" t="s">
        <v>60</v>
      </c>
      <c r="L1538" t="s">
        <v>50</v>
      </c>
      <c r="M1538" t="s">
        <v>106</v>
      </c>
      <c r="N1538" t="str">
        <f>INDEX(Products!B:B,MATCH(OrdersTable[[#This Row],[Product ID]],Products!A:A,0))</f>
        <v>Keratin Hair Mask</v>
      </c>
      <c r="O1538" t="str">
        <f>INDEX(Products!C:C,MATCH(OrdersTable[[#This Row],[Product ID]],Products!A:A,0))</f>
        <v>Haircare</v>
      </c>
      <c r="P1538">
        <v>2</v>
      </c>
      <c r="Q1538" s="5">
        <v>549</v>
      </c>
      <c r="R1538" s="74">
        <v>0.35</v>
      </c>
      <c r="S1538" s="75">
        <f>OrdersTable[[#This Row],[Quantity]]*OrdersTable[[#This Row],[Unit Price]]</f>
        <v>1098</v>
      </c>
      <c r="T1538" s="5">
        <f>OrdersTable[[#This Row],[Gross Sale]]*OrdersTable[[#This Row],[Discount_Clean2]]</f>
        <v>384.29999999999995</v>
      </c>
      <c r="U1538" s="5">
        <f>OrdersTable[[#This Row],[Gross Sale]]-OrdersTable[[#This Row],[Discount Amount]]</f>
        <v>713.7</v>
      </c>
      <c r="V1538" s="77">
        <f>INDEX(Products!E:E,MATCH(OrdersTable[[#This Row],[Product ID]],Products!A:A,0))</f>
        <v>170</v>
      </c>
      <c r="W1538" s="77">
        <f>OrdersTable[[#This Row],[Quantity]]*OrdersTable[[#This Row],[Unit Cost]]</f>
        <v>340</v>
      </c>
      <c r="X1538" s="77">
        <f>'Dropdown Lists'!$I$2*(1+OrdersTable[[#This Row],[Returned]])</f>
        <v>60</v>
      </c>
      <c r="Y1538" s="76">
        <f>OrdersTable[[#This Row],[Net Revenue]]-OrdersTable[[#This Row],[COGS]]-OrdersTable[[#This Row],[Shipping Cost]]</f>
        <v>313.70000000000005</v>
      </c>
      <c r="Z1538" s="78">
        <f>IFERROR(OrdersTable[[#This Row],[Profit]]/OrdersTable[[#This Row],[Net Revenue]],0)</f>
        <v>0.43954042314698055</v>
      </c>
      <c r="AA1538" t="s">
        <v>18</v>
      </c>
      <c r="AB1538" s="79">
        <v>45582</v>
      </c>
      <c r="AC1538">
        <f>OrdersTable[[#This Row],[Delivery Date]]-OrdersTable[[#This Row],[Order Date]]</f>
        <v>1</v>
      </c>
      <c r="AD1538" t="str">
        <f>IF(OrdersTable[[#This Row],[Delivery Days]]&lt;=2, "Express (≤2d)", IF(OrdersTable[[#This Row],[Delivery Days]]&lt;=4, "Standard (3-4d)", "Delayed (5d+)"))</f>
        <v>Express (≤2d)</v>
      </c>
      <c r="AF1538">
        <v>0</v>
      </c>
    </row>
    <row r="1539" spans="1:32" ht="15" x14ac:dyDescent="0.35">
      <c r="A1539" t="s">
        <v>940</v>
      </c>
      <c r="B1539" s="1">
        <v>45581</v>
      </c>
      <c r="C1539">
        <f>YEAR(OrdersTable[[#This Row],[Order Date]])</f>
        <v>2024</v>
      </c>
      <c r="D1539" s="2">
        <f>DATE(YEAR(OrdersTable[[#This Row],[Order Date]]),MONTH(OrdersTable[[#This Row],[Order Date]]),1)</f>
        <v>45566</v>
      </c>
      <c r="E1539">
        <f>MONTH(OrdersTable[[#This Row],[Order Date]])</f>
        <v>10</v>
      </c>
      <c r="F1539" t="s">
        <v>941</v>
      </c>
      <c r="G1539" t="str">
        <f>IF(OrdersTable[[#This Row],[Order Date]]=_xlfn.MINIFS(Order_Date, Customer_ID, OrdersTable[[#This Row],[Customer ID]]), "New", "Repeat")</f>
        <v>New</v>
      </c>
      <c r="H1539" t="s">
        <v>59</v>
      </c>
      <c r="I1539" t="str">
        <f>INDEX(State!B:B,MATCH(OrdersTable[[#This Row],[State]],State!A:A,0))</f>
        <v>TN</v>
      </c>
      <c r="J1539" t="str">
        <f>INDEX(State!C:C,MATCH(OrdersTable[[#This Row],[State Code]],State!B:B,0))</f>
        <v>South</v>
      </c>
      <c r="K1539" t="s">
        <v>60</v>
      </c>
      <c r="L1539" t="s">
        <v>50</v>
      </c>
      <c r="M1539" t="s">
        <v>45</v>
      </c>
      <c r="N1539" t="str">
        <f>INDEX(Products!B:B,MATCH(OrdersTable[[#This Row],[Product ID]],Products!A:A,0))</f>
        <v>Argan Shampoo</v>
      </c>
      <c r="O1539" t="str">
        <f>INDEX(Products!C:C,MATCH(OrdersTable[[#This Row],[Product ID]],Products!A:A,0))</f>
        <v>Haircare</v>
      </c>
      <c r="P1539">
        <v>1</v>
      </c>
      <c r="Q1539" s="5">
        <v>449</v>
      </c>
      <c r="R1539" s="74">
        <v>0.35</v>
      </c>
      <c r="S1539" s="75">
        <f>OrdersTable[[#This Row],[Quantity]]*OrdersTable[[#This Row],[Unit Price]]</f>
        <v>449</v>
      </c>
      <c r="T1539" s="5">
        <f>OrdersTable[[#This Row],[Gross Sale]]*OrdersTable[[#This Row],[Discount_Clean2]]</f>
        <v>157.14999999999998</v>
      </c>
      <c r="U1539" s="5">
        <f>OrdersTable[[#This Row],[Gross Sale]]-OrdersTable[[#This Row],[Discount Amount]]</f>
        <v>291.85000000000002</v>
      </c>
      <c r="V1539" s="77">
        <f>INDEX(Products!E:E,MATCH(OrdersTable[[#This Row],[Product ID]],Products!A:A,0))</f>
        <v>148</v>
      </c>
      <c r="W1539" s="77">
        <f>OrdersTable[[#This Row],[Quantity]]*OrdersTable[[#This Row],[Unit Cost]]</f>
        <v>148</v>
      </c>
      <c r="X1539" s="77">
        <f>'Dropdown Lists'!$I$2*(1+OrdersTable[[#This Row],[Returned]])</f>
        <v>60</v>
      </c>
      <c r="Y1539" s="76">
        <f>OrdersTable[[#This Row],[Net Revenue]]-OrdersTable[[#This Row],[COGS]]-OrdersTable[[#This Row],[Shipping Cost]]</f>
        <v>83.850000000000023</v>
      </c>
      <c r="Z1539" s="78">
        <f>IFERROR(OrdersTable[[#This Row],[Profit]]/OrdersTable[[#This Row],[Net Revenue]],0)</f>
        <v>0.28730512249443213</v>
      </c>
      <c r="AA1539" t="s">
        <v>18</v>
      </c>
      <c r="AB1539" s="79">
        <v>45584</v>
      </c>
      <c r="AC1539">
        <f>OrdersTable[[#This Row],[Delivery Date]]-OrdersTable[[#This Row],[Order Date]]</f>
        <v>3</v>
      </c>
      <c r="AD1539" t="str">
        <f>IF(OrdersTable[[#This Row],[Delivery Days]]&lt;=2, "Express (≤2d)", IF(OrdersTable[[#This Row],[Delivery Days]]&lt;=4, "Standard (3-4d)", "Delayed (5d+)"))</f>
        <v>Standard (3-4d)</v>
      </c>
      <c r="AE1539">
        <v>4</v>
      </c>
      <c r="AF1539">
        <v>0</v>
      </c>
    </row>
    <row r="1540" spans="1:32" ht="15" x14ac:dyDescent="0.35">
      <c r="A1540" t="s">
        <v>6970</v>
      </c>
      <c r="B1540" s="1">
        <v>45582</v>
      </c>
      <c r="C1540">
        <f>YEAR(OrdersTable[[#This Row],[Order Date]])</f>
        <v>2024</v>
      </c>
      <c r="D1540" s="2">
        <f>DATE(YEAR(OrdersTable[[#This Row],[Order Date]]),MONTH(OrdersTable[[#This Row],[Order Date]]),1)</f>
        <v>45566</v>
      </c>
      <c r="E1540">
        <f>MONTH(OrdersTable[[#This Row],[Order Date]])</f>
        <v>10</v>
      </c>
      <c r="F1540" t="s">
        <v>5837</v>
      </c>
      <c r="G1540" t="str">
        <f>IF(OrdersTable[[#This Row],[Order Date]]=_xlfn.MINIFS(Order_Date, Customer_ID, OrdersTable[[#This Row],[Customer ID]]), "New", "Repeat")</f>
        <v>New</v>
      </c>
      <c r="H1540" t="s">
        <v>184</v>
      </c>
      <c r="I1540" t="str">
        <f>INDEX(State!B:B,MATCH(OrdersTable[[#This Row],[State]],State!A:A,0))</f>
        <v>UK</v>
      </c>
      <c r="J1540" t="str">
        <f>INDEX(State!C:C,MATCH(OrdersTable[[#This Row],[State Code]],State!B:B,0))</f>
        <v>North</v>
      </c>
      <c r="K1540" t="s">
        <v>185</v>
      </c>
      <c r="L1540" t="s">
        <v>39</v>
      </c>
      <c r="M1540" t="s">
        <v>228</v>
      </c>
      <c r="N1540" t="str">
        <f>INDEX(Products!B:B,MATCH(OrdersTable[[#This Row],[Product ID]],Products!A:A,0))</f>
        <v>Fast Charger 33W</v>
      </c>
      <c r="O1540" t="str">
        <f>INDEX(Products!C:C,MATCH(OrdersTable[[#This Row],[Product ID]],Products!A:A,0))</f>
        <v>Electronics</v>
      </c>
      <c r="P1540">
        <v>4</v>
      </c>
      <c r="Q1540" s="5">
        <v>899</v>
      </c>
      <c r="R1540" s="74">
        <v>0.2</v>
      </c>
      <c r="S1540" s="75">
        <f>OrdersTable[[#This Row],[Quantity]]*OrdersTable[[#This Row],[Unit Price]]</f>
        <v>3596</v>
      </c>
      <c r="T1540" s="5">
        <f>OrdersTable[[#This Row],[Gross Sale]]*OrdersTable[[#This Row],[Discount_Clean2]]</f>
        <v>719.2</v>
      </c>
      <c r="U1540" s="5">
        <f>OrdersTable[[#This Row],[Gross Sale]]-OrdersTable[[#This Row],[Discount Amount]]</f>
        <v>2876.8</v>
      </c>
      <c r="V1540" s="77">
        <f>INDEX(Products!E:E,MATCH(OrdersTable[[#This Row],[Product ID]],Products!A:A,0))</f>
        <v>494</v>
      </c>
      <c r="W1540" s="77">
        <f>OrdersTable[[#This Row],[Quantity]]*OrdersTable[[#This Row],[Unit Cost]]</f>
        <v>1976</v>
      </c>
      <c r="X1540" s="77">
        <f>'Dropdown Lists'!$I$2*(1+OrdersTable[[#This Row],[Returned]])</f>
        <v>60</v>
      </c>
      <c r="Y1540" s="76">
        <f>OrdersTable[[#This Row],[Net Revenue]]-OrdersTable[[#This Row],[COGS]]-OrdersTable[[#This Row],[Shipping Cost]]</f>
        <v>840.80000000000018</v>
      </c>
      <c r="Z1540" s="78">
        <f>IFERROR(OrdersTable[[#This Row],[Profit]]/OrdersTable[[#This Row],[Net Revenue]],0)</f>
        <v>0.29226918798665186</v>
      </c>
      <c r="AA1540" t="s">
        <v>2522</v>
      </c>
      <c r="AB1540" s="79">
        <v>45587</v>
      </c>
      <c r="AC1540">
        <f>OrdersTable[[#This Row],[Delivery Date]]-OrdersTable[[#This Row],[Order Date]]</f>
        <v>5</v>
      </c>
      <c r="AD1540" t="str">
        <f>IF(OrdersTable[[#This Row],[Delivery Days]]&lt;=2, "Express (≤2d)", IF(OrdersTable[[#This Row],[Delivery Days]]&lt;=4, "Standard (3-4d)", "Delayed (5d+)"))</f>
        <v>Delayed (5d+)</v>
      </c>
      <c r="AE1540">
        <v>4</v>
      </c>
      <c r="AF1540">
        <v>0</v>
      </c>
    </row>
    <row r="1541" spans="1:32" ht="15" x14ac:dyDescent="0.35">
      <c r="A1541" t="s">
        <v>4940</v>
      </c>
      <c r="B1541" s="1">
        <v>45582</v>
      </c>
      <c r="C1541">
        <f>YEAR(OrdersTable[[#This Row],[Order Date]])</f>
        <v>2024</v>
      </c>
      <c r="D1541" s="2">
        <f>DATE(YEAR(OrdersTable[[#This Row],[Order Date]]),MONTH(OrdersTable[[#This Row],[Order Date]]),1)</f>
        <v>45566</v>
      </c>
      <c r="E1541">
        <f>MONTH(OrdersTable[[#This Row],[Order Date]])</f>
        <v>10</v>
      </c>
      <c r="F1541" t="s">
        <v>1161</v>
      </c>
      <c r="G1541" t="str">
        <f>IF(OrdersTable[[#This Row],[Order Date]]=_xlfn.MINIFS(Order_Date, Customer_ID, OrdersTable[[#This Row],[Customer ID]]), "New", "Repeat")</f>
        <v>New</v>
      </c>
      <c r="H1541" t="s">
        <v>48</v>
      </c>
      <c r="I1541" t="str">
        <f>INDEX(State!B:B,MATCH(OrdersTable[[#This Row],[State]],State!A:A,0))</f>
        <v>HR</v>
      </c>
      <c r="J1541" t="str">
        <f>INDEX(State!C:C,MATCH(OrdersTable[[#This Row],[State Code]],State!B:B,0))</f>
        <v>North</v>
      </c>
      <c r="K1541" t="s">
        <v>151</v>
      </c>
      <c r="L1541" t="s">
        <v>23</v>
      </c>
      <c r="M1541" t="s">
        <v>160</v>
      </c>
      <c r="N1541" t="str">
        <f>INDEX(Products!B:B,MATCH(OrdersTable[[#This Row],[Product ID]],Products!A:A,0))</f>
        <v>Niacinamide Toner</v>
      </c>
      <c r="O1541" t="str">
        <f>INDEX(Products!C:C,MATCH(OrdersTable[[#This Row],[Product ID]],Products!A:A,0))</f>
        <v>Skincare</v>
      </c>
      <c r="P1541">
        <v>2</v>
      </c>
      <c r="Q1541" s="5">
        <v>399</v>
      </c>
      <c r="R1541" s="74">
        <v>0.45</v>
      </c>
      <c r="S1541" s="75">
        <f>OrdersTable[[#This Row],[Quantity]]*OrdersTable[[#This Row],[Unit Price]]</f>
        <v>798</v>
      </c>
      <c r="T1541" s="5">
        <f>OrdersTable[[#This Row],[Gross Sale]]*OrdersTable[[#This Row],[Discount_Clean2]]</f>
        <v>359.1</v>
      </c>
      <c r="U1541" s="5">
        <f>OrdersTable[[#This Row],[Gross Sale]]-OrdersTable[[#This Row],[Discount Amount]]</f>
        <v>438.9</v>
      </c>
      <c r="V1541" s="77">
        <f>INDEX(Products!E:E,MATCH(OrdersTable[[#This Row],[Product ID]],Products!A:A,0))</f>
        <v>112</v>
      </c>
      <c r="W1541" s="77">
        <f>OrdersTable[[#This Row],[Quantity]]*OrdersTable[[#This Row],[Unit Cost]]</f>
        <v>224</v>
      </c>
      <c r="X1541" s="77">
        <f>'Dropdown Lists'!$I$2*(1+OrdersTable[[#This Row],[Returned]])</f>
        <v>120</v>
      </c>
      <c r="Y1541" s="76">
        <f>OrdersTable[[#This Row],[Net Revenue]]-OrdersTable[[#This Row],[COGS]]-OrdersTable[[#This Row],[Shipping Cost]]</f>
        <v>94.899999999999977</v>
      </c>
      <c r="Z1541" s="78">
        <f>IFERROR(OrdersTable[[#This Row],[Profit]]/OrdersTable[[#This Row],[Net Revenue]],0)</f>
        <v>0.21622237411711093</v>
      </c>
      <c r="AA1541" t="s">
        <v>4074</v>
      </c>
      <c r="AB1541" s="79">
        <v>45585</v>
      </c>
      <c r="AC1541">
        <f>OrdersTable[[#This Row],[Delivery Date]]-OrdersTable[[#This Row],[Order Date]]</f>
        <v>3</v>
      </c>
      <c r="AD1541" t="str">
        <f>IF(OrdersTable[[#This Row],[Delivery Days]]&lt;=2, "Express (≤2d)", IF(OrdersTable[[#This Row],[Delivery Days]]&lt;=4, "Standard (3-4d)", "Delayed (5d+)"))</f>
        <v>Standard (3-4d)</v>
      </c>
      <c r="AE1541">
        <v>2</v>
      </c>
      <c r="AF1541">
        <v>1</v>
      </c>
    </row>
    <row r="1542" spans="1:32" ht="15" x14ac:dyDescent="0.35">
      <c r="A1542" t="s">
        <v>1912</v>
      </c>
      <c r="B1542" s="1">
        <v>45582</v>
      </c>
      <c r="C1542">
        <f>YEAR(OrdersTable[[#This Row],[Order Date]])</f>
        <v>2024</v>
      </c>
      <c r="D1542" s="2">
        <f>DATE(YEAR(OrdersTable[[#This Row],[Order Date]]),MONTH(OrdersTable[[#This Row],[Order Date]]),1)</f>
        <v>45566</v>
      </c>
      <c r="E1542">
        <f>MONTH(OrdersTable[[#This Row],[Order Date]])</f>
        <v>10</v>
      </c>
      <c r="F1542" t="s">
        <v>1913</v>
      </c>
      <c r="G1542" t="str">
        <f>IF(OrdersTable[[#This Row],[Order Date]]=_xlfn.MINIFS(Order_Date, Customer_ID, OrdersTable[[#This Row],[Customer ID]]), "New", "Repeat")</f>
        <v>New</v>
      </c>
      <c r="H1542" t="s">
        <v>76</v>
      </c>
      <c r="I1542" t="str">
        <f>INDEX(State!B:B,MATCH(OrdersTable[[#This Row],[State]],State!A:A,0))</f>
        <v>UP</v>
      </c>
      <c r="J1542" t="str">
        <f>INDEX(State!C:C,MATCH(OrdersTable[[#This Row],[State Code]],State!B:B,0))</f>
        <v>North</v>
      </c>
      <c r="K1542" t="s">
        <v>77</v>
      </c>
      <c r="L1542" t="s">
        <v>23</v>
      </c>
      <c r="M1542" t="s">
        <v>61</v>
      </c>
      <c r="N1542" t="str">
        <f>INDEX(Products!B:B,MATCH(OrdersTable[[#This Row],[Product ID]],Products!A:A,0))</f>
        <v>Multivitamin Gummies</v>
      </c>
      <c r="O1542" t="str">
        <f>INDEX(Products!C:C,MATCH(OrdersTable[[#This Row],[Product ID]],Products!A:A,0))</f>
        <v>Wellness</v>
      </c>
      <c r="P1542">
        <v>1</v>
      </c>
      <c r="Q1542" s="5">
        <v>699</v>
      </c>
      <c r="R1542" s="74">
        <v>0.2</v>
      </c>
      <c r="S1542" s="75">
        <f>OrdersTable[[#This Row],[Quantity]]*OrdersTable[[#This Row],[Unit Price]]</f>
        <v>699</v>
      </c>
      <c r="T1542" s="5">
        <f>OrdersTable[[#This Row],[Gross Sale]]*OrdersTable[[#This Row],[Discount_Clean2]]</f>
        <v>139.80000000000001</v>
      </c>
      <c r="U1542" s="5">
        <f>OrdersTable[[#This Row],[Gross Sale]]-OrdersTable[[#This Row],[Discount Amount]]</f>
        <v>559.20000000000005</v>
      </c>
      <c r="V1542" s="77">
        <f>INDEX(Products!E:E,MATCH(OrdersTable[[#This Row],[Product ID]],Products!A:A,0))</f>
        <v>238</v>
      </c>
      <c r="W1542" s="77">
        <f>OrdersTable[[#This Row],[Quantity]]*OrdersTable[[#This Row],[Unit Cost]]</f>
        <v>238</v>
      </c>
      <c r="X1542" s="77">
        <f>'Dropdown Lists'!$I$2*(1+OrdersTable[[#This Row],[Returned]])</f>
        <v>120</v>
      </c>
      <c r="Y1542" s="76">
        <f>OrdersTable[[#This Row],[Net Revenue]]-OrdersTable[[#This Row],[COGS]]-OrdersTable[[#This Row],[Shipping Cost]]</f>
        <v>201.20000000000005</v>
      </c>
      <c r="Z1542" s="78">
        <f>IFERROR(OrdersTable[[#This Row],[Profit]]/OrdersTable[[#This Row],[Net Revenue]],0)</f>
        <v>0.35979971387696713</v>
      </c>
      <c r="AA1542" t="s">
        <v>18</v>
      </c>
      <c r="AB1542" s="79">
        <v>45587</v>
      </c>
      <c r="AC1542">
        <f>OrdersTable[[#This Row],[Delivery Date]]-OrdersTable[[#This Row],[Order Date]]</f>
        <v>5</v>
      </c>
      <c r="AD1542" t="str">
        <f>IF(OrdersTable[[#This Row],[Delivery Days]]&lt;=2, "Express (≤2d)", IF(OrdersTable[[#This Row],[Delivery Days]]&lt;=4, "Standard (3-4d)", "Delayed (5d+)"))</f>
        <v>Delayed (5d+)</v>
      </c>
      <c r="AE1542">
        <v>3</v>
      </c>
      <c r="AF1542">
        <v>1</v>
      </c>
    </row>
    <row r="1543" spans="1:32" ht="15" x14ac:dyDescent="0.35">
      <c r="A1543" t="s">
        <v>1685</v>
      </c>
      <c r="B1543" s="1">
        <v>45582</v>
      </c>
      <c r="C1543">
        <f>YEAR(OrdersTable[[#This Row],[Order Date]])</f>
        <v>2024</v>
      </c>
      <c r="D1543" s="2">
        <f>DATE(YEAR(OrdersTable[[#This Row],[Order Date]]),MONTH(OrdersTable[[#This Row],[Order Date]]),1)</f>
        <v>45566</v>
      </c>
      <c r="E1543">
        <f>MONTH(OrdersTable[[#This Row],[Order Date]])</f>
        <v>10</v>
      </c>
      <c r="F1543" t="s">
        <v>1686</v>
      </c>
      <c r="G1543" t="str">
        <f>IF(OrdersTable[[#This Row],[Order Date]]=_xlfn.MINIFS(Order_Date, Customer_ID, OrdersTable[[#This Row],[Customer ID]]), "New", "Repeat")</f>
        <v>New</v>
      </c>
      <c r="H1543" t="s">
        <v>27</v>
      </c>
      <c r="I1543" t="str">
        <f>INDEX(State!B:B,MATCH(OrdersTable[[#This Row],[State]],State!A:A,0))</f>
        <v>WB</v>
      </c>
      <c r="J1543" t="str">
        <f>INDEX(State!C:C,MATCH(OrdersTable[[#This Row],[State Code]],State!B:B,0))</f>
        <v>East</v>
      </c>
      <c r="K1543" t="s">
        <v>28</v>
      </c>
      <c r="L1543" t="s">
        <v>65</v>
      </c>
      <c r="M1543" t="s">
        <v>576</v>
      </c>
      <c r="N1543" t="str">
        <f>INDEX(Products!B:B,MATCH(OrdersTable[[#This Row],[Product ID]],Products!A:A,0))</f>
        <v>Printed Saree</v>
      </c>
      <c r="O1543" t="str">
        <f>INDEX(Products!C:C,MATCH(OrdersTable[[#This Row],[Product ID]],Products!A:A,0))</f>
        <v>Apparel</v>
      </c>
      <c r="P1543">
        <v>1</v>
      </c>
      <c r="Q1543" s="5">
        <v>1999</v>
      </c>
      <c r="R1543" s="74">
        <v>0.05</v>
      </c>
      <c r="S1543" s="75">
        <f>OrdersTable[[#This Row],[Quantity]]*OrdersTable[[#This Row],[Unit Price]]</f>
        <v>1999</v>
      </c>
      <c r="T1543" s="5">
        <f>OrdersTable[[#This Row],[Gross Sale]]*OrdersTable[[#This Row],[Discount_Clean2]]</f>
        <v>99.95</v>
      </c>
      <c r="U1543" s="5">
        <f>OrdersTable[[#This Row],[Gross Sale]]-OrdersTable[[#This Row],[Discount Amount]]</f>
        <v>1899.05</v>
      </c>
      <c r="V1543" s="77">
        <f>INDEX(Products!E:E,MATCH(OrdersTable[[#This Row],[Product ID]],Products!A:A,0))</f>
        <v>880</v>
      </c>
      <c r="W1543" s="77">
        <f>OrdersTable[[#This Row],[Quantity]]*OrdersTable[[#This Row],[Unit Cost]]</f>
        <v>880</v>
      </c>
      <c r="X1543" s="77">
        <f>'Dropdown Lists'!$I$2*(1+OrdersTable[[#This Row],[Returned]])</f>
        <v>60</v>
      </c>
      <c r="Y1543" s="76">
        <f>OrdersTable[[#This Row],[Net Revenue]]-OrdersTable[[#This Row],[COGS]]-OrdersTable[[#This Row],[Shipping Cost]]</f>
        <v>959.05</v>
      </c>
      <c r="Z1543" s="78">
        <f>IFERROR(OrdersTable[[#This Row],[Profit]]/OrdersTable[[#This Row],[Net Revenue]],0)</f>
        <v>0.50501566572760059</v>
      </c>
      <c r="AA1543" t="s">
        <v>18</v>
      </c>
      <c r="AB1543" s="79">
        <v>45586</v>
      </c>
      <c r="AC1543">
        <f>OrdersTable[[#This Row],[Delivery Date]]-OrdersTable[[#This Row],[Order Date]]</f>
        <v>4</v>
      </c>
      <c r="AD1543" t="str">
        <f>IF(OrdersTable[[#This Row],[Delivery Days]]&lt;=2, "Express (≤2d)", IF(OrdersTable[[#This Row],[Delivery Days]]&lt;=4, "Standard (3-4d)", "Delayed (5d+)"))</f>
        <v>Standard (3-4d)</v>
      </c>
      <c r="AF1543">
        <v>0</v>
      </c>
    </row>
    <row r="1544" spans="1:32" ht="15" x14ac:dyDescent="0.35">
      <c r="A1544" t="s">
        <v>1151</v>
      </c>
      <c r="B1544" s="1">
        <v>45582</v>
      </c>
      <c r="C1544">
        <f>YEAR(OrdersTable[[#This Row],[Order Date]])</f>
        <v>2024</v>
      </c>
      <c r="D1544" s="2">
        <f>DATE(YEAR(OrdersTable[[#This Row],[Order Date]]),MONTH(OrdersTable[[#This Row],[Order Date]]),1)</f>
        <v>45566</v>
      </c>
      <c r="E1544">
        <f>MONTH(OrdersTable[[#This Row],[Order Date]])</f>
        <v>10</v>
      </c>
      <c r="F1544" t="s">
        <v>1152</v>
      </c>
      <c r="G1544" t="str">
        <f>IF(OrdersTable[[#This Row],[Order Date]]=_xlfn.MINIFS(Order_Date, Customer_ID, OrdersTable[[#This Row],[Customer ID]]), "New", "Repeat")</f>
        <v>New</v>
      </c>
      <c r="H1544" t="s">
        <v>95</v>
      </c>
      <c r="I1544" t="str">
        <f>INDEX(State!B:B,MATCH(OrdersTable[[#This Row],[State]],State!A:A,0))</f>
        <v>TG</v>
      </c>
      <c r="J1544" t="str">
        <f>INDEX(State!C:C,MATCH(OrdersTable[[#This Row],[State Code]],State!B:B,0))</f>
        <v>South</v>
      </c>
      <c r="K1544" t="s">
        <v>96</v>
      </c>
      <c r="L1544" t="s">
        <v>50</v>
      </c>
      <c r="M1544" t="s">
        <v>160</v>
      </c>
      <c r="N1544" t="str">
        <f>INDEX(Products!B:B,MATCH(OrdersTable[[#This Row],[Product ID]],Products!A:A,0))</f>
        <v>Niacinamide Toner</v>
      </c>
      <c r="O1544" t="str">
        <f>INDEX(Products!C:C,MATCH(OrdersTable[[#This Row],[Product ID]],Products!A:A,0))</f>
        <v>Skincare</v>
      </c>
      <c r="P1544">
        <v>1</v>
      </c>
      <c r="Q1544" s="5">
        <v>399</v>
      </c>
      <c r="R1544" s="74">
        <v>0.25</v>
      </c>
      <c r="S1544" s="75">
        <f>OrdersTable[[#This Row],[Quantity]]*OrdersTable[[#This Row],[Unit Price]]</f>
        <v>399</v>
      </c>
      <c r="T1544" s="5">
        <f>OrdersTable[[#This Row],[Gross Sale]]*OrdersTable[[#This Row],[Discount_Clean2]]</f>
        <v>99.75</v>
      </c>
      <c r="U1544" s="5">
        <f>OrdersTable[[#This Row],[Gross Sale]]-OrdersTable[[#This Row],[Discount Amount]]</f>
        <v>299.25</v>
      </c>
      <c r="V1544" s="77">
        <f>INDEX(Products!E:E,MATCH(OrdersTable[[#This Row],[Product ID]],Products!A:A,0))</f>
        <v>112</v>
      </c>
      <c r="W1544" s="77">
        <f>OrdersTable[[#This Row],[Quantity]]*OrdersTable[[#This Row],[Unit Cost]]</f>
        <v>112</v>
      </c>
      <c r="X1544" s="77">
        <f>'Dropdown Lists'!$I$2*(1+OrdersTable[[#This Row],[Returned]])</f>
        <v>60</v>
      </c>
      <c r="Y1544" s="76">
        <f>OrdersTable[[#This Row],[Net Revenue]]-OrdersTable[[#This Row],[COGS]]-OrdersTable[[#This Row],[Shipping Cost]]</f>
        <v>127.25</v>
      </c>
      <c r="Z1544" s="78">
        <f>IFERROR(OrdersTable[[#This Row],[Profit]]/OrdersTable[[#This Row],[Net Revenue]],0)</f>
        <v>0.42522974101921468</v>
      </c>
      <c r="AA1544" t="s">
        <v>18</v>
      </c>
      <c r="AB1544" s="79">
        <v>45585</v>
      </c>
      <c r="AC1544">
        <f>OrdersTable[[#This Row],[Delivery Date]]-OrdersTable[[#This Row],[Order Date]]</f>
        <v>3</v>
      </c>
      <c r="AD1544" t="str">
        <f>IF(OrdersTable[[#This Row],[Delivery Days]]&lt;=2, "Express (≤2d)", IF(OrdersTable[[#This Row],[Delivery Days]]&lt;=4, "Standard (3-4d)", "Delayed (5d+)"))</f>
        <v>Standard (3-4d)</v>
      </c>
      <c r="AF1544">
        <v>0</v>
      </c>
    </row>
    <row r="1545" spans="1:32" ht="15" x14ac:dyDescent="0.35">
      <c r="A1545" t="s">
        <v>2104</v>
      </c>
      <c r="B1545" s="1">
        <v>45582</v>
      </c>
      <c r="C1545">
        <f>YEAR(OrdersTable[[#This Row],[Order Date]])</f>
        <v>2024</v>
      </c>
      <c r="D1545" s="2">
        <f>DATE(YEAR(OrdersTable[[#This Row],[Order Date]]),MONTH(OrdersTable[[#This Row],[Order Date]]),1)</f>
        <v>45566</v>
      </c>
      <c r="E1545">
        <f>MONTH(OrdersTable[[#This Row],[Order Date]])</f>
        <v>10</v>
      </c>
      <c r="F1545" t="s">
        <v>1115</v>
      </c>
      <c r="G1545" t="str">
        <f>IF(OrdersTable[[#This Row],[Order Date]]=_xlfn.MINIFS(Order_Date, Customer_ID, OrdersTable[[#This Row],[Customer ID]]), "New", "Repeat")</f>
        <v>New</v>
      </c>
      <c r="H1545" t="s">
        <v>90</v>
      </c>
      <c r="I1545" t="str">
        <f>INDEX(State!B:B,MATCH(OrdersTable[[#This Row],[State]],State!A:A,0))</f>
        <v>GA</v>
      </c>
      <c r="J1545" t="str">
        <f>INDEX(State!C:C,MATCH(OrdersTable[[#This Row],[State Code]],State!B:B,0))</f>
        <v>West</v>
      </c>
      <c r="K1545" t="s">
        <v>91</v>
      </c>
      <c r="L1545" t="s">
        <v>65</v>
      </c>
      <c r="M1545" t="s">
        <v>66</v>
      </c>
      <c r="N1545" t="str">
        <f>INDEX(Products!B:B,MATCH(OrdersTable[[#This Row],[Product ID]],Products!A:A,0))</f>
        <v>Sunscreen SPF 50</v>
      </c>
      <c r="O1545" t="str">
        <f>INDEX(Products!C:C,MATCH(OrdersTable[[#This Row],[Product ID]],Products!A:A,0))</f>
        <v>Skincare</v>
      </c>
      <c r="P1545">
        <v>1</v>
      </c>
      <c r="Q1545" s="5">
        <v>449</v>
      </c>
      <c r="R1545" s="74">
        <v>0.15</v>
      </c>
      <c r="S1545" s="75">
        <f>OrdersTable[[#This Row],[Quantity]]*OrdersTable[[#This Row],[Unit Price]]</f>
        <v>449</v>
      </c>
      <c r="T1545" s="5">
        <f>OrdersTable[[#This Row],[Gross Sale]]*OrdersTable[[#This Row],[Discount_Clean2]]</f>
        <v>67.349999999999994</v>
      </c>
      <c r="U1545" s="5">
        <f>OrdersTable[[#This Row],[Gross Sale]]-OrdersTable[[#This Row],[Discount Amount]]</f>
        <v>381.65</v>
      </c>
      <c r="V1545" s="77">
        <f>INDEX(Products!E:E,MATCH(OrdersTable[[#This Row],[Product ID]],Products!A:A,0))</f>
        <v>144</v>
      </c>
      <c r="W1545" s="77">
        <f>OrdersTable[[#This Row],[Quantity]]*OrdersTable[[#This Row],[Unit Cost]]</f>
        <v>144</v>
      </c>
      <c r="X1545" s="77">
        <f>'Dropdown Lists'!$I$2*(1+OrdersTable[[#This Row],[Returned]])</f>
        <v>60</v>
      </c>
      <c r="Y1545" s="76">
        <f>OrdersTable[[#This Row],[Net Revenue]]-OrdersTable[[#This Row],[COGS]]-OrdersTable[[#This Row],[Shipping Cost]]</f>
        <v>177.64999999999998</v>
      </c>
      <c r="Z1545" s="78">
        <f>IFERROR(OrdersTable[[#This Row],[Profit]]/OrdersTable[[#This Row],[Net Revenue]],0)</f>
        <v>0.465478841870824</v>
      </c>
      <c r="AA1545" t="s">
        <v>18</v>
      </c>
      <c r="AB1545" s="79">
        <v>45585</v>
      </c>
      <c r="AC1545">
        <f>OrdersTable[[#This Row],[Delivery Date]]-OrdersTable[[#This Row],[Order Date]]</f>
        <v>3</v>
      </c>
      <c r="AD1545" t="str">
        <f>IF(OrdersTable[[#This Row],[Delivery Days]]&lt;=2, "Express (≤2d)", IF(OrdersTable[[#This Row],[Delivery Days]]&lt;=4, "Standard (3-4d)", "Delayed (5d+)"))</f>
        <v>Standard (3-4d)</v>
      </c>
      <c r="AE1545">
        <v>3</v>
      </c>
      <c r="AF1545">
        <v>0</v>
      </c>
    </row>
    <row r="1546" spans="1:32" ht="15" x14ac:dyDescent="0.35">
      <c r="A1546" t="s">
        <v>4681</v>
      </c>
      <c r="B1546" s="1">
        <v>45582</v>
      </c>
      <c r="C1546">
        <f>YEAR(OrdersTable[[#This Row],[Order Date]])</f>
        <v>2024</v>
      </c>
      <c r="D1546" s="2">
        <f>DATE(YEAR(OrdersTable[[#This Row],[Order Date]]),MONTH(OrdersTable[[#This Row],[Order Date]]),1)</f>
        <v>45566</v>
      </c>
      <c r="E1546">
        <f>MONTH(OrdersTable[[#This Row],[Order Date]])</f>
        <v>10</v>
      </c>
      <c r="F1546" t="s">
        <v>1900</v>
      </c>
      <c r="G1546" t="str">
        <f>IF(OrdersTable[[#This Row],[Order Date]]=_xlfn.MINIFS(Order_Date, Customer_ID, OrdersTable[[#This Row],[Customer ID]]), "New", "Repeat")</f>
        <v>Repeat</v>
      </c>
      <c r="H1546" t="s">
        <v>167</v>
      </c>
      <c r="I1546" t="str">
        <f>INDEX(State!B:B,MATCH(OrdersTable[[#This Row],[State]],State!A:A,0))</f>
        <v>KA</v>
      </c>
      <c r="J1546" t="str">
        <f>INDEX(State!C:C,MATCH(OrdersTable[[#This Row],[State Code]],State!B:B,0))</f>
        <v>South</v>
      </c>
      <c r="K1546" t="s">
        <v>168</v>
      </c>
      <c r="L1546" t="s">
        <v>16</v>
      </c>
      <c r="M1546" t="s">
        <v>17</v>
      </c>
      <c r="N1546" t="str">
        <f>INDEX(Products!B:B,MATCH(OrdersTable[[#This Row],[Product ID]],Products!A:A,0))</f>
        <v>Casual Sneakers</v>
      </c>
      <c r="O1546" t="str">
        <f>INDEX(Products!C:C,MATCH(OrdersTable[[#This Row],[Product ID]],Products!A:A,0))</f>
        <v>Footwear</v>
      </c>
      <c r="P1546">
        <v>1</v>
      </c>
      <c r="Q1546" s="5">
        <v>2199</v>
      </c>
      <c r="R1546" s="74">
        <v>0.4</v>
      </c>
      <c r="S1546" s="75">
        <f>OrdersTable[[#This Row],[Quantity]]*OrdersTable[[#This Row],[Unit Price]]</f>
        <v>2199</v>
      </c>
      <c r="T1546" s="5">
        <f>OrdersTable[[#This Row],[Gross Sale]]*OrdersTable[[#This Row],[Discount_Clean2]]</f>
        <v>879.6</v>
      </c>
      <c r="U1546" s="5">
        <f>OrdersTable[[#This Row],[Gross Sale]]-OrdersTable[[#This Row],[Discount Amount]]</f>
        <v>1319.4</v>
      </c>
      <c r="V1546" s="77">
        <f>INDEX(Products!E:E,MATCH(OrdersTable[[#This Row],[Product ID]],Products!A:A,0))</f>
        <v>1034</v>
      </c>
      <c r="W1546" s="77">
        <f>OrdersTable[[#This Row],[Quantity]]*OrdersTable[[#This Row],[Unit Cost]]</f>
        <v>1034</v>
      </c>
      <c r="X1546" s="77">
        <f>'Dropdown Lists'!$I$2*(1+OrdersTable[[#This Row],[Returned]])</f>
        <v>60</v>
      </c>
      <c r="Y1546" s="76">
        <f>OrdersTable[[#This Row],[Net Revenue]]-OrdersTable[[#This Row],[COGS]]-OrdersTable[[#This Row],[Shipping Cost]]</f>
        <v>225.40000000000009</v>
      </c>
      <c r="Z1546" s="78">
        <f>IFERROR(OrdersTable[[#This Row],[Profit]]/OrdersTable[[#This Row],[Net Revenue]],0)</f>
        <v>0.17083522813400037</v>
      </c>
      <c r="AA1546" t="s">
        <v>4450</v>
      </c>
      <c r="AB1546" s="79">
        <v>45584</v>
      </c>
      <c r="AC1546">
        <f>OrdersTable[[#This Row],[Delivery Date]]-OrdersTable[[#This Row],[Order Date]]</f>
        <v>2</v>
      </c>
      <c r="AD1546" t="str">
        <f>IF(OrdersTable[[#This Row],[Delivery Days]]&lt;=2, "Express (≤2d)", IF(OrdersTable[[#This Row],[Delivery Days]]&lt;=4, "Standard (3-4d)", "Delayed (5d+)"))</f>
        <v>Express (≤2d)</v>
      </c>
      <c r="AE1546">
        <v>3</v>
      </c>
      <c r="AF1546">
        <v>0</v>
      </c>
    </row>
    <row r="1547" spans="1:32" ht="15" x14ac:dyDescent="0.35">
      <c r="A1547" t="s">
        <v>6868</v>
      </c>
      <c r="B1547" s="1">
        <v>45582</v>
      </c>
      <c r="C1547">
        <f>YEAR(OrdersTable[[#This Row],[Order Date]])</f>
        <v>2024</v>
      </c>
      <c r="D1547" s="2">
        <f>DATE(YEAR(OrdersTable[[#This Row],[Order Date]]),MONTH(OrdersTable[[#This Row],[Order Date]]),1)</f>
        <v>45566</v>
      </c>
      <c r="E1547">
        <f>MONTH(OrdersTable[[#This Row],[Order Date]])</f>
        <v>10</v>
      </c>
      <c r="F1547" t="s">
        <v>5401</v>
      </c>
      <c r="G1547" t="str">
        <f>IF(OrdersTable[[#This Row],[Order Date]]=_xlfn.MINIFS(Order_Date, Customer_ID, OrdersTable[[#This Row],[Customer ID]]), "New", "Repeat")</f>
        <v>New</v>
      </c>
      <c r="H1547" t="s">
        <v>275</v>
      </c>
      <c r="I1547" t="str">
        <f>INDEX(State!B:B,MATCH(OrdersTable[[#This Row],[State]],State!A:A,0))</f>
        <v>AP</v>
      </c>
      <c r="J1547" t="str">
        <f>INDEX(State!C:C,MATCH(OrdersTable[[#This Row],[State Code]],State!B:B,0))</f>
        <v>South</v>
      </c>
      <c r="K1547" t="s">
        <v>276</v>
      </c>
      <c r="L1547" t="s">
        <v>16</v>
      </c>
      <c r="M1547" t="s">
        <v>87</v>
      </c>
      <c r="N1547" t="str">
        <f>INDEX(Products!B:B,MATCH(OrdersTable[[#This Row],[Product ID]],Products!A:A,0))</f>
        <v>Linen Kurta</v>
      </c>
      <c r="O1547" t="str">
        <f>INDEX(Products!C:C,MATCH(OrdersTable[[#This Row],[Product ID]],Products!A:A,0))</f>
        <v>Apparel</v>
      </c>
      <c r="P1547">
        <v>3</v>
      </c>
      <c r="Q1547" s="5">
        <v>1499</v>
      </c>
      <c r="R1547" s="74">
        <v>0.4</v>
      </c>
      <c r="S1547" s="75">
        <f>OrdersTable[[#This Row],[Quantity]]*OrdersTable[[#This Row],[Unit Price]]</f>
        <v>4497</v>
      </c>
      <c r="T1547" s="5">
        <f>OrdersTable[[#This Row],[Gross Sale]]*OrdersTable[[#This Row],[Discount_Clean2]]</f>
        <v>1798.8000000000002</v>
      </c>
      <c r="U1547" s="5">
        <f>OrdersTable[[#This Row],[Gross Sale]]-OrdersTable[[#This Row],[Discount Amount]]</f>
        <v>2698.2</v>
      </c>
      <c r="V1547" s="77">
        <f>INDEX(Products!E:E,MATCH(OrdersTable[[#This Row],[Product ID]],Products!A:A,0))</f>
        <v>630</v>
      </c>
      <c r="W1547" s="77">
        <f>OrdersTable[[#This Row],[Quantity]]*OrdersTable[[#This Row],[Unit Cost]]</f>
        <v>1890</v>
      </c>
      <c r="X1547" s="77">
        <f>'Dropdown Lists'!$I$2*(1+OrdersTable[[#This Row],[Returned]])</f>
        <v>60</v>
      </c>
      <c r="Y1547" s="76">
        <f>OrdersTable[[#This Row],[Net Revenue]]-OrdersTable[[#This Row],[COGS]]-OrdersTable[[#This Row],[Shipping Cost]]</f>
        <v>748.19999999999982</v>
      </c>
      <c r="Z1547" s="78">
        <f>IFERROR(OrdersTable[[#This Row],[Profit]]/OrdersTable[[#This Row],[Net Revenue]],0)</f>
        <v>0.27729597509450737</v>
      </c>
      <c r="AA1547" t="s">
        <v>4450</v>
      </c>
      <c r="AB1547" s="79">
        <v>45586</v>
      </c>
      <c r="AC1547">
        <f>OrdersTable[[#This Row],[Delivery Date]]-OrdersTable[[#This Row],[Order Date]]</f>
        <v>4</v>
      </c>
      <c r="AD1547" t="str">
        <f>IF(OrdersTable[[#This Row],[Delivery Days]]&lt;=2, "Express (≤2d)", IF(OrdersTable[[#This Row],[Delivery Days]]&lt;=4, "Standard (3-4d)", "Delayed (5d+)"))</f>
        <v>Standard (3-4d)</v>
      </c>
      <c r="AE1547">
        <v>3</v>
      </c>
      <c r="AF1547">
        <v>0</v>
      </c>
    </row>
    <row r="1548" spans="1:32" ht="15" x14ac:dyDescent="0.35">
      <c r="A1548" t="s">
        <v>2105</v>
      </c>
      <c r="B1548" s="1">
        <v>45583</v>
      </c>
      <c r="C1548">
        <f>YEAR(OrdersTable[[#This Row],[Order Date]])</f>
        <v>2024</v>
      </c>
      <c r="D1548" s="2">
        <f>DATE(YEAR(OrdersTable[[#This Row],[Order Date]]),MONTH(OrdersTable[[#This Row],[Order Date]]),1)</f>
        <v>45566</v>
      </c>
      <c r="E1548">
        <f>MONTH(OrdersTable[[#This Row],[Order Date]])</f>
        <v>10</v>
      </c>
      <c r="F1548" t="s">
        <v>613</v>
      </c>
      <c r="G1548" t="str">
        <f>IF(OrdersTable[[#This Row],[Order Date]]=_xlfn.MINIFS(Order_Date, Customer_ID, OrdersTable[[#This Row],[Customer ID]]), "New", "Repeat")</f>
        <v>Repeat</v>
      </c>
      <c r="H1548" t="s">
        <v>128</v>
      </c>
      <c r="I1548" t="str">
        <f>INDEX(State!B:B,MATCH(OrdersTable[[#This Row],[State]],State!A:A,0))</f>
        <v>DL</v>
      </c>
      <c r="J1548" t="str">
        <f>INDEX(State!C:C,MATCH(OrdersTable[[#This Row],[State Code]],State!B:B,0))</f>
        <v>North</v>
      </c>
      <c r="K1548" t="s">
        <v>129</v>
      </c>
      <c r="L1548" t="s">
        <v>23</v>
      </c>
      <c r="M1548" t="s">
        <v>160</v>
      </c>
      <c r="N1548" t="str">
        <f>INDEX(Products!B:B,MATCH(OrdersTable[[#This Row],[Product ID]],Products!A:A,0))</f>
        <v>Niacinamide Toner</v>
      </c>
      <c r="O1548" t="str">
        <f>INDEX(Products!C:C,MATCH(OrdersTable[[#This Row],[Product ID]],Products!A:A,0))</f>
        <v>Skincare</v>
      </c>
      <c r="P1548">
        <v>1</v>
      </c>
      <c r="Q1548" s="5">
        <v>399</v>
      </c>
      <c r="R1548" s="74">
        <v>0.3</v>
      </c>
      <c r="S1548" s="75">
        <f>OrdersTable[[#This Row],[Quantity]]*OrdersTable[[#This Row],[Unit Price]]</f>
        <v>399</v>
      </c>
      <c r="T1548" s="5">
        <f>OrdersTable[[#This Row],[Gross Sale]]*OrdersTable[[#This Row],[Discount_Clean2]]</f>
        <v>119.69999999999999</v>
      </c>
      <c r="U1548" s="5">
        <f>OrdersTable[[#This Row],[Gross Sale]]-OrdersTable[[#This Row],[Discount Amount]]</f>
        <v>279.3</v>
      </c>
      <c r="V1548" s="77">
        <f>INDEX(Products!E:E,MATCH(OrdersTable[[#This Row],[Product ID]],Products!A:A,0))</f>
        <v>112</v>
      </c>
      <c r="W1548" s="77">
        <f>OrdersTable[[#This Row],[Quantity]]*OrdersTable[[#This Row],[Unit Cost]]</f>
        <v>112</v>
      </c>
      <c r="X1548" s="77">
        <f>'Dropdown Lists'!$I$2*(1+OrdersTable[[#This Row],[Returned]])</f>
        <v>60</v>
      </c>
      <c r="Y1548" s="76">
        <f>OrdersTable[[#This Row],[Net Revenue]]-OrdersTable[[#This Row],[COGS]]-OrdersTable[[#This Row],[Shipping Cost]]</f>
        <v>107.30000000000001</v>
      </c>
      <c r="Z1548" s="78">
        <f>IFERROR(OrdersTable[[#This Row],[Profit]]/OrdersTable[[#This Row],[Net Revenue]],0)</f>
        <v>0.38417472252058721</v>
      </c>
      <c r="AA1548" t="s">
        <v>18</v>
      </c>
      <c r="AB1548" s="79">
        <v>45587</v>
      </c>
      <c r="AC1548">
        <f>OrdersTable[[#This Row],[Delivery Date]]-OrdersTable[[#This Row],[Order Date]]</f>
        <v>4</v>
      </c>
      <c r="AD1548" t="str">
        <f>IF(OrdersTable[[#This Row],[Delivery Days]]&lt;=2, "Express (≤2d)", IF(OrdersTable[[#This Row],[Delivery Days]]&lt;=4, "Standard (3-4d)", "Delayed (5d+)"))</f>
        <v>Standard (3-4d)</v>
      </c>
      <c r="AE1548">
        <v>3</v>
      </c>
      <c r="AF1548">
        <v>0</v>
      </c>
    </row>
    <row r="1549" spans="1:32" ht="15" x14ac:dyDescent="0.35">
      <c r="A1549" t="s">
        <v>3740</v>
      </c>
      <c r="B1549" s="1">
        <v>45583</v>
      </c>
      <c r="C1549">
        <f>YEAR(OrdersTable[[#This Row],[Order Date]])</f>
        <v>2024</v>
      </c>
      <c r="D1549" s="2">
        <f>DATE(YEAR(OrdersTable[[#This Row],[Order Date]]),MONTH(OrdersTable[[#This Row],[Order Date]]),1)</f>
        <v>45566</v>
      </c>
      <c r="E1549">
        <f>MONTH(OrdersTable[[#This Row],[Order Date]])</f>
        <v>10</v>
      </c>
      <c r="F1549" t="s">
        <v>1382</v>
      </c>
      <c r="G1549" t="str">
        <f>IF(OrdersTable[[#This Row],[Order Date]]=_xlfn.MINIFS(Order_Date, Customer_ID, OrdersTable[[#This Row],[Customer ID]]), "New", "Repeat")</f>
        <v>Repeat</v>
      </c>
      <c r="H1549" t="s">
        <v>32</v>
      </c>
      <c r="I1549" t="str">
        <f>INDEX(State!B:B,MATCH(OrdersTable[[#This Row],[State]],State!A:A,0))</f>
        <v>BR</v>
      </c>
      <c r="J1549" t="str">
        <f>INDEX(State!C:C,MATCH(OrdersTable[[#This Row],[State Code]],State!B:B,0))</f>
        <v>East</v>
      </c>
      <c r="K1549" t="s">
        <v>33</v>
      </c>
      <c r="L1549" t="s">
        <v>65</v>
      </c>
      <c r="M1549" t="s">
        <v>565</v>
      </c>
      <c r="N1549" t="str">
        <f>INDEX(Products!B:B,MATCH(OrdersTable[[#This Row],[Product ID]],Products!A:A,0))</f>
        <v>Ceramic Dinner Set</v>
      </c>
      <c r="O1549" t="str">
        <f>INDEX(Products!C:C,MATCH(OrdersTable[[#This Row],[Product ID]],Products!A:A,0))</f>
        <v>Home &amp; Kitchen</v>
      </c>
      <c r="P1549">
        <v>1</v>
      </c>
      <c r="Q1549" s="5">
        <v>2499</v>
      </c>
      <c r="R1549" s="74">
        <v>0.55000000000000004</v>
      </c>
      <c r="S1549" s="75">
        <f>OrdersTable[[#This Row],[Quantity]]*OrdersTable[[#This Row],[Unit Price]]</f>
        <v>2499</v>
      </c>
      <c r="T1549" s="5">
        <f>OrdersTable[[#This Row],[Gross Sale]]*OrdersTable[[#This Row],[Discount_Clean2]]</f>
        <v>1374.45</v>
      </c>
      <c r="U1549" s="5">
        <f>OrdersTable[[#This Row],[Gross Sale]]-OrdersTable[[#This Row],[Discount Amount]]</f>
        <v>1124.55</v>
      </c>
      <c r="V1549" s="77">
        <f>INDEX(Products!E:E,MATCH(OrdersTable[[#This Row],[Product ID]],Products!A:A,0))</f>
        <v>1250</v>
      </c>
      <c r="W1549" s="77">
        <f>OrdersTable[[#This Row],[Quantity]]*OrdersTable[[#This Row],[Unit Cost]]</f>
        <v>1250</v>
      </c>
      <c r="X1549" s="77">
        <f>'Dropdown Lists'!$I$2*(1+OrdersTable[[#This Row],[Returned]])</f>
        <v>60</v>
      </c>
      <c r="Y1549" s="76">
        <f>OrdersTable[[#This Row],[Net Revenue]]-OrdersTable[[#This Row],[COGS]]-OrdersTable[[#This Row],[Shipping Cost]]</f>
        <v>-185.45000000000005</v>
      </c>
      <c r="Z1549" s="78">
        <f>IFERROR(OrdersTable[[#This Row],[Profit]]/OrdersTable[[#This Row],[Net Revenue]],0)</f>
        <v>-0.16491040860788764</v>
      </c>
      <c r="AA1549" t="s">
        <v>3495</v>
      </c>
      <c r="AB1549" s="79">
        <v>45587</v>
      </c>
      <c r="AC1549">
        <f>OrdersTable[[#This Row],[Delivery Date]]-OrdersTable[[#This Row],[Order Date]]</f>
        <v>4</v>
      </c>
      <c r="AD1549" t="str">
        <f>IF(OrdersTable[[#This Row],[Delivery Days]]&lt;=2, "Express (≤2d)", IF(OrdersTable[[#This Row],[Delivery Days]]&lt;=4, "Standard (3-4d)", "Delayed (5d+)"))</f>
        <v>Standard (3-4d)</v>
      </c>
      <c r="AF1549">
        <v>0</v>
      </c>
    </row>
    <row r="1550" spans="1:32" ht="15" x14ac:dyDescent="0.35">
      <c r="A1550" t="s">
        <v>6101</v>
      </c>
      <c r="B1550" s="1">
        <v>45583</v>
      </c>
      <c r="C1550">
        <f>YEAR(OrdersTable[[#This Row],[Order Date]])</f>
        <v>2024</v>
      </c>
      <c r="D1550" s="2">
        <f>DATE(YEAR(OrdersTable[[#This Row],[Order Date]]),MONTH(OrdersTable[[#This Row],[Order Date]]),1)</f>
        <v>45566</v>
      </c>
      <c r="E1550">
        <f>MONTH(OrdersTable[[#This Row],[Order Date]])</f>
        <v>10</v>
      </c>
      <c r="F1550" t="s">
        <v>1119</v>
      </c>
      <c r="G1550" t="str">
        <f>IF(OrdersTable[[#This Row],[Order Date]]=_xlfn.MINIFS(Order_Date, Customer_ID, OrdersTable[[#This Row],[Customer ID]]), "New", "Repeat")</f>
        <v>Repeat</v>
      </c>
      <c r="H1550" t="s">
        <v>32</v>
      </c>
      <c r="I1550" t="str">
        <f>INDEX(State!B:B,MATCH(OrdersTable[[#This Row],[State]],State!A:A,0))</f>
        <v>BR</v>
      </c>
      <c r="J1550" t="str">
        <f>INDEX(State!C:C,MATCH(OrdersTable[[#This Row],[State Code]],State!B:B,0))</f>
        <v>East</v>
      </c>
      <c r="K1550" t="s">
        <v>33</v>
      </c>
      <c r="L1550" t="s">
        <v>65</v>
      </c>
      <c r="M1550" t="s">
        <v>125</v>
      </c>
      <c r="N1550" t="str">
        <f>INDEX(Products!B:B,MATCH(OrdersTable[[#This Row],[Product ID]],Products!A:A,0))</f>
        <v>Copper Water Bottle</v>
      </c>
      <c r="O1550" t="str">
        <f>INDEX(Products!C:C,MATCH(OrdersTable[[#This Row],[Product ID]],Products!A:A,0))</f>
        <v>Home &amp; Kitchen</v>
      </c>
      <c r="P1550">
        <v>2</v>
      </c>
      <c r="Q1550" s="5">
        <v>899</v>
      </c>
      <c r="R1550" s="74">
        <v>0.2</v>
      </c>
      <c r="S1550" s="75">
        <f>OrdersTable[[#This Row],[Quantity]]*OrdersTable[[#This Row],[Unit Price]]</f>
        <v>1798</v>
      </c>
      <c r="T1550" s="5">
        <f>OrdersTable[[#This Row],[Gross Sale]]*OrdersTable[[#This Row],[Discount_Clean2]]</f>
        <v>359.6</v>
      </c>
      <c r="U1550" s="5">
        <f>OrdersTable[[#This Row],[Gross Sale]]-OrdersTable[[#This Row],[Discount Amount]]</f>
        <v>1438.4</v>
      </c>
      <c r="V1550" s="77">
        <f>INDEX(Products!E:E,MATCH(OrdersTable[[#This Row],[Product ID]],Products!A:A,0))</f>
        <v>378</v>
      </c>
      <c r="W1550" s="77">
        <f>OrdersTable[[#This Row],[Quantity]]*OrdersTable[[#This Row],[Unit Cost]]</f>
        <v>756</v>
      </c>
      <c r="X1550" s="77">
        <f>'Dropdown Lists'!$I$2*(1+OrdersTable[[#This Row],[Returned]])</f>
        <v>60</v>
      </c>
      <c r="Y1550" s="76">
        <f>OrdersTable[[#This Row],[Net Revenue]]-OrdersTable[[#This Row],[COGS]]-OrdersTable[[#This Row],[Shipping Cost]]</f>
        <v>622.40000000000009</v>
      </c>
      <c r="Z1550" s="78">
        <f>IFERROR(OrdersTable[[#This Row],[Profit]]/OrdersTable[[#This Row],[Net Revenue]],0)</f>
        <v>0.4327030033370412</v>
      </c>
      <c r="AA1550" t="s">
        <v>18</v>
      </c>
      <c r="AB1550" s="79">
        <v>45590</v>
      </c>
      <c r="AC1550">
        <f>OrdersTable[[#This Row],[Delivery Date]]-OrdersTable[[#This Row],[Order Date]]</f>
        <v>7</v>
      </c>
      <c r="AD1550" t="str">
        <f>IF(OrdersTable[[#This Row],[Delivery Days]]&lt;=2, "Express (≤2d)", IF(OrdersTable[[#This Row],[Delivery Days]]&lt;=4, "Standard (3-4d)", "Delayed (5d+)"))</f>
        <v>Delayed (5d+)</v>
      </c>
      <c r="AE1550">
        <v>4</v>
      </c>
      <c r="AF1550">
        <v>0</v>
      </c>
    </row>
    <row r="1551" spans="1:32" ht="15" x14ac:dyDescent="0.35">
      <c r="A1551" t="s">
        <v>1375</v>
      </c>
      <c r="B1551" s="1">
        <v>45583</v>
      </c>
      <c r="C1551">
        <f>YEAR(OrdersTable[[#This Row],[Order Date]])</f>
        <v>2024</v>
      </c>
      <c r="D1551" s="2">
        <f>DATE(YEAR(OrdersTable[[#This Row],[Order Date]]),MONTH(OrdersTable[[#This Row],[Order Date]]),1)</f>
        <v>45566</v>
      </c>
      <c r="E1551">
        <f>MONTH(OrdersTable[[#This Row],[Order Date]])</f>
        <v>10</v>
      </c>
      <c r="F1551" t="s">
        <v>1376</v>
      </c>
      <c r="G1551" t="str">
        <f>IF(OrdersTable[[#This Row],[Order Date]]=_xlfn.MINIFS(Order_Date, Customer_ID, OrdersTable[[#This Row],[Customer ID]]), "New", "Repeat")</f>
        <v>New</v>
      </c>
      <c r="H1551" t="s">
        <v>132</v>
      </c>
      <c r="I1551" t="str">
        <f>INDEX(State!B:B,MATCH(OrdersTable[[#This Row],[State]],State!A:A,0))</f>
        <v>AS</v>
      </c>
      <c r="J1551" t="str">
        <f>INDEX(State!C:C,MATCH(OrdersTable[[#This Row],[State Code]],State!B:B,0))</f>
        <v>East</v>
      </c>
      <c r="K1551" t="s">
        <v>133</v>
      </c>
      <c r="L1551" t="s">
        <v>23</v>
      </c>
      <c r="M1551" t="s">
        <v>40</v>
      </c>
      <c r="N1551" t="str">
        <f>INDEX(Products!B:B,MATCH(OrdersTable[[#This Row],[Product ID]],Products!A:A,0))</f>
        <v>Ashwagandha Capsules</v>
      </c>
      <c r="O1551" t="str">
        <f>INDEX(Products!C:C,MATCH(OrdersTable[[#This Row],[Product ID]],Products!A:A,0))</f>
        <v>Wellness</v>
      </c>
      <c r="P1551">
        <v>1</v>
      </c>
      <c r="Q1551" s="5">
        <v>499</v>
      </c>
      <c r="R1551" s="74">
        <v>0.1</v>
      </c>
      <c r="S1551" s="75">
        <f>OrdersTable[[#This Row],[Quantity]]*OrdersTable[[#This Row],[Unit Price]]</f>
        <v>499</v>
      </c>
      <c r="T1551" s="5">
        <f>OrdersTable[[#This Row],[Gross Sale]]*OrdersTable[[#This Row],[Discount_Clean2]]</f>
        <v>49.900000000000006</v>
      </c>
      <c r="U1551" s="5">
        <f>OrdersTable[[#This Row],[Gross Sale]]-OrdersTable[[#This Row],[Discount Amount]]</f>
        <v>449.1</v>
      </c>
      <c r="V1551" s="77">
        <f>INDEX(Products!E:E,MATCH(OrdersTable[[#This Row],[Product ID]],Products!A:A,0))</f>
        <v>150</v>
      </c>
      <c r="W1551" s="77">
        <f>OrdersTable[[#This Row],[Quantity]]*OrdersTable[[#This Row],[Unit Cost]]</f>
        <v>150</v>
      </c>
      <c r="X1551" s="77">
        <f>'Dropdown Lists'!$I$2*(1+OrdersTable[[#This Row],[Returned]])</f>
        <v>120</v>
      </c>
      <c r="Y1551" s="76">
        <f>OrdersTable[[#This Row],[Net Revenue]]-OrdersTable[[#This Row],[COGS]]-OrdersTable[[#This Row],[Shipping Cost]]</f>
        <v>179.10000000000002</v>
      </c>
      <c r="Z1551" s="78">
        <f>IFERROR(OrdersTable[[#This Row],[Profit]]/OrdersTable[[#This Row],[Net Revenue]],0)</f>
        <v>0.39879759519038077</v>
      </c>
      <c r="AA1551" t="s">
        <v>18</v>
      </c>
      <c r="AB1551" s="79">
        <v>45589</v>
      </c>
      <c r="AC1551">
        <f>OrdersTable[[#This Row],[Delivery Date]]-OrdersTable[[#This Row],[Order Date]]</f>
        <v>6</v>
      </c>
      <c r="AD1551" t="str">
        <f>IF(OrdersTable[[#This Row],[Delivery Days]]&lt;=2, "Express (≤2d)", IF(OrdersTable[[#This Row],[Delivery Days]]&lt;=4, "Standard (3-4d)", "Delayed (5d+)"))</f>
        <v>Delayed (5d+)</v>
      </c>
      <c r="AF1551">
        <v>1</v>
      </c>
    </row>
    <row r="1552" spans="1:32" ht="15" x14ac:dyDescent="0.35">
      <c r="A1552" t="s">
        <v>1914</v>
      </c>
      <c r="B1552" s="1">
        <v>45583</v>
      </c>
      <c r="C1552">
        <f>YEAR(OrdersTable[[#This Row],[Order Date]])</f>
        <v>2024</v>
      </c>
      <c r="D1552" s="2">
        <f>DATE(YEAR(OrdersTable[[#This Row],[Order Date]]),MONTH(OrdersTable[[#This Row],[Order Date]]),1)</f>
        <v>45566</v>
      </c>
      <c r="E1552">
        <f>MONTH(OrdersTable[[#This Row],[Order Date]])</f>
        <v>10</v>
      </c>
      <c r="F1552" t="s">
        <v>1915</v>
      </c>
      <c r="G1552" t="str">
        <f>IF(OrdersTable[[#This Row],[Order Date]]=_xlfn.MINIFS(Order_Date, Customer_ID, OrdersTable[[#This Row],[Customer ID]]), "New", "Repeat")</f>
        <v>New</v>
      </c>
      <c r="H1552" t="s">
        <v>37</v>
      </c>
      <c r="I1552" t="str">
        <f>INDEX(State!B:B,MATCH(OrdersTable[[#This Row],[State]],State!A:A,0))</f>
        <v>GJ</v>
      </c>
      <c r="J1552" t="str">
        <f>INDEX(State!C:C,MATCH(OrdersTable[[#This Row],[State Code]],State!B:B,0))</f>
        <v>West</v>
      </c>
      <c r="K1552" t="s">
        <v>38</v>
      </c>
      <c r="L1552" t="s">
        <v>50</v>
      </c>
      <c r="M1552" t="s">
        <v>106</v>
      </c>
      <c r="N1552" t="str">
        <f>INDEX(Products!B:B,MATCH(OrdersTable[[#This Row],[Product ID]],Products!A:A,0))</f>
        <v>Keratin Hair Mask</v>
      </c>
      <c r="O1552" t="str">
        <f>INDEX(Products!C:C,MATCH(OrdersTable[[#This Row],[Product ID]],Products!A:A,0))</f>
        <v>Haircare</v>
      </c>
      <c r="P1552">
        <v>1</v>
      </c>
      <c r="Q1552" s="5">
        <v>549</v>
      </c>
      <c r="R1552" s="74">
        <v>0.35</v>
      </c>
      <c r="S1552" s="75">
        <f>OrdersTable[[#This Row],[Quantity]]*OrdersTable[[#This Row],[Unit Price]]</f>
        <v>549</v>
      </c>
      <c r="T1552" s="5">
        <f>OrdersTable[[#This Row],[Gross Sale]]*OrdersTable[[#This Row],[Discount_Clean2]]</f>
        <v>192.14999999999998</v>
      </c>
      <c r="U1552" s="5">
        <f>OrdersTable[[#This Row],[Gross Sale]]-OrdersTable[[#This Row],[Discount Amount]]</f>
        <v>356.85</v>
      </c>
      <c r="V1552" s="77">
        <f>INDEX(Products!E:E,MATCH(OrdersTable[[#This Row],[Product ID]],Products!A:A,0))</f>
        <v>170</v>
      </c>
      <c r="W1552" s="77">
        <f>OrdersTable[[#This Row],[Quantity]]*OrdersTable[[#This Row],[Unit Cost]]</f>
        <v>170</v>
      </c>
      <c r="X1552" s="77">
        <f>'Dropdown Lists'!$I$2*(1+OrdersTable[[#This Row],[Returned]])</f>
        <v>60</v>
      </c>
      <c r="Y1552" s="76">
        <f>OrdersTable[[#This Row],[Net Revenue]]-OrdersTable[[#This Row],[COGS]]-OrdersTable[[#This Row],[Shipping Cost]]</f>
        <v>126.85000000000002</v>
      </c>
      <c r="Z1552" s="78">
        <f>IFERROR(OrdersTable[[#This Row],[Profit]]/OrdersTable[[#This Row],[Net Revenue]],0)</f>
        <v>0.35547148661902767</v>
      </c>
      <c r="AA1552" t="s">
        <v>18</v>
      </c>
      <c r="AB1552" s="79">
        <v>45588</v>
      </c>
      <c r="AC1552">
        <f>OrdersTable[[#This Row],[Delivery Date]]-OrdersTable[[#This Row],[Order Date]]</f>
        <v>5</v>
      </c>
      <c r="AD1552" t="str">
        <f>IF(OrdersTable[[#This Row],[Delivery Days]]&lt;=2, "Express (≤2d)", IF(OrdersTable[[#This Row],[Delivery Days]]&lt;=4, "Standard (3-4d)", "Delayed (5d+)"))</f>
        <v>Delayed (5d+)</v>
      </c>
      <c r="AE1552">
        <v>3</v>
      </c>
      <c r="AF1552">
        <v>0</v>
      </c>
    </row>
    <row r="1553" spans="1:32" ht="15" x14ac:dyDescent="0.35">
      <c r="A1553" t="s">
        <v>2747</v>
      </c>
      <c r="B1553" s="1">
        <v>45583</v>
      </c>
      <c r="C1553">
        <f>YEAR(OrdersTable[[#This Row],[Order Date]])</f>
        <v>2024</v>
      </c>
      <c r="D1553" s="2">
        <f>DATE(YEAR(OrdersTable[[#This Row],[Order Date]]),MONTH(OrdersTable[[#This Row],[Order Date]]),1)</f>
        <v>45566</v>
      </c>
      <c r="E1553">
        <f>MONTH(OrdersTable[[#This Row],[Order Date]])</f>
        <v>10</v>
      </c>
      <c r="F1553" t="s">
        <v>1218</v>
      </c>
      <c r="G1553" t="str">
        <f>IF(OrdersTable[[#This Row],[Order Date]]=_xlfn.MINIFS(Order_Date, Customer_ID, OrdersTable[[#This Row],[Customer ID]]), "New", "Repeat")</f>
        <v>Repeat</v>
      </c>
      <c r="H1553" t="s">
        <v>37</v>
      </c>
      <c r="I1553" t="str">
        <f>INDEX(State!B:B,MATCH(OrdersTable[[#This Row],[State]],State!A:A,0))</f>
        <v>GJ</v>
      </c>
      <c r="J1553" t="str">
        <f>INDEX(State!C:C,MATCH(OrdersTable[[#This Row],[State Code]],State!B:B,0))</f>
        <v>West</v>
      </c>
      <c r="K1553" t="s">
        <v>247</v>
      </c>
      <c r="L1553" t="s">
        <v>50</v>
      </c>
      <c r="M1553" t="s">
        <v>78</v>
      </c>
      <c r="N1553" t="str">
        <f>INDEX(Products!B:B,MATCH(OrdersTable[[#This Row],[Product ID]],Products!A:A,0))</f>
        <v>Retinol Night Cream</v>
      </c>
      <c r="O1553" t="str">
        <f>INDEX(Products!C:C,MATCH(OrdersTable[[#This Row],[Product ID]],Products!A:A,0))</f>
        <v>Skincare</v>
      </c>
      <c r="P1553">
        <v>1</v>
      </c>
      <c r="Q1553" s="5">
        <v>799</v>
      </c>
      <c r="R1553" s="74">
        <v>0.25</v>
      </c>
      <c r="S1553" s="75">
        <f>OrdersTable[[#This Row],[Quantity]]*OrdersTable[[#This Row],[Unit Price]]</f>
        <v>799</v>
      </c>
      <c r="T1553" s="5">
        <f>OrdersTable[[#This Row],[Gross Sale]]*OrdersTable[[#This Row],[Discount_Clean2]]</f>
        <v>199.75</v>
      </c>
      <c r="U1553" s="5">
        <f>OrdersTable[[#This Row],[Gross Sale]]-OrdersTable[[#This Row],[Discount Amount]]</f>
        <v>599.25</v>
      </c>
      <c r="V1553" s="77">
        <f>INDEX(Products!E:E,MATCH(OrdersTable[[#This Row],[Product ID]],Products!A:A,0))</f>
        <v>216</v>
      </c>
      <c r="W1553" s="77">
        <f>OrdersTable[[#This Row],[Quantity]]*OrdersTable[[#This Row],[Unit Cost]]</f>
        <v>216</v>
      </c>
      <c r="X1553" s="77">
        <f>'Dropdown Lists'!$I$2*(1+OrdersTable[[#This Row],[Returned]])</f>
        <v>120</v>
      </c>
      <c r="Y1553" s="76">
        <f>OrdersTable[[#This Row],[Net Revenue]]-OrdersTable[[#This Row],[COGS]]-OrdersTable[[#This Row],[Shipping Cost]]</f>
        <v>263.25</v>
      </c>
      <c r="Z1553" s="78">
        <f>IFERROR(OrdersTable[[#This Row],[Profit]]/OrdersTable[[#This Row],[Net Revenue]],0)</f>
        <v>0.43929912390488113</v>
      </c>
      <c r="AA1553" t="s">
        <v>2522</v>
      </c>
      <c r="AB1553" s="79">
        <v>45586</v>
      </c>
      <c r="AC1553">
        <f>OrdersTable[[#This Row],[Delivery Date]]-OrdersTable[[#This Row],[Order Date]]</f>
        <v>3</v>
      </c>
      <c r="AD1553" t="str">
        <f>IF(OrdersTable[[#This Row],[Delivery Days]]&lt;=2, "Express (≤2d)", IF(OrdersTable[[#This Row],[Delivery Days]]&lt;=4, "Standard (3-4d)", "Delayed (5d+)"))</f>
        <v>Standard (3-4d)</v>
      </c>
      <c r="AE1553">
        <v>3</v>
      </c>
      <c r="AF1553">
        <v>1</v>
      </c>
    </row>
    <row r="1554" spans="1:32" ht="15" x14ac:dyDescent="0.35">
      <c r="A1554" t="s">
        <v>6777</v>
      </c>
      <c r="B1554" s="1">
        <v>45583</v>
      </c>
      <c r="C1554">
        <f>YEAR(OrdersTable[[#This Row],[Order Date]])</f>
        <v>2024</v>
      </c>
      <c r="D1554" s="2">
        <f>DATE(YEAR(OrdersTable[[#This Row],[Order Date]]),MONTH(OrdersTable[[#This Row],[Order Date]]),1)</f>
        <v>45566</v>
      </c>
      <c r="E1554">
        <f>MONTH(OrdersTable[[#This Row],[Order Date]])</f>
        <v>10</v>
      </c>
      <c r="F1554" t="s">
        <v>5506</v>
      </c>
      <c r="G1554" t="str">
        <f>IF(OrdersTable[[#This Row],[Order Date]]=_xlfn.MINIFS(Order_Date, Customer_ID, OrdersTable[[#This Row],[Customer ID]]), "New", "Repeat")</f>
        <v>Repeat</v>
      </c>
      <c r="H1554" t="s">
        <v>37</v>
      </c>
      <c r="I1554" t="str">
        <f>INDEX(State!B:B,MATCH(OrdersTable[[#This Row],[State]],State!A:A,0))</f>
        <v>GJ</v>
      </c>
      <c r="J1554" t="str">
        <f>INDEX(State!C:C,MATCH(OrdersTable[[#This Row],[State Code]],State!B:B,0))</f>
        <v>West</v>
      </c>
      <c r="K1554" t="s">
        <v>247</v>
      </c>
      <c r="L1554" t="s">
        <v>23</v>
      </c>
      <c r="M1554" t="s">
        <v>17</v>
      </c>
      <c r="N1554" t="str">
        <f>INDEX(Products!B:B,MATCH(OrdersTable[[#This Row],[Product ID]],Products!A:A,0))</f>
        <v>Casual Sneakers</v>
      </c>
      <c r="O1554" t="str">
        <f>INDEX(Products!C:C,MATCH(OrdersTable[[#This Row],[Product ID]],Products!A:A,0))</f>
        <v>Footwear</v>
      </c>
      <c r="P1554">
        <v>3</v>
      </c>
      <c r="Q1554" s="5">
        <v>2199</v>
      </c>
      <c r="R1554" s="74">
        <v>0.25</v>
      </c>
      <c r="S1554" s="75">
        <f>OrdersTable[[#This Row],[Quantity]]*OrdersTable[[#This Row],[Unit Price]]</f>
        <v>6597</v>
      </c>
      <c r="T1554" s="5">
        <f>OrdersTable[[#This Row],[Gross Sale]]*OrdersTable[[#This Row],[Discount_Clean2]]</f>
        <v>1649.25</v>
      </c>
      <c r="U1554" s="5">
        <f>OrdersTable[[#This Row],[Gross Sale]]-OrdersTable[[#This Row],[Discount Amount]]</f>
        <v>4947.75</v>
      </c>
      <c r="V1554" s="77">
        <f>INDEX(Products!E:E,MATCH(OrdersTable[[#This Row],[Product ID]],Products!A:A,0))</f>
        <v>1034</v>
      </c>
      <c r="W1554" s="77">
        <f>OrdersTable[[#This Row],[Quantity]]*OrdersTable[[#This Row],[Unit Cost]]</f>
        <v>3102</v>
      </c>
      <c r="X1554" s="77">
        <f>'Dropdown Lists'!$I$2*(1+OrdersTable[[#This Row],[Returned]])</f>
        <v>60</v>
      </c>
      <c r="Y1554" s="76">
        <f>OrdersTable[[#This Row],[Net Revenue]]-OrdersTable[[#This Row],[COGS]]-OrdersTable[[#This Row],[Shipping Cost]]</f>
        <v>1785.75</v>
      </c>
      <c r="Z1554" s="78">
        <f>IFERROR(OrdersTable[[#This Row],[Profit]]/OrdersTable[[#This Row],[Net Revenue]],0)</f>
        <v>0.3609216310444141</v>
      </c>
      <c r="AA1554" t="s">
        <v>3495</v>
      </c>
      <c r="AB1554" s="79">
        <v>45587</v>
      </c>
      <c r="AC1554">
        <f>OrdersTable[[#This Row],[Delivery Date]]-OrdersTable[[#This Row],[Order Date]]</f>
        <v>4</v>
      </c>
      <c r="AD1554" t="str">
        <f>IF(OrdersTable[[#This Row],[Delivery Days]]&lt;=2, "Express (≤2d)", IF(OrdersTable[[#This Row],[Delivery Days]]&lt;=4, "Standard (3-4d)", "Delayed (5d+)"))</f>
        <v>Standard (3-4d)</v>
      </c>
      <c r="AE1554">
        <v>3</v>
      </c>
      <c r="AF1554">
        <v>0</v>
      </c>
    </row>
    <row r="1555" spans="1:32" ht="15" x14ac:dyDescent="0.35">
      <c r="A1555" t="s">
        <v>4485</v>
      </c>
      <c r="B1555" s="1">
        <v>45583</v>
      </c>
      <c r="C1555">
        <f>YEAR(OrdersTable[[#This Row],[Order Date]])</f>
        <v>2024</v>
      </c>
      <c r="D1555" s="2">
        <f>DATE(YEAR(OrdersTable[[#This Row],[Order Date]]),MONTH(OrdersTable[[#This Row],[Order Date]]),1)</f>
        <v>45566</v>
      </c>
      <c r="E1555">
        <f>MONTH(OrdersTable[[#This Row],[Order Date]])</f>
        <v>10</v>
      </c>
      <c r="F1555" t="s">
        <v>4486</v>
      </c>
      <c r="G1555" t="str">
        <f>IF(OrdersTable[[#This Row],[Order Date]]=_xlfn.MINIFS(Order_Date, Customer_ID, OrdersTable[[#This Row],[Customer ID]]), "New", "Repeat")</f>
        <v>New</v>
      </c>
      <c r="H1555" t="s">
        <v>95</v>
      </c>
      <c r="I1555" t="str">
        <f>INDEX(State!B:B,MATCH(OrdersTable[[#This Row],[State]],State!A:A,0))</f>
        <v>TG</v>
      </c>
      <c r="J1555" t="str">
        <f>INDEX(State!C:C,MATCH(OrdersTable[[#This Row],[State Code]],State!B:B,0))</f>
        <v>South</v>
      </c>
      <c r="K1555" t="s">
        <v>96</v>
      </c>
      <c r="L1555" t="s">
        <v>65</v>
      </c>
      <c r="M1555" t="s">
        <v>34</v>
      </c>
      <c r="N1555" t="str">
        <f>INDEX(Products!B:B,MATCH(OrdersTable[[#This Row],[Product ID]],Products!A:A,0))</f>
        <v>Flip Flops</v>
      </c>
      <c r="O1555" t="str">
        <f>INDEX(Products!C:C,MATCH(OrdersTable[[#This Row],[Product ID]],Products!A:A,0))</f>
        <v>Footwear</v>
      </c>
      <c r="P1555">
        <v>1</v>
      </c>
      <c r="Q1555" s="5">
        <v>399</v>
      </c>
      <c r="R1555" s="74">
        <v>0.25</v>
      </c>
      <c r="S1555" s="75">
        <f>OrdersTable[[#This Row],[Quantity]]*OrdersTable[[#This Row],[Unit Price]]</f>
        <v>399</v>
      </c>
      <c r="T1555" s="5">
        <f>OrdersTable[[#This Row],[Gross Sale]]*OrdersTable[[#This Row],[Discount_Clean2]]</f>
        <v>99.75</v>
      </c>
      <c r="U1555" s="5">
        <f>OrdersTable[[#This Row],[Gross Sale]]-OrdersTable[[#This Row],[Discount Amount]]</f>
        <v>299.25</v>
      </c>
      <c r="V1555" s="77">
        <f>INDEX(Products!E:E,MATCH(OrdersTable[[#This Row],[Product ID]],Products!A:A,0))</f>
        <v>152</v>
      </c>
      <c r="W1555" s="77">
        <f>OrdersTable[[#This Row],[Quantity]]*OrdersTable[[#This Row],[Unit Cost]]</f>
        <v>152</v>
      </c>
      <c r="X1555" s="77">
        <f>'Dropdown Lists'!$I$2*(1+OrdersTable[[#This Row],[Returned]])</f>
        <v>60</v>
      </c>
      <c r="Y1555" s="76">
        <f>OrdersTable[[#This Row],[Net Revenue]]-OrdersTable[[#This Row],[COGS]]-OrdersTable[[#This Row],[Shipping Cost]]</f>
        <v>87.25</v>
      </c>
      <c r="Z1555" s="78">
        <f>IFERROR(OrdersTable[[#This Row],[Profit]]/OrdersTable[[#This Row],[Net Revenue]],0)</f>
        <v>0.29156223893065997</v>
      </c>
      <c r="AA1555" t="s">
        <v>4450</v>
      </c>
      <c r="AB1555" s="79">
        <v>45586</v>
      </c>
      <c r="AC1555">
        <f>OrdersTable[[#This Row],[Delivery Date]]-OrdersTable[[#This Row],[Order Date]]</f>
        <v>3</v>
      </c>
      <c r="AD1555" t="str">
        <f>IF(OrdersTable[[#This Row],[Delivery Days]]&lt;=2, "Express (≤2d)", IF(OrdersTable[[#This Row],[Delivery Days]]&lt;=4, "Standard (3-4d)", "Delayed (5d+)"))</f>
        <v>Standard (3-4d)</v>
      </c>
      <c r="AE1555">
        <v>4</v>
      </c>
      <c r="AF1555">
        <v>0</v>
      </c>
    </row>
    <row r="1556" spans="1:32" ht="15" x14ac:dyDescent="0.35">
      <c r="A1556" t="s">
        <v>201</v>
      </c>
      <c r="B1556" s="1">
        <v>45583</v>
      </c>
      <c r="C1556">
        <f>YEAR(OrdersTable[[#This Row],[Order Date]])</f>
        <v>2024</v>
      </c>
      <c r="D1556" s="2">
        <f>DATE(YEAR(OrdersTable[[#This Row],[Order Date]]),MONTH(OrdersTable[[#This Row],[Order Date]]),1)</f>
        <v>45566</v>
      </c>
      <c r="E1556">
        <f>MONTH(OrdersTable[[#This Row],[Order Date]])</f>
        <v>10</v>
      </c>
      <c r="F1556" t="s">
        <v>202</v>
      </c>
      <c r="G1556" t="str">
        <f>IF(OrdersTable[[#This Row],[Order Date]]=_xlfn.MINIFS(Order_Date, Customer_ID, OrdersTable[[#This Row],[Customer ID]]), "New", "Repeat")</f>
        <v>Repeat</v>
      </c>
      <c r="H1556" t="s">
        <v>167</v>
      </c>
      <c r="I1556" t="str">
        <f>INDEX(State!B:B,MATCH(OrdersTable[[#This Row],[State]],State!A:A,0))</f>
        <v>KA</v>
      </c>
      <c r="J1556" t="str">
        <f>INDEX(State!C:C,MATCH(OrdersTable[[#This Row],[State Code]],State!B:B,0))</f>
        <v>South</v>
      </c>
      <c r="K1556" t="s">
        <v>190</v>
      </c>
      <c r="L1556" t="s">
        <v>16</v>
      </c>
      <c r="M1556" t="s">
        <v>87</v>
      </c>
      <c r="N1556" t="str">
        <f>INDEX(Products!B:B,MATCH(OrdersTable[[#This Row],[Product ID]],Products!A:A,0))</f>
        <v>Linen Kurta</v>
      </c>
      <c r="O1556" t="str">
        <f>INDEX(Products!C:C,MATCH(OrdersTable[[#This Row],[Product ID]],Products!A:A,0))</f>
        <v>Apparel</v>
      </c>
      <c r="P1556">
        <v>1</v>
      </c>
      <c r="Q1556" s="5">
        <v>1499</v>
      </c>
      <c r="R1556" s="74">
        <v>0.3</v>
      </c>
      <c r="S1556" s="75">
        <f>OrdersTable[[#This Row],[Quantity]]*OrdersTable[[#This Row],[Unit Price]]</f>
        <v>1499</v>
      </c>
      <c r="T1556" s="5">
        <f>OrdersTable[[#This Row],[Gross Sale]]*OrdersTable[[#This Row],[Discount_Clean2]]</f>
        <v>449.7</v>
      </c>
      <c r="U1556" s="5">
        <f>OrdersTable[[#This Row],[Gross Sale]]-OrdersTable[[#This Row],[Discount Amount]]</f>
        <v>1049.3</v>
      </c>
      <c r="V1556" s="77">
        <f>INDEX(Products!E:E,MATCH(OrdersTable[[#This Row],[Product ID]],Products!A:A,0))</f>
        <v>630</v>
      </c>
      <c r="W1556" s="77">
        <f>OrdersTable[[#This Row],[Quantity]]*OrdersTable[[#This Row],[Unit Cost]]</f>
        <v>630</v>
      </c>
      <c r="X1556" s="77">
        <f>'Dropdown Lists'!$I$2*(1+OrdersTable[[#This Row],[Returned]])</f>
        <v>60</v>
      </c>
      <c r="Y1556" s="76">
        <f>OrdersTable[[#This Row],[Net Revenue]]-OrdersTable[[#This Row],[COGS]]-OrdersTable[[#This Row],[Shipping Cost]]</f>
        <v>359.29999999999995</v>
      </c>
      <c r="Z1556" s="78">
        <f>IFERROR(OrdersTable[[#This Row],[Profit]]/OrdersTable[[#This Row],[Net Revenue]],0)</f>
        <v>0.34241875536071664</v>
      </c>
      <c r="AA1556" t="s">
        <v>18</v>
      </c>
      <c r="AB1556" s="79">
        <v>45584</v>
      </c>
      <c r="AC1556">
        <f>OrdersTable[[#This Row],[Delivery Date]]-OrdersTable[[#This Row],[Order Date]]</f>
        <v>1</v>
      </c>
      <c r="AD1556" t="str">
        <f>IF(OrdersTable[[#This Row],[Delivery Days]]&lt;=2, "Express (≤2d)", IF(OrdersTable[[#This Row],[Delivery Days]]&lt;=4, "Standard (3-4d)", "Delayed (5d+)"))</f>
        <v>Express (≤2d)</v>
      </c>
      <c r="AE1556">
        <v>4</v>
      </c>
      <c r="AF1556">
        <v>0</v>
      </c>
    </row>
    <row r="1557" spans="1:32" ht="15" x14ac:dyDescent="0.35">
      <c r="A1557" t="s">
        <v>6312</v>
      </c>
      <c r="B1557" s="1">
        <v>45584</v>
      </c>
      <c r="C1557">
        <f>YEAR(OrdersTable[[#This Row],[Order Date]])</f>
        <v>2024</v>
      </c>
      <c r="D1557" s="2">
        <f>DATE(YEAR(OrdersTable[[#This Row],[Order Date]]),MONTH(OrdersTable[[#This Row],[Order Date]]),1)</f>
        <v>45566</v>
      </c>
      <c r="E1557">
        <f>MONTH(OrdersTable[[#This Row],[Order Date]])</f>
        <v>10</v>
      </c>
      <c r="F1557" t="s">
        <v>2197</v>
      </c>
      <c r="G1557" t="str">
        <f>IF(OrdersTable[[#This Row],[Order Date]]=_xlfn.MINIFS(Order_Date, Customer_ID, OrdersTable[[#This Row],[Customer ID]]), "New", "Repeat")</f>
        <v>Repeat</v>
      </c>
      <c r="H1557" t="s">
        <v>21</v>
      </c>
      <c r="I1557" t="str">
        <f>INDEX(State!B:B,MATCH(OrdersTable[[#This Row],[State]],State!A:A,0))</f>
        <v>PB</v>
      </c>
      <c r="J1557" t="str">
        <f>INDEX(State!C:C,MATCH(OrdersTable[[#This Row],[State Code]],State!B:B,0))</f>
        <v>North</v>
      </c>
      <c r="K1557" t="s">
        <v>22</v>
      </c>
      <c r="L1557" t="s">
        <v>23</v>
      </c>
      <c r="M1557" t="s">
        <v>51</v>
      </c>
      <c r="N1557" t="str">
        <f>INDEX(Products!B:B,MATCH(OrdersTable[[#This Row],[Product ID]],Products!A:A,0))</f>
        <v>Anti-Dandruff Conditioner</v>
      </c>
      <c r="O1557" t="str">
        <f>INDEX(Products!C:C,MATCH(OrdersTable[[#This Row],[Product ID]],Products!A:A,0))</f>
        <v>Haircare</v>
      </c>
      <c r="P1557">
        <v>2</v>
      </c>
      <c r="Q1557" s="5">
        <v>399</v>
      </c>
      <c r="R1557" s="74">
        <v>0.55000000000000004</v>
      </c>
      <c r="S1557" s="75">
        <f>OrdersTable[[#This Row],[Quantity]]*OrdersTable[[#This Row],[Unit Price]]</f>
        <v>798</v>
      </c>
      <c r="T1557" s="5">
        <f>OrdersTable[[#This Row],[Gross Sale]]*OrdersTable[[#This Row],[Discount_Clean2]]</f>
        <v>438.90000000000003</v>
      </c>
      <c r="U1557" s="5">
        <f>OrdersTable[[#This Row],[Gross Sale]]-OrdersTable[[#This Row],[Discount Amount]]</f>
        <v>359.09999999999997</v>
      </c>
      <c r="V1557" s="77">
        <f>INDEX(Products!E:E,MATCH(OrdersTable[[#This Row],[Product ID]],Products!A:A,0))</f>
        <v>136</v>
      </c>
      <c r="W1557" s="77">
        <f>OrdersTable[[#This Row],[Quantity]]*OrdersTable[[#This Row],[Unit Cost]]</f>
        <v>272</v>
      </c>
      <c r="X1557" s="77">
        <f>'Dropdown Lists'!$I$2*(1+OrdersTable[[#This Row],[Returned]])</f>
        <v>60</v>
      </c>
      <c r="Y1557" s="76">
        <f>OrdersTable[[#This Row],[Net Revenue]]-OrdersTable[[#This Row],[COGS]]-OrdersTable[[#This Row],[Shipping Cost]]</f>
        <v>27.099999999999966</v>
      </c>
      <c r="Z1557" s="78">
        <f>IFERROR(OrdersTable[[#This Row],[Profit]]/OrdersTable[[#This Row],[Net Revenue]],0)</f>
        <v>7.5466443887496432E-2</v>
      </c>
      <c r="AA1557" t="s">
        <v>18</v>
      </c>
      <c r="AB1557" s="79">
        <v>45588</v>
      </c>
      <c r="AC1557">
        <f>OrdersTable[[#This Row],[Delivery Date]]-OrdersTable[[#This Row],[Order Date]]</f>
        <v>4</v>
      </c>
      <c r="AD1557" t="str">
        <f>IF(OrdersTable[[#This Row],[Delivery Days]]&lt;=2, "Express (≤2d)", IF(OrdersTable[[#This Row],[Delivery Days]]&lt;=4, "Standard (3-4d)", "Delayed (5d+)"))</f>
        <v>Standard (3-4d)</v>
      </c>
      <c r="AE1557">
        <v>3</v>
      </c>
      <c r="AF1557">
        <v>0</v>
      </c>
    </row>
    <row r="1558" spans="1:32" ht="15" x14ac:dyDescent="0.35">
      <c r="A1558" t="s">
        <v>3873</v>
      </c>
      <c r="B1558" s="1">
        <v>45584</v>
      </c>
      <c r="C1558">
        <f>YEAR(OrdersTable[[#This Row],[Order Date]])</f>
        <v>2024</v>
      </c>
      <c r="D1558" s="2">
        <f>DATE(YEAR(OrdersTable[[#This Row],[Order Date]]),MONTH(OrdersTable[[#This Row],[Order Date]]),1)</f>
        <v>45566</v>
      </c>
      <c r="E1558">
        <f>MONTH(OrdersTable[[#This Row],[Order Date]])</f>
        <v>10</v>
      </c>
      <c r="F1558" t="s">
        <v>3520</v>
      </c>
      <c r="G1558" t="str">
        <f>IF(OrdersTable[[#This Row],[Order Date]]=_xlfn.MINIFS(Order_Date, Customer_ID, OrdersTable[[#This Row],[Customer ID]]), "New", "Repeat")</f>
        <v>Repeat</v>
      </c>
      <c r="H1558" t="s">
        <v>21</v>
      </c>
      <c r="I1558" t="str">
        <f>INDEX(State!B:B,MATCH(OrdersTable[[#This Row],[State]],State!A:A,0))</f>
        <v>PB</v>
      </c>
      <c r="J1558" t="str">
        <f>INDEX(State!C:C,MATCH(OrdersTable[[#This Row],[State Code]],State!B:B,0))</f>
        <v>North</v>
      </c>
      <c r="K1558" t="s">
        <v>22</v>
      </c>
      <c r="L1558" t="s">
        <v>39</v>
      </c>
      <c r="M1558" t="s">
        <v>51</v>
      </c>
      <c r="N1558" t="str">
        <f>INDEX(Products!B:B,MATCH(OrdersTable[[#This Row],[Product ID]],Products!A:A,0))</f>
        <v>Anti-Dandruff Conditioner</v>
      </c>
      <c r="O1558" t="str">
        <f>INDEX(Products!C:C,MATCH(OrdersTable[[#This Row],[Product ID]],Products!A:A,0))</f>
        <v>Haircare</v>
      </c>
      <c r="P1558">
        <v>1</v>
      </c>
      <c r="Q1558" s="5">
        <v>399</v>
      </c>
      <c r="R1558" s="74">
        <v>0.45</v>
      </c>
      <c r="S1558" s="75">
        <f>OrdersTable[[#This Row],[Quantity]]*OrdersTable[[#This Row],[Unit Price]]</f>
        <v>399</v>
      </c>
      <c r="T1558" s="5">
        <f>OrdersTable[[#This Row],[Gross Sale]]*OrdersTable[[#This Row],[Discount_Clean2]]</f>
        <v>179.55</v>
      </c>
      <c r="U1558" s="5">
        <f>OrdersTable[[#This Row],[Gross Sale]]-OrdersTable[[#This Row],[Discount Amount]]</f>
        <v>219.45</v>
      </c>
      <c r="V1558" s="77">
        <f>INDEX(Products!E:E,MATCH(OrdersTable[[#This Row],[Product ID]],Products!A:A,0))</f>
        <v>136</v>
      </c>
      <c r="W1558" s="77">
        <f>OrdersTable[[#This Row],[Quantity]]*OrdersTable[[#This Row],[Unit Cost]]</f>
        <v>136</v>
      </c>
      <c r="X1558" s="77">
        <f>'Dropdown Lists'!$I$2*(1+OrdersTable[[#This Row],[Returned]])</f>
        <v>60</v>
      </c>
      <c r="Y1558" s="76">
        <f>OrdersTable[[#This Row],[Net Revenue]]-OrdersTable[[#This Row],[COGS]]-OrdersTable[[#This Row],[Shipping Cost]]</f>
        <v>23.449999999999989</v>
      </c>
      <c r="Z1558" s="78">
        <f>IFERROR(OrdersTable[[#This Row],[Profit]]/OrdersTable[[#This Row],[Net Revenue]],0)</f>
        <v>0.10685805422647524</v>
      </c>
      <c r="AA1558" t="s">
        <v>3495</v>
      </c>
      <c r="AB1558" s="79">
        <v>45590</v>
      </c>
      <c r="AC1558">
        <f>OrdersTable[[#This Row],[Delivery Date]]-OrdersTable[[#This Row],[Order Date]]</f>
        <v>6</v>
      </c>
      <c r="AD1558" t="str">
        <f>IF(OrdersTable[[#This Row],[Delivery Days]]&lt;=2, "Express (≤2d)", IF(OrdersTable[[#This Row],[Delivery Days]]&lt;=4, "Standard (3-4d)", "Delayed (5d+)"))</f>
        <v>Delayed (5d+)</v>
      </c>
      <c r="AE1558">
        <v>3</v>
      </c>
      <c r="AF1558">
        <v>0</v>
      </c>
    </row>
    <row r="1559" spans="1:32" ht="15" x14ac:dyDescent="0.35">
      <c r="A1559" t="s">
        <v>2748</v>
      </c>
      <c r="B1559" s="1">
        <v>45584</v>
      </c>
      <c r="C1559">
        <f>YEAR(OrdersTable[[#This Row],[Order Date]])</f>
        <v>2024</v>
      </c>
      <c r="D1559" s="2">
        <f>DATE(YEAR(OrdersTable[[#This Row],[Order Date]]),MONTH(OrdersTable[[#This Row],[Order Date]]),1)</f>
        <v>45566</v>
      </c>
      <c r="E1559">
        <f>MONTH(OrdersTable[[#This Row],[Order Date]])</f>
        <v>10</v>
      </c>
      <c r="F1559" t="s">
        <v>1904</v>
      </c>
      <c r="G1559" t="str">
        <f>IF(OrdersTable[[#This Row],[Order Date]]=_xlfn.MINIFS(Order_Date, Customer_ID, OrdersTable[[#This Row],[Customer ID]]), "New", "Repeat")</f>
        <v>Repeat</v>
      </c>
      <c r="H1559" t="s">
        <v>184</v>
      </c>
      <c r="I1559" t="str">
        <f>INDEX(State!B:B,MATCH(OrdersTable[[#This Row],[State]],State!A:A,0))</f>
        <v>UK</v>
      </c>
      <c r="J1559" t="str">
        <f>INDEX(State!C:C,MATCH(OrdersTable[[#This Row],[State Code]],State!B:B,0))</f>
        <v>North</v>
      </c>
      <c r="K1559" t="s">
        <v>185</v>
      </c>
      <c r="L1559" t="s">
        <v>65</v>
      </c>
      <c r="M1559" t="s">
        <v>148</v>
      </c>
      <c r="N1559" t="str">
        <f>INDEX(Products!B:B,MATCH(OrdersTable[[#This Row],[Product ID]],Products!A:A,0))</f>
        <v>Smartwatch Strap</v>
      </c>
      <c r="O1559" t="str">
        <f>INDEX(Products!C:C,MATCH(OrdersTable[[#This Row],[Product ID]],Products!A:A,0))</f>
        <v>Electronics</v>
      </c>
      <c r="P1559">
        <v>1</v>
      </c>
      <c r="Q1559" s="5">
        <v>499</v>
      </c>
      <c r="R1559" s="74">
        <v>0.1</v>
      </c>
      <c r="S1559" s="75">
        <f>OrdersTable[[#This Row],[Quantity]]*OrdersTable[[#This Row],[Unit Price]]</f>
        <v>499</v>
      </c>
      <c r="T1559" s="5">
        <f>OrdersTable[[#This Row],[Gross Sale]]*OrdersTable[[#This Row],[Discount_Clean2]]</f>
        <v>49.900000000000006</v>
      </c>
      <c r="U1559" s="5">
        <f>OrdersTable[[#This Row],[Gross Sale]]-OrdersTable[[#This Row],[Discount Amount]]</f>
        <v>449.1</v>
      </c>
      <c r="V1559" s="77">
        <f>INDEX(Products!E:E,MATCH(OrdersTable[[#This Row],[Product ID]],Products!A:A,0))</f>
        <v>200</v>
      </c>
      <c r="W1559" s="77">
        <f>OrdersTable[[#This Row],[Quantity]]*OrdersTable[[#This Row],[Unit Cost]]</f>
        <v>200</v>
      </c>
      <c r="X1559" s="77">
        <f>'Dropdown Lists'!$I$2*(1+OrdersTable[[#This Row],[Returned]])</f>
        <v>60</v>
      </c>
      <c r="Y1559" s="76">
        <f>OrdersTable[[#This Row],[Net Revenue]]-OrdersTable[[#This Row],[COGS]]-OrdersTable[[#This Row],[Shipping Cost]]</f>
        <v>189.10000000000002</v>
      </c>
      <c r="Z1559" s="78">
        <f>IFERROR(OrdersTable[[#This Row],[Profit]]/OrdersTable[[#This Row],[Net Revenue]],0)</f>
        <v>0.42106435092407041</v>
      </c>
      <c r="AA1559" t="s">
        <v>2522</v>
      </c>
      <c r="AB1559" s="79">
        <v>45587</v>
      </c>
      <c r="AC1559">
        <f>OrdersTable[[#This Row],[Delivery Date]]-OrdersTable[[#This Row],[Order Date]]</f>
        <v>3</v>
      </c>
      <c r="AD1559" t="str">
        <f>IF(OrdersTable[[#This Row],[Delivery Days]]&lt;=2, "Express (≤2d)", IF(OrdersTable[[#This Row],[Delivery Days]]&lt;=4, "Standard (3-4d)", "Delayed (5d+)"))</f>
        <v>Standard (3-4d)</v>
      </c>
      <c r="AE1559">
        <v>3</v>
      </c>
      <c r="AF1559">
        <v>0</v>
      </c>
    </row>
    <row r="1560" spans="1:32" ht="15" x14ac:dyDescent="0.35">
      <c r="A1560" t="s">
        <v>6102</v>
      </c>
      <c r="B1560" s="1">
        <v>45584</v>
      </c>
      <c r="C1560">
        <f>YEAR(OrdersTable[[#This Row],[Order Date]])</f>
        <v>2024</v>
      </c>
      <c r="D1560" s="2">
        <f>DATE(YEAR(OrdersTable[[#This Row],[Order Date]]),MONTH(OrdersTable[[#This Row],[Order Date]]),1)</f>
        <v>45566</v>
      </c>
      <c r="E1560">
        <f>MONTH(OrdersTable[[#This Row],[Order Date]])</f>
        <v>10</v>
      </c>
      <c r="F1560" t="s">
        <v>5037</v>
      </c>
      <c r="G1560" t="str">
        <f>IF(OrdersTable[[#This Row],[Order Date]]=_xlfn.MINIFS(Order_Date, Customer_ID, OrdersTable[[#This Row],[Customer ID]]), "New", "Repeat")</f>
        <v>New</v>
      </c>
      <c r="H1560" t="s">
        <v>48</v>
      </c>
      <c r="I1560" t="str">
        <f>INDEX(State!B:B,MATCH(OrdersTable[[#This Row],[State]],State!A:A,0))</f>
        <v>HR</v>
      </c>
      <c r="J1560" t="str">
        <f>INDEX(State!C:C,MATCH(OrdersTable[[#This Row],[State Code]],State!B:B,0))</f>
        <v>North</v>
      </c>
      <c r="K1560" t="s">
        <v>49</v>
      </c>
      <c r="L1560" t="s">
        <v>65</v>
      </c>
      <c r="M1560" t="s">
        <v>87</v>
      </c>
      <c r="N1560" t="str">
        <f>INDEX(Products!B:B,MATCH(OrdersTable[[#This Row],[Product ID]],Products!A:A,0))</f>
        <v>Linen Kurta</v>
      </c>
      <c r="O1560" t="str">
        <f>INDEX(Products!C:C,MATCH(OrdersTable[[#This Row],[Product ID]],Products!A:A,0))</f>
        <v>Apparel</v>
      </c>
      <c r="P1560">
        <v>2</v>
      </c>
      <c r="Q1560" s="5">
        <v>1499</v>
      </c>
      <c r="R1560" s="74">
        <v>0.4</v>
      </c>
      <c r="S1560" s="75">
        <f>OrdersTable[[#This Row],[Quantity]]*OrdersTable[[#This Row],[Unit Price]]</f>
        <v>2998</v>
      </c>
      <c r="T1560" s="5">
        <f>OrdersTable[[#This Row],[Gross Sale]]*OrdersTable[[#This Row],[Discount_Clean2]]</f>
        <v>1199.2</v>
      </c>
      <c r="U1560" s="5">
        <f>OrdersTable[[#This Row],[Gross Sale]]-OrdersTable[[#This Row],[Discount Amount]]</f>
        <v>1798.8</v>
      </c>
      <c r="V1560" s="77">
        <f>INDEX(Products!E:E,MATCH(OrdersTable[[#This Row],[Product ID]],Products!A:A,0))</f>
        <v>630</v>
      </c>
      <c r="W1560" s="77">
        <f>OrdersTable[[#This Row],[Quantity]]*OrdersTable[[#This Row],[Unit Cost]]</f>
        <v>1260</v>
      </c>
      <c r="X1560" s="77">
        <f>'Dropdown Lists'!$I$2*(1+OrdersTable[[#This Row],[Returned]])</f>
        <v>60</v>
      </c>
      <c r="Y1560" s="76">
        <f>OrdersTable[[#This Row],[Net Revenue]]-OrdersTable[[#This Row],[COGS]]-OrdersTable[[#This Row],[Shipping Cost]]</f>
        <v>478.79999999999995</v>
      </c>
      <c r="Z1560" s="78">
        <f>IFERROR(OrdersTable[[#This Row],[Profit]]/OrdersTable[[#This Row],[Net Revenue]],0)</f>
        <v>0.26617745163442291</v>
      </c>
      <c r="AA1560" t="s">
        <v>18</v>
      </c>
      <c r="AB1560" s="79">
        <v>45586</v>
      </c>
      <c r="AC1560">
        <f>OrdersTable[[#This Row],[Delivery Date]]-OrdersTable[[#This Row],[Order Date]]</f>
        <v>2</v>
      </c>
      <c r="AD1560" t="str">
        <f>IF(OrdersTable[[#This Row],[Delivery Days]]&lt;=2, "Express (≤2d)", IF(OrdersTable[[#This Row],[Delivery Days]]&lt;=4, "Standard (3-4d)", "Delayed (5d+)"))</f>
        <v>Express (≤2d)</v>
      </c>
      <c r="AE1560">
        <v>4</v>
      </c>
      <c r="AF1560">
        <v>0</v>
      </c>
    </row>
    <row r="1561" spans="1:32" ht="15" x14ac:dyDescent="0.35">
      <c r="A1561" t="s">
        <v>942</v>
      </c>
      <c r="B1561" s="1">
        <v>45584</v>
      </c>
      <c r="C1561">
        <f>YEAR(OrdersTable[[#This Row],[Order Date]])</f>
        <v>2024</v>
      </c>
      <c r="D1561" s="2">
        <f>DATE(YEAR(OrdersTable[[#This Row],[Order Date]]),MONTH(OrdersTable[[#This Row],[Order Date]]),1)</f>
        <v>45566</v>
      </c>
      <c r="E1561">
        <f>MONTH(OrdersTable[[#This Row],[Order Date]])</f>
        <v>10</v>
      </c>
      <c r="F1561" t="s">
        <v>938</v>
      </c>
      <c r="G1561" t="str">
        <f>IF(OrdersTable[[#This Row],[Order Date]]=_xlfn.MINIFS(Order_Date, Customer_ID, OrdersTable[[#This Row],[Customer ID]]), "New", "Repeat")</f>
        <v>Repeat</v>
      </c>
      <c r="H1561" t="s">
        <v>76</v>
      </c>
      <c r="I1561" t="str">
        <f>INDEX(State!B:B,MATCH(OrdersTable[[#This Row],[State]],State!A:A,0))</f>
        <v>UP</v>
      </c>
      <c r="J1561" t="str">
        <f>INDEX(State!C:C,MATCH(OrdersTable[[#This Row],[State Code]],State!B:B,0))</f>
        <v>North</v>
      </c>
      <c r="K1561" t="s">
        <v>118</v>
      </c>
      <c r="L1561" t="s">
        <v>50</v>
      </c>
      <c r="M1561" t="s">
        <v>73</v>
      </c>
      <c r="N1561" t="str">
        <f>INDEX(Products!B:B,MATCH(OrdersTable[[#This Row],[Product ID]],Products!A:A,0))</f>
        <v>Hydrating Face Wash</v>
      </c>
      <c r="O1561" t="str">
        <f>INDEX(Products!C:C,MATCH(OrdersTable[[#This Row],[Product ID]],Products!A:A,0))</f>
        <v>Skincare</v>
      </c>
      <c r="P1561">
        <v>1</v>
      </c>
      <c r="Q1561" s="5">
        <v>299</v>
      </c>
      <c r="R1561" s="74">
        <v>0.25</v>
      </c>
      <c r="S1561" s="75">
        <f>OrdersTable[[#This Row],[Quantity]]*OrdersTable[[#This Row],[Unit Price]]</f>
        <v>299</v>
      </c>
      <c r="T1561" s="5">
        <f>OrdersTable[[#This Row],[Gross Sale]]*OrdersTable[[#This Row],[Discount_Clean2]]</f>
        <v>74.75</v>
      </c>
      <c r="U1561" s="5">
        <f>OrdersTable[[#This Row],[Gross Sale]]-OrdersTable[[#This Row],[Discount Amount]]</f>
        <v>224.25</v>
      </c>
      <c r="V1561" s="77">
        <f>INDEX(Products!E:E,MATCH(OrdersTable[[#This Row],[Product ID]],Products!A:A,0))</f>
        <v>90</v>
      </c>
      <c r="W1561" s="77">
        <f>OrdersTable[[#This Row],[Quantity]]*OrdersTable[[#This Row],[Unit Cost]]</f>
        <v>90</v>
      </c>
      <c r="X1561" s="77">
        <f>'Dropdown Lists'!$I$2*(1+OrdersTable[[#This Row],[Returned]])</f>
        <v>60</v>
      </c>
      <c r="Y1561" s="76">
        <f>OrdersTable[[#This Row],[Net Revenue]]-OrdersTable[[#This Row],[COGS]]-OrdersTable[[#This Row],[Shipping Cost]]</f>
        <v>74.25</v>
      </c>
      <c r="Z1561" s="78">
        <f>IFERROR(OrdersTable[[#This Row],[Profit]]/OrdersTable[[#This Row],[Net Revenue]],0)</f>
        <v>0.33110367892976589</v>
      </c>
      <c r="AA1561" t="s">
        <v>18</v>
      </c>
      <c r="AB1561" s="79">
        <v>45588</v>
      </c>
      <c r="AC1561">
        <f>OrdersTable[[#This Row],[Delivery Date]]-OrdersTable[[#This Row],[Order Date]]</f>
        <v>4</v>
      </c>
      <c r="AD1561" t="str">
        <f>IF(OrdersTable[[#This Row],[Delivery Days]]&lt;=2, "Express (≤2d)", IF(OrdersTable[[#This Row],[Delivery Days]]&lt;=4, "Standard (3-4d)", "Delayed (5d+)"))</f>
        <v>Standard (3-4d)</v>
      </c>
      <c r="AE1561">
        <v>4</v>
      </c>
      <c r="AF1561">
        <v>0</v>
      </c>
    </row>
    <row r="1562" spans="1:32" ht="15" x14ac:dyDescent="0.35">
      <c r="A1562" t="s">
        <v>4941</v>
      </c>
      <c r="B1562" s="1">
        <v>45584</v>
      </c>
      <c r="C1562">
        <f>YEAR(OrdersTable[[#This Row],[Order Date]])</f>
        <v>2024</v>
      </c>
      <c r="D1562" s="2">
        <f>DATE(YEAR(OrdersTable[[#This Row],[Order Date]]),MONTH(OrdersTable[[#This Row],[Order Date]]),1)</f>
        <v>45566</v>
      </c>
      <c r="E1562">
        <f>MONTH(OrdersTable[[#This Row],[Order Date]])</f>
        <v>10</v>
      </c>
      <c r="F1562" t="s">
        <v>4942</v>
      </c>
      <c r="G1562" t="str">
        <f>IF(OrdersTable[[#This Row],[Order Date]]=_xlfn.MINIFS(Order_Date, Customer_ID, OrdersTable[[#This Row],[Customer ID]]), "New", "Repeat")</f>
        <v>New</v>
      </c>
      <c r="H1562" t="s">
        <v>132</v>
      </c>
      <c r="I1562" t="str">
        <f>INDEX(State!B:B,MATCH(OrdersTable[[#This Row],[State]],State!A:A,0))</f>
        <v>AS</v>
      </c>
      <c r="J1562" t="str">
        <f>INDEX(State!C:C,MATCH(OrdersTable[[#This Row],[State Code]],State!B:B,0))</f>
        <v>East</v>
      </c>
      <c r="K1562" t="s">
        <v>133</v>
      </c>
      <c r="L1562" t="s">
        <v>50</v>
      </c>
      <c r="M1562" t="s">
        <v>45</v>
      </c>
      <c r="N1562" t="str">
        <f>INDEX(Products!B:B,MATCH(OrdersTable[[#This Row],[Product ID]],Products!A:A,0))</f>
        <v>Argan Shampoo</v>
      </c>
      <c r="O1562" t="str">
        <f>INDEX(Products!C:C,MATCH(OrdersTable[[#This Row],[Product ID]],Products!A:A,0))</f>
        <v>Haircare</v>
      </c>
      <c r="P1562">
        <v>2</v>
      </c>
      <c r="Q1562" s="5">
        <v>449</v>
      </c>
      <c r="R1562" s="74">
        <v>0.15</v>
      </c>
      <c r="S1562" s="75">
        <f>OrdersTable[[#This Row],[Quantity]]*OrdersTable[[#This Row],[Unit Price]]</f>
        <v>898</v>
      </c>
      <c r="T1562" s="5">
        <f>OrdersTable[[#This Row],[Gross Sale]]*OrdersTable[[#This Row],[Discount_Clean2]]</f>
        <v>134.69999999999999</v>
      </c>
      <c r="U1562" s="5">
        <f>OrdersTable[[#This Row],[Gross Sale]]-OrdersTable[[#This Row],[Discount Amount]]</f>
        <v>763.3</v>
      </c>
      <c r="V1562" s="77">
        <f>INDEX(Products!E:E,MATCH(OrdersTable[[#This Row],[Product ID]],Products!A:A,0))</f>
        <v>148</v>
      </c>
      <c r="W1562" s="77">
        <f>OrdersTable[[#This Row],[Quantity]]*OrdersTable[[#This Row],[Unit Cost]]</f>
        <v>296</v>
      </c>
      <c r="X1562" s="77">
        <f>'Dropdown Lists'!$I$2*(1+OrdersTable[[#This Row],[Returned]])</f>
        <v>60</v>
      </c>
      <c r="Y1562" s="76">
        <f>OrdersTable[[#This Row],[Net Revenue]]-OrdersTable[[#This Row],[COGS]]-OrdersTable[[#This Row],[Shipping Cost]]</f>
        <v>407.29999999999995</v>
      </c>
      <c r="Z1562" s="78">
        <f>IFERROR(OrdersTable[[#This Row],[Profit]]/OrdersTable[[#This Row],[Net Revenue]],0)</f>
        <v>0.53360408751473865</v>
      </c>
      <c r="AA1562" t="s">
        <v>4074</v>
      </c>
      <c r="AB1562" s="79">
        <v>45592</v>
      </c>
      <c r="AC1562">
        <f>OrdersTable[[#This Row],[Delivery Date]]-OrdersTable[[#This Row],[Order Date]]</f>
        <v>8</v>
      </c>
      <c r="AD1562" t="str">
        <f>IF(OrdersTable[[#This Row],[Delivery Days]]&lt;=2, "Express (≤2d)", IF(OrdersTable[[#This Row],[Delivery Days]]&lt;=4, "Standard (3-4d)", "Delayed (5d+)"))</f>
        <v>Delayed (5d+)</v>
      </c>
      <c r="AE1562">
        <v>3</v>
      </c>
      <c r="AF1562">
        <v>0</v>
      </c>
    </row>
    <row r="1563" spans="1:32" ht="15" x14ac:dyDescent="0.35">
      <c r="A1563" t="s">
        <v>5681</v>
      </c>
      <c r="B1563" s="1">
        <v>45584</v>
      </c>
      <c r="C1563">
        <f>YEAR(OrdersTable[[#This Row],[Order Date]])</f>
        <v>2024</v>
      </c>
      <c r="D1563" s="2">
        <f>DATE(YEAR(OrdersTable[[#This Row],[Order Date]]),MONTH(OrdersTable[[#This Row],[Order Date]]),1)</f>
        <v>45566</v>
      </c>
      <c r="E1563">
        <f>MONTH(OrdersTable[[#This Row],[Order Date]])</f>
        <v>10</v>
      </c>
      <c r="F1563" t="s">
        <v>4880</v>
      </c>
      <c r="G1563" t="str">
        <f>IF(OrdersTable[[#This Row],[Order Date]]=_xlfn.MINIFS(Order_Date, Customer_ID, OrdersTable[[#This Row],[Customer ID]]), "New", "Repeat")</f>
        <v>New</v>
      </c>
      <c r="H1563" t="s">
        <v>37</v>
      </c>
      <c r="I1563" t="str">
        <f>INDEX(State!B:B,MATCH(OrdersTable[[#This Row],[State]],State!A:A,0))</f>
        <v>GJ</v>
      </c>
      <c r="J1563" t="str">
        <f>INDEX(State!C:C,MATCH(OrdersTable[[#This Row],[State Code]],State!B:B,0))</f>
        <v>West</v>
      </c>
      <c r="K1563" t="s">
        <v>38</v>
      </c>
      <c r="L1563" t="s">
        <v>16</v>
      </c>
      <c r="M1563" t="s">
        <v>205</v>
      </c>
      <c r="N1563" t="str">
        <f>INDEX(Products!B:B,MATCH(OrdersTable[[#This Row],[Product ID]],Products!A:A,0))</f>
        <v>Running Shoes</v>
      </c>
      <c r="O1563" t="str">
        <f>INDEX(Products!C:C,MATCH(OrdersTable[[#This Row],[Product ID]],Products!A:A,0))</f>
        <v>Footwear</v>
      </c>
      <c r="P1563">
        <v>2</v>
      </c>
      <c r="Q1563" s="5">
        <v>2999</v>
      </c>
      <c r="R1563" s="74">
        <v>0.45</v>
      </c>
      <c r="S1563" s="75">
        <f>OrdersTable[[#This Row],[Quantity]]*OrdersTable[[#This Row],[Unit Price]]</f>
        <v>5998</v>
      </c>
      <c r="T1563" s="5">
        <f>OrdersTable[[#This Row],[Gross Sale]]*OrdersTable[[#This Row],[Discount_Clean2]]</f>
        <v>2699.1</v>
      </c>
      <c r="U1563" s="5">
        <f>OrdersTable[[#This Row],[Gross Sale]]-OrdersTable[[#This Row],[Discount Amount]]</f>
        <v>3298.9</v>
      </c>
      <c r="V1563" s="77">
        <f>INDEX(Products!E:E,MATCH(OrdersTable[[#This Row],[Product ID]],Products!A:A,0))</f>
        <v>1440</v>
      </c>
      <c r="W1563" s="77">
        <f>OrdersTable[[#This Row],[Quantity]]*OrdersTable[[#This Row],[Unit Cost]]</f>
        <v>2880</v>
      </c>
      <c r="X1563" s="77">
        <f>'Dropdown Lists'!$I$2*(1+OrdersTable[[#This Row],[Returned]])</f>
        <v>60</v>
      </c>
      <c r="Y1563" s="76">
        <f>OrdersTable[[#This Row],[Net Revenue]]-OrdersTable[[#This Row],[COGS]]-OrdersTable[[#This Row],[Shipping Cost]]</f>
        <v>358.90000000000009</v>
      </c>
      <c r="Z1563" s="78">
        <f>IFERROR(OrdersTable[[#This Row],[Profit]]/OrdersTable[[#This Row],[Net Revenue]],0)</f>
        <v>0.10879384037103279</v>
      </c>
      <c r="AA1563" t="s">
        <v>18</v>
      </c>
      <c r="AB1563" s="79">
        <v>45587</v>
      </c>
      <c r="AC1563">
        <f>OrdersTable[[#This Row],[Delivery Date]]-OrdersTable[[#This Row],[Order Date]]</f>
        <v>3</v>
      </c>
      <c r="AD1563" t="str">
        <f>IF(OrdersTable[[#This Row],[Delivery Days]]&lt;=2, "Express (≤2d)", IF(OrdersTable[[#This Row],[Delivery Days]]&lt;=4, "Standard (3-4d)", "Delayed (5d+)"))</f>
        <v>Standard (3-4d)</v>
      </c>
      <c r="AE1563">
        <v>3</v>
      </c>
      <c r="AF1563">
        <v>0</v>
      </c>
    </row>
    <row r="1564" spans="1:32" ht="15" x14ac:dyDescent="0.35">
      <c r="A1564" t="s">
        <v>6313</v>
      </c>
      <c r="B1564" s="1">
        <v>45584</v>
      </c>
      <c r="C1564">
        <f>YEAR(OrdersTable[[#This Row],[Order Date]])</f>
        <v>2024</v>
      </c>
      <c r="D1564" s="2">
        <f>DATE(YEAR(OrdersTable[[#This Row],[Order Date]]),MONTH(OrdersTable[[#This Row],[Order Date]]),1)</f>
        <v>45566</v>
      </c>
      <c r="E1564">
        <f>MONTH(OrdersTable[[#This Row],[Order Date]])</f>
        <v>10</v>
      </c>
      <c r="F1564" t="s">
        <v>4976</v>
      </c>
      <c r="G1564" t="str">
        <f>IF(OrdersTable[[#This Row],[Order Date]]=_xlfn.MINIFS(Order_Date, Customer_ID, OrdersTable[[#This Row],[Customer ID]]), "New", "Repeat")</f>
        <v>New</v>
      </c>
      <c r="H1564" t="s">
        <v>43</v>
      </c>
      <c r="I1564" t="str">
        <f>INDEX(State!B:B,MATCH(OrdersTable[[#This Row],[State]],State!A:A,0))</f>
        <v>MP</v>
      </c>
      <c r="J1564" t="str">
        <f>INDEX(State!C:C,MATCH(OrdersTable[[#This Row],[State Code]],State!B:B,0))</f>
        <v>West</v>
      </c>
      <c r="K1564" t="s">
        <v>250</v>
      </c>
      <c r="L1564" t="s">
        <v>16</v>
      </c>
      <c r="M1564" t="s">
        <v>34</v>
      </c>
      <c r="N1564" t="str">
        <f>INDEX(Products!B:B,MATCH(OrdersTable[[#This Row],[Product ID]],Products!A:A,0))</f>
        <v>Flip Flops</v>
      </c>
      <c r="O1564" t="str">
        <f>INDEX(Products!C:C,MATCH(OrdersTable[[#This Row],[Product ID]],Products!A:A,0))</f>
        <v>Footwear</v>
      </c>
      <c r="P1564">
        <v>2</v>
      </c>
      <c r="Q1564" s="5">
        <v>399</v>
      </c>
      <c r="R1564" s="74">
        <v>0.15</v>
      </c>
      <c r="S1564" s="75">
        <f>OrdersTable[[#This Row],[Quantity]]*OrdersTable[[#This Row],[Unit Price]]</f>
        <v>798</v>
      </c>
      <c r="T1564" s="5">
        <f>OrdersTable[[#This Row],[Gross Sale]]*OrdersTable[[#This Row],[Discount_Clean2]]</f>
        <v>119.69999999999999</v>
      </c>
      <c r="U1564" s="5">
        <f>OrdersTable[[#This Row],[Gross Sale]]-OrdersTable[[#This Row],[Discount Amount]]</f>
        <v>678.3</v>
      </c>
      <c r="V1564" s="77">
        <f>INDEX(Products!E:E,MATCH(OrdersTable[[#This Row],[Product ID]],Products!A:A,0))</f>
        <v>152</v>
      </c>
      <c r="W1564" s="77">
        <f>OrdersTable[[#This Row],[Quantity]]*OrdersTable[[#This Row],[Unit Cost]]</f>
        <v>304</v>
      </c>
      <c r="X1564" s="77">
        <f>'Dropdown Lists'!$I$2*(1+OrdersTable[[#This Row],[Returned]])</f>
        <v>60</v>
      </c>
      <c r="Y1564" s="76">
        <f>OrdersTable[[#This Row],[Net Revenue]]-OrdersTable[[#This Row],[COGS]]-OrdersTable[[#This Row],[Shipping Cost]]</f>
        <v>314.29999999999995</v>
      </c>
      <c r="Z1564" s="78">
        <f>IFERROR(OrdersTable[[#This Row],[Profit]]/OrdersTable[[#This Row],[Net Revenue]],0)</f>
        <v>0.4633642930856553</v>
      </c>
      <c r="AA1564" t="s">
        <v>18</v>
      </c>
      <c r="AB1564" s="79">
        <v>45586</v>
      </c>
      <c r="AC1564">
        <f>OrdersTable[[#This Row],[Delivery Date]]-OrdersTable[[#This Row],[Order Date]]</f>
        <v>2</v>
      </c>
      <c r="AD1564" t="str">
        <f>IF(OrdersTable[[#This Row],[Delivery Days]]&lt;=2, "Express (≤2d)", IF(OrdersTable[[#This Row],[Delivery Days]]&lt;=4, "Standard (3-4d)", "Delayed (5d+)"))</f>
        <v>Express (≤2d)</v>
      </c>
      <c r="AF1564">
        <v>0</v>
      </c>
    </row>
    <row r="1565" spans="1:32" ht="15" x14ac:dyDescent="0.35">
      <c r="A1565" t="s">
        <v>6971</v>
      </c>
      <c r="B1565" s="1">
        <v>45584</v>
      </c>
      <c r="C1565">
        <f>YEAR(OrdersTable[[#This Row],[Order Date]])</f>
        <v>2024</v>
      </c>
      <c r="D1565" s="2">
        <f>DATE(YEAR(OrdersTable[[#This Row],[Order Date]]),MONTH(OrdersTable[[#This Row],[Order Date]]),1)</f>
        <v>45566</v>
      </c>
      <c r="E1565">
        <f>MONTH(OrdersTable[[#This Row],[Order Date]])</f>
        <v>10</v>
      </c>
      <c r="F1565" t="s">
        <v>6972</v>
      </c>
      <c r="G1565" t="str">
        <f>IF(OrdersTable[[#This Row],[Order Date]]=_xlfn.MINIFS(Order_Date, Customer_ID, OrdersTable[[#This Row],[Customer ID]]), "New", "Repeat")</f>
        <v>New</v>
      </c>
      <c r="H1565" t="s">
        <v>43</v>
      </c>
      <c r="I1565" t="str">
        <f>INDEX(State!B:B,MATCH(OrdersTable[[#This Row],[State]],State!A:A,0))</f>
        <v>MP</v>
      </c>
      <c r="J1565" t="str">
        <f>INDEX(State!C:C,MATCH(OrdersTable[[#This Row],[State Code]],State!B:B,0))</f>
        <v>West</v>
      </c>
      <c r="K1565" t="s">
        <v>250</v>
      </c>
      <c r="L1565" t="s">
        <v>50</v>
      </c>
      <c r="M1565" t="s">
        <v>61</v>
      </c>
      <c r="N1565" t="str">
        <f>INDEX(Products!B:B,MATCH(OrdersTable[[#This Row],[Product ID]],Products!A:A,0))</f>
        <v>Multivitamin Gummies</v>
      </c>
      <c r="O1565" t="str">
        <f>INDEX(Products!C:C,MATCH(OrdersTable[[#This Row],[Product ID]],Products!A:A,0))</f>
        <v>Wellness</v>
      </c>
      <c r="P1565">
        <v>4</v>
      </c>
      <c r="Q1565" s="5">
        <v>699</v>
      </c>
      <c r="R1565" s="74">
        <v>0.3</v>
      </c>
      <c r="S1565" s="75">
        <f>OrdersTable[[#This Row],[Quantity]]*OrdersTable[[#This Row],[Unit Price]]</f>
        <v>2796</v>
      </c>
      <c r="T1565" s="5">
        <f>OrdersTable[[#This Row],[Gross Sale]]*OrdersTable[[#This Row],[Discount_Clean2]]</f>
        <v>838.8</v>
      </c>
      <c r="U1565" s="5">
        <f>OrdersTable[[#This Row],[Gross Sale]]-OrdersTable[[#This Row],[Discount Amount]]</f>
        <v>1957.2</v>
      </c>
      <c r="V1565" s="77">
        <f>INDEX(Products!E:E,MATCH(OrdersTable[[#This Row],[Product ID]],Products!A:A,0))</f>
        <v>238</v>
      </c>
      <c r="W1565" s="77">
        <f>OrdersTable[[#This Row],[Quantity]]*OrdersTable[[#This Row],[Unit Cost]]</f>
        <v>952</v>
      </c>
      <c r="X1565" s="77">
        <f>'Dropdown Lists'!$I$2*(1+OrdersTable[[#This Row],[Returned]])</f>
        <v>60</v>
      </c>
      <c r="Y1565" s="76">
        <f>OrdersTable[[#This Row],[Net Revenue]]-OrdersTable[[#This Row],[COGS]]-OrdersTable[[#This Row],[Shipping Cost]]</f>
        <v>945.2</v>
      </c>
      <c r="Z1565" s="78">
        <f>IFERROR(OrdersTable[[#This Row],[Profit]]/OrdersTable[[#This Row],[Net Revenue]],0)</f>
        <v>0.48293480482321688</v>
      </c>
      <c r="AA1565" t="s">
        <v>4450</v>
      </c>
      <c r="AB1565" s="79">
        <v>45588</v>
      </c>
      <c r="AC1565">
        <f>OrdersTable[[#This Row],[Delivery Date]]-OrdersTable[[#This Row],[Order Date]]</f>
        <v>4</v>
      </c>
      <c r="AD1565" t="str">
        <f>IF(OrdersTable[[#This Row],[Delivery Days]]&lt;=2, "Express (≤2d)", IF(OrdersTable[[#This Row],[Delivery Days]]&lt;=4, "Standard (3-4d)", "Delayed (5d+)"))</f>
        <v>Standard (3-4d)</v>
      </c>
      <c r="AE1565">
        <v>4</v>
      </c>
      <c r="AF1565">
        <v>0</v>
      </c>
    </row>
    <row r="1566" spans="1:32" ht="15" x14ac:dyDescent="0.35">
      <c r="A1566" t="s">
        <v>2963</v>
      </c>
      <c r="B1566" s="1">
        <v>45584</v>
      </c>
      <c r="C1566">
        <f>YEAR(OrdersTable[[#This Row],[Order Date]])</f>
        <v>2024</v>
      </c>
      <c r="D1566" s="2">
        <f>DATE(YEAR(OrdersTable[[#This Row],[Order Date]]),MONTH(OrdersTable[[#This Row],[Order Date]]),1)</f>
        <v>45566</v>
      </c>
      <c r="E1566">
        <f>MONTH(OrdersTable[[#This Row],[Order Date]])</f>
        <v>10</v>
      </c>
      <c r="F1566" t="s">
        <v>2964</v>
      </c>
      <c r="G1566" t="str">
        <f>IF(OrdersTable[[#This Row],[Order Date]]=_xlfn.MINIFS(Order_Date, Customer_ID, OrdersTable[[#This Row],[Customer ID]]), "New", "Repeat")</f>
        <v>New</v>
      </c>
      <c r="H1566" t="s">
        <v>27</v>
      </c>
      <c r="I1566" t="str">
        <f>INDEX(State!B:B,MATCH(OrdersTable[[#This Row],[State]],State!A:A,0))</f>
        <v>WB</v>
      </c>
      <c r="J1566" t="str">
        <f>INDEX(State!C:C,MATCH(OrdersTable[[#This Row],[State Code]],State!B:B,0))</f>
        <v>East</v>
      </c>
      <c r="K1566" t="s">
        <v>28</v>
      </c>
      <c r="L1566" t="s">
        <v>50</v>
      </c>
      <c r="M1566" t="s">
        <v>40</v>
      </c>
      <c r="N1566" t="str">
        <f>INDEX(Products!B:B,MATCH(OrdersTable[[#This Row],[Product ID]],Products!A:A,0))</f>
        <v>Ashwagandha Capsules</v>
      </c>
      <c r="O1566" t="str">
        <f>INDEX(Products!C:C,MATCH(OrdersTable[[#This Row],[Product ID]],Products!A:A,0))</f>
        <v>Wellness</v>
      </c>
      <c r="P1566">
        <v>1</v>
      </c>
      <c r="Q1566" s="5">
        <v>499</v>
      </c>
      <c r="R1566" s="74">
        <v>0.2</v>
      </c>
      <c r="S1566" s="75">
        <f>OrdersTable[[#This Row],[Quantity]]*OrdersTable[[#This Row],[Unit Price]]</f>
        <v>499</v>
      </c>
      <c r="T1566" s="5">
        <f>OrdersTable[[#This Row],[Gross Sale]]*OrdersTable[[#This Row],[Discount_Clean2]]</f>
        <v>99.800000000000011</v>
      </c>
      <c r="U1566" s="5">
        <f>OrdersTable[[#This Row],[Gross Sale]]-OrdersTable[[#This Row],[Discount Amount]]</f>
        <v>399.2</v>
      </c>
      <c r="V1566" s="77">
        <f>INDEX(Products!E:E,MATCH(OrdersTable[[#This Row],[Product ID]],Products!A:A,0))</f>
        <v>150</v>
      </c>
      <c r="W1566" s="77">
        <f>OrdersTable[[#This Row],[Quantity]]*OrdersTable[[#This Row],[Unit Cost]]</f>
        <v>150</v>
      </c>
      <c r="X1566" s="77">
        <f>'Dropdown Lists'!$I$2*(1+OrdersTable[[#This Row],[Returned]])</f>
        <v>60</v>
      </c>
      <c r="Y1566" s="76">
        <f>OrdersTable[[#This Row],[Net Revenue]]-OrdersTable[[#This Row],[COGS]]-OrdersTable[[#This Row],[Shipping Cost]]</f>
        <v>189.2</v>
      </c>
      <c r="Z1566" s="78">
        <f>IFERROR(OrdersTable[[#This Row],[Profit]]/OrdersTable[[#This Row],[Net Revenue]],0)</f>
        <v>0.47394789579158314</v>
      </c>
      <c r="AA1566" t="s">
        <v>2522</v>
      </c>
      <c r="AB1566" s="79">
        <v>45586</v>
      </c>
      <c r="AC1566">
        <f>OrdersTable[[#This Row],[Delivery Date]]-OrdersTable[[#This Row],[Order Date]]</f>
        <v>2</v>
      </c>
      <c r="AD1566" t="str">
        <f>IF(OrdersTable[[#This Row],[Delivery Days]]&lt;=2, "Express (≤2d)", IF(OrdersTable[[#This Row],[Delivery Days]]&lt;=4, "Standard (3-4d)", "Delayed (5d+)"))</f>
        <v>Express (≤2d)</v>
      </c>
      <c r="AF1566">
        <v>0</v>
      </c>
    </row>
    <row r="1567" spans="1:32" ht="15" x14ac:dyDescent="0.35">
      <c r="A1567" t="s">
        <v>5126</v>
      </c>
      <c r="B1567" s="1">
        <v>45584</v>
      </c>
      <c r="C1567">
        <f>YEAR(OrdersTable[[#This Row],[Order Date]])</f>
        <v>2024</v>
      </c>
      <c r="D1567" s="2">
        <f>DATE(YEAR(OrdersTable[[#This Row],[Order Date]]),MONTH(OrdersTable[[#This Row],[Order Date]]),1)</f>
        <v>45566</v>
      </c>
      <c r="E1567">
        <f>MONTH(OrdersTable[[#This Row],[Order Date]])</f>
        <v>10</v>
      </c>
      <c r="F1567" t="s">
        <v>5127</v>
      </c>
      <c r="G1567" t="str">
        <f>IF(OrdersTable[[#This Row],[Order Date]]=_xlfn.MINIFS(Order_Date, Customer_ID, OrdersTable[[#This Row],[Customer ID]]), "New", "Repeat")</f>
        <v>Repeat</v>
      </c>
      <c r="H1567" t="s">
        <v>71</v>
      </c>
      <c r="I1567" t="str">
        <f>INDEX(State!B:B,MATCH(OrdersTable[[#This Row],[State]],State!A:A,0))</f>
        <v>MH</v>
      </c>
      <c r="J1567" t="str">
        <f>INDEX(State!C:C,MATCH(OrdersTable[[#This Row],[State Code]],State!B:B,0))</f>
        <v>West</v>
      </c>
      <c r="K1567" t="s">
        <v>72</v>
      </c>
      <c r="L1567" t="s">
        <v>16</v>
      </c>
      <c r="M1567" t="s">
        <v>34</v>
      </c>
      <c r="N1567" t="str">
        <f>INDEX(Products!B:B,MATCH(OrdersTable[[#This Row],[Product ID]],Products!A:A,0))</f>
        <v>Flip Flops</v>
      </c>
      <c r="O1567" t="str">
        <f>INDEX(Products!C:C,MATCH(OrdersTable[[#This Row],[Product ID]],Products!A:A,0))</f>
        <v>Footwear</v>
      </c>
      <c r="P1567">
        <v>2</v>
      </c>
      <c r="Q1567" s="5">
        <v>399</v>
      </c>
      <c r="R1567" s="74">
        <v>0.2</v>
      </c>
      <c r="S1567" s="75">
        <f>OrdersTable[[#This Row],[Quantity]]*OrdersTable[[#This Row],[Unit Price]]</f>
        <v>798</v>
      </c>
      <c r="T1567" s="5">
        <f>OrdersTable[[#This Row],[Gross Sale]]*OrdersTable[[#This Row],[Discount_Clean2]]</f>
        <v>159.60000000000002</v>
      </c>
      <c r="U1567" s="5">
        <f>OrdersTable[[#This Row],[Gross Sale]]-OrdersTable[[#This Row],[Discount Amount]]</f>
        <v>638.4</v>
      </c>
      <c r="V1567" s="77">
        <f>INDEX(Products!E:E,MATCH(OrdersTable[[#This Row],[Product ID]],Products!A:A,0))</f>
        <v>152</v>
      </c>
      <c r="W1567" s="77">
        <f>OrdersTable[[#This Row],[Quantity]]*OrdersTable[[#This Row],[Unit Cost]]</f>
        <v>304</v>
      </c>
      <c r="X1567" s="77">
        <f>'Dropdown Lists'!$I$2*(1+OrdersTable[[#This Row],[Returned]])</f>
        <v>60</v>
      </c>
      <c r="Y1567" s="76">
        <f>OrdersTable[[#This Row],[Net Revenue]]-OrdersTable[[#This Row],[COGS]]-OrdersTable[[#This Row],[Shipping Cost]]</f>
        <v>274.39999999999998</v>
      </c>
      <c r="Z1567" s="78">
        <f>IFERROR(OrdersTable[[#This Row],[Profit]]/OrdersTable[[#This Row],[Net Revenue]],0)</f>
        <v>0.42982456140350878</v>
      </c>
      <c r="AA1567" t="s">
        <v>3495</v>
      </c>
      <c r="AB1567" s="79">
        <v>45586</v>
      </c>
      <c r="AC1567">
        <f>OrdersTable[[#This Row],[Delivery Date]]-OrdersTable[[#This Row],[Order Date]]</f>
        <v>2</v>
      </c>
      <c r="AD1567" t="str">
        <f>IF(OrdersTable[[#This Row],[Delivery Days]]&lt;=2, "Express (≤2d)", IF(OrdersTable[[#This Row],[Delivery Days]]&lt;=4, "Standard (3-4d)", "Delayed (5d+)"))</f>
        <v>Express (≤2d)</v>
      </c>
      <c r="AF1567">
        <v>0</v>
      </c>
    </row>
    <row r="1568" spans="1:32" ht="15" x14ac:dyDescent="0.35">
      <c r="A1568" t="s">
        <v>775</v>
      </c>
      <c r="B1568" s="1">
        <v>45584</v>
      </c>
      <c r="C1568">
        <f>YEAR(OrdersTable[[#This Row],[Order Date]])</f>
        <v>2024</v>
      </c>
      <c r="D1568" s="2">
        <f>DATE(YEAR(OrdersTable[[#This Row],[Order Date]]),MONTH(OrdersTable[[#This Row],[Order Date]]),1)</f>
        <v>45566</v>
      </c>
      <c r="E1568">
        <f>MONTH(OrdersTable[[#This Row],[Order Date]])</f>
        <v>10</v>
      </c>
      <c r="F1568" t="s">
        <v>776</v>
      </c>
      <c r="G1568" t="str">
        <f>IF(OrdersTable[[#This Row],[Order Date]]=_xlfn.MINIFS(Order_Date, Customer_ID, OrdersTable[[#This Row],[Customer ID]]), "New", "Repeat")</f>
        <v>New</v>
      </c>
      <c r="H1568" t="s">
        <v>167</v>
      </c>
      <c r="I1568" t="str">
        <f>INDEX(State!B:B,MATCH(OrdersTable[[#This Row],[State]],State!A:A,0))</f>
        <v>KA</v>
      </c>
      <c r="J1568" t="str">
        <f>INDEX(State!C:C,MATCH(OrdersTable[[#This Row],[State Code]],State!B:B,0))</f>
        <v>South</v>
      </c>
      <c r="K1568" t="s">
        <v>168</v>
      </c>
      <c r="L1568" t="s">
        <v>16</v>
      </c>
      <c r="M1568" t="s">
        <v>255</v>
      </c>
      <c r="N1568" t="str">
        <f>INDEX(Products!B:B,MATCH(OrdersTable[[#This Row],[Product ID]],Products!A:A,0))</f>
        <v>Cotton Oversized T-Shirt</v>
      </c>
      <c r="O1568" t="str">
        <f>INDEX(Products!C:C,MATCH(OrdersTable[[#This Row],[Product ID]],Products!A:A,0))</f>
        <v>Apparel</v>
      </c>
      <c r="P1568">
        <v>1</v>
      </c>
      <c r="Q1568" s="5">
        <v>799</v>
      </c>
      <c r="R1568" s="74">
        <v>0.15</v>
      </c>
      <c r="S1568" s="75">
        <f>OrdersTable[[#This Row],[Quantity]]*OrdersTable[[#This Row],[Unit Price]]</f>
        <v>799</v>
      </c>
      <c r="T1568" s="5">
        <f>OrdersTable[[#This Row],[Gross Sale]]*OrdersTable[[#This Row],[Discount_Clean2]]</f>
        <v>119.85</v>
      </c>
      <c r="U1568" s="5">
        <f>OrdersTable[[#This Row],[Gross Sale]]-OrdersTable[[#This Row],[Discount Amount]]</f>
        <v>679.15</v>
      </c>
      <c r="V1568" s="77">
        <f>INDEX(Products!E:E,MATCH(OrdersTable[[#This Row],[Product ID]],Products!A:A,0))</f>
        <v>320</v>
      </c>
      <c r="W1568" s="77">
        <f>OrdersTable[[#This Row],[Quantity]]*OrdersTable[[#This Row],[Unit Cost]]</f>
        <v>320</v>
      </c>
      <c r="X1568" s="77">
        <f>'Dropdown Lists'!$I$2*(1+OrdersTable[[#This Row],[Returned]])</f>
        <v>60</v>
      </c>
      <c r="Y1568" s="76">
        <f>OrdersTable[[#This Row],[Net Revenue]]-OrdersTable[[#This Row],[COGS]]-OrdersTable[[#This Row],[Shipping Cost]]</f>
        <v>299.14999999999998</v>
      </c>
      <c r="Z1568" s="78">
        <f>IFERROR(OrdersTable[[#This Row],[Profit]]/OrdersTable[[#This Row],[Net Revenue]],0)</f>
        <v>0.44047706692188765</v>
      </c>
      <c r="AA1568" t="s">
        <v>18</v>
      </c>
      <c r="AB1568" s="79">
        <v>45585</v>
      </c>
      <c r="AC1568">
        <f>OrdersTable[[#This Row],[Delivery Date]]-OrdersTable[[#This Row],[Order Date]]</f>
        <v>1</v>
      </c>
      <c r="AD1568" t="str">
        <f>IF(OrdersTable[[#This Row],[Delivery Days]]&lt;=2, "Express (≤2d)", IF(OrdersTable[[#This Row],[Delivery Days]]&lt;=4, "Standard (3-4d)", "Delayed (5d+)"))</f>
        <v>Express (≤2d)</v>
      </c>
      <c r="AE1568">
        <v>4</v>
      </c>
      <c r="AF1568">
        <v>0</v>
      </c>
    </row>
    <row r="1569" spans="1:32" ht="15" x14ac:dyDescent="0.35">
      <c r="A1569" t="s">
        <v>203</v>
      </c>
      <c r="B1569" s="1">
        <v>45584</v>
      </c>
      <c r="C1569">
        <f>YEAR(OrdersTable[[#This Row],[Order Date]])</f>
        <v>2024</v>
      </c>
      <c r="D1569" s="2">
        <f>DATE(YEAR(OrdersTable[[#This Row],[Order Date]]),MONTH(OrdersTable[[#This Row],[Order Date]]),1)</f>
        <v>45566</v>
      </c>
      <c r="E1569">
        <f>MONTH(OrdersTable[[#This Row],[Order Date]])</f>
        <v>10</v>
      </c>
      <c r="F1569" t="s">
        <v>204</v>
      </c>
      <c r="G1569" t="str">
        <f>IF(OrdersTable[[#This Row],[Order Date]]=_xlfn.MINIFS(Order_Date, Customer_ID, OrdersTable[[#This Row],[Customer ID]]), "New", "Repeat")</f>
        <v>Repeat</v>
      </c>
      <c r="H1569" t="s">
        <v>167</v>
      </c>
      <c r="I1569" t="str">
        <f>INDEX(State!B:B,MATCH(OrdersTable[[#This Row],[State]],State!A:A,0))</f>
        <v>KA</v>
      </c>
      <c r="J1569" t="str">
        <f>INDEX(State!C:C,MATCH(OrdersTable[[#This Row],[State Code]],State!B:B,0))</f>
        <v>South</v>
      </c>
      <c r="K1569" t="s">
        <v>190</v>
      </c>
      <c r="L1569" t="s">
        <v>16</v>
      </c>
      <c r="M1569" t="s">
        <v>205</v>
      </c>
      <c r="N1569" t="str">
        <f>INDEX(Products!B:B,MATCH(OrdersTable[[#This Row],[Product ID]],Products!A:A,0))</f>
        <v>Running Shoes</v>
      </c>
      <c r="O1569" t="str">
        <f>INDEX(Products!C:C,MATCH(OrdersTable[[#This Row],[Product ID]],Products!A:A,0))</f>
        <v>Footwear</v>
      </c>
      <c r="P1569">
        <v>1</v>
      </c>
      <c r="Q1569" s="5">
        <v>2999</v>
      </c>
      <c r="R1569" s="74">
        <v>0.35</v>
      </c>
      <c r="S1569" s="75">
        <f>OrdersTable[[#This Row],[Quantity]]*OrdersTable[[#This Row],[Unit Price]]</f>
        <v>2999</v>
      </c>
      <c r="T1569" s="5">
        <f>OrdersTable[[#This Row],[Gross Sale]]*OrdersTable[[#This Row],[Discount_Clean2]]</f>
        <v>1049.6499999999999</v>
      </c>
      <c r="U1569" s="5">
        <f>OrdersTable[[#This Row],[Gross Sale]]-OrdersTable[[#This Row],[Discount Amount]]</f>
        <v>1949.3500000000001</v>
      </c>
      <c r="V1569" s="77">
        <f>INDEX(Products!E:E,MATCH(OrdersTable[[#This Row],[Product ID]],Products!A:A,0))</f>
        <v>1440</v>
      </c>
      <c r="W1569" s="77">
        <f>OrdersTable[[#This Row],[Quantity]]*OrdersTable[[#This Row],[Unit Cost]]</f>
        <v>1440</v>
      </c>
      <c r="X1569" s="77">
        <f>'Dropdown Lists'!$I$2*(1+OrdersTable[[#This Row],[Returned]])</f>
        <v>60</v>
      </c>
      <c r="Y1569" s="76">
        <f>OrdersTable[[#This Row],[Net Revenue]]-OrdersTable[[#This Row],[COGS]]-OrdersTable[[#This Row],[Shipping Cost]]</f>
        <v>449.35000000000014</v>
      </c>
      <c r="Z1569" s="78">
        <f>IFERROR(OrdersTable[[#This Row],[Profit]]/OrdersTable[[#This Row],[Net Revenue]],0)</f>
        <v>0.23051273501423558</v>
      </c>
      <c r="AA1569" t="s">
        <v>18</v>
      </c>
      <c r="AB1569" s="79">
        <v>45588</v>
      </c>
      <c r="AC1569">
        <f>OrdersTable[[#This Row],[Delivery Date]]-OrdersTable[[#This Row],[Order Date]]</f>
        <v>4</v>
      </c>
      <c r="AD1569" t="str">
        <f>IF(OrdersTable[[#This Row],[Delivery Days]]&lt;=2, "Express (≤2d)", IF(OrdersTable[[#This Row],[Delivery Days]]&lt;=4, "Standard (3-4d)", "Delayed (5d+)"))</f>
        <v>Standard (3-4d)</v>
      </c>
      <c r="AE1569">
        <v>4</v>
      </c>
      <c r="AF1569">
        <v>0</v>
      </c>
    </row>
    <row r="1570" spans="1:32" ht="15" x14ac:dyDescent="0.35">
      <c r="A1570" t="s">
        <v>2749</v>
      </c>
      <c r="B1570" s="1">
        <v>45584</v>
      </c>
      <c r="C1570">
        <f>YEAR(OrdersTable[[#This Row],[Order Date]])</f>
        <v>2024</v>
      </c>
      <c r="D1570" s="2">
        <f>DATE(YEAR(OrdersTable[[#This Row],[Order Date]]),MONTH(OrdersTable[[#This Row],[Order Date]]),1)</f>
        <v>45566</v>
      </c>
      <c r="E1570">
        <f>MONTH(OrdersTable[[#This Row],[Order Date]])</f>
        <v>10</v>
      </c>
      <c r="F1570" t="s">
        <v>244</v>
      </c>
      <c r="G1570" t="str">
        <f>IF(OrdersTable[[#This Row],[Order Date]]=_xlfn.MINIFS(Order_Date, Customer_ID, OrdersTable[[#This Row],[Customer ID]]), "New", "Repeat")</f>
        <v>New</v>
      </c>
      <c r="H1570" t="s">
        <v>275</v>
      </c>
      <c r="I1570" t="str">
        <f>INDEX(State!B:B,MATCH(OrdersTable[[#This Row],[State]],State!A:A,0))</f>
        <v>AP</v>
      </c>
      <c r="J1570" t="str">
        <f>INDEX(State!C:C,MATCH(OrdersTable[[#This Row],[State Code]],State!B:B,0))</f>
        <v>South</v>
      </c>
      <c r="K1570" t="s">
        <v>276</v>
      </c>
      <c r="L1570" t="s">
        <v>23</v>
      </c>
      <c r="M1570" t="s">
        <v>78</v>
      </c>
      <c r="N1570" t="str">
        <f>INDEX(Products!B:B,MATCH(OrdersTable[[#This Row],[Product ID]],Products!A:A,0))</f>
        <v>Retinol Night Cream</v>
      </c>
      <c r="O1570" t="str">
        <f>INDEX(Products!C:C,MATCH(OrdersTable[[#This Row],[Product ID]],Products!A:A,0))</f>
        <v>Skincare</v>
      </c>
      <c r="P1570">
        <v>1</v>
      </c>
      <c r="Q1570" s="5">
        <v>799</v>
      </c>
      <c r="R1570" s="74">
        <v>0.25</v>
      </c>
      <c r="S1570" s="75">
        <f>OrdersTable[[#This Row],[Quantity]]*OrdersTable[[#This Row],[Unit Price]]</f>
        <v>799</v>
      </c>
      <c r="T1570" s="5">
        <f>OrdersTable[[#This Row],[Gross Sale]]*OrdersTable[[#This Row],[Discount_Clean2]]</f>
        <v>199.75</v>
      </c>
      <c r="U1570" s="5">
        <f>OrdersTable[[#This Row],[Gross Sale]]-OrdersTable[[#This Row],[Discount Amount]]</f>
        <v>599.25</v>
      </c>
      <c r="V1570" s="77">
        <f>INDEX(Products!E:E,MATCH(OrdersTable[[#This Row],[Product ID]],Products!A:A,0))</f>
        <v>216</v>
      </c>
      <c r="W1570" s="77">
        <f>OrdersTable[[#This Row],[Quantity]]*OrdersTable[[#This Row],[Unit Cost]]</f>
        <v>216</v>
      </c>
      <c r="X1570" s="77">
        <f>'Dropdown Lists'!$I$2*(1+OrdersTable[[#This Row],[Returned]])</f>
        <v>60</v>
      </c>
      <c r="Y1570" s="76">
        <f>OrdersTable[[#This Row],[Net Revenue]]-OrdersTable[[#This Row],[COGS]]-OrdersTable[[#This Row],[Shipping Cost]]</f>
        <v>323.25</v>
      </c>
      <c r="Z1570" s="78">
        <f>IFERROR(OrdersTable[[#This Row],[Profit]]/OrdersTable[[#This Row],[Net Revenue]],0)</f>
        <v>0.5394242803504381</v>
      </c>
      <c r="AA1570" t="s">
        <v>2522</v>
      </c>
      <c r="AB1570" s="79">
        <v>45589</v>
      </c>
      <c r="AC1570">
        <f>OrdersTable[[#This Row],[Delivery Date]]-OrdersTable[[#This Row],[Order Date]]</f>
        <v>5</v>
      </c>
      <c r="AD1570" t="str">
        <f>IF(OrdersTable[[#This Row],[Delivery Days]]&lt;=2, "Express (≤2d)", IF(OrdersTable[[#This Row],[Delivery Days]]&lt;=4, "Standard (3-4d)", "Delayed (5d+)"))</f>
        <v>Delayed (5d+)</v>
      </c>
      <c r="AE1570">
        <v>3</v>
      </c>
      <c r="AF1570">
        <v>0</v>
      </c>
    </row>
    <row r="1571" spans="1:32" ht="15" x14ac:dyDescent="0.35">
      <c r="A1571" t="s">
        <v>6314</v>
      </c>
      <c r="B1571" s="1">
        <v>45584</v>
      </c>
      <c r="C1571">
        <f>YEAR(OrdersTable[[#This Row],[Order Date]])</f>
        <v>2024</v>
      </c>
      <c r="D1571" s="2">
        <f>DATE(YEAR(OrdersTable[[#This Row],[Order Date]]),MONTH(OrdersTable[[#This Row],[Order Date]]),1)</f>
        <v>45566</v>
      </c>
      <c r="E1571">
        <f>MONTH(OrdersTable[[#This Row],[Order Date]])</f>
        <v>10</v>
      </c>
      <c r="F1571" t="s">
        <v>2292</v>
      </c>
      <c r="G1571" t="str">
        <f>IF(OrdersTable[[#This Row],[Order Date]]=_xlfn.MINIFS(Order_Date, Customer_ID, OrdersTable[[#This Row],[Customer ID]]), "New", "Repeat")</f>
        <v>Repeat</v>
      </c>
      <c r="H1571" t="s">
        <v>316</v>
      </c>
      <c r="I1571" t="str">
        <f>INDEX(State!B:B,MATCH(OrdersTable[[#This Row],[State]],State!A:A,0))</f>
        <v>KL</v>
      </c>
      <c r="J1571" t="str">
        <f>INDEX(State!C:C,MATCH(OrdersTable[[#This Row],[State Code]],State!B:B,0))</f>
        <v>South</v>
      </c>
      <c r="K1571" t="s">
        <v>338</v>
      </c>
      <c r="L1571" t="s">
        <v>39</v>
      </c>
      <c r="M1571" t="s">
        <v>152</v>
      </c>
      <c r="N1571" t="str">
        <f>INDEX(Products!B:B,MATCH(OrdersTable[[#This Row],[Product ID]],Products!A:A,0))</f>
        <v>Green Tea (100 bags)</v>
      </c>
      <c r="O1571" t="str">
        <f>INDEX(Products!C:C,MATCH(OrdersTable[[#This Row],[Product ID]],Products!A:A,0))</f>
        <v>Wellness</v>
      </c>
      <c r="P1571">
        <v>2</v>
      </c>
      <c r="Q1571" s="5">
        <v>399</v>
      </c>
      <c r="R1571" s="74">
        <v>0.35</v>
      </c>
      <c r="S1571" s="75">
        <f>OrdersTable[[#This Row],[Quantity]]*OrdersTable[[#This Row],[Unit Price]]</f>
        <v>798</v>
      </c>
      <c r="T1571" s="5">
        <f>OrdersTable[[#This Row],[Gross Sale]]*OrdersTable[[#This Row],[Discount_Clean2]]</f>
        <v>279.29999999999995</v>
      </c>
      <c r="U1571" s="5">
        <f>OrdersTable[[#This Row],[Gross Sale]]-OrdersTable[[#This Row],[Discount Amount]]</f>
        <v>518.70000000000005</v>
      </c>
      <c r="V1571" s="77">
        <f>INDEX(Products!E:E,MATCH(OrdersTable[[#This Row],[Product ID]],Products!A:A,0))</f>
        <v>128</v>
      </c>
      <c r="W1571" s="77">
        <f>OrdersTable[[#This Row],[Quantity]]*OrdersTable[[#This Row],[Unit Cost]]</f>
        <v>256</v>
      </c>
      <c r="X1571" s="77">
        <f>'Dropdown Lists'!$I$2*(1+OrdersTable[[#This Row],[Returned]])</f>
        <v>60</v>
      </c>
      <c r="Y1571" s="76">
        <f>OrdersTable[[#This Row],[Net Revenue]]-OrdersTable[[#This Row],[COGS]]-OrdersTable[[#This Row],[Shipping Cost]]</f>
        <v>202.70000000000005</v>
      </c>
      <c r="Z1571" s="78">
        <f>IFERROR(OrdersTable[[#This Row],[Profit]]/OrdersTable[[#This Row],[Net Revenue]],0)</f>
        <v>0.39078465394254874</v>
      </c>
      <c r="AA1571" t="s">
        <v>18</v>
      </c>
      <c r="AB1571" s="79">
        <v>45589</v>
      </c>
      <c r="AC1571">
        <f>OrdersTable[[#This Row],[Delivery Date]]-OrdersTable[[#This Row],[Order Date]]</f>
        <v>5</v>
      </c>
      <c r="AD1571" t="str">
        <f>IF(OrdersTable[[#This Row],[Delivery Days]]&lt;=2, "Express (≤2d)", IF(OrdersTable[[#This Row],[Delivery Days]]&lt;=4, "Standard (3-4d)", "Delayed (5d+)"))</f>
        <v>Delayed (5d+)</v>
      </c>
      <c r="AF1571">
        <v>0</v>
      </c>
    </row>
    <row r="1572" spans="1:32" ht="15" x14ac:dyDescent="0.35">
      <c r="A1572" t="s">
        <v>2106</v>
      </c>
      <c r="B1572" s="1">
        <v>45585</v>
      </c>
      <c r="C1572">
        <f>YEAR(OrdersTable[[#This Row],[Order Date]])</f>
        <v>2024</v>
      </c>
      <c r="D1572" s="2">
        <f>DATE(YEAR(OrdersTable[[#This Row],[Order Date]]),MONTH(OrdersTable[[#This Row],[Order Date]]),1)</f>
        <v>45566</v>
      </c>
      <c r="E1572">
        <f>MONTH(OrdersTable[[#This Row],[Order Date]])</f>
        <v>10</v>
      </c>
      <c r="F1572" t="s">
        <v>1752</v>
      </c>
      <c r="G1572" t="str">
        <f>IF(OrdersTable[[#This Row],[Order Date]]=_xlfn.MINIFS(Order_Date, Customer_ID, OrdersTable[[#This Row],[Customer ID]]), "New", "Repeat")</f>
        <v>Repeat</v>
      </c>
      <c r="H1572" t="s">
        <v>21</v>
      </c>
      <c r="I1572" t="str">
        <f>INDEX(State!B:B,MATCH(OrdersTable[[#This Row],[State]],State!A:A,0))</f>
        <v>PB</v>
      </c>
      <c r="J1572" t="str">
        <f>INDEX(State!C:C,MATCH(OrdersTable[[#This Row],[State Code]],State!B:B,0))</f>
        <v>North</v>
      </c>
      <c r="K1572" t="s">
        <v>260</v>
      </c>
      <c r="L1572" t="s">
        <v>65</v>
      </c>
      <c r="M1572" t="s">
        <v>423</v>
      </c>
      <c r="N1572" t="str">
        <f>INDEX(Products!B:B,MATCH(OrdersTable[[#This Row],[Product ID]],Products!A:A,0))</f>
        <v>Power Bank 20000mAh</v>
      </c>
      <c r="O1572" t="str">
        <f>INDEX(Products!C:C,MATCH(OrdersTable[[#This Row],[Product ID]],Products!A:A,0))</f>
        <v>Electronics</v>
      </c>
      <c r="P1572">
        <v>1</v>
      </c>
      <c r="Q1572" s="5">
        <v>1799</v>
      </c>
      <c r="R1572" s="74">
        <v>0.5</v>
      </c>
      <c r="S1572" s="75">
        <f>OrdersTable[[#This Row],[Quantity]]*OrdersTable[[#This Row],[Unit Price]]</f>
        <v>1799</v>
      </c>
      <c r="T1572" s="5">
        <f>OrdersTable[[#This Row],[Gross Sale]]*OrdersTable[[#This Row],[Discount_Clean2]]</f>
        <v>899.5</v>
      </c>
      <c r="U1572" s="5">
        <f>OrdersTable[[#This Row],[Gross Sale]]-OrdersTable[[#This Row],[Discount Amount]]</f>
        <v>899.5</v>
      </c>
      <c r="V1572" s="77">
        <f>INDEX(Products!E:E,MATCH(OrdersTable[[#This Row],[Product ID]],Products!A:A,0))</f>
        <v>1079</v>
      </c>
      <c r="W1572" s="77">
        <f>OrdersTable[[#This Row],[Quantity]]*OrdersTable[[#This Row],[Unit Cost]]</f>
        <v>1079</v>
      </c>
      <c r="X1572" s="77">
        <f>'Dropdown Lists'!$I$2*(1+OrdersTable[[#This Row],[Returned]])</f>
        <v>60</v>
      </c>
      <c r="Y1572" s="76">
        <f>OrdersTable[[#This Row],[Net Revenue]]-OrdersTable[[#This Row],[COGS]]-OrdersTable[[#This Row],[Shipping Cost]]</f>
        <v>-239.5</v>
      </c>
      <c r="Z1572" s="78">
        <f>IFERROR(OrdersTable[[#This Row],[Profit]]/OrdersTable[[#This Row],[Net Revenue]],0)</f>
        <v>-0.26625903279599777</v>
      </c>
      <c r="AA1572" t="s">
        <v>18</v>
      </c>
      <c r="AB1572" s="79">
        <v>45589</v>
      </c>
      <c r="AC1572">
        <f>OrdersTable[[#This Row],[Delivery Date]]-OrdersTable[[#This Row],[Order Date]]</f>
        <v>4</v>
      </c>
      <c r="AD1572" t="str">
        <f>IF(OrdersTable[[#This Row],[Delivery Days]]&lt;=2, "Express (≤2d)", IF(OrdersTable[[#This Row],[Delivery Days]]&lt;=4, "Standard (3-4d)", "Delayed (5d+)"))</f>
        <v>Standard (3-4d)</v>
      </c>
      <c r="AE1572">
        <v>3</v>
      </c>
      <c r="AF1572">
        <v>0</v>
      </c>
    </row>
    <row r="1573" spans="1:32" ht="15" x14ac:dyDescent="0.35">
      <c r="A1573" t="s">
        <v>1153</v>
      </c>
      <c r="B1573" s="1">
        <v>45585</v>
      </c>
      <c r="C1573">
        <f>YEAR(OrdersTable[[#This Row],[Order Date]])</f>
        <v>2024</v>
      </c>
      <c r="D1573" s="2">
        <f>DATE(YEAR(OrdersTable[[#This Row],[Order Date]]),MONTH(OrdersTable[[#This Row],[Order Date]]),1)</f>
        <v>45566</v>
      </c>
      <c r="E1573">
        <f>MONTH(OrdersTable[[#This Row],[Order Date]])</f>
        <v>10</v>
      </c>
      <c r="F1573" t="s">
        <v>1154</v>
      </c>
      <c r="G1573" t="str">
        <f>IF(OrdersTable[[#This Row],[Order Date]]=_xlfn.MINIFS(Order_Date, Customer_ID, OrdersTable[[#This Row],[Customer ID]]), "New", "Repeat")</f>
        <v>Repeat</v>
      </c>
      <c r="H1573" t="s">
        <v>48</v>
      </c>
      <c r="I1573" t="str">
        <f>INDEX(State!B:B,MATCH(OrdersTable[[#This Row],[State]],State!A:A,0))</f>
        <v>HR</v>
      </c>
      <c r="J1573" t="str">
        <f>INDEX(State!C:C,MATCH(OrdersTable[[#This Row],[State Code]],State!B:B,0))</f>
        <v>North</v>
      </c>
      <c r="K1573" t="s">
        <v>151</v>
      </c>
      <c r="L1573" t="s">
        <v>50</v>
      </c>
      <c r="M1573" t="s">
        <v>152</v>
      </c>
      <c r="N1573" t="str">
        <f>INDEX(Products!B:B,MATCH(OrdersTable[[#This Row],[Product ID]],Products!A:A,0))</f>
        <v>Green Tea (100 bags)</v>
      </c>
      <c r="O1573" t="str">
        <f>INDEX(Products!C:C,MATCH(OrdersTable[[#This Row],[Product ID]],Products!A:A,0))</f>
        <v>Wellness</v>
      </c>
      <c r="P1573">
        <v>1</v>
      </c>
      <c r="Q1573" s="5">
        <v>399</v>
      </c>
      <c r="R1573" s="74">
        <v>0.35</v>
      </c>
      <c r="S1573" s="75">
        <f>OrdersTable[[#This Row],[Quantity]]*OrdersTable[[#This Row],[Unit Price]]</f>
        <v>399</v>
      </c>
      <c r="T1573" s="5">
        <f>OrdersTable[[#This Row],[Gross Sale]]*OrdersTable[[#This Row],[Discount_Clean2]]</f>
        <v>139.64999999999998</v>
      </c>
      <c r="U1573" s="5">
        <f>OrdersTable[[#This Row],[Gross Sale]]-OrdersTable[[#This Row],[Discount Amount]]</f>
        <v>259.35000000000002</v>
      </c>
      <c r="V1573" s="77">
        <f>INDEX(Products!E:E,MATCH(OrdersTable[[#This Row],[Product ID]],Products!A:A,0))</f>
        <v>128</v>
      </c>
      <c r="W1573" s="77">
        <f>OrdersTable[[#This Row],[Quantity]]*OrdersTable[[#This Row],[Unit Cost]]</f>
        <v>128</v>
      </c>
      <c r="X1573" s="77">
        <f>'Dropdown Lists'!$I$2*(1+OrdersTable[[#This Row],[Returned]])</f>
        <v>60</v>
      </c>
      <c r="Y1573" s="76">
        <f>OrdersTable[[#This Row],[Net Revenue]]-OrdersTable[[#This Row],[COGS]]-OrdersTable[[#This Row],[Shipping Cost]]</f>
        <v>71.350000000000023</v>
      </c>
      <c r="Z1573" s="78">
        <f>IFERROR(OrdersTable[[#This Row],[Profit]]/OrdersTable[[#This Row],[Net Revenue]],0)</f>
        <v>0.27511085405822255</v>
      </c>
      <c r="AA1573" t="s">
        <v>18</v>
      </c>
      <c r="AB1573" s="79">
        <v>45586</v>
      </c>
      <c r="AC1573">
        <f>OrdersTable[[#This Row],[Delivery Date]]-OrdersTable[[#This Row],[Order Date]]</f>
        <v>1</v>
      </c>
      <c r="AD1573" t="str">
        <f>IF(OrdersTable[[#This Row],[Delivery Days]]&lt;=2, "Express (≤2d)", IF(OrdersTable[[#This Row],[Delivery Days]]&lt;=4, "Standard (3-4d)", "Delayed (5d+)"))</f>
        <v>Express (≤2d)</v>
      </c>
      <c r="AF1573">
        <v>0</v>
      </c>
    </row>
    <row r="1574" spans="1:32" ht="15" x14ac:dyDescent="0.35">
      <c r="A1574" t="s">
        <v>2965</v>
      </c>
      <c r="B1574" s="1">
        <v>45585</v>
      </c>
      <c r="C1574">
        <f>YEAR(OrdersTable[[#This Row],[Order Date]])</f>
        <v>2024</v>
      </c>
      <c r="D1574" s="2">
        <f>DATE(YEAR(OrdersTable[[#This Row],[Order Date]]),MONTH(OrdersTable[[#This Row],[Order Date]]),1)</f>
        <v>45566</v>
      </c>
      <c r="E1574">
        <f>MONTH(OrdersTable[[#This Row],[Order Date]])</f>
        <v>10</v>
      </c>
      <c r="F1574" t="s">
        <v>2878</v>
      </c>
      <c r="G1574" t="str">
        <f>IF(OrdersTable[[#This Row],[Order Date]]=_xlfn.MINIFS(Order_Date, Customer_ID, OrdersTable[[#This Row],[Customer ID]]), "New", "Repeat")</f>
        <v>Repeat</v>
      </c>
      <c r="H1574" t="s">
        <v>128</v>
      </c>
      <c r="I1574" t="str">
        <f>INDEX(State!B:B,MATCH(OrdersTable[[#This Row],[State]],State!A:A,0))</f>
        <v>DL</v>
      </c>
      <c r="J1574" t="str">
        <f>INDEX(State!C:C,MATCH(OrdersTable[[#This Row],[State Code]],State!B:B,0))</f>
        <v>North</v>
      </c>
      <c r="K1574" t="s">
        <v>129</v>
      </c>
      <c r="L1574" t="s">
        <v>65</v>
      </c>
      <c r="M1574" t="s">
        <v>56</v>
      </c>
      <c r="N1574" t="str">
        <f>INDEX(Products!B:B,MATCH(OrdersTable[[#This Row],[Product ID]],Products!A:A,0))</f>
        <v>Vitamin C Face Serum</v>
      </c>
      <c r="O1574" t="str">
        <f>INDEX(Products!C:C,MATCH(OrdersTable[[#This Row],[Product ID]],Products!A:A,0))</f>
        <v>Skincare</v>
      </c>
      <c r="P1574">
        <v>1</v>
      </c>
      <c r="Q1574" s="5">
        <v>599</v>
      </c>
      <c r="R1574" s="74">
        <v>0.25</v>
      </c>
      <c r="S1574" s="75">
        <f>OrdersTable[[#This Row],[Quantity]]*OrdersTable[[#This Row],[Unit Price]]</f>
        <v>599</v>
      </c>
      <c r="T1574" s="5">
        <f>OrdersTable[[#This Row],[Gross Sale]]*OrdersTable[[#This Row],[Discount_Clean2]]</f>
        <v>149.75</v>
      </c>
      <c r="U1574" s="5">
        <f>OrdersTable[[#This Row],[Gross Sale]]-OrdersTable[[#This Row],[Discount Amount]]</f>
        <v>449.25</v>
      </c>
      <c r="V1574" s="77">
        <f>INDEX(Products!E:E,MATCH(OrdersTable[[#This Row],[Product ID]],Products!A:A,0))</f>
        <v>180</v>
      </c>
      <c r="W1574" s="77">
        <f>OrdersTable[[#This Row],[Quantity]]*OrdersTable[[#This Row],[Unit Cost]]</f>
        <v>180</v>
      </c>
      <c r="X1574" s="77">
        <f>'Dropdown Lists'!$I$2*(1+OrdersTable[[#This Row],[Returned]])</f>
        <v>120</v>
      </c>
      <c r="Y1574" s="76">
        <f>OrdersTable[[#This Row],[Net Revenue]]-OrdersTable[[#This Row],[COGS]]-OrdersTable[[#This Row],[Shipping Cost]]</f>
        <v>149.25</v>
      </c>
      <c r="Z1574" s="78">
        <f>IFERROR(OrdersTable[[#This Row],[Profit]]/OrdersTable[[#This Row],[Net Revenue]],0)</f>
        <v>0.332220367278798</v>
      </c>
      <c r="AA1574" t="s">
        <v>2522</v>
      </c>
      <c r="AB1574" s="79">
        <v>45587</v>
      </c>
      <c r="AC1574">
        <f>OrdersTable[[#This Row],[Delivery Date]]-OrdersTable[[#This Row],[Order Date]]</f>
        <v>2</v>
      </c>
      <c r="AD1574" t="str">
        <f>IF(OrdersTable[[#This Row],[Delivery Days]]&lt;=2, "Express (≤2d)", IF(OrdersTable[[#This Row],[Delivery Days]]&lt;=4, "Standard (3-4d)", "Delayed (5d+)"))</f>
        <v>Express (≤2d)</v>
      </c>
      <c r="AF1574">
        <v>1</v>
      </c>
    </row>
    <row r="1575" spans="1:32" ht="15" x14ac:dyDescent="0.35">
      <c r="A1575" t="s">
        <v>1053</v>
      </c>
      <c r="B1575" s="1">
        <v>45585</v>
      </c>
      <c r="C1575">
        <f>YEAR(OrdersTable[[#This Row],[Order Date]])</f>
        <v>2024</v>
      </c>
      <c r="D1575" s="2">
        <f>DATE(YEAR(OrdersTable[[#This Row],[Order Date]]),MONTH(OrdersTable[[#This Row],[Order Date]]),1)</f>
        <v>45566</v>
      </c>
      <c r="E1575">
        <f>MONTH(OrdersTable[[#This Row],[Order Date]])</f>
        <v>10</v>
      </c>
      <c r="F1575" t="s">
        <v>1054</v>
      </c>
      <c r="G1575" t="str">
        <f>IF(OrdersTable[[#This Row],[Order Date]]=_xlfn.MINIFS(Order_Date, Customer_ID, OrdersTable[[#This Row],[Customer ID]]), "New", "Repeat")</f>
        <v>New</v>
      </c>
      <c r="H1575" t="s">
        <v>76</v>
      </c>
      <c r="I1575" t="str">
        <f>INDEX(State!B:B,MATCH(OrdersTable[[#This Row],[State]],State!A:A,0))</f>
        <v>UP</v>
      </c>
      <c r="J1575" t="str">
        <f>INDEX(State!C:C,MATCH(OrdersTable[[#This Row],[State Code]],State!B:B,0))</f>
        <v>North</v>
      </c>
      <c r="K1575" t="s">
        <v>77</v>
      </c>
      <c r="L1575" t="s">
        <v>16</v>
      </c>
      <c r="M1575" t="s">
        <v>92</v>
      </c>
      <c r="N1575" t="str">
        <f>INDEX(Products!B:B,MATCH(OrdersTable[[#This Row],[Product ID]],Products!A:A,0))</f>
        <v>Kolhapuri Sandals</v>
      </c>
      <c r="O1575" t="str">
        <f>INDEX(Products!C:C,MATCH(OrdersTable[[#This Row],[Product ID]],Products!A:A,0))</f>
        <v>Footwear</v>
      </c>
      <c r="P1575">
        <v>1</v>
      </c>
      <c r="Q1575" s="5">
        <v>999</v>
      </c>
      <c r="R1575" s="74">
        <v>0.1</v>
      </c>
      <c r="S1575" s="75">
        <f>OrdersTable[[#This Row],[Quantity]]*OrdersTable[[#This Row],[Unit Price]]</f>
        <v>999</v>
      </c>
      <c r="T1575" s="5">
        <f>OrdersTable[[#This Row],[Gross Sale]]*OrdersTable[[#This Row],[Discount_Clean2]]</f>
        <v>99.9</v>
      </c>
      <c r="U1575" s="5">
        <f>OrdersTable[[#This Row],[Gross Sale]]-OrdersTable[[#This Row],[Discount Amount]]</f>
        <v>899.1</v>
      </c>
      <c r="V1575" s="77">
        <f>INDEX(Products!E:E,MATCH(OrdersTable[[#This Row],[Product ID]],Products!A:A,0))</f>
        <v>400</v>
      </c>
      <c r="W1575" s="77">
        <f>OrdersTable[[#This Row],[Quantity]]*OrdersTable[[#This Row],[Unit Cost]]</f>
        <v>400</v>
      </c>
      <c r="X1575" s="77">
        <f>'Dropdown Lists'!$I$2*(1+OrdersTable[[#This Row],[Returned]])</f>
        <v>120</v>
      </c>
      <c r="Y1575" s="76">
        <f>OrdersTable[[#This Row],[Net Revenue]]-OrdersTable[[#This Row],[COGS]]-OrdersTable[[#This Row],[Shipping Cost]]</f>
        <v>379.1</v>
      </c>
      <c r="Z1575" s="78">
        <f>IFERROR(OrdersTable[[#This Row],[Profit]]/OrdersTable[[#This Row],[Net Revenue]],0)</f>
        <v>0.42164386608831056</v>
      </c>
      <c r="AA1575" t="s">
        <v>18</v>
      </c>
      <c r="AB1575" s="79">
        <v>45589</v>
      </c>
      <c r="AC1575">
        <f>OrdersTable[[#This Row],[Delivery Date]]-OrdersTable[[#This Row],[Order Date]]</f>
        <v>4</v>
      </c>
      <c r="AD1575" t="str">
        <f>IF(OrdersTable[[#This Row],[Delivery Days]]&lt;=2, "Express (≤2d)", IF(OrdersTable[[#This Row],[Delivery Days]]&lt;=4, "Standard (3-4d)", "Delayed (5d+)"))</f>
        <v>Standard (3-4d)</v>
      </c>
      <c r="AE1575">
        <v>4</v>
      </c>
      <c r="AF1575">
        <v>1</v>
      </c>
    </row>
    <row r="1576" spans="1:32" ht="15" x14ac:dyDescent="0.35">
      <c r="A1576" t="s">
        <v>3874</v>
      </c>
      <c r="B1576" s="1">
        <v>45585</v>
      </c>
      <c r="C1576">
        <f>YEAR(OrdersTable[[#This Row],[Order Date]])</f>
        <v>2024</v>
      </c>
      <c r="D1576" s="2">
        <f>DATE(YEAR(OrdersTable[[#This Row],[Order Date]]),MONTH(OrdersTable[[#This Row],[Order Date]]),1)</f>
        <v>45566</v>
      </c>
      <c r="E1576">
        <f>MONTH(OrdersTable[[#This Row],[Order Date]])</f>
        <v>10</v>
      </c>
      <c r="F1576" t="s">
        <v>2292</v>
      </c>
      <c r="G1576" t="str">
        <f>IF(OrdersTable[[#This Row],[Order Date]]=_xlfn.MINIFS(Order_Date, Customer_ID, OrdersTable[[#This Row],[Customer ID]]), "New", "Repeat")</f>
        <v>Repeat</v>
      </c>
      <c r="H1576" t="s">
        <v>43</v>
      </c>
      <c r="I1576" t="str">
        <f>INDEX(State!B:B,MATCH(OrdersTable[[#This Row],[State]],State!A:A,0))</f>
        <v>MP</v>
      </c>
      <c r="J1576" t="str">
        <f>INDEX(State!C:C,MATCH(OrdersTable[[#This Row],[State Code]],State!B:B,0))</f>
        <v>West</v>
      </c>
      <c r="K1576" t="s">
        <v>250</v>
      </c>
      <c r="L1576" t="s">
        <v>39</v>
      </c>
      <c r="M1576" t="s">
        <v>29</v>
      </c>
      <c r="N1576" t="str">
        <f>INDEX(Products!B:B,MATCH(OrdersTable[[#This Row],[Product ID]],Products!A:A,0))</f>
        <v>Joggers</v>
      </c>
      <c r="O1576" t="str">
        <f>INDEX(Products!C:C,MATCH(OrdersTable[[#This Row],[Product ID]],Products!A:A,0))</f>
        <v>Apparel</v>
      </c>
      <c r="P1576">
        <v>1</v>
      </c>
      <c r="Q1576" s="5">
        <v>1199</v>
      </c>
      <c r="R1576" s="74">
        <v>0.3</v>
      </c>
      <c r="S1576" s="75">
        <f>OrdersTable[[#This Row],[Quantity]]*OrdersTable[[#This Row],[Unit Price]]</f>
        <v>1199</v>
      </c>
      <c r="T1576" s="5">
        <f>OrdersTable[[#This Row],[Gross Sale]]*OrdersTable[[#This Row],[Discount_Clean2]]</f>
        <v>359.7</v>
      </c>
      <c r="U1576" s="5">
        <f>OrdersTable[[#This Row],[Gross Sale]]-OrdersTable[[#This Row],[Discount Amount]]</f>
        <v>839.3</v>
      </c>
      <c r="V1576" s="77">
        <f>INDEX(Products!E:E,MATCH(OrdersTable[[#This Row],[Product ID]],Products!A:A,0))</f>
        <v>492</v>
      </c>
      <c r="W1576" s="77">
        <f>OrdersTable[[#This Row],[Quantity]]*OrdersTable[[#This Row],[Unit Cost]]</f>
        <v>492</v>
      </c>
      <c r="X1576" s="77">
        <f>'Dropdown Lists'!$I$2*(1+OrdersTable[[#This Row],[Returned]])</f>
        <v>120</v>
      </c>
      <c r="Y1576" s="76">
        <f>OrdersTable[[#This Row],[Net Revenue]]-OrdersTable[[#This Row],[COGS]]-OrdersTable[[#This Row],[Shipping Cost]]</f>
        <v>227.29999999999995</v>
      </c>
      <c r="Z1576" s="78">
        <f>IFERROR(OrdersTable[[#This Row],[Profit]]/OrdersTable[[#This Row],[Net Revenue]],0)</f>
        <v>0.27082092219706894</v>
      </c>
      <c r="AA1576" t="s">
        <v>3495</v>
      </c>
      <c r="AB1576" s="79">
        <v>45591</v>
      </c>
      <c r="AC1576">
        <f>OrdersTable[[#This Row],[Delivery Date]]-OrdersTable[[#This Row],[Order Date]]</f>
        <v>6</v>
      </c>
      <c r="AD1576" t="str">
        <f>IF(OrdersTable[[#This Row],[Delivery Days]]&lt;=2, "Express (≤2d)", IF(OrdersTable[[#This Row],[Delivery Days]]&lt;=4, "Standard (3-4d)", "Delayed (5d+)"))</f>
        <v>Delayed (5d+)</v>
      </c>
      <c r="AE1576">
        <v>3</v>
      </c>
      <c r="AF1576">
        <v>1</v>
      </c>
    </row>
    <row r="1577" spans="1:32" ht="15" x14ac:dyDescent="0.35">
      <c r="A1577" t="s">
        <v>6315</v>
      </c>
      <c r="B1577" s="1">
        <v>45585</v>
      </c>
      <c r="C1577">
        <f>YEAR(OrdersTable[[#This Row],[Order Date]])</f>
        <v>2024</v>
      </c>
      <c r="D1577" s="2">
        <f>DATE(YEAR(OrdersTable[[#This Row],[Order Date]]),MONTH(OrdersTable[[#This Row],[Order Date]]),1)</f>
        <v>45566</v>
      </c>
      <c r="E1577">
        <f>MONTH(OrdersTable[[#This Row],[Order Date]])</f>
        <v>10</v>
      </c>
      <c r="F1577" t="s">
        <v>1104</v>
      </c>
      <c r="G1577" t="str">
        <f>IF(OrdersTable[[#This Row],[Order Date]]=_xlfn.MINIFS(Order_Date, Customer_ID, OrdersTable[[#This Row],[Customer ID]]), "New", "Repeat")</f>
        <v>Repeat</v>
      </c>
      <c r="H1577" t="s">
        <v>482</v>
      </c>
      <c r="I1577" t="str">
        <f>INDEX(State!B:B,MATCH(OrdersTable[[#This Row],[State]],State!A:A,0))</f>
        <v>CG</v>
      </c>
      <c r="J1577" t="str">
        <f>INDEX(State!C:C,MATCH(OrdersTable[[#This Row],[State Code]],State!B:B,0))</f>
        <v>East</v>
      </c>
      <c r="K1577" t="s">
        <v>483</v>
      </c>
      <c r="L1577" t="s">
        <v>50</v>
      </c>
      <c r="M1577" t="s">
        <v>152</v>
      </c>
      <c r="N1577" t="str">
        <f>INDEX(Products!B:B,MATCH(OrdersTable[[#This Row],[Product ID]],Products!A:A,0))</f>
        <v>Green Tea (100 bags)</v>
      </c>
      <c r="O1577" t="str">
        <f>INDEX(Products!C:C,MATCH(OrdersTable[[#This Row],[Product ID]],Products!A:A,0))</f>
        <v>Wellness</v>
      </c>
      <c r="P1577">
        <v>2</v>
      </c>
      <c r="Q1577" s="5">
        <v>399</v>
      </c>
      <c r="R1577" s="74">
        <v>0.6</v>
      </c>
      <c r="S1577" s="75">
        <f>OrdersTable[[#This Row],[Quantity]]*OrdersTable[[#This Row],[Unit Price]]</f>
        <v>798</v>
      </c>
      <c r="T1577" s="5">
        <f>OrdersTable[[#This Row],[Gross Sale]]*OrdersTable[[#This Row],[Discount_Clean2]]</f>
        <v>478.79999999999995</v>
      </c>
      <c r="U1577" s="5">
        <f>OrdersTable[[#This Row],[Gross Sale]]-OrdersTable[[#This Row],[Discount Amount]]</f>
        <v>319.20000000000005</v>
      </c>
      <c r="V1577" s="77">
        <f>INDEX(Products!E:E,MATCH(OrdersTable[[#This Row],[Product ID]],Products!A:A,0))</f>
        <v>128</v>
      </c>
      <c r="W1577" s="77">
        <f>OrdersTable[[#This Row],[Quantity]]*OrdersTable[[#This Row],[Unit Cost]]</f>
        <v>256</v>
      </c>
      <c r="X1577" s="77">
        <f>'Dropdown Lists'!$I$2*(1+OrdersTable[[#This Row],[Returned]])</f>
        <v>60</v>
      </c>
      <c r="Y1577" s="76">
        <f>OrdersTable[[#This Row],[Net Revenue]]-OrdersTable[[#This Row],[COGS]]-OrdersTable[[#This Row],[Shipping Cost]]</f>
        <v>3.2000000000000455</v>
      </c>
      <c r="Z1577" s="78">
        <f>IFERROR(OrdersTable[[#This Row],[Profit]]/OrdersTable[[#This Row],[Net Revenue]],0)</f>
        <v>1.0025062656641746E-2</v>
      </c>
      <c r="AA1577" t="s">
        <v>18</v>
      </c>
      <c r="AB1577" s="79">
        <v>45591</v>
      </c>
      <c r="AC1577">
        <f>OrdersTable[[#This Row],[Delivery Date]]-OrdersTable[[#This Row],[Order Date]]</f>
        <v>6</v>
      </c>
      <c r="AD1577" t="str">
        <f>IF(OrdersTable[[#This Row],[Delivery Days]]&lt;=2, "Express (≤2d)", IF(OrdersTable[[#This Row],[Delivery Days]]&lt;=4, "Standard (3-4d)", "Delayed (5d+)"))</f>
        <v>Delayed (5d+)</v>
      </c>
      <c r="AF1577">
        <v>0</v>
      </c>
    </row>
    <row r="1578" spans="1:32" ht="15" x14ac:dyDescent="0.35">
      <c r="A1578" t="s">
        <v>5782</v>
      </c>
      <c r="B1578" s="1">
        <v>45585</v>
      </c>
      <c r="C1578">
        <f>YEAR(OrdersTable[[#This Row],[Order Date]])</f>
        <v>2024</v>
      </c>
      <c r="D1578" s="2">
        <f>DATE(YEAR(OrdersTable[[#This Row],[Order Date]]),MONTH(OrdersTable[[#This Row],[Order Date]]),1)</f>
        <v>45566</v>
      </c>
      <c r="E1578">
        <f>MONTH(OrdersTable[[#This Row],[Order Date]])</f>
        <v>10</v>
      </c>
      <c r="F1578" t="s">
        <v>1334</v>
      </c>
      <c r="G1578" t="str">
        <f>IF(OrdersTable[[#This Row],[Order Date]]=_xlfn.MINIFS(Order_Date, Customer_ID, OrdersTable[[#This Row],[Customer ID]]), "New", "Repeat")</f>
        <v>Repeat</v>
      </c>
      <c r="H1578" t="s">
        <v>27</v>
      </c>
      <c r="I1578" t="str">
        <f>INDEX(State!B:B,MATCH(OrdersTable[[#This Row],[State]],State!A:A,0))</f>
        <v>WB</v>
      </c>
      <c r="J1578" t="str">
        <f>INDEX(State!C:C,MATCH(OrdersTable[[#This Row],[State Code]],State!B:B,0))</f>
        <v>East</v>
      </c>
      <c r="K1578" t="s">
        <v>28</v>
      </c>
      <c r="L1578" t="s">
        <v>65</v>
      </c>
      <c r="M1578" t="s">
        <v>148</v>
      </c>
      <c r="N1578" t="str">
        <f>INDEX(Products!B:B,MATCH(OrdersTable[[#This Row],[Product ID]],Products!A:A,0))</f>
        <v>Smartwatch Strap</v>
      </c>
      <c r="O1578" t="str">
        <f>INDEX(Products!C:C,MATCH(OrdersTable[[#This Row],[Product ID]],Products!A:A,0))</f>
        <v>Electronics</v>
      </c>
      <c r="P1578">
        <v>2</v>
      </c>
      <c r="Q1578" s="5">
        <v>499</v>
      </c>
      <c r="R1578" s="74">
        <v>0.2</v>
      </c>
      <c r="S1578" s="75">
        <f>OrdersTable[[#This Row],[Quantity]]*OrdersTable[[#This Row],[Unit Price]]</f>
        <v>998</v>
      </c>
      <c r="T1578" s="5">
        <f>OrdersTable[[#This Row],[Gross Sale]]*OrdersTable[[#This Row],[Discount_Clean2]]</f>
        <v>199.60000000000002</v>
      </c>
      <c r="U1578" s="5">
        <f>OrdersTable[[#This Row],[Gross Sale]]-OrdersTable[[#This Row],[Discount Amount]]</f>
        <v>798.4</v>
      </c>
      <c r="V1578" s="77">
        <f>INDEX(Products!E:E,MATCH(OrdersTable[[#This Row],[Product ID]],Products!A:A,0))</f>
        <v>200</v>
      </c>
      <c r="W1578" s="77">
        <f>OrdersTable[[#This Row],[Quantity]]*OrdersTable[[#This Row],[Unit Cost]]</f>
        <v>400</v>
      </c>
      <c r="X1578" s="77">
        <f>'Dropdown Lists'!$I$2*(1+OrdersTable[[#This Row],[Returned]])</f>
        <v>60</v>
      </c>
      <c r="Y1578" s="76">
        <f>OrdersTable[[#This Row],[Net Revenue]]-OrdersTable[[#This Row],[COGS]]-OrdersTable[[#This Row],[Shipping Cost]]</f>
        <v>338.4</v>
      </c>
      <c r="Z1578" s="78">
        <f>IFERROR(OrdersTable[[#This Row],[Profit]]/OrdersTable[[#This Row],[Net Revenue]],0)</f>
        <v>0.42384769539078154</v>
      </c>
      <c r="AA1578" t="s">
        <v>18</v>
      </c>
      <c r="AB1578" s="79">
        <v>45588</v>
      </c>
      <c r="AC1578">
        <f>OrdersTable[[#This Row],[Delivery Date]]-OrdersTable[[#This Row],[Order Date]]</f>
        <v>3</v>
      </c>
      <c r="AD1578" t="str">
        <f>IF(OrdersTable[[#This Row],[Delivery Days]]&lt;=2, "Express (≤2d)", IF(OrdersTable[[#This Row],[Delivery Days]]&lt;=4, "Standard (3-4d)", "Delayed (5d+)"))</f>
        <v>Standard (3-4d)</v>
      </c>
      <c r="AE1578">
        <v>5</v>
      </c>
      <c r="AF1578">
        <v>0</v>
      </c>
    </row>
    <row r="1579" spans="1:32" ht="15" x14ac:dyDescent="0.35">
      <c r="A1579" t="s">
        <v>2321</v>
      </c>
      <c r="B1579" s="1">
        <v>45585</v>
      </c>
      <c r="C1579">
        <f>YEAR(OrdersTable[[#This Row],[Order Date]])</f>
        <v>2024</v>
      </c>
      <c r="D1579" s="2">
        <f>DATE(YEAR(OrdersTable[[#This Row],[Order Date]]),MONTH(OrdersTable[[#This Row],[Order Date]]),1)</f>
        <v>45566</v>
      </c>
      <c r="E1579">
        <f>MONTH(OrdersTable[[#This Row],[Order Date]])</f>
        <v>10</v>
      </c>
      <c r="F1579" t="s">
        <v>2313</v>
      </c>
      <c r="G1579" t="str">
        <f>IF(OrdersTable[[#This Row],[Order Date]]=_xlfn.MINIFS(Order_Date, Customer_ID, OrdersTable[[#This Row],[Customer ID]]), "New", "Repeat")</f>
        <v>Repeat</v>
      </c>
      <c r="H1579" t="s">
        <v>71</v>
      </c>
      <c r="I1579" t="str">
        <f>INDEX(State!B:B,MATCH(OrdersTable[[#This Row],[State]],State!A:A,0))</f>
        <v>MH</v>
      </c>
      <c r="J1579" t="str">
        <f>INDEX(State!C:C,MATCH(OrdersTable[[#This Row],[State Code]],State!B:B,0))</f>
        <v>West</v>
      </c>
      <c r="K1579" t="s">
        <v>81</v>
      </c>
      <c r="L1579" t="s">
        <v>65</v>
      </c>
      <c r="M1579" t="s">
        <v>51</v>
      </c>
      <c r="N1579" t="str">
        <f>INDEX(Products!B:B,MATCH(OrdersTable[[#This Row],[Product ID]],Products!A:A,0))</f>
        <v>Anti-Dandruff Conditioner</v>
      </c>
      <c r="O1579" t="str">
        <f>INDEX(Products!C:C,MATCH(OrdersTable[[#This Row],[Product ID]],Products!A:A,0))</f>
        <v>Haircare</v>
      </c>
      <c r="P1579">
        <v>1</v>
      </c>
      <c r="Q1579" s="5">
        <v>399</v>
      </c>
      <c r="R1579" s="74">
        <v>0.4</v>
      </c>
      <c r="S1579" s="75">
        <f>OrdersTable[[#This Row],[Quantity]]*OrdersTable[[#This Row],[Unit Price]]</f>
        <v>399</v>
      </c>
      <c r="T1579" s="5">
        <f>OrdersTable[[#This Row],[Gross Sale]]*OrdersTable[[#This Row],[Discount_Clean2]]</f>
        <v>159.60000000000002</v>
      </c>
      <c r="U1579" s="5">
        <f>OrdersTable[[#This Row],[Gross Sale]]-OrdersTable[[#This Row],[Discount Amount]]</f>
        <v>239.39999999999998</v>
      </c>
      <c r="V1579" s="77">
        <f>INDEX(Products!E:E,MATCH(OrdersTable[[#This Row],[Product ID]],Products!A:A,0))</f>
        <v>136</v>
      </c>
      <c r="W1579" s="77">
        <f>OrdersTable[[#This Row],[Quantity]]*OrdersTable[[#This Row],[Unit Cost]]</f>
        <v>136</v>
      </c>
      <c r="X1579" s="77">
        <f>'Dropdown Lists'!$I$2*(1+OrdersTable[[#This Row],[Returned]])</f>
        <v>120</v>
      </c>
      <c r="Y1579" s="76">
        <f>OrdersTable[[#This Row],[Net Revenue]]-OrdersTable[[#This Row],[COGS]]-OrdersTable[[#This Row],[Shipping Cost]]</f>
        <v>-16.600000000000023</v>
      </c>
      <c r="Z1579" s="78">
        <f>IFERROR(OrdersTable[[#This Row],[Profit]]/OrdersTable[[#This Row],[Net Revenue]],0)</f>
        <v>-6.9340016708437868E-2</v>
      </c>
      <c r="AA1579" t="s">
        <v>18</v>
      </c>
      <c r="AB1579" s="79">
        <v>45587</v>
      </c>
      <c r="AC1579">
        <f>OrdersTable[[#This Row],[Delivery Date]]-OrdersTable[[#This Row],[Order Date]]</f>
        <v>2</v>
      </c>
      <c r="AD1579" t="str">
        <f>IF(OrdersTable[[#This Row],[Delivery Days]]&lt;=2, "Express (≤2d)", IF(OrdersTable[[#This Row],[Delivery Days]]&lt;=4, "Standard (3-4d)", "Delayed (5d+)"))</f>
        <v>Express (≤2d)</v>
      </c>
      <c r="AE1579">
        <v>5</v>
      </c>
      <c r="AF1579">
        <v>1</v>
      </c>
    </row>
    <row r="1580" spans="1:32" ht="15" x14ac:dyDescent="0.35">
      <c r="A1580" t="s">
        <v>2966</v>
      </c>
      <c r="B1580" s="1">
        <v>45585</v>
      </c>
      <c r="C1580">
        <f>YEAR(OrdersTable[[#This Row],[Order Date]])</f>
        <v>2024</v>
      </c>
      <c r="D1580" s="2">
        <f>DATE(YEAR(OrdersTable[[#This Row],[Order Date]]),MONTH(OrdersTable[[#This Row],[Order Date]]),1)</f>
        <v>45566</v>
      </c>
      <c r="E1580">
        <f>MONTH(OrdersTable[[#This Row],[Order Date]])</f>
        <v>10</v>
      </c>
      <c r="F1580" t="s">
        <v>2967</v>
      </c>
      <c r="G1580" t="str">
        <f>IF(OrdersTable[[#This Row],[Order Date]]=_xlfn.MINIFS(Order_Date, Customer_ID, OrdersTable[[#This Row],[Customer ID]]), "New", "Repeat")</f>
        <v>New</v>
      </c>
      <c r="H1580" t="s">
        <v>71</v>
      </c>
      <c r="I1580" t="str">
        <f>INDEX(State!B:B,MATCH(OrdersTable[[#This Row],[State]],State!A:A,0))</f>
        <v>MH</v>
      </c>
      <c r="J1580" t="str">
        <f>INDEX(State!C:C,MATCH(OrdersTable[[#This Row],[State Code]],State!B:B,0))</f>
        <v>West</v>
      </c>
      <c r="K1580" t="s">
        <v>102</v>
      </c>
      <c r="L1580" t="s">
        <v>50</v>
      </c>
      <c r="M1580" t="s">
        <v>45</v>
      </c>
      <c r="N1580" t="str">
        <f>INDEX(Products!B:B,MATCH(OrdersTable[[#This Row],[Product ID]],Products!A:A,0))</f>
        <v>Argan Shampoo</v>
      </c>
      <c r="O1580" t="str">
        <f>INDEX(Products!C:C,MATCH(OrdersTable[[#This Row],[Product ID]],Products!A:A,0))</f>
        <v>Haircare</v>
      </c>
      <c r="P1580">
        <v>1</v>
      </c>
      <c r="Q1580" s="5">
        <v>449</v>
      </c>
      <c r="R1580" s="74">
        <v>0.2</v>
      </c>
      <c r="S1580" s="75">
        <f>OrdersTable[[#This Row],[Quantity]]*OrdersTable[[#This Row],[Unit Price]]</f>
        <v>449</v>
      </c>
      <c r="T1580" s="5">
        <f>OrdersTable[[#This Row],[Gross Sale]]*OrdersTable[[#This Row],[Discount_Clean2]]</f>
        <v>89.800000000000011</v>
      </c>
      <c r="U1580" s="5">
        <f>OrdersTable[[#This Row],[Gross Sale]]-OrdersTable[[#This Row],[Discount Amount]]</f>
        <v>359.2</v>
      </c>
      <c r="V1580" s="77">
        <f>INDEX(Products!E:E,MATCH(OrdersTable[[#This Row],[Product ID]],Products!A:A,0))</f>
        <v>148</v>
      </c>
      <c r="W1580" s="77">
        <f>OrdersTable[[#This Row],[Quantity]]*OrdersTable[[#This Row],[Unit Cost]]</f>
        <v>148</v>
      </c>
      <c r="X1580" s="77">
        <f>'Dropdown Lists'!$I$2*(1+OrdersTable[[#This Row],[Returned]])</f>
        <v>60</v>
      </c>
      <c r="Y1580" s="76">
        <f>OrdersTable[[#This Row],[Net Revenue]]-OrdersTable[[#This Row],[COGS]]-OrdersTable[[#This Row],[Shipping Cost]]</f>
        <v>151.19999999999999</v>
      </c>
      <c r="Z1580" s="78">
        <f>IFERROR(OrdersTable[[#This Row],[Profit]]/OrdersTable[[#This Row],[Net Revenue]],0)</f>
        <v>0.42093541202672602</v>
      </c>
      <c r="AA1580" t="s">
        <v>2522</v>
      </c>
      <c r="AB1580" s="79">
        <v>45587</v>
      </c>
      <c r="AC1580">
        <f>OrdersTable[[#This Row],[Delivery Date]]-OrdersTable[[#This Row],[Order Date]]</f>
        <v>2</v>
      </c>
      <c r="AD1580" t="str">
        <f>IF(OrdersTable[[#This Row],[Delivery Days]]&lt;=2, "Express (≤2d)", IF(OrdersTable[[#This Row],[Delivery Days]]&lt;=4, "Standard (3-4d)", "Delayed (5d+)"))</f>
        <v>Express (≤2d)</v>
      </c>
      <c r="AF1580">
        <v>0</v>
      </c>
    </row>
    <row r="1581" spans="1:32" ht="15" x14ac:dyDescent="0.35">
      <c r="A1581" t="s">
        <v>6516</v>
      </c>
      <c r="B1581" s="1">
        <v>45585</v>
      </c>
      <c r="C1581">
        <f>YEAR(OrdersTable[[#This Row],[Order Date]])</f>
        <v>2024</v>
      </c>
      <c r="D1581" s="2">
        <f>DATE(YEAR(OrdersTable[[#This Row],[Order Date]]),MONTH(OrdersTable[[#This Row],[Order Date]]),1)</f>
        <v>45566</v>
      </c>
      <c r="E1581">
        <f>MONTH(OrdersTable[[#This Row],[Order Date]])</f>
        <v>10</v>
      </c>
      <c r="F1581" t="s">
        <v>3027</v>
      </c>
      <c r="G1581" t="str">
        <f>IF(OrdersTable[[#This Row],[Order Date]]=_xlfn.MINIFS(Order_Date, Customer_ID, OrdersTable[[#This Row],[Customer ID]]), "New", "Repeat")</f>
        <v>New</v>
      </c>
      <c r="H1581" t="s">
        <v>95</v>
      </c>
      <c r="I1581" t="str">
        <f>INDEX(State!B:B,MATCH(OrdersTable[[#This Row],[State]],State!A:A,0))</f>
        <v>TG</v>
      </c>
      <c r="J1581" t="str">
        <f>INDEX(State!C:C,MATCH(OrdersTable[[#This Row],[State Code]],State!B:B,0))</f>
        <v>South</v>
      </c>
      <c r="K1581" t="s">
        <v>96</v>
      </c>
      <c r="L1581" t="s">
        <v>50</v>
      </c>
      <c r="M1581" t="s">
        <v>56</v>
      </c>
      <c r="N1581" t="str">
        <f>INDEX(Products!B:B,MATCH(OrdersTable[[#This Row],[Product ID]],Products!A:A,0))</f>
        <v>Vitamin C Face Serum</v>
      </c>
      <c r="O1581" t="str">
        <f>INDEX(Products!C:C,MATCH(OrdersTable[[#This Row],[Product ID]],Products!A:A,0))</f>
        <v>Skincare</v>
      </c>
      <c r="P1581">
        <v>3</v>
      </c>
      <c r="Q1581" s="5">
        <v>599</v>
      </c>
      <c r="R1581" s="74">
        <v>0.3</v>
      </c>
      <c r="S1581" s="75">
        <f>OrdersTable[[#This Row],[Quantity]]*OrdersTable[[#This Row],[Unit Price]]</f>
        <v>1797</v>
      </c>
      <c r="T1581" s="5">
        <f>OrdersTable[[#This Row],[Gross Sale]]*OrdersTable[[#This Row],[Discount_Clean2]]</f>
        <v>539.1</v>
      </c>
      <c r="U1581" s="5">
        <f>OrdersTable[[#This Row],[Gross Sale]]-OrdersTable[[#This Row],[Discount Amount]]</f>
        <v>1257.9000000000001</v>
      </c>
      <c r="V1581" s="77">
        <f>INDEX(Products!E:E,MATCH(OrdersTable[[#This Row],[Product ID]],Products!A:A,0))</f>
        <v>180</v>
      </c>
      <c r="W1581" s="77">
        <f>OrdersTable[[#This Row],[Quantity]]*OrdersTable[[#This Row],[Unit Cost]]</f>
        <v>540</v>
      </c>
      <c r="X1581" s="77">
        <f>'Dropdown Lists'!$I$2*(1+OrdersTable[[#This Row],[Returned]])</f>
        <v>60</v>
      </c>
      <c r="Y1581" s="76">
        <f>OrdersTable[[#This Row],[Net Revenue]]-OrdersTable[[#This Row],[COGS]]-OrdersTable[[#This Row],[Shipping Cost]]</f>
        <v>657.90000000000009</v>
      </c>
      <c r="Z1581" s="78">
        <f>IFERROR(OrdersTable[[#This Row],[Profit]]/OrdersTable[[#This Row],[Net Revenue]],0)</f>
        <v>0.52301454805628433</v>
      </c>
      <c r="AA1581" t="s">
        <v>18</v>
      </c>
      <c r="AB1581" s="79">
        <v>45586</v>
      </c>
      <c r="AC1581">
        <f>OrdersTable[[#This Row],[Delivery Date]]-OrdersTable[[#This Row],[Order Date]]</f>
        <v>1</v>
      </c>
      <c r="AD1581" t="str">
        <f>IF(OrdersTable[[#This Row],[Delivery Days]]&lt;=2, "Express (≤2d)", IF(OrdersTable[[#This Row],[Delivery Days]]&lt;=4, "Standard (3-4d)", "Delayed (5d+)"))</f>
        <v>Express (≤2d)</v>
      </c>
      <c r="AF1581">
        <v>0</v>
      </c>
    </row>
    <row r="1582" spans="1:32" ht="15" x14ac:dyDescent="0.35">
      <c r="A1582" t="s">
        <v>6973</v>
      </c>
      <c r="B1582" s="1">
        <v>45585</v>
      </c>
      <c r="C1582">
        <f>YEAR(OrdersTable[[#This Row],[Order Date]])</f>
        <v>2024</v>
      </c>
      <c r="D1582" s="2">
        <f>DATE(YEAR(OrdersTable[[#This Row],[Order Date]]),MONTH(OrdersTable[[#This Row],[Order Date]]),1)</f>
        <v>45566</v>
      </c>
      <c r="E1582">
        <f>MONTH(OrdersTable[[#This Row],[Order Date]])</f>
        <v>10</v>
      </c>
      <c r="F1582" t="s">
        <v>1206</v>
      </c>
      <c r="G1582" t="str">
        <f>IF(OrdersTable[[#This Row],[Order Date]]=_xlfn.MINIFS(Order_Date, Customer_ID, OrdersTable[[#This Row],[Customer ID]]), "New", "Repeat")</f>
        <v>Repeat</v>
      </c>
      <c r="H1582" t="s">
        <v>167</v>
      </c>
      <c r="I1582" t="str">
        <f>INDEX(State!B:B,MATCH(OrdersTable[[#This Row],[State]],State!A:A,0))</f>
        <v>KA</v>
      </c>
      <c r="J1582" t="str">
        <f>INDEX(State!C:C,MATCH(OrdersTable[[#This Row],[State Code]],State!B:B,0))</f>
        <v>South</v>
      </c>
      <c r="K1582" t="s">
        <v>190</v>
      </c>
      <c r="L1582" t="s">
        <v>16</v>
      </c>
      <c r="M1582" t="s">
        <v>17</v>
      </c>
      <c r="N1582" t="str">
        <f>INDEX(Products!B:B,MATCH(OrdersTable[[#This Row],[Product ID]],Products!A:A,0))</f>
        <v>Casual Sneakers</v>
      </c>
      <c r="O1582" t="str">
        <f>INDEX(Products!C:C,MATCH(OrdersTable[[#This Row],[Product ID]],Products!A:A,0))</f>
        <v>Footwear</v>
      </c>
      <c r="P1582">
        <v>4</v>
      </c>
      <c r="Q1582" s="5">
        <v>2199</v>
      </c>
      <c r="R1582" s="74">
        <v>0.3</v>
      </c>
      <c r="S1582" s="75">
        <f>OrdersTable[[#This Row],[Quantity]]*OrdersTable[[#This Row],[Unit Price]]</f>
        <v>8796</v>
      </c>
      <c r="T1582" s="5">
        <f>OrdersTable[[#This Row],[Gross Sale]]*OrdersTable[[#This Row],[Discount_Clean2]]</f>
        <v>2638.7999999999997</v>
      </c>
      <c r="U1582" s="5">
        <f>OrdersTable[[#This Row],[Gross Sale]]-OrdersTable[[#This Row],[Discount Amount]]</f>
        <v>6157.2000000000007</v>
      </c>
      <c r="V1582" s="77">
        <f>INDEX(Products!E:E,MATCH(OrdersTable[[#This Row],[Product ID]],Products!A:A,0))</f>
        <v>1034</v>
      </c>
      <c r="W1582" s="77">
        <f>OrdersTable[[#This Row],[Quantity]]*OrdersTable[[#This Row],[Unit Cost]]</f>
        <v>4136</v>
      </c>
      <c r="X1582" s="77">
        <f>'Dropdown Lists'!$I$2*(1+OrdersTable[[#This Row],[Returned]])</f>
        <v>60</v>
      </c>
      <c r="Y1582" s="76">
        <f>OrdersTable[[#This Row],[Net Revenue]]-OrdersTable[[#This Row],[COGS]]-OrdersTable[[#This Row],[Shipping Cost]]</f>
        <v>1961.2000000000007</v>
      </c>
      <c r="Z1582" s="78">
        <f>IFERROR(OrdersTable[[#This Row],[Profit]]/OrdersTable[[#This Row],[Net Revenue]],0)</f>
        <v>0.31852140583382066</v>
      </c>
      <c r="AA1582" t="s">
        <v>3495</v>
      </c>
      <c r="AB1582" s="79">
        <v>45588</v>
      </c>
      <c r="AC1582">
        <f>OrdersTable[[#This Row],[Delivery Date]]-OrdersTable[[#This Row],[Order Date]]</f>
        <v>3</v>
      </c>
      <c r="AD1582" t="str">
        <f>IF(OrdersTable[[#This Row],[Delivery Days]]&lt;=2, "Express (≤2d)", IF(OrdersTable[[#This Row],[Delivery Days]]&lt;=4, "Standard (3-4d)", "Delayed (5d+)"))</f>
        <v>Standard (3-4d)</v>
      </c>
      <c r="AF1582">
        <v>0</v>
      </c>
    </row>
    <row r="1583" spans="1:32" ht="15" x14ac:dyDescent="0.35">
      <c r="A1583" t="s">
        <v>4104</v>
      </c>
      <c r="B1583" s="1">
        <v>45585</v>
      </c>
      <c r="C1583">
        <f>YEAR(OrdersTable[[#This Row],[Order Date]])</f>
        <v>2024</v>
      </c>
      <c r="D1583" s="2">
        <f>DATE(YEAR(OrdersTable[[#This Row],[Order Date]]),MONTH(OrdersTable[[#This Row],[Order Date]]),1)</f>
        <v>45566</v>
      </c>
      <c r="E1583">
        <f>MONTH(OrdersTable[[#This Row],[Order Date]])</f>
        <v>10</v>
      </c>
      <c r="F1583" t="s">
        <v>2957</v>
      </c>
      <c r="G1583" t="str">
        <f>IF(OrdersTable[[#This Row],[Order Date]]=_xlfn.MINIFS(Order_Date, Customer_ID, OrdersTable[[#This Row],[Customer ID]]), "New", "Repeat")</f>
        <v>Repeat</v>
      </c>
      <c r="H1583" t="s">
        <v>275</v>
      </c>
      <c r="I1583" t="str">
        <f>INDEX(State!B:B,MATCH(OrdersTable[[#This Row],[State]],State!A:A,0))</f>
        <v>AP</v>
      </c>
      <c r="J1583" t="str">
        <f>INDEX(State!C:C,MATCH(OrdersTable[[#This Row],[State Code]],State!B:B,0))</f>
        <v>South</v>
      </c>
      <c r="K1583" t="s">
        <v>276</v>
      </c>
      <c r="L1583" t="s">
        <v>16</v>
      </c>
      <c r="M1583" t="s">
        <v>255</v>
      </c>
      <c r="N1583" t="str">
        <f>INDEX(Products!B:B,MATCH(OrdersTable[[#This Row],[Product ID]],Products!A:A,0))</f>
        <v>Cotton Oversized T-Shirt</v>
      </c>
      <c r="O1583" t="str">
        <f>INDEX(Products!C:C,MATCH(OrdersTable[[#This Row],[Product ID]],Products!A:A,0))</f>
        <v>Apparel</v>
      </c>
      <c r="P1583">
        <v>1</v>
      </c>
      <c r="Q1583" s="5">
        <v>799</v>
      </c>
      <c r="R1583" s="74">
        <v>0.05</v>
      </c>
      <c r="S1583" s="75">
        <f>OrdersTable[[#This Row],[Quantity]]*OrdersTable[[#This Row],[Unit Price]]</f>
        <v>799</v>
      </c>
      <c r="T1583" s="5">
        <f>OrdersTable[[#This Row],[Gross Sale]]*OrdersTable[[#This Row],[Discount_Clean2]]</f>
        <v>39.950000000000003</v>
      </c>
      <c r="U1583" s="5">
        <f>OrdersTable[[#This Row],[Gross Sale]]-OrdersTable[[#This Row],[Discount Amount]]</f>
        <v>759.05</v>
      </c>
      <c r="V1583" s="77">
        <f>INDEX(Products!E:E,MATCH(OrdersTable[[#This Row],[Product ID]],Products!A:A,0))</f>
        <v>320</v>
      </c>
      <c r="W1583" s="77">
        <f>OrdersTable[[#This Row],[Quantity]]*OrdersTable[[#This Row],[Unit Cost]]</f>
        <v>320</v>
      </c>
      <c r="X1583" s="77">
        <f>'Dropdown Lists'!$I$2*(1+OrdersTable[[#This Row],[Returned]])</f>
        <v>120</v>
      </c>
      <c r="Y1583" s="76">
        <f>OrdersTable[[#This Row],[Net Revenue]]-OrdersTable[[#This Row],[COGS]]-OrdersTable[[#This Row],[Shipping Cost]]</f>
        <v>319.04999999999995</v>
      </c>
      <c r="Z1583" s="78">
        <f>IFERROR(OrdersTable[[#This Row],[Profit]]/OrdersTable[[#This Row],[Net Revenue]],0)</f>
        <v>0.42032804163098608</v>
      </c>
      <c r="AA1583" t="s">
        <v>4074</v>
      </c>
      <c r="AB1583" s="79">
        <v>45587</v>
      </c>
      <c r="AC1583">
        <f>OrdersTable[[#This Row],[Delivery Date]]-OrdersTable[[#This Row],[Order Date]]</f>
        <v>2</v>
      </c>
      <c r="AD1583" t="str">
        <f>IF(OrdersTable[[#This Row],[Delivery Days]]&lt;=2, "Express (≤2d)", IF(OrdersTable[[#This Row],[Delivery Days]]&lt;=4, "Standard (3-4d)", "Delayed (5d+)"))</f>
        <v>Express (≤2d)</v>
      </c>
      <c r="AE1583">
        <v>5</v>
      </c>
      <c r="AF1583">
        <v>1</v>
      </c>
    </row>
    <row r="1584" spans="1:32" ht="15" x14ac:dyDescent="0.35">
      <c r="A1584" t="s">
        <v>3218</v>
      </c>
      <c r="B1584" s="1">
        <v>45585</v>
      </c>
      <c r="C1584">
        <f>YEAR(OrdersTable[[#This Row],[Order Date]])</f>
        <v>2024</v>
      </c>
      <c r="D1584" s="2">
        <f>DATE(YEAR(OrdersTable[[#This Row],[Order Date]]),MONTH(OrdersTable[[#This Row],[Order Date]]),1)</f>
        <v>45566</v>
      </c>
      <c r="E1584">
        <f>MONTH(OrdersTable[[#This Row],[Order Date]])</f>
        <v>10</v>
      </c>
      <c r="F1584" t="s">
        <v>3219</v>
      </c>
      <c r="G1584" t="str">
        <f>IF(OrdersTable[[#This Row],[Order Date]]=_xlfn.MINIFS(Order_Date, Customer_ID, OrdersTable[[#This Row],[Customer ID]]), "New", "Repeat")</f>
        <v>Repeat</v>
      </c>
      <c r="H1584" t="s">
        <v>59</v>
      </c>
      <c r="I1584" t="str">
        <f>INDEX(State!B:B,MATCH(OrdersTable[[#This Row],[State]],State!A:A,0))</f>
        <v>TN</v>
      </c>
      <c r="J1584" t="str">
        <f>INDEX(State!C:C,MATCH(OrdersTable[[#This Row],[State Code]],State!B:B,0))</f>
        <v>South</v>
      </c>
      <c r="K1584" t="s">
        <v>60</v>
      </c>
      <c r="L1584" t="s">
        <v>16</v>
      </c>
      <c r="M1584" t="s">
        <v>205</v>
      </c>
      <c r="N1584" t="str">
        <f>INDEX(Products!B:B,MATCH(OrdersTable[[#This Row],[Product ID]],Products!A:A,0))</f>
        <v>Running Shoes</v>
      </c>
      <c r="O1584" t="str">
        <f>INDEX(Products!C:C,MATCH(OrdersTable[[#This Row],[Product ID]],Products!A:A,0))</f>
        <v>Footwear</v>
      </c>
      <c r="P1584">
        <v>1</v>
      </c>
      <c r="Q1584" s="5">
        <v>2999</v>
      </c>
      <c r="R1584" s="74">
        <v>0.3</v>
      </c>
      <c r="S1584" s="75">
        <f>OrdersTable[[#This Row],[Quantity]]*OrdersTable[[#This Row],[Unit Price]]</f>
        <v>2999</v>
      </c>
      <c r="T1584" s="5">
        <f>OrdersTable[[#This Row],[Gross Sale]]*OrdersTable[[#This Row],[Discount_Clean2]]</f>
        <v>899.69999999999993</v>
      </c>
      <c r="U1584" s="5">
        <f>OrdersTable[[#This Row],[Gross Sale]]-OrdersTable[[#This Row],[Discount Amount]]</f>
        <v>2099.3000000000002</v>
      </c>
      <c r="V1584" s="77">
        <f>INDEX(Products!E:E,MATCH(OrdersTable[[#This Row],[Product ID]],Products!A:A,0))</f>
        <v>1440</v>
      </c>
      <c r="W1584" s="77">
        <f>OrdersTable[[#This Row],[Quantity]]*OrdersTable[[#This Row],[Unit Cost]]</f>
        <v>1440</v>
      </c>
      <c r="X1584" s="77">
        <f>'Dropdown Lists'!$I$2*(1+OrdersTable[[#This Row],[Returned]])</f>
        <v>60</v>
      </c>
      <c r="Y1584" s="76">
        <f>OrdersTable[[#This Row],[Net Revenue]]-OrdersTable[[#This Row],[COGS]]-OrdersTable[[#This Row],[Shipping Cost]]</f>
        <v>599.30000000000018</v>
      </c>
      <c r="Z1584" s="78">
        <f>IFERROR(OrdersTable[[#This Row],[Profit]]/OrdersTable[[#This Row],[Net Revenue]],0)</f>
        <v>0.28547611108464732</v>
      </c>
      <c r="AA1584" t="s">
        <v>2522</v>
      </c>
      <c r="AB1584" s="79">
        <v>45589</v>
      </c>
      <c r="AC1584">
        <f>OrdersTable[[#This Row],[Delivery Date]]-OrdersTable[[#This Row],[Order Date]]</f>
        <v>4</v>
      </c>
      <c r="AD1584" t="str">
        <f>IF(OrdersTable[[#This Row],[Delivery Days]]&lt;=2, "Express (≤2d)", IF(OrdersTable[[#This Row],[Delivery Days]]&lt;=4, "Standard (3-4d)", "Delayed (5d+)"))</f>
        <v>Standard (3-4d)</v>
      </c>
      <c r="AE1584">
        <v>4</v>
      </c>
      <c r="AF1584">
        <v>0</v>
      </c>
    </row>
    <row r="1585" spans="1:32" ht="15" x14ac:dyDescent="0.35">
      <c r="A1585" t="s">
        <v>5590</v>
      </c>
      <c r="B1585" s="1">
        <v>45586</v>
      </c>
      <c r="C1585">
        <f>YEAR(OrdersTable[[#This Row],[Order Date]])</f>
        <v>2024</v>
      </c>
      <c r="D1585" s="2">
        <f>DATE(YEAR(OrdersTable[[#This Row],[Order Date]]),MONTH(OrdersTable[[#This Row],[Order Date]]),1)</f>
        <v>45566</v>
      </c>
      <c r="E1585">
        <f>MONTH(OrdersTable[[#This Row],[Order Date]])</f>
        <v>10</v>
      </c>
      <c r="F1585" t="s">
        <v>473</v>
      </c>
      <c r="G1585" t="str">
        <f>IF(OrdersTable[[#This Row],[Order Date]]=_xlfn.MINIFS(Order_Date, Customer_ID, OrdersTable[[#This Row],[Customer ID]]), "New", "Repeat")</f>
        <v>Repeat</v>
      </c>
      <c r="H1585" t="s">
        <v>21</v>
      </c>
      <c r="I1585" t="str">
        <f>INDEX(State!B:B,MATCH(OrdersTable[[#This Row],[State]],State!A:A,0))</f>
        <v>PB</v>
      </c>
      <c r="J1585" t="str">
        <f>INDEX(State!C:C,MATCH(OrdersTable[[#This Row],[State Code]],State!B:B,0))</f>
        <v>North</v>
      </c>
      <c r="K1585" t="s">
        <v>260</v>
      </c>
      <c r="L1585" t="s">
        <v>39</v>
      </c>
      <c r="M1585" t="s">
        <v>152</v>
      </c>
      <c r="N1585" t="str">
        <f>INDEX(Products!B:B,MATCH(OrdersTable[[#This Row],[Product ID]],Products!A:A,0))</f>
        <v>Green Tea (100 bags)</v>
      </c>
      <c r="O1585" t="str">
        <f>INDEX(Products!C:C,MATCH(OrdersTable[[#This Row],[Product ID]],Products!A:A,0))</f>
        <v>Wellness</v>
      </c>
      <c r="P1585">
        <v>2</v>
      </c>
      <c r="Q1585" s="5">
        <v>399</v>
      </c>
      <c r="R1585" s="74">
        <v>0.35</v>
      </c>
      <c r="S1585" s="75">
        <f>OrdersTable[[#This Row],[Quantity]]*OrdersTable[[#This Row],[Unit Price]]</f>
        <v>798</v>
      </c>
      <c r="T1585" s="5">
        <f>OrdersTable[[#This Row],[Gross Sale]]*OrdersTable[[#This Row],[Discount_Clean2]]</f>
        <v>279.29999999999995</v>
      </c>
      <c r="U1585" s="5">
        <f>OrdersTable[[#This Row],[Gross Sale]]-OrdersTable[[#This Row],[Discount Amount]]</f>
        <v>518.70000000000005</v>
      </c>
      <c r="V1585" s="77">
        <f>INDEX(Products!E:E,MATCH(OrdersTable[[#This Row],[Product ID]],Products!A:A,0))</f>
        <v>128</v>
      </c>
      <c r="W1585" s="77">
        <f>OrdersTable[[#This Row],[Quantity]]*OrdersTable[[#This Row],[Unit Cost]]</f>
        <v>256</v>
      </c>
      <c r="X1585" s="77">
        <f>'Dropdown Lists'!$I$2*(1+OrdersTable[[#This Row],[Returned]])</f>
        <v>60</v>
      </c>
      <c r="Y1585" s="76">
        <f>OrdersTable[[#This Row],[Net Revenue]]-OrdersTable[[#This Row],[COGS]]-OrdersTable[[#This Row],[Shipping Cost]]</f>
        <v>202.70000000000005</v>
      </c>
      <c r="Z1585" s="78">
        <f>IFERROR(OrdersTable[[#This Row],[Profit]]/OrdersTable[[#This Row],[Net Revenue]],0)</f>
        <v>0.39078465394254874</v>
      </c>
      <c r="AA1585" t="s">
        <v>2522</v>
      </c>
      <c r="AB1585" s="79">
        <v>45590</v>
      </c>
      <c r="AC1585">
        <f>OrdersTable[[#This Row],[Delivery Date]]-OrdersTable[[#This Row],[Order Date]]</f>
        <v>4</v>
      </c>
      <c r="AD1585" t="str">
        <f>IF(OrdersTable[[#This Row],[Delivery Days]]&lt;=2, "Express (≤2d)", IF(OrdersTable[[#This Row],[Delivery Days]]&lt;=4, "Standard (3-4d)", "Delayed (5d+)"))</f>
        <v>Standard (3-4d)</v>
      </c>
      <c r="AE1585">
        <v>4</v>
      </c>
      <c r="AF1585">
        <v>0</v>
      </c>
    </row>
    <row r="1586" spans="1:32" ht="15" x14ac:dyDescent="0.35">
      <c r="A1586" t="s">
        <v>5682</v>
      </c>
      <c r="B1586" s="1">
        <v>45586</v>
      </c>
      <c r="C1586">
        <f>YEAR(OrdersTable[[#This Row],[Order Date]])</f>
        <v>2024</v>
      </c>
      <c r="D1586" s="2">
        <f>DATE(YEAR(OrdersTable[[#This Row],[Order Date]]),MONTH(OrdersTable[[#This Row],[Order Date]]),1)</f>
        <v>45566</v>
      </c>
      <c r="E1586">
        <f>MONTH(OrdersTable[[#This Row],[Order Date]])</f>
        <v>10</v>
      </c>
      <c r="F1586" t="s">
        <v>5683</v>
      </c>
      <c r="G1586" t="str">
        <f>IF(OrdersTable[[#This Row],[Order Date]]=_xlfn.MINIFS(Order_Date, Customer_ID, OrdersTable[[#This Row],[Customer ID]]), "New", "Repeat")</f>
        <v>Repeat</v>
      </c>
      <c r="H1586" t="s">
        <v>76</v>
      </c>
      <c r="I1586" t="str">
        <f>INDEX(State!B:B,MATCH(OrdersTable[[#This Row],[State]],State!A:A,0))</f>
        <v>UP</v>
      </c>
      <c r="J1586" t="str">
        <f>INDEX(State!C:C,MATCH(OrdersTable[[#This Row],[State Code]],State!B:B,0))</f>
        <v>North</v>
      </c>
      <c r="K1586" t="s">
        <v>105</v>
      </c>
      <c r="L1586" t="s">
        <v>50</v>
      </c>
      <c r="M1586" t="s">
        <v>56</v>
      </c>
      <c r="N1586" t="str">
        <f>INDEX(Products!B:B,MATCH(OrdersTable[[#This Row],[Product ID]],Products!A:A,0))</f>
        <v>Vitamin C Face Serum</v>
      </c>
      <c r="O1586" t="str">
        <f>INDEX(Products!C:C,MATCH(OrdersTable[[#This Row],[Product ID]],Products!A:A,0))</f>
        <v>Skincare</v>
      </c>
      <c r="P1586">
        <v>2</v>
      </c>
      <c r="Q1586" s="5">
        <v>599</v>
      </c>
      <c r="R1586" s="74">
        <v>0.2</v>
      </c>
      <c r="S1586" s="75">
        <f>OrdersTable[[#This Row],[Quantity]]*OrdersTable[[#This Row],[Unit Price]]</f>
        <v>1198</v>
      </c>
      <c r="T1586" s="5">
        <f>OrdersTable[[#This Row],[Gross Sale]]*OrdersTable[[#This Row],[Discount_Clean2]]</f>
        <v>239.60000000000002</v>
      </c>
      <c r="U1586" s="5">
        <f>OrdersTable[[#This Row],[Gross Sale]]-OrdersTable[[#This Row],[Discount Amount]]</f>
        <v>958.4</v>
      </c>
      <c r="V1586" s="77">
        <f>INDEX(Products!E:E,MATCH(OrdersTable[[#This Row],[Product ID]],Products!A:A,0))</f>
        <v>180</v>
      </c>
      <c r="W1586" s="77">
        <f>OrdersTable[[#This Row],[Quantity]]*OrdersTable[[#This Row],[Unit Cost]]</f>
        <v>360</v>
      </c>
      <c r="X1586" s="77">
        <f>'Dropdown Lists'!$I$2*(1+OrdersTable[[#This Row],[Returned]])</f>
        <v>60</v>
      </c>
      <c r="Y1586" s="76">
        <f>OrdersTable[[#This Row],[Net Revenue]]-OrdersTable[[#This Row],[COGS]]-OrdersTable[[#This Row],[Shipping Cost]]</f>
        <v>538.4</v>
      </c>
      <c r="Z1586" s="78">
        <f>IFERROR(OrdersTable[[#This Row],[Profit]]/OrdersTable[[#This Row],[Net Revenue]],0)</f>
        <v>0.56176961602671116</v>
      </c>
      <c r="AA1586" t="s">
        <v>18</v>
      </c>
      <c r="AB1586" s="79">
        <v>45590</v>
      </c>
      <c r="AC1586">
        <f>OrdersTable[[#This Row],[Delivery Date]]-OrdersTable[[#This Row],[Order Date]]</f>
        <v>4</v>
      </c>
      <c r="AD1586" t="str">
        <f>IF(OrdersTable[[#This Row],[Delivery Days]]&lt;=2, "Express (≤2d)", IF(OrdersTable[[#This Row],[Delivery Days]]&lt;=4, "Standard (3-4d)", "Delayed (5d+)"))</f>
        <v>Standard (3-4d)</v>
      </c>
      <c r="AE1586">
        <v>3</v>
      </c>
      <c r="AF1586">
        <v>0</v>
      </c>
    </row>
    <row r="1587" spans="1:32" ht="15" x14ac:dyDescent="0.35">
      <c r="A1587" t="s">
        <v>4367</v>
      </c>
      <c r="B1587" s="1">
        <v>45586</v>
      </c>
      <c r="C1587">
        <f>YEAR(OrdersTable[[#This Row],[Order Date]])</f>
        <v>2024</v>
      </c>
      <c r="D1587" s="2">
        <f>DATE(YEAR(OrdersTable[[#This Row],[Order Date]]),MONTH(OrdersTable[[#This Row],[Order Date]]),1)</f>
        <v>45566</v>
      </c>
      <c r="E1587">
        <f>MONTH(OrdersTable[[#This Row],[Order Date]])</f>
        <v>10</v>
      </c>
      <c r="F1587" t="s">
        <v>3929</v>
      </c>
      <c r="G1587" t="str">
        <f>IF(OrdersTable[[#This Row],[Order Date]]=_xlfn.MINIFS(Order_Date, Customer_ID, OrdersTable[[#This Row],[Customer ID]]), "New", "Repeat")</f>
        <v>New</v>
      </c>
      <c r="H1587" t="s">
        <v>76</v>
      </c>
      <c r="I1587" t="str">
        <f>INDEX(State!B:B,MATCH(OrdersTable[[#This Row],[State]],State!A:A,0))</f>
        <v>UP</v>
      </c>
      <c r="J1587" t="str">
        <f>INDEX(State!C:C,MATCH(OrdersTable[[#This Row],[State Code]],State!B:B,0))</f>
        <v>North</v>
      </c>
      <c r="K1587" t="s">
        <v>105</v>
      </c>
      <c r="L1587" t="s">
        <v>23</v>
      </c>
      <c r="M1587" t="s">
        <v>40</v>
      </c>
      <c r="N1587" t="str">
        <f>INDEX(Products!B:B,MATCH(OrdersTable[[#This Row],[Product ID]],Products!A:A,0))</f>
        <v>Ashwagandha Capsules</v>
      </c>
      <c r="O1587" t="str">
        <f>INDEX(Products!C:C,MATCH(OrdersTable[[#This Row],[Product ID]],Products!A:A,0))</f>
        <v>Wellness</v>
      </c>
      <c r="P1587">
        <v>1</v>
      </c>
      <c r="Q1587" s="5">
        <v>499</v>
      </c>
      <c r="R1587" s="74">
        <v>0.15</v>
      </c>
      <c r="S1587" s="75">
        <f>OrdersTable[[#This Row],[Quantity]]*OrdersTable[[#This Row],[Unit Price]]</f>
        <v>499</v>
      </c>
      <c r="T1587" s="5">
        <f>OrdersTable[[#This Row],[Gross Sale]]*OrdersTable[[#This Row],[Discount_Clean2]]</f>
        <v>74.849999999999994</v>
      </c>
      <c r="U1587" s="5">
        <f>OrdersTable[[#This Row],[Gross Sale]]-OrdersTable[[#This Row],[Discount Amount]]</f>
        <v>424.15</v>
      </c>
      <c r="V1587" s="77">
        <f>INDEX(Products!E:E,MATCH(OrdersTable[[#This Row],[Product ID]],Products!A:A,0))</f>
        <v>150</v>
      </c>
      <c r="W1587" s="77">
        <f>OrdersTable[[#This Row],[Quantity]]*OrdersTable[[#This Row],[Unit Cost]]</f>
        <v>150</v>
      </c>
      <c r="X1587" s="77">
        <f>'Dropdown Lists'!$I$2*(1+OrdersTable[[#This Row],[Returned]])</f>
        <v>60</v>
      </c>
      <c r="Y1587" s="76">
        <f>OrdersTable[[#This Row],[Net Revenue]]-OrdersTable[[#This Row],[COGS]]-OrdersTable[[#This Row],[Shipping Cost]]</f>
        <v>214.14999999999998</v>
      </c>
      <c r="Z1587" s="78">
        <f>IFERROR(OrdersTable[[#This Row],[Profit]]/OrdersTable[[#This Row],[Net Revenue]],0)</f>
        <v>0.50489213721560766</v>
      </c>
      <c r="AA1587" t="s">
        <v>4074</v>
      </c>
      <c r="AB1587" s="79">
        <v>45590</v>
      </c>
      <c r="AC1587">
        <f>OrdersTable[[#This Row],[Delivery Date]]-OrdersTable[[#This Row],[Order Date]]</f>
        <v>4</v>
      </c>
      <c r="AD1587" t="str">
        <f>IF(OrdersTable[[#This Row],[Delivery Days]]&lt;=2, "Express (≤2d)", IF(OrdersTable[[#This Row],[Delivery Days]]&lt;=4, "Standard (3-4d)", "Delayed (5d+)"))</f>
        <v>Standard (3-4d)</v>
      </c>
      <c r="AE1587">
        <v>4</v>
      </c>
      <c r="AF1587">
        <v>0</v>
      </c>
    </row>
    <row r="1588" spans="1:32" ht="15" x14ac:dyDescent="0.35">
      <c r="A1588" t="s">
        <v>5492</v>
      </c>
      <c r="B1588" s="1">
        <v>45586</v>
      </c>
      <c r="C1588">
        <f>YEAR(OrdersTable[[#This Row],[Order Date]])</f>
        <v>2024</v>
      </c>
      <c r="D1588" s="2">
        <f>DATE(YEAR(OrdersTable[[#This Row],[Order Date]]),MONTH(OrdersTable[[#This Row],[Order Date]]),1)</f>
        <v>45566</v>
      </c>
      <c r="E1588">
        <f>MONTH(OrdersTable[[#This Row],[Order Date]])</f>
        <v>10</v>
      </c>
      <c r="F1588" t="s">
        <v>5452</v>
      </c>
      <c r="G1588" t="str">
        <f>IF(OrdersTable[[#This Row],[Order Date]]=_xlfn.MINIFS(Order_Date, Customer_ID, OrdersTable[[#This Row],[Customer ID]]), "New", "Repeat")</f>
        <v>New</v>
      </c>
      <c r="H1588" t="s">
        <v>76</v>
      </c>
      <c r="I1588" t="str">
        <f>INDEX(State!B:B,MATCH(OrdersTable[[#This Row],[State]],State!A:A,0))</f>
        <v>UP</v>
      </c>
      <c r="J1588" t="str">
        <f>INDEX(State!C:C,MATCH(OrdersTable[[#This Row],[State Code]],State!B:B,0))</f>
        <v>North</v>
      </c>
      <c r="K1588" t="s">
        <v>77</v>
      </c>
      <c r="L1588" t="s">
        <v>50</v>
      </c>
      <c r="M1588" t="s">
        <v>73</v>
      </c>
      <c r="N1588" t="str">
        <f>INDEX(Products!B:B,MATCH(OrdersTable[[#This Row],[Product ID]],Products!A:A,0))</f>
        <v>Hydrating Face Wash</v>
      </c>
      <c r="O1588" t="str">
        <f>INDEX(Products!C:C,MATCH(OrdersTable[[#This Row],[Product ID]],Products!A:A,0))</f>
        <v>Skincare</v>
      </c>
      <c r="P1588">
        <v>2</v>
      </c>
      <c r="Q1588" s="5">
        <v>299</v>
      </c>
      <c r="R1588" s="74">
        <v>0.1</v>
      </c>
      <c r="S1588" s="75">
        <f>OrdersTable[[#This Row],[Quantity]]*OrdersTable[[#This Row],[Unit Price]]</f>
        <v>598</v>
      </c>
      <c r="T1588" s="5">
        <f>OrdersTable[[#This Row],[Gross Sale]]*OrdersTable[[#This Row],[Discount_Clean2]]</f>
        <v>59.800000000000004</v>
      </c>
      <c r="U1588" s="5">
        <f>OrdersTable[[#This Row],[Gross Sale]]-OrdersTable[[#This Row],[Discount Amount]]</f>
        <v>538.20000000000005</v>
      </c>
      <c r="V1588" s="77">
        <f>INDEX(Products!E:E,MATCH(OrdersTable[[#This Row],[Product ID]],Products!A:A,0))</f>
        <v>90</v>
      </c>
      <c r="W1588" s="77">
        <f>OrdersTable[[#This Row],[Quantity]]*OrdersTable[[#This Row],[Unit Cost]]</f>
        <v>180</v>
      </c>
      <c r="X1588" s="77">
        <f>'Dropdown Lists'!$I$2*(1+OrdersTable[[#This Row],[Returned]])</f>
        <v>60</v>
      </c>
      <c r="Y1588" s="76">
        <f>OrdersTable[[#This Row],[Net Revenue]]-OrdersTable[[#This Row],[COGS]]-OrdersTable[[#This Row],[Shipping Cost]]</f>
        <v>298.20000000000005</v>
      </c>
      <c r="Z1588" s="78">
        <f>IFERROR(OrdersTable[[#This Row],[Profit]]/OrdersTable[[#This Row],[Net Revenue]],0)</f>
        <v>0.55406911928651059</v>
      </c>
      <c r="AA1588" t="s">
        <v>2522</v>
      </c>
      <c r="AB1588" s="79">
        <v>45589</v>
      </c>
      <c r="AC1588">
        <f>OrdersTable[[#This Row],[Delivery Date]]-OrdersTable[[#This Row],[Order Date]]</f>
        <v>3</v>
      </c>
      <c r="AD1588" t="str">
        <f>IF(OrdersTable[[#This Row],[Delivery Days]]&lt;=2, "Express (≤2d)", IF(OrdersTable[[#This Row],[Delivery Days]]&lt;=4, "Standard (3-4d)", "Delayed (5d+)"))</f>
        <v>Standard (3-4d)</v>
      </c>
      <c r="AE1588">
        <v>4</v>
      </c>
      <c r="AF1588">
        <v>0</v>
      </c>
    </row>
    <row r="1589" spans="1:32" ht="15" x14ac:dyDescent="0.35">
      <c r="A1589" t="s">
        <v>2968</v>
      </c>
      <c r="B1589" s="1">
        <v>45586</v>
      </c>
      <c r="C1589">
        <f>YEAR(OrdersTable[[#This Row],[Order Date]])</f>
        <v>2024</v>
      </c>
      <c r="D1589" s="2">
        <f>DATE(YEAR(OrdersTable[[#This Row],[Order Date]]),MONTH(OrdersTable[[#This Row],[Order Date]]),1)</f>
        <v>45566</v>
      </c>
      <c r="E1589">
        <f>MONTH(OrdersTable[[#This Row],[Order Date]])</f>
        <v>10</v>
      </c>
      <c r="F1589" t="s">
        <v>2969</v>
      </c>
      <c r="G1589" t="str">
        <f>IF(OrdersTable[[#This Row],[Order Date]]=_xlfn.MINIFS(Order_Date, Customer_ID, OrdersTable[[#This Row],[Customer ID]]), "New", "Repeat")</f>
        <v>Repeat</v>
      </c>
      <c r="H1589" t="s">
        <v>76</v>
      </c>
      <c r="I1589" t="str">
        <f>INDEX(State!B:B,MATCH(OrdersTable[[#This Row],[State]],State!A:A,0))</f>
        <v>UP</v>
      </c>
      <c r="J1589" t="str">
        <f>INDEX(State!C:C,MATCH(OrdersTable[[#This Row],[State Code]],State!B:B,0))</f>
        <v>North</v>
      </c>
      <c r="K1589" t="s">
        <v>118</v>
      </c>
      <c r="L1589" t="s">
        <v>39</v>
      </c>
      <c r="M1589" t="s">
        <v>106</v>
      </c>
      <c r="N1589" t="str">
        <f>INDEX(Products!B:B,MATCH(OrdersTable[[#This Row],[Product ID]],Products!A:A,0))</f>
        <v>Keratin Hair Mask</v>
      </c>
      <c r="O1589" t="str">
        <f>INDEX(Products!C:C,MATCH(OrdersTable[[#This Row],[Product ID]],Products!A:A,0))</f>
        <v>Haircare</v>
      </c>
      <c r="P1589">
        <v>1</v>
      </c>
      <c r="Q1589" s="5">
        <v>549</v>
      </c>
      <c r="R1589" s="74">
        <v>0.2</v>
      </c>
      <c r="S1589" s="75">
        <f>OrdersTable[[#This Row],[Quantity]]*OrdersTable[[#This Row],[Unit Price]]</f>
        <v>549</v>
      </c>
      <c r="T1589" s="5">
        <f>OrdersTable[[#This Row],[Gross Sale]]*OrdersTable[[#This Row],[Discount_Clean2]]</f>
        <v>109.80000000000001</v>
      </c>
      <c r="U1589" s="5">
        <f>OrdersTable[[#This Row],[Gross Sale]]-OrdersTable[[#This Row],[Discount Amount]]</f>
        <v>439.2</v>
      </c>
      <c r="V1589" s="77">
        <f>INDEX(Products!E:E,MATCH(OrdersTable[[#This Row],[Product ID]],Products!A:A,0))</f>
        <v>170</v>
      </c>
      <c r="W1589" s="77">
        <f>OrdersTable[[#This Row],[Quantity]]*OrdersTable[[#This Row],[Unit Cost]]</f>
        <v>170</v>
      </c>
      <c r="X1589" s="77">
        <f>'Dropdown Lists'!$I$2*(1+OrdersTable[[#This Row],[Returned]])</f>
        <v>60</v>
      </c>
      <c r="Y1589" s="76">
        <f>OrdersTable[[#This Row],[Net Revenue]]-OrdersTable[[#This Row],[COGS]]-OrdersTable[[#This Row],[Shipping Cost]]</f>
        <v>209.2</v>
      </c>
      <c r="Z1589" s="78">
        <f>IFERROR(OrdersTable[[#This Row],[Profit]]/OrdersTable[[#This Row],[Net Revenue]],0)</f>
        <v>0.47632058287795992</v>
      </c>
      <c r="AA1589" t="s">
        <v>2522</v>
      </c>
      <c r="AB1589" s="79">
        <v>45589</v>
      </c>
      <c r="AC1589">
        <f>OrdersTable[[#This Row],[Delivery Date]]-OrdersTable[[#This Row],[Order Date]]</f>
        <v>3</v>
      </c>
      <c r="AD1589" t="str">
        <f>IF(OrdersTable[[#This Row],[Delivery Days]]&lt;=2, "Express (≤2d)", IF(OrdersTable[[#This Row],[Delivery Days]]&lt;=4, "Standard (3-4d)", "Delayed (5d+)"))</f>
        <v>Standard (3-4d)</v>
      </c>
      <c r="AF1589">
        <v>0</v>
      </c>
    </row>
    <row r="1590" spans="1:32" ht="15" x14ac:dyDescent="0.35">
      <c r="A1590" t="s">
        <v>6692</v>
      </c>
      <c r="B1590" s="1">
        <v>45586</v>
      </c>
      <c r="C1590">
        <f>YEAR(OrdersTable[[#This Row],[Order Date]])</f>
        <v>2024</v>
      </c>
      <c r="D1590" s="2">
        <f>DATE(YEAR(OrdersTable[[#This Row],[Order Date]]),MONTH(OrdersTable[[#This Row],[Order Date]]),1)</f>
        <v>45566</v>
      </c>
      <c r="E1590">
        <f>MONTH(OrdersTable[[#This Row],[Order Date]])</f>
        <v>10</v>
      </c>
      <c r="F1590" t="s">
        <v>3502</v>
      </c>
      <c r="G1590" t="str">
        <f>IF(OrdersTable[[#This Row],[Order Date]]=_xlfn.MINIFS(Order_Date, Customer_ID, OrdersTable[[#This Row],[Customer ID]]), "New", "Repeat")</f>
        <v>Repeat</v>
      </c>
      <c r="H1590" t="s">
        <v>71</v>
      </c>
      <c r="I1590" t="str">
        <f>INDEX(State!B:B,MATCH(OrdersTable[[#This Row],[State]],State!A:A,0))</f>
        <v>MH</v>
      </c>
      <c r="J1590" t="str">
        <f>INDEX(State!C:C,MATCH(OrdersTable[[#This Row],[State Code]],State!B:B,0))</f>
        <v>West</v>
      </c>
      <c r="K1590" t="s">
        <v>72</v>
      </c>
      <c r="L1590" t="s">
        <v>16</v>
      </c>
      <c r="M1590" t="s">
        <v>87</v>
      </c>
      <c r="N1590" t="str">
        <f>INDEX(Products!B:B,MATCH(OrdersTable[[#This Row],[Product ID]],Products!A:A,0))</f>
        <v>Linen Kurta</v>
      </c>
      <c r="O1590" t="str">
        <f>INDEX(Products!C:C,MATCH(OrdersTable[[#This Row],[Product ID]],Products!A:A,0))</f>
        <v>Apparel</v>
      </c>
      <c r="P1590">
        <v>3</v>
      </c>
      <c r="Q1590" s="5">
        <v>1499</v>
      </c>
      <c r="R1590" s="74">
        <v>0.35</v>
      </c>
      <c r="S1590" s="75">
        <f>OrdersTable[[#This Row],[Quantity]]*OrdersTable[[#This Row],[Unit Price]]</f>
        <v>4497</v>
      </c>
      <c r="T1590" s="5">
        <f>OrdersTable[[#This Row],[Gross Sale]]*OrdersTable[[#This Row],[Discount_Clean2]]</f>
        <v>1573.9499999999998</v>
      </c>
      <c r="U1590" s="5">
        <f>OrdersTable[[#This Row],[Gross Sale]]-OrdersTable[[#This Row],[Discount Amount]]</f>
        <v>2923.05</v>
      </c>
      <c r="V1590" s="77">
        <f>INDEX(Products!E:E,MATCH(OrdersTable[[#This Row],[Product ID]],Products!A:A,0))</f>
        <v>630</v>
      </c>
      <c r="W1590" s="77">
        <f>OrdersTable[[#This Row],[Quantity]]*OrdersTable[[#This Row],[Unit Cost]]</f>
        <v>1890</v>
      </c>
      <c r="X1590" s="77">
        <f>'Dropdown Lists'!$I$2*(1+OrdersTable[[#This Row],[Returned]])</f>
        <v>60</v>
      </c>
      <c r="Y1590" s="76">
        <f>OrdersTable[[#This Row],[Net Revenue]]-OrdersTable[[#This Row],[COGS]]-OrdersTable[[#This Row],[Shipping Cost]]</f>
        <v>973.05000000000018</v>
      </c>
      <c r="Z1590" s="78">
        <f>IFERROR(OrdersTable[[#This Row],[Profit]]/OrdersTable[[#This Row],[Net Revenue]],0)</f>
        <v>0.33288859239493002</v>
      </c>
      <c r="AA1590" t="s">
        <v>2522</v>
      </c>
      <c r="AB1590" s="79">
        <v>45590</v>
      </c>
      <c r="AC1590">
        <f>OrdersTable[[#This Row],[Delivery Date]]-OrdersTable[[#This Row],[Order Date]]</f>
        <v>4</v>
      </c>
      <c r="AD1590" t="str">
        <f>IF(OrdersTable[[#This Row],[Delivery Days]]&lt;=2, "Express (≤2d)", IF(OrdersTable[[#This Row],[Delivery Days]]&lt;=4, "Standard (3-4d)", "Delayed (5d+)"))</f>
        <v>Standard (3-4d)</v>
      </c>
      <c r="AE1590">
        <v>3</v>
      </c>
      <c r="AF1590">
        <v>0</v>
      </c>
    </row>
    <row r="1591" spans="1:32" ht="15" x14ac:dyDescent="0.35">
      <c r="A1591" t="s">
        <v>2107</v>
      </c>
      <c r="B1591" s="1">
        <v>45586</v>
      </c>
      <c r="C1591">
        <f>YEAR(OrdersTable[[#This Row],[Order Date]])</f>
        <v>2024</v>
      </c>
      <c r="D1591" s="2">
        <f>DATE(YEAR(OrdersTable[[#This Row],[Order Date]]),MONTH(OrdersTable[[#This Row],[Order Date]]),1)</f>
        <v>45566</v>
      </c>
      <c r="E1591">
        <f>MONTH(OrdersTable[[#This Row],[Order Date]])</f>
        <v>10</v>
      </c>
      <c r="F1591" t="s">
        <v>804</v>
      </c>
      <c r="G1591" t="str">
        <f>IF(OrdersTable[[#This Row],[Order Date]]=_xlfn.MINIFS(Order_Date, Customer_ID, OrdersTable[[#This Row],[Customer ID]]), "New", "Repeat")</f>
        <v>Repeat</v>
      </c>
      <c r="H1591" t="s">
        <v>95</v>
      </c>
      <c r="I1591" t="str">
        <f>INDEX(State!B:B,MATCH(OrdersTable[[#This Row],[State]],State!A:A,0))</f>
        <v>TG</v>
      </c>
      <c r="J1591" t="str">
        <f>INDEX(State!C:C,MATCH(OrdersTable[[#This Row],[State Code]],State!B:B,0))</f>
        <v>South</v>
      </c>
      <c r="K1591" t="s">
        <v>96</v>
      </c>
      <c r="L1591" t="s">
        <v>23</v>
      </c>
      <c r="M1591" t="s">
        <v>66</v>
      </c>
      <c r="N1591" t="str">
        <f>INDEX(Products!B:B,MATCH(OrdersTable[[#This Row],[Product ID]],Products!A:A,0))</f>
        <v>Sunscreen SPF 50</v>
      </c>
      <c r="O1591" t="str">
        <f>INDEX(Products!C:C,MATCH(OrdersTable[[#This Row],[Product ID]],Products!A:A,0))</f>
        <v>Skincare</v>
      </c>
      <c r="P1591">
        <v>1</v>
      </c>
      <c r="Q1591" s="5">
        <v>449</v>
      </c>
      <c r="R1591" s="74">
        <v>0.15</v>
      </c>
      <c r="S1591" s="75">
        <f>OrdersTable[[#This Row],[Quantity]]*OrdersTable[[#This Row],[Unit Price]]</f>
        <v>449</v>
      </c>
      <c r="T1591" s="5">
        <f>OrdersTable[[#This Row],[Gross Sale]]*OrdersTable[[#This Row],[Discount_Clean2]]</f>
        <v>67.349999999999994</v>
      </c>
      <c r="U1591" s="5">
        <f>OrdersTable[[#This Row],[Gross Sale]]-OrdersTable[[#This Row],[Discount Amount]]</f>
        <v>381.65</v>
      </c>
      <c r="V1591" s="77">
        <f>INDEX(Products!E:E,MATCH(OrdersTable[[#This Row],[Product ID]],Products!A:A,0))</f>
        <v>144</v>
      </c>
      <c r="W1591" s="77">
        <f>OrdersTable[[#This Row],[Quantity]]*OrdersTable[[#This Row],[Unit Cost]]</f>
        <v>144</v>
      </c>
      <c r="X1591" s="77">
        <f>'Dropdown Lists'!$I$2*(1+OrdersTable[[#This Row],[Returned]])</f>
        <v>60</v>
      </c>
      <c r="Y1591" s="76">
        <f>OrdersTable[[#This Row],[Net Revenue]]-OrdersTable[[#This Row],[COGS]]-OrdersTable[[#This Row],[Shipping Cost]]</f>
        <v>177.64999999999998</v>
      </c>
      <c r="Z1591" s="78">
        <f>IFERROR(OrdersTable[[#This Row],[Profit]]/OrdersTable[[#This Row],[Net Revenue]],0)</f>
        <v>0.465478841870824</v>
      </c>
      <c r="AA1591" t="s">
        <v>18</v>
      </c>
      <c r="AB1591" s="79">
        <v>45590</v>
      </c>
      <c r="AC1591">
        <f>OrdersTable[[#This Row],[Delivery Date]]-OrdersTable[[#This Row],[Order Date]]</f>
        <v>4</v>
      </c>
      <c r="AD1591" t="str">
        <f>IF(OrdersTable[[#This Row],[Delivery Days]]&lt;=2, "Express (≤2d)", IF(OrdersTable[[#This Row],[Delivery Days]]&lt;=4, "Standard (3-4d)", "Delayed (5d+)"))</f>
        <v>Standard (3-4d)</v>
      </c>
      <c r="AE1591">
        <v>3</v>
      </c>
      <c r="AF1591">
        <v>0</v>
      </c>
    </row>
    <row r="1592" spans="1:32" ht="15" x14ac:dyDescent="0.35">
      <c r="A1592" t="s">
        <v>6869</v>
      </c>
      <c r="B1592" s="1">
        <v>45587</v>
      </c>
      <c r="C1592">
        <f>YEAR(OrdersTable[[#This Row],[Order Date]])</f>
        <v>2024</v>
      </c>
      <c r="D1592" s="2">
        <f>DATE(YEAR(OrdersTable[[#This Row],[Order Date]]),MONTH(OrdersTable[[#This Row],[Order Date]]),1)</f>
        <v>45566</v>
      </c>
      <c r="E1592">
        <f>MONTH(OrdersTable[[#This Row],[Order Date]])</f>
        <v>10</v>
      </c>
      <c r="F1592" t="s">
        <v>6870</v>
      </c>
      <c r="G1592" t="str">
        <f>IF(OrdersTable[[#This Row],[Order Date]]=_xlfn.MINIFS(Order_Date, Customer_ID, OrdersTable[[#This Row],[Customer ID]]), "New", "Repeat")</f>
        <v>New</v>
      </c>
      <c r="H1592" t="s">
        <v>54</v>
      </c>
      <c r="I1592" t="str">
        <f>INDEX(State!B:B,MATCH(OrdersTable[[#This Row],[State]],State!A:A,0))</f>
        <v>RJ</v>
      </c>
      <c r="J1592" t="str">
        <f>INDEX(State!C:C,MATCH(OrdersTable[[#This Row],[State Code]],State!B:B,0))</f>
        <v>North</v>
      </c>
      <c r="K1592" t="s">
        <v>227</v>
      </c>
      <c r="L1592" t="s">
        <v>16</v>
      </c>
      <c r="M1592" t="s">
        <v>34</v>
      </c>
      <c r="N1592" t="str">
        <f>INDEX(Products!B:B,MATCH(OrdersTable[[#This Row],[Product ID]],Products!A:A,0))</f>
        <v>Flip Flops</v>
      </c>
      <c r="O1592" t="str">
        <f>INDEX(Products!C:C,MATCH(OrdersTable[[#This Row],[Product ID]],Products!A:A,0))</f>
        <v>Footwear</v>
      </c>
      <c r="P1592">
        <v>3</v>
      </c>
      <c r="Q1592" s="5">
        <v>399</v>
      </c>
      <c r="R1592" s="74">
        <v>0.3</v>
      </c>
      <c r="S1592" s="75">
        <f>OrdersTable[[#This Row],[Quantity]]*OrdersTable[[#This Row],[Unit Price]]</f>
        <v>1197</v>
      </c>
      <c r="T1592" s="5">
        <f>OrdersTable[[#This Row],[Gross Sale]]*OrdersTable[[#This Row],[Discount_Clean2]]</f>
        <v>359.09999999999997</v>
      </c>
      <c r="U1592" s="5">
        <f>OrdersTable[[#This Row],[Gross Sale]]-OrdersTable[[#This Row],[Discount Amount]]</f>
        <v>837.90000000000009</v>
      </c>
      <c r="V1592" s="77">
        <f>INDEX(Products!E:E,MATCH(OrdersTable[[#This Row],[Product ID]],Products!A:A,0))</f>
        <v>152</v>
      </c>
      <c r="W1592" s="77">
        <f>OrdersTable[[#This Row],[Quantity]]*OrdersTable[[#This Row],[Unit Cost]]</f>
        <v>456</v>
      </c>
      <c r="X1592" s="77">
        <f>'Dropdown Lists'!$I$2*(1+OrdersTable[[#This Row],[Returned]])</f>
        <v>120</v>
      </c>
      <c r="Y1592" s="76">
        <f>OrdersTable[[#This Row],[Net Revenue]]-OrdersTable[[#This Row],[COGS]]-OrdersTable[[#This Row],[Shipping Cost]]</f>
        <v>261.90000000000009</v>
      </c>
      <c r="Z1592" s="78">
        <f>IFERROR(OrdersTable[[#This Row],[Profit]]/OrdersTable[[#This Row],[Net Revenue]],0)</f>
        <v>0.3125671321160044</v>
      </c>
      <c r="AA1592" t="s">
        <v>4450</v>
      </c>
      <c r="AB1592" s="79">
        <v>45590</v>
      </c>
      <c r="AC1592">
        <f>OrdersTable[[#This Row],[Delivery Date]]-OrdersTable[[#This Row],[Order Date]]</f>
        <v>3</v>
      </c>
      <c r="AD1592" t="str">
        <f>IF(OrdersTable[[#This Row],[Delivery Days]]&lt;=2, "Express (≤2d)", IF(OrdersTable[[#This Row],[Delivery Days]]&lt;=4, "Standard (3-4d)", "Delayed (5d+)"))</f>
        <v>Standard (3-4d)</v>
      </c>
      <c r="AF1592">
        <v>1</v>
      </c>
    </row>
    <row r="1593" spans="1:32" ht="15" x14ac:dyDescent="0.35">
      <c r="A1593" t="s">
        <v>5783</v>
      </c>
      <c r="B1593" s="1">
        <v>45587</v>
      </c>
      <c r="C1593">
        <f>YEAR(OrdersTable[[#This Row],[Order Date]])</f>
        <v>2024</v>
      </c>
      <c r="D1593" s="2">
        <f>DATE(YEAR(OrdersTable[[#This Row],[Order Date]]),MONTH(OrdersTable[[#This Row],[Order Date]]),1)</f>
        <v>45566</v>
      </c>
      <c r="E1593">
        <f>MONTH(OrdersTable[[#This Row],[Order Date]])</f>
        <v>10</v>
      </c>
      <c r="F1593" t="s">
        <v>5784</v>
      </c>
      <c r="G1593" t="str">
        <f>IF(OrdersTable[[#This Row],[Order Date]]=_xlfn.MINIFS(Order_Date, Customer_ID, OrdersTable[[#This Row],[Customer ID]]), "New", "Repeat")</f>
        <v>New</v>
      </c>
      <c r="H1593" t="s">
        <v>76</v>
      </c>
      <c r="I1593" t="str">
        <f>INDEX(State!B:B,MATCH(OrdersTable[[#This Row],[State]],State!A:A,0))</f>
        <v>UP</v>
      </c>
      <c r="J1593" t="str">
        <f>INDEX(State!C:C,MATCH(OrdersTable[[#This Row],[State Code]],State!B:B,0))</f>
        <v>North</v>
      </c>
      <c r="K1593" t="s">
        <v>105</v>
      </c>
      <c r="L1593" t="s">
        <v>65</v>
      </c>
      <c r="M1593" t="s">
        <v>148</v>
      </c>
      <c r="N1593" t="str">
        <f>INDEX(Products!B:B,MATCH(OrdersTable[[#This Row],[Product ID]],Products!A:A,0))</f>
        <v>Smartwatch Strap</v>
      </c>
      <c r="O1593" t="str">
        <f>INDEX(Products!C:C,MATCH(OrdersTable[[#This Row],[Product ID]],Products!A:A,0))</f>
        <v>Electronics</v>
      </c>
      <c r="P1593">
        <v>2</v>
      </c>
      <c r="Q1593" s="5">
        <v>499</v>
      </c>
      <c r="R1593" s="74">
        <v>0.15</v>
      </c>
      <c r="S1593" s="75">
        <f>OrdersTable[[#This Row],[Quantity]]*OrdersTable[[#This Row],[Unit Price]]</f>
        <v>998</v>
      </c>
      <c r="T1593" s="5">
        <f>OrdersTable[[#This Row],[Gross Sale]]*OrdersTable[[#This Row],[Discount_Clean2]]</f>
        <v>149.69999999999999</v>
      </c>
      <c r="U1593" s="5">
        <f>OrdersTable[[#This Row],[Gross Sale]]-OrdersTable[[#This Row],[Discount Amount]]</f>
        <v>848.3</v>
      </c>
      <c r="V1593" s="77">
        <f>INDEX(Products!E:E,MATCH(OrdersTable[[#This Row],[Product ID]],Products!A:A,0))</f>
        <v>200</v>
      </c>
      <c r="W1593" s="77">
        <f>OrdersTable[[#This Row],[Quantity]]*OrdersTable[[#This Row],[Unit Cost]]</f>
        <v>400</v>
      </c>
      <c r="X1593" s="77">
        <f>'Dropdown Lists'!$I$2*(1+OrdersTable[[#This Row],[Returned]])</f>
        <v>60</v>
      </c>
      <c r="Y1593" s="76">
        <f>OrdersTable[[#This Row],[Net Revenue]]-OrdersTable[[#This Row],[COGS]]-OrdersTable[[#This Row],[Shipping Cost]]</f>
        <v>388.29999999999995</v>
      </c>
      <c r="Z1593" s="78">
        <f>IFERROR(OrdersTable[[#This Row],[Profit]]/OrdersTable[[#This Row],[Net Revenue]],0)</f>
        <v>0.45773900742661794</v>
      </c>
      <c r="AA1593" t="s">
        <v>18</v>
      </c>
      <c r="AB1593" s="79">
        <v>45591</v>
      </c>
      <c r="AC1593">
        <f>OrdersTable[[#This Row],[Delivery Date]]-OrdersTable[[#This Row],[Order Date]]</f>
        <v>4</v>
      </c>
      <c r="AD1593" t="str">
        <f>IF(OrdersTable[[#This Row],[Delivery Days]]&lt;=2, "Express (≤2d)", IF(OrdersTable[[#This Row],[Delivery Days]]&lt;=4, "Standard (3-4d)", "Delayed (5d+)"))</f>
        <v>Standard (3-4d)</v>
      </c>
      <c r="AE1593">
        <v>5</v>
      </c>
      <c r="AF1593">
        <v>0</v>
      </c>
    </row>
    <row r="1594" spans="1:32" ht="15" x14ac:dyDescent="0.35">
      <c r="A1594" t="s">
        <v>5896</v>
      </c>
      <c r="B1594" s="1">
        <v>45587</v>
      </c>
      <c r="C1594">
        <f>YEAR(OrdersTable[[#This Row],[Order Date]])</f>
        <v>2024</v>
      </c>
      <c r="D1594" s="2">
        <f>DATE(YEAR(OrdersTable[[#This Row],[Order Date]]),MONTH(OrdersTable[[#This Row],[Order Date]]),1)</f>
        <v>45566</v>
      </c>
      <c r="E1594">
        <f>MONTH(OrdersTable[[#This Row],[Order Date]])</f>
        <v>10</v>
      </c>
      <c r="F1594" t="s">
        <v>1150</v>
      </c>
      <c r="G1594" t="str">
        <f>IF(OrdersTable[[#This Row],[Order Date]]=_xlfn.MINIFS(Order_Date, Customer_ID, OrdersTable[[#This Row],[Customer ID]]), "New", "Repeat")</f>
        <v>Repeat</v>
      </c>
      <c r="H1594" t="s">
        <v>43</v>
      </c>
      <c r="I1594" t="str">
        <f>INDEX(State!B:B,MATCH(OrdersTable[[#This Row],[State]],State!A:A,0))</f>
        <v>MP</v>
      </c>
      <c r="J1594" t="str">
        <f>INDEX(State!C:C,MATCH(OrdersTable[[#This Row],[State Code]],State!B:B,0))</f>
        <v>West</v>
      </c>
      <c r="K1594" t="s">
        <v>44</v>
      </c>
      <c r="L1594" t="s">
        <v>65</v>
      </c>
      <c r="M1594" t="s">
        <v>73</v>
      </c>
      <c r="N1594" t="str">
        <f>INDEX(Products!B:B,MATCH(OrdersTable[[#This Row],[Product ID]],Products!A:A,0))</f>
        <v>Hydrating Face Wash</v>
      </c>
      <c r="O1594" t="str">
        <f>INDEX(Products!C:C,MATCH(OrdersTable[[#This Row],[Product ID]],Products!A:A,0))</f>
        <v>Skincare</v>
      </c>
      <c r="P1594">
        <v>2</v>
      </c>
      <c r="Q1594" s="5">
        <v>299</v>
      </c>
      <c r="R1594" s="74">
        <v>0.05</v>
      </c>
      <c r="S1594" s="75">
        <f>OrdersTable[[#This Row],[Quantity]]*OrdersTable[[#This Row],[Unit Price]]</f>
        <v>598</v>
      </c>
      <c r="T1594" s="5">
        <f>OrdersTable[[#This Row],[Gross Sale]]*OrdersTable[[#This Row],[Discount_Clean2]]</f>
        <v>29.900000000000002</v>
      </c>
      <c r="U1594" s="5">
        <f>OrdersTable[[#This Row],[Gross Sale]]-OrdersTable[[#This Row],[Discount Amount]]</f>
        <v>568.1</v>
      </c>
      <c r="V1594" s="77">
        <f>INDEX(Products!E:E,MATCH(OrdersTable[[#This Row],[Product ID]],Products!A:A,0))</f>
        <v>90</v>
      </c>
      <c r="W1594" s="77">
        <f>OrdersTable[[#This Row],[Quantity]]*OrdersTable[[#This Row],[Unit Cost]]</f>
        <v>180</v>
      </c>
      <c r="X1594" s="77">
        <f>'Dropdown Lists'!$I$2*(1+OrdersTable[[#This Row],[Returned]])</f>
        <v>120</v>
      </c>
      <c r="Y1594" s="76">
        <f>OrdersTable[[#This Row],[Net Revenue]]-OrdersTable[[#This Row],[COGS]]-OrdersTable[[#This Row],[Shipping Cost]]</f>
        <v>268.10000000000002</v>
      </c>
      <c r="Z1594" s="78">
        <f>IFERROR(OrdersTable[[#This Row],[Profit]]/OrdersTable[[#This Row],[Net Revenue]],0)</f>
        <v>0.47192395704981521</v>
      </c>
      <c r="AA1594" t="s">
        <v>18</v>
      </c>
      <c r="AB1594" s="79">
        <v>45592</v>
      </c>
      <c r="AC1594">
        <f>OrdersTable[[#This Row],[Delivery Date]]-OrdersTable[[#This Row],[Order Date]]</f>
        <v>5</v>
      </c>
      <c r="AD1594" t="str">
        <f>IF(OrdersTable[[#This Row],[Delivery Days]]&lt;=2, "Express (≤2d)", IF(OrdersTable[[#This Row],[Delivery Days]]&lt;=4, "Standard (3-4d)", "Delayed (5d+)"))</f>
        <v>Delayed (5d+)</v>
      </c>
      <c r="AF1594">
        <v>1</v>
      </c>
    </row>
    <row r="1595" spans="1:32" ht="15" x14ac:dyDescent="0.35">
      <c r="A1595" t="s">
        <v>3220</v>
      </c>
      <c r="B1595" s="1">
        <v>45587</v>
      </c>
      <c r="C1595">
        <f>YEAR(OrdersTable[[#This Row],[Order Date]])</f>
        <v>2024</v>
      </c>
      <c r="D1595" s="2">
        <f>DATE(YEAR(OrdersTable[[#This Row],[Order Date]]),MONTH(OrdersTable[[#This Row],[Order Date]]),1)</f>
        <v>45566</v>
      </c>
      <c r="E1595">
        <f>MONTH(OrdersTable[[#This Row],[Order Date]])</f>
        <v>10</v>
      </c>
      <c r="F1595" t="s">
        <v>2769</v>
      </c>
      <c r="G1595" t="str">
        <f>IF(OrdersTable[[#This Row],[Order Date]]=_xlfn.MINIFS(Order_Date, Customer_ID, OrdersTable[[#This Row],[Customer ID]]), "New", "Repeat")</f>
        <v>New</v>
      </c>
      <c r="H1595" t="s">
        <v>123</v>
      </c>
      <c r="I1595" t="str">
        <f>INDEX(State!B:B,MATCH(OrdersTable[[#This Row],[State]],State!A:A,0))</f>
        <v>JH</v>
      </c>
      <c r="J1595" t="str">
        <f>INDEX(State!C:C,MATCH(OrdersTable[[#This Row],[State Code]],State!B:B,0))</f>
        <v>East</v>
      </c>
      <c r="K1595" t="s">
        <v>124</v>
      </c>
      <c r="L1595" t="s">
        <v>39</v>
      </c>
      <c r="M1595" t="s">
        <v>34</v>
      </c>
      <c r="N1595" t="str">
        <f>INDEX(Products!B:B,MATCH(OrdersTable[[#This Row],[Product ID]],Products!A:A,0))</f>
        <v>Flip Flops</v>
      </c>
      <c r="O1595" t="str">
        <f>INDEX(Products!C:C,MATCH(OrdersTable[[#This Row],[Product ID]],Products!A:A,0))</f>
        <v>Footwear</v>
      </c>
      <c r="P1595">
        <v>1</v>
      </c>
      <c r="Q1595" s="5">
        <v>399</v>
      </c>
      <c r="R1595" s="74">
        <v>0.15</v>
      </c>
      <c r="S1595" s="75">
        <f>OrdersTable[[#This Row],[Quantity]]*OrdersTable[[#This Row],[Unit Price]]</f>
        <v>399</v>
      </c>
      <c r="T1595" s="5">
        <f>OrdersTable[[#This Row],[Gross Sale]]*OrdersTable[[#This Row],[Discount_Clean2]]</f>
        <v>59.849999999999994</v>
      </c>
      <c r="U1595" s="5">
        <f>OrdersTable[[#This Row],[Gross Sale]]-OrdersTable[[#This Row],[Discount Amount]]</f>
        <v>339.15</v>
      </c>
      <c r="V1595" s="77">
        <f>INDEX(Products!E:E,MATCH(OrdersTable[[#This Row],[Product ID]],Products!A:A,0))</f>
        <v>152</v>
      </c>
      <c r="W1595" s="77">
        <f>OrdersTable[[#This Row],[Quantity]]*OrdersTable[[#This Row],[Unit Cost]]</f>
        <v>152</v>
      </c>
      <c r="X1595" s="77">
        <f>'Dropdown Lists'!$I$2*(1+OrdersTable[[#This Row],[Returned]])</f>
        <v>120</v>
      </c>
      <c r="Y1595" s="76">
        <f>OrdersTable[[#This Row],[Net Revenue]]-OrdersTable[[#This Row],[COGS]]-OrdersTable[[#This Row],[Shipping Cost]]</f>
        <v>67.149999999999977</v>
      </c>
      <c r="Z1595" s="78">
        <f>IFERROR(OrdersTable[[#This Row],[Profit]]/OrdersTable[[#This Row],[Net Revenue]],0)</f>
        <v>0.19799498746867161</v>
      </c>
      <c r="AA1595" t="s">
        <v>2522</v>
      </c>
      <c r="AB1595" s="79">
        <v>45591</v>
      </c>
      <c r="AC1595">
        <f>OrdersTable[[#This Row],[Delivery Date]]-OrdersTable[[#This Row],[Order Date]]</f>
        <v>4</v>
      </c>
      <c r="AD1595" t="str">
        <f>IF(OrdersTable[[#This Row],[Delivery Days]]&lt;=2, "Express (≤2d)", IF(OrdersTable[[#This Row],[Delivery Days]]&lt;=4, "Standard (3-4d)", "Delayed (5d+)"))</f>
        <v>Standard (3-4d)</v>
      </c>
      <c r="AE1595">
        <v>4</v>
      </c>
      <c r="AF1595">
        <v>1</v>
      </c>
    </row>
    <row r="1596" spans="1:32" ht="15" x14ac:dyDescent="0.35">
      <c r="A1596" t="s">
        <v>4943</v>
      </c>
      <c r="B1596" s="1">
        <v>45587</v>
      </c>
      <c r="C1596">
        <f>YEAR(OrdersTable[[#This Row],[Order Date]])</f>
        <v>2024</v>
      </c>
      <c r="D1596" s="2">
        <f>DATE(YEAR(OrdersTable[[#This Row],[Order Date]]),MONTH(OrdersTable[[#This Row],[Order Date]]),1)</f>
        <v>45566</v>
      </c>
      <c r="E1596">
        <f>MONTH(OrdersTable[[#This Row],[Order Date]])</f>
        <v>10</v>
      </c>
      <c r="F1596" t="s">
        <v>4944</v>
      </c>
      <c r="G1596" t="str">
        <f>IF(OrdersTable[[#This Row],[Order Date]]=_xlfn.MINIFS(Order_Date, Customer_ID, OrdersTable[[#This Row],[Customer ID]]), "New", "Repeat")</f>
        <v>New</v>
      </c>
      <c r="H1596" t="s">
        <v>71</v>
      </c>
      <c r="I1596" t="str">
        <f>INDEX(State!B:B,MATCH(OrdersTable[[#This Row],[State]],State!A:A,0))</f>
        <v>MH</v>
      </c>
      <c r="J1596" t="str">
        <f>INDEX(State!C:C,MATCH(OrdersTable[[#This Row],[State Code]],State!B:B,0))</f>
        <v>West</v>
      </c>
      <c r="K1596" t="s">
        <v>72</v>
      </c>
      <c r="L1596" t="s">
        <v>65</v>
      </c>
      <c r="M1596" t="s">
        <v>61</v>
      </c>
      <c r="N1596" t="str">
        <f>INDEX(Products!B:B,MATCH(OrdersTable[[#This Row],[Product ID]],Products!A:A,0))</f>
        <v>Multivitamin Gummies</v>
      </c>
      <c r="O1596" t="str">
        <f>INDEX(Products!C:C,MATCH(OrdersTable[[#This Row],[Product ID]],Products!A:A,0))</f>
        <v>Wellness</v>
      </c>
      <c r="P1596">
        <v>2</v>
      </c>
      <c r="Q1596" s="5">
        <v>699</v>
      </c>
      <c r="R1596" s="74">
        <v>0.4</v>
      </c>
      <c r="S1596" s="75">
        <f>OrdersTable[[#This Row],[Quantity]]*OrdersTable[[#This Row],[Unit Price]]</f>
        <v>1398</v>
      </c>
      <c r="T1596" s="5">
        <f>OrdersTable[[#This Row],[Gross Sale]]*OrdersTable[[#This Row],[Discount_Clean2]]</f>
        <v>559.20000000000005</v>
      </c>
      <c r="U1596" s="5">
        <f>OrdersTable[[#This Row],[Gross Sale]]-OrdersTable[[#This Row],[Discount Amount]]</f>
        <v>838.8</v>
      </c>
      <c r="V1596" s="77">
        <f>INDEX(Products!E:E,MATCH(OrdersTable[[#This Row],[Product ID]],Products!A:A,0))</f>
        <v>238</v>
      </c>
      <c r="W1596" s="77">
        <f>OrdersTable[[#This Row],[Quantity]]*OrdersTable[[#This Row],[Unit Cost]]</f>
        <v>476</v>
      </c>
      <c r="X1596" s="77">
        <f>'Dropdown Lists'!$I$2*(1+OrdersTable[[#This Row],[Returned]])</f>
        <v>60</v>
      </c>
      <c r="Y1596" s="76">
        <f>OrdersTable[[#This Row],[Net Revenue]]-OrdersTable[[#This Row],[COGS]]-OrdersTable[[#This Row],[Shipping Cost]]</f>
        <v>302.79999999999995</v>
      </c>
      <c r="Z1596" s="78">
        <f>IFERROR(OrdersTable[[#This Row],[Profit]]/OrdersTable[[#This Row],[Net Revenue]],0)</f>
        <v>0.36099189318073432</v>
      </c>
      <c r="AA1596" t="s">
        <v>4074</v>
      </c>
      <c r="AB1596" s="79">
        <v>45589</v>
      </c>
      <c r="AC1596">
        <f>OrdersTable[[#This Row],[Delivery Date]]-OrdersTable[[#This Row],[Order Date]]</f>
        <v>2</v>
      </c>
      <c r="AD1596" t="str">
        <f>IF(OrdersTable[[#This Row],[Delivery Days]]&lt;=2, "Express (≤2d)", IF(OrdersTable[[#This Row],[Delivery Days]]&lt;=4, "Standard (3-4d)", "Delayed (5d+)"))</f>
        <v>Express (≤2d)</v>
      </c>
      <c r="AE1596">
        <v>5</v>
      </c>
      <c r="AF1596">
        <v>0</v>
      </c>
    </row>
    <row r="1597" spans="1:32" ht="15" x14ac:dyDescent="0.35">
      <c r="A1597" t="s">
        <v>4368</v>
      </c>
      <c r="B1597" s="1">
        <v>45587</v>
      </c>
      <c r="C1597">
        <f>YEAR(OrdersTable[[#This Row],[Order Date]])</f>
        <v>2024</v>
      </c>
      <c r="D1597" s="2">
        <f>DATE(YEAR(OrdersTable[[#This Row],[Order Date]]),MONTH(OrdersTable[[#This Row],[Order Date]]),1)</f>
        <v>45566</v>
      </c>
      <c r="E1597">
        <f>MONTH(OrdersTable[[#This Row],[Order Date]])</f>
        <v>10</v>
      </c>
      <c r="F1597" t="s">
        <v>4197</v>
      </c>
      <c r="G1597" t="str">
        <f>IF(OrdersTable[[#This Row],[Order Date]]=_xlfn.MINIFS(Order_Date, Customer_ID, OrdersTable[[#This Row],[Customer ID]]), "New", "Repeat")</f>
        <v>New</v>
      </c>
      <c r="H1597" t="s">
        <v>167</v>
      </c>
      <c r="I1597" t="str">
        <f>INDEX(State!B:B,MATCH(OrdersTable[[#This Row],[State]],State!A:A,0))</f>
        <v>KA</v>
      </c>
      <c r="J1597" t="str">
        <f>INDEX(State!C:C,MATCH(OrdersTable[[#This Row],[State Code]],State!B:B,0))</f>
        <v>South</v>
      </c>
      <c r="K1597" t="s">
        <v>168</v>
      </c>
      <c r="L1597" t="s">
        <v>39</v>
      </c>
      <c r="M1597" t="s">
        <v>106</v>
      </c>
      <c r="N1597" t="str">
        <f>INDEX(Products!B:B,MATCH(OrdersTable[[#This Row],[Product ID]],Products!A:A,0))</f>
        <v>Keratin Hair Mask</v>
      </c>
      <c r="O1597" t="str">
        <f>INDEX(Products!C:C,MATCH(OrdersTable[[#This Row],[Product ID]],Products!A:A,0))</f>
        <v>Haircare</v>
      </c>
      <c r="P1597">
        <v>1</v>
      </c>
      <c r="Q1597" s="5">
        <v>549</v>
      </c>
      <c r="R1597" s="74">
        <v>0.25</v>
      </c>
      <c r="S1597" s="75">
        <f>OrdersTable[[#This Row],[Quantity]]*OrdersTable[[#This Row],[Unit Price]]</f>
        <v>549</v>
      </c>
      <c r="T1597" s="5">
        <f>OrdersTable[[#This Row],[Gross Sale]]*OrdersTable[[#This Row],[Discount_Clean2]]</f>
        <v>137.25</v>
      </c>
      <c r="U1597" s="5">
        <f>OrdersTable[[#This Row],[Gross Sale]]-OrdersTable[[#This Row],[Discount Amount]]</f>
        <v>411.75</v>
      </c>
      <c r="V1597" s="77">
        <f>INDEX(Products!E:E,MATCH(OrdersTable[[#This Row],[Product ID]],Products!A:A,0))</f>
        <v>170</v>
      </c>
      <c r="W1597" s="77">
        <f>OrdersTable[[#This Row],[Quantity]]*OrdersTable[[#This Row],[Unit Cost]]</f>
        <v>170</v>
      </c>
      <c r="X1597" s="77">
        <f>'Dropdown Lists'!$I$2*(1+OrdersTable[[#This Row],[Returned]])</f>
        <v>60</v>
      </c>
      <c r="Y1597" s="76">
        <f>OrdersTable[[#This Row],[Net Revenue]]-OrdersTable[[#This Row],[COGS]]-OrdersTable[[#This Row],[Shipping Cost]]</f>
        <v>181.75</v>
      </c>
      <c r="Z1597" s="78">
        <f>IFERROR(OrdersTable[[#This Row],[Profit]]/OrdersTable[[#This Row],[Net Revenue]],0)</f>
        <v>0.44140862173649059</v>
      </c>
      <c r="AA1597" t="s">
        <v>4074</v>
      </c>
      <c r="AB1597" s="79">
        <v>45592</v>
      </c>
      <c r="AC1597">
        <f>OrdersTable[[#This Row],[Delivery Date]]-OrdersTable[[#This Row],[Order Date]]</f>
        <v>5</v>
      </c>
      <c r="AD1597" t="str">
        <f>IF(OrdersTable[[#This Row],[Delivery Days]]&lt;=2, "Express (≤2d)", IF(OrdersTable[[#This Row],[Delivery Days]]&lt;=4, "Standard (3-4d)", "Delayed (5d+)"))</f>
        <v>Delayed (5d+)</v>
      </c>
      <c r="AE1597">
        <v>4</v>
      </c>
      <c r="AF1597">
        <v>0</v>
      </c>
    </row>
    <row r="1598" spans="1:32" ht="15" x14ac:dyDescent="0.35">
      <c r="A1598" t="s">
        <v>4063</v>
      </c>
      <c r="B1598" s="1">
        <v>45587</v>
      </c>
      <c r="C1598">
        <f>YEAR(OrdersTable[[#This Row],[Order Date]])</f>
        <v>2024</v>
      </c>
      <c r="D1598" s="2">
        <f>DATE(YEAR(OrdersTable[[#This Row],[Order Date]]),MONTH(OrdersTable[[#This Row],[Order Date]]),1)</f>
        <v>45566</v>
      </c>
      <c r="E1598">
        <f>MONTH(OrdersTable[[#This Row],[Order Date]])</f>
        <v>10</v>
      </c>
      <c r="F1598" t="s">
        <v>676</v>
      </c>
      <c r="G1598" t="str">
        <f>IF(OrdersTable[[#This Row],[Order Date]]=_xlfn.MINIFS(Order_Date, Customer_ID, OrdersTable[[#This Row],[Customer ID]]), "New", "Repeat")</f>
        <v>Repeat</v>
      </c>
      <c r="H1598" t="s">
        <v>316</v>
      </c>
      <c r="I1598" t="str">
        <f>INDEX(State!B:B,MATCH(OrdersTable[[#This Row],[State]],State!A:A,0))</f>
        <v>KL</v>
      </c>
      <c r="J1598" t="str">
        <f>INDEX(State!C:C,MATCH(OrdersTable[[#This Row],[State Code]],State!B:B,0))</f>
        <v>South</v>
      </c>
      <c r="K1598" t="s">
        <v>317</v>
      </c>
      <c r="L1598" t="s">
        <v>65</v>
      </c>
      <c r="M1598" t="s">
        <v>423</v>
      </c>
      <c r="N1598" t="str">
        <f>INDEX(Products!B:B,MATCH(OrdersTable[[#This Row],[Product ID]],Products!A:A,0))</f>
        <v>Power Bank 20000mAh</v>
      </c>
      <c r="O1598" t="str">
        <f>INDEX(Products!C:C,MATCH(OrdersTable[[#This Row],[Product ID]],Products!A:A,0))</f>
        <v>Electronics</v>
      </c>
      <c r="P1598">
        <v>1</v>
      </c>
      <c r="Q1598" s="5">
        <v>1799</v>
      </c>
      <c r="R1598" s="74">
        <v>0.5</v>
      </c>
      <c r="S1598" s="75">
        <f>OrdersTable[[#This Row],[Quantity]]*OrdersTable[[#This Row],[Unit Price]]</f>
        <v>1799</v>
      </c>
      <c r="T1598" s="5">
        <f>OrdersTable[[#This Row],[Gross Sale]]*OrdersTable[[#This Row],[Discount_Clean2]]</f>
        <v>899.5</v>
      </c>
      <c r="U1598" s="5">
        <f>OrdersTable[[#This Row],[Gross Sale]]-OrdersTable[[#This Row],[Discount Amount]]</f>
        <v>899.5</v>
      </c>
      <c r="V1598" s="77">
        <f>INDEX(Products!E:E,MATCH(OrdersTable[[#This Row],[Product ID]],Products!A:A,0))</f>
        <v>1079</v>
      </c>
      <c r="W1598" s="77">
        <f>OrdersTable[[#This Row],[Quantity]]*OrdersTable[[#This Row],[Unit Cost]]</f>
        <v>1079</v>
      </c>
      <c r="X1598" s="77">
        <f>'Dropdown Lists'!$I$2*(1+OrdersTable[[#This Row],[Returned]])</f>
        <v>60</v>
      </c>
      <c r="Y1598" s="76">
        <f>OrdersTable[[#This Row],[Net Revenue]]-OrdersTable[[#This Row],[COGS]]-OrdersTable[[#This Row],[Shipping Cost]]</f>
        <v>-239.5</v>
      </c>
      <c r="Z1598" s="78">
        <f>IFERROR(OrdersTable[[#This Row],[Profit]]/OrdersTable[[#This Row],[Net Revenue]],0)</f>
        <v>-0.26625903279599777</v>
      </c>
      <c r="AA1598" t="s">
        <v>3495</v>
      </c>
      <c r="AB1598" s="79">
        <v>45593</v>
      </c>
      <c r="AC1598">
        <f>OrdersTable[[#This Row],[Delivery Date]]-OrdersTable[[#This Row],[Order Date]]</f>
        <v>6</v>
      </c>
      <c r="AD1598" t="str">
        <f>IF(OrdersTable[[#This Row],[Delivery Days]]&lt;=2, "Express (≤2d)", IF(OrdersTable[[#This Row],[Delivery Days]]&lt;=4, "Standard (3-4d)", "Delayed (5d+)"))</f>
        <v>Delayed (5d+)</v>
      </c>
      <c r="AE1598">
        <v>2</v>
      </c>
      <c r="AF1598">
        <v>0</v>
      </c>
    </row>
    <row r="1599" spans="1:32" ht="15" x14ac:dyDescent="0.35">
      <c r="A1599" t="s">
        <v>6316</v>
      </c>
      <c r="B1599" s="1">
        <v>45587</v>
      </c>
      <c r="C1599">
        <f>YEAR(OrdersTable[[#This Row],[Order Date]])</f>
        <v>2024</v>
      </c>
      <c r="D1599" s="2">
        <f>DATE(YEAR(OrdersTable[[#This Row],[Order Date]]),MONTH(OrdersTable[[#This Row],[Order Date]]),1)</f>
        <v>45566</v>
      </c>
      <c r="E1599">
        <f>MONTH(OrdersTable[[#This Row],[Order Date]])</f>
        <v>10</v>
      </c>
      <c r="F1599" t="s">
        <v>2446</v>
      </c>
      <c r="G1599" t="str">
        <f>IF(OrdersTable[[#This Row],[Order Date]]=_xlfn.MINIFS(Order_Date, Customer_ID, OrdersTable[[#This Row],[Customer ID]]), "New", "Repeat")</f>
        <v>New</v>
      </c>
      <c r="H1599" t="s">
        <v>59</v>
      </c>
      <c r="I1599" t="str">
        <f>INDEX(State!B:B,MATCH(OrdersTable[[#This Row],[State]],State!A:A,0))</f>
        <v>TN</v>
      </c>
      <c r="J1599" t="str">
        <f>INDEX(State!C:C,MATCH(OrdersTable[[#This Row],[State Code]],State!B:B,0))</f>
        <v>South</v>
      </c>
      <c r="K1599" t="s">
        <v>60</v>
      </c>
      <c r="L1599" t="s">
        <v>39</v>
      </c>
      <c r="M1599" t="s">
        <v>152</v>
      </c>
      <c r="N1599" t="str">
        <f>INDEX(Products!B:B,MATCH(OrdersTable[[#This Row],[Product ID]],Products!A:A,0))</f>
        <v>Green Tea (100 bags)</v>
      </c>
      <c r="O1599" t="str">
        <f>INDEX(Products!C:C,MATCH(OrdersTable[[#This Row],[Product ID]],Products!A:A,0))</f>
        <v>Wellness</v>
      </c>
      <c r="P1599">
        <v>2</v>
      </c>
      <c r="Q1599" s="5">
        <v>399</v>
      </c>
      <c r="R1599" s="74">
        <v>0.55000000000000004</v>
      </c>
      <c r="S1599" s="75">
        <f>OrdersTable[[#This Row],[Quantity]]*OrdersTable[[#This Row],[Unit Price]]</f>
        <v>798</v>
      </c>
      <c r="T1599" s="5">
        <f>OrdersTable[[#This Row],[Gross Sale]]*OrdersTable[[#This Row],[Discount_Clean2]]</f>
        <v>438.90000000000003</v>
      </c>
      <c r="U1599" s="5">
        <f>OrdersTable[[#This Row],[Gross Sale]]-OrdersTable[[#This Row],[Discount Amount]]</f>
        <v>359.09999999999997</v>
      </c>
      <c r="V1599" s="77">
        <f>INDEX(Products!E:E,MATCH(OrdersTable[[#This Row],[Product ID]],Products!A:A,0))</f>
        <v>128</v>
      </c>
      <c r="W1599" s="77">
        <f>OrdersTable[[#This Row],[Quantity]]*OrdersTable[[#This Row],[Unit Cost]]</f>
        <v>256</v>
      </c>
      <c r="X1599" s="77">
        <f>'Dropdown Lists'!$I$2*(1+OrdersTable[[#This Row],[Returned]])</f>
        <v>60</v>
      </c>
      <c r="Y1599" s="76">
        <f>OrdersTable[[#This Row],[Net Revenue]]-OrdersTable[[#This Row],[COGS]]-OrdersTable[[#This Row],[Shipping Cost]]</f>
        <v>43.099999999999966</v>
      </c>
      <c r="Z1599" s="78">
        <f>IFERROR(OrdersTable[[#This Row],[Profit]]/OrdersTable[[#This Row],[Net Revenue]],0)</f>
        <v>0.12002227791701467</v>
      </c>
      <c r="AA1599" t="s">
        <v>18</v>
      </c>
      <c r="AB1599" s="79">
        <v>45591</v>
      </c>
      <c r="AC1599">
        <f>OrdersTable[[#This Row],[Delivery Date]]-OrdersTable[[#This Row],[Order Date]]</f>
        <v>4</v>
      </c>
      <c r="AD1599" t="str">
        <f>IF(OrdersTable[[#This Row],[Delivery Days]]&lt;=2, "Express (≤2d)", IF(OrdersTable[[#This Row],[Delivery Days]]&lt;=4, "Standard (3-4d)", "Delayed (5d+)"))</f>
        <v>Standard (3-4d)</v>
      </c>
      <c r="AE1599">
        <v>2</v>
      </c>
      <c r="AF1599">
        <v>0</v>
      </c>
    </row>
    <row r="1600" spans="1:32" ht="15" x14ac:dyDescent="0.35">
      <c r="A1600" t="s">
        <v>2108</v>
      </c>
      <c r="B1600" s="1">
        <v>45587</v>
      </c>
      <c r="C1600">
        <f>YEAR(OrdersTable[[#This Row],[Order Date]])</f>
        <v>2024</v>
      </c>
      <c r="D1600" s="2">
        <f>DATE(YEAR(OrdersTable[[#This Row],[Order Date]]),MONTH(OrdersTable[[#This Row],[Order Date]]),1)</f>
        <v>45566</v>
      </c>
      <c r="E1600">
        <f>MONTH(OrdersTable[[#This Row],[Order Date]])</f>
        <v>10</v>
      </c>
      <c r="F1600" t="s">
        <v>80</v>
      </c>
      <c r="G1600" t="str">
        <f>IF(OrdersTable[[#This Row],[Order Date]]=_xlfn.MINIFS(Order_Date, Customer_ID, OrdersTable[[#This Row],[Customer ID]]), "New", "Repeat")</f>
        <v>Repeat</v>
      </c>
      <c r="H1600" t="s">
        <v>59</v>
      </c>
      <c r="I1600" t="str">
        <f>INDEX(State!B:B,MATCH(OrdersTable[[#This Row],[State]],State!A:A,0))</f>
        <v>TN</v>
      </c>
      <c r="J1600" t="str">
        <f>INDEX(State!C:C,MATCH(OrdersTable[[#This Row],[State Code]],State!B:B,0))</f>
        <v>South</v>
      </c>
      <c r="K1600" t="s">
        <v>64</v>
      </c>
      <c r="L1600" t="s">
        <v>65</v>
      </c>
      <c r="M1600" t="s">
        <v>73</v>
      </c>
      <c r="N1600" t="str">
        <f>INDEX(Products!B:B,MATCH(OrdersTable[[#This Row],[Product ID]],Products!A:A,0))</f>
        <v>Hydrating Face Wash</v>
      </c>
      <c r="O1600" t="str">
        <f>INDEX(Products!C:C,MATCH(OrdersTable[[#This Row],[Product ID]],Products!A:A,0))</f>
        <v>Skincare</v>
      </c>
      <c r="P1600">
        <v>1</v>
      </c>
      <c r="Q1600" s="5">
        <v>299</v>
      </c>
      <c r="R1600" s="74">
        <v>0.15</v>
      </c>
      <c r="S1600" s="75">
        <f>OrdersTable[[#This Row],[Quantity]]*OrdersTable[[#This Row],[Unit Price]]</f>
        <v>299</v>
      </c>
      <c r="T1600" s="5">
        <f>OrdersTable[[#This Row],[Gross Sale]]*OrdersTable[[#This Row],[Discount_Clean2]]</f>
        <v>44.85</v>
      </c>
      <c r="U1600" s="5">
        <f>OrdersTable[[#This Row],[Gross Sale]]-OrdersTable[[#This Row],[Discount Amount]]</f>
        <v>254.15</v>
      </c>
      <c r="V1600" s="77">
        <f>INDEX(Products!E:E,MATCH(OrdersTable[[#This Row],[Product ID]],Products!A:A,0))</f>
        <v>90</v>
      </c>
      <c r="W1600" s="77">
        <f>OrdersTable[[#This Row],[Quantity]]*OrdersTable[[#This Row],[Unit Cost]]</f>
        <v>90</v>
      </c>
      <c r="X1600" s="77">
        <f>'Dropdown Lists'!$I$2*(1+OrdersTable[[#This Row],[Returned]])</f>
        <v>60</v>
      </c>
      <c r="Y1600" s="76">
        <f>OrdersTable[[#This Row],[Net Revenue]]-OrdersTable[[#This Row],[COGS]]-OrdersTable[[#This Row],[Shipping Cost]]</f>
        <v>104.15</v>
      </c>
      <c r="Z1600" s="78">
        <f>IFERROR(OrdersTable[[#This Row],[Profit]]/OrdersTable[[#This Row],[Net Revenue]],0)</f>
        <v>0.40979736376155818</v>
      </c>
      <c r="AA1600" t="s">
        <v>18</v>
      </c>
      <c r="AB1600" s="79">
        <v>45590</v>
      </c>
      <c r="AC1600">
        <f>OrdersTable[[#This Row],[Delivery Date]]-OrdersTable[[#This Row],[Order Date]]</f>
        <v>3</v>
      </c>
      <c r="AD1600" t="str">
        <f>IF(OrdersTable[[#This Row],[Delivery Days]]&lt;=2, "Express (≤2d)", IF(OrdersTable[[#This Row],[Delivery Days]]&lt;=4, "Standard (3-4d)", "Delayed (5d+)"))</f>
        <v>Standard (3-4d)</v>
      </c>
      <c r="AE1600">
        <v>3</v>
      </c>
      <c r="AF1600">
        <v>0</v>
      </c>
    </row>
    <row r="1601" spans="1:32" ht="15" x14ac:dyDescent="0.35">
      <c r="A1601" t="s">
        <v>2750</v>
      </c>
      <c r="B1601" s="1">
        <v>45588</v>
      </c>
      <c r="C1601">
        <f>YEAR(OrdersTable[[#This Row],[Order Date]])</f>
        <v>2024</v>
      </c>
      <c r="D1601" s="2">
        <f>DATE(YEAR(OrdersTable[[#This Row],[Order Date]]),MONTH(OrdersTable[[#This Row],[Order Date]]),1)</f>
        <v>45566</v>
      </c>
      <c r="E1601">
        <f>MONTH(OrdersTable[[#This Row],[Order Date]])</f>
        <v>10</v>
      </c>
      <c r="F1601" t="s">
        <v>1212</v>
      </c>
      <c r="G1601" t="str">
        <f>IF(OrdersTable[[#This Row],[Order Date]]=_xlfn.MINIFS(Order_Date, Customer_ID, OrdersTable[[#This Row],[Customer ID]]), "New", "Repeat")</f>
        <v>Repeat</v>
      </c>
      <c r="H1601" t="s">
        <v>48</v>
      </c>
      <c r="I1601" t="str">
        <f>INDEX(State!B:B,MATCH(OrdersTable[[#This Row],[State]],State!A:A,0))</f>
        <v>HR</v>
      </c>
      <c r="J1601" t="str">
        <f>INDEX(State!C:C,MATCH(OrdersTable[[#This Row],[State Code]],State!B:B,0))</f>
        <v>North</v>
      </c>
      <c r="K1601" t="s">
        <v>151</v>
      </c>
      <c r="L1601" t="s">
        <v>16</v>
      </c>
      <c r="M1601" t="s">
        <v>205</v>
      </c>
      <c r="N1601" t="str">
        <f>INDEX(Products!B:B,MATCH(OrdersTable[[#This Row],[Product ID]],Products!A:A,0))</f>
        <v>Running Shoes</v>
      </c>
      <c r="O1601" t="str">
        <f>INDEX(Products!C:C,MATCH(OrdersTable[[#This Row],[Product ID]],Products!A:A,0))</f>
        <v>Footwear</v>
      </c>
      <c r="P1601">
        <v>1</v>
      </c>
      <c r="Q1601" s="5">
        <v>2999</v>
      </c>
      <c r="R1601" s="74">
        <v>0.2</v>
      </c>
      <c r="S1601" s="75">
        <f>OrdersTable[[#This Row],[Quantity]]*OrdersTable[[#This Row],[Unit Price]]</f>
        <v>2999</v>
      </c>
      <c r="T1601" s="5">
        <f>OrdersTable[[#This Row],[Gross Sale]]*OrdersTable[[#This Row],[Discount_Clean2]]</f>
        <v>599.80000000000007</v>
      </c>
      <c r="U1601" s="5">
        <f>OrdersTable[[#This Row],[Gross Sale]]-OrdersTable[[#This Row],[Discount Amount]]</f>
        <v>2399.1999999999998</v>
      </c>
      <c r="V1601" s="77">
        <f>INDEX(Products!E:E,MATCH(OrdersTable[[#This Row],[Product ID]],Products!A:A,0))</f>
        <v>1440</v>
      </c>
      <c r="W1601" s="77">
        <f>OrdersTable[[#This Row],[Quantity]]*OrdersTable[[#This Row],[Unit Cost]]</f>
        <v>1440</v>
      </c>
      <c r="X1601" s="77">
        <f>'Dropdown Lists'!$I$2*(1+OrdersTable[[#This Row],[Returned]])</f>
        <v>60</v>
      </c>
      <c r="Y1601" s="76">
        <f>OrdersTable[[#This Row],[Net Revenue]]-OrdersTable[[#This Row],[COGS]]-OrdersTable[[#This Row],[Shipping Cost]]</f>
        <v>899.19999999999982</v>
      </c>
      <c r="Z1601" s="78">
        <f>IFERROR(OrdersTable[[#This Row],[Profit]]/OrdersTable[[#This Row],[Net Revenue]],0)</f>
        <v>0.3747915971990663</v>
      </c>
      <c r="AA1601" t="s">
        <v>2522</v>
      </c>
      <c r="AB1601" s="79">
        <v>45593</v>
      </c>
      <c r="AC1601">
        <f>OrdersTable[[#This Row],[Delivery Date]]-OrdersTable[[#This Row],[Order Date]]</f>
        <v>5</v>
      </c>
      <c r="AD1601" t="str">
        <f>IF(OrdersTable[[#This Row],[Delivery Days]]&lt;=2, "Express (≤2d)", IF(OrdersTable[[#This Row],[Delivery Days]]&lt;=4, "Standard (3-4d)", "Delayed (5d+)"))</f>
        <v>Delayed (5d+)</v>
      </c>
      <c r="AE1601">
        <v>3</v>
      </c>
      <c r="AF1601">
        <v>0</v>
      </c>
    </row>
    <row r="1602" spans="1:32" ht="15" x14ac:dyDescent="0.35">
      <c r="A1602" t="s">
        <v>1509</v>
      </c>
      <c r="B1602" s="1">
        <v>45588</v>
      </c>
      <c r="C1602">
        <f>YEAR(OrdersTable[[#This Row],[Order Date]])</f>
        <v>2024</v>
      </c>
      <c r="D1602" s="2">
        <f>DATE(YEAR(OrdersTable[[#This Row],[Order Date]]),MONTH(OrdersTable[[#This Row],[Order Date]]),1)</f>
        <v>45566</v>
      </c>
      <c r="E1602">
        <f>MONTH(OrdersTable[[#This Row],[Order Date]])</f>
        <v>10</v>
      </c>
      <c r="F1602" t="s">
        <v>1510</v>
      </c>
      <c r="G1602" t="str">
        <f>IF(OrdersTable[[#This Row],[Order Date]]=_xlfn.MINIFS(Order_Date, Customer_ID, OrdersTable[[#This Row],[Customer ID]]), "New", "Repeat")</f>
        <v>New</v>
      </c>
      <c r="H1602" t="s">
        <v>48</v>
      </c>
      <c r="I1602" t="str">
        <f>INDEX(State!B:B,MATCH(OrdersTable[[#This Row],[State]],State!A:A,0))</f>
        <v>HR</v>
      </c>
      <c r="J1602" t="str">
        <f>INDEX(State!C:C,MATCH(OrdersTable[[#This Row],[State Code]],State!B:B,0))</f>
        <v>North</v>
      </c>
      <c r="K1602" t="s">
        <v>49</v>
      </c>
      <c r="L1602" t="s">
        <v>39</v>
      </c>
      <c r="M1602" t="s">
        <v>78</v>
      </c>
      <c r="N1602" t="str">
        <f>INDEX(Products!B:B,MATCH(OrdersTable[[#This Row],[Product ID]],Products!A:A,0))</f>
        <v>Retinol Night Cream</v>
      </c>
      <c r="O1602" t="str">
        <f>INDEX(Products!C:C,MATCH(OrdersTable[[#This Row],[Product ID]],Products!A:A,0))</f>
        <v>Skincare</v>
      </c>
      <c r="P1602">
        <v>1</v>
      </c>
      <c r="Q1602" s="5">
        <v>799</v>
      </c>
      <c r="R1602" s="74">
        <v>0.25</v>
      </c>
      <c r="S1602" s="75">
        <f>OrdersTable[[#This Row],[Quantity]]*OrdersTable[[#This Row],[Unit Price]]</f>
        <v>799</v>
      </c>
      <c r="T1602" s="5">
        <f>OrdersTable[[#This Row],[Gross Sale]]*OrdersTable[[#This Row],[Discount_Clean2]]</f>
        <v>199.75</v>
      </c>
      <c r="U1602" s="5">
        <f>OrdersTable[[#This Row],[Gross Sale]]-OrdersTable[[#This Row],[Discount Amount]]</f>
        <v>599.25</v>
      </c>
      <c r="V1602" s="77">
        <f>INDEX(Products!E:E,MATCH(OrdersTable[[#This Row],[Product ID]],Products!A:A,0))</f>
        <v>216</v>
      </c>
      <c r="W1602" s="77">
        <f>OrdersTable[[#This Row],[Quantity]]*OrdersTable[[#This Row],[Unit Cost]]</f>
        <v>216</v>
      </c>
      <c r="X1602" s="77">
        <f>'Dropdown Lists'!$I$2*(1+OrdersTable[[#This Row],[Returned]])</f>
        <v>60</v>
      </c>
      <c r="Y1602" s="76">
        <f>OrdersTable[[#This Row],[Net Revenue]]-OrdersTable[[#This Row],[COGS]]-OrdersTable[[#This Row],[Shipping Cost]]</f>
        <v>323.25</v>
      </c>
      <c r="Z1602" s="78">
        <f>IFERROR(OrdersTable[[#This Row],[Profit]]/OrdersTable[[#This Row],[Net Revenue]],0)</f>
        <v>0.5394242803504381</v>
      </c>
      <c r="AA1602" t="s">
        <v>18</v>
      </c>
      <c r="AB1602" s="79">
        <v>45593</v>
      </c>
      <c r="AC1602">
        <f>OrdersTable[[#This Row],[Delivery Date]]-OrdersTable[[#This Row],[Order Date]]</f>
        <v>5</v>
      </c>
      <c r="AD1602" t="str">
        <f>IF(OrdersTable[[#This Row],[Delivery Days]]&lt;=2, "Express (≤2d)", IF(OrdersTable[[#This Row],[Delivery Days]]&lt;=4, "Standard (3-4d)", "Delayed (5d+)"))</f>
        <v>Delayed (5d+)</v>
      </c>
      <c r="AF1602">
        <v>0</v>
      </c>
    </row>
    <row r="1603" spans="1:32" ht="15" x14ac:dyDescent="0.35">
      <c r="A1603" t="s">
        <v>6974</v>
      </c>
      <c r="B1603" s="1">
        <v>45588</v>
      </c>
      <c r="C1603">
        <f>YEAR(OrdersTable[[#This Row],[Order Date]])</f>
        <v>2024</v>
      </c>
      <c r="D1603" s="2">
        <f>DATE(YEAR(OrdersTable[[#This Row],[Order Date]]),MONTH(OrdersTable[[#This Row],[Order Date]]),1)</f>
        <v>45566</v>
      </c>
      <c r="E1603">
        <f>MONTH(OrdersTable[[#This Row],[Order Date]])</f>
        <v>10</v>
      </c>
      <c r="F1603" t="s">
        <v>294</v>
      </c>
      <c r="G1603" t="str">
        <f>IF(OrdersTable[[#This Row],[Order Date]]=_xlfn.MINIFS(Order_Date, Customer_ID, OrdersTable[[#This Row],[Customer ID]]), "New", "Repeat")</f>
        <v>New</v>
      </c>
      <c r="H1603" t="s">
        <v>76</v>
      </c>
      <c r="I1603" t="str">
        <f>INDEX(State!B:B,MATCH(OrdersTable[[#This Row],[State]],State!A:A,0))</f>
        <v>UP</v>
      </c>
      <c r="J1603" t="str">
        <f>INDEX(State!C:C,MATCH(OrdersTable[[#This Row],[State Code]],State!B:B,0))</f>
        <v>North</v>
      </c>
      <c r="K1603" t="s">
        <v>77</v>
      </c>
      <c r="L1603" t="s">
        <v>39</v>
      </c>
      <c r="M1603" t="s">
        <v>24</v>
      </c>
      <c r="N1603" t="str">
        <f>INDEX(Products!B:B,MATCH(OrdersTable[[#This Row],[Product ID]],Products!A:A,0))</f>
        <v>Scented Candle Set</v>
      </c>
      <c r="O1603" t="str">
        <f>INDEX(Products!C:C,MATCH(OrdersTable[[#This Row],[Product ID]],Products!A:A,0))</f>
        <v>Home &amp; Kitchen</v>
      </c>
      <c r="P1603">
        <v>4</v>
      </c>
      <c r="Q1603" s="5">
        <v>699</v>
      </c>
      <c r="R1603" s="74">
        <v>0.3</v>
      </c>
      <c r="S1603" s="75">
        <f>OrdersTable[[#This Row],[Quantity]]*OrdersTable[[#This Row],[Unit Price]]</f>
        <v>2796</v>
      </c>
      <c r="T1603" s="5">
        <f>OrdersTable[[#This Row],[Gross Sale]]*OrdersTable[[#This Row],[Discount_Clean2]]</f>
        <v>838.8</v>
      </c>
      <c r="U1603" s="5">
        <f>OrdersTable[[#This Row],[Gross Sale]]-OrdersTable[[#This Row],[Discount Amount]]</f>
        <v>1957.2</v>
      </c>
      <c r="V1603" s="77">
        <f>INDEX(Products!E:E,MATCH(OrdersTable[[#This Row],[Product ID]],Products!A:A,0))</f>
        <v>245</v>
      </c>
      <c r="W1603" s="77">
        <f>OrdersTable[[#This Row],[Quantity]]*OrdersTable[[#This Row],[Unit Cost]]</f>
        <v>980</v>
      </c>
      <c r="X1603" s="77">
        <f>'Dropdown Lists'!$I$2*(1+OrdersTable[[#This Row],[Returned]])</f>
        <v>60</v>
      </c>
      <c r="Y1603" s="76">
        <f>OrdersTable[[#This Row],[Net Revenue]]-OrdersTable[[#This Row],[COGS]]-OrdersTable[[#This Row],[Shipping Cost]]</f>
        <v>917.2</v>
      </c>
      <c r="Z1603" s="78">
        <f>IFERROR(OrdersTable[[#This Row],[Profit]]/OrdersTable[[#This Row],[Net Revenue]],0)</f>
        <v>0.46862865317800939</v>
      </c>
      <c r="AA1603" t="s">
        <v>3495</v>
      </c>
      <c r="AB1603" s="79">
        <v>45591</v>
      </c>
      <c r="AC1603">
        <f>OrdersTable[[#This Row],[Delivery Date]]-OrdersTable[[#This Row],[Order Date]]</f>
        <v>3</v>
      </c>
      <c r="AD1603" t="str">
        <f>IF(OrdersTable[[#This Row],[Delivery Days]]&lt;=2, "Express (≤2d)", IF(OrdersTable[[#This Row],[Delivery Days]]&lt;=4, "Standard (3-4d)", "Delayed (5d+)"))</f>
        <v>Standard (3-4d)</v>
      </c>
      <c r="AE1603">
        <v>4</v>
      </c>
      <c r="AF1603">
        <v>0</v>
      </c>
    </row>
    <row r="1604" spans="1:32" ht="15" x14ac:dyDescent="0.35">
      <c r="A1604" t="s">
        <v>4682</v>
      </c>
      <c r="B1604" s="1">
        <v>45588</v>
      </c>
      <c r="C1604">
        <f>YEAR(OrdersTable[[#This Row],[Order Date]])</f>
        <v>2024</v>
      </c>
      <c r="D1604" s="2">
        <f>DATE(YEAR(OrdersTable[[#This Row],[Order Date]]),MONTH(OrdersTable[[#This Row],[Order Date]]),1)</f>
        <v>45566</v>
      </c>
      <c r="E1604">
        <f>MONTH(OrdersTable[[#This Row],[Order Date]])</f>
        <v>10</v>
      </c>
      <c r="F1604" t="s">
        <v>1580</v>
      </c>
      <c r="G1604" t="str">
        <f>IF(OrdersTable[[#This Row],[Order Date]]=_xlfn.MINIFS(Order_Date, Customer_ID, OrdersTable[[#This Row],[Customer ID]]), "New", "Repeat")</f>
        <v>New</v>
      </c>
      <c r="H1604" t="s">
        <v>32</v>
      </c>
      <c r="I1604" t="str">
        <f>INDEX(State!B:B,MATCH(OrdersTable[[#This Row],[State]],State!A:A,0))</f>
        <v>BR</v>
      </c>
      <c r="J1604" t="str">
        <f>INDEX(State!C:C,MATCH(OrdersTable[[#This Row],[State Code]],State!B:B,0))</f>
        <v>East</v>
      </c>
      <c r="K1604" t="s">
        <v>33</v>
      </c>
      <c r="L1604" t="s">
        <v>16</v>
      </c>
      <c r="M1604" t="s">
        <v>34</v>
      </c>
      <c r="N1604" t="str">
        <f>INDEX(Products!B:B,MATCH(OrdersTable[[#This Row],[Product ID]],Products!A:A,0))</f>
        <v>Flip Flops</v>
      </c>
      <c r="O1604" t="str">
        <f>INDEX(Products!C:C,MATCH(OrdersTable[[#This Row],[Product ID]],Products!A:A,0))</f>
        <v>Footwear</v>
      </c>
      <c r="P1604">
        <v>1</v>
      </c>
      <c r="Q1604" s="5">
        <v>399</v>
      </c>
      <c r="R1604" s="74">
        <v>0.25</v>
      </c>
      <c r="S1604" s="75">
        <f>OrdersTable[[#This Row],[Quantity]]*OrdersTable[[#This Row],[Unit Price]]</f>
        <v>399</v>
      </c>
      <c r="T1604" s="5">
        <f>OrdersTable[[#This Row],[Gross Sale]]*OrdersTable[[#This Row],[Discount_Clean2]]</f>
        <v>99.75</v>
      </c>
      <c r="U1604" s="5">
        <f>OrdersTable[[#This Row],[Gross Sale]]-OrdersTable[[#This Row],[Discount Amount]]</f>
        <v>299.25</v>
      </c>
      <c r="V1604" s="77">
        <f>INDEX(Products!E:E,MATCH(OrdersTable[[#This Row],[Product ID]],Products!A:A,0))</f>
        <v>152</v>
      </c>
      <c r="W1604" s="77">
        <f>OrdersTable[[#This Row],[Quantity]]*OrdersTable[[#This Row],[Unit Cost]]</f>
        <v>152</v>
      </c>
      <c r="X1604" s="77">
        <f>'Dropdown Lists'!$I$2*(1+OrdersTable[[#This Row],[Returned]])</f>
        <v>60</v>
      </c>
      <c r="Y1604" s="76">
        <f>OrdersTable[[#This Row],[Net Revenue]]-OrdersTable[[#This Row],[COGS]]-OrdersTable[[#This Row],[Shipping Cost]]</f>
        <v>87.25</v>
      </c>
      <c r="Z1604" s="78">
        <f>IFERROR(OrdersTable[[#This Row],[Profit]]/OrdersTable[[#This Row],[Net Revenue]],0)</f>
        <v>0.29156223893065997</v>
      </c>
      <c r="AA1604" t="s">
        <v>4450</v>
      </c>
      <c r="AB1604" s="79">
        <v>45593</v>
      </c>
      <c r="AC1604">
        <f>OrdersTable[[#This Row],[Delivery Date]]-OrdersTable[[#This Row],[Order Date]]</f>
        <v>5</v>
      </c>
      <c r="AD1604" t="str">
        <f>IF(OrdersTable[[#This Row],[Delivery Days]]&lt;=2, "Express (≤2d)", IF(OrdersTable[[#This Row],[Delivery Days]]&lt;=4, "Standard (3-4d)", "Delayed (5d+)"))</f>
        <v>Delayed (5d+)</v>
      </c>
      <c r="AE1604">
        <v>3</v>
      </c>
      <c r="AF1604">
        <v>0</v>
      </c>
    </row>
    <row r="1605" spans="1:32" ht="15" x14ac:dyDescent="0.35">
      <c r="A1605" t="s">
        <v>5897</v>
      </c>
      <c r="B1605" s="1">
        <v>45588</v>
      </c>
      <c r="C1605">
        <f>YEAR(OrdersTable[[#This Row],[Order Date]])</f>
        <v>2024</v>
      </c>
      <c r="D1605" s="2">
        <f>DATE(YEAR(OrdersTable[[#This Row],[Order Date]]),MONTH(OrdersTable[[#This Row],[Order Date]]),1)</f>
        <v>45566</v>
      </c>
      <c r="E1605">
        <f>MONTH(OrdersTable[[#This Row],[Order Date]])</f>
        <v>10</v>
      </c>
      <c r="F1605" t="s">
        <v>1117</v>
      </c>
      <c r="G1605" t="str">
        <f>IF(OrdersTable[[#This Row],[Order Date]]=_xlfn.MINIFS(Order_Date, Customer_ID, OrdersTable[[#This Row],[Customer ID]]), "New", "Repeat")</f>
        <v>New</v>
      </c>
      <c r="H1605" t="s">
        <v>27</v>
      </c>
      <c r="I1605" t="str">
        <f>INDEX(State!B:B,MATCH(OrdersTable[[#This Row],[State]],State!A:A,0))</f>
        <v>WB</v>
      </c>
      <c r="J1605" t="str">
        <f>INDEX(State!C:C,MATCH(OrdersTable[[#This Row],[State Code]],State!B:B,0))</f>
        <v>East</v>
      </c>
      <c r="K1605" t="s">
        <v>28</v>
      </c>
      <c r="L1605" t="s">
        <v>65</v>
      </c>
      <c r="M1605" t="s">
        <v>125</v>
      </c>
      <c r="N1605" t="str">
        <f>INDEX(Products!B:B,MATCH(OrdersTable[[#This Row],[Product ID]],Products!A:A,0))</f>
        <v>Copper Water Bottle</v>
      </c>
      <c r="O1605" t="str">
        <f>INDEX(Products!C:C,MATCH(OrdersTable[[#This Row],[Product ID]],Products!A:A,0))</f>
        <v>Home &amp; Kitchen</v>
      </c>
      <c r="P1605">
        <v>2</v>
      </c>
      <c r="Q1605" s="5">
        <v>899</v>
      </c>
      <c r="R1605" s="74">
        <v>0.3</v>
      </c>
      <c r="S1605" s="75">
        <f>OrdersTable[[#This Row],[Quantity]]*OrdersTable[[#This Row],[Unit Price]]</f>
        <v>1798</v>
      </c>
      <c r="T1605" s="5">
        <f>OrdersTable[[#This Row],[Gross Sale]]*OrdersTable[[#This Row],[Discount_Clean2]]</f>
        <v>539.4</v>
      </c>
      <c r="U1605" s="5">
        <f>OrdersTable[[#This Row],[Gross Sale]]-OrdersTable[[#This Row],[Discount Amount]]</f>
        <v>1258.5999999999999</v>
      </c>
      <c r="V1605" s="77">
        <f>INDEX(Products!E:E,MATCH(OrdersTable[[#This Row],[Product ID]],Products!A:A,0))</f>
        <v>378</v>
      </c>
      <c r="W1605" s="77">
        <f>OrdersTable[[#This Row],[Quantity]]*OrdersTable[[#This Row],[Unit Cost]]</f>
        <v>756</v>
      </c>
      <c r="X1605" s="77">
        <f>'Dropdown Lists'!$I$2*(1+OrdersTable[[#This Row],[Returned]])</f>
        <v>60</v>
      </c>
      <c r="Y1605" s="76">
        <f>OrdersTable[[#This Row],[Net Revenue]]-OrdersTable[[#This Row],[COGS]]-OrdersTable[[#This Row],[Shipping Cost]]</f>
        <v>442.59999999999991</v>
      </c>
      <c r="Z1605" s="78">
        <f>IFERROR(OrdersTable[[#This Row],[Profit]]/OrdersTable[[#This Row],[Net Revenue]],0)</f>
        <v>0.35166057524233268</v>
      </c>
      <c r="AA1605" t="s">
        <v>18</v>
      </c>
      <c r="AB1605" s="79">
        <v>45592</v>
      </c>
      <c r="AC1605">
        <f>OrdersTable[[#This Row],[Delivery Date]]-OrdersTable[[#This Row],[Order Date]]</f>
        <v>4</v>
      </c>
      <c r="AD1605" t="str">
        <f>IF(OrdersTable[[#This Row],[Delivery Days]]&lt;=2, "Express (≤2d)", IF(OrdersTable[[#This Row],[Delivery Days]]&lt;=4, "Standard (3-4d)", "Delayed (5d+)"))</f>
        <v>Standard (3-4d)</v>
      </c>
      <c r="AF1605">
        <v>0</v>
      </c>
    </row>
    <row r="1606" spans="1:32" ht="15" x14ac:dyDescent="0.35">
      <c r="A1606" t="s">
        <v>4579</v>
      </c>
      <c r="B1606" s="1">
        <v>45588</v>
      </c>
      <c r="C1606">
        <f>YEAR(OrdersTable[[#This Row],[Order Date]])</f>
        <v>2024</v>
      </c>
      <c r="D1606" s="2">
        <f>DATE(YEAR(OrdersTable[[#This Row],[Order Date]]),MONTH(OrdersTable[[#This Row],[Order Date]]),1)</f>
        <v>45566</v>
      </c>
      <c r="E1606">
        <f>MONTH(OrdersTable[[#This Row],[Order Date]])</f>
        <v>10</v>
      </c>
      <c r="F1606" t="s">
        <v>536</v>
      </c>
      <c r="G1606" t="str">
        <f>IF(OrdersTable[[#This Row],[Order Date]]=_xlfn.MINIFS(Order_Date, Customer_ID, OrdersTable[[#This Row],[Customer ID]]), "New", "Repeat")</f>
        <v>New</v>
      </c>
      <c r="H1606" t="s">
        <v>27</v>
      </c>
      <c r="I1606" t="str">
        <f>INDEX(State!B:B,MATCH(OrdersTable[[#This Row],[State]],State!A:A,0))</f>
        <v>WB</v>
      </c>
      <c r="J1606" t="str">
        <f>INDEX(State!C:C,MATCH(OrdersTable[[#This Row],[State Code]],State!B:B,0))</f>
        <v>East</v>
      </c>
      <c r="K1606" t="s">
        <v>28</v>
      </c>
      <c r="L1606" t="s">
        <v>23</v>
      </c>
      <c r="M1606" t="s">
        <v>24</v>
      </c>
      <c r="N1606" t="str">
        <f>INDEX(Products!B:B,MATCH(OrdersTable[[#This Row],[Product ID]],Products!A:A,0))</f>
        <v>Scented Candle Set</v>
      </c>
      <c r="O1606" t="str">
        <f>INDEX(Products!C:C,MATCH(OrdersTable[[#This Row],[Product ID]],Products!A:A,0))</f>
        <v>Home &amp; Kitchen</v>
      </c>
      <c r="P1606">
        <v>1</v>
      </c>
      <c r="Q1606" s="5">
        <v>699</v>
      </c>
      <c r="R1606" s="74">
        <v>0.4</v>
      </c>
      <c r="S1606" s="75">
        <f>OrdersTable[[#This Row],[Quantity]]*OrdersTable[[#This Row],[Unit Price]]</f>
        <v>699</v>
      </c>
      <c r="T1606" s="5">
        <f>OrdersTable[[#This Row],[Gross Sale]]*OrdersTable[[#This Row],[Discount_Clean2]]</f>
        <v>279.60000000000002</v>
      </c>
      <c r="U1606" s="5">
        <f>OrdersTable[[#This Row],[Gross Sale]]-OrdersTable[[#This Row],[Discount Amount]]</f>
        <v>419.4</v>
      </c>
      <c r="V1606" s="77">
        <f>INDEX(Products!E:E,MATCH(OrdersTable[[#This Row],[Product ID]],Products!A:A,0))</f>
        <v>245</v>
      </c>
      <c r="W1606" s="77">
        <f>OrdersTable[[#This Row],[Quantity]]*OrdersTable[[#This Row],[Unit Cost]]</f>
        <v>245</v>
      </c>
      <c r="X1606" s="77">
        <f>'Dropdown Lists'!$I$2*(1+OrdersTable[[#This Row],[Returned]])</f>
        <v>60</v>
      </c>
      <c r="Y1606" s="76">
        <f>OrdersTable[[#This Row],[Net Revenue]]-OrdersTable[[#This Row],[COGS]]-OrdersTable[[#This Row],[Shipping Cost]]</f>
        <v>114.39999999999998</v>
      </c>
      <c r="Z1606" s="78">
        <f>IFERROR(OrdersTable[[#This Row],[Profit]]/OrdersTable[[#This Row],[Net Revenue]],0)</f>
        <v>0.27277062470195512</v>
      </c>
      <c r="AA1606" t="s">
        <v>4450</v>
      </c>
      <c r="AB1606" s="79">
        <v>45592</v>
      </c>
      <c r="AC1606">
        <f>OrdersTable[[#This Row],[Delivery Date]]-OrdersTable[[#This Row],[Order Date]]</f>
        <v>4</v>
      </c>
      <c r="AD1606" t="str">
        <f>IF(OrdersTable[[#This Row],[Delivery Days]]&lt;=2, "Express (≤2d)", IF(OrdersTable[[#This Row],[Delivery Days]]&lt;=4, "Standard (3-4d)", "Delayed (5d+)"))</f>
        <v>Standard (3-4d)</v>
      </c>
      <c r="AF1606">
        <v>0</v>
      </c>
    </row>
    <row r="1607" spans="1:32" ht="15" x14ac:dyDescent="0.35">
      <c r="A1607" t="s">
        <v>2583</v>
      </c>
      <c r="B1607" s="1">
        <v>45588</v>
      </c>
      <c r="C1607">
        <f>YEAR(OrdersTable[[#This Row],[Order Date]])</f>
        <v>2024</v>
      </c>
      <c r="D1607" s="2">
        <f>DATE(YEAR(OrdersTable[[#This Row],[Order Date]]),MONTH(OrdersTable[[#This Row],[Order Date]]),1)</f>
        <v>45566</v>
      </c>
      <c r="E1607">
        <f>MONTH(OrdersTable[[#This Row],[Order Date]])</f>
        <v>10</v>
      </c>
      <c r="F1607" t="s">
        <v>2584</v>
      </c>
      <c r="G1607" t="str">
        <f>IF(OrdersTable[[#This Row],[Order Date]]=_xlfn.MINIFS(Order_Date, Customer_ID, OrdersTable[[#This Row],[Customer ID]]), "New", "Repeat")</f>
        <v>Repeat</v>
      </c>
      <c r="H1607" t="s">
        <v>167</v>
      </c>
      <c r="I1607" t="str">
        <f>INDEX(State!B:B,MATCH(OrdersTable[[#This Row],[State]],State!A:A,0))</f>
        <v>KA</v>
      </c>
      <c r="J1607" t="str">
        <f>INDEX(State!C:C,MATCH(OrdersTable[[#This Row],[State Code]],State!B:B,0))</f>
        <v>South</v>
      </c>
      <c r="K1607" t="s">
        <v>168</v>
      </c>
      <c r="L1607" t="s">
        <v>23</v>
      </c>
      <c r="M1607" t="s">
        <v>228</v>
      </c>
      <c r="N1607" t="str">
        <f>INDEX(Products!B:B,MATCH(OrdersTable[[#This Row],[Product ID]],Products!A:A,0))</f>
        <v>Fast Charger 33W</v>
      </c>
      <c r="O1607" t="str">
        <f>INDEX(Products!C:C,MATCH(OrdersTable[[#This Row],[Product ID]],Products!A:A,0))</f>
        <v>Electronics</v>
      </c>
      <c r="P1607">
        <v>1</v>
      </c>
      <c r="Q1607" s="5">
        <v>899</v>
      </c>
      <c r="R1607" s="74">
        <v>0.05</v>
      </c>
      <c r="S1607" s="75">
        <f>OrdersTable[[#This Row],[Quantity]]*OrdersTable[[#This Row],[Unit Price]]</f>
        <v>899</v>
      </c>
      <c r="T1607" s="5">
        <f>OrdersTable[[#This Row],[Gross Sale]]*OrdersTable[[#This Row],[Discount_Clean2]]</f>
        <v>44.95</v>
      </c>
      <c r="U1607" s="5">
        <f>OrdersTable[[#This Row],[Gross Sale]]-OrdersTable[[#This Row],[Discount Amount]]</f>
        <v>854.05</v>
      </c>
      <c r="V1607" s="77">
        <f>INDEX(Products!E:E,MATCH(OrdersTable[[#This Row],[Product ID]],Products!A:A,0))</f>
        <v>494</v>
      </c>
      <c r="W1607" s="77">
        <f>OrdersTable[[#This Row],[Quantity]]*OrdersTable[[#This Row],[Unit Cost]]</f>
        <v>494</v>
      </c>
      <c r="X1607" s="77">
        <f>'Dropdown Lists'!$I$2*(1+OrdersTable[[#This Row],[Returned]])</f>
        <v>60</v>
      </c>
      <c r="Y1607" s="76">
        <f>OrdersTable[[#This Row],[Net Revenue]]-OrdersTable[[#This Row],[COGS]]-OrdersTable[[#This Row],[Shipping Cost]]</f>
        <v>300.04999999999995</v>
      </c>
      <c r="Z1607" s="78">
        <f>IFERROR(OrdersTable[[#This Row],[Profit]]/OrdersTable[[#This Row],[Net Revenue]],0)</f>
        <v>0.35132603477548152</v>
      </c>
      <c r="AA1607" t="s">
        <v>2522</v>
      </c>
      <c r="AB1607" s="79">
        <v>45590</v>
      </c>
      <c r="AC1607">
        <f>OrdersTable[[#This Row],[Delivery Date]]-OrdersTable[[#This Row],[Order Date]]</f>
        <v>2</v>
      </c>
      <c r="AD1607" t="str">
        <f>IF(OrdersTable[[#This Row],[Delivery Days]]&lt;=2, "Express (≤2d)", IF(OrdersTable[[#This Row],[Delivery Days]]&lt;=4, "Standard (3-4d)", "Delayed (5d+)"))</f>
        <v>Express (≤2d)</v>
      </c>
      <c r="AE1607">
        <v>5</v>
      </c>
      <c r="AF1607">
        <v>0</v>
      </c>
    </row>
    <row r="1608" spans="1:32" ht="15" x14ac:dyDescent="0.35">
      <c r="A1608" t="s">
        <v>6517</v>
      </c>
      <c r="B1608" s="1">
        <v>45588</v>
      </c>
      <c r="C1608">
        <f>YEAR(OrdersTable[[#This Row],[Order Date]])</f>
        <v>2024</v>
      </c>
      <c r="D1608" s="2">
        <f>DATE(YEAR(OrdersTable[[#This Row],[Order Date]]),MONTH(OrdersTable[[#This Row],[Order Date]]),1)</f>
        <v>45566</v>
      </c>
      <c r="E1608">
        <f>MONTH(OrdersTable[[#This Row],[Order Date]])</f>
        <v>10</v>
      </c>
      <c r="F1608" t="s">
        <v>6518</v>
      </c>
      <c r="G1608" t="str">
        <f>IF(OrdersTable[[#This Row],[Order Date]]=_xlfn.MINIFS(Order_Date, Customer_ID, OrdersTable[[#This Row],[Customer ID]]), "New", "Repeat")</f>
        <v>New</v>
      </c>
      <c r="H1608" t="s">
        <v>167</v>
      </c>
      <c r="I1608" t="str">
        <f>INDEX(State!B:B,MATCH(OrdersTable[[#This Row],[State]],State!A:A,0))</f>
        <v>KA</v>
      </c>
      <c r="J1608" t="str">
        <f>INDEX(State!C:C,MATCH(OrdersTable[[#This Row],[State Code]],State!B:B,0))</f>
        <v>South</v>
      </c>
      <c r="K1608" t="s">
        <v>190</v>
      </c>
      <c r="L1608" t="s">
        <v>23</v>
      </c>
      <c r="M1608" t="s">
        <v>51</v>
      </c>
      <c r="N1608" t="str">
        <f>INDEX(Products!B:B,MATCH(OrdersTable[[#This Row],[Product ID]],Products!A:A,0))</f>
        <v>Anti-Dandruff Conditioner</v>
      </c>
      <c r="O1608" t="str">
        <f>INDEX(Products!C:C,MATCH(OrdersTable[[#This Row],[Product ID]],Products!A:A,0))</f>
        <v>Haircare</v>
      </c>
      <c r="P1608">
        <v>3</v>
      </c>
      <c r="Q1608" s="5">
        <v>399</v>
      </c>
      <c r="R1608" s="74">
        <v>0.5</v>
      </c>
      <c r="S1608" s="75">
        <f>OrdersTable[[#This Row],[Quantity]]*OrdersTable[[#This Row],[Unit Price]]</f>
        <v>1197</v>
      </c>
      <c r="T1608" s="5">
        <f>OrdersTable[[#This Row],[Gross Sale]]*OrdersTable[[#This Row],[Discount_Clean2]]</f>
        <v>598.5</v>
      </c>
      <c r="U1608" s="5">
        <f>OrdersTable[[#This Row],[Gross Sale]]-OrdersTable[[#This Row],[Discount Amount]]</f>
        <v>598.5</v>
      </c>
      <c r="V1608" s="77">
        <f>INDEX(Products!E:E,MATCH(OrdersTable[[#This Row],[Product ID]],Products!A:A,0))</f>
        <v>136</v>
      </c>
      <c r="W1608" s="77">
        <f>OrdersTable[[#This Row],[Quantity]]*OrdersTable[[#This Row],[Unit Cost]]</f>
        <v>408</v>
      </c>
      <c r="X1608" s="77">
        <f>'Dropdown Lists'!$I$2*(1+OrdersTable[[#This Row],[Returned]])</f>
        <v>60</v>
      </c>
      <c r="Y1608" s="76">
        <f>OrdersTable[[#This Row],[Net Revenue]]-OrdersTable[[#This Row],[COGS]]-OrdersTable[[#This Row],[Shipping Cost]]</f>
        <v>130.5</v>
      </c>
      <c r="Z1608" s="78">
        <f>IFERROR(OrdersTable[[#This Row],[Profit]]/OrdersTable[[#This Row],[Net Revenue]],0)</f>
        <v>0.21804511278195488</v>
      </c>
      <c r="AA1608" t="s">
        <v>18</v>
      </c>
      <c r="AB1608" s="79">
        <v>45590</v>
      </c>
      <c r="AC1608">
        <f>OrdersTable[[#This Row],[Delivery Date]]-OrdersTable[[#This Row],[Order Date]]</f>
        <v>2</v>
      </c>
      <c r="AD1608" t="str">
        <f>IF(OrdersTable[[#This Row],[Delivery Days]]&lt;=2, "Express (≤2d)", IF(OrdersTable[[#This Row],[Delivery Days]]&lt;=4, "Standard (3-4d)", "Delayed (5d+)"))</f>
        <v>Express (≤2d)</v>
      </c>
      <c r="AF1608">
        <v>0</v>
      </c>
    </row>
    <row r="1609" spans="1:32" ht="15" x14ac:dyDescent="0.35">
      <c r="A1609" t="s">
        <v>1236</v>
      </c>
      <c r="B1609" s="1">
        <v>45588</v>
      </c>
      <c r="C1609">
        <f>YEAR(OrdersTable[[#This Row],[Order Date]])</f>
        <v>2024</v>
      </c>
      <c r="D1609" s="2">
        <f>DATE(YEAR(OrdersTable[[#This Row],[Order Date]]),MONTH(OrdersTable[[#This Row],[Order Date]]),1)</f>
        <v>45566</v>
      </c>
      <c r="E1609">
        <f>MONTH(OrdersTable[[#This Row],[Order Date]])</f>
        <v>10</v>
      </c>
      <c r="F1609" t="s">
        <v>1237</v>
      </c>
      <c r="G1609" t="str">
        <f>IF(OrdersTable[[#This Row],[Order Date]]=_xlfn.MINIFS(Order_Date, Customer_ID, OrdersTable[[#This Row],[Customer ID]]), "New", "Repeat")</f>
        <v>Repeat</v>
      </c>
      <c r="H1609" t="s">
        <v>167</v>
      </c>
      <c r="I1609" t="str">
        <f>INDEX(State!B:B,MATCH(OrdersTable[[#This Row],[State]],State!A:A,0))</f>
        <v>KA</v>
      </c>
      <c r="J1609" t="str">
        <f>INDEX(State!C:C,MATCH(OrdersTable[[#This Row],[State Code]],State!B:B,0))</f>
        <v>South</v>
      </c>
      <c r="K1609" t="s">
        <v>168</v>
      </c>
      <c r="L1609" t="s">
        <v>16</v>
      </c>
      <c r="M1609" t="s">
        <v>92</v>
      </c>
      <c r="N1609" t="str">
        <f>INDEX(Products!B:B,MATCH(OrdersTable[[#This Row],[Product ID]],Products!A:A,0))</f>
        <v>Kolhapuri Sandals</v>
      </c>
      <c r="O1609" t="str">
        <f>INDEX(Products!C:C,MATCH(OrdersTable[[#This Row],[Product ID]],Products!A:A,0))</f>
        <v>Footwear</v>
      </c>
      <c r="P1609">
        <v>1</v>
      </c>
      <c r="Q1609" s="5">
        <v>999</v>
      </c>
      <c r="R1609" s="74">
        <v>0.25</v>
      </c>
      <c r="S1609" s="75">
        <f>OrdersTable[[#This Row],[Quantity]]*OrdersTable[[#This Row],[Unit Price]]</f>
        <v>999</v>
      </c>
      <c r="T1609" s="5">
        <f>OrdersTable[[#This Row],[Gross Sale]]*OrdersTable[[#This Row],[Discount_Clean2]]</f>
        <v>249.75</v>
      </c>
      <c r="U1609" s="5">
        <f>OrdersTable[[#This Row],[Gross Sale]]-OrdersTable[[#This Row],[Discount Amount]]</f>
        <v>749.25</v>
      </c>
      <c r="V1609" s="77">
        <f>INDEX(Products!E:E,MATCH(OrdersTable[[#This Row],[Product ID]],Products!A:A,0))</f>
        <v>400</v>
      </c>
      <c r="W1609" s="77">
        <f>OrdersTable[[#This Row],[Quantity]]*OrdersTable[[#This Row],[Unit Cost]]</f>
        <v>400</v>
      </c>
      <c r="X1609" s="77">
        <f>'Dropdown Lists'!$I$2*(1+OrdersTable[[#This Row],[Returned]])</f>
        <v>60</v>
      </c>
      <c r="Y1609" s="76">
        <f>OrdersTable[[#This Row],[Net Revenue]]-OrdersTable[[#This Row],[COGS]]-OrdersTable[[#This Row],[Shipping Cost]]</f>
        <v>289.25</v>
      </c>
      <c r="Z1609" s="78">
        <f>IFERROR(OrdersTable[[#This Row],[Profit]]/OrdersTable[[#This Row],[Net Revenue]],0)</f>
        <v>0.38605271938605273</v>
      </c>
      <c r="AA1609" t="s">
        <v>18</v>
      </c>
      <c r="AB1609" s="79">
        <v>45591</v>
      </c>
      <c r="AC1609">
        <f>OrdersTable[[#This Row],[Delivery Date]]-OrdersTable[[#This Row],[Order Date]]</f>
        <v>3</v>
      </c>
      <c r="AD1609" t="str">
        <f>IF(OrdersTable[[#This Row],[Delivery Days]]&lt;=2, "Express (≤2d)", IF(OrdersTable[[#This Row],[Delivery Days]]&lt;=4, "Standard (3-4d)", "Delayed (5d+)"))</f>
        <v>Standard (3-4d)</v>
      </c>
      <c r="AF1609">
        <v>0</v>
      </c>
    </row>
    <row r="1610" spans="1:32" ht="15" x14ac:dyDescent="0.35">
      <c r="A1610" t="s">
        <v>5785</v>
      </c>
      <c r="B1610" s="1">
        <v>45588</v>
      </c>
      <c r="C1610">
        <f>YEAR(OrdersTable[[#This Row],[Order Date]])</f>
        <v>2024</v>
      </c>
      <c r="D1610" s="2">
        <f>DATE(YEAR(OrdersTable[[#This Row],[Order Date]]),MONTH(OrdersTable[[#This Row],[Order Date]]),1)</f>
        <v>45566</v>
      </c>
      <c r="E1610">
        <f>MONTH(OrdersTable[[#This Row],[Order Date]])</f>
        <v>10</v>
      </c>
      <c r="F1610" t="s">
        <v>905</v>
      </c>
      <c r="G1610" t="str">
        <f>IF(OrdersTable[[#This Row],[Order Date]]=_xlfn.MINIFS(Order_Date, Customer_ID, OrdersTable[[#This Row],[Customer ID]]), "New", "Repeat")</f>
        <v>Repeat</v>
      </c>
      <c r="H1610" t="s">
        <v>167</v>
      </c>
      <c r="I1610" t="str">
        <f>INDEX(State!B:B,MATCH(OrdersTable[[#This Row],[State]],State!A:A,0))</f>
        <v>KA</v>
      </c>
      <c r="J1610" t="str">
        <f>INDEX(State!C:C,MATCH(OrdersTable[[#This Row],[State Code]],State!B:B,0))</f>
        <v>South</v>
      </c>
      <c r="K1610" t="s">
        <v>190</v>
      </c>
      <c r="L1610" t="s">
        <v>65</v>
      </c>
      <c r="M1610" t="s">
        <v>148</v>
      </c>
      <c r="N1610" t="str">
        <f>INDEX(Products!B:B,MATCH(OrdersTable[[#This Row],[Product ID]],Products!A:A,0))</f>
        <v>Smartwatch Strap</v>
      </c>
      <c r="O1610" t="str">
        <f>INDEX(Products!C:C,MATCH(OrdersTable[[#This Row],[Product ID]],Products!A:A,0))</f>
        <v>Electronics</v>
      </c>
      <c r="P1610">
        <v>2</v>
      </c>
      <c r="Q1610" s="5">
        <v>499</v>
      </c>
      <c r="R1610" s="74">
        <v>0.3</v>
      </c>
      <c r="S1610" s="75">
        <f>OrdersTable[[#This Row],[Quantity]]*OrdersTable[[#This Row],[Unit Price]]</f>
        <v>998</v>
      </c>
      <c r="T1610" s="5">
        <f>OrdersTable[[#This Row],[Gross Sale]]*OrdersTable[[#This Row],[Discount_Clean2]]</f>
        <v>299.39999999999998</v>
      </c>
      <c r="U1610" s="5">
        <f>OrdersTable[[#This Row],[Gross Sale]]-OrdersTable[[#This Row],[Discount Amount]]</f>
        <v>698.6</v>
      </c>
      <c r="V1610" s="77">
        <f>INDEX(Products!E:E,MATCH(OrdersTable[[#This Row],[Product ID]],Products!A:A,0))</f>
        <v>200</v>
      </c>
      <c r="W1610" s="77">
        <f>OrdersTable[[#This Row],[Quantity]]*OrdersTable[[#This Row],[Unit Cost]]</f>
        <v>400</v>
      </c>
      <c r="X1610" s="77">
        <f>'Dropdown Lists'!$I$2*(1+OrdersTable[[#This Row],[Returned]])</f>
        <v>60</v>
      </c>
      <c r="Y1610" s="76">
        <f>OrdersTable[[#This Row],[Net Revenue]]-OrdersTable[[#This Row],[COGS]]-OrdersTable[[#This Row],[Shipping Cost]]</f>
        <v>238.60000000000002</v>
      </c>
      <c r="Z1610" s="78">
        <f>IFERROR(OrdersTable[[#This Row],[Profit]]/OrdersTable[[#This Row],[Net Revenue]],0)</f>
        <v>0.34154022330375039</v>
      </c>
      <c r="AA1610" t="s">
        <v>18</v>
      </c>
      <c r="AB1610" s="79">
        <v>45589</v>
      </c>
      <c r="AC1610">
        <f>OrdersTable[[#This Row],[Delivery Date]]-OrdersTable[[#This Row],[Order Date]]</f>
        <v>1</v>
      </c>
      <c r="AD1610" t="str">
        <f>IF(OrdersTable[[#This Row],[Delivery Days]]&lt;=2, "Express (≤2d)", IF(OrdersTable[[#This Row],[Delivery Days]]&lt;=4, "Standard (3-4d)", "Delayed (5d+)"))</f>
        <v>Express (≤2d)</v>
      </c>
      <c r="AE1610">
        <v>5</v>
      </c>
      <c r="AF1610">
        <v>0</v>
      </c>
    </row>
    <row r="1611" spans="1:32" ht="15" x14ac:dyDescent="0.35">
      <c r="A1611" t="s">
        <v>2109</v>
      </c>
      <c r="B1611" s="1">
        <v>45588</v>
      </c>
      <c r="C1611">
        <f>YEAR(OrdersTable[[#This Row],[Order Date]])</f>
        <v>2024</v>
      </c>
      <c r="D1611" s="2">
        <f>DATE(YEAR(OrdersTable[[#This Row],[Order Date]]),MONTH(OrdersTable[[#This Row],[Order Date]]),1)</f>
        <v>45566</v>
      </c>
      <c r="E1611">
        <f>MONTH(OrdersTable[[#This Row],[Order Date]])</f>
        <v>10</v>
      </c>
      <c r="F1611" t="s">
        <v>1762</v>
      </c>
      <c r="G1611" t="str">
        <f>IF(OrdersTable[[#This Row],[Order Date]]=_xlfn.MINIFS(Order_Date, Customer_ID, OrdersTable[[#This Row],[Customer ID]]), "New", "Repeat")</f>
        <v>Repeat</v>
      </c>
      <c r="H1611" t="s">
        <v>167</v>
      </c>
      <c r="I1611" t="str">
        <f>INDEX(State!B:B,MATCH(OrdersTable[[#This Row],[State]],State!A:A,0))</f>
        <v>KA</v>
      </c>
      <c r="J1611" t="str">
        <f>INDEX(State!C:C,MATCH(OrdersTable[[#This Row],[State Code]],State!B:B,0))</f>
        <v>South</v>
      </c>
      <c r="K1611" t="s">
        <v>190</v>
      </c>
      <c r="L1611" t="s">
        <v>65</v>
      </c>
      <c r="M1611" t="s">
        <v>73</v>
      </c>
      <c r="N1611" t="str">
        <f>INDEX(Products!B:B,MATCH(OrdersTable[[#This Row],[Product ID]],Products!A:A,0))</f>
        <v>Hydrating Face Wash</v>
      </c>
      <c r="O1611" t="str">
        <f>INDEX(Products!C:C,MATCH(OrdersTable[[#This Row],[Product ID]],Products!A:A,0))</f>
        <v>Skincare</v>
      </c>
      <c r="P1611">
        <v>1</v>
      </c>
      <c r="Q1611" s="5">
        <v>299</v>
      </c>
      <c r="R1611" s="74">
        <v>0.2</v>
      </c>
      <c r="S1611" s="75">
        <f>OrdersTable[[#This Row],[Quantity]]*OrdersTable[[#This Row],[Unit Price]]</f>
        <v>299</v>
      </c>
      <c r="T1611" s="5">
        <f>OrdersTable[[#This Row],[Gross Sale]]*OrdersTable[[#This Row],[Discount_Clean2]]</f>
        <v>59.800000000000004</v>
      </c>
      <c r="U1611" s="5">
        <f>OrdersTable[[#This Row],[Gross Sale]]-OrdersTable[[#This Row],[Discount Amount]]</f>
        <v>239.2</v>
      </c>
      <c r="V1611" s="77">
        <f>INDEX(Products!E:E,MATCH(OrdersTable[[#This Row],[Product ID]],Products!A:A,0))</f>
        <v>90</v>
      </c>
      <c r="W1611" s="77">
        <f>OrdersTable[[#This Row],[Quantity]]*OrdersTable[[#This Row],[Unit Cost]]</f>
        <v>90</v>
      </c>
      <c r="X1611" s="77">
        <f>'Dropdown Lists'!$I$2*(1+OrdersTable[[#This Row],[Returned]])</f>
        <v>60</v>
      </c>
      <c r="Y1611" s="76">
        <f>OrdersTable[[#This Row],[Net Revenue]]-OrdersTable[[#This Row],[COGS]]-OrdersTable[[#This Row],[Shipping Cost]]</f>
        <v>89.199999999999989</v>
      </c>
      <c r="Z1611" s="78">
        <f>IFERROR(OrdersTable[[#This Row],[Profit]]/OrdersTable[[#This Row],[Net Revenue]],0)</f>
        <v>0.37290969899665549</v>
      </c>
      <c r="AA1611" t="s">
        <v>18</v>
      </c>
      <c r="AB1611" s="79">
        <v>45592</v>
      </c>
      <c r="AC1611">
        <f>OrdersTable[[#This Row],[Delivery Date]]-OrdersTable[[#This Row],[Order Date]]</f>
        <v>4</v>
      </c>
      <c r="AD1611" t="str">
        <f>IF(OrdersTable[[#This Row],[Delivery Days]]&lt;=2, "Express (≤2d)", IF(OrdersTable[[#This Row],[Delivery Days]]&lt;=4, "Standard (3-4d)", "Delayed (5d+)"))</f>
        <v>Standard (3-4d)</v>
      </c>
      <c r="AE1611">
        <v>3</v>
      </c>
      <c r="AF1611">
        <v>0</v>
      </c>
    </row>
    <row r="1612" spans="1:32" ht="15" x14ac:dyDescent="0.35">
      <c r="A1612" t="s">
        <v>5128</v>
      </c>
      <c r="B1612" s="1">
        <v>45589</v>
      </c>
      <c r="C1612">
        <f>YEAR(OrdersTable[[#This Row],[Order Date]])</f>
        <v>2024</v>
      </c>
      <c r="D1612" s="2">
        <f>DATE(YEAR(OrdersTable[[#This Row],[Order Date]]),MONTH(OrdersTable[[#This Row],[Order Date]]),1)</f>
        <v>45566</v>
      </c>
      <c r="E1612">
        <f>MONTH(OrdersTable[[#This Row],[Order Date]])</f>
        <v>10</v>
      </c>
      <c r="F1612" t="s">
        <v>1046</v>
      </c>
      <c r="G1612" t="str">
        <f>IF(OrdersTable[[#This Row],[Order Date]]=_xlfn.MINIFS(Order_Date, Customer_ID, OrdersTable[[#This Row],[Customer ID]]), "New", "Repeat")</f>
        <v>Repeat</v>
      </c>
      <c r="H1612" t="s">
        <v>158</v>
      </c>
      <c r="I1612" t="str">
        <f>INDEX(State!B:B,MATCH(OrdersTable[[#This Row],[State]],State!A:A,0))</f>
        <v>HP</v>
      </c>
      <c r="J1612" t="str">
        <f>INDEX(State!C:C,MATCH(OrdersTable[[#This Row],[State Code]],State!B:B,0))</f>
        <v>North</v>
      </c>
      <c r="K1612" t="s">
        <v>159</v>
      </c>
      <c r="L1612" t="s">
        <v>16</v>
      </c>
      <c r="M1612" t="s">
        <v>29</v>
      </c>
      <c r="N1612" t="str">
        <f>INDEX(Products!B:B,MATCH(OrdersTable[[#This Row],[Product ID]],Products!A:A,0))</f>
        <v>Joggers</v>
      </c>
      <c r="O1612" t="str">
        <f>INDEX(Products!C:C,MATCH(OrdersTable[[#This Row],[Product ID]],Products!A:A,0))</f>
        <v>Apparel</v>
      </c>
      <c r="P1612">
        <v>2</v>
      </c>
      <c r="Q1612" s="5">
        <v>1199</v>
      </c>
      <c r="R1612" s="74">
        <v>0.3</v>
      </c>
      <c r="S1612" s="75">
        <f>OrdersTable[[#This Row],[Quantity]]*OrdersTable[[#This Row],[Unit Price]]</f>
        <v>2398</v>
      </c>
      <c r="T1612" s="5">
        <f>OrdersTable[[#This Row],[Gross Sale]]*OrdersTable[[#This Row],[Discount_Clean2]]</f>
        <v>719.4</v>
      </c>
      <c r="U1612" s="5">
        <f>OrdersTable[[#This Row],[Gross Sale]]-OrdersTable[[#This Row],[Discount Amount]]</f>
        <v>1678.6</v>
      </c>
      <c r="V1612" s="77">
        <f>INDEX(Products!E:E,MATCH(OrdersTable[[#This Row],[Product ID]],Products!A:A,0))</f>
        <v>492</v>
      </c>
      <c r="W1612" s="77">
        <f>OrdersTable[[#This Row],[Quantity]]*OrdersTable[[#This Row],[Unit Cost]]</f>
        <v>984</v>
      </c>
      <c r="X1612" s="77">
        <f>'Dropdown Lists'!$I$2*(1+OrdersTable[[#This Row],[Returned]])</f>
        <v>60</v>
      </c>
      <c r="Y1612" s="76">
        <f>OrdersTable[[#This Row],[Net Revenue]]-OrdersTable[[#This Row],[COGS]]-OrdersTable[[#This Row],[Shipping Cost]]</f>
        <v>634.59999999999991</v>
      </c>
      <c r="Z1612" s="78">
        <f>IFERROR(OrdersTable[[#This Row],[Profit]]/OrdersTable[[#This Row],[Net Revenue]],0)</f>
        <v>0.37805313952102937</v>
      </c>
      <c r="AA1612" t="s">
        <v>3495</v>
      </c>
      <c r="AB1612" s="79">
        <v>45594</v>
      </c>
      <c r="AC1612">
        <f>OrdersTable[[#This Row],[Delivery Date]]-OrdersTable[[#This Row],[Order Date]]</f>
        <v>5</v>
      </c>
      <c r="AD1612" t="str">
        <f>IF(OrdersTable[[#This Row],[Delivery Days]]&lt;=2, "Express (≤2d)", IF(OrdersTable[[#This Row],[Delivery Days]]&lt;=4, "Standard (3-4d)", "Delayed (5d+)"))</f>
        <v>Delayed (5d+)</v>
      </c>
      <c r="AF1612">
        <v>0</v>
      </c>
    </row>
    <row r="1613" spans="1:32" ht="15" x14ac:dyDescent="0.35">
      <c r="A1613" t="s">
        <v>4580</v>
      </c>
      <c r="B1613" s="1">
        <v>45589</v>
      </c>
      <c r="C1613">
        <f>YEAR(OrdersTable[[#This Row],[Order Date]])</f>
        <v>2024</v>
      </c>
      <c r="D1613" s="2">
        <f>DATE(YEAR(OrdersTable[[#This Row],[Order Date]]),MONTH(OrdersTable[[#This Row],[Order Date]]),1)</f>
        <v>45566</v>
      </c>
      <c r="E1613">
        <f>MONTH(OrdersTable[[#This Row],[Order Date]])</f>
        <v>10</v>
      </c>
      <c r="F1613" t="s">
        <v>4383</v>
      </c>
      <c r="G1613" t="str">
        <f>IF(OrdersTable[[#This Row],[Order Date]]=_xlfn.MINIFS(Order_Date, Customer_ID, OrdersTable[[#This Row],[Customer ID]]), "New", "Repeat")</f>
        <v>New</v>
      </c>
      <c r="H1613" t="s">
        <v>27</v>
      </c>
      <c r="I1613" t="str">
        <f>INDEX(State!B:B,MATCH(OrdersTable[[#This Row],[State]],State!A:A,0))</f>
        <v>WB</v>
      </c>
      <c r="J1613" t="str">
        <f>INDEX(State!C:C,MATCH(OrdersTable[[#This Row],[State Code]],State!B:B,0))</f>
        <v>East</v>
      </c>
      <c r="K1613" t="s">
        <v>28</v>
      </c>
      <c r="L1613" t="s">
        <v>39</v>
      </c>
      <c r="M1613" t="s">
        <v>73</v>
      </c>
      <c r="N1613" t="str">
        <f>INDEX(Products!B:B,MATCH(OrdersTable[[#This Row],[Product ID]],Products!A:A,0))</f>
        <v>Hydrating Face Wash</v>
      </c>
      <c r="O1613" t="str">
        <f>INDEX(Products!C:C,MATCH(OrdersTable[[#This Row],[Product ID]],Products!A:A,0))</f>
        <v>Skincare</v>
      </c>
      <c r="P1613">
        <v>1</v>
      </c>
      <c r="Q1613" s="5">
        <v>299</v>
      </c>
      <c r="R1613" s="74">
        <v>0.1</v>
      </c>
      <c r="S1613" s="75">
        <f>OrdersTable[[#This Row],[Quantity]]*OrdersTable[[#This Row],[Unit Price]]</f>
        <v>299</v>
      </c>
      <c r="T1613" s="5">
        <f>OrdersTable[[#This Row],[Gross Sale]]*OrdersTable[[#This Row],[Discount_Clean2]]</f>
        <v>29.900000000000002</v>
      </c>
      <c r="U1613" s="5">
        <f>OrdersTable[[#This Row],[Gross Sale]]-OrdersTable[[#This Row],[Discount Amount]]</f>
        <v>269.10000000000002</v>
      </c>
      <c r="V1613" s="77">
        <f>INDEX(Products!E:E,MATCH(OrdersTable[[#This Row],[Product ID]],Products!A:A,0))</f>
        <v>90</v>
      </c>
      <c r="W1613" s="77">
        <f>OrdersTable[[#This Row],[Quantity]]*OrdersTable[[#This Row],[Unit Cost]]</f>
        <v>90</v>
      </c>
      <c r="X1613" s="77">
        <f>'Dropdown Lists'!$I$2*(1+OrdersTable[[#This Row],[Returned]])</f>
        <v>60</v>
      </c>
      <c r="Y1613" s="76">
        <f>OrdersTable[[#This Row],[Net Revenue]]-OrdersTable[[#This Row],[COGS]]-OrdersTable[[#This Row],[Shipping Cost]]</f>
        <v>119.10000000000002</v>
      </c>
      <c r="Z1613" s="78">
        <f>IFERROR(OrdersTable[[#This Row],[Profit]]/OrdersTable[[#This Row],[Net Revenue]],0)</f>
        <v>0.4425863991081383</v>
      </c>
      <c r="AA1613" t="s">
        <v>4450</v>
      </c>
      <c r="AB1613" s="79">
        <v>45594</v>
      </c>
      <c r="AC1613">
        <f>OrdersTable[[#This Row],[Delivery Date]]-OrdersTable[[#This Row],[Order Date]]</f>
        <v>5</v>
      </c>
      <c r="AD1613" t="str">
        <f>IF(OrdersTable[[#This Row],[Delivery Days]]&lt;=2, "Express (≤2d)", IF(OrdersTable[[#This Row],[Delivery Days]]&lt;=4, "Standard (3-4d)", "Delayed (5d+)"))</f>
        <v>Delayed (5d+)</v>
      </c>
      <c r="AF1613">
        <v>0</v>
      </c>
    </row>
    <row r="1614" spans="1:32" ht="15" x14ac:dyDescent="0.35">
      <c r="A1614" t="s">
        <v>3221</v>
      </c>
      <c r="B1614" s="1">
        <v>45589</v>
      </c>
      <c r="C1614">
        <f>YEAR(OrdersTable[[#This Row],[Order Date]])</f>
        <v>2024</v>
      </c>
      <c r="D1614" s="2">
        <f>DATE(YEAR(OrdersTable[[#This Row],[Order Date]]),MONTH(OrdersTable[[#This Row],[Order Date]]),1)</f>
        <v>45566</v>
      </c>
      <c r="E1614">
        <f>MONTH(OrdersTable[[#This Row],[Order Date]])</f>
        <v>10</v>
      </c>
      <c r="F1614" t="s">
        <v>3092</v>
      </c>
      <c r="G1614" t="str">
        <f>IF(OrdersTable[[#This Row],[Order Date]]=_xlfn.MINIFS(Order_Date, Customer_ID, OrdersTable[[#This Row],[Customer ID]]), "New", "Repeat")</f>
        <v>New</v>
      </c>
      <c r="H1614" t="s">
        <v>167</v>
      </c>
      <c r="I1614" t="str">
        <f>INDEX(State!B:B,MATCH(OrdersTable[[#This Row],[State]],State!A:A,0))</f>
        <v>KA</v>
      </c>
      <c r="J1614" t="str">
        <f>INDEX(State!C:C,MATCH(OrdersTable[[#This Row],[State Code]],State!B:B,0))</f>
        <v>South</v>
      </c>
      <c r="K1614" t="s">
        <v>168</v>
      </c>
      <c r="L1614" t="s">
        <v>23</v>
      </c>
      <c r="M1614" t="s">
        <v>34</v>
      </c>
      <c r="N1614" t="str">
        <f>INDEX(Products!B:B,MATCH(OrdersTable[[#This Row],[Product ID]],Products!A:A,0))</f>
        <v>Flip Flops</v>
      </c>
      <c r="O1614" t="str">
        <f>INDEX(Products!C:C,MATCH(OrdersTable[[#This Row],[Product ID]],Products!A:A,0))</f>
        <v>Footwear</v>
      </c>
      <c r="P1614">
        <v>1</v>
      </c>
      <c r="Q1614" s="5">
        <v>399</v>
      </c>
      <c r="R1614" s="74">
        <v>0.25</v>
      </c>
      <c r="S1614" s="75">
        <f>OrdersTable[[#This Row],[Quantity]]*OrdersTable[[#This Row],[Unit Price]]</f>
        <v>399</v>
      </c>
      <c r="T1614" s="5">
        <f>OrdersTable[[#This Row],[Gross Sale]]*OrdersTable[[#This Row],[Discount_Clean2]]</f>
        <v>99.75</v>
      </c>
      <c r="U1614" s="5">
        <f>OrdersTable[[#This Row],[Gross Sale]]-OrdersTable[[#This Row],[Discount Amount]]</f>
        <v>299.25</v>
      </c>
      <c r="V1614" s="77">
        <f>INDEX(Products!E:E,MATCH(OrdersTable[[#This Row],[Product ID]],Products!A:A,0))</f>
        <v>152</v>
      </c>
      <c r="W1614" s="77">
        <f>OrdersTable[[#This Row],[Quantity]]*OrdersTable[[#This Row],[Unit Cost]]</f>
        <v>152</v>
      </c>
      <c r="X1614" s="77">
        <f>'Dropdown Lists'!$I$2*(1+OrdersTable[[#This Row],[Returned]])</f>
        <v>60</v>
      </c>
      <c r="Y1614" s="76">
        <f>OrdersTable[[#This Row],[Net Revenue]]-OrdersTable[[#This Row],[COGS]]-OrdersTable[[#This Row],[Shipping Cost]]</f>
        <v>87.25</v>
      </c>
      <c r="Z1614" s="78">
        <f>IFERROR(OrdersTable[[#This Row],[Profit]]/OrdersTable[[#This Row],[Net Revenue]],0)</f>
        <v>0.29156223893065997</v>
      </c>
      <c r="AA1614" t="s">
        <v>2522</v>
      </c>
      <c r="AB1614" s="79">
        <v>45592</v>
      </c>
      <c r="AC1614">
        <f>OrdersTable[[#This Row],[Delivery Date]]-OrdersTable[[#This Row],[Order Date]]</f>
        <v>3</v>
      </c>
      <c r="AD1614" t="str">
        <f>IF(OrdersTable[[#This Row],[Delivery Days]]&lt;=2, "Express (≤2d)", IF(OrdersTable[[#This Row],[Delivery Days]]&lt;=4, "Standard (3-4d)", "Delayed (5d+)"))</f>
        <v>Standard (3-4d)</v>
      </c>
      <c r="AE1614">
        <v>4</v>
      </c>
      <c r="AF1614">
        <v>0</v>
      </c>
    </row>
    <row r="1615" spans="1:32" ht="15" x14ac:dyDescent="0.35">
      <c r="A1615" t="s">
        <v>943</v>
      </c>
      <c r="B1615" s="1">
        <v>45589</v>
      </c>
      <c r="C1615">
        <f>YEAR(OrdersTable[[#This Row],[Order Date]])</f>
        <v>2024</v>
      </c>
      <c r="D1615" s="2">
        <f>DATE(YEAR(OrdersTable[[#This Row],[Order Date]]),MONTH(OrdersTable[[#This Row],[Order Date]]),1)</f>
        <v>45566</v>
      </c>
      <c r="E1615">
        <f>MONTH(OrdersTable[[#This Row],[Order Date]])</f>
        <v>10</v>
      </c>
      <c r="F1615" t="s">
        <v>944</v>
      </c>
      <c r="G1615" t="str">
        <f>IF(OrdersTable[[#This Row],[Order Date]]=_xlfn.MINIFS(Order_Date, Customer_ID, OrdersTable[[#This Row],[Customer ID]]), "New", "Repeat")</f>
        <v>New</v>
      </c>
      <c r="H1615" t="s">
        <v>167</v>
      </c>
      <c r="I1615" t="str">
        <f>INDEX(State!B:B,MATCH(OrdersTable[[#This Row],[State]],State!A:A,0))</f>
        <v>KA</v>
      </c>
      <c r="J1615" t="str">
        <f>INDEX(State!C:C,MATCH(OrdersTable[[#This Row],[State Code]],State!B:B,0))</f>
        <v>South</v>
      </c>
      <c r="K1615" t="s">
        <v>168</v>
      </c>
      <c r="L1615" t="s">
        <v>50</v>
      </c>
      <c r="M1615" t="s">
        <v>61</v>
      </c>
      <c r="N1615" t="str">
        <f>INDEX(Products!B:B,MATCH(OrdersTable[[#This Row],[Product ID]],Products!A:A,0))</f>
        <v>Multivitamin Gummies</v>
      </c>
      <c r="O1615" t="str">
        <f>INDEX(Products!C:C,MATCH(OrdersTable[[#This Row],[Product ID]],Products!A:A,0))</f>
        <v>Wellness</v>
      </c>
      <c r="P1615">
        <v>1</v>
      </c>
      <c r="Q1615" s="5">
        <v>699</v>
      </c>
      <c r="R1615" s="74">
        <v>0.25</v>
      </c>
      <c r="S1615" s="75">
        <f>OrdersTable[[#This Row],[Quantity]]*OrdersTable[[#This Row],[Unit Price]]</f>
        <v>699</v>
      </c>
      <c r="T1615" s="5">
        <f>OrdersTable[[#This Row],[Gross Sale]]*OrdersTable[[#This Row],[Discount_Clean2]]</f>
        <v>174.75</v>
      </c>
      <c r="U1615" s="5">
        <f>OrdersTable[[#This Row],[Gross Sale]]-OrdersTable[[#This Row],[Discount Amount]]</f>
        <v>524.25</v>
      </c>
      <c r="V1615" s="77">
        <f>INDEX(Products!E:E,MATCH(OrdersTable[[#This Row],[Product ID]],Products!A:A,0))</f>
        <v>238</v>
      </c>
      <c r="W1615" s="77">
        <f>OrdersTable[[#This Row],[Quantity]]*OrdersTable[[#This Row],[Unit Cost]]</f>
        <v>238</v>
      </c>
      <c r="X1615" s="77">
        <f>'Dropdown Lists'!$I$2*(1+OrdersTable[[#This Row],[Returned]])</f>
        <v>60</v>
      </c>
      <c r="Y1615" s="76">
        <f>OrdersTable[[#This Row],[Net Revenue]]-OrdersTable[[#This Row],[COGS]]-OrdersTable[[#This Row],[Shipping Cost]]</f>
        <v>226.25</v>
      </c>
      <c r="Z1615" s="78">
        <f>IFERROR(OrdersTable[[#This Row],[Profit]]/OrdersTable[[#This Row],[Net Revenue]],0)</f>
        <v>0.43156890796375774</v>
      </c>
      <c r="AA1615" t="s">
        <v>18</v>
      </c>
      <c r="AB1615" s="79">
        <v>45590</v>
      </c>
      <c r="AC1615">
        <f>OrdersTable[[#This Row],[Delivery Date]]-OrdersTable[[#This Row],[Order Date]]</f>
        <v>1</v>
      </c>
      <c r="AD1615" t="str">
        <f>IF(OrdersTable[[#This Row],[Delivery Days]]&lt;=2, "Express (≤2d)", IF(OrdersTable[[#This Row],[Delivery Days]]&lt;=4, "Standard (3-4d)", "Delayed (5d+)"))</f>
        <v>Express (≤2d)</v>
      </c>
      <c r="AE1615">
        <v>4</v>
      </c>
      <c r="AF1615">
        <v>0</v>
      </c>
    </row>
    <row r="1616" spans="1:32" ht="15" x14ac:dyDescent="0.35">
      <c r="A1616" t="s">
        <v>2322</v>
      </c>
      <c r="B1616" s="1">
        <v>45589</v>
      </c>
      <c r="C1616">
        <f>YEAR(OrdersTable[[#This Row],[Order Date]])</f>
        <v>2024</v>
      </c>
      <c r="D1616" s="2">
        <f>DATE(YEAR(OrdersTable[[#This Row],[Order Date]]),MONTH(OrdersTable[[#This Row],[Order Date]]),1)</f>
        <v>45566</v>
      </c>
      <c r="E1616">
        <f>MONTH(OrdersTable[[#This Row],[Order Date]])</f>
        <v>10</v>
      </c>
      <c r="F1616" t="s">
        <v>2323</v>
      </c>
      <c r="G1616" t="str">
        <f>IF(OrdersTable[[#This Row],[Order Date]]=_xlfn.MINIFS(Order_Date, Customer_ID, OrdersTable[[#This Row],[Customer ID]]), "New", "Repeat")</f>
        <v>New</v>
      </c>
      <c r="H1616" t="s">
        <v>275</v>
      </c>
      <c r="I1616" t="str">
        <f>INDEX(State!B:B,MATCH(OrdersTable[[#This Row],[State]],State!A:A,0))</f>
        <v>AP</v>
      </c>
      <c r="J1616" t="str">
        <f>INDEX(State!C:C,MATCH(OrdersTable[[#This Row],[State Code]],State!B:B,0))</f>
        <v>South</v>
      </c>
      <c r="K1616" t="s">
        <v>276</v>
      </c>
      <c r="L1616" t="s">
        <v>16</v>
      </c>
      <c r="M1616" t="s">
        <v>29</v>
      </c>
      <c r="N1616" t="str">
        <f>INDEX(Products!B:B,MATCH(OrdersTable[[#This Row],[Product ID]],Products!A:A,0))</f>
        <v>Joggers</v>
      </c>
      <c r="O1616" t="str">
        <f>INDEX(Products!C:C,MATCH(OrdersTable[[#This Row],[Product ID]],Products!A:A,0))</f>
        <v>Apparel</v>
      </c>
      <c r="P1616">
        <v>1</v>
      </c>
      <c r="Q1616" s="5">
        <v>1199</v>
      </c>
      <c r="R1616" s="74">
        <v>0.25</v>
      </c>
      <c r="S1616" s="75">
        <f>OrdersTable[[#This Row],[Quantity]]*OrdersTable[[#This Row],[Unit Price]]</f>
        <v>1199</v>
      </c>
      <c r="T1616" s="5">
        <f>OrdersTable[[#This Row],[Gross Sale]]*OrdersTable[[#This Row],[Discount_Clean2]]</f>
        <v>299.75</v>
      </c>
      <c r="U1616" s="5">
        <f>OrdersTable[[#This Row],[Gross Sale]]-OrdersTable[[#This Row],[Discount Amount]]</f>
        <v>899.25</v>
      </c>
      <c r="V1616" s="77">
        <f>INDEX(Products!E:E,MATCH(OrdersTable[[#This Row],[Product ID]],Products!A:A,0))</f>
        <v>492</v>
      </c>
      <c r="W1616" s="77">
        <f>OrdersTable[[#This Row],[Quantity]]*OrdersTable[[#This Row],[Unit Cost]]</f>
        <v>492</v>
      </c>
      <c r="X1616" s="77">
        <f>'Dropdown Lists'!$I$2*(1+OrdersTable[[#This Row],[Returned]])</f>
        <v>60</v>
      </c>
      <c r="Y1616" s="76">
        <f>OrdersTable[[#This Row],[Net Revenue]]-OrdersTable[[#This Row],[COGS]]-OrdersTable[[#This Row],[Shipping Cost]]</f>
        <v>347.25</v>
      </c>
      <c r="Z1616" s="78">
        <f>IFERROR(OrdersTable[[#This Row],[Profit]]/OrdersTable[[#This Row],[Net Revenue]],0)</f>
        <v>0.38615512927439533</v>
      </c>
      <c r="AA1616" t="s">
        <v>18</v>
      </c>
      <c r="AB1616" s="79">
        <v>45593</v>
      </c>
      <c r="AC1616">
        <f>OrdersTable[[#This Row],[Delivery Date]]-OrdersTable[[#This Row],[Order Date]]</f>
        <v>4</v>
      </c>
      <c r="AD1616" t="str">
        <f>IF(OrdersTable[[#This Row],[Delivery Days]]&lt;=2, "Express (≤2d)", IF(OrdersTable[[#This Row],[Delivery Days]]&lt;=4, "Standard (3-4d)", "Delayed (5d+)"))</f>
        <v>Standard (3-4d)</v>
      </c>
      <c r="AE1616">
        <v>5</v>
      </c>
      <c r="AF1616">
        <v>0</v>
      </c>
    </row>
    <row r="1617" spans="1:32" ht="15" x14ac:dyDescent="0.35">
      <c r="A1617" t="s">
        <v>3567</v>
      </c>
      <c r="B1617" s="1">
        <v>45590</v>
      </c>
      <c r="C1617">
        <f>YEAR(OrdersTable[[#This Row],[Order Date]])</f>
        <v>2024</v>
      </c>
      <c r="D1617" s="2">
        <f>DATE(YEAR(OrdersTable[[#This Row],[Order Date]]),MONTH(OrdersTable[[#This Row],[Order Date]]),1)</f>
        <v>45566</v>
      </c>
      <c r="E1617">
        <f>MONTH(OrdersTable[[#This Row],[Order Date]])</f>
        <v>10</v>
      </c>
      <c r="F1617" t="s">
        <v>1965</v>
      </c>
      <c r="G1617" t="str">
        <f>IF(OrdersTable[[#This Row],[Order Date]]=_xlfn.MINIFS(Order_Date, Customer_ID, OrdersTable[[#This Row],[Customer ID]]), "New", "Repeat")</f>
        <v>Repeat</v>
      </c>
      <c r="H1617" t="s">
        <v>48</v>
      </c>
      <c r="I1617" t="str">
        <f>INDEX(State!B:B,MATCH(OrdersTable[[#This Row],[State]],State!A:A,0))</f>
        <v>HR</v>
      </c>
      <c r="J1617" t="str">
        <f>INDEX(State!C:C,MATCH(OrdersTable[[#This Row],[State Code]],State!B:B,0))</f>
        <v>North</v>
      </c>
      <c r="K1617" t="s">
        <v>151</v>
      </c>
      <c r="L1617" t="s">
        <v>23</v>
      </c>
      <c r="M1617" t="s">
        <v>34</v>
      </c>
      <c r="N1617" t="str">
        <f>INDEX(Products!B:B,MATCH(OrdersTable[[#This Row],[Product ID]],Products!A:A,0))</f>
        <v>Flip Flops</v>
      </c>
      <c r="O1617" t="str">
        <f>INDEX(Products!C:C,MATCH(OrdersTable[[#This Row],[Product ID]],Products!A:A,0))</f>
        <v>Footwear</v>
      </c>
      <c r="P1617">
        <v>1</v>
      </c>
      <c r="Q1617" s="5">
        <v>399</v>
      </c>
      <c r="R1617" s="74">
        <v>0.3</v>
      </c>
      <c r="S1617" s="75">
        <f>OrdersTable[[#This Row],[Quantity]]*OrdersTable[[#This Row],[Unit Price]]</f>
        <v>399</v>
      </c>
      <c r="T1617" s="5">
        <f>OrdersTable[[#This Row],[Gross Sale]]*OrdersTable[[#This Row],[Discount_Clean2]]</f>
        <v>119.69999999999999</v>
      </c>
      <c r="U1617" s="5">
        <f>OrdersTable[[#This Row],[Gross Sale]]-OrdersTable[[#This Row],[Discount Amount]]</f>
        <v>279.3</v>
      </c>
      <c r="V1617" s="77">
        <f>INDEX(Products!E:E,MATCH(OrdersTable[[#This Row],[Product ID]],Products!A:A,0))</f>
        <v>152</v>
      </c>
      <c r="W1617" s="77">
        <f>OrdersTable[[#This Row],[Quantity]]*OrdersTable[[#This Row],[Unit Cost]]</f>
        <v>152</v>
      </c>
      <c r="X1617" s="77">
        <f>'Dropdown Lists'!$I$2*(1+OrdersTable[[#This Row],[Returned]])</f>
        <v>60</v>
      </c>
      <c r="Y1617" s="76">
        <f>OrdersTable[[#This Row],[Net Revenue]]-OrdersTable[[#This Row],[COGS]]-OrdersTable[[#This Row],[Shipping Cost]]</f>
        <v>67.300000000000011</v>
      </c>
      <c r="Z1617" s="78">
        <f>IFERROR(OrdersTable[[#This Row],[Profit]]/OrdersTable[[#This Row],[Net Revenue]],0)</f>
        <v>0.24095954171142145</v>
      </c>
      <c r="AA1617" t="s">
        <v>3495</v>
      </c>
      <c r="AB1617" s="79">
        <v>45594</v>
      </c>
      <c r="AC1617">
        <f>OrdersTable[[#This Row],[Delivery Date]]-OrdersTable[[#This Row],[Order Date]]</f>
        <v>4</v>
      </c>
      <c r="AD1617" t="str">
        <f>IF(OrdersTable[[#This Row],[Delivery Days]]&lt;=2, "Express (≤2d)", IF(OrdersTable[[#This Row],[Delivery Days]]&lt;=4, "Standard (3-4d)", "Delayed (5d+)"))</f>
        <v>Standard (3-4d)</v>
      </c>
      <c r="AE1617">
        <v>4</v>
      </c>
      <c r="AF1617">
        <v>0</v>
      </c>
    </row>
    <row r="1618" spans="1:32" ht="15" x14ac:dyDescent="0.35">
      <c r="A1618" t="s">
        <v>1377</v>
      </c>
      <c r="B1618" s="1">
        <v>45590</v>
      </c>
      <c r="C1618">
        <f>YEAR(OrdersTable[[#This Row],[Order Date]])</f>
        <v>2024</v>
      </c>
      <c r="D1618" s="2">
        <f>DATE(YEAR(OrdersTable[[#This Row],[Order Date]]),MONTH(OrdersTable[[#This Row],[Order Date]]),1)</f>
        <v>45566</v>
      </c>
      <c r="E1618">
        <f>MONTH(OrdersTable[[#This Row],[Order Date]])</f>
        <v>10</v>
      </c>
      <c r="F1618" t="s">
        <v>1378</v>
      </c>
      <c r="G1618" t="str">
        <f>IF(OrdersTable[[#This Row],[Order Date]]=_xlfn.MINIFS(Order_Date, Customer_ID, OrdersTable[[#This Row],[Customer ID]]), "New", "Repeat")</f>
        <v>Repeat</v>
      </c>
      <c r="H1618" t="s">
        <v>128</v>
      </c>
      <c r="I1618" t="str">
        <f>INDEX(State!B:B,MATCH(OrdersTable[[#This Row],[State]],State!A:A,0))</f>
        <v>DL</v>
      </c>
      <c r="J1618" t="str">
        <f>INDEX(State!C:C,MATCH(OrdersTable[[#This Row],[State Code]],State!B:B,0))</f>
        <v>North</v>
      </c>
      <c r="K1618" t="s">
        <v>129</v>
      </c>
      <c r="L1618" t="s">
        <v>23</v>
      </c>
      <c r="M1618" t="s">
        <v>109</v>
      </c>
      <c r="N1618" t="str">
        <f>INDEX(Products!B:B,MATCH(OrdersTable[[#This Row],[Product ID]],Products!A:A,0))</f>
        <v>Onion Hair Oil</v>
      </c>
      <c r="O1618" t="str">
        <f>INDEX(Products!C:C,MATCH(OrdersTable[[#This Row],[Product ID]],Products!A:A,0))</f>
        <v>Haircare</v>
      </c>
      <c r="P1618">
        <v>1</v>
      </c>
      <c r="Q1618" s="5">
        <v>349</v>
      </c>
      <c r="R1618" s="74">
        <v>0.45</v>
      </c>
      <c r="S1618" s="75">
        <f>OrdersTable[[#This Row],[Quantity]]*OrdersTable[[#This Row],[Unit Price]]</f>
        <v>349</v>
      </c>
      <c r="T1618" s="5">
        <f>OrdersTable[[#This Row],[Gross Sale]]*OrdersTable[[#This Row],[Discount_Clean2]]</f>
        <v>157.05000000000001</v>
      </c>
      <c r="U1618" s="5">
        <f>OrdersTable[[#This Row],[Gross Sale]]-OrdersTable[[#This Row],[Discount Amount]]</f>
        <v>191.95</v>
      </c>
      <c r="V1618" s="77">
        <f>INDEX(Products!E:E,MATCH(OrdersTable[[#This Row],[Product ID]],Products!A:A,0))</f>
        <v>105</v>
      </c>
      <c r="W1618" s="77">
        <f>OrdersTable[[#This Row],[Quantity]]*OrdersTable[[#This Row],[Unit Cost]]</f>
        <v>105</v>
      </c>
      <c r="X1618" s="77">
        <f>'Dropdown Lists'!$I$2*(1+OrdersTable[[#This Row],[Returned]])</f>
        <v>60</v>
      </c>
      <c r="Y1618" s="76">
        <f>OrdersTable[[#This Row],[Net Revenue]]-OrdersTable[[#This Row],[COGS]]-OrdersTable[[#This Row],[Shipping Cost]]</f>
        <v>26.949999999999989</v>
      </c>
      <c r="Z1618" s="78">
        <f>IFERROR(OrdersTable[[#This Row],[Profit]]/OrdersTable[[#This Row],[Net Revenue]],0)</f>
        <v>0.1404011461318051</v>
      </c>
      <c r="AA1618" t="s">
        <v>18</v>
      </c>
      <c r="AB1618" s="79">
        <v>45592</v>
      </c>
      <c r="AC1618">
        <f>OrdersTable[[#This Row],[Delivery Date]]-OrdersTable[[#This Row],[Order Date]]</f>
        <v>2</v>
      </c>
      <c r="AD1618" t="str">
        <f>IF(OrdersTable[[#This Row],[Delivery Days]]&lt;=2, "Express (≤2d)", IF(OrdersTable[[#This Row],[Delivery Days]]&lt;=4, "Standard (3-4d)", "Delayed (5d+)"))</f>
        <v>Express (≤2d)</v>
      </c>
      <c r="AF1618">
        <v>0</v>
      </c>
    </row>
    <row r="1619" spans="1:32" ht="15" x14ac:dyDescent="0.35">
      <c r="A1619" t="s">
        <v>5493</v>
      </c>
      <c r="B1619" s="1">
        <v>45590</v>
      </c>
      <c r="C1619">
        <f>YEAR(OrdersTable[[#This Row],[Order Date]])</f>
        <v>2024</v>
      </c>
      <c r="D1619" s="2">
        <f>DATE(YEAR(OrdersTable[[#This Row],[Order Date]]),MONTH(OrdersTable[[#This Row],[Order Date]]),1)</f>
        <v>45566</v>
      </c>
      <c r="E1619">
        <f>MONTH(OrdersTable[[#This Row],[Order Date]])</f>
        <v>10</v>
      </c>
      <c r="F1619" t="s">
        <v>2669</v>
      </c>
      <c r="G1619" t="str">
        <f>IF(OrdersTable[[#This Row],[Order Date]]=_xlfn.MINIFS(Order_Date, Customer_ID, OrdersTable[[#This Row],[Customer ID]]), "New", "Repeat")</f>
        <v>New</v>
      </c>
      <c r="H1619" t="s">
        <v>76</v>
      </c>
      <c r="I1619" t="str">
        <f>INDEX(State!B:B,MATCH(OrdersTable[[#This Row],[State]],State!A:A,0))</f>
        <v>UP</v>
      </c>
      <c r="J1619" t="str">
        <f>INDEX(State!C:C,MATCH(OrdersTable[[#This Row],[State Code]],State!B:B,0))</f>
        <v>North</v>
      </c>
      <c r="K1619" t="s">
        <v>105</v>
      </c>
      <c r="L1619" t="s">
        <v>65</v>
      </c>
      <c r="M1619" t="s">
        <v>40</v>
      </c>
      <c r="N1619" t="str">
        <f>INDEX(Products!B:B,MATCH(OrdersTable[[#This Row],[Product ID]],Products!A:A,0))</f>
        <v>Ashwagandha Capsules</v>
      </c>
      <c r="O1619" t="str">
        <f>INDEX(Products!C:C,MATCH(OrdersTable[[#This Row],[Product ID]],Products!A:A,0))</f>
        <v>Wellness</v>
      </c>
      <c r="P1619">
        <v>2</v>
      </c>
      <c r="Q1619" s="5">
        <v>499</v>
      </c>
      <c r="R1619" s="74">
        <v>0.1</v>
      </c>
      <c r="S1619" s="75">
        <f>OrdersTable[[#This Row],[Quantity]]*OrdersTable[[#This Row],[Unit Price]]</f>
        <v>998</v>
      </c>
      <c r="T1619" s="5">
        <f>OrdersTable[[#This Row],[Gross Sale]]*OrdersTable[[#This Row],[Discount_Clean2]]</f>
        <v>99.800000000000011</v>
      </c>
      <c r="U1619" s="5">
        <f>OrdersTable[[#This Row],[Gross Sale]]-OrdersTable[[#This Row],[Discount Amount]]</f>
        <v>898.2</v>
      </c>
      <c r="V1619" s="77">
        <f>INDEX(Products!E:E,MATCH(OrdersTable[[#This Row],[Product ID]],Products!A:A,0))</f>
        <v>150</v>
      </c>
      <c r="W1619" s="77">
        <f>OrdersTable[[#This Row],[Quantity]]*OrdersTable[[#This Row],[Unit Cost]]</f>
        <v>300</v>
      </c>
      <c r="X1619" s="77">
        <f>'Dropdown Lists'!$I$2*(1+OrdersTable[[#This Row],[Returned]])</f>
        <v>60</v>
      </c>
      <c r="Y1619" s="76">
        <f>OrdersTable[[#This Row],[Net Revenue]]-OrdersTable[[#This Row],[COGS]]-OrdersTable[[#This Row],[Shipping Cost]]</f>
        <v>538.20000000000005</v>
      </c>
      <c r="Z1619" s="78">
        <f>IFERROR(OrdersTable[[#This Row],[Profit]]/OrdersTable[[#This Row],[Net Revenue]],0)</f>
        <v>0.59919839679358722</v>
      </c>
      <c r="AA1619" t="s">
        <v>2522</v>
      </c>
      <c r="AB1619" s="79">
        <v>45595</v>
      </c>
      <c r="AC1619">
        <f>OrdersTable[[#This Row],[Delivery Date]]-OrdersTable[[#This Row],[Order Date]]</f>
        <v>5</v>
      </c>
      <c r="AD1619" t="str">
        <f>IF(OrdersTable[[#This Row],[Delivery Days]]&lt;=2, "Express (≤2d)", IF(OrdersTable[[#This Row],[Delivery Days]]&lt;=4, "Standard (3-4d)", "Delayed (5d+)"))</f>
        <v>Delayed (5d+)</v>
      </c>
      <c r="AE1619">
        <v>4</v>
      </c>
      <c r="AF1619">
        <v>0</v>
      </c>
    </row>
    <row r="1620" spans="1:32" ht="15" x14ac:dyDescent="0.35">
      <c r="A1620" t="s">
        <v>3222</v>
      </c>
      <c r="B1620" s="1">
        <v>45590</v>
      </c>
      <c r="C1620">
        <f>YEAR(OrdersTable[[#This Row],[Order Date]])</f>
        <v>2024</v>
      </c>
      <c r="D1620" s="2">
        <f>DATE(YEAR(OrdersTable[[#This Row],[Order Date]]),MONTH(OrdersTable[[#This Row],[Order Date]]),1)</f>
        <v>45566</v>
      </c>
      <c r="E1620">
        <f>MONTH(OrdersTable[[#This Row],[Order Date]])</f>
        <v>10</v>
      </c>
      <c r="F1620" t="s">
        <v>3223</v>
      </c>
      <c r="G1620" t="str">
        <f>IF(OrdersTable[[#This Row],[Order Date]]=_xlfn.MINIFS(Order_Date, Customer_ID, OrdersTable[[#This Row],[Customer ID]]), "New", "Repeat")</f>
        <v>Repeat</v>
      </c>
      <c r="H1620" t="s">
        <v>76</v>
      </c>
      <c r="I1620" t="str">
        <f>INDEX(State!B:B,MATCH(OrdersTable[[#This Row],[State]],State!A:A,0))</f>
        <v>UP</v>
      </c>
      <c r="J1620" t="str">
        <f>INDEX(State!C:C,MATCH(OrdersTable[[#This Row],[State Code]],State!B:B,0))</f>
        <v>North</v>
      </c>
      <c r="K1620" t="s">
        <v>77</v>
      </c>
      <c r="L1620" t="s">
        <v>50</v>
      </c>
      <c r="M1620" t="s">
        <v>51</v>
      </c>
      <c r="N1620" t="str">
        <f>INDEX(Products!B:B,MATCH(OrdersTable[[#This Row],[Product ID]],Products!A:A,0))</f>
        <v>Anti-Dandruff Conditioner</v>
      </c>
      <c r="O1620" t="str">
        <f>INDEX(Products!C:C,MATCH(OrdersTable[[#This Row],[Product ID]],Products!A:A,0))</f>
        <v>Haircare</v>
      </c>
      <c r="P1620">
        <v>1</v>
      </c>
      <c r="Q1620" s="5">
        <v>399</v>
      </c>
      <c r="R1620" s="74">
        <v>0.6</v>
      </c>
      <c r="S1620" s="75">
        <f>OrdersTable[[#This Row],[Quantity]]*OrdersTable[[#This Row],[Unit Price]]</f>
        <v>399</v>
      </c>
      <c r="T1620" s="5">
        <f>OrdersTable[[#This Row],[Gross Sale]]*OrdersTable[[#This Row],[Discount_Clean2]]</f>
        <v>239.39999999999998</v>
      </c>
      <c r="U1620" s="5">
        <f>OrdersTable[[#This Row],[Gross Sale]]-OrdersTable[[#This Row],[Discount Amount]]</f>
        <v>159.60000000000002</v>
      </c>
      <c r="V1620" s="77">
        <f>INDEX(Products!E:E,MATCH(OrdersTable[[#This Row],[Product ID]],Products!A:A,0))</f>
        <v>136</v>
      </c>
      <c r="W1620" s="77">
        <f>OrdersTable[[#This Row],[Quantity]]*OrdersTable[[#This Row],[Unit Cost]]</f>
        <v>136</v>
      </c>
      <c r="X1620" s="77">
        <f>'Dropdown Lists'!$I$2*(1+OrdersTable[[#This Row],[Returned]])</f>
        <v>60</v>
      </c>
      <c r="Y1620" s="76">
        <f>OrdersTable[[#This Row],[Net Revenue]]-OrdersTable[[#This Row],[COGS]]-OrdersTable[[#This Row],[Shipping Cost]]</f>
        <v>-36.399999999999977</v>
      </c>
      <c r="Z1620" s="78">
        <f>IFERROR(OrdersTable[[#This Row],[Profit]]/OrdersTable[[#This Row],[Net Revenue]],0)</f>
        <v>-0.22807017543859631</v>
      </c>
      <c r="AA1620" t="s">
        <v>2522</v>
      </c>
      <c r="AB1620" s="79">
        <v>45595</v>
      </c>
      <c r="AC1620">
        <f>OrdersTable[[#This Row],[Delivery Date]]-OrdersTable[[#This Row],[Order Date]]</f>
        <v>5</v>
      </c>
      <c r="AD1620" t="str">
        <f>IF(OrdersTable[[#This Row],[Delivery Days]]&lt;=2, "Express (≤2d)", IF(OrdersTable[[#This Row],[Delivery Days]]&lt;=4, "Standard (3-4d)", "Delayed (5d+)"))</f>
        <v>Delayed (5d+)</v>
      </c>
      <c r="AE1620">
        <v>4</v>
      </c>
      <c r="AF1620">
        <v>0</v>
      </c>
    </row>
    <row r="1621" spans="1:32" ht="15" x14ac:dyDescent="0.35">
      <c r="A1621" t="s">
        <v>5591</v>
      </c>
      <c r="B1621" s="1">
        <v>45590</v>
      </c>
      <c r="C1621">
        <f>YEAR(OrdersTable[[#This Row],[Order Date]])</f>
        <v>2024</v>
      </c>
      <c r="D1621" s="2">
        <f>DATE(YEAR(OrdersTable[[#This Row],[Order Date]]),MONTH(OrdersTable[[#This Row],[Order Date]]),1)</f>
        <v>45566</v>
      </c>
      <c r="E1621">
        <f>MONTH(OrdersTable[[#This Row],[Order Date]])</f>
        <v>10</v>
      </c>
      <c r="F1621" t="s">
        <v>4137</v>
      </c>
      <c r="G1621" t="str">
        <f>IF(OrdersTable[[#This Row],[Order Date]]=_xlfn.MINIFS(Order_Date, Customer_ID, OrdersTable[[#This Row],[Customer ID]]), "New", "Repeat")</f>
        <v>Repeat</v>
      </c>
      <c r="H1621" t="s">
        <v>37</v>
      </c>
      <c r="I1621" t="str">
        <f>INDEX(State!B:B,MATCH(OrdersTable[[#This Row],[State]],State!A:A,0))</f>
        <v>GJ</v>
      </c>
      <c r="J1621" t="str">
        <f>INDEX(State!C:C,MATCH(OrdersTable[[#This Row],[State Code]],State!B:B,0))</f>
        <v>West</v>
      </c>
      <c r="K1621" t="s">
        <v>38</v>
      </c>
      <c r="L1621" t="s">
        <v>39</v>
      </c>
      <c r="M1621" t="s">
        <v>152</v>
      </c>
      <c r="N1621" t="str">
        <f>INDEX(Products!B:B,MATCH(OrdersTable[[#This Row],[Product ID]],Products!A:A,0))</f>
        <v>Green Tea (100 bags)</v>
      </c>
      <c r="O1621" t="str">
        <f>INDEX(Products!C:C,MATCH(OrdersTable[[#This Row],[Product ID]],Products!A:A,0))</f>
        <v>Wellness</v>
      </c>
      <c r="P1621">
        <v>2</v>
      </c>
      <c r="Q1621" s="5">
        <v>399</v>
      </c>
      <c r="R1621" s="74">
        <v>0.45</v>
      </c>
      <c r="S1621" s="75">
        <f>OrdersTable[[#This Row],[Quantity]]*OrdersTable[[#This Row],[Unit Price]]</f>
        <v>798</v>
      </c>
      <c r="T1621" s="5">
        <f>OrdersTable[[#This Row],[Gross Sale]]*OrdersTable[[#This Row],[Discount_Clean2]]</f>
        <v>359.1</v>
      </c>
      <c r="U1621" s="5">
        <f>OrdersTable[[#This Row],[Gross Sale]]-OrdersTable[[#This Row],[Discount Amount]]</f>
        <v>438.9</v>
      </c>
      <c r="V1621" s="77">
        <f>INDEX(Products!E:E,MATCH(OrdersTable[[#This Row],[Product ID]],Products!A:A,0))</f>
        <v>128</v>
      </c>
      <c r="W1621" s="77">
        <f>OrdersTable[[#This Row],[Quantity]]*OrdersTable[[#This Row],[Unit Cost]]</f>
        <v>256</v>
      </c>
      <c r="X1621" s="77">
        <f>'Dropdown Lists'!$I$2*(1+OrdersTable[[#This Row],[Returned]])</f>
        <v>60</v>
      </c>
      <c r="Y1621" s="76">
        <f>OrdersTable[[#This Row],[Net Revenue]]-OrdersTable[[#This Row],[COGS]]-OrdersTable[[#This Row],[Shipping Cost]]</f>
        <v>122.89999999999998</v>
      </c>
      <c r="Z1621" s="78">
        <f>IFERROR(OrdersTable[[#This Row],[Profit]]/OrdersTable[[#This Row],[Net Revenue]],0)</f>
        <v>0.28001822738664839</v>
      </c>
      <c r="AA1621" t="s">
        <v>2522</v>
      </c>
      <c r="AB1621" s="79">
        <v>45595</v>
      </c>
      <c r="AC1621">
        <f>OrdersTable[[#This Row],[Delivery Date]]-OrdersTable[[#This Row],[Order Date]]</f>
        <v>5</v>
      </c>
      <c r="AD1621" t="str">
        <f>IF(OrdersTable[[#This Row],[Delivery Days]]&lt;=2, "Express (≤2d)", IF(OrdersTable[[#This Row],[Delivery Days]]&lt;=4, "Standard (3-4d)", "Delayed (5d+)"))</f>
        <v>Delayed (5d+)</v>
      </c>
      <c r="AE1621">
        <v>3</v>
      </c>
      <c r="AF1621">
        <v>0</v>
      </c>
    </row>
    <row r="1622" spans="1:32" ht="15" x14ac:dyDescent="0.35">
      <c r="A1622" t="s">
        <v>3875</v>
      </c>
      <c r="B1622" s="1">
        <v>45590</v>
      </c>
      <c r="C1622">
        <f>YEAR(OrdersTable[[#This Row],[Order Date]])</f>
        <v>2024</v>
      </c>
      <c r="D1622" s="2">
        <f>DATE(YEAR(OrdersTable[[#This Row],[Order Date]]),MONTH(OrdersTable[[#This Row],[Order Date]]),1)</f>
        <v>45566</v>
      </c>
      <c r="E1622">
        <f>MONTH(OrdersTable[[#This Row],[Order Date]])</f>
        <v>10</v>
      </c>
      <c r="F1622" t="s">
        <v>3876</v>
      </c>
      <c r="G1622" t="str">
        <f>IF(OrdersTable[[#This Row],[Order Date]]=_xlfn.MINIFS(Order_Date, Customer_ID, OrdersTable[[#This Row],[Customer ID]]), "New", "Repeat")</f>
        <v>New</v>
      </c>
      <c r="H1622" t="s">
        <v>27</v>
      </c>
      <c r="I1622" t="str">
        <f>INDEX(State!B:B,MATCH(OrdersTable[[#This Row],[State]],State!A:A,0))</f>
        <v>WB</v>
      </c>
      <c r="J1622" t="str">
        <f>INDEX(State!C:C,MATCH(OrdersTable[[#This Row],[State Code]],State!B:B,0))</f>
        <v>East</v>
      </c>
      <c r="K1622" t="s">
        <v>28</v>
      </c>
      <c r="L1622" t="s">
        <v>65</v>
      </c>
      <c r="M1622" t="s">
        <v>148</v>
      </c>
      <c r="N1622" t="str">
        <f>INDEX(Products!B:B,MATCH(OrdersTable[[#This Row],[Product ID]],Products!A:A,0))</f>
        <v>Smartwatch Strap</v>
      </c>
      <c r="O1622" t="str">
        <f>INDEX(Products!C:C,MATCH(OrdersTable[[#This Row],[Product ID]],Products!A:A,0))</f>
        <v>Electronics</v>
      </c>
      <c r="P1622">
        <v>1</v>
      </c>
      <c r="Q1622" s="5">
        <v>499</v>
      </c>
      <c r="R1622" s="74">
        <v>0.25</v>
      </c>
      <c r="S1622" s="75">
        <f>OrdersTable[[#This Row],[Quantity]]*OrdersTable[[#This Row],[Unit Price]]</f>
        <v>499</v>
      </c>
      <c r="T1622" s="5">
        <f>OrdersTable[[#This Row],[Gross Sale]]*OrdersTable[[#This Row],[Discount_Clean2]]</f>
        <v>124.75</v>
      </c>
      <c r="U1622" s="5">
        <f>OrdersTable[[#This Row],[Gross Sale]]-OrdersTable[[#This Row],[Discount Amount]]</f>
        <v>374.25</v>
      </c>
      <c r="V1622" s="77">
        <f>INDEX(Products!E:E,MATCH(OrdersTable[[#This Row],[Product ID]],Products!A:A,0))</f>
        <v>200</v>
      </c>
      <c r="W1622" s="77">
        <f>OrdersTable[[#This Row],[Quantity]]*OrdersTable[[#This Row],[Unit Cost]]</f>
        <v>200</v>
      </c>
      <c r="X1622" s="77">
        <f>'Dropdown Lists'!$I$2*(1+OrdersTable[[#This Row],[Returned]])</f>
        <v>60</v>
      </c>
      <c r="Y1622" s="76">
        <f>OrdersTable[[#This Row],[Net Revenue]]-OrdersTable[[#This Row],[COGS]]-OrdersTable[[#This Row],[Shipping Cost]]</f>
        <v>114.25</v>
      </c>
      <c r="Z1622" s="78">
        <f>IFERROR(OrdersTable[[#This Row],[Profit]]/OrdersTable[[#This Row],[Net Revenue]],0)</f>
        <v>0.30527722110888444</v>
      </c>
      <c r="AA1622" t="s">
        <v>3495</v>
      </c>
      <c r="AB1622" s="79">
        <v>45595</v>
      </c>
      <c r="AC1622">
        <f>OrdersTable[[#This Row],[Delivery Date]]-OrdersTable[[#This Row],[Order Date]]</f>
        <v>5</v>
      </c>
      <c r="AD1622" t="str">
        <f>IF(OrdersTable[[#This Row],[Delivery Days]]&lt;=2, "Express (≤2d)", IF(OrdersTable[[#This Row],[Delivery Days]]&lt;=4, "Standard (3-4d)", "Delayed (5d+)"))</f>
        <v>Delayed (5d+)</v>
      </c>
      <c r="AE1622">
        <v>3</v>
      </c>
      <c r="AF1622">
        <v>0</v>
      </c>
    </row>
    <row r="1623" spans="1:32" ht="15" x14ac:dyDescent="0.35">
      <c r="A1623" t="s">
        <v>5129</v>
      </c>
      <c r="B1623" s="1">
        <v>45590</v>
      </c>
      <c r="C1623">
        <f>YEAR(OrdersTable[[#This Row],[Order Date]])</f>
        <v>2024</v>
      </c>
      <c r="D1623" s="2">
        <f>DATE(YEAR(OrdersTable[[#This Row],[Order Date]]),MONTH(OrdersTable[[#This Row],[Order Date]]),1)</f>
        <v>45566</v>
      </c>
      <c r="E1623">
        <f>MONTH(OrdersTable[[#This Row],[Order Date]])</f>
        <v>10</v>
      </c>
      <c r="F1623" t="s">
        <v>5130</v>
      </c>
      <c r="G1623" t="str">
        <f>IF(OrdersTable[[#This Row],[Order Date]]=_xlfn.MINIFS(Order_Date, Customer_ID, OrdersTable[[#This Row],[Customer ID]]), "New", "Repeat")</f>
        <v>New</v>
      </c>
      <c r="H1623" t="s">
        <v>71</v>
      </c>
      <c r="I1623" t="str">
        <f>INDEX(State!B:B,MATCH(OrdersTable[[#This Row],[State]],State!A:A,0))</f>
        <v>MH</v>
      </c>
      <c r="J1623" t="str">
        <f>INDEX(State!C:C,MATCH(OrdersTable[[#This Row],[State Code]],State!B:B,0))</f>
        <v>West</v>
      </c>
      <c r="K1623" t="s">
        <v>72</v>
      </c>
      <c r="L1623" t="s">
        <v>65</v>
      </c>
      <c r="M1623" t="s">
        <v>87</v>
      </c>
      <c r="N1623" t="str">
        <f>INDEX(Products!B:B,MATCH(OrdersTable[[#This Row],[Product ID]],Products!A:A,0))</f>
        <v>Linen Kurta</v>
      </c>
      <c r="O1623" t="str">
        <f>INDEX(Products!C:C,MATCH(OrdersTable[[#This Row],[Product ID]],Products!A:A,0))</f>
        <v>Apparel</v>
      </c>
      <c r="P1623">
        <v>2</v>
      </c>
      <c r="Q1623" s="5">
        <v>1499</v>
      </c>
      <c r="R1623" s="74">
        <v>0.5</v>
      </c>
      <c r="S1623" s="75">
        <f>OrdersTable[[#This Row],[Quantity]]*OrdersTable[[#This Row],[Unit Price]]</f>
        <v>2998</v>
      </c>
      <c r="T1623" s="5">
        <f>OrdersTable[[#This Row],[Gross Sale]]*OrdersTable[[#This Row],[Discount_Clean2]]</f>
        <v>1499</v>
      </c>
      <c r="U1623" s="5">
        <f>OrdersTable[[#This Row],[Gross Sale]]-OrdersTable[[#This Row],[Discount Amount]]</f>
        <v>1499</v>
      </c>
      <c r="V1623" s="77">
        <f>INDEX(Products!E:E,MATCH(OrdersTable[[#This Row],[Product ID]],Products!A:A,0))</f>
        <v>630</v>
      </c>
      <c r="W1623" s="77">
        <f>OrdersTable[[#This Row],[Quantity]]*OrdersTable[[#This Row],[Unit Cost]]</f>
        <v>1260</v>
      </c>
      <c r="X1623" s="77">
        <f>'Dropdown Lists'!$I$2*(1+OrdersTable[[#This Row],[Returned]])</f>
        <v>120</v>
      </c>
      <c r="Y1623" s="76">
        <f>OrdersTable[[#This Row],[Net Revenue]]-OrdersTable[[#This Row],[COGS]]-OrdersTable[[#This Row],[Shipping Cost]]</f>
        <v>119</v>
      </c>
      <c r="Z1623" s="78">
        <f>IFERROR(OrdersTable[[#This Row],[Profit]]/OrdersTable[[#This Row],[Net Revenue]],0)</f>
        <v>7.9386257505003333E-2</v>
      </c>
      <c r="AA1623" t="s">
        <v>3495</v>
      </c>
      <c r="AB1623" s="79">
        <v>45592</v>
      </c>
      <c r="AC1623">
        <f>OrdersTable[[#This Row],[Delivery Date]]-OrdersTable[[#This Row],[Order Date]]</f>
        <v>2</v>
      </c>
      <c r="AD1623" t="str">
        <f>IF(OrdersTable[[#This Row],[Delivery Days]]&lt;=2, "Express (≤2d)", IF(OrdersTable[[#This Row],[Delivery Days]]&lt;=4, "Standard (3-4d)", "Delayed (5d+)"))</f>
        <v>Express (≤2d)</v>
      </c>
      <c r="AF1623">
        <v>1</v>
      </c>
    </row>
    <row r="1624" spans="1:32" ht="15" x14ac:dyDescent="0.35">
      <c r="A1624" t="s">
        <v>4248</v>
      </c>
      <c r="B1624" s="1">
        <v>45590</v>
      </c>
      <c r="C1624">
        <f>YEAR(OrdersTable[[#This Row],[Order Date]])</f>
        <v>2024</v>
      </c>
      <c r="D1624" s="2">
        <f>DATE(YEAR(OrdersTable[[#This Row],[Order Date]]),MONTH(OrdersTable[[#This Row],[Order Date]]),1)</f>
        <v>45566</v>
      </c>
      <c r="E1624">
        <f>MONTH(OrdersTable[[#This Row],[Order Date]])</f>
        <v>10</v>
      </c>
      <c r="F1624" t="s">
        <v>3867</v>
      </c>
      <c r="G1624" t="str">
        <f>IF(OrdersTable[[#This Row],[Order Date]]=_xlfn.MINIFS(Order_Date, Customer_ID, OrdersTable[[#This Row],[Customer ID]]), "New", "Repeat")</f>
        <v>Repeat</v>
      </c>
      <c r="H1624" t="s">
        <v>59</v>
      </c>
      <c r="I1624" t="str">
        <f>INDEX(State!B:B,MATCH(OrdersTable[[#This Row],[State]],State!A:A,0))</f>
        <v>TN</v>
      </c>
      <c r="J1624" t="str">
        <f>INDEX(State!C:C,MATCH(OrdersTable[[#This Row],[State Code]],State!B:B,0))</f>
        <v>South</v>
      </c>
      <c r="K1624" t="s">
        <v>64</v>
      </c>
      <c r="L1624" t="s">
        <v>39</v>
      </c>
      <c r="M1624" t="s">
        <v>87</v>
      </c>
      <c r="N1624" t="str">
        <f>INDEX(Products!B:B,MATCH(OrdersTable[[#This Row],[Product ID]],Products!A:A,0))</f>
        <v>Linen Kurta</v>
      </c>
      <c r="O1624" t="str">
        <f>INDEX(Products!C:C,MATCH(OrdersTable[[#This Row],[Product ID]],Products!A:A,0))</f>
        <v>Apparel</v>
      </c>
      <c r="P1624">
        <v>1</v>
      </c>
      <c r="Q1624" s="5">
        <v>1499</v>
      </c>
      <c r="R1624" s="74">
        <v>0.4</v>
      </c>
      <c r="S1624" s="75">
        <f>OrdersTable[[#This Row],[Quantity]]*OrdersTable[[#This Row],[Unit Price]]</f>
        <v>1499</v>
      </c>
      <c r="T1624" s="5">
        <f>OrdersTable[[#This Row],[Gross Sale]]*OrdersTable[[#This Row],[Discount_Clean2]]</f>
        <v>599.6</v>
      </c>
      <c r="U1624" s="5">
        <f>OrdersTable[[#This Row],[Gross Sale]]-OrdersTable[[#This Row],[Discount Amount]]</f>
        <v>899.4</v>
      </c>
      <c r="V1624" s="77">
        <f>INDEX(Products!E:E,MATCH(OrdersTable[[#This Row],[Product ID]],Products!A:A,0))</f>
        <v>630</v>
      </c>
      <c r="W1624" s="77">
        <f>OrdersTable[[#This Row],[Quantity]]*OrdersTable[[#This Row],[Unit Cost]]</f>
        <v>630</v>
      </c>
      <c r="X1624" s="77">
        <f>'Dropdown Lists'!$I$2*(1+OrdersTable[[#This Row],[Returned]])</f>
        <v>120</v>
      </c>
      <c r="Y1624" s="76">
        <f>OrdersTable[[#This Row],[Net Revenue]]-OrdersTable[[#This Row],[COGS]]-OrdersTable[[#This Row],[Shipping Cost]]</f>
        <v>149.39999999999998</v>
      </c>
      <c r="Z1624" s="78">
        <f>IFERROR(OrdersTable[[#This Row],[Profit]]/OrdersTable[[#This Row],[Net Revenue]],0)</f>
        <v>0.16611074049366242</v>
      </c>
      <c r="AA1624" t="s">
        <v>4074</v>
      </c>
      <c r="AB1624" s="79">
        <v>45592</v>
      </c>
      <c r="AC1624">
        <f>OrdersTable[[#This Row],[Delivery Date]]-OrdersTable[[#This Row],[Order Date]]</f>
        <v>2</v>
      </c>
      <c r="AD1624" t="str">
        <f>IF(OrdersTable[[#This Row],[Delivery Days]]&lt;=2, "Express (≤2d)", IF(OrdersTable[[#This Row],[Delivery Days]]&lt;=4, "Standard (3-4d)", "Delayed (5d+)"))</f>
        <v>Express (≤2d)</v>
      </c>
      <c r="AF1624">
        <v>1</v>
      </c>
    </row>
    <row r="1625" spans="1:32" ht="15" x14ac:dyDescent="0.35">
      <c r="A1625" t="s">
        <v>5356</v>
      </c>
      <c r="B1625" s="1">
        <v>45590</v>
      </c>
      <c r="C1625">
        <f>YEAR(OrdersTable[[#This Row],[Order Date]])</f>
        <v>2024</v>
      </c>
      <c r="D1625" s="2">
        <f>DATE(YEAR(OrdersTable[[#This Row],[Order Date]]),MONTH(OrdersTable[[#This Row],[Order Date]]),1)</f>
        <v>45566</v>
      </c>
      <c r="E1625">
        <f>MONTH(OrdersTable[[#This Row],[Order Date]])</f>
        <v>10</v>
      </c>
      <c r="F1625" t="s">
        <v>5357</v>
      </c>
      <c r="G1625" t="str">
        <f>IF(OrdersTable[[#This Row],[Order Date]]=_xlfn.MINIFS(Order_Date, Customer_ID, OrdersTable[[#This Row],[Customer ID]]), "New", "Repeat")</f>
        <v>New</v>
      </c>
      <c r="H1625" t="s">
        <v>59</v>
      </c>
      <c r="I1625" t="str">
        <f>INDEX(State!B:B,MATCH(OrdersTable[[#This Row],[State]],State!A:A,0))</f>
        <v>TN</v>
      </c>
      <c r="J1625" t="str">
        <f>INDEX(State!C:C,MATCH(OrdersTable[[#This Row],[State Code]],State!B:B,0))</f>
        <v>South</v>
      </c>
      <c r="K1625" t="s">
        <v>64</v>
      </c>
      <c r="L1625" t="s">
        <v>50</v>
      </c>
      <c r="M1625" t="s">
        <v>61</v>
      </c>
      <c r="N1625" t="str">
        <f>INDEX(Products!B:B,MATCH(OrdersTable[[#This Row],[Product ID]],Products!A:A,0))</f>
        <v>Multivitamin Gummies</v>
      </c>
      <c r="O1625" t="str">
        <f>INDEX(Products!C:C,MATCH(OrdersTable[[#This Row],[Product ID]],Products!A:A,0))</f>
        <v>Wellness</v>
      </c>
      <c r="P1625">
        <v>2</v>
      </c>
      <c r="Q1625" s="5">
        <v>699</v>
      </c>
      <c r="R1625" s="74">
        <v>0.3</v>
      </c>
      <c r="S1625" s="75">
        <f>OrdersTable[[#This Row],[Quantity]]*OrdersTable[[#This Row],[Unit Price]]</f>
        <v>1398</v>
      </c>
      <c r="T1625" s="5">
        <f>OrdersTable[[#This Row],[Gross Sale]]*OrdersTable[[#This Row],[Discount_Clean2]]</f>
        <v>419.4</v>
      </c>
      <c r="U1625" s="5">
        <f>OrdersTable[[#This Row],[Gross Sale]]-OrdersTable[[#This Row],[Discount Amount]]</f>
        <v>978.6</v>
      </c>
      <c r="V1625" s="77">
        <f>INDEX(Products!E:E,MATCH(OrdersTable[[#This Row],[Product ID]],Products!A:A,0))</f>
        <v>238</v>
      </c>
      <c r="W1625" s="77">
        <f>OrdersTable[[#This Row],[Quantity]]*OrdersTable[[#This Row],[Unit Cost]]</f>
        <v>476</v>
      </c>
      <c r="X1625" s="77">
        <f>'Dropdown Lists'!$I$2*(1+OrdersTable[[#This Row],[Returned]])</f>
        <v>60</v>
      </c>
      <c r="Y1625" s="76">
        <f>OrdersTable[[#This Row],[Net Revenue]]-OrdersTable[[#This Row],[COGS]]-OrdersTable[[#This Row],[Shipping Cost]]</f>
        <v>442.6</v>
      </c>
      <c r="Z1625" s="78">
        <f>IFERROR(OrdersTable[[#This Row],[Profit]]/OrdersTable[[#This Row],[Net Revenue]],0)</f>
        <v>0.45227876558348662</v>
      </c>
      <c r="AA1625" t="s">
        <v>2522</v>
      </c>
      <c r="AB1625" s="79">
        <v>45594</v>
      </c>
      <c r="AC1625">
        <f>OrdersTable[[#This Row],[Delivery Date]]-OrdersTable[[#This Row],[Order Date]]</f>
        <v>4</v>
      </c>
      <c r="AD1625" t="str">
        <f>IF(OrdersTable[[#This Row],[Delivery Days]]&lt;=2, "Express (≤2d)", IF(OrdersTable[[#This Row],[Delivery Days]]&lt;=4, "Standard (3-4d)", "Delayed (5d+)"))</f>
        <v>Standard (3-4d)</v>
      </c>
      <c r="AE1625">
        <v>3</v>
      </c>
      <c r="AF1625">
        <v>0</v>
      </c>
    </row>
    <row r="1626" spans="1:32" ht="15" x14ac:dyDescent="0.35">
      <c r="A1626" t="s">
        <v>5358</v>
      </c>
      <c r="B1626" s="1">
        <v>45591</v>
      </c>
      <c r="C1626">
        <f>YEAR(OrdersTable[[#This Row],[Order Date]])</f>
        <v>2024</v>
      </c>
      <c r="D1626" s="2">
        <f>DATE(YEAR(OrdersTable[[#This Row],[Order Date]]),MONTH(OrdersTable[[#This Row],[Order Date]]),1)</f>
        <v>45566</v>
      </c>
      <c r="E1626">
        <f>MONTH(OrdersTable[[#This Row],[Order Date]])</f>
        <v>10</v>
      </c>
      <c r="F1626" t="s">
        <v>86</v>
      </c>
      <c r="G1626" t="str">
        <f>IF(OrdersTable[[#This Row],[Order Date]]=_xlfn.MINIFS(Order_Date, Customer_ID, OrdersTable[[#This Row],[Customer ID]]), "New", "Repeat")</f>
        <v>Repeat</v>
      </c>
      <c r="H1626" t="s">
        <v>21</v>
      </c>
      <c r="I1626" t="str">
        <f>INDEX(State!B:B,MATCH(OrdersTable[[#This Row],[State]],State!A:A,0))</f>
        <v>PB</v>
      </c>
      <c r="J1626" t="str">
        <f>INDEX(State!C:C,MATCH(OrdersTable[[#This Row],[State Code]],State!B:B,0))</f>
        <v>North</v>
      </c>
      <c r="K1626" t="s">
        <v>260</v>
      </c>
      <c r="L1626" t="s">
        <v>65</v>
      </c>
      <c r="M1626" t="s">
        <v>56</v>
      </c>
      <c r="N1626" t="str">
        <f>INDEX(Products!B:B,MATCH(OrdersTable[[#This Row],[Product ID]],Products!A:A,0))</f>
        <v>Vitamin C Face Serum</v>
      </c>
      <c r="O1626" t="str">
        <f>INDEX(Products!C:C,MATCH(OrdersTable[[#This Row],[Product ID]],Products!A:A,0))</f>
        <v>Skincare</v>
      </c>
      <c r="P1626">
        <v>2</v>
      </c>
      <c r="Q1626" s="5">
        <v>599</v>
      </c>
      <c r="R1626" s="74">
        <v>0.4</v>
      </c>
      <c r="S1626" s="75">
        <f>OrdersTable[[#This Row],[Quantity]]*OrdersTable[[#This Row],[Unit Price]]</f>
        <v>1198</v>
      </c>
      <c r="T1626" s="5">
        <f>OrdersTable[[#This Row],[Gross Sale]]*OrdersTable[[#This Row],[Discount_Clean2]]</f>
        <v>479.20000000000005</v>
      </c>
      <c r="U1626" s="5">
        <f>OrdersTable[[#This Row],[Gross Sale]]-OrdersTable[[#This Row],[Discount Amount]]</f>
        <v>718.8</v>
      </c>
      <c r="V1626" s="77">
        <f>INDEX(Products!E:E,MATCH(OrdersTable[[#This Row],[Product ID]],Products!A:A,0))</f>
        <v>180</v>
      </c>
      <c r="W1626" s="77">
        <f>OrdersTable[[#This Row],[Quantity]]*OrdersTable[[#This Row],[Unit Cost]]</f>
        <v>360</v>
      </c>
      <c r="X1626" s="77">
        <f>'Dropdown Lists'!$I$2*(1+OrdersTable[[#This Row],[Returned]])</f>
        <v>60</v>
      </c>
      <c r="Y1626" s="76">
        <f>OrdersTable[[#This Row],[Net Revenue]]-OrdersTable[[#This Row],[COGS]]-OrdersTable[[#This Row],[Shipping Cost]]</f>
        <v>298.79999999999995</v>
      </c>
      <c r="Z1626" s="78">
        <f>IFERROR(OrdersTable[[#This Row],[Profit]]/OrdersTable[[#This Row],[Net Revenue]],0)</f>
        <v>0.4156928213689482</v>
      </c>
      <c r="AA1626" t="s">
        <v>2522</v>
      </c>
      <c r="AB1626" s="79">
        <v>45593</v>
      </c>
      <c r="AC1626">
        <f>OrdersTable[[#This Row],[Delivery Date]]-OrdersTable[[#This Row],[Order Date]]</f>
        <v>2</v>
      </c>
      <c r="AD1626" t="str">
        <f>IF(OrdersTable[[#This Row],[Delivery Days]]&lt;=2, "Express (≤2d)", IF(OrdersTable[[#This Row],[Delivery Days]]&lt;=4, "Standard (3-4d)", "Delayed (5d+)"))</f>
        <v>Express (≤2d)</v>
      </c>
      <c r="AE1626">
        <v>3</v>
      </c>
      <c r="AF1626">
        <v>0</v>
      </c>
    </row>
    <row r="1627" spans="1:32" ht="15" x14ac:dyDescent="0.35">
      <c r="A1627" t="s">
        <v>6519</v>
      </c>
      <c r="B1627" s="1">
        <v>45591</v>
      </c>
      <c r="C1627">
        <f>YEAR(OrdersTable[[#This Row],[Order Date]])</f>
        <v>2024</v>
      </c>
      <c r="D1627" s="2">
        <f>DATE(YEAR(OrdersTable[[#This Row],[Order Date]]),MONTH(OrdersTable[[#This Row],[Order Date]]),1)</f>
        <v>45566</v>
      </c>
      <c r="E1627">
        <f>MONTH(OrdersTable[[#This Row],[Order Date]])</f>
        <v>10</v>
      </c>
      <c r="F1627" t="s">
        <v>3467</v>
      </c>
      <c r="G1627" t="str">
        <f>IF(OrdersTable[[#This Row],[Order Date]]=_xlfn.MINIFS(Order_Date, Customer_ID, OrdersTable[[#This Row],[Customer ID]]), "New", "Repeat")</f>
        <v>Repeat</v>
      </c>
      <c r="H1627" t="s">
        <v>54</v>
      </c>
      <c r="I1627" t="str">
        <f>INDEX(State!B:B,MATCH(OrdersTable[[#This Row],[State]],State!A:A,0))</f>
        <v>RJ</v>
      </c>
      <c r="J1627" t="str">
        <f>INDEX(State!C:C,MATCH(OrdersTable[[#This Row],[State Code]],State!B:B,0))</f>
        <v>North</v>
      </c>
      <c r="K1627" t="s">
        <v>227</v>
      </c>
      <c r="L1627" t="s">
        <v>65</v>
      </c>
      <c r="M1627" t="s">
        <v>40</v>
      </c>
      <c r="N1627" t="str">
        <f>INDEX(Products!B:B,MATCH(OrdersTable[[#This Row],[Product ID]],Products!A:A,0))</f>
        <v>Ashwagandha Capsules</v>
      </c>
      <c r="O1627" t="str">
        <f>INDEX(Products!C:C,MATCH(OrdersTable[[#This Row],[Product ID]],Products!A:A,0))</f>
        <v>Wellness</v>
      </c>
      <c r="P1627">
        <v>3</v>
      </c>
      <c r="Q1627" s="5">
        <v>499</v>
      </c>
      <c r="R1627" s="74">
        <v>0.1</v>
      </c>
      <c r="S1627" s="75">
        <f>OrdersTable[[#This Row],[Quantity]]*OrdersTable[[#This Row],[Unit Price]]</f>
        <v>1497</v>
      </c>
      <c r="T1627" s="5">
        <f>OrdersTable[[#This Row],[Gross Sale]]*OrdersTable[[#This Row],[Discount_Clean2]]</f>
        <v>149.70000000000002</v>
      </c>
      <c r="U1627" s="5">
        <f>OrdersTable[[#This Row],[Gross Sale]]-OrdersTable[[#This Row],[Discount Amount]]</f>
        <v>1347.3</v>
      </c>
      <c r="V1627" s="77">
        <f>INDEX(Products!E:E,MATCH(OrdersTable[[#This Row],[Product ID]],Products!A:A,0))</f>
        <v>150</v>
      </c>
      <c r="W1627" s="77">
        <f>OrdersTable[[#This Row],[Quantity]]*OrdersTable[[#This Row],[Unit Cost]]</f>
        <v>450</v>
      </c>
      <c r="X1627" s="77">
        <f>'Dropdown Lists'!$I$2*(1+OrdersTable[[#This Row],[Returned]])</f>
        <v>60</v>
      </c>
      <c r="Y1627" s="76">
        <f>OrdersTable[[#This Row],[Net Revenue]]-OrdersTable[[#This Row],[COGS]]-OrdersTable[[#This Row],[Shipping Cost]]</f>
        <v>837.3</v>
      </c>
      <c r="Z1627" s="78">
        <f>IFERROR(OrdersTable[[#This Row],[Profit]]/OrdersTable[[#This Row],[Net Revenue]],0)</f>
        <v>0.62146515252727674</v>
      </c>
      <c r="AA1627" t="s">
        <v>18</v>
      </c>
      <c r="AB1627" s="79">
        <v>45597</v>
      </c>
      <c r="AC1627">
        <f>OrdersTable[[#This Row],[Delivery Date]]-OrdersTable[[#This Row],[Order Date]]</f>
        <v>6</v>
      </c>
      <c r="AD1627" t="str">
        <f>IF(OrdersTable[[#This Row],[Delivery Days]]&lt;=2, "Express (≤2d)", IF(OrdersTable[[#This Row],[Delivery Days]]&lt;=4, "Standard (3-4d)", "Delayed (5d+)"))</f>
        <v>Delayed (5d+)</v>
      </c>
      <c r="AE1627">
        <v>3</v>
      </c>
      <c r="AF1627">
        <v>0</v>
      </c>
    </row>
    <row r="1628" spans="1:32" ht="15" x14ac:dyDescent="0.35">
      <c r="A1628" t="s">
        <v>5359</v>
      </c>
      <c r="B1628" s="1">
        <v>45591</v>
      </c>
      <c r="C1628">
        <f>YEAR(OrdersTable[[#This Row],[Order Date]])</f>
        <v>2024</v>
      </c>
      <c r="D1628" s="2">
        <f>DATE(YEAR(OrdersTable[[#This Row],[Order Date]]),MONTH(OrdersTable[[#This Row],[Order Date]]),1)</f>
        <v>45566</v>
      </c>
      <c r="E1628">
        <f>MONTH(OrdersTable[[#This Row],[Order Date]])</f>
        <v>10</v>
      </c>
      <c r="F1628" t="s">
        <v>5360</v>
      </c>
      <c r="G1628" t="str">
        <f>IF(OrdersTable[[#This Row],[Order Date]]=_xlfn.MINIFS(Order_Date, Customer_ID, OrdersTable[[#This Row],[Customer ID]]), "New", "Repeat")</f>
        <v>New</v>
      </c>
      <c r="H1628" t="s">
        <v>76</v>
      </c>
      <c r="I1628" t="str">
        <f>INDEX(State!B:B,MATCH(OrdersTable[[#This Row],[State]],State!A:A,0))</f>
        <v>UP</v>
      </c>
      <c r="J1628" t="str">
        <f>INDEX(State!C:C,MATCH(OrdersTable[[#This Row],[State Code]],State!B:B,0))</f>
        <v>North</v>
      </c>
      <c r="K1628" t="s">
        <v>118</v>
      </c>
      <c r="L1628" t="s">
        <v>50</v>
      </c>
      <c r="M1628" t="s">
        <v>40</v>
      </c>
      <c r="N1628" t="str">
        <f>INDEX(Products!B:B,MATCH(OrdersTable[[#This Row],[Product ID]],Products!A:A,0))</f>
        <v>Ashwagandha Capsules</v>
      </c>
      <c r="O1628" t="str">
        <f>INDEX(Products!C:C,MATCH(OrdersTable[[#This Row],[Product ID]],Products!A:A,0))</f>
        <v>Wellness</v>
      </c>
      <c r="P1628">
        <v>2</v>
      </c>
      <c r="Q1628" s="5">
        <v>499</v>
      </c>
      <c r="R1628" s="74">
        <v>0.05</v>
      </c>
      <c r="S1628" s="75">
        <f>OrdersTable[[#This Row],[Quantity]]*OrdersTable[[#This Row],[Unit Price]]</f>
        <v>998</v>
      </c>
      <c r="T1628" s="5">
        <f>OrdersTable[[#This Row],[Gross Sale]]*OrdersTable[[#This Row],[Discount_Clean2]]</f>
        <v>49.900000000000006</v>
      </c>
      <c r="U1628" s="5">
        <f>OrdersTable[[#This Row],[Gross Sale]]-OrdersTable[[#This Row],[Discount Amount]]</f>
        <v>948.1</v>
      </c>
      <c r="V1628" s="77">
        <f>INDEX(Products!E:E,MATCH(OrdersTable[[#This Row],[Product ID]],Products!A:A,0))</f>
        <v>150</v>
      </c>
      <c r="W1628" s="77">
        <f>OrdersTable[[#This Row],[Quantity]]*OrdersTable[[#This Row],[Unit Cost]]</f>
        <v>300</v>
      </c>
      <c r="X1628" s="77">
        <f>'Dropdown Lists'!$I$2*(1+OrdersTable[[#This Row],[Returned]])</f>
        <v>60</v>
      </c>
      <c r="Y1628" s="76">
        <f>OrdersTable[[#This Row],[Net Revenue]]-OrdersTable[[#This Row],[COGS]]-OrdersTable[[#This Row],[Shipping Cost]]</f>
        <v>588.1</v>
      </c>
      <c r="Z1628" s="78">
        <f>IFERROR(OrdersTable[[#This Row],[Profit]]/OrdersTable[[#This Row],[Net Revenue]],0)</f>
        <v>0.62029321801497728</v>
      </c>
      <c r="AA1628" t="s">
        <v>2522</v>
      </c>
      <c r="AB1628" s="79">
        <v>45595</v>
      </c>
      <c r="AC1628">
        <f>OrdersTable[[#This Row],[Delivery Date]]-OrdersTable[[#This Row],[Order Date]]</f>
        <v>4</v>
      </c>
      <c r="AD1628" t="str">
        <f>IF(OrdersTable[[#This Row],[Delivery Days]]&lt;=2, "Express (≤2d)", IF(OrdersTable[[#This Row],[Delivery Days]]&lt;=4, "Standard (3-4d)", "Delayed (5d+)"))</f>
        <v>Standard (3-4d)</v>
      </c>
      <c r="AE1628">
        <v>3</v>
      </c>
      <c r="AF1628">
        <v>0</v>
      </c>
    </row>
    <row r="1629" spans="1:32" ht="15" x14ac:dyDescent="0.35">
      <c r="A1629" t="s">
        <v>206</v>
      </c>
      <c r="B1629" s="1">
        <v>45591</v>
      </c>
      <c r="C1629">
        <f>YEAR(OrdersTable[[#This Row],[Order Date]])</f>
        <v>2024</v>
      </c>
      <c r="D1629" s="2">
        <f>DATE(YEAR(OrdersTable[[#This Row],[Order Date]]),MONTH(OrdersTable[[#This Row],[Order Date]]),1)</f>
        <v>45566</v>
      </c>
      <c r="E1629">
        <f>MONTH(OrdersTable[[#This Row],[Order Date]])</f>
        <v>10</v>
      </c>
      <c r="F1629" t="s">
        <v>207</v>
      </c>
      <c r="G1629" t="str">
        <f>IF(OrdersTable[[#This Row],[Order Date]]=_xlfn.MINIFS(Order_Date, Customer_ID, OrdersTable[[#This Row],[Customer ID]]), "New", "Repeat")</f>
        <v>New</v>
      </c>
      <c r="H1629" t="s">
        <v>76</v>
      </c>
      <c r="I1629" t="str">
        <f>INDEX(State!B:B,MATCH(OrdersTable[[#This Row],[State]],State!A:A,0))</f>
        <v>UP</v>
      </c>
      <c r="J1629" t="str">
        <f>INDEX(State!C:C,MATCH(OrdersTable[[#This Row],[State Code]],State!B:B,0))</f>
        <v>North</v>
      </c>
      <c r="K1629" t="s">
        <v>77</v>
      </c>
      <c r="L1629" t="s">
        <v>16</v>
      </c>
      <c r="M1629" t="s">
        <v>34</v>
      </c>
      <c r="N1629" t="str">
        <f>INDEX(Products!B:B,MATCH(OrdersTable[[#This Row],[Product ID]],Products!A:A,0))</f>
        <v>Flip Flops</v>
      </c>
      <c r="O1629" t="str">
        <f>INDEX(Products!C:C,MATCH(OrdersTable[[#This Row],[Product ID]],Products!A:A,0))</f>
        <v>Footwear</v>
      </c>
      <c r="P1629">
        <v>1</v>
      </c>
      <c r="Q1629" s="5">
        <v>399</v>
      </c>
      <c r="R1629" s="74">
        <v>0.25</v>
      </c>
      <c r="S1629" s="75">
        <f>OrdersTable[[#This Row],[Quantity]]*OrdersTable[[#This Row],[Unit Price]]</f>
        <v>399</v>
      </c>
      <c r="T1629" s="5">
        <f>OrdersTable[[#This Row],[Gross Sale]]*OrdersTable[[#This Row],[Discount_Clean2]]</f>
        <v>99.75</v>
      </c>
      <c r="U1629" s="5">
        <f>OrdersTable[[#This Row],[Gross Sale]]-OrdersTable[[#This Row],[Discount Amount]]</f>
        <v>299.25</v>
      </c>
      <c r="V1629" s="77">
        <f>INDEX(Products!E:E,MATCH(OrdersTable[[#This Row],[Product ID]],Products!A:A,0))</f>
        <v>152</v>
      </c>
      <c r="W1629" s="77">
        <f>OrdersTable[[#This Row],[Quantity]]*OrdersTable[[#This Row],[Unit Cost]]</f>
        <v>152</v>
      </c>
      <c r="X1629" s="77">
        <f>'Dropdown Lists'!$I$2*(1+OrdersTable[[#This Row],[Returned]])</f>
        <v>60</v>
      </c>
      <c r="Y1629" s="76">
        <f>OrdersTable[[#This Row],[Net Revenue]]-OrdersTable[[#This Row],[COGS]]-OrdersTable[[#This Row],[Shipping Cost]]</f>
        <v>87.25</v>
      </c>
      <c r="Z1629" s="78">
        <f>IFERROR(OrdersTable[[#This Row],[Profit]]/OrdersTable[[#This Row],[Net Revenue]],0)</f>
        <v>0.29156223893065997</v>
      </c>
      <c r="AA1629" t="s">
        <v>18</v>
      </c>
      <c r="AB1629" s="79">
        <v>45594</v>
      </c>
      <c r="AC1629">
        <f>OrdersTable[[#This Row],[Delivery Date]]-OrdersTable[[#This Row],[Order Date]]</f>
        <v>3</v>
      </c>
      <c r="AD1629" t="str">
        <f>IF(OrdersTable[[#This Row],[Delivery Days]]&lt;=2, "Express (≤2d)", IF(OrdersTable[[#This Row],[Delivery Days]]&lt;=4, "Standard (3-4d)", "Delayed (5d+)"))</f>
        <v>Standard (3-4d)</v>
      </c>
      <c r="AE1629">
        <v>4</v>
      </c>
      <c r="AF1629">
        <v>0</v>
      </c>
    </row>
    <row r="1630" spans="1:32" ht="15" x14ac:dyDescent="0.35">
      <c r="A1630" t="s">
        <v>4105</v>
      </c>
      <c r="B1630" s="1">
        <v>45591</v>
      </c>
      <c r="C1630">
        <f>YEAR(OrdersTable[[#This Row],[Order Date]])</f>
        <v>2024</v>
      </c>
      <c r="D1630" s="2">
        <f>DATE(YEAR(OrdersTable[[#This Row],[Order Date]]),MONTH(OrdersTable[[#This Row],[Order Date]]),1)</f>
        <v>45566</v>
      </c>
      <c r="E1630">
        <f>MONTH(OrdersTable[[#This Row],[Order Date]])</f>
        <v>10</v>
      </c>
      <c r="F1630" t="s">
        <v>2058</v>
      </c>
      <c r="G1630" t="str">
        <f>IF(OrdersTable[[#This Row],[Order Date]]=_xlfn.MINIFS(Order_Date, Customer_ID, OrdersTable[[#This Row],[Customer ID]]), "New", "Repeat")</f>
        <v>New</v>
      </c>
      <c r="H1630" t="s">
        <v>37</v>
      </c>
      <c r="I1630" t="str">
        <f>INDEX(State!B:B,MATCH(OrdersTable[[#This Row],[State]],State!A:A,0))</f>
        <v>GJ</v>
      </c>
      <c r="J1630" t="str">
        <f>INDEX(State!C:C,MATCH(OrdersTable[[#This Row],[State Code]],State!B:B,0))</f>
        <v>West</v>
      </c>
      <c r="K1630" t="s">
        <v>38</v>
      </c>
      <c r="L1630" t="s">
        <v>23</v>
      </c>
      <c r="M1630" t="s">
        <v>106</v>
      </c>
      <c r="N1630" t="str">
        <f>INDEX(Products!B:B,MATCH(OrdersTable[[#This Row],[Product ID]],Products!A:A,0))</f>
        <v>Keratin Hair Mask</v>
      </c>
      <c r="O1630" t="str">
        <f>INDEX(Products!C:C,MATCH(OrdersTable[[#This Row],[Product ID]],Products!A:A,0))</f>
        <v>Haircare</v>
      </c>
      <c r="P1630">
        <v>1</v>
      </c>
      <c r="Q1630" s="5">
        <v>549</v>
      </c>
      <c r="R1630" s="74">
        <v>0.2</v>
      </c>
      <c r="S1630" s="75">
        <f>OrdersTable[[#This Row],[Quantity]]*OrdersTable[[#This Row],[Unit Price]]</f>
        <v>549</v>
      </c>
      <c r="T1630" s="5">
        <f>OrdersTable[[#This Row],[Gross Sale]]*OrdersTable[[#This Row],[Discount_Clean2]]</f>
        <v>109.80000000000001</v>
      </c>
      <c r="U1630" s="5">
        <f>OrdersTable[[#This Row],[Gross Sale]]-OrdersTable[[#This Row],[Discount Amount]]</f>
        <v>439.2</v>
      </c>
      <c r="V1630" s="77">
        <f>INDEX(Products!E:E,MATCH(OrdersTable[[#This Row],[Product ID]],Products!A:A,0))</f>
        <v>170</v>
      </c>
      <c r="W1630" s="77">
        <f>OrdersTable[[#This Row],[Quantity]]*OrdersTable[[#This Row],[Unit Cost]]</f>
        <v>170</v>
      </c>
      <c r="X1630" s="77">
        <f>'Dropdown Lists'!$I$2*(1+OrdersTable[[#This Row],[Returned]])</f>
        <v>60</v>
      </c>
      <c r="Y1630" s="76">
        <f>OrdersTable[[#This Row],[Net Revenue]]-OrdersTable[[#This Row],[COGS]]-OrdersTable[[#This Row],[Shipping Cost]]</f>
        <v>209.2</v>
      </c>
      <c r="Z1630" s="78">
        <f>IFERROR(OrdersTable[[#This Row],[Profit]]/OrdersTable[[#This Row],[Net Revenue]],0)</f>
        <v>0.47632058287795992</v>
      </c>
      <c r="AA1630" t="s">
        <v>4074</v>
      </c>
      <c r="AB1630" s="79">
        <v>45596</v>
      </c>
      <c r="AC1630">
        <f>OrdersTable[[#This Row],[Delivery Date]]-OrdersTable[[#This Row],[Order Date]]</f>
        <v>5</v>
      </c>
      <c r="AD1630" t="str">
        <f>IF(OrdersTable[[#This Row],[Delivery Days]]&lt;=2, "Express (≤2d)", IF(OrdersTable[[#This Row],[Delivery Days]]&lt;=4, "Standard (3-4d)", "Delayed (5d+)"))</f>
        <v>Delayed (5d+)</v>
      </c>
      <c r="AE1630">
        <v>3</v>
      </c>
      <c r="AF1630">
        <v>0</v>
      </c>
    </row>
    <row r="1631" spans="1:32" ht="15" x14ac:dyDescent="0.35">
      <c r="A1631" t="s">
        <v>1687</v>
      </c>
      <c r="B1631" s="1">
        <v>45591</v>
      </c>
      <c r="C1631">
        <f>YEAR(OrdersTable[[#This Row],[Order Date]])</f>
        <v>2024</v>
      </c>
      <c r="D1631" s="2">
        <f>DATE(YEAR(OrdersTable[[#This Row],[Order Date]]),MONTH(OrdersTable[[#This Row],[Order Date]]),1)</f>
        <v>45566</v>
      </c>
      <c r="E1631">
        <f>MONTH(OrdersTable[[#This Row],[Order Date]])</f>
        <v>10</v>
      </c>
      <c r="F1631" t="s">
        <v>170</v>
      </c>
      <c r="G1631" t="str">
        <f>IF(OrdersTable[[#This Row],[Order Date]]=_xlfn.MINIFS(Order_Date, Customer_ID, OrdersTable[[#This Row],[Customer ID]]), "New", "Repeat")</f>
        <v>Repeat</v>
      </c>
      <c r="H1631" t="s">
        <v>43</v>
      </c>
      <c r="I1631" t="str">
        <f>INDEX(State!B:B,MATCH(OrdersTable[[#This Row],[State]],State!A:A,0))</f>
        <v>MP</v>
      </c>
      <c r="J1631" t="str">
        <f>INDEX(State!C:C,MATCH(OrdersTable[[#This Row],[State Code]],State!B:B,0))</f>
        <v>West</v>
      </c>
      <c r="K1631" t="s">
        <v>250</v>
      </c>
      <c r="L1631" t="s">
        <v>65</v>
      </c>
      <c r="M1631" t="s">
        <v>24</v>
      </c>
      <c r="N1631" t="str">
        <f>INDEX(Products!B:B,MATCH(OrdersTable[[#This Row],[Product ID]],Products!A:A,0))</f>
        <v>Scented Candle Set</v>
      </c>
      <c r="O1631" t="str">
        <f>INDEX(Products!C:C,MATCH(OrdersTable[[#This Row],[Product ID]],Products!A:A,0))</f>
        <v>Home &amp; Kitchen</v>
      </c>
      <c r="P1631">
        <v>1</v>
      </c>
      <c r="Q1631" s="5">
        <v>699</v>
      </c>
      <c r="R1631" s="74">
        <v>0.35</v>
      </c>
      <c r="S1631" s="75">
        <f>OrdersTable[[#This Row],[Quantity]]*OrdersTable[[#This Row],[Unit Price]]</f>
        <v>699</v>
      </c>
      <c r="T1631" s="5">
        <f>OrdersTable[[#This Row],[Gross Sale]]*OrdersTable[[#This Row],[Discount_Clean2]]</f>
        <v>244.64999999999998</v>
      </c>
      <c r="U1631" s="5">
        <f>OrdersTable[[#This Row],[Gross Sale]]-OrdersTable[[#This Row],[Discount Amount]]</f>
        <v>454.35</v>
      </c>
      <c r="V1631" s="77">
        <f>INDEX(Products!E:E,MATCH(OrdersTable[[#This Row],[Product ID]],Products!A:A,0))</f>
        <v>245</v>
      </c>
      <c r="W1631" s="77">
        <f>OrdersTable[[#This Row],[Quantity]]*OrdersTable[[#This Row],[Unit Cost]]</f>
        <v>245</v>
      </c>
      <c r="X1631" s="77">
        <f>'Dropdown Lists'!$I$2*(1+OrdersTable[[#This Row],[Returned]])</f>
        <v>60</v>
      </c>
      <c r="Y1631" s="76">
        <f>OrdersTable[[#This Row],[Net Revenue]]-OrdersTable[[#This Row],[COGS]]-OrdersTable[[#This Row],[Shipping Cost]]</f>
        <v>149.35000000000002</v>
      </c>
      <c r="Z1631" s="78">
        <f>IFERROR(OrdersTable[[#This Row],[Profit]]/OrdersTable[[#This Row],[Net Revenue]],0)</f>
        <v>0.32871134587872791</v>
      </c>
      <c r="AA1631" t="s">
        <v>18</v>
      </c>
      <c r="AB1631" s="79">
        <v>45597</v>
      </c>
      <c r="AC1631">
        <f>OrdersTable[[#This Row],[Delivery Date]]-OrdersTable[[#This Row],[Order Date]]</f>
        <v>6</v>
      </c>
      <c r="AD1631" t="str">
        <f>IF(OrdersTable[[#This Row],[Delivery Days]]&lt;=2, "Express (≤2d)", IF(OrdersTable[[#This Row],[Delivery Days]]&lt;=4, "Standard (3-4d)", "Delayed (5d+)"))</f>
        <v>Delayed (5d+)</v>
      </c>
      <c r="AF1631">
        <v>0</v>
      </c>
    </row>
    <row r="1632" spans="1:32" ht="15" x14ac:dyDescent="0.35">
      <c r="A1632" t="s">
        <v>2751</v>
      </c>
      <c r="B1632" s="1">
        <v>45591</v>
      </c>
      <c r="C1632">
        <f>YEAR(OrdersTable[[#This Row],[Order Date]])</f>
        <v>2024</v>
      </c>
      <c r="D1632" s="2">
        <f>DATE(YEAR(OrdersTable[[#This Row],[Order Date]]),MONTH(OrdersTable[[#This Row],[Order Date]]),1)</f>
        <v>45566</v>
      </c>
      <c r="E1632">
        <f>MONTH(OrdersTable[[#This Row],[Order Date]])</f>
        <v>10</v>
      </c>
      <c r="F1632" t="s">
        <v>2752</v>
      </c>
      <c r="G1632" t="str">
        <f>IF(OrdersTable[[#This Row],[Order Date]]=_xlfn.MINIFS(Order_Date, Customer_ID, OrdersTable[[#This Row],[Customer ID]]), "New", "Repeat")</f>
        <v>Repeat</v>
      </c>
      <c r="H1632" t="s">
        <v>27</v>
      </c>
      <c r="I1632" t="str">
        <f>INDEX(State!B:B,MATCH(OrdersTable[[#This Row],[State]],State!A:A,0))</f>
        <v>WB</v>
      </c>
      <c r="J1632" t="str">
        <f>INDEX(State!C:C,MATCH(OrdersTable[[#This Row],[State Code]],State!B:B,0))</f>
        <v>East</v>
      </c>
      <c r="K1632" t="s">
        <v>28</v>
      </c>
      <c r="L1632" t="s">
        <v>23</v>
      </c>
      <c r="M1632" t="s">
        <v>56</v>
      </c>
      <c r="N1632" t="str">
        <f>INDEX(Products!B:B,MATCH(OrdersTable[[#This Row],[Product ID]],Products!A:A,0))</f>
        <v>Vitamin C Face Serum</v>
      </c>
      <c r="O1632" t="str">
        <f>INDEX(Products!C:C,MATCH(OrdersTable[[#This Row],[Product ID]],Products!A:A,0))</f>
        <v>Skincare</v>
      </c>
      <c r="P1632">
        <v>1</v>
      </c>
      <c r="Q1632" s="5">
        <v>599</v>
      </c>
      <c r="R1632" s="74">
        <v>0.2</v>
      </c>
      <c r="S1632" s="75">
        <f>OrdersTable[[#This Row],[Quantity]]*OrdersTable[[#This Row],[Unit Price]]</f>
        <v>599</v>
      </c>
      <c r="T1632" s="5">
        <f>OrdersTable[[#This Row],[Gross Sale]]*OrdersTable[[#This Row],[Discount_Clean2]]</f>
        <v>119.80000000000001</v>
      </c>
      <c r="U1632" s="5">
        <f>OrdersTable[[#This Row],[Gross Sale]]-OrdersTable[[#This Row],[Discount Amount]]</f>
        <v>479.2</v>
      </c>
      <c r="V1632" s="77">
        <f>INDEX(Products!E:E,MATCH(OrdersTable[[#This Row],[Product ID]],Products!A:A,0))</f>
        <v>180</v>
      </c>
      <c r="W1632" s="77">
        <f>OrdersTable[[#This Row],[Quantity]]*OrdersTable[[#This Row],[Unit Cost]]</f>
        <v>180</v>
      </c>
      <c r="X1632" s="77">
        <f>'Dropdown Lists'!$I$2*(1+OrdersTable[[#This Row],[Returned]])</f>
        <v>60</v>
      </c>
      <c r="Y1632" s="76">
        <f>OrdersTable[[#This Row],[Net Revenue]]-OrdersTable[[#This Row],[COGS]]-OrdersTable[[#This Row],[Shipping Cost]]</f>
        <v>239.2</v>
      </c>
      <c r="Z1632" s="78">
        <f>IFERROR(OrdersTable[[#This Row],[Profit]]/OrdersTable[[#This Row],[Net Revenue]],0)</f>
        <v>0.4991652754590985</v>
      </c>
      <c r="AA1632" t="s">
        <v>2522</v>
      </c>
      <c r="AB1632" s="79">
        <v>45594</v>
      </c>
      <c r="AC1632">
        <f>OrdersTable[[#This Row],[Delivery Date]]-OrdersTable[[#This Row],[Order Date]]</f>
        <v>3</v>
      </c>
      <c r="AD1632" t="str">
        <f>IF(OrdersTable[[#This Row],[Delivery Days]]&lt;=2, "Express (≤2d)", IF(OrdersTable[[#This Row],[Delivery Days]]&lt;=4, "Standard (3-4d)", "Delayed (5d+)"))</f>
        <v>Standard (3-4d)</v>
      </c>
      <c r="AE1632">
        <v>3</v>
      </c>
      <c r="AF1632">
        <v>0</v>
      </c>
    </row>
    <row r="1633" spans="1:32" ht="15" x14ac:dyDescent="0.35">
      <c r="A1633" t="s">
        <v>1688</v>
      </c>
      <c r="B1633" s="1">
        <v>45591</v>
      </c>
      <c r="C1633">
        <f>YEAR(OrdersTable[[#This Row],[Order Date]])</f>
        <v>2024</v>
      </c>
      <c r="D1633" s="2">
        <f>DATE(YEAR(OrdersTable[[#This Row],[Order Date]]),MONTH(OrdersTable[[#This Row],[Order Date]]),1)</f>
        <v>45566</v>
      </c>
      <c r="E1633">
        <f>MONTH(OrdersTable[[#This Row],[Order Date]])</f>
        <v>10</v>
      </c>
      <c r="F1633" t="s">
        <v>1689</v>
      </c>
      <c r="G1633" t="str">
        <f>IF(OrdersTable[[#This Row],[Order Date]]=_xlfn.MINIFS(Order_Date, Customer_ID, OrdersTable[[#This Row],[Customer ID]]), "New", "Repeat")</f>
        <v>New</v>
      </c>
      <c r="H1633" t="s">
        <v>27</v>
      </c>
      <c r="I1633" t="str">
        <f>INDEX(State!B:B,MATCH(OrdersTable[[#This Row],[State]],State!A:A,0))</f>
        <v>WB</v>
      </c>
      <c r="J1633" t="str">
        <f>INDEX(State!C:C,MATCH(OrdersTable[[#This Row],[State Code]],State!B:B,0))</f>
        <v>East</v>
      </c>
      <c r="K1633" t="s">
        <v>28</v>
      </c>
      <c r="L1633" t="s">
        <v>65</v>
      </c>
      <c r="M1633" t="s">
        <v>73</v>
      </c>
      <c r="N1633" t="str">
        <f>INDEX(Products!B:B,MATCH(OrdersTable[[#This Row],[Product ID]],Products!A:A,0))</f>
        <v>Hydrating Face Wash</v>
      </c>
      <c r="O1633" t="str">
        <f>INDEX(Products!C:C,MATCH(OrdersTable[[#This Row],[Product ID]],Products!A:A,0))</f>
        <v>Skincare</v>
      </c>
      <c r="P1633">
        <v>1</v>
      </c>
      <c r="Q1633" s="5">
        <v>299</v>
      </c>
      <c r="R1633" s="74">
        <v>0.15</v>
      </c>
      <c r="S1633" s="75">
        <f>OrdersTable[[#This Row],[Quantity]]*OrdersTable[[#This Row],[Unit Price]]</f>
        <v>299</v>
      </c>
      <c r="T1633" s="5">
        <f>OrdersTable[[#This Row],[Gross Sale]]*OrdersTable[[#This Row],[Discount_Clean2]]</f>
        <v>44.85</v>
      </c>
      <c r="U1633" s="5">
        <f>OrdersTable[[#This Row],[Gross Sale]]-OrdersTable[[#This Row],[Discount Amount]]</f>
        <v>254.15</v>
      </c>
      <c r="V1633" s="77">
        <f>INDEX(Products!E:E,MATCH(OrdersTable[[#This Row],[Product ID]],Products!A:A,0))</f>
        <v>90</v>
      </c>
      <c r="W1633" s="77">
        <f>OrdersTable[[#This Row],[Quantity]]*OrdersTable[[#This Row],[Unit Cost]]</f>
        <v>90</v>
      </c>
      <c r="X1633" s="77">
        <f>'Dropdown Lists'!$I$2*(1+OrdersTable[[#This Row],[Returned]])</f>
        <v>60</v>
      </c>
      <c r="Y1633" s="76">
        <f>OrdersTable[[#This Row],[Net Revenue]]-OrdersTable[[#This Row],[COGS]]-OrdersTable[[#This Row],[Shipping Cost]]</f>
        <v>104.15</v>
      </c>
      <c r="Z1633" s="78">
        <f>IFERROR(OrdersTable[[#This Row],[Profit]]/OrdersTable[[#This Row],[Net Revenue]],0)</f>
        <v>0.40979736376155818</v>
      </c>
      <c r="AA1633" t="s">
        <v>18</v>
      </c>
      <c r="AB1633" s="79">
        <v>45593</v>
      </c>
      <c r="AC1633">
        <f>OrdersTable[[#This Row],[Delivery Date]]-OrdersTable[[#This Row],[Order Date]]</f>
        <v>2</v>
      </c>
      <c r="AD1633" t="str">
        <f>IF(OrdersTable[[#This Row],[Delivery Days]]&lt;=2, "Express (≤2d)", IF(OrdersTable[[#This Row],[Delivery Days]]&lt;=4, "Standard (3-4d)", "Delayed (5d+)"))</f>
        <v>Express (≤2d)</v>
      </c>
      <c r="AF1633">
        <v>0</v>
      </c>
    </row>
    <row r="1634" spans="1:32" ht="15" x14ac:dyDescent="0.35">
      <c r="A1634" t="s">
        <v>5494</v>
      </c>
      <c r="B1634" s="1">
        <v>45591</v>
      </c>
      <c r="C1634">
        <f>YEAR(OrdersTable[[#This Row],[Order Date]])</f>
        <v>2024</v>
      </c>
      <c r="D1634" s="2">
        <f>DATE(YEAR(OrdersTable[[#This Row],[Order Date]]),MONTH(OrdersTable[[#This Row],[Order Date]]),1)</f>
        <v>45566</v>
      </c>
      <c r="E1634">
        <f>MONTH(OrdersTable[[#This Row],[Order Date]])</f>
        <v>10</v>
      </c>
      <c r="F1634" t="s">
        <v>2201</v>
      </c>
      <c r="G1634" t="str">
        <f>IF(OrdersTable[[#This Row],[Order Date]]=_xlfn.MINIFS(Order_Date, Customer_ID, OrdersTable[[#This Row],[Customer ID]]), "New", "Repeat")</f>
        <v>Repeat</v>
      </c>
      <c r="H1634" t="s">
        <v>71</v>
      </c>
      <c r="I1634" t="str">
        <f>INDEX(State!B:B,MATCH(OrdersTable[[#This Row],[State]],State!A:A,0))</f>
        <v>MH</v>
      </c>
      <c r="J1634" t="str">
        <f>INDEX(State!C:C,MATCH(OrdersTable[[#This Row],[State Code]],State!B:B,0))</f>
        <v>West</v>
      </c>
      <c r="K1634" t="s">
        <v>72</v>
      </c>
      <c r="L1634" t="s">
        <v>65</v>
      </c>
      <c r="M1634" t="s">
        <v>84</v>
      </c>
      <c r="N1634" t="str">
        <f>INDEX(Products!B:B,MATCH(OrdersTable[[#This Row],[Product ID]],Products!A:A,0))</f>
        <v>Cotton Bedsheet</v>
      </c>
      <c r="O1634" t="str">
        <f>INDEX(Products!C:C,MATCH(OrdersTable[[#This Row],[Product ID]],Products!A:A,0))</f>
        <v>Home &amp; Kitchen</v>
      </c>
      <c r="P1634">
        <v>2</v>
      </c>
      <c r="Q1634" s="5">
        <v>1299</v>
      </c>
      <c r="R1634" s="74">
        <v>0.3</v>
      </c>
      <c r="S1634" s="75">
        <f>OrdersTable[[#This Row],[Quantity]]*OrdersTable[[#This Row],[Unit Price]]</f>
        <v>2598</v>
      </c>
      <c r="T1634" s="5">
        <f>OrdersTable[[#This Row],[Gross Sale]]*OrdersTable[[#This Row],[Discount_Clean2]]</f>
        <v>779.4</v>
      </c>
      <c r="U1634" s="5">
        <f>OrdersTable[[#This Row],[Gross Sale]]-OrdersTable[[#This Row],[Discount Amount]]</f>
        <v>1818.6</v>
      </c>
      <c r="V1634" s="77">
        <f>INDEX(Products!E:E,MATCH(OrdersTable[[#This Row],[Product ID]],Products!A:A,0))</f>
        <v>585</v>
      </c>
      <c r="W1634" s="77">
        <f>OrdersTable[[#This Row],[Quantity]]*OrdersTable[[#This Row],[Unit Cost]]</f>
        <v>1170</v>
      </c>
      <c r="X1634" s="77">
        <f>'Dropdown Lists'!$I$2*(1+OrdersTable[[#This Row],[Returned]])</f>
        <v>60</v>
      </c>
      <c r="Y1634" s="76">
        <f>OrdersTable[[#This Row],[Net Revenue]]-OrdersTable[[#This Row],[COGS]]-OrdersTable[[#This Row],[Shipping Cost]]</f>
        <v>588.59999999999991</v>
      </c>
      <c r="Z1634" s="78">
        <f>IFERROR(OrdersTable[[#This Row],[Profit]]/OrdersTable[[#This Row],[Net Revenue]],0)</f>
        <v>0.32365555922137906</v>
      </c>
      <c r="AA1634" t="s">
        <v>2522</v>
      </c>
      <c r="AB1634" s="79">
        <v>45593</v>
      </c>
      <c r="AC1634">
        <f>OrdersTable[[#This Row],[Delivery Date]]-OrdersTable[[#This Row],[Order Date]]</f>
        <v>2</v>
      </c>
      <c r="AD1634" t="str">
        <f>IF(OrdersTable[[#This Row],[Delivery Days]]&lt;=2, "Express (≤2d)", IF(OrdersTable[[#This Row],[Delivery Days]]&lt;=4, "Standard (3-4d)", "Delayed (5d+)"))</f>
        <v>Express (≤2d)</v>
      </c>
      <c r="AE1634">
        <v>4</v>
      </c>
      <c r="AF1634">
        <v>0</v>
      </c>
    </row>
    <row r="1635" spans="1:32" ht="15" x14ac:dyDescent="0.35">
      <c r="A1635" t="s">
        <v>6103</v>
      </c>
      <c r="B1635" s="1">
        <v>45591</v>
      </c>
      <c r="C1635">
        <f>YEAR(OrdersTable[[#This Row],[Order Date]])</f>
        <v>2024</v>
      </c>
      <c r="D1635" s="2">
        <f>DATE(YEAR(OrdersTable[[#This Row],[Order Date]]),MONTH(OrdersTable[[#This Row],[Order Date]]),1)</f>
        <v>45566</v>
      </c>
      <c r="E1635">
        <f>MONTH(OrdersTable[[#This Row],[Order Date]])</f>
        <v>10</v>
      </c>
      <c r="F1635" t="s">
        <v>6104</v>
      </c>
      <c r="G1635" t="str">
        <f>IF(OrdersTable[[#This Row],[Order Date]]=_xlfn.MINIFS(Order_Date, Customer_ID, OrdersTable[[#This Row],[Customer ID]]), "New", "Repeat")</f>
        <v>Repeat</v>
      </c>
      <c r="H1635" t="s">
        <v>167</v>
      </c>
      <c r="I1635" t="str">
        <f>INDEX(State!B:B,MATCH(OrdersTable[[#This Row],[State]],State!A:A,0))</f>
        <v>KA</v>
      </c>
      <c r="J1635" t="str">
        <f>INDEX(State!C:C,MATCH(OrdersTable[[#This Row],[State Code]],State!B:B,0))</f>
        <v>South</v>
      </c>
      <c r="K1635" t="s">
        <v>190</v>
      </c>
      <c r="L1635" t="s">
        <v>39</v>
      </c>
      <c r="M1635" t="s">
        <v>61</v>
      </c>
      <c r="N1635" t="str">
        <f>INDEX(Products!B:B,MATCH(OrdersTable[[#This Row],[Product ID]],Products!A:A,0))</f>
        <v>Multivitamin Gummies</v>
      </c>
      <c r="O1635" t="str">
        <f>INDEX(Products!C:C,MATCH(OrdersTable[[#This Row],[Product ID]],Products!A:A,0))</f>
        <v>Wellness</v>
      </c>
      <c r="P1635">
        <v>2</v>
      </c>
      <c r="Q1635" s="5">
        <v>699</v>
      </c>
      <c r="R1635" s="74">
        <v>0.25</v>
      </c>
      <c r="S1635" s="75">
        <f>OrdersTable[[#This Row],[Quantity]]*OrdersTable[[#This Row],[Unit Price]]</f>
        <v>1398</v>
      </c>
      <c r="T1635" s="5">
        <f>OrdersTable[[#This Row],[Gross Sale]]*OrdersTable[[#This Row],[Discount_Clean2]]</f>
        <v>349.5</v>
      </c>
      <c r="U1635" s="5">
        <f>OrdersTable[[#This Row],[Gross Sale]]-OrdersTable[[#This Row],[Discount Amount]]</f>
        <v>1048.5</v>
      </c>
      <c r="V1635" s="77">
        <f>INDEX(Products!E:E,MATCH(OrdersTable[[#This Row],[Product ID]],Products!A:A,0))</f>
        <v>238</v>
      </c>
      <c r="W1635" s="77">
        <f>OrdersTable[[#This Row],[Quantity]]*OrdersTable[[#This Row],[Unit Cost]]</f>
        <v>476</v>
      </c>
      <c r="X1635" s="77">
        <f>'Dropdown Lists'!$I$2*(1+OrdersTable[[#This Row],[Returned]])</f>
        <v>60</v>
      </c>
      <c r="Y1635" s="76">
        <f>OrdersTable[[#This Row],[Net Revenue]]-OrdersTable[[#This Row],[COGS]]-OrdersTable[[#This Row],[Shipping Cost]]</f>
        <v>512.5</v>
      </c>
      <c r="Z1635" s="78">
        <f>IFERROR(OrdersTable[[#This Row],[Profit]]/OrdersTable[[#This Row],[Net Revenue]],0)</f>
        <v>0.48879351454458753</v>
      </c>
      <c r="AA1635" t="s">
        <v>18</v>
      </c>
      <c r="AB1635" s="79">
        <v>45595</v>
      </c>
      <c r="AC1635">
        <f>OrdersTable[[#This Row],[Delivery Date]]-OrdersTable[[#This Row],[Order Date]]</f>
        <v>4</v>
      </c>
      <c r="AD1635" t="str">
        <f>IF(OrdersTable[[#This Row],[Delivery Days]]&lt;=2, "Express (≤2d)", IF(OrdersTable[[#This Row],[Delivery Days]]&lt;=4, "Standard (3-4d)", "Delayed (5d+)"))</f>
        <v>Standard (3-4d)</v>
      </c>
      <c r="AE1635">
        <v>4</v>
      </c>
      <c r="AF1635">
        <v>0</v>
      </c>
    </row>
    <row r="1636" spans="1:32" ht="15" x14ac:dyDescent="0.35">
      <c r="A1636" t="s">
        <v>2324</v>
      </c>
      <c r="B1636" s="1">
        <v>45591</v>
      </c>
      <c r="C1636">
        <f>YEAR(OrdersTable[[#This Row],[Order Date]])</f>
        <v>2024</v>
      </c>
      <c r="D1636" s="2">
        <f>DATE(YEAR(OrdersTable[[#This Row],[Order Date]]),MONTH(OrdersTable[[#This Row],[Order Date]]),1)</f>
        <v>45566</v>
      </c>
      <c r="E1636">
        <f>MONTH(OrdersTable[[#This Row],[Order Date]])</f>
        <v>10</v>
      </c>
      <c r="F1636" t="s">
        <v>2325</v>
      </c>
      <c r="G1636" t="str">
        <f>IF(OrdersTable[[#This Row],[Order Date]]=_xlfn.MINIFS(Order_Date, Customer_ID, OrdersTable[[#This Row],[Customer ID]]), "New", "Repeat")</f>
        <v>New</v>
      </c>
      <c r="H1636" t="s">
        <v>167</v>
      </c>
      <c r="I1636" t="str">
        <f>INDEX(State!B:B,MATCH(OrdersTable[[#This Row],[State]],State!A:A,0))</f>
        <v>KA</v>
      </c>
      <c r="J1636" t="str">
        <f>INDEX(State!C:C,MATCH(OrdersTable[[#This Row],[State Code]],State!B:B,0))</f>
        <v>South</v>
      </c>
      <c r="K1636" t="s">
        <v>168</v>
      </c>
      <c r="L1636" t="s">
        <v>65</v>
      </c>
      <c r="M1636" t="s">
        <v>78</v>
      </c>
      <c r="N1636" t="str">
        <f>INDEX(Products!B:B,MATCH(OrdersTable[[#This Row],[Product ID]],Products!A:A,0))</f>
        <v>Retinol Night Cream</v>
      </c>
      <c r="O1636" t="str">
        <f>INDEX(Products!C:C,MATCH(OrdersTable[[#This Row],[Product ID]],Products!A:A,0))</f>
        <v>Skincare</v>
      </c>
      <c r="P1636">
        <v>1</v>
      </c>
      <c r="Q1636" s="5">
        <v>799</v>
      </c>
      <c r="R1636" s="74">
        <v>0.2</v>
      </c>
      <c r="S1636" s="75">
        <f>OrdersTable[[#This Row],[Quantity]]*OrdersTable[[#This Row],[Unit Price]]</f>
        <v>799</v>
      </c>
      <c r="T1636" s="5">
        <f>OrdersTable[[#This Row],[Gross Sale]]*OrdersTable[[#This Row],[Discount_Clean2]]</f>
        <v>159.80000000000001</v>
      </c>
      <c r="U1636" s="5">
        <f>OrdersTable[[#This Row],[Gross Sale]]-OrdersTable[[#This Row],[Discount Amount]]</f>
        <v>639.20000000000005</v>
      </c>
      <c r="V1636" s="77">
        <f>INDEX(Products!E:E,MATCH(OrdersTable[[#This Row],[Product ID]],Products!A:A,0))</f>
        <v>216</v>
      </c>
      <c r="W1636" s="77">
        <f>OrdersTable[[#This Row],[Quantity]]*OrdersTable[[#This Row],[Unit Cost]]</f>
        <v>216</v>
      </c>
      <c r="X1636" s="77">
        <f>'Dropdown Lists'!$I$2*(1+OrdersTable[[#This Row],[Returned]])</f>
        <v>60</v>
      </c>
      <c r="Y1636" s="76">
        <f>OrdersTable[[#This Row],[Net Revenue]]-OrdersTable[[#This Row],[COGS]]-OrdersTable[[#This Row],[Shipping Cost]]</f>
        <v>363.20000000000005</v>
      </c>
      <c r="Z1636" s="78">
        <f>IFERROR(OrdersTable[[#This Row],[Profit]]/OrdersTable[[#This Row],[Net Revenue]],0)</f>
        <v>0.56821026282853571</v>
      </c>
      <c r="AA1636" t="s">
        <v>18</v>
      </c>
      <c r="AB1636" s="79">
        <v>45593</v>
      </c>
      <c r="AC1636">
        <f>OrdersTable[[#This Row],[Delivery Date]]-OrdersTable[[#This Row],[Order Date]]</f>
        <v>2</v>
      </c>
      <c r="AD1636" t="str">
        <f>IF(OrdersTable[[#This Row],[Delivery Days]]&lt;=2, "Express (≤2d)", IF(OrdersTable[[#This Row],[Delivery Days]]&lt;=4, "Standard (3-4d)", "Delayed (5d+)"))</f>
        <v>Express (≤2d)</v>
      </c>
      <c r="AE1636">
        <v>5</v>
      </c>
      <c r="AF1636">
        <v>0</v>
      </c>
    </row>
    <row r="1637" spans="1:32" ht="15" x14ac:dyDescent="0.35">
      <c r="A1637" t="s">
        <v>3568</v>
      </c>
      <c r="B1637" s="1">
        <v>45591</v>
      </c>
      <c r="C1637">
        <f>YEAR(OrdersTable[[#This Row],[Order Date]])</f>
        <v>2024</v>
      </c>
      <c r="D1637" s="2">
        <f>DATE(YEAR(OrdersTable[[#This Row],[Order Date]]),MONTH(OrdersTable[[#This Row],[Order Date]]),1)</f>
        <v>45566</v>
      </c>
      <c r="E1637">
        <f>MONTH(OrdersTable[[#This Row],[Order Date]])</f>
        <v>10</v>
      </c>
      <c r="F1637" t="s">
        <v>3569</v>
      </c>
      <c r="G1637" t="str">
        <f>IF(OrdersTable[[#This Row],[Order Date]]=_xlfn.MINIFS(Order_Date, Customer_ID, OrdersTable[[#This Row],[Customer ID]]), "New", "Repeat")</f>
        <v>Repeat</v>
      </c>
      <c r="H1637" t="s">
        <v>59</v>
      </c>
      <c r="I1637" t="str">
        <f>INDEX(State!B:B,MATCH(OrdersTable[[#This Row],[State]],State!A:A,0))</f>
        <v>TN</v>
      </c>
      <c r="J1637" t="str">
        <f>INDEX(State!C:C,MATCH(OrdersTable[[#This Row],[State Code]],State!B:B,0))</f>
        <v>South</v>
      </c>
      <c r="K1637" t="s">
        <v>60</v>
      </c>
      <c r="L1637" t="s">
        <v>16</v>
      </c>
      <c r="M1637" t="s">
        <v>34</v>
      </c>
      <c r="N1637" t="str">
        <f>INDEX(Products!B:B,MATCH(OrdersTable[[#This Row],[Product ID]],Products!A:A,0))</f>
        <v>Flip Flops</v>
      </c>
      <c r="O1637" t="str">
        <f>INDEX(Products!C:C,MATCH(OrdersTable[[#This Row],[Product ID]],Products!A:A,0))</f>
        <v>Footwear</v>
      </c>
      <c r="P1637">
        <v>1</v>
      </c>
      <c r="Q1637" s="5">
        <v>399</v>
      </c>
      <c r="R1637" s="74">
        <v>0.25</v>
      </c>
      <c r="S1637" s="75">
        <f>OrdersTable[[#This Row],[Quantity]]*OrdersTable[[#This Row],[Unit Price]]</f>
        <v>399</v>
      </c>
      <c r="T1637" s="5">
        <f>OrdersTable[[#This Row],[Gross Sale]]*OrdersTable[[#This Row],[Discount_Clean2]]</f>
        <v>99.75</v>
      </c>
      <c r="U1637" s="5">
        <f>OrdersTable[[#This Row],[Gross Sale]]-OrdersTable[[#This Row],[Discount Amount]]</f>
        <v>299.25</v>
      </c>
      <c r="V1637" s="77">
        <f>INDEX(Products!E:E,MATCH(OrdersTable[[#This Row],[Product ID]],Products!A:A,0))</f>
        <v>152</v>
      </c>
      <c r="W1637" s="77">
        <f>OrdersTable[[#This Row],[Quantity]]*OrdersTable[[#This Row],[Unit Cost]]</f>
        <v>152</v>
      </c>
      <c r="X1637" s="77">
        <f>'Dropdown Lists'!$I$2*(1+OrdersTable[[#This Row],[Returned]])</f>
        <v>60</v>
      </c>
      <c r="Y1637" s="76">
        <f>OrdersTable[[#This Row],[Net Revenue]]-OrdersTable[[#This Row],[COGS]]-OrdersTable[[#This Row],[Shipping Cost]]</f>
        <v>87.25</v>
      </c>
      <c r="Z1637" s="78">
        <f>IFERROR(OrdersTable[[#This Row],[Profit]]/OrdersTable[[#This Row],[Net Revenue]],0)</f>
        <v>0.29156223893065997</v>
      </c>
      <c r="AA1637" t="s">
        <v>3495</v>
      </c>
      <c r="AB1637" s="79">
        <v>45594</v>
      </c>
      <c r="AC1637">
        <f>OrdersTable[[#This Row],[Delivery Date]]-OrdersTable[[#This Row],[Order Date]]</f>
        <v>3</v>
      </c>
      <c r="AD1637" t="str">
        <f>IF(OrdersTable[[#This Row],[Delivery Days]]&lt;=2, "Express (≤2d)", IF(OrdersTable[[#This Row],[Delivery Days]]&lt;=4, "Standard (3-4d)", "Delayed (5d+)"))</f>
        <v>Standard (3-4d)</v>
      </c>
      <c r="AE1637">
        <v>4</v>
      </c>
      <c r="AF1637">
        <v>0</v>
      </c>
    </row>
    <row r="1638" spans="1:32" ht="15" x14ac:dyDescent="0.35">
      <c r="A1638" t="s">
        <v>2753</v>
      </c>
      <c r="B1638" s="1">
        <v>45591</v>
      </c>
      <c r="C1638">
        <f>YEAR(OrdersTable[[#This Row],[Order Date]])</f>
        <v>2024</v>
      </c>
      <c r="D1638" s="2">
        <f>DATE(YEAR(OrdersTable[[#This Row],[Order Date]]),MONTH(OrdersTable[[#This Row],[Order Date]]),1)</f>
        <v>45566</v>
      </c>
      <c r="E1638">
        <f>MONTH(OrdersTable[[#This Row],[Order Date]])</f>
        <v>10</v>
      </c>
      <c r="F1638" t="s">
        <v>2754</v>
      </c>
      <c r="G1638" t="str">
        <f>IF(OrdersTable[[#This Row],[Order Date]]=_xlfn.MINIFS(Order_Date, Customer_ID, OrdersTable[[#This Row],[Customer ID]]), "New", "Repeat")</f>
        <v>New</v>
      </c>
      <c r="H1638" t="s">
        <v>59</v>
      </c>
      <c r="I1638" t="str">
        <f>INDEX(State!B:B,MATCH(OrdersTable[[#This Row],[State]],State!A:A,0))</f>
        <v>TN</v>
      </c>
      <c r="J1638" t="str">
        <f>INDEX(State!C:C,MATCH(OrdersTable[[#This Row],[State Code]],State!B:B,0))</f>
        <v>South</v>
      </c>
      <c r="K1638" t="s">
        <v>60</v>
      </c>
      <c r="L1638" t="s">
        <v>23</v>
      </c>
      <c r="M1638" t="s">
        <v>78</v>
      </c>
      <c r="N1638" t="str">
        <f>INDEX(Products!B:B,MATCH(OrdersTable[[#This Row],[Product ID]],Products!A:A,0))</f>
        <v>Retinol Night Cream</v>
      </c>
      <c r="O1638" t="str">
        <f>INDEX(Products!C:C,MATCH(OrdersTable[[#This Row],[Product ID]],Products!A:A,0))</f>
        <v>Skincare</v>
      </c>
      <c r="P1638">
        <v>1</v>
      </c>
      <c r="Q1638" s="5">
        <v>799</v>
      </c>
      <c r="R1638" s="74">
        <v>0.2</v>
      </c>
      <c r="S1638" s="75">
        <f>OrdersTable[[#This Row],[Quantity]]*OrdersTable[[#This Row],[Unit Price]]</f>
        <v>799</v>
      </c>
      <c r="T1638" s="5">
        <f>OrdersTable[[#This Row],[Gross Sale]]*OrdersTable[[#This Row],[Discount_Clean2]]</f>
        <v>159.80000000000001</v>
      </c>
      <c r="U1638" s="5">
        <f>OrdersTable[[#This Row],[Gross Sale]]-OrdersTable[[#This Row],[Discount Amount]]</f>
        <v>639.20000000000005</v>
      </c>
      <c r="V1638" s="77">
        <f>INDEX(Products!E:E,MATCH(OrdersTable[[#This Row],[Product ID]],Products!A:A,0))</f>
        <v>216</v>
      </c>
      <c r="W1638" s="77">
        <f>OrdersTable[[#This Row],[Quantity]]*OrdersTable[[#This Row],[Unit Cost]]</f>
        <v>216</v>
      </c>
      <c r="X1638" s="77">
        <f>'Dropdown Lists'!$I$2*(1+OrdersTable[[#This Row],[Returned]])</f>
        <v>60</v>
      </c>
      <c r="Y1638" s="76">
        <f>OrdersTable[[#This Row],[Net Revenue]]-OrdersTable[[#This Row],[COGS]]-OrdersTable[[#This Row],[Shipping Cost]]</f>
        <v>363.20000000000005</v>
      </c>
      <c r="Z1638" s="78">
        <f>IFERROR(OrdersTable[[#This Row],[Profit]]/OrdersTable[[#This Row],[Net Revenue]],0)</f>
        <v>0.56821026282853571</v>
      </c>
      <c r="AA1638" t="s">
        <v>2522</v>
      </c>
      <c r="AB1638" s="79">
        <v>45594</v>
      </c>
      <c r="AC1638">
        <f>OrdersTable[[#This Row],[Delivery Date]]-OrdersTable[[#This Row],[Order Date]]</f>
        <v>3</v>
      </c>
      <c r="AD1638" t="str">
        <f>IF(OrdersTable[[#This Row],[Delivery Days]]&lt;=2, "Express (≤2d)", IF(OrdersTable[[#This Row],[Delivery Days]]&lt;=4, "Standard (3-4d)", "Delayed (5d+)"))</f>
        <v>Standard (3-4d)</v>
      </c>
      <c r="AE1638">
        <v>3</v>
      </c>
      <c r="AF1638">
        <v>0</v>
      </c>
    </row>
    <row r="1639" spans="1:32" ht="15" x14ac:dyDescent="0.35">
      <c r="A1639" t="s">
        <v>208</v>
      </c>
      <c r="B1639" s="1">
        <v>45592</v>
      </c>
      <c r="C1639">
        <f>YEAR(OrdersTable[[#This Row],[Order Date]])</f>
        <v>2024</v>
      </c>
      <c r="D1639" s="2">
        <f>DATE(YEAR(OrdersTable[[#This Row],[Order Date]]),MONTH(OrdersTable[[#This Row],[Order Date]]),1)</f>
        <v>45566</v>
      </c>
      <c r="E1639">
        <f>MONTH(OrdersTable[[#This Row],[Order Date]])</f>
        <v>10</v>
      </c>
      <c r="F1639" t="s">
        <v>209</v>
      </c>
      <c r="G1639" t="str">
        <f>IF(OrdersTable[[#This Row],[Order Date]]=_xlfn.MINIFS(Order_Date, Customer_ID, OrdersTable[[#This Row],[Customer ID]]), "New", "Repeat")</f>
        <v>Repeat</v>
      </c>
      <c r="H1639" t="s">
        <v>210</v>
      </c>
      <c r="I1639" t="str">
        <f>INDEX(State!B:B,MATCH(OrdersTable[[#This Row],[State]],State!A:A,0))</f>
        <v>JK</v>
      </c>
      <c r="J1639" t="str">
        <f>INDEX(State!C:C,MATCH(OrdersTable[[#This Row],[State Code]],State!B:B,0))</f>
        <v>North</v>
      </c>
      <c r="K1639" t="s">
        <v>211</v>
      </c>
      <c r="L1639" t="s">
        <v>50</v>
      </c>
      <c r="M1639" t="s">
        <v>45</v>
      </c>
      <c r="N1639" t="str">
        <f>INDEX(Products!B:B,MATCH(OrdersTable[[#This Row],[Product ID]],Products!A:A,0))</f>
        <v>Argan Shampoo</v>
      </c>
      <c r="O1639" t="str">
        <f>INDEX(Products!C:C,MATCH(OrdersTable[[#This Row],[Product ID]],Products!A:A,0))</f>
        <v>Haircare</v>
      </c>
      <c r="P1639">
        <v>1</v>
      </c>
      <c r="Q1639" s="5">
        <v>449</v>
      </c>
      <c r="R1639" s="74">
        <v>0.25</v>
      </c>
      <c r="S1639" s="75">
        <f>OrdersTable[[#This Row],[Quantity]]*OrdersTable[[#This Row],[Unit Price]]</f>
        <v>449</v>
      </c>
      <c r="T1639" s="5">
        <f>OrdersTable[[#This Row],[Gross Sale]]*OrdersTable[[#This Row],[Discount_Clean2]]</f>
        <v>112.25</v>
      </c>
      <c r="U1639" s="5">
        <f>OrdersTable[[#This Row],[Gross Sale]]-OrdersTable[[#This Row],[Discount Amount]]</f>
        <v>336.75</v>
      </c>
      <c r="V1639" s="77">
        <f>INDEX(Products!E:E,MATCH(OrdersTable[[#This Row],[Product ID]],Products!A:A,0))</f>
        <v>148</v>
      </c>
      <c r="W1639" s="77">
        <f>OrdersTable[[#This Row],[Quantity]]*OrdersTable[[#This Row],[Unit Cost]]</f>
        <v>148</v>
      </c>
      <c r="X1639" s="77">
        <f>'Dropdown Lists'!$I$2*(1+OrdersTable[[#This Row],[Returned]])</f>
        <v>60</v>
      </c>
      <c r="Y1639" s="76">
        <f>OrdersTable[[#This Row],[Net Revenue]]-OrdersTable[[#This Row],[COGS]]-OrdersTable[[#This Row],[Shipping Cost]]</f>
        <v>128.75</v>
      </c>
      <c r="Z1639" s="78">
        <f>IFERROR(OrdersTable[[#This Row],[Profit]]/OrdersTable[[#This Row],[Net Revenue]],0)</f>
        <v>0.38233110616184113</v>
      </c>
      <c r="AA1639" t="s">
        <v>18</v>
      </c>
      <c r="AB1639" s="79">
        <v>45598</v>
      </c>
      <c r="AC1639">
        <f>OrdersTable[[#This Row],[Delivery Date]]-OrdersTable[[#This Row],[Order Date]]</f>
        <v>6</v>
      </c>
      <c r="AD1639" t="str">
        <f>IF(OrdersTable[[#This Row],[Delivery Days]]&lt;=2, "Express (≤2d)", IF(OrdersTable[[#This Row],[Delivery Days]]&lt;=4, "Standard (3-4d)", "Delayed (5d+)"))</f>
        <v>Delayed (5d+)</v>
      </c>
      <c r="AE1639">
        <v>4</v>
      </c>
      <c r="AF1639">
        <v>0</v>
      </c>
    </row>
    <row r="1640" spans="1:32" ht="15" x14ac:dyDescent="0.35">
      <c r="A1640" t="s">
        <v>1916</v>
      </c>
      <c r="B1640" s="1">
        <v>45592</v>
      </c>
      <c r="C1640">
        <f>YEAR(OrdersTable[[#This Row],[Order Date]])</f>
        <v>2024</v>
      </c>
      <c r="D1640" s="2">
        <f>DATE(YEAR(OrdersTable[[#This Row],[Order Date]]),MONTH(OrdersTable[[#This Row],[Order Date]]),1)</f>
        <v>45566</v>
      </c>
      <c r="E1640">
        <f>MONTH(OrdersTable[[#This Row],[Order Date]])</f>
        <v>10</v>
      </c>
      <c r="F1640" t="s">
        <v>1917</v>
      </c>
      <c r="G1640" t="str">
        <f>IF(OrdersTable[[#This Row],[Order Date]]=_xlfn.MINIFS(Order_Date, Customer_ID, OrdersTable[[#This Row],[Customer ID]]), "New", "Repeat")</f>
        <v>Repeat</v>
      </c>
      <c r="H1640" t="s">
        <v>21</v>
      </c>
      <c r="I1640" t="str">
        <f>INDEX(State!B:B,MATCH(OrdersTable[[#This Row],[State]],State!A:A,0))</f>
        <v>PB</v>
      </c>
      <c r="J1640" t="str">
        <f>INDEX(State!C:C,MATCH(OrdersTable[[#This Row],[State Code]],State!B:B,0))</f>
        <v>North</v>
      </c>
      <c r="K1640" t="s">
        <v>260</v>
      </c>
      <c r="L1640" t="s">
        <v>39</v>
      </c>
      <c r="M1640" t="s">
        <v>29</v>
      </c>
      <c r="N1640" t="str">
        <f>INDEX(Products!B:B,MATCH(OrdersTable[[#This Row],[Product ID]],Products!A:A,0))</f>
        <v>Joggers</v>
      </c>
      <c r="O1640" t="str">
        <f>INDEX(Products!C:C,MATCH(OrdersTable[[#This Row],[Product ID]],Products!A:A,0))</f>
        <v>Apparel</v>
      </c>
      <c r="P1640">
        <v>1</v>
      </c>
      <c r="Q1640" s="5">
        <v>1199</v>
      </c>
      <c r="R1640" s="74">
        <v>0.05</v>
      </c>
      <c r="S1640" s="75">
        <f>OrdersTable[[#This Row],[Quantity]]*OrdersTable[[#This Row],[Unit Price]]</f>
        <v>1199</v>
      </c>
      <c r="T1640" s="5">
        <f>OrdersTable[[#This Row],[Gross Sale]]*OrdersTable[[#This Row],[Discount_Clean2]]</f>
        <v>59.95</v>
      </c>
      <c r="U1640" s="5">
        <f>OrdersTable[[#This Row],[Gross Sale]]-OrdersTable[[#This Row],[Discount Amount]]</f>
        <v>1139.05</v>
      </c>
      <c r="V1640" s="77">
        <f>INDEX(Products!E:E,MATCH(OrdersTable[[#This Row],[Product ID]],Products!A:A,0))</f>
        <v>492</v>
      </c>
      <c r="W1640" s="77">
        <f>OrdersTable[[#This Row],[Quantity]]*OrdersTable[[#This Row],[Unit Cost]]</f>
        <v>492</v>
      </c>
      <c r="X1640" s="77">
        <f>'Dropdown Lists'!$I$2*(1+OrdersTable[[#This Row],[Returned]])</f>
        <v>120</v>
      </c>
      <c r="Y1640" s="76">
        <f>OrdersTable[[#This Row],[Net Revenue]]-OrdersTable[[#This Row],[COGS]]-OrdersTable[[#This Row],[Shipping Cost]]</f>
        <v>527.04999999999995</v>
      </c>
      <c r="Z1640" s="78">
        <f>IFERROR(OrdersTable[[#This Row],[Profit]]/OrdersTable[[#This Row],[Net Revenue]],0)</f>
        <v>0.46271015319784026</v>
      </c>
      <c r="AA1640" t="s">
        <v>18</v>
      </c>
      <c r="AB1640" s="79">
        <v>45597</v>
      </c>
      <c r="AC1640">
        <f>OrdersTable[[#This Row],[Delivery Date]]-OrdersTable[[#This Row],[Order Date]]</f>
        <v>5</v>
      </c>
      <c r="AD1640" t="str">
        <f>IF(OrdersTable[[#This Row],[Delivery Days]]&lt;=2, "Express (≤2d)", IF(OrdersTable[[#This Row],[Delivery Days]]&lt;=4, "Standard (3-4d)", "Delayed (5d+)"))</f>
        <v>Delayed (5d+)</v>
      </c>
      <c r="AE1640">
        <v>3</v>
      </c>
      <c r="AF1640">
        <v>1</v>
      </c>
    </row>
    <row r="1641" spans="1:32" ht="15" x14ac:dyDescent="0.35">
      <c r="A1641" t="s">
        <v>5898</v>
      </c>
      <c r="B1641" s="1">
        <v>45592</v>
      </c>
      <c r="C1641">
        <f>YEAR(OrdersTable[[#This Row],[Order Date]])</f>
        <v>2024</v>
      </c>
      <c r="D1641" s="2">
        <f>DATE(YEAR(OrdersTable[[#This Row],[Order Date]]),MONTH(OrdersTable[[#This Row],[Order Date]]),1)</f>
        <v>45566</v>
      </c>
      <c r="E1641">
        <f>MONTH(OrdersTable[[#This Row],[Order Date]])</f>
        <v>10</v>
      </c>
      <c r="F1641" t="s">
        <v>4432</v>
      </c>
      <c r="G1641" t="str">
        <f>IF(OrdersTable[[#This Row],[Order Date]]=_xlfn.MINIFS(Order_Date, Customer_ID, OrdersTable[[#This Row],[Customer ID]]), "New", "Repeat")</f>
        <v>New</v>
      </c>
      <c r="H1641" t="s">
        <v>167</v>
      </c>
      <c r="I1641" t="str">
        <f>INDEX(State!B:B,MATCH(OrdersTable[[#This Row],[State]],State!A:A,0))</f>
        <v>KA</v>
      </c>
      <c r="J1641" t="str">
        <f>INDEX(State!C:C,MATCH(OrdersTable[[#This Row],[State Code]],State!B:B,0))</f>
        <v>South</v>
      </c>
      <c r="K1641" t="s">
        <v>168</v>
      </c>
      <c r="L1641" t="s">
        <v>65</v>
      </c>
      <c r="M1641" t="s">
        <v>173</v>
      </c>
      <c r="N1641" t="str">
        <f>INDEX(Products!B:B,MATCH(OrdersTable[[#This Row],[Product ID]],Products!A:A,0))</f>
        <v>Wireless Earbuds</v>
      </c>
      <c r="O1641" t="str">
        <f>INDEX(Products!C:C,MATCH(OrdersTable[[#This Row],[Product ID]],Products!A:A,0))</f>
        <v>Electronics</v>
      </c>
      <c r="P1641">
        <v>2</v>
      </c>
      <c r="Q1641" s="5">
        <v>1999</v>
      </c>
      <c r="R1641" s="74">
        <v>0.4</v>
      </c>
      <c r="S1641" s="75">
        <f>OrdersTable[[#This Row],[Quantity]]*OrdersTable[[#This Row],[Unit Price]]</f>
        <v>3998</v>
      </c>
      <c r="T1641" s="5">
        <f>OrdersTable[[#This Row],[Gross Sale]]*OrdersTable[[#This Row],[Discount_Clean2]]</f>
        <v>1599.2</v>
      </c>
      <c r="U1641" s="5">
        <f>OrdersTable[[#This Row],[Gross Sale]]-OrdersTable[[#This Row],[Discount Amount]]</f>
        <v>2398.8000000000002</v>
      </c>
      <c r="V1641" s="77">
        <f>INDEX(Products!E:E,MATCH(OrdersTable[[#This Row],[Product ID]],Products!A:A,0))</f>
        <v>1239</v>
      </c>
      <c r="W1641" s="77">
        <f>OrdersTable[[#This Row],[Quantity]]*OrdersTable[[#This Row],[Unit Cost]]</f>
        <v>2478</v>
      </c>
      <c r="X1641" s="77">
        <f>'Dropdown Lists'!$I$2*(1+OrdersTable[[#This Row],[Returned]])</f>
        <v>60</v>
      </c>
      <c r="Y1641" s="76">
        <f>OrdersTable[[#This Row],[Net Revenue]]-OrdersTable[[#This Row],[COGS]]-OrdersTable[[#This Row],[Shipping Cost]]</f>
        <v>-139.19999999999982</v>
      </c>
      <c r="Z1641" s="78">
        <f>IFERROR(OrdersTable[[#This Row],[Profit]]/OrdersTable[[#This Row],[Net Revenue]],0)</f>
        <v>-5.8029014507253548E-2</v>
      </c>
      <c r="AA1641" t="s">
        <v>18</v>
      </c>
      <c r="AB1641" s="79">
        <v>45593</v>
      </c>
      <c r="AC1641">
        <f>OrdersTable[[#This Row],[Delivery Date]]-OrdersTable[[#This Row],[Order Date]]</f>
        <v>1</v>
      </c>
      <c r="AD1641" t="str">
        <f>IF(OrdersTable[[#This Row],[Delivery Days]]&lt;=2, "Express (≤2d)", IF(OrdersTable[[#This Row],[Delivery Days]]&lt;=4, "Standard (3-4d)", "Delayed (5d+)"))</f>
        <v>Express (≤2d)</v>
      </c>
      <c r="AF1641">
        <v>0</v>
      </c>
    </row>
    <row r="1642" spans="1:32" ht="15" x14ac:dyDescent="0.35">
      <c r="A1642" t="s">
        <v>2970</v>
      </c>
      <c r="B1642" s="1">
        <v>45593</v>
      </c>
      <c r="C1642">
        <f>YEAR(OrdersTable[[#This Row],[Order Date]])</f>
        <v>2024</v>
      </c>
      <c r="D1642" s="2">
        <f>DATE(YEAR(OrdersTable[[#This Row],[Order Date]]),MONTH(OrdersTable[[#This Row],[Order Date]]),1)</f>
        <v>45566</v>
      </c>
      <c r="E1642">
        <f>MONTH(OrdersTable[[#This Row],[Order Date]])</f>
        <v>10</v>
      </c>
      <c r="F1642" t="s">
        <v>2971</v>
      </c>
      <c r="G1642" t="str">
        <f>IF(OrdersTable[[#This Row],[Order Date]]=_xlfn.MINIFS(Order_Date, Customer_ID, OrdersTable[[#This Row],[Customer ID]]), "New", "Repeat")</f>
        <v>New</v>
      </c>
      <c r="H1642" t="s">
        <v>128</v>
      </c>
      <c r="I1642" t="str">
        <f>INDEX(State!B:B,MATCH(OrdersTable[[#This Row],[State]],State!A:A,0))</f>
        <v>DL</v>
      </c>
      <c r="J1642" t="str">
        <f>INDEX(State!C:C,MATCH(OrdersTable[[#This Row],[State Code]],State!B:B,0))</f>
        <v>North</v>
      </c>
      <c r="K1642" t="s">
        <v>129</v>
      </c>
      <c r="L1642" t="s">
        <v>50</v>
      </c>
      <c r="M1642" t="s">
        <v>78</v>
      </c>
      <c r="N1642" t="str">
        <f>INDEX(Products!B:B,MATCH(OrdersTable[[#This Row],[Product ID]],Products!A:A,0))</f>
        <v>Retinol Night Cream</v>
      </c>
      <c r="O1642" t="str">
        <f>INDEX(Products!C:C,MATCH(OrdersTable[[#This Row],[Product ID]],Products!A:A,0))</f>
        <v>Skincare</v>
      </c>
      <c r="P1642">
        <v>1</v>
      </c>
      <c r="Q1642" s="5">
        <v>799</v>
      </c>
      <c r="R1642" s="74">
        <v>0.25</v>
      </c>
      <c r="S1642" s="75">
        <f>OrdersTable[[#This Row],[Quantity]]*OrdersTable[[#This Row],[Unit Price]]</f>
        <v>799</v>
      </c>
      <c r="T1642" s="5">
        <f>OrdersTable[[#This Row],[Gross Sale]]*OrdersTable[[#This Row],[Discount_Clean2]]</f>
        <v>199.75</v>
      </c>
      <c r="U1642" s="5">
        <f>OrdersTable[[#This Row],[Gross Sale]]-OrdersTable[[#This Row],[Discount Amount]]</f>
        <v>599.25</v>
      </c>
      <c r="V1642" s="77">
        <f>INDEX(Products!E:E,MATCH(OrdersTable[[#This Row],[Product ID]],Products!A:A,0))</f>
        <v>216</v>
      </c>
      <c r="W1642" s="77">
        <f>OrdersTable[[#This Row],[Quantity]]*OrdersTable[[#This Row],[Unit Cost]]</f>
        <v>216</v>
      </c>
      <c r="X1642" s="77">
        <f>'Dropdown Lists'!$I$2*(1+OrdersTable[[#This Row],[Returned]])</f>
        <v>60</v>
      </c>
      <c r="Y1642" s="76">
        <f>OrdersTable[[#This Row],[Net Revenue]]-OrdersTable[[#This Row],[COGS]]-OrdersTable[[#This Row],[Shipping Cost]]</f>
        <v>323.25</v>
      </c>
      <c r="Z1642" s="78">
        <f>IFERROR(OrdersTable[[#This Row],[Profit]]/OrdersTable[[#This Row],[Net Revenue]],0)</f>
        <v>0.5394242803504381</v>
      </c>
      <c r="AA1642" t="s">
        <v>2522</v>
      </c>
      <c r="AB1642" s="79">
        <v>45595</v>
      </c>
      <c r="AC1642">
        <f>OrdersTable[[#This Row],[Delivery Date]]-OrdersTable[[#This Row],[Order Date]]</f>
        <v>2</v>
      </c>
      <c r="AD1642" t="str">
        <f>IF(OrdersTable[[#This Row],[Delivery Days]]&lt;=2, "Express (≤2d)", IF(OrdersTable[[#This Row],[Delivery Days]]&lt;=4, "Standard (3-4d)", "Delayed (5d+)"))</f>
        <v>Express (≤2d)</v>
      </c>
      <c r="AF1642">
        <v>0</v>
      </c>
    </row>
    <row r="1643" spans="1:32" ht="15" x14ac:dyDescent="0.35">
      <c r="A1643" t="s">
        <v>1690</v>
      </c>
      <c r="B1643" s="1">
        <v>45593</v>
      </c>
      <c r="C1643">
        <f>YEAR(OrdersTable[[#This Row],[Order Date]])</f>
        <v>2024</v>
      </c>
      <c r="D1643" s="2">
        <f>DATE(YEAR(OrdersTable[[#This Row],[Order Date]]),MONTH(OrdersTable[[#This Row],[Order Date]]),1)</f>
        <v>45566</v>
      </c>
      <c r="E1643">
        <f>MONTH(OrdersTable[[#This Row],[Order Date]])</f>
        <v>10</v>
      </c>
      <c r="F1643" t="s">
        <v>1675</v>
      </c>
      <c r="G1643" t="str">
        <f>IF(OrdersTable[[#This Row],[Order Date]]=_xlfn.MINIFS(Order_Date, Customer_ID, OrdersTable[[#This Row],[Customer ID]]), "New", "Repeat")</f>
        <v>Repeat</v>
      </c>
      <c r="H1643" t="s">
        <v>128</v>
      </c>
      <c r="I1643" t="str">
        <f>INDEX(State!B:B,MATCH(OrdersTable[[#This Row],[State]],State!A:A,0))</f>
        <v>DL</v>
      </c>
      <c r="J1643" t="str">
        <f>INDEX(State!C:C,MATCH(OrdersTable[[#This Row],[State Code]],State!B:B,0))</f>
        <v>North</v>
      </c>
      <c r="K1643" t="s">
        <v>129</v>
      </c>
      <c r="L1643" t="s">
        <v>65</v>
      </c>
      <c r="M1643" t="s">
        <v>66</v>
      </c>
      <c r="N1643" t="str">
        <f>INDEX(Products!B:B,MATCH(OrdersTable[[#This Row],[Product ID]],Products!A:A,0))</f>
        <v>Sunscreen SPF 50</v>
      </c>
      <c r="O1643" t="str">
        <f>INDEX(Products!C:C,MATCH(OrdersTable[[#This Row],[Product ID]],Products!A:A,0))</f>
        <v>Skincare</v>
      </c>
      <c r="P1643">
        <v>1</v>
      </c>
      <c r="Q1643" s="5">
        <v>449</v>
      </c>
      <c r="R1643" s="74">
        <v>0.3</v>
      </c>
      <c r="S1643" s="75">
        <f>OrdersTable[[#This Row],[Quantity]]*OrdersTable[[#This Row],[Unit Price]]</f>
        <v>449</v>
      </c>
      <c r="T1643" s="5">
        <f>OrdersTable[[#This Row],[Gross Sale]]*OrdersTable[[#This Row],[Discount_Clean2]]</f>
        <v>134.69999999999999</v>
      </c>
      <c r="U1643" s="5">
        <f>OrdersTable[[#This Row],[Gross Sale]]-OrdersTable[[#This Row],[Discount Amount]]</f>
        <v>314.3</v>
      </c>
      <c r="V1643" s="77">
        <f>INDEX(Products!E:E,MATCH(OrdersTable[[#This Row],[Product ID]],Products!A:A,0))</f>
        <v>144</v>
      </c>
      <c r="W1643" s="77">
        <f>OrdersTable[[#This Row],[Quantity]]*OrdersTable[[#This Row],[Unit Cost]]</f>
        <v>144</v>
      </c>
      <c r="X1643" s="77">
        <f>'Dropdown Lists'!$I$2*(1+OrdersTable[[#This Row],[Returned]])</f>
        <v>60</v>
      </c>
      <c r="Y1643" s="76">
        <f>OrdersTable[[#This Row],[Net Revenue]]-OrdersTable[[#This Row],[COGS]]-OrdersTable[[#This Row],[Shipping Cost]]</f>
        <v>110.30000000000001</v>
      </c>
      <c r="Z1643" s="78">
        <f>IFERROR(OrdersTable[[#This Row],[Profit]]/OrdersTable[[#This Row],[Net Revenue]],0)</f>
        <v>0.35093859370028635</v>
      </c>
      <c r="AA1643" t="s">
        <v>18</v>
      </c>
      <c r="AB1643" s="79">
        <v>45596</v>
      </c>
      <c r="AC1643">
        <f>OrdersTable[[#This Row],[Delivery Date]]-OrdersTable[[#This Row],[Order Date]]</f>
        <v>3</v>
      </c>
      <c r="AD1643" t="str">
        <f>IF(OrdersTable[[#This Row],[Delivery Days]]&lt;=2, "Express (≤2d)", IF(OrdersTable[[#This Row],[Delivery Days]]&lt;=4, "Standard (3-4d)", "Delayed (5d+)"))</f>
        <v>Standard (3-4d)</v>
      </c>
      <c r="AF1643">
        <v>0</v>
      </c>
    </row>
    <row r="1644" spans="1:32" ht="15" x14ac:dyDescent="0.35">
      <c r="A1644" t="s">
        <v>1379</v>
      </c>
      <c r="B1644" s="1">
        <v>45593</v>
      </c>
      <c r="C1644">
        <f>YEAR(OrdersTable[[#This Row],[Order Date]])</f>
        <v>2024</v>
      </c>
      <c r="D1644" s="2">
        <f>DATE(YEAR(OrdersTable[[#This Row],[Order Date]]),MONTH(OrdersTable[[#This Row],[Order Date]]),1)</f>
        <v>45566</v>
      </c>
      <c r="E1644">
        <f>MONTH(OrdersTable[[#This Row],[Order Date]])</f>
        <v>10</v>
      </c>
      <c r="F1644" t="s">
        <v>1380</v>
      </c>
      <c r="G1644" t="str">
        <f>IF(OrdersTable[[#This Row],[Order Date]]=_xlfn.MINIFS(Order_Date, Customer_ID, OrdersTable[[#This Row],[Customer ID]]), "New", "Repeat")</f>
        <v>New</v>
      </c>
      <c r="H1644" t="s">
        <v>76</v>
      </c>
      <c r="I1644" t="str">
        <f>INDEX(State!B:B,MATCH(OrdersTable[[#This Row],[State]],State!A:A,0))</f>
        <v>UP</v>
      </c>
      <c r="J1644" t="str">
        <f>INDEX(State!C:C,MATCH(OrdersTable[[#This Row],[State Code]],State!B:B,0))</f>
        <v>North</v>
      </c>
      <c r="K1644" t="s">
        <v>77</v>
      </c>
      <c r="L1644" t="s">
        <v>23</v>
      </c>
      <c r="M1644" t="s">
        <v>84</v>
      </c>
      <c r="N1644" t="str">
        <f>INDEX(Products!B:B,MATCH(OrdersTable[[#This Row],[Product ID]],Products!A:A,0))</f>
        <v>Cotton Bedsheet</v>
      </c>
      <c r="O1644" t="str">
        <f>INDEX(Products!C:C,MATCH(OrdersTable[[#This Row],[Product ID]],Products!A:A,0))</f>
        <v>Home &amp; Kitchen</v>
      </c>
      <c r="P1644">
        <v>1</v>
      </c>
      <c r="Q1644" s="5">
        <v>1299</v>
      </c>
      <c r="R1644" s="74">
        <v>0.25</v>
      </c>
      <c r="S1644" s="75">
        <f>OrdersTable[[#This Row],[Quantity]]*OrdersTable[[#This Row],[Unit Price]]</f>
        <v>1299</v>
      </c>
      <c r="T1644" s="5">
        <f>OrdersTable[[#This Row],[Gross Sale]]*OrdersTable[[#This Row],[Discount_Clean2]]</f>
        <v>324.75</v>
      </c>
      <c r="U1644" s="5">
        <f>OrdersTable[[#This Row],[Gross Sale]]-OrdersTable[[#This Row],[Discount Amount]]</f>
        <v>974.25</v>
      </c>
      <c r="V1644" s="77">
        <f>INDEX(Products!E:E,MATCH(OrdersTable[[#This Row],[Product ID]],Products!A:A,0))</f>
        <v>585</v>
      </c>
      <c r="W1644" s="77">
        <f>OrdersTable[[#This Row],[Quantity]]*OrdersTable[[#This Row],[Unit Cost]]</f>
        <v>585</v>
      </c>
      <c r="X1644" s="77">
        <f>'Dropdown Lists'!$I$2*(1+OrdersTable[[#This Row],[Returned]])</f>
        <v>60</v>
      </c>
      <c r="Y1644" s="76">
        <f>OrdersTable[[#This Row],[Net Revenue]]-OrdersTable[[#This Row],[COGS]]-OrdersTable[[#This Row],[Shipping Cost]]</f>
        <v>329.25</v>
      </c>
      <c r="Z1644" s="78">
        <f>IFERROR(OrdersTable[[#This Row],[Profit]]/OrdersTable[[#This Row],[Net Revenue]],0)</f>
        <v>0.33795227097767516</v>
      </c>
      <c r="AA1644" t="s">
        <v>18</v>
      </c>
      <c r="AB1644" s="79">
        <v>45597</v>
      </c>
      <c r="AC1644">
        <f>OrdersTable[[#This Row],[Delivery Date]]-OrdersTable[[#This Row],[Order Date]]</f>
        <v>4</v>
      </c>
      <c r="AD1644" t="str">
        <f>IF(OrdersTable[[#This Row],[Delivery Days]]&lt;=2, "Express (≤2d)", IF(OrdersTable[[#This Row],[Delivery Days]]&lt;=4, "Standard (3-4d)", "Delayed (5d+)"))</f>
        <v>Standard (3-4d)</v>
      </c>
      <c r="AF1644">
        <v>0</v>
      </c>
    </row>
    <row r="1645" spans="1:32" ht="15" x14ac:dyDescent="0.35">
      <c r="A1645" t="s">
        <v>4249</v>
      </c>
      <c r="B1645" s="1">
        <v>45593</v>
      </c>
      <c r="C1645">
        <f>YEAR(OrdersTable[[#This Row],[Order Date]])</f>
        <v>2024</v>
      </c>
      <c r="D1645" s="2">
        <f>DATE(YEAR(OrdersTable[[#This Row],[Order Date]]),MONTH(OrdersTable[[#This Row],[Order Date]]),1)</f>
        <v>45566</v>
      </c>
      <c r="E1645">
        <f>MONTH(OrdersTable[[#This Row],[Order Date]])</f>
        <v>10</v>
      </c>
      <c r="F1645" t="s">
        <v>4250</v>
      </c>
      <c r="G1645" t="str">
        <f>IF(OrdersTable[[#This Row],[Order Date]]=_xlfn.MINIFS(Order_Date, Customer_ID, OrdersTable[[#This Row],[Customer ID]]), "New", "Repeat")</f>
        <v>New</v>
      </c>
      <c r="H1645" t="s">
        <v>32</v>
      </c>
      <c r="I1645" t="str">
        <f>INDEX(State!B:B,MATCH(OrdersTable[[#This Row],[State]],State!A:A,0))</f>
        <v>BR</v>
      </c>
      <c r="J1645" t="str">
        <f>INDEX(State!C:C,MATCH(OrdersTable[[#This Row],[State Code]],State!B:B,0))</f>
        <v>East</v>
      </c>
      <c r="K1645" t="s">
        <v>33</v>
      </c>
      <c r="L1645" t="s">
        <v>65</v>
      </c>
      <c r="M1645" t="s">
        <v>73</v>
      </c>
      <c r="N1645" t="str">
        <f>INDEX(Products!B:B,MATCH(OrdersTable[[#This Row],[Product ID]],Products!A:A,0))</f>
        <v>Hydrating Face Wash</v>
      </c>
      <c r="O1645" t="str">
        <f>INDEX(Products!C:C,MATCH(OrdersTable[[#This Row],[Product ID]],Products!A:A,0))</f>
        <v>Skincare</v>
      </c>
      <c r="P1645">
        <v>1</v>
      </c>
      <c r="Q1645" s="5">
        <v>299</v>
      </c>
      <c r="R1645" s="74">
        <v>0.2</v>
      </c>
      <c r="S1645" s="75">
        <f>OrdersTable[[#This Row],[Quantity]]*OrdersTable[[#This Row],[Unit Price]]</f>
        <v>299</v>
      </c>
      <c r="T1645" s="5">
        <f>OrdersTable[[#This Row],[Gross Sale]]*OrdersTable[[#This Row],[Discount_Clean2]]</f>
        <v>59.800000000000004</v>
      </c>
      <c r="U1645" s="5">
        <f>OrdersTable[[#This Row],[Gross Sale]]-OrdersTable[[#This Row],[Discount Amount]]</f>
        <v>239.2</v>
      </c>
      <c r="V1645" s="77">
        <f>INDEX(Products!E:E,MATCH(OrdersTable[[#This Row],[Product ID]],Products!A:A,0))</f>
        <v>90</v>
      </c>
      <c r="W1645" s="77">
        <f>OrdersTable[[#This Row],[Quantity]]*OrdersTable[[#This Row],[Unit Cost]]</f>
        <v>90</v>
      </c>
      <c r="X1645" s="77">
        <f>'Dropdown Lists'!$I$2*(1+OrdersTable[[#This Row],[Returned]])</f>
        <v>60</v>
      </c>
      <c r="Y1645" s="76">
        <f>OrdersTable[[#This Row],[Net Revenue]]-OrdersTable[[#This Row],[COGS]]-OrdersTable[[#This Row],[Shipping Cost]]</f>
        <v>89.199999999999989</v>
      </c>
      <c r="Z1645" s="78">
        <f>IFERROR(OrdersTable[[#This Row],[Profit]]/OrdersTable[[#This Row],[Net Revenue]],0)</f>
        <v>0.37290969899665549</v>
      </c>
      <c r="AA1645" t="s">
        <v>4074</v>
      </c>
      <c r="AB1645" s="79">
        <v>45599</v>
      </c>
      <c r="AC1645">
        <f>OrdersTable[[#This Row],[Delivery Date]]-OrdersTable[[#This Row],[Order Date]]</f>
        <v>6</v>
      </c>
      <c r="AD1645" t="str">
        <f>IF(OrdersTable[[#This Row],[Delivery Days]]&lt;=2, "Express (≤2d)", IF(OrdersTable[[#This Row],[Delivery Days]]&lt;=4, "Standard (3-4d)", "Delayed (5d+)"))</f>
        <v>Delayed (5d+)</v>
      </c>
      <c r="AF1645">
        <v>0</v>
      </c>
    </row>
    <row r="1646" spans="1:32" ht="15" x14ac:dyDescent="0.35">
      <c r="A1646" t="s">
        <v>6975</v>
      </c>
      <c r="B1646" s="1">
        <v>45593</v>
      </c>
      <c r="C1646">
        <f>YEAR(OrdersTable[[#This Row],[Order Date]])</f>
        <v>2024</v>
      </c>
      <c r="D1646" s="2">
        <f>DATE(YEAR(OrdersTable[[#This Row],[Order Date]]),MONTH(OrdersTable[[#This Row],[Order Date]]),1)</f>
        <v>45566</v>
      </c>
      <c r="E1646">
        <f>MONTH(OrdersTable[[#This Row],[Order Date]])</f>
        <v>10</v>
      </c>
      <c r="F1646" t="s">
        <v>1186</v>
      </c>
      <c r="G1646" t="str">
        <f>IF(OrdersTable[[#This Row],[Order Date]]=_xlfn.MINIFS(Order_Date, Customer_ID, OrdersTable[[#This Row],[Customer ID]]), "New", "Repeat")</f>
        <v>Repeat</v>
      </c>
      <c r="H1646" t="s">
        <v>132</v>
      </c>
      <c r="I1646" t="str">
        <f>INDEX(State!B:B,MATCH(OrdersTable[[#This Row],[State]],State!A:A,0))</f>
        <v>AS</v>
      </c>
      <c r="J1646" t="str">
        <f>INDEX(State!C:C,MATCH(OrdersTable[[#This Row],[State Code]],State!B:B,0))</f>
        <v>East</v>
      </c>
      <c r="K1646" t="s">
        <v>133</v>
      </c>
      <c r="L1646" t="s">
        <v>50</v>
      </c>
      <c r="M1646" t="s">
        <v>56</v>
      </c>
      <c r="N1646" t="str">
        <f>INDEX(Products!B:B,MATCH(OrdersTable[[#This Row],[Product ID]],Products!A:A,0))</f>
        <v>Vitamin C Face Serum</v>
      </c>
      <c r="O1646" t="str">
        <f>INDEX(Products!C:C,MATCH(OrdersTable[[#This Row],[Product ID]],Products!A:A,0))</f>
        <v>Skincare</v>
      </c>
      <c r="P1646">
        <v>4</v>
      </c>
      <c r="Q1646" s="5">
        <v>599</v>
      </c>
      <c r="R1646" s="74">
        <v>0.45</v>
      </c>
      <c r="S1646" s="75">
        <f>OrdersTable[[#This Row],[Quantity]]*OrdersTable[[#This Row],[Unit Price]]</f>
        <v>2396</v>
      </c>
      <c r="T1646" s="5">
        <f>OrdersTable[[#This Row],[Gross Sale]]*OrdersTable[[#This Row],[Discount_Clean2]]</f>
        <v>1078.2</v>
      </c>
      <c r="U1646" s="5">
        <f>OrdersTable[[#This Row],[Gross Sale]]-OrdersTable[[#This Row],[Discount Amount]]</f>
        <v>1317.8</v>
      </c>
      <c r="V1646" s="77">
        <f>INDEX(Products!E:E,MATCH(OrdersTable[[#This Row],[Product ID]],Products!A:A,0))</f>
        <v>180</v>
      </c>
      <c r="W1646" s="77">
        <f>OrdersTable[[#This Row],[Quantity]]*OrdersTable[[#This Row],[Unit Cost]]</f>
        <v>720</v>
      </c>
      <c r="X1646" s="77">
        <f>'Dropdown Lists'!$I$2*(1+OrdersTable[[#This Row],[Returned]])</f>
        <v>60</v>
      </c>
      <c r="Y1646" s="76">
        <f>OrdersTable[[#This Row],[Net Revenue]]-OrdersTable[[#This Row],[COGS]]-OrdersTable[[#This Row],[Shipping Cost]]</f>
        <v>537.79999999999995</v>
      </c>
      <c r="Z1646" s="78">
        <f>IFERROR(OrdersTable[[#This Row],[Profit]]/OrdersTable[[#This Row],[Net Revenue]],0)</f>
        <v>0.40810441645166184</v>
      </c>
      <c r="AA1646" t="s">
        <v>2522</v>
      </c>
      <c r="AB1646" s="79">
        <v>45600</v>
      </c>
      <c r="AC1646">
        <f>OrdersTable[[#This Row],[Delivery Date]]-OrdersTable[[#This Row],[Order Date]]</f>
        <v>7</v>
      </c>
      <c r="AD1646" t="str">
        <f>IF(OrdersTable[[#This Row],[Delivery Days]]&lt;=2, "Express (≤2d)", IF(OrdersTable[[#This Row],[Delivery Days]]&lt;=4, "Standard (3-4d)", "Delayed (5d+)"))</f>
        <v>Delayed (5d+)</v>
      </c>
      <c r="AE1646">
        <v>4</v>
      </c>
      <c r="AF1646">
        <v>0</v>
      </c>
    </row>
    <row r="1647" spans="1:32" ht="15" x14ac:dyDescent="0.35">
      <c r="A1647" t="s">
        <v>3224</v>
      </c>
      <c r="B1647" s="1">
        <v>45593</v>
      </c>
      <c r="C1647">
        <f>YEAR(OrdersTable[[#This Row],[Order Date]])</f>
        <v>2024</v>
      </c>
      <c r="D1647" s="2">
        <f>DATE(YEAR(OrdersTable[[#This Row],[Order Date]]),MONTH(OrdersTable[[#This Row],[Order Date]]),1)</f>
        <v>45566</v>
      </c>
      <c r="E1647">
        <f>MONTH(OrdersTable[[#This Row],[Order Date]])</f>
        <v>10</v>
      </c>
      <c r="F1647" t="s">
        <v>3225</v>
      </c>
      <c r="G1647" t="str">
        <f>IF(OrdersTable[[#This Row],[Order Date]]=_xlfn.MINIFS(Order_Date, Customer_ID, OrdersTable[[#This Row],[Customer ID]]), "New", "Repeat")</f>
        <v>Repeat</v>
      </c>
      <c r="H1647" t="s">
        <v>37</v>
      </c>
      <c r="I1647" t="str">
        <f>INDEX(State!B:B,MATCH(OrdersTable[[#This Row],[State]],State!A:A,0))</f>
        <v>GJ</v>
      </c>
      <c r="J1647" t="str">
        <f>INDEX(State!C:C,MATCH(OrdersTable[[#This Row],[State Code]],State!B:B,0))</f>
        <v>West</v>
      </c>
      <c r="K1647" t="s">
        <v>247</v>
      </c>
      <c r="L1647" t="s">
        <v>23</v>
      </c>
      <c r="M1647" t="s">
        <v>92</v>
      </c>
      <c r="N1647" t="str">
        <f>INDEX(Products!B:B,MATCH(OrdersTable[[#This Row],[Product ID]],Products!A:A,0))</f>
        <v>Kolhapuri Sandals</v>
      </c>
      <c r="O1647" t="str">
        <f>INDEX(Products!C:C,MATCH(OrdersTable[[#This Row],[Product ID]],Products!A:A,0))</f>
        <v>Footwear</v>
      </c>
      <c r="P1647">
        <v>1</v>
      </c>
      <c r="Q1647" s="5">
        <v>999</v>
      </c>
      <c r="R1647" s="74">
        <v>0.15</v>
      </c>
      <c r="S1647" s="75">
        <f>OrdersTable[[#This Row],[Quantity]]*OrdersTable[[#This Row],[Unit Price]]</f>
        <v>999</v>
      </c>
      <c r="T1647" s="5">
        <f>OrdersTable[[#This Row],[Gross Sale]]*OrdersTable[[#This Row],[Discount_Clean2]]</f>
        <v>149.85</v>
      </c>
      <c r="U1647" s="5">
        <f>OrdersTable[[#This Row],[Gross Sale]]-OrdersTable[[#This Row],[Discount Amount]]</f>
        <v>849.15</v>
      </c>
      <c r="V1647" s="77">
        <f>INDEX(Products!E:E,MATCH(OrdersTable[[#This Row],[Product ID]],Products!A:A,0))</f>
        <v>400</v>
      </c>
      <c r="W1647" s="77">
        <f>OrdersTable[[#This Row],[Quantity]]*OrdersTable[[#This Row],[Unit Cost]]</f>
        <v>400</v>
      </c>
      <c r="X1647" s="77">
        <f>'Dropdown Lists'!$I$2*(1+OrdersTable[[#This Row],[Returned]])</f>
        <v>60</v>
      </c>
      <c r="Y1647" s="76">
        <f>OrdersTable[[#This Row],[Net Revenue]]-OrdersTable[[#This Row],[COGS]]-OrdersTable[[#This Row],[Shipping Cost]]</f>
        <v>389.15</v>
      </c>
      <c r="Z1647" s="78">
        <f>IFERROR(OrdersTable[[#This Row],[Profit]]/OrdersTable[[#This Row],[Net Revenue]],0)</f>
        <v>0.45828181122298767</v>
      </c>
      <c r="AA1647" t="s">
        <v>2522</v>
      </c>
      <c r="AB1647" s="79">
        <v>45596</v>
      </c>
      <c r="AC1647">
        <f>OrdersTable[[#This Row],[Delivery Date]]-OrdersTable[[#This Row],[Order Date]]</f>
        <v>3</v>
      </c>
      <c r="AD1647" t="str">
        <f>IF(OrdersTable[[#This Row],[Delivery Days]]&lt;=2, "Express (≤2d)", IF(OrdersTable[[#This Row],[Delivery Days]]&lt;=4, "Standard (3-4d)", "Delayed (5d+)"))</f>
        <v>Standard (3-4d)</v>
      </c>
      <c r="AE1647">
        <v>4</v>
      </c>
      <c r="AF1647">
        <v>0</v>
      </c>
    </row>
    <row r="1648" spans="1:32" ht="15" x14ac:dyDescent="0.35">
      <c r="A1648" t="s">
        <v>777</v>
      </c>
      <c r="B1648" s="1">
        <v>45593</v>
      </c>
      <c r="C1648">
        <f>YEAR(OrdersTable[[#This Row],[Order Date]])</f>
        <v>2024</v>
      </c>
      <c r="D1648" s="2">
        <f>DATE(YEAR(OrdersTable[[#This Row],[Order Date]]),MONTH(OrdersTable[[#This Row],[Order Date]]),1)</f>
        <v>45566</v>
      </c>
      <c r="E1648">
        <f>MONTH(OrdersTable[[#This Row],[Order Date]])</f>
        <v>10</v>
      </c>
      <c r="F1648" t="s">
        <v>358</v>
      </c>
      <c r="G1648" t="str">
        <f>IF(OrdersTable[[#This Row],[Order Date]]=_xlfn.MINIFS(Order_Date, Customer_ID, OrdersTable[[#This Row],[Customer ID]]), "New", "Repeat")</f>
        <v>Repeat</v>
      </c>
      <c r="H1648" t="s">
        <v>43</v>
      </c>
      <c r="I1648" t="str">
        <f>INDEX(State!B:B,MATCH(OrdersTable[[#This Row],[State]],State!A:A,0))</f>
        <v>MP</v>
      </c>
      <c r="J1648" t="str">
        <f>INDEX(State!C:C,MATCH(OrdersTable[[#This Row],[State Code]],State!B:B,0))</f>
        <v>West</v>
      </c>
      <c r="K1648" t="s">
        <v>250</v>
      </c>
      <c r="L1648" t="s">
        <v>65</v>
      </c>
      <c r="M1648" t="s">
        <v>40</v>
      </c>
      <c r="N1648" t="str">
        <f>INDEX(Products!B:B,MATCH(OrdersTable[[#This Row],[Product ID]],Products!A:A,0))</f>
        <v>Ashwagandha Capsules</v>
      </c>
      <c r="O1648" t="str">
        <f>INDEX(Products!C:C,MATCH(OrdersTable[[#This Row],[Product ID]],Products!A:A,0))</f>
        <v>Wellness</v>
      </c>
      <c r="P1648">
        <v>1</v>
      </c>
      <c r="Q1648" s="5">
        <v>499</v>
      </c>
      <c r="R1648" s="74">
        <v>0.15</v>
      </c>
      <c r="S1648" s="75">
        <f>OrdersTable[[#This Row],[Quantity]]*OrdersTable[[#This Row],[Unit Price]]</f>
        <v>499</v>
      </c>
      <c r="T1648" s="5">
        <f>OrdersTable[[#This Row],[Gross Sale]]*OrdersTable[[#This Row],[Discount_Clean2]]</f>
        <v>74.849999999999994</v>
      </c>
      <c r="U1648" s="5">
        <f>OrdersTable[[#This Row],[Gross Sale]]-OrdersTable[[#This Row],[Discount Amount]]</f>
        <v>424.15</v>
      </c>
      <c r="V1648" s="77">
        <f>INDEX(Products!E:E,MATCH(OrdersTable[[#This Row],[Product ID]],Products!A:A,0))</f>
        <v>150</v>
      </c>
      <c r="W1648" s="77">
        <f>OrdersTable[[#This Row],[Quantity]]*OrdersTable[[#This Row],[Unit Cost]]</f>
        <v>150</v>
      </c>
      <c r="X1648" s="77">
        <f>'Dropdown Lists'!$I$2*(1+OrdersTable[[#This Row],[Returned]])</f>
        <v>60</v>
      </c>
      <c r="Y1648" s="76">
        <f>OrdersTable[[#This Row],[Net Revenue]]-OrdersTable[[#This Row],[COGS]]-OrdersTable[[#This Row],[Shipping Cost]]</f>
        <v>214.14999999999998</v>
      </c>
      <c r="Z1648" s="78">
        <f>IFERROR(OrdersTable[[#This Row],[Profit]]/OrdersTable[[#This Row],[Net Revenue]],0)</f>
        <v>0.50489213721560766</v>
      </c>
      <c r="AA1648" t="s">
        <v>18</v>
      </c>
      <c r="AB1648" s="79">
        <v>45597</v>
      </c>
      <c r="AC1648">
        <f>OrdersTable[[#This Row],[Delivery Date]]-OrdersTable[[#This Row],[Order Date]]</f>
        <v>4</v>
      </c>
      <c r="AD1648" t="str">
        <f>IF(OrdersTable[[#This Row],[Delivery Days]]&lt;=2, "Express (≤2d)", IF(OrdersTable[[#This Row],[Delivery Days]]&lt;=4, "Standard (3-4d)", "Delayed (5d+)"))</f>
        <v>Standard (3-4d)</v>
      </c>
      <c r="AE1648">
        <v>4</v>
      </c>
      <c r="AF1648">
        <v>0</v>
      </c>
    </row>
    <row r="1649" spans="1:32" ht="15" x14ac:dyDescent="0.35">
      <c r="A1649" t="s">
        <v>3226</v>
      </c>
      <c r="B1649" s="1">
        <v>45593</v>
      </c>
      <c r="C1649">
        <f>YEAR(OrdersTable[[#This Row],[Order Date]])</f>
        <v>2024</v>
      </c>
      <c r="D1649" s="2">
        <f>DATE(YEAR(OrdersTable[[#This Row],[Order Date]]),MONTH(OrdersTable[[#This Row],[Order Date]]),1)</f>
        <v>45566</v>
      </c>
      <c r="E1649">
        <f>MONTH(OrdersTable[[#This Row],[Order Date]])</f>
        <v>10</v>
      </c>
      <c r="F1649" t="s">
        <v>3227</v>
      </c>
      <c r="G1649" t="str">
        <f>IF(OrdersTable[[#This Row],[Order Date]]=_xlfn.MINIFS(Order_Date, Customer_ID, OrdersTable[[#This Row],[Customer ID]]), "New", "Repeat")</f>
        <v>New</v>
      </c>
      <c r="H1649" t="s">
        <v>27</v>
      </c>
      <c r="I1649" t="str">
        <f>INDEX(State!B:B,MATCH(OrdersTable[[#This Row],[State]],State!A:A,0))</f>
        <v>WB</v>
      </c>
      <c r="J1649" t="str">
        <f>INDEX(State!C:C,MATCH(OrdersTable[[#This Row],[State Code]],State!B:B,0))</f>
        <v>East</v>
      </c>
      <c r="K1649" t="s">
        <v>28</v>
      </c>
      <c r="L1649" t="s">
        <v>50</v>
      </c>
      <c r="M1649" t="s">
        <v>61</v>
      </c>
      <c r="N1649" t="str">
        <f>INDEX(Products!B:B,MATCH(OrdersTable[[#This Row],[Product ID]],Products!A:A,0))</f>
        <v>Multivitamin Gummies</v>
      </c>
      <c r="O1649" t="str">
        <f>INDEX(Products!C:C,MATCH(OrdersTable[[#This Row],[Product ID]],Products!A:A,0))</f>
        <v>Wellness</v>
      </c>
      <c r="P1649">
        <v>1</v>
      </c>
      <c r="Q1649" s="5">
        <v>699</v>
      </c>
      <c r="R1649" s="74">
        <v>0.45</v>
      </c>
      <c r="S1649" s="75">
        <f>OrdersTable[[#This Row],[Quantity]]*OrdersTable[[#This Row],[Unit Price]]</f>
        <v>699</v>
      </c>
      <c r="T1649" s="5">
        <f>OrdersTable[[#This Row],[Gross Sale]]*OrdersTable[[#This Row],[Discount_Clean2]]</f>
        <v>314.55</v>
      </c>
      <c r="U1649" s="5">
        <f>OrdersTable[[#This Row],[Gross Sale]]-OrdersTable[[#This Row],[Discount Amount]]</f>
        <v>384.45</v>
      </c>
      <c r="V1649" s="77">
        <f>INDEX(Products!E:E,MATCH(OrdersTable[[#This Row],[Product ID]],Products!A:A,0))</f>
        <v>238</v>
      </c>
      <c r="W1649" s="77">
        <f>OrdersTable[[#This Row],[Quantity]]*OrdersTable[[#This Row],[Unit Cost]]</f>
        <v>238</v>
      </c>
      <c r="X1649" s="77">
        <f>'Dropdown Lists'!$I$2*(1+OrdersTable[[#This Row],[Returned]])</f>
        <v>60</v>
      </c>
      <c r="Y1649" s="76">
        <f>OrdersTable[[#This Row],[Net Revenue]]-OrdersTable[[#This Row],[COGS]]-OrdersTable[[#This Row],[Shipping Cost]]</f>
        <v>86.449999999999989</v>
      </c>
      <c r="Z1649" s="78">
        <f>IFERROR(OrdersTable[[#This Row],[Profit]]/OrdersTable[[#This Row],[Net Revenue]],0)</f>
        <v>0.22486669267785145</v>
      </c>
      <c r="AA1649" t="s">
        <v>2522</v>
      </c>
      <c r="AB1649" s="79">
        <v>45595</v>
      </c>
      <c r="AC1649">
        <f>OrdersTable[[#This Row],[Delivery Date]]-OrdersTable[[#This Row],[Order Date]]</f>
        <v>2</v>
      </c>
      <c r="AD1649" t="str">
        <f>IF(OrdersTable[[#This Row],[Delivery Days]]&lt;=2, "Express (≤2d)", IF(OrdersTable[[#This Row],[Delivery Days]]&lt;=4, "Standard (3-4d)", "Delayed (5d+)"))</f>
        <v>Express (≤2d)</v>
      </c>
      <c r="AE1649">
        <v>4</v>
      </c>
      <c r="AF1649">
        <v>0</v>
      </c>
    </row>
    <row r="1650" spans="1:32" ht="15" x14ac:dyDescent="0.35">
      <c r="A1650" t="s">
        <v>4800</v>
      </c>
      <c r="B1650" s="1">
        <v>45593</v>
      </c>
      <c r="C1650">
        <f>YEAR(OrdersTable[[#This Row],[Order Date]])</f>
        <v>2024</v>
      </c>
      <c r="D1650" s="2">
        <f>DATE(YEAR(OrdersTable[[#This Row],[Order Date]]),MONTH(OrdersTable[[#This Row],[Order Date]]),1)</f>
        <v>45566</v>
      </c>
      <c r="E1650">
        <f>MONTH(OrdersTable[[#This Row],[Order Date]])</f>
        <v>10</v>
      </c>
      <c r="F1650" t="s">
        <v>1119</v>
      </c>
      <c r="G1650" t="str">
        <f>IF(OrdersTable[[#This Row],[Order Date]]=_xlfn.MINIFS(Order_Date, Customer_ID, OrdersTable[[#This Row],[Customer ID]]), "New", "Repeat")</f>
        <v>Repeat</v>
      </c>
      <c r="H1650" t="s">
        <v>27</v>
      </c>
      <c r="I1650" t="str">
        <f>INDEX(State!B:B,MATCH(OrdersTable[[#This Row],[State]],State!A:A,0))</f>
        <v>WB</v>
      </c>
      <c r="J1650" t="str">
        <f>INDEX(State!C:C,MATCH(OrdersTable[[#This Row],[State Code]],State!B:B,0))</f>
        <v>East</v>
      </c>
      <c r="K1650" t="s">
        <v>28</v>
      </c>
      <c r="L1650" t="s">
        <v>23</v>
      </c>
      <c r="M1650" t="s">
        <v>92</v>
      </c>
      <c r="N1650" t="str">
        <f>INDEX(Products!B:B,MATCH(OrdersTable[[#This Row],[Product ID]],Products!A:A,0))</f>
        <v>Kolhapuri Sandals</v>
      </c>
      <c r="O1650" t="str">
        <f>INDEX(Products!C:C,MATCH(OrdersTable[[#This Row],[Product ID]],Products!A:A,0))</f>
        <v>Footwear</v>
      </c>
      <c r="P1650">
        <v>2</v>
      </c>
      <c r="Q1650" s="5">
        <v>999</v>
      </c>
      <c r="R1650" s="74">
        <v>0.35</v>
      </c>
      <c r="S1650" s="75">
        <f>OrdersTable[[#This Row],[Quantity]]*OrdersTable[[#This Row],[Unit Price]]</f>
        <v>1998</v>
      </c>
      <c r="T1650" s="5">
        <f>OrdersTable[[#This Row],[Gross Sale]]*OrdersTable[[#This Row],[Discount_Clean2]]</f>
        <v>699.3</v>
      </c>
      <c r="U1650" s="5">
        <f>OrdersTable[[#This Row],[Gross Sale]]-OrdersTable[[#This Row],[Discount Amount]]</f>
        <v>1298.7</v>
      </c>
      <c r="V1650" s="77">
        <f>INDEX(Products!E:E,MATCH(OrdersTable[[#This Row],[Product ID]],Products!A:A,0))</f>
        <v>400</v>
      </c>
      <c r="W1650" s="77">
        <f>OrdersTable[[#This Row],[Quantity]]*OrdersTable[[#This Row],[Unit Cost]]</f>
        <v>800</v>
      </c>
      <c r="X1650" s="77">
        <f>'Dropdown Lists'!$I$2*(1+OrdersTable[[#This Row],[Returned]])</f>
        <v>60</v>
      </c>
      <c r="Y1650" s="76">
        <f>OrdersTable[[#This Row],[Net Revenue]]-OrdersTable[[#This Row],[COGS]]-OrdersTable[[#This Row],[Shipping Cost]]</f>
        <v>438.70000000000005</v>
      </c>
      <c r="Z1650" s="78">
        <f>IFERROR(OrdersTable[[#This Row],[Profit]]/OrdersTable[[#This Row],[Net Revenue]],0)</f>
        <v>0.3377993377993378</v>
      </c>
      <c r="AA1650" t="s">
        <v>4450</v>
      </c>
      <c r="AB1650" s="79">
        <v>45598</v>
      </c>
      <c r="AC1650">
        <f>OrdersTable[[#This Row],[Delivery Date]]-OrdersTable[[#This Row],[Order Date]]</f>
        <v>5</v>
      </c>
      <c r="AD1650" t="str">
        <f>IF(OrdersTable[[#This Row],[Delivery Days]]&lt;=2, "Express (≤2d)", IF(OrdersTable[[#This Row],[Delivery Days]]&lt;=4, "Standard (3-4d)", "Delayed (5d+)"))</f>
        <v>Delayed (5d+)</v>
      </c>
      <c r="AE1650">
        <v>3</v>
      </c>
      <c r="AF1650">
        <v>0</v>
      </c>
    </row>
    <row r="1651" spans="1:32" ht="15" x14ac:dyDescent="0.35">
      <c r="A1651" t="s">
        <v>778</v>
      </c>
      <c r="B1651" s="1">
        <v>45593</v>
      </c>
      <c r="C1651">
        <f>YEAR(OrdersTable[[#This Row],[Order Date]])</f>
        <v>2024</v>
      </c>
      <c r="D1651" s="2">
        <f>DATE(YEAR(OrdersTable[[#This Row],[Order Date]]),MONTH(OrdersTable[[#This Row],[Order Date]]),1)</f>
        <v>45566</v>
      </c>
      <c r="E1651">
        <f>MONTH(OrdersTable[[#This Row],[Order Date]])</f>
        <v>10</v>
      </c>
      <c r="F1651" t="s">
        <v>779</v>
      </c>
      <c r="G1651" t="str">
        <f>IF(OrdersTable[[#This Row],[Order Date]]=_xlfn.MINIFS(Order_Date, Customer_ID, OrdersTable[[#This Row],[Customer ID]]), "New", "Repeat")</f>
        <v>New</v>
      </c>
      <c r="H1651" t="s">
        <v>14</v>
      </c>
      <c r="I1651" t="str">
        <f>INDEX(State!B:B,MATCH(OrdersTable[[#This Row],[State]],State!A:A,0))</f>
        <v>OD</v>
      </c>
      <c r="J1651" t="str">
        <f>INDEX(State!C:C,MATCH(OrdersTable[[#This Row],[State Code]],State!B:B,0))</f>
        <v>East</v>
      </c>
      <c r="K1651" t="s">
        <v>15</v>
      </c>
      <c r="L1651" t="s">
        <v>23</v>
      </c>
      <c r="M1651" t="s">
        <v>148</v>
      </c>
      <c r="N1651" t="str">
        <f>INDEX(Products!B:B,MATCH(OrdersTable[[#This Row],[Product ID]],Products!A:A,0))</f>
        <v>Smartwatch Strap</v>
      </c>
      <c r="O1651" t="str">
        <f>INDEX(Products!C:C,MATCH(OrdersTable[[#This Row],[Product ID]],Products!A:A,0))</f>
        <v>Electronics</v>
      </c>
      <c r="P1651">
        <v>1</v>
      </c>
      <c r="Q1651" s="5">
        <v>499</v>
      </c>
      <c r="R1651" s="74">
        <v>0.15</v>
      </c>
      <c r="S1651" s="75">
        <f>OrdersTable[[#This Row],[Quantity]]*OrdersTable[[#This Row],[Unit Price]]</f>
        <v>499</v>
      </c>
      <c r="T1651" s="5">
        <f>OrdersTable[[#This Row],[Gross Sale]]*OrdersTable[[#This Row],[Discount_Clean2]]</f>
        <v>74.849999999999994</v>
      </c>
      <c r="U1651" s="5">
        <f>OrdersTable[[#This Row],[Gross Sale]]-OrdersTable[[#This Row],[Discount Amount]]</f>
        <v>424.15</v>
      </c>
      <c r="V1651" s="77">
        <f>INDEX(Products!E:E,MATCH(OrdersTable[[#This Row],[Product ID]],Products!A:A,0))</f>
        <v>200</v>
      </c>
      <c r="W1651" s="77">
        <f>OrdersTable[[#This Row],[Quantity]]*OrdersTable[[#This Row],[Unit Cost]]</f>
        <v>200</v>
      </c>
      <c r="X1651" s="77">
        <f>'Dropdown Lists'!$I$2*(1+OrdersTable[[#This Row],[Returned]])</f>
        <v>60</v>
      </c>
      <c r="Y1651" s="76">
        <f>OrdersTable[[#This Row],[Net Revenue]]-OrdersTable[[#This Row],[COGS]]-OrdersTable[[#This Row],[Shipping Cost]]</f>
        <v>164.14999999999998</v>
      </c>
      <c r="Z1651" s="78">
        <f>IFERROR(OrdersTable[[#This Row],[Profit]]/OrdersTable[[#This Row],[Net Revenue]],0)</f>
        <v>0.38700931274313327</v>
      </c>
      <c r="AA1651" t="s">
        <v>18</v>
      </c>
      <c r="AB1651" s="79">
        <v>45598</v>
      </c>
      <c r="AC1651">
        <f>OrdersTable[[#This Row],[Delivery Date]]-OrdersTable[[#This Row],[Order Date]]</f>
        <v>5</v>
      </c>
      <c r="AD1651" t="str">
        <f>IF(OrdersTable[[#This Row],[Delivery Days]]&lt;=2, "Express (≤2d)", IF(OrdersTable[[#This Row],[Delivery Days]]&lt;=4, "Standard (3-4d)", "Delayed (5d+)"))</f>
        <v>Delayed (5d+)</v>
      </c>
      <c r="AE1651">
        <v>4</v>
      </c>
      <c r="AF1651">
        <v>0</v>
      </c>
    </row>
    <row r="1652" spans="1:32" ht="15" x14ac:dyDescent="0.35">
      <c r="A1652" t="s">
        <v>4801</v>
      </c>
      <c r="B1652" s="1">
        <v>45593</v>
      </c>
      <c r="C1652">
        <f>YEAR(OrdersTable[[#This Row],[Order Date]])</f>
        <v>2024</v>
      </c>
      <c r="D1652" s="2">
        <f>DATE(YEAR(OrdersTable[[#This Row],[Order Date]]),MONTH(OrdersTable[[#This Row],[Order Date]]),1)</f>
        <v>45566</v>
      </c>
      <c r="E1652">
        <f>MONTH(OrdersTable[[#This Row],[Order Date]])</f>
        <v>10</v>
      </c>
      <c r="F1652" t="s">
        <v>4802</v>
      </c>
      <c r="G1652" t="str">
        <f>IF(OrdersTable[[#This Row],[Order Date]]=_xlfn.MINIFS(Order_Date, Customer_ID, OrdersTable[[#This Row],[Customer ID]]), "New", "Repeat")</f>
        <v>New</v>
      </c>
      <c r="H1652" t="s">
        <v>14</v>
      </c>
      <c r="I1652" t="str">
        <f>INDEX(State!B:B,MATCH(OrdersTable[[#This Row],[State]],State!A:A,0))</f>
        <v>OD</v>
      </c>
      <c r="J1652" t="str">
        <f>INDEX(State!C:C,MATCH(OrdersTable[[#This Row],[State Code]],State!B:B,0))</f>
        <v>East</v>
      </c>
      <c r="K1652" t="s">
        <v>15</v>
      </c>
      <c r="L1652" t="s">
        <v>23</v>
      </c>
      <c r="M1652" t="s">
        <v>24</v>
      </c>
      <c r="N1652" t="str">
        <f>INDEX(Products!B:B,MATCH(OrdersTable[[#This Row],[Product ID]],Products!A:A,0))</f>
        <v>Scented Candle Set</v>
      </c>
      <c r="O1652" t="str">
        <f>INDEX(Products!C:C,MATCH(OrdersTable[[#This Row],[Product ID]],Products!A:A,0))</f>
        <v>Home &amp; Kitchen</v>
      </c>
      <c r="P1652">
        <v>2</v>
      </c>
      <c r="Q1652" s="5">
        <v>699</v>
      </c>
      <c r="R1652" s="74">
        <v>0.4</v>
      </c>
      <c r="S1652" s="75">
        <f>OrdersTable[[#This Row],[Quantity]]*OrdersTable[[#This Row],[Unit Price]]</f>
        <v>1398</v>
      </c>
      <c r="T1652" s="5">
        <f>OrdersTable[[#This Row],[Gross Sale]]*OrdersTable[[#This Row],[Discount_Clean2]]</f>
        <v>559.20000000000005</v>
      </c>
      <c r="U1652" s="5">
        <f>OrdersTable[[#This Row],[Gross Sale]]-OrdersTable[[#This Row],[Discount Amount]]</f>
        <v>838.8</v>
      </c>
      <c r="V1652" s="77">
        <f>INDEX(Products!E:E,MATCH(OrdersTable[[#This Row],[Product ID]],Products!A:A,0))</f>
        <v>245</v>
      </c>
      <c r="W1652" s="77">
        <f>OrdersTable[[#This Row],[Quantity]]*OrdersTable[[#This Row],[Unit Cost]]</f>
        <v>490</v>
      </c>
      <c r="X1652" s="77">
        <f>'Dropdown Lists'!$I$2*(1+OrdersTable[[#This Row],[Returned]])</f>
        <v>60</v>
      </c>
      <c r="Y1652" s="76">
        <f>OrdersTable[[#This Row],[Net Revenue]]-OrdersTable[[#This Row],[COGS]]-OrdersTable[[#This Row],[Shipping Cost]]</f>
        <v>288.79999999999995</v>
      </c>
      <c r="Z1652" s="78">
        <f>IFERROR(OrdersTable[[#This Row],[Profit]]/OrdersTable[[#This Row],[Net Revenue]],0)</f>
        <v>0.34430138292799234</v>
      </c>
      <c r="AA1652" t="s">
        <v>4450</v>
      </c>
      <c r="AB1652" s="79">
        <v>45598</v>
      </c>
      <c r="AC1652">
        <f>OrdersTable[[#This Row],[Delivery Date]]-OrdersTable[[#This Row],[Order Date]]</f>
        <v>5</v>
      </c>
      <c r="AD1652" t="str">
        <f>IF(OrdersTable[[#This Row],[Delivery Days]]&lt;=2, "Express (≤2d)", IF(OrdersTable[[#This Row],[Delivery Days]]&lt;=4, "Standard (3-4d)", "Delayed (5d+)"))</f>
        <v>Delayed (5d+)</v>
      </c>
      <c r="AE1652">
        <v>4</v>
      </c>
      <c r="AF1652">
        <v>0</v>
      </c>
    </row>
    <row r="1653" spans="1:32" ht="15" x14ac:dyDescent="0.35">
      <c r="A1653" t="s">
        <v>5131</v>
      </c>
      <c r="B1653" s="1">
        <v>45593</v>
      </c>
      <c r="C1653">
        <f>YEAR(OrdersTable[[#This Row],[Order Date]])</f>
        <v>2024</v>
      </c>
      <c r="D1653" s="2">
        <f>DATE(YEAR(OrdersTable[[#This Row],[Order Date]]),MONTH(OrdersTable[[#This Row],[Order Date]]),1)</f>
        <v>45566</v>
      </c>
      <c r="E1653">
        <f>MONTH(OrdersTable[[#This Row],[Order Date]])</f>
        <v>10</v>
      </c>
      <c r="F1653" t="s">
        <v>1137</v>
      </c>
      <c r="G1653" t="str">
        <f>IF(OrdersTable[[#This Row],[Order Date]]=_xlfn.MINIFS(Order_Date, Customer_ID, OrdersTable[[#This Row],[Customer ID]]), "New", "Repeat")</f>
        <v>Repeat</v>
      </c>
      <c r="H1653" t="s">
        <v>167</v>
      </c>
      <c r="I1653" t="str">
        <f>INDEX(State!B:B,MATCH(OrdersTable[[#This Row],[State]],State!A:A,0))</f>
        <v>KA</v>
      </c>
      <c r="J1653" t="str">
        <f>INDEX(State!C:C,MATCH(OrdersTable[[#This Row],[State Code]],State!B:B,0))</f>
        <v>South</v>
      </c>
      <c r="K1653" t="s">
        <v>168</v>
      </c>
      <c r="L1653" t="s">
        <v>39</v>
      </c>
      <c r="M1653" t="s">
        <v>24</v>
      </c>
      <c r="N1653" t="str">
        <f>INDEX(Products!B:B,MATCH(OrdersTable[[#This Row],[Product ID]],Products!A:A,0))</f>
        <v>Scented Candle Set</v>
      </c>
      <c r="O1653" t="str">
        <f>INDEX(Products!C:C,MATCH(OrdersTable[[#This Row],[Product ID]],Products!A:A,0))</f>
        <v>Home &amp; Kitchen</v>
      </c>
      <c r="P1653">
        <v>2</v>
      </c>
      <c r="Q1653" s="5">
        <v>699</v>
      </c>
      <c r="R1653" s="74">
        <v>0.15</v>
      </c>
      <c r="S1653" s="75">
        <f>OrdersTable[[#This Row],[Quantity]]*OrdersTable[[#This Row],[Unit Price]]</f>
        <v>1398</v>
      </c>
      <c r="T1653" s="5">
        <f>OrdersTable[[#This Row],[Gross Sale]]*OrdersTable[[#This Row],[Discount_Clean2]]</f>
        <v>209.7</v>
      </c>
      <c r="U1653" s="5">
        <f>OrdersTable[[#This Row],[Gross Sale]]-OrdersTable[[#This Row],[Discount Amount]]</f>
        <v>1188.3</v>
      </c>
      <c r="V1653" s="77">
        <f>INDEX(Products!E:E,MATCH(OrdersTable[[#This Row],[Product ID]],Products!A:A,0))</f>
        <v>245</v>
      </c>
      <c r="W1653" s="77">
        <f>OrdersTable[[#This Row],[Quantity]]*OrdersTable[[#This Row],[Unit Cost]]</f>
        <v>490</v>
      </c>
      <c r="X1653" s="77">
        <f>'Dropdown Lists'!$I$2*(1+OrdersTable[[#This Row],[Returned]])</f>
        <v>60</v>
      </c>
      <c r="Y1653" s="76">
        <f>OrdersTable[[#This Row],[Net Revenue]]-OrdersTable[[#This Row],[COGS]]-OrdersTable[[#This Row],[Shipping Cost]]</f>
        <v>638.29999999999995</v>
      </c>
      <c r="Z1653" s="78">
        <f>IFERROR(OrdersTable[[#This Row],[Profit]]/OrdersTable[[#This Row],[Net Revenue]],0)</f>
        <v>0.53715391736093576</v>
      </c>
      <c r="AA1653" t="s">
        <v>3495</v>
      </c>
      <c r="AB1653" s="79">
        <v>45597</v>
      </c>
      <c r="AC1653">
        <f>OrdersTable[[#This Row],[Delivery Date]]-OrdersTable[[#This Row],[Order Date]]</f>
        <v>4</v>
      </c>
      <c r="AD1653" t="str">
        <f>IF(OrdersTable[[#This Row],[Delivery Days]]&lt;=2, "Express (≤2d)", IF(OrdersTable[[#This Row],[Delivery Days]]&lt;=4, "Standard (3-4d)", "Delayed (5d+)"))</f>
        <v>Standard (3-4d)</v>
      </c>
      <c r="AF1653">
        <v>0</v>
      </c>
    </row>
    <row r="1654" spans="1:32" ht="15" x14ac:dyDescent="0.35">
      <c r="A1654" t="s">
        <v>5899</v>
      </c>
      <c r="B1654" s="1">
        <v>45594</v>
      </c>
      <c r="C1654">
        <f>YEAR(OrdersTable[[#This Row],[Order Date]])</f>
        <v>2024</v>
      </c>
      <c r="D1654" s="2">
        <f>DATE(YEAR(OrdersTable[[#This Row],[Order Date]]),MONTH(OrdersTable[[#This Row],[Order Date]]),1)</f>
        <v>45566</v>
      </c>
      <c r="E1654">
        <f>MONTH(OrdersTable[[#This Row],[Order Date]])</f>
        <v>10</v>
      </c>
      <c r="F1654" t="s">
        <v>5900</v>
      </c>
      <c r="G1654" t="str">
        <f>IF(OrdersTable[[#This Row],[Order Date]]=_xlfn.MINIFS(Order_Date, Customer_ID, OrdersTable[[#This Row],[Customer ID]]), "New", "Repeat")</f>
        <v>New</v>
      </c>
      <c r="H1654" t="s">
        <v>21</v>
      </c>
      <c r="I1654" t="str">
        <f>INDEX(State!B:B,MATCH(OrdersTable[[#This Row],[State]],State!A:A,0))</f>
        <v>PB</v>
      </c>
      <c r="J1654" t="str">
        <f>INDEX(State!C:C,MATCH(OrdersTable[[#This Row],[State Code]],State!B:B,0))</f>
        <v>North</v>
      </c>
      <c r="K1654" t="s">
        <v>260</v>
      </c>
      <c r="L1654" t="s">
        <v>65</v>
      </c>
      <c r="M1654" t="s">
        <v>148</v>
      </c>
      <c r="N1654" t="str">
        <f>INDEX(Products!B:B,MATCH(OrdersTable[[#This Row],[Product ID]],Products!A:A,0))</f>
        <v>Smartwatch Strap</v>
      </c>
      <c r="O1654" t="str">
        <f>INDEX(Products!C:C,MATCH(OrdersTable[[#This Row],[Product ID]],Products!A:A,0))</f>
        <v>Electronics</v>
      </c>
      <c r="P1654">
        <v>2</v>
      </c>
      <c r="Q1654" s="5">
        <v>499</v>
      </c>
      <c r="R1654" s="74">
        <v>0.15</v>
      </c>
      <c r="S1654" s="75">
        <f>OrdersTable[[#This Row],[Quantity]]*OrdersTable[[#This Row],[Unit Price]]</f>
        <v>998</v>
      </c>
      <c r="T1654" s="5">
        <f>OrdersTable[[#This Row],[Gross Sale]]*OrdersTable[[#This Row],[Discount_Clean2]]</f>
        <v>149.69999999999999</v>
      </c>
      <c r="U1654" s="5">
        <f>OrdersTable[[#This Row],[Gross Sale]]-OrdersTable[[#This Row],[Discount Amount]]</f>
        <v>848.3</v>
      </c>
      <c r="V1654" s="77">
        <f>INDEX(Products!E:E,MATCH(OrdersTable[[#This Row],[Product ID]],Products!A:A,0))</f>
        <v>200</v>
      </c>
      <c r="W1654" s="77">
        <f>OrdersTable[[#This Row],[Quantity]]*OrdersTable[[#This Row],[Unit Cost]]</f>
        <v>400</v>
      </c>
      <c r="X1654" s="77">
        <f>'Dropdown Lists'!$I$2*(1+OrdersTable[[#This Row],[Returned]])</f>
        <v>60</v>
      </c>
      <c r="Y1654" s="76">
        <f>OrdersTable[[#This Row],[Net Revenue]]-OrdersTable[[#This Row],[COGS]]-OrdersTable[[#This Row],[Shipping Cost]]</f>
        <v>388.29999999999995</v>
      </c>
      <c r="Z1654" s="78">
        <f>IFERROR(OrdersTable[[#This Row],[Profit]]/OrdersTable[[#This Row],[Net Revenue]],0)</f>
        <v>0.45773900742661794</v>
      </c>
      <c r="AA1654" t="s">
        <v>18</v>
      </c>
      <c r="AB1654" s="79">
        <v>45598</v>
      </c>
      <c r="AC1654">
        <f>OrdersTable[[#This Row],[Delivery Date]]-OrdersTable[[#This Row],[Order Date]]</f>
        <v>4</v>
      </c>
      <c r="AD1654" t="str">
        <f>IF(OrdersTable[[#This Row],[Delivery Days]]&lt;=2, "Express (≤2d)", IF(OrdersTable[[#This Row],[Delivery Days]]&lt;=4, "Standard (3-4d)", "Delayed (5d+)"))</f>
        <v>Standard (3-4d)</v>
      </c>
      <c r="AF1654">
        <v>0</v>
      </c>
    </row>
    <row r="1655" spans="1:32" ht="15" x14ac:dyDescent="0.35">
      <c r="A1655" t="s">
        <v>2972</v>
      </c>
      <c r="B1655" s="1">
        <v>45594</v>
      </c>
      <c r="C1655">
        <f>YEAR(OrdersTable[[#This Row],[Order Date]])</f>
        <v>2024</v>
      </c>
      <c r="D1655" s="2">
        <f>DATE(YEAR(OrdersTable[[#This Row],[Order Date]]),MONTH(OrdersTable[[#This Row],[Order Date]]),1)</f>
        <v>45566</v>
      </c>
      <c r="E1655">
        <f>MONTH(OrdersTable[[#This Row],[Order Date]])</f>
        <v>10</v>
      </c>
      <c r="F1655" t="s">
        <v>2973</v>
      </c>
      <c r="G1655" t="str">
        <f>IF(OrdersTable[[#This Row],[Order Date]]=_xlfn.MINIFS(Order_Date, Customer_ID, OrdersTable[[#This Row],[Customer ID]]), "New", "Repeat")</f>
        <v>New</v>
      </c>
      <c r="H1655" t="s">
        <v>54</v>
      </c>
      <c r="I1655" t="str">
        <f>INDEX(State!B:B,MATCH(OrdersTable[[#This Row],[State]],State!A:A,0))</f>
        <v>RJ</v>
      </c>
      <c r="J1655" t="str">
        <f>INDEX(State!C:C,MATCH(OrdersTable[[#This Row],[State Code]],State!B:B,0))</f>
        <v>North</v>
      </c>
      <c r="K1655" t="s">
        <v>227</v>
      </c>
      <c r="L1655" t="s">
        <v>65</v>
      </c>
      <c r="M1655" t="s">
        <v>45</v>
      </c>
      <c r="N1655" t="str">
        <f>INDEX(Products!B:B,MATCH(OrdersTable[[#This Row],[Product ID]],Products!A:A,0))</f>
        <v>Argan Shampoo</v>
      </c>
      <c r="O1655" t="str">
        <f>INDEX(Products!C:C,MATCH(OrdersTable[[#This Row],[Product ID]],Products!A:A,0))</f>
        <v>Haircare</v>
      </c>
      <c r="P1655">
        <v>1</v>
      </c>
      <c r="Q1655" s="5">
        <v>449</v>
      </c>
      <c r="R1655" s="74">
        <v>0.15</v>
      </c>
      <c r="S1655" s="75">
        <f>OrdersTable[[#This Row],[Quantity]]*OrdersTable[[#This Row],[Unit Price]]</f>
        <v>449</v>
      </c>
      <c r="T1655" s="5">
        <f>OrdersTable[[#This Row],[Gross Sale]]*OrdersTable[[#This Row],[Discount_Clean2]]</f>
        <v>67.349999999999994</v>
      </c>
      <c r="U1655" s="5">
        <f>OrdersTable[[#This Row],[Gross Sale]]-OrdersTable[[#This Row],[Discount Amount]]</f>
        <v>381.65</v>
      </c>
      <c r="V1655" s="77">
        <f>INDEX(Products!E:E,MATCH(OrdersTable[[#This Row],[Product ID]],Products!A:A,0))</f>
        <v>148</v>
      </c>
      <c r="W1655" s="77">
        <f>OrdersTable[[#This Row],[Quantity]]*OrdersTable[[#This Row],[Unit Cost]]</f>
        <v>148</v>
      </c>
      <c r="X1655" s="77">
        <f>'Dropdown Lists'!$I$2*(1+OrdersTable[[#This Row],[Returned]])</f>
        <v>60</v>
      </c>
      <c r="Y1655" s="76">
        <f>OrdersTable[[#This Row],[Net Revenue]]-OrdersTable[[#This Row],[COGS]]-OrdersTable[[#This Row],[Shipping Cost]]</f>
        <v>173.64999999999998</v>
      </c>
      <c r="Z1655" s="78">
        <f>IFERROR(OrdersTable[[#This Row],[Profit]]/OrdersTable[[#This Row],[Net Revenue]],0)</f>
        <v>0.45499803484868334</v>
      </c>
      <c r="AA1655" t="s">
        <v>2522</v>
      </c>
      <c r="AB1655" s="79">
        <v>45600</v>
      </c>
      <c r="AC1655">
        <f>OrdersTable[[#This Row],[Delivery Date]]-OrdersTable[[#This Row],[Order Date]]</f>
        <v>6</v>
      </c>
      <c r="AD1655" t="str">
        <f>IF(OrdersTable[[#This Row],[Delivery Days]]&lt;=2, "Express (≤2d)", IF(OrdersTable[[#This Row],[Delivery Days]]&lt;=4, "Standard (3-4d)", "Delayed (5d+)"))</f>
        <v>Delayed (5d+)</v>
      </c>
      <c r="AF1655">
        <v>0</v>
      </c>
    </row>
    <row r="1656" spans="1:32" ht="15" x14ac:dyDescent="0.35">
      <c r="A1656" t="s">
        <v>1511</v>
      </c>
      <c r="B1656" s="1">
        <v>45594</v>
      </c>
      <c r="C1656">
        <f>YEAR(OrdersTable[[#This Row],[Order Date]])</f>
        <v>2024</v>
      </c>
      <c r="D1656" s="2">
        <f>DATE(YEAR(OrdersTable[[#This Row],[Order Date]]),MONTH(OrdersTable[[#This Row],[Order Date]]),1)</f>
        <v>45566</v>
      </c>
      <c r="E1656">
        <f>MONTH(OrdersTable[[#This Row],[Order Date]])</f>
        <v>10</v>
      </c>
      <c r="F1656" t="s">
        <v>1512</v>
      </c>
      <c r="G1656" t="str">
        <f>IF(OrdersTable[[#This Row],[Order Date]]=_xlfn.MINIFS(Order_Date, Customer_ID, OrdersTable[[#This Row],[Customer ID]]), "New", "Repeat")</f>
        <v>New</v>
      </c>
      <c r="H1656" t="s">
        <v>76</v>
      </c>
      <c r="I1656" t="str">
        <f>INDEX(State!B:B,MATCH(OrdersTable[[#This Row],[State]],State!A:A,0))</f>
        <v>UP</v>
      </c>
      <c r="J1656" t="str">
        <f>INDEX(State!C:C,MATCH(OrdersTable[[#This Row],[State Code]],State!B:B,0))</f>
        <v>North</v>
      </c>
      <c r="K1656" t="s">
        <v>105</v>
      </c>
      <c r="L1656" t="s">
        <v>39</v>
      </c>
      <c r="M1656" t="s">
        <v>576</v>
      </c>
      <c r="N1656" t="str">
        <f>INDEX(Products!B:B,MATCH(OrdersTable[[#This Row],[Product ID]],Products!A:A,0))</f>
        <v>Printed Saree</v>
      </c>
      <c r="O1656" t="str">
        <f>INDEX(Products!C:C,MATCH(OrdersTable[[#This Row],[Product ID]],Products!A:A,0))</f>
        <v>Apparel</v>
      </c>
      <c r="P1656">
        <v>1</v>
      </c>
      <c r="Q1656" s="5">
        <v>1999</v>
      </c>
      <c r="R1656" s="74">
        <v>0.2</v>
      </c>
      <c r="S1656" s="75">
        <f>OrdersTable[[#This Row],[Quantity]]*OrdersTable[[#This Row],[Unit Price]]</f>
        <v>1999</v>
      </c>
      <c r="T1656" s="5">
        <f>OrdersTable[[#This Row],[Gross Sale]]*OrdersTable[[#This Row],[Discount_Clean2]]</f>
        <v>399.8</v>
      </c>
      <c r="U1656" s="5">
        <f>OrdersTable[[#This Row],[Gross Sale]]-OrdersTable[[#This Row],[Discount Amount]]</f>
        <v>1599.2</v>
      </c>
      <c r="V1656" s="77">
        <f>INDEX(Products!E:E,MATCH(OrdersTable[[#This Row],[Product ID]],Products!A:A,0))</f>
        <v>880</v>
      </c>
      <c r="W1656" s="77">
        <f>OrdersTable[[#This Row],[Quantity]]*OrdersTable[[#This Row],[Unit Cost]]</f>
        <v>880</v>
      </c>
      <c r="X1656" s="77">
        <f>'Dropdown Lists'!$I$2*(1+OrdersTable[[#This Row],[Returned]])</f>
        <v>60</v>
      </c>
      <c r="Y1656" s="76">
        <f>OrdersTable[[#This Row],[Net Revenue]]-OrdersTable[[#This Row],[COGS]]-OrdersTable[[#This Row],[Shipping Cost]]</f>
        <v>659.2</v>
      </c>
      <c r="Z1656" s="78">
        <f>IFERROR(OrdersTable[[#This Row],[Profit]]/OrdersTable[[#This Row],[Net Revenue]],0)</f>
        <v>0.41220610305152577</v>
      </c>
      <c r="AA1656" t="s">
        <v>18</v>
      </c>
      <c r="AB1656" s="79">
        <v>45600</v>
      </c>
      <c r="AC1656">
        <f>OrdersTable[[#This Row],[Delivery Date]]-OrdersTable[[#This Row],[Order Date]]</f>
        <v>6</v>
      </c>
      <c r="AD1656" t="str">
        <f>IF(OrdersTable[[#This Row],[Delivery Days]]&lt;=2, "Express (≤2d)", IF(OrdersTable[[#This Row],[Delivery Days]]&lt;=4, "Standard (3-4d)", "Delayed (5d+)"))</f>
        <v>Delayed (5d+)</v>
      </c>
      <c r="AF1656">
        <v>0</v>
      </c>
    </row>
    <row r="1657" spans="1:32" ht="15" x14ac:dyDescent="0.35">
      <c r="A1657" t="s">
        <v>5901</v>
      </c>
      <c r="B1657" s="1">
        <v>45594</v>
      </c>
      <c r="C1657">
        <f>YEAR(OrdersTable[[#This Row],[Order Date]])</f>
        <v>2024</v>
      </c>
      <c r="D1657" s="2">
        <f>DATE(YEAR(OrdersTable[[#This Row],[Order Date]]),MONTH(OrdersTable[[#This Row],[Order Date]]),1)</f>
        <v>45566</v>
      </c>
      <c r="E1657">
        <f>MONTH(OrdersTable[[#This Row],[Order Date]])</f>
        <v>10</v>
      </c>
      <c r="F1657" t="s">
        <v>733</v>
      </c>
      <c r="G1657" t="str">
        <f>IF(OrdersTable[[#This Row],[Order Date]]=_xlfn.MINIFS(Order_Date, Customer_ID, OrdersTable[[#This Row],[Customer ID]]), "New", "Repeat")</f>
        <v>Repeat</v>
      </c>
      <c r="H1657" t="s">
        <v>76</v>
      </c>
      <c r="I1657" t="str">
        <f>INDEX(State!B:B,MATCH(OrdersTable[[#This Row],[State]],State!A:A,0))</f>
        <v>UP</v>
      </c>
      <c r="J1657" t="str">
        <f>INDEX(State!C:C,MATCH(OrdersTable[[#This Row],[State Code]],State!B:B,0))</f>
        <v>North</v>
      </c>
      <c r="K1657" t="s">
        <v>105</v>
      </c>
      <c r="L1657" t="s">
        <v>65</v>
      </c>
      <c r="M1657" t="s">
        <v>109</v>
      </c>
      <c r="N1657" t="str">
        <f>INDEX(Products!B:B,MATCH(OrdersTable[[#This Row],[Product ID]],Products!A:A,0))</f>
        <v>Onion Hair Oil</v>
      </c>
      <c r="O1657" t="str">
        <f>INDEX(Products!C:C,MATCH(OrdersTable[[#This Row],[Product ID]],Products!A:A,0))</f>
        <v>Haircare</v>
      </c>
      <c r="P1657">
        <v>2</v>
      </c>
      <c r="Q1657" s="5">
        <v>349</v>
      </c>
      <c r="R1657" s="74">
        <v>0.4</v>
      </c>
      <c r="S1657" s="75">
        <f>OrdersTable[[#This Row],[Quantity]]*OrdersTable[[#This Row],[Unit Price]]</f>
        <v>698</v>
      </c>
      <c r="T1657" s="5">
        <f>OrdersTable[[#This Row],[Gross Sale]]*OrdersTable[[#This Row],[Discount_Clean2]]</f>
        <v>279.2</v>
      </c>
      <c r="U1657" s="5">
        <f>OrdersTable[[#This Row],[Gross Sale]]-OrdersTable[[#This Row],[Discount Amount]]</f>
        <v>418.8</v>
      </c>
      <c r="V1657" s="77">
        <f>INDEX(Products!E:E,MATCH(OrdersTable[[#This Row],[Product ID]],Products!A:A,0))</f>
        <v>105</v>
      </c>
      <c r="W1657" s="77">
        <f>OrdersTable[[#This Row],[Quantity]]*OrdersTable[[#This Row],[Unit Cost]]</f>
        <v>210</v>
      </c>
      <c r="X1657" s="77">
        <f>'Dropdown Lists'!$I$2*(1+OrdersTable[[#This Row],[Returned]])</f>
        <v>60</v>
      </c>
      <c r="Y1657" s="76">
        <f>OrdersTable[[#This Row],[Net Revenue]]-OrdersTable[[#This Row],[COGS]]-OrdersTable[[#This Row],[Shipping Cost]]</f>
        <v>148.80000000000001</v>
      </c>
      <c r="Z1657" s="78">
        <f>IFERROR(OrdersTable[[#This Row],[Profit]]/OrdersTable[[#This Row],[Net Revenue]],0)</f>
        <v>0.35530085959885388</v>
      </c>
      <c r="AA1657" t="s">
        <v>18</v>
      </c>
      <c r="AB1657" s="79">
        <v>45598</v>
      </c>
      <c r="AC1657">
        <f>OrdersTable[[#This Row],[Delivery Date]]-OrdersTable[[#This Row],[Order Date]]</f>
        <v>4</v>
      </c>
      <c r="AD1657" t="str">
        <f>IF(OrdersTable[[#This Row],[Delivery Days]]&lt;=2, "Express (≤2d)", IF(OrdersTable[[#This Row],[Delivery Days]]&lt;=4, "Standard (3-4d)", "Delayed (5d+)"))</f>
        <v>Standard (3-4d)</v>
      </c>
      <c r="AF1657">
        <v>0</v>
      </c>
    </row>
    <row r="1658" spans="1:32" ht="15" x14ac:dyDescent="0.35">
      <c r="A1658" t="s">
        <v>1918</v>
      </c>
      <c r="B1658" s="1">
        <v>45594</v>
      </c>
      <c r="C1658">
        <f>YEAR(OrdersTable[[#This Row],[Order Date]])</f>
        <v>2024</v>
      </c>
      <c r="D1658" s="2">
        <f>DATE(YEAR(OrdersTable[[#This Row],[Order Date]]),MONTH(OrdersTable[[#This Row],[Order Date]]),1)</f>
        <v>45566</v>
      </c>
      <c r="E1658">
        <f>MONTH(OrdersTable[[#This Row],[Order Date]])</f>
        <v>10</v>
      </c>
      <c r="F1658" t="s">
        <v>1919</v>
      </c>
      <c r="G1658" t="str">
        <f>IF(OrdersTable[[#This Row],[Order Date]]=_xlfn.MINIFS(Order_Date, Customer_ID, OrdersTable[[#This Row],[Customer ID]]), "New", "Repeat")</f>
        <v>New</v>
      </c>
      <c r="H1658" t="s">
        <v>76</v>
      </c>
      <c r="I1658" t="str">
        <f>INDEX(State!B:B,MATCH(OrdersTable[[#This Row],[State]],State!A:A,0))</f>
        <v>UP</v>
      </c>
      <c r="J1658" t="str">
        <f>INDEX(State!C:C,MATCH(OrdersTable[[#This Row],[State Code]],State!B:B,0))</f>
        <v>North</v>
      </c>
      <c r="K1658" t="s">
        <v>77</v>
      </c>
      <c r="L1658" t="s">
        <v>65</v>
      </c>
      <c r="M1658" t="s">
        <v>73</v>
      </c>
      <c r="N1658" t="str">
        <f>INDEX(Products!B:B,MATCH(OrdersTable[[#This Row],[Product ID]],Products!A:A,0))</f>
        <v>Hydrating Face Wash</v>
      </c>
      <c r="O1658" t="str">
        <f>INDEX(Products!C:C,MATCH(OrdersTable[[#This Row],[Product ID]],Products!A:A,0))</f>
        <v>Skincare</v>
      </c>
      <c r="P1658">
        <v>1</v>
      </c>
      <c r="Q1658" s="5">
        <v>299</v>
      </c>
      <c r="R1658" s="74">
        <v>0.05</v>
      </c>
      <c r="S1658" s="75">
        <f>OrdersTable[[#This Row],[Quantity]]*OrdersTable[[#This Row],[Unit Price]]</f>
        <v>299</v>
      </c>
      <c r="T1658" s="5">
        <f>OrdersTable[[#This Row],[Gross Sale]]*OrdersTable[[#This Row],[Discount_Clean2]]</f>
        <v>14.950000000000001</v>
      </c>
      <c r="U1658" s="5">
        <f>OrdersTable[[#This Row],[Gross Sale]]-OrdersTable[[#This Row],[Discount Amount]]</f>
        <v>284.05</v>
      </c>
      <c r="V1658" s="77">
        <f>INDEX(Products!E:E,MATCH(OrdersTable[[#This Row],[Product ID]],Products!A:A,0))</f>
        <v>90</v>
      </c>
      <c r="W1658" s="77">
        <f>OrdersTable[[#This Row],[Quantity]]*OrdersTable[[#This Row],[Unit Cost]]</f>
        <v>90</v>
      </c>
      <c r="X1658" s="77">
        <f>'Dropdown Lists'!$I$2*(1+OrdersTable[[#This Row],[Returned]])</f>
        <v>60</v>
      </c>
      <c r="Y1658" s="76">
        <f>OrdersTable[[#This Row],[Net Revenue]]-OrdersTable[[#This Row],[COGS]]-OrdersTable[[#This Row],[Shipping Cost]]</f>
        <v>134.05000000000001</v>
      </c>
      <c r="Z1658" s="78">
        <f>IFERROR(OrdersTable[[#This Row],[Profit]]/OrdersTable[[#This Row],[Net Revenue]],0)</f>
        <v>0.47192395704981521</v>
      </c>
      <c r="AA1658" t="s">
        <v>18</v>
      </c>
      <c r="AB1658" s="79">
        <v>45599</v>
      </c>
      <c r="AC1658">
        <f>OrdersTable[[#This Row],[Delivery Date]]-OrdersTable[[#This Row],[Order Date]]</f>
        <v>5</v>
      </c>
      <c r="AD1658" t="str">
        <f>IF(OrdersTable[[#This Row],[Delivery Days]]&lt;=2, "Express (≤2d)", IF(OrdersTable[[#This Row],[Delivery Days]]&lt;=4, "Standard (3-4d)", "Delayed (5d+)"))</f>
        <v>Delayed (5d+)</v>
      </c>
      <c r="AE1658">
        <v>3</v>
      </c>
      <c r="AF1658">
        <v>0</v>
      </c>
    </row>
    <row r="1659" spans="1:32" ht="15" x14ac:dyDescent="0.35">
      <c r="A1659" t="s">
        <v>5902</v>
      </c>
      <c r="B1659" s="1">
        <v>45594</v>
      </c>
      <c r="C1659">
        <f>YEAR(OrdersTable[[#This Row],[Order Date]])</f>
        <v>2024</v>
      </c>
      <c r="D1659" s="2">
        <f>DATE(YEAR(OrdersTable[[#This Row],[Order Date]]),MONTH(OrdersTable[[#This Row],[Order Date]]),1)</f>
        <v>45566</v>
      </c>
      <c r="E1659">
        <f>MONTH(OrdersTable[[#This Row],[Order Date]])</f>
        <v>10</v>
      </c>
      <c r="F1659" t="s">
        <v>754</v>
      </c>
      <c r="G1659" t="str">
        <f>IF(OrdersTable[[#This Row],[Order Date]]=_xlfn.MINIFS(Order_Date, Customer_ID, OrdersTable[[#This Row],[Customer ID]]), "New", "Repeat")</f>
        <v>Repeat</v>
      </c>
      <c r="H1659" t="s">
        <v>71</v>
      </c>
      <c r="I1659" t="str">
        <f>INDEX(State!B:B,MATCH(OrdersTable[[#This Row],[State]],State!A:A,0))</f>
        <v>MH</v>
      </c>
      <c r="J1659" t="str">
        <f>INDEX(State!C:C,MATCH(OrdersTable[[#This Row],[State Code]],State!B:B,0))</f>
        <v>West</v>
      </c>
      <c r="K1659" t="s">
        <v>72</v>
      </c>
      <c r="L1659" t="s">
        <v>23</v>
      </c>
      <c r="M1659" t="s">
        <v>148</v>
      </c>
      <c r="N1659" t="str">
        <f>INDEX(Products!B:B,MATCH(OrdersTable[[#This Row],[Product ID]],Products!A:A,0))</f>
        <v>Smartwatch Strap</v>
      </c>
      <c r="O1659" t="str">
        <f>INDEX(Products!C:C,MATCH(OrdersTable[[#This Row],[Product ID]],Products!A:A,0))</f>
        <v>Electronics</v>
      </c>
      <c r="P1659">
        <v>2</v>
      </c>
      <c r="Q1659" s="5">
        <v>499</v>
      </c>
      <c r="R1659" s="74">
        <v>0.3</v>
      </c>
      <c r="S1659" s="75">
        <f>OrdersTable[[#This Row],[Quantity]]*OrdersTable[[#This Row],[Unit Price]]</f>
        <v>998</v>
      </c>
      <c r="T1659" s="5">
        <f>OrdersTable[[#This Row],[Gross Sale]]*OrdersTable[[#This Row],[Discount_Clean2]]</f>
        <v>299.39999999999998</v>
      </c>
      <c r="U1659" s="5">
        <f>OrdersTable[[#This Row],[Gross Sale]]-OrdersTable[[#This Row],[Discount Amount]]</f>
        <v>698.6</v>
      </c>
      <c r="V1659" s="77">
        <f>INDEX(Products!E:E,MATCH(OrdersTable[[#This Row],[Product ID]],Products!A:A,0))</f>
        <v>200</v>
      </c>
      <c r="W1659" s="77">
        <f>OrdersTable[[#This Row],[Quantity]]*OrdersTable[[#This Row],[Unit Cost]]</f>
        <v>400</v>
      </c>
      <c r="X1659" s="77">
        <f>'Dropdown Lists'!$I$2*(1+OrdersTable[[#This Row],[Returned]])</f>
        <v>60</v>
      </c>
      <c r="Y1659" s="76">
        <f>OrdersTable[[#This Row],[Net Revenue]]-OrdersTable[[#This Row],[COGS]]-OrdersTable[[#This Row],[Shipping Cost]]</f>
        <v>238.60000000000002</v>
      </c>
      <c r="Z1659" s="78">
        <f>IFERROR(OrdersTable[[#This Row],[Profit]]/OrdersTable[[#This Row],[Net Revenue]],0)</f>
        <v>0.34154022330375039</v>
      </c>
      <c r="AA1659" t="s">
        <v>18</v>
      </c>
      <c r="AB1659" s="79">
        <v>45597</v>
      </c>
      <c r="AC1659">
        <f>OrdersTable[[#This Row],[Delivery Date]]-OrdersTable[[#This Row],[Order Date]]</f>
        <v>3</v>
      </c>
      <c r="AD1659" t="str">
        <f>IF(OrdersTable[[#This Row],[Delivery Days]]&lt;=2, "Express (≤2d)", IF(OrdersTable[[#This Row],[Delivery Days]]&lt;=4, "Standard (3-4d)", "Delayed (5d+)"))</f>
        <v>Standard (3-4d)</v>
      </c>
      <c r="AF1659">
        <v>0</v>
      </c>
    </row>
    <row r="1660" spans="1:32" ht="15" x14ac:dyDescent="0.35">
      <c r="A1660" t="s">
        <v>1691</v>
      </c>
      <c r="B1660" s="1">
        <v>45594</v>
      </c>
      <c r="C1660">
        <f>YEAR(OrdersTable[[#This Row],[Order Date]])</f>
        <v>2024</v>
      </c>
      <c r="D1660" s="2">
        <f>DATE(YEAR(OrdersTable[[#This Row],[Order Date]]),MONTH(OrdersTable[[#This Row],[Order Date]]),1)</f>
        <v>45566</v>
      </c>
      <c r="E1660">
        <f>MONTH(OrdersTable[[#This Row],[Order Date]])</f>
        <v>10</v>
      </c>
      <c r="F1660" t="s">
        <v>1692</v>
      </c>
      <c r="G1660" t="str">
        <f>IF(OrdersTable[[#This Row],[Order Date]]=_xlfn.MINIFS(Order_Date, Customer_ID, OrdersTable[[#This Row],[Customer ID]]), "New", "Repeat")</f>
        <v>New</v>
      </c>
      <c r="H1660" t="s">
        <v>167</v>
      </c>
      <c r="I1660" t="str">
        <f>INDEX(State!B:B,MATCH(OrdersTable[[#This Row],[State]],State!A:A,0))</f>
        <v>KA</v>
      </c>
      <c r="J1660" t="str">
        <f>INDEX(State!C:C,MATCH(OrdersTable[[#This Row],[State Code]],State!B:B,0))</f>
        <v>South</v>
      </c>
      <c r="K1660" t="s">
        <v>168</v>
      </c>
      <c r="L1660" t="s">
        <v>65</v>
      </c>
      <c r="M1660" t="s">
        <v>148</v>
      </c>
      <c r="N1660" t="str">
        <f>INDEX(Products!B:B,MATCH(OrdersTable[[#This Row],[Product ID]],Products!A:A,0))</f>
        <v>Smartwatch Strap</v>
      </c>
      <c r="O1660" t="str">
        <f>INDEX(Products!C:C,MATCH(OrdersTable[[#This Row],[Product ID]],Products!A:A,0))</f>
        <v>Electronics</v>
      </c>
      <c r="P1660">
        <v>1</v>
      </c>
      <c r="Q1660" s="5">
        <v>499</v>
      </c>
      <c r="R1660" s="74">
        <v>0.2</v>
      </c>
      <c r="S1660" s="75">
        <f>OrdersTable[[#This Row],[Quantity]]*OrdersTable[[#This Row],[Unit Price]]</f>
        <v>499</v>
      </c>
      <c r="T1660" s="5">
        <f>OrdersTable[[#This Row],[Gross Sale]]*OrdersTable[[#This Row],[Discount_Clean2]]</f>
        <v>99.800000000000011</v>
      </c>
      <c r="U1660" s="5">
        <f>OrdersTable[[#This Row],[Gross Sale]]-OrdersTable[[#This Row],[Discount Amount]]</f>
        <v>399.2</v>
      </c>
      <c r="V1660" s="77">
        <f>INDEX(Products!E:E,MATCH(OrdersTable[[#This Row],[Product ID]],Products!A:A,0))</f>
        <v>200</v>
      </c>
      <c r="W1660" s="77">
        <f>OrdersTable[[#This Row],[Quantity]]*OrdersTable[[#This Row],[Unit Cost]]</f>
        <v>200</v>
      </c>
      <c r="X1660" s="77">
        <f>'Dropdown Lists'!$I$2*(1+OrdersTable[[#This Row],[Returned]])</f>
        <v>60</v>
      </c>
      <c r="Y1660" s="76">
        <f>OrdersTable[[#This Row],[Net Revenue]]-OrdersTable[[#This Row],[COGS]]-OrdersTable[[#This Row],[Shipping Cost]]</f>
        <v>139.19999999999999</v>
      </c>
      <c r="Z1660" s="78">
        <f>IFERROR(OrdersTable[[#This Row],[Profit]]/OrdersTable[[#This Row],[Net Revenue]],0)</f>
        <v>0.34869739478957912</v>
      </c>
      <c r="AA1660" t="s">
        <v>18</v>
      </c>
      <c r="AB1660" s="79">
        <v>45598</v>
      </c>
      <c r="AC1660">
        <f>OrdersTable[[#This Row],[Delivery Date]]-OrdersTable[[#This Row],[Order Date]]</f>
        <v>4</v>
      </c>
      <c r="AD1660" t="str">
        <f>IF(OrdersTable[[#This Row],[Delivery Days]]&lt;=2, "Express (≤2d)", IF(OrdersTable[[#This Row],[Delivery Days]]&lt;=4, "Standard (3-4d)", "Delayed (5d+)"))</f>
        <v>Standard (3-4d)</v>
      </c>
      <c r="AF1660">
        <v>0</v>
      </c>
    </row>
    <row r="1661" spans="1:32" ht="15" x14ac:dyDescent="0.35">
      <c r="A1661" t="s">
        <v>5684</v>
      </c>
      <c r="B1661" s="1">
        <v>45594</v>
      </c>
      <c r="C1661">
        <f>YEAR(OrdersTable[[#This Row],[Order Date]])</f>
        <v>2024</v>
      </c>
      <c r="D1661" s="2">
        <f>DATE(YEAR(OrdersTable[[#This Row],[Order Date]]),MONTH(OrdersTable[[#This Row],[Order Date]]),1)</f>
        <v>45566</v>
      </c>
      <c r="E1661">
        <f>MONTH(OrdersTable[[#This Row],[Order Date]])</f>
        <v>10</v>
      </c>
      <c r="F1661" t="s">
        <v>47</v>
      </c>
      <c r="G1661" t="str">
        <f>IF(OrdersTable[[#This Row],[Order Date]]=_xlfn.MINIFS(Order_Date, Customer_ID, OrdersTable[[#This Row],[Customer ID]]), "New", "Repeat")</f>
        <v>Repeat</v>
      </c>
      <c r="H1661" t="s">
        <v>167</v>
      </c>
      <c r="I1661" t="str">
        <f>INDEX(State!B:B,MATCH(OrdersTable[[#This Row],[State]],State!A:A,0))</f>
        <v>KA</v>
      </c>
      <c r="J1661" t="str">
        <f>INDEX(State!C:C,MATCH(OrdersTable[[#This Row],[State Code]],State!B:B,0))</f>
        <v>South</v>
      </c>
      <c r="K1661" t="s">
        <v>168</v>
      </c>
      <c r="L1661" t="s">
        <v>65</v>
      </c>
      <c r="M1661" t="s">
        <v>565</v>
      </c>
      <c r="N1661" t="str">
        <f>INDEX(Products!B:B,MATCH(OrdersTable[[#This Row],[Product ID]],Products!A:A,0))</f>
        <v>Ceramic Dinner Set</v>
      </c>
      <c r="O1661" t="str">
        <f>INDEX(Products!C:C,MATCH(OrdersTable[[#This Row],[Product ID]],Products!A:A,0))</f>
        <v>Home &amp; Kitchen</v>
      </c>
      <c r="P1661">
        <v>2</v>
      </c>
      <c r="Q1661" s="5">
        <v>2499</v>
      </c>
      <c r="R1661" s="74">
        <v>0.4</v>
      </c>
      <c r="S1661" s="75">
        <f>OrdersTable[[#This Row],[Quantity]]*OrdersTable[[#This Row],[Unit Price]]</f>
        <v>4998</v>
      </c>
      <c r="T1661" s="5">
        <f>OrdersTable[[#This Row],[Gross Sale]]*OrdersTable[[#This Row],[Discount_Clean2]]</f>
        <v>1999.2</v>
      </c>
      <c r="U1661" s="5">
        <f>OrdersTable[[#This Row],[Gross Sale]]-OrdersTable[[#This Row],[Discount Amount]]</f>
        <v>2998.8</v>
      </c>
      <c r="V1661" s="77">
        <f>INDEX(Products!E:E,MATCH(OrdersTable[[#This Row],[Product ID]],Products!A:A,0))</f>
        <v>1250</v>
      </c>
      <c r="W1661" s="77">
        <f>OrdersTable[[#This Row],[Quantity]]*OrdersTable[[#This Row],[Unit Cost]]</f>
        <v>2500</v>
      </c>
      <c r="X1661" s="77">
        <f>'Dropdown Lists'!$I$2*(1+OrdersTable[[#This Row],[Returned]])</f>
        <v>60</v>
      </c>
      <c r="Y1661" s="76">
        <f>OrdersTable[[#This Row],[Net Revenue]]-OrdersTable[[#This Row],[COGS]]-OrdersTable[[#This Row],[Shipping Cost]]</f>
        <v>438.80000000000018</v>
      </c>
      <c r="Z1661" s="78">
        <f>IFERROR(OrdersTable[[#This Row],[Profit]]/OrdersTable[[#This Row],[Net Revenue]],0)</f>
        <v>0.14632519674536487</v>
      </c>
      <c r="AA1661" t="s">
        <v>18</v>
      </c>
      <c r="AB1661" s="79">
        <v>45597</v>
      </c>
      <c r="AC1661">
        <f>OrdersTable[[#This Row],[Delivery Date]]-OrdersTable[[#This Row],[Order Date]]</f>
        <v>3</v>
      </c>
      <c r="AD1661" t="str">
        <f>IF(OrdersTable[[#This Row],[Delivery Days]]&lt;=2, "Express (≤2d)", IF(OrdersTable[[#This Row],[Delivery Days]]&lt;=4, "Standard (3-4d)", "Delayed (5d+)"))</f>
        <v>Standard (3-4d)</v>
      </c>
      <c r="AE1661">
        <v>3</v>
      </c>
      <c r="AF1661">
        <v>0</v>
      </c>
    </row>
    <row r="1662" spans="1:32" ht="15" x14ac:dyDescent="0.35">
      <c r="A1662" t="s">
        <v>4106</v>
      </c>
      <c r="B1662" s="1">
        <v>45594</v>
      </c>
      <c r="C1662">
        <f>YEAR(OrdersTable[[#This Row],[Order Date]])</f>
        <v>2024</v>
      </c>
      <c r="D1662" s="2">
        <f>DATE(YEAR(OrdersTable[[#This Row],[Order Date]]),MONTH(OrdersTable[[#This Row],[Order Date]]),1)</f>
        <v>45566</v>
      </c>
      <c r="E1662">
        <f>MONTH(OrdersTable[[#This Row],[Order Date]])</f>
        <v>10</v>
      </c>
      <c r="F1662" t="s">
        <v>4107</v>
      </c>
      <c r="G1662" t="str">
        <f>IF(OrdersTable[[#This Row],[Order Date]]=_xlfn.MINIFS(Order_Date, Customer_ID, OrdersTable[[#This Row],[Customer ID]]), "New", "Repeat")</f>
        <v>New</v>
      </c>
      <c r="H1662" t="s">
        <v>167</v>
      </c>
      <c r="I1662" t="str">
        <f>INDEX(State!B:B,MATCH(OrdersTable[[#This Row],[State]],State!A:A,0))</f>
        <v>KA</v>
      </c>
      <c r="J1662" t="str">
        <f>INDEX(State!C:C,MATCH(OrdersTable[[#This Row],[State Code]],State!B:B,0))</f>
        <v>South</v>
      </c>
      <c r="K1662" t="s">
        <v>168</v>
      </c>
      <c r="L1662" t="s">
        <v>50</v>
      </c>
      <c r="M1662" t="s">
        <v>160</v>
      </c>
      <c r="N1662" t="str">
        <f>INDEX(Products!B:B,MATCH(OrdersTable[[#This Row],[Product ID]],Products!A:A,0))</f>
        <v>Niacinamide Toner</v>
      </c>
      <c r="O1662" t="str">
        <f>INDEX(Products!C:C,MATCH(OrdersTable[[#This Row],[Product ID]],Products!A:A,0))</f>
        <v>Skincare</v>
      </c>
      <c r="P1662">
        <v>1</v>
      </c>
      <c r="Q1662" s="5">
        <v>399</v>
      </c>
      <c r="R1662" s="74">
        <v>0.25</v>
      </c>
      <c r="S1662" s="75">
        <f>OrdersTable[[#This Row],[Quantity]]*OrdersTable[[#This Row],[Unit Price]]</f>
        <v>399</v>
      </c>
      <c r="T1662" s="5">
        <f>OrdersTable[[#This Row],[Gross Sale]]*OrdersTable[[#This Row],[Discount_Clean2]]</f>
        <v>99.75</v>
      </c>
      <c r="U1662" s="5">
        <f>OrdersTable[[#This Row],[Gross Sale]]-OrdersTable[[#This Row],[Discount Amount]]</f>
        <v>299.25</v>
      </c>
      <c r="V1662" s="77">
        <f>INDEX(Products!E:E,MATCH(OrdersTable[[#This Row],[Product ID]],Products!A:A,0))</f>
        <v>112</v>
      </c>
      <c r="W1662" s="77">
        <f>OrdersTable[[#This Row],[Quantity]]*OrdersTable[[#This Row],[Unit Cost]]</f>
        <v>112</v>
      </c>
      <c r="X1662" s="77">
        <f>'Dropdown Lists'!$I$2*(1+OrdersTable[[#This Row],[Returned]])</f>
        <v>60</v>
      </c>
      <c r="Y1662" s="76">
        <f>OrdersTable[[#This Row],[Net Revenue]]-OrdersTable[[#This Row],[COGS]]-OrdersTable[[#This Row],[Shipping Cost]]</f>
        <v>127.25</v>
      </c>
      <c r="Z1662" s="78">
        <f>IFERROR(OrdersTable[[#This Row],[Profit]]/OrdersTable[[#This Row],[Net Revenue]],0)</f>
        <v>0.42522974101921468</v>
      </c>
      <c r="AA1662" t="s">
        <v>4074</v>
      </c>
      <c r="AB1662" s="79">
        <v>45597</v>
      </c>
      <c r="AC1662">
        <f>OrdersTable[[#This Row],[Delivery Date]]-OrdersTable[[#This Row],[Order Date]]</f>
        <v>3</v>
      </c>
      <c r="AD1662" t="str">
        <f>IF(OrdersTable[[#This Row],[Delivery Days]]&lt;=2, "Express (≤2d)", IF(OrdersTable[[#This Row],[Delivery Days]]&lt;=4, "Standard (3-4d)", "Delayed (5d+)"))</f>
        <v>Standard (3-4d)</v>
      </c>
      <c r="AE1662">
        <v>3</v>
      </c>
      <c r="AF1662">
        <v>0</v>
      </c>
    </row>
    <row r="1663" spans="1:32" ht="15" x14ac:dyDescent="0.35">
      <c r="A1663" t="s">
        <v>4108</v>
      </c>
      <c r="B1663" s="1">
        <v>45594</v>
      </c>
      <c r="C1663">
        <f>YEAR(OrdersTable[[#This Row],[Order Date]])</f>
        <v>2024</v>
      </c>
      <c r="D1663" s="2">
        <f>DATE(YEAR(OrdersTable[[#This Row],[Order Date]]),MONTH(OrdersTable[[#This Row],[Order Date]]),1)</f>
        <v>45566</v>
      </c>
      <c r="E1663">
        <f>MONTH(OrdersTable[[#This Row],[Order Date]])</f>
        <v>10</v>
      </c>
      <c r="F1663" t="s">
        <v>4107</v>
      </c>
      <c r="G1663" t="str">
        <f>IF(OrdersTable[[#This Row],[Order Date]]=_xlfn.MINIFS(Order_Date, Customer_ID, OrdersTable[[#This Row],[Customer ID]]), "New", "Repeat")</f>
        <v>New</v>
      </c>
      <c r="H1663" t="s">
        <v>59</v>
      </c>
      <c r="I1663" t="str">
        <f>INDEX(State!B:B,MATCH(OrdersTable[[#This Row],[State]],State!A:A,0))</f>
        <v>TN</v>
      </c>
      <c r="J1663" t="str">
        <f>INDEX(State!C:C,MATCH(OrdersTable[[#This Row],[State Code]],State!B:B,0))</f>
        <v>South</v>
      </c>
      <c r="K1663" t="s">
        <v>64</v>
      </c>
      <c r="L1663" t="s">
        <v>23</v>
      </c>
      <c r="M1663" t="s">
        <v>73</v>
      </c>
      <c r="N1663" t="str">
        <f>INDEX(Products!B:B,MATCH(OrdersTable[[#This Row],[Product ID]],Products!A:A,0))</f>
        <v>Hydrating Face Wash</v>
      </c>
      <c r="O1663" t="str">
        <f>INDEX(Products!C:C,MATCH(OrdersTable[[#This Row],[Product ID]],Products!A:A,0))</f>
        <v>Skincare</v>
      </c>
      <c r="P1663">
        <v>1</v>
      </c>
      <c r="Q1663" s="5">
        <v>299</v>
      </c>
      <c r="R1663" s="74">
        <v>0.15</v>
      </c>
      <c r="S1663" s="75">
        <f>OrdersTable[[#This Row],[Quantity]]*OrdersTable[[#This Row],[Unit Price]]</f>
        <v>299</v>
      </c>
      <c r="T1663" s="5">
        <f>OrdersTable[[#This Row],[Gross Sale]]*OrdersTable[[#This Row],[Discount_Clean2]]</f>
        <v>44.85</v>
      </c>
      <c r="U1663" s="5">
        <f>OrdersTable[[#This Row],[Gross Sale]]-OrdersTable[[#This Row],[Discount Amount]]</f>
        <v>254.15</v>
      </c>
      <c r="V1663" s="77">
        <f>INDEX(Products!E:E,MATCH(OrdersTable[[#This Row],[Product ID]],Products!A:A,0))</f>
        <v>90</v>
      </c>
      <c r="W1663" s="77">
        <f>OrdersTable[[#This Row],[Quantity]]*OrdersTable[[#This Row],[Unit Cost]]</f>
        <v>90</v>
      </c>
      <c r="X1663" s="77">
        <f>'Dropdown Lists'!$I$2*(1+OrdersTable[[#This Row],[Returned]])</f>
        <v>60</v>
      </c>
      <c r="Y1663" s="76">
        <f>OrdersTable[[#This Row],[Net Revenue]]-OrdersTable[[#This Row],[COGS]]-OrdersTable[[#This Row],[Shipping Cost]]</f>
        <v>104.15</v>
      </c>
      <c r="Z1663" s="78">
        <f>IFERROR(OrdersTable[[#This Row],[Profit]]/OrdersTable[[#This Row],[Net Revenue]],0)</f>
        <v>0.40979736376155818</v>
      </c>
      <c r="AA1663" t="s">
        <v>4074</v>
      </c>
      <c r="AB1663" s="79">
        <v>45595</v>
      </c>
      <c r="AC1663">
        <f>OrdersTable[[#This Row],[Delivery Date]]-OrdersTable[[#This Row],[Order Date]]</f>
        <v>1</v>
      </c>
      <c r="AD1663" t="str">
        <f>IF(OrdersTable[[#This Row],[Delivery Days]]&lt;=2, "Express (≤2d)", IF(OrdersTable[[#This Row],[Delivery Days]]&lt;=4, "Standard (3-4d)", "Delayed (5d+)"))</f>
        <v>Express (≤2d)</v>
      </c>
      <c r="AE1663">
        <v>5</v>
      </c>
      <c r="AF1663">
        <v>0</v>
      </c>
    </row>
    <row r="1664" spans="1:32" ht="15" x14ac:dyDescent="0.35">
      <c r="A1664" t="s">
        <v>212</v>
      </c>
      <c r="B1664" s="1">
        <v>45595</v>
      </c>
      <c r="C1664">
        <f>YEAR(OrdersTable[[#This Row],[Order Date]])</f>
        <v>2024</v>
      </c>
      <c r="D1664" s="2">
        <f>DATE(YEAR(OrdersTable[[#This Row],[Order Date]]),MONTH(OrdersTable[[#This Row],[Order Date]]),1)</f>
        <v>45566</v>
      </c>
      <c r="E1664">
        <f>MONTH(OrdersTable[[#This Row],[Order Date]])</f>
        <v>10</v>
      </c>
      <c r="F1664" t="s">
        <v>213</v>
      </c>
      <c r="G1664" t="str">
        <f>IF(OrdersTable[[#This Row],[Order Date]]=_xlfn.MINIFS(Order_Date, Customer_ID, OrdersTable[[#This Row],[Customer ID]]), "New", "Repeat")</f>
        <v>New</v>
      </c>
      <c r="H1664" t="s">
        <v>184</v>
      </c>
      <c r="I1664" t="str">
        <f>INDEX(State!B:B,MATCH(OrdersTable[[#This Row],[State]],State!A:A,0))</f>
        <v>UK</v>
      </c>
      <c r="J1664" t="str">
        <f>INDEX(State!C:C,MATCH(OrdersTable[[#This Row],[State Code]],State!B:B,0))</f>
        <v>North</v>
      </c>
      <c r="K1664" t="s">
        <v>185</v>
      </c>
      <c r="L1664" t="s">
        <v>50</v>
      </c>
      <c r="M1664" t="s">
        <v>61</v>
      </c>
      <c r="N1664" t="str">
        <f>INDEX(Products!B:B,MATCH(OrdersTable[[#This Row],[Product ID]],Products!A:A,0))</f>
        <v>Multivitamin Gummies</v>
      </c>
      <c r="O1664" t="str">
        <f>INDEX(Products!C:C,MATCH(OrdersTable[[#This Row],[Product ID]],Products!A:A,0))</f>
        <v>Wellness</v>
      </c>
      <c r="P1664">
        <v>1</v>
      </c>
      <c r="Q1664" s="5">
        <v>699</v>
      </c>
      <c r="R1664" s="74">
        <v>0.25</v>
      </c>
      <c r="S1664" s="75">
        <f>OrdersTable[[#This Row],[Quantity]]*OrdersTable[[#This Row],[Unit Price]]</f>
        <v>699</v>
      </c>
      <c r="T1664" s="5">
        <f>OrdersTable[[#This Row],[Gross Sale]]*OrdersTable[[#This Row],[Discount_Clean2]]</f>
        <v>174.75</v>
      </c>
      <c r="U1664" s="5">
        <f>OrdersTable[[#This Row],[Gross Sale]]-OrdersTable[[#This Row],[Discount Amount]]</f>
        <v>524.25</v>
      </c>
      <c r="V1664" s="77">
        <f>INDEX(Products!E:E,MATCH(OrdersTable[[#This Row],[Product ID]],Products!A:A,0))</f>
        <v>238</v>
      </c>
      <c r="W1664" s="77">
        <f>OrdersTable[[#This Row],[Quantity]]*OrdersTable[[#This Row],[Unit Cost]]</f>
        <v>238</v>
      </c>
      <c r="X1664" s="77">
        <f>'Dropdown Lists'!$I$2*(1+OrdersTable[[#This Row],[Returned]])</f>
        <v>60</v>
      </c>
      <c r="Y1664" s="76">
        <f>OrdersTable[[#This Row],[Net Revenue]]-OrdersTable[[#This Row],[COGS]]-OrdersTable[[#This Row],[Shipping Cost]]</f>
        <v>226.25</v>
      </c>
      <c r="Z1664" s="78">
        <f>IFERROR(OrdersTable[[#This Row],[Profit]]/OrdersTable[[#This Row],[Net Revenue]],0)</f>
        <v>0.43156890796375774</v>
      </c>
      <c r="AA1664" t="s">
        <v>18</v>
      </c>
      <c r="AB1664" s="79">
        <v>45599</v>
      </c>
      <c r="AC1664">
        <f>OrdersTable[[#This Row],[Delivery Date]]-OrdersTable[[#This Row],[Order Date]]</f>
        <v>4</v>
      </c>
      <c r="AD1664" t="str">
        <f>IF(OrdersTable[[#This Row],[Delivery Days]]&lt;=2, "Express (≤2d)", IF(OrdersTable[[#This Row],[Delivery Days]]&lt;=4, "Standard (3-4d)", "Delayed (5d+)"))</f>
        <v>Standard (3-4d)</v>
      </c>
      <c r="AE1664">
        <v>4</v>
      </c>
      <c r="AF1664">
        <v>0</v>
      </c>
    </row>
    <row r="1665" spans="1:32" ht="15" x14ac:dyDescent="0.35">
      <c r="A1665" t="s">
        <v>1513</v>
      </c>
      <c r="B1665" s="1">
        <v>45595</v>
      </c>
      <c r="C1665">
        <f>YEAR(OrdersTable[[#This Row],[Order Date]])</f>
        <v>2024</v>
      </c>
      <c r="D1665" s="2">
        <f>DATE(YEAR(OrdersTable[[#This Row],[Order Date]]),MONTH(OrdersTable[[#This Row],[Order Date]]),1)</f>
        <v>45566</v>
      </c>
      <c r="E1665">
        <f>MONTH(OrdersTable[[#This Row],[Order Date]])</f>
        <v>10</v>
      </c>
      <c r="F1665" t="s">
        <v>1514</v>
      </c>
      <c r="G1665" t="str">
        <f>IF(OrdersTable[[#This Row],[Order Date]]=_xlfn.MINIFS(Order_Date, Customer_ID, OrdersTable[[#This Row],[Customer ID]]), "New", "Repeat")</f>
        <v>New</v>
      </c>
      <c r="H1665" t="s">
        <v>76</v>
      </c>
      <c r="I1665" t="str">
        <f>INDEX(State!B:B,MATCH(OrdersTable[[#This Row],[State]],State!A:A,0))</f>
        <v>UP</v>
      </c>
      <c r="J1665" t="str">
        <f>INDEX(State!C:C,MATCH(OrdersTable[[#This Row],[State Code]],State!B:B,0))</f>
        <v>North</v>
      </c>
      <c r="K1665" t="s">
        <v>118</v>
      </c>
      <c r="L1665" t="s">
        <v>39</v>
      </c>
      <c r="M1665" t="s">
        <v>109</v>
      </c>
      <c r="N1665" t="str">
        <f>INDEX(Products!B:B,MATCH(OrdersTable[[#This Row],[Product ID]],Products!A:A,0))</f>
        <v>Onion Hair Oil</v>
      </c>
      <c r="O1665" t="str">
        <f>INDEX(Products!C:C,MATCH(OrdersTable[[#This Row],[Product ID]],Products!A:A,0))</f>
        <v>Haircare</v>
      </c>
      <c r="P1665">
        <v>1</v>
      </c>
      <c r="Q1665" s="5">
        <v>349</v>
      </c>
      <c r="R1665" s="74">
        <v>0.3</v>
      </c>
      <c r="S1665" s="75">
        <f>OrdersTable[[#This Row],[Quantity]]*OrdersTable[[#This Row],[Unit Price]]</f>
        <v>349</v>
      </c>
      <c r="T1665" s="5">
        <f>OrdersTable[[#This Row],[Gross Sale]]*OrdersTable[[#This Row],[Discount_Clean2]]</f>
        <v>104.7</v>
      </c>
      <c r="U1665" s="5">
        <f>OrdersTable[[#This Row],[Gross Sale]]-OrdersTable[[#This Row],[Discount Amount]]</f>
        <v>244.3</v>
      </c>
      <c r="V1665" s="77">
        <f>INDEX(Products!E:E,MATCH(OrdersTable[[#This Row],[Product ID]],Products!A:A,0))</f>
        <v>105</v>
      </c>
      <c r="W1665" s="77">
        <f>OrdersTable[[#This Row],[Quantity]]*OrdersTable[[#This Row],[Unit Cost]]</f>
        <v>105</v>
      </c>
      <c r="X1665" s="77">
        <f>'Dropdown Lists'!$I$2*(1+OrdersTable[[#This Row],[Returned]])</f>
        <v>60</v>
      </c>
      <c r="Y1665" s="76">
        <f>OrdersTable[[#This Row],[Net Revenue]]-OrdersTable[[#This Row],[COGS]]-OrdersTable[[#This Row],[Shipping Cost]]</f>
        <v>79.300000000000011</v>
      </c>
      <c r="Z1665" s="78">
        <f>IFERROR(OrdersTable[[#This Row],[Profit]]/OrdersTable[[#This Row],[Net Revenue]],0)</f>
        <v>0.32460090053213264</v>
      </c>
      <c r="AA1665" t="s">
        <v>18</v>
      </c>
      <c r="AB1665" s="79">
        <v>45600</v>
      </c>
      <c r="AC1665">
        <f>OrdersTable[[#This Row],[Delivery Date]]-OrdersTable[[#This Row],[Order Date]]</f>
        <v>5</v>
      </c>
      <c r="AD1665" t="str">
        <f>IF(OrdersTable[[#This Row],[Delivery Days]]&lt;=2, "Express (≤2d)", IF(OrdersTable[[#This Row],[Delivery Days]]&lt;=4, "Standard (3-4d)", "Delayed (5d+)"))</f>
        <v>Delayed (5d+)</v>
      </c>
      <c r="AF1665">
        <v>0</v>
      </c>
    </row>
    <row r="1666" spans="1:32" ht="15" x14ac:dyDescent="0.35">
      <c r="A1666" t="s">
        <v>2326</v>
      </c>
      <c r="B1666" s="1">
        <v>45595</v>
      </c>
      <c r="C1666">
        <f>YEAR(OrdersTable[[#This Row],[Order Date]])</f>
        <v>2024</v>
      </c>
      <c r="D1666" s="2">
        <f>DATE(YEAR(OrdersTable[[#This Row],[Order Date]]),MONTH(OrdersTable[[#This Row],[Order Date]]),1)</f>
        <v>45566</v>
      </c>
      <c r="E1666">
        <f>MONTH(OrdersTable[[#This Row],[Order Date]])</f>
        <v>10</v>
      </c>
      <c r="F1666" t="s">
        <v>2327</v>
      </c>
      <c r="G1666" t="str">
        <f>IF(OrdersTable[[#This Row],[Order Date]]=_xlfn.MINIFS(Order_Date, Customer_ID, OrdersTable[[#This Row],[Customer ID]]), "New", "Repeat")</f>
        <v>New</v>
      </c>
      <c r="H1666" t="s">
        <v>482</v>
      </c>
      <c r="I1666" t="str">
        <f>INDEX(State!B:B,MATCH(OrdersTable[[#This Row],[State]],State!A:A,0))</f>
        <v>CG</v>
      </c>
      <c r="J1666" t="str">
        <f>INDEX(State!C:C,MATCH(OrdersTable[[#This Row],[State Code]],State!B:B,0))</f>
        <v>East</v>
      </c>
      <c r="K1666" t="s">
        <v>483</v>
      </c>
      <c r="L1666" t="s">
        <v>65</v>
      </c>
      <c r="M1666" t="s">
        <v>84</v>
      </c>
      <c r="N1666" t="str">
        <f>INDEX(Products!B:B,MATCH(OrdersTable[[#This Row],[Product ID]],Products!A:A,0))</f>
        <v>Cotton Bedsheet</v>
      </c>
      <c r="O1666" t="str">
        <f>INDEX(Products!C:C,MATCH(OrdersTable[[#This Row],[Product ID]],Products!A:A,0))</f>
        <v>Home &amp; Kitchen</v>
      </c>
      <c r="P1666">
        <v>1</v>
      </c>
      <c r="Q1666" s="5">
        <v>1299</v>
      </c>
      <c r="R1666" s="74">
        <v>0.1</v>
      </c>
      <c r="S1666" s="75">
        <f>OrdersTable[[#This Row],[Quantity]]*OrdersTable[[#This Row],[Unit Price]]</f>
        <v>1299</v>
      </c>
      <c r="T1666" s="5">
        <f>OrdersTable[[#This Row],[Gross Sale]]*OrdersTable[[#This Row],[Discount_Clean2]]</f>
        <v>129.9</v>
      </c>
      <c r="U1666" s="5">
        <f>OrdersTable[[#This Row],[Gross Sale]]-OrdersTable[[#This Row],[Discount Amount]]</f>
        <v>1169.0999999999999</v>
      </c>
      <c r="V1666" s="77">
        <f>INDEX(Products!E:E,MATCH(OrdersTable[[#This Row],[Product ID]],Products!A:A,0))</f>
        <v>585</v>
      </c>
      <c r="W1666" s="77">
        <f>OrdersTable[[#This Row],[Quantity]]*OrdersTable[[#This Row],[Unit Cost]]</f>
        <v>585</v>
      </c>
      <c r="X1666" s="77">
        <f>'Dropdown Lists'!$I$2*(1+OrdersTable[[#This Row],[Returned]])</f>
        <v>60</v>
      </c>
      <c r="Y1666" s="76">
        <f>OrdersTable[[#This Row],[Net Revenue]]-OrdersTable[[#This Row],[COGS]]-OrdersTable[[#This Row],[Shipping Cost]]</f>
        <v>524.09999999999991</v>
      </c>
      <c r="Z1666" s="78">
        <f>IFERROR(OrdersTable[[#This Row],[Profit]]/OrdersTable[[#This Row],[Net Revenue]],0)</f>
        <v>0.44829355914806257</v>
      </c>
      <c r="AA1666" t="s">
        <v>18</v>
      </c>
      <c r="AB1666" s="79">
        <v>45601</v>
      </c>
      <c r="AC1666">
        <f>OrdersTable[[#This Row],[Delivery Date]]-OrdersTable[[#This Row],[Order Date]]</f>
        <v>6</v>
      </c>
      <c r="AD1666" t="str">
        <f>IF(OrdersTable[[#This Row],[Delivery Days]]&lt;=2, "Express (≤2d)", IF(OrdersTable[[#This Row],[Delivery Days]]&lt;=4, "Standard (3-4d)", "Delayed (5d+)"))</f>
        <v>Delayed (5d+)</v>
      </c>
      <c r="AE1666">
        <v>5</v>
      </c>
      <c r="AF1666">
        <v>0</v>
      </c>
    </row>
    <row r="1667" spans="1:32" ht="15" x14ac:dyDescent="0.35">
      <c r="A1667" t="s">
        <v>6871</v>
      </c>
      <c r="B1667" s="1">
        <v>45595</v>
      </c>
      <c r="C1667">
        <f>YEAR(OrdersTable[[#This Row],[Order Date]])</f>
        <v>2024</v>
      </c>
      <c r="D1667" s="2">
        <f>DATE(YEAR(OrdersTable[[#This Row],[Order Date]]),MONTH(OrdersTable[[#This Row],[Order Date]]),1)</f>
        <v>45566</v>
      </c>
      <c r="E1667">
        <f>MONTH(OrdersTable[[#This Row],[Order Date]])</f>
        <v>10</v>
      </c>
      <c r="F1667" t="s">
        <v>508</v>
      </c>
      <c r="G1667" t="str">
        <f>IF(OrdersTable[[#This Row],[Order Date]]=_xlfn.MINIFS(Order_Date, Customer_ID, OrdersTable[[#This Row],[Customer ID]]), "New", "Repeat")</f>
        <v>Repeat</v>
      </c>
      <c r="H1667" t="s">
        <v>123</v>
      </c>
      <c r="I1667" t="str">
        <f>INDEX(State!B:B,MATCH(OrdersTable[[#This Row],[State]],State!A:A,0))</f>
        <v>JH</v>
      </c>
      <c r="J1667" t="str">
        <f>INDEX(State!C:C,MATCH(OrdersTable[[#This Row],[State Code]],State!B:B,0))</f>
        <v>East</v>
      </c>
      <c r="K1667" t="s">
        <v>124</v>
      </c>
      <c r="L1667" t="s">
        <v>23</v>
      </c>
      <c r="M1667" t="s">
        <v>179</v>
      </c>
      <c r="N1667" t="str">
        <f>INDEX(Products!B:B,MATCH(OrdersTable[[#This Row],[Product ID]],Products!A:A,0))</f>
        <v>Whey Protein 1kg</v>
      </c>
      <c r="O1667" t="str">
        <f>INDEX(Products!C:C,MATCH(OrdersTable[[#This Row],[Product ID]],Products!A:A,0))</f>
        <v>Wellness</v>
      </c>
      <c r="P1667">
        <v>3</v>
      </c>
      <c r="Q1667" s="5">
        <v>2299</v>
      </c>
      <c r="R1667" s="74">
        <v>0.45</v>
      </c>
      <c r="S1667" s="75">
        <f>OrdersTable[[#This Row],[Quantity]]*OrdersTable[[#This Row],[Unit Price]]</f>
        <v>6897</v>
      </c>
      <c r="T1667" s="5">
        <f>OrdersTable[[#This Row],[Gross Sale]]*OrdersTable[[#This Row],[Discount_Clean2]]</f>
        <v>3103.65</v>
      </c>
      <c r="U1667" s="5">
        <f>OrdersTable[[#This Row],[Gross Sale]]-OrdersTable[[#This Row],[Discount Amount]]</f>
        <v>3793.35</v>
      </c>
      <c r="V1667" s="77">
        <f>INDEX(Products!E:E,MATCH(OrdersTable[[#This Row],[Product ID]],Products!A:A,0))</f>
        <v>1333</v>
      </c>
      <c r="W1667" s="77">
        <f>OrdersTable[[#This Row],[Quantity]]*OrdersTable[[#This Row],[Unit Cost]]</f>
        <v>3999</v>
      </c>
      <c r="X1667" s="77">
        <f>'Dropdown Lists'!$I$2*(1+OrdersTable[[#This Row],[Returned]])</f>
        <v>60</v>
      </c>
      <c r="Y1667" s="76">
        <f>OrdersTable[[#This Row],[Net Revenue]]-OrdersTable[[#This Row],[COGS]]-OrdersTable[[#This Row],[Shipping Cost]]</f>
        <v>-265.65000000000009</v>
      </c>
      <c r="Z1667" s="78">
        <f>IFERROR(OrdersTable[[#This Row],[Profit]]/OrdersTable[[#This Row],[Net Revenue]],0)</f>
        <v>-7.0030448020878669E-2</v>
      </c>
      <c r="AA1667" t="s">
        <v>4074</v>
      </c>
      <c r="AB1667" s="79">
        <v>45600</v>
      </c>
      <c r="AC1667">
        <f>OrdersTable[[#This Row],[Delivery Date]]-OrdersTable[[#This Row],[Order Date]]</f>
        <v>5</v>
      </c>
      <c r="AD1667" t="str">
        <f>IF(OrdersTable[[#This Row],[Delivery Days]]&lt;=2, "Express (≤2d)", IF(OrdersTable[[#This Row],[Delivery Days]]&lt;=4, "Standard (3-4d)", "Delayed (5d+)"))</f>
        <v>Delayed (5d+)</v>
      </c>
      <c r="AE1667">
        <v>3</v>
      </c>
      <c r="AF1667">
        <v>0</v>
      </c>
    </row>
    <row r="1668" spans="1:32" ht="15" x14ac:dyDescent="0.35">
      <c r="A1668" t="s">
        <v>6693</v>
      </c>
      <c r="B1668" s="1">
        <v>45595</v>
      </c>
      <c r="C1668">
        <f>YEAR(OrdersTable[[#This Row],[Order Date]])</f>
        <v>2024</v>
      </c>
      <c r="D1668" s="2">
        <f>DATE(YEAR(OrdersTable[[#This Row],[Order Date]]),MONTH(OrdersTable[[#This Row],[Order Date]]),1)</f>
        <v>45566</v>
      </c>
      <c r="E1668">
        <f>MONTH(OrdersTable[[#This Row],[Order Date]])</f>
        <v>10</v>
      </c>
      <c r="F1668" t="s">
        <v>4862</v>
      </c>
      <c r="G1668" t="str">
        <f>IF(OrdersTable[[#This Row],[Order Date]]=_xlfn.MINIFS(Order_Date, Customer_ID, OrdersTable[[#This Row],[Customer ID]]), "New", "Repeat")</f>
        <v>Repeat</v>
      </c>
      <c r="H1668" t="s">
        <v>275</v>
      </c>
      <c r="I1668" t="str">
        <f>INDEX(State!B:B,MATCH(OrdersTable[[#This Row],[State]],State!A:A,0))</f>
        <v>AP</v>
      </c>
      <c r="J1668" t="str">
        <f>INDEX(State!C:C,MATCH(OrdersTable[[#This Row],[State Code]],State!B:B,0))</f>
        <v>South</v>
      </c>
      <c r="K1668" t="s">
        <v>491</v>
      </c>
      <c r="L1668" t="s">
        <v>23</v>
      </c>
      <c r="M1668" t="s">
        <v>106</v>
      </c>
      <c r="N1668" t="str">
        <f>INDEX(Products!B:B,MATCH(OrdersTable[[#This Row],[Product ID]],Products!A:A,0))</f>
        <v>Keratin Hair Mask</v>
      </c>
      <c r="O1668" t="str">
        <f>INDEX(Products!C:C,MATCH(OrdersTable[[#This Row],[Product ID]],Products!A:A,0))</f>
        <v>Haircare</v>
      </c>
      <c r="P1668">
        <v>3</v>
      </c>
      <c r="Q1668" s="5">
        <v>549</v>
      </c>
      <c r="R1668" s="74">
        <v>0.4</v>
      </c>
      <c r="S1668" s="75">
        <f>OrdersTable[[#This Row],[Quantity]]*OrdersTable[[#This Row],[Unit Price]]</f>
        <v>1647</v>
      </c>
      <c r="T1668" s="5">
        <f>OrdersTable[[#This Row],[Gross Sale]]*OrdersTable[[#This Row],[Discount_Clean2]]</f>
        <v>658.80000000000007</v>
      </c>
      <c r="U1668" s="5">
        <f>OrdersTable[[#This Row],[Gross Sale]]-OrdersTable[[#This Row],[Discount Amount]]</f>
        <v>988.19999999999993</v>
      </c>
      <c r="V1668" s="77">
        <f>INDEX(Products!E:E,MATCH(OrdersTable[[#This Row],[Product ID]],Products!A:A,0))</f>
        <v>170</v>
      </c>
      <c r="W1668" s="77">
        <f>OrdersTable[[#This Row],[Quantity]]*OrdersTable[[#This Row],[Unit Cost]]</f>
        <v>510</v>
      </c>
      <c r="X1668" s="77">
        <f>'Dropdown Lists'!$I$2*(1+OrdersTable[[#This Row],[Returned]])</f>
        <v>60</v>
      </c>
      <c r="Y1668" s="76">
        <f>OrdersTable[[#This Row],[Net Revenue]]-OrdersTable[[#This Row],[COGS]]-OrdersTable[[#This Row],[Shipping Cost]]</f>
        <v>418.19999999999993</v>
      </c>
      <c r="Z1668" s="78">
        <f>IFERROR(OrdersTable[[#This Row],[Profit]]/OrdersTable[[#This Row],[Net Revenue]],0)</f>
        <v>0.4231936854887674</v>
      </c>
      <c r="AA1668" t="s">
        <v>2522</v>
      </c>
      <c r="AB1668" s="79">
        <v>45600</v>
      </c>
      <c r="AC1668">
        <f>OrdersTable[[#This Row],[Delivery Date]]-OrdersTable[[#This Row],[Order Date]]</f>
        <v>5</v>
      </c>
      <c r="AD1668" t="str">
        <f>IF(OrdersTable[[#This Row],[Delivery Days]]&lt;=2, "Express (≤2d)", IF(OrdersTable[[#This Row],[Delivery Days]]&lt;=4, "Standard (3-4d)", "Delayed (5d+)"))</f>
        <v>Delayed (5d+)</v>
      </c>
      <c r="AE1668">
        <v>4</v>
      </c>
      <c r="AF1668">
        <v>0</v>
      </c>
    </row>
    <row r="1669" spans="1:32" ht="15" x14ac:dyDescent="0.35">
      <c r="A1669" t="s">
        <v>5361</v>
      </c>
      <c r="B1669" s="1">
        <v>45596</v>
      </c>
      <c r="C1669">
        <f>YEAR(OrdersTable[[#This Row],[Order Date]])</f>
        <v>2024</v>
      </c>
      <c r="D1669" s="2">
        <f>DATE(YEAR(OrdersTable[[#This Row],[Order Date]]),MONTH(OrdersTable[[#This Row],[Order Date]]),1)</f>
        <v>45566</v>
      </c>
      <c r="E1669">
        <f>MONTH(OrdersTable[[#This Row],[Order Date]])</f>
        <v>10</v>
      </c>
      <c r="F1669" t="s">
        <v>1708</v>
      </c>
      <c r="G1669" t="str">
        <f>IF(OrdersTable[[#This Row],[Order Date]]=_xlfn.MINIFS(Order_Date, Customer_ID, OrdersTable[[#This Row],[Customer ID]]), "New", "Repeat")</f>
        <v>New</v>
      </c>
      <c r="H1669" t="s">
        <v>128</v>
      </c>
      <c r="I1669" t="str">
        <f>INDEX(State!B:B,MATCH(OrdersTable[[#This Row],[State]],State!A:A,0))</f>
        <v>DL</v>
      </c>
      <c r="J1669" t="str">
        <f>INDEX(State!C:C,MATCH(OrdersTable[[#This Row],[State Code]],State!B:B,0))</f>
        <v>North</v>
      </c>
      <c r="K1669" t="s">
        <v>129</v>
      </c>
      <c r="L1669" t="s">
        <v>39</v>
      </c>
      <c r="M1669" t="s">
        <v>87</v>
      </c>
      <c r="N1669" t="str">
        <f>INDEX(Products!B:B,MATCH(OrdersTable[[#This Row],[Product ID]],Products!A:A,0))</f>
        <v>Linen Kurta</v>
      </c>
      <c r="O1669" t="str">
        <f>INDEX(Products!C:C,MATCH(OrdersTable[[#This Row],[Product ID]],Products!A:A,0))</f>
        <v>Apparel</v>
      </c>
      <c r="P1669">
        <v>2</v>
      </c>
      <c r="Q1669" s="5">
        <v>1499</v>
      </c>
      <c r="R1669" s="74">
        <v>0.35</v>
      </c>
      <c r="S1669" s="75">
        <f>OrdersTable[[#This Row],[Quantity]]*OrdersTable[[#This Row],[Unit Price]]</f>
        <v>2998</v>
      </c>
      <c r="T1669" s="5">
        <f>OrdersTable[[#This Row],[Gross Sale]]*OrdersTable[[#This Row],[Discount_Clean2]]</f>
        <v>1049.3</v>
      </c>
      <c r="U1669" s="5">
        <f>OrdersTable[[#This Row],[Gross Sale]]-OrdersTable[[#This Row],[Discount Amount]]</f>
        <v>1948.7</v>
      </c>
      <c r="V1669" s="77">
        <f>INDEX(Products!E:E,MATCH(OrdersTable[[#This Row],[Product ID]],Products!A:A,0))</f>
        <v>630</v>
      </c>
      <c r="W1669" s="77">
        <f>OrdersTable[[#This Row],[Quantity]]*OrdersTable[[#This Row],[Unit Cost]]</f>
        <v>1260</v>
      </c>
      <c r="X1669" s="77">
        <f>'Dropdown Lists'!$I$2*(1+OrdersTable[[#This Row],[Returned]])</f>
        <v>60</v>
      </c>
      <c r="Y1669" s="76">
        <f>OrdersTable[[#This Row],[Net Revenue]]-OrdersTable[[#This Row],[COGS]]-OrdersTable[[#This Row],[Shipping Cost]]</f>
        <v>628.70000000000005</v>
      </c>
      <c r="Z1669" s="78">
        <f>IFERROR(OrdersTable[[#This Row],[Profit]]/OrdersTable[[#This Row],[Net Revenue]],0)</f>
        <v>0.32262533997023657</v>
      </c>
      <c r="AA1669" t="s">
        <v>2522</v>
      </c>
      <c r="AB1669" s="79">
        <v>45600</v>
      </c>
      <c r="AC1669">
        <f>OrdersTable[[#This Row],[Delivery Date]]-OrdersTable[[#This Row],[Order Date]]</f>
        <v>4</v>
      </c>
      <c r="AD1669" t="str">
        <f>IF(OrdersTable[[#This Row],[Delivery Days]]&lt;=2, "Express (≤2d)", IF(OrdersTable[[#This Row],[Delivery Days]]&lt;=4, "Standard (3-4d)", "Delayed (5d+)"))</f>
        <v>Standard (3-4d)</v>
      </c>
      <c r="AF1669">
        <v>0</v>
      </c>
    </row>
    <row r="1670" spans="1:32" ht="15" x14ac:dyDescent="0.35">
      <c r="A1670" t="s">
        <v>4683</v>
      </c>
      <c r="B1670" s="1">
        <v>45596</v>
      </c>
      <c r="C1670">
        <f>YEAR(OrdersTable[[#This Row],[Order Date]])</f>
        <v>2024</v>
      </c>
      <c r="D1670" s="2">
        <f>DATE(YEAR(OrdersTable[[#This Row],[Order Date]]),MONTH(OrdersTable[[#This Row],[Order Date]]),1)</f>
        <v>45566</v>
      </c>
      <c r="E1670">
        <f>MONTH(OrdersTable[[#This Row],[Order Date]])</f>
        <v>10</v>
      </c>
      <c r="F1670" t="s">
        <v>2680</v>
      </c>
      <c r="G1670" t="str">
        <f>IF(OrdersTable[[#This Row],[Order Date]]=_xlfn.MINIFS(Order_Date, Customer_ID, OrdersTable[[#This Row],[Customer ID]]), "New", "Repeat")</f>
        <v>New</v>
      </c>
      <c r="H1670" t="s">
        <v>43</v>
      </c>
      <c r="I1670" t="str">
        <f>INDEX(State!B:B,MATCH(OrdersTable[[#This Row],[State]],State!A:A,0))</f>
        <v>MP</v>
      </c>
      <c r="J1670" t="str">
        <f>INDEX(State!C:C,MATCH(OrdersTable[[#This Row],[State Code]],State!B:B,0))</f>
        <v>West</v>
      </c>
      <c r="K1670" t="s">
        <v>250</v>
      </c>
      <c r="L1670" t="s">
        <v>50</v>
      </c>
      <c r="M1670" t="s">
        <v>40</v>
      </c>
      <c r="N1670" t="str">
        <f>INDEX(Products!B:B,MATCH(OrdersTable[[#This Row],[Product ID]],Products!A:A,0))</f>
        <v>Ashwagandha Capsules</v>
      </c>
      <c r="O1670" t="str">
        <f>INDEX(Products!C:C,MATCH(OrdersTable[[#This Row],[Product ID]],Products!A:A,0))</f>
        <v>Wellness</v>
      </c>
      <c r="P1670">
        <v>1</v>
      </c>
      <c r="Q1670" s="5">
        <v>499</v>
      </c>
      <c r="R1670" s="74">
        <v>0.2</v>
      </c>
      <c r="S1670" s="75">
        <f>OrdersTable[[#This Row],[Quantity]]*OrdersTable[[#This Row],[Unit Price]]</f>
        <v>499</v>
      </c>
      <c r="T1670" s="5">
        <f>OrdersTable[[#This Row],[Gross Sale]]*OrdersTable[[#This Row],[Discount_Clean2]]</f>
        <v>99.800000000000011</v>
      </c>
      <c r="U1670" s="5">
        <f>OrdersTable[[#This Row],[Gross Sale]]-OrdersTable[[#This Row],[Discount Amount]]</f>
        <v>399.2</v>
      </c>
      <c r="V1670" s="77">
        <f>INDEX(Products!E:E,MATCH(OrdersTable[[#This Row],[Product ID]],Products!A:A,0))</f>
        <v>150</v>
      </c>
      <c r="W1670" s="77">
        <f>OrdersTable[[#This Row],[Quantity]]*OrdersTable[[#This Row],[Unit Cost]]</f>
        <v>150</v>
      </c>
      <c r="X1670" s="77">
        <f>'Dropdown Lists'!$I$2*(1+OrdersTable[[#This Row],[Returned]])</f>
        <v>60</v>
      </c>
      <c r="Y1670" s="76">
        <f>OrdersTable[[#This Row],[Net Revenue]]-OrdersTable[[#This Row],[COGS]]-OrdersTable[[#This Row],[Shipping Cost]]</f>
        <v>189.2</v>
      </c>
      <c r="Z1670" s="78">
        <f>IFERROR(OrdersTable[[#This Row],[Profit]]/OrdersTable[[#This Row],[Net Revenue]],0)</f>
        <v>0.47394789579158314</v>
      </c>
      <c r="AA1670" t="s">
        <v>4450</v>
      </c>
      <c r="AB1670" s="79">
        <v>45600</v>
      </c>
      <c r="AC1670">
        <f>OrdersTable[[#This Row],[Delivery Date]]-OrdersTable[[#This Row],[Order Date]]</f>
        <v>4</v>
      </c>
      <c r="AD1670" t="str">
        <f>IF(OrdersTable[[#This Row],[Delivery Days]]&lt;=2, "Express (≤2d)", IF(OrdersTable[[#This Row],[Delivery Days]]&lt;=4, "Standard (3-4d)", "Delayed (5d+)"))</f>
        <v>Standard (3-4d)</v>
      </c>
      <c r="AE1670">
        <v>3</v>
      </c>
      <c r="AF1670">
        <v>0</v>
      </c>
    </row>
    <row r="1671" spans="1:32" ht="15" x14ac:dyDescent="0.35">
      <c r="A1671" t="s">
        <v>2110</v>
      </c>
      <c r="B1671" s="1">
        <v>45596</v>
      </c>
      <c r="C1671">
        <f>YEAR(OrdersTable[[#This Row],[Order Date]])</f>
        <v>2024</v>
      </c>
      <c r="D1671" s="2">
        <f>DATE(YEAR(OrdersTable[[#This Row],[Order Date]]),MONTH(OrdersTable[[#This Row],[Order Date]]),1)</f>
        <v>45566</v>
      </c>
      <c r="E1671">
        <f>MONTH(OrdersTable[[#This Row],[Order Date]])</f>
        <v>10</v>
      </c>
      <c r="F1671" t="s">
        <v>2111</v>
      </c>
      <c r="G1671" t="str">
        <f>IF(OrdersTable[[#This Row],[Order Date]]=_xlfn.MINIFS(Order_Date, Customer_ID, OrdersTable[[#This Row],[Customer ID]]), "New", "Repeat")</f>
        <v>New</v>
      </c>
      <c r="H1671" t="s">
        <v>43</v>
      </c>
      <c r="I1671" t="str">
        <f>INDEX(State!B:B,MATCH(OrdersTable[[#This Row],[State]],State!A:A,0))</f>
        <v>MP</v>
      </c>
      <c r="J1671" t="str">
        <f>INDEX(State!C:C,MATCH(OrdersTable[[#This Row],[State Code]],State!B:B,0))</f>
        <v>West</v>
      </c>
      <c r="K1671" t="s">
        <v>250</v>
      </c>
      <c r="L1671" t="s">
        <v>65</v>
      </c>
      <c r="M1671" t="s">
        <v>51</v>
      </c>
      <c r="N1671" t="str">
        <f>INDEX(Products!B:B,MATCH(OrdersTable[[#This Row],[Product ID]],Products!A:A,0))</f>
        <v>Anti-Dandruff Conditioner</v>
      </c>
      <c r="O1671" t="str">
        <f>INDEX(Products!C:C,MATCH(OrdersTable[[#This Row],[Product ID]],Products!A:A,0))</f>
        <v>Haircare</v>
      </c>
      <c r="P1671">
        <v>1</v>
      </c>
      <c r="Q1671" s="5">
        <v>399</v>
      </c>
      <c r="R1671" s="74">
        <v>0.45</v>
      </c>
      <c r="S1671" s="75">
        <f>OrdersTable[[#This Row],[Quantity]]*OrdersTable[[#This Row],[Unit Price]]</f>
        <v>399</v>
      </c>
      <c r="T1671" s="5">
        <f>OrdersTable[[#This Row],[Gross Sale]]*OrdersTable[[#This Row],[Discount_Clean2]]</f>
        <v>179.55</v>
      </c>
      <c r="U1671" s="5">
        <f>OrdersTable[[#This Row],[Gross Sale]]-OrdersTable[[#This Row],[Discount Amount]]</f>
        <v>219.45</v>
      </c>
      <c r="V1671" s="77">
        <f>INDEX(Products!E:E,MATCH(OrdersTable[[#This Row],[Product ID]],Products!A:A,0))</f>
        <v>136</v>
      </c>
      <c r="W1671" s="77">
        <f>OrdersTable[[#This Row],[Quantity]]*OrdersTable[[#This Row],[Unit Cost]]</f>
        <v>136</v>
      </c>
      <c r="X1671" s="77">
        <f>'Dropdown Lists'!$I$2*(1+OrdersTable[[#This Row],[Returned]])</f>
        <v>60</v>
      </c>
      <c r="Y1671" s="76">
        <f>OrdersTable[[#This Row],[Net Revenue]]-OrdersTable[[#This Row],[COGS]]-OrdersTable[[#This Row],[Shipping Cost]]</f>
        <v>23.449999999999989</v>
      </c>
      <c r="Z1671" s="78">
        <f>IFERROR(OrdersTable[[#This Row],[Profit]]/OrdersTable[[#This Row],[Net Revenue]],0)</f>
        <v>0.10685805422647524</v>
      </c>
      <c r="AA1671" t="s">
        <v>18</v>
      </c>
      <c r="AB1671" s="79">
        <v>45600</v>
      </c>
      <c r="AC1671">
        <f>OrdersTable[[#This Row],[Delivery Date]]-OrdersTable[[#This Row],[Order Date]]</f>
        <v>4</v>
      </c>
      <c r="AD1671" t="str">
        <f>IF(OrdersTable[[#This Row],[Delivery Days]]&lt;=2, "Express (≤2d)", IF(OrdersTable[[#This Row],[Delivery Days]]&lt;=4, "Standard (3-4d)", "Delayed (5d+)"))</f>
        <v>Standard (3-4d)</v>
      </c>
      <c r="AE1671">
        <v>3</v>
      </c>
      <c r="AF1671">
        <v>0</v>
      </c>
    </row>
    <row r="1672" spans="1:32" ht="15" x14ac:dyDescent="0.35">
      <c r="A1672" t="s">
        <v>4369</v>
      </c>
      <c r="B1672" s="1">
        <v>45596</v>
      </c>
      <c r="C1672">
        <f>YEAR(OrdersTable[[#This Row],[Order Date]])</f>
        <v>2024</v>
      </c>
      <c r="D1672" s="2">
        <f>DATE(YEAR(OrdersTable[[#This Row],[Order Date]]),MONTH(OrdersTable[[#This Row],[Order Date]]),1)</f>
        <v>45566</v>
      </c>
      <c r="E1672">
        <f>MONTH(OrdersTable[[#This Row],[Order Date]])</f>
        <v>10</v>
      </c>
      <c r="F1672" t="s">
        <v>4370</v>
      </c>
      <c r="G1672" t="str">
        <f>IF(OrdersTable[[#This Row],[Order Date]]=_xlfn.MINIFS(Order_Date, Customer_ID, OrdersTable[[#This Row],[Customer ID]]), "New", "Repeat")</f>
        <v>New</v>
      </c>
      <c r="H1672" t="s">
        <v>71</v>
      </c>
      <c r="I1672" t="str">
        <f>INDEX(State!B:B,MATCH(OrdersTable[[#This Row],[State]],State!A:A,0))</f>
        <v>MH</v>
      </c>
      <c r="J1672" t="str">
        <f>INDEX(State!C:C,MATCH(OrdersTable[[#This Row],[State Code]],State!B:B,0))</f>
        <v>West</v>
      </c>
      <c r="K1672" t="s">
        <v>102</v>
      </c>
      <c r="L1672" t="s">
        <v>23</v>
      </c>
      <c r="M1672" t="s">
        <v>45</v>
      </c>
      <c r="N1672" t="str">
        <f>INDEX(Products!B:B,MATCH(OrdersTable[[#This Row],[Product ID]],Products!A:A,0))</f>
        <v>Argan Shampoo</v>
      </c>
      <c r="O1672" t="str">
        <f>INDEX(Products!C:C,MATCH(OrdersTable[[#This Row],[Product ID]],Products!A:A,0))</f>
        <v>Haircare</v>
      </c>
      <c r="P1672">
        <v>1</v>
      </c>
      <c r="Q1672" s="5">
        <v>449</v>
      </c>
      <c r="R1672" s="74">
        <v>0.25</v>
      </c>
      <c r="S1672" s="75">
        <f>OrdersTable[[#This Row],[Quantity]]*OrdersTable[[#This Row],[Unit Price]]</f>
        <v>449</v>
      </c>
      <c r="T1672" s="5">
        <f>OrdersTable[[#This Row],[Gross Sale]]*OrdersTable[[#This Row],[Discount_Clean2]]</f>
        <v>112.25</v>
      </c>
      <c r="U1672" s="5">
        <f>OrdersTable[[#This Row],[Gross Sale]]-OrdersTable[[#This Row],[Discount Amount]]</f>
        <v>336.75</v>
      </c>
      <c r="V1672" s="77">
        <f>INDEX(Products!E:E,MATCH(OrdersTable[[#This Row],[Product ID]],Products!A:A,0))</f>
        <v>148</v>
      </c>
      <c r="W1672" s="77">
        <f>OrdersTable[[#This Row],[Quantity]]*OrdersTable[[#This Row],[Unit Cost]]</f>
        <v>148</v>
      </c>
      <c r="X1672" s="77">
        <f>'Dropdown Lists'!$I$2*(1+OrdersTable[[#This Row],[Returned]])</f>
        <v>60</v>
      </c>
      <c r="Y1672" s="76">
        <f>OrdersTable[[#This Row],[Net Revenue]]-OrdersTable[[#This Row],[COGS]]-OrdersTable[[#This Row],[Shipping Cost]]</f>
        <v>128.75</v>
      </c>
      <c r="Z1672" s="78">
        <f>IFERROR(OrdersTable[[#This Row],[Profit]]/OrdersTable[[#This Row],[Net Revenue]],0)</f>
        <v>0.38233110616184113</v>
      </c>
      <c r="AA1672" t="s">
        <v>4074</v>
      </c>
      <c r="AB1672" s="79">
        <v>45599</v>
      </c>
      <c r="AC1672">
        <f>OrdersTable[[#This Row],[Delivery Date]]-OrdersTable[[#This Row],[Order Date]]</f>
        <v>3</v>
      </c>
      <c r="AD1672" t="str">
        <f>IF(OrdersTable[[#This Row],[Delivery Days]]&lt;=2, "Express (≤2d)", IF(OrdersTable[[#This Row],[Delivery Days]]&lt;=4, "Standard (3-4d)", "Delayed (5d+)"))</f>
        <v>Standard (3-4d)</v>
      </c>
      <c r="AE1672">
        <v>4</v>
      </c>
      <c r="AF1672">
        <v>0</v>
      </c>
    </row>
    <row r="1673" spans="1:32" ht="15" x14ac:dyDescent="0.35">
      <c r="A1673" t="s">
        <v>5362</v>
      </c>
      <c r="B1673" s="1">
        <v>45596</v>
      </c>
      <c r="C1673">
        <f>YEAR(OrdersTable[[#This Row],[Order Date]])</f>
        <v>2024</v>
      </c>
      <c r="D1673" s="2">
        <f>DATE(YEAR(OrdersTable[[#This Row],[Order Date]]),MONTH(OrdersTable[[#This Row],[Order Date]]),1)</f>
        <v>45566</v>
      </c>
      <c r="E1673">
        <f>MONTH(OrdersTable[[#This Row],[Order Date]])</f>
        <v>10</v>
      </c>
      <c r="F1673" t="s">
        <v>5363</v>
      </c>
      <c r="G1673" t="str">
        <f>IF(OrdersTable[[#This Row],[Order Date]]=_xlfn.MINIFS(Order_Date, Customer_ID, OrdersTable[[#This Row],[Customer ID]]), "New", "Repeat")</f>
        <v>New</v>
      </c>
      <c r="H1673" t="s">
        <v>167</v>
      </c>
      <c r="I1673" t="str">
        <f>INDEX(State!B:B,MATCH(OrdersTable[[#This Row],[State]],State!A:A,0))</f>
        <v>KA</v>
      </c>
      <c r="J1673" t="str">
        <f>INDEX(State!C:C,MATCH(OrdersTable[[#This Row],[State Code]],State!B:B,0))</f>
        <v>South</v>
      </c>
      <c r="K1673" t="s">
        <v>190</v>
      </c>
      <c r="L1673" t="s">
        <v>65</v>
      </c>
      <c r="M1673" t="s">
        <v>24</v>
      </c>
      <c r="N1673" t="str">
        <f>INDEX(Products!B:B,MATCH(OrdersTable[[#This Row],[Product ID]],Products!A:A,0))</f>
        <v>Scented Candle Set</v>
      </c>
      <c r="O1673" t="str">
        <f>INDEX(Products!C:C,MATCH(OrdersTable[[#This Row],[Product ID]],Products!A:A,0))</f>
        <v>Home &amp; Kitchen</v>
      </c>
      <c r="P1673">
        <v>2</v>
      </c>
      <c r="Q1673" s="5">
        <v>699</v>
      </c>
      <c r="R1673" s="74">
        <v>0.4</v>
      </c>
      <c r="S1673" s="75">
        <f>OrdersTable[[#This Row],[Quantity]]*OrdersTable[[#This Row],[Unit Price]]</f>
        <v>1398</v>
      </c>
      <c r="T1673" s="5">
        <f>OrdersTable[[#This Row],[Gross Sale]]*OrdersTable[[#This Row],[Discount_Clean2]]</f>
        <v>559.20000000000005</v>
      </c>
      <c r="U1673" s="5">
        <f>OrdersTable[[#This Row],[Gross Sale]]-OrdersTable[[#This Row],[Discount Amount]]</f>
        <v>838.8</v>
      </c>
      <c r="V1673" s="77">
        <f>INDEX(Products!E:E,MATCH(OrdersTable[[#This Row],[Product ID]],Products!A:A,0))</f>
        <v>245</v>
      </c>
      <c r="W1673" s="77">
        <f>OrdersTable[[#This Row],[Quantity]]*OrdersTable[[#This Row],[Unit Cost]]</f>
        <v>490</v>
      </c>
      <c r="X1673" s="77">
        <f>'Dropdown Lists'!$I$2*(1+OrdersTable[[#This Row],[Returned]])</f>
        <v>60</v>
      </c>
      <c r="Y1673" s="76">
        <f>OrdersTable[[#This Row],[Net Revenue]]-OrdersTable[[#This Row],[COGS]]-OrdersTable[[#This Row],[Shipping Cost]]</f>
        <v>288.79999999999995</v>
      </c>
      <c r="Z1673" s="78">
        <f>IFERROR(OrdersTable[[#This Row],[Profit]]/OrdersTable[[#This Row],[Net Revenue]],0)</f>
        <v>0.34430138292799234</v>
      </c>
      <c r="AA1673" t="s">
        <v>2522</v>
      </c>
      <c r="AB1673" s="79">
        <v>45599</v>
      </c>
      <c r="AC1673">
        <f>OrdersTable[[#This Row],[Delivery Date]]-OrdersTable[[#This Row],[Order Date]]</f>
        <v>3</v>
      </c>
      <c r="AD1673" t="str">
        <f>IF(OrdersTable[[#This Row],[Delivery Days]]&lt;=2, "Express (≤2d)", IF(OrdersTable[[#This Row],[Delivery Days]]&lt;=4, "Standard (3-4d)", "Delayed (5d+)"))</f>
        <v>Standard (3-4d)</v>
      </c>
      <c r="AF1673">
        <v>0</v>
      </c>
    </row>
    <row r="1674" spans="1:32" ht="15" x14ac:dyDescent="0.35">
      <c r="A1674" t="s">
        <v>5903</v>
      </c>
      <c r="B1674" s="1">
        <v>45596</v>
      </c>
      <c r="C1674">
        <f>YEAR(OrdersTable[[#This Row],[Order Date]])</f>
        <v>2024</v>
      </c>
      <c r="D1674" s="2">
        <f>DATE(YEAR(OrdersTable[[#This Row],[Order Date]]),MONTH(OrdersTable[[#This Row],[Order Date]]),1)</f>
        <v>45566</v>
      </c>
      <c r="E1674">
        <f>MONTH(OrdersTable[[#This Row],[Order Date]])</f>
        <v>10</v>
      </c>
      <c r="F1674" t="s">
        <v>3134</v>
      </c>
      <c r="G1674" t="str">
        <f>IF(OrdersTable[[#This Row],[Order Date]]=_xlfn.MINIFS(Order_Date, Customer_ID, OrdersTable[[#This Row],[Customer ID]]), "New", "Repeat")</f>
        <v>New</v>
      </c>
      <c r="H1674" t="s">
        <v>275</v>
      </c>
      <c r="I1674" t="str">
        <f>INDEX(State!B:B,MATCH(OrdersTable[[#This Row],[State]],State!A:A,0))</f>
        <v>AP</v>
      </c>
      <c r="J1674" t="str">
        <f>INDEX(State!C:C,MATCH(OrdersTable[[#This Row],[State Code]],State!B:B,0))</f>
        <v>South</v>
      </c>
      <c r="K1674" t="s">
        <v>276</v>
      </c>
      <c r="L1674" t="s">
        <v>50</v>
      </c>
      <c r="M1674" t="s">
        <v>56</v>
      </c>
      <c r="N1674" t="str">
        <f>INDEX(Products!B:B,MATCH(OrdersTable[[#This Row],[Product ID]],Products!A:A,0))</f>
        <v>Vitamin C Face Serum</v>
      </c>
      <c r="O1674" t="str">
        <f>INDEX(Products!C:C,MATCH(OrdersTable[[#This Row],[Product ID]],Products!A:A,0))</f>
        <v>Skincare</v>
      </c>
      <c r="P1674">
        <v>2</v>
      </c>
      <c r="Q1674" s="5">
        <v>599</v>
      </c>
      <c r="R1674" s="74">
        <v>0.3</v>
      </c>
      <c r="S1674" s="75">
        <f>OrdersTable[[#This Row],[Quantity]]*OrdersTable[[#This Row],[Unit Price]]</f>
        <v>1198</v>
      </c>
      <c r="T1674" s="5">
        <f>OrdersTable[[#This Row],[Gross Sale]]*OrdersTable[[#This Row],[Discount_Clean2]]</f>
        <v>359.4</v>
      </c>
      <c r="U1674" s="5">
        <f>OrdersTable[[#This Row],[Gross Sale]]-OrdersTable[[#This Row],[Discount Amount]]</f>
        <v>838.6</v>
      </c>
      <c r="V1674" s="77">
        <f>INDEX(Products!E:E,MATCH(OrdersTable[[#This Row],[Product ID]],Products!A:A,0))</f>
        <v>180</v>
      </c>
      <c r="W1674" s="77">
        <f>OrdersTable[[#This Row],[Quantity]]*OrdersTable[[#This Row],[Unit Cost]]</f>
        <v>360</v>
      </c>
      <c r="X1674" s="77">
        <f>'Dropdown Lists'!$I$2*(1+OrdersTable[[#This Row],[Returned]])</f>
        <v>60</v>
      </c>
      <c r="Y1674" s="76">
        <f>OrdersTable[[#This Row],[Net Revenue]]-OrdersTable[[#This Row],[COGS]]-OrdersTable[[#This Row],[Shipping Cost]]</f>
        <v>418.6</v>
      </c>
      <c r="Z1674" s="78">
        <f>IFERROR(OrdersTable[[#This Row],[Profit]]/OrdersTable[[#This Row],[Net Revenue]],0)</f>
        <v>0.4991652754590985</v>
      </c>
      <c r="AA1674" t="s">
        <v>18</v>
      </c>
      <c r="AB1674" s="79">
        <v>45599</v>
      </c>
      <c r="AC1674">
        <f>OrdersTable[[#This Row],[Delivery Date]]-OrdersTable[[#This Row],[Order Date]]</f>
        <v>3</v>
      </c>
      <c r="AD1674" t="str">
        <f>IF(OrdersTable[[#This Row],[Delivery Days]]&lt;=2, "Express (≤2d)", IF(OrdersTable[[#This Row],[Delivery Days]]&lt;=4, "Standard (3-4d)", "Delayed (5d+)"))</f>
        <v>Standard (3-4d)</v>
      </c>
      <c r="AF1674">
        <v>0</v>
      </c>
    </row>
    <row r="1675" spans="1:32" ht="15" x14ac:dyDescent="0.35">
      <c r="A1675" t="s">
        <v>2328</v>
      </c>
      <c r="B1675" s="1">
        <v>45596</v>
      </c>
      <c r="C1675">
        <f>YEAR(OrdersTable[[#This Row],[Order Date]])</f>
        <v>2024</v>
      </c>
      <c r="D1675" s="2">
        <f>DATE(YEAR(OrdersTable[[#This Row],[Order Date]]),MONTH(OrdersTable[[#This Row],[Order Date]]),1)</f>
        <v>45566</v>
      </c>
      <c r="E1675">
        <f>MONTH(OrdersTable[[#This Row],[Order Date]])</f>
        <v>10</v>
      </c>
      <c r="F1675" t="s">
        <v>1281</v>
      </c>
      <c r="G1675" t="str">
        <f>IF(OrdersTable[[#This Row],[Order Date]]=_xlfn.MINIFS(Order_Date, Customer_ID, OrdersTable[[#This Row],[Customer ID]]), "New", "Repeat")</f>
        <v>New</v>
      </c>
      <c r="H1675" t="s">
        <v>275</v>
      </c>
      <c r="I1675" t="str">
        <f>INDEX(State!B:B,MATCH(OrdersTable[[#This Row],[State]],State!A:A,0))</f>
        <v>AP</v>
      </c>
      <c r="J1675" t="str">
        <f>INDEX(State!C:C,MATCH(OrdersTable[[#This Row],[State Code]],State!B:B,0))</f>
        <v>South</v>
      </c>
      <c r="K1675" t="s">
        <v>491</v>
      </c>
      <c r="L1675" t="s">
        <v>23</v>
      </c>
      <c r="M1675" t="s">
        <v>51</v>
      </c>
      <c r="N1675" t="str">
        <f>INDEX(Products!B:B,MATCH(OrdersTable[[#This Row],[Product ID]],Products!A:A,0))</f>
        <v>Anti-Dandruff Conditioner</v>
      </c>
      <c r="O1675" t="str">
        <f>INDEX(Products!C:C,MATCH(OrdersTable[[#This Row],[Product ID]],Products!A:A,0))</f>
        <v>Haircare</v>
      </c>
      <c r="P1675">
        <v>1</v>
      </c>
      <c r="Q1675" s="5">
        <v>399</v>
      </c>
      <c r="R1675" s="74">
        <v>0.5</v>
      </c>
      <c r="S1675" s="75">
        <f>OrdersTable[[#This Row],[Quantity]]*OrdersTable[[#This Row],[Unit Price]]</f>
        <v>399</v>
      </c>
      <c r="T1675" s="5">
        <f>OrdersTable[[#This Row],[Gross Sale]]*OrdersTable[[#This Row],[Discount_Clean2]]</f>
        <v>199.5</v>
      </c>
      <c r="U1675" s="5">
        <f>OrdersTable[[#This Row],[Gross Sale]]-OrdersTable[[#This Row],[Discount Amount]]</f>
        <v>199.5</v>
      </c>
      <c r="V1675" s="77">
        <f>INDEX(Products!E:E,MATCH(OrdersTable[[#This Row],[Product ID]],Products!A:A,0))</f>
        <v>136</v>
      </c>
      <c r="W1675" s="77">
        <f>OrdersTable[[#This Row],[Quantity]]*OrdersTable[[#This Row],[Unit Cost]]</f>
        <v>136</v>
      </c>
      <c r="X1675" s="77">
        <f>'Dropdown Lists'!$I$2*(1+OrdersTable[[#This Row],[Returned]])</f>
        <v>60</v>
      </c>
      <c r="Y1675" s="76">
        <f>OrdersTable[[#This Row],[Net Revenue]]-OrdersTable[[#This Row],[COGS]]-OrdersTable[[#This Row],[Shipping Cost]]</f>
        <v>3.5</v>
      </c>
      <c r="Z1675" s="78">
        <f>IFERROR(OrdersTable[[#This Row],[Profit]]/OrdersTable[[#This Row],[Net Revenue]],0)</f>
        <v>1.7543859649122806E-2</v>
      </c>
      <c r="AA1675" t="s">
        <v>18</v>
      </c>
      <c r="AB1675" s="79">
        <v>45599</v>
      </c>
      <c r="AC1675">
        <f>OrdersTable[[#This Row],[Delivery Date]]-OrdersTable[[#This Row],[Order Date]]</f>
        <v>3</v>
      </c>
      <c r="AD1675" t="str">
        <f>IF(OrdersTable[[#This Row],[Delivery Days]]&lt;=2, "Express (≤2d)", IF(OrdersTable[[#This Row],[Delivery Days]]&lt;=4, "Standard (3-4d)", "Delayed (5d+)"))</f>
        <v>Standard (3-4d)</v>
      </c>
      <c r="AE1675">
        <v>5</v>
      </c>
      <c r="AF1675">
        <v>0</v>
      </c>
    </row>
    <row r="1676" spans="1:32" ht="15" x14ac:dyDescent="0.35">
      <c r="A1676" t="s">
        <v>5592</v>
      </c>
      <c r="B1676" s="1">
        <v>45597</v>
      </c>
      <c r="C1676">
        <f>YEAR(OrdersTable[[#This Row],[Order Date]])</f>
        <v>2024</v>
      </c>
      <c r="D1676" s="2">
        <f>DATE(YEAR(OrdersTable[[#This Row],[Order Date]]),MONTH(OrdersTable[[#This Row],[Order Date]]),1)</f>
        <v>45597</v>
      </c>
      <c r="E1676">
        <f>MONTH(OrdersTable[[#This Row],[Order Date]])</f>
        <v>11</v>
      </c>
      <c r="F1676" t="s">
        <v>1081</v>
      </c>
      <c r="G1676" t="str">
        <f>IF(OrdersTable[[#This Row],[Order Date]]=_xlfn.MINIFS(Order_Date, Customer_ID, OrdersTable[[#This Row],[Customer ID]]), "New", "Repeat")</f>
        <v>Repeat</v>
      </c>
      <c r="H1676" t="s">
        <v>54</v>
      </c>
      <c r="I1676" t="str">
        <f>INDEX(State!B:B,MATCH(OrdersTable[[#This Row],[State]],State!A:A,0))</f>
        <v>RJ</v>
      </c>
      <c r="J1676" t="str">
        <f>INDEX(State!C:C,MATCH(OrdersTable[[#This Row],[State Code]],State!B:B,0))</f>
        <v>North</v>
      </c>
      <c r="K1676" t="s">
        <v>55</v>
      </c>
      <c r="L1676" t="s">
        <v>65</v>
      </c>
      <c r="M1676" t="s">
        <v>160</v>
      </c>
      <c r="N1676" t="str">
        <f>INDEX(Products!B:B,MATCH(OrdersTable[[#This Row],[Product ID]],Products!A:A,0))</f>
        <v>Niacinamide Toner</v>
      </c>
      <c r="O1676" t="str">
        <f>INDEX(Products!C:C,MATCH(OrdersTable[[#This Row],[Product ID]],Products!A:A,0))</f>
        <v>Skincare</v>
      </c>
      <c r="P1676">
        <v>2</v>
      </c>
      <c r="Q1676" s="5">
        <v>399</v>
      </c>
      <c r="R1676" s="74">
        <v>0.45</v>
      </c>
      <c r="S1676" s="75">
        <f>OrdersTable[[#This Row],[Quantity]]*OrdersTable[[#This Row],[Unit Price]]</f>
        <v>798</v>
      </c>
      <c r="T1676" s="5">
        <f>OrdersTable[[#This Row],[Gross Sale]]*OrdersTable[[#This Row],[Discount_Clean2]]</f>
        <v>359.1</v>
      </c>
      <c r="U1676" s="5">
        <f>OrdersTable[[#This Row],[Gross Sale]]-OrdersTable[[#This Row],[Discount Amount]]</f>
        <v>438.9</v>
      </c>
      <c r="V1676" s="77">
        <f>INDEX(Products!E:E,MATCH(OrdersTable[[#This Row],[Product ID]],Products!A:A,0))</f>
        <v>112</v>
      </c>
      <c r="W1676" s="77">
        <f>OrdersTable[[#This Row],[Quantity]]*OrdersTable[[#This Row],[Unit Cost]]</f>
        <v>224</v>
      </c>
      <c r="X1676" s="77">
        <f>'Dropdown Lists'!$I$2*(1+OrdersTable[[#This Row],[Returned]])</f>
        <v>60</v>
      </c>
      <c r="Y1676" s="76">
        <f>OrdersTable[[#This Row],[Net Revenue]]-OrdersTable[[#This Row],[COGS]]-OrdersTable[[#This Row],[Shipping Cost]]</f>
        <v>154.89999999999998</v>
      </c>
      <c r="Z1676" s="78">
        <f>IFERROR(OrdersTable[[#This Row],[Profit]]/OrdersTable[[#This Row],[Net Revenue]],0)</f>
        <v>0.35292777398040553</v>
      </c>
      <c r="AA1676" t="s">
        <v>2522</v>
      </c>
      <c r="AB1676" s="79">
        <v>45601</v>
      </c>
      <c r="AC1676">
        <f>OrdersTable[[#This Row],[Delivery Date]]-OrdersTable[[#This Row],[Order Date]]</f>
        <v>4</v>
      </c>
      <c r="AD1676" t="str">
        <f>IF(OrdersTable[[#This Row],[Delivery Days]]&lt;=2, "Express (≤2d)", IF(OrdersTable[[#This Row],[Delivery Days]]&lt;=4, "Standard (3-4d)", "Delayed (5d+)"))</f>
        <v>Standard (3-4d)</v>
      </c>
      <c r="AE1676">
        <v>3</v>
      </c>
      <c r="AF1676">
        <v>0</v>
      </c>
    </row>
    <row r="1677" spans="1:32" ht="15" x14ac:dyDescent="0.35">
      <c r="A1677" t="s">
        <v>1693</v>
      </c>
      <c r="B1677" s="1">
        <v>45597</v>
      </c>
      <c r="C1677">
        <f>YEAR(OrdersTable[[#This Row],[Order Date]])</f>
        <v>2024</v>
      </c>
      <c r="D1677" s="2">
        <f>DATE(YEAR(OrdersTable[[#This Row],[Order Date]]),MONTH(OrdersTable[[#This Row],[Order Date]]),1)</f>
        <v>45597</v>
      </c>
      <c r="E1677">
        <f>MONTH(OrdersTable[[#This Row],[Order Date]])</f>
        <v>11</v>
      </c>
      <c r="F1677" t="s">
        <v>1694</v>
      </c>
      <c r="G1677" t="str">
        <f>IF(OrdersTable[[#This Row],[Order Date]]=_xlfn.MINIFS(Order_Date, Customer_ID, OrdersTable[[#This Row],[Customer ID]]), "New", "Repeat")</f>
        <v>Repeat</v>
      </c>
      <c r="H1677" t="s">
        <v>48</v>
      </c>
      <c r="I1677" t="str">
        <f>INDEX(State!B:B,MATCH(OrdersTable[[#This Row],[State]],State!A:A,0))</f>
        <v>HR</v>
      </c>
      <c r="J1677" t="str">
        <f>INDEX(State!C:C,MATCH(OrdersTable[[#This Row],[State Code]],State!B:B,0))</f>
        <v>North</v>
      </c>
      <c r="K1677" t="s">
        <v>49</v>
      </c>
      <c r="L1677" t="s">
        <v>65</v>
      </c>
      <c r="M1677" t="s">
        <v>84</v>
      </c>
      <c r="N1677" t="str">
        <f>INDEX(Products!B:B,MATCH(OrdersTable[[#This Row],[Product ID]],Products!A:A,0))</f>
        <v>Cotton Bedsheet</v>
      </c>
      <c r="O1677" t="str">
        <f>INDEX(Products!C:C,MATCH(OrdersTable[[#This Row],[Product ID]],Products!A:A,0))</f>
        <v>Home &amp; Kitchen</v>
      </c>
      <c r="P1677">
        <v>1</v>
      </c>
      <c r="Q1677" s="5">
        <v>1299</v>
      </c>
      <c r="R1677" s="74">
        <v>0.2</v>
      </c>
      <c r="S1677" s="75">
        <f>OrdersTable[[#This Row],[Quantity]]*OrdersTable[[#This Row],[Unit Price]]</f>
        <v>1299</v>
      </c>
      <c r="T1677" s="5">
        <f>OrdersTable[[#This Row],[Gross Sale]]*OrdersTable[[#This Row],[Discount_Clean2]]</f>
        <v>259.8</v>
      </c>
      <c r="U1677" s="5">
        <f>OrdersTable[[#This Row],[Gross Sale]]-OrdersTable[[#This Row],[Discount Amount]]</f>
        <v>1039.2</v>
      </c>
      <c r="V1677" s="77">
        <f>INDEX(Products!E:E,MATCH(OrdersTable[[#This Row],[Product ID]],Products!A:A,0))</f>
        <v>585</v>
      </c>
      <c r="W1677" s="77">
        <f>OrdersTable[[#This Row],[Quantity]]*OrdersTable[[#This Row],[Unit Cost]]</f>
        <v>585</v>
      </c>
      <c r="X1677" s="77">
        <f>'Dropdown Lists'!$I$2*(1+OrdersTable[[#This Row],[Returned]])</f>
        <v>60</v>
      </c>
      <c r="Y1677" s="76">
        <f>OrdersTable[[#This Row],[Net Revenue]]-OrdersTable[[#This Row],[COGS]]-OrdersTable[[#This Row],[Shipping Cost]]</f>
        <v>394.20000000000005</v>
      </c>
      <c r="Z1677" s="78">
        <f>IFERROR(OrdersTable[[#This Row],[Profit]]/OrdersTable[[#This Row],[Net Revenue]],0)</f>
        <v>0.37933025404157045</v>
      </c>
      <c r="AA1677" t="s">
        <v>18</v>
      </c>
      <c r="AB1677" s="79">
        <v>45601</v>
      </c>
      <c r="AC1677">
        <f>OrdersTable[[#This Row],[Delivery Date]]-OrdersTable[[#This Row],[Order Date]]</f>
        <v>4</v>
      </c>
      <c r="AD1677" t="str">
        <f>IF(OrdersTable[[#This Row],[Delivery Days]]&lt;=2, "Express (≤2d)", IF(OrdersTable[[#This Row],[Delivery Days]]&lt;=4, "Standard (3-4d)", "Delayed (5d+)"))</f>
        <v>Standard (3-4d)</v>
      </c>
      <c r="AF1677">
        <v>0</v>
      </c>
    </row>
    <row r="1678" spans="1:32" ht="15" x14ac:dyDescent="0.35">
      <c r="A1678" t="s">
        <v>524</v>
      </c>
      <c r="B1678" s="1">
        <v>45597</v>
      </c>
      <c r="C1678">
        <f>YEAR(OrdersTable[[#This Row],[Order Date]])</f>
        <v>2024</v>
      </c>
      <c r="D1678" s="2">
        <f>DATE(YEAR(OrdersTable[[#This Row],[Order Date]]),MONTH(OrdersTable[[#This Row],[Order Date]]),1)</f>
        <v>45597</v>
      </c>
      <c r="E1678">
        <f>MONTH(OrdersTable[[#This Row],[Order Date]])</f>
        <v>11</v>
      </c>
      <c r="F1678" t="s">
        <v>525</v>
      </c>
      <c r="G1678" t="str">
        <f>IF(OrdersTable[[#This Row],[Order Date]]=_xlfn.MINIFS(Order_Date, Customer_ID, OrdersTable[[#This Row],[Customer ID]]), "New", "Repeat")</f>
        <v>New</v>
      </c>
      <c r="H1678" t="s">
        <v>128</v>
      </c>
      <c r="I1678" t="str">
        <f>INDEX(State!B:B,MATCH(OrdersTable[[#This Row],[State]],State!A:A,0))</f>
        <v>DL</v>
      </c>
      <c r="J1678" t="str">
        <f>INDEX(State!C:C,MATCH(OrdersTable[[#This Row],[State Code]],State!B:B,0))</f>
        <v>North</v>
      </c>
      <c r="K1678" t="s">
        <v>129</v>
      </c>
      <c r="L1678" t="s">
        <v>39</v>
      </c>
      <c r="M1678" t="s">
        <v>45</v>
      </c>
      <c r="N1678" t="str">
        <f>INDEX(Products!B:B,MATCH(OrdersTable[[#This Row],[Product ID]],Products!A:A,0))</f>
        <v>Argan Shampoo</v>
      </c>
      <c r="O1678" t="str">
        <f>INDEX(Products!C:C,MATCH(OrdersTable[[#This Row],[Product ID]],Products!A:A,0))</f>
        <v>Haircare</v>
      </c>
      <c r="P1678">
        <v>1</v>
      </c>
      <c r="Q1678" s="5">
        <v>449</v>
      </c>
      <c r="R1678" s="74">
        <v>0.15</v>
      </c>
      <c r="S1678" s="75">
        <f>OrdersTable[[#This Row],[Quantity]]*OrdersTable[[#This Row],[Unit Price]]</f>
        <v>449</v>
      </c>
      <c r="T1678" s="5">
        <f>OrdersTable[[#This Row],[Gross Sale]]*OrdersTable[[#This Row],[Discount_Clean2]]</f>
        <v>67.349999999999994</v>
      </c>
      <c r="U1678" s="5">
        <f>OrdersTable[[#This Row],[Gross Sale]]-OrdersTable[[#This Row],[Discount Amount]]</f>
        <v>381.65</v>
      </c>
      <c r="V1678" s="77">
        <f>INDEX(Products!E:E,MATCH(OrdersTable[[#This Row],[Product ID]],Products!A:A,0))</f>
        <v>148</v>
      </c>
      <c r="W1678" s="77">
        <f>OrdersTable[[#This Row],[Quantity]]*OrdersTable[[#This Row],[Unit Cost]]</f>
        <v>148</v>
      </c>
      <c r="X1678" s="77">
        <f>'Dropdown Lists'!$I$2*(1+OrdersTable[[#This Row],[Returned]])</f>
        <v>60</v>
      </c>
      <c r="Y1678" s="76">
        <f>OrdersTable[[#This Row],[Net Revenue]]-OrdersTable[[#This Row],[COGS]]-OrdersTable[[#This Row],[Shipping Cost]]</f>
        <v>173.64999999999998</v>
      </c>
      <c r="Z1678" s="78">
        <f>IFERROR(OrdersTable[[#This Row],[Profit]]/OrdersTable[[#This Row],[Net Revenue]],0)</f>
        <v>0.45499803484868334</v>
      </c>
      <c r="AA1678" t="s">
        <v>18</v>
      </c>
      <c r="AB1678" s="79">
        <v>45600</v>
      </c>
      <c r="AC1678">
        <f>OrdersTable[[#This Row],[Delivery Date]]-OrdersTable[[#This Row],[Order Date]]</f>
        <v>3</v>
      </c>
      <c r="AD1678" t="str">
        <f>IF(OrdersTable[[#This Row],[Delivery Days]]&lt;=2, "Express (≤2d)", IF(OrdersTable[[#This Row],[Delivery Days]]&lt;=4, "Standard (3-4d)", "Delayed (5d+)"))</f>
        <v>Standard (3-4d)</v>
      </c>
      <c r="AE1678">
        <v>4</v>
      </c>
      <c r="AF1678">
        <v>0</v>
      </c>
    </row>
    <row r="1679" spans="1:32" ht="15" x14ac:dyDescent="0.35">
      <c r="A1679" t="s">
        <v>5685</v>
      </c>
      <c r="B1679" s="1">
        <v>45597</v>
      </c>
      <c r="C1679">
        <f>YEAR(OrdersTable[[#This Row],[Order Date]])</f>
        <v>2024</v>
      </c>
      <c r="D1679" s="2">
        <f>DATE(YEAR(OrdersTable[[#This Row],[Order Date]]),MONTH(OrdersTable[[#This Row],[Order Date]]),1)</f>
        <v>45597</v>
      </c>
      <c r="E1679">
        <f>MONTH(OrdersTable[[#This Row],[Order Date]])</f>
        <v>11</v>
      </c>
      <c r="F1679" t="s">
        <v>137</v>
      </c>
      <c r="G1679" t="str">
        <f>IF(OrdersTable[[#This Row],[Order Date]]=_xlfn.MINIFS(Order_Date, Customer_ID, OrdersTable[[#This Row],[Customer ID]]), "New", "Repeat")</f>
        <v>Repeat</v>
      </c>
      <c r="H1679" t="s">
        <v>90</v>
      </c>
      <c r="I1679" t="str">
        <f>INDEX(State!B:B,MATCH(OrdersTable[[#This Row],[State]],State!A:A,0))</f>
        <v>GA</v>
      </c>
      <c r="J1679" t="str">
        <f>INDEX(State!C:C,MATCH(OrdersTable[[#This Row],[State Code]],State!B:B,0))</f>
        <v>West</v>
      </c>
      <c r="K1679" t="s">
        <v>91</v>
      </c>
      <c r="L1679" t="s">
        <v>50</v>
      </c>
      <c r="M1679" t="s">
        <v>45</v>
      </c>
      <c r="N1679" t="str">
        <f>INDEX(Products!B:B,MATCH(OrdersTable[[#This Row],[Product ID]],Products!A:A,0))</f>
        <v>Argan Shampoo</v>
      </c>
      <c r="O1679" t="str">
        <f>INDEX(Products!C:C,MATCH(OrdersTable[[#This Row],[Product ID]],Products!A:A,0))</f>
        <v>Haircare</v>
      </c>
      <c r="P1679">
        <v>2</v>
      </c>
      <c r="Q1679" s="5">
        <v>449</v>
      </c>
      <c r="R1679" s="74">
        <v>0.35</v>
      </c>
      <c r="S1679" s="75">
        <f>OrdersTable[[#This Row],[Quantity]]*OrdersTable[[#This Row],[Unit Price]]</f>
        <v>898</v>
      </c>
      <c r="T1679" s="5">
        <f>OrdersTable[[#This Row],[Gross Sale]]*OrdersTable[[#This Row],[Discount_Clean2]]</f>
        <v>314.29999999999995</v>
      </c>
      <c r="U1679" s="5">
        <f>OrdersTable[[#This Row],[Gross Sale]]-OrdersTable[[#This Row],[Discount Amount]]</f>
        <v>583.70000000000005</v>
      </c>
      <c r="V1679" s="77">
        <f>INDEX(Products!E:E,MATCH(OrdersTable[[#This Row],[Product ID]],Products!A:A,0))</f>
        <v>148</v>
      </c>
      <c r="W1679" s="77">
        <f>OrdersTable[[#This Row],[Quantity]]*OrdersTable[[#This Row],[Unit Cost]]</f>
        <v>296</v>
      </c>
      <c r="X1679" s="77">
        <f>'Dropdown Lists'!$I$2*(1+OrdersTable[[#This Row],[Returned]])</f>
        <v>60</v>
      </c>
      <c r="Y1679" s="76">
        <f>OrdersTable[[#This Row],[Net Revenue]]-OrdersTable[[#This Row],[COGS]]-OrdersTable[[#This Row],[Shipping Cost]]</f>
        <v>227.70000000000005</v>
      </c>
      <c r="Z1679" s="78">
        <f>IFERROR(OrdersTable[[#This Row],[Profit]]/OrdersTable[[#This Row],[Net Revenue]],0)</f>
        <v>0.39009765290388904</v>
      </c>
      <c r="AA1679" t="s">
        <v>18</v>
      </c>
      <c r="AB1679" s="79">
        <v>45601</v>
      </c>
      <c r="AC1679">
        <f>OrdersTable[[#This Row],[Delivery Date]]-OrdersTable[[#This Row],[Order Date]]</f>
        <v>4</v>
      </c>
      <c r="AD1679" t="str">
        <f>IF(OrdersTable[[#This Row],[Delivery Days]]&lt;=2, "Express (≤2d)", IF(OrdersTable[[#This Row],[Delivery Days]]&lt;=4, "Standard (3-4d)", "Delayed (5d+)"))</f>
        <v>Standard (3-4d)</v>
      </c>
      <c r="AE1679">
        <v>3</v>
      </c>
      <c r="AF1679">
        <v>0</v>
      </c>
    </row>
    <row r="1680" spans="1:32" ht="15" x14ac:dyDescent="0.35">
      <c r="A1680" t="s">
        <v>5904</v>
      </c>
      <c r="B1680" s="1">
        <v>45597</v>
      </c>
      <c r="C1680">
        <f>YEAR(OrdersTable[[#This Row],[Order Date]])</f>
        <v>2024</v>
      </c>
      <c r="D1680" s="2">
        <f>DATE(YEAR(OrdersTable[[#This Row],[Order Date]]),MONTH(OrdersTable[[#This Row],[Order Date]]),1)</f>
        <v>45597</v>
      </c>
      <c r="E1680">
        <f>MONTH(OrdersTable[[#This Row],[Order Date]])</f>
        <v>11</v>
      </c>
      <c r="F1680" t="s">
        <v>4745</v>
      </c>
      <c r="G1680" t="str">
        <f>IF(OrdersTable[[#This Row],[Order Date]]=_xlfn.MINIFS(Order_Date, Customer_ID, OrdersTable[[#This Row],[Customer ID]]), "New", "Repeat")</f>
        <v>Repeat</v>
      </c>
      <c r="H1680" t="s">
        <v>275</v>
      </c>
      <c r="I1680" t="str">
        <f>INDEX(State!B:B,MATCH(OrdersTable[[#This Row],[State]],State!A:A,0))</f>
        <v>AP</v>
      </c>
      <c r="J1680" t="str">
        <f>INDEX(State!C:C,MATCH(OrdersTable[[#This Row],[State Code]],State!B:B,0))</f>
        <v>South</v>
      </c>
      <c r="K1680" t="s">
        <v>276</v>
      </c>
      <c r="L1680" t="s">
        <v>65</v>
      </c>
      <c r="M1680" t="s">
        <v>29</v>
      </c>
      <c r="N1680" t="str">
        <f>INDEX(Products!B:B,MATCH(OrdersTable[[#This Row],[Product ID]],Products!A:A,0))</f>
        <v>Joggers</v>
      </c>
      <c r="O1680" t="str">
        <f>INDEX(Products!C:C,MATCH(OrdersTable[[#This Row],[Product ID]],Products!A:A,0))</f>
        <v>Apparel</v>
      </c>
      <c r="P1680">
        <v>2</v>
      </c>
      <c r="Q1680" s="5">
        <v>1199</v>
      </c>
      <c r="R1680" s="74">
        <v>0.35</v>
      </c>
      <c r="S1680" s="75">
        <f>OrdersTable[[#This Row],[Quantity]]*OrdersTable[[#This Row],[Unit Price]]</f>
        <v>2398</v>
      </c>
      <c r="T1680" s="5">
        <f>OrdersTable[[#This Row],[Gross Sale]]*OrdersTable[[#This Row],[Discount_Clean2]]</f>
        <v>839.3</v>
      </c>
      <c r="U1680" s="5">
        <f>OrdersTable[[#This Row],[Gross Sale]]-OrdersTable[[#This Row],[Discount Amount]]</f>
        <v>1558.7</v>
      </c>
      <c r="V1680" s="77">
        <f>INDEX(Products!E:E,MATCH(OrdersTable[[#This Row],[Product ID]],Products!A:A,0))</f>
        <v>492</v>
      </c>
      <c r="W1680" s="77">
        <f>OrdersTable[[#This Row],[Quantity]]*OrdersTable[[#This Row],[Unit Cost]]</f>
        <v>984</v>
      </c>
      <c r="X1680" s="77">
        <f>'Dropdown Lists'!$I$2*(1+OrdersTable[[#This Row],[Returned]])</f>
        <v>60</v>
      </c>
      <c r="Y1680" s="76">
        <f>OrdersTable[[#This Row],[Net Revenue]]-OrdersTable[[#This Row],[COGS]]-OrdersTable[[#This Row],[Shipping Cost]]</f>
        <v>514.70000000000005</v>
      </c>
      <c r="Z1680" s="78">
        <f>IFERROR(OrdersTable[[#This Row],[Profit]]/OrdersTable[[#This Row],[Net Revenue]],0)</f>
        <v>0.33021107333033939</v>
      </c>
      <c r="AA1680" t="s">
        <v>18</v>
      </c>
      <c r="AB1680" s="79">
        <v>45601</v>
      </c>
      <c r="AC1680">
        <f>OrdersTable[[#This Row],[Delivery Date]]-OrdersTable[[#This Row],[Order Date]]</f>
        <v>4</v>
      </c>
      <c r="AD1680" t="str">
        <f>IF(OrdersTable[[#This Row],[Delivery Days]]&lt;=2, "Express (≤2d)", IF(OrdersTable[[#This Row],[Delivery Days]]&lt;=4, "Standard (3-4d)", "Delayed (5d+)"))</f>
        <v>Standard (3-4d)</v>
      </c>
      <c r="AF1680">
        <v>0</v>
      </c>
    </row>
    <row r="1681" spans="1:32" ht="15" x14ac:dyDescent="0.35">
      <c r="A1681" t="s">
        <v>6105</v>
      </c>
      <c r="B1681" s="1">
        <v>45598</v>
      </c>
      <c r="C1681">
        <f>YEAR(OrdersTable[[#This Row],[Order Date]])</f>
        <v>2024</v>
      </c>
      <c r="D1681" s="2">
        <f>DATE(YEAR(OrdersTable[[#This Row],[Order Date]]),MONTH(OrdersTable[[#This Row],[Order Date]]),1)</f>
        <v>45597</v>
      </c>
      <c r="E1681">
        <f>MONTH(OrdersTable[[#This Row],[Order Date]])</f>
        <v>11</v>
      </c>
      <c r="F1681" t="s">
        <v>637</v>
      </c>
      <c r="G1681" t="str">
        <f>IF(OrdersTable[[#This Row],[Order Date]]=_xlfn.MINIFS(Order_Date, Customer_ID, OrdersTable[[#This Row],[Customer ID]]), "New", "Repeat")</f>
        <v>New</v>
      </c>
      <c r="H1681" t="s">
        <v>54</v>
      </c>
      <c r="I1681" t="str">
        <f>INDEX(State!B:B,MATCH(OrdersTable[[#This Row],[State]],State!A:A,0))</f>
        <v>RJ</v>
      </c>
      <c r="J1681" t="str">
        <f>INDEX(State!C:C,MATCH(OrdersTable[[#This Row],[State Code]],State!B:B,0))</f>
        <v>North</v>
      </c>
      <c r="K1681" t="s">
        <v>227</v>
      </c>
      <c r="L1681" t="s">
        <v>65</v>
      </c>
      <c r="M1681" t="s">
        <v>228</v>
      </c>
      <c r="N1681" t="str">
        <f>INDEX(Products!B:B,MATCH(OrdersTable[[#This Row],[Product ID]],Products!A:A,0))</f>
        <v>Fast Charger 33W</v>
      </c>
      <c r="O1681" t="str">
        <f>INDEX(Products!C:C,MATCH(OrdersTable[[#This Row],[Product ID]],Products!A:A,0))</f>
        <v>Electronics</v>
      </c>
      <c r="P1681">
        <v>2</v>
      </c>
      <c r="Q1681" s="5">
        <v>899</v>
      </c>
      <c r="R1681" s="74">
        <v>0.1</v>
      </c>
      <c r="S1681" s="75">
        <f>OrdersTable[[#This Row],[Quantity]]*OrdersTable[[#This Row],[Unit Price]]</f>
        <v>1798</v>
      </c>
      <c r="T1681" s="5">
        <f>OrdersTable[[#This Row],[Gross Sale]]*OrdersTable[[#This Row],[Discount_Clean2]]</f>
        <v>179.8</v>
      </c>
      <c r="U1681" s="5">
        <f>OrdersTable[[#This Row],[Gross Sale]]-OrdersTable[[#This Row],[Discount Amount]]</f>
        <v>1618.2</v>
      </c>
      <c r="V1681" s="77">
        <f>INDEX(Products!E:E,MATCH(OrdersTable[[#This Row],[Product ID]],Products!A:A,0))</f>
        <v>494</v>
      </c>
      <c r="W1681" s="77">
        <f>OrdersTable[[#This Row],[Quantity]]*OrdersTable[[#This Row],[Unit Cost]]</f>
        <v>988</v>
      </c>
      <c r="X1681" s="77">
        <f>'Dropdown Lists'!$I$2*(1+OrdersTable[[#This Row],[Returned]])</f>
        <v>60</v>
      </c>
      <c r="Y1681" s="76">
        <f>OrdersTable[[#This Row],[Net Revenue]]-OrdersTable[[#This Row],[COGS]]-OrdersTable[[#This Row],[Shipping Cost]]</f>
        <v>570.20000000000005</v>
      </c>
      <c r="Z1681" s="78">
        <f>IFERROR(OrdersTable[[#This Row],[Profit]]/OrdersTable[[#This Row],[Net Revenue]],0)</f>
        <v>0.3523668273390187</v>
      </c>
      <c r="AA1681" t="s">
        <v>18</v>
      </c>
      <c r="AB1681" s="79">
        <v>45602</v>
      </c>
      <c r="AC1681">
        <f>OrdersTable[[#This Row],[Delivery Date]]-OrdersTable[[#This Row],[Order Date]]</f>
        <v>4</v>
      </c>
      <c r="AD1681" t="str">
        <f>IF(OrdersTable[[#This Row],[Delivery Days]]&lt;=2, "Express (≤2d)", IF(OrdersTable[[#This Row],[Delivery Days]]&lt;=4, "Standard (3-4d)", "Delayed (5d+)"))</f>
        <v>Standard (3-4d)</v>
      </c>
      <c r="AE1681">
        <v>4</v>
      </c>
      <c r="AF1681">
        <v>0</v>
      </c>
    </row>
    <row r="1682" spans="1:32" ht="15" x14ac:dyDescent="0.35">
      <c r="A1682" t="s">
        <v>2974</v>
      </c>
      <c r="B1682" s="1">
        <v>45598</v>
      </c>
      <c r="C1682">
        <f>YEAR(OrdersTable[[#This Row],[Order Date]])</f>
        <v>2024</v>
      </c>
      <c r="D1682" s="2">
        <f>DATE(YEAR(OrdersTable[[#This Row],[Order Date]]),MONTH(OrdersTable[[#This Row],[Order Date]]),1)</f>
        <v>45597</v>
      </c>
      <c r="E1682">
        <f>MONTH(OrdersTable[[#This Row],[Order Date]])</f>
        <v>11</v>
      </c>
      <c r="F1682" t="s">
        <v>2975</v>
      </c>
      <c r="G1682" t="str">
        <f>IF(OrdersTable[[#This Row],[Order Date]]=_xlfn.MINIFS(Order_Date, Customer_ID, OrdersTable[[#This Row],[Customer ID]]), "New", "Repeat")</f>
        <v>New</v>
      </c>
      <c r="H1682" t="s">
        <v>48</v>
      </c>
      <c r="I1682" t="str">
        <f>INDEX(State!B:B,MATCH(OrdersTable[[#This Row],[State]],State!A:A,0))</f>
        <v>HR</v>
      </c>
      <c r="J1682" t="str">
        <f>INDEX(State!C:C,MATCH(OrdersTable[[#This Row],[State Code]],State!B:B,0))</f>
        <v>North</v>
      </c>
      <c r="K1682" t="s">
        <v>49</v>
      </c>
      <c r="L1682" t="s">
        <v>16</v>
      </c>
      <c r="M1682" t="s">
        <v>576</v>
      </c>
      <c r="N1682" t="str">
        <f>INDEX(Products!B:B,MATCH(OrdersTable[[#This Row],[Product ID]],Products!A:A,0))</f>
        <v>Printed Saree</v>
      </c>
      <c r="O1682" t="str">
        <f>INDEX(Products!C:C,MATCH(OrdersTable[[#This Row],[Product ID]],Products!A:A,0))</f>
        <v>Apparel</v>
      </c>
      <c r="P1682">
        <v>1</v>
      </c>
      <c r="Q1682" s="5">
        <v>1999</v>
      </c>
      <c r="R1682" s="74">
        <v>0.25</v>
      </c>
      <c r="S1682" s="75">
        <f>OrdersTable[[#This Row],[Quantity]]*OrdersTable[[#This Row],[Unit Price]]</f>
        <v>1999</v>
      </c>
      <c r="T1682" s="5">
        <f>OrdersTable[[#This Row],[Gross Sale]]*OrdersTable[[#This Row],[Discount_Clean2]]</f>
        <v>499.75</v>
      </c>
      <c r="U1682" s="5">
        <f>OrdersTable[[#This Row],[Gross Sale]]-OrdersTable[[#This Row],[Discount Amount]]</f>
        <v>1499.25</v>
      </c>
      <c r="V1682" s="77">
        <f>INDEX(Products!E:E,MATCH(OrdersTable[[#This Row],[Product ID]],Products!A:A,0))</f>
        <v>880</v>
      </c>
      <c r="W1682" s="77">
        <f>OrdersTable[[#This Row],[Quantity]]*OrdersTable[[#This Row],[Unit Cost]]</f>
        <v>880</v>
      </c>
      <c r="X1682" s="77">
        <f>'Dropdown Lists'!$I$2*(1+OrdersTable[[#This Row],[Returned]])</f>
        <v>120</v>
      </c>
      <c r="Y1682" s="76">
        <f>OrdersTable[[#This Row],[Net Revenue]]-OrdersTable[[#This Row],[COGS]]-OrdersTable[[#This Row],[Shipping Cost]]</f>
        <v>499.25</v>
      </c>
      <c r="Z1682" s="78">
        <f>IFERROR(OrdersTable[[#This Row],[Profit]]/OrdersTable[[#This Row],[Net Revenue]],0)</f>
        <v>0.3329998332499583</v>
      </c>
      <c r="AA1682" t="s">
        <v>2522</v>
      </c>
      <c r="AB1682" s="79">
        <v>45601</v>
      </c>
      <c r="AC1682">
        <f>OrdersTable[[#This Row],[Delivery Date]]-OrdersTable[[#This Row],[Order Date]]</f>
        <v>3</v>
      </c>
      <c r="AD1682" t="str">
        <f>IF(OrdersTable[[#This Row],[Delivery Days]]&lt;=2, "Express (≤2d)", IF(OrdersTable[[#This Row],[Delivery Days]]&lt;=4, "Standard (3-4d)", "Delayed (5d+)"))</f>
        <v>Standard (3-4d)</v>
      </c>
      <c r="AF1682">
        <v>1</v>
      </c>
    </row>
    <row r="1683" spans="1:32" ht="15" x14ac:dyDescent="0.35">
      <c r="A1683" t="s">
        <v>4251</v>
      </c>
      <c r="B1683" s="1">
        <v>45598</v>
      </c>
      <c r="C1683">
        <f>YEAR(OrdersTable[[#This Row],[Order Date]])</f>
        <v>2024</v>
      </c>
      <c r="D1683" s="2">
        <f>DATE(YEAR(OrdersTable[[#This Row],[Order Date]]),MONTH(OrdersTable[[#This Row],[Order Date]]),1)</f>
        <v>45597</v>
      </c>
      <c r="E1683">
        <f>MONTH(OrdersTable[[#This Row],[Order Date]])</f>
        <v>11</v>
      </c>
      <c r="F1683" t="s">
        <v>4252</v>
      </c>
      <c r="G1683" t="str">
        <f>IF(OrdersTable[[#This Row],[Order Date]]=_xlfn.MINIFS(Order_Date, Customer_ID, OrdersTable[[#This Row],[Customer ID]]), "New", "Repeat")</f>
        <v>New</v>
      </c>
      <c r="H1683" t="s">
        <v>128</v>
      </c>
      <c r="I1683" t="str">
        <f>INDEX(State!B:B,MATCH(OrdersTable[[#This Row],[State]],State!A:A,0))</f>
        <v>DL</v>
      </c>
      <c r="J1683" t="str">
        <f>INDEX(State!C:C,MATCH(OrdersTable[[#This Row],[State Code]],State!B:B,0))</f>
        <v>North</v>
      </c>
      <c r="K1683" t="s">
        <v>129</v>
      </c>
      <c r="L1683" t="s">
        <v>50</v>
      </c>
      <c r="M1683" t="s">
        <v>66</v>
      </c>
      <c r="N1683" t="str">
        <f>INDEX(Products!B:B,MATCH(OrdersTable[[#This Row],[Product ID]],Products!A:A,0))</f>
        <v>Sunscreen SPF 50</v>
      </c>
      <c r="O1683" t="str">
        <f>INDEX(Products!C:C,MATCH(OrdersTable[[#This Row],[Product ID]],Products!A:A,0))</f>
        <v>Skincare</v>
      </c>
      <c r="P1683">
        <v>1</v>
      </c>
      <c r="Q1683" s="5">
        <v>449</v>
      </c>
      <c r="R1683" s="74">
        <v>0.25</v>
      </c>
      <c r="S1683" s="75">
        <f>OrdersTable[[#This Row],[Quantity]]*OrdersTable[[#This Row],[Unit Price]]</f>
        <v>449</v>
      </c>
      <c r="T1683" s="5">
        <f>OrdersTable[[#This Row],[Gross Sale]]*OrdersTable[[#This Row],[Discount_Clean2]]</f>
        <v>112.25</v>
      </c>
      <c r="U1683" s="5">
        <f>OrdersTable[[#This Row],[Gross Sale]]-OrdersTable[[#This Row],[Discount Amount]]</f>
        <v>336.75</v>
      </c>
      <c r="V1683" s="77">
        <f>INDEX(Products!E:E,MATCH(OrdersTable[[#This Row],[Product ID]],Products!A:A,0))</f>
        <v>144</v>
      </c>
      <c r="W1683" s="77">
        <f>OrdersTable[[#This Row],[Quantity]]*OrdersTable[[#This Row],[Unit Cost]]</f>
        <v>144</v>
      </c>
      <c r="X1683" s="77">
        <f>'Dropdown Lists'!$I$2*(1+OrdersTable[[#This Row],[Returned]])</f>
        <v>60</v>
      </c>
      <c r="Y1683" s="76">
        <f>OrdersTable[[#This Row],[Net Revenue]]-OrdersTable[[#This Row],[COGS]]-OrdersTable[[#This Row],[Shipping Cost]]</f>
        <v>132.75</v>
      </c>
      <c r="Z1683" s="78">
        <f>IFERROR(OrdersTable[[#This Row],[Profit]]/OrdersTable[[#This Row],[Net Revenue]],0)</f>
        <v>0.39420935412026725</v>
      </c>
      <c r="AA1683" t="s">
        <v>4074</v>
      </c>
      <c r="AB1683" s="79">
        <v>45600</v>
      </c>
      <c r="AC1683">
        <f>OrdersTable[[#This Row],[Delivery Date]]-OrdersTable[[#This Row],[Order Date]]</f>
        <v>2</v>
      </c>
      <c r="AD1683" t="str">
        <f>IF(OrdersTable[[#This Row],[Delivery Days]]&lt;=2, "Express (≤2d)", IF(OrdersTable[[#This Row],[Delivery Days]]&lt;=4, "Standard (3-4d)", "Delayed (5d+)"))</f>
        <v>Express (≤2d)</v>
      </c>
      <c r="AF1683">
        <v>0</v>
      </c>
    </row>
    <row r="1684" spans="1:32" ht="15" x14ac:dyDescent="0.35">
      <c r="A1684" t="s">
        <v>5686</v>
      </c>
      <c r="B1684" s="1">
        <v>45598</v>
      </c>
      <c r="C1684">
        <f>YEAR(OrdersTable[[#This Row],[Order Date]])</f>
        <v>2024</v>
      </c>
      <c r="D1684" s="2">
        <f>DATE(YEAR(OrdersTable[[#This Row],[Order Date]]),MONTH(OrdersTable[[#This Row],[Order Date]]),1)</f>
        <v>45597</v>
      </c>
      <c r="E1684">
        <f>MONTH(OrdersTable[[#This Row],[Order Date]])</f>
        <v>11</v>
      </c>
      <c r="F1684" t="s">
        <v>460</v>
      </c>
      <c r="G1684" t="str">
        <f>IF(OrdersTable[[#This Row],[Order Date]]=_xlfn.MINIFS(Order_Date, Customer_ID, OrdersTable[[#This Row],[Customer ID]]), "New", "Repeat")</f>
        <v>Repeat</v>
      </c>
      <c r="H1684" t="s">
        <v>32</v>
      </c>
      <c r="I1684" t="str">
        <f>INDEX(State!B:B,MATCH(OrdersTable[[#This Row],[State]],State!A:A,0))</f>
        <v>BR</v>
      </c>
      <c r="J1684" t="str">
        <f>INDEX(State!C:C,MATCH(OrdersTable[[#This Row],[State Code]],State!B:B,0))</f>
        <v>East</v>
      </c>
      <c r="K1684" t="s">
        <v>33</v>
      </c>
      <c r="L1684" t="s">
        <v>65</v>
      </c>
      <c r="M1684" t="s">
        <v>106</v>
      </c>
      <c r="N1684" t="str">
        <f>INDEX(Products!B:B,MATCH(OrdersTable[[#This Row],[Product ID]],Products!A:A,0))</f>
        <v>Keratin Hair Mask</v>
      </c>
      <c r="O1684" t="str">
        <f>INDEX(Products!C:C,MATCH(OrdersTable[[#This Row],[Product ID]],Products!A:A,0))</f>
        <v>Haircare</v>
      </c>
      <c r="P1684">
        <v>2</v>
      </c>
      <c r="Q1684" s="5">
        <v>549</v>
      </c>
      <c r="R1684" s="74">
        <v>0.3</v>
      </c>
      <c r="S1684" s="75">
        <f>OrdersTable[[#This Row],[Quantity]]*OrdersTable[[#This Row],[Unit Price]]</f>
        <v>1098</v>
      </c>
      <c r="T1684" s="5">
        <f>OrdersTable[[#This Row],[Gross Sale]]*OrdersTable[[#This Row],[Discount_Clean2]]</f>
        <v>329.4</v>
      </c>
      <c r="U1684" s="5">
        <f>OrdersTable[[#This Row],[Gross Sale]]-OrdersTable[[#This Row],[Discount Amount]]</f>
        <v>768.6</v>
      </c>
      <c r="V1684" s="77">
        <f>INDEX(Products!E:E,MATCH(OrdersTable[[#This Row],[Product ID]],Products!A:A,0))</f>
        <v>170</v>
      </c>
      <c r="W1684" s="77">
        <f>OrdersTable[[#This Row],[Quantity]]*OrdersTable[[#This Row],[Unit Cost]]</f>
        <v>340</v>
      </c>
      <c r="X1684" s="77">
        <f>'Dropdown Lists'!$I$2*(1+OrdersTable[[#This Row],[Returned]])</f>
        <v>60</v>
      </c>
      <c r="Y1684" s="76">
        <f>OrdersTable[[#This Row],[Net Revenue]]-OrdersTable[[#This Row],[COGS]]-OrdersTable[[#This Row],[Shipping Cost]]</f>
        <v>368.6</v>
      </c>
      <c r="Z1684" s="78">
        <f>IFERROR(OrdersTable[[#This Row],[Profit]]/OrdersTable[[#This Row],[Net Revenue]],0)</f>
        <v>0.47957325006505336</v>
      </c>
      <c r="AA1684" t="s">
        <v>18</v>
      </c>
      <c r="AB1684" s="79">
        <v>45603</v>
      </c>
      <c r="AC1684">
        <f>OrdersTable[[#This Row],[Delivery Date]]-OrdersTable[[#This Row],[Order Date]]</f>
        <v>5</v>
      </c>
      <c r="AD1684" t="str">
        <f>IF(OrdersTable[[#This Row],[Delivery Days]]&lt;=2, "Express (≤2d)", IF(OrdersTable[[#This Row],[Delivery Days]]&lt;=4, "Standard (3-4d)", "Delayed (5d+)"))</f>
        <v>Delayed (5d+)</v>
      </c>
      <c r="AE1684">
        <v>3</v>
      </c>
      <c r="AF1684">
        <v>0</v>
      </c>
    </row>
    <row r="1685" spans="1:32" ht="15" x14ac:dyDescent="0.35">
      <c r="A1685" t="s">
        <v>2976</v>
      </c>
      <c r="B1685" s="1">
        <v>45598</v>
      </c>
      <c r="C1685">
        <f>YEAR(OrdersTable[[#This Row],[Order Date]])</f>
        <v>2024</v>
      </c>
      <c r="D1685" s="2">
        <f>DATE(YEAR(OrdersTable[[#This Row],[Order Date]]),MONTH(OrdersTable[[#This Row],[Order Date]]),1)</f>
        <v>45597</v>
      </c>
      <c r="E1685">
        <f>MONTH(OrdersTable[[#This Row],[Order Date]])</f>
        <v>11</v>
      </c>
      <c r="F1685" t="s">
        <v>2373</v>
      </c>
      <c r="G1685" t="str">
        <f>IF(OrdersTable[[#This Row],[Order Date]]=_xlfn.MINIFS(Order_Date, Customer_ID, OrdersTable[[#This Row],[Customer ID]]), "New", "Repeat")</f>
        <v>New</v>
      </c>
      <c r="H1685" t="s">
        <v>37</v>
      </c>
      <c r="I1685" t="str">
        <f>INDEX(State!B:B,MATCH(OrdersTable[[#This Row],[State]],State!A:A,0))</f>
        <v>GJ</v>
      </c>
      <c r="J1685" t="str">
        <f>INDEX(State!C:C,MATCH(OrdersTable[[#This Row],[State Code]],State!B:B,0))</f>
        <v>West</v>
      </c>
      <c r="K1685" t="s">
        <v>38</v>
      </c>
      <c r="L1685" t="s">
        <v>16</v>
      </c>
      <c r="M1685" t="s">
        <v>34</v>
      </c>
      <c r="N1685" t="str">
        <f>INDEX(Products!B:B,MATCH(OrdersTable[[#This Row],[Product ID]],Products!A:A,0))</f>
        <v>Flip Flops</v>
      </c>
      <c r="O1685" t="str">
        <f>INDEX(Products!C:C,MATCH(OrdersTable[[#This Row],[Product ID]],Products!A:A,0))</f>
        <v>Footwear</v>
      </c>
      <c r="P1685">
        <v>1</v>
      </c>
      <c r="Q1685" s="5">
        <v>399</v>
      </c>
      <c r="R1685" s="74">
        <v>0.25</v>
      </c>
      <c r="S1685" s="75">
        <f>OrdersTable[[#This Row],[Quantity]]*OrdersTable[[#This Row],[Unit Price]]</f>
        <v>399</v>
      </c>
      <c r="T1685" s="5">
        <f>OrdersTable[[#This Row],[Gross Sale]]*OrdersTable[[#This Row],[Discount_Clean2]]</f>
        <v>99.75</v>
      </c>
      <c r="U1685" s="5">
        <f>OrdersTable[[#This Row],[Gross Sale]]-OrdersTable[[#This Row],[Discount Amount]]</f>
        <v>299.25</v>
      </c>
      <c r="V1685" s="77">
        <f>INDEX(Products!E:E,MATCH(OrdersTable[[#This Row],[Product ID]],Products!A:A,0))</f>
        <v>152</v>
      </c>
      <c r="W1685" s="77">
        <f>OrdersTable[[#This Row],[Quantity]]*OrdersTable[[#This Row],[Unit Cost]]</f>
        <v>152</v>
      </c>
      <c r="X1685" s="77">
        <f>'Dropdown Lists'!$I$2*(1+OrdersTable[[#This Row],[Returned]])</f>
        <v>120</v>
      </c>
      <c r="Y1685" s="76">
        <f>OrdersTable[[#This Row],[Net Revenue]]-OrdersTable[[#This Row],[COGS]]-OrdersTable[[#This Row],[Shipping Cost]]</f>
        <v>27.25</v>
      </c>
      <c r="Z1685" s="78">
        <f>IFERROR(OrdersTable[[#This Row],[Profit]]/OrdersTable[[#This Row],[Net Revenue]],0)</f>
        <v>9.1060985797827898E-2</v>
      </c>
      <c r="AA1685" t="s">
        <v>2522</v>
      </c>
      <c r="AB1685" s="79">
        <v>45601</v>
      </c>
      <c r="AC1685">
        <f>OrdersTable[[#This Row],[Delivery Date]]-OrdersTable[[#This Row],[Order Date]]</f>
        <v>3</v>
      </c>
      <c r="AD1685" t="str">
        <f>IF(OrdersTable[[#This Row],[Delivery Days]]&lt;=2, "Express (≤2d)", IF(OrdersTable[[#This Row],[Delivery Days]]&lt;=4, "Standard (3-4d)", "Delayed (5d+)"))</f>
        <v>Standard (3-4d)</v>
      </c>
      <c r="AF1685">
        <v>1</v>
      </c>
    </row>
    <row r="1686" spans="1:32" ht="15" x14ac:dyDescent="0.35">
      <c r="A1686" t="s">
        <v>5495</v>
      </c>
      <c r="B1686" s="1">
        <v>45598</v>
      </c>
      <c r="C1686">
        <f>YEAR(OrdersTable[[#This Row],[Order Date]])</f>
        <v>2024</v>
      </c>
      <c r="D1686" s="2">
        <f>DATE(YEAR(OrdersTable[[#This Row],[Order Date]]),MONTH(OrdersTable[[#This Row],[Order Date]]),1)</f>
        <v>45597</v>
      </c>
      <c r="E1686">
        <f>MONTH(OrdersTable[[#This Row],[Order Date]])</f>
        <v>11</v>
      </c>
      <c r="F1686" t="s">
        <v>2765</v>
      </c>
      <c r="G1686" t="str">
        <f>IF(OrdersTable[[#This Row],[Order Date]]=_xlfn.MINIFS(Order_Date, Customer_ID, OrdersTable[[#This Row],[Customer ID]]), "New", "Repeat")</f>
        <v>New</v>
      </c>
      <c r="H1686" t="s">
        <v>37</v>
      </c>
      <c r="I1686" t="str">
        <f>INDEX(State!B:B,MATCH(OrdersTable[[#This Row],[State]],State!A:A,0))</f>
        <v>GJ</v>
      </c>
      <c r="J1686" t="str">
        <f>INDEX(State!C:C,MATCH(OrdersTable[[#This Row],[State Code]],State!B:B,0))</f>
        <v>West</v>
      </c>
      <c r="K1686" t="s">
        <v>247</v>
      </c>
      <c r="L1686" t="s">
        <v>39</v>
      </c>
      <c r="M1686" t="s">
        <v>40</v>
      </c>
      <c r="N1686" t="str">
        <f>INDEX(Products!B:B,MATCH(OrdersTable[[#This Row],[Product ID]],Products!A:A,0))</f>
        <v>Ashwagandha Capsules</v>
      </c>
      <c r="O1686" t="str">
        <f>INDEX(Products!C:C,MATCH(OrdersTable[[#This Row],[Product ID]],Products!A:A,0))</f>
        <v>Wellness</v>
      </c>
      <c r="P1686">
        <v>2</v>
      </c>
      <c r="Q1686" s="5">
        <v>499</v>
      </c>
      <c r="R1686" s="74">
        <v>0.1</v>
      </c>
      <c r="S1686" s="75">
        <f>OrdersTable[[#This Row],[Quantity]]*OrdersTable[[#This Row],[Unit Price]]</f>
        <v>998</v>
      </c>
      <c r="T1686" s="5">
        <f>OrdersTable[[#This Row],[Gross Sale]]*OrdersTable[[#This Row],[Discount_Clean2]]</f>
        <v>99.800000000000011</v>
      </c>
      <c r="U1686" s="5">
        <f>OrdersTable[[#This Row],[Gross Sale]]-OrdersTable[[#This Row],[Discount Amount]]</f>
        <v>898.2</v>
      </c>
      <c r="V1686" s="77">
        <f>INDEX(Products!E:E,MATCH(OrdersTable[[#This Row],[Product ID]],Products!A:A,0))</f>
        <v>150</v>
      </c>
      <c r="W1686" s="77">
        <f>OrdersTable[[#This Row],[Quantity]]*OrdersTable[[#This Row],[Unit Cost]]</f>
        <v>300</v>
      </c>
      <c r="X1686" s="77">
        <f>'Dropdown Lists'!$I$2*(1+OrdersTable[[#This Row],[Returned]])</f>
        <v>60</v>
      </c>
      <c r="Y1686" s="76">
        <f>OrdersTable[[#This Row],[Net Revenue]]-OrdersTable[[#This Row],[COGS]]-OrdersTable[[#This Row],[Shipping Cost]]</f>
        <v>538.20000000000005</v>
      </c>
      <c r="Z1686" s="78">
        <f>IFERROR(OrdersTable[[#This Row],[Profit]]/OrdersTable[[#This Row],[Net Revenue]],0)</f>
        <v>0.59919839679358722</v>
      </c>
      <c r="AA1686" t="s">
        <v>2522</v>
      </c>
      <c r="AB1686" s="79">
        <v>45601</v>
      </c>
      <c r="AC1686">
        <f>OrdersTable[[#This Row],[Delivery Date]]-OrdersTable[[#This Row],[Order Date]]</f>
        <v>3</v>
      </c>
      <c r="AD1686" t="str">
        <f>IF(OrdersTable[[#This Row],[Delivery Days]]&lt;=2, "Express (≤2d)", IF(OrdersTable[[#This Row],[Delivery Days]]&lt;=4, "Standard (3-4d)", "Delayed (5d+)"))</f>
        <v>Standard (3-4d)</v>
      </c>
      <c r="AE1686">
        <v>4</v>
      </c>
      <c r="AF1686">
        <v>0</v>
      </c>
    </row>
    <row r="1687" spans="1:32" ht="15" x14ac:dyDescent="0.35">
      <c r="A1687" t="s">
        <v>5132</v>
      </c>
      <c r="B1687" s="1">
        <v>45598</v>
      </c>
      <c r="C1687">
        <f>YEAR(OrdersTable[[#This Row],[Order Date]])</f>
        <v>2024</v>
      </c>
      <c r="D1687" s="2">
        <f>DATE(YEAR(OrdersTable[[#This Row],[Order Date]]),MONTH(OrdersTable[[#This Row],[Order Date]]),1)</f>
        <v>45597</v>
      </c>
      <c r="E1687">
        <f>MONTH(OrdersTable[[#This Row],[Order Date]])</f>
        <v>11</v>
      </c>
      <c r="F1687" t="s">
        <v>1971</v>
      </c>
      <c r="G1687" t="str">
        <f>IF(OrdersTable[[#This Row],[Order Date]]=_xlfn.MINIFS(Order_Date, Customer_ID, OrdersTable[[#This Row],[Customer ID]]), "New", "Repeat")</f>
        <v>New</v>
      </c>
      <c r="H1687" t="s">
        <v>43</v>
      </c>
      <c r="I1687" t="str">
        <f>INDEX(State!B:B,MATCH(OrdersTable[[#This Row],[State]],State!A:A,0))</f>
        <v>MP</v>
      </c>
      <c r="J1687" t="str">
        <f>INDEX(State!C:C,MATCH(OrdersTable[[#This Row],[State Code]],State!B:B,0))</f>
        <v>West</v>
      </c>
      <c r="K1687" t="s">
        <v>250</v>
      </c>
      <c r="L1687" t="s">
        <v>65</v>
      </c>
      <c r="M1687" t="s">
        <v>34</v>
      </c>
      <c r="N1687" t="str">
        <f>INDEX(Products!B:B,MATCH(OrdersTable[[#This Row],[Product ID]],Products!A:A,0))</f>
        <v>Flip Flops</v>
      </c>
      <c r="O1687" t="str">
        <f>INDEX(Products!C:C,MATCH(OrdersTable[[#This Row],[Product ID]],Products!A:A,0))</f>
        <v>Footwear</v>
      </c>
      <c r="P1687">
        <v>2</v>
      </c>
      <c r="Q1687" s="5">
        <v>399</v>
      </c>
      <c r="R1687" s="74">
        <v>0.2</v>
      </c>
      <c r="S1687" s="75">
        <f>OrdersTable[[#This Row],[Quantity]]*OrdersTable[[#This Row],[Unit Price]]</f>
        <v>798</v>
      </c>
      <c r="T1687" s="5">
        <f>OrdersTable[[#This Row],[Gross Sale]]*OrdersTable[[#This Row],[Discount_Clean2]]</f>
        <v>159.60000000000002</v>
      </c>
      <c r="U1687" s="5">
        <f>OrdersTable[[#This Row],[Gross Sale]]-OrdersTable[[#This Row],[Discount Amount]]</f>
        <v>638.4</v>
      </c>
      <c r="V1687" s="77">
        <f>INDEX(Products!E:E,MATCH(OrdersTable[[#This Row],[Product ID]],Products!A:A,0))</f>
        <v>152</v>
      </c>
      <c r="W1687" s="77">
        <f>OrdersTable[[#This Row],[Quantity]]*OrdersTable[[#This Row],[Unit Cost]]</f>
        <v>304</v>
      </c>
      <c r="X1687" s="77">
        <f>'Dropdown Lists'!$I$2*(1+OrdersTable[[#This Row],[Returned]])</f>
        <v>60</v>
      </c>
      <c r="Y1687" s="76">
        <f>OrdersTable[[#This Row],[Net Revenue]]-OrdersTable[[#This Row],[COGS]]-OrdersTable[[#This Row],[Shipping Cost]]</f>
        <v>274.39999999999998</v>
      </c>
      <c r="Z1687" s="78">
        <f>IFERROR(OrdersTable[[#This Row],[Profit]]/OrdersTable[[#This Row],[Net Revenue]],0)</f>
        <v>0.42982456140350878</v>
      </c>
      <c r="AA1687" t="s">
        <v>3495</v>
      </c>
      <c r="AB1687" s="79">
        <v>45603</v>
      </c>
      <c r="AC1687">
        <f>OrdersTable[[#This Row],[Delivery Date]]-OrdersTable[[#This Row],[Order Date]]</f>
        <v>5</v>
      </c>
      <c r="AD1687" t="str">
        <f>IF(OrdersTable[[#This Row],[Delivery Days]]&lt;=2, "Express (≤2d)", IF(OrdersTable[[#This Row],[Delivery Days]]&lt;=4, "Standard (3-4d)", "Delayed (5d+)"))</f>
        <v>Delayed (5d+)</v>
      </c>
      <c r="AE1687">
        <v>3</v>
      </c>
      <c r="AF1687">
        <v>0</v>
      </c>
    </row>
    <row r="1688" spans="1:32" ht="15" x14ac:dyDescent="0.35">
      <c r="A1688" t="s">
        <v>6694</v>
      </c>
      <c r="B1688" s="1">
        <v>45598</v>
      </c>
      <c r="C1688">
        <f>YEAR(OrdersTable[[#This Row],[Order Date]])</f>
        <v>2024</v>
      </c>
      <c r="D1688" s="2">
        <f>DATE(YEAR(OrdersTable[[#This Row],[Order Date]]),MONTH(OrdersTable[[#This Row],[Order Date]]),1)</f>
        <v>45597</v>
      </c>
      <c r="E1688">
        <f>MONTH(OrdersTable[[#This Row],[Order Date]])</f>
        <v>11</v>
      </c>
      <c r="F1688" t="s">
        <v>1499</v>
      </c>
      <c r="G1688" t="str">
        <f>IF(OrdersTable[[#This Row],[Order Date]]=_xlfn.MINIFS(Order_Date, Customer_ID, OrdersTable[[#This Row],[Customer ID]]), "New", "Repeat")</f>
        <v>Repeat</v>
      </c>
      <c r="H1688" t="s">
        <v>27</v>
      </c>
      <c r="I1688" t="str">
        <f>INDEX(State!B:B,MATCH(OrdersTable[[#This Row],[State]],State!A:A,0))</f>
        <v>WB</v>
      </c>
      <c r="J1688" t="str">
        <f>INDEX(State!C:C,MATCH(OrdersTable[[#This Row],[State Code]],State!B:B,0))</f>
        <v>East</v>
      </c>
      <c r="K1688" t="s">
        <v>28</v>
      </c>
      <c r="L1688" t="s">
        <v>39</v>
      </c>
      <c r="M1688" t="s">
        <v>179</v>
      </c>
      <c r="N1688" t="str">
        <f>INDEX(Products!B:B,MATCH(OrdersTable[[#This Row],[Product ID]],Products!A:A,0))</f>
        <v>Whey Protein 1kg</v>
      </c>
      <c r="O1688" t="str">
        <f>INDEX(Products!C:C,MATCH(OrdersTable[[#This Row],[Product ID]],Products!A:A,0))</f>
        <v>Wellness</v>
      </c>
      <c r="P1688">
        <v>3</v>
      </c>
      <c r="Q1688" s="5">
        <v>2299</v>
      </c>
      <c r="R1688" s="74">
        <v>0.4</v>
      </c>
      <c r="S1688" s="75">
        <f>OrdersTable[[#This Row],[Quantity]]*OrdersTable[[#This Row],[Unit Price]]</f>
        <v>6897</v>
      </c>
      <c r="T1688" s="5">
        <f>OrdersTable[[#This Row],[Gross Sale]]*OrdersTable[[#This Row],[Discount_Clean2]]</f>
        <v>2758.8</v>
      </c>
      <c r="U1688" s="5">
        <f>OrdersTable[[#This Row],[Gross Sale]]-OrdersTable[[#This Row],[Discount Amount]]</f>
        <v>4138.2</v>
      </c>
      <c r="V1688" s="77">
        <f>INDEX(Products!E:E,MATCH(OrdersTable[[#This Row],[Product ID]],Products!A:A,0))</f>
        <v>1333</v>
      </c>
      <c r="W1688" s="77">
        <f>OrdersTable[[#This Row],[Quantity]]*OrdersTable[[#This Row],[Unit Cost]]</f>
        <v>3999</v>
      </c>
      <c r="X1688" s="77">
        <f>'Dropdown Lists'!$I$2*(1+OrdersTable[[#This Row],[Returned]])</f>
        <v>60</v>
      </c>
      <c r="Y1688" s="76">
        <f>OrdersTable[[#This Row],[Net Revenue]]-OrdersTable[[#This Row],[COGS]]-OrdersTable[[#This Row],[Shipping Cost]]</f>
        <v>79.199999999999818</v>
      </c>
      <c r="Z1688" s="78">
        <f>IFERROR(OrdersTable[[#This Row],[Profit]]/OrdersTable[[#This Row],[Net Revenue]],0)</f>
        <v>1.9138755980861202E-2</v>
      </c>
      <c r="AA1688" t="s">
        <v>2522</v>
      </c>
      <c r="AB1688" s="79">
        <v>45603</v>
      </c>
      <c r="AC1688">
        <f>OrdersTable[[#This Row],[Delivery Date]]-OrdersTable[[#This Row],[Order Date]]</f>
        <v>5</v>
      </c>
      <c r="AD1688" t="str">
        <f>IF(OrdersTable[[#This Row],[Delivery Days]]&lt;=2, "Express (≤2d)", IF(OrdersTable[[#This Row],[Delivery Days]]&lt;=4, "Standard (3-4d)", "Delayed (5d+)"))</f>
        <v>Delayed (5d+)</v>
      </c>
      <c r="AF1688">
        <v>0</v>
      </c>
    </row>
    <row r="1689" spans="1:32" ht="15" x14ac:dyDescent="0.35">
      <c r="A1689" t="s">
        <v>780</v>
      </c>
      <c r="B1689" s="1">
        <v>45598</v>
      </c>
      <c r="C1689">
        <f>YEAR(OrdersTable[[#This Row],[Order Date]])</f>
        <v>2024</v>
      </c>
      <c r="D1689" s="2">
        <f>DATE(YEAR(OrdersTable[[#This Row],[Order Date]]),MONTH(OrdersTable[[#This Row],[Order Date]]),1)</f>
        <v>45597</v>
      </c>
      <c r="E1689">
        <f>MONTH(OrdersTable[[#This Row],[Order Date]])</f>
        <v>11</v>
      </c>
      <c r="F1689" t="s">
        <v>781</v>
      </c>
      <c r="G1689" t="str">
        <f>IF(OrdersTable[[#This Row],[Order Date]]=_xlfn.MINIFS(Order_Date, Customer_ID, OrdersTable[[#This Row],[Customer ID]]), "New", "Repeat")</f>
        <v>Repeat</v>
      </c>
      <c r="H1689" t="s">
        <v>275</v>
      </c>
      <c r="I1689" t="str">
        <f>INDEX(State!B:B,MATCH(OrdersTable[[#This Row],[State]],State!A:A,0))</f>
        <v>AP</v>
      </c>
      <c r="J1689" t="str">
        <f>INDEX(State!C:C,MATCH(OrdersTable[[#This Row],[State Code]],State!B:B,0))</f>
        <v>South</v>
      </c>
      <c r="K1689" t="s">
        <v>276</v>
      </c>
      <c r="L1689" t="s">
        <v>50</v>
      </c>
      <c r="M1689" t="s">
        <v>56</v>
      </c>
      <c r="N1689" t="str">
        <f>INDEX(Products!B:B,MATCH(OrdersTable[[#This Row],[Product ID]],Products!A:A,0))</f>
        <v>Vitamin C Face Serum</v>
      </c>
      <c r="O1689" t="str">
        <f>INDEX(Products!C:C,MATCH(OrdersTable[[#This Row],[Product ID]],Products!A:A,0))</f>
        <v>Skincare</v>
      </c>
      <c r="P1689">
        <v>1</v>
      </c>
      <c r="Q1689" s="5">
        <v>599</v>
      </c>
      <c r="R1689" s="74">
        <v>0.25</v>
      </c>
      <c r="S1689" s="75">
        <f>OrdersTable[[#This Row],[Quantity]]*OrdersTable[[#This Row],[Unit Price]]</f>
        <v>599</v>
      </c>
      <c r="T1689" s="5">
        <f>OrdersTable[[#This Row],[Gross Sale]]*OrdersTable[[#This Row],[Discount_Clean2]]</f>
        <v>149.75</v>
      </c>
      <c r="U1689" s="5">
        <f>OrdersTable[[#This Row],[Gross Sale]]-OrdersTable[[#This Row],[Discount Amount]]</f>
        <v>449.25</v>
      </c>
      <c r="V1689" s="77">
        <f>INDEX(Products!E:E,MATCH(OrdersTable[[#This Row],[Product ID]],Products!A:A,0))</f>
        <v>180</v>
      </c>
      <c r="W1689" s="77">
        <f>OrdersTable[[#This Row],[Quantity]]*OrdersTable[[#This Row],[Unit Cost]]</f>
        <v>180</v>
      </c>
      <c r="X1689" s="77">
        <f>'Dropdown Lists'!$I$2*(1+OrdersTable[[#This Row],[Returned]])</f>
        <v>60</v>
      </c>
      <c r="Y1689" s="76">
        <f>OrdersTable[[#This Row],[Net Revenue]]-OrdersTable[[#This Row],[COGS]]-OrdersTable[[#This Row],[Shipping Cost]]</f>
        <v>209.25</v>
      </c>
      <c r="Z1689" s="78">
        <f>IFERROR(OrdersTable[[#This Row],[Profit]]/OrdersTable[[#This Row],[Net Revenue]],0)</f>
        <v>0.46577629382303842</v>
      </c>
      <c r="AA1689" t="s">
        <v>18</v>
      </c>
      <c r="AB1689" s="79">
        <v>45601</v>
      </c>
      <c r="AC1689">
        <f>OrdersTable[[#This Row],[Delivery Date]]-OrdersTable[[#This Row],[Order Date]]</f>
        <v>3</v>
      </c>
      <c r="AD1689" t="str">
        <f>IF(OrdersTable[[#This Row],[Delivery Days]]&lt;=2, "Express (≤2d)", IF(OrdersTable[[#This Row],[Delivery Days]]&lt;=4, "Standard (3-4d)", "Delayed (5d+)"))</f>
        <v>Standard (3-4d)</v>
      </c>
      <c r="AE1689">
        <v>4</v>
      </c>
      <c r="AF1689">
        <v>0</v>
      </c>
    </row>
    <row r="1690" spans="1:32" ht="15" x14ac:dyDescent="0.35">
      <c r="A1690" t="s">
        <v>6520</v>
      </c>
      <c r="B1690" s="1">
        <v>45598</v>
      </c>
      <c r="C1690">
        <f>YEAR(OrdersTable[[#This Row],[Order Date]])</f>
        <v>2024</v>
      </c>
      <c r="D1690" s="2">
        <f>DATE(YEAR(OrdersTable[[#This Row],[Order Date]]),MONTH(OrdersTable[[#This Row],[Order Date]]),1)</f>
        <v>45597</v>
      </c>
      <c r="E1690">
        <f>MONTH(OrdersTable[[#This Row],[Order Date]])</f>
        <v>11</v>
      </c>
      <c r="F1690" t="s">
        <v>6521</v>
      </c>
      <c r="G1690" t="str">
        <f>IF(OrdersTable[[#This Row],[Order Date]]=_xlfn.MINIFS(Order_Date, Customer_ID, OrdersTable[[#This Row],[Customer ID]]), "New", "Repeat")</f>
        <v>New</v>
      </c>
      <c r="H1690" t="s">
        <v>59</v>
      </c>
      <c r="I1690" t="str">
        <f>INDEX(State!B:B,MATCH(OrdersTable[[#This Row],[State]],State!A:A,0))</f>
        <v>TN</v>
      </c>
      <c r="J1690" t="str">
        <f>INDEX(State!C:C,MATCH(OrdersTable[[#This Row],[State Code]],State!B:B,0))</f>
        <v>South</v>
      </c>
      <c r="K1690" t="s">
        <v>60</v>
      </c>
      <c r="L1690" t="s">
        <v>39</v>
      </c>
      <c r="M1690" t="s">
        <v>423</v>
      </c>
      <c r="N1690" t="str">
        <f>INDEX(Products!B:B,MATCH(OrdersTable[[#This Row],[Product ID]],Products!A:A,0))</f>
        <v>Power Bank 20000mAh</v>
      </c>
      <c r="O1690" t="str">
        <f>INDEX(Products!C:C,MATCH(OrdersTable[[#This Row],[Product ID]],Products!A:A,0))</f>
        <v>Electronics</v>
      </c>
      <c r="P1690">
        <v>3</v>
      </c>
      <c r="Q1690" s="5">
        <v>1799</v>
      </c>
      <c r="R1690" s="74">
        <v>0.45</v>
      </c>
      <c r="S1690" s="75">
        <f>OrdersTable[[#This Row],[Quantity]]*OrdersTable[[#This Row],[Unit Price]]</f>
        <v>5397</v>
      </c>
      <c r="T1690" s="5">
        <f>OrdersTable[[#This Row],[Gross Sale]]*OrdersTable[[#This Row],[Discount_Clean2]]</f>
        <v>2428.65</v>
      </c>
      <c r="U1690" s="5">
        <f>OrdersTable[[#This Row],[Gross Sale]]-OrdersTable[[#This Row],[Discount Amount]]</f>
        <v>2968.35</v>
      </c>
      <c r="V1690" s="77">
        <f>INDEX(Products!E:E,MATCH(OrdersTable[[#This Row],[Product ID]],Products!A:A,0))</f>
        <v>1079</v>
      </c>
      <c r="W1690" s="77">
        <f>OrdersTable[[#This Row],[Quantity]]*OrdersTable[[#This Row],[Unit Cost]]</f>
        <v>3237</v>
      </c>
      <c r="X1690" s="77">
        <f>'Dropdown Lists'!$I$2*(1+OrdersTable[[#This Row],[Returned]])</f>
        <v>60</v>
      </c>
      <c r="Y1690" s="76">
        <f>OrdersTable[[#This Row],[Net Revenue]]-OrdersTable[[#This Row],[COGS]]-OrdersTable[[#This Row],[Shipping Cost]]</f>
        <v>-328.65000000000009</v>
      </c>
      <c r="Z1690" s="78">
        <f>IFERROR(OrdersTable[[#This Row],[Profit]]/OrdersTable[[#This Row],[Net Revenue]],0)</f>
        <v>-0.11071807569862048</v>
      </c>
      <c r="AA1690" t="s">
        <v>18</v>
      </c>
      <c r="AB1690" s="79">
        <v>45604</v>
      </c>
      <c r="AC1690">
        <f>OrdersTable[[#This Row],[Delivery Date]]-OrdersTable[[#This Row],[Order Date]]</f>
        <v>6</v>
      </c>
      <c r="AD1690" t="str">
        <f>IF(OrdersTable[[#This Row],[Delivery Days]]&lt;=2, "Express (≤2d)", IF(OrdersTable[[#This Row],[Delivery Days]]&lt;=4, "Standard (3-4d)", "Delayed (5d+)"))</f>
        <v>Delayed (5d+)</v>
      </c>
      <c r="AF1690">
        <v>0</v>
      </c>
    </row>
    <row r="1691" spans="1:32" ht="15" x14ac:dyDescent="0.35">
      <c r="A1691" t="s">
        <v>6317</v>
      </c>
      <c r="B1691" s="1">
        <v>45599</v>
      </c>
      <c r="C1691">
        <f>YEAR(OrdersTable[[#This Row],[Order Date]])</f>
        <v>2024</v>
      </c>
      <c r="D1691" s="2">
        <f>DATE(YEAR(OrdersTable[[#This Row],[Order Date]]),MONTH(OrdersTable[[#This Row],[Order Date]]),1)</f>
        <v>45597</v>
      </c>
      <c r="E1691">
        <f>MONTH(OrdersTable[[#This Row],[Order Date]])</f>
        <v>11</v>
      </c>
      <c r="F1691" t="s">
        <v>4930</v>
      </c>
      <c r="G1691" t="str">
        <f>IF(OrdersTable[[#This Row],[Order Date]]=_xlfn.MINIFS(Order_Date, Customer_ID, OrdersTable[[#This Row],[Customer ID]]), "New", "Repeat")</f>
        <v>Repeat</v>
      </c>
      <c r="H1691" t="s">
        <v>158</v>
      </c>
      <c r="I1691" t="str">
        <f>INDEX(State!B:B,MATCH(OrdersTable[[#This Row],[State]],State!A:A,0))</f>
        <v>HP</v>
      </c>
      <c r="J1691" t="str">
        <f>INDEX(State!C:C,MATCH(OrdersTable[[#This Row],[State Code]],State!B:B,0))</f>
        <v>North</v>
      </c>
      <c r="K1691" t="s">
        <v>159</v>
      </c>
      <c r="L1691" t="s">
        <v>23</v>
      </c>
      <c r="M1691" t="s">
        <v>51</v>
      </c>
      <c r="N1691" t="str">
        <f>INDEX(Products!B:B,MATCH(OrdersTable[[#This Row],[Product ID]],Products!A:A,0))</f>
        <v>Anti-Dandruff Conditioner</v>
      </c>
      <c r="O1691" t="str">
        <f>INDEX(Products!C:C,MATCH(OrdersTable[[#This Row],[Product ID]],Products!A:A,0))</f>
        <v>Haircare</v>
      </c>
      <c r="P1691">
        <v>2</v>
      </c>
      <c r="Q1691" s="5">
        <v>399</v>
      </c>
      <c r="R1691" s="74">
        <v>0.6</v>
      </c>
      <c r="S1691" s="75">
        <f>OrdersTable[[#This Row],[Quantity]]*OrdersTable[[#This Row],[Unit Price]]</f>
        <v>798</v>
      </c>
      <c r="T1691" s="5">
        <f>OrdersTable[[#This Row],[Gross Sale]]*OrdersTable[[#This Row],[Discount_Clean2]]</f>
        <v>478.79999999999995</v>
      </c>
      <c r="U1691" s="5">
        <f>OrdersTable[[#This Row],[Gross Sale]]-OrdersTable[[#This Row],[Discount Amount]]</f>
        <v>319.20000000000005</v>
      </c>
      <c r="V1691" s="77">
        <f>INDEX(Products!E:E,MATCH(OrdersTable[[#This Row],[Product ID]],Products!A:A,0))</f>
        <v>136</v>
      </c>
      <c r="W1691" s="77">
        <f>OrdersTable[[#This Row],[Quantity]]*OrdersTable[[#This Row],[Unit Cost]]</f>
        <v>272</v>
      </c>
      <c r="X1691" s="77">
        <f>'Dropdown Lists'!$I$2*(1+OrdersTable[[#This Row],[Returned]])</f>
        <v>60</v>
      </c>
      <c r="Y1691" s="76">
        <f>OrdersTable[[#This Row],[Net Revenue]]-OrdersTable[[#This Row],[COGS]]-OrdersTable[[#This Row],[Shipping Cost]]</f>
        <v>-12.799999999999955</v>
      </c>
      <c r="Z1691" s="78">
        <f>IFERROR(OrdersTable[[#This Row],[Profit]]/OrdersTable[[#This Row],[Net Revenue]],0)</f>
        <v>-4.0100250626566268E-2</v>
      </c>
      <c r="AA1691" t="s">
        <v>18</v>
      </c>
      <c r="AB1691" s="79">
        <v>45603</v>
      </c>
      <c r="AC1691">
        <f>OrdersTable[[#This Row],[Delivery Date]]-OrdersTable[[#This Row],[Order Date]]</f>
        <v>4</v>
      </c>
      <c r="AD1691" t="str">
        <f>IF(OrdersTable[[#This Row],[Delivery Days]]&lt;=2, "Express (≤2d)", IF(OrdersTable[[#This Row],[Delivery Days]]&lt;=4, "Standard (3-4d)", "Delayed (5d+)"))</f>
        <v>Standard (3-4d)</v>
      </c>
      <c r="AF1691">
        <v>0</v>
      </c>
    </row>
    <row r="1692" spans="1:32" ht="15" x14ac:dyDescent="0.35">
      <c r="A1692" t="s">
        <v>2329</v>
      </c>
      <c r="B1692" s="1">
        <v>45599</v>
      </c>
      <c r="C1692">
        <f>YEAR(OrdersTable[[#This Row],[Order Date]])</f>
        <v>2024</v>
      </c>
      <c r="D1692" s="2">
        <f>DATE(YEAR(OrdersTable[[#This Row],[Order Date]]),MONTH(OrdersTable[[#This Row],[Order Date]]),1)</f>
        <v>45597</v>
      </c>
      <c r="E1692">
        <f>MONTH(OrdersTable[[#This Row],[Order Date]])</f>
        <v>11</v>
      </c>
      <c r="F1692" t="s">
        <v>2330</v>
      </c>
      <c r="G1692" t="str">
        <f>IF(OrdersTable[[#This Row],[Order Date]]=_xlfn.MINIFS(Order_Date, Customer_ID, OrdersTable[[#This Row],[Customer ID]]), "New", "Repeat")</f>
        <v>New</v>
      </c>
      <c r="H1692" t="s">
        <v>184</v>
      </c>
      <c r="I1692" t="str">
        <f>INDEX(State!B:B,MATCH(OrdersTable[[#This Row],[State]],State!A:A,0))</f>
        <v>UK</v>
      </c>
      <c r="J1692" t="str">
        <f>INDEX(State!C:C,MATCH(OrdersTable[[#This Row],[State Code]],State!B:B,0))</f>
        <v>North</v>
      </c>
      <c r="K1692" t="s">
        <v>185</v>
      </c>
      <c r="L1692" t="s">
        <v>50</v>
      </c>
      <c r="M1692" t="s">
        <v>66</v>
      </c>
      <c r="N1692" t="str">
        <f>INDEX(Products!B:B,MATCH(OrdersTable[[#This Row],[Product ID]],Products!A:A,0))</f>
        <v>Sunscreen SPF 50</v>
      </c>
      <c r="O1692" t="str">
        <f>INDEX(Products!C:C,MATCH(OrdersTable[[#This Row],[Product ID]],Products!A:A,0))</f>
        <v>Skincare</v>
      </c>
      <c r="P1692">
        <v>1</v>
      </c>
      <c r="Q1692" s="5">
        <v>449</v>
      </c>
      <c r="R1692" s="74">
        <v>0.2</v>
      </c>
      <c r="S1692" s="75">
        <f>OrdersTable[[#This Row],[Quantity]]*OrdersTable[[#This Row],[Unit Price]]</f>
        <v>449</v>
      </c>
      <c r="T1692" s="5">
        <f>OrdersTable[[#This Row],[Gross Sale]]*OrdersTable[[#This Row],[Discount_Clean2]]</f>
        <v>89.800000000000011</v>
      </c>
      <c r="U1692" s="5">
        <f>OrdersTable[[#This Row],[Gross Sale]]-OrdersTable[[#This Row],[Discount Amount]]</f>
        <v>359.2</v>
      </c>
      <c r="V1692" s="77">
        <f>INDEX(Products!E:E,MATCH(OrdersTable[[#This Row],[Product ID]],Products!A:A,0))</f>
        <v>144</v>
      </c>
      <c r="W1692" s="77">
        <f>OrdersTable[[#This Row],[Quantity]]*OrdersTable[[#This Row],[Unit Cost]]</f>
        <v>144</v>
      </c>
      <c r="X1692" s="77">
        <f>'Dropdown Lists'!$I$2*(1+OrdersTable[[#This Row],[Returned]])</f>
        <v>60</v>
      </c>
      <c r="Y1692" s="76">
        <f>OrdersTable[[#This Row],[Net Revenue]]-OrdersTable[[#This Row],[COGS]]-OrdersTable[[#This Row],[Shipping Cost]]</f>
        <v>155.19999999999999</v>
      </c>
      <c r="Z1692" s="78">
        <f>IFERROR(OrdersTable[[#This Row],[Profit]]/OrdersTable[[#This Row],[Net Revenue]],0)</f>
        <v>0.43207126948775054</v>
      </c>
      <c r="AA1692" t="s">
        <v>18</v>
      </c>
      <c r="AB1692" s="79">
        <v>45604</v>
      </c>
      <c r="AC1692">
        <f>OrdersTable[[#This Row],[Delivery Date]]-OrdersTable[[#This Row],[Order Date]]</f>
        <v>5</v>
      </c>
      <c r="AD1692" t="str">
        <f>IF(OrdersTable[[#This Row],[Delivery Days]]&lt;=2, "Express (≤2d)", IF(OrdersTable[[#This Row],[Delivery Days]]&lt;=4, "Standard (3-4d)", "Delayed (5d+)"))</f>
        <v>Delayed (5d+)</v>
      </c>
      <c r="AE1692">
        <v>5</v>
      </c>
      <c r="AF1692">
        <v>0</v>
      </c>
    </row>
    <row r="1693" spans="1:32" ht="15" x14ac:dyDescent="0.35">
      <c r="A1693" t="s">
        <v>5593</v>
      </c>
      <c r="B1693" s="1">
        <v>45599</v>
      </c>
      <c r="C1693">
        <f>YEAR(OrdersTable[[#This Row],[Order Date]])</f>
        <v>2024</v>
      </c>
      <c r="D1693" s="2">
        <f>DATE(YEAR(OrdersTable[[#This Row],[Order Date]]),MONTH(OrdersTable[[#This Row],[Order Date]]),1)</f>
        <v>45597</v>
      </c>
      <c r="E1693">
        <f>MONTH(OrdersTable[[#This Row],[Order Date]])</f>
        <v>11</v>
      </c>
      <c r="F1693" t="s">
        <v>3131</v>
      </c>
      <c r="G1693" t="str">
        <f>IF(OrdersTable[[#This Row],[Order Date]]=_xlfn.MINIFS(Order_Date, Customer_ID, OrdersTable[[#This Row],[Customer ID]]), "New", "Repeat")</f>
        <v>Repeat</v>
      </c>
      <c r="H1693" t="s">
        <v>54</v>
      </c>
      <c r="I1693" t="str">
        <f>INDEX(State!B:B,MATCH(OrdersTable[[#This Row],[State]],State!A:A,0))</f>
        <v>RJ</v>
      </c>
      <c r="J1693" t="str">
        <f>INDEX(State!C:C,MATCH(OrdersTable[[#This Row],[State Code]],State!B:B,0))</f>
        <v>North</v>
      </c>
      <c r="K1693" t="s">
        <v>227</v>
      </c>
      <c r="L1693" t="s">
        <v>65</v>
      </c>
      <c r="M1693" t="s">
        <v>34</v>
      </c>
      <c r="N1693" t="str">
        <f>INDEX(Products!B:B,MATCH(OrdersTable[[#This Row],[Product ID]],Products!A:A,0))</f>
        <v>Flip Flops</v>
      </c>
      <c r="O1693" t="str">
        <f>INDEX(Products!C:C,MATCH(OrdersTable[[#This Row],[Product ID]],Products!A:A,0))</f>
        <v>Footwear</v>
      </c>
      <c r="P1693">
        <v>2</v>
      </c>
      <c r="Q1693" s="5">
        <v>399</v>
      </c>
      <c r="R1693" s="74">
        <v>0.15</v>
      </c>
      <c r="S1693" s="75">
        <f>OrdersTable[[#This Row],[Quantity]]*OrdersTable[[#This Row],[Unit Price]]</f>
        <v>798</v>
      </c>
      <c r="T1693" s="5">
        <f>OrdersTable[[#This Row],[Gross Sale]]*OrdersTable[[#This Row],[Discount_Clean2]]</f>
        <v>119.69999999999999</v>
      </c>
      <c r="U1693" s="5">
        <f>OrdersTable[[#This Row],[Gross Sale]]-OrdersTable[[#This Row],[Discount Amount]]</f>
        <v>678.3</v>
      </c>
      <c r="V1693" s="77">
        <f>INDEX(Products!E:E,MATCH(OrdersTable[[#This Row],[Product ID]],Products!A:A,0))</f>
        <v>152</v>
      </c>
      <c r="W1693" s="77">
        <f>OrdersTable[[#This Row],[Quantity]]*OrdersTable[[#This Row],[Unit Cost]]</f>
        <v>304</v>
      </c>
      <c r="X1693" s="77">
        <f>'Dropdown Lists'!$I$2*(1+OrdersTable[[#This Row],[Returned]])</f>
        <v>60</v>
      </c>
      <c r="Y1693" s="76">
        <f>OrdersTable[[#This Row],[Net Revenue]]-OrdersTable[[#This Row],[COGS]]-OrdersTable[[#This Row],[Shipping Cost]]</f>
        <v>314.29999999999995</v>
      </c>
      <c r="Z1693" s="78">
        <f>IFERROR(OrdersTable[[#This Row],[Profit]]/OrdersTable[[#This Row],[Net Revenue]],0)</f>
        <v>0.4633642930856553</v>
      </c>
      <c r="AA1693" t="s">
        <v>2522</v>
      </c>
      <c r="AB1693" s="79">
        <v>45603</v>
      </c>
      <c r="AC1693">
        <f>OrdersTable[[#This Row],[Delivery Date]]-OrdersTable[[#This Row],[Order Date]]</f>
        <v>4</v>
      </c>
      <c r="AD1693" t="str">
        <f>IF(OrdersTable[[#This Row],[Delivery Days]]&lt;=2, "Express (≤2d)", IF(OrdersTable[[#This Row],[Delivery Days]]&lt;=4, "Standard (3-4d)", "Delayed (5d+)"))</f>
        <v>Standard (3-4d)</v>
      </c>
      <c r="AE1693">
        <v>4</v>
      </c>
      <c r="AF1693">
        <v>0</v>
      </c>
    </row>
    <row r="1694" spans="1:32" ht="15" x14ac:dyDescent="0.35">
      <c r="A1694" t="s">
        <v>2977</v>
      </c>
      <c r="B1694" s="1">
        <v>45599</v>
      </c>
      <c r="C1694">
        <f>YEAR(OrdersTable[[#This Row],[Order Date]])</f>
        <v>2024</v>
      </c>
      <c r="D1694" s="2">
        <f>DATE(YEAR(OrdersTable[[#This Row],[Order Date]]),MONTH(OrdersTable[[#This Row],[Order Date]]),1)</f>
        <v>45597</v>
      </c>
      <c r="E1694">
        <f>MONTH(OrdersTable[[#This Row],[Order Date]])</f>
        <v>11</v>
      </c>
      <c r="F1694" t="s">
        <v>2978</v>
      </c>
      <c r="G1694" t="str">
        <f>IF(OrdersTable[[#This Row],[Order Date]]=_xlfn.MINIFS(Order_Date, Customer_ID, OrdersTable[[#This Row],[Customer ID]]), "New", "Repeat")</f>
        <v>Repeat</v>
      </c>
      <c r="H1694" t="s">
        <v>123</v>
      </c>
      <c r="I1694" t="str">
        <f>INDEX(State!B:B,MATCH(OrdersTable[[#This Row],[State]],State!A:A,0))</f>
        <v>JH</v>
      </c>
      <c r="J1694" t="str">
        <f>INDEX(State!C:C,MATCH(OrdersTable[[#This Row],[State Code]],State!B:B,0))</f>
        <v>East</v>
      </c>
      <c r="K1694" t="s">
        <v>124</v>
      </c>
      <c r="L1694" t="s">
        <v>16</v>
      </c>
      <c r="M1694" t="s">
        <v>87</v>
      </c>
      <c r="N1694" t="str">
        <f>INDEX(Products!B:B,MATCH(OrdersTable[[#This Row],[Product ID]],Products!A:A,0))</f>
        <v>Linen Kurta</v>
      </c>
      <c r="O1694" t="str">
        <f>INDEX(Products!C:C,MATCH(OrdersTable[[#This Row],[Product ID]],Products!A:A,0))</f>
        <v>Apparel</v>
      </c>
      <c r="P1694">
        <v>1</v>
      </c>
      <c r="Q1694" s="5">
        <v>1499</v>
      </c>
      <c r="R1694" s="74">
        <v>0.5</v>
      </c>
      <c r="S1694" s="75">
        <f>OrdersTable[[#This Row],[Quantity]]*OrdersTable[[#This Row],[Unit Price]]</f>
        <v>1499</v>
      </c>
      <c r="T1694" s="5">
        <f>OrdersTable[[#This Row],[Gross Sale]]*OrdersTable[[#This Row],[Discount_Clean2]]</f>
        <v>749.5</v>
      </c>
      <c r="U1694" s="5">
        <f>OrdersTable[[#This Row],[Gross Sale]]-OrdersTable[[#This Row],[Discount Amount]]</f>
        <v>749.5</v>
      </c>
      <c r="V1694" s="77">
        <f>INDEX(Products!E:E,MATCH(OrdersTable[[#This Row],[Product ID]],Products!A:A,0))</f>
        <v>630</v>
      </c>
      <c r="W1694" s="77">
        <f>OrdersTable[[#This Row],[Quantity]]*OrdersTable[[#This Row],[Unit Cost]]</f>
        <v>630</v>
      </c>
      <c r="X1694" s="77">
        <f>'Dropdown Lists'!$I$2*(1+OrdersTable[[#This Row],[Returned]])</f>
        <v>120</v>
      </c>
      <c r="Y1694" s="76">
        <f>OrdersTable[[#This Row],[Net Revenue]]-OrdersTable[[#This Row],[COGS]]-OrdersTable[[#This Row],[Shipping Cost]]</f>
        <v>-0.5</v>
      </c>
      <c r="Z1694" s="78">
        <f>IFERROR(OrdersTable[[#This Row],[Profit]]/OrdersTable[[#This Row],[Net Revenue]],0)</f>
        <v>-6.6711140760506999E-4</v>
      </c>
      <c r="AA1694" t="s">
        <v>2522</v>
      </c>
      <c r="AB1694" s="79">
        <v>45604</v>
      </c>
      <c r="AC1694">
        <f>OrdersTable[[#This Row],[Delivery Date]]-OrdersTable[[#This Row],[Order Date]]</f>
        <v>5</v>
      </c>
      <c r="AD1694" t="str">
        <f>IF(OrdersTable[[#This Row],[Delivery Days]]&lt;=2, "Express (≤2d)", IF(OrdersTable[[#This Row],[Delivery Days]]&lt;=4, "Standard (3-4d)", "Delayed (5d+)"))</f>
        <v>Delayed (5d+)</v>
      </c>
      <c r="AF1694">
        <v>1</v>
      </c>
    </row>
    <row r="1695" spans="1:32" ht="15" x14ac:dyDescent="0.35">
      <c r="A1695" t="s">
        <v>6106</v>
      </c>
      <c r="B1695" s="1">
        <v>45599</v>
      </c>
      <c r="C1695">
        <f>YEAR(OrdersTable[[#This Row],[Order Date]])</f>
        <v>2024</v>
      </c>
      <c r="D1695" s="2">
        <f>DATE(YEAR(OrdersTable[[#This Row],[Order Date]]),MONTH(OrdersTable[[#This Row],[Order Date]]),1)</f>
        <v>45597</v>
      </c>
      <c r="E1695">
        <f>MONTH(OrdersTable[[#This Row],[Order Date]])</f>
        <v>11</v>
      </c>
      <c r="F1695" t="s">
        <v>1692</v>
      </c>
      <c r="G1695" t="str">
        <f>IF(OrdersTable[[#This Row],[Order Date]]=_xlfn.MINIFS(Order_Date, Customer_ID, OrdersTable[[#This Row],[Customer ID]]), "New", "Repeat")</f>
        <v>Repeat</v>
      </c>
      <c r="H1695" t="s">
        <v>27</v>
      </c>
      <c r="I1695" t="str">
        <f>INDEX(State!B:B,MATCH(OrdersTable[[#This Row],[State]],State!A:A,0))</f>
        <v>WB</v>
      </c>
      <c r="J1695" t="str">
        <f>INDEX(State!C:C,MATCH(OrdersTable[[#This Row],[State Code]],State!B:B,0))</f>
        <v>East</v>
      </c>
      <c r="K1695" t="s">
        <v>28</v>
      </c>
      <c r="L1695" t="s">
        <v>65</v>
      </c>
      <c r="M1695" t="s">
        <v>148</v>
      </c>
      <c r="N1695" t="str">
        <f>INDEX(Products!B:B,MATCH(OrdersTable[[#This Row],[Product ID]],Products!A:A,0))</f>
        <v>Smartwatch Strap</v>
      </c>
      <c r="O1695" t="str">
        <f>INDEX(Products!C:C,MATCH(OrdersTable[[#This Row],[Product ID]],Products!A:A,0))</f>
        <v>Electronics</v>
      </c>
      <c r="P1695">
        <v>2</v>
      </c>
      <c r="Q1695" s="5">
        <v>499</v>
      </c>
      <c r="R1695" s="74">
        <v>0.2</v>
      </c>
      <c r="S1695" s="75">
        <f>OrdersTable[[#This Row],[Quantity]]*OrdersTable[[#This Row],[Unit Price]]</f>
        <v>998</v>
      </c>
      <c r="T1695" s="5">
        <f>OrdersTable[[#This Row],[Gross Sale]]*OrdersTable[[#This Row],[Discount_Clean2]]</f>
        <v>199.60000000000002</v>
      </c>
      <c r="U1695" s="5">
        <f>OrdersTable[[#This Row],[Gross Sale]]-OrdersTable[[#This Row],[Discount Amount]]</f>
        <v>798.4</v>
      </c>
      <c r="V1695" s="77">
        <f>INDEX(Products!E:E,MATCH(OrdersTable[[#This Row],[Product ID]],Products!A:A,0))</f>
        <v>200</v>
      </c>
      <c r="W1695" s="77">
        <f>OrdersTable[[#This Row],[Quantity]]*OrdersTable[[#This Row],[Unit Cost]]</f>
        <v>400</v>
      </c>
      <c r="X1695" s="77">
        <f>'Dropdown Lists'!$I$2*(1+OrdersTable[[#This Row],[Returned]])</f>
        <v>60</v>
      </c>
      <c r="Y1695" s="76">
        <f>OrdersTable[[#This Row],[Net Revenue]]-OrdersTable[[#This Row],[COGS]]-OrdersTable[[#This Row],[Shipping Cost]]</f>
        <v>338.4</v>
      </c>
      <c r="Z1695" s="78">
        <f>IFERROR(OrdersTable[[#This Row],[Profit]]/OrdersTable[[#This Row],[Net Revenue]],0)</f>
        <v>0.42384769539078154</v>
      </c>
      <c r="AA1695" t="s">
        <v>18</v>
      </c>
      <c r="AB1695" s="79">
        <v>45602</v>
      </c>
      <c r="AC1695">
        <f>OrdersTable[[#This Row],[Delivery Date]]-OrdersTable[[#This Row],[Order Date]]</f>
        <v>3</v>
      </c>
      <c r="AD1695" t="str">
        <f>IF(OrdersTable[[#This Row],[Delivery Days]]&lt;=2, "Express (≤2d)", IF(OrdersTable[[#This Row],[Delivery Days]]&lt;=4, "Standard (3-4d)", "Delayed (5d+)"))</f>
        <v>Standard (3-4d)</v>
      </c>
      <c r="AE1695">
        <v>4</v>
      </c>
      <c r="AF1695">
        <v>0</v>
      </c>
    </row>
    <row r="1696" spans="1:32" ht="15" x14ac:dyDescent="0.35">
      <c r="A1696" t="s">
        <v>782</v>
      </c>
      <c r="B1696" s="1">
        <v>45599</v>
      </c>
      <c r="C1696">
        <f>YEAR(OrdersTable[[#This Row],[Order Date]])</f>
        <v>2024</v>
      </c>
      <c r="D1696" s="2">
        <f>DATE(YEAR(OrdersTable[[#This Row],[Order Date]]),MONTH(OrdersTable[[#This Row],[Order Date]]),1)</f>
        <v>45597</v>
      </c>
      <c r="E1696">
        <f>MONTH(OrdersTable[[#This Row],[Order Date]])</f>
        <v>11</v>
      </c>
      <c r="F1696" t="s">
        <v>783</v>
      </c>
      <c r="G1696" t="str">
        <f>IF(OrdersTable[[#This Row],[Order Date]]=_xlfn.MINIFS(Order_Date, Customer_ID, OrdersTable[[#This Row],[Customer ID]]), "New", "Repeat")</f>
        <v>New</v>
      </c>
      <c r="H1696" t="s">
        <v>71</v>
      </c>
      <c r="I1696" t="str">
        <f>INDEX(State!B:B,MATCH(OrdersTable[[#This Row],[State]],State!A:A,0))</f>
        <v>MH</v>
      </c>
      <c r="J1696" t="str">
        <f>INDEX(State!C:C,MATCH(OrdersTable[[#This Row],[State Code]],State!B:B,0))</f>
        <v>West</v>
      </c>
      <c r="K1696" t="s">
        <v>102</v>
      </c>
      <c r="L1696" t="s">
        <v>50</v>
      </c>
      <c r="M1696" t="s">
        <v>179</v>
      </c>
      <c r="N1696" t="str">
        <f>INDEX(Products!B:B,MATCH(OrdersTable[[#This Row],[Product ID]],Products!A:A,0))</f>
        <v>Whey Protein 1kg</v>
      </c>
      <c r="O1696" t="str">
        <f>INDEX(Products!C:C,MATCH(OrdersTable[[#This Row],[Product ID]],Products!A:A,0))</f>
        <v>Wellness</v>
      </c>
      <c r="P1696">
        <v>1</v>
      </c>
      <c r="Q1696" s="5">
        <v>2299</v>
      </c>
      <c r="R1696" s="74">
        <v>0.6</v>
      </c>
      <c r="S1696" s="75">
        <f>OrdersTable[[#This Row],[Quantity]]*OrdersTable[[#This Row],[Unit Price]]</f>
        <v>2299</v>
      </c>
      <c r="T1696" s="5">
        <f>OrdersTable[[#This Row],[Gross Sale]]*OrdersTable[[#This Row],[Discount_Clean2]]</f>
        <v>1379.3999999999999</v>
      </c>
      <c r="U1696" s="5">
        <f>OrdersTable[[#This Row],[Gross Sale]]-OrdersTable[[#This Row],[Discount Amount]]</f>
        <v>919.60000000000014</v>
      </c>
      <c r="V1696" s="77">
        <f>INDEX(Products!E:E,MATCH(OrdersTable[[#This Row],[Product ID]],Products!A:A,0))</f>
        <v>1333</v>
      </c>
      <c r="W1696" s="77">
        <f>OrdersTable[[#This Row],[Quantity]]*OrdersTable[[#This Row],[Unit Cost]]</f>
        <v>1333</v>
      </c>
      <c r="X1696" s="77">
        <f>'Dropdown Lists'!$I$2*(1+OrdersTable[[#This Row],[Returned]])</f>
        <v>60</v>
      </c>
      <c r="Y1696" s="76">
        <f>OrdersTable[[#This Row],[Net Revenue]]-OrdersTable[[#This Row],[COGS]]-OrdersTable[[#This Row],[Shipping Cost]]</f>
        <v>-473.39999999999986</v>
      </c>
      <c r="Z1696" s="78">
        <f>IFERROR(OrdersTable[[#This Row],[Profit]]/OrdersTable[[#This Row],[Net Revenue]],0)</f>
        <v>-0.51478903871248349</v>
      </c>
      <c r="AA1696" t="s">
        <v>18</v>
      </c>
      <c r="AB1696" s="79">
        <v>45603</v>
      </c>
      <c r="AC1696">
        <f>OrdersTable[[#This Row],[Delivery Date]]-OrdersTable[[#This Row],[Order Date]]</f>
        <v>4</v>
      </c>
      <c r="AD1696" t="str">
        <f>IF(OrdersTable[[#This Row],[Delivery Days]]&lt;=2, "Express (≤2d)", IF(OrdersTable[[#This Row],[Delivery Days]]&lt;=4, "Standard (3-4d)", "Delayed (5d+)"))</f>
        <v>Standard (3-4d)</v>
      </c>
      <c r="AE1696">
        <v>4</v>
      </c>
      <c r="AF1696">
        <v>0</v>
      </c>
    </row>
    <row r="1697" spans="1:32" ht="15" x14ac:dyDescent="0.35">
      <c r="A1697" t="s">
        <v>784</v>
      </c>
      <c r="B1697" s="1">
        <v>45599</v>
      </c>
      <c r="C1697">
        <f>YEAR(OrdersTable[[#This Row],[Order Date]])</f>
        <v>2024</v>
      </c>
      <c r="D1697" s="2">
        <f>DATE(YEAR(OrdersTable[[#This Row],[Order Date]]),MONTH(OrdersTable[[#This Row],[Order Date]]),1)</f>
        <v>45597</v>
      </c>
      <c r="E1697">
        <f>MONTH(OrdersTable[[#This Row],[Order Date]])</f>
        <v>11</v>
      </c>
      <c r="F1697" t="s">
        <v>86</v>
      </c>
      <c r="G1697" t="str">
        <f>IF(OrdersTable[[#This Row],[Order Date]]=_xlfn.MINIFS(Order_Date, Customer_ID, OrdersTable[[#This Row],[Customer ID]]), "New", "Repeat")</f>
        <v>Repeat</v>
      </c>
      <c r="H1697" t="s">
        <v>95</v>
      </c>
      <c r="I1697" t="str">
        <f>INDEX(State!B:B,MATCH(OrdersTable[[#This Row],[State]],State!A:A,0))</f>
        <v>TG</v>
      </c>
      <c r="J1697" t="str">
        <f>INDEX(State!C:C,MATCH(OrdersTable[[#This Row],[State Code]],State!B:B,0))</f>
        <v>South</v>
      </c>
      <c r="K1697" t="s">
        <v>96</v>
      </c>
      <c r="L1697" t="s">
        <v>23</v>
      </c>
      <c r="M1697" t="s">
        <v>34</v>
      </c>
      <c r="N1697" t="str">
        <f>INDEX(Products!B:B,MATCH(OrdersTable[[#This Row],[Product ID]],Products!A:A,0))</f>
        <v>Flip Flops</v>
      </c>
      <c r="O1697" t="str">
        <f>INDEX(Products!C:C,MATCH(OrdersTable[[#This Row],[Product ID]],Products!A:A,0))</f>
        <v>Footwear</v>
      </c>
      <c r="P1697">
        <v>1</v>
      </c>
      <c r="Q1697" s="5">
        <v>399</v>
      </c>
      <c r="R1697" s="74">
        <v>0.3</v>
      </c>
      <c r="S1697" s="75">
        <f>OrdersTable[[#This Row],[Quantity]]*OrdersTable[[#This Row],[Unit Price]]</f>
        <v>399</v>
      </c>
      <c r="T1697" s="5">
        <f>OrdersTable[[#This Row],[Gross Sale]]*OrdersTable[[#This Row],[Discount_Clean2]]</f>
        <v>119.69999999999999</v>
      </c>
      <c r="U1697" s="5">
        <f>OrdersTable[[#This Row],[Gross Sale]]-OrdersTable[[#This Row],[Discount Amount]]</f>
        <v>279.3</v>
      </c>
      <c r="V1697" s="77">
        <f>INDEX(Products!E:E,MATCH(OrdersTable[[#This Row],[Product ID]],Products!A:A,0))</f>
        <v>152</v>
      </c>
      <c r="W1697" s="77">
        <f>OrdersTable[[#This Row],[Quantity]]*OrdersTable[[#This Row],[Unit Cost]]</f>
        <v>152</v>
      </c>
      <c r="X1697" s="77">
        <f>'Dropdown Lists'!$I$2*(1+OrdersTable[[#This Row],[Returned]])</f>
        <v>60</v>
      </c>
      <c r="Y1697" s="76">
        <f>OrdersTable[[#This Row],[Net Revenue]]-OrdersTable[[#This Row],[COGS]]-OrdersTable[[#This Row],[Shipping Cost]]</f>
        <v>67.300000000000011</v>
      </c>
      <c r="Z1697" s="78">
        <f>IFERROR(OrdersTable[[#This Row],[Profit]]/OrdersTable[[#This Row],[Net Revenue]],0)</f>
        <v>0.24095954171142145</v>
      </c>
      <c r="AA1697" t="s">
        <v>18</v>
      </c>
      <c r="AB1697" s="79">
        <v>45602</v>
      </c>
      <c r="AC1697">
        <f>OrdersTable[[#This Row],[Delivery Date]]-OrdersTable[[#This Row],[Order Date]]</f>
        <v>3</v>
      </c>
      <c r="AD1697" t="str">
        <f>IF(OrdersTable[[#This Row],[Delivery Days]]&lt;=2, "Express (≤2d)", IF(OrdersTable[[#This Row],[Delivery Days]]&lt;=4, "Standard (3-4d)", "Delayed (5d+)"))</f>
        <v>Standard (3-4d)</v>
      </c>
      <c r="AE1697">
        <v>4</v>
      </c>
      <c r="AF1697">
        <v>0</v>
      </c>
    </row>
    <row r="1698" spans="1:32" ht="15" x14ac:dyDescent="0.35">
      <c r="A1698" t="s">
        <v>6318</v>
      </c>
      <c r="B1698" s="1">
        <v>45599</v>
      </c>
      <c r="C1698">
        <f>YEAR(OrdersTable[[#This Row],[Order Date]])</f>
        <v>2024</v>
      </c>
      <c r="D1698" s="2">
        <f>DATE(YEAR(OrdersTable[[#This Row],[Order Date]]),MONTH(OrdersTable[[#This Row],[Order Date]]),1)</f>
        <v>45597</v>
      </c>
      <c r="E1698">
        <f>MONTH(OrdersTable[[#This Row],[Order Date]])</f>
        <v>11</v>
      </c>
      <c r="F1698" t="s">
        <v>1512</v>
      </c>
      <c r="G1698" t="str">
        <f>IF(OrdersTable[[#This Row],[Order Date]]=_xlfn.MINIFS(Order_Date, Customer_ID, OrdersTable[[#This Row],[Customer ID]]), "New", "Repeat")</f>
        <v>Repeat</v>
      </c>
      <c r="H1698" t="s">
        <v>95</v>
      </c>
      <c r="I1698" t="str">
        <f>INDEX(State!B:B,MATCH(OrdersTable[[#This Row],[State]],State!A:A,0))</f>
        <v>TG</v>
      </c>
      <c r="J1698" t="str">
        <f>INDEX(State!C:C,MATCH(OrdersTable[[#This Row],[State Code]],State!B:B,0))</f>
        <v>South</v>
      </c>
      <c r="K1698" t="s">
        <v>96</v>
      </c>
      <c r="L1698" t="s">
        <v>23</v>
      </c>
      <c r="M1698" t="s">
        <v>51</v>
      </c>
      <c r="N1698" t="str">
        <f>INDEX(Products!B:B,MATCH(OrdersTable[[#This Row],[Product ID]],Products!A:A,0))</f>
        <v>Anti-Dandruff Conditioner</v>
      </c>
      <c r="O1698" t="str">
        <f>INDEX(Products!C:C,MATCH(OrdersTable[[#This Row],[Product ID]],Products!A:A,0))</f>
        <v>Haircare</v>
      </c>
      <c r="P1698">
        <v>2</v>
      </c>
      <c r="Q1698" s="5">
        <v>399</v>
      </c>
      <c r="R1698" s="74">
        <v>0.45</v>
      </c>
      <c r="S1698" s="75">
        <f>OrdersTable[[#This Row],[Quantity]]*OrdersTable[[#This Row],[Unit Price]]</f>
        <v>798</v>
      </c>
      <c r="T1698" s="5">
        <f>OrdersTable[[#This Row],[Gross Sale]]*OrdersTable[[#This Row],[Discount_Clean2]]</f>
        <v>359.1</v>
      </c>
      <c r="U1698" s="5">
        <f>OrdersTable[[#This Row],[Gross Sale]]-OrdersTable[[#This Row],[Discount Amount]]</f>
        <v>438.9</v>
      </c>
      <c r="V1698" s="77">
        <f>INDEX(Products!E:E,MATCH(OrdersTable[[#This Row],[Product ID]],Products!A:A,0))</f>
        <v>136</v>
      </c>
      <c r="W1698" s="77">
        <f>OrdersTable[[#This Row],[Quantity]]*OrdersTable[[#This Row],[Unit Cost]]</f>
        <v>272</v>
      </c>
      <c r="X1698" s="77">
        <f>'Dropdown Lists'!$I$2*(1+OrdersTable[[#This Row],[Returned]])</f>
        <v>60</v>
      </c>
      <c r="Y1698" s="76">
        <f>OrdersTable[[#This Row],[Net Revenue]]-OrdersTable[[#This Row],[COGS]]-OrdersTable[[#This Row],[Shipping Cost]]</f>
        <v>106.89999999999998</v>
      </c>
      <c r="Z1698" s="78">
        <f>IFERROR(OrdersTable[[#This Row],[Profit]]/OrdersTable[[#This Row],[Net Revenue]],0)</f>
        <v>0.24356345408976984</v>
      </c>
      <c r="AA1698" t="s">
        <v>18</v>
      </c>
      <c r="AB1698" s="79">
        <v>45602</v>
      </c>
      <c r="AC1698">
        <f>OrdersTable[[#This Row],[Delivery Date]]-OrdersTable[[#This Row],[Order Date]]</f>
        <v>3</v>
      </c>
      <c r="AD1698" t="str">
        <f>IF(OrdersTable[[#This Row],[Delivery Days]]&lt;=2, "Express (≤2d)", IF(OrdersTable[[#This Row],[Delivery Days]]&lt;=4, "Standard (3-4d)", "Delayed (5d+)"))</f>
        <v>Standard (3-4d)</v>
      </c>
      <c r="AE1698">
        <v>3</v>
      </c>
      <c r="AF1698">
        <v>0</v>
      </c>
    </row>
    <row r="1699" spans="1:32" ht="15" x14ac:dyDescent="0.35">
      <c r="A1699" t="s">
        <v>5133</v>
      </c>
      <c r="B1699" s="1">
        <v>45599</v>
      </c>
      <c r="C1699">
        <f>YEAR(OrdersTable[[#This Row],[Order Date]])</f>
        <v>2024</v>
      </c>
      <c r="D1699" s="2">
        <f>DATE(YEAR(OrdersTable[[#This Row],[Order Date]]),MONTH(OrdersTable[[#This Row],[Order Date]]),1)</f>
        <v>45597</v>
      </c>
      <c r="E1699">
        <f>MONTH(OrdersTable[[#This Row],[Order Date]])</f>
        <v>11</v>
      </c>
      <c r="F1699" t="s">
        <v>5134</v>
      </c>
      <c r="G1699" t="str">
        <f>IF(OrdersTable[[#This Row],[Order Date]]=_xlfn.MINIFS(Order_Date, Customer_ID, OrdersTable[[#This Row],[Customer ID]]), "New", "Repeat")</f>
        <v>New</v>
      </c>
      <c r="H1699" t="s">
        <v>90</v>
      </c>
      <c r="I1699" t="str">
        <f>INDEX(State!B:B,MATCH(OrdersTable[[#This Row],[State]],State!A:A,0))</f>
        <v>GA</v>
      </c>
      <c r="J1699" t="str">
        <f>INDEX(State!C:C,MATCH(OrdersTable[[#This Row],[State Code]],State!B:B,0))</f>
        <v>West</v>
      </c>
      <c r="K1699" t="s">
        <v>91</v>
      </c>
      <c r="L1699" t="s">
        <v>39</v>
      </c>
      <c r="M1699" t="s">
        <v>61</v>
      </c>
      <c r="N1699" t="str">
        <f>INDEX(Products!B:B,MATCH(OrdersTable[[#This Row],[Product ID]],Products!A:A,0))</f>
        <v>Multivitamin Gummies</v>
      </c>
      <c r="O1699" t="str">
        <f>INDEX(Products!C:C,MATCH(OrdersTable[[#This Row],[Product ID]],Products!A:A,0))</f>
        <v>Wellness</v>
      </c>
      <c r="P1699">
        <v>2</v>
      </c>
      <c r="Q1699" s="5">
        <v>699</v>
      </c>
      <c r="R1699" s="74">
        <v>0.25</v>
      </c>
      <c r="S1699" s="75">
        <f>OrdersTable[[#This Row],[Quantity]]*OrdersTable[[#This Row],[Unit Price]]</f>
        <v>1398</v>
      </c>
      <c r="T1699" s="5">
        <f>OrdersTable[[#This Row],[Gross Sale]]*OrdersTable[[#This Row],[Discount_Clean2]]</f>
        <v>349.5</v>
      </c>
      <c r="U1699" s="5">
        <f>OrdersTable[[#This Row],[Gross Sale]]-OrdersTable[[#This Row],[Discount Amount]]</f>
        <v>1048.5</v>
      </c>
      <c r="V1699" s="77">
        <f>INDEX(Products!E:E,MATCH(OrdersTable[[#This Row],[Product ID]],Products!A:A,0))</f>
        <v>238</v>
      </c>
      <c r="W1699" s="77">
        <f>OrdersTable[[#This Row],[Quantity]]*OrdersTable[[#This Row],[Unit Cost]]</f>
        <v>476</v>
      </c>
      <c r="X1699" s="77">
        <f>'Dropdown Lists'!$I$2*(1+OrdersTable[[#This Row],[Returned]])</f>
        <v>60</v>
      </c>
      <c r="Y1699" s="76">
        <f>OrdersTable[[#This Row],[Net Revenue]]-OrdersTable[[#This Row],[COGS]]-OrdersTable[[#This Row],[Shipping Cost]]</f>
        <v>512.5</v>
      </c>
      <c r="Z1699" s="78">
        <f>IFERROR(OrdersTable[[#This Row],[Profit]]/OrdersTable[[#This Row],[Net Revenue]],0)</f>
        <v>0.48879351454458753</v>
      </c>
      <c r="AA1699" t="s">
        <v>3495</v>
      </c>
      <c r="AB1699" s="79">
        <v>45602</v>
      </c>
      <c r="AC1699">
        <f>OrdersTable[[#This Row],[Delivery Date]]-OrdersTable[[#This Row],[Order Date]]</f>
        <v>3</v>
      </c>
      <c r="AD1699" t="str">
        <f>IF(OrdersTable[[#This Row],[Delivery Days]]&lt;=2, "Express (≤2d)", IF(OrdersTable[[#This Row],[Delivery Days]]&lt;=4, "Standard (3-4d)", "Delayed (5d+)"))</f>
        <v>Standard (3-4d)</v>
      </c>
      <c r="AE1699">
        <v>4</v>
      </c>
      <c r="AF1699">
        <v>0</v>
      </c>
    </row>
    <row r="1700" spans="1:32" ht="15" x14ac:dyDescent="0.35">
      <c r="A1700" t="s">
        <v>1155</v>
      </c>
      <c r="B1700" s="1">
        <v>45599</v>
      </c>
      <c r="C1700">
        <f>YEAR(OrdersTable[[#This Row],[Order Date]])</f>
        <v>2024</v>
      </c>
      <c r="D1700" s="2">
        <f>DATE(YEAR(OrdersTable[[#This Row],[Order Date]]),MONTH(OrdersTable[[#This Row],[Order Date]]),1)</f>
        <v>45597</v>
      </c>
      <c r="E1700">
        <f>MONTH(OrdersTable[[#This Row],[Order Date]])</f>
        <v>11</v>
      </c>
      <c r="F1700" t="s">
        <v>1062</v>
      </c>
      <c r="G1700" t="str">
        <f>IF(OrdersTable[[#This Row],[Order Date]]=_xlfn.MINIFS(Order_Date, Customer_ID, OrdersTable[[#This Row],[Customer ID]]), "New", "Repeat")</f>
        <v>Repeat</v>
      </c>
      <c r="H1700" t="s">
        <v>90</v>
      </c>
      <c r="I1700" t="str">
        <f>INDEX(State!B:B,MATCH(OrdersTable[[#This Row],[State]],State!A:A,0))</f>
        <v>GA</v>
      </c>
      <c r="J1700" t="str">
        <f>INDEX(State!C:C,MATCH(OrdersTable[[#This Row],[State Code]],State!B:B,0))</f>
        <v>West</v>
      </c>
      <c r="K1700" t="s">
        <v>91</v>
      </c>
      <c r="L1700" t="s">
        <v>50</v>
      </c>
      <c r="M1700" t="s">
        <v>109</v>
      </c>
      <c r="N1700" t="str">
        <f>INDEX(Products!B:B,MATCH(OrdersTable[[#This Row],[Product ID]],Products!A:A,0))</f>
        <v>Onion Hair Oil</v>
      </c>
      <c r="O1700" t="str">
        <f>INDEX(Products!C:C,MATCH(OrdersTable[[#This Row],[Product ID]],Products!A:A,0))</f>
        <v>Haircare</v>
      </c>
      <c r="P1700">
        <v>1</v>
      </c>
      <c r="Q1700" s="5">
        <v>349</v>
      </c>
      <c r="R1700" s="74">
        <v>0.3</v>
      </c>
      <c r="S1700" s="75">
        <f>OrdersTable[[#This Row],[Quantity]]*OrdersTable[[#This Row],[Unit Price]]</f>
        <v>349</v>
      </c>
      <c r="T1700" s="5">
        <f>OrdersTable[[#This Row],[Gross Sale]]*OrdersTable[[#This Row],[Discount_Clean2]]</f>
        <v>104.7</v>
      </c>
      <c r="U1700" s="5">
        <f>OrdersTable[[#This Row],[Gross Sale]]-OrdersTable[[#This Row],[Discount Amount]]</f>
        <v>244.3</v>
      </c>
      <c r="V1700" s="77">
        <f>INDEX(Products!E:E,MATCH(OrdersTable[[#This Row],[Product ID]],Products!A:A,0))</f>
        <v>105</v>
      </c>
      <c r="W1700" s="77">
        <f>OrdersTable[[#This Row],[Quantity]]*OrdersTable[[#This Row],[Unit Cost]]</f>
        <v>105</v>
      </c>
      <c r="X1700" s="77">
        <f>'Dropdown Lists'!$I$2*(1+OrdersTable[[#This Row],[Returned]])</f>
        <v>60</v>
      </c>
      <c r="Y1700" s="76">
        <f>OrdersTable[[#This Row],[Net Revenue]]-OrdersTable[[#This Row],[COGS]]-OrdersTable[[#This Row],[Shipping Cost]]</f>
        <v>79.300000000000011</v>
      </c>
      <c r="Z1700" s="78">
        <f>IFERROR(OrdersTable[[#This Row],[Profit]]/OrdersTable[[#This Row],[Net Revenue]],0)</f>
        <v>0.32460090053213264</v>
      </c>
      <c r="AA1700" t="s">
        <v>18</v>
      </c>
      <c r="AB1700" s="79">
        <v>45603</v>
      </c>
      <c r="AC1700">
        <f>OrdersTable[[#This Row],[Delivery Date]]-OrdersTable[[#This Row],[Order Date]]</f>
        <v>4</v>
      </c>
      <c r="AD1700" t="str">
        <f>IF(OrdersTable[[#This Row],[Delivery Days]]&lt;=2, "Express (≤2d)", IF(OrdersTable[[#This Row],[Delivery Days]]&lt;=4, "Standard (3-4d)", "Delayed (5d+)"))</f>
        <v>Standard (3-4d)</v>
      </c>
      <c r="AF1700">
        <v>0</v>
      </c>
    </row>
    <row r="1701" spans="1:32" ht="15" x14ac:dyDescent="0.35">
      <c r="A1701" t="s">
        <v>4684</v>
      </c>
      <c r="B1701" s="1">
        <v>45599</v>
      </c>
      <c r="C1701">
        <f>YEAR(OrdersTable[[#This Row],[Order Date]])</f>
        <v>2024</v>
      </c>
      <c r="D1701" s="2">
        <f>DATE(YEAR(OrdersTable[[#This Row],[Order Date]]),MONTH(OrdersTable[[#This Row],[Order Date]]),1)</f>
        <v>45597</v>
      </c>
      <c r="E1701">
        <f>MONTH(OrdersTable[[#This Row],[Order Date]])</f>
        <v>11</v>
      </c>
      <c r="F1701" t="s">
        <v>4685</v>
      </c>
      <c r="G1701" t="str">
        <f>IF(OrdersTable[[#This Row],[Order Date]]=_xlfn.MINIFS(Order_Date, Customer_ID, OrdersTable[[#This Row],[Customer ID]]), "New", "Repeat")</f>
        <v>New</v>
      </c>
      <c r="H1701" t="s">
        <v>167</v>
      </c>
      <c r="I1701" t="str">
        <f>INDEX(State!B:B,MATCH(OrdersTable[[#This Row],[State]],State!A:A,0))</f>
        <v>KA</v>
      </c>
      <c r="J1701" t="str">
        <f>INDEX(State!C:C,MATCH(OrdersTable[[#This Row],[State Code]],State!B:B,0))</f>
        <v>South</v>
      </c>
      <c r="K1701" t="s">
        <v>190</v>
      </c>
      <c r="L1701" t="s">
        <v>23</v>
      </c>
      <c r="M1701" t="s">
        <v>176</v>
      </c>
      <c r="N1701" t="str">
        <f>INDEX(Products!B:B,MATCH(OrdersTable[[#This Row],[Product ID]],Products!A:A,0))</f>
        <v>Denim Jacket</v>
      </c>
      <c r="O1701" t="str">
        <f>INDEX(Products!C:C,MATCH(OrdersTable[[#This Row],[Product ID]],Products!A:A,0))</f>
        <v>Apparel</v>
      </c>
      <c r="P1701">
        <v>1</v>
      </c>
      <c r="Q1701" s="5">
        <v>2499</v>
      </c>
      <c r="R1701" s="74">
        <v>0.2</v>
      </c>
      <c r="S1701" s="75">
        <f>OrdersTable[[#This Row],[Quantity]]*OrdersTable[[#This Row],[Unit Price]]</f>
        <v>2499</v>
      </c>
      <c r="T1701" s="5">
        <f>OrdersTable[[#This Row],[Gross Sale]]*OrdersTable[[#This Row],[Discount_Clean2]]</f>
        <v>499.8</v>
      </c>
      <c r="U1701" s="5">
        <f>OrdersTable[[#This Row],[Gross Sale]]-OrdersTable[[#This Row],[Discount Amount]]</f>
        <v>1999.2</v>
      </c>
      <c r="V1701" s="77">
        <f>INDEX(Products!E:E,MATCH(OrdersTable[[#This Row],[Product ID]],Products!A:A,0))</f>
        <v>1125</v>
      </c>
      <c r="W1701" s="77">
        <f>OrdersTable[[#This Row],[Quantity]]*OrdersTable[[#This Row],[Unit Cost]]</f>
        <v>1125</v>
      </c>
      <c r="X1701" s="77">
        <f>'Dropdown Lists'!$I$2*(1+OrdersTable[[#This Row],[Returned]])</f>
        <v>60</v>
      </c>
      <c r="Y1701" s="76">
        <f>OrdersTable[[#This Row],[Net Revenue]]-OrdersTable[[#This Row],[COGS]]-OrdersTable[[#This Row],[Shipping Cost]]</f>
        <v>814.2</v>
      </c>
      <c r="Z1701" s="78">
        <f>IFERROR(OrdersTable[[#This Row],[Profit]]/OrdersTable[[#This Row],[Net Revenue]],0)</f>
        <v>0.40726290516206481</v>
      </c>
      <c r="AA1701" t="s">
        <v>4450</v>
      </c>
      <c r="AB1701" s="79">
        <v>45603</v>
      </c>
      <c r="AC1701">
        <f>OrdersTable[[#This Row],[Delivery Date]]-OrdersTable[[#This Row],[Order Date]]</f>
        <v>4</v>
      </c>
      <c r="AD1701" t="str">
        <f>IF(OrdersTable[[#This Row],[Delivery Days]]&lt;=2, "Express (≤2d)", IF(OrdersTable[[#This Row],[Delivery Days]]&lt;=4, "Standard (3-4d)", "Delayed (5d+)"))</f>
        <v>Standard (3-4d)</v>
      </c>
      <c r="AE1701">
        <v>3</v>
      </c>
      <c r="AF1701">
        <v>0</v>
      </c>
    </row>
    <row r="1702" spans="1:32" ht="15" x14ac:dyDescent="0.35">
      <c r="A1702" t="s">
        <v>5594</v>
      </c>
      <c r="B1702" s="1">
        <v>45599</v>
      </c>
      <c r="C1702">
        <f>YEAR(OrdersTable[[#This Row],[Order Date]])</f>
        <v>2024</v>
      </c>
      <c r="D1702" s="2">
        <f>DATE(YEAR(OrdersTable[[#This Row],[Order Date]]),MONTH(OrdersTable[[#This Row],[Order Date]]),1)</f>
        <v>45597</v>
      </c>
      <c r="E1702">
        <f>MONTH(OrdersTable[[#This Row],[Order Date]])</f>
        <v>11</v>
      </c>
      <c r="F1702" t="s">
        <v>5595</v>
      </c>
      <c r="G1702" t="str">
        <f>IF(OrdersTable[[#This Row],[Order Date]]=_xlfn.MINIFS(Order_Date, Customer_ID, OrdersTable[[#This Row],[Customer ID]]), "New", "Repeat")</f>
        <v>New</v>
      </c>
      <c r="H1702" t="s">
        <v>275</v>
      </c>
      <c r="I1702" t="str">
        <f>INDEX(State!B:B,MATCH(OrdersTable[[#This Row],[State]],State!A:A,0))</f>
        <v>AP</v>
      </c>
      <c r="J1702" t="str">
        <f>INDEX(State!C:C,MATCH(OrdersTable[[#This Row],[State Code]],State!B:B,0))</f>
        <v>South</v>
      </c>
      <c r="K1702" t="s">
        <v>491</v>
      </c>
      <c r="L1702" t="s">
        <v>65</v>
      </c>
      <c r="M1702" t="s">
        <v>160</v>
      </c>
      <c r="N1702" t="str">
        <f>INDEX(Products!B:B,MATCH(OrdersTable[[#This Row],[Product ID]],Products!A:A,0))</f>
        <v>Niacinamide Toner</v>
      </c>
      <c r="O1702" t="str">
        <f>INDEX(Products!C:C,MATCH(OrdersTable[[#This Row],[Product ID]],Products!A:A,0))</f>
        <v>Skincare</v>
      </c>
      <c r="P1702">
        <v>2</v>
      </c>
      <c r="Q1702" s="5">
        <v>399</v>
      </c>
      <c r="R1702" s="74">
        <v>0.45</v>
      </c>
      <c r="S1702" s="75">
        <f>OrdersTable[[#This Row],[Quantity]]*OrdersTable[[#This Row],[Unit Price]]</f>
        <v>798</v>
      </c>
      <c r="T1702" s="5">
        <f>OrdersTable[[#This Row],[Gross Sale]]*OrdersTable[[#This Row],[Discount_Clean2]]</f>
        <v>359.1</v>
      </c>
      <c r="U1702" s="5">
        <f>OrdersTable[[#This Row],[Gross Sale]]-OrdersTable[[#This Row],[Discount Amount]]</f>
        <v>438.9</v>
      </c>
      <c r="V1702" s="77">
        <f>INDEX(Products!E:E,MATCH(OrdersTable[[#This Row],[Product ID]],Products!A:A,0))</f>
        <v>112</v>
      </c>
      <c r="W1702" s="77">
        <f>OrdersTable[[#This Row],[Quantity]]*OrdersTable[[#This Row],[Unit Cost]]</f>
        <v>224</v>
      </c>
      <c r="X1702" s="77">
        <f>'Dropdown Lists'!$I$2*(1+OrdersTable[[#This Row],[Returned]])</f>
        <v>120</v>
      </c>
      <c r="Y1702" s="76">
        <f>OrdersTable[[#This Row],[Net Revenue]]-OrdersTable[[#This Row],[COGS]]-OrdersTable[[#This Row],[Shipping Cost]]</f>
        <v>94.899999999999977</v>
      </c>
      <c r="Z1702" s="78">
        <f>IFERROR(OrdersTable[[#This Row],[Profit]]/OrdersTable[[#This Row],[Net Revenue]],0)</f>
        <v>0.21622237411711093</v>
      </c>
      <c r="AA1702" t="s">
        <v>2522</v>
      </c>
      <c r="AB1702" s="79">
        <v>45602</v>
      </c>
      <c r="AC1702">
        <f>OrdersTable[[#This Row],[Delivery Date]]-OrdersTable[[#This Row],[Order Date]]</f>
        <v>3</v>
      </c>
      <c r="AD1702" t="str">
        <f>IF(OrdersTable[[#This Row],[Delivery Days]]&lt;=2, "Express (≤2d)", IF(OrdersTable[[#This Row],[Delivery Days]]&lt;=4, "Standard (3-4d)", "Delayed (5d+)"))</f>
        <v>Standard (3-4d)</v>
      </c>
      <c r="AF1702">
        <v>1</v>
      </c>
    </row>
    <row r="1703" spans="1:32" ht="15" x14ac:dyDescent="0.35">
      <c r="A1703" t="s">
        <v>6522</v>
      </c>
      <c r="B1703" s="1">
        <v>45599</v>
      </c>
      <c r="C1703">
        <f>YEAR(OrdersTable[[#This Row],[Order Date]])</f>
        <v>2024</v>
      </c>
      <c r="D1703" s="2">
        <f>DATE(YEAR(OrdersTable[[#This Row],[Order Date]]),MONTH(OrdersTable[[#This Row],[Order Date]]),1)</f>
        <v>45597</v>
      </c>
      <c r="E1703">
        <f>MONTH(OrdersTable[[#This Row],[Order Date]])</f>
        <v>11</v>
      </c>
      <c r="F1703" t="s">
        <v>5506</v>
      </c>
      <c r="G1703" t="str">
        <f>IF(OrdersTable[[#This Row],[Order Date]]=_xlfn.MINIFS(Order_Date, Customer_ID, OrdersTable[[#This Row],[Customer ID]]), "New", "Repeat")</f>
        <v>Repeat</v>
      </c>
      <c r="H1703" t="s">
        <v>59</v>
      </c>
      <c r="I1703" t="str">
        <f>INDEX(State!B:B,MATCH(OrdersTable[[#This Row],[State]],State!A:A,0))</f>
        <v>TN</v>
      </c>
      <c r="J1703" t="str">
        <f>INDEX(State!C:C,MATCH(OrdersTable[[#This Row],[State Code]],State!B:B,0))</f>
        <v>South</v>
      </c>
      <c r="K1703" t="s">
        <v>60</v>
      </c>
      <c r="L1703" t="s">
        <v>50</v>
      </c>
      <c r="M1703" t="s">
        <v>66</v>
      </c>
      <c r="N1703" t="str">
        <f>INDEX(Products!B:B,MATCH(OrdersTable[[#This Row],[Product ID]],Products!A:A,0))</f>
        <v>Sunscreen SPF 50</v>
      </c>
      <c r="O1703" t="str">
        <f>INDEX(Products!C:C,MATCH(OrdersTable[[#This Row],[Product ID]],Products!A:A,0))</f>
        <v>Skincare</v>
      </c>
      <c r="P1703">
        <v>3</v>
      </c>
      <c r="Q1703" s="5">
        <v>449</v>
      </c>
      <c r="R1703" s="74">
        <v>0.2</v>
      </c>
      <c r="S1703" s="75">
        <f>OrdersTable[[#This Row],[Quantity]]*OrdersTable[[#This Row],[Unit Price]]</f>
        <v>1347</v>
      </c>
      <c r="T1703" s="5">
        <f>OrdersTable[[#This Row],[Gross Sale]]*OrdersTable[[#This Row],[Discount_Clean2]]</f>
        <v>269.40000000000003</v>
      </c>
      <c r="U1703" s="5">
        <f>OrdersTable[[#This Row],[Gross Sale]]-OrdersTable[[#This Row],[Discount Amount]]</f>
        <v>1077.5999999999999</v>
      </c>
      <c r="V1703" s="77">
        <f>INDEX(Products!E:E,MATCH(OrdersTable[[#This Row],[Product ID]],Products!A:A,0))</f>
        <v>144</v>
      </c>
      <c r="W1703" s="77">
        <f>OrdersTable[[#This Row],[Quantity]]*OrdersTable[[#This Row],[Unit Cost]]</f>
        <v>432</v>
      </c>
      <c r="X1703" s="77">
        <f>'Dropdown Lists'!$I$2*(1+OrdersTable[[#This Row],[Returned]])</f>
        <v>60</v>
      </c>
      <c r="Y1703" s="76">
        <f>OrdersTable[[#This Row],[Net Revenue]]-OrdersTable[[#This Row],[COGS]]-OrdersTable[[#This Row],[Shipping Cost]]</f>
        <v>585.59999999999991</v>
      </c>
      <c r="Z1703" s="78">
        <f>IFERROR(OrdersTable[[#This Row],[Profit]]/OrdersTable[[#This Row],[Net Revenue]],0)</f>
        <v>0.54342984409799555</v>
      </c>
      <c r="AA1703" t="s">
        <v>18</v>
      </c>
      <c r="AB1703" s="79">
        <v>45603</v>
      </c>
      <c r="AC1703">
        <f>OrdersTable[[#This Row],[Delivery Date]]-OrdersTable[[#This Row],[Order Date]]</f>
        <v>4</v>
      </c>
      <c r="AD1703" t="str">
        <f>IF(OrdersTable[[#This Row],[Delivery Days]]&lt;=2, "Express (≤2d)", IF(OrdersTable[[#This Row],[Delivery Days]]&lt;=4, "Standard (3-4d)", "Delayed (5d+)"))</f>
        <v>Standard (3-4d)</v>
      </c>
      <c r="AF1703">
        <v>0</v>
      </c>
    </row>
    <row r="1704" spans="1:32" ht="15" x14ac:dyDescent="0.35">
      <c r="A1704" t="s">
        <v>6523</v>
      </c>
      <c r="B1704" s="1">
        <v>45600</v>
      </c>
      <c r="C1704">
        <f>YEAR(OrdersTable[[#This Row],[Order Date]])</f>
        <v>2024</v>
      </c>
      <c r="D1704" s="2">
        <f>DATE(YEAR(OrdersTable[[#This Row],[Order Date]]),MONTH(OrdersTable[[#This Row],[Order Date]]),1)</f>
        <v>45597</v>
      </c>
      <c r="E1704">
        <f>MONTH(OrdersTable[[#This Row],[Order Date]])</f>
        <v>11</v>
      </c>
      <c r="F1704" t="s">
        <v>266</v>
      </c>
      <c r="G1704" t="str">
        <f>IF(OrdersTable[[#This Row],[Order Date]]=_xlfn.MINIFS(Order_Date, Customer_ID, OrdersTable[[#This Row],[Customer ID]]), "New", "Repeat")</f>
        <v>New</v>
      </c>
      <c r="H1704" t="s">
        <v>128</v>
      </c>
      <c r="I1704" t="str">
        <f>INDEX(State!B:B,MATCH(OrdersTable[[#This Row],[State]],State!A:A,0))</f>
        <v>DL</v>
      </c>
      <c r="J1704" t="str">
        <f>INDEX(State!C:C,MATCH(OrdersTable[[#This Row],[State Code]],State!B:B,0))</f>
        <v>North</v>
      </c>
      <c r="K1704" t="s">
        <v>129</v>
      </c>
      <c r="L1704" t="s">
        <v>39</v>
      </c>
      <c r="M1704" t="s">
        <v>160</v>
      </c>
      <c r="N1704" t="str">
        <f>INDEX(Products!B:B,MATCH(OrdersTable[[#This Row],[Product ID]],Products!A:A,0))</f>
        <v>Niacinamide Toner</v>
      </c>
      <c r="O1704" t="str">
        <f>INDEX(Products!C:C,MATCH(OrdersTable[[#This Row],[Product ID]],Products!A:A,0))</f>
        <v>Skincare</v>
      </c>
      <c r="P1704">
        <v>3</v>
      </c>
      <c r="Q1704" s="5">
        <v>399</v>
      </c>
      <c r="R1704" s="74">
        <v>0.35</v>
      </c>
      <c r="S1704" s="75">
        <f>OrdersTable[[#This Row],[Quantity]]*OrdersTable[[#This Row],[Unit Price]]</f>
        <v>1197</v>
      </c>
      <c r="T1704" s="5">
        <f>OrdersTable[[#This Row],[Gross Sale]]*OrdersTable[[#This Row],[Discount_Clean2]]</f>
        <v>418.95</v>
      </c>
      <c r="U1704" s="5">
        <f>OrdersTable[[#This Row],[Gross Sale]]-OrdersTable[[#This Row],[Discount Amount]]</f>
        <v>778.05</v>
      </c>
      <c r="V1704" s="77">
        <f>INDEX(Products!E:E,MATCH(OrdersTable[[#This Row],[Product ID]],Products!A:A,0))</f>
        <v>112</v>
      </c>
      <c r="W1704" s="77">
        <f>OrdersTable[[#This Row],[Quantity]]*OrdersTable[[#This Row],[Unit Cost]]</f>
        <v>336</v>
      </c>
      <c r="X1704" s="77">
        <f>'Dropdown Lists'!$I$2*(1+OrdersTable[[#This Row],[Returned]])</f>
        <v>60</v>
      </c>
      <c r="Y1704" s="76">
        <f>OrdersTable[[#This Row],[Net Revenue]]-OrdersTable[[#This Row],[COGS]]-OrdersTable[[#This Row],[Shipping Cost]]</f>
        <v>382.04999999999995</v>
      </c>
      <c r="Z1704" s="78">
        <f>IFERROR(OrdersTable[[#This Row],[Profit]]/OrdersTable[[#This Row],[Net Revenue]],0)</f>
        <v>0.49103528050896467</v>
      </c>
      <c r="AA1704" t="s">
        <v>18</v>
      </c>
      <c r="AB1704" s="79">
        <v>45604</v>
      </c>
      <c r="AC1704">
        <f>OrdersTable[[#This Row],[Delivery Date]]-OrdersTable[[#This Row],[Order Date]]</f>
        <v>4</v>
      </c>
      <c r="AD1704" t="str">
        <f>IF(OrdersTable[[#This Row],[Delivery Days]]&lt;=2, "Express (≤2d)", IF(OrdersTable[[#This Row],[Delivery Days]]&lt;=4, "Standard (3-4d)", "Delayed (5d+)"))</f>
        <v>Standard (3-4d)</v>
      </c>
      <c r="AE1704">
        <v>4</v>
      </c>
      <c r="AF1704">
        <v>0</v>
      </c>
    </row>
    <row r="1705" spans="1:32" ht="15" x14ac:dyDescent="0.35">
      <c r="A1705" t="s">
        <v>3994</v>
      </c>
      <c r="B1705" s="1">
        <v>45600</v>
      </c>
      <c r="C1705">
        <f>YEAR(OrdersTable[[#This Row],[Order Date]])</f>
        <v>2024</v>
      </c>
      <c r="D1705" s="2">
        <f>DATE(YEAR(OrdersTable[[#This Row],[Order Date]]),MONTH(OrdersTable[[#This Row],[Order Date]]),1)</f>
        <v>45597</v>
      </c>
      <c r="E1705">
        <f>MONTH(OrdersTable[[#This Row],[Order Date]])</f>
        <v>11</v>
      </c>
      <c r="F1705" t="s">
        <v>772</v>
      </c>
      <c r="G1705" t="str">
        <f>IF(OrdersTable[[#This Row],[Order Date]]=_xlfn.MINIFS(Order_Date, Customer_ID, OrdersTable[[#This Row],[Customer ID]]), "New", "Repeat")</f>
        <v>Repeat</v>
      </c>
      <c r="H1705" t="s">
        <v>71</v>
      </c>
      <c r="I1705" t="str">
        <f>INDEX(State!B:B,MATCH(OrdersTable[[#This Row],[State]],State!A:A,0))</f>
        <v>MH</v>
      </c>
      <c r="J1705" t="str">
        <f>INDEX(State!C:C,MATCH(OrdersTable[[#This Row],[State Code]],State!B:B,0))</f>
        <v>West</v>
      </c>
      <c r="K1705" t="s">
        <v>72</v>
      </c>
      <c r="L1705" t="s">
        <v>39</v>
      </c>
      <c r="M1705" t="s">
        <v>66</v>
      </c>
      <c r="N1705" t="str">
        <f>INDEX(Products!B:B,MATCH(OrdersTable[[#This Row],[Product ID]],Products!A:A,0))</f>
        <v>Sunscreen SPF 50</v>
      </c>
      <c r="O1705" t="str">
        <f>INDEX(Products!C:C,MATCH(OrdersTable[[#This Row],[Product ID]],Products!A:A,0))</f>
        <v>Skincare</v>
      </c>
      <c r="P1705">
        <v>1</v>
      </c>
      <c r="Q1705" s="5">
        <v>449</v>
      </c>
      <c r="R1705" s="74">
        <v>0.15</v>
      </c>
      <c r="S1705" s="75">
        <f>OrdersTable[[#This Row],[Quantity]]*OrdersTable[[#This Row],[Unit Price]]</f>
        <v>449</v>
      </c>
      <c r="T1705" s="5">
        <f>OrdersTable[[#This Row],[Gross Sale]]*OrdersTable[[#This Row],[Discount_Clean2]]</f>
        <v>67.349999999999994</v>
      </c>
      <c r="U1705" s="5">
        <f>OrdersTable[[#This Row],[Gross Sale]]-OrdersTable[[#This Row],[Discount Amount]]</f>
        <v>381.65</v>
      </c>
      <c r="V1705" s="77">
        <f>INDEX(Products!E:E,MATCH(OrdersTable[[#This Row],[Product ID]],Products!A:A,0))</f>
        <v>144</v>
      </c>
      <c r="W1705" s="77">
        <f>OrdersTable[[#This Row],[Quantity]]*OrdersTable[[#This Row],[Unit Cost]]</f>
        <v>144</v>
      </c>
      <c r="X1705" s="77">
        <f>'Dropdown Lists'!$I$2*(1+OrdersTable[[#This Row],[Returned]])</f>
        <v>60</v>
      </c>
      <c r="Y1705" s="76">
        <f>OrdersTable[[#This Row],[Net Revenue]]-OrdersTable[[#This Row],[COGS]]-OrdersTable[[#This Row],[Shipping Cost]]</f>
        <v>177.64999999999998</v>
      </c>
      <c r="Z1705" s="78">
        <f>IFERROR(OrdersTable[[#This Row],[Profit]]/OrdersTable[[#This Row],[Net Revenue]],0)</f>
        <v>0.465478841870824</v>
      </c>
      <c r="AA1705" t="s">
        <v>3495</v>
      </c>
      <c r="AB1705" s="79">
        <v>45603</v>
      </c>
      <c r="AC1705">
        <f>OrdersTable[[#This Row],[Delivery Date]]-OrdersTable[[#This Row],[Order Date]]</f>
        <v>3</v>
      </c>
      <c r="AD1705" t="str">
        <f>IF(OrdersTable[[#This Row],[Delivery Days]]&lt;=2, "Express (≤2d)", IF(OrdersTable[[#This Row],[Delivery Days]]&lt;=4, "Standard (3-4d)", "Delayed (5d+)"))</f>
        <v>Standard (3-4d)</v>
      </c>
      <c r="AE1705">
        <v>5</v>
      </c>
      <c r="AF1705">
        <v>0</v>
      </c>
    </row>
    <row r="1706" spans="1:32" ht="15" x14ac:dyDescent="0.35">
      <c r="A1706" t="s">
        <v>1238</v>
      </c>
      <c r="B1706" s="1">
        <v>45600</v>
      </c>
      <c r="C1706">
        <f>YEAR(OrdersTable[[#This Row],[Order Date]])</f>
        <v>2024</v>
      </c>
      <c r="D1706" s="2">
        <f>DATE(YEAR(OrdersTable[[#This Row],[Order Date]]),MONTH(OrdersTable[[#This Row],[Order Date]]),1)</f>
        <v>45597</v>
      </c>
      <c r="E1706">
        <f>MONTH(OrdersTable[[#This Row],[Order Date]])</f>
        <v>11</v>
      </c>
      <c r="F1706" t="s">
        <v>1239</v>
      </c>
      <c r="G1706" t="str">
        <f>IF(OrdersTable[[#This Row],[Order Date]]=_xlfn.MINIFS(Order_Date, Customer_ID, OrdersTable[[#This Row],[Customer ID]]), "New", "Repeat")</f>
        <v>New</v>
      </c>
      <c r="H1706" t="s">
        <v>14</v>
      </c>
      <c r="I1706" t="str">
        <f>INDEX(State!B:B,MATCH(OrdersTable[[#This Row],[State]],State!A:A,0))</f>
        <v>OD</v>
      </c>
      <c r="J1706" t="str">
        <f>INDEX(State!C:C,MATCH(OrdersTable[[#This Row],[State Code]],State!B:B,0))</f>
        <v>East</v>
      </c>
      <c r="K1706" t="s">
        <v>15</v>
      </c>
      <c r="L1706" t="s">
        <v>16</v>
      </c>
      <c r="M1706" t="s">
        <v>255</v>
      </c>
      <c r="N1706" t="str">
        <f>INDEX(Products!B:B,MATCH(OrdersTable[[#This Row],[Product ID]],Products!A:A,0))</f>
        <v>Cotton Oversized T-Shirt</v>
      </c>
      <c r="O1706" t="str">
        <f>INDEX(Products!C:C,MATCH(OrdersTable[[#This Row],[Product ID]],Products!A:A,0))</f>
        <v>Apparel</v>
      </c>
      <c r="P1706">
        <v>1</v>
      </c>
      <c r="Q1706" s="5">
        <v>799</v>
      </c>
      <c r="R1706" s="74">
        <v>0.15</v>
      </c>
      <c r="S1706" s="75">
        <f>OrdersTable[[#This Row],[Quantity]]*OrdersTable[[#This Row],[Unit Price]]</f>
        <v>799</v>
      </c>
      <c r="T1706" s="5">
        <f>OrdersTable[[#This Row],[Gross Sale]]*OrdersTable[[#This Row],[Discount_Clean2]]</f>
        <v>119.85</v>
      </c>
      <c r="U1706" s="5">
        <f>OrdersTable[[#This Row],[Gross Sale]]-OrdersTable[[#This Row],[Discount Amount]]</f>
        <v>679.15</v>
      </c>
      <c r="V1706" s="77">
        <f>INDEX(Products!E:E,MATCH(OrdersTable[[#This Row],[Product ID]],Products!A:A,0))</f>
        <v>320</v>
      </c>
      <c r="W1706" s="77">
        <f>OrdersTable[[#This Row],[Quantity]]*OrdersTable[[#This Row],[Unit Cost]]</f>
        <v>320</v>
      </c>
      <c r="X1706" s="77">
        <f>'Dropdown Lists'!$I$2*(1+OrdersTable[[#This Row],[Returned]])</f>
        <v>120</v>
      </c>
      <c r="Y1706" s="76">
        <f>OrdersTable[[#This Row],[Net Revenue]]-OrdersTable[[#This Row],[COGS]]-OrdersTable[[#This Row],[Shipping Cost]]</f>
        <v>239.14999999999998</v>
      </c>
      <c r="Z1706" s="78">
        <f>IFERROR(OrdersTable[[#This Row],[Profit]]/OrdersTable[[#This Row],[Net Revenue]],0)</f>
        <v>0.35213134064639623</v>
      </c>
      <c r="AA1706" t="s">
        <v>18</v>
      </c>
      <c r="AB1706" s="79">
        <v>45604</v>
      </c>
      <c r="AC1706">
        <f>OrdersTable[[#This Row],[Delivery Date]]-OrdersTable[[#This Row],[Order Date]]</f>
        <v>4</v>
      </c>
      <c r="AD1706" t="str">
        <f>IF(OrdersTable[[#This Row],[Delivery Days]]&lt;=2, "Express (≤2d)", IF(OrdersTable[[#This Row],[Delivery Days]]&lt;=4, "Standard (3-4d)", "Delayed (5d+)"))</f>
        <v>Standard (3-4d)</v>
      </c>
      <c r="AF1706">
        <v>1</v>
      </c>
    </row>
    <row r="1707" spans="1:32" ht="15" x14ac:dyDescent="0.35">
      <c r="A1707" t="s">
        <v>2585</v>
      </c>
      <c r="B1707" s="1">
        <v>45600</v>
      </c>
      <c r="C1707">
        <f>YEAR(OrdersTable[[#This Row],[Order Date]])</f>
        <v>2024</v>
      </c>
      <c r="D1707" s="2">
        <f>DATE(YEAR(OrdersTable[[#This Row],[Order Date]]),MONTH(OrdersTable[[#This Row],[Order Date]]),1)</f>
        <v>45597</v>
      </c>
      <c r="E1707">
        <f>MONTH(OrdersTable[[#This Row],[Order Date]])</f>
        <v>11</v>
      </c>
      <c r="F1707" t="s">
        <v>1541</v>
      </c>
      <c r="G1707" t="str">
        <f>IF(OrdersTable[[#This Row],[Order Date]]=_xlfn.MINIFS(Order_Date, Customer_ID, OrdersTable[[#This Row],[Customer ID]]), "New", "Repeat")</f>
        <v>New</v>
      </c>
      <c r="H1707" t="s">
        <v>90</v>
      </c>
      <c r="I1707" t="str">
        <f>INDEX(State!B:B,MATCH(OrdersTable[[#This Row],[State]],State!A:A,0))</f>
        <v>GA</v>
      </c>
      <c r="J1707" t="str">
        <f>INDEX(State!C:C,MATCH(OrdersTable[[#This Row],[State Code]],State!B:B,0))</f>
        <v>West</v>
      </c>
      <c r="K1707" t="s">
        <v>91</v>
      </c>
      <c r="L1707" t="s">
        <v>65</v>
      </c>
      <c r="M1707" t="s">
        <v>576</v>
      </c>
      <c r="N1707" t="str">
        <f>INDEX(Products!B:B,MATCH(OrdersTable[[#This Row],[Product ID]],Products!A:A,0))</f>
        <v>Printed Saree</v>
      </c>
      <c r="O1707" t="str">
        <f>INDEX(Products!C:C,MATCH(OrdersTable[[#This Row],[Product ID]],Products!A:A,0))</f>
        <v>Apparel</v>
      </c>
      <c r="P1707">
        <v>1</v>
      </c>
      <c r="Q1707" s="5">
        <v>1999</v>
      </c>
      <c r="R1707" s="74">
        <v>0.25</v>
      </c>
      <c r="S1707" s="75">
        <f>OrdersTable[[#This Row],[Quantity]]*OrdersTable[[#This Row],[Unit Price]]</f>
        <v>1999</v>
      </c>
      <c r="T1707" s="5">
        <f>OrdersTable[[#This Row],[Gross Sale]]*OrdersTable[[#This Row],[Discount_Clean2]]</f>
        <v>499.75</v>
      </c>
      <c r="U1707" s="5">
        <f>OrdersTable[[#This Row],[Gross Sale]]-OrdersTable[[#This Row],[Discount Amount]]</f>
        <v>1499.25</v>
      </c>
      <c r="V1707" s="77">
        <f>INDEX(Products!E:E,MATCH(OrdersTable[[#This Row],[Product ID]],Products!A:A,0))</f>
        <v>880</v>
      </c>
      <c r="W1707" s="77">
        <f>OrdersTable[[#This Row],[Quantity]]*OrdersTable[[#This Row],[Unit Cost]]</f>
        <v>880</v>
      </c>
      <c r="X1707" s="77">
        <f>'Dropdown Lists'!$I$2*(1+OrdersTable[[#This Row],[Returned]])</f>
        <v>120</v>
      </c>
      <c r="Y1707" s="76">
        <f>OrdersTable[[#This Row],[Net Revenue]]-OrdersTable[[#This Row],[COGS]]-OrdersTable[[#This Row],[Shipping Cost]]</f>
        <v>499.25</v>
      </c>
      <c r="Z1707" s="78">
        <f>IFERROR(OrdersTable[[#This Row],[Profit]]/OrdersTable[[#This Row],[Net Revenue]],0)</f>
        <v>0.3329998332499583</v>
      </c>
      <c r="AA1707" t="s">
        <v>2522</v>
      </c>
      <c r="AB1707" s="79">
        <v>45606</v>
      </c>
      <c r="AC1707">
        <f>OrdersTable[[#This Row],[Delivery Date]]-OrdersTable[[#This Row],[Order Date]]</f>
        <v>6</v>
      </c>
      <c r="AD1707" t="str">
        <f>IF(OrdersTable[[#This Row],[Delivery Days]]&lt;=2, "Express (≤2d)", IF(OrdersTable[[#This Row],[Delivery Days]]&lt;=4, "Standard (3-4d)", "Delayed (5d+)"))</f>
        <v>Delayed (5d+)</v>
      </c>
      <c r="AE1707">
        <v>5</v>
      </c>
      <c r="AF1707">
        <v>1</v>
      </c>
    </row>
    <row r="1708" spans="1:32" ht="15" x14ac:dyDescent="0.35">
      <c r="A1708" t="s">
        <v>3425</v>
      </c>
      <c r="B1708" s="1">
        <v>45600</v>
      </c>
      <c r="C1708">
        <f>YEAR(OrdersTable[[#This Row],[Order Date]])</f>
        <v>2024</v>
      </c>
      <c r="D1708" s="2">
        <f>DATE(YEAR(OrdersTable[[#This Row],[Order Date]]),MONTH(OrdersTable[[#This Row],[Order Date]]),1)</f>
        <v>45597</v>
      </c>
      <c r="E1708">
        <f>MONTH(OrdersTable[[#This Row],[Order Date]])</f>
        <v>11</v>
      </c>
      <c r="F1708" t="s">
        <v>3426</v>
      </c>
      <c r="G1708" t="str">
        <f>IF(OrdersTable[[#This Row],[Order Date]]=_xlfn.MINIFS(Order_Date, Customer_ID, OrdersTable[[#This Row],[Customer ID]]), "New", "Repeat")</f>
        <v>Repeat</v>
      </c>
      <c r="H1708" t="s">
        <v>167</v>
      </c>
      <c r="I1708" t="str">
        <f>INDEX(State!B:B,MATCH(OrdersTable[[#This Row],[State]],State!A:A,0))</f>
        <v>KA</v>
      </c>
      <c r="J1708" t="str">
        <f>INDEX(State!C:C,MATCH(OrdersTable[[#This Row],[State Code]],State!B:B,0))</f>
        <v>South</v>
      </c>
      <c r="K1708" t="s">
        <v>190</v>
      </c>
      <c r="L1708" t="s">
        <v>65</v>
      </c>
      <c r="M1708" t="s">
        <v>56</v>
      </c>
      <c r="N1708" t="str">
        <f>INDEX(Products!B:B,MATCH(OrdersTable[[#This Row],[Product ID]],Products!A:A,0))</f>
        <v>Vitamin C Face Serum</v>
      </c>
      <c r="O1708" t="str">
        <f>INDEX(Products!C:C,MATCH(OrdersTable[[#This Row],[Product ID]],Products!A:A,0))</f>
        <v>Skincare</v>
      </c>
      <c r="P1708">
        <v>1</v>
      </c>
      <c r="Q1708" s="5">
        <v>599</v>
      </c>
      <c r="R1708" s="74">
        <v>0.25</v>
      </c>
      <c r="S1708" s="75">
        <f>OrdersTable[[#This Row],[Quantity]]*OrdersTable[[#This Row],[Unit Price]]</f>
        <v>599</v>
      </c>
      <c r="T1708" s="5">
        <f>OrdersTable[[#This Row],[Gross Sale]]*OrdersTable[[#This Row],[Discount_Clean2]]</f>
        <v>149.75</v>
      </c>
      <c r="U1708" s="5">
        <f>OrdersTable[[#This Row],[Gross Sale]]-OrdersTable[[#This Row],[Discount Amount]]</f>
        <v>449.25</v>
      </c>
      <c r="V1708" s="77">
        <f>INDEX(Products!E:E,MATCH(OrdersTable[[#This Row],[Product ID]],Products!A:A,0))</f>
        <v>180</v>
      </c>
      <c r="W1708" s="77">
        <f>OrdersTable[[#This Row],[Quantity]]*OrdersTable[[#This Row],[Unit Cost]]</f>
        <v>180</v>
      </c>
      <c r="X1708" s="77">
        <f>'Dropdown Lists'!$I$2*(1+OrdersTable[[#This Row],[Returned]])</f>
        <v>60</v>
      </c>
      <c r="Y1708" s="76">
        <f>OrdersTable[[#This Row],[Net Revenue]]-OrdersTable[[#This Row],[COGS]]-OrdersTable[[#This Row],[Shipping Cost]]</f>
        <v>209.25</v>
      </c>
      <c r="Z1708" s="78">
        <f>IFERROR(OrdersTable[[#This Row],[Profit]]/OrdersTable[[#This Row],[Net Revenue]],0)</f>
        <v>0.46577629382303842</v>
      </c>
      <c r="AA1708" t="s">
        <v>2522</v>
      </c>
      <c r="AB1708" s="79">
        <v>45601</v>
      </c>
      <c r="AC1708">
        <f>OrdersTable[[#This Row],[Delivery Date]]-OrdersTable[[#This Row],[Order Date]]</f>
        <v>1</v>
      </c>
      <c r="AD1708" t="str">
        <f>IF(OrdersTable[[#This Row],[Delivery Days]]&lt;=2, "Express (≤2d)", IF(OrdersTable[[#This Row],[Delivery Days]]&lt;=4, "Standard (3-4d)", "Delayed (5d+)"))</f>
        <v>Express (≤2d)</v>
      </c>
      <c r="AE1708">
        <v>4</v>
      </c>
      <c r="AF1708">
        <v>0</v>
      </c>
    </row>
    <row r="1709" spans="1:32" ht="15" x14ac:dyDescent="0.35">
      <c r="A1709" t="s">
        <v>4945</v>
      </c>
      <c r="B1709" s="1">
        <v>45600</v>
      </c>
      <c r="C1709">
        <f>YEAR(OrdersTable[[#This Row],[Order Date]])</f>
        <v>2024</v>
      </c>
      <c r="D1709" s="2">
        <f>DATE(YEAR(OrdersTable[[#This Row],[Order Date]]),MONTH(OrdersTable[[#This Row],[Order Date]]),1)</f>
        <v>45597</v>
      </c>
      <c r="E1709">
        <f>MONTH(OrdersTable[[#This Row],[Order Date]])</f>
        <v>11</v>
      </c>
      <c r="F1709" t="s">
        <v>4946</v>
      </c>
      <c r="G1709" t="str">
        <f>IF(OrdersTable[[#This Row],[Order Date]]=_xlfn.MINIFS(Order_Date, Customer_ID, OrdersTable[[#This Row],[Customer ID]]), "New", "Repeat")</f>
        <v>New</v>
      </c>
      <c r="H1709" t="s">
        <v>275</v>
      </c>
      <c r="I1709" t="str">
        <f>INDEX(State!B:B,MATCH(OrdersTable[[#This Row],[State]],State!A:A,0))</f>
        <v>AP</v>
      </c>
      <c r="J1709" t="str">
        <f>INDEX(State!C:C,MATCH(OrdersTable[[#This Row],[State Code]],State!B:B,0))</f>
        <v>South</v>
      </c>
      <c r="K1709" t="s">
        <v>491</v>
      </c>
      <c r="L1709" t="s">
        <v>23</v>
      </c>
      <c r="M1709" t="s">
        <v>160</v>
      </c>
      <c r="N1709" t="str">
        <f>INDEX(Products!B:B,MATCH(OrdersTable[[#This Row],[Product ID]],Products!A:A,0))</f>
        <v>Niacinamide Toner</v>
      </c>
      <c r="O1709" t="str">
        <f>INDEX(Products!C:C,MATCH(OrdersTable[[#This Row],[Product ID]],Products!A:A,0))</f>
        <v>Skincare</v>
      </c>
      <c r="P1709">
        <v>2</v>
      </c>
      <c r="Q1709" s="5">
        <v>399</v>
      </c>
      <c r="R1709" s="74">
        <v>0.35</v>
      </c>
      <c r="S1709" s="75">
        <f>OrdersTable[[#This Row],[Quantity]]*OrdersTable[[#This Row],[Unit Price]]</f>
        <v>798</v>
      </c>
      <c r="T1709" s="5">
        <f>OrdersTable[[#This Row],[Gross Sale]]*OrdersTable[[#This Row],[Discount_Clean2]]</f>
        <v>279.29999999999995</v>
      </c>
      <c r="U1709" s="5">
        <f>OrdersTable[[#This Row],[Gross Sale]]-OrdersTable[[#This Row],[Discount Amount]]</f>
        <v>518.70000000000005</v>
      </c>
      <c r="V1709" s="77">
        <f>INDEX(Products!E:E,MATCH(OrdersTable[[#This Row],[Product ID]],Products!A:A,0))</f>
        <v>112</v>
      </c>
      <c r="W1709" s="77">
        <f>OrdersTable[[#This Row],[Quantity]]*OrdersTable[[#This Row],[Unit Cost]]</f>
        <v>224</v>
      </c>
      <c r="X1709" s="77">
        <f>'Dropdown Lists'!$I$2*(1+OrdersTable[[#This Row],[Returned]])</f>
        <v>60</v>
      </c>
      <c r="Y1709" s="76">
        <f>OrdersTable[[#This Row],[Net Revenue]]-OrdersTable[[#This Row],[COGS]]-OrdersTable[[#This Row],[Shipping Cost]]</f>
        <v>234.70000000000005</v>
      </c>
      <c r="Z1709" s="78">
        <f>IFERROR(OrdersTable[[#This Row],[Profit]]/OrdersTable[[#This Row],[Net Revenue]],0)</f>
        <v>0.45247734721418936</v>
      </c>
      <c r="AA1709" t="s">
        <v>4074</v>
      </c>
      <c r="AB1709" s="79">
        <v>45603</v>
      </c>
      <c r="AC1709">
        <f>OrdersTable[[#This Row],[Delivery Date]]-OrdersTable[[#This Row],[Order Date]]</f>
        <v>3</v>
      </c>
      <c r="AD1709" t="str">
        <f>IF(OrdersTable[[#This Row],[Delivery Days]]&lt;=2, "Express (≤2d)", IF(OrdersTable[[#This Row],[Delivery Days]]&lt;=4, "Standard (3-4d)", "Delayed (5d+)"))</f>
        <v>Standard (3-4d)</v>
      </c>
      <c r="AE1709">
        <v>4</v>
      </c>
      <c r="AF1709">
        <v>0</v>
      </c>
    </row>
    <row r="1710" spans="1:32" ht="15" x14ac:dyDescent="0.35">
      <c r="A1710" t="s">
        <v>2979</v>
      </c>
      <c r="B1710" s="1">
        <v>45601</v>
      </c>
      <c r="C1710">
        <f>YEAR(OrdersTable[[#This Row],[Order Date]])</f>
        <v>2024</v>
      </c>
      <c r="D1710" s="2">
        <f>DATE(YEAR(OrdersTable[[#This Row],[Order Date]]),MONTH(OrdersTable[[#This Row],[Order Date]]),1)</f>
        <v>45597</v>
      </c>
      <c r="E1710">
        <f>MONTH(OrdersTable[[#This Row],[Order Date]])</f>
        <v>11</v>
      </c>
      <c r="F1710" t="s">
        <v>1406</v>
      </c>
      <c r="G1710" t="str">
        <f>IF(OrdersTable[[#This Row],[Order Date]]=_xlfn.MINIFS(Order_Date, Customer_ID, OrdersTable[[#This Row],[Customer ID]]), "New", "Repeat")</f>
        <v>Repeat</v>
      </c>
      <c r="H1710" t="s">
        <v>210</v>
      </c>
      <c r="I1710" t="str">
        <f>INDEX(State!B:B,MATCH(OrdersTable[[#This Row],[State]],State!A:A,0))</f>
        <v>JK</v>
      </c>
      <c r="J1710" t="str">
        <f>INDEX(State!C:C,MATCH(OrdersTable[[#This Row],[State Code]],State!B:B,0))</f>
        <v>North</v>
      </c>
      <c r="K1710" t="s">
        <v>211</v>
      </c>
      <c r="L1710" t="s">
        <v>65</v>
      </c>
      <c r="M1710" t="s">
        <v>84</v>
      </c>
      <c r="N1710" t="str">
        <f>INDEX(Products!B:B,MATCH(OrdersTable[[#This Row],[Product ID]],Products!A:A,0))</f>
        <v>Cotton Bedsheet</v>
      </c>
      <c r="O1710" t="str">
        <f>INDEX(Products!C:C,MATCH(OrdersTable[[#This Row],[Product ID]],Products!A:A,0))</f>
        <v>Home &amp; Kitchen</v>
      </c>
      <c r="P1710">
        <v>1</v>
      </c>
      <c r="Q1710" s="5">
        <v>1299</v>
      </c>
      <c r="R1710" s="74">
        <v>0.15</v>
      </c>
      <c r="S1710" s="75">
        <f>OrdersTable[[#This Row],[Quantity]]*OrdersTable[[#This Row],[Unit Price]]</f>
        <v>1299</v>
      </c>
      <c r="T1710" s="5">
        <f>OrdersTable[[#This Row],[Gross Sale]]*OrdersTable[[#This Row],[Discount_Clean2]]</f>
        <v>194.85</v>
      </c>
      <c r="U1710" s="5">
        <f>OrdersTable[[#This Row],[Gross Sale]]-OrdersTable[[#This Row],[Discount Amount]]</f>
        <v>1104.1500000000001</v>
      </c>
      <c r="V1710" s="77">
        <f>INDEX(Products!E:E,MATCH(OrdersTable[[#This Row],[Product ID]],Products!A:A,0))</f>
        <v>585</v>
      </c>
      <c r="W1710" s="77">
        <f>OrdersTable[[#This Row],[Quantity]]*OrdersTable[[#This Row],[Unit Cost]]</f>
        <v>585</v>
      </c>
      <c r="X1710" s="77">
        <f>'Dropdown Lists'!$I$2*(1+OrdersTable[[#This Row],[Returned]])</f>
        <v>60</v>
      </c>
      <c r="Y1710" s="76">
        <f>OrdersTable[[#This Row],[Net Revenue]]-OrdersTable[[#This Row],[COGS]]-OrdersTable[[#This Row],[Shipping Cost]]</f>
        <v>459.15000000000009</v>
      </c>
      <c r="Z1710" s="78">
        <f>IFERROR(OrdersTable[[#This Row],[Profit]]/OrdersTable[[#This Row],[Net Revenue]],0)</f>
        <v>0.41584023909794871</v>
      </c>
      <c r="AA1710" t="s">
        <v>2522</v>
      </c>
      <c r="AB1710" s="79">
        <v>45608</v>
      </c>
      <c r="AC1710">
        <f>OrdersTable[[#This Row],[Delivery Date]]-OrdersTable[[#This Row],[Order Date]]</f>
        <v>7</v>
      </c>
      <c r="AD1710" t="str">
        <f>IF(OrdersTable[[#This Row],[Delivery Days]]&lt;=2, "Express (≤2d)", IF(OrdersTable[[#This Row],[Delivery Days]]&lt;=4, "Standard (3-4d)", "Delayed (5d+)"))</f>
        <v>Delayed (5d+)</v>
      </c>
      <c r="AF1710">
        <v>0</v>
      </c>
    </row>
    <row r="1711" spans="1:32" ht="15" x14ac:dyDescent="0.35">
      <c r="A1711" t="s">
        <v>5596</v>
      </c>
      <c r="B1711" s="1">
        <v>45601</v>
      </c>
      <c r="C1711">
        <f>YEAR(OrdersTable[[#This Row],[Order Date]])</f>
        <v>2024</v>
      </c>
      <c r="D1711" s="2">
        <f>DATE(YEAR(OrdersTable[[#This Row],[Order Date]]),MONTH(OrdersTable[[#This Row],[Order Date]]),1)</f>
        <v>45597</v>
      </c>
      <c r="E1711">
        <f>MONTH(OrdersTable[[#This Row],[Order Date]])</f>
        <v>11</v>
      </c>
      <c r="F1711" t="s">
        <v>4396</v>
      </c>
      <c r="G1711" t="str">
        <f>IF(OrdersTable[[#This Row],[Order Date]]=_xlfn.MINIFS(Order_Date, Customer_ID, OrdersTable[[#This Row],[Customer ID]]), "New", "Repeat")</f>
        <v>New</v>
      </c>
      <c r="H1711" t="s">
        <v>128</v>
      </c>
      <c r="I1711" t="str">
        <f>INDEX(State!B:B,MATCH(OrdersTable[[#This Row],[State]],State!A:A,0))</f>
        <v>DL</v>
      </c>
      <c r="J1711" t="str">
        <f>INDEX(State!C:C,MATCH(OrdersTable[[#This Row],[State Code]],State!B:B,0))</f>
        <v>North</v>
      </c>
      <c r="K1711" t="s">
        <v>129</v>
      </c>
      <c r="L1711" t="s">
        <v>65</v>
      </c>
      <c r="M1711" t="s">
        <v>51</v>
      </c>
      <c r="N1711" t="str">
        <f>INDEX(Products!B:B,MATCH(OrdersTable[[#This Row],[Product ID]],Products!A:A,0))</f>
        <v>Anti-Dandruff Conditioner</v>
      </c>
      <c r="O1711" t="str">
        <f>INDEX(Products!C:C,MATCH(OrdersTable[[#This Row],[Product ID]],Products!A:A,0))</f>
        <v>Haircare</v>
      </c>
      <c r="P1711">
        <v>2</v>
      </c>
      <c r="Q1711" s="5">
        <v>399</v>
      </c>
      <c r="R1711" s="74">
        <v>0.6</v>
      </c>
      <c r="S1711" s="75">
        <f>OrdersTable[[#This Row],[Quantity]]*OrdersTable[[#This Row],[Unit Price]]</f>
        <v>798</v>
      </c>
      <c r="T1711" s="5">
        <f>OrdersTable[[#This Row],[Gross Sale]]*OrdersTable[[#This Row],[Discount_Clean2]]</f>
        <v>478.79999999999995</v>
      </c>
      <c r="U1711" s="5">
        <f>OrdersTable[[#This Row],[Gross Sale]]-OrdersTable[[#This Row],[Discount Amount]]</f>
        <v>319.20000000000005</v>
      </c>
      <c r="V1711" s="77">
        <f>INDEX(Products!E:E,MATCH(OrdersTable[[#This Row],[Product ID]],Products!A:A,0))</f>
        <v>136</v>
      </c>
      <c r="W1711" s="77">
        <f>OrdersTable[[#This Row],[Quantity]]*OrdersTable[[#This Row],[Unit Cost]]</f>
        <v>272</v>
      </c>
      <c r="X1711" s="77">
        <f>'Dropdown Lists'!$I$2*(1+OrdersTable[[#This Row],[Returned]])</f>
        <v>120</v>
      </c>
      <c r="Y1711" s="76">
        <f>OrdersTable[[#This Row],[Net Revenue]]-OrdersTable[[#This Row],[COGS]]-OrdersTable[[#This Row],[Shipping Cost]]</f>
        <v>-72.799999999999955</v>
      </c>
      <c r="Z1711" s="78">
        <f>IFERROR(OrdersTable[[#This Row],[Profit]]/OrdersTable[[#This Row],[Net Revenue]],0)</f>
        <v>-0.22807017543859631</v>
      </c>
      <c r="AA1711" t="s">
        <v>2522</v>
      </c>
      <c r="AB1711" s="79">
        <v>45603</v>
      </c>
      <c r="AC1711">
        <f>OrdersTable[[#This Row],[Delivery Date]]-OrdersTable[[#This Row],[Order Date]]</f>
        <v>2</v>
      </c>
      <c r="AD1711" t="str">
        <f>IF(OrdersTable[[#This Row],[Delivery Days]]&lt;=2, "Express (≤2d)", IF(OrdersTable[[#This Row],[Delivery Days]]&lt;=4, "Standard (3-4d)", "Delayed (5d+)"))</f>
        <v>Express (≤2d)</v>
      </c>
      <c r="AE1711">
        <v>5</v>
      </c>
      <c r="AF1711">
        <v>1</v>
      </c>
    </row>
    <row r="1712" spans="1:32" ht="15" x14ac:dyDescent="0.35">
      <c r="A1712" t="s">
        <v>6778</v>
      </c>
      <c r="B1712" s="1">
        <v>45601</v>
      </c>
      <c r="C1712">
        <f>YEAR(OrdersTable[[#This Row],[Order Date]])</f>
        <v>2024</v>
      </c>
      <c r="D1712" s="2">
        <f>DATE(YEAR(OrdersTable[[#This Row],[Order Date]]),MONTH(OrdersTable[[#This Row],[Order Date]]),1)</f>
        <v>45597</v>
      </c>
      <c r="E1712">
        <f>MONTH(OrdersTable[[#This Row],[Order Date]])</f>
        <v>11</v>
      </c>
      <c r="F1712" t="s">
        <v>4216</v>
      </c>
      <c r="G1712" t="str">
        <f>IF(OrdersTable[[#This Row],[Order Date]]=_xlfn.MINIFS(Order_Date, Customer_ID, OrdersTable[[#This Row],[Customer ID]]), "New", "Repeat")</f>
        <v>Repeat</v>
      </c>
      <c r="H1712" t="s">
        <v>76</v>
      </c>
      <c r="I1712" t="str">
        <f>INDEX(State!B:B,MATCH(OrdersTable[[#This Row],[State]],State!A:A,0))</f>
        <v>UP</v>
      </c>
      <c r="J1712" t="str">
        <f>INDEX(State!C:C,MATCH(OrdersTable[[#This Row],[State Code]],State!B:B,0))</f>
        <v>North</v>
      </c>
      <c r="K1712" t="s">
        <v>118</v>
      </c>
      <c r="L1712" t="s">
        <v>50</v>
      </c>
      <c r="M1712" t="s">
        <v>106</v>
      </c>
      <c r="N1712" t="str">
        <f>INDEX(Products!B:B,MATCH(OrdersTable[[#This Row],[Product ID]],Products!A:A,0))</f>
        <v>Keratin Hair Mask</v>
      </c>
      <c r="O1712" t="str">
        <f>INDEX(Products!C:C,MATCH(OrdersTable[[#This Row],[Product ID]],Products!A:A,0))</f>
        <v>Haircare</v>
      </c>
      <c r="P1712">
        <v>3</v>
      </c>
      <c r="Q1712" s="5">
        <v>549</v>
      </c>
      <c r="R1712" s="74">
        <v>0.2</v>
      </c>
      <c r="S1712" s="75">
        <f>OrdersTable[[#This Row],[Quantity]]*OrdersTable[[#This Row],[Unit Price]]</f>
        <v>1647</v>
      </c>
      <c r="T1712" s="5">
        <f>OrdersTable[[#This Row],[Gross Sale]]*OrdersTable[[#This Row],[Discount_Clean2]]</f>
        <v>329.40000000000003</v>
      </c>
      <c r="U1712" s="5">
        <f>OrdersTable[[#This Row],[Gross Sale]]-OrdersTable[[#This Row],[Discount Amount]]</f>
        <v>1317.6</v>
      </c>
      <c r="V1712" s="77">
        <f>INDEX(Products!E:E,MATCH(OrdersTable[[#This Row],[Product ID]],Products!A:A,0))</f>
        <v>170</v>
      </c>
      <c r="W1712" s="77">
        <f>OrdersTable[[#This Row],[Quantity]]*OrdersTable[[#This Row],[Unit Cost]]</f>
        <v>510</v>
      </c>
      <c r="X1712" s="77">
        <f>'Dropdown Lists'!$I$2*(1+OrdersTable[[#This Row],[Returned]])</f>
        <v>60</v>
      </c>
      <c r="Y1712" s="76">
        <f>OrdersTable[[#This Row],[Net Revenue]]-OrdersTable[[#This Row],[COGS]]-OrdersTable[[#This Row],[Shipping Cost]]</f>
        <v>747.59999999999991</v>
      </c>
      <c r="Z1712" s="78">
        <f>IFERROR(OrdersTable[[#This Row],[Profit]]/OrdersTable[[#This Row],[Net Revenue]],0)</f>
        <v>0.56739526411657559</v>
      </c>
      <c r="AA1712" t="s">
        <v>3495</v>
      </c>
      <c r="AB1712" s="79">
        <v>45605</v>
      </c>
      <c r="AC1712">
        <f>OrdersTable[[#This Row],[Delivery Date]]-OrdersTable[[#This Row],[Order Date]]</f>
        <v>4</v>
      </c>
      <c r="AD1712" t="str">
        <f>IF(OrdersTable[[#This Row],[Delivery Days]]&lt;=2, "Express (≤2d)", IF(OrdersTable[[#This Row],[Delivery Days]]&lt;=4, "Standard (3-4d)", "Delayed (5d+)"))</f>
        <v>Standard (3-4d)</v>
      </c>
      <c r="AE1712">
        <v>5</v>
      </c>
      <c r="AF1712">
        <v>0</v>
      </c>
    </row>
    <row r="1713" spans="1:32" ht="15" x14ac:dyDescent="0.35">
      <c r="A1713" t="s">
        <v>214</v>
      </c>
      <c r="B1713" s="1">
        <v>45601</v>
      </c>
      <c r="C1713">
        <f>YEAR(OrdersTable[[#This Row],[Order Date]])</f>
        <v>2024</v>
      </c>
      <c r="D1713" s="2">
        <f>DATE(YEAR(OrdersTable[[#This Row],[Order Date]]),MONTH(OrdersTable[[#This Row],[Order Date]]),1)</f>
        <v>45597</v>
      </c>
      <c r="E1713">
        <f>MONTH(OrdersTable[[#This Row],[Order Date]])</f>
        <v>11</v>
      </c>
      <c r="F1713" t="s">
        <v>215</v>
      </c>
      <c r="G1713" t="str">
        <f>IF(OrdersTable[[#This Row],[Order Date]]=_xlfn.MINIFS(Order_Date, Customer_ID, OrdersTable[[#This Row],[Customer ID]]), "New", "Repeat")</f>
        <v>New</v>
      </c>
      <c r="H1713" t="s">
        <v>76</v>
      </c>
      <c r="I1713" t="str">
        <f>INDEX(State!B:B,MATCH(OrdersTable[[#This Row],[State]],State!A:A,0))</f>
        <v>UP</v>
      </c>
      <c r="J1713" t="str">
        <f>INDEX(State!C:C,MATCH(OrdersTable[[#This Row],[State Code]],State!B:B,0))</f>
        <v>North</v>
      </c>
      <c r="K1713" t="s">
        <v>118</v>
      </c>
      <c r="L1713" t="s">
        <v>65</v>
      </c>
      <c r="M1713" t="s">
        <v>29</v>
      </c>
      <c r="N1713" t="str">
        <f>INDEX(Products!B:B,MATCH(OrdersTable[[#This Row],[Product ID]],Products!A:A,0))</f>
        <v>Joggers</v>
      </c>
      <c r="O1713" t="str">
        <f>INDEX(Products!C:C,MATCH(OrdersTable[[#This Row],[Product ID]],Products!A:A,0))</f>
        <v>Apparel</v>
      </c>
      <c r="P1713">
        <v>1</v>
      </c>
      <c r="Q1713" s="5">
        <v>1199</v>
      </c>
      <c r="R1713" s="74">
        <v>0.2</v>
      </c>
      <c r="S1713" s="75">
        <f>OrdersTable[[#This Row],[Quantity]]*OrdersTable[[#This Row],[Unit Price]]</f>
        <v>1199</v>
      </c>
      <c r="T1713" s="5">
        <f>OrdersTable[[#This Row],[Gross Sale]]*OrdersTable[[#This Row],[Discount_Clean2]]</f>
        <v>239.8</v>
      </c>
      <c r="U1713" s="5">
        <f>OrdersTable[[#This Row],[Gross Sale]]-OrdersTable[[#This Row],[Discount Amount]]</f>
        <v>959.2</v>
      </c>
      <c r="V1713" s="77">
        <f>INDEX(Products!E:E,MATCH(OrdersTable[[#This Row],[Product ID]],Products!A:A,0))</f>
        <v>492</v>
      </c>
      <c r="W1713" s="77">
        <f>OrdersTable[[#This Row],[Quantity]]*OrdersTable[[#This Row],[Unit Cost]]</f>
        <v>492</v>
      </c>
      <c r="X1713" s="77">
        <f>'Dropdown Lists'!$I$2*(1+OrdersTable[[#This Row],[Returned]])</f>
        <v>60</v>
      </c>
      <c r="Y1713" s="76">
        <f>OrdersTable[[#This Row],[Net Revenue]]-OrdersTable[[#This Row],[COGS]]-OrdersTable[[#This Row],[Shipping Cost]]</f>
        <v>407.20000000000005</v>
      </c>
      <c r="Z1713" s="78">
        <f>IFERROR(OrdersTable[[#This Row],[Profit]]/OrdersTable[[#This Row],[Net Revenue]],0)</f>
        <v>0.42452043369474562</v>
      </c>
      <c r="AA1713" t="s">
        <v>18</v>
      </c>
      <c r="AB1713" s="79">
        <v>45605</v>
      </c>
      <c r="AC1713">
        <f>OrdersTable[[#This Row],[Delivery Date]]-OrdersTable[[#This Row],[Order Date]]</f>
        <v>4</v>
      </c>
      <c r="AD1713" t="str">
        <f>IF(OrdersTable[[#This Row],[Delivery Days]]&lt;=2, "Express (≤2d)", IF(OrdersTable[[#This Row],[Delivery Days]]&lt;=4, "Standard (3-4d)", "Delayed (5d+)"))</f>
        <v>Standard (3-4d)</v>
      </c>
      <c r="AE1713">
        <v>4</v>
      </c>
      <c r="AF1713">
        <v>0</v>
      </c>
    </row>
    <row r="1714" spans="1:32" ht="15" x14ac:dyDescent="0.35">
      <c r="A1714" t="s">
        <v>2980</v>
      </c>
      <c r="B1714" s="1">
        <v>45601</v>
      </c>
      <c r="C1714">
        <f>YEAR(OrdersTable[[#This Row],[Order Date]])</f>
        <v>2024</v>
      </c>
      <c r="D1714" s="2">
        <f>DATE(YEAR(OrdersTable[[#This Row],[Order Date]]),MONTH(OrdersTable[[#This Row],[Order Date]]),1)</f>
        <v>45597</v>
      </c>
      <c r="E1714">
        <f>MONTH(OrdersTable[[#This Row],[Order Date]])</f>
        <v>11</v>
      </c>
      <c r="F1714" t="s">
        <v>2981</v>
      </c>
      <c r="G1714" t="str">
        <f>IF(OrdersTable[[#This Row],[Order Date]]=_xlfn.MINIFS(Order_Date, Customer_ID, OrdersTable[[#This Row],[Customer ID]]), "New", "Repeat")</f>
        <v>New</v>
      </c>
      <c r="H1714" t="s">
        <v>37</v>
      </c>
      <c r="I1714" t="str">
        <f>INDEX(State!B:B,MATCH(OrdersTable[[#This Row],[State]],State!A:A,0))</f>
        <v>GJ</v>
      </c>
      <c r="J1714" t="str">
        <f>INDEX(State!C:C,MATCH(OrdersTable[[#This Row],[State Code]],State!B:B,0))</f>
        <v>West</v>
      </c>
      <c r="K1714" t="s">
        <v>38</v>
      </c>
      <c r="L1714" t="s">
        <v>16</v>
      </c>
      <c r="M1714" t="s">
        <v>87</v>
      </c>
      <c r="N1714" t="str">
        <f>INDEX(Products!B:B,MATCH(OrdersTable[[#This Row],[Product ID]],Products!A:A,0))</f>
        <v>Linen Kurta</v>
      </c>
      <c r="O1714" t="str">
        <f>INDEX(Products!C:C,MATCH(OrdersTable[[#This Row],[Product ID]],Products!A:A,0))</f>
        <v>Apparel</v>
      </c>
      <c r="P1714">
        <v>1</v>
      </c>
      <c r="Q1714" s="5">
        <v>1499</v>
      </c>
      <c r="R1714" s="74">
        <v>0.45</v>
      </c>
      <c r="S1714" s="75">
        <f>OrdersTable[[#This Row],[Quantity]]*OrdersTable[[#This Row],[Unit Price]]</f>
        <v>1499</v>
      </c>
      <c r="T1714" s="5">
        <f>OrdersTable[[#This Row],[Gross Sale]]*OrdersTable[[#This Row],[Discount_Clean2]]</f>
        <v>674.55000000000007</v>
      </c>
      <c r="U1714" s="5">
        <f>OrdersTable[[#This Row],[Gross Sale]]-OrdersTable[[#This Row],[Discount Amount]]</f>
        <v>824.44999999999993</v>
      </c>
      <c r="V1714" s="77">
        <f>INDEX(Products!E:E,MATCH(OrdersTable[[#This Row],[Product ID]],Products!A:A,0))</f>
        <v>630</v>
      </c>
      <c r="W1714" s="77">
        <f>OrdersTable[[#This Row],[Quantity]]*OrdersTable[[#This Row],[Unit Cost]]</f>
        <v>630</v>
      </c>
      <c r="X1714" s="77">
        <f>'Dropdown Lists'!$I$2*(1+OrdersTable[[#This Row],[Returned]])</f>
        <v>60</v>
      </c>
      <c r="Y1714" s="76">
        <f>OrdersTable[[#This Row],[Net Revenue]]-OrdersTable[[#This Row],[COGS]]-OrdersTable[[#This Row],[Shipping Cost]]</f>
        <v>134.44999999999993</v>
      </c>
      <c r="Z1714" s="78">
        <f>IFERROR(OrdersTable[[#This Row],[Profit]]/OrdersTable[[#This Row],[Net Revenue]],0)</f>
        <v>0.16307841591363934</v>
      </c>
      <c r="AA1714" t="s">
        <v>2522</v>
      </c>
      <c r="AB1714" s="79">
        <v>45604</v>
      </c>
      <c r="AC1714">
        <f>OrdersTable[[#This Row],[Delivery Date]]-OrdersTable[[#This Row],[Order Date]]</f>
        <v>3</v>
      </c>
      <c r="AD1714" t="str">
        <f>IF(OrdersTable[[#This Row],[Delivery Days]]&lt;=2, "Express (≤2d)", IF(OrdersTable[[#This Row],[Delivery Days]]&lt;=4, "Standard (3-4d)", "Delayed (5d+)"))</f>
        <v>Standard (3-4d)</v>
      </c>
      <c r="AF1714">
        <v>0</v>
      </c>
    </row>
    <row r="1715" spans="1:32" ht="15" x14ac:dyDescent="0.35">
      <c r="A1715" t="s">
        <v>4947</v>
      </c>
      <c r="B1715" s="1">
        <v>45601</v>
      </c>
      <c r="C1715">
        <f>YEAR(OrdersTable[[#This Row],[Order Date]])</f>
        <v>2024</v>
      </c>
      <c r="D1715" s="2">
        <f>DATE(YEAR(OrdersTable[[#This Row],[Order Date]]),MONTH(OrdersTable[[#This Row],[Order Date]]),1)</f>
        <v>45597</v>
      </c>
      <c r="E1715">
        <f>MONTH(OrdersTable[[#This Row],[Order Date]])</f>
        <v>11</v>
      </c>
      <c r="F1715" t="s">
        <v>1384</v>
      </c>
      <c r="G1715" t="str">
        <f>IF(OrdersTable[[#This Row],[Order Date]]=_xlfn.MINIFS(Order_Date, Customer_ID, OrdersTable[[#This Row],[Customer ID]]), "New", "Repeat")</f>
        <v>New</v>
      </c>
      <c r="H1715" t="s">
        <v>123</v>
      </c>
      <c r="I1715" t="str">
        <f>INDEX(State!B:B,MATCH(OrdersTable[[#This Row],[State]],State!A:A,0))</f>
        <v>JH</v>
      </c>
      <c r="J1715" t="str">
        <f>INDEX(State!C:C,MATCH(OrdersTable[[#This Row],[State Code]],State!B:B,0))</f>
        <v>East</v>
      </c>
      <c r="K1715" t="s">
        <v>124</v>
      </c>
      <c r="L1715" t="s">
        <v>23</v>
      </c>
      <c r="M1715" t="s">
        <v>92</v>
      </c>
      <c r="N1715" t="str">
        <f>INDEX(Products!B:B,MATCH(OrdersTable[[#This Row],[Product ID]],Products!A:A,0))</f>
        <v>Kolhapuri Sandals</v>
      </c>
      <c r="O1715" t="str">
        <f>INDEX(Products!C:C,MATCH(OrdersTable[[#This Row],[Product ID]],Products!A:A,0))</f>
        <v>Footwear</v>
      </c>
      <c r="P1715">
        <v>2</v>
      </c>
      <c r="Q1715" s="5">
        <v>999</v>
      </c>
      <c r="R1715" s="74">
        <v>0.2</v>
      </c>
      <c r="S1715" s="75">
        <f>OrdersTable[[#This Row],[Quantity]]*OrdersTable[[#This Row],[Unit Price]]</f>
        <v>1998</v>
      </c>
      <c r="T1715" s="5">
        <f>OrdersTable[[#This Row],[Gross Sale]]*OrdersTable[[#This Row],[Discount_Clean2]]</f>
        <v>399.6</v>
      </c>
      <c r="U1715" s="5">
        <f>OrdersTable[[#This Row],[Gross Sale]]-OrdersTable[[#This Row],[Discount Amount]]</f>
        <v>1598.4</v>
      </c>
      <c r="V1715" s="77">
        <f>INDEX(Products!E:E,MATCH(OrdersTable[[#This Row],[Product ID]],Products!A:A,0))</f>
        <v>400</v>
      </c>
      <c r="W1715" s="77">
        <f>OrdersTable[[#This Row],[Quantity]]*OrdersTable[[#This Row],[Unit Cost]]</f>
        <v>800</v>
      </c>
      <c r="X1715" s="77">
        <f>'Dropdown Lists'!$I$2*(1+OrdersTable[[#This Row],[Returned]])</f>
        <v>120</v>
      </c>
      <c r="Y1715" s="76">
        <f>OrdersTable[[#This Row],[Net Revenue]]-OrdersTable[[#This Row],[COGS]]-OrdersTable[[#This Row],[Shipping Cost]]</f>
        <v>678.40000000000009</v>
      </c>
      <c r="Z1715" s="78">
        <f>IFERROR(OrdersTable[[#This Row],[Profit]]/OrdersTable[[#This Row],[Net Revenue]],0)</f>
        <v>0.42442442442442446</v>
      </c>
      <c r="AA1715" t="s">
        <v>4074</v>
      </c>
      <c r="AB1715" s="79">
        <v>45607</v>
      </c>
      <c r="AC1715">
        <f>OrdersTable[[#This Row],[Delivery Date]]-OrdersTable[[#This Row],[Order Date]]</f>
        <v>6</v>
      </c>
      <c r="AD1715" t="str">
        <f>IF(OrdersTable[[#This Row],[Delivery Days]]&lt;=2, "Express (≤2d)", IF(OrdersTable[[#This Row],[Delivery Days]]&lt;=4, "Standard (3-4d)", "Delayed (5d+)"))</f>
        <v>Delayed (5d+)</v>
      </c>
      <c r="AE1715">
        <v>3</v>
      </c>
      <c r="AF1715">
        <v>1</v>
      </c>
    </row>
    <row r="1716" spans="1:32" ht="15" x14ac:dyDescent="0.35">
      <c r="A1716" t="s">
        <v>5135</v>
      </c>
      <c r="B1716" s="1">
        <v>45601</v>
      </c>
      <c r="C1716">
        <f>YEAR(OrdersTable[[#This Row],[Order Date]])</f>
        <v>2024</v>
      </c>
      <c r="D1716" s="2">
        <f>DATE(YEAR(OrdersTable[[#This Row],[Order Date]]),MONTH(OrdersTable[[#This Row],[Order Date]]),1)</f>
        <v>45597</v>
      </c>
      <c r="E1716">
        <f>MONTH(OrdersTable[[#This Row],[Order Date]])</f>
        <v>11</v>
      </c>
      <c r="F1716" t="s">
        <v>1214</v>
      </c>
      <c r="G1716" t="str">
        <f>IF(OrdersTable[[#This Row],[Order Date]]=_xlfn.MINIFS(Order_Date, Customer_ID, OrdersTable[[#This Row],[Customer ID]]), "New", "Repeat")</f>
        <v>Repeat</v>
      </c>
      <c r="H1716" t="s">
        <v>27</v>
      </c>
      <c r="I1716" t="str">
        <f>INDEX(State!B:B,MATCH(OrdersTable[[#This Row],[State]],State!A:A,0))</f>
        <v>WB</v>
      </c>
      <c r="J1716" t="str">
        <f>INDEX(State!C:C,MATCH(OrdersTable[[#This Row],[State Code]],State!B:B,0))</f>
        <v>East</v>
      </c>
      <c r="K1716" t="s">
        <v>28</v>
      </c>
      <c r="L1716" t="s">
        <v>23</v>
      </c>
      <c r="M1716" t="s">
        <v>106</v>
      </c>
      <c r="N1716" t="str">
        <f>INDEX(Products!B:B,MATCH(OrdersTable[[#This Row],[Product ID]],Products!A:A,0))</f>
        <v>Keratin Hair Mask</v>
      </c>
      <c r="O1716" t="str">
        <f>INDEX(Products!C:C,MATCH(OrdersTable[[#This Row],[Product ID]],Products!A:A,0))</f>
        <v>Haircare</v>
      </c>
      <c r="P1716">
        <v>2</v>
      </c>
      <c r="Q1716" s="5">
        <v>549</v>
      </c>
      <c r="R1716" s="74">
        <v>0.15</v>
      </c>
      <c r="S1716" s="75">
        <f>OrdersTable[[#This Row],[Quantity]]*OrdersTable[[#This Row],[Unit Price]]</f>
        <v>1098</v>
      </c>
      <c r="T1716" s="5">
        <f>OrdersTable[[#This Row],[Gross Sale]]*OrdersTable[[#This Row],[Discount_Clean2]]</f>
        <v>164.7</v>
      </c>
      <c r="U1716" s="5">
        <f>OrdersTable[[#This Row],[Gross Sale]]-OrdersTable[[#This Row],[Discount Amount]]</f>
        <v>933.3</v>
      </c>
      <c r="V1716" s="77">
        <f>INDEX(Products!E:E,MATCH(OrdersTable[[#This Row],[Product ID]],Products!A:A,0))</f>
        <v>170</v>
      </c>
      <c r="W1716" s="77">
        <f>OrdersTable[[#This Row],[Quantity]]*OrdersTable[[#This Row],[Unit Cost]]</f>
        <v>340</v>
      </c>
      <c r="X1716" s="77">
        <f>'Dropdown Lists'!$I$2*(1+OrdersTable[[#This Row],[Returned]])</f>
        <v>60</v>
      </c>
      <c r="Y1716" s="76">
        <f>OrdersTable[[#This Row],[Net Revenue]]-OrdersTable[[#This Row],[COGS]]-OrdersTable[[#This Row],[Shipping Cost]]</f>
        <v>533.29999999999995</v>
      </c>
      <c r="Z1716" s="78">
        <f>IFERROR(OrdersTable[[#This Row],[Profit]]/OrdersTable[[#This Row],[Net Revenue]],0)</f>
        <v>0.57141326475945564</v>
      </c>
      <c r="AA1716" t="s">
        <v>3495</v>
      </c>
      <c r="AB1716" s="79">
        <v>45604</v>
      </c>
      <c r="AC1716">
        <f>OrdersTable[[#This Row],[Delivery Date]]-OrdersTable[[#This Row],[Order Date]]</f>
        <v>3</v>
      </c>
      <c r="AD1716" t="str">
        <f>IF(OrdersTable[[#This Row],[Delivery Days]]&lt;=2, "Express (≤2d)", IF(OrdersTable[[#This Row],[Delivery Days]]&lt;=4, "Standard (3-4d)", "Delayed (5d+)"))</f>
        <v>Standard (3-4d)</v>
      </c>
      <c r="AE1716">
        <v>4</v>
      </c>
      <c r="AF1716">
        <v>0</v>
      </c>
    </row>
    <row r="1717" spans="1:32" ht="15" x14ac:dyDescent="0.35">
      <c r="A1717" t="s">
        <v>526</v>
      </c>
      <c r="B1717" s="1">
        <v>45601</v>
      </c>
      <c r="C1717">
        <f>YEAR(OrdersTable[[#This Row],[Order Date]])</f>
        <v>2024</v>
      </c>
      <c r="D1717" s="2">
        <f>DATE(YEAR(OrdersTable[[#This Row],[Order Date]]),MONTH(OrdersTable[[#This Row],[Order Date]]),1)</f>
        <v>45597</v>
      </c>
      <c r="E1717">
        <f>MONTH(OrdersTable[[#This Row],[Order Date]])</f>
        <v>11</v>
      </c>
      <c r="F1717" t="s">
        <v>366</v>
      </c>
      <c r="G1717" t="str">
        <f>IF(OrdersTable[[#This Row],[Order Date]]=_xlfn.MINIFS(Order_Date, Customer_ID, OrdersTable[[#This Row],[Customer ID]]), "New", "Repeat")</f>
        <v>New</v>
      </c>
      <c r="H1717" t="s">
        <v>71</v>
      </c>
      <c r="I1717" t="str">
        <f>INDEX(State!B:B,MATCH(OrdersTable[[#This Row],[State]],State!A:A,0))</f>
        <v>MH</v>
      </c>
      <c r="J1717" t="str">
        <f>INDEX(State!C:C,MATCH(OrdersTable[[#This Row],[State Code]],State!B:B,0))</f>
        <v>West</v>
      </c>
      <c r="K1717" t="s">
        <v>81</v>
      </c>
      <c r="L1717" t="s">
        <v>23</v>
      </c>
      <c r="M1717" t="s">
        <v>66</v>
      </c>
      <c r="N1717" t="str">
        <f>INDEX(Products!B:B,MATCH(OrdersTable[[#This Row],[Product ID]],Products!A:A,0))</f>
        <v>Sunscreen SPF 50</v>
      </c>
      <c r="O1717" t="str">
        <f>INDEX(Products!C:C,MATCH(OrdersTable[[#This Row],[Product ID]],Products!A:A,0))</f>
        <v>Skincare</v>
      </c>
      <c r="P1717">
        <v>1</v>
      </c>
      <c r="Q1717" s="5">
        <v>449</v>
      </c>
      <c r="R1717" s="74">
        <v>0.2</v>
      </c>
      <c r="S1717" s="75">
        <f>OrdersTable[[#This Row],[Quantity]]*OrdersTable[[#This Row],[Unit Price]]</f>
        <v>449</v>
      </c>
      <c r="T1717" s="5">
        <f>OrdersTable[[#This Row],[Gross Sale]]*OrdersTable[[#This Row],[Discount_Clean2]]</f>
        <v>89.800000000000011</v>
      </c>
      <c r="U1717" s="5">
        <f>OrdersTable[[#This Row],[Gross Sale]]-OrdersTable[[#This Row],[Discount Amount]]</f>
        <v>359.2</v>
      </c>
      <c r="V1717" s="77">
        <f>INDEX(Products!E:E,MATCH(OrdersTable[[#This Row],[Product ID]],Products!A:A,0))</f>
        <v>144</v>
      </c>
      <c r="W1717" s="77">
        <f>OrdersTable[[#This Row],[Quantity]]*OrdersTable[[#This Row],[Unit Cost]]</f>
        <v>144</v>
      </c>
      <c r="X1717" s="77">
        <f>'Dropdown Lists'!$I$2*(1+OrdersTable[[#This Row],[Returned]])</f>
        <v>60</v>
      </c>
      <c r="Y1717" s="76">
        <f>OrdersTable[[#This Row],[Net Revenue]]-OrdersTable[[#This Row],[COGS]]-OrdersTable[[#This Row],[Shipping Cost]]</f>
        <v>155.19999999999999</v>
      </c>
      <c r="Z1717" s="78">
        <f>IFERROR(OrdersTable[[#This Row],[Profit]]/OrdersTable[[#This Row],[Net Revenue]],0)</f>
        <v>0.43207126948775054</v>
      </c>
      <c r="AA1717" t="s">
        <v>18</v>
      </c>
      <c r="AB1717" s="79">
        <v>45604</v>
      </c>
      <c r="AC1717">
        <f>OrdersTable[[#This Row],[Delivery Date]]-OrdersTable[[#This Row],[Order Date]]</f>
        <v>3</v>
      </c>
      <c r="AD1717" t="str">
        <f>IF(OrdersTable[[#This Row],[Delivery Days]]&lt;=2, "Express (≤2d)", IF(OrdersTable[[#This Row],[Delivery Days]]&lt;=4, "Standard (3-4d)", "Delayed (5d+)"))</f>
        <v>Standard (3-4d)</v>
      </c>
      <c r="AE1717">
        <v>4</v>
      </c>
      <c r="AF1717">
        <v>0</v>
      </c>
    </row>
    <row r="1718" spans="1:32" ht="15" x14ac:dyDescent="0.35">
      <c r="A1718" t="s">
        <v>4581</v>
      </c>
      <c r="B1718" s="1">
        <v>45601</v>
      </c>
      <c r="C1718">
        <f>YEAR(OrdersTable[[#This Row],[Order Date]])</f>
        <v>2024</v>
      </c>
      <c r="D1718" s="2">
        <f>DATE(YEAR(OrdersTable[[#This Row],[Order Date]]),MONTH(OrdersTable[[#This Row],[Order Date]]),1)</f>
        <v>45597</v>
      </c>
      <c r="E1718">
        <f>MONTH(OrdersTable[[#This Row],[Order Date]])</f>
        <v>11</v>
      </c>
      <c r="F1718" t="s">
        <v>4582</v>
      </c>
      <c r="G1718" t="str">
        <f>IF(OrdersTable[[#This Row],[Order Date]]=_xlfn.MINIFS(Order_Date, Customer_ID, OrdersTable[[#This Row],[Customer ID]]), "New", "Repeat")</f>
        <v>New</v>
      </c>
      <c r="H1718" t="s">
        <v>71</v>
      </c>
      <c r="I1718" t="str">
        <f>INDEX(State!B:B,MATCH(OrdersTable[[#This Row],[State]],State!A:A,0))</f>
        <v>MH</v>
      </c>
      <c r="J1718" t="str">
        <f>INDEX(State!C:C,MATCH(OrdersTable[[#This Row],[State Code]],State!B:B,0))</f>
        <v>West</v>
      </c>
      <c r="K1718" t="s">
        <v>102</v>
      </c>
      <c r="L1718" t="s">
        <v>39</v>
      </c>
      <c r="M1718" t="s">
        <v>73</v>
      </c>
      <c r="N1718" t="str">
        <f>INDEX(Products!B:B,MATCH(OrdersTable[[#This Row],[Product ID]],Products!A:A,0))</f>
        <v>Hydrating Face Wash</v>
      </c>
      <c r="O1718" t="str">
        <f>INDEX(Products!C:C,MATCH(OrdersTable[[#This Row],[Product ID]],Products!A:A,0))</f>
        <v>Skincare</v>
      </c>
      <c r="P1718">
        <v>1</v>
      </c>
      <c r="Q1718" s="5">
        <v>299</v>
      </c>
      <c r="R1718" s="74">
        <v>0.2</v>
      </c>
      <c r="S1718" s="75">
        <f>OrdersTable[[#This Row],[Quantity]]*OrdersTable[[#This Row],[Unit Price]]</f>
        <v>299</v>
      </c>
      <c r="T1718" s="5">
        <f>OrdersTable[[#This Row],[Gross Sale]]*OrdersTable[[#This Row],[Discount_Clean2]]</f>
        <v>59.800000000000004</v>
      </c>
      <c r="U1718" s="5">
        <f>OrdersTable[[#This Row],[Gross Sale]]-OrdersTable[[#This Row],[Discount Amount]]</f>
        <v>239.2</v>
      </c>
      <c r="V1718" s="77">
        <f>INDEX(Products!E:E,MATCH(OrdersTable[[#This Row],[Product ID]],Products!A:A,0))</f>
        <v>90</v>
      </c>
      <c r="W1718" s="77">
        <f>OrdersTable[[#This Row],[Quantity]]*OrdersTable[[#This Row],[Unit Cost]]</f>
        <v>90</v>
      </c>
      <c r="X1718" s="77">
        <f>'Dropdown Lists'!$I$2*(1+OrdersTable[[#This Row],[Returned]])</f>
        <v>60</v>
      </c>
      <c r="Y1718" s="76">
        <f>OrdersTable[[#This Row],[Net Revenue]]-OrdersTable[[#This Row],[COGS]]-OrdersTable[[#This Row],[Shipping Cost]]</f>
        <v>89.199999999999989</v>
      </c>
      <c r="Z1718" s="78">
        <f>IFERROR(OrdersTable[[#This Row],[Profit]]/OrdersTable[[#This Row],[Net Revenue]],0)</f>
        <v>0.37290969899665549</v>
      </c>
      <c r="AA1718" t="s">
        <v>4450</v>
      </c>
      <c r="AB1718" s="79">
        <v>45605</v>
      </c>
      <c r="AC1718">
        <f>OrdersTable[[#This Row],[Delivery Date]]-OrdersTable[[#This Row],[Order Date]]</f>
        <v>4</v>
      </c>
      <c r="AD1718" t="str">
        <f>IF(OrdersTable[[#This Row],[Delivery Days]]&lt;=2, "Express (≤2d)", IF(OrdersTable[[#This Row],[Delivery Days]]&lt;=4, "Standard (3-4d)", "Delayed (5d+)"))</f>
        <v>Standard (3-4d)</v>
      </c>
      <c r="AF1718">
        <v>0</v>
      </c>
    </row>
    <row r="1719" spans="1:32" ht="15" x14ac:dyDescent="0.35">
      <c r="A1719" t="s">
        <v>527</v>
      </c>
      <c r="B1719" s="1">
        <v>45601</v>
      </c>
      <c r="C1719">
        <f>YEAR(OrdersTable[[#This Row],[Order Date]])</f>
        <v>2024</v>
      </c>
      <c r="D1719" s="2">
        <f>DATE(YEAR(OrdersTable[[#This Row],[Order Date]]),MONTH(OrdersTable[[#This Row],[Order Date]]),1)</f>
        <v>45597</v>
      </c>
      <c r="E1719">
        <f>MONTH(OrdersTable[[#This Row],[Order Date]])</f>
        <v>11</v>
      </c>
      <c r="F1719" t="s">
        <v>528</v>
      </c>
      <c r="G1719" t="str">
        <f>IF(OrdersTable[[#This Row],[Order Date]]=_xlfn.MINIFS(Order_Date, Customer_ID, OrdersTable[[#This Row],[Customer ID]]), "New", "Repeat")</f>
        <v>New</v>
      </c>
      <c r="H1719" t="s">
        <v>14</v>
      </c>
      <c r="I1719" t="str">
        <f>INDEX(State!B:B,MATCH(OrdersTable[[#This Row],[State]],State!A:A,0))</f>
        <v>OD</v>
      </c>
      <c r="J1719" t="str">
        <f>INDEX(State!C:C,MATCH(OrdersTable[[#This Row],[State Code]],State!B:B,0))</f>
        <v>East</v>
      </c>
      <c r="K1719" t="s">
        <v>15</v>
      </c>
      <c r="L1719" t="s">
        <v>39</v>
      </c>
      <c r="M1719" t="s">
        <v>176</v>
      </c>
      <c r="N1719" t="str">
        <f>INDEX(Products!B:B,MATCH(OrdersTable[[#This Row],[Product ID]],Products!A:A,0))</f>
        <v>Denim Jacket</v>
      </c>
      <c r="O1719" t="str">
        <f>INDEX(Products!C:C,MATCH(OrdersTable[[#This Row],[Product ID]],Products!A:A,0))</f>
        <v>Apparel</v>
      </c>
      <c r="P1719">
        <v>1</v>
      </c>
      <c r="Q1719" s="5">
        <v>2499</v>
      </c>
      <c r="R1719" s="74">
        <v>0.1</v>
      </c>
      <c r="S1719" s="75">
        <f>OrdersTable[[#This Row],[Quantity]]*OrdersTable[[#This Row],[Unit Price]]</f>
        <v>2499</v>
      </c>
      <c r="T1719" s="5">
        <f>OrdersTable[[#This Row],[Gross Sale]]*OrdersTable[[#This Row],[Discount_Clean2]]</f>
        <v>249.9</v>
      </c>
      <c r="U1719" s="5">
        <f>OrdersTable[[#This Row],[Gross Sale]]-OrdersTable[[#This Row],[Discount Amount]]</f>
        <v>2249.1</v>
      </c>
      <c r="V1719" s="77">
        <f>INDEX(Products!E:E,MATCH(OrdersTable[[#This Row],[Product ID]],Products!A:A,0))</f>
        <v>1125</v>
      </c>
      <c r="W1719" s="77">
        <f>OrdersTable[[#This Row],[Quantity]]*OrdersTable[[#This Row],[Unit Cost]]</f>
        <v>1125</v>
      </c>
      <c r="X1719" s="77">
        <f>'Dropdown Lists'!$I$2*(1+OrdersTable[[#This Row],[Returned]])</f>
        <v>60</v>
      </c>
      <c r="Y1719" s="76">
        <f>OrdersTable[[#This Row],[Net Revenue]]-OrdersTable[[#This Row],[COGS]]-OrdersTable[[#This Row],[Shipping Cost]]</f>
        <v>1064.0999999999999</v>
      </c>
      <c r="Z1719" s="78">
        <f>IFERROR(OrdersTable[[#This Row],[Profit]]/OrdersTable[[#This Row],[Net Revenue]],0)</f>
        <v>0.4731225823662798</v>
      </c>
      <c r="AA1719" t="s">
        <v>18</v>
      </c>
      <c r="AB1719" s="79">
        <v>45604</v>
      </c>
      <c r="AC1719">
        <f>OrdersTable[[#This Row],[Delivery Date]]-OrdersTable[[#This Row],[Order Date]]</f>
        <v>3</v>
      </c>
      <c r="AD1719" t="str">
        <f>IF(OrdersTable[[#This Row],[Delivery Days]]&lt;=2, "Express (≤2d)", IF(OrdersTable[[#This Row],[Delivery Days]]&lt;=4, "Standard (3-4d)", "Delayed (5d+)"))</f>
        <v>Standard (3-4d)</v>
      </c>
      <c r="AE1719">
        <v>4</v>
      </c>
      <c r="AF1719">
        <v>0</v>
      </c>
    </row>
    <row r="1720" spans="1:32" ht="15" x14ac:dyDescent="0.35">
      <c r="A1720" t="s">
        <v>5136</v>
      </c>
      <c r="B1720" s="1">
        <v>45601</v>
      </c>
      <c r="C1720">
        <f>YEAR(OrdersTable[[#This Row],[Order Date]])</f>
        <v>2024</v>
      </c>
      <c r="D1720" s="2">
        <f>DATE(YEAR(OrdersTable[[#This Row],[Order Date]]),MONTH(OrdersTable[[#This Row],[Order Date]]),1)</f>
        <v>45597</v>
      </c>
      <c r="E1720">
        <f>MONTH(OrdersTable[[#This Row],[Order Date]])</f>
        <v>11</v>
      </c>
      <c r="F1720" t="s">
        <v>5137</v>
      </c>
      <c r="G1720" t="str">
        <f>IF(OrdersTable[[#This Row],[Order Date]]=_xlfn.MINIFS(Order_Date, Customer_ID, OrdersTable[[#This Row],[Customer ID]]), "New", "Repeat")</f>
        <v>New</v>
      </c>
      <c r="H1720" t="s">
        <v>316</v>
      </c>
      <c r="I1720" t="str">
        <f>INDEX(State!B:B,MATCH(OrdersTable[[#This Row],[State]],State!A:A,0))</f>
        <v>KL</v>
      </c>
      <c r="J1720" t="str">
        <f>INDEX(State!C:C,MATCH(OrdersTable[[#This Row],[State Code]],State!B:B,0))</f>
        <v>South</v>
      </c>
      <c r="K1720" t="s">
        <v>317</v>
      </c>
      <c r="L1720" t="s">
        <v>39</v>
      </c>
      <c r="M1720" t="s">
        <v>255</v>
      </c>
      <c r="N1720" t="str">
        <f>INDEX(Products!B:B,MATCH(OrdersTable[[#This Row],[Product ID]],Products!A:A,0))</f>
        <v>Cotton Oversized T-Shirt</v>
      </c>
      <c r="O1720" t="str">
        <f>INDEX(Products!C:C,MATCH(OrdersTable[[#This Row],[Product ID]],Products!A:A,0))</f>
        <v>Apparel</v>
      </c>
      <c r="P1720">
        <v>2</v>
      </c>
      <c r="Q1720" s="5">
        <v>799</v>
      </c>
      <c r="R1720" s="74">
        <v>0.2</v>
      </c>
      <c r="S1720" s="75">
        <f>OrdersTable[[#This Row],[Quantity]]*OrdersTable[[#This Row],[Unit Price]]</f>
        <v>1598</v>
      </c>
      <c r="T1720" s="5">
        <f>OrdersTable[[#This Row],[Gross Sale]]*OrdersTable[[#This Row],[Discount_Clean2]]</f>
        <v>319.60000000000002</v>
      </c>
      <c r="U1720" s="5">
        <f>OrdersTable[[#This Row],[Gross Sale]]-OrdersTable[[#This Row],[Discount Amount]]</f>
        <v>1278.4000000000001</v>
      </c>
      <c r="V1720" s="77">
        <f>INDEX(Products!E:E,MATCH(OrdersTable[[#This Row],[Product ID]],Products!A:A,0))</f>
        <v>320</v>
      </c>
      <c r="W1720" s="77">
        <f>OrdersTable[[#This Row],[Quantity]]*OrdersTable[[#This Row],[Unit Cost]]</f>
        <v>640</v>
      </c>
      <c r="X1720" s="77">
        <f>'Dropdown Lists'!$I$2*(1+OrdersTable[[#This Row],[Returned]])</f>
        <v>60</v>
      </c>
      <c r="Y1720" s="76">
        <f>OrdersTable[[#This Row],[Net Revenue]]-OrdersTable[[#This Row],[COGS]]-OrdersTable[[#This Row],[Shipping Cost]]</f>
        <v>578.40000000000009</v>
      </c>
      <c r="Z1720" s="78">
        <f>IFERROR(OrdersTable[[#This Row],[Profit]]/OrdersTable[[#This Row],[Net Revenue]],0)</f>
        <v>0.45244055068836048</v>
      </c>
      <c r="AA1720" t="s">
        <v>3495</v>
      </c>
      <c r="AB1720" s="79">
        <v>45605</v>
      </c>
      <c r="AC1720">
        <f>OrdersTable[[#This Row],[Delivery Date]]-OrdersTable[[#This Row],[Order Date]]</f>
        <v>4</v>
      </c>
      <c r="AD1720" t="str">
        <f>IF(OrdersTable[[#This Row],[Delivery Days]]&lt;=2, "Express (≤2d)", IF(OrdersTable[[#This Row],[Delivery Days]]&lt;=4, "Standard (3-4d)", "Delayed (5d+)"))</f>
        <v>Standard (3-4d)</v>
      </c>
      <c r="AF1720">
        <v>0</v>
      </c>
    </row>
    <row r="1721" spans="1:32" ht="15" x14ac:dyDescent="0.35">
      <c r="A1721" t="s">
        <v>3570</v>
      </c>
      <c r="B1721" s="1">
        <v>45601</v>
      </c>
      <c r="C1721">
        <f>YEAR(OrdersTable[[#This Row],[Order Date]])</f>
        <v>2024</v>
      </c>
      <c r="D1721" s="2">
        <f>DATE(YEAR(OrdersTable[[#This Row],[Order Date]]),MONTH(OrdersTable[[#This Row],[Order Date]]),1)</f>
        <v>45597</v>
      </c>
      <c r="E1721">
        <f>MONTH(OrdersTable[[#This Row],[Order Date]])</f>
        <v>11</v>
      </c>
      <c r="F1721" t="s">
        <v>3571</v>
      </c>
      <c r="G1721" t="str">
        <f>IF(OrdersTable[[#This Row],[Order Date]]=_xlfn.MINIFS(Order_Date, Customer_ID, OrdersTable[[#This Row],[Customer ID]]), "New", "Repeat")</f>
        <v>New</v>
      </c>
      <c r="H1721" t="s">
        <v>59</v>
      </c>
      <c r="I1721" t="str">
        <f>INDEX(State!B:B,MATCH(OrdersTable[[#This Row],[State]],State!A:A,0))</f>
        <v>TN</v>
      </c>
      <c r="J1721" t="str">
        <f>INDEX(State!C:C,MATCH(OrdersTable[[#This Row],[State Code]],State!B:B,0))</f>
        <v>South</v>
      </c>
      <c r="K1721" t="s">
        <v>60</v>
      </c>
      <c r="L1721" t="s">
        <v>65</v>
      </c>
      <c r="M1721" t="s">
        <v>73</v>
      </c>
      <c r="N1721" t="str">
        <f>INDEX(Products!B:B,MATCH(OrdersTable[[#This Row],[Product ID]],Products!A:A,0))</f>
        <v>Hydrating Face Wash</v>
      </c>
      <c r="O1721" t="str">
        <f>INDEX(Products!C:C,MATCH(OrdersTable[[#This Row],[Product ID]],Products!A:A,0))</f>
        <v>Skincare</v>
      </c>
      <c r="P1721">
        <v>1</v>
      </c>
      <c r="Q1721" s="5">
        <v>299</v>
      </c>
      <c r="R1721" s="74">
        <v>0.2</v>
      </c>
      <c r="S1721" s="75">
        <f>OrdersTable[[#This Row],[Quantity]]*OrdersTable[[#This Row],[Unit Price]]</f>
        <v>299</v>
      </c>
      <c r="T1721" s="5">
        <f>OrdersTable[[#This Row],[Gross Sale]]*OrdersTable[[#This Row],[Discount_Clean2]]</f>
        <v>59.800000000000004</v>
      </c>
      <c r="U1721" s="5">
        <f>OrdersTable[[#This Row],[Gross Sale]]-OrdersTable[[#This Row],[Discount Amount]]</f>
        <v>239.2</v>
      </c>
      <c r="V1721" s="77">
        <f>INDEX(Products!E:E,MATCH(OrdersTable[[#This Row],[Product ID]],Products!A:A,0))</f>
        <v>90</v>
      </c>
      <c r="W1721" s="77">
        <f>OrdersTable[[#This Row],[Quantity]]*OrdersTable[[#This Row],[Unit Cost]]</f>
        <v>90</v>
      </c>
      <c r="X1721" s="77">
        <f>'Dropdown Lists'!$I$2*(1+OrdersTable[[#This Row],[Returned]])</f>
        <v>60</v>
      </c>
      <c r="Y1721" s="76">
        <f>OrdersTable[[#This Row],[Net Revenue]]-OrdersTable[[#This Row],[COGS]]-OrdersTable[[#This Row],[Shipping Cost]]</f>
        <v>89.199999999999989</v>
      </c>
      <c r="Z1721" s="78">
        <f>IFERROR(OrdersTable[[#This Row],[Profit]]/OrdersTable[[#This Row],[Net Revenue]],0)</f>
        <v>0.37290969899665549</v>
      </c>
      <c r="AA1721" t="s">
        <v>3495</v>
      </c>
      <c r="AB1721" s="79">
        <v>45603</v>
      </c>
      <c r="AC1721">
        <f>OrdersTable[[#This Row],[Delivery Date]]-OrdersTable[[#This Row],[Order Date]]</f>
        <v>2</v>
      </c>
      <c r="AD1721" t="str">
        <f>IF(OrdersTable[[#This Row],[Delivery Days]]&lt;=2, "Express (≤2d)", IF(OrdersTable[[#This Row],[Delivery Days]]&lt;=4, "Standard (3-4d)", "Delayed (5d+)"))</f>
        <v>Express (≤2d)</v>
      </c>
      <c r="AE1721">
        <v>4</v>
      </c>
      <c r="AF1721">
        <v>0</v>
      </c>
    </row>
    <row r="1722" spans="1:32" ht="15" x14ac:dyDescent="0.35">
      <c r="A1722" t="s">
        <v>4583</v>
      </c>
      <c r="B1722" s="1">
        <v>45602</v>
      </c>
      <c r="C1722">
        <f>YEAR(OrdersTable[[#This Row],[Order Date]])</f>
        <v>2024</v>
      </c>
      <c r="D1722" s="2">
        <f>DATE(YEAR(OrdersTable[[#This Row],[Order Date]]),MONTH(OrdersTable[[#This Row],[Order Date]]),1)</f>
        <v>45597</v>
      </c>
      <c r="E1722">
        <f>MONTH(OrdersTable[[#This Row],[Order Date]])</f>
        <v>11</v>
      </c>
      <c r="F1722" t="s">
        <v>4584</v>
      </c>
      <c r="G1722" t="str">
        <f>IF(OrdersTable[[#This Row],[Order Date]]=_xlfn.MINIFS(Order_Date, Customer_ID, OrdersTable[[#This Row],[Customer ID]]), "New", "Repeat")</f>
        <v>New</v>
      </c>
      <c r="H1722" t="s">
        <v>54</v>
      </c>
      <c r="I1722" t="str">
        <f>INDEX(State!B:B,MATCH(OrdersTable[[#This Row],[State]],State!A:A,0))</f>
        <v>RJ</v>
      </c>
      <c r="J1722" t="str">
        <f>INDEX(State!C:C,MATCH(OrdersTable[[#This Row],[State Code]],State!B:B,0))</f>
        <v>North</v>
      </c>
      <c r="K1722" t="s">
        <v>227</v>
      </c>
      <c r="L1722" t="s">
        <v>16</v>
      </c>
      <c r="M1722" t="s">
        <v>92</v>
      </c>
      <c r="N1722" t="str">
        <f>INDEX(Products!B:B,MATCH(OrdersTable[[#This Row],[Product ID]],Products!A:A,0))</f>
        <v>Kolhapuri Sandals</v>
      </c>
      <c r="O1722" t="str">
        <f>INDEX(Products!C:C,MATCH(OrdersTable[[#This Row],[Product ID]],Products!A:A,0))</f>
        <v>Footwear</v>
      </c>
      <c r="P1722">
        <v>1</v>
      </c>
      <c r="Q1722" s="5">
        <v>999</v>
      </c>
      <c r="R1722" s="74">
        <v>0.25</v>
      </c>
      <c r="S1722" s="75">
        <f>OrdersTable[[#This Row],[Quantity]]*OrdersTable[[#This Row],[Unit Price]]</f>
        <v>999</v>
      </c>
      <c r="T1722" s="5">
        <f>OrdersTable[[#This Row],[Gross Sale]]*OrdersTable[[#This Row],[Discount_Clean2]]</f>
        <v>249.75</v>
      </c>
      <c r="U1722" s="5">
        <f>OrdersTable[[#This Row],[Gross Sale]]-OrdersTable[[#This Row],[Discount Amount]]</f>
        <v>749.25</v>
      </c>
      <c r="V1722" s="77">
        <f>INDEX(Products!E:E,MATCH(OrdersTable[[#This Row],[Product ID]],Products!A:A,0))</f>
        <v>400</v>
      </c>
      <c r="W1722" s="77">
        <f>OrdersTable[[#This Row],[Quantity]]*OrdersTable[[#This Row],[Unit Cost]]</f>
        <v>400</v>
      </c>
      <c r="X1722" s="77">
        <f>'Dropdown Lists'!$I$2*(1+OrdersTable[[#This Row],[Returned]])</f>
        <v>60</v>
      </c>
      <c r="Y1722" s="76">
        <f>OrdersTable[[#This Row],[Net Revenue]]-OrdersTable[[#This Row],[COGS]]-OrdersTable[[#This Row],[Shipping Cost]]</f>
        <v>289.25</v>
      </c>
      <c r="Z1722" s="78">
        <f>IFERROR(OrdersTable[[#This Row],[Profit]]/OrdersTable[[#This Row],[Net Revenue]],0)</f>
        <v>0.38605271938605273</v>
      </c>
      <c r="AA1722" t="s">
        <v>4450</v>
      </c>
      <c r="AB1722" s="79">
        <v>45607</v>
      </c>
      <c r="AC1722">
        <f>OrdersTable[[#This Row],[Delivery Date]]-OrdersTable[[#This Row],[Order Date]]</f>
        <v>5</v>
      </c>
      <c r="AD1722" t="str">
        <f>IF(OrdersTable[[#This Row],[Delivery Days]]&lt;=2, "Express (≤2d)", IF(OrdersTable[[#This Row],[Delivery Days]]&lt;=4, "Standard (3-4d)", "Delayed (5d+)"))</f>
        <v>Delayed (5d+)</v>
      </c>
      <c r="AF1722">
        <v>0</v>
      </c>
    </row>
    <row r="1723" spans="1:32" ht="15" x14ac:dyDescent="0.35">
      <c r="A1723" t="s">
        <v>7073</v>
      </c>
      <c r="B1723" s="1">
        <v>45602</v>
      </c>
      <c r="C1723">
        <f>YEAR(OrdersTable[[#This Row],[Order Date]])</f>
        <v>2024</v>
      </c>
      <c r="D1723" s="2">
        <f>DATE(YEAR(OrdersTable[[#This Row],[Order Date]]),MONTH(OrdersTable[[#This Row],[Order Date]]),1)</f>
        <v>45597</v>
      </c>
      <c r="E1723">
        <f>MONTH(OrdersTable[[#This Row],[Order Date]])</f>
        <v>11</v>
      </c>
      <c r="F1723" t="s">
        <v>3013</v>
      </c>
      <c r="G1723" t="str">
        <f>IF(OrdersTable[[#This Row],[Order Date]]=_xlfn.MINIFS(Order_Date, Customer_ID, OrdersTable[[#This Row],[Customer ID]]), "New", "Repeat")</f>
        <v>Repeat</v>
      </c>
      <c r="H1723" t="s">
        <v>48</v>
      </c>
      <c r="I1723" t="str">
        <f>INDEX(State!B:B,MATCH(OrdersTable[[#This Row],[State]],State!A:A,0))</f>
        <v>HR</v>
      </c>
      <c r="J1723" t="str">
        <f>INDEX(State!C:C,MATCH(OrdersTable[[#This Row],[State Code]],State!B:B,0))</f>
        <v>North</v>
      </c>
      <c r="K1723" t="s">
        <v>49</v>
      </c>
      <c r="L1723" t="s">
        <v>16</v>
      </c>
      <c r="M1723" t="s">
        <v>34</v>
      </c>
      <c r="N1723" t="str">
        <f>INDEX(Products!B:B,MATCH(OrdersTable[[#This Row],[Product ID]],Products!A:A,0))</f>
        <v>Flip Flops</v>
      </c>
      <c r="O1723" t="str">
        <f>INDEX(Products!C:C,MATCH(OrdersTable[[#This Row],[Product ID]],Products!A:A,0))</f>
        <v>Footwear</v>
      </c>
      <c r="P1723">
        <v>4</v>
      </c>
      <c r="Q1723" s="5">
        <v>399</v>
      </c>
      <c r="R1723" s="74">
        <v>0.4</v>
      </c>
      <c r="S1723" s="75">
        <f>OrdersTable[[#This Row],[Quantity]]*OrdersTable[[#This Row],[Unit Price]]</f>
        <v>1596</v>
      </c>
      <c r="T1723" s="5">
        <f>OrdersTable[[#This Row],[Gross Sale]]*OrdersTable[[#This Row],[Discount_Clean2]]</f>
        <v>638.40000000000009</v>
      </c>
      <c r="U1723" s="5">
        <f>OrdersTable[[#This Row],[Gross Sale]]-OrdersTable[[#This Row],[Discount Amount]]</f>
        <v>957.59999999999991</v>
      </c>
      <c r="V1723" s="77">
        <f>INDEX(Products!E:E,MATCH(OrdersTable[[#This Row],[Product ID]],Products!A:A,0))</f>
        <v>152</v>
      </c>
      <c r="W1723" s="77">
        <f>OrdersTable[[#This Row],[Quantity]]*OrdersTable[[#This Row],[Unit Cost]]</f>
        <v>608</v>
      </c>
      <c r="X1723" s="77">
        <f>'Dropdown Lists'!$I$2*(1+OrdersTable[[#This Row],[Returned]])</f>
        <v>60</v>
      </c>
      <c r="Y1723" s="76">
        <f>OrdersTable[[#This Row],[Net Revenue]]-OrdersTable[[#This Row],[COGS]]-OrdersTable[[#This Row],[Shipping Cost]]</f>
        <v>289.59999999999991</v>
      </c>
      <c r="Z1723" s="78">
        <f>IFERROR(OrdersTable[[#This Row],[Profit]]/OrdersTable[[#This Row],[Net Revenue]],0)</f>
        <v>0.30242272347535498</v>
      </c>
      <c r="AA1723" t="s">
        <v>18</v>
      </c>
      <c r="AB1723" s="79">
        <v>45606</v>
      </c>
      <c r="AC1723">
        <f>OrdersTable[[#This Row],[Delivery Date]]-OrdersTable[[#This Row],[Order Date]]</f>
        <v>4</v>
      </c>
      <c r="AD1723" t="str">
        <f>IF(OrdersTable[[#This Row],[Delivery Days]]&lt;=2, "Express (≤2d)", IF(OrdersTable[[#This Row],[Delivery Days]]&lt;=4, "Standard (3-4d)", "Delayed (5d+)"))</f>
        <v>Standard (3-4d)</v>
      </c>
      <c r="AE1723">
        <v>4</v>
      </c>
      <c r="AF1723">
        <v>0</v>
      </c>
    </row>
    <row r="1724" spans="1:32" ht="15" x14ac:dyDescent="0.35">
      <c r="A1724" t="s">
        <v>6779</v>
      </c>
      <c r="B1724" s="1">
        <v>45602</v>
      </c>
      <c r="C1724">
        <f>YEAR(OrdersTable[[#This Row],[Order Date]])</f>
        <v>2024</v>
      </c>
      <c r="D1724" s="2">
        <f>DATE(YEAR(OrdersTable[[#This Row],[Order Date]]),MONTH(OrdersTable[[#This Row],[Order Date]]),1)</f>
        <v>45597</v>
      </c>
      <c r="E1724">
        <f>MONTH(OrdersTable[[#This Row],[Order Date]])</f>
        <v>11</v>
      </c>
      <c r="F1724" t="s">
        <v>3518</v>
      </c>
      <c r="G1724" t="str">
        <f>IF(OrdersTable[[#This Row],[Order Date]]=_xlfn.MINIFS(Order_Date, Customer_ID, OrdersTable[[#This Row],[Customer ID]]), "New", "Repeat")</f>
        <v>Repeat</v>
      </c>
      <c r="H1724" t="s">
        <v>76</v>
      </c>
      <c r="I1724" t="str">
        <f>INDEX(State!B:B,MATCH(OrdersTable[[#This Row],[State]],State!A:A,0))</f>
        <v>UP</v>
      </c>
      <c r="J1724" t="str">
        <f>INDEX(State!C:C,MATCH(OrdersTable[[#This Row],[State Code]],State!B:B,0))</f>
        <v>North</v>
      </c>
      <c r="K1724" t="s">
        <v>77</v>
      </c>
      <c r="L1724" t="s">
        <v>50</v>
      </c>
      <c r="M1724" t="s">
        <v>78</v>
      </c>
      <c r="N1724" t="str">
        <f>INDEX(Products!B:B,MATCH(OrdersTable[[#This Row],[Product ID]],Products!A:A,0))</f>
        <v>Retinol Night Cream</v>
      </c>
      <c r="O1724" t="str">
        <f>INDEX(Products!C:C,MATCH(OrdersTable[[#This Row],[Product ID]],Products!A:A,0))</f>
        <v>Skincare</v>
      </c>
      <c r="P1724">
        <v>3</v>
      </c>
      <c r="Q1724" s="5">
        <v>799</v>
      </c>
      <c r="R1724" s="74">
        <v>0.3</v>
      </c>
      <c r="S1724" s="75">
        <f>OrdersTable[[#This Row],[Quantity]]*OrdersTable[[#This Row],[Unit Price]]</f>
        <v>2397</v>
      </c>
      <c r="T1724" s="5">
        <f>OrdersTable[[#This Row],[Gross Sale]]*OrdersTable[[#This Row],[Discount_Clean2]]</f>
        <v>719.1</v>
      </c>
      <c r="U1724" s="5">
        <f>OrdersTable[[#This Row],[Gross Sale]]-OrdersTable[[#This Row],[Discount Amount]]</f>
        <v>1677.9</v>
      </c>
      <c r="V1724" s="77">
        <f>INDEX(Products!E:E,MATCH(OrdersTable[[#This Row],[Product ID]],Products!A:A,0))</f>
        <v>216</v>
      </c>
      <c r="W1724" s="77">
        <f>OrdersTable[[#This Row],[Quantity]]*OrdersTable[[#This Row],[Unit Cost]]</f>
        <v>648</v>
      </c>
      <c r="X1724" s="77">
        <f>'Dropdown Lists'!$I$2*(1+OrdersTable[[#This Row],[Returned]])</f>
        <v>60</v>
      </c>
      <c r="Y1724" s="76">
        <f>OrdersTable[[#This Row],[Net Revenue]]-OrdersTable[[#This Row],[COGS]]-OrdersTable[[#This Row],[Shipping Cost]]</f>
        <v>969.90000000000009</v>
      </c>
      <c r="Z1724" s="78">
        <f>IFERROR(OrdersTable[[#This Row],[Profit]]/OrdersTable[[#This Row],[Net Revenue]],0)</f>
        <v>0.57804398355086717</v>
      </c>
      <c r="AA1724" t="s">
        <v>3495</v>
      </c>
      <c r="AB1724" s="79">
        <v>45607</v>
      </c>
      <c r="AC1724">
        <f>OrdersTable[[#This Row],[Delivery Date]]-OrdersTable[[#This Row],[Order Date]]</f>
        <v>5</v>
      </c>
      <c r="AD1724" t="str">
        <f>IF(OrdersTable[[#This Row],[Delivery Days]]&lt;=2, "Express (≤2d)", IF(OrdersTable[[#This Row],[Delivery Days]]&lt;=4, "Standard (3-4d)", "Delayed (5d+)"))</f>
        <v>Delayed (5d+)</v>
      </c>
      <c r="AF1724">
        <v>0</v>
      </c>
    </row>
    <row r="1725" spans="1:32" ht="15" x14ac:dyDescent="0.35">
      <c r="A1725" t="s">
        <v>4803</v>
      </c>
      <c r="B1725" s="1">
        <v>45602</v>
      </c>
      <c r="C1725">
        <f>YEAR(OrdersTable[[#This Row],[Order Date]])</f>
        <v>2024</v>
      </c>
      <c r="D1725" s="2">
        <f>DATE(YEAR(OrdersTable[[#This Row],[Order Date]]),MONTH(OrdersTable[[#This Row],[Order Date]]),1)</f>
        <v>45597</v>
      </c>
      <c r="E1725">
        <f>MONTH(OrdersTable[[#This Row],[Order Date]])</f>
        <v>11</v>
      </c>
      <c r="F1725" t="s">
        <v>4804</v>
      </c>
      <c r="G1725" t="str">
        <f>IF(OrdersTable[[#This Row],[Order Date]]=_xlfn.MINIFS(Order_Date, Customer_ID, OrdersTable[[#This Row],[Customer ID]]), "New", "Repeat")</f>
        <v>New</v>
      </c>
      <c r="H1725" t="s">
        <v>76</v>
      </c>
      <c r="I1725" t="str">
        <f>INDEX(State!B:B,MATCH(OrdersTable[[#This Row],[State]],State!A:A,0))</f>
        <v>UP</v>
      </c>
      <c r="J1725" t="str">
        <f>INDEX(State!C:C,MATCH(OrdersTable[[#This Row],[State Code]],State!B:B,0))</f>
        <v>North</v>
      </c>
      <c r="K1725" t="s">
        <v>77</v>
      </c>
      <c r="L1725" t="s">
        <v>65</v>
      </c>
      <c r="M1725" t="s">
        <v>45</v>
      </c>
      <c r="N1725" t="str">
        <f>INDEX(Products!B:B,MATCH(OrdersTable[[#This Row],[Product ID]],Products!A:A,0))</f>
        <v>Argan Shampoo</v>
      </c>
      <c r="O1725" t="str">
        <f>INDEX(Products!C:C,MATCH(OrdersTable[[#This Row],[Product ID]],Products!A:A,0))</f>
        <v>Haircare</v>
      </c>
      <c r="P1725">
        <v>2</v>
      </c>
      <c r="Q1725" s="5">
        <v>449</v>
      </c>
      <c r="R1725" s="74">
        <v>0.2</v>
      </c>
      <c r="S1725" s="75">
        <f>OrdersTable[[#This Row],[Quantity]]*OrdersTable[[#This Row],[Unit Price]]</f>
        <v>898</v>
      </c>
      <c r="T1725" s="5">
        <f>OrdersTable[[#This Row],[Gross Sale]]*OrdersTable[[#This Row],[Discount_Clean2]]</f>
        <v>179.60000000000002</v>
      </c>
      <c r="U1725" s="5">
        <f>OrdersTable[[#This Row],[Gross Sale]]-OrdersTable[[#This Row],[Discount Amount]]</f>
        <v>718.4</v>
      </c>
      <c r="V1725" s="77">
        <f>INDEX(Products!E:E,MATCH(OrdersTable[[#This Row],[Product ID]],Products!A:A,0))</f>
        <v>148</v>
      </c>
      <c r="W1725" s="77">
        <f>OrdersTable[[#This Row],[Quantity]]*OrdersTable[[#This Row],[Unit Cost]]</f>
        <v>296</v>
      </c>
      <c r="X1725" s="77">
        <f>'Dropdown Lists'!$I$2*(1+OrdersTable[[#This Row],[Returned]])</f>
        <v>60</v>
      </c>
      <c r="Y1725" s="76">
        <f>OrdersTable[[#This Row],[Net Revenue]]-OrdersTable[[#This Row],[COGS]]-OrdersTable[[#This Row],[Shipping Cost]]</f>
        <v>362.4</v>
      </c>
      <c r="Z1725" s="78">
        <f>IFERROR(OrdersTable[[#This Row],[Profit]]/OrdersTable[[#This Row],[Net Revenue]],0)</f>
        <v>0.50445434298440983</v>
      </c>
      <c r="AA1725" t="s">
        <v>4450</v>
      </c>
      <c r="AB1725" s="79">
        <v>45605</v>
      </c>
      <c r="AC1725">
        <f>OrdersTable[[#This Row],[Delivery Date]]-OrdersTable[[#This Row],[Order Date]]</f>
        <v>3</v>
      </c>
      <c r="AD1725" t="str">
        <f>IF(OrdersTable[[#This Row],[Delivery Days]]&lt;=2, "Express (≤2d)", IF(OrdersTable[[#This Row],[Delivery Days]]&lt;=4, "Standard (3-4d)", "Delayed (5d+)"))</f>
        <v>Standard (3-4d)</v>
      </c>
      <c r="AE1725">
        <v>4</v>
      </c>
      <c r="AF1725">
        <v>0</v>
      </c>
    </row>
    <row r="1726" spans="1:32" ht="15" x14ac:dyDescent="0.35">
      <c r="A1726" t="s">
        <v>2982</v>
      </c>
      <c r="B1726" s="1">
        <v>45602</v>
      </c>
      <c r="C1726">
        <f>YEAR(OrdersTable[[#This Row],[Order Date]])</f>
        <v>2024</v>
      </c>
      <c r="D1726" s="2">
        <f>DATE(YEAR(OrdersTable[[#This Row],[Order Date]]),MONTH(OrdersTable[[#This Row],[Order Date]]),1)</f>
        <v>45597</v>
      </c>
      <c r="E1726">
        <f>MONTH(OrdersTable[[#This Row],[Order Date]])</f>
        <v>11</v>
      </c>
      <c r="F1726" t="s">
        <v>1416</v>
      </c>
      <c r="G1726" t="str">
        <f>IF(OrdersTable[[#This Row],[Order Date]]=_xlfn.MINIFS(Order_Date, Customer_ID, OrdersTable[[#This Row],[Customer ID]]), "New", "Repeat")</f>
        <v>Repeat</v>
      </c>
      <c r="H1726" t="s">
        <v>37</v>
      </c>
      <c r="I1726" t="str">
        <f>INDEX(State!B:B,MATCH(OrdersTable[[#This Row],[State]],State!A:A,0))</f>
        <v>GJ</v>
      </c>
      <c r="J1726" t="str">
        <f>INDEX(State!C:C,MATCH(OrdersTable[[#This Row],[State Code]],State!B:B,0))</f>
        <v>West</v>
      </c>
      <c r="K1726" t="s">
        <v>38</v>
      </c>
      <c r="L1726" t="s">
        <v>65</v>
      </c>
      <c r="M1726" t="s">
        <v>61</v>
      </c>
      <c r="N1726" t="str">
        <f>INDEX(Products!B:B,MATCH(OrdersTable[[#This Row],[Product ID]],Products!A:A,0))</f>
        <v>Multivitamin Gummies</v>
      </c>
      <c r="O1726" t="str">
        <f>INDEX(Products!C:C,MATCH(OrdersTable[[#This Row],[Product ID]],Products!A:A,0))</f>
        <v>Wellness</v>
      </c>
      <c r="P1726">
        <v>1</v>
      </c>
      <c r="Q1726" s="5">
        <v>699</v>
      </c>
      <c r="R1726" s="74">
        <v>0.45</v>
      </c>
      <c r="S1726" s="75">
        <f>OrdersTable[[#This Row],[Quantity]]*OrdersTable[[#This Row],[Unit Price]]</f>
        <v>699</v>
      </c>
      <c r="T1726" s="5">
        <f>OrdersTable[[#This Row],[Gross Sale]]*OrdersTable[[#This Row],[Discount_Clean2]]</f>
        <v>314.55</v>
      </c>
      <c r="U1726" s="5">
        <f>OrdersTable[[#This Row],[Gross Sale]]-OrdersTable[[#This Row],[Discount Amount]]</f>
        <v>384.45</v>
      </c>
      <c r="V1726" s="77">
        <f>INDEX(Products!E:E,MATCH(OrdersTable[[#This Row],[Product ID]],Products!A:A,0))</f>
        <v>238</v>
      </c>
      <c r="W1726" s="77">
        <f>OrdersTable[[#This Row],[Quantity]]*OrdersTable[[#This Row],[Unit Cost]]</f>
        <v>238</v>
      </c>
      <c r="X1726" s="77">
        <f>'Dropdown Lists'!$I$2*(1+OrdersTable[[#This Row],[Returned]])</f>
        <v>60</v>
      </c>
      <c r="Y1726" s="76">
        <f>OrdersTable[[#This Row],[Net Revenue]]-OrdersTable[[#This Row],[COGS]]-OrdersTable[[#This Row],[Shipping Cost]]</f>
        <v>86.449999999999989</v>
      </c>
      <c r="Z1726" s="78">
        <f>IFERROR(OrdersTable[[#This Row],[Profit]]/OrdersTable[[#This Row],[Net Revenue]],0)</f>
        <v>0.22486669267785145</v>
      </c>
      <c r="AA1726" t="s">
        <v>2522</v>
      </c>
      <c r="AB1726" s="79">
        <v>45606</v>
      </c>
      <c r="AC1726">
        <f>OrdersTable[[#This Row],[Delivery Date]]-OrdersTable[[#This Row],[Order Date]]</f>
        <v>4</v>
      </c>
      <c r="AD1726" t="str">
        <f>IF(OrdersTable[[#This Row],[Delivery Days]]&lt;=2, "Express (≤2d)", IF(OrdersTable[[#This Row],[Delivery Days]]&lt;=4, "Standard (3-4d)", "Delayed (5d+)"))</f>
        <v>Standard (3-4d)</v>
      </c>
      <c r="AF1726">
        <v>0</v>
      </c>
    </row>
    <row r="1727" spans="1:32" ht="15" x14ac:dyDescent="0.35">
      <c r="A1727" t="s">
        <v>2983</v>
      </c>
      <c r="B1727" s="1">
        <v>45602</v>
      </c>
      <c r="C1727">
        <f>YEAR(OrdersTable[[#This Row],[Order Date]])</f>
        <v>2024</v>
      </c>
      <c r="D1727" s="2">
        <f>DATE(YEAR(OrdersTable[[#This Row],[Order Date]]),MONTH(OrdersTable[[#This Row],[Order Date]]),1)</f>
        <v>45597</v>
      </c>
      <c r="E1727">
        <f>MONTH(OrdersTable[[#This Row],[Order Date]])</f>
        <v>11</v>
      </c>
      <c r="F1727" t="s">
        <v>2984</v>
      </c>
      <c r="G1727" t="str">
        <f>IF(OrdersTable[[#This Row],[Order Date]]=_xlfn.MINIFS(Order_Date, Customer_ID, OrdersTable[[#This Row],[Customer ID]]), "New", "Repeat")</f>
        <v>Repeat</v>
      </c>
      <c r="H1727" t="s">
        <v>37</v>
      </c>
      <c r="I1727" t="str">
        <f>INDEX(State!B:B,MATCH(OrdersTable[[#This Row],[State]],State!A:A,0))</f>
        <v>GJ</v>
      </c>
      <c r="J1727" t="str">
        <f>INDEX(State!C:C,MATCH(OrdersTable[[#This Row],[State Code]],State!B:B,0))</f>
        <v>West</v>
      </c>
      <c r="K1727" t="s">
        <v>38</v>
      </c>
      <c r="L1727" t="s">
        <v>16</v>
      </c>
      <c r="M1727" t="s">
        <v>87</v>
      </c>
      <c r="N1727" t="str">
        <f>INDEX(Products!B:B,MATCH(OrdersTable[[#This Row],[Product ID]],Products!A:A,0))</f>
        <v>Linen Kurta</v>
      </c>
      <c r="O1727" t="str">
        <f>INDEX(Products!C:C,MATCH(OrdersTable[[#This Row],[Product ID]],Products!A:A,0))</f>
        <v>Apparel</v>
      </c>
      <c r="P1727">
        <v>1</v>
      </c>
      <c r="Q1727" s="5">
        <v>1499</v>
      </c>
      <c r="R1727" s="74">
        <v>0.3</v>
      </c>
      <c r="S1727" s="75">
        <f>OrdersTable[[#This Row],[Quantity]]*OrdersTable[[#This Row],[Unit Price]]</f>
        <v>1499</v>
      </c>
      <c r="T1727" s="5">
        <f>OrdersTable[[#This Row],[Gross Sale]]*OrdersTable[[#This Row],[Discount_Clean2]]</f>
        <v>449.7</v>
      </c>
      <c r="U1727" s="5">
        <f>OrdersTable[[#This Row],[Gross Sale]]-OrdersTable[[#This Row],[Discount Amount]]</f>
        <v>1049.3</v>
      </c>
      <c r="V1727" s="77">
        <f>INDEX(Products!E:E,MATCH(OrdersTable[[#This Row],[Product ID]],Products!A:A,0))</f>
        <v>630</v>
      </c>
      <c r="W1727" s="77">
        <f>OrdersTable[[#This Row],[Quantity]]*OrdersTable[[#This Row],[Unit Cost]]</f>
        <v>630</v>
      </c>
      <c r="X1727" s="77">
        <f>'Dropdown Lists'!$I$2*(1+OrdersTable[[#This Row],[Returned]])</f>
        <v>120</v>
      </c>
      <c r="Y1727" s="76">
        <f>OrdersTable[[#This Row],[Net Revenue]]-OrdersTable[[#This Row],[COGS]]-OrdersTable[[#This Row],[Shipping Cost]]</f>
        <v>299.29999999999995</v>
      </c>
      <c r="Z1727" s="78">
        <f>IFERROR(OrdersTable[[#This Row],[Profit]]/OrdersTable[[#This Row],[Net Revenue]],0)</f>
        <v>0.28523777756599633</v>
      </c>
      <c r="AA1727" t="s">
        <v>2522</v>
      </c>
      <c r="AB1727" s="79">
        <v>45605</v>
      </c>
      <c r="AC1727">
        <f>OrdersTable[[#This Row],[Delivery Date]]-OrdersTable[[#This Row],[Order Date]]</f>
        <v>3</v>
      </c>
      <c r="AD1727" t="str">
        <f>IF(OrdersTable[[#This Row],[Delivery Days]]&lt;=2, "Express (≤2d)", IF(OrdersTable[[#This Row],[Delivery Days]]&lt;=4, "Standard (3-4d)", "Delayed (5d+)"))</f>
        <v>Standard (3-4d)</v>
      </c>
      <c r="AF1727">
        <v>1</v>
      </c>
    </row>
    <row r="1728" spans="1:32" ht="15" x14ac:dyDescent="0.35">
      <c r="A1728" t="s">
        <v>4948</v>
      </c>
      <c r="B1728" s="1">
        <v>45602</v>
      </c>
      <c r="C1728">
        <f>YEAR(OrdersTable[[#This Row],[Order Date]])</f>
        <v>2024</v>
      </c>
      <c r="D1728" s="2">
        <f>DATE(YEAR(OrdersTable[[#This Row],[Order Date]]),MONTH(OrdersTable[[#This Row],[Order Date]]),1)</f>
        <v>45597</v>
      </c>
      <c r="E1728">
        <f>MONTH(OrdersTable[[#This Row],[Order Date]])</f>
        <v>11</v>
      </c>
      <c r="F1728" t="s">
        <v>1539</v>
      </c>
      <c r="G1728" t="str">
        <f>IF(OrdersTable[[#This Row],[Order Date]]=_xlfn.MINIFS(Order_Date, Customer_ID, OrdersTable[[#This Row],[Customer ID]]), "New", "Repeat")</f>
        <v>New</v>
      </c>
      <c r="H1728" t="s">
        <v>482</v>
      </c>
      <c r="I1728" t="str">
        <f>INDEX(State!B:B,MATCH(OrdersTable[[#This Row],[State]],State!A:A,0))</f>
        <v>CG</v>
      </c>
      <c r="J1728" t="str">
        <f>INDEX(State!C:C,MATCH(OrdersTable[[#This Row],[State Code]],State!B:B,0))</f>
        <v>East</v>
      </c>
      <c r="K1728" t="s">
        <v>483</v>
      </c>
      <c r="L1728" t="s">
        <v>23</v>
      </c>
      <c r="M1728" t="s">
        <v>423</v>
      </c>
      <c r="N1728" t="str">
        <f>INDEX(Products!B:B,MATCH(OrdersTable[[#This Row],[Product ID]],Products!A:A,0))</f>
        <v>Power Bank 20000mAh</v>
      </c>
      <c r="O1728" t="str">
        <f>INDEX(Products!C:C,MATCH(OrdersTable[[#This Row],[Product ID]],Products!A:A,0))</f>
        <v>Electronics</v>
      </c>
      <c r="P1728">
        <v>2</v>
      </c>
      <c r="Q1728" s="5">
        <v>1799</v>
      </c>
      <c r="R1728" s="74">
        <v>0.4</v>
      </c>
      <c r="S1728" s="75">
        <f>OrdersTable[[#This Row],[Quantity]]*OrdersTable[[#This Row],[Unit Price]]</f>
        <v>3598</v>
      </c>
      <c r="T1728" s="5">
        <f>OrdersTable[[#This Row],[Gross Sale]]*OrdersTable[[#This Row],[Discount_Clean2]]</f>
        <v>1439.2</v>
      </c>
      <c r="U1728" s="5">
        <f>OrdersTable[[#This Row],[Gross Sale]]-OrdersTable[[#This Row],[Discount Amount]]</f>
        <v>2158.8000000000002</v>
      </c>
      <c r="V1728" s="77">
        <f>INDEX(Products!E:E,MATCH(OrdersTable[[#This Row],[Product ID]],Products!A:A,0))</f>
        <v>1079</v>
      </c>
      <c r="W1728" s="77">
        <f>OrdersTable[[#This Row],[Quantity]]*OrdersTable[[#This Row],[Unit Cost]]</f>
        <v>2158</v>
      </c>
      <c r="X1728" s="77">
        <f>'Dropdown Lists'!$I$2*(1+OrdersTable[[#This Row],[Returned]])</f>
        <v>60</v>
      </c>
      <c r="Y1728" s="76">
        <f>OrdersTable[[#This Row],[Net Revenue]]-OrdersTable[[#This Row],[COGS]]-OrdersTable[[#This Row],[Shipping Cost]]</f>
        <v>-59.199999999999818</v>
      </c>
      <c r="Z1728" s="78">
        <f>IFERROR(OrdersTable[[#This Row],[Profit]]/OrdersTable[[#This Row],[Net Revenue]],0)</f>
        <v>-2.742264220863434E-2</v>
      </c>
      <c r="AA1728" t="s">
        <v>4074</v>
      </c>
      <c r="AB1728" s="79">
        <v>45607</v>
      </c>
      <c r="AC1728">
        <f>OrdersTable[[#This Row],[Delivery Date]]-OrdersTable[[#This Row],[Order Date]]</f>
        <v>5</v>
      </c>
      <c r="AD1728" t="str">
        <f>IF(OrdersTable[[#This Row],[Delivery Days]]&lt;=2, "Express (≤2d)", IF(OrdersTable[[#This Row],[Delivery Days]]&lt;=4, "Standard (3-4d)", "Delayed (5d+)"))</f>
        <v>Delayed (5d+)</v>
      </c>
      <c r="AF1728">
        <v>0</v>
      </c>
    </row>
    <row r="1729" spans="1:32" ht="15" x14ac:dyDescent="0.35">
      <c r="A1729" t="s">
        <v>4487</v>
      </c>
      <c r="B1729" s="1">
        <v>45602</v>
      </c>
      <c r="C1729">
        <f>YEAR(OrdersTable[[#This Row],[Order Date]])</f>
        <v>2024</v>
      </c>
      <c r="D1729" s="2">
        <f>DATE(YEAR(OrdersTable[[#This Row],[Order Date]]),MONTH(OrdersTable[[#This Row],[Order Date]]),1)</f>
        <v>45597</v>
      </c>
      <c r="E1729">
        <f>MONTH(OrdersTable[[#This Row],[Order Date]])</f>
        <v>11</v>
      </c>
      <c r="F1729" t="s">
        <v>1334</v>
      </c>
      <c r="G1729" t="str">
        <f>IF(OrdersTable[[#This Row],[Order Date]]=_xlfn.MINIFS(Order_Date, Customer_ID, OrdersTable[[#This Row],[Customer ID]]), "New", "Repeat")</f>
        <v>Repeat</v>
      </c>
      <c r="H1729" t="s">
        <v>27</v>
      </c>
      <c r="I1729" t="str">
        <f>INDEX(State!B:B,MATCH(OrdersTable[[#This Row],[State]],State!A:A,0))</f>
        <v>WB</v>
      </c>
      <c r="J1729" t="str">
        <f>INDEX(State!C:C,MATCH(OrdersTable[[#This Row],[State Code]],State!B:B,0))</f>
        <v>East</v>
      </c>
      <c r="K1729" t="s">
        <v>28</v>
      </c>
      <c r="L1729" t="s">
        <v>39</v>
      </c>
      <c r="M1729" t="s">
        <v>56</v>
      </c>
      <c r="N1729" t="str">
        <f>INDEX(Products!B:B,MATCH(OrdersTable[[#This Row],[Product ID]],Products!A:A,0))</f>
        <v>Vitamin C Face Serum</v>
      </c>
      <c r="O1729" t="str">
        <f>INDEX(Products!C:C,MATCH(OrdersTable[[#This Row],[Product ID]],Products!A:A,0))</f>
        <v>Skincare</v>
      </c>
      <c r="P1729">
        <v>1</v>
      </c>
      <c r="Q1729" s="5">
        <v>599</v>
      </c>
      <c r="R1729" s="74">
        <v>0.25</v>
      </c>
      <c r="S1729" s="75">
        <f>OrdersTable[[#This Row],[Quantity]]*OrdersTable[[#This Row],[Unit Price]]</f>
        <v>599</v>
      </c>
      <c r="T1729" s="5">
        <f>OrdersTable[[#This Row],[Gross Sale]]*OrdersTable[[#This Row],[Discount_Clean2]]</f>
        <v>149.75</v>
      </c>
      <c r="U1729" s="5">
        <f>OrdersTable[[#This Row],[Gross Sale]]-OrdersTable[[#This Row],[Discount Amount]]</f>
        <v>449.25</v>
      </c>
      <c r="V1729" s="77">
        <f>INDEX(Products!E:E,MATCH(OrdersTable[[#This Row],[Product ID]],Products!A:A,0))</f>
        <v>180</v>
      </c>
      <c r="W1729" s="77">
        <f>OrdersTable[[#This Row],[Quantity]]*OrdersTable[[#This Row],[Unit Cost]]</f>
        <v>180</v>
      </c>
      <c r="X1729" s="77">
        <f>'Dropdown Lists'!$I$2*(1+OrdersTable[[#This Row],[Returned]])</f>
        <v>60</v>
      </c>
      <c r="Y1729" s="76">
        <f>OrdersTable[[#This Row],[Net Revenue]]-OrdersTable[[#This Row],[COGS]]-OrdersTable[[#This Row],[Shipping Cost]]</f>
        <v>209.25</v>
      </c>
      <c r="Z1729" s="78">
        <f>IFERROR(OrdersTable[[#This Row],[Profit]]/OrdersTable[[#This Row],[Net Revenue]],0)</f>
        <v>0.46577629382303842</v>
      </c>
      <c r="AA1729" t="s">
        <v>4450</v>
      </c>
      <c r="AB1729" s="79">
        <v>45605</v>
      </c>
      <c r="AC1729">
        <f>OrdersTable[[#This Row],[Delivery Date]]-OrdersTable[[#This Row],[Order Date]]</f>
        <v>3</v>
      </c>
      <c r="AD1729" t="str">
        <f>IF(OrdersTable[[#This Row],[Delivery Days]]&lt;=2, "Express (≤2d)", IF(OrdersTable[[#This Row],[Delivery Days]]&lt;=4, "Standard (3-4d)", "Delayed (5d+)"))</f>
        <v>Standard (3-4d)</v>
      </c>
      <c r="AE1729">
        <v>4</v>
      </c>
      <c r="AF1729">
        <v>0</v>
      </c>
    </row>
    <row r="1730" spans="1:32" ht="15" x14ac:dyDescent="0.35">
      <c r="A1730" t="s">
        <v>6107</v>
      </c>
      <c r="B1730" s="1">
        <v>45602</v>
      </c>
      <c r="C1730">
        <f>YEAR(OrdersTable[[#This Row],[Order Date]])</f>
        <v>2024</v>
      </c>
      <c r="D1730" s="2">
        <f>DATE(YEAR(OrdersTable[[#This Row],[Order Date]]),MONTH(OrdersTable[[#This Row],[Order Date]]),1)</f>
        <v>45597</v>
      </c>
      <c r="E1730">
        <f>MONTH(OrdersTable[[#This Row],[Order Date]])</f>
        <v>11</v>
      </c>
      <c r="F1730" t="s">
        <v>6108</v>
      </c>
      <c r="G1730" t="str">
        <f>IF(OrdersTable[[#This Row],[Order Date]]=_xlfn.MINIFS(Order_Date, Customer_ID, OrdersTable[[#This Row],[Customer ID]]), "New", "Repeat")</f>
        <v>New</v>
      </c>
      <c r="H1730" t="s">
        <v>71</v>
      </c>
      <c r="I1730" t="str">
        <f>INDEX(State!B:B,MATCH(OrdersTable[[#This Row],[State]],State!A:A,0))</f>
        <v>MH</v>
      </c>
      <c r="J1730" t="str">
        <f>INDEX(State!C:C,MATCH(OrdersTable[[#This Row],[State Code]],State!B:B,0))</f>
        <v>West</v>
      </c>
      <c r="K1730" t="s">
        <v>72</v>
      </c>
      <c r="L1730" t="s">
        <v>39</v>
      </c>
      <c r="M1730" t="s">
        <v>109</v>
      </c>
      <c r="N1730" t="str">
        <f>INDEX(Products!B:B,MATCH(OrdersTable[[#This Row],[Product ID]],Products!A:A,0))</f>
        <v>Onion Hair Oil</v>
      </c>
      <c r="O1730" t="str">
        <f>INDEX(Products!C:C,MATCH(OrdersTable[[#This Row],[Product ID]],Products!A:A,0))</f>
        <v>Haircare</v>
      </c>
      <c r="P1730">
        <v>2</v>
      </c>
      <c r="Q1730" s="5">
        <v>349</v>
      </c>
      <c r="R1730" s="74">
        <v>0.35</v>
      </c>
      <c r="S1730" s="75">
        <f>OrdersTable[[#This Row],[Quantity]]*OrdersTable[[#This Row],[Unit Price]]</f>
        <v>698</v>
      </c>
      <c r="T1730" s="5">
        <f>OrdersTable[[#This Row],[Gross Sale]]*OrdersTable[[#This Row],[Discount_Clean2]]</f>
        <v>244.29999999999998</v>
      </c>
      <c r="U1730" s="5">
        <f>OrdersTable[[#This Row],[Gross Sale]]-OrdersTable[[#This Row],[Discount Amount]]</f>
        <v>453.70000000000005</v>
      </c>
      <c r="V1730" s="77">
        <f>INDEX(Products!E:E,MATCH(OrdersTable[[#This Row],[Product ID]],Products!A:A,0))</f>
        <v>105</v>
      </c>
      <c r="W1730" s="77">
        <f>OrdersTable[[#This Row],[Quantity]]*OrdersTable[[#This Row],[Unit Cost]]</f>
        <v>210</v>
      </c>
      <c r="X1730" s="77">
        <f>'Dropdown Lists'!$I$2*(1+OrdersTable[[#This Row],[Returned]])</f>
        <v>60</v>
      </c>
      <c r="Y1730" s="76">
        <f>OrdersTable[[#This Row],[Net Revenue]]-OrdersTable[[#This Row],[COGS]]-OrdersTable[[#This Row],[Shipping Cost]]</f>
        <v>183.70000000000005</v>
      </c>
      <c r="Z1730" s="78">
        <f>IFERROR(OrdersTable[[#This Row],[Profit]]/OrdersTable[[#This Row],[Net Revenue]],0)</f>
        <v>0.40489310116817284</v>
      </c>
      <c r="AA1730" t="s">
        <v>18</v>
      </c>
      <c r="AB1730" s="79">
        <v>45607</v>
      </c>
      <c r="AC1730">
        <f>OrdersTable[[#This Row],[Delivery Date]]-OrdersTable[[#This Row],[Order Date]]</f>
        <v>5</v>
      </c>
      <c r="AD1730" t="str">
        <f>IF(OrdersTable[[#This Row],[Delivery Days]]&lt;=2, "Express (≤2d)", IF(OrdersTable[[#This Row],[Delivery Days]]&lt;=4, "Standard (3-4d)", "Delayed (5d+)"))</f>
        <v>Delayed (5d+)</v>
      </c>
      <c r="AE1730">
        <v>4</v>
      </c>
      <c r="AF1730">
        <v>0</v>
      </c>
    </row>
    <row r="1731" spans="1:32" ht="15" x14ac:dyDescent="0.35">
      <c r="A1731" t="s">
        <v>2331</v>
      </c>
      <c r="B1731" s="1">
        <v>45602</v>
      </c>
      <c r="C1731">
        <f>YEAR(OrdersTable[[#This Row],[Order Date]])</f>
        <v>2024</v>
      </c>
      <c r="D1731" s="2">
        <f>DATE(YEAR(OrdersTable[[#This Row],[Order Date]]),MONTH(OrdersTable[[#This Row],[Order Date]]),1)</f>
        <v>45597</v>
      </c>
      <c r="E1731">
        <f>MONTH(OrdersTable[[#This Row],[Order Date]])</f>
        <v>11</v>
      </c>
      <c r="F1731" t="s">
        <v>2332</v>
      </c>
      <c r="G1731" t="str">
        <f>IF(OrdersTable[[#This Row],[Order Date]]=_xlfn.MINIFS(Order_Date, Customer_ID, OrdersTable[[#This Row],[Customer ID]]), "New", "Repeat")</f>
        <v>Repeat</v>
      </c>
      <c r="H1731" t="s">
        <v>71</v>
      </c>
      <c r="I1731" t="str">
        <f>INDEX(State!B:B,MATCH(OrdersTable[[#This Row],[State]],State!A:A,0))</f>
        <v>MH</v>
      </c>
      <c r="J1731" t="str">
        <f>INDEX(State!C:C,MATCH(OrdersTable[[#This Row],[State Code]],State!B:B,0))</f>
        <v>West</v>
      </c>
      <c r="K1731" t="s">
        <v>102</v>
      </c>
      <c r="L1731" t="s">
        <v>50</v>
      </c>
      <c r="M1731" t="s">
        <v>66</v>
      </c>
      <c r="N1731" t="str">
        <f>INDEX(Products!B:B,MATCH(OrdersTable[[#This Row],[Product ID]],Products!A:A,0))</f>
        <v>Sunscreen SPF 50</v>
      </c>
      <c r="O1731" t="str">
        <f>INDEX(Products!C:C,MATCH(OrdersTable[[#This Row],[Product ID]],Products!A:A,0))</f>
        <v>Skincare</v>
      </c>
      <c r="P1731">
        <v>1</v>
      </c>
      <c r="Q1731" s="5">
        <v>449</v>
      </c>
      <c r="R1731" s="74">
        <v>0.15</v>
      </c>
      <c r="S1731" s="75">
        <f>OrdersTable[[#This Row],[Quantity]]*OrdersTable[[#This Row],[Unit Price]]</f>
        <v>449</v>
      </c>
      <c r="T1731" s="5">
        <f>OrdersTable[[#This Row],[Gross Sale]]*OrdersTable[[#This Row],[Discount_Clean2]]</f>
        <v>67.349999999999994</v>
      </c>
      <c r="U1731" s="5">
        <f>OrdersTable[[#This Row],[Gross Sale]]-OrdersTable[[#This Row],[Discount Amount]]</f>
        <v>381.65</v>
      </c>
      <c r="V1731" s="77">
        <f>INDEX(Products!E:E,MATCH(OrdersTable[[#This Row],[Product ID]],Products!A:A,0))</f>
        <v>144</v>
      </c>
      <c r="W1731" s="77">
        <f>OrdersTable[[#This Row],[Quantity]]*OrdersTable[[#This Row],[Unit Cost]]</f>
        <v>144</v>
      </c>
      <c r="X1731" s="77">
        <f>'Dropdown Lists'!$I$2*(1+OrdersTable[[#This Row],[Returned]])</f>
        <v>60</v>
      </c>
      <c r="Y1731" s="76">
        <f>OrdersTable[[#This Row],[Net Revenue]]-OrdersTable[[#This Row],[COGS]]-OrdersTable[[#This Row],[Shipping Cost]]</f>
        <v>177.64999999999998</v>
      </c>
      <c r="Z1731" s="78">
        <f>IFERROR(OrdersTable[[#This Row],[Profit]]/OrdersTable[[#This Row],[Net Revenue]],0)</f>
        <v>0.465478841870824</v>
      </c>
      <c r="AA1731" t="s">
        <v>18</v>
      </c>
      <c r="AB1731" s="79">
        <v>45605</v>
      </c>
      <c r="AC1731">
        <f>OrdersTable[[#This Row],[Delivery Date]]-OrdersTable[[#This Row],[Order Date]]</f>
        <v>3</v>
      </c>
      <c r="AD1731" t="str">
        <f>IF(OrdersTable[[#This Row],[Delivery Days]]&lt;=2, "Express (≤2d)", IF(OrdersTable[[#This Row],[Delivery Days]]&lt;=4, "Standard (3-4d)", "Delayed (5d+)"))</f>
        <v>Standard (3-4d)</v>
      </c>
      <c r="AE1731">
        <v>5</v>
      </c>
      <c r="AF1731">
        <v>0</v>
      </c>
    </row>
    <row r="1732" spans="1:32" ht="15" x14ac:dyDescent="0.35">
      <c r="A1732" t="s">
        <v>2985</v>
      </c>
      <c r="B1732" s="1">
        <v>45602</v>
      </c>
      <c r="C1732">
        <f>YEAR(OrdersTable[[#This Row],[Order Date]])</f>
        <v>2024</v>
      </c>
      <c r="D1732" s="2">
        <f>DATE(YEAR(OrdersTable[[#This Row],[Order Date]]),MONTH(OrdersTable[[#This Row],[Order Date]]),1)</f>
        <v>45597</v>
      </c>
      <c r="E1732">
        <f>MONTH(OrdersTable[[#This Row],[Order Date]])</f>
        <v>11</v>
      </c>
      <c r="F1732" t="s">
        <v>2986</v>
      </c>
      <c r="G1732" t="str">
        <f>IF(OrdersTable[[#This Row],[Order Date]]=_xlfn.MINIFS(Order_Date, Customer_ID, OrdersTable[[#This Row],[Customer ID]]), "New", "Repeat")</f>
        <v>New</v>
      </c>
      <c r="H1732" t="s">
        <v>71</v>
      </c>
      <c r="I1732" t="str">
        <f>INDEX(State!B:B,MATCH(OrdersTable[[#This Row],[State]],State!A:A,0))</f>
        <v>MH</v>
      </c>
      <c r="J1732" t="str">
        <f>INDEX(State!C:C,MATCH(OrdersTable[[#This Row],[State Code]],State!B:B,0))</f>
        <v>West</v>
      </c>
      <c r="K1732" t="s">
        <v>72</v>
      </c>
      <c r="L1732" t="s">
        <v>39</v>
      </c>
      <c r="M1732" t="s">
        <v>40</v>
      </c>
      <c r="N1732" t="str">
        <f>INDEX(Products!B:B,MATCH(OrdersTable[[#This Row],[Product ID]],Products!A:A,0))</f>
        <v>Ashwagandha Capsules</v>
      </c>
      <c r="O1732" t="str">
        <f>INDEX(Products!C:C,MATCH(OrdersTable[[#This Row],[Product ID]],Products!A:A,0))</f>
        <v>Wellness</v>
      </c>
      <c r="P1732">
        <v>1</v>
      </c>
      <c r="Q1732" s="5">
        <v>499</v>
      </c>
      <c r="R1732" s="74">
        <v>0.2</v>
      </c>
      <c r="S1732" s="75">
        <f>OrdersTable[[#This Row],[Quantity]]*OrdersTable[[#This Row],[Unit Price]]</f>
        <v>499</v>
      </c>
      <c r="T1732" s="5">
        <f>OrdersTable[[#This Row],[Gross Sale]]*OrdersTable[[#This Row],[Discount_Clean2]]</f>
        <v>99.800000000000011</v>
      </c>
      <c r="U1732" s="5">
        <f>OrdersTable[[#This Row],[Gross Sale]]-OrdersTable[[#This Row],[Discount Amount]]</f>
        <v>399.2</v>
      </c>
      <c r="V1732" s="77">
        <f>INDEX(Products!E:E,MATCH(OrdersTable[[#This Row],[Product ID]],Products!A:A,0))</f>
        <v>150</v>
      </c>
      <c r="W1732" s="77">
        <f>OrdersTable[[#This Row],[Quantity]]*OrdersTable[[#This Row],[Unit Cost]]</f>
        <v>150</v>
      </c>
      <c r="X1732" s="77">
        <f>'Dropdown Lists'!$I$2*(1+OrdersTable[[#This Row],[Returned]])</f>
        <v>120</v>
      </c>
      <c r="Y1732" s="76">
        <f>OrdersTable[[#This Row],[Net Revenue]]-OrdersTable[[#This Row],[COGS]]-OrdersTable[[#This Row],[Shipping Cost]]</f>
        <v>129.19999999999999</v>
      </c>
      <c r="Z1732" s="78">
        <f>IFERROR(OrdersTable[[#This Row],[Profit]]/OrdersTable[[#This Row],[Net Revenue]],0)</f>
        <v>0.32364729458917835</v>
      </c>
      <c r="AA1732" t="s">
        <v>2522</v>
      </c>
      <c r="AB1732" s="79">
        <v>45606</v>
      </c>
      <c r="AC1732">
        <f>OrdersTable[[#This Row],[Delivery Date]]-OrdersTable[[#This Row],[Order Date]]</f>
        <v>4</v>
      </c>
      <c r="AD1732" t="str">
        <f>IF(OrdersTable[[#This Row],[Delivery Days]]&lt;=2, "Express (≤2d)", IF(OrdersTable[[#This Row],[Delivery Days]]&lt;=4, "Standard (3-4d)", "Delayed (5d+)"))</f>
        <v>Standard (3-4d)</v>
      </c>
      <c r="AF1732">
        <v>1</v>
      </c>
    </row>
    <row r="1733" spans="1:32" ht="15" x14ac:dyDescent="0.35">
      <c r="A1733" t="s">
        <v>529</v>
      </c>
      <c r="B1733" s="1">
        <v>45602</v>
      </c>
      <c r="C1733">
        <f>YEAR(OrdersTable[[#This Row],[Order Date]])</f>
        <v>2024</v>
      </c>
      <c r="D1733" s="2">
        <f>DATE(YEAR(OrdersTable[[#This Row],[Order Date]]),MONTH(OrdersTable[[#This Row],[Order Date]]),1)</f>
        <v>45597</v>
      </c>
      <c r="E1733">
        <f>MONTH(OrdersTable[[#This Row],[Order Date]])</f>
        <v>11</v>
      </c>
      <c r="F1733" t="s">
        <v>530</v>
      </c>
      <c r="G1733" t="str">
        <f>IF(OrdersTable[[#This Row],[Order Date]]=_xlfn.MINIFS(Order_Date, Customer_ID, OrdersTable[[#This Row],[Customer ID]]), "New", "Repeat")</f>
        <v>Repeat</v>
      </c>
      <c r="H1733" t="s">
        <v>71</v>
      </c>
      <c r="I1733" t="str">
        <f>INDEX(State!B:B,MATCH(OrdersTable[[#This Row],[State]],State!A:A,0))</f>
        <v>MH</v>
      </c>
      <c r="J1733" t="str">
        <f>INDEX(State!C:C,MATCH(OrdersTable[[#This Row],[State Code]],State!B:B,0))</f>
        <v>West</v>
      </c>
      <c r="K1733" t="s">
        <v>72</v>
      </c>
      <c r="L1733" t="s">
        <v>65</v>
      </c>
      <c r="M1733" t="s">
        <v>109</v>
      </c>
      <c r="N1733" t="str">
        <f>INDEX(Products!B:B,MATCH(OrdersTable[[#This Row],[Product ID]],Products!A:A,0))</f>
        <v>Onion Hair Oil</v>
      </c>
      <c r="O1733" t="str">
        <f>INDEX(Products!C:C,MATCH(OrdersTable[[#This Row],[Product ID]],Products!A:A,0))</f>
        <v>Haircare</v>
      </c>
      <c r="P1733">
        <v>1</v>
      </c>
      <c r="Q1733" s="5">
        <v>349</v>
      </c>
      <c r="R1733" s="74">
        <v>0.6</v>
      </c>
      <c r="S1733" s="75">
        <f>OrdersTable[[#This Row],[Quantity]]*OrdersTable[[#This Row],[Unit Price]]</f>
        <v>349</v>
      </c>
      <c r="T1733" s="5">
        <f>OrdersTable[[#This Row],[Gross Sale]]*OrdersTable[[#This Row],[Discount_Clean2]]</f>
        <v>209.4</v>
      </c>
      <c r="U1733" s="5">
        <f>OrdersTable[[#This Row],[Gross Sale]]-OrdersTable[[#This Row],[Discount Amount]]</f>
        <v>139.6</v>
      </c>
      <c r="V1733" s="77">
        <f>INDEX(Products!E:E,MATCH(OrdersTable[[#This Row],[Product ID]],Products!A:A,0))</f>
        <v>105</v>
      </c>
      <c r="W1733" s="77">
        <f>OrdersTable[[#This Row],[Quantity]]*OrdersTable[[#This Row],[Unit Cost]]</f>
        <v>105</v>
      </c>
      <c r="X1733" s="77">
        <f>'Dropdown Lists'!$I$2*(1+OrdersTable[[#This Row],[Returned]])</f>
        <v>60</v>
      </c>
      <c r="Y1733" s="76">
        <f>OrdersTable[[#This Row],[Net Revenue]]-OrdersTable[[#This Row],[COGS]]-OrdersTable[[#This Row],[Shipping Cost]]</f>
        <v>-25.400000000000006</v>
      </c>
      <c r="Z1733" s="78">
        <f>IFERROR(OrdersTable[[#This Row],[Profit]]/OrdersTable[[#This Row],[Net Revenue]],0)</f>
        <v>-0.18194842406876796</v>
      </c>
      <c r="AA1733" t="s">
        <v>18</v>
      </c>
      <c r="AB1733" s="79">
        <v>45605</v>
      </c>
      <c r="AC1733">
        <f>OrdersTable[[#This Row],[Delivery Date]]-OrdersTable[[#This Row],[Order Date]]</f>
        <v>3</v>
      </c>
      <c r="AD1733" t="str">
        <f>IF(OrdersTable[[#This Row],[Delivery Days]]&lt;=2, "Express (≤2d)", IF(OrdersTable[[#This Row],[Delivery Days]]&lt;=4, "Standard (3-4d)", "Delayed (5d+)"))</f>
        <v>Standard (3-4d)</v>
      </c>
      <c r="AE1733">
        <v>4</v>
      </c>
      <c r="AF1733">
        <v>0</v>
      </c>
    </row>
    <row r="1734" spans="1:32" ht="15" x14ac:dyDescent="0.35">
      <c r="A1734" t="s">
        <v>5905</v>
      </c>
      <c r="B1734" s="1">
        <v>45602</v>
      </c>
      <c r="C1734">
        <f>YEAR(OrdersTable[[#This Row],[Order Date]])</f>
        <v>2024</v>
      </c>
      <c r="D1734" s="2">
        <f>DATE(YEAR(OrdersTable[[#This Row],[Order Date]]),MONTH(OrdersTable[[#This Row],[Order Date]]),1)</f>
        <v>45597</v>
      </c>
      <c r="E1734">
        <f>MONTH(OrdersTable[[#This Row],[Order Date]])</f>
        <v>11</v>
      </c>
      <c r="F1734" t="s">
        <v>5906</v>
      </c>
      <c r="G1734" t="str">
        <f>IF(OrdersTable[[#This Row],[Order Date]]=_xlfn.MINIFS(Order_Date, Customer_ID, OrdersTable[[#This Row],[Customer ID]]), "New", "Repeat")</f>
        <v>New</v>
      </c>
      <c r="H1734" t="s">
        <v>95</v>
      </c>
      <c r="I1734" t="str">
        <f>INDEX(State!B:B,MATCH(OrdersTable[[#This Row],[State]],State!A:A,0))</f>
        <v>TG</v>
      </c>
      <c r="J1734" t="str">
        <f>INDEX(State!C:C,MATCH(OrdersTable[[#This Row],[State Code]],State!B:B,0))</f>
        <v>South</v>
      </c>
      <c r="K1734" t="s">
        <v>96</v>
      </c>
      <c r="L1734" t="s">
        <v>65</v>
      </c>
      <c r="M1734" t="s">
        <v>205</v>
      </c>
      <c r="N1734" t="str">
        <f>INDEX(Products!B:B,MATCH(OrdersTable[[#This Row],[Product ID]],Products!A:A,0))</f>
        <v>Running Shoes</v>
      </c>
      <c r="O1734" t="str">
        <f>INDEX(Products!C:C,MATCH(OrdersTable[[#This Row],[Product ID]],Products!A:A,0))</f>
        <v>Footwear</v>
      </c>
      <c r="P1734">
        <v>2</v>
      </c>
      <c r="Q1734" s="5">
        <v>2999</v>
      </c>
      <c r="R1734" s="74">
        <v>0.5</v>
      </c>
      <c r="S1734" s="75">
        <f>OrdersTable[[#This Row],[Quantity]]*OrdersTable[[#This Row],[Unit Price]]</f>
        <v>5998</v>
      </c>
      <c r="T1734" s="5">
        <f>OrdersTable[[#This Row],[Gross Sale]]*OrdersTable[[#This Row],[Discount_Clean2]]</f>
        <v>2999</v>
      </c>
      <c r="U1734" s="5">
        <f>OrdersTable[[#This Row],[Gross Sale]]-OrdersTable[[#This Row],[Discount Amount]]</f>
        <v>2999</v>
      </c>
      <c r="V1734" s="77">
        <f>INDEX(Products!E:E,MATCH(OrdersTable[[#This Row],[Product ID]],Products!A:A,0))</f>
        <v>1440</v>
      </c>
      <c r="W1734" s="77">
        <f>OrdersTable[[#This Row],[Quantity]]*OrdersTable[[#This Row],[Unit Cost]]</f>
        <v>2880</v>
      </c>
      <c r="X1734" s="77">
        <f>'Dropdown Lists'!$I$2*(1+OrdersTable[[#This Row],[Returned]])</f>
        <v>60</v>
      </c>
      <c r="Y1734" s="76">
        <f>OrdersTable[[#This Row],[Net Revenue]]-OrdersTable[[#This Row],[COGS]]-OrdersTable[[#This Row],[Shipping Cost]]</f>
        <v>59</v>
      </c>
      <c r="Z1734" s="78">
        <f>IFERROR(OrdersTable[[#This Row],[Profit]]/OrdersTable[[#This Row],[Net Revenue]],0)</f>
        <v>1.9673224408136045E-2</v>
      </c>
      <c r="AA1734" t="s">
        <v>18</v>
      </c>
      <c r="AB1734" s="79">
        <v>45606</v>
      </c>
      <c r="AC1734">
        <f>OrdersTable[[#This Row],[Delivery Date]]-OrdersTable[[#This Row],[Order Date]]</f>
        <v>4</v>
      </c>
      <c r="AD1734" t="str">
        <f>IF(OrdersTable[[#This Row],[Delivery Days]]&lt;=2, "Express (≤2d)", IF(OrdersTable[[#This Row],[Delivery Days]]&lt;=4, "Standard (3-4d)", "Delayed (5d+)"))</f>
        <v>Standard (3-4d)</v>
      </c>
      <c r="AF1734">
        <v>0</v>
      </c>
    </row>
    <row r="1735" spans="1:32" ht="15" x14ac:dyDescent="0.35">
      <c r="A1735" t="s">
        <v>6524</v>
      </c>
      <c r="B1735" s="1">
        <v>45602</v>
      </c>
      <c r="C1735">
        <f>YEAR(OrdersTable[[#This Row],[Order Date]])</f>
        <v>2024</v>
      </c>
      <c r="D1735" s="2">
        <f>DATE(YEAR(OrdersTable[[#This Row],[Order Date]]),MONTH(OrdersTable[[#This Row],[Order Date]]),1)</f>
        <v>45597</v>
      </c>
      <c r="E1735">
        <f>MONTH(OrdersTable[[#This Row],[Order Date]])</f>
        <v>11</v>
      </c>
      <c r="F1735" t="s">
        <v>6525</v>
      </c>
      <c r="G1735" t="str">
        <f>IF(OrdersTable[[#This Row],[Order Date]]=_xlfn.MINIFS(Order_Date, Customer_ID, OrdersTable[[#This Row],[Customer ID]]), "New", "Repeat")</f>
        <v>New</v>
      </c>
      <c r="H1735" t="s">
        <v>90</v>
      </c>
      <c r="I1735" t="str">
        <f>INDEX(State!B:B,MATCH(OrdersTable[[#This Row],[State]],State!A:A,0))</f>
        <v>GA</v>
      </c>
      <c r="J1735" t="str">
        <f>INDEX(State!C:C,MATCH(OrdersTable[[#This Row],[State Code]],State!B:B,0))</f>
        <v>West</v>
      </c>
      <c r="K1735" t="s">
        <v>91</v>
      </c>
      <c r="L1735" t="s">
        <v>23</v>
      </c>
      <c r="M1735" t="s">
        <v>173</v>
      </c>
      <c r="N1735" t="str">
        <f>INDEX(Products!B:B,MATCH(OrdersTable[[#This Row],[Product ID]],Products!A:A,0))</f>
        <v>Wireless Earbuds</v>
      </c>
      <c r="O1735" t="str">
        <f>INDEX(Products!C:C,MATCH(OrdersTable[[#This Row],[Product ID]],Products!A:A,0))</f>
        <v>Electronics</v>
      </c>
      <c r="P1735">
        <v>3</v>
      </c>
      <c r="Q1735" s="5">
        <v>1999</v>
      </c>
      <c r="R1735" s="74">
        <v>0.45</v>
      </c>
      <c r="S1735" s="75">
        <f>OrdersTable[[#This Row],[Quantity]]*OrdersTable[[#This Row],[Unit Price]]</f>
        <v>5997</v>
      </c>
      <c r="T1735" s="5">
        <f>OrdersTable[[#This Row],[Gross Sale]]*OrdersTable[[#This Row],[Discount_Clean2]]</f>
        <v>2698.65</v>
      </c>
      <c r="U1735" s="5">
        <f>OrdersTable[[#This Row],[Gross Sale]]-OrdersTable[[#This Row],[Discount Amount]]</f>
        <v>3298.35</v>
      </c>
      <c r="V1735" s="77">
        <f>INDEX(Products!E:E,MATCH(OrdersTable[[#This Row],[Product ID]],Products!A:A,0))</f>
        <v>1239</v>
      </c>
      <c r="W1735" s="77">
        <f>OrdersTable[[#This Row],[Quantity]]*OrdersTable[[#This Row],[Unit Cost]]</f>
        <v>3717</v>
      </c>
      <c r="X1735" s="77">
        <f>'Dropdown Lists'!$I$2*(1+OrdersTable[[#This Row],[Returned]])</f>
        <v>60</v>
      </c>
      <c r="Y1735" s="76">
        <f>OrdersTable[[#This Row],[Net Revenue]]-OrdersTable[[#This Row],[COGS]]-OrdersTable[[#This Row],[Shipping Cost]]</f>
        <v>-478.65000000000009</v>
      </c>
      <c r="Z1735" s="78">
        <f>IFERROR(OrdersTable[[#This Row],[Profit]]/OrdersTable[[#This Row],[Net Revenue]],0)</f>
        <v>-0.1451180135522307</v>
      </c>
      <c r="AA1735" t="s">
        <v>18</v>
      </c>
      <c r="AB1735" s="79">
        <v>45605</v>
      </c>
      <c r="AC1735">
        <f>OrdersTable[[#This Row],[Delivery Date]]-OrdersTable[[#This Row],[Order Date]]</f>
        <v>3</v>
      </c>
      <c r="AD1735" t="str">
        <f>IF(OrdersTable[[#This Row],[Delivery Days]]&lt;=2, "Express (≤2d)", IF(OrdersTable[[#This Row],[Delivery Days]]&lt;=4, "Standard (3-4d)", "Delayed (5d+)"))</f>
        <v>Standard (3-4d)</v>
      </c>
      <c r="AE1735">
        <v>3</v>
      </c>
      <c r="AF1735">
        <v>0</v>
      </c>
    </row>
    <row r="1736" spans="1:32" ht="15" x14ac:dyDescent="0.35">
      <c r="A1736" t="s">
        <v>531</v>
      </c>
      <c r="B1736" s="1">
        <v>45602</v>
      </c>
      <c r="C1736">
        <f>YEAR(OrdersTable[[#This Row],[Order Date]])</f>
        <v>2024</v>
      </c>
      <c r="D1736" s="2">
        <f>DATE(YEAR(OrdersTable[[#This Row],[Order Date]]),MONTH(OrdersTable[[#This Row],[Order Date]]),1)</f>
        <v>45597</v>
      </c>
      <c r="E1736">
        <f>MONTH(OrdersTable[[#This Row],[Order Date]])</f>
        <v>11</v>
      </c>
      <c r="F1736" t="s">
        <v>532</v>
      </c>
      <c r="G1736" t="str">
        <f>IF(OrdersTable[[#This Row],[Order Date]]=_xlfn.MINIFS(Order_Date, Customer_ID, OrdersTable[[#This Row],[Customer ID]]), "New", "Repeat")</f>
        <v>Repeat</v>
      </c>
      <c r="H1736" t="s">
        <v>167</v>
      </c>
      <c r="I1736" t="str">
        <f>INDEX(State!B:B,MATCH(OrdersTable[[#This Row],[State]],State!A:A,0))</f>
        <v>KA</v>
      </c>
      <c r="J1736" t="str">
        <f>INDEX(State!C:C,MATCH(OrdersTable[[#This Row],[State Code]],State!B:B,0))</f>
        <v>South</v>
      </c>
      <c r="K1736" t="s">
        <v>168</v>
      </c>
      <c r="L1736" t="s">
        <v>50</v>
      </c>
      <c r="M1736" t="s">
        <v>73</v>
      </c>
      <c r="N1736" t="str">
        <f>INDEX(Products!B:B,MATCH(OrdersTable[[#This Row],[Product ID]],Products!A:A,0))</f>
        <v>Hydrating Face Wash</v>
      </c>
      <c r="O1736" t="str">
        <f>INDEX(Products!C:C,MATCH(OrdersTable[[#This Row],[Product ID]],Products!A:A,0))</f>
        <v>Skincare</v>
      </c>
      <c r="P1736">
        <v>1</v>
      </c>
      <c r="Q1736" s="5">
        <v>299</v>
      </c>
      <c r="R1736" s="74">
        <v>0.1</v>
      </c>
      <c r="S1736" s="75">
        <f>OrdersTable[[#This Row],[Quantity]]*OrdersTable[[#This Row],[Unit Price]]</f>
        <v>299</v>
      </c>
      <c r="T1736" s="5">
        <f>OrdersTable[[#This Row],[Gross Sale]]*OrdersTable[[#This Row],[Discount_Clean2]]</f>
        <v>29.900000000000002</v>
      </c>
      <c r="U1736" s="5">
        <f>OrdersTable[[#This Row],[Gross Sale]]-OrdersTable[[#This Row],[Discount Amount]]</f>
        <v>269.10000000000002</v>
      </c>
      <c r="V1736" s="77">
        <f>INDEX(Products!E:E,MATCH(OrdersTable[[#This Row],[Product ID]],Products!A:A,0))</f>
        <v>90</v>
      </c>
      <c r="W1736" s="77">
        <f>OrdersTable[[#This Row],[Quantity]]*OrdersTable[[#This Row],[Unit Cost]]</f>
        <v>90</v>
      </c>
      <c r="X1736" s="77">
        <f>'Dropdown Lists'!$I$2*(1+OrdersTable[[#This Row],[Returned]])</f>
        <v>60</v>
      </c>
      <c r="Y1736" s="76">
        <f>OrdersTable[[#This Row],[Net Revenue]]-OrdersTable[[#This Row],[COGS]]-OrdersTable[[#This Row],[Shipping Cost]]</f>
        <v>119.10000000000002</v>
      </c>
      <c r="Z1736" s="78">
        <f>IFERROR(OrdersTable[[#This Row],[Profit]]/OrdersTable[[#This Row],[Net Revenue]],0)</f>
        <v>0.4425863991081383</v>
      </c>
      <c r="AA1736" t="s">
        <v>18</v>
      </c>
      <c r="AB1736" s="79">
        <v>45603</v>
      </c>
      <c r="AC1736">
        <f>OrdersTable[[#This Row],[Delivery Date]]-OrdersTable[[#This Row],[Order Date]]</f>
        <v>1</v>
      </c>
      <c r="AD1736" t="str">
        <f>IF(OrdersTable[[#This Row],[Delivery Days]]&lt;=2, "Express (≤2d)", IF(OrdersTable[[#This Row],[Delivery Days]]&lt;=4, "Standard (3-4d)", "Delayed (5d+)"))</f>
        <v>Express (≤2d)</v>
      </c>
      <c r="AE1736">
        <v>4</v>
      </c>
      <c r="AF1736">
        <v>0</v>
      </c>
    </row>
    <row r="1737" spans="1:32" ht="15" x14ac:dyDescent="0.35">
      <c r="A1737" t="s">
        <v>4371</v>
      </c>
      <c r="B1737" s="1">
        <v>45603</v>
      </c>
      <c r="C1737">
        <f>YEAR(OrdersTable[[#This Row],[Order Date]])</f>
        <v>2024</v>
      </c>
      <c r="D1737" s="2">
        <f>DATE(YEAR(OrdersTable[[#This Row],[Order Date]]),MONTH(OrdersTable[[#This Row],[Order Date]]),1)</f>
        <v>45597</v>
      </c>
      <c r="E1737">
        <f>MONTH(OrdersTable[[#This Row],[Order Date]])</f>
        <v>11</v>
      </c>
      <c r="F1737" t="s">
        <v>1750</v>
      </c>
      <c r="G1737" t="str">
        <f>IF(OrdersTable[[#This Row],[Order Date]]=_xlfn.MINIFS(Order_Date, Customer_ID, OrdersTable[[#This Row],[Customer ID]]), "New", "Repeat")</f>
        <v>Repeat</v>
      </c>
      <c r="H1737" t="s">
        <v>54</v>
      </c>
      <c r="I1737" t="str">
        <f>INDEX(State!B:B,MATCH(OrdersTable[[#This Row],[State]],State!A:A,0))</f>
        <v>RJ</v>
      </c>
      <c r="J1737" t="str">
        <f>INDEX(State!C:C,MATCH(OrdersTable[[#This Row],[State Code]],State!B:B,0))</f>
        <v>North</v>
      </c>
      <c r="K1737" t="s">
        <v>55</v>
      </c>
      <c r="L1737" t="s">
        <v>50</v>
      </c>
      <c r="M1737" t="s">
        <v>106</v>
      </c>
      <c r="N1737" t="str">
        <f>INDEX(Products!B:B,MATCH(OrdersTable[[#This Row],[Product ID]],Products!A:A,0))</f>
        <v>Keratin Hair Mask</v>
      </c>
      <c r="O1737" t="str">
        <f>INDEX(Products!C:C,MATCH(OrdersTable[[#This Row],[Product ID]],Products!A:A,0))</f>
        <v>Haircare</v>
      </c>
      <c r="P1737">
        <v>1</v>
      </c>
      <c r="Q1737" s="5">
        <v>549</v>
      </c>
      <c r="R1737" s="74">
        <v>0.35</v>
      </c>
      <c r="S1737" s="75">
        <f>OrdersTable[[#This Row],[Quantity]]*OrdersTable[[#This Row],[Unit Price]]</f>
        <v>549</v>
      </c>
      <c r="T1737" s="5">
        <f>OrdersTable[[#This Row],[Gross Sale]]*OrdersTable[[#This Row],[Discount_Clean2]]</f>
        <v>192.14999999999998</v>
      </c>
      <c r="U1737" s="5">
        <f>OrdersTable[[#This Row],[Gross Sale]]-OrdersTable[[#This Row],[Discount Amount]]</f>
        <v>356.85</v>
      </c>
      <c r="V1737" s="77">
        <f>INDEX(Products!E:E,MATCH(OrdersTable[[#This Row],[Product ID]],Products!A:A,0))</f>
        <v>170</v>
      </c>
      <c r="W1737" s="77">
        <f>OrdersTable[[#This Row],[Quantity]]*OrdersTable[[#This Row],[Unit Cost]]</f>
        <v>170</v>
      </c>
      <c r="X1737" s="77">
        <f>'Dropdown Lists'!$I$2*(1+OrdersTable[[#This Row],[Returned]])</f>
        <v>60</v>
      </c>
      <c r="Y1737" s="76">
        <f>OrdersTable[[#This Row],[Net Revenue]]-OrdersTable[[#This Row],[COGS]]-OrdersTable[[#This Row],[Shipping Cost]]</f>
        <v>126.85000000000002</v>
      </c>
      <c r="Z1737" s="78">
        <f>IFERROR(OrdersTable[[#This Row],[Profit]]/OrdersTable[[#This Row],[Net Revenue]],0)</f>
        <v>0.35547148661902767</v>
      </c>
      <c r="AA1737" t="s">
        <v>4074</v>
      </c>
      <c r="AB1737" s="79">
        <v>45608</v>
      </c>
      <c r="AC1737">
        <f>OrdersTable[[#This Row],[Delivery Date]]-OrdersTable[[#This Row],[Order Date]]</f>
        <v>5</v>
      </c>
      <c r="AD1737" t="str">
        <f>IF(OrdersTable[[#This Row],[Delivery Days]]&lt;=2, "Express (≤2d)", IF(OrdersTable[[#This Row],[Delivery Days]]&lt;=4, "Standard (3-4d)", "Delayed (5d+)"))</f>
        <v>Delayed (5d+)</v>
      </c>
      <c r="AE1737">
        <v>4</v>
      </c>
      <c r="AF1737">
        <v>0</v>
      </c>
    </row>
    <row r="1738" spans="1:32" ht="15" x14ac:dyDescent="0.35">
      <c r="A1738" t="s">
        <v>6319</v>
      </c>
      <c r="B1738" s="1">
        <v>45603</v>
      </c>
      <c r="C1738">
        <f>YEAR(OrdersTable[[#This Row],[Order Date]])</f>
        <v>2024</v>
      </c>
      <c r="D1738" s="2">
        <f>DATE(YEAR(OrdersTable[[#This Row],[Order Date]]),MONTH(OrdersTable[[#This Row],[Order Date]]),1)</f>
        <v>45597</v>
      </c>
      <c r="E1738">
        <f>MONTH(OrdersTable[[#This Row],[Order Date]])</f>
        <v>11</v>
      </c>
      <c r="F1738" t="s">
        <v>4707</v>
      </c>
      <c r="G1738" t="str">
        <f>IF(OrdersTable[[#This Row],[Order Date]]=_xlfn.MINIFS(Order_Date, Customer_ID, OrdersTable[[#This Row],[Customer ID]]), "New", "Repeat")</f>
        <v>New</v>
      </c>
      <c r="H1738" t="s">
        <v>27</v>
      </c>
      <c r="I1738" t="str">
        <f>INDEX(State!B:B,MATCH(OrdersTable[[#This Row],[State]],State!A:A,0))</f>
        <v>WB</v>
      </c>
      <c r="J1738" t="str">
        <f>INDEX(State!C:C,MATCH(OrdersTable[[#This Row],[State Code]],State!B:B,0))</f>
        <v>East</v>
      </c>
      <c r="K1738" t="s">
        <v>28</v>
      </c>
      <c r="L1738" t="s">
        <v>39</v>
      </c>
      <c r="M1738" t="s">
        <v>152</v>
      </c>
      <c r="N1738" t="str">
        <f>INDEX(Products!B:B,MATCH(OrdersTable[[#This Row],[Product ID]],Products!A:A,0))</f>
        <v>Green Tea (100 bags)</v>
      </c>
      <c r="O1738" t="str">
        <f>INDEX(Products!C:C,MATCH(OrdersTable[[#This Row],[Product ID]],Products!A:A,0))</f>
        <v>Wellness</v>
      </c>
      <c r="P1738">
        <v>2</v>
      </c>
      <c r="Q1738" s="5">
        <v>399</v>
      </c>
      <c r="R1738" s="74">
        <v>0.45</v>
      </c>
      <c r="S1738" s="75">
        <f>OrdersTable[[#This Row],[Quantity]]*OrdersTable[[#This Row],[Unit Price]]</f>
        <v>798</v>
      </c>
      <c r="T1738" s="5">
        <f>OrdersTable[[#This Row],[Gross Sale]]*OrdersTable[[#This Row],[Discount_Clean2]]</f>
        <v>359.1</v>
      </c>
      <c r="U1738" s="5">
        <f>OrdersTable[[#This Row],[Gross Sale]]-OrdersTable[[#This Row],[Discount Amount]]</f>
        <v>438.9</v>
      </c>
      <c r="V1738" s="77">
        <f>INDEX(Products!E:E,MATCH(OrdersTable[[#This Row],[Product ID]],Products!A:A,0))</f>
        <v>128</v>
      </c>
      <c r="W1738" s="77">
        <f>OrdersTable[[#This Row],[Quantity]]*OrdersTable[[#This Row],[Unit Cost]]</f>
        <v>256</v>
      </c>
      <c r="X1738" s="77">
        <f>'Dropdown Lists'!$I$2*(1+OrdersTable[[#This Row],[Returned]])</f>
        <v>60</v>
      </c>
      <c r="Y1738" s="76">
        <f>OrdersTable[[#This Row],[Net Revenue]]-OrdersTable[[#This Row],[COGS]]-OrdersTable[[#This Row],[Shipping Cost]]</f>
        <v>122.89999999999998</v>
      </c>
      <c r="Z1738" s="78">
        <f>IFERROR(OrdersTable[[#This Row],[Profit]]/OrdersTable[[#This Row],[Net Revenue]],0)</f>
        <v>0.28001822738664839</v>
      </c>
      <c r="AA1738" t="s">
        <v>18</v>
      </c>
      <c r="AB1738" s="79">
        <v>45607</v>
      </c>
      <c r="AC1738">
        <f>OrdersTable[[#This Row],[Delivery Date]]-OrdersTable[[#This Row],[Order Date]]</f>
        <v>4</v>
      </c>
      <c r="AD1738" t="str">
        <f>IF(OrdersTable[[#This Row],[Delivery Days]]&lt;=2, "Express (≤2d)", IF(OrdersTable[[#This Row],[Delivery Days]]&lt;=4, "Standard (3-4d)", "Delayed (5d+)"))</f>
        <v>Standard (3-4d)</v>
      </c>
      <c r="AF1738">
        <v>0</v>
      </c>
    </row>
    <row r="1739" spans="1:32" ht="15" x14ac:dyDescent="0.35">
      <c r="A1739" t="s">
        <v>6872</v>
      </c>
      <c r="B1739" s="1">
        <v>45603</v>
      </c>
      <c r="C1739">
        <f>YEAR(OrdersTable[[#This Row],[Order Date]])</f>
        <v>2024</v>
      </c>
      <c r="D1739" s="2">
        <f>DATE(YEAR(OrdersTable[[#This Row],[Order Date]]),MONTH(OrdersTable[[#This Row],[Order Date]]),1)</f>
        <v>45597</v>
      </c>
      <c r="E1739">
        <f>MONTH(OrdersTable[[#This Row],[Order Date]])</f>
        <v>11</v>
      </c>
      <c r="F1739" t="s">
        <v>1382</v>
      </c>
      <c r="G1739" t="str">
        <f>IF(OrdersTable[[#This Row],[Order Date]]=_xlfn.MINIFS(Order_Date, Customer_ID, OrdersTable[[#This Row],[Customer ID]]), "New", "Repeat")</f>
        <v>Repeat</v>
      </c>
      <c r="H1739" t="s">
        <v>71</v>
      </c>
      <c r="I1739" t="str">
        <f>INDEX(State!B:B,MATCH(OrdersTable[[#This Row],[State]],State!A:A,0))</f>
        <v>MH</v>
      </c>
      <c r="J1739" t="str">
        <f>INDEX(State!C:C,MATCH(OrdersTable[[#This Row],[State Code]],State!B:B,0))</f>
        <v>West</v>
      </c>
      <c r="K1739" t="s">
        <v>72</v>
      </c>
      <c r="L1739" t="s">
        <v>23</v>
      </c>
      <c r="M1739" t="s">
        <v>125</v>
      </c>
      <c r="N1739" t="str">
        <f>INDEX(Products!B:B,MATCH(OrdersTable[[#This Row],[Product ID]],Products!A:A,0))</f>
        <v>Copper Water Bottle</v>
      </c>
      <c r="O1739" t="str">
        <f>INDEX(Products!C:C,MATCH(OrdersTable[[#This Row],[Product ID]],Products!A:A,0))</f>
        <v>Home &amp; Kitchen</v>
      </c>
      <c r="P1739">
        <v>3</v>
      </c>
      <c r="Q1739" s="5">
        <v>899</v>
      </c>
      <c r="R1739" s="74">
        <v>0.2</v>
      </c>
      <c r="S1739" s="75">
        <f>OrdersTable[[#This Row],[Quantity]]*OrdersTable[[#This Row],[Unit Price]]</f>
        <v>2697</v>
      </c>
      <c r="T1739" s="5">
        <f>OrdersTable[[#This Row],[Gross Sale]]*OrdersTable[[#This Row],[Discount_Clean2]]</f>
        <v>539.4</v>
      </c>
      <c r="U1739" s="5">
        <f>OrdersTable[[#This Row],[Gross Sale]]-OrdersTable[[#This Row],[Discount Amount]]</f>
        <v>2157.6</v>
      </c>
      <c r="V1739" s="77">
        <f>INDEX(Products!E:E,MATCH(OrdersTable[[#This Row],[Product ID]],Products!A:A,0))</f>
        <v>378</v>
      </c>
      <c r="W1739" s="77">
        <f>OrdersTable[[#This Row],[Quantity]]*OrdersTable[[#This Row],[Unit Cost]]</f>
        <v>1134</v>
      </c>
      <c r="X1739" s="77">
        <f>'Dropdown Lists'!$I$2*(1+OrdersTable[[#This Row],[Returned]])</f>
        <v>60</v>
      </c>
      <c r="Y1739" s="76">
        <f>OrdersTable[[#This Row],[Net Revenue]]-OrdersTable[[#This Row],[COGS]]-OrdersTable[[#This Row],[Shipping Cost]]</f>
        <v>963.59999999999991</v>
      </c>
      <c r="Z1739" s="78">
        <f>IFERROR(OrdersTable[[#This Row],[Profit]]/OrdersTable[[#This Row],[Net Revenue]],0)</f>
        <v>0.44660734149054504</v>
      </c>
      <c r="AA1739" t="s">
        <v>4450</v>
      </c>
      <c r="AB1739" s="79">
        <v>45605</v>
      </c>
      <c r="AC1739">
        <f>OrdersTable[[#This Row],[Delivery Date]]-OrdersTable[[#This Row],[Order Date]]</f>
        <v>2</v>
      </c>
      <c r="AD1739" t="str">
        <f>IF(OrdersTable[[#This Row],[Delivery Days]]&lt;=2, "Express (≤2d)", IF(OrdersTable[[#This Row],[Delivery Days]]&lt;=4, "Standard (3-4d)", "Delayed (5d+)"))</f>
        <v>Express (≤2d)</v>
      </c>
      <c r="AF1739">
        <v>0</v>
      </c>
    </row>
    <row r="1740" spans="1:32" ht="15" x14ac:dyDescent="0.35">
      <c r="A1740" t="s">
        <v>6320</v>
      </c>
      <c r="B1740" s="1">
        <v>45603</v>
      </c>
      <c r="C1740">
        <f>YEAR(OrdersTable[[#This Row],[Order Date]])</f>
        <v>2024</v>
      </c>
      <c r="D1740" s="2">
        <f>DATE(YEAR(OrdersTable[[#This Row],[Order Date]]),MONTH(OrdersTable[[#This Row],[Order Date]]),1)</f>
        <v>45597</v>
      </c>
      <c r="E1740">
        <f>MONTH(OrdersTable[[#This Row],[Order Date]])</f>
        <v>11</v>
      </c>
      <c r="F1740" t="s">
        <v>2129</v>
      </c>
      <c r="G1740" t="str">
        <f>IF(OrdersTable[[#This Row],[Order Date]]=_xlfn.MINIFS(Order_Date, Customer_ID, OrdersTable[[#This Row],[Customer ID]]), "New", "Repeat")</f>
        <v>Repeat</v>
      </c>
      <c r="H1740" t="s">
        <v>71</v>
      </c>
      <c r="I1740" t="str">
        <f>INDEX(State!B:B,MATCH(OrdersTable[[#This Row],[State]],State!A:A,0))</f>
        <v>MH</v>
      </c>
      <c r="J1740" t="str">
        <f>INDEX(State!C:C,MATCH(OrdersTable[[#This Row],[State Code]],State!B:B,0))</f>
        <v>West</v>
      </c>
      <c r="K1740" t="s">
        <v>102</v>
      </c>
      <c r="L1740" t="s">
        <v>65</v>
      </c>
      <c r="M1740" t="s">
        <v>160</v>
      </c>
      <c r="N1740" t="str">
        <f>INDEX(Products!B:B,MATCH(OrdersTable[[#This Row],[Product ID]],Products!A:A,0))</f>
        <v>Niacinamide Toner</v>
      </c>
      <c r="O1740" t="str">
        <f>INDEX(Products!C:C,MATCH(OrdersTable[[#This Row],[Product ID]],Products!A:A,0))</f>
        <v>Skincare</v>
      </c>
      <c r="P1740">
        <v>2</v>
      </c>
      <c r="Q1740" s="5">
        <v>399</v>
      </c>
      <c r="R1740" s="74">
        <v>0.35</v>
      </c>
      <c r="S1740" s="75">
        <f>OrdersTable[[#This Row],[Quantity]]*OrdersTable[[#This Row],[Unit Price]]</f>
        <v>798</v>
      </c>
      <c r="T1740" s="5">
        <f>OrdersTable[[#This Row],[Gross Sale]]*OrdersTable[[#This Row],[Discount_Clean2]]</f>
        <v>279.29999999999995</v>
      </c>
      <c r="U1740" s="5">
        <f>OrdersTable[[#This Row],[Gross Sale]]-OrdersTable[[#This Row],[Discount Amount]]</f>
        <v>518.70000000000005</v>
      </c>
      <c r="V1740" s="77">
        <f>INDEX(Products!E:E,MATCH(OrdersTable[[#This Row],[Product ID]],Products!A:A,0))</f>
        <v>112</v>
      </c>
      <c r="W1740" s="77">
        <f>OrdersTable[[#This Row],[Quantity]]*OrdersTable[[#This Row],[Unit Cost]]</f>
        <v>224</v>
      </c>
      <c r="X1740" s="77">
        <f>'Dropdown Lists'!$I$2*(1+OrdersTable[[#This Row],[Returned]])</f>
        <v>60</v>
      </c>
      <c r="Y1740" s="76">
        <f>OrdersTable[[#This Row],[Net Revenue]]-OrdersTable[[#This Row],[COGS]]-OrdersTable[[#This Row],[Shipping Cost]]</f>
        <v>234.70000000000005</v>
      </c>
      <c r="Z1740" s="78">
        <f>IFERROR(OrdersTable[[#This Row],[Profit]]/OrdersTable[[#This Row],[Net Revenue]],0)</f>
        <v>0.45247734721418936</v>
      </c>
      <c r="AA1740" t="s">
        <v>18</v>
      </c>
      <c r="AB1740" s="79">
        <v>45605</v>
      </c>
      <c r="AC1740">
        <f>OrdersTable[[#This Row],[Delivery Date]]-OrdersTable[[#This Row],[Order Date]]</f>
        <v>2</v>
      </c>
      <c r="AD1740" t="str">
        <f>IF(OrdersTable[[#This Row],[Delivery Days]]&lt;=2, "Express (≤2d)", IF(OrdersTable[[#This Row],[Delivery Days]]&lt;=4, "Standard (3-4d)", "Delayed (5d+)"))</f>
        <v>Express (≤2d)</v>
      </c>
      <c r="AE1740">
        <v>5</v>
      </c>
      <c r="AF1740">
        <v>0</v>
      </c>
    </row>
    <row r="1741" spans="1:32" ht="15" x14ac:dyDescent="0.35">
      <c r="A1741" t="s">
        <v>4488</v>
      </c>
      <c r="B1741" s="1">
        <v>45603</v>
      </c>
      <c r="C1741">
        <f>YEAR(OrdersTable[[#This Row],[Order Date]])</f>
        <v>2024</v>
      </c>
      <c r="D1741" s="2">
        <f>DATE(YEAR(OrdersTable[[#This Row],[Order Date]]),MONTH(OrdersTable[[#This Row],[Order Date]]),1)</f>
        <v>45597</v>
      </c>
      <c r="E1741">
        <f>MONTH(OrdersTable[[#This Row],[Order Date]])</f>
        <v>11</v>
      </c>
      <c r="F1741" t="s">
        <v>1613</v>
      </c>
      <c r="G1741" t="str">
        <f>IF(OrdersTable[[#This Row],[Order Date]]=_xlfn.MINIFS(Order_Date, Customer_ID, OrdersTable[[#This Row],[Customer ID]]), "New", "Repeat")</f>
        <v>New</v>
      </c>
      <c r="H1741" t="s">
        <v>71</v>
      </c>
      <c r="I1741" t="str">
        <f>INDEX(State!B:B,MATCH(OrdersTable[[#This Row],[State]],State!A:A,0))</f>
        <v>MH</v>
      </c>
      <c r="J1741" t="str">
        <f>INDEX(State!C:C,MATCH(OrdersTable[[#This Row],[State Code]],State!B:B,0))</f>
        <v>West</v>
      </c>
      <c r="K1741" t="s">
        <v>102</v>
      </c>
      <c r="L1741" t="s">
        <v>39</v>
      </c>
      <c r="M1741" t="s">
        <v>45</v>
      </c>
      <c r="N1741" t="str">
        <f>INDEX(Products!B:B,MATCH(OrdersTable[[#This Row],[Product ID]],Products!A:A,0))</f>
        <v>Argan Shampoo</v>
      </c>
      <c r="O1741" t="str">
        <f>INDEX(Products!C:C,MATCH(OrdersTable[[#This Row],[Product ID]],Products!A:A,0))</f>
        <v>Haircare</v>
      </c>
      <c r="P1741">
        <v>1</v>
      </c>
      <c r="Q1741" s="5">
        <v>449</v>
      </c>
      <c r="R1741" s="74">
        <v>0.3</v>
      </c>
      <c r="S1741" s="75">
        <f>OrdersTable[[#This Row],[Quantity]]*OrdersTable[[#This Row],[Unit Price]]</f>
        <v>449</v>
      </c>
      <c r="T1741" s="5">
        <f>OrdersTable[[#This Row],[Gross Sale]]*OrdersTable[[#This Row],[Discount_Clean2]]</f>
        <v>134.69999999999999</v>
      </c>
      <c r="U1741" s="5">
        <f>OrdersTable[[#This Row],[Gross Sale]]-OrdersTable[[#This Row],[Discount Amount]]</f>
        <v>314.3</v>
      </c>
      <c r="V1741" s="77">
        <f>INDEX(Products!E:E,MATCH(OrdersTable[[#This Row],[Product ID]],Products!A:A,0))</f>
        <v>148</v>
      </c>
      <c r="W1741" s="77">
        <f>OrdersTable[[#This Row],[Quantity]]*OrdersTable[[#This Row],[Unit Cost]]</f>
        <v>148</v>
      </c>
      <c r="X1741" s="77">
        <f>'Dropdown Lists'!$I$2*(1+OrdersTable[[#This Row],[Returned]])</f>
        <v>60</v>
      </c>
      <c r="Y1741" s="76">
        <f>OrdersTable[[#This Row],[Net Revenue]]-OrdersTable[[#This Row],[COGS]]-OrdersTable[[#This Row],[Shipping Cost]]</f>
        <v>106.30000000000001</v>
      </c>
      <c r="Z1741" s="78">
        <f>IFERROR(OrdersTable[[#This Row],[Profit]]/OrdersTable[[#This Row],[Net Revenue]],0)</f>
        <v>0.33821189945911551</v>
      </c>
      <c r="AA1741" t="s">
        <v>4450</v>
      </c>
      <c r="AB1741" s="79">
        <v>45605</v>
      </c>
      <c r="AC1741">
        <f>OrdersTable[[#This Row],[Delivery Date]]-OrdersTable[[#This Row],[Order Date]]</f>
        <v>2</v>
      </c>
      <c r="AD1741" t="str">
        <f>IF(OrdersTable[[#This Row],[Delivery Days]]&lt;=2, "Express (≤2d)", IF(OrdersTable[[#This Row],[Delivery Days]]&lt;=4, "Standard (3-4d)", "Delayed (5d+)"))</f>
        <v>Express (≤2d)</v>
      </c>
      <c r="AE1741">
        <v>4</v>
      </c>
      <c r="AF1741">
        <v>0</v>
      </c>
    </row>
    <row r="1742" spans="1:32" ht="15" x14ac:dyDescent="0.35">
      <c r="A1742" t="s">
        <v>2112</v>
      </c>
      <c r="B1742" s="1">
        <v>45604</v>
      </c>
      <c r="C1742">
        <f>YEAR(OrdersTable[[#This Row],[Order Date]])</f>
        <v>2024</v>
      </c>
      <c r="D1742" s="2">
        <f>DATE(YEAR(OrdersTable[[#This Row],[Order Date]]),MONTH(OrdersTable[[#This Row],[Order Date]]),1)</f>
        <v>45597</v>
      </c>
      <c r="E1742">
        <f>MONTH(OrdersTable[[#This Row],[Order Date]])</f>
        <v>11</v>
      </c>
      <c r="F1742" t="s">
        <v>2113</v>
      </c>
      <c r="G1742" t="str">
        <f>IF(OrdersTable[[#This Row],[Order Date]]=_xlfn.MINIFS(Order_Date, Customer_ID, OrdersTable[[#This Row],[Customer ID]]), "New", "Repeat")</f>
        <v>New</v>
      </c>
      <c r="H1742" t="s">
        <v>210</v>
      </c>
      <c r="I1742" t="str">
        <f>INDEX(State!B:B,MATCH(OrdersTable[[#This Row],[State]],State!A:A,0))</f>
        <v>JK</v>
      </c>
      <c r="J1742" t="str">
        <f>INDEX(State!C:C,MATCH(OrdersTable[[#This Row],[State Code]],State!B:B,0))</f>
        <v>North</v>
      </c>
      <c r="K1742" t="s">
        <v>415</v>
      </c>
      <c r="L1742" t="s">
        <v>65</v>
      </c>
      <c r="M1742" t="s">
        <v>56</v>
      </c>
      <c r="N1742" t="str">
        <f>INDEX(Products!B:B,MATCH(OrdersTable[[#This Row],[Product ID]],Products!A:A,0))</f>
        <v>Vitamin C Face Serum</v>
      </c>
      <c r="O1742" t="str">
        <f>INDEX(Products!C:C,MATCH(OrdersTable[[#This Row],[Product ID]],Products!A:A,0))</f>
        <v>Skincare</v>
      </c>
      <c r="P1742">
        <v>1</v>
      </c>
      <c r="Q1742" s="5">
        <v>599</v>
      </c>
      <c r="R1742" s="74">
        <v>0.3</v>
      </c>
      <c r="S1742" s="75">
        <f>OrdersTable[[#This Row],[Quantity]]*OrdersTable[[#This Row],[Unit Price]]</f>
        <v>599</v>
      </c>
      <c r="T1742" s="5">
        <f>OrdersTable[[#This Row],[Gross Sale]]*OrdersTable[[#This Row],[Discount_Clean2]]</f>
        <v>179.7</v>
      </c>
      <c r="U1742" s="5">
        <f>OrdersTable[[#This Row],[Gross Sale]]-OrdersTable[[#This Row],[Discount Amount]]</f>
        <v>419.3</v>
      </c>
      <c r="V1742" s="77">
        <f>INDEX(Products!E:E,MATCH(OrdersTable[[#This Row],[Product ID]],Products!A:A,0))</f>
        <v>180</v>
      </c>
      <c r="W1742" s="77">
        <f>OrdersTable[[#This Row],[Quantity]]*OrdersTable[[#This Row],[Unit Cost]]</f>
        <v>180</v>
      </c>
      <c r="X1742" s="77">
        <f>'Dropdown Lists'!$I$2*(1+OrdersTable[[#This Row],[Returned]])</f>
        <v>60</v>
      </c>
      <c r="Y1742" s="76">
        <f>OrdersTable[[#This Row],[Net Revenue]]-OrdersTable[[#This Row],[COGS]]-OrdersTable[[#This Row],[Shipping Cost]]</f>
        <v>179.3</v>
      </c>
      <c r="Z1742" s="78">
        <f>IFERROR(OrdersTable[[#This Row],[Profit]]/OrdersTable[[#This Row],[Net Revenue]],0)</f>
        <v>0.42761745766754117</v>
      </c>
      <c r="AA1742" t="s">
        <v>18</v>
      </c>
      <c r="AB1742" s="79">
        <v>45611</v>
      </c>
      <c r="AC1742">
        <f>OrdersTable[[#This Row],[Delivery Date]]-OrdersTable[[#This Row],[Order Date]]</f>
        <v>7</v>
      </c>
      <c r="AD1742" t="str">
        <f>IF(OrdersTable[[#This Row],[Delivery Days]]&lt;=2, "Express (≤2d)", IF(OrdersTable[[#This Row],[Delivery Days]]&lt;=4, "Standard (3-4d)", "Delayed (5d+)"))</f>
        <v>Delayed (5d+)</v>
      </c>
      <c r="AE1742">
        <v>3</v>
      </c>
      <c r="AF1742">
        <v>0</v>
      </c>
    </row>
    <row r="1743" spans="1:32" ht="15" x14ac:dyDescent="0.35">
      <c r="A1743" t="s">
        <v>4949</v>
      </c>
      <c r="B1743" s="1">
        <v>45604</v>
      </c>
      <c r="C1743">
        <f>YEAR(OrdersTable[[#This Row],[Order Date]])</f>
        <v>2024</v>
      </c>
      <c r="D1743" s="2">
        <f>DATE(YEAR(OrdersTable[[#This Row],[Order Date]]),MONTH(OrdersTable[[#This Row],[Order Date]]),1)</f>
        <v>45597</v>
      </c>
      <c r="E1743">
        <f>MONTH(OrdersTable[[#This Row],[Order Date]])</f>
        <v>11</v>
      </c>
      <c r="F1743" t="s">
        <v>388</v>
      </c>
      <c r="G1743" t="str">
        <f>IF(OrdersTable[[#This Row],[Order Date]]=_xlfn.MINIFS(Order_Date, Customer_ID, OrdersTable[[#This Row],[Customer ID]]), "New", "Repeat")</f>
        <v>New</v>
      </c>
      <c r="H1743" t="s">
        <v>158</v>
      </c>
      <c r="I1743" t="str">
        <f>INDEX(State!B:B,MATCH(OrdersTable[[#This Row],[State]],State!A:A,0))</f>
        <v>HP</v>
      </c>
      <c r="J1743" t="str">
        <f>INDEX(State!C:C,MATCH(OrdersTable[[#This Row],[State Code]],State!B:B,0))</f>
        <v>North</v>
      </c>
      <c r="K1743" t="s">
        <v>159</v>
      </c>
      <c r="L1743" t="s">
        <v>50</v>
      </c>
      <c r="M1743" t="s">
        <v>109</v>
      </c>
      <c r="N1743" t="str">
        <f>INDEX(Products!B:B,MATCH(OrdersTable[[#This Row],[Product ID]],Products!A:A,0))</f>
        <v>Onion Hair Oil</v>
      </c>
      <c r="O1743" t="str">
        <f>INDEX(Products!C:C,MATCH(OrdersTable[[#This Row],[Product ID]],Products!A:A,0))</f>
        <v>Haircare</v>
      </c>
      <c r="P1743">
        <v>2</v>
      </c>
      <c r="Q1743" s="5">
        <v>349</v>
      </c>
      <c r="R1743" s="74">
        <v>0.35</v>
      </c>
      <c r="S1743" s="75">
        <f>OrdersTable[[#This Row],[Quantity]]*OrdersTable[[#This Row],[Unit Price]]</f>
        <v>698</v>
      </c>
      <c r="T1743" s="5">
        <f>OrdersTable[[#This Row],[Gross Sale]]*OrdersTable[[#This Row],[Discount_Clean2]]</f>
        <v>244.29999999999998</v>
      </c>
      <c r="U1743" s="5">
        <f>OrdersTable[[#This Row],[Gross Sale]]-OrdersTable[[#This Row],[Discount Amount]]</f>
        <v>453.70000000000005</v>
      </c>
      <c r="V1743" s="77">
        <f>INDEX(Products!E:E,MATCH(OrdersTable[[#This Row],[Product ID]],Products!A:A,0))</f>
        <v>105</v>
      </c>
      <c r="W1743" s="77">
        <f>OrdersTable[[#This Row],[Quantity]]*OrdersTable[[#This Row],[Unit Cost]]</f>
        <v>210</v>
      </c>
      <c r="X1743" s="77">
        <f>'Dropdown Lists'!$I$2*(1+OrdersTable[[#This Row],[Returned]])</f>
        <v>60</v>
      </c>
      <c r="Y1743" s="76">
        <f>OrdersTable[[#This Row],[Net Revenue]]-OrdersTable[[#This Row],[COGS]]-OrdersTable[[#This Row],[Shipping Cost]]</f>
        <v>183.70000000000005</v>
      </c>
      <c r="Z1743" s="78">
        <f>IFERROR(OrdersTable[[#This Row],[Profit]]/OrdersTable[[#This Row],[Net Revenue]],0)</f>
        <v>0.40489310116817284</v>
      </c>
      <c r="AA1743" t="s">
        <v>4074</v>
      </c>
      <c r="AB1743" s="79">
        <v>45608</v>
      </c>
      <c r="AC1743">
        <f>OrdersTable[[#This Row],[Delivery Date]]-OrdersTable[[#This Row],[Order Date]]</f>
        <v>4</v>
      </c>
      <c r="AD1743" t="str">
        <f>IF(OrdersTable[[#This Row],[Delivery Days]]&lt;=2, "Express (≤2d)", IF(OrdersTable[[#This Row],[Delivery Days]]&lt;=4, "Standard (3-4d)", "Delayed (5d+)"))</f>
        <v>Standard (3-4d)</v>
      </c>
      <c r="AE1743">
        <v>4</v>
      </c>
      <c r="AF1743">
        <v>0</v>
      </c>
    </row>
    <row r="1744" spans="1:32" ht="15" x14ac:dyDescent="0.35">
      <c r="A1744" t="s">
        <v>3877</v>
      </c>
      <c r="B1744" s="1">
        <v>45604</v>
      </c>
      <c r="C1744">
        <f>YEAR(OrdersTable[[#This Row],[Order Date]])</f>
        <v>2024</v>
      </c>
      <c r="D1744" s="2">
        <f>DATE(YEAR(OrdersTable[[#This Row],[Order Date]]),MONTH(OrdersTable[[#This Row],[Order Date]]),1)</f>
        <v>45597</v>
      </c>
      <c r="E1744">
        <f>MONTH(OrdersTable[[#This Row],[Order Date]])</f>
        <v>11</v>
      </c>
      <c r="F1744" t="s">
        <v>3878</v>
      </c>
      <c r="G1744" t="str">
        <f>IF(OrdersTable[[#This Row],[Order Date]]=_xlfn.MINIFS(Order_Date, Customer_ID, OrdersTable[[#This Row],[Customer ID]]), "New", "Repeat")</f>
        <v>New</v>
      </c>
      <c r="H1744" t="s">
        <v>54</v>
      </c>
      <c r="I1744" t="str">
        <f>INDEX(State!B:B,MATCH(OrdersTable[[#This Row],[State]],State!A:A,0))</f>
        <v>RJ</v>
      </c>
      <c r="J1744" t="str">
        <f>INDEX(State!C:C,MATCH(OrdersTable[[#This Row],[State Code]],State!B:B,0))</f>
        <v>North</v>
      </c>
      <c r="K1744" t="s">
        <v>55</v>
      </c>
      <c r="L1744" t="s">
        <v>50</v>
      </c>
      <c r="M1744" t="s">
        <v>106</v>
      </c>
      <c r="N1744" t="str">
        <f>INDEX(Products!B:B,MATCH(OrdersTable[[#This Row],[Product ID]],Products!A:A,0))</f>
        <v>Keratin Hair Mask</v>
      </c>
      <c r="O1744" t="str">
        <f>INDEX(Products!C:C,MATCH(OrdersTable[[#This Row],[Product ID]],Products!A:A,0))</f>
        <v>Haircare</v>
      </c>
      <c r="P1744">
        <v>1</v>
      </c>
      <c r="Q1744" s="5">
        <v>549</v>
      </c>
      <c r="R1744" s="74">
        <v>0.35</v>
      </c>
      <c r="S1744" s="75">
        <f>OrdersTable[[#This Row],[Quantity]]*OrdersTable[[#This Row],[Unit Price]]</f>
        <v>549</v>
      </c>
      <c r="T1744" s="5">
        <f>OrdersTable[[#This Row],[Gross Sale]]*OrdersTable[[#This Row],[Discount_Clean2]]</f>
        <v>192.14999999999998</v>
      </c>
      <c r="U1744" s="5">
        <f>OrdersTable[[#This Row],[Gross Sale]]-OrdersTable[[#This Row],[Discount Amount]]</f>
        <v>356.85</v>
      </c>
      <c r="V1744" s="77">
        <f>INDEX(Products!E:E,MATCH(OrdersTable[[#This Row],[Product ID]],Products!A:A,0))</f>
        <v>170</v>
      </c>
      <c r="W1744" s="77">
        <f>OrdersTable[[#This Row],[Quantity]]*OrdersTable[[#This Row],[Unit Cost]]</f>
        <v>170</v>
      </c>
      <c r="X1744" s="77">
        <f>'Dropdown Lists'!$I$2*(1+OrdersTable[[#This Row],[Returned]])</f>
        <v>60</v>
      </c>
      <c r="Y1744" s="76">
        <f>OrdersTable[[#This Row],[Net Revenue]]-OrdersTable[[#This Row],[COGS]]-OrdersTable[[#This Row],[Shipping Cost]]</f>
        <v>126.85000000000002</v>
      </c>
      <c r="Z1744" s="78">
        <f>IFERROR(OrdersTable[[#This Row],[Profit]]/OrdersTable[[#This Row],[Net Revenue]],0)</f>
        <v>0.35547148661902767</v>
      </c>
      <c r="AA1744" t="s">
        <v>3495</v>
      </c>
      <c r="AB1744" s="79">
        <v>45608</v>
      </c>
      <c r="AC1744">
        <f>OrdersTable[[#This Row],[Delivery Date]]-OrdersTable[[#This Row],[Order Date]]</f>
        <v>4</v>
      </c>
      <c r="AD1744" t="str">
        <f>IF(OrdersTable[[#This Row],[Delivery Days]]&lt;=2, "Express (≤2d)", IF(OrdersTable[[#This Row],[Delivery Days]]&lt;=4, "Standard (3-4d)", "Delayed (5d+)"))</f>
        <v>Standard (3-4d)</v>
      </c>
      <c r="AE1744">
        <v>3</v>
      </c>
      <c r="AF1744">
        <v>0</v>
      </c>
    </row>
    <row r="1745" spans="1:32" ht="15" x14ac:dyDescent="0.35">
      <c r="A1745" t="s">
        <v>4489</v>
      </c>
      <c r="B1745" s="1">
        <v>45604</v>
      </c>
      <c r="C1745">
        <f>YEAR(OrdersTable[[#This Row],[Order Date]])</f>
        <v>2024</v>
      </c>
      <c r="D1745" s="2">
        <f>DATE(YEAR(OrdersTable[[#This Row],[Order Date]]),MONTH(OrdersTable[[#This Row],[Order Date]]),1)</f>
        <v>45597</v>
      </c>
      <c r="E1745">
        <f>MONTH(OrdersTable[[#This Row],[Order Date]])</f>
        <v>11</v>
      </c>
      <c r="F1745" t="s">
        <v>1791</v>
      </c>
      <c r="G1745" t="str">
        <f>IF(OrdersTable[[#This Row],[Order Date]]=_xlfn.MINIFS(Order_Date, Customer_ID, OrdersTable[[#This Row],[Customer ID]]), "New", "Repeat")</f>
        <v>New</v>
      </c>
      <c r="H1745" t="s">
        <v>128</v>
      </c>
      <c r="I1745" t="str">
        <f>INDEX(State!B:B,MATCH(OrdersTable[[#This Row],[State]],State!A:A,0))</f>
        <v>DL</v>
      </c>
      <c r="J1745" t="str">
        <f>INDEX(State!C:C,MATCH(OrdersTable[[#This Row],[State Code]],State!B:B,0))</f>
        <v>North</v>
      </c>
      <c r="K1745" t="s">
        <v>129</v>
      </c>
      <c r="L1745" t="s">
        <v>65</v>
      </c>
      <c r="M1745" t="s">
        <v>84</v>
      </c>
      <c r="N1745" t="str">
        <f>INDEX(Products!B:B,MATCH(OrdersTable[[#This Row],[Product ID]],Products!A:A,0))</f>
        <v>Cotton Bedsheet</v>
      </c>
      <c r="O1745" t="str">
        <f>INDEX(Products!C:C,MATCH(OrdersTable[[#This Row],[Product ID]],Products!A:A,0))</f>
        <v>Home &amp; Kitchen</v>
      </c>
      <c r="P1745">
        <v>1</v>
      </c>
      <c r="Q1745" s="5">
        <v>1299</v>
      </c>
      <c r="R1745" s="74">
        <v>0.2</v>
      </c>
      <c r="S1745" s="75">
        <f>OrdersTable[[#This Row],[Quantity]]*OrdersTable[[#This Row],[Unit Price]]</f>
        <v>1299</v>
      </c>
      <c r="T1745" s="5">
        <f>OrdersTable[[#This Row],[Gross Sale]]*OrdersTable[[#This Row],[Discount_Clean2]]</f>
        <v>259.8</v>
      </c>
      <c r="U1745" s="5">
        <f>OrdersTable[[#This Row],[Gross Sale]]-OrdersTable[[#This Row],[Discount Amount]]</f>
        <v>1039.2</v>
      </c>
      <c r="V1745" s="77">
        <f>INDEX(Products!E:E,MATCH(OrdersTable[[#This Row],[Product ID]],Products!A:A,0))</f>
        <v>585</v>
      </c>
      <c r="W1745" s="77">
        <f>OrdersTable[[#This Row],[Quantity]]*OrdersTable[[#This Row],[Unit Cost]]</f>
        <v>585</v>
      </c>
      <c r="X1745" s="77">
        <f>'Dropdown Lists'!$I$2*(1+OrdersTable[[#This Row],[Returned]])</f>
        <v>60</v>
      </c>
      <c r="Y1745" s="76">
        <f>OrdersTable[[#This Row],[Net Revenue]]-OrdersTable[[#This Row],[COGS]]-OrdersTable[[#This Row],[Shipping Cost]]</f>
        <v>394.20000000000005</v>
      </c>
      <c r="Z1745" s="78">
        <f>IFERROR(OrdersTable[[#This Row],[Profit]]/OrdersTable[[#This Row],[Net Revenue]],0)</f>
        <v>0.37933025404157045</v>
      </c>
      <c r="AA1745" t="s">
        <v>4450</v>
      </c>
      <c r="AB1745" s="79">
        <v>45607</v>
      </c>
      <c r="AC1745">
        <f>OrdersTable[[#This Row],[Delivery Date]]-OrdersTable[[#This Row],[Order Date]]</f>
        <v>3</v>
      </c>
      <c r="AD1745" t="str">
        <f>IF(OrdersTable[[#This Row],[Delivery Days]]&lt;=2, "Express (≤2d)", IF(OrdersTable[[#This Row],[Delivery Days]]&lt;=4, "Standard (3-4d)", "Delayed (5d+)"))</f>
        <v>Standard (3-4d)</v>
      </c>
      <c r="AE1745">
        <v>4</v>
      </c>
      <c r="AF1745">
        <v>0</v>
      </c>
    </row>
    <row r="1746" spans="1:32" ht="15" x14ac:dyDescent="0.35">
      <c r="A1746" t="s">
        <v>3741</v>
      </c>
      <c r="B1746" s="1">
        <v>45604</v>
      </c>
      <c r="C1746">
        <f>YEAR(OrdersTable[[#This Row],[Order Date]])</f>
        <v>2024</v>
      </c>
      <c r="D1746" s="2">
        <f>DATE(YEAR(OrdersTable[[#This Row],[Order Date]]),MONTH(OrdersTable[[#This Row],[Order Date]]),1)</f>
        <v>45597</v>
      </c>
      <c r="E1746">
        <f>MONTH(OrdersTable[[#This Row],[Order Date]])</f>
        <v>11</v>
      </c>
      <c r="F1746" t="s">
        <v>1655</v>
      </c>
      <c r="G1746" t="str">
        <f>IF(OrdersTable[[#This Row],[Order Date]]=_xlfn.MINIFS(Order_Date, Customer_ID, OrdersTable[[#This Row],[Customer ID]]), "New", "Repeat")</f>
        <v>Repeat</v>
      </c>
      <c r="H1746" t="s">
        <v>43</v>
      </c>
      <c r="I1746" t="str">
        <f>INDEX(State!B:B,MATCH(OrdersTable[[#This Row],[State]],State!A:A,0))</f>
        <v>MP</v>
      </c>
      <c r="J1746" t="str">
        <f>INDEX(State!C:C,MATCH(OrdersTable[[#This Row],[State Code]],State!B:B,0))</f>
        <v>West</v>
      </c>
      <c r="K1746" t="s">
        <v>44</v>
      </c>
      <c r="L1746" t="s">
        <v>65</v>
      </c>
      <c r="M1746" t="s">
        <v>109</v>
      </c>
      <c r="N1746" t="str">
        <f>INDEX(Products!B:B,MATCH(OrdersTable[[#This Row],[Product ID]],Products!A:A,0))</f>
        <v>Onion Hair Oil</v>
      </c>
      <c r="O1746" t="str">
        <f>INDEX(Products!C:C,MATCH(OrdersTable[[#This Row],[Product ID]],Products!A:A,0))</f>
        <v>Haircare</v>
      </c>
      <c r="P1746">
        <v>1</v>
      </c>
      <c r="Q1746" s="5">
        <v>349</v>
      </c>
      <c r="R1746" s="74">
        <v>0.4</v>
      </c>
      <c r="S1746" s="75">
        <f>OrdersTable[[#This Row],[Quantity]]*OrdersTable[[#This Row],[Unit Price]]</f>
        <v>349</v>
      </c>
      <c r="T1746" s="5">
        <f>OrdersTable[[#This Row],[Gross Sale]]*OrdersTable[[#This Row],[Discount_Clean2]]</f>
        <v>139.6</v>
      </c>
      <c r="U1746" s="5">
        <f>OrdersTable[[#This Row],[Gross Sale]]-OrdersTable[[#This Row],[Discount Amount]]</f>
        <v>209.4</v>
      </c>
      <c r="V1746" s="77">
        <f>INDEX(Products!E:E,MATCH(OrdersTable[[#This Row],[Product ID]],Products!A:A,0))</f>
        <v>105</v>
      </c>
      <c r="W1746" s="77">
        <f>OrdersTable[[#This Row],[Quantity]]*OrdersTable[[#This Row],[Unit Cost]]</f>
        <v>105</v>
      </c>
      <c r="X1746" s="77">
        <f>'Dropdown Lists'!$I$2*(1+OrdersTable[[#This Row],[Returned]])</f>
        <v>60</v>
      </c>
      <c r="Y1746" s="76">
        <f>OrdersTable[[#This Row],[Net Revenue]]-OrdersTable[[#This Row],[COGS]]-OrdersTable[[#This Row],[Shipping Cost]]</f>
        <v>44.400000000000006</v>
      </c>
      <c r="Z1746" s="78">
        <f>IFERROR(OrdersTable[[#This Row],[Profit]]/OrdersTable[[#This Row],[Net Revenue]],0)</f>
        <v>0.21203438395415475</v>
      </c>
      <c r="AA1746" t="s">
        <v>3495</v>
      </c>
      <c r="AB1746" s="79">
        <v>45608</v>
      </c>
      <c r="AC1746">
        <f>OrdersTable[[#This Row],[Delivery Date]]-OrdersTable[[#This Row],[Order Date]]</f>
        <v>4</v>
      </c>
      <c r="AD1746" t="str">
        <f>IF(OrdersTable[[#This Row],[Delivery Days]]&lt;=2, "Express (≤2d)", IF(OrdersTable[[#This Row],[Delivery Days]]&lt;=4, "Standard (3-4d)", "Delayed (5d+)"))</f>
        <v>Standard (3-4d)</v>
      </c>
      <c r="AF1746">
        <v>0</v>
      </c>
    </row>
    <row r="1747" spans="1:32" ht="15" x14ac:dyDescent="0.35">
      <c r="A1747" t="s">
        <v>5138</v>
      </c>
      <c r="B1747" s="1">
        <v>45604</v>
      </c>
      <c r="C1747">
        <f>YEAR(OrdersTable[[#This Row],[Order Date]])</f>
        <v>2024</v>
      </c>
      <c r="D1747" s="2">
        <f>DATE(YEAR(OrdersTable[[#This Row],[Order Date]]),MONTH(OrdersTable[[#This Row],[Order Date]]),1)</f>
        <v>45597</v>
      </c>
      <c r="E1747">
        <f>MONTH(OrdersTable[[#This Row],[Order Date]])</f>
        <v>11</v>
      </c>
      <c r="F1747" t="s">
        <v>2757</v>
      </c>
      <c r="G1747" t="str">
        <f>IF(OrdersTable[[#This Row],[Order Date]]=_xlfn.MINIFS(Order_Date, Customer_ID, OrdersTable[[#This Row],[Customer ID]]), "New", "Repeat")</f>
        <v>New</v>
      </c>
      <c r="H1747" t="s">
        <v>43</v>
      </c>
      <c r="I1747" t="str">
        <f>INDEX(State!B:B,MATCH(OrdersTable[[#This Row],[State]],State!A:A,0))</f>
        <v>MP</v>
      </c>
      <c r="J1747" t="str">
        <f>INDEX(State!C:C,MATCH(OrdersTable[[#This Row],[State Code]],State!B:B,0))</f>
        <v>West</v>
      </c>
      <c r="K1747" t="s">
        <v>44</v>
      </c>
      <c r="L1747" t="s">
        <v>23</v>
      </c>
      <c r="M1747" t="s">
        <v>45</v>
      </c>
      <c r="N1747" t="str">
        <f>INDEX(Products!B:B,MATCH(OrdersTable[[#This Row],[Product ID]],Products!A:A,0))</f>
        <v>Argan Shampoo</v>
      </c>
      <c r="O1747" t="str">
        <f>INDEX(Products!C:C,MATCH(OrdersTable[[#This Row],[Product ID]],Products!A:A,0))</f>
        <v>Haircare</v>
      </c>
      <c r="P1747">
        <v>2</v>
      </c>
      <c r="Q1747" s="5">
        <v>449</v>
      </c>
      <c r="R1747" s="74">
        <v>0.1</v>
      </c>
      <c r="S1747" s="75">
        <f>OrdersTable[[#This Row],[Quantity]]*OrdersTable[[#This Row],[Unit Price]]</f>
        <v>898</v>
      </c>
      <c r="T1747" s="5">
        <f>OrdersTable[[#This Row],[Gross Sale]]*OrdersTable[[#This Row],[Discount_Clean2]]</f>
        <v>89.800000000000011</v>
      </c>
      <c r="U1747" s="5">
        <f>OrdersTable[[#This Row],[Gross Sale]]-OrdersTable[[#This Row],[Discount Amount]]</f>
        <v>808.2</v>
      </c>
      <c r="V1747" s="77">
        <f>INDEX(Products!E:E,MATCH(OrdersTable[[#This Row],[Product ID]],Products!A:A,0))</f>
        <v>148</v>
      </c>
      <c r="W1747" s="77">
        <f>OrdersTable[[#This Row],[Quantity]]*OrdersTable[[#This Row],[Unit Cost]]</f>
        <v>296</v>
      </c>
      <c r="X1747" s="77">
        <f>'Dropdown Lists'!$I$2*(1+OrdersTable[[#This Row],[Returned]])</f>
        <v>60</v>
      </c>
      <c r="Y1747" s="76">
        <f>OrdersTable[[#This Row],[Net Revenue]]-OrdersTable[[#This Row],[COGS]]-OrdersTable[[#This Row],[Shipping Cost]]</f>
        <v>452.20000000000005</v>
      </c>
      <c r="Z1747" s="78">
        <f>IFERROR(OrdersTable[[#This Row],[Profit]]/OrdersTable[[#This Row],[Net Revenue]],0)</f>
        <v>0.5595149715416976</v>
      </c>
      <c r="AA1747" t="s">
        <v>3495</v>
      </c>
      <c r="AB1747" s="79">
        <v>45607</v>
      </c>
      <c r="AC1747">
        <f>OrdersTable[[#This Row],[Delivery Date]]-OrdersTable[[#This Row],[Order Date]]</f>
        <v>3</v>
      </c>
      <c r="AD1747" t="str">
        <f>IF(OrdersTable[[#This Row],[Delivery Days]]&lt;=2, "Express (≤2d)", IF(OrdersTable[[#This Row],[Delivery Days]]&lt;=4, "Standard (3-4d)", "Delayed (5d+)"))</f>
        <v>Standard (3-4d)</v>
      </c>
      <c r="AF1747">
        <v>0</v>
      </c>
    </row>
    <row r="1748" spans="1:32" ht="15" x14ac:dyDescent="0.35">
      <c r="A1748" t="s">
        <v>216</v>
      </c>
      <c r="B1748" s="1">
        <v>45604</v>
      </c>
      <c r="C1748">
        <f>YEAR(OrdersTable[[#This Row],[Order Date]])</f>
        <v>2024</v>
      </c>
      <c r="D1748" s="2">
        <f>DATE(YEAR(OrdersTable[[#This Row],[Order Date]]),MONTH(OrdersTable[[#This Row],[Order Date]]),1)</f>
        <v>45597</v>
      </c>
      <c r="E1748">
        <f>MONTH(OrdersTable[[#This Row],[Order Date]])</f>
        <v>11</v>
      </c>
      <c r="F1748" t="s">
        <v>217</v>
      </c>
      <c r="G1748" t="str">
        <f>IF(OrdersTable[[#This Row],[Order Date]]=_xlfn.MINIFS(Order_Date, Customer_ID, OrdersTable[[#This Row],[Customer ID]]), "New", "Repeat")</f>
        <v>Repeat</v>
      </c>
      <c r="H1748" t="s">
        <v>123</v>
      </c>
      <c r="I1748" t="str">
        <f>INDEX(State!B:B,MATCH(OrdersTable[[#This Row],[State]],State!A:A,0))</f>
        <v>JH</v>
      </c>
      <c r="J1748" t="str">
        <f>INDEX(State!C:C,MATCH(OrdersTable[[#This Row],[State Code]],State!B:B,0))</f>
        <v>East</v>
      </c>
      <c r="K1748" t="s">
        <v>124</v>
      </c>
      <c r="L1748" t="s">
        <v>65</v>
      </c>
      <c r="M1748" t="s">
        <v>73</v>
      </c>
      <c r="N1748" t="str">
        <f>INDEX(Products!B:B,MATCH(OrdersTable[[#This Row],[Product ID]],Products!A:A,0))</f>
        <v>Hydrating Face Wash</v>
      </c>
      <c r="O1748" t="str">
        <f>INDEX(Products!C:C,MATCH(OrdersTable[[#This Row],[Product ID]],Products!A:A,0))</f>
        <v>Skincare</v>
      </c>
      <c r="P1748">
        <v>1</v>
      </c>
      <c r="Q1748" s="5">
        <v>299</v>
      </c>
      <c r="R1748" s="74">
        <v>0.15</v>
      </c>
      <c r="S1748" s="75">
        <f>OrdersTable[[#This Row],[Quantity]]*OrdersTable[[#This Row],[Unit Price]]</f>
        <v>299</v>
      </c>
      <c r="T1748" s="5">
        <f>OrdersTable[[#This Row],[Gross Sale]]*OrdersTable[[#This Row],[Discount_Clean2]]</f>
        <v>44.85</v>
      </c>
      <c r="U1748" s="5">
        <f>OrdersTable[[#This Row],[Gross Sale]]-OrdersTable[[#This Row],[Discount Amount]]</f>
        <v>254.15</v>
      </c>
      <c r="V1748" s="77">
        <f>INDEX(Products!E:E,MATCH(OrdersTable[[#This Row],[Product ID]],Products!A:A,0))</f>
        <v>90</v>
      </c>
      <c r="W1748" s="77">
        <f>OrdersTable[[#This Row],[Quantity]]*OrdersTable[[#This Row],[Unit Cost]]</f>
        <v>90</v>
      </c>
      <c r="X1748" s="77">
        <f>'Dropdown Lists'!$I$2*(1+OrdersTable[[#This Row],[Returned]])</f>
        <v>60</v>
      </c>
      <c r="Y1748" s="76">
        <f>OrdersTable[[#This Row],[Net Revenue]]-OrdersTable[[#This Row],[COGS]]-OrdersTable[[#This Row],[Shipping Cost]]</f>
        <v>104.15</v>
      </c>
      <c r="Z1748" s="78">
        <f>IFERROR(OrdersTable[[#This Row],[Profit]]/OrdersTable[[#This Row],[Net Revenue]],0)</f>
        <v>0.40979736376155818</v>
      </c>
      <c r="AA1748" t="s">
        <v>18</v>
      </c>
      <c r="AB1748" s="79">
        <v>45609</v>
      </c>
      <c r="AC1748">
        <f>OrdersTable[[#This Row],[Delivery Date]]-OrdersTable[[#This Row],[Order Date]]</f>
        <v>5</v>
      </c>
      <c r="AD1748" t="str">
        <f>IF(OrdersTable[[#This Row],[Delivery Days]]&lt;=2, "Express (≤2d)", IF(OrdersTable[[#This Row],[Delivery Days]]&lt;=4, "Standard (3-4d)", "Delayed (5d+)"))</f>
        <v>Delayed (5d+)</v>
      </c>
      <c r="AE1748">
        <v>4</v>
      </c>
      <c r="AF1748">
        <v>0</v>
      </c>
    </row>
    <row r="1749" spans="1:32" ht="15" x14ac:dyDescent="0.35">
      <c r="A1749" t="s">
        <v>2333</v>
      </c>
      <c r="B1749" s="1">
        <v>45604</v>
      </c>
      <c r="C1749">
        <f>YEAR(OrdersTable[[#This Row],[Order Date]])</f>
        <v>2024</v>
      </c>
      <c r="D1749" s="2">
        <f>DATE(YEAR(OrdersTable[[#This Row],[Order Date]]),MONTH(OrdersTable[[#This Row],[Order Date]]),1)</f>
        <v>45597</v>
      </c>
      <c r="E1749">
        <f>MONTH(OrdersTable[[#This Row],[Order Date]])</f>
        <v>11</v>
      </c>
      <c r="F1749" t="s">
        <v>1414</v>
      </c>
      <c r="G1749" t="str">
        <f>IF(OrdersTable[[#This Row],[Order Date]]=_xlfn.MINIFS(Order_Date, Customer_ID, OrdersTable[[#This Row],[Customer ID]]), "New", "Repeat")</f>
        <v>Repeat</v>
      </c>
      <c r="H1749" t="s">
        <v>71</v>
      </c>
      <c r="I1749" t="str">
        <f>INDEX(State!B:B,MATCH(OrdersTable[[#This Row],[State]],State!A:A,0))</f>
        <v>MH</v>
      </c>
      <c r="J1749" t="str">
        <f>INDEX(State!C:C,MATCH(OrdersTable[[#This Row],[State Code]],State!B:B,0))</f>
        <v>West</v>
      </c>
      <c r="K1749" t="s">
        <v>102</v>
      </c>
      <c r="L1749" t="s">
        <v>65</v>
      </c>
      <c r="M1749" t="s">
        <v>45</v>
      </c>
      <c r="N1749" t="str">
        <f>INDEX(Products!B:B,MATCH(OrdersTable[[#This Row],[Product ID]],Products!A:A,0))</f>
        <v>Argan Shampoo</v>
      </c>
      <c r="O1749" t="str">
        <f>INDEX(Products!C:C,MATCH(OrdersTable[[#This Row],[Product ID]],Products!A:A,0))</f>
        <v>Haircare</v>
      </c>
      <c r="P1749">
        <v>1</v>
      </c>
      <c r="Q1749" s="5">
        <v>449</v>
      </c>
      <c r="R1749" s="74">
        <v>0.1</v>
      </c>
      <c r="S1749" s="75">
        <f>OrdersTable[[#This Row],[Quantity]]*OrdersTable[[#This Row],[Unit Price]]</f>
        <v>449</v>
      </c>
      <c r="T1749" s="5">
        <f>OrdersTable[[#This Row],[Gross Sale]]*OrdersTable[[#This Row],[Discount_Clean2]]</f>
        <v>44.900000000000006</v>
      </c>
      <c r="U1749" s="5">
        <f>OrdersTable[[#This Row],[Gross Sale]]-OrdersTable[[#This Row],[Discount Amount]]</f>
        <v>404.1</v>
      </c>
      <c r="V1749" s="77">
        <f>INDEX(Products!E:E,MATCH(OrdersTable[[#This Row],[Product ID]],Products!A:A,0))</f>
        <v>148</v>
      </c>
      <c r="W1749" s="77">
        <f>OrdersTable[[#This Row],[Quantity]]*OrdersTable[[#This Row],[Unit Cost]]</f>
        <v>148</v>
      </c>
      <c r="X1749" s="77">
        <f>'Dropdown Lists'!$I$2*(1+OrdersTable[[#This Row],[Returned]])</f>
        <v>60</v>
      </c>
      <c r="Y1749" s="76">
        <f>OrdersTable[[#This Row],[Net Revenue]]-OrdersTable[[#This Row],[COGS]]-OrdersTable[[#This Row],[Shipping Cost]]</f>
        <v>196.10000000000002</v>
      </c>
      <c r="Z1749" s="78">
        <f>IFERROR(OrdersTable[[#This Row],[Profit]]/OrdersTable[[#This Row],[Net Revenue]],0)</f>
        <v>0.48527592180153428</v>
      </c>
      <c r="AA1749" t="s">
        <v>18</v>
      </c>
      <c r="AB1749" s="79">
        <v>45605</v>
      </c>
      <c r="AC1749">
        <f>OrdersTable[[#This Row],[Delivery Date]]-OrdersTable[[#This Row],[Order Date]]</f>
        <v>1</v>
      </c>
      <c r="AD1749" t="str">
        <f>IF(OrdersTable[[#This Row],[Delivery Days]]&lt;=2, "Express (≤2d)", IF(OrdersTable[[#This Row],[Delivery Days]]&lt;=4, "Standard (3-4d)", "Delayed (5d+)"))</f>
        <v>Express (≤2d)</v>
      </c>
      <c r="AE1749">
        <v>5</v>
      </c>
      <c r="AF1749">
        <v>0</v>
      </c>
    </row>
    <row r="1750" spans="1:32" ht="15" x14ac:dyDescent="0.35">
      <c r="A1750" t="s">
        <v>533</v>
      </c>
      <c r="B1750" s="1">
        <v>45604</v>
      </c>
      <c r="C1750">
        <f>YEAR(OrdersTable[[#This Row],[Order Date]])</f>
        <v>2024</v>
      </c>
      <c r="D1750" s="2">
        <f>DATE(YEAR(OrdersTable[[#This Row],[Order Date]]),MONTH(OrdersTable[[#This Row],[Order Date]]),1)</f>
        <v>45597</v>
      </c>
      <c r="E1750">
        <f>MONTH(OrdersTable[[#This Row],[Order Date]])</f>
        <v>11</v>
      </c>
      <c r="F1750" t="s">
        <v>534</v>
      </c>
      <c r="G1750" t="str">
        <f>IF(OrdersTable[[#This Row],[Order Date]]=_xlfn.MINIFS(Order_Date, Customer_ID, OrdersTable[[#This Row],[Customer ID]]), "New", "Repeat")</f>
        <v>New</v>
      </c>
      <c r="H1750" t="s">
        <v>71</v>
      </c>
      <c r="I1750" t="str">
        <f>INDEX(State!B:B,MATCH(OrdersTable[[#This Row],[State]],State!A:A,0))</f>
        <v>MH</v>
      </c>
      <c r="J1750" t="str">
        <f>INDEX(State!C:C,MATCH(OrdersTable[[#This Row],[State Code]],State!B:B,0))</f>
        <v>West</v>
      </c>
      <c r="K1750" t="s">
        <v>72</v>
      </c>
      <c r="L1750" t="s">
        <v>39</v>
      </c>
      <c r="M1750" t="s">
        <v>17</v>
      </c>
      <c r="N1750" t="str">
        <f>INDEX(Products!B:B,MATCH(OrdersTable[[#This Row],[Product ID]],Products!A:A,0))</f>
        <v>Casual Sneakers</v>
      </c>
      <c r="O1750" t="str">
        <f>INDEX(Products!C:C,MATCH(OrdersTable[[#This Row],[Product ID]],Products!A:A,0))</f>
        <v>Footwear</v>
      </c>
      <c r="P1750">
        <v>1</v>
      </c>
      <c r="Q1750" s="5">
        <v>2199</v>
      </c>
      <c r="R1750" s="74">
        <v>0.25</v>
      </c>
      <c r="S1750" s="75">
        <f>OrdersTable[[#This Row],[Quantity]]*OrdersTable[[#This Row],[Unit Price]]</f>
        <v>2199</v>
      </c>
      <c r="T1750" s="5">
        <f>OrdersTable[[#This Row],[Gross Sale]]*OrdersTable[[#This Row],[Discount_Clean2]]</f>
        <v>549.75</v>
      </c>
      <c r="U1750" s="5">
        <f>OrdersTable[[#This Row],[Gross Sale]]-OrdersTable[[#This Row],[Discount Amount]]</f>
        <v>1649.25</v>
      </c>
      <c r="V1750" s="77">
        <f>INDEX(Products!E:E,MATCH(OrdersTable[[#This Row],[Product ID]],Products!A:A,0))</f>
        <v>1034</v>
      </c>
      <c r="W1750" s="77">
        <f>OrdersTable[[#This Row],[Quantity]]*OrdersTable[[#This Row],[Unit Cost]]</f>
        <v>1034</v>
      </c>
      <c r="X1750" s="77">
        <f>'Dropdown Lists'!$I$2*(1+OrdersTable[[#This Row],[Returned]])</f>
        <v>60</v>
      </c>
      <c r="Y1750" s="76">
        <f>OrdersTable[[#This Row],[Net Revenue]]-OrdersTable[[#This Row],[COGS]]-OrdersTable[[#This Row],[Shipping Cost]]</f>
        <v>555.25</v>
      </c>
      <c r="Z1750" s="78">
        <f>IFERROR(OrdersTable[[#This Row],[Profit]]/OrdersTable[[#This Row],[Net Revenue]],0)</f>
        <v>0.33666818250720026</v>
      </c>
      <c r="AA1750" t="s">
        <v>18</v>
      </c>
      <c r="AB1750" s="79">
        <v>45609</v>
      </c>
      <c r="AC1750">
        <f>OrdersTable[[#This Row],[Delivery Date]]-OrdersTable[[#This Row],[Order Date]]</f>
        <v>5</v>
      </c>
      <c r="AD1750" t="str">
        <f>IF(OrdersTable[[#This Row],[Delivery Days]]&lt;=2, "Express (≤2d)", IF(OrdersTable[[#This Row],[Delivery Days]]&lt;=4, "Standard (3-4d)", "Delayed (5d+)"))</f>
        <v>Delayed (5d+)</v>
      </c>
      <c r="AE1750">
        <v>4</v>
      </c>
      <c r="AF1750">
        <v>0</v>
      </c>
    </row>
    <row r="1751" spans="1:32" ht="15" x14ac:dyDescent="0.35">
      <c r="A1751" t="s">
        <v>2755</v>
      </c>
      <c r="B1751" s="1">
        <v>45604</v>
      </c>
      <c r="C1751">
        <f>YEAR(OrdersTable[[#This Row],[Order Date]])</f>
        <v>2024</v>
      </c>
      <c r="D1751" s="2">
        <f>DATE(YEAR(OrdersTable[[#This Row],[Order Date]]),MONTH(OrdersTable[[#This Row],[Order Date]]),1)</f>
        <v>45597</v>
      </c>
      <c r="E1751">
        <f>MONTH(OrdersTable[[#This Row],[Order Date]])</f>
        <v>11</v>
      </c>
      <c r="F1751" t="s">
        <v>246</v>
      </c>
      <c r="G1751" t="str">
        <f>IF(OrdersTable[[#This Row],[Order Date]]=_xlfn.MINIFS(Order_Date, Customer_ID, OrdersTable[[#This Row],[Customer ID]]), "New", "Repeat")</f>
        <v>New</v>
      </c>
      <c r="H1751" t="s">
        <v>90</v>
      </c>
      <c r="I1751" t="str">
        <f>INDEX(State!B:B,MATCH(OrdersTable[[#This Row],[State]],State!A:A,0))</f>
        <v>GA</v>
      </c>
      <c r="J1751" t="str">
        <f>INDEX(State!C:C,MATCH(OrdersTable[[#This Row],[State Code]],State!B:B,0))</f>
        <v>West</v>
      </c>
      <c r="K1751" t="s">
        <v>91</v>
      </c>
      <c r="L1751" t="s">
        <v>23</v>
      </c>
      <c r="M1751" t="s">
        <v>73</v>
      </c>
      <c r="N1751" t="str">
        <f>INDEX(Products!B:B,MATCH(OrdersTable[[#This Row],[Product ID]],Products!A:A,0))</f>
        <v>Hydrating Face Wash</v>
      </c>
      <c r="O1751" t="str">
        <f>INDEX(Products!C:C,MATCH(OrdersTable[[#This Row],[Product ID]],Products!A:A,0))</f>
        <v>Skincare</v>
      </c>
      <c r="P1751">
        <v>1</v>
      </c>
      <c r="Q1751" s="5">
        <v>299</v>
      </c>
      <c r="R1751" s="74">
        <v>0.2</v>
      </c>
      <c r="S1751" s="75">
        <f>OrdersTable[[#This Row],[Quantity]]*OrdersTable[[#This Row],[Unit Price]]</f>
        <v>299</v>
      </c>
      <c r="T1751" s="5">
        <f>OrdersTable[[#This Row],[Gross Sale]]*OrdersTable[[#This Row],[Discount_Clean2]]</f>
        <v>59.800000000000004</v>
      </c>
      <c r="U1751" s="5">
        <f>OrdersTable[[#This Row],[Gross Sale]]-OrdersTable[[#This Row],[Discount Amount]]</f>
        <v>239.2</v>
      </c>
      <c r="V1751" s="77">
        <f>INDEX(Products!E:E,MATCH(OrdersTable[[#This Row],[Product ID]],Products!A:A,0))</f>
        <v>90</v>
      </c>
      <c r="W1751" s="77">
        <f>OrdersTable[[#This Row],[Quantity]]*OrdersTable[[#This Row],[Unit Cost]]</f>
        <v>90</v>
      </c>
      <c r="X1751" s="77">
        <f>'Dropdown Lists'!$I$2*(1+OrdersTable[[#This Row],[Returned]])</f>
        <v>120</v>
      </c>
      <c r="Y1751" s="76">
        <f>OrdersTable[[#This Row],[Net Revenue]]-OrdersTable[[#This Row],[COGS]]-OrdersTable[[#This Row],[Shipping Cost]]</f>
        <v>29.199999999999989</v>
      </c>
      <c r="Z1751" s="78">
        <f>IFERROR(OrdersTable[[#This Row],[Profit]]/OrdersTable[[#This Row],[Net Revenue]],0)</f>
        <v>0.12207357859531769</v>
      </c>
      <c r="AA1751" t="s">
        <v>2522</v>
      </c>
      <c r="AB1751" s="79">
        <v>45608</v>
      </c>
      <c r="AC1751">
        <f>OrdersTable[[#This Row],[Delivery Date]]-OrdersTable[[#This Row],[Order Date]]</f>
        <v>4</v>
      </c>
      <c r="AD1751" t="str">
        <f>IF(OrdersTable[[#This Row],[Delivery Days]]&lt;=2, "Express (≤2d)", IF(OrdersTable[[#This Row],[Delivery Days]]&lt;=4, "Standard (3-4d)", "Delayed (5d+)"))</f>
        <v>Standard (3-4d)</v>
      </c>
      <c r="AE1751">
        <v>3</v>
      </c>
      <c r="AF1751">
        <v>1</v>
      </c>
    </row>
    <row r="1752" spans="1:32" ht="15" x14ac:dyDescent="0.35">
      <c r="A1752" t="s">
        <v>6695</v>
      </c>
      <c r="B1752" s="1">
        <v>45604</v>
      </c>
      <c r="C1752">
        <f>YEAR(OrdersTable[[#This Row],[Order Date]])</f>
        <v>2024</v>
      </c>
      <c r="D1752" s="2">
        <f>DATE(YEAR(OrdersTable[[#This Row],[Order Date]]),MONTH(OrdersTable[[#This Row],[Order Date]]),1)</f>
        <v>45597</v>
      </c>
      <c r="E1752">
        <f>MONTH(OrdersTable[[#This Row],[Order Date]])</f>
        <v>11</v>
      </c>
      <c r="F1752" t="s">
        <v>493</v>
      </c>
      <c r="G1752" t="str">
        <f>IF(OrdersTable[[#This Row],[Order Date]]=_xlfn.MINIFS(Order_Date, Customer_ID, OrdersTable[[#This Row],[Customer ID]]), "New", "Repeat")</f>
        <v>Repeat</v>
      </c>
      <c r="H1752" t="s">
        <v>167</v>
      </c>
      <c r="I1752" t="str">
        <f>INDEX(State!B:B,MATCH(OrdersTable[[#This Row],[State]],State!A:A,0))</f>
        <v>KA</v>
      </c>
      <c r="J1752" t="str">
        <f>INDEX(State!C:C,MATCH(OrdersTable[[#This Row],[State Code]],State!B:B,0))</f>
        <v>South</v>
      </c>
      <c r="K1752" t="s">
        <v>168</v>
      </c>
      <c r="L1752" t="s">
        <v>16</v>
      </c>
      <c r="M1752" t="s">
        <v>29</v>
      </c>
      <c r="N1752" t="str">
        <f>INDEX(Products!B:B,MATCH(OrdersTable[[#This Row],[Product ID]],Products!A:A,0))</f>
        <v>Joggers</v>
      </c>
      <c r="O1752" t="str">
        <f>INDEX(Products!C:C,MATCH(OrdersTable[[#This Row],[Product ID]],Products!A:A,0))</f>
        <v>Apparel</v>
      </c>
      <c r="P1752">
        <v>3</v>
      </c>
      <c r="Q1752" s="5">
        <v>1199</v>
      </c>
      <c r="R1752" s="74">
        <v>0.35</v>
      </c>
      <c r="S1752" s="75">
        <f>OrdersTable[[#This Row],[Quantity]]*OrdersTable[[#This Row],[Unit Price]]</f>
        <v>3597</v>
      </c>
      <c r="T1752" s="5">
        <f>OrdersTable[[#This Row],[Gross Sale]]*OrdersTable[[#This Row],[Discount_Clean2]]</f>
        <v>1258.9499999999998</v>
      </c>
      <c r="U1752" s="5">
        <f>OrdersTable[[#This Row],[Gross Sale]]-OrdersTable[[#This Row],[Discount Amount]]</f>
        <v>2338.0500000000002</v>
      </c>
      <c r="V1752" s="77">
        <f>INDEX(Products!E:E,MATCH(OrdersTable[[#This Row],[Product ID]],Products!A:A,0))</f>
        <v>492</v>
      </c>
      <c r="W1752" s="77">
        <f>OrdersTable[[#This Row],[Quantity]]*OrdersTable[[#This Row],[Unit Cost]]</f>
        <v>1476</v>
      </c>
      <c r="X1752" s="77">
        <f>'Dropdown Lists'!$I$2*(1+OrdersTable[[#This Row],[Returned]])</f>
        <v>60</v>
      </c>
      <c r="Y1752" s="76">
        <f>OrdersTable[[#This Row],[Net Revenue]]-OrdersTable[[#This Row],[COGS]]-OrdersTable[[#This Row],[Shipping Cost]]</f>
        <v>802.05000000000018</v>
      </c>
      <c r="Z1752" s="78">
        <f>IFERROR(OrdersTable[[#This Row],[Profit]]/OrdersTable[[#This Row],[Net Revenue]],0)</f>
        <v>0.34304227882209537</v>
      </c>
      <c r="AA1752" t="s">
        <v>2522</v>
      </c>
      <c r="AB1752" s="79">
        <v>45607</v>
      </c>
      <c r="AC1752">
        <f>OrdersTable[[#This Row],[Delivery Date]]-OrdersTable[[#This Row],[Order Date]]</f>
        <v>3</v>
      </c>
      <c r="AD1752" t="str">
        <f>IF(OrdersTable[[#This Row],[Delivery Days]]&lt;=2, "Express (≤2d)", IF(OrdersTable[[#This Row],[Delivery Days]]&lt;=4, "Standard (3-4d)", "Delayed (5d+)"))</f>
        <v>Standard (3-4d)</v>
      </c>
      <c r="AF1752">
        <v>0</v>
      </c>
    </row>
    <row r="1753" spans="1:32" ht="15" x14ac:dyDescent="0.35">
      <c r="A1753" t="s">
        <v>3995</v>
      </c>
      <c r="B1753" s="1">
        <v>45604</v>
      </c>
      <c r="C1753">
        <f>YEAR(OrdersTable[[#This Row],[Order Date]])</f>
        <v>2024</v>
      </c>
      <c r="D1753" s="2">
        <f>DATE(YEAR(OrdersTable[[#This Row],[Order Date]]),MONTH(OrdersTable[[#This Row],[Order Date]]),1)</f>
        <v>45597</v>
      </c>
      <c r="E1753">
        <f>MONTH(OrdersTable[[#This Row],[Order Date]])</f>
        <v>11</v>
      </c>
      <c r="F1753" t="s">
        <v>3294</v>
      </c>
      <c r="G1753" t="str">
        <f>IF(OrdersTable[[#This Row],[Order Date]]=_xlfn.MINIFS(Order_Date, Customer_ID, OrdersTable[[#This Row],[Customer ID]]), "New", "Repeat")</f>
        <v>New</v>
      </c>
      <c r="H1753" t="s">
        <v>59</v>
      </c>
      <c r="I1753" t="str">
        <f>INDEX(State!B:B,MATCH(OrdersTable[[#This Row],[State]],State!A:A,0))</f>
        <v>TN</v>
      </c>
      <c r="J1753" t="str">
        <f>INDEX(State!C:C,MATCH(OrdersTable[[#This Row],[State Code]],State!B:B,0))</f>
        <v>South</v>
      </c>
      <c r="K1753" t="s">
        <v>60</v>
      </c>
      <c r="L1753" t="s">
        <v>16</v>
      </c>
      <c r="M1753" t="s">
        <v>176</v>
      </c>
      <c r="N1753" t="str">
        <f>INDEX(Products!B:B,MATCH(OrdersTable[[#This Row],[Product ID]],Products!A:A,0))</f>
        <v>Denim Jacket</v>
      </c>
      <c r="O1753" t="str">
        <f>INDEX(Products!C:C,MATCH(OrdersTable[[#This Row],[Product ID]],Products!A:A,0))</f>
        <v>Apparel</v>
      </c>
      <c r="P1753">
        <v>1</v>
      </c>
      <c r="Q1753" s="5">
        <v>2499</v>
      </c>
      <c r="R1753" s="74">
        <v>0.25</v>
      </c>
      <c r="S1753" s="75">
        <f>OrdersTable[[#This Row],[Quantity]]*OrdersTable[[#This Row],[Unit Price]]</f>
        <v>2499</v>
      </c>
      <c r="T1753" s="5">
        <f>OrdersTable[[#This Row],[Gross Sale]]*OrdersTable[[#This Row],[Discount_Clean2]]</f>
        <v>624.75</v>
      </c>
      <c r="U1753" s="5">
        <f>OrdersTable[[#This Row],[Gross Sale]]-OrdersTable[[#This Row],[Discount Amount]]</f>
        <v>1874.25</v>
      </c>
      <c r="V1753" s="77">
        <f>INDEX(Products!E:E,MATCH(OrdersTable[[#This Row],[Product ID]],Products!A:A,0))</f>
        <v>1125</v>
      </c>
      <c r="W1753" s="77">
        <f>OrdersTable[[#This Row],[Quantity]]*OrdersTable[[#This Row],[Unit Cost]]</f>
        <v>1125</v>
      </c>
      <c r="X1753" s="77">
        <f>'Dropdown Lists'!$I$2*(1+OrdersTable[[#This Row],[Returned]])</f>
        <v>60</v>
      </c>
      <c r="Y1753" s="76">
        <f>OrdersTable[[#This Row],[Net Revenue]]-OrdersTable[[#This Row],[COGS]]-OrdersTable[[#This Row],[Shipping Cost]]</f>
        <v>689.25</v>
      </c>
      <c r="Z1753" s="78">
        <f>IFERROR(OrdersTable[[#This Row],[Profit]]/OrdersTable[[#This Row],[Net Revenue]],0)</f>
        <v>0.36774709883953582</v>
      </c>
      <c r="AA1753" t="s">
        <v>3495</v>
      </c>
      <c r="AB1753" s="79">
        <v>45608</v>
      </c>
      <c r="AC1753">
        <f>OrdersTable[[#This Row],[Delivery Date]]-OrdersTable[[#This Row],[Order Date]]</f>
        <v>4</v>
      </c>
      <c r="AD1753" t="str">
        <f>IF(OrdersTable[[#This Row],[Delivery Days]]&lt;=2, "Express (≤2d)", IF(OrdersTable[[#This Row],[Delivery Days]]&lt;=4, "Standard (3-4d)", "Delayed (5d+)"))</f>
        <v>Standard (3-4d)</v>
      </c>
      <c r="AE1753">
        <v>5</v>
      </c>
      <c r="AF1753">
        <v>0</v>
      </c>
    </row>
    <row r="1754" spans="1:32" ht="15" x14ac:dyDescent="0.35">
      <c r="A1754" t="s">
        <v>2756</v>
      </c>
      <c r="B1754" s="1">
        <v>45605</v>
      </c>
      <c r="C1754">
        <f>YEAR(OrdersTable[[#This Row],[Order Date]])</f>
        <v>2024</v>
      </c>
      <c r="D1754" s="2">
        <f>DATE(YEAR(OrdersTable[[#This Row],[Order Date]]),MONTH(OrdersTable[[#This Row],[Order Date]]),1)</f>
        <v>45597</v>
      </c>
      <c r="E1754">
        <f>MONTH(OrdersTable[[#This Row],[Order Date]])</f>
        <v>11</v>
      </c>
      <c r="F1754" t="s">
        <v>2757</v>
      </c>
      <c r="G1754" t="str">
        <f>IF(OrdersTable[[#This Row],[Order Date]]=_xlfn.MINIFS(Order_Date, Customer_ID, OrdersTable[[#This Row],[Customer ID]]), "New", "Repeat")</f>
        <v>Repeat</v>
      </c>
      <c r="H1754" t="s">
        <v>184</v>
      </c>
      <c r="I1754" t="str">
        <f>INDEX(State!B:B,MATCH(OrdersTable[[#This Row],[State]],State!A:A,0))</f>
        <v>UK</v>
      </c>
      <c r="J1754" t="str">
        <f>INDEX(State!C:C,MATCH(OrdersTable[[#This Row],[State Code]],State!B:B,0))</f>
        <v>North</v>
      </c>
      <c r="K1754" t="s">
        <v>185</v>
      </c>
      <c r="L1754" t="s">
        <v>65</v>
      </c>
      <c r="M1754" t="s">
        <v>61</v>
      </c>
      <c r="N1754" t="str">
        <f>INDEX(Products!B:B,MATCH(OrdersTable[[#This Row],[Product ID]],Products!A:A,0))</f>
        <v>Multivitamin Gummies</v>
      </c>
      <c r="O1754" t="str">
        <f>INDEX(Products!C:C,MATCH(OrdersTable[[#This Row],[Product ID]],Products!A:A,0))</f>
        <v>Wellness</v>
      </c>
      <c r="P1754">
        <v>1</v>
      </c>
      <c r="Q1754" s="5">
        <v>699</v>
      </c>
      <c r="R1754" s="74">
        <v>0.25</v>
      </c>
      <c r="S1754" s="75">
        <f>OrdersTable[[#This Row],[Quantity]]*OrdersTable[[#This Row],[Unit Price]]</f>
        <v>699</v>
      </c>
      <c r="T1754" s="5">
        <f>OrdersTable[[#This Row],[Gross Sale]]*OrdersTable[[#This Row],[Discount_Clean2]]</f>
        <v>174.75</v>
      </c>
      <c r="U1754" s="5">
        <f>OrdersTable[[#This Row],[Gross Sale]]-OrdersTable[[#This Row],[Discount Amount]]</f>
        <v>524.25</v>
      </c>
      <c r="V1754" s="77">
        <f>INDEX(Products!E:E,MATCH(OrdersTable[[#This Row],[Product ID]],Products!A:A,0))</f>
        <v>238</v>
      </c>
      <c r="W1754" s="77">
        <f>OrdersTable[[#This Row],[Quantity]]*OrdersTable[[#This Row],[Unit Cost]]</f>
        <v>238</v>
      </c>
      <c r="X1754" s="77">
        <f>'Dropdown Lists'!$I$2*(1+OrdersTable[[#This Row],[Returned]])</f>
        <v>60</v>
      </c>
      <c r="Y1754" s="76">
        <f>OrdersTable[[#This Row],[Net Revenue]]-OrdersTable[[#This Row],[COGS]]-OrdersTable[[#This Row],[Shipping Cost]]</f>
        <v>226.25</v>
      </c>
      <c r="Z1754" s="78">
        <f>IFERROR(OrdersTable[[#This Row],[Profit]]/OrdersTable[[#This Row],[Net Revenue]],0)</f>
        <v>0.43156890796375774</v>
      </c>
      <c r="AA1754" t="s">
        <v>2522</v>
      </c>
      <c r="AB1754" s="79">
        <v>45611</v>
      </c>
      <c r="AC1754">
        <f>OrdersTable[[#This Row],[Delivery Date]]-OrdersTable[[#This Row],[Order Date]]</f>
        <v>6</v>
      </c>
      <c r="AD1754" t="str">
        <f>IF(OrdersTable[[#This Row],[Delivery Days]]&lt;=2, "Express (≤2d)", IF(OrdersTable[[#This Row],[Delivery Days]]&lt;=4, "Standard (3-4d)", "Delayed (5d+)"))</f>
        <v>Delayed (5d+)</v>
      </c>
      <c r="AE1754">
        <v>3</v>
      </c>
      <c r="AF1754">
        <v>0</v>
      </c>
    </row>
    <row r="1755" spans="1:32" ht="15" x14ac:dyDescent="0.35">
      <c r="A1755" t="s">
        <v>2758</v>
      </c>
      <c r="B1755" s="1">
        <v>45605</v>
      </c>
      <c r="C1755">
        <f>YEAR(OrdersTable[[#This Row],[Order Date]])</f>
        <v>2024</v>
      </c>
      <c r="D1755" s="2">
        <f>DATE(YEAR(OrdersTable[[#This Row],[Order Date]]),MONTH(OrdersTable[[#This Row],[Order Date]]),1)</f>
        <v>45597</v>
      </c>
      <c r="E1755">
        <f>MONTH(OrdersTable[[#This Row],[Order Date]])</f>
        <v>11</v>
      </c>
      <c r="F1755" t="s">
        <v>431</v>
      </c>
      <c r="G1755" t="str">
        <f>IF(OrdersTable[[#This Row],[Order Date]]=_xlfn.MINIFS(Order_Date, Customer_ID, OrdersTable[[#This Row],[Customer ID]]), "New", "Repeat")</f>
        <v>Repeat</v>
      </c>
      <c r="H1755" t="s">
        <v>32</v>
      </c>
      <c r="I1755" t="str">
        <f>INDEX(State!B:B,MATCH(OrdersTable[[#This Row],[State]],State!A:A,0))</f>
        <v>BR</v>
      </c>
      <c r="J1755" t="str">
        <f>INDEX(State!C:C,MATCH(OrdersTable[[#This Row],[State Code]],State!B:B,0))</f>
        <v>East</v>
      </c>
      <c r="K1755" t="s">
        <v>33</v>
      </c>
      <c r="L1755" t="s">
        <v>16</v>
      </c>
      <c r="M1755" t="s">
        <v>34</v>
      </c>
      <c r="N1755" t="str">
        <f>INDEX(Products!B:B,MATCH(OrdersTable[[#This Row],[Product ID]],Products!A:A,0))</f>
        <v>Flip Flops</v>
      </c>
      <c r="O1755" t="str">
        <f>INDEX(Products!C:C,MATCH(OrdersTable[[#This Row],[Product ID]],Products!A:A,0))</f>
        <v>Footwear</v>
      </c>
      <c r="P1755">
        <v>1</v>
      </c>
      <c r="Q1755" s="5">
        <v>399</v>
      </c>
      <c r="R1755" s="74">
        <v>0.2</v>
      </c>
      <c r="S1755" s="75">
        <f>OrdersTable[[#This Row],[Quantity]]*OrdersTable[[#This Row],[Unit Price]]</f>
        <v>399</v>
      </c>
      <c r="T1755" s="5">
        <f>OrdersTable[[#This Row],[Gross Sale]]*OrdersTable[[#This Row],[Discount_Clean2]]</f>
        <v>79.800000000000011</v>
      </c>
      <c r="U1755" s="5">
        <f>OrdersTable[[#This Row],[Gross Sale]]-OrdersTable[[#This Row],[Discount Amount]]</f>
        <v>319.2</v>
      </c>
      <c r="V1755" s="77">
        <f>INDEX(Products!E:E,MATCH(OrdersTable[[#This Row],[Product ID]],Products!A:A,0))</f>
        <v>152</v>
      </c>
      <c r="W1755" s="77">
        <f>OrdersTable[[#This Row],[Quantity]]*OrdersTable[[#This Row],[Unit Cost]]</f>
        <v>152</v>
      </c>
      <c r="X1755" s="77">
        <f>'Dropdown Lists'!$I$2*(1+OrdersTable[[#This Row],[Returned]])</f>
        <v>60</v>
      </c>
      <c r="Y1755" s="76">
        <f>OrdersTable[[#This Row],[Net Revenue]]-OrdersTable[[#This Row],[COGS]]-OrdersTable[[#This Row],[Shipping Cost]]</f>
        <v>107.19999999999999</v>
      </c>
      <c r="Z1755" s="78">
        <f>IFERROR(OrdersTable[[#This Row],[Profit]]/OrdersTable[[#This Row],[Net Revenue]],0)</f>
        <v>0.33583959899749372</v>
      </c>
      <c r="AA1755" t="s">
        <v>2522</v>
      </c>
      <c r="AB1755" s="79">
        <v>45611</v>
      </c>
      <c r="AC1755">
        <f>OrdersTable[[#This Row],[Delivery Date]]-OrdersTable[[#This Row],[Order Date]]</f>
        <v>6</v>
      </c>
      <c r="AD1755" t="str">
        <f>IF(OrdersTable[[#This Row],[Delivery Days]]&lt;=2, "Express (≤2d)", IF(OrdersTable[[#This Row],[Delivery Days]]&lt;=4, "Standard (3-4d)", "Delayed (5d+)"))</f>
        <v>Delayed (5d+)</v>
      </c>
      <c r="AE1755">
        <v>3</v>
      </c>
      <c r="AF1755">
        <v>0</v>
      </c>
    </row>
    <row r="1756" spans="1:32" ht="15" x14ac:dyDescent="0.35">
      <c r="A1756" t="s">
        <v>5139</v>
      </c>
      <c r="B1756" s="1">
        <v>45605</v>
      </c>
      <c r="C1756">
        <f>YEAR(OrdersTable[[#This Row],[Order Date]])</f>
        <v>2024</v>
      </c>
      <c r="D1756" s="2">
        <f>DATE(YEAR(OrdersTable[[#This Row],[Order Date]]),MONTH(OrdersTable[[#This Row],[Order Date]]),1)</f>
        <v>45597</v>
      </c>
      <c r="E1756">
        <f>MONTH(OrdersTable[[#This Row],[Order Date]])</f>
        <v>11</v>
      </c>
      <c r="F1756" t="s">
        <v>5140</v>
      </c>
      <c r="G1756" t="str">
        <f>IF(OrdersTable[[#This Row],[Order Date]]=_xlfn.MINIFS(Order_Date, Customer_ID, OrdersTable[[#This Row],[Customer ID]]), "New", "Repeat")</f>
        <v>New</v>
      </c>
      <c r="H1756" t="s">
        <v>37</v>
      </c>
      <c r="I1756" t="str">
        <f>INDEX(State!B:B,MATCH(OrdersTable[[#This Row],[State]],State!A:A,0))</f>
        <v>GJ</v>
      </c>
      <c r="J1756" t="str">
        <f>INDEX(State!C:C,MATCH(OrdersTable[[#This Row],[State Code]],State!B:B,0))</f>
        <v>West</v>
      </c>
      <c r="K1756" t="s">
        <v>247</v>
      </c>
      <c r="L1756" t="s">
        <v>23</v>
      </c>
      <c r="M1756" t="s">
        <v>173</v>
      </c>
      <c r="N1756" t="str">
        <f>INDEX(Products!B:B,MATCH(OrdersTable[[#This Row],[Product ID]],Products!A:A,0))</f>
        <v>Wireless Earbuds</v>
      </c>
      <c r="O1756" t="str">
        <f>INDEX(Products!C:C,MATCH(OrdersTable[[#This Row],[Product ID]],Products!A:A,0))</f>
        <v>Electronics</v>
      </c>
      <c r="P1756">
        <v>2</v>
      </c>
      <c r="Q1756" s="5">
        <v>1999</v>
      </c>
      <c r="R1756" s="74">
        <v>0.6</v>
      </c>
      <c r="S1756" s="75">
        <f>OrdersTable[[#This Row],[Quantity]]*OrdersTable[[#This Row],[Unit Price]]</f>
        <v>3998</v>
      </c>
      <c r="T1756" s="5">
        <f>OrdersTable[[#This Row],[Gross Sale]]*OrdersTable[[#This Row],[Discount_Clean2]]</f>
        <v>2398.7999999999997</v>
      </c>
      <c r="U1756" s="5">
        <f>OrdersTable[[#This Row],[Gross Sale]]-OrdersTable[[#This Row],[Discount Amount]]</f>
        <v>1599.2000000000003</v>
      </c>
      <c r="V1756" s="77">
        <f>INDEX(Products!E:E,MATCH(OrdersTable[[#This Row],[Product ID]],Products!A:A,0))</f>
        <v>1239</v>
      </c>
      <c r="W1756" s="77">
        <f>OrdersTable[[#This Row],[Quantity]]*OrdersTable[[#This Row],[Unit Cost]]</f>
        <v>2478</v>
      </c>
      <c r="X1756" s="77">
        <f>'Dropdown Lists'!$I$2*(1+OrdersTable[[#This Row],[Returned]])</f>
        <v>120</v>
      </c>
      <c r="Y1756" s="76">
        <f>OrdersTable[[#This Row],[Net Revenue]]-OrdersTable[[#This Row],[COGS]]-OrdersTable[[#This Row],[Shipping Cost]]</f>
        <v>-998.79999999999973</v>
      </c>
      <c r="Z1756" s="78">
        <f>IFERROR(OrdersTable[[#This Row],[Profit]]/OrdersTable[[#This Row],[Net Revenue]],0)</f>
        <v>-0.62456228114057</v>
      </c>
      <c r="AA1756" t="s">
        <v>3495</v>
      </c>
      <c r="AB1756" s="79">
        <v>45611</v>
      </c>
      <c r="AC1756">
        <f>OrdersTable[[#This Row],[Delivery Date]]-OrdersTable[[#This Row],[Order Date]]</f>
        <v>6</v>
      </c>
      <c r="AD1756" t="str">
        <f>IF(OrdersTable[[#This Row],[Delivery Days]]&lt;=2, "Express (≤2d)", IF(OrdersTable[[#This Row],[Delivery Days]]&lt;=4, "Standard (3-4d)", "Delayed (5d+)"))</f>
        <v>Delayed (5d+)</v>
      </c>
      <c r="AE1756">
        <v>3</v>
      </c>
      <c r="AF1756">
        <v>1</v>
      </c>
    </row>
    <row r="1757" spans="1:32" ht="15" x14ac:dyDescent="0.35">
      <c r="A1757" t="s">
        <v>2586</v>
      </c>
      <c r="B1757" s="1">
        <v>45605</v>
      </c>
      <c r="C1757">
        <f>YEAR(OrdersTable[[#This Row],[Order Date]])</f>
        <v>2024</v>
      </c>
      <c r="D1757" s="2">
        <f>DATE(YEAR(OrdersTable[[#This Row],[Order Date]]),MONTH(OrdersTable[[#This Row],[Order Date]]),1)</f>
        <v>45597</v>
      </c>
      <c r="E1757">
        <f>MONTH(OrdersTable[[#This Row],[Order Date]])</f>
        <v>11</v>
      </c>
      <c r="F1757" t="s">
        <v>2587</v>
      </c>
      <c r="G1757" t="str">
        <f>IF(OrdersTable[[#This Row],[Order Date]]=_xlfn.MINIFS(Order_Date, Customer_ID, OrdersTable[[#This Row],[Customer ID]]), "New", "Repeat")</f>
        <v>New</v>
      </c>
      <c r="H1757" t="s">
        <v>123</v>
      </c>
      <c r="I1757" t="str">
        <f>INDEX(State!B:B,MATCH(OrdersTable[[#This Row],[State]],State!A:A,0))</f>
        <v>JH</v>
      </c>
      <c r="J1757" t="str">
        <f>INDEX(State!C:C,MATCH(OrdersTable[[#This Row],[State Code]],State!B:B,0))</f>
        <v>East</v>
      </c>
      <c r="K1757" t="s">
        <v>124</v>
      </c>
      <c r="L1757" t="s">
        <v>65</v>
      </c>
      <c r="M1757" t="s">
        <v>148</v>
      </c>
      <c r="N1757" t="str">
        <f>INDEX(Products!B:B,MATCH(OrdersTable[[#This Row],[Product ID]],Products!A:A,0))</f>
        <v>Smartwatch Strap</v>
      </c>
      <c r="O1757" t="str">
        <f>INDEX(Products!C:C,MATCH(OrdersTable[[#This Row],[Product ID]],Products!A:A,0))</f>
        <v>Electronics</v>
      </c>
      <c r="P1757">
        <v>1</v>
      </c>
      <c r="Q1757" s="5">
        <v>499</v>
      </c>
      <c r="R1757" s="74">
        <v>0.15</v>
      </c>
      <c r="S1757" s="75">
        <f>OrdersTable[[#This Row],[Quantity]]*OrdersTable[[#This Row],[Unit Price]]</f>
        <v>499</v>
      </c>
      <c r="T1757" s="5">
        <f>OrdersTable[[#This Row],[Gross Sale]]*OrdersTable[[#This Row],[Discount_Clean2]]</f>
        <v>74.849999999999994</v>
      </c>
      <c r="U1757" s="5">
        <f>OrdersTable[[#This Row],[Gross Sale]]-OrdersTable[[#This Row],[Discount Amount]]</f>
        <v>424.15</v>
      </c>
      <c r="V1757" s="77">
        <f>INDEX(Products!E:E,MATCH(OrdersTable[[#This Row],[Product ID]],Products!A:A,0))</f>
        <v>200</v>
      </c>
      <c r="W1757" s="77">
        <f>OrdersTable[[#This Row],[Quantity]]*OrdersTable[[#This Row],[Unit Cost]]</f>
        <v>200</v>
      </c>
      <c r="X1757" s="77">
        <f>'Dropdown Lists'!$I$2*(1+OrdersTable[[#This Row],[Returned]])</f>
        <v>60</v>
      </c>
      <c r="Y1757" s="76">
        <f>OrdersTable[[#This Row],[Net Revenue]]-OrdersTable[[#This Row],[COGS]]-OrdersTable[[#This Row],[Shipping Cost]]</f>
        <v>164.14999999999998</v>
      </c>
      <c r="Z1757" s="78">
        <f>IFERROR(OrdersTable[[#This Row],[Profit]]/OrdersTable[[#This Row],[Net Revenue]],0)</f>
        <v>0.38700931274313327</v>
      </c>
      <c r="AA1757" t="s">
        <v>2522</v>
      </c>
      <c r="AB1757" s="79">
        <v>45610</v>
      </c>
      <c r="AC1757">
        <f>OrdersTable[[#This Row],[Delivery Date]]-OrdersTable[[#This Row],[Order Date]]</f>
        <v>5</v>
      </c>
      <c r="AD1757" t="str">
        <f>IF(OrdersTable[[#This Row],[Delivery Days]]&lt;=2, "Express (≤2d)", IF(OrdersTable[[#This Row],[Delivery Days]]&lt;=4, "Standard (3-4d)", "Delayed (5d+)"))</f>
        <v>Delayed (5d+)</v>
      </c>
      <c r="AE1757">
        <v>5</v>
      </c>
      <c r="AF1757">
        <v>0</v>
      </c>
    </row>
    <row r="1758" spans="1:32" ht="15" x14ac:dyDescent="0.35">
      <c r="A1758" t="s">
        <v>5687</v>
      </c>
      <c r="B1758" s="1">
        <v>45605</v>
      </c>
      <c r="C1758">
        <f>YEAR(OrdersTable[[#This Row],[Order Date]])</f>
        <v>2024</v>
      </c>
      <c r="D1758" s="2">
        <f>DATE(YEAR(OrdersTable[[#This Row],[Order Date]]),MONTH(OrdersTable[[#This Row],[Order Date]]),1)</f>
        <v>45597</v>
      </c>
      <c r="E1758">
        <f>MONTH(OrdersTable[[#This Row],[Order Date]])</f>
        <v>11</v>
      </c>
      <c r="F1758" t="s">
        <v>115</v>
      </c>
      <c r="G1758" t="str">
        <f>IF(OrdersTable[[#This Row],[Order Date]]=_xlfn.MINIFS(Order_Date, Customer_ID, OrdersTable[[#This Row],[Customer ID]]), "New", "Repeat")</f>
        <v>Repeat</v>
      </c>
      <c r="H1758" t="s">
        <v>27</v>
      </c>
      <c r="I1758" t="str">
        <f>INDEX(State!B:B,MATCH(OrdersTable[[#This Row],[State]],State!A:A,0))</f>
        <v>WB</v>
      </c>
      <c r="J1758" t="str">
        <f>INDEX(State!C:C,MATCH(OrdersTable[[#This Row],[State Code]],State!B:B,0))</f>
        <v>East</v>
      </c>
      <c r="K1758" t="s">
        <v>28</v>
      </c>
      <c r="L1758" t="s">
        <v>16</v>
      </c>
      <c r="M1758" t="s">
        <v>87</v>
      </c>
      <c r="N1758" t="str">
        <f>INDEX(Products!B:B,MATCH(OrdersTable[[#This Row],[Product ID]],Products!A:A,0))</f>
        <v>Linen Kurta</v>
      </c>
      <c r="O1758" t="str">
        <f>INDEX(Products!C:C,MATCH(OrdersTable[[#This Row],[Product ID]],Products!A:A,0))</f>
        <v>Apparel</v>
      </c>
      <c r="P1758">
        <v>2</v>
      </c>
      <c r="Q1758" s="5">
        <v>1499</v>
      </c>
      <c r="R1758" s="74">
        <v>0.35</v>
      </c>
      <c r="S1758" s="75">
        <f>OrdersTable[[#This Row],[Quantity]]*OrdersTable[[#This Row],[Unit Price]]</f>
        <v>2998</v>
      </c>
      <c r="T1758" s="5">
        <f>OrdersTable[[#This Row],[Gross Sale]]*OrdersTable[[#This Row],[Discount_Clean2]]</f>
        <v>1049.3</v>
      </c>
      <c r="U1758" s="5">
        <f>OrdersTable[[#This Row],[Gross Sale]]-OrdersTable[[#This Row],[Discount Amount]]</f>
        <v>1948.7</v>
      </c>
      <c r="V1758" s="77">
        <f>INDEX(Products!E:E,MATCH(OrdersTable[[#This Row],[Product ID]],Products!A:A,0))</f>
        <v>630</v>
      </c>
      <c r="W1758" s="77">
        <f>OrdersTable[[#This Row],[Quantity]]*OrdersTable[[#This Row],[Unit Cost]]</f>
        <v>1260</v>
      </c>
      <c r="X1758" s="77">
        <f>'Dropdown Lists'!$I$2*(1+OrdersTable[[#This Row],[Returned]])</f>
        <v>60</v>
      </c>
      <c r="Y1758" s="76">
        <f>OrdersTable[[#This Row],[Net Revenue]]-OrdersTable[[#This Row],[COGS]]-OrdersTable[[#This Row],[Shipping Cost]]</f>
        <v>628.70000000000005</v>
      </c>
      <c r="Z1758" s="78">
        <f>IFERROR(OrdersTable[[#This Row],[Profit]]/OrdersTable[[#This Row],[Net Revenue]],0)</f>
        <v>0.32262533997023657</v>
      </c>
      <c r="AA1758" t="s">
        <v>18</v>
      </c>
      <c r="AB1758" s="79">
        <v>45608</v>
      </c>
      <c r="AC1758">
        <f>OrdersTable[[#This Row],[Delivery Date]]-OrdersTable[[#This Row],[Order Date]]</f>
        <v>3</v>
      </c>
      <c r="AD1758" t="str">
        <f>IF(OrdersTable[[#This Row],[Delivery Days]]&lt;=2, "Express (≤2d)", IF(OrdersTable[[#This Row],[Delivery Days]]&lt;=4, "Standard (3-4d)", "Delayed (5d+)"))</f>
        <v>Standard (3-4d)</v>
      </c>
      <c r="AE1758">
        <v>3</v>
      </c>
      <c r="AF1758">
        <v>0</v>
      </c>
    </row>
    <row r="1759" spans="1:32" ht="15" x14ac:dyDescent="0.35">
      <c r="A1759" t="s">
        <v>3228</v>
      </c>
      <c r="B1759" s="1">
        <v>45605</v>
      </c>
      <c r="C1759">
        <f>YEAR(OrdersTable[[#This Row],[Order Date]])</f>
        <v>2024</v>
      </c>
      <c r="D1759" s="2">
        <f>DATE(YEAR(OrdersTable[[#This Row],[Order Date]]),MONTH(OrdersTable[[#This Row],[Order Date]]),1)</f>
        <v>45597</v>
      </c>
      <c r="E1759">
        <f>MONTH(OrdersTable[[#This Row],[Order Date]])</f>
        <v>11</v>
      </c>
      <c r="F1759" t="s">
        <v>3119</v>
      </c>
      <c r="G1759" t="str">
        <f>IF(OrdersTable[[#This Row],[Order Date]]=_xlfn.MINIFS(Order_Date, Customer_ID, OrdersTable[[#This Row],[Customer ID]]), "New", "Repeat")</f>
        <v>Repeat</v>
      </c>
      <c r="H1759" t="s">
        <v>275</v>
      </c>
      <c r="I1759" t="str">
        <f>INDEX(State!B:B,MATCH(OrdersTable[[#This Row],[State]],State!A:A,0))</f>
        <v>AP</v>
      </c>
      <c r="J1759" t="str">
        <f>INDEX(State!C:C,MATCH(OrdersTable[[#This Row],[State Code]],State!B:B,0))</f>
        <v>South</v>
      </c>
      <c r="K1759" t="s">
        <v>276</v>
      </c>
      <c r="L1759" t="s">
        <v>39</v>
      </c>
      <c r="M1759" t="s">
        <v>34</v>
      </c>
      <c r="N1759" t="str">
        <f>INDEX(Products!B:B,MATCH(OrdersTable[[#This Row],[Product ID]],Products!A:A,0))</f>
        <v>Flip Flops</v>
      </c>
      <c r="O1759" t="str">
        <f>INDEX(Products!C:C,MATCH(OrdersTable[[#This Row],[Product ID]],Products!A:A,0))</f>
        <v>Footwear</v>
      </c>
      <c r="P1759">
        <v>1</v>
      </c>
      <c r="Q1759" s="5">
        <v>399</v>
      </c>
      <c r="R1759" s="74">
        <v>0.1</v>
      </c>
      <c r="S1759" s="75">
        <f>OrdersTable[[#This Row],[Quantity]]*OrdersTable[[#This Row],[Unit Price]]</f>
        <v>399</v>
      </c>
      <c r="T1759" s="5">
        <f>OrdersTable[[#This Row],[Gross Sale]]*OrdersTable[[#This Row],[Discount_Clean2]]</f>
        <v>39.900000000000006</v>
      </c>
      <c r="U1759" s="5">
        <f>OrdersTable[[#This Row],[Gross Sale]]-OrdersTable[[#This Row],[Discount Amount]]</f>
        <v>359.1</v>
      </c>
      <c r="V1759" s="77">
        <f>INDEX(Products!E:E,MATCH(OrdersTable[[#This Row],[Product ID]],Products!A:A,0))</f>
        <v>152</v>
      </c>
      <c r="W1759" s="77">
        <f>OrdersTable[[#This Row],[Quantity]]*OrdersTable[[#This Row],[Unit Cost]]</f>
        <v>152</v>
      </c>
      <c r="X1759" s="77">
        <f>'Dropdown Lists'!$I$2*(1+OrdersTable[[#This Row],[Returned]])</f>
        <v>60</v>
      </c>
      <c r="Y1759" s="76">
        <f>OrdersTable[[#This Row],[Net Revenue]]-OrdersTable[[#This Row],[COGS]]-OrdersTable[[#This Row],[Shipping Cost]]</f>
        <v>147.10000000000002</v>
      </c>
      <c r="Z1759" s="78">
        <f>IFERROR(OrdersTable[[#This Row],[Profit]]/OrdersTable[[#This Row],[Net Revenue]],0)</f>
        <v>0.40963519910888335</v>
      </c>
      <c r="AA1759" t="s">
        <v>2522</v>
      </c>
      <c r="AB1759" s="79">
        <v>45610</v>
      </c>
      <c r="AC1759">
        <f>OrdersTable[[#This Row],[Delivery Date]]-OrdersTable[[#This Row],[Order Date]]</f>
        <v>5</v>
      </c>
      <c r="AD1759" t="str">
        <f>IF(OrdersTable[[#This Row],[Delivery Days]]&lt;=2, "Express (≤2d)", IF(OrdersTable[[#This Row],[Delivery Days]]&lt;=4, "Standard (3-4d)", "Delayed (5d+)"))</f>
        <v>Delayed (5d+)</v>
      </c>
      <c r="AE1759">
        <v>4</v>
      </c>
      <c r="AF1759">
        <v>0</v>
      </c>
    </row>
    <row r="1760" spans="1:32" ht="15" x14ac:dyDescent="0.35">
      <c r="A1760" t="s">
        <v>5496</v>
      </c>
      <c r="B1760" s="1">
        <v>45605</v>
      </c>
      <c r="C1760">
        <f>YEAR(OrdersTable[[#This Row],[Order Date]])</f>
        <v>2024</v>
      </c>
      <c r="D1760" s="2">
        <f>DATE(YEAR(OrdersTable[[#This Row],[Order Date]]),MONTH(OrdersTable[[#This Row],[Order Date]]),1)</f>
        <v>45597</v>
      </c>
      <c r="E1760">
        <f>MONTH(OrdersTable[[#This Row],[Order Date]])</f>
        <v>11</v>
      </c>
      <c r="F1760" t="s">
        <v>1434</v>
      </c>
      <c r="G1760" t="str">
        <f>IF(OrdersTable[[#This Row],[Order Date]]=_xlfn.MINIFS(Order_Date, Customer_ID, OrdersTable[[#This Row],[Customer ID]]), "New", "Repeat")</f>
        <v>New</v>
      </c>
      <c r="H1760" t="s">
        <v>275</v>
      </c>
      <c r="I1760" t="str">
        <f>INDEX(State!B:B,MATCH(OrdersTable[[#This Row],[State]],State!A:A,0))</f>
        <v>AP</v>
      </c>
      <c r="J1760" t="str">
        <f>INDEX(State!C:C,MATCH(OrdersTable[[#This Row],[State Code]],State!B:B,0))</f>
        <v>South</v>
      </c>
      <c r="K1760" t="s">
        <v>491</v>
      </c>
      <c r="L1760" t="s">
        <v>50</v>
      </c>
      <c r="M1760" t="s">
        <v>73</v>
      </c>
      <c r="N1760" t="str">
        <f>INDEX(Products!B:B,MATCH(OrdersTable[[#This Row],[Product ID]],Products!A:A,0))</f>
        <v>Hydrating Face Wash</v>
      </c>
      <c r="O1760" t="str">
        <f>INDEX(Products!C:C,MATCH(OrdersTable[[#This Row],[Product ID]],Products!A:A,0))</f>
        <v>Skincare</v>
      </c>
      <c r="P1760">
        <v>2</v>
      </c>
      <c r="Q1760" s="5">
        <v>299</v>
      </c>
      <c r="R1760" s="74">
        <v>0.1</v>
      </c>
      <c r="S1760" s="75">
        <f>OrdersTable[[#This Row],[Quantity]]*OrdersTable[[#This Row],[Unit Price]]</f>
        <v>598</v>
      </c>
      <c r="T1760" s="5">
        <f>OrdersTable[[#This Row],[Gross Sale]]*OrdersTable[[#This Row],[Discount_Clean2]]</f>
        <v>59.800000000000004</v>
      </c>
      <c r="U1760" s="5">
        <f>OrdersTable[[#This Row],[Gross Sale]]-OrdersTable[[#This Row],[Discount Amount]]</f>
        <v>538.20000000000005</v>
      </c>
      <c r="V1760" s="77">
        <f>INDEX(Products!E:E,MATCH(OrdersTable[[#This Row],[Product ID]],Products!A:A,0))</f>
        <v>90</v>
      </c>
      <c r="W1760" s="77">
        <f>OrdersTable[[#This Row],[Quantity]]*OrdersTable[[#This Row],[Unit Cost]]</f>
        <v>180</v>
      </c>
      <c r="X1760" s="77">
        <f>'Dropdown Lists'!$I$2*(1+OrdersTable[[#This Row],[Returned]])</f>
        <v>120</v>
      </c>
      <c r="Y1760" s="76">
        <f>OrdersTable[[#This Row],[Net Revenue]]-OrdersTable[[#This Row],[COGS]]-OrdersTable[[#This Row],[Shipping Cost]]</f>
        <v>238.20000000000005</v>
      </c>
      <c r="Z1760" s="78">
        <f>IFERROR(OrdersTable[[#This Row],[Profit]]/OrdersTable[[#This Row],[Net Revenue]],0)</f>
        <v>0.4425863991081383</v>
      </c>
      <c r="AA1760" t="s">
        <v>2522</v>
      </c>
      <c r="AB1760" s="79">
        <v>45609</v>
      </c>
      <c r="AC1760">
        <f>OrdersTable[[#This Row],[Delivery Date]]-OrdersTable[[#This Row],[Order Date]]</f>
        <v>4</v>
      </c>
      <c r="AD1760" t="str">
        <f>IF(OrdersTable[[#This Row],[Delivery Days]]&lt;=2, "Express (≤2d)", IF(OrdersTable[[#This Row],[Delivery Days]]&lt;=4, "Standard (3-4d)", "Delayed (5d+)"))</f>
        <v>Standard (3-4d)</v>
      </c>
      <c r="AE1760">
        <v>4</v>
      </c>
      <c r="AF1760">
        <v>1</v>
      </c>
    </row>
    <row r="1761" spans="1:32" ht="15" x14ac:dyDescent="0.35">
      <c r="A1761" t="s">
        <v>4490</v>
      </c>
      <c r="B1761" s="1">
        <v>45605</v>
      </c>
      <c r="C1761">
        <f>YEAR(OrdersTable[[#This Row],[Order Date]])</f>
        <v>2024</v>
      </c>
      <c r="D1761" s="2">
        <f>DATE(YEAR(OrdersTable[[#This Row],[Order Date]]),MONTH(OrdersTable[[#This Row],[Order Date]]),1)</f>
        <v>45597</v>
      </c>
      <c r="E1761">
        <f>MONTH(OrdersTable[[#This Row],[Order Date]])</f>
        <v>11</v>
      </c>
      <c r="F1761" t="s">
        <v>3343</v>
      </c>
      <c r="G1761" t="str">
        <f>IF(OrdersTable[[#This Row],[Order Date]]=_xlfn.MINIFS(Order_Date, Customer_ID, OrdersTable[[#This Row],[Customer ID]]), "New", "Repeat")</f>
        <v>Repeat</v>
      </c>
      <c r="H1761" t="s">
        <v>316</v>
      </c>
      <c r="I1761" t="str">
        <f>INDEX(State!B:B,MATCH(OrdersTable[[#This Row],[State]],State!A:A,0))</f>
        <v>KL</v>
      </c>
      <c r="J1761" t="str">
        <f>INDEX(State!C:C,MATCH(OrdersTable[[#This Row],[State Code]],State!B:B,0))</f>
        <v>South</v>
      </c>
      <c r="K1761" t="s">
        <v>338</v>
      </c>
      <c r="L1761" t="s">
        <v>23</v>
      </c>
      <c r="M1761" t="s">
        <v>45</v>
      </c>
      <c r="N1761" t="str">
        <f>INDEX(Products!B:B,MATCH(OrdersTable[[#This Row],[Product ID]],Products!A:A,0))</f>
        <v>Argan Shampoo</v>
      </c>
      <c r="O1761" t="str">
        <f>INDEX(Products!C:C,MATCH(OrdersTable[[#This Row],[Product ID]],Products!A:A,0))</f>
        <v>Haircare</v>
      </c>
      <c r="P1761">
        <v>1</v>
      </c>
      <c r="Q1761" s="5">
        <v>449</v>
      </c>
      <c r="R1761" s="74">
        <v>0.2</v>
      </c>
      <c r="S1761" s="75">
        <f>OrdersTable[[#This Row],[Quantity]]*OrdersTable[[#This Row],[Unit Price]]</f>
        <v>449</v>
      </c>
      <c r="T1761" s="5">
        <f>OrdersTable[[#This Row],[Gross Sale]]*OrdersTable[[#This Row],[Discount_Clean2]]</f>
        <v>89.800000000000011</v>
      </c>
      <c r="U1761" s="5">
        <f>OrdersTable[[#This Row],[Gross Sale]]-OrdersTable[[#This Row],[Discount Amount]]</f>
        <v>359.2</v>
      </c>
      <c r="V1761" s="77">
        <f>INDEX(Products!E:E,MATCH(OrdersTable[[#This Row],[Product ID]],Products!A:A,0))</f>
        <v>148</v>
      </c>
      <c r="W1761" s="77">
        <f>OrdersTable[[#This Row],[Quantity]]*OrdersTable[[#This Row],[Unit Cost]]</f>
        <v>148</v>
      </c>
      <c r="X1761" s="77">
        <f>'Dropdown Lists'!$I$2*(1+OrdersTable[[#This Row],[Returned]])</f>
        <v>60</v>
      </c>
      <c r="Y1761" s="76">
        <f>OrdersTable[[#This Row],[Net Revenue]]-OrdersTable[[#This Row],[COGS]]-OrdersTable[[#This Row],[Shipping Cost]]</f>
        <v>151.19999999999999</v>
      </c>
      <c r="Z1761" s="78">
        <f>IFERROR(OrdersTable[[#This Row],[Profit]]/OrdersTable[[#This Row],[Net Revenue]],0)</f>
        <v>0.42093541202672602</v>
      </c>
      <c r="AA1761" t="s">
        <v>4450</v>
      </c>
      <c r="AB1761" s="79">
        <v>45609</v>
      </c>
      <c r="AC1761">
        <f>OrdersTable[[#This Row],[Delivery Date]]-OrdersTable[[#This Row],[Order Date]]</f>
        <v>4</v>
      </c>
      <c r="AD1761" t="str">
        <f>IF(OrdersTable[[#This Row],[Delivery Days]]&lt;=2, "Express (≤2d)", IF(OrdersTable[[#This Row],[Delivery Days]]&lt;=4, "Standard (3-4d)", "Delayed (5d+)"))</f>
        <v>Standard (3-4d)</v>
      </c>
      <c r="AE1761">
        <v>4</v>
      </c>
      <c r="AF1761">
        <v>0</v>
      </c>
    </row>
    <row r="1762" spans="1:32" ht="15" x14ac:dyDescent="0.35">
      <c r="A1762" t="s">
        <v>1240</v>
      </c>
      <c r="B1762" s="1">
        <v>45606</v>
      </c>
      <c r="C1762">
        <f>YEAR(OrdersTable[[#This Row],[Order Date]])</f>
        <v>2024</v>
      </c>
      <c r="D1762" s="2">
        <f>DATE(YEAR(OrdersTable[[#This Row],[Order Date]]),MONTH(OrdersTable[[#This Row],[Order Date]]),1)</f>
        <v>45597</v>
      </c>
      <c r="E1762">
        <f>MONTH(OrdersTable[[#This Row],[Order Date]])</f>
        <v>11</v>
      </c>
      <c r="F1762" t="s">
        <v>1241</v>
      </c>
      <c r="G1762" t="str">
        <f>IF(OrdersTable[[#This Row],[Order Date]]=_xlfn.MINIFS(Order_Date, Customer_ID, OrdersTable[[#This Row],[Customer ID]]), "New", "Repeat")</f>
        <v>Repeat</v>
      </c>
      <c r="H1762" t="s">
        <v>54</v>
      </c>
      <c r="I1762" t="str">
        <f>INDEX(State!B:B,MATCH(OrdersTable[[#This Row],[State]],State!A:A,0))</f>
        <v>RJ</v>
      </c>
      <c r="J1762" t="str">
        <f>INDEX(State!C:C,MATCH(OrdersTable[[#This Row],[State Code]],State!B:B,0))</f>
        <v>North</v>
      </c>
      <c r="K1762" t="s">
        <v>227</v>
      </c>
      <c r="L1762" t="s">
        <v>16</v>
      </c>
      <c r="M1762" t="s">
        <v>34</v>
      </c>
      <c r="N1762" t="str">
        <f>INDEX(Products!B:B,MATCH(OrdersTable[[#This Row],[Product ID]],Products!A:A,0))</f>
        <v>Flip Flops</v>
      </c>
      <c r="O1762" t="str">
        <f>INDEX(Products!C:C,MATCH(OrdersTable[[#This Row],[Product ID]],Products!A:A,0))</f>
        <v>Footwear</v>
      </c>
      <c r="P1762">
        <v>1</v>
      </c>
      <c r="Q1762" s="5">
        <v>399</v>
      </c>
      <c r="R1762" s="74">
        <v>0.1</v>
      </c>
      <c r="S1762" s="75">
        <f>OrdersTable[[#This Row],[Quantity]]*OrdersTable[[#This Row],[Unit Price]]</f>
        <v>399</v>
      </c>
      <c r="T1762" s="5">
        <f>OrdersTable[[#This Row],[Gross Sale]]*OrdersTable[[#This Row],[Discount_Clean2]]</f>
        <v>39.900000000000006</v>
      </c>
      <c r="U1762" s="5">
        <f>OrdersTable[[#This Row],[Gross Sale]]-OrdersTable[[#This Row],[Discount Amount]]</f>
        <v>359.1</v>
      </c>
      <c r="V1762" s="77">
        <f>INDEX(Products!E:E,MATCH(OrdersTable[[#This Row],[Product ID]],Products!A:A,0))</f>
        <v>152</v>
      </c>
      <c r="W1762" s="77">
        <f>OrdersTable[[#This Row],[Quantity]]*OrdersTable[[#This Row],[Unit Cost]]</f>
        <v>152</v>
      </c>
      <c r="X1762" s="77">
        <f>'Dropdown Lists'!$I$2*(1+OrdersTable[[#This Row],[Returned]])</f>
        <v>60</v>
      </c>
      <c r="Y1762" s="76">
        <f>OrdersTable[[#This Row],[Net Revenue]]-OrdersTable[[#This Row],[COGS]]-OrdersTable[[#This Row],[Shipping Cost]]</f>
        <v>147.10000000000002</v>
      </c>
      <c r="Z1762" s="78">
        <f>IFERROR(OrdersTable[[#This Row],[Profit]]/OrdersTable[[#This Row],[Net Revenue]],0)</f>
        <v>0.40963519910888335</v>
      </c>
      <c r="AA1762" t="s">
        <v>18</v>
      </c>
      <c r="AB1762" s="79">
        <v>45610</v>
      </c>
      <c r="AC1762">
        <f>OrdersTable[[#This Row],[Delivery Date]]-OrdersTable[[#This Row],[Order Date]]</f>
        <v>4</v>
      </c>
      <c r="AD1762" t="str">
        <f>IF(OrdersTable[[#This Row],[Delivery Days]]&lt;=2, "Express (≤2d)", IF(OrdersTable[[#This Row],[Delivery Days]]&lt;=4, "Standard (3-4d)", "Delayed (5d+)"))</f>
        <v>Standard (3-4d)</v>
      </c>
      <c r="AF1762">
        <v>0</v>
      </c>
    </row>
    <row r="1763" spans="1:32" ht="15" x14ac:dyDescent="0.35">
      <c r="A1763" t="s">
        <v>3572</v>
      </c>
      <c r="B1763" s="1">
        <v>45606</v>
      </c>
      <c r="C1763">
        <f>YEAR(OrdersTable[[#This Row],[Order Date]])</f>
        <v>2024</v>
      </c>
      <c r="D1763" s="2">
        <f>DATE(YEAR(OrdersTable[[#This Row],[Order Date]]),MONTH(OrdersTable[[#This Row],[Order Date]]),1)</f>
        <v>45597</v>
      </c>
      <c r="E1763">
        <f>MONTH(OrdersTable[[#This Row],[Order Date]])</f>
        <v>11</v>
      </c>
      <c r="F1763" t="s">
        <v>3573</v>
      </c>
      <c r="G1763" t="str">
        <f>IF(OrdersTable[[#This Row],[Order Date]]=_xlfn.MINIFS(Order_Date, Customer_ID, OrdersTable[[#This Row],[Customer ID]]), "New", "Repeat")</f>
        <v>New</v>
      </c>
      <c r="H1763" t="s">
        <v>128</v>
      </c>
      <c r="I1763" t="str">
        <f>INDEX(State!B:B,MATCH(OrdersTable[[#This Row],[State]],State!A:A,0))</f>
        <v>DL</v>
      </c>
      <c r="J1763" t="str">
        <f>INDEX(State!C:C,MATCH(OrdersTable[[#This Row],[State Code]],State!B:B,0))</f>
        <v>North</v>
      </c>
      <c r="K1763" t="s">
        <v>129</v>
      </c>
      <c r="L1763" t="s">
        <v>50</v>
      </c>
      <c r="M1763" t="s">
        <v>106</v>
      </c>
      <c r="N1763" t="str">
        <f>INDEX(Products!B:B,MATCH(OrdersTable[[#This Row],[Product ID]],Products!A:A,0))</f>
        <v>Keratin Hair Mask</v>
      </c>
      <c r="O1763" t="str">
        <f>INDEX(Products!C:C,MATCH(OrdersTable[[#This Row],[Product ID]],Products!A:A,0))</f>
        <v>Haircare</v>
      </c>
      <c r="P1763">
        <v>1</v>
      </c>
      <c r="Q1763" s="5">
        <v>549</v>
      </c>
      <c r="R1763" s="74">
        <v>0.35</v>
      </c>
      <c r="S1763" s="75">
        <f>OrdersTable[[#This Row],[Quantity]]*OrdersTable[[#This Row],[Unit Price]]</f>
        <v>549</v>
      </c>
      <c r="T1763" s="5">
        <f>OrdersTable[[#This Row],[Gross Sale]]*OrdersTable[[#This Row],[Discount_Clean2]]</f>
        <v>192.14999999999998</v>
      </c>
      <c r="U1763" s="5">
        <f>OrdersTable[[#This Row],[Gross Sale]]-OrdersTable[[#This Row],[Discount Amount]]</f>
        <v>356.85</v>
      </c>
      <c r="V1763" s="77">
        <f>INDEX(Products!E:E,MATCH(OrdersTable[[#This Row],[Product ID]],Products!A:A,0))</f>
        <v>170</v>
      </c>
      <c r="W1763" s="77">
        <f>OrdersTable[[#This Row],[Quantity]]*OrdersTable[[#This Row],[Unit Cost]]</f>
        <v>170</v>
      </c>
      <c r="X1763" s="77">
        <f>'Dropdown Lists'!$I$2*(1+OrdersTable[[#This Row],[Returned]])</f>
        <v>60</v>
      </c>
      <c r="Y1763" s="76">
        <f>OrdersTable[[#This Row],[Net Revenue]]-OrdersTable[[#This Row],[COGS]]-OrdersTable[[#This Row],[Shipping Cost]]</f>
        <v>126.85000000000002</v>
      </c>
      <c r="Z1763" s="78">
        <f>IFERROR(OrdersTable[[#This Row],[Profit]]/OrdersTable[[#This Row],[Net Revenue]],0)</f>
        <v>0.35547148661902767</v>
      </c>
      <c r="AA1763" t="s">
        <v>3495</v>
      </c>
      <c r="AB1763" s="79">
        <v>45607</v>
      </c>
      <c r="AC1763">
        <f>OrdersTable[[#This Row],[Delivery Date]]-OrdersTable[[#This Row],[Order Date]]</f>
        <v>1</v>
      </c>
      <c r="AD1763" t="str">
        <f>IF(OrdersTable[[#This Row],[Delivery Days]]&lt;=2, "Express (≤2d)", IF(OrdersTable[[#This Row],[Delivery Days]]&lt;=4, "Standard (3-4d)", "Delayed (5d+)"))</f>
        <v>Express (≤2d)</v>
      </c>
      <c r="AE1763">
        <v>4</v>
      </c>
      <c r="AF1763">
        <v>0</v>
      </c>
    </row>
    <row r="1764" spans="1:32" ht="15" x14ac:dyDescent="0.35">
      <c r="A1764" t="s">
        <v>535</v>
      </c>
      <c r="B1764" s="1">
        <v>45606</v>
      </c>
      <c r="C1764">
        <f>YEAR(OrdersTable[[#This Row],[Order Date]])</f>
        <v>2024</v>
      </c>
      <c r="D1764" s="2">
        <f>DATE(YEAR(OrdersTable[[#This Row],[Order Date]]),MONTH(OrdersTable[[#This Row],[Order Date]]),1)</f>
        <v>45597</v>
      </c>
      <c r="E1764">
        <f>MONTH(OrdersTable[[#This Row],[Order Date]])</f>
        <v>11</v>
      </c>
      <c r="F1764" t="s">
        <v>536</v>
      </c>
      <c r="G1764" t="str">
        <f>IF(OrdersTable[[#This Row],[Order Date]]=_xlfn.MINIFS(Order_Date, Customer_ID, OrdersTable[[#This Row],[Customer ID]]), "New", "Repeat")</f>
        <v>Repeat</v>
      </c>
      <c r="H1764" t="s">
        <v>76</v>
      </c>
      <c r="I1764" t="str">
        <f>INDEX(State!B:B,MATCH(OrdersTable[[#This Row],[State]],State!A:A,0))</f>
        <v>UP</v>
      </c>
      <c r="J1764" t="str">
        <f>INDEX(State!C:C,MATCH(OrdersTable[[#This Row],[State Code]],State!B:B,0))</f>
        <v>North</v>
      </c>
      <c r="K1764" t="s">
        <v>77</v>
      </c>
      <c r="L1764" t="s">
        <v>16</v>
      </c>
      <c r="M1764" t="s">
        <v>92</v>
      </c>
      <c r="N1764" t="str">
        <f>INDEX(Products!B:B,MATCH(OrdersTable[[#This Row],[Product ID]],Products!A:A,0))</f>
        <v>Kolhapuri Sandals</v>
      </c>
      <c r="O1764" t="str">
        <f>INDEX(Products!C:C,MATCH(OrdersTable[[#This Row],[Product ID]],Products!A:A,0))</f>
        <v>Footwear</v>
      </c>
      <c r="P1764">
        <v>1</v>
      </c>
      <c r="Q1764" s="5">
        <v>999</v>
      </c>
      <c r="R1764" s="74">
        <v>0.2</v>
      </c>
      <c r="S1764" s="75">
        <f>OrdersTable[[#This Row],[Quantity]]*OrdersTable[[#This Row],[Unit Price]]</f>
        <v>999</v>
      </c>
      <c r="T1764" s="5">
        <f>OrdersTable[[#This Row],[Gross Sale]]*OrdersTable[[#This Row],[Discount_Clean2]]</f>
        <v>199.8</v>
      </c>
      <c r="U1764" s="5">
        <f>OrdersTable[[#This Row],[Gross Sale]]-OrdersTable[[#This Row],[Discount Amount]]</f>
        <v>799.2</v>
      </c>
      <c r="V1764" s="77">
        <f>INDEX(Products!E:E,MATCH(OrdersTable[[#This Row],[Product ID]],Products!A:A,0))</f>
        <v>400</v>
      </c>
      <c r="W1764" s="77">
        <f>OrdersTable[[#This Row],[Quantity]]*OrdersTable[[#This Row],[Unit Cost]]</f>
        <v>400</v>
      </c>
      <c r="X1764" s="77">
        <f>'Dropdown Lists'!$I$2*(1+OrdersTable[[#This Row],[Returned]])</f>
        <v>60</v>
      </c>
      <c r="Y1764" s="76">
        <f>OrdersTable[[#This Row],[Net Revenue]]-OrdersTable[[#This Row],[COGS]]-OrdersTable[[#This Row],[Shipping Cost]]</f>
        <v>339.20000000000005</v>
      </c>
      <c r="Z1764" s="78">
        <f>IFERROR(OrdersTable[[#This Row],[Profit]]/OrdersTable[[#This Row],[Net Revenue]],0)</f>
        <v>0.42442442442442446</v>
      </c>
      <c r="AA1764" t="s">
        <v>18</v>
      </c>
      <c r="AB1764" s="79">
        <v>45611</v>
      </c>
      <c r="AC1764">
        <f>OrdersTable[[#This Row],[Delivery Date]]-OrdersTable[[#This Row],[Order Date]]</f>
        <v>5</v>
      </c>
      <c r="AD1764" t="str">
        <f>IF(OrdersTable[[#This Row],[Delivery Days]]&lt;=2, "Express (≤2d)", IF(OrdersTable[[#This Row],[Delivery Days]]&lt;=4, "Standard (3-4d)", "Delayed (5d+)"))</f>
        <v>Delayed (5d+)</v>
      </c>
      <c r="AE1764">
        <v>4</v>
      </c>
      <c r="AF1764">
        <v>0</v>
      </c>
    </row>
    <row r="1765" spans="1:32" ht="15" x14ac:dyDescent="0.35">
      <c r="A1765" t="s">
        <v>7074</v>
      </c>
      <c r="B1765" s="1">
        <v>45606</v>
      </c>
      <c r="C1765">
        <f>YEAR(OrdersTable[[#This Row],[Order Date]])</f>
        <v>2024</v>
      </c>
      <c r="D1765" s="2">
        <f>DATE(YEAR(OrdersTable[[#This Row],[Order Date]]),MONTH(OrdersTable[[#This Row],[Order Date]]),1)</f>
        <v>45597</v>
      </c>
      <c r="E1765">
        <f>MONTH(OrdersTable[[#This Row],[Order Date]])</f>
        <v>11</v>
      </c>
      <c r="F1765" t="s">
        <v>603</v>
      </c>
      <c r="G1765" t="str">
        <f>IF(OrdersTable[[#This Row],[Order Date]]=_xlfn.MINIFS(Order_Date, Customer_ID, OrdersTable[[#This Row],[Customer ID]]), "New", "Repeat")</f>
        <v>Repeat</v>
      </c>
      <c r="H1765" t="s">
        <v>37</v>
      </c>
      <c r="I1765" t="str">
        <f>INDEX(State!B:B,MATCH(OrdersTable[[#This Row],[State]],State!A:A,0))</f>
        <v>GJ</v>
      </c>
      <c r="J1765" t="str">
        <f>INDEX(State!C:C,MATCH(OrdersTable[[#This Row],[State Code]],State!B:B,0))</f>
        <v>West</v>
      </c>
      <c r="K1765" t="s">
        <v>38</v>
      </c>
      <c r="L1765" t="s">
        <v>65</v>
      </c>
      <c r="M1765" t="s">
        <v>125</v>
      </c>
      <c r="N1765" t="str">
        <f>INDEX(Products!B:B,MATCH(OrdersTable[[#This Row],[Product ID]],Products!A:A,0))</f>
        <v>Copper Water Bottle</v>
      </c>
      <c r="O1765" t="str">
        <f>INDEX(Products!C:C,MATCH(OrdersTable[[#This Row],[Product ID]],Products!A:A,0))</f>
        <v>Home &amp; Kitchen</v>
      </c>
      <c r="P1765">
        <v>4</v>
      </c>
      <c r="Q1765" s="5">
        <v>899</v>
      </c>
      <c r="R1765" s="74">
        <v>0.3</v>
      </c>
      <c r="S1765" s="75">
        <f>OrdersTable[[#This Row],[Quantity]]*OrdersTable[[#This Row],[Unit Price]]</f>
        <v>3596</v>
      </c>
      <c r="T1765" s="5">
        <f>OrdersTable[[#This Row],[Gross Sale]]*OrdersTable[[#This Row],[Discount_Clean2]]</f>
        <v>1078.8</v>
      </c>
      <c r="U1765" s="5">
        <f>OrdersTable[[#This Row],[Gross Sale]]-OrdersTable[[#This Row],[Discount Amount]]</f>
        <v>2517.1999999999998</v>
      </c>
      <c r="V1765" s="77">
        <f>INDEX(Products!E:E,MATCH(OrdersTable[[#This Row],[Product ID]],Products!A:A,0))</f>
        <v>378</v>
      </c>
      <c r="W1765" s="77">
        <f>OrdersTable[[#This Row],[Quantity]]*OrdersTable[[#This Row],[Unit Cost]]</f>
        <v>1512</v>
      </c>
      <c r="X1765" s="77">
        <f>'Dropdown Lists'!$I$2*(1+OrdersTable[[#This Row],[Returned]])</f>
        <v>60</v>
      </c>
      <c r="Y1765" s="76">
        <f>OrdersTable[[#This Row],[Net Revenue]]-OrdersTable[[#This Row],[COGS]]-OrdersTable[[#This Row],[Shipping Cost]]</f>
        <v>945.19999999999982</v>
      </c>
      <c r="Z1765" s="78">
        <f>IFERROR(OrdersTable[[#This Row],[Profit]]/OrdersTable[[#This Row],[Net Revenue]],0)</f>
        <v>0.37549658350548226</v>
      </c>
      <c r="AA1765" t="s">
        <v>18</v>
      </c>
      <c r="AB1765" s="79">
        <v>45610</v>
      </c>
      <c r="AC1765">
        <f>OrdersTable[[#This Row],[Delivery Date]]-OrdersTable[[#This Row],[Order Date]]</f>
        <v>4</v>
      </c>
      <c r="AD1765" t="str">
        <f>IF(OrdersTable[[#This Row],[Delivery Days]]&lt;=2, "Express (≤2d)", IF(OrdersTable[[#This Row],[Delivery Days]]&lt;=4, "Standard (3-4d)", "Delayed (5d+)"))</f>
        <v>Standard (3-4d)</v>
      </c>
      <c r="AF1765">
        <v>0</v>
      </c>
    </row>
    <row r="1766" spans="1:32" ht="15" x14ac:dyDescent="0.35">
      <c r="A1766" t="s">
        <v>1920</v>
      </c>
      <c r="B1766" s="1">
        <v>45606</v>
      </c>
      <c r="C1766">
        <f>YEAR(OrdersTable[[#This Row],[Order Date]])</f>
        <v>2024</v>
      </c>
      <c r="D1766" s="2">
        <f>DATE(YEAR(OrdersTable[[#This Row],[Order Date]]),MONTH(OrdersTable[[#This Row],[Order Date]]),1)</f>
        <v>45597</v>
      </c>
      <c r="E1766">
        <f>MONTH(OrdersTable[[#This Row],[Order Date]])</f>
        <v>11</v>
      </c>
      <c r="F1766" t="s">
        <v>1921</v>
      </c>
      <c r="G1766" t="str">
        <f>IF(OrdersTable[[#This Row],[Order Date]]=_xlfn.MINIFS(Order_Date, Customer_ID, OrdersTable[[#This Row],[Customer ID]]), "New", "Repeat")</f>
        <v>New</v>
      </c>
      <c r="H1766" t="s">
        <v>27</v>
      </c>
      <c r="I1766" t="str">
        <f>INDEX(State!B:B,MATCH(OrdersTable[[#This Row],[State]],State!A:A,0))</f>
        <v>WB</v>
      </c>
      <c r="J1766" t="str">
        <f>INDEX(State!C:C,MATCH(OrdersTable[[#This Row],[State Code]],State!B:B,0))</f>
        <v>East</v>
      </c>
      <c r="K1766" t="s">
        <v>28</v>
      </c>
      <c r="L1766" t="s">
        <v>65</v>
      </c>
      <c r="M1766" t="s">
        <v>148</v>
      </c>
      <c r="N1766" t="str">
        <f>INDEX(Products!B:B,MATCH(OrdersTable[[#This Row],[Product ID]],Products!A:A,0))</f>
        <v>Smartwatch Strap</v>
      </c>
      <c r="O1766" t="str">
        <f>INDEX(Products!C:C,MATCH(OrdersTable[[#This Row],[Product ID]],Products!A:A,0))</f>
        <v>Electronics</v>
      </c>
      <c r="P1766">
        <v>1</v>
      </c>
      <c r="Q1766" s="5">
        <v>499</v>
      </c>
      <c r="R1766" s="74">
        <v>0.2</v>
      </c>
      <c r="S1766" s="75">
        <f>OrdersTable[[#This Row],[Quantity]]*OrdersTable[[#This Row],[Unit Price]]</f>
        <v>499</v>
      </c>
      <c r="T1766" s="5">
        <f>OrdersTable[[#This Row],[Gross Sale]]*OrdersTable[[#This Row],[Discount_Clean2]]</f>
        <v>99.800000000000011</v>
      </c>
      <c r="U1766" s="5">
        <f>OrdersTable[[#This Row],[Gross Sale]]-OrdersTable[[#This Row],[Discount Amount]]</f>
        <v>399.2</v>
      </c>
      <c r="V1766" s="77">
        <f>INDEX(Products!E:E,MATCH(OrdersTable[[#This Row],[Product ID]],Products!A:A,0))</f>
        <v>200</v>
      </c>
      <c r="W1766" s="77">
        <f>OrdersTable[[#This Row],[Quantity]]*OrdersTable[[#This Row],[Unit Cost]]</f>
        <v>200</v>
      </c>
      <c r="X1766" s="77">
        <f>'Dropdown Lists'!$I$2*(1+OrdersTable[[#This Row],[Returned]])</f>
        <v>60</v>
      </c>
      <c r="Y1766" s="76">
        <f>OrdersTable[[#This Row],[Net Revenue]]-OrdersTable[[#This Row],[COGS]]-OrdersTable[[#This Row],[Shipping Cost]]</f>
        <v>139.19999999999999</v>
      </c>
      <c r="Z1766" s="78">
        <f>IFERROR(OrdersTable[[#This Row],[Profit]]/OrdersTable[[#This Row],[Net Revenue]],0)</f>
        <v>0.34869739478957912</v>
      </c>
      <c r="AA1766" t="s">
        <v>18</v>
      </c>
      <c r="AB1766" s="79">
        <v>45611</v>
      </c>
      <c r="AC1766">
        <f>OrdersTable[[#This Row],[Delivery Date]]-OrdersTable[[#This Row],[Order Date]]</f>
        <v>5</v>
      </c>
      <c r="AD1766" t="str">
        <f>IF(OrdersTable[[#This Row],[Delivery Days]]&lt;=2, "Express (≤2d)", IF(OrdersTable[[#This Row],[Delivery Days]]&lt;=4, "Standard (3-4d)", "Delayed (5d+)"))</f>
        <v>Delayed (5d+)</v>
      </c>
      <c r="AE1766">
        <v>3</v>
      </c>
      <c r="AF1766">
        <v>0</v>
      </c>
    </row>
    <row r="1767" spans="1:32" ht="15" x14ac:dyDescent="0.35">
      <c r="A1767" t="s">
        <v>3229</v>
      </c>
      <c r="B1767" s="1">
        <v>45606</v>
      </c>
      <c r="C1767">
        <f>YEAR(OrdersTable[[#This Row],[Order Date]])</f>
        <v>2024</v>
      </c>
      <c r="D1767" s="2">
        <f>DATE(YEAR(OrdersTable[[#This Row],[Order Date]]),MONTH(OrdersTable[[#This Row],[Order Date]]),1)</f>
        <v>45597</v>
      </c>
      <c r="E1767">
        <f>MONTH(OrdersTable[[#This Row],[Order Date]])</f>
        <v>11</v>
      </c>
      <c r="F1767" t="s">
        <v>2912</v>
      </c>
      <c r="G1767" t="str">
        <f>IF(OrdersTable[[#This Row],[Order Date]]=_xlfn.MINIFS(Order_Date, Customer_ID, OrdersTable[[#This Row],[Customer ID]]), "New", "Repeat")</f>
        <v>Repeat</v>
      </c>
      <c r="H1767" t="s">
        <v>316</v>
      </c>
      <c r="I1767" t="str">
        <f>INDEX(State!B:B,MATCH(OrdersTable[[#This Row],[State]],State!A:A,0))</f>
        <v>KL</v>
      </c>
      <c r="J1767" t="str">
        <f>INDEX(State!C:C,MATCH(OrdersTable[[#This Row],[State Code]],State!B:B,0))</f>
        <v>South</v>
      </c>
      <c r="K1767" t="s">
        <v>338</v>
      </c>
      <c r="L1767" t="s">
        <v>39</v>
      </c>
      <c r="M1767" t="s">
        <v>106</v>
      </c>
      <c r="N1767" t="str">
        <f>INDEX(Products!B:B,MATCH(OrdersTable[[#This Row],[Product ID]],Products!A:A,0))</f>
        <v>Keratin Hair Mask</v>
      </c>
      <c r="O1767" t="str">
        <f>INDEX(Products!C:C,MATCH(OrdersTable[[#This Row],[Product ID]],Products!A:A,0))</f>
        <v>Haircare</v>
      </c>
      <c r="P1767">
        <v>1</v>
      </c>
      <c r="Q1767" s="5">
        <v>549</v>
      </c>
      <c r="R1767" s="74">
        <v>0.2</v>
      </c>
      <c r="S1767" s="75">
        <f>OrdersTable[[#This Row],[Quantity]]*OrdersTable[[#This Row],[Unit Price]]</f>
        <v>549</v>
      </c>
      <c r="T1767" s="5">
        <f>OrdersTable[[#This Row],[Gross Sale]]*OrdersTable[[#This Row],[Discount_Clean2]]</f>
        <v>109.80000000000001</v>
      </c>
      <c r="U1767" s="5">
        <f>OrdersTable[[#This Row],[Gross Sale]]-OrdersTable[[#This Row],[Discount Amount]]</f>
        <v>439.2</v>
      </c>
      <c r="V1767" s="77">
        <f>INDEX(Products!E:E,MATCH(OrdersTable[[#This Row],[Product ID]],Products!A:A,0))</f>
        <v>170</v>
      </c>
      <c r="W1767" s="77">
        <f>OrdersTable[[#This Row],[Quantity]]*OrdersTable[[#This Row],[Unit Cost]]</f>
        <v>170</v>
      </c>
      <c r="X1767" s="77">
        <f>'Dropdown Lists'!$I$2*(1+OrdersTable[[#This Row],[Returned]])</f>
        <v>60</v>
      </c>
      <c r="Y1767" s="76">
        <f>OrdersTable[[#This Row],[Net Revenue]]-OrdersTable[[#This Row],[COGS]]-OrdersTable[[#This Row],[Shipping Cost]]</f>
        <v>209.2</v>
      </c>
      <c r="Z1767" s="78">
        <f>IFERROR(OrdersTable[[#This Row],[Profit]]/OrdersTable[[#This Row],[Net Revenue]],0)</f>
        <v>0.47632058287795992</v>
      </c>
      <c r="AA1767" t="s">
        <v>2522</v>
      </c>
      <c r="AB1767" s="79">
        <v>45612</v>
      </c>
      <c r="AC1767">
        <f>OrdersTable[[#This Row],[Delivery Date]]-OrdersTable[[#This Row],[Order Date]]</f>
        <v>6</v>
      </c>
      <c r="AD1767" t="str">
        <f>IF(OrdersTable[[#This Row],[Delivery Days]]&lt;=2, "Express (≤2d)", IF(OrdersTable[[#This Row],[Delivery Days]]&lt;=4, "Standard (3-4d)", "Delayed (5d+)"))</f>
        <v>Delayed (5d+)</v>
      </c>
      <c r="AE1767">
        <v>4</v>
      </c>
      <c r="AF1767">
        <v>0</v>
      </c>
    </row>
    <row r="1768" spans="1:32" ht="15" x14ac:dyDescent="0.35">
      <c r="A1768" t="s">
        <v>2987</v>
      </c>
      <c r="B1768" s="1">
        <v>45607</v>
      </c>
      <c r="C1768">
        <f>YEAR(OrdersTable[[#This Row],[Order Date]])</f>
        <v>2024</v>
      </c>
      <c r="D1768" s="2">
        <f>DATE(YEAR(OrdersTable[[#This Row],[Order Date]]),MONTH(OrdersTable[[#This Row],[Order Date]]),1)</f>
        <v>45597</v>
      </c>
      <c r="E1768">
        <f>MONTH(OrdersTable[[#This Row],[Order Date]])</f>
        <v>11</v>
      </c>
      <c r="F1768" t="s">
        <v>2988</v>
      </c>
      <c r="G1768" t="str">
        <f>IF(OrdersTable[[#This Row],[Order Date]]=_xlfn.MINIFS(Order_Date, Customer_ID, OrdersTable[[#This Row],[Customer ID]]), "New", "Repeat")</f>
        <v>Repeat</v>
      </c>
      <c r="H1768" t="s">
        <v>21</v>
      </c>
      <c r="I1768" t="str">
        <f>INDEX(State!B:B,MATCH(OrdersTable[[#This Row],[State]],State!A:A,0))</f>
        <v>PB</v>
      </c>
      <c r="J1768" t="str">
        <f>INDEX(State!C:C,MATCH(OrdersTable[[#This Row],[State Code]],State!B:B,0))</f>
        <v>North</v>
      </c>
      <c r="K1768" t="s">
        <v>22</v>
      </c>
      <c r="L1768" t="s">
        <v>50</v>
      </c>
      <c r="M1768" t="s">
        <v>61</v>
      </c>
      <c r="N1768" t="str">
        <f>INDEX(Products!B:B,MATCH(OrdersTable[[#This Row],[Product ID]],Products!A:A,0))</f>
        <v>Multivitamin Gummies</v>
      </c>
      <c r="O1768" t="str">
        <f>INDEX(Products!C:C,MATCH(OrdersTable[[#This Row],[Product ID]],Products!A:A,0))</f>
        <v>Wellness</v>
      </c>
      <c r="P1768">
        <v>1</v>
      </c>
      <c r="Q1768" s="5">
        <v>699</v>
      </c>
      <c r="R1768" s="74">
        <v>0.25</v>
      </c>
      <c r="S1768" s="75">
        <f>OrdersTable[[#This Row],[Quantity]]*OrdersTable[[#This Row],[Unit Price]]</f>
        <v>699</v>
      </c>
      <c r="T1768" s="5">
        <f>OrdersTable[[#This Row],[Gross Sale]]*OrdersTable[[#This Row],[Discount_Clean2]]</f>
        <v>174.75</v>
      </c>
      <c r="U1768" s="5">
        <f>OrdersTable[[#This Row],[Gross Sale]]-OrdersTable[[#This Row],[Discount Amount]]</f>
        <v>524.25</v>
      </c>
      <c r="V1768" s="77">
        <f>INDEX(Products!E:E,MATCH(OrdersTable[[#This Row],[Product ID]],Products!A:A,0))</f>
        <v>238</v>
      </c>
      <c r="W1768" s="77">
        <f>OrdersTable[[#This Row],[Quantity]]*OrdersTable[[#This Row],[Unit Cost]]</f>
        <v>238</v>
      </c>
      <c r="X1768" s="77">
        <f>'Dropdown Lists'!$I$2*(1+OrdersTable[[#This Row],[Returned]])</f>
        <v>60</v>
      </c>
      <c r="Y1768" s="76">
        <f>OrdersTable[[#This Row],[Net Revenue]]-OrdersTable[[#This Row],[COGS]]-OrdersTable[[#This Row],[Shipping Cost]]</f>
        <v>226.25</v>
      </c>
      <c r="Z1768" s="78">
        <f>IFERROR(OrdersTable[[#This Row],[Profit]]/OrdersTable[[#This Row],[Net Revenue]],0)</f>
        <v>0.43156890796375774</v>
      </c>
      <c r="AA1768" t="s">
        <v>2522</v>
      </c>
      <c r="AB1768" s="79">
        <v>45610</v>
      </c>
      <c r="AC1768">
        <f>OrdersTable[[#This Row],[Delivery Date]]-OrdersTable[[#This Row],[Order Date]]</f>
        <v>3</v>
      </c>
      <c r="AD1768" t="str">
        <f>IF(OrdersTable[[#This Row],[Delivery Days]]&lt;=2, "Express (≤2d)", IF(OrdersTable[[#This Row],[Delivery Days]]&lt;=4, "Standard (3-4d)", "Delayed (5d+)"))</f>
        <v>Standard (3-4d)</v>
      </c>
      <c r="AF1768">
        <v>0</v>
      </c>
    </row>
    <row r="1769" spans="1:32" ht="15" x14ac:dyDescent="0.35">
      <c r="A1769" t="s">
        <v>2114</v>
      </c>
      <c r="B1769" s="1">
        <v>45607</v>
      </c>
      <c r="C1769">
        <f>YEAR(OrdersTable[[#This Row],[Order Date]])</f>
        <v>2024</v>
      </c>
      <c r="D1769" s="2">
        <f>DATE(YEAR(OrdersTable[[#This Row],[Order Date]]),MONTH(OrdersTable[[#This Row],[Order Date]]),1)</f>
        <v>45597</v>
      </c>
      <c r="E1769">
        <f>MONTH(OrdersTable[[#This Row],[Order Date]])</f>
        <v>11</v>
      </c>
      <c r="F1769" t="s">
        <v>2115</v>
      </c>
      <c r="G1769" t="str">
        <f>IF(OrdersTable[[#This Row],[Order Date]]=_xlfn.MINIFS(Order_Date, Customer_ID, OrdersTable[[#This Row],[Customer ID]]), "New", "Repeat")</f>
        <v>Repeat</v>
      </c>
      <c r="H1769" t="s">
        <v>54</v>
      </c>
      <c r="I1769" t="str">
        <f>INDEX(State!B:B,MATCH(OrdersTable[[#This Row],[State]],State!A:A,0))</f>
        <v>RJ</v>
      </c>
      <c r="J1769" t="str">
        <f>INDEX(State!C:C,MATCH(OrdersTable[[#This Row],[State Code]],State!B:B,0))</f>
        <v>North</v>
      </c>
      <c r="K1769" t="s">
        <v>227</v>
      </c>
      <c r="L1769" t="s">
        <v>65</v>
      </c>
      <c r="M1769" t="s">
        <v>173</v>
      </c>
      <c r="N1769" t="str">
        <f>INDEX(Products!B:B,MATCH(OrdersTable[[#This Row],[Product ID]],Products!A:A,0))</f>
        <v>Wireless Earbuds</v>
      </c>
      <c r="O1769" t="str">
        <f>INDEX(Products!C:C,MATCH(OrdersTable[[#This Row],[Product ID]],Products!A:A,0))</f>
        <v>Electronics</v>
      </c>
      <c r="P1769">
        <v>1</v>
      </c>
      <c r="Q1769" s="5">
        <v>1999</v>
      </c>
      <c r="R1769" s="74">
        <v>0.5</v>
      </c>
      <c r="S1769" s="75">
        <f>OrdersTable[[#This Row],[Quantity]]*OrdersTable[[#This Row],[Unit Price]]</f>
        <v>1999</v>
      </c>
      <c r="T1769" s="5">
        <f>OrdersTable[[#This Row],[Gross Sale]]*OrdersTable[[#This Row],[Discount_Clean2]]</f>
        <v>999.5</v>
      </c>
      <c r="U1769" s="5">
        <f>OrdersTable[[#This Row],[Gross Sale]]-OrdersTable[[#This Row],[Discount Amount]]</f>
        <v>999.5</v>
      </c>
      <c r="V1769" s="77">
        <f>INDEX(Products!E:E,MATCH(OrdersTable[[#This Row],[Product ID]],Products!A:A,0))</f>
        <v>1239</v>
      </c>
      <c r="W1769" s="77">
        <f>OrdersTable[[#This Row],[Quantity]]*OrdersTable[[#This Row],[Unit Cost]]</f>
        <v>1239</v>
      </c>
      <c r="X1769" s="77">
        <f>'Dropdown Lists'!$I$2*(1+OrdersTable[[#This Row],[Returned]])</f>
        <v>60</v>
      </c>
      <c r="Y1769" s="76">
        <f>OrdersTable[[#This Row],[Net Revenue]]-OrdersTable[[#This Row],[COGS]]-OrdersTable[[#This Row],[Shipping Cost]]</f>
        <v>-299.5</v>
      </c>
      <c r="Z1769" s="78">
        <f>IFERROR(OrdersTable[[#This Row],[Profit]]/OrdersTable[[#This Row],[Net Revenue]],0)</f>
        <v>-0.29964982491245623</v>
      </c>
      <c r="AA1769" t="s">
        <v>18</v>
      </c>
      <c r="AB1769" s="79">
        <v>45612</v>
      </c>
      <c r="AC1769">
        <f>OrdersTable[[#This Row],[Delivery Date]]-OrdersTable[[#This Row],[Order Date]]</f>
        <v>5</v>
      </c>
      <c r="AD1769" t="str">
        <f>IF(OrdersTable[[#This Row],[Delivery Days]]&lt;=2, "Express (≤2d)", IF(OrdersTable[[#This Row],[Delivery Days]]&lt;=4, "Standard (3-4d)", "Delayed (5d+)"))</f>
        <v>Delayed (5d+)</v>
      </c>
      <c r="AE1769">
        <v>3</v>
      </c>
      <c r="AF1769">
        <v>0</v>
      </c>
    </row>
    <row r="1770" spans="1:32" ht="15" x14ac:dyDescent="0.35">
      <c r="A1770" t="s">
        <v>5497</v>
      </c>
      <c r="B1770" s="1">
        <v>45607</v>
      </c>
      <c r="C1770">
        <f>YEAR(OrdersTable[[#This Row],[Order Date]])</f>
        <v>2024</v>
      </c>
      <c r="D1770" s="2">
        <f>DATE(YEAR(OrdersTable[[#This Row],[Order Date]]),MONTH(OrdersTable[[#This Row],[Order Date]]),1)</f>
        <v>45597</v>
      </c>
      <c r="E1770">
        <f>MONTH(OrdersTable[[#This Row],[Order Date]])</f>
        <v>11</v>
      </c>
      <c r="F1770" t="s">
        <v>5498</v>
      </c>
      <c r="G1770" t="str">
        <f>IF(OrdersTable[[#This Row],[Order Date]]=_xlfn.MINIFS(Order_Date, Customer_ID, OrdersTable[[#This Row],[Customer ID]]), "New", "Repeat")</f>
        <v>New</v>
      </c>
      <c r="H1770" t="s">
        <v>32</v>
      </c>
      <c r="I1770" t="str">
        <f>INDEX(State!B:B,MATCH(OrdersTable[[#This Row],[State]],State!A:A,0))</f>
        <v>BR</v>
      </c>
      <c r="J1770" t="str">
        <f>INDEX(State!C:C,MATCH(OrdersTable[[#This Row],[State Code]],State!B:B,0))</f>
        <v>East</v>
      </c>
      <c r="K1770" t="s">
        <v>33</v>
      </c>
      <c r="L1770" t="s">
        <v>23</v>
      </c>
      <c r="M1770" t="s">
        <v>61</v>
      </c>
      <c r="N1770" t="str">
        <f>INDEX(Products!B:B,MATCH(OrdersTable[[#This Row],[Product ID]],Products!A:A,0))</f>
        <v>Multivitamin Gummies</v>
      </c>
      <c r="O1770" t="str">
        <f>INDEX(Products!C:C,MATCH(OrdersTable[[#This Row],[Product ID]],Products!A:A,0))</f>
        <v>Wellness</v>
      </c>
      <c r="P1770">
        <v>2</v>
      </c>
      <c r="Q1770" s="5">
        <v>699</v>
      </c>
      <c r="R1770" s="74">
        <v>0.4</v>
      </c>
      <c r="S1770" s="75">
        <f>OrdersTable[[#This Row],[Quantity]]*OrdersTable[[#This Row],[Unit Price]]</f>
        <v>1398</v>
      </c>
      <c r="T1770" s="5">
        <f>OrdersTable[[#This Row],[Gross Sale]]*OrdersTable[[#This Row],[Discount_Clean2]]</f>
        <v>559.20000000000005</v>
      </c>
      <c r="U1770" s="5">
        <f>OrdersTable[[#This Row],[Gross Sale]]-OrdersTable[[#This Row],[Discount Amount]]</f>
        <v>838.8</v>
      </c>
      <c r="V1770" s="77">
        <f>INDEX(Products!E:E,MATCH(OrdersTable[[#This Row],[Product ID]],Products!A:A,0))</f>
        <v>238</v>
      </c>
      <c r="W1770" s="77">
        <f>OrdersTable[[#This Row],[Quantity]]*OrdersTable[[#This Row],[Unit Cost]]</f>
        <v>476</v>
      </c>
      <c r="X1770" s="77">
        <f>'Dropdown Lists'!$I$2*(1+OrdersTable[[#This Row],[Returned]])</f>
        <v>60</v>
      </c>
      <c r="Y1770" s="76">
        <f>OrdersTable[[#This Row],[Net Revenue]]-OrdersTable[[#This Row],[COGS]]-OrdersTable[[#This Row],[Shipping Cost]]</f>
        <v>302.79999999999995</v>
      </c>
      <c r="Z1770" s="78">
        <f>IFERROR(OrdersTable[[#This Row],[Profit]]/OrdersTable[[#This Row],[Net Revenue]],0)</f>
        <v>0.36099189318073432</v>
      </c>
      <c r="AA1770" t="s">
        <v>2522</v>
      </c>
      <c r="AB1770" s="79">
        <v>45614</v>
      </c>
      <c r="AC1770">
        <f>OrdersTable[[#This Row],[Delivery Date]]-OrdersTable[[#This Row],[Order Date]]</f>
        <v>7</v>
      </c>
      <c r="AD1770" t="str">
        <f>IF(OrdersTable[[#This Row],[Delivery Days]]&lt;=2, "Express (≤2d)", IF(OrdersTable[[#This Row],[Delivery Days]]&lt;=4, "Standard (3-4d)", "Delayed (5d+)"))</f>
        <v>Delayed (5d+)</v>
      </c>
      <c r="AE1770">
        <v>4</v>
      </c>
      <c r="AF1770">
        <v>0</v>
      </c>
    </row>
    <row r="1771" spans="1:32" ht="15" x14ac:dyDescent="0.35">
      <c r="A1771" t="s">
        <v>3996</v>
      </c>
      <c r="B1771" s="1">
        <v>45607</v>
      </c>
      <c r="C1771">
        <f>YEAR(OrdersTable[[#This Row],[Order Date]])</f>
        <v>2024</v>
      </c>
      <c r="D1771" s="2">
        <f>DATE(YEAR(OrdersTable[[#This Row],[Order Date]]),MONTH(OrdersTable[[#This Row],[Order Date]]),1)</f>
        <v>45597</v>
      </c>
      <c r="E1771">
        <f>MONTH(OrdersTable[[#This Row],[Order Date]])</f>
        <v>11</v>
      </c>
      <c r="F1771" t="s">
        <v>3997</v>
      </c>
      <c r="G1771" t="str">
        <f>IF(OrdersTable[[#This Row],[Order Date]]=_xlfn.MINIFS(Order_Date, Customer_ID, OrdersTable[[#This Row],[Customer ID]]), "New", "Repeat")</f>
        <v>New</v>
      </c>
      <c r="H1771" t="s">
        <v>43</v>
      </c>
      <c r="I1771" t="str">
        <f>INDEX(State!B:B,MATCH(OrdersTable[[#This Row],[State]],State!A:A,0))</f>
        <v>MP</v>
      </c>
      <c r="J1771" t="str">
        <f>INDEX(State!C:C,MATCH(OrdersTable[[#This Row],[State Code]],State!B:B,0))</f>
        <v>West</v>
      </c>
      <c r="K1771" t="s">
        <v>250</v>
      </c>
      <c r="L1771" t="s">
        <v>65</v>
      </c>
      <c r="M1771" t="s">
        <v>29</v>
      </c>
      <c r="N1771" t="str">
        <f>INDEX(Products!B:B,MATCH(OrdersTable[[#This Row],[Product ID]],Products!A:A,0))</f>
        <v>Joggers</v>
      </c>
      <c r="O1771" t="str">
        <f>INDEX(Products!C:C,MATCH(OrdersTable[[#This Row],[Product ID]],Products!A:A,0))</f>
        <v>Apparel</v>
      </c>
      <c r="P1771">
        <v>1</v>
      </c>
      <c r="Q1771" s="5">
        <v>1199</v>
      </c>
      <c r="R1771" s="74">
        <v>0.25</v>
      </c>
      <c r="S1771" s="75">
        <f>OrdersTable[[#This Row],[Quantity]]*OrdersTable[[#This Row],[Unit Price]]</f>
        <v>1199</v>
      </c>
      <c r="T1771" s="5">
        <f>OrdersTable[[#This Row],[Gross Sale]]*OrdersTable[[#This Row],[Discount_Clean2]]</f>
        <v>299.75</v>
      </c>
      <c r="U1771" s="5">
        <f>OrdersTable[[#This Row],[Gross Sale]]-OrdersTable[[#This Row],[Discount Amount]]</f>
        <v>899.25</v>
      </c>
      <c r="V1771" s="77">
        <f>INDEX(Products!E:E,MATCH(OrdersTable[[#This Row],[Product ID]],Products!A:A,0))</f>
        <v>492</v>
      </c>
      <c r="W1771" s="77">
        <f>OrdersTable[[#This Row],[Quantity]]*OrdersTable[[#This Row],[Unit Cost]]</f>
        <v>492</v>
      </c>
      <c r="X1771" s="77">
        <f>'Dropdown Lists'!$I$2*(1+OrdersTable[[#This Row],[Returned]])</f>
        <v>60</v>
      </c>
      <c r="Y1771" s="76">
        <f>OrdersTable[[#This Row],[Net Revenue]]-OrdersTable[[#This Row],[COGS]]-OrdersTable[[#This Row],[Shipping Cost]]</f>
        <v>347.25</v>
      </c>
      <c r="Z1771" s="78">
        <f>IFERROR(OrdersTable[[#This Row],[Profit]]/OrdersTable[[#This Row],[Net Revenue]],0)</f>
        <v>0.38615512927439533</v>
      </c>
      <c r="AA1771" t="s">
        <v>3495</v>
      </c>
      <c r="AB1771" s="79">
        <v>45610</v>
      </c>
      <c r="AC1771">
        <f>OrdersTable[[#This Row],[Delivery Date]]-OrdersTable[[#This Row],[Order Date]]</f>
        <v>3</v>
      </c>
      <c r="AD1771" t="str">
        <f>IF(OrdersTable[[#This Row],[Delivery Days]]&lt;=2, "Express (≤2d)", IF(OrdersTable[[#This Row],[Delivery Days]]&lt;=4, "Standard (3-4d)", "Delayed (5d+)"))</f>
        <v>Standard (3-4d)</v>
      </c>
      <c r="AE1771">
        <v>5</v>
      </c>
      <c r="AF1771">
        <v>0</v>
      </c>
    </row>
    <row r="1772" spans="1:32" ht="15" x14ac:dyDescent="0.35">
      <c r="A1772" t="s">
        <v>6109</v>
      </c>
      <c r="B1772" s="1">
        <v>45607</v>
      </c>
      <c r="C1772">
        <f>YEAR(OrdersTable[[#This Row],[Order Date]])</f>
        <v>2024</v>
      </c>
      <c r="D1772" s="2">
        <f>DATE(YEAR(OrdersTable[[#This Row],[Order Date]]),MONTH(OrdersTable[[#This Row],[Order Date]]),1)</f>
        <v>45597</v>
      </c>
      <c r="E1772">
        <f>MONTH(OrdersTable[[#This Row],[Order Date]])</f>
        <v>11</v>
      </c>
      <c r="F1772" t="s">
        <v>1241</v>
      </c>
      <c r="G1772" t="str">
        <f>IF(OrdersTable[[#This Row],[Order Date]]=_xlfn.MINIFS(Order_Date, Customer_ID, OrdersTable[[#This Row],[Customer ID]]), "New", "Repeat")</f>
        <v>Repeat</v>
      </c>
      <c r="H1772" t="s">
        <v>27</v>
      </c>
      <c r="I1772" t="str">
        <f>INDEX(State!B:B,MATCH(OrdersTable[[#This Row],[State]],State!A:A,0))</f>
        <v>WB</v>
      </c>
      <c r="J1772" t="str">
        <f>INDEX(State!C:C,MATCH(OrdersTable[[#This Row],[State Code]],State!B:B,0))</f>
        <v>East</v>
      </c>
      <c r="K1772" t="s">
        <v>28</v>
      </c>
      <c r="L1772" t="s">
        <v>65</v>
      </c>
      <c r="M1772" t="s">
        <v>423</v>
      </c>
      <c r="N1772" t="str">
        <f>INDEX(Products!B:B,MATCH(OrdersTable[[#This Row],[Product ID]],Products!A:A,0))</f>
        <v>Power Bank 20000mAh</v>
      </c>
      <c r="O1772" t="str">
        <f>INDEX(Products!C:C,MATCH(OrdersTable[[#This Row],[Product ID]],Products!A:A,0))</f>
        <v>Electronics</v>
      </c>
      <c r="P1772">
        <v>2</v>
      </c>
      <c r="Q1772" s="5">
        <v>1799</v>
      </c>
      <c r="R1772" s="74">
        <v>0.4</v>
      </c>
      <c r="S1772" s="75">
        <f>OrdersTable[[#This Row],[Quantity]]*OrdersTable[[#This Row],[Unit Price]]</f>
        <v>3598</v>
      </c>
      <c r="T1772" s="5">
        <f>OrdersTable[[#This Row],[Gross Sale]]*OrdersTable[[#This Row],[Discount_Clean2]]</f>
        <v>1439.2</v>
      </c>
      <c r="U1772" s="5">
        <f>OrdersTable[[#This Row],[Gross Sale]]-OrdersTable[[#This Row],[Discount Amount]]</f>
        <v>2158.8000000000002</v>
      </c>
      <c r="V1772" s="77">
        <f>INDEX(Products!E:E,MATCH(OrdersTable[[#This Row],[Product ID]],Products!A:A,0))</f>
        <v>1079</v>
      </c>
      <c r="W1772" s="77">
        <f>OrdersTable[[#This Row],[Quantity]]*OrdersTable[[#This Row],[Unit Cost]]</f>
        <v>2158</v>
      </c>
      <c r="X1772" s="77">
        <f>'Dropdown Lists'!$I$2*(1+OrdersTable[[#This Row],[Returned]])</f>
        <v>60</v>
      </c>
      <c r="Y1772" s="76">
        <f>OrdersTable[[#This Row],[Net Revenue]]-OrdersTable[[#This Row],[COGS]]-OrdersTable[[#This Row],[Shipping Cost]]</f>
        <v>-59.199999999999818</v>
      </c>
      <c r="Z1772" s="78">
        <f>IFERROR(OrdersTable[[#This Row],[Profit]]/OrdersTable[[#This Row],[Net Revenue]],0)</f>
        <v>-2.742264220863434E-2</v>
      </c>
      <c r="AA1772" t="s">
        <v>18</v>
      </c>
      <c r="AB1772" s="79">
        <v>45610</v>
      </c>
      <c r="AC1772">
        <f>OrdersTable[[#This Row],[Delivery Date]]-OrdersTable[[#This Row],[Order Date]]</f>
        <v>3</v>
      </c>
      <c r="AD1772" t="str">
        <f>IF(OrdersTable[[#This Row],[Delivery Days]]&lt;=2, "Express (≤2d)", IF(OrdersTable[[#This Row],[Delivery Days]]&lt;=4, "Standard (3-4d)", "Delayed (5d+)"))</f>
        <v>Standard (3-4d)</v>
      </c>
      <c r="AE1772">
        <v>4</v>
      </c>
      <c r="AF1772">
        <v>0</v>
      </c>
    </row>
    <row r="1773" spans="1:32" ht="15" x14ac:dyDescent="0.35">
      <c r="A1773" t="s">
        <v>4109</v>
      </c>
      <c r="B1773" s="1">
        <v>45607</v>
      </c>
      <c r="C1773">
        <f>YEAR(OrdersTable[[#This Row],[Order Date]])</f>
        <v>2024</v>
      </c>
      <c r="D1773" s="2">
        <f>DATE(YEAR(OrdersTable[[#This Row],[Order Date]]),MONTH(OrdersTable[[#This Row],[Order Date]]),1)</f>
        <v>45597</v>
      </c>
      <c r="E1773">
        <f>MONTH(OrdersTable[[#This Row],[Order Date]])</f>
        <v>11</v>
      </c>
      <c r="F1773" t="s">
        <v>4110</v>
      </c>
      <c r="G1773" t="str">
        <f>IF(OrdersTable[[#This Row],[Order Date]]=_xlfn.MINIFS(Order_Date, Customer_ID, OrdersTable[[#This Row],[Customer ID]]), "New", "Repeat")</f>
        <v>New</v>
      </c>
      <c r="H1773" t="s">
        <v>27</v>
      </c>
      <c r="I1773" t="str">
        <f>INDEX(State!B:B,MATCH(OrdersTable[[#This Row],[State]],State!A:A,0))</f>
        <v>WB</v>
      </c>
      <c r="J1773" t="str">
        <f>INDEX(State!C:C,MATCH(OrdersTable[[#This Row],[State Code]],State!B:B,0))</f>
        <v>East</v>
      </c>
      <c r="K1773" t="s">
        <v>28</v>
      </c>
      <c r="L1773" t="s">
        <v>23</v>
      </c>
      <c r="M1773" t="s">
        <v>29</v>
      </c>
      <c r="N1773" t="str">
        <f>INDEX(Products!B:B,MATCH(OrdersTable[[#This Row],[Product ID]],Products!A:A,0))</f>
        <v>Joggers</v>
      </c>
      <c r="O1773" t="str">
        <f>INDEX(Products!C:C,MATCH(OrdersTable[[#This Row],[Product ID]],Products!A:A,0))</f>
        <v>Apparel</v>
      </c>
      <c r="P1773">
        <v>1</v>
      </c>
      <c r="Q1773" s="5">
        <v>1199</v>
      </c>
      <c r="R1773" s="74">
        <v>0.15</v>
      </c>
      <c r="S1773" s="75">
        <f>OrdersTable[[#This Row],[Quantity]]*OrdersTable[[#This Row],[Unit Price]]</f>
        <v>1199</v>
      </c>
      <c r="T1773" s="5">
        <f>OrdersTable[[#This Row],[Gross Sale]]*OrdersTable[[#This Row],[Discount_Clean2]]</f>
        <v>179.85</v>
      </c>
      <c r="U1773" s="5">
        <f>OrdersTable[[#This Row],[Gross Sale]]-OrdersTable[[#This Row],[Discount Amount]]</f>
        <v>1019.15</v>
      </c>
      <c r="V1773" s="77">
        <f>INDEX(Products!E:E,MATCH(OrdersTable[[#This Row],[Product ID]],Products!A:A,0))</f>
        <v>492</v>
      </c>
      <c r="W1773" s="77">
        <f>OrdersTable[[#This Row],[Quantity]]*OrdersTable[[#This Row],[Unit Cost]]</f>
        <v>492</v>
      </c>
      <c r="X1773" s="77">
        <f>'Dropdown Lists'!$I$2*(1+OrdersTable[[#This Row],[Returned]])</f>
        <v>60</v>
      </c>
      <c r="Y1773" s="76">
        <f>OrdersTable[[#This Row],[Net Revenue]]-OrdersTable[[#This Row],[COGS]]-OrdersTable[[#This Row],[Shipping Cost]]</f>
        <v>467.15</v>
      </c>
      <c r="Z1773" s="78">
        <f>IFERROR(OrdersTable[[#This Row],[Profit]]/OrdersTable[[#This Row],[Net Revenue]],0)</f>
        <v>0.45837217288917231</v>
      </c>
      <c r="AA1773" t="s">
        <v>4074</v>
      </c>
      <c r="AB1773" s="79">
        <v>45613</v>
      </c>
      <c r="AC1773">
        <f>OrdersTable[[#This Row],[Delivery Date]]-OrdersTable[[#This Row],[Order Date]]</f>
        <v>6</v>
      </c>
      <c r="AD1773" t="str">
        <f>IF(OrdersTable[[#This Row],[Delivery Days]]&lt;=2, "Express (≤2d)", IF(OrdersTable[[#This Row],[Delivery Days]]&lt;=4, "Standard (3-4d)", "Delayed (5d+)"))</f>
        <v>Delayed (5d+)</v>
      </c>
      <c r="AE1773">
        <v>5</v>
      </c>
      <c r="AF1773">
        <v>0</v>
      </c>
    </row>
    <row r="1774" spans="1:32" ht="15" x14ac:dyDescent="0.35">
      <c r="A1774" t="s">
        <v>218</v>
      </c>
      <c r="B1774" s="1">
        <v>45607</v>
      </c>
      <c r="C1774">
        <f>YEAR(OrdersTable[[#This Row],[Order Date]])</f>
        <v>2024</v>
      </c>
      <c r="D1774" s="2">
        <f>DATE(YEAR(OrdersTable[[#This Row],[Order Date]]),MONTH(OrdersTable[[#This Row],[Order Date]]),1)</f>
        <v>45597</v>
      </c>
      <c r="E1774">
        <f>MONTH(OrdersTable[[#This Row],[Order Date]])</f>
        <v>11</v>
      </c>
      <c r="F1774" t="s">
        <v>117</v>
      </c>
      <c r="G1774" t="str">
        <f>IF(OrdersTable[[#This Row],[Order Date]]=_xlfn.MINIFS(Order_Date, Customer_ID, OrdersTable[[#This Row],[Customer ID]]), "New", "Repeat")</f>
        <v>Repeat</v>
      </c>
      <c r="H1774" t="s">
        <v>71</v>
      </c>
      <c r="I1774" t="str">
        <f>INDEX(State!B:B,MATCH(OrdersTable[[#This Row],[State]],State!A:A,0))</f>
        <v>MH</v>
      </c>
      <c r="J1774" t="str">
        <f>INDEX(State!C:C,MATCH(OrdersTable[[#This Row],[State Code]],State!B:B,0))</f>
        <v>West</v>
      </c>
      <c r="K1774" t="s">
        <v>72</v>
      </c>
      <c r="L1774" t="s">
        <v>65</v>
      </c>
      <c r="M1774" t="s">
        <v>66</v>
      </c>
      <c r="N1774" t="str">
        <f>INDEX(Products!B:B,MATCH(OrdersTable[[#This Row],[Product ID]],Products!A:A,0))</f>
        <v>Sunscreen SPF 50</v>
      </c>
      <c r="O1774" t="str">
        <f>INDEX(Products!C:C,MATCH(OrdersTable[[#This Row],[Product ID]],Products!A:A,0))</f>
        <v>Skincare</v>
      </c>
      <c r="P1774">
        <v>1</v>
      </c>
      <c r="Q1774" s="5">
        <v>449</v>
      </c>
      <c r="R1774" s="74">
        <v>0.1</v>
      </c>
      <c r="S1774" s="75">
        <f>OrdersTable[[#This Row],[Quantity]]*OrdersTable[[#This Row],[Unit Price]]</f>
        <v>449</v>
      </c>
      <c r="T1774" s="5">
        <f>OrdersTable[[#This Row],[Gross Sale]]*OrdersTable[[#This Row],[Discount_Clean2]]</f>
        <v>44.900000000000006</v>
      </c>
      <c r="U1774" s="5">
        <f>OrdersTable[[#This Row],[Gross Sale]]-OrdersTable[[#This Row],[Discount Amount]]</f>
        <v>404.1</v>
      </c>
      <c r="V1774" s="77">
        <f>INDEX(Products!E:E,MATCH(OrdersTable[[#This Row],[Product ID]],Products!A:A,0))</f>
        <v>144</v>
      </c>
      <c r="W1774" s="77">
        <f>OrdersTable[[#This Row],[Quantity]]*OrdersTable[[#This Row],[Unit Cost]]</f>
        <v>144</v>
      </c>
      <c r="X1774" s="77">
        <f>'Dropdown Lists'!$I$2*(1+OrdersTable[[#This Row],[Returned]])</f>
        <v>60</v>
      </c>
      <c r="Y1774" s="76">
        <f>OrdersTable[[#This Row],[Net Revenue]]-OrdersTable[[#This Row],[COGS]]-OrdersTable[[#This Row],[Shipping Cost]]</f>
        <v>200.10000000000002</v>
      </c>
      <c r="Z1774" s="78">
        <f>IFERROR(OrdersTable[[#This Row],[Profit]]/OrdersTable[[#This Row],[Net Revenue]],0)</f>
        <v>0.4951744617668894</v>
      </c>
      <c r="AA1774" t="s">
        <v>18</v>
      </c>
      <c r="AB1774" s="79">
        <v>45612</v>
      </c>
      <c r="AC1774">
        <f>OrdersTable[[#This Row],[Delivery Date]]-OrdersTable[[#This Row],[Order Date]]</f>
        <v>5</v>
      </c>
      <c r="AD1774" t="str">
        <f>IF(OrdersTable[[#This Row],[Delivery Days]]&lt;=2, "Express (≤2d)", IF(OrdersTable[[#This Row],[Delivery Days]]&lt;=4, "Standard (3-4d)", "Delayed (5d+)"))</f>
        <v>Delayed (5d+)</v>
      </c>
      <c r="AE1774">
        <v>4</v>
      </c>
      <c r="AF1774">
        <v>0</v>
      </c>
    </row>
    <row r="1775" spans="1:32" ht="15" x14ac:dyDescent="0.35">
      <c r="A1775" t="s">
        <v>5364</v>
      </c>
      <c r="B1775" s="1">
        <v>45607</v>
      </c>
      <c r="C1775">
        <f>YEAR(OrdersTable[[#This Row],[Order Date]])</f>
        <v>2024</v>
      </c>
      <c r="D1775" s="2">
        <f>DATE(YEAR(OrdersTable[[#This Row],[Order Date]]),MONTH(OrdersTable[[#This Row],[Order Date]]),1)</f>
        <v>45597</v>
      </c>
      <c r="E1775">
        <f>MONTH(OrdersTable[[#This Row],[Order Date]])</f>
        <v>11</v>
      </c>
      <c r="F1775" t="s">
        <v>4541</v>
      </c>
      <c r="G1775" t="str">
        <f>IF(OrdersTable[[#This Row],[Order Date]]=_xlfn.MINIFS(Order_Date, Customer_ID, OrdersTable[[#This Row],[Customer ID]]), "New", "Repeat")</f>
        <v>New</v>
      </c>
      <c r="H1775" t="s">
        <v>59</v>
      </c>
      <c r="I1775" t="str">
        <f>INDEX(State!B:B,MATCH(OrdersTable[[#This Row],[State]],State!A:A,0))</f>
        <v>TN</v>
      </c>
      <c r="J1775" t="str">
        <f>INDEX(State!C:C,MATCH(OrdersTable[[#This Row],[State Code]],State!B:B,0))</f>
        <v>South</v>
      </c>
      <c r="K1775" t="s">
        <v>60</v>
      </c>
      <c r="L1775" t="s">
        <v>39</v>
      </c>
      <c r="M1775" t="s">
        <v>78</v>
      </c>
      <c r="N1775" t="str">
        <f>INDEX(Products!B:B,MATCH(OrdersTable[[#This Row],[Product ID]],Products!A:A,0))</f>
        <v>Retinol Night Cream</v>
      </c>
      <c r="O1775" t="str">
        <f>INDEX(Products!C:C,MATCH(OrdersTable[[#This Row],[Product ID]],Products!A:A,0))</f>
        <v>Skincare</v>
      </c>
      <c r="P1775">
        <v>2</v>
      </c>
      <c r="Q1775" s="5">
        <v>799</v>
      </c>
      <c r="R1775" s="74">
        <v>0.3</v>
      </c>
      <c r="S1775" s="75">
        <f>OrdersTable[[#This Row],[Quantity]]*OrdersTable[[#This Row],[Unit Price]]</f>
        <v>1598</v>
      </c>
      <c r="T1775" s="5">
        <f>OrdersTable[[#This Row],[Gross Sale]]*OrdersTable[[#This Row],[Discount_Clean2]]</f>
        <v>479.4</v>
      </c>
      <c r="U1775" s="5">
        <f>OrdersTable[[#This Row],[Gross Sale]]-OrdersTable[[#This Row],[Discount Amount]]</f>
        <v>1118.5999999999999</v>
      </c>
      <c r="V1775" s="77">
        <f>INDEX(Products!E:E,MATCH(OrdersTable[[#This Row],[Product ID]],Products!A:A,0))</f>
        <v>216</v>
      </c>
      <c r="W1775" s="77">
        <f>OrdersTable[[#This Row],[Quantity]]*OrdersTable[[#This Row],[Unit Cost]]</f>
        <v>432</v>
      </c>
      <c r="X1775" s="77">
        <f>'Dropdown Lists'!$I$2*(1+OrdersTable[[#This Row],[Returned]])</f>
        <v>60</v>
      </c>
      <c r="Y1775" s="76">
        <f>OrdersTable[[#This Row],[Net Revenue]]-OrdersTable[[#This Row],[COGS]]-OrdersTable[[#This Row],[Shipping Cost]]</f>
        <v>626.59999999999991</v>
      </c>
      <c r="Z1775" s="78">
        <f>IFERROR(OrdersTable[[#This Row],[Profit]]/OrdersTable[[#This Row],[Net Revenue]],0)</f>
        <v>0.56016449132844626</v>
      </c>
      <c r="AA1775" t="s">
        <v>2522</v>
      </c>
      <c r="AB1775" s="79">
        <v>45610</v>
      </c>
      <c r="AC1775">
        <f>OrdersTable[[#This Row],[Delivery Date]]-OrdersTable[[#This Row],[Order Date]]</f>
        <v>3</v>
      </c>
      <c r="AD1775" t="str">
        <f>IF(OrdersTable[[#This Row],[Delivery Days]]&lt;=2, "Express (≤2d)", IF(OrdersTable[[#This Row],[Delivery Days]]&lt;=4, "Standard (3-4d)", "Delayed (5d+)"))</f>
        <v>Standard (3-4d)</v>
      </c>
      <c r="AE1775">
        <v>5</v>
      </c>
      <c r="AF1775">
        <v>0</v>
      </c>
    </row>
    <row r="1776" spans="1:32" ht="15" x14ac:dyDescent="0.35">
      <c r="A1776" t="s">
        <v>4950</v>
      </c>
      <c r="B1776" s="1">
        <v>45608</v>
      </c>
      <c r="C1776">
        <f>YEAR(OrdersTable[[#This Row],[Order Date]])</f>
        <v>2024</v>
      </c>
      <c r="D1776" s="2">
        <f>DATE(YEAR(OrdersTable[[#This Row],[Order Date]]),MONTH(OrdersTable[[#This Row],[Order Date]]),1)</f>
        <v>45597</v>
      </c>
      <c r="E1776">
        <f>MONTH(OrdersTable[[#This Row],[Order Date]])</f>
        <v>11</v>
      </c>
      <c r="F1776" t="s">
        <v>427</v>
      </c>
      <c r="G1776" t="str">
        <f>IF(OrdersTable[[#This Row],[Order Date]]=_xlfn.MINIFS(Order_Date, Customer_ID, OrdersTable[[#This Row],[Customer ID]]), "New", "Repeat")</f>
        <v>Repeat</v>
      </c>
      <c r="H1776" t="s">
        <v>90</v>
      </c>
      <c r="I1776" t="str">
        <f>INDEX(State!B:B,MATCH(OrdersTable[[#This Row],[State]],State!A:A,0))</f>
        <v>GA</v>
      </c>
      <c r="J1776" t="str">
        <f>INDEX(State!C:C,MATCH(OrdersTable[[#This Row],[State Code]],State!B:B,0))</f>
        <v>West</v>
      </c>
      <c r="K1776" t="s">
        <v>91</v>
      </c>
      <c r="L1776" t="s">
        <v>50</v>
      </c>
      <c r="M1776" t="s">
        <v>109</v>
      </c>
      <c r="N1776" t="str">
        <f>INDEX(Products!B:B,MATCH(OrdersTable[[#This Row],[Product ID]],Products!A:A,0))</f>
        <v>Onion Hair Oil</v>
      </c>
      <c r="O1776" t="str">
        <f>INDEX(Products!C:C,MATCH(OrdersTable[[#This Row],[Product ID]],Products!A:A,0))</f>
        <v>Haircare</v>
      </c>
      <c r="P1776">
        <v>2</v>
      </c>
      <c r="Q1776" s="5">
        <v>349</v>
      </c>
      <c r="R1776" s="74">
        <v>0.45</v>
      </c>
      <c r="S1776" s="75">
        <f>OrdersTable[[#This Row],[Quantity]]*OrdersTable[[#This Row],[Unit Price]]</f>
        <v>698</v>
      </c>
      <c r="T1776" s="5">
        <f>OrdersTable[[#This Row],[Gross Sale]]*OrdersTable[[#This Row],[Discount_Clean2]]</f>
        <v>314.10000000000002</v>
      </c>
      <c r="U1776" s="5">
        <f>OrdersTable[[#This Row],[Gross Sale]]-OrdersTable[[#This Row],[Discount Amount]]</f>
        <v>383.9</v>
      </c>
      <c r="V1776" s="77">
        <f>INDEX(Products!E:E,MATCH(OrdersTable[[#This Row],[Product ID]],Products!A:A,0))</f>
        <v>105</v>
      </c>
      <c r="W1776" s="77">
        <f>OrdersTable[[#This Row],[Quantity]]*OrdersTable[[#This Row],[Unit Cost]]</f>
        <v>210</v>
      </c>
      <c r="X1776" s="77">
        <f>'Dropdown Lists'!$I$2*(1+OrdersTable[[#This Row],[Returned]])</f>
        <v>60</v>
      </c>
      <c r="Y1776" s="76">
        <f>OrdersTable[[#This Row],[Net Revenue]]-OrdersTable[[#This Row],[COGS]]-OrdersTable[[#This Row],[Shipping Cost]]</f>
        <v>113.89999999999998</v>
      </c>
      <c r="Z1776" s="78">
        <f>IFERROR(OrdersTable[[#This Row],[Profit]]/OrdersTable[[#This Row],[Net Revenue]],0)</f>
        <v>0.29669184683511329</v>
      </c>
      <c r="AA1776" t="s">
        <v>4074</v>
      </c>
      <c r="AB1776" s="79">
        <v>45611</v>
      </c>
      <c r="AC1776">
        <f>OrdersTable[[#This Row],[Delivery Date]]-OrdersTable[[#This Row],[Order Date]]</f>
        <v>3</v>
      </c>
      <c r="AD1776" t="str">
        <f>IF(OrdersTable[[#This Row],[Delivery Days]]&lt;=2, "Express (≤2d)", IF(OrdersTable[[#This Row],[Delivery Days]]&lt;=4, "Standard (3-4d)", "Delayed (5d+)"))</f>
        <v>Standard (3-4d)</v>
      </c>
      <c r="AE1776">
        <v>3</v>
      </c>
      <c r="AF1776">
        <v>0</v>
      </c>
    </row>
    <row r="1777" spans="1:32" ht="15" x14ac:dyDescent="0.35">
      <c r="A1777" t="s">
        <v>5786</v>
      </c>
      <c r="B1777" s="1">
        <v>45608</v>
      </c>
      <c r="C1777">
        <f>YEAR(OrdersTable[[#This Row],[Order Date]])</f>
        <v>2024</v>
      </c>
      <c r="D1777" s="2">
        <f>DATE(YEAR(OrdersTable[[#This Row],[Order Date]]),MONTH(OrdersTable[[#This Row],[Order Date]]),1)</f>
        <v>45597</v>
      </c>
      <c r="E1777">
        <f>MONTH(OrdersTable[[#This Row],[Order Date]])</f>
        <v>11</v>
      </c>
      <c r="F1777" t="s">
        <v>1760</v>
      </c>
      <c r="G1777" t="str">
        <f>IF(OrdersTable[[#This Row],[Order Date]]=_xlfn.MINIFS(Order_Date, Customer_ID, OrdersTable[[#This Row],[Customer ID]]), "New", "Repeat")</f>
        <v>Repeat</v>
      </c>
      <c r="H1777" t="s">
        <v>90</v>
      </c>
      <c r="I1777" t="str">
        <f>INDEX(State!B:B,MATCH(OrdersTable[[#This Row],[State]],State!A:A,0))</f>
        <v>GA</v>
      </c>
      <c r="J1777" t="str">
        <f>INDEX(State!C:C,MATCH(OrdersTable[[#This Row],[State Code]],State!B:B,0))</f>
        <v>West</v>
      </c>
      <c r="K1777" t="s">
        <v>91</v>
      </c>
      <c r="L1777" t="s">
        <v>23</v>
      </c>
      <c r="M1777" t="s">
        <v>148</v>
      </c>
      <c r="N1777" t="str">
        <f>INDEX(Products!B:B,MATCH(OrdersTable[[#This Row],[Product ID]],Products!A:A,0))</f>
        <v>Smartwatch Strap</v>
      </c>
      <c r="O1777" t="str">
        <f>INDEX(Products!C:C,MATCH(OrdersTable[[#This Row],[Product ID]],Products!A:A,0))</f>
        <v>Electronics</v>
      </c>
      <c r="P1777">
        <v>2</v>
      </c>
      <c r="Q1777" s="5">
        <v>499</v>
      </c>
      <c r="R1777" s="74">
        <v>0.35</v>
      </c>
      <c r="S1777" s="75">
        <f>OrdersTable[[#This Row],[Quantity]]*OrdersTable[[#This Row],[Unit Price]]</f>
        <v>998</v>
      </c>
      <c r="T1777" s="5">
        <f>OrdersTable[[#This Row],[Gross Sale]]*OrdersTable[[#This Row],[Discount_Clean2]]</f>
        <v>349.29999999999995</v>
      </c>
      <c r="U1777" s="5">
        <f>OrdersTable[[#This Row],[Gross Sale]]-OrdersTable[[#This Row],[Discount Amount]]</f>
        <v>648.70000000000005</v>
      </c>
      <c r="V1777" s="77">
        <f>INDEX(Products!E:E,MATCH(OrdersTable[[#This Row],[Product ID]],Products!A:A,0))</f>
        <v>200</v>
      </c>
      <c r="W1777" s="77">
        <f>OrdersTable[[#This Row],[Quantity]]*OrdersTable[[#This Row],[Unit Cost]]</f>
        <v>400</v>
      </c>
      <c r="X1777" s="77">
        <f>'Dropdown Lists'!$I$2*(1+OrdersTable[[#This Row],[Returned]])</f>
        <v>60</v>
      </c>
      <c r="Y1777" s="76">
        <f>OrdersTable[[#This Row],[Net Revenue]]-OrdersTable[[#This Row],[COGS]]-OrdersTable[[#This Row],[Shipping Cost]]</f>
        <v>188.70000000000005</v>
      </c>
      <c r="Z1777" s="78">
        <f>IFERROR(OrdersTable[[#This Row],[Profit]]/OrdersTable[[#This Row],[Net Revenue]],0)</f>
        <v>0.29088947125019277</v>
      </c>
      <c r="AA1777" t="s">
        <v>18</v>
      </c>
      <c r="AB1777" s="79">
        <v>45610</v>
      </c>
      <c r="AC1777">
        <f>OrdersTable[[#This Row],[Delivery Date]]-OrdersTable[[#This Row],[Order Date]]</f>
        <v>2</v>
      </c>
      <c r="AD1777" t="str">
        <f>IF(OrdersTable[[#This Row],[Delivery Days]]&lt;=2, "Express (≤2d)", IF(OrdersTable[[#This Row],[Delivery Days]]&lt;=4, "Standard (3-4d)", "Delayed (5d+)"))</f>
        <v>Express (≤2d)</v>
      </c>
      <c r="AE1777">
        <v>5</v>
      </c>
      <c r="AF1777">
        <v>0</v>
      </c>
    </row>
    <row r="1778" spans="1:32" ht="15" x14ac:dyDescent="0.35">
      <c r="A1778" t="s">
        <v>5365</v>
      </c>
      <c r="B1778" s="1">
        <v>45608</v>
      </c>
      <c r="C1778">
        <f>YEAR(OrdersTable[[#This Row],[Order Date]])</f>
        <v>2024</v>
      </c>
      <c r="D1778" s="2">
        <f>DATE(YEAR(OrdersTable[[#This Row],[Order Date]]),MONTH(OrdersTable[[#This Row],[Order Date]]),1)</f>
        <v>45597</v>
      </c>
      <c r="E1778">
        <f>MONTH(OrdersTable[[#This Row],[Order Date]])</f>
        <v>11</v>
      </c>
      <c r="F1778" t="s">
        <v>5366</v>
      </c>
      <c r="G1778" t="str">
        <f>IF(OrdersTable[[#This Row],[Order Date]]=_xlfn.MINIFS(Order_Date, Customer_ID, OrdersTable[[#This Row],[Customer ID]]), "New", "Repeat")</f>
        <v>New</v>
      </c>
      <c r="H1778" t="s">
        <v>167</v>
      </c>
      <c r="I1778" t="str">
        <f>INDEX(State!B:B,MATCH(OrdersTable[[#This Row],[State]],State!A:A,0))</f>
        <v>KA</v>
      </c>
      <c r="J1778" t="str">
        <f>INDEX(State!C:C,MATCH(OrdersTable[[#This Row],[State Code]],State!B:B,0))</f>
        <v>South</v>
      </c>
      <c r="K1778" t="s">
        <v>190</v>
      </c>
      <c r="L1778" t="s">
        <v>65</v>
      </c>
      <c r="M1778" t="s">
        <v>17</v>
      </c>
      <c r="N1778" t="str">
        <f>INDEX(Products!B:B,MATCH(OrdersTable[[#This Row],[Product ID]],Products!A:A,0))</f>
        <v>Casual Sneakers</v>
      </c>
      <c r="O1778" t="str">
        <f>INDEX(Products!C:C,MATCH(OrdersTable[[#This Row],[Product ID]],Products!A:A,0))</f>
        <v>Footwear</v>
      </c>
      <c r="P1778">
        <v>2</v>
      </c>
      <c r="Q1778" s="5">
        <v>2199</v>
      </c>
      <c r="R1778" s="74">
        <v>0.35</v>
      </c>
      <c r="S1778" s="75">
        <f>OrdersTable[[#This Row],[Quantity]]*OrdersTable[[#This Row],[Unit Price]]</f>
        <v>4398</v>
      </c>
      <c r="T1778" s="5">
        <f>OrdersTable[[#This Row],[Gross Sale]]*OrdersTable[[#This Row],[Discount_Clean2]]</f>
        <v>1539.3</v>
      </c>
      <c r="U1778" s="5">
        <f>OrdersTable[[#This Row],[Gross Sale]]-OrdersTable[[#This Row],[Discount Amount]]</f>
        <v>2858.7</v>
      </c>
      <c r="V1778" s="77">
        <f>INDEX(Products!E:E,MATCH(OrdersTable[[#This Row],[Product ID]],Products!A:A,0))</f>
        <v>1034</v>
      </c>
      <c r="W1778" s="77">
        <f>OrdersTable[[#This Row],[Quantity]]*OrdersTable[[#This Row],[Unit Cost]]</f>
        <v>2068</v>
      </c>
      <c r="X1778" s="77">
        <f>'Dropdown Lists'!$I$2*(1+OrdersTable[[#This Row],[Returned]])</f>
        <v>60</v>
      </c>
      <c r="Y1778" s="76">
        <f>OrdersTable[[#This Row],[Net Revenue]]-OrdersTable[[#This Row],[COGS]]-OrdersTable[[#This Row],[Shipping Cost]]</f>
        <v>730.69999999999982</v>
      </c>
      <c r="Z1778" s="78">
        <f>IFERROR(OrdersTable[[#This Row],[Profit]]/OrdersTable[[#This Row],[Net Revenue]],0)</f>
        <v>0.25560569489628149</v>
      </c>
      <c r="AA1778" t="s">
        <v>2522</v>
      </c>
      <c r="AB1778" s="79">
        <v>45612</v>
      </c>
      <c r="AC1778">
        <f>OrdersTable[[#This Row],[Delivery Date]]-OrdersTable[[#This Row],[Order Date]]</f>
        <v>4</v>
      </c>
      <c r="AD1778" t="str">
        <f>IF(OrdersTable[[#This Row],[Delivery Days]]&lt;=2, "Express (≤2d)", IF(OrdersTable[[#This Row],[Delivery Days]]&lt;=4, "Standard (3-4d)", "Delayed (5d+)"))</f>
        <v>Standard (3-4d)</v>
      </c>
      <c r="AF1778">
        <v>0</v>
      </c>
    </row>
    <row r="1779" spans="1:32" ht="15" x14ac:dyDescent="0.35">
      <c r="A1779" t="s">
        <v>5367</v>
      </c>
      <c r="B1779" s="1">
        <v>45608</v>
      </c>
      <c r="C1779">
        <f>YEAR(OrdersTable[[#This Row],[Order Date]])</f>
        <v>2024</v>
      </c>
      <c r="D1779" s="2">
        <f>DATE(YEAR(OrdersTable[[#This Row],[Order Date]]),MONTH(OrdersTable[[#This Row],[Order Date]]),1)</f>
        <v>45597</v>
      </c>
      <c r="E1779">
        <f>MONTH(OrdersTable[[#This Row],[Order Date]])</f>
        <v>11</v>
      </c>
      <c r="F1779" t="s">
        <v>2496</v>
      </c>
      <c r="G1779" t="str">
        <f>IF(OrdersTable[[#This Row],[Order Date]]=_xlfn.MINIFS(Order_Date, Customer_ID, OrdersTable[[#This Row],[Customer ID]]), "New", "Repeat")</f>
        <v>Repeat</v>
      </c>
      <c r="H1779" t="s">
        <v>59</v>
      </c>
      <c r="I1779" t="str">
        <f>INDEX(State!B:B,MATCH(OrdersTable[[#This Row],[State]],State!A:A,0))</f>
        <v>TN</v>
      </c>
      <c r="J1779" t="str">
        <f>INDEX(State!C:C,MATCH(OrdersTable[[#This Row],[State Code]],State!B:B,0))</f>
        <v>South</v>
      </c>
      <c r="K1779" t="s">
        <v>64</v>
      </c>
      <c r="L1779" t="s">
        <v>23</v>
      </c>
      <c r="M1779" t="s">
        <v>24</v>
      </c>
      <c r="N1779" t="str">
        <f>INDEX(Products!B:B,MATCH(OrdersTable[[#This Row],[Product ID]],Products!A:A,0))</f>
        <v>Scented Candle Set</v>
      </c>
      <c r="O1779" t="str">
        <f>INDEX(Products!C:C,MATCH(OrdersTable[[#This Row],[Product ID]],Products!A:A,0))</f>
        <v>Home &amp; Kitchen</v>
      </c>
      <c r="P1779">
        <v>2</v>
      </c>
      <c r="Q1779" s="5">
        <v>699</v>
      </c>
      <c r="R1779" s="74">
        <v>0.3</v>
      </c>
      <c r="S1779" s="75">
        <f>OrdersTable[[#This Row],[Quantity]]*OrdersTable[[#This Row],[Unit Price]]</f>
        <v>1398</v>
      </c>
      <c r="T1779" s="5">
        <f>OrdersTable[[#This Row],[Gross Sale]]*OrdersTable[[#This Row],[Discount_Clean2]]</f>
        <v>419.4</v>
      </c>
      <c r="U1779" s="5">
        <f>OrdersTable[[#This Row],[Gross Sale]]-OrdersTable[[#This Row],[Discount Amount]]</f>
        <v>978.6</v>
      </c>
      <c r="V1779" s="77">
        <f>INDEX(Products!E:E,MATCH(OrdersTable[[#This Row],[Product ID]],Products!A:A,0))</f>
        <v>245</v>
      </c>
      <c r="W1779" s="77">
        <f>OrdersTable[[#This Row],[Quantity]]*OrdersTable[[#This Row],[Unit Cost]]</f>
        <v>490</v>
      </c>
      <c r="X1779" s="77">
        <f>'Dropdown Lists'!$I$2*(1+OrdersTable[[#This Row],[Returned]])</f>
        <v>60</v>
      </c>
      <c r="Y1779" s="76">
        <f>OrdersTable[[#This Row],[Net Revenue]]-OrdersTable[[#This Row],[COGS]]-OrdersTable[[#This Row],[Shipping Cost]]</f>
        <v>428.6</v>
      </c>
      <c r="Z1779" s="78">
        <f>IFERROR(OrdersTable[[#This Row],[Profit]]/OrdersTable[[#This Row],[Net Revenue]],0)</f>
        <v>0.43797261393827919</v>
      </c>
      <c r="AA1779" t="s">
        <v>2522</v>
      </c>
      <c r="AB1779" s="79">
        <v>45612</v>
      </c>
      <c r="AC1779">
        <f>OrdersTable[[#This Row],[Delivery Date]]-OrdersTable[[#This Row],[Order Date]]</f>
        <v>4</v>
      </c>
      <c r="AD1779" t="str">
        <f>IF(OrdersTable[[#This Row],[Delivery Days]]&lt;=2, "Express (≤2d)", IF(OrdersTable[[#This Row],[Delivery Days]]&lt;=4, "Standard (3-4d)", "Delayed (5d+)"))</f>
        <v>Standard (3-4d)</v>
      </c>
      <c r="AF1779">
        <v>0</v>
      </c>
    </row>
    <row r="1780" spans="1:32" ht="15" x14ac:dyDescent="0.35">
      <c r="A1780" t="s">
        <v>785</v>
      </c>
      <c r="B1780" s="1">
        <v>45608</v>
      </c>
      <c r="C1780">
        <f>YEAR(OrdersTable[[#This Row],[Order Date]])</f>
        <v>2024</v>
      </c>
      <c r="D1780" s="2">
        <f>DATE(YEAR(OrdersTable[[#This Row],[Order Date]]),MONTH(OrdersTable[[#This Row],[Order Date]]),1)</f>
        <v>45597</v>
      </c>
      <c r="E1780">
        <f>MONTH(OrdersTable[[#This Row],[Order Date]])</f>
        <v>11</v>
      </c>
      <c r="F1780" t="s">
        <v>786</v>
      </c>
      <c r="G1780" t="str">
        <f>IF(OrdersTable[[#This Row],[Order Date]]=_xlfn.MINIFS(Order_Date, Customer_ID, OrdersTable[[#This Row],[Customer ID]]), "New", "Repeat")</f>
        <v>New</v>
      </c>
      <c r="H1780" t="s">
        <v>59</v>
      </c>
      <c r="I1780" t="str">
        <f>INDEX(State!B:B,MATCH(OrdersTable[[#This Row],[State]],State!A:A,0))</f>
        <v>TN</v>
      </c>
      <c r="J1780" t="str">
        <f>INDEX(State!C:C,MATCH(OrdersTable[[#This Row],[State Code]],State!B:B,0))</f>
        <v>South</v>
      </c>
      <c r="K1780" t="s">
        <v>60</v>
      </c>
      <c r="L1780" t="s">
        <v>65</v>
      </c>
      <c r="M1780" t="s">
        <v>92</v>
      </c>
      <c r="N1780" t="str">
        <f>INDEX(Products!B:B,MATCH(OrdersTable[[#This Row],[Product ID]],Products!A:A,0))</f>
        <v>Kolhapuri Sandals</v>
      </c>
      <c r="O1780" t="str">
        <f>INDEX(Products!C:C,MATCH(OrdersTable[[#This Row],[Product ID]],Products!A:A,0))</f>
        <v>Footwear</v>
      </c>
      <c r="P1780">
        <v>1</v>
      </c>
      <c r="Q1780" s="5">
        <v>999</v>
      </c>
      <c r="R1780" s="74">
        <v>0.15</v>
      </c>
      <c r="S1780" s="75">
        <f>OrdersTable[[#This Row],[Quantity]]*OrdersTable[[#This Row],[Unit Price]]</f>
        <v>999</v>
      </c>
      <c r="T1780" s="5">
        <f>OrdersTable[[#This Row],[Gross Sale]]*OrdersTable[[#This Row],[Discount_Clean2]]</f>
        <v>149.85</v>
      </c>
      <c r="U1780" s="5">
        <f>OrdersTable[[#This Row],[Gross Sale]]-OrdersTable[[#This Row],[Discount Amount]]</f>
        <v>849.15</v>
      </c>
      <c r="V1780" s="77">
        <f>INDEX(Products!E:E,MATCH(OrdersTable[[#This Row],[Product ID]],Products!A:A,0))</f>
        <v>400</v>
      </c>
      <c r="W1780" s="77">
        <f>OrdersTable[[#This Row],[Quantity]]*OrdersTable[[#This Row],[Unit Cost]]</f>
        <v>400</v>
      </c>
      <c r="X1780" s="77">
        <f>'Dropdown Lists'!$I$2*(1+OrdersTable[[#This Row],[Returned]])</f>
        <v>60</v>
      </c>
      <c r="Y1780" s="76">
        <f>OrdersTable[[#This Row],[Net Revenue]]-OrdersTable[[#This Row],[COGS]]-OrdersTable[[#This Row],[Shipping Cost]]</f>
        <v>389.15</v>
      </c>
      <c r="Z1780" s="78">
        <f>IFERROR(OrdersTable[[#This Row],[Profit]]/OrdersTable[[#This Row],[Net Revenue]],0)</f>
        <v>0.45828181122298767</v>
      </c>
      <c r="AA1780" t="s">
        <v>18</v>
      </c>
      <c r="AB1780" s="79">
        <v>45610</v>
      </c>
      <c r="AC1780">
        <f>OrdersTable[[#This Row],[Delivery Date]]-OrdersTable[[#This Row],[Order Date]]</f>
        <v>2</v>
      </c>
      <c r="AD1780" t="str">
        <f>IF(OrdersTable[[#This Row],[Delivery Days]]&lt;=2, "Express (≤2d)", IF(OrdersTable[[#This Row],[Delivery Days]]&lt;=4, "Standard (3-4d)", "Delayed (5d+)"))</f>
        <v>Express (≤2d)</v>
      </c>
      <c r="AE1780">
        <v>4</v>
      </c>
      <c r="AF1780">
        <v>0</v>
      </c>
    </row>
    <row r="1781" spans="1:32" ht="15" x14ac:dyDescent="0.35">
      <c r="A1781" t="s">
        <v>5907</v>
      </c>
      <c r="B1781" s="1">
        <v>45608</v>
      </c>
      <c r="C1781">
        <f>YEAR(OrdersTable[[#This Row],[Order Date]])</f>
        <v>2024</v>
      </c>
      <c r="D1781" s="2">
        <f>DATE(YEAR(OrdersTable[[#This Row],[Order Date]]),MONTH(OrdersTable[[#This Row],[Order Date]]),1)</f>
        <v>45597</v>
      </c>
      <c r="E1781">
        <f>MONTH(OrdersTable[[#This Row],[Order Date]])</f>
        <v>11</v>
      </c>
      <c r="F1781" t="s">
        <v>244</v>
      </c>
      <c r="G1781" t="str">
        <f>IF(OrdersTable[[#This Row],[Order Date]]=_xlfn.MINIFS(Order_Date, Customer_ID, OrdersTable[[#This Row],[Customer ID]]), "New", "Repeat")</f>
        <v>Repeat</v>
      </c>
      <c r="H1781" t="s">
        <v>59</v>
      </c>
      <c r="I1781" t="str">
        <f>INDEX(State!B:B,MATCH(OrdersTable[[#This Row],[State]],State!A:A,0))</f>
        <v>TN</v>
      </c>
      <c r="J1781" t="str">
        <f>INDEX(State!C:C,MATCH(OrdersTable[[#This Row],[State Code]],State!B:B,0))</f>
        <v>South</v>
      </c>
      <c r="K1781" t="s">
        <v>60</v>
      </c>
      <c r="L1781" t="s">
        <v>65</v>
      </c>
      <c r="M1781" t="s">
        <v>109</v>
      </c>
      <c r="N1781" t="str">
        <f>INDEX(Products!B:B,MATCH(OrdersTable[[#This Row],[Product ID]],Products!A:A,0))</f>
        <v>Onion Hair Oil</v>
      </c>
      <c r="O1781" t="str">
        <f>INDEX(Products!C:C,MATCH(OrdersTable[[#This Row],[Product ID]],Products!A:A,0))</f>
        <v>Haircare</v>
      </c>
      <c r="P1781">
        <v>2</v>
      </c>
      <c r="Q1781" s="5">
        <v>349</v>
      </c>
      <c r="R1781" s="74">
        <v>0.55000000000000004</v>
      </c>
      <c r="S1781" s="75">
        <f>OrdersTable[[#This Row],[Quantity]]*OrdersTable[[#This Row],[Unit Price]]</f>
        <v>698</v>
      </c>
      <c r="T1781" s="5">
        <f>OrdersTable[[#This Row],[Gross Sale]]*OrdersTable[[#This Row],[Discount_Clean2]]</f>
        <v>383.90000000000003</v>
      </c>
      <c r="U1781" s="5">
        <f>OrdersTable[[#This Row],[Gross Sale]]-OrdersTable[[#This Row],[Discount Amount]]</f>
        <v>314.09999999999997</v>
      </c>
      <c r="V1781" s="77">
        <f>INDEX(Products!E:E,MATCH(OrdersTable[[#This Row],[Product ID]],Products!A:A,0))</f>
        <v>105</v>
      </c>
      <c r="W1781" s="77">
        <f>OrdersTable[[#This Row],[Quantity]]*OrdersTable[[#This Row],[Unit Cost]]</f>
        <v>210</v>
      </c>
      <c r="X1781" s="77">
        <f>'Dropdown Lists'!$I$2*(1+OrdersTable[[#This Row],[Returned]])</f>
        <v>60</v>
      </c>
      <c r="Y1781" s="76">
        <f>OrdersTable[[#This Row],[Net Revenue]]-OrdersTable[[#This Row],[COGS]]-OrdersTable[[#This Row],[Shipping Cost]]</f>
        <v>44.099999999999966</v>
      </c>
      <c r="Z1781" s="78">
        <f>IFERROR(OrdersTable[[#This Row],[Profit]]/OrdersTable[[#This Row],[Net Revenue]],0)</f>
        <v>0.14040114613180507</v>
      </c>
      <c r="AA1781" t="s">
        <v>18</v>
      </c>
      <c r="AB1781" s="79">
        <v>45610</v>
      </c>
      <c r="AC1781">
        <f>OrdersTable[[#This Row],[Delivery Date]]-OrdersTable[[#This Row],[Order Date]]</f>
        <v>2</v>
      </c>
      <c r="AD1781" t="str">
        <f>IF(OrdersTable[[#This Row],[Delivery Days]]&lt;=2, "Express (≤2d)", IF(OrdersTable[[#This Row],[Delivery Days]]&lt;=4, "Standard (3-4d)", "Delayed (5d+)"))</f>
        <v>Express (≤2d)</v>
      </c>
      <c r="AF1781">
        <v>0</v>
      </c>
    </row>
    <row r="1782" spans="1:32" ht="15" x14ac:dyDescent="0.35">
      <c r="A1782" t="s">
        <v>5787</v>
      </c>
      <c r="B1782" s="1">
        <v>45609</v>
      </c>
      <c r="C1782">
        <f>YEAR(OrdersTable[[#This Row],[Order Date]])</f>
        <v>2024</v>
      </c>
      <c r="D1782" s="2">
        <f>DATE(YEAR(OrdersTable[[#This Row],[Order Date]]),MONTH(OrdersTable[[#This Row],[Order Date]]),1)</f>
        <v>45597</v>
      </c>
      <c r="E1782">
        <f>MONTH(OrdersTable[[#This Row],[Order Date]])</f>
        <v>11</v>
      </c>
      <c r="F1782" t="s">
        <v>1019</v>
      </c>
      <c r="G1782" t="str">
        <f>IF(OrdersTable[[#This Row],[Order Date]]=_xlfn.MINIFS(Order_Date, Customer_ID, OrdersTable[[#This Row],[Customer ID]]), "New", "Repeat")</f>
        <v>New</v>
      </c>
      <c r="H1782" t="s">
        <v>21</v>
      </c>
      <c r="I1782" t="str">
        <f>INDEX(State!B:B,MATCH(OrdersTable[[#This Row],[State]],State!A:A,0))</f>
        <v>PB</v>
      </c>
      <c r="J1782" t="str">
        <f>INDEX(State!C:C,MATCH(OrdersTable[[#This Row],[State Code]],State!B:B,0))</f>
        <v>North</v>
      </c>
      <c r="K1782" t="s">
        <v>260</v>
      </c>
      <c r="L1782" t="s">
        <v>16</v>
      </c>
      <c r="M1782" t="s">
        <v>92</v>
      </c>
      <c r="N1782" t="str">
        <f>INDEX(Products!B:B,MATCH(OrdersTable[[#This Row],[Product ID]],Products!A:A,0))</f>
        <v>Kolhapuri Sandals</v>
      </c>
      <c r="O1782" t="str">
        <f>INDEX(Products!C:C,MATCH(OrdersTable[[#This Row],[Product ID]],Products!A:A,0))</f>
        <v>Footwear</v>
      </c>
      <c r="P1782">
        <v>2</v>
      </c>
      <c r="Q1782" s="5">
        <v>999</v>
      </c>
      <c r="R1782" s="74">
        <v>0.15</v>
      </c>
      <c r="S1782" s="75">
        <f>OrdersTable[[#This Row],[Quantity]]*OrdersTable[[#This Row],[Unit Price]]</f>
        <v>1998</v>
      </c>
      <c r="T1782" s="5">
        <f>OrdersTable[[#This Row],[Gross Sale]]*OrdersTable[[#This Row],[Discount_Clean2]]</f>
        <v>299.7</v>
      </c>
      <c r="U1782" s="5">
        <f>OrdersTable[[#This Row],[Gross Sale]]-OrdersTable[[#This Row],[Discount Amount]]</f>
        <v>1698.3</v>
      </c>
      <c r="V1782" s="77">
        <f>INDEX(Products!E:E,MATCH(OrdersTable[[#This Row],[Product ID]],Products!A:A,0))</f>
        <v>400</v>
      </c>
      <c r="W1782" s="77">
        <f>OrdersTable[[#This Row],[Quantity]]*OrdersTable[[#This Row],[Unit Cost]]</f>
        <v>800</v>
      </c>
      <c r="X1782" s="77">
        <f>'Dropdown Lists'!$I$2*(1+OrdersTable[[#This Row],[Returned]])</f>
        <v>60</v>
      </c>
      <c r="Y1782" s="76">
        <f>OrdersTable[[#This Row],[Net Revenue]]-OrdersTable[[#This Row],[COGS]]-OrdersTable[[#This Row],[Shipping Cost]]</f>
        <v>838.3</v>
      </c>
      <c r="Z1782" s="78">
        <f>IFERROR(OrdersTable[[#This Row],[Profit]]/OrdersTable[[#This Row],[Net Revenue]],0)</f>
        <v>0.49361125831714064</v>
      </c>
      <c r="AA1782" t="s">
        <v>18</v>
      </c>
      <c r="AB1782" s="79">
        <v>45611</v>
      </c>
      <c r="AC1782">
        <f>OrdersTable[[#This Row],[Delivery Date]]-OrdersTable[[#This Row],[Order Date]]</f>
        <v>2</v>
      </c>
      <c r="AD1782" t="str">
        <f>IF(OrdersTable[[#This Row],[Delivery Days]]&lt;=2, "Express (≤2d)", IF(OrdersTable[[#This Row],[Delivery Days]]&lt;=4, "Standard (3-4d)", "Delayed (5d+)"))</f>
        <v>Express (≤2d)</v>
      </c>
      <c r="AE1782">
        <v>5</v>
      </c>
      <c r="AF1782">
        <v>0</v>
      </c>
    </row>
    <row r="1783" spans="1:32" ht="15" x14ac:dyDescent="0.35">
      <c r="A1783" t="s">
        <v>1922</v>
      </c>
      <c r="B1783" s="1">
        <v>45609</v>
      </c>
      <c r="C1783">
        <f>YEAR(OrdersTable[[#This Row],[Order Date]])</f>
        <v>2024</v>
      </c>
      <c r="D1783" s="2">
        <f>DATE(YEAR(OrdersTable[[#This Row],[Order Date]]),MONTH(OrdersTable[[#This Row],[Order Date]]),1)</f>
        <v>45597</v>
      </c>
      <c r="E1783">
        <f>MONTH(OrdersTable[[#This Row],[Order Date]])</f>
        <v>11</v>
      </c>
      <c r="F1783" t="s">
        <v>1923</v>
      </c>
      <c r="G1783" t="str">
        <f>IF(OrdersTable[[#This Row],[Order Date]]=_xlfn.MINIFS(Order_Date, Customer_ID, OrdersTable[[#This Row],[Customer ID]]), "New", "Repeat")</f>
        <v>Repeat</v>
      </c>
      <c r="H1783" t="s">
        <v>54</v>
      </c>
      <c r="I1783" t="str">
        <f>INDEX(State!B:B,MATCH(OrdersTable[[#This Row],[State]],State!A:A,0))</f>
        <v>RJ</v>
      </c>
      <c r="J1783" t="str">
        <f>INDEX(State!C:C,MATCH(OrdersTable[[#This Row],[State Code]],State!B:B,0))</f>
        <v>North</v>
      </c>
      <c r="K1783" t="s">
        <v>55</v>
      </c>
      <c r="L1783" t="s">
        <v>65</v>
      </c>
      <c r="M1783" t="s">
        <v>84</v>
      </c>
      <c r="N1783" t="str">
        <f>INDEX(Products!B:B,MATCH(OrdersTable[[#This Row],[Product ID]],Products!A:A,0))</f>
        <v>Cotton Bedsheet</v>
      </c>
      <c r="O1783" t="str">
        <f>INDEX(Products!C:C,MATCH(OrdersTable[[#This Row],[Product ID]],Products!A:A,0))</f>
        <v>Home &amp; Kitchen</v>
      </c>
      <c r="P1783">
        <v>1</v>
      </c>
      <c r="Q1783" s="5">
        <v>1299</v>
      </c>
      <c r="R1783" s="74">
        <v>0.15</v>
      </c>
      <c r="S1783" s="75">
        <f>OrdersTable[[#This Row],[Quantity]]*OrdersTable[[#This Row],[Unit Price]]</f>
        <v>1299</v>
      </c>
      <c r="T1783" s="5">
        <f>OrdersTable[[#This Row],[Gross Sale]]*OrdersTable[[#This Row],[Discount_Clean2]]</f>
        <v>194.85</v>
      </c>
      <c r="U1783" s="5">
        <f>OrdersTable[[#This Row],[Gross Sale]]-OrdersTable[[#This Row],[Discount Amount]]</f>
        <v>1104.1500000000001</v>
      </c>
      <c r="V1783" s="77">
        <f>INDEX(Products!E:E,MATCH(OrdersTable[[#This Row],[Product ID]],Products!A:A,0))</f>
        <v>585</v>
      </c>
      <c r="W1783" s="77">
        <f>OrdersTable[[#This Row],[Quantity]]*OrdersTable[[#This Row],[Unit Cost]]</f>
        <v>585</v>
      </c>
      <c r="X1783" s="77">
        <f>'Dropdown Lists'!$I$2*(1+OrdersTable[[#This Row],[Returned]])</f>
        <v>60</v>
      </c>
      <c r="Y1783" s="76">
        <f>OrdersTable[[#This Row],[Net Revenue]]-OrdersTable[[#This Row],[COGS]]-OrdersTable[[#This Row],[Shipping Cost]]</f>
        <v>459.15000000000009</v>
      </c>
      <c r="Z1783" s="78">
        <f>IFERROR(OrdersTable[[#This Row],[Profit]]/OrdersTable[[#This Row],[Net Revenue]],0)</f>
        <v>0.41584023909794871</v>
      </c>
      <c r="AA1783" t="s">
        <v>18</v>
      </c>
      <c r="AB1783" s="79">
        <v>45615</v>
      </c>
      <c r="AC1783">
        <f>OrdersTable[[#This Row],[Delivery Date]]-OrdersTable[[#This Row],[Order Date]]</f>
        <v>6</v>
      </c>
      <c r="AD1783" t="str">
        <f>IF(OrdersTable[[#This Row],[Delivery Days]]&lt;=2, "Express (≤2d)", IF(OrdersTable[[#This Row],[Delivery Days]]&lt;=4, "Standard (3-4d)", "Delayed (5d+)"))</f>
        <v>Delayed (5d+)</v>
      </c>
      <c r="AE1783">
        <v>3</v>
      </c>
      <c r="AF1783">
        <v>0</v>
      </c>
    </row>
    <row r="1784" spans="1:32" ht="15" x14ac:dyDescent="0.35">
      <c r="A1784" t="s">
        <v>219</v>
      </c>
      <c r="B1784" s="1">
        <v>45609</v>
      </c>
      <c r="C1784">
        <f>YEAR(OrdersTable[[#This Row],[Order Date]])</f>
        <v>2024</v>
      </c>
      <c r="D1784" s="2">
        <f>DATE(YEAR(OrdersTable[[#This Row],[Order Date]]),MONTH(OrdersTable[[#This Row],[Order Date]]),1)</f>
        <v>45597</v>
      </c>
      <c r="E1784">
        <f>MONTH(OrdersTable[[#This Row],[Order Date]])</f>
        <v>11</v>
      </c>
      <c r="F1784" t="s">
        <v>220</v>
      </c>
      <c r="G1784" t="str">
        <f>IF(OrdersTable[[#This Row],[Order Date]]=_xlfn.MINIFS(Order_Date, Customer_ID, OrdersTable[[#This Row],[Customer ID]]), "New", "Repeat")</f>
        <v>Repeat</v>
      </c>
      <c r="H1784" t="s">
        <v>54</v>
      </c>
      <c r="I1784" t="str">
        <f>INDEX(State!B:B,MATCH(OrdersTable[[#This Row],[State]],State!A:A,0))</f>
        <v>RJ</v>
      </c>
      <c r="J1784" t="str">
        <f>INDEX(State!C:C,MATCH(OrdersTable[[#This Row],[State Code]],State!B:B,0))</f>
        <v>North</v>
      </c>
      <c r="K1784" t="s">
        <v>55</v>
      </c>
      <c r="L1784" t="s">
        <v>16</v>
      </c>
      <c r="M1784" t="s">
        <v>176</v>
      </c>
      <c r="N1784" t="str">
        <f>INDEX(Products!B:B,MATCH(OrdersTable[[#This Row],[Product ID]],Products!A:A,0))</f>
        <v>Denim Jacket</v>
      </c>
      <c r="O1784" t="str">
        <f>INDEX(Products!C:C,MATCH(OrdersTable[[#This Row],[Product ID]],Products!A:A,0))</f>
        <v>Apparel</v>
      </c>
      <c r="P1784">
        <v>1</v>
      </c>
      <c r="Q1784" s="5">
        <v>2499</v>
      </c>
      <c r="R1784" s="74">
        <v>0.15</v>
      </c>
      <c r="S1784" s="75">
        <f>OrdersTable[[#This Row],[Quantity]]*OrdersTable[[#This Row],[Unit Price]]</f>
        <v>2499</v>
      </c>
      <c r="T1784" s="5">
        <f>OrdersTable[[#This Row],[Gross Sale]]*OrdersTable[[#This Row],[Discount_Clean2]]</f>
        <v>374.84999999999997</v>
      </c>
      <c r="U1784" s="5">
        <f>OrdersTable[[#This Row],[Gross Sale]]-OrdersTable[[#This Row],[Discount Amount]]</f>
        <v>2124.15</v>
      </c>
      <c r="V1784" s="77">
        <f>INDEX(Products!E:E,MATCH(OrdersTable[[#This Row],[Product ID]],Products!A:A,0))</f>
        <v>1125</v>
      </c>
      <c r="W1784" s="77">
        <f>OrdersTable[[#This Row],[Quantity]]*OrdersTable[[#This Row],[Unit Cost]]</f>
        <v>1125</v>
      </c>
      <c r="X1784" s="77">
        <f>'Dropdown Lists'!$I$2*(1+OrdersTable[[#This Row],[Returned]])</f>
        <v>60</v>
      </c>
      <c r="Y1784" s="76">
        <f>OrdersTable[[#This Row],[Net Revenue]]-OrdersTable[[#This Row],[COGS]]-OrdersTable[[#This Row],[Shipping Cost]]</f>
        <v>939.15000000000009</v>
      </c>
      <c r="Z1784" s="78">
        <f>IFERROR(OrdersTable[[#This Row],[Profit]]/OrdersTable[[#This Row],[Net Revenue]],0)</f>
        <v>0.44212979309370809</v>
      </c>
      <c r="AA1784" t="s">
        <v>18</v>
      </c>
      <c r="AB1784" s="79">
        <v>45615</v>
      </c>
      <c r="AC1784">
        <f>OrdersTable[[#This Row],[Delivery Date]]-OrdersTable[[#This Row],[Order Date]]</f>
        <v>6</v>
      </c>
      <c r="AD1784" t="str">
        <f>IF(OrdersTable[[#This Row],[Delivery Days]]&lt;=2, "Express (≤2d)", IF(OrdersTable[[#This Row],[Delivery Days]]&lt;=4, "Standard (3-4d)", "Delayed (5d+)"))</f>
        <v>Delayed (5d+)</v>
      </c>
      <c r="AE1784">
        <v>4</v>
      </c>
      <c r="AF1784">
        <v>0</v>
      </c>
    </row>
    <row r="1785" spans="1:32" ht="15" x14ac:dyDescent="0.35">
      <c r="A1785" t="s">
        <v>6976</v>
      </c>
      <c r="B1785" s="1">
        <v>45609</v>
      </c>
      <c r="C1785">
        <f>YEAR(OrdersTable[[#This Row],[Order Date]])</f>
        <v>2024</v>
      </c>
      <c r="D1785" s="2">
        <f>DATE(YEAR(OrdersTable[[#This Row],[Order Date]]),MONTH(OrdersTable[[#This Row],[Order Date]]),1)</f>
        <v>45597</v>
      </c>
      <c r="E1785">
        <f>MONTH(OrdersTable[[#This Row],[Order Date]])</f>
        <v>11</v>
      </c>
      <c r="F1785" t="s">
        <v>4352</v>
      </c>
      <c r="G1785" t="str">
        <f>IF(OrdersTable[[#This Row],[Order Date]]=_xlfn.MINIFS(Order_Date, Customer_ID, OrdersTable[[#This Row],[Customer ID]]), "New", "Repeat")</f>
        <v>Repeat</v>
      </c>
      <c r="H1785" t="s">
        <v>128</v>
      </c>
      <c r="I1785" t="str">
        <f>INDEX(State!B:B,MATCH(OrdersTable[[#This Row],[State]],State!A:A,0))</f>
        <v>DL</v>
      </c>
      <c r="J1785" t="str">
        <f>INDEX(State!C:C,MATCH(OrdersTable[[#This Row],[State Code]],State!B:B,0))</f>
        <v>North</v>
      </c>
      <c r="K1785" t="s">
        <v>129</v>
      </c>
      <c r="L1785" t="s">
        <v>65</v>
      </c>
      <c r="M1785" t="s">
        <v>565</v>
      </c>
      <c r="N1785" t="str">
        <f>INDEX(Products!B:B,MATCH(OrdersTable[[#This Row],[Product ID]],Products!A:A,0))</f>
        <v>Ceramic Dinner Set</v>
      </c>
      <c r="O1785" t="str">
        <f>INDEX(Products!C:C,MATCH(OrdersTable[[#This Row],[Product ID]],Products!A:A,0))</f>
        <v>Home &amp; Kitchen</v>
      </c>
      <c r="P1785">
        <v>4</v>
      </c>
      <c r="Q1785" s="5">
        <v>2499</v>
      </c>
      <c r="R1785" s="74">
        <v>0.45</v>
      </c>
      <c r="S1785" s="75">
        <f>OrdersTable[[#This Row],[Quantity]]*OrdersTable[[#This Row],[Unit Price]]</f>
        <v>9996</v>
      </c>
      <c r="T1785" s="5">
        <f>OrdersTable[[#This Row],[Gross Sale]]*OrdersTable[[#This Row],[Discount_Clean2]]</f>
        <v>4498.2</v>
      </c>
      <c r="U1785" s="5">
        <f>OrdersTable[[#This Row],[Gross Sale]]-OrdersTable[[#This Row],[Discount Amount]]</f>
        <v>5497.8</v>
      </c>
      <c r="V1785" s="77">
        <f>INDEX(Products!E:E,MATCH(OrdersTable[[#This Row],[Product ID]],Products!A:A,0))</f>
        <v>1250</v>
      </c>
      <c r="W1785" s="77">
        <f>OrdersTable[[#This Row],[Quantity]]*OrdersTable[[#This Row],[Unit Cost]]</f>
        <v>5000</v>
      </c>
      <c r="X1785" s="77">
        <f>'Dropdown Lists'!$I$2*(1+OrdersTable[[#This Row],[Returned]])</f>
        <v>60</v>
      </c>
      <c r="Y1785" s="76">
        <f>OrdersTable[[#This Row],[Net Revenue]]-OrdersTable[[#This Row],[COGS]]-OrdersTable[[#This Row],[Shipping Cost]]</f>
        <v>437.80000000000018</v>
      </c>
      <c r="Z1785" s="78">
        <f>IFERROR(OrdersTable[[#This Row],[Profit]]/OrdersTable[[#This Row],[Net Revenue]],0)</f>
        <v>7.9631852741096465E-2</v>
      </c>
      <c r="AA1785" t="s">
        <v>3495</v>
      </c>
      <c r="AB1785" s="79">
        <v>45612</v>
      </c>
      <c r="AC1785">
        <f>OrdersTable[[#This Row],[Delivery Date]]-OrdersTable[[#This Row],[Order Date]]</f>
        <v>3</v>
      </c>
      <c r="AD1785" t="str">
        <f>IF(OrdersTable[[#This Row],[Delivery Days]]&lt;=2, "Express (≤2d)", IF(OrdersTable[[#This Row],[Delivery Days]]&lt;=4, "Standard (3-4d)", "Delayed (5d+)"))</f>
        <v>Standard (3-4d)</v>
      </c>
      <c r="AE1785">
        <v>4</v>
      </c>
      <c r="AF1785">
        <v>0</v>
      </c>
    </row>
    <row r="1786" spans="1:32" ht="15" x14ac:dyDescent="0.35">
      <c r="A1786" t="s">
        <v>6977</v>
      </c>
      <c r="B1786" s="1">
        <v>45609</v>
      </c>
      <c r="C1786">
        <f>YEAR(OrdersTable[[#This Row],[Order Date]])</f>
        <v>2024</v>
      </c>
      <c r="D1786" s="2">
        <f>DATE(YEAR(OrdersTable[[#This Row],[Order Date]]),MONTH(OrdersTable[[#This Row],[Order Date]]),1)</f>
        <v>45597</v>
      </c>
      <c r="E1786">
        <f>MONTH(OrdersTable[[#This Row],[Order Date]])</f>
        <v>11</v>
      </c>
      <c r="F1786" t="s">
        <v>5097</v>
      </c>
      <c r="G1786" t="str">
        <f>IF(OrdersTable[[#This Row],[Order Date]]=_xlfn.MINIFS(Order_Date, Customer_ID, OrdersTable[[#This Row],[Customer ID]]), "New", "Repeat")</f>
        <v>Repeat</v>
      </c>
      <c r="H1786" t="s">
        <v>167</v>
      </c>
      <c r="I1786" t="str">
        <f>INDEX(State!B:B,MATCH(OrdersTable[[#This Row],[State]],State!A:A,0))</f>
        <v>KA</v>
      </c>
      <c r="J1786" t="str">
        <f>INDEX(State!C:C,MATCH(OrdersTable[[#This Row],[State Code]],State!B:B,0))</f>
        <v>South</v>
      </c>
      <c r="K1786" t="s">
        <v>190</v>
      </c>
      <c r="L1786" t="s">
        <v>65</v>
      </c>
      <c r="M1786" t="s">
        <v>78</v>
      </c>
      <c r="N1786" t="str">
        <f>INDEX(Products!B:B,MATCH(OrdersTable[[#This Row],[Product ID]],Products!A:A,0))</f>
        <v>Retinol Night Cream</v>
      </c>
      <c r="O1786" t="str">
        <f>INDEX(Products!C:C,MATCH(OrdersTable[[#This Row],[Product ID]],Products!A:A,0))</f>
        <v>Skincare</v>
      </c>
      <c r="P1786">
        <v>4</v>
      </c>
      <c r="Q1786" s="5">
        <v>799</v>
      </c>
      <c r="R1786" s="74">
        <v>0.2</v>
      </c>
      <c r="S1786" s="75">
        <f>OrdersTable[[#This Row],[Quantity]]*OrdersTable[[#This Row],[Unit Price]]</f>
        <v>3196</v>
      </c>
      <c r="T1786" s="5">
        <f>OrdersTable[[#This Row],[Gross Sale]]*OrdersTable[[#This Row],[Discount_Clean2]]</f>
        <v>639.20000000000005</v>
      </c>
      <c r="U1786" s="5">
        <f>OrdersTable[[#This Row],[Gross Sale]]-OrdersTable[[#This Row],[Discount Amount]]</f>
        <v>2556.8000000000002</v>
      </c>
      <c r="V1786" s="77">
        <f>INDEX(Products!E:E,MATCH(OrdersTable[[#This Row],[Product ID]],Products!A:A,0))</f>
        <v>216</v>
      </c>
      <c r="W1786" s="77">
        <f>OrdersTable[[#This Row],[Quantity]]*OrdersTable[[#This Row],[Unit Cost]]</f>
        <v>864</v>
      </c>
      <c r="X1786" s="77">
        <f>'Dropdown Lists'!$I$2*(1+OrdersTable[[#This Row],[Returned]])</f>
        <v>60</v>
      </c>
      <c r="Y1786" s="76">
        <f>OrdersTable[[#This Row],[Net Revenue]]-OrdersTable[[#This Row],[COGS]]-OrdersTable[[#This Row],[Shipping Cost]]</f>
        <v>1632.8000000000002</v>
      </c>
      <c r="Z1786" s="78">
        <f>IFERROR(OrdersTable[[#This Row],[Profit]]/OrdersTable[[#This Row],[Net Revenue]],0)</f>
        <v>0.63861076345431789</v>
      </c>
      <c r="AA1786" t="s">
        <v>2522</v>
      </c>
      <c r="AB1786" s="79">
        <v>45612</v>
      </c>
      <c r="AC1786">
        <f>OrdersTable[[#This Row],[Delivery Date]]-OrdersTable[[#This Row],[Order Date]]</f>
        <v>3</v>
      </c>
      <c r="AD1786" t="str">
        <f>IF(OrdersTable[[#This Row],[Delivery Days]]&lt;=2, "Express (≤2d)", IF(OrdersTable[[#This Row],[Delivery Days]]&lt;=4, "Standard (3-4d)", "Delayed (5d+)"))</f>
        <v>Standard (3-4d)</v>
      </c>
      <c r="AE1786">
        <v>5</v>
      </c>
      <c r="AF1786">
        <v>0</v>
      </c>
    </row>
    <row r="1787" spans="1:32" ht="15" x14ac:dyDescent="0.35">
      <c r="A1787" t="s">
        <v>4111</v>
      </c>
      <c r="B1787" s="1">
        <v>45609</v>
      </c>
      <c r="C1787">
        <f>YEAR(OrdersTable[[#This Row],[Order Date]])</f>
        <v>2024</v>
      </c>
      <c r="D1787" s="2">
        <f>DATE(YEAR(OrdersTable[[#This Row],[Order Date]]),MONTH(OrdersTable[[#This Row],[Order Date]]),1)</f>
        <v>45597</v>
      </c>
      <c r="E1787">
        <f>MONTH(OrdersTable[[#This Row],[Order Date]])</f>
        <v>11</v>
      </c>
      <c r="F1787" t="s">
        <v>1568</v>
      </c>
      <c r="G1787" t="str">
        <f>IF(OrdersTable[[#This Row],[Order Date]]=_xlfn.MINIFS(Order_Date, Customer_ID, OrdersTable[[#This Row],[Customer ID]]), "New", "Repeat")</f>
        <v>New</v>
      </c>
      <c r="H1787" t="s">
        <v>167</v>
      </c>
      <c r="I1787" t="str">
        <f>INDEX(State!B:B,MATCH(OrdersTable[[#This Row],[State]],State!A:A,0))</f>
        <v>KA</v>
      </c>
      <c r="J1787" t="str">
        <f>INDEX(State!C:C,MATCH(OrdersTable[[#This Row],[State Code]],State!B:B,0))</f>
        <v>South</v>
      </c>
      <c r="K1787" t="s">
        <v>168</v>
      </c>
      <c r="L1787" t="s">
        <v>65</v>
      </c>
      <c r="M1787" t="s">
        <v>160</v>
      </c>
      <c r="N1787" t="str">
        <f>INDEX(Products!B:B,MATCH(OrdersTable[[#This Row],[Product ID]],Products!A:A,0))</f>
        <v>Niacinamide Toner</v>
      </c>
      <c r="O1787" t="str">
        <f>INDEX(Products!C:C,MATCH(OrdersTable[[#This Row],[Product ID]],Products!A:A,0))</f>
        <v>Skincare</v>
      </c>
      <c r="P1787">
        <v>1</v>
      </c>
      <c r="Q1787" s="5">
        <v>399</v>
      </c>
      <c r="R1787" s="74">
        <v>0.25</v>
      </c>
      <c r="S1787" s="75">
        <f>OrdersTable[[#This Row],[Quantity]]*OrdersTable[[#This Row],[Unit Price]]</f>
        <v>399</v>
      </c>
      <c r="T1787" s="5">
        <f>OrdersTable[[#This Row],[Gross Sale]]*OrdersTable[[#This Row],[Discount_Clean2]]</f>
        <v>99.75</v>
      </c>
      <c r="U1787" s="5">
        <f>OrdersTable[[#This Row],[Gross Sale]]-OrdersTable[[#This Row],[Discount Amount]]</f>
        <v>299.25</v>
      </c>
      <c r="V1787" s="77">
        <f>INDEX(Products!E:E,MATCH(OrdersTable[[#This Row],[Product ID]],Products!A:A,0))</f>
        <v>112</v>
      </c>
      <c r="W1787" s="77">
        <f>OrdersTable[[#This Row],[Quantity]]*OrdersTable[[#This Row],[Unit Cost]]</f>
        <v>112</v>
      </c>
      <c r="X1787" s="77">
        <f>'Dropdown Lists'!$I$2*(1+OrdersTable[[#This Row],[Returned]])</f>
        <v>60</v>
      </c>
      <c r="Y1787" s="76">
        <f>OrdersTable[[#This Row],[Net Revenue]]-OrdersTable[[#This Row],[COGS]]-OrdersTable[[#This Row],[Shipping Cost]]</f>
        <v>127.25</v>
      </c>
      <c r="Z1787" s="78">
        <f>IFERROR(OrdersTable[[#This Row],[Profit]]/OrdersTable[[#This Row],[Net Revenue]],0)</f>
        <v>0.42522974101921468</v>
      </c>
      <c r="AA1787" t="s">
        <v>4074</v>
      </c>
      <c r="AB1787" s="79">
        <v>45615</v>
      </c>
      <c r="AC1787">
        <f>OrdersTable[[#This Row],[Delivery Date]]-OrdersTable[[#This Row],[Order Date]]</f>
        <v>6</v>
      </c>
      <c r="AD1787" t="str">
        <f>IF(OrdersTable[[#This Row],[Delivery Days]]&lt;=2, "Express (≤2d)", IF(OrdersTable[[#This Row],[Delivery Days]]&lt;=4, "Standard (3-4d)", "Delayed (5d+)"))</f>
        <v>Delayed (5d+)</v>
      </c>
      <c r="AE1787">
        <v>3</v>
      </c>
      <c r="AF1787">
        <v>0</v>
      </c>
    </row>
    <row r="1788" spans="1:32" ht="15" x14ac:dyDescent="0.35">
      <c r="A1788" t="s">
        <v>6526</v>
      </c>
      <c r="B1788" s="1">
        <v>45610</v>
      </c>
      <c r="C1788">
        <f>YEAR(OrdersTable[[#This Row],[Order Date]])</f>
        <v>2024</v>
      </c>
      <c r="D1788" s="2">
        <f>DATE(YEAR(OrdersTable[[#This Row],[Order Date]]),MONTH(OrdersTable[[#This Row],[Order Date]]),1)</f>
        <v>45597</v>
      </c>
      <c r="E1788">
        <f>MONTH(OrdersTable[[#This Row],[Order Date]])</f>
        <v>11</v>
      </c>
      <c r="F1788" t="s">
        <v>3778</v>
      </c>
      <c r="G1788" t="str">
        <f>IF(OrdersTable[[#This Row],[Order Date]]=_xlfn.MINIFS(Order_Date, Customer_ID, OrdersTable[[#This Row],[Customer ID]]), "New", "Repeat")</f>
        <v>New</v>
      </c>
      <c r="H1788" t="s">
        <v>43</v>
      </c>
      <c r="I1788" t="str">
        <f>INDEX(State!B:B,MATCH(OrdersTable[[#This Row],[State]],State!A:A,0))</f>
        <v>MP</v>
      </c>
      <c r="J1788" t="str">
        <f>INDEX(State!C:C,MATCH(OrdersTable[[#This Row],[State Code]],State!B:B,0))</f>
        <v>West</v>
      </c>
      <c r="K1788" t="s">
        <v>250</v>
      </c>
      <c r="L1788" t="s">
        <v>65</v>
      </c>
      <c r="M1788" t="s">
        <v>24</v>
      </c>
      <c r="N1788" t="str">
        <f>INDEX(Products!B:B,MATCH(OrdersTable[[#This Row],[Product ID]],Products!A:A,0))</f>
        <v>Scented Candle Set</v>
      </c>
      <c r="O1788" t="str">
        <f>INDEX(Products!C:C,MATCH(OrdersTable[[#This Row],[Product ID]],Products!A:A,0))</f>
        <v>Home &amp; Kitchen</v>
      </c>
      <c r="P1788">
        <v>3</v>
      </c>
      <c r="Q1788" s="5">
        <v>699</v>
      </c>
      <c r="R1788" s="74">
        <v>0.3</v>
      </c>
      <c r="S1788" s="75">
        <f>OrdersTable[[#This Row],[Quantity]]*OrdersTable[[#This Row],[Unit Price]]</f>
        <v>2097</v>
      </c>
      <c r="T1788" s="5">
        <f>OrdersTable[[#This Row],[Gross Sale]]*OrdersTable[[#This Row],[Discount_Clean2]]</f>
        <v>629.1</v>
      </c>
      <c r="U1788" s="5">
        <f>OrdersTable[[#This Row],[Gross Sale]]-OrdersTable[[#This Row],[Discount Amount]]</f>
        <v>1467.9</v>
      </c>
      <c r="V1788" s="77">
        <f>INDEX(Products!E:E,MATCH(OrdersTable[[#This Row],[Product ID]],Products!A:A,0))</f>
        <v>245</v>
      </c>
      <c r="W1788" s="77">
        <f>OrdersTable[[#This Row],[Quantity]]*OrdersTable[[#This Row],[Unit Cost]]</f>
        <v>735</v>
      </c>
      <c r="X1788" s="77">
        <f>'Dropdown Lists'!$I$2*(1+OrdersTable[[#This Row],[Returned]])</f>
        <v>120</v>
      </c>
      <c r="Y1788" s="76">
        <f>OrdersTable[[#This Row],[Net Revenue]]-OrdersTable[[#This Row],[COGS]]-OrdersTable[[#This Row],[Shipping Cost]]</f>
        <v>612.90000000000009</v>
      </c>
      <c r="Z1788" s="78">
        <f>IFERROR(OrdersTable[[#This Row],[Profit]]/OrdersTable[[#This Row],[Net Revenue]],0)</f>
        <v>0.41753525444512574</v>
      </c>
      <c r="AA1788" t="s">
        <v>18</v>
      </c>
      <c r="AB1788" s="79">
        <v>45613</v>
      </c>
      <c r="AC1788">
        <f>OrdersTable[[#This Row],[Delivery Date]]-OrdersTable[[#This Row],[Order Date]]</f>
        <v>3</v>
      </c>
      <c r="AD1788" t="str">
        <f>IF(OrdersTable[[#This Row],[Delivery Days]]&lt;=2, "Express (≤2d)", IF(OrdersTable[[#This Row],[Delivery Days]]&lt;=4, "Standard (3-4d)", "Delayed (5d+)"))</f>
        <v>Standard (3-4d)</v>
      </c>
      <c r="AE1788">
        <v>3</v>
      </c>
      <c r="AF1788">
        <v>1</v>
      </c>
    </row>
    <row r="1789" spans="1:32" ht="15" x14ac:dyDescent="0.35">
      <c r="A1789" t="s">
        <v>6527</v>
      </c>
      <c r="B1789" s="1">
        <v>45610</v>
      </c>
      <c r="C1789">
        <f>YEAR(OrdersTable[[#This Row],[Order Date]])</f>
        <v>2024</v>
      </c>
      <c r="D1789" s="2">
        <f>DATE(YEAR(OrdersTable[[#This Row],[Order Date]]),MONTH(OrdersTable[[#This Row],[Order Date]]),1)</f>
        <v>45597</v>
      </c>
      <c r="E1789">
        <f>MONTH(OrdersTable[[#This Row],[Order Date]])</f>
        <v>11</v>
      </c>
      <c r="F1789" t="s">
        <v>2589</v>
      </c>
      <c r="G1789" t="str">
        <f>IF(OrdersTable[[#This Row],[Order Date]]=_xlfn.MINIFS(Order_Date, Customer_ID, OrdersTable[[#This Row],[Customer ID]]), "New", "Repeat")</f>
        <v>New</v>
      </c>
      <c r="H1789" t="s">
        <v>27</v>
      </c>
      <c r="I1789" t="str">
        <f>INDEX(State!B:B,MATCH(OrdersTable[[#This Row],[State]],State!A:A,0))</f>
        <v>WB</v>
      </c>
      <c r="J1789" t="str">
        <f>INDEX(State!C:C,MATCH(OrdersTable[[#This Row],[State Code]],State!B:B,0))</f>
        <v>East</v>
      </c>
      <c r="K1789" t="s">
        <v>28</v>
      </c>
      <c r="L1789" t="s">
        <v>16</v>
      </c>
      <c r="M1789" t="s">
        <v>87</v>
      </c>
      <c r="N1789" t="str">
        <f>INDEX(Products!B:B,MATCH(OrdersTable[[#This Row],[Product ID]],Products!A:A,0))</f>
        <v>Linen Kurta</v>
      </c>
      <c r="O1789" t="str">
        <f>INDEX(Products!C:C,MATCH(OrdersTable[[#This Row],[Product ID]],Products!A:A,0))</f>
        <v>Apparel</v>
      </c>
      <c r="P1789">
        <v>3</v>
      </c>
      <c r="Q1789" s="5">
        <v>1499</v>
      </c>
      <c r="R1789" s="74">
        <v>0.4</v>
      </c>
      <c r="S1789" s="75">
        <f>OrdersTable[[#This Row],[Quantity]]*OrdersTable[[#This Row],[Unit Price]]</f>
        <v>4497</v>
      </c>
      <c r="T1789" s="5">
        <f>OrdersTable[[#This Row],[Gross Sale]]*OrdersTable[[#This Row],[Discount_Clean2]]</f>
        <v>1798.8000000000002</v>
      </c>
      <c r="U1789" s="5">
        <f>OrdersTable[[#This Row],[Gross Sale]]-OrdersTable[[#This Row],[Discount Amount]]</f>
        <v>2698.2</v>
      </c>
      <c r="V1789" s="77">
        <f>INDEX(Products!E:E,MATCH(OrdersTable[[#This Row],[Product ID]],Products!A:A,0))</f>
        <v>630</v>
      </c>
      <c r="W1789" s="77">
        <f>OrdersTable[[#This Row],[Quantity]]*OrdersTable[[#This Row],[Unit Cost]]</f>
        <v>1890</v>
      </c>
      <c r="X1789" s="77">
        <f>'Dropdown Lists'!$I$2*(1+OrdersTable[[#This Row],[Returned]])</f>
        <v>60</v>
      </c>
      <c r="Y1789" s="76">
        <f>OrdersTable[[#This Row],[Net Revenue]]-OrdersTable[[#This Row],[COGS]]-OrdersTable[[#This Row],[Shipping Cost]]</f>
        <v>748.19999999999982</v>
      </c>
      <c r="Z1789" s="78">
        <f>IFERROR(OrdersTable[[#This Row],[Profit]]/OrdersTable[[#This Row],[Net Revenue]],0)</f>
        <v>0.27729597509450737</v>
      </c>
      <c r="AA1789" t="s">
        <v>18</v>
      </c>
      <c r="AB1789" s="79">
        <v>45613</v>
      </c>
      <c r="AC1789">
        <f>OrdersTable[[#This Row],[Delivery Date]]-OrdersTable[[#This Row],[Order Date]]</f>
        <v>3</v>
      </c>
      <c r="AD1789" t="str">
        <f>IF(OrdersTable[[#This Row],[Delivery Days]]&lt;=2, "Express (≤2d)", IF(OrdersTable[[#This Row],[Delivery Days]]&lt;=4, "Standard (3-4d)", "Delayed (5d+)"))</f>
        <v>Standard (3-4d)</v>
      </c>
      <c r="AE1789">
        <v>3</v>
      </c>
      <c r="AF1789">
        <v>0</v>
      </c>
    </row>
    <row r="1790" spans="1:32" ht="15" x14ac:dyDescent="0.35">
      <c r="A1790" t="s">
        <v>3879</v>
      </c>
      <c r="B1790" s="1">
        <v>45610</v>
      </c>
      <c r="C1790">
        <f>YEAR(OrdersTable[[#This Row],[Order Date]])</f>
        <v>2024</v>
      </c>
      <c r="D1790" s="2">
        <f>DATE(YEAR(OrdersTable[[#This Row],[Order Date]]),MONTH(OrdersTable[[#This Row],[Order Date]]),1)</f>
        <v>45597</v>
      </c>
      <c r="E1790">
        <f>MONTH(OrdersTable[[#This Row],[Order Date]])</f>
        <v>11</v>
      </c>
      <c r="F1790" t="s">
        <v>3880</v>
      </c>
      <c r="G1790" t="str">
        <f>IF(OrdersTable[[#This Row],[Order Date]]=_xlfn.MINIFS(Order_Date, Customer_ID, OrdersTable[[#This Row],[Customer ID]]), "New", "Repeat")</f>
        <v>Repeat</v>
      </c>
      <c r="H1790" t="s">
        <v>90</v>
      </c>
      <c r="I1790" t="str">
        <f>INDEX(State!B:B,MATCH(OrdersTable[[#This Row],[State]],State!A:A,0))</f>
        <v>GA</v>
      </c>
      <c r="J1790" t="str">
        <f>INDEX(State!C:C,MATCH(OrdersTable[[#This Row],[State Code]],State!B:B,0))</f>
        <v>West</v>
      </c>
      <c r="K1790" t="s">
        <v>91</v>
      </c>
      <c r="L1790" t="s">
        <v>65</v>
      </c>
      <c r="M1790" t="s">
        <v>84</v>
      </c>
      <c r="N1790" t="str">
        <f>INDEX(Products!B:B,MATCH(OrdersTable[[#This Row],[Product ID]],Products!A:A,0))</f>
        <v>Cotton Bedsheet</v>
      </c>
      <c r="O1790" t="str">
        <f>INDEX(Products!C:C,MATCH(OrdersTable[[#This Row],[Product ID]],Products!A:A,0))</f>
        <v>Home &amp; Kitchen</v>
      </c>
      <c r="P1790">
        <v>1</v>
      </c>
      <c r="Q1790" s="5">
        <v>1299</v>
      </c>
      <c r="R1790" s="74">
        <v>0.2</v>
      </c>
      <c r="S1790" s="75">
        <f>OrdersTable[[#This Row],[Quantity]]*OrdersTable[[#This Row],[Unit Price]]</f>
        <v>1299</v>
      </c>
      <c r="T1790" s="5">
        <f>OrdersTable[[#This Row],[Gross Sale]]*OrdersTable[[#This Row],[Discount_Clean2]]</f>
        <v>259.8</v>
      </c>
      <c r="U1790" s="5">
        <f>OrdersTable[[#This Row],[Gross Sale]]-OrdersTable[[#This Row],[Discount Amount]]</f>
        <v>1039.2</v>
      </c>
      <c r="V1790" s="77">
        <f>INDEX(Products!E:E,MATCH(OrdersTable[[#This Row],[Product ID]],Products!A:A,0))</f>
        <v>585</v>
      </c>
      <c r="W1790" s="77">
        <f>OrdersTable[[#This Row],[Quantity]]*OrdersTable[[#This Row],[Unit Cost]]</f>
        <v>585</v>
      </c>
      <c r="X1790" s="77">
        <f>'Dropdown Lists'!$I$2*(1+OrdersTable[[#This Row],[Returned]])</f>
        <v>60</v>
      </c>
      <c r="Y1790" s="76">
        <f>OrdersTable[[#This Row],[Net Revenue]]-OrdersTable[[#This Row],[COGS]]-OrdersTable[[#This Row],[Shipping Cost]]</f>
        <v>394.20000000000005</v>
      </c>
      <c r="Z1790" s="78">
        <f>IFERROR(OrdersTable[[#This Row],[Profit]]/OrdersTable[[#This Row],[Net Revenue]],0)</f>
        <v>0.37933025404157045</v>
      </c>
      <c r="AA1790" t="s">
        <v>3495</v>
      </c>
      <c r="AB1790" s="79">
        <v>45614</v>
      </c>
      <c r="AC1790">
        <f>OrdersTable[[#This Row],[Delivery Date]]-OrdersTable[[#This Row],[Order Date]]</f>
        <v>4</v>
      </c>
      <c r="AD1790" t="str">
        <f>IF(OrdersTable[[#This Row],[Delivery Days]]&lt;=2, "Express (≤2d)", IF(OrdersTable[[#This Row],[Delivery Days]]&lt;=4, "Standard (3-4d)", "Delayed (5d+)"))</f>
        <v>Standard (3-4d)</v>
      </c>
      <c r="AE1790">
        <v>3</v>
      </c>
      <c r="AF1790">
        <v>0</v>
      </c>
    </row>
    <row r="1791" spans="1:32" ht="15" x14ac:dyDescent="0.35">
      <c r="A1791" t="s">
        <v>3574</v>
      </c>
      <c r="B1791" s="1">
        <v>45610</v>
      </c>
      <c r="C1791">
        <f>YEAR(OrdersTable[[#This Row],[Order Date]])</f>
        <v>2024</v>
      </c>
      <c r="D1791" s="2">
        <f>DATE(YEAR(OrdersTable[[#This Row],[Order Date]]),MONTH(OrdersTable[[#This Row],[Order Date]]),1)</f>
        <v>45597</v>
      </c>
      <c r="E1791">
        <f>MONTH(OrdersTable[[#This Row],[Order Date]])</f>
        <v>11</v>
      </c>
      <c r="F1791" t="s">
        <v>2382</v>
      </c>
      <c r="G1791" t="str">
        <f>IF(OrdersTable[[#This Row],[Order Date]]=_xlfn.MINIFS(Order_Date, Customer_ID, OrdersTable[[#This Row],[Customer ID]]), "New", "Repeat")</f>
        <v>Repeat</v>
      </c>
      <c r="H1791" t="s">
        <v>167</v>
      </c>
      <c r="I1791" t="str">
        <f>INDEX(State!B:B,MATCH(OrdersTable[[#This Row],[State]],State!A:A,0))</f>
        <v>KA</v>
      </c>
      <c r="J1791" t="str">
        <f>INDEX(State!C:C,MATCH(OrdersTable[[#This Row],[State Code]],State!B:B,0))</f>
        <v>South</v>
      </c>
      <c r="K1791" t="s">
        <v>168</v>
      </c>
      <c r="L1791" t="s">
        <v>65</v>
      </c>
      <c r="M1791" t="s">
        <v>152</v>
      </c>
      <c r="N1791" t="str">
        <f>INDEX(Products!B:B,MATCH(OrdersTable[[#This Row],[Product ID]],Products!A:A,0))</f>
        <v>Green Tea (100 bags)</v>
      </c>
      <c r="O1791" t="str">
        <f>INDEX(Products!C:C,MATCH(OrdersTable[[#This Row],[Product ID]],Products!A:A,0))</f>
        <v>Wellness</v>
      </c>
      <c r="P1791">
        <v>1</v>
      </c>
      <c r="Q1791" s="5">
        <v>399</v>
      </c>
      <c r="R1791" s="74">
        <v>0.5</v>
      </c>
      <c r="S1791" s="75">
        <f>OrdersTable[[#This Row],[Quantity]]*OrdersTable[[#This Row],[Unit Price]]</f>
        <v>399</v>
      </c>
      <c r="T1791" s="5">
        <f>OrdersTable[[#This Row],[Gross Sale]]*OrdersTable[[#This Row],[Discount_Clean2]]</f>
        <v>199.5</v>
      </c>
      <c r="U1791" s="5">
        <f>OrdersTable[[#This Row],[Gross Sale]]-OrdersTable[[#This Row],[Discount Amount]]</f>
        <v>199.5</v>
      </c>
      <c r="V1791" s="77">
        <f>INDEX(Products!E:E,MATCH(OrdersTable[[#This Row],[Product ID]],Products!A:A,0))</f>
        <v>128</v>
      </c>
      <c r="W1791" s="77">
        <f>OrdersTable[[#This Row],[Quantity]]*OrdersTable[[#This Row],[Unit Cost]]</f>
        <v>128</v>
      </c>
      <c r="X1791" s="77">
        <f>'Dropdown Lists'!$I$2*(1+OrdersTable[[#This Row],[Returned]])</f>
        <v>60</v>
      </c>
      <c r="Y1791" s="76">
        <f>OrdersTable[[#This Row],[Net Revenue]]-OrdersTable[[#This Row],[COGS]]-OrdersTable[[#This Row],[Shipping Cost]]</f>
        <v>11.5</v>
      </c>
      <c r="Z1791" s="78">
        <f>IFERROR(OrdersTable[[#This Row],[Profit]]/OrdersTable[[#This Row],[Net Revenue]],0)</f>
        <v>5.764411027568922E-2</v>
      </c>
      <c r="AA1791" t="s">
        <v>3495</v>
      </c>
      <c r="AB1791" s="79">
        <v>45613</v>
      </c>
      <c r="AC1791">
        <f>OrdersTable[[#This Row],[Delivery Date]]-OrdersTable[[#This Row],[Order Date]]</f>
        <v>3</v>
      </c>
      <c r="AD1791" t="str">
        <f>IF(OrdersTable[[#This Row],[Delivery Days]]&lt;=2, "Express (≤2d)", IF(OrdersTable[[#This Row],[Delivery Days]]&lt;=4, "Standard (3-4d)", "Delayed (5d+)"))</f>
        <v>Standard (3-4d)</v>
      </c>
      <c r="AE1791">
        <v>4</v>
      </c>
      <c r="AF1791">
        <v>0</v>
      </c>
    </row>
    <row r="1792" spans="1:32" ht="15" x14ac:dyDescent="0.35">
      <c r="A1792" t="s">
        <v>6528</v>
      </c>
      <c r="B1792" s="1">
        <v>45610</v>
      </c>
      <c r="C1792">
        <f>YEAR(OrdersTable[[#This Row],[Order Date]])</f>
        <v>2024</v>
      </c>
      <c r="D1792" s="2">
        <f>DATE(YEAR(OrdersTable[[#This Row],[Order Date]]),MONTH(OrdersTable[[#This Row],[Order Date]]),1)</f>
        <v>45597</v>
      </c>
      <c r="E1792">
        <f>MONTH(OrdersTable[[#This Row],[Order Date]])</f>
        <v>11</v>
      </c>
      <c r="F1792" t="s">
        <v>6529</v>
      </c>
      <c r="G1792" t="str">
        <f>IF(OrdersTable[[#This Row],[Order Date]]=_xlfn.MINIFS(Order_Date, Customer_ID, OrdersTable[[#This Row],[Customer ID]]), "New", "Repeat")</f>
        <v>New</v>
      </c>
      <c r="H1792" t="s">
        <v>316</v>
      </c>
      <c r="I1792" t="str">
        <f>INDEX(State!B:B,MATCH(OrdersTable[[#This Row],[State]],State!A:A,0))</f>
        <v>KL</v>
      </c>
      <c r="J1792" t="str">
        <f>INDEX(State!C:C,MATCH(OrdersTable[[#This Row],[State Code]],State!B:B,0))</f>
        <v>South</v>
      </c>
      <c r="K1792" t="s">
        <v>338</v>
      </c>
      <c r="L1792" t="s">
        <v>39</v>
      </c>
      <c r="M1792" t="s">
        <v>109</v>
      </c>
      <c r="N1792" t="str">
        <f>INDEX(Products!B:B,MATCH(OrdersTable[[#This Row],[Product ID]],Products!A:A,0))</f>
        <v>Onion Hair Oil</v>
      </c>
      <c r="O1792" t="str">
        <f>INDEX(Products!C:C,MATCH(OrdersTable[[#This Row],[Product ID]],Products!A:A,0))</f>
        <v>Haircare</v>
      </c>
      <c r="P1792">
        <v>3</v>
      </c>
      <c r="Q1792" s="5">
        <v>349</v>
      </c>
      <c r="R1792" s="74">
        <v>0.4</v>
      </c>
      <c r="S1792" s="75">
        <f>OrdersTable[[#This Row],[Quantity]]*OrdersTable[[#This Row],[Unit Price]]</f>
        <v>1047</v>
      </c>
      <c r="T1792" s="5">
        <f>OrdersTable[[#This Row],[Gross Sale]]*OrdersTable[[#This Row],[Discount_Clean2]]</f>
        <v>418.8</v>
      </c>
      <c r="U1792" s="5">
        <f>OrdersTable[[#This Row],[Gross Sale]]-OrdersTable[[#This Row],[Discount Amount]]</f>
        <v>628.20000000000005</v>
      </c>
      <c r="V1792" s="77">
        <f>INDEX(Products!E:E,MATCH(OrdersTable[[#This Row],[Product ID]],Products!A:A,0))</f>
        <v>105</v>
      </c>
      <c r="W1792" s="77">
        <f>OrdersTable[[#This Row],[Quantity]]*OrdersTable[[#This Row],[Unit Cost]]</f>
        <v>315</v>
      </c>
      <c r="X1792" s="77">
        <f>'Dropdown Lists'!$I$2*(1+OrdersTable[[#This Row],[Returned]])</f>
        <v>60</v>
      </c>
      <c r="Y1792" s="76">
        <f>OrdersTable[[#This Row],[Net Revenue]]-OrdersTable[[#This Row],[COGS]]-OrdersTable[[#This Row],[Shipping Cost]]</f>
        <v>253.20000000000005</v>
      </c>
      <c r="Z1792" s="78">
        <f>IFERROR(OrdersTable[[#This Row],[Profit]]/OrdersTable[[#This Row],[Net Revenue]],0)</f>
        <v>0.40305635148042029</v>
      </c>
      <c r="AA1792" t="s">
        <v>18</v>
      </c>
      <c r="AB1792" s="79">
        <v>45614</v>
      </c>
      <c r="AC1792">
        <f>OrdersTable[[#This Row],[Delivery Date]]-OrdersTable[[#This Row],[Order Date]]</f>
        <v>4</v>
      </c>
      <c r="AD1792" t="str">
        <f>IF(OrdersTable[[#This Row],[Delivery Days]]&lt;=2, "Express (≤2d)", IF(OrdersTable[[#This Row],[Delivery Days]]&lt;=4, "Standard (3-4d)", "Delayed (5d+)"))</f>
        <v>Standard (3-4d)</v>
      </c>
      <c r="AF1792">
        <v>0</v>
      </c>
    </row>
    <row r="1793" spans="1:32" ht="15" x14ac:dyDescent="0.35">
      <c r="A1793" t="s">
        <v>6873</v>
      </c>
      <c r="B1793" s="1">
        <v>45611</v>
      </c>
      <c r="C1793">
        <f>YEAR(OrdersTable[[#This Row],[Order Date]])</f>
        <v>2024</v>
      </c>
      <c r="D1793" s="2">
        <f>DATE(YEAR(OrdersTable[[#This Row],[Order Date]]),MONTH(OrdersTable[[#This Row],[Order Date]]),1)</f>
        <v>45597</v>
      </c>
      <c r="E1793">
        <f>MONTH(OrdersTable[[#This Row],[Order Date]])</f>
        <v>11</v>
      </c>
      <c r="F1793" t="s">
        <v>6874</v>
      </c>
      <c r="G1793" t="str">
        <f>IF(OrdersTable[[#This Row],[Order Date]]=_xlfn.MINIFS(Order_Date, Customer_ID, OrdersTable[[#This Row],[Customer ID]]), "New", "Repeat")</f>
        <v>New</v>
      </c>
      <c r="H1793" t="s">
        <v>37</v>
      </c>
      <c r="I1793" t="str">
        <f>INDEX(State!B:B,MATCH(OrdersTable[[#This Row],[State]],State!A:A,0))</f>
        <v>GJ</v>
      </c>
      <c r="J1793" t="str">
        <f>INDEX(State!C:C,MATCH(OrdersTable[[#This Row],[State Code]],State!B:B,0))</f>
        <v>West</v>
      </c>
      <c r="K1793" t="s">
        <v>38</v>
      </c>
      <c r="L1793" t="s">
        <v>65</v>
      </c>
      <c r="M1793" t="s">
        <v>56</v>
      </c>
      <c r="N1793" t="str">
        <f>INDEX(Products!B:B,MATCH(OrdersTable[[#This Row],[Product ID]],Products!A:A,0))</f>
        <v>Vitamin C Face Serum</v>
      </c>
      <c r="O1793" t="str">
        <f>INDEX(Products!C:C,MATCH(OrdersTable[[#This Row],[Product ID]],Products!A:A,0))</f>
        <v>Skincare</v>
      </c>
      <c r="P1793">
        <v>3</v>
      </c>
      <c r="Q1793" s="5">
        <v>599</v>
      </c>
      <c r="R1793" s="74">
        <v>0.4</v>
      </c>
      <c r="S1793" s="75">
        <f>OrdersTable[[#This Row],[Quantity]]*OrdersTable[[#This Row],[Unit Price]]</f>
        <v>1797</v>
      </c>
      <c r="T1793" s="5">
        <f>OrdersTable[[#This Row],[Gross Sale]]*OrdersTable[[#This Row],[Discount_Clean2]]</f>
        <v>718.80000000000007</v>
      </c>
      <c r="U1793" s="5">
        <f>OrdersTable[[#This Row],[Gross Sale]]-OrdersTable[[#This Row],[Discount Amount]]</f>
        <v>1078.1999999999998</v>
      </c>
      <c r="V1793" s="77">
        <f>INDEX(Products!E:E,MATCH(OrdersTable[[#This Row],[Product ID]],Products!A:A,0))</f>
        <v>180</v>
      </c>
      <c r="W1793" s="77">
        <f>OrdersTable[[#This Row],[Quantity]]*OrdersTable[[#This Row],[Unit Cost]]</f>
        <v>540</v>
      </c>
      <c r="X1793" s="77">
        <f>'Dropdown Lists'!$I$2*(1+OrdersTable[[#This Row],[Returned]])</f>
        <v>60</v>
      </c>
      <c r="Y1793" s="76">
        <f>OrdersTable[[#This Row],[Net Revenue]]-OrdersTable[[#This Row],[COGS]]-OrdersTable[[#This Row],[Shipping Cost]]</f>
        <v>478.19999999999982</v>
      </c>
      <c r="Z1793" s="78">
        <f>IFERROR(OrdersTable[[#This Row],[Profit]]/OrdersTable[[#This Row],[Net Revenue]],0)</f>
        <v>0.44351697273233159</v>
      </c>
      <c r="AA1793" t="s">
        <v>4074</v>
      </c>
      <c r="AB1793" s="79">
        <v>45614</v>
      </c>
      <c r="AC1793">
        <f>OrdersTable[[#This Row],[Delivery Date]]-OrdersTable[[#This Row],[Order Date]]</f>
        <v>3</v>
      </c>
      <c r="AD1793" t="str">
        <f>IF(OrdersTable[[#This Row],[Delivery Days]]&lt;=2, "Express (≤2d)", IF(OrdersTable[[#This Row],[Delivery Days]]&lt;=4, "Standard (3-4d)", "Delayed (5d+)"))</f>
        <v>Standard (3-4d)</v>
      </c>
      <c r="AF1793">
        <v>0</v>
      </c>
    </row>
    <row r="1794" spans="1:32" ht="15" x14ac:dyDescent="0.35">
      <c r="A1794" t="s">
        <v>5788</v>
      </c>
      <c r="B1794" s="1">
        <v>45611</v>
      </c>
      <c r="C1794">
        <f>YEAR(OrdersTable[[#This Row],[Order Date]])</f>
        <v>2024</v>
      </c>
      <c r="D1794" s="2">
        <f>DATE(YEAR(OrdersTable[[#This Row],[Order Date]]),MONTH(OrdersTable[[#This Row],[Order Date]]),1)</f>
        <v>45597</v>
      </c>
      <c r="E1794">
        <f>MONTH(OrdersTable[[#This Row],[Order Date]])</f>
        <v>11</v>
      </c>
      <c r="F1794" t="s">
        <v>5789</v>
      </c>
      <c r="G1794" t="str">
        <f>IF(OrdersTable[[#This Row],[Order Date]]=_xlfn.MINIFS(Order_Date, Customer_ID, OrdersTable[[#This Row],[Customer ID]]), "New", "Repeat")</f>
        <v>New</v>
      </c>
      <c r="H1794" t="s">
        <v>37</v>
      </c>
      <c r="I1794" t="str">
        <f>INDEX(State!B:B,MATCH(OrdersTable[[#This Row],[State]],State!A:A,0))</f>
        <v>GJ</v>
      </c>
      <c r="J1794" t="str">
        <f>INDEX(State!C:C,MATCH(OrdersTable[[#This Row],[State Code]],State!B:B,0))</f>
        <v>West</v>
      </c>
      <c r="K1794" t="s">
        <v>38</v>
      </c>
      <c r="L1794" t="s">
        <v>65</v>
      </c>
      <c r="M1794" t="s">
        <v>92</v>
      </c>
      <c r="N1794" t="str">
        <f>INDEX(Products!B:B,MATCH(OrdersTable[[#This Row],[Product ID]],Products!A:A,0))</f>
        <v>Kolhapuri Sandals</v>
      </c>
      <c r="O1794" t="str">
        <f>INDEX(Products!C:C,MATCH(OrdersTable[[#This Row],[Product ID]],Products!A:A,0))</f>
        <v>Footwear</v>
      </c>
      <c r="P1794">
        <v>2</v>
      </c>
      <c r="Q1794" s="5">
        <v>999</v>
      </c>
      <c r="R1794" s="74">
        <v>0.2</v>
      </c>
      <c r="S1794" s="75">
        <f>OrdersTable[[#This Row],[Quantity]]*OrdersTable[[#This Row],[Unit Price]]</f>
        <v>1998</v>
      </c>
      <c r="T1794" s="5">
        <f>OrdersTable[[#This Row],[Gross Sale]]*OrdersTable[[#This Row],[Discount_Clean2]]</f>
        <v>399.6</v>
      </c>
      <c r="U1794" s="5">
        <f>OrdersTable[[#This Row],[Gross Sale]]-OrdersTable[[#This Row],[Discount Amount]]</f>
        <v>1598.4</v>
      </c>
      <c r="V1794" s="77">
        <f>INDEX(Products!E:E,MATCH(OrdersTable[[#This Row],[Product ID]],Products!A:A,0))</f>
        <v>400</v>
      </c>
      <c r="W1794" s="77">
        <f>OrdersTable[[#This Row],[Quantity]]*OrdersTable[[#This Row],[Unit Cost]]</f>
        <v>800</v>
      </c>
      <c r="X1794" s="77">
        <f>'Dropdown Lists'!$I$2*(1+OrdersTable[[#This Row],[Returned]])</f>
        <v>60</v>
      </c>
      <c r="Y1794" s="76">
        <f>OrdersTable[[#This Row],[Net Revenue]]-OrdersTable[[#This Row],[COGS]]-OrdersTable[[#This Row],[Shipping Cost]]</f>
        <v>738.40000000000009</v>
      </c>
      <c r="Z1794" s="78">
        <f>IFERROR(OrdersTable[[#This Row],[Profit]]/OrdersTable[[#This Row],[Net Revenue]],0)</f>
        <v>0.46196196196196199</v>
      </c>
      <c r="AA1794" t="s">
        <v>18</v>
      </c>
      <c r="AB1794" s="79">
        <v>45614</v>
      </c>
      <c r="AC1794">
        <f>OrdersTable[[#This Row],[Delivery Date]]-OrdersTable[[#This Row],[Order Date]]</f>
        <v>3</v>
      </c>
      <c r="AD1794" t="str">
        <f>IF(OrdersTable[[#This Row],[Delivery Days]]&lt;=2, "Express (≤2d)", IF(OrdersTable[[#This Row],[Delivery Days]]&lt;=4, "Standard (3-4d)", "Delayed (5d+)"))</f>
        <v>Standard (3-4d)</v>
      </c>
      <c r="AE1794">
        <v>5</v>
      </c>
      <c r="AF1794">
        <v>0</v>
      </c>
    </row>
    <row r="1795" spans="1:32" ht="15" x14ac:dyDescent="0.35">
      <c r="A1795" t="s">
        <v>4253</v>
      </c>
      <c r="B1795" s="1">
        <v>45611</v>
      </c>
      <c r="C1795">
        <f>YEAR(OrdersTable[[#This Row],[Order Date]])</f>
        <v>2024</v>
      </c>
      <c r="D1795" s="2">
        <f>DATE(YEAR(OrdersTable[[#This Row],[Order Date]]),MONTH(OrdersTable[[#This Row],[Order Date]]),1)</f>
        <v>45597</v>
      </c>
      <c r="E1795">
        <f>MONTH(OrdersTable[[#This Row],[Order Date]])</f>
        <v>11</v>
      </c>
      <c r="F1795" t="s">
        <v>4254</v>
      </c>
      <c r="G1795" t="str">
        <f>IF(OrdersTable[[#This Row],[Order Date]]=_xlfn.MINIFS(Order_Date, Customer_ID, OrdersTable[[#This Row],[Customer ID]]), "New", "Repeat")</f>
        <v>Repeat</v>
      </c>
      <c r="H1795" t="s">
        <v>43</v>
      </c>
      <c r="I1795" t="str">
        <f>INDEX(State!B:B,MATCH(OrdersTable[[#This Row],[State]],State!A:A,0))</f>
        <v>MP</v>
      </c>
      <c r="J1795" t="str">
        <f>INDEX(State!C:C,MATCH(OrdersTable[[#This Row],[State Code]],State!B:B,0))</f>
        <v>West</v>
      </c>
      <c r="K1795" t="s">
        <v>250</v>
      </c>
      <c r="L1795" t="s">
        <v>23</v>
      </c>
      <c r="M1795" t="s">
        <v>45</v>
      </c>
      <c r="N1795" t="str">
        <f>INDEX(Products!B:B,MATCH(OrdersTable[[#This Row],[Product ID]],Products!A:A,0))</f>
        <v>Argan Shampoo</v>
      </c>
      <c r="O1795" t="str">
        <f>INDEX(Products!C:C,MATCH(OrdersTable[[#This Row],[Product ID]],Products!A:A,0))</f>
        <v>Haircare</v>
      </c>
      <c r="P1795">
        <v>1</v>
      </c>
      <c r="Q1795" s="5">
        <v>449</v>
      </c>
      <c r="R1795" s="74">
        <v>0.25</v>
      </c>
      <c r="S1795" s="75">
        <f>OrdersTable[[#This Row],[Quantity]]*OrdersTable[[#This Row],[Unit Price]]</f>
        <v>449</v>
      </c>
      <c r="T1795" s="5">
        <f>OrdersTable[[#This Row],[Gross Sale]]*OrdersTable[[#This Row],[Discount_Clean2]]</f>
        <v>112.25</v>
      </c>
      <c r="U1795" s="5">
        <f>OrdersTable[[#This Row],[Gross Sale]]-OrdersTable[[#This Row],[Discount Amount]]</f>
        <v>336.75</v>
      </c>
      <c r="V1795" s="77">
        <f>INDEX(Products!E:E,MATCH(OrdersTable[[#This Row],[Product ID]],Products!A:A,0))</f>
        <v>148</v>
      </c>
      <c r="W1795" s="77">
        <f>OrdersTable[[#This Row],[Quantity]]*OrdersTable[[#This Row],[Unit Cost]]</f>
        <v>148</v>
      </c>
      <c r="X1795" s="77">
        <f>'Dropdown Lists'!$I$2*(1+OrdersTable[[#This Row],[Returned]])</f>
        <v>60</v>
      </c>
      <c r="Y1795" s="76">
        <f>OrdersTable[[#This Row],[Net Revenue]]-OrdersTable[[#This Row],[COGS]]-OrdersTable[[#This Row],[Shipping Cost]]</f>
        <v>128.75</v>
      </c>
      <c r="Z1795" s="78">
        <f>IFERROR(OrdersTable[[#This Row],[Profit]]/OrdersTable[[#This Row],[Net Revenue]],0)</f>
        <v>0.38233110616184113</v>
      </c>
      <c r="AA1795" t="s">
        <v>4074</v>
      </c>
      <c r="AB1795" s="79">
        <v>45618</v>
      </c>
      <c r="AC1795">
        <f>OrdersTable[[#This Row],[Delivery Date]]-OrdersTable[[#This Row],[Order Date]]</f>
        <v>7</v>
      </c>
      <c r="AD1795" t="str">
        <f>IF(OrdersTable[[#This Row],[Delivery Days]]&lt;=2, "Express (≤2d)", IF(OrdersTable[[#This Row],[Delivery Days]]&lt;=4, "Standard (3-4d)", "Delayed (5d+)"))</f>
        <v>Delayed (5d+)</v>
      </c>
      <c r="AF1795">
        <v>0</v>
      </c>
    </row>
    <row r="1796" spans="1:32" ht="15" x14ac:dyDescent="0.35">
      <c r="A1796" t="s">
        <v>4805</v>
      </c>
      <c r="B1796" s="1">
        <v>45611</v>
      </c>
      <c r="C1796">
        <f>YEAR(OrdersTable[[#This Row],[Order Date]])</f>
        <v>2024</v>
      </c>
      <c r="D1796" s="2">
        <f>DATE(YEAR(OrdersTable[[#This Row],[Order Date]]),MONTH(OrdersTable[[#This Row],[Order Date]]),1)</f>
        <v>45597</v>
      </c>
      <c r="E1796">
        <f>MONTH(OrdersTable[[#This Row],[Order Date]])</f>
        <v>11</v>
      </c>
      <c r="F1796" t="s">
        <v>1148</v>
      </c>
      <c r="G1796" t="str">
        <f>IF(OrdersTable[[#This Row],[Order Date]]=_xlfn.MINIFS(Order_Date, Customer_ID, OrdersTable[[#This Row],[Customer ID]]), "New", "Repeat")</f>
        <v>Repeat</v>
      </c>
      <c r="H1796" t="s">
        <v>59</v>
      </c>
      <c r="I1796" t="str">
        <f>INDEX(State!B:B,MATCH(OrdersTable[[#This Row],[State]],State!A:A,0))</f>
        <v>TN</v>
      </c>
      <c r="J1796" t="str">
        <f>INDEX(State!C:C,MATCH(OrdersTable[[#This Row],[State Code]],State!B:B,0))</f>
        <v>South</v>
      </c>
      <c r="K1796" t="s">
        <v>60</v>
      </c>
      <c r="L1796" t="s">
        <v>65</v>
      </c>
      <c r="M1796" t="s">
        <v>160</v>
      </c>
      <c r="N1796" t="str">
        <f>INDEX(Products!B:B,MATCH(OrdersTable[[#This Row],[Product ID]],Products!A:A,0))</f>
        <v>Niacinamide Toner</v>
      </c>
      <c r="O1796" t="str">
        <f>INDEX(Products!C:C,MATCH(OrdersTable[[#This Row],[Product ID]],Products!A:A,0))</f>
        <v>Skincare</v>
      </c>
      <c r="P1796">
        <v>2</v>
      </c>
      <c r="Q1796" s="5">
        <v>399</v>
      </c>
      <c r="R1796" s="74">
        <v>0.3</v>
      </c>
      <c r="S1796" s="75">
        <f>OrdersTable[[#This Row],[Quantity]]*OrdersTable[[#This Row],[Unit Price]]</f>
        <v>798</v>
      </c>
      <c r="T1796" s="5">
        <f>OrdersTable[[#This Row],[Gross Sale]]*OrdersTable[[#This Row],[Discount_Clean2]]</f>
        <v>239.39999999999998</v>
      </c>
      <c r="U1796" s="5">
        <f>OrdersTable[[#This Row],[Gross Sale]]-OrdersTable[[#This Row],[Discount Amount]]</f>
        <v>558.6</v>
      </c>
      <c r="V1796" s="77">
        <f>INDEX(Products!E:E,MATCH(OrdersTable[[#This Row],[Product ID]],Products!A:A,0))</f>
        <v>112</v>
      </c>
      <c r="W1796" s="77">
        <f>OrdersTable[[#This Row],[Quantity]]*OrdersTable[[#This Row],[Unit Cost]]</f>
        <v>224</v>
      </c>
      <c r="X1796" s="77">
        <f>'Dropdown Lists'!$I$2*(1+OrdersTable[[#This Row],[Returned]])</f>
        <v>60</v>
      </c>
      <c r="Y1796" s="76">
        <f>OrdersTable[[#This Row],[Net Revenue]]-OrdersTable[[#This Row],[COGS]]-OrdersTable[[#This Row],[Shipping Cost]]</f>
        <v>274.60000000000002</v>
      </c>
      <c r="Z1796" s="78">
        <f>IFERROR(OrdersTable[[#This Row],[Profit]]/OrdersTable[[#This Row],[Net Revenue]],0)</f>
        <v>0.49158610812746151</v>
      </c>
      <c r="AA1796" t="s">
        <v>4450</v>
      </c>
      <c r="AB1796" s="79">
        <v>45613</v>
      </c>
      <c r="AC1796">
        <f>OrdersTable[[#This Row],[Delivery Date]]-OrdersTable[[#This Row],[Order Date]]</f>
        <v>2</v>
      </c>
      <c r="AD1796" t="str">
        <f>IF(OrdersTable[[#This Row],[Delivery Days]]&lt;=2, "Express (≤2d)", IF(OrdersTable[[#This Row],[Delivery Days]]&lt;=4, "Standard (3-4d)", "Delayed (5d+)"))</f>
        <v>Express (≤2d)</v>
      </c>
      <c r="AE1796">
        <v>5</v>
      </c>
      <c r="AF1796">
        <v>0</v>
      </c>
    </row>
    <row r="1797" spans="1:32" ht="15" x14ac:dyDescent="0.35">
      <c r="A1797" t="s">
        <v>4372</v>
      </c>
      <c r="B1797" s="1">
        <v>45612</v>
      </c>
      <c r="C1797">
        <f>YEAR(OrdersTable[[#This Row],[Order Date]])</f>
        <v>2024</v>
      </c>
      <c r="D1797" s="2">
        <f>DATE(YEAR(OrdersTable[[#This Row],[Order Date]]),MONTH(OrdersTable[[#This Row],[Order Date]]),1)</f>
        <v>45597</v>
      </c>
      <c r="E1797">
        <f>MONTH(OrdersTable[[#This Row],[Order Date]])</f>
        <v>11</v>
      </c>
      <c r="F1797" t="s">
        <v>2653</v>
      </c>
      <c r="G1797" t="str">
        <f>IF(OrdersTable[[#This Row],[Order Date]]=_xlfn.MINIFS(Order_Date, Customer_ID, OrdersTable[[#This Row],[Customer ID]]), "New", "Repeat")</f>
        <v>New</v>
      </c>
      <c r="H1797" t="s">
        <v>54</v>
      </c>
      <c r="I1797" t="str">
        <f>INDEX(State!B:B,MATCH(OrdersTable[[#This Row],[State]],State!A:A,0))</f>
        <v>RJ</v>
      </c>
      <c r="J1797" t="str">
        <f>INDEX(State!C:C,MATCH(OrdersTable[[#This Row],[State Code]],State!B:B,0))</f>
        <v>North</v>
      </c>
      <c r="K1797" t="s">
        <v>55</v>
      </c>
      <c r="L1797" t="s">
        <v>39</v>
      </c>
      <c r="M1797" t="s">
        <v>148</v>
      </c>
      <c r="N1797" t="str">
        <f>INDEX(Products!B:B,MATCH(OrdersTable[[#This Row],[Product ID]],Products!A:A,0))</f>
        <v>Smartwatch Strap</v>
      </c>
      <c r="O1797" t="str">
        <f>INDEX(Products!C:C,MATCH(OrdersTable[[#This Row],[Product ID]],Products!A:A,0))</f>
        <v>Electronics</v>
      </c>
      <c r="P1797">
        <v>1</v>
      </c>
      <c r="Q1797" s="5">
        <v>499</v>
      </c>
      <c r="R1797" s="74">
        <v>0.25</v>
      </c>
      <c r="S1797" s="75">
        <f>OrdersTable[[#This Row],[Quantity]]*OrdersTable[[#This Row],[Unit Price]]</f>
        <v>499</v>
      </c>
      <c r="T1797" s="5">
        <f>OrdersTable[[#This Row],[Gross Sale]]*OrdersTable[[#This Row],[Discount_Clean2]]</f>
        <v>124.75</v>
      </c>
      <c r="U1797" s="5">
        <f>OrdersTable[[#This Row],[Gross Sale]]-OrdersTable[[#This Row],[Discount Amount]]</f>
        <v>374.25</v>
      </c>
      <c r="V1797" s="77">
        <f>INDEX(Products!E:E,MATCH(OrdersTable[[#This Row],[Product ID]],Products!A:A,0))</f>
        <v>200</v>
      </c>
      <c r="W1797" s="77">
        <f>OrdersTable[[#This Row],[Quantity]]*OrdersTable[[#This Row],[Unit Cost]]</f>
        <v>200</v>
      </c>
      <c r="X1797" s="77">
        <f>'Dropdown Lists'!$I$2*(1+OrdersTable[[#This Row],[Returned]])</f>
        <v>60</v>
      </c>
      <c r="Y1797" s="76">
        <f>OrdersTable[[#This Row],[Net Revenue]]-OrdersTable[[#This Row],[COGS]]-OrdersTable[[#This Row],[Shipping Cost]]</f>
        <v>114.25</v>
      </c>
      <c r="Z1797" s="78">
        <f>IFERROR(OrdersTable[[#This Row],[Profit]]/OrdersTable[[#This Row],[Net Revenue]],0)</f>
        <v>0.30527722110888444</v>
      </c>
      <c r="AA1797" t="s">
        <v>4074</v>
      </c>
      <c r="AB1797" s="79">
        <v>45617</v>
      </c>
      <c r="AC1797">
        <f>OrdersTable[[#This Row],[Delivery Date]]-OrdersTable[[#This Row],[Order Date]]</f>
        <v>5</v>
      </c>
      <c r="AD1797" t="str">
        <f>IF(OrdersTable[[#This Row],[Delivery Days]]&lt;=2, "Express (≤2d)", IF(OrdersTable[[#This Row],[Delivery Days]]&lt;=4, "Standard (3-4d)", "Delayed (5d+)"))</f>
        <v>Delayed (5d+)</v>
      </c>
      <c r="AE1797">
        <v>4</v>
      </c>
      <c r="AF1797">
        <v>0</v>
      </c>
    </row>
    <row r="1798" spans="1:32" ht="15" x14ac:dyDescent="0.35">
      <c r="A1798" t="s">
        <v>5597</v>
      </c>
      <c r="B1798" s="1">
        <v>45612</v>
      </c>
      <c r="C1798">
        <f>YEAR(OrdersTable[[#This Row],[Order Date]])</f>
        <v>2024</v>
      </c>
      <c r="D1798" s="2">
        <f>DATE(YEAR(OrdersTable[[#This Row],[Order Date]]),MONTH(OrdersTable[[#This Row],[Order Date]]),1)</f>
        <v>45597</v>
      </c>
      <c r="E1798">
        <f>MONTH(OrdersTable[[#This Row],[Order Date]])</f>
        <v>11</v>
      </c>
      <c r="F1798" t="s">
        <v>1829</v>
      </c>
      <c r="G1798" t="str">
        <f>IF(OrdersTable[[#This Row],[Order Date]]=_xlfn.MINIFS(Order_Date, Customer_ID, OrdersTable[[#This Row],[Customer ID]]), "New", "Repeat")</f>
        <v>Repeat</v>
      </c>
      <c r="H1798" t="s">
        <v>128</v>
      </c>
      <c r="I1798" t="str">
        <f>INDEX(State!B:B,MATCH(OrdersTable[[#This Row],[State]],State!A:A,0))</f>
        <v>DL</v>
      </c>
      <c r="J1798" t="str">
        <f>INDEX(State!C:C,MATCH(OrdersTable[[#This Row],[State Code]],State!B:B,0))</f>
        <v>North</v>
      </c>
      <c r="K1798" t="s">
        <v>129</v>
      </c>
      <c r="L1798" t="s">
        <v>50</v>
      </c>
      <c r="M1798" t="s">
        <v>152</v>
      </c>
      <c r="N1798" t="str">
        <f>INDEX(Products!B:B,MATCH(OrdersTable[[#This Row],[Product ID]],Products!A:A,0))</f>
        <v>Green Tea (100 bags)</v>
      </c>
      <c r="O1798" t="str">
        <f>INDEX(Products!C:C,MATCH(OrdersTable[[#This Row],[Product ID]],Products!A:A,0))</f>
        <v>Wellness</v>
      </c>
      <c r="P1798">
        <v>2</v>
      </c>
      <c r="Q1798" s="5">
        <v>399</v>
      </c>
      <c r="R1798" s="74">
        <v>0.5</v>
      </c>
      <c r="S1798" s="75">
        <f>OrdersTable[[#This Row],[Quantity]]*OrdersTable[[#This Row],[Unit Price]]</f>
        <v>798</v>
      </c>
      <c r="T1798" s="5">
        <f>OrdersTable[[#This Row],[Gross Sale]]*OrdersTable[[#This Row],[Discount_Clean2]]</f>
        <v>399</v>
      </c>
      <c r="U1798" s="5">
        <f>OrdersTable[[#This Row],[Gross Sale]]-OrdersTable[[#This Row],[Discount Amount]]</f>
        <v>399</v>
      </c>
      <c r="V1798" s="77">
        <f>INDEX(Products!E:E,MATCH(OrdersTable[[#This Row],[Product ID]],Products!A:A,0))</f>
        <v>128</v>
      </c>
      <c r="W1798" s="77">
        <f>OrdersTable[[#This Row],[Quantity]]*OrdersTable[[#This Row],[Unit Cost]]</f>
        <v>256</v>
      </c>
      <c r="X1798" s="77">
        <f>'Dropdown Lists'!$I$2*(1+OrdersTable[[#This Row],[Returned]])</f>
        <v>60</v>
      </c>
      <c r="Y1798" s="76">
        <f>OrdersTable[[#This Row],[Net Revenue]]-OrdersTable[[#This Row],[COGS]]-OrdersTable[[#This Row],[Shipping Cost]]</f>
        <v>83</v>
      </c>
      <c r="Z1798" s="78">
        <f>IFERROR(OrdersTable[[#This Row],[Profit]]/OrdersTable[[#This Row],[Net Revenue]],0)</f>
        <v>0.20802005012531327</v>
      </c>
      <c r="AA1798" t="s">
        <v>2522</v>
      </c>
      <c r="AB1798" s="79">
        <v>45614</v>
      </c>
      <c r="AC1798">
        <f>OrdersTable[[#This Row],[Delivery Date]]-OrdersTable[[#This Row],[Order Date]]</f>
        <v>2</v>
      </c>
      <c r="AD1798" t="str">
        <f>IF(OrdersTable[[#This Row],[Delivery Days]]&lt;=2, "Express (≤2d)", IF(OrdersTable[[#This Row],[Delivery Days]]&lt;=4, "Standard (3-4d)", "Delayed (5d+)"))</f>
        <v>Express (≤2d)</v>
      </c>
      <c r="AE1798">
        <v>4</v>
      </c>
      <c r="AF1798">
        <v>0</v>
      </c>
    </row>
    <row r="1799" spans="1:32" ht="15" x14ac:dyDescent="0.35">
      <c r="A1799" t="s">
        <v>5908</v>
      </c>
      <c r="B1799" s="1">
        <v>45612</v>
      </c>
      <c r="C1799">
        <f>YEAR(OrdersTable[[#This Row],[Order Date]])</f>
        <v>2024</v>
      </c>
      <c r="D1799" s="2">
        <f>DATE(YEAR(OrdersTable[[#This Row],[Order Date]]),MONTH(OrdersTable[[#This Row],[Order Date]]),1)</f>
        <v>45597</v>
      </c>
      <c r="E1799">
        <f>MONTH(OrdersTable[[#This Row],[Order Date]])</f>
        <v>11</v>
      </c>
      <c r="F1799" t="s">
        <v>4359</v>
      </c>
      <c r="G1799" t="str">
        <f>IF(OrdersTable[[#This Row],[Order Date]]=_xlfn.MINIFS(Order_Date, Customer_ID, OrdersTable[[#This Row],[Customer ID]]), "New", "Repeat")</f>
        <v>Repeat</v>
      </c>
      <c r="H1799" t="s">
        <v>128</v>
      </c>
      <c r="I1799" t="str">
        <f>INDEX(State!B:B,MATCH(OrdersTable[[#This Row],[State]],State!A:A,0))</f>
        <v>DL</v>
      </c>
      <c r="J1799" t="str">
        <f>INDEX(State!C:C,MATCH(OrdersTable[[#This Row],[State Code]],State!B:B,0))</f>
        <v>North</v>
      </c>
      <c r="K1799" t="s">
        <v>129</v>
      </c>
      <c r="L1799" t="s">
        <v>65</v>
      </c>
      <c r="M1799" t="s">
        <v>84</v>
      </c>
      <c r="N1799" t="str">
        <f>INDEX(Products!B:B,MATCH(OrdersTable[[#This Row],[Product ID]],Products!A:A,0))</f>
        <v>Cotton Bedsheet</v>
      </c>
      <c r="O1799" t="str">
        <f>INDEX(Products!C:C,MATCH(OrdersTable[[#This Row],[Product ID]],Products!A:A,0))</f>
        <v>Home &amp; Kitchen</v>
      </c>
      <c r="P1799">
        <v>2</v>
      </c>
      <c r="Q1799" s="5">
        <v>1299</v>
      </c>
      <c r="R1799" s="74">
        <v>0.15</v>
      </c>
      <c r="S1799" s="75">
        <f>OrdersTable[[#This Row],[Quantity]]*OrdersTable[[#This Row],[Unit Price]]</f>
        <v>2598</v>
      </c>
      <c r="T1799" s="5">
        <f>OrdersTable[[#This Row],[Gross Sale]]*OrdersTable[[#This Row],[Discount_Clean2]]</f>
        <v>389.7</v>
      </c>
      <c r="U1799" s="5">
        <f>OrdersTable[[#This Row],[Gross Sale]]-OrdersTable[[#This Row],[Discount Amount]]</f>
        <v>2208.3000000000002</v>
      </c>
      <c r="V1799" s="77">
        <f>INDEX(Products!E:E,MATCH(OrdersTable[[#This Row],[Product ID]],Products!A:A,0))</f>
        <v>585</v>
      </c>
      <c r="W1799" s="77">
        <f>OrdersTable[[#This Row],[Quantity]]*OrdersTable[[#This Row],[Unit Cost]]</f>
        <v>1170</v>
      </c>
      <c r="X1799" s="77">
        <f>'Dropdown Lists'!$I$2*(1+OrdersTable[[#This Row],[Returned]])</f>
        <v>60</v>
      </c>
      <c r="Y1799" s="76">
        <f>OrdersTable[[#This Row],[Net Revenue]]-OrdersTable[[#This Row],[COGS]]-OrdersTable[[#This Row],[Shipping Cost]]</f>
        <v>978.30000000000018</v>
      </c>
      <c r="Z1799" s="78">
        <f>IFERROR(OrdersTable[[#This Row],[Profit]]/OrdersTable[[#This Row],[Net Revenue]],0)</f>
        <v>0.44301046053525339</v>
      </c>
      <c r="AA1799" t="s">
        <v>18</v>
      </c>
      <c r="AB1799" s="79">
        <v>45615</v>
      </c>
      <c r="AC1799">
        <f>OrdersTable[[#This Row],[Delivery Date]]-OrdersTable[[#This Row],[Order Date]]</f>
        <v>3</v>
      </c>
      <c r="AD1799" t="str">
        <f>IF(OrdersTable[[#This Row],[Delivery Days]]&lt;=2, "Express (≤2d)", IF(OrdersTable[[#This Row],[Delivery Days]]&lt;=4, "Standard (3-4d)", "Delayed (5d+)"))</f>
        <v>Standard (3-4d)</v>
      </c>
      <c r="AF1799">
        <v>0</v>
      </c>
    </row>
    <row r="1800" spans="1:32" ht="15" x14ac:dyDescent="0.35">
      <c r="A1800" t="s">
        <v>3575</v>
      </c>
      <c r="B1800" s="1">
        <v>45612</v>
      </c>
      <c r="C1800">
        <f>YEAR(OrdersTable[[#This Row],[Order Date]])</f>
        <v>2024</v>
      </c>
      <c r="D1800" s="2">
        <f>DATE(YEAR(OrdersTable[[#This Row],[Order Date]]),MONTH(OrdersTable[[#This Row],[Order Date]]),1)</f>
        <v>45597</v>
      </c>
      <c r="E1800">
        <f>MONTH(OrdersTable[[#This Row],[Order Date]])</f>
        <v>11</v>
      </c>
      <c r="F1800" t="s">
        <v>2791</v>
      </c>
      <c r="G1800" t="str">
        <f>IF(OrdersTable[[#This Row],[Order Date]]=_xlfn.MINIFS(Order_Date, Customer_ID, OrdersTable[[#This Row],[Customer ID]]), "New", "Repeat")</f>
        <v>New</v>
      </c>
      <c r="H1800" t="s">
        <v>76</v>
      </c>
      <c r="I1800" t="str">
        <f>INDEX(State!B:B,MATCH(OrdersTable[[#This Row],[State]],State!A:A,0))</f>
        <v>UP</v>
      </c>
      <c r="J1800" t="str">
        <f>INDEX(State!C:C,MATCH(OrdersTable[[#This Row],[State Code]],State!B:B,0))</f>
        <v>North</v>
      </c>
      <c r="K1800" t="s">
        <v>77</v>
      </c>
      <c r="L1800" t="s">
        <v>16</v>
      </c>
      <c r="M1800" t="s">
        <v>255</v>
      </c>
      <c r="N1800" t="str">
        <f>INDEX(Products!B:B,MATCH(OrdersTable[[#This Row],[Product ID]],Products!A:A,0))</f>
        <v>Cotton Oversized T-Shirt</v>
      </c>
      <c r="O1800" t="str">
        <f>INDEX(Products!C:C,MATCH(OrdersTable[[#This Row],[Product ID]],Products!A:A,0))</f>
        <v>Apparel</v>
      </c>
      <c r="P1800">
        <v>1</v>
      </c>
      <c r="Q1800" s="5">
        <v>799</v>
      </c>
      <c r="R1800" s="74">
        <v>0.1</v>
      </c>
      <c r="S1800" s="75">
        <f>OrdersTable[[#This Row],[Quantity]]*OrdersTable[[#This Row],[Unit Price]]</f>
        <v>799</v>
      </c>
      <c r="T1800" s="5">
        <f>OrdersTable[[#This Row],[Gross Sale]]*OrdersTable[[#This Row],[Discount_Clean2]]</f>
        <v>79.900000000000006</v>
      </c>
      <c r="U1800" s="5">
        <f>OrdersTable[[#This Row],[Gross Sale]]-OrdersTable[[#This Row],[Discount Amount]]</f>
        <v>719.1</v>
      </c>
      <c r="V1800" s="77">
        <f>INDEX(Products!E:E,MATCH(OrdersTable[[#This Row],[Product ID]],Products!A:A,0))</f>
        <v>320</v>
      </c>
      <c r="W1800" s="77">
        <f>OrdersTable[[#This Row],[Quantity]]*OrdersTable[[#This Row],[Unit Cost]]</f>
        <v>320</v>
      </c>
      <c r="X1800" s="77">
        <f>'Dropdown Lists'!$I$2*(1+OrdersTable[[#This Row],[Returned]])</f>
        <v>60</v>
      </c>
      <c r="Y1800" s="76">
        <f>OrdersTable[[#This Row],[Net Revenue]]-OrdersTable[[#This Row],[COGS]]-OrdersTable[[#This Row],[Shipping Cost]]</f>
        <v>339.1</v>
      </c>
      <c r="Z1800" s="78">
        <f>IFERROR(OrdersTable[[#This Row],[Profit]]/OrdersTable[[#This Row],[Net Revenue]],0)</f>
        <v>0.47156167431511614</v>
      </c>
      <c r="AA1800" t="s">
        <v>3495</v>
      </c>
      <c r="AB1800" s="79">
        <v>45617</v>
      </c>
      <c r="AC1800">
        <f>OrdersTable[[#This Row],[Delivery Date]]-OrdersTable[[#This Row],[Order Date]]</f>
        <v>5</v>
      </c>
      <c r="AD1800" t="str">
        <f>IF(OrdersTable[[#This Row],[Delivery Days]]&lt;=2, "Express (≤2d)", IF(OrdersTable[[#This Row],[Delivery Days]]&lt;=4, "Standard (3-4d)", "Delayed (5d+)"))</f>
        <v>Delayed (5d+)</v>
      </c>
      <c r="AE1800">
        <v>4</v>
      </c>
      <c r="AF1800">
        <v>0</v>
      </c>
    </row>
    <row r="1801" spans="1:32" ht="15" x14ac:dyDescent="0.35">
      <c r="A1801" t="s">
        <v>1924</v>
      </c>
      <c r="B1801" s="1">
        <v>45612</v>
      </c>
      <c r="C1801">
        <f>YEAR(OrdersTable[[#This Row],[Order Date]])</f>
        <v>2024</v>
      </c>
      <c r="D1801" s="2">
        <f>DATE(YEAR(OrdersTable[[#This Row],[Order Date]]),MONTH(OrdersTable[[#This Row],[Order Date]]),1)</f>
        <v>45597</v>
      </c>
      <c r="E1801">
        <f>MONTH(OrdersTable[[#This Row],[Order Date]])</f>
        <v>11</v>
      </c>
      <c r="F1801" t="s">
        <v>1686</v>
      </c>
      <c r="G1801" t="str">
        <f>IF(OrdersTable[[#This Row],[Order Date]]=_xlfn.MINIFS(Order_Date, Customer_ID, OrdersTable[[#This Row],[Customer ID]]), "New", "Repeat")</f>
        <v>Repeat</v>
      </c>
      <c r="H1801" t="s">
        <v>132</v>
      </c>
      <c r="I1801" t="str">
        <f>INDEX(State!B:B,MATCH(OrdersTable[[#This Row],[State]],State!A:A,0))</f>
        <v>AS</v>
      </c>
      <c r="J1801" t="str">
        <f>INDEX(State!C:C,MATCH(OrdersTable[[#This Row],[State Code]],State!B:B,0))</f>
        <v>East</v>
      </c>
      <c r="K1801" t="s">
        <v>133</v>
      </c>
      <c r="L1801" t="s">
        <v>65</v>
      </c>
      <c r="M1801" t="s">
        <v>125</v>
      </c>
      <c r="N1801" t="str">
        <f>INDEX(Products!B:B,MATCH(OrdersTable[[#This Row],[Product ID]],Products!A:A,0))</f>
        <v>Copper Water Bottle</v>
      </c>
      <c r="O1801" t="str">
        <f>INDEX(Products!C:C,MATCH(OrdersTable[[#This Row],[Product ID]],Products!A:A,0))</f>
        <v>Home &amp; Kitchen</v>
      </c>
      <c r="P1801">
        <v>1</v>
      </c>
      <c r="Q1801" s="5">
        <v>899</v>
      </c>
      <c r="R1801" s="74">
        <v>0.15</v>
      </c>
      <c r="S1801" s="75">
        <f>OrdersTable[[#This Row],[Quantity]]*OrdersTable[[#This Row],[Unit Price]]</f>
        <v>899</v>
      </c>
      <c r="T1801" s="5">
        <f>OrdersTable[[#This Row],[Gross Sale]]*OrdersTable[[#This Row],[Discount_Clean2]]</f>
        <v>134.85</v>
      </c>
      <c r="U1801" s="5">
        <f>OrdersTable[[#This Row],[Gross Sale]]-OrdersTable[[#This Row],[Discount Amount]]</f>
        <v>764.15</v>
      </c>
      <c r="V1801" s="77">
        <f>INDEX(Products!E:E,MATCH(OrdersTable[[#This Row],[Product ID]],Products!A:A,0))</f>
        <v>378</v>
      </c>
      <c r="W1801" s="77">
        <f>OrdersTable[[#This Row],[Quantity]]*OrdersTable[[#This Row],[Unit Cost]]</f>
        <v>378</v>
      </c>
      <c r="X1801" s="77">
        <f>'Dropdown Lists'!$I$2*(1+OrdersTable[[#This Row],[Returned]])</f>
        <v>60</v>
      </c>
      <c r="Y1801" s="76">
        <f>OrdersTable[[#This Row],[Net Revenue]]-OrdersTable[[#This Row],[COGS]]-OrdersTable[[#This Row],[Shipping Cost]]</f>
        <v>326.14999999999998</v>
      </c>
      <c r="Z1801" s="78">
        <f>IFERROR(OrdersTable[[#This Row],[Profit]]/OrdersTable[[#This Row],[Net Revenue]],0)</f>
        <v>0.42681410717791007</v>
      </c>
      <c r="AA1801" t="s">
        <v>18</v>
      </c>
      <c r="AB1801" s="79">
        <v>45619</v>
      </c>
      <c r="AC1801">
        <f>OrdersTable[[#This Row],[Delivery Date]]-OrdersTable[[#This Row],[Order Date]]</f>
        <v>7</v>
      </c>
      <c r="AD1801" t="str">
        <f>IF(OrdersTable[[#This Row],[Delivery Days]]&lt;=2, "Express (≤2d)", IF(OrdersTable[[#This Row],[Delivery Days]]&lt;=4, "Standard (3-4d)", "Delayed (5d+)"))</f>
        <v>Delayed (5d+)</v>
      </c>
      <c r="AE1801">
        <v>3</v>
      </c>
      <c r="AF1801">
        <v>0</v>
      </c>
    </row>
    <row r="1802" spans="1:32" ht="15" x14ac:dyDescent="0.35">
      <c r="A1802" t="s">
        <v>6110</v>
      </c>
      <c r="B1802" s="1">
        <v>45612</v>
      </c>
      <c r="C1802">
        <f>YEAR(OrdersTable[[#This Row],[Order Date]])</f>
        <v>2024</v>
      </c>
      <c r="D1802" s="2">
        <f>DATE(YEAR(OrdersTable[[#This Row],[Order Date]]),MONTH(OrdersTable[[#This Row],[Order Date]]),1)</f>
        <v>45597</v>
      </c>
      <c r="E1802">
        <f>MONTH(OrdersTable[[#This Row],[Order Date]])</f>
        <v>11</v>
      </c>
      <c r="F1802" t="s">
        <v>719</v>
      </c>
      <c r="G1802" t="str">
        <f>IF(OrdersTable[[#This Row],[Order Date]]=_xlfn.MINIFS(Order_Date, Customer_ID, OrdersTable[[#This Row],[Customer ID]]), "New", "Repeat")</f>
        <v>Repeat</v>
      </c>
      <c r="H1802" t="s">
        <v>71</v>
      </c>
      <c r="I1802" t="str">
        <f>INDEX(State!B:B,MATCH(OrdersTable[[#This Row],[State]],State!A:A,0))</f>
        <v>MH</v>
      </c>
      <c r="J1802" t="str">
        <f>INDEX(State!C:C,MATCH(OrdersTable[[#This Row],[State Code]],State!B:B,0))</f>
        <v>West</v>
      </c>
      <c r="K1802" t="s">
        <v>102</v>
      </c>
      <c r="L1802" t="s">
        <v>65</v>
      </c>
      <c r="M1802" t="s">
        <v>61</v>
      </c>
      <c r="N1802" t="str">
        <f>INDEX(Products!B:B,MATCH(OrdersTable[[#This Row],[Product ID]],Products!A:A,0))</f>
        <v>Multivitamin Gummies</v>
      </c>
      <c r="O1802" t="str">
        <f>INDEX(Products!C:C,MATCH(OrdersTable[[#This Row],[Product ID]],Products!A:A,0))</f>
        <v>Wellness</v>
      </c>
      <c r="P1802">
        <v>2</v>
      </c>
      <c r="Q1802" s="5">
        <v>699</v>
      </c>
      <c r="R1802" s="74">
        <v>0.35</v>
      </c>
      <c r="S1802" s="75">
        <f>OrdersTable[[#This Row],[Quantity]]*OrdersTable[[#This Row],[Unit Price]]</f>
        <v>1398</v>
      </c>
      <c r="T1802" s="5">
        <f>OrdersTable[[#This Row],[Gross Sale]]*OrdersTable[[#This Row],[Discount_Clean2]]</f>
        <v>489.29999999999995</v>
      </c>
      <c r="U1802" s="5">
        <f>OrdersTable[[#This Row],[Gross Sale]]-OrdersTable[[#This Row],[Discount Amount]]</f>
        <v>908.7</v>
      </c>
      <c r="V1802" s="77">
        <f>INDEX(Products!E:E,MATCH(OrdersTable[[#This Row],[Product ID]],Products!A:A,0))</f>
        <v>238</v>
      </c>
      <c r="W1802" s="77">
        <f>OrdersTable[[#This Row],[Quantity]]*OrdersTable[[#This Row],[Unit Cost]]</f>
        <v>476</v>
      </c>
      <c r="X1802" s="77">
        <f>'Dropdown Lists'!$I$2*(1+OrdersTable[[#This Row],[Returned]])</f>
        <v>60</v>
      </c>
      <c r="Y1802" s="76">
        <f>OrdersTable[[#This Row],[Net Revenue]]-OrdersTable[[#This Row],[COGS]]-OrdersTable[[#This Row],[Shipping Cost]]</f>
        <v>372.70000000000005</v>
      </c>
      <c r="Z1802" s="78">
        <f>IFERROR(OrdersTable[[#This Row],[Profit]]/OrdersTable[[#This Row],[Net Revenue]],0)</f>
        <v>0.41014636293606255</v>
      </c>
      <c r="AA1802" t="s">
        <v>18</v>
      </c>
      <c r="AB1802" s="79">
        <v>45613</v>
      </c>
      <c r="AC1802">
        <f>OrdersTable[[#This Row],[Delivery Date]]-OrdersTable[[#This Row],[Order Date]]</f>
        <v>1</v>
      </c>
      <c r="AD1802" t="str">
        <f>IF(OrdersTable[[#This Row],[Delivery Days]]&lt;=2, "Express (≤2d)", IF(OrdersTable[[#This Row],[Delivery Days]]&lt;=4, "Standard (3-4d)", "Delayed (5d+)"))</f>
        <v>Express (≤2d)</v>
      </c>
      <c r="AE1802">
        <v>4</v>
      </c>
      <c r="AF1802">
        <v>0</v>
      </c>
    </row>
    <row r="1803" spans="1:32" ht="15" x14ac:dyDescent="0.35">
      <c r="A1803" t="s">
        <v>1055</v>
      </c>
      <c r="B1803" s="1">
        <v>45612</v>
      </c>
      <c r="C1803">
        <f>YEAR(OrdersTable[[#This Row],[Order Date]])</f>
        <v>2024</v>
      </c>
      <c r="D1803" s="2">
        <f>DATE(YEAR(OrdersTable[[#This Row],[Order Date]]),MONTH(OrdersTable[[#This Row],[Order Date]]),1)</f>
        <v>45597</v>
      </c>
      <c r="E1803">
        <f>MONTH(OrdersTable[[#This Row],[Order Date]])</f>
        <v>11</v>
      </c>
      <c r="F1803" t="s">
        <v>1056</v>
      </c>
      <c r="G1803" t="str">
        <f>IF(OrdersTable[[#This Row],[Order Date]]=_xlfn.MINIFS(Order_Date, Customer_ID, OrdersTable[[#This Row],[Customer ID]]), "New", "Repeat")</f>
        <v>New</v>
      </c>
      <c r="H1803" t="s">
        <v>95</v>
      </c>
      <c r="I1803" t="str">
        <f>INDEX(State!B:B,MATCH(OrdersTable[[#This Row],[State]],State!A:A,0))</f>
        <v>TG</v>
      </c>
      <c r="J1803" t="str">
        <f>INDEX(State!C:C,MATCH(OrdersTable[[#This Row],[State Code]],State!B:B,0))</f>
        <v>South</v>
      </c>
      <c r="K1803" t="s">
        <v>96</v>
      </c>
      <c r="L1803" t="s">
        <v>65</v>
      </c>
      <c r="M1803" t="s">
        <v>34</v>
      </c>
      <c r="N1803" t="str">
        <f>INDEX(Products!B:B,MATCH(OrdersTable[[#This Row],[Product ID]],Products!A:A,0))</f>
        <v>Flip Flops</v>
      </c>
      <c r="O1803" t="str">
        <f>INDEX(Products!C:C,MATCH(OrdersTable[[#This Row],[Product ID]],Products!A:A,0))</f>
        <v>Footwear</v>
      </c>
      <c r="P1803">
        <v>1</v>
      </c>
      <c r="Q1803" s="5">
        <v>399</v>
      </c>
      <c r="R1803" s="74">
        <v>0.3</v>
      </c>
      <c r="S1803" s="75">
        <f>OrdersTable[[#This Row],[Quantity]]*OrdersTable[[#This Row],[Unit Price]]</f>
        <v>399</v>
      </c>
      <c r="T1803" s="5">
        <f>OrdersTable[[#This Row],[Gross Sale]]*OrdersTable[[#This Row],[Discount_Clean2]]</f>
        <v>119.69999999999999</v>
      </c>
      <c r="U1803" s="5">
        <f>OrdersTable[[#This Row],[Gross Sale]]-OrdersTable[[#This Row],[Discount Amount]]</f>
        <v>279.3</v>
      </c>
      <c r="V1803" s="77">
        <f>INDEX(Products!E:E,MATCH(OrdersTable[[#This Row],[Product ID]],Products!A:A,0))</f>
        <v>152</v>
      </c>
      <c r="W1803" s="77">
        <f>OrdersTable[[#This Row],[Quantity]]*OrdersTable[[#This Row],[Unit Cost]]</f>
        <v>152</v>
      </c>
      <c r="X1803" s="77">
        <f>'Dropdown Lists'!$I$2*(1+OrdersTable[[#This Row],[Returned]])</f>
        <v>120</v>
      </c>
      <c r="Y1803" s="76">
        <f>OrdersTable[[#This Row],[Net Revenue]]-OrdersTable[[#This Row],[COGS]]-OrdersTable[[#This Row],[Shipping Cost]]</f>
        <v>7.3000000000000114</v>
      </c>
      <c r="Z1803" s="78">
        <f>IFERROR(OrdersTable[[#This Row],[Profit]]/OrdersTable[[#This Row],[Net Revenue]],0)</f>
        <v>2.6136770497672792E-2</v>
      </c>
      <c r="AA1803" t="s">
        <v>18</v>
      </c>
      <c r="AB1803" s="79">
        <v>45615</v>
      </c>
      <c r="AC1803">
        <f>OrdersTable[[#This Row],[Delivery Date]]-OrdersTable[[#This Row],[Order Date]]</f>
        <v>3</v>
      </c>
      <c r="AD1803" t="str">
        <f>IF(OrdersTable[[#This Row],[Delivery Days]]&lt;=2, "Express (≤2d)", IF(OrdersTable[[#This Row],[Delivery Days]]&lt;=4, "Standard (3-4d)", "Delayed (5d+)"))</f>
        <v>Standard (3-4d)</v>
      </c>
      <c r="AE1803">
        <v>4</v>
      </c>
      <c r="AF1803">
        <v>1</v>
      </c>
    </row>
    <row r="1804" spans="1:32" ht="15" x14ac:dyDescent="0.35">
      <c r="A1804" t="s">
        <v>6530</v>
      </c>
      <c r="B1804" s="1">
        <v>45612</v>
      </c>
      <c r="C1804">
        <f>YEAR(OrdersTable[[#This Row],[Order Date]])</f>
        <v>2024</v>
      </c>
      <c r="D1804" s="2">
        <f>DATE(YEAR(OrdersTable[[#This Row],[Order Date]]),MONTH(OrdersTable[[#This Row],[Order Date]]),1)</f>
        <v>45597</v>
      </c>
      <c r="E1804">
        <f>MONTH(OrdersTable[[#This Row],[Order Date]])</f>
        <v>11</v>
      </c>
      <c r="F1804" t="s">
        <v>6531</v>
      </c>
      <c r="G1804" t="str">
        <f>IF(OrdersTable[[#This Row],[Order Date]]=_xlfn.MINIFS(Order_Date, Customer_ID, OrdersTable[[#This Row],[Customer ID]]), "New", "Repeat")</f>
        <v>New</v>
      </c>
      <c r="H1804" t="s">
        <v>167</v>
      </c>
      <c r="I1804" t="str">
        <f>INDEX(State!B:B,MATCH(OrdersTable[[#This Row],[State]],State!A:A,0))</f>
        <v>KA</v>
      </c>
      <c r="J1804" t="str">
        <f>INDEX(State!C:C,MATCH(OrdersTable[[#This Row],[State Code]],State!B:B,0))</f>
        <v>South</v>
      </c>
      <c r="K1804" t="s">
        <v>168</v>
      </c>
      <c r="L1804" t="s">
        <v>23</v>
      </c>
      <c r="M1804" t="s">
        <v>45</v>
      </c>
      <c r="N1804" t="str">
        <f>INDEX(Products!B:B,MATCH(OrdersTable[[#This Row],[Product ID]],Products!A:A,0))</f>
        <v>Argan Shampoo</v>
      </c>
      <c r="O1804" t="str">
        <f>INDEX(Products!C:C,MATCH(OrdersTable[[#This Row],[Product ID]],Products!A:A,0))</f>
        <v>Haircare</v>
      </c>
      <c r="P1804">
        <v>3</v>
      </c>
      <c r="Q1804" s="5">
        <v>449</v>
      </c>
      <c r="R1804" s="74">
        <v>0.25</v>
      </c>
      <c r="S1804" s="75">
        <f>OrdersTable[[#This Row],[Quantity]]*OrdersTable[[#This Row],[Unit Price]]</f>
        <v>1347</v>
      </c>
      <c r="T1804" s="5">
        <f>OrdersTable[[#This Row],[Gross Sale]]*OrdersTable[[#This Row],[Discount_Clean2]]</f>
        <v>336.75</v>
      </c>
      <c r="U1804" s="5">
        <f>OrdersTable[[#This Row],[Gross Sale]]-OrdersTable[[#This Row],[Discount Amount]]</f>
        <v>1010.25</v>
      </c>
      <c r="V1804" s="77">
        <f>INDEX(Products!E:E,MATCH(OrdersTable[[#This Row],[Product ID]],Products!A:A,0))</f>
        <v>148</v>
      </c>
      <c r="W1804" s="77">
        <f>OrdersTable[[#This Row],[Quantity]]*OrdersTable[[#This Row],[Unit Cost]]</f>
        <v>444</v>
      </c>
      <c r="X1804" s="77">
        <f>'Dropdown Lists'!$I$2*(1+OrdersTable[[#This Row],[Returned]])</f>
        <v>60</v>
      </c>
      <c r="Y1804" s="76">
        <f>OrdersTable[[#This Row],[Net Revenue]]-OrdersTable[[#This Row],[COGS]]-OrdersTable[[#This Row],[Shipping Cost]]</f>
        <v>506.25</v>
      </c>
      <c r="Z1804" s="78">
        <f>IFERROR(OrdersTable[[#This Row],[Profit]]/OrdersTable[[#This Row],[Net Revenue]],0)</f>
        <v>0.50111358574610243</v>
      </c>
      <c r="AA1804" t="s">
        <v>18</v>
      </c>
      <c r="AB1804" s="79">
        <v>45616</v>
      </c>
      <c r="AC1804">
        <f>OrdersTable[[#This Row],[Delivery Date]]-OrdersTable[[#This Row],[Order Date]]</f>
        <v>4</v>
      </c>
      <c r="AD1804" t="str">
        <f>IF(OrdersTable[[#This Row],[Delivery Days]]&lt;=2, "Express (≤2d)", IF(OrdersTable[[#This Row],[Delivery Days]]&lt;=4, "Standard (3-4d)", "Delayed (5d+)"))</f>
        <v>Standard (3-4d)</v>
      </c>
      <c r="AE1804">
        <v>4</v>
      </c>
      <c r="AF1804">
        <v>0</v>
      </c>
    </row>
    <row r="1805" spans="1:32" ht="15" x14ac:dyDescent="0.35">
      <c r="A1805" t="s">
        <v>2588</v>
      </c>
      <c r="B1805" s="1">
        <v>45612</v>
      </c>
      <c r="C1805">
        <f>YEAR(OrdersTable[[#This Row],[Order Date]])</f>
        <v>2024</v>
      </c>
      <c r="D1805" s="2">
        <f>DATE(YEAR(OrdersTable[[#This Row],[Order Date]]),MONTH(OrdersTable[[#This Row],[Order Date]]),1)</f>
        <v>45597</v>
      </c>
      <c r="E1805">
        <f>MONTH(OrdersTable[[#This Row],[Order Date]])</f>
        <v>11</v>
      </c>
      <c r="F1805" t="s">
        <v>2589</v>
      </c>
      <c r="G1805" t="str">
        <f>IF(OrdersTable[[#This Row],[Order Date]]=_xlfn.MINIFS(Order_Date, Customer_ID, OrdersTable[[#This Row],[Customer ID]]), "New", "Repeat")</f>
        <v>Repeat</v>
      </c>
      <c r="H1805" t="s">
        <v>59</v>
      </c>
      <c r="I1805" t="str">
        <f>INDEX(State!B:B,MATCH(OrdersTable[[#This Row],[State]],State!A:A,0))</f>
        <v>TN</v>
      </c>
      <c r="J1805" t="str">
        <f>INDEX(State!C:C,MATCH(OrdersTable[[#This Row],[State Code]],State!B:B,0))</f>
        <v>South</v>
      </c>
      <c r="K1805" t="s">
        <v>64</v>
      </c>
      <c r="L1805" t="s">
        <v>50</v>
      </c>
      <c r="M1805" t="s">
        <v>51</v>
      </c>
      <c r="N1805" t="str">
        <f>INDEX(Products!B:B,MATCH(OrdersTable[[#This Row],[Product ID]],Products!A:A,0))</f>
        <v>Anti-Dandruff Conditioner</v>
      </c>
      <c r="O1805" t="str">
        <f>INDEX(Products!C:C,MATCH(OrdersTable[[#This Row],[Product ID]],Products!A:A,0))</f>
        <v>Haircare</v>
      </c>
      <c r="P1805">
        <v>1</v>
      </c>
      <c r="Q1805" s="5">
        <v>399</v>
      </c>
      <c r="R1805" s="74">
        <v>0.45</v>
      </c>
      <c r="S1805" s="75">
        <f>OrdersTable[[#This Row],[Quantity]]*OrdersTable[[#This Row],[Unit Price]]</f>
        <v>399</v>
      </c>
      <c r="T1805" s="5">
        <f>OrdersTable[[#This Row],[Gross Sale]]*OrdersTable[[#This Row],[Discount_Clean2]]</f>
        <v>179.55</v>
      </c>
      <c r="U1805" s="5">
        <f>OrdersTable[[#This Row],[Gross Sale]]-OrdersTable[[#This Row],[Discount Amount]]</f>
        <v>219.45</v>
      </c>
      <c r="V1805" s="77">
        <f>INDEX(Products!E:E,MATCH(OrdersTable[[#This Row],[Product ID]],Products!A:A,0))</f>
        <v>136</v>
      </c>
      <c r="W1805" s="77">
        <f>OrdersTable[[#This Row],[Quantity]]*OrdersTable[[#This Row],[Unit Cost]]</f>
        <v>136</v>
      </c>
      <c r="X1805" s="77">
        <f>'Dropdown Lists'!$I$2*(1+OrdersTable[[#This Row],[Returned]])</f>
        <v>120</v>
      </c>
      <c r="Y1805" s="76">
        <f>OrdersTable[[#This Row],[Net Revenue]]-OrdersTable[[#This Row],[COGS]]-OrdersTable[[#This Row],[Shipping Cost]]</f>
        <v>-36.550000000000011</v>
      </c>
      <c r="Z1805" s="78">
        <f>IFERROR(OrdersTable[[#This Row],[Profit]]/OrdersTable[[#This Row],[Net Revenue]],0)</f>
        <v>-0.16655274550011398</v>
      </c>
      <c r="AA1805" t="s">
        <v>2522</v>
      </c>
      <c r="AB1805" s="79">
        <v>45614</v>
      </c>
      <c r="AC1805">
        <f>OrdersTable[[#This Row],[Delivery Date]]-OrdersTable[[#This Row],[Order Date]]</f>
        <v>2</v>
      </c>
      <c r="AD1805" t="str">
        <f>IF(OrdersTable[[#This Row],[Delivery Days]]&lt;=2, "Express (≤2d)", IF(OrdersTable[[#This Row],[Delivery Days]]&lt;=4, "Standard (3-4d)", "Delayed (5d+)"))</f>
        <v>Express (≤2d)</v>
      </c>
      <c r="AE1805">
        <v>5</v>
      </c>
      <c r="AF1805">
        <v>1</v>
      </c>
    </row>
    <row r="1806" spans="1:32" ht="15" x14ac:dyDescent="0.35">
      <c r="A1806" t="s">
        <v>6978</v>
      </c>
      <c r="B1806" s="1">
        <v>45613</v>
      </c>
      <c r="C1806">
        <f>YEAR(OrdersTable[[#This Row],[Order Date]])</f>
        <v>2024</v>
      </c>
      <c r="D1806" s="2">
        <f>DATE(YEAR(OrdersTable[[#This Row],[Order Date]]),MONTH(OrdersTable[[#This Row],[Order Date]]),1)</f>
        <v>45597</v>
      </c>
      <c r="E1806">
        <f>MONTH(OrdersTable[[#This Row],[Order Date]])</f>
        <v>11</v>
      </c>
      <c r="F1806" t="s">
        <v>1694</v>
      </c>
      <c r="G1806" t="str">
        <f>IF(OrdersTable[[#This Row],[Order Date]]=_xlfn.MINIFS(Order_Date, Customer_ID, OrdersTable[[#This Row],[Customer ID]]), "New", "Repeat")</f>
        <v>Repeat</v>
      </c>
      <c r="H1806" t="s">
        <v>184</v>
      </c>
      <c r="I1806" t="str">
        <f>INDEX(State!B:B,MATCH(OrdersTable[[#This Row],[State]],State!A:A,0))</f>
        <v>UK</v>
      </c>
      <c r="J1806" t="str">
        <f>INDEX(State!C:C,MATCH(OrdersTable[[#This Row],[State Code]],State!B:B,0))</f>
        <v>North</v>
      </c>
      <c r="K1806" t="s">
        <v>185</v>
      </c>
      <c r="L1806" t="s">
        <v>65</v>
      </c>
      <c r="M1806" t="s">
        <v>176</v>
      </c>
      <c r="N1806" t="str">
        <f>INDEX(Products!B:B,MATCH(OrdersTable[[#This Row],[Product ID]],Products!A:A,0))</f>
        <v>Denim Jacket</v>
      </c>
      <c r="O1806" t="str">
        <f>INDEX(Products!C:C,MATCH(OrdersTable[[#This Row],[Product ID]],Products!A:A,0))</f>
        <v>Apparel</v>
      </c>
      <c r="P1806">
        <v>4</v>
      </c>
      <c r="Q1806" s="5">
        <v>2499</v>
      </c>
      <c r="R1806" s="74">
        <v>0.15</v>
      </c>
      <c r="S1806" s="75">
        <f>OrdersTable[[#This Row],[Quantity]]*OrdersTable[[#This Row],[Unit Price]]</f>
        <v>9996</v>
      </c>
      <c r="T1806" s="5">
        <f>OrdersTable[[#This Row],[Gross Sale]]*OrdersTable[[#This Row],[Discount_Clean2]]</f>
        <v>1499.3999999999999</v>
      </c>
      <c r="U1806" s="5">
        <f>OrdersTable[[#This Row],[Gross Sale]]-OrdersTable[[#This Row],[Discount Amount]]</f>
        <v>8496.6</v>
      </c>
      <c r="V1806" s="77">
        <f>INDEX(Products!E:E,MATCH(OrdersTable[[#This Row],[Product ID]],Products!A:A,0))</f>
        <v>1125</v>
      </c>
      <c r="W1806" s="77">
        <f>OrdersTable[[#This Row],[Quantity]]*OrdersTable[[#This Row],[Unit Cost]]</f>
        <v>4500</v>
      </c>
      <c r="X1806" s="77">
        <f>'Dropdown Lists'!$I$2*(1+OrdersTable[[#This Row],[Returned]])</f>
        <v>60</v>
      </c>
      <c r="Y1806" s="76">
        <f>OrdersTable[[#This Row],[Net Revenue]]-OrdersTable[[#This Row],[COGS]]-OrdersTable[[#This Row],[Shipping Cost]]</f>
        <v>3936.6000000000004</v>
      </c>
      <c r="Z1806" s="78">
        <f>IFERROR(OrdersTable[[#This Row],[Profit]]/OrdersTable[[#This Row],[Net Revenue]],0)</f>
        <v>0.46331473765976983</v>
      </c>
      <c r="AA1806" t="s">
        <v>4074</v>
      </c>
      <c r="AB1806" s="79">
        <v>45617</v>
      </c>
      <c r="AC1806">
        <f>OrdersTable[[#This Row],[Delivery Date]]-OrdersTable[[#This Row],[Order Date]]</f>
        <v>4</v>
      </c>
      <c r="AD1806" t="str">
        <f>IF(OrdersTable[[#This Row],[Delivery Days]]&lt;=2, "Express (≤2d)", IF(OrdersTable[[#This Row],[Delivery Days]]&lt;=4, "Standard (3-4d)", "Delayed (5d+)"))</f>
        <v>Standard (3-4d)</v>
      </c>
      <c r="AE1806">
        <v>4</v>
      </c>
      <c r="AF1806">
        <v>0</v>
      </c>
    </row>
    <row r="1807" spans="1:32" ht="15" x14ac:dyDescent="0.35">
      <c r="A1807" t="s">
        <v>6111</v>
      </c>
      <c r="B1807" s="1">
        <v>45613</v>
      </c>
      <c r="C1807">
        <f>YEAR(OrdersTable[[#This Row],[Order Date]])</f>
        <v>2024</v>
      </c>
      <c r="D1807" s="2">
        <f>DATE(YEAR(OrdersTable[[#This Row],[Order Date]]),MONTH(OrdersTable[[#This Row],[Order Date]]),1)</f>
        <v>45597</v>
      </c>
      <c r="E1807">
        <f>MONTH(OrdersTable[[#This Row],[Order Date]])</f>
        <v>11</v>
      </c>
      <c r="F1807" t="s">
        <v>6112</v>
      </c>
      <c r="G1807" t="str">
        <f>IF(OrdersTable[[#This Row],[Order Date]]=_xlfn.MINIFS(Order_Date, Customer_ID, OrdersTable[[#This Row],[Customer ID]]), "New", "Repeat")</f>
        <v>New</v>
      </c>
      <c r="H1807" t="s">
        <v>54</v>
      </c>
      <c r="I1807" t="str">
        <f>INDEX(State!B:B,MATCH(OrdersTable[[#This Row],[State]],State!A:A,0))</f>
        <v>RJ</v>
      </c>
      <c r="J1807" t="str">
        <f>INDEX(State!C:C,MATCH(OrdersTable[[#This Row],[State Code]],State!B:B,0))</f>
        <v>North</v>
      </c>
      <c r="K1807" t="s">
        <v>227</v>
      </c>
      <c r="L1807" t="s">
        <v>23</v>
      </c>
      <c r="M1807" t="s">
        <v>84</v>
      </c>
      <c r="N1807" t="str">
        <f>INDEX(Products!B:B,MATCH(OrdersTable[[#This Row],[Product ID]],Products!A:A,0))</f>
        <v>Cotton Bedsheet</v>
      </c>
      <c r="O1807" t="str">
        <f>INDEX(Products!C:C,MATCH(OrdersTable[[#This Row],[Product ID]],Products!A:A,0))</f>
        <v>Home &amp; Kitchen</v>
      </c>
      <c r="P1807">
        <v>2</v>
      </c>
      <c r="Q1807" s="5">
        <v>1299</v>
      </c>
      <c r="R1807" s="74">
        <v>0.1</v>
      </c>
      <c r="S1807" s="75">
        <f>OrdersTable[[#This Row],[Quantity]]*OrdersTable[[#This Row],[Unit Price]]</f>
        <v>2598</v>
      </c>
      <c r="T1807" s="5">
        <f>OrdersTable[[#This Row],[Gross Sale]]*OrdersTable[[#This Row],[Discount_Clean2]]</f>
        <v>259.8</v>
      </c>
      <c r="U1807" s="5">
        <f>OrdersTable[[#This Row],[Gross Sale]]-OrdersTable[[#This Row],[Discount Amount]]</f>
        <v>2338.1999999999998</v>
      </c>
      <c r="V1807" s="77">
        <f>INDEX(Products!E:E,MATCH(OrdersTable[[#This Row],[Product ID]],Products!A:A,0))</f>
        <v>585</v>
      </c>
      <c r="W1807" s="77">
        <f>OrdersTable[[#This Row],[Quantity]]*OrdersTable[[#This Row],[Unit Cost]]</f>
        <v>1170</v>
      </c>
      <c r="X1807" s="77">
        <f>'Dropdown Lists'!$I$2*(1+OrdersTable[[#This Row],[Returned]])</f>
        <v>60</v>
      </c>
      <c r="Y1807" s="76">
        <f>OrdersTable[[#This Row],[Net Revenue]]-OrdersTable[[#This Row],[COGS]]-OrdersTable[[#This Row],[Shipping Cost]]</f>
        <v>1108.1999999999998</v>
      </c>
      <c r="Z1807" s="78">
        <f>IFERROR(OrdersTable[[#This Row],[Profit]]/OrdersTable[[#This Row],[Net Revenue]],0)</f>
        <v>0.47395432383885033</v>
      </c>
      <c r="AA1807" t="s">
        <v>18</v>
      </c>
      <c r="AB1807" s="79">
        <v>45619</v>
      </c>
      <c r="AC1807">
        <f>OrdersTable[[#This Row],[Delivery Date]]-OrdersTable[[#This Row],[Order Date]]</f>
        <v>6</v>
      </c>
      <c r="AD1807" t="str">
        <f>IF(OrdersTable[[#This Row],[Delivery Days]]&lt;=2, "Express (≤2d)", IF(OrdersTable[[#This Row],[Delivery Days]]&lt;=4, "Standard (3-4d)", "Delayed (5d+)"))</f>
        <v>Delayed (5d+)</v>
      </c>
      <c r="AE1807">
        <v>4</v>
      </c>
      <c r="AF1807">
        <v>0</v>
      </c>
    </row>
    <row r="1808" spans="1:32" ht="15" x14ac:dyDescent="0.35">
      <c r="A1808" t="s">
        <v>5141</v>
      </c>
      <c r="B1808" s="1">
        <v>45613</v>
      </c>
      <c r="C1808">
        <f>YEAR(OrdersTable[[#This Row],[Order Date]])</f>
        <v>2024</v>
      </c>
      <c r="D1808" s="2">
        <f>DATE(YEAR(OrdersTable[[#This Row],[Order Date]]),MONTH(OrdersTable[[#This Row],[Order Date]]),1)</f>
        <v>45597</v>
      </c>
      <c r="E1808">
        <f>MONTH(OrdersTable[[#This Row],[Order Date]])</f>
        <v>11</v>
      </c>
      <c r="F1808" t="s">
        <v>5142</v>
      </c>
      <c r="G1808" t="str">
        <f>IF(OrdersTable[[#This Row],[Order Date]]=_xlfn.MINIFS(Order_Date, Customer_ID, OrdersTable[[#This Row],[Customer ID]]), "New", "Repeat")</f>
        <v>New</v>
      </c>
      <c r="H1808" t="s">
        <v>76</v>
      </c>
      <c r="I1808" t="str">
        <f>INDEX(State!B:B,MATCH(OrdersTable[[#This Row],[State]],State!A:A,0))</f>
        <v>UP</v>
      </c>
      <c r="J1808" t="str">
        <f>INDEX(State!C:C,MATCH(OrdersTable[[#This Row],[State Code]],State!B:B,0))</f>
        <v>North</v>
      </c>
      <c r="K1808" t="s">
        <v>105</v>
      </c>
      <c r="L1808" t="s">
        <v>50</v>
      </c>
      <c r="M1808" t="s">
        <v>61</v>
      </c>
      <c r="N1808" t="str">
        <f>INDEX(Products!B:B,MATCH(OrdersTable[[#This Row],[Product ID]],Products!A:A,0))</f>
        <v>Multivitamin Gummies</v>
      </c>
      <c r="O1808" t="str">
        <f>INDEX(Products!C:C,MATCH(OrdersTable[[#This Row],[Product ID]],Products!A:A,0))</f>
        <v>Wellness</v>
      </c>
      <c r="P1808">
        <v>2</v>
      </c>
      <c r="Q1808" s="5">
        <v>699</v>
      </c>
      <c r="R1808" s="74">
        <v>0.4</v>
      </c>
      <c r="S1808" s="75">
        <f>OrdersTable[[#This Row],[Quantity]]*OrdersTable[[#This Row],[Unit Price]]</f>
        <v>1398</v>
      </c>
      <c r="T1808" s="5">
        <f>OrdersTable[[#This Row],[Gross Sale]]*OrdersTable[[#This Row],[Discount_Clean2]]</f>
        <v>559.20000000000005</v>
      </c>
      <c r="U1808" s="5">
        <f>OrdersTable[[#This Row],[Gross Sale]]-OrdersTable[[#This Row],[Discount Amount]]</f>
        <v>838.8</v>
      </c>
      <c r="V1808" s="77">
        <f>INDEX(Products!E:E,MATCH(OrdersTable[[#This Row],[Product ID]],Products!A:A,0))</f>
        <v>238</v>
      </c>
      <c r="W1808" s="77">
        <f>OrdersTable[[#This Row],[Quantity]]*OrdersTable[[#This Row],[Unit Cost]]</f>
        <v>476</v>
      </c>
      <c r="X1808" s="77">
        <f>'Dropdown Lists'!$I$2*(1+OrdersTable[[#This Row],[Returned]])</f>
        <v>60</v>
      </c>
      <c r="Y1808" s="76">
        <f>OrdersTable[[#This Row],[Net Revenue]]-OrdersTable[[#This Row],[COGS]]-OrdersTable[[#This Row],[Shipping Cost]]</f>
        <v>302.79999999999995</v>
      </c>
      <c r="Z1808" s="78">
        <f>IFERROR(OrdersTable[[#This Row],[Profit]]/OrdersTable[[#This Row],[Net Revenue]],0)</f>
        <v>0.36099189318073432</v>
      </c>
      <c r="AA1808" t="s">
        <v>3495</v>
      </c>
      <c r="AB1808" s="79">
        <v>45616</v>
      </c>
      <c r="AC1808">
        <f>OrdersTable[[#This Row],[Delivery Date]]-OrdersTable[[#This Row],[Order Date]]</f>
        <v>3</v>
      </c>
      <c r="AD1808" t="str">
        <f>IF(OrdersTable[[#This Row],[Delivery Days]]&lt;=2, "Express (≤2d)", IF(OrdersTable[[#This Row],[Delivery Days]]&lt;=4, "Standard (3-4d)", "Delayed (5d+)"))</f>
        <v>Standard (3-4d)</v>
      </c>
      <c r="AE1808">
        <v>5</v>
      </c>
      <c r="AF1808">
        <v>0</v>
      </c>
    </row>
    <row r="1809" spans="1:32" ht="15" x14ac:dyDescent="0.35">
      <c r="A1809" t="s">
        <v>7075</v>
      </c>
      <c r="B1809" s="1">
        <v>45613</v>
      </c>
      <c r="C1809">
        <f>YEAR(OrdersTable[[#This Row],[Order Date]])</f>
        <v>2024</v>
      </c>
      <c r="D1809" s="2">
        <f>DATE(YEAR(OrdersTable[[#This Row],[Order Date]]),MONTH(OrdersTable[[#This Row],[Order Date]]),1)</f>
        <v>45597</v>
      </c>
      <c r="E1809">
        <f>MONTH(OrdersTable[[#This Row],[Order Date]])</f>
        <v>11</v>
      </c>
      <c r="F1809" t="s">
        <v>4225</v>
      </c>
      <c r="G1809" t="str">
        <f>IF(OrdersTable[[#This Row],[Order Date]]=_xlfn.MINIFS(Order_Date, Customer_ID, OrdersTable[[#This Row],[Customer ID]]), "New", "Repeat")</f>
        <v>Repeat</v>
      </c>
      <c r="H1809" t="s">
        <v>132</v>
      </c>
      <c r="I1809" t="str">
        <f>INDEX(State!B:B,MATCH(OrdersTable[[#This Row],[State]],State!A:A,0))</f>
        <v>AS</v>
      </c>
      <c r="J1809" t="str">
        <f>INDEX(State!C:C,MATCH(OrdersTable[[#This Row],[State Code]],State!B:B,0))</f>
        <v>East</v>
      </c>
      <c r="K1809" t="s">
        <v>133</v>
      </c>
      <c r="L1809" t="s">
        <v>23</v>
      </c>
      <c r="M1809" t="s">
        <v>228</v>
      </c>
      <c r="N1809" t="str">
        <f>INDEX(Products!B:B,MATCH(OrdersTable[[#This Row],[Product ID]],Products!A:A,0))</f>
        <v>Fast Charger 33W</v>
      </c>
      <c r="O1809" t="str">
        <f>INDEX(Products!C:C,MATCH(OrdersTable[[#This Row],[Product ID]],Products!A:A,0))</f>
        <v>Electronics</v>
      </c>
      <c r="P1809">
        <v>4</v>
      </c>
      <c r="Q1809" s="5">
        <v>899</v>
      </c>
      <c r="R1809" s="74">
        <v>0.35</v>
      </c>
      <c r="S1809" s="75">
        <f>OrdersTable[[#This Row],[Quantity]]*OrdersTable[[#This Row],[Unit Price]]</f>
        <v>3596</v>
      </c>
      <c r="T1809" s="5">
        <f>OrdersTable[[#This Row],[Gross Sale]]*OrdersTable[[#This Row],[Discount_Clean2]]</f>
        <v>1258.5999999999999</v>
      </c>
      <c r="U1809" s="5">
        <f>OrdersTable[[#This Row],[Gross Sale]]-OrdersTable[[#This Row],[Discount Amount]]</f>
        <v>2337.4</v>
      </c>
      <c r="V1809" s="77">
        <f>INDEX(Products!E:E,MATCH(OrdersTable[[#This Row],[Product ID]],Products!A:A,0))</f>
        <v>494</v>
      </c>
      <c r="W1809" s="77">
        <f>OrdersTable[[#This Row],[Quantity]]*OrdersTable[[#This Row],[Unit Cost]]</f>
        <v>1976</v>
      </c>
      <c r="X1809" s="77">
        <f>'Dropdown Lists'!$I$2*(1+OrdersTable[[#This Row],[Returned]])</f>
        <v>60</v>
      </c>
      <c r="Y1809" s="76">
        <f>OrdersTable[[#This Row],[Net Revenue]]-OrdersTable[[#This Row],[COGS]]-OrdersTable[[#This Row],[Shipping Cost]]</f>
        <v>301.40000000000009</v>
      </c>
      <c r="Z1809" s="78">
        <f>IFERROR(OrdersTable[[#This Row],[Profit]]/OrdersTable[[#This Row],[Net Revenue]],0)</f>
        <v>0.12894669290664845</v>
      </c>
      <c r="AA1809" t="s">
        <v>18</v>
      </c>
      <c r="AB1809" s="79">
        <v>45621</v>
      </c>
      <c r="AC1809">
        <f>OrdersTable[[#This Row],[Delivery Date]]-OrdersTable[[#This Row],[Order Date]]</f>
        <v>8</v>
      </c>
      <c r="AD1809" t="str">
        <f>IF(OrdersTable[[#This Row],[Delivery Days]]&lt;=2, "Express (≤2d)", IF(OrdersTable[[#This Row],[Delivery Days]]&lt;=4, "Standard (3-4d)", "Delayed (5d+)"))</f>
        <v>Delayed (5d+)</v>
      </c>
      <c r="AE1809">
        <v>3</v>
      </c>
      <c r="AF1809">
        <v>0</v>
      </c>
    </row>
    <row r="1810" spans="1:32" ht="15" x14ac:dyDescent="0.35">
      <c r="A1810" t="s">
        <v>1156</v>
      </c>
      <c r="B1810" s="1">
        <v>45613</v>
      </c>
      <c r="C1810">
        <f>YEAR(OrdersTable[[#This Row],[Order Date]])</f>
        <v>2024</v>
      </c>
      <c r="D1810" s="2">
        <f>DATE(YEAR(OrdersTable[[#This Row],[Order Date]]),MONTH(OrdersTable[[#This Row],[Order Date]]),1)</f>
        <v>45597</v>
      </c>
      <c r="E1810">
        <f>MONTH(OrdersTable[[#This Row],[Order Date]])</f>
        <v>11</v>
      </c>
      <c r="F1810" t="s">
        <v>1157</v>
      </c>
      <c r="G1810" t="str">
        <f>IF(OrdersTable[[#This Row],[Order Date]]=_xlfn.MINIFS(Order_Date, Customer_ID, OrdersTable[[#This Row],[Customer ID]]), "New", "Repeat")</f>
        <v>Repeat</v>
      </c>
      <c r="H1810" t="s">
        <v>482</v>
      </c>
      <c r="I1810" t="str">
        <f>INDEX(State!B:B,MATCH(OrdersTable[[#This Row],[State]],State!A:A,0))</f>
        <v>CG</v>
      </c>
      <c r="J1810" t="str">
        <f>INDEX(State!C:C,MATCH(OrdersTable[[#This Row],[State Code]],State!B:B,0))</f>
        <v>East</v>
      </c>
      <c r="K1810" t="s">
        <v>483</v>
      </c>
      <c r="L1810" t="s">
        <v>50</v>
      </c>
      <c r="M1810" t="s">
        <v>61</v>
      </c>
      <c r="N1810" t="str">
        <f>INDEX(Products!B:B,MATCH(OrdersTable[[#This Row],[Product ID]],Products!A:A,0))</f>
        <v>Multivitamin Gummies</v>
      </c>
      <c r="O1810" t="str">
        <f>INDEX(Products!C:C,MATCH(OrdersTable[[#This Row],[Product ID]],Products!A:A,0))</f>
        <v>Wellness</v>
      </c>
      <c r="P1810">
        <v>1</v>
      </c>
      <c r="Q1810" s="5">
        <v>699</v>
      </c>
      <c r="R1810" s="74">
        <v>0.25</v>
      </c>
      <c r="S1810" s="75">
        <f>OrdersTable[[#This Row],[Quantity]]*OrdersTable[[#This Row],[Unit Price]]</f>
        <v>699</v>
      </c>
      <c r="T1810" s="5">
        <f>OrdersTable[[#This Row],[Gross Sale]]*OrdersTable[[#This Row],[Discount_Clean2]]</f>
        <v>174.75</v>
      </c>
      <c r="U1810" s="5">
        <f>OrdersTable[[#This Row],[Gross Sale]]-OrdersTable[[#This Row],[Discount Amount]]</f>
        <v>524.25</v>
      </c>
      <c r="V1810" s="77">
        <f>INDEX(Products!E:E,MATCH(OrdersTable[[#This Row],[Product ID]],Products!A:A,0))</f>
        <v>238</v>
      </c>
      <c r="W1810" s="77">
        <f>OrdersTable[[#This Row],[Quantity]]*OrdersTable[[#This Row],[Unit Cost]]</f>
        <v>238</v>
      </c>
      <c r="X1810" s="77">
        <f>'Dropdown Lists'!$I$2*(1+OrdersTable[[#This Row],[Returned]])</f>
        <v>120</v>
      </c>
      <c r="Y1810" s="76">
        <f>OrdersTable[[#This Row],[Net Revenue]]-OrdersTable[[#This Row],[COGS]]-OrdersTable[[#This Row],[Shipping Cost]]</f>
        <v>166.25</v>
      </c>
      <c r="Z1810" s="78">
        <f>IFERROR(OrdersTable[[#This Row],[Profit]]/OrdersTable[[#This Row],[Net Revenue]],0)</f>
        <v>0.31711969480209823</v>
      </c>
      <c r="AA1810" t="s">
        <v>18</v>
      </c>
      <c r="AB1810" s="79">
        <v>45619</v>
      </c>
      <c r="AC1810">
        <f>OrdersTable[[#This Row],[Delivery Date]]-OrdersTable[[#This Row],[Order Date]]</f>
        <v>6</v>
      </c>
      <c r="AD1810" t="str">
        <f>IF(OrdersTable[[#This Row],[Delivery Days]]&lt;=2, "Express (≤2d)", IF(OrdersTable[[#This Row],[Delivery Days]]&lt;=4, "Standard (3-4d)", "Delayed (5d+)"))</f>
        <v>Delayed (5d+)</v>
      </c>
      <c r="AF1810">
        <v>1</v>
      </c>
    </row>
    <row r="1811" spans="1:32" ht="15" x14ac:dyDescent="0.35">
      <c r="A1811" t="s">
        <v>4951</v>
      </c>
      <c r="B1811" s="1">
        <v>45613</v>
      </c>
      <c r="C1811">
        <f>YEAR(OrdersTable[[#This Row],[Order Date]])</f>
        <v>2024</v>
      </c>
      <c r="D1811" s="2">
        <f>DATE(YEAR(OrdersTable[[#This Row],[Order Date]]),MONTH(OrdersTable[[#This Row],[Order Date]]),1)</f>
        <v>45597</v>
      </c>
      <c r="E1811">
        <f>MONTH(OrdersTable[[#This Row],[Order Date]])</f>
        <v>11</v>
      </c>
      <c r="F1811" t="s">
        <v>4070</v>
      </c>
      <c r="G1811" t="str">
        <f>IF(OrdersTable[[#This Row],[Order Date]]=_xlfn.MINIFS(Order_Date, Customer_ID, OrdersTable[[#This Row],[Customer ID]]), "New", "Repeat")</f>
        <v>Repeat</v>
      </c>
      <c r="H1811" t="s">
        <v>27</v>
      </c>
      <c r="I1811" t="str">
        <f>INDEX(State!B:B,MATCH(OrdersTable[[#This Row],[State]],State!A:A,0))</f>
        <v>WB</v>
      </c>
      <c r="J1811" t="str">
        <f>INDEX(State!C:C,MATCH(OrdersTable[[#This Row],[State Code]],State!B:B,0))</f>
        <v>East</v>
      </c>
      <c r="K1811" t="s">
        <v>28</v>
      </c>
      <c r="L1811" t="s">
        <v>23</v>
      </c>
      <c r="M1811" t="s">
        <v>255</v>
      </c>
      <c r="N1811" t="str">
        <f>INDEX(Products!B:B,MATCH(OrdersTable[[#This Row],[Product ID]],Products!A:A,0))</f>
        <v>Cotton Oversized T-Shirt</v>
      </c>
      <c r="O1811" t="str">
        <f>INDEX(Products!C:C,MATCH(OrdersTable[[#This Row],[Product ID]],Products!A:A,0))</f>
        <v>Apparel</v>
      </c>
      <c r="P1811">
        <v>2</v>
      </c>
      <c r="Q1811" s="5">
        <v>799</v>
      </c>
      <c r="R1811" s="74">
        <v>0.25</v>
      </c>
      <c r="S1811" s="75">
        <f>OrdersTable[[#This Row],[Quantity]]*OrdersTable[[#This Row],[Unit Price]]</f>
        <v>1598</v>
      </c>
      <c r="T1811" s="5">
        <f>OrdersTable[[#This Row],[Gross Sale]]*OrdersTable[[#This Row],[Discount_Clean2]]</f>
        <v>399.5</v>
      </c>
      <c r="U1811" s="5">
        <f>OrdersTable[[#This Row],[Gross Sale]]-OrdersTable[[#This Row],[Discount Amount]]</f>
        <v>1198.5</v>
      </c>
      <c r="V1811" s="77">
        <f>INDEX(Products!E:E,MATCH(OrdersTable[[#This Row],[Product ID]],Products!A:A,0))</f>
        <v>320</v>
      </c>
      <c r="W1811" s="77">
        <f>OrdersTable[[#This Row],[Quantity]]*OrdersTable[[#This Row],[Unit Cost]]</f>
        <v>640</v>
      </c>
      <c r="X1811" s="77">
        <f>'Dropdown Lists'!$I$2*(1+OrdersTable[[#This Row],[Returned]])</f>
        <v>60</v>
      </c>
      <c r="Y1811" s="76">
        <f>OrdersTable[[#This Row],[Net Revenue]]-OrdersTable[[#This Row],[COGS]]-OrdersTable[[#This Row],[Shipping Cost]]</f>
        <v>498.5</v>
      </c>
      <c r="Z1811" s="78">
        <f>IFERROR(OrdersTable[[#This Row],[Profit]]/OrdersTable[[#This Row],[Net Revenue]],0)</f>
        <v>0.41593658740091782</v>
      </c>
      <c r="AA1811" t="s">
        <v>4074</v>
      </c>
      <c r="AB1811" s="79">
        <v>45617</v>
      </c>
      <c r="AC1811">
        <f>OrdersTable[[#This Row],[Delivery Date]]-OrdersTable[[#This Row],[Order Date]]</f>
        <v>4</v>
      </c>
      <c r="AD1811" t="str">
        <f>IF(OrdersTable[[#This Row],[Delivery Days]]&lt;=2, "Express (≤2d)", IF(OrdersTable[[#This Row],[Delivery Days]]&lt;=4, "Standard (3-4d)", "Delayed (5d+)"))</f>
        <v>Standard (3-4d)</v>
      </c>
      <c r="AF1811">
        <v>0</v>
      </c>
    </row>
    <row r="1812" spans="1:32" ht="15" x14ac:dyDescent="0.35">
      <c r="A1812" t="s">
        <v>5909</v>
      </c>
      <c r="B1812" s="1">
        <v>45613</v>
      </c>
      <c r="C1812">
        <f>YEAR(OrdersTable[[#This Row],[Order Date]])</f>
        <v>2024</v>
      </c>
      <c r="D1812" s="2">
        <f>DATE(YEAR(OrdersTable[[#This Row],[Order Date]]),MONTH(OrdersTable[[#This Row],[Order Date]]),1)</f>
        <v>45597</v>
      </c>
      <c r="E1812">
        <f>MONTH(OrdersTable[[#This Row],[Order Date]])</f>
        <v>11</v>
      </c>
      <c r="F1812" t="s">
        <v>5910</v>
      </c>
      <c r="G1812" t="str">
        <f>IF(OrdersTable[[#This Row],[Order Date]]=_xlfn.MINIFS(Order_Date, Customer_ID, OrdersTable[[#This Row],[Customer ID]]), "New", "Repeat")</f>
        <v>New</v>
      </c>
      <c r="H1812" t="s">
        <v>95</v>
      </c>
      <c r="I1812" t="str">
        <f>INDEX(State!B:B,MATCH(OrdersTable[[#This Row],[State]],State!A:A,0))</f>
        <v>TG</v>
      </c>
      <c r="J1812" t="str">
        <f>INDEX(State!C:C,MATCH(OrdersTable[[#This Row],[State Code]],State!B:B,0))</f>
        <v>South</v>
      </c>
      <c r="K1812" t="s">
        <v>96</v>
      </c>
      <c r="L1812" t="s">
        <v>65</v>
      </c>
      <c r="M1812" t="s">
        <v>40</v>
      </c>
      <c r="N1812" t="str">
        <f>INDEX(Products!B:B,MATCH(OrdersTable[[#This Row],[Product ID]],Products!A:A,0))</f>
        <v>Ashwagandha Capsules</v>
      </c>
      <c r="O1812" t="str">
        <f>INDEX(Products!C:C,MATCH(OrdersTable[[#This Row],[Product ID]],Products!A:A,0))</f>
        <v>Wellness</v>
      </c>
      <c r="P1812">
        <v>2</v>
      </c>
      <c r="Q1812" s="5">
        <v>499</v>
      </c>
      <c r="R1812" s="74">
        <v>0.15</v>
      </c>
      <c r="S1812" s="75">
        <f>OrdersTable[[#This Row],[Quantity]]*OrdersTable[[#This Row],[Unit Price]]</f>
        <v>998</v>
      </c>
      <c r="T1812" s="5">
        <f>OrdersTable[[#This Row],[Gross Sale]]*OrdersTable[[#This Row],[Discount_Clean2]]</f>
        <v>149.69999999999999</v>
      </c>
      <c r="U1812" s="5">
        <f>OrdersTable[[#This Row],[Gross Sale]]-OrdersTable[[#This Row],[Discount Amount]]</f>
        <v>848.3</v>
      </c>
      <c r="V1812" s="77">
        <f>INDEX(Products!E:E,MATCH(OrdersTable[[#This Row],[Product ID]],Products!A:A,0))</f>
        <v>150</v>
      </c>
      <c r="W1812" s="77">
        <f>OrdersTable[[#This Row],[Quantity]]*OrdersTable[[#This Row],[Unit Cost]]</f>
        <v>300</v>
      </c>
      <c r="X1812" s="77">
        <f>'Dropdown Lists'!$I$2*(1+OrdersTable[[#This Row],[Returned]])</f>
        <v>60</v>
      </c>
      <c r="Y1812" s="76">
        <f>OrdersTable[[#This Row],[Net Revenue]]-OrdersTable[[#This Row],[COGS]]-OrdersTable[[#This Row],[Shipping Cost]]</f>
        <v>488.29999999999995</v>
      </c>
      <c r="Z1812" s="78">
        <f>IFERROR(OrdersTable[[#This Row],[Profit]]/OrdersTable[[#This Row],[Net Revenue]],0)</f>
        <v>0.57562183189909233</v>
      </c>
      <c r="AA1812" t="s">
        <v>18</v>
      </c>
      <c r="AB1812" s="79">
        <v>45616</v>
      </c>
      <c r="AC1812">
        <f>OrdersTable[[#This Row],[Delivery Date]]-OrdersTable[[#This Row],[Order Date]]</f>
        <v>3</v>
      </c>
      <c r="AD1812" t="str">
        <f>IF(OrdersTable[[#This Row],[Delivery Days]]&lt;=2, "Express (≤2d)", IF(OrdersTable[[#This Row],[Delivery Days]]&lt;=4, "Standard (3-4d)", "Delayed (5d+)"))</f>
        <v>Standard (3-4d)</v>
      </c>
      <c r="AF1812">
        <v>0</v>
      </c>
    </row>
    <row r="1813" spans="1:32" ht="15" x14ac:dyDescent="0.35">
      <c r="A1813" t="s">
        <v>221</v>
      </c>
      <c r="B1813" s="1">
        <v>45613</v>
      </c>
      <c r="C1813">
        <f>YEAR(OrdersTable[[#This Row],[Order Date]])</f>
        <v>2024</v>
      </c>
      <c r="D1813" s="2">
        <f>DATE(YEAR(OrdersTable[[#This Row],[Order Date]]),MONTH(OrdersTable[[#This Row],[Order Date]]),1)</f>
        <v>45597</v>
      </c>
      <c r="E1813">
        <f>MONTH(OrdersTable[[#This Row],[Order Date]])</f>
        <v>11</v>
      </c>
      <c r="F1813" t="s">
        <v>222</v>
      </c>
      <c r="G1813" t="str">
        <f>IF(OrdersTable[[#This Row],[Order Date]]=_xlfn.MINIFS(Order_Date, Customer_ID, OrdersTable[[#This Row],[Customer ID]]), "New", "Repeat")</f>
        <v>New</v>
      </c>
      <c r="H1813" t="s">
        <v>14</v>
      </c>
      <c r="I1813" t="str">
        <f>INDEX(State!B:B,MATCH(OrdersTable[[#This Row],[State]],State!A:A,0))</f>
        <v>OD</v>
      </c>
      <c r="J1813" t="str">
        <f>INDEX(State!C:C,MATCH(OrdersTable[[#This Row],[State Code]],State!B:B,0))</f>
        <v>East</v>
      </c>
      <c r="K1813" t="s">
        <v>15</v>
      </c>
      <c r="L1813" t="s">
        <v>65</v>
      </c>
      <c r="M1813" t="s">
        <v>106</v>
      </c>
      <c r="N1813" t="str">
        <f>INDEX(Products!B:B,MATCH(OrdersTable[[#This Row],[Product ID]],Products!A:A,0))</f>
        <v>Keratin Hair Mask</v>
      </c>
      <c r="O1813" t="str">
        <f>INDEX(Products!C:C,MATCH(OrdersTable[[#This Row],[Product ID]],Products!A:A,0))</f>
        <v>Haircare</v>
      </c>
      <c r="P1813">
        <v>1</v>
      </c>
      <c r="Q1813" s="5">
        <v>549</v>
      </c>
      <c r="R1813" s="74">
        <v>0.4</v>
      </c>
      <c r="S1813" s="75">
        <f>OrdersTable[[#This Row],[Quantity]]*OrdersTable[[#This Row],[Unit Price]]</f>
        <v>549</v>
      </c>
      <c r="T1813" s="5">
        <f>OrdersTable[[#This Row],[Gross Sale]]*OrdersTable[[#This Row],[Discount_Clean2]]</f>
        <v>219.60000000000002</v>
      </c>
      <c r="U1813" s="5">
        <f>OrdersTable[[#This Row],[Gross Sale]]-OrdersTable[[#This Row],[Discount Amount]]</f>
        <v>329.4</v>
      </c>
      <c r="V1813" s="77">
        <f>INDEX(Products!E:E,MATCH(OrdersTable[[#This Row],[Product ID]],Products!A:A,0))</f>
        <v>170</v>
      </c>
      <c r="W1813" s="77">
        <f>OrdersTable[[#This Row],[Quantity]]*OrdersTable[[#This Row],[Unit Cost]]</f>
        <v>170</v>
      </c>
      <c r="X1813" s="77">
        <f>'Dropdown Lists'!$I$2*(1+OrdersTable[[#This Row],[Returned]])</f>
        <v>60</v>
      </c>
      <c r="Y1813" s="76">
        <f>OrdersTable[[#This Row],[Net Revenue]]-OrdersTable[[#This Row],[COGS]]-OrdersTable[[#This Row],[Shipping Cost]]</f>
        <v>99.399999999999977</v>
      </c>
      <c r="Z1813" s="78">
        <f>IFERROR(OrdersTable[[#This Row],[Profit]]/OrdersTable[[#This Row],[Net Revenue]],0)</f>
        <v>0.30176077717061317</v>
      </c>
      <c r="AA1813" t="s">
        <v>18</v>
      </c>
      <c r="AB1813" s="79">
        <v>45618</v>
      </c>
      <c r="AC1813">
        <f>OrdersTable[[#This Row],[Delivery Date]]-OrdersTable[[#This Row],[Order Date]]</f>
        <v>5</v>
      </c>
      <c r="AD1813" t="str">
        <f>IF(OrdersTable[[#This Row],[Delivery Days]]&lt;=2, "Express (≤2d)", IF(OrdersTable[[#This Row],[Delivery Days]]&lt;=4, "Standard (3-4d)", "Delayed (5d+)"))</f>
        <v>Delayed (5d+)</v>
      </c>
      <c r="AE1813">
        <v>4</v>
      </c>
      <c r="AF1813">
        <v>0</v>
      </c>
    </row>
    <row r="1814" spans="1:32" ht="15" x14ac:dyDescent="0.35">
      <c r="A1814" t="s">
        <v>2334</v>
      </c>
      <c r="B1814" s="1">
        <v>45613</v>
      </c>
      <c r="C1814">
        <f>YEAR(OrdersTable[[#This Row],[Order Date]])</f>
        <v>2024</v>
      </c>
      <c r="D1814" s="2">
        <f>DATE(YEAR(OrdersTable[[#This Row],[Order Date]]),MONTH(OrdersTable[[#This Row],[Order Date]]),1)</f>
        <v>45597</v>
      </c>
      <c r="E1814">
        <f>MONTH(OrdersTable[[#This Row],[Order Date]])</f>
        <v>11</v>
      </c>
      <c r="F1814" t="s">
        <v>2335</v>
      </c>
      <c r="G1814" t="str">
        <f>IF(OrdersTable[[#This Row],[Order Date]]=_xlfn.MINIFS(Order_Date, Customer_ID, OrdersTable[[#This Row],[Customer ID]]), "New", "Repeat")</f>
        <v>New</v>
      </c>
      <c r="H1814" t="s">
        <v>167</v>
      </c>
      <c r="I1814" t="str">
        <f>INDEX(State!B:B,MATCH(OrdersTable[[#This Row],[State]],State!A:A,0))</f>
        <v>KA</v>
      </c>
      <c r="J1814" t="str">
        <f>INDEX(State!C:C,MATCH(OrdersTable[[#This Row],[State Code]],State!B:B,0))</f>
        <v>South</v>
      </c>
      <c r="K1814" t="s">
        <v>190</v>
      </c>
      <c r="L1814" t="s">
        <v>16</v>
      </c>
      <c r="M1814" t="s">
        <v>576</v>
      </c>
      <c r="N1814" t="str">
        <f>INDEX(Products!B:B,MATCH(OrdersTable[[#This Row],[Product ID]],Products!A:A,0))</f>
        <v>Printed Saree</v>
      </c>
      <c r="O1814" t="str">
        <f>INDEX(Products!C:C,MATCH(OrdersTable[[#This Row],[Product ID]],Products!A:A,0))</f>
        <v>Apparel</v>
      </c>
      <c r="P1814">
        <v>1</v>
      </c>
      <c r="Q1814" s="5">
        <v>1999</v>
      </c>
      <c r="R1814" s="74">
        <v>0.25</v>
      </c>
      <c r="S1814" s="75">
        <f>OrdersTable[[#This Row],[Quantity]]*OrdersTable[[#This Row],[Unit Price]]</f>
        <v>1999</v>
      </c>
      <c r="T1814" s="5">
        <f>OrdersTable[[#This Row],[Gross Sale]]*OrdersTable[[#This Row],[Discount_Clean2]]</f>
        <v>499.75</v>
      </c>
      <c r="U1814" s="5">
        <f>OrdersTable[[#This Row],[Gross Sale]]-OrdersTable[[#This Row],[Discount Amount]]</f>
        <v>1499.25</v>
      </c>
      <c r="V1814" s="77">
        <f>INDEX(Products!E:E,MATCH(OrdersTable[[#This Row],[Product ID]],Products!A:A,0))</f>
        <v>880</v>
      </c>
      <c r="W1814" s="77">
        <f>OrdersTable[[#This Row],[Quantity]]*OrdersTable[[#This Row],[Unit Cost]]</f>
        <v>880</v>
      </c>
      <c r="X1814" s="77">
        <f>'Dropdown Lists'!$I$2*(1+OrdersTable[[#This Row],[Returned]])</f>
        <v>60</v>
      </c>
      <c r="Y1814" s="76">
        <f>OrdersTable[[#This Row],[Net Revenue]]-OrdersTable[[#This Row],[COGS]]-OrdersTable[[#This Row],[Shipping Cost]]</f>
        <v>559.25</v>
      </c>
      <c r="Z1814" s="78">
        <f>IFERROR(OrdersTable[[#This Row],[Profit]]/OrdersTable[[#This Row],[Net Revenue]],0)</f>
        <v>0.37301984325496079</v>
      </c>
      <c r="AA1814" t="s">
        <v>18</v>
      </c>
      <c r="AB1814" s="79">
        <v>45614</v>
      </c>
      <c r="AC1814">
        <f>OrdersTable[[#This Row],[Delivery Date]]-OrdersTable[[#This Row],[Order Date]]</f>
        <v>1</v>
      </c>
      <c r="AD1814" t="str">
        <f>IF(OrdersTable[[#This Row],[Delivery Days]]&lt;=2, "Express (≤2d)", IF(OrdersTable[[#This Row],[Delivery Days]]&lt;=4, "Standard (3-4d)", "Delayed (5d+)"))</f>
        <v>Express (≤2d)</v>
      </c>
      <c r="AE1814">
        <v>5</v>
      </c>
      <c r="AF1814">
        <v>0</v>
      </c>
    </row>
    <row r="1815" spans="1:32" ht="15" x14ac:dyDescent="0.35">
      <c r="A1815" t="s">
        <v>4806</v>
      </c>
      <c r="B1815" s="1">
        <v>45613</v>
      </c>
      <c r="C1815">
        <f>YEAR(OrdersTable[[#This Row],[Order Date]])</f>
        <v>2024</v>
      </c>
      <c r="D1815" s="2">
        <f>DATE(YEAR(OrdersTable[[#This Row],[Order Date]]),MONTH(OrdersTable[[#This Row],[Order Date]]),1)</f>
        <v>45597</v>
      </c>
      <c r="E1815">
        <f>MONTH(OrdersTable[[#This Row],[Order Date]])</f>
        <v>11</v>
      </c>
      <c r="F1815" t="s">
        <v>4631</v>
      </c>
      <c r="G1815" t="str">
        <f>IF(OrdersTable[[#This Row],[Order Date]]=_xlfn.MINIFS(Order_Date, Customer_ID, OrdersTable[[#This Row],[Customer ID]]), "New", "Repeat")</f>
        <v>New</v>
      </c>
      <c r="H1815" t="s">
        <v>167</v>
      </c>
      <c r="I1815" t="str">
        <f>INDEX(State!B:B,MATCH(OrdersTable[[#This Row],[State]],State!A:A,0))</f>
        <v>KA</v>
      </c>
      <c r="J1815" t="str">
        <f>INDEX(State!C:C,MATCH(OrdersTable[[#This Row],[State Code]],State!B:B,0))</f>
        <v>South</v>
      </c>
      <c r="K1815" t="s">
        <v>190</v>
      </c>
      <c r="L1815" t="s">
        <v>50</v>
      </c>
      <c r="M1815" t="s">
        <v>160</v>
      </c>
      <c r="N1815" t="str">
        <f>INDEX(Products!B:B,MATCH(OrdersTable[[#This Row],[Product ID]],Products!A:A,0))</f>
        <v>Niacinamide Toner</v>
      </c>
      <c r="O1815" t="str">
        <f>INDEX(Products!C:C,MATCH(OrdersTable[[#This Row],[Product ID]],Products!A:A,0))</f>
        <v>Skincare</v>
      </c>
      <c r="P1815">
        <v>2</v>
      </c>
      <c r="Q1815" s="5">
        <v>399</v>
      </c>
      <c r="R1815" s="74">
        <v>0.35</v>
      </c>
      <c r="S1815" s="75">
        <f>OrdersTable[[#This Row],[Quantity]]*OrdersTable[[#This Row],[Unit Price]]</f>
        <v>798</v>
      </c>
      <c r="T1815" s="5">
        <f>OrdersTable[[#This Row],[Gross Sale]]*OrdersTable[[#This Row],[Discount_Clean2]]</f>
        <v>279.29999999999995</v>
      </c>
      <c r="U1815" s="5">
        <f>OrdersTable[[#This Row],[Gross Sale]]-OrdersTable[[#This Row],[Discount Amount]]</f>
        <v>518.70000000000005</v>
      </c>
      <c r="V1815" s="77">
        <f>INDEX(Products!E:E,MATCH(OrdersTable[[#This Row],[Product ID]],Products!A:A,0))</f>
        <v>112</v>
      </c>
      <c r="W1815" s="77">
        <f>OrdersTable[[#This Row],[Quantity]]*OrdersTable[[#This Row],[Unit Cost]]</f>
        <v>224</v>
      </c>
      <c r="X1815" s="77">
        <f>'Dropdown Lists'!$I$2*(1+OrdersTable[[#This Row],[Returned]])</f>
        <v>60</v>
      </c>
      <c r="Y1815" s="76">
        <f>OrdersTable[[#This Row],[Net Revenue]]-OrdersTable[[#This Row],[COGS]]-OrdersTable[[#This Row],[Shipping Cost]]</f>
        <v>234.70000000000005</v>
      </c>
      <c r="Z1815" s="78">
        <f>IFERROR(OrdersTable[[#This Row],[Profit]]/OrdersTable[[#This Row],[Net Revenue]],0)</f>
        <v>0.45247734721418936</v>
      </c>
      <c r="AA1815" t="s">
        <v>4450</v>
      </c>
      <c r="AB1815" s="79">
        <v>45616</v>
      </c>
      <c r="AC1815">
        <f>OrdersTable[[#This Row],[Delivery Date]]-OrdersTable[[#This Row],[Order Date]]</f>
        <v>3</v>
      </c>
      <c r="AD1815" t="str">
        <f>IF(OrdersTable[[#This Row],[Delivery Days]]&lt;=2, "Express (≤2d)", IF(OrdersTable[[#This Row],[Delivery Days]]&lt;=4, "Standard (3-4d)", "Delayed (5d+)"))</f>
        <v>Standard (3-4d)</v>
      </c>
      <c r="AE1815">
        <v>5</v>
      </c>
      <c r="AF1815">
        <v>0</v>
      </c>
    </row>
    <row r="1816" spans="1:32" ht="15" x14ac:dyDescent="0.35">
      <c r="A1816" t="s">
        <v>5368</v>
      </c>
      <c r="B1816" s="1">
        <v>45613</v>
      </c>
      <c r="C1816">
        <f>YEAR(OrdersTable[[#This Row],[Order Date]])</f>
        <v>2024</v>
      </c>
      <c r="D1816" s="2">
        <f>DATE(YEAR(OrdersTable[[#This Row],[Order Date]]),MONTH(OrdersTable[[#This Row],[Order Date]]),1)</f>
        <v>45597</v>
      </c>
      <c r="E1816">
        <f>MONTH(OrdersTable[[#This Row],[Order Date]])</f>
        <v>11</v>
      </c>
      <c r="F1816" t="s">
        <v>5369</v>
      </c>
      <c r="G1816" t="str">
        <f>IF(OrdersTable[[#This Row],[Order Date]]=_xlfn.MINIFS(Order_Date, Customer_ID, OrdersTable[[#This Row],[Customer ID]]), "New", "Repeat")</f>
        <v>New</v>
      </c>
      <c r="H1816" t="s">
        <v>316</v>
      </c>
      <c r="I1816" t="str">
        <f>INDEX(State!B:B,MATCH(OrdersTable[[#This Row],[State]],State!A:A,0))</f>
        <v>KL</v>
      </c>
      <c r="J1816" t="str">
        <f>INDEX(State!C:C,MATCH(OrdersTable[[#This Row],[State Code]],State!B:B,0))</f>
        <v>South</v>
      </c>
      <c r="K1816" t="s">
        <v>317</v>
      </c>
      <c r="L1816" t="s">
        <v>39</v>
      </c>
      <c r="M1816" t="s">
        <v>125</v>
      </c>
      <c r="N1816" t="str">
        <f>INDEX(Products!B:B,MATCH(OrdersTable[[#This Row],[Product ID]],Products!A:A,0))</f>
        <v>Copper Water Bottle</v>
      </c>
      <c r="O1816" t="str">
        <f>INDEX(Products!C:C,MATCH(OrdersTable[[#This Row],[Product ID]],Products!A:A,0))</f>
        <v>Home &amp; Kitchen</v>
      </c>
      <c r="P1816">
        <v>2</v>
      </c>
      <c r="Q1816" s="5">
        <v>899</v>
      </c>
      <c r="R1816" s="74">
        <v>0.3</v>
      </c>
      <c r="S1816" s="75">
        <f>OrdersTable[[#This Row],[Quantity]]*OrdersTable[[#This Row],[Unit Price]]</f>
        <v>1798</v>
      </c>
      <c r="T1816" s="5">
        <f>OrdersTable[[#This Row],[Gross Sale]]*OrdersTable[[#This Row],[Discount_Clean2]]</f>
        <v>539.4</v>
      </c>
      <c r="U1816" s="5">
        <f>OrdersTable[[#This Row],[Gross Sale]]-OrdersTable[[#This Row],[Discount Amount]]</f>
        <v>1258.5999999999999</v>
      </c>
      <c r="V1816" s="77">
        <f>INDEX(Products!E:E,MATCH(OrdersTable[[#This Row],[Product ID]],Products!A:A,0))</f>
        <v>378</v>
      </c>
      <c r="W1816" s="77">
        <f>OrdersTable[[#This Row],[Quantity]]*OrdersTable[[#This Row],[Unit Cost]]</f>
        <v>756</v>
      </c>
      <c r="X1816" s="77">
        <f>'Dropdown Lists'!$I$2*(1+OrdersTable[[#This Row],[Returned]])</f>
        <v>60</v>
      </c>
      <c r="Y1816" s="76">
        <f>OrdersTable[[#This Row],[Net Revenue]]-OrdersTable[[#This Row],[COGS]]-OrdersTable[[#This Row],[Shipping Cost]]</f>
        <v>442.59999999999991</v>
      </c>
      <c r="Z1816" s="78">
        <f>IFERROR(OrdersTable[[#This Row],[Profit]]/OrdersTable[[#This Row],[Net Revenue]],0)</f>
        <v>0.35166057524233268</v>
      </c>
      <c r="AA1816" t="s">
        <v>2522</v>
      </c>
      <c r="AB1816" s="79">
        <v>45616</v>
      </c>
      <c r="AC1816">
        <f>OrdersTable[[#This Row],[Delivery Date]]-OrdersTable[[#This Row],[Order Date]]</f>
        <v>3</v>
      </c>
      <c r="AD1816" t="str">
        <f>IF(OrdersTable[[#This Row],[Delivery Days]]&lt;=2, "Express (≤2d)", IF(OrdersTable[[#This Row],[Delivery Days]]&lt;=4, "Standard (3-4d)", "Delayed (5d+)"))</f>
        <v>Standard (3-4d)</v>
      </c>
      <c r="AE1816">
        <v>3</v>
      </c>
      <c r="AF1816">
        <v>0</v>
      </c>
    </row>
    <row r="1817" spans="1:32" ht="15" x14ac:dyDescent="0.35">
      <c r="A1817" t="s">
        <v>5143</v>
      </c>
      <c r="B1817" s="1">
        <v>45613</v>
      </c>
      <c r="C1817">
        <f>YEAR(OrdersTable[[#This Row],[Order Date]])</f>
        <v>2024</v>
      </c>
      <c r="D1817" s="2">
        <f>DATE(YEAR(OrdersTable[[#This Row],[Order Date]]),MONTH(OrdersTable[[#This Row],[Order Date]]),1)</f>
        <v>45597</v>
      </c>
      <c r="E1817">
        <f>MONTH(OrdersTable[[#This Row],[Order Date]])</f>
        <v>11</v>
      </c>
      <c r="F1817" t="s">
        <v>5144</v>
      </c>
      <c r="G1817" t="str">
        <f>IF(OrdersTable[[#This Row],[Order Date]]=_xlfn.MINIFS(Order_Date, Customer_ID, OrdersTable[[#This Row],[Customer ID]]), "New", "Repeat")</f>
        <v>New</v>
      </c>
      <c r="H1817" t="s">
        <v>59</v>
      </c>
      <c r="I1817" t="str">
        <f>INDEX(State!B:B,MATCH(OrdersTable[[#This Row],[State]],State!A:A,0))</f>
        <v>TN</v>
      </c>
      <c r="J1817" t="str">
        <f>INDEX(State!C:C,MATCH(OrdersTable[[#This Row],[State Code]],State!B:B,0))</f>
        <v>South</v>
      </c>
      <c r="K1817" t="s">
        <v>64</v>
      </c>
      <c r="L1817" t="s">
        <v>16</v>
      </c>
      <c r="M1817" t="s">
        <v>87</v>
      </c>
      <c r="N1817" t="str">
        <f>INDEX(Products!B:B,MATCH(OrdersTable[[#This Row],[Product ID]],Products!A:A,0))</f>
        <v>Linen Kurta</v>
      </c>
      <c r="O1817" t="str">
        <f>INDEX(Products!C:C,MATCH(OrdersTable[[#This Row],[Product ID]],Products!A:A,0))</f>
        <v>Apparel</v>
      </c>
      <c r="P1817">
        <v>2</v>
      </c>
      <c r="Q1817" s="5">
        <v>1499</v>
      </c>
      <c r="R1817" s="74">
        <v>0.55000000000000004</v>
      </c>
      <c r="S1817" s="75">
        <f>OrdersTable[[#This Row],[Quantity]]*OrdersTable[[#This Row],[Unit Price]]</f>
        <v>2998</v>
      </c>
      <c r="T1817" s="5">
        <f>OrdersTable[[#This Row],[Gross Sale]]*OrdersTable[[#This Row],[Discount_Clean2]]</f>
        <v>1648.9</v>
      </c>
      <c r="U1817" s="5">
        <f>OrdersTable[[#This Row],[Gross Sale]]-OrdersTable[[#This Row],[Discount Amount]]</f>
        <v>1349.1</v>
      </c>
      <c r="V1817" s="77">
        <f>INDEX(Products!E:E,MATCH(OrdersTable[[#This Row],[Product ID]],Products!A:A,0))</f>
        <v>630</v>
      </c>
      <c r="W1817" s="77">
        <f>OrdersTable[[#This Row],[Quantity]]*OrdersTable[[#This Row],[Unit Cost]]</f>
        <v>1260</v>
      </c>
      <c r="X1817" s="77">
        <f>'Dropdown Lists'!$I$2*(1+OrdersTable[[#This Row],[Returned]])</f>
        <v>120</v>
      </c>
      <c r="Y1817" s="76">
        <f>OrdersTable[[#This Row],[Net Revenue]]-OrdersTable[[#This Row],[COGS]]-OrdersTable[[#This Row],[Shipping Cost]]</f>
        <v>-30.900000000000091</v>
      </c>
      <c r="Z1817" s="78">
        <f>IFERROR(OrdersTable[[#This Row],[Profit]]/OrdersTable[[#This Row],[Net Revenue]],0)</f>
        <v>-2.2904158327774142E-2</v>
      </c>
      <c r="AA1817" t="s">
        <v>3495</v>
      </c>
      <c r="AB1817" s="79">
        <v>45615</v>
      </c>
      <c r="AC1817">
        <f>OrdersTable[[#This Row],[Delivery Date]]-OrdersTable[[#This Row],[Order Date]]</f>
        <v>2</v>
      </c>
      <c r="AD1817" t="str">
        <f>IF(OrdersTable[[#This Row],[Delivery Days]]&lt;=2, "Express (≤2d)", IF(OrdersTable[[#This Row],[Delivery Days]]&lt;=4, "Standard (3-4d)", "Delayed (5d+)"))</f>
        <v>Express (≤2d)</v>
      </c>
      <c r="AE1817">
        <v>4</v>
      </c>
      <c r="AF1817">
        <v>1</v>
      </c>
    </row>
    <row r="1818" spans="1:32" ht="15" x14ac:dyDescent="0.35">
      <c r="A1818" t="s">
        <v>4373</v>
      </c>
      <c r="B1818" s="1">
        <v>45614</v>
      </c>
      <c r="C1818">
        <f>YEAR(OrdersTable[[#This Row],[Order Date]])</f>
        <v>2024</v>
      </c>
      <c r="D1818" s="2">
        <f>DATE(YEAR(OrdersTable[[#This Row],[Order Date]]),MONTH(OrdersTable[[#This Row],[Order Date]]),1)</f>
        <v>45597</v>
      </c>
      <c r="E1818">
        <f>MONTH(OrdersTable[[#This Row],[Order Date]])</f>
        <v>11</v>
      </c>
      <c r="F1818" t="s">
        <v>615</v>
      </c>
      <c r="G1818" t="str">
        <f>IF(OrdersTable[[#This Row],[Order Date]]=_xlfn.MINIFS(Order_Date, Customer_ID, OrdersTable[[#This Row],[Customer ID]]), "New", "Repeat")</f>
        <v>Repeat</v>
      </c>
      <c r="H1818" t="s">
        <v>32</v>
      </c>
      <c r="I1818" t="str">
        <f>INDEX(State!B:B,MATCH(OrdersTable[[#This Row],[State]],State!A:A,0))</f>
        <v>BR</v>
      </c>
      <c r="J1818" t="str">
        <f>INDEX(State!C:C,MATCH(OrdersTable[[#This Row],[State Code]],State!B:B,0))</f>
        <v>East</v>
      </c>
      <c r="K1818" t="s">
        <v>33</v>
      </c>
      <c r="L1818" t="s">
        <v>16</v>
      </c>
      <c r="M1818" t="s">
        <v>29</v>
      </c>
      <c r="N1818" t="str">
        <f>INDEX(Products!B:B,MATCH(OrdersTable[[#This Row],[Product ID]],Products!A:A,0))</f>
        <v>Joggers</v>
      </c>
      <c r="O1818" t="str">
        <f>INDEX(Products!C:C,MATCH(OrdersTable[[#This Row],[Product ID]],Products!A:A,0))</f>
        <v>Apparel</v>
      </c>
      <c r="P1818">
        <v>1</v>
      </c>
      <c r="Q1818" s="5">
        <v>1199</v>
      </c>
      <c r="R1818" s="74">
        <v>0.35</v>
      </c>
      <c r="S1818" s="75">
        <f>OrdersTable[[#This Row],[Quantity]]*OrdersTable[[#This Row],[Unit Price]]</f>
        <v>1199</v>
      </c>
      <c r="T1818" s="5">
        <f>OrdersTable[[#This Row],[Gross Sale]]*OrdersTable[[#This Row],[Discount_Clean2]]</f>
        <v>419.65</v>
      </c>
      <c r="U1818" s="5">
        <f>OrdersTable[[#This Row],[Gross Sale]]-OrdersTable[[#This Row],[Discount Amount]]</f>
        <v>779.35</v>
      </c>
      <c r="V1818" s="77">
        <f>INDEX(Products!E:E,MATCH(OrdersTable[[#This Row],[Product ID]],Products!A:A,0))</f>
        <v>492</v>
      </c>
      <c r="W1818" s="77">
        <f>OrdersTable[[#This Row],[Quantity]]*OrdersTable[[#This Row],[Unit Cost]]</f>
        <v>492</v>
      </c>
      <c r="X1818" s="77">
        <f>'Dropdown Lists'!$I$2*(1+OrdersTable[[#This Row],[Returned]])</f>
        <v>60</v>
      </c>
      <c r="Y1818" s="76">
        <f>OrdersTable[[#This Row],[Net Revenue]]-OrdersTable[[#This Row],[COGS]]-OrdersTable[[#This Row],[Shipping Cost]]</f>
        <v>227.35000000000002</v>
      </c>
      <c r="Z1818" s="78">
        <f>IFERROR(OrdersTable[[#This Row],[Profit]]/OrdersTable[[#This Row],[Net Revenue]],0)</f>
        <v>0.29171745685507156</v>
      </c>
      <c r="AA1818" t="s">
        <v>4074</v>
      </c>
      <c r="AB1818" s="79">
        <v>45619</v>
      </c>
      <c r="AC1818">
        <f>OrdersTable[[#This Row],[Delivery Date]]-OrdersTable[[#This Row],[Order Date]]</f>
        <v>5</v>
      </c>
      <c r="AD1818" t="str">
        <f>IF(OrdersTable[[#This Row],[Delivery Days]]&lt;=2, "Express (≤2d)", IF(OrdersTable[[#This Row],[Delivery Days]]&lt;=4, "Standard (3-4d)", "Delayed (5d+)"))</f>
        <v>Delayed (5d+)</v>
      </c>
      <c r="AE1818">
        <v>4</v>
      </c>
      <c r="AF1818">
        <v>0</v>
      </c>
    </row>
    <row r="1819" spans="1:32" ht="15" x14ac:dyDescent="0.35">
      <c r="A1819" t="s">
        <v>3881</v>
      </c>
      <c r="B1819" s="1">
        <v>45614</v>
      </c>
      <c r="C1819">
        <f>YEAR(OrdersTable[[#This Row],[Order Date]])</f>
        <v>2024</v>
      </c>
      <c r="D1819" s="2">
        <f>DATE(YEAR(OrdersTable[[#This Row],[Order Date]]),MONTH(OrdersTable[[#This Row],[Order Date]]),1)</f>
        <v>45597</v>
      </c>
      <c r="E1819">
        <f>MONTH(OrdersTable[[#This Row],[Order Date]])</f>
        <v>11</v>
      </c>
      <c r="F1819" t="s">
        <v>1214</v>
      </c>
      <c r="G1819" t="str">
        <f>IF(OrdersTable[[#This Row],[Order Date]]=_xlfn.MINIFS(Order_Date, Customer_ID, OrdersTable[[#This Row],[Customer ID]]), "New", "Repeat")</f>
        <v>Repeat</v>
      </c>
      <c r="H1819" t="s">
        <v>43</v>
      </c>
      <c r="I1819" t="str">
        <f>INDEX(State!B:B,MATCH(OrdersTable[[#This Row],[State]],State!A:A,0))</f>
        <v>MP</v>
      </c>
      <c r="J1819" t="str">
        <f>INDEX(State!C:C,MATCH(OrdersTable[[#This Row],[State Code]],State!B:B,0))</f>
        <v>West</v>
      </c>
      <c r="K1819" t="s">
        <v>44</v>
      </c>
      <c r="L1819" t="s">
        <v>65</v>
      </c>
      <c r="M1819" t="s">
        <v>106</v>
      </c>
      <c r="N1819" t="str">
        <f>INDEX(Products!B:B,MATCH(OrdersTable[[#This Row],[Product ID]],Products!A:A,0))</f>
        <v>Keratin Hair Mask</v>
      </c>
      <c r="O1819" t="str">
        <f>INDEX(Products!C:C,MATCH(OrdersTable[[#This Row],[Product ID]],Products!A:A,0))</f>
        <v>Haircare</v>
      </c>
      <c r="P1819">
        <v>1</v>
      </c>
      <c r="Q1819" s="5">
        <v>549</v>
      </c>
      <c r="R1819" s="74">
        <v>0.25</v>
      </c>
      <c r="S1819" s="75">
        <f>OrdersTable[[#This Row],[Quantity]]*OrdersTable[[#This Row],[Unit Price]]</f>
        <v>549</v>
      </c>
      <c r="T1819" s="5">
        <f>OrdersTable[[#This Row],[Gross Sale]]*OrdersTable[[#This Row],[Discount_Clean2]]</f>
        <v>137.25</v>
      </c>
      <c r="U1819" s="5">
        <f>OrdersTable[[#This Row],[Gross Sale]]-OrdersTable[[#This Row],[Discount Amount]]</f>
        <v>411.75</v>
      </c>
      <c r="V1819" s="77">
        <f>INDEX(Products!E:E,MATCH(OrdersTable[[#This Row],[Product ID]],Products!A:A,0))</f>
        <v>170</v>
      </c>
      <c r="W1819" s="77">
        <f>OrdersTable[[#This Row],[Quantity]]*OrdersTable[[#This Row],[Unit Cost]]</f>
        <v>170</v>
      </c>
      <c r="X1819" s="77">
        <f>'Dropdown Lists'!$I$2*(1+OrdersTable[[#This Row],[Returned]])</f>
        <v>60</v>
      </c>
      <c r="Y1819" s="76">
        <f>OrdersTable[[#This Row],[Net Revenue]]-OrdersTable[[#This Row],[COGS]]-OrdersTable[[#This Row],[Shipping Cost]]</f>
        <v>181.75</v>
      </c>
      <c r="Z1819" s="78">
        <f>IFERROR(OrdersTable[[#This Row],[Profit]]/OrdersTable[[#This Row],[Net Revenue]],0)</f>
        <v>0.44140862173649059</v>
      </c>
      <c r="AA1819" t="s">
        <v>3495</v>
      </c>
      <c r="AB1819" s="79">
        <v>45621</v>
      </c>
      <c r="AC1819">
        <f>OrdersTable[[#This Row],[Delivery Date]]-OrdersTable[[#This Row],[Order Date]]</f>
        <v>7</v>
      </c>
      <c r="AD1819" t="str">
        <f>IF(OrdersTable[[#This Row],[Delivery Days]]&lt;=2, "Express (≤2d)", IF(OrdersTable[[#This Row],[Delivery Days]]&lt;=4, "Standard (3-4d)", "Delayed (5d+)"))</f>
        <v>Delayed (5d+)</v>
      </c>
      <c r="AE1819">
        <v>3</v>
      </c>
      <c r="AF1819">
        <v>0</v>
      </c>
    </row>
    <row r="1820" spans="1:32" ht="15" x14ac:dyDescent="0.35">
      <c r="A1820" t="s">
        <v>223</v>
      </c>
      <c r="B1820" s="1">
        <v>45614</v>
      </c>
      <c r="C1820">
        <f>YEAR(OrdersTable[[#This Row],[Order Date]])</f>
        <v>2024</v>
      </c>
      <c r="D1820" s="2">
        <f>DATE(YEAR(OrdersTable[[#This Row],[Order Date]]),MONTH(OrdersTable[[#This Row],[Order Date]]),1)</f>
        <v>45597</v>
      </c>
      <c r="E1820">
        <f>MONTH(OrdersTable[[#This Row],[Order Date]])</f>
        <v>11</v>
      </c>
      <c r="F1820" t="s">
        <v>224</v>
      </c>
      <c r="G1820" t="str">
        <f>IF(OrdersTable[[#This Row],[Order Date]]=_xlfn.MINIFS(Order_Date, Customer_ID, OrdersTable[[#This Row],[Customer ID]]), "New", "Repeat")</f>
        <v>Repeat</v>
      </c>
      <c r="H1820" t="s">
        <v>71</v>
      </c>
      <c r="I1820" t="str">
        <f>INDEX(State!B:B,MATCH(OrdersTable[[#This Row],[State]],State!A:A,0))</f>
        <v>MH</v>
      </c>
      <c r="J1820" t="str">
        <f>INDEX(State!C:C,MATCH(OrdersTable[[#This Row],[State Code]],State!B:B,0))</f>
        <v>West</v>
      </c>
      <c r="K1820" t="s">
        <v>102</v>
      </c>
      <c r="L1820" t="s">
        <v>65</v>
      </c>
      <c r="M1820" t="s">
        <v>125</v>
      </c>
      <c r="N1820" t="str">
        <f>INDEX(Products!B:B,MATCH(OrdersTable[[#This Row],[Product ID]],Products!A:A,0))</f>
        <v>Copper Water Bottle</v>
      </c>
      <c r="O1820" t="str">
        <f>INDEX(Products!C:C,MATCH(OrdersTable[[#This Row],[Product ID]],Products!A:A,0))</f>
        <v>Home &amp; Kitchen</v>
      </c>
      <c r="P1820">
        <v>1</v>
      </c>
      <c r="Q1820" s="5">
        <v>899</v>
      </c>
      <c r="R1820" s="74">
        <v>0.35</v>
      </c>
      <c r="S1820" s="75">
        <f>OrdersTable[[#This Row],[Quantity]]*OrdersTable[[#This Row],[Unit Price]]</f>
        <v>899</v>
      </c>
      <c r="T1820" s="5">
        <f>OrdersTable[[#This Row],[Gross Sale]]*OrdersTable[[#This Row],[Discount_Clean2]]</f>
        <v>314.64999999999998</v>
      </c>
      <c r="U1820" s="5">
        <f>OrdersTable[[#This Row],[Gross Sale]]-OrdersTable[[#This Row],[Discount Amount]]</f>
        <v>584.35</v>
      </c>
      <c r="V1820" s="77">
        <f>INDEX(Products!E:E,MATCH(OrdersTable[[#This Row],[Product ID]],Products!A:A,0))</f>
        <v>378</v>
      </c>
      <c r="W1820" s="77">
        <f>OrdersTable[[#This Row],[Quantity]]*OrdersTable[[#This Row],[Unit Cost]]</f>
        <v>378</v>
      </c>
      <c r="X1820" s="77">
        <f>'Dropdown Lists'!$I$2*(1+OrdersTable[[#This Row],[Returned]])</f>
        <v>60</v>
      </c>
      <c r="Y1820" s="76">
        <f>OrdersTable[[#This Row],[Net Revenue]]-OrdersTable[[#This Row],[COGS]]-OrdersTable[[#This Row],[Shipping Cost]]</f>
        <v>146.35000000000002</v>
      </c>
      <c r="Z1820" s="78">
        <f>IFERROR(OrdersTable[[#This Row],[Profit]]/OrdersTable[[#This Row],[Net Revenue]],0)</f>
        <v>0.25044921707880552</v>
      </c>
      <c r="AA1820" t="s">
        <v>18</v>
      </c>
      <c r="AB1820" s="79">
        <v>45616</v>
      </c>
      <c r="AC1820">
        <f>OrdersTable[[#This Row],[Delivery Date]]-OrdersTable[[#This Row],[Order Date]]</f>
        <v>2</v>
      </c>
      <c r="AD1820" t="str">
        <f>IF(OrdersTable[[#This Row],[Delivery Days]]&lt;=2, "Express (≤2d)", IF(OrdersTable[[#This Row],[Delivery Days]]&lt;=4, "Standard (3-4d)", "Delayed (5d+)"))</f>
        <v>Express (≤2d)</v>
      </c>
      <c r="AE1820">
        <v>4</v>
      </c>
      <c r="AF1820">
        <v>0</v>
      </c>
    </row>
    <row r="1821" spans="1:32" ht="15" x14ac:dyDescent="0.35">
      <c r="A1821" t="s">
        <v>6113</v>
      </c>
      <c r="B1821" s="1">
        <v>45615</v>
      </c>
      <c r="C1821">
        <f>YEAR(OrdersTable[[#This Row],[Order Date]])</f>
        <v>2024</v>
      </c>
      <c r="D1821" s="2">
        <f>DATE(YEAR(OrdersTable[[#This Row],[Order Date]]),MONTH(OrdersTable[[#This Row],[Order Date]]),1)</f>
        <v>45597</v>
      </c>
      <c r="E1821">
        <f>MONTH(OrdersTable[[#This Row],[Order Date]])</f>
        <v>11</v>
      </c>
      <c r="F1821" t="s">
        <v>6114</v>
      </c>
      <c r="G1821" t="str">
        <f>IF(OrdersTable[[#This Row],[Order Date]]=_xlfn.MINIFS(Order_Date, Customer_ID, OrdersTable[[#This Row],[Customer ID]]), "New", "Repeat")</f>
        <v>Repeat</v>
      </c>
      <c r="H1821" t="s">
        <v>27</v>
      </c>
      <c r="I1821" t="str">
        <f>INDEX(State!B:B,MATCH(OrdersTable[[#This Row],[State]],State!A:A,0))</f>
        <v>WB</v>
      </c>
      <c r="J1821" t="str">
        <f>INDEX(State!C:C,MATCH(OrdersTable[[#This Row],[State Code]],State!B:B,0))</f>
        <v>East</v>
      </c>
      <c r="K1821" t="s">
        <v>28</v>
      </c>
      <c r="L1821" t="s">
        <v>23</v>
      </c>
      <c r="M1821" t="s">
        <v>109</v>
      </c>
      <c r="N1821" t="str">
        <f>INDEX(Products!B:B,MATCH(OrdersTable[[#This Row],[Product ID]],Products!A:A,0))</f>
        <v>Onion Hair Oil</v>
      </c>
      <c r="O1821" t="str">
        <f>INDEX(Products!C:C,MATCH(OrdersTable[[#This Row],[Product ID]],Products!A:A,0))</f>
        <v>Haircare</v>
      </c>
      <c r="P1821">
        <v>2</v>
      </c>
      <c r="Q1821" s="5">
        <v>349</v>
      </c>
      <c r="R1821" s="74">
        <v>0.5</v>
      </c>
      <c r="S1821" s="75">
        <f>OrdersTable[[#This Row],[Quantity]]*OrdersTable[[#This Row],[Unit Price]]</f>
        <v>698</v>
      </c>
      <c r="T1821" s="5">
        <f>OrdersTable[[#This Row],[Gross Sale]]*OrdersTable[[#This Row],[Discount_Clean2]]</f>
        <v>349</v>
      </c>
      <c r="U1821" s="5">
        <f>OrdersTable[[#This Row],[Gross Sale]]-OrdersTable[[#This Row],[Discount Amount]]</f>
        <v>349</v>
      </c>
      <c r="V1821" s="77">
        <f>INDEX(Products!E:E,MATCH(OrdersTable[[#This Row],[Product ID]],Products!A:A,0))</f>
        <v>105</v>
      </c>
      <c r="W1821" s="77">
        <f>OrdersTable[[#This Row],[Quantity]]*OrdersTable[[#This Row],[Unit Cost]]</f>
        <v>210</v>
      </c>
      <c r="X1821" s="77">
        <f>'Dropdown Lists'!$I$2*(1+OrdersTable[[#This Row],[Returned]])</f>
        <v>60</v>
      </c>
      <c r="Y1821" s="76">
        <f>OrdersTable[[#This Row],[Net Revenue]]-OrdersTable[[#This Row],[COGS]]-OrdersTable[[#This Row],[Shipping Cost]]</f>
        <v>79</v>
      </c>
      <c r="Z1821" s="78">
        <f>IFERROR(OrdersTable[[#This Row],[Profit]]/OrdersTable[[#This Row],[Net Revenue]],0)</f>
        <v>0.22636103151862463</v>
      </c>
      <c r="AA1821" t="s">
        <v>18</v>
      </c>
      <c r="AB1821" s="79">
        <v>45620</v>
      </c>
      <c r="AC1821">
        <f>OrdersTable[[#This Row],[Delivery Date]]-OrdersTable[[#This Row],[Order Date]]</f>
        <v>5</v>
      </c>
      <c r="AD1821" t="str">
        <f>IF(OrdersTable[[#This Row],[Delivery Days]]&lt;=2, "Express (≤2d)", IF(OrdersTable[[#This Row],[Delivery Days]]&lt;=4, "Standard (3-4d)", "Delayed (5d+)"))</f>
        <v>Delayed (5d+)</v>
      </c>
      <c r="AE1821">
        <v>4</v>
      </c>
      <c r="AF1821">
        <v>0</v>
      </c>
    </row>
    <row r="1822" spans="1:32" ht="15" x14ac:dyDescent="0.35">
      <c r="A1822" t="s">
        <v>4686</v>
      </c>
      <c r="B1822" s="1">
        <v>45615</v>
      </c>
      <c r="C1822">
        <f>YEAR(OrdersTable[[#This Row],[Order Date]])</f>
        <v>2024</v>
      </c>
      <c r="D1822" s="2">
        <f>DATE(YEAR(OrdersTable[[#This Row],[Order Date]]),MONTH(OrdersTable[[#This Row],[Order Date]]),1)</f>
        <v>45597</v>
      </c>
      <c r="E1822">
        <f>MONTH(OrdersTable[[#This Row],[Order Date]])</f>
        <v>11</v>
      </c>
      <c r="F1822" t="s">
        <v>1458</v>
      </c>
      <c r="G1822" t="str">
        <f>IF(OrdersTable[[#This Row],[Order Date]]=_xlfn.MINIFS(Order_Date, Customer_ID, OrdersTable[[#This Row],[Customer ID]]), "New", "Repeat")</f>
        <v>New</v>
      </c>
      <c r="H1822" t="s">
        <v>27</v>
      </c>
      <c r="I1822" t="str">
        <f>INDEX(State!B:B,MATCH(OrdersTable[[#This Row],[State]],State!A:A,0))</f>
        <v>WB</v>
      </c>
      <c r="J1822" t="str">
        <f>INDEX(State!C:C,MATCH(OrdersTable[[#This Row],[State Code]],State!B:B,0))</f>
        <v>East</v>
      </c>
      <c r="K1822" t="s">
        <v>28</v>
      </c>
      <c r="L1822" t="s">
        <v>65</v>
      </c>
      <c r="M1822" t="s">
        <v>255</v>
      </c>
      <c r="N1822" t="str">
        <f>INDEX(Products!B:B,MATCH(OrdersTable[[#This Row],[Product ID]],Products!A:A,0))</f>
        <v>Cotton Oversized T-Shirt</v>
      </c>
      <c r="O1822" t="str">
        <f>INDEX(Products!C:C,MATCH(OrdersTable[[#This Row],[Product ID]],Products!A:A,0))</f>
        <v>Apparel</v>
      </c>
      <c r="P1822">
        <v>1</v>
      </c>
      <c r="Q1822" s="5">
        <v>799</v>
      </c>
      <c r="R1822" s="74">
        <v>0.15</v>
      </c>
      <c r="S1822" s="75">
        <f>OrdersTable[[#This Row],[Quantity]]*OrdersTable[[#This Row],[Unit Price]]</f>
        <v>799</v>
      </c>
      <c r="T1822" s="5">
        <f>OrdersTable[[#This Row],[Gross Sale]]*OrdersTable[[#This Row],[Discount_Clean2]]</f>
        <v>119.85</v>
      </c>
      <c r="U1822" s="5">
        <f>OrdersTable[[#This Row],[Gross Sale]]-OrdersTable[[#This Row],[Discount Amount]]</f>
        <v>679.15</v>
      </c>
      <c r="V1822" s="77">
        <f>INDEX(Products!E:E,MATCH(OrdersTable[[#This Row],[Product ID]],Products!A:A,0))</f>
        <v>320</v>
      </c>
      <c r="W1822" s="77">
        <f>OrdersTable[[#This Row],[Quantity]]*OrdersTable[[#This Row],[Unit Cost]]</f>
        <v>320</v>
      </c>
      <c r="X1822" s="77">
        <f>'Dropdown Lists'!$I$2*(1+OrdersTable[[#This Row],[Returned]])</f>
        <v>60</v>
      </c>
      <c r="Y1822" s="76">
        <f>OrdersTable[[#This Row],[Net Revenue]]-OrdersTable[[#This Row],[COGS]]-OrdersTable[[#This Row],[Shipping Cost]]</f>
        <v>299.14999999999998</v>
      </c>
      <c r="Z1822" s="78">
        <f>IFERROR(OrdersTable[[#This Row],[Profit]]/OrdersTable[[#This Row],[Net Revenue]],0)</f>
        <v>0.44047706692188765</v>
      </c>
      <c r="AA1822" t="s">
        <v>4450</v>
      </c>
      <c r="AB1822" s="79">
        <v>45619</v>
      </c>
      <c r="AC1822">
        <f>OrdersTable[[#This Row],[Delivery Date]]-OrdersTable[[#This Row],[Order Date]]</f>
        <v>4</v>
      </c>
      <c r="AD1822" t="str">
        <f>IF(OrdersTable[[#This Row],[Delivery Days]]&lt;=2, "Express (≤2d)", IF(OrdersTable[[#This Row],[Delivery Days]]&lt;=4, "Standard (3-4d)", "Delayed (5d+)"))</f>
        <v>Standard (3-4d)</v>
      </c>
      <c r="AE1822">
        <v>3</v>
      </c>
      <c r="AF1822">
        <v>0</v>
      </c>
    </row>
    <row r="1823" spans="1:32" ht="15" x14ac:dyDescent="0.35">
      <c r="A1823" t="s">
        <v>6979</v>
      </c>
      <c r="B1823" s="1">
        <v>45615</v>
      </c>
      <c r="C1823">
        <f>YEAR(OrdersTable[[#This Row],[Order Date]])</f>
        <v>2024</v>
      </c>
      <c r="D1823" s="2">
        <f>DATE(YEAR(OrdersTable[[#This Row],[Order Date]]),MONTH(OrdersTable[[#This Row],[Order Date]]),1)</f>
        <v>45597</v>
      </c>
      <c r="E1823">
        <f>MONTH(OrdersTable[[#This Row],[Order Date]])</f>
        <v>11</v>
      </c>
      <c r="F1823" t="s">
        <v>5296</v>
      </c>
      <c r="G1823" t="str">
        <f>IF(OrdersTable[[#This Row],[Order Date]]=_xlfn.MINIFS(Order_Date, Customer_ID, OrdersTable[[#This Row],[Customer ID]]), "New", "Repeat")</f>
        <v>Repeat</v>
      </c>
      <c r="H1823" t="s">
        <v>59</v>
      </c>
      <c r="I1823" t="str">
        <f>INDEX(State!B:B,MATCH(OrdersTable[[#This Row],[State]],State!A:A,0))</f>
        <v>TN</v>
      </c>
      <c r="J1823" t="str">
        <f>INDEX(State!C:C,MATCH(OrdersTable[[#This Row],[State Code]],State!B:B,0))</f>
        <v>South</v>
      </c>
      <c r="K1823" t="s">
        <v>60</v>
      </c>
      <c r="L1823" t="s">
        <v>23</v>
      </c>
      <c r="M1823" t="s">
        <v>423</v>
      </c>
      <c r="N1823" t="str">
        <f>INDEX(Products!B:B,MATCH(OrdersTable[[#This Row],[Product ID]],Products!A:A,0))</f>
        <v>Power Bank 20000mAh</v>
      </c>
      <c r="O1823" t="str">
        <f>INDEX(Products!C:C,MATCH(OrdersTable[[#This Row],[Product ID]],Products!A:A,0))</f>
        <v>Electronics</v>
      </c>
      <c r="P1823">
        <v>4</v>
      </c>
      <c r="Q1823" s="5">
        <v>1799</v>
      </c>
      <c r="R1823" s="74">
        <v>0.45</v>
      </c>
      <c r="S1823" s="75">
        <f>OrdersTable[[#This Row],[Quantity]]*OrdersTable[[#This Row],[Unit Price]]</f>
        <v>7196</v>
      </c>
      <c r="T1823" s="5">
        <f>OrdersTable[[#This Row],[Gross Sale]]*OrdersTable[[#This Row],[Discount_Clean2]]</f>
        <v>3238.2000000000003</v>
      </c>
      <c r="U1823" s="5">
        <f>OrdersTable[[#This Row],[Gross Sale]]-OrdersTable[[#This Row],[Discount Amount]]</f>
        <v>3957.7999999999997</v>
      </c>
      <c r="V1823" s="77">
        <f>INDEX(Products!E:E,MATCH(OrdersTable[[#This Row],[Product ID]],Products!A:A,0))</f>
        <v>1079</v>
      </c>
      <c r="W1823" s="77">
        <f>OrdersTable[[#This Row],[Quantity]]*OrdersTable[[#This Row],[Unit Cost]]</f>
        <v>4316</v>
      </c>
      <c r="X1823" s="77">
        <f>'Dropdown Lists'!$I$2*(1+OrdersTable[[#This Row],[Returned]])</f>
        <v>60</v>
      </c>
      <c r="Y1823" s="76">
        <f>OrdersTable[[#This Row],[Net Revenue]]-OrdersTable[[#This Row],[COGS]]-OrdersTable[[#This Row],[Shipping Cost]]</f>
        <v>-418.20000000000027</v>
      </c>
      <c r="Z1823" s="78">
        <f>IFERROR(OrdersTable[[#This Row],[Profit]]/OrdersTable[[#This Row],[Net Revenue]],0)</f>
        <v>-0.10566476325231197</v>
      </c>
      <c r="AA1823" t="s">
        <v>2522</v>
      </c>
      <c r="AB1823" s="79">
        <v>45620</v>
      </c>
      <c r="AC1823">
        <f>OrdersTable[[#This Row],[Delivery Date]]-OrdersTable[[#This Row],[Order Date]]</f>
        <v>5</v>
      </c>
      <c r="AD1823" t="str">
        <f>IF(OrdersTable[[#This Row],[Delivery Days]]&lt;=2, "Express (≤2d)", IF(OrdersTable[[#This Row],[Delivery Days]]&lt;=4, "Standard (3-4d)", "Delayed (5d+)"))</f>
        <v>Delayed (5d+)</v>
      </c>
      <c r="AE1823">
        <v>3</v>
      </c>
      <c r="AF1823">
        <v>0</v>
      </c>
    </row>
    <row r="1824" spans="1:32" ht="15" x14ac:dyDescent="0.35">
      <c r="A1824" t="s">
        <v>4374</v>
      </c>
      <c r="B1824" s="1">
        <v>45615</v>
      </c>
      <c r="C1824">
        <f>YEAR(OrdersTable[[#This Row],[Order Date]])</f>
        <v>2024</v>
      </c>
      <c r="D1824" s="2">
        <f>DATE(YEAR(OrdersTable[[#This Row],[Order Date]]),MONTH(OrdersTable[[#This Row],[Order Date]]),1)</f>
        <v>45597</v>
      </c>
      <c r="E1824">
        <f>MONTH(OrdersTable[[#This Row],[Order Date]])</f>
        <v>11</v>
      </c>
      <c r="F1824" t="s">
        <v>671</v>
      </c>
      <c r="G1824" t="str">
        <f>IF(OrdersTable[[#This Row],[Order Date]]=_xlfn.MINIFS(Order_Date, Customer_ID, OrdersTable[[#This Row],[Customer ID]]), "New", "Repeat")</f>
        <v>Repeat</v>
      </c>
      <c r="H1824" t="s">
        <v>59</v>
      </c>
      <c r="I1824" t="str">
        <f>INDEX(State!B:B,MATCH(OrdersTable[[#This Row],[State]],State!A:A,0))</f>
        <v>TN</v>
      </c>
      <c r="J1824" t="str">
        <f>INDEX(State!C:C,MATCH(OrdersTable[[#This Row],[State Code]],State!B:B,0))</f>
        <v>South</v>
      </c>
      <c r="K1824" t="s">
        <v>60</v>
      </c>
      <c r="L1824" t="s">
        <v>65</v>
      </c>
      <c r="M1824" t="s">
        <v>152</v>
      </c>
      <c r="N1824" t="str">
        <f>INDEX(Products!B:B,MATCH(OrdersTable[[#This Row],[Product ID]],Products!A:A,0))</f>
        <v>Green Tea (100 bags)</v>
      </c>
      <c r="O1824" t="str">
        <f>INDEX(Products!C:C,MATCH(OrdersTable[[#This Row],[Product ID]],Products!A:A,0))</f>
        <v>Wellness</v>
      </c>
      <c r="P1824">
        <v>1</v>
      </c>
      <c r="Q1824" s="5">
        <v>399</v>
      </c>
      <c r="R1824" s="74">
        <v>0.5</v>
      </c>
      <c r="S1824" s="75">
        <f>OrdersTable[[#This Row],[Quantity]]*OrdersTable[[#This Row],[Unit Price]]</f>
        <v>399</v>
      </c>
      <c r="T1824" s="5">
        <f>OrdersTable[[#This Row],[Gross Sale]]*OrdersTable[[#This Row],[Discount_Clean2]]</f>
        <v>199.5</v>
      </c>
      <c r="U1824" s="5">
        <f>OrdersTable[[#This Row],[Gross Sale]]-OrdersTable[[#This Row],[Discount Amount]]</f>
        <v>199.5</v>
      </c>
      <c r="V1824" s="77">
        <f>INDEX(Products!E:E,MATCH(OrdersTable[[#This Row],[Product ID]],Products!A:A,0))</f>
        <v>128</v>
      </c>
      <c r="W1824" s="77">
        <f>OrdersTable[[#This Row],[Quantity]]*OrdersTable[[#This Row],[Unit Cost]]</f>
        <v>128</v>
      </c>
      <c r="X1824" s="77">
        <f>'Dropdown Lists'!$I$2*(1+OrdersTable[[#This Row],[Returned]])</f>
        <v>60</v>
      </c>
      <c r="Y1824" s="76">
        <f>OrdersTable[[#This Row],[Net Revenue]]-OrdersTable[[#This Row],[COGS]]-OrdersTable[[#This Row],[Shipping Cost]]</f>
        <v>11.5</v>
      </c>
      <c r="Z1824" s="78">
        <f>IFERROR(OrdersTable[[#This Row],[Profit]]/OrdersTable[[#This Row],[Net Revenue]],0)</f>
        <v>5.764411027568922E-2</v>
      </c>
      <c r="AA1824" t="s">
        <v>4074</v>
      </c>
      <c r="AB1824" s="79">
        <v>45618</v>
      </c>
      <c r="AC1824">
        <f>OrdersTable[[#This Row],[Delivery Date]]-OrdersTable[[#This Row],[Order Date]]</f>
        <v>3</v>
      </c>
      <c r="AD1824" t="str">
        <f>IF(OrdersTable[[#This Row],[Delivery Days]]&lt;=2, "Express (≤2d)", IF(OrdersTable[[#This Row],[Delivery Days]]&lt;=4, "Standard (3-4d)", "Delayed (5d+)"))</f>
        <v>Standard (3-4d)</v>
      </c>
      <c r="AE1824">
        <v>4</v>
      </c>
      <c r="AF1824">
        <v>0</v>
      </c>
    </row>
    <row r="1825" spans="1:32" ht="15" x14ac:dyDescent="0.35">
      <c r="A1825" t="s">
        <v>2989</v>
      </c>
      <c r="B1825" s="1">
        <v>45616</v>
      </c>
      <c r="C1825">
        <f>YEAR(OrdersTable[[#This Row],[Order Date]])</f>
        <v>2024</v>
      </c>
      <c r="D1825" s="2">
        <f>DATE(YEAR(OrdersTable[[#This Row],[Order Date]]),MONTH(OrdersTable[[#This Row],[Order Date]]),1)</f>
        <v>45597</v>
      </c>
      <c r="E1825">
        <f>MONTH(OrdersTable[[#This Row],[Order Date]])</f>
        <v>11</v>
      </c>
      <c r="F1825" t="s">
        <v>2744</v>
      </c>
      <c r="G1825" t="str">
        <f>IF(OrdersTable[[#This Row],[Order Date]]=_xlfn.MINIFS(Order_Date, Customer_ID, OrdersTable[[#This Row],[Customer ID]]), "New", "Repeat")</f>
        <v>Repeat</v>
      </c>
      <c r="H1825" t="s">
        <v>43</v>
      </c>
      <c r="I1825" t="str">
        <f>INDEX(State!B:B,MATCH(OrdersTable[[#This Row],[State]],State!A:A,0))</f>
        <v>MP</v>
      </c>
      <c r="J1825" t="str">
        <f>INDEX(State!C:C,MATCH(OrdersTable[[#This Row],[State Code]],State!B:B,0))</f>
        <v>West</v>
      </c>
      <c r="K1825" t="s">
        <v>250</v>
      </c>
      <c r="L1825" t="s">
        <v>16</v>
      </c>
      <c r="M1825" t="s">
        <v>87</v>
      </c>
      <c r="N1825" t="str">
        <f>INDEX(Products!B:B,MATCH(OrdersTable[[#This Row],[Product ID]],Products!A:A,0))</f>
        <v>Linen Kurta</v>
      </c>
      <c r="O1825" t="str">
        <f>INDEX(Products!C:C,MATCH(OrdersTable[[#This Row],[Product ID]],Products!A:A,0))</f>
        <v>Apparel</v>
      </c>
      <c r="P1825">
        <v>1</v>
      </c>
      <c r="Q1825" s="5">
        <v>1499</v>
      </c>
      <c r="R1825" s="74">
        <v>0.35</v>
      </c>
      <c r="S1825" s="75">
        <f>OrdersTable[[#This Row],[Quantity]]*OrdersTable[[#This Row],[Unit Price]]</f>
        <v>1499</v>
      </c>
      <c r="T1825" s="5">
        <f>OrdersTable[[#This Row],[Gross Sale]]*OrdersTable[[#This Row],[Discount_Clean2]]</f>
        <v>524.65</v>
      </c>
      <c r="U1825" s="5">
        <f>OrdersTable[[#This Row],[Gross Sale]]-OrdersTable[[#This Row],[Discount Amount]]</f>
        <v>974.35</v>
      </c>
      <c r="V1825" s="77">
        <f>INDEX(Products!E:E,MATCH(OrdersTable[[#This Row],[Product ID]],Products!A:A,0))</f>
        <v>630</v>
      </c>
      <c r="W1825" s="77">
        <f>OrdersTable[[#This Row],[Quantity]]*OrdersTable[[#This Row],[Unit Cost]]</f>
        <v>630</v>
      </c>
      <c r="X1825" s="77">
        <f>'Dropdown Lists'!$I$2*(1+OrdersTable[[#This Row],[Returned]])</f>
        <v>60</v>
      </c>
      <c r="Y1825" s="76">
        <f>OrdersTable[[#This Row],[Net Revenue]]-OrdersTable[[#This Row],[COGS]]-OrdersTable[[#This Row],[Shipping Cost]]</f>
        <v>284.35000000000002</v>
      </c>
      <c r="Z1825" s="78">
        <f>IFERROR(OrdersTable[[#This Row],[Profit]]/OrdersTable[[#This Row],[Net Revenue]],0)</f>
        <v>0.29183558269615645</v>
      </c>
      <c r="AA1825" t="s">
        <v>2522</v>
      </c>
      <c r="AB1825" s="79">
        <v>45620</v>
      </c>
      <c r="AC1825">
        <f>OrdersTable[[#This Row],[Delivery Date]]-OrdersTable[[#This Row],[Order Date]]</f>
        <v>4</v>
      </c>
      <c r="AD1825" t="str">
        <f>IF(OrdersTable[[#This Row],[Delivery Days]]&lt;=2, "Express (≤2d)", IF(OrdersTable[[#This Row],[Delivery Days]]&lt;=4, "Standard (3-4d)", "Delayed (5d+)"))</f>
        <v>Standard (3-4d)</v>
      </c>
      <c r="AF1825">
        <v>0</v>
      </c>
    </row>
    <row r="1826" spans="1:32" ht="15" x14ac:dyDescent="0.35">
      <c r="A1826" t="s">
        <v>3998</v>
      </c>
      <c r="B1826" s="1">
        <v>45616</v>
      </c>
      <c r="C1826">
        <f>YEAR(OrdersTable[[#This Row],[Order Date]])</f>
        <v>2024</v>
      </c>
      <c r="D1826" s="2">
        <f>DATE(YEAR(OrdersTable[[#This Row],[Order Date]]),MONTH(OrdersTable[[#This Row],[Order Date]]),1)</f>
        <v>45597</v>
      </c>
      <c r="E1826">
        <f>MONTH(OrdersTable[[#This Row],[Order Date]])</f>
        <v>11</v>
      </c>
      <c r="F1826" t="s">
        <v>3999</v>
      </c>
      <c r="G1826" t="str">
        <f>IF(OrdersTable[[#This Row],[Order Date]]=_xlfn.MINIFS(Order_Date, Customer_ID, OrdersTable[[#This Row],[Customer ID]]), "New", "Repeat")</f>
        <v>New</v>
      </c>
      <c r="H1826" t="s">
        <v>71</v>
      </c>
      <c r="I1826" t="str">
        <f>INDEX(State!B:B,MATCH(OrdersTable[[#This Row],[State]],State!A:A,0))</f>
        <v>MH</v>
      </c>
      <c r="J1826" t="str">
        <f>INDEX(State!C:C,MATCH(OrdersTable[[#This Row],[State Code]],State!B:B,0))</f>
        <v>West</v>
      </c>
      <c r="K1826" t="s">
        <v>72</v>
      </c>
      <c r="L1826" t="s">
        <v>65</v>
      </c>
      <c r="M1826" t="s">
        <v>24</v>
      </c>
      <c r="N1826" t="str">
        <f>INDEX(Products!B:B,MATCH(OrdersTable[[#This Row],[Product ID]],Products!A:A,0))</f>
        <v>Scented Candle Set</v>
      </c>
      <c r="O1826" t="str">
        <f>INDEX(Products!C:C,MATCH(OrdersTable[[#This Row],[Product ID]],Products!A:A,0))</f>
        <v>Home &amp; Kitchen</v>
      </c>
      <c r="P1826">
        <v>1</v>
      </c>
      <c r="Q1826" s="5">
        <v>699</v>
      </c>
      <c r="R1826" s="74">
        <v>0.35</v>
      </c>
      <c r="S1826" s="75">
        <f>OrdersTable[[#This Row],[Quantity]]*OrdersTable[[#This Row],[Unit Price]]</f>
        <v>699</v>
      </c>
      <c r="T1826" s="5">
        <f>OrdersTable[[#This Row],[Gross Sale]]*OrdersTable[[#This Row],[Discount_Clean2]]</f>
        <v>244.64999999999998</v>
      </c>
      <c r="U1826" s="5">
        <f>OrdersTable[[#This Row],[Gross Sale]]-OrdersTable[[#This Row],[Discount Amount]]</f>
        <v>454.35</v>
      </c>
      <c r="V1826" s="77">
        <f>INDEX(Products!E:E,MATCH(OrdersTable[[#This Row],[Product ID]],Products!A:A,0))</f>
        <v>245</v>
      </c>
      <c r="W1826" s="77">
        <f>OrdersTable[[#This Row],[Quantity]]*OrdersTable[[#This Row],[Unit Cost]]</f>
        <v>245</v>
      </c>
      <c r="X1826" s="77">
        <f>'Dropdown Lists'!$I$2*(1+OrdersTable[[#This Row],[Returned]])</f>
        <v>60</v>
      </c>
      <c r="Y1826" s="76">
        <f>OrdersTable[[#This Row],[Net Revenue]]-OrdersTable[[#This Row],[COGS]]-OrdersTable[[#This Row],[Shipping Cost]]</f>
        <v>149.35000000000002</v>
      </c>
      <c r="Z1826" s="78">
        <f>IFERROR(OrdersTable[[#This Row],[Profit]]/OrdersTable[[#This Row],[Net Revenue]],0)</f>
        <v>0.32871134587872791</v>
      </c>
      <c r="AA1826" t="s">
        <v>3495</v>
      </c>
      <c r="AB1826" s="79">
        <v>45617</v>
      </c>
      <c r="AC1826">
        <f>OrdersTable[[#This Row],[Delivery Date]]-OrdersTable[[#This Row],[Order Date]]</f>
        <v>1</v>
      </c>
      <c r="AD1826" t="str">
        <f>IF(OrdersTable[[#This Row],[Delivery Days]]&lt;=2, "Express (≤2d)", IF(OrdersTable[[#This Row],[Delivery Days]]&lt;=4, "Standard (3-4d)", "Delayed (5d+)"))</f>
        <v>Express (≤2d)</v>
      </c>
      <c r="AE1826">
        <v>5</v>
      </c>
      <c r="AF1826">
        <v>0</v>
      </c>
    </row>
    <row r="1827" spans="1:32" ht="15" x14ac:dyDescent="0.35">
      <c r="A1827" t="s">
        <v>4807</v>
      </c>
      <c r="B1827" s="1">
        <v>45616</v>
      </c>
      <c r="C1827">
        <f>YEAR(OrdersTable[[#This Row],[Order Date]])</f>
        <v>2024</v>
      </c>
      <c r="D1827" s="2">
        <f>DATE(YEAR(OrdersTable[[#This Row],[Order Date]]),MONTH(OrdersTable[[#This Row],[Order Date]]),1)</f>
        <v>45597</v>
      </c>
      <c r="E1827">
        <f>MONTH(OrdersTable[[#This Row],[Order Date]])</f>
        <v>11</v>
      </c>
      <c r="F1827" t="s">
        <v>4808</v>
      </c>
      <c r="G1827" t="str">
        <f>IF(OrdersTable[[#This Row],[Order Date]]=_xlfn.MINIFS(Order_Date, Customer_ID, OrdersTable[[#This Row],[Customer ID]]), "New", "Repeat")</f>
        <v>New</v>
      </c>
      <c r="H1827" t="s">
        <v>90</v>
      </c>
      <c r="I1827" t="str">
        <f>INDEX(State!B:B,MATCH(OrdersTable[[#This Row],[State]],State!A:A,0))</f>
        <v>GA</v>
      </c>
      <c r="J1827" t="str">
        <f>INDEX(State!C:C,MATCH(OrdersTable[[#This Row],[State Code]],State!B:B,0))</f>
        <v>West</v>
      </c>
      <c r="K1827" t="s">
        <v>91</v>
      </c>
      <c r="L1827" t="s">
        <v>65</v>
      </c>
      <c r="M1827" t="s">
        <v>179</v>
      </c>
      <c r="N1827" t="str">
        <f>INDEX(Products!B:B,MATCH(OrdersTable[[#This Row],[Product ID]],Products!A:A,0))</f>
        <v>Whey Protein 1kg</v>
      </c>
      <c r="O1827" t="str">
        <f>INDEX(Products!C:C,MATCH(OrdersTable[[#This Row],[Product ID]],Products!A:A,0))</f>
        <v>Wellness</v>
      </c>
      <c r="P1827">
        <v>2</v>
      </c>
      <c r="Q1827" s="5">
        <v>2299</v>
      </c>
      <c r="R1827" s="74">
        <v>0.45</v>
      </c>
      <c r="S1827" s="75">
        <f>OrdersTable[[#This Row],[Quantity]]*OrdersTable[[#This Row],[Unit Price]]</f>
        <v>4598</v>
      </c>
      <c r="T1827" s="5">
        <f>OrdersTable[[#This Row],[Gross Sale]]*OrdersTable[[#This Row],[Discount_Clean2]]</f>
        <v>2069.1</v>
      </c>
      <c r="U1827" s="5">
        <f>OrdersTable[[#This Row],[Gross Sale]]-OrdersTable[[#This Row],[Discount Amount]]</f>
        <v>2528.9</v>
      </c>
      <c r="V1827" s="77">
        <f>INDEX(Products!E:E,MATCH(OrdersTable[[#This Row],[Product ID]],Products!A:A,0))</f>
        <v>1333</v>
      </c>
      <c r="W1827" s="77">
        <f>OrdersTable[[#This Row],[Quantity]]*OrdersTable[[#This Row],[Unit Cost]]</f>
        <v>2666</v>
      </c>
      <c r="X1827" s="77">
        <f>'Dropdown Lists'!$I$2*(1+OrdersTable[[#This Row],[Returned]])</f>
        <v>60</v>
      </c>
      <c r="Y1827" s="76">
        <f>OrdersTable[[#This Row],[Net Revenue]]-OrdersTable[[#This Row],[COGS]]-OrdersTable[[#This Row],[Shipping Cost]]</f>
        <v>-197.09999999999991</v>
      </c>
      <c r="Z1827" s="78">
        <f>IFERROR(OrdersTable[[#This Row],[Profit]]/OrdersTable[[#This Row],[Net Revenue]],0)</f>
        <v>-7.7939024872474158E-2</v>
      </c>
      <c r="AA1827" t="s">
        <v>4450</v>
      </c>
      <c r="AB1827" s="79">
        <v>45623</v>
      </c>
      <c r="AC1827">
        <f>OrdersTable[[#This Row],[Delivery Date]]-OrdersTable[[#This Row],[Order Date]]</f>
        <v>7</v>
      </c>
      <c r="AD1827" t="str">
        <f>IF(OrdersTable[[#This Row],[Delivery Days]]&lt;=2, "Express (≤2d)", IF(OrdersTable[[#This Row],[Delivery Days]]&lt;=4, "Standard (3-4d)", "Delayed (5d+)"))</f>
        <v>Delayed (5d+)</v>
      </c>
      <c r="AF1827">
        <v>0</v>
      </c>
    </row>
    <row r="1828" spans="1:32" ht="15" x14ac:dyDescent="0.35">
      <c r="A1828" t="s">
        <v>1381</v>
      </c>
      <c r="B1828" s="1">
        <v>45617</v>
      </c>
      <c r="C1828">
        <f>YEAR(OrdersTable[[#This Row],[Order Date]])</f>
        <v>2024</v>
      </c>
      <c r="D1828" s="2">
        <f>DATE(YEAR(OrdersTable[[#This Row],[Order Date]]),MONTH(OrdersTable[[#This Row],[Order Date]]),1)</f>
        <v>45597</v>
      </c>
      <c r="E1828">
        <f>MONTH(OrdersTable[[#This Row],[Order Date]])</f>
        <v>11</v>
      </c>
      <c r="F1828" t="s">
        <v>1382</v>
      </c>
      <c r="G1828" t="str">
        <f>IF(OrdersTable[[#This Row],[Order Date]]=_xlfn.MINIFS(Order_Date, Customer_ID, OrdersTable[[#This Row],[Customer ID]]), "New", "Repeat")</f>
        <v>Repeat</v>
      </c>
      <c r="H1828" t="s">
        <v>48</v>
      </c>
      <c r="I1828" t="str">
        <f>INDEX(State!B:B,MATCH(OrdersTable[[#This Row],[State]],State!A:A,0))</f>
        <v>HR</v>
      </c>
      <c r="J1828" t="str">
        <f>INDEX(State!C:C,MATCH(OrdersTable[[#This Row],[State Code]],State!B:B,0))</f>
        <v>North</v>
      </c>
      <c r="K1828" t="s">
        <v>151</v>
      </c>
      <c r="L1828" t="s">
        <v>23</v>
      </c>
      <c r="M1828" t="s">
        <v>148</v>
      </c>
      <c r="N1828" t="str">
        <f>INDEX(Products!B:B,MATCH(OrdersTable[[#This Row],[Product ID]],Products!A:A,0))</f>
        <v>Smartwatch Strap</v>
      </c>
      <c r="O1828" t="str">
        <f>INDEX(Products!C:C,MATCH(OrdersTable[[#This Row],[Product ID]],Products!A:A,0))</f>
        <v>Electronics</v>
      </c>
      <c r="P1828">
        <v>1</v>
      </c>
      <c r="Q1828" s="5">
        <v>499</v>
      </c>
      <c r="R1828" s="74">
        <v>0.15</v>
      </c>
      <c r="S1828" s="75">
        <f>OrdersTable[[#This Row],[Quantity]]*OrdersTable[[#This Row],[Unit Price]]</f>
        <v>499</v>
      </c>
      <c r="T1828" s="5">
        <f>OrdersTable[[#This Row],[Gross Sale]]*OrdersTable[[#This Row],[Discount_Clean2]]</f>
        <v>74.849999999999994</v>
      </c>
      <c r="U1828" s="5">
        <f>OrdersTable[[#This Row],[Gross Sale]]-OrdersTable[[#This Row],[Discount Amount]]</f>
        <v>424.15</v>
      </c>
      <c r="V1828" s="77">
        <f>INDEX(Products!E:E,MATCH(OrdersTable[[#This Row],[Product ID]],Products!A:A,0))</f>
        <v>200</v>
      </c>
      <c r="W1828" s="77">
        <f>OrdersTable[[#This Row],[Quantity]]*OrdersTable[[#This Row],[Unit Cost]]</f>
        <v>200</v>
      </c>
      <c r="X1828" s="77">
        <f>'Dropdown Lists'!$I$2*(1+OrdersTable[[#This Row],[Returned]])</f>
        <v>60</v>
      </c>
      <c r="Y1828" s="76">
        <f>OrdersTable[[#This Row],[Net Revenue]]-OrdersTable[[#This Row],[COGS]]-OrdersTable[[#This Row],[Shipping Cost]]</f>
        <v>164.14999999999998</v>
      </c>
      <c r="Z1828" s="78">
        <f>IFERROR(OrdersTable[[#This Row],[Profit]]/OrdersTable[[#This Row],[Net Revenue]],0)</f>
        <v>0.38700931274313327</v>
      </c>
      <c r="AA1828" t="s">
        <v>18</v>
      </c>
      <c r="AB1828" s="79">
        <v>45621</v>
      </c>
      <c r="AC1828">
        <f>OrdersTable[[#This Row],[Delivery Date]]-OrdersTable[[#This Row],[Order Date]]</f>
        <v>4</v>
      </c>
      <c r="AD1828" t="str">
        <f>IF(OrdersTable[[#This Row],[Delivery Days]]&lt;=2, "Express (≤2d)", IF(OrdersTable[[#This Row],[Delivery Days]]&lt;=4, "Standard (3-4d)", "Delayed (5d+)"))</f>
        <v>Standard (3-4d)</v>
      </c>
      <c r="AF1828">
        <v>0</v>
      </c>
    </row>
    <row r="1829" spans="1:32" ht="15" x14ac:dyDescent="0.35">
      <c r="A1829" t="s">
        <v>2336</v>
      </c>
      <c r="B1829" s="1">
        <v>45617</v>
      </c>
      <c r="C1829">
        <f>YEAR(OrdersTable[[#This Row],[Order Date]])</f>
        <v>2024</v>
      </c>
      <c r="D1829" s="2">
        <f>DATE(YEAR(OrdersTable[[#This Row],[Order Date]]),MONTH(OrdersTable[[#This Row],[Order Date]]),1)</f>
        <v>45597</v>
      </c>
      <c r="E1829">
        <f>MONTH(OrdersTable[[#This Row],[Order Date]])</f>
        <v>11</v>
      </c>
      <c r="F1829" t="s">
        <v>1127</v>
      </c>
      <c r="G1829" t="str">
        <f>IF(OrdersTable[[#This Row],[Order Date]]=_xlfn.MINIFS(Order_Date, Customer_ID, OrdersTable[[#This Row],[Customer ID]]), "New", "Repeat")</f>
        <v>Repeat</v>
      </c>
      <c r="H1829" t="s">
        <v>128</v>
      </c>
      <c r="I1829" t="str">
        <f>INDEX(State!B:B,MATCH(OrdersTable[[#This Row],[State]],State!A:A,0))</f>
        <v>DL</v>
      </c>
      <c r="J1829" t="str">
        <f>INDEX(State!C:C,MATCH(OrdersTable[[#This Row],[State Code]],State!B:B,0))</f>
        <v>North</v>
      </c>
      <c r="K1829" t="s">
        <v>129</v>
      </c>
      <c r="L1829" t="s">
        <v>16</v>
      </c>
      <c r="M1829" t="s">
        <v>87</v>
      </c>
      <c r="N1829" t="str">
        <f>INDEX(Products!B:B,MATCH(OrdersTable[[#This Row],[Product ID]],Products!A:A,0))</f>
        <v>Linen Kurta</v>
      </c>
      <c r="O1829" t="str">
        <f>INDEX(Products!C:C,MATCH(OrdersTable[[#This Row],[Product ID]],Products!A:A,0))</f>
        <v>Apparel</v>
      </c>
      <c r="P1829">
        <v>1</v>
      </c>
      <c r="Q1829" s="5">
        <v>1499</v>
      </c>
      <c r="R1829" s="74">
        <v>0.45</v>
      </c>
      <c r="S1829" s="75">
        <f>OrdersTable[[#This Row],[Quantity]]*OrdersTable[[#This Row],[Unit Price]]</f>
        <v>1499</v>
      </c>
      <c r="T1829" s="5">
        <f>OrdersTable[[#This Row],[Gross Sale]]*OrdersTable[[#This Row],[Discount_Clean2]]</f>
        <v>674.55000000000007</v>
      </c>
      <c r="U1829" s="5">
        <f>OrdersTable[[#This Row],[Gross Sale]]-OrdersTable[[#This Row],[Discount Amount]]</f>
        <v>824.44999999999993</v>
      </c>
      <c r="V1829" s="77">
        <f>INDEX(Products!E:E,MATCH(OrdersTable[[#This Row],[Product ID]],Products!A:A,0))</f>
        <v>630</v>
      </c>
      <c r="W1829" s="77">
        <f>OrdersTable[[#This Row],[Quantity]]*OrdersTable[[#This Row],[Unit Cost]]</f>
        <v>630</v>
      </c>
      <c r="X1829" s="77">
        <f>'Dropdown Lists'!$I$2*(1+OrdersTable[[#This Row],[Returned]])</f>
        <v>60</v>
      </c>
      <c r="Y1829" s="76">
        <f>OrdersTable[[#This Row],[Net Revenue]]-OrdersTable[[#This Row],[COGS]]-OrdersTable[[#This Row],[Shipping Cost]]</f>
        <v>134.44999999999993</v>
      </c>
      <c r="Z1829" s="78">
        <f>IFERROR(OrdersTable[[#This Row],[Profit]]/OrdersTable[[#This Row],[Net Revenue]],0)</f>
        <v>0.16307841591363934</v>
      </c>
      <c r="AA1829" t="s">
        <v>18</v>
      </c>
      <c r="AB1829" s="79">
        <v>45619</v>
      </c>
      <c r="AC1829">
        <f>OrdersTable[[#This Row],[Delivery Date]]-OrdersTable[[#This Row],[Order Date]]</f>
        <v>2</v>
      </c>
      <c r="AD1829" t="str">
        <f>IF(OrdersTable[[#This Row],[Delivery Days]]&lt;=2, "Express (≤2d)", IF(OrdersTable[[#This Row],[Delivery Days]]&lt;=4, "Standard (3-4d)", "Delayed (5d+)"))</f>
        <v>Express (≤2d)</v>
      </c>
      <c r="AE1829">
        <v>5</v>
      </c>
      <c r="AF1829">
        <v>0</v>
      </c>
    </row>
    <row r="1830" spans="1:32" ht="15" x14ac:dyDescent="0.35">
      <c r="A1830" t="s">
        <v>1925</v>
      </c>
      <c r="B1830" s="1">
        <v>45617</v>
      </c>
      <c r="C1830">
        <f>YEAR(OrdersTable[[#This Row],[Order Date]])</f>
        <v>2024</v>
      </c>
      <c r="D1830" s="2">
        <f>DATE(YEAR(OrdersTable[[#This Row],[Order Date]]),MONTH(OrdersTable[[#This Row],[Order Date]]),1)</f>
        <v>45597</v>
      </c>
      <c r="E1830">
        <f>MONTH(OrdersTable[[#This Row],[Order Date]])</f>
        <v>11</v>
      </c>
      <c r="F1830" t="s">
        <v>1926</v>
      </c>
      <c r="G1830" t="str">
        <f>IF(OrdersTable[[#This Row],[Order Date]]=_xlfn.MINIFS(Order_Date, Customer_ID, OrdersTable[[#This Row],[Customer ID]]), "New", "Repeat")</f>
        <v>New</v>
      </c>
      <c r="H1830" t="s">
        <v>43</v>
      </c>
      <c r="I1830" t="str">
        <f>INDEX(State!B:B,MATCH(OrdersTable[[#This Row],[State]],State!A:A,0))</f>
        <v>MP</v>
      </c>
      <c r="J1830" t="str">
        <f>INDEX(State!C:C,MATCH(OrdersTable[[#This Row],[State Code]],State!B:B,0))</f>
        <v>West</v>
      </c>
      <c r="K1830" t="s">
        <v>44</v>
      </c>
      <c r="L1830" t="s">
        <v>16</v>
      </c>
      <c r="M1830" t="s">
        <v>205</v>
      </c>
      <c r="N1830" t="str">
        <f>INDEX(Products!B:B,MATCH(OrdersTable[[#This Row],[Product ID]],Products!A:A,0))</f>
        <v>Running Shoes</v>
      </c>
      <c r="O1830" t="str">
        <f>INDEX(Products!C:C,MATCH(OrdersTable[[#This Row],[Product ID]],Products!A:A,0))</f>
        <v>Footwear</v>
      </c>
      <c r="P1830">
        <v>1</v>
      </c>
      <c r="Q1830" s="5">
        <v>2999</v>
      </c>
      <c r="R1830" s="74">
        <v>0.25</v>
      </c>
      <c r="S1830" s="75">
        <f>OrdersTable[[#This Row],[Quantity]]*OrdersTable[[#This Row],[Unit Price]]</f>
        <v>2999</v>
      </c>
      <c r="T1830" s="5">
        <f>OrdersTable[[#This Row],[Gross Sale]]*OrdersTable[[#This Row],[Discount_Clean2]]</f>
        <v>749.75</v>
      </c>
      <c r="U1830" s="5">
        <f>OrdersTable[[#This Row],[Gross Sale]]-OrdersTable[[#This Row],[Discount Amount]]</f>
        <v>2249.25</v>
      </c>
      <c r="V1830" s="77">
        <f>INDEX(Products!E:E,MATCH(OrdersTable[[#This Row],[Product ID]],Products!A:A,0))</f>
        <v>1440</v>
      </c>
      <c r="W1830" s="77">
        <f>OrdersTable[[#This Row],[Quantity]]*OrdersTable[[#This Row],[Unit Cost]]</f>
        <v>1440</v>
      </c>
      <c r="X1830" s="77">
        <f>'Dropdown Lists'!$I$2*(1+OrdersTable[[#This Row],[Returned]])</f>
        <v>60</v>
      </c>
      <c r="Y1830" s="76">
        <f>OrdersTable[[#This Row],[Net Revenue]]-OrdersTable[[#This Row],[COGS]]-OrdersTable[[#This Row],[Shipping Cost]]</f>
        <v>749.25</v>
      </c>
      <c r="Z1830" s="78">
        <f>IFERROR(OrdersTable[[#This Row],[Profit]]/OrdersTable[[#This Row],[Net Revenue]],0)</f>
        <v>0.33311103701233746</v>
      </c>
      <c r="AA1830" t="s">
        <v>18</v>
      </c>
      <c r="AB1830" s="79">
        <v>45622</v>
      </c>
      <c r="AC1830">
        <f>OrdersTable[[#This Row],[Delivery Date]]-OrdersTable[[#This Row],[Order Date]]</f>
        <v>5</v>
      </c>
      <c r="AD1830" t="str">
        <f>IF(OrdersTable[[#This Row],[Delivery Days]]&lt;=2, "Express (≤2d)", IF(OrdersTable[[#This Row],[Delivery Days]]&lt;=4, "Standard (3-4d)", "Delayed (5d+)"))</f>
        <v>Delayed (5d+)</v>
      </c>
      <c r="AE1830">
        <v>3</v>
      </c>
      <c r="AF1830">
        <v>0</v>
      </c>
    </row>
    <row r="1831" spans="1:32" ht="15" x14ac:dyDescent="0.35">
      <c r="A1831" t="s">
        <v>5688</v>
      </c>
      <c r="B1831" s="1">
        <v>45617</v>
      </c>
      <c r="C1831">
        <f>YEAR(OrdersTable[[#This Row],[Order Date]])</f>
        <v>2024</v>
      </c>
      <c r="D1831" s="2">
        <f>DATE(YEAR(OrdersTable[[#This Row],[Order Date]]),MONTH(OrdersTable[[#This Row],[Order Date]]),1)</f>
        <v>45597</v>
      </c>
      <c r="E1831">
        <f>MONTH(OrdersTable[[#This Row],[Order Date]])</f>
        <v>11</v>
      </c>
      <c r="F1831" t="s">
        <v>340</v>
      </c>
      <c r="G1831" t="str">
        <f>IF(OrdersTable[[#This Row],[Order Date]]=_xlfn.MINIFS(Order_Date, Customer_ID, OrdersTable[[#This Row],[Customer ID]]), "New", "Repeat")</f>
        <v>New</v>
      </c>
      <c r="H1831" t="s">
        <v>316</v>
      </c>
      <c r="I1831" t="str">
        <f>INDEX(State!B:B,MATCH(OrdersTable[[#This Row],[State]],State!A:A,0))</f>
        <v>KL</v>
      </c>
      <c r="J1831" t="str">
        <f>INDEX(State!C:C,MATCH(OrdersTable[[#This Row],[State Code]],State!B:B,0))</f>
        <v>South</v>
      </c>
      <c r="K1831" t="s">
        <v>338</v>
      </c>
      <c r="L1831" t="s">
        <v>23</v>
      </c>
      <c r="M1831" t="s">
        <v>423</v>
      </c>
      <c r="N1831" t="str">
        <f>INDEX(Products!B:B,MATCH(OrdersTable[[#This Row],[Product ID]],Products!A:A,0))</f>
        <v>Power Bank 20000mAh</v>
      </c>
      <c r="O1831" t="str">
        <f>INDEX(Products!C:C,MATCH(OrdersTable[[#This Row],[Product ID]],Products!A:A,0))</f>
        <v>Electronics</v>
      </c>
      <c r="P1831">
        <v>2</v>
      </c>
      <c r="Q1831" s="5">
        <v>1799</v>
      </c>
      <c r="R1831" s="74">
        <v>0.5</v>
      </c>
      <c r="S1831" s="75">
        <f>OrdersTable[[#This Row],[Quantity]]*OrdersTable[[#This Row],[Unit Price]]</f>
        <v>3598</v>
      </c>
      <c r="T1831" s="5">
        <f>OrdersTable[[#This Row],[Gross Sale]]*OrdersTable[[#This Row],[Discount_Clean2]]</f>
        <v>1799</v>
      </c>
      <c r="U1831" s="5">
        <f>OrdersTable[[#This Row],[Gross Sale]]-OrdersTable[[#This Row],[Discount Amount]]</f>
        <v>1799</v>
      </c>
      <c r="V1831" s="77">
        <f>INDEX(Products!E:E,MATCH(OrdersTable[[#This Row],[Product ID]],Products!A:A,0))</f>
        <v>1079</v>
      </c>
      <c r="W1831" s="77">
        <f>OrdersTable[[#This Row],[Quantity]]*OrdersTable[[#This Row],[Unit Cost]]</f>
        <v>2158</v>
      </c>
      <c r="X1831" s="77">
        <f>'Dropdown Lists'!$I$2*(1+OrdersTable[[#This Row],[Returned]])</f>
        <v>60</v>
      </c>
      <c r="Y1831" s="76">
        <f>OrdersTable[[#This Row],[Net Revenue]]-OrdersTable[[#This Row],[COGS]]-OrdersTable[[#This Row],[Shipping Cost]]</f>
        <v>-419</v>
      </c>
      <c r="Z1831" s="78">
        <f>IFERROR(OrdersTable[[#This Row],[Profit]]/OrdersTable[[#This Row],[Net Revenue]],0)</f>
        <v>-0.23290717065036132</v>
      </c>
      <c r="AA1831" t="s">
        <v>18</v>
      </c>
      <c r="AB1831" s="79">
        <v>45621</v>
      </c>
      <c r="AC1831">
        <f>OrdersTable[[#This Row],[Delivery Date]]-OrdersTable[[#This Row],[Order Date]]</f>
        <v>4</v>
      </c>
      <c r="AD1831" t="str">
        <f>IF(OrdersTable[[#This Row],[Delivery Days]]&lt;=2, "Express (≤2d)", IF(OrdersTable[[#This Row],[Delivery Days]]&lt;=4, "Standard (3-4d)", "Delayed (5d+)"))</f>
        <v>Standard (3-4d)</v>
      </c>
      <c r="AE1831">
        <v>3</v>
      </c>
      <c r="AF1831">
        <v>0</v>
      </c>
    </row>
    <row r="1832" spans="1:32" ht="15" x14ac:dyDescent="0.35">
      <c r="A1832" t="s">
        <v>1057</v>
      </c>
      <c r="B1832" s="1">
        <v>45618</v>
      </c>
      <c r="C1832">
        <f>YEAR(OrdersTable[[#This Row],[Order Date]])</f>
        <v>2024</v>
      </c>
      <c r="D1832" s="2">
        <f>DATE(YEAR(OrdersTable[[#This Row],[Order Date]]),MONTH(OrdersTable[[#This Row],[Order Date]]),1)</f>
        <v>45597</v>
      </c>
      <c r="E1832">
        <f>MONTH(OrdersTable[[#This Row],[Order Date]])</f>
        <v>11</v>
      </c>
      <c r="F1832" t="s">
        <v>1058</v>
      </c>
      <c r="G1832" t="str">
        <f>IF(OrdersTable[[#This Row],[Order Date]]=_xlfn.MINIFS(Order_Date, Customer_ID, OrdersTable[[#This Row],[Customer ID]]), "New", "Repeat")</f>
        <v>Repeat</v>
      </c>
      <c r="H1832" t="s">
        <v>43</v>
      </c>
      <c r="I1832" t="str">
        <f>INDEX(State!B:B,MATCH(OrdersTable[[#This Row],[State]],State!A:A,0))</f>
        <v>MP</v>
      </c>
      <c r="J1832" t="str">
        <f>INDEX(State!C:C,MATCH(OrdersTable[[#This Row],[State Code]],State!B:B,0))</f>
        <v>West</v>
      </c>
      <c r="K1832" t="s">
        <v>44</v>
      </c>
      <c r="L1832" t="s">
        <v>23</v>
      </c>
      <c r="M1832" t="s">
        <v>45</v>
      </c>
      <c r="N1832" t="str">
        <f>INDEX(Products!B:B,MATCH(OrdersTable[[#This Row],[Product ID]],Products!A:A,0))</f>
        <v>Argan Shampoo</v>
      </c>
      <c r="O1832" t="str">
        <f>INDEX(Products!C:C,MATCH(OrdersTable[[#This Row],[Product ID]],Products!A:A,0))</f>
        <v>Haircare</v>
      </c>
      <c r="P1832">
        <v>1</v>
      </c>
      <c r="Q1832" s="5">
        <v>449</v>
      </c>
      <c r="R1832" s="74">
        <v>0.25</v>
      </c>
      <c r="S1832" s="75">
        <f>OrdersTable[[#This Row],[Quantity]]*OrdersTable[[#This Row],[Unit Price]]</f>
        <v>449</v>
      </c>
      <c r="T1832" s="5">
        <f>OrdersTable[[#This Row],[Gross Sale]]*OrdersTable[[#This Row],[Discount_Clean2]]</f>
        <v>112.25</v>
      </c>
      <c r="U1832" s="5">
        <f>OrdersTable[[#This Row],[Gross Sale]]-OrdersTable[[#This Row],[Discount Amount]]</f>
        <v>336.75</v>
      </c>
      <c r="V1832" s="77">
        <f>INDEX(Products!E:E,MATCH(OrdersTable[[#This Row],[Product ID]],Products!A:A,0))</f>
        <v>148</v>
      </c>
      <c r="W1832" s="77">
        <f>OrdersTable[[#This Row],[Quantity]]*OrdersTable[[#This Row],[Unit Cost]]</f>
        <v>148</v>
      </c>
      <c r="X1832" s="77">
        <f>'Dropdown Lists'!$I$2*(1+OrdersTable[[#This Row],[Returned]])</f>
        <v>120</v>
      </c>
      <c r="Y1832" s="76">
        <f>OrdersTable[[#This Row],[Net Revenue]]-OrdersTable[[#This Row],[COGS]]-OrdersTable[[#This Row],[Shipping Cost]]</f>
        <v>68.75</v>
      </c>
      <c r="Z1832" s="78">
        <f>IFERROR(OrdersTable[[#This Row],[Profit]]/OrdersTable[[#This Row],[Net Revenue]],0)</f>
        <v>0.20415738678544915</v>
      </c>
      <c r="AA1832" t="s">
        <v>18</v>
      </c>
      <c r="AB1832" s="79">
        <v>45621</v>
      </c>
      <c r="AC1832">
        <f>OrdersTable[[#This Row],[Delivery Date]]-OrdersTable[[#This Row],[Order Date]]</f>
        <v>3</v>
      </c>
      <c r="AD1832" t="str">
        <f>IF(OrdersTable[[#This Row],[Delivery Days]]&lt;=2, "Express (≤2d)", IF(OrdersTable[[#This Row],[Delivery Days]]&lt;=4, "Standard (3-4d)", "Delayed (5d+)"))</f>
        <v>Standard (3-4d)</v>
      </c>
      <c r="AE1832">
        <v>4</v>
      </c>
      <c r="AF1832">
        <v>1</v>
      </c>
    </row>
    <row r="1833" spans="1:32" ht="15" x14ac:dyDescent="0.35">
      <c r="A1833" t="s">
        <v>1927</v>
      </c>
      <c r="B1833" s="1">
        <v>45618</v>
      </c>
      <c r="C1833">
        <f>YEAR(OrdersTable[[#This Row],[Order Date]])</f>
        <v>2024</v>
      </c>
      <c r="D1833" s="2">
        <f>DATE(YEAR(OrdersTable[[#This Row],[Order Date]]),MONTH(OrdersTable[[#This Row],[Order Date]]),1)</f>
        <v>45597</v>
      </c>
      <c r="E1833">
        <f>MONTH(OrdersTable[[#This Row],[Order Date]])</f>
        <v>11</v>
      </c>
      <c r="F1833" t="s">
        <v>1087</v>
      </c>
      <c r="G1833" t="str">
        <f>IF(OrdersTable[[#This Row],[Order Date]]=_xlfn.MINIFS(Order_Date, Customer_ID, OrdersTable[[#This Row],[Customer ID]]), "New", "Repeat")</f>
        <v>New</v>
      </c>
      <c r="H1833" t="s">
        <v>167</v>
      </c>
      <c r="I1833" t="str">
        <f>INDEX(State!B:B,MATCH(OrdersTable[[#This Row],[State]],State!A:A,0))</f>
        <v>KA</v>
      </c>
      <c r="J1833" t="str">
        <f>INDEX(State!C:C,MATCH(OrdersTable[[#This Row],[State Code]],State!B:B,0))</f>
        <v>South</v>
      </c>
      <c r="K1833" t="s">
        <v>190</v>
      </c>
      <c r="L1833" t="s">
        <v>65</v>
      </c>
      <c r="M1833" t="s">
        <v>255</v>
      </c>
      <c r="N1833" t="str">
        <f>INDEX(Products!B:B,MATCH(OrdersTable[[#This Row],[Product ID]],Products!A:A,0))</f>
        <v>Cotton Oversized T-Shirt</v>
      </c>
      <c r="O1833" t="str">
        <f>INDEX(Products!C:C,MATCH(OrdersTable[[#This Row],[Product ID]],Products!A:A,0))</f>
        <v>Apparel</v>
      </c>
      <c r="P1833">
        <v>1</v>
      </c>
      <c r="Q1833" s="5">
        <v>799</v>
      </c>
      <c r="R1833" s="74">
        <v>0.25</v>
      </c>
      <c r="S1833" s="75">
        <f>OrdersTable[[#This Row],[Quantity]]*OrdersTable[[#This Row],[Unit Price]]</f>
        <v>799</v>
      </c>
      <c r="T1833" s="5">
        <f>OrdersTable[[#This Row],[Gross Sale]]*OrdersTable[[#This Row],[Discount_Clean2]]</f>
        <v>199.75</v>
      </c>
      <c r="U1833" s="5">
        <f>OrdersTable[[#This Row],[Gross Sale]]-OrdersTable[[#This Row],[Discount Amount]]</f>
        <v>599.25</v>
      </c>
      <c r="V1833" s="77">
        <f>INDEX(Products!E:E,MATCH(OrdersTable[[#This Row],[Product ID]],Products!A:A,0))</f>
        <v>320</v>
      </c>
      <c r="W1833" s="77">
        <f>OrdersTable[[#This Row],[Quantity]]*OrdersTable[[#This Row],[Unit Cost]]</f>
        <v>320</v>
      </c>
      <c r="X1833" s="77">
        <f>'Dropdown Lists'!$I$2*(1+OrdersTable[[#This Row],[Returned]])</f>
        <v>120</v>
      </c>
      <c r="Y1833" s="76">
        <f>OrdersTable[[#This Row],[Net Revenue]]-OrdersTable[[#This Row],[COGS]]-OrdersTable[[#This Row],[Shipping Cost]]</f>
        <v>159.25</v>
      </c>
      <c r="Z1833" s="78">
        <f>IFERROR(OrdersTable[[#This Row],[Profit]]/OrdersTable[[#This Row],[Net Revenue]],0)</f>
        <v>0.26574885273258242</v>
      </c>
      <c r="AA1833" t="s">
        <v>18</v>
      </c>
      <c r="AB1833" s="79">
        <v>45621</v>
      </c>
      <c r="AC1833">
        <f>OrdersTable[[#This Row],[Delivery Date]]-OrdersTable[[#This Row],[Order Date]]</f>
        <v>3</v>
      </c>
      <c r="AD1833" t="str">
        <f>IF(OrdersTable[[#This Row],[Delivery Days]]&lt;=2, "Express (≤2d)", IF(OrdersTable[[#This Row],[Delivery Days]]&lt;=4, "Standard (3-4d)", "Delayed (5d+)"))</f>
        <v>Standard (3-4d)</v>
      </c>
      <c r="AE1833">
        <v>3</v>
      </c>
      <c r="AF1833">
        <v>1</v>
      </c>
    </row>
    <row r="1834" spans="1:32" ht="15" x14ac:dyDescent="0.35">
      <c r="A1834" t="s">
        <v>945</v>
      </c>
      <c r="B1834" s="1">
        <v>45618</v>
      </c>
      <c r="C1834">
        <f>YEAR(OrdersTable[[#This Row],[Order Date]])</f>
        <v>2024</v>
      </c>
      <c r="D1834" s="2">
        <f>DATE(YEAR(OrdersTable[[#This Row],[Order Date]]),MONTH(OrdersTable[[#This Row],[Order Date]]),1)</f>
        <v>45597</v>
      </c>
      <c r="E1834">
        <f>MONTH(OrdersTable[[#This Row],[Order Date]])</f>
        <v>11</v>
      </c>
      <c r="F1834" t="s">
        <v>761</v>
      </c>
      <c r="G1834" t="str">
        <f>IF(OrdersTable[[#This Row],[Order Date]]=_xlfn.MINIFS(Order_Date, Customer_ID, OrdersTable[[#This Row],[Customer ID]]), "New", "Repeat")</f>
        <v>Repeat</v>
      </c>
      <c r="H1834" t="s">
        <v>167</v>
      </c>
      <c r="I1834" t="str">
        <f>INDEX(State!B:B,MATCH(OrdersTable[[#This Row],[State]],State!A:A,0))</f>
        <v>KA</v>
      </c>
      <c r="J1834" t="str">
        <f>INDEX(State!C:C,MATCH(OrdersTable[[#This Row],[State Code]],State!B:B,0))</f>
        <v>South</v>
      </c>
      <c r="K1834" t="s">
        <v>190</v>
      </c>
      <c r="L1834" t="s">
        <v>50</v>
      </c>
      <c r="M1834" t="s">
        <v>109</v>
      </c>
      <c r="N1834" t="str">
        <f>INDEX(Products!B:B,MATCH(OrdersTable[[#This Row],[Product ID]],Products!A:A,0))</f>
        <v>Onion Hair Oil</v>
      </c>
      <c r="O1834" t="str">
        <f>INDEX(Products!C:C,MATCH(OrdersTable[[#This Row],[Product ID]],Products!A:A,0))</f>
        <v>Haircare</v>
      </c>
      <c r="P1834">
        <v>1</v>
      </c>
      <c r="Q1834" s="5">
        <v>349</v>
      </c>
      <c r="R1834" s="74">
        <v>0.3</v>
      </c>
      <c r="S1834" s="75">
        <f>OrdersTable[[#This Row],[Quantity]]*OrdersTable[[#This Row],[Unit Price]]</f>
        <v>349</v>
      </c>
      <c r="T1834" s="5">
        <f>OrdersTable[[#This Row],[Gross Sale]]*OrdersTable[[#This Row],[Discount_Clean2]]</f>
        <v>104.7</v>
      </c>
      <c r="U1834" s="5">
        <f>OrdersTable[[#This Row],[Gross Sale]]-OrdersTable[[#This Row],[Discount Amount]]</f>
        <v>244.3</v>
      </c>
      <c r="V1834" s="77">
        <f>INDEX(Products!E:E,MATCH(OrdersTable[[#This Row],[Product ID]],Products!A:A,0))</f>
        <v>105</v>
      </c>
      <c r="W1834" s="77">
        <f>OrdersTable[[#This Row],[Quantity]]*OrdersTable[[#This Row],[Unit Cost]]</f>
        <v>105</v>
      </c>
      <c r="X1834" s="77">
        <f>'Dropdown Lists'!$I$2*(1+OrdersTable[[#This Row],[Returned]])</f>
        <v>60</v>
      </c>
      <c r="Y1834" s="76">
        <f>OrdersTable[[#This Row],[Net Revenue]]-OrdersTable[[#This Row],[COGS]]-OrdersTable[[#This Row],[Shipping Cost]]</f>
        <v>79.300000000000011</v>
      </c>
      <c r="Z1834" s="78">
        <f>IFERROR(OrdersTable[[#This Row],[Profit]]/OrdersTable[[#This Row],[Net Revenue]],0)</f>
        <v>0.32460090053213264</v>
      </c>
      <c r="AA1834" t="s">
        <v>18</v>
      </c>
      <c r="AB1834" s="79">
        <v>45621</v>
      </c>
      <c r="AC1834">
        <f>OrdersTable[[#This Row],[Delivery Date]]-OrdersTable[[#This Row],[Order Date]]</f>
        <v>3</v>
      </c>
      <c r="AD1834" t="str">
        <f>IF(OrdersTable[[#This Row],[Delivery Days]]&lt;=2, "Express (≤2d)", IF(OrdersTable[[#This Row],[Delivery Days]]&lt;=4, "Standard (3-4d)", "Delayed (5d+)"))</f>
        <v>Standard (3-4d)</v>
      </c>
      <c r="AE1834">
        <v>4</v>
      </c>
      <c r="AF1834">
        <v>0</v>
      </c>
    </row>
    <row r="1835" spans="1:32" ht="15" x14ac:dyDescent="0.35">
      <c r="A1835" t="s">
        <v>5911</v>
      </c>
      <c r="B1835" s="1">
        <v>45618</v>
      </c>
      <c r="C1835">
        <f>YEAR(OrdersTable[[#This Row],[Order Date]])</f>
        <v>2024</v>
      </c>
      <c r="D1835" s="2">
        <f>DATE(YEAR(OrdersTable[[#This Row],[Order Date]]),MONTH(OrdersTable[[#This Row],[Order Date]]),1)</f>
        <v>45597</v>
      </c>
      <c r="E1835">
        <f>MONTH(OrdersTable[[#This Row],[Order Date]])</f>
        <v>11</v>
      </c>
      <c r="F1835" t="s">
        <v>5912</v>
      </c>
      <c r="G1835" t="str">
        <f>IF(OrdersTable[[#This Row],[Order Date]]=_xlfn.MINIFS(Order_Date, Customer_ID, OrdersTable[[#This Row],[Customer ID]]), "New", "Repeat")</f>
        <v>New</v>
      </c>
      <c r="H1835" t="s">
        <v>167</v>
      </c>
      <c r="I1835" t="str">
        <f>INDEX(State!B:B,MATCH(OrdersTable[[#This Row],[State]],State!A:A,0))</f>
        <v>KA</v>
      </c>
      <c r="J1835" t="str">
        <f>INDEX(State!C:C,MATCH(OrdersTable[[#This Row],[State Code]],State!B:B,0))</f>
        <v>South</v>
      </c>
      <c r="K1835" t="s">
        <v>168</v>
      </c>
      <c r="L1835" t="s">
        <v>65</v>
      </c>
      <c r="M1835" t="s">
        <v>84</v>
      </c>
      <c r="N1835" t="str">
        <f>INDEX(Products!B:B,MATCH(OrdersTable[[#This Row],[Product ID]],Products!A:A,0))</f>
        <v>Cotton Bedsheet</v>
      </c>
      <c r="O1835" t="str">
        <f>INDEX(Products!C:C,MATCH(OrdersTable[[#This Row],[Product ID]],Products!A:A,0))</f>
        <v>Home &amp; Kitchen</v>
      </c>
      <c r="P1835">
        <v>2</v>
      </c>
      <c r="Q1835" s="5">
        <v>1299</v>
      </c>
      <c r="R1835" s="74">
        <v>0.1</v>
      </c>
      <c r="S1835" s="75">
        <f>OrdersTable[[#This Row],[Quantity]]*OrdersTable[[#This Row],[Unit Price]]</f>
        <v>2598</v>
      </c>
      <c r="T1835" s="5">
        <f>OrdersTable[[#This Row],[Gross Sale]]*OrdersTable[[#This Row],[Discount_Clean2]]</f>
        <v>259.8</v>
      </c>
      <c r="U1835" s="5">
        <f>OrdersTable[[#This Row],[Gross Sale]]-OrdersTable[[#This Row],[Discount Amount]]</f>
        <v>2338.1999999999998</v>
      </c>
      <c r="V1835" s="77">
        <f>INDEX(Products!E:E,MATCH(OrdersTable[[#This Row],[Product ID]],Products!A:A,0))</f>
        <v>585</v>
      </c>
      <c r="W1835" s="77">
        <f>OrdersTable[[#This Row],[Quantity]]*OrdersTable[[#This Row],[Unit Cost]]</f>
        <v>1170</v>
      </c>
      <c r="X1835" s="77">
        <f>'Dropdown Lists'!$I$2*(1+OrdersTable[[#This Row],[Returned]])</f>
        <v>60</v>
      </c>
      <c r="Y1835" s="76">
        <f>OrdersTable[[#This Row],[Net Revenue]]-OrdersTable[[#This Row],[COGS]]-OrdersTable[[#This Row],[Shipping Cost]]</f>
        <v>1108.1999999999998</v>
      </c>
      <c r="Z1835" s="78">
        <f>IFERROR(OrdersTable[[#This Row],[Profit]]/OrdersTable[[#This Row],[Net Revenue]],0)</f>
        <v>0.47395432383885033</v>
      </c>
      <c r="AA1835" t="s">
        <v>18</v>
      </c>
      <c r="AB1835" s="79">
        <v>45621</v>
      </c>
      <c r="AC1835">
        <f>OrdersTable[[#This Row],[Delivery Date]]-OrdersTable[[#This Row],[Order Date]]</f>
        <v>3</v>
      </c>
      <c r="AD1835" t="str">
        <f>IF(OrdersTable[[#This Row],[Delivery Days]]&lt;=2, "Express (≤2d)", IF(OrdersTable[[#This Row],[Delivery Days]]&lt;=4, "Standard (3-4d)", "Delayed (5d+)"))</f>
        <v>Standard (3-4d)</v>
      </c>
      <c r="AF1835">
        <v>0</v>
      </c>
    </row>
    <row r="1836" spans="1:32" ht="15" x14ac:dyDescent="0.35">
      <c r="A1836" t="s">
        <v>5499</v>
      </c>
      <c r="B1836" s="1">
        <v>45618</v>
      </c>
      <c r="C1836">
        <f>YEAR(OrdersTable[[#This Row],[Order Date]])</f>
        <v>2024</v>
      </c>
      <c r="D1836" s="2">
        <f>DATE(YEAR(OrdersTable[[#This Row],[Order Date]]),MONTH(OrdersTable[[#This Row],[Order Date]]),1)</f>
        <v>45597</v>
      </c>
      <c r="E1836">
        <f>MONTH(OrdersTable[[#This Row],[Order Date]])</f>
        <v>11</v>
      </c>
      <c r="F1836" t="s">
        <v>5500</v>
      </c>
      <c r="G1836" t="str">
        <f>IF(OrdersTable[[#This Row],[Order Date]]=_xlfn.MINIFS(Order_Date, Customer_ID, OrdersTable[[#This Row],[Customer ID]]), "New", "Repeat")</f>
        <v>New</v>
      </c>
      <c r="H1836" t="s">
        <v>275</v>
      </c>
      <c r="I1836" t="str">
        <f>INDEX(State!B:B,MATCH(OrdersTable[[#This Row],[State]],State!A:A,0))</f>
        <v>AP</v>
      </c>
      <c r="J1836" t="str">
        <f>INDEX(State!C:C,MATCH(OrdersTable[[#This Row],[State Code]],State!B:B,0))</f>
        <v>South</v>
      </c>
      <c r="K1836" t="s">
        <v>276</v>
      </c>
      <c r="L1836" t="s">
        <v>50</v>
      </c>
      <c r="M1836" t="s">
        <v>78</v>
      </c>
      <c r="N1836" t="str">
        <f>INDEX(Products!B:B,MATCH(OrdersTable[[#This Row],[Product ID]],Products!A:A,0))</f>
        <v>Retinol Night Cream</v>
      </c>
      <c r="O1836" t="str">
        <f>INDEX(Products!C:C,MATCH(OrdersTable[[#This Row],[Product ID]],Products!A:A,0))</f>
        <v>Skincare</v>
      </c>
      <c r="P1836">
        <v>2</v>
      </c>
      <c r="Q1836" s="5">
        <v>799</v>
      </c>
      <c r="R1836" s="74">
        <v>0.3</v>
      </c>
      <c r="S1836" s="75">
        <f>OrdersTable[[#This Row],[Quantity]]*OrdersTable[[#This Row],[Unit Price]]</f>
        <v>1598</v>
      </c>
      <c r="T1836" s="5">
        <f>OrdersTable[[#This Row],[Gross Sale]]*OrdersTable[[#This Row],[Discount_Clean2]]</f>
        <v>479.4</v>
      </c>
      <c r="U1836" s="5">
        <f>OrdersTable[[#This Row],[Gross Sale]]-OrdersTable[[#This Row],[Discount Amount]]</f>
        <v>1118.5999999999999</v>
      </c>
      <c r="V1836" s="77">
        <f>INDEX(Products!E:E,MATCH(OrdersTable[[#This Row],[Product ID]],Products!A:A,0))</f>
        <v>216</v>
      </c>
      <c r="W1836" s="77">
        <f>OrdersTable[[#This Row],[Quantity]]*OrdersTable[[#This Row],[Unit Cost]]</f>
        <v>432</v>
      </c>
      <c r="X1836" s="77">
        <f>'Dropdown Lists'!$I$2*(1+OrdersTable[[#This Row],[Returned]])</f>
        <v>60</v>
      </c>
      <c r="Y1836" s="76">
        <f>OrdersTable[[#This Row],[Net Revenue]]-OrdersTable[[#This Row],[COGS]]-OrdersTable[[#This Row],[Shipping Cost]]</f>
        <v>626.59999999999991</v>
      </c>
      <c r="Z1836" s="78">
        <f>IFERROR(OrdersTable[[#This Row],[Profit]]/OrdersTable[[#This Row],[Net Revenue]],0)</f>
        <v>0.56016449132844626</v>
      </c>
      <c r="AA1836" t="s">
        <v>2522</v>
      </c>
      <c r="AB1836" s="79">
        <v>45623</v>
      </c>
      <c r="AC1836">
        <f>OrdersTable[[#This Row],[Delivery Date]]-OrdersTable[[#This Row],[Order Date]]</f>
        <v>5</v>
      </c>
      <c r="AD1836" t="str">
        <f>IF(OrdersTable[[#This Row],[Delivery Days]]&lt;=2, "Express (≤2d)", IF(OrdersTable[[#This Row],[Delivery Days]]&lt;=4, "Standard (3-4d)", "Delayed (5d+)"))</f>
        <v>Delayed (5d+)</v>
      </c>
      <c r="AE1836">
        <v>4</v>
      </c>
      <c r="AF1836">
        <v>0</v>
      </c>
    </row>
    <row r="1837" spans="1:32" ht="15" x14ac:dyDescent="0.35">
      <c r="A1837" t="s">
        <v>3230</v>
      </c>
      <c r="B1837" s="1">
        <v>45618</v>
      </c>
      <c r="C1837">
        <f>YEAR(OrdersTable[[#This Row],[Order Date]])</f>
        <v>2024</v>
      </c>
      <c r="D1837" s="2">
        <f>DATE(YEAR(OrdersTable[[#This Row],[Order Date]]),MONTH(OrdersTable[[#This Row],[Order Date]]),1)</f>
        <v>45597</v>
      </c>
      <c r="E1837">
        <f>MONTH(OrdersTable[[#This Row],[Order Date]])</f>
        <v>11</v>
      </c>
      <c r="F1837" t="s">
        <v>331</v>
      </c>
      <c r="G1837" t="str">
        <f>IF(OrdersTable[[#This Row],[Order Date]]=_xlfn.MINIFS(Order_Date, Customer_ID, OrdersTable[[#This Row],[Customer ID]]), "New", "Repeat")</f>
        <v>New</v>
      </c>
      <c r="H1837" t="s">
        <v>59</v>
      </c>
      <c r="I1837" t="str">
        <f>INDEX(State!B:B,MATCH(OrdersTable[[#This Row],[State]],State!A:A,0))</f>
        <v>TN</v>
      </c>
      <c r="J1837" t="str">
        <f>INDEX(State!C:C,MATCH(OrdersTable[[#This Row],[State Code]],State!B:B,0))</f>
        <v>South</v>
      </c>
      <c r="K1837" t="s">
        <v>60</v>
      </c>
      <c r="L1837" t="s">
        <v>39</v>
      </c>
      <c r="M1837" t="s">
        <v>78</v>
      </c>
      <c r="N1837" t="str">
        <f>INDEX(Products!B:B,MATCH(OrdersTable[[#This Row],[Product ID]],Products!A:A,0))</f>
        <v>Retinol Night Cream</v>
      </c>
      <c r="O1837" t="str">
        <f>INDEX(Products!C:C,MATCH(OrdersTable[[#This Row],[Product ID]],Products!A:A,0))</f>
        <v>Skincare</v>
      </c>
      <c r="P1837">
        <v>1</v>
      </c>
      <c r="Q1837" s="5">
        <v>799</v>
      </c>
      <c r="R1837" s="74">
        <v>0.1</v>
      </c>
      <c r="S1837" s="75">
        <f>OrdersTable[[#This Row],[Quantity]]*OrdersTable[[#This Row],[Unit Price]]</f>
        <v>799</v>
      </c>
      <c r="T1837" s="5">
        <f>OrdersTable[[#This Row],[Gross Sale]]*OrdersTable[[#This Row],[Discount_Clean2]]</f>
        <v>79.900000000000006</v>
      </c>
      <c r="U1837" s="5">
        <f>OrdersTable[[#This Row],[Gross Sale]]-OrdersTable[[#This Row],[Discount Amount]]</f>
        <v>719.1</v>
      </c>
      <c r="V1837" s="77">
        <f>INDEX(Products!E:E,MATCH(OrdersTable[[#This Row],[Product ID]],Products!A:A,0))</f>
        <v>216</v>
      </c>
      <c r="W1837" s="77">
        <f>OrdersTable[[#This Row],[Quantity]]*OrdersTable[[#This Row],[Unit Cost]]</f>
        <v>216</v>
      </c>
      <c r="X1837" s="77">
        <f>'Dropdown Lists'!$I$2*(1+OrdersTable[[#This Row],[Returned]])</f>
        <v>60</v>
      </c>
      <c r="Y1837" s="76">
        <f>OrdersTable[[#This Row],[Net Revenue]]-OrdersTable[[#This Row],[COGS]]-OrdersTable[[#This Row],[Shipping Cost]]</f>
        <v>443.1</v>
      </c>
      <c r="Z1837" s="78">
        <f>IFERROR(OrdersTable[[#This Row],[Profit]]/OrdersTable[[#This Row],[Net Revenue]],0)</f>
        <v>0.61618690029203171</v>
      </c>
      <c r="AA1837" t="s">
        <v>2522</v>
      </c>
      <c r="AB1837" s="79">
        <v>45623</v>
      </c>
      <c r="AC1837">
        <f>OrdersTable[[#This Row],[Delivery Date]]-OrdersTable[[#This Row],[Order Date]]</f>
        <v>5</v>
      </c>
      <c r="AD1837" t="str">
        <f>IF(OrdersTable[[#This Row],[Delivery Days]]&lt;=2, "Express (≤2d)", IF(OrdersTable[[#This Row],[Delivery Days]]&lt;=4, "Standard (3-4d)", "Delayed (5d+)"))</f>
        <v>Delayed (5d+)</v>
      </c>
      <c r="AE1837">
        <v>4</v>
      </c>
      <c r="AF1837">
        <v>0</v>
      </c>
    </row>
    <row r="1838" spans="1:32" ht="15" x14ac:dyDescent="0.35">
      <c r="A1838" t="s">
        <v>225</v>
      </c>
      <c r="B1838" s="1">
        <v>45619</v>
      </c>
      <c r="C1838">
        <f>YEAR(OrdersTable[[#This Row],[Order Date]])</f>
        <v>2024</v>
      </c>
      <c r="D1838" s="2">
        <f>DATE(YEAR(OrdersTable[[#This Row],[Order Date]]),MONTH(OrdersTable[[#This Row],[Order Date]]),1)</f>
        <v>45597</v>
      </c>
      <c r="E1838">
        <f>MONTH(OrdersTable[[#This Row],[Order Date]])</f>
        <v>11</v>
      </c>
      <c r="F1838" t="s">
        <v>226</v>
      </c>
      <c r="G1838" t="str">
        <f>IF(OrdersTable[[#This Row],[Order Date]]=_xlfn.MINIFS(Order_Date, Customer_ID, OrdersTable[[#This Row],[Customer ID]]), "New", "Repeat")</f>
        <v>New</v>
      </c>
      <c r="H1838" t="s">
        <v>54</v>
      </c>
      <c r="I1838" t="str">
        <f>INDEX(State!B:B,MATCH(OrdersTable[[#This Row],[State]],State!A:A,0))</f>
        <v>RJ</v>
      </c>
      <c r="J1838" t="str">
        <f>INDEX(State!C:C,MATCH(OrdersTable[[#This Row],[State Code]],State!B:B,0))</f>
        <v>North</v>
      </c>
      <c r="K1838" t="s">
        <v>227</v>
      </c>
      <c r="L1838" t="s">
        <v>23</v>
      </c>
      <c r="M1838" t="s">
        <v>228</v>
      </c>
      <c r="N1838" t="str">
        <f>INDEX(Products!B:B,MATCH(OrdersTable[[#This Row],[Product ID]],Products!A:A,0))</f>
        <v>Fast Charger 33W</v>
      </c>
      <c r="O1838" t="str">
        <f>INDEX(Products!C:C,MATCH(OrdersTable[[#This Row],[Product ID]],Products!A:A,0))</f>
        <v>Electronics</v>
      </c>
      <c r="P1838">
        <v>1</v>
      </c>
      <c r="Q1838" s="5">
        <v>899</v>
      </c>
      <c r="R1838" s="74">
        <v>0.2</v>
      </c>
      <c r="S1838" s="75">
        <f>OrdersTable[[#This Row],[Quantity]]*OrdersTable[[#This Row],[Unit Price]]</f>
        <v>899</v>
      </c>
      <c r="T1838" s="5">
        <f>OrdersTable[[#This Row],[Gross Sale]]*OrdersTable[[#This Row],[Discount_Clean2]]</f>
        <v>179.8</v>
      </c>
      <c r="U1838" s="5">
        <f>OrdersTable[[#This Row],[Gross Sale]]-OrdersTable[[#This Row],[Discount Amount]]</f>
        <v>719.2</v>
      </c>
      <c r="V1838" s="77">
        <f>INDEX(Products!E:E,MATCH(OrdersTable[[#This Row],[Product ID]],Products!A:A,0))</f>
        <v>494</v>
      </c>
      <c r="W1838" s="77">
        <f>OrdersTable[[#This Row],[Quantity]]*OrdersTable[[#This Row],[Unit Cost]]</f>
        <v>494</v>
      </c>
      <c r="X1838" s="77">
        <f>'Dropdown Lists'!$I$2*(1+OrdersTable[[#This Row],[Returned]])</f>
        <v>60</v>
      </c>
      <c r="Y1838" s="76">
        <f>OrdersTable[[#This Row],[Net Revenue]]-OrdersTable[[#This Row],[COGS]]-OrdersTable[[#This Row],[Shipping Cost]]</f>
        <v>165.20000000000005</v>
      </c>
      <c r="Z1838" s="78">
        <f>IFERROR(OrdersTable[[#This Row],[Profit]]/OrdersTable[[#This Row],[Net Revenue]],0)</f>
        <v>0.22969966629588437</v>
      </c>
      <c r="AA1838" t="s">
        <v>18</v>
      </c>
      <c r="AB1838" s="79">
        <v>45621</v>
      </c>
      <c r="AC1838">
        <f>OrdersTable[[#This Row],[Delivery Date]]-OrdersTable[[#This Row],[Order Date]]</f>
        <v>2</v>
      </c>
      <c r="AD1838" t="str">
        <f>IF(OrdersTable[[#This Row],[Delivery Days]]&lt;=2, "Express (≤2d)", IF(OrdersTable[[#This Row],[Delivery Days]]&lt;=4, "Standard (3-4d)", "Delayed (5d+)"))</f>
        <v>Express (≤2d)</v>
      </c>
      <c r="AE1838">
        <v>4</v>
      </c>
      <c r="AF1838">
        <v>0</v>
      </c>
    </row>
    <row r="1839" spans="1:32" ht="15" x14ac:dyDescent="0.35">
      <c r="A1839" t="s">
        <v>2116</v>
      </c>
      <c r="B1839" s="1">
        <v>45619</v>
      </c>
      <c r="C1839">
        <f>YEAR(OrdersTable[[#This Row],[Order Date]])</f>
        <v>2024</v>
      </c>
      <c r="D1839" s="2">
        <f>DATE(YEAR(OrdersTable[[#This Row],[Order Date]]),MONTH(OrdersTable[[#This Row],[Order Date]]),1)</f>
        <v>45597</v>
      </c>
      <c r="E1839">
        <f>MONTH(OrdersTable[[#This Row],[Order Date]])</f>
        <v>11</v>
      </c>
      <c r="F1839" t="s">
        <v>1281</v>
      </c>
      <c r="G1839" t="str">
        <f>IF(OrdersTable[[#This Row],[Order Date]]=_xlfn.MINIFS(Order_Date, Customer_ID, OrdersTable[[#This Row],[Customer ID]]), "New", "Repeat")</f>
        <v>Repeat</v>
      </c>
      <c r="H1839" t="s">
        <v>128</v>
      </c>
      <c r="I1839" t="str">
        <f>INDEX(State!B:B,MATCH(OrdersTable[[#This Row],[State]],State!A:A,0))</f>
        <v>DL</v>
      </c>
      <c r="J1839" t="str">
        <f>INDEX(State!C:C,MATCH(OrdersTable[[#This Row],[State Code]],State!B:B,0))</f>
        <v>North</v>
      </c>
      <c r="K1839" t="s">
        <v>129</v>
      </c>
      <c r="L1839" t="s">
        <v>16</v>
      </c>
      <c r="M1839" t="s">
        <v>205</v>
      </c>
      <c r="N1839" t="str">
        <f>INDEX(Products!B:B,MATCH(OrdersTable[[#This Row],[Product ID]],Products!A:A,0))</f>
        <v>Running Shoes</v>
      </c>
      <c r="O1839" t="str">
        <f>INDEX(Products!C:C,MATCH(OrdersTable[[#This Row],[Product ID]],Products!A:A,0))</f>
        <v>Footwear</v>
      </c>
      <c r="P1839">
        <v>1</v>
      </c>
      <c r="Q1839" s="5">
        <v>2999</v>
      </c>
      <c r="R1839" s="74">
        <v>0.4</v>
      </c>
      <c r="S1839" s="75">
        <f>OrdersTable[[#This Row],[Quantity]]*OrdersTable[[#This Row],[Unit Price]]</f>
        <v>2999</v>
      </c>
      <c r="T1839" s="5">
        <f>OrdersTable[[#This Row],[Gross Sale]]*OrdersTable[[#This Row],[Discount_Clean2]]</f>
        <v>1199.6000000000001</v>
      </c>
      <c r="U1839" s="5">
        <f>OrdersTable[[#This Row],[Gross Sale]]-OrdersTable[[#This Row],[Discount Amount]]</f>
        <v>1799.3999999999999</v>
      </c>
      <c r="V1839" s="77">
        <f>INDEX(Products!E:E,MATCH(OrdersTable[[#This Row],[Product ID]],Products!A:A,0))</f>
        <v>1440</v>
      </c>
      <c r="W1839" s="77">
        <f>OrdersTable[[#This Row],[Quantity]]*OrdersTable[[#This Row],[Unit Cost]]</f>
        <v>1440</v>
      </c>
      <c r="X1839" s="77">
        <f>'Dropdown Lists'!$I$2*(1+OrdersTable[[#This Row],[Returned]])</f>
        <v>60</v>
      </c>
      <c r="Y1839" s="76">
        <f>OrdersTable[[#This Row],[Net Revenue]]-OrdersTable[[#This Row],[COGS]]-OrdersTable[[#This Row],[Shipping Cost]]</f>
        <v>299.39999999999986</v>
      </c>
      <c r="Z1839" s="78">
        <f>IFERROR(OrdersTable[[#This Row],[Profit]]/OrdersTable[[#This Row],[Net Revenue]],0)</f>
        <v>0.16638879626542175</v>
      </c>
      <c r="AA1839" t="s">
        <v>18</v>
      </c>
      <c r="AB1839" s="79">
        <v>45622</v>
      </c>
      <c r="AC1839">
        <f>OrdersTable[[#This Row],[Delivery Date]]-OrdersTable[[#This Row],[Order Date]]</f>
        <v>3</v>
      </c>
      <c r="AD1839" t="str">
        <f>IF(OrdersTable[[#This Row],[Delivery Days]]&lt;=2, "Express (≤2d)", IF(OrdersTable[[#This Row],[Delivery Days]]&lt;=4, "Standard (3-4d)", "Delayed (5d+)"))</f>
        <v>Standard (3-4d)</v>
      </c>
      <c r="AE1839">
        <v>3</v>
      </c>
      <c r="AF1839">
        <v>0</v>
      </c>
    </row>
    <row r="1840" spans="1:32" ht="15" x14ac:dyDescent="0.35">
      <c r="A1840" t="s">
        <v>5501</v>
      </c>
      <c r="B1840" s="1">
        <v>45619</v>
      </c>
      <c r="C1840">
        <f>YEAR(OrdersTable[[#This Row],[Order Date]])</f>
        <v>2024</v>
      </c>
      <c r="D1840" s="2">
        <f>DATE(YEAR(OrdersTable[[#This Row],[Order Date]]),MONTH(OrdersTable[[#This Row],[Order Date]]),1)</f>
        <v>45597</v>
      </c>
      <c r="E1840">
        <f>MONTH(OrdersTable[[#This Row],[Order Date]])</f>
        <v>11</v>
      </c>
      <c r="F1840" t="s">
        <v>645</v>
      </c>
      <c r="G1840" t="str">
        <f>IF(OrdersTable[[#This Row],[Order Date]]=_xlfn.MINIFS(Order_Date, Customer_ID, OrdersTable[[#This Row],[Customer ID]]), "New", "Repeat")</f>
        <v>New</v>
      </c>
      <c r="H1840" t="s">
        <v>128</v>
      </c>
      <c r="I1840" t="str">
        <f>INDEX(State!B:B,MATCH(OrdersTable[[#This Row],[State]],State!A:A,0))</f>
        <v>DL</v>
      </c>
      <c r="J1840" t="str">
        <f>INDEX(State!C:C,MATCH(OrdersTable[[#This Row],[State Code]],State!B:B,0))</f>
        <v>North</v>
      </c>
      <c r="K1840" t="s">
        <v>129</v>
      </c>
      <c r="L1840" t="s">
        <v>65</v>
      </c>
      <c r="M1840" t="s">
        <v>106</v>
      </c>
      <c r="N1840" t="str">
        <f>INDEX(Products!B:B,MATCH(OrdersTable[[#This Row],[Product ID]],Products!A:A,0))</f>
        <v>Keratin Hair Mask</v>
      </c>
      <c r="O1840" t="str">
        <f>INDEX(Products!C:C,MATCH(OrdersTable[[#This Row],[Product ID]],Products!A:A,0))</f>
        <v>Haircare</v>
      </c>
      <c r="P1840">
        <v>2</v>
      </c>
      <c r="Q1840" s="5">
        <v>549</v>
      </c>
      <c r="R1840" s="74">
        <v>0.3</v>
      </c>
      <c r="S1840" s="75">
        <f>OrdersTable[[#This Row],[Quantity]]*OrdersTable[[#This Row],[Unit Price]]</f>
        <v>1098</v>
      </c>
      <c r="T1840" s="5">
        <f>OrdersTable[[#This Row],[Gross Sale]]*OrdersTable[[#This Row],[Discount_Clean2]]</f>
        <v>329.4</v>
      </c>
      <c r="U1840" s="5">
        <f>OrdersTable[[#This Row],[Gross Sale]]-OrdersTable[[#This Row],[Discount Amount]]</f>
        <v>768.6</v>
      </c>
      <c r="V1840" s="77">
        <f>INDEX(Products!E:E,MATCH(OrdersTable[[#This Row],[Product ID]],Products!A:A,0))</f>
        <v>170</v>
      </c>
      <c r="W1840" s="77">
        <f>OrdersTable[[#This Row],[Quantity]]*OrdersTable[[#This Row],[Unit Cost]]</f>
        <v>340</v>
      </c>
      <c r="X1840" s="77">
        <f>'Dropdown Lists'!$I$2*(1+OrdersTable[[#This Row],[Returned]])</f>
        <v>120</v>
      </c>
      <c r="Y1840" s="76">
        <f>OrdersTable[[#This Row],[Net Revenue]]-OrdersTable[[#This Row],[COGS]]-OrdersTable[[#This Row],[Shipping Cost]]</f>
        <v>308.60000000000002</v>
      </c>
      <c r="Z1840" s="78">
        <f>IFERROR(OrdersTable[[#This Row],[Profit]]/OrdersTable[[#This Row],[Net Revenue]],0)</f>
        <v>0.40150923757481138</v>
      </c>
      <c r="AA1840" t="s">
        <v>2522</v>
      </c>
      <c r="AB1840" s="79">
        <v>45622</v>
      </c>
      <c r="AC1840">
        <f>OrdersTable[[#This Row],[Delivery Date]]-OrdersTable[[#This Row],[Order Date]]</f>
        <v>3</v>
      </c>
      <c r="AD1840" t="str">
        <f>IF(OrdersTable[[#This Row],[Delivery Days]]&lt;=2, "Express (≤2d)", IF(OrdersTable[[#This Row],[Delivery Days]]&lt;=4, "Standard (3-4d)", "Delayed (5d+)"))</f>
        <v>Standard (3-4d)</v>
      </c>
      <c r="AE1840">
        <v>4</v>
      </c>
      <c r="AF1840">
        <v>1</v>
      </c>
    </row>
    <row r="1841" spans="1:32" ht="15" x14ac:dyDescent="0.35">
      <c r="A1841" t="s">
        <v>5370</v>
      </c>
      <c r="B1841" s="1">
        <v>45619</v>
      </c>
      <c r="C1841">
        <f>YEAR(OrdersTable[[#This Row],[Order Date]])</f>
        <v>2024</v>
      </c>
      <c r="D1841" s="2">
        <f>DATE(YEAR(OrdersTable[[#This Row],[Order Date]]),MONTH(OrdersTable[[#This Row],[Order Date]]),1)</f>
        <v>45597</v>
      </c>
      <c r="E1841">
        <f>MONTH(OrdersTable[[#This Row],[Order Date]])</f>
        <v>11</v>
      </c>
      <c r="F1841" t="s">
        <v>3685</v>
      </c>
      <c r="G1841" t="str">
        <f>IF(OrdersTable[[#This Row],[Order Date]]=_xlfn.MINIFS(Order_Date, Customer_ID, OrdersTable[[#This Row],[Customer ID]]), "New", "Repeat")</f>
        <v>New</v>
      </c>
      <c r="H1841" t="s">
        <v>128</v>
      </c>
      <c r="I1841" t="str">
        <f>INDEX(State!B:B,MATCH(OrdersTable[[#This Row],[State]],State!A:A,0))</f>
        <v>DL</v>
      </c>
      <c r="J1841" t="str">
        <f>INDEX(State!C:C,MATCH(OrdersTable[[#This Row],[State Code]],State!B:B,0))</f>
        <v>North</v>
      </c>
      <c r="K1841" t="s">
        <v>129</v>
      </c>
      <c r="L1841" t="s">
        <v>16</v>
      </c>
      <c r="M1841" t="s">
        <v>87</v>
      </c>
      <c r="N1841" t="str">
        <f>INDEX(Products!B:B,MATCH(OrdersTable[[#This Row],[Product ID]],Products!A:A,0))</f>
        <v>Linen Kurta</v>
      </c>
      <c r="O1841" t="str">
        <f>INDEX(Products!C:C,MATCH(OrdersTable[[#This Row],[Product ID]],Products!A:A,0))</f>
        <v>Apparel</v>
      </c>
      <c r="P1841">
        <v>2</v>
      </c>
      <c r="Q1841" s="5">
        <v>1499</v>
      </c>
      <c r="R1841" s="74">
        <v>0.6</v>
      </c>
      <c r="S1841" s="75">
        <f>OrdersTable[[#This Row],[Quantity]]*OrdersTable[[#This Row],[Unit Price]]</f>
        <v>2998</v>
      </c>
      <c r="T1841" s="5">
        <f>OrdersTable[[#This Row],[Gross Sale]]*OrdersTable[[#This Row],[Discount_Clean2]]</f>
        <v>1798.8</v>
      </c>
      <c r="U1841" s="5">
        <f>OrdersTable[[#This Row],[Gross Sale]]-OrdersTable[[#This Row],[Discount Amount]]</f>
        <v>1199.2</v>
      </c>
      <c r="V1841" s="77">
        <f>INDEX(Products!E:E,MATCH(OrdersTable[[#This Row],[Product ID]],Products!A:A,0))</f>
        <v>630</v>
      </c>
      <c r="W1841" s="77">
        <f>OrdersTable[[#This Row],[Quantity]]*OrdersTable[[#This Row],[Unit Cost]]</f>
        <v>1260</v>
      </c>
      <c r="X1841" s="77">
        <f>'Dropdown Lists'!$I$2*(1+OrdersTable[[#This Row],[Returned]])</f>
        <v>60</v>
      </c>
      <c r="Y1841" s="76">
        <f>OrdersTable[[#This Row],[Net Revenue]]-OrdersTable[[#This Row],[COGS]]-OrdersTable[[#This Row],[Shipping Cost]]</f>
        <v>-120.79999999999995</v>
      </c>
      <c r="Z1841" s="78">
        <f>IFERROR(OrdersTable[[#This Row],[Profit]]/OrdersTable[[#This Row],[Net Revenue]],0)</f>
        <v>-0.10073382254836553</v>
      </c>
      <c r="AA1841" t="s">
        <v>2522</v>
      </c>
      <c r="AB1841" s="79">
        <v>45623</v>
      </c>
      <c r="AC1841">
        <f>OrdersTable[[#This Row],[Delivery Date]]-OrdersTable[[#This Row],[Order Date]]</f>
        <v>4</v>
      </c>
      <c r="AD1841" t="str">
        <f>IF(OrdersTable[[#This Row],[Delivery Days]]&lt;=2, "Express (≤2d)", IF(OrdersTable[[#This Row],[Delivery Days]]&lt;=4, "Standard (3-4d)", "Delayed (5d+)"))</f>
        <v>Standard (3-4d)</v>
      </c>
      <c r="AE1841">
        <v>3</v>
      </c>
      <c r="AF1841">
        <v>0</v>
      </c>
    </row>
    <row r="1842" spans="1:32" ht="15" x14ac:dyDescent="0.35">
      <c r="A1842" t="s">
        <v>4112</v>
      </c>
      <c r="B1842" s="1">
        <v>45619</v>
      </c>
      <c r="C1842">
        <f>YEAR(OrdersTable[[#This Row],[Order Date]])</f>
        <v>2024</v>
      </c>
      <c r="D1842" s="2">
        <f>DATE(YEAR(OrdersTable[[#This Row],[Order Date]]),MONTH(OrdersTable[[#This Row],[Order Date]]),1)</f>
        <v>45597</v>
      </c>
      <c r="E1842">
        <f>MONTH(OrdersTable[[#This Row],[Order Date]])</f>
        <v>11</v>
      </c>
      <c r="F1842" t="s">
        <v>2625</v>
      </c>
      <c r="G1842" t="str">
        <f>IF(OrdersTable[[#This Row],[Order Date]]=_xlfn.MINIFS(Order_Date, Customer_ID, OrdersTable[[#This Row],[Customer ID]]), "New", "Repeat")</f>
        <v>New</v>
      </c>
      <c r="H1842" t="s">
        <v>32</v>
      </c>
      <c r="I1842" t="str">
        <f>INDEX(State!B:B,MATCH(OrdersTable[[#This Row],[State]],State!A:A,0))</f>
        <v>BR</v>
      </c>
      <c r="J1842" t="str">
        <f>INDEX(State!C:C,MATCH(OrdersTable[[#This Row],[State Code]],State!B:B,0))</f>
        <v>East</v>
      </c>
      <c r="K1842" t="s">
        <v>33</v>
      </c>
      <c r="L1842" t="s">
        <v>65</v>
      </c>
      <c r="M1842" t="s">
        <v>423</v>
      </c>
      <c r="N1842" t="str">
        <f>INDEX(Products!B:B,MATCH(OrdersTable[[#This Row],[Product ID]],Products!A:A,0))</f>
        <v>Power Bank 20000mAh</v>
      </c>
      <c r="O1842" t="str">
        <f>INDEX(Products!C:C,MATCH(OrdersTable[[#This Row],[Product ID]],Products!A:A,0))</f>
        <v>Electronics</v>
      </c>
      <c r="P1842">
        <v>1</v>
      </c>
      <c r="Q1842" s="5">
        <v>1799</v>
      </c>
      <c r="R1842" s="74">
        <v>0.5</v>
      </c>
      <c r="S1842" s="75">
        <f>OrdersTable[[#This Row],[Quantity]]*OrdersTable[[#This Row],[Unit Price]]</f>
        <v>1799</v>
      </c>
      <c r="T1842" s="5">
        <f>OrdersTable[[#This Row],[Gross Sale]]*OrdersTable[[#This Row],[Discount_Clean2]]</f>
        <v>899.5</v>
      </c>
      <c r="U1842" s="5">
        <f>OrdersTable[[#This Row],[Gross Sale]]-OrdersTable[[#This Row],[Discount Amount]]</f>
        <v>899.5</v>
      </c>
      <c r="V1842" s="77">
        <f>INDEX(Products!E:E,MATCH(OrdersTable[[#This Row],[Product ID]],Products!A:A,0))</f>
        <v>1079</v>
      </c>
      <c r="W1842" s="77">
        <f>OrdersTable[[#This Row],[Quantity]]*OrdersTable[[#This Row],[Unit Cost]]</f>
        <v>1079</v>
      </c>
      <c r="X1842" s="77">
        <f>'Dropdown Lists'!$I$2*(1+OrdersTable[[#This Row],[Returned]])</f>
        <v>60</v>
      </c>
      <c r="Y1842" s="76">
        <f>OrdersTable[[#This Row],[Net Revenue]]-OrdersTable[[#This Row],[COGS]]-OrdersTable[[#This Row],[Shipping Cost]]</f>
        <v>-239.5</v>
      </c>
      <c r="Z1842" s="78">
        <f>IFERROR(OrdersTable[[#This Row],[Profit]]/OrdersTable[[#This Row],[Net Revenue]],0)</f>
        <v>-0.26625903279599777</v>
      </c>
      <c r="AA1842" t="s">
        <v>4074</v>
      </c>
      <c r="AB1842" s="79">
        <v>45626</v>
      </c>
      <c r="AC1842">
        <f>OrdersTable[[#This Row],[Delivery Date]]-OrdersTable[[#This Row],[Order Date]]</f>
        <v>7</v>
      </c>
      <c r="AD1842" t="str">
        <f>IF(OrdersTable[[#This Row],[Delivery Days]]&lt;=2, "Express (≤2d)", IF(OrdersTable[[#This Row],[Delivery Days]]&lt;=4, "Standard (3-4d)", "Delayed (5d+)"))</f>
        <v>Delayed (5d+)</v>
      </c>
      <c r="AE1842">
        <v>3</v>
      </c>
      <c r="AF1842">
        <v>0</v>
      </c>
    </row>
    <row r="1843" spans="1:32" ht="15" x14ac:dyDescent="0.35">
      <c r="A1843" t="s">
        <v>6875</v>
      </c>
      <c r="B1843" s="1">
        <v>45619</v>
      </c>
      <c r="C1843">
        <f>YEAR(OrdersTable[[#This Row],[Order Date]])</f>
        <v>2024</v>
      </c>
      <c r="D1843" s="2">
        <f>DATE(YEAR(OrdersTable[[#This Row],[Order Date]]),MONTH(OrdersTable[[#This Row],[Order Date]]),1)</f>
        <v>45597</v>
      </c>
      <c r="E1843">
        <f>MONTH(OrdersTable[[#This Row],[Order Date]])</f>
        <v>11</v>
      </c>
      <c r="F1843" t="s">
        <v>3961</v>
      </c>
      <c r="G1843" t="str">
        <f>IF(OrdersTable[[#This Row],[Order Date]]=_xlfn.MINIFS(Order_Date, Customer_ID, OrdersTable[[#This Row],[Customer ID]]), "New", "Repeat")</f>
        <v>Repeat</v>
      </c>
      <c r="H1843" t="s">
        <v>27</v>
      </c>
      <c r="I1843" t="str">
        <f>INDEX(State!B:B,MATCH(OrdersTable[[#This Row],[State]],State!A:A,0))</f>
        <v>WB</v>
      </c>
      <c r="J1843" t="str">
        <f>INDEX(State!C:C,MATCH(OrdersTable[[#This Row],[State Code]],State!B:B,0))</f>
        <v>East</v>
      </c>
      <c r="K1843" t="s">
        <v>28</v>
      </c>
      <c r="L1843" t="s">
        <v>65</v>
      </c>
      <c r="M1843" t="s">
        <v>45</v>
      </c>
      <c r="N1843" t="str">
        <f>INDEX(Products!B:B,MATCH(OrdersTable[[#This Row],[Product ID]],Products!A:A,0))</f>
        <v>Argan Shampoo</v>
      </c>
      <c r="O1843" t="str">
        <f>INDEX(Products!C:C,MATCH(OrdersTable[[#This Row],[Product ID]],Products!A:A,0))</f>
        <v>Haircare</v>
      </c>
      <c r="P1843">
        <v>3</v>
      </c>
      <c r="Q1843" s="5">
        <v>449</v>
      </c>
      <c r="R1843" s="74">
        <v>0.15</v>
      </c>
      <c r="S1843" s="75">
        <f>OrdersTable[[#This Row],[Quantity]]*OrdersTable[[#This Row],[Unit Price]]</f>
        <v>1347</v>
      </c>
      <c r="T1843" s="5">
        <f>OrdersTable[[#This Row],[Gross Sale]]*OrdersTable[[#This Row],[Discount_Clean2]]</f>
        <v>202.04999999999998</v>
      </c>
      <c r="U1843" s="5">
        <f>OrdersTable[[#This Row],[Gross Sale]]-OrdersTable[[#This Row],[Discount Amount]]</f>
        <v>1144.95</v>
      </c>
      <c r="V1843" s="77">
        <f>INDEX(Products!E:E,MATCH(OrdersTable[[#This Row],[Product ID]],Products!A:A,0))</f>
        <v>148</v>
      </c>
      <c r="W1843" s="77">
        <f>OrdersTable[[#This Row],[Quantity]]*OrdersTable[[#This Row],[Unit Cost]]</f>
        <v>444</v>
      </c>
      <c r="X1843" s="77">
        <f>'Dropdown Lists'!$I$2*(1+OrdersTable[[#This Row],[Returned]])</f>
        <v>60</v>
      </c>
      <c r="Y1843" s="76">
        <f>OrdersTable[[#This Row],[Net Revenue]]-OrdersTable[[#This Row],[COGS]]-OrdersTable[[#This Row],[Shipping Cost]]</f>
        <v>640.95000000000005</v>
      </c>
      <c r="Z1843" s="78">
        <f>IFERROR(OrdersTable[[#This Row],[Profit]]/OrdersTable[[#This Row],[Net Revenue]],0)</f>
        <v>0.55980610507009043</v>
      </c>
      <c r="AA1843" t="s">
        <v>4074</v>
      </c>
      <c r="AB1843" s="79">
        <v>45624</v>
      </c>
      <c r="AC1843">
        <f>OrdersTable[[#This Row],[Delivery Date]]-OrdersTable[[#This Row],[Order Date]]</f>
        <v>5</v>
      </c>
      <c r="AD1843" t="str">
        <f>IF(OrdersTable[[#This Row],[Delivery Days]]&lt;=2, "Express (≤2d)", IF(OrdersTable[[#This Row],[Delivery Days]]&lt;=4, "Standard (3-4d)", "Delayed (5d+)"))</f>
        <v>Delayed (5d+)</v>
      </c>
      <c r="AE1843">
        <v>4</v>
      </c>
      <c r="AF1843">
        <v>0</v>
      </c>
    </row>
    <row r="1844" spans="1:32" ht="15" x14ac:dyDescent="0.35">
      <c r="A1844" t="s">
        <v>5371</v>
      </c>
      <c r="B1844" s="1">
        <v>45619</v>
      </c>
      <c r="C1844">
        <f>YEAR(OrdersTable[[#This Row],[Order Date]])</f>
        <v>2024</v>
      </c>
      <c r="D1844" s="2">
        <f>DATE(YEAR(OrdersTable[[#This Row],[Order Date]]),MONTH(OrdersTable[[#This Row],[Order Date]]),1)</f>
        <v>45597</v>
      </c>
      <c r="E1844">
        <f>MONTH(OrdersTable[[#This Row],[Order Date]])</f>
        <v>11</v>
      </c>
      <c r="F1844" t="s">
        <v>4076</v>
      </c>
      <c r="G1844" t="str">
        <f>IF(OrdersTable[[#This Row],[Order Date]]=_xlfn.MINIFS(Order_Date, Customer_ID, OrdersTable[[#This Row],[Customer ID]]), "New", "Repeat")</f>
        <v>Repeat</v>
      </c>
      <c r="H1844" t="s">
        <v>167</v>
      </c>
      <c r="I1844" t="str">
        <f>INDEX(State!B:B,MATCH(OrdersTable[[#This Row],[State]],State!A:A,0))</f>
        <v>KA</v>
      </c>
      <c r="J1844" t="str">
        <f>INDEX(State!C:C,MATCH(OrdersTable[[#This Row],[State Code]],State!B:B,0))</f>
        <v>South</v>
      </c>
      <c r="K1844" t="s">
        <v>190</v>
      </c>
      <c r="L1844" t="s">
        <v>23</v>
      </c>
      <c r="M1844" t="s">
        <v>148</v>
      </c>
      <c r="N1844" t="str">
        <f>INDEX(Products!B:B,MATCH(OrdersTable[[#This Row],[Product ID]],Products!A:A,0))</f>
        <v>Smartwatch Strap</v>
      </c>
      <c r="O1844" t="str">
        <f>INDEX(Products!C:C,MATCH(OrdersTable[[#This Row],[Product ID]],Products!A:A,0))</f>
        <v>Electronics</v>
      </c>
      <c r="P1844">
        <v>2</v>
      </c>
      <c r="Q1844" s="5">
        <v>499</v>
      </c>
      <c r="R1844" s="74">
        <v>0.35</v>
      </c>
      <c r="S1844" s="75">
        <f>OrdersTable[[#This Row],[Quantity]]*OrdersTable[[#This Row],[Unit Price]]</f>
        <v>998</v>
      </c>
      <c r="T1844" s="5">
        <f>OrdersTable[[#This Row],[Gross Sale]]*OrdersTable[[#This Row],[Discount_Clean2]]</f>
        <v>349.29999999999995</v>
      </c>
      <c r="U1844" s="5">
        <f>OrdersTable[[#This Row],[Gross Sale]]-OrdersTable[[#This Row],[Discount Amount]]</f>
        <v>648.70000000000005</v>
      </c>
      <c r="V1844" s="77">
        <f>INDEX(Products!E:E,MATCH(OrdersTable[[#This Row],[Product ID]],Products!A:A,0))</f>
        <v>200</v>
      </c>
      <c r="W1844" s="77">
        <f>OrdersTable[[#This Row],[Quantity]]*OrdersTable[[#This Row],[Unit Cost]]</f>
        <v>400</v>
      </c>
      <c r="X1844" s="77">
        <f>'Dropdown Lists'!$I$2*(1+OrdersTable[[#This Row],[Returned]])</f>
        <v>120</v>
      </c>
      <c r="Y1844" s="76">
        <f>OrdersTable[[#This Row],[Net Revenue]]-OrdersTable[[#This Row],[COGS]]-OrdersTable[[#This Row],[Shipping Cost]]</f>
        <v>128.70000000000005</v>
      </c>
      <c r="Z1844" s="78">
        <f>IFERROR(OrdersTable[[#This Row],[Profit]]/OrdersTable[[#This Row],[Net Revenue]],0)</f>
        <v>0.19839679358717441</v>
      </c>
      <c r="AA1844" t="s">
        <v>2522</v>
      </c>
      <c r="AB1844" s="79">
        <v>45620</v>
      </c>
      <c r="AC1844">
        <f>OrdersTable[[#This Row],[Delivery Date]]-OrdersTable[[#This Row],[Order Date]]</f>
        <v>1</v>
      </c>
      <c r="AD1844" t="str">
        <f>IF(OrdersTable[[#This Row],[Delivery Days]]&lt;=2, "Express (≤2d)", IF(OrdersTable[[#This Row],[Delivery Days]]&lt;=4, "Standard (3-4d)", "Delayed (5d+)"))</f>
        <v>Express (≤2d)</v>
      </c>
      <c r="AF1844">
        <v>1</v>
      </c>
    </row>
    <row r="1845" spans="1:32" ht="15" x14ac:dyDescent="0.35">
      <c r="A1845" t="s">
        <v>6321</v>
      </c>
      <c r="B1845" s="1">
        <v>45620</v>
      </c>
      <c r="C1845">
        <f>YEAR(OrdersTable[[#This Row],[Order Date]])</f>
        <v>2024</v>
      </c>
      <c r="D1845" s="2">
        <f>DATE(YEAR(OrdersTable[[#This Row],[Order Date]]),MONTH(OrdersTable[[#This Row],[Order Date]]),1)</f>
        <v>45597</v>
      </c>
      <c r="E1845">
        <f>MONTH(OrdersTable[[#This Row],[Order Date]])</f>
        <v>11</v>
      </c>
      <c r="F1845" t="s">
        <v>1799</v>
      </c>
      <c r="G1845" t="str">
        <f>IF(OrdersTable[[#This Row],[Order Date]]=_xlfn.MINIFS(Order_Date, Customer_ID, OrdersTable[[#This Row],[Customer ID]]), "New", "Repeat")</f>
        <v>New</v>
      </c>
      <c r="H1845" t="s">
        <v>128</v>
      </c>
      <c r="I1845" t="str">
        <f>INDEX(State!B:B,MATCH(OrdersTable[[#This Row],[State]],State!A:A,0))</f>
        <v>DL</v>
      </c>
      <c r="J1845" t="str">
        <f>INDEX(State!C:C,MATCH(OrdersTable[[#This Row],[State Code]],State!B:B,0))</f>
        <v>North</v>
      </c>
      <c r="K1845" t="s">
        <v>129</v>
      </c>
      <c r="L1845" t="s">
        <v>39</v>
      </c>
      <c r="M1845" t="s">
        <v>51</v>
      </c>
      <c r="N1845" t="str">
        <f>INDEX(Products!B:B,MATCH(OrdersTable[[#This Row],[Product ID]],Products!A:A,0))</f>
        <v>Anti-Dandruff Conditioner</v>
      </c>
      <c r="O1845" t="str">
        <f>INDEX(Products!C:C,MATCH(OrdersTable[[#This Row],[Product ID]],Products!A:A,0))</f>
        <v>Haircare</v>
      </c>
      <c r="P1845">
        <v>2</v>
      </c>
      <c r="Q1845" s="5">
        <v>399</v>
      </c>
      <c r="R1845" s="74">
        <v>0.35</v>
      </c>
      <c r="S1845" s="75">
        <f>OrdersTable[[#This Row],[Quantity]]*OrdersTable[[#This Row],[Unit Price]]</f>
        <v>798</v>
      </c>
      <c r="T1845" s="5">
        <f>OrdersTable[[#This Row],[Gross Sale]]*OrdersTable[[#This Row],[Discount_Clean2]]</f>
        <v>279.29999999999995</v>
      </c>
      <c r="U1845" s="5">
        <f>OrdersTable[[#This Row],[Gross Sale]]-OrdersTable[[#This Row],[Discount Amount]]</f>
        <v>518.70000000000005</v>
      </c>
      <c r="V1845" s="77">
        <f>INDEX(Products!E:E,MATCH(OrdersTable[[#This Row],[Product ID]],Products!A:A,0))</f>
        <v>136</v>
      </c>
      <c r="W1845" s="77">
        <f>OrdersTable[[#This Row],[Quantity]]*OrdersTable[[#This Row],[Unit Cost]]</f>
        <v>272</v>
      </c>
      <c r="X1845" s="77">
        <f>'Dropdown Lists'!$I$2*(1+OrdersTable[[#This Row],[Returned]])</f>
        <v>60</v>
      </c>
      <c r="Y1845" s="76">
        <f>OrdersTable[[#This Row],[Net Revenue]]-OrdersTable[[#This Row],[COGS]]-OrdersTable[[#This Row],[Shipping Cost]]</f>
        <v>186.70000000000005</v>
      </c>
      <c r="Z1845" s="78">
        <f>IFERROR(OrdersTable[[#This Row],[Profit]]/OrdersTable[[#This Row],[Net Revenue]],0)</f>
        <v>0.35993830730672843</v>
      </c>
      <c r="AA1845" t="s">
        <v>18</v>
      </c>
      <c r="AB1845" s="79">
        <v>45623</v>
      </c>
      <c r="AC1845">
        <f>OrdersTable[[#This Row],[Delivery Date]]-OrdersTable[[#This Row],[Order Date]]</f>
        <v>3</v>
      </c>
      <c r="AD1845" t="str">
        <f>IF(OrdersTable[[#This Row],[Delivery Days]]&lt;=2, "Express (≤2d)", IF(OrdersTable[[#This Row],[Delivery Days]]&lt;=4, "Standard (3-4d)", "Delayed (5d+)"))</f>
        <v>Standard (3-4d)</v>
      </c>
      <c r="AE1845">
        <v>4</v>
      </c>
      <c r="AF1845">
        <v>0</v>
      </c>
    </row>
    <row r="1846" spans="1:32" ht="15" x14ac:dyDescent="0.35">
      <c r="A1846" t="s">
        <v>3882</v>
      </c>
      <c r="B1846" s="1">
        <v>45620</v>
      </c>
      <c r="C1846">
        <f>YEAR(OrdersTable[[#This Row],[Order Date]])</f>
        <v>2024</v>
      </c>
      <c r="D1846" s="2">
        <f>DATE(YEAR(OrdersTable[[#This Row],[Order Date]]),MONTH(OrdersTable[[#This Row],[Order Date]]),1)</f>
        <v>45597</v>
      </c>
      <c r="E1846">
        <f>MONTH(OrdersTable[[#This Row],[Order Date]])</f>
        <v>11</v>
      </c>
      <c r="F1846" t="s">
        <v>47</v>
      </c>
      <c r="G1846" t="str">
        <f>IF(OrdersTable[[#This Row],[Order Date]]=_xlfn.MINIFS(Order_Date, Customer_ID, OrdersTable[[#This Row],[Customer ID]]), "New", "Repeat")</f>
        <v>Repeat</v>
      </c>
      <c r="H1846" t="s">
        <v>128</v>
      </c>
      <c r="I1846" t="str">
        <f>INDEX(State!B:B,MATCH(OrdersTable[[#This Row],[State]],State!A:A,0))</f>
        <v>DL</v>
      </c>
      <c r="J1846" t="str">
        <f>INDEX(State!C:C,MATCH(OrdersTable[[#This Row],[State Code]],State!B:B,0))</f>
        <v>North</v>
      </c>
      <c r="K1846" t="s">
        <v>129</v>
      </c>
      <c r="L1846" t="s">
        <v>39</v>
      </c>
      <c r="M1846" t="s">
        <v>24</v>
      </c>
      <c r="N1846" t="str">
        <f>INDEX(Products!B:B,MATCH(OrdersTable[[#This Row],[Product ID]],Products!A:A,0))</f>
        <v>Scented Candle Set</v>
      </c>
      <c r="O1846" t="str">
        <f>INDEX(Products!C:C,MATCH(OrdersTable[[#This Row],[Product ID]],Products!A:A,0))</f>
        <v>Home &amp; Kitchen</v>
      </c>
      <c r="P1846">
        <v>1</v>
      </c>
      <c r="Q1846" s="5">
        <v>699</v>
      </c>
      <c r="R1846" s="74">
        <v>0.3</v>
      </c>
      <c r="S1846" s="75">
        <f>OrdersTable[[#This Row],[Quantity]]*OrdersTable[[#This Row],[Unit Price]]</f>
        <v>699</v>
      </c>
      <c r="T1846" s="5">
        <f>OrdersTable[[#This Row],[Gross Sale]]*OrdersTable[[#This Row],[Discount_Clean2]]</f>
        <v>209.7</v>
      </c>
      <c r="U1846" s="5">
        <f>OrdersTable[[#This Row],[Gross Sale]]-OrdersTable[[#This Row],[Discount Amount]]</f>
        <v>489.3</v>
      </c>
      <c r="V1846" s="77">
        <f>INDEX(Products!E:E,MATCH(OrdersTable[[#This Row],[Product ID]],Products!A:A,0))</f>
        <v>245</v>
      </c>
      <c r="W1846" s="77">
        <f>OrdersTable[[#This Row],[Quantity]]*OrdersTable[[#This Row],[Unit Cost]]</f>
        <v>245</v>
      </c>
      <c r="X1846" s="77">
        <f>'Dropdown Lists'!$I$2*(1+OrdersTable[[#This Row],[Returned]])</f>
        <v>60</v>
      </c>
      <c r="Y1846" s="76">
        <f>OrdersTable[[#This Row],[Net Revenue]]-OrdersTable[[#This Row],[COGS]]-OrdersTable[[#This Row],[Shipping Cost]]</f>
        <v>184.3</v>
      </c>
      <c r="Z1846" s="78">
        <f>IFERROR(OrdersTable[[#This Row],[Profit]]/OrdersTable[[#This Row],[Net Revenue]],0)</f>
        <v>0.37666053545881872</v>
      </c>
      <c r="AA1846" t="s">
        <v>3495</v>
      </c>
      <c r="AB1846" s="79">
        <v>45624</v>
      </c>
      <c r="AC1846">
        <f>OrdersTable[[#This Row],[Delivery Date]]-OrdersTable[[#This Row],[Order Date]]</f>
        <v>4</v>
      </c>
      <c r="AD1846" t="str">
        <f>IF(OrdersTable[[#This Row],[Delivery Days]]&lt;=2, "Express (≤2d)", IF(OrdersTable[[#This Row],[Delivery Days]]&lt;=4, "Standard (3-4d)", "Delayed (5d+)"))</f>
        <v>Standard (3-4d)</v>
      </c>
      <c r="AE1846">
        <v>3</v>
      </c>
      <c r="AF1846">
        <v>0</v>
      </c>
    </row>
    <row r="1847" spans="1:32" ht="15" x14ac:dyDescent="0.35">
      <c r="A1847" t="s">
        <v>3231</v>
      </c>
      <c r="B1847" s="1">
        <v>45620</v>
      </c>
      <c r="C1847">
        <f>YEAR(OrdersTable[[#This Row],[Order Date]])</f>
        <v>2024</v>
      </c>
      <c r="D1847" s="2">
        <f>DATE(YEAR(OrdersTable[[#This Row],[Order Date]]),MONTH(OrdersTable[[#This Row],[Order Date]]),1)</f>
        <v>45597</v>
      </c>
      <c r="E1847">
        <f>MONTH(OrdersTable[[#This Row],[Order Date]])</f>
        <v>11</v>
      </c>
      <c r="F1847" t="s">
        <v>1452</v>
      </c>
      <c r="G1847" t="str">
        <f>IF(OrdersTable[[#This Row],[Order Date]]=_xlfn.MINIFS(Order_Date, Customer_ID, OrdersTable[[#This Row],[Customer ID]]), "New", "Repeat")</f>
        <v>New</v>
      </c>
      <c r="H1847" t="s">
        <v>37</v>
      </c>
      <c r="I1847" t="str">
        <f>INDEX(State!B:B,MATCH(OrdersTable[[#This Row],[State]],State!A:A,0))</f>
        <v>GJ</v>
      </c>
      <c r="J1847" t="str">
        <f>INDEX(State!C:C,MATCH(OrdersTable[[#This Row],[State Code]],State!B:B,0))</f>
        <v>West</v>
      </c>
      <c r="K1847" t="s">
        <v>38</v>
      </c>
      <c r="L1847" t="s">
        <v>16</v>
      </c>
      <c r="M1847" t="s">
        <v>255</v>
      </c>
      <c r="N1847" t="str">
        <f>INDEX(Products!B:B,MATCH(OrdersTable[[#This Row],[Product ID]],Products!A:A,0))</f>
        <v>Cotton Oversized T-Shirt</v>
      </c>
      <c r="O1847" t="str">
        <f>INDEX(Products!C:C,MATCH(OrdersTable[[#This Row],[Product ID]],Products!A:A,0))</f>
        <v>Apparel</v>
      </c>
      <c r="P1847">
        <v>1</v>
      </c>
      <c r="Q1847" s="5">
        <v>799</v>
      </c>
      <c r="R1847" s="74">
        <v>0.15</v>
      </c>
      <c r="S1847" s="75">
        <f>OrdersTable[[#This Row],[Quantity]]*OrdersTable[[#This Row],[Unit Price]]</f>
        <v>799</v>
      </c>
      <c r="T1847" s="5">
        <f>OrdersTable[[#This Row],[Gross Sale]]*OrdersTable[[#This Row],[Discount_Clean2]]</f>
        <v>119.85</v>
      </c>
      <c r="U1847" s="5">
        <f>OrdersTable[[#This Row],[Gross Sale]]-OrdersTable[[#This Row],[Discount Amount]]</f>
        <v>679.15</v>
      </c>
      <c r="V1847" s="77">
        <f>INDEX(Products!E:E,MATCH(OrdersTable[[#This Row],[Product ID]],Products!A:A,0))</f>
        <v>320</v>
      </c>
      <c r="W1847" s="77">
        <f>OrdersTable[[#This Row],[Quantity]]*OrdersTable[[#This Row],[Unit Cost]]</f>
        <v>320</v>
      </c>
      <c r="X1847" s="77">
        <f>'Dropdown Lists'!$I$2*(1+OrdersTable[[#This Row],[Returned]])</f>
        <v>120</v>
      </c>
      <c r="Y1847" s="76">
        <f>OrdersTable[[#This Row],[Net Revenue]]-OrdersTable[[#This Row],[COGS]]-OrdersTable[[#This Row],[Shipping Cost]]</f>
        <v>239.14999999999998</v>
      </c>
      <c r="Z1847" s="78">
        <f>IFERROR(OrdersTable[[#This Row],[Profit]]/OrdersTable[[#This Row],[Net Revenue]],0)</f>
        <v>0.35213134064639623</v>
      </c>
      <c r="AA1847" t="s">
        <v>2522</v>
      </c>
      <c r="AB1847" s="79">
        <v>45624</v>
      </c>
      <c r="AC1847">
        <f>OrdersTable[[#This Row],[Delivery Date]]-OrdersTable[[#This Row],[Order Date]]</f>
        <v>4</v>
      </c>
      <c r="AD1847" t="str">
        <f>IF(OrdersTable[[#This Row],[Delivery Days]]&lt;=2, "Express (≤2d)", IF(OrdersTable[[#This Row],[Delivery Days]]&lt;=4, "Standard (3-4d)", "Delayed (5d+)"))</f>
        <v>Standard (3-4d)</v>
      </c>
      <c r="AE1847">
        <v>4</v>
      </c>
      <c r="AF1847">
        <v>1</v>
      </c>
    </row>
    <row r="1848" spans="1:32" ht="15" x14ac:dyDescent="0.35">
      <c r="A1848" t="s">
        <v>4255</v>
      </c>
      <c r="B1848" s="1">
        <v>45620</v>
      </c>
      <c r="C1848">
        <f>YEAR(OrdersTable[[#This Row],[Order Date]])</f>
        <v>2024</v>
      </c>
      <c r="D1848" s="2">
        <f>DATE(YEAR(OrdersTable[[#This Row],[Order Date]]),MONTH(OrdersTable[[#This Row],[Order Date]]),1)</f>
        <v>45597</v>
      </c>
      <c r="E1848">
        <f>MONTH(OrdersTable[[#This Row],[Order Date]])</f>
        <v>11</v>
      </c>
      <c r="F1848" t="s">
        <v>4256</v>
      </c>
      <c r="G1848" t="str">
        <f>IF(OrdersTable[[#This Row],[Order Date]]=_xlfn.MINIFS(Order_Date, Customer_ID, OrdersTable[[#This Row],[Customer ID]]), "New", "Repeat")</f>
        <v>New</v>
      </c>
      <c r="H1848" t="s">
        <v>43</v>
      </c>
      <c r="I1848" t="str">
        <f>INDEX(State!B:B,MATCH(OrdersTable[[#This Row],[State]],State!A:A,0))</f>
        <v>MP</v>
      </c>
      <c r="J1848" t="str">
        <f>INDEX(State!C:C,MATCH(OrdersTable[[#This Row],[State Code]],State!B:B,0))</f>
        <v>West</v>
      </c>
      <c r="K1848" t="s">
        <v>44</v>
      </c>
      <c r="L1848" t="s">
        <v>23</v>
      </c>
      <c r="M1848" t="s">
        <v>29</v>
      </c>
      <c r="N1848" t="str">
        <f>INDEX(Products!B:B,MATCH(OrdersTable[[#This Row],[Product ID]],Products!A:A,0))</f>
        <v>Joggers</v>
      </c>
      <c r="O1848" t="str">
        <f>INDEX(Products!C:C,MATCH(OrdersTable[[#This Row],[Product ID]],Products!A:A,0))</f>
        <v>Apparel</v>
      </c>
      <c r="P1848">
        <v>1</v>
      </c>
      <c r="Q1848" s="5">
        <v>1199</v>
      </c>
      <c r="R1848" s="74">
        <v>0.1</v>
      </c>
      <c r="S1848" s="75">
        <f>OrdersTable[[#This Row],[Quantity]]*OrdersTable[[#This Row],[Unit Price]]</f>
        <v>1199</v>
      </c>
      <c r="T1848" s="5">
        <f>OrdersTable[[#This Row],[Gross Sale]]*OrdersTable[[#This Row],[Discount_Clean2]]</f>
        <v>119.9</v>
      </c>
      <c r="U1848" s="5">
        <f>OrdersTable[[#This Row],[Gross Sale]]-OrdersTable[[#This Row],[Discount Amount]]</f>
        <v>1079.0999999999999</v>
      </c>
      <c r="V1848" s="77">
        <f>INDEX(Products!E:E,MATCH(OrdersTable[[#This Row],[Product ID]],Products!A:A,0))</f>
        <v>492</v>
      </c>
      <c r="W1848" s="77">
        <f>OrdersTable[[#This Row],[Quantity]]*OrdersTable[[#This Row],[Unit Cost]]</f>
        <v>492</v>
      </c>
      <c r="X1848" s="77">
        <f>'Dropdown Lists'!$I$2*(1+OrdersTable[[#This Row],[Returned]])</f>
        <v>60</v>
      </c>
      <c r="Y1848" s="76">
        <f>OrdersTable[[#This Row],[Net Revenue]]-OrdersTable[[#This Row],[COGS]]-OrdersTable[[#This Row],[Shipping Cost]]</f>
        <v>527.09999999999991</v>
      </c>
      <c r="Z1848" s="78">
        <f>IFERROR(OrdersTable[[#This Row],[Profit]]/OrdersTable[[#This Row],[Net Revenue]],0)</f>
        <v>0.48846260772866273</v>
      </c>
      <c r="AA1848" t="s">
        <v>4074</v>
      </c>
      <c r="AB1848" s="79">
        <v>45624</v>
      </c>
      <c r="AC1848">
        <f>OrdersTable[[#This Row],[Delivery Date]]-OrdersTable[[#This Row],[Order Date]]</f>
        <v>4</v>
      </c>
      <c r="AD1848" t="str">
        <f>IF(OrdersTable[[#This Row],[Delivery Days]]&lt;=2, "Express (≤2d)", IF(OrdersTable[[#This Row],[Delivery Days]]&lt;=4, "Standard (3-4d)", "Delayed (5d+)"))</f>
        <v>Standard (3-4d)</v>
      </c>
      <c r="AF1848">
        <v>0</v>
      </c>
    </row>
    <row r="1849" spans="1:32" ht="15" x14ac:dyDescent="0.35">
      <c r="A1849" t="s">
        <v>4375</v>
      </c>
      <c r="B1849" s="1">
        <v>45620</v>
      </c>
      <c r="C1849">
        <f>YEAR(OrdersTable[[#This Row],[Order Date]])</f>
        <v>2024</v>
      </c>
      <c r="D1849" s="2">
        <f>DATE(YEAR(OrdersTable[[#This Row],[Order Date]]),MONTH(OrdersTable[[#This Row],[Order Date]]),1)</f>
        <v>45597</v>
      </c>
      <c r="E1849">
        <f>MONTH(OrdersTable[[#This Row],[Order Date]])</f>
        <v>11</v>
      </c>
      <c r="F1849" t="s">
        <v>4376</v>
      </c>
      <c r="G1849" t="str">
        <f>IF(OrdersTable[[#This Row],[Order Date]]=_xlfn.MINIFS(Order_Date, Customer_ID, OrdersTable[[#This Row],[Customer ID]]), "New", "Repeat")</f>
        <v>Repeat</v>
      </c>
      <c r="H1849" t="s">
        <v>71</v>
      </c>
      <c r="I1849" t="str">
        <f>INDEX(State!B:B,MATCH(OrdersTable[[#This Row],[State]],State!A:A,0))</f>
        <v>MH</v>
      </c>
      <c r="J1849" t="str">
        <f>INDEX(State!C:C,MATCH(OrdersTable[[#This Row],[State Code]],State!B:B,0))</f>
        <v>West</v>
      </c>
      <c r="K1849" t="s">
        <v>81</v>
      </c>
      <c r="L1849" t="s">
        <v>23</v>
      </c>
      <c r="M1849" t="s">
        <v>34</v>
      </c>
      <c r="N1849" t="str">
        <f>INDEX(Products!B:B,MATCH(OrdersTable[[#This Row],[Product ID]],Products!A:A,0))</f>
        <v>Flip Flops</v>
      </c>
      <c r="O1849" t="str">
        <f>INDEX(Products!C:C,MATCH(OrdersTable[[#This Row],[Product ID]],Products!A:A,0))</f>
        <v>Footwear</v>
      </c>
      <c r="P1849">
        <v>1</v>
      </c>
      <c r="Q1849" s="5">
        <v>399</v>
      </c>
      <c r="R1849" s="74">
        <v>0.25</v>
      </c>
      <c r="S1849" s="75">
        <f>OrdersTable[[#This Row],[Quantity]]*OrdersTable[[#This Row],[Unit Price]]</f>
        <v>399</v>
      </c>
      <c r="T1849" s="5">
        <f>OrdersTable[[#This Row],[Gross Sale]]*OrdersTable[[#This Row],[Discount_Clean2]]</f>
        <v>99.75</v>
      </c>
      <c r="U1849" s="5">
        <f>OrdersTable[[#This Row],[Gross Sale]]-OrdersTable[[#This Row],[Discount Amount]]</f>
        <v>299.25</v>
      </c>
      <c r="V1849" s="77">
        <f>INDEX(Products!E:E,MATCH(OrdersTable[[#This Row],[Product ID]],Products!A:A,0))</f>
        <v>152</v>
      </c>
      <c r="W1849" s="77">
        <f>OrdersTable[[#This Row],[Quantity]]*OrdersTable[[#This Row],[Unit Cost]]</f>
        <v>152</v>
      </c>
      <c r="X1849" s="77">
        <f>'Dropdown Lists'!$I$2*(1+OrdersTable[[#This Row],[Returned]])</f>
        <v>60</v>
      </c>
      <c r="Y1849" s="76">
        <f>OrdersTable[[#This Row],[Net Revenue]]-OrdersTable[[#This Row],[COGS]]-OrdersTable[[#This Row],[Shipping Cost]]</f>
        <v>87.25</v>
      </c>
      <c r="Z1849" s="78">
        <f>IFERROR(OrdersTable[[#This Row],[Profit]]/OrdersTable[[#This Row],[Net Revenue]],0)</f>
        <v>0.29156223893065997</v>
      </c>
      <c r="AA1849" t="s">
        <v>4074</v>
      </c>
      <c r="AB1849" s="79">
        <v>45621</v>
      </c>
      <c r="AC1849">
        <f>OrdersTable[[#This Row],[Delivery Date]]-OrdersTable[[#This Row],[Order Date]]</f>
        <v>1</v>
      </c>
      <c r="AD1849" t="str">
        <f>IF(OrdersTable[[#This Row],[Delivery Days]]&lt;=2, "Express (≤2d)", IF(OrdersTable[[#This Row],[Delivery Days]]&lt;=4, "Standard (3-4d)", "Delayed (5d+)"))</f>
        <v>Express (≤2d)</v>
      </c>
      <c r="AE1849">
        <v>4</v>
      </c>
      <c r="AF1849">
        <v>0</v>
      </c>
    </row>
    <row r="1850" spans="1:32" ht="15" x14ac:dyDescent="0.35">
      <c r="A1850" t="s">
        <v>6532</v>
      </c>
      <c r="B1850" s="1">
        <v>45620</v>
      </c>
      <c r="C1850">
        <f>YEAR(OrdersTable[[#This Row],[Order Date]])</f>
        <v>2024</v>
      </c>
      <c r="D1850" s="2">
        <f>DATE(YEAR(OrdersTable[[#This Row],[Order Date]]),MONTH(OrdersTable[[#This Row],[Order Date]]),1)</f>
        <v>45597</v>
      </c>
      <c r="E1850">
        <f>MONTH(OrdersTable[[#This Row],[Order Date]])</f>
        <v>11</v>
      </c>
      <c r="F1850" t="s">
        <v>6533</v>
      </c>
      <c r="G1850" t="str">
        <f>IF(OrdersTable[[#This Row],[Order Date]]=_xlfn.MINIFS(Order_Date, Customer_ID, OrdersTable[[#This Row],[Customer ID]]), "New", "Repeat")</f>
        <v>New</v>
      </c>
      <c r="H1850" t="s">
        <v>71</v>
      </c>
      <c r="I1850" t="str">
        <f>INDEX(State!B:B,MATCH(OrdersTable[[#This Row],[State]],State!A:A,0))</f>
        <v>MH</v>
      </c>
      <c r="J1850" t="str">
        <f>INDEX(State!C:C,MATCH(OrdersTable[[#This Row],[State Code]],State!B:B,0))</f>
        <v>West</v>
      </c>
      <c r="K1850" t="s">
        <v>72</v>
      </c>
      <c r="L1850" t="s">
        <v>16</v>
      </c>
      <c r="M1850" t="s">
        <v>87</v>
      </c>
      <c r="N1850" t="str">
        <f>INDEX(Products!B:B,MATCH(OrdersTable[[#This Row],[Product ID]],Products!A:A,0))</f>
        <v>Linen Kurta</v>
      </c>
      <c r="O1850" t="str">
        <f>INDEX(Products!C:C,MATCH(OrdersTable[[#This Row],[Product ID]],Products!A:A,0))</f>
        <v>Apparel</v>
      </c>
      <c r="P1850">
        <v>3</v>
      </c>
      <c r="Q1850" s="5">
        <v>1499</v>
      </c>
      <c r="R1850" s="74">
        <v>0.5</v>
      </c>
      <c r="S1850" s="75">
        <f>OrdersTable[[#This Row],[Quantity]]*OrdersTable[[#This Row],[Unit Price]]</f>
        <v>4497</v>
      </c>
      <c r="T1850" s="5">
        <f>OrdersTable[[#This Row],[Gross Sale]]*OrdersTable[[#This Row],[Discount_Clean2]]</f>
        <v>2248.5</v>
      </c>
      <c r="U1850" s="5">
        <f>OrdersTable[[#This Row],[Gross Sale]]-OrdersTable[[#This Row],[Discount Amount]]</f>
        <v>2248.5</v>
      </c>
      <c r="V1850" s="77">
        <f>INDEX(Products!E:E,MATCH(OrdersTable[[#This Row],[Product ID]],Products!A:A,0))</f>
        <v>630</v>
      </c>
      <c r="W1850" s="77">
        <f>OrdersTable[[#This Row],[Quantity]]*OrdersTable[[#This Row],[Unit Cost]]</f>
        <v>1890</v>
      </c>
      <c r="X1850" s="77">
        <f>'Dropdown Lists'!$I$2*(1+OrdersTable[[#This Row],[Returned]])</f>
        <v>60</v>
      </c>
      <c r="Y1850" s="76">
        <f>OrdersTable[[#This Row],[Net Revenue]]-OrdersTable[[#This Row],[COGS]]-OrdersTable[[#This Row],[Shipping Cost]]</f>
        <v>298.5</v>
      </c>
      <c r="Z1850" s="78">
        <f>IFERROR(OrdersTable[[#This Row],[Profit]]/OrdersTable[[#This Row],[Net Revenue]],0)</f>
        <v>0.13275517011340893</v>
      </c>
      <c r="AA1850" t="s">
        <v>18</v>
      </c>
      <c r="AB1850" s="79">
        <v>45624</v>
      </c>
      <c r="AC1850">
        <f>OrdersTable[[#This Row],[Delivery Date]]-OrdersTable[[#This Row],[Order Date]]</f>
        <v>4</v>
      </c>
      <c r="AD1850" t="str">
        <f>IF(OrdersTable[[#This Row],[Delivery Days]]&lt;=2, "Express (≤2d)", IF(OrdersTable[[#This Row],[Delivery Days]]&lt;=4, "Standard (3-4d)", "Delayed (5d+)"))</f>
        <v>Standard (3-4d)</v>
      </c>
      <c r="AE1850">
        <v>3</v>
      </c>
      <c r="AF1850">
        <v>0</v>
      </c>
    </row>
    <row r="1851" spans="1:32" ht="15" x14ac:dyDescent="0.35">
      <c r="A1851" t="s">
        <v>6115</v>
      </c>
      <c r="B1851" s="1">
        <v>45620</v>
      </c>
      <c r="C1851">
        <f>YEAR(OrdersTable[[#This Row],[Order Date]])</f>
        <v>2024</v>
      </c>
      <c r="D1851" s="2">
        <f>DATE(YEAR(OrdersTable[[#This Row],[Order Date]]),MONTH(OrdersTable[[#This Row],[Order Date]]),1)</f>
        <v>45597</v>
      </c>
      <c r="E1851">
        <f>MONTH(OrdersTable[[#This Row],[Order Date]])</f>
        <v>11</v>
      </c>
      <c r="F1851" t="s">
        <v>715</v>
      </c>
      <c r="G1851" t="str">
        <f>IF(OrdersTable[[#This Row],[Order Date]]=_xlfn.MINIFS(Order_Date, Customer_ID, OrdersTable[[#This Row],[Customer ID]]), "New", "Repeat")</f>
        <v>Repeat</v>
      </c>
      <c r="H1851" t="s">
        <v>71</v>
      </c>
      <c r="I1851" t="str">
        <f>INDEX(State!B:B,MATCH(OrdersTable[[#This Row],[State]],State!A:A,0))</f>
        <v>MH</v>
      </c>
      <c r="J1851" t="str">
        <f>INDEX(State!C:C,MATCH(OrdersTable[[#This Row],[State Code]],State!B:B,0))</f>
        <v>West</v>
      </c>
      <c r="K1851" t="s">
        <v>102</v>
      </c>
      <c r="L1851" t="s">
        <v>50</v>
      </c>
      <c r="M1851" t="s">
        <v>40</v>
      </c>
      <c r="N1851" t="str">
        <f>INDEX(Products!B:B,MATCH(OrdersTable[[#This Row],[Product ID]],Products!A:A,0))</f>
        <v>Ashwagandha Capsules</v>
      </c>
      <c r="O1851" t="str">
        <f>INDEX(Products!C:C,MATCH(OrdersTable[[#This Row],[Product ID]],Products!A:A,0))</f>
        <v>Wellness</v>
      </c>
      <c r="P1851">
        <v>2</v>
      </c>
      <c r="Q1851" s="5">
        <v>499</v>
      </c>
      <c r="R1851" s="74">
        <v>0.25</v>
      </c>
      <c r="S1851" s="75">
        <f>OrdersTable[[#This Row],[Quantity]]*OrdersTable[[#This Row],[Unit Price]]</f>
        <v>998</v>
      </c>
      <c r="T1851" s="5">
        <f>OrdersTable[[#This Row],[Gross Sale]]*OrdersTable[[#This Row],[Discount_Clean2]]</f>
        <v>249.5</v>
      </c>
      <c r="U1851" s="5">
        <f>OrdersTable[[#This Row],[Gross Sale]]-OrdersTable[[#This Row],[Discount Amount]]</f>
        <v>748.5</v>
      </c>
      <c r="V1851" s="77">
        <f>INDEX(Products!E:E,MATCH(OrdersTable[[#This Row],[Product ID]],Products!A:A,0))</f>
        <v>150</v>
      </c>
      <c r="W1851" s="77">
        <f>OrdersTable[[#This Row],[Quantity]]*OrdersTable[[#This Row],[Unit Cost]]</f>
        <v>300</v>
      </c>
      <c r="X1851" s="77">
        <f>'Dropdown Lists'!$I$2*(1+OrdersTable[[#This Row],[Returned]])</f>
        <v>60</v>
      </c>
      <c r="Y1851" s="76">
        <f>OrdersTable[[#This Row],[Net Revenue]]-OrdersTable[[#This Row],[COGS]]-OrdersTable[[#This Row],[Shipping Cost]]</f>
        <v>388.5</v>
      </c>
      <c r="Z1851" s="78">
        <f>IFERROR(OrdersTable[[#This Row],[Profit]]/OrdersTable[[#This Row],[Net Revenue]],0)</f>
        <v>0.51903807615230457</v>
      </c>
      <c r="AA1851" t="s">
        <v>18</v>
      </c>
      <c r="AB1851" s="79">
        <v>45622</v>
      </c>
      <c r="AC1851">
        <f>OrdersTable[[#This Row],[Delivery Date]]-OrdersTable[[#This Row],[Order Date]]</f>
        <v>2</v>
      </c>
      <c r="AD1851" t="str">
        <f>IF(OrdersTable[[#This Row],[Delivery Days]]&lt;=2, "Express (≤2d)", IF(OrdersTable[[#This Row],[Delivery Days]]&lt;=4, "Standard (3-4d)", "Delayed (5d+)"))</f>
        <v>Express (≤2d)</v>
      </c>
      <c r="AE1851">
        <v>4</v>
      </c>
      <c r="AF1851">
        <v>0</v>
      </c>
    </row>
    <row r="1852" spans="1:32" ht="15" x14ac:dyDescent="0.35">
      <c r="A1852" t="s">
        <v>5372</v>
      </c>
      <c r="B1852" s="1">
        <v>45620</v>
      </c>
      <c r="C1852">
        <f>YEAR(OrdersTable[[#This Row],[Order Date]])</f>
        <v>2024</v>
      </c>
      <c r="D1852" s="2">
        <f>DATE(YEAR(OrdersTable[[#This Row],[Order Date]]),MONTH(OrdersTable[[#This Row],[Order Date]]),1)</f>
        <v>45597</v>
      </c>
      <c r="E1852">
        <f>MONTH(OrdersTable[[#This Row],[Order Date]])</f>
        <v>11</v>
      </c>
      <c r="F1852" t="s">
        <v>4083</v>
      </c>
      <c r="G1852" t="str">
        <f>IF(OrdersTable[[#This Row],[Order Date]]=_xlfn.MINIFS(Order_Date, Customer_ID, OrdersTable[[#This Row],[Customer ID]]), "New", "Repeat")</f>
        <v>Repeat</v>
      </c>
      <c r="H1852" t="s">
        <v>71</v>
      </c>
      <c r="I1852" t="str">
        <f>INDEX(State!B:B,MATCH(OrdersTable[[#This Row],[State]],State!A:A,0))</f>
        <v>MH</v>
      </c>
      <c r="J1852" t="str">
        <f>INDEX(State!C:C,MATCH(OrdersTable[[#This Row],[State Code]],State!B:B,0))</f>
        <v>West</v>
      </c>
      <c r="K1852" t="s">
        <v>102</v>
      </c>
      <c r="L1852" t="s">
        <v>23</v>
      </c>
      <c r="M1852" t="s">
        <v>109</v>
      </c>
      <c r="N1852" t="str">
        <f>INDEX(Products!B:B,MATCH(OrdersTable[[#This Row],[Product ID]],Products!A:A,0))</f>
        <v>Onion Hair Oil</v>
      </c>
      <c r="O1852" t="str">
        <f>INDEX(Products!C:C,MATCH(OrdersTable[[#This Row],[Product ID]],Products!A:A,0))</f>
        <v>Haircare</v>
      </c>
      <c r="P1852">
        <v>2</v>
      </c>
      <c r="Q1852" s="5">
        <v>349</v>
      </c>
      <c r="R1852" s="74">
        <v>0.35</v>
      </c>
      <c r="S1852" s="75">
        <f>OrdersTable[[#This Row],[Quantity]]*OrdersTable[[#This Row],[Unit Price]]</f>
        <v>698</v>
      </c>
      <c r="T1852" s="5">
        <f>OrdersTable[[#This Row],[Gross Sale]]*OrdersTable[[#This Row],[Discount_Clean2]]</f>
        <v>244.29999999999998</v>
      </c>
      <c r="U1852" s="5">
        <f>OrdersTable[[#This Row],[Gross Sale]]-OrdersTable[[#This Row],[Discount Amount]]</f>
        <v>453.70000000000005</v>
      </c>
      <c r="V1852" s="77">
        <f>INDEX(Products!E:E,MATCH(OrdersTable[[#This Row],[Product ID]],Products!A:A,0))</f>
        <v>105</v>
      </c>
      <c r="W1852" s="77">
        <f>OrdersTable[[#This Row],[Quantity]]*OrdersTable[[#This Row],[Unit Cost]]</f>
        <v>210</v>
      </c>
      <c r="X1852" s="77">
        <f>'Dropdown Lists'!$I$2*(1+OrdersTable[[#This Row],[Returned]])</f>
        <v>60</v>
      </c>
      <c r="Y1852" s="76">
        <f>OrdersTable[[#This Row],[Net Revenue]]-OrdersTable[[#This Row],[COGS]]-OrdersTable[[#This Row],[Shipping Cost]]</f>
        <v>183.70000000000005</v>
      </c>
      <c r="Z1852" s="78">
        <f>IFERROR(OrdersTable[[#This Row],[Profit]]/OrdersTable[[#This Row],[Net Revenue]],0)</f>
        <v>0.40489310116817284</v>
      </c>
      <c r="AA1852" t="s">
        <v>2522</v>
      </c>
      <c r="AB1852" s="79">
        <v>45623</v>
      </c>
      <c r="AC1852">
        <f>OrdersTable[[#This Row],[Delivery Date]]-OrdersTable[[#This Row],[Order Date]]</f>
        <v>3</v>
      </c>
      <c r="AD1852" t="str">
        <f>IF(OrdersTable[[#This Row],[Delivery Days]]&lt;=2, "Express (≤2d)", IF(OrdersTable[[#This Row],[Delivery Days]]&lt;=4, "Standard (3-4d)", "Delayed (5d+)"))</f>
        <v>Standard (3-4d)</v>
      </c>
      <c r="AF1852">
        <v>0</v>
      </c>
    </row>
    <row r="1853" spans="1:32" ht="15" x14ac:dyDescent="0.35">
      <c r="A1853" t="s">
        <v>6696</v>
      </c>
      <c r="B1853" s="1">
        <v>45620</v>
      </c>
      <c r="C1853">
        <f>YEAR(OrdersTable[[#This Row],[Order Date]])</f>
        <v>2024</v>
      </c>
      <c r="D1853" s="2">
        <f>DATE(YEAR(OrdersTable[[#This Row],[Order Date]]),MONTH(OrdersTable[[#This Row],[Order Date]]),1)</f>
        <v>45597</v>
      </c>
      <c r="E1853">
        <f>MONTH(OrdersTable[[#This Row],[Order Date]])</f>
        <v>11</v>
      </c>
      <c r="F1853" t="s">
        <v>2836</v>
      </c>
      <c r="G1853" t="str">
        <f>IF(OrdersTable[[#This Row],[Order Date]]=_xlfn.MINIFS(Order_Date, Customer_ID, OrdersTable[[#This Row],[Customer ID]]), "New", "Repeat")</f>
        <v>New</v>
      </c>
      <c r="H1853" t="s">
        <v>90</v>
      </c>
      <c r="I1853" t="str">
        <f>INDEX(State!B:B,MATCH(OrdersTable[[#This Row],[State]],State!A:A,0))</f>
        <v>GA</v>
      </c>
      <c r="J1853" t="str">
        <f>INDEX(State!C:C,MATCH(OrdersTable[[#This Row],[State Code]],State!B:B,0))</f>
        <v>West</v>
      </c>
      <c r="K1853" t="s">
        <v>91</v>
      </c>
      <c r="L1853" t="s">
        <v>39</v>
      </c>
      <c r="M1853" t="s">
        <v>66</v>
      </c>
      <c r="N1853" t="str">
        <f>INDEX(Products!B:B,MATCH(OrdersTable[[#This Row],[Product ID]],Products!A:A,0))</f>
        <v>Sunscreen SPF 50</v>
      </c>
      <c r="O1853" t="str">
        <f>INDEX(Products!C:C,MATCH(OrdersTable[[#This Row],[Product ID]],Products!A:A,0))</f>
        <v>Skincare</v>
      </c>
      <c r="P1853">
        <v>3</v>
      </c>
      <c r="Q1853" s="5">
        <v>449</v>
      </c>
      <c r="R1853" s="74">
        <v>0.1</v>
      </c>
      <c r="S1853" s="75">
        <f>OrdersTable[[#This Row],[Quantity]]*OrdersTable[[#This Row],[Unit Price]]</f>
        <v>1347</v>
      </c>
      <c r="T1853" s="5">
        <f>OrdersTable[[#This Row],[Gross Sale]]*OrdersTable[[#This Row],[Discount_Clean2]]</f>
        <v>134.70000000000002</v>
      </c>
      <c r="U1853" s="5">
        <f>OrdersTable[[#This Row],[Gross Sale]]-OrdersTable[[#This Row],[Discount Amount]]</f>
        <v>1212.3</v>
      </c>
      <c r="V1853" s="77">
        <f>INDEX(Products!E:E,MATCH(OrdersTable[[#This Row],[Product ID]],Products!A:A,0))</f>
        <v>144</v>
      </c>
      <c r="W1853" s="77">
        <f>OrdersTable[[#This Row],[Quantity]]*OrdersTable[[#This Row],[Unit Cost]]</f>
        <v>432</v>
      </c>
      <c r="X1853" s="77">
        <f>'Dropdown Lists'!$I$2*(1+OrdersTable[[#This Row],[Returned]])</f>
        <v>60</v>
      </c>
      <c r="Y1853" s="76">
        <f>OrdersTable[[#This Row],[Net Revenue]]-OrdersTable[[#This Row],[COGS]]-OrdersTable[[#This Row],[Shipping Cost]]</f>
        <v>720.3</v>
      </c>
      <c r="Z1853" s="78">
        <f>IFERROR(OrdersTable[[#This Row],[Profit]]/OrdersTable[[#This Row],[Net Revenue]],0)</f>
        <v>0.59415986142044042</v>
      </c>
      <c r="AA1853" t="s">
        <v>2522</v>
      </c>
      <c r="AB1853" s="79">
        <v>45625</v>
      </c>
      <c r="AC1853">
        <f>OrdersTable[[#This Row],[Delivery Date]]-OrdersTable[[#This Row],[Order Date]]</f>
        <v>5</v>
      </c>
      <c r="AD1853" t="str">
        <f>IF(OrdersTable[[#This Row],[Delivery Days]]&lt;=2, "Express (≤2d)", IF(OrdersTable[[#This Row],[Delivery Days]]&lt;=4, "Standard (3-4d)", "Delayed (5d+)"))</f>
        <v>Delayed (5d+)</v>
      </c>
      <c r="AE1853">
        <v>4</v>
      </c>
      <c r="AF1853">
        <v>0</v>
      </c>
    </row>
    <row r="1854" spans="1:32" ht="15" x14ac:dyDescent="0.35">
      <c r="A1854" t="s">
        <v>4809</v>
      </c>
      <c r="B1854" s="1">
        <v>45620</v>
      </c>
      <c r="C1854">
        <f>YEAR(OrdersTable[[#This Row],[Order Date]])</f>
        <v>2024</v>
      </c>
      <c r="D1854" s="2">
        <f>DATE(YEAR(OrdersTable[[#This Row],[Order Date]]),MONTH(OrdersTable[[#This Row],[Order Date]]),1)</f>
        <v>45597</v>
      </c>
      <c r="E1854">
        <f>MONTH(OrdersTable[[#This Row],[Order Date]])</f>
        <v>11</v>
      </c>
      <c r="F1854" t="s">
        <v>1412</v>
      </c>
      <c r="G1854" t="str">
        <f>IF(OrdersTable[[#This Row],[Order Date]]=_xlfn.MINIFS(Order_Date, Customer_ID, OrdersTable[[#This Row],[Customer ID]]), "New", "Repeat")</f>
        <v>New</v>
      </c>
      <c r="H1854" t="s">
        <v>167</v>
      </c>
      <c r="I1854" t="str">
        <f>INDEX(State!B:B,MATCH(OrdersTable[[#This Row],[State]],State!A:A,0))</f>
        <v>KA</v>
      </c>
      <c r="J1854" t="str">
        <f>INDEX(State!C:C,MATCH(OrdersTable[[#This Row],[State Code]],State!B:B,0))</f>
        <v>South</v>
      </c>
      <c r="K1854" t="s">
        <v>190</v>
      </c>
      <c r="L1854" t="s">
        <v>16</v>
      </c>
      <c r="M1854" t="s">
        <v>255</v>
      </c>
      <c r="N1854" t="str">
        <f>INDEX(Products!B:B,MATCH(OrdersTable[[#This Row],[Product ID]],Products!A:A,0))</f>
        <v>Cotton Oversized T-Shirt</v>
      </c>
      <c r="O1854" t="str">
        <f>INDEX(Products!C:C,MATCH(OrdersTable[[#This Row],[Product ID]],Products!A:A,0))</f>
        <v>Apparel</v>
      </c>
      <c r="P1854">
        <v>2</v>
      </c>
      <c r="Q1854" s="5">
        <v>799</v>
      </c>
      <c r="R1854" s="74">
        <v>0.2</v>
      </c>
      <c r="S1854" s="75">
        <f>OrdersTable[[#This Row],[Quantity]]*OrdersTable[[#This Row],[Unit Price]]</f>
        <v>1598</v>
      </c>
      <c r="T1854" s="5">
        <f>OrdersTable[[#This Row],[Gross Sale]]*OrdersTable[[#This Row],[Discount_Clean2]]</f>
        <v>319.60000000000002</v>
      </c>
      <c r="U1854" s="5">
        <f>OrdersTable[[#This Row],[Gross Sale]]-OrdersTable[[#This Row],[Discount Amount]]</f>
        <v>1278.4000000000001</v>
      </c>
      <c r="V1854" s="77">
        <f>INDEX(Products!E:E,MATCH(OrdersTable[[#This Row],[Product ID]],Products!A:A,0))</f>
        <v>320</v>
      </c>
      <c r="W1854" s="77">
        <f>OrdersTable[[#This Row],[Quantity]]*OrdersTable[[#This Row],[Unit Cost]]</f>
        <v>640</v>
      </c>
      <c r="X1854" s="77">
        <f>'Dropdown Lists'!$I$2*(1+OrdersTable[[#This Row],[Returned]])</f>
        <v>60</v>
      </c>
      <c r="Y1854" s="76">
        <f>OrdersTable[[#This Row],[Net Revenue]]-OrdersTable[[#This Row],[COGS]]-OrdersTable[[#This Row],[Shipping Cost]]</f>
        <v>578.40000000000009</v>
      </c>
      <c r="Z1854" s="78">
        <f>IFERROR(OrdersTable[[#This Row],[Profit]]/OrdersTable[[#This Row],[Net Revenue]],0)</f>
        <v>0.45244055068836048</v>
      </c>
      <c r="AA1854" t="s">
        <v>4450</v>
      </c>
      <c r="AB1854" s="79">
        <v>45623</v>
      </c>
      <c r="AC1854">
        <f>OrdersTable[[#This Row],[Delivery Date]]-OrdersTable[[#This Row],[Order Date]]</f>
        <v>3</v>
      </c>
      <c r="AD1854" t="str">
        <f>IF(OrdersTable[[#This Row],[Delivery Days]]&lt;=2, "Express (≤2d)", IF(OrdersTable[[#This Row],[Delivery Days]]&lt;=4, "Standard (3-4d)", "Delayed (5d+)"))</f>
        <v>Standard (3-4d)</v>
      </c>
      <c r="AE1854">
        <v>3</v>
      </c>
      <c r="AF1854">
        <v>0</v>
      </c>
    </row>
    <row r="1855" spans="1:32" ht="15" x14ac:dyDescent="0.35">
      <c r="A1855" t="s">
        <v>5145</v>
      </c>
      <c r="B1855" s="1">
        <v>45620</v>
      </c>
      <c r="C1855">
        <f>YEAR(OrdersTable[[#This Row],[Order Date]])</f>
        <v>2024</v>
      </c>
      <c r="D1855" s="2">
        <f>DATE(YEAR(OrdersTable[[#This Row],[Order Date]]),MONTH(OrdersTable[[#This Row],[Order Date]]),1)</f>
        <v>45597</v>
      </c>
      <c r="E1855">
        <f>MONTH(OrdersTable[[#This Row],[Order Date]])</f>
        <v>11</v>
      </c>
      <c r="F1855" t="s">
        <v>1102</v>
      </c>
      <c r="G1855" t="str">
        <f>IF(OrdersTable[[#This Row],[Order Date]]=_xlfn.MINIFS(Order_Date, Customer_ID, OrdersTable[[#This Row],[Customer ID]]), "New", "Repeat")</f>
        <v>New</v>
      </c>
      <c r="H1855" t="s">
        <v>316</v>
      </c>
      <c r="I1855" t="str">
        <f>INDEX(State!B:B,MATCH(OrdersTable[[#This Row],[State]],State!A:A,0))</f>
        <v>KL</v>
      </c>
      <c r="J1855" t="str">
        <f>INDEX(State!C:C,MATCH(OrdersTable[[#This Row],[State Code]],State!B:B,0))</f>
        <v>South</v>
      </c>
      <c r="K1855" t="s">
        <v>338</v>
      </c>
      <c r="L1855" t="s">
        <v>23</v>
      </c>
      <c r="M1855" t="s">
        <v>61</v>
      </c>
      <c r="N1855" t="str">
        <f>INDEX(Products!B:B,MATCH(OrdersTable[[#This Row],[Product ID]],Products!A:A,0))</f>
        <v>Multivitamin Gummies</v>
      </c>
      <c r="O1855" t="str">
        <f>INDEX(Products!C:C,MATCH(OrdersTable[[#This Row],[Product ID]],Products!A:A,0))</f>
        <v>Wellness</v>
      </c>
      <c r="P1855">
        <v>2</v>
      </c>
      <c r="Q1855" s="5">
        <v>699</v>
      </c>
      <c r="R1855" s="74">
        <v>0.4</v>
      </c>
      <c r="S1855" s="75">
        <f>OrdersTable[[#This Row],[Quantity]]*OrdersTable[[#This Row],[Unit Price]]</f>
        <v>1398</v>
      </c>
      <c r="T1855" s="5">
        <f>OrdersTable[[#This Row],[Gross Sale]]*OrdersTable[[#This Row],[Discount_Clean2]]</f>
        <v>559.20000000000005</v>
      </c>
      <c r="U1855" s="5">
        <f>OrdersTable[[#This Row],[Gross Sale]]-OrdersTable[[#This Row],[Discount Amount]]</f>
        <v>838.8</v>
      </c>
      <c r="V1855" s="77">
        <f>INDEX(Products!E:E,MATCH(OrdersTable[[#This Row],[Product ID]],Products!A:A,0))</f>
        <v>238</v>
      </c>
      <c r="W1855" s="77">
        <f>OrdersTable[[#This Row],[Quantity]]*OrdersTable[[#This Row],[Unit Cost]]</f>
        <v>476</v>
      </c>
      <c r="X1855" s="77">
        <f>'Dropdown Lists'!$I$2*(1+OrdersTable[[#This Row],[Returned]])</f>
        <v>60</v>
      </c>
      <c r="Y1855" s="76">
        <f>OrdersTable[[#This Row],[Net Revenue]]-OrdersTable[[#This Row],[COGS]]-OrdersTable[[#This Row],[Shipping Cost]]</f>
        <v>302.79999999999995</v>
      </c>
      <c r="Z1855" s="78">
        <f>IFERROR(OrdersTable[[#This Row],[Profit]]/OrdersTable[[#This Row],[Net Revenue]],0)</f>
        <v>0.36099189318073432</v>
      </c>
      <c r="AA1855" t="s">
        <v>3495</v>
      </c>
      <c r="AB1855" s="79">
        <v>45623</v>
      </c>
      <c r="AC1855">
        <f>OrdersTable[[#This Row],[Delivery Date]]-OrdersTable[[#This Row],[Order Date]]</f>
        <v>3</v>
      </c>
      <c r="AD1855" t="str">
        <f>IF(OrdersTable[[#This Row],[Delivery Days]]&lt;=2, "Express (≤2d)", IF(OrdersTable[[#This Row],[Delivery Days]]&lt;=4, "Standard (3-4d)", "Delayed (5d+)"))</f>
        <v>Standard (3-4d)</v>
      </c>
      <c r="AE1855">
        <v>4</v>
      </c>
      <c r="AF1855">
        <v>0</v>
      </c>
    </row>
    <row r="1856" spans="1:32" ht="15" x14ac:dyDescent="0.35">
      <c r="A1856" t="s">
        <v>6116</v>
      </c>
      <c r="B1856" s="1">
        <v>45621</v>
      </c>
      <c r="C1856">
        <f>YEAR(OrdersTable[[#This Row],[Order Date]])</f>
        <v>2024</v>
      </c>
      <c r="D1856" s="2">
        <f>DATE(YEAR(OrdersTable[[#This Row],[Order Date]]),MONTH(OrdersTable[[#This Row],[Order Date]]),1)</f>
        <v>45597</v>
      </c>
      <c r="E1856">
        <f>MONTH(OrdersTable[[#This Row],[Order Date]])</f>
        <v>11</v>
      </c>
      <c r="F1856" t="s">
        <v>6117</v>
      </c>
      <c r="G1856" t="str">
        <f>IF(OrdersTable[[#This Row],[Order Date]]=_xlfn.MINIFS(Order_Date, Customer_ID, OrdersTable[[#This Row],[Customer ID]]), "New", "Repeat")</f>
        <v>New</v>
      </c>
      <c r="H1856" t="s">
        <v>54</v>
      </c>
      <c r="I1856" t="str">
        <f>INDEX(State!B:B,MATCH(OrdersTable[[#This Row],[State]],State!A:A,0))</f>
        <v>RJ</v>
      </c>
      <c r="J1856" t="str">
        <f>INDEX(State!C:C,MATCH(OrdersTable[[#This Row],[State Code]],State!B:B,0))</f>
        <v>North</v>
      </c>
      <c r="K1856" t="s">
        <v>227</v>
      </c>
      <c r="L1856" t="s">
        <v>50</v>
      </c>
      <c r="M1856" t="s">
        <v>61</v>
      </c>
      <c r="N1856" t="str">
        <f>INDEX(Products!B:B,MATCH(OrdersTable[[#This Row],[Product ID]],Products!A:A,0))</f>
        <v>Multivitamin Gummies</v>
      </c>
      <c r="O1856" t="str">
        <f>INDEX(Products!C:C,MATCH(OrdersTable[[#This Row],[Product ID]],Products!A:A,0))</f>
        <v>Wellness</v>
      </c>
      <c r="P1856">
        <v>2</v>
      </c>
      <c r="Q1856" s="5">
        <v>699</v>
      </c>
      <c r="R1856" s="74">
        <v>0.35</v>
      </c>
      <c r="S1856" s="75">
        <f>OrdersTable[[#This Row],[Quantity]]*OrdersTable[[#This Row],[Unit Price]]</f>
        <v>1398</v>
      </c>
      <c r="T1856" s="5">
        <f>OrdersTable[[#This Row],[Gross Sale]]*OrdersTable[[#This Row],[Discount_Clean2]]</f>
        <v>489.29999999999995</v>
      </c>
      <c r="U1856" s="5">
        <f>OrdersTable[[#This Row],[Gross Sale]]-OrdersTable[[#This Row],[Discount Amount]]</f>
        <v>908.7</v>
      </c>
      <c r="V1856" s="77">
        <f>INDEX(Products!E:E,MATCH(OrdersTable[[#This Row],[Product ID]],Products!A:A,0))</f>
        <v>238</v>
      </c>
      <c r="W1856" s="77">
        <f>OrdersTable[[#This Row],[Quantity]]*OrdersTable[[#This Row],[Unit Cost]]</f>
        <v>476</v>
      </c>
      <c r="X1856" s="77">
        <f>'Dropdown Lists'!$I$2*(1+OrdersTable[[#This Row],[Returned]])</f>
        <v>60</v>
      </c>
      <c r="Y1856" s="76">
        <f>OrdersTable[[#This Row],[Net Revenue]]-OrdersTable[[#This Row],[COGS]]-OrdersTable[[#This Row],[Shipping Cost]]</f>
        <v>372.70000000000005</v>
      </c>
      <c r="Z1856" s="78">
        <f>IFERROR(OrdersTable[[#This Row],[Profit]]/OrdersTable[[#This Row],[Net Revenue]],0)</f>
        <v>0.41014636293606255</v>
      </c>
      <c r="AA1856" t="s">
        <v>18</v>
      </c>
      <c r="AB1856" s="79">
        <v>45625</v>
      </c>
      <c r="AC1856">
        <f>OrdersTable[[#This Row],[Delivery Date]]-OrdersTable[[#This Row],[Order Date]]</f>
        <v>4</v>
      </c>
      <c r="AD1856" t="str">
        <f>IF(OrdersTable[[#This Row],[Delivery Days]]&lt;=2, "Express (≤2d)", IF(OrdersTable[[#This Row],[Delivery Days]]&lt;=4, "Standard (3-4d)", "Delayed (5d+)"))</f>
        <v>Standard (3-4d)</v>
      </c>
      <c r="AE1856">
        <v>4</v>
      </c>
      <c r="AF1856">
        <v>0</v>
      </c>
    </row>
    <row r="1857" spans="1:32" ht="15" x14ac:dyDescent="0.35">
      <c r="A1857" t="s">
        <v>6118</v>
      </c>
      <c r="B1857" s="1">
        <v>45621</v>
      </c>
      <c r="C1857">
        <f>YEAR(OrdersTable[[#This Row],[Order Date]])</f>
        <v>2024</v>
      </c>
      <c r="D1857" s="2">
        <f>DATE(YEAR(OrdersTable[[#This Row],[Order Date]]),MONTH(OrdersTable[[#This Row],[Order Date]]),1)</f>
        <v>45597</v>
      </c>
      <c r="E1857">
        <f>MONTH(OrdersTable[[#This Row],[Order Date]])</f>
        <v>11</v>
      </c>
      <c r="F1857" t="s">
        <v>1186</v>
      </c>
      <c r="G1857" t="str">
        <f>IF(OrdersTable[[#This Row],[Order Date]]=_xlfn.MINIFS(Order_Date, Customer_ID, OrdersTable[[#This Row],[Customer ID]]), "New", "Repeat")</f>
        <v>Repeat</v>
      </c>
      <c r="H1857" t="s">
        <v>32</v>
      </c>
      <c r="I1857" t="str">
        <f>INDEX(State!B:B,MATCH(OrdersTable[[#This Row],[State]],State!A:A,0))</f>
        <v>BR</v>
      </c>
      <c r="J1857" t="str">
        <f>INDEX(State!C:C,MATCH(OrdersTable[[#This Row],[State Code]],State!B:B,0))</f>
        <v>East</v>
      </c>
      <c r="K1857" t="s">
        <v>33</v>
      </c>
      <c r="L1857" t="s">
        <v>23</v>
      </c>
      <c r="M1857" t="s">
        <v>40</v>
      </c>
      <c r="N1857" t="str">
        <f>INDEX(Products!B:B,MATCH(OrdersTable[[#This Row],[Product ID]],Products!A:A,0))</f>
        <v>Ashwagandha Capsules</v>
      </c>
      <c r="O1857" t="str">
        <f>INDEX(Products!C:C,MATCH(OrdersTable[[#This Row],[Product ID]],Products!A:A,0))</f>
        <v>Wellness</v>
      </c>
      <c r="P1857">
        <v>2</v>
      </c>
      <c r="Q1857" s="5">
        <v>499</v>
      </c>
      <c r="R1857" s="74">
        <v>0.05</v>
      </c>
      <c r="S1857" s="75">
        <f>OrdersTable[[#This Row],[Quantity]]*OrdersTable[[#This Row],[Unit Price]]</f>
        <v>998</v>
      </c>
      <c r="T1857" s="5">
        <f>OrdersTable[[#This Row],[Gross Sale]]*OrdersTable[[#This Row],[Discount_Clean2]]</f>
        <v>49.900000000000006</v>
      </c>
      <c r="U1857" s="5">
        <f>OrdersTable[[#This Row],[Gross Sale]]-OrdersTable[[#This Row],[Discount Amount]]</f>
        <v>948.1</v>
      </c>
      <c r="V1857" s="77">
        <f>INDEX(Products!E:E,MATCH(OrdersTable[[#This Row],[Product ID]],Products!A:A,0))</f>
        <v>150</v>
      </c>
      <c r="W1857" s="77">
        <f>OrdersTable[[#This Row],[Quantity]]*OrdersTable[[#This Row],[Unit Cost]]</f>
        <v>300</v>
      </c>
      <c r="X1857" s="77">
        <f>'Dropdown Lists'!$I$2*(1+OrdersTable[[#This Row],[Returned]])</f>
        <v>60</v>
      </c>
      <c r="Y1857" s="76">
        <f>OrdersTable[[#This Row],[Net Revenue]]-OrdersTable[[#This Row],[COGS]]-OrdersTable[[#This Row],[Shipping Cost]]</f>
        <v>588.1</v>
      </c>
      <c r="Z1857" s="78">
        <f>IFERROR(OrdersTable[[#This Row],[Profit]]/OrdersTable[[#This Row],[Net Revenue]],0)</f>
        <v>0.62029321801497728</v>
      </c>
      <c r="AA1857" t="s">
        <v>18</v>
      </c>
      <c r="AB1857" s="79">
        <v>45625</v>
      </c>
      <c r="AC1857">
        <f>OrdersTable[[#This Row],[Delivery Date]]-OrdersTable[[#This Row],[Order Date]]</f>
        <v>4</v>
      </c>
      <c r="AD1857" t="str">
        <f>IF(OrdersTable[[#This Row],[Delivery Days]]&lt;=2, "Express (≤2d)", IF(OrdersTable[[#This Row],[Delivery Days]]&lt;=4, "Standard (3-4d)", "Delayed (5d+)"))</f>
        <v>Standard (3-4d)</v>
      </c>
      <c r="AE1857">
        <v>4</v>
      </c>
      <c r="AF1857">
        <v>0</v>
      </c>
    </row>
    <row r="1858" spans="1:32" ht="15" x14ac:dyDescent="0.35">
      <c r="A1858" t="s">
        <v>1515</v>
      </c>
      <c r="B1858" s="1">
        <v>45621</v>
      </c>
      <c r="C1858">
        <f>YEAR(OrdersTable[[#This Row],[Order Date]])</f>
        <v>2024</v>
      </c>
      <c r="D1858" s="2">
        <f>DATE(YEAR(OrdersTable[[#This Row],[Order Date]]),MONTH(OrdersTable[[#This Row],[Order Date]]),1)</f>
        <v>45597</v>
      </c>
      <c r="E1858">
        <f>MONTH(OrdersTable[[#This Row],[Order Date]])</f>
        <v>11</v>
      </c>
      <c r="F1858" t="s">
        <v>1516</v>
      </c>
      <c r="G1858" t="str">
        <f>IF(OrdersTable[[#This Row],[Order Date]]=_xlfn.MINIFS(Order_Date, Customer_ID, OrdersTable[[#This Row],[Customer ID]]), "New", "Repeat")</f>
        <v>New</v>
      </c>
      <c r="H1858" t="s">
        <v>27</v>
      </c>
      <c r="I1858" t="str">
        <f>INDEX(State!B:B,MATCH(OrdersTable[[#This Row],[State]],State!A:A,0))</f>
        <v>WB</v>
      </c>
      <c r="J1858" t="str">
        <f>INDEX(State!C:C,MATCH(OrdersTable[[#This Row],[State Code]],State!B:B,0))</f>
        <v>East</v>
      </c>
      <c r="K1858" t="s">
        <v>28</v>
      </c>
      <c r="L1858" t="s">
        <v>39</v>
      </c>
      <c r="M1858" t="s">
        <v>255</v>
      </c>
      <c r="N1858" t="str">
        <f>INDEX(Products!B:B,MATCH(OrdersTable[[#This Row],[Product ID]],Products!A:A,0))</f>
        <v>Cotton Oversized T-Shirt</v>
      </c>
      <c r="O1858" t="str">
        <f>INDEX(Products!C:C,MATCH(OrdersTable[[#This Row],[Product ID]],Products!A:A,0))</f>
        <v>Apparel</v>
      </c>
      <c r="P1858">
        <v>1</v>
      </c>
      <c r="Q1858" s="5">
        <v>799</v>
      </c>
      <c r="R1858" s="74">
        <v>0.15</v>
      </c>
      <c r="S1858" s="75">
        <f>OrdersTable[[#This Row],[Quantity]]*OrdersTable[[#This Row],[Unit Price]]</f>
        <v>799</v>
      </c>
      <c r="T1858" s="5">
        <f>OrdersTable[[#This Row],[Gross Sale]]*OrdersTable[[#This Row],[Discount_Clean2]]</f>
        <v>119.85</v>
      </c>
      <c r="U1858" s="5">
        <f>OrdersTable[[#This Row],[Gross Sale]]-OrdersTable[[#This Row],[Discount Amount]]</f>
        <v>679.15</v>
      </c>
      <c r="V1858" s="77">
        <f>INDEX(Products!E:E,MATCH(OrdersTable[[#This Row],[Product ID]],Products!A:A,0))</f>
        <v>320</v>
      </c>
      <c r="W1858" s="77">
        <f>OrdersTable[[#This Row],[Quantity]]*OrdersTable[[#This Row],[Unit Cost]]</f>
        <v>320</v>
      </c>
      <c r="X1858" s="77">
        <f>'Dropdown Lists'!$I$2*(1+OrdersTable[[#This Row],[Returned]])</f>
        <v>60</v>
      </c>
      <c r="Y1858" s="76">
        <f>OrdersTable[[#This Row],[Net Revenue]]-OrdersTable[[#This Row],[COGS]]-OrdersTable[[#This Row],[Shipping Cost]]</f>
        <v>299.14999999999998</v>
      </c>
      <c r="Z1858" s="78">
        <f>IFERROR(OrdersTable[[#This Row],[Profit]]/OrdersTable[[#This Row],[Net Revenue]],0)</f>
        <v>0.44047706692188765</v>
      </c>
      <c r="AA1858" t="s">
        <v>18</v>
      </c>
      <c r="AB1858" s="79">
        <v>45625</v>
      </c>
      <c r="AC1858">
        <f>OrdersTable[[#This Row],[Delivery Date]]-OrdersTable[[#This Row],[Order Date]]</f>
        <v>4</v>
      </c>
      <c r="AD1858" t="str">
        <f>IF(OrdersTable[[#This Row],[Delivery Days]]&lt;=2, "Express (≤2d)", IF(OrdersTable[[#This Row],[Delivery Days]]&lt;=4, "Standard (3-4d)", "Delayed (5d+)"))</f>
        <v>Standard (3-4d)</v>
      </c>
      <c r="AF1858">
        <v>0</v>
      </c>
    </row>
    <row r="1859" spans="1:32" ht="15" x14ac:dyDescent="0.35">
      <c r="A1859" t="s">
        <v>946</v>
      </c>
      <c r="B1859" s="1">
        <v>45621</v>
      </c>
      <c r="C1859">
        <f>YEAR(OrdersTable[[#This Row],[Order Date]])</f>
        <v>2024</v>
      </c>
      <c r="D1859" s="2">
        <f>DATE(YEAR(OrdersTable[[#This Row],[Order Date]]),MONTH(OrdersTable[[#This Row],[Order Date]]),1)</f>
        <v>45597</v>
      </c>
      <c r="E1859">
        <f>MONTH(OrdersTable[[#This Row],[Order Date]])</f>
        <v>11</v>
      </c>
      <c r="F1859" t="s">
        <v>947</v>
      </c>
      <c r="G1859" t="str">
        <f>IF(OrdersTable[[#This Row],[Order Date]]=_xlfn.MINIFS(Order_Date, Customer_ID, OrdersTable[[#This Row],[Customer ID]]), "New", "Repeat")</f>
        <v>New</v>
      </c>
      <c r="H1859" t="s">
        <v>71</v>
      </c>
      <c r="I1859" t="str">
        <f>INDEX(State!B:B,MATCH(OrdersTable[[#This Row],[State]],State!A:A,0))</f>
        <v>MH</v>
      </c>
      <c r="J1859" t="str">
        <f>INDEX(State!C:C,MATCH(OrdersTable[[#This Row],[State Code]],State!B:B,0))</f>
        <v>West</v>
      </c>
      <c r="K1859" t="s">
        <v>72</v>
      </c>
      <c r="L1859" t="s">
        <v>50</v>
      </c>
      <c r="M1859" t="s">
        <v>61</v>
      </c>
      <c r="N1859" t="str">
        <f>INDEX(Products!B:B,MATCH(OrdersTable[[#This Row],[Product ID]],Products!A:A,0))</f>
        <v>Multivitamin Gummies</v>
      </c>
      <c r="O1859" t="str">
        <f>INDEX(Products!C:C,MATCH(OrdersTable[[#This Row],[Product ID]],Products!A:A,0))</f>
        <v>Wellness</v>
      </c>
      <c r="P1859">
        <v>1</v>
      </c>
      <c r="Q1859" s="5">
        <v>699</v>
      </c>
      <c r="R1859" s="74">
        <v>0.4</v>
      </c>
      <c r="S1859" s="75">
        <f>OrdersTable[[#This Row],[Quantity]]*OrdersTable[[#This Row],[Unit Price]]</f>
        <v>699</v>
      </c>
      <c r="T1859" s="5">
        <f>OrdersTable[[#This Row],[Gross Sale]]*OrdersTable[[#This Row],[Discount_Clean2]]</f>
        <v>279.60000000000002</v>
      </c>
      <c r="U1859" s="5">
        <f>OrdersTable[[#This Row],[Gross Sale]]-OrdersTable[[#This Row],[Discount Amount]]</f>
        <v>419.4</v>
      </c>
      <c r="V1859" s="77">
        <f>INDEX(Products!E:E,MATCH(OrdersTable[[#This Row],[Product ID]],Products!A:A,0))</f>
        <v>238</v>
      </c>
      <c r="W1859" s="77">
        <f>OrdersTable[[#This Row],[Quantity]]*OrdersTable[[#This Row],[Unit Cost]]</f>
        <v>238</v>
      </c>
      <c r="X1859" s="77">
        <f>'Dropdown Lists'!$I$2*(1+OrdersTable[[#This Row],[Returned]])</f>
        <v>60</v>
      </c>
      <c r="Y1859" s="76">
        <f>OrdersTable[[#This Row],[Net Revenue]]-OrdersTable[[#This Row],[COGS]]-OrdersTable[[#This Row],[Shipping Cost]]</f>
        <v>121.39999999999998</v>
      </c>
      <c r="Z1859" s="78">
        <f>IFERROR(OrdersTable[[#This Row],[Profit]]/OrdersTable[[#This Row],[Net Revenue]],0)</f>
        <v>0.28946113495469716</v>
      </c>
      <c r="AA1859" t="s">
        <v>18</v>
      </c>
      <c r="AB1859" s="79">
        <v>45624</v>
      </c>
      <c r="AC1859">
        <f>OrdersTable[[#This Row],[Delivery Date]]-OrdersTable[[#This Row],[Order Date]]</f>
        <v>3</v>
      </c>
      <c r="AD1859" t="str">
        <f>IF(OrdersTable[[#This Row],[Delivery Days]]&lt;=2, "Express (≤2d)", IF(OrdersTable[[#This Row],[Delivery Days]]&lt;=4, "Standard (3-4d)", "Delayed (5d+)"))</f>
        <v>Standard (3-4d)</v>
      </c>
      <c r="AE1859">
        <v>4</v>
      </c>
      <c r="AF1859">
        <v>0</v>
      </c>
    </row>
    <row r="1860" spans="1:32" ht="15" x14ac:dyDescent="0.35">
      <c r="A1860" t="s">
        <v>6534</v>
      </c>
      <c r="B1860" s="1">
        <v>45621</v>
      </c>
      <c r="C1860">
        <f>YEAR(OrdersTable[[#This Row],[Order Date]])</f>
        <v>2024</v>
      </c>
      <c r="D1860" s="2">
        <f>DATE(YEAR(OrdersTable[[#This Row],[Order Date]]),MONTH(OrdersTable[[#This Row],[Order Date]]),1)</f>
        <v>45597</v>
      </c>
      <c r="E1860">
        <f>MONTH(OrdersTable[[#This Row],[Order Date]])</f>
        <v>11</v>
      </c>
      <c r="F1860" t="s">
        <v>955</v>
      </c>
      <c r="G1860" t="str">
        <f>IF(OrdersTable[[#This Row],[Order Date]]=_xlfn.MINIFS(Order_Date, Customer_ID, OrdersTable[[#This Row],[Customer ID]]), "New", "Repeat")</f>
        <v>Repeat</v>
      </c>
      <c r="H1860" t="s">
        <v>71</v>
      </c>
      <c r="I1860" t="str">
        <f>INDEX(State!B:B,MATCH(OrdersTable[[#This Row],[State]],State!A:A,0))</f>
        <v>MH</v>
      </c>
      <c r="J1860" t="str">
        <f>INDEX(State!C:C,MATCH(OrdersTable[[#This Row],[State Code]],State!B:B,0))</f>
        <v>West</v>
      </c>
      <c r="K1860" t="s">
        <v>72</v>
      </c>
      <c r="L1860" t="s">
        <v>23</v>
      </c>
      <c r="M1860" t="s">
        <v>87</v>
      </c>
      <c r="N1860" t="str">
        <f>INDEX(Products!B:B,MATCH(OrdersTable[[#This Row],[Product ID]],Products!A:A,0))</f>
        <v>Linen Kurta</v>
      </c>
      <c r="O1860" t="str">
        <f>INDEX(Products!C:C,MATCH(OrdersTable[[#This Row],[Product ID]],Products!A:A,0))</f>
        <v>Apparel</v>
      </c>
      <c r="P1860">
        <v>3</v>
      </c>
      <c r="Q1860" s="5">
        <v>1499</v>
      </c>
      <c r="R1860" s="74">
        <v>0.35</v>
      </c>
      <c r="S1860" s="75">
        <f>OrdersTable[[#This Row],[Quantity]]*OrdersTable[[#This Row],[Unit Price]]</f>
        <v>4497</v>
      </c>
      <c r="T1860" s="5">
        <f>OrdersTable[[#This Row],[Gross Sale]]*OrdersTable[[#This Row],[Discount_Clean2]]</f>
        <v>1573.9499999999998</v>
      </c>
      <c r="U1860" s="5">
        <f>OrdersTable[[#This Row],[Gross Sale]]-OrdersTable[[#This Row],[Discount Amount]]</f>
        <v>2923.05</v>
      </c>
      <c r="V1860" s="77">
        <f>INDEX(Products!E:E,MATCH(OrdersTable[[#This Row],[Product ID]],Products!A:A,0))</f>
        <v>630</v>
      </c>
      <c r="W1860" s="77">
        <f>OrdersTable[[#This Row],[Quantity]]*OrdersTable[[#This Row],[Unit Cost]]</f>
        <v>1890</v>
      </c>
      <c r="X1860" s="77">
        <f>'Dropdown Lists'!$I$2*(1+OrdersTable[[#This Row],[Returned]])</f>
        <v>60</v>
      </c>
      <c r="Y1860" s="76">
        <f>OrdersTable[[#This Row],[Net Revenue]]-OrdersTable[[#This Row],[COGS]]-OrdersTable[[#This Row],[Shipping Cost]]</f>
        <v>973.05000000000018</v>
      </c>
      <c r="Z1860" s="78">
        <f>IFERROR(OrdersTable[[#This Row],[Profit]]/OrdersTable[[#This Row],[Net Revenue]],0)</f>
        <v>0.33288859239493002</v>
      </c>
      <c r="AA1860" t="s">
        <v>18</v>
      </c>
      <c r="AB1860" s="79">
        <v>45624</v>
      </c>
      <c r="AC1860">
        <f>OrdersTable[[#This Row],[Delivery Date]]-OrdersTable[[#This Row],[Order Date]]</f>
        <v>3</v>
      </c>
      <c r="AD1860" t="str">
        <f>IF(OrdersTable[[#This Row],[Delivery Days]]&lt;=2, "Express (≤2d)", IF(OrdersTable[[#This Row],[Delivery Days]]&lt;=4, "Standard (3-4d)", "Delayed (5d+)"))</f>
        <v>Standard (3-4d)</v>
      </c>
      <c r="AE1860">
        <v>4</v>
      </c>
      <c r="AF1860">
        <v>0</v>
      </c>
    </row>
    <row r="1861" spans="1:32" ht="15" x14ac:dyDescent="0.35">
      <c r="A1861" t="s">
        <v>4257</v>
      </c>
      <c r="B1861" s="1">
        <v>45621</v>
      </c>
      <c r="C1861">
        <f>YEAR(OrdersTable[[#This Row],[Order Date]])</f>
        <v>2024</v>
      </c>
      <c r="D1861" s="2">
        <f>DATE(YEAR(OrdersTable[[#This Row],[Order Date]]),MONTH(OrdersTable[[#This Row],[Order Date]]),1)</f>
        <v>45597</v>
      </c>
      <c r="E1861">
        <f>MONTH(OrdersTable[[#This Row],[Order Date]])</f>
        <v>11</v>
      </c>
      <c r="F1861" t="s">
        <v>4258</v>
      </c>
      <c r="G1861" t="str">
        <f>IF(OrdersTable[[#This Row],[Order Date]]=_xlfn.MINIFS(Order_Date, Customer_ID, OrdersTable[[#This Row],[Customer ID]]), "New", "Repeat")</f>
        <v>New</v>
      </c>
      <c r="H1861" t="s">
        <v>71</v>
      </c>
      <c r="I1861" t="str">
        <f>INDEX(State!B:B,MATCH(OrdersTable[[#This Row],[State]],State!A:A,0))</f>
        <v>MH</v>
      </c>
      <c r="J1861" t="str">
        <f>INDEX(State!C:C,MATCH(OrdersTable[[#This Row],[State Code]],State!B:B,0))</f>
        <v>West</v>
      </c>
      <c r="K1861" t="s">
        <v>72</v>
      </c>
      <c r="L1861" t="s">
        <v>39</v>
      </c>
      <c r="M1861" t="s">
        <v>56</v>
      </c>
      <c r="N1861" t="str">
        <f>INDEX(Products!B:B,MATCH(OrdersTable[[#This Row],[Product ID]],Products!A:A,0))</f>
        <v>Vitamin C Face Serum</v>
      </c>
      <c r="O1861" t="str">
        <f>INDEX(Products!C:C,MATCH(OrdersTable[[#This Row],[Product ID]],Products!A:A,0))</f>
        <v>Skincare</v>
      </c>
      <c r="P1861">
        <v>1</v>
      </c>
      <c r="Q1861" s="5">
        <v>599</v>
      </c>
      <c r="R1861" s="74">
        <v>0.25</v>
      </c>
      <c r="S1861" s="75">
        <f>OrdersTable[[#This Row],[Quantity]]*OrdersTable[[#This Row],[Unit Price]]</f>
        <v>599</v>
      </c>
      <c r="T1861" s="5">
        <f>OrdersTable[[#This Row],[Gross Sale]]*OrdersTable[[#This Row],[Discount_Clean2]]</f>
        <v>149.75</v>
      </c>
      <c r="U1861" s="5">
        <f>OrdersTable[[#This Row],[Gross Sale]]-OrdersTable[[#This Row],[Discount Amount]]</f>
        <v>449.25</v>
      </c>
      <c r="V1861" s="77">
        <f>INDEX(Products!E:E,MATCH(OrdersTable[[#This Row],[Product ID]],Products!A:A,0))</f>
        <v>180</v>
      </c>
      <c r="W1861" s="77">
        <f>OrdersTable[[#This Row],[Quantity]]*OrdersTable[[#This Row],[Unit Cost]]</f>
        <v>180</v>
      </c>
      <c r="X1861" s="77">
        <f>'Dropdown Lists'!$I$2*(1+OrdersTable[[#This Row],[Returned]])</f>
        <v>60</v>
      </c>
      <c r="Y1861" s="76">
        <f>OrdersTable[[#This Row],[Net Revenue]]-OrdersTable[[#This Row],[COGS]]-OrdersTable[[#This Row],[Shipping Cost]]</f>
        <v>209.25</v>
      </c>
      <c r="Z1861" s="78">
        <f>IFERROR(OrdersTable[[#This Row],[Profit]]/OrdersTable[[#This Row],[Net Revenue]],0)</f>
        <v>0.46577629382303842</v>
      </c>
      <c r="AA1861" t="s">
        <v>4074</v>
      </c>
      <c r="AB1861" s="79">
        <v>45622</v>
      </c>
      <c r="AC1861">
        <f>OrdersTable[[#This Row],[Delivery Date]]-OrdersTable[[#This Row],[Order Date]]</f>
        <v>1</v>
      </c>
      <c r="AD1861" t="str">
        <f>IF(OrdersTable[[#This Row],[Delivery Days]]&lt;=2, "Express (≤2d)", IF(OrdersTable[[#This Row],[Delivery Days]]&lt;=4, "Standard (3-4d)", "Delayed (5d+)"))</f>
        <v>Express (≤2d)</v>
      </c>
      <c r="AF1861">
        <v>0</v>
      </c>
    </row>
    <row r="1862" spans="1:32" ht="15" x14ac:dyDescent="0.35">
      <c r="A1862" t="s">
        <v>3883</v>
      </c>
      <c r="B1862" s="1">
        <v>45622</v>
      </c>
      <c r="C1862">
        <f>YEAR(OrdersTable[[#This Row],[Order Date]])</f>
        <v>2024</v>
      </c>
      <c r="D1862" s="2">
        <f>DATE(YEAR(OrdersTable[[#This Row],[Order Date]]),MONTH(OrdersTable[[#This Row],[Order Date]]),1)</f>
        <v>45597</v>
      </c>
      <c r="E1862">
        <f>MONTH(OrdersTable[[#This Row],[Order Date]])</f>
        <v>11</v>
      </c>
      <c r="F1862" t="s">
        <v>1313</v>
      </c>
      <c r="G1862" t="str">
        <f>IF(OrdersTable[[#This Row],[Order Date]]=_xlfn.MINIFS(Order_Date, Customer_ID, OrdersTable[[#This Row],[Customer ID]]), "New", "Repeat")</f>
        <v>New</v>
      </c>
      <c r="H1862" t="s">
        <v>54</v>
      </c>
      <c r="I1862" t="str">
        <f>INDEX(State!B:B,MATCH(OrdersTable[[#This Row],[State]],State!A:A,0))</f>
        <v>RJ</v>
      </c>
      <c r="J1862" t="str">
        <f>INDEX(State!C:C,MATCH(OrdersTable[[#This Row],[State Code]],State!B:B,0))</f>
        <v>North</v>
      </c>
      <c r="K1862" t="s">
        <v>227</v>
      </c>
      <c r="L1862" t="s">
        <v>16</v>
      </c>
      <c r="M1862" t="s">
        <v>29</v>
      </c>
      <c r="N1862" t="str">
        <f>INDEX(Products!B:B,MATCH(OrdersTable[[#This Row],[Product ID]],Products!A:A,0))</f>
        <v>Joggers</v>
      </c>
      <c r="O1862" t="str">
        <f>INDEX(Products!C:C,MATCH(OrdersTable[[#This Row],[Product ID]],Products!A:A,0))</f>
        <v>Apparel</v>
      </c>
      <c r="P1862">
        <v>1</v>
      </c>
      <c r="Q1862" s="5">
        <v>1199</v>
      </c>
      <c r="R1862" s="74">
        <v>0.4</v>
      </c>
      <c r="S1862" s="75">
        <f>OrdersTable[[#This Row],[Quantity]]*OrdersTable[[#This Row],[Unit Price]]</f>
        <v>1199</v>
      </c>
      <c r="T1862" s="5">
        <f>OrdersTable[[#This Row],[Gross Sale]]*OrdersTable[[#This Row],[Discount_Clean2]]</f>
        <v>479.6</v>
      </c>
      <c r="U1862" s="5">
        <f>OrdersTable[[#This Row],[Gross Sale]]-OrdersTable[[#This Row],[Discount Amount]]</f>
        <v>719.4</v>
      </c>
      <c r="V1862" s="77">
        <f>INDEX(Products!E:E,MATCH(OrdersTable[[#This Row],[Product ID]],Products!A:A,0))</f>
        <v>492</v>
      </c>
      <c r="W1862" s="77">
        <f>OrdersTable[[#This Row],[Quantity]]*OrdersTable[[#This Row],[Unit Cost]]</f>
        <v>492</v>
      </c>
      <c r="X1862" s="77">
        <f>'Dropdown Lists'!$I$2*(1+OrdersTable[[#This Row],[Returned]])</f>
        <v>60</v>
      </c>
      <c r="Y1862" s="76">
        <f>OrdersTable[[#This Row],[Net Revenue]]-OrdersTable[[#This Row],[COGS]]-OrdersTable[[#This Row],[Shipping Cost]]</f>
        <v>167.39999999999998</v>
      </c>
      <c r="Z1862" s="78">
        <f>IFERROR(OrdersTable[[#This Row],[Profit]]/OrdersTable[[#This Row],[Net Revenue]],0)</f>
        <v>0.23269391159299413</v>
      </c>
      <c r="AA1862" t="s">
        <v>3495</v>
      </c>
      <c r="AB1862" s="79">
        <v>45625</v>
      </c>
      <c r="AC1862">
        <f>OrdersTable[[#This Row],[Delivery Date]]-OrdersTable[[#This Row],[Order Date]]</f>
        <v>3</v>
      </c>
      <c r="AD1862" t="str">
        <f>IF(OrdersTable[[#This Row],[Delivery Days]]&lt;=2, "Express (≤2d)", IF(OrdersTable[[#This Row],[Delivery Days]]&lt;=4, "Standard (3-4d)", "Delayed (5d+)"))</f>
        <v>Standard (3-4d)</v>
      </c>
      <c r="AE1862">
        <v>3</v>
      </c>
      <c r="AF1862">
        <v>0</v>
      </c>
    </row>
    <row r="1863" spans="1:32" ht="15" x14ac:dyDescent="0.35">
      <c r="A1863" t="s">
        <v>7149</v>
      </c>
      <c r="B1863" s="1">
        <v>45622</v>
      </c>
      <c r="C1863">
        <f>YEAR(OrdersTable[[#This Row],[Order Date]])</f>
        <v>2024</v>
      </c>
      <c r="D1863" s="2">
        <f>DATE(YEAR(OrdersTable[[#This Row],[Order Date]]),MONTH(OrdersTable[[#This Row],[Order Date]]),1)</f>
        <v>45597</v>
      </c>
      <c r="E1863">
        <f>MONTH(OrdersTable[[#This Row],[Order Date]])</f>
        <v>11</v>
      </c>
      <c r="F1863" t="s">
        <v>7150</v>
      </c>
      <c r="G1863" t="str">
        <f>IF(OrdersTable[[#This Row],[Order Date]]=_xlfn.MINIFS(Order_Date, Customer_ID, OrdersTable[[#This Row],[Customer ID]]), "New", "Repeat")</f>
        <v>New</v>
      </c>
      <c r="H1863" t="s">
        <v>54</v>
      </c>
      <c r="I1863" t="str">
        <f>INDEX(State!B:B,MATCH(OrdersTable[[#This Row],[State]],State!A:A,0))</f>
        <v>RJ</v>
      </c>
      <c r="J1863" t="str">
        <f>INDEX(State!C:C,MATCH(OrdersTable[[#This Row],[State Code]],State!B:B,0))</f>
        <v>North</v>
      </c>
      <c r="K1863" t="s">
        <v>55</v>
      </c>
      <c r="L1863" t="s">
        <v>65</v>
      </c>
      <c r="M1863" t="s">
        <v>109</v>
      </c>
      <c r="N1863" t="str">
        <f>INDEX(Products!B:B,MATCH(OrdersTable[[#This Row],[Product ID]],Products!A:A,0))</f>
        <v>Onion Hair Oil</v>
      </c>
      <c r="O1863" t="str">
        <f>INDEX(Products!C:C,MATCH(OrdersTable[[#This Row],[Product ID]],Products!A:A,0))</f>
        <v>Haircare</v>
      </c>
      <c r="P1863">
        <v>5</v>
      </c>
      <c r="Q1863" s="5">
        <v>349</v>
      </c>
      <c r="R1863" s="74">
        <v>0.45</v>
      </c>
      <c r="S1863" s="75">
        <f>OrdersTable[[#This Row],[Quantity]]*OrdersTable[[#This Row],[Unit Price]]</f>
        <v>1745</v>
      </c>
      <c r="T1863" s="5">
        <f>OrdersTable[[#This Row],[Gross Sale]]*OrdersTable[[#This Row],[Discount_Clean2]]</f>
        <v>785.25</v>
      </c>
      <c r="U1863" s="5">
        <f>OrdersTable[[#This Row],[Gross Sale]]-OrdersTable[[#This Row],[Discount Amount]]</f>
        <v>959.75</v>
      </c>
      <c r="V1863" s="77">
        <f>INDEX(Products!E:E,MATCH(OrdersTable[[#This Row],[Product ID]],Products!A:A,0))</f>
        <v>105</v>
      </c>
      <c r="W1863" s="77">
        <f>OrdersTable[[#This Row],[Quantity]]*OrdersTable[[#This Row],[Unit Cost]]</f>
        <v>525</v>
      </c>
      <c r="X1863" s="77">
        <f>'Dropdown Lists'!$I$2*(1+OrdersTable[[#This Row],[Returned]])</f>
        <v>60</v>
      </c>
      <c r="Y1863" s="76">
        <f>OrdersTable[[#This Row],[Net Revenue]]-OrdersTable[[#This Row],[COGS]]-OrdersTable[[#This Row],[Shipping Cost]]</f>
        <v>374.75</v>
      </c>
      <c r="Z1863" s="78">
        <f>IFERROR(OrdersTable[[#This Row],[Profit]]/OrdersTable[[#This Row],[Net Revenue]],0)</f>
        <v>0.39046626725709821</v>
      </c>
      <c r="AA1863" t="s">
        <v>18</v>
      </c>
      <c r="AB1863" s="79">
        <v>45625</v>
      </c>
      <c r="AC1863">
        <f>OrdersTable[[#This Row],[Delivery Date]]-OrdersTable[[#This Row],[Order Date]]</f>
        <v>3</v>
      </c>
      <c r="AD1863" t="str">
        <f>IF(OrdersTable[[#This Row],[Delivery Days]]&lt;=2, "Express (≤2d)", IF(OrdersTable[[#This Row],[Delivery Days]]&lt;=4, "Standard (3-4d)", "Delayed (5d+)"))</f>
        <v>Standard (3-4d)</v>
      </c>
      <c r="AF1863">
        <v>0</v>
      </c>
    </row>
    <row r="1864" spans="1:32" ht="15" x14ac:dyDescent="0.35">
      <c r="A1864" t="s">
        <v>4687</v>
      </c>
      <c r="B1864" s="1">
        <v>45622</v>
      </c>
      <c r="C1864">
        <f>YEAR(OrdersTable[[#This Row],[Order Date]])</f>
        <v>2024</v>
      </c>
      <c r="D1864" s="2">
        <f>DATE(YEAR(OrdersTable[[#This Row],[Order Date]]),MONTH(OrdersTable[[#This Row],[Order Date]]),1)</f>
        <v>45597</v>
      </c>
      <c r="E1864">
        <f>MONTH(OrdersTable[[#This Row],[Order Date]])</f>
        <v>11</v>
      </c>
      <c r="F1864" t="s">
        <v>1600</v>
      </c>
      <c r="G1864" t="str">
        <f>IF(OrdersTable[[#This Row],[Order Date]]=_xlfn.MINIFS(Order_Date, Customer_ID, OrdersTable[[#This Row],[Customer ID]]), "New", "Repeat")</f>
        <v>Repeat</v>
      </c>
      <c r="H1864" t="s">
        <v>128</v>
      </c>
      <c r="I1864" t="str">
        <f>INDEX(State!B:B,MATCH(OrdersTable[[#This Row],[State]],State!A:A,0))</f>
        <v>DL</v>
      </c>
      <c r="J1864" t="str">
        <f>INDEX(State!C:C,MATCH(OrdersTable[[#This Row],[State Code]],State!B:B,0))</f>
        <v>North</v>
      </c>
      <c r="K1864" t="s">
        <v>129</v>
      </c>
      <c r="L1864" t="s">
        <v>50</v>
      </c>
      <c r="M1864" t="s">
        <v>78</v>
      </c>
      <c r="N1864" t="str">
        <f>INDEX(Products!B:B,MATCH(OrdersTable[[#This Row],[Product ID]],Products!A:A,0))</f>
        <v>Retinol Night Cream</v>
      </c>
      <c r="O1864" t="str">
        <f>INDEX(Products!C:C,MATCH(OrdersTable[[#This Row],[Product ID]],Products!A:A,0))</f>
        <v>Skincare</v>
      </c>
      <c r="P1864">
        <v>1</v>
      </c>
      <c r="Q1864" s="5">
        <v>799</v>
      </c>
      <c r="R1864" s="74">
        <v>0.2</v>
      </c>
      <c r="S1864" s="75">
        <f>OrdersTable[[#This Row],[Quantity]]*OrdersTable[[#This Row],[Unit Price]]</f>
        <v>799</v>
      </c>
      <c r="T1864" s="5">
        <f>OrdersTable[[#This Row],[Gross Sale]]*OrdersTable[[#This Row],[Discount_Clean2]]</f>
        <v>159.80000000000001</v>
      </c>
      <c r="U1864" s="5">
        <f>OrdersTable[[#This Row],[Gross Sale]]-OrdersTable[[#This Row],[Discount Amount]]</f>
        <v>639.20000000000005</v>
      </c>
      <c r="V1864" s="77">
        <f>INDEX(Products!E:E,MATCH(OrdersTable[[#This Row],[Product ID]],Products!A:A,0))</f>
        <v>216</v>
      </c>
      <c r="W1864" s="77">
        <f>OrdersTable[[#This Row],[Quantity]]*OrdersTable[[#This Row],[Unit Cost]]</f>
        <v>216</v>
      </c>
      <c r="X1864" s="77">
        <f>'Dropdown Lists'!$I$2*(1+OrdersTable[[#This Row],[Returned]])</f>
        <v>60</v>
      </c>
      <c r="Y1864" s="76">
        <f>OrdersTable[[#This Row],[Net Revenue]]-OrdersTable[[#This Row],[COGS]]-OrdersTable[[#This Row],[Shipping Cost]]</f>
        <v>363.20000000000005</v>
      </c>
      <c r="Z1864" s="78">
        <f>IFERROR(OrdersTable[[#This Row],[Profit]]/OrdersTable[[#This Row],[Net Revenue]],0)</f>
        <v>0.56821026282853571</v>
      </c>
      <c r="AA1864" t="s">
        <v>4450</v>
      </c>
      <c r="AB1864" s="79">
        <v>45627</v>
      </c>
      <c r="AC1864">
        <f>OrdersTable[[#This Row],[Delivery Date]]-OrdersTable[[#This Row],[Order Date]]</f>
        <v>5</v>
      </c>
      <c r="AD1864" t="str">
        <f>IF(OrdersTable[[#This Row],[Delivery Days]]&lt;=2, "Express (≤2d)", IF(OrdersTable[[#This Row],[Delivery Days]]&lt;=4, "Standard (3-4d)", "Delayed (5d+)"))</f>
        <v>Delayed (5d+)</v>
      </c>
      <c r="AE1864">
        <v>3</v>
      </c>
      <c r="AF1864">
        <v>0</v>
      </c>
    </row>
    <row r="1865" spans="1:32" ht="15" x14ac:dyDescent="0.35">
      <c r="A1865" t="s">
        <v>4113</v>
      </c>
      <c r="B1865" s="1">
        <v>45622</v>
      </c>
      <c r="C1865">
        <f>YEAR(OrdersTable[[#This Row],[Order Date]])</f>
        <v>2024</v>
      </c>
      <c r="D1865" s="2">
        <f>DATE(YEAR(OrdersTable[[#This Row],[Order Date]]),MONTH(OrdersTable[[#This Row],[Order Date]]),1)</f>
        <v>45597</v>
      </c>
      <c r="E1865">
        <f>MONTH(OrdersTable[[#This Row],[Order Date]])</f>
        <v>11</v>
      </c>
      <c r="F1865" t="s">
        <v>220</v>
      </c>
      <c r="G1865" t="str">
        <f>IF(OrdersTable[[#This Row],[Order Date]]=_xlfn.MINIFS(Order_Date, Customer_ID, OrdersTable[[#This Row],[Customer ID]]), "New", "Repeat")</f>
        <v>Repeat</v>
      </c>
      <c r="H1865" t="s">
        <v>27</v>
      </c>
      <c r="I1865" t="str">
        <f>INDEX(State!B:B,MATCH(OrdersTable[[#This Row],[State]],State!A:A,0))</f>
        <v>WB</v>
      </c>
      <c r="J1865" t="str">
        <f>INDEX(State!C:C,MATCH(OrdersTable[[#This Row],[State Code]],State!B:B,0))</f>
        <v>East</v>
      </c>
      <c r="K1865" t="s">
        <v>28</v>
      </c>
      <c r="L1865" t="s">
        <v>23</v>
      </c>
      <c r="M1865" t="s">
        <v>106</v>
      </c>
      <c r="N1865" t="str">
        <f>INDEX(Products!B:B,MATCH(OrdersTable[[#This Row],[Product ID]],Products!A:A,0))</f>
        <v>Keratin Hair Mask</v>
      </c>
      <c r="O1865" t="str">
        <f>INDEX(Products!C:C,MATCH(OrdersTable[[#This Row],[Product ID]],Products!A:A,0))</f>
        <v>Haircare</v>
      </c>
      <c r="P1865">
        <v>1</v>
      </c>
      <c r="Q1865" s="5">
        <v>549</v>
      </c>
      <c r="R1865" s="74">
        <v>0.2</v>
      </c>
      <c r="S1865" s="75">
        <f>OrdersTable[[#This Row],[Quantity]]*OrdersTable[[#This Row],[Unit Price]]</f>
        <v>549</v>
      </c>
      <c r="T1865" s="5">
        <f>OrdersTable[[#This Row],[Gross Sale]]*OrdersTable[[#This Row],[Discount_Clean2]]</f>
        <v>109.80000000000001</v>
      </c>
      <c r="U1865" s="5">
        <f>OrdersTable[[#This Row],[Gross Sale]]-OrdersTable[[#This Row],[Discount Amount]]</f>
        <v>439.2</v>
      </c>
      <c r="V1865" s="77">
        <f>INDEX(Products!E:E,MATCH(OrdersTable[[#This Row],[Product ID]],Products!A:A,0))</f>
        <v>170</v>
      </c>
      <c r="W1865" s="77">
        <f>OrdersTable[[#This Row],[Quantity]]*OrdersTable[[#This Row],[Unit Cost]]</f>
        <v>170</v>
      </c>
      <c r="X1865" s="77">
        <f>'Dropdown Lists'!$I$2*(1+OrdersTable[[#This Row],[Returned]])</f>
        <v>60</v>
      </c>
      <c r="Y1865" s="76">
        <f>OrdersTable[[#This Row],[Net Revenue]]-OrdersTable[[#This Row],[COGS]]-OrdersTable[[#This Row],[Shipping Cost]]</f>
        <v>209.2</v>
      </c>
      <c r="Z1865" s="78">
        <f>IFERROR(OrdersTable[[#This Row],[Profit]]/OrdersTable[[#This Row],[Net Revenue]],0)</f>
        <v>0.47632058287795992</v>
      </c>
      <c r="AA1865" t="s">
        <v>4074</v>
      </c>
      <c r="AB1865" s="79">
        <v>45627</v>
      </c>
      <c r="AC1865">
        <f>OrdersTable[[#This Row],[Delivery Date]]-OrdersTable[[#This Row],[Order Date]]</f>
        <v>5</v>
      </c>
      <c r="AD1865" t="str">
        <f>IF(OrdersTable[[#This Row],[Delivery Days]]&lt;=2, "Express (≤2d)", IF(OrdersTable[[#This Row],[Delivery Days]]&lt;=4, "Standard (3-4d)", "Delayed (5d+)"))</f>
        <v>Delayed (5d+)</v>
      </c>
      <c r="AE1865">
        <v>3</v>
      </c>
      <c r="AF1865">
        <v>0</v>
      </c>
    </row>
    <row r="1866" spans="1:32" ht="15" x14ac:dyDescent="0.35">
      <c r="A1866" t="s">
        <v>5689</v>
      </c>
      <c r="B1866" s="1">
        <v>45622</v>
      </c>
      <c r="C1866">
        <f>YEAR(OrdersTable[[#This Row],[Order Date]])</f>
        <v>2024</v>
      </c>
      <c r="D1866" s="2">
        <f>DATE(YEAR(OrdersTable[[#This Row],[Order Date]]),MONTH(OrdersTable[[#This Row],[Order Date]]),1)</f>
        <v>45597</v>
      </c>
      <c r="E1866">
        <f>MONTH(OrdersTable[[#This Row],[Order Date]])</f>
        <v>11</v>
      </c>
      <c r="F1866" t="s">
        <v>2062</v>
      </c>
      <c r="G1866" t="str">
        <f>IF(OrdersTable[[#This Row],[Order Date]]=_xlfn.MINIFS(Order_Date, Customer_ID, OrdersTable[[#This Row],[Customer ID]]), "New", "Repeat")</f>
        <v>New</v>
      </c>
      <c r="H1866" t="s">
        <v>27</v>
      </c>
      <c r="I1866" t="str">
        <f>INDEX(State!B:B,MATCH(OrdersTable[[#This Row],[State]],State!A:A,0))</f>
        <v>WB</v>
      </c>
      <c r="J1866" t="str">
        <f>INDEX(State!C:C,MATCH(OrdersTable[[#This Row],[State Code]],State!B:B,0))</f>
        <v>East</v>
      </c>
      <c r="K1866" t="s">
        <v>28</v>
      </c>
      <c r="L1866" t="s">
        <v>65</v>
      </c>
      <c r="M1866" t="s">
        <v>24</v>
      </c>
      <c r="N1866" t="str">
        <f>INDEX(Products!B:B,MATCH(OrdersTable[[#This Row],[Product ID]],Products!A:A,0))</f>
        <v>Scented Candle Set</v>
      </c>
      <c r="O1866" t="str">
        <f>INDEX(Products!C:C,MATCH(OrdersTable[[#This Row],[Product ID]],Products!A:A,0))</f>
        <v>Home &amp; Kitchen</v>
      </c>
      <c r="P1866">
        <v>2</v>
      </c>
      <c r="Q1866" s="5">
        <v>699</v>
      </c>
      <c r="R1866" s="74">
        <v>0.3</v>
      </c>
      <c r="S1866" s="75">
        <f>OrdersTable[[#This Row],[Quantity]]*OrdersTable[[#This Row],[Unit Price]]</f>
        <v>1398</v>
      </c>
      <c r="T1866" s="5">
        <f>OrdersTable[[#This Row],[Gross Sale]]*OrdersTable[[#This Row],[Discount_Clean2]]</f>
        <v>419.4</v>
      </c>
      <c r="U1866" s="5">
        <f>OrdersTable[[#This Row],[Gross Sale]]-OrdersTable[[#This Row],[Discount Amount]]</f>
        <v>978.6</v>
      </c>
      <c r="V1866" s="77">
        <f>INDEX(Products!E:E,MATCH(OrdersTable[[#This Row],[Product ID]],Products!A:A,0))</f>
        <v>245</v>
      </c>
      <c r="W1866" s="77">
        <f>OrdersTable[[#This Row],[Quantity]]*OrdersTable[[#This Row],[Unit Cost]]</f>
        <v>490</v>
      </c>
      <c r="X1866" s="77">
        <f>'Dropdown Lists'!$I$2*(1+OrdersTable[[#This Row],[Returned]])</f>
        <v>60</v>
      </c>
      <c r="Y1866" s="76">
        <f>OrdersTable[[#This Row],[Net Revenue]]-OrdersTable[[#This Row],[COGS]]-OrdersTable[[#This Row],[Shipping Cost]]</f>
        <v>428.6</v>
      </c>
      <c r="Z1866" s="78">
        <f>IFERROR(OrdersTable[[#This Row],[Profit]]/OrdersTable[[#This Row],[Net Revenue]],0)</f>
        <v>0.43797261393827919</v>
      </c>
      <c r="AA1866" t="s">
        <v>18</v>
      </c>
      <c r="AB1866" s="79">
        <v>45627</v>
      </c>
      <c r="AC1866">
        <f>OrdersTable[[#This Row],[Delivery Date]]-OrdersTable[[#This Row],[Order Date]]</f>
        <v>5</v>
      </c>
      <c r="AD1866" t="str">
        <f>IF(OrdersTable[[#This Row],[Delivery Days]]&lt;=2, "Express (≤2d)", IF(OrdersTable[[#This Row],[Delivery Days]]&lt;=4, "Standard (3-4d)", "Delayed (5d+)"))</f>
        <v>Delayed (5d+)</v>
      </c>
      <c r="AE1866">
        <v>3</v>
      </c>
      <c r="AF1866">
        <v>0</v>
      </c>
    </row>
    <row r="1867" spans="1:32" ht="15" x14ac:dyDescent="0.35">
      <c r="A1867" t="s">
        <v>6697</v>
      </c>
      <c r="B1867" s="1">
        <v>45622</v>
      </c>
      <c r="C1867">
        <f>YEAR(OrdersTable[[#This Row],[Order Date]])</f>
        <v>2024</v>
      </c>
      <c r="D1867" s="2">
        <f>DATE(YEAR(OrdersTable[[#This Row],[Order Date]]),MONTH(OrdersTable[[#This Row],[Order Date]]),1)</f>
        <v>45597</v>
      </c>
      <c r="E1867">
        <f>MONTH(OrdersTable[[#This Row],[Order Date]])</f>
        <v>11</v>
      </c>
      <c r="F1867" t="s">
        <v>6698</v>
      </c>
      <c r="G1867" t="str">
        <f>IF(OrdersTable[[#This Row],[Order Date]]=_xlfn.MINIFS(Order_Date, Customer_ID, OrdersTable[[#This Row],[Customer ID]]), "New", "Repeat")</f>
        <v>New</v>
      </c>
      <c r="H1867" t="s">
        <v>90</v>
      </c>
      <c r="I1867" t="str">
        <f>INDEX(State!B:B,MATCH(OrdersTable[[#This Row],[State]],State!A:A,0))</f>
        <v>GA</v>
      </c>
      <c r="J1867" t="str">
        <f>INDEX(State!C:C,MATCH(OrdersTable[[#This Row],[State Code]],State!B:B,0))</f>
        <v>West</v>
      </c>
      <c r="K1867" t="s">
        <v>91</v>
      </c>
      <c r="L1867" t="s">
        <v>39</v>
      </c>
      <c r="M1867" t="s">
        <v>255</v>
      </c>
      <c r="N1867" t="str">
        <f>INDEX(Products!B:B,MATCH(OrdersTable[[#This Row],[Product ID]],Products!A:A,0))</f>
        <v>Cotton Oversized T-Shirt</v>
      </c>
      <c r="O1867" t="str">
        <f>INDEX(Products!C:C,MATCH(OrdersTable[[#This Row],[Product ID]],Products!A:A,0))</f>
        <v>Apparel</v>
      </c>
      <c r="P1867">
        <v>3</v>
      </c>
      <c r="Q1867" s="5">
        <v>799</v>
      </c>
      <c r="R1867" s="74">
        <v>0.15</v>
      </c>
      <c r="S1867" s="75">
        <f>OrdersTable[[#This Row],[Quantity]]*OrdersTable[[#This Row],[Unit Price]]</f>
        <v>2397</v>
      </c>
      <c r="T1867" s="5">
        <f>OrdersTable[[#This Row],[Gross Sale]]*OrdersTable[[#This Row],[Discount_Clean2]]</f>
        <v>359.55</v>
      </c>
      <c r="U1867" s="5">
        <f>OrdersTable[[#This Row],[Gross Sale]]-OrdersTable[[#This Row],[Discount Amount]]</f>
        <v>2037.45</v>
      </c>
      <c r="V1867" s="77">
        <f>INDEX(Products!E:E,MATCH(OrdersTable[[#This Row],[Product ID]],Products!A:A,0))</f>
        <v>320</v>
      </c>
      <c r="W1867" s="77">
        <f>OrdersTable[[#This Row],[Quantity]]*OrdersTable[[#This Row],[Unit Cost]]</f>
        <v>960</v>
      </c>
      <c r="X1867" s="77">
        <f>'Dropdown Lists'!$I$2*(1+OrdersTable[[#This Row],[Returned]])</f>
        <v>60</v>
      </c>
      <c r="Y1867" s="76">
        <f>OrdersTable[[#This Row],[Net Revenue]]-OrdersTable[[#This Row],[COGS]]-OrdersTable[[#This Row],[Shipping Cost]]</f>
        <v>1017.45</v>
      </c>
      <c r="Z1867" s="78">
        <f>IFERROR(OrdersTable[[#This Row],[Profit]]/OrdersTable[[#This Row],[Net Revenue]],0)</f>
        <v>0.4993742177722153</v>
      </c>
      <c r="AA1867" t="s">
        <v>2522</v>
      </c>
      <c r="AB1867" s="79">
        <v>45624</v>
      </c>
      <c r="AC1867">
        <f>OrdersTable[[#This Row],[Delivery Date]]-OrdersTable[[#This Row],[Order Date]]</f>
        <v>2</v>
      </c>
      <c r="AD1867" t="str">
        <f>IF(OrdersTable[[#This Row],[Delivery Days]]&lt;=2, "Express (≤2d)", IF(OrdersTable[[#This Row],[Delivery Days]]&lt;=4, "Standard (3-4d)", "Delayed (5d+)"))</f>
        <v>Express (≤2d)</v>
      </c>
      <c r="AF1867">
        <v>0</v>
      </c>
    </row>
    <row r="1868" spans="1:32" ht="15" x14ac:dyDescent="0.35">
      <c r="A1868" t="s">
        <v>1695</v>
      </c>
      <c r="B1868" s="1">
        <v>45622</v>
      </c>
      <c r="C1868">
        <f>YEAR(OrdersTable[[#This Row],[Order Date]])</f>
        <v>2024</v>
      </c>
      <c r="D1868" s="2">
        <f>DATE(YEAR(OrdersTable[[#This Row],[Order Date]]),MONTH(OrdersTable[[#This Row],[Order Date]]),1)</f>
        <v>45597</v>
      </c>
      <c r="E1868">
        <f>MONTH(OrdersTable[[#This Row],[Order Date]])</f>
        <v>11</v>
      </c>
      <c r="F1868" t="s">
        <v>1696</v>
      </c>
      <c r="G1868" t="str">
        <f>IF(OrdersTable[[#This Row],[Order Date]]=_xlfn.MINIFS(Order_Date, Customer_ID, OrdersTable[[#This Row],[Customer ID]]), "New", "Repeat")</f>
        <v>New</v>
      </c>
      <c r="H1868" t="s">
        <v>316</v>
      </c>
      <c r="I1868" t="str">
        <f>INDEX(State!B:B,MATCH(OrdersTable[[#This Row],[State]],State!A:A,0))</f>
        <v>KL</v>
      </c>
      <c r="J1868" t="str">
        <f>INDEX(State!C:C,MATCH(OrdersTable[[#This Row],[State Code]],State!B:B,0))</f>
        <v>South</v>
      </c>
      <c r="K1868" t="s">
        <v>338</v>
      </c>
      <c r="L1868" t="s">
        <v>65</v>
      </c>
      <c r="M1868" t="s">
        <v>40</v>
      </c>
      <c r="N1868" t="str">
        <f>INDEX(Products!B:B,MATCH(OrdersTable[[#This Row],[Product ID]],Products!A:A,0))</f>
        <v>Ashwagandha Capsules</v>
      </c>
      <c r="O1868" t="str">
        <f>INDEX(Products!C:C,MATCH(OrdersTable[[#This Row],[Product ID]],Products!A:A,0))</f>
        <v>Wellness</v>
      </c>
      <c r="P1868">
        <v>1</v>
      </c>
      <c r="Q1868" s="5">
        <v>499</v>
      </c>
      <c r="R1868" s="74">
        <v>0.25</v>
      </c>
      <c r="S1868" s="75">
        <f>OrdersTable[[#This Row],[Quantity]]*OrdersTable[[#This Row],[Unit Price]]</f>
        <v>499</v>
      </c>
      <c r="T1868" s="5">
        <f>OrdersTable[[#This Row],[Gross Sale]]*OrdersTable[[#This Row],[Discount_Clean2]]</f>
        <v>124.75</v>
      </c>
      <c r="U1868" s="5">
        <f>OrdersTable[[#This Row],[Gross Sale]]-OrdersTable[[#This Row],[Discount Amount]]</f>
        <v>374.25</v>
      </c>
      <c r="V1868" s="77">
        <f>INDEX(Products!E:E,MATCH(OrdersTable[[#This Row],[Product ID]],Products!A:A,0))</f>
        <v>150</v>
      </c>
      <c r="W1868" s="77">
        <f>OrdersTable[[#This Row],[Quantity]]*OrdersTable[[#This Row],[Unit Cost]]</f>
        <v>150</v>
      </c>
      <c r="X1868" s="77">
        <f>'Dropdown Lists'!$I$2*(1+OrdersTable[[#This Row],[Returned]])</f>
        <v>60</v>
      </c>
      <c r="Y1868" s="76">
        <f>OrdersTable[[#This Row],[Net Revenue]]-OrdersTable[[#This Row],[COGS]]-OrdersTable[[#This Row],[Shipping Cost]]</f>
        <v>164.25</v>
      </c>
      <c r="Z1868" s="78">
        <f>IFERROR(OrdersTable[[#This Row],[Profit]]/OrdersTable[[#This Row],[Net Revenue]],0)</f>
        <v>0.43887775551102204</v>
      </c>
      <c r="AA1868" t="s">
        <v>18</v>
      </c>
      <c r="AB1868" s="79">
        <v>45627</v>
      </c>
      <c r="AC1868">
        <f>OrdersTable[[#This Row],[Delivery Date]]-OrdersTable[[#This Row],[Order Date]]</f>
        <v>5</v>
      </c>
      <c r="AD1868" t="str">
        <f>IF(OrdersTable[[#This Row],[Delivery Days]]&lt;=2, "Express (≤2d)", IF(OrdersTable[[#This Row],[Delivery Days]]&lt;=4, "Standard (3-4d)", "Delayed (5d+)"))</f>
        <v>Delayed (5d+)</v>
      </c>
      <c r="AF1868">
        <v>0</v>
      </c>
    </row>
    <row r="1869" spans="1:32" ht="15" x14ac:dyDescent="0.35">
      <c r="A1869" t="s">
        <v>1697</v>
      </c>
      <c r="B1869" s="1">
        <v>45622</v>
      </c>
      <c r="C1869">
        <f>YEAR(OrdersTable[[#This Row],[Order Date]])</f>
        <v>2024</v>
      </c>
      <c r="D1869" s="2">
        <f>DATE(YEAR(OrdersTable[[#This Row],[Order Date]]),MONTH(OrdersTable[[#This Row],[Order Date]]),1)</f>
        <v>45597</v>
      </c>
      <c r="E1869">
        <f>MONTH(OrdersTable[[#This Row],[Order Date]])</f>
        <v>11</v>
      </c>
      <c r="F1869" t="s">
        <v>311</v>
      </c>
      <c r="G1869" t="str">
        <f>IF(OrdersTable[[#This Row],[Order Date]]=_xlfn.MINIFS(Order_Date, Customer_ID, OrdersTable[[#This Row],[Customer ID]]), "New", "Repeat")</f>
        <v>Repeat</v>
      </c>
      <c r="H1869" t="s">
        <v>59</v>
      </c>
      <c r="I1869" t="str">
        <f>INDEX(State!B:B,MATCH(OrdersTable[[#This Row],[State]],State!A:A,0))</f>
        <v>TN</v>
      </c>
      <c r="J1869" t="str">
        <f>INDEX(State!C:C,MATCH(OrdersTable[[#This Row],[State Code]],State!B:B,0))</f>
        <v>South</v>
      </c>
      <c r="K1869" t="s">
        <v>60</v>
      </c>
      <c r="L1869" t="s">
        <v>65</v>
      </c>
      <c r="M1869" t="s">
        <v>61</v>
      </c>
      <c r="N1869" t="str">
        <f>INDEX(Products!B:B,MATCH(OrdersTable[[#This Row],[Product ID]],Products!A:A,0))</f>
        <v>Multivitamin Gummies</v>
      </c>
      <c r="O1869" t="str">
        <f>INDEX(Products!C:C,MATCH(OrdersTable[[#This Row],[Product ID]],Products!A:A,0))</f>
        <v>Wellness</v>
      </c>
      <c r="P1869">
        <v>1</v>
      </c>
      <c r="Q1869" s="5">
        <v>699</v>
      </c>
      <c r="R1869" s="74">
        <v>0.25</v>
      </c>
      <c r="S1869" s="75">
        <f>OrdersTable[[#This Row],[Quantity]]*OrdersTable[[#This Row],[Unit Price]]</f>
        <v>699</v>
      </c>
      <c r="T1869" s="5">
        <f>OrdersTable[[#This Row],[Gross Sale]]*OrdersTable[[#This Row],[Discount_Clean2]]</f>
        <v>174.75</v>
      </c>
      <c r="U1869" s="5">
        <f>OrdersTable[[#This Row],[Gross Sale]]-OrdersTable[[#This Row],[Discount Amount]]</f>
        <v>524.25</v>
      </c>
      <c r="V1869" s="77">
        <f>INDEX(Products!E:E,MATCH(OrdersTable[[#This Row],[Product ID]],Products!A:A,0))</f>
        <v>238</v>
      </c>
      <c r="W1869" s="77">
        <f>OrdersTable[[#This Row],[Quantity]]*OrdersTable[[#This Row],[Unit Cost]]</f>
        <v>238</v>
      </c>
      <c r="X1869" s="77">
        <f>'Dropdown Lists'!$I$2*(1+OrdersTable[[#This Row],[Returned]])</f>
        <v>60</v>
      </c>
      <c r="Y1869" s="76">
        <f>OrdersTable[[#This Row],[Net Revenue]]-OrdersTable[[#This Row],[COGS]]-OrdersTable[[#This Row],[Shipping Cost]]</f>
        <v>226.25</v>
      </c>
      <c r="Z1869" s="78">
        <f>IFERROR(OrdersTable[[#This Row],[Profit]]/OrdersTable[[#This Row],[Net Revenue]],0)</f>
        <v>0.43156890796375774</v>
      </c>
      <c r="AA1869" t="s">
        <v>18</v>
      </c>
      <c r="AB1869" s="79">
        <v>45626</v>
      </c>
      <c r="AC1869">
        <f>OrdersTable[[#This Row],[Delivery Date]]-OrdersTable[[#This Row],[Order Date]]</f>
        <v>4</v>
      </c>
      <c r="AD1869" t="str">
        <f>IF(OrdersTable[[#This Row],[Delivery Days]]&lt;=2, "Express (≤2d)", IF(OrdersTable[[#This Row],[Delivery Days]]&lt;=4, "Standard (3-4d)", "Delayed (5d+)"))</f>
        <v>Standard (3-4d)</v>
      </c>
      <c r="AF1869">
        <v>0</v>
      </c>
    </row>
    <row r="1870" spans="1:32" ht="15" x14ac:dyDescent="0.35">
      <c r="A1870" t="s">
        <v>3232</v>
      </c>
      <c r="B1870" s="1">
        <v>45623</v>
      </c>
      <c r="C1870">
        <f>YEAR(OrdersTable[[#This Row],[Order Date]])</f>
        <v>2024</v>
      </c>
      <c r="D1870" s="2">
        <f>DATE(YEAR(OrdersTable[[#This Row],[Order Date]]),MONTH(OrdersTable[[#This Row],[Order Date]]),1)</f>
        <v>45597</v>
      </c>
      <c r="E1870">
        <f>MONTH(OrdersTable[[#This Row],[Order Date]])</f>
        <v>11</v>
      </c>
      <c r="F1870" t="s">
        <v>1839</v>
      </c>
      <c r="G1870" t="str">
        <f>IF(OrdersTable[[#This Row],[Order Date]]=_xlfn.MINIFS(Order_Date, Customer_ID, OrdersTable[[#This Row],[Customer ID]]), "New", "Repeat")</f>
        <v>Repeat</v>
      </c>
      <c r="H1870" t="s">
        <v>54</v>
      </c>
      <c r="I1870" t="str">
        <f>INDEX(State!B:B,MATCH(OrdersTable[[#This Row],[State]],State!A:A,0))</f>
        <v>RJ</v>
      </c>
      <c r="J1870" t="str">
        <f>INDEX(State!C:C,MATCH(OrdersTable[[#This Row],[State Code]],State!B:B,0))</f>
        <v>North</v>
      </c>
      <c r="K1870" t="s">
        <v>55</v>
      </c>
      <c r="L1870" t="s">
        <v>23</v>
      </c>
      <c r="M1870" t="s">
        <v>92</v>
      </c>
      <c r="N1870" t="str">
        <f>INDEX(Products!B:B,MATCH(OrdersTable[[#This Row],[Product ID]],Products!A:A,0))</f>
        <v>Kolhapuri Sandals</v>
      </c>
      <c r="O1870" t="str">
        <f>INDEX(Products!C:C,MATCH(OrdersTable[[#This Row],[Product ID]],Products!A:A,0))</f>
        <v>Footwear</v>
      </c>
      <c r="P1870">
        <v>1</v>
      </c>
      <c r="Q1870" s="5">
        <v>999</v>
      </c>
      <c r="R1870" s="74">
        <v>0.1</v>
      </c>
      <c r="S1870" s="75">
        <f>OrdersTable[[#This Row],[Quantity]]*OrdersTable[[#This Row],[Unit Price]]</f>
        <v>999</v>
      </c>
      <c r="T1870" s="5">
        <f>OrdersTable[[#This Row],[Gross Sale]]*OrdersTable[[#This Row],[Discount_Clean2]]</f>
        <v>99.9</v>
      </c>
      <c r="U1870" s="5">
        <f>OrdersTable[[#This Row],[Gross Sale]]-OrdersTable[[#This Row],[Discount Amount]]</f>
        <v>899.1</v>
      </c>
      <c r="V1870" s="77">
        <f>INDEX(Products!E:E,MATCH(OrdersTable[[#This Row],[Product ID]],Products!A:A,0))</f>
        <v>400</v>
      </c>
      <c r="W1870" s="77">
        <f>OrdersTable[[#This Row],[Quantity]]*OrdersTable[[#This Row],[Unit Cost]]</f>
        <v>400</v>
      </c>
      <c r="X1870" s="77">
        <f>'Dropdown Lists'!$I$2*(1+OrdersTable[[#This Row],[Returned]])</f>
        <v>120</v>
      </c>
      <c r="Y1870" s="76">
        <f>OrdersTable[[#This Row],[Net Revenue]]-OrdersTable[[#This Row],[COGS]]-OrdersTable[[#This Row],[Shipping Cost]]</f>
        <v>379.1</v>
      </c>
      <c r="Z1870" s="78">
        <f>IFERROR(OrdersTable[[#This Row],[Profit]]/OrdersTable[[#This Row],[Net Revenue]],0)</f>
        <v>0.42164386608831056</v>
      </c>
      <c r="AA1870" t="s">
        <v>2522</v>
      </c>
      <c r="AB1870" s="79">
        <v>45627</v>
      </c>
      <c r="AC1870">
        <f>OrdersTable[[#This Row],[Delivery Date]]-OrdersTable[[#This Row],[Order Date]]</f>
        <v>4</v>
      </c>
      <c r="AD1870" t="str">
        <f>IF(OrdersTable[[#This Row],[Delivery Days]]&lt;=2, "Express (≤2d)", IF(OrdersTable[[#This Row],[Delivery Days]]&lt;=4, "Standard (3-4d)", "Delayed (5d+)"))</f>
        <v>Standard (3-4d)</v>
      </c>
      <c r="AE1870">
        <v>4</v>
      </c>
      <c r="AF1870">
        <v>1</v>
      </c>
    </row>
    <row r="1871" spans="1:32" ht="15" x14ac:dyDescent="0.35">
      <c r="A1871" t="s">
        <v>5913</v>
      </c>
      <c r="B1871" s="1">
        <v>45623</v>
      </c>
      <c r="C1871">
        <f>YEAR(OrdersTable[[#This Row],[Order Date]])</f>
        <v>2024</v>
      </c>
      <c r="D1871" s="2">
        <f>DATE(YEAR(OrdersTable[[#This Row],[Order Date]]),MONTH(OrdersTable[[#This Row],[Order Date]]),1)</f>
        <v>45597</v>
      </c>
      <c r="E1871">
        <f>MONTH(OrdersTable[[#This Row],[Order Date]])</f>
        <v>11</v>
      </c>
      <c r="F1871" t="s">
        <v>5914</v>
      </c>
      <c r="G1871" t="str">
        <f>IF(OrdersTable[[#This Row],[Order Date]]=_xlfn.MINIFS(Order_Date, Customer_ID, OrdersTable[[#This Row],[Customer ID]]), "New", "Repeat")</f>
        <v>New</v>
      </c>
      <c r="H1871" t="s">
        <v>76</v>
      </c>
      <c r="I1871" t="str">
        <f>INDEX(State!B:B,MATCH(OrdersTable[[#This Row],[State]],State!A:A,0))</f>
        <v>UP</v>
      </c>
      <c r="J1871" t="str">
        <f>INDEX(State!C:C,MATCH(OrdersTable[[#This Row],[State Code]],State!B:B,0))</f>
        <v>North</v>
      </c>
      <c r="K1871" t="s">
        <v>77</v>
      </c>
      <c r="L1871" t="s">
        <v>65</v>
      </c>
      <c r="M1871" t="s">
        <v>78</v>
      </c>
      <c r="N1871" t="str">
        <f>INDEX(Products!B:B,MATCH(OrdersTable[[#This Row],[Product ID]],Products!A:A,0))</f>
        <v>Retinol Night Cream</v>
      </c>
      <c r="O1871" t="str">
        <f>INDEX(Products!C:C,MATCH(OrdersTable[[#This Row],[Product ID]],Products!A:A,0))</f>
        <v>Skincare</v>
      </c>
      <c r="P1871">
        <v>2</v>
      </c>
      <c r="Q1871" s="5">
        <v>799</v>
      </c>
      <c r="R1871" s="74">
        <v>0.3</v>
      </c>
      <c r="S1871" s="75">
        <f>OrdersTable[[#This Row],[Quantity]]*OrdersTable[[#This Row],[Unit Price]]</f>
        <v>1598</v>
      </c>
      <c r="T1871" s="5">
        <f>OrdersTable[[#This Row],[Gross Sale]]*OrdersTable[[#This Row],[Discount_Clean2]]</f>
        <v>479.4</v>
      </c>
      <c r="U1871" s="5">
        <f>OrdersTable[[#This Row],[Gross Sale]]-OrdersTable[[#This Row],[Discount Amount]]</f>
        <v>1118.5999999999999</v>
      </c>
      <c r="V1871" s="77">
        <f>INDEX(Products!E:E,MATCH(OrdersTable[[#This Row],[Product ID]],Products!A:A,0))</f>
        <v>216</v>
      </c>
      <c r="W1871" s="77">
        <f>OrdersTable[[#This Row],[Quantity]]*OrdersTable[[#This Row],[Unit Cost]]</f>
        <v>432</v>
      </c>
      <c r="X1871" s="77">
        <f>'Dropdown Lists'!$I$2*(1+OrdersTable[[#This Row],[Returned]])</f>
        <v>60</v>
      </c>
      <c r="Y1871" s="76">
        <f>OrdersTable[[#This Row],[Net Revenue]]-OrdersTable[[#This Row],[COGS]]-OrdersTable[[#This Row],[Shipping Cost]]</f>
        <v>626.59999999999991</v>
      </c>
      <c r="Z1871" s="78">
        <f>IFERROR(OrdersTable[[#This Row],[Profit]]/OrdersTable[[#This Row],[Net Revenue]],0)</f>
        <v>0.56016449132844626</v>
      </c>
      <c r="AA1871" t="s">
        <v>18</v>
      </c>
      <c r="AB1871" s="79">
        <v>45629</v>
      </c>
      <c r="AC1871">
        <f>OrdersTable[[#This Row],[Delivery Date]]-OrdersTable[[#This Row],[Order Date]]</f>
        <v>6</v>
      </c>
      <c r="AD1871" t="str">
        <f>IF(OrdersTable[[#This Row],[Delivery Days]]&lt;=2, "Express (≤2d)", IF(OrdersTable[[#This Row],[Delivery Days]]&lt;=4, "Standard (3-4d)", "Delayed (5d+)"))</f>
        <v>Delayed (5d+)</v>
      </c>
      <c r="AF1871">
        <v>0</v>
      </c>
    </row>
    <row r="1872" spans="1:32" ht="15" x14ac:dyDescent="0.35">
      <c r="A1872" t="s">
        <v>6119</v>
      </c>
      <c r="B1872" s="1">
        <v>45623</v>
      </c>
      <c r="C1872">
        <f>YEAR(OrdersTable[[#This Row],[Order Date]])</f>
        <v>2024</v>
      </c>
      <c r="D1872" s="2">
        <f>DATE(YEAR(OrdersTable[[#This Row],[Order Date]]),MONTH(OrdersTable[[#This Row],[Order Date]]),1)</f>
        <v>45597</v>
      </c>
      <c r="E1872">
        <f>MONTH(OrdersTable[[#This Row],[Order Date]])</f>
        <v>11</v>
      </c>
      <c r="F1872" t="s">
        <v>4663</v>
      </c>
      <c r="G1872" t="str">
        <f>IF(OrdersTable[[#This Row],[Order Date]]=_xlfn.MINIFS(Order_Date, Customer_ID, OrdersTable[[#This Row],[Customer ID]]), "New", "Repeat")</f>
        <v>Repeat</v>
      </c>
      <c r="H1872" t="s">
        <v>27</v>
      </c>
      <c r="I1872" t="str">
        <f>INDEX(State!B:B,MATCH(OrdersTable[[#This Row],[State]],State!A:A,0))</f>
        <v>WB</v>
      </c>
      <c r="J1872" t="str">
        <f>INDEX(State!C:C,MATCH(OrdersTable[[#This Row],[State Code]],State!B:B,0))</f>
        <v>East</v>
      </c>
      <c r="K1872" t="s">
        <v>28</v>
      </c>
      <c r="L1872" t="s">
        <v>23</v>
      </c>
      <c r="M1872" t="s">
        <v>29</v>
      </c>
      <c r="N1872" t="str">
        <f>INDEX(Products!B:B,MATCH(OrdersTable[[#This Row],[Product ID]],Products!A:A,0))</f>
        <v>Joggers</v>
      </c>
      <c r="O1872" t="str">
        <f>INDEX(Products!C:C,MATCH(OrdersTable[[#This Row],[Product ID]],Products!A:A,0))</f>
        <v>Apparel</v>
      </c>
      <c r="P1872">
        <v>2</v>
      </c>
      <c r="Q1872" s="5">
        <v>1199</v>
      </c>
      <c r="R1872" s="74">
        <v>0.3</v>
      </c>
      <c r="S1872" s="75">
        <f>OrdersTable[[#This Row],[Quantity]]*OrdersTable[[#This Row],[Unit Price]]</f>
        <v>2398</v>
      </c>
      <c r="T1872" s="5">
        <f>OrdersTable[[#This Row],[Gross Sale]]*OrdersTable[[#This Row],[Discount_Clean2]]</f>
        <v>719.4</v>
      </c>
      <c r="U1872" s="5">
        <f>OrdersTable[[#This Row],[Gross Sale]]-OrdersTable[[#This Row],[Discount Amount]]</f>
        <v>1678.6</v>
      </c>
      <c r="V1872" s="77">
        <f>INDEX(Products!E:E,MATCH(OrdersTable[[#This Row],[Product ID]],Products!A:A,0))</f>
        <v>492</v>
      </c>
      <c r="W1872" s="77">
        <f>OrdersTable[[#This Row],[Quantity]]*OrdersTable[[#This Row],[Unit Cost]]</f>
        <v>984</v>
      </c>
      <c r="X1872" s="77">
        <f>'Dropdown Lists'!$I$2*(1+OrdersTable[[#This Row],[Returned]])</f>
        <v>60</v>
      </c>
      <c r="Y1872" s="76">
        <f>OrdersTable[[#This Row],[Net Revenue]]-OrdersTable[[#This Row],[COGS]]-OrdersTable[[#This Row],[Shipping Cost]]</f>
        <v>634.59999999999991</v>
      </c>
      <c r="Z1872" s="78">
        <f>IFERROR(OrdersTable[[#This Row],[Profit]]/OrdersTable[[#This Row],[Net Revenue]],0)</f>
        <v>0.37805313952102937</v>
      </c>
      <c r="AA1872" t="s">
        <v>18</v>
      </c>
      <c r="AB1872" s="79">
        <v>45627</v>
      </c>
      <c r="AC1872">
        <f>OrdersTable[[#This Row],[Delivery Date]]-OrdersTable[[#This Row],[Order Date]]</f>
        <v>4</v>
      </c>
      <c r="AD1872" t="str">
        <f>IF(OrdersTable[[#This Row],[Delivery Days]]&lt;=2, "Express (≤2d)", IF(OrdersTable[[#This Row],[Delivery Days]]&lt;=4, "Standard (3-4d)", "Delayed (5d+)"))</f>
        <v>Standard (3-4d)</v>
      </c>
      <c r="AE1872">
        <v>4</v>
      </c>
      <c r="AF1872">
        <v>0</v>
      </c>
    </row>
    <row r="1873" spans="1:32" ht="15" x14ac:dyDescent="0.35">
      <c r="A1873" t="s">
        <v>5690</v>
      </c>
      <c r="B1873" s="1">
        <v>45623</v>
      </c>
      <c r="C1873">
        <f>YEAR(OrdersTable[[#This Row],[Order Date]])</f>
        <v>2024</v>
      </c>
      <c r="D1873" s="2">
        <f>DATE(YEAR(OrdersTable[[#This Row],[Order Date]]),MONTH(OrdersTable[[#This Row],[Order Date]]),1)</f>
        <v>45597</v>
      </c>
      <c r="E1873">
        <f>MONTH(OrdersTable[[#This Row],[Order Date]])</f>
        <v>11</v>
      </c>
      <c r="F1873" t="s">
        <v>1179</v>
      </c>
      <c r="G1873" t="str">
        <f>IF(OrdersTable[[#This Row],[Order Date]]=_xlfn.MINIFS(Order_Date, Customer_ID, OrdersTable[[#This Row],[Customer ID]]), "New", "Repeat")</f>
        <v>Repeat</v>
      </c>
      <c r="H1873" t="s">
        <v>27</v>
      </c>
      <c r="I1873" t="str">
        <f>INDEX(State!B:B,MATCH(OrdersTable[[#This Row],[State]],State!A:A,0))</f>
        <v>WB</v>
      </c>
      <c r="J1873" t="str">
        <f>INDEX(State!C:C,MATCH(OrdersTable[[#This Row],[State Code]],State!B:B,0))</f>
        <v>East</v>
      </c>
      <c r="K1873" t="s">
        <v>28</v>
      </c>
      <c r="L1873" t="s">
        <v>65</v>
      </c>
      <c r="M1873" t="s">
        <v>61</v>
      </c>
      <c r="N1873" t="str">
        <f>INDEX(Products!B:B,MATCH(OrdersTable[[#This Row],[Product ID]],Products!A:A,0))</f>
        <v>Multivitamin Gummies</v>
      </c>
      <c r="O1873" t="str">
        <f>INDEX(Products!C:C,MATCH(OrdersTable[[#This Row],[Product ID]],Products!A:A,0))</f>
        <v>Wellness</v>
      </c>
      <c r="P1873">
        <v>2</v>
      </c>
      <c r="Q1873" s="5">
        <v>699</v>
      </c>
      <c r="R1873" s="74">
        <v>0.4</v>
      </c>
      <c r="S1873" s="75">
        <f>OrdersTable[[#This Row],[Quantity]]*OrdersTable[[#This Row],[Unit Price]]</f>
        <v>1398</v>
      </c>
      <c r="T1873" s="5">
        <f>OrdersTable[[#This Row],[Gross Sale]]*OrdersTable[[#This Row],[Discount_Clean2]]</f>
        <v>559.20000000000005</v>
      </c>
      <c r="U1873" s="5">
        <f>OrdersTable[[#This Row],[Gross Sale]]-OrdersTable[[#This Row],[Discount Amount]]</f>
        <v>838.8</v>
      </c>
      <c r="V1873" s="77">
        <f>INDEX(Products!E:E,MATCH(OrdersTable[[#This Row],[Product ID]],Products!A:A,0))</f>
        <v>238</v>
      </c>
      <c r="W1873" s="77">
        <f>OrdersTable[[#This Row],[Quantity]]*OrdersTable[[#This Row],[Unit Cost]]</f>
        <v>476</v>
      </c>
      <c r="X1873" s="77">
        <f>'Dropdown Lists'!$I$2*(1+OrdersTable[[#This Row],[Returned]])</f>
        <v>60</v>
      </c>
      <c r="Y1873" s="76">
        <f>OrdersTable[[#This Row],[Net Revenue]]-OrdersTable[[#This Row],[COGS]]-OrdersTable[[#This Row],[Shipping Cost]]</f>
        <v>302.79999999999995</v>
      </c>
      <c r="Z1873" s="78">
        <f>IFERROR(OrdersTable[[#This Row],[Profit]]/OrdersTable[[#This Row],[Net Revenue]],0)</f>
        <v>0.36099189318073432</v>
      </c>
      <c r="AA1873" t="s">
        <v>18</v>
      </c>
      <c r="AB1873" s="79">
        <v>45627</v>
      </c>
      <c r="AC1873">
        <f>OrdersTable[[#This Row],[Delivery Date]]-OrdersTable[[#This Row],[Order Date]]</f>
        <v>4</v>
      </c>
      <c r="AD1873" t="str">
        <f>IF(OrdersTable[[#This Row],[Delivery Days]]&lt;=2, "Express (≤2d)", IF(OrdersTable[[#This Row],[Delivery Days]]&lt;=4, "Standard (3-4d)", "Delayed (5d+)"))</f>
        <v>Standard (3-4d)</v>
      </c>
      <c r="AE1873">
        <v>3</v>
      </c>
      <c r="AF1873">
        <v>0</v>
      </c>
    </row>
    <row r="1874" spans="1:32" ht="15" x14ac:dyDescent="0.35">
      <c r="A1874" t="s">
        <v>6699</v>
      </c>
      <c r="B1874" s="1">
        <v>45623</v>
      </c>
      <c r="C1874">
        <f>YEAR(OrdersTable[[#This Row],[Order Date]])</f>
        <v>2024</v>
      </c>
      <c r="D1874" s="2">
        <f>DATE(YEAR(OrdersTable[[#This Row],[Order Date]]),MONTH(OrdersTable[[#This Row],[Order Date]]),1)</f>
        <v>45597</v>
      </c>
      <c r="E1874">
        <f>MONTH(OrdersTable[[#This Row],[Order Date]])</f>
        <v>11</v>
      </c>
      <c r="F1874" t="s">
        <v>6700</v>
      </c>
      <c r="G1874" t="str">
        <f>IF(OrdersTable[[#This Row],[Order Date]]=_xlfn.MINIFS(Order_Date, Customer_ID, OrdersTable[[#This Row],[Customer ID]]), "New", "Repeat")</f>
        <v>New</v>
      </c>
      <c r="H1874" t="s">
        <v>59</v>
      </c>
      <c r="I1874" t="str">
        <f>INDEX(State!B:B,MATCH(OrdersTable[[#This Row],[State]],State!A:A,0))</f>
        <v>TN</v>
      </c>
      <c r="J1874" t="str">
        <f>INDEX(State!C:C,MATCH(OrdersTable[[#This Row],[State Code]],State!B:B,0))</f>
        <v>South</v>
      </c>
      <c r="K1874" t="s">
        <v>64</v>
      </c>
      <c r="L1874" t="s">
        <v>50</v>
      </c>
      <c r="M1874" t="s">
        <v>45</v>
      </c>
      <c r="N1874" t="str">
        <f>INDEX(Products!B:B,MATCH(OrdersTable[[#This Row],[Product ID]],Products!A:A,0))</f>
        <v>Argan Shampoo</v>
      </c>
      <c r="O1874" t="str">
        <f>INDEX(Products!C:C,MATCH(OrdersTable[[#This Row],[Product ID]],Products!A:A,0))</f>
        <v>Haircare</v>
      </c>
      <c r="P1874">
        <v>3</v>
      </c>
      <c r="Q1874" s="5">
        <v>449</v>
      </c>
      <c r="R1874" s="74">
        <v>0.2</v>
      </c>
      <c r="S1874" s="75">
        <f>OrdersTable[[#This Row],[Quantity]]*OrdersTable[[#This Row],[Unit Price]]</f>
        <v>1347</v>
      </c>
      <c r="T1874" s="5">
        <f>OrdersTable[[#This Row],[Gross Sale]]*OrdersTable[[#This Row],[Discount_Clean2]]</f>
        <v>269.40000000000003</v>
      </c>
      <c r="U1874" s="5">
        <f>OrdersTable[[#This Row],[Gross Sale]]-OrdersTable[[#This Row],[Discount Amount]]</f>
        <v>1077.5999999999999</v>
      </c>
      <c r="V1874" s="77">
        <f>INDEX(Products!E:E,MATCH(OrdersTable[[#This Row],[Product ID]],Products!A:A,0))</f>
        <v>148</v>
      </c>
      <c r="W1874" s="77">
        <f>OrdersTable[[#This Row],[Quantity]]*OrdersTable[[#This Row],[Unit Cost]]</f>
        <v>444</v>
      </c>
      <c r="X1874" s="77">
        <f>'Dropdown Lists'!$I$2*(1+OrdersTable[[#This Row],[Returned]])</f>
        <v>60</v>
      </c>
      <c r="Y1874" s="76">
        <f>OrdersTable[[#This Row],[Net Revenue]]-OrdersTable[[#This Row],[COGS]]-OrdersTable[[#This Row],[Shipping Cost]]</f>
        <v>573.59999999999991</v>
      </c>
      <c r="Z1874" s="78">
        <f>IFERROR(OrdersTable[[#This Row],[Profit]]/OrdersTable[[#This Row],[Net Revenue]],0)</f>
        <v>0.53229398663697103</v>
      </c>
      <c r="AA1874" t="s">
        <v>2522</v>
      </c>
      <c r="AB1874" s="79">
        <v>45625</v>
      </c>
      <c r="AC1874">
        <f>OrdersTable[[#This Row],[Delivery Date]]-OrdersTable[[#This Row],[Order Date]]</f>
        <v>2</v>
      </c>
      <c r="AD1874" t="str">
        <f>IF(OrdersTable[[#This Row],[Delivery Days]]&lt;=2, "Express (≤2d)", IF(OrdersTable[[#This Row],[Delivery Days]]&lt;=4, "Standard (3-4d)", "Delayed (5d+)"))</f>
        <v>Express (≤2d)</v>
      </c>
      <c r="AE1874">
        <v>3</v>
      </c>
      <c r="AF1874">
        <v>0</v>
      </c>
    </row>
    <row r="1875" spans="1:32" ht="15" x14ac:dyDescent="0.35">
      <c r="A1875" t="s">
        <v>5790</v>
      </c>
      <c r="B1875" s="1">
        <v>45623</v>
      </c>
      <c r="C1875">
        <f>YEAR(OrdersTable[[#This Row],[Order Date]])</f>
        <v>2024</v>
      </c>
      <c r="D1875" s="2">
        <f>DATE(YEAR(OrdersTable[[#This Row],[Order Date]]),MONTH(OrdersTable[[#This Row],[Order Date]]),1)</f>
        <v>45597</v>
      </c>
      <c r="E1875">
        <f>MONTH(OrdersTable[[#This Row],[Order Date]])</f>
        <v>11</v>
      </c>
      <c r="F1875" t="s">
        <v>1352</v>
      </c>
      <c r="G1875" t="str">
        <f>IF(OrdersTable[[#This Row],[Order Date]]=_xlfn.MINIFS(Order_Date, Customer_ID, OrdersTable[[#This Row],[Customer ID]]), "New", "Repeat")</f>
        <v>Repeat</v>
      </c>
      <c r="H1875" t="s">
        <v>59</v>
      </c>
      <c r="I1875" t="str">
        <f>INDEX(State!B:B,MATCH(OrdersTable[[#This Row],[State]],State!A:A,0))</f>
        <v>TN</v>
      </c>
      <c r="J1875" t="str">
        <f>INDEX(State!C:C,MATCH(OrdersTable[[#This Row],[State Code]],State!B:B,0))</f>
        <v>South</v>
      </c>
      <c r="K1875" t="s">
        <v>60</v>
      </c>
      <c r="L1875" t="s">
        <v>65</v>
      </c>
      <c r="M1875" t="s">
        <v>40</v>
      </c>
      <c r="N1875" t="str">
        <f>INDEX(Products!B:B,MATCH(OrdersTable[[#This Row],[Product ID]],Products!A:A,0))</f>
        <v>Ashwagandha Capsules</v>
      </c>
      <c r="O1875" t="str">
        <f>INDEX(Products!C:C,MATCH(OrdersTable[[#This Row],[Product ID]],Products!A:A,0))</f>
        <v>Wellness</v>
      </c>
      <c r="P1875">
        <v>2</v>
      </c>
      <c r="Q1875" s="5">
        <v>499</v>
      </c>
      <c r="R1875" s="74">
        <v>0.05</v>
      </c>
      <c r="S1875" s="75">
        <f>OrdersTable[[#This Row],[Quantity]]*OrdersTable[[#This Row],[Unit Price]]</f>
        <v>998</v>
      </c>
      <c r="T1875" s="5">
        <f>OrdersTable[[#This Row],[Gross Sale]]*OrdersTable[[#This Row],[Discount_Clean2]]</f>
        <v>49.900000000000006</v>
      </c>
      <c r="U1875" s="5">
        <f>OrdersTable[[#This Row],[Gross Sale]]-OrdersTable[[#This Row],[Discount Amount]]</f>
        <v>948.1</v>
      </c>
      <c r="V1875" s="77">
        <f>INDEX(Products!E:E,MATCH(OrdersTable[[#This Row],[Product ID]],Products!A:A,0))</f>
        <v>150</v>
      </c>
      <c r="W1875" s="77">
        <f>OrdersTable[[#This Row],[Quantity]]*OrdersTable[[#This Row],[Unit Cost]]</f>
        <v>300</v>
      </c>
      <c r="X1875" s="77">
        <f>'Dropdown Lists'!$I$2*(1+OrdersTable[[#This Row],[Returned]])</f>
        <v>60</v>
      </c>
      <c r="Y1875" s="76">
        <f>OrdersTable[[#This Row],[Net Revenue]]-OrdersTable[[#This Row],[COGS]]-OrdersTable[[#This Row],[Shipping Cost]]</f>
        <v>588.1</v>
      </c>
      <c r="Z1875" s="78">
        <f>IFERROR(OrdersTable[[#This Row],[Profit]]/OrdersTable[[#This Row],[Net Revenue]],0)</f>
        <v>0.62029321801497728</v>
      </c>
      <c r="AA1875" t="s">
        <v>18</v>
      </c>
      <c r="AB1875" s="79">
        <v>45626</v>
      </c>
      <c r="AC1875">
        <f>OrdersTable[[#This Row],[Delivery Date]]-OrdersTable[[#This Row],[Order Date]]</f>
        <v>3</v>
      </c>
      <c r="AD1875" t="str">
        <f>IF(OrdersTable[[#This Row],[Delivery Days]]&lt;=2, "Express (≤2d)", IF(OrdersTable[[#This Row],[Delivery Days]]&lt;=4, "Standard (3-4d)", "Delayed (5d+)"))</f>
        <v>Standard (3-4d)</v>
      </c>
      <c r="AE1875">
        <v>5</v>
      </c>
      <c r="AF1875">
        <v>0</v>
      </c>
    </row>
    <row r="1876" spans="1:32" ht="15" x14ac:dyDescent="0.35">
      <c r="A1876" t="s">
        <v>6120</v>
      </c>
      <c r="B1876" s="1">
        <v>45623</v>
      </c>
      <c r="C1876">
        <f>YEAR(OrdersTable[[#This Row],[Order Date]])</f>
        <v>2024</v>
      </c>
      <c r="D1876" s="2">
        <f>DATE(YEAR(OrdersTable[[#This Row],[Order Date]]),MONTH(OrdersTable[[#This Row],[Order Date]]),1)</f>
        <v>45597</v>
      </c>
      <c r="E1876">
        <f>MONTH(OrdersTable[[#This Row],[Order Date]])</f>
        <v>11</v>
      </c>
      <c r="F1876" t="s">
        <v>1279</v>
      </c>
      <c r="G1876" t="str">
        <f>IF(OrdersTable[[#This Row],[Order Date]]=_xlfn.MINIFS(Order_Date, Customer_ID, OrdersTable[[#This Row],[Customer ID]]), "New", "Repeat")</f>
        <v>Repeat</v>
      </c>
      <c r="H1876" t="s">
        <v>59</v>
      </c>
      <c r="I1876" t="str">
        <f>INDEX(State!B:B,MATCH(OrdersTable[[#This Row],[State]],State!A:A,0))</f>
        <v>TN</v>
      </c>
      <c r="J1876" t="str">
        <f>INDEX(State!C:C,MATCH(OrdersTable[[#This Row],[State Code]],State!B:B,0))</f>
        <v>South</v>
      </c>
      <c r="K1876" t="s">
        <v>64</v>
      </c>
      <c r="L1876" t="s">
        <v>39</v>
      </c>
      <c r="M1876" t="s">
        <v>17</v>
      </c>
      <c r="N1876" t="str">
        <f>INDEX(Products!B:B,MATCH(OrdersTable[[#This Row],[Product ID]],Products!A:A,0))</f>
        <v>Casual Sneakers</v>
      </c>
      <c r="O1876" t="str">
        <f>INDEX(Products!C:C,MATCH(OrdersTable[[#This Row],[Product ID]],Products!A:A,0))</f>
        <v>Footwear</v>
      </c>
      <c r="P1876">
        <v>2</v>
      </c>
      <c r="Q1876" s="5">
        <v>2199</v>
      </c>
      <c r="R1876" s="74">
        <v>0.35</v>
      </c>
      <c r="S1876" s="75">
        <f>OrdersTable[[#This Row],[Quantity]]*OrdersTable[[#This Row],[Unit Price]]</f>
        <v>4398</v>
      </c>
      <c r="T1876" s="5">
        <f>OrdersTable[[#This Row],[Gross Sale]]*OrdersTable[[#This Row],[Discount_Clean2]]</f>
        <v>1539.3</v>
      </c>
      <c r="U1876" s="5">
        <f>OrdersTable[[#This Row],[Gross Sale]]-OrdersTable[[#This Row],[Discount Amount]]</f>
        <v>2858.7</v>
      </c>
      <c r="V1876" s="77">
        <f>INDEX(Products!E:E,MATCH(OrdersTable[[#This Row],[Product ID]],Products!A:A,0))</f>
        <v>1034</v>
      </c>
      <c r="W1876" s="77">
        <f>OrdersTable[[#This Row],[Quantity]]*OrdersTable[[#This Row],[Unit Cost]]</f>
        <v>2068</v>
      </c>
      <c r="X1876" s="77">
        <f>'Dropdown Lists'!$I$2*(1+OrdersTable[[#This Row],[Returned]])</f>
        <v>60</v>
      </c>
      <c r="Y1876" s="76">
        <f>OrdersTable[[#This Row],[Net Revenue]]-OrdersTable[[#This Row],[COGS]]-OrdersTable[[#This Row],[Shipping Cost]]</f>
        <v>730.69999999999982</v>
      </c>
      <c r="Z1876" s="78">
        <f>IFERROR(OrdersTable[[#This Row],[Profit]]/OrdersTable[[#This Row],[Net Revenue]],0)</f>
        <v>0.25560569489628149</v>
      </c>
      <c r="AA1876" t="s">
        <v>18</v>
      </c>
      <c r="AB1876" s="79">
        <v>45627</v>
      </c>
      <c r="AC1876">
        <f>OrdersTable[[#This Row],[Delivery Date]]-OrdersTable[[#This Row],[Order Date]]</f>
        <v>4</v>
      </c>
      <c r="AD1876" t="str">
        <f>IF(OrdersTable[[#This Row],[Delivery Days]]&lt;=2, "Express (≤2d)", IF(OrdersTable[[#This Row],[Delivery Days]]&lt;=4, "Standard (3-4d)", "Delayed (5d+)"))</f>
        <v>Standard (3-4d)</v>
      </c>
      <c r="AE1876">
        <v>4</v>
      </c>
      <c r="AF1876">
        <v>0</v>
      </c>
    </row>
    <row r="1877" spans="1:32" ht="15" x14ac:dyDescent="0.35">
      <c r="A1877" t="s">
        <v>2117</v>
      </c>
      <c r="B1877" s="1">
        <v>45624</v>
      </c>
      <c r="C1877">
        <f>YEAR(OrdersTable[[#This Row],[Order Date]])</f>
        <v>2024</v>
      </c>
      <c r="D1877" s="2">
        <f>DATE(YEAR(OrdersTable[[#This Row],[Order Date]]),MONTH(OrdersTable[[#This Row],[Order Date]]),1)</f>
        <v>45597</v>
      </c>
      <c r="E1877">
        <f>MONTH(OrdersTable[[#This Row],[Order Date]])</f>
        <v>11</v>
      </c>
      <c r="F1877" t="s">
        <v>2118</v>
      </c>
      <c r="G1877" t="str">
        <f>IF(OrdersTable[[#This Row],[Order Date]]=_xlfn.MINIFS(Order_Date, Customer_ID, OrdersTable[[#This Row],[Customer ID]]), "New", "Repeat")</f>
        <v>New</v>
      </c>
      <c r="H1877" t="s">
        <v>158</v>
      </c>
      <c r="I1877" t="str">
        <f>INDEX(State!B:B,MATCH(OrdersTable[[#This Row],[State]],State!A:A,0))</f>
        <v>HP</v>
      </c>
      <c r="J1877" t="str">
        <f>INDEX(State!C:C,MATCH(OrdersTable[[#This Row],[State Code]],State!B:B,0))</f>
        <v>North</v>
      </c>
      <c r="K1877" t="s">
        <v>159</v>
      </c>
      <c r="L1877" t="s">
        <v>50</v>
      </c>
      <c r="M1877" t="s">
        <v>40</v>
      </c>
      <c r="N1877" t="str">
        <f>INDEX(Products!B:B,MATCH(OrdersTable[[#This Row],[Product ID]],Products!A:A,0))</f>
        <v>Ashwagandha Capsules</v>
      </c>
      <c r="O1877" t="str">
        <f>INDEX(Products!C:C,MATCH(OrdersTable[[#This Row],[Product ID]],Products!A:A,0))</f>
        <v>Wellness</v>
      </c>
      <c r="P1877">
        <v>1</v>
      </c>
      <c r="Q1877" s="5">
        <v>499</v>
      </c>
      <c r="R1877" s="74">
        <v>0.15</v>
      </c>
      <c r="S1877" s="75">
        <f>OrdersTable[[#This Row],[Quantity]]*OrdersTable[[#This Row],[Unit Price]]</f>
        <v>499</v>
      </c>
      <c r="T1877" s="5">
        <f>OrdersTable[[#This Row],[Gross Sale]]*OrdersTable[[#This Row],[Discount_Clean2]]</f>
        <v>74.849999999999994</v>
      </c>
      <c r="U1877" s="5">
        <f>OrdersTable[[#This Row],[Gross Sale]]-OrdersTable[[#This Row],[Discount Amount]]</f>
        <v>424.15</v>
      </c>
      <c r="V1877" s="77">
        <f>INDEX(Products!E:E,MATCH(OrdersTable[[#This Row],[Product ID]],Products!A:A,0))</f>
        <v>150</v>
      </c>
      <c r="W1877" s="77">
        <f>OrdersTable[[#This Row],[Quantity]]*OrdersTable[[#This Row],[Unit Cost]]</f>
        <v>150</v>
      </c>
      <c r="X1877" s="77">
        <f>'Dropdown Lists'!$I$2*(1+OrdersTable[[#This Row],[Returned]])</f>
        <v>60</v>
      </c>
      <c r="Y1877" s="76">
        <f>OrdersTable[[#This Row],[Net Revenue]]-OrdersTable[[#This Row],[COGS]]-OrdersTable[[#This Row],[Shipping Cost]]</f>
        <v>214.14999999999998</v>
      </c>
      <c r="Z1877" s="78">
        <f>IFERROR(OrdersTable[[#This Row],[Profit]]/OrdersTable[[#This Row],[Net Revenue]],0)</f>
        <v>0.50489213721560766</v>
      </c>
      <c r="AA1877" t="s">
        <v>18</v>
      </c>
      <c r="AB1877" s="79">
        <v>45630</v>
      </c>
      <c r="AC1877">
        <f>OrdersTable[[#This Row],[Delivery Date]]-OrdersTable[[#This Row],[Order Date]]</f>
        <v>6</v>
      </c>
      <c r="AD1877" t="str">
        <f>IF(OrdersTable[[#This Row],[Delivery Days]]&lt;=2, "Express (≤2d)", IF(OrdersTable[[#This Row],[Delivery Days]]&lt;=4, "Standard (3-4d)", "Delayed (5d+)"))</f>
        <v>Delayed (5d+)</v>
      </c>
      <c r="AE1877">
        <v>3</v>
      </c>
      <c r="AF1877">
        <v>0</v>
      </c>
    </row>
    <row r="1878" spans="1:32" ht="15" x14ac:dyDescent="0.35">
      <c r="A1878" t="s">
        <v>4259</v>
      </c>
      <c r="B1878" s="1">
        <v>45624</v>
      </c>
      <c r="C1878">
        <f>YEAR(OrdersTable[[#This Row],[Order Date]])</f>
        <v>2024</v>
      </c>
      <c r="D1878" s="2">
        <f>DATE(YEAR(OrdersTable[[#This Row],[Order Date]]),MONTH(OrdersTable[[#This Row],[Order Date]]),1)</f>
        <v>45597</v>
      </c>
      <c r="E1878">
        <f>MONTH(OrdersTable[[#This Row],[Order Date]])</f>
        <v>11</v>
      </c>
      <c r="F1878" t="s">
        <v>1961</v>
      </c>
      <c r="G1878" t="str">
        <f>IF(OrdersTable[[#This Row],[Order Date]]=_xlfn.MINIFS(Order_Date, Customer_ID, OrdersTable[[#This Row],[Customer ID]]), "New", "Repeat")</f>
        <v>Repeat</v>
      </c>
      <c r="H1878" t="s">
        <v>76</v>
      </c>
      <c r="I1878" t="str">
        <f>INDEX(State!B:B,MATCH(OrdersTable[[#This Row],[State]],State!A:A,0))</f>
        <v>UP</v>
      </c>
      <c r="J1878" t="str">
        <f>INDEX(State!C:C,MATCH(OrdersTable[[#This Row],[State Code]],State!B:B,0))</f>
        <v>North</v>
      </c>
      <c r="K1878" t="s">
        <v>118</v>
      </c>
      <c r="L1878" t="s">
        <v>65</v>
      </c>
      <c r="M1878" t="s">
        <v>228</v>
      </c>
      <c r="N1878" t="str">
        <f>INDEX(Products!B:B,MATCH(OrdersTable[[#This Row],[Product ID]],Products!A:A,0))</f>
        <v>Fast Charger 33W</v>
      </c>
      <c r="O1878" t="str">
        <f>INDEX(Products!C:C,MATCH(OrdersTable[[#This Row],[Product ID]],Products!A:A,0))</f>
        <v>Electronics</v>
      </c>
      <c r="P1878">
        <v>1</v>
      </c>
      <c r="Q1878" s="5">
        <v>899</v>
      </c>
      <c r="R1878" s="74">
        <v>0.2</v>
      </c>
      <c r="S1878" s="75">
        <f>OrdersTable[[#This Row],[Quantity]]*OrdersTable[[#This Row],[Unit Price]]</f>
        <v>899</v>
      </c>
      <c r="T1878" s="5">
        <f>OrdersTable[[#This Row],[Gross Sale]]*OrdersTable[[#This Row],[Discount_Clean2]]</f>
        <v>179.8</v>
      </c>
      <c r="U1878" s="5">
        <f>OrdersTable[[#This Row],[Gross Sale]]-OrdersTable[[#This Row],[Discount Amount]]</f>
        <v>719.2</v>
      </c>
      <c r="V1878" s="77">
        <f>INDEX(Products!E:E,MATCH(OrdersTable[[#This Row],[Product ID]],Products!A:A,0))</f>
        <v>494</v>
      </c>
      <c r="W1878" s="77">
        <f>OrdersTable[[#This Row],[Quantity]]*OrdersTable[[#This Row],[Unit Cost]]</f>
        <v>494</v>
      </c>
      <c r="X1878" s="77">
        <f>'Dropdown Lists'!$I$2*(1+OrdersTable[[#This Row],[Returned]])</f>
        <v>60</v>
      </c>
      <c r="Y1878" s="76">
        <f>OrdersTable[[#This Row],[Net Revenue]]-OrdersTable[[#This Row],[COGS]]-OrdersTable[[#This Row],[Shipping Cost]]</f>
        <v>165.20000000000005</v>
      </c>
      <c r="Z1878" s="78">
        <f>IFERROR(OrdersTable[[#This Row],[Profit]]/OrdersTable[[#This Row],[Net Revenue]],0)</f>
        <v>0.22969966629588437</v>
      </c>
      <c r="AA1878" t="s">
        <v>4074</v>
      </c>
      <c r="AB1878" s="79">
        <v>45627</v>
      </c>
      <c r="AC1878">
        <f>OrdersTable[[#This Row],[Delivery Date]]-OrdersTable[[#This Row],[Order Date]]</f>
        <v>3</v>
      </c>
      <c r="AD1878" t="str">
        <f>IF(OrdersTable[[#This Row],[Delivery Days]]&lt;=2, "Express (≤2d)", IF(OrdersTable[[#This Row],[Delivery Days]]&lt;=4, "Standard (3-4d)", "Delayed (5d+)"))</f>
        <v>Standard (3-4d)</v>
      </c>
      <c r="AF1878">
        <v>0</v>
      </c>
    </row>
    <row r="1879" spans="1:32" ht="15" x14ac:dyDescent="0.35">
      <c r="A1879" t="s">
        <v>5691</v>
      </c>
      <c r="B1879" s="1">
        <v>45624</v>
      </c>
      <c r="C1879">
        <f>YEAR(OrdersTable[[#This Row],[Order Date]])</f>
        <v>2024</v>
      </c>
      <c r="D1879" s="2">
        <f>DATE(YEAR(OrdersTable[[#This Row],[Order Date]]),MONTH(OrdersTable[[#This Row],[Order Date]]),1)</f>
        <v>45597</v>
      </c>
      <c r="E1879">
        <f>MONTH(OrdersTable[[#This Row],[Order Date]])</f>
        <v>11</v>
      </c>
      <c r="F1879" t="s">
        <v>5692</v>
      </c>
      <c r="G1879" t="str">
        <f>IF(OrdersTable[[#This Row],[Order Date]]=_xlfn.MINIFS(Order_Date, Customer_ID, OrdersTable[[#This Row],[Customer ID]]), "New", "Repeat")</f>
        <v>New</v>
      </c>
      <c r="H1879" t="s">
        <v>132</v>
      </c>
      <c r="I1879" t="str">
        <f>INDEX(State!B:B,MATCH(OrdersTable[[#This Row],[State]],State!A:A,0))</f>
        <v>AS</v>
      </c>
      <c r="J1879" t="str">
        <f>INDEX(State!C:C,MATCH(OrdersTable[[#This Row],[State Code]],State!B:B,0))</f>
        <v>East</v>
      </c>
      <c r="K1879" t="s">
        <v>133</v>
      </c>
      <c r="L1879" t="s">
        <v>65</v>
      </c>
      <c r="M1879" t="s">
        <v>24</v>
      </c>
      <c r="N1879" t="str">
        <f>INDEX(Products!B:B,MATCH(OrdersTable[[#This Row],[Product ID]],Products!A:A,0))</f>
        <v>Scented Candle Set</v>
      </c>
      <c r="O1879" t="str">
        <f>INDEX(Products!C:C,MATCH(OrdersTable[[#This Row],[Product ID]],Products!A:A,0))</f>
        <v>Home &amp; Kitchen</v>
      </c>
      <c r="P1879">
        <v>2</v>
      </c>
      <c r="Q1879" s="5">
        <v>699</v>
      </c>
      <c r="R1879" s="74">
        <v>0.2</v>
      </c>
      <c r="S1879" s="75">
        <f>OrdersTable[[#This Row],[Quantity]]*OrdersTable[[#This Row],[Unit Price]]</f>
        <v>1398</v>
      </c>
      <c r="T1879" s="5">
        <f>OrdersTable[[#This Row],[Gross Sale]]*OrdersTable[[#This Row],[Discount_Clean2]]</f>
        <v>279.60000000000002</v>
      </c>
      <c r="U1879" s="5">
        <f>OrdersTable[[#This Row],[Gross Sale]]-OrdersTable[[#This Row],[Discount Amount]]</f>
        <v>1118.4000000000001</v>
      </c>
      <c r="V1879" s="77">
        <f>INDEX(Products!E:E,MATCH(OrdersTable[[#This Row],[Product ID]],Products!A:A,0))</f>
        <v>245</v>
      </c>
      <c r="W1879" s="77">
        <f>OrdersTable[[#This Row],[Quantity]]*OrdersTable[[#This Row],[Unit Cost]]</f>
        <v>490</v>
      </c>
      <c r="X1879" s="77">
        <f>'Dropdown Lists'!$I$2*(1+OrdersTable[[#This Row],[Returned]])</f>
        <v>60</v>
      </c>
      <c r="Y1879" s="76">
        <f>OrdersTable[[#This Row],[Net Revenue]]-OrdersTable[[#This Row],[COGS]]-OrdersTable[[#This Row],[Shipping Cost]]</f>
        <v>568.40000000000009</v>
      </c>
      <c r="Z1879" s="78">
        <f>IFERROR(OrdersTable[[#This Row],[Profit]]/OrdersTable[[#This Row],[Net Revenue]],0)</f>
        <v>0.50822603719599435</v>
      </c>
      <c r="AA1879" t="s">
        <v>18</v>
      </c>
      <c r="AB1879" s="79">
        <v>45631</v>
      </c>
      <c r="AC1879">
        <f>OrdersTable[[#This Row],[Delivery Date]]-OrdersTable[[#This Row],[Order Date]]</f>
        <v>7</v>
      </c>
      <c r="AD1879" t="str">
        <f>IF(OrdersTable[[#This Row],[Delivery Days]]&lt;=2, "Express (≤2d)", IF(OrdersTable[[#This Row],[Delivery Days]]&lt;=4, "Standard (3-4d)", "Delayed (5d+)"))</f>
        <v>Delayed (5d+)</v>
      </c>
      <c r="AE1879">
        <v>3</v>
      </c>
      <c r="AF1879">
        <v>0</v>
      </c>
    </row>
    <row r="1880" spans="1:32" ht="15" x14ac:dyDescent="0.35">
      <c r="A1880" t="s">
        <v>3884</v>
      </c>
      <c r="B1880" s="1">
        <v>45624</v>
      </c>
      <c r="C1880">
        <f>YEAR(OrdersTable[[#This Row],[Order Date]])</f>
        <v>2024</v>
      </c>
      <c r="D1880" s="2">
        <f>DATE(YEAR(OrdersTable[[#This Row],[Order Date]]),MONTH(OrdersTable[[#This Row],[Order Date]]),1)</f>
        <v>45597</v>
      </c>
      <c r="E1880">
        <f>MONTH(OrdersTable[[#This Row],[Order Date]])</f>
        <v>11</v>
      </c>
      <c r="F1880" t="s">
        <v>2203</v>
      </c>
      <c r="G1880" t="str">
        <f>IF(OrdersTable[[#This Row],[Order Date]]=_xlfn.MINIFS(Order_Date, Customer_ID, OrdersTable[[#This Row],[Customer ID]]), "New", "Repeat")</f>
        <v>Repeat</v>
      </c>
      <c r="H1880" t="s">
        <v>71</v>
      </c>
      <c r="I1880" t="str">
        <f>INDEX(State!B:B,MATCH(OrdersTable[[#This Row],[State]],State!A:A,0))</f>
        <v>MH</v>
      </c>
      <c r="J1880" t="str">
        <f>INDEX(State!C:C,MATCH(OrdersTable[[#This Row],[State Code]],State!B:B,0))</f>
        <v>West</v>
      </c>
      <c r="K1880" t="s">
        <v>72</v>
      </c>
      <c r="L1880" t="s">
        <v>65</v>
      </c>
      <c r="M1880" t="s">
        <v>78</v>
      </c>
      <c r="N1880" t="str">
        <f>INDEX(Products!B:B,MATCH(OrdersTable[[#This Row],[Product ID]],Products!A:A,0))</f>
        <v>Retinol Night Cream</v>
      </c>
      <c r="O1880" t="str">
        <f>INDEX(Products!C:C,MATCH(OrdersTable[[#This Row],[Product ID]],Products!A:A,0))</f>
        <v>Skincare</v>
      </c>
      <c r="P1880">
        <v>1</v>
      </c>
      <c r="Q1880" s="5">
        <v>799</v>
      </c>
      <c r="R1880" s="74">
        <v>0.2</v>
      </c>
      <c r="S1880" s="75">
        <f>OrdersTable[[#This Row],[Quantity]]*OrdersTable[[#This Row],[Unit Price]]</f>
        <v>799</v>
      </c>
      <c r="T1880" s="5">
        <f>OrdersTable[[#This Row],[Gross Sale]]*OrdersTable[[#This Row],[Discount_Clean2]]</f>
        <v>159.80000000000001</v>
      </c>
      <c r="U1880" s="5">
        <f>OrdersTable[[#This Row],[Gross Sale]]-OrdersTable[[#This Row],[Discount Amount]]</f>
        <v>639.20000000000005</v>
      </c>
      <c r="V1880" s="77">
        <f>INDEX(Products!E:E,MATCH(OrdersTable[[#This Row],[Product ID]],Products!A:A,0))</f>
        <v>216</v>
      </c>
      <c r="W1880" s="77">
        <f>OrdersTable[[#This Row],[Quantity]]*OrdersTable[[#This Row],[Unit Cost]]</f>
        <v>216</v>
      </c>
      <c r="X1880" s="77">
        <f>'Dropdown Lists'!$I$2*(1+OrdersTable[[#This Row],[Returned]])</f>
        <v>60</v>
      </c>
      <c r="Y1880" s="76">
        <f>OrdersTable[[#This Row],[Net Revenue]]-OrdersTable[[#This Row],[COGS]]-OrdersTable[[#This Row],[Shipping Cost]]</f>
        <v>363.20000000000005</v>
      </c>
      <c r="Z1880" s="78">
        <f>IFERROR(OrdersTable[[#This Row],[Profit]]/OrdersTable[[#This Row],[Net Revenue]],0)</f>
        <v>0.56821026282853571</v>
      </c>
      <c r="AA1880" t="s">
        <v>3495</v>
      </c>
      <c r="AB1880" s="79">
        <v>45628</v>
      </c>
      <c r="AC1880">
        <f>OrdersTable[[#This Row],[Delivery Date]]-OrdersTable[[#This Row],[Order Date]]</f>
        <v>4</v>
      </c>
      <c r="AD1880" t="str">
        <f>IF(OrdersTable[[#This Row],[Delivery Days]]&lt;=2, "Express (≤2d)", IF(OrdersTable[[#This Row],[Delivery Days]]&lt;=4, "Standard (3-4d)", "Delayed (5d+)"))</f>
        <v>Standard (3-4d)</v>
      </c>
      <c r="AE1880">
        <v>3</v>
      </c>
      <c r="AF1880">
        <v>0</v>
      </c>
    </row>
    <row r="1881" spans="1:32" ht="15" x14ac:dyDescent="0.35">
      <c r="A1881" t="s">
        <v>7076</v>
      </c>
      <c r="B1881" s="1">
        <v>45624</v>
      </c>
      <c r="C1881">
        <f>YEAR(OrdersTable[[#This Row],[Order Date]])</f>
        <v>2024</v>
      </c>
      <c r="D1881" s="2">
        <f>DATE(YEAR(OrdersTable[[#This Row],[Order Date]]),MONTH(OrdersTable[[#This Row],[Order Date]]),1)</f>
        <v>45597</v>
      </c>
      <c r="E1881">
        <f>MONTH(OrdersTable[[#This Row],[Order Date]])</f>
        <v>11</v>
      </c>
      <c r="F1881" t="s">
        <v>3164</v>
      </c>
      <c r="G1881" t="str">
        <f>IF(OrdersTable[[#This Row],[Order Date]]=_xlfn.MINIFS(Order_Date, Customer_ID, OrdersTable[[#This Row],[Customer ID]]), "New", "Repeat")</f>
        <v>Repeat</v>
      </c>
      <c r="H1881" t="s">
        <v>95</v>
      </c>
      <c r="I1881" t="str">
        <f>INDEX(State!B:B,MATCH(OrdersTable[[#This Row],[State]],State!A:A,0))</f>
        <v>TG</v>
      </c>
      <c r="J1881" t="str">
        <f>INDEX(State!C:C,MATCH(OrdersTable[[#This Row],[State Code]],State!B:B,0))</f>
        <v>South</v>
      </c>
      <c r="K1881" t="s">
        <v>96</v>
      </c>
      <c r="L1881" t="s">
        <v>23</v>
      </c>
      <c r="M1881" t="s">
        <v>24</v>
      </c>
      <c r="N1881" t="str">
        <f>INDEX(Products!B:B,MATCH(OrdersTable[[#This Row],[Product ID]],Products!A:A,0))</f>
        <v>Scented Candle Set</v>
      </c>
      <c r="O1881" t="str">
        <f>INDEX(Products!C:C,MATCH(OrdersTable[[#This Row],[Product ID]],Products!A:A,0))</f>
        <v>Home &amp; Kitchen</v>
      </c>
      <c r="P1881">
        <v>4</v>
      </c>
      <c r="Q1881" s="5">
        <v>699</v>
      </c>
      <c r="R1881" s="74">
        <v>0.35</v>
      </c>
      <c r="S1881" s="75">
        <f>OrdersTable[[#This Row],[Quantity]]*OrdersTable[[#This Row],[Unit Price]]</f>
        <v>2796</v>
      </c>
      <c r="T1881" s="5">
        <f>OrdersTable[[#This Row],[Gross Sale]]*OrdersTable[[#This Row],[Discount_Clean2]]</f>
        <v>978.59999999999991</v>
      </c>
      <c r="U1881" s="5">
        <f>OrdersTable[[#This Row],[Gross Sale]]-OrdersTable[[#This Row],[Discount Amount]]</f>
        <v>1817.4</v>
      </c>
      <c r="V1881" s="77">
        <f>INDEX(Products!E:E,MATCH(OrdersTable[[#This Row],[Product ID]],Products!A:A,0))</f>
        <v>245</v>
      </c>
      <c r="W1881" s="77">
        <f>OrdersTable[[#This Row],[Quantity]]*OrdersTable[[#This Row],[Unit Cost]]</f>
        <v>980</v>
      </c>
      <c r="X1881" s="77">
        <f>'Dropdown Lists'!$I$2*(1+OrdersTable[[#This Row],[Returned]])</f>
        <v>60</v>
      </c>
      <c r="Y1881" s="76">
        <f>OrdersTable[[#This Row],[Net Revenue]]-OrdersTable[[#This Row],[COGS]]-OrdersTable[[#This Row],[Shipping Cost]]</f>
        <v>777.40000000000009</v>
      </c>
      <c r="Z1881" s="78">
        <f>IFERROR(OrdersTable[[#This Row],[Profit]]/OrdersTable[[#This Row],[Net Revenue]],0)</f>
        <v>0.42775393419170243</v>
      </c>
      <c r="AA1881" t="s">
        <v>18</v>
      </c>
      <c r="AB1881" s="79">
        <v>45628</v>
      </c>
      <c r="AC1881">
        <f>OrdersTable[[#This Row],[Delivery Date]]-OrdersTable[[#This Row],[Order Date]]</f>
        <v>4</v>
      </c>
      <c r="AD1881" t="str">
        <f>IF(OrdersTable[[#This Row],[Delivery Days]]&lt;=2, "Express (≤2d)", IF(OrdersTable[[#This Row],[Delivery Days]]&lt;=4, "Standard (3-4d)", "Delayed (5d+)"))</f>
        <v>Standard (3-4d)</v>
      </c>
      <c r="AF1881">
        <v>0</v>
      </c>
    </row>
    <row r="1882" spans="1:32" ht="15" x14ac:dyDescent="0.35">
      <c r="A1882" t="s">
        <v>4952</v>
      </c>
      <c r="B1882" s="1">
        <v>45624</v>
      </c>
      <c r="C1882">
        <f>YEAR(OrdersTable[[#This Row],[Order Date]])</f>
        <v>2024</v>
      </c>
      <c r="D1882" s="2">
        <f>DATE(YEAR(OrdersTable[[#This Row],[Order Date]]),MONTH(OrdersTable[[#This Row],[Order Date]]),1)</f>
        <v>45597</v>
      </c>
      <c r="E1882">
        <f>MONTH(OrdersTable[[#This Row],[Order Date]])</f>
        <v>11</v>
      </c>
      <c r="F1882" t="s">
        <v>1052</v>
      </c>
      <c r="G1882" t="str">
        <f>IF(OrdersTable[[#This Row],[Order Date]]=_xlfn.MINIFS(Order_Date, Customer_ID, OrdersTable[[#This Row],[Customer ID]]), "New", "Repeat")</f>
        <v>Repeat</v>
      </c>
      <c r="H1882" t="s">
        <v>167</v>
      </c>
      <c r="I1882" t="str">
        <f>INDEX(State!B:B,MATCH(OrdersTable[[#This Row],[State]],State!A:A,0))</f>
        <v>KA</v>
      </c>
      <c r="J1882" t="str">
        <f>INDEX(State!C:C,MATCH(OrdersTable[[#This Row],[State Code]],State!B:B,0))</f>
        <v>South</v>
      </c>
      <c r="K1882" t="s">
        <v>190</v>
      </c>
      <c r="L1882" t="s">
        <v>16</v>
      </c>
      <c r="M1882" t="s">
        <v>92</v>
      </c>
      <c r="N1882" t="str">
        <f>INDEX(Products!B:B,MATCH(OrdersTable[[#This Row],[Product ID]],Products!A:A,0))</f>
        <v>Kolhapuri Sandals</v>
      </c>
      <c r="O1882" t="str">
        <f>INDEX(Products!C:C,MATCH(OrdersTable[[#This Row],[Product ID]],Products!A:A,0))</f>
        <v>Footwear</v>
      </c>
      <c r="P1882">
        <v>2</v>
      </c>
      <c r="Q1882" s="5">
        <v>999</v>
      </c>
      <c r="R1882" s="74">
        <v>0.1</v>
      </c>
      <c r="S1882" s="75">
        <f>OrdersTable[[#This Row],[Quantity]]*OrdersTable[[#This Row],[Unit Price]]</f>
        <v>1998</v>
      </c>
      <c r="T1882" s="5">
        <f>OrdersTable[[#This Row],[Gross Sale]]*OrdersTable[[#This Row],[Discount_Clean2]]</f>
        <v>199.8</v>
      </c>
      <c r="U1882" s="5">
        <f>OrdersTable[[#This Row],[Gross Sale]]-OrdersTable[[#This Row],[Discount Amount]]</f>
        <v>1798.2</v>
      </c>
      <c r="V1882" s="77">
        <f>INDEX(Products!E:E,MATCH(OrdersTable[[#This Row],[Product ID]],Products!A:A,0))</f>
        <v>400</v>
      </c>
      <c r="W1882" s="77">
        <f>OrdersTable[[#This Row],[Quantity]]*OrdersTable[[#This Row],[Unit Cost]]</f>
        <v>800</v>
      </c>
      <c r="X1882" s="77">
        <f>'Dropdown Lists'!$I$2*(1+OrdersTable[[#This Row],[Returned]])</f>
        <v>60</v>
      </c>
      <c r="Y1882" s="76">
        <f>OrdersTable[[#This Row],[Net Revenue]]-OrdersTable[[#This Row],[COGS]]-OrdersTable[[#This Row],[Shipping Cost]]</f>
        <v>938.2</v>
      </c>
      <c r="Z1882" s="78">
        <f>IFERROR(OrdersTable[[#This Row],[Profit]]/OrdersTable[[#This Row],[Net Revenue]],0)</f>
        <v>0.52174396618841068</v>
      </c>
      <c r="AA1882" t="s">
        <v>4074</v>
      </c>
      <c r="AB1882" s="79">
        <v>45627</v>
      </c>
      <c r="AC1882">
        <f>OrdersTable[[#This Row],[Delivery Date]]-OrdersTable[[#This Row],[Order Date]]</f>
        <v>3</v>
      </c>
      <c r="AD1882" t="str">
        <f>IF(OrdersTable[[#This Row],[Delivery Days]]&lt;=2, "Express (≤2d)", IF(OrdersTable[[#This Row],[Delivery Days]]&lt;=4, "Standard (3-4d)", "Delayed (5d+)"))</f>
        <v>Standard (3-4d)</v>
      </c>
      <c r="AF1882">
        <v>0</v>
      </c>
    </row>
    <row r="1883" spans="1:32" ht="15" x14ac:dyDescent="0.35">
      <c r="A1883" t="s">
        <v>6980</v>
      </c>
      <c r="B1883" s="1">
        <v>45624</v>
      </c>
      <c r="C1883">
        <f>YEAR(OrdersTable[[#This Row],[Order Date]])</f>
        <v>2024</v>
      </c>
      <c r="D1883" s="2">
        <f>DATE(YEAR(OrdersTable[[#This Row],[Order Date]]),MONTH(OrdersTable[[#This Row],[Order Date]]),1)</f>
        <v>45597</v>
      </c>
      <c r="E1883">
        <f>MONTH(OrdersTable[[#This Row],[Order Date]])</f>
        <v>11</v>
      </c>
      <c r="F1883" t="s">
        <v>1071</v>
      </c>
      <c r="G1883" t="str">
        <f>IF(OrdersTable[[#This Row],[Order Date]]=_xlfn.MINIFS(Order_Date, Customer_ID, OrdersTable[[#This Row],[Customer ID]]), "New", "Repeat")</f>
        <v>Repeat</v>
      </c>
      <c r="H1883" t="s">
        <v>316</v>
      </c>
      <c r="I1883" t="str">
        <f>INDEX(State!B:B,MATCH(OrdersTable[[#This Row],[State]],State!A:A,0))</f>
        <v>KL</v>
      </c>
      <c r="J1883" t="str">
        <f>INDEX(State!C:C,MATCH(OrdersTable[[#This Row],[State Code]],State!B:B,0))</f>
        <v>South</v>
      </c>
      <c r="K1883" t="s">
        <v>338</v>
      </c>
      <c r="L1883" t="s">
        <v>65</v>
      </c>
      <c r="M1883" t="s">
        <v>51</v>
      </c>
      <c r="N1883" t="str">
        <f>INDEX(Products!B:B,MATCH(OrdersTable[[#This Row],[Product ID]],Products!A:A,0))</f>
        <v>Anti-Dandruff Conditioner</v>
      </c>
      <c r="O1883" t="str">
        <f>INDEX(Products!C:C,MATCH(OrdersTable[[#This Row],[Product ID]],Products!A:A,0))</f>
        <v>Haircare</v>
      </c>
      <c r="P1883">
        <v>4</v>
      </c>
      <c r="Q1883" s="5">
        <v>399</v>
      </c>
      <c r="R1883" s="74">
        <v>0.6</v>
      </c>
      <c r="S1883" s="75">
        <f>OrdersTable[[#This Row],[Quantity]]*OrdersTable[[#This Row],[Unit Price]]</f>
        <v>1596</v>
      </c>
      <c r="T1883" s="5">
        <f>OrdersTable[[#This Row],[Gross Sale]]*OrdersTable[[#This Row],[Discount_Clean2]]</f>
        <v>957.59999999999991</v>
      </c>
      <c r="U1883" s="5">
        <f>OrdersTable[[#This Row],[Gross Sale]]-OrdersTable[[#This Row],[Discount Amount]]</f>
        <v>638.40000000000009</v>
      </c>
      <c r="V1883" s="77">
        <f>INDEX(Products!E:E,MATCH(OrdersTable[[#This Row],[Product ID]],Products!A:A,0))</f>
        <v>136</v>
      </c>
      <c r="W1883" s="77">
        <f>OrdersTable[[#This Row],[Quantity]]*OrdersTable[[#This Row],[Unit Cost]]</f>
        <v>544</v>
      </c>
      <c r="X1883" s="77">
        <f>'Dropdown Lists'!$I$2*(1+OrdersTable[[#This Row],[Returned]])</f>
        <v>60</v>
      </c>
      <c r="Y1883" s="76">
        <f>OrdersTable[[#This Row],[Net Revenue]]-OrdersTable[[#This Row],[COGS]]-OrdersTable[[#This Row],[Shipping Cost]]</f>
        <v>34.400000000000091</v>
      </c>
      <c r="Z1883" s="78">
        <f>IFERROR(OrdersTable[[#This Row],[Profit]]/OrdersTable[[#This Row],[Net Revenue]],0)</f>
        <v>5.3884711779448757E-2</v>
      </c>
      <c r="AA1883" t="s">
        <v>2522</v>
      </c>
      <c r="AB1883" s="79">
        <v>45629</v>
      </c>
      <c r="AC1883">
        <f>OrdersTable[[#This Row],[Delivery Date]]-OrdersTable[[#This Row],[Order Date]]</f>
        <v>5</v>
      </c>
      <c r="AD1883" t="str">
        <f>IF(OrdersTable[[#This Row],[Delivery Days]]&lt;=2, "Express (≤2d)", IF(OrdersTable[[#This Row],[Delivery Days]]&lt;=4, "Standard (3-4d)", "Delayed (5d+)"))</f>
        <v>Delayed (5d+)</v>
      </c>
      <c r="AE1883">
        <v>4</v>
      </c>
      <c r="AF1883">
        <v>0</v>
      </c>
    </row>
    <row r="1884" spans="1:32" ht="15" x14ac:dyDescent="0.35">
      <c r="A1884" t="s">
        <v>6876</v>
      </c>
      <c r="B1884" s="1">
        <v>45624</v>
      </c>
      <c r="C1884">
        <f>YEAR(OrdersTable[[#This Row],[Order Date]])</f>
        <v>2024</v>
      </c>
      <c r="D1884" s="2">
        <f>DATE(YEAR(OrdersTable[[#This Row],[Order Date]]),MONTH(OrdersTable[[#This Row],[Order Date]]),1)</f>
        <v>45597</v>
      </c>
      <c r="E1884">
        <f>MONTH(OrdersTable[[#This Row],[Order Date]])</f>
        <v>11</v>
      </c>
      <c r="F1884" t="s">
        <v>3502</v>
      </c>
      <c r="G1884" t="str">
        <f>IF(OrdersTable[[#This Row],[Order Date]]=_xlfn.MINIFS(Order_Date, Customer_ID, OrdersTable[[#This Row],[Customer ID]]), "New", "Repeat")</f>
        <v>Repeat</v>
      </c>
      <c r="H1884" t="s">
        <v>316</v>
      </c>
      <c r="I1884" t="str">
        <f>INDEX(State!B:B,MATCH(OrdersTable[[#This Row],[State]],State!A:A,0))</f>
        <v>KL</v>
      </c>
      <c r="J1884" t="str">
        <f>INDEX(State!C:C,MATCH(OrdersTable[[#This Row],[State Code]],State!B:B,0))</f>
        <v>South</v>
      </c>
      <c r="K1884" t="s">
        <v>317</v>
      </c>
      <c r="L1884" t="s">
        <v>16</v>
      </c>
      <c r="M1884" t="s">
        <v>34</v>
      </c>
      <c r="N1884" t="str">
        <f>INDEX(Products!B:B,MATCH(OrdersTable[[#This Row],[Product ID]],Products!A:A,0))</f>
        <v>Flip Flops</v>
      </c>
      <c r="O1884" t="str">
        <f>INDEX(Products!C:C,MATCH(OrdersTable[[#This Row],[Product ID]],Products!A:A,0))</f>
        <v>Footwear</v>
      </c>
      <c r="P1884">
        <v>3</v>
      </c>
      <c r="Q1884" s="5">
        <v>399</v>
      </c>
      <c r="R1884" s="74">
        <v>0.15</v>
      </c>
      <c r="S1884" s="75">
        <f>OrdersTable[[#This Row],[Quantity]]*OrdersTable[[#This Row],[Unit Price]]</f>
        <v>1197</v>
      </c>
      <c r="T1884" s="5">
        <f>OrdersTable[[#This Row],[Gross Sale]]*OrdersTable[[#This Row],[Discount_Clean2]]</f>
        <v>179.54999999999998</v>
      </c>
      <c r="U1884" s="5">
        <f>OrdersTable[[#This Row],[Gross Sale]]-OrdersTable[[#This Row],[Discount Amount]]</f>
        <v>1017.45</v>
      </c>
      <c r="V1884" s="77">
        <f>INDEX(Products!E:E,MATCH(OrdersTable[[#This Row],[Product ID]],Products!A:A,0))</f>
        <v>152</v>
      </c>
      <c r="W1884" s="77">
        <f>OrdersTable[[#This Row],[Quantity]]*OrdersTable[[#This Row],[Unit Cost]]</f>
        <v>456</v>
      </c>
      <c r="X1884" s="77">
        <f>'Dropdown Lists'!$I$2*(1+OrdersTable[[#This Row],[Returned]])</f>
        <v>60</v>
      </c>
      <c r="Y1884" s="76">
        <f>OrdersTable[[#This Row],[Net Revenue]]-OrdersTable[[#This Row],[COGS]]-OrdersTable[[#This Row],[Shipping Cost]]</f>
        <v>501.45000000000005</v>
      </c>
      <c r="Z1884" s="78">
        <f>IFERROR(OrdersTable[[#This Row],[Profit]]/OrdersTable[[#This Row],[Net Revenue]],0)</f>
        <v>0.49284977148754239</v>
      </c>
      <c r="AA1884" t="s">
        <v>4074</v>
      </c>
      <c r="AB1884" s="79">
        <v>45627</v>
      </c>
      <c r="AC1884">
        <f>OrdersTable[[#This Row],[Delivery Date]]-OrdersTable[[#This Row],[Order Date]]</f>
        <v>3</v>
      </c>
      <c r="AD1884" t="str">
        <f>IF(OrdersTable[[#This Row],[Delivery Days]]&lt;=2, "Express (≤2d)", IF(OrdersTable[[#This Row],[Delivery Days]]&lt;=4, "Standard (3-4d)", "Delayed (5d+)"))</f>
        <v>Standard (3-4d)</v>
      </c>
      <c r="AE1884">
        <v>4</v>
      </c>
      <c r="AF1884">
        <v>0</v>
      </c>
    </row>
    <row r="1885" spans="1:32" ht="15" x14ac:dyDescent="0.35">
      <c r="A1885" t="s">
        <v>5693</v>
      </c>
      <c r="B1885" s="1">
        <v>45625</v>
      </c>
      <c r="C1885">
        <f>YEAR(OrdersTable[[#This Row],[Order Date]])</f>
        <v>2024</v>
      </c>
      <c r="D1885" s="2">
        <f>DATE(YEAR(OrdersTable[[#This Row],[Order Date]]),MONTH(OrdersTable[[#This Row],[Order Date]]),1)</f>
        <v>45597</v>
      </c>
      <c r="E1885">
        <f>MONTH(OrdersTable[[#This Row],[Order Date]])</f>
        <v>11</v>
      </c>
      <c r="F1885" t="s">
        <v>3086</v>
      </c>
      <c r="G1885" t="str">
        <f>IF(OrdersTable[[#This Row],[Order Date]]=_xlfn.MINIFS(Order_Date, Customer_ID, OrdersTable[[#This Row],[Customer ID]]), "New", "Repeat")</f>
        <v>New</v>
      </c>
      <c r="H1885" t="s">
        <v>54</v>
      </c>
      <c r="I1885" t="str">
        <f>INDEX(State!B:B,MATCH(OrdersTable[[#This Row],[State]],State!A:A,0))</f>
        <v>RJ</v>
      </c>
      <c r="J1885" t="str">
        <f>INDEX(State!C:C,MATCH(OrdersTable[[#This Row],[State Code]],State!B:B,0))</f>
        <v>North</v>
      </c>
      <c r="K1885" t="s">
        <v>227</v>
      </c>
      <c r="L1885" t="s">
        <v>16</v>
      </c>
      <c r="M1885" t="s">
        <v>29</v>
      </c>
      <c r="N1885" t="str">
        <f>INDEX(Products!B:B,MATCH(OrdersTable[[#This Row],[Product ID]],Products!A:A,0))</f>
        <v>Joggers</v>
      </c>
      <c r="O1885" t="str">
        <f>INDEX(Products!C:C,MATCH(OrdersTable[[#This Row],[Product ID]],Products!A:A,0))</f>
        <v>Apparel</v>
      </c>
      <c r="P1885">
        <v>2</v>
      </c>
      <c r="Q1885" s="5">
        <v>1199</v>
      </c>
      <c r="R1885" s="74">
        <v>0.3</v>
      </c>
      <c r="S1885" s="75">
        <f>OrdersTable[[#This Row],[Quantity]]*OrdersTable[[#This Row],[Unit Price]]</f>
        <v>2398</v>
      </c>
      <c r="T1885" s="5">
        <f>OrdersTable[[#This Row],[Gross Sale]]*OrdersTable[[#This Row],[Discount_Clean2]]</f>
        <v>719.4</v>
      </c>
      <c r="U1885" s="5">
        <f>OrdersTable[[#This Row],[Gross Sale]]-OrdersTable[[#This Row],[Discount Amount]]</f>
        <v>1678.6</v>
      </c>
      <c r="V1885" s="77">
        <f>INDEX(Products!E:E,MATCH(OrdersTable[[#This Row],[Product ID]],Products!A:A,0))</f>
        <v>492</v>
      </c>
      <c r="W1885" s="77">
        <f>OrdersTable[[#This Row],[Quantity]]*OrdersTable[[#This Row],[Unit Cost]]</f>
        <v>984</v>
      </c>
      <c r="X1885" s="77">
        <f>'Dropdown Lists'!$I$2*(1+OrdersTable[[#This Row],[Returned]])</f>
        <v>60</v>
      </c>
      <c r="Y1885" s="76">
        <f>OrdersTable[[#This Row],[Net Revenue]]-OrdersTable[[#This Row],[COGS]]-OrdersTable[[#This Row],[Shipping Cost]]</f>
        <v>634.59999999999991</v>
      </c>
      <c r="Z1885" s="78">
        <f>IFERROR(OrdersTable[[#This Row],[Profit]]/OrdersTable[[#This Row],[Net Revenue]],0)</f>
        <v>0.37805313952102937</v>
      </c>
      <c r="AA1885" t="s">
        <v>18</v>
      </c>
      <c r="AB1885" s="79">
        <v>45629</v>
      </c>
      <c r="AC1885">
        <f>OrdersTable[[#This Row],[Delivery Date]]-OrdersTable[[#This Row],[Order Date]]</f>
        <v>4</v>
      </c>
      <c r="AD1885" t="str">
        <f>IF(OrdersTable[[#This Row],[Delivery Days]]&lt;=2, "Express (≤2d)", IF(OrdersTable[[#This Row],[Delivery Days]]&lt;=4, "Standard (3-4d)", "Delayed (5d+)"))</f>
        <v>Standard (3-4d)</v>
      </c>
      <c r="AE1885">
        <v>3</v>
      </c>
      <c r="AF1885">
        <v>0</v>
      </c>
    </row>
    <row r="1886" spans="1:32" ht="15" x14ac:dyDescent="0.35">
      <c r="A1886" t="s">
        <v>4491</v>
      </c>
      <c r="B1886" s="1">
        <v>45625</v>
      </c>
      <c r="C1886">
        <f>YEAR(OrdersTable[[#This Row],[Order Date]])</f>
        <v>2024</v>
      </c>
      <c r="D1886" s="2">
        <f>DATE(YEAR(OrdersTable[[#This Row],[Order Date]]),MONTH(OrdersTable[[#This Row],[Order Date]]),1)</f>
        <v>45597</v>
      </c>
      <c r="E1886">
        <f>MONTH(OrdersTable[[#This Row],[Order Date]])</f>
        <v>11</v>
      </c>
      <c r="F1886" t="s">
        <v>4492</v>
      </c>
      <c r="G1886" t="str">
        <f>IF(OrdersTable[[#This Row],[Order Date]]=_xlfn.MINIFS(Order_Date, Customer_ID, OrdersTable[[#This Row],[Customer ID]]), "New", "Repeat")</f>
        <v>New</v>
      </c>
      <c r="H1886" t="s">
        <v>54</v>
      </c>
      <c r="I1886" t="str">
        <f>INDEX(State!B:B,MATCH(OrdersTable[[#This Row],[State]],State!A:A,0))</f>
        <v>RJ</v>
      </c>
      <c r="J1886" t="str">
        <f>INDEX(State!C:C,MATCH(OrdersTable[[#This Row],[State Code]],State!B:B,0))</f>
        <v>North</v>
      </c>
      <c r="K1886" t="s">
        <v>55</v>
      </c>
      <c r="L1886" t="s">
        <v>65</v>
      </c>
      <c r="M1886" t="s">
        <v>255</v>
      </c>
      <c r="N1886" t="str">
        <f>INDEX(Products!B:B,MATCH(OrdersTable[[#This Row],[Product ID]],Products!A:A,0))</f>
        <v>Cotton Oversized T-Shirt</v>
      </c>
      <c r="O1886" t="str">
        <f>INDEX(Products!C:C,MATCH(OrdersTable[[#This Row],[Product ID]],Products!A:A,0))</f>
        <v>Apparel</v>
      </c>
      <c r="P1886">
        <v>1</v>
      </c>
      <c r="Q1886" s="5">
        <v>799</v>
      </c>
      <c r="R1886" s="74">
        <v>0.2</v>
      </c>
      <c r="S1886" s="75">
        <f>OrdersTable[[#This Row],[Quantity]]*OrdersTable[[#This Row],[Unit Price]]</f>
        <v>799</v>
      </c>
      <c r="T1886" s="5">
        <f>OrdersTable[[#This Row],[Gross Sale]]*OrdersTable[[#This Row],[Discount_Clean2]]</f>
        <v>159.80000000000001</v>
      </c>
      <c r="U1886" s="5">
        <f>OrdersTable[[#This Row],[Gross Sale]]-OrdersTable[[#This Row],[Discount Amount]]</f>
        <v>639.20000000000005</v>
      </c>
      <c r="V1886" s="77">
        <f>INDEX(Products!E:E,MATCH(OrdersTable[[#This Row],[Product ID]],Products!A:A,0))</f>
        <v>320</v>
      </c>
      <c r="W1886" s="77">
        <f>OrdersTable[[#This Row],[Quantity]]*OrdersTable[[#This Row],[Unit Cost]]</f>
        <v>320</v>
      </c>
      <c r="X1886" s="77">
        <f>'Dropdown Lists'!$I$2*(1+OrdersTable[[#This Row],[Returned]])</f>
        <v>60</v>
      </c>
      <c r="Y1886" s="76">
        <f>OrdersTable[[#This Row],[Net Revenue]]-OrdersTable[[#This Row],[COGS]]-OrdersTable[[#This Row],[Shipping Cost]]</f>
        <v>259.20000000000005</v>
      </c>
      <c r="Z1886" s="78">
        <f>IFERROR(OrdersTable[[#This Row],[Profit]]/OrdersTable[[#This Row],[Net Revenue]],0)</f>
        <v>0.40550688360450565</v>
      </c>
      <c r="AA1886" t="s">
        <v>4450</v>
      </c>
      <c r="AB1886" s="79">
        <v>45631</v>
      </c>
      <c r="AC1886">
        <f>OrdersTable[[#This Row],[Delivery Date]]-OrdersTable[[#This Row],[Order Date]]</f>
        <v>6</v>
      </c>
      <c r="AD1886" t="str">
        <f>IF(OrdersTable[[#This Row],[Delivery Days]]&lt;=2, "Express (≤2d)", IF(OrdersTable[[#This Row],[Delivery Days]]&lt;=4, "Standard (3-4d)", "Delayed (5d+)"))</f>
        <v>Delayed (5d+)</v>
      </c>
      <c r="AE1886">
        <v>4</v>
      </c>
      <c r="AF1886">
        <v>0</v>
      </c>
    </row>
    <row r="1887" spans="1:32" ht="15" x14ac:dyDescent="0.35">
      <c r="A1887" t="s">
        <v>4688</v>
      </c>
      <c r="B1887" s="1">
        <v>45625</v>
      </c>
      <c r="C1887">
        <f>YEAR(OrdersTable[[#This Row],[Order Date]])</f>
        <v>2024</v>
      </c>
      <c r="D1887" s="2">
        <f>DATE(YEAR(OrdersTable[[#This Row],[Order Date]]),MONTH(OrdersTable[[#This Row],[Order Date]]),1)</f>
        <v>45597</v>
      </c>
      <c r="E1887">
        <f>MONTH(OrdersTable[[#This Row],[Order Date]])</f>
        <v>11</v>
      </c>
      <c r="F1887" t="s">
        <v>2373</v>
      </c>
      <c r="G1887" t="str">
        <f>IF(OrdersTable[[#This Row],[Order Date]]=_xlfn.MINIFS(Order_Date, Customer_ID, OrdersTable[[#This Row],[Customer ID]]), "New", "Repeat")</f>
        <v>Repeat</v>
      </c>
      <c r="H1887" t="s">
        <v>54</v>
      </c>
      <c r="I1887" t="str">
        <f>INDEX(State!B:B,MATCH(OrdersTable[[#This Row],[State]],State!A:A,0))</f>
        <v>RJ</v>
      </c>
      <c r="J1887" t="str">
        <f>INDEX(State!C:C,MATCH(OrdersTable[[#This Row],[State Code]],State!B:B,0))</f>
        <v>North</v>
      </c>
      <c r="K1887" t="s">
        <v>55</v>
      </c>
      <c r="L1887" t="s">
        <v>23</v>
      </c>
      <c r="M1887" t="s">
        <v>61</v>
      </c>
      <c r="N1887" t="str">
        <f>INDEX(Products!B:B,MATCH(OrdersTable[[#This Row],[Product ID]],Products!A:A,0))</f>
        <v>Multivitamin Gummies</v>
      </c>
      <c r="O1887" t="str">
        <f>INDEX(Products!C:C,MATCH(OrdersTable[[#This Row],[Product ID]],Products!A:A,0))</f>
        <v>Wellness</v>
      </c>
      <c r="P1887">
        <v>1</v>
      </c>
      <c r="Q1887" s="5">
        <v>699</v>
      </c>
      <c r="R1887" s="74">
        <v>0.2</v>
      </c>
      <c r="S1887" s="75">
        <f>OrdersTable[[#This Row],[Quantity]]*OrdersTable[[#This Row],[Unit Price]]</f>
        <v>699</v>
      </c>
      <c r="T1887" s="5">
        <f>OrdersTable[[#This Row],[Gross Sale]]*OrdersTable[[#This Row],[Discount_Clean2]]</f>
        <v>139.80000000000001</v>
      </c>
      <c r="U1887" s="5">
        <f>OrdersTable[[#This Row],[Gross Sale]]-OrdersTable[[#This Row],[Discount Amount]]</f>
        <v>559.20000000000005</v>
      </c>
      <c r="V1887" s="77">
        <f>INDEX(Products!E:E,MATCH(OrdersTable[[#This Row],[Product ID]],Products!A:A,0))</f>
        <v>238</v>
      </c>
      <c r="W1887" s="77">
        <f>OrdersTable[[#This Row],[Quantity]]*OrdersTable[[#This Row],[Unit Cost]]</f>
        <v>238</v>
      </c>
      <c r="X1887" s="77">
        <f>'Dropdown Lists'!$I$2*(1+OrdersTable[[#This Row],[Returned]])</f>
        <v>60</v>
      </c>
      <c r="Y1887" s="76">
        <f>OrdersTable[[#This Row],[Net Revenue]]-OrdersTable[[#This Row],[COGS]]-OrdersTable[[#This Row],[Shipping Cost]]</f>
        <v>261.20000000000005</v>
      </c>
      <c r="Z1887" s="78">
        <f>IFERROR(OrdersTable[[#This Row],[Profit]]/OrdersTable[[#This Row],[Net Revenue]],0)</f>
        <v>0.46709585121602293</v>
      </c>
      <c r="AA1887" t="s">
        <v>4450</v>
      </c>
      <c r="AB1887" s="79">
        <v>45629</v>
      </c>
      <c r="AC1887">
        <f>OrdersTable[[#This Row],[Delivery Date]]-OrdersTable[[#This Row],[Order Date]]</f>
        <v>4</v>
      </c>
      <c r="AD1887" t="str">
        <f>IF(OrdersTable[[#This Row],[Delivery Days]]&lt;=2, "Express (≤2d)", IF(OrdersTable[[#This Row],[Delivery Days]]&lt;=4, "Standard (3-4d)", "Delayed (5d+)"))</f>
        <v>Standard (3-4d)</v>
      </c>
      <c r="AE1887">
        <v>5</v>
      </c>
      <c r="AF1887">
        <v>0</v>
      </c>
    </row>
    <row r="1888" spans="1:32" ht="15" x14ac:dyDescent="0.35">
      <c r="A1888" t="s">
        <v>1517</v>
      </c>
      <c r="B1888" s="1">
        <v>45625</v>
      </c>
      <c r="C1888">
        <f>YEAR(OrdersTable[[#This Row],[Order Date]])</f>
        <v>2024</v>
      </c>
      <c r="D1888" s="2">
        <f>DATE(YEAR(OrdersTable[[#This Row],[Order Date]]),MONTH(OrdersTable[[#This Row],[Order Date]]),1)</f>
        <v>45597</v>
      </c>
      <c r="E1888">
        <f>MONTH(OrdersTable[[#This Row],[Order Date]])</f>
        <v>11</v>
      </c>
      <c r="F1888" t="s">
        <v>1518</v>
      </c>
      <c r="G1888" t="str">
        <f>IF(OrdersTable[[#This Row],[Order Date]]=_xlfn.MINIFS(Order_Date, Customer_ID, OrdersTable[[#This Row],[Customer ID]]), "New", "Repeat")</f>
        <v>New</v>
      </c>
      <c r="H1888" t="s">
        <v>54</v>
      </c>
      <c r="I1888" t="str">
        <f>INDEX(State!B:B,MATCH(OrdersTable[[#This Row],[State]],State!A:A,0))</f>
        <v>RJ</v>
      </c>
      <c r="J1888" t="str">
        <f>INDEX(State!C:C,MATCH(OrdersTable[[#This Row],[State Code]],State!B:B,0))</f>
        <v>North</v>
      </c>
      <c r="K1888" t="s">
        <v>55</v>
      </c>
      <c r="L1888" t="s">
        <v>39</v>
      </c>
      <c r="M1888" t="s">
        <v>61</v>
      </c>
      <c r="N1888" t="str">
        <f>INDEX(Products!B:B,MATCH(OrdersTable[[#This Row],[Product ID]],Products!A:A,0))</f>
        <v>Multivitamin Gummies</v>
      </c>
      <c r="O1888" t="str">
        <f>INDEX(Products!C:C,MATCH(OrdersTable[[#This Row],[Product ID]],Products!A:A,0))</f>
        <v>Wellness</v>
      </c>
      <c r="P1888">
        <v>1</v>
      </c>
      <c r="Q1888" s="5">
        <v>699</v>
      </c>
      <c r="R1888" s="74">
        <v>0.25</v>
      </c>
      <c r="S1888" s="75">
        <f>OrdersTable[[#This Row],[Quantity]]*OrdersTable[[#This Row],[Unit Price]]</f>
        <v>699</v>
      </c>
      <c r="T1888" s="5">
        <f>OrdersTable[[#This Row],[Gross Sale]]*OrdersTable[[#This Row],[Discount_Clean2]]</f>
        <v>174.75</v>
      </c>
      <c r="U1888" s="5">
        <f>OrdersTable[[#This Row],[Gross Sale]]-OrdersTable[[#This Row],[Discount Amount]]</f>
        <v>524.25</v>
      </c>
      <c r="V1888" s="77">
        <f>INDEX(Products!E:E,MATCH(OrdersTable[[#This Row],[Product ID]],Products!A:A,0))</f>
        <v>238</v>
      </c>
      <c r="W1888" s="77">
        <f>OrdersTable[[#This Row],[Quantity]]*OrdersTable[[#This Row],[Unit Cost]]</f>
        <v>238</v>
      </c>
      <c r="X1888" s="77">
        <f>'Dropdown Lists'!$I$2*(1+OrdersTable[[#This Row],[Returned]])</f>
        <v>60</v>
      </c>
      <c r="Y1888" s="76">
        <f>OrdersTable[[#This Row],[Net Revenue]]-OrdersTable[[#This Row],[COGS]]-OrdersTable[[#This Row],[Shipping Cost]]</f>
        <v>226.25</v>
      </c>
      <c r="Z1888" s="78">
        <f>IFERROR(OrdersTable[[#This Row],[Profit]]/OrdersTable[[#This Row],[Net Revenue]],0)</f>
        <v>0.43156890796375774</v>
      </c>
      <c r="AA1888" t="s">
        <v>18</v>
      </c>
      <c r="AB1888" s="79">
        <v>45629</v>
      </c>
      <c r="AC1888">
        <f>OrdersTable[[#This Row],[Delivery Date]]-OrdersTable[[#This Row],[Order Date]]</f>
        <v>4</v>
      </c>
      <c r="AD1888" t="str">
        <f>IF(OrdersTable[[#This Row],[Delivery Days]]&lt;=2, "Express (≤2d)", IF(OrdersTable[[#This Row],[Delivery Days]]&lt;=4, "Standard (3-4d)", "Delayed (5d+)"))</f>
        <v>Standard (3-4d)</v>
      </c>
      <c r="AF1888">
        <v>0</v>
      </c>
    </row>
    <row r="1889" spans="1:32" ht="15" x14ac:dyDescent="0.35">
      <c r="A1889" t="s">
        <v>5694</v>
      </c>
      <c r="B1889" s="1">
        <v>45625</v>
      </c>
      <c r="C1889">
        <f>YEAR(OrdersTable[[#This Row],[Order Date]])</f>
        <v>2024</v>
      </c>
      <c r="D1889" s="2">
        <f>DATE(YEAR(OrdersTable[[#This Row],[Order Date]]),MONTH(OrdersTable[[#This Row],[Order Date]]),1)</f>
        <v>45597</v>
      </c>
      <c r="E1889">
        <f>MONTH(OrdersTable[[#This Row],[Order Date]])</f>
        <v>11</v>
      </c>
      <c r="F1889" t="s">
        <v>321</v>
      </c>
      <c r="G1889" t="str">
        <f>IF(OrdersTable[[#This Row],[Order Date]]=_xlfn.MINIFS(Order_Date, Customer_ID, OrdersTable[[#This Row],[Customer ID]]), "New", "Repeat")</f>
        <v>Repeat</v>
      </c>
      <c r="H1889" t="s">
        <v>128</v>
      </c>
      <c r="I1889" t="str">
        <f>INDEX(State!B:B,MATCH(OrdersTable[[#This Row],[State]],State!A:A,0))</f>
        <v>DL</v>
      </c>
      <c r="J1889" t="str">
        <f>INDEX(State!C:C,MATCH(OrdersTable[[#This Row],[State Code]],State!B:B,0))</f>
        <v>North</v>
      </c>
      <c r="K1889" t="s">
        <v>129</v>
      </c>
      <c r="L1889" t="s">
        <v>65</v>
      </c>
      <c r="M1889" t="s">
        <v>24</v>
      </c>
      <c r="N1889" t="str">
        <f>INDEX(Products!B:B,MATCH(OrdersTable[[#This Row],[Product ID]],Products!A:A,0))</f>
        <v>Scented Candle Set</v>
      </c>
      <c r="O1889" t="str">
        <f>INDEX(Products!C:C,MATCH(OrdersTable[[#This Row],[Product ID]],Products!A:A,0))</f>
        <v>Home &amp; Kitchen</v>
      </c>
      <c r="P1889">
        <v>2</v>
      </c>
      <c r="Q1889" s="5">
        <v>699</v>
      </c>
      <c r="R1889" s="74">
        <v>0.5</v>
      </c>
      <c r="S1889" s="75">
        <f>OrdersTable[[#This Row],[Quantity]]*OrdersTable[[#This Row],[Unit Price]]</f>
        <v>1398</v>
      </c>
      <c r="T1889" s="5">
        <f>OrdersTable[[#This Row],[Gross Sale]]*OrdersTable[[#This Row],[Discount_Clean2]]</f>
        <v>699</v>
      </c>
      <c r="U1889" s="5">
        <f>OrdersTable[[#This Row],[Gross Sale]]-OrdersTable[[#This Row],[Discount Amount]]</f>
        <v>699</v>
      </c>
      <c r="V1889" s="77">
        <f>INDEX(Products!E:E,MATCH(OrdersTable[[#This Row],[Product ID]],Products!A:A,0))</f>
        <v>245</v>
      </c>
      <c r="W1889" s="77">
        <f>OrdersTable[[#This Row],[Quantity]]*OrdersTable[[#This Row],[Unit Cost]]</f>
        <v>490</v>
      </c>
      <c r="X1889" s="77">
        <f>'Dropdown Lists'!$I$2*(1+OrdersTable[[#This Row],[Returned]])</f>
        <v>60</v>
      </c>
      <c r="Y1889" s="76">
        <f>OrdersTable[[#This Row],[Net Revenue]]-OrdersTable[[#This Row],[COGS]]-OrdersTable[[#This Row],[Shipping Cost]]</f>
        <v>149</v>
      </c>
      <c r="Z1889" s="78">
        <f>IFERROR(OrdersTable[[#This Row],[Profit]]/OrdersTable[[#This Row],[Net Revenue]],0)</f>
        <v>0.21316165951359084</v>
      </c>
      <c r="AA1889" t="s">
        <v>18</v>
      </c>
      <c r="AB1889" s="79">
        <v>45628</v>
      </c>
      <c r="AC1889">
        <f>OrdersTable[[#This Row],[Delivery Date]]-OrdersTable[[#This Row],[Order Date]]</f>
        <v>3</v>
      </c>
      <c r="AD1889" t="str">
        <f>IF(OrdersTable[[#This Row],[Delivery Days]]&lt;=2, "Express (≤2d)", IF(OrdersTable[[#This Row],[Delivery Days]]&lt;=4, "Standard (3-4d)", "Delayed (5d+)"))</f>
        <v>Standard (3-4d)</v>
      </c>
      <c r="AE1889">
        <v>3</v>
      </c>
      <c r="AF1889">
        <v>0</v>
      </c>
    </row>
    <row r="1890" spans="1:32" ht="15" x14ac:dyDescent="0.35">
      <c r="A1890" t="s">
        <v>1242</v>
      </c>
      <c r="B1890" s="1">
        <v>45625</v>
      </c>
      <c r="C1890">
        <f>YEAR(OrdersTable[[#This Row],[Order Date]])</f>
        <v>2024</v>
      </c>
      <c r="D1890" s="2">
        <f>DATE(YEAR(OrdersTable[[#This Row],[Order Date]]),MONTH(OrdersTable[[#This Row],[Order Date]]),1)</f>
        <v>45597</v>
      </c>
      <c r="E1890">
        <f>MONTH(OrdersTable[[#This Row],[Order Date]])</f>
        <v>11</v>
      </c>
      <c r="F1890" t="s">
        <v>1243</v>
      </c>
      <c r="G1890" t="str">
        <f>IF(OrdersTable[[#This Row],[Order Date]]=_xlfn.MINIFS(Order_Date, Customer_ID, OrdersTable[[#This Row],[Customer ID]]), "New", "Repeat")</f>
        <v>New</v>
      </c>
      <c r="H1890" t="s">
        <v>128</v>
      </c>
      <c r="I1890" t="str">
        <f>INDEX(State!B:B,MATCH(OrdersTable[[#This Row],[State]],State!A:A,0))</f>
        <v>DL</v>
      </c>
      <c r="J1890" t="str">
        <f>INDEX(State!C:C,MATCH(OrdersTable[[#This Row],[State Code]],State!B:B,0))</f>
        <v>North</v>
      </c>
      <c r="K1890" t="s">
        <v>129</v>
      </c>
      <c r="L1890" t="s">
        <v>16</v>
      </c>
      <c r="M1890" t="s">
        <v>255</v>
      </c>
      <c r="N1890" t="str">
        <f>INDEX(Products!B:B,MATCH(OrdersTable[[#This Row],[Product ID]],Products!A:A,0))</f>
        <v>Cotton Oversized T-Shirt</v>
      </c>
      <c r="O1890" t="str">
        <f>INDEX(Products!C:C,MATCH(OrdersTable[[#This Row],[Product ID]],Products!A:A,0))</f>
        <v>Apparel</v>
      </c>
      <c r="P1890">
        <v>1</v>
      </c>
      <c r="Q1890" s="5">
        <v>799</v>
      </c>
      <c r="R1890" s="74">
        <v>0.05</v>
      </c>
      <c r="S1890" s="75">
        <f>OrdersTable[[#This Row],[Quantity]]*OrdersTable[[#This Row],[Unit Price]]</f>
        <v>799</v>
      </c>
      <c r="T1890" s="5">
        <f>OrdersTable[[#This Row],[Gross Sale]]*OrdersTable[[#This Row],[Discount_Clean2]]</f>
        <v>39.950000000000003</v>
      </c>
      <c r="U1890" s="5">
        <f>OrdersTable[[#This Row],[Gross Sale]]-OrdersTable[[#This Row],[Discount Amount]]</f>
        <v>759.05</v>
      </c>
      <c r="V1890" s="77">
        <f>INDEX(Products!E:E,MATCH(OrdersTable[[#This Row],[Product ID]],Products!A:A,0))</f>
        <v>320</v>
      </c>
      <c r="W1890" s="77">
        <f>OrdersTable[[#This Row],[Quantity]]*OrdersTable[[#This Row],[Unit Cost]]</f>
        <v>320</v>
      </c>
      <c r="X1890" s="77">
        <f>'Dropdown Lists'!$I$2*(1+OrdersTable[[#This Row],[Returned]])</f>
        <v>60</v>
      </c>
      <c r="Y1890" s="76">
        <f>OrdersTable[[#This Row],[Net Revenue]]-OrdersTable[[#This Row],[COGS]]-OrdersTable[[#This Row],[Shipping Cost]]</f>
        <v>379.04999999999995</v>
      </c>
      <c r="Z1890" s="78">
        <f>IFERROR(OrdersTable[[#This Row],[Profit]]/OrdersTable[[#This Row],[Net Revenue]],0)</f>
        <v>0.49937421777221525</v>
      </c>
      <c r="AA1890" t="s">
        <v>18</v>
      </c>
      <c r="AB1890" s="79">
        <v>45626</v>
      </c>
      <c r="AC1890">
        <f>OrdersTable[[#This Row],[Delivery Date]]-OrdersTable[[#This Row],[Order Date]]</f>
        <v>1</v>
      </c>
      <c r="AD1890" t="str">
        <f>IF(OrdersTable[[#This Row],[Delivery Days]]&lt;=2, "Express (≤2d)", IF(OrdersTable[[#This Row],[Delivery Days]]&lt;=4, "Standard (3-4d)", "Delayed (5d+)"))</f>
        <v>Express (≤2d)</v>
      </c>
      <c r="AF1890">
        <v>0</v>
      </c>
    </row>
    <row r="1891" spans="1:32" ht="15" x14ac:dyDescent="0.35">
      <c r="A1891" t="s">
        <v>4810</v>
      </c>
      <c r="B1891" s="1">
        <v>45625</v>
      </c>
      <c r="C1891">
        <f>YEAR(OrdersTable[[#This Row],[Order Date]])</f>
        <v>2024</v>
      </c>
      <c r="D1891" s="2">
        <f>DATE(YEAR(OrdersTable[[#This Row],[Order Date]]),MONTH(OrdersTable[[#This Row],[Order Date]]),1)</f>
        <v>45597</v>
      </c>
      <c r="E1891">
        <f>MONTH(OrdersTable[[#This Row],[Order Date]])</f>
        <v>11</v>
      </c>
      <c r="F1891" t="s">
        <v>974</v>
      </c>
      <c r="G1891" t="str">
        <f>IF(OrdersTable[[#This Row],[Order Date]]=_xlfn.MINIFS(Order_Date, Customer_ID, OrdersTable[[#This Row],[Customer ID]]), "New", "Repeat")</f>
        <v>Repeat</v>
      </c>
      <c r="H1891" t="s">
        <v>43</v>
      </c>
      <c r="I1891" t="str">
        <f>INDEX(State!B:B,MATCH(OrdersTable[[#This Row],[State]],State!A:A,0))</f>
        <v>MP</v>
      </c>
      <c r="J1891" t="str">
        <f>INDEX(State!C:C,MATCH(OrdersTable[[#This Row],[State Code]],State!B:B,0))</f>
        <v>West</v>
      </c>
      <c r="K1891" t="s">
        <v>250</v>
      </c>
      <c r="L1891" t="s">
        <v>16</v>
      </c>
      <c r="M1891" t="s">
        <v>17</v>
      </c>
      <c r="N1891" t="str">
        <f>INDEX(Products!B:B,MATCH(OrdersTable[[#This Row],[Product ID]],Products!A:A,0))</f>
        <v>Casual Sneakers</v>
      </c>
      <c r="O1891" t="str">
        <f>INDEX(Products!C:C,MATCH(OrdersTable[[#This Row],[Product ID]],Products!A:A,0))</f>
        <v>Footwear</v>
      </c>
      <c r="P1891">
        <v>2</v>
      </c>
      <c r="Q1891" s="5">
        <v>2199</v>
      </c>
      <c r="R1891" s="74">
        <v>0.35</v>
      </c>
      <c r="S1891" s="75">
        <f>OrdersTable[[#This Row],[Quantity]]*OrdersTable[[#This Row],[Unit Price]]</f>
        <v>4398</v>
      </c>
      <c r="T1891" s="5">
        <f>OrdersTable[[#This Row],[Gross Sale]]*OrdersTable[[#This Row],[Discount_Clean2]]</f>
        <v>1539.3</v>
      </c>
      <c r="U1891" s="5">
        <f>OrdersTable[[#This Row],[Gross Sale]]-OrdersTable[[#This Row],[Discount Amount]]</f>
        <v>2858.7</v>
      </c>
      <c r="V1891" s="77">
        <f>INDEX(Products!E:E,MATCH(OrdersTable[[#This Row],[Product ID]],Products!A:A,0))</f>
        <v>1034</v>
      </c>
      <c r="W1891" s="77">
        <f>OrdersTable[[#This Row],[Quantity]]*OrdersTable[[#This Row],[Unit Cost]]</f>
        <v>2068</v>
      </c>
      <c r="X1891" s="77">
        <f>'Dropdown Lists'!$I$2*(1+OrdersTable[[#This Row],[Returned]])</f>
        <v>60</v>
      </c>
      <c r="Y1891" s="76">
        <f>OrdersTable[[#This Row],[Net Revenue]]-OrdersTable[[#This Row],[COGS]]-OrdersTable[[#This Row],[Shipping Cost]]</f>
        <v>730.69999999999982</v>
      </c>
      <c r="Z1891" s="78">
        <f>IFERROR(OrdersTable[[#This Row],[Profit]]/OrdersTable[[#This Row],[Net Revenue]],0)</f>
        <v>0.25560569489628149</v>
      </c>
      <c r="AA1891" t="s">
        <v>4450</v>
      </c>
      <c r="AB1891" s="79">
        <v>45628</v>
      </c>
      <c r="AC1891">
        <f>OrdersTable[[#This Row],[Delivery Date]]-OrdersTable[[#This Row],[Order Date]]</f>
        <v>3</v>
      </c>
      <c r="AD1891" t="str">
        <f>IF(OrdersTable[[#This Row],[Delivery Days]]&lt;=2, "Express (≤2d)", IF(OrdersTable[[#This Row],[Delivery Days]]&lt;=4, "Standard (3-4d)", "Delayed (5d+)"))</f>
        <v>Standard (3-4d)</v>
      </c>
      <c r="AF1891">
        <v>0</v>
      </c>
    </row>
    <row r="1892" spans="1:32" ht="15" x14ac:dyDescent="0.35">
      <c r="A1892" t="s">
        <v>4953</v>
      </c>
      <c r="B1892" s="1">
        <v>45625</v>
      </c>
      <c r="C1892">
        <f>YEAR(OrdersTable[[#This Row],[Order Date]])</f>
        <v>2024</v>
      </c>
      <c r="D1892" s="2">
        <f>DATE(YEAR(OrdersTable[[#This Row],[Order Date]]),MONTH(OrdersTable[[#This Row],[Order Date]]),1)</f>
        <v>45597</v>
      </c>
      <c r="E1892">
        <f>MONTH(OrdersTable[[#This Row],[Order Date]])</f>
        <v>11</v>
      </c>
      <c r="F1892" t="s">
        <v>4954</v>
      </c>
      <c r="G1892" t="str">
        <f>IF(OrdersTable[[#This Row],[Order Date]]=_xlfn.MINIFS(Order_Date, Customer_ID, OrdersTable[[#This Row],[Customer ID]]), "New", "Repeat")</f>
        <v>New</v>
      </c>
      <c r="H1892" t="s">
        <v>71</v>
      </c>
      <c r="I1892" t="str">
        <f>INDEX(State!B:B,MATCH(OrdersTable[[#This Row],[State]],State!A:A,0))</f>
        <v>MH</v>
      </c>
      <c r="J1892" t="str">
        <f>INDEX(State!C:C,MATCH(OrdersTable[[#This Row],[State Code]],State!B:B,0))</f>
        <v>West</v>
      </c>
      <c r="K1892" t="s">
        <v>81</v>
      </c>
      <c r="L1892" t="s">
        <v>65</v>
      </c>
      <c r="M1892" t="s">
        <v>152</v>
      </c>
      <c r="N1892" t="str">
        <f>INDEX(Products!B:B,MATCH(OrdersTable[[#This Row],[Product ID]],Products!A:A,0))</f>
        <v>Green Tea (100 bags)</v>
      </c>
      <c r="O1892" t="str">
        <f>INDEX(Products!C:C,MATCH(OrdersTable[[#This Row],[Product ID]],Products!A:A,0))</f>
        <v>Wellness</v>
      </c>
      <c r="P1892">
        <v>2</v>
      </c>
      <c r="Q1892" s="5">
        <v>399</v>
      </c>
      <c r="R1892" s="74">
        <v>0.55000000000000004</v>
      </c>
      <c r="S1892" s="75">
        <f>OrdersTable[[#This Row],[Quantity]]*OrdersTable[[#This Row],[Unit Price]]</f>
        <v>798</v>
      </c>
      <c r="T1892" s="5">
        <f>OrdersTable[[#This Row],[Gross Sale]]*OrdersTable[[#This Row],[Discount_Clean2]]</f>
        <v>438.90000000000003</v>
      </c>
      <c r="U1892" s="5">
        <f>OrdersTable[[#This Row],[Gross Sale]]-OrdersTable[[#This Row],[Discount Amount]]</f>
        <v>359.09999999999997</v>
      </c>
      <c r="V1892" s="77">
        <f>INDEX(Products!E:E,MATCH(OrdersTable[[#This Row],[Product ID]],Products!A:A,0))</f>
        <v>128</v>
      </c>
      <c r="W1892" s="77">
        <f>OrdersTable[[#This Row],[Quantity]]*OrdersTable[[#This Row],[Unit Cost]]</f>
        <v>256</v>
      </c>
      <c r="X1892" s="77">
        <f>'Dropdown Lists'!$I$2*(1+OrdersTable[[#This Row],[Returned]])</f>
        <v>60</v>
      </c>
      <c r="Y1892" s="76">
        <f>OrdersTable[[#This Row],[Net Revenue]]-OrdersTable[[#This Row],[COGS]]-OrdersTable[[#This Row],[Shipping Cost]]</f>
        <v>43.099999999999966</v>
      </c>
      <c r="Z1892" s="78">
        <f>IFERROR(OrdersTable[[#This Row],[Profit]]/OrdersTable[[#This Row],[Net Revenue]],0)</f>
        <v>0.12002227791701467</v>
      </c>
      <c r="AA1892" t="s">
        <v>4074</v>
      </c>
      <c r="AB1892" s="79">
        <v>45627</v>
      </c>
      <c r="AC1892">
        <f>OrdersTable[[#This Row],[Delivery Date]]-OrdersTable[[#This Row],[Order Date]]</f>
        <v>2</v>
      </c>
      <c r="AD1892" t="str">
        <f>IF(OrdersTable[[#This Row],[Delivery Days]]&lt;=2, "Express (≤2d)", IF(OrdersTable[[#This Row],[Delivery Days]]&lt;=4, "Standard (3-4d)", "Delayed (5d+)"))</f>
        <v>Express (≤2d)</v>
      </c>
      <c r="AF1892">
        <v>0</v>
      </c>
    </row>
    <row r="1893" spans="1:32" ht="15" x14ac:dyDescent="0.35">
      <c r="A1893" t="s">
        <v>537</v>
      </c>
      <c r="B1893" s="1">
        <v>45625</v>
      </c>
      <c r="C1893">
        <f>YEAR(OrdersTable[[#This Row],[Order Date]])</f>
        <v>2024</v>
      </c>
      <c r="D1893" s="2">
        <f>DATE(YEAR(OrdersTable[[#This Row],[Order Date]]),MONTH(OrdersTable[[#This Row],[Order Date]]),1)</f>
        <v>45597</v>
      </c>
      <c r="E1893">
        <f>MONTH(OrdersTable[[#This Row],[Order Date]])</f>
        <v>11</v>
      </c>
      <c r="F1893" t="s">
        <v>234</v>
      </c>
      <c r="G1893" t="str">
        <f>IF(OrdersTable[[#This Row],[Order Date]]=_xlfn.MINIFS(Order_Date, Customer_ID, OrdersTable[[#This Row],[Customer ID]]), "New", "Repeat")</f>
        <v>Repeat</v>
      </c>
      <c r="H1893" t="s">
        <v>71</v>
      </c>
      <c r="I1893" t="str">
        <f>INDEX(State!B:B,MATCH(OrdersTable[[#This Row],[State]],State!A:A,0))</f>
        <v>MH</v>
      </c>
      <c r="J1893" t="str">
        <f>INDEX(State!C:C,MATCH(OrdersTable[[#This Row],[State Code]],State!B:B,0))</f>
        <v>West</v>
      </c>
      <c r="K1893" t="s">
        <v>102</v>
      </c>
      <c r="L1893" t="s">
        <v>65</v>
      </c>
      <c r="M1893" t="s">
        <v>92</v>
      </c>
      <c r="N1893" t="str">
        <f>INDEX(Products!B:B,MATCH(OrdersTable[[#This Row],[Product ID]],Products!A:A,0))</f>
        <v>Kolhapuri Sandals</v>
      </c>
      <c r="O1893" t="str">
        <f>INDEX(Products!C:C,MATCH(OrdersTable[[#This Row],[Product ID]],Products!A:A,0))</f>
        <v>Footwear</v>
      </c>
      <c r="P1893">
        <v>1</v>
      </c>
      <c r="Q1893" s="5">
        <v>999</v>
      </c>
      <c r="R1893" s="74">
        <v>0.3</v>
      </c>
      <c r="S1893" s="75">
        <f>OrdersTable[[#This Row],[Quantity]]*OrdersTable[[#This Row],[Unit Price]]</f>
        <v>999</v>
      </c>
      <c r="T1893" s="5">
        <f>OrdersTable[[#This Row],[Gross Sale]]*OrdersTable[[#This Row],[Discount_Clean2]]</f>
        <v>299.7</v>
      </c>
      <c r="U1893" s="5">
        <f>OrdersTable[[#This Row],[Gross Sale]]-OrdersTable[[#This Row],[Discount Amount]]</f>
        <v>699.3</v>
      </c>
      <c r="V1893" s="77">
        <f>INDEX(Products!E:E,MATCH(OrdersTable[[#This Row],[Product ID]],Products!A:A,0))</f>
        <v>400</v>
      </c>
      <c r="W1893" s="77">
        <f>OrdersTable[[#This Row],[Quantity]]*OrdersTable[[#This Row],[Unit Cost]]</f>
        <v>400</v>
      </c>
      <c r="X1893" s="77">
        <f>'Dropdown Lists'!$I$2*(1+OrdersTable[[#This Row],[Returned]])</f>
        <v>60</v>
      </c>
      <c r="Y1893" s="76">
        <f>OrdersTable[[#This Row],[Net Revenue]]-OrdersTable[[#This Row],[COGS]]-OrdersTable[[#This Row],[Shipping Cost]]</f>
        <v>239.29999999999995</v>
      </c>
      <c r="Z1893" s="78">
        <f>IFERROR(OrdersTable[[#This Row],[Profit]]/OrdersTable[[#This Row],[Net Revenue]],0)</f>
        <v>0.34219934219934217</v>
      </c>
      <c r="AA1893" t="s">
        <v>18</v>
      </c>
      <c r="AB1893" s="79">
        <v>45629</v>
      </c>
      <c r="AC1893">
        <f>OrdersTable[[#This Row],[Delivery Date]]-OrdersTable[[#This Row],[Order Date]]</f>
        <v>4</v>
      </c>
      <c r="AD1893" t="str">
        <f>IF(OrdersTable[[#This Row],[Delivery Days]]&lt;=2, "Express (≤2d)", IF(OrdersTable[[#This Row],[Delivery Days]]&lt;=4, "Standard (3-4d)", "Delayed (5d+)"))</f>
        <v>Standard (3-4d)</v>
      </c>
      <c r="AE1893">
        <v>4</v>
      </c>
      <c r="AF1893">
        <v>0</v>
      </c>
    </row>
    <row r="1894" spans="1:32" ht="15" x14ac:dyDescent="0.35">
      <c r="A1894" t="s">
        <v>4955</v>
      </c>
      <c r="B1894" s="1">
        <v>45625</v>
      </c>
      <c r="C1894">
        <f>YEAR(OrdersTable[[#This Row],[Order Date]])</f>
        <v>2024</v>
      </c>
      <c r="D1894" s="2">
        <f>DATE(YEAR(OrdersTable[[#This Row],[Order Date]]),MONTH(OrdersTable[[#This Row],[Order Date]]),1)</f>
        <v>45597</v>
      </c>
      <c r="E1894">
        <f>MONTH(OrdersTable[[#This Row],[Order Date]])</f>
        <v>11</v>
      </c>
      <c r="F1894" t="s">
        <v>4956</v>
      </c>
      <c r="G1894" t="str">
        <f>IF(OrdersTable[[#This Row],[Order Date]]=_xlfn.MINIFS(Order_Date, Customer_ID, OrdersTable[[#This Row],[Customer ID]]), "New", "Repeat")</f>
        <v>New</v>
      </c>
      <c r="H1894" t="s">
        <v>167</v>
      </c>
      <c r="I1894" t="str">
        <f>INDEX(State!B:B,MATCH(OrdersTable[[#This Row],[State]],State!A:A,0))</f>
        <v>KA</v>
      </c>
      <c r="J1894" t="str">
        <f>INDEX(State!C:C,MATCH(OrdersTable[[#This Row],[State Code]],State!B:B,0))</f>
        <v>South</v>
      </c>
      <c r="K1894" t="s">
        <v>190</v>
      </c>
      <c r="L1894" t="s">
        <v>65</v>
      </c>
      <c r="M1894" t="s">
        <v>109</v>
      </c>
      <c r="N1894" t="str">
        <f>INDEX(Products!B:B,MATCH(OrdersTable[[#This Row],[Product ID]],Products!A:A,0))</f>
        <v>Onion Hair Oil</v>
      </c>
      <c r="O1894" t="str">
        <f>INDEX(Products!C:C,MATCH(OrdersTable[[#This Row],[Product ID]],Products!A:A,0))</f>
        <v>Haircare</v>
      </c>
      <c r="P1894">
        <v>2</v>
      </c>
      <c r="Q1894" s="5">
        <v>349</v>
      </c>
      <c r="R1894" s="74">
        <v>0.5</v>
      </c>
      <c r="S1894" s="75">
        <f>OrdersTable[[#This Row],[Quantity]]*OrdersTable[[#This Row],[Unit Price]]</f>
        <v>698</v>
      </c>
      <c r="T1894" s="5">
        <f>OrdersTable[[#This Row],[Gross Sale]]*OrdersTable[[#This Row],[Discount_Clean2]]</f>
        <v>349</v>
      </c>
      <c r="U1894" s="5">
        <f>OrdersTable[[#This Row],[Gross Sale]]-OrdersTable[[#This Row],[Discount Amount]]</f>
        <v>349</v>
      </c>
      <c r="V1894" s="77">
        <f>INDEX(Products!E:E,MATCH(OrdersTable[[#This Row],[Product ID]],Products!A:A,0))</f>
        <v>105</v>
      </c>
      <c r="W1894" s="77">
        <f>OrdersTable[[#This Row],[Quantity]]*OrdersTable[[#This Row],[Unit Cost]]</f>
        <v>210</v>
      </c>
      <c r="X1894" s="77">
        <f>'Dropdown Lists'!$I$2*(1+OrdersTable[[#This Row],[Returned]])</f>
        <v>60</v>
      </c>
      <c r="Y1894" s="76">
        <f>OrdersTable[[#This Row],[Net Revenue]]-OrdersTable[[#This Row],[COGS]]-OrdersTable[[#This Row],[Shipping Cost]]</f>
        <v>79</v>
      </c>
      <c r="Z1894" s="78">
        <f>IFERROR(OrdersTable[[#This Row],[Profit]]/OrdersTable[[#This Row],[Net Revenue]],0)</f>
        <v>0.22636103151862463</v>
      </c>
      <c r="AA1894" t="s">
        <v>4074</v>
      </c>
      <c r="AB1894" s="79">
        <v>45629</v>
      </c>
      <c r="AC1894">
        <f>OrdersTable[[#This Row],[Delivery Date]]-OrdersTable[[#This Row],[Order Date]]</f>
        <v>4</v>
      </c>
      <c r="AD1894" t="str">
        <f>IF(OrdersTable[[#This Row],[Delivery Days]]&lt;=2, "Express (≤2d)", IF(OrdersTable[[#This Row],[Delivery Days]]&lt;=4, "Standard (3-4d)", "Delayed (5d+)"))</f>
        <v>Standard (3-4d)</v>
      </c>
      <c r="AF1894">
        <v>0</v>
      </c>
    </row>
    <row r="1895" spans="1:32" ht="15" x14ac:dyDescent="0.35">
      <c r="A1895" t="s">
        <v>1244</v>
      </c>
      <c r="B1895" s="1">
        <v>45625</v>
      </c>
      <c r="C1895">
        <f>YEAR(OrdersTable[[#This Row],[Order Date]])</f>
        <v>2024</v>
      </c>
      <c r="D1895" s="2">
        <f>DATE(YEAR(OrdersTable[[#This Row],[Order Date]]),MONTH(OrdersTable[[#This Row],[Order Date]]),1)</f>
        <v>45597</v>
      </c>
      <c r="E1895">
        <f>MONTH(OrdersTable[[#This Row],[Order Date]])</f>
        <v>11</v>
      </c>
      <c r="F1895" t="s">
        <v>1245</v>
      </c>
      <c r="G1895" t="str">
        <f>IF(OrdersTable[[#This Row],[Order Date]]=_xlfn.MINIFS(Order_Date, Customer_ID, OrdersTable[[#This Row],[Customer ID]]), "New", "Repeat")</f>
        <v>New</v>
      </c>
      <c r="H1895" t="s">
        <v>167</v>
      </c>
      <c r="I1895" t="str">
        <f>INDEX(State!B:B,MATCH(OrdersTable[[#This Row],[State]],State!A:A,0))</f>
        <v>KA</v>
      </c>
      <c r="J1895" t="str">
        <f>INDEX(State!C:C,MATCH(OrdersTable[[#This Row],[State Code]],State!B:B,0))</f>
        <v>South</v>
      </c>
      <c r="K1895" t="s">
        <v>190</v>
      </c>
      <c r="L1895" t="s">
        <v>16</v>
      </c>
      <c r="M1895" t="s">
        <v>92</v>
      </c>
      <c r="N1895" t="str">
        <f>INDEX(Products!B:B,MATCH(OrdersTable[[#This Row],[Product ID]],Products!A:A,0))</f>
        <v>Kolhapuri Sandals</v>
      </c>
      <c r="O1895" t="str">
        <f>INDEX(Products!C:C,MATCH(OrdersTable[[#This Row],[Product ID]],Products!A:A,0))</f>
        <v>Footwear</v>
      </c>
      <c r="P1895">
        <v>1</v>
      </c>
      <c r="Q1895" s="5">
        <v>999</v>
      </c>
      <c r="R1895" s="74">
        <v>0.15</v>
      </c>
      <c r="S1895" s="75">
        <f>OrdersTable[[#This Row],[Quantity]]*OrdersTable[[#This Row],[Unit Price]]</f>
        <v>999</v>
      </c>
      <c r="T1895" s="5">
        <f>OrdersTable[[#This Row],[Gross Sale]]*OrdersTable[[#This Row],[Discount_Clean2]]</f>
        <v>149.85</v>
      </c>
      <c r="U1895" s="5">
        <f>OrdersTable[[#This Row],[Gross Sale]]-OrdersTable[[#This Row],[Discount Amount]]</f>
        <v>849.15</v>
      </c>
      <c r="V1895" s="77">
        <f>INDEX(Products!E:E,MATCH(OrdersTable[[#This Row],[Product ID]],Products!A:A,0))</f>
        <v>400</v>
      </c>
      <c r="W1895" s="77">
        <f>OrdersTable[[#This Row],[Quantity]]*OrdersTable[[#This Row],[Unit Cost]]</f>
        <v>400</v>
      </c>
      <c r="X1895" s="77">
        <f>'Dropdown Lists'!$I$2*(1+OrdersTable[[#This Row],[Returned]])</f>
        <v>60</v>
      </c>
      <c r="Y1895" s="76">
        <f>OrdersTable[[#This Row],[Net Revenue]]-OrdersTable[[#This Row],[COGS]]-OrdersTable[[#This Row],[Shipping Cost]]</f>
        <v>389.15</v>
      </c>
      <c r="Z1895" s="78">
        <f>IFERROR(OrdersTable[[#This Row],[Profit]]/OrdersTable[[#This Row],[Net Revenue]],0)</f>
        <v>0.45828181122298767</v>
      </c>
      <c r="AA1895" t="s">
        <v>18</v>
      </c>
      <c r="AB1895" s="79">
        <v>45629</v>
      </c>
      <c r="AC1895">
        <f>OrdersTable[[#This Row],[Delivery Date]]-OrdersTable[[#This Row],[Order Date]]</f>
        <v>4</v>
      </c>
      <c r="AD1895" t="str">
        <f>IF(OrdersTable[[#This Row],[Delivery Days]]&lt;=2, "Express (≤2d)", IF(OrdersTable[[#This Row],[Delivery Days]]&lt;=4, "Standard (3-4d)", "Delayed (5d+)"))</f>
        <v>Standard (3-4d)</v>
      </c>
      <c r="AF1895">
        <v>0</v>
      </c>
    </row>
    <row r="1896" spans="1:32" ht="15" x14ac:dyDescent="0.35">
      <c r="A1896" t="s">
        <v>4957</v>
      </c>
      <c r="B1896" s="1">
        <v>45625</v>
      </c>
      <c r="C1896">
        <f>YEAR(OrdersTable[[#This Row],[Order Date]])</f>
        <v>2024</v>
      </c>
      <c r="D1896" s="2">
        <f>DATE(YEAR(OrdersTable[[#This Row],[Order Date]]),MONTH(OrdersTable[[#This Row],[Order Date]]),1)</f>
        <v>45597</v>
      </c>
      <c r="E1896">
        <f>MONTH(OrdersTable[[#This Row],[Order Date]])</f>
        <v>11</v>
      </c>
      <c r="F1896" t="s">
        <v>4958</v>
      </c>
      <c r="G1896" t="str">
        <f>IF(OrdersTable[[#This Row],[Order Date]]=_xlfn.MINIFS(Order_Date, Customer_ID, OrdersTable[[#This Row],[Customer ID]]), "New", "Repeat")</f>
        <v>New</v>
      </c>
      <c r="H1896" t="s">
        <v>316</v>
      </c>
      <c r="I1896" t="str">
        <f>INDEX(State!B:B,MATCH(OrdersTable[[#This Row],[State]],State!A:A,0))</f>
        <v>KL</v>
      </c>
      <c r="J1896" t="str">
        <f>INDEX(State!C:C,MATCH(OrdersTable[[#This Row],[State Code]],State!B:B,0))</f>
        <v>South</v>
      </c>
      <c r="K1896" t="s">
        <v>317</v>
      </c>
      <c r="L1896" t="s">
        <v>16</v>
      </c>
      <c r="M1896" t="s">
        <v>17</v>
      </c>
      <c r="N1896" t="str">
        <f>INDEX(Products!B:B,MATCH(OrdersTable[[#This Row],[Product ID]],Products!A:A,0))</f>
        <v>Casual Sneakers</v>
      </c>
      <c r="O1896" t="str">
        <f>INDEX(Products!C:C,MATCH(OrdersTable[[#This Row],[Product ID]],Products!A:A,0))</f>
        <v>Footwear</v>
      </c>
      <c r="P1896">
        <v>2</v>
      </c>
      <c r="Q1896" s="5">
        <v>2199</v>
      </c>
      <c r="R1896" s="74">
        <v>0.3</v>
      </c>
      <c r="S1896" s="75">
        <f>OrdersTable[[#This Row],[Quantity]]*OrdersTable[[#This Row],[Unit Price]]</f>
        <v>4398</v>
      </c>
      <c r="T1896" s="5">
        <f>OrdersTable[[#This Row],[Gross Sale]]*OrdersTable[[#This Row],[Discount_Clean2]]</f>
        <v>1319.3999999999999</v>
      </c>
      <c r="U1896" s="5">
        <f>OrdersTable[[#This Row],[Gross Sale]]-OrdersTable[[#This Row],[Discount Amount]]</f>
        <v>3078.6000000000004</v>
      </c>
      <c r="V1896" s="77">
        <f>INDEX(Products!E:E,MATCH(OrdersTable[[#This Row],[Product ID]],Products!A:A,0))</f>
        <v>1034</v>
      </c>
      <c r="W1896" s="77">
        <f>OrdersTable[[#This Row],[Quantity]]*OrdersTable[[#This Row],[Unit Cost]]</f>
        <v>2068</v>
      </c>
      <c r="X1896" s="77">
        <f>'Dropdown Lists'!$I$2*(1+OrdersTable[[#This Row],[Returned]])</f>
        <v>120</v>
      </c>
      <c r="Y1896" s="76">
        <f>OrdersTable[[#This Row],[Net Revenue]]-OrdersTable[[#This Row],[COGS]]-OrdersTable[[#This Row],[Shipping Cost]]</f>
        <v>890.60000000000036</v>
      </c>
      <c r="Z1896" s="78">
        <f>IFERROR(OrdersTable[[#This Row],[Profit]]/OrdersTable[[#This Row],[Net Revenue]],0)</f>
        <v>0.28928733840057175</v>
      </c>
      <c r="AA1896" t="s">
        <v>4074</v>
      </c>
      <c r="AB1896" s="79">
        <v>45627</v>
      </c>
      <c r="AC1896">
        <f>OrdersTable[[#This Row],[Delivery Date]]-OrdersTable[[#This Row],[Order Date]]</f>
        <v>2</v>
      </c>
      <c r="AD1896" t="str">
        <f>IF(OrdersTable[[#This Row],[Delivery Days]]&lt;=2, "Express (≤2d)", IF(OrdersTable[[#This Row],[Delivery Days]]&lt;=4, "Standard (3-4d)", "Delayed (5d+)"))</f>
        <v>Express (≤2d)</v>
      </c>
      <c r="AE1896">
        <v>4</v>
      </c>
      <c r="AF1896">
        <v>1</v>
      </c>
    </row>
    <row r="1897" spans="1:32" ht="15" x14ac:dyDescent="0.35">
      <c r="A1897" t="s">
        <v>5915</v>
      </c>
      <c r="B1897" s="1">
        <v>45625</v>
      </c>
      <c r="C1897">
        <f>YEAR(OrdersTable[[#This Row],[Order Date]])</f>
        <v>2024</v>
      </c>
      <c r="D1897" s="2">
        <f>DATE(YEAR(OrdersTable[[#This Row],[Order Date]]),MONTH(OrdersTable[[#This Row],[Order Date]]),1)</f>
        <v>45597</v>
      </c>
      <c r="E1897">
        <f>MONTH(OrdersTable[[#This Row],[Order Date]])</f>
        <v>11</v>
      </c>
      <c r="F1897" t="s">
        <v>905</v>
      </c>
      <c r="G1897" t="str">
        <f>IF(OrdersTable[[#This Row],[Order Date]]=_xlfn.MINIFS(Order_Date, Customer_ID, OrdersTable[[#This Row],[Customer ID]]), "New", "Repeat")</f>
        <v>Repeat</v>
      </c>
      <c r="H1897" t="s">
        <v>59</v>
      </c>
      <c r="I1897" t="str">
        <f>INDEX(State!B:B,MATCH(OrdersTable[[#This Row],[State]],State!A:A,0))</f>
        <v>TN</v>
      </c>
      <c r="J1897" t="str">
        <f>INDEX(State!C:C,MATCH(OrdersTable[[#This Row],[State Code]],State!B:B,0))</f>
        <v>South</v>
      </c>
      <c r="K1897" t="s">
        <v>64</v>
      </c>
      <c r="L1897" t="s">
        <v>65</v>
      </c>
      <c r="M1897" t="s">
        <v>148</v>
      </c>
      <c r="N1897" t="str">
        <f>INDEX(Products!B:B,MATCH(OrdersTable[[#This Row],[Product ID]],Products!A:A,0))</f>
        <v>Smartwatch Strap</v>
      </c>
      <c r="O1897" t="str">
        <f>INDEX(Products!C:C,MATCH(OrdersTable[[#This Row],[Product ID]],Products!A:A,0))</f>
        <v>Electronics</v>
      </c>
      <c r="P1897">
        <v>2</v>
      </c>
      <c r="Q1897" s="5">
        <v>499</v>
      </c>
      <c r="R1897" s="74">
        <v>0.4</v>
      </c>
      <c r="S1897" s="75">
        <f>OrdersTable[[#This Row],[Quantity]]*OrdersTable[[#This Row],[Unit Price]]</f>
        <v>998</v>
      </c>
      <c r="T1897" s="5">
        <f>OrdersTable[[#This Row],[Gross Sale]]*OrdersTable[[#This Row],[Discount_Clean2]]</f>
        <v>399.20000000000005</v>
      </c>
      <c r="U1897" s="5">
        <f>OrdersTable[[#This Row],[Gross Sale]]-OrdersTable[[#This Row],[Discount Amount]]</f>
        <v>598.79999999999995</v>
      </c>
      <c r="V1897" s="77">
        <f>INDEX(Products!E:E,MATCH(OrdersTable[[#This Row],[Product ID]],Products!A:A,0))</f>
        <v>200</v>
      </c>
      <c r="W1897" s="77">
        <f>OrdersTable[[#This Row],[Quantity]]*OrdersTable[[#This Row],[Unit Cost]]</f>
        <v>400</v>
      </c>
      <c r="X1897" s="77">
        <f>'Dropdown Lists'!$I$2*(1+OrdersTable[[#This Row],[Returned]])</f>
        <v>60</v>
      </c>
      <c r="Y1897" s="76">
        <f>OrdersTable[[#This Row],[Net Revenue]]-OrdersTable[[#This Row],[COGS]]-OrdersTable[[#This Row],[Shipping Cost]]</f>
        <v>138.79999999999995</v>
      </c>
      <c r="Z1897" s="78">
        <f>IFERROR(OrdersTable[[#This Row],[Profit]]/OrdersTable[[#This Row],[Net Revenue]],0)</f>
        <v>0.2317969271877087</v>
      </c>
      <c r="AA1897" t="s">
        <v>18</v>
      </c>
      <c r="AB1897" s="79">
        <v>45629</v>
      </c>
      <c r="AC1897">
        <f>OrdersTable[[#This Row],[Delivery Date]]-OrdersTable[[#This Row],[Order Date]]</f>
        <v>4</v>
      </c>
      <c r="AD1897" t="str">
        <f>IF(OrdersTable[[#This Row],[Delivery Days]]&lt;=2, "Express (≤2d)", IF(OrdersTable[[#This Row],[Delivery Days]]&lt;=4, "Standard (3-4d)", "Delayed (5d+)"))</f>
        <v>Standard (3-4d)</v>
      </c>
      <c r="AF1897">
        <v>0</v>
      </c>
    </row>
    <row r="1898" spans="1:32" ht="15" x14ac:dyDescent="0.35">
      <c r="A1898" t="s">
        <v>4811</v>
      </c>
      <c r="B1898" s="1">
        <v>45626</v>
      </c>
      <c r="C1898">
        <f>YEAR(OrdersTable[[#This Row],[Order Date]])</f>
        <v>2024</v>
      </c>
      <c r="D1898" s="2">
        <f>DATE(YEAR(OrdersTable[[#This Row],[Order Date]]),MONTH(OrdersTable[[#This Row],[Order Date]]),1)</f>
        <v>45597</v>
      </c>
      <c r="E1898">
        <f>MONTH(OrdersTable[[#This Row],[Order Date]])</f>
        <v>11</v>
      </c>
      <c r="F1898" t="s">
        <v>4812</v>
      </c>
      <c r="G1898" t="str">
        <f>IF(OrdersTable[[#This Row],[Order Date]]=_xlfn.MINIFS(Order_Date, Customer_ID, OrdersTable[[#This Row],[Customer ID]]), "New", "Repeat")</f>
        <v>New</v>
      </c>
      <c r="H1898" t="s">
        <v>48</v>
      </c>
      <c r="I1898" t="str">
        <f>INDEX(State!B:B,MATCH(OrdersTable[[#This Row],[State]],State!A:A,0))</f>
        <v>HR</v>
      </c>
      <c r="J1898" t="str">
        <f>INDEX(State!C:C,MATCH(OrdersTable[[#This Row],[State Code]],State!B:B,0))</f>
        <v>North</v>
      </c>
      <c r="K1898" t="s">
        <v>151</v>
      </c>
      <c r="L1898" t="s">
        <v>16</v>
      </c>
      <c r="M1898" t="s">
        <v>29</v>
      </c>
      <c r="N1898" t="str">
        <f>INDEX(Products!B:B,MATCH(OrdersTable[[#This Row],[Product ID]],Products!A:A,0))</f>
        <v>Joggers</v>
      </c>
      <c r="O1898" t="str">
        <f>INDEX(Products!C:C,MATCH(OrdersTable[[#This Row],[Product ID]],Products!A:A,0))</f>
        <v>Apparel</v>
      </c>
      <c r="P1898">
        <v>2</v>
      </c>
      <c r="Q1898" s="5">
        <v>1199</v>
      </c>
      <c r="R1898" s="74">
        <v>0.3</v>
      </c>
      <c r="S1898" s="75">
        <f>OrdersTable[[#This Row],[Quantity]]*OrdersTable[[#This Row],[Unit Price]]</f>
        <v>2398</v>
      </c>
      <c r="T1898" s="5">
        <f>OrdersTable[[#This Row],[Gross Sale]]*OrdersTable[[#This Row],[Discount_Clean2]]</f>
        <v>719.4</v>
      </c>
      <c r="U1898" s="5">
        <f>OrdersTable[[#This Row],[Gross Sale]]-OrdersTable[[#This Row],[Discount Amount]]</f>
        <v>1678.6</v>
      </c>
      <c r="V1898" s="77">
        <f>INDEX(Products!E:E,MATCH(OrdersTable[[#This Row],[Product ID]],Products!A:A,0))</f>
        <v>492</v>
      </c>
      <c r="W1898" s="77">
        <f>OrdersTable[[#This Row],[Quantity]]*OrdersTable[[#This Row],[Unit Cost]]</f>
        <v>984</v>
      </c>
      <c r="X1898" s="77">
        <f>'Dropdown Lists'!$I$2*(1+OrdersTable[[#This Row],[Returned]])</f>
        <v>120</v>
      </c>
      <c r="Y1898" s="76">
        <f>OrdersTable[[#This Row],[Net Revenue]]-OrdersTable[[#This Row],[COGS]]-OrdersTable[[#This Row],[Shipping Cost]]</f>
        <v>574.59999999999991</v>
      </c>
      <c r="Z1898" s="78">
        <f>IFERROR(OrdersTable[[#This Row],[Profit]]/OrdersTable[[#This Row],[Net Revenue]],0)</f>
        <v>0.34230906707970926</v>
      </c>
      <c r="AA1898" t="s">
        <v>4450</v>
      </c>
      <c r="AB1898" s="79">
        <v>45628</v>
      </c>
      <c r="AC1898">
        <f>OrdersTable[[#This Row],[Delivery Date]]-OrdersTable[[#This Row],[Order Date]]</f>
        <v>2</v>
      </c>
      <c r="AD1898" t="str">
        <f>IF(OrdersTable[[#This Row],[Delivery Days]]&lt;=2, "Express (≤2d)", IF(OrdersTable[[#This Row],[Delivery Days]]&lt;=4, "Standard (3-4d)", "Delayed (5d+)"))</f>
        <v>Express (≤2d)</v>
      </c>
      <c r="AF1898">
        <v>1</v>
      </c>
    </row>
    <row r="1899" spans="1:32" ht="15" x14ac:dyDescent="0.35">
      <c r="A1899" t="s">
        <v>6121</v>
      </c>
      <c r="B1899" s="1">
        <v>45626</v>
      </c>
      <c r="C1899">
        <f>YEAR(OrdersTable[[#This Row],[Order Date]])</f>
        <v>2024</v>
      </c>
      <c r="D1899" s="2">
        <f>DATE(YEAR(OrdersTable[[#This Row],[Order Date]]),MONTH(OrdersTable[[#This Row],[Order Date]]),1)</f>
        <v>45597</v>
      </c>
      <c r="E1899">
        <f>MONTH(OrdersTable[[#This Row],[Order Date]])</f>
        <v>11</v>
      </c>
      <c r="F1899" t="s">
        <v>1021</v>
      </c>
      <c r="G1899" t="str">
        <f>IF(OrdersTable[[#This Row],[Order Date]]=_xlfn.MINIFS(Order_Date, Customer_ID, OrdersTable[[#This Row],[Customer ID]]), "New", "Repeat")</f>
        <v>New</v>
      </c>
      <c r="H1899" t="s">
        <v>128</v>
      </c>
      <c r="I1899" t="str">
        <f>INDEX(State!B:B,MATCH(OrdersTable[[#This Row],[State]],State!A:A,0))</f>
        <v>DL</v>
      </c>
      <c r="J1899" t="str">
        <f>INDEX(State!C:C,MATCH(OrdersTable[[#This Row],[State Code]],State!B:B,0))</f>
        <v>North</v>
      </c>
      <c r="K1899" t="s">
        <v>129</v>
      </c>
      <c r="L1899" t="s">
        <v>39</v>
      </c>
      <c r="M1899" t="s">
        <v>61</v>
      </c>
      <c r="N1899" t="str">
        <f>INDEX(Products!B:B,MATCH(OrdersTable[[#This Row],[Product ID]],Products!A:A,0))</f>
        <v>Multivitamin Gummies</v>
      </c>
      <c r="O1899" t="str">
        <f>INDEX(Products!C:C,MATCH(OrdersTable[[#This Row],[Product ID]],Products!A:A,0))</f>
        <v>Wellness</v>
      </c>
      <c r="P1899">
        <v>2</v>
      </c>
      <c r="Q1899" s="5">
        <v>699</v>
      </c>
      <c r="R1899" s="74">
        <v>0.3</v>
      </c>
      <c r="S1899" s="75">
        <f>OrdersTable[[#This Row],[Quantity]]*OrdersTable[[#This Row],[Unit Price]]</f>
        <v>1398</v>
      </c>
      <c r="T1899" s="5">
        <f>OrdersTable[[#This Row],[Gross Sale]]*OrdersTable[[#This Row],[Discount_Clean2]]</f>
        <v>419.4</v>
      </c>
      <c r="U1899" s="5">
        <f>OrdersTable[[#This Row],[Gross Sale]]-OrdersTable[[#This Row],[Discount Amount]]</f>
        <v>978.6</v>
      </c>
      <c r="V1899" s="77">
        <f>INDEX(Products!E:E,MATCH(OrdersTable[[#This Row],[Product ID]],Products!A:A,0))</f>
        <v>238</v>
      </c>
      <c r="W1899" s="77">
        <f>OrdersTable[[#This Row],[Quantity]]*OrdersTable[[#This Row],[Unit Cost]]</f>
        <v>476</v>
      </c>
      <c r="X1899" s="77">
        <f>'Dropdown Lists'!$I$2*(1+OrdersTable[[#This Row],[Returned]])</f>
        <v>60</v>
      </c>
      <c r="Y1899" s="76">
        <f>OrdersTable[[#This Row],[Net Revenue]]-OrdersTable[[#This Row],[COGS]]-OrdersTable[[#This Row],[Shipping Cost]]</f>
        <v>442.6</v>
      </c>
      <c r="Z1899" s="78">
        <f>IFERROR(OrdersTable[[#This Row],[Profit]]/OrdersTable[[#This Row],[Net Revenue]],0)</f>
        <v>0.45227876558348662</v>
      </c>
      <c r="AA1899" t="s">
        <v>18</v>
      </c>
      <c r="AB1899" s="79">
        <v>45629</v>
      </c>
      <c r="AC1899">
        <f>OrdersTable[[#This Row],[Delivery Date]]-OrdersTable[[#This Row],[Order Date]]</f>
        <v>3</v>
      </c>
      <c r="AD1899" t="str">
        <f>IF(OrdersTable[[#This Row],[Delivery Days]]&lt;=2, "Express (≤2d)", IF(OrdersTable[[#This Row],[Delivery Days]]&lt;=4, "Standard (3-4d)", "Delayed (5d+)"))</f>
        <v>Standard (3-4d)</v>
      </c>
      <c r="AE1899">
        <v>4</v>
      </c>
      <c r="AF1899">
        <v>0</v>
      </c>
    </row>
    <row r="1900" spans="1:32" ht="15" x14ac:dyDescent="0.35">
      <c r="A1900" t="s">
        <v>5791</v>
      </c>
      <c r="B1900" s="1">
        <v>45626</v>
      </c>
      <c r="C1900">
        <f>YEAR(OrdersTable[[#This Row],[Order Date]])</f>
        <v>2024</v>
      </c>
      <c r="D1900" s="2">
        <f>DATE(YEAR(OrdersTable[[#This Row],[Order Date]]),MONTH(OrdersTable[[#This Row],[Order Date]]),1)</f>
        <v>45597</v>
      </c>
      <c r="E1900">
        <f>MONTH(OrdersTable[[#This Row],[Order Date]])</f>
        <v>11</v>
      </c>
      <c r="F1900" t="s">
        <v>907</v>
      </c>
      <c r="G1900" t="str">
        <f>IF(OrdersTable[[#This Row],[Order Date]]=_xlfn.MINIFS(Order_Date, Customer_ID, OrdersTable[[#This Row],[Customer ID]]), "New", "Repeat")</f>
        <v>Repeat</v>
      </c>
      <c r="H1900" t="s">
        <v>128</v>
      </c>
      <c r="I1900" t="str">
        <f>INDEX(State!B:B,MATCH(OrdersTable[[#This Row],[State]],State!A:A,0))</f>
        <v>DL</v>
      </c>
      <c r="J1900" t="str">
        <f>INDEX(State!C:C,MATCH(OrdersTable[[#This Row],[State Code]],State!B:B,0))</f>
        <v>North</v>
      </c>
      <c r="K1900" t="s">
        <v>129</v>
      </c>
      <c r="L1900" t="s">
        <v>23</v>
      </c>
      <c r="M1900" t="s">
        <v>24</v>
      </c>
      <c r="N1900" t="str">
        <f>INDEX(Products!B:B,MATCH(OrdersTable[[#This Row],[Product ID]],Products!A:A,0))</f>
        <v>Scented Candle Set</v>
      </c>
      <c r="O1900" t="str">
        <f>INDEX(Products!C:C,MATCH(OrdersTable[[#This Row],[Product ID]],Products!A:A,0))</f>
        <v>Home &amp; Kitchen</v>
      </c>
      <c r="P1900">
        <v>2</v>
      </c>
      <c r="Q1900" s="5">
        <v>699</v>
      </c>
      <c r="R1900" s="74">
        <v>0.4</v>
      </c>
      <c r="S1900" s="75">
        <f>OrdersTable[[#This Row],[Quantity]]*OrdersTable[[#This Row],[Unit Price]]</f>
        <v>1398</v>
      </c>
      <c r="T1900" s="5">
        <f>OrdersTable[[#This Row],[Gross Sale]]*OrdersTable[[#This Row],[Discount_Clean2]]</f>
        <v>559.20000000000005</v>
      </c>
      <c r="U1900" s="5">
        <f>OrdersTable[[#This Row],[Gross Sale]]-OrdersTable[[#This Row],[Discount Amount]]</f>
        <v>838.8</v>
      </c>
      <c r="V1900" s="77">
        <f>INDEX(Products!E:E,MATCH(OrdersTable[[#This Row],[Product ID]],Products!A:A,0))</f>
        <v>245</v>
      </c>
      <c r="W1900" s="77">
        <f>OrdersTable[[#This Row],[Quantity]]*OrdersTable[[#This Row],[Unit Cost]]</f>
        <v>490</v>
      </c>
      <c r="X1900" s="77">
        <f>'Dropdown Lists'!$I$2*(1+OrdersTable[[#This Row],[Returned]])</f>
        <v>60</v>
      </c>
      <c r="Y1900" s="76">
        <f>OrdersTable[[#This Row],[Net Revenue]]-OrdersTable[[#This Row],[COGS]]-OrdersTable[[#This Row],[Shipping Cost]]</f>
        <v>288.79999999999995</v>
      </c>
      <c r="Z1900" s="78">
        <f>IFERROR(OrdersTable[[#This Row],[Profit]]/OrdersTable[[#This Row],[Net Revenue]],0)</f>
        <v>0.34430138292799234</v>
      </c>
      <c r="AA1900" t="s">
        <v>18</v>
      </c>
      <c r="AB1900" s="79">
        <v>45627</v>
      </c>
      <c r="AC1900">
        <f>OrdersTable[[#This Row],[Delivery Date]]-OrdersTable[[#This Row],[Order Date]]</f>
        <v>1</v>
      </c>
      <c r="AD1900" t="str">
        <f>IF(OrdersTable[[#This Row],[Delivery Days]]&lt;=2, "Express (≤2d)", IF(OrdersTable[[#This Row],[Delivery Days]]&lt;=4, "Standard (3-4d)", "Delayed (5d+)"))</f>
        <v>Express (≤2d)</v>
      </c>
      <c r="AE1900">
        <v>5</v>
      </c>
      <c r="AF1900">
        <v>0</v>
      </c>
    </row>
    <row r="1901" spans="1:32" ht="15" x14ac:dyDescent="0.35">
      <c r="A1901" t="s">
        <v>6535</v>
      </c>
      <c r="B1901" s="1">
        <v>45626</v>
      </c>
      <c r="C1901">
        <f>YEAR(OrdersTable[[#This Row],[Order Date]])</f>
        <v>2024</v>
      </c>
      <c r="D1901" s="2">
        <f>DATE(YEAR(OrdersTable[[#This Row],[Order Date]]),MONTH(OrdersTable[[#This Row],[Order Date]]),1)</f>
        <v>45597</v>
      </c>
      <c r="E1901">
        <f>MONTH(OrdersTable[[#This Row],[Order Date]])</f>
        <v>11</v>
      </c>
      <c r="F1901" t="s">
        <v>2978</v>
      </c>
      <c r="G1901" t="str">
        <f>IF(OrdersTable[[#This Row],[Order Date]]=_xlfn.MINIFS(Order_Date, Customer_ID, OrdersTable[[#This Row],[Customer ID]]), "New", "Repeat")</f>
        <v>Repeat</v>
      </c>
      <c r="H1901" t="s">
        <v>128</v>
      </c>
      <c r="I1901" t="str">
        <f>INDEX(State!B:B,MATCH(OrdersTable[[#This Row],[State]],State!A:A,0))</f>
        <v>DL</v>
      </c>
      <c r="J1901" t="str">
        <f>INDEX(State!C:C,MATCH(OrdersTable[[#This Row],[State Code]],State!B:B,0))</f>
        <v>North</v>
      </c>
      <c r="K1901" t="s">
        <v>129</v>
      </c>
      <c r="L1901" t="s">
        <v>39</v>
      </c>
      <c r="M1901" t="s">
        <v>179</v>
      </c>
      <c r="N1901" t="str">
        <f>INDEX(Products!B:B,MATCH(OrdersTable[[#This Row],[Product ID]],Products!A:A,0))</f>
        <v>Whey Protein 1kg</v>
      </c>
      <c r="O1901" t="str">
        <f>INDEX(Products!C:C,MATCH(OrdersTable[[#This Row],[Product ID]],Products!A:A,0))</f>
        <v>Wellness</v>
      </c>
      <c r="P1901">
        <v>3</v>
      </c>
      <c r="Q1901" s="5">
        <v>2299</v>
      </c>
      <c r="R1901" s="74">
        <v>0.3</v>
      </c>
      <c r="S1901" s="75">
        <f>OrdersTable[[#This Row],[Quantity]]*OrdersTable[[#This Row],[Unit Price]]</f>
        <v>6897</v>
      </c>
      <c r="T1901" s="5">
        <f>OrdersTable[[#This Row],[Gross Sale]]*OrdersTable[[#This Row],[Discount_Clean2]]</f>
        <v>2069.1</v>
      </c>
      <c r="U1901" s="5">
        <f>OrdersTable[[#This Row],[Gross Sale]]-OrdersTable[[#This Row],[Discount Amount]]</f>
        <v>4827.8999999999996</v>
      </c>
      <c r="V1901" s="77">
        <f>INDEX(Products!E:E,MATCH(OrdersTable[[#This Row],[Product ID]],Products!A:A,0))</f>
        <v>1333</v>
      </c>
      <c r="W1901" s="77">
        <f>OrdersTable[[#This Row],[Quantity]]*OrdersTable[[#This Row],[Unit Cost]]</f>
        <v>3999</v>
      </c>
      <c r="X1901" s="77">
        <f>'Dropdown Lists'!$I$2*(1+OrdersTable[[#This Row],[Returned]])</f>
        <v>60</v>
      </c>
      <c r="Y1901" s="76">
        <f>OrdersTable[[#This Row],[Net Revenue]]-OrdersTable[[#This Row],[COGS]]-OrdersTable[[#This Row],[Shipping Cost]]</f>
        <v>768.89999999999964</v>
      </c>
      <c r="Z1901" s="78">
        <f>IFERROR(OrdersTable[[#This Row],[Profit]]/OrdersTable[[#This Row],[Net Revenue]],0)</f>
        <v>0.15926179084073813</v>
      </c>
      <c r="AA1901" t="s">
        <v>18</v>
      </c>
      <c r="AB1901" s="79">
        <v>45629</v>
      </c>
      <c r="AC1901">
        <f>OrdersTable[[#This Row],[Delivery Date]]-OrdersTable[[#This Row],[Order Date]]</f>
        <v>3</v>
      </c>
      <c r="AD1901" t="str">
        <f>IF(OrdersTable[[#This Row],[Delivery Days]]&lt;=2, "Express (≤2d)", IF(OrdersTable[[#This Row],[Delivery Days]]&lt;=4, "Standard (3-4d)", "Delayed (5d+)"))</f>
        <v>Standard (3-4d)</v>
      </c>
      <c r="AF1901">
        <v>0</v>
      </c>
    </row>
    <row r="1902" spans="1:32" ht="15" x14ac:dyDescent="0.35">
      <c r="A1902" t="s">
        <v>1928</v>
      </c>
      <c r="B1902" s="1">
        <v>45626</v>
      </c>
      <c r="C1902">
        <f>YEAR(OrdersTable[[#This Row],[Order Date]])</f>
        <v>2024</v>
      </c>
      <c r="D1902" s="2">
        <f>DATE(YEAR(OrdersTable[[#This Row],[Order Date]]),MONTH(OrdersTable[[#This Row],[Order Date]]),1)</f>
        <v>45597</v>
      </c>
      <c r="E1902">
        <f>MONTH(OrdersTable[[#This Row],[Order Date]])</f>
        <v>11</v>
      </c>
      <c r="F1902" t="s">
        <v>1929</v>
      </c>
      <c r="G1902" t="str">
        <f>IF(OrdersTable[[#This Row],[Order Date]]=_xlfn.MINIFS(Order_Date, Customer_ID, OrdersTable[[#This Row],[Customer ID]]), "New", "Repeat")</f>
        <v>Repeat</v>
      </c>
      <c r="H1902" t="s">
        <v>128</v>
      </c>
      <c r="I1902" t="str">
        <f>INDEX(State!B:B,MATCH(OrdersTable[[#This Row],[State]],State!A:A,0))</f>
        <v>DL</v>
      </c>
      <c r="J1902" t="str">
        <f>INDEX(State!C:C,MATCH(OrdersTable[[#This Row],[State Code]],State!B:B,0))</f>
        <v>North</v>
      </c>
      <c r="K1902" t="s">
        <v>129</v>
      </c>
      <c r="L1902" t="s">
        <v>65</v>
      </c>
      <c r="M1902" t="s">
        <v>24</v>
      </c>
      <c r="N1902" t="str">
        <f>INDEX(Products!B:B,MATCH(OrdersTable[[#This Row],[Product ID]],Products!A:A,0))</f>
        <v>Scented Candle Set</v>
      </c>
      <c r="O1902" t="str">
        <f>INDEX(Products!C:C,MATCH(OrdersTable[[#This Row],[Product ID]],Products!A:A,0))</f>
        <v>Home &amp; Kitchen</v>
      </c>
      <c r="P1902">
        <v>1</v>
      </c>
      <c r="Q1902" s="5">
        <v>699</v>
      </c>
      <c r="R1902" s="74">
        <v>0.3</v>
      </c>
      <c r="S1902" s="75">
        <f>OrdersTable[[#This Row],[Quantity]]*OrdersTable[[#This Row],[Unit Price]]</f>
        <v>699</v>
      </c>
      <c r="T1902" s="5">
        <f>OrdersTable[[#This Row],[Gross Sale]]*OrdersTable[[#This Row],[Discount_Clean2]]</f>
        <v>209.7</v>
      </c>
      <c r="U1902" s="5">
        <f>OrdersTable[[#This Row],[Gross Sale]]-OrdersTable[[#This Row],[Discount Amount]]</f>
        <v>489.3</v>
      </c>
      <c r="V1902" s="77">
        <f>INDEX(Products!E:E,MATCH(OrdersTable[[#This Row],[Product ID]],Products!A:A,0))</f>
        <v>245</v>
      </c>
      <c r="W1902" s="77">
        <f>OrdersTable[[#This Row],[Quantity]]*OrdersTable[[#This Row],[Unit Cost]]</f>
        <v>245</v>
      </c>
      <c r="X1902" s="77">
        <f>'Dropdown Lists'!$I$2*(1+OrdersTable[[#This Row],[Returned]])</f>
        <v>60</v>
      </c>
      <c r="Y1902" s="76">
        <f>OrdersTable[[#This Row],[Net Revenue]]-OrdersTable[[#This Row],[COGS]]-OrdersTable[[#This Row],[Shipping Cost]]</f>
        <v>184.3</v>
      </c>
      <c r="Z1902" s="78">
        <f>IFERROR(OrdersTable[[#This Row],[Profit]]/OrdersTable[[#This Row],[Net Revenue]],0)</f>
        <v>0.37666053545881872</v>
      </c>
      <c r="AA1902" t="s">
        <v>18</v>
      </c>
      <c r="AB1902" s="79">
        <v>45629</v>
      </c>
      <c r="AC1902">
        <f>OrdersTable[[#This Row],[Delivery Date]]-OrdersTable[[#This Row],[Order Date]]</f>
        <v>3</v>
      </c>
      <c r="AD1902" t="str">
        <f>IF(OrdersTable[[#This Row],[Delivery Days]]&lt;=2, "Express (≤2d)", IF(OrdersTable[[#This Row],[Delivery Days]]&lt;=4, "Standard (3-4d)", "Delayed (5d+)"))</f>
        <v>Standard (3-4d)</v>
      </c>
      <c r="AE1902">
        <v>3</v>
      </c>
      <c r="AF1902">
        <v>0</v>
      </c>
    </row>
    <row r="1903" spans="1:32" ht="15" x14ac:dyDescent="0.35">
      <c r="A1903" t="s">
        <v>6981</v>
      </c>
      <c r="B1903" s="1">
        <v>45626</v>
      </c>
      <c r="C1903">
        <f>YEAR(OrdersTable[[#This Row],[Order Date]])</f>
        <v>2024</v>
      </c>
      <c r="D1903" s="2">
        <f>DATE(YEAR(OrdersTable[[#This Row],[Order Date]]),MONTH(OrdersTable[[#This Row],[Order Date]]),1)</f>
        <v>45597</v>
      </c>
      <c r="E1903">
        <f>MONTH(OrdersTable[[#This Row],[Order Date]])</f>
        <v>11</v>
      </c>
      <c r="F1903" t="s">
        <v>1295</v>
      </c>
      <c r="G1903" t="str">
        <f>IF(OrdersTable[[#This Row],[Order Date]]=_xlfn.MINIFS(Order_Date, Customer_ID, OrdersTable[[#This Row],[Customer ID]]), "New", "Repeat")</f>
        <v>New</v>
      </c>
      <c r="H1903" t="s">
        <v>76</v>
      </c>
      <c r="I1903" t="str">
        <f>INDEX(State!B:B,MATCH(OrdersTable[[#This Row],[State]],State!A:A,0))</f>
        <v>UP</v>
      </c>
      <c r="J1903" t="str">
        <f>INDEX(State!C:C,MATCH(OrdersTable[[#This Row],[State Code]],State!B:B,0))</f>
        <v>North</v>
      </c>
      <c r="K1903" t="s">
        <v>118</v>
      </c>
      <c r="L1903" t="s">
        <v>23</v>
      </c>
      <c r="M1903" t="s">
        <v>176</v>
      </c>
      <c r="N1903" t="str">
        <f>INDEX(Products!B:B,MATCH(OrdersTable[[#This Row],[Product ID]],Products!A:A,0))</f>
        <v>Denim Jacket</v>
      </c>
      <c r="O1903" t="str">
        <f>INDEX(Products!C:C,MATCH(OrdersTable[[#This Row],[Product ID]],Products!A:A,0))</f>
        <v>Apparel</v>
      </c>
      <c r="P1903">
        <v>4</v>
      </c>
      <c r="Q1903" s="5">
        <v>2499</v>
      </c>
      <c r="R1903" s="74">
        <v>0.15</v>
      </c>
      <c r="S1903" s="75">
        <f>OrdersTable[[#This Row],[Quantity]]*OrdersTable[[#This Row],[Unit Price]]</f>
        <v>9996</v>
      </c>
      <c r="T1903" s="5">
        <f>OrdersTable[[#This Row],[Gross Sale]]*OrdersTable[[#This Row],[Discount_Clean2]]</f>
        <v>1499.3999999999999</v>
      </c>
      <c r="U1903" s="5">
        <f>OrdersTable[[#This Row],[Gross Sale]]-OrdersTable[[#This Row],[Discount Amount]]</f>
        <v>8496.6</v>
      </c>
      <c r="V1903" s="77">
        <f>INDEX(Products!E:E,MATCH(OrdersTable[[#This Row],[Product ID]],Products!A:A,0))</f>
        <v>1125</v>
      </c>
      <c r="W1903" s="77">
        <f>OrdersTable[[#This Row],[Quantity]]*OrdersTable[[#This Row],[Unit Cost]]</f>
        <v>4500</v>
      </c>
      <c r="X1903" s="77">
        <f>'Dropdown Lists'!$I$2*(1+OrdersTable[[#This Row],[Returned]])</f>
        <v>120</v>
      </c>
      <c r="Y1903" s="76">
        <f>OrdersTable[[#This Row],[Net Revenue]]-OrdersTable[[#This Row],[COGS]]-OrdersTable[[#This Row],[Shipping Cost]]</f>
        <v>3876.6000000000004</v>
      </c>
      <c r="Z1903" s="78">
        <f>IFERROR(OrdersTable[[#This Row],[Profit]]/OrdersTable[[#This Row],[Net Revenue]],0)</f>
        <v>0.45625308947108256</v>
      </c>
      <c r="AA1903" t="s">
        <v>4074</v>
      </c>
      <c r="AB1903" s="79">
        <v>45630</v>
      </c>
      <c r="AC1903">
        <f>OrdersTable[[#This Row],[Delivery Date]]-OrdersTable[[#This Row],[Order Date]]</f>
        <v>4</v>
      </c>
      <c r="AD1903" t="str">
        <f>IF(OrdersTable[[#This Row],[Delivery Days]]&lt;=2, "Express (≤2d)", IF(OrdersTable[[#This Row],[Delivery Days]]&lt;=4, "Standard (3-4d)", "Delayed (5d+)"))</f>
        <v>Standard (3-4d)</v>
      </c>
      <c r="AE1903">
        <v>4</v>
      </c>
      <c r="AF1903">
        <v>1</v>
      </c>
    </row>
    <row r="1904" spans="1:32" ht="15" x14ac:dyDescent="0.35">
      <c r="A1904" t="s">
        <v>1930</v>
      </c>
      <c r="B1904" s="1">
        <v>45626</v>
      </c>
      <c r="C1904">
        <f>YEAR(OrdersTable[[#This Row],[Order Date]])</f>
        <v>2024</v>
      </c>
      <c r="D1904" s="2">
        <f>DATE(YEAR(OrdersTable[[#This Row],[Order Date]]),MONTH(OrdersTable[[#This Row],[Order Date]]),1)</f>
        <v>45597</v>
      </c>
      <c r="E1904">
        <f>MONTH(OrdersTable[[#This Row],[Order Date]])</f>
        <v>11</v>
      </c>
      <c r="F1904" t="s">
        <v>703</v>
      </c>
      <c r="G1904" t="str">
        <f>IF(OrdersTable[[#This Row],[Order Date]]=_xlfn.MINIFS(Order_Date, Customer_ID, OrdersTable[[#This Row],[Customer ID]]), "New", "Repeat")</f>
        <v>Repeat</v>
      </c>
      <c r="H1904" t="s">
        <v>132</v>
      </c>
      <c r="I1904" t="str">
        <f>INDEX(State!B:B,MATCH(OrdersTable[[#This Row],[State]],State!A:A,0))</f>
        <v>AS</v>
      </c>
      <c r="J1904" t="str">
        <f>INDEX(State!C:C,MATCH(OrdersTable[[#This Row],[State Code]],State!B:B,0))</f>
        <v>East</v>
      </c>
      <c r="K1904" t="s">
        <v>133</v>
      </c>
      <c r="L1904" t="s">
        <v>50</v>
      </c>
      <c r="M1904" t="s">
        <v>160</v>
      </c>
      <c r="N1904" t="str">
        <f>INDEX(Products!B:B,MATCH(OrdersTable[[#This Row],[Product ID]],Products!A:A,0))</f>
        <v>Niacinamide Toner</v>
      </c>
      <c r="O1904" t="str">
        <f>INDEX(Products!C:C,MATCH(OrdersTable[[#This Row],[Product ID]],Products!A:A,0))</f>
        <v>Skincare</v>
      </c>
      <c r="P1904">
        <v>1</v>
      </c>
      <c r="Q1904" s="5">
        <v>399</v>
      </c>
      <c r="R1904" s="74">
        <v>0.3</v>
      </c>
      <c r="S1904" s="75">
        <f>OrdersTable[[#This Row],[Quantity]]*OrdersTable[[#This Row],[Unit Price]]</f>
        <v>399</v>
      </c>
      <c r="T1904" s="5">
        <f>OrdersTable[[#This Row],[Gross Sale]]*OrdersTable[[#This Row],[Discount_Clean2]]</f>
        <v>119.69999999999999</v>
      </c>
      <c r="U1904" s="5">
        <f>OrdersTable[[#This Row],[Gross Sale]]-OrdersTable[[#This Row],[Discount Amount]]</f>
        <v>279.3</v>
      </c>
      <c r="V1904" s="77">
        <f>INDEX(Products!E:E,MATCH(OrdersTable[[#This Row],[Product ID]],Products!A:A,0))</f>
        <v>112</v>
      </c>
      <c r="W1904" s="77">
        <f>OrdersTable[[#This Row],[Quantity]]*OrdersTable[[#This Row],[Unit Cost]]</f>
        <v>112</v>
      </c>
      <c r="X1904" s="77">
        <f>'Dropdown Lists'!$I$2*(1+OrdersTable[[#This Row],[Returned]])</f>
        <v>120</v>
      </c>
      <c r="Y1904" s="76">
        <f>OrdersTable[[#This Row],[Net Revenue]]-OrdersTable[[#This Row],[COGS]]-OrdersTable[[#This Row],[Shipping Cost]]</f>
        <v>47.300000000000011</v>
      </c>
      <c r="Z1904" s="78">
        <f>IFERROR(OrdersTable[[#This Row],[Profit]]/OrdersTable[[#This Row],[Net Revenue]],0)</f>
        <v>0.16935195130683856</v>
      </c>
      <c r="AA1904" t="s">
        <v>18</v>
      </c>
      <c r="AB1904" s="79">
        <v>45632</v>
      </c>
      <c r="AC1904">
        <f>OrdersTable[[#This Row],[Delivery Date]]-OrdersTable[[#This Row],[Order Date]]</f>
        <v>6</v>
      </c>
      <c r="AD1904" t="str">
        <f>IF(OrdersTable[[#This Row],[Delivery Days]]&lt;=2, "Express (≤2d)", IF(OrdersTable[[#This Row],[Delivery Days]]&lt;=4, "Standard (3-4d)", "Delayed (5d+)"))</f>
        <v>Delayed (5d+)</v>
      </c>
      <c r="AE1904">
        <v>3</v>
      </c>
      <c r="AF1904">
        <v>1</v>
      </c>
    </row>
    <row r="1905" spans="1:32" ht="15" x14ac:dyDescent="0.35">
      <c r="A1905" t="s">
        <v>1383</v>
      </c>
      <c r="B1905" s="1">
        <v>45626</v>
      </c>
      <c r="C1905">
        <f>YEAR(OrdersTable[[#This Row],[Order Date]])</f>
        <v>2024</v>
      </c>
      <c r="D1905" s="2">
        <f>DATE(YEAR(OrdersTable[[#This Row],[Order Date]]),MONTH(OrdersTable[[#This Row],[Order Date]]),1)</f>
        <v>45597</v>
      </c>
      <c r="E1905">
        <f>MONTH(OrdersTable[[#This Row],[Order Date]])</f>
        <v>11</v>
      </c>
      <c r="F1905" t="s">
        <v>1384</v>
      </c>
      <c r="G1905" t="str">
        <f>IF(OrdersTable[[#This Row],[Order Date]]=_xlfn.MINIFS(Order_Date, Customer_ID, OrdersTable[[#This Row],[Customer ID]]), "New", "Repeat")</f>
        <v>Repeat</v>
      </c>
      <c r="H1905" t="s">
        <v>43</v>
      </c>
      <c r="I1905" t="str">
        <f>INDEX(State!B:B,MATCH(OrdersTable[[#This Row],[State]],State!A:A,0))</f>
        <v>MP</v>
      </c>
      <c r="J1905" t="str">
        <f>INDEX(State!C:C,MATCH(OrdersTable[[#This Row],[State Code]],State!B:B,0))</f>
        <v>West</v>
      </c>
      <c r="K1905" t="s">
        <v>44</v>
      </c>
      <c r="L1905" t="s">
        <v>23</v>
      </c>
      <c r="M1905" t="s">
        <v>228</v>
      </c>
      <c r="N1905" t="str">
        <f>INDEX(Products!B:B,MATCH(OrdersTable[[#This Row],[Product ID]],Products!A:A,0))</f>
        <v>Fast Charger 33W</v>
      </c>
      <c r="O1905" t="str">
        <f>INDEX(Products!C:C,MATCH(OrdersTable[[#This Row],[Product ID]],Products!A:A,0))</f>
        <v>Electronics</v>
      </c>
      <c r="P1905">
        <v>1</v>
      </c>
      <c r="Q1905" s="5">
        <v>899</v>
      </c>
      <c r="R1905" s="74">
        <v>0.1</v>
      </c>
      <c r="S1905" s="75">
        <f>OrdersTable[[#This Row],[Quantity]]*OrdersTable[[#This Row],[Unit Price]]</f>
        <v>899</v>
      </c>
      <c r="T1905" s="5">
        <f>OrdersTable[[#This Row],[Gross Sale]]*OrdersTable[[#This Row],[Discount_Clean2]]</f>
        <v>89.9</v>
      </c>
      <c r="U1905" s="5">
        <f>OrdersTable[[#This Row],[Gross Sale]]-OrdersTable[[#This Row],[Discount Amount]]</f>
        <v>809.1</v>
      </c>
      <c r="V1905" s="77">
        <f>INDEX(Products!E:E,MATCH(OrdersTable[[#This Row],[Product ID]],Products!A:A,0))</f>
        <v>494</v>
      </c>
      <c r="W1905" s="77">
        <f>OrdersTable[[#This Row],[Quantity]]*OrdersTable[[#This Row],[Unit Cost]]</f>
        <v>494</v>
      </c>
      <c r="X1905" s="77">
        <f>'Dropdown Lists'!$I$2*(1+OrdersTable[[#This Row],[Returned]])</f>
        <v>60</v>
      </c>
      <c r="Y1905" s="76">
        <f>OrdersTable[[#This Row],[Net Revenue]]-OrdersTable[[#This Row],[COGS]]-OrdersTable[[#This Row],[Shipping Cost]]</f>
        <v>255.10000000000002</v>
      </c>
      <c r="Z1905" s="78">
        <f>IFERROR(OrdersTable[[#This Row],[Profit]]/OrdersTable[[#This Row],[Net Revenue]],0)</f>
        <v>0.31528859226300832</v>
      </c>
      <c r="AA1905" t="s">
        <v>18</v>
      </c>
      <c r="AB1905" s="79">
        <v>45629</v>
      </c>
      <c r="AC1905">
        <f>OrdersTable[[#This Row],[Delivery Date]]-OrdersTable[[#This Row],[Order Date]]</f>
        <v>3</v>
      </c>
      <c r="AD1905" t="str">
        <f>IF(OrdersTable[[#This Row],[Delivery Days]]&lt;=2, "Express (≤2d)", IF(OrdersTable[[#This Row],[Delivery Days]]&lt;=4, "Standard (3-4d)", "Delayed (5d+)"))</f>
        <v>Standard (3-4d)</v>
      </c>
      <c r="AF1905">
        <v>0</v>
      </c>
    </row>
    <row r="1906" spans="1:32" ht="15" x14ac:dyDescent="0.35">
      <c r="A1906" t="s">
        <v>3427</v>
      </c>
      <c r="B1906" s="1">
        <v>45626</v>
      </c>
      <c r="C1906">
        <f>YEAR(OrdersTable[[#This Row],[Order Date]])</f>
        <v>2024</v>
      </c>
      <c r="D1906" s="2">
        <f>DATE(YEAR(OrdersTable[[#This Row],[Order Date]]),MONTH(OrdersTable[[#This Row],[Order Date]]),1)</f>
        <v>45597</v>
      </c>
      <c r="E1906">
        <f>MONTH(OrdersTable[[#This Row],[Order Date]])</f>
        <v>11</v>
      </c>
      <c r="F1906" t="s">
        <v>3428</v>
      </c>
      <c r="G1906" t="str">
        <f>IF(OrdersTable[[#This Row],[Order Date]]=_xlfn.MINIFS(Order_Date, Customer_ID, OrdersTable[[#This Row],[Customer ID]]), "New", "Repeat")</f>
        <v>New</v>
      </c>
      <c r="H1906" t="s">
        <v>27</v>
      </c>
      <c r="I1906" t="str">
        <f>INDEX(State!B:B,MATCH(OrdersTable[[#This Row],[State]],State!A:A,0))</f>
        <v>WB</v>
      </c>
      <c r="J1906" t="str">
        <f>INDEX(State!C:C,MATCH(OrdersTable[[#This Row],[State Code]],State!B:B,0))</f>
        <v>East</v>
      </c>
      <c r="K1906" t="s">
        <v>28</v>
      </c>
      <c r="L1906" t="s">
        <v>65</v>
      </c>
      <c r="M1906" t="s">
        <v>84</v>
      </c>
      <c r="N1906" t="str">
        <f>INDEX(Products!B:B,MATCH(OrdersTable[[#This Row],[Product ID]],Products!A:A,0))</f>
        <v>Cotton Bedsheet</v>
      </c>
      <c r="O1906" t="str">
        <f>INDEX(Products!C:C,MATCH(OrdersTable[[#This Row],[Product ID]],Products!A:A,0))</f>
        <v>Home &amp; Kitchen</v>
      </c>
      <c r="P1906">
        <v>1</v>
      </c>
      <c r="Q1906" s="5">
        <v>1299</v>
      </c>
      <c r="R1906" s="74">
        <v>0.1</v>
      </c>
      <c r="S1906" s="75">
        <f>OrdersTable[[#This Row],[Quantity]]*OrdersTable[[#This Row],[Unit Price]]</f>
        <v>1299</v>
      </c>
      <c r="T1906" s="5">
        <f>OrdersTable[[#This Row],[Gross Sale]]*OrdersTable[[#This Row],[Discount_Clean2]]</f>
        <v>129.9</v>
      </c>
      <c r="U1906" s="5">
        <f>OrdersTable[[#This Row],[Gross Sale]]-OrdersTable[[#This Row],[Discount Amount]]</f>
        <v>1169.0999999999999</v>
      </c>
      <c r="V1906" s="77">
        <f>INDEX(Products!E:E,MATCH(OrdersTable[[#This Row],[Product ID]],Products!A:A,0))</f>
        <v>585</v>
      </c>
      <c r="W1906" s="77">
        <f>OrdersTable[[#This Row],[Quantity]]*OrdersTable[[#This Row],[Unit Cost]]</f>
        <v>585</v>
      </c>
      <c r="X1906" s="77">
        <f>'Dropdown Lists'!$I$2*(1+OrdersTable[[#This Row],[Returned]])</f>
        <v>120</v>
      </c>
      <c r="Y1906" s="76">
        <f>OrdersTable[[#This Row],[Net Revenue]]-OrdersTable[[#This Row],[COGS]]-OrdersTable[[#This Row],[Shipping Cost]]</f>
        <v>464.09999999999991</v>
      </c>
      <c r="Z1906" s="78">
        <f>IFERROR(OrdersTable[[#This Row],[Profit]]/OrdersTable[[#This Row],[Net Revenue]],0)</f>
        <v>0.39697202976648699</v>
      </c>
      <c r="AA1906" t="s">
        <v>2522</v>
      </c>
      <c r="AB1906" s="79">
        <v>45630</v>
      </c>
      <c r="AC1906">
        <f>OrdersTable[[#This Row],[Delivery Date]]-OrdersTable[[#This Row],[Order Date]]</f>
        <v>4</v>
      </c>
      <c r="AD1906" t="str">
        <f>IF(OrdersTable[[#This Row],[Delivery Days]]&lt;=2, "Express (≤2d)", IF(OrdersTable[[#This Row],[Delivery Days]]&lt;=4, "Standard (3-4d)", "Delayed (5d+)"))</f>
        <v>Standard (3-4d)</v>
      </c>
      <c r="AE1906">
        <v>4</v>
      </c>
      <c r="AF1906">
        <v>1</v>
      </c>
    </row>
    <row r="1907" spans="1:32" ht="15" x14ac:dyDescent="0.35">
      <c r="A1907" t="s">
        <v>3885</v>
      </c>
      <c r="B1907" s="1">
        <v>45626</v>
      </c>
      <c r="C1907">
        <f>YEAR(OrdersTable[[#This Row],[Order Date]])</f>
        <v>2024</v>
      </c>
      <c r="D1907" s="2">
        <f>DATE(YEAR(OrdersTable[[#This Row],[Order Date]]),MONTH(OrdersTable[[#This Row],[Order Date]]),1)</f>
        <v>45597</v>
      </c>
      <c r="E1907">
        <f>MONTH(OrdersTable[[#This Row],[Order Date]])</f>
        <v>11</v>
      </c>
      <c r="F1907" t="s">
        <v>1772</v>
      </c>
      <c r="G1907" t="str">
        <f>IF(OrdersTable[[#This Row],[Order Date]]=_xlfn.MINIFS(Order_Date, Customer_ID, OrdersTable[[#This Row],[Customer ID]]), "New", "Repeat")</f>
        <v>New</v>
      </c>
      <c r="H1907" t="s">
        <v>167</v>
      </c>
      <c r="I1907" t="str">
        <f>INDEX(State!B:B,MATCH(OrdersTable[[#This Row],[State]],State!A:A,0))</f>
        <v>KA</v>
      </c>
      <c r="J1907" t="str">
        <f>INDEX(State!C:C,MATCH(OrdersTable[[#This Row],[State Code]],State!B:B,0))</f>
        <v>South</v>
      </c>
      <c r="K1907" t="s">
        <v>190</v>
      </c>
      <c r="L1907" t="s">
        <v>50</v>
      </c>
      <c r="M1907" t="s">
        <v>51</v>
      </c>
      <c r="N1907" t="str">
        <f>INDEX(Products!B:B,MATCH(OrdersTable[[#This Row],[Product ID]],Products!A:A,0))</f>
        <v>Anti-Dandruff Conditioner</v>
      </c>
      <c r="O1907" t="str">
        <f>INDEX(Products!C:C,MATCH(OrdersTable[[#This Row],[Product ID]],Products!A:A,0))</f>
        <v>Haircare</v>
      </c>
      <c r="P1907">
        <v>1</v>
      </c>
      <c r="Q1907" s="5">
        <v>399</v>
      </c>
      <c r="R1907" s="74">
        <v>0.45</v>
      </c>
      <c r="S1907" s="75">
        <f>OrdersTable[[#This Row],[Quantity]]*OrdersTable[[#This Row],[Unit Price]]</f>
        <v>399</v>
      </c>
      <c r="T1907" s="5">
        <f>OrdersTable[[#This Row],[Gross Sale]]*OrdersTable[[#This Row],[Discount_Clean2]]</f>
        <v>179.55</v>
      </c>
      <c r="U1907" s="5">
        <f>OrdersTable[[#This Row],[Gross Sale]]-OrdersTable[[#This Row],[Discount Amount]]</f>
        <v>219.45</v>
      </c>
      <c r="V1907" s="77">
        <f>INDEX(Products!E:E,MATCH(OrdersTable[[#This Row],[Product ID]],Products!A:A,0))</f>
        <v>136</v>
      </c>
      <c r="W1907" s="77">
        <f>OrdersTable[[#This Row],[Quantity]]*OrdersTable[[#This Row],[Unit Cost]]</f>
        <v>136</v>
      </c>
      <c r="X1907" s="77">
        <f>'Dropdown Lists'!$I$2*(1+OrdersTable[[#This Row],[Returned]])</f>
        <v>60</v>
      </c>
      <c r="Y1907" s="76">
        <f>OrdersTable[[#This Row],[Net Revenue]]-OrdersTable[[#This Row],[COGS]]-OrdersTable[[#This Row],[Shipping Cost]]</f>
        <v>23.449999999999989</v>
      </c>
      <c r="Z1907" s="78">
        <f>IFERROR(OrdersTable[[#This Row],[Profit]]/OrdersTable[[#This Row],[Net Revenue]],0)</f>
        <v>0.10685805422647524</v>
      </c>
      <c r="AA1907" t="s">
        <v>3495</v>
      </c>
      <c r="AB1907" s="79">
        <v>45628</v>
      </c>
      <c r="AC1907">
        <f>OrdersTable[[#This Row],[Delivery Date]]-OrdersTable[[#This Row],[Order Date]]</f>
        <v>2</v>
      </c>
      <c r="AD1907" t="str">
        <f>IF(OrdersTable[[#This Row],[Delivery Days]]&lt;=2, "Express (≤2d)", IF(OrdersTable[[#This Row],[Delivery Days]]&lt;=4, "Standard (3-4d)", "Delayed (5d+)"))</f>
        <v>Express (≤2d)</v>
      </c>
      <c r="AE1907">
        <v>3</v>
      </c>
      <c r="AF1907">
        <v>0</v>
      </c>
    </row>
    <row r="1908" spans="1:32" ht="15" x14ac:dyDescent="0.35">
      <c r="A1908" t="s">
        <v>4585</v>
      </c>
      <c r="B1908" s="1">
        <v>45626</v>
      </c>
      <c r="C1908">
        <f>YEAR(OrdersTable[[#This Row],[Order Date]])</f>
        <v>2024</v>
      </c>
      <c r="D1908" s="2">
        <f>DATE(YEAR(OrdersTable[[#This Row],[Order Date]]),MONTH(OrdersTable[[#This Row],[Order Date]]),1)</f>
        <v>45597</v>
      </c>
      <c r="E1908">
        <f>MONTH(OrdersTable[[#This Row],[Order Date]])</f>
        <v>11</v>
      </c>
      <c r="F1908" t="s">
        <v>4586</v>
      </c>
      <c r="G1908" t="str">
        <f>IF(OrdersTable[[#This Row],[Order Date]]=_xlfn.MINIFS(Order_Date, Customer_ID, OrdersTable[[#This Row],[Customer ID]]), "New", "Repeat")</f>
        <v>New</v>
      </c>
      <c r="H1908" t="s">
        <v>167</v>
      </c>
      <c r="I1908" t="str">
        <f>INDEX(State!B:B,MATCH(OrdersTable[[#This Row],[State]],State!A:A,0))</f>
        <v>KA</v>
      </c>
      <c r="J1908" t="str">
        <f>INDEX(State!C:C,MATCH(OrdersTable[[#This Row],[State Code]],State!B:B,0))</f>
        <v>South</v>
      </c>
      <c r="K1908" t="s">
        <v>168</v>
      </c>
      <c r="L1908" t="s">
        <v>50</v>
      </c>
      <c r="M1908" t="s">
        <v>61</v>
      </c>
      <c r="N1908" t="str">
        <f>INDEX(Products!B:B,MATCH(OrdersTable[[#This Row],[Product ID]],Products!A:A,0))</f>
        <v>Multivitamin Gummies</v>
      </c>
      <c r="O1908" t="str">
        <f>INDEX(Products!C:C,MATCH(OrdersTable[[#This Row],[Product ID]],Products!A:A,0))</f>
        <v>Wellness</v>
      </c>
      <c r="P1908">
        <v>1</v>
      </c>
      <c r="Q1908" s="5">
        <v>699</v>
      </c>
      <c r="R1908" s="74">
        <v>0.25</v>
      </c>
      <c r="S1908" s="75">
        <f>OrdersTable[[#This Row],[Quantity]]*OrdersTable[[#This Row],[Unit Price]]</f>
        <v>699</v>
      </c>
      <c r="T1908" s="5">
        <f>OrdersTable[[#This Row],[Gross Sale]]*OrdersTable[[#This Row],[Discount_Clean2]]</f>
        <v>174.75</v>
      </c>
      <c r="U1908" s="5">
        <f>OrdersTable[[#This Row],[Gross Sale]]-OrdersTable[[#This Row],[Discount Amount]]</f>
        <v>524.25</v>
      </c>
      <c r="V1908" s="77">
        <f>INDEX(Products!E:E,MATCH(OrdersTable[[#This Row],[Product ID]],Products!A:A,0))</f>
        <v>238</v>
      </c>
      <c r="W1908" s="77">
        <f>OrdersTable[[#This Row],[Quantity]]*OrdersTable[[#This Row],[Unit Cost]]</f>
        <v>238</v>
      </c>
      <c r="X1908" s="77">
        <f>'Dropdown Lists'!$I$2*(1+OrdersTable[[#This Row],[Returned]])</f>
        <v>60</v>
      </c>
      <c r="Y1908" s="76">
        <f>OrdersTable[[#This Row],[Net Revenue]]-OrdersTable[[#This Row],[COGS]]-OrdersTable[[#This Row],[Shipping Cost]]</f>
        <v>226.25</v>
      </c>
      <c r="Z1908" s="78">
        <f>IFERROR(OrdersTable[[#This Row],[Profit]]/OrdersTable[[#This Row],[Net Revenue]],0)</f>
        <v>0.43156890796375774</v>
      </c>
      <c r="AA1908" t="s">
        <v>4450</v>
      </c>
      <c r="AB1908" s="79">
        <v>45630</v>
      </c>
      <c r="AC1908">
        <f>OrdersTable[[#This Row],[Delivery Date]]-OrdersTable[[#This Row],[Order Date]]</f>
        <v>4</v>
      </c>
      <c r="AD1908" t="str">
        <f>IF(OrdersTable[[#This Row],[Delivery Days]]&lt;=2, "Express (≤2d)", IF(OrdersTable[[#This Row],[Delivery Days]]&lt;=4, "Standard (3-4d)", "Delayed (5d+)"))</f>
        <v>Standard (3-4d)</v>
      </c>
      <c r="AF1908">
        <v>0</v>
      </c>
    </row>
    <row r="1909" spans="1:32" ht="15" x14ac:dyDescent="0.35">
      <c r="A1909" t="s">
        <v>4377</v>
      </c>
      <c r="B1909" s="1">
        <v>45627</v>
      </c>
      <c r="C1909">
        <f>YEAR(OrdersTable[[#This Row],[Order Date]])</f>
        <v>2024</v>
      </c>
      <c r="D1909" s="2">
        <f>DATE(YEAR(OrdersTable[[#This Row],[Order Date]]),MONTH(OrdersTable[[#This Row],[Order Date]]),1)</f>
        <v>45627</v>
      </c>
      <c r="E1909">
        <f>MONTH(OrdersTable[[#This Row],[Order Date]])</f>
        <v>12</v>
      </c>
      <c r="F1909" t="s">
        <v>629</v>
      </c>
      <c r="G1909" t="str">
        <f>IF(OrdersTable[[#This Row],[Order Date]]=_xlfn.MINIFS(Order_Date, Customer_ID, OrdersTable[[#This Row],[Customer ID]]), "New", "Repeat")</f>
        <v>New</v>
      </c>
      <c r="H1909" t="s">
        <v>128</v>
      </c>
      <c r="I1909" t="str">
        <f>INDEX(State!B:B,MATCH(OrdersTable[[#This Row],[State]],State!A:A,0))</f>
        <v>DL</v>
      </c>
      <c r="J1909" t="str">
        <f>INDEX(State!C:C,MATCH(OrdersTable[[#This Row],[State Code]],State!B:B,0))</f>
        <v>North</v>
      </c>
      <c r="K1909" t="s">
        <v>129</v>
      </c>
      <c r="L1909" t="s">
        <v>23</v>
      </c>
      <c r="M1909" t="s">
        <v>255</v>
      </c>
      <c r="N1909" t="str">
        <f>INDEX(Products!B:B,MATCH(OrdersTable[[#This Row],[Product ID]],Products!A:A,0))</f>
        <v>Cotton Oversized T-Shirt</v>
      </c>
      <c r="O1909" t="str">
        <f>INDEX(Products!C:C,MATCH(OrdersTable[[#This Row],[Product ID]],Products!A:A,0))</f>
        <v>Apparel</v>
      </c>
      <c r="P1909">
        <v>1</v>
      </c>
      <c r="Q1909" s="5">
        <v>799</v>
      </c>
      <c r="R1909" s="74">
        <v>0.1</v>
      </c>
      <c r="S1909" s="75">
        <f>OrdersTable[[#This Row],[Quantity]]*OrdersTable[[#This Row],[Unit Price]]</f>
        <v>799</v>
      </c>
      <c r="T1909" s="5">
        <f>OrdersTable[[#This Row],[Gross Sale]]*OrdersTable[[#This Row],[Discount_Clean2]]</f>
        <v>79.900000000000006</v>
      </c>
      <c r="U1909" s="5">
        <f>OrdersTable[[#This Row],[Gross Sale]]-OrdersTable[[#This Row],[Discount Amount]]</f>
        <v>719.1</v>
      </c>
      <c r="V1909" s="77">
        <f>INDEX(Products!E:E,MATCH(OrdersTable[[#This Row],[Product ID]],Products!A:A,0))</f>
        <v>320</v>
      </c>
      <c r="W1909" s="77">
        <f>OrdersTable[[#This Row],[Quantity]]*OrdersTable[[#This Row],[Unit Cost]]</f>
        <v>320</v>
      </c>
      <c r="X1909" s="77">
        <f>'Dropdown Lists'!$I$2*(1+OrdersTable[[#This Row],[Returned]])</f>
        <v>60</v>
      </c>
      <c r="Y1909" s="76">
        <f>OrdersTable[[#This Row],[Net Revenue]]-OrdersTable[[#This Row],[COGS]]-OrdersTable[[#This Row],[Shipping Cost]]</f>
        <v>339.1</v>
      </c>
      <c r="Z1909" s="78">
        <f>IFERROR(OrdersTable[[#This Row],[Profit]]/OrdersTable[[#This Row],[Net Revenue]],0)</f>
        <v>0.47156167431511614</v>
      </c>
      <c r="AA1909" t="s">
        <v>4074</v>
      </c>
      <c r="AB1909" s="79">
        <v>45628</v>
      </c>
      <c r="AC1909">
        <f>OrdersTable[[#This Row],[Delivery Date]]-OrdersTable[[#This Row],[Order Date]]</f>
        <v>1</v>
      </c>
      <c r="AD1909" t="str">
        <f>IF(OrdersTable[[#This Row],[Delivery Days]]&lt;=2, "Express (≤2d)", IF(OrdersTable[[#This Row],[Delivery Days]]&lt;=4, "Standard (3-4d)", "Delayed (5d+)"))</f>
        <v>Express (≤2d)</v>
      </c>
      <c r="AE1909">
        <v>4</v>
      </c>
      <c r="AF1909">
        <v>0</v>
      </c>
    </row>
    <row r="1910" spans="1:32" ht="15" x14ac:dyDescent="0.35">
      <c r="A1910" t="s">
        <v>6701</v>
      </c>
      <c r="B1910" s="1">
        <v>45627</v>
      </c>
      <c r="C1910">
        <f>YEAR(OrdersTable[[#This Row],[Order Date]])</f>
        <v>2024</v>
      </c>
      <c r="D1910" s="2">
        <f>DATE(YEAR(OrdersTable[[#This Row],[Order Date]]),MONTH(OrdersTable[[#This Row],[Order Date]]),1)</f>
        <v>45627</v>
      </c>
      <c r="E1910">
        <f>MONTH(OrdersTable[[#This Row],[Order Date]])</f>
        <v>12</v>
      </c>
      <c r="F1910" t="s">
        <v>2005</v>
      </c>
      <c r="G1910" t="str">
        <f>IF(OrdersTable[[#This Row],[Order Date]]=_xlfn.MINIFS(Order_Date, Customer_ID, OrdersTable[[#This Row],[Customer ID]]), "New", "Repeat")</f>
        <v>New</v>
      </c>
      <c r="H1910" t="s">
        <v>76</v>
      </c>
      <c r="I1910" t="str">
        <f>INDEX(State!B:B,MATCH(OrdersTable[[#This Row],[State]],State!A:A,0))</f>
        <v>UP</v>
      </c>
      <c r="J1910" t="str">
        <f>INDEX(State!C:C,MATCH(OrdersTable[[#This Row],[State Code]],State!B:B,0))</f>
        <v>North</v>
      </c>
      <c r="K1910" t="s">
        <v>118</v>
      </c>
      <c r="L1910" t="s">
        <v>50</v>
      </c>
      <c r="M1910" t="s">
        <v>109</v>
      </c>
      <c r="N1910" t="str">
        <f>INDEX(Products!B:B,MATCH(OrdersTable[[#This Row],[Product ID]],Products!A:A,0))</f>
        <v>Onion Hair Oil</v>
      </c>
      <c r="O1910" t="str">
        <f>INDEX(Products!C:C,MATCH(OrdersTable[[#This Row],[Product ID]],Products!A:A,0))</f>
        <v>Haircare</v>
      </c>
      <c r="P1910">
        <v>3</v>
      </c>
      <c r="Q1910" s="5">
        <v>349</v>
      </c>
      <c r="R1910" s="74">
        <v>0.3</v>
      </c>
      <c r="S1910" s="75">
        <f>OrdersTable[[#This Row],[Quantity]]*OrdersTable[[#This Row],[Unit Price]]</f>
        <v>1047</v>
      </c>
      <c r="T1910" s="5">
        <f>OrdersTable[[#This Row],[Gross Sale]]*OrdersTable[[#This Row],[Discount_Clean2]]</f>
        <v>314.09999999999997</v>
      </c>
      <c r="U1910" s="5">
        <f>OrdersTable[[#This Row],[Gross Sale]]-OrdersTable[[#This Row],[Discount Amount]]</f>
        <v>732.90000000000009</v>
      </c>
      <c r="V1910" s="77">
        <f>INDEX(Products!E:E,MATCH(OrdersTable[[#This Row],[Product ID]],Products!A:A,0))</f>
        <v>105</v>
      </c>
      <c r="W1910" s="77">
        <f>OrdersTable[[#This Row],[Quantity]]*OrdersTable[[#This Row],[Unit Cost]]</f>
        <v>315</v>
      </c>
      <c r="X1910" s="77">
        <f>'Dropdown Lists'!$I$2*(1+OrdersTable[[#This Row],[Returned]])</f>
        <v>60</v>
      </c>
      <c r="Y1910" s="76">
        <f>OrdersTable[[#This Row],[Net Revenue]]-OrdersTable[[#This Row],[COGS]]-OrdersTable[[#This Row],[Shipping Cost]]</f>
        <v>357.90000000000009</v>
      </c>
      <c r="Z1910" s="78">
        <f>IFERROR(OrdersTable[[#This Row],[Profit]]/OrdersTable[[#This Row],[Net Revenue]],0)</f>
        <v>0.48833401555464601</v>
      </c>
      <c r="AA1910" t="s">
        <v>2522</v>
      </c>
      <c r="AB1910" s="79">
        <v>45631</v>
      </c>
      <c r="AC1910">
        <f>OrdersTable[[#This Row],[Delivery Date]]-OrdersTable[[#This Row],[Order Date]]</f>
        <v>4</v>
      </c>
      <c r="AD1910" t="str">
        <f>IF(OrdersTable[[#This Row],[Delivery Days]]&lt;=2, "Express (≤2d)", IF(OrdersTable[[#This Row],[Delivery Days]]&lt;=4, "Standard (3-4d)", "Delayed (5d+)"))</f>
        <v>Standard (3-4d)</v>
      </c>
      <c r="AF1910">
        <v>0</v>
      </c>
    </row>
    <row r="1911" spans="1:32" ht="15" x14ac:dyDescent="0.35">
      <c r="A1911" t="s">
        <v>3886</v>
      </c>
      <c r="B1911" s="1">
        <v>45628</v>
      </c>
      <c r="C1911">
        <f>YEAR(OrdersTable[[#This Row],[Order Date]])</f>
        <v>2024</v>
      </c>
      <c r="D1911" s="2">
        <f>DATE(YEAR(OrdersTable[[#This Row],[Order Date]]),MONTH(OrdersTable[[#This Row],[Order Date]]),1)</f>
        <v>45627</v>
      </c>
      <c r="E1911">
        <f>MONTH(OrdersTable[[#This Row],[Order Date]])</f>
        <v>12</v>
      </c>
      <c r="F1911" t="s">
        <v>1119</v>
      </c>
      <c r="G1911" t="str">
        <f>IF(OrdersTable[[#This Row],[Order Date]]=_xlfn.MINIFS(Order_Date, Customer_ID, OrdersTable[[#This Row],[Customer ID]]), "New", "Repeat")</f>
        <v>Repeat</v>
      </c>
      <c r="H1911" t="s">
        <v>54</v>
      </c>
      <c r="I1911" t="str">
        <f>INDEX(State!B:B,MATCH(OrdersTable[[#This Row],[State]],State!A:A,0))</f>
        <v>RJ</v>
      </c>
      <c r="J1911" t="str">
        <f>INDEX(State!C:C,MATCH(OrdersTable[[#This Row],[State Code]],State!B:B,0))</f>
        <v>North</v>
      </c>
      <c r="K1911" t="s">
        <v>227</v>
      </c>
      <c r="L1911" t="s">
        <v>16</v>
      </c>
      <c r="M1911" t="s">
        <v>34</v>
      </c>
      <c r="N1911" t="str">
        <f>INDEX(Products!B:B,MATCH(OrdersTable[[#This Row],[Product ID]],Products!A:A,0))</f>
        <v>Flip Flops</v>
      </c>
      <c r="O1911" t="str">
        <f>INDEX(Products!C:C,MATCH(OrdersTable[[#This Row],[Product ID]],Products!A:A,0))</f>
        <v>Footwear</v>
      </c>
      <c r="P1911">
        <v>1</v>
      </c>
      <c r="Q1911" s="5">
        <v>399</v>
      </c>
      <c r="R1911" s="74">
        <v>0.2</v>
      </c>
      <c r="S1911" s="75">
        <f>OrdersTable[[#This Row],[Quantity]]*OrdersTable[[#This Row],[Unit Price]]</f>
        <v>399</v>
      </c>
      <c r="T1911" s="5">
        <f>OrdersTable[[#This Row],[Gross Sale]]*OrdersTable[[#This Row],[Discount_Clean2]]</f>
        <v>79.800000000000011</v>
      </c>
      <c r="U1911" s="5">
        <f>OrdersTable[[#This Row],[Gross Sale]]-OrdersTable[[#This Row],[Discount Amount]]</f>
        <v>319.2</v>
      </c>
      <c r="V1911" s="77">
        <f>INDEX(Products!E:E,MATCH(OrdersTable[[#This Row],[Product ID]],Products!A:A,0))</f>
        <v>152</v>
      </c>
      <c r="W1911" s="77">
        <f>OrdersTable[[#This Row],[Quantity]]*OrdersTable[[#This Row],[Unit Cost]]</f>
        <v>152</v>
      </c>
      <c r="X1911" s="77">
        <f>'Dropdown Lists'!$I$2*(1+OrdersTable[[#This Row],[Returned]])</f>
        <v>60</v>
      </c>
      <c r="Y1911" s="76">
        <f>OrdersTable[[#This Row],[Net Revenue]]-OrdersTable[[#This Row],[COGS]]-OrdersTable[[#This Row],[Shipping Cost]]</f>
        <v>107.19999999999999</v>
      </c>
      <c r="Z1911" s="78">
        <f>IFERROR(OrdersTable[[#This Row],[Profit]]/OrdersTable[[#This Row],[Net Revenue]],0)</f>
        <v>0.33583959899749372</v>
      </c>
      <c r="AA1911" t="s">
        <v>3495</v>
      </c>
      <c r="AB1911" s="79">
        <v>45633</v>
      </c>
      <c r="AC1911">
        <f>OrdersTable[[#This Row],[Delivery Date]]-OrdersTable[[#This Row],[Order Date]]</f>
        <v>5</v>
      </c>
      <c r="AD1911" t="str">
        <f>IF(OrdersTable[[#This Row],[Delivery Days]]&lt;=2, "Express (≤2d)", IF(OrdersTable[[#This Row],[Delivery Days]]&lt;=4, "Standard (3-4d)", "Delayed (5d+)"))</f>
        <v>Delayed (5d+)</v>
      </c>
      <c r="AE1911">
        <v>3</v>
      </c>
      <c r="AF1911">
        <v>0</v>
      </c>
    </row>
    <row r="1912" spans="1:32" ht="15" x14ac:dyDescent="0.35">
      <c r="A1912" t="s">
        <v>2119</v>
      </c>
      <c r="B1912" s="1">
        <v>45628</v>
      </c>
      <c r="C1912">
        <f>YEAR(OrdersTable[[#This Row],[Order Date]])</f>
        <v>2024</v>
      </c>
      <c r="D1912" s="2">
        <f>DATE(YEAR(OrdersTable[[#This Row],[Order Date]]),MONTH(OrdersTable[[#This Row],[Order Date]]),1)</f>
        <v>45627</v>
      </c>
      <c r="E1912">
        <f>MONTH(OrdersTable[[#This Row],[Order Date]])</f>
        <v>12</v>
      </c>
      <c r="F1912" t="s">
        <v>2120</v>
      </c>
      <c r="G1912" t="str">
        <f>IF(OrdersTable[[#This Row],[Order Date]]=_xlfn.MINIFS(Order_Date, Customer_ID, OrdersTable[[#This Row],[Customer ID]]), "New", "Repeat")</f>
        <v>New</v>
      </c>
      <c r="H1912" t="s">
        <v>128</v>
      </c>
      <c r="I1912" t="str">
        <f>INDEX(State!B:B,MATCH(OrdersTable[[#This Row],[State]],State!A:A,0))</f>
        <v>DL</v>
      </c>
      <c r="J1912" t="str">
        <f>INDEX(State!C:C,MATCH(OrdersTable[[#This Row],[State Code]],State!B:B,0))</f>
        <v>North</v>
      </c>
      <c r="K1912" t="s">
        <v>129</v>
      </c>
      <c r="L1912" t="s">
        <v>65</v>
      </c>
      <c r="M1912" t="s">
        <v>176</v>
      </c>
      <c r="N1912" t="str">
        <f>INDEX(Products!B:B,MATCH(OrdersTable[[#This Row],[Product ID]],Products!A:A,0))</f>
        <v>Denim Jacket</v>
      </c>
      <c r="O1912" t="str">
        <f>INDEX(Products!C:C,MATCH(OrdersTable[[#This Row],[Product ID]],Products!A:A,0))</f>
        <v>Apparel</v>
      </c>
      <c r="P1912">
        <v>1</v>
      </c>
      <c r="Q1912" s="5">
        <v>2499</v>
      </c>
      <c r="R1912" s="74">
        <v>0</v>
      </c>
      <c r="S1912" s="75">
        <f>OrdersTable[[#This Row],[Quantity]]*OrdersTable[[#This Row],[Unit Price]]</f>
        <v>2499</v>
      </c>
      <c r="T1912" s="5">
        <f>OrdersTable[[#This Row],[Gross Sale]]*OrdersTable[[#This Row],[Discount_Clean2]]</f>
        <v>0</v>
      </c>
      <c r="U1912" s="5">
        <f>OrdersTable[[#This Row],[Gross Sale]]-OrdersTable[[#This Row],[Discount Amount]]</f>
        <v>2499</v>
      </c>
      <c r="V1912" s="77">
        <f>INDEX(Products!E:E,MATCH(OrdersTable[[#This Row],[Product ID]],Products!A:A,0))</f>
        <v>1125</v>
      </c>
      <c r="W1912" s="77">
        <f>OrdersTable[[#This Row],[Quantity]]*OrdersTable[[#This Row],[Unit Cost]]</f>
        <v>1125</v>
      </c>
      <c r="X1912" s="77">
        <f>'Dropdown Lists'!$I$2*(1+OrdersTable[[#This Row],[Returned]])</f>
        <v>60</v>
      </c>
      <c r="Y1912" s="76">
        <f>OrdersTable[[#This Row],[Net Revenue]]-OrdersTable[[#This Row],[COGS]]-OrdersTable[[#This Row],[Shipping Cost]]</f>
        <v>1314</v>
      </c>
      <c r="Z1912" s="78">
        <f>IFERROR(OrdersTable[[#This Row],[Profit]]/OrdersTable[[#This Row],[Net Revenue]],0)</f>
        <v>0.5258103241296519</v>
      </c>
      <c r="AA1912" t="s">
        <v>18</v>
      </c>
      <c r="AB1912" s="79">
        <v>45631</v>
      </c>
      <c r="AC1912">
        <f>OrdersTable[[#This Row],[Delivery Date]]-OrdersTable[[#This Row],[Order Date]]</f>
        <v>3</v>
      </c>
      <c r="AD1912" t="str">
        <f>IF(OrdersTable[[#This Row],[Delivery Days]]&lt;=2, "Express (≤2d)", IF(OrdersTable[[#This Row],[Delivery Days]]&lt;=4, "Standard (3-4d)", "Delayed (5d+)"))</f>
        <v>Standard (3-4d)</v>
      </c>
      <c r="AE1912">
        <v>3</v>
      </c>
      <c r="AF1912">
        <v>0</v>
      </c>
    </row>
    <row r="1913" spans="1:32" ht="15" x14ac:dyDescent="0.35">
      <c r="A1913" t="s">
        <v>1519</v>
      </c>
      <c r="B1913" s="1">
        <v>45628</v>
      </c>
      <c r="C1913">
        <f>YEAR(OrdersTable[[#This Row],[Order Date]])</f>
        <v>2024</v>
      </c>
      <c r="D1913" s="2">
        <f>DATE(YEAR(OrdersTable[[#This Row],[Order Date]]),MONTH(OrdersTable[[#This Row],[Order Date]]),1)</f>
        <v>45627</v>
      </c>
      <c r="E1913">
        <f>MONTH(OrdersTable[[#This Row],[Order Date]])</f>
        <v>12</v>
      </c>
      <c r="F1913" t="s">
        <v>479</v>
      </c>
      <c r="G1913" t="str">
        <f>IF(OrdersTable[[#This Row],[Order Date]]=_xlfn.MINIFS(Order_Date, Customer_ID, OrdersTable[[#This Row],[Customer ID]]), "New", "Repeat")</f>
        <v>Repeat</v>
      </c>
      <c r="H1913" t="s">
        <v>43</v>
      </c>
      <c r="I1913" t="str">
        <f>INDEX(State!B:B,MATCH(OrdersTable[[#This Row],[State]],State!A:A,0))</f>
        <v>MP</v>
      </c>
      <c r="J1913" t="str">
        <f>INDEX(State!C:C,MATCH(OrdersTable[[#This Row],[State Code]],State!B:B,0))</f>
        <v>West</v>
      </c>
      <c r="K1913" t="s">
        <v>250</v>
      </c>
      <c r="L1913" t="s">
        <v>39</v>
      </c>
      <c r="M1913" t="s">
        <v>152</v>
      </c>
      <c r="N1913" t="str">
        <f>INDEX(Products!B:B,MATCH(OrdersTable[[#This Row],[Product ID]],Products!A:A,0))</f>
        <v>Green Tea (100 bags)</v>
      </c>
      <c r="O1913" t="str">
        <f>INDEX(Products!C:C,MATCH(OrdersTable[[#This Row],[Product ID]],Products!A:A,0))</f>
        <v>Wellness</v>
      </c>
      <c r="P1913">
        <v>1</v>
      </c>
      <c r="Q1913" s="5">
        <v>399</v>
      </c>
      <c r="R1913" s="74">
        <v>0.4</v>
      </c>
      <c r="S1913" s="75">
        <f>OrdersTable[[#This Row],[Quantity]]*OrdersTable[[#This Row],[Unit Price]]</f>
        <v>399</v>
      </c>
      <c r="T1913" s="5">
        <f>OrdersTable[[#This Row],[Gross Sale]]*OrdersTable[[#This Row],[Discount_Clean2]]</f>
        <v>159.60000000000002</v>
      </c>
      <c r="U1913" s="5">
        <f>OrdersTable[[#This Row],[Gross Sale]]-OrdersTable[[#This Row],[Discount Amount]]</f>
        <v>239.39999999999998</v>
      </c>
      <c r="V1913" s="77">
        <f>INDEX(Products!E:E,MATCH(OrdersTable[[#This Row],[Product ID]],Products!A:A,0))</f>
        <v>128</v>
      </c>
      <c r="W1913" s="77">
        <f>OrdersTable[[#This Row],[Quantity]]*OrdersTable[[#This Row],[Unit Cost]]</f>
        <v>128</v>
      </c>
      <c r="X1913" s="77">
        <f>'Dropdown Lists'!$I$2*(1+OrdersTable[[#This Row],[Returned]])</f>
        <v>60</v>
      </c>
      <c r="Y1913" s="76">
        <f>OrdersTable[[#This Row],[Net Revenue]]-OrdersTable[[#This Row],[COGS]]-OrdersTable[[#This Row],[Shipping Cost]]</f>
        <v>51.399999999999977</v>
      </c>
      <c r="Z1913" s="78">
        <f>IFERROR(OrdersTable[[#This Row],[Profit]]/OrdersTable[[#This Row],[Net Revenue]],0)</f>
        <v>0.21470342522974095</v>
      </c>
      <c r="AA1913" t="s">
        <v>18</v>
      </c>
      <c r="AB1913" s="79">
        <v>45632</v>
      </c>
      <c r="AC1913">
        <f>OrdersTable[[#This Row],[Delivery Date]]-OrdersTable[[#This Row],[Order Date]]</f>
        <v>4</v>
      </c>
      <c r="AD1913" t="str">
        <f>IF(OrdersTable[[#This Row],[Delivery Days]]&lt;=2, "Express (≤2d)", IF(OrdersTable[[#This Row],[Delivery Days]]&lt;=4, "Standard (3-4d)", "Delayed (5d+)"))</f>
        <v>Standard (3-4d)</v>
      </c>
      <c r="AF1913">
        <v>0</v>
      </c>
    </row>
    <row r="1914" spans="1:32" ht="15" x14ac:dyDescent="0.35">
      <c r="A1914" t="s">
        <v>5373</v>
      </c>
      <c r="B1914" s="1">
        <v>45628</v>
      </c>
      <c r="C1914">
        <f>YEAR(OrdersTable[[#This Row],[Order Date]])</f>
        <v>2024</v>
      </c>
      <c r="D1914" s="2">
        <f>DATE(YEAR(OrdersTable[[#This Row],[Order Date]]),MONTH(OrdersTable[[#This Row],[Order Date]]),1)</f>
        <v>45627</v>
      </c>
      <c r="E1914">
        <f>MONTH(OrdersTable[[#This Row],[Order Date]])</f>
        <v>12</v>
      </c>
      <c r="F1914" t="s">
        <v>2228</v>
      </c>
      <c r="G1914" t="str">
        <f>IF(OrdersTable[[#This Row],[Order Date]]=_xlfn.MINIFS(Order_Date, Customer_ID, OrdersTable[[#This Row],[Customer ID]]), "New", "Repeat")</f>
        <v>Repeat</v>
      </c>
      <c r="H1914" t="s">
        <v>43</v>
      </c>
      <c r="I1914" t="str">
        <f>INDEX(State!B:B,MATCH(OrdersTable[[#This Row],[State]],State!A:A,0))</f>
        <v>MP</v>
      </c>
      <c r="J1914" t="str">
        <f>INDEX(State!C:C,MATCH(OrdersTable[[#This Row],[State Code]],State!B:B,0))</f>
        <v>West</v>
      </c>
      <c r="K1914" t="s">
        <v>250</v>
      </c>
      <c r="L1914" t="s">
        <v>23</v>
      </c>
      <c r="M1914" t="s">
        <v>66</v>
      </c>
      <c r="N1914" t="str">
        <f>INDEX(Products!B:B,MATCH(OrdersTable[[#This Row],[Product ID]],Products!A:A,0))</f>
        <v>Sunscreen SPF 50</v>
      </c>
      <c r="O1914" t="str">
        <f>INDEX(Products!C:C,MATCH(OrdersTable[[#This Row],[Product ID]],Products!A:A,0))</f>
        <v>Skincare</v>
      </c>
      <c r="P1914">
        <v>2</v>
      </c>
      <c r="Q1914" s="5">
        <v>449</v>
      </c>
      <c r="R1914" s="74">
        <v>0.05</v>
      </c>
      <c r="S1914" s="75">
        <f>OrdersTable[[#This Row],[Quantity]]*OrdersTable[[#This Row],[Unit Price]]</f>
        <v>898</v>
      </c>
      <c r="T1914" s="5">
        <f>OrdersTable[[#This Row],[Gross Sale]]*OrdersTable[[#This Row],[Discount_Clean2]]</f>
        <v>44.900000000000006</v>
      </c>
      <c r="U1914" s="5">
        <f>OrdersTable[[#This Row],[Gross Sale]]-OrdersTable[[#This Row],[Discount Amount]]</f>
        <v>853.1</v>
      </c>
      <c r="V1914" s="77">
        <f>INDEX(Products!E:E,MATCH(OrdersTable[[#This Row],[Product ID]],Products!A:A,0))</f>
        <v>144</v>
      </c>
      <c r="W1914" s="77">
        <f>OrdersTable[[#This Row],[Quantity]]*OrdersTable[[#This Row],[Unit Cost]]</f>
        <v>288</v>
      </c>
      <c r="X1914" s="77">
        <f>'Dropdown Lists'!$I$2*(1+OrdersTable[[#This Row],[Returned]])</f>
        <v>60</v>
      </c>
      <c r="Y1914" s="76">
        <f>OrdersTable[[#This Row],[Net Revenue]]-OrdersTable[[#This Row],[COGS]]-OrdersTable[[#This Row],[Shipping Cost]]</f>
        <v>505.1</v>
      </c>
      <c r="Z1914" s="78">
        <f>IFERROR(OrdersTable[[#This Row],[Profit]]/OrdersTable[[#This Row],[Net Revenue]],0)</f>
        <v>0.59207595826983939</v>
      </c>
      <c r="AA1914" t="s">
        <v>2522</v>
      </c>
      <c r="AB1914" s="79">
        <v>45632</v>
      </c>
      <c r="AC1914">
        <f>OrdersTable[[#This Row],[Delivery Date]]-OrdersTable[[#This Row],[Order Date]]</f>
        <v>4</v>
      </c>
      <c r="AD1914" t="str">
        <f>IF(OrdersTable[[#This Row],[Delivery Days]]&lt;=2, "Express (≤2d)", IF(OrdersTable[[#This Row],[Delivery Days]]&lt;=4, "Standard (3-4d)", "Delayed (5d+)"))</f>
        <v>Standard (3-4d)</v>
      </c>
      <c r="AF1914">
        <v>0</v>
      </c>
    </row>
    <row r="1915" spans="1:32" ht="15" x14ac:dyDescent="0.35">
      <c r="A1915" t="s">
        <v>2990</v>
      </c>
      <c r="B1915" s="1">
        <v>45628</v>
      </c>
      <c r="C1915">
        <f>YEAR(OrdersTable[[#This Row],[Order Date]])</f>
        <v>2024</v>
      </c>
      <c r="D1915" s="2">
        <f>DATE(YEAR(OrdersTable[[#This Row],[Order Date]]),MONTH(OrdersTable[[#This Row],[Order Date]]),1)</f>
        <v>45627</v>
      </c>
      <c r="E1915">
        <f>MONTH(OrdersTable[[#This Row],[Order Date]])</f>
        <v>12</v>
      </c>
      <c r="F1915" t="s">
        <v>1783</v>
      </c>
      <c r="G1915" t="str">
        <f>IF(OrdersTable[[#This Row],[Order Date]]=_xlfn.MINIFS(Order_Date, Customer_ID, OrdersTable[[#This Row],[Customer ID]]), "New", "Repeat")</f>
        <v>New</v>
      </c>
      <c r="H1915" t="s">
        <v>27</v>
      </c>
      <c r="I1915" t="str">
        <f>INDEX(State!B:B,MATCH(OrdersTable[[#This Row],[State]],State!A:A,0))</f>
        <v>WB</v>
      </c>
      <c r="J1915" t="str">
        <f>INDEX(State!C:C,MATCH(OrdersTable[[#This Row],[State Code]],State!B:B,0))</f>
        <v>East</v>
      </c>
      <c r="K1915" t="s">
        <v>28</v>
      </c>
      <c r="L1915" t="s">
        <v>50</v>
      </c>
      <c r="M1915" t="s">
        <v>40</v>
      </c>
      <c r="N1915" t="str">
        <f>INDEX(Products!B:B,MATCH(OrdersTable[[#This Row],[Product ID]],Products!A:A,0))</f>
        <v>Ashwagandha Capsules</v>
      </c>
      <c r="O1915" t="str">
        <f>INDEX(Products!C:C,MATCH(OrdersTable[[#This Row],[Product ID]],Products!A:A,0))</f>
        <v>Wellness</v>
      </c>
      <c r="P1915">
        <v>1</v>
      </c>
      <c r="Q1915" s="5">
        <v>499</v>
      </c>
      <c r="R1915" s="74">
        <v>0.05</v>
      </c>
      <c r="S1915" s="75">
        <f>OrdersTable[[#This Row],[Quantity]]*OrdersTable[[#This Row],[Unit Price]]</f>
        <v>499</v>
      </c>
      <c r="T1915" s="5">
        <f>OrdersTable[[#This Row],[Gross Sale]]*OrdersTable[[#This Row],[Discount_Clean2]]</f>
        <v>24.950000000000003</v>
      </c>
      <c r="U1915" s="5">
        <f>OrdersTable[[#This Row],[Gross Sale]]-OrdersTable[[#This Row],[Discount Amount]]</f>
        <v>474.05</v>
      </c>
      <c r="V1915" s="77">
        <f>INDEX(Products!E:E,MATCH(OrdersTable[[#This Row],[Product ID]],Products!A:A,0))</f>
        <v>150</v>
      </c>
      <c r="W1915" s="77">
        <f>OrdersTable[[#This Row],[Quantity]]*OrdersTable[[#This Row],[Unit Cost]]</f>
        <v>150</v>
      </c>
      <c r="X1915" s="77">
        <f>'Dropdown Lists'!$I$2*(1+OrdersTable[[#This Row],[Returned]])</f>
        <v>60</v>
      </c>
      <c r="Y1915" s="76">
        <f>OrdersTable[[#This Row],[Net Revenue]]-OrdersTable[[#This Row],[COGS]]-OrdersTable[[#This Row],[Shipping Cost]]</f>
        <v>264.05</v>
      </c>
      <c r="Z1915" s="78">
        <f>IFERROR(OrdersTable[[#This Row],[Profit]]/OrdersTable[[#This Row],[Net Revenue]],0)</f>
        <v>0.55700875435080688</v>
      </c>
      <c r="AA1915" t="s">
        <v>2522</v>
      </c>
      <c r="AB1915" s="79">
        <v>45631</v>
      </c>
      <c r="AC1915">
        <f>OrdersTable[[#This Row],[Delivery Date]]-OrdersTable[[#This Row],[Order Date]]</f>
        <v>3</v>
      </c>
      <c r="AD1915" t="str">
        <f>IF(OrdersTable[[#This Row],[Delivery Days]]&lt;=2, "Express (≤2d)", IF(OrdersTable[[#This Row],[Delivery Days]]&lt;=4, "Standard (3-4d)", "Delayed (5d+)"))</f>
        <v>Standard (3-4d)</v>
      </c>
      <c r="AF1915">
        <v>0</v>
      </c>
    </row>
    <row r="1916" spans="1:32" ht="15" x14ac:dyDescent="0.35">
      <c r="A1916" t="s">
        <v>4493</v>
      </c>
      <c r="B1916" s="1">
        <v>45628</v>
      </c>
      <c r="C1916">
        <f>YEAR(OrdersTable[[#This Row],[Order Date]])</f>
        <v>2024</v>
      </c>
      <c r="D1916" s="2">
        <f>DATE(YEAR(OrdersTable[[#This Row],[Order Date]]),MONTH(OrdersTable[[#This Row],[Order Date]]),1)</f>
        <v>45627</v>
      </c>
      <c r="E1916">
        <f>MONTH(OrdersTable[[#This Row],[Order Date]])</f>
        <v>12</v>
      </c>
      <c r="F1916" t="s">
        <v>4494</v>
      </c>
      <c r="G1916" t="str">
        <f>IF(OrdersTable[[#This Row],[Order Date]]=_xlfn.MINIFS(Order_Date, Customer_ID, OrdersTable[[#This Row],[Customer ID]]), "New", "Repeat")</f>
        <v>New</v>
      </c>
      <c r="H1916" t="s">
        <v>71</v>
      </c>
      <c r="I1916" t="str">
        <f>INDEX(State!B:B,MATCH(OrdersTable[[#This Row],[State]],State!A:A,0))</f>
        <v>MH</v>
      </c>
      <c r="J1916" t="str">
        <f>INDEX(State!C:C,MATCH(OrdersTable[[#This Row],[State Code]],State!B:B,0))</f>
        <v>West</v>
      </c>
      <c r="K1916" t="s">
        <v>102</v>
      </c>
      <c r="L1916" t="s">
        <v>50</v>
      </c>
      <c r="M1916" t="s">
        <v>56</v>
      </c>
      <c r="N1916" t="str">
        <f>INDEX(Products!B:B,MATCH(OrdersTable[[#This Row],[Product ID]],Products!A:A,0))</f>
        <v>Vitamin C Face Serum</v>
      </c>
      <c r="O1916" t="str">
        <f>INDEX(Products!C:C,MATCH(OrdersTable[[#This Row],[Product ID]],Products!A:A,0))</f>
        <v>Skincare</v>
      </c>
      <c r="P1916">
        <v>1</v>
      </c>
      <c r="Q1916" s="5">
        <v>599</v>
      </c>
      <c r="R1916" s="74">
        <v>0.25</v>
      </c>
      <c r="S1916" s="75">
        <f>OrdersTable[[#This Row],[Quantity]]*OrdersTable[[#This Row],[Unit Price]]</f>
        <v>599</v>
      </c>
      <c r="T1916" s="5">
        <f>OrdersTable[[#This Row],[Gross Sale]]*OrdersTable[[#This Row],[Discount_Clean2]]</f>
        <v>149.75</v>
      </c>
      <c r="U1916" s="5">
        <f>OrdersTable[[#This Row],[Gross Sale]]-OrdersTable[[#This Row],[Discount Amount]]</f>
        <v>449.25</v>
      </c>
      <c r="V1916" s="77">
        <f>INDEX(Products!E:E,MATCH(OrdersTable[[#This Row],[Product ID]],Products!A:A,0))</f>
        <v>180</v>
      </c>
      <c r="W1916" s="77">
        <f>OrdersTable[[#This Row],[Quantity]]*OrdersTable[[#This Row],[Unit Cost]]</f>
        <v>180</v>
      </c>
      <c r="X1916" s="77">
        <f>'Dropdown Lists'!$I$2*(1+OrdersTable[[#This Row],[Returned]])</f>
        <v>60</v>
      </c>
      <c r="Y1916" s="76">
        <f>OrdersTable[[#This Row],[Net Revenue]]-OrdersTable[[#This Row],[COGS]]-OrdersTable[[#This Row],[Shipping Cost]]</f>
        <v>209.25</v>
      </c>
      <c r="Z1916" s="78">
        <f>IFERROR(OrdersTable[[#This Row],[Profit]]/OrdersTable[[#This Row],[Net Revenue]],0)</f>
        <v>0.46577629382303842</v>
      </c>
      <c r="AA1916" t="s">
        <v>4450</v>
      </c>
      <c r="AB1916" s="79">
        <v>45630</v>
      </c>
      <c r="AC1916">
        <f>OrdersTable[[#This Row],[Delivery Date]]-OrdersTable[[#This Row],[Order Date]]</f>
        <v>2</v>
      </c>
      <c r="AD1916" t="str">
        <f>IF(OrdersTable[[#This Row],[Delivery Days]]&lt;=2, "Express (≤2d)", IF(OrdersTable[[#This Row],[Delivery Days]]&lt;=4, "Standard (3-4d)", "Delayed (5d+)"))</f>
        <v>Express (≤2d)</v>
      </c>
      <c r="AE1916">
        <v>4</v>
      </c>
      <c r="AF1916">
        <v>0</v>
      </c>
    </row>
    <row r="1917" spans="1:32" ht="15" x14ac:dyDescent="0.35">
      <c r="A1917" t="s">
        <v>3576</v>
      </c>
      <c r="B1917" s="1">
        <v>45628</v>
      </c>
      <c r="C1917">
        <f>YEAR(OrdersTable[[#This Row],[Order Date]])</f>
        <v>2024</v>
      </c>
      <c r="D1917" s="2">
        <f>DATE(YEAR(OrdersTable[[#This Row],[Order Date]]),MONTH(OrdersTable[[#This Row],[Order Date]]),1)</f>
        <v>45627</v>
      </c>
      <c r="E1917">
        <f>MONTH(OrdersTable[[#This Row],[Order Date]])</f>
        <v>12</v>
      </c>
      <c r="F1917" t="s">
        <v>972</v>
      </c>
      <c r="G1917" t="str">
        <f>IF(OrdersTable[[#This Row],[Order Date]]=_xlfn.MINIFS(Order_Date, Customer_ID, OrdersTable[[#This Row],[Customer ID]]), "New", "Repeat")</f>
        <v>New</v>
      </c>
      <c r="H1917" t="s">
        <v>71</v>
      </c>
      <c r="I1917" t="str">
        <f>INDEX(State!B:B,MATCH(OrdersTable[[#This Row],[State]],State!A:A,0))</f>
        <v>MH</v>
      </c>
      <c r="J1917" t="str">
        <f>INDEX(State!C:C,MATCH(OrdersTable[[#This Row],[State Code]],State!B:B,0))</f>
        <v>West</v>
      </c>
      <c r="K1917" t="s">
        <v>102</v>
      </c>
      <c r="L1917" t="s">
        <v>50</v>
      </c>
      <c r="M1917" t="s">
        <v>73</v>
      </c>
      <c r="N1917" t="str">
        <f>INDEX(Products!B:B,MATCH(OrdersTable[[#This Row],[Product ID]],Products!A:A,0))</f>
        <v>Hydrating Face Wash</v>
      </c>
      <c r="O1917" t="str">
        <f>INDEX(Products!C:C,MATCH(OrdersTable[[#This Row],[Product ID]],Products!A:A,0))</f>
        <v>Skincare</v>
      </c>
      <c r="P1917">
        <v>1</v>
      </c>
      <c r="Q1917" s="5">
        <v>299</v>
      </c>
      <c r="R1917" s="74">
        <v>0</v>
      </c>
      <c r="S1917" s="75">
        <f>OrdersTable[[#This Row],[Quantity]]*OrdersTable[[#This Row],[Unit Price]]</f>
        <v>299</v>
      </c>
      <c r="T1917" s="5">
        <f>OrdersTable[[#This Row],[Gross Sale]]*OrdersTable[[#This Row],[Discount_Clean2]]</f>
        <v>0</v>
      </c>
      <c r="U1917" s="5">
        <f>OrdersTable[[#This Row],[Gross Sale]]-OrdersTable[[#This Row],[Discount Amount]]</f>
        <v>299</v>
      </c>
      <c r="V1917" s="77">
        <f>INDEX(Products!E:E,MATCH(OrdersTable[[#This Row],[Product ID]],Products!A:A,0))</f>
        <v>90</v>
      </c>
      <c r="W1917" s="77">
        <f>OrdersTable[[#This Row],[Quantity]]*OrdersTable[[#This Row],[Unit Cost]]</f>
        <v>90</v>
      </c>
      <c r="X1917" s="77">
        <f>'Dropdown Lists'!$I$2*(1+OrdersTable[[#This Row],[Returned]])</f>
        <v>60</v>
      </c>
      <c r="Y1917" s="76">
        <f>OrdersTable[[#This Row],[Net Revenue]]-OrdersTable[[#This Row],[COGS]]-OrdersTable[[#This Row],[Shipping Cost]]</f>
        <v>149</v>
      </c>
      <c r="Z1917" s="78">
        <f>IFERROR(OrdersTable[[#This Row],[Profit]]/OrdersTable[[#This Row],[Net Revenue]],0)</f>
        <v>0.49832775919732442</v>
      </c>
      <c r="AA1917" t="s">
        <v>3495</v>
      </c>
      <c r="AB1917" s="79">
        <v>45629</v>
      </c>
      <c r="AC1917">
        <f>OrdersTable[[#This Row],[Delivery Date]]-OrdersTable[[#This Row],[Order Date]]</f>
        <v>1</v>
      </c>
      <c r="AD1917" t="str">
        <f>IF(OrdersTable[[#This Row],[Delivery Days]]&lt;=2, "Express (≤2d)", IF(OrdersTable[[#This Row],[Delivery Days]]&lt;=4, "Standard (3-4d)", "Delayed (5d+)"))</f>
        <v>Express (≤2d)</v>
      </c>
      <c r="AE1917">
        <v>4</v>
      </c>
      <c r="AF1917">
        <v>0</v>
      </c>
    </row>
    <row r="1918" spans="1:32" ht="15" x14ac:dyDescent="0.35">
      <c r="A1918" t="s">
        <v>5146</v>
      </c>
      <c r="B1918" s="1">
        <v>45629</v>
      </c>
      <c r="C1918">
        <f>YEAR(OrdersTable[[#This Row],[Order Date]])</f>
        <v>2024</v>
      </c>
      <c r="D1918" s="2">
        <f>DATE(YEAR(OrdersTable[[#This Row],[Order Date]]),MONTH(OrdersTable[[#This Row],[Order Date]]),1)</f>
        <v>45627</v>
      </c>
      <c r="E1918">
        <f>MONTH(OrdersTable[[#This Row],[Order Date]])</f>
        <v>12</v>
      </c>
      <c r="F1918" t="s">
        <v>3225</v>
      </c>
      <c r="G1918" t="str">
        <f>IF(OrdersTable[[#This Row],[Order Date]]=_xlfn.MINIFS(Order_Date, Customer_ID, OrdersTable[[#This Row],[Customer ID]]), "New", "Repeat")</f>
        <v>Repeat</v>
      </c>
      <c r="H1918" t="s">
        <v>37</v>
      </c>
      <c r="I1918" t="str">
        <f>INDEX(State!B:B,MATCH(OrdersTable[[#This Row],[State]],State!A:A,0))</f>
        <v>GJ</v>
      </c>
      <c r="J1918" t="str">
        <f>INDEX(State!C:C,MATCH(OrdersTable[[#This Row],[State Code]],State!B:B,0))</f>
        <v>West</v>
      </c>
      <c r="K1918" t="s">
        <v>38</v>
      </c>
      <c r="L1918" t="s">
        <v>16</v>
      </c>
      <c r="M1918" t="s">
        <v>205</v>
      </c>
      <c r="N1918" t="str">
        <f>INDEX(Products!B:B,MATCH(OrdersTable[[#This Row],[Product ID]],Products!A:A,0))</f>
        <v>Running Shoes</v>
      </c>
      <c r="O1918" t="str">
        <f>INDEX(Products!C:C,MATCH(OrdersTable[[#This Row],[Product ID]],Products!A:A,0))</f>
        <v>Footwear</v>
      </c>
      <c r="P1918">
        <v>2</v>
      </c>
      <c r="Q1918" s="5">
        <v>2999</v>
      </c>
      <c r="R1918" s="74">
        <v>0.25</v>
      </c>
      <c r="S1918" s="75">
        <f>OrdersTable[[#This Row],[Quantity]]*OrdersTable[[#This Row],[Unit Price]]</f>
        <v>5998</v>
      </c>
      <c r="T1918" s="5">
        <f>OrdersTable[[#This Row],[Gross Sale]]*OrdersTable[[#This Row],[Discount_Clean2]]</f>
        <v>1499.5</v>
      </c>
      <c r="U1918" s="5">
        <f>OrdersTable[[#This Row],[Gross Sale]]-OrdersTable[[#This Row],[Discount Amount]]</f>
        <v>4498.5</v>
      </c>
      <c r="V1918" s="77">
        <f>INDEX(Products!E:E,MATCH(OrdersTable[[#This Row],[Product ID]],Products!A:A,0))</f>
        <v>1440</v>
      </c>
      <c r="W1918" s="77">
        <f>OrdersTable[[#This Row],[Quantity]]*OrdersTable[[#This Row],[Unit Cost]]</f>
        <v>2880</v>
      </c>
      <c r="X1918" s="77">
        <f>'Dropdown Lists'!$I$2*(1+OrdersTable[[#This Row],[Returned]])</f>
        <v>60</v>
      </c>
      <c r="Y1918" s="76">
        <f>OrdersTable[[#This Row],[Net Revenue]]-OrdersTable[[#This Row],[COGS]]-OrdersTable[[#This Row],[Shipping Cost]]</f>
        <v>1558.5</v>
      </c>
      <c r="Z1918" s="78">
        <f>IFERROR(OrdersTable[[#This Row],[Profit]]/OrdersTable[[#This Row],[Net Revenue]],0)</f>
        <v>0.34644881627209068</v>
      </c>
      <c r="AA1918" t="s">
        <v>3495</v>
      </c>
      <c r="AB1918" s="79">
        <v>45633</v>
      </c>
      <c r="AC1918">
        <f>OrdersTable[[#This Row],[Delivery Date]]-OrdersTable[[#This Row],[Order Date]]</f>
        <v>4</v>
      </c>
      <c r="AD1918" t="str">
        <f>IF(OrdersTable[[#This Row],[Delivery Days]]&lt;=2, "Express (≤2d)", IF(OrdersTable[[#This Row],[Delivery Days]]&lt;=4, "Standard (3-4d)", "Delayed (5d+)"))</f>
        <v>Standard (3-4d)</v>
      </c>
      <c r="AE1918">
        <v>3</v>
      </c>
      <c r="AF1918">
        <v>0</v>
      </c>
    </row>
    <row r="1919" spans="1:32" ht="15" x14ac:dyDescent="0.35">
      <c r="A1919" t="s">
        <v>7077</v>
      </c>
      <c r="B1919" s="1">
        <v>45629</v>
      </c>
      <c r="C1919">
        <f>YEAR(OrdersTable[[#This Row],[Order Date]])</f>
        <v>2024</v>
      </c>
      <c r="D1919" s="2">
        <f>DATE(YEAR(OrdersTable[[#This Row],[Order Date]]),MONTH(OrdersTable[[#This Row],[Order Date]]),1)</f>
        <v>45627</v>
      </c>
      <c r="E1919">
        <f>MONTH(OrdersTable[[#This Row],[Order Date]])</f>
        <v>12</v>
      </c>
      <c r="F1919" t="s">
        <v>2742</v>
      </c>
      <c r="G1919" t="str">
        <f>IF(OrdersTable[[#This Row],[Order Date]]=_xlfn.MINIFS(Order_Date, Customer_ID, OrdersTable[[#This Row],[Customer ID]]), "New", "Repeat")</f>
        <v>Repeat</v>
      </c>
      <c r="H1919" t="s">
        <v>27</v>
      </c>
      <c r="I1919" t="str">
        <f>INDEX(State!B:B,MATCH(OrdersTable[[#This Row],[State]],State!A:A,0))</f>
        <v>WB</v>
      </c>
      <c r="J1919" t="str">
        <f>INDEX(State!C:C,MATCH(OrdersTable[[#This Row],[State Code]],State!B:B,0))</f>
        <v>East</v>
      </c>
      <c r="K1919" t="s">
        <v>28</v>
      </c>
      <c r="L1919" t="s">
        <v>16</v>
      </c>
      <c r="M1919" t="s">
        <v>29</v>
      </c>
      <c r="N1919" t="str">
        <f>INDEX(Products!B:B,MATCH(OrdersTable[[#This Row],[Product ID]],Products!A:A,0))</f>
        <v>Joggers</v>
      </c>
      <c r="O1919" t="str">
        <f>INDEX(Products!C:C,MATCH(OrdersTable[[#This Row],[Product ID]],Products!A:A,0))</f>
        <v>Apparel</v>
      </c>
      <c r="P1919">
        <v>4</v>
      </c>
      <c r="Q1919" s="5">
        <v>1199</v>
      </c>
      <c r="R1919" s="74">
        <v>0.05</v>
      </c>
      <c r="S1919" s="75">
        <f>OrdersTable[[#This Row],[Quantity]]*OrdersTable[[#This Row],[Unit Price]]</f>
        <v>4796</v>
      </c>
      <c r="T1919" s="5">
        <f>OrdersTable[[#This Row],[Gross Sale]]*OrdersTable[[#This Row],[Discount_Clean2]]</f>
        <v>239.8</v>
      </c>
      <c r="U1919" s="5">
        <f>OrdersTable[[#This Row],[Gross Sale]]-OrdersTable[[#This Row],[Discount Amount]]</f>
        <v>4556.2</v>
      </c>
      <c r="V1919" s="77">
        <f>INDEX(Products!E:E,MATCH(OrdersTable[[#This Row],[Product ID]],Products!A:A,0))</f>
        <v>492</v>
      </c>
      <c r="W1919" s="77">
        <f>OrdersTable[[#This Row],[Quantity]]*OrdersTable[[#This Row],[Unit Cost]]</f>
        <v>1968</v>
      </c>
      <c r="X1919" s="77">
        <f>'Dropdown Lists'!$I$2*(1+OrdersTable[[#This Row],[Returned]])</f>
        <v>60</v>
      </c>
      <c r="Y1919" s="76">
        <f>OrdersTable[[#This Row],[Net Revenue]]-OrdersTable[[#This Row],[COGS]]-OrdersTable[[#This Row],[Shipping Cost]]</f>
        <v>2528.1999999999998</v>
      </c>
      <c r="Z1919" s="78">
        <f>IFERROR(OrdersTable[[#This Row],[Profit]]/OrdersTable[[#This Row],[Net Revenue]],0)</f>
        <v>0.55489223475703431</v>
      </c>
      <c r="AA1919" t="s">
        <v>18</v>
      </c>
      <c r="AB1919" s="79">
        <v>45632</v>
      </c>
      <c r="AC1919">
        <f>OrdersTable[[#This Row],[Delivery Date]]-OrdersTable[[#This Row],[Order Date]]</f>
        <v>3</v>
      </c>
      <c r="AD1919" t="str">
        <f>IF(OrdersTable[[#This Row],[Delivery Days]]&lt;=2, "Express (≤2d)", IF(OrdersTable[[#This Row],[Delivery Days]]&lt;=4, "Standard (3-4d)", "Delayed (5d+)"))</f>
        <v>Standard (3-4d)</v>
      </c>
      <c r="AF1919">
        <v>0</v>
      </c>
    </row>
    <row r="1920" spans="1:32" ht="15" x14ac:dyDescent="0.35">
      <c r="A1920" t="s">
        <v>787</v>
      </c>
      <c r="B1920" s="1">
        <v>45629</v>
      </c>
      <c r="C1920">
        <f>YEAR(OrdersTable[[#This Row],[Order Date]])</f>
        <v>2024</v>
      </c>
      <c r="D1920" s="2">
        <f>DATE(YEAR(OrdersTable[[#This Row],[Order Date]]),MONTH(OrdersTable[[#This Row],[Order Date]]),1)</f>
        <v>45627</v>
      </c>
      <c r="E1920">
        <f>MONTH(OrdersTable[[#This Row],[Order Date]])</f>
        <v>12</v>
      </c>
      <c r="F1920" t="s">
        <v>788</v>
      </c>
      <c r="G1920" t="str">
        <f>IF(OrdersTable[[#This Row],[Order Date]]=_xlfn.MINIFS(Order_Date, Customer_ID, OrdersTable[[#This Row],[Customer ID]]), "New", "Repeat")</f>
        <v>New</v>
      </c>
      <c r="H1920" t="s">
        <v>59</v>
      </c>
      <c r="I1920" t="str">
        <f>INDEX(State!B:B,MATCH(OrdersTable[[#This Row],[State]],State!A:A,0))</f>
        <v>TN</v>
      </c>
      <c r="J1920" t="str">
        <f>INDEX(State!C:C,MATCH(OrdersTable[[#This Row],[State Code]],State!B:B,0))</f>
        <v>South</v>
      </c>
      <c r="K1920" t="s">
        <v>60</v>
      </c>
      <c r="L1920" t="s">
        <v>50</v>
      </c>
      <c r="M1920" t="s">
        <v>61</v>
      </c>
      <c r="N1920" t="str">
        <f>INDEX(Products!B:B,MATCH(OrdersTable[[#This Row],[Product ID]],Products!A:A,0))</f>
        <v>Multivitamin Gummies</v>
      </c>
      <c r="O1920" t="str">
        <f>INDEX(Products!C:C,MATCH(OrdersTable[[#This Row],[Product ID]],Products!A:A,0))</f>
        <v>Wellness</v>
      </c>
      <c r="P1920">
        <v>1</v>
      </c>
      <c r="Q1920" s="5">
        <v>699</v>
      </c>
      <c r="R1920" s="74">
        <v>0.3</v>
      </c>
      <c r="S1920" s="75">
        <f>OrdersTable[[#This Row],[Quantity]]*OrdersTable[[#This Row],[Unit Price]]</f>
        <v>699</v>
      </c>
      <c r="T1920" s="5">
        <f>OrdersTable[[#This Row],[Gross Sale]]*OrdersTable[[#This Row],[Discount_Clean2]]</f>
        <v>209.7</v>
      </c>
      <c r="U1920" s="5">
        <f>OrdersTable[[#This Row],[Gross Sale]]-OrdersTable[[#This Row],[Discount Amount]]</f>
        <v>489.3</v>
      </c>
      <c r="V1920" s="77">
        <f>INDEX(Products!E:E,MATCH(OrdersTable[[#This Row],[Product ID]],Products!A:A,0))</f>
        <v>238</v>
      </c>
      <c r="W1920" s="77">
        <f>OrdersTable[[#This Row],[Quantity]]*OrdersTable[[#This Row],[Unit Cost]]</f>
        <v>238</v>
      </c>
      <c r="X1920" s="77">
        <f>'Dropdown Lists'!$I$2*(1+OrdersTable[[#This Row],[Returned]])</f>
        <v>60</v>
      </c>
      <c r="Y1920" s="76">
        <f>OrdersTable[[#This Row],[Net Revenue]]-OrdersTable[[#This Row],[COGS]]-OrdersTable[[#This Row],[Shipping Cost]]</f>
        <v>191.3</v>
      </c>
      <c r="Z1920" s="78">
        <f>IFERROR(OrdersTable[[#This Row],[Profit]]/OrdersTable[[#This Row],[Net Revenue]],0)</f>
        <v>0.39096668710402616</v>
      </c>
      <c r="AA1920" t="s">
        <v>18</v>
      </c>
      <c r="AB1920" s="79">
        <v>45634</v>
      </c>
      <c r="AC1920">
        <f>OrdersTable[[#This Row],[Delivery Date]]-OrdersTable[[#This Row],[Order Date]]</f>
        <v>5</v>
      </c>
      <c r="AD1920" t="str">
        <f>IF(OrdersTable[[#This Row],[Delivery Days]]&lt;=2, "Express (≤2d)", IF(OrdersTable[[#This Row],[Delivery Days]]&lt;=4, "Standard (3-4d)", "Delayed (5d+)"))</f>
        <v>Delayed (5d+)</v>
      </c>
      <c r="AE1920">
        <v>4</v>
      </c>
      <c r="AF1920">
        <v>0</v>
      </c>
    </row>
    <row r="1921" spans="1:32" ht="15" x14ac:dyDescent="0.35">
      <c r="A1921" t="s">
        <v>1931</v>
      </c>
      <c r="B1921" s="1">
        <v>45630</v>
      </c>
      <c r="C1921">
        <f>YEAR(OrdersTable[[#This Row],[Order Date]])</f>
        <v>2024</v>
      </c>
      <c r="D1921" s="2">
        <f>DATE(YEAR(OrdersTable[[#This Row],[Order Date]]),MONTH(OrdersTable[[#This Row],[Order Date]]),1)</f>
        <v>45627</v>
      </c>
      <c r="E1921">
        <f>MONTH(OrdersTable[[#This Row],[Order Date]])</f>
        <v>12</v>
      </c>
      <c r="F1921" t="s">
        <v>1760</v>
      </c>
      <c r="G1921" t="str">
        <f>IF(OrdersTable[[#This Row],[Order Date]]=_xlfn.MINIFS(Order_Date, Customer_ID, OrdersTable[[#This Row],[Customer ID]]), "New", "Repeat")</f>
        <v>Repeat</v>
      </c>
      <c r="H1921" t="s">
        <v>76</v>
      </c>
      <c r="I1921" t="str">
        <f>INDEX(State!B:B,MATCH(OrdersTable[[#This Row],[State]],State!A:A,0))</f>
        <v>UP</v>
      </c>
      <c r="J1921" t="str">
        <f>INDEX(State!C:C,MATCH(OrdersTable[[#This Row],[State Code]],State!B:B,0))</f>
        <v>North</v>
      </c>
      <c r="K1921" t="s">
        <v>105</v>
      </c>
      <c r="L1921" t="s">
        <v>39</v>
      </c>
      <c r="M1921" t="s">
        <v>73</v>
      </c>
      <c r="N1921" t="str">
        <f>INDEX(Products!B:B,MATCH(OrdersTable[[#This Row],[Product ID]],Products!A:A,0))</f>
        <v>Hydrating Face Wash</v>
      </c>
      <c r="O1921" t="str">
        <f>INDEX(Products!C:C,MATCH(OrdersTable[[#This Row],[Product ID]],Products!A:A,0))</f>
        <v>Skincare</v>
      </c>
      <c r="P1921">
        <v>1</v>
      </c>
      <c r="Q1921" s="5">
        <v>299</v>
      </c>
      <c r="R1921" s="74">
        <v>0</v>
      </c>
      <c r="S1921" s="75">
        <f>OrdersTable[[#This Row],[Quantity]]*OrdersTable[[#This Row],[Unit Price]]</f>
        <v>299</v>
      </c>
      <c r="T1921" s="5">
        <f>OrdersTable[[#This Row],[Gross Sale]]*OrdersTable[[#This Row],[Discount_Clean2]]</f>
        <v>0</v>
      </c>
      <c r="U1921" s="5">
        <f>OrdersTable[[#This Row],[Gross Sale]]-OrdersTable[[#This Row],[Discount Amount]]</f>
        <v>299</v>
      </c>
      <c r="V1921" s="77">
        <f>INDEX(Products!E:E,MATCH(OrdersTable[[#This Row],[Product ID]],Products!A:A,0))</f>
        <v>90</v>
      </c>
      <c r="W1921" s="77">
        <f>OrdersTable[[#This Row],[Quantity]]*OrdersTable[[#This Row],[Unit Cost]]</f>
        <v>90</v>
      </c>
      <c r="X1921" s="77">
        <f>'Dropdown Lists'!$I$2*(1+OrdersTable[[#This Row],[Returned]])</f>
        <v>60</v>
      </c>
      <c r="Y1921" s="76">
        <f>OrdersTable[[#This Row],[Net Revenue]]-OrdersTable[[#This Row],[COGS]]-OrdersTable[[#This Row],[Shipping Cost]]</f>
        <v>149</v>
      </c>
      <c r="Z1921" s="78">
        <f>IFERROR(OrdersTable[[#This Row],[Profit]]/OrdersTable[[#This Row],[Net Revenue]],0)</f>
        <v>0.49832775919732442</v>
      </c>
      <c r="AA1921" t="s">
        <v>18</v>
      </c>
      <c r="AB1921" s="79">
        <v>45634</v>
      </c>
      <c r="AC1921">
        <f>OrdersTable[[#This Row],[Delivery Date]]-OrdersTable[[#This Row],[Order Date]]</f>
        <v>4</v>
      </c>
      <c r="AD1921" t="str">
        <f>IF(OrdersTable[[#This Row],[Delivery Days]]&lt;=2, "Express (≤2d)", IF(OrdersTable[[#This Row],[Delivery Days]]&lt;=4, "Standard (3-4d)", "Delayed (5d+)"))</f>
        <v>Standard (3-4d)</v>
      </c>
      <c r="AE1921">
        <v>3</v>
      </c>
      <c r="AF1921">
        <v>0</v>
      </c>
    </row>
    <row r="1922" spans="1:32" ht="15" x14ac:dyDescent="0.35">
      <c r="A1922" t="s">
        <v>3577</v>
      </c>
      <c r="B1922" s="1">
        <v>45630</v>
      </c>
      <c r="C1922">
        <f>YEAR(OrdersTable[[#This Row],[Order Date]])</f>
        <v>2024</v>
      </c>
      <c r="D1922" s="2">
        <f>DATE(YEAR(OrdersTable[[#This Row],[Order Date]]),MONTH(OrdersTable[[#This Row],[Order Date]]),1)</f>
        <v>45627</v>
      </c>
      <c r="E1922">
        <f>MONTH(OrdersTable[[#This Row],[Order Date]])</f>
        <v>12</v>
      </c>
      <c r="F1922" t="s">
        <v>3338</v>
      </c>
      <c r="G1922" t="str">
        <f>IF(OrdersTable[[#This Row],[Order Date]]=_xlfn.MINIFS(Order_Date, Customer_ID, OrdersTable[[#This Row],[Customer ID]]), "New", "Repeat")</f>
        <v>Repeat</v>
      </c>
      <c r="H1922" t="s">
        <v>37</v>
      </c>
      <c r="I1922" t="str">
        <f>INDEX(State!B:B,MATCH(OrdersTable[[#This Row],[State]],State!A:A,0))</f>
        <v>GJ</v>
      </c>
      <c r="J1922" t="str">
        <f>INDEX(State!C:C,MATCH(OrdersTable[[#This Row],[State Code]],State!B:B,0))</f>
        <v>West</v>
      </c>
      <c r="K1922" t="s">
        <v>247</v>
      </c>
      <c r="L1922" t="s">
        <v>65</v>
      </c>
      <c r="M1922" t="s">
        <v>152</v>
      </c>
      <c r="N1922" t="str">
        <f>INDEX(Products!B:B,MATCH(OrdersTable[[#This Row],[Product ID]],Products!A:A,0))</f>
        <v>Green Tea (100 bags)</v>
      </c>
      <c r="O1922" t="str">
        <f>INDEX(Products!C:C,MATCH(OrdersTable[[#This Row],[Product ID]],Products!A:A,0))</f>
        <v>Wellness</v>
      </c>
      <c r="P1922">
        <v>1</v>
      </c>
      <c r="Q1922" s="5">
        <v>399</v>
      </c>
      <c r="R1922" s="74">
        <v>0.4</v>
      </c>
      <c r="S1922" s="75">
        <f>OrdersTable[[#This Row],[Quantity]]*OrdersTable[[#This Row],[Unit Price]]</f>
        <v>399</v>
      </c>
      <c r="T1922" s="5">
        <f>OrdersTable[[#This Row],[Gross Sale]]*OrdersTable[[#This Row],[Discount_Clean2]]</f>
        <v>159.60000000000002</v>
      </c>
      <c r="U1922" s="5">
        <f>OrdersTable[[#This Row],[Gross Sale]]-OrdersTable[[#This Row],[Discount Amount]]</f>
        <v>239.39999999999998</v>
      </c>
      <c r="V1922" s="77">
        <f>INDEX(Products!E:E,MATCH(OrdersTable[[#This Row],[Product ID]],Products!A:A,0))</f>
        <v>128</v>
      </c>
      <c r="W1922" s="77">
        <f>OrdersTable[[#This Row],[Quantity]]*OrdersTable[[#This Row],[Unit Cost]]</f>
        <v>128</v>
      </c>
      <c r="X1922" s="77">
        <f>'Dropdown Lists'!$I$2*(1+OrdersTable[[#This Row],[Returned]])</f>
        <v>60</v>
      </c>
      <c r="Y1922" s="76">
        <f>OrdersTable[[#This Row],[Net Revenue]]-OrdersTable[[#This Row],[COGS]]-OrdersTable[[#This Row],[Shipping Cost]]</f>
        <v>51.399999999999977</v>
      </c>
      <c r="Z1922" s="78">
        <f>IFERROR(OrdersTable[[#This Row],[Profit]]/OrdersTable[[#This Row],[Net Revenue]],0)</f>
        <v>0.21470342522974095</v>
      </c>
      <c r="AA1922" t="s">
        <v>3495</v>
      </c>
      <c r="AB1922" s="79">
        <v>45633</v>
      </c>
      <c r="AC1922">
        <f>OrdersTable[[#This Row],[Delivery Date]]-OrdersTable[[#This Row],[Order Date]]</f>
        <v>3</v>
      </c>
      <c r="AD1922" t="str">
        <f>IF(OrdersTable[[#This Row],[Delivery Days]]&lt;=2, "Express (≤2d)", IF(OrdersTable[[#This Row],[Delivery Days]]&lt;=4, "Standard (3-4d)", "Delayed (5d+)"))</f>
        <v>Standard (3-4d)</v>
      </c>
      <c r="AE1922">
        <v>4</v>
      </c>
      <c r="AF1922">
        <v>0</v>
      </c>
    </row>
    <row r="1923" spans="1:32" ht="15" x14ac:dyDescent="0.35">
      <c r="A1923" t="s">
        <v>2759</v>
      </c>
      <c r="B1923" s="1">
        <v>45630</v>
      </c>
      <c r="C1923">
        <f>YEAR(OrdersTable[[#This Row],[Order Date]])</f>
        <v>2024</v>
      </c>
      <c r="D1923" s="2">
        <f>DATE(YEAR(OrdersTable[[#This Row],[Order Date]]),MONTH(OrdersTable[[#This Row],[Order Date]]),1)</f>
        <v>45627</v>
      </c>
      <c r="E1923">
        <f>MONTH(OrdersTable[[#This Row],[Order Date]])</f>
        <v>12</v>
      </c>
      <c r="F1923" t="s">
        <v>2760</v>
      </c>
      <c r="G1923" t="str">
        <f>IF(OrdersTable[[#This Row],[Order Date]]=_xlfn.MINIFS(Order_Date, Customer_ID, OrdersTable[[#This Row],[Customer ID]]), "New", "Repeat")</f>
        <v>New</v>
      </c>
      <c r="H1923" t="s">
        <v>43</v>
      </c>
      <c r="I1923" t="str">
        <f>INDEX(State!B:B,MATCH(OrdersTable[[#This Row],[State]],State!A:A,0))</f>
        <v>MP</v>
      </c>
      <c r="J1923" t="str">
        <f>INDEX(State!C:C,MATCH(OrdersTable[[#This Row],[State Code]],State!B:B,0))</f>
        <v>West</v>
      </c>
      <c r="K1923" t="s">
        <v>250</v>
      </c>
      <c r="L1923" t="s">
        <v>16</v>
      </c>
      <c r="M1923" t="s">
        <v>92</v>
      </c>
      <c r="N1923" t="str">
        <f>INDEX(Products!B:B,MATCH(OrdersTable[[#This Row],[Product ID]],Products!A:A,0))</f>
        <v>Kolhapuri Sandals</v>
      </c>
      <c r="O1923" t="str">
        <f>INDEX(Products!C:C,MATCH(OrdersTable[[#This Row],[Product ID]],Products!A:A,0))</f>
        <v>Footwear</v>
      </c>
      <c r="P1923">
        <v>1</v>
      </c>
      <c r="Q1923" s="5">
        <v>999</v>
      </c>
      <c r="R1923" s="74">
        <v>0.1</v>
      </c>
      <c r="S1923" s="75">
        <f>OrdersTable[[#This Row],[Quantity]]*OrdersTable[[#This Row],[Unit Price]]</f>
        <v>999</v>
      </c>
      <c r="T1923" s="5">
        <f>OrdersTable[[#This Row],[Gross Sale]]*OrdersTable[[#This Row],[Discount_Clean2]]</f>
        <v>99.9</v>
      </c>
      <c r="U1923" s="5">
        <f>OrdersTable[[#This Row],[Gross Sale]]-OrdersTable[[#This Row],[Discount Amount]]</f>
        <v>899.1</v>
      </c>
      <c r="V1923" s="77">
        <f>INDEX(Products!E:E,MATCH(OrdersTable[[#This Row],[Product ID]],Products!A:A,0))</f>
        <v>400</v>
      </c>
      <c r="W1923" s="77">
        <f>OrdersTable[[#This Row],[Quantity]]*OrdersTable[[#This Row],[Unit Cost]]</f>
        <v>400</v>
      </c>
      <c r="X1923" s="77">
        <f>'Dropdown Lists'!$I$2*(1+OrdersTable[[#This Row],[Returned]])</f>
        <v>60</v>
      </c>
      <c r="Y1923" s="76">
        <f>OrdersTable[[#This Row],[Net Revenue]]-OrdersTable[[#This Row],[COGS]]-OrdersTable[[#This Row],[Shipping Cost]]</f>
        <v>439.1</v>
      </c>
      <c r="Z1923" s="78">
        <f>IFERROR(OrdersTable[[#This Row],[Profit]]/OrdersTable[[#This Row],[Net Revenue]],0)</f>
        <v>0.48837726615504395</v>
      </c>
      <c r="AA1923" t="s">
        <v>2522</v>
      </c>
      <c r="AB1923" s="79">
        <v>45634</v>
      </c>
      <c r="AC1923">
        <f>OrdersTable[[#This Row],[Delivery Date]]-OrdersTable[[#This Row],[Order Date]]</f>
        <v>4</v>
      </c>
      <c r="AD1923" t="str">
        <f>IF(OrdersTable[[#This Row],[Delivery Days]]&lt;=2, "Express (≤2d)", IF(OrdersTable[[#This Row],[Delivery Days]]&lt;=4, "Standard (3-4d)", "Delayed (5d+)"))</f>
        <v>Standard (3-4d)</v>
      </c>
      <c r="AE1923">
        <v>3</v>
      </c>
      <c r="AF1923">
        <v>0</v>
      </c>
    </row>
    <row r="1924" spans="1:32" ht="15" x14ac:dyDescent="0.35">
      <c r="A1924" t="s">
        <v>6122</v>
      </c>
      <c r="B1924" s="1">
        <v>45631</v>
      </c>
      <c r="C1924">
        <f>YEAR(OrdersTable[[#This Row],[Order Date]])</f>
        <v>2024</v>
      </c>
      <c r="D1924" s="2">
        <f>DATE(YEAR(OrdersTable[[#This Row],[Order Date]]),MONTH(OrdersTable[[#This Row],[Order Date]]),1)</f>
        <v>45627</v>
      </c>
      <c r="E1924">
        <f>MONTH(OrdersTable[[#This Row],[Order Date]])</f>
        <v>12</v>
      </c>
      <c r="F1924" t="s">
        <v>4543</v>
      </c>
      <c r="G1924" t="str">
        <f>IF(OrdersTable[[#This Row],[Order Date]]=_xlfn.MINIFS(Order_Date, Customer_ID, OrdersTable[[#This Row],[Customer ID]]), "New", "Repeat")</f>
        <v>New</v>
      </c>
      <c r="H1924" t="s">
        <v>21</v>
      </c>
      <c r="I1924" t="str">
        <f>INDEX(State!B:B,MATCH(OrdersTable[[#This Row],[State]],State!A:A,0))</f>
        <v>PB</v>
      </c>
      <c r="J1924" t="str">
        <f>INDEX(State!C:C,MATCH(OrdersTable[[#This Row],[State Code]],State!B:B,0))</f>
        <v>North</v>
      </c>
      <c r="K1924" t="s">
        <v>260</v>
      </c>
      <c r="L1924" t="s">
        <v>23</v>
      </c>
      <c r="M1924" t="s">
        <v>125</v>
      </c>
      <c r="N1924" t="str">
        <f>INDEX(Products!B:B,MATCH(OrdersTable[[#This Row],[Product ID]],Products!A:A,0))</f>
        <v>Copper Water Bottle</v>
      </c>
      <c r="O1924" t="str">
        <f>INDEX(Products!C:C,MATCH(OrdersTable[[#This Row],[Product ID]],Products!A:A,0))</f>
        <v>Home &amp; Kitchen</v>
      </c>
      <c r="P1924">
        <v>2</v>
      </c>
      <c r="Q1924" s="5">
        <v>899</v>
      </c>
      <c r="R1924" s="74">
        <v>0</v>
      </c>
      <c r="S1924" s="75">
        <f>OrdersTable[[#This Row],[Quantity]]*OrdersTable[[#This Row],[Unit Price]]</f>
        <v>1798</v>
      </c>
      <c r="T1924" s="5">
        <f>OrdersTable[[#This Row],[Gross Sale]]*OrdersTable[[#This Row],[Discount_Clean2]]</f>
        <v>0</v>
      </c>
      <c r="U1924" s="5">
        <f>OrdersTable[[#This Row],[Gross Sale]]-OrdersTable[[#This Row],[Discount Amount]]</f>
        <v>1798</v>
      </c>
      <c r="V1924" s="77">
        <f>INDEX(Products!E:E,MATCH(OrdersTable[[#This Row],[Product ID]],Products!A:A,0))</f>
        <v>378</v>
      </c>
      <c r="W1924" s="77">
        <f>OrdersTable[[#This Row],[Quantity]]*OrdersTable[[#This Row],[Unit Cost]]</f>
        <v>756</v>
      </c>
      <c r="X1924" s="77">
        <f>'Dropdown Lists'!$I$2*(1+OrdersTable[[#This Row],[Returned]])</f>
        <v>60</v>
      </c>
      <c r="Y1924" s="76">
        <f>OrdersTable[[#This Row],[Net Revenue]]-OrdersTable[[#This Row],[COGS]]-OrdersTable[[#This Row],[Shipping Cost]]</f>
        <v>982</v>
      </c>
      <c r="Z1924" s="78">
        <f>IFERROR(OrdersTable[[#This Row],[Profit]]/OrdersTable[[#This Row],[Net Revenue]],0)</f>
        <v>0.5461624026696329</v>
      </c>
      <c r="AA1924" t="s">
        <v>18</v>
      </c>
      <c r="AB1924" s="79">
        <v>45633</v>
      </c>
      <c r="AC1924">
        <f>OrdersTable[[#This Row],[Delivery Date]]-OrdersTable[[#This Row],[Order Date]]</f>
        <v>2</v>
      </c>
      <c r="AD1924" t="str">
        <f>IF(OrdersTable[[#This Row],[Delivery Days]]&lt;=2, "Express (≤2d)", IF(OrdersTable[[#This Row],[Delivery Days]]&lt;=4, "Standard (3-4d)", "Delayed (5d+)"))</f>
        <v>Express (≤2d)</v>
      </c>
      <c r="AE1924">
        <v>4</v>
      </c>
      <c r="AF1924">
        <v>0</v>
      </c>
    </row>
    <row r="1925" spans="1:32" ht="15" x14ac:dyDescent="0.35">
      <c r="A1925" t="s">
        <v>6322</v>
      </c>
      <c r="B1925" s="1">
        <v>45631</v>
      </c>
      <c r="C1925">
        <f>YEAR(OrdersTable[[#This Row],[Order Date]])</f>
        <v>2024</v>
      </c>
      <c r="D1925" s="2">
        <f>DATE(YEAR(OrdersTable[[#This Row],[Order Date]]),MONTH(OrdersTable[[#This Row],[Order Date]]),1)</f>
        <v>45627</v>
      </c>
      <c r="E1925">
        <f>MONTH(OrdersTable[[#This Row],[Order Date]])</f>
        <v>12</v>
      </c>
      <c r="F1925" t="s">
        <v>6323</v>
      </c>
      <c r="G1925" t="str">
        <f>IF(OrdersTable[[#This Row],[Order Date]]=_xlfn.MINIFS(Order_Date, Customer_ID, OrdersTable[[#This Row],[Customer ID]]), "New", "Repeat")</f>
        <v>New</v>
      </c>
      <c r="H1925" t="s">
        <v>184</v>
      </c>
      <c r="I1925" t="str">
        <f>INDEX(State!B:B,MATCH(OrdersTable[[#This Row],[State]],State!A:A,0))</f>
        <v>UK</v>
      </c>
      <c r="J1925" t="str">
        <f>INDEX(State!C:C,MATCH(OrdersTable[[#This Row],[State Code]],State!B:B,0))</f>
        <v>North</v>
      </c>
      <c r="K1925" t="s">
        <v>185</v>
      </c>
      <c r="L1925" t="s">
        <v>65</v>
      </c>
      <c r="M1925" t="s">
        <v>51</v>
      </c>
      <c r="N1925" t="str">
        <f>INDEX(Products!B:B,MATCH(OrdersTable[[#This Row],[Product ID]],Products!A:A,0))</f>
        <v>Anti-Dandruff Conditioner</v>
      </c>
      <c r="O1925" t="str">
        <f>INDEX(Products!C:C,MATCH(OrdersTable[[#This Row],[Product ID]],Products!A:A,0))</f>
        <v>Haircare</v>
      </c>
      <c r="P1925">
        <v>2</v>
      </c>
      <c r="Q1925" s="5">
        <v>399</v>
      </c>
      <c r="R1925" s="74">
        <v>0.4</v>
      </c>
      <c r="S1925" s="75">
        <f>OrdersTable[[#This Row],[Quantity]]*OrdersTable[[#This Row],[Unit Price]]</f>
        <v>798</v>
      </c>
      <c r="T1925" s="5">
        <f>OrdersTable[[#This Row],[Gross Sale]]*OrdersTable[[#This Row],[Discount_Clean2]]</f>
        <v>319.20000000000005</v>
      </c>
      <c r="U1925" s="5">
        <f>OrdersTable[[#This Row],[Gross Sale]]-OrdersTable[[#This Row],[Discount Amount]]</f>
        <v>478.79999999999995</v>
      </c>
      <c r="V1925" s="77">
        <f>INDEX(Products!E:E,MATCH(OrdersTable[[#This Row],[Product ID]],Products!A:A,0))</f>
        <v>136</v>
      </c>
      <c r="W1925" s="77">
        <f>OrdersTable[[#This Row],[Quantity]]*OrdersTable[[#This Row],[Unit Cost]]</f>
        <v>272</v>
      </c>
      <c r="X1925" s="77">
        <f>'Dropdown Lists'!$I$2*(1+OrdersTable[[#This Row],[Returned]])</f>
        <v>60</v>
      </c>
      <c r="Y1925" s="76">
        <f>OrdersTable[[#This Row],[Net Revenue]]-OrdersTable[[#This Row],[COGS]]-OrdersTable[[#This Row],[Shipping Cost]]</f>
        <v>146.79999999999995</v>
      </c>
      <c r="Z1925" s="78">
        <f>IFERROR(OrdersTable[[#This Row],[Profit]]/OrdersTable[[#This Row],[Net Revenue]],0)</f>
        <v>0.30659983291562232</v>
      </c>
      <c r="AA1925" t="s">
        <v>18</v>
      </c>
      <c r="AB1925" s="79">
        <v>45635</v>
      </c>
      <c r="AC1925">
        <f>OrdersTable[[#This Row],[Delivery Date]]-OrdersTable[[#This Row],[Order Date]]</f>
        <v>4</v>
      </c>
      <c r="AD1925" t="str">
        <f>IF(OrdersTable[[#This Row],[Delivery Days]]&lt;=2, "Express (≤2d)", IF(OrdersTable[[#This Row],[Delivery Days]]&lt;=4, "Standard (3-4d)", "Delayed (5d+)"))</f>
        <v>Standard (3-4d)</v>
      </c>
      <c r="AF1925">
        <v>0</v>
      </c>
    </row>
    <row r="1926" spans="1:32" ht="15" x14ac:dyDescent="0.35">
      <c r="A1926" t="s">
        <v>3578</v>
      </c>
      <c r="B1926" s="1">
        <v>45631</v>
      </c>
      <c r="C1926">
        <f>YEAR(OrdersTable[[#This Row],[Order Date]])</f>
        <v>2024</v>
      </c>
      <c r="D1926" s="2">
        <f>DATE(YEAR(OrdersTable[[#This Row],[Order Date]]),MONTH(OrdersTable[[#This Row],[Order Date]]),1)</f>
        <v>45627</v>
      </c>
      <c r="E1926">
        <f>MONTH(OrdersTable[[#This Row],[Order Date]])</f>
        <v>12</v>
      </c>
      <c r="F1926" t="s">
        <v>2100</v>
      </c>
      <c r="G1926" t="str">
        <f>IF(OrdersTable[[#This Row],[Order Date]]=_xlfn.MINIFS(Order_Date, Customer_ID, OrdersTable[[#This Row],[Customer ID]]), "New", "Repeat")</f>
        <v>Repeat</v>
      </c>
      <c r="H1926" t="s">
        <v>43</v>
      </c>
      <c r="I1926" t="str">
        <f>INDEX(State!B:B,MATCH(OrdersTable[[#This Row],[State]],State!A:A,0))</f>
        <v>MP</v>
      </c>
      <c r="J1926" t="str">
        <f>INDEX(State!C:C,MATCH(OrdersTable[[#This Row],[State Code]],State!B:B,0))</f>
        <v>West</v>
      </c>
      <c r="K1926" t="s">
        <v>44</v>
      </c>
      <c r="L1926" t="s">
        <v>65</v>
      </c>
      <c r="M1926" t="s">
        <v>34</v>
      </c>
      <c r="N1926" t="str">
        <f>INDEX(Products!B:B,MATCH(OrdersTable[[#This Row],[Product ID]],Products!A:A,0))</f>
        <v>Flip Flops</v>
      </c>
      <c r="O1926" t="str">
        <f>INDEX(Products!C:C,MATCH(OrdersTable[[#This Row],[Product ID]],Products!A:A,0))</f>
        <v>Footwear</v>
      </c>
      <c r="P1926">
        <v>1</v>
      </c>
      <c r="Q1926" s="5">
        <v>399</v>
      </c>
      <c r="R1926" s="74">
        <v>0.1</v>
      </c>
      <c r="S1926" s="75">
        <f>OrdersTable[[#This Row],[Quantity]]*OrdersTable[[#This Row],[Unit Price]]</f>
        <v>399</v>
      </c>
      <c r="T1926" s="5">
        <f>OrdersTable[[#This Row],[Gross Sale]]*OrdersTable[[#This Row],[Discount_Clean2]]</f>
        <v>39.900000000000006</v>
      </c>
      <c r="U1926" s="5">
        <f>OrdersTable[[#This Row],[Gross Sale]]-OrdersTable[[#This Row],[Discount Amount]]</f>
        <v>359.1</v>
      </c>
      <c r="V1926" s="77">
        <f>INDEX(Products!E:E,MATCH(OrdersTable[[#This Row],[Product ID]],Products!A:A,0))</f>
        <v>152</v>
      </c>
      <c r="W1926" s="77">
        <f>OrdersTable[[#This Row],[Quantity]]*OrdersTable[[#This Row],[Unit Cost]]</f>
        <v>152</v>
      </c>
      <c r="X1926" s="77">
        <f>'Dropdown Lists'!$I$2*(1+OrdersTable[[#This Row],[Returned]])</f>
        <v>60</v>
      </c>
      <c r="Y1926" s="76">
        <f>OrdersTable[[#This Row],[Net Revenue]]-OrdersTable[[#This Row],[COGS]]-OrdersTable[[#This Row],[Shipping Cost]]</f>
        <v>147.10000000000002</v>
      </c>
      <c r="Z1926" s="78">
        <f>IFERROR(OrdersTable[[#This Row],[Profit]]/OrdersTable[[#This Row],[Net Revenue]],0)</f>
        <v>0.40963519910888335</v>
      </c>
      <c r="AA1926" t="s">
        <v>3495</v>
      </c>
      <c r="AB1926" s="79">
        <v>45634</v>
      </c>
      <c r="AC1926">
        <f>OrdersTable[[#This Row],[Delivery Date]]-OrdersTable[[#This Row],[Order Date]]</f>
        <v>3</v>
      </c>
      <c r="AD1926" t="str">
        <f>IF(OrdersTable[[#This Row],[Delivery Days]]&lt;=2, "Express (≤2d)", IF(OrdersTable[[#This Row],[Delivery Days]]&lt;=4, "Standard (3-4d)", "Delayed (5d+)"))</f>
        <v>Standard (3-4d)</v>
      </c>
      <c r="AE1926">
        <v>4</v>
      </c>
      <c r="AF1926">
        <v>0</v>
      </c>
    </row>
    <row r="1927" spans="1:32" ht="15" x14ac:dyDescent="0.35">
      <c r="A1927" t="s">
        <v>948</v>
      </c>
      <c r="B1927" s="1">
        <v>45631</v>
      </c>
      <c r="C1927">
        <f>YEAR(OrdersTable[[#This Row],[Order Date]])</f>
        <v>2024</v>
      </c>
      <c r="D1927" s="2">
        <f>DATE(YEAR(OrdersTable[[#This Row],[Order Date]]),MONTH(OrdersTable[[#This Row],[Order Date]]),1)</f>
        <v>45627</v>
      </c>
      <c r="E1927">
        <f>MONTH(OrdersTable[[#This Row],[Order Date]])</f>
        <v>12</v>
      </c>
      <c r="F1927" t="s">
        <v>949</v>
      </c>
      <c r="G1927" t="str">
        <f>IF(OrdersTable[[#This Row],[Order Date]]=_xlfn.MINIFS(Order_Date, Customer_ID, OrdersTable[[#This Row],[Customer ID]]), "New", "Repeat")</f>
        <v>New</v>
      </c>
      <c r="H1927" t="s">
        <v>27</v>
      </c>
      <c r="I1927" t="str">
        <f>INDEX(State!B:B,MATCH(OrdersTable[[#This Row],[State]],State!A:A,0))</f>
        <v>WB</v>
      </c>
      <c r="J1927" t="str">
        <f>INDEX(State!C:C,MATCH(OrdersTable[[#This Row],[State Code]],State!B:B,0))</f>
        <v>East</v>
      </c>
      <c r="K1927" t="s">
        <v>28</v>
      </c>
      <c r="L1927" t="s">
        <v>50</v>
      </c>
      <c r="M1927" t="s">
        <v>61</v>
      </c>
      <c r="N1927" t="str">
        <f>INDEX(Products!B:B,MATCH(OrdersTable[[#This Row],[Product ID]],Products!A:A,0))</f>
        <v>Multivitamin Gummies</v>
      </c>
      <c r="O1927" t="str">
        <f>INDEX(Products!C:C,MATCH(OrdersTable[[#This Row],[Product ID]],Products!A:A,0))</f>
        <v>Wellness</v>
      </c>
      <c r="P1927">
        <v>1</v>
      </c>
      <c r="Q1927" s="5">
        <v>699</v>
      </c>
      <c r="R1927" s="74">
        <v>0.2</v>
      </c>
      <c r="S1927" s="75">
        <f>OrdersTable[[#This Row],[Quantity]]*OrdersTable[[#This Row],[Unit Price]]</f>
        <v>699</v>
      </c>
      <c r="T1927" s="5">
        <f>OrdersTable[[#This Row],[Gross Sale]]*OrdersTable[[#This Row],[Discount_Clean2]]</f>
        <v>139.80000000000001</v>
      </c>
      <c r="U1927" s="5">
        <f>OrdersTable[[#This Row],[Gross Sale]]-OrdersTable[[#This Row],[Discount Amount]]</f>
        <v>559.20000000000005</v>
      </c>
      <c r="V1927" s="77">
        <f>INDEX(Products!E:E,MATCH(OrdersTable[[#This Row],[Product ID]],Products!A:A,0))</f>
        <v>238</v>
      </c>
      <c r="W1927" s="77">
        <f>OrdersTable[[#This Row],[Quantity]]*OrdersTable[[#This Row],[Unit Cost]]</f>
        <v>238</v>
      </c>
      <c r="X1927" s="77">
        <f>'Dropdown Lists'!$I$2*(1+OrdersTable[[#This Row],[Returned]])</f>
        <v>60</v>
      </c>
      <c r="Y1927" s="76">
        <f>OrdersTable[[#This Row],[Net Revenue]]-OrdersTable[[#This Row],[COGS]]-OrdersTable[[#This Row],[Shipping Cost]]</f>
        <v>261.20000000000005</v>
      </c>
      <c r="Z1927" s="78">
        <f>IFERROR(OrdersTable[[#This Row],[Profit]]/OrdersTable[[#This Row],[Net Revenue]],0)</f>
        <v>0.46709585121602293</v>
      </c>
      <c r="AA1927" t="s">
        <v>18</v>
      </c>
      <c r="AB1927" s="79">
        <v>45635</v>
      </c>
      <c r="AC1927">
        <f>OrdersTable[[#This Row],[Delivery Date]]-OrdersTable[[#This Row],[Order Date]]</f>
        <v>4</v>
      </c>
      <c r="AD1927" t="str">
        <f>IF(OrdersTable[[#This Row],[Delivery Days]]&lt;=2, "Express (≤2d)", IF(OrdersTable[[#This Row],[Delivery Days]]&lt;=4, "Standard (3-4d)", "Delayed (5d+)"))</f>
        <v>Standard (3-4d)</v>
      </c>
      <c r="AE1927">
        <v>4</v>
      </c>
      <c r="AF1927">
        <v>0</v>
      </c>
    </row>
    <row r="1928" spans="1:32" ht="15" x14ac:dyDescent="0.35">
      <c r="A1928" t="s">
        <v>3887</v>
      </c>
      <c r="B1928" s="1">
        <v>45631</v>
      </c>
      <c r="C1928">
        <f>YEAR(OrdersTable[[#This Row],[Order Date]])</f>
        <v>2024</v>
      </c>
      <c r="D1928" s="2">
        <f>DATE(YEAR(OrdersTable[[#This Row],[Order Date]]),MONTH(OrdersTable[[#This Row],[Order Date]]),1)</f>
        <v>45627</v>
      </c>
      <c r="E1928">
        <f>MONTH(OrdersTable[[#This Row],[Order Date]])</f>
        <v>12</v>
      </c>
      <c r="F1928" t="s">
        <v>1313</v>
      </c>
      <c r="G1928" t="str">
        <f>IF(OrdersTable[[#This Row],[Order Date]]=_xlfn.MINIFS(Order_Date, Customer_ID, OrdersTable[[#This Row],[Customer ID]]), "New", "Repeat")</f>
        <v>Repeat</v>
      </c>
      <c r="H1928" t="s">
        <v>27</v>
      </c>
      <c r="I1928" t="str">
        <f>INDEX(State!B:B,MATCH(OrdersTable[[#This Row],[State]],State!A:A,0))</f>
        <v>WB</v>
      </c>
      <c r="J1928" t="str">
        <f>INDEX(State!C:C,MATCH(OrdersTable[[#This Row],[State Code]],State!B:B,0))</f>
        <v>East</v>
      </c>
      <c r="K1928" t="s">
        <v>28</v>
      </c>
      <c r="L1928" t="s">
        <v>16</v>
      </c>
      <c r="M1928" t="s">
        <v>255</v>
      </c>
      <c r="N1928" t="str">
        <f>INDEX(Products!B:B,MATCH(OrdersTable[[#This Row],[Product ID]],Products!A:A,0))</f>
        <v>Cotton Oversized T-Shirt</v>
      </c>
      <c r="O1928" t="str">
        <f>INDEX(Products!C:C,MATCH(OrdersTable[[#This Row],[Product ID]],Products!A:A,0))</f>
        <v>Apparel</v>
      </c>
      <c r="P1928">
        <v>1</v>
      </c>
      <c r="Q1928" s="5">
        <v>799</v>
      </c>
      <c r="R1928" s="74">
        <v>0</v>
      </c>
      <c r="S1928" s="75">
        <f>OrdersTable[[#This Row],[Quantity]]*OrdersTable[[#This Row],[Unit Price]]</f>
        <v>799</v>
      </c>
      <c r="T1928" s="5">
        <f>OrdersTable[[#This Row],[Gross Sale]]*OrdersTable[[#This Row],[Discount_Clean2]]</f>
        <v>0</v>
      </c>
      <c r="U1928" s="5">
        <f>OrdersTable[[#This Row],[Gross Sale]]-OrdersTable[[#This Row],[Discount Amount]]</f>
        <v>799</v>
      </c>
      <c r="V1928" s="77">
        <f>INDEX(Products!E:E,MATCH(OrdersTable[[#This Row],[Product ID]],Products!A:A,0))</f>
        <v>320</v>
      </c>
      <c r="W1928" s="77">
        <f>OrdersTable[[#This Row],[Quantity]]*OrdersTable[[#This Row],[Unit Cost]]</f>
        <v>320</v>
      </c>
      <c r="X1928" s="77">
        <f>'Dropdown Lists'!$I$2*(1+OrdersTable[[#This Row],[Returned]])</f>
        <v>60</v>
      </c>
      <c r="Y1928" s="76">
        <f>OrdersTable[[#This Row],[Net Revenue]]-OrdersTable[[#This Row],[COGS]]-OrdersTable[[#This Row],[Shipping Cost]]</f>
        <v>419</v>
      </c>
      <c r="Z1928" s="78">
        <f>IFERROR(OrdersTable[[#This Row],[Profit]]/OrdersTable[[#This Row],[Net Revenue]],0)</f>
        <v>0.52440550688360454</v>
      </c>
      <c r="AA1928" t="s">
        <v>3495</v>
      </c>
      <c r="AB1928" s="79">
        <v>45634</v>
      </c>
      <c r="AC1928">
        <f>OrdersTable[[#This Row],[Delivery Date]]-OrdersTable[[#This Row],[Order Date]]</f>
        <v>3</v>
      </c>
      <c r="AD1928" t="str">
        <f>IF(OrdersTable[[#This Row],[Delivery Days]]&lt;=2, "Express (≤2d)", IF(OrdersTable[[#This Row],[Delivery Days]]&lt;=4, "Standard (3-4d)", "Delayed (5d+)"))</f>
        <v>Standard (3-4d)</v>
      </c>
      <c r="AE1928">
        <v>3</v>
      </c>
      <c r="AF1928">
        <v>0</v>
      </c>
    </row>
    <row r="1929" spans="1:32" ht="15" x14ac:dyDescent="0.35">
      <c r="A1929" t="s">
        <v>4813</v>
      </c>
      <c r="B1929" s="1">
        <v>45631</v>
      </c>
      <c r="C1929">
        <f>YEAR(OrdersTable[[#This Row],[Order Date]])</f>
        <v>2024</v>
      </c>
      <c r="D1929" s="2">
        <f>DATE(YEAR(OrdersTable[[#This Row],[Order Date]]),MONTH(OrdersTable[[#This Row],[Order Date]]),1)</f>
        <v>45627</v>
      </c>
      <c r="E1929">
        <f>MONTH(OrdersTable[[#This Row],[Order Date]])</f>
        <v>12</v>
      </c>
      <c r="F1929" t="s">
        <v>187</v>
      </c>
      <c r="G1929" t="str">
        <f>IF(OrdersTable[[#This Row],[Order Date]]=_xlfn.MINIFS(Order_Date, Customer_ID, OrdersTable[[#This Row],[Customer ID]]), "New", "Repeat")</f>
        <v>Repeat</v>
      </c>
      <c r="H1929" t="s">
        <v>71</v>
      </c>
      <c r="I1929" t="str">
        <f>INDEX(State!B:B,MATCH(OrdersTable[[#This Row],[State]],State!A:A,0))</f>
        <v>MH</v>
      </c>
      <c r="J1929" t="str">
        <f>INDEX(State!C:C,MATCH(OrdersTable[[#This Row],[State Code]],State!B:B,0))</f>
        <v>West</v>
      </c>
      <c r="K1929" t="s">
        <v>72</v>
      </c>
      <c r="L1929" t="s">
        <v>16</v>
      </c>
      <c r="M1929" t="s">
        <v>87</v>
      </c>
      <c r="N1929" t="str">
        <f>INDEX(Products!B:B,MATCH(OrdersTable[[#This Row],[Product ID]],Products!A:A,0))</f>
        <v>Linen Kurta</v>
      </c>
      <c r="O1929" t="str">
        <f>INDEX(Products!C:C,MATCH(OrdersTable[[#This Row],[Product ID]],Products!A:A,0))</f>
        <v>Apparel</v>
      </c>
      <c r="P1929">
        <v>2</v>
      </c>
      <c r="Q1929" s="5">
        <v>1499</v>
      </c>
      <c r="R1929" s="74">
        <v>0.4</v>
      </c>
      <c r="S1929" s="75">
        <f>OrdersTable[[#This Row],[Quantity]]*OrdersTable[[#This Row],[Unit Price]]</f>
        <v>2998</v>
      </c>
      <c r="T1929" s="5">
        <f>OrdersTable[[#This Row],[Gross Sale]]*OrdersTable[[#This Row],[Discount_Clean2]]</f>
        <v>1199.2</v>
      </c>
      <c r="U1929" s="5">
        <f>OrdersTable[[#This Row],[Gross Sale]]-OrdersTable[[#This Row],[Discount Amount]]</f>
        <v>1798.8</v>
      </c>
      <c r="V1929" s="77">
        <f>INDEX(Products!E:E,MATCH(OrdersTable[[#This Row],[Product ID]],Products!A:A,0))</f>
        <v>630</v>
      </c>
      <c r="W1929" s="77">
        <f>OrdersTable[[#This Row],[Quantity]]*OrdersTable[[#This Row],[Unit Cost]]</f>
        <v>1260</v>
      </c>
      <c r="X1929" s="77">
        <f>'Dropdown Lists'!$I$2*(1+OrdersTable[[#This Row],[Returned]])</f>
        <v>60</v>
      </c>
      <c r="Y1929" s="76">
        <f>OrdersTable[[#This Row],[Net Revenue]]-OrdersTable[[#This Row],[COGS]]-OrdersTable[[#This Row],[Shipping Cost]]</f>
        <v>478.79999999999995</v>
      </c>
      <c r="Z1929" s="78">
        <f>IFERROR(OrdersTable[[#This Row],[Profit]]/OrdersTable[[#This Row],[Net Revenue]],0)</f>
        <v>0.26617745163442291</v>
      </c>
      <c r="AA1929" t="s">
        <v>4450</v>
      </c>
      <c r="AB1929" s="79">
        <v>45633</v>
      </c>
      <c r="AC1929">
        <f>OrdersTable[[#This Row],[Delivery Date]]-OrdersTable[[#This Row],[Order Date]]</f>
        <v>2</v>
      </c>
      <c r="AD1929" t="str">
        <f>IF(OrdersTable[[#This Row],[Delivery Days]]&lt;=2, "Express (≤2d)", IF(OrdersTable[[#This Row],[Delivery Days]]&lt;=4, "Standard (3-4d)", "Delayed (5d+)"))</f>
        <v>Express (≤2d)</v>
      </c>
      <c r="AE1929">
        <v>4</v>
      </c>
      <c r="AF1929">
        <v>0</v>
      </c>
    </row>
    <row r="1930" spans="1:32" ht="15" x14ac:dyDescent="0.35">
      <c r="A1930" t="s">
        <v>5502</v>
      </c>
      <c r="B1930" s="1">
        <v>45631</v>
      </c>
      <c r="C1930">
        <f>YEAR(OrdersTable[[#This Row],[Order Date]])</f>
        <v>2024</v>
      </c>
      <c r="D1930" s="2">
        <f>DATE(YEAR(OrdersTable[[#This Row],[Order Date]]),MONTH(OrdersTable[[#This Row],[Order Date]]),1)</f>
        <v>45627</v>
      </c>
      <c r="E1930">
        <f>MONTH(OrdersTable[[#This Row],[Order Date]])</f>
        <v>12</v>
      </c>
      <c r="F1930" t="s">
        <v>972</v>
      </c>
      <c r="G1930" t="str">
        <f>IF(OrdersTable[[#This Row],[Order Date]]=_xlfn.MINIFS(Order_Date, Customer_ID, OrdersTable[[#This Row],[Customer ID]]), "New", "Repeat")</f>
        <v>Repeat</v>
      </c>
      <c r="H1930" t="s">
        <v>167</v>
      </c>
      <c r="I1930" t="str">
        <f>INDEX(State!B:B,MATCH(OrdersTable[[#This Row],[State]],State!A:A,0))</f>
        <v>KA</v>
      </c>
      <c r="J1930" t="str">
        <f>INDEX(State!C:C,MATCH(OrdersTable[[#This Row],[State Code]],State!B:B,0))</f>
        <v>South</v>
      </c>
      <c r="K1930" t="s">
        <v>168</v>
      </c>
      <c r="L1930" t="s">
        <v>65</v>
      </c>
      <c r="M1930" t="s">
        <v>61</v>
      </c>
      <c r="N1930" t="str">
        <f>INDEX(Products!B:B,MATCH(OrdersTable[[#This Row],[Product ID]],Products!A:A,0))</f>
        <v>Multivitamin Gummies</v>
      </c>
      <c r="O1930" t="str">
        <f>INDEX(Products!C:C,MATCH(OrdersTable[[#This Row],[Product ID]],Products!A:A,0))</f>
        <v>Wellness</v>
      </c>
      <c r="P1930">
        <v>2</v>
      </c>
      <c r="Q1930" s="5">
        <v>699</v>
      </c>
      <c r="R1930" s="74">
        <v>0.3</v>
      </c>
      <c r="S1930" s="75">
        <f>OrdersTable[[#This Row],[Quantity]]*OrdersTable[[#This Row],[Unit Price]]</f>
        <v>1398</v>
      </c>
      <c r="T1930" s="5">
        <f>OrdersTable[[#This Row],[Gross Sale]]*OrdersTable[[#This Row],[Discount_Clean2]]</f>
        <v>419.4</v>
      </c>
      <c r="U1930" s="5">
        <f>OrdersTable[[#This Row],[Gross Sale]]-OrdersTable[[#This Row],[Discount Amount]]</f>
        <v>978.6</v>
      </c>
      <c r="V1930" s="77">
        <f>INDEX(Products!E:E,MATCH(OrdersTable[[#This Row],[Product ID]],Products!A:A,0))</f>
        <v>238</v>
      </c>
      <c r="W1930" s="77">
        <f>OrdersTable[[#This Row],[Quantity]]*OrdersTable[[#This Row],[Unit Cost]]</f>
        <v>476</v>
      </c>
      <c r="X1930" s="77">
        <f>'Dropdown Lists'!$I$2*(1+OrdersTable[[#This Row],[Returned]])</f>
        <v>60</v>
      </c>
      <c r="Y1930" s="76">
        <f>OrdersTable[[#This Row],[Net Revenue]]-OrdersTable[[#This Row],[COGS]]-OrdersTable[[#This Row],[Shipping Cost]]</f>
        <v>442.6</v>
      </c>
      <c r="Z1930" s="78">
        <f>IFERROR(OrdersTable[[#This Row],[Profit]]/OrdersTable[[#This Row],[Net Revenue]],0)</f>
        <v>0.45227876558348662</v>
      </c>
      <c r="AA1930" t="s">
        <v>2522</v>
      </c>
      <c r="AB1930" s="79">
        <v>45632</v>
      </c>
      <c r="AC1930">
        <f>OrdersTable[[#This Row],[Delivery Date]]-OrdersTable[[#This Row],[Order Date]]</f>
        <v>1</v>
      </c>
      <c r="AD1930" t="str">
        <f>IF(OrdersTable[[#This Row],[Delivery Days]]&lt;=2, "Express (≤2d)", IF(OrdersTable[[#This Row],[Delivery Days]]&lt;=4, "Standard (3-4d)", "Delayed (5d+)"))</f>
        <v>Express (≤2d)</v>
      </c>
      <c r="AE1930">
        <v>4</v>
      </c>
      <c r="AF1930">
        <v>0</v>
      </c>
    </row>
    <row r="1931" spans="1:32" ht="15" x14ac:dyDescent="0.35">
      <c r="A1931" t="s">
        <v>1059</v>
      </c>
      <c r="B1931" s="1">
        <v>45632</v>
      </c>
      <c r="C1931">
        <f>YEAR(OrdersTable[[#This Row],[Order Date]])</f>
        <v>2024</v>
      </c>
      <c r="D1931" s="2">
        <f>DATE(YEAR(OrdersTable[[#This Row],[Order Date]]),MONTH(OrdersTable[[#This Row],[Order Date]]),1)</f>
        <v>45627</v>
      </c>
      <c r="E1931">
        <f>MONTH(OrdersTable[[#This Row],[Order Date]])</f>
        <v>12</v>
      </c>
      <c r="F1931" t="s">
        <v>1060</v>
      </c>
      <c r="G1931" t="str">
        <f>IF(OrdersTable[[#This Row],[Order Date]]=_xlfn.MINIFS(Order_Date, Customer_ID, OrdersTable[[#This Row],[Customer ID]]), "New", "Repeat")</f>
        <v>New</v>
      </c>
      <c r="H1931" t="s">
        <v>158</v>
      </c>
      <c r="I1931" t="str">
        <f>INDEX(State!B:B,MATCH(OrdersTable[[#This Row],[State]],State!A:A,0))</f>
        <v>HP</v>
      </c>
      <c r="J1931" t="str">
        <f>INDEX(State!C:C,MATCH(OrdersTable[[#This Row],[State Code]],State!B:B,0))</f>
        <v>North</v>
      </c>
      <c r="K1931" t="s">
        <v>159</v>
      </c>
      <c r="L1931" t="s">
        <v>23</v>
      </c>
      <c r="M1931" t="s">
        <v>61</v>
      </c>
      <c r="N1931" t="str">
        <f>INDEX(Products!B:B,MATCH(OrdersTable[[#This Row],[Product ID]],Products!A:A,0))</f>
        <v>Multivitamin Gummies</v>
      </c>
      <c r="O1931" t="str">
        <f>INDEX(Products!C:C,MATCH(OrdersTable[[#This Row],[Product ID]],Products!A:A,0))</f>
        <v>Wellness</v>
      </c>
      <c r="P1931">
        <v>1</v>
      </c>
      <c r="Q1931" s="5">
        <v>699</v>
      </c>
      <c r="R1931" s="74">
        <v>0.2</v>
      </c>
      <c r="S1931" s="75">
        <f>OrdersTable[[#This Row],[Quantity]]*OrdersTable[[#This Row],[Unit Price]]</f>
        <v>699</v>
      </c>
      <c r="T1931" s="5">
        <f>OrdersTable[[#This Row],[Gross Sale]]*OrdersTable[[#This Row],[Discount_Clean2]]</f>
        <v>139.80000000000001</v>
      </c>
      <c r="U1931" s="5">
        <f>OrdersTable[[#This Row],[Gross Sale]]-OrdersTable[[#This Row],[Discount Amount]]</f>
        <v>559.20000000000005</v>
      </c>
      <c r="V1931" s="77">
        <f>INDEX(Products!E:E,MATCH(OrdersTable[[#This Row],[Product ID]],Products!A:A,0))</f>
        <v>238</v>
      </c>
      <c r="W1931" s="77">
        <f>OrdersTable[[#This Row],[Quantity]]*OrdersTable[[#This Row],[Unit Cost]]</f>
        <v>238</v>
      </c>
      <c r="X1931" s="77">
        <f>'Dropdown Lists'!$I$2*(1+OrdersTable[[#This Row],[Returned]])</f>
        <v>120</v>
      </c>
      <c r="Y1931" s="76">
        <f>OrdersTable[[#This Row],[Net Revenue]]-OrdersTable[[#This Row],[COGS]]-OrdersTable[[#This Row],[Shipping Cost]]</f>
        <v>201.20000000000005</v>
      </c>
      <c r="Z1931" s="78">
        <f>IFERROR(OrdersTable[[#This Row],[Profit]]/OrdersTable[[#This Row],[Net Revenue]],0)</f>
        <v>0.35979971387696713</v>
      </c>
      <c r="AA1931" t="s">
        <v>18</v>
      </c>
      <c r="AB1931" s="79">
        <v>45636</v>
      </c>
      <c r="AC1931">
        <f>OrdersTable[[#This Row],[Delivery Date]]-OrdersTable[[#This Row],[Order Date]]</f>
        <v>4</v>
      </c>
      <c r="AD1931" t="str">
        <f>IF(OrdersTable[[#This Row],[Delivery Days]]&lt;=2, "Express (≤2d)", IF(OrdersTable[[#This Row],[Delivery Days]]&lt;=4, "Standard (3-4d)", "Delayed (5d+)"))</f>
        <v>Standard (3-4d)</v>
      </c>
      <c r="AE1931">
        <v>4</v>
      </c>
      <c r="AF1931">
        <v>1</v>
      </c>
    </row>
    <row r="1932" spans="1:32" ht="15" x14ac:dyDescent="0.35">
      <c r="A1932" t="s">
        <v>6536</v>
      </c>
      <c r="B1932" s="1">
        <v>45632</v>
      </c>
      <c r="C1932">
        <f>YEAR(OrdersTable[[#This Row],[Order Date]])</f>
        <v>2024</v>
      </c>
      <c r="D1932" s="2">
        <f>DATE(YEAR(OrdersTable[[#This Row],[Order Date]]),MONTH(OrdersTable[[#This Row],[Order Date]]),1)</f>
        <v>45627</v>
      </c>
      <c r="E1932">
        <f>MONTH(OrdersTable[[#This Row],[Order Date]])</f>
        <v>12</v>
      </c>
      <c r="F1932" t="s">
        <v>6537</v>
      </c>
      <c r="G1932" t="str">
        <f>IF(OrdersTable[[#This Row],[Order Date]]=_xlfn.MINIFS(Order_Date, Customer_ID, OrdersTable[[#This Row],[Customer ID]]), "New", "Repeat")</f>
        <v>New</v>
      </c>
      <c r="H1932" t="s">
        <v>37</v>
      </c>
      <c r="I1932" t="str">
        <f>INDEX(State!B:B,MATCH(OrdersTable[[#This Row],[State]],State!A:A,0))</f>
        <v>GJ</v>
      </c>
      <c r="J1932" t="str">
        <f>INDEX(State!C:C,MATCH(OrdersTable[[#This Row],[State Code]],State!B:B,0))</f>
        <v>West</v>
      </c>
      <c r="K1932" t="s">
        <v>247</v>
      </c>
      <c r="L1932" t="s">
        <v>16</v>
      </c>
      <c r="M1932" t="s">
        <v>92</v>
      </c>
      <c r="N1932" t="str">
        <f>INDEX(Products!B:B,MATCH(OrdersTable[[#This Row],[Product ID]],Products!A:A,0))</f>
        <v>Kolhapuri Sandals</v>
      </c>
      <c r="O1932" t="str">
        <f>INDEX(Products!C:C,MATCH(OrdersTable[[#This Row],[Product ID]],Products!A:A,0))</f>
        <v>Footwear</v>
      </c>
      <c r="P1932">
        <v>3</v>
      </c>
      <c r="Q1932" s="5">
        <v>999</v>
      </c>
      <c r="R1932" s="74">
        <v>0.1</v>
      </c>
      <c r="S1932" s="75">
        <f>OrdersTable[[#This Row],[Quantity]]*OrdersTable[[#This Row],[Unit Price]]</f>
        <v>2997</v>
      </c>
      <c r="T1932" s="5">
        <f>OrdersTable[[#This Row],[Gross Sale]]*OrdersTable[[#This Row],[Discount_Clean2]]</f>
        <v>299.7</v>
      </c>
      <c r="U1932" s="5">
        <f>OrdersTable[[#This Row],[Gross Sale]]-OrdersTable[[#This Row],[Discount Amount]]</f>
        <v>2697.3</v>
      </c>
      <c r="V1932" s="77">
        <f>INDEX(Products!E:E,MATCH(OrdersTable[[#This Row],[Product ID]],Products!A:A,0))</f>
        <v>400</v>
      </c>
      <c r="W1932" s="77">
        <f>OrdersTable[[#This Row],[Quantity]]*OrdersTable[[#This Row],[Unit Cost]]</f>
        <v>1200</v>
      </c>
      <c r="X1932" s="77">
        <f>'Dropdown Lists'!$I$2*(1+OrdersTable[[#This Row],[Returned]])</f>
        <v>120</v>
      </c>
      <c r="Y1932" s="76">
        <f>OrdersTable[[#This Row],[Net Revenue]]-OrdersTable[[#This Row],[COGS]]-OrdersTable[[#This Row],[Shipping Cost]]</f>
        <v>1377.3000000000002</v>
      </c>
      <c r="Z1932" s="78">
        <f>IFERROR(OrdersTable[[#This Row],[Profit]]/OrdersTable[[#This Row],[Net Revenue]],0)</f>
        <v>0.51062173284395507</v>
      </c>
      <c r="AA1932" t="s">
        <v>18</v>
      </c>
      <c r="AB1932" s="79">
        <v>45633</v>
      </c>
      <c r="AC1932">
        <f>OrdersTable[[#This Row],[Delivery Date]]-OrdersTable[[#This Row],[Order Date]]</f>
        <v>1</v>
      </c>
      <c r="AD1932" t="str">
        <f>IF(OrdersTable[[#This Row],[Delivery Days]]&lt;=2, "Express (≤2d)", IF(OrdersTable[[#This Row],[Delivery Days]]&lt;=4, "Standard (3-4d)", "Delayed (5d+)"))</f>
        <v>Express (≤2d)</v>
      </c>
      <c r="AF1932">
        <v>1</v>
      </c>
    </row>
    <row r="1933" spans="1:32" ht="15" x14ac:dyDescent="0.35">
      <c r="A1933" t="s">
        <v>2991</v>
      </c>
      <c r="B1933" s="1">
        <v>45632</v>
      </c>
      <c r="C1933">
        <f>YEAR(OrdersTable[[#This Row],[Order Date]])</f>
        <v>2024</v>
      </c>
      <c r="D1933" s="2">
        <f>DATE(YEAR(OrdersTable[[#This Row],[Order Date]]),MONTH(OrdersTable[[#This Row],[Order Date]]),1)</f>
        <v>45627</v>
      </c>
      <c r="E1933">
        <f>MONTH(OrdersTable[[#This Row],[Order Date]])</f>
        <v>12</v>
      </c>
      <c r="F1933" t="s">
        <v>2682</v>
      </c>
      <c r="G1933" t="str">
        <f>IF(OrdersTable[[#This Row],[Order Date]]=_xlfn.MINIFS(Order_Date, Customer_ID, OrdersTable[[#This Row],[Customer ID]]), "New", "Repeat")</f>
        <v>New</v>
      </c>
      <c r="H1933" t="s">
        <v>71</v>
      </c>
      <c r="I1933" t="str">
        <f>INDEX(State!B:B,MATCH(OrdersTable[[#This Row],[State]],State!A:A,0))</f>
        <v>MH</v>
      </c>
      <c r="J1933" t="str">
        <f>INDEX(State!C:C,MATCH(OrdersTable[[#This Row],[State Code]],State!B:B,0))</f>
        <v>West</v>
      </c>
      <c r="K1933" t="s">
        <v>102</v>
      </c>
      <c r="L1933" t="s">
        <v>65</v>
      </c>
      <c r="M1933" t="s">
        <v>45</v>
      </c>
      <c r="N1933" t="str">
        <f>INDEX(Products!B:B,MATCH(OrdersTable[[#This Row],[Product ID]],Products!A:A,0))</f>
        <v>Argan Shampoo</v>
      </c>
      <c r="O1933" t="str">
        <f>INDEX(Products!C:C,MATCH(OrdersTable[[#This Row],[Product ID]],Products!A:A,0))</f>
        <v>Haircare</v>
      </c>
      <c r="P1933">
        <v>1</v>
      </c>
      <c r="Q1933" s="5">
        <v>449</v>
      </c>
      <c r="R1933" s="74">
        <v>0.05</v>
      </c>
      <c r="S1933" s="75">
        <f>OrdersTable[[#This Row],[Quantity]]*OrdersTable[[#This Row],[Unit Price]]</f>
        <v>449</v>
      </c>
      <c r="T1933" s="5">
        <f>OrdersTable[[#This Row],[Gross Sale]]*OrdersTable[[#This Row],[Discount_Clean2]]</f>
        <v>22.450000000000003</v>
      </c>
      <c r="U1933" s="5">
        <f>OrdersTable[[#This Row],[Gross Sale]]-OrdersTable[[#This Row],[Discount Amount]]</f>
        <v>426.55</v>
      </c>
      <c r="V1933" s="77">
        <f>INDEX(Products!E:E,MATCH(OrdersTable[[#This Row],[Product ID]],Products!A:A,0))</f>
        <v>148</v>
      </c>
      <c r="W1933" s="77">
        <f>OrdersTable[[#This Row],[Quantity]]*OrdersTable[[#This Row],[Unit Cost]]</f>
        <v>148</v>
      </c>
      <c r="X1933" s="77">
        <f>'Dropdown Lists'!$I$2*(1+OrdersTable[[#This Row],[Returned]])</f>
        <v>120</v>
      </c>
      <c r="Y1933" s="76">
        <f>OrdersTable[[#This Row],[Net Revenue]]-OrdersTable[[#This Row],[COGS]]-OrdersTable[[#This Row],[Shipping Cost]]</f>
        <v>158.55000000000001</v>
      </c>
      <c r="Z1933" s="78">
        <f>IFERROR(OrdersTable[[#This Row],[Profit]]/OrdersTable[[#This Row],[Net Revenue]],0)</f>
        <v>0.37170320009377567</v>
      </c>
      <c r="AA1933" t="s">
        <v>2522</v>
      </c>
      <c r="AB1933" s="79">
        <v>45635</v>
      </c>
      <c r="AC1933">
        <f>OrdersTable[[#This Row],[Delivery Date]]-OrdersTable[[#This Row],[Order Date]]</f>
        <v>3</v>
      </c>
      <c r="AD1933" t="str">
        <f>IF(OrdersTable[[#This Row],[Delivery Days]]&lt;=2, "Express (≤2d)", IF(OrdersTable[[#This Row],[Delivery Days]]&lt;=4, "Standard (3-4d)", "Delayed (5d+)"))</f>
        <v>Standard (3-4d)</v>
      </c>
      <c r="AF1933">
        <v>1</v>
      </c>
    </row>
    <row r="1934" spans="1:32" ht="15" x14ac:dyDescent="0.35">
      <c r="A1934" t="s">
        <v>6877</v>
      </c>
      <c r="B1934" s="1">
        <v>45632</v>
      </c>
      <c r="C1934">
        <f>YEAR(OrdersTable[[#This Row],[Order Date]])</f>
        <v>2024</v>
      </c>
      <c r="D1934" s="2">
        <f>DATE(YEAR(OrdersTable[[#This Row],[Order Date]]),MONTH(OrdersTable[[#This Row],[Order Date]]),1)</f>
        <v>45627</v>
      </c>
      <c r="E1934">
        <f>MONTH(OrdersTable[[#This Row],[Order Date]])</f>
        <v>12</v>
      </c>
      <c r="F1934" t="s">
        <v>340</v>
      </c>
      <c r="G1934" t="str">
        <f>IF(OrdersTable[[#This Row],[Order Date]]=_xlfn.MINIFS(Order_Date, Customer_ID, OrdersTable[[#This Row],[Customer ID]]), "New", "Repeat")</f>
        <v>Repeat</v>
      </c>
      <c r="H1934" t="s">
        <v>95</v>
      </c>
      <c r="I1934" t="str">
        <f>INDEX(State!B:B,MATCH(OrdersTable[[#This Row],[State]],State!A:A,0))</f>
        <v>TG</v>
      </c>
      <c r="J1934" t="str">
        <f>INDEX(State!C:C,MATCH(OrdersTable[[#This Row],[State Code]],State!B:B,0))</f>
        <v>South</v>
      </c>
      <c r="K1934" t="s">
        <v>96</v>
      </c>
      <c r="L1934" t="s">
        <v>65</v>
      </c>
      <c r="M1934" t="s">
        <v>73</v>
      </c>
      <c r="N1934" t="str">
        <f>INDEX(Products!B:B,MATCH(OrdersTable[[#This Row],[Product ID]],Products!A:A,0))</f>
        <v>Hydrating Face Wash</v>
      </c>
      <c r="O1934" t="str">
        <f>INDEX(Products!C:C,MATCH(OrdersTable[[#This Row],[Product ID]],Products!A:A,0))</f>
        <v>Skincare</v>
      </c>
      <c r="P1934">
        <v>3</v>
      </c>
      <c r="Q1934" s="5">
        <v>299</v>
      </c>
      <c r="R1934" s="74">
        <v>0.05</v>
      </c>
      <c r="S1934" s="75">
        <f>OrdersTable[[#This Row],[Quantity]]*OrdersTable[[#This Row],[Unit Price]]</f>
        <v>897</v>
      </c>
      <c r="T1934" s="5">
        <f>OrdersTable[[#This Row],[Gross Sale]]*OrdersTable[[#This Row],[Discount_Clean2]]</f>
        <v>44.85</v>
      </c>
      <c r="U1934" s="5">
        <f>OrdersTable[[#This Row],[Gross Sale]]-OrdersTable[[#This Row],[Discount Amount]]</f>
        <v>852.15</v>
      </c>
      <c r="V1934" s="77">
        <f>INDEX(Products!E:E,MATCH(OrdersTable[[#This Row],[Product ID]],Products!A:A,0))</f>
        <v>90</v>
      </c>
      <c r="W1934" s="77">
        <f>OrdersTable[[#This Row],[Quantity]]*OrdersTable[[#This Row],[Unit Cost]]</f>
        <v>270</v>
      </c>
      <c r="X1934" s="77">
        <f>'Dropdown Lists'!$I$2*(1+OrdersTable[[#This Row],[Returned]])</f>
        <v>60</v>
      </c>
      <c r="Y1934" s="76">
        <f>OrdersTable[[#This Row],[Net Revenue]]-OrdersTable[[#This Row],[COGS]]-OrdersTable[[#This Row],[Shipping Cost]]</f>
        <v>522.15</v>
      </c>
      <c r="Z1934" s="78">
        <f>IFERROR(OrdersTable[[#This Row],[Profit]]/OrdersTable[[#This Row],[Net Revenue]],0)</f>
        <v>0.61274423516986443</v>
      </c>
      <c r="AA1934" t="s">
        <v>4074</v>
      </c>
      <c r="AB1934" s="79">
        <v>45635</v>
      </c>
      <c r="AC1934">
        <f>OrdersTable[[#This Row],[Delivery Date]]-OrdersTable[[#This Row],[Order Date]]</f>
        <v>3</v>
      </c>
      <c r="AD1934" t="str">
        <f>IF(OrdersTable[[#This Row],[Delivery Days]]&lt;=2, "Express (≤2d)", IF(OrdersTable[[#This Row],[Delivery Days]]&lt;=4, "Standard (3-4d)", "Delayed (5d+)"))</f>
        <v>Standard (3-4d)</v>
      </c>
      <c r="AF1934">
        <v>0</v>
      </c>
    </row>
    <row r="1935" spans="1:32" ht="15" x14ac:dyDescent="0.35">
      <c r="A1935" t="s">
        <v>4378</v>
      </c>
      <c r="B1935" s="1">
        <v>45632</v>
      </c>
      <c r="C1935">
        <f>YEAR(OrdersTable[[#This Row],[Order Date]])</f>
        <v>2024</v>
      </c>
      <c r="D1935" s="2">
        <f>DATE(YEAR(OrdersTable[[#This Row],[Order Date]]),MONTH(OrdersTable[[#This Row],[Order Date]]),1)</f>
        <v>45627</v>
      </c>
      <c r="E1935">
        <f>MONTH(OrdersTable[[#This Row],[Order Date]])</f>
        <v>12</v>
      </c>
      <c r="F1935" t="s">
        <v>352</v>
      </c>
      <c r="G1935" t="str">
        <f>IF(OrdersTable[[#This Row],[Order Date]]=_xlfn.MINIFS(Order_Date, Customer_ID, OrdersTable[[#This Row],[Customer ID]]), "New", "Repeat")</f>
        <v>Repeat</v>
      </c>
      <c r="H1935" t="s">
        <v>90</v>
      </c>
      <c r="I1935" t="str">
        <f>INDEX(State!B:B,MATCH(OrdersTable[[#This Row],[State]],State!A:A,0))</f>
        <v>GA</v>
      </c>
      <c r="J1935" t="str">
        <f>INDEX(State!C:C,MATCH(OrdersTable[[#This Row],[State Code]],State!B:B,0))</f>
        <v>West</v>
      </c>
      <c r="K1935" t="s">
        <v>91</v>
      </c>
      <c r="L1935" t="s">
        <v>23</v>
      </c>
      <c r="M1935" t="s">
        <v>34</v>
      </c>
      <c r="N1935" t="str">
        <f>INDEX(Products!B:B,MATCH(OrdersTable[[#This Row],[Product ID]],Products!A:A,0))</f>
        <v>Flip Flops</v>
      </c>
      <c r="O1935" t="str">
        <f>INDEX(Products!C:C,MATCH(OrdersTable[[#This Row],[Product ID]],Products!A:A,0))</f>
        <v>Footwear</v>
      </c>
      <c r="P1935">
        <v>1</v>
      </c>
      <c r="Q1935" s="5">
        <v>399</v>
      </c>
      <c r="R1935" s="74">
        <v>0.05</v>
      </c>
      <c r="S1935" s="75">
        <f>OrdersTable[[#This Row],[Quantity]]*OrdersTable[[#This Row],[Unit Price]]</f>
        <v>399</v>
      </c>
      <c r="T1935" s="5">
        <f>OrdersTable[[#This Row],[Gross Sale]]*OrdersTable[[#This Row],[Discount_Clean2]]</f>
        <v>19.950000000000003</v>
      </c>
      <c r="U1935" s="5">
        <f>OrdersTable[[#This Row],[Gross Sale]]-OrdersTable[[#This Row],[Discount Amount]]</f>
        <v>379.05</v>
      </c>
      <c r="V1935" s="77">
        <f>INDEX(Products!E:E,MATCH(OrdersTable[[#This Row],[Product ID]],Products!A:A,0))</f>
        <v>152</v>
      </c>
      <c r="W1935" s="77">
        <f>OrdersTable[[#This Row],[Quantity]]*OrdersTable[[#This Row],[Unit Cost]]</f>
        <v>152</v>
      </c>
      <c r="X1935" s="77">
        <f>'Dropdown Lists'!$I$2*(1+OrdersTable[[#This Row],[Returned]])</f>
        <v>60</v>
      </c>
      <c r="Y1935" s="76">
        <f>OrdersTable[[#This Row],[Net Revenue]]-OrdersTable[[#This Row],[COGS]]-OrdersTable[[#This Row],[Shipping Cost]]</f>
        <v>167.05</v>
      </c>
      <c r="Z1935" s="78">
        <f>IFERROR(OrdersTable[[#This Row],[Profit]]/OrdersTable[[#This Row],[Net Revenue]],0)</f>
        <v>0.44070703073473161</v>
      </c>
      <c r="AA1935" t="s">
        <v>4074</v>
      </c>
      <c r="AB1935" s="79">
        <v>45636</v>
      </c>
      <c r="AC1935">
        <f>OrdersTable[[#This Row],[Delivery Date]]-OrdersTable[[#This Row],[Order Date]]</f>
        <v>4</v>
      </c>
      <c r="AD1935" t="str">
        <f>IF(OrdersTable[[#This Row],[Delivery Days]]&lt;=2, "Express (≤2d)", IF(OrdersTable[[#This Row],[Delivery Days]]&lt;=4, "Standard (3-4d)", "Delayed (5d+)"))</f>
        <v>Standard (3-4d)</v>
      </c>
      <c r="AE1935">
        <v>4</v>
      </c>
      <c r="AF1935">
        <v>0</v>
      </c>
    </row>
    <row r="1936" spans="1:32" ht="15" x14ac:dyDescent="0.35">
      <c r="A1936" t="s">
        <v>6324</v>
      </c>
      <c r="B1936" s="1">
        <v>45632</v>
      </c>
      <c r="C1936">
        <f>YEAR(OrdersTable[[#This Row],[Order Date]])</f>
        <v>2024</v>
      </c>
      <c r="D1936" s="2">
        <f>DATE(YEAR(OrdersTable[[#This Row],[Order Date]]),MONTH(OrdersTable[[#This Row],[Order Date]]),1)</f>
        <v>45627</v>
      </c>
      <c r="E1936">
        <f>MONTH(OrdersTable[[#This Row],[Order Date]])</f>
        <v>12</v>
      </c>
      <c r="F1936" t="s">
        <v>2371</v>
      </c>
      <c r="G1936" t="str">
        <f>IF(OrdersTable[[#This Row],[Order Date]]=_xlfn.MINIFS(Order_Date, Customer_ID, OrdersTable[[#This Row],[Customer ID]]), "New", "Repeat")</f>
        <v>New</v>
      </c>
      <c r="H1936" t="s">
        <v>59</v>
      </c>
      <c r="I1936" t="str">
        <f>INDEX(State!B:B,MATCH(OrdersTable[[#This Row],[State]],State!A:A,0))</f>
        <v>TN</v>
      </c>
      <c r="J1936" t="str">
        <f>INDEX(State!C:C,MATCH(OrdersTable[[#This Row],[State Code]],State!B:B,0))</f>
        <v>South</v>
      </c>
      <c r="K1936" t="s">
        <v>60</v>
      </c>
      <c r="L1936" t="s">
        <v>39</v>
      </c>
      <c r="M1936" t="s">
        <v>51</v>
      </c>
      <c r="N1936" t="str">
        <f>INDEX(Products!B:B,MATCH(OrdersTable[[#This Row],[Product ID]],Products!A:A,0))</f>
        <v>Anti-Dandruff Conditioner</v>
      </c>
      <c r="O1936" t="str">
        <f>INDEX(Products!C:C,MATCH(OrdersTable[[#This Row],[Product ID]],Products!A:A,0))</f>
        <v>Haircare</v>
      </c>
      <c r="P1936">
        <v>2</v>
      </c>
      <c r="Q1936" s="5">
        <v>399</v>
      </c>
      <c r="R1936" s="74">
        <v>0.35</v>
      </c>
      <c r="S1936" s="75">
        <f>OrdersTable[[#This Row],[Quantity]]*OrdersTable[[#This Row],[Unit Price]]</f>
        <v>798</v>
      </c>
      <c r="T1936" s="5">
        <f>OrdersTable[[#This Row],[Gross Sale]]*OrdersTable[[#This Row],[Discount_Clean2]]</f>
        <v>279.29999999999995</v>
      </c>
      <c r="U1936" s="5">
        <f>OrdersTable[[#This Row],[Gross Sale]]-OrdersTable[[#This Row],[Discount Amount]]</f>
        <v>518.70000000000005</v>
      </c>
      <c r="V1936" s="77">
        <f>INDEX(Products!E:E,MATCH(OrdersTable[[#This Row],[Product ID]],Products!A:A,0))</f>
        <v>136</v>
      </c>
      <c r="W1936" s="77">
        <f>OrdersTable[[#This Row],[Quantity]]*OrdersTable[[#This Row],[Unit Cost]]</f>
        <v>272</v>
      </c>
      <c r="X1936" s="77">
        <f>'Dropdown Lists'!$I$2*(1+OrdersTable[[#This Row],[Returned]])</f>
        <v>60</v>
      </c>
      <c r="Y1936" s="76">
        <f>OrdersTable[[#This Row],[Net Revenue]]-OrdersTable[[#This Row],[COGS]]-OrdersTable[[#This Row],[Shipping Cost]]</f>
        <v>186.70000000000005</v>
      </c>
      <c r="Z1936" s="78">
        <f>IFERROR(OrdersTable[[#This Row],[Profit]]/OrdersTable[[#This Row],[Net Revenue]],0)</f>
        <v>0.35993830730672843</v>
      </c>
      <c r="AA1936" t="s">
        <v>18</v>
      </c>
      <c r="AB1936" s="79">
        <v>45636</v>
      </c>
      <c r="AC1936">
        <f>OrdersTable[[#This Row],[Delivery Date]]-OrdersTable[[#This Row],[Order Date]]</f>
        <v>4</v>
      </c>
      <c r="AD1936" t="str">
        <f>IF(OrdersTable[[#This Row],[Delivery Days]]&lt;=2, "Express (≤2d)", IF(OrdersTable[[#This Row],[Delivery Days]]&lt;=4, "Standard (3-4d)", "Delayed (5d+)"))</f>
        <v>Standard (3-4d)</v>
      </c>
      <c r="AE1936">
        <v>3</v>
      </c>
      <c r="AF1936">
        <v>0</v>
      </c>
    </row>
    <row r="1937" spans="1:32" ht="15" x14ac:dyDescent="0.35">
      <c r="A1937" t="s">
        <v>4260</v>
      </c>
      <c r="B1937" s="1">
        <v>45633</v>
      </c>
      <c r="C1937">
        <f>YEAR(OrdersTable[[#This Row],[Order Date]])</f>
        <v>2024</v>
      </c>
      <c r="D1937" s="2">
        <f>DATE(YEAR(OrdersTable[[#This Row],[Order Date]]),MONTH(OrdersTable[[#This Row],[Order Date]]),1)</f>
        <v>45627</v>
      </c>
      <c r="E1937">
        <f>MONTH(OrdersTable[[#This Row],[Order Date]])</f>
        <v>12</v>
      </c>
      <c r="F1937" t="s">
        <v>1573</v>
      </c>
      <c r="G1937" t="str">
        <f>IF(OrdersTable[[#This Row],[Order Date]]=_xlfn.MINIFS(Order_Date, Customer_ID, OrdersTable[[#This Row],[Customer ID]]), "New", "Repeat")</f>
        <v>New</v>
      </c>
      <c r="H1937" t="s">
        <v>21</v>
      </c>
      <c r="I1937" t="str">
        <f>INDEX(State!B:B,MATCH(OrdersTable[[#This Row],[State]],State!A:A,0))</f>
        <v>PB</v>
      </c>
      <c r="J1937" t="str">
        <f>INDEX(State!C:C,MATCH(OrdersTable[[#This Row],[State Code]],State!B:B,0))</f>
        <v>North</v>
      </c>
      <c r="K1937" t="s">
        <v>22</v>
      </c>
      <c r="L1937" t="s">
        <v>50</v>
      </c>
      <c r="M1937" t="s">
        <v>73</v>
      </c>
      <c r="N1937" t="str">
        <f>INDEX(Products!B:B,MATCH(OrdersTable[[#This Row],[Product ID]],Products!A:A,0))</f>
        <v>Hydrating Face Wash</v>
      </c>
      <c r="O1937" t="str">
        <f>INDEX(Products!C:C,MATCH(OrdersTable[[#This Row],[Product ID]],Products!A:A,0))</f>
        <v>Skincare</v>
      </c>
      <c r="P1937">
        <v>1</v>
      </c>
      <c r="Q1937" s="5">
        <v>299</v>
      </c>
      <c r="R1937" s="74">
        <v>0</v>
      </c>
      <c r="S1937" s="75">
        <f>OrdersTable[[#This Row],[Quantity]]*OrdersTable[[#This Row],[Unit Price]]</f>
        <v>299</v>
      </c>
      <c r="T1937" s="5">
        <f>OrdersTable[[#This Row],[Gross Sale]]*OrdersTable[[#This Row],[Discount_Clean2]]</f>
        <v>0</v>
      </c>
      <c r="U1937" s="5">
        <f>OrdersTable[[#This Row],[Gross Sale]]-OrdersTable[[#This Row],[Discount Amount]]</f>
        <v>299</v>
      </c>
      <c r="V1937" s="77">
        <f>INDEX(Products!E:E,MATCH(OrdersTable[[#This Row],[Product ID]],Products!A:A,0))</f>
        <v>90</v>
      </c>
      <c r="W1937" s="77">
        <f>OrdersTable[[#This Row],[Quantity]]*OrdersTable[[#This Row],[Unit Cost]]</f>
        <v>90</v>
      </c>
      <c r="X1937" s="77">
        <f>'Dropdown Lists'!$I$2*(1+OrdersTable[[#This Row],[Returned]])</f>
        <v>60</v>
      </c>
      <c r="Y1937" s="76">
        <f>OrdersTable[[#This Row],[Net Revenue]]-OrdersTable[[#This Row],[COGS]]-OrdersTable[[#This Row],[Shipping Cost]]</f>
        <v>149</v>
      </c>
      <c r="Z1937" s="78">
        <f>IFERROR(OrdersTable[[#This Row],[Profit]]/OrdersTable[[#This Row],[Net Revenue]],0)</f>
        <v>0.49832775919732442</v>
      </c>
      <c r="AA1937" t="s">
        <v>4074</v>
      </c>
      <c r="AB1937" s="79">
        <v>45636</v>
      </c>
      <c r="AC1937">
        <f>OrdersTable[[#This Row],[Delivery Date]]-OrdersTable[[#This Row],[Order Date]]</f>
        <v>3</v>
      </c>
      <c r="AD1937" t="str">
        <f>IF(OrdersTable[[#This Row],[Delivery Days]]&lt;=2, "Express (≤2d)", IF(OrdersTable[[#This Row],[Delivery Days]]&lt;=4, "Standard (3-4d)", "Delayed (5d+)"))</f>
        <v>Standard (3-4d)</v>
      </c>
      <c r="AF1937">
        <v>0</v>
      </c>
    </row>
    <row r="1938" spans="1:32" ht="15" x14ac:dyDescent="0.35">
      <c r="A1938" t="s">
        <v>4959</v>
      </c>
      <c r="B1938" s="1">
        <v>45633</v>
      </c>
      <c r="C1938">
        <f>YEAR(OrdersTable[[#This Row],[Order Date]])</f>
        <v>2024</v>
      </c>
      <c r="D1938" s="2">
        <f>DATE(YEAR(OrdersTable[[#This Row],[Order Date]]),MONTH(OrdersTable[[#This Row],[Order Date]]),1)</f>
        <v>45627</v>
      </c>
      <c r="E1938">
        <f>MONTH(OrdersTable[[#This Row],[Order Date]])</f>
        <v>12</v>
      </c>
      <c r="F1938" t="s">
        <v>217</v>
      </c>
      <c r="G1938" t="str">
        <f>IF(OrdersTable[[#This Row],[Order Date]]=_xlfn.MINIFS(Order_Date, Customer_ID, OrdersTable[[#This Row],[Customer ID]]), "New", "Repeat")</f>
        <v>Repeat</v>
      </c>
      <c r="H1938" t="s">
        <v>32</v>
      </c>
      <c r="I1938" t="str">
        <f>INDEX(State!B:B,MATCH(OrdersTable[[#This Row],[State]],State!A:A,0))</f>
        <v>BR</v>
      </c>
      <c r="J1938" t="str">
        <f>INDEX(State!C:C,MATCH(OrdersTable[[#This Row],[State Code]],State!B:B,0))</f>
        <v>East</v>
      </c>
      <c r="K1938" t="s">
        <v>33</v>
      </c>
      <c r="L1938" t="s">
        <v>65</v>
      </c>
      <c r="M1938" t="s">
        <v>565</v>
      </c>
      <c r="N1938" t="str">
        <f>INDEX(Products!B:B,MATCH(OrdersTable[[#This Row],[Product ID]],Products!A:A,0))</f>
        <v>Ceramic Dinner Set</v>
      </c>
      <c r="O1938" t="str">
        <f>INDEX(Products!C:C,MATCH(OrdersTable[[#This Row],[Product ID]],Products!A:A,0))</f>
        <v>Home &amp; Kitchen</v>
      </c>
      <c r="P1938">
        <v>2</v>
      </c>
      <c r="Q1938" s="5">
        <v>2499</v>
      </c>
      <c r="R1938" s="74">
        <v>0.35</v>
      </c>
      <c r="S1938" s="75">
        <f>OrdersTable[[#This Row],[Quantity]]*OrdersTable[[#This Row],[Unit Price]]</f>
        <v>4998</v>
      </c>
      <c r="T1938" s="5">
        <f>OrdersTable[[#This Row],[Gross Sale]]*OrdersTable[[#This Row],[Discount_Clean2]]</f>
        <v>1749.3</v>
      </c>
      <c r="U1938" s="5">
        <f>OrdersTable[[#This Row],[Gross Sale]]-OrdersTable[[#This Row],[Discount Amount]]</f>
        <v>3248.7</v>
      </c>
      <c r="V1938" s="77">
        <f>INDEX(Products!E:E,MATCH(OrdersTable[[#This Row],[Product ID]],Products!A:A,0))</f>
        <v>1250</v>
      </c>
      <c r="W1938" s="77">
        <f>OrdersTable[[#This Row],[Quantity]]*OrdersTable[[#This Row],[Unit Cost]]</f>
        <v>2500</v>
      </c>
      <c r="X1938" s="77">
        <f>'Dropdown Lists'!$I$2*(1+OrdersTable[[#This Row],[Returned]])</f>
        <v>60</v>
      </c>
      <c r="Y1938" s="76">
        <f>OrdersTable[[#This Row],[Net Revenue]]-OrdersTable[[#This Row],[COGS]]-OrdersTable[[#This Row],[Shipping Cost]]</f>
        <v>688.69999999999982</v>
      </c>
      <c r="Z1938" s="78">
        <f>IFERROR(OrdersTable[[#This Row],[Profit]]/OrdersTable[[#This Row],[Net Revenue]],0)</f>
        <v>0.21199248930341363</v>
      </c>
      <c r="AA1938" t="s">
        <v>4074</v>
      </c>
      <c r="AB1938" s="79">
        <v>45638</v>
      </c>
      <c r="AC1938">
        <f>OrdersTable[[#This Row],[Delivery Date]]-OrdersTable[[#This Row],[Order Date]]</f>
        <v>5</v>
      </c>
      <c r="AD1938" t="str">
        <f>IF(OrdersTable[[#This Row],[Delivery Days]]&lt;=2, "Express (≤2d)", IF(OrdersTable[[#This Row],[Delivery Days]]&lt;=4, "Standard (3-4d)", "Delayed (5d+)"))</f>
        <v>Delayed (5d+)</v>
      </c>
      <c r="AE1938">
        <v>4</v>
      </c>
      <c r="AF1938">
        <v>0</v>
      </c>
    </row>
    <row r="1939" spans="1:32" ht="15" x14ac:dyDescent="0.35">
      <c r="A1939" t="s">
        <v>950</v>
      </c>
      <c r="B1939" s="1">
        <v>45633</v>
      </c>
      <c r="C1939">
        <f>YEAR(OrdersTable[[#This Row],[Order Date]])</f>
        <v>2024</v>
      </c>
      <c r="D1939" s="2">
        <f>DATE(YEAR(OrdersTable[[#This Row],[Order Date]]),MONTH(OrdersTable[[#This Row],[Order Date]]),1)</f>
        <v>45627</v>
      </c>
      <c r="E1939">
        <f>MONTH(OrdersTable[[#This Row],[Order Date]])</f>
        <v>12</v>
      </c>
      <c r="F1939" t="s">
        <v>951</v>
      </c>
      <c r="G1939" t="str">
        <f>IF(OrdersTable[[#This Row],[Order Date]]=_xlfn.MINIFS(Order_Date, Customer_ID, OrdersTable[[#This Row],[Customer ID]]), "New", "Repeat")</f>
        <v>New</v>
      </c>
      <c r="H1939" t="s">
        <v>37</v>
      </c>
      <c r="I1939" t="str">
        <f>INDEX(State!B:B,MATCH(OrdersTable[[#This Row],[State]],State!A:A,0))</f>
        <v>GJ</v>
      </c>
      <c r="J1939" t="str">
        <f>INDEX(State!C:C,MATCH(OrdersTable[[#This Row],[State Code]],State!B:B,0))</f>
        <v>West</v>
      </c>
      <c r="K1939" t="s">
        <v>38</v>
      </c>
      <c r="L1939" t="s">
        <v>39</v>
      </c>
      <c r="M1939" t="s">
        <v>160</v>
      </c>
      <c r="N1939" t="str">
        <f>INDEX(Products!B:B,MATCH(OrdersTable[[#This Row],[Product ID]],Products!A:A,0))</f>
        <v>Niacinamide Toner</v>
      </c>
      <c r="O1939" t="str">
        <f>INDEX(Products!C:C,MATCH(OrdersTable[[#This Row],[Product ID]],Products!A:A,0))</f>
        <v>Skincare</v>
      </c>
      <c r="P1939">
        <v>1</v>
      </c>
      <c r="Q1939" s="5">
        <v>399</v>
      </c>
      <c r="R1939" s="74">
        <v>0.15</v>
      </c>
      <c r="S1939" s="75">
        <f>OrdersTable[[#This Row],[Quantity]]*OrdersTable[[#This Row],[Unit Price]]</f>
        <v>399</v>
      </c>
      <c r="T1939" s="5">
        <f>OrdersTable[[#This Row],[Gross Sale]]*OrdersTable[[#This Row],[Discount_Clean2]]</f>
        <v>59.849999999999994</v>
      </c>
      <c r="U1939" s="5">
        <f>OrdersTable[[#This Row],[Gross Sale]]-OrdersTable[[#This Row],[Discount Amount]]</f>
        <v>339.15</v>
      </c>
      <c r="V1939" s="77">
        <f>INDEX(Products!E:E,MATCH(OrdersTable[[#This Row],[Product ID]],Products!A:A,0))</f>
        <v>112</v>
      </c>
      <c r="W1939" s="77">
        <f>OrdersTable[[#This Row],[Quantity]]*OrdersTable[[#This Row],[Unit Cost]]</f>
        <v>112</v>
      </c>
      <c r="X1939" s="77">
        <f>'Dropdown Lists'!$I$2*(1+OrdersTable[[#This Row],[Returned]])</f>
        <v>60</v>
      </c>
      <c r="Y1939" s="76">
        <f>OrdersTable[[#This Row],[Net Revenue]]-OrdersTable[[#This Row],[COGS]]-OrdersTable[[#This Row],[Shipping Cost]]</f>
        <v>167.14999999999998</v>
      </c>
      <c r="Z1939" s="78">
        <f>IFERROR(OrdersTable[[#This Row],[Profit]]/OrdersTable[[#This Row],[Net Revenue]],0)</f>
        <v>0.49284977148754233</v>
      </c>
      <c r="AA1939" t="s">
        <v>18</v>
      </c>
      <c r="AB1939" s="79">
        <v>45637</v>
      </c>
      <c r="AC1939">
        <f>OrdersTable[[#This Row],[Delivery Date]]-OrdersTable[[#This Row],[Order Date]]</f>
        <v>4</v>
      </c>
      <c r="AD1939" t="str">
        <f>IF(OrdersTable[[#This Row],[Delivery Days]]&lt;=2, "Express (≤2d)", IF(OrdersTable[[#This Row],[Delivery Days]]&lt;=4, "Standard (3-4d)", "Delayed (5d+)"))</f>
        <v>Standard (3-4d)</v>
      </c>
      <c r="AE1939">
        <v>4</v>
      </c>
      <c r="AF1939">
        <v>0</v>
      </c>
    </row>
    <row r="1940" spans="1:32" ht="15" x14ac:dyDescent="0.35">
      <c r="A1940" t="s">
        <v>5147</v>
      </c>
      <c r="B1940" s="1">
        <v>45633</v>
      </c>
      <c r="C1940">
        <f>YEAR(OrdersTable[[#This Row],[Order Date]])</f>
        <v>2024</v>
      </c>
      <c r="D1940" s="2">
        <f>DATE(YEAR(OrdersTable[[#This Row],[Order Date]]),MONTH(OrdersTable[[#This Row],[Order Date]]),1)</f>
        <v>45627</v>
      </c>
      <c r="E1940">
        <f>MONTH(OrdersTable[[#This Row],[Order Date]])</f>
        <v>12</v>
      </c>
      <c r="F1940" t="s">
        <v>5148</v>
      </c>
      <c r="G1940" t="str">
        <f>IF(OrdersTable[[#This Row],[Order Date]]=_xlfn.MINIFS(Order_Date, Customer_ID, OrdersTable[[#This Row],[Customer ID]]), "New", "Repeat")</f>
        <v>Repeat</v>
      </c>
      <c r="H1940" t="s">
        <v>482</v>
      </c>
      <c r="I1940" t="str">
        <f>INDEX(State!B:B,MATCH(OrdersTable[[#This Row],[State]],State!A:A,0))</f>
        <v>CG</v>
      </c>
      <c r="J1940" t="str">
        <f>INDEX(State!C:C,MATCH(OrdersTable[[#This Row],[State Code]],State!B:B,0))</f>
        <v>East</v>
      </c>
      <c r="K1940" t="s">
        <v>483</v>
      </c>
      <c r="L1940" t="s">
        <v>65</v>
      </c>
      <c r="M1940" t="s">
        <v>152</v>
      </c>
      <c r="N1940" t="str">
        <f>INDEX(Products!B:B,MATCH(OrdersTable[[#This Row],[Product ID]],Products!A:A,0))</f>
        <v>Green Tea (100 bags)</v>
      </c>
      <c r="O1940" t="str">
        <f>INDEX(Products!C:C,MATCH(OrdersTable[[#This Row],[Product ID]],Products!A:A,0))</f>
        <v>Wellness</v>
      </c>
      <c r="P1940">
        <v>2</v>
      </c>
      <c r="Q1940" s="5">
        <v>399</v>
      </c>
      <c r="R1940" s="74">
        <v>0.4</v>
      </c>
      <c r="S1940" s="75">
        <f>OrdersTable[[#This Row],[Quantity]]*OrdersTable[[#This Row],[Unit Price]]</f>
        <v>798</v>
      </c>
      <c r="T1940" s="5">
        <f>OrdersTable[[#This Row],[Gross Sale]]*OrdersTable[[#This Row],[Discount_Clean2]]</f>
        <v>319.20000000000005</v>
      </c>
      <c r="U1940" s="5">
        <f>OrdersTable[[#This Row],[Gross Sale]]-OrdersTable[[#This Row],[Discount Amount]]</f>
        <v>478.79999999999995</v>
      </c>
      <c r="V1940" s="77">
        <f>INDEX(Products!E:E,MATCH(OrdersTable[[#This Row],[Product ID]],Products!A:A,0))</f>
        <v>128</v>
      </c>
      <c r="W1940" s="77">
        <f>OrdersTable[[#This Row],[Quantity]]*OrdersTable[[#This Row],[Unit Cost]]</f>
        <v>256</v>
      </c>
      <c r="X1940" s="77">
        <f>'Dropdown Lists'!$I$2*(1+OrdersTable[[#This Row],[Returned]])</f>
        <v>60</v>
      </c>
      <c r="Y1940" s="76">
        <f>OrdersTable[[#This Row],[Net Revenue]]-OrdersTable[[#This Row],[COGS]]-OrdersTable[[#This Row],[Shipping Cost]]</f>
        <v>162.79999999999995</v>
      </c>
      <c r="Z1940" s="78">
        <f>IFERROR(OrdersTable[[#This Row],[Profit]]/OrdersTable[[#This Row],[Net Revenue]],0)</f>
        <v>0.34001670843776099</v>
      </c>
      <c r="AA1940" t="s">
        <v>3495</v>
      </c>
      <c r="AB1940" s="79">
        <v>45637</v>
      </c>
      <c r="AC1940">
        <f>OrdersTable[[#This Row],[Delivery Date]]-OrdersTable[[#This Row],[Order Date]]</f>
        <v>4</v>
      </c>
      <c r="AD1940" t="str">
        <f>IF(OrdersTable[[#This Row],[Delivery Days]]&lt;=2, "Express (≤2d)", IF(OrdersTable[[#This Row],[Delivery Days]]&lt;=4, "Standard (3-4d)", "Delayed (5d+)"))</f>
        <v>Standard (3-4d)</v>
      </c>
      <c r="AE1940">
        <v>4</v>
      </c>
      <c r="AF1940">
        <v>0</v>
      </c>
    </row>
    <row r="1941" spans="1:32" ht="15" x14ac:dyDescent="0.35">
      <c r="A1941" t="s">
        <v>5503</v>
      </c>
      <c r="B1941" s="1">
        <v>45633</v>
      </c>
      <c r="C1941">
        <f>YEAR(OrdersTable[[#This Row],[Order Date]])</f>
        <v>2024</v>
      </c>
      <c r="D1941" s="2">
        <f>DATE(YEAR(OrdersTable[[#This Row],[Order Date]]),MONTH(OrdersTable[[#This Row],[Order Date]]),1)</f>
        <v>45627</v>
      </c>
      <c r="E1941">
        <f>MONTH(OrdersTable[[#This Row],[Order Date]])</f>
        <v>12</v>
      </c>
      <c r="F1941" t="s">
        <v>1874</v>
      </c>
      <c r="G1941" t="str">
        <f>IF(OrdersTable[[#This Row],[Order Date]]=_xlfn.MINIFS(Order_Date, Customer_ID, OrdersTable[[#This Row],[Customer ID]]), "New", "Repeat")</f>
        <v>Repeat</v>
      </c>
      <c r="H1941" t="s">
        <v>167</v>
      </c>
      <c r="I1941" t="str">
        <f>INDEX(State!B:B,MATCH(OrdersTable[[#This Row],[State]],State!A:A,0))</f>
        <v>KA</v>
      </c>
      <c r="J1941" t="str">
        <f>INDEX(State!C:C,MATCH(OrdersTable[[#This Row],[State Code]],State!B:B,0))</f>
        <v>South</v>
      </c>
      <c r="K1941" t="s">
        <v>190</v>
      </c>
      <c r="L1941" t="s">
        <v>65</v>
      </c>
      <c r="M1941" t="s">
        <v>109</v>
      </c>
      <c r="N1941" t="str">
        <f>INDEX(Products!B:B,MATCH(OrdersTable[[#This Row],[Product ID]],Products!A:A,0))</f>
        <v>Onion Hair Oil</v>
      </c>
      <c r="O1941" t="str">
        <f>INDEX(Products!C:C,MATCH(OrdersTable[[#This Row],[Product ID]],Products!A:A,0))</f>
        <v>Haircare</v>
      </c>
      <c r="P1941">
        <v>2</v>
      </c>
      <c r="Q1941" s="5">
        <v>349</v>
      </c>
      <c r="R1941" s="74">
        <v>0.4</v>
      </c>
      <c r="S1941" s="75">
        <f>OrdersTable[[#This Row],[Quantity]]*OrdersTable[[#This Row],[Unit Price]]</f>
        <v>698</v>
      </c>
      <c r="T1941" s="5">
        <f>OrdersTable[[#This Row],[Gross Sale]]*OrdersTable[[#This Row],[Discount_Clean2]]</f>
        <v>279.2</v>
      </c>
      <c r="U1941" s="5">
        <f>OrdersTable[[#This Row],[Gross Sale]]-OrdersTable[[#This Row],[Discount Amount]]</f>
        <v>418.8</v>
      </c>
      <c r="V1941" s="77">
        <f>INDEX(Products!E:E,MATCH(OrdersTable[[#This Row],[Product ID]],Products!A:A,0))</f>
        <v>105</v>
      </c>
      <c r="W1941" s="77">
        <f>OrdersTable[[#This Row],[Quantity]]*OrdersTable[[#This Row],[Unit Cost]]</f>
        <v>210</v>
      </c>
      <c r="X1941" s="77">
        <f>'Dropdown Lists'!$I$2*(1+OrdersTable[[#This Row],[Returned]])</f>
        <v>60</v>
      </c>
      <c r="Y1941" s="76">
        <f>OrdersTable[[#This Row],[Net Revenue]]-OrdersTable[[#This Row],[COGS]]-OrdersTable[[#This Row],[Shipping Cost]]</f>
        <v>148.80000000000001</v>
      </c>
      <c r="Z1941" s="78">
        <f>IFERROR(OrdersTable[[#This Row],[Profit]]/OrdersTable[[#This Row],[Net Revenue]],0)</f>
        <v>0.35530085959885388</v>
      </c>
      <c r="AA1941" t="s">
        <v>2522</v>
      </c>
      <c r="AB1941" s="79">
        <v>45636</v>
      </c>
      <c r="AC1941">
        <f>OrdersTable[[#This Row],[Delivery Date]]-OrdersTable[[#This Row],[Order Date]]</f>
        <v>3</v>
      </c>
      <c r="AD1941" t="str">
        <f>IF(OrdersTable[[#This Row],[Delivery Days]]&lt;=2, "Express (≤2d)", IF(OrdersTable[[#This Row],[Delivery Days]]&lt;=4, "Standard (3-4d)", "Delayed (5d+)"))</f>
        <v>Standard (3-4d)</v>
      </c>
      <c r="AE1941">
        <v>4</v>
      </c>
      <c r="AF1941">
        <v>0</v>
      </c>
    </row>
    <row r="1942" spans="1:32" ht="15" x14ac:dyDescent="0.35">
      <c r="A1942" t="s">
        <v>538</v>
      </c>
      <c r="B1942" s="1">
        <v>45633</v>
      </c>
      <c r="C1942">
        <f>YEAR(OrdersTable[[#This Row],[Order Date]])</f>
        <v>2024</v>
      </c>
      <c r="D1942" s="2">
        <f>DATE(YEAR(OrdersTable[[#This Row],[Order Date]]),MONTH(OrdersTable[[#This Row],[Order Date]]),1)</f>
        <v>45627</v>
      </c>
      <c r="E1942">
        <f>MONTH(OrdersTable[[#This Row],[Order Date]])</f>
        <v>12</v>
      </c>
      <c r="F1942" t="s">
        <v>539</v>
      </c>
      <c r="G1942" t="str">
        <f>IF(OrdersTable[[#This Row],[Order Date]]=_xlfn.MINIFS(Order_Date, Customer_ID, OrdersTable[[#This Row],[Customer ID]]), "New", "Repeat")</f>
        <v>New</v>
      </c>
      <c r="H1942" t="s">
        <v>275</v>
      </c>
      <c r="I1942" t="str">
        <f>INDEX(State!B:B,MATCH(OrdersTable[[#This Row],[State]],State!A:A,0))</f>
        <v>AP</v>
      </c>
      <c r="J1942" t="str">
        <f>INDEX(State!C:C,MATCH(OrdersTable[[#This Row],[State Code]],State!B:B,0))</f>
        <v>South</v>
      </c>
      <c r="K1942" t="s">
        <v>276</v>
      </c>
      <c r="L1942" t="s">
        <v>23</v>
      </c>
      <c r="M1942" t="s">
        <v>205</v>
      </c>
      <c r="N1942" t="str">
        <f>INDEX(Products!B:B,MATCH(OrdersTable[[#This Row],[Product ID]],Products!A:A,0))</f>
        <v>Running Shoes</v>
      </c>
      <c r="O1942" t="str">
        <f>INDEX(Products!C:C,MATCH(OrdersTable[[#This Row],[Product ID]],Products!A:A,0))</f>
        <v>Footwear</v>
      </c>
      <c r="P1942">
        <v>1</v>
      </c>
      <c r="Q1942" s="5">
        <v>2999</v>
      </c>
      <c r="R1942" s="74">
        <v>0.2</v>
      </c>
      <c r="S1942" s="75">
        <f>OrdersTable[[#This Row],[Quantity]]*OrdersTable[[#This Row],[Unit Price]]</f>
        <v>2999</v>
      </c>
      <c r="T1942" s="5">
        <f>OrdersTable[[#This Row],[Gross Sale]]*OrdersTable[[#This Row],[Discount_Clean2]]</f>
        <v>599.80000000000007</v>
      </c>
      <c r="U1942" s="5">
        <f>OrdersTable[[#This Row],[Gross Sale]]-OrdersTable[[#This Row],[Discount Amount]]</f>
        <v>2399.1999999999998</v>
      </c>
      <c r="V1942" s="77">
        <f>INDEX(Products!E:E,MATCH(OrdersTable[[#This Row],[Product ID]],Products!A:A,0))</f>
        <v>1440</v>
      </c>
      <c r="W1942" s="77">
        <f>OrdersTable[[#This Row],[Quantity]]*OrdersTable[[#This Row],[Unit Cost]]</f>
        <v>1440</v>
      </c>
      <c r="X1942" s="77">
        <f>'Dropdown Lists'!$I$2*(1+OrdersTable[[#This Row],[Returned]])</f>
        <v>60</v>
      </c>
      <c r="Y1942" s="76">
        <f>OrdersTable[[#This Row],[Net Revenue]]-OrdersTable[[#This Row],[COGS]]-OrdersTable[[#This Row],[Shipping Cost]]</f>
        <v>899.19999999999982</v>
      </c>
      <c r="Z1942" s="78">
        <f>IFERROR(OrdersTable[[#This Row],[Profit]]/OrdersTable[[#This Row],[Net Revenue]],0)</f>
        <v>0.3747915971990663</v>
      </c>
      <c r="AA1942" t="s">
        <v>18</v>
      </c>
      <c r="AB1942" s="79">
        <v>45635</v>
      </c>
      <c r="AC1942">
        <f>OrdersTable[[#This Row],[Delivery Date]]-OrdersTable[[#This Row],[Order Date]]</f>
        <v>2</v>
      </c>
      <c r="AD1942" t="str">
        <f>IF(OrdersTable[[#This Row],[Delivery Days]]&lt;=2, "Express (≤2d)", IF(OrdersTable[[#This Row],[Delivery Days]]&lt;=4, "Standard (3-4d)", "Delayed (5d+)"))</f>
        <v>Express (≤2d)</v>
      </c>
      <c r="AE1942">
        <v>4</v>
      </c>
      <c r="AF1942">
        <v>0</v>
      </c>
    </row>
    <row r="1943" spans="1:32" ht="15" x14ac:dyDescent="0.35">
      <c r="A1943" t="s">
        <v>4379</v>
      </c>
      <c r="B1943" s="1">
        <v>45634</v>
      </c>
      <c r="C1943">
        <f>YEAR(OrdersTable[[#This Row],[Order Date]])</f>
        <v>2024</v>
      </c>
      <c r="D1943" s="2">
        <f>DATE(YEAR(OrdersTable[[#This Row],[Order Date]]),MONTH(OrdersTable[[#This Row],[Order Date]]),1)</f>
        <v>45627</v>
      </c>
      <c r="E1943">
        <f>MONTH(OrdersTable[[#This Row],[Order Date]])</f>
        <v>12</v>
      </c>
      <c r="F1943" t="s">
        <v>1198</v>
      </c>
      <c r="G1943" t="str">
        <f>IF(OrdersTable[[#This Row],[Order Date]]=_xlfn.MINIFS(Order_Date, Customer_ID, OrdersTable[[#This Row],[Customer ID]]), "New", "Repeat")</f>
        <v>New</v>
      </c>
      <c r="H1943" t="s">
        <v>158</v>
      </c>
      <c r="I1943" t="str">
        <f>INDEX(State!B:B,MATCH(OrdersTable[[#This Row],[State]],State!A:A,0))</f>
        <v>HP</v>
      </c>
      <c r="J1943" t="str">
        <f>INDEX(State!C:C,MATCH(OrdersTable[[#This Row],[State Code]],State!B:B,0))</f>
        <v>North</v>
      </c>
      <c r="K1943" t="s">
        <v>159</v>
      </c>
      <c r="L1943" t="s">
        <v>23</v>
      </c>
      <c r="M1943" t="s">
        <v>56</v>
      </c>
      <c r="N1943" t="str">
        <f>INDEX(Products!B:B,MATCH(OrdersTable[[#This Row],[Product ID]],Products!A:A,0))</f>
        <v>Vitamin C Face Serum</v>
      </c>
      <c r="O1943" t="str">
        <f>INDEX(Products!C:C,MATCH(OrdersTable[[#This Row],[Product ID]],Products!A:A,0))</f>
        <v>Skincare</v>
      </c>
      <c r="P1943">
        <v>1</v>
      </c>
      <c r="Q1943" s="5">
        <v>599</v>
      </c>
      <c r="R1943" s="74">
        <v>0.15</v>
      </c>
      <c r="S1943" s="75">
        <f>OrdersTable[[#This Row],[Quantity]]*OrdersTable[[#This Row],[Unit Price]]</f>
        <v>599</v>
      </c>
      <c r="T1943" s="5">
        <f>OrdersTable[[#This Row],[Gross Sale]]*OrdersTable[[#This Row],[Discount_Clean2]]</f>
        <v>89.85</v>
      </c>
      <c r="U1943" s="5">
        <f>OrdersTable[[#This Row],[Gross Sale]]-OrdersTable[[#This Row],[Discount Amount]]</f>
        <v>509.15</v>
      </c>
      <c r="V1943" s="77">
        <f>INDEX(Products!E:E,MATCH(OrdersTable[[#This Row],[Product ID]],Products!A:A,0))</f>
        <v>180</v>
      </c>
      <c r="W1943" s="77">
        <f>OrdersTable[[#This Row],[Quantity]]*OrdersTable[[#This Row],[Unit Cost]]</f>
        <v>180</v>
      </c>
      <c r="X1943" s="77">
        <f>'Dropdown Lists'!$I$2*(1+OrdersTable[[#This Row],[Returned]])</f>
        <v>60</v>
      </c>
      <c r="Y1943" s="76">
        <f>OrdersTable[[#This Row],[Net Revenue]]-OrdersTable[[#This Row],[COGS]]-OrdersTable[[#This Row],[Shipping Cost]]</f>
        <v>269.14999999999998</v>
      </c>
      <c r="Z1943" s="78">
        <f>IFERROR(OrdersTable[[#This Row],[Profit]]/OrdersTable[[#This Row],[Net Revenue]],0)</f>
        <v>0.52862614160856325</v>
      </c>
      <c r="AA1943" t="s">
        <v>4074</v>
      </c>
      <c r="AB1943" s="79">
        <v>45640</v>
      </c>
      <c r="AC1943">
        <f>OrdersTable[[#This Row],[Delivery Date]]-OrdersTable[[#This Row],[Order Date]]</f>
        <v>6</v>
      </c>
      <c r="AD1943" t="str">
        <f>IF(OrdersTable[[#This Row],[Delivery Days]]&lt;=2, "Express (≤2d)", IF(OrdersTable[[#This Row],[Delivery Days]]&lt;=4, "Standard (3-4d)", "Delayed (5d+)"))</f>
        <v>Delayed (5d+)</v>
      </c>
      <c r="AE1943">
        <v>4</v>
      </c>
      <c r="AF1943">
        <v>0</v>
      </c>
    </row>
    <row r="1944" spans="1:32" ht="15" x14ac:dyDescent="0.35">
      <c r="A1944" t="s">
        <v>5149</v>
      </c>
      <c r="B1944" s="1">
        <v>45634</v>
      </c>
      <c r="C1944">
        <f>YEAR(OrdersTable[[#This Row],[Order Date]])</f>
        <v>2024</v>
      </c>
      <c r="D1944" s="2">
        <f>DATE(YEAR(OrdersTable[[#This Row],[Order Date]]),MONTH(OrdersTable[[#This Row],[Order Date]]),1)</f>
        <v>45627</v>
      </c>
      <c r="E1944">
        <f>MONTH(OrdersTable[[#This Row],[Order Date]])</f>
        <v>12</v>
      </c>
      <c r="F1944" t="s">
        <v>5150</v>
      </c>
      <c r="G1944" t="str">
        <f>IF(OrdersTable[[#This Row],[Order Date]]=_xlfn.MINIFS(Order_Date, Customer_ID, OrdersTable[[#This Row],[Customer ID]]), "New", "Repeat")</f>
        <v>New</v>
      </c>
      <c r="H1944" t="s">
        <v>184</v>
      </c>
      <c r="I1944" t="str">
        <f>INDEX(State!B:B,MATCH(OrdersTable[[#This Row],[State]],State!A:A,0))</f>
        <v>UK</v>
      </c>
      <c r="J1944" t="str">
        <f>INDEX(State!C:C,MATCH(OrdersTable[[#This Row],[State Code]],State!B:B,0))</f>
        <v>North</v>
      </c>
      <c r="K1944" t="s">
        <v>185</v>
      </c>
      <c r="L1944" t="s">
        <v>16</v>
      </c>
      <c r="M1944" t="s">
        <v>17</v>
      </c>
      <c r="N1944" t="str">
        <f>INDEX(Products!B:B,MATCH(OrdersTable[[#This Row],[Product ID]],Products!A:A,0))</f>
        <v>Casual Sneakers</v>
      </c>
      <c r="O1944" t="str">
        <f>INDEX(Products!C:C,MATCH(OrdersTable[[#This Row],[Product ID]],Products!A:A,0))</f>
        <v>Footwear</v>
      </c>
      <c r="P1944">
        <v>2</v>
      </c>
      <c r="Q1944" s="5">
        <v>2199</v>
      </c>
      <c r="R1944" s="74">
        <v>0.15</v>
      </c>
      <c r="S1944" s="75">
        <f>OrdersTable[[#This Row],[Quantity]]*OrdersTable[[#This Row],[Unit Price]]</f>
        <v>4398</v>
      </c>
      <c r="T1944" s="5">
        <f>OrdersTable[[#This Row],[Gross Sale]]*OrdersTable[[#This Row],[Discount_Clean2]]</f>
        <v>659.69999999999993</v>
      </c>
      <c r="U1944" s="5">
        <f>OrdersTable[[#This Row],[Gross Sale]]-OrdersTable[[#This Row],[Discount Amount]]</f>
        <v>3738.3</v>
      </c>
      <c r="V1944" s="77">
        <f>INDEX(Products!E:E,MATCH(OrdersTable[[#This Row],[Product ID]],Products!A:A,0))</f>
        <v>1034</v>
      </c>
      <c r="W1944" s="77">
        <f>OrdersTable[[#This Row],[Quantity]]*OrdersTable[[#This Row],[Unit Cost]]</f>
        <v>2068</v>
      </c>
      <c r="X1944" s="77">
        <f>'Dropdown Lists'!$I$2*(1+OrdersTable[[#This Row],[Returned]])</f>
        <v>60</v>
      </c>
      <c r="Y1944" s="76">
        <f>OrdersTable[[#This Row],[Net Revenue]]-OrdersTable[[#This Row],[COGS]]-OrdersTable[[#This Row],[Shipping Cost]]</f>
        <v>1610.3000000000002</v>
      </c>
      <c r="Z1944" s="78">
        <f>IFERROR(OrdersTable[[#This Row],[Profit]]/OrdersTable[[#This Row],[Net Revenue]],0)</f>
        <v>0.43075729609715652</v>
      </c>
      <c r="AA1944" t="s">
        <v>3495</v>
      </c>
      <c r="AB1944" s="79">
        <v>45638</v>
      </c>
      <c r="AC1944">
        <f>OrdersTable[[#This Row],[Delivery Date]]-OrdersTable[[#This Row],[Order Date]]</f>
        <v>4</v>
      </c>
      <c r="AD1944" t="str">
        <f>IF(OrdersTable[[#This Row],[Delivery Days]]&lt;=2, "Express (≤2d)", IF(OrdersTable[[#This Row],[Delivery Days]]&lt;=4, "Standard (3-4d)", "Delayed (5d+)"))</f>
        <v>Standard (3-4d)</v>
      </c>
      <c r="AE1944">
        <v>4</v>
      </c>
      <c r="AF1944">
        <v>0</v>
      </c>
    </row>
    <row r="1945" spans="1:32" ht="15" x14ac:dyDescent="0.35">
      <c r="A1945" t="s">
        <v>952</v>
      </c>
      <c r="B1945" s="1">
        <v>45634</v>
      </c>
      <c r="C1945">
        <f>YEAR(OrdersTable[[#This Row],[Order Date]])</f>
        <v>2024</v>
      </c>
      <c r="D1945" s="2">
        <f>DATE(YEAR(OrdersTable[[#This Row],[Order Date]]),MONTH(OrdersTable[[#This Row],[Order Date]]),1)</f>
        <v>45627</v>
      </c>
      <c r="E1945">
        <f>MONTH(OrdersTable[[#This Row],[Order Date]])</f>
        <v>12</v>
      </c>
      <c r="F1945" t="s">
        <v>953</v>
      </c>
      <c r="G1945" t="str">
        <f>IF(OrdersTable[[#This Row],[Order Date]]=_xlfn.MINIFS(Order_Date, Customer_ID, OrdersTable[[#This Row],[Customer ID]]), "New", "Repeat")</f>
        <v>New</v>
      </c>
      <c r="H1945" t="s">
        <v>48</v>
      </c>
      <c r="I1945" t="str">
        <f>INDEX(State!B:B,MATCH(OrdersTable[[#This Row],[State]],State!A:A,0))</f>
        <v>HR</v>
      </c>
      <c r="J1945" t="str">
        <f>INDEX(State!C:C,MATCH(OrdersTable[[#This Row],[State Code]],State!B:B,0))</f>
        <v>North</v>
      </c>
      <c r="K1945" t="s">
        <v>49</v>
      </c>
      <c r="L1945" t="s">
        <v>50</v>
      </c>
      <c r="M1945" t="s">
        <v>66</v>
      </c>
      <c r="N1945" t="str">
        <f>INDEX(Products!B:B,MATCH(OrdersTable[[#This Row],[Product ID]],Products!A:A,0))</f>
        <v>Sunscreen SPF 50</v>
      </c>
      <c r="O1945" t="str">
        <f>INDEX(Products!C:C,MATCH(OrdersTable[[#This Row],[Product ID]],Products!A:A,0))</f>
        <v>Skincare</v>
      </c>
      <c r="P1945">
        <v>1</v>
      </c>
      <c r="Q1945" s="5">
        <v>449</v>
      </c>
      <c r="R1945" s="74">
        <v>0.05</v>
      </c>
      <c r="S1945" s="75">
        <f>OrdersTable[[#This Row],[Quantity]]*OrdersTable[[#This Row],[Unit Price]]</f>
        <v>449</v>
      </c>
      <c r="T1945" s="5">
        <f>OrdersTable[[#This Row],[Gross Sale]]*OrdersTable[[#This Row],[Discount_Clean2]]</f>
        <v>22.450000000000003</v>
      </c>
      <c r="U1945" s="5">
        <f>OrdersTable[[#This Row],[Gross Sale]]-OrdersTable[[#This Row],[Discount Amount]]</f>
        <v>426.55</v>
      </c>
      <c r="V1945" s="77">
        <f>INDEX(Products!E:E,MATCH(OrdersTable[[#This Row],[Product ID]],Products!A:A,0))</f>
        <v>144</v>
      </c>
      <c r="W1945" s="77">
        <f>OrdersTable[[#This Row],[Quantity]]*OrdersTable[[#This Row],[Unit Cost]]</f>
        <v>144</v>
      </c>
      <c r="X1945" s="77">
        <f>'Dropdown Lists'!$I$2*(1+OrdersTable[[#This Row],[Returned]])</f>
        <v>60</v>
      </c>
      <c r="Y1945" s="76">
        <f>OrdersTable[[#This Row],[Net Revenue]]-OrdersTable[[#This Row],[COGS]]-OrdersTable[[#This Row],[Shipping Cost]]</f>
        <v>222.55</v>
      </c>
      <c r="Z1945" s="78">
        <f>IFERROR(OrdersTable[[#This Row],[Profit]]/OrdersTable[[#This Row],[Net Revenue]],0)</f>
        <v>0.52174422693705313</v>
      </c>
      <c r="AA1945" t="s">
        <v>18</v>
      </c>
      <c r="AB1945" s="79">
        <v>45637</v>
      </c>
      <c r="AC1945">
        <f>OrdersTable[[#This Row],[Delivery Date]]-OrdersTable[[#This Row],[Order Date]]</f>
        <v>3</v>
      </c>
      <c r="AD1945" t="str">
        <f>IF(OrdersTable[[#This Row],[Delivery Days]]&lt;=2, "Express (≤2d)", IF(OrdersTable[[#This Row],[Delivery Days]]&lt;=4, "Standard (3-4d)", "Delayed (5d+)"))</f>
        <v>Standard (3-4d)</v>
      </c>
      <c r="AE1945">
        <v>4</v>
      </c>
      <c r="AF1945">
        <v>0</v>
      </c>
    </row>
    <row r="1946" spans="1:32" ht="15" x14ac:dyDescent="0.35">
      <c r="A1946" t="s">
        <v>3233</v>
      </c>
      <c r="B1946" s="1">
        <v>45634</v>
      </c>
      <c r="C1946">
        <f>YEAR(OrdersTable[[#This Row],[Order Date]])</f>
        <v>2024</v>
      </c>
      <c r="D1946" s="2">
        <f>DATE(YEAR(OrdersTable[[#This Row],[Order Date]]),MONTH(OrdersTable[[#This Row],[Order Date]]),1)</f>
        <v>45627</v>
      </c>
      <c r="E1946">
        <f>MONTH(OrdersTable[[#This Row],[Order Date]])</f>
        <v>12</v>
      </c>
      <c r="F1946" t="s">
        <v>3234</v>
      </c>
      <c r="G1946" t="str">
        <f>IF(OrdersTable[[#This Row],[Order Date]]=_xlfn.MINIFS(Order_Date, Customer_ID, OrdersTable[[#This Row],[Customer ID]]), "New", "Repeat")</f>
        <v>New</v>
      </c>
      <c r="H1946" t="s">
        <v>37</v>
      </c>
      <c r="I1946" t="str">
        <f>INDEX(State!B:B,MATCH(OrdersTable[[#This Row],[State]],State!A:A,0))</f>
        <v>GJ</v>
      </c>
      <c r="J1946" t="str">
        <f>INDEX(State!C:C,MATCH(OrdersTable[[#This Row],[State Code]],State!B:B,0))</f>
        <v>West</v>
      </c>
      <c r="K1946" t="s">
        <v>38</v>
      </c>
      <c r="L1946" t="s">
        <v>23</v>
      </c>
      <c r="M1946" t="s">
        <v>148</v>
      </c>
      <c r="N1946" t="str">
        <f>INDEX(Products!B:B,MATCH(OrdersTable[[#This Row],[Product ID]],Products!A:A,0))</f>
        <v>Smartwatch Strap</v>
      </c>
      <c r="O1946" t="str">
        <f>INDEX(Products!C:C,MATCH(OrdersTable[[#This Row],[Product ID]],Products!A:A,0))</f>
        <v>Electronics</v>
      </c>
      <c r="P1946">
        <v>1</v>
      </c>
      <c r="Q1946" s="5">
        <v>499</v>
      </c>
      <c r="R1946" s="74">
        <v>0.1</v>
      </c>
      <c r="S1946" s="75">
        <f>OrdersTable[[#This Row],[Quantity]]*OrdersTable[[#This Row],[Unit Price]]</f>
        <v>499</v>
      </c>
      <c r="T1946" s="5">
        <f>OrdersTable[[#This Row],[Gross Sale]]*OrdersTable[[#This Row],[Discount_Clean2]]</f>
        <v>49.900000000000006</v>
      </c>
      <c r="U1946" s="5">
        <f>OrdersTable[[#This Row],[Gross Sale]]-OrdersTable[[#This Row],[Discount Amount]]</f>
        <v>449.1</v>
      </c>
      <c r="V1946" s="77">
        <f>INDEX(Products!E:E,MATCH(OrdersTable[[#This Row],[Product ID]],Products!A:A,0))</f>
        <v>200</v>
      </c>
      <c r="W1946" s="77">
        <f>OrdersTable[[#This Row],[Quantity]]*OrdersTable[[#This Row],[Unit Cost]]</f>
        <v>200</v>
      </c>
      <c r="X1946" s="77">
        <f>'Dropdown Lists'!$I$2*(1+OrdersTable[[#This Row],[Returned]])</f>
        <v>60</v>
      </c>
      <c r="Y1946" s="76">
        <f>OrdersTable[[#This Row],[Net Revenue]]-OrdersTable[[#This Row],[COGS]]-OrdersTable[[#This Row],[Shipping Cost]]</f>
        <v>189.10000000000002</v>
      </c>
      <c r="Z1946" s="78">
        <f>IFERROR(OrdersTable[[#This Row],[Profit]]/OrdersTable[[#This Row],[Net Revenue]],0)</f>
        <v>0.42106435092407041</v>
      </c>
      <c r="AA1946" t="s">
        <v>2522</v>
      </c>
      <c r="AB1946" s="79">
        <v>45638</v>
      </c>
      <c r="AC1946">
        <f>OrdersTable[[#This Row],[Delivery Date]]-OrdersTable[[#This Row],[Order Date]]</f>
        <v>4</v>
      </c>
      <c r="AD1946" t="str">
        <f>IF(OrdersTable[[#This Row],[Delivery Days]]&lt;=2, "Express (≤2d)", IF(OrdersTable[[#This Row],[Delivery Days]]&lt;=4, "Standard (3-4d)", "Delayed (5d+)"))</f>
        <v>Standard (3-4d)</v>
      </c>
      <c r="AE1946">
        <v>4</v>
      </c>
      <c r="AF1946">
        <v>0</v>
      </c>
    </row>
    <row r="1947" spans="1:32" ht="15" x14ac:dyDescent="0.35">
      <c r="A1947" t="s">
        <v>789</v>
      </c>
      <c r="B1947" s="1">
        <v>45634</v>
      </c>
      <c r="C1947">
        <f>YEAR(OrdersTable[[#This Row],[Order Date]])</f>
        <v>2024</v>
      </c>
      <c r="D1947" s="2">
        <f>DATE(YEAR(OrdersTable[[#This Row],[Order Date]]),MONTH(OrdersTable[[#This Row],[Order Date]]),1)</f>
        <v>45627</v>
      </c>
      <c r="E1947">
        <f>MONTH(OrdersTable[[#This Row],[Order Date]])</f>
        <v>12</v>
      </c>
      <c r="F1947" t="s">
        <v>790</v>
      </c>
      <c r="G1947" t="str">
        <f>IF(OrdersTable[[#This Row],[Order Date]]=_xlfn.MINIFS(Order_Date, Customer_ID, OrdersTable[[#This Row],[Customer ID]]), "New", "Repeat")</f>
        <v>New</v>
      </c>
      <c r="H1947" t="s">
        <v>37</v>
      </c>
      <c r="I1947" t="str">
        <f>INDEX(State!B:B,MATCH(OrdersTable[[#This Row],[State]],State!A:A,0))</f>
        <v>GJ</v>
      </c>
      <c r="J1947" t="str">
        <f>INDEX(State!C:C,MATCH(OrdersTable[[#This Row],[State Code]],State!B:B,0))</f>
        <v>West</v>
      </c>
      <c r="K1947" t="s">
        <v>247</v>
      </c>
      <c r="L1947" t="s">
        <v>65</v>
      </c>
      <c r="M1947" t="s">
        <v>61</v>
      </c>
      <c r="N1947" t="str">
        <f>INDEX(Products!B:B,MATCH(OrdersTable[[#This Row],[Product ID]],Products!A:A,0))</f>
        <v>Multivitamin Gummies</v>
      </c>
      <c r="O1947" t="str">
        <f>INDEX(Products!C:C,MATCH(OrdersTable[[#This Row],[Product ID]],Products!A:A,0))</f>
        <v>Wellness</v>
      </c>
      <c r="P1947">
        <v>1</v>
      </c>
      <c r="Q1947" s="5">
        <v>699</v>
      </c>
      <c r="R1947" s="74">
        <v>0.2</v>
      </c>
      <c r="S1947" s="75">
        <f>OrdersTable[[#This Row],[Quantity]]*OrdersTable[[#This Row],[Unit Price]]</f>
        <v>699</v>
      </c>
      <c r="T1947" s="5">
        <f>OrdersTable[[#This Row],[Gross Sale]]*OrdersTable[[#This Row],[Discount_Clean2]]</f>
        <v>139.80000000000001</v>
      </c>
      <c r="U1947" s="5">
        <f>OrdersTable[[#This Row],[Gross Sale]]-OrdersTable[[#This Row],[Discount Amount]]</f>
        <v>559.20000000000005</v>
      </c>
      <c r="V1947" s="77">
        <f>INDEX(Products!E:E,MATCH(OrdersTable[[#This Row],[Product ID]],Products!A:A,0))</f>
        <v>238</v>
      </c>
      <c r="W1947" s="77">
        <f>OrdersTable[[#This Row],[Quantity]]*OrdersTable[[#This Row],[Unit Cost]]</f>
        <v>238</v>
      </c>
      <c r="X1947" s="77">
        <f>'Dropdown Lists'!$I$2*(1+OrdersTable[[#This Row],[Returned]])</f>
        <v>60</v>
      </c>
      <c r="Y1947" s="76">
        <f>OrdersTable[[#This Row],[Net Revenue]]-OrdersTable[[#This Row],[COGS]]-OrdersTable[[#This Row],[Shipping Cost]]</f>
        <v>261.20000000000005</v>
      </c>
      <c r="Z1947" s="78">
        <f>IFERROR(OrdersTable[[#This Row],[Profit]]/OrdersTable[[#This Row],[Net Revenue]],0)</f>
        <v>0.46709585121602293</v>
      </c>
      <c r="AA1947" t="s">
        <v>18</v>
      </c>
      <c r="AB1947" s="79">
        <v>45636</v>
      </c>
      <c r="AC1947">
        <f>OrdersTable[[#This Row],[Delivery Date]]-OrdersTable[[#This Row],[Order Date]]</f>
        <v>2</v>
      </c>
      <c r="AD1947" t="str">
        <f>IF(OrdersTable[[#This Row],[Delivery Days]]&lt;=2, "Express (≤2d)", IF(OrdersTable[[#This Row],[Delivery Days]]&lt;=4, "Standard (3-4d)", "Delayed (5d+)"))</f>
        <v>Express (≤2d)</v>
      </c>
      <c r="AE1947">
        <v>4</v>
      </c>
      <c r="AF1947">
        <v>0</v>
      </c>
    </row>
    <row r="1948" spans="1:32" ht="15" x14ac:dyDescent="0.35">
      <c r="A1948" t="s">
        <v>3742</v>
      </c>
      <c r="B1948" s="1">
        <v>45634</v>
      </c>
      <c r="C1948">
        <f>YEAR(OrdersTable[[#This Row],[Order Date]])</f>
        <v>2024</v>
      </c>
      <c r="D1948" s="2">
        <f>DATE(YEAR(OrdersTable[[#This Row],[Order Date]]),MONTH(OrdersTable[[#This Row],[Order Date]]),1)</f>
        <v>45627</v>
      </c>
      <c r="E1948">
        <f>MONTH(OrdersTable[[#This Row],[Order Date]])</f>
        <v>12</v>
      </c>
      <c r="F1948" t="s">
        <v>3743</v>
      </c>
      <c r="G1948" t="str">
        <f>IF(OrdersTable[[#This Row],[Order Date]]=_xlfn.MINIFS(Order_Date, Customer_ID, OrdersTable[[#This Row],[Customer ID]]), "New", "Repeat")</f>
        <v>New</v>
      </c>
      <c r="H1948" t="s">
        <v>43</v>
      </c>
      <c r="I1948" t="str">
        <f>INDEX(State!B:B,MATCH(OrdersTable[[#This Row],[State]],State!A:A,0))</f>
        <v>MP</v>
      </c>
      <c r="J1948" t="str">
        <f>INDEX(State!C:C,MATCH(OrdersTable[[#This Row],[State Code]],State!B:B,0))</f>
        <v>West</v>
      </c>
      <c r="K1948" t="s">
        <v>44</v>
      </c>
      <c r="L1948" t="s">
        <v>65</v>
      </c>
      <c r="M1948" t="s">
        <v>255</v>
      </c>
      <c r="N1948" t="str">
        <f>INDEX(Products!B:B,MATCH(OrdersTable[[#This Row],[Product ID]],Products!A:A,0))</f>
        <v>Cotton Oversized T-Shirt</v>
      </c>
      <c r="O1948" t="str">
        <f>INDEX(Products!C:C,MATCH(OrdersTable[[#This Row],[Product ID]],Products!A:A,0))</f>
        <v>Apparel</v>
      </c>
      <c r="P1948">
        <v>1</v>
      </c>
      <c r="Q1948" s="5">
        <v>799</v>
      </c>
      <c r="R1948" s="74">
        <v>0</v>
      </c>
      <c r="S1948" s="75">
        <f>OrdersTable[[#This Row],[Quantity]]*OrdersTable[[#This Row],[Unit Price]]</f>
        <v>799</v>
      </c>
      <c r="T1948" s="5">
        <f>OrdersTable[[#This Row],[Gross Sale]]*OrdersTable[[#This Row],[Discount_Clean2]]</f>
        <v>0</v>
      </c>
      <c r="U1948" s="5">
        <f>OrdersTable[[#This Row],[Gross Sale]]-OrdersTable[[#This Row],[Discount Amount]]</f>
        <v>799</v>
      </c>
      <c r="V1948" s="77">
        <f>INDEX(Products!E:E,MATCH(OrdersTable[[#This Row],[Product ID]],Products!A:A,0))</f>
        <v>320</v>
      </c>
      <c r="W1948" s="77">
        <f>OrdersTable[[#This Row],[Quantity]]*OrdersTable[[#This Row],[Unit Cost]]</f>
        <v>320</v>
      </c>
      <c r="X1948" s="77">
        <f>'Dropdown Lists'!$I$2*(1+OrdersTable[[#This Row],[Returned]])</f>
        <v>60</v>
      </c>
      <c r="Y1948" s="76">
        <f>OrdersTable[[#This Row],[Net Revenue]]-OrdersTable[[#This Row],[COGS]]-OrdersTable[[#This Row],[Shipping Cost]]</f>
        <v>419</v>
      </c>
      <c r="Z1948" s="78">
        <f>IFERROR(OrdersTable[[#This Row],[Profit]]/OrdersTable[[#This Row],[Net Revenue]],0)</f>
        <v>0.52440550688360454</v>
      </c>
      <c r="AA1948" t="s">
        <v>3495</v>
      </c>
      <c r="AB1948" s="79">
        <v>45635</v>
      </c>
      <c r="AC1948">
        <f>OrdersTable[[#This Row],[Delivery Date]]-OrdersTable[[#This Row],[Order Date]]</f>
        <v>1</v>
      </c>
      <c r="AD1948" t="str">
        <f>IF(OrdersTable[[#This Row],[Delivery Days]]&lt;=2, "Express (≤2d)", IF(OrdersTable[[#This Row],[Delivery Days]]&lt;=4, "Standard (3-4d)", "Delayed (5d+)"))</f>
        <v>Express (≤2d)</v>
      </c>
      <c r="AF1948">
        <v>0</v>
      </c>
    </row>
    <row r="1949" spans="1:32" ht="15" x14ac:dyDescent="0.35">
      <c r="A1949" t="s">
        <v>6538</v>
      </c>
      <c r="B1949" s="1">
        <v>45634</v>
      </c>
      <c r="C1949">
        <f>YEAR(OrdersTable[[#This Row],[Order Date]])</f>
        <v>2024</v>
      </c>
      <c r="D1949" s="2">
        <f>DATE(YEAR(OrdersTable[[#This Row],[Order Date]]),MONTH(OrdersTable[[#This Row],[Order Date]]),1)</f>
        <v>45627</v>
      </c>
      <c r="E1949">
        <f>MONTH(OrdersTable[[#This Row],[Order Date]])</f>
        <v>12</v>
      </c>
      <c r="F1949" t="s">
        <v>2484</v>
      </c>
      <c r="G1949" t="str">
        <f>IF(OrdersTable[[#This Row],[Order Date]]=_xlfn.MINIFS(Order_Date, Customer_ID, OrdersTable[[#This Row],[Customer ID]]), "New", "Repeat")</f>
        <v>New</v>
      </c>
      <c r="H1949" t="s">
        <v>43</v>
      </c>
      <c r="I1949" t="str">
        <f>INDEX(State!B:B,MATCH(OrdersTable[[#This Row],[State]],State!A:A,0))</f>
        <v>MP</v>
      </c>
      <c r="J1949" t="str">
        <f>INDEX(State!C:C,MATCH(OrdersTable[[#This Row],[State Code]],State!B:B,0))</f>
        <v>West</v>
      </c>
      <c r="K1949" t="s">
        <v>44</v>
      </c>
      <c r="L1949" t="s">
        <v>50</v>
      </c>
      <c r="M1949" t="s">
        <v>51</v>
      </c>
      <c r="N1949" t="str">
        <f>INDEX(Products!B:B,MATCH(OrdersTable[[#This Row],[Product ID]],Products!A:A,0))</f>
        <v>Anti-Dandruff Conditioner</v>
      </c>
      <c r="O1949" t="str">
        <f>INDEX(Products!C:C,MATCH(OrdersTable[[#This Row],[Product ID]],Products!A:A,0))</f>
        <v>Haircare</v>
      </c>
      <c r="P1949">
        <v>3</v>
      </c>
      <c r="Q1949" s="5">
        <v>399</v>
      </c>
      <c r="R1949" s="74">
        <v>0.45</v>
      </c>
      <c r="S1949" s="75">
        <f>OrdersTable[[#This Row],[Quantity]]*OrdersTable[[#This Row],[Unit Price]]</f>
        <v>1197</v>
      </c>
      <c r="T1949" s="5">
        <f>OrdersTable[[#This Row],[Gross Sale]]*OrdersTable[[#This Row],[Discount_Clean2]]</f>
        <v>538.65</v>
      </c>
      <c r="U1949" s="5">
        <f>OrdersTable[[#This Row],[Gross Sale]]-OrdersTable[[#This Row],[Discount Amount]]</f>
        <v>658.35</v>
      </c>
      <c r="V1949" s="77">
        <f>INDEX(Products!E:E,MATCH(OrdersTable[[#This Row],[Product ID]],Products!A:A,0))</f>
        <v>136</v>
      </c>
      <c r="W1949" s="77">
        <f>OrdersTable[[#This Row],[Quantity]]*OrdersTable[[#This Row],[Unit Cost]]</f>
        <v>408</v>
      </c>
      <c r="X1949" s="77">
        <f>'Dropdown Lists'!$I$2*(1+OrdersTable[[#This Row],[Returned]])</f>
        <v>60</v>
      </c>
      <c r="Y1949" s="76">
        <f>OrdersTable[[#This Row],[Net Revenue]]-OrdersTable[[#This Row],[COGS]]-OrdersTable[[#This Row],[Shipping Cost]]</f>
        <v>190.35000000000002</v>
      </c>
      <c r="Z1949" s="78">
        <f>IFERROR(OrdersTable[[#This Row],[Profit]]/OrdersTable[[#This Row],[Net Revenue]],0)</f>
        <v>0.28913192071086813</v>
      </c>
      <c r="AA1949" t="s">
        <v>18</v>
      </c>
      <c r="AB1949" s="79">
        <v>45638</v>
      </c>
      <c r="AC1949">
        <f>OrdersTable[[#This Row],[Delivery Date]]-OrdersTable[[#This Row],[Order Date]]</f>
        <v>4</v>
      </c>
      <c r="AD1949" t="str">
        <f>IF(OrdersTable[[#This Row],[Delivery Days]]&lt;=2, "Express (≤2d)", IF(OrdersTable[[#This Row],[Delivery Days]]&lt;=4, "Standard (3-4d)", "Delayed (5d+)"))</f>
        <v>Standard (3-4d)</v>
      </c>
      <c r="AE1949">
        <v>4</v>
      </c>
      <c r="AF1949">
        <v>0</v>
      </c>
    </row>
    <row r="1950" spans="1:32" ht="15" x14ac:dyDescent="0.35">
      <c r="A1950" t="s">
        <v>3429</v>
      </c>
      <c r="B1950" s="1">
        <v>45634</v>
      </c>
      <c r="C1950">
        <f>YEAR(OrdersTable[[#This Row],[Order Date]])</f>
        <v>2024</v>
      </c>
      <c r="D1950" s="2">
        <f>DATE(YEAR(OrdersTable[[#This Row],[Order Date]]),MONTH(OrdersTable[[#This Row],[Order Date]]),1)</f>
        <v>45627</v>
      </c>
      <c r="E1950">
        <f>MONTH(OrdersTable[[#This Row],[Order Date]])</f>
        <v>12</v>
      </c>
      <c r="F1950" t="s">
        <v>3430</v>
      </c>
      <c r="G1950" t="str">
        <f>IF(OrdersTable[[#This Row],[Order Date]]=_xlfn.MINIFS(Order_Date, Customer_ID, OrdersTable[[#This Row],[Customer ID]]), "New", "Repeat")</f>
        <v>New</v>
      </c>
      <c r="H1950" t="s">
        <v>71</v>
      </c>
      <c r="I1950" t="str">
        <f>INDEX(State!B:B,MATCH(OrdersTable[[#This Row],[State]],State!A:A,0))</f>
        <v>MH</v>
      </c>
      <c r="J1950" t="str">
        <f>INDEX(State!C:C,MATCH(OrdersTable[[#This Row],[State Code]],State!B:B,0))</f>
        <v>West</v>
      </c>
      <c r="K1950" t="s">
        <v>81</v>
      </c>
      <c r="L1950" t="s">
        <v>65</v>
      </c>
      <c r="M1950" t="s">
        <v>106</v>
      </c>
      <c r="N1950" t="str">
        <f>INDEX(Products!B:B,MATCH(OrdersTable[[#This Row],[Product ID]],Products!A:A,0))</f>
        <v>Keratin Hair Mask</v>
      </c>
      <c r="O1950" t="str">
        <f>INDEX(Products!C:C,MATCH(OrdersTable[[#This Row],[Product ID]],Products!A:A,0))</f>
        <v>Haircare</v>
      </c>
      <c r="P1950">
        <v>1</v>
      </c>
      <c r="Q1950" s="5">
        <v>549</v>
      </c>
      <c r="R1950" s="74">
        <v>0.2</v>
      </c>
      <c r="S1950" s="75">
        <f>OrdersTable[[#This Row],[Quantity]]*OrdersTable[[#This Row],[Unit Price]]</f>
        <v>549</v>
      </c>
      <c r="T1950" s="5">
        <f>OrdersTable[[#This Row],[Gross Sale]]*OrdersTable[[#This Row],[Discount_Clean2]]</f>
        <v>109.80000000000001</v>
      </c>
      <c r="U1950" s="5">
        <f>OrdersTable[[#This Row],[Gross Sale]]-OrdersTable[[#This Row],[Discount Amount]]</f>
        <v>439.2</v>
      </c>
      <c r="V1950" s="77">
        <f>INDEX(Products!E:E,MATCH(OrdersTable[[#This Row],[Product ID]],Products!A:A,0))</f>
        <v>170</v>
      </c>
      <c r="W1950" s="77">
        <f>OrdersTable[[#This Row],[Quantity]]*OrdersTable[[#This Row],[Unit Cost]]</f>
        <v>170</v>
      </c>
      <c r="X1950" s="77">
        <f>'Dropdown Lists'!$I$2*(1+OrdersTable[[#This Row],[Returned]])</f>
        <v>60</v>
      </c>
      <c r="Y1950" s="76">
        <f>OrdersTable[[#This Row],[Net Revenue]]-OrdersTable[[#This Row],[COGS]]-OrdersTable[[#This Row],[Shipping Cost]]</f>
        <v>209.2</v>
      </c>
      <c r="Z1950" s="78">
        <f>IFERROR(OrdersTable[[#This Row],[Profit]]/OrdersTable[[#This Row],[Net Revenue]],0)</f>
        <v>0.47632058287795992</v>
      </c>
      <c r="AA1950" t="s">
        <v>2522</v>
      </c>
      <c r="AB1950" s="79">
        <v>45636</v>
      </c>
      <c r="AC1950">
        <f>OrdersTable[[#This Row],[Delivery Date]]-OrdersTable[[#This Row],[Order Date]]</f>
        <v>2</v>
      </c>
      <c r="AD1950" t="str">
        <f>IF(OrdersTable[[#This Row],[Delivery Days]]&lt;=2, "Express (≤2d)", IF(OrdersTable[[#This Row],[Delivery Days]]&lt;=4, "Standard (3-4d)", "Delayed (5d+)"))</f>
        <v>Express (≤2d)</v>
      </c>
      <c r="AE1950">
        <v>4</v>
      </c>
      <c r="AF1950">
        <v>0</v>
      </c>
    </row>
    <row r="1951" spans="1:32" ht="15" x14ac:dyDescent="0.35">
      <c r="A1951" t="s">
        <v>3235</v>
      </c>
      <c r="B1951" s="1">
        <v>45634</v>
      </c>
      <c r="C1951">
        <f>YEAR(OrdersTable[[#This Row],[Order Date]])</f>
        <v>2024</v>
      </c>
      <c r="D1951" s="2">
        <f>DATE(YEAR(OrdersTable[[#This Row],[Order Date]]),MONTH(OrdersTable[[#This Row],[Order Date]]),1)</f>
        <v>45627</v>
      </c>
      <c r="E1951">
        <f>MONTH(OrdersTable[[#This Row],[Order Date]])</f>
        <v>12</v>
      </c>
      <c r="F1951" t="s">
        <v>3236</v>
      </c>
      <c r="G1951" t="str">
        <f>IF(OrdersTable[[#This Row],[Order Date]]=_xlfn.MINIFS(Order_Date, Customer_ID, OrdersTable[[#This Row],[Customer ID]]), "New", "Repeat")</f>
        <v>Repeat</v>
      </c>
      <c r="H1951" t="s">
        <v>275</v>
      </c>
      <c r="I1951" t="str">
        <f>INDEX(State!B:B,MATCH(OrdersTable[[#This Row],[State]],State!A:A,0))</f>
        <v>AP</v>
      </c>
      <c r="J1951" t="str">
        <f>INDEX(State!C:C,MATCH(OrdersTable[[#This Row],[State Code]],State!B:B,0))</f>
        <v>South</v>
      </c>
      <c r="K1951" t="s">
        <v>276</v>
      </c>
      <c r="L1951" t="s">
        <v>23</v>
      </c>
      <c r="M1951" t="s">
        <v>17</v>
      </c>
      <c r="N1951" t="str">
        <f>INDEX(Products!B:B,MATCH(OrdersTable[[#This Row],[Product ID]],Products!A:A,0))</f>
        <v>Casual Sneakers</v>
      </c>
      <c r="O1951" t="str">
        <f>INDEX(Products!C:C,MATCH(OrdersTable[[#This Row],[Product ID]],Products!A:A,0))</f>
        <v>Footwear</v>
      </c>
      <c r="P1951">
        <v>1</v>
      </c>
      <c r="Q1951" s="5">
        <v>2199</v>
      </c>
      <c r="R1951" s="74">
        <v>0.25</v>
      </c>
      <c r="S1951" s="75">
        <f>OrdersTable[[#This Row],[Quantity]]*OrdersTable[[#This Row],[Unit Price]]</f>
        <v>2199</v>
      </c>
      <c r="T1951" s="5">
        <f>OrdersTable[[#This Row],[Gross Sale]]*OrdersTable[[#This Row],[Discount_Clean2]]</f>
        <v>549.75</v>
      </c>
      <c r="U1951" s="5">
        <f>OrdersTable[[#This Row],[Gross Sale]]-OrdersTable[[#This Row],[Discount Amount]]</f>
        <v>1649.25</v>
      </c>
      <c r="V1951" s="77">
        <f>INDEX(Products!E:E,MATCH(OrdersTable[[#This Row],[Product ID]],Products!A:A,0))</f>
        <v>1034</v>
      </c>
      <c r="W1951" s="77">
        <f>OrdersTable[[#This Row],[Quantity]]*OrdersTable[[#This Row],[Unit Cost]]</f>
        <v>1034</v>
      </c>
      <c r="X1951" s="77">
        <f>'Dropdown Lists'!$I$2*(1+OrdersTable[[#This Row],[Returned]])</f>
        <v>60</v>
      </c>
      <c r="Y1951" s="76">
        <f>OrdersTable[[#This Row],[Net Revenue]]-OrdersTable[[#This Row],[COGS]]-OrdersTable[[#This Row],[Shipping Cost]]</f>
        <v>555.25</v>
      </c>
      <c r="Z1951" s="78">
        <f>IFERROR(OrdersTable[[#This Row],[Profit]]/OrdersTable[[#This Row],[Net Revenue]],0)</f>
        <v>0.33666818250720026</v>
      </c>
      <c r="AA1951" t="s">
        <v>2522</v>
      </c>
      <c r="AB1951" s="79">
        <v>45636</v>
      </c>
      <c r="AC1951">
        <f>OrdersTable[[#This Row],[Delivery Date]]-OrdersTable[[#This Row],[Order Date]]</f>
        <v>2</v>
      </c>
      <c r="AD1951" t="str">
        <f>IF(OrdersTable[[#This Row],[Delivery Days]]&lt;=2, "Express (≤2d)", IF(OrdersTable[[#This Row],[Delivery Days]]&lt;=4, "Standard (3-4d)", "Delayed (5d+)"))</f>
        <v>Express (≤2d)</v>
      </c>
      <c r="AE1951">
        <v>4</v>
      </c>
      <c r="AF1951">
        <v>0</v>
      </c>
    </row>
    <row r="1952" spans="1:32" ht="15" x14ac:dyDescent="0.35">
      <c r="A1952" t="s">
        <v>5151</v>
      </c>
      <c r="B1952" s="1">
        <v>45635</v>
      </c>
      <c r="C1952">
        <f>YEAR(OrdersTable[[#This Row],[Order Date]])</f>
        <v>2024</v>
      </c>
      <c r="D1952" s="2">
        <f>DATE(YEAR(OrdersTable[[#This Row],[Order Date]]),MONTH(OrdersTable[[#This Row],[Order Date]]),1)</f>
        <v>45627</v>
      </c>
      <c r="E1952">
        <f>MONTH(OrdersTable[[#This Row],[Order Date]])</f>
        <v>12</v>
      </c>
      <c r="F1952" t="s">
        <v>5152</v>
      </c>
      <c r="G1952" t="str">
        <f>IF(OrdersTable[[#This Row],[Order Date]]=_xlfn.MINIFS(Order_Date, Customer_ID, OrdersTable[[#This Row],[Customer ID]]), "New", "Repeat")</f>
        <v>New</v>
      </c>
      <c r="H1952" t="s">
        <v>158</v>
      </c>
      <c r="I1952" t="str">
        <f>INDEX(State!B:B,MATCH(OrdersTable[[#This Row],[State]],State!A:A,0))</f>
        <v>HP</v>
      </c>
      <c r="J1952" t="str">
        <f>INDEX(State!C:C,MATCH(OrdersTable[[#This Row],[State Code]],State!B:B,0))</f>
        <v>North</v>
      </c>
      <c r="K1952" t="s">
        <v>159</v>
      </c>
      <c r="L1952" t="s">
        <v>23</v>
      </c>
      <c r="M1952" t="s">
        <v>51</v>
      </c>
      <c r="N1952" t="str">
        <f>INDEX(Products!B:B,MATCH(OrdersTable[[#This Row],[Product ID]],Products!A:A,0))</f>
        <v>Anti-Dandruff Conditioner</v>
      </c>
      <c r="O1952" t="str">
        <f>INDEX(Products!C:C,MATCH(OrdersTable[[#This Row],[Product ID]],Products!A:A,0))</f>
        <v>Haircare</v>
      </c>
      <c r="P1952">
        <v>2</v>
      </c>
      <c r="Q1952" s="5">
        <v>399</v>
      </c>
      <c r="R1952" s="74">
        <v>0.4</v>
      </c>
      <c r="S1952" s="75">
        <f>OrdersTable[[#This Row],[Quantity]]*OrdersTable[[#This Row],[Unit Price]]</f>
        <v>798</v>
      </c>
      <c r="T1952" s="5">
        <f>OrdersTable[[#This Row],[Gross Sale]]*OrdersTable[[#This Row],[Discount_Clean2]]</f>
        <v>319.20000000000005</v>
      </c>
      <c r="U1952" s="5">
        <f>OrdersTable[[#This Row],[Gross Sale]]-OrdersTable[[#This Row],[Discount Amount]]</f>
        <v>478.79999999999995</v>
      </c>
      <c r="V1952" s="77">
        <f>INDEX(Products!E:E,MATCH(OrdersTable[[#This Row],[Product ID]],Products!A:A,0))</f>
        <v>136</v>
      </c>
      <c r="W1952" s="77">
        <f>OrdersTable[[#This Row],[Quantity]]*OrdersTable[[#This Row],[Unit Cost]]</f>
        <v>272</v>
      </c>
      <c r="X1952" s="77">
        <f>'Dropdown Lists'!$I$2*(1+OrdersTable[[#This Row],[Returned]])</f>
        <v>60</v>
      </c>
      <c r="Y1952" s="76">
        <f>OrdersTable[[#This Row],[Net Revenue]]-OrdersTable[[#This Row],[COGS]]-OrdersTable[[#This Row],[Shipping Cost]]</f>
        <v>146.79999999999995</v>
      </c>
      <c r="Z1952" s="78">
        <f>IFERROR(OrdersTable[[#This Row],[Profit]]/OrdersTable[[#This Row],[Net Revenue]],0)</f>
        <v>0.30659983291562232</v>
      </c>
      <c r="AA1952" t="s">
        <v>3495</v>
      </c>
      <c r="AB1952" s="79">
        <v>45639</v>
      </c>
      <c r="AC1952">
        <f>OrdersTable[[#This Row],[Delivery Date]]-OrdersTable[[#This Row],[Order Date]]</f>
        <v>4</v>
      </c>
      <c r="AD1952" t="str">
        <f>IF(OrdersTable[[#This Row],[Delivery Days]]&lt;=2, "Express (≤2d)", IF(OrdersTable[[#This Row],[Delivery Days]]&lt;=4, "Standard (3-4d)", "Delayed (5d+)"))</f>
        <v>Standard (3-4d)</v>
      </c>
      <c r="AF1952">
        <v>0</v>
      </c>
    </row>
    <row r="1953" spans="1:32" ht="15" x14ac:dyDescent="0.35">
      <c r="A1953" t="s">
        <v>6123</v>
      </c>
      <c r="B1953" s="1">
        <v>45635</v>
      </c>
      <c r="C1953">
        <f>YEAR(OrdersTable[[#This Row],[Order Date]])</f>
        <v>2024</v>
      </c>
      <c r="D1953" s="2">
        <f>DATE(YEAR(OrdersTable[[#This Row],[Order Date]]),MONTH(OrdersTable[[#This Row],[Order Date]]),1)</f>
        <v>45627</v>
      </c>
      <c r="E1953">
        <f>MONTH(OrdersTable[[#This Row],[Order Date]])</f>
        <v>12</v>
      </c>
      <c r="F1953" t="s">
        <v>6124</v>
      </c>
      <c r="G1953" t="str">
        <f>IF(OrdersTable[[#This Row],[Order Date]]=_xlfn.MINIFS(Order_Date, Customer_ID, OrdersTable[[#This Row],[Customer ID]]), "New", "Repeat")</f>
        <v>New</v>
      </c>
      <c r="H1953" t="s">
        <v>54</v>
      </c>
      <c r="I1953" t="str">
        <f>INDEX(State!B:B,MATCH(OrdersTable[[#This Row],[State]],State!A:A,0))</f>
        <v>RJ</v>
      </c>
      <c r="J1953" t="str">
        <f>INDEX(State!C:C,MATCH(OrdersTable[[#This Row],[State Code]],State!B:B,0))</f>
        <v>North</v>
      </c>
      <c r="K1953" t="s">
        <v>227</v>
      </c>
      <c r="L1953" t="s">
        <v>23</v>
      </c>
      <c r="M1953" t="s">
        <v>106</v>
      </c>
      <c r="N1953" t="str">
        <f>INDEX(Products!B:B,MATCH(OrdersTable[[#This Row],[Product ID]],Products!A:A,0))</f>
        <v>Keratin Hair Mask</v>
      </c>
      <c r="O1953" t="str">
        <f>INDEX(Products!C:C,MATCH(OrdersTable[[#This Row],[Product ID]],Products!A:A,0))</f>
        <v>Haircare</v>
      </c>
      <c r="P1953">
        <v>2</v>
      </c>
      <c r="Q1953" s="5">
        <v>549</v>
      </c>
      <c r="R1953" s="74">
        <v>0.2</v>
      </c>
      <c r="S1953" s="75">
        <f>OrdersTable[[#This Row],[Quantity]]*OrdersTable[[#This Row],[Unit Price]]</f>
        <v>1098</v>
      </c>
      <c r="T1953" s="5">
        <f>OrdersTable[[#This Row],[Gross Sale]]*OrdersTable[[#This Row],[Discount_Clean2]]</f>
        <v>219.60000000000002</v>
      </c>
      <c r="U1953" s="5">
        <f>OrdersTable[[#This Row],[Gross Sale]]-OrdersTable[[#This Row],[Discount Amount]]</f>
        <v>878.4</v>
      </c>
      <c r="V1953" s="77">
        <f>INDEX(Products!E:E,MATCH(OrdersTable[[#This Row],[Product ID]],Products!A:A,0))</f>
        <v>170</v>
      </c>
      <c r="W1953" s="77">
        <f>OrdersTable[[#This Row],[Quantity]]*OrdersTable[[#This Row],[Unit Cost]]</f>
        <v>340</v>
      </c>
      <c r="X1953" s="77">
        <f>'Dropdown Lists'!$I$2*(1+OrdersTable[[#This Row],[Returned]])</f>
        <v>60</v>
      </c>
      <c r="Y1953" s="76">
        <f>OrdersTable[[#This Row],[Net Revenue]]-OrdersTable[[#This Row],[COGS]]-OrdersTable[[#This Row],[Shipping Cost]]</f>
        <v>478.4</v>
      </c>
      <c r="Z1953" s="78">
        <f>IFERROR(OrdersTable[[#This Row],[Profit]]/OrdersTable[[#This Row],[Net Revenue]],0)</f>
        <v>0.54462659380692169</v>
      </c>
      <c r="AA1953" t="s">
        <v>18</v>
      </c>
      <c r="AB1953" s="79">
        <v>45641</v>
      </c>
      <c r="AC1953">
        <f>OrdersTable[[#This Row],[Delivery Date]]-OrdersTable[[#This Row],[Order Date]]</f>
        <v>6</v>
      </c>
      <c r="AD1953" t="str">
        <f>IF(OrdersTable[[#This Row],[Delivery Days]]&lt;=2, "Express (≤2d)", IF(OrdersTable[[#This Row],[Delivery Days]]&lt;=4, "Standard (3-4d)", "Delayed (5d+)"))</f>
        <v>Delayed (5d+)</v>
      </c>
      <c r="AE1953">
        <v>4</v>
      </c>
      <c r="AF1953">
        <v>0</v>
      </c>
    </row>
    <row r="1954" spans="1:32" ht="15" x14ac:dyDescent="0.35">
      <c r="A1954" t="s">
        <v>2992</v>
      </c>
      <c r="B1954" s="1">
        <v>45635</v>
      </c>
      <c r="C1954">
        <f>YEAR(OrdersTable[[#This Row],[Order Date]])</f>
        <v>2024</v>
      </c>
      <c r="D1954" s="2">
        <f>DATE(YEAR(OrdersTable[[#This Row],[Order Date]]),MONTH(OrdersTable[[#This Row],[Order Date]]),1)</f>
        <v>45627</v>
      </c>
      <c r="E1954">
        <f>MONTH(OrdersTable[[#This Row],[Order Date]])</f>
        <v>12</v>
      </c>
      <c r="F1954" t="s">
        <v>2277</v>
      </c>
      <c r="G1954" t="str">
        <f>IF(OrdersTable[[#This Row],[Order Date]]=_xlfn.MINIFS(Order_Date, Customer_ID, OrdersTable[[#This Row],[Customer ID]]), "New", "Repeat")</f>
        <v>Repeat</v>
      </c>
      <c r="H1954" t="s">
        <v>132</v>
      </c>
      <c r="I1954" t="str">
        <f>INDEX(State!B:B,MATCH(OrdersTable[[#This Row],[State]],State!A:A,0))</f>
        <v>AS</v>
      </c>
      <c r="J1954" t="str">
        <f>INDEX(State!C:C,MATCH(OrdersTable[[#This Row],[State Code]],State!B:B,0))</f>
        <v>East</v>
      </c>
      <c r="K1954" t="s">
        <v>133</v>
      </c>
      <c r="L1954" t="s">
        <v>65</v>
      </c>
      <c r="M1954" t="s">
        <v>73</v>
      </c>
      <c r="N1954" t="str">
        <f>INDEX(Products!B:B,MATCH(OrdersTable[[#This Row],[Product ID]],Products!A:A,0))</f>
        <v>Hydrating Face Wash</v>
      </c>
      <c r="O1954" t="str">
        <f>INDEX(Products!C:C,MATCH(OrdersTable[[#This Row],[Product ID]],Products!A:A,0))</f>
        <v>Skincare</v>
      </c>
      <c r="P1954">
        <v>1</v>
      </c>
      <c r="Q1954" s="5">
        <v>299</v>
      </c>
      <c r="R1954" s="74">
        <v>0.1</v>
      </c>
      <c r="S1954" s="75">
        <f>OrdersTable[[#This Row],[Quantity]]*OrdersTable[[#This Row],[Unit Price]]</f>
        <v>299</v>
      </c>
      <c r="T1954" s="5">
        <f>OrdersTable[[#This Row],[Gross Sale]]*OrdersTable[[#This Row],[Discount_Clean2]]</f>
        <v>29.900000000000002</v>
      </c>
      <c r="U1954" s="5">
        <f>OrdersTable[[#This Row],[Gross Sale]]-OrdersTable[[#This Row],[Discount Amount]]</f>
        <v>269.10000000000002</v>
      </c>
      <c r="V1954" s="77">
        <f>INDEX(Products!E:E,MATCH(OrdersTable[[#This Row],[Product ID]],Products!A:A,0))</f>
        <v>90</v>
      </c>
      <c r="W1954" s="77">
        <f>OrdersTable[[#This Row],[Quantity]]*OrdersTable[[#This Row],[Unit Cost]]</f>
        <v>90</v>
      </c>
      <c r="X1954" s="77">
        <f>'Dropdown Lists'!$I$2*(1+OrdersTable[[#This Row],[Returned]])</f>
        <v>60</v>
      </c>
      <c r="Y1954" s="76">
        <f>OrdersTable[[#This Row],[Net Revenue]]-OrdersTable[[#This Row],[COGS]]-OrdersTable[[#This Row],[Shipping Cost]]</f>
        <v>119.10000000000002</v>
      </c>
      <c r="Z1954" s="78">
        <f>IFERROR(OrdersTable[[#This Row],[Profit]]/OrdersTable[[#This Row],[Net Revenue]],0)</f>
        <v>0.4425863991081383</v>
      </c>
      <c r="AA1954" t="s">
        <v>2522</v>
      </c>
      <c r="AB1954" s="79">
        <v>45641</v>
      </c>
      <c r="AC1954">
        <f>OrdersTable[[#This Row],[Delivery Date]]-OrdersTable[[#This Row],[Order Date]]</f>
        <v>6</v>
      </c>
      <c r="AD1954" t="str">
        <f>IF(OrdersTable[[#This Row],[Delivery Days]]&lt;=2, "Express (≤2d)", IF(OrdersTable[[#This Row],[Delivery Days]]&lt;=4, "Standard (3-4d)", "Delayed (5d+)"))</f>
        <v>Delayed (5d+)</v>
      </c>
      <c r="AF1954">
        <v>0</v>
      </c>
    </row>
    <row r="1955" spans="1:32" ht="15" x14ac:dyDescent="0.35">
      <c r="A1955" t="s">
        <v>5153</v>
      </c>
      <c r="B1955" s="1">
        <v>45635</v>
      </c>
      <c r="C1955">
        <f>YEAR(OrdersTable[[#This Row],[Order Date]])</f>
        <v>2024</v>
      </c>
      <c r="D1955" s="2">
        <f>DATE(YEAR(OrdersTable[[#This Row],[Order Date]]),MONTH(OrdersTable[[#This Row],[Order Date]]),1)</f>
        <v>45627</v>
      </c>
      <c r="E1955">
        <f>MONTH(OrdersTable[[#This Row],[Order Date]])</f>
        <v>12</v>
      </c>
      <c r="F1955" t="s">
        <v>5154</v>
      </c>
      <c r="G1955" t="str">
        <f>IF(OrdersTable[[#This Row],[Order Date]]=_xlfn.MINIFS(Order_Date, Customer_ID, OrdersTable[[#This Row],[Customer ID]]), "New", "Repeat")</f>
        <v>New</v>
      </c>
      <c r="H1955" t="s">
        <v>43</v>
      </c>
      <c r="I1955" t="str">
        <f>INDEX(State!B:B,MATCH(OrdersTable[[#This Row],[State]],State!A:A,0))</f>
        <v>MP</v>
      </c>
      <c r="J1955" t="str">
        <f>INDEX(State!C:C,MATCH(OrdersTable[[#This Row],[State Code]],State!B:B,0))</f>
        <v>West</v>
      </c>
      <c r="K1955" t="s">
        <v>44</v>
      </c>
      <c r="L1955" t="s">
        <v>39</v>
      </c>
      <c r="M1955" t="s">
        <v>109</v>
      </c>
      <c r="N1955" t="str">
        <f>INDEX(Products!B:B,MATCH(OrdersTable[[#This Row],[Product ID]],Products!A:A,0))</f>
        <v>Onion Hair Oil</v>
      </c>
      <c r="O1955" t="str">
        <f>INDEX(Products!C:C,MATCH(OrdersTable[[#This Row],[Product ID]],Products!A:A,0))</f>
        <v>Haircare</v>
      </c>
      <c r="P1955">
        <v>2</v>
      </c>
      <c r="Q1955" s="5">
        <v>349</v>
      </c>
      <c r="R1955" s="74">
        <v>0.35</v>
      </c>
      <c r="S1955" s="75">
        <f>OrdersTable[[#This Row],[Quantity]]*OrdersTable[[#This Row],[Unit Price]]</f>
        <v>698</v>
      </c>
      <c r="T1955" s="5">
        <f>OrdersTable[[#This Row],[Gross Sale]]*OrdersTable[[#This Row],[Discount_Clean2]]</f>
        <v>244.29999999999998</v>
      </c>
      <c r="U1955" s="5">
        <f>OrdersTable[[#This Row],[Gross Sale]]-OrdersTable[[#This Row],[Discount Amount]]</f>
        <v>453.70000000000005</v>
      </c>
      <c r="V1955" s="77">
        <f>INDEX(Products!E:E,MATCH(OrdersTable[[#This Row],[Product ID]],Products!A:A,0))</f>
        <v>105</v>
      </c>
      <c r="W1955" s="77">
        <f>OrdersTable[[#This Row],[Quantity]]*OrdersTable[[#This Row],[Unit Cost]]</f>
        <v>210</v>
      </c>
      <c r="X1955" s="77">
        <f>'Dropdown Lists'!$I$2*(1+OrdersTable[[#This Row],[Returned]])</f>
        <v>60</v>
      </c>
      <c r="Y1955" s="76">
        <f>OrdersTable[[#This Row],[Net Revenue]]-OrdersTable[[#This Row],[COGS]]-OrdersTable[[#This Row],[Shipping Cost]]</f>
        <v>183.70000000000005</v>
      </c>
      <c r="Z1955" s="78">
        <f>IFERROR(OrdersTable[[#This Row],[Profit]]/OrdersTable[[#This Row],[Net Revenue]],0)</f>
        <v>0.40489310116817284</v>
      </c>
      <c r="AA1955" t="s">
        <v>3495</v>
      </c>
      <c r="AB1955" s="79">
        <v>45639</v>
      </c>
      <c r="AC1955">
        <f>OrdersTable[[#This Row],[Delivery Date]]-OrdersTable[[#This Row],[Order Date]]</f>
        <v>4</v>
      </c>
      <c r="AD1955" t="str">
        <f>IF(OrdersTable[[#This Row],[Delivery Days]]&lt;=2, "Express (≤2d)", IF(OrdersTable[[#This Row],[Delivery Days]]&lt;=4, "Standard (3-4d)", "Delayed (5d+)"))</f>
        <v>Standard (3-4d)</v>
      </c>
      <c r="AE1955">
        <v>4</v>
      </c>
      <c r="AF1955">
        <v>0</v>
      </c>
    </row>
    <row r="1956" spans="1:32" ht="15" x14ac:dyDescent="0.35">
      <c r="A1956" t="s">
        <v>2993</v>
      </c>
      <c r="B1956" s="1">
        <v>45635</v>
      </c>
      <c r="C1956">
        <f>YEAR(OrdersTable[[#This Row],[Order Date]])</f>
        <v>2024</v>
      </c>
      <c r="D1956" s="2">
        <f>DATE(YEAR(OrdersTable[[#This Row],[Order Date]]),MONTH(OrdersTable[[#This Row],[Order Date]]),1)</f>
        <v>45627</v>
      </c>
      <c r="E1956">
        <f>MONTH(OrdersTable[[#This Row],[Order Date]])</f>
        <v>12</v>
      </c>
      <c r="F1956" t="s">
        <v>2994</v>
      </c>
      <c r="G1956" t="str">
        <f>IF(OrdersTable[[#This Row],[Order Date]]=_xlfn.MINIFS(Order_Date, Customer_ID, OrdersTable[[#This Row],[Customer ID]]), "New", "Repeat")</f>
        <v>Repeat</v>
      </c>
      <c r="H1956" t="s">
        <v>43</v>
      </c>
      <c r="I1956" t="str">
        <f>INDEX(State!B:B,MATCH(OrdersTable[[#This Row],[State]],State!A:A,0))</f>
        <v>MP</v>
      </c>
      <c r="J1956" t="str">
        <f>INDEX(State!C:C,MATCH(OrdersTable[[#This Row],[State Code]],State!B:B,0))</f>
        <v>West</v>
      </c>
      <c r="K1956" t="s">
        <v>44</v>
      </c>
      <c r="L1956" t="s">
        <v>65</v>
      </c>
      <c r="M1956" t="s">
        <v>29</v>
      </c>
      <c r="N1956" t="str">
        <f>INDEX(Products!B:B,MATCH(OrdersTable[[#This Row],[Product ID]],Products!A:A,0))</f>
        <v>Joggers</v>
      </c>
      <c r="O1956" t="str">
        <f>INDEX(Products!C:C,MATCH(OrdersTable[[#This Row],[Product ID]],Products!A:A,0))</f>
        <v>Apparel</v>
      </c>
      <c r="P1956">
        <v>1</v>
      </c>
      <c r="Q1956" s="5">
        <v>1199</v>
      </c>
      <c r="R1956" s="74">
        <v>0.1</v>
      </c>
      <c r="S1956" s="75">
        <f>OrdersTable[[#This Row],[Quantity]]*OrdersTable[[#This Row],[Unit Price]]</f>
        <v>1199</v>
      </c>
      <c r="T1956" s="5">
        <f>OrdersTable[[#This Row],[Gross Sale]]*OrdersTable[[#This Row],[Discount_Clean2]]</f>
        <v>119.9</v>
      </c>
      <c r="U1956" s="5">
        <f>OrdersTable[[#This Row],[Gross Sale]]-OrdersTable[[#This Row],[Discount Amount]]</f>
        <v>1079.0999999999999</v>
      </c>
      <c r="V1956" s="77">
        <f>INDEX(Products!E:E,MATCH(OrdersTable[[#This Row],[Product ID]],Products!A:A,0))</f>
        <v>492</v>
      </c>
      <c r="W1956" s="77">
        <f>OrdersTable[[#This Row],[Quantity]]*OrdersTable[[#This Row],[Unit Cost]]</f>
        <v>492</v>
      </c>
      <c r="X1956" s="77">
        <f>'Dropdown Lists'!$I$2*(1+OrdersTable[[#This Row],[Returned]])</f>
        <v>60</v>
      </c>
      <c r="Y1956" s="76">
        <f>OrdersTable[[#This Row],[Net Revenue]]-OrdersTable[[#This Row],[COGS]]-OrdersTable[[#This Row],[Shipping Cost]]</f>
        <v>527.09999999999991</v>
      </c>
      <c r="Z1956" s="78">
        <f>IFERROR(OrdersTable[[#This Row],[Profit]]/OrdersTable[[#This Row],[Net Revenue]],0)</f>
        <v>0.48846260772866273</v>
      </c>
      <c r="AA1956" t="s">
        <v>2522</v>
      </c>
      <c r="AB1956" s="79">
        <v>45638</v>
      </c>
      <c r="AC1956">
        <f>OrdersTable[[#This Row],[Delivery Date]]-OrdersTable[[#This Row],[Order Date]]</f>
        <v>3</v>
      </c>
      <c r="AD1956" t="str">
        <f>IF(OrdersTable[[#This Row],[Delivery Days]]&lt;=2, "Express (≤2d)", IF(OrdersTable[[#This Row],[Delivery Days]]&lt;=4, "Standard (3-4d)", "Delayed (5d+)"))</f>
        <v>Standard (3-4d)</v>
      </c>
      <c r="AF1956">
        <v>0</v>
      </c>
    </row>
    <row r="1957" spans="1:32" ht="15" x14ac:dyDescent="0.35">
      <c r="A1957" t="s">
        <v>5155</v>
      </c>
      <c r="B1957" s="1">
        <v>45635</v>
      </c>
      <c r="C1957">
        <f>YEAR(OrdersTable[[#This Row],[Order Date]])</f>
        <v>2024</v>
      </c>
      <c r="D1957" s="2">
        <f>DATE(YEAR(OrdersTable[[#This Row],[Order Date]]),MONTH(OrdersTable[[#This Row],[Order Date]]),1)</f>
        <v>45627</v>
      </c>
      <c r="E1957">
        <f>MONTH(OrdersTable[[#This Row],[Order Date]])</f>
        <v>12</v>
      </c>
      <c r="F1957" t="s">
        <v>4541</v>
      </c>
      <c r="G1957" t="str">
        <f>IF(OrdersTable[[#This Row],[Order Date]]=_xlfn.MINIFS(Order_Date, Customer_ID, OrdersTable[[#This Row],[Customer ID]]), "New", "Repeat")</f>
        <v>Repeat</v>
      </c>
      <c r="H1957" t="s">
        <v>27</v>
      </c>
      <c r="I1957" t="str">
        <f>INDEX(State!B:B,MATCH(OrdersTable[[#This Row],[State]],State!A:A,0))</f>
        <v>WB</v>
      </c>
      <c r="J1957" t="str">
        <f>INDEX(State!C:C,MATCH(OrdersTable[[#This Row],[State Code]],State!B:B,0))</f>
        <v>East</v>
      </c>
      <c r="K1957" t="s">
        <v>28</v>
      </c>
      <c r="L1957" t="s">
        <v>39</v>
      </c>
      <c r="M1957" t="s">
        <v>152</v>
      </c>
      <c r="N1957" t="str">
        <f>INDEX(Products!B:B,MATCH(OrdersTable[[#This Row],[Product ID]],Products!A:A,0))</f>
        <v>Green Tea (100 bags)</v>
      </c>
      <c r="O1957" t="str">
        <f>INDEX(Products!C:C,MATCH(OrdersTable[[#This Row],[Product ID]],Products!A:A,0))</f>
        <v>Wellness</v>
      </c>
      <c r="P1957">
        <v>2</v>
      </c>
      <c r="Q1957" s="5">
        <v>399</v>
      </c>
      <c r="R1957" s="74">
        <v>0.3</v>
      </c>
      <c r="S1957" s="75">
        <f>OrdersTable[[#This Row],[Quantity]]*OrdersTable[[#This Row],[Unit Price]]</f>
        <v>798</v>
      </c>
      <c r="T1957" s="5">
        <f>OrdersTable[[#This Row],[Gross Sale]]*OrdersTable[[#This Row],[Discount_Clean2]]</f>
        <v>239.39999999999998</v>
      </c>
      <c r="U1957" s="5">
        <f>OrdersTable[[#This Row],[Gross Sale]]-OrdersTable[[#This Row],[Discount Amount]]</f>
        <v>558.6</v>
      </c>
      <c r="V1957" s="77">
        <f>INDEX(Products!E:E,MATCH(OrdersTable[[#This Row],[Product ID]],Products!A:A,0))</f>
        <v>128</v>
      </c>
      <c r="W1957" s="77">
        <f>OrdersTable[[#This Row],[Quantity]]*OrdersTable[[#This Row],[Unit Cost]]</f>
        <v>256</v>
      </c>
      <c r="X1957" s="77">
        <f>'Dropdown Lists'!$I$2*(1+OrdersTable[[#This Row],[Returned]])</f>
        <v>60</v>
      </c>
      <c r="Y1957" s="76">
        <f>OrdersTable[[#This Row],[Net Revenue]]-OrdersTable[[#This Row],[COGS]]-OrdersTable[[#This Row],[Shipping Cost]]</f>
        <v>242.60000000000002</v>
      </c>
      <c r="Z1957" s="78">
        <f>IFERROR(OrdersTable[[#This Row],[Profit]]/OrdersTable[[#This Row],[Net Revenue]],0)</f>
        <v>0.43430003580379523</v>
      </c>
      <c r="AA1957" t="s">
        <v>3495</v>
      </c>
      <c r="AB1957" s="79">
        <v>45639</v>
      </c>
      <c r="AC1957">
        <f>OrdersTable[[#This Row],[Delivery Date]]-OrdersTable[[#This Row],[Order Date]]</f>
        <v>4</v>
      </c>
      <c r="AD1957" t="str">
        <f>IF(OrdersTable[[#This Row],[Delivery Days]]&lt;=2, "Express (≤2d)", IF(OrdersTable[[#This Row],[Delivery Days]]&lt;=4, "Standard (3-4d)", "Delayed (5d+)"))</f>
        <v>Standard (3-4d)</v>
      </c>
      <c r="AE1957">
        <v>4</v>
      </c>
      <c r="AF1957">
        <v>0</v>
      </c>
    </row>
    <row r="1958" spans="1:32" ht="15" x14ac:dyDescent="0.35">
      <c r="A1958" t="s">
        <v>4587</v>
      </c>
      <c r="B1958" s="1">
        <v>45635</v>
      </c>
      <c r="C1958">
        <f>YEAR(OrdersTable[[#This Row],[Order Date]])</f>
        <v>2024</v>
      </c>
      <c r="D1958" s="2">
        <f>DATE(YEAR(OrdersTable[[#This Row],[Order Date]]),MONTH(OrdersTable[[#This Row],[Order Date]]),1)</f>
        <v>45627</v>
      </c>
      <c r="E1958">
        <f>MONTH(OrdersTable[[#This Row],[Order Date]])</f>
        <v>12</v>
      </c>
      <c r="F1958" t="s">
        <v>157</v>
      </c>
      <c r="G1958" t="str">
        <f>IF(OrdersTable[[#This Row],[Order Date]]=_xlfn.MINIFS(Order_Date, Customer_ID, OrdersTable[[#This Row],[Customer ID]]), "New", "Repeat")</f>
        <v>Repeat</v>
      </c>
      <c r="H1958" t="s">
        <v>71</v>
      </c>
      <c r="I1958" t="str">
        <f>INDEX(State!B:B,MATCH(OrdersTable[[#This Row],[State]],State!A:A,0))</f>
        <v>MH</v>
      </c>
      <c r="J1958" t="str">
        <f>INDEX(State!C:C,MATCH(OrdersTable[[#This Row],[State Code]],State!B:B,0))</f>
        <v>West</v>
      </c>
      <c r="K1958" t="s">
        <v>81</v>
      </c>
      <c r="L1958" t="s">
        <v>16</v>
      </c>
      <c r="M1958" t="s">
        <v>205</v>
      </c>
      <c r="N1958" t="str">
        <f>INDEX(Products!B:B,MATCH(OrdersTable[[#This Row],[Product ID]],Products!A:A,0))</f>
        <v>Running Shoes</v>
      </c>
      <c r="O1958" t="str">
        <f>INDEX(Products!C:C,MATCH(OrdersTable[[#This Row],[Product ID]],Products!A:A,0))</f>
        <v>Footwear</v>
      </c>
      <c r="P1958">
        <v>1</v>
      </c>
      <c r="Q1958" s="5">
        <v>2999</v>
      </c>
      <c r="R1958" s="74">
        <v>0.3</v>
      </c>
      <c r="S1958" s="75">
        <f>OrdersTable[[#This Row],[Quantity]]*OrdersTable[[#This Row],[Unit Price]]</f>
        <v>2999</v>
      </c>
      <c r="T1958" s="5">
        <f>OrdersTable[[#This Row],[Gross Sale]]*OrdersTable[[#This Row],[Discount_Clean2]]</f>
        <v>899.69999999999993</v>
      </c>
      <c r="U1958" s="5">
        <f>OrdersTable[[#This Row],[Gross Sale]]-OrdersTable[[#This Row],[Discount Amount]]</f>
        <v>2099.3000000000002</v>
      </c>
      <c r="V1958" s="77">
        <f>INDEX(Products!E:E,MATCH(OrdersTable[[#This Row],[Product ID]],Products!A:A,0))</f>
        <v>1440</v>
      </c>
      <c r="W1958" s="77">
        <f>OrdersTable[[#This Row],[Quantity]]*OrdersTable[[#This Row],[Unit Cost]]</f>
        <v>1440</v>
      </c>
      <c r="X1958" s="77">
        <f>'Dropdown Lists'!$I$2*(1+OrdersTable[[#This Row],[Returned]])</f>
        <v>60</v>
      </c>
      <c r="Y1958" s="76">
        <f>OrdersTable[[#This Row],[Net Revenue]]-OrdersTable[[#This Row],[COGS]]-OrdersTable[[#This Row],[Shipping Cost]]</f>
        <v>599.30000000000018</v>
      </c>
      <c r="Z1958" s="78">
        <f>IFERROR(OrdersTable[[#This Row],[Profit]]/OrdersTable[[#This Row],[Net Revenue]],0)</f>
        <v>0.28547611108464732</v>
      </c>
      <c r="AA1958" t="s">
        <v>4450</v>
      </c>
      <c r="AB1958" s="79">
        <v>45636</v>
      </c>
      <c r="AC1958">
        <f>OrdersTable[[#This Row],[Delivery Date]]-OrdersTable[[#This Row],[Order Date]]</f>
        <v>1</v>
      </c>
      <c r="AD1958" t="str">
        <f>IF(OrdersTable[[#This Row],[Delivery Days]]&lt;=2, "Express (≤2d)", IF(OrdersTable[[#This Row],[Delivery Days]]&lt;=4, "Standard (3-4d)", "Delayed (5d+)"))</f>
        <v>Express (≤2d)</v>
      </c>
      <c r="AF1958">
        <v>0</v>
      </c>
    </row>
    <row r="1959" spans="1:32" ht="15" x14ac:dyDescent="0.35">
      <c r="A1959" t="s">
        <v>1520</v>
      </c>
      <c r="B1959" s="1">
        <v>45635</v>
      </c>
      <c r="C1959">
        <f>YEAR(OrdersTable[[#This Row],[Order Date]])</f>
        <v>2024</v>
      </c>
      <c r="D1959" s="2">
        <f>DATE(YEAR(OrdersTable[[#This Row],[Order Date]]),MONTH(OrdersTable[[#This Row],[Order Date]]),1)</f>
        <v>45627</v>
      </c>
      <c r="E1959">
        <f>MONTH(OrdersTable[[#This Row],[Order Date]])</f>
        <v>12</v>
      </c>
      <c r="F1959" t="s">
        <v>1521</v>
      </c>
      <c r="G1959" t="str">
        <f>IF(OrdersTable[[#This Row],[Order Date]]=_xlfn.MINIFS(Order_Date, Customer_ID, OrdersTable[[#This Row],[Customer ID]]), "New", "Repeat")</f>
        <v>Repeat</v>
      </c>
      <c r="H1959" t="s">
        <v>275</v>
      </c>
      <c r="I1959" t="str">
        <f>INDEX(State!B:B,MATCH(OrdersTable[[#This Row],[State]],State!A:A,0))</f>
        <v>AP</v>
      </c>
      <c r="J1959" t="str">
        <f>INDEX(State!C:C,MATCH(OrdersTable[[#This Row],[State Code]],State!B:B,0))</f>
        <v>South</v>
      </c>
      <c r="K1959" t="s">
        <v>276</v>
      </c>
      <c r="L1959" t="s">
        <v>39</v>
      </c>
      <c r="M1959" t="s">
        <v>34</v>
      </c>
      <c r="N1959" t="str">
        <f>INDEX(Products!B:B,MATCH(OrdersTable[[#This Row],[Product ID]],Products!A:A,0))</f>
        <v>Flip Flops</v>
      </c>
      <c r="O1959" t="str">
        <f>INDEX(Products!C:C,MATCH(OrdersTable[[#This Row],[Product ID]],Products!A:A,0))</f>
        <v>Footwear</v>
      </c>
      <c r="P1959">
        <v>1</v>
      </c>
      <c r="Q1959" s="5">
        <v>399</v>
      </c>
      <c r="R1959" s="74">
        <v>0.05</v>
      </c>
      <c r="S1959" s="75">
        <f>OrdersTable[[#This Row],[Quantity]]*OrdersTable[[#This Row],[Unit Price]]</f>
        <v>399</v>
      </c>
      <c r="T1959" s="5">
        <f>OrdersTable[[#This Row],[Gross Sale]]*OrdersTable[[#This Row],[Discount_Clean2]]</f>
        <v>19.950000000000003</v>
      </c>
      <c r="U1959" s="5">
        <f>OrdersTable[[#This Row],[Gross Sale]]-OrdersTable[[#This Row],[Discount Amount]]</f>
        <v>379.05</v>
      </c>
      <c r="V1959" s="77">
        <f>INDEX(Products!E:E,MATCH(OrdersTable[[#This Row],[Product ID]],Products!A:A,0))</f>
        <v>152</v>
      </c>
      <c r="W1959" s="77">
        <f>OrdersTable[[#This Row],[Quantity]]*OrdersTable[[#This Row],[Unit Cost]]</f>
        <v>152</v>
      </c>
      <c r="X1959" s="77">
        <f>'Dropdown Lists'!$I$2*(1+OrdersTable[[#This Row],[Returned]])</f>
        <v>120</v>
      </c>
      <c r="Y1959" s="76">
        <f>OrdersTable[[#This Row],[Net Revenue]]-OrdersTable[[#This Row],[COGS]]-OrdersTable[[#This Row],[Shipping Cost]]</f>
        <v>107.05000000000001</v>
      </c>
      <c r="Z1959" s="78">
        <f>IFERROR(OrdersTable[[#This Row],[Profit]]/OrdersTable[[#This Row],[Net Revenue]],0)</f>
        <v>0.2824165677351273</v>
      </c>
      <c r="AA1959" t="s">
        <v>18</v>
      </c>
      <c r="AB1959" s="79">
        <v>45640</v>
      </c>
      <c r="AC1959">
        <f>OrdersTable[[#This Row],[Delivery Date]]-OrdersTable[[#This Row],[Order Date]]</f>
        <v>5</v>
      </c>
      <c r="AD1959" t="str">
        <f>IF(OrdersTable[[#This Row],[Delivery Days]]&lt;=2, "Express (≤2d)", IF(OrdersTable[[#This Row],[Delivery Days]]&lt;=4, "Standard (3-4d)", "Delayed (5d+)"))</f>
        <v>Delayed (5d+)</v>
      </c>
      <c r="AF1959">
        <v>1</v>
      </c>
    </row>
    <row r="1960" spans="1:32" ht="15" x14ac:dyDescent="0.35">
      <c r="A1960" t="s">
        <v>1522</v>
      </c>
      <c r="B1960" s="1">
        <v>45635</v>
      </c>
      <c r="C1960">
        <f>YEAR(OrdersTable[[#This Row],[Order Date]])</f>
        <v>2024</v>
      </c>
      <c r="D1960" s="2">
        <f>DATE(YEAR(OrdersTable[[#This Row],[Order Date]]),MONTH(OrdersTable[[#This Row],[Order Date]]),1)</f>
        <v>45627</v>
      </c>
      <c r="E1960">
        <f>MONTH(OrdersTable[[#This Row],[Order Date]])</f>
        <v>12</v>
      </c>
      <c r="F1960" t="s">
        <v>1523</v>
      </c>
      <c r="G1960" t="str">
        <f>IF(OrdersTable[[#This Row],[Order Date]]=_xlfn.MINIFS(Order_Date, Customer_ID, OrdersTable[[#This Row],[Customer ID]]), "New", "Repeat")</f>
        <v>New</v>
      </c>
      <c r="H1960" t="s">
        <v>316</v>
      </c>
      <c r="I1960" t="str">
        <f>INDEX(State!B:B,MATCH(OrdersTable[[#This Row],[State]],State!A:A,0))</f>
        <v>KL</v>
      </c>
      <c r="J1960" t="str">
        <f>INDEX(State!C:C,MATCH(OrdersTable[[#This Row],[State Code]],State!B:B,0))</f>
        <v>South</v>
      </c>
      <c r="K1960" t="s">
        <v>338</v>
      </c>
      <c r="L1960" t="s">
        <v>39</v>
      </c>
      <c r="M1960" t="s">
        <v>45</v>
      </c>
      <c r="N1960" t="str">
        <f>INDEX(Products!B:B,MATCH(OrdersTable[[#This Row],[Product ID]],Products!A:A,0))</f>
        <v>Argan Shampoo</v>
      </c>
      <c r="O1960" t="str">
        <f>INDEX(Products!C:C,MATCH(OrdersTable[[#This Row],[Product ID]],Products!A:A,0))</f>
        <v>Haircare</v>
      </c>
      <c r="P1960">
        <v>1</v>
      </c>
      <c r="Q1960" s="5">
        <v>449</v>
      </c>
      <c r="R1960" s="74">
        <v>0.1</v>
      </c>
      <c r="S1960" s="75">
        <f>OrdersTable[[#This Row],[Quantity]]*OrdersTable[[#This Row],[Unit Price]]</f>
        <v>449</v>
      </c>
      <c r="T1960" s="5">
        <f>OrdersTable[[#This Row],[Gross Sale]]*OrdersTable[[#This Row],[Discount_Clean2]]</f>
        <v>44.900000000000006</v>
      </c>
      <c r="U1960" s="5">
        <f>OrdersTable[[#This Row],[Gross Sale]]-OrdersTable[[#This Row],[Discount Amount]]</f>
        <v>404.1</v>
      </c>
      <c r="V1960" s="77">
        <f>INDEX(Products!E:E,MATCH(OrdersTable[[#This Row],[Product ID]],Products!A:A,0))</f>
        <v>148</v>
      </c>
      <c r="W1960" s="77">
        <f>OrdersTable[[#This Row],[Quantity]]*OrdersTable[[#This Row],[Unit Cost]]</f>
        <v>148</v>
      </c>
      <c r="X1960" s="77">
        <f>'Dropdown Lists'!$I$2*(1+OrdersTable[[#This Row],[Returned]])</f>
        <v>60</v>
      </c>
      <c r="Y1960" s="76">
        <f>OrdersTable[[#This Row],[Net Revenue]]-OrdersTable[[#This Row],[COGS]]-OrdersTable[[#This Row],[Shipping Cost]]</f>
        <v>196.10000000000002</v>
      </c>
      <c r="Z1960" s="78">
        <f>IFERROR(OrdersTable[[#This Row],[Profit]]/OrdersTable[[#This Row],[Net Revenue]],0)</f>
        <v>0.48527592180153428</v>
      </c>
      <c r="AA1960" t="s">
        <v>18</v>
      </c>
      <c r="AB1960" s="79">
        <v>45639</v>
      </c>
      <c r="AC1960">
        <f>OrdersTable[[#This Row],[Delivery Date]]-OrdersTable[[#This Row],[Order Date]]</f>
        <v>4</v>
      </c>
      <c r="AD1960" t="str">
        <f>IF(OrdersTable[[#This Row],[Delivery Days]]&lt;=2, "Express (≤2d)", IF(OrdersTable[[#This Row],[Delivery Days]]&lt;=4, "Standard (3-4d)", "Delayed (5d+)"))</f>
        <v>Standard (3-4d)</v>
      </c>
      <c r="AF1960">
        <v>0</v>
      </c>
    </row>
    <row r="1961" spans="1:32" ht="15" x14ac:dyDescent="0.35">
      <c r="A1961" t="s">
        <v>3888</v>
      </c>
      <c r="B1961" s="1">
        <v>45636</v>
      </c>
      <c r="C1961">
        <f>YEAR(OrdersTable[[#This Row],[Order Date]])</f>
        <v>2024</v>
      </c>
      <c r="D1961" s="2">
        <f>DATE(YEAR(OrdersTable[[#This Row],[Order Date]]),MONTH(OrdersTable[[#This Row],[Order Date]]),1)</f>
        <v>45627</v>
      </c>
      <c r="E1961">
        <f>MONTH(OrdersTable[[#This Row],[Order Date]])</f>
        <v>12</v>
      </c>
      <c r="F1961" t="s">
        <v>2414</v>
      </c>
      <c r="G1961" t="str">
        <f>IF(OrdersTable[[#This Row],[Order Date]]=_xlfn.MINIFS(Order_Date, Customer_ID, OrdersTable[[#This Row],[Customer ID]]), "New", "Repeat")</f>
        <v>Repeat</v>
      </c>
      <c r="H1961" t="s">
        <v>128</v>
      </c>
      <c r="I1961" t="str">
        <f>INDEX(State!B:B,MATCH(OrdersTable[[#This Row],[State]],State!A:A,0))</f>
        <v>DL</v>
      </c>
      <c r="J1961" t="str">
        <f>INDEX(State!C:C,MATCH(OrdersTable[[#This Row],[State Code]],State!B:B,0))</f>
        <v>North</v>
      </c>
      <c r="K1961" t="s">
        <v>129</v>
      </c>
      <c r="L1961" t="s">
        <v>23</v>
      </c>
      <c r="M1961" t="s">
        <v>78</v>
      </c>
      <c r="N1961" t="str">
        <f>INDEX(Products!B:B,MATCH(OrdersTable[[#This Row],[Product ID]],Products!A:A,0))</f>
        <v>Retinol Night Cream</v>
      </c>
      <c r="O1961" t="str">
        <f>INDEX(Products!C:C,MATCH(OrdersTable[[#This Row],[Product ID]],Products!A:A,0))</f>
        <v>Skincare</v>
      </c>
      <c r="P1961">
        <v>1</v>
      </c>
      <c r="Q1961" s="5">
        <v>799</v>
      </c>
      <c r="R1961" s="74">
        <v>0.1</v>
      </c>
      <c r="S1961" s="75">
        <f>OrdersTable[[#This Row],[Quantity]]*OrdersTable[[#This Row],[Unit Price]]</f>
        <v>799</v>
      </c>
      <c r="T1961" s="5">
        <f>OrdersTable[[#This Row],[Gross Sale]]*OrdersTable[[#This Row],[Discount_Clean2]]</f>
        <v>79.900000000000006</v>
      </c>
      <c r="U1961" s="5">
        <f>OrdersTable[[#This Row],[Gross Sale]]-OrdersTable[[#This Row],[Discount Amount]]</f>
        <v>719.1</v>
      </c>
      <c r="V1961" s="77">
        <f>INDEX(Products!E:E,MATCH(OrdersTable[[#This Row],[Product ID]],Products!A:A,0))</f>
        <v>216</v>
      </c>
      <c r="W1961" s="77">
        <f>OrdersTable[[#This Row],[Quantity]]*OrdersTable[[#This Row],[Unit Cost]]</f>
        <v>216</v>
      </c>
      <c r="X1961" s="77">
        <f>'Dropdown Lists'!$I$2*(1+OrdersTable[[#This Row],[Returned]])</f>
        <v>60</v>
      </c>
      <c r="Y1961" s="76">
        <f>OrdersTable[[#This Row],[Net Revenue]]-OrdersTable[[#This Row],[COGS]]-OrdersTable[[#This Row],[Shipping Cost]]</f>
        <v>443.1</v>
      </c>
      <c r="Z1961" s="78">
        <f>IFERROR(OrdersTable[[#This Row],[Profit]]/OrdersTable[[#This Row],[Net Revenue]],0)</f>
        <v>0.61618690029203171</v>
      </c>
      <c r="AA1961" t="s">
        <v>3495</v>
      </c>
      <c r="AB1961" s="79">
        <v>45639</v>
      </c>
      <c r="AC1961">
        <f>OrdersTable[[#This Row],[Delivery Date]]-OrdersTable[[#This Row],[Order Date]]</f>
        <v>3</v>
      </c>
      <c r="AD1961" t="str">
        <f>IF(OrdersTable[[#This Row],[Delivery Days]]&lt;=2, "Express (≤2d)", IF(OrdersTable[[#This Row],[Delivery Days]]&lt;=4, "Standard (3-4d)", "Delayed (5d+)"))</f>
        <v>Standard (3-4d)</v>
      </c>
      <c r="AE1961">
        <v>3</v>
      </c>
      <c r="AF1961">
        <v>0</v>
      </c>
    </row>
    <row r="1962" spans="1:32" ht="15" x14ac:dyDescent="0.35">
      <c r="A1962" t="s">
        <v>4495</v>
      </c>
      <c r="B1962" s="1">
        <v>45636</v>
      </c>
      <c r="C1962">
        <f>YEAR(OrdersTable[[#This Row],[Order Date]])</f>
        <v>2024</v>
      </c>
      <c r="D1962" s="2">
        <f>DATE(YEAR(OrdersTable[[#This Row],[Order Date]]),MONTH(OrdersTable[[#This Row],[Order Date]]),1)</f>
        <v>45627</v>
      </c>
      <c r="E1962">
        <f>MONTH(OrdersTable[[#This Row],[Order Date]])</f>
        <v>12</v>
      </c>
      <c r="F1962" t="s">
        <v>4496</v>
      </c>
      <c r="G1962" t="str">
        <f>IF(OrdersTable[[#This Row],[Order Date]]=_xlfn.MINIFS(Order_Date, Customer_ID, OrdersTable[[#This Row],[Customer ID]]), "New", "Repeat")</f>
        <v>Repeat</v>
      </c>
      <c r="H1962" t="s">
        <v>76</v>
      </c>
      <c r="I1962" t="str">
        <f>INDEX(State!B:B,MATCH(OrdersTable[[#This Row],[State]],State!A:A,0))</f>
        <v>UP</v>
      </c>
      <c r="J1962" t="str">
        <f>INDEX(State!C:C,MATCH(OrdersTable[[#This Row],[State Code]],State!B:B,0))</f>
        <v>North</v>
      </c>
      <c r="K1962" t="s">
        <v>77</v>
      </c>
      <c r="L1962" t="s">
        <v>23</v>
      </c>
      <c r="M1962" t="s">
        <v>56</v>
      </c>
      <c r="N1962" t="str">
        <f>INDEX(Products!B:B,MATCH(OrdersTable[[#This Row],[Product ID]],Products!A:A,0))</f>
        <v>Vitamin C Face Serum</v>
      </c>
      <c r="O1962" t="str">
        <f>INDEX(Products!C:C,MATCH(OrdersTable[[#This Row],[Product ID]],Products!A:A,0))</f>
        <v>Skincare</v>
      </c>
      <c r="P1962">
        <v>1</v>
      </c>
      <c r="Q1962" s="5">
        <v>599</v>
      </c>
      <c r="R1962" s="74">
        <v>0.15</v>
      </c>
      <c r="S1962" s="75">
        <f>OrdersTable[[#This Row],[Quantity]]*OrdersTable[[#This Row],[Unit Price]]</f>
        <v>599</v>
      </c>
      <c r="T1962" s="5">
        <f>OrdersTable[[#This Row],[Gross Sale]]*OrdersTable[[#This Row],[Discount_Clean2]]</f>
        <v>89.85</v>
      </c>
      <c r="U1962" s="5">
        <f>OrdersTable[[#This Row],[Gross Sale]]-OrdersTable[[#This Row],[Discount Amount]]</f>
        <v>509.15</v>
      </c>
      <c r="V1962" s="77">
        <f>INDEX(Products!E:E,MATCH(OrdersTable[[#This Row],[Product ID]],Products!A:A,0))</f>
        <v>180</v>
      </c>
      <c r="W1962" s="77">
        <f>OrdersTable[[#This Row],[Quantity]]*OrdersTable[[#This Row],[Unit Cost]]</f>
        <v>180</v>
      </c>
      <c r="X1962" s="77">
        <f>'Dropdown Lists'!$I$2*(1+OrdersTable[[#This Row],[Returned]])</f>
        <v>60</v>
      </c>
      <c r="Y1962" s="76">
        <f>OrdersTable[[#This Row],[Net Revenue]]-OrdersTable[[#This Row],[COGS]]-OrdersTable[[#This Row],[Shipping Cost]]</f>
        <v>269.14999999999998</v>
      </c>
      <c r="Z1962" s="78">
        <f>IFERROR(OrdersTable[[#This Row],[Profit]]/OrdersTable[[#This Row],[Net Revenue]],0)</f>
        <v>0.52862614160856325</v>
      </c>
      <c r="AA1962" t="s">
        <v>4450</v>
      </c>
      <c r="AB1962" s="79">
        <v>45639</v>
      </c>
      <c r="AC1962">
        <f>OrdersTable[[#This Row],[Delivery Date]]-OrdersTable[[#This Row],[Order Date]]</f>
        <v>3</v>
      </c>
      <c r="AD1962" t="str">
        <f>IF(OrdersTable[[#This Row],[Delivery Days]]&lt;=2, "Express (≤2d)", IF(OrdersTable[[#This Row],[Delivery Days]]&lt;=4, "Standard (3-4d)", "Delayed (5d+)"))</f>
        <v>Standard (3-4d)</v>
      </c>
      <c r="AE1962">
        <v>4</v>
      </c>
      <c r="AF1962">
        <v>0</v>
      </c>
    </row>
    <row r="1963" spans="1:32" ht="15" x14ac:dyDescent="0.35">
      <c r="A1963" t="s">
        <v>229</v>
      </c>
      <c r="B1963" s="1">
        <v>45636</v>
      </c>
      <c r="C1963">
        <f>YEAR(OrdersTable[[#This Row],[Order Date]])</f>
        <v>2024</v>
      </c>
      <c r="D1963" s="2">
        <f>DATE(YEAR(OrdersTable[[#This Row],[Order Date]]),MONTH(OrdersTable[[#This Row],[Order Date]]),1)</f>
        <v>45627</v>
      </c>
      <c r="E1963">
        <f>MONTH(OrdersTable[[#This Row],[Order Date]])</f>
        <v>12</v>
      </c>
      <c r="F1963" t="s">
        <v>230</v>
      </c>
      <c r="G1963" t="str">
        <f>IF(OrdersTable[[#This Row],[Order Date]]=_xlfn.MINIFS(Order_Date, Customer_ID, OrdersTable[[#This Row],[Customer ID]]), "New", "Repeat")</f>
        <v>New</v>
      </c>
      <c r="H1963" t="s">
        <v>123</v>
      </c>
      <c r="I1963" t="str">
        <f>INDEX(State!B:B,MATCH(OrdersTable[[#This Row],[State]],State!A:A,0))</f>
        <v>JH</v>
      </c>
      <c r="J1963" t="str">
        <f>INDEX(State!C:C,MATCH(OrdersTable[[#This Row],[State Code]],State!B:B,0))</f>
        <v>East</v>
      </c>
      <c r="K1963" t="s">
        <v>124</v>
      </c>
      <c r="L1963" t="s">
        <v>65</v>
      </c>
      <c r="M1963" t="s">
        <v>152</v>
      </c>
      <c r="N1963" t="str">
        <f>INDEX(Products!B:B,MATCH(OrdersTable[[#This Row],[Product ID]],Products!A:A,0))</f>
        <v>Green Tea (100 bags)</v>
      </c>
      <c r="O1963" t="str">
        <f>INDEX(Products!C:C,MATCH(OrdersTable[[#This Row],[Product ID]],Products!A:A,0))</f>
        <v>Wellness</v>
      </c>
      <c r="P1963">
        <v>1</v>
      </c>
      <c r="Q1963" s="5">
        <v>399</v>
      </c>
      <c r="R1963" s="74">
        <v>0.35</v>
      </c>
      <c r="S1963" s="75">
        <f>OrdersTable[[#This Row],[Quantity]]*OrdersTable[[#This Row],[Unit Price]]</f>
        <v>399</v>
      </c>
      <c r="T1963" s="5">
        <f>OrdersTable[[#This Row],[Gross Sale]]*OrdersTable[[#This Row],[Discount_Clean2]]</f>
        <v>139.64999999999998</v>
      </c>
      <c r="U1963" s="5">
        <f>OrdersTable[[#This Row],[Gross Sale]]-OrdersTable[[#This Row],[Discount Amount]]</f>
        <v>259.35000000000002</v>
      </c>
      <c r="V1963" s="77">
        <f>INDEX(Products!E:E,MATCH(OrdersTable[[#This Row],[Product ID]],Products!A:A,0))</f>
        <v>128</v>
      </c>
      <c r="W1963" s="77">
        <f>OrdersTable[[#This Row],[Quantity]]*OrdersTable[[#This Row],[Unit Cost]]</f>
        <v>128</v>
      </c>
      <c r="X1963" s="77">
        <f>'Dropdown Lists'!$I$2*(1+OrdersTable[[#This Row],[Returned]])</f>
        <v>60</v>
      </c>
      <c r="Y1963" s="76">
        <f>OrdersTable[[#This Row],[Net Revenue]]-OrdersTable[[#This Row],[COGS]]-OrdersTable[[#This Row],[Shipping Cost]]</f>
        <v>71.350000000000023</v>
      </c>
      <c r="Z1963" s="78">
        <f>IFERROR(OrdersTable[[#This Row],[Profit]]/OrdersTable[[#This Row],[Net Revenue]],0)</f>
        <v>0.27511085405822255</v>
      </c>
      <c r="AA1963" t="s">
        <v>18</v>
      </c>
      <c r="AB1963" s="79">
        <v>45640</v>
      </c>
      <c r="AC1963">
        <f>OrdersTable[[#This Row],[Delivery Date]]-OrdersTable[[#This Row],[Order Date]]</f>
        <v>4</v>
      </c>
      <c r="AD1963" t="str">
        <f>IF(OrdersTable[[#This Row],[Delivery Days]]&lt;=2, "Express (≤2d)", IF(OrdersTable[[#This Row],[Delivery Days]]&lt;=4, "Standard (3-4d)", "Delayed (5d+)"))</f>
        <v>Standard (3-4d)</v>
      </c>
      <c r="AE1963">
        <v>4</v>
      </c>
      <c r="AF1963">
        <v>0</v>
      </c>
    </row>
    <row r="1964" spans="1:32" ht="15" x14ac:dyDescent="0.35">
      <c r="A1964" t="s">
        <v>6539</v>
      </c>
      <c r="B1964" s="1">
        <v>45636</v>
      </c>
      <c r="C1964">
        <f>YEAR(OrdersTable[[#This Row],[Order Date]])</f>
        <v>2024</v>
      </c>
      <c r="D1964" s="2">
        <f>DATE(YEAR(OrdersTable[[#This Row],[Order Date]]),MONTH(OrdersTable[[#This Row],[Order Date]]),1)</f>
        <v>45627</v>
      </c>
      <c r="E1964">
        <f>MONTH(OrdersTable[[#This Row],[Order Date]])</f>
        <v>12</v>
      </c>
      <c r="F1964" t="s">
        <v>6189</v>
      </c>
      <c r="G1964" t="str">
        <f>IF(OrdersTable[[#This Row],[Order Date]]=_xlfn.MINIFS(Order_Date, Customer_ID, OrdersTable[[#This Row],[Customer ID]]), "New", "Repeat")</f>
        <v>New</v>
      </c>
      <c r="H1964" t="s">
        <v>27</v>
      </c>
      <c r="I1964" t="str">
        <f>INDEX(State!B:B,MATCH(OrdersTable[[#This Row],[State]],State!A:A,0))</f>
        <v>WB</v>
      </c>
      <c r="J1964" t="str">
        <f>INDEX(State!C:C,MATCH(OrdersTable[[#This Row],[State Code]],State!B:B,0))</f>
        <v>East</v>
      </c>
      <c r="K1964" t="s">
        <v>28</v>
      </c>
      <c r="L1964" t="s">
        <v>65</v>
      </c>
      <c r="M1964" t="s">
        <v>160</v>
      </c>
      <c r="N1964" t="str">
        <f>INDEX(Products!B:B,MATCH(OrdersTable[[#This Row],[Product ID]],Products!A:A,0))</f>
        <v>Niacinamide Toner</v>
      </c>
      <c r="O1964" t="str">
        <f>INDEX(Products!C:C,MATCH(OrdersTable[[#This Row],[Product ID]],Products!A:A,0))</f>
        <v>Skincare</v>
      </c>
      <c r="P1964">
        <v>3</v>
      </c>
      <c r="Q1964" s="5">
        <v>399</v>
      </c>
      <c r="R1964" s="74">
        <v>0.2</v>
      </c>
      <c r="S1964" s="75">
        <f>OrdersTable[[#This Row],[Quantity]]*OrdersTable[[#This Row],[Unit Price]]</f>
        <v>1197</v>
      </c>
      <c r="T1964" s="5">
        <f>OrdersTable[[#This Row],[Gross Sale]]*OrdersTable[[#This Row],[Discount_Clean2]]</f>
        <v>239.4</v>
      </c>
      <c r="U1964" s="5">
        <f>OrdersTable[[#This Row],[Gross Sale]]-OrdersTable[[#This Row],[Discount Amount]]</f>
        <v>957.6</v>
      </c>
      <c r="V1964" s="77">
        <f>INDEX(Products!E:E,MATCH(OrdersTable[[#This Row],[Product ID]],Products!A:A,0))</f>
        <v>112</v>
      </c>
      <c r="W1964" s="77">
        <f>OrdersTable[[#This Row],[Quantity]]*OrdersTable[[#This Row],[Unit Cost]]</f>
        <v>336</v>
      </c>
      <c r="X1964" s="77">
        <f>'Dropdown Lists'!$I$2*(1+OrdersTable[[#This Row],[Returned]])</f>
        <v>60</v>
      </c>
      <c r="Y1964" s="76">
        <f>OrdersTable[[#This Row],[Net Revenue]]-OrdersTable[[#This Row],[COGS]]-OrdersTable[[#This Row],[Shipping Cost]]</f>
        <v>561.6</v>
      </c>
      <c r="Z1964" s="78">
        <f>IFERROR(OrdersTable[[#This Row],[Profit]]/OrdersTable[[#This Row],[Net Revenue]],0)</f>
        <v>0.5864661654135338</v>
      </c>
      <c r="AA1964" t="s">
        <v>18</v>
      </c>
      <c r="AB1964" s="79">
        <v>45638</v>
      </c>
      <c r="AC1964">
        <f>OrdersTable[[#This Row],[Delivery Date]]-OrdersTable[[#This Row],[Order Date]]</f>
        <v>2</v>
      </c>
      <c r="AD1964" t="str">
        <f>IF(OrdersTable[[#This Row],[Delivery Days]]&lt;=2, "Express (≤2d)", IF(OrdersTable[[#This Row],[Delivery Days]]&lt;=4, "Standard (3-4d)", "Delayed (5d+)"))</f>
        <v>Express (≤2d)</v>
      </c>
      <c r="AF1964">
        <v>0</v>
      </c>
    </row>
    <row r="1965" spans="1:32" ht="15" x14ac:dyDescent="0.35">
      <c r="A1965" t="s">
        <v>4960</v>
      </c>
      <c r="B1965" s="1">
        <v>45636</v>
      </c>
      <c r="C1965">
        <f>YEAR(OrdersTable[[#This Row],[Order Date]])</f>
        <v>2024</v>
      </c>
      <c r="D1965" s="2">
        <f>DATE(YEAR(OrdersTable[[#This Row],[Order Date]]),MONTH(OrdersTable[[#This Row],[Order Date]]),1)</f>
        <v>45627</v>
      </c>
      <c r="E1965">
        <f>MONTH(OrdersTable[[#This Row],[Order Date]])</f>
        <v>12</v>
      </c>
      <c r="F1965" t="s">
        <v>3821</v>
      </c>
      <c r="G1965" t="str">
        <f>IF(OrdersTable[[#This Row],[Order Date]]=_xlfn.MINIFS(Order_Date, Customer_ID, OrdersTable[[#This Row],[Customer ID]]), "New", "Repeat")</f>
        <v>Repeat</v>
      </c>
      <c r="H1965" t="s">
        <v>71</v>
      </c>
      <c r="I1965" t="str">
        <f>INDEX(State!B:B,MATCH(OrdersTable[[#This Row],[State]],State!A:A,0))</f>
        <v>MH</v>
      </c>
      <c r="J1965" t="str">
        <f>INDEX(State!C:C,MATCH(OrdersTable[[#This Row],[State Code]],State!B:B,0))</f>
        <v>West</v>
      </c>
      <c r="K1965" t="s">
        <v>72</v>
      </c>
      <c r="L1965" t="s">
        <v>65</v>
      </c>
      <c r="M1965" t="s">
        <v>109</v>
      </c>
      <c r="N1965" t="str">
        <f>INDEX(Products!B:B,MATCH(OrdersTable[[#This Row],[Product ID]],Products!A:A,0))</f>
        <v>Onion Hair Oil</v>
      </c>
      <c r="O1965" t="str">
        <f>INDEX(Products!C:C,MATCH(OrdersTable[[#This Row],[Product ID]],Products!A:A,0))</f>
        <v>Haircare</v>
      </c>
      <c r="P1965">
        <v>2</v>
      </c>
      <c r="Q1965" s="5">
        <v>349</v>
      </c>
      <c r="R1965" s="74">
        <v>0.35</v>
      </c>
      <c r="S1965" s="75">
        <f>OrdersTable[[#This Row],[Quantity]]*OrdersTable[[#This Row],[Unit Price]]</f>
        <v>698</v>
      </c>
      <c r="T1965" s="5">
        <f>OrdersTable[[#This Row],[Gross Sale]]*OrdersTable[[#This Row],[Discount_Clean2]]</f>
        <v>244.29999999999998</v>
      </c>
      <c r="U1965" s="5">
        <f>OrdersTable[[#This Row],[Gross Sale]]-OrdersTable[[#This Row],[Discount Amount]]</f>
        <v>453.70000000000005</v>
      </c>
      <c r="V1965" s="77">
        <f>INDEX(Products!E:E,MATCH(OrdersTable[[#This Row],[Product ID]],Products!A:A,0))</f>
        <v>105</v>
      </c>
      <c r="W1965" s="77">
        <f>OrdersTable[[#This Row],[Quantity]]*OrdersTable[[#This Row],[Unit Cost]]</f>
        <v>210</v>
      </c>
      <c r="X1965" s="77">
        <f>'Dropdown Lists'!$I$2*(1+OrdersTable[[#This Row],[Returned]])</f>
        <v>60</v>
      </c>
      <c r="Y1965" s="76">
        <f>OrdersTable[[#This Row],[Net Revenue]]-OrdersTable[[#This Row],[COGS]]-OrdersTable[[#This Row],[Shipping Cost]]</f>
        <v>183.70000000000005</v>
      </c>
      <c r="Z1965" s="78">
        <f>IFERROR(OrdersTable[[#This Row],[Profit]]/OrdersTable[[#This Row],[Net Revenue]],0)</f>
        <v>0.40489310116817284</v>
      </c>
      <c r="AA1965" t="s">
        <v>4074</v>
      </c>
      <c r="AB1965" s="79">
        <v>45639</v>
      </c>
      <c r="AC1965">
        <f>OrdersTable[[#This Row],[Delivery Date]]-OrdersTable[[#This Row],[Order Date]]</f>
        <v>3</v>
      </c>
      <c r="AD1965" t="str">
        <f>IF(OrdersTable[[#This Row],[Delivery Days]]&lt;=2, "Express (≤2d)", IF(OrdersTable[[#This Row],[Delivery Days]]&lt;=4, "Standard (3-4d)", "Delayed (5d+)"))</f>
        <v>Standard (3-4d)</v>
      </c>
      <c r="AE1965">
        <v>4</v>
      </c>
      <c r="AF1965">
        <v>0</v>
      </c>
    </row>
    <row r="1966" spans="1:32" ht="15" x14ac:dyDescent="0.35">
      <c r="A1966" t="s">
        <v>4261</v>
      </c>
      <c r="B1966" s="1">
        <v>45636</v>
      </c>
      <c r="C1966">
        <f>YEAR(OrdersTable[[#This Row],[Order Date]])</f>
        <v>2024</v>
      </c>
      <c r="D1966" s="2">
        <f>DATE(YEAR(OrdersTable[[#This Row],[Order Date]]),MONTH(OrdersTable[[#This Row],[Order Date]]),1)</f>
        <v>45627</v>
      </c>
      <c r="E1966">
        <f>MONTH(OrdersTable[[#This Row],[Order Date]])</f>
        <v>12</v>
      </c>
      <c r="F1966" t="s">
        <v>4262</v>
      </c>
      <c r="G1966" t="str">
        <f>IF(OrdersTable[[#This Row],[Order Date]]=_xlfn.MINIFS(Order_Date, Customer_ID, OrdersTable[[#This Row],[Customer ID]]), "New", "Repeat")</f>
        <v>New</v>
      </c>
      <c r="H1966" t="s">
        <v>14</v>
      </c>
      <c r="I1966" t="str">
        <f>INDEX(State!B:B,MATCH(OrdersTable[[#This Row],[State]],State!A:A,0))</f>
        <v>OD</v>
      </c>
      <c r="J1966" t="str">
        <f>INDEX(State!C:C,MATCH(OrdersTable[[#This Row],[State Code]],State!B:B,0))</f>
        <v>East</v>
      </c>
      <c r="K1966" t="s">
        <v>15</v>
      </c>
      <c r="L1966" t="s">
        <v>16</v>
      </c>
      <c r="M1966" t="s">
        <v>17</v>
      </c>
      <c r="N1966" t="str">
        <f>INDEX(Products!B:B,MATCH(OrdersTable[[#This Row],[Product ID]],Products!A:A,0))</f>
        <v>Casual Sneakers</v>
      </c>
      <c r="O1966" t="str">
        <f>INDEX(Products!C:C,MATCH(OrdersTable[[#This Row],[Product ID]],Products!A:A,0))</f>
        <v>Footwear</v>
      </c>
      <c r="P1966">
        <v>1</v>
      </c>
      <c r="Q1966" s="5">
        <v>2199</v>
      </c>
      <c r="R1966" s="74">
        <v>0.25</v>
      </c>
      <c r="S1966" s="75">
        <f>OrdersTable[[#This Row],[Quantity]]*OrdersTable[[#This Row],[Unit Price]]</f>
        <v>2199</v>
      </c>
      <c r="T1966" s="5">
        <f>OrdersTable[[#This Row],[Gross Sale]]*OrdersTable[[#This Row],[Discount_Clean2]]</f>
        <v>549.75</v>
      </c>
      <c r="U1966" s="5">
        <f>OrdersTable[[#This Row],[Gross Sale]]-OrdersTable[[#This Row],[Discount Amount]]</f>
        <v>1649.25</v>
      </c>
      <c r="V1966" s="77">
        <f>INDEX(Products!E:E,MATCH(OrdersTable[[#This Row],[Product ID]],Products!A:A,0))</f>
        <v>1034</v>
      </c>
      <c r="W1966" s="77">
        <f>OrdersTable[[#This Row],[Quantity]]*OrdersTable[[#This Row],[Unit Cost]]</f>
        <v>1034</v>
      </c>
      <c r="X1966" s="77">
        <f>'Dropdown Lists'!$I$2*(1+OrdersTable[[#This Row],[Returned]])</f>
        <v>60</v>
      </c>
      <c r="Y1966" s="76">
        <f>OrdersTable[[#This Row],[Net Revenue]]-OrdersTable[[#This Row],[COGS]]-OrdersTable[[#This Row],[Shipping Cost]]</f>
        <v>555.25</v>
      </c>
      <c r="Z1966" s="78">
        <f>IFERROR(OrdersTable[[#This Row],[Profit]]/OrdersTable[[#This Row],[Net Revenue]],0)</f>
        <v>0.33666818250720026</v>
      </c>
      <c r="AA1966" t="s">
        <v>4074</v>
      </c>
      <c r="AB1966" s="79">
        <v>45640</v>
      </c>
      <c r="AC1966">
        <f>OrdersTable[[#This Row],[Delivery Date]]-OrdersTable[[#This Row],[Order Date]]</f>
        <v>4</v>
      </c>
      <c r="AD1966" t="str">
        <f>IF(OrdersTable[[#This Row],[Delivery Days]]&lt;=2, "Express (≤2d)", IF(OrdersTable[[#This Row],[Delivery Days]]&lt;=4, "Standard (3-4d)", "Delayed (5d+)"))</f>
        <v>Standard (3-4d)</v>
      </c>
      <c r="AF1966">
        <v>0</v>
      </c>
    </row>
    <row r="1967" spans="1:32" ht="15" x14ac:dyDescent="0.35">
      <c r="A1967" t="s">
        <v>6325</v>
      </c>
      <c r="B1967" s="1">
        <v>45636</v>
      </c>
      <c r="C1967">
        <f>YEAR(OrdersTable[[#This Row],[Order Date]])</f>
        <v>2024</v>
      </c>
      <c r="D1967" s="2">
        <f>DATE(YEAR(OrdersTable[[#This Row],[Order Date]]),MONTH(OrdersTable[[#This Row],[Order Date]]),1)</f>
        <v>45627</v>
      </c>
      <c r="E1967">
        <f>MONTH(OrdersTable[[#This Row],[Order Date]])</f>
        <v>12</v>
      </c>
      <c r="F1967" t="s">
        <v>955</v>
      </c>
      <c r="G1967" t="str">
        <f>IF(OrdersTable[[#This Row],[Order Date]]=_xlfn.MINIFS(Order_Date, Customer_ID, OrdersTable[[#This Row],[Customer ID]]), "New", "Repeat")</f>
        <v>Repeat</v>
      </c>
      <c r="H1967" t="s">
        <v>275</v>
      </c>
      <c r="I1967" t="str">
        <f>INDEX(State!B:B,MATCH(OrdersTable[[#This Row],[State]],State!A:A,0))</f>
        <v>AP</v>
      </c>
      <c r="J1967" t="str">
        <f>INDEX(State!C:C,MATCH(OrdersTable[[#This Row],[State Code]],State!B:B,0))</f>
        <v>South</v>
      </c>
      <c r="K1967" t="s">
        <v>276</v>
      </c>
      <c r="L1967" t="s">
        <v>16</v>
      </c>
      <c r="M1967" t="s">
        <v>34</v>
      </c>
      <c r="N1967" t="str">
        <f>INDEX(Products!B:B,MATCH(OrdersTable[[#This Row],[Product ID]],Products!A:A,0))</f>
        <v>Flip Flops</v>
      </c>
      <c r="O1967" t="str">
        <f>INDEX(Products!C:C,MATCH(OrdersTable[[#This Row],[Product ID]],Products!A:A,0))</f>
        <v>Footwear</v>
      </c>
      <c r="P1967">
        <v>2</v>
      </c>
      <c r="Q1967" s="5">
        <v>399</v>
      </c>
      <c r="R1967" s="74">
        <v>0.05</v>
      </c>
      <c r="S1967" s="75">
        <f>OrdersTable[[#This Row],[Quantity]]*OrdersTable[[#This Row],[Unit Price]]</f>
        <v>798</v>
      </c>
      <c r="T1967" s="5">
        <f>OrdersTable[[#This Row],[Gross Sale]]*OrdersTable[[#This Row],[Discount_Clean2]]</f>
        <v>39.900000000000006</v>
      </c>
      <c r="U1967" s="5">
        <f>OrdersTable[[#This Row],[Gross Sale]]-OrdersTable[[#This Row],[Discount Amount]]</f>
        <v>758.1</v>
      </c>
      <c r="V1967" s="77">
        <f>INDEX(Products!E:E,MATCH(OrdersTable[[#This Row],[Product ID]],Products!A:A,0))</f>
        <v>152</v>
      </c>
      <c r="W1967" s="77">
        <f>OrdersTable[[#This Row],[Quantity]]*OrdersTable[[#This Row],[Unit Cost]]</f>
        <v>304</v>
      </c>
      <c r="X1967" s="77">
        <f>'Dropdown Lists'!$I$2*(1+OrdersTable[[#This Row],[Returned]])</f>
        <v>60</v>
      </c>
      <c r="Y1967" s="76">
        <f>OrdersTable[[#This Row],[Net Revenue]]-OrdersTable[[#This Row],[COGS]]-OrdersTable[[#This Row],[Shipping Cost]]</f>
        <v>394.1</v>
      </c>
      <c r="Z1967" s="78">
        <f>IFERROR(OrdersTable[[#This Row],[Profit]]/OrdersTable[[#This Row],[Net Revenue]],0)</f>
        <v>0.51985226223453374</v>
      </c>
      <c r="AA1967" t="s">
        <v>18</v>
      </c>
      <c r="AB1967" s="79">
        <v>45638</v>
      </c>
      <c r="AC1967">
        <f>OrdersTable[[#This Row],[Delivery Date]]-OrdersTable[[#This Row],[Order Date]]</f>
        <v>2</v>
      </c>
      <c r="AD1967" t="str">
        <f>IF(OrdersTable[[#This Row],[Delivery Days]]&lt;=2, "Express (≤2d)", IF(OrdersTable[[#This Row],[Delivery Days]]&lt;=4, "Standard (3-4d)", "Delayed (5d+)"))</f>
        <v>Express (≤2d)</v>
      </c>
      <c r="AE1967">
        <v>4</v>
      </c>
      <c r="AF1967">
        <v>0</v>
      </c>
    </row>
    <row r="1968" spans="1:32" ht="15" x14ac:dyDescent="0.35">
      <c r="A1968" t="s">
        <v>1061</v>
      </c>
      <c r="B1968" s="1">
        <v>45636</v>
      </c>
      <c r="C1968">
        <f>YEAR(OrdersTable[[#This Row],[Order Date]])</f>
        <v>2024</v>
      </c>
      <c r="D1968" s="2">
        <f>DATE(YEAR(OrdersTable[[#This Row],[Order Date]]),MONTH(OrdersTable[[#This Row],[Order Date]]),1)</f>
        <v>45627</v>
      </c>
      <c r="E1968">
        <f>MONTH(OrdersTable[[#This Row],[Order Date]])</f>
        <v>12</v>
      </c>
      <c r="F1968" t="s">
        <v>1062</v>
      </c>
      <c r="G1968" t="str">
        <f>IF(OrdersTable[[#This Row],[Order Date]]=_xlfn.MINIFS(Order_Date, Customer_ID, OrdersTable[[#This Row],[Customer ID]]), "New", "Repeat")</f>
        <v>Repeat</v>
      </c>
      <c r="H1968" t="s">
        <v>275</v>
      </c>
      <c r="I1968" t="str">
        <f>INDEX(State!B:B,MATCH(OrdersTable[[#This Row],[State]],State!A:A,0))</f>
        <v>AP</v>
      </c>
      <c r="J1968" t="str">
        <f>INDEX(State!C:C,MATCH(OrdersTable[[#This Row],[State Code]],State!B:B,0))</f>
        <v>South</v>
      </c>
      <c r="K1968" t="s">
        <v>276</v>
      </c>
      <c r="L1968" t="s">
        <v>16</v>
      </c>
      <c r="M1968" t="s">
        <v>176</v>
      </c>
      <c r="N1968" t="str">
        <f>INDEX(Products!B:B,MATCH(OrdersTable[[#This Row],[Product ID]],Products!A:A,0))</f>
        <v>Denim Jacket</v>
      </c>
      <c r="O1968" t="str">
        <f>INDEX(Products!C:C,MATCH(OrdersTable[[#This Row],[Product ID]],Products!A:A,0))</f>
        <v>Apparel</v>
      </c>
      <c r="P1968">
        <v>1</v>
      </c>
      <c r="Q1968" s="5">
        <v>2499</v>
      </c>
      <c r="R1968" s="74">
        <v>0</v>
      </c>
      <c r="S1968" s="75">
        <f>OrdersTable[[#This Row],[Quantity]]*OrdersTable[[#This Row],[Unit Price]]</f>
        <v>2499</v>
      </c>
      <c r="T1968" s="5">
        <f>OrdersTable[[#This Row],[Gross Sale]]*OrdersTable[[#This Row],[Discount_Clean2]]</f>
        <v>0</v>
      </c>
      <c r="U1968" s="5">
        <f>OrdersTable[[#This Row],[Gross Sale]]-OrdersTable[[#This Row],[Discount Amount]]</f>
        <v>2499</v>
      </c>
      <c r="V1968" s="77">
        <f>INDEX(Products!E:E,MATCH(OrdersTable[[#This Row],[Product ID]],Products!A:A,0))</f>
        <v>1125</v>
      </c>
      <c r="W1968" s="77">
        <f>OrdersTable[[#This Row],[Quantity]]*OrdersTable[[#This Row],[Unit Cost]]</f>
        <v>1125</v>
      </c>
      <c r="X1968" s="77">
        <f>'Dropdown Lists'!$I$2*(1+OrdersTable[[#This Row],[Returned]])</f>
        <v>120</v>
      </c>
      <c r="Y1968" s="76">
        <f>OrdersTable[[#This Row],[Net Revenue]]-OrdersTable[[#This Row],[COGS]]-OrdersTable[[#This Row],[Shipping Cost]]</f>
        <v>1254</v>
      </c>
      <c r="Z1968" s="78">
        <f>IFERROR(OrdersTable[[#This Row],[Profit]]/OrdersTable[[#This Row],[Net Revenue]],0)</f>
        <v>0.50180072028811529</v>
      </c>
      <c r="AA1968" t="s">
        <v>18</v>
      </c>
      <c r="AB1968" s="79">
        <v>45639</v>
      </c>
      <c r="AC1968">
        <f>OrdersTable[[#This Row],[Delivery Date]]-OrdersTable[[#This Row],[Order Date]]</f>
        <v>3</v>
      </c>
      <c r="AD1968" t="str">
        <f>IF(OrdersTable[[#This Row],[Delivery Days]]&lt;=2, "Express (≤2d)", IF(OrdersTable[[#This Row],[Delivery Days]]&lt;=4, "Standard (3-4d)", "Delayed (5d+)"))</f>
        <v>Standard (3-4d)</v>
      </c>
      <c r="AE1968">
        <v>4</v>
      </c>
      <c r="AF1968">
        <v>1</v>
      </c>
    </row>
    <row r="1969" spans="1:32" ht="15" x14ac:dyDescent="0.35">
      <c r="A1969" t="s">
        <v>5792</v>
      </c>
      <c r="B1969" s="1">
        <v>45637</v>
      </c>
      <c r="C1969">
        <f>YEAR(OrdersTable[[#This Row],[Order Date]])</f>
        <v>2024</v>
      </c>
      <c r="D1969" s="2">
        <f>DATE(YEAR(OrdersTable[[#This Row],[Order Date]]),MONTH(OrdersTable[[#This Row],[Order Date]]),1)</f>
        <v>45627</v>
      </c>
      <c r="E1969">
        <f>MONTH(OrdersTable[[#This Row],[Order Date]])</f>
        <v>12</v>
      </c>
      <c r="F1969" t="s">
        <v>4093</v>
      </c>
      <c r="G1969" t="str">
        <f>IF(OrdersTable[[#This Row],[Order Date]]=_xlfn.MINIFS(Order_Date, Customer_ID, OrdersTable[[#This Row],[Customer ID]]), "New", "Repeat")</f>
        <v>Repeat</v>
      </c>
      <c r="H1969" t="s">
        <v>54</v>
      </c>
      <c r="I1969" t="str">
        <f>INDEX(State!B:B,MATCH(OrdersTable[[#This Row],[State]],State!A:A,0))</f>
        <v>RJ</v>
      </c>
      <c r="J1969" t="str">
        <f>INDEX(State!C:C,MATCH(OrdersTable[[#This Row],[State Code]],State!B:B,0))</f>
        <v>North</v>
      </c>
      <c r="K1969" t="s">
        <v>227</v>
      </c>
      <c r="L1969" t="s">
        <v>50</v>
      </c>
      <c r="M1969" t="s">
        <v>40</v>
      </c>
      <c r="N1969" t="str">
        <f>INDEX(Products!B:B,MATCH(OrdersTable[[#This Row],[Product ID]],Products!A:A,0))</f>
        <v>Ashwagandha Capsules</v>
      </c>
      <c r="O1969" t="str">
        <f>INDEX(Products!C:C,MATCH(OrdersTable[[#This Row],[Product ID]],Products!A:A,0))</f>
        <v>Wellness</v>
      </c>
      <c r="P1969">
        <v>2</v>
      </c>
      <c r="Q1969" s="5">
        <v>499</v>
      </c>
      <c r="R1969" s="74">
        <v>0</v>
      </c>
      <c r="S1969" s="75">
        <f>OrdersTable[[#This Row],[Quantity]]*OrdersTable[[#This Row],[Unit Price]]</f>
        <v>998</v>
      </c>
      <c r="T1969" s="5">
        <f>OrdersTable[[#This Row],[Gross Sale]]*OrdersTable[[#This Row],[Discount_Clean2]]</f>
        <v>0</v>
      </c>
      <c r="U1969" s="5">
        <f>OrdersTable[[#This Row],[Gross Sale]]-OrdersTable[[#This Row],[Discount Amount]]</f>
        <v>998</v>
      </c>
      <c r="V1969" s="77">
        <f>INDEX(Products!E:E,MATCH(OrdersTable[[#This Row],[Product ID]],Products!A:A,0))</f>
        <v>150</v>
      </c>
      <c r="W1969" s="77">
        <f>OrdersTable[[#This Row],[Quantity]]*OrdersTable[[#This Row],[Unit Cost]]</f>
        <v>300</v>
      </c>
      <c r="X1969" s="77">
        <f>'Dropdown Lists'!$I$2*(1+OrdersTable[[#This Row],[Returned]])</f>
        <v>60</v>
      </c>
      <c r="Y1969" s="76">
        <f>OrdersTable[[#This Row],[Net Revenue]]-OrdersTable[[#This Row],[COGS]]-OrdersTable[[#This Row],[Shipping Cost]]</f>
        <v>638</v>
      </c>
      <c r="Z1969" s="78">
        <f>IFERROR(OrdersTable[[#This Row],[Profit]]/OrdersTable[[#This Row],[Net Revenue]],0)</f>
        <v>0.63927855711422843</v>
      </c>
      <c r="AA1969" t="s">
        <v>18</v>
      </c>
      <c r="AB1969" s="79">
        <v>45643</v>
      </c>
      <c r="AC1969">
        <f>OrdersTable[[#This Row],[Delivery Date]]-OrdersTable[[#This Row],[Order Date]]</f>
        <v>6</v>
      </c>
      <c r="AD1969" t="str">
        <f>IF(OrdersTable[[#This Row],[Delivery Days]]&lt;=2, "Express (≤2d)", IF(OrdersTable[[#This Row],[Delivery Days]]&lt;=4, "Standard (3-4d)", "Delayed (5d+)"))</f>
        <v>Delayed (5d+)</v>
      </c>
      <c r="AE1969">
        <v>5</v>
      </c>
      <c r="AF1969">
        <v>0</v>
      </c>
    </row>
    <row r="1970" spans="1:32" ht="15" x14ac:dyDescent="0.35">
      <c r="A1970" t="s">
        <v>2995</v>
      </c>
      <c r="B1970" s="1">
        <v>45637</v>
      </c>
      <c r="C1970">
        <f>YEAR(OrdersTable[[#This Row],[Order Date]])</f>
        <v>2024</v>
      </c>
      <c r="D1970" s="2">
        <f>DATE(YEAR(OrdersTable[[#This Row],[Order Date]]),MONTH(OrdersTable[[#This Row],[Order Date]]),1)</f>
        <v>45627</v>
      </c>
      <c r="E1970">
        <f>MONTH(OrdersTable[[#This Row],[Order Date]])</f>
        <v>12</v>
      </c>
      <c r="F1970" t="s">
        <v>2996</v>
      </c>
      <c r="G1970" t="str">
        <f>IF(OrdersTable[[#This Row],[Order Date]]=_xlfn.MINIFS(Order_Date, Customer_ID, OrdersTable[[#This Row],[Customer ID]]), "New", "Repeat")</f>
        <v>New</v>
      </c>
      <c r="H1970" t="s">
        <v>48</v>
      </c>
      <c r="I1970" t="str">
        <f>INDEX(State!B:B,MATCH(OrdersTable[[#This Row],[State]],State!A:A,0))</f>
        <v>HR</v>
      </c>
      <c r="J1970" t="str">
        <f>INDEX(State!C:C,MATCH(OrdersTable[[#This Row],[State Code]],State!B:B,0))</f>
        <v>North</v>
      </c>
      <c r="K1970" t="s">
        <v>49</v>
      </c>
      <c r="L1970" t="s">
        <v>65</v>
      </c>
      <c r="M1970" t="s">
        <v>565</v>
      </c>
      <c r="N1970" t="str">
        <f>INDEX(Products!B:B,MATCH(OrdersTable[[#This Row],[Product ID]],Products!A:A,0))</f>
        <v>Ceramic Dinner Set</v>
      </c>
      <c r="O1970" t="str">
        <f>INDEX(Products!C:C,MATCH(OrdersTable[[#This Row],[Product ID]],Products!A:A,0))</f>
        <v>Home &amp; Kitchen</v>
      </c>
      <c r="P1970">
        <v>1</v>
      </c>
      <c r="Q1970" s="5">
        <v>2499</v>
      </c>
      <c r="R1970" s="74">
        <v>0.25</v>
      </c>
      <c r="S1970" s="75">
        <f>OrdersTable[[#This Row],[Quantity]]*OrdersTable[[#This Row],[Unit Price]]</f>
        <v>2499</v>
      </c>
      <c r="T1970" s="5">
        <f>OrdersTable[[#This Row],[Gross Sale]]*OrdersTable[[#This Row],[Discount_Clean2]]</f>
        <v>624.75</v>
      </c>
      <c r="U1970" s="5">
        <f>OrdersTable[[#This Row],[Gross Sale]]-OrdersTable[[#This Row],[Discount Amount]]</f>
        <v>1874.25</v>
      </c>
      <c r="V1970" s="77">
        <f>INDEX(Products!E:E,MATCH(OrdersTable[[#This Row],[Product ID]],Products!A:A,0))</f>
        <v>1250</v>
      </c>
      <c r="W1970" s="77">
        <f>OrdersTable[[#This Row],[Quantity]]*OrdersTable[[#This Row],[Unit Cost]]</f>
        <v>1250</v>
      </c>
      <c r="X1970" s="77">
        <f>'Dropdown Lists'!$I$2*(1+OrdersTable[[#This Row],[Returned]])</f>
        <v>60</v>
      </c>
      <c r="Y1970" s="76">
        <f>OrdersTable[[#This Row],[Net Revenue]]-OrdersTable[[#This Row],[COGS]]-OrdersTable[[#This Row],[Shipping Cost]]</f>
        <v>564.25</v>
      </c>
      <c r="Z1970" s="78">
        <f>IFERROR(OrdersTable[[#This Row],[Profit]]/OrdersTable[[#This Row],[Net Revenue]],0)</f>
        <v>0.30105375483526742</v>
      </c>
      <c r="AA1970" t="s">
        <v>2522</v>
      </c>
      <c r="AB1970" s="79">
        <v>45641</v>
      </c>
      <c r="AC1970">
        <f>OrdersTable[[#This Row],[Delivery Date]]-OrdersTable[[#This Row],[Order Date]]</f>
        <v>4</v>
      </c>
      <c r="AD1970" t="str">
        <f>IF(OrdersTable[[#This Row],[Delivery Days]]&lt;=2, "Express (≤2d)", IF(OrdersTable[[#This Row],[Delivery Days]]&lt;=4, "Standard (3-4d)", "Delayed (5d+)"))</f>
        <v>Standard (3-4d)</v>
      </c>
      <c r="AF1970">
        <v>0</v>
      </c>
    </row>
    <row r="1971" spans="1:32" ht="15" x14ac:dyDescent="0.35">
      <c r="A1971" t="s">
        <v>1385</v>
      </c>
      <c r="B1971" s="1">
        <v>45637</v>
      </c>
      <c r="C1971">
        <f>YEAR(OrdersTable[[#This Row],[Order Date]])</f>
        <v>2024</v>
      </c>
      <c r="D1971" s="2">
        <f>DATE(YEAR(OrdersTable[[#This Row],[Order Date]]),MONTH(OrdersTable[[#This Row],[Order Date]]),1)</f>
        <v>45627</v>
      </c>
      <c r="E1971">
        <f>MONTH(OrdersTable[[#This Row],[Order Date]])</f>
        <v>12</v>
      </c>
      <c r="F1971" t="s">
        <v>1386</v>
      </c>
      <c r="G1971" t="str">
        <f>IF(OrdersTable[[#This Row],[Order Date]]=_xlfn.MINIFS(Order_Date, Customer_ID, OrdersTable[[#This Row],[Customer ID]]), "New", "Repeat")</f>
        <v>Repeat</v>
      </c>
      <c r="H1971" t="s">
        <v>27</v>
      </c>
      <c r="I1971" t="str">
        <f>INDEX(State!B:B,MATCH(OrdersTable[[#This Row],[State]],State!A:A,0))</f>
        <v>WB</v>
      </c>
      <c r="J1971" t="str">
        <f>INDEX(State!C:C,MATCH(OrdersTable[[#This Row],[State Code]],State!B:B,0))</f>
        <v>East</v>
      </c>
      <c r="K1971" t="s">
        <v>28</v>
      </c>
      <c r="L1971" t="s">
        <v>23</v>
      </c>
      <c r="M1971" t="s">
        <v>34</v>
      </c>
      <c r="N1971" t="str">
        <f>INDEX(Products!B:B,MATCH(OrdersTable[[#This Row],[Product ID]],Products!A:A,0))</f>
        <v>Flip Flops</v>
      </c>
      <c r="O1971" t="str">
        <f>INDEX(Products!C:C,MATCH(OrdersTable[[#This Row],[Product ID]],Products!A:A,0))</f>
        <v>Footwear</v>
      </c>
      <c r="P1971">
        <v>1</v>
      </c>
      <c r="Q1971" s="5">
        <v>399</v>
      </c>
      <c r="R1971" s="74">
        <v>0.1</v>
      </c>
      <c r="S1971" s="75">
        <f>OrdersTable[[#This Row],[Quantity]]*OrdersTable[[#This Row],[Unit Price]]</f>
        <v>399</v>
      </c>
      <c r="T1971" s="5">
        <f>OrdersTable[[#This Row],[Gross Sale]]*OrdersTable[[#This Row],[Discount_Clean2]]</f>
        <v>39.900000000000006</v>
      </c>
      <c r="U1971" s="5">
        <f>OrdersTable[[#This Row],[Gross Sale]]-OrdersTable[[#This Row],[Discount Amount]]</f>
        <v>359.1</v>
      </c>
      <c r="V1971" s="77">
        <f>INDEX(Products!E:E,MATCH(OrdersTable[[#This Row],[Product ID]],Products!A:A,0))</f>
        <v>152</v>
      </c>
      <c r="W1971" s="77">
        <f>OrdersTable[[#This Row],[Quantity]]*OrdersTable[[#This Row],[Unit Cost]]</f>
        <v>152</v>
      </c>
      <c r="X1971" s="77">
        <f>'Dropdown Lists'!$I$2*(1+OrdersTable[[#This Row],[Returned]])</f>
        <v>60</v>
      </c>
      <c r="Y1971" s="76">
        <f>OrdersTable[[#This Row],[Net Revenue]]-OrdersTable[[#This Row],[COGS]]-OrdersTable[[#This Row],[Shipping Cost]]</f>
        <v>147.10000000000002</v>
      </c>
      <c r="Z1971" s="78">
        <f>IFERROR(OrdersTable[[#This Row],[Profit]]/OrdersTable[[#This Row],[Net Revenue]],0)</f>
        <v>0.40963519910888335</v>
      </c>
      <c r="AA1971" t="s">
        <v>18</v>
      </c>
      <c r="AB1971" s="79">
        <v>45639</v>
      </c>
      <c r="AC1971">
        <f>OrdersTable[[#This Row],[Delivery Date]]-OrdersTable[[#This Row],[Order Date]]</f>
        <v>2</v>
      </c>
      <c r="AD1971" t="str">
        <f>IF(OrdersTable[[#This Row],[Delivery Days]]&lt;=2, "Express (≤2d)", IF(OrdersTable[[#This Row],[Delivery Days]]&lt;=4, "Standard (3-4d)", "Delayed (5d+)"))</f>
        <v>Express (≤2d)</v>
      </c>
      <c r="AF1971">
        <v>0</v>
      </c>
    </row>
    <row r="1972" spans="1:32" ht="15" x14ac:dyDescent="0.35">
      <c r="A1972" t="s">
        <v>7078</v>
      </c>
      <c r="B1972" s="1">
        <v>45637</v>
      </c>
      <c r="C1972">
        <f>YEAR(OrdersTable[[#This Row],[Order Date]])</f>
        <v>2024</v>
      </c>
      <c r="D1972" s="2">
        <f>DATE(YEAR(OrdersTable[[#This Row],[Order Date]]),MONTH(OrdersTable[[#This Row],[Order Date]]),1)</f>
        <v>45627</v>
      </c>
      <c r="E1972">
        <f>MONTH(OrdersTable[[#This Row],[Order Date]])</f>
        <v>12</v>
      </c>
      <c r="F1972" t="s">
        <v>335</v>
      </c>
      <c r="G1972" t="str">
        <f>IF(OrdersTable[[#This Row],[Order Date]]=_xlfn.MINIFS(Order_Date, Customer_ID, OrdersTable[[#This Row],[Customer ID]]), "New", "Repeat")</f>
        <v>Repeat</v>
      </c>
      <c r="H1972" t="s">
        <v>71</v>
      </c>
      <c r="I1972" t="str">
        <f>INDEX(State!B:B,MATCH(OrdersTable[[#This Row],[State]],State!A:A,0))</f>
        <v>MH</v>
      </c>
      <c r="J1972" t="str">
        <f>INDEX(State!C:C,MATCH(OrdersTable[[#This Row],[State Code]],State!B:B,0))</f>
        <v>West</v>
      </c>
      <c r="K1972" t="s">
        <v>102</v>
      </c>
      <c r="L1972" t="s">
        <v>50</v>
      </c>
      <c r="M1972" t="s">
        <v>109</v>
      </c>
      <c r="N1972" t="str">
        <f>INDEX(Products!B:B,MATCH(OrdersTable[[#This Row],[Product ID]],Products!A:A,0))</f>
        <v>Onion Hair Oil</v>
      </c>
      <c r="O1972" t="str">
        <f>INDEX(Products!C:C,MATCH(OrdersTable[[#This Row],[Product ID]],Products!A:A,0))</f>
        <v>Haircare</v>
      </c>
      <c r="P1972">
        <v>4</v>
      </c>
      <c r="Q1972" s="5">
        <v>349</v>
      </c>
      <c r="R1972" s="74">
        <v>0.3</v>
      </c>
      <c r="S1972" s="75">
        <f>OrdersTable[[#This Row],[Quantity]]*OrdersTable[[#This Row],[Unit Price]]</f>
        <v>1396</v>
      </c>
      <c r="T1972" s="5">
        <f>OrdersTable[[#This Row],[Gross Sale]]*OrdersTable[[#This Row],[Discount_Clean2]]</f>
        <v>418.8</v>
      </c>
      <c r="U1972" s="5">
        <f>OrdersTable[[#This Row],[Gross Sale]]-OrdersTable[[#This Row],[Discount Amount]]</f>
        <v>977.2</v>
      </c>
      <c r="V1972" s="77">
        <f>INDEX(Products!E:E,MATCH(OrdersTable[[#This Row],[Product ID]],Products!A:A,0))</f>
        <v>105</v>
      </c>
      <c r="W1972" s="77">
        <f>OrdersTable[[#This Row],[Quantity]]*OrdersTable[[#This Row],[Unit Cost]]</f>
        <v>420</v>
      </c>
      <c r="X1972" s="77">
        <f>'Dropdown Lists'!$I$2*(1+OrdersTable[[#This Row],[Returned]])</f>
        <v>60</v>
      </c>
      <c r="Y1972" s="76">
        <f>OrdersTable[[#This Row],[Net Revenue]]-OrdersTable[[#This Row],[COGS]]-OrdersTable[[#This Row],[Shipping Cost]]</f>
        <v>497.20000000000005</v>
      </c>
      <c r="Z1972" s="78">
        <f>IFERROR(OrdersTable[[#This Row],[Profit]]/OrdersTable[[#This Row],[Net Revenue]],0)</f>
        <v>0.50880065493246007</v>
      </c>
      <c r="AA1972" t="s">
        <v>18</v>
      </c>
      <c r="AB1972" s="79">
        <v>45639</v>
      </c>
      <c r="AC1972">
        <f>OrdersTable[[#This Row],[Delivery Date]]-OrdersTable[[#This Row],[Order Date]]</f>
        <v>2</v>
      </c>
      <c r="AD1972" t="str">
        <f>IF(OrdersTable[[#This Row],[Delivery Days]]&lt;=2, "Express (≤2d)", IF(OrdersTable[[#This Row],[Delivery Days]]&lt;=4, "Standard (3-4d)", "Delayed (5d+)"))</f>
        <v>Express (≤2d)</v>
      </c>
      <c r="AE1972">
        <v>4</v>
      </c>
      <c r="AF1972">
        <v>0</v>
      </c>
    </row>
    <row r="1973" spans="1:32" ht="15" x14ac:dyDescent="0.35">
      <c r="A1973" t="s">
        <v>231</v>
      </c>
      <c r="B1973" s="1">
        <v>45637</v>
      </c>
      <c r="C1973">
        <f>YEAR(OrdersTable[[#This Row],[Order Date]])</f>
        <v>2024</v>
      </c>
      <c r="D1973" s="2">
        <f>DATE(YEAR(OrdersTable[[#This Row],[Order Date]]),MONTH(OrdersTable[[#This Row],[Order Date]]),1)</f>
        <v>45627</v>
      </c>
      <c r="E1973">
        <f>MONTH(OrdersTable[[#This Row],[Order Date]])</f>
        <v>12</v>
      </c>
      <c r="F1973" t="s">
        <v>232</v>
      </c>
      <c r="G1973" t="str">
        <f>IF(OrdersTable[[#This Row],[Order Date]]=_xlfn.MINIFS(Order_Date, Customer_ID, OrdersTable[[#This Row],[Customer ID]]), "New", "Repeat")</f>
        <v>New</v>
      </c>
      <c r="H1973" t="s">
        <v>71</v>
      </c>
      <c r="I1973" t="str">
        <f>INDEX(State!B:B,MATCH(OrdersTable[[#This Row],[State]],State!A:A,0))</f>
        <v>MH</v>
      </c>
      <c r="J1973" t="str">
        <f>INDEX(State!C:C,MATCH(OrdersTable[[#This Row],[State Code]],State!B:B,0))</f>
        <v>West</v>
      </c>
      <c r="K1973" t="s">
        <v>81</v>
      </c>
      <c r="L1973" t="s">
        <v>23</v>
      </c>
      <c r="M1973" t="s">
        <v>125</v>
      </c>
      <c r="N1973" t="str">
        <f>INDEX(Products!B:B,MATCH(OrdersTable[[#This Row],[Product ID]],Products!A:A,0))</f>
        <v>Copper Water Bottle</v>
      </c>
      <c r="O1973" t="str">
        <f>INDEX(Products!C:C,MATCH(OrdersTable[[#This Row],[Product ID]],Products!A:A,0))</f>
        <v>Home &amp; Kitchen</v>
      </c>
      <c r="P1973">
        <v>1</v>
      </c>
      <c r="Q1973" s="5">
        <v>899</v>
      </c>
      <c r="R1973" s="74">
        <v>0.15</v>
      </c>
      <c r="S1973" s="75">
        <f>OrdersTable[[#This Row],[Quantity]]*OrdersTable[[#This Row],[Unit Price]]</f>
        <v>899</v>
      </c>
      <c r="T1973" s="5">
        <f>OrdersTable[[#This Row],[Gross Sale]]*OrdersTable[[#This Row],[Discount_Clean2]]</f>
        <v>134.85</v>
      </c>
      <c r="U1973" s="5">
        <f>OrdersTable[[#This Row],[Gross Sale]]-OrdersTable[[#This Row],[Discount Amount]]</f>
        <v>764.15</v>
      </c>
      <c r="V1973" s="77">
        <f>INDEX(Products!E:E,MATCH(OrdersTable[[#This Row],[Product ID]],Products!A:A,0))</f>
        <v>378</v>
      </c>
      <c r="W1973" s="77">
        <f>OrdersTable[[#This Row],[Quantity]]*OrdersTable[[#This Row],[Unit Cost]]</f>
        <v>378</v>
      </c>
      <c r="X1973" s="77">
        <f>'Dropdown Lists'!$I$2*(1+OrdersTable[[#This Row],[Returned]])</f>
        <v>60</v>
      </c>
      <c r="Y1973" s="76">
        <f>OrdersTable[[#This Row],[Net Revenue]]-OrdersTable[[#This Row],[COGS]]-OrdersTable[[#This Row],[Shipping Cost]]</f>
        <v>326.14999999999998</v>
      </c>
      <c r="Z1973" s="78">
        <f>IFERROR(OrdersTable[[#This Row],[Profit]]/OrdersTable[[#This Row],[Net Revenue]],0)</f>
        <v>0.42681410717791007</v>
      </c>
      <c r="AA1973" t="s">
        <v>18</v>
      </c>
      <c r="AB1973" s="79">
        <v>45640</v>
      </c>
      <c r="AC1973">
        <f>OrdersTable[[#This Row],[Delivery Date]]-OrdersTable[[#This Row],[Order Date]]</f>
        <v>3</v>
      </c>
      <c r="AD1973" t="str">
        <f>IF(OrdersTable[[#This Row],[Delivery Days]]&lt;=2, "Express (≤2d)", IF(OrdersTable[[#This Row],[Delivery Days]]&lt;=4, "Standard (3-4d)", "Delayed (5d+)"))</f>
        <v>Standard (3-4d)</v>
      </c>
      <c r="AE1973">
        <v>4</v>
      </c>
      <c r="AF1973">
        <v>0</v>
      </c>
    </row>
    <row r="1974" spans="1:32" ht="15" x14ac:dyDescent="0.35">
      <c r="A1974" t="s">
        <v>4380</v>
      </c>
      <c r="B1974" s="1">
        <v>45637</v>
      </c>
      <c r="C1974">
        <f>YEAR(OrdersTable[[#This Row],[Order Date]])</f>
        <v>2024</v>
      </c>
      <c r="D1974" s="2">
        <f>DATE(YEAR(OrdersTable[[#This Row],[Order Date]]),MONTH(OrdersTable[[#This Row],[Order Date]]),1)</f>
        <v>45627</v>
      </c>
      <c r="E1974">
        <f>MONTH(OrdersTable[[#This Row],[Order Date]])</f>
        <v>12</v>
      </c>
      <c r="F1974" t="s">
        <v>4381</v>
      </c>
      <c r="G1974" t="str">
        <f>IF(OrdersTable[[#This Row],[Order Date]]=_xlfn.MINIFS(Order_Date, Customer_ID, OrdersTable[[#This Row],[Customer ID]]), "New", "Repeat")</f>
        <v>New</v>
      </c>
      <c r="H1974" t="s">
        <v>95</v>
      </c>
      <c r="I1974" t="str">
        <f>INDEX(State!B:B,MATCH(OrdersTable[[#This Row],[State]],State!A:A,0))</f>
        <v>TG</v>
      </c>
      <c r="J1974" t="str">
        <f>INDEX(State!C:C,MATCH(OrdersTable[[#This Row],[State Code]],State!B:B,0))</f>
        <v>South</v>
      </c>
      <c r="K1974" t="s">
        <v>96</v>
      </c>
      <c r="L1974" t="s">
        <v>65</v>
      </c>
      <c r="M1974" t="s">
        <v>29</v>
      </c>
      <c r="N1974" t="str">
        <f>INDEX(Products!B:B,MATCH(OrdersTable[[#This Row],[Product ID]],Products!A:A,0))</f>
        <v>Joggers</v>
      </c>
      <c r="O1974" t="str">
        <f>INDEX(Products!C:C,MATCH(OrdersTable[[#This Row],[Product ID]],Products!A:A,0))</f>
        <v>Apparel</v>
      </c>
      <c r="P1974">
        <v>1</v>
      </c>
      <c r="Q1974" s="5">
        <v>1199</v>
      </c>
      <c r="R1974" s="74">
        <v>0.1</v>
      </c>
      <c r="S1974" s="75">
        <f>OrdersTable[[#This Row],[Quantity]]*OrdersTable[[#This Row],[Unit Price]]</f>
        <v>1199</v>
      </c>
      <c r="T1974" s="5">
        <f>OrdersTable[[#This Row],[Gross Sale]]*OrdersTable[[#This Row],[Discount_Clean2]]</f>
        <v>119.9</v>
      </c>
      <c r="U1974" s="5">
        <f>OrdersTable[[#This Row],[Gross Sale]]-OrdersTable[[#This Row],[Discount Amount]]</f>
        <v>1079.0999999999999</v>
      </c>
      <c r="V1974" s="77">
        <f>INDEX(Products!E:E,MATCH(OrdersTable[[#This Row],[Product ID]],Products!A:A,0))</f>
        <v>492</v>
      </c>
      <c r="W1974" s="77">
        <f>OrdersTable[[#This Row],[Quantity]]*OrdersTable[[#This Row],[Unit Cost]]</f>
        <v>492</v>
      </c>
      <c r="X1974" s="77">
        <f>'Dropdown Lists'!$I$2*(1+OrdersTable[[#This Row],[Returned]])</f>
        <v>60</v>
      </c>
      <c r="Y1974" s="76">
        <f>OrdersTable[[#This Row],[Net Revenue]]-OrdersTable[[#This Row],[COGS]]-OrdersTable[[#This Row],[Shipping Cost]]</f>
        <v>527.09999999999991</v>
      </c>
      <c r="Z1974" s="78">
        <f>IFERROR(OrdersTable[[#This Row],[Profit]]/OrdersTable[[#This Row],[Net Revenue]],0)</f>
        <v>0.48846260772866273</v>
      </c>
      <c r="AA1974" t="s">
        <v>4074</v>
      </c>
      <c r="AB1974" s="79">
        <v>45638</v>
      </c>
      <c r="AC1974">
        <f>OrdersTable[[#This Row],[Delivery Date]]-OrdersTable[[#This Row],[Order Date]]</f>
        <v>1</v>
      </c>
      <c r="AD1974" t="str">
        <f>IF(OrdersTable[[#This Row],[Delivery Days]]&lt;=2, "Express (≤2d)", IF(OrdersTable[[#This Row],[Delivery Days]]&lt;=4, "Standard (3-4d)", "Delayed (5d+)"))</f>
        <v>Express (≤2d)</v>
      </c>
      <c r="AE1974">
        <v>4</v>
      </c>
      <c r="AF1974">
        <v>0</v>
      </c>
    </row>
    <row r="1975" spans="1:32" ht="15" x14ac:dyDescent="0.35">
      <c r="A1975" t="s">
        <v>4961</v>
      </c>
      <c r="B1975" s="1">
        <v>45637</v>
      </c>
      <c r="C1975">
        <f>YEAR(OrdersTable[[#This Row],[Order Date]])</f>
        <v>2024</v>
      </c>
      <c r="D1975" s="2">
        <f>DATE(YEAR(OrdersTable[[#This Row],[Order Date]]),MONTH(OrdersTable[[#This Row],[Order Date]]),1)</f>
        <v>45627</v>
      </c>
      <c r="E1975">
        <f>MONTH(OrdersTable[[#This Row],[Order Date]])</f>
        <v>12</v>
      </c>
      <c r="F1975" t="s">
        <v>1021</v>
      </c>
      <c r="G1975" t="str">
        <f>IF(OrdersTable[[#This Row],[Order Date]]=_xlfn.MINIFS(Order_Date, Customer_ID, OrdersTable[[#This Row],[Customer ID]]), "New", "Repeat")</f>
        <v>Repeat</v>
      </c>
      <c r="H1975" t="s">
        <v>167</v>
      </c>
      <c r="I1975" t="str">
        <f>INDEX(State!B:B,MATCH(OrdersTable[[#This Row],[State]],State!A:A,0))</f>
        <v>KA</v>
      </c>
      <c r="J1975" t="str">
        <f>INDEX(State!C:C,MATCH(OrdersTable[[#This Row],[State Code]],State!B:B,0))</f>
        <v>South</v>
      </c>
      <c r="K1975" t="s">
        <v>168</v>
      </c>
      <c r="L1975" t="s">
        <v>16</v>
      </c>
      <c r="M1975" t="s">
        <v>255</v>
      </c>
      <c r="N1975" t="str">
        <f>INDEX(Products!B:B,MATCH(OrdersTable[[#This Row],[Product ID]],Products!A:A,0))</f>
        <v>Cotton Oversized T-Shirt</v>
      </c>
      <c r="O1975" t="str">
        <f>INDEX(Products!C:C,MATCH(OrdersTable[[#This Row],[Product ID]],Products!A:A,0))</f>
        <v>Apparel</v>
      </c>
      <c r="P1975">
        <v>2</v>
      </c>
      <c r="Q1975" s="5">
        <v>799</v>
      </c>
      <c r="R1975" s="74">
        <v>0</v>
      </c>
      <c r="S1975" s="75">
        <f>OrdersTable[[#This Row],[Quantity]]*OrdersTable[[#This Row],[Unit Price]]</f>
        <v>1598</v>
      </c>
      <c r="T1975" s="5">
        <f>OrdersTable[[#This Row],[Gross Sale]]*OrdersTable[[#This Row],[Discount_Clean2]]</f>
        <v>0</v>
      </c>
      <c r="U1975" s="5">
        <f>OrdersTable[[#This Row],[Gross Sale]]-OrdersTable[[#This Row],[Discount Amount]]</f>
        <v>1598</v>
      </c>
      <c r="V1975" s="77">
        <f>INDEX(Products!E:E,MATCH(OrdersTable[[#This Row],[Product ID]],Products!A:A,0))</f>
        <v>320</v>
      </c>
      <c r="W1975" s="77">
        <f>OrdersTable[[#This Row],[Quantity]]*OrdersTable[[#This Row],[Unit Cost]]</f>
        <v>640</v>
      </c>
      <c r="X1975" s="77">
        <f>'Dropdown Lists'!$I$2*(1+OrdersTable[[#This Row],[Returned]])</f>
        <v>60</v>
      </c>
      <c r="Y1975" s="76">
        <f>OrdersTable[[#This Row],[Net Revenue]]-OrdersTable[[#This Row],[COGS]]-OrdersTable[[#This Row],[Shipping Cost]]</f>
        <v>898</v>
      </c>
      <c r="Z1975" s="78">
        <f>IFERROR(OrdersTable[[#This Row],[Profit]]/OrdersTable[[#This Row],[Net Revenue]],0)</f>
        <v>0.56195244055068838</v>
      </c>
      <c r="AA1975" t="s">
        <v>4074</v>
      </c>
      <c r="AB1975" s="79">
        <v>45640</v>
      </c>
      <c r="AC1975">
        <f>OrdersTable[[#This Row],[Delivery Date]]-OrdersTable[[#This Row],[Order Date]]</f>
        <v>3</v>
      </c>
      <c r="AD1975" t="str">
        <f>IF(OrdersTable[[#This Row],[Delivery Days]]&lt;=2, "Express (≤2d)", IF(OrdersTable[[#This Row],[Delivery Days]]&lt;=4, "Standard (3-4d)", "Delayed (5d+)"))</f>
        <v>Standard (3-4d)</v>
      </c>
      <c r="AF1975">
        <v>0</v>
      </c>
    </row>
    <row r="1976" spans="1:32" ht="15" x14ac:dyDescent="0.35">
      <c r="A1976" t="s">
        <v>5916</v>
      </c>
      <c r="B1976" s="1">
        <v>45637</v>
      </c>
      <c r="C1976">
        <f>YEAR(OrdersTable[[#This Row],[Order Date]])</f>
        <v>2024</v>
      </c>
      <c r="D1976" s="2">
        <f>DATE(YEAR(OrdersTable[[#This Row],[Order Date]]),MONTH(OrdersTable[[#This Row],[Order Date]]),1)</f>
        <v>45627</v>
      </c>
      <c r="E1976">
        <f>MONTH(OrdersTable[[#This Row],[Order Date]])</f>
        <v>12</v>
      </c>
      <c r="F1976" t="s">
        <v>5144</v>
      </c>
      <c r="G1976" t="str">
        <f>IF(OrdersTable[[#This Row],[Order Date]]=_xlfn.MINIFS(Order_Date, Customer_ID, OrdersTable[[#This Row],[Customer ID]]), "New", "Repeat")</f>
        <v>Repeat</v>
      </c>
      <c r="H1976" t="s">
        <v>59</v>
      </c>
      <c r="I1976" t="str">
        <f>INDEX(State!B:B,MATCH(OrdersTable[[#This Row],[State]],State!A:A,0))</f>
        <v>TN</v>
      </c>
      <c r="J1976" t="str">
        <f>INDEX(State!C:C,MATCH(OrdersTable[[#This Row],[State Code]],State!B:B,0))</f>
        <v>South</v>
      </c>
      <c r="K1976" t="s">
        <v>60</v>
      </c>
      <c r="L1976" t="s">
        <v>65</v>
      </c>
      <c r="M1976" t="s">
        <v>24</v>
      </c>
      <c r="N1976" t="str">
        <f>INDEX(Products!B:B,MATCH(OrdersTable[[#This Row],[Product ID]],Products!A:A,0))</f>
        <v>Scented Candle Set</v>
      </c>
      <c r="O1976" t="str">
        <f>INDEX(Products!C:C,MATCH(OrdersTable[[#This Row],[Product ID]],Products!A:A,0))</f>
        <v>Home &amp; Kitchen</v>
      </c>
      <c r="P1976">
        <v>2</v>
      </c>
      <c r="Q1976" s="5">
        <v>699</v>
      </c>
      <c r="R1976" s="74">
        <v>0.3</v>
      </c>
      <c r="S1976" s="75">
        <f>OrdersTable[[#This Row],[Quantity]]*OrdersTable[[#This Row],[Unit Price]]</f>
        <v>1398</v>
      </c>
      <c r="T1976" s="5">
        <f>OrdersTable[[#This Row],[Gross Sale]]*OrdersTable[[#This Row],[Discount_Clean2]]</f>
        <v>419.4</v>
      </c>
      <c r="U1976" s="5">
        <f>OrdersTable[[#This Row],[Gross Sale]]-OrdersTable[[#This Row],[Discount Amount]]</f>
        <v>978.6</v>
      </c>
      <c r="V1976" s="77">
        <f>INDEX(Products!E:E,MATCH(OrdersTable[[#This Row],[Product ID]],Products!A:A,0))</f>
        <v>245</v>
      </c>
      <c r="W1976" s="77">
        <f>OrdersTable[[#This Row],[Quantity]]*OrdersTable[[#This Row],[Unit Cost]]</f>
        <v>490</v>
      </c>
      <c r="X1976" s="77">
        <f>'Dropdown Lists'!$I$2*(1+OrdersTable[[#This Row],[Returned]])</f>
        <v>60</v>
      </c>
      <c r="Y1976" s="76">
        <f>OrdersTable[[#This Row],[Net Revenue]]-OrdersTable[[#This Row],[COGS]]-OrdersTable[[#This Row],[Shipping Cost]]</f>
        <v>428.6</v>
      </c>
      <c r="Z1976" s="78">
        <f>IFERROR(OrdersTable[[#This Row],[Profit]]/OrdersTable[[#This Row],[Net Revenue]],0)</f>
        <v>0.43797261393827919</v>
      </c>
      <c r="AA1976" t="s">
        <v>18</v>
      </c>
      <c r="AB1976" s="79">
        <v>45639</v>
      </c>
      <c r="AC1976">
        <f>OrdersTable[[#This Row],[Delivery Date]]-OrdersTable[[#This Row],[Order Date]]</f>
        <v>2</v>
      </c>
      <c r="AD1976" t="str">
        <f>IF(OrdersTable[[#This Row],[Delivery Days]]&lt;=2, "Express (≤2d)", IF(OrdersTable[[#This Row],[Delivery Days]]&lt;=4, "Standard (3-4d)", "Delayed (5d+)"))</f>
        <v>Express (≤2d)</v>
      </c>
      <c r="AF1976">
        <v>0</v>
      </c>
    </row>
    <row r="1977" spans="1:32" ht="15" x14ac:dyDescent="0.35">
      <c r="A1977" t="s">
        <v>2997</v>
      </c>
      <c r="B1977" s="1">
        <v>45638</v>
      </c>
      <c r="C1977">
        <f>YEAR(OrdersTable[[#This Row],[Order Date]])</f>
        <v>2024</v>
      </c>
      <c r="D1977" s="2">
        <f>DATE(YEAR(OrdersTable[[#This Row],[Order Date]]),MONTH(OrdersTable[[#This Row],[Order Date]]),1)</f>
        <v>45627</v>
      </c>
      <c r="E1977">
        <f>MONTH(OrdersTable[[#This Row],[Order Date]])</f>
        <v>12</v>
      </c>
      <c r="F1977" t="s">
        <v>2096</v>
      </c>
      <c r="G1977" t="str">
        <f>IF(OrdersTable[[#This Row],[Order Date]]=_xlfn.MINIFS(Order_Date, Customer_ID, OrdersTable[[#This Row],[Customer ID]]), "New", "Repeat")</f>
        <v>Repeat</v>
      </c>
      <c r="H1977" t="s">
        <v>54</v>
      </c>
      <c r="I1977" t="str">
        <f>INDEX(State!B:B,MATCH(OrdersTable[[#This Row],[State]],State!A:A,0))</f>
        <v>RJ</v>
      </c>
      <c r="J1977" t="str">
        <f>INDEX(State!C:C,MATCH(OrdersTable[[#This Row],[State Code]],State!B:B,0))</f>
        <v>North</v>
      </c>
      <c r="K1977" t="s">
        <v>55</v>
      </c>
      <c r="L1977" t="s">
        <v>39</v>
      </c>
      <c r="M1977" t="s">
        <v>66</v>
      </c>
      <c r="N1977" t="str">
        <f>INDEX(Products!B:B,MATCH(OrdersTable[[#This Row],[Product ID]],Products!A:A,0))</f>
        <v>Sunscreen SPF 50</v>
      </c>
      <c r="O1977" t="str">
        <f>INDEX(Products!C:C,MATCH(OrdersTable[[#This Row],[Product ID]],Products!A:A,0))</f>
        <v>Skincare</v>
      </c>
      <c r="P1977">
        <v>1</v>
      </c>
      <c r="Q1977" s="5">
        <v>449</v>
      </c>
      <c r="R1977" s="74">
        <v>0</v>
      </c>
      <c r="S1977" s="75">
        <f>OrdersTable[[#This Row],[Quantity]]*OrdersTable[[#This Row],[Unit Price]]</f>
        <v>449</v>
      </c>
      <c r="T1977" s="5">
        <f>OrdersTable[[#This Row],[Gross Sale]]*OrdersTable[[#This Row],[Discount_Clean2]]</f>
        <v>0</v>
      </c>
      <c r="U1977" s="5">
        <f>OrdersTable[[#This Row],[Gross Sale]]-OrdersTable[[#This Row],[Discount Amount]]</f>
        <v>449</v>
      </c>
      <c r="V1977" s="77">
        <f>INDEX(Products!E:E,MATCH(OrdersTable[[#This Row],[Product ID]],Products!A:A,0))</f>
        <v>144</v>
      </c>
      <c r="W1977" s="77">
        <f>OrdersTable[[#This Row],[Quantity]]*OrdersTable[[#This Row],[Unit Cost]]</f>
        <v>144</v>
      </c>
      <c r="X1977" s="77">
        <f>'Dropdown Lists'!$I$2*(1+OrdersTable[[#This Row],[Returned]])</f>
        <v>60</v>
      </c>
      <c r="Y1977" s="76">
        <f>OrdersTable[[#This Row],[Net Revenue]]-OrdersTable[[#This Row],[COGS]]-OrdersTable[[#This Row],[Shipping Cost]]</f>
        <v>245</v>
      </c>
      <c r="Z1977" s="78">
        <f>IFERROR(OrdersTable[[#This Row],[Profit]]/OrdersTable[[#This Row],[Net Revenue]],0)</f>
        <v>0.54565701559020041</v>
      </c>
      <c r="AA1977" t="s">
        <v>2522</v>
      </c>
      <c r="AB1977" s="79">
        <v>45643</v>
      </c>
      <c r="AC1977">
        <f>OrdersTable[[#This Row],[Delivery Date]]-OrdersTable[[#This Row],[Order Date]]</f>
        <v>5</v>
      </c>
      <c r="AD1977" t="str">
        <f>IF(OrdersTable[[#This Row],[Delivery Days]]&lt;=2, "Express (≤2d)", IF(OrdersTable[[#This Row],[Delivery Days]]&lt;=4, "Standard (3-4d)", "Delayed (5d+)"))</f>
        <v>Delayed (5d+)</v>
      </c>
      <c r="AF1977">
        <v>0</v>
      </c>
    </row>
    <row r="1978" spans="1:32" ht="15" x14ac:dyDescent="0.35">
      <c r="A1978" t="s">
        <v>5917</v>
      </c>
      <c r="B1978" s="1">
        <v>45638</v>
      </c>
      <c r="C1978">
        <f>YEAR(OrdersTable[[#This Row],[Order Date]])</f>
        <v>2024</v>
      </c>
      <c r="D1978" s="2">
        <f>DATE(YEAR(OrdersTable[[#This Row],[Order Date]]),MONTH(OrdersTable[[#This Row],[Order Date]]),1)</f>
        <v>45627</v>
      </c>
      <c r="E1978">
        <f>MONTH(OrdersTable[[#This Row],[Order Date]])</f>
        <v>12</v>
      </c>
      <c r="F1978" t="s">
        <v>1704</v>
      </c>
      <c r="G1978" t="str">
        <f>IF(OrdersTable[[#This Row],[Order Date]]=_xlfn.MINIFS(Order_Date, Customer_ID, OrdersTable[[#This Row],[Customer ID]]), "New", "Repeat")</f>
        <v>New</v>
      </c>
      <c r="H1978" t="s">
        <v>128</v>
      </c>
      <c r="I1978" t="str">
        <f>INDEX(State!B:B,MATCH(OrdersTable[[#This Row],[State]],State!A:A,0))</f>
        <v>DL</v>
      </c>
      <c r="J1978" t="str">
        <f>INDEX(State!C:C,MATCH(OrdersTable[[#This Row],[State Code]],State!B:B,0))</f>
        <v>North</v>
      </c>
      <c r="K1978" t="s">
        <v>129</v>
      </c>
      <c r="L1978" t="s">
        <v>50</v>
      </c>
      <c r="M1978" t="s">
        <v>66</v>
      </c>
      <c r="N1978" t="str">
        <f>INDEX(Products!B:B,MATCH(OrdersTable[[#This Row],[Product ID]],Products!A:A,0))</f>
        <v>Sunscreen SPF 50</v>
      </c>
      <c r="O1978" t="str">
        <f>INDEX(Products!C:C,MATCH(OrdersTable[[#This Row],[Product ID]],Products!A:A,0))</f>
        <v>Skincare</v>
      </c>
      <c r="P1978">
        <v>2</v>
      </c>
      <c r="Q1978" s="5">
        <v>449</v>
      </c>
      <c r="R1978" s="74">
        <v>0.05</v>
      </c>
      <c r="S1978" s="75">
        <f>OrdersTable[[#This Row],[Quantity]]*OrdersTable[[#This Row],[Unit Price]]</f>
        <v>898</v>
      </c>
      <c r="T1978" s="5">
        <f>OrdersTable[[#This Row],[Gross Sale]]*OrdersTable[[#This Row],[Discount_Clean2]]</f>
        <v>44.900000000000006</v>
      </c>
      <c r="U1978" s="5">
        <f>OrdersTable[[#This Row],[Gross Sale]]-OrdersTable[[#This Row],[Discount Amount]]</f>
        <v>853.1</v>
      </c>
      <c r="V1978" s="77">
        <f>INDEX(Products!E:E,MATCH(OrdersTable[[#This Row],[Product ID]],Products!A:A,0))</f>
        <v>144</v>
      </c>
      <c r="W1978" s="77">
        <f>OrdersTable[[#This Row],[Quantity]]*OrdersTable[[#This Row],[Unit Cost]]</f>
        <v>288</v>
      </c>
      <c r="X1978" s="77">
        <f>'Dropdown Lists'!$I$2*(1+OrdersTable[[#This Row],[Returned]])</f>
        <v>60</v>
      </c>
      <c r="Y1978" s="76">
        <f>OrdersTable[[#This Row],[Net Revenue]]-OrdersTable[[#This Row],[COGS]]-OrdersTable[[#This Row],[Shipping Cost]]</f>
        <v>505.1</v>
      </c>
      <c r="Z1978" s="78">
        <f>IFERROR(OrdersTable[[#This Row],[Profit]]/OrdersTable[[#This Row],[Net Revenue]],0)</f>
        <v>0.59207595826983939</v>
      </c>
      <c r="AA1978" t="s">
        <v>18</v>
      </c>
      <c r="AB1978" s="79">
        <v>45640</v>
      </c>
      <c r="AC1978">
        <f>OrdersTable[[#This Row],[Delivery Date]]-OrdersTable[[#This Row],[Order Date]]</f>
        <v>2</v>
      </c>
      <c r="AD1978" t="str">
        <f>IF(OrdersTable[[#This Row],[Delivery Days]]&lt;=2, "Express (≤2d)", IF(OrdersTable[[#This Row],[Delivery Days]]&lt;=4, "Standard (3-4d)", "Delayed (5d+)"))</f>
        <v>Express (≤2d)</v>
      </c>
      <c r="AF1978">
        <v>0</v>
      </c>
    </row>
    <row r="1979" spans="1:32" ht="15" x14ac:dyDescent="0.35">
      <c r="A1979" t="s">
        <v>3237</v>
      </c>
      <c r="B1979" s="1">
        <v>45638</v>
      </c>
      <c r="C1979">
        <f>YEAR(OrdersTable[[#This Row],[Order Date]])</f>
        <v>2024</v>
      </c>
      <c r="D1979" s="2">
        <f>DATE(YEAR(OrdersTable[[#This Row],[Order Date]]),MONTH(OrdersTable[[#This Row],[Order Date]]),1)</f>
        <v>45627</v>
      </c>
      <c r="E1979">
        <f>MONTH(OrdersTable[[#This Row],[Order Date]])</f>
        <v>12</v>
      </c>
      <c r="F1979" t="s">
        <v>3238</v>
      </c>
      <c r="G1979" t="str">
        <f>IF(OrdersTable[[#This Row],[Order Date]]=_xlfn.MINIFS(Order_Date, Customer_ID, OrdersTable[[#This Row],[Customer ID]]), "New", "Repeat")</f>
        <v>New</v>
      </c>
      <c r="H1979" t="s">
        <v>76</v>
      </c>
      <c r="I1979" t="str">
        <f>INDEX(State!B:B,MATCH(OrdersTable[[#This Row],[State]],State!A:A,0))</f>
        <v>UP</v>
      </c>
      <c r="J1979" t="str">
        <f>INDEX(State!C:C,MATCH(OrdersTable[[#This Row],[State Code]],State!B:B,0))</f>
        <v>North</v>
      </c>
      <c r="K1979" t="s">
        <v>105</v>
      </c>
      <c r="L1979" t="s">
        <v>23</v>
      </c>
      <c r="M1979" t="s">
        <v>125</v>
      </c>
      <c r="N1979" t="str">
        <f>INDEX(Products!B:B,MATCH(OrdersTable[[#This Row],[Product ID]],Products!A:A,0))</f>
        <v>Copper Water Bottle</v>
      </c>
      <c r="O1979" t="str">
        <f>INDEX(Products!C:C,MATCH(OrdersTable[[#This Row],[Product ID]],Products!A:A,0))</f>
        <v>Home &amp; Kitchen</v>
      </c>
      <c r="P1979">
        <v>1</v>
      </c>
      <c r="Q1979" s="5">
        <v>899</v>
      </c>
      <c r="R1979" s="74">
        <v>0.15</v>
      </c>
      <c r="S1979" s="75">
        <f>OrdersTable[[#This Row],[Quantity]]*OrdersTable[[#This Row],[Unit Price]]</f>
        <v>899</v>
      </c>
      <c r="T1979" s="5">
        <f>OrdersTable[[#This Row],[Gross Sale]]*OrdersTable[[#This Row],[Discount_Clean2]]</f>
        <v>134.85</v>
      </c>
      <c r="U1979" s="5">
        <f>OrdersTable[[#This Row],[Gross Sale]]-OrdersTable[[#This Row],[Discount Amount]]</f>
        <v>764.15</v>
      </c>
      <c r="V1979" s="77">
        <f>INDEX(Products!E:E,MATCH(OrdersTable[[#This Row],[Product ID]],Products!A:A,0))</f>
        <v>378</v>
      </c>
      <c r="W1979" s="77">
        <f>OrdersTable[[#This Row],[Quantity]]*OrdersTable[[#This Row],[Unit Cost]]</f>
        <v>378</v>
      </c>
      <c r="X1979" s="77">
        <f>'Dropdown Lists'!$I$2*(1+OrdersTable[[#This Row],[Returned]])</f>
        <v>60</v>
      </c>
      <c r="Y1979" s="76">
        <f>OrdersTable[[#This Row],[Net Revenue]]-OrdersTable[[#This Row],[COGS]]-OrdersTable[[#This Row],[Shipping Cost]]</f>
        <v>326.14999999999998</v>
      </c>
      <c r="Z1979" s="78">
        <f>IFERROR(OrdersTable[[#This Row],[Profit]]/OrdersTable[[#This Row],[Net Revenue]],0)</f>
        <v>0.42681410717791007</v>
      </c>
      <c r="AA1979" t="s">
        <v>2522</v>
      </c>
      <c r="AB1979" s="79">
        <v>45641</v>
      </c>
      <c r="AC1979">
        <f>OrdersTable[[#This Row],[Delivery Date]]-OrdersTable[[#This Row],[Order Date]]</f>
        <v>3</v>
      </c>
      <c r="AD1979" t="str">
        <f>IF(OrdersTable[[#This Row],[Delivery Days]]&lt;=2, "Express (≤2d)", IF(OrdersTable[[#This Row],[Delivery Days]]&lt;=4, "Standard (3-4d)", "Delayed (5d+)"))</f>
        <v>Standard (3-4d)</v>
      </c>
      <c r="AE1979">
        <v>4</v>
      </c>
      <c r="AF1979">
        <v>0</v>
      </c>
    </row>
    <row r="1980" spans="1:32" ht="15" x14ac:dyDescent="0.35">
      <c r="A1980" t="s">
        <v>2121</v>
      </c>
      <c r="B1980" s="1">
        <v>45638</v>
      </c>
      <c r="C1980">
        <f>YEAR(OrdersTable[[#This Row],[Order Date]])</f>
        <v>2024</v>
      </c>
      <c r="D1980" s="2">
        <f>DATE(YEAR(OrdersTable[[#This Row],[Order Date]]),MONTH(OrdersTable[[#This Row],[Order Date]]),1)</f>
        <v>45627</v>
      </c>
      <c r="E1980">
        <f>MONTH(OrdersTable[[#This Row],[Order Date]])</f>
        <v>12</v>
      </c>
      <c r="F1980" t="s">
        <v>2122</v>
      </c>
      <c r="G1980" t="str">
        <f>IF(OrdersTable[[#This Row],[Order Date]]=_xlfn.MINIFS(Order_Date, Customer_ID, OrdersTable[[#This Row],[Customer ID]]), "New", "Repeat")</f>
        <v>Repeat</v>
      </c>
      <c r="H1980" t="s">
        <v>76</v>
      </c>
      <c r="I1980" t="str">
        <f>INDEX(State!B:B,MATCH(OrdersTable[[#This Row],[State]],State!A:A,0))</f>
        <v>UP</v>
      </c>
      <c r="J1980" t="str">
        <f>INDEX(State!C:C,MATCH(OrdersTable[[#This Row],[State Code]],State!B:B,0))</f>
        <v>North</v>
      </c>
      <c r="K1980" t="s">
        <v>105</v>
      </c>
      <c r="L1980" t="s">
        <v>65</v>
      </c>
      <c r="M1980" t="s">
        <v>106</v>
      </c>
      <c r="N1980" t="str">
        <f>INDEX(Products!B:B,MATCH(OrdersTable[[#This Row],[Product ID]],Products!A:A,0))</f>
        <v>Keratin Hair Mask</v>
      </c>
      <c r="O1980" t="str">
        <f>INDEX(Products!C:C,MATCH(OrdersTable[[#This Row],[Product ID]],Products!A:A,0))</f>
        <v>Haircare</v>
      </c>
      <c r="P1980">
        <v>1</v>
      </c>
      <c r="Q1980" s="5">
        <v>549</v>
      </c>
      <c r="R1980" s="74">
        <v>0.25</v>
      </c>
      <c r="S1980" s="75">
        <f>OrdersTable[[#This Row],[Quantity]]*OrdersTable[[#This Row],[Unit Price]]</f>
        <v>549</v>
      </c>
      <c r="T1980" s="5">
        <f>OrdersTable[[#This Row],[Gross Sale]]*OrdersTable[[#This Row],[Discount_Clean2]]</f>
        <v>137.25</v>
      </c>
      <c r="U1980" s="5">
        <f>OrdersTable[[#This Row],[Gross Sale]]-OrdersTable[[#This Row],[Discount Amount]]</f>
        <v>411.75</v>
      </c>
      <c r="V1980" s="77">
        <f>INDEX(Products!E:E,MATCH(OrdersTable[[#This Row],[Product ID]],Products!A:A,0))</f>
        <v>170</v>
      </c>
      <c r="W1980" s="77">
        <f>OrdersTable[[#This Row],[Quantity]]*OrdersTable[[#This Row],[Unit Cost]]</f>
        <v>170</v>
      </c>
      <c r="X1980" s="77">
        <f>'Dropdown Lists'!$I$2*(1+OrdersTable[[#This Row],[Returned]])</f>
        <v>60</v>
      </c>
      <c r="Y1980" s="76">
        <f>OrdersTable[[#This Row],[Net Revenue]]-OrdersTable[[#This Row],[COGS]]-OrdersTable[[#This Row],[Shipping Cost]]</f>
        <v>181.75</v>
      </c>
      <c r="Z1980" s="78">
        <f>IFERROR(OrdersTable[[#This Row],[Profit]]/OrdersTable[[#This Row],[Net Revenue]],0)</f>
        <v>0.44140862173649059</v>
      </c>
      <c r="AA1980" t="s">
        <v>18</v>
      </c>
      <c r="AB1980" s="79">
        <v>45642</v>
      </c>
      <c r="AC1980">
        <f>OrdersTable[[#This Row],[Delivery Date]]-OrdersTable[[#This Row],[Order Date]]</f>
        <v>4</v>
      </c>
      <c r="AD1980" t="str">
        <f>IF(OrdersTable[[#This Row],[Delivery Days]]&lt;=2, "Express (≤2d)", IF(OrdersTable[[#This Row],[Delivery Days]]&lt;=4, "Standard (3-4d)", "Delayed (5d+)"))</f>
        <v>Standard (3-4d)</v>
      </c>
      <c r="AE1980">
        <v>3</v>
      </c>
      <c r="AF1980">
        <v>0</v>
      </c>
    </row>
    <row r="1981" spans="1:32" ht="15" x14ac:dyDescent="0.35">
      <c r="A1981" t="s">
        <v>6540</v>
      </c>
      <c r="B1981" s="1">
        <v>45638</v>
      </c>
      <c r="C1981">
        <f>YEAR(OrdersTable[[#This Row],[Order Date]])</f>
        <v>2024</v>
      </c>
      <c r="D1981" s="2">
        <f>DATE(YEAR(OrdersTable[[#This Row],[Order Date]]),MONTH(OrdersTable[[#This Row],[Order Date]]),1)</f>
        <v>45627</v>
      </c>
      <c r="E1981">
        <f>MONTH(OrdersTable[[#This Row],[Order Date]])</f>
        <v>12</v>
      </c>
      <c r="F1981" t="s">
        <v>442</v>
      </c>
      <c r="G1981" t="str">
        <f>IF(OrdersTable[[#This Row],[Order Date]]=_xlfn.MINIFS(Order_Date, Customer_ID, OrdersTable[[#This Row],[Customer ID]]), "New", "Repeat")</f>
        <v>Repeat</v>
      </c>
      <c r="H1981" t="s">
        <v>76</v>
      </c>
      <c r="I1981" t="str">
        <f>INDEX(State!B:B,MATCH(OrdersTable[[#This Row],[State]],State!A:A,0))</f>
        <v>UP</v>
      </c>
      <c r="J1981" t="str">
        <f>INDEX(State!C:C,MATCH(OrdersTable[[#This Row],[State Code]],State!B:B,0))</f>
        <v>North</v>
      </c>
      <c r="K1981" t="s">
        <v>105</v>
      </c>
      <c r="L1981" t="s">
        <v>16</v>
      </c>
      <c r="M1981" t="s">
        <v>255</v>
      </c>
      <c r="N1981" t="str">
        <f>INDEX(Products!B:B,MATCH(OrdersTable[[#This Row],[Product ID]],Products!A:A,0))</f>
        <v>Cotton Oversized T-Shirt</v>
      </c>
      <c r="O1981" t="str">
        <f>INDEX(Products!C:C,MATCH(OrdersTable[[#This Row],[Product ID]],Products!A:A,0))</f>
        <v>Apparel</v>
      </c>
      <c r="P1981">
        <v>3</v>
      </c>
      <c r="Q1981" s="5">
        <v>799</v>
      </c>
      <c r="R1981" s="74">
        <v>0.05</v>
      </c>
      <c r="S1981" s="75">
        <f>OrdersTable[[#This Row],[Quantity]]*OrdersTable[[#This Row],[Unit Price]]</f>
        <v>2397</v>
      </c>
      <c r="T1981" s="5">
        <f>OrdersTable[[#This Row],[Gross Sale]]*OrdersTable[[#This Row],[Discount_Clean2]]</f>
        <v>119.85000000000001</v>
      </c>
      <c r="U1981" s="5">
        <f>OrdersTable[[#This Row],[Gross Sale]]-OrdersTable[[#This Row],[Discount Amount]]</f>
        <v>2277.15</v>
      </c>
      <c r="V1981" s="77">
        <f>INDEX(Products!E:E,MATCH(OrdersTable[[#This Row],[Product ID]],Products!A:A,0))</f>
        <v>320</v>
      </c>
      <c r="W1981" s="77">
        <f>OrdersTable[[#This Row],[Quantity]]*OrdersTable[[#This Row],[Unit Cost]]</f>
        <v>960</v>
      </c>
      <c r="X1981" s="77">
        <f>'Dropdown Lists'!$I$2*(1+OrdersTable[[#This Row],[Returned]])</f>
        <v>60</v>
      </c>
      <c r="Y1981" s="76">
        <f>OrdersTable[[#This Row],[Net Revenue]]-OrdersTable[[#This Row],[COGS]]-OrdersTable[[#This Row],[Shipping Cost]]</f>
        <v>1257.1500000000001</v>
      </c>
      <c r="Z1981" s="78">
        <f>IFERROR(OrdersTable[[#This Row],[Profit]]/OrdersTable[[#This Row],[Net Revenue]],0)</f>
        <v>0.55207166853303469</v>
      </c>
      <c r="AA1981" t="s">
        <v>18</v>
      </c>
      <c r="AB1981" s="79">
        <v>45642</v>
      </c>
      <c r="AC1981">
        <f>OrdersTable[[#This Row],[Delivery Date]]-OrdersTable[[#This Row],[Order Date]]</f>
        <v>4</v>
      </c>
      <c r="AD1981" t="str">
        <f>IF(OrdersTable[[#This Row],[Delivery Days]]&lt;=2, "Express (≤2d)", IF(OrdersTable[[#This Row],[Delivery Days]]&lt;=4, "Standard (3-4d)", "Delayed (5d+)"))</f>
        <v>Standard (3-4d)</v>
      </c>
      <c r="AF1981">
        <v>0</v>
      </c>
    </row>
    <row r="1982" spans="1:32" ht="15" x14ac:dyDescent="0.35">
      <c r="A1982" t="s">
        <v>5504</v>
      </c>
      <c r="B1982" s="1">
        <v>45638</v>
      </c>
      <c r="C1982">
        <f>YEAR(OrdersTable[[#This Row],[Order Date]])</f>
        <v>2024</v>
      </c>
      <c r="D1982" s="2">
        <f>DATE(YEAR(OrdersTable[[#This Row],[Order Date]]),MONTH(OrdersTable[[#This Row],[Order Date]]),1)</f>
        <v>45627</v>
      </c>
      <c r="E1982">
        <f>MONTH(OrdersTable[[#This Row],[Order Date]])</f>
        <v>12</v>
      </c>
      <c r="F1982" t="s">
        <v>1537</v>
      </c>
      <c r="G1982" t="str">
        <f>IF(OrdersTable[[#This Row],[Order Date]]=_xlfn.MINIFS(Order_Date, Customer_ID, OrdersTable[[#This Row],[Customer ID]]), "New", "Repeat")</f>
        <v>New</v>
      </c>
      <c r="H1982" t="s">
        <v>27</v>
      </c>
      <c r="I1982" t="str">
        <f>INDEX(State!B:B,MATCH(OrdersTable[[#This Row],[State]],State!A:A,0))</f>
        <v>WB</v>
      </c>
      <c r="J1982" t="str">
        <f>INDEX(State!C:C,MATCH(OrdersTable[[#This Row],[State Code]],State!B:B,0))</f>
        <v>East</v>
      </c>
      <c r="K1982" t="s">
        <v>28</v>
      </c>
      <c r="L1982" t="s">
        <v>23</v>
      </c>
      <c r="M1982" t="s">
        <v>179</v>
      </c>
      <c r="N1982" t="str">
        <f>INDEX(Products!B:B,MATCH(OrdersTable[[#This Row],[Product ID]],Products!A:A,0))</f>
        <v>Whey Protein 1kg</v>
      </c>
      <c r="O1982" t="str">
        <f>INDEX(Products!C:C,MATCH(OrdersTable[[#This Row],[Product ID]],Products!A:A,0))</f>
        <v>Wellness</v>
      </c>
      <c r="P1982">
        <v>2</v>
      </c>
      <c r="Q1982" s="5">
        <v>2299</v>
      </c>
      <c r="R1982" s="74">
        <v>0.35</v>
      </c>
      <c r="S1982" s="75">
        <f>OrdersTable[[#This Row],[Quantity]]*OrdersTable[[#This Row],[Unit Price]]</f>
        <v>4598</v>
      </c>
      <c r="T1982" s="5">
        <f>OrdersTable[[#This Row],[Gross Sale]]*OrdersTable[[#This Row],[Discount_Clean2]]</f>
        <v>1609.3</v>
      </c>
      <c r="U1982" s="5">
        <f>OrdersTable[[#This Row],[Gross Sale]]-OrdersTable[[#This Row],[Discount Amount]]</f>
        <v>2988.7</v>
      </c>
      <c r="V1982" s="77">
        <f>INDEX(Products!E:E,MATCH(OrdersTable[[#This Row],[Product ID]],Products!A:A,0))</f>
        <v>1333</v>
      </c>
      <c r="W1982" s="77">
        <f>OrdersTable[[#This Row],[Quantity]]*OrdersTable[[#This Row],[Unit Cost]]</f>
        <v>2666</v>
      </c>
      <c r="X1982" s="77">
        <f>'Dropdown Lists'!$I$2*(1+OrdersTable[[#This Row],[Returned]])</f>
        <v>120</v>
      </c>
      <c r="Y1982" s="76">
        <f>OrdersTable[[#This Row],[Net Revenue]]-OrdersTable[[#This Row],[COGS]]-OrdersTable[[#This Row],[Shipping Cost]]</f>
        <v>202.69999999999982</v>
      </c>
      <c r="Z1982" s="78">
        <f>IFERROR(OrdersTable[[#This Row],[Profit]]/OrdersTable[[#This Row],[Net Revenue]],0)</f>
        <v>6.7822130023086902E-2</v>
      </c>
      <c r="AA1982" t="s">
        <v>2522</v>
      </c>
      <c r="AB1982" s="79">
        <v>45639</v>
      </c>
      <c r="AC1982">
        <f>OrdersTable[[#This Row],[Delivery Date]]-OrdersTable[[#This Row],[Order Date]]</f>
        <v>1</v>
      </c>
      <c r="AD1982" t="str">
        <f>IF(OrdersTable[[#This Row],[Delivery Days]]&lt;=2, "Express (≤2d)", IF(OrdersTable[[#This Row],[Delivery Days]]&lt;=4, "Standard (3-4d)", "Delayed (5d+)"))</f>
        <v>Express (≤2d)</v>
      </c>
      <c r="AE1982">
        <v>4</v>
      </c>
      <c r="AF1982">
        <v>1</v>
      </c>
    </row>
    <row r="1983" spans="1:32" ht="15" x14ac:dyDescent="0.35">
      <c r="A1983" t="s">
        <v>5374</v>
      </c>
      <c r="B1983" s="1">
        <v>45638</v>
      </c>
      <c r="C1983">
        <f>YEAR(OrdersTable[[#This Row],[Order Date]])</f>
        <v>2024</v>
      </c>
      <c r="D1983" s="2">
        <f>DATE(YEAR(OrdersTable[[#This Row],[Order Date]]),MONTH(OrdersTable[[#This Row],[Order Date]]),1)</f>
        <v>45627</v>
      </c>
      <c r="E1983">
        <f>MONTH(OrdersTable[[#This Row],[Order Date]])</f>
        <v>12</v>
      </c>
      <c r="F1983" t="s">
        <v>5375</v>
      </c>
      <c r="G1983" t="str">
        <f>IF(OrdersTable[[#This Row],[Order Date]]=_xlfn.MINIFS(Order_Date, Customer_ID, OrdersTable[[#This Row],[Customer ID]]), "New", "Repeat")</f>
        <v>New</v>
      </c>
      <c r="H1983" t="s">
        <v>275</v>
      </c>
      <c r="I1983" t="str">
        <f>INDEX(State!B:B,MATCH(OrdersTable[[#This Row],[State]],State!A:A,0))</f>
        <v>AP</v>
      </c>
      <c r="J1983" t="str">
        <f>INDEX(State!C:C,MATCH(OrdersTable[[#This Row],[State Code]],State!B:B,0))</f>
        <v>South</v>
      </c>
      <c r="K1983" t="s">
        <v>276</v>
      </c>
      <c r="L1983" t="s">
        <v>23</v>
      </c>
      <c r="M1983" t="s">
        <v>255</v>
      </c>
      <c r="N1983" t="str">
        <f>INDEX(Products!B:B,MATCH(OrdersTable[[#This Row],[Product ID]],Products!A:A,0))</f>
        <v>Cotton Oversized T-Shirt</v>
      </c>
      <c r="O1983" t="str">
        <f>INDEX(Products!C:C,MATCH(OrdersTable[[#This Row],[Product ID]],Products!A:A,0))</f>
        <v>Apparel</v>
      </c>
      <c r="P1983">
        <v>2</v>
      </c>
      <c r="Q1983" s="5">
        <v>799</v>
      </c>
      <c r="R1983" s="74">
        <v>0</v>
      </c>
      <c r="S1983" s="75">
        <f>OrdersTable[[#This Row],[Quantity]]*OrdersTable[[#This Row],[Unit Price]]</f>
        <v>1598</v>
      </c>
      <c r="T1983" s="5">
        <f>OrdersTable[[#This Row],[Gross Sale]]*OrdersTable[[#This Row],[Discount_Clean2]]</f>
        <v>0</v>
      </c>
      <c r="U1983" s="5">
        <f>OrdersTable[[#This Row],[Gross Sale]]-OrdersTable[[#This Row],[Discount Amount]]</f>
        <v>1598</v>
      </c>
      <c r="V1983" s="77">
        <f>INDEX(Products!E:E,MATCH(OrdersTable[[#This Row],[Product ID]],Products!A:A,0))</f>
        <v>320</v>
      </c>
      <c r="W1983" s="77">
        <f>OrdersTable[[#This Row],[Quantity]]*OrdersTable[[#This Row],[Unit Cost]]</f>
        <v>640</v>
      </c>
      <c r="X1983" s="77">
        <f>'Dropdown Lists'!$I$2*(1+OrdersTable[[#This Row],[Returned]])</f>
        <v>60</v>
      </c>
      <c r="Y1983" s="76">
        <f>OrdersTable[[#This Row],[Net Revenue]]-OrdersTable[[#This Row],[COGS]]-OrdersTable[[#This Row],[Shipping Cost]]</f>
        <v>898</v>
      </c>
      <c r="Z1983" s="78">
        <f>IFERROR(OrdersTable[[#This Row],[Profit]]/OrdersTable[[#This Row],[Net Revenue]],0)</f>
        <v>0.56195244055068838</v>
      </c>
      <c r="AA1983" t="s">
        <v>2522</v>
      </c>
      <c r="AB1983" s="79">
        <v>45642</v>
      </c>
      <c r="AC1983">
        <f>OrdersTable[[#This Row],[Delivery Date]]-OrdersTable[[#This Row],[Order Date]]</f>
        <v>4</v>
      </c>
      <c r="AD1983" t="str">
        <f>IF(OrdersTable[[#This Row],[Delivery Days]]&lt;=2, "Express (≤2d)", IF(OrdersTable[[#This Row],[Delivery Days]]&lt;=4, "Standard (3-4d)", "Delayed (5d+)"))</f>
        <v>Standard (3-4d)</v>
      </c>
      <c r="AF1983">
        <v>0</v>
      </c>
    </row>
    <row r="1984" spans="1:32" ht="15" x14ac:dyDescent="0.35">
      <c r="A1984" t="s">
        <v>540</v>
      </c>
      <c r="B1984" s="1">
        <v>45639</v>
      </c>
      <c r="C1984">
        <f>YEAR(OrdersTable[[#This Row],[Order Date]])</f>
        <v>2024</v>
      </c>
      <c r="D1984" s="2">
        <f>DATE(YEAR(OrdersTable[[#This Row],[Order Date]]),MONTH(OrdersTable[[#This Row],[Order Date]]),1)</f>
        <v>45627</v>
      </c>
      <c r="E1984">
        <f>MONTH(OrdersTable[[#This Row],[Order Date]])</f>
        <v>12</v>
      </c>
      <c r="F1984" t="s">
        <v>541</v>
      </c>
      <c r="G1984" t="str">
        <f>IF(OrdersTable[[#This Row],[Order Date]]=_xlfn.MINIFS(Order_Date, Customer_ID, OrdersTable[[#This Row],[Customer ID]]), "New", "Repeat")</f>
        <v>New</v>
      </c>
      <c r="H1984" t="s">
        <v>76</v>
      </c>
      <c r="I1984" t="str">
        <f>INDEX(State!B:B,MATCH(OrdersTable[[#This Row],[State]],State!A:A,0))</f>
        <v>UP</v>
      </c>
      <c r="J1984" t="str">
        <f>INDEX(State!C:C,MATCH(OrdersTable[[#This Row],[State Code]],State!B:B,0))</f>
        <v>North</v>
      </c>
      <c r="K1984" t="s">
        <v>118</v>
      </c>
      <c r="L1984" t="s">
        <v>23</v>
      </c>
      <c r="M1984" t="s">
        <v>255</v>
      </c>
      <c r="N1984" t="str">
        <f>INDEX(Products!B:B,MATCH(OrdersTable[[#This Row],[Product ID]],Products!A:A,0))</f>
        <v>Cotton Oversized T-Shirt</v>
      </c>
      <c r="O1984" t="str">
        <f>INDEX(Products!C:C,MATCH(OrdersTable[[#This Row],[Product ID]],Products!A:A,0))</f>
        <v>Apparel</v>
      </c>
      <c r="P1984">
        <v>1</v>
      </c>
      <c r="Q1984" s="5">
        <v>799</v>
      </c>
      <c r="R1984" s="74">
        <v>0.1</v>
      </c>
      <c r="S1984" s="75">
        <f>OrdersTable[[#This Row],[Quantity]]*OrdersTable[[#This Row],[Unit Price]]</f>
        <v>799</v>
      </c>
      <c r="T1984" s="5">
        <f>OrdersTable[[#This Row],[Gross Sale]]*OrdersTable[[#This Row],[Discount_Clean2]]</f>
        <v>79.900000000000006</v>
      </c>
      <c r="U1984" s="5">
        <f>OrdersTable[[#This Row],[Gross Sale]]-OrdersTable[[#This Row],[Discount Amount]]</f>
        <v>719.1</v>
      </c>
      <c r="V1984" s="77">
        <f>INDEX(Products!E:E,MATCH(OrdersTable[[#This Row],[Product ID]],Products!A:A,0))</f>
        <v>320</v>
      </c>
      <c r="W1984" s="77">
        <f>OrdersTable[[#This Row],[Quantity]]*OrdersTable[[#This Row],[Unit Cost]]</f>
        <v>320</v>
      </c>
      <c r="X1984" s="77">
        <f>'Dropdown Lists'!$I$2*(1+OrdersTable[[#This Row],[Returned]])</f>
        <v>60</v>
      </c>
      <c r="Y1984" s="76">
        <f>OrdersTable[[#This Row],[Net Revenue]]-OrdersTable[[#This Row],[COGS]]-OrdersTable[[#This Row],[Shipping Cost]]</f>
        <v>339.1</v>
      </c>
      <c r="Z1984" s="78">
        <f>IFERROR(OrdersTable[[#This Row],[Profit]]/OrdersTable[[#This Row],[Net Revenue]],0)</f>
        <v>0.47156167431511614</v>
      </c>
      <c r="AA1984" t="s">
        <v>18</v>
      </c>
      <c r="AB1984" s="79">
        <v>45643</v>
      </c>
      <c r="AC1984">
        <f>OrdersTable[[#This Row],[Delivery Date]]-OrdersTable[[#This Row],[Order Date]]</f>
        <v>4</v>
      </c>
      <c r="AD1984" t="str">
        <f>IF(OrdersTable[[#This Row],[Delivery Days]]&lt;=2, "Express (≤2d)", IF(OrdersTable[[#This Row],[Delivery Days]]&lt;=4, "Standard (3-4d)", "Delayed (5d+)"))</f>
        <v>Standard (3-4d)</v>
      </c>
      <c r="AE1984">
        <v>4</v>
      </c>
      <c r="AF1984">
        <v>0</v>
      </c>
    </row>
    <row r="1985" spans="1:32" ht="15" x14ac:dyDescent="0.35">
      <c r="A1985" t="s">
        <v>2998</v>
      </c>
      <c r="B1985" s="1">
        <v>45639</v>
      </c>
      <c r="C1985">
        <f>YEAR(OrdersTable[[#This Row],[Order Date]])</f>
        <v>2024</v>
      </c>
      <c r="D1985" s="2">
        <f>DATE(YEAR(OrdersTable[[#This Row],[Order Date]]),MONTH(OrdersTable[[#This Row],[Order Date]]),1)</f>
        <v>45627</v>
      </c>
      <c r="E1985">
        <f>MONTH(OrdersTable[[#This Row],[Order Date]])</f>
        <v>12</v>
      </c>
      <c r="F1985" t="s">
        <v>2040</v>
      </c>
      <c r="G1985" t="str">
        <f>IF(OrdersTable[[#This Row],[Order Date]]=_xlfn.MINIFS(Order_Date, Customer_ID, OrdersTable[[#This Row],[Customer ID]]), "New", "Repeat")</f>
        <v>New</v>
      </c>
      <c r="H1985" t="s">
        <v>32</v>
      </c>
      <c r="I1985" t="str">
        <f>INDEX(State!B:B,MATCH(OrdersTable[[#This Row],[State]],State!A:A,0))</f>
        <v>BR</v>
      </c>
      <c r="J1985" t="str">
        <f>INDEX(State!C:C,MATCH(OrdersTable[[#This Row],[State Code]],State!B:B,0))</f>
        <v>East</v>
      </c>
      <c r="K1985" t="s">
        <v>33</v>
      </c>
      <c r="L1985" t="s">
        <v>16</v>
      </c>
      <c r="M1985" t="s">
        <v>29</v>
      </c>
      <c r="N1985" t="str">
        <f>INDEX(Products!B:B,MATCH(OrdersTable[[#This Row],[Product ID]],Products!A:A,0))</f>
        <v>Joggers</v>
      </c>
      <c r="O1985" t="str">
        <f>INDEX(Products!C:C,MATCH(OrdersTable[[#This Row],[Product ID]],Products!A:A,0))</f>
        <v>Apparel</v>
      </c>
      <c r="P1985">
        <v>1</v>
      </c>
      <c r="Q1985" s="5">
        <v>1199</v>
      </c>
      <c r="R1985" s="74">
        <v>0.1</v>
      </c>
      <c r="S1985" s="75">
        <f>OrdersTable[[#This Row],[Quantity]]*OrdersTable[[#This Row],[Unit Price]]</f>
        <v>1199</v>
      </c>
      <c r="T1985" s="5">
        <f>OrdersTable[[#This Row],[Gross Sale]]*OrdersTable[[#This Row],[Discount_Clean2]]</f>
        <v>119.9</v>
      </c>
      <c r="U1985" s="5">
        <f>OrdersTable[[#This Row],[Gross Sale]]-OrdersTable[[#This Row],[Discount Amount]]</f>
        <v>1079.0999999999999</v>
      </c>
      <c r="V1985" s="77">
        <f>INDEX(Products!E:E,MATCH(OrdersTable[[#This Row],[Product ID]],Products!A:A,0))</f>
        <v>492</v>
      </c>
      <c r="W1985" s="77">
        <f>OrdersTable[[#This Row],[Quantity]]*OrdersTable[[#This Row],[Unit Cost]]</f>
        <v>492</v>
      </c>
      <c r="X1985" s="77">
        <f>'Dropdown Lists'!$I$2*(1+OrdersTable[[#This Row],[Returned]])</f>
        <v>60</v>
      </c>
      <c r="Y1985" s="76">
        <f>OrdersTable[[#This Row],[Net Revenue]]-OrdersTable[[#This Row],[COGS]]-OrdersTable[[#This Row],[Shipping Cost]]</f>
        <v>527.09999999999991</v>
      </c>
      <c r="Z1985" s="78">
        <f>IFERROR(OrdersTable[[#This Row],[Profit]]/OrdersTable[[#This Row],[Net Revenue]],0)</f>
        <v>0.48846260772866273</v>
      </c>
      <c r="AA1985" t="s">
        <v>2522</v>
      </c>
      <c r="AB1985" s="79">
        <v>45645</v>
      </c>
      <c r="AC1985">
        <f>OrdersTable[[#This Row],[Delivery Date]]-OrdersTable[[#This Row],[Order Date]]</f>
        <v>6</v>
      </c>
      <c r="AD1985" t="str">
        <f>IF(OrdersTable[[#This Row],[Delivery Days]]&lt;=2, "Express (≤2d)", IF(OrdersTable[[#This Row],[Delivery Days]]&lt;=4, "Standard (3-4d)", "Delayed (5d+)"))</f>
        <v>Delayed (5d+)</v>
      </c>
      <c r="AF1985">
        <v>0</v>
      </c>
    </row>
    <row r="1986" spans="1:32" ht="15" x14ac:dyDescent="0.35">
      <c r="A1986" t="s">
        <v>2123</v>
      </c>
      <c r="B1986" s="1">
        <v>45639</v>
      </c>
      <c r="C1986">
        <f>YEAR(OrdersTable[[#This Row],[Order Date]])</f>
        <v>2024</v>
      </c>
      <c r="D1986" s="2">
        <f>DATE(YEAR(OrdersTable[[#This Row],[Order Date]]),MONTH(OrdersTable[[#This Row],[Order Date]]),1)</f>
        <v>45627</v>
      </c>
      <c r="E1986">
        <f>MONTH(OrdersTable[[#This Row],[Order Date]])</f>
        <v>12</v>
      </c>
      <c r="F1986" t="s">
        <v>2124</v>
      </c>
      <c r="G1986" t="str">
        <f>IF(OrdersTable[[#This Row],[Order Date]]=_xlfn.MINIFS(Order_Date, Customer_ID, OrdersTable[[#This Row],[Customer ID]]), "New", "Repeat")</f>
        <v>New</v>
      </c>
      <c r="H1986" t="s">
        <v>482</v>
      </c>
      <c r="I1986" t="str">
        <f>INDEX(State!B:B,MATCH(OrdersTable[[#This Row],[State]],State!A:A,0))</f>
        <v>CG</v>
      </c>
      <c r="J1986" t="str">
        <f>INDEX(State!C:C,MATCH(OrdersTable[[#This Row],[State Code]],State!B:B,0))</f>
        <v>East</v>
      </c>
      <c r="K1986" t="s">
        <v>483</v>
      </c>
      <c r="L1986" t="s">
        <v>23</v>
      </c>
      <c r="M1986" t="s">
        <v>78</v>
      </c>
      <c r="N1986" t="str">
        <f>INDEX(Products!B:B,MATCH(OrdersTable[[#This Row],[Product ID]],Products!A:A,0))</f>
        <v>Retinol Night Cream</v>
      </c>
      <c r="O1986" t="str">
        <f>INDEX(Products!C:C,MATCH(OrdersTable[[#This Row],[Product ID]],Products!A:A,0))</f>
        <v>Skincare</v>
      </c>
      <c r="P1986">
        <v>1</v>
      </c>
      <c r="Q1986" s="5">
        <v>799</v>
      </c>
      <c r="R1986" s="74">
        <v>0.05</v>
      </c>
      <c r="S1986" s="75">
        <f>OrdersTable[[#This Row],[Quantity]]*OrdersTable[[#This Row],[Unit Price]]</f>
        <v>799</v>
      </c>
      <c r="T1986" s="5">
        <f>OrdersTable[[#This Row],[Gross Sale]]*OrdersTable[[#This Row],[Discount_Clean2]]</f>
        <v>39.950000000000003</v>
      </c>
      <c r="U1986" s="5">
        <f>OrdersTable[[#This Row],[Gross Sale]]-OrdersTable[[#This Row],[Discount Amount]]</f>
        <v>759.05</v>
      </c>
      <c r="V1986" s="77">
        <f>INDEX(Products!E:E,MATCH(OrdersTable[[#This Row],[Product ID]],Products!A:A,0))</f>
        <v>216</v>
      </c>
      <c r="W1986" s="77">
        <f>OrdersTable[[#This Row],[Quantity]]*OrdersTable[[#This Row],[Unit Cost]]</f>
        <v>216</v>
      </c>
      <c r="X1986" s="77">
        <f>'Dropdown Lists'!$I$2*(1+OrdersTable[[#This Row],[Returned]])</f>
        <v>60</v>
      </c>
      <c r="Y1986" s="76">
        <f>OrdersTable[[#This Row],[Net Revenue]]-OrdersTable[[#This Row],[COGS]]-OrdersTable[[#This Row],[Shipping Cost]]</f>
        <v>483.04999999999995</v>
      </c>
      <c r="Z1986" s="78">
        <f>IFERROR(OrdersTable[[#This Row],[Profit]]/OrdersTable[[#This Row],[Net Revenue]],0)</f>
        <v>0.63638758975034582</v>
      </c>
      <c r="AA1986" t="s">
        <v>18</v>
      </c>
      <c r="AB1986" s="79">
        <v>45644</v>
      </c>
      <c r="AC1986">
        <f>OrdersTable[[#This Row],[Delivery Date]]-OrdersTable[[#This Row],[Order Date]]</f>
        <v>5</v>
      </c>
      <c r="AD1986" t="str">
        <f>IF(OrdersTable[[#This Row],[Delivery Days]]&lt;=2, "Express (≤2d)", IF(OrdersTable[[#This Row],[Delivery Days]]&lt;=4, "Standard (3-4d)", "Delayed (5d+)"))</f>
        <v>Delayed (5d+)</v>
      </c>
      <c r="AE1986">
        <v>3</v>
      </c>
      <c r="AF1986">
        <v>0</v>
      </c>
    </row>
    <row r="1987" spans="1:32" ht="15" x14ac:dyDescent="0.35">
      <c r="A1987" t="s">
        <v>7079</v>
      </c>
      <c r="B1987" s="1">
        <v>45639</v>
      </c>
      <c r="C1987">
        <f>YEAR(OrdersTable[[#This Row],[Order Date]])</f>
        <v>2024</v>
      </c>
      <c r="D1987" s="2">
        <f>DATE(YEAR(OrdersTable[[#This Row],[Order Date]]),MONTH(OrdersTable[[#This Row],[Order Date]]),1)</f>
        <v>45627</v>
      </c>
      <c r="E1987">
        <f>MONTH(OrdersTable[[#This Row],[Order Date]])</f>
        <v>12</v>
      </c>
      <c r="F1987" t="s">
        <v>4054</v>
      </c>
      <c r="G1987" t="str">
        <f>IF(OrdersTable[[#This Row],[Order Date]]=_xlfn.MINIFS(Order_Date, Customer_ID, OrdersTable[[#This Row],[Customer ID]]), "New", "Repeat")</f>
        <v>New</v>
      </c>
      <c r="H1987" t="s">
        <v>71</v>
      </c>
      <c r="I1987" t="str">
        <f>INDEX(State!B:B,MATCH(OrdersTable[[#This Row],[State]],State!A:A,0))</f>
        <v>MH</v>
      </c>
      <c r="J1987" t="str">
        <f>INDEX(State!C:C,MATCH(OrdersTable[[#This Row],[State Code]],State!B:B,0))</f>
        <v>West</v>
      </c>
      <c r="K1987" t="s">
        <v>72</v>
      </c>
      <c r="L1987" t="s">
        <v>23</v>
      </c>
      <c r="M1987" t="s">
        <v>73</v>
      </c>
      <c r="N1987" t="str">
        <f>INDEX(Products!B:B,MATCH(OrdersTable[[#This Row],[Product ID]],Products!A:A,0))</f>
        <v>Hydrating Face Wash</v>
      </c>
      <c r="O1987" t="str">
        <f>INDEX(Products!C:C,MATCH(OrdersTable[[#This Row],[Product ID]],Products!A:A,0))</f>
        <v>Skincare</v>
      </c>
      <c r="P1987">
        <v>4</v>
      </c>
      <c r="Q1987" s="5">
        <v>299</v>
      </c>
      <c r="R1987" s="74">
        <v>0</v>
      </c>
      <c r="S1987" s="75">
        <f>OrdersTable[[#This Row],[Quantity]]*OrdersTable[[#This Row],[Unit Price]]</f>
        <v>1196</v>
      </c>
      <c r="T1987" s="5">
        <f>OrdersTable[[#This Row],[Gross Sale]]*OrdersTable[[#This Row],[Discount_Clean2]]</f>
        <v>0</v>
      </c>
      <c r="U1987" s="5">
        <f>OrdersTable[[#This Row],[Gross Sale]]-OrdersTable[[#This Row],[Discount Amount]]</f>
        <v>1196</v>
      </c>
      <c r="V1987" s="77">
        <f>INDEX(Products!E:E,MATCH(OrdersTable[[#This Row],[Product ID]],Products!A:A,0))</f>
        <v>90</v>
      </c>
      <c r="W1987" s="77">
        <f>OrdersTable[[#This Row],[Quantity]]*OrdersTable[[#This Row],[Unit Cost]]</f>
        <v>360</v>
      </c>
      <c r="X1987" s="77">
        <f>'Dropdown Lists'!$I$2*(1+OrdersTable[[#This Row],[Returned]])</f>
        <v>60</v>
      </c>
      <c r="Y1987" s="76">
        <f>OrdersTable[[#This Row],[Net Revenue]]-OrdersTable[[#This Row],[COGS]]-OrdersTable[[#This Row],[Shipping Cost]]</f>
        <v>776</v>
      </c>
      <c r="Z1987" s="78">
        <f>IFERROR(OrdersTable[[#This Row],[Profit]]/OrdersTable[[#This Row],[Net Revenue]],0)</f>
        <v>0.6488294314381271</v>
      </c>
      <c r="AA1987" t="s">
        <v>18</v>
      </c>
      <c r="AB1987" s="79">
        <v>45642</v>
      </c>
      <c r="AC1987">
        <f>OrdersTable[[#This Row],[Delivery Date]]-OrdersTable[[#This Row],[Order Date]]</f>
        <v>3</v>
      </c>
      <c r="AD1987" t="str">
        <f>IF(OrdersTable[[#This Row],[Delivery Days]]&lt;=2, "Express (≤2d)", IF(OrdersTable[[#This Row],[Delivery Days]]&lt;=4, "Standard (3-4d)", "Delayed (5d+)"))</f>
        <v>Standard (3-4d)</v>
      </c>
      <c r="AE1987">
        <v>4</v>
      </c>
      <c r="AF1987">
        <v>0</v>
      </c>
    </row>
    <row r="1988" spans="1:32" ht="15" x14ac:dyDescent="0.35">
      <c r="A1988" t="s">
        <v>2125</v>
      </c>
      <c r="B1988" s="1">
        <v>45639</v>
      </c>
      <c r="C1988">
        <f>YEAR(OrdersTable[[#This Row],[Order Date]])</f>
        <v>2024</v>
      </c>
      <c r="D1988" s="2">
        <f>DATE(YEAR(OrdersTable[[#This Row],[Order Date]]),MONTH(OrdersTable[[#This Row],[Order Date]]),1)</f>
        <v>45627</v>
      </c>
      <c r="E1988">
        <f>MONTH(OrdersTable[[#This Row],[Order Date]])</f>
        <v>12</v>
      </c>
      <c r="F1988" t="s">
        <v>2126</v>
      </c>
      <c r="G1988" t="str">
        <f>IF(OrdersTable[[#This Row],[Order Date]]=_xlfn.MINIFS(Order_Date, Customer_ID, OrdersTable[[#This Row],[Customer ID]]), "New", "Repeat")</f>
        <v>New</v>
      </c>
      <c r="H1988" t="s">
        <v>316</v>
      </c>
      <c r="I1988" t="str">
        <f>INDEX(State!B:B,MATCH(OrdersTable[[#This Row],[State]],State!A:A,0))</f>
        <v>KL</v>
      </c>
      <c r="J1988" t="str">
        <f>INDEX(State!C:C,MATCH(OrdersTable[[#This Row],[State Code]],State!B:B,0))</f>
        <v>South</v>
      </c>
      <c r="K1988" t="s">
        <v>338</v>
      </c>
      <c r="L1988" t="s">
        <v>39</v>
      </c>
      <c r="M1988" t="s">
        <v>106</v>
      </c>
      <c r="N1988" t="str">
        <f>INDEX(Products!B:B,MATCH(OrdersTable[[#This Row],[Product ID]],Products!A:A,0))</f>
        <v>Keratin Hair Mask</v>
      </c>
      <c r="O1988" t="str">
        <f>INDEX(Products!C:C,MATCH(OrdersTable[[#This Row],[Product ID]],Products!A:A,0))</f>
        <v>Haircare</v>
      </c>
      <c r="P1988">
        <v>1</v>
      </c>
      <c r="Q1988" s="5">
        <v>549</v>
      </c>
      <c r="R1988" s="74">
        <v>0.1</v>
      </c>
      <c r="S1988" s="75">
        <f>OrdersTable[[#This Row],[Quantity]]*OrdersTable[[#This Row],[Unit Price]]</f>
        <v>549</v>
      </c>
      <c r="T1988" s="5">
        <f>OrdersTable[[#This Row],[Gross Sale]]*OrdersTable[[#This Row],[Discount_Clean2]]</f>
        <v>54.900000000000006</v>
      </c>
      <c r="U1988" s="5">
        <f>OrdersTable[[#This Row],[Gross Sale]]-OrdersTable[[#This Row],[Discount Amount]]</f>
        <v>494.1</v>
      </c>
      <c r="V1988" s="77">
        <f>INDEX(Products!E:E,MATCH(OrdersTable[[#This Row],[Product ID]],Products!A:A,0))</f>
        <v>170</v>
      </c>
      <c r="W1988" s="77">
        <f>OrdersTable[[#This Row],[Quantity]]*OrdersTable[[#This Row],[Unit Cost]]</f>
        <v>170</v>
      </c>
      <c r="X1988" s="77">
        <f>'Dropdown Lists'!$I$2*(1+OrdersTable[[#This Row],[Returned]])</f>
        <v>60</v>
      </c>
      <c r="Y1988" s="76">
        <f>OrdersTable[[#This Row],[Net Revenue]]-OrdersTable[[#This Row],[COGS]]-OrdersTable[[#This Row],[Shipping Cost]]</f>
        <v>264.10000000000002</v>
      </c>
      <c r="Z1988" s="78">
        <f>IFERROR(OrdersTable[[#This Row],[Profit]]/OrdersTable[[#This Row],[Net Revenue]],0)</f>
        <v>0.53450718478040882</v>
      </c>
      <c r="AA1988" t="s">
        <v>18</v>
      </c>
      <c r="AB1988" s="79">
        <v>45644</v>
      </c>
      <c r="AC1988">
        <f>OrdersTable[[#This Row],[Delivery Date]]-OrdersTable[[#This Row],[Order Date]]</f>
        <v>5</v>
      </c>
      <c r="AD1988" t="str">
        <f>IF(OrdersTable[[#This Row],[Delivery Days]]&lt;=2, "Express (≤2d)", IF(OrdersTable[[#This Row],[Delivery Days]]&lt;=4, "Standard (3-4d)", "Delayed (5d+)"))</f>
        <v>Delayed (5d+)</v>
      </c>
      <c r="AE1988">
        <v>3</v>
      </c>
      <c r="AF1988">
        <v>0</v>
      </c>
    </row>
    <row r="1989" spans="1:32" ht="15" x14ac:dyDescent="0.35">
      <c r="A1989" t="s">
        <v>1063</v>
      </c>
      <c r="B1989" s="1">
        <v>45639</v>
      </c>
      <c r="C1989">
        <f>YEAR(OrdersTable[[#This Row],[Order Date]])</f>
        <v>2024</v>
      </c>
      <c r="D1989" s="2">
        <f>DATE(YEAR(OrdersTable[[#This Row],[Order Date]]),MONTH(OrdersTable[[#This Row],[Order Date]]),1)</f>
        <v>45627</v>
      </c>
      <c r="E1989">
        <f>MONTH(OrdersTable[[#This Row],[Order Date]])</f>
        <v>12</v>
      </c>
      <c r="F1989" t="s">
        <v>1064</v>
      </c>
      <c r="G1989" t="str">
        <f>IF(OrdersTable[[#This Row],[Order Date]]=_xlfn.MINIFS(Order_Date, Customer_ID, OrdersTable[[#This Row],[Customer ID]]), "New", "Repeat")</f>
        <v>New</v>
      </c>
      <c r="H1989" t="s">
        <v>59</v>
      </c>
      <c r="I1989" t="str">
        <f>INDEX(State!B:B,MATCH(OrdersTable[[#This Row],[State]],State!A:A,0))</f>
        <v>TN</v>
      </c>
      <c r="J1989" t="str">
        <f>INDEX(State!C:C,MATCH(OrdersTable[[#This Row],[State Code]],State!B:B,0))</f>
        <v>South</v>
      </c>
      <c r="K1989" t="s">
        <v>60</v>
      </c>
      <c r="L1989" t="s">
        <v>39</v>
      </c>
      <c r="M1989" t="s">
        <v>34</v>
      </c>
      <c r="N1989" t="str">
        <f>INDEX(Products!B:B,MATCH(OrdersTable[[#This Row],[Product ID]],Products!A:A,0))</f>
        <v>Flip Flops</v>
      </c>
      <c r="O1989" t="str">
        <f>INDEX(Products!C:C,MATCH(OrdersTable[[#This Row],[Product ID]],Products!A:A,0))</f>
        <v>Footwear</v>
      </c>
      <c r="P1989">
        <v>1</v>
      </c>
      <c r="Q1989" s="5">
        <v>399</v>
      </c>
      <c r="R1989" s="74">
        <v>0.05</v>
      </c>
      <c r="S1989" s="75">
        <f>OrdersTable[[#This Row],[Quantity]]*OrdersTable[[#This Row],[Unit Price]]</f>
        <v>399</v>
      </c>
      <c r="T1989" s="5">
        <f>OrdersTable[[#This Row],[Gross Sale]]*OrdersTable[[#This Row],[Discount_Clean2]]</f>
        <v>19.950000000000003</v>
      </c>
      <c r="U1989" s="5">
        <f>OrdersTable[[#This Row],[Gross Sale]]-OrdersTable[[#This Row],[Discount Amount]]</f>
        <v>379.05</v>
      </c>
      <c r="V1989" s="77">
        <f>INDEX(Products!E:E,MATCH(OrdersTable[[#This Row],[Product ID]],Products!A:A,0))</f>
        <v>152</v>
      </c>
      <c r="W1989" s="77">
        <f>OrdersTable[[#This Row],[Quantity]]*OrdersTable[[#This Row],[Unit Cost]]</f>
        <v>152</v>
      </c>
      <c r="X1989" s="77">
        <f>'Dropdown Lists'!$I$2*(1+OrdersTable[[#This Row],[Returned]])</f>
        <v>120</v>
      </c>
      <c r="Y1989" s="76">
        <f>OrdersTable[[#This Row],[Net Revenue]]-OrdersTable[[#This Row],[COGS]]-OrdersTable[[#This Row],[Shipping Cost]]</f>
        <v>107.05000000000001</v>
      </c>
      <c r="Z1989" s="78">
        <f>IFERROR(OrdersTable[[#This Row],[Profit]]/OrdersTable[[#This Row],[Net Revenue]],0)</f>
        <v>0.2824165677351273</v>
      </c>
      <c r="AA1989" t="s">
        <v>18</v>
      </c>
      <c r="AB1989" s="79">
        <v>45642</v>
      </c>
      <c r="AC1989">
        <f>OrdersTable[[#This Row],[Delivery Date]]-OrdersTable[[#This Row],[Order Date]]</f>
        <v>3</v>
      </c>
      <c r="AD1989" t="str">
        <f>IF(OrdersTable[[#This Row],[Delivery Days]]&lt;=2, "Express (≤2d)", IF(OrdersTable[[#This Row],[Delivery Days]]&lt;=4, "Standard (3-4d)", "Delayed (5d+)"))</f>
        <v>Standard (3-4d)</v>
      </c>
      <c r="AE1989">
        <v>4</v>
      </c>
      <c r="AF1989">
        <v>1</v>
      </c>
    </row>
    <row r="1990" spans="1:32" ht="15" x14ac:dyDescent="0.35">
      <c r="A1990" t="s">
        <v>5376</v>
      </c>
      <c r="B1990" s="1">
        <v>45640</v>
      </c>
      <c r="C1990">
        <f>YEAR(OrdersTable[[#This Row],[Order Date]])</f>
        <v>2024</v>
      </c>
      <c r="D1990" s="2">
        <f>DATE(YEAR(OrdersTable[[#This Row],[Order Date]]),MONTH(OrdersTable[[#This Row],[Order Date]]),1)</f>
        <v>45627</v>
      </c>
      <c r="E1990">
        <f>MONTH(OrdersTable[[#This Row],[Order Date]])</f>
        <v>12</v>
      </c>
      <c r="F1990" t="s">
        <v>3463</v>
      </c>
      <c r="G1990" t="str">
        <f>IF(OrdersTable[[#This Row],[Order Date]]=_xlfn.MINIFS(Order_Date, Customer_ID, OrdersTable[[#This Row],[Customer ID]]), "New", "Repeat")</f>
        <v>New</v>
      </c>
      <c r="H1990" t="s">
        <v>158</v>
      </c>
      <c r="I1990" t="str">
        <f>INDEX(State!B:B,MATCH(OrdersTable[[#This Row],[State]],State!A:A,0))</f>
        <v>HP</v>
      </c>
      <c r="J1990" t="str">
        <f>INDEX(State!C:C,MATCH(OrdersTable[[#This Row],[State Code]],State!B:B,0))</f>
        <v>North</v>
      </c>
      <c r="K1990" t="s">
        <v>159</v>
      </c>
      <c r="L1990" t="s">
        <v>65</v>
      </c>
      <c r="M1990" t="s">
        <v>106</v>
      </c>
      <c r="N1990" t="str">
        <f>INDEX(Products!B:B,MATCH(OrdersTable[[#This Row],[Product ID]],Products!A:A,0))</f>
        <v>Keratin Hair Mask</v>
      </c>
      <c r="O1990" t="str">
        <f>INDEX(Products!C:C,MATCH(OrdersTable[[#This Row],[Product ID]],Products!A:A,0))</f>
        <v>Haircare</v>
      </c>
      <c r="P1990">
        <v>2</v>
      </c>
      <c r="Q1990" s="5">
        <v>549</v>
      </c>
      <c r="R1990" s="74">
        <v>0.2</v>
      </c>
      <c r="S1990" s="75">
        <f>OrdersTable[[#This Row],[Quantity]]*OrdersTable[[#This Row],[Unit Price]]</f>
        <v>1098</v>
      </c>
      <c r="T1990" s="5">
        <f>OrdersTable[[#This Row],[Gross Sale]]*OrdersTable[[#This Row],[Discount_Clean2]]</f>
        <v>219.60000000000002</v>
      </c>
      <c r="U1990" s="5">
        <f>OrdersTable[[#This Row],[Gross Sale]]-OrdersTable[[#This Row],[Discount Amount]]</f>
        <v>878.4</v>
      </c>
      <c r="V1990" s="77">
        <f>INDEX(Products!E:E,MATCH(OrdersTable[[#This Row],[Product ID]],Products!A:A,0))</f>
        <v>170</v>
      </c>
      <c r="W1990" s="77">
        <f>OrdersTable[[#This Row],[Quantity]]*OrdersTable[[#This Row],[Unit Cost]]</f>
        <v>340</v>
      </c>
      <c r="X1990" s="77">
        <f>'Dropdown Lists'!$I$2*(1+OrdersTable[[#This Row],[Returned]])</f>
        <v>60</v>
      </c>
      <c r="Y1990" s="76">
        <f>OrdersTable[[#This Row],[Net Revenue]]-OrdersTable[[#This Row],[COGS]]-OrdersTable[[#This Row],[Shipping Cost]]</f>
        <v>478.4</v>
      </c>
      <c r="Z1990" s="78">
        <f>IFERROR(OrdersTable[[#This Row],[Profit]]/OrdersTable[[#This Row],[Net Revenue]],0)</f>
        <v>0.54462659380692169</v>
      </c>
      <c r="AA1990" t="s">
        <v>2522</v>
      </c>
      <c r="AB1990" s="79">
        <v>45645</v>
      </c>
      <c r="AC1990">
        <f>OrdersTable[[#This Row],[Delivery Date]]-OrdersTable[[#This Row],[Order Date]]</f>
        <v>5</v>
      </c>
      <c r="AD1990" t="str">
        <f>IF(OrdersTable[[#This Row],[Delivery Days]]&lt;=2, "Express (≤2d)", IF(OrdersTable[[#This Row],[Delivery Days]]&lt;=4, "Standard (3-4d)", "Delayed (5d+)"))</f>
        <v>Delayed (5d+)</v>
      </c>
      <c r="AF1990">
        <v>0</v>
      </c>
    </row>
    <row r="1991" spans="1:32" ht="15" x14ac:dyDescent="0.35">
      <c r="A1991" t="s">
        <v>3744</v>
      </c>
      <c r="B1991" s="1">
        <v>45640</v>
      </c>
      <c r="C1991">
        <f>YEAR(OrdersTable[[#This Row],[Order Date]])</f>
        <v>2024</v>
      </c>
      <c r="D1991" s="2">
        <f>DATE(YEAR(OrdersTable[[#This Row],[Order Date]]),MONTH(OrdersTable[[#This Row],[Order Date]]),1)</f>
        <v>45627</v>
      </c>
      <c r="E1991">
        <f>MONTH(OrdersTable[[#This Row],[Order Date]])</f>
        <v>12</v>
      </c>
      <c r="F1991" t="s">
        <v>1988</v>
      </c>
      <c r="G1991" t="str">
        <f>IF(OrdersTable[[#This Row],[Order Date]]=_xlfn.MINIFS(Order_Date, Customer_ID, OrdersTable[[#This Row],[Customer ID]]), "New", "Repeat")</f>
        <v>Repeat</v>
      </c>
      <c r="H1991" t="s">
        <v>76</v>
      </c>
      <c r="I1991" t="str">
        <f>INDEX(State!B:B,MATCH(OrdersTable[[#This Row],[State]],State!A:A,0))</f>
        <v>UP</v>
      </c>
      <c r="J1991" t="str">
        <f>INDEX(State!C:C,MATCH(OrdersTable[[#This Row],[State Code]],State!B:B,0))</f>
        <v>North</v>
      </c>
      <c r="K1991" t="s">
        <v>118</v>
      </c>
      <c r="L1991" t="s">
        <v>39</v>
      </c>
      <c r="M1991" t="s">
        <v>92</v>
      </c>
      <c r="N1991" t="str">
        <f>INDEX(Products!B:B,MATCH(OrdersTable[[#This Row],[Product ID]],Products!A:A,0))</f>
        <v>Kolhapuri Sandals</v>
      </c>
      <c r="O1991" t="str">
        <f>INDEX(Products!C:C,MATCH(OrdersTable[[#This Row],[Product ID]],Products!A:A,0))</f>
        <v>Footwear</v>
      </c>
      <c r="P1991">
        <v>1</v>
      </c>
      <c r="Q1991" s="5">
        <v>999</v>
      </c>
      <c r="R1991" s="74">
        <v>0.05</v>
      </c>
      <c r="S1991" s="75">
        <f>OrdersTable[[#This Row],[Quantity]]*OrdersTable[[#This Row],[Unit Price]]</f>
        <v>999</v>
      </c>
      <c r="T1991" s="5">
        <f>OrdersTable[[#This Row],[Gross Sale]]*OrdersTable[[#This Row],[Discount_Clean2]]</f>
        <v>49.95</v>
      </c>
      <c r="U1991" s="5">
        <f>OrdersTable[[#This Row],[Gross Sale]]-OrdersTable[[#This Row],[Discount Amount]]</f>
        <v>949.05</v>
      </c>
      <c r="V1991" s="77">
        <f>INDEX(Products!E:E,MATCH(OrdersTable[[#This Row],[Product ID]],Products!A:A,0))</f>
        <v>400</v>
      </c>
      <c r="W1991" s="77">
        <f>OrdersTable[[#This Row],[Quantity]]*OrdersTable[[#This Row],[Unit Cost]]</f>
        <v>400</v>
      </c>
      <c r="X1991" s="77">
        <f>'Dropdown Lists'!$I$2*(1+OrdersTable[[#This Row],[Returned]])</f>
        <v>60</v>
      </c>
      <c r="Y1991" s="76">
        <f>OrdersTable[[#This Row],[Net Revenue]]-OrdersTable[[#This Row],[COGS]]-OrdersTable[[#This Row],[Shipping Cost]]</f>
        <v>489.04999999999995</v>
      </c>
      <c r="Z1991" s="78">
        <f>IFERROR(OrdersTable[[#This Row],[Profit]]/OrdersTable[[#This Row],[Net Revenue]],0)</f>
        <v>0.5153047784626732</v>
      </c>
      <c r="AA1991" t="s">
        <v>3495</v>
      </c>
      <c r="AB1991" s="79">
        <v>45644</v>
      </c>
      <c r="AC1991">
        <f>OrdersTable[[#This Row],[Delivery Date]]-OrdersTable[[#This Row],[Order Date]]</f>
        <v>4</v>
      </c>
      <c r="AD1991" t="str">
        <f>IF(OrdersTable[[#This Row],[Delivery Days]]&lt;=2, "Express (≤2d)", IF(OrdersTable[[#This Row],[Delivery Days]]&lt;=4, "Standard (3-4d)", "Delayed (5d+)"))</f>
        <v>Standard (3-4d)</v>
      </c>
      <c r="AF1991">
        <v>0</v>
      </c>
    </row>
    <row r="1992" spans="1:32" ht="15" x14ac:dyDescent="0.35">
      <c r="A1992" t="s">
        <v>2337</v>
      </c>
      <c r="B1992" s="1">
        <v>45640</v>
      </c>
      <c r="C1992">
        <f>YEAR(OrdersTable[[#This Row],[Order Date]])</f>
        <v>2024</v>
      </c>
      <c r="D1992" s="2">
        <f>DATE(YEAR(OrdersTable[[#This Row],[Order Date]]),MONTH(OrdersTable[[#This Row],[Order Date]]),1)</f>
        <v>45627</v>
      </c>
      <c r="E1992">
        <f>MONTH(OrdersTable[[#This Row],[Order Date]])</f>
        <v>12</v>
      </c>
      <c r="F1992" t="s">
        <v>2338</v>
      </c>
      <c r="G1992" t="str">
        <f>IF(OrdersTable[[#This Row],[Order Date]]=_xlfn.MINIFS(Order_Date, Customer_ID, OrdersTable[[#This Row],[Customer ID]]), "New", "Repeat")</f>
        <v>Repeat</v>
      </c>
      <c r="H1992" t="s">
        <v>76</v>
      </c>
      <c r="I1992" t="str">
        <f>INDEX(State!B:B,MATCH(OrdersTable[[#This Row],[State]],State!A:A,0))</f>
        <v>UP</v>
      </c>
      <c r="J1992" t="str">
        <f>INDEX(State!C:C,MATCH(OrdersTable[[#This Row],[State Code]],State!B:B,0))</f>
        <v>North</v>
      </c>
      <c r="K1992" t="s">
        <v>118</v>
      </c>
      <c r="L1992" t="s">
        <v>50</v>
      </c>
      <c r="M1992" t="s">
        <v>56</v>
      </c>
      <c r="N1992" t="str">
        <f>INDEX(Products!B:B,MATCH(OrdersTable[[#This Row],[Product ID]],Products!A:A,0))</f>
        <v>Vitamin C Face Serum</v>
      </c>
      <c r="O1992" t="str">
        <f>INDEX(Products!C:C,MATCH(OrdersTable[[#This Row],[Product ID]],Products!A:A,0))</f>
        <v>Skincare</v>
      </c>
      <c r="P1992">
        <v>1</v>
      </c>
      <c r="Q1992" s="5">
        <v>599</v>
      </c>
      <c r="R1992" s="74">
        <v>0.25</v>
      </c>
      <c r="S1992" s="75">
        <f>OrdersTable[[#This Row],[Quantity]]*OrdersTable[[#This Row],[Unit Price]]</f>
        <v>599</v>
      </c>
      <c r="T1992" s="5">
        <f>OrdersTable[[#This Row],[Gross Sale]]*OrdersTable[[#This Row],[Discount_Clean2]]</f>
        <v>149.75</v>
      </c>
      <c r="U1992" s="5">
        <f>OrdersTable[[#This Row],[Gross Sale]]-OrdersTable[[#This Row],[Discount Amount]]</f>
        <v>449.25</v>
      </c>
      <c r="V1992" s="77">
        <f>INDEX(Products!E:E,MATCH(OrdersTable[[#This Row],[Product ID]],Products!A:A,0))</f>
        <v>180</v>
      </c>
      <c r="W1992" s="77">
        <f>OrdersTable[[#This Row],[Quantity]]*OrdersTable[[#This Row],[Unit Cost]]</f>
        <v>180</v>
      </c>
      <c r="X1992" s="77">
        <f>'Dropdown Lists'!$I$2*(1+OrdersTable[[#This Row],[Returned]])</f>
        <v>60</v>
      </c>
      <c r="Y1992" s="76">
        <f>OrdersTable[[#This Row],[Net Revenue]]-OrdersTable[[#This Row],[COGS]]-OrdersTable[[#This Row],[Shipping Cost]]</f>
        <v>209.25</v>
      </c>
      <c r="Z1992" s="78">
        <f>IFERROR(OrdersTable[[#This Row],[Profit]]/OrdersTable[[#This Row],[Net Revenue]],0)</f>
        <v>0.46577629382303842</v>
      </c>
      <c r="AA1992" t="s">
        <v>18</v>
      </c>
      <c r="AB1992" s="79">
        <v>45643</v>
      </c>
      <c r="AC1992">
        <f>OrdersTable[[#This Row],[Delivery Date]]-OrdersTable[[#This Row],[Order Date]]</f>
        <v>3</v>
      </c>
      <c r="AD1992" t="str">
        <f>IF(OrdersTable[[#This Row],[Delivery Days]]&lt;=2, "Express (≤2d)", IF(OrdersTable[[#This Row],[Delivery Days]]&lt;=4, "Standard (3-4d)", "Delayed (5d+)"))</f>
        <v>Standard (3-4d)</v>
      </c>
      <c r="AE1992">
        <v>5</v>
      </c>
      <c r="AF1992">
        <v>0</v>
      </c>
    </row>
    <row r="1993" spans="1:32" ht="15" x14ac:dyDescent="0.35">
      <c r="A1993" t="s">
        <v>5156</v>
      </c>
      <c r="B1993" s="1">
        <v>45640</v>
      </c>
      <c r="C1993">
        <f>YEAR(OrdersTable[[#This Row],[Order Date]])</f>
        <v>2024</v>
      </c>
      <c r="D1993" s="2">
        <f>DATE(YEAR(OrdersTable[[#This Row],[Order Date]]),MONTH(OrdersTable[[#This Row],[Order Date]]),1)</f>
        <v>45627</v>
      </c>
      <c r="E1993">
        <f>MONTH(OrdersTable[[#This Row],[Order Date]])</f>
        <v>12</v>
      </c>
      <c r="F1993" t="s">
        <v>761</v>
      </c>
      <c r="G1993" t="str">
        <f>IF(OrdersTable[[#This Row],[Order Date]]=_xlfn.MINIFS(Order_Date, Customer_ID, OrdersTable[[#This Row],[Customer ID]]), "New", "Repeat")</f>
        <v>Repeat</v>
      </c>
      <c r="H1993" t="s">
        <v>37</v>
      </c>
      <c r="I1993" t="str">
        <f>INDEX(State!B:B,MATCH(OrdersTable[[#This Row],[State]],State!A:A,0))</f>
        <v>GJ</v>
      </c>
      <c r="J1993" t="str">
        <f>INDEX(State!C:C,MATCH(OrdersTable[[#This Row],[State Code]],State!B:B,0))</f>
        <v>West</v>
      </c>
      <c r="K1993" t="s">
        <v>247</v>
      </c>
      <c r="L1993" t="s">
        <v>16</v>
      </c>
      <c r="M1993" t="s">
        <v>29</v>
      </c>
      <c r="N1993" t="str">
        <f>INDEX(Products!B:B,MATCH(OrdersTable[[#This Row],[Product ID]],Products!A:A,0))</f>
        <v>Joggers</v>
      </c>
      <c r="O1993" t="str">
        <f>INDEX(Products!C:C,MATCH(OrdersTable[[#This Row],[Product ID]],Products!A:A,0))</f>
        <v>Apparel</v>
      </c>
      <c r="P1993">
        <v>2</v>
      </c>
      <c r="Q1993" s="5">
        <v>1199</v>
      </c>
      <c r="R1993" s="74">
        <v>0.15</v>
      </c>
      <c r="S1993" s="75">
        <f>OrdersTable[[#This Row],[Quantity]]*OrdersTable[[#This Row],[Unit Price]]</f>
        <v>2398</v>
      </c>
      <c r="T1993" s="5">
        <f>OrdersTable[[#This Row],[Gross Sale]]*OrdersTable[[#This Row],[Discount_Clean2]]</f>
        <v>359.7</v>
      </c>
      <c r="U1993" s="5">
        <f>OrdersTable[[#This Row],[Gross Sale]]-OrdersTable[[#This Row],[Discount Amount]]</f>
        <v>2038.3</v>
      </c>
      <c r="V1993" s="77">
        <f>INDEX(Products!E:E,MATCH(OrdersTable[[#This Row],[Product ID]],Products!A:A,0))</f>
        <v>492</v>
      </c>
      <c r="W1993" s="77">
        <f>OrdersTable[[#This Row],[Quantity]]*OrdersTable[[#This Row],[Unit Cost]]</f>
        <v>984</v>
      </c>
      <c r="X1993" s="77">
        <f>'Dropdown Lists'!$I$2*(1+OrdersTable[[#This Row],[Returned]])</f>
        <v>60</v>
      </c>
      <c r="Y1993" s="76">
        <f>OrdersTable[[#This Row],[Net Revenue]]-OrdersTable[[#This Row],[COGS]]-OrdersTable[[#This Row],[Shipping Cost]]</f>
        <v>994.3</v>
      </c>
      <c r="Z1993" s="78">
        <f>IFERROR(OrdersTable[[#This Row],[Profit]]/OrdersTable[[#This Row],[Net Revenue]],0)</f>
        <v>0.48780846784084775</v>
      </c>
      <c r="AA1993" t="s">
        <v>3495</v>
      </c>
      <c r="AB1993" s="79">
        <v>45643</v>
      </c>
      <c r="AC1993">
        <f>OrdersTable[[#This Row],[Delivery Date]]-OrdersTable[[#This Row],[Order Date]]</f>
        <v>3</v>
      </c>
      <c r="AD1993" t="str">
        <f>IF(OrdersTable[[#This Row],[Delivery Days]]&lt;=2, "Express (≤2d)", IF(OrdersTable[[#This Row],[Delivery Days]]&lt;=4, "Standard (3-4d)", "Delayed (5d+)"))</f>
        <v>Standard (3-4d)</v>
      </c>
      <c r="AE1993">
        <v>4</v>
      </c>
      <c r="AF1993">
        <v>0</v>
      </c>
    </row>
    <row r="1994" spans="1:32" ht="15" x14ac:dyDescent="0.35">
      <c r="A1994" t="s">
        <v>5377</v>
      </c>
      <c r="B1994" s="1">
        <v>45640</v>
      </c>
      <c r="C1994">
        <f>YEAR(OrdersTable[[#This Row],[Order Date]])</f>
        <v>2024</v>
      </c>
      <c r="D1994" s="2">
        <f>DATE(YEAR(OrdersTable[[#This Row],[Order Date]]),MONTH(OrdersTable[[#This Row],[Order Date]]),1)</f>
        <v>45627</v>
      </c>
      <c r="E1994">
        <f>MONTH(OrdersTable[[#This Row],[Order Date]])</f>
        <v>12</v>
      </c>
      <c r="F1994" t="s">
        <v>1598</v>
      </c>
      <c r="G1994" t="str">
        <f>IF(OrdersTable[[#This Row],[Order Date]]=_xlfn.MINIFS(Order_Date, Customer_ID, OrdersTable[[#This Row],[Customer ID]]), "New", "Repeat")</f>
        <v>New</v>
      </c>
      <c r="H1994" t="s">
        <v>37</v>
      </c>
      <c r="I1994" t="str">
        <f>INDEX(State!B:B,MATCH(OrdersTable[[#This Row],[State]],State!A:A,0))</f>
        <v>GJ</v>
      </c>
      <c r="J1994" t="str">
        <f>INDEX(State!C:C,MATCH(OrdersTable[[#This Row],[State Code]],State!B:B,0))</f>
        <v>West</v>
      </c>
      <c r="K1994" t="s">
        <v>247</v>
      </c>
      <c r="L1994" t="s">
        <v>50</v>
      </c>
      <c r="M1994" t="s">
        <v>106</v>
      </c>
      <c r="N1994" t="str">
        <f>INDEX(Products!B:B,MATCH(OrdersTable[[#This Row],[Product ID]],Products!A:A,0))</f>
        <v>Keratin Hair Mask</v>
      </c>
      <c r="O1994" t="str">
        <f>INDEX(Products!C:C,MATCH(OrdersTable[[#This Row],[Product ID]],Products!A:A,0))</f>
        <v>Haircare</v>
      </c>
      <c r="P1994">
        <v>2</v>
      </c>
      <c r="Q1994" s="5">
        <v>549</v>
      </c>
      <c r="R1994" s="74">
        <v>0.1</v>
      </c>
      <c r="S1994" s="75">
        <f>OrdersTable[[#This Row],[Quantity]]*OrdersTable[[#This Row],[Unit Price]]</f>
        <v>1098</v>
      </c>
      <c r="T1994" s="5">
        <f>OrdersTable[[#This Row],[Gross Sale]]*OrdersTable[[#This Row],[Discount_Clean2]]</f>
        <v>109.80000000000001</v>
      </c>
      <c r="U1994" s="5">
        <f>OrdersTable[[#This Row],[Gross Sale]]-OrdersTable[[#This Row],[Discount Amount]]</f>
        <v>988.2</v>
      </c>
      <c r="V1994" s="77">
        <f>INDEX(Products!E:E,MATCH(OrdersTable[[#This Row],[Product ID]],Products!A:A,0))</f>
        <v>170</v>
      </c>
      <c r="W1994" s="77">
        <f>OrdersTable[[#This Row],[Quantity]]*OrdersTable[[#This Row],[Unit Cost]]</f>
        <v>340</v>
      </c>
      <c r="X1994" s="77">
        <f>'Dropdown Lists'!$I$2*(1+OrdersTable[[#This Row],[Returned]])</f>
        <v>120</v>
      </c>
      <c r="Y1994" s="76">
        <f>OrdersTable[[#This Row],[Net Revenue]]-OrdersTable[[#This Row],[COGS]]-OrdersTable[[#This Row],[Shipping Cost]]</f>
        <v>528.20000000000005</v>
      </c>
      <c r="Z1994" s="78">
        <f>IFERROR(OrdersTable[[#This Row],[Profit]]/OrdersTable[[#This Row],[Net Revenue]],0)</f>
        <v>0.53450718478040882</v>
      </c>
      <c r="AA1994" t="s">
        <v>2522</v>
      </c>
      <c r="AB1994" s="79">
        <v>45644</v>
      </c>
      <c r="AC1994">
        <f>OrdersTable[[#This Row],[Delivery Date]]-OrdersTable[[#This Row],[Order Date]]</f>
        <v>4</v>
      </c>
      <c r="AD1994" t="str">
        <f>IF(OrdersTable[[#This Row],[Delivery Days]]&lt;=2, "Express (≤2d)", IF(OrdersTable[[#This Row],[Delivery Days]]&lt;=4, "Standard (3-4d)", "Delayed (5d+)"))</f>
        <v>Standard (3-4d)</v>
      </c>
      <c r="AE1994">
        <v>3</v>
      </c>
      <c r="AF1994">
        <v>1</v>
      </c>
    </row>
    <row r="1995" spans="1:32" ht="15" x14ac:dyDescent="0.35">
      <c r="A1995" t="s">
        <v>6125</v>
      </c>
      <c r="B1995" s="1">
        <v>45640</v>
      </c>
      <c r="C1995">
        <f>YEAR(OrdersTable[[#This Row],[Order Date]])</f>
        <v>2024</v>
      </c>
      <c r="D1995" s="2">
        <f>DATE(YEAR(OrdersTable[[#This Row],[Order Date]]),MONTH(OrdersTable[[#This Row],[Order Date]]),1)</f>
        <v>45627</v>
      </c>
      <c r="E1995">
        <f>MONTH(OrdersTable[[#This Row],[Order Date]])</f>
        <v>12</v>
      </c>
      <c r="F1995" t="s">
        <v>6126</v>
      </c>
      <c r="G1995" t="str">
        <f>IF(OrdersTable[[#This Row],[Order Date]]=_xlfn.MINIFS(Order_Date, Customer_ID, OrdersTable[[#This Row],[Customer ID]]), "New", "Repeat")</f>
        <v>New</v>
      </c>
      <c r="H1995" t="s">
        <v>43</v>
      </c>
      <c r="I1995" t="str">
        <f>INDEX(State!B:B,MATCH(OrdersTable[[#This Row],[State]],State!A:A,0))</f>
        <v>MP</v>
      </c>
      <c r="J1995" t="str">
        <f>INDEX(State!C:C,MATCH(OrdersTable[[#This Row],[State Code]],State!B:B,0))</f>
        <v>West</v>
      </c>
      <c r="K1995" t="s">
        <v>250</v>
      </c>
      <c r="L1995" t="s">
        <v>39</v>
      </c>
      <c r="M1995" t="s">
        <v>56</v>
      </c>
      <c r="N1995" t="str">
        <f>INDEX(Products!B:B,MATCH(OrdersTable[[#This Row],[Product ID]],Products!A:A,0))</f>
        <v>Vitamin C Face Serum</v>
      </c>
      <c r="O1995" t="str">
        <f>INDEX(Products!C:C,MATCH(OrdersTable[[#This Row],[Product ID]],Products!A:A,0))</f>
        <v>Skincare</v>
      </c>
      <c r="P1995">
        <v>2</v>
      </c>
      <c r="Q1995" s="5">
        <v>599</v>
      </c>
      <c r="R1995" s="74">
        <v>0.1</v>
      </c>
      <c r="S1995" s="75">
        <f>OrdersTable[[#This Row],[Quantity]]*OrdersTable[[#This Row],[Unit Price]]</f>
        <v>1198</v>
      </c>
      <c r="T1995" s="5">
        <f>OrdersTable[[#This Row],[Gross Sale]]*OrdersTable[[#This Row],[Discount_Clean2]]</f>
        <v>119.80000000000001</v>
      </c>
      <c r="U1995" s="5">
        <f>OrdersTable[[#This Row],[Gross Sale]]-OrdersTable[[#This Row],[Discount Amount]]</f>
        <v>1078.2</v>
      </c>
      <c r="V1995" s="77">
        <f>INDEX(Products!E:E,MATCH(OrdersTable[[#This Row],[Product ID]],Products!A:A,0))</f>
        <v>180</v>
      </c>
      <c r="W1995" s="77">
        <f>OrdersTable[[#This Row],[Quantity]]*OrdersTable[[#This Row],[Unit Cost]]</f>
        <v>360</v>
      </c>
      <c r="X1995" s="77">
        <f>'Dropdown Lists'!$I$2*(1+OrdersTable[[#This Row],[Returned]])</f>
        <v>60</v>
      </c>
      <c r="Y1995" s="76">
        <f>OrdersTable[[#This Row],[Net Revenue]]-OrdersTable[[#This Row],[COGS]]-OrdersTable[[#This Row],[Shipping Cost]]</f>
        <v>658.2</v>
      </c>
      <c r="Z1995" s="78">
        <f>IFERROR(OrdersTable[[#This Row],[Profit]]/OrdersTable[[#This Row],[Net Revenue]],0)</f>
        <v>0.6104618809126322</v>
      </c>
      <c r="AA1995" t="s">
        <v>18</v>
      </c>
      <c r="AB1995" s="79">
        <v>45645</v>
      </c>
      <c r="AC1995">
        <f>OrdersTable[[#This Row],[Delivery Date]]-OrdersTable[[#This Row],[Order Date]]</f>
        <v>5</v>
      </c>
      <c r="AD1995" t="str">
        <f>IF(OrdersTable[[#This Row],[Delivery Days]]&lt;=2, "Express (≤2d)", IF(OrdersTable[[#This Row],[Delivery Days]]&lt;=4, "Standard (3-4d)", "Delayed (5d+)"))</f>
        <v>Delayed (5d+)</v>
      </c>
      <c r="AE1995">
        <v>4</v>
      </c>
      <c r="AF1995">
        <v>0</v>
      </c>
    </row>
    <row r="1996" spans="1:32" ht="15" x14ac:dyDescent="0.35">
      <c r="A1996" t="s">
        <v>791</v>
      </c>
      <c r="B1996" s="1">
        <v>45640</v>
      </c>
      <c r="C1996">
        <f>YEAR(OrdersTable[[#This Row],[Order Date]])</f>
        <v>2024</v>
      </c>
      <c r="D1996" s="2">
        <f>DATE(YEAR(OrdersTable[[#This Row],[Order Date]]),MONTH(OrdersTable[[#This Row],[Order Date]]),1)</f>
        <v>45627</v>
      </c>
      <c r="E1996">
        <f>MONTH(OrdersTable[[#This Row],[Order Date]])</f>
        <v>12</v>
      </c>
      <c r="F1996" t="s">
        <v>792</v>
      </c>
      <c r="G1996" t="str">
        <f>IF(OrdersTable[[#This Row],[Order Date]]=_xlfn.MINIFS(Order_Date, Customer_ID, OrdersTable[[#This Row],[Customer ID]]), "New", "Repeat")</f>
        <v>New</v>
      </c>
      <c r="H1996" t="s">
        <v>43</v>
      </c>
      <c r="I1996" t="str">
        <f>INDEX(State!B:B,MATCH(OrdersTable[[#This Row],[State]],State!A:A,0))</f>
        <v>MP</v>
      </c>
      <c r="J1996" t="str">
        <f>INDEX(State!C:C,MATCH(OrdersTable[[#This Row],[State Code]],State!B:B,0))</f>
        <v>West</v>
      </c>
      <c r="K1996" t="s">
        <v>250</v>
      </c>
      <c r="L1996" t="s">
        <v>50</v>
      </c>
      <c r="M1996" t="s">
        <v>73</v>
      </c>
      <c r="N1996" t="str">
        <f>INDEX(Products!B:B,MATCH(OrdersTable[[#This Row],[Product ID]],Products!A:A,0))</f>
        <v>Hydrating Face Wash</v>
      </c>
      <c r="O1996" t="str">
        <f>INDEX(Products!C:C,MATCH(OrdersTable[[#This Row],[Product ID]],Products!A:A,0))</f>
        <v>Skincare</v>
      </c>
      <c r="P1996">
        <v>1</v>
      </c>
      <c r="Q1996" s="5">
        <v>299</v>
      </c>
      <c r="R1996" s="74">
        <v>0</v>
      </c>
      <c r="S1996" s="75">
        <f>OrdersTable[[#This Row],[Quantity]]*OrdersTable[[#This Row],[Unit Price]]</f>
        <v>299</v>
      </c>
      <c r="T1996" s="5">
        <f>OrdersTable[[#This Row],[Gross Sale]]*OrdersTable[[#This Row],[Discount_Clean2]]</f>
        <v>0</v>
      </c>
      <c r="U1996" s="5">
        <f>OrdersTable[[#This Row],[Gross Sale]]-OrdersTable[[#This Row],[Discount Amount]]</f>
        <v>299</v>
      </c>
      <c r="V1996" s="77">
        <f>INDEX(Products!E:E,MATCH(OrdersTable[[#This Row],[Product ID]],Products!A:A,0))</f>
        <v>90</v>
      </c>
      <c r="W1996" s="77">
        <f>OrdersTable[[#This Row],[Quantity]]*OrdersTable[[#This Row],[Unit Cost]]</f>
        <v>90</v>
      </c>
      <c r="X1996" s="77">
        <f>'Dropdown Lists'!$I$2*(1+OrdersTable[[#This Row],[Returned]])</f>
        <v>60</v>
      </c>
      <c r="Y1996" s="76">
        <f>OrdersTable[[#This Row],[Net Revenue]]-OrdersTable[[#This Row],[COGS]]-OrdersTable[[#This Row],[Shipping Cost]]</f>
        <v>149</v>
      </c>
      <c r="Z1996" s="78">
        <f>IFERROR(OrdersTable[[#This Row],[Profit]]/OrdersTable[[#This Row],[Net Revenue]],0)</f>
        <v>0.49832775919732442</v>
      </c>
      <c r="AA1996" t="s">
        <v>18</v>
      </c>
      <c r="AB1996" s="79">
        <v>45645</v>
      </c>
      <c r="AC1996">
        <f>OrdersTable[[#This Row],[Delivery Date]]-OrdersTable[[#This Row],[Order Date]]</f>
        <v>5</v>
      </c>
      <c r="AD1996" t="str">
        <f>IF(OrdersTable[[#This Row],[Delivery Days]]&lt;=2, "Express (≤2d)", IF(OrdersTable[[#This Row],[Delivery Days]]&lt;=4, "Standard (3-4d)", "Delayed (5d+)"))</f>
        <v>Delayed (5d+)</v>
      </c>
      <c r="AE1996">
        <v>4</v>
      </c>
      <c r="AF1996">
        <v>0</v>
      </c>
    </row>
    <row r="1997" spans="1:32" ht="15" x14ac:dyDescent="0.35">
      <c r="A1997" t="s">
        <v>4000</v>
      </c>
      <c r="B1997" s="1">
        <v>45640</v>
      </c>
      <c r="C1997">
        <f>YEAR(OrdersTable[[#This Row],[Order Date]])</f>
        <v>2024</v>
      </c>
      <c r="D1997" s="2">
        <f>DATE(YEAR(OrdersTable[[#This Row],[Order Date]]),MONTH(OrdersTable[[#This Row],[Order Date]]),1)</f>
        <v>45627</v>
      </c>
      <c r="E1997">
        <f>MONTH(OrdersTable[[#This Row],[Order Date]])</f>
        <v>12</v>
      </c>
      <c r="F1997" t="s">
        <v>4001</v>
      </c>
      <c r="G1997" t="str">
        <f>IF(OrdersTable[[#This Row],[Order Date]]=_xlfn.MINIFS(Order_Date, Customer_ID, OrdersTable[[#This Row],[Customer ID]]), "New", "Repeat")</f>
        <v>New</v>
      </c>
      <c r="H1997" t="s">
        <v>27</v>
      </c>
      <c r="I1997" t="str">
        <f>INDEX(State!B:B,MATCH(OrdersTable[[#This Row],[State]],State!A:A,0))</f>
        <v>WB</v>
      </c>
      <c r="J1997" t="str">
        <f>INDEX(State!C:C,MATCH(OrdersTable[[#This Row],[State Code]],State!B:B,0))</f>
        <v>East</v>
      </c>
      <c r="K1997" t="s">
        <v>28</v>
      </c>
      <c r="L1997" t="s">
        <v>39</v>
      </c>
      <c r="M1997" t="s">
        <v>160</v>
      </c>
      <c r="N1997" t="str">
        <f>INDEX(Products!B:B,MATCH(OrdersTable[[#This Row],[Product ID]],Products!A:A,0))</f>
        <v>Niacinamide Toner</v>
      </c>
      <c r="O1997" t="str">
        <f>INDEX(Products!C:C,MATCH(OrdersTable[[#This Row],[Product ID]],Products!A:A,0))</f>
        <v>Skincare</v>
      </c>
      <c r="P1997">
        <v>1</v>
      </c>
      <c r="Q1997" s="5">
        <v>399</v>
      </c>
      <c r="R1997" s="74">
        <v>0.15</v>
      </c>
      <c r="S1997" s="75">
        <f>OrdersTable[[#This Row],[Quantity]]*OrdersTable[[#This Row],[Unit Price]]</f>
        <v>399</v>
      </c>
      <c r="T1997" s="5">
        <f>OrdersTable[[#This Row],[Gross Sale]]*OrdersTable[[#This Row],[Discount_Clean2]]</f>
        <v>59.849999999999994</v>
      </c>
      <c r="U1997" s="5">
        <f>OrdersTable[[#This Row],[Gross Sale]]-OrdersTable[[#This Row],[Discount Amount]]</f>
        <v>339.15</v>
      </c>
      <c r="V1997" s="77">
        <f>INDEX(Products!E:E,MATCH(OrdersTable[[#This Row],[Product ID]],Products!A:A,0))</f>
        <v>112</v>
      </c>
      <c r="W1997" s="77">
        <f>OrdersTable[[#This Row],[Quantity]]*OrdersTable[[#This Row],[Unit Cost]]</f>
        <v>112</v>
      </c>
      <c r="X1997" s="77">
        <f>'Dropdown Lists'!$I$2*(1+OrdersTable[[#This Row],[Returned]])</f>
        <v>120</v>
      </c>
      <c r="Y1997" s="76">
        <f>OrdersTable[[#This Row],[Net Revenue]]-OrdersTable[[#This Row],[COGS]]-OrdersTable[[#This Row],[Shipping Cost]]</f>
        <v>107.14999999999998</v>
      </c>
      <c r="Z1997" s="78">
        <f>IFERROR(OrdersTable[[#This Row],[Profit]]/OrdersTable[[#This Row],[Net Revenue]],0)</f>
        <v>0.31593690107621991</v>
      </c>
      <c r="AA1997" t="s">
        <v>3495</v>
      </c>
      <c r="AB1997" s="79">
        <v>45644</v>
      </c>
      <c r="AC1997">
        <f>OrdersTable[[#This Row],[Delivery Date]]-OrdersTable[[#This Row],[Order Date]]</f>
        <v>4</v>
      </c>
      <c r="AD1997" t="str">
        <f>IF(OrdersTable[[#This Row],[Delivery Days]]&lt;=2, "Express (≤2d)", IF(OrdersTable[[#This Row],[Delivery Days]]&lt;=4, "Standard (3-4d)", "Delayed (5d+)"))</f>
        <v>Standard (3-4d)</v>
      </c>
      <c r="AE1997">
        <v>5</v>
      </c>
      <c r="AF1997">
        <v>1</v>
      </c>
    </row>
    <row r="1998" spans="1:32" ht="15" x14ac:dyDescent="0.35">
      <c r="A1998" t="s">
        <v>542</v>
      </c>
      <c r="B1998" s="1">
        <v>45640</v>
      </c>
      <c r="C1998">
        <f>YEAR(OrdersTable[[#This Row],[Order Date]])</f>
        <v>2024</v>
      </c>
      <c r="D1998" s="2">
        <f>DATE(YEAR(OrdersTable[[#This Row],[Order Date]]),MONTH(OrdersTable[[#This Row],[Order Date]]),1)</f>
        <v>45627</v>
      </c>
      <c r="E1998">
        <f>MONTH(OrdersTable[[#This Row],[Order Date]])</f>
        <v>12</v>
      </c>
      <c r="F1998" t="s">
        <v>543</v>
      </c>
      <c r="G1998" t="str">
        <f>IF(OrdersTable[[#This Row],[Order Date]]=_xlfn.MINIFS(Order_Date, Customer_ID, OrdersTable[[#This Row],[Customer ID]]), "New", "Repeat")</f>
        <v>New</v>
      </c>
      <c r="H1998" t="s">
        <v>27</v>
      </c>
      <c r="I1998" t="str">
        <f>INDEX(State!B:B,MATCH(OrdersTable[[#This Row],[State]],State!A:A,0))</f>
        <v>WB</v>
      </c>
      <c r="J1998" t="str">
        <f>INDEX(State!C:C,MATCH(OrdersTable[[#This Row],[State Code]],State!B:B,0))</f>
        <v>East</v>
      </c>
      <c r="K1998" t="s">
        <v>28</v>
      </c>
      <c r="L1998" t="s">
        <v>39</v>
      </c>
      <c r="M1998" t="s">
        <v>45</v>
      </c>
      <c r="N1998" t="str">
        <f>INDEX(Products!B:B,MATCH(OrdersTable[[#This Row],[Product ID]],Products!A:A,0))</f>
        <v>Argan Shampoo</v>
      </c>
      <c r="O1998" t="str">
        <f>INDEX(Products!C:C,MATCH(OrdersTable[[#This Row],[Product ID]],Products!A:A,0))</f>
        <v>Haircare</v>
      </c>
      <c r="P1998">
        <v>1</v>
      </c>
      <c r="Q1998" s="5">
        <v>449</v>
      </c>
      <c r="R1998" s="74">
        <v>0</v>
      </c>
      <c r="S1998" s="75">
        <f>OrdersTable[[#This Row],[Quantity]]*OrdersTable[[#This Row],[Unit Price]]</f>
        <v>449</v>
      </c>
      <c r="T1998" s="5">
        <f>OrdersTable[[#This Row],[Gross Sale]]*OrdersTable[[#This Row],[Discount_Clean2]]</f>
        <v>0</v>
      </c>
      <c r="U1998" s="5">
        <f>OrdersTable[[#This Row],[Gross Sale]]-OrdersTable[[#This Row],[Discount Amount]]</f>
        <v>449</v>
      </c>
      <c r="V1998" s="77">
        <f>INDEX(Products!E:E,MATCH(OrdersTable[[#This Row],[Product ID]],Products!A:A,0))</f>
        <v>148</v>
      </c>
      <c r="W1998" s="77">
        <f>OrdersTable[[#This Row],[Quantity]]*OrdersTable[[#This Row],[Unit Cost]]</f>
        <v>148</v>
      </c>
      <c r="X1998" s="77">
        <f>'Dropdown Lists'!$I$2*(1+OrdersTable[[#This Row],[Returned]])</f>
        <v>60</v>
      </c>
      <c r="Y1998" s="76">
        <f>OrdersTable[[#This Row],[Net Revenue]]-OrdersTable[[#This Row],[COGS]]-OrdersTable[[#This Row],[Shipping Cost]]</f>
        <v>241</v>
      </c>
      <c r="Z1998" s="78">
        <f>IFERROR(OrdersTable[[#This Row],[Profit]]/OrdersTable[[#This Row],[Net Revenue]],0)</f>
        <v>0.53674832962138086</v>
      </c>
      <c r="AA1998" t="s">
        <v>18</v>
      </c>
      <c r="AB1998" s="79">
        <v>45641</v>
      </c>
      <c r="AC1998">
        <f>OrdersTable[[#This Row],[Delivery Date]]-OrdersTable[[#This Row],[Order Date]]</f>
        <v>1</v>
      </c>
      <c r="AD1998" t="str">
        <f>IF(OrdersTable[[#This Row],[Delivery Days]]&lt;=2, "Express (≤2d)", IF(OrdersTable[[#This Row],[Delivery Days]]&lt;=4, "Standard (3-4d)", "Delayed (5d+)"))</f>
        <v>Express (≤2d)</v>
      </c>
      <c r="AE1998">
        <v>4</v>
      </c>
      <c r="AF1998">
        <v>0</v>
      </c>
    </row>
    <row r="1999" spans="1:32" ht="15" x14ac:dyDescent="0.35">
      <c r="A1999" t="s">
        <v>1524</v>
      </c>
      <c r="B1999" s="1">
        <v>45640</v>
      </c>
      <c r="C1999">
        <f>YEAR(OrdersTable[[#This Row],[Order Date]])</f>
        <v>2024</v>
      </c>
      <c r="D1999" s="2">
        <f>DATE(YEAR(OrdersTable[[#This Row],[Order Date]]),MONTH(OrdersTable[[#This Row],[Order Date]]),1)</f>
        <v>45627</v>
      </c>
      <c r="E1999">
        <f>MONTH(OrdersTable[[#This Row],[Order Date]])</f>
        <v>12</v>
      </c>
      <c r="F1999" t="s">
        <v>1525</v>
      </c>
      <c r="G1999" t="str">
        <f>IF(OrdersTable[[#This Row],[Order Date]]=_xlfn.MINIFS(Order_Date, Customer_ID, OrdersTable[[#This Row],[Customer ID]]), "New", "Repeat")</f>
        <v>Repeat</v>
      </c>
      <c r="H1999" t="s">
        <v>59</v>
      </c>
      <c r="I1999" t="str">
        <f>INDEX(State!B:B,MATCH(OrdersTable[[#This Row],[State]],State!A:A,0))</f>
        <v>TN</v>
      </c>
      <c r="J1999" t="str">
        <f>INDEX(State!C:C,MATCH(OrdersTable[[#This Row],[State Code]],State!B:B,0))</f>
        <v>South</v>
      </c>
      <c r="K1999" t="s">
        <v>60</v>
      </c>
      <c r="L1999" t="s">
        <v>39</v>
      </c>
      <c r="M1999" t="s">
        <v>24</v>
      </c>
      <c r="N1999" t="str">
        <f>INDEX(Products!B:B,MATCH(OrdersTable[[#This Row],[Product ID]],Products!A:A,0))</f>
        <v>Scented Candle Set</v>
      </c>
      <c r="O1999" t="str">
        <f>INDEX(Products!C:C,MATCH(OrdersTable[[#This Row],[Product ID]],Products!A:A,0))</f>
        <v>Home &amp; Kitchen</v>
      </c>
      <c r="P1999">
        <v>1</v>
      </c>
      <c r="Q1999" s="5">
        <v>699</v>
      </c>
      <c r="R1999" s="74">
        <v>0.15</v>
      </c>
      <c r="S1999" s="75">
        <f>OrdersTable[[#This Row],[Quantity]]*OrdersTable[[#This Row],[Unit Price]]</f>
        <v>699</v>
      </c>
      <c r="T1999" s="5">
        <f>OrdersTable[[#This Row],[Gross Sale]]*OrdersTable[[#This Row],[Discount_Clean2]]</f>
        <v>104.85</v>
      </c>
      <c r="U1999" s="5">
        <f>OrdersTable[[#This Row],[Gross Sale]]-OrdersTable[[#This Row],[Discount Amount]]</f>
        <v>594.15</v>
      </c>
      <c r="V1999" s="77">
        <f>INDEX(Products!E:E,MATCH(OrdersTable[[#This Row],[Product ID]],Products!A:A,0))</f>
        <v>245</v>
      </c>
      <c r="W1999" s="77">
        <f>OrdersTable[[#This Row],[Quantity]]*OrdersTable[[#This Row],[Unit Cost]]</f>
        <v>245</v>
      </c>
      <c r="X1999" s="77">
        <f>'Dropdown Lists'!$I$2*(1+OrdersTable[[#This Row],[Returned]])</f>
        <v>60</v>
      </c>
      <c r="Y1999" s="76">
        <f>OrdersTable[[#This Row],[Net Revenue]]-OrdersTable[[#This Row],[COGS]]-OrdersTable[[#This Row],[Shipping Cost]]</f>
        <v>289.14999999999998</v>
      </c>
      <c r="Z1999" s="78">
        <f>IFERROR(OrdersTable[[#This Row],[Profit]]/OrdersTable[[#This Row],[Net Revenue]],0)</f>
        <v>0.48666161743667424</v>
      </c>
      <c r="AA1999" t="s">
        <v>18</v>
      </c>
      <c r="AB1999" s="79">
        <v>45645</v>
      </c>
      <c r="AC1999">
        <f>OrdersTable[[#This Row],[Delivery Date]]-OrdersTable[[#This Row],[Order Date]]</f>
        <v>5</v>
      </c>
      <c r="AD1999" t="str">
        <f>IF(OrdersTable[[#This Row],[Delivery Days]]&lt;=2, "Express (≤2d)", IF(OrdersTable[[#This Row],[Delivery Days]]&lt;=4, "Standard (3-4d)", "Delayed (5d+)"))</f>
        <v>Delayed (5d+)</v>
      </c>
      <c r="AF1999">
        <v>0</v>
      </c>
    </row>
    <row r="2000" spans="1:32" ht="15" x14ac:dyDescent="0.35">
      <c r="A2000" t="s">
        <v>233</v>
      </c>
      <c r="B2000" s="1">
        <v>45641</v>
      </c>
      <c r="C2000">
        <f>YEAR(OrdersTable[[#This Row],[Order Date]])</f>
        <v>2024</v>
      </c>
      <c r="D2000" s="2">
        <f>DATE(YEAR(OrdersTable[[#This Row],[Order Date]]),MONTH(OrdersTable[[#This Row],[Order Date]]),1)</f>
        <v>45627</v>
      </c>
      <c r="E2000">
        <f>MONTH(OrdersTable[[#This Row],[Order Date]])</f>
        <v>12</v>
      </c>
      <c r="F2000" t="s">
        <v>234</v>
      </c>
      <c r="G2000" t="str">
        <f>IF(OrdersTable[[#This Row],[Order Date]]=_xlfn.MINIFS(Order_Date, Customer_ID, OrdersTable[[#This Row],[Customer ID]]), "New", "Repeat")</f>
        <v>Repeat</v>
      </c>
      <c r="H2000" t="s">
        <v>54</v>
      </c>
      <c r="I2000" t="str">
        <f>INDEX(State!B:B,MATCH(OrdersTable[[#This Row],[State]],State!A:A,0))</f>
        <v>RJ</v>
      </c>
      <c r="J2000" t="str">
        <f>INDEX(State!C:C,MATCH(OrdersTable[[#This Row],[State Code]],State!B:B,0))</f>
        <v>North</v>
      </c>
      <c r="K2000" t="s">
        <v>227</v>
      </c>
      <c r="L2000" t="s">
        <v>23</v>
      </c>
      <c r="M2000" t="s">
        <v>87</v>
      </c>
      <c r="N2000" t="str">
        <f>INDEX(Products!B:B,MATCH(OrdersTable[[#This Row],[Product ID]],Products!A:A,0))</f>
        <v>Linen Kurta</v>
      </c>
      <c r="O2000" t="str">
        <f>INDEX(Products!C:C,MATCH(OrdersTable[[#This Row],[Product ID]],Products!A:A,0))</f>
        <v>Apparel</v>
      </c>
      <c r="P2000">
        <v>1</v>
      </c>
      <c r="Q2000" s="5">
        <v>1499</v>
      </c>
      <c r="R2000" s="74">
        <v>0.3</v>
      </c>
      <c r="S2000" s="75">
        <f>OrdersTable[[#This Row],[Quantity]]*OrdersTable[[#This Row],[Unit Price]]</f>
        <v>1499</v>
      </c>
      <c r="T2000" s="5">
        <f>OrdersTable[[#This Row],[Gross Sale]]*OrdersTable[[#This Row],[Discount_Clean2]]</f>
        <v>449.7</v>
      </c>
      <c r="U2000" s="5">
        <f>OrdersTable[[#This Row],[Gross Sale]]-OrdersTable[[#This Row],[Discount Amount]]</f>
        <v>1049.3</v>
      </c>
      <c r="V2000" s="77">
        <f>INDEX(Products!E:E,MATCH(OrdersTable[[#This Row],[Product ID]],Products!A:A,0))</f>
        <v>630</v>
      </c>
      <c r="W2000" s="77">
        <f>OrdersTable[[#This Row],[Quantity]]*OrdersTable[[#This Row],[Unit Cost]]</f>
        <v>630</v>
      </c>
      <c r="X2000" s="77">
        <f>'Dropdown Lists'!$I$2*(1+OrdersTable[[#This Row],[Returned]])</f>
        <v>60</v>
      </c>
      <c r="Y2000" s="76">
        <f>OrdersTable[[#This Row],[Net Revenue]]-OrdersTable[[#This Row],[COGS]]-OrdersTable[[#This Row],[Shipping Cost]]</f>
        <v>359.29999999999995</v>
      </c>
      <c r="Z2000" s="78">
        <f>IFERROR(OrdersTable[[#This Row],[Profit]]/OrdersTable[[#This Row],[Net Revenue]],0)</f>
        <v>0.34241875536071664</v>
      </c>
      <c r="AA2000" t="s">
        <v>18</v>
      </c>
      <c r="AB2000" s="79">
        <v>45645</v>
      </c>
      <c r="AC2000">
        <f>OrdersTable[[#This Row],[Delivery Date]]-OrdersTable[[#This Row],[Order Date]]</f>
        <v>4</v>
      </c>
      <c r="AD2000" t="str">
        <f>IF(OrdersTable[[#This Row],[Delivery Days]]&lt;=2, "Express (≤2d)", IF(OrdersTable[[#This Row],[Delivery Days]]&lt;=4, "Standard (3-4d)", "Delayed (5d+)"))</f>
        <v>Standard (3-4d)</v>
      </c>
      <c r="AE2000">
        <v>4</v>
      </c>
      <c r="AF2000">
        <v>0</v>
      </c>
    </row>
    <row r="2001" spans="1:32" ht="15" x14ac:dyDescent="0.35">
      <c r="A2001" t="s">
        <v>4962</v>
      </c>
      <c r="B2001" s="1">
        <v>45641</v>
      </c>
      <c r="C2001">
        <f>YEAR(OrdersTable[[#This Row],[Order Date]])</f>
        <v>2024</v>
      </c>
      <c r="D2001" s="2">
        <f>DATE(YEAR(OrdersTable[[#This Row],[Order Date]]),MONTH(OrdersTable[[#This Row],[Order Date]]),1)</f>
        <v>45627</v>
      </c>
      <c r="E2001">
        <f>MONTH(OrdersTable[[#This Row],[Order Date]])</f>
        <v>12</v>
      </c>
      <c r="F2001" t="s">
        <v>4963</v>
      </c>
      <c r="G2001" t="str">
        <f>IF(OrdersTable[[#This Row],[Order Date]]=_xlfn.MINIFS(Order_Date, Customer_ID, OrdersTable[[#This Row],[Customer ID]]), "New", "Repeat")</f>
        <v>Repeat</v>
      </c>
      <c r="H2001" t="s">
        <v>48</v>
      </c>
      <c r="I2001" t="str">
        <f>INDEX(State!B:B,MATCH(OrdersTable[[#This Row],[State]],State!A:A,0))</f>
        <v>HR</v>
      </c>
      <c r="J2001" t="str">
        <f>INDEX(State!C:C,MATCH(OrdersTable[[#This Row],[State Code]],State!B:B,0))</f>
        <v>North</v>
      </c>
      <c r="K2001" t="s">
        <v>49</v>
      </c>
      <c r="L2001" t="s">
        <v>50</v>
      </c>
      <c r="M2001" t="s">
        <v>73</v>
      </c>
      <c r="N2001" t="str">
        <f>INDEX(Products!B:B,MATCH(OrdersTable[[#This Row],[Product ID]],Products!A:A,0))</f>
        <v>Hydrating Face Wash</v>
      </c>
      <c r="O2001" t="str">
        <f>INDEX(Products!C:C,MATCH(OrdersTable[[#This Row],[Product ID]],Products!A:A,0))</f>
        <v>Skincare</v>
      </c>
      <c r="P2001">
        <v>2</v>
      </c>
      <c r="Q2001" s="5">
        <v>299</v>
      </c>
      <c r="R2001" s="74">
        <v>0.1</v>
      </c>
      <c r="S2001" s="75">
        <f>OrdersTable[[#This Row],[Quantity]]*OrdersTable[[#This Row],[Unit Price]]</f>
        <v>598</v>
      </c>
      <c r="T2001" s="5">
        <f>OrdersTable[[#This Row],[Gross Sale]]*OrdersTable[[#This Row],[Discount_Clean2]]</f>
        <v>59.800000000000004</v>
      </c>
      <c r="U2001" s="5">
        <f>OrdersTable[[#This Row],[Gross Sale]]-OrdersTable[[#This Row],[Discount Amount]]</f>
        <v>538.20000000000005</v>
      </c>
      <c r="V2001" s="77">
        <f>INDEX(Products!E:E,MATCH(OrdersTable[[#This Row],[Product ID]],Products!A:A,0))</f>
        <v>90</v>
      </c>
      <c r="W2001" s="77">
        <f>OrdersTable[[#This Row],[Quantity]]*OrdersTable[[#This Row],[Unit Cost]]</f>
        <v>180</v>
      </c>
      <c r="X2001" s="77">
        <f>'Dropdown Lists'!$I$2*(1+OrdersTable[[#This Row],[Returned]])</f>
        <v>60</v>
      </c>
      <c r="Y2001" s="76">
        <f>OrdersTable[[#This Row],[Net Revenue]]-OrdersTable[[#This Row],[COGS]]-OrdersTable[[#This Row],[Shipping Cost]]</f>
        <v>298.20000000000005</v>
      </c>
      <c r="Z2001" s="78">
        <f>IFERROR(OrdersTable[[#This Row],[Profit]]/OrdersTable[[#This Row],[Net Revenue]],0)</f>
        <v>0.55406911928651059</v>
      </c>
      <c r="AA2001" t="s">
        <v>4074</v>
      </c>
      <c r="AB2001" s="79">
        <v>45642</v>
      </c>
      <c r="AC2001">
        <f>OrdersTable[[#This Row],[Delivery Date]]-OrdersTable[[#This Row],[Order Date]]</f>
        <v>1</v>
      </c>
      <c r="AD2001" t="str">
        <f>IF(OrdersTable[[#This Row],[Delivery Days]]&lt;=2, "Express (≤2d)", IF(OrdersTable[[#This Row],[Delivery Days]]&lt;=4, "Standard (3-4d)", "Delayed (5d+)"))</f>
        <v>Express (≤2d)</v>
      </c>
      <c r="AE2001">
        <v>4</v>
      </c>
      <c r="AF2001">
        <v>0</v>
      </c>
    </row>
    <row r="2002" spans="1:32" ht="15" x14ac:dyDescent="0.35">
      <c r="A2002" t="s">
        <v>5918</v>
      </c>
      <c r="B2002" s="1">
        <v>45641</v>
      </c>
      <c r="C2002">
        <f>YEAR(OrdersTable[[#This Row],[Order Date]])</f>
        <v>2024</v>
      </c>
      <c r="D2002" s="2">
        <f>DATE(YEAR(OrdersTable[[#This Row],[Order Date]]),MONTH(OrdersTable[[#This Row],[Order Date]]),1)</f>
        <v>45627</v>
      </c>
      <c r="E2002">
        <f>MONTH(OrdersTable[[#This Row],[Order Date]])</f>
        <v>12</v>
      </c>
      <c r="F2002" t="s">
        <v>1626</v>
      </c>
      <c r="G2002" t="str">
        <f>IF(OrdersTable[[#This Row],[Order Date]]=_xlfn.MINIFS(Order_Date, Customer_ID, OrdersTable[[#This Row],[Customer ID]]), "New", "Repeat")</f>
        <v>Repeat</v>
      </c>
      <c r="H2002" t="s">
        <v>37</v>
      </c>
      <c r="I2002" t="str">
        <f>INDEX(State!B:B,MATCH(OrdersTable[[#This Row],[State]],State!A:A,0))</f>
        <v>GJ</v>
      </c>
      <c r="J2002" t="str">
        <f>INDEX(State!C:C,MATCH(OrdersTable[[#This Row],[State Code]],State!B:B,0))</f>
        <v>West</v>
      </c>
      <c r="K2002" t="s">
        <v>247</v>
      </c>
      <c r="L2002" t="s">
        <v>23</v>
      </c>
      <c r="M2002" t="s">
        <v>87</v>
      </c>
      <c r="N2002" t="str">
        <f>INDEX(Products!B:B,MATCH(OrdersTable[[#This Row],[Product ID]],Products!A:A,0))</f>
        <v>Linen Kurta</v>
      </c>
      <c r="O2002" t="str">
        <f>INDEX(Products!C:C,MATCH(OrdersTable[[#This Row],[Product ID]],Products!A:A,0))</f>
        <v>Apparel</v>
      </c>
      <c r="P2002">
        <v>2</v>
      </c>
      <c r="Q2002" s="5">
        <v>1499</v>
      </c>
      <c r="R2002" s="74">
        <v>0.3</v>
      </c>
      <c r="S2002" s="75">
        <f>OrdersTable[[#This Row],[Quantity]]*OrdersTable[[#This Row],[Unit Price]]</f>
        <v>2998</v>
      </c>
      <c r="T2002" s="5">
        <f>OrdersTable[[#This Row],[Gross Sale]]*OrdersTable[[#This Row],[Discount_Clean2]]</f>
        <v>899.4</v>
      </c>
      <c r="U2002" s="5">
        <f>OrdersTable[[#This Row],[Gross Sale]]-OrdersTable[[#This Row],[Discount Amount]]</f>
        <v>2098.6</v>
      </c>
      <c r="V2002" s="77">
        <f>INDEX(Products!E:E,MATCH(OrdersTable[[#This Row],[Product ID]],Products!A:A,0))</f>
        <v>630</v>
      </c>
      <c r="W2002" s="77">
        <f>OrdersTable[[#This Row],[Quantity]]*OrdersTable[[#This Row],[Unit Cost]]</f>
        <v>1260</v>
      </c>
      <c r="X2002" s="77">
        <f>'Dropdown Lists'!$I$2*(1+OrdersTable[[#This Row],[Returned]])</f>
        <v>60</v>
      </c>
      <c r="Y2002" s="76">
        <f>OrdersTable[[#This Row],[Net Revenue]]-OrdersTable[[#This Row],[COGS]]-OrdersTable[[#This Row],[Shipping Cost]]</f>
        <v>778.59999999999991</v>
      </c>
      <c r="Z2002" s="78">
        <f>IFERROR(OrdersTable[[#This Row],[Profit]]/OrdersTable[[#This Row],[Net Revenue]],0)</f>
        <v>0.3710092442580768</v>
      </c>
      <c r="AA2002" t="s">
        <v>18</v>
      </c>
      <c r="AB2002" s="79">
        <v>45644</v>
      </c>
      <c r="AC2002">
        <f>OrdersTable[[#This Row],[Delivery Date]]-OrdersTable[[#This Row],[Order Date]]</f>
        <v>3</v>
      </c>
      <c r="AD2002" t="str">
        <f>IF(OrdersTable[[#This Row],[Delivery Days]]&lt;=2, "Express (≤2d)", IF(OrdersTable[[#This Row],[Delivery Days]]&lt;=4, "Standard (3-4d)", "Delayed (5d+)"))</f>
        <v>Standard (3-4d)</v>
      </c>
      <c r="AF2002">
        <v>0</v>
      </c>
    </row>
    <row r="2003" spans="1:32" ht="15" x14ac:dyDescent="0.35">
      <c r="A2003" t="s">
        <v>2590</v>
      </c>
      <c r="B2003" s="1">
        <v>45641</v>
      </c>
      <c r="C2003">
        <f>YEAR(OrdersTable[[#This Row],[Order Date]])</f>
        <v>2024</v>
      </c>
      <c r="D2003" s="2">
        <f>DATE(YEAR(OrdersTable[[#This Row],[Order Date]]),MONTH(OrdersTable[[#This Row],[Order Date]]),1)</f>
        <v>45627</v>
      </c>
      <c r="E2003">
        <f>MONTH(OrdersTable[[#This Row],[Order Date]])</f>
        <v>12</v>
      </c>
      <c r="F2003" t="s">
        <v>2591</v>
      </c>
      <c r="G2003" t="str">
        <f>IF(OrdersTable[[#This Row],[Order Date]]=_xlfn.MINIFS(Order_Date, Customer_ID, OrdersTable[[#This Row],[Customer ID]]), "New", "Repeat")</f>
        <v>Repeat</v>
      </c>
      <c r="H2003" t="s">
        <v>43</v>
      </c>
      <c r="I2003" t="str">
        <f>INDEX(State!B:B,MATCH(OrdersTable[[#This Row],[State]],State!A:A,0))</f>
        <v>MP</v>
      </c>
      <c r="J2003" t="str">
        <f>INDEX(State!C:C,MATCH(OrdersTable[[#This Row],[State Code]],State!B:B,0))</f>
        <v>West</v>
      </c>
      <c r="K2003" t="s">
        <v>44</v>
      </c>
      <c r="L2003" t="s">
        <v>65</v>
      </c>
      <c r="M2003" t="s">
        <v>61</v>
      </c>
      <c r="N2003" t="str">
        <f>INDEX(Products!B:B,MATCH(OrdersTable[[#This Row],[Product ID]],Products!A:A,0))</f>
        <v>Multivitamin Gummies</v>
      </c>
      <c r="O2003" t="str">
        <f>INDEX(Products!C:C,MATCH(OrdersTable[[#This Row],[Product ID]],Products!A:A,0))</f>
        <v>Wellness</v>
      </c>
      <c r="P2003">
        <v>1</v>
      </c>
      <c r="Q2003" s="5">
        <v>699</v>
      </c>
      <c r="R2003" s="74">
        <v>0.2</v>
      </c>
      <c r="S2003" s="75">
        <f>OrdersTable[[#This Row],[Quantity]]*OrdersTable[[#This Row],[Unit Price]]</f>
        <v>699</v>
      </c>
      <c r="T2003" s="5">
        <f>OrdersTable[[#This Row],[Gross Sale]]*OrdersTable[[#This Row],[Discount_Clean2]]</f>
        <v>139.80000000000001</v>
      </c>
      <c r="U2003" s="5">
        <f>OrdersTable[[#This Row],[Gross Sale]]-OrdersTable[[#This Row],[Discount Amount]]</f>
        <v>559.20000000000005</v>
      </c>
      <c r="V2003" s="77">
        <f>INDEX(Products!E:E,MATCH(OrdersTable[[#This Row],[Product ID]],Products!A:A,0))</f>
        <v>238</v>
      </c>
      <c r="W2003" s="77">
        <f>OrdersTable[[#This Row],[Quantity]]*OrdersTable[[#This Row],[Unit Cost]]</f>
        <v>238</v>
      </c>
      <c r="X2003" s="77">
        <f>'Dropdown Lists'!$I$2*(1+OrdersTable[[#This Row],[Returned]])</f>
        <v>60</v>
      </c>
      <c r="Y2003" s="76">
        <f>OrdersTable[[#This Row],[Net Revenue]]-OrdersTable[[#This Row],[COGS]]-OrdersTable[[#This Row],[Shipping Cost]]</f>
        <v>261.20000000000005</v>
      </c>
      <c r="Z2003" s="78">
        <f>IFERROR(OrdersTable[[#This Row],[Profit]]/OrdersTable[[#This Row],[Net Revenue]],0)</f>
        <v>0.46709585121602293</v>
      </c>
      <c r="AA2003" t="s">
        <v>2522</v>
      </c>
      <c r="AB2003" s="79">
        <v>45643</v>
      </c>
      <c r="AC2003">
        <f>OrdersTable[[#This Row],[Delivery Date]]-OrdersTable[[#This Row],[Order Date]]</f>
        <v>2</v>
      </c>
      <c r="AD2003" t="str">
        <f>IF(OrdersTable[[#This Row],[Delivery Days]]&lt;=2, "Express (≤2d)", IF(OrdersTable[[#This Row],[Delivery Days]]&lt;=4, "Standard (3-4d)", "Delayed (5d+)"))</f>
        <v>Express (≤2d)</v>
      </c>
      <c r="AE2003">
        <v>5</v>
      </c>
      <c r="AF2003">
        <v>0</v>
      </c>
    </row>
    <row r="2004" spans="1:32" ht="15" x14ac:dyDescent="0.35">
      <c r="A2004" t="s">
        <v>6127</v>
      </c>
      <c r="B2004" s="1">
        <v>45641</v>
      </c>
      <c r="C2004">
        <f>YEAR(OrdersTable[[#This Row],[Order Date]])</f>
        <v>2024</v>
      </c>
      <c r="D2004" s="2">
        <f>DATE(YEAR(OrdersTable[[#This Row],[Order Date]]),MONTH(OrdersTable[[#This Row],[Order Date]]),1)</f>
        <v>45627</v>
      </c>
      <c r="E2004">
        <f>MONTH(OrdersTable[[#This Row],[Order Date]])</f>
        <v>12</v>
      </c>
      <c r="F2004" t="s">
        <v>4132</v>
      </c>
      <c r="G2004" t="str">
        <f>IF(OrdersTable[[#This Row],[Order Date]]=_xlfn.MINIFS(Order_Date, Customer_ID, OrdersTable[[#This Row],[Customer ID]]), "New", "Repeat")</f>
        <v>New</v>
      </c>
      <c r="H2004" t="s">
        <v>43</v>
      </c>
      <c r="I2004" t="str">
        <f>INDEX(State!B:B,MATCH(OrdersTable[[#This Row],[State]],State!A:A,0))</f>
        <v>MP</v>
      </c>
      <c r="J2004" t="str">
        <f>INDEX(State!C:C,MATCH(OrdersTable[[#This Row],[State Code]],State!B:B,0))</f>
        <v>West</v>
      </c>
      <c r="K2004" t="s">
        <v>44</v>
      </c>
      <c r="L2004" t="s">
        <v>23</v>
      </c>
      <c r="M2004" t="s">
        <v>92</v>
      </c>
      <c r="N2004" t="str">
        <f>INDEX(Products!B:B,MATCH(OrdersTable[[#This Row],[Product ID]],Products!A:A,0))</f>
        <v>Kolhapuri Sandals</v>
      </c>
      <c r="O2004" t="str">
        <f>INDEX(Products!C:C,MATCH(OrdersTable[[#This Row],[Product ID]],Products!A:A,0))</f>
        <v>Footwear</v>
      </c>
      <c r="P2004">
        <v>2</v>
      </c>
      <c r="Q2004" s="5">
        <v>999</v>
      </c>
      <c r="R2004" s="74">
        <v>0</v>
      </c>
      <c r="S2004" s="75">
        <f>OrdersTable[[#This Row],[Quantity]]*OrdersTable[[#This Row],[Unit Price]]</f>
        <v>1998</v>
      </c>
      <c r="T2004" s="5">
        <f>OrdersTable[[#This Row],[Gross Sale]]*OrdersTable[[#This Row],[Discount_Clean2]]</f>
        <v>0</v>
      </c>
      <c r="U2004" s="5">
        <f>OrdersTable[[#This Row],[Gross Sale]]-OrdersTable[[#This Row],[Discount Amount]]</f>
        <v>1998</v>
      </c>
      <c r="V2004" s="77">
        <f>INDEX(Products!E:E,MATCH(OrdersTable[[#This Row],[Product ID]],Products!A:A,0))</f>
        <v>400</v>
      </c>
      <c r="W2004" s="77">
        <f>OrdersTable[[#This Row],[Quantity]]*OrdersTable[[#This Row],[Unit Cost]]</f>
        <v>800</v>
      </c>
      <c r="X2004" s="77">
        <f>'Dropdown Lists'!$I$2*(1+OrdersTable[[#This Row],[Returned]])</f>
        <v>60</v>
      </c>
      <c r="Y2004" s="76">
        <f>OrdersTable[[#This Row],[Net Revenue]]-OrdersTable[[#This Row],[COGS]]-OrdersTable[[#This Row],[Shipping Cost]]</f>
        <v>1138</v>
      </c>
      <c r="Z2004" s="78">
        <f>IFERROR(OrdersTable[[#This Row],[Profit]]/OrdersTable[[#This Row],[Net Revenue]],0)</f>
        <v>0.56956956956956961</v>
      </c>
      <c r="AA2004" t="s">
        <v>18</v>
      </c>
      <c r="AB2004" s="79">
        <v>45645</v>
      </c>
      <c r="AC2004">
        <f>OrdersTable[[#This Row],[Delivery Date]]-OrdersTable[[#This Row],[Order Date]]</f>
        <v>4</v>
      </c>
      <c r="AD2004" t="str">
        <f>IF(OrdersTable[[#This Row],[Delivery Days]]&lt;=2, "Express (≤2d)", IF(OrdersTable[[#This Row],[Delivery Days]]&lt;=4, "Standard (3-4d)", "Delayed (5d+)"))</f>
        <v>Standard (3-4d)</v>
      </c>
      <c r="AE2004">
        <v>4</v>
      </c>
      <c r="AF2004">
        <v>0</v>
      </c>
    </row>
    <row r="2005" spans="1:32" ht="15" x14ac:dyDescent="0.35">
      <c r="A2005" t="s">
        <v>6541</v>
      </c>
      <c r="B2005" s="1">
        <v>45641</v>
      </c>
      <c r="C2005">
        <f>YEAR(OrdersTable[[#This Row],[Order Date]])</f>
        <v>2024</v>
      </c>
      <c r="D2005" s="2">
        <f>DATE(YEAR(OrdersTable[[#This Row],[Order Date]]),MONTH(OrdersTable[[#This Row],[Order Date]]),1)</f>
        <v>45627</v>
      </c>
      <c r="E2005">
        <f>MONTH(OrdersTable[[#This Row],[Order Date]])</f>
        <v>12</v>
      </c>
      <c r="F2005" t="s">
        <v>6542</v>
      </c>
      <c r="G2005" t="str">
        <f>IF(OrdersTable[[#This Row],[Order Date]]=_xlfn.MINIFS(Order_Date, Customer_ID, OrdersTable[[#This Row],[Customer ID]]), "New", "Repeat")</f>
        <v>New</v>
      </c>
      <c r="H2005" t="s">
        <v>59</v>
      </c>
      <c r="I2005" t="str">
        <f>INDEX(State!B:B,MATCH(OrdersTable[[#This Row],[State]],State!A:A,0))</f>
        <v>TN</v>
      </c>
      <c r="J2005" t="str">
        <f>INDEX(State!C:C,MATCH(OrdersTable[[#This Row],[State Code]],State!B:B,0))</f>
        <v>South</v>
      </c>
      <c r="K2005" t="s">
        <v>60</v>
      </c>
      <c r="L2005" t="s">
        <v>16</v>
      </c>
      <c r="M2005" t="s">
        <v>255</v>
      </c>
      <c r="N2005" t="str">
        <f>INDEX(Products!B:B,MATCH(OrdersTable[[#This Row],[Product ID]],Products!A:A,0))</f>
        <v>Cotton Oversized T-Shirt</v>
      </c>
      <c r="O2005" t="str">
        <f>INDEX(Products!C:C,MATCH(OrdersTable[[#This Row],[Product ID]],Products!A:A,0))</f>
        <v>Apparel</v>
      </c>
      <c r="P2005">
        <v>3</v>
      </c>
      <c r="Q2005" s="5">
        <v>799</v>
      </c>
      <c r="R2005" s="74">
        <v>0.1</v>
      </c>
      <c r="S2005" s="75">
        <f>OrdersTable[[#This Row],[Quantity]]*OrdersTable[[#This Row],[Unit Price]]</f>
        <v>2397</v>
      </c>
      <c r="T2005" s="5">
        <f>OrdersTable[[#This Row],[Gross Sale]]*OrdersTable[[#This Row],[Discount_Clean2]]</f>
        <v>239.70000000000002</v>
      </c>
      <c r="U2005" s="5">
        <f>OrdersTable[[#This Row],[Gross Sale]]-OrdersTable[[#This Row],[Discount Amount]]</f>
        <v>2157.3000000000002</v>
      </c>
      <c r="V2005" s="77">
        <f>INDEX(Products!E:E,MATCH(OrdersTable[[#This Row],[Product ID]],Products!A:A,0))</f>
        <v>320</v>
      </c>
      <c r="W2005" s="77">
        <f>OrdersTable[[#This Row],[Quantity]]*OrdersTable[[#This Row],[Unit Cost]]</f>
        <v>960</v>
      </c>
      <c r="X2005" s="77">
        <f>'Dropdown Lists'!$I$2*(1+OrdersTable[[#This Row],[Returned]])</f>
        <v>60</v>
      </c>
      <c r="Y2005" s="76">
        <f>OrdersTable[[#This Row],[Net Revenue]]-OrdersTable[[#This Row],[COGS]]-OrdersTable[[#This Row],[Shipping Cost]]</f>
        <v>1137.3000000000002</v>
      </c>
      <c r="Z2005" s="78">
        <f>IFERROR(OrdersTable[[#This Row],[Profit]]/OrdersTable[[#This Row],[Net Revenue]],0)</f>
        <v>0.52718676122931452</v>
      </c>
      <c r="AA2005" t="s">
        <v>18</v>
      </c>
      <c r="AB2005" s="79">
        <v>45643</v>
      </c>
      <c r="AC2005">
        <f>OrdersTable[[#This Row],[Delivery Date]]-OrdersTable[[#This Row],[Order Date]]</f>
        <v>2</v>
      </c>
      <c r="AD2005" t="str">
        <f>IF(OrdersTable[[#This Row],[Delivery Days]]&lt;=2, "Express (≤2d)", IF(OrdersTable[[#This Row],[Delivery Days]]&lt;=4, "Standard (3-4d)", "Delayed (5d+)"))</f>
        <v>Express (≤2d)</v>
      </c>
      <c r="AE2005">
        <v>4</v>
      </c>
      <c r="AF2005">
        <v>0</v>
      </c>
    </row>
    <row r="2006" spans="1:32" ht="15" x14ac:dyDescent="0.35">
      <c r="A2006" t="s">
        <v>4002</v>
      </c>
      <c r="B2006" s="1">
        <v>45642</v>
      </c>
      <c r="C2006">
        <f>YEAR(OrdersTable[[#This Row],[Order Date]])</f>
        <v>2024</v>
      </c>
      <c r="D2006" s="2">
        <f>DATE(YEAR(OrdersTable[[#This Row],[Order Date]]),MONTH(OrdersTable[[#This Row],[Order Date]]),1)</f>
        <v>45627</v>
      </c>
      <c r="E2006">
        <f>MONTH(OrdersTable[[#This Row],[Order Date]])</f>
        <v>12</v>
      </c>
      <c r="F2006" t="s">
        <v>3039</v>
      </c>
      <c r="G2006" t="str">
        <f>IF(OrdersTable[[#This Row],[Order Date]]=_xlfn.MINIFS(Order_Date, Customer_ID, OrdersTable[[#This Row],[Customer ID]]), "New", "Repeat")</f>
        <v>Repeat</v>
      </c>
      <c r="H2006" t="s">
        <v>21</v>
      </c>
      <c r="I2006" t="str">
        <f>INDEX(State!B:B,MATCH(OrdersTable[[#This Row],[State]],State!A:A,0))</f>
        <v>PB</v>
      </c>
      <c r="J2006" t="str">
        <f>INDEX(State!C:C,MATCH(OrdersTable[[#This Row],[State Code]],State!B:B,0))</f>
        <v>North</v>
      </c>
      <c r="K2006" t="s">
        <v>260</v>
      </c>
      <c r="L2006" t="s">
        <v>16</v>
      </c>
      <c r="M2006" t="s">
        <v>92</v>
      </c>
      <c r="N2006" t="str">
        <f>INDEX(Products!B:B,MATCH(OrdersTable[[#This Row],[Product ID]],Products!A:A,0))</f>
        <v>Kolhapuri Sandals</v>
      </c>
      <c r="O2006" t="str">
        <f>INDEX(Products!C:C,MATCH(OrdersTable[[#This Row],[Product ID]],Products!A:A,0))</f>
        <v>Footwear</v>
      </c>
      <c r="P2006">
        <v>1</v>
      </c>
      <c r="Q2006" s="5">
        <v>999</v>
      </c>
      <c r="R2006" s="74">
        <v>0</v>
      </c>
      <c r="S2006" s="75">
        <f>OrdersTable[[#This Row],[Quantity]]*OrdersTable[[#This Row],[Unit Price]]</f>
        <v>999</v>
      </c>
      <c r="T2006" s="5">
        <f>OrdersTable[[#This Row],[Gross Sale]]*OrdersTable[[#This Row],[Discount_Clean2]]</f>
        <v>0</v>
      </c>
      <c r="U2006" s="5">
        <f>OrdersTable[[#This Row],[Gross Sale]]-OrdersTable[[#This Row],[Discount Amount]]</f>
        <v>999</v>
      </c>
      <c r="V2006" s="77">
        <f>INDEX(Products!E:E,MATCH(OrdersTable[[#This Row],[Product ID]],Products!A:A,0))</f>
        <v>400</v>
      </c>
      <c r="W2006" s="77">
        <f>OrdersTable[[#This Row],[Quantity]]*OrdersTable[[#This Row],[Unit Cost]]</f>
        <v>400</v>
      </c>
      <c r="X2006" s="77">
        <f>'Dropdown Lists'!$I$2*(1+OrdersTable[[#This Row],[Returned]])</f>
        <v>60</v>
      </c>
      <c r="Y2006" s="76">
        <f>OrdersTable[[#This Row],[Net Revenue]]-OrdersTable[[#This Row],[COGS]]-OrdersTable[[#This Row],[Shipping Cost]]</f>
        <v>539</v>
      </c>
      <c r="Z2006" s="78">
        <f>IFERROR(OrdersTable[[#This Row],[Profit]]/OrdersTable[[#This Row],[Net Revenue]],0)</f>
        <v>0.53953953953953959</v>
      </c>
      <c r="AA2006" t="s">
        <v>3495</v>
      </c>
      <c r="AB2006" s="79">
        <v>45646</v>
      </c>
      <c r="AC2006">
        <f>OrdersTable[[#This Row],[Delivery Date]]-OrdersTable[[#This Row],[Order Date]]</f>
        <v>4</v>
      </c>
      <c r="AD2006" t="str">
        <f>IF(OrdersTable[[#This Row],[Delivery Days]]&lt;=2, "Express (≤2d)", IF(OrdersTable[[#This Row],[Delivery Days]]&lt;=4, "Standard (3-4d)", "Delayed (5d+)"))</f>
        <v>Standard (3-4d)</v>
      </c>
      <c r="AE2006">
        <v>5</v>
      </c>
      <c r="AF2006">
        <v>0</v>
      </c>
    </row>
    <row r="2007" spans="1:32" ht="15" x14ac:dyDescent="0.35">
      <c r="A2007" t="s">
        <v>1698</v>
      </c>
      <c r="B2007" s="1">
        <v>45642</v>
      </c>
      <c r="C2007">
        <f>YEAR(OrdersTable[[#This Row],[Order Date]])</f>
        <v>2024</v>
      </c>
      <c r="D2007" s="2">
        <f>DATE(YEAR(OrdersTable[[#This Row],[Order Date]]),MONTH(OrdersTable[[#This Row],[Order Date]]),1)</f>
        <v>45627</v>
      </c>
      <c r="E2007">
        <f>MONTH(OrdersTable[[#This Row],[Order Date]])</f>
        <v>12</v>
      </c>
      <c r="F2007" t="s">
        <v>1085</v>
      </c>
      <c r="G2007" t="str">
        <f>IF(OrdersTable[[#This Row],[Order Date]]=_xlfn.MINIFS(Order_Date, Customer_ID, OrdersTable[[#This Row],[Customer ID]]), "New", "Repeat")</f>
        <v>Repeat</v>
      </c>
      <c r="H2007" t="s">
        <v>54</v>
      </c>
      <c r="I2007" t="str">
        <f>INDEX(State!B:B,MATCH(OrdersTable[[#This Row],[State]],State!A:A,0))</f>
        <v>RJ</v>
      </c>
      <c r="J2007" t="str">
        <f>INDEX(State!C:C,MATCH(OrdersTable[[#This Row],[State Code]],State!B:B,0))</f>
        <v>North</v>
      </c>
      <c r="K2007" t="s">
        <v>227</v>
      </c>
      <c r="L2007" t="s">
        <v>65</v>
      </c>
      <c r="M2007" t="s">
        <v>56</v>
      </c>
      <c r="N2007" t="str">
        <f>INDEX(Products!B:B,MATCH(OrdersTable[[#This Row],[Product ID]],Products!A:A,0))</f>
        <v>Vitamin C Face Serum</v>
      </c>
      <c r="O2007" t="str">
        <f>INDEX(Products!C:C,MATCH(OrdersTable[[#This Row],[Product ID]],Products!A:A,0))</f>
        <v>Skincare</v>
      </c>
      <c r="P2007">
        <v>1</v>
      </c>
      <c r="Q2007" s="5">
        <v>599</v>
      </c>
      <c r="R2007" s="74">
        <v>0.15</v>
      </c>
      <c r="S2007" s="75">
        <f>OrdersTable[[#This Row],[Quantity]]*OrdersTable[[#This Row],[Unit Price]]</f>
        <v>599</v>
      </c>
      <c r="T2007" s="5">
        <f>OrdersTable[[#This Row],[Gross Sale]]*OrdersTable[[#This Row],[Discount_Clean2]]</f>
        <v>89.85</v>
      </c>
      <c r="U2007" s="5">
        <f>OrdersTable[[#This Row],[Gross Sale]]-OrdersTable[[#This Row],[Discount Amount]]</f>
        <v>509.15</v>
      </c>
      <c r="V2007" s="77">
        <f>INDEX(Products!E:E,MATCH(OrdersTable[[#This Row],[Product ID]],Products!A:A,0))</f>
        <v>180</v>
      </c>
      <c r="W2007" s="77">
        <f>OrdersTable[[#This Row],[Quantity]]*OrdersTable[[#This Row],[Unit Cost]]</f>
        <v>180</v>
      </c>
      <c r="X2007" s="77">
        <f>'Dropdown Lists'!$I$2*(1+OrdersTable[[#This Row],[Returned]])</f>
        <v>60</v>
      </c>
      <c r="Y2007" s="76">
        <f>OrdersTable[[#This Row],[Net Revenue]]-OrdersTable[[#This Row],[COGS]]-OrdersTable[[#This Row],[Shipping Cost]]</f>
        <v>269.14999999999998</v>
      </c>
      <c r="Z2007" s="78">
        <f>IFERROR(OrdersTable[[#This Row],[Profit]]/OrdersTable[[#This Row],[Net Revenue]],0)</f>
        <v>0.52862614160856325</v>
      </c>
      <c r="AA2007" t="s">
        <v>18</v>
      </c>
      <c r="AB2007" s="79">
        <v>45645</v>
      </c>
      <c r="AC2007">
        <f>OrdersTable[[#This Row],[Delivery Date]]-OrdersTable[[#This Row],[Order Date]]</f>
        <v>3</v>
      </c>
      <c r="AD2007" t="str">
        <f>IF(OrdersTable[[#This Row],[Delivery Days]]&lt;=2, "Express (≤2d)", IF(OrdersTable[[#This Row],[Delivery Days]]&lt;=4, "Standard (3-4d)", "Delayed (5d+)"))</f>
        <v>Standard (3-4d)</v>
      </c>
      <c r="AF2007">
        <v>0</v>
      </c>
    </row>
    <row r="2008" spans="1:32" ht="15" x14ac:dyDescent="0.35">
      <c r="A2008" t="s">
        <v>5793</v>
      </c>
      <c r="B2008" s="1">
        <v>45642</v>
      </c>
      <c r="C2008">
        <f>YEAR(OrdersTable[[#This Row],[Order Date]])</f>
        <v>2024</v>
      </c>
      <c r="D2008" s="2">
        <f>DATE(YEAR(OrdersTable[[#This Row],[Order Date]]),MONTH(OrdersTable[[#This Row],[Order Date]]),1)</f>
        <v>45627</v>
      </c>
      <c r="E2008">
        <f>MONTH(OrdersTable[[#This Row],[Order Date]])</f>
        <v>12</v>
      </c>
      <c r="F2008" t="s">
        <v>5789</v>
      </c>
      <c r="G2008" t="str">
        <f>IF(OrdersTable[[#This Row],[Order Date]]=_xlfn.MINIFS(Order_Date, Customer_ID, OrdersTable[[#This Row],[Customer ID]]), "New", "Repeat")</f>
        <v>Repeat</v>
      </c>
      <c r="H2008" t="s">
        <v>48</v>
      </c>
      <c r="I2008" t="str">
        <f>INDEX(State!B:B,MATCH(OrdersTable[[#This Row],[State]],State!A:A,0))</f>
        <v>HR</v>
      </c>
      <c r="J2008" t="str">
        <f>INDEX(State!C:C,MATCH(OrdersTable[[#This Row],[State Code]],State!B:B,0))</f>
        <v>North</v>
      </c>
      <c r="K2008" t="s">
        <v>151</v>
      </c>
      <c r="L2008" t="s">
        <v>50</v>
      </c>
      <c r="M2008" t="s">
        <v>61</v>
      </c>
      <c r="N2008" t="str">
        <f>INDEX(Products!B:B,MATCH(OrdersTable[[#This Row],[Product ID]],Products!A:A,0))</f>
        <v>Multivitamin Gummies</v>
      </c>
      <c r="O2008" t="str">
        <f>INDEX(Products!C:C,MATCH(OrdersTable[[#This Row],[Product ID]],Products!A:A,0))</f>
        <v>Wellness</v>
      </c>
      <c r="P2008">
        <v>2</v>
      </c>
      <c r="Q2008" s="5">
        <v>699</v>
      </c>
      <c r="R2008" s="74">
        <v>0.2</v>
      </c>
      <c r="S2008" s="75">
        <f>OrdersTable[[#This Row],[Quantity]]*OrdersTable[[#This Row],[Unit Price]]</f>
        <v>1398</v>
      </c>
      <c r="T2008" s="5">
        <f>OrdersTable[[#This Row],[Gross Sale]]*OrdersTable[[#This Row],[Discount_Clean2]]</f>
        <v>279.60000000000002</v>
      </c>
      <c r="U2008" s="5">
        <f>OrdersTable[[#This Row],[Gross Sale]]-OrdersTable[[#This Row],[Discount Amount]]</f>
        <v>1118.4000000000001</v>
      </c>
      <c r="V2008" s="77">
        <f>INDEX(Products!E:E,MATCH(OrdersTable[[#This Row],[Product ID]],Products!A:A,0))</f>
        <v>238</v>
      </c>
      <c r="W2008" s="77">
        <f>OrdersTable[[#This Row],[Quantity]]*OrdersTable[[#This Row],[Unit Cost]]</f>
        <v>476</v>
      </c>
      <c r="X2008" s="77">
        <f>'Dropdown Lists'!$I$2*(1+OrdersTable[[#This Row],[Returned]])</f>
        <v>60</v>
      </c>
      <c r="Y2008" s="76">
        <f>OrdersTable[[#This Row],[Net Revenue]]-OrdersTable[[#This Row],[COGS]]-OrdersTable[[#This Row],[Shipping Cost]]</f>
        <v>582.40000000000009</v>
      </c>
      <c r="Z2008" s="78">
        <f>IFERROR(OrdersTable[[#This Row],[Profit]]/OrdersTable[[#This Row],[Net Revenue]],0)</f>
        <v>0.5207439198855508</v>
      </c>
      <c r="AA2008" t="s">
        <v>18</v>
      </c>
      <c r="AB2008" s="79">
        <v>45644</v>
      </c>
      <c r="AC2008">
        <f>OrdersTable[[#This Row],[Delivery Date]]-OrdersTable[[#This Row],[Order Date]]</f>
        <v>2</v>
      </c>
      <c r="AD2008" t="str">
        <f>IF(OrdersTable[[#This Row],[Delivery Days]]&lt;=2, "Express (≤2d)", IF(OrdersTable[[#This Row],[Delivery Days]]&lt;=4, "Standard (3-4d)", "Delayed (5d+)"))</f>
        <v>Express (≤2d)</v>
      </c>
      <c r="AE2008">
        <v>5</v>
      </c>
      <c r="AF2008">
        <v>0</v>
      </c>
    </row>
    <row r="2009" spans="1:32" ht="15" x14ac:dyDescent="0.35">
      <c r="A2009" t="s">
        <v>4003</v>
      </c>
      <c r="B2009" s="1">
        <v>45642</v>
      </c>
      <c r="C2009">
        <f>YEAR(OrdersTable[[#This Row],[Order Date]])</f>
        <v>2024</v>
      </c>
      <c r="D2009" s="2">
        <f>DATE(YEAR(OrdersTable[[#This Row],[Order Date]]),MONTH(OrdersTable[[#This Row],[Order Date]]),1)</f>
        <v>45627</v>
      </c>
      <c r="E2009">
        <f>MONTH(OrdersTable[[#This Row],[Order Date]])</f>
        <v>12</v>
      </c>
      <c r="F2009" t="s">
        <v>4004</v>
      </c>
      <c r="G2009" t="str">
        <f>IF(OrdersTable[[#This Row],[Order Date]]=_xlfn.MINIFS(Order_Date, Customer_ID, OrdersTable[[#This Row],[Customer ID]]), "New", "Repeat")</f>
        <v>New</v>
      </c>
      <c r="H2009" t="s">
        <v>128</v>
      </c>
      <c r="I2009" t="str">
        <f>INDEX(State!B:B,MATCH(OrdersTable[[#This Row],[State]],State!A:A,0))</f>
        <v>DL</v>
      </c>
      <c r="J2009" t="str">
        <f>INDEX(State!C:C,MATCH(OrdersTable[[#This Row],[State Code]],State!B:B,0))</f>
        <v>North</v>
      </c>
      <c r="K2009" t="s">
        <v>129</v>
      </c>
      <c r="L2009" t="s">
        <v>65</v>
      </c>
      <c r="M2009" t="s">
        <v>92</v>
      </c>
      <c r="N2009" t="str">
        <f>INDEX(Products!B:B,MATCH(OrdersTable[[#This Row],[Product ID]],Products!A:A,0))</f>
        <v>Kolhapuri Sandals</v>
      </c>
      <c r="O2009" t="str">
        <f>INDEX(Products!C:C,MATCH(OrdersTable[[#This Row],[Product ID]],Products!A:A,0))</f>
        <v>Footwear</v>
      </c>
      <c r="P2009">
        <v>1</v>
      </c>
      <c r="Q2009" s="5">
        <v>999</v>
      </c>
      <c r="R2009" s="74">
        <v>0.1</v>
      </c>
      <c r="S2009" s="75">
        <f>OrdersTable[[#This Row],[Quantity]]*OrdersTable[[#This Row],[Unit Price]]</f>
        <v>999</v>
      </c>
      <c r="T2009" s="5">
        <f>OrdersTable[[#This Row],[Gross Sale]]*OrdersTable[[#This Row],[Discount_Clean2]]</f>
        <v>99.9</v>
      </c>
      <c r="U2009" s="5">
        <f>OrdersTable[[#This Row],[Gross Sale]]-OrdersTable[[#This Row],[Discount Amount]]</f>
        <v>899.1</v>
      </c>
      <c r="V2009" s="77">
        <f>INDEX(Products!E:E,MATCH(OrdersTable[[#This Row],[Product ID]],Products!A:A,0))</f>
        <v>400</v>
      </c>
      <c r="W2009" s="77">
        <f>OrdersTable[[#This Row],[Quantity]]*OrdersTable[[#This Row],[Unit Cost]]</f>
        <v>400</v>
      </c>
      <c r="X2009" s="77">
        <f>'Dropdown Lists'!$I$2*(1+OrdersTable[[#This Row],[Returned]])</f>
        <v>60</v>
      </c>
      <c r="Y2009" s="76">
        <f>OrdersTable[[#This Row],[Net Revenue]]-OrdersTable[[#This Row],[COGS]]-OrdersTable[[#This Row],[Shipping Cost]]</f>
        <v>439.1</v>
      </c>
      <c r="Z2009" s="78">
        <f>IFERROR(OrdersTable[[#This Row],[Profit]]/OrdersTable[[#This Row],[Net Revenue]],0)</f>
        <v>0.48837726615504395</v>
      </c>
      <c r="AA2009" t="s">
        <v>3495</v>
      </c>
      <c r="AB2009" s="79">
        <v>45643</v>
      </c>
      <c r="AC2009">
        <f>OrdersTable[[#This Row],[Delivery Date]]-OrdersTable[[#This Row],[Order Date]]</f>
        <v>1</v>
      </c>
      <c r="AD2009" t="str">
        <f>IF(OrdersTable[[#This Row],[Delivery Days]]&lt;=2, "Express (≤2d)", IF(OrdersTable[[#This Row],[Delivery Days]]&lt;=4, "Standard (3-4d)", "Delayed (5d+)"))</f>
        <v>Express (≤2d)</v>
      </c>
      <c r="AE2009">
        <v>5</v>
      </c>
      <c r="AF2009">
        <v>0</v>
      </c>
    </row>
    <row r="2010" spans="1:32" ht="15" x14ac:dyDescent="0.35">
      <c r="A2010" t="s">
        <v>3239</v>
      </c>
      <c r="B2010" s="1">
        <v>45642</v>
      </c>
      <c r="C2010">
        <f>YEAR(OrdersTable[[#This Row],[Order Date]])</f>
        <v>2024</v>
      </c>
      <c r="D2010" s="2">
        <f>DATE(YEAR(OrdersTable[[#This Row],[Order Date]]),MONTH(OrdersTable[[#This Row],[Order Date]]),1)</f>
        <v>45627</v>
      </c>
      <c r="E2010">
        <f>MONTH(OrdersTable[[#This Row],[Order Date]])</f>
        <v>12</v>
      </c>
      <c r="F2010" t="s">
        <v>1891</v>
      </c>
      <c r="G2010" t="str">
        <f>IF(OrdersTable[[#This Row],[Order Date]]=_xlfn.MINIFS(Order_Date, Customer_ID, OrdersTable[[#This Row],[Customer ID]]), "New", "Repeat")</f>
        <v>Repeat</v>
      </c>
      <c r="H2010" t="s">
        <v>76</v>
      </c>
      <c r="I2010" t="str">
        <f>INDEX(State!B:B,MATCH(OrdersTable[[#This Row],[State]],State!A:A,0))</f>
        <v>UP</v>
      </c>
      <c r="J2010" t="str">
        <f>INDEX(State!C:C,MATCH(OrdersTable[[#This Row],[State Code]],State!B:B,0))</f>
        <v>North</v>
      </c>
      <c r="K2010" t="s">
        <v>77</v>
      </c>
      <c r="L2010" t="s">
        <v>50</v>
      </c>
      <c r="M2010" t="s">
        <v>109</v>
      </c>
      <c r="N2010" t="str">
        <f>INDEX(Products!B:B,MATCH(OrdersTable[[#This Row],[Product ID]],Products!A:A,0))</f>
        <v>Onion Hair Oil</v>
      </c>
      <c r="O2010" t="str">
        <f>INDEX(Products!C:C,MATCH(OrdersTable[[#This Row],[Product ID]],Products!A:A,0))</f>
        <v>Haircare</v>
      </c>
      <c r="P2010">
        <v>1</v>
      </c>
      <c r="Q2010" s="5">
        <v>349</v>
      </c>
      <c r="R2010" s="74">
        <v>0.3</v>
      </c>
      <c r="S2010" s="75">
        <f>OrdersTable[[#This Row],[Quantity]]*OrdersTable[[#This Row],[Unit Price]]</f>
        <v>349</v>
      </c>
      <c r="T2010" s="5">
        <f>OrdersTable[[#This Row],[Gross Sale]]*OrdersTable[[#This Row],[Discount_Clean2]]</f>
        <v>104.7</v>
      </c>
      <c r="U2010" s="5">
        <f>OrdersTable[[#This Row],[Gross Sale]]-OrdersTable[[#This Row],[Discount Amount]]</f>
        <v>244.3</v>
      </c>
      <c r="V2010" s="77">
        <f>INDEX(Products!E:E,MATCH(OrdersTable[[#This Row],[Product ID]],Products!A:A,0))</f>
        <v>105</v>
      </c>
      <c r="W2010" s="77">
        <f>OrdersTable[[#This Row],[Quantity]]*OrdersTable[[#This Row],[Unit Cost]]</f>
        <v>105</v>
      </c>
      <c r="X2010" s="77">
        <f>'Dropdown Lists'!$I$2*(1+OrdersTable[[#This Row],[Returned]])</f>
        <v>60</v>
      </c>
      <c r="Y2010" s="76">
        <f>OrdersTable[[#This Row],[Net Revenue]]-OrdersTable[[#This Row],[COGS]]-OrdersTable[[#This Row],[Shipping Cost]]</f>
        <v>79.300000000000011</v>
      </c>
      <c r="Z2010" s="78">
        <f>IFERROR(OrdersTable[[#This Row],[Profit]]/OrdersTable[[#This Row],[Net Revenue]],0)</f>
        <v>0.32460090053213264</v>
      </c>
      <c r="AA2010" t="s">
        <v>2522</v>
      </c>
      <c r="AB2010" s="79">
        <v>45646</v>
      </c>
      <c r="AC2010">
        <f>OrdersTable[[#This Row],[Delivery Date]]-OrdersTable[[#This Row],[Order Date]]</f>
        <v>4</v>
      </c>
      <c r="AD2010" t="str">
        <f>IF(OrdersTable[[#This Row],[Delivery Days]]&lt;=2, "Express (≤2d)", IF(OrdersTable[[#This Row],[Delivery Days]]&lt;=4, "Standard (3-4d)", "Delayed (5d+)"))</f>
        <v>Standard (3-4d)</v>
      </c>
      <c r="AE2010">
        <v>4</v>
      </c>
      <c r="AF2010">
        <v>0</v>
      </c>
    </row>
    <row r="2011" spans="1:32" ht="15" x14ac:dyDescent="0.35">
      <c r="A2011" t="s">
        <v>3889</v>
      </c>
      <c r="B2011" s="1">
        <v>45642</v>
      </c>
      <c r="C2011">
        <f>YEAR(OrdersTable[[#This Row],[Order Date]])</f>
        <v>2024</v>
      </c>
      <c r="D2011" s="2">
        <f>DATE(YEAR(OrdersTable[[#This Row],[Order Date]]),MONTH(OrdersTable[[#This Row],[Order Date]]),1)</f>
        <v>45627</v>
      </c>
      <c r="E2011">
        <f>MONTH(OrdersTable[[#This Row],[Order Date]])</f>
        <v>12</v>
      </c>
      <c r="F2011" t="s">
        <v>1235</v>
      </c>
      <c r="G2011" t="str">
        <f>IF(OrdersTable[[#This Row],[Order Date]]=_xlfn.MINIFS(Order_Date, Customer_ID, OrdersTable[[#This Row],[Customer ID]]), "New", "Repeat")</f>
        <v>Repeat</v>
      </c>
      <c r="H2011" t="s">
        <v>43</v>
      </c>
      <c r="I2011" t="str">
        <f>INDEX(State!B:B,MATCH(OrdersTable[[#This Row],[State]],State!A:A,0))</f>
        <v>MP</v>
      </c>
      <c r="J2011" t="str">
        <f>INDEX(State!C:C,MATCH(OrdersTable[[#This Row],[State Code]],State!B:B,0))</f>
        <v>West</v>
      </c>
      <c r="K2011" t="s">
        <v>44</v>
      </c>
      <c r="L2011" t="s">
        <v>39</v>
      </c>
      <c r="M2011" t="s">
        <v>173</v>
      </c>
      <c r="N2011" t="str">
        <f>INDEX(Products!B:B,MATCH(OrdersTable[[#This Row],[Product ID]],Products!A:A,0))</f>
        <v>Wireless Earbuds</v>
      </c>
      <c r="O2011" t="str">
        <f>INDEX(Products!C:C,MATCH(OrdersTable[[#This Row],[Product ID]],Products!A:A,0))</f>
        <v>Electronics</v>
      </c>
      <c r="P2011">
        <v>1</v>
      </c>
      <c r="Q2011" s="5">
        <v>1999</v>
      </c>
      <c r="R2011" s="74">
        <v>0.25</v>
      </c>
      <c r="S2011" s="75">
        <f>OrdersTable[[#This Row],[Quantity]]*OrdersTable[[#This Row],[Unit Price]]</f>
        <v>1999</v>
      </c>
      <c r="T2011" s="5">
        <f>OrdersTable[[#This Row],[Gross Sale]]*OrdersTable[[#This Row],[Discount_Clean2]]</f>
        <v>499.75</v>
      </c>
      <c r="U2011" s="5">
        <f>OrdersTable[[#This Row],[Gross Sale]]-OrdersTable[[#This Row],[Discount Amount]]</f>
        <v>1499.25</v>
      </c>
      <c r="V2011" s="77">
        <f>INDEX(Products!E:E,MATCH(OrdersTable[[#This Row],[Product ID]],Products!A:A,0))</f>
        <v>1239</v>
      </c>
      <c r="W2011" s="77">
        <f>OrdersTable[[#This Row],[Quantity]]*OrdersTable[[#This Row],[Unit Cost]]</f>
        <v>1239</v>
      </c>
      <c r="X2011" s="77">
        <f>'Dropdown Lists'!$I$2*(1+OrdersTable[[#This Row],[Returned]])</f>
        <v>60</v>
      </c>
      <c r="Y2011" s="76">
        <f>OrdersTable[[#This Row],[Net Revenue]]-OrdersTable[[#This Row],[COGS]]-OrdersTable[[#This Row],[Shipping Cost]]</f>
        <v>200.25</v>
      </c>
      <c r="Z2011" s="78">
        <f>IFERROR(OrdersTable[[#This Row],[Profit]]/OrdersTable[[#This Row],[Net Revenue]],0)</f>
        <v>0.13356678339169584</v>
      </c>
      <c r="AA2011" t="s">
        <v>3495</v>
      </c>
      <c r="AB2011" s="79">
        <v>45646</v>
      </c>
      <c r="AC2011">
        <f>OrdersTable[[#This Row],[Delivery Date]]-OrdersTable[[#This Row],[Order Date]]</f>
        <v>4</v>
      </c>
      <c r="AD2011" t="str">
        <f>IF(OrdersTable[[#This Row],[Delivery Days]]&lt;=2, "Express (≤2d)", IF(OrdersTable[[#This Row],[Delivery Days]]&lt;=4, "Standard (3-4d)", "Delayed (5d+)"))</f>
        <v>Standard (3-4d)</v>
      </c>
      <c r="AE2011">
        <v>3</v>
      </c>
      <c r="AF2011">
        <v>0</v>
      </c>
    </row>
    <row r="2012" spans="1:32" ht="15" x14ac:dyDescent="0.35">
      <c r="A2012" t="s">
        <v>4382</v>
      </c>
      <c r="B2012" s="1">
        <v>45642</v>
      </c>
      <c r="C2012">
        <f>YEAR(OrdersTable[[#This Row],[Order Date]])</f>
        <v>2024</v>
      </c>
      <c r="D2012" s="2">
        <f>DATE(YEAR(OrdersTable[[#This Row],[Order Date]]),MONTH(OrdersTable[[#This Row],[Order Date]]),1)</f>
        <v>45627</v>
      </c>
      <c r="E2012">
        <f>MONTH(OrdersTable[[#This Row],[Order Date]])</f>
        <v>12</v>
      </c>
      <c r="F2012" t="s">
        <v>4383</v>
      </c>
      <c r="G2012" t="str">
        <f>IF(OrdersTable[[#This Row],[Order Date]]=_xlfn.MINIFS(Order_Date, Customer_ID, OrdersTable[[#This Row],[Customer ID]]), "New", "Repeat")</f>
        <v>Repeat</v>
      </c>
      <c r="H2012" t="s">
        <v>27</v>
      </c>
      <c r="I2012" t="str">
        <f>INDEX(State!B:B,MATCH(OrdersTable[[#This Row],[State]],State!A:A,0))</f>
        <v>WB</v>
      </c>
      <c r="J2012" t="str">
        <f>INDEX(State!C:C,MATCH(OrdersTable[[#This Row],[State Code]],State!B:B,0))</f>
        <v>East</v>
      </c>
      <c r="K2012" t="s">
        <v>28</v>
      </c>
      <c r="L2012" t="s">
        <v>23</v>
      </c>
      <c r="M2012" t="s">
        <v>45</v>
      </c>
      <c r="N2012" t="str">
        <f>INDEX(Products!B:B,MATCH(OrdersTable[[#This Row],[Product ID]],Products!A:A,0))</f>
        <v>Argan Shampoo</v>
      </c>
      <c r="O2012" t="str">
        <f>INDEX(Products!C:C,MATCH(OrdersTable[[#This Row],[Product ID]],Products!A:A,0))</f>
        <v>Haircare</v>
      </c>
      <c r="P2012">
        <v>1</v>
      </c>
      <c r="Q2012" s="5">
        <v>449</v>
      </c>
      <c r="R2012" s="74">
        <v>0.05</v>
      </c>
      <c r="S2012" s="75">
        <f>OrdersTable[[#This Row],[Quantity]]*OrdersTable[[#This Row],[Unit Price]]</f>
        <v>449</v>
      </c>
      <c r="T2012" s="5">
        <f>OrdersTable[[#This Row],[Gross Sale]]*OrdersTable[[#This Row],[Discount_Clean2]]</f>
        <v>22.450000000000003</v>
      </c>
      <c r="U2012" s="5">
        <f>OrdersTable[[#This Row],[Gross Sale]]-OrdersTable[[#This Row],[Discount Amount]]</f>
        <v>426.55</v>
      </c>
      <c r="V2012" s="77">
        <f>INDEX(Products!E:E,MATCH(OrdersTable[[#This Row],[Product ID]],Products!A:A,0))</f>
        <v>148</v>
      </c>
      <c r="W2012" s="77">
        <f>OrdersTable[[#This Row],[Quantity]]*OrdersTable[[#This Row],[Unit Cost]]</f>
        <v>148</v>
      </c>
      <c r="X2012" s="77">
        <f>'Dropdown Lists'!$I$2*(1+OrdersTable[[#This Row],[Returned]])</f>
        <v>60</v>
      </c>
      <c r="Y2012" s="76">
        <f>OrdersTable[[#This Row],[Net Revenue]]-OrdersTable[[#This Row],[COGS]]-OrdersTable[[#This Row],[Shipping Cost]]</f>
        <v>218.55</v>
      </c>
      <c r="Z2012" s="78">
        <f>IFERROR(OrdersTable[[#This Row],[Profit]]/OrdersTable[[#This Row],[Net Revenue]],0)</f>
        <v>0.51236666275934828</v>
      </c>
      <c r="AA2012" t="s">
        <v>4074</v>
      </c>
      <c r="AB2012" s="79">
        <v>45647</v>
      </c>
      <c r="AC2012">
        <f>OrdersTable[[#This Row],[Delivery Date]]-OrdersTable[[#This Row],[Order Date]]</f>
        <v>5</v>
      </c>
      <c r="AD2012" t="str">
        <f>IF(OrdersTable[[#This Row],[Delivery Days]]&lt;=2, "Express (≤2d)", IF(OrdersTable[[#This Row],[Delivery Days]]&lt;=4, "Standard (3-4d)", "Delayed (5d+)"))</f>
        <v>Delayed (5d+)</v>
      </c>
      <c r="AE2012">
        <v>4</v>
      </c>
      <c r="AF2012">
        <v>0</v>
      </c>
    </row>
    <row r="2013" spans="1:32" ht="15" x14ac:dyDescent="0.35">
      <c r="A2013" t="s">
        <v>6326</v>
      </c>
      <c r="B2013" s="1">
        <v>45642</v>
      </c>
      <c r="C2013">
        <f>YEAR(OrdersTable[[#This Row],[Order Date]])</f>
        <v>2024</v>
      </c>
      <c r="D2013" s="2">
        <f>DATE(YEAR(OrdersTable[[#This Row],[Order Date]]),MONTH(OrdersTable[[#This Row],[Order Date]]),1)</f>
        <v>45627</v>
      </c>
      <c r="E2013">
        <f>MONTH(OrdersTable[[#This Row],[Order Date]])</f>
        <v>12</v>
      </c>
      <c r="F2013" t="s">
        <v>5190</v>
      </c>
      <c r="G2013" t="str">
        <f>IF(OrdersTable[[#This Row],[Order Date]]=_xlfn.MINIFS(Order_Date, Customer_ID, OrdersTable[[#This Row],[Customer ID]]), "New", "Repeat")</f>
        <v>New</v>
      </c>
      <c r="H2013" t="s">
        <v>27</v>
      </c>
      <c r="I2013" t="str">
        <f>INDEX(State!B:B,MATCH(OrdersTable[[#This Row],[State]],State!A:A,0))</f>
        <v>WB</v>
      </c>
      <c r="J2013" t="str">
        <f>INDEX(State!C:C,MATCH(OrdersTable[[#This Row],[State Code]],State!B:B,0))</f>
        <v>East</v>
      </c>
      <c r="K2013" t="s">
        <v>28</v>
      </c>
      <c r="L2013" t="s">
        <v>16</v>
      </c>
      <c r="M2013" t="s">
        <v>34</v>
      </c>
      <c r="N2013" t="str">
        <f>INDEX(Products!B:B,MATCH(OrdersTable[[#This Row],[Product ID]],Products!A:A,0))</f>
        <v>Flip Flops</v>
      </c>
      <c r="O2013" t="str">
        <f>INDEX(Products!C:C,MATCH(OrdersTable[[#This Row],[Product ID]],Products!A:A,0))</f>
        <v>Footwear</v>
      </c>
      <c r="P2013">
        <v>2</v>
      </c>
      <c r="Q2013" s="5">
        <v>399</v>
      </c>
      <c r="R2013" s="74">
        <v>0.15</v>
      </c>
      <c r="S2013" s="75">
        <f>OrdersTable[[#This Row],[Quantity]]*OrdersTable[[#This Row],[Unit Price]]</f>
        <v>798</v>
      </c>
      <c r="T2013" s="5">
        <f>OrdersTable[[#This Row],[Gross Sale]]*OrdersTable[[#This Row],[Discount_Clean2]]</f>
        <v>119.69999999999999</v>
      </c>
      <c r="U2013" s="5">
        <f>OrdersTable[[#This Row],[Gross Sale]]-OrdersTable[[#This Row],[Discount Amount]]</f>
        <v>678.3</v>
      </c>
      <c r="V2013" s="77">
        <f>INDEX(Products!E:E,MATCH(OrdersTable[[#This Row],[Product ID]],Products!A:A,0))</f>
        <v>152</v>
      </c>
      <c r="W2013" s="77">
        <f>OrdersTable[[#This Row],[Quantity]]*OrdersTable[[#This Row],[Unit Cost]]</f>
        <v>304</v>
      </c>
      <c r="X2013" s="77">
        <f>'Dropdown Lists'!$I$2*(1+OrdersTable[[#This Row],[Returned]])</f>
        <v>60</v>
      </c>
      <c r="Y2013" s="76">
        <f>OrdersTable[[#This Row],[Net Revenue]]-OrdersTable[[#This Row],[COGS]]-OrdersTable[[#This Row],[Shipping Cost]]</f>
        <v>314.29999999999995</v>
      </c>
      <c r="Z2013" s="78">
        <f>IFERROR(OrdersTable[[#This Row],[Profit]]/OrdersTable[[#This Row],[Net Revenue]],0)</f>
        <v>0.4633642930856553</v>
      </c>
      <c r="AA2013" t="s">
        <v>18</v>
      </c>
      <c r="AB2013" s="79">
        <v>45645</v>
      </c>
      <c r="AC2013">
        <f>OrdersTable[[#This Row],[Delivery Date]]-OrdersTable[[#This Row],[Order Date]]</f>
        <v>3</v>
      </c>
      <c r="AD2013" t="str">
        <f>IF(OrdersTable[[#This Row],[Delivery Days]]&lt;=2, "Express (≤2d)", IF(OrdersTable[[#This Row],[Delivery Days]]&lt;=4, "Standard (3-4d)", "Delayed (5d+)"))</f>
        <v>Standard (3-4d)</v>
      </c>
      <c r="AF2013">
        <v>0</v>
      </c>
    </row>
    <row r="2014" spans="1:32" ht="15" x14ac:dyDescent="0.35">
      <c r="A2014" t="s">
        <v>6543</v>
      </c>
      <c r="B2014" s="1">
        <v>45642</v>
      </c>
      <c r="C2014">
        <f>YEAR(OrdersTable[[#This Row],[Order Date]])</f>
        <v>2024</v>
      </c>
      <c r="D2014" s="2">
        <f>DATE(YEAR(OrdersTable[[#This Row],[Order Date]]),MONTH(OrdersTable[[#This Row],[Order Date]]),1)</f>
        <v>45627</v>
      </c>
      <c r="E2014">
        <f>MONTH(OrdersTable[[#This Row],[Order Date]])</f>
        <v>12</v>
      </c>
      <c r="F2014" t="s">
        <v>2579</v>
      </c>
      <c r="G2014" t="str">
        <f>IF(OrdersTable[[#This Row],[Order Date]]=_xlfn.MINIFS(Order_Date, Customer_ID, OrdersTable[[#This Row],[Customer ID]]), "New", "Repeat")</f>
        <v>Repeat</v>
      </c>
      <c r="H2014" t="s">
        <v>167</v>
      </c>
      <c r="I2014" t="str">
        <f>INDEX(State!B:B,MATCH(OrdersTable[[#This Row],[State]],State!A:A,0))</f>
        <v>KA</v>
      </c>
      <c r="J2014" t="str">
        <f>INDEX(State!C:C,MATCH(OrdersTable[[#This Row],[State Code]],State!B:B,0))</f>
        <v>South</v>
      </c>
      <c r="K2014" t="s">
        <v>168</v>
      </c>
      <c r="L2014" t="s">
        <v>23</v>
      </c>
      <c r="M2014" t="s">
        <v>51</v>
      </c>
      <c r="N2014" t="str">
        <f>INDEX(Products!B:B,MATCH(OrdersTable[[#This Row],[Product ID]],Products!A:A,0))</f>
        <v>Anti-Dandruff Conditioner</v>
      </c>
      <c r="O2014" t="str">
        <f>INDEX(Products!C:C,MATCH(OrdersTable[[#This Row],[Product ID]],Products!A:A,0))</f>
        <v>Haircare</v>
      </c>
      <c r="P2014">
        <v>3</v>
      </c>
      <c r="Q2014" s="5">
        <v>399</v>
      </c>
      <c r="R2014" s="74">
        <v>0.3</v>
      </c>
      <c r="S2014" s="75">
        <f>OrdersTable[[#This Row],[Quantity]]*OrdersTable[[#This Row],[Unit Price]]</f>
        <v>1197</v>
      </c>
      <c r="T2014" s="5">
        <f>OrdersTable[[#This Row],[Gross Sale]]*OrdersTable[[#This Row],[Discount_Clean2]]</f>
        <v>359.09999999999997</v>
      </c>
      <c r="U2014" s="5">
        <f>OrdersTable[[#This Row],[Gross Sale]]-OrdersTable[[#This Row],[Discount Amount]]</f>
        <v>837.90000000000009</v>
      </c>
      <c r="V2014" s="77">
        <f>INDEX(Products!E:E,MATCH(OrdersTable[[#This Row],[Product ID]],Products!A:A,0))</f>
        <v>136</v>
      </c>
      <c r="W2014" s="77">
        <f>OrdersTable[[#This Row],[Quantity]]*OrdersTable[[#This Row],[Unit Cost]]</f>
        <v>408</v>
      </c>
      <c r="X2014" s="77">
        <f>'Dropdown Lists'!$I$2*(1+OrdersTable[[#This Row],[Returned]])</f>
        <v>60</v>
      </c>
      <c r="Y2014" s="76">
        <f>OrdersTable[[#This Row],[Net Revenue]]-OrdersTable[[#This Row],[COGS]]-OrdersTable[[#This Row],[Shipping Cost]]</f>
        <v>369.90000000000009</v>
      </c>
      <c r="Z2014" s="78">
        <f>IFERROR(OrdersTable[[#This Row],[Profit]]/OrdersTable[[#This Row],[Net Revenue]],0)</f>
        <v>0.44146079484425355</v>
      </c>
      <c r="AA2014" t="s">
        <v>18</v>
      </c>
      <c r="AB2014" s="79">
        <v>45643</v>
      </c>
      <c r="AC2014">
        <f>OrdersTable[[#This Row],[Delivery Date]]-OrdersTable[[#This Row],[Order Date]]</f>
        <v>1</v>
      </c>
      <c r="AD2014" t="str">
        <f>IF(OrdersTable[[#This Row],[Delivery Days]]&lt;=2, "Express (≤2d)", IF(OrdersTable[[#This Row],[Delivery Days]]&lt;=4, "Standard (3-4d)", "Delayed (5d+)"))</f>
        <v>Express (≤2d)</v>
      </c>
      <c r="AF2014">
        <v>0</v>
      </c>
    </row>
    <row r="2015" spans="1:32" ht="15" x14ac:dyDescent="0.35">
      <c r="A2015" t="s">
        <v>1699</v>
      </c>
      <c r="B2015" s="1">
        <v>45642</v>
      </c>
      <c r="C2015">
        <f>YEAR(OrdersTable[[#This Row],[Order Date]])</f>
        <v>2024</v>
      </c>
      <c r="D2015" s="2">
        <f>DATE(YEAR(OrdersTable[[#This Row],[Order Date]]),MONTH(OrdersTable[[#This Row],[Order Date]]),1)</f>
        <v>45627</v>
      </c>
      <c r="E2015">
        <f>MONTH(OrdersTable[[#This Row],[Order Date]])</f>
        <v>12</v>
      </c>
      <c r="F2015" t="s">
        <v>631</v>
      </c>
      <c r="G2015" t="str">
        <f>IF(OrdersTable[[#This Row],[Order Date]]=_xlfn.MINIFS(Order_Date, Customer_ID, OrdersTable[[#This Row],[Customer ID]]), "New", "Repeat")</f>
        <v>Repeat</v>
      </c>
      <c r="H2015" t="s">
        <v>59</v>
      </c>
      <c r="I2015" t="str">
        <f>INDEX(State!B:B,MATCH(OrdersTable[[#This Row],[State]],State!A:A,0))</f>
        <v>TN</v>
      </c>
      <c r="J2015" t="str">
        <f>INDEX(State!C:C,MATCH(OrdersTable[[#This Row],[State Code]],State!B:B,0))</f>
        <v>South</v>
      </c>
      <c r="K2015" t="s">
        <v>60</v>
      </c>
      <c r="L2015" t="s">
        <v>65</v>
      </c>
      <c r="M2015" t="s">
        <v>40</v>
      </c>
      <c r="N2015" t="str">
        <f>INDEX(Products!B:B,MATCH(OrdersTable[[#This Row],[Product ID]],Products!A:A,0))</f>
        <v>Ashwagandha Capsules</v>
      </c>
      <c r="O2015" t="str">
        <f>INDEX(Products!C:C,MATCH(OrdersTable[[#This Row],[Product ID]],Products!A:A,0))</f>
        <v>Wellness</v>
      </c>
      <c r="P2015">
        <v>1</v>
      </c>
      <c r="Q2015" s="5">
        <v>499</v>
      </c>
      <c r="R2015" s="74">
        <v>0</v>
      </c>
      <c r="S2015" s="75">
        <f>OrdersTable[[#This Row],[Quantity]]*OrdersTable[[#This Row],[Unit Price]]</f>
        <v>499</v>
      </c>
      <c r="T2015" s="5">
        <f>OrdersTable[[#This Row],[Gross Sale]]*OrdersTable[[#This Row],[Discount_Clean2]]</f>
        <v>0</v>
      </c>
      <c r="U2015" s="5">
        <f>OrdersTable[[#This Row],[Gross Sale]]-OrdersTable[[#This Row],[Discount Amount]]</f>
        <v>499</v>
      </c>
      <c r="V2015" s="77">
        <f>INDEX(Products!E:E,MATCH(OrdersTable[[#This Row],[Product ID]],Products!A:A,0))</f>
        <v>150</v>
      </c>
      <c r="W2015" s="77">
        <f>OrdersTable[[#This Row],[Quantity]]*OrdersTable[[#This Row],[Unit Cost]]</f>
        <v>150</v>
      </c>
      <c r="X2015" s="77">
        <f>'Dropdown Lists'!$I$2*(1+OrdersTable[[#This Row],[Returned]])</f>
        <v>60</v>
      </c>
      <c r="Y2015" s="76">
        <f>OrdersTable[[#This Row],[Net Revenue]]-OrdersTable[[#This Row],[COGS]]-OrdersTable[[#This Row],[Shipping Cost]]</f>
        <v>289</v>
      </c>
      <c r="Z2015" s="78">
        <f>IFERROR(OrdersTable[[#This Row],[Profit]]/OrdersTable[[#This Row],[Net Revenue]],0)</f>
        <v>0.57915831663326656</v>
      </c>
      <c r="AA2015" t="s">
        <v>18</v>
      </c>
      <c r="AB2015" s="79">
        <v>45644</v>
      </c>
      <c r="AC2015">
        <f>OrdersTable[[#This Row],[Delivery Date]]-OrdersTable[[#This Row],[Order Date]]</f>
        <v>2</v>
      </c>
      <c r="AD2015" t="str">
        <f>IF(OrdersTable[[#This Row],[Delivery Days]]&lt;=2, "Express (≤2d)", IF(OrdersTable[[#This Row],[Delivery Days]]&lt;=4, "Standard (3-4d)", "Delayed (5d+)"))</f>
        <v>Express (≤2d)</v>
      </c>
      <c r="AF2015">
        <v>0</v>
      </c>
    </row>
    <row r="2016" spans="1:32" ht="15" x14ac:dyDescent="0.35">
      <c r="A2016" t="s">
        <v>2339</v>
      </c>
      <c r="B2016" s="1">
        <v>45643</v>
      </c>
      <c r="C2016">
        <f>YEAR(OrdersTable[[#This Row],[Order Date]])</f>
        <v>2024</v>
      </c>
      <c r="D2016" s="2">
        <f>DATE(YEAR(OrdersTable[[#This Row],[Order Date]]),MONTH(OrdersTable[[#This Row],[Order Date]]),1)</f>
        <v>45627</v>
      </c>
      <c r="E2016">
        <f>MONTH(OrdersTable[[#This Row],[Order Date]])</f>
        <v>12</v>
      </c>
      <c r="F2016" t="s">
        <v>2340</v>
      </c>
      <c r="G2016" t="str">
        <f>IF(OrdersTable[[#This Row],[Order Date]]=_xlfn.MINIFS(Order_Date, Customer_ID, OrdersTable[[#This Row],[Customer ID]]), "New", "Repeat")</f>
        <v>Repeat</v>
      </c>
      <c r="H2016" t="s">
        <v>128</v>
      </c>
      <c r="I2016" t="str">
        <f>INDEX(State!B:B,MATCH(OrdersTable[[#This Row],[State]],State!A:A,0))</f>
        <v>DL</v>
      </c>
      <c r="J2016" t="str">
        <f>INDEX(State!C:C,MATCH(OrdersTable[[#This Row],[State Code]],State!B:B,0))</f>
        <v>North</v>
      </c>
      <c r="K2016" t="s">
        <v>129</v>
      </c>
      <c r="L2016" t="s">
        <v>16</v>
      </c>
      <c r="M2016" t="s">
        <v>92</v>
      </c>
      <c r="N2016" t="str">
        <f>INDEX(Products!B:B,MATCH(OrdersTable[[#This Row],[Product ID]],Products!A:A,0))</f>
        <v>Kolhapuri Sandals</v>
      </c>
      <c r="O2016" t="str">
        <f>INDEX(Products!C:C,MATCH(OrdersTable[[#This Row],[Product ID]],Products!A:A,0))</f>
        <v>Footwear</v>
      </c>
      <c r="P2016">
        <v>1</v>
      </c>
      <c r="Q2016" s="5">
        <v>999</v>
      </c>
      <c r="R2016" s="74">
        <v>0.1</v>
      </c>
      <c r="S2016" s="75">
        <f>OrdersTable[[#This Row],[Quantity]]*OrdersTable[[#This Row],[Unit Price]]</f>
        <v>999</v>
      </c>
      <c r="T2016" s="5">
        <f>OrdersTable[[#This Row],[Gross Sale]]*OrdersTable[[#This Row],[Discount_Clean2]]</f>
        <v>99.9</v>
      </c>
      <c r="U2016" s="5">
        <f>OrdersTable[[#This Row],[Gross Sale]]-OrdersTable[[#This Row],[Discount Amount]]</f>
        <v>899.1</v>
      </c>
      <c r="V2016" s="77">
        <f>INDEX(Products!E:E,MATCH(OrdersTable[[#This Row],[Product ID]],Products!A:A,0))</f>
        <v>400</v>
      </c>
      <c r="W2016" s="77">
        <f>OrdersTable[[#This Row],[Quantity]]*OrdersTable[[#This Row],[Unit Cost]]</f>
        <v>400</v>
      </c>
      <c r="X2016" s="77">
        <f>'Dropdown Lists'!$I$2*(1+OrdersTable[[#This Row],[Returned]])</f>
        <v>60</v>
      </c>
      <c r="Y2016" s="76">
        <f>OrdersTable[[#This Row],[Net Revenue]]-OrdersTable[[#This Row],[COGS]]-OrdersTable[[#This Row],[Shipping Cost]]</f>
        <v>439.1</v>
      </c>
      <c r="Z2016" s="78">
        <f>IFERROR(OrdersTable[[#This Row],[Profit]]/OrdersTable[[#This Row],[Net Revenue]],0)</f>
        <v>0.48837726615504395</v>
      </c>
      <c r="AA2016" t="s">
        <v>18</v>
      </c>
      <c r="AB2016" s="79">
        <v>45644</v>
      </c>
      <c r="AC2016">
        <f>OrdersTable[[#This Row],[Delivery Date]]-OrdersTable[[#This Row],[Order Date]]</f>
        <v>1</v>
      </c>
      <c r="AD2016" t="str">
        <f>IF(OrdersTable[[#This Row],[Delivery Days]]&lt;=2, "Express (≤2d)", IF(OrdersTable[[#This Row],[Delivery Days]]&lt;=4, "Standard (3-4d)", "Delayed (5d+)"))</f>
        <v>Express (≤2d)</v>
      </c>
      <c r="AE2016">
        <v>5</v>
      </c>
      <c r="AF2016">
        <v>0</v>
      </c>
    </row>
    <row r="2017" spans="1:32" ht="15" x14ac:dyDescent="0.35">
      <c r="A2017" t="s">
        <v>4005</v>
      </c>
      <c r="B2017" s="1">
        <v>45643</v>
      </c>
      <c r="C2017">
        <f>YEAR(OrdersTable[[#This Row],[Order Date]])</f>
        <v>2024</v>
      </c>
      <c r="D2017" s="2">
        <f>DATE(YEAR(OrdersTable[[#This Row],[Order Date]]),MONTH(OrdersTable[[#This Row],[Order Date]]),1)</f>
        <v>45627</v>
      </c>
      <c r="E2017">
        <f>MONTH(OrdersTable[[#This Row],[Order Date]])</f>
        <v>12</v>
      </c>
      <c r="F2017" t="s">
        <v>442</v>
      </c>
      <c r="G2017" t="str">
        <f>IF(OrdersTable[[#This Row],[Order Date]]=_xlfn.MINIFS(Order_Date, Customer_ID, OrdersTable[[#This Row],[Customer ID]]), "New", "Repeat")</f>
        <v>Repeat</v>
      </c>
      <c r="H2017" t="s">
        <v>37</v>
      </c>
      <c r="I2017" t="str">
        <f>INDEX(State!B:B,MATCH(OrdersTable[[#This Row],[State]],State!A:A,0))</f>
        <v>GJ</v>
      </c>
      <c r="J2017" t="str">
        <f>INDEX(State!C:C,MATCH(OrdersTable[[#This Row],[State Code]],State!B:B,0))</f>
        <v>West</v>
      </c>
      <c r="K2017" t="s">
        <v>38</v>
      </c>
      <c r="L2017" t="s">
        <v>23</v>
      </c>
      <c r="M2017" t="s">
        <v>34</v>
      </c>
      <c r="N2017" t="str">
        <f>INDEX(Products!B:B,MATCH(OrdersTable[[#This Row],[Product ID]],Products!A:A,0))</f>
        <v>Flip Flops</v>
      </c>
      <c r="O2017" t="str">
        <f>INDEX(Products!C:C,MATCH(OrdersTable[[#This Row],[Product ID]],Products!A:A,0))</f>
        <v>Footwear</v>
      </c>
      <c r="P2017">
        <v>1</v>
      </c>
      <c r="Q2017" s="5">
        <v>399</v>
      </c>
      <c r="R2017" s="74">
        <v>0.15</v>
      </c>
      <c r="S2017" s="75">
        <f>OrdersTable[[#This Row],[Quantity]]*OrdersTable[[#This Row],[Unit Price]]</f>
        <v>399</v>
      </c>
      <c r="T2017" s="5">
        <f>OrdersTable[[#This Row],[Gross Sale]]*OrdersTable[[#This Row],[Discount_Clean2]]</f>
        <v>59.849999999999994</v>
      </c>
      <c r="U2017" s="5">
        <f>OrdersTable[[#This Row],[Gross Sale]]-OrdersTable[[#This Row],[Discount Amount]]</f>
        <v>339.15</v>
      </c>
      <c r="V2017" s="77">
        <f>INDEX(Products!E:E,MATCH(OrdersTable[[#This Row],[Product ID]],Products!A:A,0))</f>
        <v>152</v>
      </c>
      <c r="W2017" s="77">
        <f>OrdersTable[[#This Row],[Quantity]]*OrdersTable[[#This Row],[Unit Cost]]</f>
        <v>152</v>
      </c>
      <c r="X2017" s="77">
        <f>'Dropdown Lists'!$I$2*(1+OrdersTable[[#This Row],[Returned]])</f>
        <v>60</v>
      </c>
      <c r="Y2017" s="76">
        <f>OrdersTable[[#This Row],[Net Revenue]]-OrdersTable[[#This Row],[COGS]]-OrdersTable[[#This Row],[Shipping Cost]]</f>
        <v>127.14999999999998</v>
      </c>
      <c r="Z2017" s="78">
        <f>IFERROR(OrdersTable[[#This Row],[Profit]]/OrdersTable[[#This Row],[Net Revenue]],0)</f>
        <v>0.37490785787999409</v>
      </c>
      <c r="AA2017" t="s">
        <v>3495</v>
      </c>
      <c r="AB2017" s="79">
        <v>45644</v>
      </c>
      <c r="AC2017">
        <f>OrdersTable[[#This Row],[Delivery Date]]-OrdersTable[[#This Row],[Order Date]]</f>
        <v>1</v>
      </c>
      <c r="AD2017" t="str">
        <f>IF(OrdersTable[[#This Row],[Delivery Days]]&lt;=2, "Express (≤2d)", IF(OrdersTable[[#This Row],[Delivery Days]]&lt;=4, "Standard (3-4d)", "Delayed (5d+)"))</f>
        <v>Express (≤2d)</v>
      </c>
      <c r="AE2017">
        <v>5</v>
      </c>
      <c r="AF2017">
        <v>0</v>
      </c>
    </row>
    <row r="2018" spans="1:32" ht="15" x14ac:dyDescent="0.35">
      <c r="A2018" t="s">
        <v>2761</v>
      </c>
      <c r="B2018" s="1">
        <v>45643</v>
      </c>
      <c r="C2018">
        <f>YEAR(OrdersTable[[#This Row],[Order Date]])</f>
        <v>2024</v>
      </c>
      <c r="D2018" s="2">
        <f>DATE(YEAR(OrdersTable[[#This Row],[Order Date]]),MONTH(OrdersTable[[#This Row],[Order Date]]),1)</f>
        <v>45627</v>
      </c>
      <c r="E2018">
        <f>MONTH(OrdersTable[[#This Row],[Order Date]])</f>
        <v>12</v>
      </c>
      <c r="F2018" t="s">
        <v>1073</v>
      </c>
      <c r="G2018" t="str">
        <f>IF(OrdersTable[[#This Row],[Order Date]]=_xlfn.MINIFS(Order_Date, Customer_ID, OrdersTable[[#This Row],[Customer ID]]), "New", "Repeat")</f>
        <v>Repeat</v>
      </c>
      <c r="H2018" t="s">
        <v>43</v>
      </c>
      <c r="I2018" t="str">
        <f>INDEX(State!B:B,MATCH(OrdersTable[[#This Row],[State]],State!A:A,0))</f>
        <v>MP</v>
      </c>
      <c r="J2018" t="str">
        <f>INDEX(State!C:C,MATCH(OrdersTable[[#This Row],[State Code]],State!B:B,0))</f>
        <v>West</v>
      </c>
      <c r="K2018" t="s">
        <v>250</v>
      </c>
      <c r="L2018" t="s">
        <v>16</v>
      </c>
      <c r="M2018" t="s">
        <v>29</v>
      </c>
      <c r="N2018" t="str">
        <f>INDEX(Products!B:B,MATCH(OrdersTable[[#This Row],[Product ID]],Products!A:A,0))</f>
        <v>Joggers</v>
      </c>
      <c r="O2018" t="str">
        <f>INDEX(Products!C:C,MATCH(OrdersTable[[#This Row],[Product ID]],Products!A:A,0))</f>
        <v>Apparel</v>
      </c>
      <c r="P2018">
        <v>1</v>
      </c>
      <c r="Q2018" s="5">
        <v>1199</v>
      </c>
      <c r="R2018" s="74">
        <v>0.1</v>
      </c>
      <c r="S2018" s="75">
        <f>OrdersTable[[#This Row],[Quantity]]*OrdersTable[[#This Row],[Unit Price]]</f>
        <v>1199</v>
      </c>
      <c r="T2018" s="5">
        <f>OrdersTable[[#This Row],[Gross Sale]]*OrdersTable[[#This Row],[Discount_Clean2]]</f>
        <v>119.9</v>
      </c>
      <c r="U2018" s="5">
        <f>OrdersTable[[#This Row],[Gross Sale]]-OrdersTable[[#This Row],[Discount Amount]]</f>
        <v>1079.0999999999999</v>
      </c>
      <c r="V2018" s="77">
        <f>INDEX(Products!E:E,MATCH(OrdersTable[[#This Row],[Product ID]],Products!A:A,0))</f>
        <v>492</v>
      </c>
      <c r="W2018" s="77">
        <f>OrdersTable[[#This Row],[Quantity]]*OrdersTable[[#This Row],[Unit Cost]]</f>
        <v>492</v>
      </c>
      <c r="X2018" s="77">
        <f>'Dropdown Lists'!$I$2*(1+OrdersTable[[#This Row],[Returned]])</f>
        <v>60</v>
      </c>
      <c r="Y2018" s="76">
        <f>OrdersTable[[#This Row],[Net Revenue]]-OrdersTable[[#This Row],[COGS]]-OrdersTable[[#This Row],[Shipping Cost]]</f>
        <v>527.09999999999991</v>
      </c>
      <c r="Z2018" s="78">
        <f>IFERROR(OrdersTable[[#This Row],[Profit]]/OrdersTable[[#This Row],[Net Revenue]],0)</f>
        <v>0.48846260772866273</v>
      </c>
      <c r="AA2018" t="s">
        <v>2522</v>
      </c>
      <c r="AB2018" s="79">
        <v>45646</v>
      </c>
      <c r="AC2018">
        <f>OrdersTable[[#This Row],[Delivery Date]]-OrdersTable[[#This Row],[Order Date]]</f>
        <v>3</v>
      </c>
      <c r="AD2018" t="str">
        <f>IF(OrdersTable[[#This Row],[Delivery Days]]&lt;=2, "Express (≤2d)", IF(OrdersTable[[#This Row],[Delivery Days]]&lt;=4, "Standard (3-4d)", "Delayed (5d+)"))</f>
        <v>Standard (3-4d)</v>
      </c>
      <c r="AE2018">
        <v>3</v>
      </c>
      <c r="AF2018">
        <v>0</v>
      </c>
    </row>
    <row r="2019" spans="1:32" ht="15" x14ac:dyDescent="0.35">
      <c r="A2019" t="s">
        <v>4263</v>
      </c>
      <c r="B2019" s="1">
        <v>45643</v>
      </c>
      <c r="C2019">
        <f>YEAR(OrdersTable[[#This Row],[Order Date]])</f>
        <v>2024</v>
      </c>
      <c r="D2019" s="2">
        <f>DATE(YEAR(OrdersTable[[#This Row],[Order Date]]),MONTH(OrdersTable[[#This Row],[Order Date]]),1)</f>
        <v>45627</v>
      </c>
      <c r="E2019">
        <f>MONTH(OrdersTable[[#This Row],[Order Date]])</f>
        <v>12</v>
      </c>
      <c r="F2019" t="s">
        <v>1198</v>
      </c>
      <c r="G2019" t="str">
        <f>IF(OrdersTable[[#This Row],[Order Date]]=_xlfn.MINIFS(Order_Date, Customer_ID, OrdersTable[[#This Row],[Customer ID]]), "New", "Repeat")</f>
        <v>Repeat</v>
      </c>
      <c r="H2019" t="s">
        <v>71</v>
      </c>
      <c r="I2019" t="str">
        <f>INDEX(State!B:B,MATCH(OrdersTable[[#This Row],[State]],State!A:A,0))</f>
        <v>MH</v>
      </c>
      <c r="J2019" t="str">
        <f>INDEX(State!C:C,MATCH(OrdersTable[[#This Row],[State Code]],State!B:B,0))</f>
        <v>West</v>
      </c>
      <c r="K2019" t="s">
        <v>81</v>
      </c>
      <c r="L2019" t="s">
        <v>16</v>
      </c>
      <c r="M2019" t="s">
        <v>255</v>
      </c>
      <c r="N2019" t="str">
        <f>INDEX(Products!B:B,MATCH(OrdersTable[[#This Row],[Product ID]],Products!A:A,0))</f>
        <v>Cotton Oversized T-Shirt</v>
      </c>
      <c r="O2019" t="str">
        <f>INDEX(Products!C:C,MATCH(OrdersTable[[#This Row],[Product ID]],Products!A:A,0))</f>
        <v>Apparel</v>
      </c>
      <c r="P2019">
        <v>1</v>
      </c>
      <c r="Q2019" s="5">
        <v>799</v>
      </c>
      <c r="R2019" s="74">
        <v>0</v>
      </c>
      <c r="S2019" s="75">
        <f>OrdersTable[[#This Row],[Quantity]]*OrdersTable[[#This Row],[Unit Price]]</f>
        <v>799</v>
      </c>
      <c r="T2019" s="5">
        <f>OrdersTable[[#This Row],[Gross Sale]]*OrdersTable[[#This Row],[Discount_Clean2]]</f>
        <v>0</v>
      </c>
      <c r="U2019" s="5">
        <f>OrdersTable[[#This Row],[Gross Sale]]-OrdersTable[[#This Row],[Discount Amount]]</f>
        <v>799</v>
      </c>
      <c r="V2019" s="77">
        <f>INDEX(Products!E:E,MATCH(OrdersTable[[#This Row],[Product ID]],Products!A:A,0))</f>
        <v>320</v>
      </c>
      <c r="W2019" s="77">
        <f>OrdersTable[[#This Row],[Quantity]]*OrdersTable[[#This Row],[Unit Cost]]</f>
        <v>320</v>
      </c>
      <c r="X2019" s="77">
        <f>'Dropdown Lists'!$I$2*(1+OrdersTable[[#This Row],[Returned]])</f>
        <v>60</v>
      </c>
      <c r="Y2019" s="76">
        <f>OrdersTable[[#This Row],[Net Revenue]]-OrdersTable[[#This Row],[COGS]]-OrdersTable[[#This Row],[Shipping Cost]]</f>
        <v>419</v>
      </c>
      <c r="Z2019" s="78">
        <f>IFERROR(OrdersTable[[#This Row],[Profit]]/OrdersTable[[#This Row],[Net Revenue]],0)</f>
        <v>0.52440550688360454</v>
      </c>
      <c r="AA2019" t="s">
        <v>4074</v>
      </c>
      <c r="AB2019" s="79">
        <v>45645</v>
      </c>
      <c r="AC2019">
        <f>OrdersTable[[#This Row],[Delivery Date]]-OrdersTable[[#This Row],[Order Date]]</f>
        <v>2</v>
      </c>
      <c r="AD2019" t="str">
        <f>IF(OrdersTable[[#This Row],[Delivery Days]]&lt;=2, "Express (≤2d)", IF(OrdersTable[[#This Row],[Delivery Days]]&lt;=4, "Standard (3-4d)", "Delayed (5d+)"))</f>
        <v>Express (≤2d)</v>
      </c>
      <c r="AF2019">
        <v>0</v>
      </c>
    </row>
    <row r="2020" spans="1:32" ht="15" x14ac:dyDescent="0.35">
      <c r="A2020" t="s">
        <v>5505</v>
      </c>
      <c r="B2020" s="1">
        <v>45643</v>
      </c>
      <c r="C2020">
        <f>YEAR(OrdersTable[[#This Row],[Order Date]])</f>
        <v>2024</v>
      </c>
      <c r="D2020" s="2">
        <f>DATE(YEAR(OrdersTable[[#This Row],[Order Date]]),MONTH(OrdersTable[[#This Row],[Order Date]]),1)</f>
        <v>45627</v>
      </c>
      <c r="E2020">
        <f>MONTH(OrdersTable[[#This Row],[Order Date]])</f>
        <v>12</v>
      </c>
      <c r="F2020" t="s">
        <v>5506</v>
      </c>
      <c r="G2020" t="str">
        <f>IF(OrdersTable[[#This Row],[Order Date]]=_xlfn.MINIFS(Order_Date, Customer_ID, OrdersTable[[#This Row],[Customer ID]]), "New", "Repeat")</f>
        <v>Repeat</v>
      </c>
      <c r="H2020" t="s">
        <v>71</v>
      </c>
      <c r="I2020" t="str">
        <f>INDEX(State!B:B,MATCH(OrdersTable[[#This Row],[State]],State!A:A,0))</f>
        <v>MH</v>
      </c>
      <c r="J2020" t="str">
        <f>INDEX(State!C:C,MATCH(OrdersTable[[#This Row],[State Code]],State!B:B,0))</f>
        <v>West</v>
      </c>
      <c r="K2020" t="s">
        <v>72</v>
      </c>
      <c r="L2020" t="s">
        <v>65</v>
      </c>
      <c r="M2020" t="s">
        <v>45</v>
      </c>
      <c r="N2020" t="str">
        <f>INDEX(Products!B:B,MATCH(OrdersTable[[#This Row],[Product ID]],Products!A:A,0))</f>
        <v>Argan Shampoo</v>
      </c>
      <c r="O2020" t="str">
        <f>INDEX(Products!C:C,MATCH(OrdersTable[[#This Row],[Product ID]],Products!A:A,0))</f>
        <v>Haircare</v>
      </c>
      <c r="P2020">
        <v>2</v>
      </c>
      <c r="Q2020" s="5">
        <v>449</v>
      </c>
      <c r="R2020" s="74">
        <v>0.05</v>
      </c>
      <c r="S2020" s="75">
        <f>OrdersTable[[#This Row],[Quantity]]*OrdersTable[[#This Row],[Unit Price]]</f>
        <v>898</v>
      </c>
      <c r="T2020" s="5">
        <f>OrdersTable[[#This Row],[Gross Sale]]*OrdersTable[[#This Row],[Discount_Clean2]]</f>
        <v>44.900000000000006</v>
      </c>
      <c r="U2020" s="5">
        <f>OrdersTable[[#This Row],[Gross Sale]]-OrdersTable[[#This Row],[Discount Amount]]</f>
        <v>853.1</v>
      </c>
      <c r="V2020" s="77">
        <f>INDEX(Products!E:E,MATCH(OrdersTable[[#This Row],[Product ID]],Products!A:A,0))</f>
        <v>148</v>
      </c>
      <c r="W2020" s="77">
        <f>OrdersTable[[#This Row],[Quantity]]*OrdersTable[[#This Row],[Unit Cost]]</f>
        <v>296</v>
      </c>
      <c r="X2020" s="77">
        <f>'Dropdown Lists'!$I$2*(1+OrdersTable[[#This Row],[Returned]])</f>
        <v>60</v>
      </c>
      <c r="Y2020" s="76">
        <f>OrdersTable[[#This Row],[Net Revenue]]-OrdersTable[[#This Row],[COGS]]-OrdersTable[[#This Row],[Shipping Cost]]</f>
        <v>497.1</v>
      </c>
      <c r="Z2020" s="78">
        <f>IFERROR(OrdersTable[[#This Row],[Profit]]/OrdersTable[[#This Row],[Net Revenue]],0)</f>
        <v>0.58269839409213453</v>
      </c>
      <c r="AA2020" t="s">
        <v>2522</v>
      </c>
      <c r="AB2020" s="79">
        <v>45645</v>
      </c>
      <c r="AC2020">
        <f>OrdersTable[[#This Row],[Delivery Date]]-OrdersTable[[#This Row],[Order Date]]</f>
        <v>2</v>
      </c>
      <c r="AD2020" t="str">
        <f>IF(OrdersTable[[#This Row],[Delivery Days]]&lt;=2, "Express (≤2d)", IF(OrdersTable[[#This Row],[Delivery Days]]&lt;=4, "Standard (3-4d)", "Delayed (5d+)"))</f>
        <v>Express (≤2d)</v>
      </c>
      <c r="AE2020">
        <v>4</v>
      </c>
      <c r="AF2020">
        <v>0</v>
      </c>
    </row>
    <row r="2021" spans="1:32" ht="15" x14ac:dyDescent="0.35">
      <c r="A2021" t="s">
        <v>6544</v>
      </c>
      <c r="B2021" s="1">
        <v>45643</v>
      </c>
      <c r="C2021">
        <f>YEAR(OrdersTable[[#This Row],[Order Date]])</f>
        <v>2024</v>
      </c>
      <c r="D2021" s="2">
        <f>DATE(YEAR(OrdersTable[[#This Row],[Order Date]]),MONTH(OrdersTable[[#This Row],[Order Date]]),1)</f>
        <v>45627</v>
      </c>
      <c r="E2021">
        <f>MONTH(OrdersTable[[#This Row],[Order Date]])</f>
        <v>12</v>
      </c>
      <c r="F2021" t="s">
        <v>6201</v>
      </c>
      <c r="G2021" t="str">
        <f>IF(OrdersTable[[#This Row],[Order Date]]=_xlfn.MINIFS(Order_Date, Customer_ID, OrdersTable[[#This Row],[Customer ID]]), "New", "Repeat")</f>
        <v>New</v>
      </c>
      <c r="H2021" t="s">
        <v>71</v>
      </c>
      <c r="I2021" t="str">
        <f>INDEX(State!B:B,MATCH(OrdersTable[[#This Row],[State]],State!A:A,0))</f>
        <v>MH</v>
      </c>
      <c r="J2021" t="str">
        <f>INDEX(State!C:C,MATCH(OrdersTable[[#This Row],[State Code]],State!B:B,0))</f>
        <v>West</v>
      </c>
      <c r="K2021" t="s">
        <v>102</v>
      </c>
      <c r="L2021" t="s">
        <v>16</v>
      </c>
      <c r="M2021" t="s">
        <v>255</v>
      </c>
      <c r="N2021" t="str">
        <f>INDEX(Products!B:B,MATCH(OrdersTable[[#This Row],[Product ID]],Products!A:A,0))</f>
        <v>Cotton Oversized T-Shirt</v>
      </c>
      <c r="O2021" t="str">
        <f>INDEX(Products!C:C,MATCH(OrdersTable[[#This Row],[Product ID]],Products!A:A,0))</f>
        <v>Apparel</v>
      </c>
      <c r="P2021">
        <v>3</v>
      </c>
      <c r="Q2021" s="5">
        <v>799</v>
      </c>
      <c r="R2021" s="74">
        <v>0.1</v>
      </c>
      <c r="S2021" s="75">
        <f>OrdersTable[[#This Row],[Quantity]]*OrdersTable[[#This Row],[Unit Price]]</f>
        <v>2397</v>
      </c>
      <c r="T2021" s="5">
        <f>OrdersTable[[#This Row],[Gross Sale]]*OrdersTable[[#This Row],[Discount_Clean2]]</f>
        <v>239.70000000000002</v>
      </c>
      <c r="U2021" s="5">
        <f>OrdersTable[[#This Row],[Gross Sale]]-OrdersTable[[#This Row],[Discount Amount]]</f>
        <v>2157.3000000000002</v>
      </c>
      <c r="V2021" s="77">
        <f>INDEX(Products!E:E,MATCH(OrdersTable[[#This Row],[Product ID]],Products!A:A,0))</f>
        <v>320</v>
      </c>
      <c r="W2021" s="77">
        <f>OrdersTable[[#This Row],[Quantity]]*OrdersTable[[#This Row],[Unit Cost]]</f>
        <v>960</v>
      </c>
      <c r="X2021" s="77">
        <f>'Dropdown Lists'!$I$2*(1+OrdersTable[[#This Row],[Returned]])</f>
        <v>60</v>
      </c>
      <c r="Y2021" s="76">
        <f>OrdersTable[[#This Row],[Net Revenue]]-OrdersTable[[#This Row],[COGS]]-OrdersTable[[#This Row],[Shipping Cost]]</f>
        <v>1137.3000000000002</v>
      </c>
      <c r="Z2021" s="78">
        <f>IFERROR(OrdersTable[[#This Row],[Profit]]/OrdersTable[[#This Row],[Net Revenue]],0)</f>
        <v>0.52718676122931452</v>
      </c>
      <c r="AA2021" t="s">
        <v>18</v>
      </c>
      <c r="AB2021" s="79">
        <v>45646</v>
      </c>
      <c r="AC2021">
        <f>OrdersTable[[#This Row],[Delivery Date]]-OrdersTable[[#This Row],[Order Date]]</f>
        <v>3</v>
      </c>
      <c r="AD2021" t="str">
        <f>IF(OrdersTable[[#This Row],[Delivery Days]]&lt;=2, "Express (≤2d)", IF(OrdersTable[[#This Row],[Delivery Days]]&lt;=4, "Standard (3-4d)", "Delayed (5d+)"))</f>
        <v>Standard (3-4d)</v>
      </c>
      <c r="AF2021">
        <v>0</v>
      </c>
    </row>
    <row r="2022" spans="1:32" ht="15" x14ac:dyDescent="0.35">
      <c r="A2022" t="s">
        <v>5794</v>
      </c>
      <c r="B2022" s="1">
        <v>45643</v>
      </c>
      <c r="C2022">
        <f>YEAR(OrdersTable[[#This Row],[Order Date]])</f>
        <v>2024</v>
      </c>
      <c r="D2022" s="2">
        <f>DATE(YEAR(OrdersTable[[#This Row],[Order Date]]),MONTH(OrdersTable[[#This Row],[Order Date]]),1)</f>
        <v>45627</v>
      </c>
      <c r="E2022">
        <f>MONTH(OrdersTable[[#This Row],[Order Date]])</f>
        <v>12</v>
      </c>
      <c r="F2022" t="s">
        <v>1060</v>
      </c>
      <c r="G2022" t="str">
        <f>IF(OrdersTable[[#This Row],[Order Date]]=_xlfn.MINIFS(Order_Date, Customer_ID, OrdersTable[[#This Row],[Customer ID]]), "New", "Repeat")</f>
        <v>Repeat</v>
      </c>
      <c r="H2022" t="s">
        <v>275</v>
      </c>
      <c r="I2022" t="str">
        <f>INDEX(State!B:B,MATCH(OrdersTable[[#This Row],[State]],State!A:A,0))</f>
        <v>AP</v>
      </c>
      <c r="J2022" t="str">
        <f>INDEX(State!C:C,MATCH(OrdersTable[[#This Row],[State Code]],State!B:B,0))</f>
        <v>South</v>
      </c>
      <c r="K2022" t="s">
        <v>491</v>
      </c>
      <c r="L2022" t="s">
        <v>23</v>
      </c>
      <c r="M2022" t="s">
        <v>228</v>
      </c>
      <c r="N2022" t="str">
        <f>INDEX(Products!B:B,MATCH(OrdersTable[[#This Row],[Product ID]],Products!A:A,0))</f>
        <v>Fast Charger 33W</v>
      </c>
      <c r="O2022" t="str">
        <f>INDEX(Products!C:C,MATCH(OrdersTable[[#This Row],[Product ID]],Products!A:A,0))</f>
        <v>Electronics</v>
      </c>
      <c r="P2022">
        <v>2</v>
      </c>
      <c r="Q2022" s="5">
        <v>899</v>
      </c>
      <c r="R2022" s="74">
        <v>0.05</v>
      </c>
      <c r="S2022" s="75">
        <f>OrdersTable[[#This Row],[Quantity]]*OrdersTable[[#This Row],[Unit Price]]</f>
        <v>1798</v>
      </c>
      <c r="T2022" s="5">
        <f>OrdersTable[[#This Row],[Gross Sale]]*OrdersTable[[#This Row],[Discount_Clean2]]</f>
        <v>89.9</v>
      </c>
      <c r="U2022" s="5">
        <f>OrdersTable[[#This Row],[Gross Sale]]-OrdersTable[[#This Row],[Discount Amount]]</f>
        <v>1708.1</v>
      </c>
      <c r="V2022" s="77">
        <f>INDEX(Products!E:E,MATCH(OrdersTable[[#This Row],[Product ID]],Products!A:A,0))</f>
        <v>494</v>
      </c>
      <c r="W2022" s="77">
        <f>OrdersTable[[#This Row],[Quantity]]*OrdersTable[[#This Row],[Unit Cost]]</f>
        <v>988</v>
      </c>
      <c r="X2022" s="77">
        <f>'Dropdown Lists'!$I$2*(1+OrdersTable[[#This Row],[Returned]])</f>
        <v>60</v>
      </c>
      <c r="Y2022" s="76">
        <f>OrdersTable[[#This Row],[Net Revenue]]-OrdersTable[[#This Row],[COGS]]-OrdersTable[[#This Row],[Shipping Cost]]</f>
        <v>660.09999999999991</v>
      </c>
      <c r="Z2022" s="78">
        <f>IFERROR(OrdersTable[[#This Row],[Profit]]/OrdersTable[[#This Row],[Net Revenue]],0)</f>
        <v>0.38645278379485976</v>
      </c>
      <c r="AA2022" t="s">
        <v>18</v>
      </c>
      <c r="AB2022" s="79">
        <v>45646</v>
      </c>
      <c r="AC2022">
        <f>OrdersTable[[#This Row],[Delivery Date]]-OrdersTable[[#This Row],[Order Date]]</f>
        <v>3</v>
      </c>
      <c r="AD2022" t="str">
        <f>IF(OrdersTable[[#This Row],[Delivery Days]]&lt;=2, "Express (≤2d)", IF(OrdersTable[[#This Row],[Delivery Days]]&lt;=4, "Standard (3-4d)", "Delayed (5d+)"))</f>
        <v>Standard (3-4d)</v>
      </c>
      <c r="AE2022">
        <v>5</v>
      </c>
      <c r="AF2022">
        <v>0</v>
      </c>
    </row>
    <row r="2023" spans="1:32" ht="15" x14ac:dyDescent="0.35">
      <c r="A2023" t="s">
        <v>6982</v>
      </c>
      <c r="B2023" s="1">
        <v>45644</v>
      </c>
      <c r="C2023">
        <f>YEAR(OrdersTable[[#This Row],[Order Date]])</f>
        <v>2024</v>
      </c>
      <c r="D2023" s="2">
        <f>DATE(YEAR(OrdersTable[[#This Row],[Order Date]]),MONTH(OrdersTable[[#This Row],[Order Date]]),1)</f>
        <v>45627</v>
      </c>
      <c r="E2023">
        <f>MONTH(OrdersTable[[#This Row],[Order Date]])</f>
        <v>12</v>
      </c>
      <c r="F2023" t="s">
        <v>1062</v>
      </c>
      <c r="G2023" t="str">
        <f>IF(OrdersTable[[#This Row],[Order Date]]=_xlfn.MINIFS(Order_Date, Customer_ID, OrdersTable[[#This Row],[Customer ID]]), "New", "Repeat")</f>
        <v>Repeat</v>
      </c>
      <c r="H2023" t="s">
        <v>184</v>
      </c>
      <c r="I2023" t="str">
        <f>INDEX(State!B:B,MATCH(OrdersTable[[#This Row],[State]],State!A:A,0))</f>
        <v>UK</v>
      </c>
      <c r="J2023" t="str">
        <f>INDEX(State!C:C,MATCH(OrdersTable[[#This Row],[State Code]],State!B:B,0))</f>
        <v>North</v>
      </c>
      <c r="K2023" t="s">
        <v>185</v>
      </c>
      <c r="L2023" t="s">
        <v>65</v>
      </c>
      <c r="M2023" t="s">
        <v>106</v>
      </c>
      <c r="N2023" t="str">
        <f>INDEX(Products!B:B,MATCH(OrdersTable[[#This Row],[Product ID]],Products!A:A,0))</f>
        <v>Keratin Hair Mask</v>
      </c>
      <c r="O2023" t="str">
        <f>INDEX(Products!C:C,MATCH(OrdersTable[[#This Row],[Product ID]],Products!A:A,0))</f>
        <v>Haircare</v>
      </c>
      <c r="P2023">
        <v>4</v>
      </c>
      <c r="Q2023" s="5">
        <v>549</v>
      </c>
      <c r="R2023" s="74">
        <v>0.2</v>
      </c>
      <c r="S2023" s="75">
        <f>OrdersTable[[#This Row],[Quantity]]*OrdersTable[[#This Row],[Unit Price]]</f>
        <v>2196</v>
      </c>
      <c r="T2023" s="5">
        <f>OrdersTable[[#This Row],[Gross Sale]]*OrdersTable[[#This Row],[Discount_Clean2]]</f>
        <v>439.20000000000005</v>
      </c>
      <c r="U2023" s="5">
        <f>OrdersTable[[#This Row],[Gross Sale]]-OrdersTable[[#This Row],[Discount Amount]]</f>
        <v>1756.8</v>
      </c>
      <c r="V2023" s="77">
        <f>INDEX(Products!E:E,MATCH(OrdersTable[[#This Row],[Product ID]],Products!A:A,0))</f>
        <v>170</v>
      </c>
      <c r="W2023" s="77">
        <f>OrdersTable[[#This Row],[Quantity]]*OrdersTable[[#This Row],[Unit Cost]]</f>
        <v>680</v>
      </c>
      <c r="X2023" s="77">
        <f>'Dropdown Lists'!$I$2*(1+OrdersTable[[#This Row],[Returned]])</f>
        <v>60</v>
      </c>
      <c r="Y2023" s="76">
        <f>OrdersTable[[#This Row],[Net Revenue]]-OrdersTable[[#This Row],[COGS]]-OrdersTable[[#This Row],[Shipping Cost]]</f>
        <v>1016.8</v>
      </c>
      <c r="Z2023" s="78">
        <f>IFERROR(OrdersTable[[#This Row],[Profit]]/OrdersTable[[#This Row],[Net Revenue]],0)</f>
        <v>0.57877959927140255</v>
      </c>
      <c r="AA2023" t="s">
        <v>4074</v>
      </c>
      <c r="AB2023" s="79">
        <v>45648</v>
      </c>
      <c r="AC2023">
        <f>OrdersTable[[#This Row],[Delivery Date]]-OrdersTable[[#This Row],[Order Date]]</f>
        <v>4</v>
      </c>
      <c r="AD2023" t="str">
        <f>IF(OrdersTable[[#This Row],[Delivery Days]]&lt;=2, "Express (≤2d)", IF(OrdersTable[[#This Row],[Delivery Days]]&lt;=4, "Standard (3-4d)", "Delayed (5d+)"))</f>
        <v>Standard (3-4d)</v>
      </c>
      <c r="AE2023">
        <v>5</v>
      </c>
      <c r="AF2023">
        <v>0</v>
      </c>
    </row>
    <row r="2024" spans="1:32" ht="15" x14ac:dyDescent="0.35">
      <c r="A2024" t="s">
        <v>4497</v>
      </c>
      <c r="B2024" s="1">
        <v>45644</v>
      </c>
      <c r="C2024">
        <f>YEAR(OrdersTable[[#This Row],[Order Date]])</f>
        <v>2024</v>
      </c>
      <c r="D2024" s="2">
        <f>DATE(YEAR(OrdersTable[[#This Row],[Order Date]]),MONTH(OrdersTable[[#This Row],[Order Date]]),1)</f>
        <v>45627</v>
      </c>
      <c r="E2024">
        <f>MONTH(OrdersTable[[#This Row],[Order Date]])</f>
        <v>12</v>
      </c>
      <c r="F2024" t="s">
        <v>4498</v>
      </c>
      <c r="G2024" t="str">
        <f>IF(OrdersTable[[#This Row],[Order Date]]=_xlfn.MINIFS(Order_Date, Customer_ID, OrdersTable[[#This Row],[Customer ID]]), "New", "Repeat")</f>
        <v>New</v>
      </c>
      <c r="H2024" t="s">
        <v>76</v>
      </c>
      <c r="I2024" t="str">
        <f>INDEX(State!B:B,MATCH(OrdersTable[[#This Row],[State]],State!A:A,0))</f>
        <v>UP</v>
      </c>
      <c r="J2024" t="str">
        <f>INDEX(State!C:C,MATCH(OrdersTable[[#This Row],[State Code]],State!B:B,0))</f>
        <v>North</v>
      </c>
      <c r="K2024" t="s">
        <v>105</v>
      </c>
      <c r="L2024" t="s">
        <v>23</v>
      </c>
      <c r="M2024" t="s">
        <v>106</v>
      </c>
      <c r="N2024" t="str">
        <f>INDEX(Products!B:B,MATCH(OrdersTable[[#This Row],[Product ID]],Products!A:A,0))</f>
        <v>Keratin Hair Mask</v>
      </c>
      <c r="O2024" t="str">
        <f>INDEX(Products!C:C,MATCH(OrdersTable[[#This Row],[Product ID]],Products!A:A,0))</f>
        <v>Haircare</v>
      </c>
      <c r="P2024">
        <v>1</v>
      </c>
      <c r="Q2024" s="5">
        <v>549</v>
      </c>
      <c r="R2024" s="74">
        <v>0.15</v>
      </c>
      <c r="S2024" s="75">
        <f>OrdersTable[[#This Row],[Quantity]]*OrdersTable[[#This Row],[Unit Price]]</f>
        <v>549</v>
      </c>
      <c r="T2024" s="5">
        <f>OrdersTable[[#This Row],[Gross Sale]]*OrdersTable[[#This Row],[Discount_Clean2]]</f>
        <v>82.35</v>
      </c>
      <c r="U2024" s="5">
        <f>OrdersTable[[#This Row],[Gross Sale]]-OrdersTable[[#This Row],[Discount Amount]]</f>
        <v>466.65</v>
      </c>
      <c r="V2024" s="77">
        <f>INDEX(Products!E:E,MATCH(OrdersTable[[#This Row],[Product ID]],Products!A:A,0))</f>
        <v>170</v>
      </c>
      <c r="W2024" s="77">
        <f>OrdersTable[[#This Row],[Quantity]]*OrdersTable[[#This Row],[Unit Cost]]</f>
        <v>170</v>
      </c>
      <c r="X2024" s="77">
        <f>'Dropdown Lists'!$I$2*(1+OrdersTable[[#This Row],[Returned]])</f>
        <v>60</v>
      </c>
      <c r="Y2024" s="76">
        <f>OrdersTable[[#This Row],[Net Revenue]]-OrdersTable[[#This Row],[COGS]]-OrdersTable[[#This Row],[Shipping Cost]]</f>
        <v>236.64999999999998</v>
      </c>
      <c r="Z2024" s="78">
        <f>IFERROR(OrdersTable[[#This Row],[Profit]]/OrdersTable[[#This Row],[Net Revenue]],0)</f>
        <v>0.50712525447337398</v>
      </c>
      <c r="AA2024" t="s">
        <v>4450</v>
      </c>
      <c r="AB2024" s="79">
        <v>45648</v>
      </c>
      <c r="AC2024">
        <f>OrdersTable[[#This Row],[Delivery Date]]-OrdersTable[[#This Row],[Order Date]]</f>
        <v>4</v>
      </c>
      <c r="AD2024" t="str">
        <f>IF(OrdersTable[[#This Row],[Delivery Days]]&lt;=2, "Express (≤2d)", IF(OrdersTable[[#This Row],[Delivery Days]]&lt;=4, "Standard (3-4d)", "Delayed (5d+)"))</f>
        <v>Standard (3-4d)</v>
      </c>
      <c r="AE2024">
        <v>4</v>
      </c>
      <c r="AF2024">
        <v>0</v>
      </c>
    </row>
    <row r="2025" spans="1:32" ht="15" x14ac:dyDescent="0.35">
      <c r="A2025" t="s">
        <v>2762</v>
      </c>
      <c r="B2025" s="1">
        <v>45644</v>
      </c>
      <c r="C2025">
        <f>YEAR(OrdersTable[[#This Row],[Order Date]])</f>
        <v>2024</v>
      </c>
      <c r="D2025" s="2">
        <f>DATE(YEAR(OrdersTable[[#This Row],[Order Date]]),MONTH(OrdersTable[[#This Row],[Order Date]]),1)</f>
        <v>45627</v>
      </c>
      <c r="E2025">
        <f>MONTH(OrdersTable[[#This Row],[Order Date]])</f>
        <v>12</v>
      </c>
      <c r="F2025" t="s">
        <v>2763</v>
      </c>
      <c r="G2025" t="str">
        <f>IF(OrdersTable[[#This Row],[Order Date]]=_xlfn.MINIFS(Order_Date, Customer_ID, OrdersTable[[#This Row],[Customer ID]]), "New", "Repeat")</f>
        <v>New</v>
      </c>
      <c r="H2025" t="s">
        <v>76</v>
      </c>
      <c r="I2025" t="str">
        <f>INDEX(State!B:B,MATCH(OrdersTable[[#This Row],[State]],State!A:A,0))</f>
        <v>UP</v>
      </c>
      <c r="J2025" t="str">
        <f>INDEX(State!C:C,MATCH(OrdersTable[[#This Row],[State Code]],State!B:B,0))</f>
        <v>North</v>
      </c>
      <c r="K2025" t="s">
        <v>118</v>
      </c>
      <c r="L2025" t="s">
        <v>16</v>
      </c>
      <c r="M2025" t="s">
        <v>29</v>
      </c>
      <c r="N2025" t="str">
        <f>INDEX(Products!B:B,MATCH(OrdersTable[[#This Row],[Product ID]],Products!A:A,0))</f>
        <v>Joggers</v>
      </c>
      <c r="O2025" t="str">
        <f>INDEX(Products!C:C,MATCH(OrdersTable[[#This Row],[Product ID]],Products!A:A,0))</f>
        <v>Apparel</v>
      </c>
      <c r="P2025">
        <v>1</v>
      </c>
      <c r="Q2025" s="5">
        <v>1199</v>
      </c>
      <c r="R2025" s="74">
        <v>0.1</v>
      </c>
      <c r="S2025" s="75">
        <f>OrdersTable[[#This Row],[Quantity]]*OrdersTable[[#This Row],[Unit Price]]</f>
        <v>1199</v>
      </c>
      <c r="T2025" s="5">
        <f>OrdersTable[[#This Row],[Gross Sale]]*OrdersTable[[#This Row],[Discount_Clean2]]</f>
        <v>119.9</v>
      </c>
      <c r="U2025" s="5">
        <f>OrdersTable[[#This Row],[Gross Sale]]-OrdersTable[[#This Row],[Discount Amount]]</f>
        <v>1079.0999999999999</v>
      </c>
      <c r="V2025" s="77">
        <f>INDEX(Products!E:E,MATCH(OrdersTable[[#This Row],[Product ID]],Products!A:A,0))</f>
        <v>492</v>
      </c>
      <c r="W2025" s="77">
        <f>OrdersTable[[#This Row],[Quantity]]*OrdersTable[[#This Row],[Unit Cost]]</f>
        <v>492</v>
      </c>
      <c r="X2025" s="77">
        <f>'Dropdown Lists'!$I$2*(1+OrdersTable[[#This Row],[Returned]])</f>
        <v>60</v>
      </c>
      <c r="Y2025" s="76">
        <f>OrdersTable[[#This Row],[Net Revenue]]-OrdersTable[[#This Row],[COGS]]-OrdersTable[[#This Row],[Shipping Cost]]</f>
        <v>527.09999999999991</v>
      </c>
      <c r="Z2025" s="78">
        <f>IFERROR(OrdersTable[[#This Row],[Profit]]/OrdersTable[[#This Row],[Net Revenue]],0)</f>
        <v>0.48846260772866273</v>
      </c>
      <c r="AA2025" t="s">
        <v>2522</v>
      </c>
      <c r="AB2025" s="79">
        <v>45649</v>
      </c>
      <c r="AC2025">
        <f>OrdersTable[[#This Row],[Delivery Date]]-OrdersTable[[#This Row],[Order Date]]</f>
        <v>5</v>
      </c>
      <c r="AD2025" t="str">
        <f>IF(OrdersTable[[#This Row],[Delivery Days]]&lt;=2, "Express (≤2d)", IF(OrdersTable[[#This Row],[Delivery Days]]&lt;=4, "Standard (3-4d)", "Delayed (5d+)"))</f>
        <v>Delayed (5d+)</v>
      </c>
      <c r="AE2025">
        <v>3</v>
      </c>
      <c r="AF2025">
        <v>0</v>
      </c>
    </row>
    <row r="2026" spans="1:32" ht="15" x14ac:dyDescent="0.35">
      <c r="A2026" t="s">
        <v>1932</v>
      </c>
      <c r="B2026" s="1">
        <v>45644</v>
      </c>
      <c r="C2026">
        <f>YEAR(OrdersTable[[#This Row],[Order Date]])</f>
        <v>2024</v>
      </c>
      <c r="D2026" s="2">
        <f>DATE(YEAR(OrdersTable[[#This Row],[Order Date]]),MONTH(OrdersTable[[#This Row],[Order Date]]),1)</f>
        <v>45627</v>
      </c>
      <c r="E2026">
        <f>MONTH(OrdersTable[[#This Row],[Order Date]])</f>
        <v>12</v>
      </c>
      <c r="F2026" t="s">
        <v>1933</v>
      </c>
      <c r="G2026" t="str">
        <f>IF(OrdersTable[[#This Row],[Order Date]]=_xlfn.MINIFS(Order_Date, Customer_ID, OrdersTable[[#This Row],[Customer ID]]), "New", "Repeat")</f>
        <v>New</v>
      </c>
      <c r="H2026" t="s">
        <v>167</v>
      </c>
      <c r="I2026" t="str">
        <f>INDEX(State!B:B,MATCH(OrdersTable[[#This Row],[State]],State!A:A,0))</f>
        <v>KA</v>
      </c>
      <c r="J2026" t="str">
        <f>INDEX(State!C:C,MATCH(OrdersTable[[#This Row],[State Code]],State!B:B,0))</f>
        <v>South</v>
      </c>
      <c r="K2026" t="s">
        <v>190</v>
      </c>
      <c r="L2026" t="s">
        <v>23</v>
      </c>
      <c r="M2026" t="s">
        <v>106</v>
      </c>
      <c r="N2026" t="str">
        <f>INDEX(Products!B:B,MATCH(OrdersTable[[#This Row],[Product ID]],Products!A:A,0))</f>
        <v>Keratin Hair Mask</v>
      </c>
      <c r="O2026" t="str">
        <f>INDEX(Products!C:C,MATCH(OrdersTable[[#This Row],[Product ID]],Products!A:A,0))</f>
        <v>Haircare</v>
      </c>
      <c r="P2026">
        <v>1</v>
      </c>
      <c r="Q2026" s="5">
        <v>549</v>
      </c>
      <c r="R2026" s="74">
        <v>0.15</v>
      </c>
      <c r="S2026" s="75">
        <f>OrdersTable[[#This Row],[Quantity]]*OrdersTable[[#This Row],[Unit Price]]</f>
        <v>549</v>
      </c>
      <c r="T2026" s="5">
        <f>OrdersTable[[#This Row],[Gross Sale]]*OrdersTable[[#This Row],[Discount_Clean2]]</f>
        <v>82.35</v>
      </c>
      <c r="U2026" s="5">
        <f>OrdersTable[[#This Row],[Gross Sale]]-OrdersTable[[#This Row],[Discount Amount]]</f>
        <v>466.65</v>
      </c>
      <c r="V2026" s="77">
        <f>INDEX(Products!E:E,MATCH(OrdersTable[[#This Row],[Product ID]],Products!A:A,0))</f>
        <v>170</v>
      </c>
      <c r="W2026" s="77">
        <f>OrdersTable[[#This Row],[Quantity]]*OrdersTable[[#This Row],[Unit Cost]]</f>
        <v>170</v>
      </c>
      <c r="X2026" s="77">
        <f>'Dropdown Lists'!$I$2*(1+OrdersTable[[#This Row],[Returned]])</f>
        <v>60</v>
      </c>
      <c r="Y2026" s="76">
        <f>OrdersTable[[#This Row],[Net Revenue]]-OrdersTable[[#This Row],[COGS]]-OrdersTable[[#This Row],[Shipping Cost]]</f>
        <v>236.64999999999998</v>
      </c>
      <c r="Z2026" s="78">
        <f>IFERROR(OrdersTable[[#This Row],[Profit]]/OrdersTable[[#This Row],[Net Revenue]],0)</f>
        <v>0.50712525447337398</v>
      </c>
      <c r="AA2026" t="s">
        <v>18</v>
      </c>
      <c r="AB2026" s="79">
        <v>45646</v>
      </c>
      <c r="AC2026">
        <f>OrdersTable[[#This Row],[Delivery Date]]-OrdersTable[[#This Row],[Order Date]]</f>
        <v>2</v>
      </c>
      <c r="AD2026" t="str">
        <f>IF(OrdersTable[[#This Row],[Delivery Days]]&lt;=2, "Express (≤2d)", IF(OrdersTable[[#This Row],[Delivery Days]]&lt;=4, "Standard (3-4d)", "Delayed (5d+)"))</f>
        <v>Express (≤2d)</v>
      </c>
      <c r="AE2026">
        <v>3</v>
      </c>
      <c r="AF2026">
        <v>0</v>
      </c>
    </row>
    <row r="2027" spans="1:32" ht="15" x14ac:dyDescent="0.35">
      <c r="A2027" t="s">
        <v>954</v>
      </c>
      <c r="B2027" s="1">
        <v>45644</v>
      </c>
      <c r="C2027">
        <f>YEAR(OrdersTable[[#This Row],[Order Date]])</f>
        <v>2024</v>
      </c>
      <c r="D2027" s="2">
        <f>DATE(YEAR(OrdersTable[[#This Row],[Order Date]]),MONTH(OrdersTable[[#This Row],[Order Date]]),1)</f>
        <v>45627</v>
      </c>
      <c r="E2027">
        <f>MONTH(OrdersTable[[#This Row],[Order Date]])</f>
        <v>12</v>
      </c>
      <c r="F2027" t="s">
        <v>955</v>
      </c>
      <c r="G2027" t="str">
        <f>IF(OrdersTable[[#This Row],[Order Date]]=_xlfn.MINIFS(Order_Date, Customer_ID, OrdersTable[[#This Row],[Customer ID]]), "New", "Repeat")</f>
        <v>Repeat</v>
      </c>
      <c r="H2027" t="s">
        <v>275</v>
      </c>
      <c r="I2027" t="str">
        <f>INDEX(State!B:B,MATCH(OrdersTable[[#This Row],[State]],State!A:A,0))</f>
        <v>AP</v>
      </c>
      <c r="J2027" t="str">
        <f>INDEX(State!C:C,MATCH(OrdersTable[[#This Row],[State Code]],State!B:B,0))</f>
        <v>South</v>
      </c>
      <c r="K2027" t="s">
        <v>276</v>
      </c>
      <c r="L2027" t="s">
        <v>50</v>
      </c>
      <c r="M2027" t="s">
        <v>106</v>
      </c>
      <c r="N2027" t="str">
        <f>INDEX(Products!B:B,MATCH(OrdersTable[[#This Row],[Product ID]],Products!A:A,0))</f>
        <v>Keratin Hair Mask</v>
      </c>
      <c r="O2027" t="str">
        <f>INDEX(Products!C:C,MATCH(OrdersTable[[#This Row],[Product ID]],Products!A:A,0))</f>
        <v>Haircare</v>
      </c>
      <c r="P2027">
        <v>1</v>
      </c>
      <c r="Q2027" s="5">
        <v>549</v>
      </c>
      <c r="R2027" s="74">
        <v>0.25</v>
      </c>
      <c r="S2027" s="75">
        <f>OrdersTable[[#This Row],[Quantity]]*OrdersTable[[#This Row],[Unit Price]]</f>
        <v>549</v>
      </c>
      <c r="T2027" s="5">
        <f>OrdersTable[[#This Row],[Gross Sale]]*OrdersTable[[#This Row],[Discount_Clean2]]</f>
        <v>137.25</v>
      </c>
      <c r="U2027" s="5">
        <f>OrdersTable[[#This Row],[Gross Sale]]-OrdersTable[[#This Row],[Discount Amount]]</f>
        <v>411.75</v>
      </c>
      <c r="V2027" s="77">
        <f>INDEX(Products!E:E,MATCH(OrdersTable[[#This Row],[Product ID]],Products!A:A,0))</f>
        <v>170</v>
      </c>
      <c r="W2027" s="77">
        <f>OrdersTable[[#This Row],[Quantity]]*OrdersTable[[#This Row],[Unit Cost]]</f>
        <v>170</v>
      </c>
      <c r="X2027" s="77">
        <f>'Dropdown Lists'!$I$2*(1+OrdersTable[[#This Row],[Returned]])</f>
        <v>60</v>
      </c>
      <c r="Y2027" s="76">
        <f>OrdersTable[[#This Row],[Net Revenue]]-OrdersTable[[#This Row],[COGS]]-OrdersTable[[#This Row],[Shipping Cost]]</f>
        <v>181.75</v>
      </c>
      <c r="Z2027" s="78">
        <f>IFERROR(OrdersTable[[#This Row],[Profit]]/OrdersTable[[#This Row],[Net Revenue]],0)</f>
        <v>0.44140862173649059</v>
      </c>
      <c r="AA2027" t="s">
        <v>18</v>
      </c>
      <c r="AB2027" s="79">
        <v>45649</v>
      </c>
      <c r="AC2027">
        <f>OrdersTable[[#This Row],[Delivery Date]]-OrdersTable[[#This Row],[Order Date]]</f>
        <v>5</v>
      </c>
      <c r="AD2027" t="str">
        <f>IF(OrdersTable[[#This Row],[Delivery Days]]&lt;=2, "Express (≤2d)", IF(OrdersTable[[#This Row],[Delivery Days]]&lt;=4, "Standard (3-4d)", "Delayed (5d+)"))</f>
        <v>Delayed (5d+)</v>
      </c>
      <c r="AE2027">
        <v>4</v>
      </c>
      <c r="AF2027">
        <v>0</v>
      </c>
    </row>
    <row r="2028" spans="1:32" ht="15" x14ac:dyDescent="0.35">
      <c r="A2028" t="s">
        <v>2999</v>
      </c>
      <c r="B2028" s="1">
        <v>45644</v>
      </c>
      <c r="C2028">
        <f>YEAR(OrdersTable[[#This Row],[Order Date]])</f>
        <v>2024</v>
      </c>
      <c r="D2028" s="2">
        <f>DATE(YEAR(OrdersTable[[#This Row],[Order Date]]),MONTH(OrdersTable[[#This Row],[Order Date]]),1)</f>
        <v>45627</v>
      </c>
      <c r="E2028">
        <f>MONTH(OrdersTable[[#This Row],[Order Date]])</f>
        <v>12</v>
      </c>
      <c r="F2028" t="s">
        <v>2003</v>
      </c>
      <c r="G2028" t="str">
        <f>IF(OrdersTable[[#This Row],[Order Date]]=_xlfn.MINIFS(Order_Date, Customer_ID, OrdersTable[[#This Row],[Customer ID]]), "New", "Repeat")</f>
        <v>Repeat</v>
      </c>
      <c r="H2028" t="s">
        <v>275</v>
      </c>
      <c r="I2028" t="str">
        <f>INDEX(State!B:B,MATCH(OrdersTable[[#This Row],[State]],State!A:A,0))</f>
        <v>AP</v>
      </c>
      <c r="J2028" t="str">
        <f>INDEX(State!C:C,MATCH(OrdersTable[[#This Row],[State Code]],State!B:B,0))</f>
        <v>South</v>
      </c>
      <c r="K2028" t="s">
        <v>276</v>
      </c>
      <c r="L2028" t="s">
        <v>65</v>
      </c>
      <c r="M2028" t="s">
        <v>45</v>
      </c>
      <c r="N2028" t="str">
        <f>INDEX(Products!B:B,MATCH(OrdersTable[[#This Row],[Product ID]],Products!A:A,0))</f>
        <v>Argan Shampoo</v>
      </c>
      <c r="O2028" t="str">
        <f>INDEX(Products!C:C,MATCH(OrdersTable[[#This Row],[Product ID]],Products!A:A,0))</f>
        <v>Haircare</v>
      </c>
      <c r="P2028">
        <v>1</v>
      </c>
      <c r="Q2028" s="5">
        <v>449</v>
      </c>
      <c r="R2028" s="74">
        <v>0.15</v>
      </c>
      <c r="S2028" s="75">
        <f>OrdersTable[[#This Row],[Quantity]]*OrdersTable[[#This Row],[Unit Price]]</f>
        <v>449</v>
      </c>
      <c r="T2028" s="5">
        <f>OrdersTable[[#This Row],[Gross Sale]]*OrdersTable[[#This Row],[Discount_Clean2]]</f>
        <v>67.349999999999994</v>
      </c>
      <c r="U2028" s="5">
        <f>OrdersTable[[#This Row],[Gross Sale]]-OrdersTable[[#This Row],[Discount Amount]]</f>
        <v>381.65</v>
      </c>
      <c r="V2028" s="77">
        <f>INDEX(Products!E:E,MATCH(OrdersTable[[#This Row],[Product ID]],Products!A:A,0))</f>
        <v>148</v>
      </c>
      <c r="W2028" s="77">
        <f>OrdersTable[[#This Row],[Quantity]]*OrdersTable[[#This Row],[Unit Cost]]</f>
        <v>148</v>
      </c>
      <c r="X2028" s="77">
        <f>'Dropdown Lists'!$I$2*(1+OrdersTable[[#This Row],[Returned]])</f>
        <v>60</v>
      </c>
      <c r="Y2028" s="76">
        <f>OrdersTable[[#This Row],[Net Revenue]]-OrdersTable[[#This Row],[COGS]]-OrdersTable[[#This Row],[Shipping Cost]]</f>
        <v>173.64999999999998</v>
      </c>
      <c r="Z2028" s="78">
        <f>IFERROR(OrdersTable[[#This Row],[Profit]]/OrdersTable[[#This Row],[Net Revenue]],0)</f>
        <v>0.45499803484868334</v>
      </c>
      <c r="AA2028" t="s">
        <v>2522</v>
      </c>
      <c r="AB2028" s="79">
        <v>45646</v>
      </c>
      <c r="AC2028">
        <f>OrdersTable[[#This Row],[Delivery Date]]-OrdersTable[[#This Row],[Order Date]]</f>
        <v>2</v>
      </c>
      <c r="AD2028" t="str">
        <f>IF(OrdersTable[[#This Row],[Delivery Days]]&lt;=2, "Express (≤2d)", IF(OrdersTable[[#This Row],[Delivery Days]]&lt;=4, "Standard (3-4d)", "Delayed (5d+)"))</f>
        <v>Express (≤2d)</v>
      </c>
      <c r="AF2028">
        <v>0</v>
      </c>
    </row>
    <row r="2029" spans="1:32" ht="15" x14ac:dyDescent="0.35">
      <c r="A2029" t="s">
        <v>3000</v>
      </c>
      <c r="B2029" s="1">
        <v>45645</v>
      </c>
      <c r="C2029">
        <f>YEAR(OrdersTable[[#This Row],[Order Date]])</f>
        <v>2024</v>
      </c>
      <c r="D2029" s="2">
        <f>DATE(YEAR(OrdersTable[[#This Row],[Order Date]]),MONTH(OrdersTable[[#This Row],[Order Date]]),1)</f>
        <v>45627</v>
      </c>
      <c r="E2029">
        <f>MONTH(OrdersTable[[#This Row],[Order Date]])</f>
        <v>12</v>
      </c>
      <c r="F2029" t="s">
        <v>1131</v>
      </c>
      <c r="G2029" t="str">
        <f>IF(OrdersTable[[#This Row],[Order Date]]=_xlfn.MINIFS(Order_Date, Customer_ID, OrdersTable[[#This Row],[Customer ID]]), "New", "Repeat")</f>
        <v>Repeat</v>
      </c>
      <c r="H2029" t="s">
        <v>21</v>
      </c>
      <c r="I2029" t="str">
        <f>INDEX(State!B:B,MATCH(OrdersTable[[#This Row],[State]],State!A:A,0))</f>
        <v>PB</v>
      </c>
      <c r="J2029" t="str">
        <f>INDEX(State!C:C,MATCH(OrdersTable[[#This Row],[State Code]],State!B:B,0))</f>
        <v>North</v>
      </c>
      <c r="K2029" t="s">
        <v>260</v>
      </c>
      <c r="L2029" t="s">
        <v>50</v>
      </c>
      <c r="M2029" t="s">
        <v>66</v>
      </c>
      <c r="N2029" t="str">
        <f>INDEX(Products!B:B,MATCH(OrdersTable[[#This Row],[Product ID]],Products!A:A,0))</f>
        <v>Sunscreen SPF 50</v>
      </c>
      <c r="O2029" t="str">
        <f>INDEX(Products!C:C,MATCH(OrdersTable[[#This Row],[Product ID]],Products!A:A,0))</f>
        <v>Skincare</v>
      </c>
      <c r="P2029">
        <v>1</v>
      </c>
      <c r="Q2029" s="5">
        <v>449</v>
      </c>
      <c r="R2029" s="74">
        <v>0</v>
      </c>
      <c r="S2029" s="75">
        <f>OrdersTable[[#This Row],[Quantity]]*OrdersTable[[#This Row],[Unit Price]]</f>
        <v>449</v>
      </c>
      <c r="T2029" s="5">
        <f>OrdersTable[[#This Row],[Gross Sale]]*OrdersTable[[#This Row],[Discount_Clean2]]</f>
        <v>0</v>
      </c>
      <c r="U2029" s="5">
        <f>OrdersTable[[#This Row],[Gross Sale]]-OrdersTable[[#This Row],[Discount Amount]]</f>
        <v>449</v>
      </c>
      <c r="V2029" s="77">
        <f>INDEX(Products!E:E,MATCH(OrdersTable[[#This Row],[Product ID]],Products!A:A,0))</f>
        <v>144</v>
      </c>
      <c r="W2029" s="77">
        <f>OrdersTable[[#This Row],[Quantity]]*OrdersTable[[#This Row],[Unit Cost]]</f>
        <v>144</v>
      </c>
      <c r="X2029" s="77">
        <f>'Dropdown Lists'!$I$2*(1+OrdersTable[[#This Row],[Returned]])</f>
        <v>60</v>
      </c>
      <c r="Y2029" s="76">
        <f>OrdersTable[[#This Row],[Net Revenue]]-OrdersTable[[#This Row],[COGS]]-OrdersTable[[#This Row],[Shipping Cost]]</f>
        <v>245</v>
      </c>
      <c r="Z2029" s="78">
        <f>IFERROR(OrdersTable[[#This Row],[Profit]]/OrdersTable[[#This Row],[Net Revenue]],0)</f>
        <v>0.54565701559020041</v>
      </c>
      <c r="AA2029" t="s">
        <v>2522</v>
      </c>
      <c r="AB2029" s="79">
        <v>45650</v>
      </c>
      <c r="AC2029">
        <f>OrdersTable[[#This Row],[Delivery Date]]-OrdersTable[[#This Row],[Order Date]]</f>
        <v>5</v>
      </c>
      <c r="AD2029" t="str">
        <f>IF(OrdersTable[[#This Row],[Delivery Days]]&lt;=2, "Express (≤2d)", IF(OrdersTable[[#This Row],[Delivery Days]]&lt;=4, "Standard (3-4d)", "Delayed (5d+)"))</f>
        <v>Delayed (5d+)</v>
      </c>
      <c r="AF2029">
        <v>0</v>
      </c>
    </row>
    <row r="2030" spans="1:32" ht="15" x14ac:dyDescent="0.35">
      <c r="A2030" t="s">
        <v>6327</v>
      </c>
      <c r="B2030" s="1">
        <v>45645</v>
      </c>
      <c r="C2030">
        <f>YEAR(OrdersTable[[#This Row],[Order Date]])</f>
        <v>2024</v>
      </c>
      <c r="D2030" s="2">
        <f>DATE(YEAR(OrdersTable[[#This Row],[Order Date]]),MONTH(OrdersTable[[#This Row],[Order Date]]),1)</f>
        <v>45627</v>
      </c>
      <c r="E2030">
        <f>MONTH(OrdersTable[[#This Row],[Order Date]])</f>
        <v>12</v>
      </c>
      <c r="F2030" t="s">
        <v>1586</v>
      </c>
      <c r="G2030" t="str">
        <f>IF(OrdersTable[[#This Row],[Order Date]]=_xlfn.MINIFS(Order_Date, Customer_ID, OrdersTable[[#This Row],[Customer ID]]), "New", "Repeat")</f>
        <v>New</v>
      </c>
      <c r="H2030" t="s">
        <v>128</v>
      </c>
      <c r="I2030" t="str">
        <f>INDEX(State!B:B,MATCH(OrdersTable[[#This Row],[State]],State!A:A,0))</f>
        <v>DL</v>
      </c>
      <c r="J2030" t="str">
        <f>INDEX(State!C:C,MATCH(OrdersTable[[#This Row],[State Code]],State!B:B,0))</f>
        <v>North</v>
      </c>
      <c r="K2030" t="s">
        <v>129</v>
      </c>
      <c r="L2030" t="s">
        <v>16</v>
      </c>
      <c r="M2030" t="s">
        <v>34</v>
      </c>
      <c r="N2030" t="str">
        <f>INDEX(Products!B:B,MATCH(OrdersTable[[#This Row],[Product ID]],Products!A:A,0))</f>
        <v>Flip Flops</v>
      </c>
      <c r="O2030" t="str">
        <f>INDEX(Products!C:C,MATCH(OrdersTable[[#This Row],[Product ID]],Products!A:A,0))</f>
        <v>Footwear</v>
      </c>
      <c r="P2030">
        <v>2</v>
      </c>
      <c r="Q2030" s="5">
        <v>399</v>
      </c>
      <c r="R2030" s="74">
        <v>0.15</v>
      </c>
      <c r="S2030" s="75">
        <f>OrdersTable[[#This Row],[Quantity]]*OrdersTable[[#This Row],[Unit Price]]</f>
        <v>798</v>
      </c>
      <c r="T2030" s="5">
        <f>OrdersTable[[#This Row],[Gross Sale]]*OrdersTable[[#This Row],[Discount_Clean2]]</f>
        <v>119.69999999999999</v>
      </c>
      <c r="U2030" s="5">
        <f>OrdersTable[[#This Row],[Gross Sale]]-OrdersTable[[#This Row],[Discount Amount]]</f>
        <v>678.3</v>
      </c>
      <c r="V2030" s="77">
        <f>INDEX(Products!E:E,MATCH(OrdersTable[[#This Row],[Product ID]],Products!A:A,0))</f>
        <v>152</v>
      </c>
      <c r="W2030" s="77">
        <f>OrdersTable[[#This Row],[Quantity]]*OrdersTable[[#This Row],[Unit Cost]]</f>
        <v>304</v>
      </c>
      <c r="X2030" s="77">
        <f>'Dropdown Lists'!$I$2*(1+OrdersTable[[#This Row],[Returned]])</f>
        <v>60</v>
      </c>
      <c r="Y2030" s="76">
        <f>OrdersTable[[#This Row],[Net Revenue]]-OrdersTable[[#This Row],[COGS]]-OrdersTable[[#This Row],[Shipping Cost]]</f>
        <v>314.29999999999995</v>
      </c>
      <c r="Z2030" s="78">
        <f>IFERROR(OrdersTable[[#This Row],[Profit]]/OrdersTable[[#This Row],[Net Revenue]],0)</f>
        <v>0.4633642930856553</v>
      </c>
      <c r="AA2030" t="s">
        <v>18</v>
      </c>
      <c r="AB2030" s="79">
        <v>45646</v>
      </c>
      <c r="AC2030">
        <f>OrdersTable[[#This Row],[Delivery Date]]-OrdersTable[[#This Row],[Order Date]]</f>
        <v>1</v>
      </c>
      <c r="AD2030" t="str">
        <f>IF(OrdersTable[[#This Row],[Delivery Days]]&lt;=2, "Express (≤2d)", IF(OrdersTable[[#This Row],[Delivery Days]]&lt;=4, "Standard (3-4d)", "Delayed (5d+)"))</f>
        <v>Express (≤2d)</v>
      </c>
      <c r="AE2030">
        <v>4</v>
      </c>
      <c r="AF2030">
        <v>0</v>
      </c>
    </row>
    <row r="2031" spans="1:32" ht="15" x14ac:dyDescent="0.35">
      <c r="A2031" t="s">
        <v>1526</v>
      </c>
      <c r="B2031" s="1">
        <v>45645</v>
      </c>
      <c r="C2031">
        <f>YEAR(OrdersTable[[#This Row],[Order Date]])</f>
        <v>2024</v>
      </c>
      <c r="D2031" s="2">
        <f>DATE(YEAR(OrdersTable[[#This Row],[Order Date]]),MONTH(OrdersTable[[#This Row],[Order Date]]),1)</f>
        <v>45627</v>
      </c>
      <c r="E2031">
        <f>MONTH(OrdersTable[[#This Row],[Order Date]])</f>
        <v>12</v>
      </c>
      <c r="F2031" t="s">
        <v>1527</v>
      </c>
      <c r="G2031" t="str">
        <f>IF(OrdersTable[[#This Row],[Order Date]]=_xlfn.MINIFS(Order_Date, Customer_ID, OrdersTable[[#This Row],[Customer ID]]), "New", "Repeat")</f>
        <v>New</v>
      </c>
      <c r="H2031" t="s">
        <v>37</v>
      </c>
      <c r="I2031" t="str">
        <f>INDEX(State!B:B,MATCH(OrdersTable[[#This Row],[State]],State!A:A,0))</f>
        <v>GJ</v>
      </c>
      <c r="J2031" t="str">
        <f>INDEX(State!C:C,MATCH(OrdersTable[[#This Row],[State Code]],State!B:B,0))</f>
        <v>West</v>
      </c>
      <c r="K2031" t="s">
        <v>247</v>
      </c>
      <c r="L2031" t="s">
        <v>39</v>
      </c>
      <c r="M2031" t="s">
        <v>45</v>
      </c>
      <c r="N2031" t="str">
        <f>INDEX(Products!B:B,MATCH(OrdersTable[[#This Row],[Product ID]],Products!A:A,0))</f>
        <v>Argan Shampoo</v>
      </c>
      <c r="O2031" t="str">
        <f>INDEX(Products!C:C,MATCH(OrdersTable[[#This Row],[Product ID]],Products!A:A,0))</f>
        <v>Haircare</v>
      </c>
      <c r="P2031">
        <v>1</v>
      </c>
      <c r="Q2031" s="5">
        <v>449</v>
      </c>
      <c r="R2031" s="74">
        <v>0</v>
      </c>
      <c r="S2031" s="75">
        <f>OrdersTable[[#This Row],[Quantity]]*OrdersTable[[#This Row],[Unit Price]]</f>
        <v>449</v>
      </c>
      <c r="T2031" s="5">
        <f>OrdersTable[[#This Row],[Gross Sale]]*OrdersTable[[#This Row],[Discount_Clean2]]</f>
        <v>0</v>
      </c>
      <c r="U2031" s="5">
        <f>OrdersTable[[#This Row],[Gross Sale]]-OrdersTable[[#This Row],[Discount Amount]]</f>
        <v>449</v>
      </c>
      <c r="V2031" s="77">
        <f>INDEX(Products!E:E,MATCH(OrdersTable[[#This Row],[Product ID]],Products!A:A,0))</f>
        <v>148</v>
      </c>
      <c r="W2031" s="77">
        <f>OrdersTable[[#This Row],[Quantity]]*OrdersTable[[#This Row],[Unit Cost]]</f>
        <v>148</v>
      </c>
      <c r="X2031" s="77">
        <f>'Dropdown Lists'!$I$2*(1+OrdersTable[[#This Row],[Returned]])</f>
        <v>60</v>
      </c>
      <c r="Y2031" s="76">
        <f>OrdersTable[[#This Row],[Net Revenue]]-OrdersTable[[#This Row],[COGS]]-OrdersTable[[#This Row],[Shipping Cost]]</f>
        <v>241</v>
      </c>
      <c r="Z2031" s="78">
        <f>IFERROR(OrdersTable[[#This Row],[Profit]]/OrdersTable[[#This Row],[Net Revenue]],0)</f>
        <v>0.53674832962138086</v>
      </c>
      <c r="AA2031" t="s">
        <v>18</v>
      </c>
      <c r="AB2031" s="79">
        <v>45649</v>
      </c>
      <c r="AC2031">
        <f>OrdersTable[[#This Row],[Delivery Date]]-OrdersTable[[#This Row],[Order Date]]</f>
        <v>4</v>
      </c>
      <c r="AD2031" t="str">
        <f>IF(OrdersTable[[#This Row],[Delivery Days]]&lt;=2, "Express (≤2d)", IF(OrdersTable[[#This Row],[Delivery Days]]&lt;=4, "Standard (3-4d)", "Delayed (5d+)"))</f>
        <v>Standard (3-4d)</v>
      </c>
      <c r="AF2031">
        <v>0</v>
      </c>
    </row>
    <row r="2032" spans="1:32" ht="15" x14ac:dyDescent="0.35">
      <c r="A2032" t="s">
        <v>3240</v>
      </c>
      <c r="B2032" s="1">
        <v>45645</v>
      </c>
      <c r="C2032">
        <f>YEAR(OrdersTable[[#This Row],[Order Date]])</f>
        <v>2024</v>
      </c>
      <c r="D2032" s="2">
        <f>DATE(YEAR(OrdersTable[[#This Row],[Order Date]]),MONTH(OrdersTable[[#This Row],[Order Date]]),1)</f>
        <v>45627</v>
      </c>
      <c r="E2032">
        <f>MONTH(OrdersTable[[#This Row],[Order Date]])</f>
        <v>12</v>
      </c>
      <c r="F2032" t="s">
        <v>1352</v>
      </c>
      <c r="G2032" t="str">
        <f>IF(OrdersTable[[#This Row],[Order Date]]=_xlfn.MINIFS(Order_Date, Customer_ID, OrdersTable[[#This Row],[Customer ID]]), "New", "Repeat")</f>
        <v>Repeat</v>
      </c>
      <c r="H2032" t="s">
        <v>27</v>
      </c>
      <c r="I2032" t="str">
        <f>INDEX(State!B:B,MATCH(OrdersTable[[#This Row],[State]],State!A:A,0))</f>
        <v>WB</v>
      </c>
      <c r="J2032" t="str">
        <f>INDEX(State!C:C,MATCH(OrdersTable[[#This Row],[State Code]],State!B:B,0))</f>
        <v>East</v>
      </c>
      <c r="K2032" t="s">
        <v>28</v>
      </c>
      <c r="L2032" t="s">
        <v>39</v>
      </c>
      <c r="M2032" t="s">
        <v>56</v>
      </c>
      <c r="N2032" t="str">
        <f>INDEX(Products!B:B,MATCH(OrdersTable[[#This Row],[Product ID]],Products!A:A,0))</f>
        <v>Vitamin C Face Serum</v>
      </c>
      <c r="O2032" t="str">
        <f>INDEX(Products!C:C,MATCH(OrdersTable[[#This Row],[Product ID]],Products!A:A,0))</f>
        <v>Skincare</v>
      </c>
      <c r="P2032">
        <v>1</v>
      </c>
      <c r="Q2032" s="5">
        <v>599</v>
      </c>
      <c r="R2032" s="74">
        <v>0.1</v>
      </c>
      <c r="S2032" s="75">
        <f>OrdersTable[[#This Row],[Quantity]]*OrdersTable[[#This Row],[Unit Price]]</f>
        <v>599</v>
      </c>
      <c r="T2032" s="5">
        <f>OrdersTable[[#This Row],[Gross Sale]]*OrdersTable[[#This Row],[Discount_Clean2]]</f>
        <v>59.900000000000006</v>
      </c>
      <c r="U2032" s="5">
        <f>OrdersTable[[#This Row],[Gross Sale]]-OrdersTable[[#This Row],[Discount Amount]]</f>
        <v>539.1</v>
      </c>
      <c r="V2032" s="77">
        <f>INDEX(Products!E:E,MATCH(OrdersTable[[#This Row],[Product ID]],Products!A:A,0))</f>
        <v>180</v>
      </c>
      <c r="W2032" s="77">
        <f>OrdersTable[[#This Row],[Quantity]]*OrdersTable[[#This Row],[Unit Cost]]</f>
        <v>180</v>
      </c>
      <c r="X2032" s="77">
        <f>'Dropdown Lists'!$I$2*(1+OrdersTable[[#This Row],[Returned]])</f>
        <v>120</v>
      </c>
      <c r="Y2032" s="76">
        <f>OrdersTable[[#This Row],[Net Revenue]]-OrdersTable[[#This Row],[COGS]]-OrdersTable[[#This Row],[Shipping Cost]]</f>
        <v>239.10000000000002</v>
      </c>
      <c r="Z2032" s="78">
        <f>IFERROR(OrdersTable[[#This Row],[Profit]]/OrdersTable[[#This Row],[Net Revenue]],0)</f>
        <v>0.4435169727323317</v>
      </c>
      <c r="AA2032" t="s">
        <v>2522</v>
      </c>
      <c r="AB2032" s="79">
        <v>45650</v>
      </c>
      <c r="AC2032">
        <f>OrdersTable[[#This Row],[Delivery Date]]-OrdersTable[[#This Row],[Order Date]]</f>
        <v>5</v>
      </c>
      <c r="AD2032" t="str">
        <f>IF(OrdersTable[[#This Row],[Delivery Days]]&lt;=2, "Express (≤2d)", IF(OrdersTable[[#This Row],[Delivery Days]]&lt;=4, "Standard (3-4d)", "Delayed (5d+)"))</f>
        <v>Delayed (5d+)</v>
      </c>
      <c r="AE2032">
        <v>4</v>
      </c>
      <c r="AF2032">
        <v>1</v>
      </c>
    </row>
    <row r="2033" spans="1:32" ht="15" x14ac:dyDescent="0.35">
      <c r="A2033" t="s">
        <v>2764</v>
      </c>
      <c r="B2033" s="1">
        <v>45645</v>
      </c>
      <c r="C2033">
        <f>YEAR(OrdersTable[[#This Row],[Order Date]])</f>
        <v>2024</v>
      </c>
      <c r="D2033" s="2">
        <f>DATE(YEAR(OrdersTable[[#This Row],[Order Date]]),MONTH(OrdersTable[[#This Row],[Order Date]]),1)</f>
        <v>45627</v>
      </c>
      <c r="E2033">
        <f>MONTH(OrdersTable[[#This Row],[Order Date]])</f>
        <v>12</v>
      </c>
      <c r="F2033" t="s">
        <v>2765</v>
      </c>
      <c r="G2033" t="str">
        <f>IF(OrdersTable[[#This Row],[Order Date]]=_xlfn.MINIFS(Order_Date, Customer_ID, OrdersTable[[#This Row],[Customer ID]]), "New", "Repeat")</f>
        <v>Repeat</v>
      </c>
      <c r="H2033" t="s">
        <v>275</v>
      </c>
      <c r="I2033" t="str">
        <f>INDEX(State!B:B,MATCH(OrdersTable[[#This Row],[State]],State!A:A,0))</f>
        <v>AP</v>
      </c>
      <c r="J2033" t="str">
        <f>INDEX(State!C:C,MATCH(OrdersTable[[#This Row],[State Code]],State!B:B,0))</f>
        <v>South</v>
      </c>
      <c r="K2033" t="s">
        <v>491</v>
      </c>
      <c r="L2033" t="s">
        <v>65</v>
      </c>
      <c r="M2033" t="s">
        <v>24</v>
      </c>
      <c r="N2033" t="str">
        <f>INDEX(Products!B:B,MATCH(OrdersTable[[#This Row],[Product ID]],Products!A:A,0))</f>
        <v>Scented Candle Set</v>
      </c>
      <c r="O2033" t="str">
        <f>INDEX(Products!C:C,MATCH(OrdersTable[[#This Row],[Product ID]],Products!A:A,0))</f>
        <v>Home &amp; Kitchen</v>
      </c>
      <c r="P2033">
        <v>1</v>
      </c>
      <c r="Q2033" s="5">
        <v>699</v>
      </c>
      <c r="R2033" s="74">
        <v>0.2</v>
      </c>
      <c r="S2033" s="75">
        <f>OrdersTable[[#This Row],[Quantity]]*OrdersTable[[#This Row],[Unit Price]]</f>
        <v>699</v>
      </c>
      <c r="T2033" s="5">
        <f>OrdersTable[[#This Row],[Gross Sale]]*OrdersTable[[#This Row],[Discount_Clean2]]</f>
        <v>139.80000000000001</v>
      </c>
      <c r="U2033" s="5">
        <f>OrdersTable[[#This Row],[Gross Sale]]-OrdersTable[[#This Row],[Discount Amount]]</f>
        <v>559.20000000000005</v>
      </c>
      <c r="V2033" s="77">
        <f>INDEX(Products!E:E,MATCH(OrdersTable[[#This Row],[Product ID]],Products!A:A,0))</f>
        <v>245</v>
      </c>
      <c r="W2033" s="77">
        <f>OrdersTable[[#This Row],[Quantity]]*OrdersTable[[#This Row],[Unit Cost]]</f>
        <v>245</v>
      </c>
      <c r="X2033" s="77">
        <f>'Dropdown Lists'!$I$2*(1+OrdersTable[[#This Row],[Returned]])</f>
        <v>60</v>
      </c>
      <c r="Y2033" s="76">
        <f>OrdersTable[[#This Row],[Net Revenue]]-OrdersTable[[#This Row],[COGS]]-OrdersTable[[#This Row],[Shipping Cost]]</f>
        <v>254.20000000000005</v>
      </c>
      <c r="Z2033" s="78">
        <f>IFERROR(OrdersTable[[#This Row],[Profit]]/OrdersTable[[#This Row],[Net Revenue]],0)</f>
        <v>0.45457796852646642</v>
      </c>
      <c r="AA2033" t="s">
        <v>2522</v>
      </c>
      <c r="AB2033" s="79">
        <v>45649</v>
      </c>
      <c r="AC2033">
        <f>OrdersTable[[#This Row],[Delivery Date]]-OrdersTable[[#This Row],[Order Date]]</f>
        <v>4</v>
      </c>
      <c r="AD2033" t="str">
        <f>IF(OrdersTable[[#This Row],[Delivery Days]]&lt;=2, "Express (≤2d)", IF(OrdersTable[[#This Row],[Delivery Days]]&lt;=4, "Standard (3-4d)", "Delayed (5d+)"))</f>
        <v>Standard (3-4d)</v>
      </c>
      <c r="AE2033">
        <v>3</v>
      </c>
      <c r="AF2033">
        <v>0</v>
      </c>
    </row>
    <row r="2034" spans="1:32" ht="15" x14ac:dyDescent="0.35">
      <c r="A2034" t="s">
        <v>3579</v>
      </c>
      <c r="B2034" s="1">
        <v>45645</v>
      </c>
      <c r="C2034">
        <f>YEAR(OrdersTable[[#This Row],[Order Date]])</f>
        <v>2024</v>
      </c>
      <c r="D2034" s="2">
        <f>DATE(YEAR(OrdersTable[[#This Row],[Order Date]]),MONTH(OrdersTable[[#This Row],[Order Date]]),1)</f>
        <v>45627</v>
      </c>
      <c r="E2034">
        <f>MONTH(OrdersTable[[#This Row],[Order Date]])</f>
        <v>12</v>
      </c>
      <c r="F2034" t="s">
        <v>3223</v>
      </c>
      <c r="G2034" t="str">
        <f>IF(OrdersTable[[#This Row],[Order Date]]=_xlfn.MINIFS(Order_Date, Customer_ID, OrdersTable[[#This Row],[Customer ID]]), "New", "Repeat")</f>
        <v>Repeat</v>
      </c>
      <c r="H2034" t="s">
        <v>59</v>
      </c>
      <c r="I2034" t="str">
        <f>INDEX(State!B:B,MATCH(OrdersTable[[#This Row],[State]],State!A:A,0))</f>
        <v>TN</v>
      </c>
      <c r="J2034" t="str">
        <f>INDEX(State!C:C,MATCH(OrdersTable[[#This Row],[State Code]],State!B:B,0))</f>
        <v>South</v>
      </c>
      <c r="K2034" t="s">
        <v>60</v>
      </c>
      <c r="L2034" t="s">
        <v>39</v>
      </c>
      <c r="M2034" t="s">
        <v>148</v>
      </c>
      <c r="N2034" t="str">
        <f>INDEX(Products!B:B,MATCH(OrdersTable[[#This Row],[Product ID]],Products!A:A,0))</f>
        <v>Smartwatch Strap</v>
      </c>
      <c r="O2034" t="str">
        <f>INDEX(Products!C:C,MATCH(OrdersTable[[#This Row],[Product ID]],Products!A:A,0))</f>
        <v>Electronics</v>
      </c>
      <c r="P2034">
        <v>1</v>
      </c>
      <c r="Q2034" s="5">
        <v>499</v>
      </c>
      <c r="R2034" s="74">
        <v>0.05</v>
      </c>
      <c r="S2034" s="75">
        <f>OrdersTable[[#This Row],[Quantity]]*OrdersTable[[#This Row],[Unit Price]]</f>
        <v>499</v>
      </c>
      <c r="T2034" s="5">
        <f>OrdersTable[[#This Row],[Gross Sale]]*OrdersTable[[#This Row],[Discount_Clean2]]</f>
        <v>24.950000000000003</v>
      </c>
      <c r="U2034" s="5">
        <f>OrdersTable[[#This Row],[Gross Sale]]-OrdersTable[[#This Row],[Discount Amount]]</f>
        <v>474.05</v>
      </c>
      <c r="V2034" s="77">
        <f>INDEX(Products!E:E,MATCH(OrdersTable[[#This Row],[Product ID]],Products!A:A,0))</f>
        <v>200</v>
      </c>
      <c r="W2034" s="77">
        <f>OrdersTable[[#This Row],[Quantity]]*OrdersTable[[#This Row],[Unit Cost]]</f>
        <v>200</v>
      </c>
      <c r="X2034" s="77">
        <f>'Dropdown Lists'!$I$2*(1+OrdersTable[[#This Row],[Returned]])</f>
        <v>60</v>
      </c>
      <c r="Y2034" s="76">
        <f>OrdersTable[[#This Row],[Net Revenue]]-OrdersTable[[#This Row],[COGS]]-OrdersTable[[#This Row],[Shipping Cost]]</f>
        <v>214.05</v>
      </c>
      <c r="Z2034" s="78">
        <f>IFERROR(OrdersTable[[#This Row],[Profit]]/OrdersTable[[#This Row],[Net Revenue]],0)</f>
        <v>0.45153464824385614</v>
      </c>
      <c r="AA2034" t="s">
        <v>3495</v>
      </c>
      <c r="AB2034" s="79">
        <v>45648</v>
      </c>
      <c r="AC2034">
        <f>OrdersTable[[#This Row],[Delivery Date]]-OrdersTable[[#This Row],[Order Date]]</f>
        <v>3</v>
      </c>
      <c r="AD2034" t="str">
        <f>IF(OrdersTable[[#This Row],[Delivery Days]]&lt;=2, "Express (≤2d)", IF(OrdersTable[[#This Row],[Delivery Days]]&lt;=4, "Standard (3-4d)", "Delayed (5d+)"))</f>
        <v>Standard (3-4d)</v>
      </c>
      <c r="AE2034">
        <v>4</v>
      </c>
      <c r="AF2034">
        <v>0</v>
      </c>
    </row>
    <row r="2035" spans="1:32" ht="15" x14ac:dyDescent="0.35">
      <c r="A2035" t="s">
        <v>3580</v>
      </c>
      <c r="B2035" s="1">
        <v>45646</v>
      </c>
      <c r="C2035">
        <f>YEAR(OrdersTable[[#This Row],[Order Date]])</f>
        <v>2024</v>
      </c>
      <c r="D2035" s="2">
        <f>DATE(YEAR(OrdersTable[[#This Row],[Order Date]]),MONTH(OrdersTable[[#This Row],[Order Date]]),1)</f>
        <v>45627</v>
      </c>
      <c r="E2035">
        <f>MONTH(OrdersTable[[#This Row],[Order Date]])</f>
        <v>12</v>
      </c>
      <c r="F2035" t="s">
        <v>1192</v>
      </c>
      <c r="G2035" t="str">
        <f>IF(OrdersTable[[#This Row],[Order Date]]=_xlfn.MINIFS(Order_Date, Customer_ID, OrdersTable[[#This Row],[Customer ID]]), "New", "Repeat")</f>
        <v>Repeat</v>
      </c>
      <c r="H2035" t="s">
        <v>48</v>
      </c>
      <c r="I2035" t="str">
        <f>INDEX(State!B:B,MATCH(OrdersTable[[#This Row],[State]],State!A:A,0))</f>
        <v>HR</v>
      </c>
      <c r="J2035" t="str">
        <f>INDEX(State!C:C,MATCH(OrdersTable[[#This Row],[State Code]],State!B:B,0))</f>
        <v>North</v>
      </c>
      <c r="K2035" t="s">
        <v>151</v>
      </c>
      <c r="L2035" t="s">
        <v>16</v>
      </c>
      <c r="M2035" t="s">
        <v>92</v>
      </c>
      <c r="N2035" t="str">
        <f>INDEX(Products!B:B,MATCH(OrdersTable[[#This Row],[Product ID]],Products!A:A,0))</f>
        <v>Kolhapuri Sandals</v>
      </c>
      <c r="O2035" t="str">
        <f>INDEX(Products!C:C,MATCH(OrdersTable[[#This Row],[Product ID]],Products!A:A,0))</f>
        <v>Footwear</v>
      </c>
      <c r="P2035">
        <v>1</v>
      </c>
      <c r="Q2035" s="5">
        <v>999</v>
      </c>
      <c r="R2035" s="74">
        <v>0.15</v>
      </c>
      <c r="S2035" s="75">
        <f>OrdersTable[[#This Row],[Quantity]]*OrdersTable[[#This Row],[Unit Price]]</f>
        <v>999</v>
      </c>
      <c r="T2035" s="5">
        <f>OrdersTable[[#This Row],[Gross Sale]]*OrdersTable[[#This Row],[Discount_Clean2]]</f>
        <v>149.85</v>
      </c>
      <c r="U2035" s="5">
        <f>OrdersTable[[#This Row],[Gross Sale]]-OrdersTable[[#This Row],[Discount Amount]]</f>
        <v>849.15</v>
      </c>
      <c r="V2035" s="77">
        <f>INDEX(Products!E:E,MATCH(OrdersTable[[#This Row],[Product ID]],Products!A:A,0))</f>
        <v>400</v>
      </c>
      <c r="W2035" s="77">
        <f>OrdersTable[[#This Row],[Quantity]]*OrdersTable[[#This Row],[Unit Cost]]</f>
        <v>400</v>
      </c>
      <c r="X2035" s="77">
        <f>'Dropdown Lists'!$I$2*(1+OrdersTable[[#This Row],[Returned]])</f>
        <v>60</v>
      </c>
      <c r="Y2035" s="76">
        <f>OrdersTable[[#This Row],[Net Revenue]]-OrdersTable[[#This Row],[COGS]]-OrdersTable[[#This Row],[Shipping Cost]]</f>
        <v>389.15</v>
      </c>
      <c r="Z2035" s="78">
        <f>IFERROR(OrdersTable[[#This Row],[Profit]]/OrdersTable[[#This Row],[Net Revenue]],0)</f>
        <v>0.45828181122298767</v>
      </c>
      <c r="AA2035" t="s">
        <v>3495</v>
      </c>
      <c r="AB2035" s="79">
        <v>45649</v>
      </c>
      <c r="AC2035">
        <f>OrdersTable[[#This Row],[Delivery Date]]-OrdersTable[[#This Row],[Order Date]]</f>
        <v>3</v>
      </c>
      <c r="AD2035" t="str">
        <f>IF(OrdersTable[[#This Row],[Delivery Days]]&lt;=2, "Express (≤2d)", IF(OrdersTable[[#This Row],[Delivery Days]]&lt;=4, "Standard (3-4d)", "Delayed (5d+)"))</f>
        <v>Standard (3-4d)</v>
      </c>
      <c r="AE2035">
        <v>4</v>
      </c>
      <c r="AF2035">
        <v>0</v>
      </c>
    </row>
    <row r="2036" spans="1:32" ht="15" x14ac:dyDescent="0.35">
      <c r="A2036" t="s">
        <v>5157</v>
      </c>
      <c r="B2036" s="1">
        <v>45646</v>
      </c>
      <c r="C2036">
        <f>YEAR(OrdersTable[[#This Row],[Order Date]])</f>
        <v>2024</v>
      </c>
      <c r="D2036" s="2">
        <f>DATE(YEAR(OrdersTable[[#This Row],[Order Date]]),MONTH(OrdersTable[[#This Row],[Order Date]]),1)</f>
        <v>45627</v>
      </c>
      <c r="E2036">
        <f>MONTH(OrdersTable[[#This Row],[Order Date]])</f>
        <v>12</v>
      </c>
      <c r="F2036" t="s">
        <v>232</v>
      </c>
      <c r="G2036" t="str">
        <f>IF(OrdersTable[[#This Row],[Order Date]]=_xlfn.MINIFS(Order_Date, Customer_ID, OrdersTable[[#This Row],[Customer ID]]), "New", "Repeat")</f>
        <v>Repeat</v>
      </c>
      <c r="H2036" t="s">
        <v>43</v>
      </c>
      <c r="I2036" t="str">
        <f>INDEX(State!B:B,MATCH(OrdersTable[[#This Row],[State]],State!A:A,0))</f>
        <v>MP</v>
      </c>
      <c r="J2036" t="str">
        <f>INDEX(State!C:C,MATCH(OrdersTable[[#This Row],[State Code]],State!B:B,0))</f>
        <v>West</v>
      </c>
      <c r="K2036" t="s">
        <v>250</v>
      </c>
      <c r="L2036" t="s">
        <v>16</v>
      </c>
      <c r="M2036" t="s">
        <v>255</v>
      </c>
      <c r="N2036" t="str">
        <f>INDEX(Products!B:B,MATCH(OrdersTable[[#This Row],[Product ID]],Products!A:A,0))</f>
        <v>Cotton Oversized T-Shirt</v>
      </c>
      <c r="O2036" t="str">
        <f>INDEX(Products!C:C,MATCH(OrdersTable[[#This Row],[Product ID]],Products!A:A,0))</f>
        <v>Apparel</v>
      </c>
      <c r="P2036">
        <v>2</v>
      </c>
      <c r="Q2036" s="5">
        <v>799</v>
      </c>
      <c r="R2036" s="74">
        <v>0</v>
      </c>
      <c r="S2036" s="75">
        <f>OrdersTable[[#This Row],[Quantity]]*OrdersTable[[#This Row],[Unit Price]]</f>
        <v>1598</v>
      </c>
      <c r="T2036" s="5">
        <f>OrdersTable[[#This Row],[Gross Sale]]*OrdersTable[[#This Row],[Discount_Clean2]]</f>
        <v>0</v>
      </c>
      <c r="U2036" s="5">
        <f>OrdersTable[[#This Row],[Gross Sale]]-OrdersTable[[#This Row],[Discount Amount]]</f>
        <v>1598</v>
      </c>
      <c r="V2036" s="77">
        <f>INDEX(Products!E:E,MATCH(OrdersTable[[#This Row],[Product ID]],Products!A:A,0))</f>
        <v>320</v>
      </c>
      <c r="W2036" s="77">
        <f>OrdersTable[[#This Row],[Quantity]]*OrdersTable[[#This Row],[Unit Cost]]</f>
        <v>640</v>
      </c>
      <c r="X2036" s="77">
        <f>'Dropdown Lists'!$I$2*(1+OrdersTable[[#This Row],[Returned]])</f>
        <v>120</v>
      </c>
      <c r="Y2036" s="76">
        <f>OrdersTable[[#This Row],[Net Revenue]]-OrdersTable[[#This Row],[COGS]]-OrdersTable[[#This Row],[Shipping Cost]]</f>
        <v>838</v>
      </c>
      <c r="Z2036" s="78">
        <f>IFERROR(OrdersTable[[#This Row],[Profit]]/OrdersTable[[#This Row],[Net Revenue]],0)</f>
        <v>0.52440550688360454</v>
      </c>
      <c r="AA2036" t="s">
        <v>3495</v>
      </c>
      <c r="AB2036" s="79">
        <v>45647</v>
      </c>
      <c r="AC2036">
        <f>OrdersTable[[#This Row],[Delivery Date]]-OrdersTable[[#This Row],[Order Date]]</f>
        <v>1</v>
      </c>
      <c r="AD2036" t="str">
        <f>IF(OrdersTable[[#This Row],[Delivery Days]]&lt;=2, "Express (≤2d)", IF(OrdersTable[[#This Row],[Delivery Days]]&lt;=4, "Standard (3-4d)", "Delayed (5d+)"))</f>
        <v>Express (≤2d)</v>
      </c>
      <c r="AE2036">
        <v>4</v>
      </c>
      <c r="AF2036">
        <v>1</v>
      </c>
    </row>
    <row r="2037" spans="1:32" ht="15" x14ac:dyDescent="0.35">
      <c r="A2037" t="s">
        <v>4006</v>
      </c>
      <c r="B2037" s="1">
        <v>45646</v>
      </c>
      <c r="C2037">
        <f>YEAR(OrdersTable[[#This Row],[Order Date]])</f>
        <v>2024</v>
      </c>
      <c r="D2037" s="2">
        <f>DATE(YEAR(OrdersTable[[#This Row],[Order Date]]),MONTH(OrdersTable[[#This Row],[Order Date]]),1)</f>
        <v>45627</v>
      </c>
      <c r="E2037">
        <f>MONTH(OrdersTable[[#This Row],[Order Date]])</f>
        <v>12</v>
      </c>
      <c r="F2037" t="s">
        <v>220</v>
      </c>
      <c r="G2037" t="str">
        <f>IF(OrdersTable[[#This Row],[Order Date]]=_xlfn.MINIFS(Order_Date, Customer_ID, OrdersTable[[#This Row],[Customer ID]]), "New", "Repeat")</f>
        <v>Repeat</v>
      </c>
      <c r="H2037" t="s">
        <v>27</v>
      </c>
      <c r="I2037" t="str">
        <f>INDEX(State!B:B,MATCH(OrdersTable[[#This Row],[State]],State!A:A,0))</f>
        <v>WB</v>
      </c>
      <c r="J2037" t="str">
        <f>INDEX(State!C:C,MATCH(OrdersTable[[#This Row],[State Code]],State!B:B,0))</f>
        <v>East</v>
      </c>
      <c r="K2037" t="s">
        <v>28</v>
      </c>
      <c r="L2037" t="s">
        <v>23</v>
      </c>
      <c r="M2037" t="s">
        <v>148</v>
      </c>
      <c r="N2037" t="str">
        <f>INDEX(Products!B:B,MATCH(OrdersTable[[#This Row],[Product ID]],Products!A:A,0))</f>
        <v>Smartwatch Strap</v>
      </c>
      <c r="O2037" t="str">
        <f>INDEX(Products!C:C,MATCH(OrdersTable[[#This Row],[Product ID]],Products!A:A,0))</f>
        <v>Electronics</v>
      </c>
      <c r="P2037">
        <v>1</v>
      </c>
      <c r="Q2037" s="5">
        <v>499</v>
      </c>
      <c r="R2037" s="74">
        <v>0.15</v>
      </c>
      <c r="S2037" s="75">
        <f>OrdersTable[[#This Row],[Quantity]]*OrdersTable[[#This Row],[Unit Price]]</f>
        <v>499</v>
      </c>
      <c r="T2037" s="5">
        <f>OrdersTable[[#This Row],[Gross Sale]]*OrdersTable[[#This Row],[Discount_Clean2]]</f>
        <v>74.849999999999994</v>
      </c>
      <c r="U2037" s="5">
        <f>OrdersTable[[#This Row],[Gross Sale]]-OrdersTable[[#This Row],[Discount Amount]]</f>
        <v>424.15</v>
      </c>
      <c r="V2037" s="77">
        <f>INDEX(Products!E:E,MATCH(OrdersTable[[#This Row],[Product ID]],Products!A:A,0))</f>
        <v>200</v>
      </c>
      <c r="W2037" s="77">
        <f>OrdersTable[[#This Row],[Quantity]]*OrdersTable[[#This Row],[Unit Cost]]</f>
        <v>200</v>
      </c>
      <c r="X2037" s="77">
        <f>'Dropdown Lists'!$I$2*(1+OrdersTable[[#This Row],[Returned]])</f>
        <v>60</v>
      </c>
      <c r="Y2037" s="76">
        <f>OrdersTable[[#This Row],[Net Revenue]]-OrdersTable[[#This Row],[COGS]]-OrdersTable[[#This Row],[Shipping Cost]]</f>
        <v>164.14999999999998</v>
      </c>
      <c r="Z2037" s="78">
        <f>IFERROR(OrdersTable[[#This Row],[Profit]]/OrdersTable[[#This Row],[Net Revenue]],0)</f>
        <v>0.38700931274313327</v>
      </c>
      <c r="AA2037" t="s">
        <v>3495</v>
      </c>
      <c r="AB2037" s="79">
        <v>45650</v>
      </c>
      <c r="AC2037">
        <f>OrdersTable[[#This Row],[Delivery Date]]-OrdersTable[[#This Row],[Order Date]]</f>
        <v>4</v>
      </c>
      <c r="AD2037" t="str">
        <f>IF(OrdersTable[[#This Row],[Delivery Days]]&lt;=2, "Express (≤2d)", IF(OrdersTable[[#This Row],[Delivery Days]]&lt;=4, "Standard (3-4d)", "Delayed (5d+)"))</f>
        <v>Standard (3-4d)</v>
      </c>
      <c r="AE2037">
        <v>5</v>
      </c>
      <c r="AF2037">
        <v>0</v>
      </c>
    </row>
    <row r="2038" spans="1:32" ht="15" x14ac:dyDescent="0.35">
      <c r="A2038" t="s">
        <v>3001</v>
      </c>
      <c r="B2038" s="1">
        <v>45646</v>
      </c>
      <c r="C2038">
        <f>YEAR(OrdersTable[[#This Row],[Order Date]])</f>
        <v>2024</v>
      </c>
      <c r="D2038" s="2">
        <f>DATE(YEAR(OrdersTable[[#This Row],[Order Date]]),MONTH(OrdersTable[[#This Row],[Order Date]]),1)</f>
        <v>45627</v>
      </c>
      <c r="E2038">
        <f>MONTH(OrdersTable[[#This Row],[Order Date]])</f>
        <v>12</v>
      </c>
      <c r="F2038" t="s">
        <v>3002</v>
      </c>
      <c r="G2038" t="str">
        <f>IF(OrdersTable[[#This Row],[Order Date]]=_xlfn.MINIFS(Order_Date, Customer_ID, OrdersTable[[#This Row],[Customer ID]]), "New", "Repeat")</f>
        <v>Repeat</v>
      </c>
      <c r="H2038" t="s">
        <v>27</v>
      </c>
      <c r="I2038" t="str">
        <f>INDEX(State!B:B,MATCH(OrdersTable[[#This Row],[State]],State!A:A,0))</f>
        <v>WB</v>
      </c>
      <c r="J2038" t="str">
        <f>INDEX(State!C:C,MATCH(OrdersTable[[#This Row],[State Code]],State!B:B,0))</f>
        <v>East</v>
      </c>
      <c r="K2038" t="s">
        <v>28</v>
      </c>
      <c r="L2038" t="s">
        <v>50</v>
      </c>
      <c r="M2038" t="s">
        <v>109</v>
      </c>
      <c r="N2038" t="str">
        <f>INDEX(Products!B:B,MATCH(OrdersTable[[#This Row],[Product ID]],Products!A:A,0))</f>
        <v>Onion Hair Oil</v>
      </c>
      <c r="O2038" t="str">
        <f>INDEX(Products!C:C,MATCH(OrdersTable[[#This Row],[Product ID]],Products!A:A,0))</f>
        <v>Haircare</v>
      </c>
      <c r="P2038">
        <v>1</v>
      </c>
      <c r="Q2038" s="5">
        <v>349</v>
      </c>
      <c r="R2038" s="74">
        <v>0.25</v>
      </c>
      <c r="S2038" s="75">
        <f>OrdersTable[[#This Row],[Quantity]]*OrdersTable[[#This Row],[Unit Price]]</f>
        <v>349</v>
      </c>
      <c r="T2038" s="5">
        <f>OrdersTable[[#This Row],[Gross Sale]]*OrdersTable[[#This Row],[Discount_Clean2]]</f>
        <v>87.25</v>
      </c>
      <c r="U2038" s="5">
        <f>OrdersTable[[#This Row],[Gross Sale]]-OrdersTable[[#This Row],[Discount Amount]]</f>
        <v>261.75</v>
      </c>
      <c r="V2038" s="77">
        <f>INDEX(Products!E:E,MATCH(OrdersTable[[#This Row],[Product ID]],Products!A:A,0))</f>
        <v>105</v>
      </c>
      <c r="W2038" s="77">
        <f>OrdersTable[[#This Row],[Quantity]]*OrdersTable[[#This Row],[Unit Cost]]</f>
        <v>105</v>
      </c>
      <c r="X2038" s="77">
        <f>'Dropdown Lists'!$I$2*(1+OrdersTable[[#This Row],[Returned]])</f>
        <v>60</v>
      </c>
      <c r="Y2038" s="76">
        <f>OrdersTable[[#This Row],[Net Revenue]]-OrdersTable[[#This Row],[COGS]]-OrdersTable[[#This Row],[Shipping Cost]]</f>
        <v>96.75</v>
      </c>
      <c r="Z2038" s="78">
        <f>IFERROR(OrdersTable[[#This Row],[Profit]]/OrdersTable[[#This Row],[Net Revenue]],0)</f>
        <v>0.36962750716332377</v>
      </c>
      <c r="AA2038" t="s">
        <v>2522</v>
      </c>
      <c r="AB2038" s="79">
        <v>45649</v>
      </c>
      <c r="AC2038">
        <f>OrdersTable[[#This Row],[Delivery Date]]-OrdersTable[[#This Row],[Order Date]]</f>
        <v>3</v>
      </c>
      <c r="AD2038" t="str">
        <f>IF(OrdersTable[[#This Row],[Delivery Days]]&lt;=2, "Express (≤2d)", IF(OrdersTable[[#This Row],[Delivery Days]]&lt;=4, "Standard (3-4d)", "Delayed (5d+)"))</f>
        <v>Standard (3-4d)</v>
      </c>
      <c r="AF2038">
        <v>0</v>
      </c>
    </row>
    <row r="2039" spans="1:32" ht="15" x14ac:dyDescent="0.35">
      <c r="A2039" t="s">
        <v>6128</v>
      </c>
      <c r="B2039" s="1">
        <v>45646</v>
      </c>
      <c r="C2039">
        <f>YEAR(OrdersTable[[#This Row],[Order Date]])</f>
        <v>2024</v>
      </c>
      <c r="D2039" s="2">
        <f>DATE(YEAR(OrdersTable[[#This Row],[Order Date]]),MONTH(OrdersTable[[#This Row],[Order Date]]),1)</f>
        <v>45627</v>
      </c>
      <c r="E2039">
        <f>MONTH(OrdersTable[[#This Row],[Order Date]])</f>
        <v>12</v>
      </c>
      <c r="F2039" t="s">
        <v>719</v>
      </c>
      <c r="G2039" t="str">
        <f>IF(OrdersTable[[#This Row],[Order Date]]=_xlfn.MINIFS(Order_Date, Customer_ID, OrdersTable[[#This Row],[Customer ID]]), "New", "Repeat")</f>
        <v>Repeat</v>
      </c>
      <c r="H2039" t="s">
        <v>95</v>
      </c>
      <c r="I2039" t="str">
        <f>INDEX(State!B:B,MATCH(OrdersTable[[#This Row],[State]],State!A:A,0))</f>
        <v>TG</v>
      </c>
      <c r="J2039" t="str">
        <f>INDEX(State!C:C,MATCH(OrdersTable[[#This Row],[State Code]],State!B:B,0))</f>
        <v>South</v>
      </c>
      <c r="K2039" t="s">
        <v>96</v>
      </c>
      <c r="L2039" t="s">
        <v>23</v>
      </c>
      <c r="M2039" t="s">
        <v>565</v>
      </c>
      <c r="N2039" t="str">
        <f>INDEX(Products!B:B,MATCH(OrdersTable[[#This Row],[Product ID]],Products!A:A,0))</f>
        <v>Ceramic Dinner Set</v>
      </c>
      <c r="O2039" t="str">
        <f>INDEX(Products!C:C,MATCH(OrdersTable[[#This Row],[Product ID]],Products!A:A,0))</f>
        <v>Home &amp; Kitchen</v>
      </c>
      <c r="P2039">
        <v>2</v>
      </c>
      <c r="Q2039" s="5">
        <v>2499</v>
      </c>
      <c r="R2039" s="74">
        <v>0.35</v>
      </c>
      <c r="S2039" s="75">
        <f>OrdersTable[[#This Row],[Quantity]]*OrdersTable[[#This Row],[Unit Price]]</f>
        <v>4998</v>
      </c>
      <c r="T2039" s="5">
        <f>OrdersTable[[#This Row],[Gross Sale]]*OrdersTable[[#This Row],[Discount_Clean2]]</f>
        <v>1749.3</v>
      </c>
      <c r="U2039" s="5">
        <f>OrdersTable[[#This Row],[Gross Sale]]-OrdersTable[[#This Row],[Discount Amount]]</f>
        <v>3248.7</v>
      </c>
      <c r="V2039" s="77">
        <f>INDEX(Products!E:E,MATCH(OrdersTable[[#This Row],[Product ID]],Products!A:A,0))</f>
        <v>1250</v>
      </c>
      <c r="W2039" s="77">
        <f>OrdersTable[[#This Row],[Quantity]]*OrdersTable[[#This Row],[Unit Cost]]</f>
        <v>2500</v>
      </c>
      <c r="X2039" s="77">
        <f>'Dropdown Lists'!$I$2*(1+OrdersTable[[#This Row],[Returned]])</f>
        <v>60</v>
      </c>
      <c r="Y2039" s="76">
        <f>OrdersTable[[#This Row],[Net Revenue]]-OrdersTable[[#This Row],[COGS]]-OrdersTable[[#This Row],[Shipping Cost]]</f>
        <v>688.69999999999982</v>
      </c>
      <c r="Z2039" s="78">
        <f>IFERROR(OrdersTable[[#This Row],[Profit]]/OrdersTable[[#This Row],[Net Revenue]],0)</f>
        <v>0.21199248930341363</v>
      </c>
      <c r="AA2039" t="s">
        <v>18</v>
      </c>
      <c r="AB2039" s="79">
        <v>45648</v>
      </c>
      <c r="AC2039">
        <f>OrdersTable[[#This Row],[Delivery Date]]-OrdersTable[[#This Row],[Order Date]]</f>
        <v>2</v>
      </c>
      <c r="AD2039" t="str">
        <f>IF(OrdersTable[[#This Row],[Delivery Days]]&lt;=2, "Express (≤2d)", IF(OrdersTable[[#This Row],[Delivery Days]]&lt;=4, "Standard (3-4d)", "Delayed (5d+)"))</f>
        <v>Express (≤2d)</v>
      </c>
      <c r="AE2039">
        <v>4</v>
      </c>
      <c r="AF2039">
        <v>0</v>
      </c>
    </row>
    <row r="2040" spans="1:32" ht="15" x14ac:dyDescent="0.35">
      <c r="A2040" t="s">
        <v>6328</v>
      </c>
      <c r="B2040" s="1">
        <v>45647</v>
      </c>
      <c r="C2040">
        <f>YEAR(OrdersTable[[#This Row],[Order Date]])</f>
        <v>2024</v>
      </c>
      <c r="D2040" s="2">
        <f>DATE(YEAR(OrdersTable[[#This Row],[Order Date]]),MONTH(OrdersTable[[#This Row],[Order Date]]),1)</f>
        <v>45627</v>
      </c>
      <c r="E2040">
        <f>MONTH(OrdersTable[[#This Row],[Order Date]])</f>
        <v>12</v>
      </c>
      <c r="F2040" t="s">
        <v>629</v>
      </c>
      <c r="G2040" t="str">
        <f>IF(OrdersTable[[#This Row],[Order Date]]=_xlfn.MINIFS(Order_Date, Customer_ID, OrdersTable[[#This Row],[Customer ID]]), "New", "Repeat")</f>
        <v>Repeat</v>
      </c>
      <c r="H2040" t="s">
        <v>21</v>
      </c>
      <c r="I2040" t="str">
        <f>INDEX(State!B:B,MATCH(OrdersTable[[#This Row],[State]],State!A:A,0))</f>
        <v>PB</v>
      </c>
      <c r="J2040" t="str">
        <f>INDEX(State!C:C,MATCH(OrdersTable[[#This Row],[State Code]],State!B:B,0))</f>
        <v>North</v>
      </c>
      <c r="K2040" t="s">
        <v>22</v>
      </c>
      <c r="L2040" t="s">
        <v>50</v>
      </c>
      <c r="M2040" t="s">
        <v>152</v>
      </c>
      <c r="N2040" t="str">
        <f>INDEX(Products!B:B,MATCH(OrdersTable[[#This Row],[Product ID]],Products!A:A,0))</f>
        <v>Green Tea (100 bags)</v>
      </c>
      <c r="O2040" t="str">
        <f>INDEX(Products!C:C,MATCH(OrdersTable[[#This Row],[Product ID]],Products!A:A,0))</f>
        <v>Wellness</v>
      </c>
      <c r="P2040">
        <v>2</v>
      </c>
      <c r="Q2040" s="5">
        <v>399</v>
      </c>
      <c r="R2040" s="74">
        <v>0.3</v>
      </c>
      <c r="S2040" s="75">
        <f>OrdersTable[[#This Row],[Quantity]]*OrdersTable[[#This Row],[Unit Price]]</f>
        <v>798</v>
      </c>
      <c r="T2040" s="5">
        <f>OrdersTable[[#This Row],[Gross Sale]]*OrdersTable[[#This Row],[Discount_Clean2]]</f>
        <v>239.39999999999998</v>
      </c>
      <c r="U2040" s="5">
        <f>OrdersTable[[#This Row],[Gross Sale]]-OrdersTable[[#This Row],[Discount Amount]]</f>
        <v>558.6</v>
      </c>
      <c r="V2040" s="77">
        <f>INDEX(Products!E:E,MATCH(OrdersTable[[#This Row],[Product ID]],Products!A:A,0))</f>
        <v>128</v>
      </c>
      <c r="W2040" s="77">
        <f>OrdersTable[[#This Row],[Quantity]]*OrdersTable[[#This Row],[Unit Cost]]</f>
        <v>256</v>
      </c>
      <c r="X2040" s="77">
        <f>'Dropdown Lists'!$I$2*(1+OrdersTable[[#This Row],[Returned]])</f>
        <v>60</v>
      </c>
      <c r="Y2040" s="76">
        <f>OrdersTable[[#This Row],[Net Revenue]]-OrdersTable[[#This Row],[COGS]]-OrdersTable[[#This Row],[Shipping Cost]]</f>
        <v>242.60000000000002</v>
      </c>
      <c r="Z2040" s="78">
        <f>IFERROR(OrdersTable[[#This Row],[Profit]]/OrdersTable[[#This Row],[Net Revenue]],0)</f>
        <v>0.43430003580379523</v>
      </c>
      <c r="AA2040" t="s">
        <v>18</v>
      </c>
      <c r="AB2040" s="79">
        <v>45649</v>
      </c>
      <c r="AC2040">
        <f>OrdersTable[[#This Row],[Delivery Date]]-OrdersTable[[#This Row],[Order Date]]</f>
        <v>2</v>
      </c>
      <c r="AD2040" t="str">
        <f>IF(OrdersTable[[#This Row],[Delivery Days]]&lt;=2, "Express (≤2d)", IF(OrdersTable[[#This Row],[Delivery Days]]&lt;=4, "Standard (3-4d)", "Delayed (5d+)"))</f>
        <v>Express (≤2d)</v>
      </c>
      <c r="AF2040">
        <v>0</v>
      </c>
    </row>
    <row r="2041" spans="1:32" ht="15" x14ac:dyDescent="0.35">
      <c r="A2041" t="s">
        <v>1700</v>
      </c>
      <c r="B2041" s="1">
        <v>45647</v>
      </c>
      <c r="C2041">
        <f>YEAR(OrdersTable[[#This Row],[Order Date]])</f>
        <v>2024</v>
      </c>
      <c r="D2041" s="2">
        <f>DATE(YEAR(OrdersTable[[#This Row],[Order Date]]),MONTH(OrdersTable[[#This Row],[Order Date]]),1)</f>
        <v>45627</v>
      </c>
      <c r="E2041">
        <f>MONTH(OrdersTable[[#This Row],[Order Date]])</f>
        <v>12</v>
      </c>
      <c r="F2041" t="s">
        <v>1216</v>
      </c>
      <c r="G2041" t="str">
        <f>IF(OrdersTable[[#This Row],[Order Date]]=_xlfn.MINIFS(Order_Date, Customer_ID, OrdersTable[[#This Row],[Customer ID]]), "New", "Repeat")</f>
        <v>Repeat</v>
      </c>
      <c r="H2041" t="s">
        <v>128</v>
      </c>
      <c r="I2041" t="str">
        <f>INDEX(State!B:B,MATCH(OrdersTable[[#This Row],[State]],State!A:A,0))</f>
        <v>DL</v>
      </c>
      <c r="J2041" t="str">
        <f>INDEX(State!C:C,MATCH(OrdersTable[[#This Row],[State Code]],State!B:B,0))</f>
        <v>North</v>
      </c>
      <c r="K2041" t="s">
        <v>129</v>
      </c>
      <c r="L2041" t="s">
        <v>65</v>
      </c>
      <c r="M2041" t="s">
        <v>228</v>
      </c>
      <c r="N2041" t="str">
        <f>INDEX(Products!B:B,MATCH(OrdersTable[[#This Row],[Product ID]],Products!A:A,0))</f>
        <v>Fast Charger 33W</v>
      </c>
      <c r="O2041" t="str">
        <f>INDEX(Products!C:C,MATCH(OrdersTable[[#This Row],[Product ID]],Products!A:A,0))</f>
        <v>Electronics</v>
      </c>
      <c r="P2041">
        <v>1</v>
      </c>
      <c r="Q2041" s="5">
        <v>899</v>
      </c>
      <c r="R2041" s="74">
        <v>0.1</v>
      </c>
      <c r="S2041" s="75">
        <f>OrdersTable[[#This Row],[Quantity]]*OrdersTable[[#This Row],[Unit Price]]</f>
        <v>899</v>
      </c>
      <c r="T2041" s="5">
        <f>OrdersTable[[#This Row],[Gross Sale]]*OrdersTable[[#This Row],[Discount_Clean2]]</f>
        <v>89.9</v>
      </c>
      <c r="U2041" s="5">
        <f>OrdersTable[[#This Row],[Gross Sale]]-OrdersTable[[#This Row],[Discount Amount]]</f>
        <v>809.1</v>
      </c>
      <c r="V2041" s="77">
        <f>INDEX(Products!E:E,MATCH(OrdersTable[[#This Row],[Product ID]],Products!A:A,0))</f>
        <v>494</v>
      </c>
      <c r="W2041" s="77">
        <f>OrdersTable[[#This Row],[Quantity]]*OrdersTable[[#This Row],[Unit Cost]]</f>
        <v>494</v>
      </c>
      <c r="X2041" s="77">
        <f>'Dropdown Lists'!$I$2*(1+OrdersTable[[#This Row],[Returned]])</f>
        <v>60</v>
      </c>
      <c r="Y2041" s="76">
        <f>OrdersTable[[#This Row],[Net Revenue]]-OrdersTable[[#This Row],[COGS]]-OrdersTable[[#This Row],[Shipping Cost]]</f>
        <v>255.10000000000002</v>
      </c>
      <c r="Z2041" s="78">
        <f>IFERROR(OrdersTable[[#This Row],[Profit]]/OrdersTable[[#This Row],[Net Revenue]],0)</f>
        <v>0.31528859226300832</v>
      </c>
      <c r="AA2041" t="s">
        <v>18</v>
      </c>
      <c r="AB2041" s="79">
        <v>45648</v>
      </c>
      <c r="AC2041">
        <f>OrdersTable[[#This Row],[Delivery Date]]-OrdersTable[[#This Row],[Order Date]]</f>
        <v>1</v>
      </c>
      <c r="AD2041" t="str">
        <f>IF(OrdersTable[[#This Row],[Delivery Days]]&lt;=2, "Express (≤2d)", IF(OrdersTable[[#This Row],[Delivery Days]]&lt;=4, "Standard (3-4d)", "Delayed (5d+)"))</f>
        <v>Express (≤2d)</v>
      </c>
      <c r="AF2041">
        <v>0</v>
      </c>
    </row>
    <row r="2042" spans="1:32" ht="15" x14ac:dyDescent="0.35">
      <c r="A2042" t="s">
        <v>3890</v>
      </c>
      <c r="B2042" s="1">
        <v>45647</v>
      </c>
      <c r="C2042">
        <f>YEAR(OrdersTable[[#This Row],[Order Date]])</f>
        <v>2024</v>
      </c>
      <c r="D2042" s="2">
        <f>DATE(YEAR(OrdersTable[[#This Row],[Order Date]]),MONTH(OrdersTable[[#This Row],[Order Date]]),1)</f>
        <v>45627</v>
      </c>
      <c r="E2042">
        <f>MONTH(OrdersTable[[#This Row],[Order Date]])</f>
        <v>12</v>
      </c>
      <c r="F2042" t="s">
        <v>1649</v>
      </c>
      <c r="G2042" t="str">
        <f>IF(OrdersTable[[#This Row],[Order Date]]=_xlfn.MINIFS(Order_Date, Customer_ID, OrdersTable[[#This Row],[Customer ID]]), "New", "Repeat")</f>
        <v>Repeat</v>
      </c>
      <c r="H2042" t="s">
        <v>37</v>
      </c>
      <c r="I2042" t="str">
        <f>INDEX(State!B:B,MATCH(OrdersTable[[#This Row],[State]],State!A:A,0))</f>
        <v>GJ</v>
      </c>
      <c r="J2042" t="str">
        <f>INDEX(State!C:C,MATCH(OrdersTable[[#This Row],[State Code]],State!B:B,0))</f>
        <v>West</v>
      </c>
      <c r="K2042" t="s">
        <v>247</v>
      </c>
      <c r="L2042" t="s">
        <v>65</v>
      </c>
      <c r="M2042" t="s">
        <v>56</v>
      </c>
      <c r="N2042" t="str">
        <f>INDEX(Products!B:B,MATCH(OrdersTable[[#This Row],[Product ID]],Products!A:A,0))</f>
        <v>Vitamin C Face Serum</v>
      </c>
      <c r="O2042" t="str">
        <f>INDEX(Products!C:C,MATCH(OrdersTable[[#This Row],[Product ID]],Products!A:A,0))</f>
        <v>Skincare</v>
      </c>
      <c r="P2042">
        <v>1</v>
      </c>
      <c r="Q2042" s="5">
        <v>599</v>
      </c>
      <c r="R2042" s="74">
        <v>0.2</v>
      </c>
      <c r="S2042" s="75">
        <f>OrdersTable[[#This Row],[Quantity]]*OrdersTable[[#This Row],[Unit Price]]</f>
        <v>599</v>
      </c>
      <c r="T2042" s="5">
        <f>OrdersTable[[#This Row],[Gross Sale]]*OrdersTable[[#This Row],[Discount_Clean2]]</f>
        <v>119.80000000000001</v>
      </c>
      <c r="U2042" s="5">
        <f>OrdersTable[[#This Row],[Gross Sale]]-OrdersTable[[#This Row],[Discount Amount]]</f>
        <v>479.2</v>
      </c>
      <c r="V2042" s="77">
        <f>INDEX(Products!E:E,MATCH(OrdersTable[[#This Row],[Product ID]],Products!A:A,0))</f>
        <v>180</v>
      </c>
      <c r="W2042" s="77">
        <f>OrdersTable[[#This Row],[Quantity]]*OrdersTable[[#This Row],[Unit Cost]]</f>
        <v>180</v>
      </c>
      <c r="X2042" s="77">
        <f>'Dropdown Lists'!$I$2*(1+OrdersTable[[#This Row],[Returned]])</f>
        <v>60</v>
      </c>
      <c r="Y2042" s="76">
        <f>OrdersTable[[#This Row],[Net Revenue]]-OrdersTable[[#This Row],[COGS]]-OrdersTable[[#This Row],[Shipping Cost]]</f>
        <v>239.2</v>
      </c>
      <c r="Z2042" s="78">
        <f>IFERROR(OrdersTable[[#This Row],[Profit]]/OrdersTable[[#This Row],[Net Revenue]],0)</f>
        <v>0.4991652754590985</v>
      </c>
      <c r="AA2042" t="s">
        <v>3495</v>
      </c>
      <c r="AB2042" s="79">
        <v>45651</v>
      </c>
      <c r="AC2042">
        <f>OrdersTable[[#This Row],[Delivery Date]]-OrdersTable[[#This Row],[Order Date]]</f>
        <v>4</v>
      </c>
      <c r="AD2042" t="str">
        <f>IF(OrdersTable[[#This Row],[Delivery Days]]&lt;=2, "Express (≤2d)", IF(OrdersTable[[#This Row],[Delivery Days]]&lt;=4, "Standard (3-4d)", "Delayed (5d+)"))</f>
        <v>Standard (3-4d)</v>
      </c>
      <c r="AE2042">
        <v>3</v>
      </c>
      <c r="AF2042">
        <v>0</v>
      </c>
    </row>
    <row r="2043" spans="1:32" ht="15" x14ac:dyDescent="0.35">
      <c r="A2043" t="s">
        <v>2592</v>
      </c>
      <c r="B2043" s="1">
        <v>45647</v>
      </c>
      <c r="C2043">
        <f>YEAR(OrdersTable[[#This Row],[Order Date]])</f>
        <v>2024</v>
      </c>
      <c r="D2043" s="2">
        <f>DATE(YEAR(OrdersTable[[#This Row],[Order Date]]),MONTH(OrdersTable[[#This Row],[Order Date]]),1)</f>
        <v>45627</v>
      </c>
      <c r="E2043">
        <f>MONTH(OrdersTable[[#This Row],[Order Date]])</f>
        <v>12</v>
      </c>
      <c r="F2043" t="s">
        <v>1647</v>
      </c>
      <c r="G2043" t="str">
        <f>IF(OrdersTable[[#This Row],[Order Date]]=_xlfn.MINIFS(Order_Date, Customer_ID, OrdersTable[[#This Row],[Customer ID]]), "New", "Repeat")</f>
        <v>Repeat</v>
      </c>
      <c r="H2043" t="s">
        <v>275</v>
      </c>
      <c r="I2043" t="str">
        <f>INDEX(State!B:B,MATCH(OrdersTable[[#This Row],[State]],State!A:A,0))</f>
        <v>AP</v>
      </c>
      <c r="J2043" t="str">
        <f>INDEX(State!C:C,MATCH(OrdersTable[[#This Row],[State Code]],State!B:B,0))</f>
        <v>South</v>
      </c>
      <c r="K2043" t="s">
        <v>491</v>
      </c>
      <c r="L2043" t="s">
        <v>23</v>
      </c>
      <c r="M2043" t="s">
        <v>66</v>
      </c>
      <c r="N2043" t="str">
        <f>INDEX(Products!B:B,MATCH(OrdersTable[[#This Row],[Product ID]],Products!A:A,0))</f>
        <v>Sunscreen SPF 50</v>
      </c>
      <c r="O2043" t="str">
        <f>INDEX(Products!C:C,MATCH(OrdersTable[[#This Row],[Product ID]],Products!A:A,0))</f>
        <v>Skincare</v>
      </c>
      <c r="P2043">
        <v>1</v>
      </c>
      <c r="Q2043" s="5">
        <v>449</v>
      </c>
      <c r="R2043" s="74">
        <v>0.05</v>
      </c>
      <c r="S2043" s="75">
        <f>OrdersTable[[#This Row],[Quantity]]*OrdersTable[[#This Row],[Unit Price]]</f>
        <v>449</v>
      </c>
      <c r="T2043" s="5">
        <f>OrdersTable[[#This Row],[Gross Sale]]*OrdersTable[[#This Row],[Discount_Clean2]]</f>
        <v>22.450000000000003</v>
      </c>
      <c r="U2043" s="5">
        <f>OrdersTable[[#This Row],[Gross Sale]]-OrdersTable[[#This Row],[Discount Amount]]</f>
        <v>426.55</v>
      </c>
      <c r="V2043" s="77">
        <f>INDEX(Products!E:E,MATCH(OrdersTable[[#This Row],[Product ID]],Products!A:A,0))</f>
        <v>144</v>
      </c>
      <c r="W2043" s="77">
        <f>OrdersTable[[#This Row],[Quantity]]*OrdersTable[[#This Row],[Unit Cost]]</f>
        <v>144</v>
      </c>
      <c r="X2043" s="77">
        <f>'Dropdown Lists'!$I$2*(1+OrdersTable[[#This Row],[Returned]])</f>
        <v>60</v>
      </c>
      <c r="Y2043" s="76">
        <f>OrdersTable[[#This Row],[Net Revenue]]-OrdersTable[[#This Row],[COGS]]-OrdersTable[[#This Row],[Shipping Cost]]</f>
        <v>222.55</v>
      </c>
      <c r="Z2043" s="78">
        <f>IFERROR(OrdersTable[[#This Row],[Profit]]/OrdersTable[[#This Row],[Net Revenue]],0)</f>
        <v>0.52174422693705313</v>
      </c>
      <c r="AA2043" t="s">
        <v>2522</v>
      </c>
      <c r="AB2043" s="79">
        <v>45649</v>
      </c>
      <c r="AC2043">
        <f>OrdersTable[[#This Row],[Delivery Date]]-OrdersTable[[#This Row],[Order Date]]</f>
        <v>2</v>
      </c>
      <c r="AD2043" t="str">
        <f>IF(OrdersTable[[#This Row],[Delivery Days]]&lt;=2, "Express (≤2d)", IF(OrdersTable[[#This Row],[Delivery Days]]&lt;=4, "Standard (3-4d)", "Delayed (5d+)"))</f>
        <v>Express (≤2d)</v>
      </c>
      <c r="AE2043">
        <v>5</v>
      </c>
      <c r="AF2043">
        <v>0</v>
      </c>
    </row>
    <row r="2044" spans="1:32" ht="15" x14ac:dyDescent="0.35">
      <c r="A2044" t="s">
        <v>6329</v>
      </c>
      <c r="B2044" s="1">
        <v>45647</v>
      </c>
      <c r="C2044">
        <f>YEAR(OrdersTable[[#This Row],[Order Date]])</f>
        <v>2024</v>
      </c>
      <c r="D2044" s="2">
        <f>DATE(YEAR(OrdersTable[[#This Row],[Order Date]]),MONTH(OrdersTable[[#This Row],[Order Date]]),1)</f>
        <v>45627</v>
      </c>
      <c r="E2044">
        <f>MONTH(OrdersTable[[#This Row],[Order Date]])</f>
        <v>12</v>
      </c>
      <c r="F2044" t="s">
        <v>1543</v>
      </c>
      <c r="G2044" t="str">
        <f>IF(OrdersTable[[#This Row],[Order Date]]=_xlfn.MINIFS(Order_Date, Customer_ID, OrdersTable[[#This Row],[Customer ID]]), "New", "Repeat")</f>
        <v>Repeat</v>
      </c>
      <c r="H2044" t="s">
        <v>316</v>
      </c>
      <c r="I2044" t="str">
        <f>INDEX(State!B:B,MATCH(OrdersTable[[#This Row],[State]],State!A:A,0))</f>
        <v>KL</v>
      </c>
      <c r="J2044" t="str">
        <f>INDEX(State!C:C,MATCH(OrdersTable[[#This Row],[State Code]],State!B:B,0))</f>
        <v>South</v>
      </c>
      <c r="K2044" t="s">
        <v>317</v>
      </c>
      <c r="L2044" t="s">
        <v>50</v>
      </c>
      <c r="M2044" t="s">
        <v>51</v>
      </c>
      <c r="N2044" t="str">
        <f>INDEX(Products!B:B,MATCH(OrdersTable[[#This Row],[Product ID]],Products!A:A,0))</f>
        <v>Anti-Dandruff Conditioner</v>
      </c>
      <c r="O2044" t="str">
        <f>INDEX(Products!C:C,MATCH(OrdersTable[[#This Row],[Product ID]],Products!A:A,0))</f>
        <v>Haircare</v>
      </c>
      <c r="P2044">
        <v>2</v>
      </c>
      <c r="Q2044" s="5">
        <v>399</v>
      </c>
      <c r="R2044" s="74">
        <v>0.35</v>
      </c>
      <c r="S2044" s="75">
        <f>OrdersTable[[#This Row],[Quantity]]*OrdersTable[[#This Row],[Unit Price]]</f>
        <v>798</v>
      </c>
      <c r="T2044" s="5">
        <f>OrdersTable[[#This Row],[Gross Sale]]*OrdersTable[[#This Row],[Discount_Clean2]]</f>
        <v>279.29999999999995</v>
      </c>
      <c r="U2044" s="5">
        <f>OrdersTable[[#This Row],[Gross Sale]]-OrdersTable[[#This Row],[Discount Amount]]</f>
        <v>518.70000000000005</v>
      </c>
      <c r="V2044" s="77">
        <f>INDEX(Products!E:E,MATCH(OrdersTable[[#This Row],[Product ID]],Products!A:A,0))</f>
        <v>136</v>
      </c>
      <c r="W2044" s="77">
        <f>OrdersTable[[#This Row],[Quantity]]*OrdersTable[[#This Row],[Unit Cost]]</f>
        <v>272</v>
      </c>
      <c r="X2044" s="77">
        <f>'Dropdown Lists'!$I$2*(1+OrdersTable[[#This Row],[Returned]])</f>
        <v>60</v>
      </c>
      <c r="Y2044" s="76">
        <f>OrdersTable[[#This Row],[Net Revenue]]-OrdersTable[[#This Row],[COGS]]-OrdersTable[[#This Row],[Shipping Cost]]</f>
        <v>186.70000000000005</v>
      </c>
      <c r="Z2044" s="78">
        <f>IFERROR(OrdersTable[[#This Row],[Profit]]/OrdersTable[[#This Row],[Net Revenue]],0)</f>
        <v>0.35993830730672843</v>
      </c>
      <c r="AA2044" t="s">
        <v>18</v>
      </c>
      <c r="AB2044" s="79">
        <v>45651</v>
      </c>
      <c r="AC2044">
        <f>OrdersTable[[#This Row],[Delivery Date]]-OrdersTable[[#This Row],[Order Date]]</f>
        <v>4</v>
      </c>
      <c r="AD2044" t="str">
        <f>IF(OrdersTable[[#This Row],[Delivery Days]]&lt;=2, "Express (≤2d)", IF(OrdersTable[[#This Row],[Delivery Days]]&lt;=4, "Standard (3-4d)", "Delayed (5d+)"))</f>
        <v>Standard (3-4d)</v>
      </c>
      <c r="AE2044">
        <v>4</v>
      </c>
      <c r="AF2044">
        <v>0</v>
      </c>
    </row>
    <row r="2045" spans="1:32" ht="15" x14ac:dyDescent="0.35">
      <c r="A2045" t="s">
        <v>5919</v>
      </c>
      <c r="B2045" s="1">
        <v>45647</v>
      </c>
      <c r="C2045">
        <f>YEAR(OrdersTable[[#This Row],[Order Date]])</f>
        <v>2024</v>
      </c>
      <c r="D2045" s="2">
        <f>DATE(YEAR(OrdersTable[[#This Row],[Order Date]]),MONTH(OrdersTable[[#This Row],[Order Date]]),1)</f>
        <v>45627</v>
      </c>
      <c r="E2045">
        <f>MONTH(OrdersTable[[#This Row],[Order Date]])</f>
        <v>12</v>
      </c>
      <c r="F2045" t="s">
        <v>157</v>
      </c>
      <c r="G2045" t="str">
        <f>IF(OrdersTable[[#This Row],[Order Date]]=_xlfn.MINIFS(Order_Date, Customer_ID, OrdersTable[[#This Row],[Customer ID]]), "New", "Repeat")</f>
        <v>Repeat</v>
      </c>
      <c r="H2045" t="s">
        <v>316</v>
      </c>
      <c r="I2045" t="str">
        <f>INDEX(State!B:B,MATCH(OrdersTable[[#This Row],[State]],State!A:A,0))</f>
        <v>KL</v>
      </c>
      <c r="J2045" t="str">
        <f>INDEX(State!C:C,MATCH(OrdersTable[[#This Row],[State Code]],State!B:B,0))</f>
        <v>South</v>
      </c>
      <c r="K2045" t="s">
        <v>338</v>
      </c>
      <c r="L2045" t="s">
        <v>39</v>
      </c>
      <c r="M2045" t="s">
        <v>109</v>
      </c>
      <c r="N2045" t="str">
        <f>INDEX(Products!B:B,MATCH(OrdersTable[[#This Row],[Product ID]],Products!A:A,0))</f>
        <v>Onion Hair Oil</v>
      </c>
      <c r="O2045" t="str">
        <f>INDEX(Products!C:C,MATCH(OrdersTable[[#This Row],[Product ID]],Products!A:A,0))</f>
        <v>Haircare</v>
      </c>
      <c r="P2045">
        <v>2</v>
      </c>
      <c r="Q2045" s="5">
        <v>349</v>
      </c>
      <c r="R2045" s="74">
        <v>0.25</v>
      </c>
      <c r="S2045" s="75">
        <f>OrdersTable[[#This Row],[Quantity]]*OrdersTable[[#This Row],[Unit Price]]</f>
        <v>698</v>
      </c>
      <c r="T2045" s="5">
        <f>OrdersTable[[#This Row],[Gross Sale]]*OrdersTable[[#This Row],[Discount_Clean2]]</f>
        <v>174.5</v>
      </c>
      <c r="U2045" s="5">
        <f>OrdersTable[[#This Row],[Gross Sale]]-OrdersTable[[#This Row],[Discount Amount]]</f>
        <v>523.5</v>
      </c>
      <c r="V2045" s="77">
        <f>INDEX(Products!E:E,MATCH(OrdersTable[[#This Row],[Product ID]],Products!A:A,0))</f>
        <v>105</v>
      </c>
      <c r="W2045" s="77">
        <f>OrdersTable[[#This Row],[Quantity]]*OrdersTable[[#This Row],[Unit Cost]]</f>
        <v>210</v>
      </c>
      <c r="X2045" s="77">
        <f>'Dropdown Lists'!$I$2*(1+OrdersTable[[#This Row],[Returned]])</f>
        <v>60</v>
      </c>
      <c r="Y2045" s="76">
        <f>OrdersTable[[#This Row],[Net Revenue]]-OrdersTable[[#This Row],[COGS]]-OrdersTable[[#This Row],[Shipping Cost]]</f>
        <v>253.5</v>
      </c>
      <c r="Z2045" s="78">
        <f>IFERROR(OrdersTable[[#This Row],[Profit]]/OrdersTable[[#This Row],[Net Revenue]],0)</f>
        <v>0.48424068767908307</v>
      </c>
      <c r="AA2045" t="s">
        <v>18</v>
      </c>
      <c r="AB2045" s="79">
        <v>45650</v>
      </c>
      <c r="AC2045">
        <f>OrdersTable[[#This Row],[Delivery Date]]-OrdersTable[[#This Row],[Order Date]]</f>
        <v>3</v>
      </c>
      <c r="AD2045" t="str">
        <f>IF(OrdersTable[[#This Row],[Delivery Days]]&lt;=2, "Express (≤2d)", IF(OrdersTable[[#This Row],[Delivery Days]]&lt;=4, "Standard (3-4d)", "Delayed (5d+)"))</f>
        <v>Standard (3-4d)</v>
      </c>
      <c r="AF2045">
        <v>0</v>
      </c>
    </row>
    <row r="2046" spans="1:32" ht="15" x14ac:dyDescent="0.35">
      <c r="A2046" t="s">
        <v>2341</v>
      </c>
      <c r="B2046" s="1">
        <v>45647</v>
      </c>
      <c r="C2046">
        <f>YEAR(OrdersTable[[#This Row],[Order Date]])</f>
        <v>2024</v>
      </c>
      <c r="D2046" s="2">
        <f>DATE(YEAR(OrdersTable[[#This Row],[Order Date]]),MONTH(OrdersTable[[#This Row],[Order Date]]),1)</f>
        <v>45627</v>
      </c>
      <c r="E2046">
        <f>MONTH(OrdersTable[[#This Row],[Order Date]])</f>
        <v>12</v>
      </c>
      <c r="F2046" t="s">
        <v>2342</v>
      </c>
      <c r="G2046" t="str">
        <f>IF(OrdersTable[[#This Row],[Order Date]]=_xlfn.MINIFS(Order_Date, Customer_ID, OrdersTable[[#This Row],[Customer ID]]), "New", "Repeat")</f>
        <v>Repeat</v>
      </c>
      <c r="H2046" t="s">
        <v>59</v>
      </c>
      <c r="I2046" t="str">
        <f>INDEX(State!B:B,MATCH(OrdersTable[[#This Row],[State]],State!A:A,0))</f>
        <v>TN</v>
      </c>
      <c r="J2046" t="str">
        <f>INDEX(State!C:C,MATCH(OrdersTable[[#This Row],[State Code]],State!B:B,0))</f>
        <v>South</v>
      </c>
      <c r="K2046" t="s">
        <v>60</v>
      </c>
      <c r="L2046" t="s">
        <v>65</v>
      </c>
      <c r="M2046" t="s">
        <v>34</v>
      </c>
      <c r="N2046" t="str">
        <f>INDEX(Products!B:B,MATCH(OrdersTable[[#This Row],[Product ID]],Products!A:A,0))</f>
        <v>Flip Flops</v>
      </c>
      <c r="O2046" t="str">
        <f>INDEX(Products!C:C,MATCH(OrdersTable[[#This Row],[Product ID]],Products!A:A,0))</f>
        <v>Footwear</v>
      </c>
      <c r="P2046">
        <v>1</v>
      </c>
      <c r="Q2046" s="5">
        <v>399</v>
      </c>
      <c r="R2046" s="74">
        <v>0.05</v>
      </c>
      <c r="S2046" s="75">
        <f>OrdersTable[[#This Row],[Quantity]]*OrdersTable[[#This Row],[Unit Price]]</f>
        <v>399</v>
      </c>
      <c r="T2046" s="5">
        <f>OrdersTable[[#This Row],[Gross Sale]]*OrdersTable[[#This Row],[Discount_Clean2]]</f>
        <v>19.950000000000003</v>
      </c>
      <c r="U2046" s="5">
        <f>OrdersTable[[#This Row],[Gross Sale]]-OrdersTable[[#This Row],[Discount Amount]]</f>
        <v>379.05</v>
      </c>
      <c r="V2046" s="77">
        <f>INDEX(Products!E:E,MATCH(OrdersTable[[#This Row],[Product ID]],Products!A:A,0))</f>
        <v>152</v>
      </c>
      <c r="W2046" s="77">
        <f>OrdersTable[[#This Row],[Quantity]]*OrdersTable[[#This Row],[Unit Cost]]</f>
        <v>152</v>
      </c>
      <c r="X2046" s="77">
        <f>'Dropdown Lists'!$I$2*(1+OrdersTable[[#This Row],[Returned]])</f>
        <v>60</v>
      </c>
      <c r="Y2046" s="76">
        <f>OrdersTable[[#This Row],[Net Revenue]]-OrdersTable[[#This Row],[COGS]]-OrdersTable[[#This Row],[Shipping Cost]]</f>
        <v>167.05</v>
      </c>
      <c r="Z2046" s="78">
        <f>IFERROR(OrdersTable[[#This Row],[Profit]]/OrdersTable[[#This Row],[Net Revenue]],0)</f>
        <v>0.44070703073473161</v>
      </c>
      <c r="AA2046" t="s">
        <v>18</v>
      </c>
      <c r="AB2046" s="79">
        <v>45648</v>
      </c>
      <c r="AC2046">
        <f>OrdersTable[[#This Row],[Delivery Date]]-OrdersTable[[#This Row],[Order Date]]</f>
        <v>1</v>
      </c>
      <c r="AD2046" t="str">
        <f>IF(OrdersTable[[#This Row],[Delivery Days]]&lt;=2, "Express (≤2d)", IF(OrdersTable[[#This Row],[Delivery Days]]&lt;=4, "Standard (3-4d)", "Delayed (5d+)"))</f>
        <v>Express (≤2d)</v>
      </c>
      <c r="AE2046">
        <v>5</v>
      </c>
      <c r="AF2046">
        <v>0</v>
      </c>
    </row>
    <row r="2047" spans="1:32" ht="15" x14ac:dyDescent="0.35">
      <c r="A2047" t="s">
        <v>5378</v>
      </c>
      <c r="B2047" s="1">
        <v>45648</v>
      </c>
      <c r="C2047">
        <f>YEAR(OrdersTable[[#This Row],[Order Date]])</f>
        <v>2024</v>
      </c>
      <c r="D2047" s="2">
        <f>DATE(YEAR(OrdersTable[[#This Row],[Order Date]]),MONTH(OrdersTable[[#This Row],[Order Date]]),1)</f>
        <v>45627</v>
      </c>
      <c r="E2047">
        <f>MONTH(OrdersTable[[#This Row],[Order Date]])</f>
        <v>12</v>
      </c>
      <c r="F2047" t="s">
        <v>1953</v>
      </c>
      <c r="G2047" t="str">
        <f>IF(OrdersTable[[#This Row],[Order Date]]=_xlfn.MINIFS(Order_Date, Customer_ID, OrdersTable[[#This Row],[Customer ID]]), "New", "Repeat")</f>
        <v>New</v>
      </c>
      <c r="H2047" t="s">
        <v>158</v>
      </c>
      <c r="I2047" t="str">
        <f>INDEX(State!B:B,MATCH(OrdersTable[[#This Row],[State]],State!A:A,0))</f>
        <v>HP</v>
      </c>
      <c r="J2047" t="str">
        <f>INDEX(State!C:C,MATCH(OrdersTable[[#This Row],[State Code]],State!B:B,0))</f>
        <v>North</v>
      </c>
      <c r="K2047" t="s">
        <v>159</v>
      </c>
      <c r="L2047" t="s">
        <v>23</v>
      </c>
      <c r="M2047" t="s">
        <v>87</v>
      </c>
      <c r="N2047" t="str">
        <f>INDEX(Products!B:B,MATCH(OrdersTable[[#This Row],[Product ID]],Products!A:A,0))</f>
        <v>Linen Kurta</v>
      </c>
      <c r="O2047" t="str">
        <f>INDEX(Products!C:C,MATCH(OrdersTable[[#This Row],[Product ID]],Products!A:A,0))</f>
        <v>Apparel</v>
      </c>
      <c r="P2047">
        <v>2</v>
      </c>
      <c r="Q2047" s="5">
        <v>1499</v>
      </c>
      <c r="R2047" s="74">
        <v>0.4</v>
      </c>
      <c r="S2047" s="75">
        <f>OrdersTable[[#This Row],[Quantity]]*OrdersTable[[#This Row],[Unit Price]]</f>
        <v>2998</v>
      </c>
      <c r="T2047" s="5">
        <f>OrdersTable[[#This Row],[Gross Sale]]*OrdersTable[[#This Row],[Discount_Clean2]]</f>
        <v>1199.2</v>
      </c>
      <c r="U2047" s="5">
        <f>OrdersTable[[#This Row],[Gross Sale]]-OrdersTable[[#This Row],[Discount Amount]]</f>
        <v>1798.8</v>
      </c>
      <c r="V2047" s="77">
        <f>INDEX(Products!E:E,MATCH(OrdersTable[[#This Row],[Product ID]],Products!A:A,0))</f>
        <v>630</v>
      </c>
      <c r="W2047" s="77">
        <f>OrdersTable[[#This Row],[Quantity]]*OrdersTable[[#This Row],[Unit Cost]]</f>
        <v>1260</v>
      </c>
      <c r="X2047" s="77">
        <f>'Dropdown Lists'!$I$2*(1+OrdersTable[[#This Row],[Returned]])</f>
        <v>120</v>
      </c>
      <c r="Y2047" s="76">
        <f>OrdersTable[[#This Row],[Net Revenue]]-OrdersTable[[#This Row],[COGS]]-OrdersTable[[#This Row],[Shipping Cost]]</f>
        <v>418.79999999999995</v>
      </c>
      <c r="Z2047" s="78">
        <f>IFERROR(OrdersTable[[#This Row],[Profit]]/OrdersTable[[#This Row],[Net Revenue]],0)</f>
        <v>0.23282188125416942</v>
      </c>
      <c r="AA2047" t="s">
        <v>2522</v>
      </c>
      <c r="AB2047" s="79">
        <v>45653</v>
      </c>
      <c r="AC2047">
        <f>OrdersTable[[#This Row],[Delivery Date]]-OrdersTable[[#This Row],[Order Date]]</f>
        <v>5</v>
      </c>
      <c r="AD2047" t="str">
        <f>IF(OrdersTable[[#This Row],[Delivery Days]]&lt;=2, "Express (≤2d)", IF(OrdersTable[[#This Row],[Delivery Days]]&lt;=4, "Standard (3-4d)", "Delayed (5d+)"))</f>
        <v>Delayed (5d+)</v>
      </c>
      <c r="AF2047">
        <v>1</v>
      </c>
    </row>
    <row r="2048" spans="1:32" ht="15" x14ac:dyDescent="0.35">
      <c r="A2048" t="s">
        <v>3745</v>
      </c>
      <c r="B2048" s="1">
        <v>45648</v>
      </c>
      <c r="C2048">
        <f>YEAR(OrdersTable[[#This Row],[Order Date]])</f>
        <v>2024</v>
      </c>
      <c r="D2048" s="2">
        <f>DATE(YEAR(OrdersTable[[#This Row],[Order Date]]),MONTH(OrdersTable[[#This Row],[Order Date]]),1)</f>
        <v>45627</v>
      </c>
      <c r="E2048">
        <f>MONTH(OrdersTable[[#This Row],[Order Date]])</f>
        <v>12</v>
      </c>
      <c r="F2048" t="s">
        <v>3746</v>
      </c>
      <c r="G2048" t="str">
        <f>IF(OrdersTable[[#This Row],[Order Date]]=_xlfn.MINIFS(Order_Date, Customer_ID, OrdersTable[[#This Row],[Customer ID]]), "New", "Repeat")</f>
        <v>New</v>
      </c>
      <c r="H2048" t="s">
        <v>76</v>
      </c>
      <c r="I2048" t="str">
        <f>INDEX(State!B:B,MATCH(OrdersTable[[#This Row],[State]],State!A:A,0))</f>
        <v>UP</v>
      </c>
      <c r="J2048" t="str">
        <f>INDEX(State!C:C,MATCH(OrdersTable[[#This Row],[State Code]],State!B:B,0))</f>
        <v>North</v>
      </c>
      <c r="K2048" t="s">
        <v>118</v>
      </c>
      <c r="L2048" t="s">
        <v>65</v>
      </c>
      <c r="M2048" t="s">
        <v>148</v>
      </c>
      <c r="N2048" t="str">
        <f>INDEX(Products!B:B,MATCH(OrdersTable[[#This Row],[Product ID]],Products!A:A,0))</f>
        <v>Smartwatch Strap</v>
      </c>
      <c r="O2048" t="str">
        <f>INDEX(Products!C:C,MATCH(OrdersTable[[#This Row],[Product ID]],Products!A:A,0))</f>
        <v>Electronics</v>
      </c>
      <c r="P2048">
        <v>1</v>
      </c>
      <c r="Q2048" s="5">
        <v>499</v>
      </c>
      <c r="R2048" s="74">
        <v>0.1</v>
      </c>
      <c r="S2048" s="75">
        <f>OrdersTable[[#This Row],[Quantity]]*OrdersTable[[#This Row],[Unit Price]]</f>
        <v>499</v>
      </c>
      <c r="T2048" s="5">
        <f>OrdersTable[[#This Row],[Gross Sale]]*OrdersTable[[#This Row],[Discount_Clean2]]</f>
        <v>49.900000000000006</v>
      </c>
      <c r="U2048" s="5">
        <f>OrdersTable[[#This Row],[Gross Sale]]-OrdersTable[[#This Row],[Discount Amount]]</f>
        <v>449.1</v>
      </c>
      <c r="V2048" s="77">
        <f>INDEX(Products!E:E,MATCH(OrdersTable[[#This Row],[Product ID]],Products!A:A,0))</f>
        <v>200</v>
      </c>
      <c r="W2048" s="77">
        <f>OrdersTable[[#This Row],[Quantity]]*OrdersTable[[#This Row],[Unit Cost]]</f>
        <v>200</v>
      </c>
      <c r="X2048" s="77">
        <f>'Dropdown Lists'!$I$2*(1+OrdersTable[[#This Row],[Returned]])</f>
        <v>60</v>
      </c>
      <c r="Y2048" s="76">
        <f>OrdersTable[[#This Row],[Net Revenue]]-OrdersTable[[#This Row],[COGS]]-OrdersTable[[#This Row],[Shipping Cost]]</f>
        <v>189.10000000000002</v>
      </c>
      <c r="Z2048" s="78">
        <f>IFERROR(OrdersTable[[#This Row],[Profit]]/OrdersTable[[#This Row],[Net Revenue]],0)</f>
        <v>0.42106435092407041</v>
      </c>
      <c r="AA2048" t="s">
        <v>3495</v>
      </c>
      <c r="AB2048" s="79">
        <v>45651</v>
      </c>
      <c r="AC2048">
        <f>OrdersTable[[#This Row],[Delivery Date]]-OrdersTable[[#This Row],[Order Date]]</f>
        <v>3</v>
      </c>
      <c r="AD2048" t="str">
        <f>IF(OrdersTable[[#This Row],[Delivery Days]]&lt;=2, "Express (≤2d)", IF(OrdersTable[[#This Row],[Delivery Days]]&lt;=4, "Standard (3-4d)", "Delayed (5d+)"))</f>
        <v>Standard (3-4d)</v>
      </c>
      <c r="AF2048">
        <v>0</v>
      </c>
    </row>
    <row r="2049" spans="1:32" ht="15" x14ac:dyDescent="0.35">
      <c r="A2049" t="s">
        <v>7080</v>
      </c>
      <c r="B2049" s="1">
        <v>45648</v>
      </c>
      <c r="C2049">
        <f>YEAR(OrdersTable[[#This Row],[Order Date]])</f>
        <v>2024</v>
      </c>
      <c r="D2049" s="2">
        <f>DATE(YEAR(OrdersTable[[#This Row],[Order Date]]),MONTH(OrdersTable[[#This Row],[Order Date]]),1)</f>
        <v>45627</v>
      </c>
      <c r="E2049">
        <f>MONTH(OrdersTable[[#This Row],[Order Date]])</f>
        <v>12</v>
      </c>
      <c r="F2049" t="s">
        <v>7081</v>
      </c>
      <c r="G2049" t="str">
        <f>IF(OrdersTable[[#This Row],[Order Date]]=_xlfn.MINIFS(Order_Date, Customer_ID, OrdersTable[[#This Row],[Customer ID]]), "New", "Repeat")</f>
        <v>New</v>
      </c>
      <c r="H2049" t="s">
        <v>76</v>
      </c>
      <c r="I2049" t="str">
        <f>INDEX(State!B:B,MATCH(OrdersTable[[#This Row],[State]],State!A:A,0))</f>
        <v>UP</v>
      </c>
      <c r="J2049" t="str">
        <f>INDEX(State!C:C,MATCH(OrdersTable[[#This Row],[State Code]],State!B:B,0))</f>
        <v>North</v>
      </c>
      <c r="K2049" t="s">
        <v>105</v>
      </c>
      <c r="L2049" t="s">
        <v>16</v>
      </c>
      <c r="M2049" t="s">
        <v>34</v>
      </c>
      <c r="N2049" t="str">
        <f>INDEX(Products!B:B,MATCH(OrdersTable[[#This Row],[Product ID]],Products!A:A,0))</f>
        <v>Flip Flops</v>
      </c>
      <c r="O2049" t="str">
        <f>INDEX(Products!C:C,MATCH(OrdersTable[[#This Row],[Product ID]],Products!A:A,0))</f>
        <v>Footwear</v>
      </c>
      <c r="P2049">
        <v>4</v>
      </c>
      <c r="Q2049" s="5">
        <v>399</v>
      </c>
      <c r="R2049" s="74">
        <v>0.05</v>
      </c>
      <c r="S2049" s="75">
        <f>OrdersTable[[#This Row],[Quantity]]*OrdersTable[[#This Row],[Unit Price]]</f>
        <v>1596</v>
      </c>
      <c r="T2049" s="5">
        <f>OrdersTable[[#This Row],[Gross Sale]]*OrdersTable[[#This Row],[Discount_Clean2]]</f>
        <v>79.800000000000011</v>
      </c>
      <c r="U2049" s="5">
        <f>OrdersTable[[#This Row],[Gross Sale]]-OrdersTable[[#This Row],[Discount Amount]]</f>
        <v>1516.2</v>
      </c>
      <c r="V2049" s="77">
        <f>INDEX(Products!E:E,MATCH(OrdersTable[[#This Row],[Product ID]],Products!A:A,0))</f>
        <v>152</v>
      </c>
      <c r="W2049" s="77">
        <f>OrdersTable[[#This Row],[Quantity]]*OrdersTable[[#This Row],[Unit Cost]]</f>
        <v>608</v>
      </c>
      <c r="X2049" s="77">
        <f>'Dropdown Lists'!$I$2*(1+OrdersTable[[#This Row],[Returned]])</f>
        <v>60</v>
      </c>
      <c r="Y2049" s="76">
        <f>OrdersTable[[#This Row],[Net Revenue]]-OrdersTable[[#This Row],[COGS]]-OrdersTable[[#This Row],[Shipping Cost]]</f>
        <v>848.2</v>
      </c>
      <c r="Z2049" s="78">
        <f>IFERROR(OrdersTable[[#This Row],[Profit]]/OrdersTable[[#This Row],[Net Revenue]],0)</f>
        <v>0.55942487798443474</v>
      </c>
      <c r="AA2049" t="s">
        <v>18</v>
      </c>
      <c r="AB2049" s="79">
        <v>45652</v>
      </c>
      <c r="AC2049">
        <f>OrdersTable[[#This Row],[Delivery Date]]-OrdersTable[[#This Row],[Order Date]]</f>
        <v>4</v>
      </c>
      <c r="AD2049" t="str">
        <f>IF(OrdersTable[[#This Row],[Delivery Days]]&lt;=2, "Express (≤2d)", IF(OrdersTable[[#This Row],[Delivery Days]]&lt;=4, "Standard (3-4d)", "Delayed (5d+)"))</f>
        <v>Standard (3-4d)</v>
      </c>
      <c r="AE2049">
        <v>3</v>
      </c>
      <c r="AF2049">
        <v>0</v>
      </c>
    </row>
    <row r="2050" spans="1:32" ht="15" x14ac:dyDescent="0.35">
      <c r="A2050" t="s">
        <v>2343</v>
      </c>
      <c r="B2050" s="1">
        <v>45648</v>
      </c>
      <c r="C2050">
        <f>YEAR(OrdersTable[[#This Row],[Order Date]])</f>
        <v>2024</v>
      </c>
      <c r="D2050" s="2">
        <f>DATE(YEAR(OrdersTable[[#This Row],[Order Date]]),MONTH(OrdersTable[[#This Row],[Order Date]]),1)</f>
        <v>45627</v>
      </c>
      <c r="E2050">
        <f>MONTH(OrdersTable[[#This Row],[Order Date]])</f>
        <v>12</v>
      </c>
      <c r="F2050" t="s">
        <v>2344</v>
      </c>
      <c r="G2050" t="str">
        <f>IF(OrdersTable[[#This Row],[Order Date]]=_xlfn.MINIFS(Order_Date, Customer_ID, OrdersTable[[#This Row],[Customer ID]]), "New", "Repeat")</f>
        <v>New</v>
      </c>
      <c r="H2050" t="s">
        <v>37</v>
      </c>
      <c r="I2050" t="str">
        <f>INDEX(State!B:B,MATCH(OrdersTable[[#This Row],[State]],State!A:A,0))</f>
        <v>GJ</v>
      </c>
      <c r="J2050" t="str">
        <f>INDEX(State!C:C,MATCH(OrdersTable[[#This Row],[State Code]],State!B:B,0))</f>
        <v>West</v>
      </c>
      <c r="K2050" t="s">
        <v>247</v>
      </c>
      <c r="L2050" t="s">
        <v>50</v>
      </c>
      <c r="M2050" t="s">
        <v>78</v>
      </c>
      <c r="N2050" t="str">
        <f>INDEX(Products!B:B,MATCH(OrdersTable[[#This Row],[Product ID]],Products!A:A,0))</f>
        <v>Retinol Night Cream</v>
      </c>
      <c r="O2050" t="str">
        <f>INDEX(Products!C:C,MATCH(OrdersTable[[#This Row],[Product ID]],Products!A:A,0))</f>
        <v>Skincare</v>
      </c>
      <c r="P2050">
        <v>1</v>
      </c>
      <c r="Q2050" s="5">
        <v>799</v>
      </c>
      <c r="R2050" s="74">
        <v>0.1</v>
      </c>
      <c r="S2050" s="75">
        <f>OrdersTable[[#This Row],[Quantity]]*OrdersTable[[#This Row],[Unit Price]]</f>
        <v>799</v>
      </c>
      <c r="T2050" s="5">
        <f>OrdersTable[[#This Row],[Gross Sale]]*OrdersTable[[#This Row],[Discount_Clean2]]</f>
        <v>79.900000000000006</v>
      </c>
      <c r="U2050" s="5">
        <f>OrdersTable[[#This Row],[Gross Sale]]-OrdersTable[[#This Row],[Discount Amount]]</f>
        <v>719.1</v>
      </c>
      <c r="V2050" s="77">
        <f>INDEX(Products!E:E,MATCH(OrdersTable[[#This Row],[Product ID]],Products!A:A,0))</f>
        <v>216</v>
      </c>
      <c r="W2050" s="77">
        <f>OrdersTable[[#This Row],[Quantity]]*OrdersTable[[#This Row],[Unit Cost]]</f>
        <v>216</v>
      </c>
      <c r="X2050" s="77">
        <f>'Dropdown Lists'!$I$2*(1+OrdersTable[[#This Row],[Returned]])</f>
        <v>60</v>
      </c>
      <c r="Y2050" s="76">
        <f>OrdersTable[[#This Row],[Net Revenue]]-OrdersTable[[#This Row],[COGS]]-OrdersTable[[#This Row],[Shipping Cost]]</f>
        <v>443.1</v>
      </c>
      <c r="Z2050" s="78">
        <f>IFERROR(OrdersTable[[#This Row],[Profit]]/OrdersTable[[#This Row],[Net Revenue]],0)</f>
        <v>0.61618690029203171</v>
      </c>
      <c r="AA2050" t="s">
        <v>18</v>
      </c>
      <c r="AB2050" s="79">
        <v>45651</v>
      </c>
      <c r="AC2050">
        <f>OrdersTable[[#This Row],[Delivery Date]]-OrdersTable[[#This Row],[Order Date]]</f>
        <v>3</v>
      </c>
      <c r="AD2050" t="str">
        <f>IF(OrdersTable[[#This Row],[Delivery Days]]&lt;=2, "Express (≤2d)", IF(OrdersTable[[#This Row],[Delivery Days]]&lt;=4, "Standard (3-4d)", "Delayed (5d+)"))</f>
        <v>Standard (3-4d)</v>
      </c>
      <c r="AE2050">
        <v>5</v>
      </c>
      <c r="AF2050">
        <v>0</v>
      </c>
    </row>
    <row r="2051" spans="1:32" ht="15" x14ac:dyDescent="0.35">
      <c r="A2051" t="s">
        <v>3431</v>
      </c>
      <c r="B2051" s="1">
        <v>45648</v>
      </c>
      <c r="C2051">
        <f>YEAR(OrdersTable[[#This Row],[Order Date]])</f>
        <v>2024</v>
      </c>
      <c r="D2051" s="2">
        <f>DATE(YEAR(OrdersTable[[#This Row],[Order Date]]),MONTH(OrdersTable[[#This Row],[Order Date]]),1)</f>
        <v>45627</v>
      </c>
      <c r="E2051">
        <f>MONTH(OrdersTable[[#This Row],[Order Date]])</f>
        <v>12</v>
      </c>
      <c r="F2051" t="s">
        <v>725</v>
      </c>
      <c r="G2051" t="str">
        <f>IF(OrdersTable[[#This Row],[Order Date]]=_xlfn.MINIFS(Order_Date, Customer_ID, OrdersTable[[#This Row],[Customer ID]]), "New", "Repeat")</f>
        <v>Repeat</v>
      </c>
      <c r="H2051" t="s">
        <v>43</v>
      </c>
      <c r="I2051" t="str">
        <f>INDEX(State!B:B,MATCH(OrdersTable[[#This Row],[State]],State!A:A,0))</f>
        <v>MP</v>
      </c>
      <c r="J2051" t="str">
        <f>INDEX(State!C:C,MATCH(OrdersTable[[#This Row],[State Code]],State!B:B,0))</f>
        <v>West</v>
      </c>
      <c r="K2051" t="s">
        <v>250</v>
      </c>
      <c r="L2051" t="s">
        <v>65</v>
      </c>
      <c r="M2051" t="s">
        <v>148</v>
      </c>
      <c r="N2051" t="str">
        <f>INDEX(Products!B:B,MATCH(OrdersTable[[#This Row],[Product ID]],Products!A:A,0))</f>
        <v>Smartwatch Strap</v>
      </c>
      <c r="O2051" t="str">
        <f>INDEX(Products!C:C,MATCH(OrdersTable[[#This Row],[Product ID]],Products!A:A,0))</f>
        <v>Electronics</v>
      </c>
      <c r="P2051">
        <v>1</v>
      </c>
      <c r="Q2051" s="5">
        <v>499</v>
      </c>
      <c r="R2051" s="74">
        <v>0.1</v>
      </c>
      <c r="S2051" s="75">
        <f>OrdersTable[[#This Row],[Quantity]]*OrdersTable[[#This Row],[Unit Price]]</f>
        <v>499</v>
      </c>
      <c r="T2051" s="5">
        <f>OrdersTable[[#This Row],[Gross Sale]]*OrdersTable[[#This Row],[Discount_Clean2]]</f>
        <v>49.900000000000006</v>
      </c>
      <c r="U2051" s="5">
        <f>OrdersTable[[#This Row],[Gross Sale]]-OrdersTable[[#This Row],[Discount Amount]]</f>
        <v>449.1</v>
      </c>
      <c r="V2051" s="77">
        <f>INDEX(Products!E:E,MATCH(OrdersTable[[#This Row],[Product ID]],Products!A:A,0))</f>
        <v>200</v>
      </c>
      <c r="W2051" s="77">
        <f>OrdersTable[[#This Row],[Quantity]]*OrdersTable[[#This Row],[Unit Cost]]</f>
        <v>200</v>
      </c>
      <c r="X2051" s="77">
        <f>'Dropdown Lists'!$I$2*(1+OrdersTable[[#This Row],[Returned]])</f>
        <v>60</v>
      </c>
      <c r="Y2051" s="76">
        <f>OrdersTable[[#This Row],[Net Revenue]]-OrdersTable[[#This Row],[COGS]]-OrdersTable[[#This Row],[Shipping Cost]]</f>
        <v>189.10000000000002</v>
      </c>
      <c r="Z2051" s="78">
        <f>IFERROR(OrdersTable[[#This Row],[Profit]]/OrdersTable[[#This Row],[Net Revenue]],0)</f>
        <v>0.42106435092407041</v>
      </c>
      <c r="AA2051" t="s">
        <v>2522</v>
      </c>
      <c r="AB2051" s="79">
        <v>45651</v>
      </c>
      <c r="AC2051">
        <f>OrdersTable[[#This Row],[Delivery Date]]-OrdersTable[[#This Row],[Order Date]]</f>
        <v>3</v>
      </c>
      <c r="AD2051" t="str">
        <f>IF(OrdersTable[[#This Row],[Delivery Days]]&lt;=2, "Express (≤2d)", IF(OrdersTable[[#This Row],[Delivery Days]]&lt;=4, "Standard (3-4d)", "Delayed (5d+)"))</f>
        <v>Standard (3-4d)</v>
      </c>
      <c r="AE2051">
        <v>4</v>
      </c>
      <c r="AF2051">
        <v>0</v>
      </c>
    </row>
    <row r="2052" spans="1:32" ht="15" x14ac:dyDescent="0.35">
      <c r="A2052" t="s">
        <v>3003</v>
      </c>
      <c r="B2052" s="1">
        <v>45648</v>
      </c>
      <c r="C2052">
        <f>YEAR(OrdersTable[[#This Row],[Order Date]])</f>
        <v>2024</v>
      </c>
      <c r="D2052" s="2">
        <f>DATE(YEAR(OrdersTable[[#This Row],[Order Date]]),MONTH(OrdersTable[[#This Row],[Order Date]]),1)</f>
        <v>45627</v>
      </c>
      <c r="E2052">
        <f>MONTH(OrdersTable[[#This Row],[Order Date]])</f>
        <v>12</v>
      </c>
      <c r="F2052" t="s">
        <v>3004</v>
      </c>
      <c r="G2052" t="str">
        <f>IF(OrdersTable[[#This Row],[Order Date]]=_xlfn.MINIFS(Order_Date, Customer_ID, OrdersTable[[#This Row],[Customer ID]]), "New", "Repeat")</f>
        <v>New</v>
      </c>
      <c r="H2052" t="s">
        <v>95</v>
      </c>
      <c r="I2052" t="str">
        <f>INDEX(State!B:B,MATCH(OrdersTable[[#This Row],[State]],State!A:A,0))</f>
        <v>TG</v>
      </c>
      <c r="J2052" t="str">
        <f>INDEX(State!C:C,MATCH(OrdersTable[[#This Row],[State Code]],State!B:B,0))</f>
        <v>South</v>
      </c>
      <c r="K2052" t="s">
        <v>96</v>
      </c>
      <c r="L2052" t="s">
        <v>39</v>
      </c>
      <c r="M2052" t="s">
        <v>29</v>
      </c>
      <c r="N2052" t="str">
        <f>INDEX(Products!B:B,MATCH(OrdersTable[[#This Row],[Product ID]],Products!A:A,0))</f>
        <v>Joggers</v>
      </c>
      <c r="O2052" t="str">
        <f>INDEX(Products!C:C,MATCH(OrdersTable[[#This Row],[Product ID]],Products!A:A,0))</f>
        <v>Apparel</v>
      </c>
      <c r="P2052">
        <v>1</v>
      </c>
      <c r="Q2052" s="5">
        <v>1199</v>
      </c>
      <c r="R2052" s="74">
        <v>0.05</v>
      </c>
      <c r="S2052" s="75">
        <f>OrdersTable[[#This Row],[Quantity]]*OrdersTable[[#This Row],[Unit Price]]</f>
        <v>1199</v>
      </c>
      <c r="T2052" s="5">
        <f>OrdersTable[[#This Row],[Gross Sale]]*OrdersTable[[#This Row],[Discount_Clean2]]</f>
        <v>59.95</v>
      </c>
      <c r="U2052" s="5">
        <f>OrdersTable[[#This Row],[Gross Sale]]-OrdersTable[[#This Row],[Discount Amount]]</f>
        <v>1139.05</v>
      </c>
      <c r="V2052" s="77">
        <f>INDEX(Products!E:E,MATCH(OrdersTable[[#This Row],[Product ID]],Products!A:A,0))</f>
        <v>492</v>
      </c>
      <c r="W2052" s="77">
        <f>OrdersTable[[#This Row],[Quantity]]*OrdersTable[[#This Row],[Unit Cost]]</f>
        <v>492</v>
      </c>
      <c r="X2052" s="77">
        <f>'Dropdown Lists'!$I$2*(1+OrdersTable[[#This Row],[Returned]])</f>
        <v>60</v>
      </c>
      <c r="Y2052" s="76">
        <f>OrdersTable[[#This Row],[Net Revenue]]-OrdersTable[[#This Row],[COGS]]-OrdersTable[[#This Row],[Shipping Cost]]</f>
        <v>587.04999999999995</v>
      </c>
      <c r="Z2052" s="78">
        <f>IFERROR(OrdersTable[[#This Row],[Profit]]/OrdersTable[[#This Row],[Net Revenue]],0)</f>
        <v>0.51538562837452262</v>
      </c>
      <c r="AA2052" t="s">
        <v>2522</v>
      </c>
      <c r="AB2052" s="79">
        <v>45650</v>
      </c>
      <c r="AC2052">
        <f>OrdersTable[[#This Row],[Delivery Date]]-OrdersTable[[#This Row],[Order Date]]</f>
        <v>2</v>
      </c>
      <c r="AD2052" t="str">
        <f>IF(OrdersTable[[#This Row],[Delivery Days]]&lt;=2, "Express (≤2d)", IF(OrdersTable[[#This Row],[Delivery Days]]&lt;=4, "Standard (3-4d)", "Delayed (5d+)"))</f>
        <v>Express (≤2d)</v>
      </c>
      <c r="AF2052">
        <v>0</v>
      </c>
    </row>
    <row r="2053" spans="1:32" ht="15" x14ac:dyDescent="0.35">
      <c r="A2053" t="s">
        <v>5158</v>
      </c>
      <c r="B2053" s="1">
        <v>45648</v>
      </c>
      <c r="C2053">
        <f>YEAR(OrdersTable[[#This Row],[Order Date]])</f>
        <v>2024</v>
      </c>
      <c r="D2053" s="2">
        <f>DATE(YEAR(OrdersTable[[#This Row],[Order Date]]),MONTH(OrdersTable[[#This Row],[Order Date]]),1)</f>
        <v>45627</v>
      </c>
      <c r="E2053">
        <f>MONTH(OrdersTable[[#This Row],[Order Date]])</f>
        <v>12</v>
      </c>
      <c r="F2053" t="s">
        <v>804</v>
      </c>
      <c r="G2053" t="str">
        <f>IF(OrdersTable[[#This Row],[Order Date]]=_xlfn.MINIFS(Order_Date, Customer_ID, OrdersTable[[#This Row],[Customer ID]]), "New", "Repeat")</f>
        <v>Repeat</v>
      </c>
      <c r="H2053" t="s">
        <v>59</v>
      </c>
      <c r="I2053" t="str">
        <f>INDEX(State!B:B,MATCH(OrdersTable[[#This Row],[State]],State!A:A,0))</f>
        <v>TN</v>
      </c>
      <c r="J2053" t="str">
        <f>INDEX(State!C:C,MATCH(OrdersTable[[#This Row],[State Code]],State!B:B,0))</f>
        <v>South</v>
      </c>
      <c r="K2053" t="s">
        <v>60</v>
      </c>
      <c r="L2053" t="s">
        <v>23</v>
      </c>
      <c r="M2053" t="s">
        <v>205</v>
      </c>
      <c r="N2053" t="str">
        <f>INDEX(Products!B:B,MATCH(OrdersTable[[#This Row],[Product ID]],Products!A:A,0))</f>
        <v>Running Shoes</v>
      </c>
      <c r="O2053" t="str">
        <f>INDEX(Products!C:C,MATCH(OrdersTable[[#This Row],[Product ID]],Products!A:A,0))</f>
        <v>Footwear</v>
      </c>
      <c r="P2053">
        <v>2</v>
      </c>
      <c r="Q2053" s="5">
        <v>2999</v>
      </c>
      <c r="R2053" s="74">
        <v>0.15</v>
      </c>
      <c r="S2053" s="75">
        <f>OrdersTable[[#This Row],[Quantity]]*OrdersTable[[#This Row],[Unit Price]]</f>
        <v>5998</v>
      </c>
      <c r="T2053" s="5">
        <f>OrdersTable[[#This Row],[Gross Sale]]*OrdersTable[[#This Row],[Discount_Clean2]]</f>
        <v>899.69999999999993</v>
      </c>
      <c r="U2053" s="5">
        <f>OrdersTable[[#This Row],[Gross Sale]]-OrdersTable[[#This Row],[Discount Amount]]</f>
        <v>5098.3</v>
      </c>
      <c r="V2053" s="77">
        <f>INDEX(Products!E:E,MATCH(OrdersTable[[#This Row],[Product ID]],Products!A:A,0))</f>
        <v>1440</v>
      </c>
      <c r="W2053" s="77">
        <f>OrdersTable[[#This Row],[Quantity]]*OrdersTable[[#This Row],[Unit Cost]]</f>
        <v>2880</v>
      </c>
      <c r="X2053" s="77">
        <f>'Dropdown Lists'!$I$2*(1+OrdersTable[[#This Row],[Returned]])</f>
        <v>60</v>
      </c>
      <c r="Y2053" s="76">
        <f>OrdersTable[[#This Row],[Net Revenue]]-OrdersTable[[#This Row],[COGS]]-OrdersTable[[#This Row],[Shipping Cost]]</f>
        <v>2158.3000000000002</v>
      </c>
      <c r="Z2053" s="78">
        <f>IFERROR(OrdersTable[[#This Row],[Profit]]/OrdersTable[[#This Row],[Net Revenue]],0)</f>
        <v>0.42333719082831534</v>
      </c>
      <c r="AA2053" t="s">
        <v>3495</v>
      </c>
      <c r="AB2053" s="79">
        <v>45651</v>
      </c>
      <c r="AC2053">
        <f>OrdersTable[[#This Row],[Delivery Date]]-OrdersTable[[#This Row],[Order Date]]</f>
        <v>3</v>
      </c>
      <c r="AD2053" t="str">
        <f>IF(OrdersTable[[#This Row],[Delivery Days]]&lt;=2, "Express (≤2d)", IF(OrdersTable[[#This Row],[Delivery Days]]&lt;=4, "Standard (3-4d)", "Delayed (5d+)"))</f>
        <v>Standard (3-4d)</v>
      </c>
      <c r="AE2053">
        <v>3</v>
      </c>
      <c r="AF2053">
        <v>0</v>
      </c>
    </row>
    <row r="2054" spans="1:32" ht="15" x14ac:dyDescent="0.35">
      <c r="A2054" t="s">
        <v>235</v>
      </c>
      <c r="B2054" s="1">
        <v>45649</v>
      </c>
      <c r="C2054">
        <f>YEAR(OrdersTable[[#This Row],[Order Date]])</f>
        <v>2024</v>
      </c>
      <c r="D2054" s="2">
        <f>DATE(YEAR(OrdersTable[[#This Row],[Order Date]]),MONTH(OrdersTable[[#This Row],[Order Date]]),1)</f>
        <v>45627</v>
      </c>
      <c r="E2054">
        <f>MONTH(OrdersTable[[#This Row],[Order Date]])</f>
        <v>12</v>
      </c>
      <c r="F2054" t="s">
        <v>236</v>
      </c>
      <c r="G2054" t="str">
        <f>IF(OrdersTable[[#This Row],[Order Date]]=_xlfn.MINIFS(Order_Date, Customer_ID, OrdersTable[[#This Row],[Customer ID]]), "New", "Repeat")</f>
        <v>New</v>
      </c>
      <c r="H2054" t="s">
        <v>158</v>
      </c>
      <c r="I2054" t="str">
        <f>INDEX(State!B:B,MATCH(OrdersTable[[#This Row],[State]],State!A:A,0))</f>
        <v>HP</v>
      </c>
      <c r="J2054" t="str">
        <f>INDEX(State!C:C,MATCH(OrdersTable[[#This Row],[State Code]],State!B:B,0))</f>
        <v>North</v>
      </c>
      <c r="K2054" t="s">
        <v>159</v>
      </c>
      <c r="L2054" t="s">
        <v>23</v>
      </c>
      <c r="M2054" t="s">
        <v>152</v>
      </c>
      <c r="N2054" t="str">
        <f>INDEX(Products!B:B,MATCH(OrdersTable[[#This Row],[Product ID]],Products!A:A,0))</f>
        <v>Green Tea (100 bags)</v>
      </c>
      <c r="O2054" t="str">
        <f>INDEX(Products!C:C,MATCH(OrdersTable[[#This Row],[Product ID]],Products!A:A,0))</f>
        <v>Wellness</v>
      </c>
      <c r="P2054">
        <v>1</v>
      </c>
      <c r="Q2054" s="5">
        <v>399</v>
      </c>
      <c r="R2054" s="74">
        <v>0.45</v>
      </c>
      <c r="S2054" s="75">
        <f>OrdersTable[[#This Row],[Quantity]]*OrdersTable[[#This Row],[Unit Price]]</f>
        <v>399</v>
      </c>
      <c r="T2054" s="5">
        <f>OrdersTable[[#This Row],[Gross Sale]]*OrdersTable[[#This Row],[Discount_Clean2]]</f>
        <v>179.55</v>
      </c>
      <c r="U2054" s="5">
        <f>OrdersTable[[#This Row],[Gross Sale]]-OrdersTable[[#This Row],[Discount Amount]]</f>
        <v>219.45</v>
      </c>
      <c r="V2054" s="77">
        <f>INDEX(Products!E:E,MATCH(OrdersTable[[#This Row],[Product ID]],Products!A:A,0))</f>
        <v>128</v>
      </c>
      <c r="W2054" s="77">
        <f>OrdersTable[[#This Row],[Quantity]]*OrdersTable[[#This Row],[Unit Cost]]</f>
        <v>128</v>
      </c>
      <c r="X2054" s="77">
        <f>'Dropdown Lists'!$I$2*(1+OrdersTable[[#This Row],[Returned]])</f>
        <v>60</v>
      </c>
      <c r="Y2054" s="76">
        <f>OrdersTable[[#This Row],[Net Revenue]]-OrdersTable[[#This Row],[COGS]]-OrdersTable[[#This Row],[Shipping Cost]]</f>
        <v>31.449999999999989</v>
      </c>
      <c r="Z2054" s="78">
        <f>IFERROR(OrdersTable[[#This Row],[Profit]]/OrdersTable[[#This Row],[Net Revenue]],0)</f>
        <v>0.14331282752335381</v>
      </c>
      <c r="AA2054" t="s">
        <v>18</v>
      </c>
      <c r="AB2054" s="79">
        <v>45652</v>
      </c>
      <c r="AC2054">
        <f>OrdersTable[[#This Row],[Delivery Date]]-OrdersTable[[#This Row],[Order Date]]</f>
        <v>3</v>
      </c>
      <c r="AD2054" t="str">
        <f>IF(OrdersTable[[#This Row],[Delivery Days]]&lt;=2, "Express (≤2d)", IF(OrdersTable[[#This Row],[Delivery Days]]&lt;=4, "Standard (3-4d)", "Delayed (5d+)"))</f>
        <v>Standard (3-4d)</v>
      </c>
      <c r="AE2054">
        <v>4</v>
      </c>
      <c r="AF2054">
        <v>0</v>
      </c>
    </row>
    <row r="2055" spans="1:32" ht="15" x14ac:dyDescent="0.35">
      <c r="A2055" t="s">
        <v>4964</v>
      </c>
      <c r="B2055" s="1">
        <v>45649</v>
      </c>
      <c r="C2055">
        <f>YEAR(OrdersTable[[#This Row],[Order Date]])</f>
        <v>2024</v>
      </c>
      <c r="D2055" s="2">
        <f>DATE(YEAR(OrdersTable[[#This Row],[Order Date]]),MONTH(OrdersTable[[#This Row],[Order Date]]),1)</f>
        <v>45627</v>
      </c>
      <c r="E2055">
        <f>MONTH(OrdersTable[[#This Row],[Order Date]])</f>
        <v>12</v>
      </c>
      <c r="F2055" t="s">
        <v>2068</v>
      </c>
      <c r="G2055" t="str">
        <f>IF(OrdersTable[[#This Row],[Order Date]]=_xlfn.MINIFS(Order_Date, Customer_ID, OrdersTable[[#This Row],[Customer ID]]), "New", "Repeat")</f>
        <v>New</v>
      </c>
      <c r="H2055" t="s">
        <v>48</v>
      </c>
      <c r="I2055" t="str">
        <f>INDEX(State!B:B,MATCH(OrdersTable[[#This Row],[State]],State!A:A,0))</f>
        <v>HR</v>
      </c>
      <c r="J2055" t="str">
        <f>INDEX(State!C:C,MATCH(OrdersTable[[#This Row],[State Code]],State!B:B,0))</f>
        <v>North</v>
      </c>
      <c r="K2055" t="s">
        <v>151</v>
      </c>
      <c r="L2055" t="s">
        <v>23</v>
      </c>
      <c r="M2055" t="s">
        <v>51</v>
      </c>
      <c r="N2055" t="str">
        <f>INDEX(Products!B:B,MATCH(OrdersTable[[#This Row],[Product ID]],Products!A:A,0))</f>
        <v>Anti-Dandruff Conditioner</v>
      </c>
      <c r="O2055" t="str">
        <f>INDEX(Products!C:C,MATCH(OrdersTable[[#This Row],[Product ID]],Products!A:A,0))</f>
        <v>Haircare</v>
      </c>
      <c r="P2055">
        <v>2</v>
      </c>
      <c r="Q2055" s="5">
        <v>399</v>
      </c>
      <c r="R2055" s="74">
        <v>0.45</v>
      </c>
      <c r="S2055" s="75">
        <f>OrdersTable[[#This Row],[Quantity]]*OrdersTable[[#This Row],[Unit Price]]</f>
        <v>798</v>
      </c>
      <c r="T2055" s="5">
        <f>OrdersTable[[#This Row],[Gross Sale]]*OrdersTable[[#This Row],[Discount_Clean2]]</f>
        <v>359.1</v>
      </c>
      <c r="U2055" s="5">
        <f>OrdersTable[[#This Row],[Gross Sale]]-OrdersTable[[#This Row],[Discount Amount]]</f>
        <v>438.9</v>
      </c>
      <c r="V2055" s="77">
        <f>INDEX(Products!E:E,MATCH(OrdersTable[[#This Row],[Product ID]],Products!A:A,0))</f>
        <v>136</v>
      </c>
      <c r="W2055" s="77">
        <f>OrdersTable[[#This Row],[Quantity]]*OrdersTable[[#This Row],[Unit Cost]]</f>
        <v>272</v>
      </c>
      <c r="X2055" s="77">
        <f>'Dropdown Lists'!$I$2*(1+OrdersTable[[#This Row],[Returned]])</f>
        <v>60</v>
      </c>
      <c r="Y2055" s="76">
        <f>OrdersTable[[#This Row],[Net Revenue]]-OrdersTable[[#This Row],[COGS]]-OrdersTable[[#This Row],[Shipping Cost]]</f>
        <v>106.89999999999998</v>
      </c>
      <c r="Z2055" s="78">
        <f>IFERROR(OrdersTable[[#This Row],[Profit]]/OrdersTable[[#This Row],[Net Revenue]],0)</f>
        <v>0.24356345408976984</v>
      </c>
      <c r="AA2055" t="s">
        <v>4074</v>
      </c>
      <c r="AB2055" s="79">
        <v>45650</v>
      </c>
      <c r="AC2055">
        <f>OrdersTable[[#This Row],[Delivery Date]]-OrdersTable[[#This Row],[Order Date]]</f>
        <v>1</v>
      </c>
      <c r="AD2055" t="str">
        <f>IF(OrdersTable[[#This Row],[Delivery Days]]&lt;=2, "Express (≤2d)", IF(OrdersTable[[#This Row],[Delivery Days]]&lt;=4, "Standard (3-4d)", "Delayed (5d+)"))</f>
        <v>Express (≤2d)</v>
      </c>
      <c r="AF2055">
        <v>0</v>
      </c>
    </row>
    <row r="2056" spans="1:32" ht="15" x14ac:dyDescent="0.35">
      <c r="A2056" t="s">
        <v>4588</v>
      </c>
      <c r="B2056" s="1">
        <v>45649</v>
      </c>
      <c r="C2056">
        <f>YEAR(OrdersTable[[#This Row],[Order Date]])</f>
        <v>2024</v>
      </c>
      <c r="D2056" s="2">
        <f>DATE(YEAR(OrdersTable[[#This Row],[Order Date]]),MONTH(OrdersTable[[#This Row],[Order Date]]),1)</f>
        <v>45627</v>
      </c>
      <c r="E2056">
        <f>MONTH(OrdersTable[[#This Row],[Order Date]])</f>
        <v>12</v>
      </c>
      <c r="F2056" t="s">
        <v>4589</v>
      </c>
      <c r="G2056" t="str">
        <f>IF(OrdersTable[[#This Row],[Order Date]]=_xlfn.MINIFS(Order_Date, Customer_ID, OrdersTable[[#This Row],[Customer ID]]), "New", "Repeat")</f>
        <v>New</v>
      </c>
      <c r="H2056" t="s">
        <v>76</v>
      </c>
      <c r="I2056" t="str">
        <f>INDEX(State!B:B,MATCH(OrdersTable[[#This Row],[State]],State!A:A,0))</f>
        <v>UP</v>
      </c>
      <c r="J2056" t="str">
        <f>INDEX(State!C:C,MATCH(OrdersTable[[#This Row],[State Code]],State!B:B,0))</f>
        <v>North</v>
      </c>
      <c r="K2056" t="s">
        <v>105</v>
      </c>
      <c r="L2056" t="s">
        <v>39</v>
      </c>
      <c r="M2056" t="s">
        <v>24</v>
      </c>
      <c r="N2056" t="str">
        <f>INDEX(Products!B:B,MATCH(OrdersTable[[#This Row],[Product ID]],Products!A:A,0))</f>
        <v>Scented Candle Set</v>
      </c>
      <c r="O2056" t="str">
        <f>INDEX(Products!C:C,MATCH(OrdersTable[[#This Row],[Product ID]],Products!A:A,0))</f>
        <v>Home &amp; Kitchen</v>
      </c>
      <c r="P2056">
        <v>1</v>
      </c>
      <c r="Q2056" s="5">
        <v>699</v>
      </c>
      <c r="R2056" s="74">
        <v>0.1</v>
      </c>
      <c r="S2056" s="75">
        <f>OrdersTable[[#This Row],[Quantity]]*OrdersTable[[#This Row],[Unit Price]]</f>
        <v>699</v>
      </c>
      <c r="T2056" s="5">
        <f>OrdersTable[[#This Row],[Gross Sale]]*OrdersTable[[#This Row],[Discount_Clean2]]</f>
        <v>69.900000000000006</v>
      </c>
      <c r="U2056" s="5">
        <f>OrdersTable[[#This Row],[Gross Sale]]-OrdersTable[[#This Row],[Discount Amount]]</f>
        <v>629.1</v>
      </c>
      <c r="V2056" s="77">
        <f>INDEX(Products!E:E,MATCH(OrdersTable[[#This Row],[Product ID]],Products!A:A,0))</f>
        <v>245</v>
      </c>
      <c r="W2056" s="77">
        <f>OrdersTable[[#This Row],[Quantity]]*OrdersTable[[#This Row],[Unit Cost]]</f>
        <v>245</v>
      </c>
      <c r="X2056" s="77">
        <f>'Dropdown Lists'!$I$2*(1+OrdersTable[[#This Row],[Returned]])</f>
        <v>60</v>
      </c>
      <c r="Y2056" s="76">
        <f>OrdersTable[[#This Row],[Net Revenue]]-OrdersTable[[#This Row],[COGS]]-OrdersTable[[#This Row],[Shipping Cost]]</f>
        <v>324.10000000000002</v>
      </c>
      <c r="Z2056" s="78">
        <f>IFERROR(OrdersTable[[#This Row],[Profit]]/OrdersTable[[#This Row],[Net Revenue]],0)</f>
        <v>0.51518041646797008</v>
      </c>
      <c r="AA2056" t="s">
        <v>4450</v>
      </c>
      <c r="AB2056" s="79">
        <v>45655</v>
      </c>
      <c r="AC2056">
        <f>OrdersTable[[#This Row],[Delivery Date]]-OrdersTable[[#This Row],[Order Date]]</f>
        <v>6</v>
      </c>
      <c r="AD2056" t="str">
        <f>IF(OrdersTable[[#This Row],[Delivery Days]]&lt;=2, "Express (≤2d)", IF(OrdersTable[[#This Row],[Delivery Days]]&lt;=4, "Standard (3-4d)", "Delayed (5d+)"))</f>
        <v>Delayed (5d+)</v>
      </c>
      <c r="AF2056">
        <v>0</v>
      </c>
    </row>
    <row r="2057" spans="1:32" ht="15" x14ac:dyDescent="0.35">
      <c r="A2057" t="s">
        <v>6780</v>
      </c>
      <c r="B2057" s="1">
        <v>45649</v>
      </c>
      <c r="C2057">
        <f>YEAR(OrdersTable[[#This Row],[Order Date]])</f>
        <v>2024</v>
      </c>
      <c r="D2057" s="2">
        <f>DATE(YEAR(OrdersTable[[#This Row],[Order Date]]),MONTH(OrdersTable[[#This Row],[Order Date]]),1)</f>
        <v>45627</v>
      </c>
      <c r="E2057">
        <f>MONTH(OrdersTable[[#This Row],[Order Date]])</f>
        <v>12</v>
      </c>
      <c r="F2057" t="s">
        <v>150</v>
      </c>
      <c r="G2057" t="str">
        <f>IF(OrdersTable[[#This Row],[Order Date]]=_xlfn.MINIFS(Order_Date, Customer_ID, OrdersTable[[#This Row],[Customer ID]]), "New", "Repeat")</f>
        <v>Repeat</v>
      </c>
      <c r="H2057" t="s">
        <v>43</v>
      </c>
      <c r="I2057" t="str">
        <f>INDEX(State!B:B,MATCH(OrdersTable[[#This Row],[State]],State!A:A,0))</f>
        <v>MP</v>
      </c>
      <c r="J2057" t="str">
        <f>INDEX(State!C:C,MATCH(OrdersTable[[#This Row],[State Code]],State!B:B,0))</f>
        <v>West</v>
      </c>
      <c r="K2057" t="s">
        <v>44</v>
      </c>
      <c r="L2057" t="s">
        <v>16</v>
      </c>
      <c r="M2057" t="s">
        <v>34</v>
      </c>
      <c r="N2057" t="str">
        <f>INDEX(Products!B:B,MATCH(OrdersTable[[#This Row],[Product ID]],Products!A:A,0))</f>
        <v>Flip Flops</v>
      </c>
      <c r="O2057" t="str">
        <f>INDEX(Products!C:C,MATCH(OrdersTable[[#This Row],[Product ID]],Products!A:A,0))</f>
        <v>Footwear</v>
      </c>
      <c r="P2057">
        <v>3</v>
      </c>
      <c r="Q2057" s="5">
        <v>399</v>
      </c>
      <c r="R2057" s="74">
        <v>0.1</v>
      </c>
      <c r="S2057" s="75">
        <f>OrdersTable[[#This Row],[Quantity]]*OrdersTable[[#This Row],[Unit Price]]</f>
        <v>1197</v>
      </c>
      <c r="T2057" s="5">
        <f>OrdersTable[[#This Row],[Gross Sale]]*OrdersTable[[#This Row],[Discount_Clean2]]</f>
        <v>119.7</v>
      </c>
      <c r="U2057" s="5">
        <f>OrdersTable[[#This Row],[Gross Sale]]-OrdersTable[[#This Row],[Discount Amount]]</f>
        <v>1077.3</v>
      </c>
      <c r="V2057" s="77">
        <f>INDEX(Products!E:E,MATCH(OrdersTable[[#This Row],[Product ID]],Products!A:A,0))</f>
        <v>152</v>
      </c>
      <c r="W2057" s="77">
        <f>OrdersTable[[#This Row],[Quantity]]*OrdersTable[[#This Row],[Unit Cost]]</f>
        <v>456</v>
      </c>
      <c r="X2057" s="77">
        <f>'Dropdown Lists'!$I$2*(1+OrdersTable[[#This Row],[Returned]])</f>
        <v>60</v>
      </c>
      <c r="Y2057" s="76">
        <f>OrdersTable[[#This Row],[Net Revenue]]-OrdersTable[[#This Row],[COGS]]-OrdersTable[[#This Row],[Shipping Cost]]</f>
        <v>561.29999999999995</v>
      </c>
      <c r="Z2057" s="78">
        <f>IFERROR(OrdersTable[[#This Row],[Profit]]/OrdersTable[[#This Row],[Net Revenue]],0)</f>
        <v>0.52102478418267895</v>
      </c>
      <c r="AA2057" t="s">
        <v>3495</v>
      </c>
      <c r="AB2057" s="79">
        <v>45652</v>
      </c>
      <c r="AC2057">
        <f>OrdersTable[[#This Row],[Delivery Date]]-OrdersTable[[#This Row],[Order Date]]</f>
        <v>3</v>
      </c>
      <c r="AD2057" t="str">
        <f>IF(OrdersTable[[#This Row],[Delivery Days]]&lt;=2, "Express (≤2d)", IF(OrdersTable[[#This Row],[Delivery Days]]&lt;=4, "Standard (3-4d)", "Delayed (5d+)"))</f>
        <v>Standard (3-4d)</v>
      </c>
      <c r="AF2057">
        <v>0</v>
      </c>
    </row>
    <row r="2058" spans="1:32" ht="15" x14ac:dyDescent="0.35">
      <c r="A2058" t="s">
        <v>5159</v>
      </c>
      <c r="B2058" s="1">
        <v>45649</v>
      </c>
      <c r="C2058">
        <f>YEAR(OrdersTable[[#This Row],[Order Date]])</f>
        <v>2024</v>
      </c>
      <c r="D2058" s="2">
        <f>DATE(YEAR(OrdersTable[[#This Row],[Order Date]]),MONTH(OrdersTable[[#This Row],[Order Date]]),1)</f>
        <v>45627</v>
      </c>
      <c r="E2058">
        <f>MONTH(OrdersTable[[#This Row],[Order Date]])</f>
        <v>12</v>
      </c>
      <c r="F2058" t="s">
        <v>466</v>
      </c>
      <c r="G2058" t="str">
        <f>IF(OrdersTable[[#This Row],[Order Date]]=_xlfn.MINIFS(Order_Date, Customer_ID, OrdersTable[[#This Row],[Customer ID]]), "New", "Repeat")</f>
        <v>Repeat</v>
      </c>
      <c r="H2058" t="s">
        <v>43</v>
      </c>
      <c r="I2058" t="str">
        <f>INDEX(State!B:B,MATCH(OrdersTable[[#This Row],[State]],State!A:A,0))</f>
        <v>MP</v>
      </c>
      <c r="J2058" t="str">
        <f>INDEX(State!C:C,MATCH(OrdersTable[[#This Row],[State Code]],State!B:B,0))</f>
        <v>West</v>
      </c>
      <c r="K2058" t="s">
        <v>250</v>
      </c>
      <c r="L2058" t="s">
        <v>23</v>
      </c>
      <c r="M2058" t="s">
        <v>106</v>
      </c>
      <c r="N2058" t="str">
        <f>INDEX(Products!B:B,MATCH(OrdersTable[[#This Row],[Product ID]],Products!A:A,0))</f>
        <v>Keratin Hair Mask</v>
      </c>
      <c r="O2058" t="str">
        <f>INDEX(Products!C:C,MATCH(OrdersTable[[#This Row],[Product ID]],Products!A:A,0))</f>
        <v>Haircare</v>
      </c>
      <c r="P2058">
        <v>2</v>
      </c>
      <c r="Q2058" s="5">
        <v>549</v>
      </c>
      <c r="R2058" s="74">
        <v>0.25</v>
      </c>
      <c r="S2058" s="75">
        <f>OrdersTable[[#This Row],[Quantity]]*OrdersTable[[#This Row],[Unit Price]]</f>
        <v>1098</v>
      </c>
      <c r="T2058" s="5">
        <f>OrdersTable[[#This Row],[Gross Sale]]*OrdersTable[[#This Row],[Discount_Clean2]]</f>
        <v>274.5</v>
      </c>
      <c r="U2058" s="5">
        <f>OrdersTable[[#This Row],[Gross Sale]]-OrdersTable[[#This Row],[Discount Amount]]</f>
        <v>823.5</v>
      </c>
      <c r="V2058" s="77">
        <f>INDEX(Products!E:E,MATCH(OrdersTable[[#This Row],[Product ID]],Products!A:A,0))</f>
        <v>170</v>
      </c>
      <c r="W2058" s="77">
        <f>OrdersTable[[#This Row],[Quantity]]*OrdersTable[[#This Row],[Unit Cost]]</f>
        <v>340</v>
      </c>
      <c r="X2058" s="77">
        <f>'Dropdown Lists'!$I$2*(1+OrdersTable[[#This Row],[Returned]])</f>
        <v>60</v>
      </c>
      <c r="Y2058" s="76">
        <f>OrdersTable[[#This Row],[Net Revenue]]-OrdersTable[[#This Row],[COGS]]-OrdersTable[[#This Row],[Shipping Cost]]</f>
        <v>423.5</v>
      </c>
      <c r="Z2058" s="78">
        <f>IFERROR(OrdersTable[[#This Row],[Profit]]/OrdersTable[[#This Row],[Net Revenue]],0)</f>
        <v>0.51426836672738307</v>
      </c>
      <c r="AA2058" t="s">
        <v>3495</v>
      </c>
      <c r="AB2058" s="79">
        <v>45653</v>
      </c>
      <c r="AC2058">
        <f>OrdersTable[[#This Row],[Delivery Date]]-OrdersTable[[#This Row],[Order Date]]</f>
        <v>4</v>
      </c>
      <c r="AD2058" t="str">
        <f>IF(OrdersTable[[#This Row],[Delivery Days]]&lt;=2, "Express (≤2d)", IF(OrdersTable[[#This Row],[Delivery Days]]&lt;=4, "Standard (3-4d)", "Delayed (5d+)"))</f>
        <v>Standard (3-4d)</v>
      </c>
      <c r="AE2058">
        <v>4</v>
      </c>
      <c r="AF2058">
        <v>0</v>
      </c>
    </row>
    <row r="2059" spans="1:32" ht="15" x14ac:dyDescent="0.35">
      <c r="A2059" t="s">
        <v>6545</v>
      </c>
      <c r="B2059" s="1">
        <v>45649</v>
      </c>
      <c r="C2059">
        <f>YEAR(OrdersTable[[#This Row],[Order Date]])</f>
        <v>2024</v>
      </c>
      <c r="D2059" s="2">
        <f>DATE(YEAR(OrdersTable[[#This Row],[Order Date]]),MONTH(OrdersTable[[#This Row],[Order Date]]),1)</f>
        <v>45627</v>
      </c>
      <c r="E2059">
        <f>MONTH(OrdersTable[[#This Row],[Order Date]])</f>
        <v>12</v>
      </c>
      <c r="F2059" t="s">
        <v>1441</v>
      </c>
      <c r="G2059" t="str">
        <f>IF(OrdersTable[[#This Row],[Order Date]]=_xlfn.MINIFS(Order_Date, Customer_ID, OrdersTable[[#This Row],[Customer ID]]), "New", "Repeat")</f>
        <v>New</v>
      </c>
      <c r="H2059" t="s">
        <v>43</v>
      </c>
      <c r="I2059" t="str">
        <f>INDEX(State!B:B,MATCH(OrdersTable[[#This Row],[State]],State!A:A,0))</f>
        <v>MP</v>
      </c>
      <c r="J2059" t="str">
        <f>INDEX(State!C:C,MATCH(OrdersTable[[#This Row],[State Code]],State!B:B,0))</f>
        <v>West</v>
      </c>
      <c r="K2059" t="s">
        <v>250</v>
      </c>
      <c r="L2059" t="s">
        <v>23</v>
      </c>
      <c r="M2059" t="s">
        <v>66</v>
      </c>
      <c r="N2059" t="str">
        <f>INDEX(Products!B:B,MATCH(OrdersTable[[#This Row],[Product ID]],Products!A:A,0))</f>
        <v>Sunscreen SPF 50</v>
      </c>
      <c r="O2059" t="str">
        <f>INDEX(Products!C:C,MATCH(OrdersTable[[#This Row],[Product ID]],Products!A:A,0))</f>
        <v>Skincare</v>
      </c>
      <c r="P2059">
        <v>3</v>
      </c>
      <c r="Q2059" s="5">
        <v>449</v>
      </c>
      <c r="R2059" s="74">
        <v>0.05</v>
      </c>
      <c r="S2059" s="75">
        <f>OrdersTable[[#This Row],[Quantity]]*OrdersTable[[#This Row],[Unit Price]]</f>
        <v>1347</v>
      </c>
      <c r="T2059" s="5">
        <f>OrdersTable[[#This Row],[Gross Sale]]*OrdersTable[[#This Row],[Discount_Clean2]]</f>
        <v>67.350000000000009</v>
      </c>
      <c r="U2059" s="5">
        <f>OrdersTable[[#This Row],[Gross Sale]]-OrdersTable[[#This Row],[Discount Amount]]</f>
        <v>1279.6500000000001</v>
      </c>
      <c r="V2059" s="77">
        <f>INDEX(Products!E:E,MATCH(OrdersTable[[#This Row],[Product ID]],Products!A:A,0))</f>
        <v>144</v>
      </c>
      <c r="W2059" s="77">
        <f>OrdersTable[[#This Row],[Quantity]]*OrdersTable[[#This Row],[Unit Cost]]</f>
        <v>432</v>
      </c>
      <c r="X2059" s="77">
        <f>'Dropdown Lists'!$I$2*(1+OrdersTable[[#This Row],[Returned]])</f>
        <v>60</v>
      </c>
      <c r="Y2059" s="76">
        <f>OrdersTable[[#This Row],[Net Revenue]]-OrdersTable[[#This Row],[COGS]]-OrdersTable[[#This Row],[Shipping Cost]]</f>
        <v>787.65000000000009</v>
      </c>
      <c r="Z2059" s="78">
        <f>IFERROR(OrdersTable[[#This Row],[Profit]]/OrdersTable[[#This Row],[Net Revenue]],0)</f>
        <v>0.61551986871410158</v>
      </c>
      <c r="AA2059" t="s">
        <v>18</v>
      </c>
      <c r="AB2059" s="79">
        <v>45654</v>
      </c>
      <c r="AC2059">
        <f>OrdersTable[[#This Row],[Delivery Date]]-OrdersTable[[#This Row],[Order Date]]</f>
        <v>5</v>
      </c>
      <c r="AD2059" t="str">
        <f>IF(OrdersTable[[#This Row],[Delivery Days]]&lt;=2, "Express (≤2d)", IF(OrdersTable[[#This Row],[Delivery Days]]&lt;=4, "Standard (3-4d)", "Delayed (5d+)"))</f>
        <v>Delayed (5d+)</v>
      </c>
      <c r="AF2059">
        <v>0</v>
      </c>
    </row>
    <row r="2060" spans="1:32" ht="15" x14ac:dyDescent="0.35">
      <c r="A2060" t="s">
        <v>5695</v>
      </c>
      <c r="B2060" s="1">
        <v>45649</v>
      </c>
      <c r="C2060">
        <f>YEAR(OrdersTable[[#This Row],[Order Date]])</f>
        <v>2024</v>
      </c>
      <c r="D2060" s="2">
        <f>DATE(YEAR(OrdersTable[[#This Row],[Order Date]]),MONTH(OrdersTable[[#This Row],[Order Date]]),1)</f>
        <v>45627</v>
      </c>
      <c r="E2060">
        <f>MONTH(OrdersTable[[#This Row],[Order Date]])</f>
        <v>12</v>
      </c>
      <c r="F2060" t="s">
        <v>460</v>
      </c>
      <c r="G2060" t="str">
        <f>IF(OrdersTable[[#This Row],[Order Date]]=_xlfn.MINIFS(Order_Date, Customer_ID, OrdersTable[[#This Row],[Customer ID]]), "New", "Repeat")</f>
        <v>Repeat</v>
      </c>
      <c r="H2060" t="s">
        <v>43</v>
      </c>
      <c r="I2060" t="str">
        <f>INDEX(State!B:B,MATCH(OrdersTable[[#This Row],[State]],State!A:A,0))</f>
        <v>MP</v>
      </c>
      <c r="J2060" t="str">
        <f>INDEX(State!C:C,MATCH(OrdersTable[[#This Row],[State Code]],State!B:B,0))</f>
        <v>West</v>
      </c>
      <c r="K2060" t="s">
        <v>250</v>
      </c>
      <c r="L2060" t="s">
        <v>39</v>
      </c>
      <c r="M2060" t="s">
        <v>73</v>
      </c>
      <c r="N2060" t="str">
        <f>INDEX(Products!B:B,MATCH(OrdersTable[[#This Row],[Product ID]],Products!A:A,0))</f>
        <v>Hydrating Face Wash</v>
      </c>
      <c r="O2060" t="str">
        <f>INDEX(Products!C:C,MATCH(OrdersTable[[#This Row],[Product ID]],Products!A:A,0))</f>
        <v>Skincare</v>
      </c>
      <c r="P2060">
        <v>2</v>
      </c>
      <c r="Q2060" s="5">
        <v>299</v>
      </c>
      <c r="R2060" s="74">
        <v>0</v>
      </c>
      <c r="S2060" s="75">
        <f>OrdersTable[[#This Row],[Quantity]]*OrdersTable[[#This Row],[Unit Price]]</f>
        <v>598</v>
      </c>
      <c r="T2060" s="5">
        <f>OrdersTable[[#This Row],[Gross Sale]]*OrdersTable[[#This Row],[Discount_Clean2]]</f>
        <v>0</v>
      </c>
      <c r="U2060" s="5">
        <f>OrdersTable[[#This Row],[Gross Sale]]-OrdersTable[[#This Row],[Discount Amount]]</f>
        <v>598</v>
      </c>
      <c r="V2060" s="77">
        <f>INDEX(Products!E:E,MATCH(OrdersTable[[#This Row],[Product ID]],Products!A:A,0))</f>
        <v>90</v>
      </c>
      <c r="W2060" s="77">
        <f>OrdersTable[[#This Row],[Quantity]]*OrdersTable[[#This Row],[Unit Cost]]</f>
        <v>180</v>
      </c>
      <c r="X2060" s="77">
        <f>'Dropdown Lists'!$I$2*(1+OrdersTable[[#This Row],[Returned]])</f>
        <v>60</v>
      </c>
      <c r="Y2060" s="76">
        <f>OrdersTable[[#This Row],[Net Revenue]]-OrdersTable[[#This Row],[COGS]]-OrdersTable[[#This Row],[Shipping Cost]]</f>
        <v>358</v>
      </c>
      <c r="Z2060" s="78">
        <f>IFERROR(OrdersTable[[#This Row],[Profit]]/OrdersTable[[#This Row],[Net Revenue]],0)</f>
        <v>0.59866220735785958</v>
      </c>
      <c r="AA2060" t="s">
        <v>18</v>
      </c>
      <c r="AB2060" s="79">
        <v>45655</v>
      </c>
      <c r="AC2060">
        <f>OrdersTable[[#This Row],[Delivery Date]]-OrdersTable[[#This Row],[Order Date]]</f>
        <v>6</v>
      </c>
      <c r="AD2060" t="str">
        <f>IF(OrdersTable[[#This Row],[Delivery Days]]&lt;=2, "Express (≤2d)", IF(OrdersTable[[#This Row],[Delivery Days]]&lt;=4, "Standard (3-4d)", "Delayed (5d+)"))</f>
        <v>Delayed (5d+)</v>
      </c>
      <c r="AE2060">
        <v>3</v>
      </c>
      <c r="AF2060">
        <v>0</v>
      </c>
    </row>
    <row r="2061" spans="1:32" ht="15" x14ac:dyDescent="0.35">
      <c r="A2061" t="s">
        <v>544</v>
      </c>
      <c r="B2061" s="1">
        <v>45649</v>
      </c>
      <c r="C2061">
        <f>YEAR(OrdersTable[[#This Row],[Order Date]])</f>
        <v>2024</v>
      </c>
      <c r="D2061" s="2">
        <f>DATE(YEAR(OrdersTable[[#This Row],[Order Date]]),MONTH(OrdersTable[[#This Row],[Order Date]]),1)</f>
        <v>45627</v>
      </c>
      <c r="E2061">
        <f>MONTH(OrdersTable[[#This Row],[Order Date]])</f>
        <v>12</v>
      </c>
      <c r="F2061" t="s">
        <v>545</v>
      </c>
      <c r="G2061" t="str">
        <f>IF(OrdersTable[[#This Row],[Order Date]]=_xlfn.MINIFS(Order_Date, Customer_ID, OrdersTable[[#This Row],[Customer ID]]), "New", "Repeat")</f>
        <v>Repeat</v>
      </c>
      <c r="H2061" t="s">
        <v>43</v>
      </c>
      <c r="I2061" t="str">
        <f>INDEX(State!B:B,MATCH(OrdersTable[[#This Row],[State]],State!A:A,0))</f>
        <v>MP</v>
      </c>
      <c r="J2061" t="str">
        <f>INDEX(State!C:C,MATCH(OrdersTable[[#This Row],[State Code]],State!B:B,0))</f>
        <v>West</v>
      </c>
      <c r="K2061" t="s">
        <v>44</v>
      </c>
      <c r="L2061" t="s">
        <v>16</v>
      </c>
      <c r="M2061" t="s">
        <v>34</v>
      </c>
      <c r="N2061" t="str">
        <f>INDEX(Products!B:B,MATCH(OrdersTable[[#This Row],[Product ID]],Products!A:A,0))</f>
        <v>Flip Flops</v>
      </c>
      <c r="O2061" t="str">
        <f>INDEX(Products!C:C,MATCH(OrdersTable[[#This Row],[Product ID]],Products!A:A,0))</f>
        <v>Footwear</v>
      </c>
      <c r="P2061">
        <v>1</v>
      </c>
      <c r="Q2061" s="5">
        <v>399</v>
      </c>
      <c r="R2061" s="74">
        <v>0.05</v>
      </c>
      <c r="S2061" s="75">
        <f>OrdersTable[[#This Row],[Quantity]]*OrdersTable[[#This Row],[Unit Price]]</f>
        <v>399</v>
      </c>
      <c r="T2061" s="5">
        <f>OrdersTable[[#This Row],[Gross Sale]]*OrdersTable[[#This Row],[Discount_Clean2]]</f>
        <v>19.950000000000003</v>
      </c>
      <c r="U2061" s="5">
        <f>OrdersTable[[#This Row],[Gross Sale]]-OrdersTable[[#This Row],[Discount Amount]]</f>
        <v>379.05</v>
      </c>
      <c r="V2061" s="77">
        <f>INDEX(Products!E:E,MATCH(OrdersTable[[#This Row],[Product ID]],Products!A:A,0))</f>
        <v>152</v>
      </c>
      <c r="W2061" s="77">
        <f>OrdersTable[[#This Row],[Quantity]]*OrdersTable[[#This Row],[Unit Cost]]</f>
        <v>152</v>
      </c>
      <c r="X2061" s="77">
        <f>'Dropdown Lists'!$I$2*(1+OrdersTable[[#This Row],[Returned]])</f>
        <v>60</v>
      </c>
      <c r="Y2061" s="76">
        <f>OrdersTable[[#This Row],[Net Revenue]]-OrdersTable[[#This Row],[COGS]]-OrdersTable[[#This Row],[Shipping Cost]]</f>
        <v>167.05</v>
      </c>
      <c r="Z2061" s="78">
        <f>IFERROR(OrdersTable[[#This Row],[Profit]]/OrdersTable[[#This Row],[Net Revenue]],0)</f>
        <v>0.44070703073473161</v>
      </c>
      <c r="AA2061" t="s">
        <v>18</v>
      </c>
      <c r="AB2061" s="79">
        <v>45651</v>
      </c>
      <c r="AC2061">
        <f>OrdersTable[[#This Row],[Delivery Date]]-OrdersTable[[#This Row],[Order Date]]</f>
        <v>2</v>
      </c>
      <c r="AD2061" t="str">
        <f>IF(OrdersTable[[#This Row],[Delivery Days]]&lt;=2, "Express (≤2d)", IF(OrdersTable[[#This Row],[Delivery Days]]&lt;=4, "Standard (3-4d)", "Delayed (5d+)"))</f>
        <v>Express (≤2d)</v>
      </c>
      <c r="AE2061">
        <v>4</v>
      </c>
      <c r="AF2061">
        <v>0</v>
      </c>
    </row>
    <row r="2062" spans="1:32" ht="15" x14ac:dyDescent="0.35">
      <c r="A2062" t="s">
        <v>6129</v>
      </c>
      <c r="B2062" s="1">
        <v>45649</v>
      </c>
      <c r="C2062">
        <f>YEAR(OrdersTable[[#This Row],[Order Date]])</f>
        <v>2024</v>
      </c>
      <c r="D2062" s="2">
        <f>DATE(YEAR(OrdersTable[[#This Row],[Order Date]]),MONTH(OrdersTable[[#This Row],[Order Date]]),1)</f>
        <v>45627</v>
      </c>
      <c r="E2062">
        <f>MONTH(OrdersTable[[#This Row],[Order Date]])</f>
        <v>12</v>
      </c>
      <c r="F2062" t="s">
        <v>6130</v>
      </c>
      <c r="G2062" t="str">
        <f>IF(OrdersTable[[#This Row],[Order Date]]=_xlfn.MINIFS(Order_Date, Customer_ID, OrdersTable[[#This Row],[Customer ID]]), "New", "Repeat")</f>
        <v>New</v>
      </c>
      <c r="H2062" t="s">
        <v>27</v>
      </c>
      <c r="I2062" t="str">
        <f>INDEX(State!B:B,MATCH(OrdersTable[[#This Row],[State]],State!A:A,0))</f>
        <v>WB</v>
      </c>
      <c r="J2062" t="str">
        <f>INDEX(State!C:C,MATCH(OrdersTable[[#This Row],[State Code]],State!B:B,0))</f>
        <v>East</v>
      </c>
      <c r="K2062" t="s">
        <v>28</v>
      </c>
      <c r="L2062" t="s">
        <v>39</v>
      </c>
      <c r="M2062" t="s">
        <v>40</v>
      </c>
      <c r="N2062" t="str">
        <f>INDEX(Products!B:B,MATCH(OrdersTable[[#This Row],[Product ID]],Products!A:A,0))</f>
        <v>Ashwagandha Capsules</v>
      </c>
      <c r="O2062" t="str">
        <f>INDEX(Products!C:C,MATCH(OrdersTable[[#This Row],[Product ID]],Products!A:A,0))</f>
        <v>Wellness</v>
      </c>
      <c r="P2062">
        <v>2</v>
      </c>
      <c r="Q2062" s="5">
        <v>499</v>
      </c>
      <c r="R2062" s="74">
        <v>0</v>
      </c>
      <c r="S2062" s="75">
        <f>OrdersTable[[#This Row],[Quantity]]*OrdersTable[[#This Row],[Unit Price]]</f>
        <v>998</v>
      </c>
      <c r="T2062" s="5">
        <f>OrdersTable[[#This Row],[Gross Sale]]*OrdersTable[[#This Row],[Discount_Clean2]]</f>
        <v>0</v>
      </c>
      <c r="U2062" s="5">
        <f>OrdersTable[[#This Row],[Gross Sale]]-OrdersTable[[#This Row],[Discount Amount]]</f>
        <v>998</v>
      </c>
      <c r="V2062" s="77">
        <f>INDEX(Products!E:E,MATCH(OrdersTable[[#This Row],[Product ID]],Products!A:A,0))</f>
        <v>150</v>
      </c>
      <c r="W2062" s="77">
        <f>OrdersTable[[#This Row],[Quantity]]*OrdersTable[[#This Row],[Unit Cost]]</f>
        <v>300</v>
      </c>
      <c r="X2062" s="77">
        <f>'Dropdown Lists'!$I$2*(1+OrdersTable[[#This Row],[Returned]])</f>
        <v>60</v>
      </c>
      <c r="Y2062" s="76">
        <f>OrdersTable[[#This Row],[Net Revenue]]-OrdersTable[[#This Row],[COGS]]-OrdersTable[[#This Row],[Shipping Cost]]</f>
        <v>638</v>
      </c>
      <c r="Z2062" s="78">
        <f>IFERROR(OrdersTable[[#This Row],[Profit]]/OrdersTable[[#This Row],[Net Revenue]],0)</f>
        <v>0.63927855711422843</v>
      </c>
      <c r="AA2062" t="s">
        <v>18</v>
      </c>
      <c r="AB2062" s="79">
        <v>45653</v>
      </c>
      <c r="AC2062">
        <f>OrdersTable[[#This Row],[Delivery Date]]-OrdersTable[[#This Row],[Order Date]]</f>
        <v>4</v>
      </c>
      <c r="AD2062" t="str">
        <f>IF(OrdersTable[[#This Row],[Delivery Days]]&lt;=2, "Express (≤2d)", IF(OrdersTable[[#This Row],[Delivery Days]]&lt;=4, "Standard (3-4d)", "Delayed (5d+)"))</f>
        <v>Standard (3-4d)</v>
      </c>
      <c r="AE2062">
        <v>4</v>
      </c>
      <c r="AF2062">
        <v>0</v>
      </c>
    </row>
    <row r="2063" spans="1:32" ht="15" x14ac:dyDescent="0.35">
      <c r="A2063" t="s">
        <v>3005</v>
      </c>
      <c r="B2063" s="1">
        <v>45649</v>
      </c>
      <c r="C2063">
        <f>YEAR(OrdersTable[[#This Row],[Order Date]])</f>
        <v>2024</v>
      </c>
      <c r="D2063" s="2">
        <f>DATE(YEAR(OrdersTable[[#This Row],[Order Date]]),MONTH(OrdersTable[[#This Row],[Order Date]]),1)</f>
        <v>45627</v>
      </c>
      <c r="E2063">
        <f>MONTH(OrdersTable[[#This Row],[Order Date]])</f>
        <v>12</v>
      </c>
      <c r="F2063" t="s">
        <v>3006</v>
      </c>
      <c r="G2063" t="str">
        <f>IF(OrdersTable[[#This Row],[Order Date]]=_xlfn.MINIFS(Order_Date, Customer_ID, OrdersTable[[#This Row],[Customer ID]]), "New", "Repeat")</f>
        <v>New</v>
      </c>
      <c r="H2063" t="s">
        <v>27</v>
      </c>
      <c r="I2063" t="str">
        <f>INDEX(State!B:B,MATCH(OrdersTable[[#This Row],[State]],State!A:A,0))</f>
        <v>WB</v>
      </c>
      <c r="J2063" t="str">
        <f>INDEX(State!C:C,MATCH(OrdersTable[[#This Row],[State Code]],State!B:B,0))</f>
        <v>East</v>
      </c>
      <c r="K2063" t="s">
        <v>28</v>
      </c>
      <c r="L2063" t="s">
        <v>65</v>
      </c>
      <c r="M2063" t="s">
        <v>84</v>
      </c>
      <c r="N2063" t="str">
        <f>INDEX(Products!B:B,MATCH(OrdersTable[[#This Row],[Product ID]],Products!A:A,0))</f>
        <v>Cotton Bedsheet</v>
      </c>
      <c r="O2063" t="str">
        <f>INDEX(Products!C:C,MATCH(OrdersTable[[#This Row],[Product ID]],Products!A:A,0))</f>
        <v>Home &amp; Kitchen</v>
      </c>
      <c r="P2063">
        <v>1</v>
      </c>
      <c r="Q2063" s="5">
        <v>1299</v>
      </c>
      <c r="R2063" s="74">
        <v>0</v>
      </c>
      <c r="S2063" s="75">
        <f>OrdersTable[[#This Row],[Quantity]]*OrdersTable[[#This Row],[Unit Price]]</f>
        <v>1299</v>
      </c>
      <c r="T2063" s="5">
        <f>OrdersTable[[#This Row],[Gross Sale]]*OrdersTable[[#This Row],[Discount_Clean2]]</f>
        <v>0</v>
      </c>
      <c r="U2063" s="5">
        <f>OrdersTable[[#This Row],[Gross Sale]]-OrdersTable[[#This Row],[Discount Amount]]</f>
        <v>1299</v>
      </c>
      <c r="V2063" s="77">
        <f>INDEX(Products!E:E,MATCH(OrdersTable[[#This Row],[Product ID]],Products!A:A,0))</f>
        <v>585</v>
      </c>
      <c r="W2063" s="77">
        <f>OrdersTable[[#This Row],[Quantity]]*OrdersTable[[#This Row],[Unit Cost]]</f>
        <v>585</v>
      </c>
      <c r="X2063" s="77">
        <f>'Dropdown Lists'!$I$2*(1+OrdersTable[[#This Row],[Returned]])</f>
        <v>60</v>
      </c>
      <c r="Y2063" s="76">
        <f>OrdersTable[[#This Row],[Net Revenue]]-OrdersTable[[#This Row],[COGS]]-OrdersTable[[#This Row],[Shipping Cost]]</f>
        <v>654</v>
      </c>
      <c r="Z2063" s="78">
        <f>IFERROR(OrdersTable[[#This Row],[Profit]]/OrdersTable[[#This Row],[Net Revenue]],0)</f>
        <v>0.50346420323325636</v>
      </c>
      <c r="AA2063" t="s">
        <v>2522</v>
      </c>
      <c r="AB2063" s="79">
        <v>45652</v>
      </c>
      <c r="AC2063">
        <f>OrdersTable[[#This Row],[Delivery Date]]-OrdersTable[[#This Row],[Order Date]]</f>
        <v>3</v>
      </c>
      <c r="AD2063" t="str">
        <f>IF(OrdersTable[[#This Row],[Delivery Days]]&lt;=2, "Express (≤2d)", IF(OrdersTable[[#This Row],[Delivery Days]]&lt;=4, "Standard (3-4d)", "Delayed (5d+)"))</f>
        <v>Standard (3-4d)</v>
      </c>
      <c r="AF2063">
        <v>0</v>
      </c>
    </row>
    <row r="2064" spans="1:32" ht="15" x14ac:dyDescent="0.35">
      <c r="A2064" t="s">
        <v>6330</v>
      </c>
      <c r="B2064" s="1">
        <v>45649</v>
      </c>
      <c r="C2064">
        <f>YEAR(OrdersTable[[#This Row],[Order Date]])</f>
        <v>2024</v>
      </c>
      <c r="D2064" s="2">
        <f>DATE(YEAR(OrdersTable[[#This Row],[Order Date]]),MONTH(OrdersTable[[#This Row],[Order Date]]),1)</f>
        <v>45627</v>
      </c>
      <c r="E2064">
        <f>MONTH(OrdersTable[[#This Row],[Order Date]])</f>
        <v>12</v>
      </c>
      <c r="F2064" t="s">
        <v>1245</v>
      </c>
      <c r="G2064" t="str">
        <f>IF(OrdersTable[[#This Row],[Order Date]]=_xlfn.MINIFS(Order_Date, Customer_ID, OrdersTable[[#This Row],[Customer ID]]), "New", "Repeat")</f>
        <v>Repeat</v>
      </c>
      <c r="H2064" t="s">
        <v>71</v>
      </c>
      <c r="I2064" t="str">
        <f>INDEX(State!B:B,MATCH(OrdersTable[[#This Row],[State]],State!A:A,0))</f>
        <v>MH</v>
      </c>
      <c r="J2064" t="str">
        <f>INDEX(State!C:C,MATCH(OrdersTable[[#This Row],[State Code]],State!B:B,0))</f>
        <v>West</v>
      </c>
      <c r="K2064" t="s">
        <v>81</v>
      </c>
      <c r="L2064" t="s">
        <v>39</v>
      </c>
      <c r="M2064" t="s">
        <v>152</v>
      </c>
      <c r="N2064" t="str">
        <f>INDEX(Products!B:B,MATCH(OrdersTable[[#This Row],[Product ID]],Products!A:A,0))</f>
        <v>Green Tea (100 bags)</v>
      </c>
      <c r="O2064" t="str">
        <f>INDEX(Products!C:C,MATCH(OrdersTable[[#This Row],[Product ID]],Products!A:A,0))</f>
        <v>Wellness</v>
      </c>
      <c r="P2064">
        <v>2</v>
      </c>
      <c r="Q2064" s="5">
        <v>399</v>
      </c>
      <c r="R2064" s="74">
        <v>0.3</v>
      </c>
      <c r="S2064" s="75">
        <f>OrdersTable[[#This Row],[Quantity]]*OrdersTable[[#This Row],[Unit Price]]</f>
        <v>798</v>
      </c>
      <c r="T2064" s="5">
        <f>OrdersTable[[#This Row],[Gross Sale]]*OrdersTable[[#This Row],[Discount_Clean2]]</f>
        <v>239.39999999999998</v>
      </c>
      <c r="U2064" s="5">
        <f>OrdersTable[[#This Row],[Gross Sale]]-OrdersTable[[#This Row],[Discount Amount]]</f>
        <v>558.6</v>
      </c>
      <c r="V2064" s="77">
        <f>INDEX(Products!E:E,MATCH(OrdersTable[[#This Row],[Product ID]],Products!A:A,0))</f>
        <v>128</v>
      </c>
      <c r="W2064" s="77">
        <f>OrdersTable[[#This Row],[Quantity]]*OrdersTable[[#This Row],[Unit Cost]]</f>
        <v>256</v>
      </c>
      <c r="X2064" s="77">
        <f>'Dropdown Lists'!$I$2*(1+OrdersTable[[#This Row],[Returned]])</f>
        <v>60</v>
      </c>
      <c r="Y2064" s="76">
        <f>OrdersTable[[#This Row],[Net Revenue]]-OrdersTable[[#This Row],[COGS]]-OrdersTable[[#This Row],[Shipping Cost]]</f>
        <v>242.60000000000002</v>
      </c>
      <c r="Z2064" s="78">
        <f>IFERROR(OrdersTable[[#This Row],[Profit]]/OrdersTable[[#This Row],[Net Revenue]],0)</f>
        <v>0.43430003580379523</v>
      </c>
      <c r="AA2064" t="s">
        <v>18</v>
      </c>
      <c r="AB2064" s="79">
        <v>45652</v>
      </c>
      <c r="AC2064">
        <f>OrdersTable[[#This Row],[Delivery Date]]-OrdersTable[[#This Row],[Order Date]]</f>
        <v>3</v>
      </c>
      <c r="AD2064" t="str">
        <f>IF(OrdersTable[[#This Row],[Delivery Days]]&lt;=2, "Express (≤2d)", IF(OrdersTable[[#This Row],[Delivery Days]]&lt;=4, "Standard (3-4d)", "Delayed (5d+)"))</f>
        <v>Standard (3-4d)</v>
      </c>
      <c r="AF2064">
        <v>0</v>
      </c>
    </row>
    <row r="2065" spans="1:32" ht="15" x14ac:dyDescent="0.35">
      <c r="A2065" t="s">
        <v>3432</v>
      </c>
      <c r="B2065" s="1">
        <v>45649</v>
      </c>
      <c r="C2065">
        <f>YEAR(OrdersTable[[#This Row],[Order Date]])</f>
        <v>2024</v>
      </c>
      <c r="D2065" s="2">
        <f>DATE(YEAR(OrdersTable[[#This Row],[Order Date]]),MONTH(OrdersTable[[#This Row],[Order Date]]),1)</f>
        <v>45627</v>
      </c>
      <c r="E2065">
        <f>MONTH(OrdersTable[[#This Row],[Order Date]])</f>
        <v>12</v>
      </c>
      <c r="F2065" t="s">
        <v>506</v>
      </c>
      <c r="G2065" t="str">
        <f>IF(OrdersTable[[#This Row],[Order Date]]=_xlfn.MINIFS(Order_Date, Customer_ID, OrdersTable[[#This Row],[Customer ID]]), "New", "Repeat")</f>
        <v>Repeat</v>
      </c>
      <c r="H2065" t="s">
        <v>71</v>
      </c>
      <c r="I2065" t="str">
        <f>INDEX(State!B:B,MATCH(OrdersTable[[#This Row],[State]],State!A:A,0))</f>
        <v>MH</v>
      </c>
      <c r="J2065" t="str">
        <f>INDEX(State!C:C,MATCH(OrdersTable[[#This Row],[State Code]],State!B:B,0))</f>
        <v>West</v>
      </c>
      <c r="K2065" t="s">
        <v>102</v>
      </c>
      <c r="L2065" t="s">
        <v>65</v>
      </c>
      <c r="M2065" t="s">
        <v>84</v>
      </c>
      <c r="N2065" t="str">
        <f>INDEX(Products!B:B,MATCH(OrdersTable[[#This Row],[Product ID]],Products!A:A,0))</f>
        <v>Cotton Bedsheet</v>
      </c>
      <c r="O2065" t="str">
        <f>INDEX(Products!C:C,MATCH(OrdersTable[[#This Row],[Product ID]],Products!A:A,0))</f>
        <v>Home &amp; Kitchen</v>
      </c>
      <c r="P2065">
        <v>1</v>
      </c>
      <c r="Q2065" s="5">
        <v>1299</v>
      </c>
      <c r="R2065" s="74">
        <v>0</v>
      </c>
      <c r="S2065" s="75">
        <f>OrdersTable[[#This Row],[Quantity]]*OrdersTable[[#This Row],[Unit Price]]</f>
        <v>1299</v>
      </c>
      <c r="T2065" s="5">
        <f>OrdersTable[[#This Row],[Gross Sale]]*OrdersTable[[#This Row],[Discount_Clean2]]</f>
        <v>0</v>
      </c>
      <c r="U2065" s="5">
        <f>OrdersTable[[#This Row],[Gross Sale]]-OrdersTable[[#This Row],[Discount Amount]]</f>
        <v>1299</v>
      </c>
      <c r="V2065" s="77">
        <f>INDEX(Products!E:E,MATCH(OrdersTable[[#This Row],[Product ID]],Products!A:A,0))</f>
        <v>585</v>
      </c>
      <c r="W2065" s="77">
        <f>OrdersTable[[#This Row],[Quantity]]*OrdersTable[[#This Row],[Unit Cost]]</f>
        <v>585</v>
      </c>
      <c r="X2065" s="77">
        <f>'Dropdown Lists'!$I$2*(1+OrdersTable[[#This Row],[Returned]])</f>
        <v>60</v>
      </c>
      <c r="Y2065" s="76">
        <f>OrdersTable[[#This Row],[Net Revenue]]-OrdersTable[[#This Row],[COGS]]-OrdersTable[[#This Row],[Shipping Cost]]</f>
        <v>654</v>
      </c>
      <c r="Z2065" s="78">
        <f>IFERROR(OrdersTable[[#This Row],[Profit]]/OrdersTable[[#This Row],[Net Revenue]],0)</f>
        <v>0.50346420323325636</v>
      </c>
      <c r="AA2065" t="s">
        <v>2522</v>
      </c>
      <c r="AB2065" s="79">
        <v>45651</v>
      </c>
      <c r="AC2065">
        <f>OrdersTable[[#This Row],[Delivery Date]]-OrdersTable[[#This Row],[Order Date]]</f>
        <v>2</v>
      </c>
      <c r="AD2065" t="str">
        <f>IF(OrdersTable[[#This Row],[Delivery Days]]&lt;=2, "Express (≤2d)", IF(OrdersTable[[#This Row],[Delivery Days]]&lt;=4, "Standard (3-4d)", "Delayed (5d+)"))</f>
        <v>Express (≤2d)</v>
      </c>
      <c r="AE2065">
        <v>4</v>
      </c>
      <c r="AF2065">
        <v>0</v>
      </c>
    </row>
    <row r="2066" spans="1:32" ht="15" x14ac:dyDescent="0.35">
      <c r="A2066" t="s">
        <v>6131</v>
      </c>
      <c r="B2066" s="1">
        <v>45649</v>
      </c>
      <c r="C2066">
        <f>YEAR(OrdersTable[[#This Row],[Order Date]])</f>
        <v>2024</v>
      </c>
      <c r="D2066" s="2">
        <f>DATE(YEAR(OrdersTable[[#This Row],[Order Date]]),MONTH(OrdersTable[[#This Row],[Order Date]]),1)</f>
        <v>45627</v>
      </c>
      <c r="E2066">
        <f>MONTH(OrdersTable[[#This Row],[Order Date]])</f>
        <v>12</v>
      </c>
      <c r="F2066" t="s">
        <v>6132</v>
      </c>
      <c r="G2066" t="str">
        <f>IF(OrdersTable[[#This Row],[Order Date]]=_xlfn.MINIFS(Order_Date, Customer_ID, OrdersTable[[#This Row],[Customer ID]]), "New", "Repeat")</f>
        <v>New</v>
      </c>
      <c r="H2066" t="s">
        <v>59</v>
      </c>
      <c r="I2066" t="str">
        <f>INDEX(State!B:B,MATCH(OrdersTable[[#This Row],[State]],State!A:A,0))</f>
        <v>TN</v>
      </c>
      <c r="J2066" t="str">
        <f>INDEX(State!C:C,MATCH(OrdersTable[[#This Row],[State Code]],State!B:B,0))</f>
        <v>South</v>
      </c>
      <c r="K2066" t="s">
        <v>60</v>
      </c>
      <c r="L2066" t="s">
        <v>65</v>
      </c>
      <c r="M2066" t="s">
        <v>29</v>
      </c>
      <c r="N2066" t="str">
        <f>INDEX(Products!B:B,MATCH(OrdersTable[[#This Row],[Product ID]],Products!A:A,0))</f>
        <v>Joggers</v>
      </c>
      <c r="O2066" t="str">
        <f>INDEX(Products!C:C,MATCH(OrdersTable[[#This Row],[Product ID]],Products!A:A,0))</f>
        <v>Apparel</v>
      </c>
      <c r="P2066">
        <v>2</v>
      </c>
      <c r="Q2066" s="5">
        <v>1199</v>
      </c>
      <c r="R2066" s="74">
        <v>0.1</v>
      </c>
      <c r="S2066" s="75">
        <f>OrdersTable[[#This Row],[Quantity]]*OrdersTable[[#This Row],[Unit Price]]</f>
        <v>2398</v>
      </c>
      <c r="T2066" s="5">
        <f>OrdersTable[[#This Row],[Gross Sale]]*OrdersTable[[#This Row],[Discount_Clean2]]</f>
        <v>239.8</v>
      </c>
      <c r="U2066" s="5">
        <f>OrdersTable[[#This Row],[Gross Sale]]-OrdersTable[[#This Row],[Discount Amount]]</f>
        <v>2158.1999999999998</v>
      </c>
      <c r="V2066" s="77">
        <f>INDEX(Products!E:E,MATCH(OrdersTable[[#This Row],[Product ID]],Products!A:A,0))</f>
        <v>492</v>
      </c>
      <c r="W2066" s="77">
        <f>OrdersTable[[#This Row],[Quantity]]*OrdersTable[[#This Row],[Unit Cost]]</f>
        <v>984</v>
      </c>
      <c r="X2066" s="77">
        <f>'Dropdown Lists'!$I$2*(1+OrdersTable[[#This Row],[Returned]])</f>
        <v>60</v>
      </c>
      <c r="Y2066" s="76">
        <f>OrdersTable[[#This Row],[Net Revenue]]-OrdersTable[[#This Row],[COGS]]-OrdersTable[[#This Row],[Shipping Cost]]</f>
        <v>1114.1999999999998</v>
      </c>
      <c r="Z2066" s="78">
        <f>IFERROR(OrdersTable[[#This Row],[Profit]]/OrdersTable[[#This Row],[Net Revenue]],0)</f>
        <v>0.51626355296080062</v>
      </c>
      <c r="AA2066" t="s">
        <v>18</v>
      </c>
      <c r="AB2066" s="79">
        <v>45653</v>
      </c>
      <c r="AC2066">
        <f>OrdersTable[[#This Row],[Delivery Date]]-OrdersTable[[#This Row],[Order Date]]</f>
        <v>4</v>
      </c>
      <c r="AD2066" t="str">
        <f>IF(OrdersTable[[#This Row],[Delivery Days]]&lt;=2, "Express (≤2d)", IF(OrdersTable[[#This Row],[Delivery Days]]&lt;=4, "Standard (3-4d)", "Delayed (5d+)"))</f>
        <v>Standard (3-4d)</v>
      </c>
      <c r="AE2066">
        <v>4</v>
      </c>
      <c r="AF2066">
        <v>0</v>
      </c>
    </row>
    <row r="2067" spans="1:32" ht="15" x14ac:dyDescent="0.35">
      <c r="A2067" t="s">
        <v>1158</v>
      </c>
      <c r="B2067" s="1">
        <v>45649</v>
      </c>
      <c r="C2067">
        <f>YEAR(OrdersTable[[#This Row],[Order Date]])</f>
        <v>2024</v>
      </c>
      <c r="D2067" s="2">
        <f>DATE(YEAR(OrdersTable[[#This Row],[Order Date]]),MONTH(OrdersTable[[#This Row],[Order Date]]),1)</f>
        <v>45627</v>
      </c>
      <c r="E2067">
        <f>MONTH(OrdersTable[[#This Row],[Order Date]])</f>
        <v>12</v>
      </c>
      <c r="F2067" t="s">
        <v>1159</v>
      </c>
      <c r="G2067" t="str">
        <f>IF(OrdersTable[[#This Row],[Order Date]]=_xlfn.MINIFS(Order_Date, Customer_ID, OrdersTable[[#This Row],[Customer ID]]), "New", "Repeat")</f>
        <v>New</v>
      </c>
      <c r="H2067" t="s">
        <v>59</v>
      </c>
      <c r="I2067" t="str">
        <f>INDEX(State!B:B,MATCH(OrdersTable[[#This Row],[State]],State!A:A,0))</f>
        <v>TN</v>
      </c>
      <c r="J2067" t="str">
        <f>INDEX(State!C:C,MATCH(OrdersTable[[#This Row],[State Code]],State!B:B,0))</f>
        <v>South</v>
      </c>
      <c r="K2067" t="s">
        <v>64</v>
      </c>
      <c r="L2067" t="s">
        <v>50</v>
      </c>
      <c r="M2067" t="s">
        <v>73</v>
      </c>
      <c r="N2067" t="str">
        <f>INDEX(Products!B:B,MATCH(OrdersTable[[#This Row],[Product ID]],Products!A:A,0))</f>
        <v>Hydrating Face Wash</v>
      </c>
      <c r="O2067" t="str">
        <f>INDEX(Products!C:C,MATCH(OrdersTable[[#This Row],[Product ID]],Products!A:A,0))</f>
        <v>Skincare</v>
      </c>
      <c r="P2067">
        <v>1</v>
      </c>
      <c r="Q2067" s="5">
        <v>299</v>
      </c>
      <c r="R2067" s="74">
        <v>0</v>
      </c>
      <c r="S2067" s="75">
        <f>OrdersTable[[#This Row],[Quantity]]*OrdersTable[[#This Row],[Unit Price]]</f>
        <v>299</v>
      </c>
      <c r="T2067" s="5">
        <f>OrdersTable[[#This Row],[Gross Sale]]*OrdersTable[[#This Row],[Discount_Clean2]]</f>
        <v>0</v>
      </c>
      <c r="U2067" s="5">
        <f>OrdersTable[[#This Row],[Gross Sale]]-OrdersTable[[#This Row],[Discount Amount]]</f>
        <v>299</v>
      </c>
      <c r="V2067" s="77">
        <f>INDEX(Products!E:E,MATCH(OrdersTable[[#This Row],[Product ID]],Products!A:A,0))</f>
        <v>90</v>
      </c>
      <c r="W2067" s="77">
        <f>OrdersTable[[#This Row],[Quantity]]*OrdersTable[[#This Row],[Unit Cost]]</f>
        <v>90</v>
      </c>
      <c r="X2067" s="77">
        <f>'Dropdown Lists'!$I$2*(1+OrdersTable[[#This Row],[Returned]])</f>
        <v>60</v>
      </c>
      <c r="Y2067" s="76">
        <f>OrdersTable[[#This Row],[Net Revenue]]-OrdersTable[[#This Row],[COGS]]-OrdersTable[[#This Row],[Shipping Cost]]</f>
        <v>149</v>
      </c>
      <c r="Z2067" s="78">
        <f>IFERROR(OrdersTable[[#This Row],[Profit]]/OrdersTable[[#This Row],[Net Revenue]],0)</f>
        <v>0.49832775919732442</v>
      </c>
      <c r="AA2067" t="s">
        <v>18</v>
      </c>
      <c r="AB2067" s="79">
        <v>45652</v>
      </c>
      <c r="AC2067">
        <f>OrdersTable[[#This Row],[Delivery Date]]-OrdersTable[[#This Row],[Order Date]]</f>
        <v>3</v>
      </c>
      <c r="AD2067" t="str">
        <f>IF(OrdersTable[[#This Row],[Delivery Days]]&lt;=2, "Express (≤2d)", IF(OrdersTable[[#This Row],[Delivery Days]]&lt;=4, "Standard (3-4d)", "Delayed (5d+)"))</f>
        <v>Standard (3-4d)</v>
      </c>
      <c r="AF2067">
        <v>0</v>
      </c>
    </row>
    <row r="2068" spans="1:32" ht="15" x14ac:dyDescent="0.35">
      <c r="A2068" t="s">
        <v>237</v>
      </c>
      <c r="B2068" s="1">
        <v>45650</v>
      </c>
      <c r="C2068">
        <f>YEAR(OrdersTable[[#This Row],[Order Date]])</f>
        <v>2024</v>
      </c>
      <c r="D2068" s="2">
        <f>DATE(YEAR(OrdersTable[[#This Row],[Order Date]]),MONTH(OrdersTable[[#This Row],[Order Date]]),1)</f>
        <v>45627</v>
      </c>
      <c r="E2068">
        <f>MONTH(OrdersTable[[#This Row],[Order Date]])</f>
        <v>12</v>
      </c>
      <c r="F2068" t="s">
        <v>238</v>
      </c>
      <c r="G2068" t="str">
        <f>IF(OrdersTable[[#This Row],[Order Date]]=_xlfn.MINIFS(Order_Date, Customer_ID, OrdersTable[[#This Row],[Customer ID]]), "New", "Repeat")</f>
        <v>New</v>
      </c>
      <c r="H2068" t="s">
        <v>48</v>
      </c>
      <c r="I2068" t="str">
        <f>INDEX(State!B:B,MATCH(OrdersTable[[#This Row],[State]],State!A:A,0))</f>
        <v>HR</v>
      </c>
      <c r="J2068" t="str">
        <f>INDEX(State!C:C,MATCH(OrdersTable[[#This Row],[State Code]],State!B:B,0))</f>
        <v>North</v>
      </c>
      <c r="K2068" t="s">
        <v>49</v>
      </c>
      <c r="L2068" t="s">
        <v>23</v>
      </c>
      <c r="M2068" t="s">
        <v>34</v>
      </c>
      <c r="N2068" t="str">
        <f>INDEX(Products!B:B,MATCH(OrdersTable[[#This Row],[Product ID]],Products!A:A,0))</f>
        <v>Flip Flops</v>
      </c>
      <c r="O2068" t="str">
        <f>INDEX(Products!C:C,MATCH(OrdersTable[[#This Row],[Product ID]],Products!A:A,0))</f>
        <v>Footwear</v>
      </c>
      <c r="P2068">
        <v>1</v>
      </c>
      <c r="Q2068" s="5">
        <v>399</v>
      </c>
      <c r="R2068" s="74">
        <v>0.1</v>
      </c>
      <c r="S2068" s="75">
        <f>OrdersTable[[#This Row],[Quantity]]*OrdersTable[[#This Row],[Unit Price]]</f>
        <v>399</v>
      </c>
      <c r="T2068" s="5">
        <f>OrdersTable[[#This Row],[Gross Sale]]*OrdersTable[[#This Row],[Discount_Clean2]]</f>
        <v>39.900000000000006</v>
      </c>
      <c r="U2068" s="5">
        <f>OrdersTable[[#This Row],[Gross Sale]]-OrdersTable[[#This Row],[Discount Amount]]</f>
        <v>359.1</v>
      </c>
      <c r="V2068" s="77">
        <f>INDEX(Products!E:E,MATCH(OrdersTable[[#This Row],[Product ID]],Products!A:A,0))</f>
        <v>152</v>
      </c>
      <c r="W2068" s="77">
        <f>OrdersTable[[#This Row],[Quantity]]*OrdersTable[[#This Row],[Unit Cost]]</f>
        <v>152</v>
      </c>
      <c r="X2068" s="77">
        <f>'Dropdown Lists'!$I$2*(1+OrdersTable[[#This Row],[Returned]])</f>
        <v>60</v>
      </c>
      <c r="Y2068" s="76">
        <f>OrdersTable[[#This Row],[Net Revenue]]-OrdersTable[[#This Row],[COGS]]-OrdersTable[[#This Row],[Shipping Cost]]</f>
        <v>147.10000000000002</v>
      </c>
      <c r="Z2068" s="78">
        <f>IFERROR(OrdersTable[[#This Row],[Profit]]/OrdersTable[[#This Row],[Net Revenue]],0)</f>
        <v>0.40963519910888335</v>
      </c>
      <c r="AA2068" t="s">
        <v>18</v>
      </c>
      <c r="AB2068" s="79">
        <v>45653</v>
      </c>
      <c r="AC2068">
        <f>OrdersTable[[#This Row],[Delivery Date]]-OrdersTable[[#This Row],[Order Date]]</f>
        <v>3</v>
      </c>
      <c r="AD2068" t="str">
        <f>IF(OrdersTable[[#This Row],[Delivery Days]]&lt;=2, "Express (≤2d)", IF(OrdersTable[[#This Row],[Delivery Days]]&lt;=4, "Standard (3-4d)", "Delayed (5d+)"))</f>
        <v>Standard (3-4d)</v>
      </c>
      <c r="AE2068">
        <v>4</v>
      </c>
      <c r="AF2068">
        <v>0</v>
      </c>
    </row>
    <row r="2069" spans="1:32" ht="15" x14ac:dyDescent="0.35">
      <c r="A2069" t="s">
        <v>4007</v>
      </c>
      <c r="B2069" s="1">
        <v>45650</v>
      </c>
      <c r="C2069">
        <f>YEAR(OrdersTable[[#This Row],[Order Date]])</f>
        <v>2024</v>
      </c>
      <c r="D2069" s="2">
        <f>DATE(YEAR(OrdersTable[[#This Row],[Order Date]]),MONTH(OrdersTable[[#This Row],[Order Date]]),1)</f>
        <v>45627</v>
      </c>
      <c r="E2069">
        <f>MONTH(OrdersTable[[#This Row],[Order Date]])</f>
        <v>12</v>
      </c>
      <c r="F2069" t="s">
        <v>4008</v>
      </c>
      <c r="G2069" t="str">
        <f>IF(OrdersTable[[#This Row],[Order Date]]=_xlfn.MINIFS(Order_Date, Customer_ID, OrdersTable[[#This Row],[Customer ID]]), "New", "Repeat")</f>
        <v>Repeat</v>
      </c>
      <c r="H2069" t="s">
        <v>128</v>
      </c>
      <c r="I2069" t="str">
        <f>INDEX(State!B:B,MATCH(OrdersTable[[#This Row],[State]],State!A:A,0))</f>
        <v>DL</v>
      </c>
      <c r="J2069" t="str">
        <f>INDEX(State!C:C,MATCH(OrdersTable[[#This Row],[State Code]],State!B:B,0))</f>
        <v>North</v>
      </c>
      <c r="K2069" t="s">
        <v>129</v>
      </c>
      <c r="L2069" t="s">
        <v>39</v>
      </c>
      <c r="M2069" t="s">
        <v>87</v>
      </c>
      <c r="N2069" t="str">
        <f>INDEX(Products!B:B,MATCH(OrdersTable[[#This Row],[Product ID]],Products!A:A,0))</f>
        <v>Linen Kurta</v>
      </c>
      <c r="O2069" t="str">
        <f>INDEX(Products!C:C,MATCH(OrdersTable[[#This Row],[Product ID]],Products!A:A,0))</f>
        <v>Apparel</v>
      </c>
      <c r="P2069">
        <v>1</v>
      </c>
      <c r="Q2069" s="5">
        <v>1499</v>
      </c>
      <c r="R2069" s="74">
        <v>0.35</v>
      </c>
      <c r="S2069" s="75">
        <f>OrdersTable[[#This Row],[Quantity]]*OrdersTable[[#This Row],[Unit Price]]</f>
        <v>1499</v>
      </c>
      <c r="T2069" s="5">
        <f>OrdersTable[[#This Row],[Gross Sale]]*OrdersTable[[#This Row],[Discount_Clean2]]</f>
        <v>524.65</v>
      </c>
      <c r="U2069" s="5">
        <f>OrdersTable[[#This Row],[Gross Sale]]-OrdersTable[[#This Row],[Discount Amount]]</f>
        <v>974.35</v>
      </c>
      <c r="V2069" s="77">
        <f>INDEX(Products!E:E,MATCH(OrdersTable[[#This Row],[Product ID]],Products!A:A,0))</f>
        <v>630</v>
      </c>
      <c r="W2069" s="77">
        <f>OrdersTable[[#This Row],[Quantity]]*OrdersTable[[#This Row],[Unit Cost]]</f>
        <v>630</v>
      </c>
      <c r="X2069" s="77">
        <f>'Dropdown Lists'!$I$2*(1+OrdersTable[[#This Row],[Returned]])</f>
        <v>60</v>
      </c>
      <c r="Y2069" s="76">
        <f>OrdersTable[[#This Row],[Net Revenue]]-OrdersTable[[#This Row],[COGS]]-OrdersTable[[#This Row],[Shipping Cost]]</f>
        <v>284.35000000000002</v>
      </c>
      <c r="Z2069" s="78">
        <f>IFERROR(OrdersTable[[#This Row],[Profit]]/OrdersTable[[#This Row],[Net Revenue]],0)</f>
        <v>0.29183558269615645</v>
      </c>
      <c r="AA2069" t="s">
        <v>3495</v>
      </c>
      <c r="AB2069" s="79">
        <v>45651</v>
      </c>
      <c r="AC2069">
        <f>OrdersTable[[#This Row],[Delivery Date]]-OrdersTable[[#This Row],[Order Date]]</f>
        <v>1</v>
      </c>
      <c r="AD2069" t="str">
        <f>IF(OrdersTable[[#This Row],[Delivery Days]]&lt;=2, "Express (≤2d)", IF(OrdersTable[[#This Row],[Delivery Days]]&lt;=4, "Standard (3-4d)", "Delayed (5d+)"))</f>
        <v>Express (≤2d)</v>
      </c>
      <c r="AE2069">
        <v>5</v>
      </c>
      <c r="AF2069">
        <v>0</v>
      </c>
    </row>
    <row r="2070" spans="1:32" ht="15" x14ac:dyDescent="0.35">
      <c r="A2070" t="s">
        <v>5160</v>
      </c>
      <c r="B2070" s="1">
        <v>45650</v>
      </c>
      <c r="C2070">
        <f>YEAR(OrdersTable[[#This Row],[Order Date]])</f>
        <v>2024</v>
      </c>
      <c r="D2070" s="2">
        <f>DATE(YEAR(OrdersTable[[#This Row],[Order Date]]),MONTH(OrdersTable[[#This Row],[Order Date]]),1)</f>
        <v>45627</v>
      </c>
      <c r="E2070">
        <f>MONTH(OrdersTable[[#This Row],[Order Date]])</f>
        <v>12</v>
      </c>
      <c r="F2070" t="s">
        <v>1799</v>
      </c>
      <c r="G2070" t="str">
        <f>IF(OrdersTable[[#This Row],[Order Date]]=_xlfn.MINIFS(Order_Date, Customer_ID, OrdersTable[[#This Row],[Customer ID]]), "New", "Repeat")</f>
        <v>Repeat</v>
      </c>
      <c r="H2070" t="s">
        <v>128</v>
      </c>
      <c r="I2070" t="str">
        <f>INDEX(State!B:B,MATCH(OrdersTable[[#This Row],[State]],State!A:A,0))</f>
        <v>DL</v>
      </c>
      <c r="J2070" t="str">
        <f>INDEX(State!C:C,MATCH(OrdersTable[[#This Row],[State Code]],State!B:B,0))</f>
        <v>North</v>
      </c>
      <c r="K2070" t="s">
        <v>129</v>
      </c>
      <c r="L2070" t="s">
        <v>23</v>
      </c>
      <c r="M2070" t="s">
        <v>78</v>
      </c>
      <c r="N2070" t="str">
        <f>INDEX(Products!B:B,MATCH(OrdersTable[[#This Row],[Product ID]],Products!A:A,0))</f>
        <v>Retinol Night Cream</v>
      </c>
      <c r="O2070" t="str">
        <f>INDEX(Products!C:C,MATCH(OrdersTable[[#This Row],[Product ID]],Products!A:A,0))</f>
        <v>Skincare</v>
      </c>
      <c r="P2070">
        <v>2</v>
      </c>
      <c r="Q2070" s="5">
        <v>799</v>
      </c>
      <c r="R2070" s="74">
        <v>0</v>
      </c>
      <c r="S2070" s="75">
        <f>OrdersTable[[#This Row],[Quantity]]*OrdersTable[[#This Row],[Unit Price]]</f>
        <v>1598</v>
      </c>
      <c r="T2070" s="5">
        <f>OrdersTable[[#This Row],[Gross Sale]]*OrdersTable[[#This Row],[Discount_Clean2]]</f>
        <v>0</v>
      </c>
      <c r="U2070" s="5">
        <f>OrdersTable[[#This Row],[Gross Sale]]-OrdersTable[[#This Row],[Discount Amount]]</f>
        <v>1598</v>
      </c>
      <c r="V2070" s="77">
        <f>INDEX(Products!E:E,MATCH(OrdersTable[[#This Row],[Product ID]],Products!A:A,0))</f>
        <v>216</v>
      </c>
      <c r="W2070" s="77">
        <f>OrdersTable[[#This Row],[Quantity]]*OrdersTable[[#This Row],[Unit Cost]]</f>
        <v>432</v>
      </c>
      <c r="X2070" s="77">
        <f>'Dropdown Lists'!$I$2*(1+OrdersTable[[#This Row],[Returned]])</f>
        <v>60</v>
      </c>
      <c r="Y2070" s="76">
        <f>OrdersTable[[#This Row],[Net Revenue]]-OrdersTable[[#This Row],[COGS]]-OrdersTable[[#This Row],[Shipping Cost]]</f>
        <v>1106</v>
      </c>
      <c r="Z2070" s="78">
        <f>IFERROR(OrdersTable[[#This Row],[Profit]]/OrdersTable[[#This Row],[Net Revenue]],0)</f>
        <v>0.69211514392991236</v>
      </c>
      <c r="AA2070" t="s">
        <v>3495</v>
      </c>
      <c r="AB2070" s="79">
        <v>45651</v>
      </c>
      <c r="AC2070">
        <f>OrdersTable[[#This Row],[Delivery Date]]-OrdersTable[[#This Row],[Order Date]]</f>
        <v>1</v>
      </c>
      <c r="AD2070" t="str">
        <f>IF(OrdersTable[[#This Row],[Delivery Days]]&lt;=2, "Express (≤2d)", IF(OrdersTable[[#This Row],[Delivery Days]]&lt;=4, "Standard (3-4d)", "Delayed (5d+)"))</f>
        <v>Express (≤2d)</v>
      </c>
      <c r="AE2070">
        <v>5</v>
      </c>
      <c r="AF2070">
        <v>0</v>
      </c>
    </row>
    <row r="2071" spans="1:32" ht="15" x14ac:dyDescent="0.35">
      <c r="A2071" t="s">
        <v>3241</v>
      </c>
      <c r="B2071" s="1">
        <v>45650</v>
      </c>
      <c r="C2071">
        <f>YEAR(OrdersTable[[#This Row],[Order Date]])</f>
        <v>2024</v>
      </c>
      <c r="D2071" s="2">
        <f>DATE(YEAR(OrdersTable[[#This Row],[Order Date]]),MONTH(OrdersTable[[#This Row],[Order Date]]),1)</f>
        <v>45627</v>
      </c>
      <c r="E2071">
        <f>MONTH(OrdersTable[[#This Row],[Order Date]])</f>
        <v>12</v>
      </c>
      <c r="F2071" t="s">
        <v>747</v>
      </c>
      <c r="G2071" t="str">
        <f>IF(OrdersTable[[#This Row],[Order Date]]=_xlfn.MINIFS(Order_Date, Customer_ID, OrdersTable[[#This Row],[Customer ID]]), "New", "Repeat")</f>
        <v>Repeat</v>
      </c>
      <c r="H2071" t="s">
        <v>43</v>
      </c>
      <c r="I2071" t="str">
        <f>INDEX(State!B:B,MATCH(OrdersTable[[#This Row],[State]],State!A:A,0))</f>
        <v>MP</v>
      </c>
      <c r="J2071" t="str">
        <f>INDEX(State!C:C,MATCH(OrdersTable[[#This Row],[State Code]],State!B:B,0))</f>
        <v>West</v>
      </c>
      <c r="K2071" t="s">
        <v>250</v>
      </c>
      <c r="L2071" t="s">
        <v>23</v>
      </c>
      <c r="M2071" t="s">
        <v>56</v>
      </c>
      <c r="N2071" t="str">
        <f>INDEX(Products!B:B,MATCH(OrdersTable[[#This Row],[Product ID]],Products!A:A,0))</f>
        <v>Vitamin C Face Serum</v>
      </c>
      <c r="O2071" t="str">
        <f>INDEX(Products!C:C,MATCH(OrdersTable[[#This Row],[Product ID]],Products!A:A,0))</f>
        <v>Skincare</v>
      </c>
      <c r="P2071">
        <v>1</v>
      </c>
      <c r="Q2071" s="5">
        <v>599</v>
      </c>
      <c r="R2071" s="74">
        <v>0.1</v>
      </c>
      <c r="S2071" s="75">
        <f>OrdersTable[[#This Row],[Quantity]]*OrdersTable[[#This Row],[Unit Price]]</f>
        <v>599</v>
      </c>
      <c r="T2071" s="5">
        <f>OrdersTable[[#This Row],[Gross Sale]]*OrdersTable[[#This Row],[Discount_Clean2]]</f>
        <v>59.900000000000006</v>
      </c>
      <c r="U2071" s="5">
        <f>OrdersTable[[#This Row],[Gross Sale]]-OrdersTable[[#This Row],[Discount Amount]]</f>
        <v>539.1</v>
      </c>
      <c r="V2071" s="77">
        <f>INDEX(Products!E:E,MATCH(OrdersTable[[#This Row],[Product ID]],Products!A:A,0))</f>
        <v>180</v>
      </c>
      <c r="W2071" s="77">
        <f>OrdersTable[[#This Row],[Quantity]]*OrdersTable[[#This Row],[Unit Cost]]</f>
        <v>180</v>
      </c>
      <c r="X2071" s="77">
        <f>'Dropdown Lists'!$I$2*(1+OrdersTable[[#This Row],[Returned]])</f>
        <v>60</v>
      </c>
      <c r="Y2071" s="76">
        <f>OrdersTable[[#This Row],[Net Revenue]]-OrdersTable[[#This Row],[COGS]]-OrdersTable[[#This Row],[Shipping Cost]]</f>
        <v>299.10000000000002</v>
      </c>
      <c r="Z2071" s="78">
        <f>IFERROR(OrdersTable[[#This Row],[Profit]]/OrdersTable[[#This Row],[Net Revenue]],0)</f>
        <v>0.5548135781858653</v>
      </c>
      <c r="AA2071" t="s">
        <v>2522</v>
      </c>
      <c r="AB2071" s="79">
        <v>45653</v>
      </c>
      <c r="AC2071">
        <f>OrdersTable[[#This Row],[Delivery Date]]-OrdersTable[[#This Row],[Order Date]]</f>
        <v>3</v>
      </c>
      <c r="AD2071" t="str">
        <f>IF(OrdersTable[[#This Row],[Delivery Days]]&lt;=2, "Express (≤2d)", IF(OrdersTable[[#This Row],[Delivery Days]]&lt;=4, "Standard (3-4d)", "Delayed (5d+)"))</f>
        <v>Standard (3-4d)</v>
      </c>
      <c r="AE2071">
        <v>4</v>
      </c>
      <c r="AF2071">
        <v>0</v>
      </c>
    </row>
    <row r="2072" spans="1:32" ht="15" x14ac:dyDescent="0.35">
      <c r="A2072" t="s">
        <v>3007</v>
      </c>
      <c r="B2072" s="1">
        <v>45650</v>
      </c>
      <c r="C2072">
        <f>YEAR(OrdersTable[[#This Row],[Order Date]])</f>
        <v>2024</v>
      </c>
      <c r="D2072" s="2">
        <f>DATE(YEAR(OrdersTable[[#This Row],[Order Date]]),MONTH(OrdersTable[[#This Row],[Order Date]]),1)</f>
        <v>45627</v>
      </c>
      <c r="E2072">
        <f>MONTH(OrdersTable[[#This Row],[Order Date]])</f>
        <v>12</v>
      </c>
      <c r="F2072" t="s">
        <v>2238</v>
      </c>
      <c r="G2072" t="str">
        <f>IF(OrdersTable[[#This Row],[Order Date]]=_xlfn.MINIFS(Order_Date, Customer_ID, OrdersTable[[#This Row],[Customer ID]]), "New", "Repeat")</f>
        <v>Repeat</v>
      </c>
      <c r="H2072" t="s">
        <v>95</v>
      </c>
      <c r="I2072" t="str">
        <f>INDEX(State!B:B,MATCH(OrdersTable[[#This Row],[State]],State!A:A,0))</f>
        <v>TG</v>
      </c>
      <c r="J2072" t="str">
        <f>INDEX(State!C:C,MATCH(OrdersTable[[#This Row],[State Code]],State!B:B,0))</f>
        <v>South</v>
      </c>
      <c r="K2072" t="s">
        <v>96</v>
      </c>
      <c r="L2072" t="s">
        <v>65</v>
      </c>
      <c r="M2072" t="s">
        <v>34</v>
      </c>
      <c r="N2072" t="str">
        <f>INDEX(Products!B:B,MATCH(OrdersTable[[#This Row],[Product ID]],Products!A:A,0))</f>
        <v>Flip Flops</v>
      </c>
      <c r="O2072" t="str">
        <f>INDEX(Products!C:C,MATCH(OrdersTable[[#This Row],[Product ID]],Products!A:A,0))</f>
        <v>Footwear</v>
      </c>
      <c r="P2072">
        <v>1</v>
      </c>
      <c r="Q2072" s="5">
        <v>399</v>
      </c>
      <c r="R2072" s="74">
        <v>0.15</v>
      </c>
      <c r="S2072" s="75">
        <f>OrdersTable[[#This Row],[Quantity]]*OrdersTable[[#This Row],[Unit Price]]</f>
        <v>399</v>
      </c>
      <c r="T2072" s="5">
        <f>OrdersTable[[#This Row],[Gross Sale]]*OrdersTable[[#This Row],[Discount_Clean2]]</f>
        <v>59.849999999999994</v>
      </c>
      <c r="U2072" s="5">
        <f>OrdersTable[[#This Row],[Gross Sale]]-OrdersTable[[#This Row],[Discount Amount]]</f>
        <v>339.15</v>
      </c>
      <c r="V2072" s="77">
        <f>INDEX(Products!E:E,MATCH(OrdersTable[[#This Row],[Product ID]],Products!A:A,0))</f>
        <v>152</v>
      </c>
      <c r="W2072" s="77">
        <f>OrdersTable[[#This Row],[Quantity]]*OrdersTable[[#This Row],[Unit Cost]]</f>
        <v>152</v>
      </c>
      <c r="X2072" s="77">
        <f>'Dropdown Lists'!$I$2*(1+OrdersTable[[#This Row],[Returned]])</f>
        <v>60</v>
      </c>
      <c r="Y2072" s="76">
        <f>OrdersTable[[#This Row],[Net Revenue]]-OrdersTable[[#This Row],[COGS]]-OrdersTable[[#This Row],[Shipping Cost]]</f>
        <v>127.14999999999998</v>
      </c>
      <c r="Z2072" s="78">
        <f>IFERROR(OrdersTable[[#This Row],[Profit]]/OrdersTable[[#This Row],[Net Revenue]],0)</f>
        <v>0.37490785787999409</v>
      </c>
      <c r="AA2072" t="s">
        <v>2522</v>
      </c>
      <c r="AB2072" s="79">
        <v>45654</v>
      </c>
      <c r="AC2072">
        <f>OrdersTable[[#This Row],[Delivery Date]]-OrdersTable[[#This Row],[Order Date]]</f>
        <v>4</v>
      </c>
      <c r="AD2072" t="str">
        <f>IF(OrdersTable[[#This Row],[Delivery Days]]&lt;=2, "Express (≤2d)", IF(OrdersTable[[#This Row],[Delivery Days]]&lt;=4, "Standard (3-4d)", "Delayed (5d+)"))</f>
        <v>Standard (3-4d)</v>
      </c>
      <c r="AF2072">
        <v>0</v>
      </c>
    </row>
    <row r="2073" spans="1:32" ht="15" x14ac:dyDescent="0.35">
      <c r="A2073" t="s">
        <v>1387</v>
      </c>
      <c r="B2073" s="1">
        <v>45650</v>
      </c>
      <c r="C2073">
        <f>YEAR(OrdersTable[[#This Row],[Order Date]])</f>
        <v>2024</v>
      </c>
      <c r="D2073" s="2">
        <f>DATE(YEAR(OrdersTable[[#This Row],[Order Date]]),MONTH(OrdersTable[[#This Row],[Order Date]]),1)</f>
        <v>45627</v>
      </c>
      <c r="E2073">
        <f>MONTH(OrdersTable[[#This Row],[Order Date]])</f>
        <v>12</v>
      </c>
      <c r="F2073" t="s">
        <v>1388</v>
      </c>
      <c r="G2073" t="str">
        <f>IF(OrdersTable[[#This Row],[Order Date]]=_xlfn.MINIFS(Order_Date, Customer_ID, OrdersTable[[#This Row],[Customer ID]]), "New", "Repeat")</f>
        <v>Repeat</v>
      </c>
      <c r="H2073" t="s">
        <v>167</v>
      </c>
      <c r="I2073" t="str">
        <f>INDEX(State!B:B,MATCH(OrdersTable[[#This Row],[State]],State!A:A,0))</f>
        <v>KA</v>
      </c>
      <c r="J2073" t="str">
        <f>INDEX(State!C:C,MATCH(OrdersTable[[#This Row],[State Code]],State!B:B,0))</f>
        <v>South</v>
      </c>
      <c r="K2073" t="s">
        <v>168</v>
      </c>
      <c r="L2073" t="s">
        <v>23</v>
      </c>
      <c r="M2073" t="s">
        <v>73</v>
      </c>
      <c r="N2073" t="str">
        <f>INDEX(Products!B:B,MATCH(OrdersTable[[#This Row],[Product ID]],Products!A:A,0))</f>
        <v>Hydrating Face Wash</v>
      </c>
      <c r="O2073" t="str">
        <f>INDEX(Products!C:C,MATCH(OrdersTable[[#This Row],[Product ID]],Products!A:A,0))</f>
        <v>Skincare</v>
      </c>
      <c r="P2073">
        <v>1</v>
      </c>
      <c r="Q2073" s="5">
        <v>299</v>
      </c>
      <c r="R2073" s="74">
        <v>0.1</v>
      </c>
      <c r="S2073" s="75">
        <f>OrdersTable[[#This Row],[Quantity]]*OrdersTable[[#This Row],[Unit Price]]</f>
        <v>299</v>
      </c>
      <c r="T2073" s="5">
        <f>OrdersTable[[#This Row],[Gross Sale]]*OrdersTable[[#This Row],[Discount_Clean2]]</f>
        <v>29.900000000000002</v>
      </c>
      <c r="U2073" s="5">
        <f>OrdersTable[[#This Row],[Gross Sale]]-OrdersTable[[#This Row],[Discount Amount]]</f>
        <v>269.10000000000002</v>
      </c>
      <c r="V2073" s="77">
        <f>INDEX(Products!E:E,MATCH(OrdersTable[[#This Row],[Product ID]],Products!A:A,0))</f>
        <v>90</v>
      </c>
      <c r="W2073" s="77">
        <f>OrdersTable[[#This Row],[Quantity]]*OrdersTable[[#This Row],[Unit Cost]]</f>
        <v>90</v>
      </c>
      <c r="X2073" s="77">
        <f>'Dropdown Lists'!$I$2*(1+OrdersTable[[#This Row],[Returned]])</f>
        <v>60</v>
      </c>
      <c r="Y2073" s="76">
        <f>OrdersTable[[#This Row],[Net Revenue]]-OrdersTable[[#This Row],[COGS]]-OrdersTable[[#This Row],[Shipping Cost]]</f>
        <v>119.10000000000002</v>
      </c>
      <c r="Z2073" s="78">
        <f>IFERROR(OrdersTable[[#This Row],[Profit]]/OrdersTable[[#This Row],[Net Revenue]],0)</f>
        <v>0.4425863991081383</v>
      </c>
      <c r="AA2073" t="s">
        <v>18</v>
      </c>
      <c r="AB2073" s="79">
        <v>45652</v>
      </c>
      <c r="AC2073">
        <f>OrdersTable[[#This Row],[Delivery Date]]-OrdersTable[[#This Row],[Order Date]]</f>
        <v>2</v>
      </c>
      <c r="AD2073" t="str">
        <f>IF(OrdersTable[[#This Row],[Delivery Days]]&lt;=2, "Express (≤2d)", IF(OrdersTable[[#This Row],[Delivery Days]]&lt;=4, "Standard (3-4d)", "Delayed (5d+)"))</f>
        <v>Express (≤2d)</v>
      </c>
      <c r="AF2073">
        <v>0</v>
      </c>
    </row>
    <row r="2074" spans="1:32" ht="15" x14ac:dyDescent="0.35">
      <c r="A2074" t="s">
        <v>3891</v>
      </c>
      <c r="B2074" s="1">
        <v>45650</v>
      </c>
      <c r="C2074">
        <f>YEAR(OrdersTable[[#This Row],[Order Date]])</f>
        <v>2024</v>
      </c>
      <c r="D2074" s="2">
        <f>DATE(YEAR(OrdersTable[[#This Row],[Order Date]]),MONTH(OrdersTable[[#This Row],[Order Date]]),1)</f>
        <v>45627</v>
      </c>
      <c r="E2074">
        <f>MONTH(OrdersTable[[#This Row],[Order Date]])</f>
        <v>12</v>
      </c>
      <c r="F2074" t="s">
        <v>244</v>
      </c>
      <c r="G2074" t="str">
        <f>IF(OrdersTable[[#This Row],[Order Date]]=_xlfn.MINIFS(Order_Date, Customer_ID, OrdersTable[[#This Row],[Customer ID]]), "New", "Repeat")</f>
        <v>Repeat</v>
      </c>
      <c r="H2074" t="s">
        <v>275</v>
      </c>
      <c r="I2074" t="str">
        <f>INDEX(State!B:B,MATCH(OrdersTable[[#This Row],[State]],State!A:A,0))</f>
        <v>AP</v>
      </c>
      <c r="J2074" t="str">
        <f>INDEX(State!C:C,MATCH(OrdersTable[[#This Row],[State Code]],State!B:B,0))</f>
        <v>South</v>
      </c>
      <c r="K2074" t="s">
        <v>276</v>
      </c>
      <c r="L2074" t="s">
        <v>23</v>
      </c>
      <c r="M2074" t="s">
        <v>84</v>
      </c>
      <c r="N2074" t="str">
        <f>INDEX(Products!B:B,MATCH(OrdersTable[[#This Row],[Product ID]],Products!A:A,0))</f>
        <v>Cotton Bedsheet</v>
      </c>
      <c r="O2074" t="str">
        <f>INDEX(Products!C:C,MATCH(OrdersTable[[#This Row],[Product ID]],Products!A:A,0))</f>
        <v>Home &amp; Kitchen</v>
      </c>
      <c r="P2074">
        <v>1</v>
      </c>
      <c r="Q2074" s="5">
        <v>1299</v>
      </c>
      <c r="R2074" s="74">
        <v>0</v>
      </c>
      <c r="S2074" s="75">
        <f>OrdersTable[[#This Row],[Quantity]]*OrdersTable[[#This Row],[Unit Price]]</f>
        <v>1299</v>
      </c>
      <c r="T2074" s="5">
        <f>OrdersTable[[#This Row],[Gross Sale]]*OrdersTable[[#This Row],[Discount_Clean2]]</f>
        <v>0</v>
      </c>
      <c r="U2074" s="5">
        <f>OrdersTable[[#This Row],[Gross Sale]]-OrdersTable[[#This Row],[Discount Amount]]</f>
        <v>1299</v>
      </c>
      <c r="V2074" s="77">
        <f>INDEX(Products!E:E,MATCH(OrdersTable[[#This Row],[Product ID]],Products!A:A,0))</f>
        <v>585</v>
      </c>
      <c r="W2074" s="77">
        <f>OrdersTable[[#This Row],[Quantity]]*OrdersTable[[#This Row],[Unit Cost]]</f>
        <v>585</v>
      </c>
      <c r="X2074" s="77">
        <f>'Dropdown Lists'!$I$2*(1+OrdersTable[[#This Row],[Returned]])</f>
        <v>60</v>
      </c>
      <c r="Y2074" s="76">
        <f>OrdersTable[[#This Row],[Net Revenue]]-OrdersTable[[#This Row],[COGS]]-OrdersTable[[#This Row],[Shipping Cost]]</f>
        <v>654</v>
      </c>
      <c r="Z2074" s="78">
        <f>IFERROR(OrdersTable[[#This Row],[Profit]]/OrdersTable[[#This Row],[Net Revenue]],0)</f>
        <v>0.50346420323325636</v>
      </c>
      <c r="AA2074" t="s">
        <v>3495</v>
      </c>
      <c r="AB2074" s="79">
        <v>45653</v>
      </c>
      <c r="AC2074">
        <f>OrdersTable[[#This Row],[Delivery Date]]-OrdersTable[[#This Row],[Order Date]]</f>
        <v>3</v>
      </c>
      <c r="AD2074" t="str">
        <f>IF(OrdersTable[[#This Row],[Delivery Days]]&lt;=2, "Express (≤2d)", IF(OrdersTable[[#This Row],[Delivery Days]]&lt;=4, "Standard (3-4d)", "Delayed (5d+)"))</f>
        <v>Standard (3-4d)</v>
      </c>
      <c r="AE2074">
        <v>3</v>
      </c>
      <c r="AF2074">
        <v>0</v>
      </c>
    </row>
    <row r="2075" spans="1:32" ht="15" x14ac:dyDescent="0.35">
      <c r="A2075" t="s">
        <v>5379</v>
      </c>
      <c r="B2075" s="1">
        <v>45651</v>
      </c>
      <c r="C2075">
        <f>YEAR(OrdersTable[[#This Row],[Order Date]])</f>
        <v>2024</v>
      </c>
      <c r="D2075" s="2">
        <f>DATE(YEAR(OrdersTable[[#This Row],[Order Date]]),MONTH(OrdersTable[[#This Row],[Order Date]]),1)</f>
        <v>45627</v>
      </c>
      <c r="E2075">
        <f>MONTH(OrdersTable[[#This Row],[Order Date]])</f>
        <v>12</v>
      </c>
      <c r="F2075" t="s">
        <v>4496</v>
      </c>
      <c r="G2075" t="str">
        <f>IF(OrdersTable[[#This Row],[Order Date]]=_xlfn.MINIFS(Order_Date, Customer_ID, OrdersTable[[#This Row],[Customer ID]]), "New", "Repeat")</f>
        <v>Repeat</v>
      </c>
      <c r="H2075" t="s">
        <v>54</v>
      </c>
      <c r="I2075" t="str">
        <f>INDEX(State!B:B,MATCH(OrdersTable[[#This Row],[State]],State!A:A,0))</f>
        <v>RJ</v>
      </c>
      <c r="J2075" t="str">
        <f>INDEX(State!C:C,MATCH(OrdersTable[[#This Row],[State Code]],State!B:B,0))</f>
        <v>North</v>
      </c>
      <c r="K2075" t="s">
        <v>55</v>
      </c>
      <c r="L2075" t="s">
        <v>23</v>
      </c>
      <c r="M2075" t="s">
        <v>40</v>
      </c>
      <c r="N2075" t="str">
        <f>INDEX(Products!B:B,MATCH(OrdersTable[[#This Row],[Product ID]],Products!A:A,0))</f>
        <v>Ashwagandha Capsules</v>
      </c>
      <c r="O2075" t="str">
        <f>INDEX(Products!C:C,MATCH(OrdersTable[[#This Row],[Product ID]],Products!A:A,0))</f>
        <v>Wellness</v>
      </c>
      <c r="P2075">
        <v>2</v>
      </c>
      <c r="Q2075" s="5">
        <v>499</v>
      </c>
      <c r="R2075" s="74">
        <v>0</v>
      </c>
      <c r="S2075" s="75">
        <f>OrdersTable[[#This Row],[Quantity]]*OrdersTable[[#This Row],[Unit Price]]</f>
        <v>998</v>
      </c>
      <c r="T2075" s="5">
        <f>OrdersTable[[#This Row],[Gross Sale]]*OrdersTable[[#This Row],[Discount_Clean2]]</f>
        <v>0</v>
      </c>
      <c r="U2075" s="5">
        <f>OrdersTable[[#This Row],[Gross Sale]]-OrdersTable[[#This Row],[Discount Amount]]</f>
        <v>998</v>
      </c>
      <c r="V2075" s="77">
        <f>INDEX(Products!E:E,MATCH(OrdersTable[[#This Row],[Product ID]],Products!A:A,0))</f>
        <v>150</v>
      </c>
      <c r="W2075" s="77">
        <f>OrdersTable[[#This Row],[Quantity]]*OrdersTable[[#This Row],[Unit Cost]]</f>
        <v>300</v>
      </c>
      <c r="X2075" s="77">
        <f>'Dropdown Lists'!$I$2*(1+OrdersTable[[#This Row],[Returned]])</f>
        <v>120</v>
      </c>
      <c r="Y2075" s="76">
        <f>OrdersTable[[#This Row],[Net Revenue]]-OrdersTable[[#This Row],[COGS]]-OrdersTable[[#This Row],[Shipping Cost]]</f>
        <v>578</v>
      </c>
      <c r="Z2075" s="78">
        <f>IFERROR(OrdersTable[[#This Row],[Profit]]/OrdersTable[[#This Row],[Net Revenue]],0)</f>
        <v>0.57915831663326656</v>
      </c>
      <c r="AA2075" t="s">
        <v>2522</v>
      </c>
      <c r="AB2075" s="79">
        <v>45656</v>
      </c>
      <c r="AC2075">
        <f>OrdersTable[[#This Row],[Delivery Date]]-OrdersTable[[#This Row],[Order Date]]</f>
        <v>5</v>
      </c>
      <c r="AD2075" t="str">
        <f>IF(OrdersTable[[#This Row],[Delivery Days]]&lt;=2, "Express (≤2d)", IF(OrdersTable[[#This Row],[Delivery Days]]&lt;=4, "Standard (3-4d)", "Delayed (5d+)"))</f>
        <v>Delayed (5d+)</v>
      </c>
      <c r="AF2075">
        <v>1</v>
      </c>
    </row>
    <row r="2076" spans="1:32" ht="15" x14ac:dyDescent="0.35">
      <c r="A2076" t="s">
        <v>6546</v>
      </c>
      <c r="B2076" s="1">
        <v>45651</v>
      </c>
      <c r="C2076">
        <f>YEAR(OrdersTable[[#This Row],[Order Date]])</f>
        <v>2024</v>
      </c>
      <c r="D2076" s="2">
        <f>DATE(YEAR(OrdersTable[[#This Row],[Order Date]]),MONTH(OrdersTable[[#This Row],[Order Date]]),1)</f>
        <v>45627</v>
      </c>
      <c r="E2076">
        <f>MONTH(OrdersTable[[#This Row],[Order Date]])</f>
        <v>12</v>
      </c>
      <c r="F2076" t="s">
        <v>765</v>
      </c>
      <c r="G2076" t="str">
        <f>IF(OrdersTable[[#This Row],[Order Date]]=_xlfn.MINIFS(Order_Date, Customer_ID, OrdersTable[[#This Row],[Customer ID]]), "New", "Repeat")</f>
        <v>Repeat</v>
      </c>
      <c r="H2076" t="s">
        <v>76</v>
      </c>
      <c r="I2076" t="str">
        <f>INDEX(State!B:B,MATCH(OrdersTable[[#This Row],[State]],State!A:A,0))</f>
        <v>UP</v>
      </c>
      <c r="J2076" t="str">
        <f>INDEX(State!C:C,MATCH(OrdersTable[[#This Row],[State Code]],State!B:B,0))</f>
        <v>North</v>
      </c>
      <c r="K2076" t="s">
        <v>77</v>
      </c>
      <c r="L2076" t="s">
        <v>23</v>
      </c>
      <c r="M2076" t="s">
        <v>61</v>
      </c>
      <c r="N2076" t="str">
        <f>INDEX(Products!B:B,MATCH(OrdersTable[[#This Row],[Product ID]],Products!A:A,0))</f>
        <v>Multivitamin Gummies</v>
      </c>
      <c r="O2076" t="str">
        <f>INDEX(Products!C:C,MATCH(OrdersTable[[#This Row],[Product ID]],Products!A:A,0))</f>
        <v>Wellness</v>
      </c>
      <c r="P2076">
        <v>3</v>
      </c>
      <c r="Q2076" s="5">
        <v>699</v>
      </c>
      <c r="R2076" s="74">
        <v>0.2</v>
      </c>
      <c r="S2076" s="75">
        <f>OrdersTable[[#This Row],[Quantity]]*OrdersTable[[#This Row],[Unit Price]]</f>
        <v>2097</v>
      </c>
      <c r="T2076" s="5">
        <f>OrdersTable[[#This Row],[Gross Sale]]*OrdersTable[[#This Row],[Discount_Clean2]]</f>
        <v>419.40000000000003</v>
      </c>
      <c r="U2076" s="5">
        <f>OrdersTable[[#This Row],[Gross Sale]]-OrdersTable[[#This Row],[Discount Amount]]</f>
        <v>1677.6</v>
      </c>
      <c r="V2076" s="77">
        <f>INDEX(Products!E:E,MATCH(OrdersTable[[#This Row],[Product ID]],Products!A:A,0))</f>
        <v>238</v>
      </c>
      <c r="W2076" s="77">
        <f>OrdersTable[[#This Row],[Quantity]]*OrdersTable[[#This Row],[Unit Cost]]</f>
        <v>714</v>
      </c>
      <c r="X2076" s="77">
        <f>'Dropdown Lists'!$I$2*(1+OrdersTable[[#This Row],[Returned]])</f>
        <v>120</v>
      </c>
      <c r="Y2076" s="76">
        <f>OrdersTable[[#This Row],[Net Revenue]]-OrdersTable[[#This Row],[COGS]]-OrdersTable[[#This Row],[Shipping Cost]]</f>
        <v>843.59999999999991</v>
      </c>
      <c r="Z2076" s="78">
        <f>IFERROR(OrdersTable[[#This Row],[Profit]]/OrdersTable[[#This Row],[Net Revenue]],0)</f>
        <v>0.50286123032904151</v>
      </c>
      <c r="AA2076" t="s">
        <v>18</v>
      </c>
      <c r="AB2076" s="79">
        <v>45655</v>
      </c>
      <c r="AC2076">
        <f>OrdersTable[[#This Row],[Delivery Date]]-OrdersTable[[#This Row],[Order Date]]</f>
        <v>4</v>
      </c>
      <c r="AD2076" t="str">
        <f>IF(OrdersTable[[#This Row],[Delivery Days]]&lt;=2, "Express (≤2d)", IF(OrdersTable[[#This Row],[Delivery Days]]&lt;=4, "Standard (3-4d)", "Delayed (5d+)"))</f>
        <v>Standard (3-4d)</v>
      </c>
      <c r="AE2076">
        <v>3</v>
      </c>
      <c r="AF2076">
        <v>1</v>
      </c>
    </row>
    <row r="2077" spans="1:32" ht="15" x14ac:dyDescent="0.35">
      <c r="A2077" t="s">
        <v>6781</v>
      </c>
      <c r="B2077" s="1">
        <v>45651</v>
      </c>
      <c r="C2077">
        <f>YEAR(OrdersTable[[#This Row],[Order Date]])</f>
        <v>2024</v>
      </c>
      <c r="D2077" s="2">
        <f>DATE(YEAR(OrdersTable[[#This Row],[Order Date]]),MONTH(OrdersTable[[#This Row],[Order Date]]),1)</f>
        <v>45627</v>
      </c>
      <c r="E2077">
        <f>MONTH(OrdersTable[[#This Row],[Order Date]])</f>
        <v>12</v>
      </c>
      <c r="F2077" t="s">
        <v>6782</v>
      </c>
      <c r="G2077" t="str">
        <f>IF(OrdersTable[[#This Row],[Order Date]]=_xlfn.MINIFS(Order_Date, Customer_ID, OrdersTable[[#This Row],[Customer ID]]), "New", "Repeat")</f>
        <v>New</v>
      </c>
      <c r="H2077" t="s">
        <v>132</v>
      </c>
      <c r="I2077" t="str">
        <f>INDEX(State!B:B,MATCH(OrdersTable[[#This Row],[State]],State!A:A,0))</f>
        <v>AS</v>
      </c>
      <c r="J2077" t="str">
        <f>INDEX(State!C:C,MATCH(OrdersTable[[#This Row],[State Code]],State!B:B,0))</f>
        <v>East</v>
      </c>
      <c r="K2077" t="s">
        <v>133</v>
      </c>
      <c r="L2077" t="s">
        <v>23</v>
      </c>
      <c r="M2077" t="s">
        <v>45</v>
      </c>
      <c r="N2077" t="str">
        <f>INDEX(Products!B:B,MATCH(OrdersTable[[#This Row],[Product ID]],Products!A:A,0))</f>
        <v>Argan Shampoo</v>
      </c>
      <c r="O2077" t="str">
        <f>INDEX(Products!C:C,MATCH(OrdersTable[[#This Row],[Product ID]],Products!A:A,0))</f>
        <v>Haircare</v>
      </c>
      <c r="P2077">
        <v>3</v>
      </c>
      <c r="Q2077" s="5">
        <v>449</v>
      </c>
      <c r="R2077" s="74">
        <v>0.05</v>
      </c>
      <c r="S2077" s="75">
        <f>OrdersTable[[#This Row],[Quantity]]*OrdersTable[[#This Row],[Unit Price]]</f>
        <v>1347</v>
      </c>
      <c r="T2077" s="5">
        <f>OrdersTable[[#This Row],[Gross Sale]]*OrdersTable[[#This Row],[Discount_Clean2]]</f>
        <v>67.350000000000009</v>
      </c>
      <c r="U2077" s="5">
        <f>OrdersTable[[#This Row],[Gross Sale]]-OrdersTable[[#This Row],[Discount Amount]]</f>
        <v>1279.6500000000001</v>
      </c>
      <c r="V2077" s="77">
        <f>INDEX(Products!E:E,MATCH(OrdersTable[[#This Row],[Product ID]],Products!A:A,0))</f>
        <v>148</v>
      </c>
      <c r="W2077" s="77">
        <f>OrdersTable[[#This Row],[Quantity]]*OrdersTable[[#This Row],[Unit Cost]]</f>
        <v>444</v>
      </c>
      <c r="X2077" s="77">
        <f>'Dropdown Lists'!$I$2*(1+OrdersTable[[#This Row],[Returned]])</f>
        <v>60</v>
      </c>
      <c r="Y2077" s="76">
        <f>OrdersTable[[#This Row],[Net Revenue]]-OrdersTable[[#This Row],[COGS]]-OrdersTable[[#This Row],[Shipping Cost]]</f>
        <v>775.65000000000009</v>
      </c>
      <c r="Z2077" s="78">
        <f>IFERROR(OrdersTable[[#This Row],[Profit]]/OrdersTable[[#This Row],[Net Revenue]],0)</f>
        <v>0.60614230453639673</v>
      </c>
      <c r="AA2077" t="s">
        <v>3495</v>
      </c>
      <c r="AB2077" s="79">
        <v>45657</v>
      </c>
      <c r="AC2077">
        <f>OrdersTable[[#This Row],[Delivery Date]]-OrdersTable[[#This Row],[Order Date]]</f>
        <v>6</v>
      </c>
      <c r="AD2077" t="str">
        <f>IF(OrdersTable[[#This Row],[Delivery Days]]&lt;=2, "Express (≤2d)", IF(OrdersTable[[#This Row],[Delivery Days]]&lt;=4, "Standard (3-4d)", "Delayed (5d+)"))</f>
        <v>Delayed (5d+)</v>
      </c>
      <c r="AF2077">
        <v>0</v>
      </c>
    </row>
    <row r="2078" spans="1:32" ht="15" x14ac:dyDescent="0.35">
      <c r="A2078" t="s">
        <v>5507</v>
      </c>
      <c r="B2078" s="1">
        <v>45651</v>
      </c>
      <c r="C2078">
        <f>YEAR(OrdersTable[[#This Row],[Order Date]])</f>
        <v>2024</v>
      </c>
      <c r="D2078" s="2">
        <f>DATE(YEAR(OrdersTable[[#This Row],[Order Date]]),MONTH(OrdersTable[[#This Row],[Order Date]]),1)</f>
        <v>45627</v>
      </c>
      <c r="E2078">
        <f>MONTH(OrdersTable[[#This Row],[Order Date]])</f>
        <v>12</v>
      </c>
      <c r="F2078" t="s">
        <v>4250</v>
      </c>
      <c r="G2078" t="str">
        <f>IF(OrdersTable[[#This Row],[Order Date]]=_xlfn.MINIFS(Order_Date, Customer_ID, OrdersTable[[#This Row],[Customer ID]]), "New", "Repeat")</f>
        <v>Repeat</v>
      </c>
      <c r="H2078" t="s">
        <v>482</v>
      </c>
      <c r="I2078" t="str">
        <f>INDEX(State!B:B,MATCH(OrdersTable[[#This Row],[State]],State!A:A,0))</f>
        <v>CG</v>
      </c>
      <c r="J2078" t="str">
        <f>INDEX(State!C:C,MATCH(OrdersTable[[#This Row],[State Code]],State!B:B,0))</f>
        <v>East</v>
      </c>
      <c r="K2078" t="s">
        <v>483</v>
      </c>
      <c r="L2078" t="s">
        <v>39</v>
      </c>
      <c r="M2078" t="s">
        <v>17</v>
      </c>
      <c r="N2078" t="str">
        <f>INDEX(Products!B:B,MATCH(OrdersTable[[#This Row],[Product ID]],Products!A:A,0))</f>
        <v>Casual Sneakers</v>
      </c>
      <c r="O2078" t="str">
        <f>INDEX(Products!C:C,MATCH(OrdersTable[[#This Row],[Product ID]],Products!A:A,0))</f>
        <v>Footwear</v>
      </c>
      <c r="P2078">
        <v>2</v>
      </c>
      <c r="Q2078" s="5">
        <v>2199</v>
      </c>
      <c r="R2078" s="74">
        <v>0.1</v>
      </c>
      <c r="S2078" s="75">
        <f>OrdersTable[[#This Row],[Quantity]]*OrdersTable[[#This Row],[Unit Price]]</f>
        <v>4398</v>
      </c>
      <c r="T2078" s="5">
        <f>OrdersTable[[#This Row],[Gross Sale]]*OrdersTable[[#This Row],[Discount_Clean2]]</f>
        <v>439.8</v>
      </c>
      <c r="U2078" s="5">
        <f>OrdersTable[[#This Row],[Gross Sale]]-OrdersTable[[#This Row],[Discount Amount]]</f>
        <v>3958.2</v>
      </c>
      <c r="V2078" s="77">
        <f>INDEX(Products!E:E,MATCH(OrdersTable[[#This Row],[Product ID]],Products!A:A,0))</f>
        <v>1034</v>
      </c>
      <c r="W2078" s="77">
        <f>OrdersTable[[#This Row],[Quantity]]*OrdersTable[[#This Row],[Unit Cost]]</f>
        <v>2068</v>
      </c>
      <c r="X2078" s="77">
        <f>'Dropdown Lists'!$I$2*(1+OrdersTable[[#This Row],[Returned]])</f>
        <v>60</v>
      </c>
      <c r="Y2078" s="76">
        <f>OrdersTable[[#This Row],[Net Revenue]]-OrdersTable[[#This Row],[COGS]]-OrdersTable[[#This Row],[Shipping Cost]]</f>
        <v>1830.1999999999998</v>
      </c>
      <c r="Z2078" s="78">
        <f>IFERROR(OrdersTable[[#This Row],[Profit]]/OrdersTable[[#This Row],[Net Revenue]],0)</f>
        <v>0.46238189075842551</v>
      </c>
      <c r="AA2078" t="s">
        <v>2522</v>
      </c>
      <c r="AB2078" s="79">
        <v>45657</v>
      </c>
      <c r="AC2078">
        <f>OrdersTable[[#This Row],[Delivery Date]]-OrdersTable[[#This Row],[Order Date]]</f>
        <v>6</v>
      </c>
      <c r="AD2078" t="str">
        <f>IF(OrdersTable[[#This Row],[Delivery Days]]&lt;=2, "Express (≤2d)", IF(OrdersTable[[#This Row],[Delivery Days]]&lt;=4, "Standard (3-4d)", "Delayed (5d+)"))</f>
        <v>Delayed (5d+)</v>
      </c>
      <c r="AE2078">
        <v>4</v>
      </c>
      <c r="AF2078">
        <v>0</v>
      </c>
    </row>
    <row r="2079" spans="1:32" ht="15" x14ac:dyDescent="0.35">
      <c r="A2079" t="s">
        <v>6547</v>
      </c>
      <c r="B2079" s="1">
        <v>45651</v>
      </c>
      <c r="C2079">
        <f>YEAR(OrdersTable[[#This Row],[Order Date]])</f>
        <v>2024</v>
      </c>
      <c r="D2079" s="2">
        <f>DATE(YEAR(OrdersTable[[#This Row],[Order Date]]),MONTH(OrdersTable[[#This Row],[Order Date]]),1)</f>
        <v>45627</v>
      </c>
      <c r="E2079">
        <f>MONTH(OrdersTable[[#This Row],[Order Date]])</f>
        <v>12</v>
      </c>
      <c r="F2079" t="s">
        <v>479</v>
      </c>
      <c r="G2079" t="str">
        <f>IF(OrdersTable[[#This Row],[Order Date]]=_xlfn.MINIFS(Order_Date, Customer_ID, OrdersTable[[#This Row],[Customer ID]]), "New", "Repeat")</f>
        <v>Repeat</v>
      </c>
      <c r="H2079" t="s">
        <v>27</v>
      </c>
      <c r="I2079" t="str">
        <f>INDEX(State!B:B,MATCH(OrdersTable[[#This Row],[State]],State!A:A,0))</f>
        <v>WB</v>
      </c>
      <c r="J2079" t="str">
        <f>INDEX(State!C:C,MATCH(OrdersTable[[#This Row],[State Code]],State!B:B,0))</f>
        <v>East</v>
      </c>
      <c r="K2079" t="s">
        <v>28</v>
      </c>
      <c r="L2079" t="s">
        <v>23</v>
      </c>
      <c r="M2079" t="s">
        <v>56</v>
      </c>
      <c r="N2079" t="str">
        <f>INDEX(Products!B:B,MATCH(OrdersTable[[#This Row],[Product ID]],Products!A:A,0))</f>
        <v>Vitamin C Face Serum</v>
      </c>
      <c r="O2079" t="str">
        <f>INDEX(Products!C:C,MATCH(OrdersTable[[#This Row],[Product ID]],Products!A:A,0))</f>
        <v>Skincare</v>
      </c>
      <c r="P2079">
        <v>3</v>
      </c>
      <c r="Q2079" s="5">
        <v>599</v>
      </c>
      <c r="R2079" s="74">
        <v>0.25</v>
      </c>
      <c r="S2079" s="75">
        <f>OrdersTable[[#This Row],[Quantity]]*OrdersTable[[#This Row],[Unit Price]]</f>
        <v>1797</v>
      </c>
      <c r="T2079" s="5">
        <f>OrdersTable[[#This Row],[Gross Sale]]*OrdersTable[[#This Row],[Discount_Clean2]]</f>
        <v>449.25</v>
      </c>
      <c r="U2079" s="5">
        <f>OrdersTable[[#This Row],[Gross Sale]]-OrdersTable[[#This Row],[Discount Amount]]</f>
        <v>1347.75</v>
      </c>
      <c r="V2079" s="77">
        <f>INDEX(Products!E:E,MATCH(OrdersTable[[#This Row],[Product ID]],Products!A:A,0))</f>
        <v>180</v>
      </c>
      <c r="W2079" s="77">
        <f>OrdersTable[[#This Row],[Quantity]]*OrdersTable[[#This Row],[Unit Cost]]</f>
        <v>540</v>
      </c>
      <c r="X2079" s="77">
        <f>'Dropdown Lists'!$I$2*(1+OrdersTable[[#This Row],[Returned]])</f>
        <v>60</v>
      </c>
      <c r="Y2079" s="76">
        <f>OrdersTable[[#This Row],[Net Revenue]]-OrdersTable[[#This Row],[COGS]]-OrdersTable[[#This Row],[Shipping Cost]]</f>
        <v>747.75</v>
      </c>
      <c r="Z2079" s="78">
        <f>IFERROR(OrdersTable[[#This Row],[Profit]]/OrdersTable[[#This Row],[Net Revenue]],0)</f>
        <v>0.5548135781858653</v>
      </c>
      <c r="AA2079" t="s">
        <v>18</v>
      </c>
      <c r="AB2079" s="79">
        <v>45653</v>
      </c>
      <c r="AC2079">
        <f>OrdersTable[[#This Row],[Delivery Date]]-OrdersTable[[#This Row],[Order Date]]</f>
        <v>2</v>
      </c>
      <c r="AD2079" t="str">
        <f>IF(OrdersTable[[#This Row],[Delivery Days]]&lt;=2, "Express (≤2d)", IF(OrdersTable[[#This Row],[Delivery Days]]&lt;=4, "Standard (3-4d)", "Delayed (5d+)"))</f>
        <v>Express (≤2d)</v>
      </c>
      <c r="AE2079">
        <v>5</v>
      </c>
      <c r="AF2079">
        <v>0</v>
      </c>
    </row>
    <row r="2080" spans="1:32" ht="15" x14ac:dyDescent="0.35">
      <c r="A2080" t="s">
        <v>5161</v>
      </c>
      <c r="B2080" s="1">
        <v>45651</v>
      </c>
      <c r="C2080">
        <f>YEAR(OrdersTable[[#This Row],[Order Date]])</f>
        <v>2024</v>
      </c>
      <c r="D2080" s="2">
        <f>DATE(YEAR(OrdersTable[[#This Row],[Order Date]]),MONTH(OrdersTable[[#This Row],[Order Date]]),1)</f>
        <v>45627</v>
      </c>
      <c r="E2080">
        <f>MONTH(OrdersTable[[#This Row],[Order Date]])</f>
        <v>12</v>
      </c>
      <c r="F2080" t="s">
        <v>1218</v>
      </c>
      <c r="G2080" t="str">
        <f>IF(OrdersTable[[#This Row],[Order Date]]=_xlfn.MINIFS(Order_Date, Customer_ID, OrdersTable[[#This Row],[Customer ID]]), "New", "Repeat")</f>
        <v>Repeat</v>
      </c>
      <c r="H2080" t="s">
        <v>27</v>
      </c>
      <c r="I2080" t="str">
        <f>INDEX(State!B:B,MATCH(OrdersTable[[#This Row],[State]],State!A:A,0))</f>
        <v>WB</v>
      </c>
      <c r="J2080" t="str">
        <f>INDEX(State!C:C,MATCH(OrdersTable[[#This Row],[State Code]],State!B:B,0))</f>
        <v>East</v>
      </c>
      <c r="K2080" t="s">
        <v>28</v>
      </c>
      <c r="L2080" t="s">
        <v>65</v>
      </c>
      <c r="M2080" t="s">
        <v>565</v>
      </c>
      <c r="N2080" t="str">
        <f>INDEX(Products!B:B,MATCH(OrdersTable[[#This Row],[Product ID]],Products!A:A,0))</f>
        <v>Ceramic Dinner Set</v>
      </c>
      <c r="O2080" t="str">
        <f>INDEX(Products!C:C,MATCH(OrdersTable[[#This Row],[Product ID]],Products!A:A,0))</f>
        <v>Home &amp; Kitchen</v>
      </c>
      <c r="P2080">
        <v>2</v>
      </c>
      <c r="Q2080" s="5">
        <v>2499</v>
      </c>
      <c r="R2080" s="74">
        <v>0.3</v>
      </c>
      <c r="S2080" s="75">
        <f>OrdersTable[[#This Row],[Quantity]]*OrdersTable[[#This Row],[Unit Price]]</f>
        <v>4998</v>
      </c>
      <c r="T2080" s="5">
        <f>OrdersTable[[#This Row],[Gross Sale]]*OrdersTable[[#This Row],[Discount_Clean2]]</f>
        <v>1499.3999999999999</v>
      </c>
      <c r="U2080" s="5">
        <f>OrdersTable[[#This Row],[Gross Sale]]-OrdersTable[[#This Row],[Discount Amount]]</f>
        <v>3498.6000000000004</v>
      </c>
      <c r="V2080" s="77">
        <f>INDEX(Products!E:E,MATCH(OrdersTable[[#This Row],[Product ID]],Products!A:A,0))</f>
        <v>1250</v>
      </c>
      <c r="W2080" s="77">
        <f>OrdersTable[[#This Row],[Quantity]]*OrdersTable[[#This Row],[Unit Cost]]</f>
        <v>2500</v>
      </c>
      <c r="X2080" s="77">
        <f>'Dropdown Lists'!$I$2*(1+OrdersTable[[#This Row],[Returned]])</f>
        <v>60</v>
      </c>
      <c r="Y2080" s="76">
        <f>OrdersTable[[#This Row],[Net Revenue]]-OrdersTable[[#This Row],[COGS]]-OrdersTable[[#This Row],[Shipping Cost]]</f>
        <v>938.60000000000036</v>
      </c>
      <c r="Z2080" s="78">
        <f>IFERROR(OrdersTable[[#This Row],[Profit]]/OrdersTable[[#This Row],[Net Revenue]],0)</f>
        <v>0.26827874006745561</v>
      </c>
      <c r="AA2080" t="s">
        <v>3495</v>
      </c>
      <c r="AB2080" s="79">
        <v>45654</v>
      </c>
      <c r="AC2080">
        <f>OrdersTable[[#This Row],[Delivery Date]]-OrdersTable[[#This Row],[Order Date]]</f>
        <v>3</v>
      </c>
      <c r="AD2080" t="str">
        <f>IF(OrdersTable[[#This Row],[Delivery Days]]&lt;=2, "Express (≤2d)", IF(OrdersTable[[#This Row],[Delivery Days]]&lt;=4, "Standard (3-4d)", "Delayed (5d+)"))</f>
        <v>Standard (3-4d)</v>
      </c>
      <c r="AE2080">
        <v>4</v>
      </c>
      <c r="AF2080">
        <v>0</v>
      </c>
    </row>
    <row r="2081" spans="1:32" ht="15" x14ac:dyDescent="0.35">
      <c r="A2081" t="s">
        <v>4965</v>
      </c>
      <c r="B2081" s="1">
        <v>45651</v>
      </c>
      <c r="C2081">
        <f>YEAR(OrdersTable[[#This Row],[Order Date]])</f>
        <v>2024</v>
      </c>
      <c r="D2081" s="2">
        <f>DATE(YEAR(OrdersTable[[#This Row],[Order Date]]),MONTH(OrdersTable[[#This Row],[Order Date]]),1)</f>
        <v>45627</v>
      </c>
      <c r="E2081">
        <f>MONTH(OrdersTable[[#This Row],[Order Date]])</f>
        <v>12</v>
      </c>
      <c r="F2081" t="s">
        <v>804</v>
      </c>
      <c r="G2081" t="str">
        <f>IF(OrdersTable[[#This Row],[Order Date]]=_xlfn.MINIFS(Order_Date, Customer_ID, OrdersTable[[#This Row],[Customer ID]]), "New", "Repeat")</f>
        <v>Repeat</v>
      </c>
      <c r="H2081" t="s">
        <v>95</v>
      </c>
      <c r="I2081" t="str">
        <f>INDEX(State!B:B,MATCH(OrdersTable[[#This Row],[State]],State!A:A,0))</f>
        <v>TG</v>
      </c>
      <c r="J2081" t="str">
        <f>INDEX(State!C:C,MATCH(OrdersTable[[#This Row],[State Code]],State!B:B,0))</f>
        <v>South</v>
      </c>
      <c r="K2081" t="s">
        <v>96</v>
      </c>
      <c r="L2081" t="s">
        <v>65</v>
      </c>
      <c r="M2081" t="s">
        <v>179</v>
      </c>
      <c r="N2081" t="str">
        <f>INDEX(Products!B:B,MATCH(OrdersTable[[#This Row],[Product ID]],Products!A:A,0))</f>
        <v>Whey Protein 1kg</v>
      </c>
      <c r="O2081" t="str">
        <f>INDEX(Products!C:C,MATCH(OrdersTable[[#This Row],[Product ID]],Products!A:A,0))</f>
        <v>Wellness</v>
      </c>
      <c r="P2081">
        <v>2</v>
      </c>
      <c r="Q2081" s="5">
        <v>2299</v>
      </c>
      <c r="R2081" s="74">
        <v>0.45</v>
      </c>
      <c r="S2081" s="75">
        <f>OrdersTable[[#This Row],[Quantity]]*OrdersTable[[#This Row],[Unit Price]]</f>
        <v>4598</v>
      </c>
      <c r="T2081" s="5">
        <f>OrdersTable[[#This Row],[Gross Sale]]*OrdersTable[[#This Row],[Discount_Clean2]]</f>
        <v>2069.1</v>
      </c>
      <c r="U2081" s="5">
        <f>OrdersTable[[#This Row],[Gross Sale]]-OrdersTable[[#This Row],[Discount Amount]]</f>
        <v>2528.9</v>
      </c>
      <c r="V2081" s="77">
        <f>INDEX(Products!E:E,MATCH(OrdersTable[[#This Row],[Product ID]],Products!A:A,0))</f>
        <v>1333</v>
      </c>
      <c r="W2081" s="77">
        <f>OrdersTable[[#This Row],[Quantity]]*OrdersTable[[#This Row],[Unit Cost]]</f>
        <v>2666</v>
      </c>
      <c r="X2081" s="77">
        <f>'Dropdown Lists'!$I$2*(1+OrdersTable[[#This Row],[Returned]])</f>
        <v>60</v>
      </c>
      <c r="Y2081" s="76">
        <f>OrdersTable[[#This Row],[Net Revenue]]-OrdersTable[[#This Row],[COGS]]-OrdersTable[[#This Row],[Shipping Cost]]</f>
        <v>-197.09999999999991</v>
      </c>
      <c r="Z2081" s="78">
        <f>IFERROR(OrdersTable[[#This Row],[Profit]]/OrdersTable[[#This Row],[Net Revenue]],0)</f>
        <v>-7.7939024872474158E-2</v>
      </c>
      <c r="AA2081" t="s">
        <v>4074</v>
      </c>
      <c r="AB2081" s="79">
        <v>45655</v>
      </c>
      <c r="AC2081">
        <f>OrdersTable[[#This Row],[Delivery Date]]-OrdersTable[[#This Row],[Order Date]]</f>
        <v>4</v>
      </c>
      <c r="AD2081" t="str">
        <f>IF(OrdersTable[[#This Row],[Delivery Days]]&lt;=2, "Express (≤2d)", IF(OrdersTable[[#This Row],[Delivery Days]]&lt;=4, "Standard (3-4d)", "Delayed (5d+)"))</f>
        <v>Standard (3-4d)</v>
      </c>
      <c r="AE2081">
        <v>3</v>
      </c>
      <c r="AF2081">
        <v>0</v>
      </c>
    </row>
    <row r="2082" spans="1:32" ht="15" x14ac:dyDescent="0.35">
      <c r="A2082" t="s">
        <v>6331</v>
      </c>
      <c r="B2082" s="1">
        <v>45651</v>
      </c>
      <c r="C2082">
        <f>YEAR(OrdersTable[[#This Row],[Order Date]])</f>
        <v>2024</v>
      </c>
      <c r="D2082" s="2">
        <f>DATE(YEAR(OrdersTable[[#This Row],[Order Date]]),MONTH(OrdersTable[[#This Row],[Order Date]]),1)</f>
        <v>45627</v>
      </c>
      <c r="E2082">
        <f>MONTH(OrdersTable[[#This Row],[Order Date]])</f>
        <v>12</v>
      </c>
      <c r="F2082" t="s">
        <v>6332</v>
      </c>
      <c r="G2082" t="str">
        <f>IF(OrdersTable[[#This Row],[Order Date]]=_xlfn.MINIFS(Order_Date, Customer_ID, OrdersTable[[#This Row],[Customer ID]]), "New", "Repeat")</f>
        <v>New</v>
      </c>
      <c r="H2082" t="s">
        <v>167</v>
      </c>
      <c r="I2082" t="str">
        <f>INDEX(State!B:B,MATCH(OrdersTable[[#This Row],[State]],State!A:A,0))</f>
        <v>KA</v>
      </c>
      <c r="J2082" t="str">
        <f>INDEX(State!C:C,MATCH(OrdersTable[[#This Row],[State Code]],State!B:B,0))</f>
        <v>South</v>
      </c>
      <c r="K2082" t="s">
        <v>168</v>
      </c>
      <c r="L2082" t="s">
        <v>65</v>
      </c>
      <c r="M2082" t="s">
        <v>51</v>
      </c>
      <c r="N2082" t="str">
        <f>INDEX(Products!B:B,MATCH(OrdersTable[[#This Row],[Product ID]],Products!A:A,0))</f>
        <v>Anti-Dandruff Conditioner</v>
      </c>
      <c r="O2082" t="str">
        <f>INDEX(Products!C:C,MATCH(OrdersTable[[#This Row],[Product ID]],Products!A:A,0))</f>
        <v>Haircare</v>
      </c>
      <c r="P2082">
        <v>2</v>
      </c>
      <c r="Q2082" s="5">
        <v>399</v>
      </c>
      <c r="R2082" s="74">
        <v>0.35</v>
      </c>
      <c r="S2082" s="75">
        <f>OrdersTable[[#This Row],[Quantity]]*OrdersTable[[#This Row],[Unit Price]]</f>
        <v>798</v>
      </c>
      <c r="T2082" s="5">
        <f>OrdersTable[[#This Row],[Gross Sale]]*OrdersTable[[#This Row],[Discount_Clean2]]</f>
        <v>279.29999999999995</v>
      </c>
      <c r="U2082" s="5">
        <f>OrdersTable[[#This Row],[Gross Sale]]-OrdersTable[[#This Row],[Discount Amount]]</f>
        <v>518.70000000000005</v>
      </c>
      <c r="V2082" s="77">
        <f>INDEX(Products!E:E,MATCH(OrdersTable[[#This Row],[Product ID]],Products!A:A,0))</f>
        <v>136</v>
      </c>
      <c r="W2082" s="77">
        <f>OrdersTable[[#This Row],[Quantity]]*OrdersTable[[#This Row],[Unit Cost]]</f>
        <v>272</v>
      </c>
      <c r="X2082" s="77">
        <f>'Dropdown Lists'!$I$2*(1+OrdersTable[[#This Row],[Returned]])</f>
        <v>60</v>
      </c>
      <c r="Y2082" s="76">
        <f>OrdersTable[[#This Row],[Net Revenue]]-OrdersTable[[#This Row],[COGS]]-OrdersTable[[#This Row],[Shipping Cost]]</f>
        <v>186.70000000000005</v>
      </c>
      <c r="Z2082" s="78">
        <f>IFERROR(OrdersTable[[#This Row],[Profit]]/OrdersTable[[#This Row],[Net Revenue]],0)</f>
        <v>0.35993830730672843</v>
      </c>
      <c r="AA2082" t="s">
        <v>18</v>
      </c>
      <c r="AB2082" s="79">
        <v>45653</v>
      </c>
      <c r="AC2082">
        <f>OrdersTable[[#This Row],[Delivery Date]]-OrdersTable[[#This Row],[Order Date]]</f>
        <v>2</v>
      </c>
      <c r="AD2082" t="str">
        <f>IF(OrdersTable[[#This Row],[Delivery Days]]&lt;=2, "Express (≤2d)", IF(OrdersTable[[#This Row],[Delivery Days]]&lt;=4, "Standard (3-4d)", "Delayed (5d+)"))</f>
        <v>Express (≤2d)</v>
      </c>
      <c r="AE2082">
        <v>4</v>
      </c>
      <c r="AF2082">
        <v>0</v>
      </c>
    </row>
    <row r="2083" spans="1:32" ht="15" x14ac:dyDescent="0.35">
      <c r="A2083" t="s">
        <v>5162</v>
      </c>
      <c r="B2083" s="1">
        <v>45651</v>
      </c>
      <c r="C2083">
        <f>YEAR(OrdersTable[[#This Row],[Order Date]])</f>
        <v>2024</v>
      </c>
      <c r="D2083" s="2">
        <f>DATE(YEAR(OrdersTable[[#This Row],[Order Date]]),MONTH(OrdersTable[[#This Row],[Order Date]]),1)</f>
        <v>45627</v>
      </c>
      <c r="E2083">
        <f>MONTH(OrdersTable[[#This Row],[Order Date]])</f>
        <v>12</v>
      </c>
      <c r="F2083" t="s">
        <v>2938</v>
      </c>
      <c r="G2083" t="str">
        <f>IF(OrdersTable[[#This Row],[Order Date]]=_xlfn.MINIFS(Order_Date, Customer_ID, OrdersTable[[#This Row],[Customer ID]]), "New", "Repeat")</f>
        <v>Repeat</v>
      </c>
      <c r="H2083" t="s">
        <v>59</v>
      </c>
      <c r="I2083" t="str">
        <f>INDEX(State!B:B,MATCH(OrdersTable[[#This Row],[State]],State!A:A,0))</f>
        <v>TN</v>
      </c>
      <c r="J2083" t="str">
        <f>INDEX(State!C:C,MATCH(OrdersTable[[#This Row],[State Code]],State!B:B,0))</f>
        <v>South</v>
      </c>
      <c r="K2083" t="s">
        <v>64</v>
      </c>
      <c r="L2083" t="s">
        <v>50</v>
      </c>
      <c r="M2083" t="s">
        <v>40</v>
      </c>
      <c r="N2083" t="str">
        <f>INDEX(Products!B:B,MATCH(OrdersTable[[#This Row],[Product ID]],Products!A:A,0))</f>
        <v>Ashwagandha Capsules</v>
      </c>
      <c r="O2083" t="str">
        <f>INDEX(Products!C:C,MATCH(OrdersTable[[#This Row],[Product ID]],Products!A:A,0))</f>
        <v>Wellness</v>
      </c>
      <c r="P2083">
        <v>2</v>
      </c>
      <c r="Q2083" s="5">
        <v>499</v>
      </c>
      <c r="R2083" s="74">
        <v>0.05</v>
      </c>
      <c r="S2083" s="75">
        <f>OrdersTable[[#This Row],[Quantity]]*OrdersTable[[#This Row],[Unit Price]]</f>
        <v>998</v>
      </c>
      <c r="T2083" s="5">
        <f>OrdersTable[[#This Row],[Gross Sale]]*OrdersTable[[#This Row],[Discount_Clean2]]</f>
        <v>49.900000000000006</v>
      </c>
      <c r="U2083" s="5">
        <f>OrdersTable[[#This Row],[Gross Sale]]-OrdersTable[[#This Row],[Discount Amount]]</f>
        <v>948.1</v>
      </c>
      <c r="V2083" s="77">
        <f>INDEX(Products!E:E,MATCH(OrdersTable[[#This Row],[Product ID]],Products!A:A,0))</f>
        <v>150</v>
      </c>
      <c r="W2083" s="77">
        <f>OrdersTable[[#This Row],[Quantity]]*OrdersTable[[#This Row],[Unit Cost]]</f>
        <v>300</v>
      </c>
      <c r="X2083" s="77">
        <f>'Dropdown Lists'!$I$2*(1+OrdersTable[[#This Row],[Returned]])</f>
        <v>60</v>
      </c>
      <c r="Y2083" s="76">
        <f>OrdersTable[[#This Row],[Net Revenue]]-OrdersTable[[#This Row],[COGS]]-OrdersTable[[#This Row],[Shipping Cost]]</f>
        <v>588.1</v>
      </c>
      <c r="Z2083" s="78">
        <f>IFERROR(OrdersTable[[#This Row],[Profit]]/OrdersTable[[#This Row],[Net Revenue]],0)</f>
        <v>0.62029321801497728</v>
      </c>
      <c r="AA2083" t="s">
        <v>3495</v>
      </c>
      <c r="AB2083" s="79">
        <v>45655</v>
      </c>
      <c r="AC2083">
        <f>OrdersTable[[#This Row],[Delivery Date]]-OrdersTable[[#This Row],[Order Date]]</f>
        <v>4</v>
      </c>
      <c r="AD2083" t="str">
        <f>IF(OrdersTable[[#This Row],[Delivery Days]]&lt;=2, "Express (≤2d)", IF(OrdersTable[[#This Row],[Delivery Days]]&lt;=4, "Standard (3-4d)", "Delayed (5d+)"))</f>
        <v>Standard (3-4d)</v>
      </c>
      <c r="AE2083">
        <v>3</v>
      </c>
      <c r="AF2083">
        <v>0</v>
      </c>
    </row>
    <row r="2084" spans="1:32" ht="15" x14ac:dyDescent="0.35">
      <c r="A2084" t="s">
        <v>6548</v>
      </c>
      <c r="B2084" s="1">
        <v>45652</v>
      </c>
      <c r="C2084">
        <f>YEAR(OrdersTable[[#This Row],[Order Date]])</f>
        <v>2024</v>
      </c>
      <c r="D2084" s="2">
        <f>DATE(YEAR(OrdersTable[[#This Row],[Order Date]]),MONTH(OrdersTable[[#This Row],[Order Date]]),1)</f>
        <v>45627</v>
      </c>
      <c r="E2084">
        <f>MONTH(OrdersTable[[#This Row],[Order Date]])</f>
        <v>12</v>
      </c>
      <c r="F2084" t="s">
        <v>394</v>
      </c>
      <c r="G2084" t="str">
        <f>IF(OrdersTable[[#This Row],[Order Date]]=_xlfn.MINIFS(Order_Date, Customer_ID, OrdersTable[[#This Row],[Customer ID]]), "New", "Repeat")</f>
        <v>New</v>
      </c>
      <c r="H2084" t="s">
        <v>54</v>
      </c>
      <c r="I2084" t="str">
        <f>INDEX(State!B:B,MATCH(OrdersTable[[#This Row],[State]],State!A:A,0))</f>
        <v>RJ</v>
      </c>
      <c r="J2084" t="str">
        <f>INDEX(State!C:C,MATCH(OrdersTable[[#This Row],[State Code]],State!B:B,0))</f>
        <v>North</v>
      </c>
      <c r="K2084" t="s">
        <v>227</v>
      </c>
      <c r="L2084" t="s">
        <v>65</v>
      </c>
      <c r="M2084" t="s">
        <v>173</v>
      </c>
      <c r="N2084" t="str">
        <f>INDEX(Products!B:B,MATCH(OrdersTable[[#This Row],[Product ID]],Products!A:A,0))</f>
        <v>Wireless Earbuds</v>
      </c>
      <c r="O2084" t="str">
        <f>INDEX(Products!C:C,MATCH(OrdersTable[[#This Row],[Product ID]],Products!A:A,0))</f>
        <v>Electronics</v>
      </c>
      <c r="P2084">
        <v>3</v>
      </c>
      <c r="Q2084" s="5">
        <v>1999</v>
      </c>
      <c r="R2084" s="74">
        <v>0.35</v>
      </c>
      <c r="S2084" s="75">
        <f>OrdersTable[[#This Row],[Quantity]]*OrdersTable[[#This Row],[Unit Price]]</f>
        <v>5997</v>
      </c>
      <c r="T2084" s="5">
        <f>OrdersTable[[#This Row],[Gross Sale]]*OrdersTable[[#This Row],[Discount_Clean2]]</f>
        <v>2098.9499999999998</v>
      </c>
      <c r="U2084" s="5">
        <f>OrdersTable[[#This Row],[Gross Sale]]-OrdersTable[[#This Row],[Discount Amount]]</f>
        <v>3898.05</v>
      </c>
      <c r="V2084" s="77">
        <f>INDEX(Products!E:E,MATCH(OrdersTable[[#This Row],[Product ID]],Products!A:A,0))</f>
        <v>1239</v>
      </c>
      <c r="W2084" s="77">
        <f>OrdersTable[[#This Row],[Quantity]]*OrdersTable[[#This Row],[Unit Cost]]</f>
        <v>3717</v>
      </c>
      <c r="X2084" s="77">
        <f>'Dropdown Lists'!$I$2*(1+OrdersTable[[#This Row],[Returned]])</f>
        <v>60</v>
      </c>
      <c r="Y2084" s="76">
        <f>OrdersTable[[#This Row],[Net Revenue]]-OrdersTable[[#This Row],[COGS]]-OrdersTable[[#This Row],[Shipping Cost]]</f>
        <v>121.05000000000018</v>
      </c>
      <c r="Z2084" s="78">
        <f>IFERROR(OrdersTable[[#This Row],[Profit]]/OrdersTable[[#This Row],[Net Revenue]],0)</f>
        <v>3.1053988532727946E-2</v>
      </c>
      <c r="AA2084" t="s">
        <v>18</v>
      </c>
      <c r="AB2084" s="79">
        <v>45655</v>
      </c>
      <c r="AC2084">
        <f>OrdersTable[[#This Row],[Delivery Date]]-OrdersTable[[#This Row],[Order Date]]</f>
        <v>3</v>
      </c>
      <c r="AD2084" t="str">
        <f>IF(OrdersTable[[#This Row],[Delivery Days]]&lt;=2, "Express (≤2d)", IF(OrdersTable[[#This Row],[Delivery Days]]&lt;=4, "Standard (3-4d)", "Delayed (5d+)"))</f>
        <v>Standard (3-4d)</v>
      </c>
      <c r="AE2084">
        <v>4</v>
      </c>
      <c r="AF2084">
        <v>0</v>
      </c>
    </row>
    <row r="2085" spans="1:32" ht="15" x14ac:dyDescent="0.35">
      <c r="A2085" t="s">
        <v>6983</v>
      </c>
      <c r="B2085" s="1">
        <v>45652</v>
      </c>
      <c r="C2085">
        <f>YEAR(OrdersTable[[#This Row],[Order Date]])</f>
        <v>2024</v>
      </c>
      <c r="D2085" s="2">
        <f>DATE(YEAR(OrdersTable[[#This Row],[Order Date]]),MONTH(OrdersTable[[#This Row],[Order Date]]),1)</f>
        <v>45627</v>
      </c>
      <c r="E2085">
        <f>MONTH(OrdersTable[[#This Row],[Order Date]])</f>
        <v>12</v>
      </c>
      <c r="F2085" t="s">
        <v>1341</v>
      </c>
      <c r="G2085" t="str">
        <f>IF(OrdersTable[[#This Row],[Order Date]]=_xlfn.MINIFS(Order_Date, Customer_ID, OrdersTable[[#This Row],[Customer ID]]), "New", "Repeat")</f>
        <v>Repeat</v>
      </c>
      <c r="H2085" t="s">
        <v>128</v>
      </c>
      <c r="I2085" t="str">
        <f>INDEX(State!B:B,MATCH(OrdersTable[[#This Row],[State]],State!A:A,0))</f>
        <v>DL</v>
      </c>
      <c r="J2085" t="str">
        <f>INDEX(State!C:C,MATCH(OrdersTable[[#This Row],[State Code]],State!B:B,0))</f>
        <v>North</v>
      </c>
      <c r="K2085" t="s">
        <v>129</v>
      </c>
      <c r="L2085" t="s">
        <v>65</v>
      </c>
      <c r="M2085" t="s">
        <v>61</v>
      </c>
      <c r="N2085" t="str">
        <f>INDEX(Products!B:B,MATCH(OrdersTable[[#This Row],[Product ID]],Products!A:A,0))</f>
        <v>Multivitamin Gummies</v>
      </c>
      <c r="O2085" t="str">
        <f>INDEX(Products!C:C,MATCH(OrdersTable[[#This Row],[Product ID]],Products!A:A,0))</f>
        <v>Wellness</v>
      </c>
      <c r="P2085">
        <v>4</v>
      </c>
      <c r="Q2085" s="5">
        <v>699</v>
      </c>
      <c r="R2085" s="74">
        <v>0.2</v>
      </c>
      <c r="S2085" s="75">
        <f>OrdersTable[[#This Row],[Quantity]]*OrdersTable[[#This Row],[Unit Price]]</f>
        <v>2796</v>
      </c>
      <c r="T2085" s="5">
        <f>OrdersTable[[#This Row],[Gross Sale]]*OrdersTable[[#This Row],[Discount_Clean2]]</f>
        <v>559.20000000000005</v>
      </c>
      <c r="U2085" s="5">
        <f>OrdersTable[[#This Row],[Gross Sale]]-OrdersTable[[#This Row],[Discount Amount]]</f>
        <v>2236.8000000000002</v>
      </c>
      <c r="V2085" s="77">
        <f>INDEX(Products!E:E,MATCH(OrdersTable[[#This Row],[Product ID]],Products!A:A,0))</f>
        <v>238</v>
      </c>
      <c r="W2085" s="77">
        <f>OrdersTable[[#This Row],[Quantity]]*OrdersTable[[#This Row],[Unit Cost]]</f>
        <v>952</v>
      </c>
      <c r="X2085" s="77">
        <f>'Dropdown Lists'!$I$2*(1+OrdersTable[[#This Row],[Returned]])</f>
        <v>60</v>
      </c>
      <c r="Y2085" s="76">
        <f>OrdersTable[[#This Row],[Net Revenue]]-OrdersTable[[#This Row],[COGS]]-OrdersTable[[#This Row],[Shipping Cost]]</f>
        <v>1224.8000000000002</v>
      </c>
      <c r="Z2085" s="78">
        <f>IFERROR(OrdersTable[[#This Row],[Profit]]/OrdersTable[[#This Row],[Net Revenue]],0)</f>
        <v>0.54756795422031479</v>
      </c>
      <c r="AA2085" t="s">
        <v>4074</v>
      </c>
      <c r="AB2085" s="79">
        <v>45653</v>
      </c>
      <c r="AC2085">
        <f>OrdersTable[[#This Row],[Delivery Date]]-OrdersTable[[#This Row],[Order Date]]</f>
        <v>1</v>
      </c>
      <c r="AD2085" t="str">
        <f>IF(OrdersTable[[#This Row],[Delivery Days]]&lt;=2, "Express (≤2d)", IF(OrdersTable[[#This Row],[Delivery Days]]&lt;=4, "Standard (3-4d)", "Delayed (5d+)"))</f>
        <v>Express (≤2d)</v>
      </c>
      <c r="AF2085">
        <v>0</v>
      </c>
    </row>
    <row r="2086" spans="1:32" ht="15" x14ac:dyDescent="0.35">
      <c r="A2086" t="s">
        <v>6549</v>
      </c>
      <c r="B2086" s="1">
        <v>45652</v>
      </c>
      <c r="C2086">
        <f>YEAR(OrdersTable[[#This Row],[Order Date]])</f>
        <v>2024</v>
      </c>
      <c r="D2086" s="2">
        <f>DATE(YEAR(OrdersTable[[#This Row],[Order Date]]),MONTH(OrdersTable[[#This Row],[Order Date]]),1)</f>
        <v>45627</v>
      </c>
      <c r="E2086">
        <f>MONTH(OrdersTable[[#This Row],[Order Date]])</f>
        <v>12</v>
      </c>
      <c r="F2086" t="s">
        <v>3876</v>
      </c>
      <c r="G2086" t="str">
        <f>IF(OrdersTable[[#This Row],[Order Date]]=_xlfn.MINIFS(Order_Date, Customer_ID, OrdersTable[[#This Row],[Customer ID]]), "New", "Repeat")</f>
        <v>Repeat</v>
      </c>
      <c r="H2086" t="s">
        <v>32</v>
      </c>
      <c r="I2086" t="str">
        <f>INDEX(State!B:B,MATCH(OrdersTable[[#This Row],[State]],State!A:A,0))</f>
        <v>BR</v>
      </c>
      <c r="J2086" t="str">
        <f>INDEX(State!C:C,MATCH(OrdersTable[[#This Row],[State Code]],State!B:B,0))</f>
        <v>East</v>
      </c>
      <c r="K2086" t="s">
        <v>33</v>
      </c>
      <c r="L2086" t="s">
        <v>50</v>
      </c>
      <c r="M2086" t="s">
        <v>179</v>
      </c>
      <c r="N2086" t="str">
        <f>INDEX(Products!B:B,MATCH(OrdersTable[[#This Row],[Product ID]],Products!A:A,0))</f>
        <v>Whey Protein 1kg</v>
      </c>
      <c r="O2086" t="str">
        <f>INDEX(Products!C:C,MATCH(OrdersTable[[#This Row],[Product ID]],Products!A:A,0))</f>
        <v>Wellness</v>
      </c>
      <c r="P2086">
        <v>3</v>
      </c>
      <c r="Q2086" s="5">
        <v>2299</v>
      </c>
      <c r="R2086" s="74">
        <v>0.3</v>
      </c>
      <c r="S2086" s="75">
        <f>OrdersTable[[#This Row],[Quantity]]*OrdersTable[[#This Row],[Unit Price]]</f>
        <v>6897</v>
      </c>
      <c r="T2086" s="5">
        <f>OrdersTable[[#This Row],[Gross Sale]]*OrdersTable[[#This Row],[Discount_Clean2]]</f>
        <v>2069.1</v>
      </c>
      <c r="U2086" s="5">
        <f>OrdersTable[[#This Row],[Gross Sale]]-OrdersTable[[#This Row],[Discount Amount]]</f>
        <v>4827.8999999999996</v>
      </c>
      <c r="V2086" s="77">
        <f>INDEX(Products!E:E,MATCH(OrdersTable[[#This Row],[Product ID]],Products!A:A,0))</f>
        <v>1333</v>
      </c>
      <c r="W2086" s="77">
        <f>OrdersTable[[#This Row],[Quantity]]*OrdersTable[[#This Row],[Unit Cost]]</f>
        <v>3999</v>
      </c>
      <c r="X2086" s="77">
        <f>'Dropdown Lists'!$I$2*(1+OrdersTable[[#This Row],[Returned]])</f>
        <v>60</v>
      </c>
      <c r="Y2086" s="76">
        <f>OrdersTable[[#This Row],[Net Revenue]]-OrdersTable[[#This Row],[COGS]]-OrdersTable[[#This Row],[Shipping Cost]]</f>
        <v>768.89999999999964</v>
      </c>
      <c r="Z2086" s="78">
        <f>IFERROR(OrdersTable[[#This Row],[Profit]]/OrdersTable[[#This Row],[Net Revenue]],0)</f>
        <v>0.15926179084073813</v>
      </c>
      <c r="AA2086" t="s">
        <v>18</v>
      </c>
      <c r="AB2086" s="79">
        <v>45659</v>
      </c>
      <c r="AC2086">
        <f>OrdersTable[[#This Row],[Delivery Date]]-OrdersTable[[#This Row],[Order Date]]</f>
        <v>7</v>
      </c>
      <c r="AD2086" t="str">
        <f>IF(OrdersTable[[#This Row],[Delivery Days]]&lt;=2, "Express (≤2d)", IF(OrdersTable[[#This Row],[Delivery Days]]&lt;=4, "Standard (3-4d)", "Delayed (5d+)"))</f>
        <v>Delayed (5d+)</v>
      </c>
      <c r="AE2086">
        <v>4</v>
      </c>
      <c r="AF2086">
        <v>0</v>
      </c>
    </row>
    <row r="2087" spans="1:32" ht="15" x14ac:dyDescent="0.35">
      <c r="A2087" t="s">
        <v>5795</v>
      </c>
      <c r="B2087" s="1">
        <v>45652</v>
      </c>
      <c r="C2087">
        <f>YEAR(OrdersTable[[#This Row],[Order Date]])</f>
        <v>2024</v>
      </c>
      <c r="D2087" s="2">
        <f>DATE(YEAR(OrdersTable[[#This Row],[Order Date]]),MONTH(OrdersTable[[#This Row],[Order Date]]),1)</f>
        <v>45627</v>
      </c>
      <c r="E2087">
        <f>MONTH(OrdersTable[[#This Row],[Order Date]])</f>
        <v>12</v>
      </c>
      <c r="F2087" t="s">
        <v>5031</v>
      </c>
      <c r="G2087" t="str">
        <f>IF(OrdersTable[[#This Row],[Order Date]]=_xlfn.MINIFS(Order_Date, Customer_ID, OrdersTable[[#This Row],[Customer ID]]), "New", "Repeat")</f>
        <v>New</v>
      </c>
      <c r="H2087" t="s">
        <v>27</v>
      </c>
      <c r="I2087" t="str">
        <f>INDEX(State!B:B,MATCH(OrdersTable[[#This Row],[State]],State!A:A,0))</f>
        <v>WB</v>
      </c>
      <c r="J2087" t="str">
        <f>INDEX(State!C:C,MATCH(OrdersTable[[#This Row],[State Code]],State!B:B,0))</f>
        <v>East</v>
      </c>
      <c r="K2087" t="s">
        <v>28</v>
      </c>
      <c r="L2087" t="s">
        <v>39</v>
      </c>
      <c r="M2087" t="s">
        <v>66</v>
      </c>
      <c r="N2087" t="str">
        <f>INDEX(Products!B:B,MATCH(OrdersTable[[#This Row],[Product ID]],Products!A:A,0))</f>
        <v>Sunscreen SPF 50</v>
      </c>
      <c r="O2087" t="str">
        <f>INDEX(Products!C:C,MATCH(OrdersTable[[#This Row],[Product ID]],Products!A:A,0))</f>
        <v>Skincare</v>
      </c>
      <c r="P2087">
        <v>2</v>
      </c>
      <c r="Q2087" s="5">
        <v>449</v>
      </c>
      <c r="R2087" s="74">
        <v>0</v>
      </c>
      <c r="S2087" s="75">
        <f>OrdersTable[[#This Row],[Quantity]]*OrdersTable[[#This Row],[Unit Price]]</f>
        <v>898</v>
      </c>
      <c r="T2087" s="5">
        <f>OrdersTable[[#This Row],[Gross Sale]]*OrdersTable[[#This Row],[Discount_Clean2]]</f>
        <v>0</v>
      </c>
      <c r="U2087" s="5">
        <f>OrdersTable[[#This Row],[Gross Sale]]-OrdersTable[[#This Row],[Discount Amount]]</f>
        <v>898</v>
      </c>
      <c r="V2087" s="77">
        <f>INDEX(Products!E:E,MATCH(OrdersTable[[#This Row],[Product ID]],Products!A:A,0))</f>
        <v>144</v>
      </c>
      <c r="W2087" s="77">
        <f>OrdersTable[[#This Row],[Quantity]]*OrdersTable[[#This Row],[Unit Cost]]</f>
        <v>288</v>
      </c>
      <c r="X2087" s="77">
        <f>'Dropdown Lists'!$I$2*(1+OrdersTable[[#This Row],[Returned]])</f>
        <v>60</v>
      </c>
      <c r="Y2087" s="76">
        <f>OrdersTable[[#This Row],[Net Revenue]]-OrdersTable[[#This Row],[COGS]]-OrdersTable[[#This Row],[Shipping Cost]]</f>
        <v>550</v>
      </c>
      <c r="Z2087" s="78">
        <f>IFERROR(OrdersTable[[#This Row],[Profit]]/OrdersTable[[#This Row],[Net Revenue]],0)</f>
        <v>0.61247216035634744</v>
      </c>
      <c r="AA2087" t="s">
        <v>18</v>
      </c>
      <c r="AB2087" s="79">
        <v>45655</v>
      </c>
      <c r="AC2087">
        <f>OrdersTable[[#This Row],[Delivery Date]]-OrdersTable[[#This Row],[Order Date]]</f>
        <v>3</v>
      </c>
      <c r="AD2087" t="str">
        <f>IF(OrdersTable[[#This Row],[Delivery Days]]&lt;=2, "Express (≤2d)", IF(OrdersTable[[#This Row],[Delivery Days]]&lt;=4, "Standard (3-4d)", "Delayed (5d+)"))</f>
        <v>Standard (3-4d)</v>
      </c>
      <c r="AE2087">
        <v>5</v>
      </c>
      <c r="AF2087">
        <v>0</v>
      </c>
    </row>
    <row r="2088" spans="1:32" ht="15" x14ac:dyDescent="0.35">
      <c r="A2088" t="s">
        <v>6133</v>
      </c>
      <c r="B2088" s="1">
        <v>45652</v>
      </c>
      <c r="C2088">
        <f>YEAR(OrdersTable[[#This Row],[Order Date]])</f>
        <v>2024</v>
      </c>
      <c r="D2088" s="2">
        <f>DATE(YEAR(OrdersTable[[#This Row],[Order Date]]),MONTH(OrdersTable[[#This Row],[Order Date]]),1)</f>
        <v>45627</v>
      </c>
      <c r="E2088">
        <f>MONTH(OrdersTable[[#This Row],[Order Date]])</f>
        <v>12</v>
      </c>
      <c r="F2088" t="s">
        <v>1856</v>
      </c>
      <c r="G2088" t="str">
        <f>IF(OrdersTable[[#This Row],[Order Date]]=_xlfn.MINIFS(Order_Date, Customer_ID, OrdersTable[[#This Row],[Customer ID]]), "New", "Repeat")</f>
        <v>Repeat</v>
      </c>
      <c r="H2088" t="s">
        <v>71</v>
      </c>
      <c r="I2088" t="str">
        <f>INDEX(State!B:B,MATCH(OrdersTable[[#This Row],[State]],State!A:A,0))</f>
        <v>MH</v>
      </c>
      <c r="J2088" t="str">
        <f>INDEX(State!C:C,MATCH(OrdersTable[[#This Row],[State Code]],State!B:B,0))</f>
        <v>West</v>
      </c>
      <c r="K2088" t="s">
        <v>102</v>
      </c>
      <c r="L2088" t="s">
        <v>65</v>
      </c>
      <c r="M2088" t="s">
        <v>109</v>
      </c>
      <c r="N2088" t="str">
        <f>INDEX(Products!B:B,MATCH(OrdersTable[[#This Row],[Product ID]],Products!A:A,0))</f>
        <v>Onion Hair Oil</v>
      </c>
      <c r="O2088" t="str">
        <f>INDEX(Products!C:C,MATCH(OrdersTable[[#This Row],[Product ID]],Products!A:A,0))</f>
        <v>Haircare</v>
      </c>
      <c r="P2088">
        <v>2</v>
      </c>
      <c r="Q2088" s="5">
        <v>349</v>
      </c>
      <c r="R2088" s="74">
        <v>0.4</v>
      </c>
      <c r="S2088" s="75">
        <f>OrdersTable[[#This Row],[Quantity]]*OrdersTable[[#This Row],[Unit Price]]</f>
        <v>698</v>
      </c>
      <c r="T2088" s="5">
        <f>OrdersTable[[#This Row],[Gross Sale]]*OrdersTable[[#This Row],[Discount_Clean2]]</f>
        <v>279.2</v>
      </c>
      <c r="U2088" s="5">
        <f>OrdersTable[[#This Row],[Gross Sale]]-OrdersTable[[#This Row],[Discount Amount]]</f>
        <v>418.8</v>
      </c>
      <c r="V2088" s="77">
        <f>INDEX(Products!E:E,MATCH(OrdersTable[[#This Row],[Product ID]],Products!A:A,0))</f>
        <v>105</v>
      </c>
      <c r="W2088" s="77">
        <f>OrdersTable[[#This Row],[Quantity]]*OrdersTable[[#This Row],[Unit Cost]]</f>
        <v>210</v>
      </c>
      <c r="X2088" s="77">
        <f>'Dropdown Lists'!$I$2*(1+OrdersTable[[#This Row],[Returned]])</f>
        <v>60</v>
      </c>
      <c r="Y2088" s="76">
        <f>OrdersTable[[#This Row],[Net Revenue]]-OrdersTable[[#This Row],[COGS]]-OrdersTable[[#This Row],[Shipping Cost]]</f>
        <v>148.80000000000001</v>
      </c>
      <c r="Z2088" s="78">
        <f>IFERROR(OrdersTable[[#This Row],[Profit]]/OrdersTable[[#This Row],[Net Revenue]],0)</f>
        <v>0.35530085959885388</v>
      </c>
      <c r="AA2088" t="s">
        <v>18</v>
      </c>
      <c r="AB2088" s="79">
        <v>45653</v>
      </c>
      <c r="AC2088">
        <f>OrdersTable[[#This Row],[Delivery Date]]-OrdersTable[[#This Row],[Order Date]]</f>
        <v>1</v>
      </c>
      <c r="AD2088" t="str">
        <f>IF(OrdersTable[[#This Row],[Delivery Days]]&lt;=2, "Express (≤2d)", IF(OrdersTable[[#This Row],[Delivery Days]]&lt;=4, "Standard (3-4d)", "Delayed (5d+)"))</f>
        <v>Express (≤2d)</v>
      </c>
      <c r="AE2088">
        <v>4</v>
      </c>
      <c r="AF2088">
        <v>0</v>
      </c>
    </row>
    <row r="2089" spans="1:32" ht="15" x14ac:dyDescent="0.35">
      <c r="A2089" t="s">
        <v>956</v>
      </c>
      <c r="B2089" s="1">
        <v>45653</v>
      </c>
      <c r="C2089">
        <f>YEAR(OrdersTable[[#This Row],[Order Date]])</f>
        <v>2024</v>
      </c>
      <c r="D2089" s="2">
        <f>DATE(YEAR(OrdersTable[[#This Row],[Order Date]]),MONTH(OrdersTable[[#This Row],[Order Date]]),1)</f>
        <v>45627</v>
      </c>
      <c r="E2089">
        <f>MONTH(OrdersTable[[#This Row],[Order Date]])</f>
        <v>12</v>
      </c>
      <c r="F2089" t="s">
        <v>957</v>
      </c>
      <c r="G2089" t="str">
        <f>IF(OrdersTable[[#This Row],[Order Date]]=_xlfn.MINIFS(Order_Date, Customer_ID, OrdersTable[[#This Row],[Customer ID]]), "New", "Repeat")</f>
        <v>New</v>
      </c>
      <c r="H2089" t="s">
        <v>21</v>
      </c>
      <c r="I2089" t="str">
        <f>INDEX(State!B:B,MATCH(OrdersTable[[#This Row],[State]],State!A:A,0))</f>
        <v>PB</v>
      </c>
      <c r="J2089" t="str">
        <f>INDEX(State!C:C,MATCH(OrdersTable[[#This Row],[State Code]],State!B:B,0))</f>
        <v>North</v>
      </c>
      <c r="K2089" t="s">
        <v>22</v>
      </c>
      <c r="L2089" t="s">
        <v>16</v>
      </c>
      <c r="M2089" t="s">
        <v>17</v>
      </c>
      <c r="N2089" t="str">
        <f>INDEX(Products!B:B,MATCH(OrdersTable[[#This Row],[Product ID]],Products!A:A,0))</f>
        <v>Casual Sneakers</v>
      </c>
      <c r="O2089" t="str">
        <f>INDEX(Products!C:C,MATCH(OrdersTable[[#This Row],[Product ID]],Products!A:A,0))</f>
        <v>Footwear</v>
      </c>
      <c r="P2089">
        <v>1</v>
      </c>
      <c r="Q2089" s="5">
        <v>2199</v>
      </c>
      <c r="R2089" s="74">
        <v>0.25</v>
      </c>
      <c r="S2089" s="75">
        <f>OrdersTable[[#This Row],[Quantity]]*OrdersTable[[#This Row],[Unit Price]]</f>
        <v>2199</v>
      </c>
      <c r="T2089" s="5">
        <f>OrdersTable[[#This Row],[Gross Sale]]*OrdersTable[[#This Row],[Discount_Clean2]]</f>
        <v>549.75</v>
      </c>
      <c r="U2089" s="5">
        <f>OrdersTable[[#This Row],[Gross Sale]]-OrdersTable[[#This Row],[Discount Amount]]</f>
        <v>1649.25</v>
      </c>
      <c r="V2089" s="77">
        <f>INDEX(Products!E:E,MATCH(OrdersTable[[#This Row],[Product ID]],Products!A:A,0))</f>
        <v>1034</v>
      </c>
      <c r="W2089" s="77">
        <f>OrdersTable[[#This Row],[Quantity]]*OrdersTable[[#This Row],[Unit Cost]]</f>
        <v>1034</v>
      </c>
      <c r="X2089" s="77">
        <f>'Dropdown Lists'!$I$2*(1+OrdersTable[[#This Row],[Returned]])</f>
        <v>60</v>
      </c>
      <c r="Y2089" s="76">
        <f>OrdersTable[[#This Row],[Net Revenue]]-OrdersTable[[#This Row],[COGS]]-OrdersTable[[#This Row],[Shipping Cost]]</f>
        <v>555.25</v>
      </c>
      <c r="Z2089" s="78">
        <f>IFERROR(OrdersTable[[#This Row],[Profit]]/OrdersTable[[#This Row],[Net Revenue]],0)</f>
        <v>0.33666818250720026</v>
      </c>
      <c r="AA2089" t="s">
        <v>18</v>
      </c>
      <c r="AB2089" s="79">
        <v>45657</v>
      </c>
      <c r="AC2089">
        <f>OrdersTable[[#This Row],[Delivery Date]]-OrdersTable[[#This Row],[Order Date]]</f>
        <v>4</v>
      </c>
      <c r="AD2089" t="str">
        <f>IF(OrdersTable[[#This Row],[Delivery Days]]&lt;=2, "Express (≤2d)", IF(OrdersTable[[#This Row],[Delivery Days]]&lt;=4, "Standard (3-4d)", "Delayed (5d+)"))</f>
        <v>Standard (3-4d)</v>
      </c>
      <c r="AE2089">
        <v>4</v>
      </c>
      <c r="AF2089">
        <v>0</v>
      </c>
    </row>
    <row r="2090" spans="1:32" ht="15" x14ac:dyDescent="0.35">
      <c r="A2090" t="s">
        <v>5696</v>
      </c>
      <c r="B2090" s="1">
        <v>45653</v>
      </c>
      <c r="C2090">
        <f>YEAR(OrdersTable[[#This Row],[Order Date]])</f>
        <v>2024</v>
      </c>
      <c r="D2090" s="2">
        <f>DATE(YEAR(OrdersTable[[#This Row],[Order Date]]),MONTH(OrdersTable[[#This Row],[Order Date]]),1)</f>
        <v>45627</v>
      </c>
      <c r="E2090">
        <f>MONTH(OrdersTable[[#This Row],[Order Date]])</f>
        <v>12</v>
      </c>
      <c r="F2090" t="s">
        <v>5697</v>
      </c>
      <c r="G2090" t="str">
        <f>IF(OrdersTable[[#This Row],[Order Date]]=_xlfn.MINIFS(Order_Date, Customer_ID, OrdersTable[[#This Row],[Customer ID]]), "New", "Repeat")</f>
        <v>New</v>
      </c>
      <c r="H2090" t="s">
        <v>76</v>
      </c>
      <c r="I2090" t="str">
        <f>INDEX(State!B:B,MATCH(OrdersTable[[#This Row],[State]],State!A:A,0))</f>
        <v>UP</v>
      </c>
      <c r="J2090" t="str">
        <f>INDEX(State!C:C,MATCH(OrdersTable[[#This Row],[State Code]],State!B:B,0))</f>
        <v>North</v>
      </c>
      <c r="K2090" t="s">
        <v>77</v>
      </c>
      <c r="L2090" t="s">
        <v>39</v>
      </c>
      <c r="M2090" t="s">
        <v>45</v>
      </c>
      <c r="N2090" t="str">
        <f>INDEX(Products!B:B,MATCH(OrdersTable[[#This Row],[Product ID]],Products!A:A,0))</f>
        <v>Argan Shampoo</v>
      </c>
      <c r="O2090" t="str">
        <f>INDEX(Products!C:C,MATCH(OrdersTable[[#This Row],[Product ID]],Products!A:A,0))</f>
        <v>Haircare</v>
      </c>
      <c r="P2090">
        <v>2</v>
      </c>
      <c r="Q2090" s="5">
        <v>449</v>
      </c>
      <c r="R2090" s="74">
        <v>0</v>
      </c>
      <c r="S2090" s="75">
        <f>OrdersTable[[#This Row],[Quantity]]*OrdersTable[[#This Row],[Unit Price]]</f>
        <v>898</v>
      </c>
      <c r="T2090" s="5">
        <f>OrdersTable[[#This Row],[Gross Sale]]*OrdersTable[[#This Row],[Discount_Clean2]]</f>
        <v>0</v>
      </c>
      <c r="U2090" s="5">
        <f>OrdersTable[[#This Row],[Gross Sale]]-OrdersTable[[#This Row],[Discount Amount]]</f>
        <v>898</v>
      </c>
      <c r="V2090" s="77">
        <f>INDEX(Products!E:E,MATCH(OrdersTable[[#This Row],[Product ID]],Products!A:A,0))</f>
        <v>148</v>
      </c>
      <c r="W2090" s="77">
        <f>OrdersTable[[#This Row],[Quantity]]*OrdersTable[[#This Row],[Unit Cost]]</f>
        <v>296</v>
      </c>
      <c r="X2090" s="77">
        <f>'Dropdown Lists'!$I$2*(1+OrdersTable[[#This Row],[Returned]])</f>
        <v>60</v>
      </c>
      <c r="Y2090" s="76">
        <f>OrdersTable[[#This Row],[Net Revenue]]-OrdersTable[[#This Row],[COGS]]-OrdersTable[[#This Row],[Shipping Cost]]</f>
        <v>542</v>
      </c>
      <c r="Z2090" s="78">
        <f>IFERROR(OrdersTable[[#This Row],[Profit]]/OrdersTable[[#This Row],[Net Revenue]],0)</f>
        <v>0.60356347438752789</v>
      </c>
      <c r="AA2090" t="s">
        <v>18</v>
      </c>
      <c r="AB2090" s="79">
        <v>45658</v>
      </c>
      <c r="AC2090">
        <f>OrdersTable[[#This Row],[Delivery Date]]-OrdersTable[[#This Row],[Order Date]]</f>
        <v>5</v>
      </c>
      <c r="AD2090" t="str">
        <f>IF(OrdersTable[[#This Row],[Delivery Days]]&lt;=2, "Express (≤2d)", IF(OrdersTable[[#This Row],[Delivery Days]]&lt;=4, "Standard (3-4d)", "Delayed (5d+)"))</f>
        <v>Delayed (5d+)</v>
      </c>
      <c r="AE2090">
        <v>3</v>
      </c>
      <c r="AF2090">
        <v>0</v>
      </c>
    </row>
    <row r="2091" spans="1:32" ht="15" x14ac:dyDescent="0.35">
      <c r="A2091" t="s">
        <v>1065</v>
      </c>
      <c r="B2091" s="1">
        <v>45653</v>
      </c>
      <c r="C2091">
        <f>YEAR(OrdersTable[[#This Row],[Order Date]])</f>
        <v>2024</v>
      </c>
      <c r="D2091" s="2">
        <f>DATE(YEAR(OrdersTable[[#This Row],[Order Date]]),MONTH(OrdersTable[[#This Row],[Order Date]]),1)</f>
        <v>45627</v>
      </c>
      <c r="E2091">
        <f>MONTH(OrdersTable[[#This Row],[Order Date]])</f>
        <v>12</v>
      </c>
      <c r="F2091" t="s">
        <v>1066</v>
      </c>
      <c r="G2091" t="str">
        <f>IF(OrdersTable[[#This Row],[Order Date]]=_xlfn.MINIFS(Order_Date, Customer_ID, OrdersTable[[#This Row],[Customer ID]]), "New", "Repeat")</f>
        <v>Repeat</v>
      </c>
      <c r="H2091" t="s">
        <v>37</v>
      </c>
      <c r="I2091" t="str">
        <f>INDEX(State!B:B,MATCH(OrdersTable[[#This Row],[State]],State!A:A,0))</f>
        <v>GJ</v>
      </c>
      <c r="J2091" t="str">
        <f>INDEX(State!C:C,MATCH(OrdersTable[[#This Row],[State Code]],State!B:B,0))</f>
        <v>West</v>
      </c>
      <c r="K2091" t="s">
        <v>38</v>
      </c>
      <c r="L2091" t="s">
        <v>65</v>
      </c>
      <c r="M2091" t="s">
        <v>61</v>
      </c>
      <c r="N2091" t="str">
        <f>INDEX(Products!B:B,MATCH(OrdersTable[[#This Row],[Product ID]],Products!A:A,0))</f>
        <v>Multivitamin Gummies</v>
      </c>
      <c r="O2091" t="str">
        <f>INDEX(Products!C:C,MATCH(OrdersTable[[#This Row],[Product ID]],Products!A:A,0))</f>
        <v>Wellness</v>
      </c>
      <c r="P2091">
        <v>1</v>
      </c>
      <c r="Q2091" s="5">
        <v>699</v>
      </c>
      <c r="R2091" s="74">
        <v>0.3</v>
      </c>
      <c r="S2091" s="75">
        <f>OrdersTable[[#This Row],[Quantity]]*OrdersTable[[#This Row],[Unit Price]]</f>
        <v>699</v>
      </c>
      <c r="T2091" s="5">
        <f>OrdersTable[[#This Row],[Gross Sale]]*OrdersTable[[#This Row],[Discount_Clean2]]</f>
        <v>209.7</v>
      </c>
      <c r="U2091" s="5">
        <f>OrdersTable[[#This Row],[Gross Sale]]-OrdersTable[[#This Row],[Discount Amount]]</f>
        <v>489.3</v>
      </c>
      <c r="V2091" s="77">
        <f>INDEX(Products!E:E,MATCH(OrdersTable[[#This Row],[Product ID]],Products!A:A,0))</f>
        <v>238</v>
      </c>
      <c r="W2091" s="77">
        <f>OrdersTable[[#This Row],[Quantity]]*OrdersTable[[#This Row],[Unit Cost]]</f>
        <v>238</v>
      </c>
      <c r="X2091" s="77">
        <f>'Dropdown Lists'!$I$2*(1+OrdersTable[[#This Row],[Returned]])</f>
        <v>120</v>
      </c>
      <c r="Y2091" s="76">
        <f>OrdersTable[[#This Row],[Net Revenue]]-OrdersTable[[#This Row],[COGS]]-OrdersTable[[#This Row],[Shipping Cost]]</f>
        <v>131.30000000000001</v>
      </c>
      <c r="Z2091" s="78">
        <f>IFERROR(OrdersTable[[#This Row],[Profit]]/OrdersTable[[#This Row],[Net Revenue]],0)</f>
        <v>0.26834253014510528</v>
      </c>
      <c r="AA2091" t="s">
        <v>18</v>
      </c>
      <c r="AB2091" s="79">
        <v>45655</v>
      </c>
      <c r="AC2091">
        <f>OrdersTable[[#This Row],[Delivery Date]]-OrdersTable[[#This Row],[Order Date]]</f>
        <v>2</v>
      </c>
      <c r="AD2091" t="str">
        <f>IF(OrdersTable[[#This Row],[Delivery Days]]&lt;=2, "Express (≤2d)", IF(OrdersTable[[#This Row],[Delivery Days]]&lt;=4, "Standard (3-4d)", "Delayed (5d+)"))</f>
        <v>Express (≤2d)</v>
      </c>
      <c r="AE2091">
        <v>4</v>
      </c>
      <c r="AF2091">
        <v>1</v>
      </c>
    </row>
    <row r="2092" spans="1:32" ht="15" x14ac:dyDescent="0.35">
      <c r="A2092" t="s">
        <v>4114</v>
      </c>
      <c r="B2092" s="1">
        <v>45653</v>
      </c>
      <c r="C2092">
        <f>YEAR(OrdersTable[[#This Row],[Order Date]])</f>
        <v>2024</v>
      </c>
      <c r="D2092" s="2">
        <f>DATE(YEAR(OrdersTable[[#This Row],[Order Date]]),MONTH(OrdersTable[[#This Row],[Order Date]]),1)</f>
        <v>45627</v>
      </c>
      <c r="E2092">
        <f>MONTH(OrdersTable[[#This Row],[Order Date]])</f>
        <v>12</v>
      </c>
      <c r="F2092" t="s">
        <v>3467</v>
      </c>
      <c r="G2092" t="str">
        <f>IF(OrdersTable[[#This Row],[Order Date]]=_xlfn.MINIFS(Order_Date, Customer_ID, OrdersTable[[#This Row],[Customer ID]]), "New", "Repeat")</f>
        <v>Repeat</v>
      </c>
      <c r="H2092" t="s">
        <v>37</v>
      </c>
      <c r="I2092" t="str">
        <f>INDEX(State!B:B,MATCH(OrdersTable[[#This Row],[State]],State!A:A,0))</f>
        <v>GJ</v>
      </c>
      <c r="J2092" t="str">
        <f>INDEX(State!C:C,MATCH(OrdersTable[[#This Row],[State Code]],State!B:B,0))</f>
        <v>West</v>
      </c>
      <c r="K2092" t="s">
        <v>38</v>
      </c>
      <c r="L2092" t="s">
        <v>65</v>
      </c>
      <c r="M2092" t="s">
        <v>92</v>
      </c>
      <c r="N2092" t="str">
        <f>INDEX(Products!B:B,MATCH(OrdersTable[[#This Row],[Product ID]],Products!A:A,0))</f>
        <v>Kolhapuri Sandals</v>
      </c>
      <c r="O2092" t="str">
        <f>INDEX(Products!C:C,MATCH(OrdersTable[[#This Row],[Product ID]],Products!A:A,0))</f>
        <v>Footwear</v>
      </c>
      <c r="P2092">
        <v>1</v>
      </c>
      <c r="Q2092" s="5">
        <v>999</v>
      </c>
      <c r="R2092" s="74">
        <v>0.1</v>
      </c>
      <c r="S2092" s="75">
        <f>OrdersTable[[#This Row],[Quantity]]*OrdersTable[[#This Row],[Unit Price]]</f>
        <v>999</v>
      </c>
      <c r="T2092" s="5">
        <f>OrdersTable[[#This Row],[Gross Sale]]*OrdersTable[[#This Row],[Discount_Clean2]]</f>
        <v>99.9</v>
      </c>
      <c r="U2092" s="5">
        <f>OrdersTable[[#This Row],[Gross Sale]]-OrdersTable[[#This Row],[Discount Amount]]</f>
        <v>899.1</v>
      </c>
      <c r="V2092" s="77">
        <f>INDEX(Products!E:E,MATCH(OrdersTable[[#This Row],[Product ID]],Products!A:A,0))</f>
        <v>400</v>
      </c>
      <c r="W2092" s="77">
        <f>OrdersTable[[#This Row],[Quantity]]*OrdersTable[[#This Row],[Unit Cost]]</f>
        <v>400</v>
      </c>
      <c r="X2092" s="77">
        <f>'Dropdown Lists'!$I$2*(1+OrdersTable[[#This Row],[Returned]])</f>
        <v>60</v>
      </c>
      <c r="Y2092" s="76">
        <f>OrdersTable[[#This Row],[Net Revenue]]-OrdersTable[[#This Row],[COGS]]-OrdersTable[[#This Row],[Shipping Cost]]</f>
        <v>439.1</v>
      </c>
      <c r="Z2092" s="78">
        <f>IFERROR(OrdersTable[[#This Row],[Profit]]/OrdersTable[[#This Row],[Net Revenue]],0)</f>
        <v>0.48837726615504395</v>
      </c>
      <c r="AA2092" t="s">
        <v>4074</v>
      </c>
      <c r="AB2092" s="79">
        <v>45654</v>
      </c>
      <c r="AC2092">
        <f>OrdersTable[[#This Row],[Delivery Date]]-OrdersTable[[#This Row],[Order Date]]</f>
        <v>1</v>
      </c>
      <c r="AD2092" t="str">
        <f>IF(OrdersTable[[#This Row],[Delivery Days]]&lt;=2, "Express (≤2d)", IF(OrdersTable[[#This Row],[Delivery Days]]&lt;=4, "Standard (3-4d)", "Delayed (5d+)"))</f>
        <v>Express (≤2d)</v>
      </c>
      <c r="AE2092">
        <v>5</v>
      </c>
      <c r="AF2092">
        <v>0</v>
      </c>
    </row>
    <row r="2093" spans="1:32" ht="15" x14ac:dyDescent="0.35">
      <c r="A2093" t="s">
        <v>6333</v>
      </c>
      <c r="B2093" s="1">
        <v>45653</v>
      </c>
      <c r="C2093">
        <f>YEAR(OrdersTable[[#This Row],[Order Date]])</f>
        <v>2024</v>
      </c>
      <c r="D2093" s="2">
        <f>DATE(YEAR(OrdersTable[[#This Row],[Order Date]]),MONTH(OrdersTable[[#This Row],[Order Date]]),1)</f>
        <v>45627</v>
      </c>
      <c r="E2093">
        <f>MONTH(OrdersTable[[#This Row],[Order Date]])</f>
        <v>12</v>
      </c>
      <c r="F2093" t="s">
        <v>1878</v>
      </c>
      <c r="G2093" t="str">
        <f>IF(OrdersTable[[#This Row],[Order Date]]=_xlfn.MINIFS(Order_Date, Customer_ID, OrdersTable[[#This Row],[Customer ID]]), "New", "Repeat")</f>
        <v>Repeat</v>
      </c>
      <c r="H2093" t="s">
        <v>37</v>
      </c>
      <c r="I2093" t="str">
        <f>INDEX(State!B:B,MATCH(OrdersTable[[#This Row],[State]],State!A:A,0))</f>
        <v>GJ</v>
      </c>
      <c r="J2093" t="str">
        <f>INDEX(State!C:C,MATCH(OrdersTable[[#This Row],[State Code]],State!B:B,0))</f>
        <v>West</v>
      </c>
      <c r="K2093" t="s">
        <v>247</v>
      </c>
      <c r="L2093" t="s">
        <v>39</v>
      </c>
      <c r="M2093" t="s">
        <v>51</v>
      </c>
      <c r="N2093" t="str">
        <f>INDEX(Products!B:B,MATCH(OrdersTable[[#This Row],[Product ID]],Products!A:A,0))</f>
        <v>Anti-Dandruff Conditioner</v>
      </c>
      <c r="O2093" t="str">
        <f>INDEX(Products!C:C,MATCH(OrdersTable[[#This Row],[Product ID]],Products!A:A,0))</f>
        <v>Haircare</v>
      </c>
      <c r="P2093">
        <v>2</v>
      </c>
      <c r="Q2093" s="5">
        <v>399</v>
      </c>
      <c r="R2093" s="74">
        <v>0.25</v>
      </c>
      <c r="S2093" s="75">
        <f>OrdersTable[[#This Row],[Quantity]]*OrdersTable[[#This Row],[Unit Price]]</f>
        <v>798</v>
      </c>
      <c r="T2093" s="5">
        <f>OrdersTable[[#This Row],[Gross Sale]]*OrdersTable[[#This Row],[Discount_Clean2]]</f>
        <v>199.5</v>
      </c>
      <c r="U2093" s="5">
        <f>OrdersTable[[#This Row],[Gross Sale]]-OrdersTable[[#This Row],[Discount Amount]]</f>
        <v>598.5</v>
      </c>
      <c r="V2093" s="77">
        <f>INDEX(Products!E:E,MATCH(OrdersTable[[#This Row],[Product ID]],Products!A:A,0))</f>
        <v>136</v>
      </c>
      <c r="W2093" s="77">
        <f>OrdersTable[[#This Row],[Quantity]]*OrdersTable[[#This Row],[Unit Cost]]</f>
        <v>272</v>
      </c>
      <c r="X2093" s="77">
        <f>'Dropdown Lists'!$I$2*(1+OrdersTable[[#This Row],[Returned]])</f>
        <v>60</v>
      </c>
      <c r="Y2093" s="76">
        <f>OrdersTable[[#This Row],[Net Revenue]]-OrdersTable[[#This Row],[COGS]]-OrdersTable[[#This Row],[Shipping Cost]]</f>
        <v>266.5</v>
      </c>
      <c r="Z2093" s="78">
        <f>IFERROR(OrdersTable[[#This Row],[Profit]]/OrdersTable[[#This Row],[Net Revenue]],0)</f>
        <v>0.44527986633249789</v>
      </c>
      <c r="AA2093" t="s">
        <v>18</v>
      </c>
      <c r="AB2093" s="79">
        <v>45658</v>
      </c>
      <c r="AC2093">
        <f>OrdersTable[[#This Row],[Delivery Date]]-OrdersTable[[#This Row],[Order Date]]</f>
        <v>5</v>
      </c>
      <c r="AD2093" t="str">
        <f>IF(OrdersTable[[#This Row],[Delivery Days]]&lt;=2, "Express (≤2d)", IF(OrdersTable[[#This Row],[Delivery Days]]&lt;=4, "Standard (3-4d)", "Delayed (5d+)"))</f>
        <v>Delayed (5d+)</v>
      </c>
      <c r="AE2093">
        <v>4</v>
      </c>
      <c r="AF2093">
        <v>0</v>
      </c>
    </row>
    <row r="2094" spans="1:32" ht="15" x14ac:dyDescent="0.35">
      <c r="A2094" t="s">
        <v>4384</v>
      </c>
      <c r="B2094" s="1">
        <v>45653</v>
      </c>
      <c r="C2094">
        <f>YEAR(OrdersTable[[#This Row],[Order Date]])</f>
        <v>2024</v>
      </c>
      <c r="D2094" s="2">
        <f>DATE(YEAR(OrdersTable[[#This Row],[Order Date]]),MONTH(OrdersTable[[#This Row],[Order Date]]),1)</f>
        <v>45627</v>
      </c>
      <c r="E2094">
        <f>MONTH(OrdersTable[[#This Row],[Order Date]])</f>
        <v>12</v>
      </c>
      <c r="F2094" t="s">
        <v>1245</v>
      </c>
      <c r="G2094" t="str">
        <f>IF(OrdersTable[[#This Row],[Order Date]]=_xlfn.MINIFS(Order_Date, Customer_ID, OrdersTable[[#This Row],[Customer ID]]), "New", "Repeat")</f>
        <v>Repeat</v>
      </c>
      <c r="H2094" t="s">
        <v>27</v>
      </c>
      <c r="I2094" t="str">
        <f>INDEX(State!B:B,MATCH(OrdersTable[[#This Row],[State]],State!A:A,0))</f>
        <v>WB</v>
      </c>
      <c r="J2094" t="str">
        <f>INDEX(State!C:C,MATCH(OrdersTable[[#This Row],[State Code]],State!B:B,0))</f>
        <v>East</v>
      </c>
      <c r="K2094" t="s">
        <v>28</v>
      </c>
      <c r="L2094" t="s">
        <v>23</v>
      </c>
      <c r="M2094" t="s">
        <v>106</v>
      </c>
      <c r="N2094" t="str">
        <f>INDEX(Products!B:B,MATCH(OrdersTable[[#This Row],[Product ID]],Products!A:A,0))</f>
        <v>Keratin Hair Mask</v>
      </c>
      <c r="O2094" t="str">
        <f>INDEX(Products!C:C,MATCH(OrdersTable[[#This Row],[Product ID]],Products!A:A,0))</f>
        <v>Haircare</v>
      </c>
      <c r="P2094">
        <v>1</v>
      </c>
      <c r="Q2094" s="5">
        <v>549</v>
      </c>
      <c r="R2094" s="74">
        <v>0.25</v>
      </c>
      <c r="S2094" s="75">
        <f>OrdersTable[[#This Row],[Quantity]]*OrdersTable[[#This Row],[Unit Price]]</f>
        <v>549</v>
      </c>
      <c r="T2094" s="5">
        <f>OrdersTable[[#This Row],[Gross Sale]]*OrdersTable[[#This Row],[Discount_Clean2]]</f>
        <v>137.25</v>
      </c>
      <c r="U2094" s="5">
        <f>OrdersTable[[#This Row],[Gross Sale]]-OrdersTable[[#This Row],[Discount Amount]]</f>
        <v>411.75</v>
      </c>
      <c r="V2094" s="77">
        <f>INDEX(Products!E:E,MATCH(OrdersTable[[#This Row],[Product ID]],Products!A:A,0))</f>
        <v>170</v>
      </c>
      <c r="W2094" s="77">
        <f>OrdersTable[[#This Row],[Quantity]]*OrdersTable[[#This Row],[Unit Cost]]</f>
        <v>170</v>
      </c>
      <c r="X2094" s="77">
        <f>'Dropdown Lists'!$I$2*(1+OrdersTable[[#This Row],[Returned]])</f>
        <v>60</v>
      </c>
      <c r="Y2094" s="76">
        <f>OrdersTable[[#This Row],[Net Revenue]]-OrdersTable[[#This Row],[COGS]]-OrdersTable[[#This Row],[Shipping Cost]]</f>
        <v>181.75</v>
      </c>
      <c r="Z2094" s="78">
        <f>IFERROR(OrdersTable[[#This Row],[Profit]]/OrdersTable[[#This Row],[Net Revenue]],0)</f>
        <v>0.44140862173649059</v>
      </c>
      <c r="AA2094" t="s">
        <v>4074</v>
      </c>
      <c r="AB2094" s="79">
        <v>45655</v>
      </c>
      <c r="AC2094">
        <f>OrdersTable[[#This Row],[Delivery Date]]-OrdersTable[[#This Row],[Order Date]]</f>
        <v>2</v>
      </c>
      <c r="AD2094" t="str">
        <f>IF(OrdersTable[[#This Row],[Delivery Days]]&lt;=2, "Express (≤2d)", IF(OrdersTable[[#This Row],[Delivery Days]]&lt;=4, "Standard (3-4d)", "Delayed (5d+)"))</f>
        <v>Express (≤2d)</v>
      </c>
      <c r="AE2094">
        <v>4</v>
      </c>
      <c r="AF2094">
        <v>0</v>
      </c>
    </row>
    <row r="2095" spans="1:32" ht="15" x14ac:dyDescent="0.35">
      <c r="A2095" t="s">
        <v>2593</v>
      </c>
      <c r="B2095" s="1">
        <v>45653</v>
      </c>
      <c r="C2095">
        <f>YEAR(OrdersTable[[#This Row],[Order Date]])</f>
        <v>2024</v>
      </c>
      <c r="D2095" s="2">
        <f>DATE(YEAR(OrdersTable[[#This Row],[Order Date]]),MONTH(OrdersTable[[#This Row],[Order Date]]),1)</f>
        <v>45627</v>
      </c>
      <c r="E2095">
        <f>MONTH(OrdersTable[[#This Row],[Order Date]])</f>
        <v>12</v>
      </c>
      <c r="F2095" t="s">
        <v>2594</v>
      </c>
      <c r="G2095" t="str">
        <f>IF(OrdersTable[[#This Row],[Order Date]]=_xlfn.MINIFS(Order_Date, Customer_ID, OrdersTable[[#This Row],[Customer ID]]), "New", "Repeat")</f>
        <v>Repeat</v>
      </c>
      <c r="H2095" t="s">
        <v>71</v>
      </c>
      <c r="I2095" t="str">
        <f>INDEX(State!B:B,MATCH(OrdersTable[[#This Row],[State]],State!A:A,0))</f>
        <v>MH</v>
      </c>
      <c r="J2095" t="str">
        <f>INDEX(State!C:C,MATCH(OrdersTable[[#This Row],[State Code]],State!B:B,0))</f>
        <v>West</v>
      </c>
      <c r="K2095" t="s">
        <v>81</v>
      </c>
      <c r="L2095" t="s">
        <v>16</v>
      </c>
      <c r="M2095" t="s">
        <v>87</v>
      </c>
      <c r="N2095" t="str">
        <f>INDEX(Products!B:B,MATCH(OrdersTable[[#This Row],[Product ID]],Products!A:A,0))</f>
        <v>Linen Kurta</v>
      </c>
      <c r="O2095" t="str">
        <f>INDEX(Products!C:C,MATCH(OrdersTable[[#This Row],[Product ID]],Products!A:A,0))</f>
        <v>Apparel</v>
      </c>
      <c r="P2095">
        <v>1</v>
      </c>
      <c r="Q2095" s="5">
        <v>1499</v>
      </c>
      <c r="R2095" s="74">
        <v>0.3</v>
      </c>
      <c r="S2095" s="75">
        <f>OrdersTable[[#This Row],[Quantity]]*OrdersTable[[#This Row],[Unit Price]]</f>
        <v>1499</v>
      </c>
      <c r="T2095" s="5">
        <f>OrdersTable[[#This Row],[Gross Sale]]*OrdersTable[[#This Row],[Discount_Clean2]]</f>
        <v>449.7</v>
      </c>
      <c r="U2095" s="5">
        <f>OrdersTable[[#This Row],[Gross Sale]]-OrdersTable[[#This Row],[Discount Amount]]</f>
        <v>1049.3</v>
      </c>
      <c r="V2095" s="77">
        <f>INDEX(Products!E:E,MATCH(OrdersTable[[#This Row],[Product ID]],Products!A:A,0))</f>
        <v>630</v>
      </c>
      <c r="W2095" s="77">
        <f>OrdersTable[[#This Row],[Quantity]]*OrdersTable[[#This Row],[Unit Cost]]</f>
        <v>630</v>
      </c>
      <c r="X2095" s="77">
        <f>'Dropdown Lists'!$I$2*(1+OrdersTable[[#This Row],[Returned]])</f>
        <v>60</v>
      </c>
      <c r="Y2095" s="76">
        <f>OrdersTable[[#This Row],[Net Revenue]]-OrdersTable[[#This Row],[COGS]]-OrdersTable[[#This Row],[Shipping Cost]]</f>
        <v>359.29999999999995</v>
      </c>
      <c r="Z2095" s="78">
        <f>IFERROR(OrdersTable[[#This Row],[Profit]]/OrdersTable[[#This Row],[Net Revenue]],0)</f>
        <v>0.34241875536071664</v>
      </c>
      <c r="AA2095" t="s">
        <v>2522</v>
      </c>
      <c r="AB2095" s="79">
        <v>45654</v>
      </c>
      <c r="AC2095">
        <f>OrdersTable[[#This Row],[Delivery Date]]-OrdersTable[[#This Row],[Order Date]]</f>
        <v>1</v>
      </c>
      <c r="AD2095" t="str">
        <f>IF(OrdersTable[[#This Row],[Delivery Days]]&lt;=2, "Express (≤2d)", IF(OrdersTable[[#This Row],[Delivery Days]]&lt;=4, "Standard (3-4d)", "Delayed (5d+)"))</f>
        <v>Express (≤2d)</v>
      </c>
      <c r="AE2095">
        <v>5</v>
      </c>
      <c r="AF2095">
        <v>0</v>
      </c>
    </row>
    <row r="2096" spans="1:32" ht="15" x14ac:dyDescent="0.35">
      <c r="A2096" t="s">
        <v>1246</v>
      </c>
      <c r="B2096" s="1">
        <v>45653</v>
      </c>
      <c r="C2096">
        <f>YEAR(OrdersTable[[#This Row],[Order Date]])</f>
        <v>2024</v>
      </c>
      <c r="D2096" s="2">
        <f>DATE(YEAR(OrdersTable[[#This Row],[Order Date]]),MONTH(OrdersTable[[#This Row],[Order Date]]),1)</f>
        <v>45627</v>
      </c>
      <c r="E2096">
        <f>MONTH(OrdersTable[[#This Row],[Order Date]])</f>
        <v>12</v>
      </c>
      <c r="F2096" t="s">
        <v>170</v>
      </c>
      <c r="G2096" t="str">
        <f>IF(OrdersTable[[#This Row],[Order Date]]=_xlfn.MINIFS(Order_Date, Customer_ID, OrdersTable[[#This Row],[Customer ID]]), "New", "Repeat")</f>
        <v>Repeat</v>
      </c>
      <c r="H2096" t="s">
        <v>275</v>
      </c>
      <c r="I2096" t="str">
        <f>INDEX(State!B:B,MATCH(OrdersTable[[#This Row],[State]],State!A:A,0))</f>
        <v>AP</v>
      </c>
      <c r="J2096" t="str">
        <f>INDEX(State!C:C,MATCH(OrdersTable[[#This Row],[State Code]],State!B:B,0))</f>
        <v>South</v>
      </c>
      <c r="K2096" t="s">
        <v>491</v>
      </c>
      <c r="L2096" t="s">
        <v>16</v>
      </c>
      <c r="M2096" t="s">
        <v>576</v>
      </c>
      <c r="N2096" t="str">
        <f>INDEX(Products!B:B,MATCH(OrdersTable[[#This Row],[Product ID]],Products!A:A,0))</f>
        <v>Printed Saree</v>
      </c>
      <c r="O2096" t="str">
        <f>INDEX(Products!C:C,MATCH(OrdersTable[[#This Row],[Product ID]],Products!A:A,0))</f>
        <v>Apparel</v>
      </c>
      <c r="P2096">
        <v>1</v>
      </c>
      <c r="Q2096" s="5">
        <v>1999</v>
      </c>
      <c r="R2096" s="74">
        <v>0</v>
      </c>
      <c r="S2096" s="75">
        <f>OrdersTable[[#This Row],[Quantity]]*OrdersTable[[#This Row],[Unit Price]]</f>
        <v>1999</v>
      </c>
      <c r="T2096" s="5">
        <f>OrdersTable[[#This Row],[Gross Sale]]*OrdersTable[[#This Row],[Discount_Clean2]]</f>
        <v>0</v>
      </c>
      <c r="U2096" s="5">
        <f>OrdersTable[[#This Row],[Gross Sale]]-OrdersTable[[#This Row],[Discount Amount]]</f>
        <v>1999</v>
      </c>
      <c r="V2096" s="77">
        <f>INDEX(Products!E:E,MATCH(OrdersTable[[#This Row],[Product ID]],Products!A:A,0))</f>
        <v>880</v>
      </c>
      <c r="W2096" s="77">
        <f>OrdersTable[[#This Row],[Quantity]]*OrdersTable[[#This Row],[Unit Cost]]</f>
        <v>880</v>
      </c>
      <c r="X2096" s="77">
        <f>'Dropdown Lists'!$I$2*(1+OrdersTable[[#This Row],[Returned]])</f>
        <v>60</v>
      </c>
      <c r="Y2096" s="76">
        <f>OrdersTable[[#This Row],[Net Revenue]]-OrdersTable[[#This Row],[COGS]]-OrdersTable[[#This Row],[Shipping Cost]]</f>
        <v>1059</v>
      </c>
      <c r="Z2096" s="78">
        <f>IFERROR(OrdersTable[[#This Row],[Profit]]/OrdersTable[[#This Row],[Net Revenue]],0)</f>
        <v>0.52976488244122066</v>
      </c>
      <c r="AA2096" t="s">
        <v>18</v>
      </c>
      <c r="AB2096" s="79">
        <v>45657</v>
      </c>
      <c r="AC2096">
        <f>OrdersTable[[#This Row],[Delivery Date]]-OrdersTable[[#This Row],[Order Date]]</f>
        <v>4</v>
      </c>
      <c r="AD2096" t="str">
        <f>IF(OrdersTable[[#This Row],[Delivery Days]]&lt;=2, "Express (≤2d)", IF(OrdersTable[[#This Row],[Delivery Days]]&lt;=4, "Standard (3-4d)", "Delayed (5d+)"))</f>
        <v>Standard (3-4d)</v>
      </c>
      <c r="AF2096">
        <v>0</v>
      </c>
    </row>
    <row r="2097" spans="1:32" ht="15" x14ac:dyDescent="0.35">
      <c r="A2097" t="s">
        <v>6783</v>
      </c>
      <c r="B2097" s="1">
        <v>45653</v>
      </c>
      <c r="C2097">
        <f>YEAR(OrdersTable[[#This Row],[Order Date]])</f>
        <v>2024</v>
      </c>
      <c r="D2097" s="2">
        <f>DATE(YEAR(OrdersTable[[#This Row],[Order Date]]),MONTH(OrdersTable[[#This Row],[Order Date]]),1)</f>
        <v>45627</v>
      </c>
      <c r="E2097">
        <f>MONTH(OrdersTable[[#This Row],[Order Date]])</f>
        <v>12</v>
      </c>
      <c r="F2097" t="s">
        <v>1851</v>
      </c>
      <c r="G2097" t="str">
        <f>IF(OrdersTable[[#This Row],[Order Date]]=_xlfn.MINIFS(Order_Date, Customer_ID, OrdersTable[[#This Row],[Customer ID]]), "New", "Repeat")</f>
        <v>Repeat</v>
      </c>
      <c r="H2097" t="s">
        <v>59</v>
      </c>
      <c r="I2097" t="str">
        <f>INDEX(State!B:B,MATCH(OrdersTable[[#This Row],[State]],State!A:A,0))</f>
        <v>TN</v>
      </c>
      <c r="J2097" t="str">
        <f>INDEX(State!C:C,MATCH(OrdersTable[[#This Row],[State Code]],State!B:B,0))</f>
        <v>South</v>
      </c>
      <c r="K2097" t="s">
        <v>64</v>
      </c>
      <c r="L2097" t="s">
        <v>23</v>
      </c>
      <c r="M2097" t="s">
        <v>205</v>
      </c>
      <c r="N2097" t="str">
        <f>INDEX(Products!B:B,MATCH(OrdersTable[[#This Row],[Product ID]],Products!A:A,0))</f>
        <v>Running Shoes</v>
      </c>
      <c r="O2097" t="str">
        <f>INDEX(Products!C:C,MATCH(OrdersTable[[#This Row],[Product ID]],Products!A:A,0))</f>
        <v>Footwear</v>
      </c>
      <c r="P2097">
        <v>3</v>
      </c>
      <c r="Q2097" s="5">
        <v>2999</v>
      </c>
      <c r="R2097" s="74">
        <v>0.25</v>
      </c>
      <c r="S2097" s="75">
        <f>OrdersTable[[#This Row],[Quantity]]*OrdersTable[[#This Row],[Unit Price]]</f>
        <v>8997</v>
      </c>
      <c r="T2097" s="5">
        <f>OrdersTable[[#This Row],[Gross Sale]]*OrdersTable[[#This Row],[Discount_Clean2]]</f>
        <v>2249.25</v>
      </c>
      <c r="U2097" s="5">
        <f>OrdersTable[[#This Row],[Gross Sale]]-OrdersTable[[#This Row],[Discount Amount]]</f>
        <v>6747.75</v>
      </c>
      <c r="V2097" s="77">
        <f>INDEX(Products!E:E,MATCH(OrdersTable[[#This Row],[Product ID]],Products!A:A,0))</f>
        <v>1440</v>
      </c>
      <c r="W2097" s="77">
        <f>OrdersTable[[#This Row],[Quantity]]*OrdersTable[[#This Row],[Unit Cost]]</f>
        <v>4320</v>
      </c>
      <c r="X2097" s="77">
        <f>'Dropdown Lists'!$I$2*(1+OrdersTable[[#This Row],[Returned]])</f>
        <v>60</v>
      </c>
      <c r="Y2097" s="76">
        <f>OrdersTable[[#This Row],[Net Revenue]]-OrdersTable[[#This Row],[COGS]]-OrdersTable[[#This Row],[Shipping Cost]]</f>
        <v>2367.75</v>
      </c>
      <c r="Z2097" s="78">
        <f>IFERROR(OrdersTable[[#This Row],[Profit]]/OrdersTable[[#This Row],[Net Revenue]],0)</f>
        <v>0.35089474269200843</v>
      </c>
      <c r="AA2097" t="s">
        <v>3495</v>
      </c>
      <c r="AB2097" s="79">
        <v>45655</v>
      </c>
      <c r="AC2097">
        <f>OrdersTable[[#This Row],[Delivery Date]]-OrdersTable[[#This Row],[Order Date]]</f>
        <v>2</v>
      </c>
      <c r="AD2097" t="str">
        <f>IF(OrdersTable[[#This Row],[Delivery Days]]&lt;=2, "Express (≤2d)", IF(OrdersTable[[#This Row],[Delivery Days]]&lt;=4, "Standard (3-4d)", "Delayed (5d+)"))</f>
        <v>Express (≤2d)</v>
      </c>
      <c r="AE2097">
        <v>4</v>
      </c>
      <c r="AF2097">
        <v>0</v>
      </c>
    </row>
    <row r="2098" spans="1:32" ht="15" x14ac:dyDescent="0.35">
      <c r="A2098" t="s">
        <v>3433</v>
      </c>
      <c r="B2098" s="1">
        <v>45654</v>
      </c>
      <c r="C2098">
        <f>YEAR(OrdersTable[[#This Row],[Order Date]])</f>
        <v>2024</v>
      </c>
      <c r="D2098" s="2">
        <f>DATE(YEAR(OrdersTable[[#This Row],[Order Date]]),MONTH(OrdersTable[[#This Row],[Order Date]]),1)</f>
        <v>45627</v>
      </c>
      <c r="E2098">
        <f>MONTH(OrdersTable[[#This Row],[Order Date]])</f>
        <v>12</v>
      </c>
      <c r="F2098" t="s">
        <v>2816</v>
      </c>
      <c r="G2098" t="str">
        <f>IF(OrdersTable[[#This Row],[Order Date]]=_xlfn.MINIFS(Order_Date, Customer_ID, OrdersTable[[#This Row],[Customer ID]]), "New", "Repeat")</f>
        <v>New</v>
      </c>
      <c r="H2098" t="s">
        <v>54</v>
      </c>
      <c r="I2098" t="str">
        <f>INDEX(State!B:B,MATCH(OrdersTable[[#This Row],[State]],State!A:A,0))</f>
        <v>RJ</v>
      </c>
      <c r="J2098" t="str">
        <f>INDEX(State!C:C,MATCH(OrdersTable[[#This Row],[State Code]],State!B:B,0))</f>
        <v>North</v>
      </c>
      <c r="K2098" t="s">
        <v>55</v>
      </c>
      <c r="L2098" t="s">
        <v>65</v>
      </c>
      <c r="M2098" t="s">
        <v>40</v>
      </c>
      <c r="N2098" t="str">
        <f>INDEX(Products!B:B,MATCH(OrdersTable[[#This Row],[Product ID]],Products!A:A,0))</f>
        <v>Ashwagandha Capsules</v>
      </c>
      <c r="O2098" t="str">
        <f>INDEX(Products!C:C,MATCH(OrdersTable[[#This Row],[Product ID]],Products!A:A,0))</f>
        <v>Wellness</v>
      </c>
      <c r="P2098">
        <v>1</v>
      </c>
      <c r="Q2098" s="5">
        <v>499</v>
      </c>
      <c r="R2098" s="74">
        <v>0</v>
      </c>
      <c r="S2098" s="75">
        <f>OrdersTable[[#This Row],[Quantity]]*OrdersTable[[#This Row],[Unit Price]]</f>
        <v>499</v>
      </c>
      <c r="T2098" s="5">
        <f>OrdersTable[[#This Row],[Gross Sale]]*OrdersTable[[#This Row],[Discount_Clean2]]</f>
        <v>0</v>
      </c>
      <c r="U2098" s="5">
        <f>OrdersTable[[#This Row],[Gross Sale]]-OrdersTable[[#This Row],[Discount Amount]]</f>
        <v>499</v>
      </c>
      <c r="V2098" s="77">
        <f>INDEX(Products!E:E,MATCH(OrdersTable[[#This Row],[Product ID]],Products!A:A,0))</f>
        <v>150</v>
      </c>
      <c r="W2098" s="77">
        <f>OrdersTable[[#This Row],[Quantity]]*OrdersTable[[#This Row],[Unit Cost]]</f>
        <v>150</v>
      </c>
      <c r="X2098" s="77">
        <f>'Dropdown Lists'!$I$2*(1+OrdersTable[[#This Row],[Returned]])</f>
        <v>60</v>
      </c>
      <c r="Y2098" s="76">
        <f>OrdersTable[[#This Row],[Net Revenue]]-OrdersTable[[#This Row],[COGS]]-OrdersTable[[#This Row],[Shipping Cost]]</f>
        <v>289</v>
      </c>
      <c r="Z2098" s="78">
        <f>IFERROR(OrdersTable[[#This Row],[Profit]]/OrdersTable[[#This Row],[Net Revenue]],0)</f>
        <v>0.57915831663326656</v>
      </c>
      <c r="AA2098" t="s">
        <v>2522</v>
      </c>
      <c r="AB2098" s="79">
        <v>45657</v>
      </c>
      <c r="AC2098">
        <f>OrdersTable[[#This Row],[Delivery Date]]-OrdersTable[[#This Row],[Order Date]]</f>
        <v>3</v>
      </c>
      <c r="AD2098" t="str">
        <f>IF(OrdersTable[[#This Row],[Delivery Days]]&lt;=2, "Express (≤2d)", IF(OrdersTable[[#This Row],[Delivery Days]]&lt;=4, "Standard (3-4d)", "Delayed (5d+)"))</f>
        <v>Standard (3-4d)</v>
      </c>
      <c r="AE2098">
        <v>4</v>
      </c>
      <c r="AF2098">
        <v>0</v>
      </c>
    </row>
    <row r="2099" spans="1:32" ht="15" x14ac:dyDescent="0.35">
      <c r="A2099" t="s">
        <v>2127</v>
      </c>
      <c r="B2099" s="1">
        <v>45654</v>
      </c>
      <c r="C2099">
        <f>YEAR(OrdersTable[[#This Row],[Order Date]])</f>
        <v>2024</v>
      </c>
      <c r="D2099" s="2">
        <f>DATE(YEAR(OrdersTable[[#This Row],[Order Date]]),MONTH(OrdersTable[[#This Row],[Order Date]]),1)</f>
        <v>45627</v>
      </c>
      <c r="E2099">
        <f>MONTH(OrdersTable[[#This Row],[Order Date]])</f>
        <v>12</v>
      </c>
      <c r="F2099" t="s">
        <v>1617</v>
      </c>
      <c r="G2099" t="str">
        <f>IF(OrdersTable[[#This Row],[Order Date]]=_xlfn.MINIFS(Order_Date, Customer_ID, OrdersTable[[#This Row],[Customer ID]]), "New", "Repeat")</f>
        <v>Repeat</v>
      </c>
      <c r="H2099" t="s">
        <v>54</v>
      </c>
      <c r="I2099" t="str">
        <f>INDEX(State!B:B,MATCH(OrdersTable[[#This Row],[State]],State!A:A,0))</f>
        <v>RJ</v>
      </c>
      <c r="J2099" t="str">
        <f>INDEX(State!C:C,MATCH(OrdersTable[[#This Row],[State Code]],State!B:B,0))</f>
        <v>North</v>
      </c>
      <c r="K2099" t="s">
        <v>55</v>
      </c>
      <c r="L2099" t="s">
        <v>65</v>
      </c>
      <c r="M2099" t="s">
        <v>228</v>
      </c>
      <c r="N2099" t="str">
        <f>INDEX(Products!B:B,MATCH(OrdersTable[[#This Row],[Product ID]],Products!A:A,0))</f>
        <v>Fast Charger 33W</v>
      </c>
      <c r="O2099" t="str">
        <f>INDEX(Products!C:C,MATCH(OrdersTable[[#This Row],[Product ID]],Products!A:A,0))</f>
        <v>Electronics</v>
      </c>
      <c r="P2099">
        <v>1</v>
      </c>
      <c r="Q2099" s="5">
        <v>899</v>
      </c>
      <c r="R2099" s="74">
        <v>0.15</v>
      </c>
      <c r="S2099" s="75">
        <f>OrdersTable[[#This Row],[Quantity]]*OrdersTable[[#This Row],[Unit Price]]</f>
        <v>899</v>
      </c>
      <c r="T2099" s="5">
        <f>OrdersTable[[#This Row],[Gross Sale]]*OrdersTable[[#This Row],[Discount_Clean2]]</f>
        <v>134.85</v>
      </c>
      <c r="U2099" s="5">
        <f>OrdersTable[[#This Row],[Gross Sale]]-OrdersTable[[#This Row],[Discount Amount]]</f>
        <v>764.15</v>
      </c>
      <c r="V2099" s="77">
        <f>INDEX(Products!E:E,MATCH(OrdersTable[[#This Row],[Product ID]],Products!A:A,0))</f>
        <v>494</v>
      </c>
      <c r="W2099" s="77">
        <f>OrdersTable[[#This Row],[Quantity]]*OrdersTable[[#This Row],[Unit Cost]]</f>
        <v>494</v>
      </c>
      <c r="X2099" s="77">
        <f>'Dropdown Lists'!$I$2*(1+OrdersTable[[#This Row],[Returned]])</f>
        <v>60</v>
      </c>
      <c r="Y2099" s="76">
        <f>OrdersTable[[#This Row],[Net Revenue]]-OrdersTable[[#This Row],[COGS]]-OrdersTable[[#This Row],[Shipping Cost]]</f>
        <v>210.14999999999998</v>
      </c>
      <c r="Z2099" s="78">
        <f>IFERROR(OrdersTable[[#This Row],[Profit]]/OrdersTable[[#This Row],[Net Revenue]],0)</f>
        <v>0.27501145063142052</v>
      </c>
      <c r="AA2099" t="s">
        <v>18</v>
      </c>
      <c r="AB2099" s="79">
        <v>45657</v>
      </c>
      <c r="AC2099">
        <f>OrdersTable[[#This Row],[Delivery Date]]-OrdersTable[[#This Row],[Order Date]]</f>
        <v>3</v>
      </c>
      <c r="AD2099" t="str">
        <f>IF(OrdersTable[[#This Row],[Delivery Days]]&lt;=2, "Express (≤2d)", IF(OrdersTable[[#This Row],[Delivery Days]]&lt;=4, "Standard (3-4d)", "Delayed (5d+)"))</f>
        <v>Standard (3-4d)</v>
      </c>
      <c r="AE2099">
        <v>3</v>
      </c>
      <c r="AF2099">
        <v>0</v>
      </c>
    </row>
    <row r="2100" spans="1:32" ht="15" x14ac:dyDescent="0.35">
      <c r="A2100" t="s">
        <v>3242</v>
      </c>
      <c r="B2100" s="1">
        <v>45654</v>
      </c>
      <c r="C2100">
        <f>YEAR(OrdersTable[[#This Row],[Order Date]])</f>
        <v>2024</v>
      </c>
      <c r="D2100" s="2">
        <f>DATE(YEAR(OrdersTable[[#This Row],[Order Date]]),MONTH(OrdersTable[[#This Row],[Order Date]]),1)</f>
        <v>45627</v>
      </c>
      <c r="E2100">
        <f>MONTH(OrdersTable[[#This Row],[Order Date]])</f>
        <v>12</v>
      </c>
      <c r="F2100" t="s">
        <v>1011</v>
      </c>
      <c r="G2100" t="str">
        <f>IF(OrdersTable[[#This Row],[Order Date]]=_xlfn.MINIFS(Order_Date, Customer_ID, OrdersTable[[#This Row],[Customer ID]]), "New", "Repeat")</f>
        <v>New</v>
      </c>
      <c r="H2100" t="s">
        <v>76</v>
      </c>
      <c r="I2100" t="str">
        <f>INDEX(State!B:B,MATCH(OrdersTable[[#This Row],[State]],State!A:A,0))</f>
        <v>UP</v>
      </c>
      <c r="J2100" t="str">
        <f>INDEX(State!C:C,MATCH(OrdersTable[[#This Row],[State Code]],State!B:B,0))</f>
        <v>North</v>
      </c>
      <c r="K2100" t="s">
        <v>77</v>
      </c>
      <c r="L2100" t="s">
        <v>23</v>
      </c>
      <c r="M2100" t="s">
        <v>106</v>
      </c>
      <c r="N2100" t="str">
        <f>INDEX(Products!B:B,MATCH(OrdersTable[[#This Row],[Product ID]],Products!A:A,0))</f>
        <v>Keratin Hair Mask</v>
      </c>
      <c r="O2100" t="str">
        <f>INDEX(Products!C:C,MATCH(OrdersTable[[#This Row],[Product ID]],Products!A:A,0))</f>
        <v>Haircare</v>
      </c>
      <c r="P2100">
        <v>1</v>
      </c>
      <c r="Q2100" s="5">
        <v>549</v>
      </c>
      <c r="R2100" s="74">
        <v>0.2</v>
      </c>
      <c r="S2100" s="75">
        <f>OrdersTable[[#This Row],[Quantity]]*OrdersTable[[#This Row],[Unit Price]]</f>
        <v>549</v>
      </c>
      <c r="T2100" s="5">
        <f>OrdersTable[[#This Row],[Gross Sale]]*OrdersTable[[#This Row],[Discount_Clean2]]</f>
        <v>109.80000000000001</v>
      </c>
      <c r="U2100" s="5">
        <f>OrdersTable[[#This Row],[Gross Sale]]-OrdersTable[[#This Row],[Discount Amount]]</f>
        <v>439.2</v>
      </c>
      <c r="V2100" s="77">
        <f>INDEX(Products!E:E,MATCH(OrdersTable[[#This Row],[Product ID]],Products!A:A,0))</f>
        <v>170</v>
      </c>
      <c r="W2100" s="77">
        <f>OrdersTable[[#This Row],[Quantity]]*OrdersTable[[#This Row],[Unit Cost]]</f>
        <v>170</v>
      </c>
      <c r="X2100" s="77">
        <f>'Dropdown Lists'!$I$2*(1+OrdersTable[[#This Row],[Returned]])</f>
        <v>60</v>
      </c>
      <c r="Y2100" s="76">
        <f>OrdersTable[[#This Row],[Net Revenue]]-OrdersTable[[#This Row],[COGS]]-OrdersTable[[#This Row],[Shipping Cost]]</f>
        <v>209.2</v>
      </c>
      <c r="Z2100" s="78">
        <f>IFERROR(OrdersTable[[#This Row],[Profit]]/OrdersTable[[#This Row],[Net Revenue]],0)</f>
        <v>0.47632058287795992</v>
      </c>
      <c r="AA2100" t="s">
        <v>2522</v>
      </c>
      <c r="AB2100" s="79">
        <v>45658</v>
      </c>
      <c r="AC2100">
        <f>OrdersTable[[#This Row],[Delivery Date]]-OrdersTable[[#This Row],[Order Date]]</f>
        <v>4</v>
      </c>
      <c r="AD2100" t="str">
        <f>IF(OrdersTable[[#This Row],[Delivery Days]]&lt;=2, "Express (≤2d)", IF(OrdersTable[[#This Row],[Delivery Days]]&lt;=4, "Standard (3-4d)", "Delayed (5d+)"))</f>
        <v>Standard (3-4d)</v>
      </c>
      <c r="AE2100">
        <v>4</v>
      </c>
      <c r="AF2100">
        <v>0</v>
      </c>
    </row>
    <row r="2101" spans="1:32" ht="15" x14ac:dyDescent="0.35">
      <c r="A2101" t="s">
        <v>239</v>
      </c>
      <c r="B2101" s="1">
        <v>45654</v>
      </c>
      <c r="C2101">
        <f>YEAR(OrdersTable[[#This Row],[Order Date]])</f>
        <v>2024</v>
      </c>
      <c r="D2101" s="2">
        <f>DATE(YEAR(OrdersTable[[#This Row],[Order Date]]),MONTH(OrdersTable[[#This Row],[Order Date]]),1)</f>
        <v>45627</v>
      </c>
      <c r="E2101">
        <f>MONTH(OrdersTable[[#This Row],[Order Date]])</f>
        <v>12</v>
      </c>
      <c r="F2101" t="s">
        <v>240</v>
      </c>
      <c r="G2101" t="str">
        <f>IF(OrdersTable[[#This Row],[Order Date]]=_xlfn.MINIFS(Order_Date, Customer_ID, OrdersTable[[#This Row],[Customer ID]]), "New", "Repeat")</f>
        <v>Repeat</v>
      </c>
      <c r="H2101" t="s">
        <v>76</v>
      </c>
      <c r="I2101" t="str">
        <f>INDEX(State!B:B,MATCH(OrdersTable[[#This Row],[State]],State!A:A,0))</f>
        <v>UP</v>
      </c>
      <c r="J2101" t="str">
        <f>INDEX(State!C:C,MATCH(OrdersTable[[#This Row],[State Code]],State!B:B,0))</f>
        <v>North</v>
      </c>
      <c r="K2101" t="s">
        <v>105</v>
      </c>
      <c r="L2101" t="s">
        <v>39</v>
      </c>
      <c r="M2101" t="s">
        <v>40</v>
      </c>
      <c r="N2101" t="str">
        <f>INDEX(Products!B:B,MATCH(OrdersTable[[#This Row],[Product ID]],Products!A:A,0))</f>
        <v>Ashwagandha Capsules</v>
      </c>
      <c r="O2101" t="str">
        <f>INDEX(Products!C:C,MATCH(OrdersTable[[#This Row],[Product ID]],Products!A:A,0))</f>
        <v>Wellness</v>
      </c>
      <c r="P2101">
        <v>1</v>
      </c>
      <c r="Q2101" s="5">
        <v>499</v>
      </c>
      <c r="R2101" s="74">
        <v>0</v>
      </c>
      <c r="S2101" s="75">
        <f>OrdersTable[[#This Row],[Quantity]]*OrdersTable[[#This Row],[Unit Price]]</f>
        <v>499</v>
      </c>
      <c r="T2101" s="5">
        <f>OrdersTable[[#This Row],[Gross Sale]]*OrdersTable[[#This Row],[Discount_Clean2]]</f>
        <v>0</v>
      </c>
      <c r="U2101" s="5">
        <f>OrdersTable[[#This Row],[Gross Sale]]-OrdersTable[[#This Row],[Discount Amount]]</f>
        <v>499</v>
      </c>
      <c r="V2101" s="77">
        <f>INDEX(Products!E:E,MATCH(OrdersTable[[#This Row],[Product ID]],Products!A:A,0))</f>
        <v>150</v>
      </c>
      <c r="W2101" s="77">
        <f>OrdersTable[[#This Row],[Quantity]]*OrdersTable[[#This Row],[Unit Cost]]</f>
        <v>150</v>
      </c>
      <c r="X2101" s="77">
        <f>'Dropdown Lists'!$I$2*(1+OrdersTable[[#This Row],[Returned]])</f>
        <v>60</v>
      </c>
      <c r="Y2101" s="76">
        <f>OrdersTable[[#This Row],[Net Revenue]]-OrdersTable[[#This Row],[COGS]]-OrdersTable[[#This Row],[Shipping Cost]]</f>
        <v>289</v>
      </c>
      <c r="Z2101" s="78">
        <f>IFERROR(OrdersTable[[#This Row],[Profit]]/OrdersTable[[#This Row],[Net Revenue]],0)</f>
        <v>0.57915831663326656</v>
      </c>
      <c r="AA2101" t="s">
        <v>18</v>
      </c>
      <c r="AB2101" s="79">
        <v>45658</v>
      </c>
      <c r="AC2101">
        <f>OrdersTable[[#This Row],[Delivery Date]]-OrdersTable[[#This Row],[Order Date]]</f>
        <v>4</v>
      </c>
      <c r="AD2101" t="str">
        <f>IF(OrdersTable[[#This Row],[Delivery Days]]&lt;=2, "Express (≤2d)", IF(OrdersTable[[#This Row],[Delivery Days]]&lt;=4, "Standard (3-4d)", "Delayed (5d+)"))</f>
        <v>Standard (3-4d)</v>
      </c>
      <c r="AE2101">
        <v>4</v>
      </c>
      <c r="AF2101">
        <v>0</v>
      </c>
    </row>
    <row r="2102" spans="1:32" ht="15" x14ac:dyDescent="0.35">
      <c r="A2102" t="s">
        <v>546</v>
      </c>
      <c r="B2102" s="1">
        <v>45654</v>
      </c>
      <c r="C2102">
        <f>YEAR(OrdersTable[[#This Row],[Order Date]])</f>
        <v>2024</v>
      </c>
      <c r="D2102" s="2">
        <f>DATE(YEAR(OrdersTable[[#This Row],[Order Date]]),MONTH(OrdersTable[[#This Row],[Order Date]]),1)</f>
        <v>45627</v>
      </c>
      <c r="E2102">
        <f>MONTH(OrdersTable[[#This Row],[Order Date]])</f>
        <v>12</v>
      </c>
      <c r="F2102" t="s">
        <v>547</v>
      </c>
      <c r="G2102" t="str">
        <f>IF(OrdersTable[[#This Row],[Order Date]]=_xlfn.MINIFS(Order_Date, Customer_ID, OrdersTable[[#This Row],[Customer ID]]), "New", "Repeat")</f>
        <v>New</v>
      </c>
      <c r="H2102" t="s">
        <v>71</v>
      </c>
      <c r="I2102" t="str">
        <f>INDEX(State!B:B,MATCH(OrdersTable[[#This Row],[State]],State!A:A,0))</f>
        <v>MH</v>
      </c>
      <c r="J2102" t="str">
        <f>INDEX(State!C:C,MATCH(OrdersTable[[#This Row],[State Code]],State!B:B,0))</f>
        <v>West</v>
      </c>
      <c r="K2102" t="s">
        <v>72</v>
      </c>
      <c r="L2102" t="s">
        <v>23</v>
      </c>
      <c r="M2102" t="s">
        <v>40</v>
      </c>
      <c r="N2102" t="str">
        <f>INDEX(Products!B:B,MATCH(OrdersTable[[#This Row],[Product ID]],Products!A:A,0))</f>
        <v>Ashwagandha Capsules</v>
      </c>
      <c r="O2102" t="str">
        <f>INDEX(Products!C:C,MATCH(OrdersTable[[#This Row],[Product ID]],Products!A:A,0))</f>
        <v>Wellness</v>
      </c>
      <c r="P2102">
        <v>1</v>
      </c>
      <c r="Q2102" s="5">
        <v>499</v>
      </c>
      <c r="R2102" s="74">
        <v>0</v>
      </c>
      <c r="S2102" s="75">
        <f>OrdersTable[[#This Row],[Quantity]]*OrdersTable[[#This Row],[Unit Price]]</f>
        <v>499</v>
      </c>
      <c r="T2102" s="5">
        <f>OrdersTable[[#This Row],[Gross Sale]]*OrdersTable[[#This Row],[Discount_Clean2]]</f>
        <v>0</v>
      </c>
      <c r="U2102" s="5">
        <f>OrdersTable[[#This Row],[Gross Sale]]-OrdersTable[[#This Row],[Discount Amount]]</f>
        <v>499</v>
      </c>
      <c r="V2102" s="77">
        <f>INDEX(Products!E:E,MATCH(OrdersTable[[#This Row],[Product ID]],Products!A:A,0))</f>
        <v>150</v>
      </c>
      <c r="W2102" s="77">
        <f>OrdersTable[[#This Row],[Quantity]]*OrdersTable[[#This Row],[Unit Cost]]</f>
        <v>150</v>
      </c>
      <c r="X2102" s="77">
        <f>'Dropdown Lists'!$I$2*(1+OrdersTable[[#This Row],[Returned]])</f>
        <v>60</v>
      </c>
      <c r="Y2102" s="76">
        <f>OrdersTable[[#This Row],[Net Revenue]]-OrdersTable[[#This Row],[COGS]]-OrdersTable[[#This Row],[Shipping Cost]]</f>
        <v>289</v>
      </c>
      <c r="Z2102" s="78">
        <f>IFERROR(OrdersTable[[#This Row],[Profit]]/OrdersTable[[#This Row],[Net Revenue]],0)</f>
        <v>0.57915831663326656</v>
      </c>
      <c r="AA2102" t="s">
        <v>18</v>
      </c>
      <c r="AB2102" s="79">
        <v>45656</v>
      </c>
      <c r="AC2102">
        <f>OrdersTable[[#This Row],[Delivery Date]]-OrdersTable[[#This Row],[Order Date]]</f>
        <v>2</v>
      </c>
      <c r="AD2102" t="str">
        <f>IF(OrdersTable[[#This Row],[Delivery Days]]&lt;=2, "Express (≤2d)", IF(OrdersTable[[#This Row],[Delivery Days]]&lt;=4, "Standard (3-4d)", "Delayed (5d+)"))</f>
        <v>Express (≤2d)</v>
      </c>
      <c r="AE2102">
        <v>4</v>
      </c>
      <c r="AF2102">
        <v>0</v>
      </c>
    </row>
    <row r="2103" spans="1:32" ht="15" x14ac:dyDescent="0.35">
      <c r="A2103" t="s">
        <v>4814</v>
      </c>
      <c r="B2103" s="1">
        <v>45654</v>
      </c>
      <c r="C2103">
        <f>YEAR(OrdersTable[[#This Row],[Order Date]])</f>
        <v>2024</v>
      </c>
      <c r="D2103" s="2">
        <f>DATE(YEAR(OrdersTable[[#This Row],[Order Date]]),MONTH(OrdersTable[[#This Row],[Order Date]]),1)</f>
        <v>45627</v>
      </c>
      <c r="E2103">
        <f>MONTH(OrdersTable[[#This Row],[Order Date]])</f>
        <v>12</v>
      </c>
      <c r="F2103" t="s">
        <v>4815</v>
      </c>
      <c r="G2103" t="str">
        <f>IF(OrdersTable[[#This Row],[Order Date]]=_xlfn.MINIFS(Order_Date, Customer_ID, OrdersTable[[#This Row],[Customer ID]]), "New", "Repeat")</f>
        <v>New</v>
      </c>
      <c r="H2103" t="s">
        <v>275</v>
      </c>
      <c r="I2103" t="str">
        <f>INDEX(State!B:B,MATCH(OrdersTable[[#This Row],[State]],State!A:A,0))</f>
        <v>AP</v>
      </c>
      <c r="J2103" t="str">
        <f>INDEX(State!C:C,MATCH(OrdersTable[[#This Row],[State Code]],State!B:B,0))</f>
        <v>South</v>
      </c>
      <c r="K2103" t="s">
        <v>276</v>
      </c>
      <c r="L2103" t="s">
        <v>23</v>
      </c>
      <c r="M2103" t="s">
        <v>51</v>
      </c>
      <c r="N2103" t="str">
        <f>INDEX(Products!B:B,MATCH(OrdersTable[[#This Row],[Product ID]],Products!A:A,0))</f>
        <v>Anti-Dandruff Conditioner</v>
      </c>
      <c r="O2103" t="str">
        <f>INDEX(Products!C:C,MATCH(OrdersTable[[#This Row],[Product ID]],Products!A:A,0))</f>
        <v>Haircare</v>
      </c>
      <c r="P2103">
        <v>2</v>
      </c>
      <c r="Q2103" s="5">
        <v>399</v>
      </c>
      <c r="R2103" s="74">
        <v>0.35</v>
      </c>
      <c r="S2103" s="75">
        <f>OrdersTable[[#This Row],[Quantity]]*OrdersTable[[#This Row],[Unit Price]]</f>
        <v>798</v>
      </c>
      <c r="T2103" s="5">
        <f>OrdersTable[[#This Row],[Gross Sale]]*OrdersTable[[#This Row],[Discount_Clean2]]</f>
        <v>279.29999999999995</v>
      </c>
      <c r="U2103" s="5">
        <f>OrdersTable[[#This Row],[Gross Sale]]-OrdersTable[[#This Row],[Discount Amount]]</f>
        <v>518.70000000000005</v>
      </c>
      <c r="V2103" s="77">
        <f>INDEX(Products!E:E,MATCH(OrdersTable[[#This Row],[Product ID]],Products!A:A,0))</f>
        <v>136</v>
      </c>
      <c r="W2103" s="77">
        <f>OrdersTable[[#This Row],[Quantity]]*OrdersTable[[#This Row],[Unit Cost]]</f>
        <v>272</v>
      </c>
      <c r="X2103" s="77">
        <f>'Dropdown Lists'!$I$2*(1+OrdersTable[[#This Row],[Returned]])</f>
        <v>60</v>
      </c>
      <c r="Y2103" s="76">
        <f>OrdersTable[[#This Row],[Net Revenue]]-OrdersTable[[#This Row],[COGS]]-OrdersTable[[#This Row],[Shipping Cost]]</f>
        <v>186.70000000000005</v>
      </c>
      <c r="Z2103" s="78">
        <f>IFERROR(OrdersTable[[#This Row],[Profit]]/OrdersTable[[#This Row],[Net Revenue]],0)</f>
        <v>0.35993830730672843</v>
      </c>
      <c r="AA2103" t="s">
        <v>4450</v>
      </c>
      <c r="AB2103" s="79">
        <v>45659</v>
      </c>
      <c r="AC2103">
        <f>OrdersTable[[#This Row],[Delivery Date]]-OrdersTable[[#This Row],[Order Date]]</f>
        <v>5</v>
      </c>
      <c r="AD2103" t="str">
        <f>IF(OrdersTable[[#This Row],[Delivery Days]]&lt;=2, "Express (≤2d)", IF(OrdersTable[[#This Row],[Delivery Days]]&lt;=4, "Standard (3-4d)", "Delayed (5d+)"))</f>
        <v>Delayed (5d+)</v>
      </c>
      <c r="AE2103">
        <v>3</v>
      </c>
      <c r="AF2103">
        <v>0</v>
      </c>
    </row>
    <row r="2104" spans="1:32" ht="15" x14ac:dyDescent="0.35">
      <c r="A2104" t="s">
        <v>1067</v>
      </c>
      <c r="B2104" s="1">
        <v>45655</v>
      </c>
      <c r="C2104">
        <f>YEAR(OrdersTable[[#This Row],[Order Date]])</f>
        <v>2024</v>
      </c>
      <c r="D2104" s="2">
        <f>DATE(YEAR(OrdersTable[[#This Row],[Order Date]]),MONTH(OrdersTable[[#This Row],[Order Date]]),1)</f>
        <v>45627</v>
      </c>
      <c r="E2104">
        <f>MONTH(OrdersTable[[#This Row],[Order Date]])</f>
        <v>12</v>
      </c>
      <c r="F2104" t="s">
        <v>1068</v>
      </c>
      <c r="G2104" t="str">
        <f>IF(OrdersTable[[#This Row],[Order Date]]=_xlfn.MINIFS(Order_Date, Customer_ID, OrdersTable[[#This Row],[Customer ID]]), "New", "Repeat")</f>
        <v>Repeat</v>
      </c>
      <c r="H2104" t="s">
        <v>21</v>
      </c>
      <c r="I2104" t="str">
        <f>INDEX(State!B:B,MATCH(OrdersTable[[#This Row],[State]],State!A:A,0))</f>
        <v>PB</v>
      </c>
      <c r="J2104" t="str">
        <f>INDEX(State!C:C,MATCH(OrdersTable[[#This Row],[State Code]],State!B:B,0))</f>
        <v>North</v>
      </c>
      <c r="K2104" t="s">
        <v>260</v>
      </c>
      <c r="L2104" t="s">
        <v>16</v>
      </c>
      <c r="M2104" t="s">
        <v>34</v>
      </c>
      <c r="N2104" t="str">
        <f>INDEX(Products!B:B,MATCH(OrdersTable[[#This Row],[Product ID]],Products!A:A,0))</f>
        <v>Flip Flops</v>
      </c>
      <c r="O2104" t="str">
        <f>INDEX(Products!C:C,MATCH(OrdersTable[[#This Row],[Product ID]],Products!A:A,0))</f>
        <v>Footwear</v>
      </c>
      <c r="P2104">
        <v>1</v>
      </c>
      <c r="Q2104" s="5">
        <v>399</v>
      </c>
      <c r="R2104" s="74">
        <v>0.15</v>
      </c>
      <c r="S2104" s="75">
        <f>OrdersTable[[#This Row],[Quantity]]*OrdersTable[[#This Row],[Unit Price]]</f>
        <v>399</v>
      </c>
      <c r="T2104" s="5">
        <f>OrdersTable[[#This Row],[Gross Sale]]*OrdersTable[[#This Row],[Discount_Clean2]]</f>
        <v>59.849999999999994</v>
      </c>
      <c r="U2104" s="5">
        <f>OrdersTable[[#This Row],[Gross Sale]]-OrdersTable[[#This Row],[Discount Amount]]</f>
        <v>339.15</v>
      </c>
      <c r="V2104" s="77">
        <f>INDEX(Products!E:E,MATCH(OrdersTable[[#This Row],[Product ID]],Products!A:A,0))</f>
        <v>152</v>
      </c>
      <c r="W2104" s="77">
        <f>OrdersTable[[#This Row],[Quantity]]*OrdersTable[[#This Row],[Unit Cost]]</f>
        <v>152</v>
      </c>
      <c r="X2104" s="77">
        <f>'Dropdown Lists'!$I$2*(1+OrdersTable[[#This Row],[Returned]])</f>
        <v>120</v>
      </c>
      <c r="Y2104" s="76">
        <f>OrdersTable[[#This Row],[Net Revenue]]-OrdersTable[[#This Row],[COGS]]-OrdersTable[[#This Row],[Shipping Cost]]</f>
        <v>67.149999999999977</v>
      </c>
      <c r="Z2104" s="78">
        <f>IFERROR(OrdersTable[[#This Row],[Profit]]/OrdersTable[[#This Row],[Net Revenue]],0)</f>
        <v>0.19799498746867161</v>
      </c>
      <c r="AA2104" t="s">
        <v>18</v>
      </c>
      <c r="AB2104" s="79">
        <v>45657</v>
      </c>
      <c r="AC2104">
        <f>OrdersTable[[#This Row],[Delivery Date]]-OrdersTable[[#This Row],[Order Date]]</f>
        <v>2</v>
      </c>
      <c r="AD2104" t="str">
        <f>IF(OrdersTable[[#This Row],[Delivery Days]]&lt;=2, "Express (≤2d)", IF(OrdersTable[[#This Row],[Delivery Days]]&lt;=4, "Standard (3-4d)", "Delayed (5d+)"))</f>
        <v>Express (≤2d)</v>
      </c>
      <c r="AE2104">
        <v>4</v>
      </c>
      <c r="AF2104">
        <v>1</v>
      </c>
    </row>
    <row r="2105" spans="1:32" ht="15" x14ac:dyDescent="0.35">
      <c r="A2105" t="s">
        <v>793</v>
      </c>
      <c r="B2105" s="1">
        <v>45655</v>
      </c>
      <c r="C2105">
        <f>YEAR(OrdersTable[[#This Row],[Order Date]])</f>
        <v>2024</v>
      </c>
      <c r="D2105" s="2">
        <f>DATE(YEAR(OrdersTable[[#This Row],[Order Date]]),MONTH(OrdersTable[[#This Row],[Order Date]]),1)</f>
        <v>45627</v>
      </c>
      <c r="E2105">
        <f>MONTH(OrdersTable[[#This Row],[Order Date]])</f>
        <v>12</v>
      </c>
      <c r="F2105" t="s">
        <v>794</v>
      </c>
      <c r="G2105" t="str">
        <f>IF(OrdersTable[[#This Row],[Order Date]]=_xlfn.MINIFS(Order_Date, Customer_ID, OrdersTable[[#This Row],[Customer ID]]), "New", "Repeat")</f>
        <v>New</v>
      </c>
      <c r="H2105" t="s">
        <v>76</v>
      </c>
      <c r="I2105" t="str">
        <f>INDEX(State!B:B,MATCH(OrdersTable[[#This Row],[State]],State!A:A,0))</f>
        <v>UP</v>
      </c>
      <c r="J2105" t="str">
        <f>INDEX(State!C:C,MATCH(OrdersTable[[#This Row],[State Code]],State!B:B,0))</f>
        <v>North</v>
      </c>
      <c r="K2105" t="s">
        <v>77</v>
      </c>
      <c r="L2105" t="s">
        <v>65</v>
      </c>
      <c r="M2105" t="s">
        <v>148</v>
      </c>
      <c r="N2105" t="str">
        <f>INDEX(Products!B:B,MATCH(OrdersTable[[#This Row],[Product ID]],Products!A:A,0))</f>
        <v>Smartwatch Strap</v>
      </c>
      <c r="O2105" t="str">
        <f>INDEX(Products!C:C,MATCH(OrdersTable[[#This Row],[Product ID]],Products!A:A,0))</f>
        <v>Electronics</v>
      </c>
      <c r="P2105">
        <v>1</v>
      </c>
      <c r="Q2105" s="5">
        <v>499</v>
      </c>
      <c r="R2105" s="74">
        <v>0.15</v>
      </c>
      <c r="S2105" s="75">
        <f>OrdersTable[[#This Row],[Quantity]]*OrdersTable[[#This Row],[Unit Price]]</f>
        <v>499</v>
      </c>
      <c r="T2105" s="5">
        <f>OrdersTable[[#This Row],[Gross Sale]]*OrdersTable[[#This Row],[Discount_Clean2]]</f>
        <v>74.849999999999994</v>
      </c>
      <c r="U2105" s="5">
        <f>OrdersTable[[#This Row],[Gross Sale]]-OrdersTable[[#This Row],[Discount Amount]]</f>
        <v>424.15</v>
      </c>
      <c r="V2105" s="77">
        <f>INDEX(Products!E:E,MATCH(OrdersTable[[#This Row],[Product ID]],Products!A:A,0))</f>
        <v>200</v>
      </c>
      <c r="W2105" s="77">
        <f>OrdersTable[[#This Row],[Quantity]]*OrdersTable[[#This Row],[Unit Cost]]</f>
        <v>200</v>
      </c>
      <c r="X2105" s="77">
        <f>'Dropdown Lists'!$I$2*(1+OrdersTable[[#This Row],[Returned]])</f>
        <v>60</v>
      </c>
      <c r="Y2105" s="76">
        <f>OrdersTable[[#This Row],[Net Revenue]]-OrdersTable[[#This Row],[COGS]]-OrdersTable[[#This Row],[Shipping Cost]]</f>
        <v>164.14999999999998</v>
      </c>
      <c r="Z2105" s="78">
        <f>IFERROR(OrdersTable[[#This Row],[Profit]]/OrdersTable[[#This Row],[Net Revenue]],0)</f>
        <v>0.38700931274313327</v>
      </c>
      <c r="AA2105" t="s">
        <v>18</v>
      </c>
      <c r="AB2105" s="79">
        <v>45660</v>
      </c>
      <c r="AC2105">
        <f>OrdersTable[[#This Row],[Delivery Date]]-OrdersTable[[#This Row],[Order Date]]</f>
        <v>5</v>
      </c>
      <c r="AD2105" t="str">
        <f>IF(OrdersTable[[#This Row],[Delivery Days]]&lt;=2, "Express (≤2d)", IF(OrdersTable[[#This Row],[Delivery Days]]&lt;=4, "Standard (3-4d)", "Delayed (5d+)"))</f>
        <v>Delayed (5d+)</v>
      </c>
      <c r="AE2105">
        <v>4</v>
      </c>
      <c r="AF2105">
        <v>0</v>
      </c>
    </row>
    <row r="2106" spans="1:32" ht="15" x14ac:dyDescent="0.35">
      <c r="A2106" t="s">
        <v>5920</v>
      </c>
      <c r="B2106" s="1">
        <v>45655</v>
      </c>
      <c r="C2106">
        <f>YEAR(OrdersTable[[#This Row],[Order Date]])</f>
        <v>2024</v>
      </c>
      <c r="D2106" s="2">
        <f>DATE(YEAR(OrdersTable[[#This Row],[Order Date]]),MONTH(OrdersTable[[#This Row],[Order Date]]),1)</f>
        <v>45627</v>
      </c>
      <c r="E2106">
        <f>MONTH(OrdersTable[[#This Row],[Order Date]])</f>
        <v>12</v>
      </c>
      <c r="F2106" t="s">
        <v>1112</v>
      </c>
      <c r="G2106" t="str">
        <f>IF(OrdersTable[[#This Row],[Order Date]]=_xlfn.MINIFS(Order_Date, Customer_ID, OrdersTable[[#This Row],[Customer ID]]), "New", "Repeat")</f>
        <v>New</v>
      </c>
      <c r="H2106" t="s">
        <v>32</v>
      </c>
      <c r="I2106" t="str">
        <f>INDEX(State!B:B,MATCH(OrdersTable[[#This Row],[State]],State!A:A,0))</f>
        <v>BR</v>
      </c>
      <c r="J2106" t="str">
        <f>INDEX(State!C:C,MATCH(OrdersTable[[#This Row],[State Code]],State!B:B,0))</f>
        <v>East</v>
      </c>
      <c r="K2106" t="s">
        <v>33</v>
      </c>
      <c r="L2106" t="s">
        <v>23</v>
      </c>
      <c r="M2106" t="s">
        <v>66</v>
      </c>
      <c r="N2106" t="str">
        <f>INDEX(Products!B:B,MATCH(OrdersTable[[#This Row],[Product ID]],Products!A:A,0))</f>
        <v>Sunscreen SPF 50</v>
      </c>
      <c r="O2106" t="str">
        <f>INDEX(Products!C:C,MATCH(OrdersTable[[#This Row],[Product ID]],Products!A:A,0))</f>
        <v>Skincare</v>
      </c>
      <c r="P2106">
        <v>2</v>
      </c>
      <c r="Q2106" s="5">
        <v>449</v>
      </c>
      <c r="R2106" s="74">
        <v>0.05</v>
      </c>
      <c r="S2106" s="75">
        <f>OrdersTable[[#This Row],[Quantity]]*OrdersTable[[#This Row],[Unit Price]]</f>
        <v>898</v>
      </c>
      <c r="T2106" s="5">
        <f>OrdersTable[[#This Row],[Gross Sale]]*OrdersTable[[#This Row],[Discount_Clean2]]</f>
        <v>44.900000000000006</v>
      </c>
      <c r="U2106" s="5">
        <f>OrdersTable[[#This Row],[Gross Sale]]-OrdersTable[[#This Row],[Discount Amount]]</f>
        <v>853.1</v>
      </c>
      <c r="V2106" s="77">
        <f>INDEX(Products!E:E,MATCH(OrdersTable[[#This Row],[Product ID]],Products!A:A,0))</f>
        <v>144</v>
      </c>
      <c r="W2106" s="77">
        <f>OrdersTable[[#This Row],[Quantity]]*OrdersTable[[#This Row],[Unit Cost]]</f>
        <v>288</v>
      </c>
      <c r="X2106" s="77">
        <f>'Dropdown Lists'!$I$2*(1+OrdersTable[[#This Row],[Returned]])</f>
        <v>60</v>
      </c>
      <c r="Y2106" s="76">
        <f>OrdersTable[[#This Row],[Net Revenue]]-OrdersTable[[#This Row],[COGS]]-OrdersTable[[#This Row],[Shipping Cost]]</f>
        <v>505.1</v>
      </c>
      <c r="Z2106" s="78">
        <f>IFERROR(OrdersTable[[#This Row],[Profit]]/OrdersTable[[#This Row],[Net Revenue]],0)</f>
        <v>0.59207595826983939</v>
      </c>
      <c r="AA2106" t="s">
        <v>18</v>
      </c>
      <c r="AB2106" s="79">
        <v>45658</v>
      </c>
      <c r="AC2106">
        <f>OrdersTable[[#This Row],[Delivery Date]]-OrdersTable[[#This Row],[Order Date]]</f>
        <v>3</v>
      </c>
      <c r="AD2106" t="str">
        <f>IF(OrdersTable[[#This Row],[Delivery Days]]&lt;=2, "Express (≤2d)", IF(OrdersTable[[#This Row],[Delivery Days]]&lt;=4, "Standard (3-4d)", "Delayed (5d+)"))</f>
        <v>Standard (3-4d)</v>
      </c>
      <c r="AF2106">
        <v>0</v>
      </c>
    </row>
    <row r="2107" spans="1:32" ht="15" x14ac:dyDescent="0.35">
      <c r="A2107" t="s">
        <v>3008</v>
      </c>
      <c r="B2107" s="1">
        <v>45655</v>
      </c>
      <c r="C2107">
        <f>YEAR(OrdersTable[[#This Row],[Order Date]])</f>
        <v>2024</v>
      </c>
      <c r="D2107" s="2">
        <f>DATE(YEAR(OrdersTable[[#This Row],[Order Date]]),MONTH(OrdersTable[[#This Row],[Order Date]]),1)</f>
        <v>45627</v>
      </c>
      <c r="E2107">
        <f>MONTH(OrdersTable[[#This Row],[Order Date]])</f>
        <v>12</v>
      </c>
      <c r="F2107" t="s">
        <v>2676</v>
      </c>
      <c r="G2107" t="str">
        <f>IF(OrdersTable[[#This Row],[Order Date]]=_xlfn.MINIFS(Order_Date, Customer_ID, OrdersTable[[#This Row],[Customer ID]]), "New", "Repeat")</f>
        <v>Repeat</v>
      </c>
      <c r="H2107" t="s">
        <v>43</v>
      </c>
      <c r="I2107" t="str">
        <f>INDEX(State!B:B,MATCH(OrdersTable[[#This Row],[State]],State!A:A,0))</f>
        <v>MP</v>
      </c>
      <c r="J2107" t="str">
        <f>INDEX(State!C:C,MATCH(OrdersTable[[#This Row],[State Code]],State!B:B,0))</f>
        <v>West</v>
      </c>
      <c r="K2107" t="s">
        <v>250</v>
      </c>
      <c r="L2107" t="s">
        <v>23</v>
      </c>
      <c r="M2107" t="s">
        <v>51</v>
      </c>
      <c r="N2107" t="str">
        <f>INDEX(Products!B:B,MATCH(OrdersTable[[#This Row],[Product ID]],Products!A:A,0))</f>
        <v>Anti-Dandruff Conditioner</v>
      </c>
      <c r="O2107" t="str">
        <f>INDEX(Products!C:C,MATCH(OrdersTable[[#This Row],[Product ID]],Products!A:A,0))</f>
        <v>Haircare</v>
      </c>
      <c r="P2107">
        <v>1</v>
      </c>
      <c r="Q2107" s="5">
        <v>399</v>
      </c>
      <c r="R2107" s="74">
        <v>0.35</v>
      </c>
      <c r="S2107" s="75">
        <f>OrdersTable[[#This Row],[Quantity]]*OrdersTable[[#This Row],[Unit Price]]</f>
        <v>399</v>
      </c>
      <c r="T2107" s="5">
        <f>OrdersTable[[#This Row],[Gross Sale]]*OrdersTable[[#This Row],[Discount_Clean2]]</f>
        <v>139.64999999999998</v>
      </c>
      <c r="U2107" s="5">
        <f>OrdersTable[[#This Row],[Gross Sale]]-OrdersTable[[#This Row],[Discount Amount]]</f>
        <v>259.35000000000002</v>
      </c>
      <c r="V2107" s="77">
        <f>INDEX(Products!E:E,MATCH(OrdersTable[[#This Row],[Product ID]],Products!A:A,0))</f>
        <v>136</v>
      </c>
      <c r="W2107" s="77">
        <f>OrdersTable[[#This Row],[Quantity]]*OrdersTable[[#This Row],[Unit Cost]]</f>
        <v>136</v>
      </c>
      <c r="X2107" s="77">
        <f>'Dropdown Lists'!$I$2*(1+OrdersTable[[#This Row],[Returned]])</f>
        <v>60</v>
      </c>
      <c r="Y2107" s="76">
        <f>OrdersTable[[#This Row],[Net Revenue]]-OrdersTable[[#This Row],[COGS]]-OrdersTable[[#This Row],[Shipping Cost]]</f>
        <v>63.350000000000023</v>
      </c>
      <c r="Z2107" s="78">
        <f>IFERROR(OrdersTable[[#This Row],[Profit]]/OrdersTable[[#This Row],[Net Revenue]],0)</f>
        <v>0.24426450742240222</v>
      </c>
      <c r="AA2107" t="s">
        <v>2522</v>
      </c>
      <c r="AB2107" s="79">
        <v>45660</v>
      </c>
      <c r="AC2107">
        <f>OrdersTable[[#This Row],[Delivery Date]]-OrdersTable[[#This Row],[Order Date]]</f>
        <v>5</v>
      </c>
      <c r="AD2107" t="str">
        <f>IF(OrdersTable[[#This Row],[Delivery Days]]&lt;=2, "Express (≤2d)", IF(OrdersTable[[#This Row],[Delivery Days]]&lt;=4, "Standard (3-4d)", "Delayed (5d+)"))</f>
        <v>Delayed (5d+)</v>
      </c>
      <c r="AF2107">
        <v>0</v>
      </c>
    </row>
    <row r="2108" spans="1:32" ht="15" x14ac:dyDescent="0.35">
      <c r="A2108" t="s">
        <v>958</v>
      </c>
      <c r="B2108" s="1">
        <v>45655</v>
      </c>
      <c r="C2108">
        <f>YEAR(OrdersTable[[#This Row],[Order Date]])</f>
        <v>2024</v>
      </c>
      <c r="D2108" s="2">
        <f>DATE(YEAR(OrdersTable[[#This Row],[Order Date]]),MONTH(OrdersTable[[#This Row],[Order Date]]),1)</f>
        <v>45627</v>
      </c>
      <c r="E2108">
        <f>MONTH(OrdersTable[[#This Row],[Order Date]])</f>
        <v>12</v>
      </c>
      <c r="F2108" t="s">
        <v>959</v>
      </c>
      <c r="G2108" t="str">
        <f>IF(OrdersTable[[#This Row],[Order Date]]=_xlfn.MINIFS(Order_Date, Customer_ID, OrdersTable[[#This Row],[Customer ID]]), "New", "Repeat")</f>
        <v>Repeat</v>
      </c>
      <c r="H2108" t="s">
        <v>95</v>
      </c>
      <c r="I2108" t="str">
        <f>INDEX(State!B:B,MATCH(OrdersTable[[#This Row],[State]],State!A:A,0))</f>
        <v>TG</v>
      </c>
      <c r="J2108" t="str">
        <f>INDEX(State!C:C,MATCH(OrdersTable[[#This Row],[State Code]],State!B:B,0))</f>
        <v>South</v>
      </c>
      <c r="K2108" t="s">
        <v>96</v>
      </c>
      <c r="L2108" t="s">
        <v>39</v>
      </c>
      <c r="M2108" t="s">
        <v>176</v>
      </c>
      <c r="N2108" t="str">
        <f>INDEX(Products!B:B,MATCH(OrdersTable[[#This Row],[Product ID]],Products!A:A,0))</f>
        <v>Denim Jacket</v>
      </c>
      <c r="O2108" t="str">
        <f>INDEX(Products!C:C,MATCH(OrdersTable[[#This Row],[Product ID]],Products!A:A,0))</f>
        <v>Apparel</v>
      </c>
      <c r="P2108">
        <v>1</v>
      </c>
      <c r="Q2108" s="5">
        <v>2499</v>
      </c>
      <c r="R2108" s="74">
        <v>0</v>
      </c>
      <c r="S2108" s="75">
        <f>OrdersTable[[#This Row],[Quantity]]*OrdersTable[[#This Row],[Unit Price]]</f>
        <v>2499</v>
      </c>
      <c r="T2108" s="5">
        <f>OrdersTable[[#This Row],[Gross Sale]]*OrdersTable[[#This Row],[Discount_Clean2]]</f>
        <v>0</v>
      </c>
      <c r="U2108" s="5">
        <f>OrdersTable[[#This Row],[Gross Sale]]-OrdersTable[[#This Row],[Discount Amount]]</f>
        <v>2499</v>
      </c>
      <c r="V2108" s="77">
        <f>INDEX(Products!E:E,MATCH(OrdersTable[[#This Row],[Product ID]],Products!A:A,0))</f>
        <v>1125</v>
      </c>
      <c r="W2108" s="77">
        <f>OrdersTable[[#This Row],[Quantity]]*OrdersTable[[#This Row],[Unit Cost]]</f>
        <v>1125</v>
      </c>
      <c r="X2108" s="77">
        <f>'Dropdown Lists'!$I$2*(1+OrdersTable[[#This Row],[Returned]])</f>
        <v>60</v>
      </c>
      <c r="Y2108" s="76">
        <f>OrdersTable[[#This Row],[Net Revenue]]-OrdersTable[[#This Row],[COGS]]-OrdersTable[[#This Row],[Shipping Cost]]</f>
        <v>1314</v>
      </c>
      <c r="Z2108" s="78">
        <f>IFERROR(OrdersTable[[#This Row],[Profit]]/OrdersTable[[#This Row],[Net Revenue]],0)</f>
        <v>0.5258103241296519</v>
      </c>
      <c r="AA2108" t="s">
        <v>18</v>
      </c>
      <c r="AB2108" s="79">
        <v>45658</v>
      </c>
      <c r="AC2108">
        <f>OrdersTable[[#This Row],[Delivery Date]]-OrdersTable[[#This Row],[Order Date]]</f>
        <v>3</v>
      </c>
      <c r="AD2108" t="str">
        <f>IF(OrdersTable[[#This Row],[Delivery Days]]&lt;=2, "Express (≤2d)", IF(OrdersTable[[#This Row],[Delivery Days]]&lt;=4, "Standard (3-4d)", "Delayed (5d+)"))</f>
        <v>Standard (3-4d)</v>
      </c>
      <c r="AE2108">
        <v>4</v>
      </c>
      <c r="AF2108">
        <v>0</v>
      </c>
    </row>
    <row r="2109" spans="1:32" ht="15" x14ac:dyDescent="0.35">
      <c r="A2109" t="s">
        <v>4590</v>
      </c>
      <c r="B2109" s="1">
        <v>45656</v>
      </c>
      <c r="C2109">
        <f>YEAR(OrdersTable[[#This Row],[Order Date]])</f>
        <v>2024</v>
      </c>
      <c r="D2109" s="2">
        <f>DATE(YEAR(OrdersTable[[#This Row],[Order Date]]),MONTH(OrdersTable[[#This Row],[Order Date]]),1)</f>
        <v>45627</v>
      </c>
      <c r="E2109">
        <f>MONTH(OrdersTable[[#This Row],[Order Date]])</f>
        <v>12</v>
      </c>
      <c r="F2109" t="s">
        <v>4591</v>
      </c>
      <c r="G2109" t="str">
        <f>IF(OrdersTable[[#This Row],[Order Date]]=_xlfn.MINIFS(Order_Date, Customer_ID, OrdersTable[[#This Row],[Customer ID]]), "New", "Repeat")</f>
        <v>New</v>
      </c>
      <c r="H2109" t="s">
        <v>48</v>
      </c>
      <c r="I2109" t="str">
        <f>INDEX(State!B:B,MATCH(OrdersTable[[#This Row],[State]],State!A:A,0))</f>
        <v>HR</v>
      </c>
      <c r="J2109" t="str">
        <f>INDEX(State!C:C,MATCH(OrdersTable[[#This Row],[State Code]],State!B:B,0))</f>
        <v>North</v>
      </c>
      <c r="K2109" t="s">
        <v>49</v>
      </c>
      <c r="L2109" t="s">
        <v>23</v>
      </c>
      <c r="M2109" t="s">
        <v>148</v>
      </c>
      <c r="N2109" t="str">
        <f>INDEX(Products!B:B,MATCH(OrdersTable[[#This Row],[Product ID]],Products!A:A,0))</f>
        <v>Smartwatch Strap</v>
      </c>
      <c r="O2109" t="str">
        <f>INDEX(Products!C:C,MATCH(OrdersTable[[#This Row],[Product ID]],Products!A:A,0))</f>
        <v>Electronics</v>
      </c>
      <c r="P2109">
        <v>1</v>
      </c>
      <c r="Q2109" s="5">
        <v>499</v>
      </c>
      <c r="R2109" s="74">
        <v>0.1</v>
      </c>
      <c r="S2109" s="75">
        <f>OrdersTable[[#This Row],[Quantity]]*OrdersTable[[#This Row],[Unit Price]]</f>
        <v>499</v>
      </c>
      <c r="T2109" s="5">
        <f>OrdersTable[[#This Row],[Gross Sale]]*OrdersTable[[#This Row],[Discount_Clean2]]</f>
        <v>49.900000000000006</v>
      </c>
      <c r="U2109" s="5">
        <f>OrdersTable[[#This Row],[Gross Sale]]-OrdersTable[[#This Row],[Discount Amount]]</f>
        <v>449.1</v>
      </c>
      <c r="V2109" s="77">
        <f>INDEX(Products!E:E,MATCH(OrdersTable[[#This Row],[Product ID]],Products!A:A,0))</f>
        <v>200</v>
      </c>
      <c r="W2109" s="77">
        <f>OrdersTable[[#This Row],[Quantity]]*OrdersTable[[#This Row],[Unit Cost]]</f>
        <v>200</v>
      </c>
      <c r="X2109" s="77">
        <f>'Dropdown Lists'!$I$2*(1+OrdersTable[[#This Row],[Returned]])</f>
        <v>60</v>
      </c>
      <c r="Y2109" s="76">
        <f>OrdersTable[[#This Row],[Net Revenue]]-OrdersTable[[#This Row],[COGS]]-OrdersTable[[#This Row],[Shipping Cost]]</f>
        <v>189.10000000000002</v>
      </c>
      <c r="Z2109" s="78">
        <f>IFERROR(OrdersTable[[#This Row],[Profit]]/OrdersTable[[#This Row],[Net Revenue]],0)</f>
        <v>0.42106435092407041</v>
      </c>
      <c r="AA2109" t="s">
        <v>4450</v>
      </c>
      <c r="AB2109" s="79">
        <v>45659</v>
      </c>
      <c r="AC2109">
        <f>OrdersTable[[#This Row],[Delivery Date]]-OrdersTable[[#This Row],[Order Date]]</f>
        <v>3</v>
      </c>
      <c r="AD2109" t="str">
        <f>IF(OrdersTable[[#This Row],[Delivery Days]]&lt;=2, "Express (≤2d)", IF(OrdersTable[[#This Row],[Delivery Days]]&lt;=4, "Standard (3-4d)", "Delayed (5d+)"))</f>
        <v>Standard (3-4d)</v>
      </c>
      <c r="AF2109">
        <v>0</v>
      </c>
    </row>
    <row r="2110" spans="1:32" ht="15" x14ac:dyDescent="0.35">
      <c r="A2110" t="s">
        <v>3243</v>
      </c>
      <c r="B2110" s="1">
        <v>45656</v>
      </c>
      <c r="C2110">
        <f>YEAR(OrdersTable[[#This Row],[Order Date]])</f>
        <v>2024</v>
      </c>
      <c r="D2110" s="2">
        <f>DATE(YEAR(OrdersTable[[#This Row],[Order Date]]),MONTH(OrdersTable[[#This Row],[Order Date]]),1)</f>
        <v>45627</v>
      </c>
      <c r="E2110">
        <f>MONTH(OrdersTable[[#This Row],[Order Date]])</f>
        <v>12</v>
      </c>
      <c r="F2110" t="s">
        <v>3244</v>
      </c>
      <c r="G2110" t="str">
        <f>IF(OrdersTable[[#This Row],[Order Date]]=_xlfn.MINIFS(Order_Date, Customer_ID, OrdersTable[[#This Row],[Customer ID]]), "New", "Repeat")</f>
        <v>New</v>
      </c>
      <c r="H2110" t="s">
        <v>76</v>
      </c>
      <c r="I2110" t="str">
        <f>INDEX(State!B:B,MATCH(OrdersTable[[#This Row],[State]],State!A:A,0))</f>
        <v>UP</v>
      </c>
      <c r="J2110" t="str">
        <f>INDEX(State!C:C,MATCH(OrdersTable[[#This Row],[State Code]],State!B:B,0))</f>
        <v>North</v>
      </c>
      <c r="K2110" t="s">
        <v>77</v>
      </c>
      <c r="L2110" t="s">
        <v>39</v>
      </c>
      <c r="M2110" t="s">
        <v>51</v>
      </c>
      <c r="N2110" t="str">
        <f>INDEX(Products!B:B,MATCH(OrdersTable[[#This Row],[Product ID]],Products!A:A,0))</f>
        <v>Anti-Dandruff Conditioner</v>
      </c>
      <c r="O2110" t="str">
        <f>INDEX(Products!C:C,MATCH(OrdersTable[[#This Row],[Product ID]],Products!A:A,0))</f>
        <v>Haircare</v>
      </c>
      <c r="P2110">
        <v>1</v>
      </c>
      <c r="Q2110" s="5">
        <v>399</v>
      </c>
      <c r="R2110" s="74">
        <v>0.4</v>
      </c>
      <c r="S2110" s="75">
        <f>OrdersTable[[#This Row],[Quantity]]*OrdersTable[[#This Row],[Unit Price]]</f>
        <v>399</v>
      </c>
      <c r="T2110" s="5">
        <f>OrdersTable[[#This Row],[Gross Sale]]*OrdersTable[[#This Row],[Discount_Clean2]]</f>
        <v>159.60000000000002</v>
      </c>
      <c r="U2110" s="5">
        <f>OrdersTable[[#This Row],[Gross Sale]]-OrdersTable[[#This Row],[Discount Amount]]</f>
        <v>239.39999999999998</v>
      </c>
      <c r="V2110" s="77">
        <f>INDEX(Products!E:E,MATCH(OrdersTable[[#This Row],[Product ID]],Products!A:A,0))</f>
        <v>136</v>
      </c>
      <c r="W2110" s="77">
        <f>OrdersTable[[#This Row],[Quantity]]*OrdersTable[[#This Row],[Unit Cost]]</f>
        <v>136</v>
      </c>
      <c r="X2110" s="77">
        <f>'Dropdown Lists'!$I$2*(1+OrdersTable[[#This Row],[Returned]])</f>
        <v>120</v>
      </c>
      <c r="Y2110" s="76">
        <f>OrdersTable[[#This Row],[Net Revenue]]-OrdersTable[[#This Row],[COGS]]-OrdersTable[[#This Row],[Shipping Cost]]</f>
        <v>-16.600000000000023</v>
      </c>
      <c r="Z2110" s="78">
        <f>IFERROR(OrdersTable[[#This Row],[Profit]]/OrdersTable[[#This Row],[Net Revenue]],0)</f>
        <v>-6.9340016708437868E-2</v>
      </c>
      <c r="AA2110" t="s">
        <v>2522</v>
      </c>
      <c r="AB2110" s="79">
        <v>45660</v>
      </c>
      <c r="AC2110">
        <f>OrdersTable[[#This Row],[Delivery Date]]-OrdersTable[[#This Row],[Order Date]]</f>
        <v>4</v>
      </c>
      <c r="AD2110" t="str">
        <f>IF(OrdersTable[[#This Row],[Delivery Days]]&lt;=2, "Express (≤2d)", IF(OrdersTable[[#This Row],[Delivery Days]]&lt;=4, "Standard (3-4d)", "Delayed (5d+)"))</f>
        <v>Standard (3-4d)</v>
      </c>
      <c r="AE2110">
        <v>4</v>
      </c>
      <c r="AF2110">
        <v>1</v>
      </c>
    </row>
    <row r="2111" spans="1:32" ht="15" x14ac:dyDescent="0.35">
      <c r="A2111" t="s">
        <v>1069</v>
      </c>
      <c r="B2111" s="1">
        <v>45656</v>
      </c>
      <c r="C2111">
        <f>YEAR(OrdersTable[[#This Row],[Order Date]])</f>
        <v>2024</v>
      </c>
      <c r="D2111" s="2">
        <f>DATE(YEAR(OrdersTable[[#This Row],[Order Date]]),MONTH(OrdersTable[[#This Row],[Order Date]]),1)</f>
        <v>45627</v>
      </c>
      <c r="E2111">
        <f>MONTH(OrdersTable[[#This Row],[Order Date]])</f>
        <v>12</v>
      </c>
      <c r="F2111" t="s">
        <v>244</v>
      </c>
      <c r="G2111" t="str">
        <f>IF(OrdersTable[[#This Row],[Order Date]]=_xlfn.MINIFS(Order_Date, Customer_ID, OrdersTable[[#This Row],[Customer ID]]), "New", "Repeat")</f>
        <v>Repeat</v>
      </c>
      <c r="H2111" t="s">
        <v>76</v>
      </c>
      <c r="I2111" t="str">
        <f>INDEX(State!B:B,MATCH(OrdersTable[[#This Row],[State]],State!A:A,0))</f>
        <v>UP</v>
      </c>
      <c r="J2111" t="str">
        <f>INDEX(State!C:C,MATCH(OrdersTable[[#This Row],[State Code]],State!B:B,0))</f>
        <v>North</v>
      </c>
      <c r="K2111" t="s">
        <v>105</v>
      </c>
      <c r="L2111" t="s">
        <v>65</v>
      </c>
      <c r="M2111" t="s">
        <v>92</v>
      </c>
      <c r="N2111" t="str">
        <f>INDEX(Products!B:B,MATCH(OrdersTable[[#This Row],[Product ID]],Products!A:A,0))</f>
        <v>Kolhapuri Sandals</v>
      </c>
      <c r="O2111" t="str">
        <f>INDEX(Products!C:C,MATCH(OrdersTable[[#This Row],[Product ID]],Products!A:A,0))</f>
        <v>Footwear</v>
      </c>
      <c r="P2111">
        <v>1</v>
      </c>
      <c r="Q2111" s="5">
        <v>999</v>
      </c>
      <c r="R2111" s="74">
        <v>0.05</v>
      </c>
      <c r="S2111" s="75">
        <f>OrdersTable[[#This Row],[Quantity]]*OrdersTable[[#This Row],[Unit Price]]</f>
        <v>999</v>
      </c>
      <c r="T2111" s="5">
        <f>OrdersTable[[#This Row],[Gross Sale]]*OrdersTable[[#This Row],[Discount_Clean2]]</f>
        <v>49.95</v>
      </c>
      <c r="U2111" s="5">
        <f>OrdersTable[[#This Row],[Gross Sale]]-OrdersTable[[#This Row],[Discount Amount]]</f>
        <v>949.05</v>
      </c>
      <c r="V2111" s="77">
        <f>INDEX(Products!E:E,MATCH(OrdersTable[[#This Row],[Product ID]],Products!A:A,0))</f>
        <v>400</v>
      </c>
      <c r="W2111" s="77">
        <f>OrdersTable[[#This Row],[Quantity]]*OrdersTable[[#This Row],[Unit Cost]]</f>
        <v>400</v>
      </c>
      <c r="X2111" s="77">
        <f>'Dropdown Lists'!$I$2*(1+OrdersTable[[#This Row],[Returned]])</f>
        <v>120</v>
      </c>
      <c r="Y2111" s="76">
        <f>OrdersTable[[#This Row],[Net Revenue]]-OrdersTable[[#This Row],[COGS]]-OrdersTable[[#This Row],[Shipping Cost]]</f>
        <v>429.04999999999995</v>
      </c>
      <c r="Z2111" s="78">
        <f>IFERROR(OrdersTable[[#This Row],[Profit]]/OrdersTable[[#This Row],[Net Revenue]],0)</f>
        <v>0.4520836626099784</v>
      </c>
      <c r="AA2111" t="s">
        <v>18</v>
      </c>
      <c r="AB2111" s="79">
        <v>45658</v>
      </c>
      <c r="AC2111">
        <f>OrdersTable[[#This Row],[Delivery Date]]-OrdersTable[[#This Row],[Order Date]]</f>
        <v>2</v>
      </c>
      <c r="AD2111" t="str">
        <f>IF(OrdersTable[[#This Row],[Delivery Days]]&lt;=2, "Express (≤2d)", IF(OrdersTable[[#This Row],[Delivery Days]]&lt;=4, "Standard (3-4d)", "Delayed (5d+)"))</f>
        <v>Express (≤2d)</v>
      </c>
      <c r="AE2111">
        <v>4</v>
      </c>
      <c r="AF2111">
        <v>1</v>
      </c>
    </row>
    <row r="2112" spans="1:32" ht="15" x14ac:dyDescent="0.35">
      <c r="A2112" t="s">
        <v>4264</v>
      </c>
      <c r="B2112" s="1">
        <v>45656</v>
      </c>
      <c r="C2112">
        <f>YEAR(OrdersTable[[#This Row],[Order Date]])</f>
        <v>2024</v>
      </c>
      <c r="D2112" s="2">
        <f>DATE(YEAR(OrdersTable[[#This Row],[Order Date]]),MONTH(OrdersTable[[#This Row],[Order Date]]),1)</f>
        <v>45627</v>
      </c>
      <c r="E2112">
        <f>MONTH(OrdersTable[[#This Row],[Order Date]])</f>
        <v>12</v>
      </c>
      <c r="F2112" t="s">
        <v>4265</v>
      </c>
      <c r="G2112" t="str">
        <f>IF(OrdersTable[[#This Row],[Order Date]]=_xlfn.MINIFS(Order_Date, Customer_ID, OrdersTable[[#This Row],[Customer ID]]), "New", "Repeat")</f>
        <v>New</v>
      </c>
      <c r="H2112" t="s">
        <v>43</v>
      </c>
      <c r="I2112" t="str">
        <f>INDEX(State!B:B,MATCH(OrdersTable[[#This Row],[State]],State!A:A,0))</f>
        <v>MP</v>
      </c>
      <c r="J2112" t="str">
        <f>INDEX(State!C:C,MATCH(OrdersTable[[#This Row],[State Code]],State!B:B,0))</f>
        <v>West</v>
      </c>
      <c r="K2112" t="s">
        <v>250</v>
      </c>
      <c r="L2112" t="s">
        <v>23</v>
      </c>
      <c r="M2112" t="s">
        <v>423</v>
      </c>
      <c r="N2112" t="str">
        <f>INDEX(Products!B:B,MATCH(OrdersTable[[#This Row],[Product ID]],Products!A:A,0))</f>
        <v>Power Bank 20000mAh</v>
      </c>
      <c r="O2112" t="str">
        <f>INDEX(Products!C:C,MATCH(OrdersTable[[#This Row],[Product ID]],Products!A:A,0))</f>
        <v>Electronics</v>
      </c>
      <c r="P2112">
        <v>1</v>
      </c>
      <c r="Q2112" s="5">
        <v>1799</v>
      </c>
      <c r="R2112" s="74">
        <v>0.3</v>
      </c>
      <c r="S2112" s="75">
        <f>OrdersTable[[#This Row],[Quantity]]*OrdersTable[[#This Row],[Unit Price]]</f>
        <v>1799</v>
      </c>
      <c r="T2112" s="5">
        <f>OrdersTable[[#This Row],[Gross Sale]]*OrdersTable[[#This Row],[Discount_Clean2]]</f>
        <v>539.69999999999993</v>
      </c>
      <c r="U2112" s="5">
        <f>OrdersTable[[#This Row],[Gross Sale]]-OrdersTable[[#This Row],[Discount Amount]]</f>
        <v>1259.3000000000002</v>
      </c>
      <c r="V2112" s="77">
        <f>INDEX(Products!E:E,MATCH(OrdersTable[[#This Row],[Product ID]],Products!A:A,0))</f>
        <v>1079</v>
      </c>
      <c r="W2112" s="77">
        <f>OrdersTable[[#This Row],[Quantity]]*OrdersTable[[#This Row],[Unit Cost]]</f>
        <v>1079</v>
      </c>
      <c r="X2112" s="77">
        <f>'Dropdown Lists'!$I$2*(1+OrdersTable[[#This Row],[Returned]])</f>
        <v>60</v>
      </c>
      <c r="Y2112" s="76">
        <f>OrdersTable[[#This Row],[Net Revenue]]-OrdersTable[[#This Row],[COGS]]-OrdersTable[[#This Row],[Shipping Cost]]</f>
        <v>120.30000000000018</v>
      </c>
      <c r="Z2112" s="78">
        <f>IFERROR(OrdersTable[[#This Row],[Profit]]/OrdersTable[[#This Row],[Net Revenue]],0)</f>
        <v>9.5529262288573141E-2</v>
      </c>
      <c r="AA2112" t="s">
        <v>4074</v>
      </c>
      <c r="AB2112" s="79">
        <v>45659</v>
      </c>
      <c r="AC2112">
        <f>OrdersTable[[#This Row],[Delivery Date]]-OrdersTable[[#This Row],[Order Date]]</f>
        <v>3</v>
      </c>
      <c r="AD2112" t="str">
        <f>IF(OrdersTable[[#This Row],[Delivery Days]]&lt;=2, "Express (≤2d)", IF(OrdersTable[[#This Row],[Delivery Days]]&lt;=4, "Standard (3-4d)", "Delayed (5d+)"))</f>
        <v>Standard (3-4d)</v>
      </c>
      <c r="AF2112">
        <v>0</v>
      </c>
    </row>
    <row r="2113" spans="1:32" ht="15" x14ac:dyDescent="0.35">
      <c r="A2113" t="s">
        <v>1160</v>
      </c>
      <c r="B2113" s="1">
        <v>45656</v>
      </c>
      <c r="C2113">
        <f>YEAR(OrdersTable[[#This Row],[Order Date]])</f>
        <v>2024</v>
      </c>
      <c r="D2113" s="2">
        <f>DATE(YEAR(OrdersTable[[#This Row],[Order Date]]),MONTH(OrdersTable[[#This Row],[Order Date]]),1)</f>
        <v>45627</v>
      </c>
      <c r="E2113">
        <f>MONTH(OrdersTable[[#This Row],[Order Date]])</f>
        <v>12</v>
      </c>
      <c r="F2113" t="s">
        <v>1161</v>
      </c>
      <c r="G2113" t="str">
        <f>IF(OrdersTable[[#This Row],[Order Date]]=_xlfn.MINIFS(Order_Date, Customer_ID, OrdersTable[[#This Row],[Customer ID]]), "New", "Repeat")</f>
        <v>Repeat</v>
      </c>
      <c r="H2113" t="s">
        <v>71</v>
      </c>
      <c r="I2113" t="str">
        <f>INDEX(State!B:B,MATCH(OrdersTable[[#This Row],[State]],State!A:A,0))</f>
        <v>MH</v>
      </c>
      <c r="J2113" t="str">
        <f>INDEX(State!C:C,MATCH(OrdersTable[[#This Row],[State Code]],State!B:B,0))</f>
        <v>West</v>
      </c>
      <c r="K2113" t="s">
        <v>102</v>
      </c>
      <c r="L2113" t="s">
        <v>50</v>
      </c>
      <c r="M2113" t="s">
        <v>73</v>
      </c>
      <c r="N2113" t="str">
        <f>INDEX(Products!B:B,MATCH(OrdersTable[[#This Row],[Product ID]],Products!A:A,0))</f>
        <v>Hydrating Face Wash</v>
      </c>
      <c r="O2113" t="str">
        <f>INDEX(Products!C:C,MATCH(OrdersTable[[#This Row],[Product ID]],Products!A:A,0))</f>
        <v>Skincare</v>
      </c>
      <c r="P2113">
        <v>1</v>
      </c>
      <c r="Q2113" s="5">
        <v>299</v>
      </c>
      <c r="R2113" s="74">
        <v>0.05</v>
      </c>
      <c r="S2113" s="75">
        <f>OrdersTable[[#This Row],[Quantity]]*OrdersTable[[#This Row],[Unit Price]]</f>
        <v>299</v>
      </c>
      <c r="T2113" s="5">
        <f>OrdersTable[[#This Row],[Gross Sale]]*OrdersTable[[#This Row],[Discount_Clean2]]</f>
        <v>14.950000000000001</v>
      </c>
      <c r="U2113" s="5">
        <f>OrdersTable[[#This Row],[Gross Sale]]-OrdersTable[[#This Row],[Discount Amount]]</f>
        <v>284.05</v>
      </c>
      <c r="V2113" s="77">
        <f>INDEX(Products!E:E,MATCH(OrdersTable[[#This Row],[Product ID]],Products!A:A,0))</f>
        <v>90</v>
      </c>
      <c r="W2113" s="77">
        <f>OrdersTable[[#This Row],[Quantity]]*OrdersTable[[#This Row],[Unit Cost]]</f>
        <v>90</v>
      </c>
      <c r="X2113" s="77">
        <f>'Dropdown Lists'!$I$2*(1+OrdersTable[[#This Row],[Returned]])</f>
        <v>60</v>
      </c>
      <c r="Y2113" s="76">
        <f>OrdersTable[[#This Row],[Net Revenue]]-OrdersTable[[#This Row],[COGS]]-OrdersTable[[#This Row],[Shipping Cost]]</f>
        <v>134.05000000000001</v>
      </c>
      <c r="Z2113" s="78">
        <f>IFERROR(OrdersTable[[#This Row],[Profit]]/OrdersTable[[#This Row],[Net Revenue]],0)</f>
        <v>0.47192395704981521</v>
      </c>
      <c r="AA2113" t="s">
        <v>18</v>
      </c>
      <c r="AB2113" s="79">
        <v>45657</v>
      </c>
      <c r="AC2113">
        <f>OrdersTable[[#This Row],[Delivery Date]]-OrdersTable[[#This Row],[Order Date]]</f>
        <v>1</v>
      </c>
      <c r="AD2113" t="str">
        <f>IF(OrdersTable[[#This Row],[Delivery Days]]&lt;=2, "Express (≤2d)", IF(OrdersTable[[#This Row],[Delivery Days]]&lt;=4, "Standard (3-4d)", "Delayed (5d+)"))</f>
        <v>Express (≤2d)</v>
      </c>
      <c r="AF2113">
        <v>0</v>
      </c>
    </row>
    <row r="2114" spans="1:32" ht="15" x14ac:dyDescent="0.35">
      <c r="A2114" t="s">
        <v>3245</v>
      </c>
      <c r="B2114" s="1">
        <v>45656</v>
      </c>
      <c r="C2114">
        <f>YEAR(OrdersTable[[#This Row],[Order Date]])</f>
        <v>2024</v>
      </c>
      <c r="D2114" s="2">
        <f>DATE(YEAR(OrdersTable[[#This Row],[Order Date]]),MONTH(OrdersTable[[#This Row],[Order Date]]),1)</f>
        <v>45627</v>
      </c>
      <c r="E2114">
        <f>MONTH(OrdersTable[[#This Row],[Order Date]])</f>
        <v>12</v>
      </c>
      <c r="F2114" t="s">
        <v>2401</v>
      </c>
      <c r="G2114" t="str">
        <f>IF(OrdersTable[[#This Row],[Order Date]]=_xlfn.MINIFS(Order_Date, Customer_ID, OrdersTable[[#This Row],[Customer ID]]), "New", "Repeat")</f>
        <v>Repeat</v>
      </c>
      <c r="H2114" t="s">
        <v>316</v>
      </c>
      <c r="I2114" t="str">
        <f>INDEX(State!B:B,MATCH(OrdersTable[[#This Row],[State]],State!A:A,0))</f>
        <v>KL</v>
      </c>
      <c r="J2114" t="str">
        <f>INDEX(State!C:C,MATCH(OrdersTable[[#This Row],[State Code]],State!B:B,0))</f>
        <v>South</v>
      </c>
      <c r="K2114" t="s">
        <v>317</v>
      </c>
      <c r="L2114" t="s">
        <v>23</v>
      </c>
      <c r="M2114" t="s">
        <v>205</v>
      </c>
      <c r="N2114" t="str">
        <f>INDEX(Products!B:B,MATCH(OrdersTable[[#This Row],[Product ID]],Products!A:A,0))</f>
        <v>Running Shoes</v>
      </c>
      <c r="O2114" t="str">
        <f>INDEX(Products!C:C,MATCH(OrdersTable[[#This Row],[Product ID]],Products!A:A,0))</f>
        <v>Footwear</v>
      </c>
      <c r="P2114">
        <v>1</v>
      </c>
      <c r="Q2114" s="5">
        <v>2999</v>
      </c>
      <c r="R2114" s="74">
        <v>0.25</v>
      </c>
      <c r="S2114" s="75">
        <f>OrdersTable[[#This Row],[Quantity]]*OrdersTable[[#This Row],[Unit Price]]</f>
        <v>2999</v>
      </c>
      <c r="T2114" s="5">
        <f>OrdersTable[[#This Row],[Gross Sale]]*OrdersTable[[#This Row],[Discount_Clean2]]</f>
        <v>749.75</v>
      </c>
      <c r="U2114" s="5">
        <f>OrdersTable[[#This Row],[Gross Sale]]-OrdersTable[[#This Row],[Discount Amount]]</f>
        <v>2249.25</v>
      </c>
      <c r="V2114" s="77">
        <f>INDEX(Products!E:E,MATCH(OrdersTable[[#This Row],[Product ID]],Products!A:A,0))</f>
        <v>1440</v>
      </c>
      <c r="W2114" s="77">
        <f>OrdersTable[[#This Row],[Quantity]]*OrdersTable[[#This Row],[Unit Cost]]</f>
        <v>1440</v>
      </c>
      <c r="X2114" s="77">
        <f>'Dropdown Lists'!$I$2*(1+OrdersTable[[#This Row],[Returned]])</f>
        <v>60</v>
      </c>
      <c r="Y2114" s="76">
        <f>OrdersTable[[#This Row],[Net Revenue]]-OrdersTable[[#This Row],[COGS]]-OrdersTable[[#This Row],[Shipping Cost]]</f>
        <v>749.25</v>
      </c>
      <c r="Z2114" s="78">
        <f>IFERROR(OrdersTable[[#This Row],[Profit]]/OrdersTable[[#This Row],[Net Revenue]],0)</f>
        <v>0.33311103701233746</v>
      </c>
      <c r="AA2114" t="s">
        <v>2522</v>
      </c>
      <c r="AB2114" s="79">
        <v>45660</v>
      </c>
      <c r="AC2114">
        <f>OrdersTable[[#This Row],[Delivery Date]]-OrdersTable[[#This Row],[Order Date]]</f>
        <v>4</v>
      </c>
      <c r="AD2114" t="str">
        <f>IF(OrdersTable[[#This Row],[Delivery Days]]&lt;=2, "Express (≤2d)", IF(OrdersTable[[#This Row],[Delivery Days]]&lt;=4, "Standard (3-4d)", "Delayed (5d+)"))</f>
        <v>Standard (3-4d)</v>
      </c>
      <c r="AE2114">
        <v>4</v>
      </c>
      <c r="AF2114">
        <v>0</v>
      </c>
    </row>
    <row r="2115" spans="1:32" ht="15" x14ac:dyDescent="0.35">
      <c r="A2115" t="s">
        <v>6134</v>
      </c>
      <c r="B2115" s="1">
        <v>45657</v>
      </c>
      <c r="C2115">
        <f>YEAR(OrdersTable[[#This Row],[Order Date]])</f>
        <v>2024</v>
      </c>
      <c r="D2115" s="2">
        <f>DATE(YEAR(OrdersTable[[#This Row],[Order Date]]),MONTH(OrdersTable[[#This Row],[Order Date]]),1)</f>
        <v>45627</v>
      </c>
      <c r="E2115">
        <f>MONTH(OrdersTable[[#This Row],[Order Date]])</f>
        <v>12</v>
      </c>
      <c r="F2115" t="s">
        <v>6135</v>
      </c>
      <c r="G2115" t="str">
        <f>IF(OrdersTable[[#This Row],[Order Date]]=_xlfn.MINIFS(Order_Date, Customer_ID, OrdersTable[[#This Row],[Customer ID]]), "New", "Repeat")</f>
        <v>New</v>
      </c>
      <c r="H2115" t="s">
        <v>48</v>
      </c>
      <c r="I2115" t="str">
        <f>INDEX(State!B:B,MATCH(OrdersTable[[#This Row],[State]],State!A:A,0))</f>
        <v>HR</v>
      </c>
      <c r="J2115" t="str">
        <f>INDEX(State!C:C,MATCH(OrdersTable[[#This Row],[State Code]],State!B:B,0))</f>
        <v>North</v>
      </c>
      <c r="K2115" t="s">
        <v>49</v>
      </c>
      <c r="L2115" t="s">
        <v>65</v>
      </c>
      <c r="M2115" t="s">
        <v>109</v>
      </c>
      <c r="N2115" t="str">
        <f>INDEX(Products!B:B,MATCH(OrdersTable[[#This Row],[Product ID]],Products!A:A,0))</f>
        <v>Onion Hair Oil</v>
      </c>
      <c r="O2115" t="str">
        <f>INDEX(Products!C:C,MATCH(OrdersTable[[#This Row],[Product ID]],Products!A:A,0))</f>
        <v>Haircare</v>
      </c>
      <c r="P2115">
        <v>2</v>
      </c>
      <c r="Q2115" s="5">
        <v>349</v>
      </c>
      <c r="R2115" s="74">
        <v>0.3</v>
      </c>
      <c r="S2115" s="75">
        <f>OrdersTable[[#This Row],[Quantity]]*OrdersTable[[#This Row],[Unit Price]]</f>
        <v>698</v>
      </c>
      <c r="T2115" s="5">
        <f>OrdersTable[[#This Row],[Gross Sale]]*OrdersTable[[#This Row],[Discount_Clean2]]</f>
        <v>209.4</v>
      </c>
      <c r="U2115" s="5">
        <f>OrdersTable[[#This Row],[Gross Sale]]-OrdersTable[[#This Row],[Discount Amount]]</f>
        <v>488.6</v>
      </c>
      <c r="V2115" s="77">
        <f>INDEX(Products!E:E,MATCH(OrdersTable[[#This Row],[Product ID]],Products!A:A,0))</f>
        <v>105</v>
      </c>
      <c r="W2115" s="77">
        <f>OrdersTable[[#This Row],[Quantity]]*OrdersTable[[#This Row],[Unit Cost]]</f>
        <v>210</v>
      </c>
      <c r="X2115" s="77">
        <f>'Dropdown Lists'!$I$2*(1+OrdersTable[[#This Row],[Returned]])</f>
        <v>120</v>
      </c>
      <c r="Y2115" s="76">
        <f>OrdersTable[[#This Row],[Net Revenue]]-OrdersTable[[#This Row],[COGS]]-OrdersTable[[#This Row],[Shipping Cost]]</f>
        <v>158.60000000000002</v>
      </c>
      <c r="Z2115" s="78">
        <f>IFERROR(OrdersTable[[#This Row],[Profit]]/OrdersTable[[#This Row],[Net Revenue]],0)</f>
        <v>0.32460090053213264</v>
      </c>
      <c r="AA2115" t="s">
        <v>18</v>
      </c>
      <c r="AB2115" s="79">
        <v>45659</v>
      </c>
      <c r="AC2115">
        <f>OrdersTable[[#This Row],[Delivery Date]]-OrdersTable[[#This Row],[Order Date]]</f>
        <v>2</v>
      </c>
      <c r="AD2115" t="str">
        <f>IF(OrdersTable[[#This Row],[Delivery Days]]&lt;=2, "Express (≤2d)", IF(OrdersTable[[#This Row],[Delivery Days]]&lt;=4, "Standard (3-4d)", "Delayed (5d+)"))</f>
        <v>Express (≤2d)</v>
      </c>
      <c r="AE2115">
        <v>4</v>
      </c>
      <c r="AF2115">
        <v>1</v>
      </c>
    </row>
    <row r="2116" spans="1:32" ht="15" x14ac:dyDescent="0.35">
      <c r="A2116" t="s">
        <v>2345</v>
      </c>
      <c r="B2116" s="1">
        <v>45657</v>
      </c>
      <c r="C2116">
        <f>YEAR(OrdersTable[[#This Row],[Order Date]])</f>
        <v>2024</v>
      </c>
      <c r="D2116" s="2">
        <f>DATE(YEAR(OrdersTable[[#This Row],[Order Date]]),MONTH(OrdersTable[[#This Row],[Order Date]]),1)</f>
        <v>45627</v>
      </c>
      <c r="E2116">
        <f>MONTH(OrdersTable[[#This Row],[Order Date]])</f>
        <v>12</v>
      </c>
      <c r="F2116" t="s">
        <v>238</v>
      </c>
      <c r="G2116" t="str">
        <f>IF(OrdersTable[[#This Row],[Order Date]]=_xlfn.MINIFS(Order_Date, Customer_ID, OrdersTable[[#This Row],[Customer ID]]), "New", "Repeat")</f>
        <v>Repeat</v>
      </c>
      <c r="H2116" t="s">
        <v>48</v>
      </c>
      <c r="I2116" t="str">
        <f>INDEX(State!B:B,MATCH(OrdersTable[[#This Row],[State]],State!A:A,0))</f>
        <v>HR</v>
      </c>
      <c r="J2116" t="str">
        <f>INDEX(State!C:C,MATCH(OrdersTable[[#This Row],[State Code]],State!B:B,0))</f>
        <v>North</v>
      </c>
      <c r="K2116" t="s">
        <v>151</v>
      </c>
      <c r="L2116" t="s">
        <v>65</v>
      </c>
      <c r="M2116" t="s">
        <v>56</v>
      </c>
      <c r="N2116" t="str">
        <f>INDEX(Products!B:B,MATCH(OrdersTable[[#This Row],[Product ID]],Products!A:A,0))</f>
        <v>Vitamin C Face Serum</v>
      </c>
      <c r="O2116" t="str">
        <f>INDEX(Products!C:C,MATCH(OrdersTable[[#This Row],[Product ID]],Products!A:A,0))</f>
        <v>Skincare</v>
      </c>
      <c r="P2116">
        <v>1</v>
      </c>
      <c r="Q2116" s="5">
        <v>599</v>
      </c>
      <c r="R2116" s="74">
        <v>0.1</v>
      </c>
      <c r="S2116" s="75">
        <f>OrdersTable[[#This Row],[Quantity]]*OrdersTable[[#This Row],[Unit Price]]</f>
        <v>599</v>
      </c>
      <c r="T2116" s="5">
        <f>OrdersTable[[#This Row],[Gross Sale]]*OrdersTable[[#This Row],[Discount_Clean2]]</f>
        <v>59.900000000000006</v>
      </c>
      <c r="U2116" s="5">
        <f>OrdersTable[[#This Row],[Gross Sale]]-OrdersTable[[#This Row],[Discount Amount]]</f>
        <v>539.1</v>
      </c>
      <c r="V2116" s="77">
        <f>INDEX(Products!E:E,MATCH(OrdersTable[[#This Row],[Product ID]],Products!A:A,0))</f>
        <v>180</v>
      </c>
      <c r="W2116" s="77">
        <f>OrdersTable[[#This Row],[Quantity]]*OrdersTable[[#This Row],[Unit Cost]]</f>
        <v>180</v>
      </c>
      <c r="X2116" s="77">
        <f>'Dropdown Lists'!$I$2*(1+OrdersTable[[#This Row],[Returned]])</f>
        <v>60</v>
      </c>
      <c r="Y2116" s="76">
        <f>OrdersTable[[#This Row],[Net Revenue]]-OrdersTable[[#This Row],[COGS]]-OrdersTable[[#This Row],[Shipping Cost]]</f>
        <v>299.10000000000002</v>
      </c>
      <c r="Z2116" s="78">
        <f>IFERROR(OrdersTable[[#This Row],[Profit]]/OrdersTable[[#This Row],[Net Revenue]],0)</f>
        <v>0.5548135781858653</v>
      </c>
      <c r="AA2116" t="s">
        <v>18</v>
      </c>
      <c r="AB2116" s="79">
        <v>45659</v>
      </c>
      <c r="AC2116">
        <f>OrdersTable[[#This Row],[Delivery Date]]-OrdersTable[[#This Row],[Order Date]]</f>
        <v>2</v>
      </c>
      <c r="AD2116" t="str">
        <f>IF(OrdersTable[[#This Row],[Delivery Days]]&lt;=2, "Express (≤2d)", IF(OrdersTable[[#This Row],[Delivery Days]]&lt;=4, "Standard (3-4d)", "Delayed (5d+)"))</f>
        <v>Express (≤2d)</v>
      </c>
      <c r="AE2116">
        <v>5</v>
      </c>
      <c r="AF2116">
        <v>0</v>
      </c>
    </row>
    <row r="2117" spans="1:32" ht="15" x14ac:dyDescent="0.35">
      <c r="A2117" t="s">
        <v>4816</v>
      </c>
      <c r="B2117" s="1">
        <v>45657</v>
      </c>
      <c r="C2117">
        <f>YEAR(OrdersTable[[#This Row],[Order Date]])</f>
        <v>2024</v>
      </c>
      <c r="D2117" s="2">
        <f>DATE(YEAR(OrdersTable[[#This Row],[Order Date]]),MONTH(OrdersTable[[#This Row],[Order Date]]),1)</f>
        <v>45627</v>
      </c>
      <c r="E2117">
        <f>MONTH(OrdersTable[[#This Row],[Order Date]])</f>
        <v>12</v>
      </c>
      <c r="F2117" t="s">
        <v>4817</v>
      </c>
      <c r="G2117" t="str">
        <f>IF(OrdersTable[[#This Row],[Order Date]]=_xlfn.MINIFS(Order_Date, Customer_ID, OrdersTable[[#This Row],[Customer ID]]), "New", "Repeat")</f>
        <v>New</v>
      </c>
      <c r="H2117" t="s">
        <v>128</v>
      </c>
      <c r="I2117" t="str">
        <f>INDEX(State!B:B,MATCH(OrdersTable[[#This Row],[State]],State!A:A,0))</f>
        <v>DL</v>
      </c>
      <c r="J2117" t="str">
        <f>INDEX(State!C:C,MATCH(OrdersTable[[#This Row],[State Code]],State!B:B,0))</f>
        <v>North</v>
      </c>
      <c r="K2117" t="s">
        <v>129</v>
      </c>
      <c r="L2117" t="s">
        <v>65</v>
      </c>
      <c r="M2117" t="s">
        <v>87</v>
      </c>
      <c r="N2117" t="str">
        <f>INDEX(Products!B:B,MATCH(OrdersTable[[#This Row],[Product ID]],Products!A:A,0))</f>
        <v>Linen Kurta</v>
      </c>
      <c r="O2117" t="str">
        <f>INDEX(Products!C:C,MATCH(OrdersTable[[#This Row],[Product ID]],Products!A:A,0))</f>
        <v>Apparel</v>
      </c>
      <c r="P2117">
        <v>2</v>
      </c>
      <c r="Q2117" s="5">
        <v>1499</v>
      </c>
      <c r="R2117" s="74">
        <v>0.4</v>
      </c>
      <c r="S2117" s="75">
        <f>OrdersTable[[#This Row],[Quantity]]*OrdersTable[[#This Row],[Unit Price]]</f>
        <v>2998</v>
      </c>
      <c r="T2117" s="5">
        <f>OrdersTable[[#This Row],[Gross Sale]]*OrdersTable[[#This Row],[Discount_Clean2]]</f>
        <v>1199.2</v>
      </c>
      <c r="U2117" s="5">
        <f>OrdersTable[[#This Row],[Gross Sale]]-OrdersTable[[#This Row],[Discount Amount]]</f>
        <v>1798.8</v>
      </c>
      <c r="V2117" s="77">
        <f>INDEX(Products!E:E,MATCH(OrdersTable[[#This Row],[Product ID]],Products!A:A,0))</f>
        <v>630</v>
      </c>
      <c r="W2117" s="77">
        <f>OrdersTable[[#This Row],[Quantity]]*OrdersTable[[#This Row],[Unit Cost]]</f>
        <v>1260</v>
      </c>
      <c r="X2117" s="77">
        <f>'Dropdown Lists'!$I$2*(1+OrdersTable[[#This Row],[Returned]])</f>
        <v>120</v>
      </c>
      <c r="Y2117" s="76">
        <f>OrdersTable[[#This Row],[Net Revenue]]-OrdersTable[[#This Row],[COGS]]-OrdersTable[[#This Row],[Shipping Cost]]</f>
        <v>418.79999999999995</v>
      </c>
      <c r="Z2117" s="78">
        <f>IFERROR(OrdersTable[[#This Row],[Profit]]/OrdersTable[[#This Row],[Net Revenue]],0)</f>
        <v>0.23282188125416942</v>
      </c>
      <c r="AA2117" t="s">
        <v>4450</v>
      </c>
      <c r="AB2117" s="79">
        <v>45659</v>
      </c>
      <c r="AC2117">
        <f>OrdersTable[[#This Row],[Delivery Date]]-OrdersTable[[#This Row],[Order Date]]</f>
        <v>2</v>
      </c>
      <c r="AD2117" t="str">
        <f>IF(OrdersTable[[#This Row],[Delivery Days]]&lt;=2, "Express (≤2d)", IF(OrdersTable[[#This Row],[Delivery Days]]&lt;=4, "Standard (3-4d)", "Delayed (5d+)"))</f>
        <v>Express (≤2d)</v>
      </c>
      <c r="AF2117">
        <v>1</v>
      </c>
    </row>
    <row r="2118" spans="1:32" ht="15" x14ac:dyDescent="0.35">
      <c r="A2118" t="s">
        <v>6784</v>
      </c>
      <c r="B2118" s="1">
        <v>45657</v>
      </c>
      <c r="C2118">
        <f>YEAR(OrdersTable[[#This Row],[Order Date]])</f>
        <v>2024</v>
      </c>
      <c r="D2118" s="2">
        <f>DATE(YEAR(OrdersTable[[#This Row],[Order Date]]),MONTH(OrdersTable[[#This Row],[Order Date]]),1)</f>
        <v>45627</v>
      </c>
      <c r="E2118">
        <f>MONTH(OrdersTable[[#This Row],[Order Date]])</f>
        <v>12</v>
      </c>
      <c r="F2118" t="s">
        <v>2344</v>
      </c>
      <c r="G2118" t="str">
        <f>IF(OrdersTable[[#This Row],[Order Date]]=_xlfn.MINIFS(Order_Date, Customer_ID, OrdersTable[[#This Row],[Customer ID]]), "New", "Repeat")</f>
        <v>Repeat</v>
      </c>
      <c r="H2118" t="s">
        <v>128</v>
      </c>
      <c r="I2118" t="str">
        <f>INDEX(State!B:B,MATCH(OrdersTable[[#This Row],[State]],State!A:A,0))</f>
        <v>DL</v>
      </c>
      <c r="J2118" t="str">
        <f>INDEX(State!C:C,MATCH(OrdersTable[[#This Row],[State Code]],State!B:B,0))</f>
        <v>North</v>
      </c>
      <c r="K2118" t="s">
        <v>129</v>
      </c>
      <c r="L2118" t="s">
        <v>16</v>
      </c>
      <c r="M2118" t="s">
        <v>34</v>
      </c>
      <c r="N2118" t="str">
        <f>INDEX(Products!B:B,MATCH(OrdersTable[[#This Row],[Product ID]],Products!A:A,0))</f>
        <v>Flip Flops</v>
      </c>
      <c r="O2118" t="str">
        <f>INDEX(Products!C:C,MATCH(OrdersTable[[#This Row],[Product ID]],Products!A:A,0))</f>
        <v>Footwear</v>
      </c>
      <c r="P2118">
        <v>3</v>
      </c>
      <c r="Q2118" s="5">
        <v>399</v>
      </c>
      <c r="R2118" s="74">
        <v>0.15</v>
      </c>
      <c r="S2118" s="75">
        <f>OrdersTable[[#This Row],[Quantity]]*OrdersTable[[#This Row],[Unit Price]]</f>
        <v>1197</v>
      </c>
      <c r="T2118" s="5">
        <f>OrdersTable[[#This Row],[Gross Sale]]*OrdersTable[[#This Row],[Discount_Clean2]]</f>
        <v>179.54999999999998</v>
      </c>
      <c r="U2118" s="5">
        <f>OrdersTable[[#This Row],[Gross Sale]]-OrdersTable[[#This Row],[Discount Amount]]</f>
        <v>1017.45</v>
      </c>
      <c r="V2118" s="77">
        <f>INDEX(Products!E:E,MATCH(OrdersTable[[#This Row],[Product ID]],Products!A:A,0))</f>
        <v>152</v>
      </c>
      <c r="W2118" s="77">
        <f>OrdersTable[[#This Row],[Quantity]]*OrdersTable[[#This Row],[Unit Cost]]</f>
        <v>456</v>
      </c>
      <c r="X2118" s="77">
        <f>'Dropdown Lists'!$I$2*(1+OrdersTable[[#This Row],[Returned]])</f>
        <v>60</v>
      </c>
      <c r="Y2118" s="76">
        <f>OrdersTable[[#This Row],[Net Revenue]]-OrdersTable[[#This Row],[COGS]]-OrdersTable[[#This Row],[Shipping Cost]]</f>
        <v>501.45000000000005</v>
      </c>
      <c r="Z2118" s="78">
        <f>IFERROR(OrdersTable[[#This Row],[Profit]]/OrdersTable[[#This Row],[Net Revenue]],0)</f>
        <v>0.49284977148754239</v>
      </c>
      <c r="AA2118" t="s">
        <v>3495</v>
      </c>
      <c r="AB2118" s="79">
        <v>45659</v>
      </c>
      <c r="AC2118">
        <f>OrdersTable[[#This Row],[Delivery Date]]-OrdersTable[[#This Row],[Order Date]]</f>
        <v>2</v>
      </c>
      <c r="AD2118" t="str">
        <f>IF(OrdersTable[[#This Row],[Delivery Days]]&lt;=2, "Express (≤2d)", IF(OrdersTable[[#This Row],[Delivery Days]]&lt;=4, "Standard (3-4d)", "Delayed (5d+)"))</f>
        <v>Express (≤2d)</v>
      </c>
      <c r="AE2118">
        <v>5</v>
      </c>
      <c r="AF2118">
        <v>0</v>
      </c>
    </row>
    <row r="2119" spans="1:32" ht="15" x14ac:dyDescent="0.35">
      <c r="A2119" t="s">
        <v>2766</v>
      </c>
      <c r="B2119" s="1">
        <v>45657</v>
      </c>
      <c r="C2119">
        <f>YEAR(OrdersTable[[#This Row],[Order Date]])</f>
        <v>2024</v>
      </c>
      <c r="D2119" s="2">
        <f>DATE(YEAR(OrdersTable[[#This Row],[Order Date]]),MONTH(OrdersTable[[#This Row],[Order Date]]),1)</f>
        <v>45627</v>
      </c>
      <c r="E2119">
        <f>MONTH(OrdersTable[[#This Row],[Order Date]])</f>
        <v>12</v>
      </c>
      <c r="F2119" t="s">
        <v>2767</v>
      </c>
      <c r="G2119" t="str">
        <f>IF(OrdersTable[[#This Row],[Order Date]]=_xlfn.MINIFS(Order_Date, Customer_ID, OrdersTable[[#This Row],[Customer ID]]), "New", "Repeat")</f>
        <v>New</v>
      </c>
      <c r="H2119" t="s">
        <v>128</v>
      </c>
      <c r="I2119" t="str">
        <f>INDEX(State!B:B,MATCH(OrdersTable[[#This Row],[State]],State!A:A,0))</f>
        <v>DL</v>
      </c>
      <c r="J2119" t="str">
        <f>INDEX(State!C:C,MATCH(OrdersTable[[#This Row],[State Code]],State!B:B,0))</f>
        <v>North</v>
      </c>
      <c r="K2119" t="s">
        <v>129</v>
      </c>
      <c r="L2119" t="s">
        <v>16</v>
      </c>
      <c r="M2119" t="s">
        <v>92</v>
      </c>
      <c r="N2119" t="str">
        <f>INDEX(Products!B:B,MATCH(OrdersTable[[#This Row],[Product ID]],Products!A:A,0))</f>
        <v>Kolhapuri Sandals</v>
      </c>
      <c r="O2119" t="str">
        <f>INDEX(Products!C:C,MATCH(OrdersTable[[#This Row],[Product ID]],Products!A:A,0))</f>
        <v>Footwear</v>
      </c>
      <c r="P2119">
        <v>1</v>
      </c>
      <c r="Q2119" s="5">
        <v>999</v>
      </c>
      <c r="R2119" s="74">
        <v>0.1</v>
      </c>
      <c r="S2119" s="75">
        <f>OrdersTable[[#This Row],[Quantity]]*OrdersTable[[#This Row],[Unit Price]]</f>
        <v>999</v>
      </c>
      <c r="T2119" s="5">
        <f>OrdersTable[[#This Row],[Gross Sale]]*OrdersTable[[#This Row],[Discount_Clean2]]</f>
        <v>99.9</v>
      </c>
      <c r="U2119" s="5">
        <f>OrdersTable[[#This Row],[Gross Sale]]-OrdersTable[[#This Row],[Discount Amount]]</f>
        <v>899.1</v>
      </c>
      <c r="V2119" s="77">
        <f>INDEX(Products!E:E,MATCH(OrdersTable[[#This Row],[Product ID]],Products!A:A,0))</f>
        <v>400</v>
      </c>
      <c r="W2119" s="77">
        <f>OrdersTable[[#This Row],[Quantity]]*OrdersTable[[#This Row],[Unit Cost]]</f>
        <v>400</v>
      </c>
      <c r="X2119" s="77">
        <f>'Dropdown Lists'!$I$2*(1+OrdersTable[[#This Row],[Returned]])</f>
        <v>120</v>
      </c>
      <c r="Y2119" s="76">
        <f>OrdersTable[[#This Row],[Net Revenue]]-OrdersTable[[#This Row],[COGS]]-OrdersTable[[#This Row],[Shipping Cost]]</f>
        <v>379.1</v>
      </c>
      <c r="Z2119" s="78">
        <f>IFERROR(OrdersTable[[#This Row],[Profit]]/OrdersTable[[#This Row],[Net Revenue]],0)</f>
        <v>0.42164386608831056</v>
      </c>
      <c r="AA2119" t="s">
        <v>2522</v>
      </c>
      <c r="AB2119" s="79">
        <v>45658</v>
      </c>
      <c r="AC2119">
        <f>OrdersTable[[#This Row],[Delivery Date]]-OrdersTable[[#This Row],[Order Date]]</f>
        <v>1</v>
      </c>
      <c r="AD2119" t="str">
        <f>IF(OrdersTable[[#This Row],[Delivery Days]]&lt;=2, "Express (≤2d)", IF(OrdersTable[[#This Row],[Delivery Days]]&lt;=4, "Standard (3-4d)", "Delayed (5d+)"))</f>
        <v>Express (≤2d)</v>
      </c>
      <c r="AE2119">
        <v>3</v>
      </c>
      <c r="AF2119">
        <v>1</v>
      </c>
    </row>
    <row r="2120" spans="1:32" ht="15" x14ac:dyDescent="0.35">
      <c r="A2120" t="s">
        <v>4385</v>
      </c>
      <c r="B2120" s="1">
        <v>45657</v>
      </c>
      <c r="C2120">
        <f>YEAR(OrdersTable[[#This Row],[Order Date]])</f>
        <v>2024</v>
      </c>
      <c r="D2120" s="2">
        <f>DATE(YEAR(OrdersTable[[#This Row],[Order Date]]),MONTH(OrdersTable[[#This Row],[Order Date]]),1)</f>
        <v>45627</v>
      </c>
      <c r="E2120">
        <f>MONTH(OrdersTable[[#This Row],[Order Date]])</f>
        <v>12</v>
      </c>
      <c r="F2120" t="s">
        <v>739</v>
      </c>
      <c r="G2120" t="str">
        <f>IF(OrdersTable[[#This Row],[Order Date]]=_xlfn.MINIFS(Order_Date, Customer_ID, OrdersTable[[#This Row],[Customer ID]]), "New", "Repeat")</f>
        <v>Repeat</v>
      </c>
      <c r="H2120" t="s">
        <v>76</v>
      </c>
      <c r="I2120" t="str">
        <f>INDEX(State!B:B,MATCH(OrdersTable[[#This Row],[State]],State!A:A,0))</f>
        <v>UP</v>
      </c>
      <c r="J2120" t="str">
        <f>INDEX(State!C:C,MATCH(OrdersTable[[#This Row],[State Code]],State!B:B,0))</f>
        <v>North</v>
      </c>
      <c r="K2120" t="s">
        <v>118</v>
      </c>
      <c r="L2120" t="s">
        <v>23</v>
      </c>
      <c r="M2120" t="s">
        <v>176</v>
      </c>
      <c r="N2120" t="str">
        <f>INDEX(Products!B:B,MATCH(OrdersTable[[#This Row],[Product ID]],Products!A:A,0))</f>
        <v>Denim Jacket</v>
      </c>
      <c r="O2120" t="str">
        <f>INDEX(Products!C:C,MATCH(OrdersTable[[#This Row],[Product ID]],Products!A:A,0))</f>
        <v>Apparel</v>
      </c>
      <c r="P2120">
        <v>1</v>
      </c>
      <c r="Q2120" s="5">
        <v>2499</v>
      </c>
      <c r="R2120" s="74">
        <v>0.05</v>
      </c>
      <c r="S2120" s="75">
        <f>OrdersTable[[#This Row],[Quantity]]*OrdersTable[[#This Row],[Unit Price]]</f>
        <v>2499</v>
      </c>
      <c r="T2120" s="5">
        <f>OrdersTable[[#This Row],[Gross Sale]]*OrdersTable[[#This Row],[Discount_Clean2]]</f>
        <v>124.95</v>
      </c>
      <c r="U2120" s="5">
        <f>OrdersTable[[#This Row],[Gross Sale]]-OrdersTable[[#This Row],[Discount Amount]]</f>
        <v>2374.0500000000002</v>
      </c>
      <c r="V2120" s="77">
        <f>INDEX(Products!E:E,MATCH(OrdersTable[[#This Row],[Product ID]],Products!A:A,0))</f>
        <v>1125</v>
      </c>
      <c r="W2120" s="77">
        <f>OrdersTable[[#This Row],[Quantity]]*OrdersTable[[#This Row],[Unit Cost]]</f>
        <v>1125</v>
      </c>
      <c r="X2120" s="77">
        <f>'Dropdown Lists'!$I$2*(1+OrdersTable[[#This Row],[Returned]])</f>
        <v>60</v>
      </c>
      <c r="Y2120" s="76">
        <f>OrdersTable[[#This Row],[Net Revenue]]-OrdersTable[[#This Row],[COGS]]-OrdersTable[[#This Row],[Shipping Cost]]</f>
        <v>1189.0500000000002</v>
      </c>
      <c r="Z2120" s="78">
        <f>IFERROR(OrdersTable[[#This Row],[Profit]]/OrdersTable[[#This Row],[Net Revenue]],0)</f>
        <v>0.50085297276805463</v>
      </c>
      <c r="AA2120" t="s">
        <v>4074</v>
      </c>
      <c r="AB2120" s="79">
        <v>45659</v>
      </c>
      <c r="AC2120">
        <f>OrdersTable[[#This Row],[Delivery Date]]-OrdersTable[[#This Row],[Order Date]]</f>
        <v>2</v>
      </c>
      <c r="AD2120" t="str">
        <f>IF(OrdersTable[[#This Row],[Delivery Days]]&lt;=2, "Express (≤2d)", IF(OrdersTable[[#This Row],[Delivery Days]]&lt;=4, "Standard (3-4d)", "Delayed (5d+)"))</f>
        <v>Express (≤2d)</v>
      </c>
      <c r="AE2120">
        <v>4</v>
      </c>
      <c r="AF2120">
        <v>0</v>
      </c>
    </row>
    <row r="2121" spans="1:32" ht="15" x14ac:dyDescent="0.35">
      <c r="A2121" t="s">
        <v>2346</v>
      </c>
      <c r="B2121" s="1">
        <v>45657</v>
      </c>
      <c r="C2121">
        <f>YEAR(OrdersTable[[#This Row],[Order Date]])</f>
        <v>2024</v>
      </c>
      <c r="D2121" s="2">
        <f>DATE(YEAR(OrdersTable[[#This Row],[Order Date]]),MONTH(OrdersTable[[#This Row],[Order Date]]),1)</f>
        <v>45627</v>
      </c>
      <c r="E2121">
        <f>MONTH(OrdersTable[[#This Row],[Order Date]])</f>
        <v>12</v>
      </c>
      <c r="F2121" t="s">
        <v>1669</v>
      </c>
      <c r="G2121" t="str">
        <f>IF(OrdersTable[[#This Row],[Order Date]]=_xlfn.MINIFS(Order_Date, Customer_ID, OrdersTable[[#This Row],[Customer ID]]), "New", "Repeat")</f>
        <v>Repeat</v>
      </c>
      <c r="H2121" t="s">
        <v>76</v>
      </c>
      <c r="I2121" t="str">
        <f>INDEX(State!B:B,MATCH(OrdersTable[[#This Row],[State]],State!A:A,0))</f>
        <v>UP</v>
      </c>
      <c r="J2121" t="str">
        <f>INDEX(State!C:C,MATCH(OrdersTable[[#This Row],[State Code]],State!B:B,0))</f>
        <v>North</v>
      </c>
      <c r="K2121" t="s">
        <v>118</v>
      </c>
      <c r="L2121" t="s">
        <v>65</v>
      </c>
      <c r="M2121" t="s">
        <v>152</v>
      </c>
      <c r="N2121" t="str">
        <f>INDEX(Products!B:B,MATCH(OrdersTable[[#This Row],[Product ID]],Products!A:A,0))</f>
        <v>Green Tea (100 bags)</v>
      </c>
      <c r="O2121" t="str">
        <f>INDEX(Products!C:C,MATCH(OrdersTable[[#This Row],[Product ID]],Products!A:A,0))</f>
        <v>Wellness</v>
      </c>
      <c r="P2121">
        <v>1</v>
      </c>
      <c r="Q2121" s="5">
        <v>399</v>
      </c>
      <c r="R2121" s="74">
        <v>0.45</v>
      </c>
      <c r="S2121" s="75">
        <f>OrdersTable[[#This Row],[Quantity]]*OrdersTable[[#This Row],[Unit Price]]</f>
        <v>399</v>
      </c>
      <c r="T2121" s="5">
        <f>OrdersTable[[#This Row],[Gross Sale]]*OrdersTable[[#This Row],[Discount_Clean2]]</f>
        <v>179.55</v>
      </c>
      <c r="U2121" s="5">
        <f>OrdersTable[[#This Row],[Gross Sale]]-OrdersTable[[#This Row],[Discount Amount]]</f>
        <v>219.45</v>
      </c>
      <c r="V2121" s="77">
        <f>INDEX(Products!E:E,MATCH(OrdersTable[[#This Row],[Product ID]],Products!A:A,0))</f>
        <v>128</v>
      </c>
      <c r="W2121" s="77">
        <f>OrdersTable[[#This Row],[Quantity]]*OrdersTable[[#This Row],[Unit Cost]]</f>
        <v>128</v>
      </c>
      <c r="X2121" s="77">
        <f>'Dropdown Lists'!$I$2*(1+OrdersTable[[#This Row],[Returned]])</f>
        <v>60</v>
      </c>
      <c r="Y2121" s="76">
        <f>OrdersTable[[#This Row],[Net Revenue]]-OrdersTable[[#This Row],[COGS]]-OrdersTable[[#This Row],[Shipping Cost]]</f>
        <v>31.449999999999989</v>
      </c>
      <c r="Z2121" s="78">
        <f>IFERROR(OrdersTable[[#This Row],[Profit]]/OrdersTable[[#This Row],[Net Revenue]],0)</f>
        <v>0.14331282752335381</v>
      </c>
      <c r="AA2121" t="s">
        <v>18</v>
      </c>
      <c r="AB2121" s="79">
        <v>45659</v>
      </c>
      <c r="AC2121">
        <f>OrdersTable[[#This Row],[Delivery Date]]-OrdersTable[[#This Row],[Order Date]]</f>
        <v>2</v>
      </c>
      <c r="AD2121" t="str">
        <f>IF(OrdersTable[[#This Row],[Delivery Days]]&lt;=2, "Express (≤2d)", IF(OrdersTable[[#This Row],[Delivery Days]]&lt;=4, "Standard (3-4d)", "Delayed (5d+)"))</f>
        <v>Express (≤2d)</v>
      </c>
      <c r="AE2121">
        <v>5</v>
      </c>
      <c r="AF2121">
        <v>0</v>
      </c>
    </row>
    <row r="2122" spans="1:32" ht="15" x14ac:dyDescent="0.35">
      <c r="A2122" t="s">
        <v>241</v>
      </c>
      <c r="B2122" s="1">
        <v>45657</v>
      </c>
      <c r="C2122">
        <f>YEAR(OrdersTable[[#This Row],[Order Date]])</f>
        <v>2024</v>
      </c>
      <c r="D2122" s="2">
        <f>DATE(YEAR(OrdersTable[[#This Row],[Order Date]]),MONTH(OrdersTable[[#This Row],[Order Date]]),1)</f>
        <v>45627</v>
      </c>
      <c r="E2122">
        <f>MONTH(OrdersTable[[#This Row],[Order Date]])</f>
        <v>12</v>
      </c>
      <c r="F2122" t="s">
        <v>242</v>
      </c>
      <c r="G2122" t="str">
        <f>IF(OrdersTable[[#This Row],[Order Date]]=_xlfn.MINIFS(Order_Date, Customer_ID, OrdersTable[[#This Row],[Customer ID]]), "New", "Repeat")</f>
        <v>New</v>
      </c>
      <c r="H2122" t="s">
        <v>37</v>
      </c>
      <c r="I2122" t="str">
        <f>INDEX(State!B:B,MATCH(OrdersTable[[#This Row],[State]],State!A:A,0))</f>
        <v>GJ</v>
      </c>
      <c r="J2122" t="str">
        <f>INDEX(State!C:C,MATCH(OrdersTable[[#This Row],[State Code]],State!B:B,0))</f>
        <v>West</v>
      </c>
      <c r="K2122" t="s">
        <v>38</v>
      </c>
      <c r="L2122" t="s">
        <v>50</v>
      </c>
      <c r="M2122" t="s">
        <v>78</v>
      </c>
      <c r="N2122" t="str">
        <f>INDEX(Products!B:B,MATCH(OrdersTable[[#This Row],[Product ID]],Products!A:A,0))</f>
        <v>Retinol Night Cream</v>
      </c>
      <c r="O2122" t="str">
        <f>INDEX(Products!C:C,MATCH(OrdersTable[[#This Row],[Product ID]],Products!A:A,0))</f>
        <v>Skincare</v>
      </c>
      <c r="P2122">
        <v>1</v>
      </c>
      <c r="Q2122" s="5">
        <v>799</v>
      </c>
      <c r="R2122" s="74">
        <v>0</v>
      </c>
      <c r="S2122" s="75">
        <f>OrdersTable[[#This Row],[Quantity]]*OrdersTable[[#This Row],[Unit Price]]</f>
        <v>799</v>
      </c>
      <c r="T2122" s="5">
        <f>OrdersTable[[#This Row],[Gross Sale]]*OrdersTable[[#This Row],[Discount_Clean2]]</f>
        <v>0</v>
      </c>
      <c r="U2122" s="5">
        <f>OrdersTable[[#This Row],[Gross Sale]]-OrdersTable[[#This Row],[Discount Amount]]</f>
        <v>799</v>
      </c>
      <c r="V2122" s="77">
        <f>INDEX(Products!E:E,MATCH(OrdersTable[[#This Row],[Product ID]],Products!A:A,0))</f>
        <v>216</v>
      </c>
      <c r="W2122" s="77">
        <f>OrdersTable[[#This Row],[Quantity]]*OrdersTable[[#This Row],[Unit Cost]]</f>
        <v>216</v>
      </c>
      <c r="X2122" s="77">
        <f>'Dropdown Lists'!$I$2*(1+OrdersTable[[#This Row],[Returned]])</f>
        <v>60</v>
      </c>
      <c r="Y2122" s="76">
        <f>OrdersTable[[#This Row],[Net Revenue]]-OrdersTable[[#This Row],[COGS]]-OrdersTable[[#This Row],[Shipping Cost]]</f>
        <v>523</v>
      </c>
      <c r="Z2122" s="78">
        <f>IFERROR(OrdersTable[[#This Row],[Profit]]/OrdersTable[[#This Row],[Net Revenue]],0)</f>
        <v>0.65456821026282852</v>
      </c>
      <c r="AA2122" t="s">
        <v>18</v>
      </c>
      <c r="AB2122" s="79">
        <v>45658</v>
      </c>
      <c r="AC2122">
        <f>OrdersTable[[#This Row],[Delivery Date]]-OrdersTable[[#This Row],[Order Date]]</f>
        <v>1</v>
      </c>
      <c r="AD2122" t="str">
        <f>IF(OrdersTable[[#This Row],[Delivery Days]]&lt;=2, "Express (≤2d)", IF(OrdersTable[[#This Row],[Delivery Days]]&lt;=4, "Standard (3-4d)", "Delayed (5d+)"))</f>
        <v>Express (≤2d)</v>
      </c>
      <c r="AE2122">
        <v>4</v>
      </c>
      <c r="AF2122">
        <v>0</v>
      </c>
    </row>
    <row r="2123" spans="1:32" ht="15" x14ac:dyDescent="0.35">
      <c r="A2123" t="s">
        <v>548</v>
      </c>
      <c r="B2123" s="1">
        <v>45657</v>
      </c>
      <c r="C2123">
        <f>YEAR(OrdersTable[[#This Row],[Order Date]])</f>
        <v>2024</v>
      </c>
      <c r="D2123" s="2">
        <f>DATE(YEAR(OrdersTable[[#This Row],[Order Date]]),MONTH(OrdersTable[[#This Row],[Order Date]]),1)</f>
        <v>45627</v>
      </c>
      <c r="E2123">
        <f>MONTH(OrdersTable[[#This Row],[Order Date]])</f>
        <v>12</v>
      </c>
      <c r="F2123" t="s">
        <v>549</v>
      </c>
      <c r="G2123" t="str">
        <f>IF(OrdersTable[[#This Row],[Order Date]]=_xlfn.MINIFS(Order_Date, Customer_ID, OrdersTable[[#This Row],[Customer ID]]), "New", "Repeat")</f>
        <v>Repeat</v>
      </c>
      <c r="H2123" t="s">
        <v>37</v>
      </c>
      <c r="I2123" t="str">
        <f>INDEX(State!B:B,MATCH(OrdersTable[[#This Row],[State]],State!A:A,0))</f>
        <v>GJ</v>
      </c>
      <c r="J2123" t="str">
        <f>INDEX(State!C:C,MATCH(OrdersTable[[#This Row],[State Code]],State!B:B,0))</f>
        <v>West</v>
      </c>
      <c r="K2123" t="s">
        <v>38</v>
      </c>
      <c r="L2123" t="s">
        <v>50</v>
      </c>
      <c r="M2123" t="s">
        <v>66</v>
      </c>
      <c r="N2123" t="str">
        <f>INDEX(Products!B:B,MATCH(OrdersTable[[#This Row],[Product ID]],Products!A:A,0))</f>
        <v>Sunscreen SPF 50</v>
      </c>
      <c r="O2123" t="str">
        <f>INDEX(Products!C:C,MATCH(OrdersTable[[#This Row],[Product ID]],Products!A:A,0))</f>
        <v>Skincare</v>
      </c>
      <c r="P2123">
        <v>1</v>
      </c>
      <c r="Q2123" s="5">
        <v>449</v>
      </c>
      <c r="R2123" s="74">
        <v>0.1</v>
      </c>
      <c r="S2123" s="75">
        <f>OrdersTable[[#This Row],[Quantity]]*OrdersTable[[#This Row],[Unit Price]]</f>
        <v>449</v>
      </c>
      <c r="T2123" s="5">
        <f>OrdersTable[[#This Row],[Gross Sale]]*OrdersTable[[#This Row],[Discount_Clean2]]</f>
        <v>44.900000000000006</v>
      </c>
      <c r="U2123" s="5">
        <f>OrdersTable[[#This Row],[Gross Sale]]-OrdersTable[[#This Row],[Discount Amount]]</f>
        <v>404.1</v>
      </c>
      <c r="V2123" s="77">
        <f>INDEX(Products!E:E,MATCH(OrdersTable[[#This Row],[Product ID]],Products!A:A,0))</f>
        <v>144</v>
      </c>
      <c r="W2123" s="77">
        <f>OrdersTable[[#This Row],[Quantity]]*OrdersTable[[#This Row],[Unit Cost]]</f>
        <v>144</v>
      </c>
      <c r="X2123" s="77">
        <f>'Dropdown Lists'!$I$2*(1+OrdersTable[[#This Row],[Returned]])</f>
        <v>60</v>
      </c>
      <c r="Y2123" s="76">
        <f>OrdersTable[[#This Row],[Net Revenue]]-OrdersTable[[#This Row],[COGS]]-OrdersTable[[#This Row],[Shipping Cost]]</f>
        <v>200.10000000000002</v>
      </c>
      <c r="Z2123" s="78">
        <f>IFERROR(OrdersTable[[#This Row],[Profit]]/OrdersTable[[#This Row],[Net Revenue]],0)</f>
        <v>0.4951744617668894</v>
      </c>
      <c r="AA2123" t="s">
        <v>18</v>
      </c>
      <c r="AB2123" s="79">
        <v>45660</v>
      </c>
      <c r="AC2123">
        <f>OrdersTable[[#This Row],[Delivery Date]]-OrdersTable[[#This Row],[Order Date]]</f>
        <v>3</v>
      </c>
      <c r="AD2123" t="str">
        <f>IF(OrdersTable[[#This Row],[Delivery Days]]&lt;=2, "Express (≤2d)", IF(OrdersTable[[#This Row],[Delivery Days]]&lt;=4, "Standard (3-4d)", "Delayed (5d+)"))</f>
        <v>Standard (3-4d)</v>
      </c>
      <c r="AE2123">
        <v>4</v>
      </c>
      <c r="AF2123">
        <v>0</v>
      </c>
    </row>
    <row r="2124" spans="1:32" ht="15" x14ac:dyDescent="0.35">
      <c r="A2124" t="s">
        <v>1247</v>
      </c>
      <c r="B2124" s="1">
        <v>45657</v>
      </c>
      <c r="C2124">
        <f>YEAR(OrdersTable[[#This Row],[Order Date]])</f>
        <v>2024</v>
      </c>
      <c r="D2124" s="2">
        <f>DATE(YEAR(OrdersTable[[#This Row],[Order Date]]),MONTH(OrdersTable[[#This Row],[Order Date]]),1)</f>
        <v>45627</v>
      </c>
      <c r="E2124">
        <f>MONTH(OrdersTable[[#This Row],[Order Date]])</f>
        <v>12</v>
      </c>
      <c r="F2124" t="s">
        <v>1248</v>
      </c>
      <c r="G2124" t="str">
        <f>IF(OrdersTable[[#This Row],[Order Date]]=_xlfn.MINIFS(Order_Date, Customer_ID, OrdersTable[[#This Row],[Customer ID]]), "New", "Repeat")</f>
        <v>New</v>
      </c>
      <c r="H2124" t="s">
        <v>43</v>
      </c>
      <c r="I2124" t="str">
        <f>INDEX(State!B:B,MATCH(OrdersTable[[#This Row],[State]],State!A:A,0))</f>
        <v>MP</v>
      </c>
      <c r="J2124" t="str">
        <f>INDEX(State!C:C,MATCH(OrdersTable[[#This Row],[State Code]],State!B:B,0))</f>
        <v>West</v>
      </c>
      <c r="K2124" t="s">
        <v>44</v>
      </c>
      <c r="L2124" t="s">
        <v>16</v>
      </c>
      <c r="M2124" t="s">
        <v>34</v>
      </c>
      <c r="N2124" t="str">
        <f>INDEX(Products!B:B,MATCH(OrdersTable[[#This Row],[Product ID]],Products!A:A,0))</f>
        <v>Flip Flops</v>
      </c>
      <c r="O2124" t="str">
        <f>INDEX(Products!C:C,MATCH(OrdersTable[[#This Row],[Product ID]],Products!A:A,0))</f>
        <v>Footwear</v>
      </c>
      <c r="P2124">
        <v>1</v>
      </c>
      <c r="Q2124" s="5">
        <v>399</v>
      </c>
      <c r="R2124" s="74">
        <v>0.2</v>
      </c>
      <c r="S2124" s="75">
        <f>OrdersTable[[#This Row],[Quantity]]*OrdersTable[[#This Row],[Unit Price]]</f>
        <v>399</v>
      </c>
      <c r="T2124" s="5">
        <f>OrdersTable[[#This Row],[Gross Sale]]*OrdersTable[[#This Row],[Discount_Clean2]]</f>
        <v>79.800000000000011</v>
      </c>
      <c r="U2124" s="5">
        <f>OrdersTable[[#This Row],[Gross Sale]]-OrdersTable[[#This Row],[Discount Amount]]</f>
        <v>319.2</v>
      </c>
      <c r="V2124" s="77">
        <f>INDEX(Products!E:E,MATCH(OrdersTable[[#This Row],[Product ID]],Products!A:A,0))</f>
        <v>152</v>
      </c>
      <c r="W2124" s="77">
        <f>OrdersTable[[#This Row],[Quantity]]*OrdersTable[[#This Row],[Unit Cost]]</f>
        <v>152</v>
      </c>
      <c r="X2124" s="77">
        <f>'Dropdown Lists'!$I$2*(1+OrdersTable[[#This Row],[Returned]])</f>
        <v>60</v>
      </c>
      <c r="Y2124" s="76">
        <f>OrdersTable[[#This Row],[Net Revenue]]-OrdersTable[[#This Row],[COGS]]-OrdersTable[[#This Row],[Shipping Cost]]</f>
        <v>107.19999999999999</v>
      </c>
      <c r="Z2124" s="78">
        <f>IFERROR(OrdersTable[[#This Row],[Profit]]/OrdersTable[[#This Row],[Net Revenue]],0)</f>
        <v>0.33583959899749372</v>
      </c>
      <c r="AA2124" t="s">
        <v>18</v>
      </c>
      <c r="AB2124" s="79">
        <v>45662</v>
      </c>
      <c r="AC2124">
        <f>OrdersTable[[#This Row],[Delivery Date]]-OrdersTable[[#This Row],[Order Date]]</f>
        <v>5</v>
      </c>
      <c r="AD2124" t="str">
        <f>IF(OrdersTable[[#This Row],[Delivery Days]]&lt;=2, "Express (≤2d)", IF(OrdersTable[[#This Row],[Delivery Days]]&lt;=4, "Standard (3-4d)", "Delayed (5d+)"))</f>
        <v>Delayed (5d+)</v>
      </c>
      <c r="AF2124">
        <v>0</v>
      </c>
    </row>
    <row r="2125" spans="1:32" ht="15" x14ac:dyDescent="0.35">
      <c r="A2125" t="s">
        <v>6785</v>
      </c>
      <c r="B2125" s="1">
        <v>45657</v>
      </c>
      <c r="C2125">
        <f>YEAR(OrdersTable[[#This Row],[Order Date]])</f>
        <v>2024</v>
      </c>
      <c r="D2125" s="2">
        <f>DATE(YEAR(OrdersTable[[#This Row],[Order Date]]),MONTH(OrdersTable[[#This Row],[Order Date]]),1)</f>
        <v>45627</v>
      </c>
      <c r="E2125">
        <f>MONTH(OrdersTable[[#This Row],[Order Date]])</f>
        <v>12</v>
      </c>
      <c r="F2125" t="s">
        <v>3114</v>
      </c>
      <c r="G2125" t="str">
        <f>IF(OrdersTable[[#This Row],[Order Date]]=_xlfn.MINIFS(Order_Date, Customer_ID, OrdersTable[[#This Row],[Customer ID]]), "New", "Repeat")</f>
        <v>New</v>
      </c>
      <c r="H2125" t="s">
        <v>27</v>
      </c>
      <c r="I2125" t="str">
        <f>INDEX(State!B:B,MATCH(OrdersTable[[#This Row],[State]],State!A:A,0))</f>
        <v>WB</v>
      </c>
      <c r="J2125" t="str">
        <f>INDEX(State!C:C,MATCH(OrdersTable[[#This Row],[State Code]],State!B:B,0))</f>
        <v>East</v>
      </c>
      <c r="K2125" t="s">
        <v>28</v>
      </c>
      <c r="L2125" t="s">
        <v>23</v>
      </c>
      <c r="M2125" t="s">
        <v>24</v>
      </c>
      <c r="N2125" t="str">
        <f>INDEX(Products!B:B,MATCH(OrdersTable[[#This Row],[Product ID]],Products!A:A,0))</f>
        <v>Scented Candle Set</v>
      </c>
      <c r="O2125" t="str">
        <f>INDEX(Products!C:C,MATCH(OrdersTable[[#This Row],[Product ID]],Products!A:A,0))</f>
        <v>Home &amp; Kitchen</v>
      </c>
      <c r="P2125">
        <v>3</v>
      </c>
      <c r="Q2125" s="5">
        <v>699</v>
      </c>
      <c r="R2125" s="74">
        <v>0.3</v>
      </c>
      <c r="S2125" s="75">
        <f>OrdersTable[[#This Row],[Quantity]]*OrdersTable[[#This Row],[Unit Price]]</f>
        <v>2097</v>
      </c>
      <c r="T2125" s="5">
        <f>OrdersTable[[#This Row],[Gross Sale]]*OrdersTable[[#This Row],[Discount_Clean2]]</f>
        <v>629.1</v>
      </c>
      <c r="U2125" s="5">
        <f>OrdersTable[[#This Row],[Gross Sale]]-OrdersTable[[#This Row],[Discount Amount]]</f>
        <v>1467.9</v>
      </c>
      <c r="V2125" s="77">
        <f>INDEX(Products!E:E,MATCH(OrdersTable[[#This Row],[Product ID]],Products!A:A,0))</f>
        <v>245</v>
      </c>
      <c r="W2125" s="77">
        <f>OrdersTable[[#This Row],[Quantity]]*OrdersTable[[#This Row],[Unit Cost]]</f>
        <v>735</v>
      </c>
      <c r="X2125" s="77">
        <f>'Dropdown Lists'!$I$2*(1+OrdersTable[[#This Row],[Returned]])</f>
        <v>60</v>
      </c>
      <c r="Y2125" s="76">
        <f>OrdersTable[[#This Row],[Net Revenue]]-OrdersTable[[#This Row],[COGS]]-OrdersTable[[#This Row],[Shipping Cost]]</f>
        <v>672.90000000000009</v>
      </c>
      <c r="Z2125" s="78">
        <f>IFERROR(OrdersTable[[#This Row],[Profit]]/OrdersTable[[#This Row],[Net Revenue]],0)</f>
        <v>0.45840997343143269</v>
      </c>
      <c r="AA2125" t="s">
        <v>3495</v>
      </c>
      <c r="AB2125" s="79">
        <v>45661</v>
      </c>
      <c r="AC2125">
        <f>OrdersTable[[#This Row],[Delivery Date]]-OrdersTable[[#This Row],[Order Date]]</f>
        <v>4</v>
      </c>
      <c r="AD2125" t="str">
        <f>IF(OrdersTable[[#This Row],[Delivery Days]]&lt;=2, "Express (≤2d)", IF(OrdersTable[[#This Row],[Delivery Days]]&lt;=4, "Standard (3-4d)", "Delayed (5d+)"))</f>
        <v>Standard (3-4d)</v>
      </c>
      <c r="AE2125">
        <v>5</v>
      </c>
      <c r="AF2125">
        <v>0</v>
      </c>
    </row>
    <row r="2126" spans="1:32" ht="15" x14ac:dyDescent="0.35">
      <c r="A2126" t="s">
        <v>6334</v>
      </c>
      <c r="B2126" s="1">
        <v>45657</v>
      </c>
      <c r="C2126">
        <f>YEAR(OrdersTable[[#This Row],[Order Date]])</f>
        <v>2024</v>
      </c>
      <c r="D2126" s="2">
        <f>DATE(YEAR(OrdersTable[[#This Row],[Order Date]]),MONTH(OrdersTable[[#This Row],[Order Date]]),1)</f>
        <v>45627</v>
      </c>
      <c r="E2126">
        <f>MONTH(OrdersTable[[#This Row],[Order Date]])</f>
        <v>12</v>
      </c>
      <c r="F2126" t="s">
        <v>6335</v>
      </c>
      <c r="G2126" t="str">
        <f>IF(OrdersTable[[#This Row],[Order Date]]=_xlfn.MINIFS(Order_Date, Customer_ID, OrdersTable[[#This Row],[Customer ID]]), "New", "Repeat")</f>
        <v>New</v>
      </c>
      <c r="H2126" t="s">
        <v>71</v>
      </c>
      <c r="I2126" t="str">
        <f>INDEX(State!B:B,MATCH(OrdersTable[[#This Row],[State]],State!A:A,0))</f>
        <v>MH</v>
      </c>
      <c r="J2126" t="str">
        <f>INDEX(State!C:C,MATCH(OrdersTable[[#This Row],[State Code]],State!B:B,0))</f>
        <v>West</v>
      </c>
      <c r="K2126" t="s">
        <v>72</v>
      </c>
      <c r="L2126" t="s">
        <v>65</v>
      </c>
      <c r="M2126" t="s">
        <v>34</v>
      </c>
      <c r="N2126" t="str">
        <f>INDEX(Products!B:B,MATCH(OrdersTable[[#This Row],[Product ID]],Products!A:A,0))</f>
        <v>Flip Flops</v>
      </c>
      <c r="O2126" t="str">
        <f>INDEX(Products!C:C,MATCH(OrdersTable[[#This Row],[Product ID]],Products!A:A,0))</f>
        <v>Footwear</v>
      </c>
      <c r="P2126">
        <v>2</v>
      </c>
      <c r="Q2126" s="5">
        <v>399</v>
      </c>
      <c r="R2126" s="74">
        <v>0.1</v>
      </c>
      <c r="S2126" s="75">
        <f>OrdersTable[[#This Row],[Quantity]]*OrdersTable[[#This Row],[Unit Price]]</f>
        <v>798</v>
      </c>
      <c r="T2126" s="5">
        <f>OrdersTable[[#This Row],[Gross Sale]]*OrdersTable[[#This Row],[Discount_Clean2]]</f>
        <v>79.800000000000011</v>
      </c>
      <c r="U2126" s="5">
        <f>OrdersTable[[#This Row],[Gross Sale]]-OrdersTable[[#This Row],[Discount Amount]]</f>
        <v>718.2</v>
      </c>
      <c r="V2126" s="77">
        <f>INDEX(Products!E:E,MATCH(OrdersTable[[#This Row],[Product ID]],Products!A:A,0))</f>
        <v>152</v>
      </c>
      <c r="W2126" s="77">
        <f>OrdersTable[[#This Row],[Quantity]]*OrdersTable[[#This Row],[Unit Cost]]</f>
        <v>304</v>
      </c>
      <c r="X2126" s="77">
        <f>'Dropdown Lists'!$I$2*(1+OrdersTable[[#This Row],[Returned]])</f>
        <v>60</v>
      </c>
      <c r="Y2126" s="76">
        <f>OrdersTable[[#This Row],[Net Revenue]]-OrdersTable[[#This Row],[COGS]]-OrdersTable[[#This Row],[Shipping Cost]]</f>
        <v>354.20000000000005</v>
      </c>
      <c r="Z2126" s="78">
        <f>IFERROR(OrdersTable[[#This Row],[Profit]]/OrdersTable[[#This Row],[Net Revenue]],0)</f>
        <v>0.49317738791423005</v>
      </c>
      <c r="AA2126" t="s">
        <v>18</v>
      </c>
      <c r="AB2126" s="79">
        <v>45659</v>
      </c>
      <c r="AC2126">
        <f>OrdersTable[[#This Row],[Delivery Date]]-OrdersTable[[#This Row],[Order Date]]</f>
        <v>2</v>
      </c>
      <c r="AD2126" t="str">
        <f>IF(OrdersTable[[#This Row],[Delivery Days]]&lt;=2, "Express (≤2d)", IF(OrdersTable[[#This Row],[Delivery Days]]&lt;=4, "Standard (3-4d)", "Delayed (5d+)"))</f>
        <v>Express (≤2d)</v>
      </c>
      <c r="AE2126">
        <v>4</v>
      </c>
      <c r="AF2126">
        <v>0</v>
      </c>
    </row>
    <row r="2127" spans="1:32" ht="15" x14ac:dyDescent="0.35">
      <c r="A2127" t="s">
        <v>795</v>
      </c>
      <c r="B2127" s="1">
        <v>45657</v>
      </c>
      <c r="C2127">
        <f>YEAR(OrdersTable[[#This Row],[Order Date]])</f>
        <v>2024</v>
      </c>
      <c r="D2127" s="2">
        <f>DATE(YEAR(OrdersTable[[#This Row],[Order Date]]),MONTH(OrdersTable[[#This Row],[Order Date]]),1)</f>
        <v>45627</v>
      </c>
      <c r="E2127">
        <f>MONTH(OrdersTable[[#This Row],[Order Date]])</f>
        <v>12</v>
      </c>
      <c r="F2127" t="s">
        <v>796</v>
      </c>
      <c r="G2127" t="str">
        <f>IF(OrdersTable[[#This Row],[Order Date]]=_xlfn.MINIFS(Order_Date, Customer_ID, OrdersTable[[#This Row],[Customer ID]]), "New", "Repeat")</f>
        <v>New</v>
      </c>
      <c r="H2127" t="s">
        <v>95</v>
      </c>
      <c r="I2127" t="str">
        <f>INDEX(State!B:B,MATCH(OrdersTable[[#This Row],[State]],State!A:A,0))</f>
        <v>TG</v>
      </c>
      <c r="J2127" t="str">
        <f>INDEX(State!C:C,MATCH(OrdersTable[[#This Row],[State Code]],State!B:B,0))</f>
        <v>South</v>
      </c>
      <c r="K2127" t="s">
        <v>96</v>
      </c>
      <c r="L2127" t="s">
        <v>50</v>
      </c>
      <c r="M2127" t="s">
        <v>106</v>
      </c>
      <c r="N2127" t="str">
        <f>INDEX(Products!B:B,MATCH(OrdersTable[[#This Row],[Product ID]],Products!A:A,0))</f>
        <v>Keratin Hair Mask</v>
      </c>
      <c r="O2127" t="str">
        <f>INDEX(Products!C:C,MATCH(OrdersTable[[#This Row],[Product ID]],Products!A:A,0))</f>
        <v>Haircare</v>
      </c>
      <c r="P2127">
        <v>1</v>
      </c>
      <c r="Q2127" s="5">
        <v>549</v>
      </c>
      <c r="R2127" s="74">
        <v>0.25</v>
      </c>
      <c r="S2127" s="75">
        <f>OrdersTable[[#This Row],[Quantity]]*OrdersTable[[#This Row],[Unit Price]]</f>
        <v>549</v>
      </c>
      <c r="T2127" s="5">
        <f>OrdersTable[[#This Row],[Gross Sale]]*OrdersTable[[#This Row],[Discount_Clean2]]</f>
        <v>137.25</v>
      </c>
      <c r="U2127" s="5">
        <f>OrdersTable[[#This Row],[Gross Sale]]-OrdersTable[[#This Row],[Discount Amount]]</f>
        <v>411.75</v>
      </c>
      <c r="V2127" s="77">
        <f>INDEX(Products!E:E,MATCH(OrdersTable[[#This Row],[Product ID]],Products!A:A,0))</f>
        <v>170</v>
      </c>
      <c r="W2127" s="77">
        <f>OrdersTable[[#This Row],[Quantity]]*OrdersTable[[#This Row],[Unit Cost]]</f>
        <v>170</v>
      </c>
      <c r="X2127" s="77">
        <f>'Dropdown Lists'!$I$2*(1+OrdersTable[[#This Row],[Returned]])</f>
        <v>60</v>
      </c>
      <c r="Y2127" s="76">
        <f>OrdersTable[[#This Row],[Net Revenue]]-OrdersTable[[#This Row],[COGS]]-OrdersTable[[#This Row],[Shipping Cost]]</f>
        <v>181.75</v>
      </c>
      <c r="Z2127" s="78">
        <f>IFERROR(OrdersTable[[#This Row],[Profit]]/OrdersTable[[#This Row],[Net Revenue]],0)</f>
        <v>0.44140862173649059</v>
      </c>
      <c r="AA2127" t="s">
        <v>18</v>
      </c>
      <c r="AB2127" s="79">
        <v>45659</v>
      </c>
      <c r="AC2127">
        <f>OrdersTable[[#This Row],[Delivery Date]]-OrdersTable[[#This Row],[Order Date]]</f>
        <v>2</v>
      </c>
      <c r="AD2127" t="str">
        <f>IF(OrdersTable[[#This Row],[Delivery Days]]&lt;=2, "Express (≤2d)", IF(OrdersTable[[#This Row],[Delivery Days]]&lt;=4, "Standard (3-4d)", "Delayed (5d+)"))</f>
        <v>Express (≤2d)</v>
      </c>
      <c r="AE2127">
        <v>4</v>
      </c>
      <c r="AF2127">
        <v>0</v>
      </c>
    </row>
    <row r="2128" spans="1:32" ht="15" x14ac:dyDescent="0.35">
      <c r="A2128" t="s">
        <v>6878</v>
      </c>
      <c r="B2128" s="1">
        <v>45658</v>
      </c>
      <c r="C2128">
        <f>YEAR(OrdersTable[[#This Row],[Order Date]])</f>
        <v>2025</v>
      </c>
      <c r="D2128" s="2">
        <f>DATE(YEAR(OrdersTable[[#This Row],[Order Date]]),MONTH(OrdersTable[[#This Row],[Order Date]]),1)</f>
        <v>45658</v>
      </c>
      <c r="E2128">
        <f>MONTH(OrdersTable[[#This Row],[Order Date]])</f>
        <v>1</v>
      </c>
      <c r="F2128" t="s">
        <v>2302</v>
      </c>
      <c r="G2128" t="str">
        <f>IF(OrdersTable[[#This Row],[Order Date]]=_xlfn.MINIFS(Order_Date, Customer_ID, OrdersTable[[#This Row],[Customer ID]]), "New", "Repeat")</f>
        <v>Repeat</v>
      </c>
      <c r="H2128" t="s">
        <v>21</v>
      </c>
      <c r="I2128" t="str">
        <f>INDEX(State!B:B,MATCH(OrdersTable[[#This Row],[State]],State!A:A,0))</f>
        <v>PB</v>
      </c>
      <c r="J2128" t="str">
        <f>INDEX(State!C:C,MATCH(OrdersTable[[#This Row],[State Code]],State!B:B,0))</f>
        <v>North</v>
      </c>
      <c r="K2128" t="s">
        <v>260</v>
      </c>
      <c r="L2128" t="s">
        <v>65</v>
      </c>
      <c r="M2128" t="s">
        <v>152</v>
      </c>
      <c r="N2128" t="str">
        <f>INDEX(Products!B:B,MATCH(OrdersTable[[#This Row],[Product ID]],Products!A:A,0))</f>
        <v>Green Tea (100 bags)</v>
      </c>
      <c r="O2128" t="str">
        <f>INDEX(Products!C:C,MATCH(OrdersTable[[#This Row],[Product ID]],Products!A:A,0))</f>
        <v>Wellness</v>
      </c>
      <c r="P2128">
        <v>3</v>
      </c>
      <c r="Q2128" s="5">
        <v>399</v>
      </c>
      <c r="R2128" s="74">
        <v>0.3</v>
      </c>
      <c r="S2128" s="75">
        <f>OrdersTable[[#This Row],[Quantity]]*OrdersTable[[#This Row],[Unit Price]]</f>
        <v>1197</v>
      </c>
      <c r="T2128" s="5">
        <f>OrdersTable[[#This Row],[Gross Sale]]*OrdersTable[[#This Row],[Discount_Clean2]]</f>
        <v>359.09999999999997</v>
      </c>
      <c r="U2128" s="5">
        <f>OrdersTable[[#This Row],[Gross Sale]]-OrdersTable[[#This Row],[Discount Amount]]</f>
        <v>837.90000000000009</v>
      </c>
      <c r="V2128" s="77">
        <f>INDEX(Products!E:E,MATCH(OrdersTable[[#This Row],[Product ID]],Products!A:A,0))</f>
        <v>128</v>
      </c>
      <c r="W2128" s="77">
        <f>OrdersTable[[#This Row],[Quantity]]*OrdersTable[[#This Row],[Unit Cost]]</f>
        <v>384</v>
      </c>
      <c r="X2128" s="77">
        <f>'Dropdown Lists'!$I$2*(1+OrdersTable[[#This Row],[Returned]])</f>
        <v>60</v>
      </c>
      <c r="Y2128" s="76">
        <f>OrdersTable[[#This Row],[Net Revenue]]-OrdersTable[[#This Row],[COGS]]-OrdersTable[[#This Row],[Shipping Cost]]</f>
        <v>393.90000000000009</v>
      </c>
      <c r="Z2128" s="78">
        <f>IFERROR(OrdersTable[[#This Row],[Profit]]/OrdersTable[[#This Row],[Net Revenue]],0)</f>
        <v>0.47010383100608671</v>
      </c>
      <c r="AA2128" t="s">
        <v>4074</v>
      </c>
      <c r="AB2128" s="79">
        <v>45661</v>
      </c>
      <c r="AC2128">
        <f>OrdersTable[[#This Row],[Delivery Date]]-OrdersTable[[#This Row],[Order Date]]</f>
        <v>3</v>
      </c>
      <c r="AD2128" t="str">
        <f>IF(OrdersTable[[#This Row],[Delivery Days]]&lt;=2, "Express (≤2d)", IF(OrdersTable[[#This Row],[Delivery Days]]&lt;=4, "Standard (3-4d)", "Delayed (5d+)"))</f>
        <v>Standard (3-4d)</v>
      </c>
      <c r="AE2128">
        <v>3</v>
      </c>
      <c r="AF2128">
        <v>0</v>
      </c>
    </row>
    <row r="2129" spans="1:32" ht="15" x14ac:dyDescent="0.35">
      <c r="A2129" t="s">
        <v>2128</v>
      </c>
      <c r="B2129" s="1">
        <v>45658</v>
      </c>
      <c r="C2129">
        <f>YEAR(OrdersTable[[#This Row],[Order Date]])</f>
        <v>2025</v>
      </c>
      <c r="D2129" s="2">
        <f>DATE(YEAR(OrdersTable[[#This Row],[Order Date]]),MONTH(OrdersTable[[#This Row],[Order Date]]),1)</f>
        <v>45658</v>
      </c>
      <c r="E2129">
        <f>MONTH(OrdersTable[[#This Row],[Order Date]])</f>
        <v>1</v>
      </c>
      <c r="F2129" t="s">
        <v>2129</v>
      </c>
      <c r="G2129" t="str">
        <f>IF(OrdersTable[[#This Row],[Order Date]]=_xlfn.MINIFS(Order_Date, Customer_ID, OrdersTable[[#This Row],[Customer ID]]), "New", "Repeat")</f>
        <v>Repeat</v>
      </c>
      <c r="H2129" t="s">
        <v>76</v>
      </c>
      <c r="I2129" t="str">
        <f>INDEX(State!B:B,MATCH(OrdersTable[[#This Row],[State]],State!A:A,0))</f>
        <v>UP</v>
      </c>
      <c r="J2129" t="str">
        <f>INDEX(State!C:C,MATCH(OrdersTable[[#This Row],[State Code]],State!B:B,0))</f>
        <v>North</v>
      </c>
      <c r="K2129" t="s">
        <v>118</v>
      </c>
      <c r="L2129" t="s">
        <v>16</v>
      </c>
      <c r="M2129" t="s">
        <v>255</v>
      </c>
      <c r="N2129" t="str">
        <f>INDEX(Products!B:B,MATCH(OrdersTable[[#This Row],[Product ID]],Products!A:A,0))</f>
        <v>Cotton Oversized T-Shirt</v>
      </c>
      <c r="O2129" t="str">
        <f>INDEX(Products!C:C,MATCH(OrdersTable[[#This Row],[Product ID]],Products!A:A,0))</f>
        <v>Apparel</v>
      </c>
      <c r="P2129">
        <v>1</v>
      </c>
      <c r="Q2129" s="5">
        <v>799</v>
      </c>
      <c r="R2129" s="74">
        <v>0</v>
      </c>
      <c r="S2129" s="75">
        <f>OrdersTable[[#This Row],[Quantity]]*OrdersTable[[#This Row],[Unit Price]]</f>
        <v>799</v>
      </c>
      <c r="T2129" s="5">
        <f>OrdersTable[[#This Row],[Gross Sale]]*OrdersTable[[#This Row],[Discount_Clean2]]</f>
        <v>0</v>
      </c>
      <c r="U2129" s="5">
        <f>OrdersTable[[#This Row],[Gross Sale]]-OrdersTable[[#This Row],[Discount Amount]]</f>
        <v>799</v>
      </c>
      <c r="V2129" s="77">
        <f>INDEX(Products!E:E,MATCH(OrdersTable[[#This Row],[Product ID]],Products!A:A,0))</f>
        <v>320</v>
      </c>
      <c r="W2129" s="77">
        <f>OrdersTable[[#This Row],[Quantity]]*OrdersTable[[#This Row],[Unit Cost]]</f>
        <v>320</v>
      </c>
      <c r="X2129" s="77">
        <f>'Dropdown Lists'!$I$2*(1+OrdersTable[[#This Row],[Returned]])</f>
        <v>60</v>
      </c>
      <c r="Y2129" s="76">
        <f>OrdersTable[[#This Row],[Net Revenue]]-OrdersTable[[#This Row],[COGS]]-OrdersTable[[#This Row],[Shipping Cost]]</f>
        <v>419</v>
      </c>
      <c r="Z2129" s="78">
        <f>IFERROR(OrdersTable[[#This Row],[Profit]]/OrdersTable[[#This Row],[Net Revenue]],0)</f>
        <v>0.52440550688360454</v>
      </c>
      <c r="AA2129" t="s">
        <v>18</v>
      </c>
      <c r="AB2129" s="79">
        <v>45660</v>
      </c>
      <c r="AC2129">
        <f>OrdersTable[[#This Row],[Delivery Date]]-OrdersTable[[#This Row],[Order Date]]</f>
        <v>2</v>
      </c>
      <c r="AD2129" t="str">
        <f>IF(OrdersTable[[#This Row],[Delivery Days]]&lt;=2, "Express (≤2d)", IF(OrdersTable[[#This Row],[Delivery Days]]&lt;=4, "Standard (3-4d)", "Delayed (5d+)"))</f>
        <v>Express (≤2d)</v>
      </c>
      <c r="AE2129">
        <v>3</v>
      </c>
      <c r="AF2129">
        <v>0</v>
      </c>
    </row>
    <row r="2130" spans="1:32" ht="15" x14ac:dyDescent="0.35">
      <c r="A2130" t="s">
        <v>6136</v>
      </c>
      <c r="B2130" s="1">
        <v>45658</v>
      </c>
      <c r="C2130">
        <f>YEAR(OrdersTable[[#This Row],[Order Date]])</f>
        <v>2025</v>
      </c>
      <c r="D2130" s="2">
        <f>DATE(YEAR(OrdersTable[[#This Row],[Order Date]]),MONTH(OrdersTable[[#This Row],[Order Date]]),1)</f>
        <v>45658</v>
      </c>
      <c r="E2130">
        <f>MONTH(OrdersTable[[#This Row],[Order Date]])</f>
        <v>1</v>
      </c>
      <c r="F2130" t="s">
        <v>3948</v>
      </c>
      <c r="G2130" t="str">
        <f>IF(OrdersTable[[#This Row],[Order Date]]=_xlfn.MINIFS(Order_Date, Customer_ID, OrdersTable[[#This Row],[Customer ID]]), "New", "Repeat")</f>
        <v>New</v>
      </c>
      <c r="H2130" t="s">
        <v>76</v>
      </c>
      <c r="I2130" t="str">
        <f>INDEX(State!B:B,MATCH(OrdersTable[[#This Row],[State]],State!A:A,0))</f>
        <v>UP</v>
      </c>
      <c r="J2130" t="str">
        <f>INDEX(State!C:C,MATCH(OrdersTable[[#This Row],[State Code]],State!B:B,0))</f>
        <v>North</v>
      </c>
      <c r="K2130" t="s">
        <v>118</v>
      </c>
      <c r="L2130" t="s">
        <v>23</v>
      </c>
      <c r="M2130" t="s">
        <v>423</v>
      </c>
      <c r="N2130" t="str">
        <f>INDEX(Products!B:B,MATCH(OrdersTable[[#This Row],[Product ID]],Products!A:A,0))</f>
        <v>Power Bank 20000mAh</v>
      </c>
      <c r="O2130" t="str">
        <f>INDEX(Products!C:C,MATCH(OrdersTable[[#This Row],[Product ID]],Products!A:A,0))</f>
        <v>Electronics</v>
      </c>
      <c r="P2130">
        <v>2</v>
      </c>
      <c r="Q2130" s="5">
        <v>1799</v>
      </c>
      <c r="R2130" s="74">
        <v>0.35</v>
      </c>
      <c r="S2130" s="75">
        <f>OrdersTable[[#This Row],[Quantity]]*OrdersTable[[#This Row],[Unit Price]]</f>
        <v>3598</v>
      </c>
      <c r="T2130" s="5">
        <f>OrdersTable[[#This Row],[Gross Sale]]*OrdersTable[[#This Row],[Discount_Clean2]]</f>
        <v>1259.3</v>
      </c>
      <c r="U2130" s="5">
        <f>OrdersTable[[#This Row],[Gross Sale]]-OrdersTable[[#This Row],[Discount Amount]]</f>
        <v>2338.6999999999998</v>
      </c>
      <c r="V2130" s="77">
        <f>INDEX(Products!E:E,MATCH(OrdersTable[[#This Row],[Product ID]],Products!A:A,0))</f>
        <v>1079</v>
      </c>
      <c r="W2130" s="77">
        <f>OrdersTable[[#This Row],[Quantity]]*OrdersTable[[#This Row],[Unit Cost]]</f>
        <v>2158</v>
      </c>
      <c r="X2130" s="77">
        <f>'Dropdown Lists'!$I$2*(1+OrdersTable[[#This Row],[Returned]])</f>
        <v>60</v>
      </c>
      <c r="Y2130" s="76">
        <f>OrdersTable[[#This Row],[Net Revenue]]-OrdersTable[[#This Row],[COGS]]-OrdersTable[[#This Row],[Shipping Cost]]</f>
        <v>120.69999999999982</v>
      </c>
      <c r="Z2130" s="78">
        <f>IFERROR(OrdersTable[[#This Row],[Profit]]/OrdersTable[[#This Row],[Net Revenue]],0)</f>
        <v>5.1609868730491226E-2</v>
      </c>
      <c r="AA2130" t="s">
        <v>18</v>
      </c>
      <c r="AB2130" s="79">
        <v>45661</v>
      </c>
      <c r="AC2130">
        <f>OrdersTable[[#This Row],[Delivery Date]]-OrdersTable[[#This Row],[Order Date]]</f>
        <v>3</v>
      </c>
      <c r="AD2130" t="str">
        <f>IF(OrdersTable[[#This Row],[Delivery Days]]&lt;=2, "Express (≤2d)", IF(OrdersTable[[#This Row],[Delivery Days]]&lt;=4, "Standard (3-4d)", "Delayed (5d+)"))</f>
        <v>Standard (3-4d)</v>
      </c>
      <c r="AE2130">
        <v>4</v>
      </c>
      <c r="AF2130">
        <v>0</v>
      </c>
    </row>
    <row r="2131" spans="1:32" ht="15" x14ac:dyDescent="0.35">
      <c r="A2131" t="s">
        <v>5508</v>
      </c>
      <c r="B2131" s="1">
        <v>45658</v>
      </c>
      <c r="C2131">
        <f>YEAR(OrdersTable[[#This Row],[Order Date]])</f>
        <v>2025</v>
      </c>
      <c r="D2131" s="2">
        <f>DATE(YEAR(OrdersTable[[#This Row],[Order Date]]),MONTH(OrdersTable[[#This Row],[Order Date]]),1)</f>
        <v>45658</v>
      </c>
      <c r="E2131">
        <f>MONTH(OrdersTable[[#This Row],[Order Date]])</f>
        <v>1</v>
      </c>
      <c r="F2131" t="s">
        <v>4673</v>
      </c>
      <c r="G2131" t="str">
        <f>IF(OrdersTable[[#This Row],[Order Date]]=_xlfn.MINIFS(Order_Date, Customer_ID, OrdersTable[[#This Row],[Customer ID]]), "New", "Repeat")</f>
        <v>Repeat</v>
      </c>
      <c r="H2131" t="s">
        <v>71</v>
      </c>
      <c r="I2131" t="str">
        <f>INDEX(State!B:B,MATCH(OrdersTable[[#This Row],[State]],State!A:A,0))</f>
        <v>MH</v>
      </c>
      <c r="J2131" t="str">
        <f>INDEX(State!C:C,MATCH(OrdersTable[[#This Row],[State Code]],State!B:B,0))</f>
        <v>West</v>
      </c>
      <c r="K2131" t="s">
        <v>72</v>
      </c>
      <c r="L2131" t="s">
        <v>65</v>
      </c>
      <c r="M2131" t="s">
        <v>73</v>
      </c>
      <c r="N2131" t="str">
        <f>INDEX(Products!B:B,MATCH(OrdersTable[[#This Row],[Product ID]],Products!A:A,0))</f>
        <v>Hydrating Face Wash</v>
      </c>
      <c r="O2131" t="str">
        <f>INDEX(Products!C:C,MATCH(OrdersTable[[#This Row],[Product ID]],Products!A:A,0))</f>
        <v>Skincare</v>
      </c>
      <c r="P2131">
        <v>2</v>
      </c>
      <c r="Q2131" s="5">
        <v>299</v>
      </c>
      <c r="R2131" s="74">
        <v>0.1</v>
      </c>
      <c r="S2131" s="75">
        <f>OrdersTable[[#This Row],[Quantity]]*OrdersTable[[#This Row],[Unit Price]]</f>
        <v>598</v>
      </c>
      <c r="T2131" s="5">
        <f>OrdersTable[[#This Row],[Gross Sale]]*OrdersTable[[#This Row],[Discount_Clean2]]</f>
        <v>59.800000000000004</v>
      </c>
      <c r="U2131" s="5">
        <f>OrdersTable[[#This Row],[Gross Sale]]-OrdersTable[[#This Row],[Discount Amount]]</f>
        <v>538.20000000000005</v>
      </c>
      <c r="V2131" s="77">
        <f>INDEX(Products!E:E,MATCH(OrdersTable[[#This Row],[Product ID]],Products!A:A,0))</f>
        <v>90</v>
      </c>
      <c r="W2131" s="77">
        <f>OrdersTable[[#This Row],[Quantity]]*OrdersTable[[#This Row],[Unit Cost]]</f>
        <v>180</v>
      </c>
      <c r="X2131" s="77">
        <f>'Dropdown Lists'!$I$2*(1+OrdersTable[[#This Row],[Returned]])</f>
        <v>120</v>
      </c>
      <c r="Y2131" s="76">
        <f>OrdersTable[[#This Row],[Net Revenue]]-OrdersTable[[#This Row],[COGS]]-OrdersTable[[#This Row],[Shipping Cost]]</f>
        <v>238.20000000000005</v>
      </c>
      <c r="Z2131" s="78">
        <f>IFERROR(OrdersTable[[#This Row],[Profit]]/OrdersTable[[#This Row],[Net Revenue]],0)</f>
        <v>0.4425863991081383</v>
      </c>
      <c r="AA2131" t="s">
        <v>2522</v>
      </c>
      <c r="AB2131" s="79">
        <v>45659</v>
      </c>
      <c r="AC2131">
        <f>OrdersTable[[#This Row],[Delivery Date]]-OrdersTable[[#This Row],[Order Date]]</f>
        <v>1</v>
      </c>
      <c r="AD2131" t="str">
        <f>IF(OrdersTable[[#This Row],[Delivery Days]]&lt;=2, "Express (≤2d)", IF(OrdersTable[[#This Row],[Delivery Days]]&lt;=4, "Standard (3-4d)", "Delayed (5d+)"))</f>
        <v>Express (≤2d)</v>
      </c>
      <c r="AE2131">
        <v>4</v>
      </c>
      <c r="AF2131">
        <v>1</v>
      </c>
    </row>
    <row r="2132" spans="1:32" ht="15" x14ac:dyDescent="0.35">
      <c r="A2132" t="s">
        <v>4009</v>
      </c>
      <c r="B2132" s="1">
        <v>45658</v>
      </c>
      <c r="C2132">
        <f>YEAR(OrdersTable[[#This Row],[Order Date]])</f>
        <v>2025</v>
      </c>
      <c r="D2132" s="2">
        <f>DATE(YEAR(OrdersTable[[#This Row],[Order Date]]),MONTH(OrdersTable[[#This Row],[Order Date]]),1)</f>
        <v>45658</v>
      </c>
      <c r="E2132">
        <f>MONTH(OrdersTable[[#This Row],[Order Date]])</f>
        <v>1</v>
      </c>
      <c r="F2132" t="s">
        <v>1253</v>
      </c>
      <c r="G2132" t="str">
        <f>IF(OrdersTable[[#This Row],[Order Date]]=_xlfn.MINIFS(Order_Date, Customer_ID, OrdersTable[[#This Row],[Customer ID]]), "New", "Repeat")</f>
        <v>New</v>
      </c>
      <c r="H2132" t="s">
        <v>167</v>
      </c>
      <c r="I2132" t="str">
        <f>INDEX(State!B:B,MATCH(OrdersTable[[#This Row],[State]],State!A:A,0))</f>
        <v>KA</v>
      </c>
      <c r="J2132" t="str">
        <f>INDEX(State!C:C,MATCH(OrdersTable[[#This Row],[State Code]],State!B:B,0))</f>
        <v>South</v>
      </c>
      <c r="K2132" t="s">
        <v>190</v>
      </c>
      <c r="L2132" t="s">
        <v>65</v>
      </c>
      <c r="M2132" t="s">
        <v>61</v>
      </c>
      <c r="N2132" t="str">
        <f>INDEX(Products!B:B,MATCH(OrdersTable[[#This Row],[Product ID]],Products!A:A,0))</f>
        <v>Multivitamin Gummies</v>
      </c>
      <c r="O2132" t="str">
        <f>INDEX(Products!C:C,MATCH(OrdersTable[[#This Row],[Product ID]],Products!A:A,0))</f>
        <v>Wellness</v>
      </c>
      <c r="P2132">
        <v>1</v>
      </c>
      <c r="Q2132" s="5">
        <v>699</v>
      </c>
      <c r="R2132" s="74">
        <v>0.25</v>
      </c>
      <c r="S2132" s="75">
        <f>OrdersTable[[#This Row],[Quantity]]*OrdersTable[[#This Row],[Unit Price]]</f>
        <v>699</v>
      </c>
      <c r="T2132" s="5">
        <f>OrdersTable[[#This Row],[Gross Sale]]*OrdersTable[[#This Row],[Discount_Clean2]]</f>
        <v>174.75</v>
      </c>
      <c r="U2132" s="5">
        <f>OrdersTable[[#This Row],[Gross Sale]]-OrdersTable[[#This Row],[Discount Amount]]</f>
        <v>524.25</v>
      </c>
      <c r="V2132" s="77">
        <f>INDEX(Products!E:E,MATCH(OrdersTable[[#This Row],[Product ID]],Products!A:A,0))</f>
        <v>238</v>
      </c>
      <c r="W2132" s="77">
        <f>OrdersTable[[#This Row],[Quantity]]*OrdersTable[[#This Row],[Unit Cost]]</f>
        <v>238</v>
      </c>
      <c r="X2132" s="77">
        <f>'Dropdown Lists'!$I$2*(1+OrdersTable[[#This Row],[Returned]])</f>
        <v>60</v>
      </c>
      <c r="Y2132" s="76">
        <f>OrdersTable[[#This Row],[Net Revenue]]-OrdersTable[[#This Row],[COGS]]-OrdersTable[[#This Row],[Shipping Cost]]</f>
        <v>226.25</v>
      </c>
      <c r="Z2132" s="78">
        <f>IFERROR(OrdersTable[[#This Row],[Profit]]/OrdersTable[[#This Row],[Net Revenue]],0)</f>
        <v>0.43156890796375774</v>
      </c>
      <c r="AA2132" t="s">
        <v>3495</v>
      </c>
      <c r="AB2132" s="79">
        <v>45660</v>
      </c>
      <c r="AC2132">
        <f>OrdersTable[[#This Row],[Delivery Date]]-OrdersTable[[#This Row],[Order Date]]</f>
        <v>2</v>
      </c>
      <c r="AD2132" t="str">
        <f>IF(OrdersTable[[#This Row],[Delivery Days]]&lt;=2, "Express (≤2d)", IF(OrdersTable[[#This Row],[Delivery Days]]&lt;=4, "Standard (3-4d)", "Delayed (5d+)"))</f>
        <v>Express (≤2d)</v>
      </c>
      <c r="AE2132">
        <v>5</v>
      </c>
      <c r="AF2132">
        <v>0</v>
      </c>
    </row>
    <row r="2133" spans="1:32" ht="15" x14ac:dyDescent="0.35">
      <c r="A2133" t="s">
        <v>550</v>
      </c>
      <c r="B2133" s="1">
        <v>45658</v>
      </c>
      <c r="C2133">
        <f>YEAR(OrdersTable[[#This Row],[Order Date]])</f>
        <v>2025</v>
      </c>
      <c r="D2133" s="2">
        <f>DATE(YEAR(OrdersTable[[#This Row],[Order Date]]),MONTH(OrdersTable[[#This Row],[Order Date]]),1)</f>
        <v>45658</v>
      </c>
      <c r="E2133">
        <f>MONTH(OrdersTable[[#This Row],[Order Date]])</f>
        <v>1</v>
      </c>
      <c r="F2133" t="s">
        <v>551</v>
      </c>
      <c r="G2133" t="str">
        <f>IF(OrdersTable[[#This Row],[Order Date]]=_xlfn.MINIFS(Order_Date, Customer_ID, OrdersTable[[#This Row],[Customer ID]]), "New", "Repeat")</f>
        <v>New</v>
      </c>
      <c r="H2133" t="s">
        <v>167</v>
      </c>
      <c r="I2133" t="str">
        <f>INDEX(State!B:B,MATCH(OrdersTable[[#This Row],[State]],State!A:A,0))</f>
        <v>KA</v>
      </c>
      <c r="J2133" t="str">
        <f>INDEX(State!C:C,MATCH(OrdersTable[[#This Row],[State Code]],State!B:B,0))</f>
        <v>South</v>
      </c>
      <c r="K2133" t="s">
        <v>190</v>
      </c>
      <c r="L2133" t="s">
        <v>65</v>
      </c>
      <c r="M2133" t="s">
        <v>228</v>
      </c>
      <c r="N2133" t="str">
        <f>INDEX(Products!B:B,MATCH(OrdersTable[[#This Row],[Product ID]],Products!A:A,0))</f>
        <v>Fast Charger 33W</v>
      </c>
      <c r="O2133" t="str">
        <f>INDEX(Products!C:C,MATCH(OrdersTable[[#This Row],[Product ID]],Products!A:A,0))</f>
        <v>Electronics</v>
      </c>
      <c r="P2133">
        <v>1</v>
      </c>
      <c r="Q2133" s="5">
        <v>899</v>
      </c>
      <c r="R2133" s="74">
        <v>0</v>
      </c>
      <c r="S2133" s="75">
        <f>OrdersTable[[#This Row],[Quantity]]*OrdersTable[[#This Row],[Unit Price]]</f>
        <v>899</v>
      </c>
      <c r="T2133" s="5">
        <f>OrdersTable[[#This Row],[Gross Sale]]*OrdersTable[[#This Row],[Discount_Clean2]]</f>
        <v>0</v>
      </c>
      <c r="U2133" s="5">
        <f>OrdersTable[[#This Row],[Gross Sale]]-OrdersTable[[#This Row],[Discount Amount]]</f>
        <v>899</v>
      </c>
      <c r="V2133" s="77">
        <f>INDEX(Products!E:E,MATCH(OrdersTable[[#This Row],[Product ID]],Products!A:A,0))</f>
        <v>494</v>
      </c>
      <c r="W2133" s="77">
        <f>OrdersTable[[#This Row],[Quantity]]*OrdersTable[[#This Row],[Unit Cost]]</f>
        <v>494</v>
      </c>
      <c r="X2133" s="77">
        <f>'Dropdown Lists'!$I$2*(1+OrdersTable[[#This Row],[Returned]])</f>
        <v>60</v>
      </c>
      <c r="Y2133" s="76">
        <f>OrdersTable[[#This Row],[Net Revenue]]-OrdersTable[[#This Row],[COGS]]-OrdersTable[[#This Row],[Shipping Cost]]</f>
        <v>345</v>
      </c>
      <c r="Z2133" s="78">
        <f>IFERROR(OrdersTable[[#This Row],[Profit]]/OrdersTable[[#This Row],[Net Revenue]],0)</f>
        <v>0.38375973303670746</v>
      </c>
      <c r="AA2133" t="s">
        <v>18</v>
      </c>
      <c r="AB2133" s="79">
        <v>45661</v>
      </c>
      <c r="AC2133">
        <f>OrdersTable[[#This Row],[Delivery Date]]-OrdersTable[[#This Row],[Order Date]]</f>
        <v>3</v>
      </c>
      <c r="AD2133" t="str">
        <f>IF(OrdersTable[[#This Row],[Delivery Days]]&lt;=2, "Express (≤2d)", IF(OrdersTable[[#This Row],[Delivery Days]]&lt;=4, "Standard (3-4d)", "Delayed (5d+)"))</f>
        <v>Standard (3-4d)</v>
      </c>
      <c r="AE2133">
        <v>4</v>
      </c>
      <c r="AF2133">
        <v>0</v>
      </c>
    </row>
    <row r="2134" spans="1:32" ht="15" x14ac:dyDescent="0.35">
      <c r="A2134" t="s">
        <v>5163</v>
      </c>
      <c r="B2134" s="1">
        <v>45659</v>
      </c>
      <c r="C2134">
        <f>YEAR(OrdersTable[[#This Row],[Order Date]])</f>
        <v>2025</v>
      </c>
      <c r="D2134" s="2">
        <f>DATE(YEAR(OrdersTable[[#This Row],[Order Date]]),MONTH(OrdersTable[[#This Row],[Order Date]]),1)</f>
        <v>45658</v>
      </c>
      <c r="E2134">
        <f>MONTH(OrdersTable[[#This Row],[Order Date]])</f>
        <v>1</v>
      </c>
      <c r="F2134" t="s">
        <v>380</v>
      </c>
      <c r="G2134" t="str">
        <f>IF(OrdersTable[[#This Row],[Order Date]]=_xlfn.MINIFS(Order_Date, Customer_ID, OrdersTable[[#This Row],[Customer ID]]), "New", "Repeat")</f>
        <v>New</v>
      </c>
      <c r="H2134" t="s">
        <v>32</v>
      </c>
      <c r="I2134" t="str">
        <f>INDEX(State!B:B,MATCH(OrdersTable[[#This Row],[State]],State!A:A,0))</f>
        <v>BR</v>
      </c>
      <c r="J2134" t="str">
        <f>INDEX(State!C:C,MATCH(OrdersTable[[#This Row],[State Code]],State!B:B,0))</f>
        <v>East</v>
      </c>
      <c r="K2134" t="s">
        <v>33</v>
      </c>
      <c r="L2134" t="s">
        <v>16</v>
      </c>
      <c r="M2134" t="s">
        <v>255</v>
      </c>
      <c r="N2134" t="str">
        <f>INDEX(Products!B:B,MATCH(OrdersTable[[#This Row],[Product ID]],Products!A:A,0))</f>
        <v>Cotton Oversized T-Shirt</v>
      </c>
      <c r="O2134" t="str">
        <f>INDEX(Products!C:C,MATCH(OrdersTable[[#This Row],[Product ID]],Products!A:A,0))</f>
        <v>Apparel</v>
      </c>
      <c r="P2134">
        <v>2</v>
      </c>
      <c r="Q2134" s="5">
        <v>799</v>
      </c>
      <c r="R2134" s="74">
        <v>0.05</v>
      </c>
      <c r="S2134" s="75">
        <f>OrdersTable[[#This Row],[Quantity]]*OrdersTable[[#This Row],[Unit Price]]</f>
        <v>1598</v>
      </c>
      <c r="T2134" s="5">
        <f>OrdersTable[[#This Row],[Gross Sale]]*OrdersTable[[#This Row],[Discount_Clean2]]</f>
        <v>79.900000000000006</v>
      </c>
      <c r="U2134" s="5">
        <f>OrdersTable[[#This Row],[Gross Sale]]-OrdersTable[[#This Row],[Discount Amount]]</f>
        <v>1518.1</v>
      </c>
      <c r="V2134" s="77">
        <f>INDEX(Products!E:E,MATCH(OrdersTable[[#This Row],[Product ID]],Products!A:A,0))</f>
        <v>320</v>
      </c>
      <c r="W2134" s="77">
        <f>OrdersTable[[#This Row],[Quantity]]*OrdersTable[[#This Row],[Unit Cost]]</f>
        <v>640</v>
      </c>
      <c r="X2134" s="77">
        <f>'Dropdown Lists'!$I$2*(1+OrdersTable[[#This Row],[Returned]])</f>
        <v>120</v>
      </c>
      <c r="Y2134" s="76">
        <f>OrdersTable[[#This Row],[Net Revenue]]-OrdersTable[[#This Row],[COGS]]-OrdersTable[[#This Row],[Shipping Cost]]</f>
        <v>758.09999999999991</v>
      </c>
      <c r="Z2134" s="78">
        <f>IFERROR(OrdersTable[[#This Row],[Profit]]/OrdersTable[[#This Row],[Net Revenue]],0)</f>
        <v>0.49937421777221525</v>
      </c>
      <c r="AA2134" t="s">
        <v>3495</v>
      </c>
      <c r="AB2134" s="79">
        <v>45665</v>
      </c>
      <c r="AC2134">
        <f>OrdersTable[[#This Row],[Delivery Date]]-OrdersTable[[#This Row],[Order Date]]</f>
        <v>6</v>
      </c>
      <c r="AD2134" t="str">
        <f>IF(OrdersTable[[#This Row],[Delivery Days]]&lt;=2, "Express (≤2d)", IF(OrdersTable[[#This Row],[Delivery Days]]&lt;=4, "Standard (3-4d)", "Delayed (5d+)"))</f>
        <v>Delayed (5d+)</v>
      </c>
      <c r="AE2134">
        <v>4</v>
      </c>
      <c r="AF2134">
        <v>1</v>
      </c>
    </row>
    <row r="2135" spans="1:32" ht="15" x14ac:dyDescent="0.35">
      <c r="A2135" t="s">
        <v>4010</v>
      </c>
      <c r="B2135" s="1">
        <v>45659</v>
      </c>
      <c r="C2135">
        <f>YEAR(OrdersTable[[#This Row],[Order Date]])</f>
        <v>2025</v>
      </c>
      <c r="D2135" s="2">
        <f>DATE(YEAR(OrdersTable[[#This Row],[Order Date]]),MONTH(OrdersTable[[#This Row],[Order Date]]),1)</f>
        <v>45658</v>
      </c>
      <c r="E2135">
        <f>MONTH(OrdersTable[[#This Row],[Order Date]])</f>
        <v>1</v>
      </c>
      <c r="F2135" t="s">
        <v>4011</v>
      </c>
      <c r="G2135" t="str">
        <f>IF(OrdersTable[[#This Row],[Order Date]]=_xlfn.MINIFS(Order_Date, Customer_ID, OrdersTable[[#This Row],[Customer ID]]), "New", "Repeat")</f>
        <v>New</v>
      </c>
      <c r="H2135" t="s">
        <v>43</v>
      </c>
      <c r="I2135" t="str">
        <f>INDEX(State!B:B,MATCH(OrdersTable[[#This Row],[State]],State!A:A,0))</f>
        <v>MP</v>
      </c>
      <c r="J2135" t="str">
        <f>INDEX(State!C:C,MATCH(OrdersTable[[#This Row],[State Code]],State!B:B,0))</f>
        <v>West</v>
      </c>
      <c r="K2135" t="s">
        <v>44</v>
      </c>
      <c r="L2135" t="s">
        <v>65</v>
      </c>
      <c r="M2135" t="s">
        <v>148</v>
      </c>
      <c r="N2135" t="str">
        <f>INDEX(Products!B:B,MATCH(OrdersTable[[#This Row],[Product ID]],Products!A:A,0))</f>
        <v>Smartwatch Strap</v>
      </c>
      <c r="O2135" t="str">
        <f>INDEX(Products!C:C,MATCH(OrdersTable[[#This Row],[Product ID]],Products!A:A,0))</f>
        <v>Electronics</v>
      </c>
      <c r="P2135">
        <v>1</v>
      </c>
      <c r="Q2135" s="5">
        <v>499</v>
      </c>
      <c r="R2135" s="74">
        <v>0.1</v>
      </c>
      <c r="S2135" s="75">
        <f>OrdersTable[[#This Row],[Quantity]]*OrdersTable[[#This Row],[Unit Price]]</f>
        <v>499</v>
      </c>
      <c r="T2135" s="5">
        <f>OrdersTable[[#This Row],[Gross Sale]]*OrdersTable[[#This Row],[Discount_Clean2]]</f>
        <v>49.900000000000006</v>
      </c>
      <c r="U2135" s="5">
        <f>OrdersTable[[#This Row],[Gross Sale]]-OrdersTable[[#This Row],[Discount Amount]]</f>
        <v>449.1</v>
      </c>
      <c r="V2135" s="77">
        <f>INDEX(Products!E:E,MATCH(OrdersTable[[#This Row],[Product ID]],Products!A:A,0))</f>
        <v>200</v>
      </c>
      <c r="W2135" s="77">
        <f>OrdersTable[[#This Row],[Quantity]]*OrdersTable[[#This Row],[Unit Cost]]</f>
        <v>200</v>
      </c>
      <c r="X2135" s="77">
        <f>'Dropdown Lists'!$I$2*(1+OrdersTable[[#This Row],[Returned]])</f>
        <v>60</v>
      </c>
      <c r="Y2135" s="76">
        <f>OrdersTable[[#This Row],[Net Revenue]]-OrdersTable[[#This Row],[COGS]]-OrdersTable[[#This Row],[Shipping Cost]]</f>
        <v>189.10000000000002</v>
      </c>
      <c r="Z2135" s="78">
        <f>IFERROR(OrdersTable[[#This Row],[Profit]]/OrdersTable[[#This Row],[Net Revenue]],0)</f>
        <v>0.42106435092407041</v>
      </c>
      <c r="AA2135" t="s">
        <v>3495</v>
      </c>
      <c r="AB2135" s="79">
        <v>45661</v>
      </c>
      <c r="AC2135">
        <f>OrdersTable[[#This Row],[Delivery Date]]-OrdersTable[[#This Row],[Order Date]]</f>
        <v>2</v>
      </c>
      <c r="AD2135" t="str">
        <f>IF(OrdersTable[[#This Row],[Delivery Days]]&lt;=2, "Express (≤2d)", IF(OrdersTable[[#This Row],[Delivery Days]]&lt;=4, "Standard (3-4d)", "Delayed (5d+)"))</f>
        <v>Express (≤2d)</v>
      </c>
      <c r="AE2135">
        <v>5</v>
      </c>
      <c r="AF2135">
        <v>0</v>
      </c>
    </row>
    <row r="2136" spans="1:32" ht="15" x14ac:dyDescent="0.35">
      <c r="A2136" t="s">
        <v>6336</v>
      </c>
      <c r="B2136" s="1">
        <v>45659</v>
      </c>
      <c r="C2136">
        <f>YEAR(OrdersTable[[#This Row],[Order Date]])</f>
        <v>2025</v>
      </c>
      <c r="D2136" s="2">
        <f>DATE(YEAR(OrdersTable[[#This Row],[Order Date]]),MONTH(OrdersTable[[#This Row],[Order Date]]),1)</f>
        <v>45658</v>
      </c>
      <c r="E2136">
        <f>MONTH(OrdersTable[[#This Row],[Order Date]])</f>
        <v>1</v>
      </c>
      <c r="F2136" t="s">
        <v>6337</v>
      </c>
      <c r="G2136" t="str">
        <f>IF(OrdersTable[[#This Row],[Order Date]]=_xlfn.MINIFS(Order_Date, Customer_ID, OrdersTable[[#This Row],[Customer ID]]), "New", "Repeat")</f>
        <v>New</v>
      </c>
      <c r="H2136" t="s">
        <v>167</v>
      </c>
      <c r="I2136" t="str">
        <f>INDEX(State!B:B,MATCH(OrdersTable[[#This Row],[State]],State!A:A,0))</f>
        <v>KA</v>
      </c>
      <c r="J2136" t="str">
        <f>INDEX(State!C:C,MATCH(OrdersTable[[#This Row],[State Code]],State!B:B,0))</f>
        <v>South</v>
      </c>
      <c r="K2136" t="s">
        <v>190</v>
      </c>
      <c r="L2136" t="s">
        <v>65</v>
      </c>
      <c r="M2136" t="s">
        <v>160</v>
      </c>
      <c r="N2136" t="str">
        <f>INDEX(Products!B:B,MATCH(OrdersTable[[#This Row],[Product ID]],Products!A:A,0))</f>
        <v>Niacinamide Toner</v>
      </c>
      <c r="O2136" t="str">
        <f>INDEX(Products!C:C,MATCH(OrdersTable[[#This Row],[Product ID]],Products!A:A,0))</f>
        <v>Skincare</v>
      </c>
      <c r="P2136">
        <v>2</v>
      </c>
      <c r="Q2136" s="5">
        <v>399</v>
      </c>
      <c r="R2136" s="74">
        <v>0.3</v>
      </c>
      <c r="S2136" s="75">
        <f>OrdersTable[[#This Row],[Quantity]]*OrdersTable[[#This Row],[Unit Price]]</f>
        <v>798</v>
      </c>
      <c r="T2136" s="5">
        <f>OrdersTable[[#This Row],[Gross Sale]]*OrdersTable[[#This Row],[Discount_Clean2]]</f>
        <v>239.39999999999998</v>
      </c>
      <c r="U2136" s="5">
        <f>OrdersTable[[#This Row],[Gross Sale]]-OrdersTable[[#This Row],[Discount Amount]]</f>
        <v>558.6</v>
      </c>
      <c r="V2136" s="77">
        <f>INDEX(Products!E:E,MATCH(OrdersTable[[#This Row],[Product ID]],Products!A:A,0))</f>
        <v>112</v>
      </c>
      <c r="W2136" s="77">
        <f>OrdersTable[[#This Row],[Quantity]]*OrdersTable[[#This Row],[Unit Cost]]</f>
        <v>224</v>
      </c>
      <c r="X2136" s="77">
        <f>'Dropdown Lists'!$I$2*(1+OrdersTable[[#This Row],[Returned]])</f>
        <v>60</v>
      </c>
      <c r="Y2136" s="76">
        <f>OrdersTable[[#This Row],[Net Revenue]]-OrdersTable[[#This Row],[COGS]]-OrdersTable[[#This Row],[Shipping Cost]]</f>
        <v>274.60000000000002</v>
      </c>
      <c r="Z2136" s="78">
        <f>IFERROR(OrdersTable[[#This Row],[Profit]]/OrdersTable[[#This Row],[Net Revenue]],0)</f>
        <v>0.49158610812746151</v>
      </c>
      <c r="AA2136" t="s">
        <v>18</v>
      </c>
      <c r="AB2136" s="79">
        <v>45661</v>
      </c>
      <c r="AC2136">
        <f>OrdersTable[[#This Row],[Delivery Date]]-OrdersTable[[#This Row],[Order Date]]</f>
        <v>2</v>
      </c>
      <c r="AD2136" t="str">
        <f>IF(OrdersTable[[#This Row],[Delivery Days]]&lt;=2, "Express (≤2d)", IF(OrdersTable[[#This Row],[Delivery Days]]&lt;=4, "Standard (3-4d)", "Delayed (5d+)"))</f>
        <v>Express (≤2d)</v>
      </c>
      <c r="AE2136">
        <v>3</v>
      </c>
      <c r="AF2136">
        <v>0</v>
      </c>
    </row>
    <row r="2137" spans="1:32" ht="15" x14ac:dyDescent="0.35">
      <c r="A2137" t="s">
        <v>1249</v>
      </c>
      <c r="B2137" s="1">
        <v>45659</v>
      </c>
      <c r="C2137">
        <f>YEAR(OrdersTable[[#This Row],[Order Date]])</f>
        <v>2025</v>
      </c>
      <c r="D2137" s="2">
        <f>DATE(YEAR(OrdersTable[[#This Row],[Order Date]]),MONTH(OrdersTable[[#This Row],[Order Date]]),1)</f>
        <v>45658</v>
      </c>
      <c r="E2137">
        <f>MONTH(OrdersTable[[#This Row],[Order Date]])</f>
        <v>1</v>
      </c>
      <c r="F2137" t="s">
        <v>213</v>
      </c>
      <c r="G2137" t="str">
        <f>IF(OrdersTable[[#This Row],[Order Date]]=_xlfn.MINIFS(Order_Date, Customer_ID, OrdersTable[[#This Row],[Customer ID]]), "New", "Repeat")</f>
        <v>Repeat</v>
      </c>
      <c r="H2137" t="s">
        <v>275</v>
      </c>
      <c r="I2137" t="str">
        <f>INDEX(State!B:B,MATCH(OrdersTable[[#This Row],[State]],State!A:A,0))</f>
        <v>AP</v>
      </c>
      <c r="J2137" t="str">
        <f>INDEX(State!C:C,MATCH(OrdersTable[[#This Row],[State Code]],State!B:B,0))</f>
        <v>South</v>
      </c>
      <c r="K2137" t="s">
        <v>491</v>
      </c>
      <c r="L2137" t="s">
        <v>16</v>
      </c>
      <c r="M2137" t="s">
        <v>92</v>
      </c>
      <c r="N2137" t="str">
        <f>INDEX(Products!B:B,MATCH(OrdersTable[[#This Row],[Product ID]],Products!A:A,0))</f>
        <v>Kolhapuri Sandals</v>
      </c>
      <c r="O2137" t="str">
        <f>INDEX(Products!C:C,MATCH(OrdersTable[[#This Row],[Product ID]],Products!A:A,0))</f>
        <v>Footwear</v>
      </c>
      <c r="P2137">
        <v>1</v>
      </c>
      <c r="Q2137" s="5">
        <v>999</v>
      </c>
      <c r="R2137" s="74">
        <v>0.15</v>
      </c>
      <c r="S2137" s="75">
        <f>OrdersTable[[#This Row],[Quantity]]*OrdersTable[[#This Row],[Unit Price]]</f>
        <v>999</v>
      </c>
      <c r="T2137" s="5">
        <f>OrdersTable[[#This Row],[Gross Sale]]*OrdersTable[[#This Row],[Discount_Clean2]]</f>
        <v>149.85</v>
      </c>
      <c r="U2137" s="5">
        <f>OrdersTable[[#This Row],[Gross Sale]]-OrdersTable[[#This Row],[Discount Amount]]</f>
        <v>849.15</v>
      </c>
      <c r="V2137" s="77">
        <f>INDEX(Products!E:E,MATCH(OrdersTable[[#This Row],[Product ID]],Products!A:A,0))</f>
        <v>400</v>
      </c>
      <c r="W2137" s="77">
        <f>OrdersTable[[#This Row],[Quantity]]*OrdersTable[[#This Row],[Unit Cost]]</f>
        <v>400</v>
      </c>
      <c r="X2137" s="77">
        <f>'Dropdown Lists'!$I$2*(1+OrdersTable[[#This Row],[Returned]])</f>
        <v>60</v>
      </c>
      <c r="Y2137" s="76">
        <f>OrdersTable[[#This Row],[Net Revenue]]-OrdersTable[[#This Row],[COGS]]-OrdersTable[[#This Row],[Shipping Cost]]</f>
        <v>389.15</v>
      </c>
      <c r="Z2137" s="78">
        <f>IFERROR(OrdersTable[[#This Row],[Profit]]/OrdersTable[[#This Row],[Net Revenue]],0)</f>
        <v>0.45828181122298767</v>
      </c>
      <c r="AA2137" t="s">
        <v>18</v>
      </c>
      <c r="AB2137" s="79">
        <v>45663</v>
      </c>
      <c r="AC2137">
        <f>OrdersTable[[#This Row],[Delivery Date]]-OrdersTable[[#This Row],[Order Date]]</f>
        <v>4</v>
      </c>
      <c r="AD2137" t="str">
        <f>IF(OrdersTable[[#This Row],[Delivery Days]]&lt;=2, "Express (≤2d)", IF(OrdersTable[[#This Row],[Delivery Days]]&lt;=4, "Standard (3-4d)", "Delayed (5d+)"))</f>
        <v>Standard (3-4d)</v>
      </c>
      <c r="AF2137">
        <v>0</v>
      </c>
    </row>
    <row r="2138" spans="1:32" ht="15" x14ac:dyDescent="0.35">
      <c r="A2138" t="s">
        <v>4115</v>
      </c>
      <c r="B2138" s="1">
        <v>45659</v>
      </c>
      <c r="C2138">
        <f>YEAR(OrdersTable[[#This Row],[Order Date]])</f>
        <v>2025</v>
      </c>
      <c r="D2138" s="2">
        <f>DATE(YEAR(OrdersTable[[#This Row],[Order Date]]),MONTH(OrdersTable[[#This Row],[Order Date]]),1)</f>
        <v>45658</v>
      </c>
      <c r="E2138">
        <f>MONTH(OrdersTable[[#This Row],[Order Date]])</f>
        <v>1</v>
      </c>
      <c r="F2138" t="s">
        <v>3157</v>
      </c>
      <c r="G2138" t="str">
        <f>IF(OrdersTable[[#This Row],[Order Date]]=_xlfn.MINIFS(Order_Date, Customer_ID, OrdersTable[[#This Row],[Customer ID]]), "New", "Repeat")</f>
        <v>Repeat</v>
      </c>
      <c r="H2138" t="s">
        <v>59</v>
      </c>
      <c r="I2138" t="str">
        <f>INDEX(State!B:B,MATCH(OrdersTable[[#This Row],[State]],State!A:A,0))</f>
        <v>TN</v>
      </c>
      <c r="J2138" t="str">
        <f>INDEX(State!C:C,MATCH(OrdersTable[[#This Row],[State Code]],State!B:B,0))</f>
        <v>South</v>
      </c>
      <c r="K2138" t="s">
        <v>64</v>
      </c>
      <c r="L2138" t="s">
        <v>65</v>
      </c>
      <c r="M2138" t="s">
        <v>205</v>
      </c>
      <c r="N2138" t="str">
        <f>INDEX(Products!B:B,MATCH(OrdersTable[[#This Row],[Product ID]],Products!A:A,0))</f>
        <v>Running Shoes</v>
      </c>
      <c r="O2138" t="str">
        <f>INDEX(Products!C:C,MATCH(OrdersTable[[#This Row],[Product ID]],Products!A:A,0))</f>
        <v>Footwear</v>
      </c>
      <c r="P2138">
        <v>1</v>
      </c>
      <c r="Q2138" s="5">
        <v>2999</v>
      </c>
      <c r="R2138" s="74">
        <v>0.2</v>
      </c>
      <c r="S2138" s="75">
        <f>OrdersTable[[#This Row],[Quantity]]*OrdersTable[[#This Row],[Unit Price]]</f>
        <v>2999</v>
      </c>
      <c r="T2138" s="5">
        <f>OrdersTable[[#This Row],[Gross Sale]]*OrdersTable[[#This Row],[Discount_Clean2]]</f>
        <v>599.80000000000007</v>
      </c>
      <c r="U2138" s="5">
        <f>OrdersTable[[#This Row],[Gross Sale]]-OrdersTable[[#This Row],[Discount Amount]]</f>
        <v>2399.1999999999998</v>
      </c>
      <c r="V2138" s="77">
        <f>INDEX(Products!E:E,MATCH(OrdersTable[[#This Row],[Product ID]],Products!A:A,0))</f>
        <v>1440</v>
      </c>
      <c r="W2138" s="77">
        <f>OrdersTable[[#This Row],[Quantity]]*OrdersTable[[#This Row],[Unit Cost]]</f>
        <v>1440</v>
      </c>
      <c r="X2138" s="77">
        <f>'Dropdown Lists'!$I$2*(1+OrdersTable[[#This Row],[Returned]])</f>
        <v>60</v>
      </c>
      <c r="Y2138" s="76">
        <f>OrdersTable[[#This Row],[Net Revenue]]-OrdersTable[[#This Row],[COGS]]-OrdersTable[[#This Row],[Shipping Cost]]</f>
        <v>899.19999999999982</v>
      </c>
      <c r="Z2138" s="78">
        <f>IFERROR(OrdersTable[[#This Row],[Profit]]/OrdersTable[[#This Row],[Net Revenue]],0)</f>
        <v>0.3747915971990663</v>
      </c>
      <c r="AA2138" t="s">
        <v>4074</v>
      </c>
      <c r="AB2138" s="79">
        <v>45660</v>
      </c>
      <c r="AC2138">
        <f>OrdersTable[[#This Row],[Delivery Date]]-OrdersTable[[#This Row],[Order Date]]</f>
        <v>1</v>
      </c>
      <c r="AD2138" t="str">
        <f>IF(OrdersTable[[#This Row],[Delivery Days]]&lt;=2, "Express (≤2d)", IF(OrdersTable[[#This Row],[Delivery Days]]&lt;=4, "Standard (3-4d)", "Delayed (5d+)"))</f>
        <v>Express (≤2d)</v>
      </c>
      <c r="AE2138">
        <v>5</v>
      </c>
      <c r="AF2138">
        <v>0</v>
      </c>
    </row>
    <row r="2139" spans="1:32" ht="15" x14ac:dyDescent="0.35">
      <c r="A2139" t="s">
        <v>1701</v>
      </c>
      <c r="B2139" s="1">
        <v>45660</v>
      </c>
      <c r="C2139">
        <f>YEAR(OrdersTable[[#This Row],[Order Date]])</f>
        <v>2025</v>
      </c>
      <c r="D2139" s="2">
        <f>DATE(YEAR(OrdersTable[[#This Row],[Order Date]]),MONTH(OrdersTable[[#This Row],[Order Date]]),1)</f>
        <v>45658</v>
      </c>
      <c r="E2139">
        <f>MONTH(OrdersTable[[#This Row],[Order Date]])</f>
        <v>1</v>
      </c>
      <c r="F2139" t="s">
        <v>1702</v>
      </c>
      <c r="G2139" t="str">
        <f>IF(OrdersTable[[#This Row],[Order Date]]=_xlfn.MINIFS(Order_Date, Customer_ID, OrdersTable[[#This Row],[Customer ID]]), "New", "Repeat")</f>
        <v>New</v>
      </c>
      <c r="H2139" t="s">
        <v>210</v>
      </c>
      <c r="I2139" t="str">
        <f>INDEX(State!B:B,MATCH(OrdersTable[[#This Row],[State]],State!A:A,0))</f>
        <v>JK</v>
      </c>
      <c r="J2139" t="str">
        <f>INDEX(State!C:C,MATCH(OrdersTable[[#This Row],[State Code]],State!B:B,0))</f>
        <v>North</v>
      </c>
      <c r="K2139" t="s">
        <v>415</v>
      </c>
      <c r="L2139" t="s">
        <v>65</v>
      </c>
      <c r="M2139" t="s">
        <v>56</v>
      </c>
      <c r="N2139" t="str">
        <f>INDEX(Products!B:B,MATCH(OrdersTable[[#This Row],[Product ID]],Products!A:A,0))</f>
        <v>Vitamin C Face Serum</v>
      </c>
      <c r="O2139" t="str">
        <f>INDEX(Products!C:C,MATCH(OrdersTable[[#This Row],[Product ID]],Products!A:A,0))</f>
        <v>Skincare</v>
      </c>
      <c r="P2139">
        <v>1</v>
      </c>
      <c r="Q2139" s="5">
        <v>599</v>
      </c>
      <c r="R2139" s="74">
        <v>0.15</v>
      </c>
      <c r="S2139" s="75">
        <f>OrdersTable[[#This Row],[Quantity]]*OrdersTable[[#This Row],[Unit Price]]</f>
        <v>599</v>
      </c>
      <c r="T2139" s="5">
        <f>OrdersTable[[#This Row],[Gross Sale]]*OrdersTable[[#This Row],[Discount_Clean2]]</f>
        <v>89.85</v>
      </c>
      <c r="U2139" s="5">
        <f>OrdersTable[[#This Row],[Gross Sale]]-OrdersTable[[#This Row],[Discount Amount]]</f>
        <v>509.15</v>
      </c>
      <c r="V2139" s="77">
        <f>INDEX(Products!E:E,MATCH(OrdersTable[[#This Row],[Product ID]],Products!A:A,0))</f>
        <v>180</v>
      </c>
      <c r="W2139" s="77">
        <f>OrdersTable[[#This Row],[Quantity]]*OrdersTable[[#This Row],[Unit Cost]]</f>
        <v>180</v>
      </c>
      <c r="X2139" s="77">
        <f>'Dropdown Lists'!$I$2*(1+OrdersTable[[#This Row],[Returned]])</f>
        <v>60</v>
      </c>
      <c r="Y2139" s="76">
        <f>OrdersTable[[#This Row],[Net Revenue]]-OrdersTable[[#This Row],[COGS]]-OrdersTable[[#This Row],[Shipping Cost]]</f>
        <v>269.14999999999998</v>
      </c>
      <c r="Z2139" s="78">
        <f>IFERROR(OrdersTable[[#This Row],[Profit]]/OrdersTable[[#This Row],[Net Revenue]],0)</f>
        <v>0.52862614160856325</v>
      </c>
      <c r="AA2139" t="s">
        <v>18</v>
      </c>
      <c r="AB2139" s="79">
        <v>45666</v>
      </c>
      <c r="AC2139">
        <f>OrdersTable[[#This Row],[Delivery Date]]-OrdersTable[[#This Row],[Order Date]]</f>
        <v>6</v>
      </c>
      <c r="AD2139" t="str">
        <f>IF(OrdersTable[[#This Row],[Delivery Days]]&lt;=2, "Express (≤2d)", IF(OrdersTable[[#This Row],[Delivery Days]]&lt;=4, "Standard (3-4d)", "Delayed (5d+)"))</f>
        <v>Delayed (5d+)</v>
      </c>
      <c r="AF2139">
        <v>0</v>
      </c>
    </row>
    <row r="2140" spans="1:32" ht="15" x14ac:dyDescent="0.35">
      <c r="A2140" t="s">
        <v>5921</v>
      </c>
      <c r="B2140" s="1">
        <v>45660</v>
      </c>
      <c r="C2140">
        <f>YEAR(OrdersTable[[#This Row],[Order Date]])</f>
        <v>2025</v>
      </c>
      <c r="D2140" s="2">
        <f>DATE(YEAR(OrdersTable[[#This Row],[Order Date]]),MONTH(OrdersTable[[#This Row],[Order Date]]),1)</f>
        <v>45658</v>
      </c>
      <c r="E2140">
        <f>MONTH(OrdersTable[[#This Row],[Order Date]])</f>
        <v>1</v>
      </c>
      <c r="F2140" t="s">
        <v>5922</v>
      </c>
      <c r="G2140" t="str">
        <f>IF(OrdersTable[[#This Row],[Order Date]]=_xlfn.MINIFS(Order_Date, Customer_ID, OrdersTable[[#This Row],[Customer ID]]), "New", "Repeat")</f>
        <v>New</v>
      </c>
      <c r="H2140" t="s">
        <v>48</v>
      </c>
      <c r="I2140" t="str">
        <f>INDEX(State!B:B,MATCH(OrdersTable[[#This Row],[State]],State!A:A,0))</f>
        <v>HR</v>
      </c>
      <c r="J2140" t="str">
        <f>INDEX(State!C:C,MATCH(OrdersTable[[#This Row],[State Code]],State!B:B,0))</f>
        <v>North</v>
      </c>
      <c r="K2140" t="s">
        <v>49</v>
      </c>
      <c r="L2140" t="s">
        <v>16</v>
      </c>
      <c r="M2140" t="s">
        <v>255</v>
      </c>
      <c r="N2140" t="str">
        <f>INDEX(Products!B:B,MATCH(OrdersTable[[#This Row],[Product ID]],Products!A:A,0))</f>
        <v>Cotton Oversized T-Shirt</v>
      </c>
      <c r="O2140" t="str">
        <f>INDEX(Products!C:C,MATCH(OrdersTable[[#This Row],[Product ID]],Products!A:A,0))</f>
        <v>Apparel</v>
      </c>
      <c r="P2140">
        <v>2</v>
      </c>
      <c r="Q2140" s="5">
        <v>799</v>
      </c>
      <c r="R2140" s="74">
        <v>0.1</v>
      </c>
      <c r="S2140" s="75">
        <f>OrdersTable[[#This Row],[Quantity]]*OrdersTable[[#This Row],[Unit Price]]</f>
        <v>1598</v>
      </c>
      <c r="T2140" s="5">
        <f>OrdersTable[[#This Row],[Gross Sale]]*OrdersTable[[#This Row],[Discount_Clean2]]</f>
        <v>159.80000000000001</v>
      </c>
      <c r="U2140" s="5">
        <f>OrdersTable[[#This Row],[Gross Sale]]-OrdersTable[[#This Row],[Discount Amount]]</f>
        <v>1438.2</v>
      </c>
      <c r="V2140" s="77">
        <f>INDEX(Products!E:E,MATCH(OrdersTable[[#This Row],[Product ID]],Products!A:A,0))</f>
        <v>320</v>
      </c>
      <c r="W2140" s="77">
        <f>OrdersTable[[#This Row],[Quantity]]*OrdersTable[[#This Row],[Unit Cost]]</f>
        <v>640</v>
      </c>
      <c r="X2140" s="77">
        <f>'Dropdown Lists'!$I$2*(1+OrdersTable[[#This Row],[Returned]])</f>
        <v>60</v>
      </c>
      <c r="Y2140" s="76">
        <f>OrdersTable[[#This Row],[Net Revenue]]-OrdersTable[[#This Row],[COGS]]-OrdersTable[[#This Row],[Shipping Cost]]</f>
        <v>738.2</v>
      </c>
      <c r="Z2140" s="78">
        <f>IFERROR(OrdersTable[[#This Row],[Profit]]/OrdersTable[[#This Row],[Net Revenue]],0)</f>
        <v>0.51328048950076488</v>
      </c>
      <c r="AA2140" t="s">
        <v>18</v>
      </c>
      <c r="AB2140" s="79">
        <v>45661</v>
      </c>
      <c r="AC2140">
        <f>OrdersTable[[#This Row],[Delivery Date]]-OrdersTable[[#This Row],[Order Date]]</f>
        <v>1</v>
      </c>
      <c r="AD2140" t="str">
        <f>IF(OrdersTable[[#This Row],[Delivery Days]]&lt;=2, "Express (≤2d)", IF(OrdersTable[[#This Row],[Delivery Days]]&lt;=4, "Standard (3-4d)", "Delayed (5d+)"))</f>
        <v>Express (≤2d)</v>
      </c>
      <c r="AF2140">
        <v>0</v>
      </c>
    </row>
    <row r="2141" spans="1:32" ht="15" x14ac:dyDescent="0.35">
      <c r="A2141" t="s">
        <v>1934</v>
      </c>
      <c r="B2141" s="1">
        <v>45660</v>
      </c>
      <c r="C2141">
        <f>YEAR(OrdersTable[[#This Row],[Order Date]])</f>
        <v>2025</v>
      </c>
      <c r="D2141" s="2">
        <f>DATE(YEAR(OrdersTable[[#This Row],[Order Date]]),MONTH(OrdersTable[[#This Row],[Order Date]]),1)</f>
        <v>45658</v>
      </c>
      <c r="E2141">
        <f>MONTH(OrdersTable[[#This Row],[Order Date]])</f>
        <v>1</v>
      </c>
      <c r="F2141" t="s">
        <v>394</v>
      </c>
      <c r="G2141" t="str">
        <f>IF(OrdersTable[[#This Row],[Order Date]]=_xlfn.MINIFS(Order_Date, Customer_ID, OrdersTable[[#This Row],[Customer ID]]), "New", "Repeat")</f>
        <v>Repeat</v>
      </c>
      <c r="H2141" t="s">
        <v>37</v>
      </c>
      <c r="I2141" t="str">
        <f>INDEX(State!B:B,MATCH(OrdersTable[[#This Row],[State]],State!A:A,0))</f>
        <v>GJ</v>
      </c>
      <c r="J2141" t="str">
        <f>INDEX(State!C:C,MATCH(OrdersTable[[#This Row],[State Code]],State!B:B,0))</f>
        <v>West</v>
      </c>
      <c r="K2141" t="s">
        <v>247</v>
      </c>
      <c r="L2141" t="s">
        <v>50</v>
      </c>
      <c r="M2141" t="s">
        <v>66</v>
      </c>
      <c r="N2141" t="str">
        <f>INDEX(Products!B:B,MATCH(OrdersTable[[#This Row],[Product ID]],Products!A:A,0))</f>
        <v>Sunscreen SPF 50</v>
      </c>
      <c r="O2141" t="str">
        <f>INDEX(Products!C:C,MATCH(OrdersTable[[#This Row],[Product ID]],Products!A:A,0))</f>
        <v>Skincare</v>
      </c>
      <c r="P2141">
        <v>1</v>
      </c>
      <c r="Q2141" s="5">
        <v>449</v>
      </c>
      <c r="R2141" s="74">
        <v>0.15</v>
      </c>
      <c r="S2141" s="75">
        <f>OrdersTable[[#This Row],[Quantity]]*OrdersTable[[#This Row],[Unit Price]]</f>
        <v>449</v>
      </c>
      <c r="T2141" s="5">
        <f>OrdersTable[[#This Row],[Gross Sale]]*OrdersTable[[#This Row],[Discount_Clean2]]</f>
        <v>67.349999999999994</v>
      </c>
      <c r="U2141" s="5">
        <f>OrdersTable[[#This Row],[Gross Sale]]-OrdersTable[[#This Row],[Discount Amount]]</f>
        <v>381.65</v>
      </c>
      <c r="V2141" s="77">
        <f>INDEX(Products!E:E,MATCH(OrdersTable[[#This Row],[Product ID]],Products!A:A,0))</f>
        <v>144</v>
      </c>
      <c r="W2141" s="77">
        <f>OrdersTable[[#This Row],[Quantity]]*OrdersTable[[#This Row],[Unit Cost]]</f>
        <v>144</v>
      </c>
      <c r="X2141" s="77">
        <f>'Dropdown Lists'!$I$2*(1+OrdersTable[[#This Row],[Returned]])</f>
        <v>120</v>
      </c>
      <c r="Y2141" s="76">
        <f>OrdersTable[[#This Row],[Net Revenue]]-OrdersTable[[#This Row],[COGS]]-OrdersTable[[#This Row],[Shipping Cost]]</f>
        <v>117.64999999999998</v>
      </c>
      <c r="Z2141" s="78">
        <f>IFERROR(OrdersTable[[#This Row],[Profit]]/OrdersTable[[#This Row],[Net Revenue]],0)</f>
        <v>0.30826673653871345</v>
      </c>
      <c r="AA2141" t="s">
        <v>18</v>
      </c>
      <c r="AB2141" s="79">
        <v>45664</v>
      </c>
      <c r="AC2141">
        <f>OrdersTable[[#This Row],[Delivery Date]]-OrdersTable[[#This Row],[Order Date]]</f>
        <v>4</v>
      </c>
      <c r="AD2141" t="str">
        <f>IF(OrdersTable[[#This Row],[Delivery Days]]&lt;=2, "Express (≤2d)", IF(OrdersTable[[#This Row],[Delivery Days]]&lt;=4, "Standard (3-4d)", "Delayed (5d+)"))</f>
        <v>Standard (3-4d)</v>
      </c>
      <c r="AE2141">
        <v>3</v>
      </c>
      <c r="AF2141">
        <v>1</v>
      </c>
    </row>
    <row r="2142" spans="1:32" ht="15" x14ac:dyDescent="0.35">
      <c r="A2142" t="s">
        <v>1389</v>
      </c>
      <c r="B2142" s="1">
        <v>45660</v>
      </c>
      <c r="C2142">
        <f>YEAR(OrdersTable[[#This Row],[Order Date]])</f>
        <v>2025</v>
      </c>
      <c r="D2142" s="2">
        <f>DATE(YEAR(OrdersTable[[#This Row],[Order Date]]),MONTH(OrdersTable[[#This Row],[Order Date]]),1)</f>
        <v>45658</v>
      </c>
      <c r="E2142">
        <f>MONTH(OrdersTable[[#This Row],[Order Date]])</f>
        <v>1</v>
      </c>
      <c r="F2142" t="s">
        <v>1161</v>
      </c>
      <c r="G2142" t="str">
        <f>IF(OrdersTable[[#This Row],[Order Date]]=_xlfn.MINIFS(Order_Date, Customer_ID, OrdersTable[[#This Row],[Customer ID]]), "New", "Repeat")</f>
        <v>Repeat</v>
      </c>
      <c r="H2142" t="s">
        <v>37</v>
      </c>
      <c r="I2142" t="str">
        <f>INDEX(State!B:B,MATCH(OrdersTable[[#This Row],[State]],State!A:A,0))</f>
        <v>GJ</v>
      </c>
      <c r="J2142" t="str">
        <f>INDEX(State!C:C,MATCH(OrdersTable[[#This Row],[State Code]],State!B:B,0))</f>
        <v>West</v>
      </c>
      <c r="K2142" t="s">
        <v>247</v>
      </c>
      <c r="L2142" t="s">
        <v>23</v>
      </c>
      <c r="M2142" t="s">
        <v>92</v>
      </c>
      <c r="N2142" t="str">
        <f>INDEX(Products!B:B,MATCH(OrdersTable[[#This Row],[Product ID]],Products!A:A,0))</f>
        <v>Kolhapuri Sandals</v>
      </c>
      <c r="O2142" t="str">
        <f>INDEX(Products!C:C,MATCH(OrdersTable[[#This Row],[Product ID]],Products!A:A,0))</f>
        <v>Footwear</v>
      </c>
      <c r="P2142">
        <v>1</v>
      </c>
      <c r="Q2142" s="5">
        <v>999</v>
      </c>
      <c r="R2142" s="74">
        <v>0.05</v>
      </c>
      <c r="S2142" s="75">
        <f>OrdersTable[[#This Row],[Quantity]]*OrdersTable[[#This Row],[Unit Price]]</f>
        <v>999</v>
      </c>
      <c r="T2142" s="5">
        <f>OrdersTable[[#This Row],[Gross Sale]]*OrdersTable[[#This Row],[Discount_Clean2]]</f>
        <v>49.95</v>
      </c>
      <c r="U2142" s="5">
        <f>OrdersTable[[#This Row],[Gross Sale]]-OrdersTable[[#This Row],[Discount Amount]]</f>
        <v>949.05</v>
      </c>
      <c r="V2142" s="77">
        <f>INDEX(Products!E:E,MATCH(OrdersTable[[#This Row],[Product ID]],Products!A:A,0))</f>
        <v>400</v>
      </c>
      <c r="W2142" s="77">
        <f>OrdersTable[[#This Row],[Quantity]]*OrdersTable[[#This Row],[Unit Cost]]</f>
        <v>400</v>
      </c>
      <c r="X2142" s="77">
        <f>'Dropdown Lists'!$I$2*(1+OrdersTable[[#This Row],[Returned]])</f>
        <v>60</v>
      </c>
      <c r="Y2142" s="76">
        <f>OrdersTable[[#This Row],[Net Revenue]]-OrdersTable[[#This Row],[COGS]]-OrdersTable[[#This Row],[Shipping Cost]]</f>
        <v>489.04999999999995</v>
      </c>
      <c r="Z2142" s="78">
        <f>IFERROR(OrdersTable[[#This Row],[Profit]]/OrdersTable[[#This Row],[Net Revenue]],0)</f>
        <v>0.5153047784626732</v>
      </c>
      <c r="AA2142" t="s">
        <v>18</v>
      </c>
      <c r="AB2142" s="79">
        <v>45662</v>
      </c>
      <c r="AC2142">
        <f>OrdersTable[[#This Row],[Delivery Date]]-OrdersTable[[#This Row],[Order Date]]</f>
        <v>2</v>
      </c>
      <c r="AD2142" t="str">
        <f>IF(OrdersTable[[#This Row],[Delivery Days]]&lt;=2, "Express (≤2d)", IF(OrdersTable[[#This Row],[Delivery Days]]&lt;=4, "Standard (3-4d)", "Delayed (5d+)"))</f>
        <v>Express (≤2d)</v>
      </c>
      <c r="AF2142">
        <v>0</v>
      </c>
    </row>
    <row r="2143" spans="1:32" ht="15" x14ac:dyDescent="0.35">
      <c r="A2143" t="s">
        <v>6550</v>
      </c>
      <c r="B2143" s="1">
        <v>45660</v>
      </c>
      <c r="C2143">
        <f>YEAR(OrdersTable[[#This Row],[Order Date]])</f>
        <v>2025</v>
      </c>
      <c r="D2143" s="2">
        <f>DATE(YEAR(OrdersTable[[#This Row],[Order Date]]),MONTH(OrdersTable[[#This Row],[Order Date]]),1)</f>
        <v>45658</v>
      </c>
      <c r="E2143">
        <f>MONTH(OrdersTable[[#This Row],[Order Date]])</f>
        <v>1</v>
      </c>
      <c r="F2143" t="s">
        <v>6551</v>
      </c>
      <c r="G2143" t="str">
        <f>IF(OrdersTable[[#This Row],[Order Date]]=_xlfn.MINIFS(Order_Date, Customer_ID, OrdersTable[[#This Row],[Customer ID]]), "New", "Repeat")</f>
        <v>New</v>
      </c>
      <c r="H2143" t="s">
        <v>123</v>
      </c>
      <c r="I2143" t="str">
        <f>INDEX(State!B:B,MATCH(OrdersTable[[#This Row],[State]],State!A:A,0))</f>
        <v>JH</v>
      </c>
      <c r="J2143" t="str">
        <f>INDEX(State!C:C,MATCH(OrdersTable[[#This Row],[State Code]],State!B:B,0))</f>
        <v>East</v>
      </c>
      <c r="K2143" t="s">
        <v>124</v>
      </c>
      <c r="L2143" t="s">
        <v>16</v>
      </c>
      <c r="M2143" t="s">
        <v>576</v>
      </c>
      <c r="N2143" t="str">
        <f>INDEX(Products!B:B,MATCH(OrdersTable[[#This Row],[Product ID]],Products!A:A,0))</f>
        <v>Printed Saree</v>
      </c>
      <c r="O2143" t="str">
        <f>INDEX(Products!C:C,MATCH(OrdersTable[[#This Row],[Product ID]],Products!A:A,0))</f>
        <v>Apparel</v>
      </c>
      <c r="P2143">
        <v>3</v>
      </c>
      <c r="Q2143" s="5">
        <v>1999</v>
      </c>
      <c r="R2143" s="74">
        <v>0.05</v>
      </c>
      <c r="S2143" s="75">
        <f>OrdersTable[[#This Row],[Quantity]]*OrdersTable[[#This Row],[Unit Price]]</f>
        <v>5997</v>
      </c>
      <c r="T2143" s="5">
        <f>OrdersTable[[#This Row],[Gross Sale]]*OrdersTable[[#This Row],[Discount_Clean2]]</f>
        <v>299.85000000000002</v>
      </c>
      <c r="U2143" s="5">
        <f>OrdersTable[[#This Row],[Gross Sale]]-OrdersTable[[#This Row],[Discount Amount]]</f>
        <v>5697.15</v>
      </c>
      <c r="V2143" s="77">
        <f>INDEX(Products!E:E,MATCH(OrdersTable[[#This Row],[Product ID]],Products!A:A,0))</f>
        <v>880</v>
      </c>
      <c r="W2143" s="77">
        <f>OrdersTable[[#This Row],[Quantity]]*OrdersTable[[#This Row],[Unit Cost]]</f>
        <v>2640</v>
      </c>
      <c r="X2143" s="77">
        <f>'Dropdown Lists'!$I$2*(1+OrdersTable[[#This Row],[Returned]])</f>
        <v>60</v>
      </c>
      <c r="Y2143" s="76">
        <f>OrdersTable[[#This Row],[Net Revenue]]-OrdersTable[[#This Row],[COGS]]-OrdersTable[[#This Row],[Shipping Cost]]</f>
        <v>2997.1499999999996</v>
      </c>
      <c r="Z2143" s="78">
        <f>IFERROR(OrdersTable[[#This Row],[Profit]]/OrdersTable[[#This Row],[Net Revenue]],0)</f>
        <v>0.52607882888812829</v>
      </c>
      <c r="AA2143" t="s">
        <v>18</v>
      </c>
      <c r="AB2143" s="79">
        <v>45665</v>
      </c>
      <c r="AC2143">
        <f>OrdersTable[[#This Row],[Delivery Date]]-OrdersTable[[#This Row],[Order Date]]</f>
        <v>5</v>
      </c>
      <c r="AD2143" t="str">
        <f>IF(OrdersTable[[#This Row],[Delivery Days]]&lt;=2, "Express (≤2d)", IF(OrdersTable[[#This Row],[Delivery Days]]&lt;=4, "Standard (3-4d)", "Delayed (5d+)"))</f>
        <v>Delayed (5d+)</v>
      </c>
      <c r="AE2143">
        <v>5</v>
      </c>
      <c r="AF2143">
        <v>0</v>
      </c>
    </row>
    <row r="2144" spans="1:32" ht="15" x14ac:dyDescent="0.35">
      <c r="A2144" t="s">
        <v>6338</v>
      </c>
      <c r="B2144" s="1">
        <v>45660</v>
      </c>
      <c r="C2144">
        <f>YEAR(OrdersTable[[#This Row],[Order Date]])</f>
        <v>2025</v>
      </c>
      <c r="D2144" s="2">
        <f>DATE(YEAR(OrdersTable[[#This Row],[Order Date]]),MONTH(OrdersTable[[#This Row],[Order Date]]),1)</f>
        <v>45658</v>
      </c>
      <c r="E2144">
        <f>MONTH(OrdersTable[[#This Row],[Order Date]])</f>
        <v>1</v>
      </c>
      <c r="F2144" t="s">
        <v>1729</v>
      </c>
      <c r="G2144" t="str">
        <f>IF(OrdersTable[[#This Row],[Order Date]]=_xlfn.MINIFS(Order_Date, Customer_ID, OrdersTable[[#This Row],[Customer ID]]), "New", "Repeat")</f>
        <v>Repeat</v>
      </c>
      <c r="H2144" t="s">
        <v>27</v>
      </c>
      <c r="I2144" t="str">
        <f>INDEX(State!B:B,MATCH(OrdersTable[[#This Row],[State]],State!A:A,0))</f>
        <v>WB</v>
      </c>
      <c r="J2144" t="str">
        <f>INDEX(State!C:C,MATCH(OrdersTable[[#This Row],[State Code]],State!B:B,0))</f>
        <v>East</v>
      </c>
      <c r="K2144" t="s">
        <v>28</v>
      </c>
      <c r="L2144" t="s">
        <v>50</v>
      </c>
      <c r="M2144" t="s">
        <v>152</v>
      </c>
      <c r="N2144" t="str">
        <f>INDEX(Products!B:B,MATCH(OrdersTable[[#This Row],[Product ID]],Products!A:A,0))</f>
        <v>Green Tea (100 bags)</v>
      </c>
      <c r="O2144" t="str">
        <f>INDEX(Products!C:C,MATCH(OrdersTable[[#This Row],[Product ID]],Products!A:A,0))</f>
        <v>Wellness</v>
      </c>
      <c r="P2144">
        <v>2</v>
      </c>
      <c r="Q2144" s="5">
        <v>399</v>
      </c>
      <c r="R2144" s="74">
        <v>0.4</v>
      </c>
      <c r="S2144" s="75">
        <f>OrdersTable[[#This Row],[Quantity]]*OrdersTable[[#This Row],[Unit Price]]</f>
        <v>798</v>
      </c>
      <c r="T2144" s="5">
        <f>OrdersTable[[#This Row],[Gross Sale]]*OrdersTable[[#This Row],[Discount_Clean2]]</f>
        <v>319.20000000000005</v>
      </c>
      <c r="U2144" s="5">
        <f>OrdersTable[[#This Row],[Gross Sale]]-OrdersTable[[#This Row],[Discount Amount]]</f>
        <v>478.79999999999995</v>
      </c>
      <c r="V2144" s="77">
        <f>INDEX(Products!E:E,MATCH(OrdersTable[[#This Row],[Product ID]],Products!A:A,0))</f>
        <v>128</v>
      </c>
      <c r="W2144" s="77">
        <f>OrdersTable[[#This Row],[Quantity]]*OrdersTable[[#This Row],[Unit Cost]]</f>
        <v>256</v>
      </c>
      <c r="X2144" s="77">
        <f>'Dropdown Lists'!$I$2*(1+OrdersTable[[#This Row],[Returned]])</f>
        <v>60</v>
      </c>
      <c r="Y2144" s="76">
        <f>OrdersTable[[#This Row],[Net Revenue]]-OrdersTable[[#This Row],[COGS]]-OrdersTable[[#This Row],[Shipping Cost]]</f>
        <v>162.79999999999995</v>
      </c>
      <c r="Z2144" s="78">
        <f>IFERROR(OrdersTable[[#This Row],[Profit]]/OrdersTable[[#This Row],[Net Revenue]],0)</f>
        <v>0.34001670843776099</v>
      </c>
      <c r="AA2144" t="s">
        <v>18</v>
      </c>
      <c r="AB2144" s="79">
        <v>45662</v>
      </c>
      <c r="AC2144">
        <f>OrdersTable[[#This Row],[Delivery Date]]-OrdersTable[[#This Row],[Order Date]]</f>
        <v>2</v>
      </c>
      <c r="AD2144" t="str">
        <f>IF(OrdersTable[[#This Row],[Delivery Days]]&lt;=2, "Express (≤2d)", IF(OrdersTable[[#This Row],[Delivery Days]]&lt;=4, "Standard (3-4d)", "Delayed (5d+)"))</f>
        <v>Express (≤2d)</v>
      </c>
      <c r="AF2144">
        <v>0</v>
      </c>
    </row>
    <row r="2145" spans="1:32" ht="15" x14ac:dyDescent="0.35">
      <c r="A2145" t="s">
        <v>4266</v>
      </c>
      <c r="B2145" s="1">
        <v>45660</v>
      </c>
      <c r="C2145">
        <f>YEAR(OrdersTable[[#This Row],[Order Date]])</f>
        <v>2025</v>
      </c>
      <c r="D2145" s="2">
        <f>DATE(YEAR(OrdersTable[[#This Row],[Order Date]]),MONTH(OrdersTable[[#This Row],[Order Date]]),1)</f>
        <v>45658</v>
      </c>
      <c r="E2145">
        <f>MONTH(OrdersTable[[#This Row],[Order Date]])</f>
        <v>1</v>
      </c>
      <c r="F2145" t="s">
        <v>2094</v>
      </c>
      <c r="G2145" t="str">
        <f>IF(OrdersTable[[#This Row],[Order Date]]=_xlfn.MINIFS(Order_Date, Customer_ID, OrdersTable[[#This Row],[Customer ID]]), "New", "Repeat")</f>
        <v>Repeat</v>
      </c>
      <c r="H2145" t="s">
        <v>95</v>
      </c>
      <c r="I2145" t="str">
        <f>INDEX(State!B:B,MATCH(OrdersTable[[#This Row],[State]],State!A:A,0))</f>
        <v>TG</v>
      </c>
      <c r="J2145" t="str">
        <f>INDEX(State!C:C,MATCH(OrdersTable[[#This Row],[State Code]],State!B:B,0))</f>
        <v>South</v>
      </c>
      <c r="K2145" t="s">
        <v>96</v>
      </c>
      <c r="L2145" t="s">
        <v>16</v>
      </c>
      <c r="M2145" t="s">
        <v>255</v>
      </c>
      <c r="N2145" t="str">
        <f>INDEX(Products!B:B,MATCH(OrdersTable[[#This Row],[Product ID]],Products!A:A,0))</f>
        <v>Cotton Oversized T-Shirt</v>
      </c>
      <c r="O2145" t="str">
        <f>INDEX(Products!C:C,MATCH(OrdersTable[[#This Row],[Product ID]],Products!A:A,0))</f>
        <v>Apparel</v>
      </c>
      <c r="P2145">
        <v>1</v>
      </c>
      <c r="Q2145" s="5">
        <v>799</v>
      </c>
      <c r="R2145" s="74">
        <v>0</v>
      </c>
      <c r="S2145" s="75">
        <f>OrdersTable[[#This Row],[Quantity]]*OrdersTable[[#This Row],[Unit Price]]</f>
        <v>799</v>
      </c>
      <c r="T2145" s="5">
        <f>OrdersTable[[#This Row],[Gross Sale]]*OrdersTable[[#This Row],[Discount_Clean2]]</f>
        <v>0</v>
      </c>
      <c r="U2145" s="5">
        <f>OrdersTable[[#This Row],[Gross Sale]]-OrdersTable[[#This Row],[Discount Amount]]</f>
        <v>799</v>
      </c>
      <c r="V2145" s="77">
        <f>INDEX(Products!E:E,MATCH(OrdersTable[[#This Row],[Product ID]],Products!A:A,0))</f>
        <v>320</v>
      </c>
      <c r="W2145" s="77">
        <f>OrdersTable[[#This Row],[Quantity]]*OrdersTable[[#This Row],[Unit Cost]]</f>
        <v>320</v>
      </c>
      <c r="X2145" s="77">
        <f>'Dropdown Lists'!$I$2*(1+OrdersTable[[#This Row],[Returned]])</f>
        <v>60</v>
      </c>
      <c r="Y2145" s="76">
        <f>OrdersTable[[#This Row],[Net Revenue]]-OrdersTable[[#This Row],[COGS]]-OrdersTable[[#This Row],[Shipping Cost]]</f>
        <v>419</v>
      </c>
      <c r="Z2145" s="78">
        <f>IFERROR(OrdersTable[[#This Row],[Profit]]/OrdersTable[[#This Row],[Net Revenue]],0)</f>
        <v>0.52440550688360454</v>
      </c>
      <c r="AA2145" t="s">
        <v>4074</v>
      </c>
      <c r="AB2145" s="79">
        <v>45661</v>
      </c>
      <c r="AC2145">
        <f>OrdersTable[[#This Row],[Delivery Date]]-OrdersTable[[#This Row],[Order Date]]</f>
        <v>1</v>
      </c>
      <c r="AD2145" t="str">
        <f>IF(OrdersTable[[#This Row],[Delivery Days]]&lt;=2, "Express (≤2d)", IF(OrdersTable[[#This Row],[Delivery Days]]&lt;=4, "Standard (3-4d)", "Delayed (5d+)"))</f>
        <v>Express (≤2d)</v>
      </c>
      <c r="AF2145">
        <v>0</v>
      </c>
    </row>
    <row r="2146" spans="1:32" ht="15" x14ac:dyDescent="0.35">
      <c r="A2146" t="s">
        <v>1528</v>
      </c>
      <c r="B2146" s="1">
        <v>45660</v>
      </c>
      <c r="C2146">
        <f>YEAR(OrdersTable[[#This Row],[Order Date]])</f>
        <v>2025</v>
      </c>
      <c r="D2146" s="2">
        <f>DATE(YEAR(OrdersTable[[#This Row],[Order Date]]),MONTH(OrdersTable[[#This Row],[Order Date]]),1)</f>
        <v>45658</v>
      </c>
      <c r="E2146">
        <f>MONTH(OrdersTable[[#This Row],[Order Date]])</f>
        <v>1</v>
      </c>
      <c r="F2146" t="s">
        <v>897</v>
      </c>
      <c r="G2146" t="str">
        <f>IF(OrdersTable[[#This Row],[Order Date]]=_xlfn.MINIFS(Order_Date, Customer_ID, OrdersTable[[#This Row],[Customer ID]]), "New", "Repeat")</f>
        <v>Repeat</v>
      </c>
      <c r="H2146" t="s">
        <v>167</v>
      </c>
      <c r="I2146" t="str">
        <f>INDEX(State!B:B,MATCH(OrdersTable[[#This Row],[State]],State!A:A,0))</f>
        <v>KA</v>
      </c>
      <c r="J2146" t="str">
        <f>INDEX(State!C:C,MATCH(OrdersTable[[#This Row],[State Code]],State!B:B,0))</f>
        <v>South</v>
      </c>
      <c r="K2146" t="s">
        <v>168</v>
      </c>
      <c r="L2146" t="s">
        <v>39</v>
      </c>
      <c r="M2146" t="s">
        <v>125</v>
      </c>
      <c r="N2146" t="str">
        <f>INDEX(Products!B:B,MATCH(OrdersTable[[#This Row],[Product ID]],Products!A:A,0))</f>
        <v>Copper Water Bottle</v>
      </c>
      <c r="O2146" t="str">
        <f>INDEX(Products!C:C,MATCH(OrdersTable[[#This Row],[Product ID]],Products!A:A,0))</f>
        <v>Home &amp; Kitchen</v>
      </c>
      <c r="P2146">
        <v>1</v>
      </c>
      <c r="Q2146" s="5">
        <v>899</v>
      </c>
      <c r="R2146" s="74">
        <v>0</v>
      </c>
      <c r="S2146" s="75">
        <f>OrdersTable[[#This Row],[Quantity]]*OrdersTable[[#This Row],[Unit Price]]</f>
        <v>899</v>
      </c>
      <c r="T2146" s="5">
        <f>OrdersTable[[#This Row],[Gross Sale]]*OrdersTable[[#This Row],[Discount_Clean2]]</f>
        <v>0</v>
      </c>
      <c r="U2146" s="5">
        <f>OrdersTable[[#This Row],[Gross Sale]]-OrdersTable[[#This Row],[Discount Amount]]</f>
        <v>899</v>
      </c>
      <c r="V2146" s="77">
        <f>INDEX(Products!E:E,MATCH(OrdersTable[[#This Row],[Product ID]],Products!A:A,0))</f>
        <v>378</v>
      </c>
      <c r="W2146" s="77">
        <f>OrdersTable[[#This Row],[Quantity]]*OrdersTable[[#This Row],[Unit Cost]]</f>
        <v>378</v>
      </c>
      <c r="X2146" s="77">
        <f>'Dropdown Lists'!$I$2*(1+OrdersTable[[#This Row],[Returned]])</f>
        <v>60</v>
      </c>
      <c r="Y2146" s="76">
        <f>OrdersTable[[#This Row],[Net Revenue]]-OrdersTable[[#This Row],[COGS]]-OrdersTable[[#This Row],[Shipping Cost]]</f>
        <v>461</v>
      </c>
      <c r="Z2146" s="78">
        <f>IFERROR(OrdersTable[[#This Row],[Profit]]/OrdersTable[[#This Row],[Net Revenue]],0)</f>
        <v>0.51279199110122353</v>
      </c>
      <c r="AA2146" t="s">
        <v>18</v>
      </c>
      <c r="AB2146" s="79">
        <v>45663</v>
      </c>
      <c r="AC2146">
        <f>OrdersTable[[#This Row],[Delivery Date]]-OrdersTable[[#This Row],[Order Date]]</f>
        <v>3</v>
      </c>
      <c r="AD2146" t="str">
        <f>IF(OrdersTable[[#This Row],[Delivery Days]]&lt;=2, "Express (≤2d)", IF(OrdersTable[[#This Row],[Delivery Days]]&lt;=4, "Standard (3-4d)", "Delayed (5d+)"))</f>
        <v>Standard (3-4d)</v>
      </c>
      <c r="AF2146">
        <v>0</v>
      </c>
    </row>
    <row r="2147" spans="1:32" ht="15" x14ac:dyDescent="0.35">
      <c r="A2147" t="s">
        <v>5164</v>
      </c>
      <c r="B2147" s="1">
        <v>45660</v>
      </c>
      <c r="C2147">
        <f>YEAR(OrdersTable[[#This Row],[Order Date]])</f>
        <v>2025</v>
      </c>
      <c r="D2147" s="2">
        <f>DATE(YEAR(OrdersTable[[#This Row],[Order Date]]),MONTH(OrdersTable[[#This Row],[Order Date]]),1)</f>
        <v>45658</v>
      </c>
      <c r="E2147">
        <f>MONTH(OrdersTable[[#This Row],[Order Date]])</f>
        <v>1</v>
      </c>
      <c r="F2147" t="s">
        <v>2969</v>
      </c>
      <c r="G2147" t="str">
        <f>IF(OrdersTable[[#This Row],[Order Date]]=_xlfn.MINIFS(Order_Date, Customer_ID, OrdersTable[[#This Row],[Customer ID]]), "New", "Repeat")</f>
        <v>Repeat</v>
      </c>
      <c r="H2147" t="s">
        <v>167</v>
      </c>
      <c r="I2147" t="str">
        <f>INDEX(State!B:B,MATCH(OrdersTable[[#This Row],[State]],State!A:A,0))</f>
        <v>KA</v>
      </c>
      <c r="J2147" t="str">
        <f>INDEX(State!C:C,MATCH(OrdersTable[[#This Row],[State Code]],State!B:B,0))</f>
        <v>South</v>
      </c>
      <c r="K2147" t="s">
        <v>190</v>
      </c>
      <c r="L2147" t="s">
        <v>65</v>
      </c>
      <c r="M2147" t="s">
        <v>109</v>
      </c>
      <c r="N2147" t="str">
        <f>INDEX(Products!B:B,MATCH(OrdersTable[[#This Row],[Product ID]],Products!A:A,0))</f>
        <v>Onion Hair Oil</v>
      </c>
      <c r="O2147" t="str">
        <f>INDEX(Products!C:C,MATCH(OrdersTable[[#This Row],[Product ID]],Products!A:A,0))</f>
        <v>Haircare</v>
      </c>
      <c r="P2147">
        <v>2</v>
      </c>
      <c r="Q2147" s="5">
        <v>349</v>
      </c>
      <c r="R2147" s="74">
        <v>0.3</v>
      </c>
      <c r="S2147" s="75">
        <f>OrdersTable[[#This Row],[Quantity]]*OrdersTable[[#This Row],[Unit Price]]</f>
        <v>698</v>
      </c>
      <c r="T2147" s="5">
        <f>OrdersTable[[#This Row],[Gross Sale]]*OrdersTable[[#This Row],[Discount_Clean2]]</f>
        <v>209.4</v>
      </c>
      <c r="U2147" s="5">
        <f>OrdersTable[[#This Row],[Gross Sale]]-OrdersTable[[#This Row],[Discount Amount]]</f>
        <v>488.6</v>
      </c>
      <c r="V2147" s="77">
        <f>INDEX(Products!E:E,MATCH(OrdersTable[[#This Row],[Product ID]],Products!A:A,0))</f>
        <v>105</v>
      </c>
      <c r="W2147" s="77">
        <f>OrdersTable[[#This Row],[Quantity]]*OrdersTable[[#This Row],[Unit Cost]]</f>
        <v>210</v>
      </c>
      <c r="X2147" s="77">
        <f>'Dropdown Lists'!$I$2*(1+OrdersTable[[#This Row],[Returned]])</f>
        <v>60</v>
      </c>
      <c r="Y2147" s="76">
        <f>OrdersTable[[#This Row],[Net Revenue]]-OrdersTable[[#This Row],[COGS]]-OrdersTable[[#This Row],[Shipping Cost]]</f>
        <v>218.60000000000002</v>
      </c>
      <c r="Z2147" s="78">
        <f>IFERROR(OrdersTable[[#This Row],[Profit]]/OrdersTable[[#This Row],[Net Revenue]],0)</f>
        <v>0.44740073679901765</v>
      </c>
      <c r="AA2147" t="s">
        <v>3495</v>
      </c>
      <c r="AB2147" s="79">
        <v>45661</v>
      </c>
      <c r="AC2147">
        <f>OrdersTable[[#This Row],[Delivery Date]]-OrdersTable[[#This Row],[Order Date]]</f>
        <v>1</v>
      </c>
      <c r="AD2147" t="str">
        <f>IF(OrdersTable[[#This Row],[Delivery Days]]&lt;=2, "Express (≤2d)", IF(OrdersTable[[#This Row],[Delivery Days]]&lt;=4, "Standard (3-4d)", "Delayed (5d+)"))</f>
        <v>Express (≤2d)</v>
      </c>
      <c r="AE2147">
        <v>4</v>
      </c>
      <c r="AF2147">
        <v>0</v>
      </c>
    </row>
    <row r="2148" spans="1:32" ht="15" x14ac:dyDescent="0.35">
      <c r="A2148" t="s">
        <v>6702</v>
      </c>
      <c r="B2148" s="1">
        <v>45661</v>
      </c>
      <c r="C2148">
        <f>YEAR(OrdersTable[[#This Row],[Order Date]])</f>
        <v>2025</v>
      </c>
      <c r="D2148" s="2">
        <f>DATE(YEAR(OrdersTable[[#This Row],[Order Date]]),MONTH(OrdersTable[[#This Row],[Order Date]]),1)</f>
        <v>45658</v>
      </c>
      <c r="E2148">
        <f>MONTH(OrdersTable[[#This Row],[Order Date]])</f>
        <v>1</v>
      </c>
      <c r="F2148" t="s">
        <v>6703</v>
      </c>
      <c r="G2148" t="str">
        <f>IF(OrdersTable[[#This Row],[Order Date]]=_xlfn.MINIFS(Order_Date, Customer_ID, OrdersTable[[#This Row],[Customer ID]]), "New", "Repeat")</f>
        <v>New</v>
      </c>
      <c r="H2148" t="s">
        <v>132</v>
      </c>
      <c r="I2148" t="str">
        <f>INDEX(State!B:B,MATCH(OrdersTable[[#This Row],[State]],State!A:A,0))</f>
        <v>AS</v>
      </c>
      <c r="J2148" t="str">
        <f>INDEX(State!C:C,MATCH(OrdersTable[[#This Row],[State Code]],State!B:B,0))</f>
        <v>East</v>
      </c>
      <c r="K2148" t="s">
        <v>133</v>
      </c>
      <c r="L2148" t="s">
        <v>39</v>
      </c>
      <c r="M2148" t="s">
        <v>84</v>
      </c>
      <c r="N2148" t="str">
        <f>INDEX(Products!B:B,MATCH(OrdersTable[[#This Row],[Product ID]],Products!A:A,0))</f>
        <v>Cotton Bedsheet</v>
      </c>
      <c r="O2148" t="str">
        <f>INDEX(Products!C:C,MATCH(OrdersTable[[#This Row],[Product ID]],Products!A:A,0))</f>
        <v>Home &amp; Kitchen</v>
      </c>
      <c r="P2148">
        <v>3</v>
      </c>
      <c r="Q2148" s="5">
        <v>1299</v>
      </c>
      <c r="R2148" s="74">
        <v>0</v>
      </c>
      <c r="S2148" s="75">
        <f>OrdersTable[[#This Row],[Quantity]]*OrdersTable[[#This Row],[Unit Price]]</f>
        <v>3897</v>
      </c>
      <c r="T2148" s="5">
        <f>OrdersTable[[#This Row],[Gross Sale]]*OrdersTable[[#This Row],[Discount_Clean2]]</f>
        <v>0</v>
      </c>
      <c r="U2148" s="5">
        <f>OrdersTable[[#This Row],[Gross Sale]]-OrdersTable[[#This Row],[Discount Amount]]</f>
        <v>3897</v>
      </c>
      <c r="V2148" s="77">
        <f>INDEX(Products!E:E,MATCH(OrdersTable[[#This Row],[Product ID]],Products!A:A,0))</f>
        <v>585</v>
      </c>
      <c r="W2148" s="77">
        <f>OrdersTable[[#This Row],[Quantity]]*OrdersTable[[#This Row],[Unit Cost]]</f>
        <v>1755</v>
      </c>
      <c r="X2148" s="77">
        <f>'Dropdown Lists'!$I$2*(1+OrdersTable[[#This Row],[Returned]])</f>
        <v>60</v>
      </c>
      <c r="Y2148" s="76">
        <f>OrdersTable[[#This Row],[Net Revenue]]-OrdersTable[[#This Row],[COGS]]-OrdersTable[[#This Row],[Shipping Cost]]</f>
        <v>2082</v>
      </c>
      <c r="Z2148" s="78">
        <f>IFERROR(OrdersTable[[#This Row],[Profit]]/OrdersTable[[#This Row],[Net Revenue]],0)</f>
        <v>0.53425712086220167</v>
      </c>
      <c r="AA2148" t="s">
        <v>2522</v>
      </c>
      <c r="AB2148" s="79">
        <v>45666</v>
      </c>
      <c r="AC2148">
        <f>OrdersTable[[#This Row],[Delivery Date]]-OrdersTable[[#This Row],[Order Date]]</f>
        <v>5</v>
      </c>
      <c r="AD2148" t="str">
        <f>IF(OrdersTable[[#This Row],[Delivery Days]]&lt;=2, "Express (≤2d)", IF(OrdersTable[[#This Row],[Delivery Days]]&lt;=4, "Standard (3-4d)", "Delayed (5d+)"))</f>
        <v>Delayed (5d+)</v>
      </c>
      <c r="AE2148">
        <v>4</v>
      </c>
      <c r="AF2148">
        <v>0</v>
      </c>
    </row>
    <row r="2149" spans="1:32" ht="15" x14ac:dyDescent="0.35">
      <c r="A2149" t="s">
        <v>6339</v>
      </c>
      <c r="B2149" s="1">
        <v>45661</v>
      </c>
      <c r="C2149">
        <f>YEAR(OrdersTable[[#This Row],[Order Date]])</f>
        <v>2025</v>
      </c>
      <c r="D2149" s="2">
        <f>DATE(YEAR(OrdersTable[[#This Row],[Order Date]]),MONTH(OrdersTable[[#This Row],[Order Date]]),1)</f>
        <v>45658</v>
      </c>
      <c r="E2149">
        <f>MONTH(OrdersTable[[#This Row],[Order Date]])</f>
        <v>1</v>
      </c>
      <c r="F2149" t="s">
        <v>80</v>
      </c>
      <c r="G2149" t="str">
        <f>IF(OrdersTable[[#This Row],[Order Date]]=_xlfn.MINIFS(Order_Date, Customer_ID, OrdersTable[[#This Row],[Customer ID]]), "New", "Repeat")</f>
        <v>Repeat</v>
      </c>
      <c r="H2149" t="s">
        <v>482</v>
      </c>
      <c r="I2149" t="str">
        <f>INDEX(State!B:B,MATCH(OrdersTable[[#This Row],[State]],State!A:A,0))</f>
        <v>CG</v>
      </c>
      <c r="J2149" t="str">
        <f>INDEX(State!C:C,MATCH(OrdersTable[[#This Row],[State Code]],State!B:B,0))</f>
        <v>East</v>
      </c>
      <c r="K2149" t="s">
        <v>483</v>
      </c>
      <c r="L2149" t="s">
        <v>65</v>
      </c>
      <c r="M2149" t="s">
        <v>34</v>
      </c>
      <c r="N2149" t="str">
        <f>INDEX(Products!B:B,MATCH(OrdersTable[[#This Row],[Product ID]],Products!A:A,0))</f>
        <v>Flip Flops</v>
      </c>
      <c r="O2149" t="str">
        <f>INDEX(Products!C:C,MATCH(OrdersTable[[#This Row],[Product ID]],Products!A:A,0))</f>
        <v>Footwear</v>
      </c>
      <c r="P2149">
        <v>2</v>
      </c>
      <c r="Q2149" s="5">
        <v>399</v>
      </c>
      <c r="R2149" s="74">
        <v>0.05</v>
      </c>
      <c r="S2149" s="75">
        <f>OrdersTable[[#This Row],[Quantity]]*OrdersTable[[#This Row],[Unit Price]]</f>
        <v>798</v>
      </c>
      <c r="T2149" s="5">
        <f>OrdersTable[[#This Row],[Gross Sale]]*OrdersTable[[#This Row],[Discount_Clean2]]</f>
        <v>39.900000000000006</v>
      </c>
      <c r="U2149" s="5">
        <f>OrdersTable[[#This Row],[Gross Sale]]-OrdersTable[[#This Row],[Discount Amount]]</f>
        <v>758.1</v>
      </c>
      <c r="V2149" s="77">
        <f>INDEX(Products!E:E,MATCH(OrdersTable[[#This Row],[Product ID]],Products!A:A,0))</f>
        <v>152</v>
      </c>
      <c r="W2149" s="77">
        <f>OrdersTable[[#This Row],[Quantity]]*OrdersTable[[#This Row],[Unit Cost]]</f>
        <v>304</v>
      </c>
      <c r="X2149" s="77">
        <f>'Dropdown Lists'!$I$2*(1+OrdersTable[[#This Row],[Returned]])</f>
        <v>120</v>
      </c>
      <c r="Y2149" s="76">
        <f>OrdersTable[[#This Row],[Net Revenue]]-OrdersTable[[#This Row],[COGS]]-OrdersTable[[#This Row],[Shipping Cost]]</f>
        <v>334.1</v>
      </c>
      <c r="Z2149" s="78">
        <f>IFERROR(OrdersTable[[#This Row],[Profit]]/OrdersTable[[#This Row],[Net Revenue]],0)</f>
        <v>0.44070703073473161</v>
      </c>
      <c r="AA2149" t="s">
        <v>18</v>
      </c>
      <c r="AB2149" s="79">
        <v>45665</v>
      </c>
      <c r="AC2149">
        <f>OrdersTable[[#This Row],[Delivery Date]]-OrdersTable[[#This Row],[Order Date]]</f>
        <v>4</v>
      </c>
      <c r="AD2149" t="str">
        <f>IF(OrdersTable[[#This Row],[Delivery Days]]&lt;=2, "Express (≤2d)", IF(OrdersTable[[#This Row],[Delivery Days]]&lt;=4, "Standard (3-4d)", "Delayed (5d+)"))</f>
        <v>Standard (3-4d)</v>
      </c>
      <c r="AE2149">
        <v>3</v>
      </c>
      <c r="AF2149">
        <v>1</v>
      </c>
    </row>
    <row r="2150" spans="1:32" ht="15" x14ac:dyDescent="0.35">
      <c r="A2150" t="s">
        <v>2130</v>
      </c>
      <c r="B2150" s="1">
        <v>45661</v>
      </c>
      <c r="C2150">
        <f>YEAR(OrdersTable[[#This Row],[Order Date]])</f>
        <v>2025</v>
      </c>
      <c r="D2150" s="2">
        <f>DATE(YEAR(OrdersTable[[#This Row],[Order Date]]),MONTH(OrdersTable[[#This Row],[Order Date]]),1)</f>
        <v>45658</v>
      </c>
      <c r="E2150">
        <f>MONTH(OrdersTable[[#This Row],[Order Date]])</f>
        <v>1</v>
      </c>
      <c r="F2150" t="s">
        <v>2131</v>
      </c>
      <c r="G2150" t="str">
        <f>IF(OrdersTable[[#This Row],[Order Date]]=_xlfn.MINIFS(Order_Date, Customer_ID, OrdersTable[[#This Row],[Customer ID]]), "New", "Repeat")</f>
        <v>Repeat</v>
      </c>
      <c r="H2150" t="s">
        <v>167</v>
      </c>
      <c r="I2150" t="str">
        <f>INDEX(State!B:B,MATCH(OrdersTable[[#This Row],[State]],State!A:A,0))</f>
        <v>KA</v>
      </c>
      <c r="J2150" t="str">
        <f>INDEX(State!C:C,MATCH(OrdersTable[[#This Row],[State Code]],State!B:B,0))</f>
        <v>South</v>
      </c>
      <c r="K2150" t="s">
        <v>190</v>
      </c>
      <c r="L2150" t="s">
        <v>65</v>
      </c>
      <c r="M2150" t="s">
        <v>24</v>
      </c>
      <c r="N2150" t="str">
        <f>INDEX(Products!B:B,MATCH(OrdersTable[[#This Row],[Product ID]],Products!A:A,0))</f>
        <v>Scented Candle Set</v>
      </c>
      <c r="O2150" t="str">
        <f>INDEX(Products!C:C,MATCH(OrdersTable[[#This Row],[Product ID]],Products!A:A,0))</f>
        <v>Home &amp; Kitchen</v>
      </c>
      <c r="P2150">
        <v>1</v>
      </c>
      <c r="Q2150" s="5">
        <v>699</v>
      </c>
      <c r="R2150" s="74">
        <v>0.25</v>
      </c>
      <c r="S2150" s="75">
        <f>OrdersTable[[#This Row],[Quantity]]*OrdersTable[[#This Row],[Unit Price]]</f>
        <v>699</v>
      </c>
      <c r="T2150" s="5">
        <f>OrdersTable[[#This Row],[Gross Sale]]*OrdersTable[[#This Row],[Discount_Clean2]]</f>
        <v>174.75</v>
      </c>
      <c r="U2150" s="5">
        <f>OrdersTable[[#This Row],[Gross Sale]]-OrdersTable[[#This Row],[Discount Amount]]</f>
        <v>524.25</v>
      </c>
      <c r="V2150" s="77">
        <f>INDEX(Products!E:E,MATCH(OrdersTable[[#This Row],[Product ID]],Products!A:A,0))</f>
        <v>245</v>
      </c>
      <c r="W2150" s="77">
        <f>OrdersTable[[#This Row],[Quantity]]*OrdersTable[[#This Row],[Unit Cost]]</f>
        <v>245</v>
      </c>
      <c r="X2150" s="77">
        <f>'Dropdown Lists'!$I$2*(1+OrdersTable[[#This Row],[Returned]])</f>
        <v>60</v>
      </c>
      <c r="Y2150" s="76">
        <f>OrdersTable[[#This Row],[Net Revenue]]-OrdersTable[[#This Row],[COGS]]-OrdersTable[[#This Row],[Shipping Cost]]</f>
        <v>219.25</v>
      </c>
      <c r="Z2150" s="78">
        <f>IFERROR(OrdersTable[[#This Row],[Profit]]/OrdersTable[[#This Row],[Net Revenue]],0)</f>
        <v>0.41821649976156416</v>
      </c>
      <c r="AA2150" t="s">
        <v>18</v>
      </c>
      <c r="AB2150" s="79">
        <v>45665</v>
      </c>
      <c r="AC2150">
        <f>OrdersTable[[#This Row],[Delivery Date]]-OrdersTable[[#This Row],[Order Date]]</f>
        <v>4</v>
      </c>
      <c r="AD2150" t="str">
        <f>IF(OrdersTable[[#This Row],[Delivery Days]]&lt;=2, "Express (≤2d)", IF(OrdersTable[[#This Row],[Delivery Days]]&lt;=4, "Standard (3-4d)", "Delayed (5d+)"))</f>
        <v>Standard (3-4d)</v>
      </c>
      <c r="AE2150">
        <v>3</v>
      </c>
      <c r="AF2150">
        <v>0</v>
      </c>
    </row>
    <row r="2151" spans="1:32" ht="15" x14ac:dyDescent="0.35">
      <c r="A2151" t="s">
        <v>5698</v>
      </c>
      <c r="B2151" s="1">
        <v>45662</v>
      </c>
      <c r="C2151">
        <f>YEAR(OrdersTable[[#This Row],[Order Date]])</f>
        <v>2025</v>
      </c>
      <c r="D2151" s="2">
        <f>DATE(YEAR(OrdersTable[[#This Row],[Order Date]]),MONTH(OrdersTable[[#This Row],[Order Date]]),1)</f>
        <v>45658</v>
      </c>
      <c r="E2151">
        <f>MONTH(OrdersTable[[#This Row],[Order Date]])</f>
        <v>1</v>
      </c>
      <c r="F2151" t="s">
        <v>528</v>
      </c>
      <c r="G2151" t="str">
        <f>IF(OrdersTable[[#This Row],[Order Date]]=_xlfn.MINIFS(Order_Date, Customer_ID, OrdersTable[[#This Row],[Customer ID]]), "New", "Repeat")</f>
        <v>Repeat</v>
      </c>
      <c r="H2151" t="s">
        <v>210</v>
      </c>
      <c r="I2151" t="str">
        <f>INDEX(State!B:B,MATCH(OrdersTable[[#This Row],[State]],State!A:A,0))</f>
        <v>JK</v>
      </c>
      <c r="J2151" t="str">
        <f>INDEX(State!C:C,MATCH(OrdersTable[[#This Row],[State Code]],State!B:B,0))</f>
        <v>North</v>
      </c>
      <c r="K2151" t="s">
        <v>415</v>
      </c>
      <c r="L2151" t="s">
        <v>23</v>
      </c>
      <c r="M2151" t="s">
        <v>576</v>
      </c>
      <c r="N2151" t="str">
        <f>INDEX(Products!B:B,MATCH(OrdersTable[[#This Row],[Product ID]],Products!A:A,0))</f>
        <v>Printed Saree</v>
      </c>
      <c r="O2151" t="str">
        <f>INDEX(Products!C:C,MATCH(OrdersTable[[#This Row],[Product ID]],Products!A:A,0))</f>
        <v>Apparel</v>
      </c>
      <c r="P2151">
        <v>2</v>
      </c>
      <c r="Q2151" s="5">
        <v>1999</v>
      </c>
      <c r="R2151" s="74">
        <v>0.1</v>
      </c>
      <c r="S2151" s="75">
        <f>OrdersTable[[#This Row],[Quantity]]*OrdersTable[[#This Row],[Unit Price]]</f>
        <v>3998</v>
      </c>
      <c r="T2151" s="5">
        <f>OrdersTable[[#This Row],[Gross Sale]]*OrdersTable[[#This Row],[Discount_Clean2]]</f>
        <v>399.8</v>
      </c>
      <c r="U2151" s="5">
        <f>OrdersTable[[#This Row],[Gross Sale]]-OrdersTable[[#This Row],[Discount Amount]]</f>
        <v>3598.2</v>
      </c>
      <c r="V2151" s="77">
        <f>INDEX(Products!E:E,MATCH(OrdersTable[[#This Row],[Product ID]],Products!A:A,0))</f>
        <v>880</v>
      </c>
      <c r="W2151" s="77">
        <f>OrdersTable[[#This Row],[Quantity]]*OrdersTable[[#This Row],[Unit Cost]]</f>
        <v>1760</v>
      </c>
      <c r="X2151" s="77">
        <f>'Dropdown Lists'!$I$2*(1+OrdersTable[[#This Row],[Returned]])</f>
        <v>120</v>
      </c>
      <c r="Y2151" s="76">
        <f>OrdersTable[[#This Row],[Net Revenue]]-OrdersTable[[#This Row],[COGS]]-OrdersTable[[#This Row],[Shipping Cost]]</f>
        <v>1718.1999999999998</v>
      </c>
      <c r="Z2151" s="78">
        <f>IFERROR(OrdersTable[[#This Row],[Profit]]/OrdersTable[[#This Row],[Net Revenue]],0)</f>
        <v>0.47751653604580063</v>
      </c>
      <c r="AA2151" t="s">
        <v>18</v>
      </c>
      <c r="AB2151" s="79">
        <v>45666</v>
      </c>
      <c r="AC2151">
        <f>OrdersTable[[#This Row],[Delivery Date]]-OrdersTable[[#This Row],[Order Date]]</f>
        <v>4</v>
      </c>
      <c r="AD2151" t="str">
        <f>IF(OrdersTable[[#This Row],[Delivery Days]]&lt;=2, "Express (≤2d)", IF(OrdersTable[[#This Row],[Delivery Days]]&lt;=4, "Standard (3-4d)", "Delayed (5d+)"))</f>
        <v>Standard (3-4d)</v>
      </c>
      <c r="AE2151">
        <v>3</v>
      </c>
      <c r="AF2151">
        <v>1</v>
      </c>
    </row>
    <row r="2152" spans="1:32" ht="15" x14ac:dyDescent="0.35">
      <c r="A2152" t="s">
        <v>1935</v>
      </c>
      <c r="B2152" s="1">
        <v>45662</v>
      </c>
      <c r="C2152">
        <f>YEAR(OrdersTable[[#This Row],[Order Date]])</f>
        <v>2025</v>
      </c>
      <c r="D2152" s="2">
        <f>DATE(YEAR(OrdersTable[[#This Row],[Order Date]]),MONTH(OrdersTable[[#This Row],[Order Date]]),1)</f>
        <v>45658</v>
      </c>
      <c r="E2152">
        <f>MONTH(OrdersTable[[#This Row],[Order Date]])</f>
        <v>1</v>
      </c>
      <c r="F2152" t="s">
        <v>827</v>
      </c>
      <c r="G2152" t="str">
        <f>IF(OrdersTable[[#This Row],[Order Date]]=_xlfn.MINIFS(Order_Date, Customer_ID, OrdersTable[[#This Row],[Customer ID]]), "New", "Repeat")</f>
        <v>New</v>
      </c>
      <c r="H2152" t="s">
        <v>158</v>
      </c>
      <c r="I2152" t="str">
        <f>INDEX(State!B:B,MATCH(OrdersTable[[#This Row],[State]],State!A:A,0))</f>
        <v>HP</v>
      </c>
      <c r="J2152" t="str">
        <f>INDEX(State!C:C,MATCH(OrdersTable[[#This Row],[State Code]],State!B:B,0))</f>
        <v>North</v>
      </c>
      <c r="K2152" t="s">
        <v>159</v>
      </c>
      <c r="L2152" t="s">
        <v>39</v>
      </c>
      <c r="M2152" t="s">
        <v>24</v>
      </c>
      <c r="N2152" t="str">
        <f>INDEX(Products!B:B,MATCH(OrdersTable[[#This Row],[Product ID]],Products!A:A,0))</f>
        <v>Scented Candle Set</v>
      </c>
      <c r="O2152" t="str">
        <f>INDEX(Products!C:C,MATCH(OrdersTable[[#This Row],[Product ID]],Products!A:A,0))</f>
        <v>Home &amp; Kitchen</v>
      </c>
      <c r="P2152">
        <v>1</v>
      </c>
      <c r="Q2152" s="5">
        <v>699</v>
      </c>
      <c r="R2152" s="74">
        <v>0.2</v>
      </c>
      <c r="S2152" s="75">
        <f>OrdersTable[[#This Row],[Quantity]]*OrdersTable[[#This Row],[Unit Price]]</f>
        <v>699</v>
      </c>
      <c r="T2152" s="5">
        <f>OrdersTable[[#This Row],[Gross Sale]]*OrdersTable[[#This Row],[Discount_Clean2]]</f>
        <v>139.80000000000001</v>
      </c>
      <c r="U2152" s="5">
        <f>OrdersTable[[#This Row],[Gross Sale]]-OrdersTable[[#This Row],[Discount Amount]]</f>
        <v>559.20000000000005</v>
      </c>
      <c r="V2152" s="77">
        <f>INDEX(Products!E:E,MATCH(OrdersTable[[#This Row],[Product ID]],Products!A:A,0))</f>
        <v>245</v>
      </c>
      <c r="W2152" s="77">
        <f>OrdersTable[[#This Row],[Quantity]]*OrdersTable[[#This Row],[Unit Cost]]</f>
        <v>245</v>
      </c>
      <c r="X2152" s="77">
        <f>'Dropdown Lists'!$I$2*(1+OrdersTable[[#This Row],[Returned]])</f>
        <v>60</v>
      </c>
      <c r="Y2152" s="76">
        <f>OrdersTable[[#This Row],[Net Revenue]]-OrdersTable[[#This Row],[COGS]]-OrdersTable[[#This Row],[Shipping Cost]]</f>
        <v>254.20000000000005</v>
      </c>
      <c r="Z2152" s="78">
        <f>IFERROR(OrdersTable[[#This Row],[Profit]]/OrdersTable[[#This Row],[Net Revenue]],0)</f>
        <v>0.45457796852646642</v>
      </c>
      <c r="AA2152" t="s">
        <v>18</v>
      </c>
      <c r="AB2152" s="79">
        <v>45667</v>
      </c>
      <c r="AC2152">
        <f>OrdersTable[[#This Row],[Delivery Date]]-OrdersTable[[#This Row],[Order Date]]</f>
        <v>5</v>
      </c>
      <c r="AD2152" t="str">
        <f>IF(OrdersTable[[#This Row],[Delivery Days]]&lt;=2, "Express (≤2d)", IF(OrdersTable[[#This Row],[Delivery Days]]&lt;=4, "Standard (3-4d)", "Delayed (5d+)"))</f>
        <v>Delayed (5d+)</v>
      </c>
      <c r="AE2152">
        <v>3</v>
      </c>
      <c r="AF2152">
        <v>0</v>
      </c>
    </row>
    <row r="2153" spans="1:32" ht="15" x14ac:dyDescent="0.35">
      <c r="A2153" t="s">
        <v>4966</v>
      </c>
      <c r="B2153" s="1">
        <v>45662</v>
      </c>
      <c r="C2153">
        <f>YEAR(OrdersTable[[#This Row],[Order Date]])</f>
        <v>2025</v>
      </c>
      <c r="D2153" s="2">
        <f>DATE(YEAR(OrdersTable[[#This Row],[Order Date]]),MONTH(OrdersTable[[#This Row],[Order Date]]),1)</f>
        <v>45658</v>
      </c>
      <c r="E2153">
        <f>MONTH(OrdersTable[[#This Row],[Order Date]])</f>
        <v>1</v>
      </c>
      <c r="F2153" t="s">
        <v>3456</v>
      </c>
      <c r="G2153" t="str">
        <f>IF(OrdersTable[[#This Row],[Order Date]]=_xlfn.MINIFS(Order_Date, Customer_ID, OrdersTable[[#This Row],[Customer ID]]), "New", "Repeat")</f>
        <v>New</v>
      </c>
      <c r="H2153" t="s">
        <v>482</v>
      </c>
      <c r="I2153" t="str">
        <f>INDEX(State!B:B,MATCH(OrdersTable[[#This Row],[State]],State!A:A,0))</f>
        <v>CG</v>
      </c>
      <c r="J2153" t="str">
        <f>INDEX(State!C:C,MATCH(OrdersTable[[#This Row],[State Code]],State!B:B,0))</f>
        <v>East</v>
      </c>
      <c r="K2153" t="s">
        <v>483</v>
      </c>
      <c r="L2153" t="s">
        <v>23</v>
      </c>
      <c r="M2153" t="s">
        <v>152</v>
      </c>
      <c r="N2153" t="str">
        <f>INDEX(Products!B:B,MATCH(OrdersTable[[#This Row],[Product ID]],Products!A:A,0))</f>
        <v>Green Tea (100 bags)</v>
      </c>
      <c r="O2153" t="str">
        <f>INDEX(Products!C:C,MATCH(OrdersTable[[#This Row],[Product ID]],Products!A:A,0))</f>
        <v>Wellness</v>
      </c>
      <c r="P2153">
        <v>2</v>
      </c>
      <c r="Q2153" s="5">
        <v>399</v>
      </c>
      <c r="R2153" s="74">
        <v>0.45</v>
      </c>
      <c r="S2153" s="75">
        <f>OrdersTable[[#This Row],[Quantity]]*OrdersTable[[#This Row],[Unit Price]]</f>
        <v>798</v>
      </c>
      <c r="T2153" s="5">
        <f>OrdersTable[[#This Row],[Gross Sale]]*OrdersTable[[#This Row],[Discount_Clean2]]</f>
        <v>359.1</v>
      </c>
      <c r="U2153" s="5">
        <f>OrdersTable[[#This Row],[Gross Sale]]-OrdersTable[[#This Row],[Discount Amount]]</f>
        <v>438.9</v>
      </c>
      <c r="V2153" s="77">
        <f>INDEX(Products!E:E,MATCH(OrdersTable[[#This Row],[Product ID]],Products!A:A,0))</f>
        <v>128</v>
      </c>
      <c r="W2153" s="77">
        <f>OrdersTable[[#This Row],[Quantity]]*OrdersTable[[#This Row],[Unit Cost]]</f>
        <v>256</v>
      </c>
      <c r="X2153" s="77">
        <f>'Dropdown Lists'!$I$2*(1+OrdersTable[[#This Row],[Returned]])</f>
        <v>60</v>
      </c>
      <c r="Y2153" s="76">
        <f>OrdersTable[[#This Row],[Net Revenue]]-OrdersTable[[#This Row],[COGS]]-OrdersTable[[#This Row],[Shipping Cost]]</f>
        <v>122.89999999999998</v>
      </c>
      <c r="Z2153" s="78">
        <f>IFERROR(OrdersTable[[#This Row],[Profit]]/OrdersTable[[#This Row],[Net Revenue]],0)</f>
        <v>0.28001822738664839</v>
      </c>
      <c r="AA2153" t="s">
        <v>4074</v>
      </c>
      <c r="AB2153" s="79">
        <v>45666</v>
      </c>
      <c r="AC2153">
        <f>OrdersTable[[#This Row],[Delivery Date]]-OrdersTable[[#This Row],[Order Date]]</f>
        <v>4</v>
      </c>
      <c r="AD2153" t="str">
        <f>IF(OrdersTable[[#This Row],[Delivery Days]]&lt;=2, "Express (≤2d)", IF(OrdersTable[[#This Row],[Delivery Days]]&lt;=4, "Standard (3-4d)", "Delayed (5d+)"))</f>
        <v>Standard (3-4d)</v>
      </c>
      <c r="AE2153">
        <v>4</v>
      </c>
      <c r="AF2153">
        <v>0</v>
      </c>
    </row>
    <row r="2154" spans="1:32" ht="15" x14ac:dyDescent="0.35">
      <c r="A2154" t="s">
        <v>5796</v>
      </c>
      <c r="B2154" s="1">
        <v>45662</v>
      </c>
      <c r="C2154">
        <f>YEAR(OrdersTable[[#This Row],[Order Date]])</f>
        <v>2025</v>
      </c>
      <c r="D2154" s="2">
        <f>DATE(YEAR(OrdersTable[[#This Row],[Order Date]]),MONTH(OrdersTable[[#This Row],[Order Date]]),1)</f>
        <v>45658</v>
      </c>
      <c r="E2154">
        <f>MONTH(OrdersTable[[#This Row],[Order Date]])</f>
        <v>1</v>
      </c>
      <c r="F2154" t="s">
        <v>4376</v>
      </c>
      <c r="G2154" t="str">
        <f>IF(OrdersTable[[#This Row],[Order Date]]=_xlfn.MINIFS(Order_Date, Customer_ID, OrdersTable[[#This Row],[Customer ID]]), "New", "Repeat")</f>
        <v>Repeat</v>
      </c>
      <c r="H2154" t="s">
        <v>95</v>
      </c>
      <c r="I2154" t="str">
        <f>INDEX(State!B:B,MATCH(OrdersTable[[#This Row],[State]],State!A:A,0))</f>
        <v>TG</v>
      </c>
      <c r="J2154" t="str">
        <f>INDEX(State!C:C,MATCH(OrdersTable[[#This Row],[State Code]],State!B:B,0))</f>
        <v>South</v>
      </c>
      <c r="K2154" t="s">
        <v>96</v>
      </c>
      <c r="L2154" t="s">
        <v>23</v>
      </c>
      <c r="M2154" t="s">
        <v>40</v>
      </c>
      <c r="N2154" t="str">
        <f>INDEX(Products!B:B,MATCH(OrdersTable[[#This Row],[Product ID]],Products!A:A,0))</f>
        <v>Ashwagandha Capsules</v>
      </c>
      <c r="O2154" t="str">
        <f>INDEX(Products!C:C,MATCH(OrdersTable[[#This Row],[Product ID]],Products!A:A,0))</f>
        <v>Wellness</v>
      </c>
      <c r="P2154">
        <v>2</v>
      </c>
      <c r="Q2154" s="5">
        <v>499</v>
      </c>
      <c r="R2154" s="74">
        <v>0.05</v>
      </c>
      <c r="S2154" s="75">
        <f>OrdersTable[[#This Row],[Quantity]]*OrdersTable[[#This Row],[Unit Price]]</f>
        <v>998</v>
      </c>
      <c r="T2154" s="5">
        <f>OrdersTable[[#This Row],[Gross Sale]]*OrdersTable[[#This Row],[Discount_Clean2]]</f>
        <v>49.900000000000006</v>
      </c>
      <c r="U2154" s="5">
        <f>OrdersTable[[#This Row],[Gross Sale]]-OrdersTable[[#This Row],[Discount Amount]]</f>
        <v>948.1</v>
      </c>
      <c r="V2154" s="77">
        <f>INDEX(Products!E:E,MATCH(OrdersTable[[#This Row],[Product ID]],Products!A:A,0))</f>
        <v>150</v>
      </c>
      <c r="W2154" s="77">
        <f>OrdersTable[[#This Row],[Quantity]]*OrdersTable[[#This Row],[Unit Cost]]</f>
        <v>300</v>
      </c>
      <c r="X2154" s="77">
        <f>'Dropdown Lists'!$I$2*(1+OrdersTable[[#This Row],[Returned]])</f>
        <v>60</v>
      </c>
      <c r="Y2154" s="76">
        <f>OrdersTable[[#This Row],[Net Revenue]]-OrdersTable[[#This Row],[COGS]]-OrdersTable[[#This Row],[Shipping Cost]]</f>
        <v>588.1</v>
      </c>
      <c r="Z2154" s="78">
        <f>IFERROR(OrdersTable[[#This Row],[Profit]]/OrdersTable[[#This Row],[Net Revenue]],0)</f>
        <v>0.62029321801497728</v>
      </c>
      <c r="AA2154" t="s">
        <v>18</v>
      </c>
      <c r="AB2154" s="79">
        <v>45665</v>
      </c>
      <c r="AC2154">
        <f>OrdersTable[[#This Row],[Delivery Date]]-OrdersTable[[#This Row],[Order Date]]</f>
        <v>3</v>
      </c>
      <c r="AD2154" t="str">
        <f>IF(OrdersTable[[#This Row],[Delivery Days]]&lt;=2, "Express (≤2d)", IF(OrdersTable[[#This Row],[Delivery Days]]&lt;=4, "Standard (3-4d)", "Delayed (5d+)"))</f>
        <v>Standard (3-4d)</v>
      </c>
      <c r="AE2154">
        <v>5</v>
      </c>
      <c r="AF2154">
        <v>0</v>
      </c>
    </row>
    <row r="2155" spans="1:32" ht="15" x14ac:dyDescent="0.35">
      <c r="A2155" t="s">
        <v>1703</v>
      </c>
      <c r="B2155" s="1">
        <v>45662</v>
      </c>
      <c r="C2155">
        <f>YEAR(OrdersTable[[#This Row],[Order Date]])</f>
        <v>2025</v>
      </c>
      <c r="D2155" s="2">
        <f>DATE(YEAR(OrdersTable[[#This Row],[Order Date]]),MONTH(OrdersTable[[#This Row],[Order Date]]),1)</f>
        <v>45658</v>
      </c>
      <c r="E2155">
        <f>MONTH(OrdersTable[[#This Row],[Order Date]])</f>
        <v>1</v>
      </c>
      <c r="F2155" t="s">
        <v>1704</v>
      </c>
      <c r="G2155" t="str">
        <f>IF(OrdersTable[[#This Row],[Order Date]]=_xlfn.MINIFS(Order_Date, Customer_ID, OrdersTable[[#This Row],[Customer ID]]), "New", "Repeat")</f>
        <v>Repeat</v>
      </c>
      <c r="H2155" t="s">
        <v>275</v>
      </c>
      <c r="I2155" t="str">
        <f>INDEX(State!B:B,MATCH(OrdersTable[[#This Row],[State]],State!A:A,0))</f>
        <v>AP</v>
      </c>
      <c r="J2155" t="str">
        <f>INDEX(State!C:C,MATCH(OrdersTable[[#This Row],[State Code]],State!B:B,0))</f>
        <v>South</v>
      </c>
      <c r="K2155" t="s">
        <v>491</v>
      </c>
      <c r="L2155" t="s">
        <v>65</v>
      </c>
      <c r="M2155" t="s">
        <v>24</v>
      </c>
      <c r="N2155" t="str">
        <f>INDEX(Products!B:B,MATCH(OrdersTable[[#This Row],[Product ID]],Products!A:A,0))</f>
        <v>Scented Candle Set</v>
      </c>
      <c r="O2155" t="str">
        <f>INDEX(Products!C:C,MATCH(OrdersTable[[#This Row],[Product ID]],Products!A:A,0))</f>
        <v>Home &amp; Kitchen</v>
      </c>
      <c r="P2155">
        <v>1</v>
      </c>
      <c r="Q2155" s="5">
        <v>699</v>
      </c>
      <c r="R2155" s="74">
        <v>0.2</v>
      </c>
      <c r="S2155" s="75">
        <f>OrdersTable[[#This Row],[Quantity]]*OrdersTable[[#This Row],[Unit Price]]</f>
        <v>699</v>
      </c>
      <c r="T2155" s="5">
        <f>OrdersTable[[#This Row],[Gross Sale]]*OrdersTable[[#This Row],[Discount_Clean2]]</f>
        <v>139.80000000000001</v>
      </c>
      <c r="U2155" s="5">
        <f>OrdersTable[[#This Row],[Gross Sale]]-OrdersTable[[#This Row],[Discount Amount]]</f>
        <v>559.20000000000005</v>
      </c>
      <c r="V2155" s="77">
        <f>INDEX(Products!E:E,MATCH(OrdersTable[[#This Row],[Product ID]],Products!A:A,0))</f>
        <v>245</v>
      </c>
      <c r="W2155" s="77">
        <f>OrdersTable[[#This Row],[Quantity]]*OrdersTable[[#This Row],[Unit Cost]]</f>
        <v>245</v>
      </c>
      <c r="X2155" s="77">
        <f>'Dropdown Lists'!$I$2*(1+OrdersTable[[#This Row],[Returned]])</f>
        <v>60</v>
      </c>
      <c r="Y2155" s="76">
        <f>OrdersTable[[#This Row],[Net Revenue]]-OrdersTable[[#This Row],[COGS]]-OrdersTable[[#This Row],[Shipping Cost]]</f>
        <v>254.20000000000005</v>
      </c>
      <c r="Z2155" s="78">
        <f>IFERROR(OrdersTable[[#This Row],[Profit]]/OrdersTable[[#This Row],[Net Revenue]],0)</f>
        <v>0.45457796852646642</v>
      </c>
      <c r="AA2155" t="s">
        <v>18</v>
      </c>
      <c r="AB2155" s="79">
        <v>45665</v>
      </c>
      <c r="AC2155">
        <f>OrdersTable[[#This Row],[Delivery Date]]-OrdersTable[[#This Row],[Order Date]]</f>
        <v>3</v>
      </c>
      <c r="AD2155" t="str">
        <f>IF(OrdersTable[[#This Row],[Delivery Days]]&lt;=2, "Express (≤2d)", IF(OrdersTable[[#This Row],[Delivery Days]]&lt;=4, "Standard (3-4d)", "Delayed (5d+)"))</f>
        <v>Standard (3-4d)</v>
      </c>
      <c r="AF2155">
        <v>0</v>
      </c>
    </row>
    <row r="2156" spans="1:32" ht="15" x14ac:dyDescent="0.35">
      <c r="A2156" t="s">
        <v>2768</v>
      </c>
      <c r="B2156" s="1">
        <v>45662</v>
      </c>
      <c r="C2156">
        <f>YEAR(OrdersTable[[#This Row],[Order Date]])</f>
        <v>2025</v>
      </c>
      <c r="D2156" s="2">
        <f>DATE(YEAR(OrdersTable[[#This Row],[Order Date]]),MONTH(OrdersTable[[#This Row],[Order Date]]),1)</f>
        <v>45658</v>
      </c>
      <c r="E2156">
        <f>MONTH(OrdersTable[[#This Row],[Order Date]])</f>
        <v>1</v>
      </c>
      <c r="F2156" t="s">
        <v>2769</v>
      </c>
      <c r="G2156" t="str">
        <f>IF(OrdersTable[[#This Row],[Order Date]]=_xlfn.MINIFS(Order_Date, Customer_ID, OrdersTable[[#This Row],[Customer ID]]), "New", "Repeat")</f>
        <v>Repeat</v>
      </c>
      <c r="H2156" t="s">
        <v>275</v>
      </c>
      <c r="I2156" t="str">
        <f>INDEX(State!B:B,MATCH(OrdersTable[[#This Row],[State]],State!A:A,0))</f>
        <v>AP</v>
      </c>
      <c r="J2156" t="str">
        <f>INDEX(State!C:C,MATCH(OrdersTable[[#This Row],[State Code]],State!B:B,0))</f>
        <v>South</v>
      </c>
      <c r="K2156" t="s">
        <v>491</v>
      </c>
      <c r="L2156" t="s">
        <v>16</v>
      </c>
      <c r="M2156" t="s">
        <v>255</v>
      </c>
      <c r="N2156" t="str">
        <f>INDEX(Products!B:B,MATCH(OrdersTable[[#This Row],[Product ID]],Products!A:A,0))</f>
        <v>Cotton Oversized T-Shirt</v>
      </c>
      <c r="O2156" t="str">
        <f>INDEX(Products!C:C,MATCH(OrdersTable[[#This Row],[Product ID]],Products!A:A,0))</f>
        <v>Apparel</v>
      </c>
      <c r="P2156">
        <v>1</v>
      </c>
      <c r="Q2156" s="5">
        <v>799</v>
      </c>
      <c r="R2156" s="74">
        <v>0</v>
      </c>
      <c r="S2156" s="75">
        <f>OrdersTable[[#This Row],[Quantity]]*OrdersTable[[#This Row],[Unit Price]]</f>
        <v>799</v>
      </c>
      <c r="T2156" s="5">
        <f>OrdersTable[[#This Row],[Gross Sale]]*OrdersTable[[#This Row],[Discount_Clean2]]</f>
        <v>0</v>
      </c>
      <c r="U2156" s="5">
        <f>OrdersTable[[#This Row],[Gross Sale]]-OrdersTable[[#This Row],[Discount Amount]]</f>
        <v>799</v>
      </c>
      <c r="V2156" s="77">
        <f>INDEX(Products!E:E,MATCH(OrdersTable[[#This Row],[Product ID]],Products!A:A,0))</f>
        <v>320</v>
      </c>
      <c r="W2156" s="77">
        <f>OrdersTable[[#This Row],[Quantity]]*OrdersTable[[#This Row],[Unit Cost]]</f>
        <v>320</v>
      </c>
      <c r="X2156" s="77">
        <f>'Dropdown Lists'!$I$2*(1+OrdersTable[[#This Row],[Returned]])</f>
        <v>60</v>
      </c>
      <c r="Y2156" s="76">
        <f>OrdersTable[[#This Row],[Net Revenue]]-OrdersTable[[#This Row],[COGS]]-OrdersTable[[#This Row],[Shipping Cost]]</f>
        <v>419</v>
      </c>
      <c r="Z2156" s="78">
        <f>IFERROR(OrdersTable[[#This Row],[Profit]]/OrdersTable[[#This Row],[Net Revenue]],0)</f>
        <v>0.52440550688360454</v>
      </c>
      <c r="AA2156" t="s">
        <v>2522</v>
      </c>
      <c r="AB2156" s="79">
        <v>45665</v>
      </c>
      <c r="AC2156">
        <f>OrdersTable[[#This Row],[Delivery Date]]-OrdersTable[[#This Row],[Order Date]]</f>
        <v>3</v>
      </c>
      <c r="AD2156" t="str">
        <f>IF(OrdersTable[[#This Row],[Delivery Days]]&lt;=2, "Express (≤2d)", IF(OrdersTable[[#This Row],[Delivery Days]]&lt;=4, "Standard (3-4d)", "Delayed (5d+)"))</f>
        <v>Standard (3-4d)</v>
      </c>
      <c r="AE2156">
        <v>3</v>
      </c>
      <c r="AF2156">
        <v>0</v>
      </c>
    </row>
    <row r="2157" spans="1:32" ht="15" x14ac:dyDescent="0.35">
      <c r="A2157" t="s">
        <v>4818</v>
      </c>
      <c r="B2157" s="1">
        <v>45663</v>
      </c>
      <c r="C2157">
        <f>YEAR(OrdersTable[[#This Row],[Order Date]])</f>
        <v>2025</v>
      </c>
      <c r="D2157" s="2">
        <f>DATE(YEAR(OrdersTable[[#This Row],[Order Date]]),MONTH(OrdersTable[[#This Row],[Order Date]]),1)</f>
        <v>45658</v>
      </c>
      <c r="E2157">
        <f>MONTH(OrdersTable[[#This Row],[Order Date]])</f>
        <v>1</v>
      </c>
      <c r="F2157" t="s">
        <v>270</v>
      </c>
      <c r="G2157" t="str">
        <f>IF(OrdersTable[[#This Row],[Order Date]]=_xlfn.MINIFS(Order_Date, Customer_ID, OrdersTable[[#This Row],[Customer ID]]), "New", "Repeat")</f>
        <v>Repeat</v>
      </c>
      <c r="H2157" t="s">
        <v>21</v>
      </c>
      <c r="I2157" t="str">
        <f>INDEX(State!B:B,MATCH(OrdersTable[[#This Row],[State]],State!A:A,0))</f>
        <v>PB</v>
      </c>
      <c r="J2157" t="str">
        <f>INDEX(State!C:C,MATCH(OrdersTable[[#This Row],[State Code]],State!B:B,0))</f>
        <v>North</v>
      </c>
      <c r="K2157" t="s">
        <v>22</v>
      </c>
      <c r="L2157" t="s">
        <v>65</v>
      </c>
      <c r="M2157" t="s">
        <v>205</v>
      </c>
      <c r="N2157" t="str">
        <f>INDEX(Products!B:B,MATCH(OrdersTable[[#This Row],[Product ID]],Products!A:A,0))</f>
        <v>Running Shoes</v>
      </c>
      <c r="O2157" t="str">
        <f>INDEX(Products!C:C,MATCH(OrdersTable[[#This Row],[Product ID]],Products!A:A,0))</f>
        <v>Footwear</v>
      </c>
      <c r="P2157">
        <v>2</v>
      </c>
      <c r="Q2157" s="5">
        <v>2999</v>
      </c>
      <c r="R2157" s="74">
        <v>0.2</v>
      </c>
      <c r="S2157" s="75">
        <f>OrdersTable[[#This Row],[Quantity]]*OrdersTable[[#This Row],[Unit Price]]</f>
        <v>5998</v>
      </c>
      <c r="T2157" s="5">
        <f>OrdersTable[[#This Row],[Gross Sale]]*OrdersTable[[#This Row],[Discount_Clean2]]</f>
        <v>1199.6000000000001</v>
      </c>
      <c r="U2157" s="5">
        <f>OrdersTable[[#This Row],[Gross Sale]]-OrdersTable[[#This Row],[Discount Amount]]</f>
        <v>4798.3999999999996</v>
      </c>
      <c r="V2157" s="77">
        <f>INDEX(Products!E:E,MATCH(OrdersTable[[#This Row],[Product ID]],Products!A:A,0))</f>
        <v>1440</v>
      </c>
      <c r="W2157" s="77">
        <f>OrdersTable[[#This Row],[Quantity]]*OrdersTable[[#This Row],[Unit Cost]]</f>
        <v>2880</v>
      </c>
      <c r="X2157" s="77">
        <f>'Dropdown Lists'!$I$2*(1+OrdersTable[[#This Row],[Returned]])</f>
        <v>120</v>
      </c>
      <c r="Y2157" s="76">
        <f>OrdersTable[[#This Row],[Net Revenue]]-OrdersTable[[#This Row],[COGS]]-OrdersTable[[#This Row],[Shipping Cost]]</f>
        <v>1798.3999999999996</v>
      </c>
      <c r="Z2157" s="78">
        <f>IFERROR(OrdersTable[[#This Row],[Profit]]/OrdersTable[[#This Row],[Net Revenue]],0)</f>
        <v>0.3747915971990663</v>
      </c>
      <c r="AA2157" t="s">
        <v>4450</v>
      </c>
      <c r="AB2157" s="79">
        <v>45666</v>
      </c>
      <c r="AC2157">
        <f>OrdersTable[[#This Row],[Delivery Date]]-OrdersTable[[#This Row],[Order Date]]</f>
        <v>3</v>
      </c>
      <c r="AD2157" t="str">
        <f>IF(OrdersTable[[#This Row],[Delivery Days]]&lt;=2, "Express (≤2d)", IF(OrdersTable[[#This Row],[Delivery Days]]&lt;=4, "Standard (3-4d)", "Delayed (5d+)"))</f>
        <v>Standard (3-4d)</v>
      </c>
      <c r="AE2157">
        <v>4</v>
      </c>
      <c r="AF2157">
        <v>1</v>
      </c>
    </row>
    <row r="2158" spans="1:32" ht="15" x14ac:dyDescent="0.35">
      <c r="A2158" t="s">
        <v>4967</v>
      </c>
      <c r="B2158" s="1">
        <v>45663</v>
      </c>
      <c r="C2158">
        <f>YEAR(OrdersTable[[#This Row],[Order Date]])</f>
        <v>2025</v>
      </c>
      <c r="D2158" s="2">
        <f>DATE(YEAR(OrdersTable[[#This Row],[Order Date]]),MONTH(OrdersTable[[#This Row],[Order Date]]),1)</f>
        <v>45658</v>
      </c>
      <c r="E2158">
        <f>MONTH(OrdersTable[[#This Row],[Order Date]])</f>
        <v>1</v>
      </c>
      <c r="F2158" t="s">
        <v>4968</v>
      </c>
      <c r="G2158" t="str">
        <f>IF(OrdersTable[[#This Row],[Order Date]]=_xlfn.MINIFS(Order_Date, Customer_ID, OrdersTable[[#This Row],[Customer ID]]), "New", "Repeat")</f>
        <v>New</v>
      </c>
      <c r="H2158" t="s">
        <v>128</v>
      </c>
      <c r="I2158" t="str">
        <f>INDEX(State!B:B,MATCH(OrdersTable[[#This Row],[State]],State!A:A,0))</f>
        <v>DL</v>
      </c>
      <c r="J2158" t="str">
        <f>INDEX(State!C:C,MATCH(OrdersTable[[#This Row],[State Code]],State!B:B,0))</f>
        <v>North</v>
      </c>
      <c r="K2158" t="s">
        <v>129</v>
      </c>
      <c r="L2158" t="s">
        <v>65</v>
      </c>
      <c r="M2158" t="s">
        <v>84</v>
      </c>
      <c r="N2158" t="str">
        <f>INDEX(Products!B:B,MATCH(OrdersTable[[#This Row],[Product ID]],Products!A:A,0))</f>
        <v>Cotton Bedsheet</v>
      </c>
      <c r="O2158" t="str">
        <f>INDEX(Products!C:C,MATCH(OrdersTable[[#This Row],[Product ID]],Products!A:A,0))</f>
        <v>Home &amp; Kitchen</v>
      </c>
      <c r="P2158">
        <v>2</v>
      </c>
      <c r="Q2158" s="5">
        <v>1299</v>
      </c>
      <c r="R2158" s="74">
        <v>0</v>
      </c>
      <c r="S2158" s="75">
        <f>OrdersTable[[#This Row],[Quantity]]*OrdersTable[[#This Row],[Unit Price]]</f>
        <v>2598</v>
      </c>
      <c r="T2158" s="5">
        <f>OrdersTable[[#This Row],[Gross Sale]]*OrdersTable[[#This Row],[Discount_Clean2]]</f>
        <v>0</v>
      </c>
      <c r="U2158" s="5">
        <f>OrdersTable[[#This Row],[Gross Sale]]-OrdersTable[[#This Row],[Discount Amount]]</f>
        <v>2598</v>
      </c>
      <c r="V2158" s="77">
        <f>INDEX(Products!E:E,MATCH(OrdersTable[[#This Row],[Product ID]],Products!A:A,0))</f>
        <v>585</v>
      </c>
      <c r="W2158" s="77">
        <f>OrdersTable[[#This Row],[Quantity]]*OrdersTable[[#This Row],[Unit Cost]]</f>
        <v>1170</v>
      </c>
      <c r="X2158" s="77">
        <f>'Dropdown Lists'!$I$2*(1+OrdersTable[[#This Row],[Returned]])</f>
        <v>120</v>
      </c>
      <c r="Y2158" s="76">
        <f>OrdersTable[[#This Row],[Net Revenue]]-OrdersTable[[#This Row],[COGS]]-OrdersTable[[#This Row],[Shipping Cost]]</f>
        <v>1308</v>
      </c>
      <c r="Z2158" s="78">
        <f>IFERROR(OrdersTable[[#This Row],[Profit]]/OrdersTable[[#This Row],[Net Revenue]],0)</f>
        <v>0.50346420323325636</v>
      </c>
      <c r="AA2158" t="s">
        <v>4074</v>
      </c>
      <c r="AB2158" s="79">
        <v>45664</v>
      </c>
      <c r="AC2158">
        <f>OrdersTable[[#This Row],[Delivery Date]]-OrdersTable[[#This Row],[Order Date]]</f>
        <v>1</v>
      </c>
      <c r="AD2158" t="str">
        <f>IF(OrdersTable[[#This Row],[Delivery Days]]&lt;=2, "Express (≤2d)", IF(OrdersTable[[#This Row],[Delivery Days]]&lt;=4, "Standard (3-4d)", "Delayed (5d+)"))</f>
        <v>Express (≤2d)</v>
      </c>
      <c r="AF2158">
        <v>1</v>
      </c>
    </row>
    <row r="2159" spans="1:32" ht="15" x14ac:dyDescent="0.35">
      <c r="A2159" t="s">
        <v>960</v>
      </c>
      <c r="B2159" s="1">
        <v>45663</v>
      </c>
      <c r="C2159">
        <f>YEAR(OrdersTable[[#This Row],[Order Date]])</f>
        <v>2025</v>
      </c>
      <c r="D2159" s="2">
        <f>DATE(YEAR(OrdersTable[[#This Row],[Order Date]]),MONTH(OrdersTable[[#This Row],[Order Date]]),1)</f>
        <v>45658</v>
      </c>
      <c r="E2159">
        <f>MONTH(OrdersTable[[#This Row],[Order Date]])</f>
        <v>1</v>
      </c>
      <c r="F2159" t="s">
        <v>961</v>
      </c>
      <c r="G2159" t="str">
        <f>IF(OrdersTable[[#This Row],[Order Date]]=_xlfn.MINIFS(Order_Date, Customer_ID, OrdersTable[[#This Row],[Customer ID]]), "New", "Repeat")</f>
        <v>New</v>
      </c>
      <c r="H2159" t="s">
        <v>132</v>
      </c>
      <c r="I2159" t="str">
        <f>INDEX(State!B:B,MATCH(OrdersTable[[#This Row],[State]],State!A:A,0))</f>
        <v>AS</v>
      </c>
      <c r="J2159" t="str">
        <f>INDEX(State!C:C,MATCH(OrdersTable[[#This Row],[State Code]],State!B:B,0))</f>
        <v>East</v>
      </c>
      <c r="K2159" t="s">
        <v>133</v>
      </c>
      <c r="L2159" t="s">
        <v>16</v>
      </c>
      <c r="M2159" t="s">
        <v>34</v>
      </c>
      <c r="N2159" t="str">
        <f>INDEX(Products!B:B,MATCH(OrdersTable[[#This Row],[Product ID]],Products!A:A,0))</f>
        <v>Flip Flops</v>
      </c>
      <c r="O2159" t="str">
        <f>INDEX(Products!C:C,MATCH(OrdersTable[[#This Row],[Product ID]],Products!A:A,0))</f>
        <v>Footwear</v>
      </c>
      <c r="P2159">
        <v>1</v>
      </c>
      <c r="Q2159" s="5">
        <v>399</v>
      </c>
      <c r="R2159" s="74">
        <v>0.05</v>
      </c>
      <c r="S2159" s="75">
        <f>OrdersTable[[#This Row],[Quantity]]*OrdersTable[[#This Row],[Unit Price]]</f>
        <v>399</v>
      </c>
      <c r="T2159" s="5">
        <f>OrdersTable[[#This Row],[Gross Sale]]*OrdersTable[[#This Row],[Discount_Clean2]]</f>
        <v>19.950000000000003</v>
      </c>
      <c r="U2159" s="5">
        <f>OrdersTable[[#This Row],[Gross Sale]]-OrdersTable[[#This Row],[Discount Amount]]</f>
        <v>379.05</v>
      </c>
      <c r="V2159" s="77">
        <f>INDEX(Products!E:E,MATCH(OrdersTable[[#This Row],[Product ID]],Products!A:A,0))</f>
        <v>152</v>
      </c>
      <c r="W2159" s="77">
        <f>OrdersTable[[#This Row],[Quantity]]*OrdersTable[[#This Row],[Unit Cost]]</f>
        <v>152</v>
      </c>
      <c r="X2159" s="77">
        <f>'Dropdown Lists'!$I$2*(1+OrdersTable[[#This Row],[Returned]])</f>
        <v>60</v>
      </c>
      <c r="Y2159" s="76">
        <f>OrdersTable[[#This Row],[Net Revenue]]-OrdersTable[[#This Row],[COGS]]-OrdersTable[[#This Row],[Shipping Cost]]</f>
        <v>167.05</v>
      </c>
      <c r="Z2159" s="78">
        <f>IFERROR(OrdersTable[[#This Row],[Profit]]/OrdersTable[[#This Row],[Net Revenue]],0)</f>
        <v>0.44070703073473161</v>
      </c>
      <c r="AA2159" t="s">
        <v>18</v>
      </c>
      <c r="AB2159" s="79">
        <v>45670</v>
      </c>
      <c r="AC2159">
        <f>OrdersTable[[#This Row],[Delivery Date]]-OrdersTable[[#This Row],[Order Date]]</f>
        <v>7</v>
      </c>
      <c r="AD2159" t="str">
        <f>IF(OrdersTable[[#This Row],[Delivery Days]]&lt;=2, "Express (≤2d)", IF(OrdersTable[[#This Row],[Delivery Days]]&lt;=4, "Standard (3-4d)", "Delayed (5d+)"))</f>
        <v>Delayed (5d+)</v>
      </c>
      <c r="AE2159">
        <v>4</v>
      </c>
      <c r="AF2159">
        <v>0</v>
      </c>
    </row>
    <row r="2160" spans="1:32" ht="15" x14ac:dyDescent="0.35">
      <c r="A2160" t="s">
        <v>243</v>
      </c>
      <c r="B2160" s="1">
        <v>45663</v>
      </c>
      <c r="C2160">
        <f>YEAR(OrdersTable[[#This Row],[Order Date]])</f>
        <v>2025</v>
      </c>
      <c r="D2160" s="2">
        <f>DATE(YEAR(OrdersTable[[#This Row],[Order Date]]),MONTH(OrdersTable[[#This Row],[Order Date]]),1)</f>
        <v>45658</v>
      </c>
      <c r="E2160">
        <f>MONTH(OrdersTable[[#This Row],[Order Date]])</f>
        <v>1</v>
      </c>
      <c r="F2160" t="s">
        <v>244</v>
      </c>
      <c r="G2160" t="str">
        <f>IF(OrdersTable[[#This Row],[Order Date]]=_xlfn.MINIFS(Order_Date, Customer_ID, OrdersTable[[#This Row],[Customer ID]]), "New", "Repeat")</f>
        <v>Repeat</v>
      </c>
      <c r="H2160" t="s">
        <v>43</v>
      </c>
      <c r="I2160" t="str">
        <f>INDEX(State!B:B,MATCH(OrdersTable[[#This Row],[State]],State!A:A,0))</f>
        <v>MP</v>
      </c>
      <c r="J2160" t="str">
        <f>INDEX(State!C:C,MATCH(OrdersTable[[#This Row],[State Code]],State!B:B,0))</f>
        <v>West</v>
      </c>
      <c r="K2160" t="s">
        <v>44</v>
      </c>
      <c r="L2160" t="s">
        <v>39</v>
      </c>
      <c r="M2160" t="s">
        <v>228</v>
      </c>
      <c r="N2160" t="str">
        <f>INDEX(Products!B:B,MATCH(OrdersTable[[#This Row],[Product ID]],Products!A:A,0))</f>
        <v>Fast Charger 33W</v>
      </c>
      <c r="O2160" t="str">
        <f>INDEX(Products!C:C,MATCH(OrdersTable[[#This Row],[Product ID]],Products!A:A,0))</f>
        <v>Electronics</v>
      </c>
      <c r="P2160">
        <v>1</v>
      </c>
      <c r="Q2160" s="5">
        <v>899</v>
      </c>
      <c r="R2160" s="74">
        <v>0</v>
      </c>
      <c r="S2160" s="75">
        <f>OrdersTable[[#This Row],[Quantity]]*OrdersTable[[#This Row],[Unit Price]]</f>
        <v>899</v>
      </c>
      <c r="T2160" s="5">
        <f>OrdersTable[[#This Row],[Gross Sale]]*OrdersTable[[#This Row],[Discount_Clean2]]</f>
        <v>0</v>
      </c>
      <c r="U2160" s="5">
        <f>OrdersTable[[#This Row],[Gross Sale]]-OrdersTable[[#This Row],[Discount Amount]]</f>
        <v>899</v>
      </c>
      <c r="V2160" s="77">
        <f>INDEX(Products!E:E,MATCH(OrdersTable[[#This Row],[Product ID]],Products!A:A,0))</f>
        <v>494</v>
      </c>
      <c r="W2160" s="77">
        <f>OrdersTable[[#This Row],[Quantity]]*OrdersTable[[#This Row],[Unit Cost]]</f>
        <v>494</v>
      </c>
      <c r="X2160" s="77">
        <f>'Dropdown Lists'!$I$2*(1+OrdersTable[[#This Row],[Returned]])</f>
        <v>60</v>
      </c>
      <c r="Y2160" s="76">
        <f>OrdersTable[[#This Row],[Net Revenue]]-OrdersTable[[#This Row],[COGS]]-OrdersTable[[#This Row],[Shipping Cost]]</f>
        <v>345</v>
      </c>
      <c r="Z2160" s="78">
        <f>IFERROR(OrdersTable[[#This Row],[Profit]]/OrdersTable[[#This Row],[Net Revenue]],0)</f>
        <v>0.38375973303670746</v>
      </c>
      <c r="AA2160" t="s">
        <v>18</v>
      </c>
      <c r="AB2160" s="79">
        <v>45668</v>
      </c>
      <c r="AC2160">
        <f>OrdersTable[[#This Row],[Delivery Date]]-OrdersTable[[#This Row],[Order Date]]</f>
        <v>5</v>
      </c>
      <c r="AD2160" t="str">
        <f>IF(OrdersTable[[#This Row],[Delivery Days]]&lt;=2, "Express (≤2d)", IF(OrdersTable[[#This Row],[Delivery Days]]&lt;=4, "Standard (3-4d)", "Delayed (5d+)"))</f>
        <v>Delayed (5d+)</v>
      </c>
      <c r="AE2160">
        <v>4</v>
      </c>
      <c r="AF2160">
        <v>0</v>
      </c>
    </row>
    <row r="2161" spans="1:32" ht="15" x14ac:dyDescent="0.35">
      <c r="A2161" t="s">
        <v>3581</v>
      </c>
      <c r="B2161" s="1">
        <v>45663</v>
      </c>
      <c r="C2161">
        <f>YEAR(OrdersTable[[#This Row],[Order Date]])</f>
        <v>2025</v>
      </c>
      <c r="D2161" s="2">
        <f>DATE(YEAR(OrdersTable[[#This Row],[Order Date]]),MONTH(OrdersTable[[#This Row],[Order Date]]),1)</f>
        <v>45658</v>
      </c>
      <c r="E2161">
        <f>MONTH(OrdersTable[[#This Row],[Order Date]])</f>
        <v>1</v>
      </c>
      <c r="F2161" t="s">
        <v>3582</v>
      </c>
      <c r="G2161" t="str">
        <f>IF(OrdersTable[[#This Row],[Order Date]]=_xlfn.MINIFS(Order_Date, Customer_ID, OrdersTable[[#This Row],[Customer ID]]), "New", "Repeat")</f>
        <v>Repeat</v>
      </c>
      <c r="H2161" t="s">
        <v>27</v>
      </c>
      <c r="I2161" t="str">
        <f>INDEX(State!B:B,MATCH(OrdersTable[[#This Row],[State]],State!A:A,0))</f>
        <v>WB</v>
      </c>
      <c r="J2161" t="str">
        <f>INDEX(State!C:C,MATCH(OrdersTable[[#This Row],[State Code]],State!B:B,0))</f>
        <v>East</v>
      </c>
      <c r="K2161" t="s">
        <v>28</v>
      </c>
      <c r="L2161" t="s">
        <v>39</v>
      </c>
      <c r="M2161" t="s">
        <v>45</v>
      </c>
      <c r="N2161" t="str">
        <f>INDEX(Products!B:B,MATCH(OrdersTable[[#This Row],[Product ID]],Products!A:A,0))</f>
        <v>Argan Shampoo</v>
      </c>
      <c r="O2161" t="str">
        <f>INDEX(Products!C:C,MATCH(OrdersTable[[#This Row],[Product ID]],Products!A:A,0))</f>
        <v>Haircare</v>
      </c>
      <c r="P2161">
        <v>1</v>
      </c>
      <c r="Q2161" s="5">
        <v>449</v>
      </c>
      <c r="R2161" s="74">
        <v>0</v>
      </c>
      <c r="S2161" s="75">
        <f>OrdersTable[[#This Row],[Quantity]]*OrdersTable[[#This Row],[Unit Price]]</f>
        <v>449</v>
      </c>
      <c r="T2161" s="5">
        <f>OrdersTable[[#This Row],[Gross Sale]]*OrdersTable[[#This Row],[Discount_Clean2]]</f>
        <v>0</v>
      </c>
      <c r="U2161" s="5">
        <f>OrdersTable[[#This Row],[Gross Sale]]-OrdersTable[[#This Row],[Discount Amount]]</f>
        <v>449</v>
      </c>
      <c r="V2161" s="77">
        <f>INDEX(Products!E:E,MATCH(OrdersTable[[#This Row],[Product ID]],Products!A:A,0))</f>
        <v>148</v>
      </c>
      <c r="W2161" s="77">
        <f>OrdersTable[[#This Row],[Quantity]]*OrdersTable[[#This Row],[Unit Cost]]</f>
        <v>148</v>
      </c>
      <c r="X2161" s="77">
        <f>'Dropdown Lists'!$I$2*(1+OrdersTable[[#This Row],[Returned]])</f>
        <v>60</v>
      </c>
      <c r="Y2161" s="76">
        <f>OrdersTable[[#This Row],[Net Revenue]]-OrdersTable[[#This Row],[COGS]]-OrdersTable[[#This Row],[Shipping Cost]]</f>
        <v>241</v>
      </c>
      <c r="Z2161" s="78">
        <f>IFERROR(OrdersTable[[#This Row],[Profit]]/OrdersTable[[#This Row],[Net Revenue]],0)</f>
        <v>0.53674832962138086</v>
      </c>
      <c r="AA2161" t="s">
        <v>3495</v>
      </c>
      <c r="AB2161" s="79">
        <v>45667</v>
      </c>
      <c r="AC2161">
        <f>OrdersTable[[#This Row],[Delivery Date]]-OrdersTable[[#This Row],[Order Date]]</f>
        <v>4</v>
      </c>
      <c r="AD2161" t="str">
        <f>IF(OrdersTable[[#This Row],[Delivery Days]]&lt;=2, "Express (≤2d)", IF(OrdersTable[[#This Row],[Delivery Days]]&lt;=4, "Standard (3-4d)", "Delayed (5d+)"))</f>
        <v>Standard (3-4d)</v>
      </c>
      <c r="AE2161">
        <v>4</v>
      </c>
      <c r="AF2161">
        <v>0</v>
      </c>
    </row>
    <row r="2162" spans="1:32" ht="15" x14ac:dyDescent="0.35">
      <c r="A2162" t="s">
        <v>2347</v>
      </c>
      <c r="B2162" s="1">
        <v>45663</v>
      </c>
      <c r="C2162">
        <f>YEAR(OrdersTable[[#This Row],[Order Date]])</f>
        <v>2025</v>
      </c>
      <c r="D2162" s="2">
        <f>DATE(YEAR(OrdersTable[[#This Row],[Order Date]]),MONTH(OrdersTable[[#This Row],[Order Date]]),1)</f>
        <v>45658</v>
      </c>
      <c r="E2162">
        <f>MONTH(OrdersTable[[#This Row],[Order Date]])</f>
        <v>1</v>
      </c>
      <c r="F2162" t="s">
        <v>725</v>
      </c>
      <c r="G2162" t="str">
        <f>IF(OrdersTable[[#This Row],[Order Date]]=_xlfn.MINIFS(Order_Date, Customer_ID, OrdersTable[[#This Row],[Customer ID]]), "New", "Repeat")</f>
        <v>Repeat</v>
      </c>
      <c r="H2162" t="s">
        <v>71</v>
      </c>
      <c r="I2162" t="str">
        <f>INDEX(State!B:B,MATCH(OrdersTable[[#This Row],[State]],State!A:A,0))</f>
        <v>MH</v>
      </c>
      <c r="J2162" t="str">
        <f>INDEX(State!C:C,MATCH(OrdersTable[[#This Row],[State Code]],State!B:B,0))</f>
        <v>West</v>
      </c>
      <c r="K2162" t="s">
        <v>72</v>
      </c>
      <c r="L2162" t="s">
        <v>50</v>
      </c>
      <c r="M2162" t="s">
        <v>152</v>
      </c>
      <c r="N2162" t="str">
        <f>INDEX(Products!B:B,MATCH(OrdersTable[[#This Row],[Product ID]],Products!A:A,0))</f>
        <v>Green Tea (100 bags)</v>
      </c>
      <c r="O2162" t="str">
        <f>INDEX(Products!C:C,MATCH(OrdersTable[[#This Row],[Product ID]],Products!A:A,0))</f>
        <v>Wellness</v>
      </c>
      <c r="P2162">
        <v>1</v>
      </c>
      <c r="Q2162" s="5">
        <v>399</v>
      </c>
      <c r="R2162" s="74">
        <v>0.35</v>
      </c>
      <c r="S2162" s="75">
        <f>OrdersTable[[#This Row],[Quantity]]*OrdersTable[[#This Row],[Unit Price]]</f>
        <v>399</v>
      </c>
      <c r="T2162" s="5">
        <f>OrdersTable[[#This Row],[Gross Sale]]*OrdersTable[[#This Row],[Discount_Clean2]]</f>
        <v>139.64999999999998</v>
      </c>
      <c r="U2162" s="5">
        <f>OrdersTable[[#This Row],[Gross Sale]]-OrdersTable[[#This Row],[Discount Amount]]</f>
        <v>259.35000000000002</v>
      </c>
      <c r="V2162" s="77">
        <f>INDEX(Products!E:E,MATCH(OrdersTable[[#This Row],[Product ID]],Products!A:A,0))</f>
        <v>128</v>
      </c>
      <c r="W2162" s="77">
        <f>OrdersTable[[#This Row],[Quantity]]*OrdersTable[[#This Row],[Unit Cost]]</f>
        <v>128</v>
      </c>
      <c r="X2162" s="77">
        <f>'Dropdown Lists'!$I$2*(1+OrdersTable[[#This Row],[Returned]])</f>
        <v>60</v>
      </c>
      <c r="Y2162" s="76">
        <f>OrdersTable[[#This Row],[Net Revenue]]-OrdersTable[[#This Row],[COGS]]-OrdersTable[[#This Row],[Shipping Cost]]</f>
        <v>71.350000000000023</v>
      </c>
      <c r="Z2162" s="78">
        <f>IFERROR(OrdersTable[[#This Row],[Profit]]/OrdersTable[[#This Row],[Net Revenue]],0)</f>
        <v>0.27511085405822255</v>
      </c>
      <c r="AA2162" t="s">
        <v>18</v>
      </c>
      <c r="AB2162" s="79">
        <v>45665</v>
      </c>
      <c r="AC2162">
        <f>OrdersTable[[#This Row],[Delivery Date]]-OrdersTable[[#This Row],[Order Date]]</f>
        <v>2</v>
      </c>
      <c r="AD2162" t="str">
        <f>IF(OrdersTable[[#This Row],[Delivery Days]]&lt;=2, "Express (≤2d)", IF(OrdersTable[[#This Row],[Delivery Days]]&lt;=4, "Standard (3-4d)", "Delayed (5d+)"))</f>
        <v>Express (≤2d)</v>
      </c>
      <c r="AE2162">
        <v>5</v>
      </c>
      <c r="AF2162">
        <v>0</v>
      </c>
    </row>
    <row r="2163" spans="1:32" ht="15" x14ac:dyDescent="0.35">
      <c r="A2163" t="s">
        <v>962</v>
      </c>
      <c r="B2163" s="1">
        <v>45663</v>
      </c>
      <c r="C2163">
        <f>YEAR(OrdersTable[[#This Row],[Order Date]])</f>
        <v>2025</v>
      </c>
      <c r="D2163" s="2">
        <f>DATE(YEAR(OrdersTable[[#This Row],[Order Date]]),MONTH(OrdersTable[[#This Row],[Order Date]]),1)</f>
        <v>45658</v>
      </c>
      <c r="E2163">
        <f>MONTH(OrdersTable[[#This Row],[Order Date]])</f>
        <v>1</v>
      </c>
      <c r="F2163" t="s">
        <v>963</v>
      </c>
      <c r="G2163" t="str">
        <f>IF(OrdersTable[[#This Row],[Order Date]]=_xlfn.MINIFS(Order_Date, Customer_ID, OrdersTable[[#This Row],[Customer ID]]), "New", "Repeat")</f>
        <v>Repeat</v>
      </c>
      <c r="H2163" t="s">
        <v>316</v>
      </c>
      <c r="I2163" t="str">
        <f>INDEX(State!B:B,MATCH(OrdersTable[[#This Row],[State]],State!A:A,0))</f>
        <v>KL</v>
      </c>
      <c r="J2163" t="str">
        <f>INDEX(State!C:C,MATCH(OrdersTable[[#This Row],[State Code]],State!B:B,0))</f>
        <v>South</v>
      </c>
      <c r="K2163" t="s">
        <v>338</v>
      </c>
      <c r="L2163" t="s">
        <v>50</v>
      </c>
      <c r="M2163" t="s">
        <v>51</v>
      </c>
      <c r="N2163" t="str">
        <f>INDEX(Products!B:B,MATCH(OrdersTable[[#This Row],[Product ID]],Products!A:A,0))</f>
        <v>Anti-Dandruff Conditioner</v>
      </c>
      <c r="O2163" t="str">
        <f>INDEX(Products!C:C,MATCH(OrdersTable[[#This Row],[Product ID]],Products!A:A,0))</f>
        <v>Haircare</v>
      </c>
      <c r="P2163">
        <v>1</v>
      </c>
      <c r="Q2163" s="5">
        <v>399</v>
      </c>
      <c r="R2163" s="74">
        <v>0.3</v>
      </c>
      <c r="S2163" s="75">
        <f>OrdersTable[[#This Row],[Quantity]]*OrdersTable[[#This Row],[Unit Price]]</f>
        <v>399</v>
      </c>
      <c r="T2163" s="5">
        <f>OrdersTable[[#This Row],[Gross Sale]]*OrdersTable[[#This Row],[Discount_Clean2]]</f>
        <v>119.69999999999999</v>
      </c>
      <c r="U2163" s="5">
        <f>OrdersTable[[#This Row],[Gross Sale]]-OrdersTable[[#This Row],[Discount Amount]]</f>
        <v>279.3</v>
      </c>
      <c r="V2163" s="77">
        <f>INDEX(Products!E:E,MATCH(OrdersTable[[#This Row],[Product ID]],Products!A:A,0))</f>
        <v>136</v>
      </c>
      <c r="W2163" s="77">
        <f>OrdersTable[[#This Row],[Quantity]]*OrdersTable[[#This Row],[Unit Cost]]</f>
        <v>136</v>
      </c>
      <c r="X2163" s="77">
        <f>'Dropdown Lists'!$I$2*(1+OrdersTable[[#This Row],[Returned]])</f>
        <v>60</v>
      </c>
      <c r="Y2163" s="76">
        <f>OrdersTable[[#This Row],[Net Revenue]]-OrdersTable[[#This Row],[COGS]]-OrdersTable[[#This Row],[Shipping Cost]]</f>
        <v>83.300000000000011</v>
      </c>
      <c r="Z2163" s="78">
        <f>IFERROR(OrdersTable[[#This Row],[Profit]]/OrdersTable[[#This Row],[Net Revenue]],0)</f>
        <v>0.29824561403508776</v>
      </c>
      <c r="AA2163" t="s">
        <v>18</v>
      </c>
      <c r="AB2163" s="79">
        <v>45667</v>
      </c>
      <c r="AC2163">
        <f>OrdersTable[[#This Row],[Delivery Date]]-OrdersTable[[#This Row],[Order Date]]</f>
        <v>4</v>
      </c>
      <c r="AD2163" t="str">
        <f>IF(OrdersTable[[#This Row],[Delivery Days]]&lt;=2, "Express (≤2d)", IF(OrdersTable[[#This Row],[Delivery Days]]&lt;=4, "Standard (3-4d)", "Delayed (5d+)"))</f>
        <v>Standard (3-4d)</v>
      </c>
      <c r="AE2163">
        <v>4</v>
      </c>
      <c r="AF2163">
        <v>0</v>
      </c>
    </row>
    <row r="2164" spans="1:32" ht="15" x14ac:dyDescent="0.35">
      <c r="A2164" t="s">
        <v>5380</v>
      </c>
      <c r="B2164" s="1">
        <v>45664</v>
      </c>
      <c r="C2164">
        <f>YEAR(OrdersTable[[#This Row],[Order Date]])</f>
        <v>2025</v>
      </c>
      <c r="D2164" s="2">
        <f>DATE(YEAR(OrdersTable[[#This Row],[Order Date]]),MONTH(OrdersTable[[#This Row],[Order Date]]),1)</f>
        <v>45658</v>
      </c>
      <c r="E2164">
        <f>MONTH(OrdersTable[[#This Row],[Order Date]])</f>
        <v>1</v>
      </c>
      <c r="F2164" t="s">
        <v>3321</v>
      </c>
      <c r="G2164" t="str">
        <f>IF(OrdersTable[[#This Row],[Order Date]]=_xlfn.MINIFS(Order_Date, Customer_ID, OrdersTable[[#This Row],[Customer ID]]), "New", "Repeat")</f>
        <v>New</v>
      </c>
      <c r="H2164" t="s">
        <v>54</v>
      </c>
      <c r="I2164" t="str">
        <f>INDEX(State!B:B,MATCH(OrdersTable[[#This Row],[State]],State!A:A,0))</f>
        <v>RJ</v>
      </c>
      <c r="J2164" t="str">
        <f>INDEX(State!C:C,MATCH(OrdersTable[[#This Row],[State Code]],State!B:B,0))</f>
        <v>North</v>
      </c>
      <c r="K2164" t="s">
        <v>55</v>
      </c>
      <c r="L2164" t="s">
        <v>65</v>
      </c>
      <c r="M2164" t="s">
        <v>61</v>
      </c>
      <c r="N2164" t="str">
        <f>INDEX(Products!B:B,MATCH(OrdersTable[[#This Row],[Product ID]],Products!A:A,0))</f>
        <v>Multivitamin Gummies</v>
      </c>
      <c r="O2164" t="str">
        <f>INDEX(Products!C:C,MATCH(OrdersTable[[#This Row],[Product ID]],Products!A:A,0))</f>
        <v>Wellness</v>
      </c>
      <c r="P2164">
        <v>2</v>
      </c>
      <c r="Q2164" s="5">
        <v>699</v>
      </c>
      <c r="R2164" s="74">
        <v>0.3</v>
      </c>
      <c r="S2164" s="75">
        <f>OrdersTable[[#This Row],[Quantity]]*OrdersTable[[#This Row],[Unit Price]]</f>
        <v>1398</v>
      </c>
      <c r="T2164" s="5">
        <f>OrdersTable[[#This Row],[Gross Sale]]*OrdersTable[[#This Row],[Discount_Clean2]]</f>
        <v>419.4</v>
      </c>
      <c r="U2164" s="5">
        <f>OrdersTable[[#This Row],[Gross Sale]]-OrdersTable[[#This Row],[Discount Amount]]</f>
        <v>978.6</v>
      </c>
      <c r="V2164" s="77">
        <f>INDEX(Products!E:E,MATCH(OrdersTable[[#This Row],[Product ID]],Products!A:A,0))</f>
        <v>238</v>
      </c>
      <c r="W2164" s="77">
        <f>OrdersTable[[#This Row],[Quantity]]*OrdersTable[[#This Row],[Unit Cost]]</f>
        <v>476</v>
      </c>
      <c r="X2164" s="77">
        <f>'Dropdown Lists'!$I$2*(1+OrdersTable[[#This Row],[Returned]])</f>
        <v>60</v>
      </c>
      <c r="Y2164" s="76">
        <f>OrdersTable[[#This Row],[Net Revenue]]-OrdersTable[[#This Row],[COGS]]-OrdersTable[[#This Row],[Shipping Cost]]</f>
        <v>442.6</v>
      </c>
      <c r="Z2164" s="78">
        <f>IFERROR(OrdersTable[[#This Row],[Profit]]/OrdersTable[[#This Row],[Net Revenue]],0)</f>
        <v>0.45227876558348662</v>
      </c>
      <c r="AA2164" t="s">
        <v>2522</v>
      </c>
      <c r="AB2164" s="79">
        <v>45669</v>
      </c>
      <c r="AC2164">
        <f>OrdersTable[[#This Row],[Delivery Date]]-OrdersTable[[#This Row],[Order Date]]</f>
        <v>5</v>
      </c>
      <c r="AD2164" t="str">
        <f>IF(OrdersTable[[#This Row],[Delivery Days]]&lt;=2, "Express (≤2d)", IF(OrdersTable[[#This Row],[Delivery Days]]&lt;=4, "Standard (3-4d)", "Delayed (5d+)"))</f>
        <v>Delayed (5d+)</v>
      </c>
      <c r="AE2164">
        <v>3</v>
      </c>
      <c r="AF2164">
        <v>0</v>
      </c>
    </row>
    <row r="2165" spans="1:32" ht="15" x14ac:dyDescent="0.35">
      <c r="A2165" t="s">
        <v>2770</v>
      </c>
      <c r="B2165" s="1">
        <v>45664</v>
      </c>
      <c r="C2165">
        <f>YEAR(OrdersTable[[#This Row],[Order Date]])</f>
        <v>2025</v>
      </c>
      <c r="D2165" s="2">
        <f>DATE(YEAR(OrdersTable[[#This Row],[Order Date]]),MONTH(OrdersTable[[#This Row],[Order Date]]),1)</f>
        <v>45658</v>
      </c>
      <c r="E2165">
        <f>MONTH(OrdersTable[[#This Row],[Order Date]])</f>
        <v>1</v>
      </c>
      <c r="F2165" t="s">
        <v>2771</v>
      </c>
      <c r="G2165" t="str">
        <f>IF(OrdersTable[[#This Row],[Order Date]]=_xlfn.MINIFS(Order_Date, Customer_ID, OrdersTable[[#This Row],[Customer ID]]), "New", "Repeat")</f>
        <v>New</v>
      </c>
      <c r="H2165" t="s">
        <v>54</v>
      </c>
      <c r="I2165" t="str">
        <f>INDEX(State!B:B,MATCH(OrdersTable[[#This Row],[State]],State!A:A,0))</f>
        <v>RJ</v>
      </c>
      <c r="J2165" t="str">
        <f>INDEX(State!C:C,MATCH(OrdersTable[[#This Row],[State Code]],State!B:B,0))</f>
        <v>North</v>
      </c>
      <c r="K2165" t="s">
        <v>227</v>
      </c>
      <c r="L2165" t="s">
        <v>23</v>
      </c>
      <c r="M2165" t="s">
        <v>179</v>
      </c>
      <c r="N2165" t="str">
        <f>INDEX(Products!B:B,MATCH(OrdersTable[[#This Row],[Product ID]],Products!A:A,0))</f>
        <v>Whey Protein 1kg</v>
      </c>
      <c r="O2165" t="str">
        <f>INDEX(Products!C:C,MATCH(OrdersTable[[#This Row],[Product ID]],Products!A:A,0))</f>
        <v>Wellness</v>
      </c>
      <c r="P2165">
        <v>1</v>
      </c>
      <c r="Q2165" s="5">
        <v>2299</v>
      </c>
      <c r="R2165" s="74">
        <v>0.35</v>
      </c>
      <c r="S2165" s="75">
        <f>OrdersTable[[#This Row],[Quantity]]*OrdersTable[[#This Row],[Unit Price]]</f>
        <v>2299</v>
      </c>
      <c r="T2165" s="5">
        <f>OrdersTable[[#This Row],[Gross Sale]]*OrdersTable[[#This Row],[Discount_Clean2]]</f>
        <v>804.65</v>
      </c>
      <c r="U2165" s="5">
        <f>OrdersTable[[#This Row],[Gross Sale]]-OrdersTable[[#This Row],[Discount Amount]]</f>
        <v>1494.35</v>
      </c>
      <c r="V2165" s="77">
        <f>INDEX(Products!E:E,MATCH(OrdersTable[[#This Row],[Product ID]],Products!A:A,0))</f>
        <v>1333</v>
      </c>
      <c r="W2165" s="77">
        <f>OrdersTable[[#This Row],[Quantity]]*OrdersTable[[#This Row],[Unit Cost]]</f>
        <v>1333</v>
      </c>
      <c r="X2165" s="77">
        <f>'Dropdown Lists'!$I$2*(1+OrdersTable[[#This Row],[Returned]])</f>
        <v>60</v>
      </c>
      <c r="Y2165" s="76">
        <f>OrdersTable[[#This Row],[Net Revenue]]-OrdersTable[[#This Row],[COGS]]-OrdersTable[[#This Row],[Shipping Cost]]</f>
        <v>101.34999999999991</v>
      </c>
      <c r="Z2165" s="78">
        <f>IFERROR(OrdersTable[[#This Row],[Profit]]/OrdersTable[[#This Row],[Net Revenue]],0)</f>
        <v>6.7822130023086902E-2</v>
      </c>
      <c r="AA2165" t="s">
        <v>2522</v>
      </c>
      <c r="AB2165" s="79">
        <v>45667</v>
      </c>
      <c r="AC2165">
        <f>OrdersTable[[#This Row],[Delivery Date]]-OrdersTable[[#This Row],[Order Date]]</f>
        <v>3</v>
      </c>
      <c r="AD2165" t="str">
        <f>IF(OrdersTable[[#This Row],[Delivery Days]]&lt;=2, "Express (≤2d)", IF(OrdersTable[[#This Row],[Delivery Days]]&lt;=4, "Standard (3-4d)", "Delayed (5d+)"))</f>
        <v>Standard (3-4d)</v>
      </c>
      <c r="AE2165">
        <v>3</v>
      </c>
      <c r="AF2165">
        <v>0</v>
      </c>
    </row>
    <row r="2166" spans="1:32" ht="15" x14ac:dyDescent="0.35">
      <c r="A2166" t="s">
        <v>2500</v>
      </c>
      <c r="B2166" s="1">
        <v>45664</v>
      </c>
      <c r="C2166">
        <f>YEAR(OrdersTable[[#This Row],[Order Date]])</f>
        <v>2025</v>
      </c>
      <c r="D2166" s="2">
        <f>DATE(YEAR(OrdersTable[[#This Row],[Order Date]]),MONTH(OrdersTable[[#This Row],[Order Date]]),1)</f>
        <v>45658</v>
      </c>
      <c r="E2166">
        <f>MONTH(OrdersTable[[#This Row],[Order Date]])</f>
        <v>1</v>
      </c>
      <c r="F2166" t="s">
        <v>2501</v>
      </c>
      <c r="G2166" t="str">
        <f>IF(OrdersTable[[#This Row],[Order Date]]=_xlfn.MINIFS(Order_Date, Customer_ID, OrdersTable[[#This Row],[Customer ID]]), "New", "Repeat")</f>
        <v>Repeat</v>
      </c>
      <c r="H2166" t="s">
        <v>54</v>
      </c>
      <c r="I2166" t="str">
        <f>INDEX(State!B:B,MATCH(OrdersTable[[#This Row],[State]],State!A:A,0))</f>
        <v>RJ</v>
      </c>
      <c r="J2166" t="str">
        <f>INDEX(State!C:C,MATCH(OrdersTable[[#This Row],[State Code]],State!B:B,0))</f>
        <v>North</v>
      </c>
      <c r="K2166" t="s">
        <v>227</v>
      </c>
      <c r="L2166" t="s">
        <v>65</v>
      </c>
      <c r="M2166" t="s">
        <v>84</v>
      </c>
      <c r="N2166" t="str">
        <f>INDEX(Products!B:B,MATCH(OrdersTable[[#This Row],[Product ID]],Products!A:A,0))</f>
        <v>Cotton Bedsheet</v>
      </c>
      <c r="O2166" t="str">
        <f>INDEX(Products!C:C,MATCH(OrdersTable[[#This Row],[Product ID]],Products!A:A,0))</f>
        <v>Home &amp; Kitchen</v>
      </c>
      <c r="P2166">
        <v>1</v>
      </c>
      <c r="Q2166" s="5">
        <v>1299</v>
      </c>
      <c r="R2166" s="74">
        <v>0</v>
      </c>
      <c r="S2166" s="75">
        <f>OrdersTable[[#This Row],[Quantity]]*OrdersTable[[#This Row],[Unit Price]]</f>
        <v>1299</v>
      </c>
      <c r="T2166" s="5">
        <f>OrdersTable[[#This Row],[Gross Sale]]*OrdersTable[[#This Row],[Discount_Clean2]]</f>
        <v>0</v>
      </c>
      <c r="U2166" s="5">
        <f>OrdersTable[[#This Row],[Gross Sale]]-OrdersTable[[#This Row],[Discount Amount]]</f>
        <v>1299</v>
      </c>
      <c r="V2166" s="77">
        <f>INDEX(Products!E:E,MATCH(OrdersTable[[#This Row],[Product ID]],Products!A:A,0))</f>
        <v>585</v>
      </c>
      <c r="W2166" s="77">
        <f>OrdersTable[[#This Row],[Quantity]]*OrdersTable[[#This Row],[Unit Cost]]</f>
        <v>585</v>
      </c>
      <c r="X2166" s="77">
        <f>'Dropdown Lists'!$I$2*(1+OrdersTable[[#This Row],[Returned]])</f>
        <v>120</v>
      </c>
      <c r="Y2166" s="76">
        <f>OrdersTable[[#This Row],[Net Revenue]]-OrdersTable[[#This Row],[COGS]]-OrdersTable[[#This Row],[Shipping Cost]]</f>
        <v>594</v>
      </c>
      <c r="Z2166" s="78">
        <f>IFERROR(OrdersTable[[#This Row],[Profit]]/OrdersTable[[#This Row],[Net Revenue]],0)</f>
        <v>0.45727482678983833</v>
      </c>
      <c r="AA2166" t="s">
        <v>18</v>
      </c>
      <c r="AB2166" s="79">
        <v>45669</v>
      </c>
      <c r="AC2166">
        <f>OrdersTable[[#This Row],[Delivery Date]]-OrdersTable[[#This Row],[Order Date]]</f>
        <v>5</v>
      </c>
      <c r="AD2166" t="str">
        <f>IF(OrdersTable[[#This Row],[Delivery Days]]&lt;=2, "Express (≤2d)", IF(OrdersTable[[#This Row],[Delivery Days]]&lt;=4, "Standard (3-4d)", "Delayed (5d+)"))</f>
        <v>Delayed (5d+)</v>
      </c>
      <c r="AE2166">
        <v>2</v>
      </c>
      <c r="AF2166">
        <v>1</v>
      </c>
    </row>
    <row r="2167" spans="1:32" ht="15" x14ac:dyDescent="0.35">
      <c r="A2167" t="s">
        <v>1390</v>
      </c>
      <c r="B2167" s="1">
        <v>45664</v>
      </c>
      <c r="C2167">
        <f>YEAR(OrdersTable[[#This Row],[Order Date]])</f>
        <v>2025</v>
      </c>
      <c r="D2167" s="2">
        <f>DATE(YEAR(OrdersTable[[#This Row],[Order Date]]),MONTH(OrdersTable[[#This Row],[Order Date]]),1)</f>
        <v>45658</v>
      </c>
      <c r="E2167">
        <f>MONTH(OrdersTable[[#This Row],[Order Date]])</f>
        <v>1</v>
      </c>
      <c r="F2167" t="s">
        <v>1391</v>
      </c>
      <c r="G2167" t="str">
        <f>IF(OrdersTable[[#This Row],[Order Date]]=_xlfn.MINIFS(Order_Date, Customer_ID, OrdersTable[[#This Row],[Customer ID]]), "New", "Repeat")</f>
        <v>Repeat</v>
      </c>
      <c r="H2167" t="s">
        <v>37</v>
      </c>
      <c r="I2167" t="str">
        <f>INDEX(State!B:B,MATCH(OrdersTable[[#This Row],[State]],State!A:A,0))</f>
        <v>GJ</v>
      </c>
      <c r="J2167" t="str">
        <f>INDEX(State!C:C,MATCH(OrdersTable[[#This Row],[State Code]],State!B:B,0))</f>
        <v>West</v>
      </c>
      <c r="K2167" t="s">
        <v>38</v>
      </c>
      <c r="L2167" t="s">
        <v>23</v>
      </c>
      <c r="M2167" t="s">
        <v>106</v>
      </c>
      <c r="N2167" t="str">
        <f>INDEX(Products!B:B,MATCH(OrdersTable[[#This Row],[Product ID]],Products!A:A,0))</f>
        <v>Keratin Hair Mask</v>
      </c>
      <c r="O2167" t="str">
        <f>INDEX(Products!C:C,MATCH(OrdersTable[[#This Row],[Product ID]],Products!A:A,0))</f>
        <v>Haircare</v>
      </c>
      <c r="P2167">
        <v>1</v>
      </c>
      <c r="Q2167" s="5">
        <v>549</v>
      </c>
      <c r="R2167" s="74">
        <v>0.25</v>
      </c>
      <c r="S2167" s="75">
        <f>OrdersTable[[#This Row],[Quantity]]*OrdersTable[[#This Row],[Unit Price]]</f>
        <v>549</v>
      </c>
      <c r="T2167" s="5">
        <f>OrdersTable[[#This Row],[Gross Sale]]*OrdersTable[[#This Row],[Discount_Clean2]]</f>
        <v>137.25</v>
      </c>
      <c r="U2167" s="5">
        <f>OrdersTable[[#This Row],[Gross Sale]]-OrdersTable[[#This Row],[Discount Amount]]</f>
        <v>411.75</v>
      </c>
      <c r="V2167" s="77">
        <f>INDEX(Products!E:E,MATCH(OrdersTable[[#This Row],[Product ID]],Products!A:A,0))</f>
        <v>170</v>
      </c>
      <c r="W2167" s="77">
        <f>OrdersTable[[#This Row],[Quantity]]*OrdersTable[[#This Row],[Unit Cost]]</f>
        <v>170</v>
      </c>
      <c r="X2167" s="77">
        <f>'Dropdown Lists'!$I$2*(1+OrdersTable[[#This Row],[Returned]])</f>
        <v>60</v>
      </c>
      <c r="Y2167" s="76">
        <f>OrdersTable[[#This Row],[Net Revenue]]-OrdersTable[[#This Row],[COGS]]-OrdersTable[[#This Row],[Shipping Cost]]</f>
        <v>181.75</v>
      </c>
      <c r="Z2167" s="78">
        <f>IFERROR(OrdersTable[[#This Row],[Profit]]/OrdersTable[[#This Row],[Net Revenue]],0)</f>
        <v>0.44140862173649059</v>
      </c>
      <c r="AA2167" t="s">
        <v>18</v>
      </c>
      <c r="AB2167" s="79">
        <v>45667</v>
      </c>
      <c r="AC2167">
        <f>OrdersTable[[#This Row],[Delivery Date]]-OrdersTable[[#This Row],[Order Date]]</f>
        <v>3</v>
      </c>
      <c r="AD2167" t="str">
        <f>IF(OrdersTable[[#This Row],[Delivery Days]]&lt;=2, "Express (≤2d)", IF(OrdersTable[[#This Row],[Delivery Days]]&lt;=4, "Standard (3-4d)", "Delayed (5d+)"))</f>
        <v>Standard (3-4d)</v>
      </c>
      <c r="AF2167">
        <v>0</v>
      </c>
    </row>
    <row r="2168" spans="1:32" ht="15" x14ac:dyDescent="0.35">
      <c r="A2168" t="s">
        <v>552</v>
      </c>
      <c r="B2168" s="1">
        <v>45664</v>
      </c>
      <c r="C2168">
        <f>YEAR(OrdersTable[[#This Row],[Order Date]])</f>
        <v>2025</v>
      </c>
      <c r="D2168" s="2">
        <f>DATE(YEAR(OrdersTable[[#This Row],[Order Date]]),MONTH(OrdersTable[[#This Row],[Order Date]]),1)</f>
        <v>45658</v>
      </c>
      <c r="E2168">
        <f>MONTH(OrdersTable[[#This Row],[Order Date]])</f>
        <v>1</v>
      </c>
      <c r="F2168" t="s">
        <v>553</v>
      </c>
      <c r="G2168" t="str">
        <f>IF(OrdersTable[[#This Row],[Order Date]]=_xlfn.MINIFS(Order_Date, Customer_ID, OrdersTable[[#This Row],[Customer ID]]), "New", "Repeat")</f>
        <v>Repeat</v>
      </c>
      <c r="H2168" t="s">
        <v>71</v>
      </c>
      <c r="I2168" t="str">
        <f>INDEX(State!B:B,MATCH(OrdersTable[[#This Row],[State]],State!A:A,0))</f>
        <v>MH</v>
      </c>
      <c r="J2168" t="str">
        <f>INDEX(State!C:C,MATCH(OrdersTable[[#This Row],[State Code]],State!B:B,0))</f>
        <v>West</v>
      </c>
      <c r="K2168" t="s">
        <v>72</v>
      </c>
      <c r="L2168" t="s">
        <v>23</v>
      </c>
      <c r="M2168" t="s">
        <v>92</v>
      </c>
      <c r="N2168" t="str">
        <f>INDEX(Products!B:B,MATCH(OrdersTable[[#This Row],[Product ID]],Products!A:A,0))</f>
        <v>Kolhapuri Sandals</v>
      </c>
      <c r="O2168" t="str">
        <f>INDEX(Products!C:C,MATCH(OrdersTable[[#This Row],[Product ID]],Products!A:A,0))</f>
        <v>Footwear</v>
      </c>
      <c r="P2168">
        <v>1</v>
      </c>
      <c r="Q2168" s="5">
        <v>999</v>
      </c>
      <c r="R2168" s="74">
        <v>0.1</v>
      </c>
      <c r="S2168" s="75">
        <f>OrdersTable[[#This Row],[Quantity]]*OrdersTable[[#This Row],[Unit Price]]</f>
        <v>999</v>
      </c>
      <c r="T2168" s="5">
        <f>OrdersTable[[#This Row],[Gross Sale]]*OrdersTable[[#This Row],[Discount_Clean2]]</f>
        <v>99.9</v>
      </c>
      <c r="U2168" s="5">
        <f>OrdersTable[[#This Row],[Gross Sale]]-OrdersTable[[#This Row],[Discount Amount]]</f>
        <v>899.1</v>
      </c>
      <c r="V2168" s="77">
        <f>INDEX(Products!E:E,MATCH(OrdersTable[[#This Row],[Product ID]],Products!A:A,0))</f>
        <v>400</v>
      </c>
      <c r="W2168" s="77">
        <f>OrdersTable[[#This Row],[Quantity]]*OrdersTable[[#This Row],[Unit Cost]]</f>
        <v>400</v>
      </c>
      <c r="X2168" s="77">
        <f>'Dropdown Lists'!$I$2*(1+OrdersTable[[#This Row],[Returned]])</f>
        <v>60</v>
      </c>
      <c r="Y2168" s="76">
        <f>OrdersTable[[#This Row],[Net Revenue]]-OrdersTable[[#This Row],[COGS]]-OrdersTable[[#This Row],[Shipping Cost]]</f>
        <v>439.1</v>
      </c>
      <c r="Z2168" s="78">
        <f>IFERROR(OrdersTable[[#This Row],[Profit]]/OrdersTable[[#This Row],[Net Revenue]],0)</f>
        <v>0.48837726615504395</v>
      </c>
      <c r="AA2168" t="s">
        <v>18</v>
      </c>
      <c r="AB2168" s="79">
        <v>45665</v>
      </c>
      <c r="AC2168">
        <f>OrdersTable[[#This Row],[Delivery Date]]-OrdersTable[[#This Row],[Order Date]]</f>
        <v>1</v>
      </c>
      <c r="AD2168" t="str">
        <f>IF(OrdersTable[[#This Row],[Delivery Days]]&lt;=2, "Express (≤2d)", IF(OrdersTable[[#This Row],[Delivery Days]]&lt;=4, "Standard (3-4d)", "Delayed (5d+)"))</f>
        <v>Express (≤2d)</v>
      </c>
      <c r="AE2168">
        <v>4</v>
      </c>
      <c r="AF2168">
        <v>0</v>
      </c>
    </row>
    <row r="2169" spans="1:32" ht="15" x14ac:dyDescent="0.35">
      <c r="A2169" t="s">
        <v>6704</v>
      </c>
      <c r="B2169" s="1">
        <v>45664</v>
      </c>
      <c r="C2169">
        <f>YEAR(OrdersTable[[#This Row],[Order Date]])</f>
        <v>2025</v>
      </c>
      <c r="D2169" s="2">
        <f>DATE(YEAR(OrdersTable[[#This Row],[Order Date]]),MONTH(OrdersTable[[#This Row],[Order Date]]),1)</f>
        <v>45658</v>
      </c>
      <c r="E2169">
        <f>MONTH(OrdersTable[[#This Row],[Order Date]])</f>
        <v>1</v>
      </c>
      <c r="F2169" t="s">
        <v>6132</v>
      </c>
      <c r="G2169" t="str">
        <f>IF(OrdersTable[[#This Row],[Order Date]]=_xlfn.MINIFS(Order_Date, Customer_ID, OrdersTable[[#This Row],[Customer ID]]), "New", "Repeat")</f>
        <v>Repeat</v>
      </c>
      <c r="H2169" t="s">
        <v>95</v>
      </c>
      <c r="I2169" t="str">
        <f>INDEX(State!B:B,MATCH(OrdersTable[[#This Row],[State]],State!A:A,0))</f>
        <v>TG</v>
      </c>
      <c r="J2169" t="str">
        <f>INDEX(State!C:C,MATCH(OrdersTable[[#This Row],[State Code]],State!B:B,0))</f>
        <v>South</v>
      </c>
      <c r="K2169" t="s">
        <v>96</v>
      </c>
      <c r="L2169" t="s">
        <v>65</v>
      </c>
      <c r="M2169" t="s">
        <v>173</v>
      </c>
      <c r="N2169" t="str">
        <f>INDEX(Products!B:B,MATCH(OrdersTable[[#This Row],[Product ID]],Products!A:A,0))</f>
        <v>Wireless Earbuds</v>
      </c>
      <c r="O2169" t="str">
        <f>INDEX(Products!C:C,MATCH(OrdersTable[[#This Row],[Product ID]],Products!A:A,0))</f>
        <v>Electronics</v>
      </c>
      <c r="P2169">
        <v>3</v>
      </c>
      <c r="Q2169" s="5">
        <v>1999</v>
      </c>
      <c r="R2169" s="74">
        <v>0.35</v>
      </c>
      <c r="S2169" s="75">
        <f>OrdersTable[[#This Row],[Quantity]]*OrdersTable[[#This Row],[Unit Price]]</f>
        <v>5997</v>
      </c>
      <c r="T2169" s="5">
        <f>OrdersTable[[#This Row],[Gross Sale]]*OrdersTable[[#This Row],[Discount_Clean2]]</f>
        <v>2098.9499999999998</v>
      </c>
      <c r="U2169" s="5">
        <f>OrdersTable[[#This Row],[Gross Sale]]-OrdersTable[[#This Row],[Discount Amount]]</f>
        <v>3898.05</v>
      </c>
      <c r="V2169" s="77">
        <f>INDEX(Products!E:E,MATCH(OrdersTable[[#This Row],[Product ID]],Products!A:A,0))</f>
        <v>1239</v>
      </c>
      <c r="W2169" s="77">
        <f>OrdersTable[[#This Row],[Quantity]]*OrdersTable[[#This Row],[Unit Cost]]</f>
        <v>3717</v>
      </c>
      <c r="X2169" s="77">
        <f>'Dropdown Lists'!$I$2*(1+OrdersTable[[#This Row],[Returned]])</f>
        <v>60</v>
      </c>
      <c r="Y2169" s="76">
        <f>OrdersTable[[#This Row],[Net Revenue]]-OrdersTable[[#This Row],[COGS]]-OrdersTable[[#This Row],[Shipping Cost]]</f>
        <v>121.05000000000018</v>
      </c>
      <c r="Z2169" s="78">
        <f>IFERROR(OrdersTable[[#This Row],[Profit]]/OrdersTable[[#This Row],[Net Revenue]],0)</f>
        <v>3.1053988532727946E-2</v>
      </c>
      <c r="AA2169" t="s">
        <v>2522</v>
      </c>
      <c r="AB2169" s="79">
        <v>45666</v>
      </c>
      <c r="AC2169">
        <f>OrdersTable[[#This Row],[Delivery Date]]-OrdersTable[[#This Row],[Order Date]]</f>
        <v>2</v>
      </c>
      <c r="AD2169" t="str">
        <f>IF(OrdersTable[[#This Row],[Delivery Days]]&lt;=2, "Express (≤2d)", IF(OrdersTable[[#This Row],[Delivery Days]]&lt;=4, "Standard (3-4d)", "Delayed (5d+)"))</f>
        <v>Express (≤2d)</v>
      </c>
      <c r="AF2169">
        <v>0</v>
      </c>
    </row>
    <row r="2170" spans="1:32" ht="15" x14ac:dyDescent="0.35">
      <c r="A2170" t="s">
        <v>3747</v>
      </c>
      <c r="B2170" s="1">
        <v>45664</v>
      </c>
      <c r="C2170">
        <f>YEAR(OrdersTable[[#This Row],[Order Date]])</f>
        <v>2025</v>
      </c>
      <c r="D2170" s="2">
        <f>DATE(YEAR(OrdersTable[[#This Row],[Order Date]]),MONTH(OrdersTable[[#This Row],[Order Date]]),1)</f>
        <v>45658</v>
      </c>
      <c r="E2170">
        <f>MONTH(OrdersTable[[#This Row],[Order Date]])</f>
        <v>1</v>
      </c>
      <c r="F2170" t="s">
        <v>913</v>
      </c>
      <c r="G2170" t="str">
        <f>IF(OrdersTable[[#This Row],[Order Date]]=_xlfn.MINIFS(Order_Date, Customer_ID, OrdersTable[[#This Row],[Customer ID]]), "New", "Repeat")</f>
        <v>Repeat</v>
      </c>
      <c r="H2170" t="s">
        <v>90</v>
      </c>
      <c r="I2170" t="str">
        <f>INDEX(State!B:B,MATCH(OrdersTable[[#This Row],[State]],State!A:A,0))</f>
        <v>GA</v>
      </c>
      <c r="J2170" t="str">
        <f>INDEX(State!C:C,MATCH(OrdersTable[[#This Row],[State Code]],State!B:B,0))</f>
        <v>West</v>
      </c>
      <c r="K2170" t="s">
        <v>91</v>
      </c>
      <c r="L2170" t="s">
        <v>16</v>
      </c>
      <c r="M2170" t="s">
        <v>205</v>
      </c>
      <c r="N2170" t="str">
        <f>INDEX(Products!B:B,MATCH(OrdersTable[[#This Row],[Product ID]],Products!A:A,0))</f>
        <v>Running Shoes</v>
      </c>
      <c r="O2170" t="str">
        <f>INDEX(Products!C:C,MATCH(OrdersTable[[#This Row],[Product ID]],Products!A:A,0))</f>
        <v>Footwear</v>
      </c>
      <c r="P2170">
        <v>1</v>
      </c>
      <c r="Q2170" s="5">
        <v>2999</v>
      </c>
      <c r="R2170" s="74">
        <v>0.2</v>
      </c>
      <c r="S2170" s="75">
        <f>OrdersTable[[#This Row],[Quantity]]*OrdersTable[[#This Row],[Unit Price]]</f>
        <v>2999</v>
      </c>
      <c r="T2170" s="5">
        <f>OrdersTable[[#This Row],[Gross Sale]]*OrdersTable[[#This Row],[Discount_Clean2]]</f>
        <v>599.80000000000007</v>
      </c>
      <c r="U2170" s="5">
        <f>OrdersTable[[#This Row],[Gross Sale]]-OrdersTable[[#This Row],[Discount Amount]]</f>
        <v>2399.1999999999998</v>
      </c>
      <c r="V2170" s="77">
        <f>INDEX(Products!E:E,MATCH(OrdersTable[[#This Row],[Product ID]],Products!A:A,0))</f>
        <v>1440</v>
      </c>
      <c r="W2170" s="77">
        <f>OrdersTable[[#This Row],[Quantity]]*OrdersTable[[#This Row],[Unit Cost]]</f>
        <v>1440</v>
      </c>
      <c r="X2170" s="77">
        <f>'Dropdown Lists'!$I$2*(1+OrdersTable[[#This Row],[Returned]])</f>
        <v>120</v>
      </c>
      <c r="Y2170" s="76">
        <f>OrdersTable[[#This Row],[Net Revenue]]-OrdersTable[[#This Row],[COGS]]-OrdersTable[[#This Row],[Shipping Cost]]</f>
        <v>839.19999999999982</v>
      </c>
      <c r="Z2170" s="78">
        <f>IFERROR(OrdersTable[[#This Row],[Profit]]/OrdersTable[[#This Row],[Net Revenue]],0)</f>
        <v>0.34978326108702895</v>
      </c>
      <c r="AA2170" t="s">
        <v>3495</v>
      </c>
      <c r="AB2170" s="79">
        <v>45668</v>
      </c>
      <c r="AC2170">
        <f>OrdersTable[[#This Row],[Delivery Date]]-OrdersTable[[#This Row],[Order Date]]</f>
        <v>4</v>
      </c>
      <c r="AD2170" t="str">
        <f>IF(OrdersTable[[#This Row],[Delivery Days]]&lt;=2, "Express (≤2d)", IF(OrdersTable[[#This Row],[Delivery Days]]&lt;=4, "Standard (3-4d)", "Delayed (5d+)"))</f>
        <v>Standard (3-4d)</v>
      </c>
      <c r="AF2170">
        <v>1</v>
      </c>
    </row>
    <row r="2171" spans="1:32" ht="15" x14ac:dyDescent="0.35">
      <c r="A2171" t="s">
        <v>964</v>
      </c>
      <c r="B2171" s="1">
        <v>45664</v>
      </c>
      <c r="C2171">
        <f>YEAR(OrdersTable[[#This Row],[Order Date]])</f>
        <v>2025</v>
      </c>
      <c r="D2171" s="2">
        <f>DATE(YEAR(OrdersTable[[#This Row],[Order Date]]),MONTH(OrdersTable[[#This Row],[Order Date]]),1)</f>
        <v>45658</v>
      </c>
      <c r="E2171">
        <f>MONTH(OrdersTable[[#This Row],[Order Date]])</f>
        <v>1</v>
      </c>
      <c r="F2171" t="s">
        <v>593</v>
      </c>
      <c r="G2171" t="str">
        <f>IF(OrdersTable[[#This Row],[Order Date]]=_xlfn.MINIFS(Order_Date, Customer_ID, OrdersTable[[#This Row],[Customer ID]]), "New", "Repeat")</f>
        <v>Repeat</v>
      </c>
      <c r="H2171" t="s">
        <v>167</v>
      </c>
      <c r="I2171" t="str">
        <f>INDEX(State!B:B,MATCH(OrdersTable[[#This Row],[State]],State!A:A,0))</f>
        <v>KA</v>
      </c>
      <c r="J2171" t="str">
        <f>INDEX(State!C:C,MATCH(OrdersTable[[#This Row],[State Code]],State!B:B,0))</f>
        <v>South</v>
      </c>
      <c r="K2171" t="s">
        <v>168</v>
      </c>
      <c r="L2171" t="s">
        <v>23</v>
      </c>
      <c r="M2171" t="s">
        <v>125</v>
      </c>
      <c r="N2171" t="str">
        <f>INDEX(Products!B:B,MATCH(OrdersTable[[#This Row],[Product ID]],Products!A:A,0))</f>
        <v>Copper Water Bottle</v>
      </c>
      <c r="O2171" t="str">
        <f>INDEX(Products!C:C,MATCH(OrdersTable[[#This Row],[Product ID]],Products!A:A,0))</f>
        <v>Home &amp; Kitchen</v>
      </c>
      <c r="P2171">
        <v>1</v>
      </c>
      <c r="Q2171" s="5">
        <v>899</v>
      </c>
      <c r="R2171" s="74">
        <v>0.05</v>
      </c>
      <c r="S2171" s="75">
        <f>OrdersTable[[#This Row],[Quantity]]*OrdersTable[[#This Row],[Unit Price]]</f>
        <v>899</v>
      </c>
      <c r="T2171" s="5">
        <f>OrdersTable[[#This Row],[Gross Sale]]*OrdersTable[[#This Row],[Discount_Clean2]]</f>
        <v>44.95</v>
      </c>
      <c r="U2171" s="5">
        <f>OrdersTable[[#This Row],[Gross Sale]]-OrdersTable[[#This Row],[Discount Amount]]</f>
        <v>854.05</v>
      </c>
      <c r="V2171" s="77">
        <f>INDEX(Products!E:E,MATCH(OrdersTable[[#This Row],[Product ID]],Products!A:A,0))</f>
        <v>378</v>
      </c>
      <c r="W2171" s="77">
        <f>OrdersTable[[#This Row],[Quantity]]*OrdersTable[[#This Row],[Unit Cost]]</f>
        <v>378</v>
      </c>
      <c r="X2171" s="77">
        <f>'Dropdown Lists'!$I$2*(1+OrdersTable[[#This Row],[Returned]])</f>
        <v>60</v>
      </c>
      <c r="Y2171" s="76">
        <f>OrdersTable[[#This Row],[Net Revenue]]-OrdersTable[[#This Row],[COGS]]-OrdersTable[[#This Row],[Shipping Cost]]</f>
        <v>416.04999999999995</v>
      </c>
      <c r="Z2171" s="78">
        <f>IFERROR(OrdersTable[[#This Row],[Profit]]/OrdersTable[[#This Row],[Net Revenue]],0)</f>
        <v>0.48714946431707745</v>
      </c>
      <c r="AA2171" t="s">
        <v>18</v>
      </c>
      <c r="AB2171" s="79">
        <v>45665</v>
      </c>
      <c r="AC2171">
        <f>OrdersTable[[#This Row],[Delivery Date]]-OrdersTable[[#This Row],[Order Date]]</f>
        <v>1</v>
      </c>
      <c r="AD2171" t="str">
        <f>IF(OrdersTable[[#This Row],[Delivery Days]]&lt;=2, "Express (≤2d)", IF(OrdersTable[[#This Row],[Delivery Days]]&lt;=4, "Standard (3-4d)", "Delayed (5d+)"))</f>
        <v>Express (≤2d)</v>
      </c>
      <c r="AE2171">
        <v>4</v>
      </c>
      <c r="AF2171">
        <v>0</v>
      </c>
    </row>
    <row r="2172" spans="1:32" ht="15" x14ac:dyDescent="0.35">
      <c r="A2172" t="s">
        <v>6984</v>
      </c>
      <c r="B2172" s="1">
        <v>45664</v>
      </c>
      <c r="C2172">
        <f>YEAR(OrdersTable[[#This Row],[Order Date]])</f>
        <v>2025</v>
      </c>
      <c r="D2172" s="2">
        <f>DATE(YEAR(OrdersTable[[#This Row],[Order Date]]),MONTH(OrdersTable[[#This Row],[Order Date]]),1)</f>
        <v>45658</v>
      </c>
      <c r="E2172">
        <f>MONTH(OrdersTable[[#This Row],[Order Date]])</f>
        <v>1</v>
      </c>
      <c r="F2172" t="s">
        <v>4763</v>
      </c>
      <c r="G2172" t="str">
        <f>IF(OrdersTable[[#This Row],[Order Date]]=_xlfn.MINIFS(Order_Date, Customer_ID, OrdersTable[[#This Row],[Customer ID]]), "New", "Repeat")</f>
        <v>Repeat</v>
      </c>
      <c r="H2172" t="s">
        <v>59</v>
      </c>
      <c r="I2172" t="str">
        <f>INDEX(State!B:B,MATCH(OrdersTable[[#This Row],[State]],State!A:A,0))</f>
        <v>TN</v>
      </c>
      <c r="J2172" t="str">
        <f>INDEX(State!C:C,MATCH(OrdersTable[[#This Row],[State Code]],State!B:B,0))</f>
        <v>South</v>
      </c>
      <c r="K2172" t="s">
        <v>64</v>
      </c>
      <c r="L2172" t="s">
        <v>23</v>
      </c>
      <c r="M2172" t="s">
        <v>29</v>
      </c>
      <c r="N2172" t="str">
        <f>INDEX(Products!B:B,MATCH(OrdersTable[[#This Row],[Product ID]],Products!A:A,0))</f>
        <v>Joggers</v>
      </c>
      <c r="O2172" t="str">
        <f>INDEX(Products!C:C,MATCH(OrdersTable[[#This Row],[Product ID]],Products!A:A,0))</f>
        <v>Apparel</v>
      </c>
      <c r="P2172">
        <v>4</v>
      </c>
      <c r="Q2172" s="5">
        <v>1199</v>
      </c>
      <c r="R2172" s="74">
        <v>0.05</v>
      </c>
      <c r="S2172" s="75">
        <f>OrdersTable[[#This Row],[Quantity]]*OrdersTable[[#This Row],[Unit Price]]</f>
        <v>4796</v>
      </c>
      <c r="T2172" s="5">
        <f>OrdersTable[[#This Row],[Gross Sale]]*OrdersTable[[#This Row],[Discount_Clean2]]</f>
        <v>239.8</v>
      </c>
      <c r="U2172" s="5">
        <f>OrdersTable[[#This Row],[Gross Sale]]-OrdersTable[[#This Row],[Discount Amount]]</f>
        <v>4556.2</v>
      </c>
      <c r="V2172" s="77">
        <f>INDEX(Products!E:E,MATCH(OrdersTable[[#This Row],[Product ID]],Products!A:A,0))</f>
        <v>492</v>
      </c>
      <c r="W2172" s="77">
        <f>OrdersTable[[#This Row],[Quantity]]*OrdersTable[[#This Row],[Unit Cost]]</f>
        <v>1968</v>
      </c>
      <c r="X2172" s="77">
        <f>'Dropdown Lists'!$I$2*(1+OrdersTable[[#This Row],[Returned]])</f>
        <v>120</v>
      </c>
      <c r="Y2172" s="76">
        <f>OrdersTable[[#This Row],[Net Revenue]]-OrdersTable[[#This Row],[COGS]]-OrdersTable[[#This Row],[Shipping Cost]]</f>
        <v>2468.1999999999998</v>
      </c>
      <c r="Z2172" s="78">
        <f>IFERROR(OrdersTable[[#This Row],[Profit]]/OrdersTable[[#This Row],[Net Revenue]],0)</f>
        <v>0.54172336596286375</v>
      </c>
      <c r="AA2172" t="s">
        <v>3495</v>
      </c>
      <c r="AB2172" s="79">
        <v>45665</v>
      </c>
      <c r="AC2172">
        <f>OrdersTable[[#This Row],[Delivery Date]]-OrdersTable[[#This Row],[Order Date]]</f>
        <v>1</v>
      </c>
      <c r="AD2172" t="str">
        <f>IF(OrdersTable[[#This Row],[Delivery Days]]&lt;=2, "Express (≤2d)", IF(OrdersTable[[#This Row],[Delivery Days]]&lt;=4, "Standard (3-4d)", "Delayed (5d+)"))</f>
        <v>Express (≤2d)</v>
      </c>
      <c r="AE2172">
        <v>5</v>
      </c>
      <c r="AF2172">
        <v>1</v>
      </c>
    </row>
    <row r="2173" spans="1:32" ht="15" x14ac:dyDescent="0.35">
      <c r="A2173" t="s">
        <v>1936</v>
      </c>
      <c r="B2173" s="1">
        <v>45665</v>
      </c>
      <c r="C2173">
        <f>YEAR(OrdersTable[[#This Row],[Order Date]])</f>
        <v>2025</v>
      </c>
      <c r="D2173" s="2">
        <f>DATE(YEAR(OrdersTable[[#This Row],[Order Date]]),MONTH(OrdersTable[[#This Row],[Order Date]]),1)</f>
        <v>45658</v>
      </c>
      <c r="E2173">
        <f>MONTH(OrdersTable[[#This Row],[Order Date]])</f>
        <v>1</v>
      </c>
      <c r="F2173" t="s">
        <v>1937</v>
      </c>
      <c r="G2173" t="str">
        <f>IF(OrdersTable[[#This Row],[Order Date]]=_xlfn.MINIFS(Order_Date, Customer_ID, OrdersTable[[#This Row],[Customer ID]]), "New", "Repeat")</f>
        <v>New</v>
      </c>
      <c r="H2173" t="s">
        <v>54</v>
      </c>
      <c r="I2173" t="str">
        <f>INDEX(State!B:B,MATCH(OrdersTable[[#This Row],[State]],State!A:A,0))</f>
        <v>RJ</v>
      </c>
      <c r="J2173" t="str">
        <f>INDEX(State!C:C,MATCH(OrdersTable[[#This Row],[State Code]],State!B:B,0))</f>
        <v>North</v>
      </c>
      <c r="K2173" t="s">
        <v>227</v>
      </c>
      <c r="L2173" t="s">
        <v>39</v>
      </c>
      <c r="M2173" t="s">
        <v>255</v>
      </c>
      <c r="N2173" t="str">
        <f>INDEX(Products!B:B,MATCH(OrdersTable[[#This Row],[Product ID]],Products!A:A,0))</f>
        <v>Cotton Oversized T-Shirt</v>
      </c>
      <c r="O2173" t="str">
        <f>INDEX(Products!C:C,MATCH(OrdersTable[[#This Row],[Product ID]],Products!A:A,0))</f>
        <v>Apparel</v>
      </c>
      <c r="P2173">
        <v>1</v>
      </c>
      <c r="Q2173" s="5">
        <v>799</v>
      </c>
      <c r="R2173" s="74">
        <v>0.05</v>
      </c>
      <c r="S2173" s="75">
        <f>OrdersTable[[#This Row],[Quantity]]*OrdersTable[[#This Row],[Unit Price]]</f>
        <v>799</v>
      </c>
      <c r="T2173" s="5">
        <f>OrdersTable[[#This Row],[Gross Sale]]*OrdersTable[[#This Row],[Discount_Clean2]]</f>
        <v>39.950000000000003</v>
      </c>
      <c r="U2173" s="5">
        <f>OrdersTable[[#This Row],[Gross Sale]]-OrdersTable[[#This Row],[Discount Amount]]</f>
        <v>759.05</v>
      </c>
      <c r="V2173" s="77">
        <f>INDEX(Products!E:E,MATCH(OrdersTable[[#This Row],[Product ID]],Products!A:A,0))</f>
        <v>320</v>
      </c>
      <c r="W2173" s="77">
        <f>OrdersTable[[#This Row],[Quantity]]*OrdersTable[[#This Row],[Unit Cost]]</f>
        <v>320</v>
      </c>
      <c r="X2173" s="77">
        <f>'Dropdown Lists'!$I$2*(1+OrdersTable[[#This Row],[Returned]])</f>
        <v>60</v>
      </c>
      <c r="Y2173" s="76">
        <f>OrdersTable[[#This Row],[Net Revenue]]-OrdersTable[[#This Row],[COGS]]-OrdersTable[[#This Row],[Shipping Cost]]</f>
        <v>379.04999999999995</v>
      </c>
      <c r="Z2173" s="78">
        <f>IFERROR(OrdersTable[[#This Row],[Profit]]/OrdersTable[[#This Row],[Net Revenue]],0)</f>
        <v>0.49937421777221525</v>
      </c>
      <c r="AA2173" t="s">
        <v>18</v>
      </c>
      <c r="AB2173" s="79">
        <v>45670</v>
      </c>
      <c r="AC2173">
        <f>OrdersTable[[#This Row],[Delivery Date]]-OrdersTable[[#This Row],[Order Date]]</f>
        <v>5</v>
      </c>
      <c r="AD2173" t="str">
        <f>IF(OrdersTable[[#This Row],[Delivery Days]]&lt;=2, "Express (≤2d)", IF(OrdersTable[[#This Row],[Delivery Days]]&lt;=4, "Standard (3-4d)", "Delayed (5d+)"))</f>
        <v>Delayed (5d+)</v>
      </c>
      <c r="AE2173">
        <v>3</v>
      </c>
      <c r="AF2173">
        <v>0</v>
      </c>
    </row>
    <row r="2174" spans="1:32" ht="15" x14ac:dyDescent="0.35">
      <c r="A2174" t="s">
        <v>7082</v>
      </c>
      <c r="B2174" s="1">
        <v>45665</v>
      </c>
      <c r="C2174">
        <f>YEAR(OrdersTable[[#This Row],[Order Date]])</f>
        <v>2025</v>
      </c>
      <c r="D2174" s="2">
        <f>DATE(YEAR(OrdersTable[[#This Row],[Order Date]]),MONTH(OrdersTable[[#This Row],[Order Date]]),1)</f>
        <v>45658</v>
      </c>
      <c r="E2174">
        <f>MONTH(OrdersTable[[#This Row],[Order Date]])</f>
        <v>1</v>
      </c>
      <c r="F2174" t="s">
        <v>4359</v>
      </c>
      <c r="G2174" t="str">
        <f>IF(OrdersTable[[#This Row],[Order Date]]=_xlfn.MINIFS(Order_Date, Customer_ID, OrdersTable[[#This Row],[Customer ID]]), "New", "Repeat")</f>
        <v>Repeat</v>
      </c>
      <c r="H2174" t="s">
        <v>128</v>
      </c>
      <c r="I2174" t="str">
        <f>INDEX(State!B:B,MATCH(OrdersTable[[#This Row],[State]],State!A:A,0))</f>
        <v>DL</v>
      </c>
      <c r="J2174" t="str">
        <f>INDEX(State!C:C,MATCH(OrdersTable[[#This Row],[State Code]],State!B:B,0))</f>
        <v>North</v>
      </c>
      <c r="K2174" t="s">
        <v>129</v>
      </c>
      <c r="L2174" t="s">
        <v>16</v>
      </c>
      <c r="M2174" t="s">
        <v>255</v>
      </c>
      <c r="N2174" t="str">
        <f>INDEX(Products!B:B,MATCH(OrdersTable[[#This Row],[Product ID]],Products!A:A,0))</f>
        <v>Cotton Oversized T-Shirt</v>
      </c>
      <c r="O2174" t="str">
        <f>INDEX(Products!C:C,MATCH(OrdersTable[[#This Row],[Product ID]],Products!A:A,0))</f>
        <v>Apparel</v>
      </c>
      <c r="P2174">
        <v>4</v>
      </c>
      <c r="Q2174" s="5">
        <v>799</v>
      </c>
      <c r="R2174" s="74">
        <v>0</v>
      </c>
      <c r="S2174" s="75">
        <f>OrdersTable[[#This Row],[Quantity]]*OrdersTable[[#This Row],[Unit Price]]</f>
        <v>3196</v>
      </c>
      <c r="T2174" s="5">
        <f>OrdersTable[[#This Row],[Gross Sale]]*OrdersTable[[#This Row],[Discount_Clean2]]</f>
        <v>0</v>
      </c>
      <c r="U2174" s="5">
        <f>OrdersTable[[#This Row],[Gross Sale]]-OrdersTable[[#This Row],[Discount Amount]]</f>
        <v>3196</v>
      </c>
      <c r="V2174" s="77">
        <f>INDEX(Products!E:E,MATCH(OrdersTable[[#This Row],[Product ID]],Products!A:A,0))</f>
        <v>320</v>
      </c>
      <c r="W2174" s="77">
        <f>OrdersTable[[#This Row],[Quantity]]*OrdersTable[[#This Row],[Unit Cost]]</f>
        <v>1280</v>
      </c>
      <c r="X2174" s="77">
        <f>'Dropdown Lists'!$I$2*(1+OrdersTable[[#This Row],[Returned]])</f>
        <v>60</v>
      </c>
      <c r="Y2174" s="76">
        <f>OrdersTable[[#This Row],[Net Revenue]]-OrdersTable[[#This Row],[COGS]]-OrdersTable[[#This Row],[Shipping Cost]]</f>
        <v>1856</v>
      </c>
      <c r="Z2174" s="78">
        <f>IFERROR(OrdersTable[[#This Row],[Profit]]/OrdersTable[[#This Row],[Net Revenue]],0)</f>
        <v>0.58072590738423024</v>
      </c>
      <c r="AA2174" t="s">
        <v>18</v>
      </c>
      <c r="AB2174" s="79">
        <v>45667</v>
      </c>
      <c r="AC2174">
        <f>OrdersTable[[#This Row],[Delivery Date]]-OrdersTable[[#This Row],[Order Date]]</f>
        <v>2</v>
      </c>
      <c r="AD2174" t="str">
        <f>IF(OrdersTable[[#This Row],[Delivery Days]]&lt;=2, "Express (≤2d)", IF(OrdersTable[[#This Row],[Delivery Days]]&lt;=4, "Standard (3-4d)", "Delayed (5d+)"))</f>
        <v>Express (≤2d)</v>
      </c>
      <c r="AE2174">
        <v>5</v>
      </c>
      <c r="AF2174">
        <v>0</v>
      </c>
    </row>
    <row r="2175" spans="1:32" ht="15" x14ac:dyDescent="0.35">
      <c r="A2175" t="s">
        <v>4969</v>
      </c>
      <c r="B2175" s="1">
        <v>45665</v>
      </c>
      <c r="C2175">
        <f>YEAR(OrdersTable[[#This Row],[Order Date]])</f>
        <v>2025</v>
      </c>
      <c r="D2175" s="2">
        <f>DATE(YEAR(OrdersTable[[#This Row],[Order Date]]),MONTH(OrdersTable[[#This Row],[Order Date]]),1)</f>
        <v>45658</v>
      </c>
      <c r="E2175">
        <f>MONTH(OrdersTable[[#This Row],[Order Date]])</f>
        <v>1</v>
      </c>
      <c r="F2175" t="s">
        <v>4970</v>
      </c>
      <c r="G2175" t="str">
        <f>IF(OrdersTable[[#This Row],[Order Date]]=_xlfn.MINIFS(Order_Date, Customer_ID, OrdersTable[[#This Row],[Customer ID]]), "New", "Repeat")</f>
        <v>New</v>
      </c>
      <c r="H2175" t="s">
        <v>167</v>
      </c>
      <c r="I2175" t="str">
        <f>INDEX(State!B:B,MATCH(OrdersTable[[#This Row],[State]],State!A:A,0))</f>
        <v>KA</v>
      </c>
      <c r="J2175" t="str">
        <f>INDEX(State!C:C,MATCH(OrdersTable[[#This Row],[State Code]],State!B:B,0))</f>
        <v>South</v>
      </c>
      <c r="K2175" t="s">
        <v>168</v>
      </c>
      <c r="L2175" t="s">
        <v>65</v>
      </c>
      <c r="M2175" t="s">
        <v>179</v>
      </c>
      <c r="N2175" t="str">
        <f>INDEX(Products!B:B,MATCH(OrdersTable[[#This Row],[Product ID]],Products!A:A,0))</f>
        <v>Whey Protein 1kg</v>
      </c>
      <c r="O2175" t="str">
        <f>INDEX(Products!C:C,MATCH(OrdersTable[[#This Row],[Product ID]],Products!A:A,0))</f>
        <v>Wellness</v>
      </c>
      <c r="P2175">
        <v>2</v>
      </c>
      <c r="Q2175" s="5">
        <v>2299</v>
      </c>
      <c r="R2175" s="74">
        <v>0.4</v>
      </c>
      <c r="S2175" s="75">
        <f>OrdersTable[[#This Row],[Quantity]]*OrdersTable[[#This Row],[Unit Price]]</f>
        <v>4598</v>
      </c>
      <c r="T2175" s="5">
        <f>OrdersTable[[#This Row],[Gross Sale]]*OrdersTable[[#This Row],[Discount_Clean2]]</f>
        <v>1839.2</v>
      </c>
      <c r="U2175" s="5">
        <f>OrdersTable[[#This Row],[Gross Sale]]-OrdersTable[[#This Row],[Discount Amount]]</f>
        <v>2758.8</v>
      </c>
      <c r="V2175" s="77">
        <f>INDEX(Products!E:E,MATCH(OrdersTable[[#This Row],[Product ID]],Products!A:A,0))</f>
        <v>1333</v>
      </c>
      <c r="W2175" s="77">
        <f>OrdersTable[[#This Row],[Quantity]]*OrdersTable[[#This Row],[Unit Cost]]</f>
        <v>2666</v>
      </c>
      <c r="X2175" s="77">
        <f>'Dropdown Lists'!$I$2*(1+OrdersTable[[#This Row],[Returned]])</f>
        <v>60</v>
      </c>
      <c r="Y2175" s="76">
        <f>OrdersTable[[#This Row],[Net Revenue]]-OrdersTable[[#This Row],[COGS]]-OrdersTable[[#This Row],[Shipping Cost]]</f>
        <v>32.800000000000182</v>
      </c>
      <c r="Z2175" s="78">
        <f>IFERROR(OrdersTable[[#This Row],[Profit]]/OrdersTable[[#This Row],[Net Revenue]],0)</f>
        <v>1.188922720023205E-2</v>
      </c>
      <c r="AA2175" t="s">
        <v>4074</v>
      </c>
      <c r="AB2175" s="79">
        <v>45667</v>
      </c>
      <c r="AC2175">
        <f>OrdersTable[[#This Row],[Delivery Date]]-OrdersTable[[#This Row],[Order Date]]</f>
        <v>2</v>
      </c>
      <c r="AD2175" t="str">
        <f>IF(OrdersTable[[#This Row],[Delivery Days]]&lt;=2, "Express (≤2d)", IF(OrdersTable[[#This Row],[Delivery Days]]&lt;=4, "Standard (3-4d)", "Delayed (5d+)"))</f>
        <v>Express (≤2d)</v>
      </c>
      <c r="AE2175">
        <v>4</v>
      </c>
      <c r="AF2175">
        <v>0</v>
      </c>
    </row>
    <row r="2176" spans="1:32" ht="15" x14ac:dyDescent="0.35">
      <c r="A2176" t="s">
        <v>4116</v>
      </c>
      <c r="B2176" s="1">
        <v>45666</v>
      </c>
      <c r="C2176">
        <f>YEAR(OrdersTable[[#This Row],[Order Date]])</f>
        <v>2025</v>
      </c>
      <c r="D2176" s="2">
        <f>DATE(YEAR(OrdersTable[[#This Row],[Order Date]]),MONTH(OrdersTable[[#This Row],[Order Date]]),1)</f>
        <v>45658</v>
      </c>
      <c r="E2176">
        <f>MONTH(OrdersTable[[#This Row],[Order Date]])</f>
        <v>1</v>
      </c>
      <c r="F2176" t="s">
        <v>4117</v>
      </c>
      <c r="G2176" t="str">
        <f>IF(OrdersTable[[#This Row],[Order Date]]=_xlfn.MINIFS(Order_Date, Customer_ID, OrdersTable[[#This Row],[Customer ID]]), "New", "Repeat")</f>
        <v>New</v>
      </c>
      <c r="H2176" t="s">
        <v>43</v>
      </c>
      <c r="I2176" t="str">
        <f>INDEX(State!B:B,MATCH(OrdersTable[[#This Row],[State]],State!A:A,0))</f>
        <v>MP</v>
      </c>
      <c r="J2176" t="str">
        <f>INDEX(State!C:C,MATCH(OrdersTable[[#This Row],[State Code]],State!B:B,0))</f>
        <v>West</v>
      </c>
      <c r="K2176" t="s">
        <v>250</v>
      </c>
      <c r="L2176" t="s">
        <v>39</v>
      </c>
      <c r="M2176" t="s">
        <v>176</v>
      </c>
      <c r="N2176" t="str">
        <f>INDEX(Products!B:B,MATCH(OrdersTable[[#This Row],[Product ID]],Products!A:A,0))</f>
        <v>Denim Jacket</v>
      </c>
      <c r="O2176" t="str">
        <f>INDEX(Products!C:C,MATCH(OrdersTable[[#This Row],[Product ID]],Products!A:A,0))</f>
        <v>Apparel</v>
      </c>
      <c r="P2176">
        <v>1</v>
      </c>
      <c r="Q2176" s="5">
        <v>2499</v>
      </c>
      <c r="R2176" s="74">
        <v>0</v>
      </c>
      <c r="S2176" s="75">
        <f>OrdersTable[[#This Row],[Quantity]]*OrdersTable[[#This Row],[Unit Price]]</f>
        <v>2499</v>
      </c>
      <c r="T2176" s="5">
        <f>OrdersTable[[#This Row],[Gross Sale]]*OrdersTable[[#This Row],[Discount_Clean2]]</f>
        <v>0</v>
      </c>
      <c r="U2176" s="5">
        <f>OrdersTable[[#This Row],[Gross Sale]]-OrdersTable[[#This Row],[Discount Amount]]</f>
        <v>2499</v>
      </c>
      <c r="V2176" s="77">
        <f>INDEX(Products!E:E,MATCH(OrdersTable[[#This Row],[Product ID]],Products!A:A,0))</f>
        <v>1125</v>
      </c>
      <c r="W2176" s="77">
        <f>OrdersTable[[#This Row],[Quantity]]*OrdersTable[[#This Row],[Unit Cost]]</f>
        <v>1125</v>
      </c>
      <c r="X2176" s="77">
        <f>'Dropdown Lists'!$I$2*(1+OrdersTable[[#This Row],[Returned]])</f>
        <v>60</v>
      </c>
      <c r="Y2176" s="76">
        <f>OrdersTable[[#This Row],[Net Revenue]]-OrdersTable[[#This Row],[COGS]]-OrdersTable[[#This Row],[Shipping Cost]]</f>
        <v>1314</v>
      </c>
      <c r="Z2176" s="78">
        <f>IFERROR(OrdersTable[[#This Row],[Profit]]/OrdersTable[[#This Row],[Net Revenue]],0)</f>
        <v>0.5258103241296519</v>
      </c>
      <c r="AA2176" t="s">
        <v>4074</v>
      </c>
      <c r="AB2176" s="79">
        <v>45671</v>
      </c>
      <c r="AC2176">
        <f>OrdersTable[[#This Row],[Delivery Date]]-OrdersTable[[#This Row],[Order Date]]</f>
        <v>5</v>
      </c>
      <c r="AD2176" t="str">
        <f>IF(OrdersTable[[#This Row],[Delivery Days]]&lt;=2, "Express (≤2d)", IF(OrdersTable[[#This Row],[Delivery Days]]&lt;=4, "Standard (3-4d)", "Delayed (5d+)"))</f>
        <v>Delayed (5d+)</v>
      </c>
      <c r="AE2176">
        <v>3</v>
      </c>
      <c r="AF2176">
        <v>0</v>
      </c>
    </row>
    <row r="2177" spans="1:32" ht="15" x14ac:dyDescent="0.35">
      <c r="A2177" t="s">
        <v>2132</v>
      </c>
      <c r="B2177" s="1">
        <v>45666</v>
      </c>
      <c r="C2177">
        <f>YEAR(OrdersTable[[#This Row],[Order Date]])</f>
        <v>2025</v>
      </c>
      <c r="D2177" s="2">
        <f>DATE(YEAR(OrdersTable[[#This Row],[Order Date]]),MONTH(OrdersTable[[#This Row],[Order Date]]),1)</f>
        <v>45658</v>
      </c>
      <c r="E2177">
        <f>MONTH(OrdersTable[[#This Row],[Order Date]])</f>
        <v>1</v>
      </c>
      <c r="F2177" t="s">
        <v>2133</v>
      </c>
      <c r="G2177" t="str">
        <f>IF(OrdersTable[[#This Row],[Order Date]]=_xlfn.MINIFS(Order_Date, Customer_ID, OrdersTable[[#This Row],[Customer ID]]), "New", "Repeat")</f>
        <v>New</v>
      </c>
      <c r="H2177" t="s">
        <v>123</v>
      </c>
      <c r="I2177" t="str">
        <f>INDEX(State!B:B,MATCH(OrdersTable[[#This Row],[State]],State!A:A,0))</f>
        <v>JH</v>
      </c>
      <c r="J2177" t="str">
        <f>INDEX(State!C:C,MATCH(OrdersTable[[#This Row],[State Code]],State!B:B,0))</f>
        <v>East</v>
      </c>
      <c r="K2177" t="s">
        <v>124</v>
      </c>
      <c r="L2177" t="s">
        <v>39</v>
      </c>
      <c r="M2177" t="s">
        <v>565</v>
      </c>
      <c r="N2177" t="str">
        <f>INDEX(Products!B:B,MATCH(OrdersTable[[#This Row],[Product ID]],Products!A:A,0))</f>
        <v>Ceramic Dinner Set</v>
      </c>
      <c r="O2177" t="str">
        <f>INDEX(Products!C:C,MATCH(OrdersTable[[#This Row],[Product ID]],Products!A:A,0))</f>
        <v>Home &amp; Kitchen</v>
      </c>
      <c r="P2177">
        <v>1</v>
      </c>
      <c r="Q2177" s="5">
        <v>2499</v>
      </c>
      <c r="R2177" s="74">
        <v>0.25</v>
      </c>
      <c r="S2177" s="75">
        <f>OrdersTable[[#This Row],[Quantity]]*OrdersTable[[#This Row],[Unit Price]]</f>
        <v>2499</v>
      </c>
      <c r="T2177" s="5">
        <f>OrdersTable[[#This Row],[Gross Sale]]*OrdersTable[[#This Row],[Discount_Clean2]]</f>
        <v>624.75</v>
      </c>
      <c r="U2177" s="5">
        <f>OrdersTable[[#This Row],[Gross Sale]]-OrdersTable[[#This Row],[Discount Amount]]</f>
        <v>1874.25</v>
      </c>
      <c r="V2177" s="77">
        <f>INDEX(Products!E:E,MATCH(OrdersTable[[#This Row],[Product ID]],Products!A:A,0))</f>
        <v>1250</v>
      </c>
      <c r="W2177" s="77">
        <f>OrdersTable[[#This Row],[Quantity]]*OrdersTable[[#This Row],[Unit Cost]]</f>
        <v>1250</v>
      </c>
      <c r="X2177" s="77">
        <f>'Dropdown Lists'!$I$2*(1+OrdersTable[[#This Row],[Returned]])</f>
        <v>60</v>
      </c>
      <c r="Y2177" s="76">
        <f>OrdersTable[[#This Row],[Net Revenue]]-OrdersTable[[#This Row],[COGS]]-OrdersTable[[#This Row],[Shipping Cost]]</f>
        <v>564.25</v>
      </c>
      <c r="Z2177" s="78">
        <f>IFERROR(OrdersTable[[#This Row],[Profit]]/OrdersTable[[#This Row],[Net Revenue]],0)</f>
        <v>0.30105375483526742</v>
      </c>
      <c r="AA2177" t="s">
        <v>18</v>
      </c>
      <c r="AB2177" s="79">
        <v>45671</v>
      </c>
      <c r="AC2177">
        <f>OrdersTable[[#This Row],[Delivery Date]]-OrdersTable[[#This Row],[Order Date]]</f>
        <v>5</v>
      </c>
      <c r="AD2177" t="str">
        <f>IF(OrdersTable[[#This Row],[Delivery Days]]&lt;=2, "Express (≤2d)", IF(OrdersTable[[#This Row],[Delivery Days]]&lt;=4, "Standard (3-4d)", "Delayed (5d+)"))</f>
        <v>Delayed (5d+)</v>
      </c>
      <c r="AE2177">
        <v>3</v>
      </c>
      <c r="AF2177">
        <v>0</v>
      </c>
    </row>
    <row r="2178" spans="1:32" ht="15" x14ac:dyDescent="0.35">
      <c r="A2178" t="s">
        <v>5598</v>
      </c>
      <c r="B2178" s="1">
        <v>45666</v>
      </c>
      <c r="C2178">
        <f>YEAR(OrdersTable[[#This Row],[Order Date]])</f>
        <v>2025</v>
      </c>
      <c r="D2178" s="2">
        <f>DATE(YEAR(OrdersTable[[#This Row],[Order Date]]),MONTH(OrdersTable[[#This Row],[Order Date]]),1)</f>
        <v>45658</v>
      </c>
      <c r="E2178">
        <f>MONTH(OrdersTable[[#This Row],[Order Date]])</f>
        <v>1</v>
      </c>
      <c r="F2178" t="s">
        <v>292</v>
      </c>
      <c r="G2178" t="str">
        <f>IF(OrdersTable[[#This Row],[Order Date]]=_xlfn.MINIFS(Order_Date, Customer_ID, OrdersTable[[#This Row],[Customer ID]]), "New", "Repeat")</f>
        <v>New</v>
      </c>
      <c r="H2178" t="s">
        <v>167</v>
      </c>
      <c r="I2178" t="str">
        <f>INDEX(State!B:B,MATCH(OrdersTable[[#This Row],[State]],State!A:A,0))</f>
        <v>KA</v>
      </c>
      <c r="J2178" t="str">
        <f>INDEX(State!C:C,MATCH(OrdersTable[[#This Row],[State Code]],State!B:B,0))</f>
        <v>South</v>
      </c>
      <c r="K2178" t="s">
        <v>190</v>
      </c>
      <c r="L2178" t="s">
        <v>65</v>
      </c>
      <c r="M2178" t="s">
        <v>34</v>
      </c>
      <c r="N2178" t="str">
        <f>INDEX(Products!B:B,MATCH(OrdersTable[[#This Row],[Product ID]],Products!A:A,0))</f>
        <v>Flip Flops</v>
      </c>
      <c r="O2178" t="str">
        <f>INDEX(Products!C:C,MATCH(OrdersTable[[#This Row],[Product ID]],Products!A:A,0))</f>
        <v>Footwear</v>
      </c>
      <c r="P2178">
        <v>2</v>
      </c>
      <c r="Q2178" s="5">
        <v>399</v>
      </c>
      <c r="R2178" s="74">
        <v>0.15</v>
      </c>
      <c r="S2178" s="75">
        <f>OrdersTable[[#This Row],[Quantity]]*OrdersTable[[#This Row],[Unit Price]]</f>
        <v>798</v>
      </c>
      <c r="T2178" s="5">
        <f>OrdersTable[[#This Row],[Gross Sale]]*OrdersTable[[#This Row],[Discount_Clean2]]</f>
        <v>119.69999999999999</v>
      </c>
      <c r="U2178" s="5">
        <f>OrdersTable[[#This Row],[Gross Sale]]-OrdersTable[[#This Row],[Discount Amount]]</f>
        <v>678.3</v>
      </c>
      <c r="V2178" s="77">
        <f>INDEX(Products!E:E,MATCH(OrdersTable[[#This Row],[Product ID]],Products!A:A,0))</f>
        <v>152</v>
      </c>
      <c r="W2178" s="77">
        <f>OrdersTable[[#This Row],[Quantity]]*OrdersTable[[#This Row],[Unit Cost]]</f>
        <v>304</v>
      </c>
      <c r="X2178" s="77">
        <f>'Dropdown Lists'!$I$2*(1+OrdersTable[[#This Row],[Returned]])</f>
        <v>120</v>
      </c>
      <c r="Y2178" s="76">
        <f>OrdersTable[[#This Row],[Net Revenue]]-OrdersTable[[#This Row],[COGS]]-OrdersTable[[#This Row],[Shipping Cost]]</f>
        <v>254.29999999999995</v>
      </c>
      <c r="Z2178" s="78">
        <f>IFERROR(OrdersTable[[#This Row],[Profit]]/OrdersTable[[#This Row],[Net Revenue]],0)</f>
        <v>0.37490785787999409</v>
      </c>
      <c r="AA2178" t="s">
        <v>2522</v>
      </c>
      <c r="AB2178" s="79">
        <v>45667</v>
      </c>
      <c r="AC2178">
        <f>OrdersTable[[#This Row],[Delivery Date]]-OrdersTable[[#This Row],[Order Date]]</f>
        <v>1</v>
      </c>
      <c r="AD2178" t="str">
        <f>IF(OrdersTable[[#This Row],[Delivery Days]]&lt;=2, "Express (≤2d)", IF(OrdersTable[[#This Row],[Delivery Days]]&lt;=4, "Standard (3-4d)", "Delayed (5d+)"))</f>
        <v>Express (≤2d)</v>
      </c>
      <c r="AE2178">
        <v>3</v>
      </c>
      <c r="AF2178">
        <v>1</v>
      </c>
    </row>
    <row r="2179" spans="1:32" ht="15" x14ac:dyDescent="0.35">
      <c r="A2179" t="s">
        <v>554</v>
      </c>
      <c r="B2179" s="1">
        <v>45666</v>
      </c>
      <c r="C2179">
        <f>YEAR(OrdersTable[[#This Row],[Order Date]])</f>
        <v>2025</v>
      </c>
      <c r="D2179" s="2">
        <f>DATE(YEAR(OrdersTable[[#This Row],[Order Date]]),MONTH(OrdersTable[[#This Row],[Order Date]]),1)</f>
        <v>45658</v>
      </c>
      <c r="E2179">
        <f>MONTH(OrdersTable[[#This Row],[Order Date]])</f>
        <v>1</v>
      </c>
      <c r="F2179" t="s">
        <v>555</v>
      </c>
      <c r="G2179" t="str">
        <f>IF(OrdersTable[[#This Row],[Order Date]]=_xlfn.MINIFS(Order_Date, Customer_ID, OrdersTable[[#This Row],[Customer ID]]), "New", "Repeat")</f>
        <v>New</v>
      </c>
      <c r="H2179" t="s">
        <v>275</v>
      </c>
      <c r="I2179" t="str">
        <f>INDEX(State!B:B,MATCH(OrdersTable[[#This Row],[State]],State!A:A,0))</f>
        <v>AP</v>
      </c>
      <c r="J2179" t="str">
        <f>INDEX(State!C:C,MATCH(OrdersTable[[#This Row],[State Code]],State!B:B,0))</f>
        <v>South</v>
      </c>
      <c r="K2179" t="s">
        <v>276</v>
      </c>
      <c r="L2179" t="s">
        <v>50</v>
      </c>
      <c r="M2179" t="s">
        <v>106</v>
      </c>
      <c r="N2179" t="str">
        <f>INDEX(Products!B:B,MATCH(OrdersTable[[#This Row],[Product ID]],Products!A:A,0))</f>
        <v>Keratin Hair Mask</v>
      </c>
      <c r="O2179" t="str">
        <f>INDEX(Products!C:C,MATCH(OrdersTable[[#This Row],[Product ID]],Products!A:A,0))</f>
        <v>Haircare</v>
      </c>
      <c r="P2179">
        <v>1</v>
      </c>
      <c r="Q2179" s="5">
        <v>549</v>
      </c>
      <c r="R2179" s="74">
        <v>0.15</v>
      </c>
      <c r="S2179" s="75">
        <f>OrdersTable[[#This Row],[Quantity]]*OrdersTable[[#This Row],[Unit Price]]</f>
        <v>549</v>
      </c>
      <c r="T2179" s="5">
        <f>OrdersTable[[#This Row],[Gross Sale]]*OrdersTable[[#This Row],[Discount_Clean2]]</f>
        <v>82.35</v>
      </c>
      <c r="U2179" s="5">
        <f>OrdersTable[[#This Row],[Gross Sale]]-OrdersTable[[#This Row],[Discount Amount]]</f>
        <v>466.65</v>
      </c>
      <c r="V2179" s="77">
        <f>INDEX(Products!E:E,MATCH(OrdersTable[[#This Row],[Product ID]],Products!A:A,0))</f>
        <v>170</v>
      </c>
      <c r="W2179" s="77">
        <f>OrdersTable[[#This Row],[Quantity]]*OrdersTable[[#This Row],[Unit Cost]]</f>
        <v>170</v>
      </c>
      <c r="X2179" s="77">
        <f>'Dropdown Lists'!$I$2*(1+OrdersTable[[#This Row],[Returned]])</f>
        <v>60</v>
      </c>
      <c r="Y2179" s="76">
        <f>OrdersTable[[#This Row],[Net Revenue]]-OrdersTable[[#This Row],[COGS]]-OrdersTable[[#This Row],[Shipping Cost]]</f>
        <v>236.64999999999998</v>
      </c>
      <c r="Z2179" s="78">
        <f>IFERROR(OrdersTable[[#This Row],[Profit]]/OrdersTable[[#This Row],[Net Revenue]],0)</f>
        <v>0.50712525447337398</v>
      </c>
      <c r="AA2179" t="s">
        <v>18</v>
      </c>
      <c r="AB2179" s="79">
        <v>45668</v>
      </c>
      <c r="AC2179">
        <f>OrdersTable[[#This Row],[Delivery Date]]-OrdersTable[[#This Row],[Order Date]]</f>
        <v>2</v>
      </c>
      <c r="AD2179" t="str">
        <f>IF(OrdersTable[[#This Row],[Delivery Days]]&lt;=2, "Express (≤2d)", IF(OrdersTable[[#This Row],[Delivery Days]]&lt;=4, "Standard (3-4d)", "Delayed (5d+)"))</f>
        <v>Express (≤2d)</v>
      </c>
      <c r="AE2179">
        <v>4</v>
      </c>
      <c r="AF2179">
        <v>0</v>
      </c>
    </row>
    <row r="2180" spans="1:32" ht="15" x14ac:dyDescent="0.35">
      <c r="A2180" t="s">
        <v>1938</v>
      </c>
      <c r="B2180" s="1">
        <v>45666</v>
      </c>
      <c r="C2180">
        <f>YEAR(OrdersTable[[#This Row],[Order Date]])</f>
        <v>2025</v>
      </c>
      <c r="D2180" s="2">
        <f>DATE(YEAR(OrdersTable[[#This Row],[Order Date]]),MONTH(OrdersTable[[#This Row],[Order Date]]),1)</f>
        <v>45658</v>
      </c>
      <c r="E2180">
        <f>MONTH(OrdersTable[[#This Row],[Order Date]])</f>
        <v>1</v>
      </c>
      <c r="F2180" t="s">
        <v>1939</v>
      </c>
      <c r="G2180" t="str">
        <f>IF(OrdersTable[[#This Row],[Order Date]]=_xlfn.MINIFS(Order_Date, Customer_ID, OrdersTable[[#This Row],[Customer ID]]), "New", "Repeat")</f>
        <v>Repeat</v>
      </c>
      <c r="H2180" t="s">
        <v>59</v>
      </c>
      <c r="I2180" t="str">
        <f>INDEX(State!B:B,MATCH(OrdersTable[[#This Row],[State]],State!A:A,0))</f>
        <v>TN</v>
      </c>
      <c r="J2180" t="str">
        <f>INDEX(State!C:C,MATCH(OrdersTable[[#This Row],[State Code]],State!B:B,0))</f>
        <v>South</v>
      </c>
      <c r="K2180" t="s">
        <v>64</v>
      </c>
      <c r="L2180" t="s">
        <v>65</v>
      </c>
      <c r="M2180" t="s">
        <v>56</v>
      </c>
      <c r="N2180" t="str">
        <f>INDEX(Products!B:B,MATCH(OrdersTable[[#This Row],[Product ID]],Products!A:A,0))</f>
        <v>Vitamin C Face Serum</v>
      </c>
      <c r="O2180" t="str">
        <f>INDEX(Products!C:C,MATCH(OrdersTable[[#This Row],[Product ID]],Products!A:A,0))</f>
        <v>Skincare</v>
      </c>
      <c r="P2180">
        <v>1</v>
      </c>
      <c r="Q2180" s="5">
        <v>599</v>
      </c>
      <c r="R2180" s="74">
        <v>0.25</v>
      </c>
      <c r="S2180" s="75">
        <f>OrdersTable[[#This Row],[Quantity]]*OrdersTable[[#This Row],[Unit Price]]</f>
        <v>599</v>
      </c>
      <c r="T2180" s="5">
        <f>OrdersTable[[#This Row],[Gross Sale]]*OrdersTable[[#This Row],[Discount_Clean2]]</f>
        <v>149.75</v>
      </c>
      <c r="U2180" s="5">
        <f>OrdersTable[[#This Row],[Gross Sale]]-OrdersTable[[#This Row],[Discount Amount]]</f>
        <v>449.25</v>
      </c>
      <c r="V2180" s="77">
        <f>INDEX(Products!E:E,MATCH(OrdersTable[[#This Row],[Product ID]],Products!A:A,0))</f>
        <v>180</v>
      </c>
      <c r="W2180" s="77">
        <f>OrdersTable[[#This Row],[Quantity]]*OrdersTable[[#This Row],[Unit Cost]]</f>
        <v>180</v>
      </c>
      <c r="X2180" s="77">
        <f>'Dropdown Lists'!$I$2*(1+OrdersTable[[#This Row],[Returned]])</f>
        <v>60</v>
      </c>
      <c r="Y2180" s="76">
        <f>OrdersTable[[#This Row],[Net Revenue]]-OrdersTable[[#This Row],[COGS]]-OrdersTable[[#This Row],[Shipping Cost]]</f>
        <v>209.25</v>
      </c>
      <c r="Z2180" s="78">
        <f>IFERROR(OrdersTable[[#This Row],[Profit]]/OrdersTable[[#This Row],[Net Revenue]],0)</f>
        <v>0.46577629382303842</v>
      </c>
      <c r="AA2180" t="s">
        <v>18</v>
      </c>
      <c r="AB2180" s="79">
        <v>45671</v>
      </c>
      <c r="AC2180">
        <f>OrdersTable[[#This Row],[Delivery Date]]-OrdersTable[[#This Row],[Order Date]]</f>
        <v>5</v>
      </c>
      <c r="AD2180" t="str">
        <f>IF(OrdersTable[[#This Row],[Delivery Days]]&lt;=2, "Express (≤2d)", IF(OrdersTable[[#This Row],[Delivery Days]]&lt;=4, "Standard (3-4d)", "Delayed (5d+)"))</f>
        <v>Delayed (5d+)</v>
      </c>
      <c r="AE2180">
        <v>3</v>
      </c>
      <c r="AF2180">
        <v>0</v>
      </c>
    </row>
    <row r="2181" spans="1:32" ht="15" x14ac:dyDescent="0.35">
      <c r="A2181" t="s">
        <v>3009</v>
      </c>
      <c r="B2181" s="1">
        <v>45667</v>
      </c>
      <c r="C2181">
        <f>YEAR(OrdersTable[[#This Row],[Order Date]])</f>
        <v>2025</v>
      </c>
      <c r="D2181" s="2">
        <f>DATE(YEAR(OrdersTable[[#This Row],[Order Date]]),MONTH(OrdersTable[[#This Row],[Order Date]]),1)</f>
        <v>45658</v>
      </c>
      <c r="E2181">
        <f>MONTH(OrdersTable[[#This Row],[Order Date]])</f>
        <v>1</v>
      </c>
      <c r="F2181" t="s">
        <v>901</v>
      </c>
      <c r="G2181" t="str">
        <f>IF(OrdersTable[[#This Row],[Order Date]]=_xlfn.MINIFS(Order_Date, Customer_ID, OrdersTable[[#This Row],[Customer ID]]), "New", "Repeat")</f>
        <v>Repeat</v>
      </c>
      <c r="H2181" t="s">
        <v>275</v>
      </c>
      <c r="I2181" t="str">
        <f>INDEX(State!B:B,MATCH(OrdersTable[[#This Row],[State]],State!A:A,0))</f>
        <v>AP</v>
      </c>
      <c r="J2181" t="str">
        <f>INDEX(State!C:C,MATCH(OrdersTable[[#This Row],[State Code]],State!B:B,0))</f>
        <v>South</v>
      </c>
      <c r="K2181" t="s">
        <v>491</v>
      </c>
      <c r="L2181" t="s">
        <v>23</v>
      </c>
      <c r="M2181" t="s">
        <v>45</v>
      </c>
      <c r="N2181" t="str">
        <f>INDEX(Products!B:B,MATCH(OrdersTable[[#This Row],[Product ID]],Products!A:A,0))</f>
        <v>Argan Shampoo</v>
      </c>
      <c r="O2181" t="str">
        <f>INDEX(Products!C:C,MATCH(OrdersTable[[#This Row],[Product ID]],Products!A:A,0))</f>
        <v>Haircare</v>
      </c>
      <c r="P2181">
        <v>1</v>
      </c>
      <c r="Q2181" s="5">
        <v>449</v>
      </c>
      <c r="R2181" s="74">
        <v>0.1</v>
      </c>
      <c r="S2181" s="75">
        <f>OrdersTable[[#This Row],[Quantity]]*OrdersTable[[#This Row],[Unit Price]]</f>
        <v>449</v>
      </c>
      <c r="T2181" s="5">
        <f>OrdersTable[[#This Row],[Gross Sale]]*OrdersTable[[#This Row],[Discount_Clean2]]</f>
        <v>44.900000000000006</v>
      </c>
      <c r="U2181" s="5">
        <f>OrdersTable[[#This Row],[Gross Sale]]-OrdersTable[[#This Row],[Discount Amount]]</f>
        <v>404.1</v>
      </c>
      <c r="V2181" s="77">
        <f>INDEX(Products!E:E,MATCH(OrdersTable[[#This Row],[Product ID]],Products!A:A,0))</f>
        <v>148</v>
      </c>
      <c r="W2181" s="77">
        <f>OrdersTable[[#This Row],[Quantity]]*OrdersTable[[#This Row],[Unit Cost]]</f>
        <v>148</v>
      </c>
      <c r="X2181" s="77">
        <f>'Dropdown Lists'!$I$2*(1+OrdersTable[[#This Row],[Returned]])</f>
        <v>60</v>
      </c>
      <c r="Y2181" s="76">
        <f>OrdersTable[[#This Row],[Net Revenue]]-OrdersTable[[#This Row],[COGS]]-OrdersTable[[#This Row],[Shipping Cost]]</f>
        <v>196.10000000000002</v>
      </c>
      <c r="Z2181" s="78">
        <f>IFERROR(OrdersTable[[#This Row],[Profit]]/OrdersTable[[#This Row],[Net Revenue]],0)</f>
        <v>0.48527592180153428</v>
      </c>
      <c r="AA2181" t="s">
        <v>2522</v>
      </c>
      <c r="AB2181" s="79">
        <v>45669</v>
      </c>
      <c r="AC2181">
        <f>OrdersTable[[#This Row],[Delivery Date]]-OrdersTable[[#This Row],[Order Date]]</f>
        <v>2</v>
      </c>
      <c r="AD2181" t="str">
        <f>IF(OrdersTable[[#This Row],[Delivery Days]]&lt;=2, "Express (≤2d)", IF(OrdersTable[[#This Row],[Delivery Days]]&lt;=4, "Standard (3-4d)", "Delayed (5d+)"))</f>
        <v>Express (≤2d)</v>
      </c>
      <c r="AF2181">
        <v>0</v>
      </c>
    </row>
    <row r="2182" spans="1:32" ht="15" x14ac:dyDescent="0.35">
      <c r="A2182" t="s">
        <v>6879</v>
      </c>
      <c r="B2182" s="1">
        <v>45667</v>
      </c>
      <c r="C2182">
        <f>YEAR(OrdersTable[[#This Row],[Order Date]])</f>
        <v>2025</v>
      </c>
      <c r="D2182" s="2">
        <f>DATE(YEAR(OrdersTable[[#This Row],[Order Date]]),MONTH(OrdersTable[[#This Row],[Order Date]]),1)</f>
        <v>45658</v>
      </c>
      <c r="E2182">
        <f>MONTH(OrdersTable[[#This Row],[Order Date]])</f>
        <v>1</v>
      </c>
      <c r="F2182" t="s">
        <v>6880</v>
      </c>
      <c r="G2182" t="str">
        <f>IF(OrdersTable[[#This Row],[Order Date]]=_xlfn.MINIFS(Order_Date, Customer_ID, OrdersTable[[#This Row],[Customer ID]]), "New", "Repeat")</f>
        <v>New</v>
      </c>
      <c r="H2182" t="s">
        <v>59</v>
      </c>
      <c r="I2182" t="str">
        <f>INDEX(State!B:B,MATCH(OrdersTable[[#This Row],[State]],State!A:A,0))</f>
        <v>TN</v>
      </c>
      <c r="J2182" t="str">
        <f>INDEX(State!C:C,MATCH(OrdersTable[[#This Row],[State Code]],State!B:B,0))</f>
        <v>South</v>
      </c>
      <c r="K2182" t="s">
        <v>60</v>
      </c>
      <c r="L2182" t="s">
        <v>50</v>
      </c>
      <c r="M2182" t="s">
        <v>73</v>
      </c>
      <c r="N2182" t="str">
        <f>INDEX(Products!B:B,MATCH(OrdersTable[[#This Row],[Product ID]],Products!A:A,0))</f>
        <v>Hydrating Face Wash</v>
      </c>
      <c r="O2182" t="str">
        <f>INDEX(Products!C:C,MATCH(OrdersTable[[#This Row],[Product ID]],Products!A:A,0))</f>
        <v>Skincare</v>
      </c>
      <c r="P2182">
        <v>3</v>
      </c>
      <c r="Q2182" s="5">
        <v>299</v>
      </c>
      <c r="R2182" s="74">
        <v>0</v>
      </c>
      <c r="S2182" s="75">
        <f>OrdersTable[[#This Row],[Quantity]]*OrdersTable[[#This Row],[Unit Price]]</f>
        <v>897</v>
      </c>
      <c r="T2182" s="5">
        <f>OrdersTable[[#This Row],[Gross Sale]]*OrdersTable[[#This Row],[Discount_Clean2]]</f>
        <v>0</v>
      </c>
      <c r="U2182" s="5">
        <f>OrdersTable[[#This Row],[Gross Sale]]-OrdersTable[[#This Row],[Discount Amount]]</f>
        <v>897</v>
      </c>
      <c r="V2182" s="77">
        <f>INDEX(Products!E:E,MATCH(OrdersTable[[#This Row],[Product ID]],Products!A:A,0))</f>
        <v>90</v>
      </c>
      <c r="W2182" s="77">
        <f>OrdersTable[[#This Row],[Quantity]]*OrdersTable[[#This Row],[Unit Cost]]</f>
        <v>270</v>
      </c>
      <c r="X2182" s="77">
        <f>'Dropdown Lists'!$I$2*(1+OrdersTable[[#This Row],[Returned]])</f>
        <v>60</v>
      </c>
      <c r="Y2182" s="76">
        <f>OrdersTable[[#This Row],[Net Revenue]]-OrdersTable[[#This Row],[COGS]]-OrdersTable[[#This Row],[Shipping Cost]]</f>
        <v>567</v>
      </c>
      <c r="Z2182" s="78">
        <f>IFERROR(OrdersTable[[#This Row],[Profit]]/OrdersTable[[#This Row],[Net Revenue]],0)</f>
        <v>0.63210702341137126</v>
      </c>
      <c r="AA2182" t="s">
        <v>4074</v>
      </c>
      <c r="AB2182" s="79">
        <v>45669</v>
      </c>
      <c r="AC2182">
        <f>OrdersTable[[#This Row],[Delivery Date]]-OrdersTable[[#This Row],[Order Date]]</f>
        <v>2</v>
      </c>
      <c r="AD2182" t="str">
        <f>IF(OrdersTable[[#This Row],[Delivery Days]]&lt;=2, "Express (≤2d)", IF(OrdersTable[[#This Row],[Delivery Days]]&lt;=4, "Standard (3-4d)", "Delayed (5d+)"))</f>
        <v>Express (≤2d)</v>
      </c>
      <c r="AF2182">
        <v>0</v>
      </c>
    </row>
    <row r="2183" spans="1:32" ht="15" x14ac:dyDescent="0.35">
      <c r="A2183" t="s">
        <v>4971</v>
      </c>
      <c r="B2183" s="1">
        <v>45668</v>
      </c>
      <c r="C2183">
        <f>YEAR(OrdersTable[[#This Row],[Order Date]])</f>
        <v>2025</v>
      </c>
      <c r="D2183" s="2">
        <f>DATE(YEAR(OrdersTable[[#This Row],[Order Date]]),MONTH(OrdersTable[[#This Row],[Order Date]]),1)</f>
        <v>45658</v>
      </c>
      <c r="E2183">
        <f>MONTH(OrdersTable[[#This Row],[Order Date]])</f>
        <v>1</v>
      </c>
      <c r="F2183" t="s">
        <v>4972</v>
      </c>
      <c r="G2183" t="str">
        <f>IF(OrdersTable[[#This Row],[Order Date]]=_xlfn.MINIFS(Order_Date, Customer_ID, OrdersTable[[#This Row],[Customer ID]]), "New", "Repeat")</f>
        <v>New</v>
      </c>
      <c r="H2183" t="s">
        <v>482</v>
      </c>
      <c r="I2183" t="str">
        <f>INDEX(State!B:B,MATCH(OrdersTable[[#This Row],[State]],State!A:A,0))</f>
        <v>CG</v>
      </c>
      <c r="J2183" t="str">
        <f>INDEX(State!C:C,MATCH(OrdersTable[[#This Row],[State Code]],State!B:B,0))</f>
        <v>East</v>
      </c>
      <c r="K2183" t="s">
        <v>483</v>
      </c>
      <c r="L2183" t="s">
        <v>23</v>
      </c>
      <c r="M2183" t="s">
        <v>423</v>
      </c>
      <c r="N2183" t="str">
        <f>INDEX(Products!B:B,MATCH(OrdersTable[[#This Row],[Product ID]],Products!A:A,0))</f>
        <v>Power Bank 20000mAh</v>
      </c>
      <c r="O2183" t="str">
        <f>INDEX(Products!C:C,MATCH(OrdersTable[[#This Row],[Product ID]],Products!A:A,0))</f>
        <v>Electronics</v>
      </c>
      <c r="P2183">
        <v>2</v>
      </c>
      <c r="Q2183" s="5">
        <v>1799</v>
      </c>
      <c r="R2183" s="74">
        <v>0.3</v>
      </c>
      <c r="S2183" s="75">
        <f>OrdersTable[[#This Row],[Quantity]]*OrdersTable[[#This Row],[Unit Price]]</f>
        <v>3598</v>
      </c>
      <c r="T2183" s="5">
        <f>OrdersTable[[#This Row],[Gross Sale]]*OrdersTable[[#This Row],[Discount_Clean2]]</f>
        <v>1079.3999999999999</v>
      </c>
      <c r="U2183" s="5">
        <f>OrdersTable[[#This Row],[Gross Sale]]-OrdersTable[[#This Row],[Discount Amount]]</f>
        <v>2518.6000000000004</v>
      </c>
      <c r="V2183" s="77">
        <f>INDEX(Products!E:E,MATCH(OrdersTable[[#This Row],[Product ID]],Products!A:A,0))</f>
        <v>1079</v>
      </c>
      <c r="W2183" s="77">
        <f>OrdersTable[[#This Row],[Quantity]]*OrdersTable[[#This Row],[Unit Cost]]</f>
        <v>2158</v>
      </c>
      <c r="X2183" s="77">
        <f>'Dropdown Lists'!$I$2*(1+OrdersTable[[#This Row],[Returned]])</f>
        <v>60</v>
      </c>
      <c r="Y2183" s="76">
        <f>OrdersTable[[#This Row],[Net Revenue]]-OrdersTable[[#This Row],[COGS]]-OrdersTable[[#This Row],[Shipping Cost]]</f>
        <v>300.60000000000036</v>
      </c>
      <c r="Z2183" s="78">
        <f>IFERROR(OrdersTable[[#This Row],[Profit]]/OrdersTable[[#This Row],[Net Revenue]],0)</f>
        <v>0.11935202096402776</v>
      </c>
      <c r="AA2183" t="s">
        <v>4074</v>
      </c>
      <c r="AB2183" s="79">
        <v>45674</v>
      </c>
      <c r="AC2183">
        <f>OrdersTable[[#This Row],[Delivery Date]]-OrdersTable[[#This Row],[Order Date]]</f>
        <v>6</v>
      </c>
      <c r="AD2183" t="str">
        <f>IF(OrdersTable[[#This Row],[Delivery Days]]&lt;=2, "Express (≤2d)", IF(OrdersTable[[#This Row],[Delivery Days]]&lt;=4, "Standard (3-4d)", "Delayed (5d+)"))</f>
        <v>Delayed (5d+)</v>
      </c>
      <c r="AF2183">
        <v>0</v>
      </c>
    </row>
    <row r="2184" spans="1:32" ht="15" x14ac:dyDescent="0.35">
      <c r="A2184" t="s">
        <v>2772</v>
      </c>
      <c r="B2184" s="1">
        <v>45668</v>
      </c>
      <c r="C2184">
        <f>YEAR(OrdersTable[[#This Row],[Order Date]])</f>
        <v>2025</v>
      </c>
      <c r="D2184" s="2">
        <f>DATE(YEAR(OrdersTable[[#This Row],[Order Date]]),MONTH(OrdersTable[[#This Row],[Order Date]]),1)</f>
        <v>45658</v>
      </c>
      <c r="E2184">
        <f>MONTH(OrdersTable[[#This Row],[Order Date]])</f>
        <v>1</v>
      </c>
      <c r="F2184" t="s">
        <v>2773</v>
      </c>
      <c r="G2184" t="str">
        <f>IF(OrdersTable[[#This Row],[Order Date]]=_xlfn.MINIFS(Order_Date, Customer_ID, OrdersTable[[#This Row],[Customer ID]]), "New", "Repeat")</f>
        <v>New</v>
      </c>
      <c r="H2184" t="s">
        <v>482</v>
      </c>
      <c r="I2184" t="str">
        <f>INDEX(State!B:B,MATCH(OrdersTable[[#This Row],[State]],State!A:A,0))</f>
        <v>CG</v>
      </c>
      <c r="J2184" t="str">
        <f>INDEX(State!C:C,MATCH(OrdersTable[[#This Row],[State Code]],State!B:B,0))</f>
        <v>East</v>
      </c>
      <c r="K2184" t="s">
        <v>483</v>
      </c>
      <c r="L2184" t="s">
        <v>16</v>
      </c>
      <c r="M2184" t="s">
        <v>34</v>
      </c>
      <c r="N2184" t="str">
        <f>INDEX(Products!B:B,MATCH(OrdersTable[[#This Row],[Product ID]],Products!A:A,0))</f>
        <v>Flip Flops</v>
      </c>
      <c r="O2184" t="str">
        <f>INDEX(Products!C:C,MATCH(OrdersTable[[#This Row],[Product ID]],Products!A:A,0))</f>
        <v>Footwear</v>
      </c>
      <c r="P2184">
        <v>1</v>
      </c>
      <c r="Q2184" s="5">
        <v>399</v>
      </c>
      <c r="R2184" s="74">
        <v>0.2</v>
      </c>
      <c r="S2184" s="75">
        <f>OrdersTable[[#This Row],[Quantity]]*OrdersTable[[#This Row],[Unit Price]]</f>
        <v>399</v>
      </c>
      <c r="T2184" s="5">
        <f>OrdersTable[[#This Row],[Gross Sale]]*OrdersTable[[#This Row],[Discount_Clean2]]</f>
        <v>79.800000000000011</v>
      </c>
      <c r="U2184" s="5">
        <f>OrdersTable[[#This Row],[Gross Sale]]-OrdersTable[[#This Row],[Discount Amount]]</f>
        <v>319.2</v>
      </c>
      <c r="V2184" s="77">
        <f>INDEX(Products!E:E,MATCH(OrdersTable[[#This Row],[Product ID]],Products!A:A,0))</f>
        <v>152</v>
      </c>
      <c r="W2184" s="77">
        <f>OrdersTable[[#This Row],[Quantity]]*OrdersTable[[#This Row],[Unit Cost]]</f>
        <v>152</v>
      </c>
      <c r="X2184" s="77">
        <f>'Dropdown Lists'!$I$2*(1+OrdersTable[[#This Row],[Returned]])</f>
        <v>60</v>
      </c>
      <c r="Y2184" s="76">
        <f>OrdersTable[[#This Row],[Net Revenue]]-OrdersTable[[#This Row],[COGS]]-OrdersTable[[#This Row],[Shipping Cost]]</f>
        <v>107.19999999999999</v>
      </c>
      <c r="Z2184" s="78">
        <f>IFERROR(OrdersTable[[#This Row],[Profit]]/OrdersTable[[#This Row],[Net Revenue]],0)</f>
        <v>0.33583959899749372</v>
      </c>
      <c r="AA2184" t="s">
        <v>2522</v>
      </c>
      <c r="AB2184" s="79">
        <v>45674</v>
      </c>
      <c r="AC2184">
        <f>OrdersTable[[#This Row],[Delivery Date]]-OrdersTable[[#This Row],[Order Date]]</f>
        <v>6</v>
      </c>
      <c r="AD2184" t="str">
        <f>IF(OrdersTable[[#This Row],[Delivery Days]]&lt;=2, "Express (≤2d)", IF(OrdersTable[[#This Row],[Delivery Days]]&lt;=4, "Standard (3-4d)", "Delayed (5d+)"))</f>
        <v>Delayed (5d+)</v>
      </c>
      <c r="AE2184">
        <v>3</v>
      </c>
      <c r="AF2184">
        <v>0</v>
      </c>
    </row>
    <row r="2185" spans="1:32" ht="15" x14ac:dyDescent="0.35">
      <c r="A2185" t="s">
        <v>6705</v>
      </c>
      <c r="B2185" s="1">
        <v>45668</v>
      </c>
      <c r="C2185">
        <f>YEAR(OrdersTable[[#This Row],[Order Date]])</f>
        <v>2025</v>
      </c>
      <c r="D2185" s="2">
        <f>DATE(YEAR(OrdersTable[[#This Row],[Order Date]]),MONTH(OrdersTable[[#This Row],[Order Date]]),1)</f>
        <v>45658</v>
      </c>
      <c r="E2185">
        <f>MONTH(OrdersTable[[#This Row],[Order Date]])</f>
        <v>1</v>
      </c>
      <c r="F2185" t="s">
        <v>6706</v>
      </c>
      <c r="G2185" t="str">
        <f>IF(OrdersTable[[#This Row],[Order Date]]=_xlfn.MINIFS(Order_Date, Customer_ID, OrdersTable[[#This Row],[Customer ID]]), "New", "Repeat")</f>
        <v>New</v>
      </c>
      <c r="H2185" t="s">
        <v>71</v>
      </c>
      <c r="I2185" t="str">
        <f>INDEX(State!B:B,MATCH(OrdersTable[[#This Row],[State]],State!A:A,0))</f>
        <v>MH</v>
      </c>
      <c r="J2185" t="str">
        <f>INDEX(State!C:C,MATCH(OrdersTable[[#This Row],[State Code]],State!B:B,0))</f>
        <v>West</v>
      </c>
      <c r="K2185" t="s">
        <v>102</v>
      </c>
      <c r="L2185" t="s">
        <v>39</v>
      </c>
      <c r="M2185" t="s">
        <v>106</v>
      </c>
      <c r="N2185" t="str">
        <f>INDEX(Products!B:B,MATCH(OrdersTable[[#This Row],[Product ID]],Products!A:A,0))</f>
        <v>Keratin Hair Mask</v>
      </c>
      <c r="O2185" t="str">
        <f>INDEX(Products!C:C,MATCH(OrdersTable[[#This Row],[Product ID]],Products!A:A,0))</f>
        <v>Haircare</v>
      </c>
      <c r="P2185">
        <v>3</v>
      </c>
      <c r="Q2185" s="5">
        <v>549</v>
      </c>
      <c r="R2185" s="74">
        <v>0.2</v>
      </c>
      <c r="S2185" s="75">
        <f>OrdersTable[[#This Row],[Quantity]]*OrdersTable[[#This Row],[Unit Price]]</f>
        <v>1647</v>
      </c>
      <c r="T2185" s="5">
        <f>OrdersTable[[#This Row],[Gross Sale]]*OrdersTable[[#This Row],[Discount_Clean2]]</f>
        <v>329.40000000000003</v>
      </c>
      <c r="U2185" s="5">
        <f>OrdersTable[[#This Row],[Gross Sale]]-OrdersTable[[#This Row],[Discount Amount]]</f>
        <v>1317.6</v>
      </c>
      <c r="V2185" s="77">
        <f>INDEX(Products!E:E,MATCH(OrdersTable[[#This Row],[Product ID]],Products!A:A,0))</f>
        <v>170</v>
      </c>
      <c r="W2185" s="77">
        <f>OrdersTable[[#This Row],[Quantity]]*OrdersTable[[#This Row],[Unit Cost]]</f>
        <v>510</v>
      </c>
      <c r="X2185" s="77">
        <f>'Dropdown Lists'!$I$2*(1+OrdersTable[[#This Row],[Returned]])</f>
        <v>120</v>
      </c>
      <c r="Y2185" s="76">
        <f>OrdersTable[[#This Row],[Net Revenue]]-OrdersTable[[#This Row],[COGS]]-OrdersTable[[#This Row],[Shipping Cost]]</f>
        <v>687.59999999999991</v>
      </c>
      <c r="Z2185" s="78">
        <f>IFERROR(OrdersTable[[#This Row],[Profit]]/OrdersTable[[#This Row],[Net Revenue]],0)</f>
        <v>0.52185792349726767</v>
      </c>
      <c r="AA2185" t="s">
        <v>2522</v>
      </c>
      <c r="AB2185" s="79">
        <v>45672</v>
      </c>
      <c r="AC2185">
        <f>OrdersTable[[#This Row],[Delivery Date]]-OrdersTable[[#This Row],[Order Date]]</f>
        <v>4</v>
      </c>
      <c r="AD2185" t="str">
        <f>IF(OrdersTable[[#This Row],[Delivery Days]]&lt;=2, "Express (≤2d)", IF(OrdersTable[[#This Row],[Delivery Days]]&lt;=4, "Standard (3-4d)", "Delayed (5d+)"))</f>
        <v>Standard (3-4d)</v>
      </c>
      <c r="AF2185">
        <v>1</v>
      </c>
    </row>
    <row r="2186" spans="1:32" ht="15" x14ac:dyDescent="0.35">
      <c r="A2186" t="s">
        <v>2502</v>
      </c>
      <c r="B2186" s="1">
        <v>45668</v>
      </c>
      <c r="C2186">
        <f>YEAR(OrdersTable[[#This Row],[Order Date]])</f>
        <v>2025</v>
      </c>
      <c r="D2186" s="2">
        <f>DATE(YEAR(OrdersTable[[#This Row],[Order Date]]),MONTH(OrdersTable[[#This Row],[Order Date]]),1)</f>
        <v>45658</v>
      </c>
      <c r="E2186">
        <f>MONTH(OrdersTable[[#This Row],[Order Date]])</f>
        <v>1</v>
      </c>
      <c r="F2186" t="s">
        <v>2503</v>
      </c>
      <c r="G2186" t="str">
        <f>IF(OrdersTable[[#This Row],[Order Date]]=_xlfn.MINIFS(Order_Date, Customer_ID, OrdersTable[[#This Row],[Customer ID]]), "New", "Repeat")</f>
        <v>Repeat</v>
      </c>
      <c r="H2186" t="s">
        <v>14</v>
      </c>
      <c r="I2186" t="str">
        <f>INDEX(State!B:B,MATCH(OrdersTable[[#This Row],[State]],State!A:A,0))</f>
        <v>OD</v>
      </c>
      <c r="J2186" t="str">
        <f>INDEX(State!C:C,MATCH(OrdersTable[[#This Row],[State Code]],State!B:B,0))</f>
        <v>East</v>
      </c>
      <c r="K2186" t="s">
        <v>15</v>
      </c>
      <c r="L2186" t="s">
        <v>50</v>
      </c>
      <c r="M2186" t="s">
        <v>73</v>
      </c>
      <c r="N2186" t="str">
        <f>INDEX(Products!B:B,MATCH(OrdersTable[[#This Row],[Product ID]],Products!A:A,0))</f>
        <v>Hydrating Face Wash</v>
      </c>
      <c r="O2186" t="str">
        <f>INDEX(Products!C:C,MATCH(OrdersTable[[#This Row],[Product ID]],Products!A:A,0))</f>
        <v>Skincare</v>
      </c>
      <c r="P2186">
        <v>1</v>
      </c>
      <c r="Q2186" s="5">
        <v>299</v>
      </c>
      <c r="R2186" s="74">
        <v>0</v>
      </c>
      <c r="S2186" s="75">
        <f>OrdersTable[[#This Row],[Quantity]]*OrdersTable[[#This Row],[Unit Price]]</f>
        <v>299</v>
      </c>
      <c r="T2186" s="5">
        <f>OrdersTable[[#This Row],[Gross Sale]]*OrdersTable[[#This Row],[Discount_Clean2]]</f>
        <v>0</v>
      </c>
      <c r="U2186" s="5">
        <f>OrdersTable[[#This Row],[Gross Sale]]-OrdersTable[[#This Row],[Discount Amount]]</f>
        <v>299</v>
      </c>
      <c r="V2186" s="77">
        <f>INDEX(Products!E:E,MATCH(OrdersTable[[#This Row],[Product ID]],Products!A:A,0))</f>
        <v>90</v>
      </c>
      <c r="W2186" s="77">
        <f>OrdersTable[[#This Row],[Quantity]]*OrdersTable[[#This Row],[Unit Cost]]</f>
        <v>90</v>
      </c>
      <c r="X2186" s="77">
        <f>'Dropdown Lists'!$I$2*(1+OrdersTable[[#This Row],[Returned]])</f>
        <v>60</v>
      </c>
      <c r="Y2186" s="76">
        <f>OrdersTable[[#This Row],[Net Revenue]]-OrdersTable[[#This Row],[COGS]]-OrdersTable[[#This Row],[Shipping Cost]]</f>
        <v>149</v>
      </c>
      <c r="Z2186" s="78">
        <f>IFERROR(OrdersTable[[#This Row],[Profit]]/OrdersTable[[#This Row],[Net Revenue]],0)</f>
        <v>0.49832775919732442</v>
      </c>
      <c r="AA2186" t="s">
        <v>18</v>
      </c>
      <c r="AB2186" s="79">
        <v>45674</v>
      </c>
      <c r="AC2186">
        <f>OrdersTable[[#This Row],[Delivery Date]]-OrdersTable[[#This Row],[Order Date]]</f>
        <v>6</v>
      </c>
      <c r="AD2186" t="str">
        <f>IF(OrdersTable[[#This Row],[Delivery Days]]&lt;=2, "Express (≤2d)", IF(OrdersTable[[#This Row],[Delivery Days]]&lt;=4, "Standard (3-4d)", "Delayed (5d+)"))</f>
        <v>Delayed (5d+)</v>
      </c>
      <c r="AE2186">
        <v>2</v>
      </c>
      <c r="AF2186">
        <v>0</v>
      </c>
    </row>
    <row r="2187" spans="1:32" ht="15" x14ac:dyDescent="0.35">
      <c r="A2187" t="s">
        <v>4973</v>
      </c>
      <c r="B2187" s="1">
        <v>45668</v>
      </c>
      <c r="C2187">
        <f>YEAR(OrdersTable[[#This Row],[Order Date]])</f>
        <v>2025</v>
      </c>
      <c r="D2187" s="2">
        <f>DATE(YEAR(OrdersTable[[#This Row],[Order Date]]),MONTH(OrdersTable[[#This Row],[Order Date]]),1)</f>
        <v>45658</v>
      </c>
      <c r="E2187">
        <f>MONTH(OrdersTable[[#This Row],[Order Date]])</f>
        <v>1</v>
      </c>
      <c r="F2187" t="s">
        <v>4974</v>
      </c>
      <c r="G2187" t="str">
        <f>IF(OrdersTable[[#This Row],[Order Date]]=_xlfn.MINIFS(Order_Date, Customer_ID, OrdersTable[[#This Row],[Customer ID]]), "New", "Repeat")</f>
        <v>New</v>
      </c>
      <c r="H2187" t="s">
        <v>167</v>
      </c>
      <c r="I2187" t="str">
        <f>INDEX(State!B:B,MATCH(OrdersTable[[#This Row],[State]],State!A:A,0))</f>
        <v>KA</v>
      </c>
      <c r="J2187" t="str">
        <f>INDEX(State!C:C,MATCH(OrdersTable[[#This Row],[State Code]],State!B:B,0))</f>
        <v>South</v>
      </c>
      <c r="K2187" t="s">
        <v>190</v>
      </c>
      <c r="L2187" t="s">
        <v>23</v>
      </c>
      <c r="M2187" t="s">
        <v>51</v>
      </c>
      <c r="N2187" t="str">
        <f>INDEX(Products!B:B,MATCH(OrdersTable[[#This Row],[Product ID]],Products!A:A,0))</f>
        <v>Anti-Dandruff Conditioner</v>
      </c>
      <c r="O2187" t="str">
        <f>INDEX(Products!C:C,MATCH(OrdersTable[[#This Row],[Product ID]],Products!A:A,0))</f>
        <v>Haircare</v>
      </c>
      <c r="P2187">
        <v>2</v>
      </c>
      <c r="Q2187" s="5">
        <v>399</v>
      </c>
      <c r="R2187" s="74">
        <v>0.35</v>
      </c>
      <c r="S2187" s="75">
        <f>OrdersTable[[#This Row],[Quantity]]*OrdersTable[[#This Row],[Unit Price]]</f>
        <v>798</v>
      </c>
      <c r="T2187" s="5">
        <f>OrdersTable[[#This Row],[Gross Sale]]*OrdersTable[[#This Row],[Discount_Clean2]]</f>
        <v>279.29999999999995</v>
      </c>
      <c r="U2187" s="5">
        <f>OrdersTable[[#This Row],[Gross Sale]]-OrdersTable[[#This Row],[Discount Amount]]</f>
        <v>518.70000000000005</v>
      </c>
      <c r="V2187" s="77">
        <f>INDEX(Products!E:E,MATCH(OrdersTable[[#This Row],[Product ID]],Products!A:A,0))</f>
        <v>136</v>
      </c>
      <c r="W2187" s="77">
        <f>OrdersTable[[#This Row],[Quantity]]*OrdersTable[[#This Row],[Unit Cost]]</f>
        <v>272</v>
      </c>
      <c r="X2187" s="77">
        <f>'Dropdown Lists'!$I$2*(1+OrdersTable[[#This Row],[Returned]])</f>
        <v>60</v>
      </c>
      <c r="Y2187" s="76">
        <f>OrdersTable[[#This Row],[Net Revenue]]-OrdersTable[[#This Row],[COGS]]-OrdersTable[[#This Row],[Shipping Cost]]</f>
        <v>186.70000000000005</v>
      </c>
      <c r="Z2187" s="78">
        <f>IFERROR(OrdersTable[[#This Row],[Profit]]/OrdersTable[[#This Row],[Net Revenue]],0)</f>
        <v>0.35993830730672843</v>
      </c>
      <c r="AA2187" t="s">
        <v>4074</v>
      </c>
      <c r="AB2187" s="79">
        <v>45672</v>
      </c>
      <c r="AC2187">
        <f>OrdersTable[[#This Row],[Delivery Date]]-OrdersTable[[#This Row],[Order Date]]</f>
        <v>4</v>
      </c>
      <c r="AD2187" t="str">
        <f>IF(OrdersTable[[#This Row],[Delivery Days]]&lt;=2, "Express (≤2d)", IF(OrdersTable[[#This Row],[Delivery Days]]&lt;=4, "Standard (3-4d)", "Delayed (5d+)"))</f>
        <v>Standard (3-4d)</v>
      </c>
      <c r="AE2187">
        <v>5</v>
      </c>
      <c r="AF2187">
        <v>0</v>
      </c>
    </row>
    <row r="2188" spans="1:32" ht="15" x14ac:dyDescent="0.35">
      <c r="A2188" t="s">
        <v>2774</v>
      </c>
      <c r="B2188" s="1">
        <v>45668</v>
      </c>
      <c r="C2188">
        <f>YEAR(OrdersTable[[#This Row],[Order Date]])</f>
        <v>2025</v>
      </c>
      <c r="D2188" s="2">
        <f>DATE(YEAR(OrdersTable[[#This Row],[Order Date]]),MONTH(OrdersTable[[#This Row],[Order Date]]),1)</f>
        <v>45658</v>
      </c>
      <c r="E2188">
        <f>MONTH(OrdersTable[[#This Row],[Order Date]])</f>
        <v>1</v>
      </c>
      <c r="F2188" t="s">
        <v>2775</v>
      </c>
      <c r="G2188" t="str">
        <f>IF(OrdersTable[[#This Row],[Order Date]]=_xlfn.MINIFS(Order_Date, Customer_ID, OrdersTable[[#This Row],[Customer ID]]), "New", "Repeat")</f>
        <v>Repeat</v>
      </c>
      <c r="H2188" t="s">
        <v>316</v>
      </c>
      <c r="I2188" t="str">
        <f>INDEX(State!B:B,MATCH(OrdersTable[[#This Row],[State]],State!A:A,0))</f>
        <v>KL</v>
      </c>
      <c r="J2188" t="str">
        <f>INDEX(State!C:C,MATCH(OrdersTable[[#This Row],[State Code]],State!B:B,0))</f>
        <v>South</v>
      </c>
      <c r="K2188" t="s">
        <v>317</v>
      </c>
      <c r="L2188" t="s">
        <v>39</v>
      </c>
      <c r="M2188" t="s">
        <v>565</v>
      </c>
      <c r="N2188" t="str">
        <f>INDEX(Products!B:B,MATCH(OrdersTable[[#This Row],[Product ID]],Products!A:A,0))</f>
        <v>Ceramic Dinner Set</v>
      </c>
      <c r="O2188" t="str">
        <f>INDEX(Products!C:C,MATCH(OrdersTable[[#This Row],[Product ID]],Products!A:A,0))</f>
        <v>Home &amp; Kitchen</v>
      </c>
      <c r="P2188">
        <v>1</v>
      </c>
      <c r="Q2188" s="5">
        <v>2499</v>
      </c>
      <c r="R2188" s="74">
        <v>0.25</v>
      </c>
      <c r="S2188" s="75">
        <f>OrdersTable[[#This Row],[Quantity]]*OrdersTable[[#This Row],[Unit Price]]</f>
        <v>2499</v>
      </c>
      <c r="T2188" s="5">
        <f>OrdersTable[[#This Row],[Gross Sale]]*OrdersTable[[#This Row],[Discount_Clean2]]</f>
        <v>624.75</v>
      </c>
      <c r="U2188" s="5">
        <f>OrdersTable[[#This Row],[Gross Sale]]-OrdersTable[[#This Row],[Discount Amount]]</f>
        <v>1874.25</v>
      </c>
      <c r="V2188" s="77">
        <f>INDEX(Products!E:E,MATCH(OrdersTable[[#This Row],[Product ID]],Products!A:A,0))</f>
        <v>1250</v>
      </c>
      <c r="W2188" s="77">
        <f>OrdersTable[[#This Row],[Quantity]]*OrdersTable[[#This Row],[Unit Cost]]</f>
        <v>1250</v>
      </c>
      <c r="X2188" s="77">
        <f>'Dropdown Lists'!$I$2*(1+OrdersTable[[#This Row],[Returned]])</f>
        <v>60</v>
      </c>
      <c r="Y2188" s="76">
        <f>OrdersTable[[#This Row],[Net Revenue]]-OrdersTable[[#This Row],[COGS]]-OrdersTable[[#This Row],[Shipping Cost]]</f>
        <v>564.25</v>
      </c>
      <c r="Z2188" s="78">
        <f>IFERROR(OrdersTable[[#This Row],[Profit]]/OrdersTable[[#This Row],[Net Revenue]],0)</f>
        <v>0.30105375483526742</v>
      </c>
      <c r="AA2188" t="s">
        <v>2522</v>
      </c>
      <c r="AB2188" s="79">
        <v>45675</v>
      </c>
      <c r="AC2188">
        <f>OrdersTable[[#This Row],[Delivery Date]]-OrdersTable[[#This Row],[Order Date]]</f>
        <v>7</v>
      </c>
      <c r="AD2188" t="str">
        <f>IF(OrdersTable[[#This Row],[Delivery Days]]&lt;=2, "Express (≤2d)", IF(OrdersTable[[#This Row],[Delivery Days]]&lt;=4, "Standard (3-4d)", "Delayed (5d+)"))</f>
        <v>Delayed (5d+)</v>
      </c>
      <c r="AE2188">
        <v>3</v>
      </c>
      <c r="AF2188">
        <v>0</v>
      </c>
    </row>
    <row r="2189" spans="1:32" ht="15" x14ac:dyDescent="0.35">
      <c r="A2189" t="s">
        <v>4386</v>
      </c>
      <c r="B2189" s="1">
        <v>45668</v>
      </c>
      <c r="C2189">
        <f>YEAR(OrdersTable[[#This Row],[Order Date]])</f>
        <v>2025</v>
      </c>
      <c r="D2189" s="2">
        <f>DATE(YEAR(OrdersTable[[#This Row],[Order Date]]),MONTH(OrdersTable[[#This Row],[Order Date]]),1)</f>
        <v>45658</v>
      </c>
      <c r="E2189">
        <f>MONTH(OrdersTable[[#This Row],[Order Date]])</f>
        <v>1</v>
      </c>
      <c r="F2189" t="s">
        <v>1104</v>
      </c>
      <c r="G2189" t="str">
        <f>IF(OrdersTable[[#This Row],[Order Date]]=_xlfn.MINIFS(Order_Date, Customer_ID, OrdersTable[[#This Row],[Customer ID]]), "New", "Repeat")</f>
        <v>Repeat</v>
      </c>
      <c r="H2189" t="s">
        <v>59</v>
      </c>
      <c r="I2189" t="str">
        <f>INDEX(State!B:B,MATCH(OrdersTable[[#This Row],[State]],State!A:A,0))</f>
        <v>TN</v>
      </c>
      <c r="J2189" t="str">
        <f>INDEX(State!C:C,MATCH(OrdersTable[[#This Row],[State Code]],State!B:B,0))</f>
        <v>South</v>
      </c>
      <c r="K2189" t="s">
        <v>64</v>
      </c>
      <c r="L2189" t="s">
        <v>23</v>
      </c>
      <c r="M2189" t="s">
        <v>92</v>
      </c>
      <c r="N2189" t="str">
        <f>INDEX(Products!B:B,MATCH(OrdersTable[[#This Row],[Product ID]],Products!A:A,0))</f>
        <v>Kolhapuri Sandals</v>
      </c>
      <c r="O2189" t="str">
        <f>INDEX(Products!C:C,MATCH(OrdersTable[[#This Row],[Product ID]],Products!A:A,0))</f>
        <v>Footwear</v>
      </c>
      <c r="P2189">
        <v>1</v>
      </c>
      <c r="Q2189" s="5">
        <v>999</v>
      </c>
      <c r="R2189" s="74">
        <v>0</v>
      </c>
      <c r="S2189" s="75">
        <f>OrdersTable[[#This Row],[Quantity]]*OrdersTable[[#This Row],[Unit Price]]</f>
        <v>999</v>
      </c>
      <c r="T2189" s="5">
        <f>OrdersTable[[#This Row],[Gross Sale]]*OrdersTable[[#This Row],[Discount_Clean2]]</f>
        <v>0</v>
      </c>
      <c r="U2189" s="5">
        <f>OrdersTable[[#This Row],[Gross Sale]]-OrdersTable[[#This Row],[Discount Amount]]</f>
        <v>999</v>
      </c>
      <c r="V2189" s="77">
        <f>INDEX(Products!E:E,MATCH(OrdersTable[[#This Row],[Product ID]],Products!A:A,0))</f>
        <v>400</v>
      </c>
      <c r="W2189" s="77">
        <f>OrdersTable[[#This Row],[Quantity]]*OrdersTable[[#This Row],[Unit Cost]]</f>
        <v>400</v>
      </c>
      <c r="X2189" s="77">
        <f>'Dropdown Lists'!$I$2*(1+OrdersTable[[#This Row],[Returned]])</f>
        <v>60</v>
      </c>
      <c r="Y2189" s="76">
        <f>OrdersTable[[#This Row],[Net Revenue]]-OrdersTable[[#This Row],[COGS]]-OrdersTable[[#This Row],[Shipping Cost]]</f>
        <v>539</v>
      </c>
      <c r="Z2189" s="78">
        <f>IFERROR(OrdersTable[[#This Row],[Profit]]/OrdersTable[[#This Row],[Net Revenue]],0)</f>
        <v>0.53953953953953959</v>
      </c>
      <c r="AA2189" t="s">
        <v>4074</v>
      </c>
      <c r="AB2189" s="79">
        <v>45670</v>
      </c>
      <c r="AC2189">
        <f>OrdersTable[[#This Row],[Delivery Date]]-OrdersTable[[#This Row],[Order Date]]</f>
        <v>2</v>
      </c>
      <c r="AD2189" t="str">
        <f>IF(OrdersTable[[#This Row],[Delivery Days]]&lt;=2, "Express (≤2d)", IF(OrdersTable[[#This Row],[Delivery Days]]&lt;=4, "Standard (3-4d)", "Delayed (5d+)"))</f>
        <v>Express (≤2d)</v>
      </c>
      <c r="AE2189">
        <v>4</v>
      </c>
      <c r="AF2189">
        <v>0</v>
      </c>
    </row>
    <row r="2190" spans="1:32" ht="15" x14ac:dyDescent="0.35">
      <c r="A2190" t="s">
        <v>6137</v>
      </c>
      <c r="B2190" s="1">
        <v>45668</v>
      </c>
      <c r="C2190">
        <f>YEAR(OrdersTable[[#This Row],[Order Date]])</f>
        <v>2025</v>
      </c>
      <c r="D2190" s="2">
        <f>DATE(YEAR(OrdersTable[[#This Row],[Order Date]]),MONTH(OrdersTable[[#This Row],[Order Date]]),1)</f>
        <v>45658</v>
      </c>
      <c r="E2190">
        <f>MONTH(OrdersTable[[#This Row],[Order Date]])</f>
        <v>1</v>
      </c>
      <c r="F2190" t="s">
        <v>2161</v>
      </c>
      <c r="G2190" t="str">
        <f>IF(OrdersTable[[#This Row],[Order Date]]=_xlfn.MINIFS(Order_Date, Customer_ID, OrdersTable[[#This Row],[Customer ID]]), "New", "Repeat")</f>
        <v>New</v>
      </c>
      <c r="H2190" t="s">
        <v>59</v>
      </c>
      <c r="I2190" t="str">
        <f>INDEX(State!B:B,MATCH(OrdersTable[[#This Row],[State]],State!A:A,0))</f>
        <v>TN</v>
      </c>
      <c r="J2190" t="str">
        <f>INDEX(State!C:C,MATCH(OrdersTable[[#This Row],[State Code]],State!B:B,0))</f>
        <v>South</v>
      </c>
      <c r="K2190" t="s">
        <v>60</v>
      </c>
      <c r="L2190" t="s">
        <v>23</v>
      </c>
      <c r="M2190" t="s">
        <v>87</v>
      </c>
      <c r="N2190" t="str">
        <f>INDEX(Products!B:B,MATCH(OrdersTable[[#This Row],[Product ID]],Products!A:A,0))</f>
        <v>Linen Kurta</v>
      </c>
      <c r="O2190" t="str">
        <f>INDEX(Products!C:C,MATCH(OrdersTable[[#This Row],[Product ID]],Products!A:A,0))</f>
        <v>Apparel</v>
      </c>
      <c r="P2190">
        <v>2</v>
      </c>
      <c r="Q2190" s="5">
        <v>1499</v>
      </c>
      <c r="R2190" s="74">
        <v>0.4</v>
      </c>
      <c r="S2190" s="75">
        <f>OrdersTable[[#This Row],[Quantity]]*OrdersTable[[#This Row],[Unit Price]]</f>
        <v>2998</v>
      </c>
      <c r="T2190" s="5">
        <f>OrdersTable[[#This Row],[Gross Sale]]*OrdersTable[[#This Row],[Discount_Clean2]]</f>
        <v>1199.2</v>
      </c>
      <c r="U2190" s="5">
        <f>OrdersTable[[#This Row],[Gross Sale]]-OrdersTable[[#This Row],[Discount Amount]]</f>
        <v>1798.8</v>
      </c>
      <c r="V2190" s="77">
        <f>INDEX(Products!E:E,MATCH(OrdersTable[[#This Row],[Product ID]],Products!A:A,0))</f>
        <v>630</v>
      </c>
      <c r="W2190" s="77">
        <f>OrdersTable[[#This Row],[Quantity]]*OrdersTable[[#This Row],[Unit Cost]]</f>
        <v>1260</v>
      </c>
      <c r="X2190" s="77">
        <f>'Dropdown Lists'!$I$2*(1+OrdersTable[[#This Row],[Returned]])</f>
        <v>60</v>
      </c>
      <c r="Y2190" s="76">
        <f>OrdersTable[[#This Row],[Net Revenue]]-OrdersTable[[#This Row],[COGS]]-OrdersTable[[#This Row],[Shipping Cost]]</f>
        <v>478.79999999999995</v>
      </c>
      <c r="Z2190" s="78">
        <f>IFERROR(OrdersTable[[#This Row],[Profit]]/OrdersTable[[#This Row],[Net Revenue]],0)</f>
        <v>0.26617745163442291</v>
      </c>
      <c r="AA2190" t="s">
        <v>18</v>
      </c>
      <c r="AB2190" s="79">
        <v>45671</v>
      </c>
      <c r="AC2190">
        <f>OrdersTable[[#This Row],[Delivery Date]]-OrdersTable[[#This Row],[Order Date]]</f>
        <v>3</v>
      </c>
      <c r="AD2190" t="str">
        <f>IF(OrdersTable[[#This Row],[Delivery Days]]&lt;=2, "Express (≤2d)", IF(OrdersTable[[#This Row],[Delivery Days]]&lt;=4, "Standard (3-4d)", "Delayed (5d+)"))</f>
        <v>Standard (3-4d)</v>
      </c>
      <c r="AE2190">
        <v>4</v>
      </c>
      <c r="AF2190">
        <v>0</v>
      </c>
    </row>
    <row r="2191" spans="1:32" ht="15" x14ac:dyDescent="0.35">
      <c r="A2191" t="s">
        <v>2348</v>
      </c>
      <c r="B2191" s="1">
        <v>45669</v>
      </c>
      <c r="C2191">
        <f>YEAR(OrdersTable[[#This Row],[Order Date]])</f>
        <v>2025</v>
      </c>
      <c r="D2191" s="2">
        <f>DATE(YEAR(OrdersTable[[#This Row],[Order Date]]),MONTH(OrdersTable[[#This Row],[Order Date]]),1)</f>
        <v>45658</v>
      </c>
      <c r="E2191">
        <f>MONTH(OrdersTable[[#This Row],[Order Date]])</f>
        <v>1</v>
      </c>
      <c r="F2191" t="s">
        <v>2349</v>
      </c>
      <c r="G2191" t="str">
        <f>IF(OrdersTable[[#This Row],[Order Date]]=_xlfn.MINIFS(Order_Date, Customer_ID, OrdersTable[[#This Row],[Customer ID]]), "New", "Repeat")</f>
        <v>Repeat</v>
      </c>
      <c r="H2191" t="s">
        <v>54</v>
      </c>
      <c r="I2191" t="str">
        <f>INDEX(State!B:B,MATCH(OrdersTable[[#This Row],[State]],State!A:A,0))</f>
        <v>RJ</v>
      </c>
      <c r="J2191" t="str">
        <f>INDEX(State!C:C,MATCH(OrdersTable[[#This Row],[State Code]],State!B:B,0))</f>
        <v>North</v>
      </c>
      <c r="K2191" t="s">
        <v>227</v>
      </c>
      <c r="L2191" t="s">
        <v>16</v>
      </c>
      <c r="M2191" t="s">
        <v>17</v>
      </c>
      <c r="N2191" t="str">
        <f>INDEX(Products!B:B,MATCH(OrdersTable[[#This Row],[Product ID]],Products!A:A,0))</f>
        <v>Casual Sneakers</v>
      </c>
      <c r="O2191" t="str">
        <f>INDEX(Products!C:C,MATCH(OrdersTable[[#This Row],[Product ID]],Products!A:A,0))</f>
        <v>Footwear</v>
      </c>
      <c r="P2191">
        <v>1</v>
      </c>
      <c r="Q2191" s="5">
        <v>2199</v>
      </c>
      <c r="R2191" s="74">
        <v>0.15</v>
      </c>
      <c r="S2191" s="75">
        <f>OrdersTable[[#This Row],[Quantity]]*OrdersTable[[#This Row],[Unit Price]]</f>
        <v>2199</v>
      </c>
      <c r="T2191" s="5">
        <f>OrdersTable[[#This Row],[Gross Sale]]*OrdersTable[[#This Row],[Discount_Clean2]]</f>
        <v>329.84999999999997</v>
      </c>
      <c r="U2191" s="5">
        <f>OrdersTable[[#This Row],[Gross Sale]]-OrdersTable[[#This Row],[Discount Amount]]</f>
        <v>1869.15</v>
      </c>
      <c r="V2191" s="77">
        <f>INDEX(Products!E:E,MATCH(OrdersTable[[#This Row],[Product ID]],Products!A:A,0))</f>
        <v>1034</v>
      </c>
      <c r="W2191" s="77">
        <f>OrdersTable[[#This Row],[Quantity]]*OrdersTable[[#This Row],[Unit Cost]]</f>
        <v>1034</v>
      </c>
      <c r="X2191" s="77">
        <f>'Dropdown Lists'!$I$2*(1+OrdersTable[[#This Row],[Returned]])</f>
        <v>60</v>
      </c>
      <c r="Y2191" s="76">
        <f>OrdersTable[[#This Row],[Net Revenue]]-OrdersTable[[#This Row],[COGS]]-OrdersTable[[#This Row],[Shipping Cost]]</f>
        <v>775.15000000000009</v>
      </c>
      <c r="Z2191" s="78">
        <f>IFERROR(OrdersTable[[#This Row],[Profit]]/OrdersTable[[#This Row],[Net Revenue]],0)</f>
        <v>0.41470721985929437</v>
      </c>
      <c r="AA2191" t="s">
        <v>18</v>
      </c>
      <c r="AB2191" s="79">
        <v>45672</v>
      </c>
      <c r="AC2191">
        <f>OrdersTable[[#This Row],[Delivery Date]]-OrdersTable[[#This Row],[Order Date]]</f>
        <v>3</v>
      </c>
      <c r="AD2191" t="str">
        <f>IF(OrdersTable[[#This Row],[Delivery Days]]&lt;=2, "Express (≤2d)", IF(OrdersTable[[#This Row],[Delivery Days]]&lt;=4, "Standard (3-4d)", "Delayed (5d+)"))</f>
        <v>Standard (3-4d)</v>
      </c>
      <c r="AE2191">
        <v>5</v>
      </c>
      <c r="AF2191">
        <v>0</v>
      </c>
    </row>
    <row r="2192" spans="1:32" ht="15" x14ac:dyDescent="0.35">
      <c r="A2192" t="s">
        <v>4819</v>
      </c>
      <c r="B2192" s="1">
        <v>45669</v>
      </c>
      <c r="C2192">
        <f>YEAR(OrdersTable[[#This Row],[Order Date]])</f>
        <v>2025</v>
      </c>
      <c r="D2192" s="2">
        <f>DATE(YEAR(OrdersTable[[#This Row],[Order Date]]),MONTH(OrdersTable[[#This Row],[Order Date]]),1)</f>
        <v>45658</v>
      </c>
      <c r="E2192">
        <f>MONTH(OrdersTable[[#This Row],[Order Date]])</f>
        <v>1</v>
      </c>
      <c r="F2192" t="s">
        <v>1801</v>
      </c>
      <c r="G2192" t="str">
        <f>IF(OrdersTable[[#This Row],[Order Date]]=_xlfn.MINIFS(Order_Date, Customer_ID, OrdersTable[[#This Row],[Customer ID]]), "New", "Repeat")</f>
        <v>Repeat</v>
      </c>
      <c r="H2192" t="s">
        <v>128</v>
      </c>
      <c r="I2192" t="str">
        <f>INDEX(State!B:B,MATCH(OrdersTable[[#This Row],[State]],State!A:A,0))</f>
        <v>DL</v>
      </c>
      <c r="J2192" t="str">
        <f>INDEX(State!C:C,MATCH(OrdersTable[[#This Row],[State Code]],State!B:B,0))</f>
        <v>North</v>
      </c>
      <c r="K2192" t="s">
        <v>129</v>
      </c>
      <c r="L2192" t="s">
        <v>39</v>
      </c>
      <c r="M2192" t="s">
        <v>66</v>
      </c>
      <c r="N2192" t="str">
        <f>INDEX(Products!B:B,MATCH(OrdersTable[[#This Row],[Product ID]],Products!A:A,0))</f>
        <v>Sunscreen SPF 50</v>
      </c>
      <c r="O2192" t="str">
        <f>INDEX(Products!C:C,MATCH(OrdersTable[[#This Row],[Product ID]],Products!A:A,0))</f>
        <v>Skincare</v>
      </c>
      <c r="P2192">
        <v>2</v>
      </c>
      <c r="Q2192" s="5">
        <v>449</v>
      </c>
      <c r="R2192" s="74">
        <v>0</v>
      </c>
      <c r="S2192" s="75">
        <f>OrdersTable[[#This Row],[Quantity]]*OrdersTable[[#This Row],[Unit Price]]</f>
        <v>898</v>
      </c>
      <c r="T2192" s="5">
        <f>OrdersTable[[#This Row],[Gross Sale]]*OrdersTable[[#This Row],[Discount_Clean2]]</f>
        <v>0</v>
      </c>
      <c r="U2192" s="5">
        <f>OrdersTable[[#This Row],[Gross Sale]]-OrdersTable[[#This Row],[Discount Amount]]</f>
        <v>898</v>
      </c>
      <c r="V2192" s="77">
        <f>INDEX(Products!E:E,MATCH(OrdersTable[[#This Row],[Product ID]],Products!A:A,0))</f>
        <v>144</v>
      </c>
      <c r="W2192" s="77">
        <f>OrdersTable[[#This Row],[Quantity]]*OrdersTable[[#This Row],[Unit Cost]]</f>
        <v>288</v>
      </c>
      <c r="X2192" s="77">
        <f>'Dropdown Lists'!$I$2*(1+OrdersTable[[#This Row],[Returned]])</f>
        <v>60</v>
      </c>
      <c r="Y2192" s="76">
        <f>OrdersTable[[#This Row],[Net Revenue]]-OrdersTable[[#This Row],[COGS]]-OrdersTable[[#This Row],[Shipping Cost]]</f>
        <v>550</v>
      </c>
      <c r="Z2192" s="78">
        <f>IFERROR(OrdersTable[[#This Row],[Profit]]/OrdersTable[[#This Row],[Net Revenue]],0)</f>
        <v>0.61247216035634744</v>
      </c>
      <c r="AA2192" t="s">
        <v>4450</v>
      </c>
      <c r="AB2192" s="79">
        <v>45673</v>
      </c>
      <c r="AC2192">
        <f>OrdersTable[[#This Row],[Delivery Date]]-OrdersTable[[#This Row],[Order Date]]</f>
        <v>4</v>
      </c>
      <c r="AD2192" t="str">
        <f>IF(OrdersTable[[#This Row],[Delivery Days]]&lt;=2, "Express (≤2d)", IF(OrdersTable[[#This Row],[Delivery Days]]&lt;=4, "Standard (3-4d)", "Delayed (5d+)"))</f>
        <v>Standard (3-4d)</v>
      </c>
      <c r="AF2192">
        <v>0</v>
      </c>
    </row>
    <row r="2193" spans="1:32" ht="15" x14ac:dyDescent="0.35">
      <c r="A2193" t="s">
        <v>797</v>
      </c>
      <c r="B2193" s="1">
        <v>45670</v>
      </c>
      <c r="C2193">
        <f>YEAR(OrdersTable[[#This Row],[Order Date]])</f>
        <v>2025</v>
      </c>
      <c r="D2193" s="2">
        <f>DATE(YEAR(OrdersTable[[#This Row],[Order Date]]),MONTH(OrdersTable[[#This Row],[Order Date]]),1)</f>
        <v>45658</v>
      </c>
      <c r="E2193">
        <f>MONTH(OrdersTable[[#This Row],[Order Date]])</f>
        <v>1</v>
      </c>
      <c r="F2193" t="s">
        <v>798</v>
      </c>
      <c r="G2193" t="str">
        <f>IF(OrdersTable[[#This Row],[Order Date]]=_xlfn.MINIFS(Order_Date, Customer_ID, OrdersTable[[#This Row],[Customer ID]]), "New", "Repeat")</f>
        <v>New</v>
      </c>
      <c r="H2193" t="s">
        <v>76</v>
      </c>
      <c r="I2193" t="str">
        <f>INDEX(State!B:B,MATCH(OrdersTable[[#This Row],[State]],State!A:A,0))</f>
        <v>UP</v>
      </c>
      <c r="J2193" t="str">
        <f>INDEX(State!C:C,MATCH(OrdersTable[[#This Row],[State Code]],State!B:B,0))</f>
        <v>North</v>
      </c>
      <c r="K2193" t="s">
        <v>105</v>
      </c>
      <c r="L2193" t="s">
        <v>65</v>
      </c>
      <c r="M2193" t="s">
        <v>40</v>
      </c>
      <c r="N2193" t="str">
        <f>INDEX(Products!B:B,MATCH(OrdersTable[[#This Row],[Product ID]],Products!A:A,0))</f>
        <v>Ashwagandha Capsules</v>
      </c>
      <c r="O2193" t="str">
        <f>INDEX(Products!C:C,MATCH(OrdersTable[[#This Row],[Product ID]],Products!A:A,0))</f>
        <v>Wellness</v>
      </c>
      <c r="P2193">
        <v>1</v>
      </c>
      <c r="Q2193" s="5">
        <v>499</v>
      </c>
      <c r="R2193" s="74">
        <v>0.1</v>
      </c>
      <c r="S2193" s="75">
        <f>OrdersTable[[#This Row],[Quantity]]*OrdersTable[[#This Row],[Unit Price]]</f>
        <v>499</v>
      </c>
      <c r="T2193" s="5">
        <f>OrdersTable[[#This Row],[Gross Sale]]*OrdersTable[[#This Row],[Discount_Clean2]]</f>
        <v>49.900000000000006</v>
      </c>
      <c r="U2193" s="5">
        <f>OrdersTable[[#This Row],[Gross Sale]]-OrdersTable[[#This Row],[Discount Amount]]</f>
        <v>449.1</v>
      </c>
      <c r="V2193" s="77">
        <f>INDEX(Products!E:E,MATCH(OrdersTable[[#This Row],[Product ID]],Products!A:A,0))</f>
        <v>150</v>
      </c>
      <c r="W2193" s="77">
        <f>OrdersTable[[#This Row],[Quantity]]*OrdersTable[[#This Row],[Unit Cost]]</f>
        <v>150</v>
      </c>
      <c r="X2193" s="77">
        <f>'Dropdown Lists'!$I$2*(1+OrdersTable[[#This Row],[Returned]])</f>
        <v>60</v>
      </c>
      <c r="Y2193" s="76">
        <f>OrdersTable[[#This Row],[Net Revenue]]-OrdersTable[[#This Row],[COGS]]-OrdersTable[[#This Row],[Shipping Cost]]</f>
        <v>239.10000000000002</v>
      </c>
      <c r="Z2193" s="78">
        <f>IFERROR(OrdersTable[[#This Row],[Profit]]/OrdersTable[[#This Row],[Net Revenue]],0)</f>
        <v>0.53239812959251842</v>
      </c>
      <c r="AA2193" t="s">
        <v>18</v>
      </c>
      <c r="AB2193" s="79">
        <v>45675</v>
      </c>
      <c r="AC2193">
        <f>OrdersTable[[#This Row],[Delivery Date]]-OrdersTable[[#This Row],[Order Date]]</f>
        <v>5</v>
      </c>
      <c r="AD2193" t="str">
        <f>IF(OrdersTable[[#This Row],[Delivery Days]]&lt;=2, "Express (≤2d)", IF(OrdersTable[[#This Row],[Delivery Days]]&lt;=4, "Standard (3-4d)", "Delayed (5d+)"))</f>
        <v>Delayed (5d+)</v>
      </c>
      <c r="AE2193">
        <v>4</v>
      </c>
      <c r="AF2193">
        <v>0</v>
      </c>
    </row>
    <row r="2194" spans="1:32" ht="15" x14ac:dyDescent="0.35">
      <c r="A2194" t="s">
        <v>6340</v>
      </c>
      <c r="B2194" s="1">
        <v>45670</v>
      </c>
      <c r="C2194">
        <f>YEAR(OrdersTable[[#This Row],[Order Date]])</f>
        <v>2025</v>
      </c>
      <c r="D2194" s="2">
        <f>DATE(YEAR(OrdersTable[[#This Row],[Order Date]]),MONTH(OrdersTable[[#This Row],[Order Date]]),1)</f>
        <v>45658</v>
      </c>
      <c r="E2194">
        <f>MONTH(OrdersTable[[#This Row],[Order Date]])</f>
        <v>1</v>
      </c>
      <c r="F2194" t="s">
        <v>397</v>
      </c>
      <c r="G2194" t="str">
        <f>IF(OrdersTable[[#This Row],[Order Date]]=_xlfn.MINIFS(Order_Date, Customer_ID, OrdersTable[[#This Row],[Customer ID]]), "New", "Repeat")</f>
        <v>Repeat</v>
      </c>
      <c r="H2194" t="s">
        <v>76</v>
      </c>
      <c r="I2194" t="str">
        <f>INDEX(State!B:B,MATCH(OrdersTable[[#This Row],[State]],State!A:A,0))</f>
        <v>UP</v>
      </c>
      <c r="J2194" t="str">
        <f>INDEX(State!C:C,MATCH(OrdersTable[[#This Row],[State Code]],State!B:B,0))</f>
        <v>North</v>
      </c>
      <c r="K2194" t="s">
        <v>105</v>
      </c>
      <c r="L2194" t="s">
        <v>65</v>
      </c>
      <c r="M2194" t="s">
        <v>152</v>
      </c>
      <c r="N2194" t="str">
        <f>INDEX(Products!B:B,MATCH(OrdersTable[[#This Row],[Product ID]],Products!A:A,0))</f>
        <v>Green Tea (100 bags)</v>
      </c>
      <c r="O2194" t="str">
        <f>INDEX(Products!C:C,MATCH(OrdersTable[[#This Row],[Product ID]],Products!A:A,0))</f>
        <v>Wellness</v>
      </c>
      <c r="P2194">
        <v>2</v>
      </c>
      <c r="Q2194" s="5">
        <v>399</v>
      </c>
      <c r="R2194" s="74">
        <v>0.4</v>
      </c>
      <c r="S2194" s="75">
        <f>OrdersTable[[#This Row],[Quantity]]*OrdersTable[[#This Row],[Unit Price]]</f>
        <v>798</v>
      </c>
      <c r="T2194" s="5">
        <f>OrdersTable[[#This Row],[Gross Sale]]*OrdersTable[[#This Row],[Discount_Clean2]]</f>
        <v>319.20000000000005</v>
      </c>
      <c r="U2194" s="5">
        <f>OrdersTable[[#This Row],[Gross Sale]]-OrdersTable[[#This Row],[Discount Amount]]</f>
        <v>478.79999999999995</v>
      </c>
      <c r="V2194" s="77">
        <f>INDEX(Products!E:E,MATCH(OrdersTable[[#This Row],[Product ID]],Products!A:A,0))</f>
        <v>128</v>
      </c>
      <c r="W2194" s="77">
        <f>OrdersTable[[#This Row],[Quantity]]*OrdersTable[[#This Row],[Unit Cost]]</f>
        <v>256</v>
      </c>
      <c r="X2194" s="77">
        <f>'Dropdown Lists'!$I$2*(1+OrdersTable[[#This Row],[Returned]])</f>
        <v>60</v>
      </c>
      <c r="Y2194" s="76">
        <f>OrdersTable[[#This Row],[Net Revenue]]-OrdersTable[[#This Row],[COGS]]-OrdersTable[[#This Row],[Shipping Cost]]</f>
        <v>162.79999999999995</v>
      </c>
      <c r="Z2194" s="78">
        <f>IFERROR(OrdersTable[[#This Row],[Profit]]/OrdersTable[[#This Row],[Net Revenue]],0)</f>
        <v>0.34001670843776099</v>
      </c>
      <c r="AA2194" t="s">
        <v>18</v>
      </c>
      <c r="AB2194" s="79">
        <v>45674</v>
      </c>
      <c r="AC2194">
        <f>OrdersTable[[#This Row],[Delivery Date]]-OrdersTable[[#This Row],[Order Date]]</f>
        <v>4</v>
      </c>
      <c r="AD2194" t="str">
        <f>IF(OrdersTable[[#This Row],[Delivery Days]]&lt;=2, "Express (≤2d)", IF(OrdersTable[[#This Row],[Delivery Days]]&lt;=4, "Standard (3-4d)", "Delayed (5d+)"))</f>
        <v>Standard (3-4d)</v>
      </c>
      <c r="AF2194">
        <v>0</v>
      </c>
    </row>
    <row r="2195" spans="1:32" ht="15" x14ac:dyDescent="0.35">
      <c r="A2195" t="s">
        <v>6881</v>
      </c>
      <c r="B2195" s="1">
        <v>45670</v>
      </c>
      <c r="C2195">
        <f>YEAR(OrdersTable[[#This Row],[Order Date]])</f>
        <v>2025</v>
      </c>
      <c r="D2195" s="2">
        <f>DATE(YEAR(OrdersTable[[#This Row],[Order Date]]),MONTH(OrdersTable[[#This Row],[Order Date]]),1)</f>
        <v>45658</v>
      </c>
      <c r="E2195">
        <f>MONTH(OrdersTable[[#This Row],[Order Date]])</f>
        <v>1</v>
      </c>
      <c r="F2195" t="s">
        <v>752</v>
      </c>
      <c r="G2195" t="str">
        <f>IF(OrdersTable[[#This Row],[Order Date]]=_xlfn.MINIFS(Order_Date, Customer_ID, OrdersTable[[#This Row],[Customer ID]]), "New", "Repeat")</f>
        <v>Repeat</v>
      </c>
      <c r="H2195" t="s">
        <v>76</v>
      </c>
      <c r="I2195" t="str">
        <f>INDEX(State!B:B,MATCH(OrdersTable[[#This Row],[State]],State!A:A,0))</f>
        <v>UP</v>
      </c>
      <c r="J2195" t="str">
        <f>INDEX(State!C:C,MATCH(OrdersTable[[#This Row],[State Code]],State!B:B,0))</f>
        <v>North</v>
      </c>
      <c r="K2195" t="s">
        <v>118</v>
      </c>
      <c r="L2195" t="s">
        <v>39</v>
      </c>
      <c r="M2195" t="s">
        <v>148</v>
      </c>
      <c r="N2195" t="str">
        <f>INDEX(Products!B:B,MATCH(OrdersTable[[#This Row],[Product ID]],Products!A:A,0))</f>
        <v>Smartwatch Strap</v>
      </c>
      <c r="O2195" t="str">
        <f>INDEX(Products!C:C,MATCH(OrdersTable[[#This Row],[Product ID]],Products!A:A,0))</f>
        <v>Electronics</v>
      </c>
      <c r="P2195">
        <v>3</v>
      </c>
      <c r="Q2195" s="5">
        <v>499</v>
      </c>
      <c r="R2195" s="74">
        <v>0</v>
      </c>
      <c r="S2195" s="75">
        <f>OrdersTable[[#This Row],[Quantity]]*OrdersTable[[#This Row],[Unit Price]]</f>
        <v>1497</v>
      </c>
      <c r="T2195" s="5">
        <f>OrdersTable[[#This Row],[Gross Sale]]*OrdersTable[[#This Row],[Discount_Clean2]]</f>
        <v>0</v>
      </c>
      <c r="U2195" s="5">
        <f>OrdersTable[[#This Row],[Gross Sale]]-OrdersTable[[#This Row],[Discount Amount]]</f>
        <v>1497</v>
      </c>
      <c r="V2195" s="77">
        <f>INDEX(Products!E:E,MATCH(OrdersTable[[#This Row],[Product ID]],Products!A:A,0))</f>
        <v>200</v>
      </c>
      <c r="W2195" s="77">
        <f>OrdersTable[[#This Row],[Quantity]]*OrdersTable[[#This Row],[Unit Cost]]</f>
        <v>600</v>
      </c>
      <c r="X2195" s="77">
        <f>'Dropdown Lists'!$I$2*(1+OrdersTable[[#This Row],[Returned]])</f>
        <v>120</v>
      </c>
      <c r="Y2195" s="76">
        <f>OrdersTable[[#This Row],[Net Revenue]]-OrdersTable[[#This Row],[COGS]]-OrdersTable[[#This Row],[Shipping Cost]]</f>
        <v>777</v>
      </c>
      <c r="Z2195" s="78">
        <f>IFERROR(OrdersTable[[#This Row],[Profit]]/OrdersTable[[#This Row],[Net Revenue]],0)</f>
        <v>0.51903807615230457</v>
      </c>
      <c r="AA2195" t="s">
        <v>4450</v>
      </c>
      <c r="AB2195" s="79">
        <v>45673</v>
      </c>
      <c r="AC2195">
        <f>OrdersTable[[#This Row],[Delivery Date]]-OrdersTable[[#This Row],[Order Date]]</f>
        <v>3</v>
      </c>
      <c r="AD2195" t="str">
        <f>IF(OrdersTable[[#This Row],[Delivery Days]]&lt;=2, "Express (≤2d)", IF(OrdersTable[[#This Row],[Delivery Days]]&lt;=4, "Standard (3-4d)", "Delayed (5d+)"))</f>
        <v>Standard (3-4d)</v>
      </c>
      <c r="AE2195">
        <v>4</v>
      </c>
      <c r="AF2195">
        <v>1</v>
      </c>
    </row>
    <row r="2196" spans="1:32" ht="15" x14ac:dyDescent="0.35">
      <c r="A2196" t="s">
        <v>4118</v>
      </c>
      <c r="B2196" s="1">
        <v>45670</v>
      </c>
      <c r="C2196">
        <f>YEAR(OrdersTable[[#This Row],[Order Date]])</f>
        <v>2025</v>
      </c>
      <c r="D2196" s="2">
        <f>DATE(YEAR(OrdersTable[[#This Row],[Order Date]]),MONTH(OrdersTable[[#This Row],[Order Date]]),1)</f>
        <v>45658</v>
      </c>
      <c r="E2196">
        <f>MONTH(OrdersTable[[#This Row],[Order Date]])</f>
        <v>1</v>
      </c>
      <c r="F2196" t="s">
        <v>2442</v>
      </c>
      <c r="G2196" t="str">
        <f>IF(OrdersTable[[#This Row],[Order Date]]=_xlfn.MINIFS(Order_Date, Customer_ID, OrdersTable[[#This Row],[Customer ID]]), "New", "Repeat")</f>
        <v>New</v>
      </c>
      <c r="H2196" t="s">
        <v>32</v>
      </c>
      <c r="I2196" t="str">
        <f>INDEX(State!B:B,MATCH(OrdersTable[[#This Row],[State]],State!A:A,0))</f>
        <v>BR</v>
      </c>
      <c r="J2196" t="str">
        <f>INDEX(State!C:C,MATCH(OrdersTable[[#This Row],[State Code]],State!B:B,0))</f>
        <v>East</v>
      </c>
      <c r="K2196" t="s">
        <v>33</v>
      </c>
      <c r="L2196" t="s">
        <v>65</v>
      </c>
      <c r="M2196" t="s">
        <v>56</v>
      </c>
      <c r="N2196" t="str">
        <f>INDEX(Products!B:B,MATCH(OrdersTable[[#This Row],[Product ID]],Products!A:A,0))</f>
        <v>Vitamin C Face Serum</v>
      </c>
      <c r="O2196" t="str">
        <f>INDEX(Products!C:C,MATCH(OrdersTable[[#This Row],[Product ID]],Products!A:A,0))</f>
        <v>Skincare</v>
      </c>
      <c r="P2196">
        <v>1</v>
      </c>
      <c r="Q2196" s="5">
        <v>599</v>
      </c>
      <c r="R2196" s="74">
        <v>0.1</v>
      </c>
      <c r="S2196" s="75">
        <f>OrdersTable[[#This Row],[Quantity]]*OrdersTable[[#This Row],[Unit Price]]</f>
        <v>599</v>
      </c>
      <c r="T2196" s="5">
        <f>OrdersTable[[#This Row],[Gross Sale]]*OrdersTable[[#This Row],[Discount_Clean2]]</f>
        <v>59.900000000000006</v>
      </c>
      <c r="U2196" s="5">
        <f>OrdersTable[[#This Row],[Gross Sale]]-OrdersTable[[#This Row],[Discount Amount]]</f>
        <v>539.1</v>
      </c>
      <c r="V2196" s="77">
        <f>INDEX(Products!E:E,MATCH(OrdersTable[[#This Row],[Product ID]],Products!A:A,0))</f>
        <v>180</v>
      </c>
      <c r="W2196" s="77">
        <f>OrdersTable[[#This Row],[Quantity]]*OrdersTable[[#This Row],[Unit Cost]]</f>
        <v>180</v>
      </c>
      <c r="X2196" s="77">
        <f>'Dropdown Lists'!$I$2*(1+OrdersTable[[#This Row],[Returned]])</f>
        <v>60</v>
      </c>
      <c r="Y2196" s="76">
        <f>OrdersTable[[#This Row],[Net Revenue]]-OrdersTable[[#This Row],[COGS]]-OrdersTable[[#This Row],[Shipping Cost]]</f>
        <v>299.10000000000002</v>
      </c>
      <c r="Z2196" s="78">
        <f>IFERROR(OrdersTable[[#This Row],[Profit]]/OrdersTable[[#This Row],[Net Revenue]],0)</f>
        <v>0.5548135781858653</v>
      </c>
      <c r="AA2196" t="s">
        <v>4074</v>
      </c>
      <c r="AB2196" s="79">
        <v>45676</v>
      </c>
      <c r="AC2196">
        <f>OrdersTable[[#This Row],[Delivery Date]]-OrdersTable[[#This Row],[Order Date]]</f>
        <v>6</v>
      </c>
      <c r="AD2196" t="str">
        <f>IF(OrdersTable[[#This Row],[Delivery Days]]&lt;=2, "Express (≤2d)", IF(OrdersTable[[#This Row],[Delivery Days]]&lt;=4, "Standard (3-4d)", "Delayed (5d+)"))</f>
        <v>Delayed (5d+)</v>
      </c>
      <c r="AE2196">
        <v>3</v>
      </c>
      <c r="AF2196">
        <v>0</v>
      </c>
    </row>
    <row r="2197" spans="1:32" ht="15" x14ac:dyDescent="0.35">
      <c r="A2197" t="s">
        <v>3748</v>
      </c>
      <c r="B2197" s="1">
        <v>45670</v>
      </c>
      <c r="C2197">
        <f>YEAR(OrdersTable[[#This Row],[Order Date]])</f>
        <v>2025</v>
      </c>
      <c r="D2197" s="2">
        <f>DATE(YEAR(OrdersTable[[#This Row],[Order Date]]),MONTH(OrdersTable[[#This Row],[Order Date]]),1)</f>
        <v>45658</v>
      </c>
      <c r="E2197">
        <f>MONTH(OrdersTable[[#This Row],[Order Date]])</f>
        <v>1</v>
      </c>
      <c r="F2197" t="s">
        <v>1633</v>
      </c>
      <c r="G2197" t="str">
        <f>IF(OrdersTable[[#This Row],[Order Date]]=_xlfn.MINIFS(Order_Date, Customer_ID, OrdersTable[[#This Row],[Customer ID]]), "New", "Repeat")</f>
        <v>Repeat</v>
      </c>
      <c r="H2197" t="s">
        <v>27</v>
      </c>
      <c r="I2197" t="str">
        <f>INDEX(State!B:B,MATCH(OrdersTable[[#This Row],[State]],State!A:A,0))</f>
        <v>WB</v>
      </c>
      <c r="J2197" t="str">
        <f>INDEX(State!C:C,MATCH(OrdersTable[[#This Row],[State Code]],State!B:B,0))</f>
        <v>East</v>
      </c>
      <c r="K2197" t="s">
        <v>28</v>
      </c>
      <c r="L2197" t="s">
        <v>16</v>
      </c>
      <c r="M2197" t="s">
        <v>576</v>
      </c>
      <c r="N2197" t="str">
        <f>INDEX(Products!B:B,MATCH(OrdersTable[[#This Row],[Product ID]],Products!A:A,0))</f>
        <v>Printed Saree</v>
      </c>
      <c r="O2197" t="str">
        <f>INDEX(Products!C:C,MATCH(OrdersTable[[#This Row],[Product ID]],Products!A:A,0))</f>
        <v>Apparel</v>
      </c>
      <c r="P2197">
        <v>1</v>
      </c>
      <c r="Q2197" s="5">
        <v>1999</v>
      </c>
      <c r="R2197" s="74">
        <v>0.1</v>
      </c>
      <c r="S2197" s="75">
        <f>OrdersTable[[#This Row],[Quantity]]*OrdersTable[[#This Row],[Unit Price]]</f>
        <v>1999</v>
      </c>
      <c r="T2197" s="5">
        <f>OrdersTable[[#This Row],[Gross Sale]]*OrdersTable[[#This Row],[Discount_Clean2]]</f>
        <v>199.9</v>
      </c>
      <c r="U2197" s="5">
        <f>OrdersTable[[#This Row],[Gross Sale]]-OrdersTable[[#This Row],[Discount Amount]]</f>
        <v>1799.1</v>
      </c>
      <c r="V2197" s="77">
        <f>INDEX(Products!E:E,MATCH(OrdersTable[[#This Row],[Product ID]],Products!A:A,0))</f>
        <v>880</v>
      </c>
      <c r="W2197" s="77">
        <f>OrdersTable[[#This Row],[Quantity]]*OrdersTable[[#This Row],[Unit Cost]]</f>
        <v>880</v>
      </c>
      <c r="X2197" s="77">
        <f>'Dropdown Lists'!$I$2*(1+OrdersTable[[#This Row],[Returned]])</f>
        <v>60</v>
      </c>
      <c r="Y2197" s="76">
        <f>OrdersTable[[#This Row],[Net Revenue]]-OrdersTable[[#This Row],[COGS]]-OrdersTable[[#This Row],[Shipping Cost]]</f>
        <v>859.09999999999991</v>
      </c>
      <c r="Z2197" s="78">
        <f>IFERROR(OrdersTable[[#This Row],[Profit]]/OrdersTable[[#This Row],[Net Revenue]],0)</f>
        <v>0.47751653604580063</v>
      </c>
      <c r="AA2197" t="s">
        <v>3495</v>
      </c>
      <c r="AB2197" s="79">
        <v>45672</v>
      </c>
      <c r="AC2197">
        <f>OrdersTable[[#This Row],[Delivery Date]]-OrdersTable[[#This Row],[Order Date]]</f>
        <v>2</v>
      </c>
      <c r="AD2197" t="str">
        <f>IF(OrdersTable[[#This Row],[Delivery Days]]&lt;=2, "Express (≤2d)", IF(OrdersTable[[#This Row],[Delivery Days]]&lt;=4, "Standard (3-4d)", "Delayed (5d+)"))</f>
        <v>Express (≤2d)</v>
      </c>
      <c r="AF2197">
        <v>0</v>
      </c>
    </row>
    <row r="2198" spans="1:32" ht="15" x14ac:dyDescent="0.35">
      <c r="A2198" t="s">
        <v>1940</v>
      </c>
      <c r="B2198" s="1">
        <v>45670</v>
      </c>
      <c r="C2198">
        <f>YEAR(OrdersTable[[#This Row],[Order Date]])</f>
        <v>2025</v>
      </c>
      <c r="D2198" s="2">
        <f>DATE(YEAR(OrdersTable[[#This Row],[Order Date]]),MONTH(OrdersTable[[#This Row],[Order Date]]),1)</f>
        <v>45658</v>
      </c>
      <c r="E2198">
        <f>MONTH(OrdersTable[[#This Row],[Order Date]])</f>
        <v>1</v>
      </c>
      <c r="F2198" t="s">
        <v>1615</v>
      </c>
      <c r="G2198" t="str">
        <f>IF(OrdersTable[[#This Row],[Order Date]]=_xlfn.MINIFS(Order_Date, Customer_ID, OrdersTable[[#This Row],[Customer ID]]), "New", "Repeat")</f>
        <v>Repeat</v>
      </c>
      <c r="H2198" t="s">
        <v>27</v>
      </c>
      <c r="I2198" t="str">
        <f>INDEX(State!B:B,MATCH(OrdersTable[[#This Row],[State]],State!A:A,0))</f>
        <v>WB</v>
      </c>
      <c r="J2198" t="str">
        <f>INDEX(State!C:C,MATCH(OrdersTable[[#This Row],[State Code]],State!B:B,0))</f>
        <v>East</v>
      </c>
      <c r="K2198" t="s">
        <v>28</v>
      </c>
      <c r="L2198" t="s">
        <v>39</v>
      </c>
      <c r="M2198" t="s">
        <v>66</v>
      </c>
      <c r="N2198" t="str">
        <f>INDEX(Products!B:B,MATCH(OrdersTable[[#This Row],[Product ID]],Products!A:A,0))</f>
        <v>Sunscreen SPF 50</v>
      </c>
      <c r="O2198" t="str">
        <f>INDEX(Products!C:C,MATCH(OrdersTable[[#This Row],[Product ID]],Products!A:A,0))</f>
        <v>Skincare</v>
      </c>
      <c r="P2198">
        <v>1</v>
      </c>
      <c r="Q2198" s="5">
        <v>449</v>
      </c>
      <c r="R2198" s="74">
        <v>0</v>
      </c>
      <c r="S2198" s="75">
        <f>OrdersTable[[#This Row],[Quantity]]*OrdersTable[[#This Row],[Unit Price]]</f>
        <v>449</v>
      </c>
      <c r="T2198" s="5">
        <f>OrdersTable[[#This Row],[Gross Sale]]*OrdersTable[[#This Row],[Discount_Clean2]]</f>
        <v>0</v>
      </c>
      <c r="U2198" s="5">
        <f>OrdersTable[[#This Row],[Gross Sale]]-OrdersTable[[#This Row],[Discount Amount]]</f>
        <v>449</v>
      </c>
      <c r="V2198" s="77">
        <f>INDEX(Products!E:E,MATCH(OrdersTable[[#This Row],[Product ID]],Products!A:A,0))</f>
        <v>144</v>
      </c>
      <c r="W2198" s="77">
        <f>OrdersTable[[#This Row],[Quantity]]*OrdersTable[[#This Row],[Unit Cost]]</f>
        <v>144</v>
      </c>
      <c r="X2198" s="77">
        <f>'Dropdown Lists'!$I$2*(1+OrdersTable[[#This Row],[Returned]])</f>
        <v>60</v>
      </c>
      <c r="Y2198" s="76">
        <f>OrdersTable[[#This Row],[Net Revenue]]-OrdersTable[[#This Row],[COGS]]-OrdersTable[[#This Row],[Shipping Cost]]</f>
        <v>245</v>
      </c>
      <c r="Z2198" s="78">
        <f>IFERROR(OrdersTable[[#This Row],[Profit]]/OrdersTable[[#This Row],[Net Revenue]],0)</f>
        <v>0.54565701559020041</v>
      </c>
      <c r="AA2198" t="s">
        <v>18</v>
      </c>
      <c r="AB2198" s="79">
        <v>45675</v>
      </c>
      <c r="AC2198">
        <f>OrdersTable[[#This Row],[Delivery Date]]-OrdersTable[[#This Row],[Order Date]]</f>
        <v>5</v>
      </c>
      <c r="AD2198" t="str">
        <f>IF(OrdersTable[[#This Row],[Delivery Days]]&lt;=2, "Express (≤2d)", IF(OrdersTable[[#This Row],[Delivery Days]]&lt;=4, "Standard (3-4d)", "Delayed (5d+)"))</f>
        <v>Delayed (5d+)</v>
      </c>
      <c r="AE2198">
        <v>3</v>
      </c>
      <c r="AF2198">
        <v>0</v>
      </c>
    </row>
    <row r="2199" spans="1:32" ht="15" x14ac:dyDescent="0.35">
      <c r="A2199" t="s">
        <v>6138</v>
      </c>
      <c r="B2199" s="1">
        <v>45670</v>
      </c>
      <c r="C2199">
        <f>YEAR(OrdersTable[[#This Row],[Order Date]])</f>
        <v>2025</v>
      </c>
      <c r="D2199" s="2">
        <f>DATE(YEAR(OrdersTable[[#This Row],[Order Date]]),MONTH(OrdersTable[[#This Row],[Order Date]]),1)</f>
        <v>45658</v>
      </c>
      <c r="E2199">
        <f>MONTH(OrdersTable[[#This Row],[Order Date]])</f>
        <v>1</v>
      </c>
      <c r="F2199" t="s">
        <v>2509</v>
      </c>
      <c r="G2199" t="str">
        <f>IF(OrdersTable[[#This Row],[Order Date]]=_xlfn.MINIFS(Order_Date, Customer_ID, OrdersTable[[#This Row],[Customer ID]]), "New", "Repeat")</f>
        <v>New</v>
      </c>
      <c r="H2199" t="s">
        <v>167</v>
      </c>
      <c r="I2199" t="str">
        <f>INDEX(State!B:B,MATCH(OrdersTable[[#This Row],[State]],State!A:A,0))</f>
        <v>KA</v>
      </c>
      <c r="J2199" t="str">
        <f>INDEX(State!C:C,MATCH(OrdersTable[[#This Row],[State Code]],State!B:B,0))</f>
        <v>South</v>
      </c>
      <c r="K2199" t="s">
        <v>190</v>
      </c>
      <c r="L2199" t="s">
        <v>23</v>
      </c>
      <c r="M2199" t="s">
        <v>61</v>
      </c>
      <c r="N2199" t="str">
        <f>INDEX(Products!B:B,MATCH(OrdersTable[[#This Row],[Product ID]],Products!A:A,0))</f>
        <v>Multivitamin Gummies</v>
      </c>
      <c r="O2199" t="str">
        <f>INDEX(Products!C:C,MATCH(OrdersTable[[#This Row],[Product ID]],Products!A:A,0))</f>
        <v>Wellness</v>
      </c>
      <c r="P2199">
        <v>2</v>
      </c>
      <c r="Q2199" s="5">
        <v>699</v>
      </c>
      <c r="R2199" s="74">
        <v>0.15</v>
      </c>
      <c r="S2199" s="75">
        <f>OrdersTable[[#This Row],[Quantity]]*OrdersTable[[#This Row],[Unit Price]]</f>
        <v>1398</v>
      </c>
      <c r="T2199" s="5">
        <f>OrdersTable[[#This Row],[Gross Sale]]*OrdersTable[[#This Row],[Discount_Clean2]]</f>
        <v>209.7</v>
      </c>
      <c r="U2199" s="5">
        <f>OrdersTable[[#This Row],[Gross Sale]]-OrdersTable[[#This Row],[Discount Amount]]</f>
        <v>1188.3</v>
      </c>
      <c r="V2199" s="77">
        <f>INDEX(Products!E:E,MATCH(OrdersTable[[#This Row],[Product ID]],Products!A:A,0))</f>
        <v>238</v>
      </c>
      <c r="W2199" s="77">
        <f>OrdersTable[[#This Row],[Quantity]]*OrdersTable[[#This Row],[Unit Cost]]</f>
        <v>476</v>
      </c>
      <c r="X2199" s="77">
        <f>'Dropdown Lists'!$I$2*(1+OrdersTable[[#This Row],[Returned]])</f>
        <v>60</v>
      </c>
      <c r="Y2199" s="76">
        <f>OrdersTable[[#This Row],[Net Revenue]]-OrdersTable[[#This Row],[COGS]]-OrdersTable[[#This Row],[Shipping Cost]]</f>
        <v>652.29999999999995</v>
      </c>
      <c r="Z2199" s="78">
        <f>IFERROR(OrdersTable[[#This Row],[Profit]]/OrdersTable[[#This Row],[Net Revenue]],0)</f>
        <v>0.54893545400993016</v>
      </c>
      <c r="AA2199" t="s">
        <v>18</v>
      </c>
      <c r="AB2199" s="79">
        <v>45672</v>
      </c>
      <c r="AC2199">
        <f>OrdersTable[[#This Row],[Delivery Date]]-OrdersTable[[#This Row],[Order Date]]</f>
        <v>2</v>
      </c>
      <c r="AD2199" t="str">
        <f>IF(OrdersTable[[#This Row],[Delivery Days]]&lt;=2, "Express (≤2d)", IF(OrdersTable[[#This Row],[Delivery Days]]&lt;=4, "Standard (3-4d)", "Delayed (5d+)"))</f>
        <v>Express (≤2d)</v>
      </c>
      <c r="AE2199">
        <v>4</v>
      </c>
      <c r="AF2199">
        <v>0</v>
      </c>
    </row>
    <row r="2200" spans="1:32" ht="15" x14ac:dyDescent="0.35">
      <c r="A2200" t="s">
        <v>5699</v>
      </c>
      <c r="B2200" s="1">
        <v>45671</v>
      </c>
      <c r="C2200">
        <f>YEAR(OrdersTable[[#This Row],[Order Date]])</f>
        <v>2025</v>
      </c>
      <c r="D2200" s="2">
        <f>DATE(YEAR(OrdersTable[[#This Row],[Order Date]]),MONTH(OrdersTable[[#This Row],[Order Date]]),1)</f>
        <v>45658</v>
      </c>
      <c r="E2200">
        <f>MONTH(OrdersTable[[#This Row],[Order Date]])</f>
        <v>1</v>
      </c>
      <c r="F2200" t="s">
        <v>1492</v>
      </c>
      <c r="G2200" t="str">
        <f>IF(OrdersTable[[#This Row],[Order Date]]=_xlfn.MINIFS(Order_Date, Customer_ID, OrdersTable[[#This Row],[Customer ID]]), "New", "Repeat")</f>
        <v>Repeat</v>
      </c>
      <c r="H2200" t="s">
        <v>27</v>
      </c>
      <c r="I2200" t="str">
        <f>INDEX(State!B:B,MATCH(OrdersTable[[#This Row],[State]],State!A:A,0))</f>
        <v>WB</v>
      </c>
      <c r="J2200" t="str">
        <f>INDEX(State!C:C,MATCH(OrdersTable[[#This Row],[State Code]],State!B:B,0))</f>
        <v>East</v>
      </c>
      <c r="K2200" t="s">
        <v>28</v>
      </c>
      <c r="L2200" t="s">
        <v>65</v>
      </c>
      <c r="M2200" t="s">
        <v>109</v>
      </c>
      <c r="N2200" t="str">
        <f>INDEX(Products!B:B,MATCH(OrdersTable[[#This Row],[Product ID]],Products!A:A,0))</f>
        <v>Onion Hair Oil</v>
      </c>
      <c r="O2200" t="str">
        <f>INDEX(Products!C:C,MATCH(OrdersTable[[#This Row],[Product ID]],Products!A:A,0))</f>
        <v>Haircare</v>
      </c>
      <c r="P2200">
        <v>2</v>
      </c>
      <c r="Q2200" s="5">
        <v>349</v>
      </c>
      <c r="R2200" s="74">
        <v>0.4</v>
      </c>
      <c r="S2200" s="75">
        <f>OrdersTable[[#This Row],[Quantity]]*OrdersTable[[#This Row],[Unit Price]]</f>
        <v>698</v>
      </c>
      <c r="T2200" s="5">
        <f>OrdersTable[[#This Row],[Gross Sale]]*OrdersTable[[#This Row],[Discount_Clean2]]</f>
        <v>279.2</v>
      </c>
      <c r="U2200" s="5">
        <f>OrdersTable[[#This Row],[Gross Sale]]-OrdersTable[[#This Row],[Discount Amount]]</f>
        <v>418.8</v>
      </c>
      <c r="V2200" s="77">
        <f>INDEX(Products!E:E,MATCH(OrdersTable[[#This Row],[Product ID]],Products!A:A,0))</f>
        <v>105</v>
      </c>
      <c r="W2200" s="77">
        <f>OrdersTable[[#This Row],[Quantity]]*OrdersTable[[#This Row],[Unit Cost]]</f>
        <v>210</v>
      </c>
      <c r="X2200" s="77">
        <f>'Dropdown Lists'!$I$2*(1+OrdersTable[[#This Row],[Returned]])</f>
        <v>60</v>
      </c>
      <c r="Y2200" s="76">
        <f>OrdersTable[[#This Row],[Net Revenue]]-OrdersTable[[#This Row],[COGS]]-OrdersTable[[#This Row],[Shipping Cost]]</f>
        <v>148.80000000000001</v>
      </c>
      <c r="Z2200" s="78">
        <f>IFERROR(OrdersTable[[#This Row],[Profit]]/OrdersTable[[#This Row],[Net Revenue]],0)</f>
        <v>0.35530085959885388</v>
      </c>
      <c r="AA2200" t="s">
        <v>18</v>
      </c>
      <c r="AB2200" s="79">
        <v>45676</v>
      </c>
      <c r="AC2200">
        <f>OrdersTable[[#This Row],[Delivery Date]]-OrdersTable[[#This Row],[Order Date]]</f>
        <v>5</v>
      </c>
      <c r="AD2200" t="str">
        <f>IF(OrdersTable[[#This Row],[Delivery Days]]&lt;=2, "Express (≤2d)", IF(OrdersTable[[#This Row],[Delivery Days]]&lt;=4, "Standard (3-4d)", "Delayed (5d+)"))</f>
        <v>Delayed (5d+)</v>
      </c>
      <c r="AE2200">
        <v>3</v>
      </c>
      <c r="AF2200">
        <v>0</v>
      </c>
    </row>
    <row r="2201" spans="1:32" ht="15" x14ac:dyDescent="0.35">
      <c r="A2201" t="s">
        <v>5381</v>
      </c>
      <c r="B2201" s="1">
        <v>45671</v>
      </c>
      <c r="C2201">
        <f>YEAR(OrdersTable[[#This Row],[Order Date]])</f>
        <v>2025</v>
      </c>
      <c r="D2201" s="2">
        <f>DATE(YEAR(OrdersTable[[#This Row],[Order Date]]),MONTH(OrdersTable[[#This Row],[Order Date]]),1)</f>
        <v>45658</v>
      </c>
      <c r="E2201">
        <f>MONTH(OrdersTable[[#This Row],[Order Date]])</f>
        <v>1</v>
      </c>
      <c r="F2201" t="s">
        <v>3164</v>
      </c>
      <c r="G2201" t="str">
        <f>IF(OrdersTable[[#This Row],[Order Date]]=_xlfn.MINIFS(Order_Date, Customer_ID, OrdersTable[[#This Row],[Customer ID]]), "New", "Repeat")</f>
        <v>Repeat</v>
      </c>
      <c r="H2201" t="s">
        <v>167</v>
      </c>
      <c r="I2201" t="str">
        <f>INDEX(State!B:B,MATCH(OrdersTable[[#This Row],[State]],State!A:A,0))</f>
        <v>KA</v>
      </c>
      <c r="J2201" t="str">
        <f>INDEX(State!C:C,MATCH(OrdersTable[[#This Row],[State Code]],State!B:B,0))</f>
        <v>South</v>
      </c>
      <c r="K2201" t="s">
        <v>190</v>
      </c>
      <c r="L2201" t="s">
        <v>23</v>
      </c>
      <c r="M2201" t="s">
        <v>66</v>
      </c>
      <c r="N2201" t="str">
        <f>INDEX(Products!B:B,MATCH(OrdersTable[[#This Row],[Product ID]],Products!A:A,0))</f>
        <v>Sunscreen SPF 50</v>
      </c>
      <c r="O2201" t="str">
        <f>INDEX(Products!C:C,MATCH(OrdersTable[[#This Row],[Product ID]],Products!A:A,0))</f>
        <v>Skincare</v>
      </c>
      <c r="P2201">
        <v>2</v>
      </c>
      <c r="Q2201" s="5">
        <v>449</v>
      </c>
      <c r="R2201" s="74">
        <v>0.05</v>
      </c>
      <c r="S2201" s="75">
        <f>OrdersTable[[#This Row],[Quantity]]*OrdersTable[[#This Row],[Unit Price]]</f>
        <v>898</v>
      </c>
      <c r="T2201" s="5">
        <f>OrdersTable[[#This Row],[Gross Sale]]*OrdersTable[[#This Row],[Discount_Clean2]]</f>
        <v>44.900000000000006</v>
      </c>
      <c r="U2201" s="5">
        <f>OrdersTable[[#This Row],[Gross Sale]]-OrdersTable[[#This Row],[Discount Amount]]</f>
        <v>853.1</v>
      </c>
      <c r="V2201" s="77">
        <f>INDEX(Products!E:E,MATCH(OrdersTable[[#This Row],[Product ID]],Products!A:A,0))</f>
        <v>144</v>
      </c>
      <c r="W2201" s="77">
        <f>OrdersTable[[#This Row],[Quantity]]*OrdersTable[[#This Row],[Unit Cost]]</f>
        <v>288</v>
      </c>
      <c r="X2201" s="77">
        <f>'Dropdown Lists'!$I$2*(1+OrdersTable[[#This Row],[Returned]])</f>
        <v>60</v>
      </c>
      <c r="Y2201" s="76">
        <f>OrdersTable[[#This Row],[Net Revenue]]-OrdersTable[[#This Row],[COGS]]-OrdersTable[[#This Row],[Shipping Cost]]</f>
        <v>505.1</v>
      </c>
      <c r="Z2201" s="78">
        <f>IFERROR(OrdersTable[[#This Row],[Profit]]/OrdersTable[[#This Row],[Net Revenue]],0)</f>
        <v>0.59207595826983939</v>
      </c>
      <c r="AA2201" t="s">
        <v>2522</v>
      </c>
      <c r="AB2201" s="79">
        <v>45674</v>
      </c>
      <c r="AC2201">
        <f>OrdersTable[[#This Row],[Delivery Date]]-OrdersTable[[#This Row],[Order Date]]</f>
        <v>3</v>
      </c>
      <c r="AD2201" t="str">
        <f>IF(OrdersTable[[#This Row],[Delivery Days]]&lt;=2, "Express (≤2d)", IF(OrdersTable[[#This Row],[Delivery Days]]&lt;=4, "Standard (3-4d)", "Delayed (5d+)"))</f>
        <v>Standard (3-4d)</v>
      </c>
      <c r="AE2201">
        <v>3</v>
      </c>
      <c r="AF2201">
        <v>0</v>
      </c>
    </row>
    <row r="2202" spans="1:32" ht="15" x14ac:dyDescent="0.35">
      <c r="A2202" t="s">
        <v>4499</v>
      </c>
      <c r="B2202" s="1">
        <v>45671</v>
      </c>
      <c r="C2202">
        <f>YEAR(OrdersTable[[#This Row],[Order Date]])</f>
        <v>2025</v>
      </c>
      <c r="D2202" s="2">
        <f>DATE(YEAR(OrdersTable[[#This Row],[Order Date]]),MONTH(OrdersTable[[#This Row],[Order Date]]),1)</f>
        <v>45658</v>
      </c>
      <c r="E2202">
        <f>MONTH(OrdersTable[[#This Row],[Order Date]])</f>
        <v>1</v>
      </c>
      <c r="F2202" t="s">
        <v>4500</v>
      </c>
      <c r="G2202" t="str">
        <f>IF(OrdersTable[[#This Row],[Order Date]]=_xlfn.MINIFS(Order_Date, Customer_ID, OrdersTable[[#This Row],[Customer ID]]), "New", "Repeat")</f>
        <v>Repeat</v>
      </c>
      <c r="H2202" t="s">
        <v>275</v>
      </c>
      <c r="I2202" t="str">
        <f>INDEX(State!B:B,MATCH(OrdersTable[[#This Row],[State]],State!A:A,0))</f>
        <v>AP</v>
      </c>
      <c r="J2202" t="str">
        <f>INDEX(State!C:C,MATCH(OrdersTable[[#This Row],[State Code]],State!B:B,0))</f>
        <v>South</v>
      </c>
      <c r="K2202" t="s">
        <v>491</v>
      </c>
      <c r="L2202" t="s">
        <v>50</v>
      </c>
      <c r="M2202" t="s">
        <v>106</v>
      </c>
      <c r="N2202" t="str">
        <f>INDEX(Products!B:B,MATCH(OrdersTable[[#This Row],[Product ID]],Products!A:A,0))</f>
        <v>Keratin Hair Mask</v>
      </c>
      <c r="O2202" t="str">
        <f>INDEX(Products!C:C,MATCH(OrdersTable[[#This Row],[Product ID]],Products!A:A,0))</f>
        <v>Haircare</v>
      </c>
      <c r="P2202">
        <v>1</v>
      </c>
      <c r="Q2202" s="5">
        <v>549</v>
      </c>
      <c r="R2202" s="74">
        <v>0.15</v>
      </c>
      <c r="S2202" s="75">
        <f>OrdersTable[[#This Row],[Quantity]]*OrdersTable[[#This Row],[Unit Price]]</f>
        <v>549</v>
      </c>
      <c r="T2202" s="5">
        <f>OrdersTable[[#This Row],[Gross Sale]]*OrdersTable[[#This Row],[Discount_Clean2]]</f>
        <v>82.35</v>
      </c>
      <c r="U2202" s="5">
        <f>OrdersTable[[#This Row],[Gross Sale]]-OrdersTable[[#This Row],[Discount Amount]]</f>
        <v>466.65</v>
      </c>
      <c r="V2202" s="77">
        <f>INDEX(Products!E:E,MATCH(OrdersTable[[#This Row],[Product ID]],Products!A:A,0))</f>
        <v>170</v>
      </c>
      <c r="W2202" s="77">
        <f>OrdersTable[[#This Row],[Quantity]]*OrdersTable[[#This Row],[Unit Cost]]</f>
        <v>170</v>
      </c>
      <c r="X2202" s="77">
        <f>'Dropdown Lists'!$I$2*(1+OrdersTable[[#This Row],[Returned]])</f>
        <v>60</v>
      </c>
      <c r="Y2202" s="76">
        <f>OrdersTable[[#This Row],[Net Revenue]]-OrdersTable[[#This Row],[COGS]]-OrdersTable[[#This Row],[Shipping Cost]]</f>
        <v>236.64999999999998</v>
      </c>
      <c r="Z2202" s="78">
        <f>IFERROR(OrdersTable[[#This Row],[Profit]]/OrdersTable[[#This Row],[Net Revenue]],0)</f>
        <v>0.50712525447337398</v>
      </c>
      <c r="AA2202" t="s">
        <v>4450</v>
      </c>
      <c r="AB2202" s="79">
        <v>45675</v>
      </c>
      <c r="AC2202">
        <f>OrdersTable[[#This Row],[Delivery Date]]-OrdersTable[[#This Row],[Order Date]]</f>
        <v>4</v>
      </c>
      <c r="AD2202" t="str">
        <f>IF(OrdersTable[[#This Row],[Delivery Days]]&lt;=2, "Express (≤2d)", IF(OrdersTable[[#This Row],[Delivery Days]]&lt;=4, "Standard (3-4d)", "Delayed (5d+)"))</f>
        <v>Standard (3-4d)</v>
      </c>
      <c r="AE2202">
        <v>4</v>
      </c>
      <c r="AF2202">
        <v>0</v>
      </c>
    </row>
    <row r="2203" spans="1:32" ht="15" x14ac:dyDescent="0.35">
      <c r="A2203" t="s">
        <v>5923</v>
      </c>
      <c r="B2203" s="1">
        <v>45671</v>
      </c>
      <c r="C2203">
        <f>YEAR(OrdersTable[[#This Row],[Order Date]])</f>
        <v>2025</v>
      </c>
      <c r="D2203" s="2">
        <f>DATE(YEAR(OrdersTable[[#This Row],[Order Date]]),MONTH(OrdersTable[[#This Row],[Order Date]]),1)</f>
        <v>45658</v>
      </c>
      <c r="E2203">
        <f>MONTH(OrdersTable[[#This Row],[Order Date]])</f>
        <v>1</v>
      </c>
      <c r="F2203" t="s">
        <v>5924</v>
      </c>
      <c r="G2203" t="str">
        <f>IF(OrdersTable[[#This Row],[Order Date]]=_xlfn.MINIFS(Order_Date, Customer_ID, OrdersTable[[#This Row],[Customer ID]]), "New", "Repeat")</f>
        <v>New</v>
      </c>
      <c r="H2203" t="s">
        <v>316</v>
      </c>
      <c r="I2203" t="str">
        <f>INDEX(State!B:B,MATCH(OrdersTable[[#This Row],[State]],State!A:A,0))</f>
        <v>KL</v>
      </c>
      <c r="J2203" t="str">
        <f>INDEX(State!C:C,MATCH(OrdersTable[[#This Row],[State Code]],State!B:B,0))</f>
        <v>South</v>
      </c>
      <c r="K2203" t="s">
        <v>338</v>
      </c>
      <c r="L2203" t="s">
        <v>65</v>
      </c>
      <c r="M2203" t="s">
        <v>78</v>
      </c>
      <c r="N2203" t="str">
        <f>INDEX(Products!B:B,MATCH(OrdersTable[[#This Row],[Product ID]],Products!A:A,0))</f>
        <v>Retinol Night Cream</v>
      </c>
      <c r="O2203" t="str">
        <f>INDEX(Products!C:C,MATCH(OrdersTable[[#This Row],[Product ID]],Products!A:A,0))</f>
        <v>Skincare</v>
      </c>
      <c r="P2203">
        <v>2</v>
      </c>
      <c r="Q2203" s="5">
        <v>799</v>
      </c>
      <c r="R2203" s="74">
        <v>0.05</v>
      </c>
      <c r="S2203" s="75">
        <f>OrdersTable[[#This Row],[Quantity]]*OrdersTable[[#This Row],[Unit Price]]</f>
        <v>1598</v>
      </c>
      <c r="T2203" s="5">
        <f>OrdersTable[[#This Row],[Gross Sale]]*OrdersTable[[#This Row],[Discount_Clean2]]</f>
        <v>79.900000000000006</v>
      </c>
      <c r="U2203" s="5">
        <f>OrdersTable[[#This Row],[Gross Sale]]-OrdersTable[[#This Row],[Discount Amount]]</f>
        <v>1518.1</v>
      </c>
      <c r="V2203" s="77">
        <f>INDEX(Products!E:E,MATCH(OrdersTable[[#This Row],[Product ID]],Products!A:A,0))</f>
        <v>216</v>
      </c>
      <c r="W2203" s="77">
        <f>OrdersTable[[#This Row],[Quantity]]*OrdersTable[[#This Row],[Unit Cost]]</f>
        <v>432</v>
      </c>
      <c r="X2203" s="77">
        <f>'Dropdown Lists'!$I$2*(1+OrdersTable[[#This Row],[Returned]])</f>
        <v>60</v>
      </c>
      <c r="Y2203" s="76">
        <f>OrdersTable[[#This Row],[Net Revenue]]-OrdersTable[[#This Row],[COGS]]-OrdersTable[[#This Row],[Shipping Cost]]</f>
        <v>1026.0999999999999</v>
      </c>
      <c r="Z2203" s="78">
        <f>IFERROR(OrdersTable[[#This Row],[Profit]]/OrdersTable[[#This Row],[Net Revenue]],0)</f>
        <v>0.67591067782096037</v>
      </c>
      <c r="AA2203" t="s">
        <v>18</v>
      </c>
      <c r="AB2203" s="79">
        <v>45674</v>
      </c>
      <c r="AC2203">
        <f>OrdersTable[[#This Row],[Delivery Date]]-OrdersTable[[#This Row],[Order Date]]</f>
        <v>3</v>
      </c>
      <c r="AD2203" t="str">
        <f>IF(OrdersTable[[#This Row],[Delivery Days]]&lt;=2, "Express (≤2d)", IF(OrdersTable[[#This Row],[Delivery Days]]&lt;=4, "Standard (3-4d)", "Delayed (5d+)"))</f>
        <v>Standard (3-4d)</v>
      </c>
      <c r="AF2203">
        <v>0</v>
      </c>
    </row>
    <row r="2204" spans="1:32" ht="15" x14ac:dyDescent="0.35">
      <c r="A2204" t="s">
        <v>6786</v>
      </c>
      <c r="B2204" s="1">
        <v>45672</v>
      </c>
      <c r="C2204">
        <f>YEAR(OrdersTable[[#This Row],[Order Date]])</f>
        <v>2025</v>
      </c>
      <c r="D2204" s="2">
        <f>DATE(YEAR(OrdersTable[[#This Row],[Order Date]]),MONTH(OrdersTable[[#This Row],[Order Date]]),1)</f>
        <v>45658</v>
      </c>
      <c r="E2204">
        <f>MONTH(OrdersTable[[#This Row],[Order Date]])</f>
        <v>1</v>
      </c>
      <c r="F2204" t="s">
        <v>607</v>
      </c>
      <c r="G2204" t="str">
        <f>IF(OrdersTable[[#This Row],[Order Date]]=_xlfn.MINIFS(Order_Date, Customer_ID, OrdersTable[[#This Row],[Customer ID]]), "New", "Repeat")</f>
        <v>Repeat</v>
      </c>
      <c r="H2204" t="s">
        <v>210</v>
      </c>
      <c r="I2204" t="str">
        <f>INDEX(State!B:B,MATCH(OrdersTable[[#This Row],[State]],State!A:A,0))</f>
        <v>JK</v>
      </c>
      <c r="J2204" t="str">
        <f>INDEX(State!C:C,MATCH(OrdersTable[[#This Row],[State Code]],State!B:B,0))</f>
        <v>North</v>
      </c>
      <c r="K2204" t="s">
        <v>211</v>
      </c>
      <c r="L2204" t="s">
        <v>23</v>
      </c>
      <c r="M2204" t="s">
        <v>148</v>
      </c>
      <c r="N2204" t="str">
        <f>INDEX(Products!B:B,MATCH(OrdersTable[[#This Row],[Product ID]],Products!A:A,0))</f>
        <v>Smartwatch Strap</v>
      </c>
      <c r="O2204" t="str">
        <f>INDEX(Products!C:C,MATCH(OrdersTable[[#This Row],[Product ID]],Products!A:A,0))</f>
        <v>Electronics</v>
      </c>
      <c r="P2204">
        <v>3</v>
      </c>
      <c r="Q2204" s="5">
        <v>499</v>
      </c>
      <c r="R2204" s="74">
        <v>0.2</v>
      </c>
      <c r="S2204" s="75">
        <f>OrdersTable[[#This Row],[Quantity]]*OrdersTable[[#This Row],[Unit Price]]</f>
        <v>1497</v>
      </c>
      <c r="T2204" s="5">
        <f>OrdersTable[[#This Row],[Gross Sale]]*OrdersTable[[#This Row],[Discount_Clean2]]</f>
        <v>299.40000000000003</v>
      </c>
      <c r="U2204" s="5">
        <f>OrdersTable[[#This Row],[Gross Sale]]-OrdersTable[[#This Row],[Discount Amount]]</f>
        <v>1197.5999999999999</v>
      </c>
      <c r="V2204" s="77">
        <f>INDEX(Products!E:E,MATCH(OrdersTable[[#This Row],[Product ID]],Products!A:A,0))</f>
        <v>200</v>
      </c>
      <c r="W2204" s="77">
        <f>OrdersTable[[#This Row],[Quantity]]*OrdersTable[[#This Row],[Unit Cost]]</f>
        <v>600</v>
      </c>
      <c r="X2204" s="77">
        <f>'Dropdown Lists'!$I$2*(1+OrdersTable[[#This Row],[Returned]])</f>
        <v>60</v>
      </c>
      <c r="Y2204" s="76">
        <f>OrdersTable[[#This Row],[Net Revenue]]-OrdersTable[[#This Row],[COGS]]-OrdersTable[[#This Row],[Shipping Cost]]</f>
        <v>537.59999999999991</v>
      </c>
      <c r="Z2204" s="78">
        <f>IFERROR(OrdersTable[[#This Row],[Profit]]/OrdersTable[[#This Row],[Net Revenue]],0)</f>
        <v>0.44889779559118231</v>
      </c>
      <c r="AA2204" t="s">
        <v>3495</v>
      </c>
      <c r="AB2204" s="79">
        <v>45678</v>
      </c>
      <c r="AC2204">
        <f>OrdersTable[[#This Row],[Delivery Date]]-OrdersTable[[#This Row],[Order Date]]</f>
        <v>6</v>
      </c>
      <c r="AD2204" t="str">
        <f>IF(OrdersTable[[#This Row],[Delivery Days]]&lt;=2, "Express (≤2d)", IF(OrdersTable[[#This Row],[Delivery Days]]&lt;=4, "Standard (3-4d)", "Delayed (5d+)"))</f>
        <v>Delayed (5d+)</v>
      </c>
      <c r="AF2204">
        <v>0</v>
      </c>
    </row>
    <row r="2205" spans="1:32" ht="15" x14ac:dyDescent="0.35">
      <c r="A2205" t="s">
        <v>3892</v>
      </c>
      <c r="B2205" s="1">
        <v>45672</v>
      </c>
      <c r="C2205">
        <f>YEAR(OrdersTable[[#This Row],[Order Date]])</f>
        <v>2025</v>
      </c>
      <c r="D2205" s="2">
        <f>DATE(YEAR(OrdersTable[[#This Row],[Order Date]]),MONTH(OrdersTable[[#This Row],[Order Date]]),1)</f>
        <v>45658</v>
      </c>
      <c r="E2205">
        <f>MONTH(OrdersTable[[#This Row],[Order Date]])</f>
        <v>1</v>
      </c>
      <c r="F2205" t="s">
        <v>3893</v>
      </c>
      <c r="G2205" t="str">
        <f>IF(OrdersTable[[#This Row],[Order Date]]=_xlfn.MINIFS(Order_Date, Customer_ID, OrdersTable[[#This Row],[Customer ID]]), "New", "Repeat")</f>
        <v>New</v>
      </c>
      <c r="H2205" t="s">
        <v>54</v>
      </c>
      <c r="I2205" t="str">
        <f>INDEX(State!B:B,MATCH(OrdersTable[[#This Row],[State]],State!A:A,0))</f>
        <v>RJ</v>
      </c>
      <c r="J2205" t="str">
        <f>INDEX(State!C:C,MATCH(OrdersTable[[#This Row],[State Code]],State!B:B,0))</f>
        <v>North</v>
      </c>
      <c r="K2205" t="s">
        <v>55</v>
      </c>
      <c r="L2205" t="s">
        <v>16</v>
      </c>
      <c r="M2205" t="s">
        <v>205</v>
      </c>
      <c r="N2205" t="str">
        <f>INDEX(Products!B:B,MATCH(OrdersTable[[#This Row],[Product ID]],Products!A:A,0))</f>
        <v>Running Shoes</v>
      </c>
      <c r="O2205" t="str">
        <f>INDEX(Products!C:C,MATCH(OrdersTable[[#This Row],[Product ID]],Products!A:A,0))</f>
        <v>Footwear</v>
      </c>
      <c r="P2205">
        <v>1</v>
      </c>
      <c r="Q2205" s="5">
        <v>2999</v>
      </c>
      <c r="R2205" s="74">
        <v>0.15</v>
      </c>
      <c r="S2205" s="75">
        <f>OrdersTable[[#This Row],[Quantity]]*OrdersTable[[#This Row],[Unit Price]]</f>
        <v>2999</v>
      </c>
      <c r="T2205" s="5">
        <f>OrdersTable[[#This Row],[Gross Sale]]*OrdersTable[[#This Row],[Discount_Clean2]]</f>
        <v>449.84999999999997</v>
      </c>
      <c r="U2205" s="5">
        <f>OrdersTable[[#This Row],[Gross Sale]]-OrdersTable[[#This Row],[Discount Amount]]</f>
        <v>2549.15</v>
      </c>
      <c r="V2205" s="77">
        <f>INDEX(Products!E:E,MATCH(OrdersTable[[#This Row],[Product ID]],Products!A:A,0))</f>
        <v>1440</v>
      </c>
      <c r="W2205" s="77">
        <f>OrdersTable[[#This Row],[Quantity]]*OrdersTable[[#This Row],[Unit Cost]]</f>
        <v>1440</v>
      </c>
      <c r="X2205" s="77">
        <f>'Dropdown Lists'!$I$2*(1+OrdersTable[[#This Row],[Returned]])</f>
        <v>60</v>
      </c>
      <c r="Y2205" s="76">
        <f>OrdersTable[[#This Row],[Net Revenue]]-OrdersTable[[#This Row],[COGS]]-OrdersTable[[#This Row],[Shipping Cost]]</f>
        <v>1049.1500000000001</v>
      </c>
      <c r="Z2205" s="78">
        <f>IFERROR(OrdersTable[[#This Row],[Profit]]/OrdersTable[[#This Row],[Net Revenue]],0)</f>
        <v>0.41156856206970954</v>
      </c>
      <c r="AA2205" t="s">
        <v>3495</v>
      </c>
      <c r="AB2205" s="79">
        <v>45675</v>
      </c>
      <c r="AC2205">
        <f>OrdersTable[[#This Row],[Delivery Date]]-OrdersTable[[#This Row],[Order Date]]</f>
        <v>3</v>
      </c>
      <c r="AD2205" t="str">
        <f>IF(OrdersTable[[#This Row],[Delivery Days]]&lt;=2, "Express (≤2d)", IF(OrdersTable[[#This Row],[Delivery Days]]&lt;=4, "Standard (3-4d)", "Delayed (5d+)"))</f>
        <v>Standard (3-4d)</v>
      </c>
      <c r="AE2205">
        <v>3</v>
      </c>
      <c r="AF2205">
        <v>0</v>
      </c>
    </row>
    <row r="2206" spans="1:32" ht="15" x14ac:dyDescent="0.35">
      <c r="A2206" t="s">
        <v>4689</v>
      </c>
      <c r="B2206" s="1">
        <v>45672</v>
      </c>
      <c r="C2206">
        <f>YEAR(OrdersTable[[#This Row],[Order Date]])</f>
        <v>2025</v>
      </c>
      <c r="D2206" s="2">
        <f>DATE(YEAR(OrdersTable[[#This Row],[Order Date]]),MONTH(OrdersTable[[#This Row],[Order Date]]),1)</f>
        <v>45658</v>
      </c>
      <c r="E2206">
        <f>MONTH(OrdersTable[[#This Row],[Order Date]])</f>
        <v>1</v>
      </c>
      <c r="F2206" t="s">
        <v>1821</v>
      </c>
      <c r="G2206" t="str">
        <f>IF(OrdersTable[[#This Row],[Order Date]]=_xlfn.MINIFS(Order_Date, Customer_ID, OrdersTable[[#This Row],[Customer ID]]), "New", "Repeat")</f>
        <v>New</v>
      </c>
      <c r="H2206" t="s">
        <v>71</v>
      </c>
      <c r="I2206" t="str">
        <f>INDEX(State!B:B,MATCH(OrdersTable[[#This Row],[State]],State!A:A,0))</f>
        <v>MH</v>
      </c>
      <c r="J2206" t="str">
        <f>INDEX(State!C:C,MATCH(OrdersTable[[#This Row],[State Code]],State!B:B,0))</f>
        <v>West</v>
      </c>
      <c r="K2206" t="s">
        <v>81</v>
      </c>
      <c r="L2206" t="s">
        <v>65</v>
      </c>
      <c r="M2206" t="s">
        <v>148</v>
      </c>
      <c r="N2206" t="str">
        <f>INDEX(Products!B:B,MATCH(OrdersTable[[#This Row],[Product ID]],Products!A:A,0))</f>
        <v>Smartwatch Strap</v>
      </c>
      <c r="O2206" t="str">
        <f>INDEX(Products!C:C,MATCH(OrdersTable[[#This Row],[Product ID]],Products!A:A,0))</f>
        <v>Electronics</v>
      </c>
      <c r="P2206">
        <v>1</v>
      </c>
      <c r="Q2206" s="5">
        <v>499</v>
      </c>
      <c r="R2206" s="74">
        <v>0.15</v>
      </c>
      <c r="S2206" s="75">
        <f>OrdersTable[[#This Row],[Quantity]]*OrdersTable[[#This Row],[Unit Price]]</f>
        <v>499</v>
      </c>
      <c r="T2206" s="5">
        <f>OrdersTable[[#This Row],[Gross Sale]]*OrdersTable[[#This Row],[Discount_Clean2]]</f>
        <v>74.849999999999994</v>
      </c>
      <c r="U2206" s="5">
        <f>OrdersTable[[#This Row],[Gross Sale]]-OrdersTable[[#This Row],[Discount Amount]]</f>
        <v>424.15</v>
      </c>
      <c r="V2206" s="77">
        <f>INDEX(Products!E:E,MATCH(OrdersTable[[#This Row],[Product ID]],Products!A:A,0))</f>
        <v>200</v>
      </c>
      <c r="W2206" s="77">
        <f>OrdersTable[[#This Row],[Quantity]]*OrdersTable[[#This Row],[Unit Cost]]</f>
        <v>200</v>
      </c>
      <c r="X2206" s="77">
        <f>'Dropdown Lists'!$I$2*(1+OrdersTable[[#This Row],[Returned]])</f>
        <v>60</v>
      </c>
      <c r="Y2206" s="76">
        <f>OrdersTable[[#This Row],[Net Revenue]]-OrdersTable[[#This Row],[COGS]]-OrdersTable[[#This Row],[Shipping Cost]]</f>
        <v>164.14999999999998</v>
      </c>
      <c r="Z2206" s="78">
        <f>IFERROR(OrdersTable[[#This Row],[Profit]]/OrdersTable[[#This Row],[Net Revenue]],0)</f>
        <v>0.38700931274313327</v>
      </c>
      <c r="AA2206" t="s">
        <v>4450</v>
      </c>
      <c r="AB2206" s="79">
        <v>45674</v>
      </c>
      <c r="AC2206">
        <f>OrdersTable[[#This Row],[Delivery Date]]-OrdersTable[[#This Row],[Order Date]]</f>
        <v>2</v>
      </c>
      <c r="AD2206" t="str">
        <f>IF(OrdersTable[[#This Row],[Delivery Days]]&lt;=2, "Express (≤2d)", IF(OrdersTable[[#This Row],[Delivery Days]]&lt;=4, "Standard (3-4d)", "Delayed (5d+)"))</f>
        <v>Express (≤2d)</v>
      </c>
      <c r="AE2206">
        <v>5</v>
      </c>
      <c r="AF2206">
        <v>0</v>
      </c>
    </row>
    <row r="2207" spans="1:32" ht="15" x14ac:dyDescent="0.35">
      <c r="A2207" t="s">
        <v>6985</v>
      </c>
      <c r="B2207" s="1">
        <v>45672</v>
      </c>
      <c r="C2207">
        <f>YEAR(OrdersTable[[#This Row],[Order Date]])</f>
        <v>2025</v>
      </c>
      <c r="D2207" s="2">
        <f>DATE(YEAR(OrdersTable[[#This Row],[Order Date]]),MONTH(OrdersTable[[#This Row],[Order Date]]),1)</f>
        <v>45658</v>
      </c>
      <c r="E2207">
        <f>MONTH(OrdersTable[[#This Row],[Order Date]])</f>
        <v>1</v>
      </c>
      <c r="F2207" t="s">
        <v>1058</v>
      </c>
      <c r="G2207" t="str">
        <f>IF(OrdersTable[[#This Row],[Order Date]]=_xlfn.MINIFS(Order_Date, Customer_ID, OrdersTable[[#This Row],[Customer ID]]), "New", "Repeat")</f>
        <v>Repeat</v>
      </c>
      <c r="H2207" t="s">
        <v>71</v>
      </c>
      <c r="I2207" t="str">
        <f>INDEX(State!B:B,MATCH(OrdersTable[[#This Row],[State]],State!A:A,0))</f>
        <v>MH</v>
      </c>
      <c r="J2207" t="str">
        <f>INDEX(State!C:C,MATCH(OrdersTable[[#This Row],[State Code]],State!B:B,0))</f>
        <v>West</v>
      </c>
      <c r="K2207" t="s">
        <v>72</v>
      </c>
      <c r="L2207" t="s">
        <v>23</v>
      </c>
      <c r="M2207" t="s">
        <v>24</v>
      </c>
      <c r="N2207" t="str">
        <f>INDEX(Products!B:B,MATCH(OrdersTable[[#This Row],[Product ID]],Products!A:A,0))</f>
        <v>Scented Candle Set</v>
      </c>
      <c r="O2207" t="str">
        <f>INDEX(Products!C:C,MATCH(OrdersTable[[#This Row],[Product ID]],Products!A:A,0))</f>
        <v>Home &amp; Kitchen</v>
      </c>
      <c r="P2207">
        <v>4</v>
      </c>
      <c r="Q2207" s="5">
        <v>699</v>
      </c>
      <c r="R2207" s="74">
        <v>0.2</v>
      </c>
      <c r="S2207" s="75">
        <f>OrdersTable[[#This Row],[Quantity]]*OrdersTable[[#This Row],[Unit Price]]</f>
        <v>2796</v>
      </c>
      <c r="T2207" s="5">
        <f>OrdersTable[[#This Row],[Gross Sale]]*OrdersTable[[#This Row],[Discount_Clean2]]</f>
        <v>559.20000000000005</v>
      </c>
      <c r="U2207" s="5">
        <f>OrdersTable[[#This Row],[Gross Sale]]-OrdersTable[[#This Row],[Discount Amount]]</f>
        <v>2236.8000000000002</v>
      </c>
      <c r="V2207" s="77">
        <f>INDEX(Products!E:E,MATCH(OrdersTable[[#This Row],[Product ID]],Products!A:A,0))</f>
        <v>245</v>
      </c>
      <c r="W2207" s="77">
        <f>OrdersTable[[#This Row],[Quantity]]*OrdersTable[[#This Row],[Unit Cost]]</f>
        <v>980</v>
      </c>
      <c r="X2207" s="77">
        <f>'Dropdown Lists'!$I$2*(1+OrdersTable[[#This Row],[Returned]])</f>
        <v>60</v>
      </c>
      <c r="Y2207" s="76">
        <f>OrdersTable[[#This Row],[Net Revenue]]-OrdersTable[[#This Row],[COGS]]-OrdersTable[[#This Row],[Shipping Cost]]</f>
        <v>1196.8000000000002</v>
      </c>
      <c r="Z2207" s="78">
        <f>IFERROR(OrdersTable[[#This Row],[Profit]]/OrdersTable[[#This Row],[Net Revenue]],0)</f>
        <v>0.53505007153075823</v>
      </c>
      <c r="AA2207" t="s">
        <v>4074</v>
      </c>
      <c r="AB2207" s="79">
        <v>45674</v>
      </c>
      <c r="AC2207">
        <f>OrdersTable[[#This Row],[Delivery Date]]-OrdersTable[[#This Row],[Order Date]]</f>
        <v>2</v>
      </c>
      <c r="AD2207" t="str">
        <f>IF(OrdersTable[[#This Row],[Delivery Days]]&lt;=2, "Express (≤2d)", IF(OrdersTable[[#This Row],[Delivery Days]]&lt;=4, "Standard (3-4d)", "Delayed (5d+)"))</f>
        <v>Express (≤2d)</v>
      </c>
      <c r="AE2207">
        <v>4</v>
      </c>
      <c r="AF2207">
        <v>0</v>
      </c>
    </row>
    <row r="2208" spans="1:32" ht="15" x14ac:dyDescent="0.35">
      <c r="A2208" t="s">
        <v>7083</v>
      </c>
      <c r="B2208" s="1">
        <v>45672</v>
      </c>
      <c r="C2208">
        <f>YEAR(OrdersTable[[#This Row],[Order Date]])</f>
        <v>2025</v>
      </c>
      <c r="D2208" s="2">
        <f>DATE(YEAR(OrdersTable[[#This Row],[Order Date]]),MONTH(OrdersTable[[#This Row],[Order Date]]),1)</f>
        <v>45658</v>
      </c>
      <c r="E2208">
        <f>MONTH(OrdersTable[[#This Row],[Order Date]])</f>
        <v>1</v>
      </c>
      <c r="F2208" t="s">
        <v>1025</v>
      </c>
      <c r="G2208" t="str">
        <f>IF(OrdersTable[[#This Row],[Order Date]]=_xlfn.MINIFS(Order_Date, Customer_ID, OrdersTable[[#This Row],[Customer ID]]), "New", "Repeat")</f>
        <v>Repeat</v>
      </c>
      <c r="H2208" t="s">
        <v>316</v>
      </c>
      <c r="I2208" t="str">
        <f>INDEX(State!B:B,MATCH(OrdersTable[[#This Row],[State]],State!A:A,0))</f>
        <v>KL</v>
      </c>
      <c r="J2208" t="str">
        <f>INDEX(State!C:C,MATCH(OrdersTable[[#This Row],[State Code]],State!B:B,0))</f>
        <v>South</v>
      </c>
      <c r="K2208" t="s">
        <v>338</v>
      </c>
      <c r="L2208" t="s">
        <v>16</v>
      </c>
      <c r="M2208" t="s">
        <v>29</v>
      </c>
      <c r="N2208" t="str">
        <f>INDEX(Products!B:B,MATCH(OrdersTable[[#This Row],[Product ID]],Products!A:A,0))</f>
        <v>Joggers</v>
      </c>
      <c r="O2208" t="str">
        <f>INDEX(Products!C:C,MATCH(OrdersTable[[#This Row],[Product ID]],Products!A:A,0))</f>
        <v>Apparel</v>
      </c>
      <c r="P2208">
        <v>4</v>
      </c>
      <c r="Q2208" s="5">
        <v>1199</v>
      </c>
      <c r="R2208" s="74">
        <v>0.05</v>
      </c>
      <c r="S2208" s="75">
        <f>OrdersTable[[#This Row],[Quantity]]*OrdersTable[[#This Row],[Unit Price]]</f>
        <v>4796</v>
      </c>
      <c r="T2208" s="5">
        <f>OrdersTable[[#This Row],[Gross Sale]]*OrdersTable[[#This Row],[Discount_Clean2]]</f>
        <v>239.8</v>
      </c>
      <c r="U2208" s="5">
        <f>OrdersTable[[#This Row],[Gross Sale]]-OrdersTable[[#This Row],[Discount Amount]]</f>
        <v>4556.2</v>
      </c>
      <c r="V2208" s="77">
        <f>INDEX(Products!E:E,MATCH(OrdersTable[[#This Row],[Product ID]],Products!A:A,0))</f>
        <v>492</v>
      </c>
      <c r="W2208" s="77">
        <f>OrdersTable[[#This Row],[Quantity]]*OrdersTable[[#This Row],[Unit Cost]]</f>
        <v>1968</v>
      </c>
      <c r="X2208" s="77">
        <f>'Dropdown Lists'!$I$2*(1+OrdersTable[[#This Row],[Returned]])</f>
        <v>60</v>
      </c>
      <c r="Y2208" s="76">
        <f>OrdersTable[[#This Row],[Net Revenue]]-OrdersTable[[#This Row],[COGS]]-OrdersTable[[#This Row],[Shipping Cost]]</f>
        <v>2528.1999999999998</v>
      </c>
      <c r="Z2208" s="78">
        <f>IFERROR(OrdersTable[[#This Row],[Profit]]/OrdersTable[[#This Row],[Net Revenue]],0)</f>
        <v>0.55489223475703431</v>
      </c>
      <c r="AA2208" t="s">
        <v>18</v>
      </c>
      <c r="AB2208" s="79">
        <v>45675</v>
      </c>
      <c r="AC2208">
        <f>OrdersTable[[#This Row],[Delivery Date]]-OrdersTable[[#This Row],[Order Date]]</f>
        <v>3</v>
      </c>
      <c r="AD2208" t="str">
        <f>IF(OrdersTable[[#This Row],[Delivery Days]]&lt;=2, "Express (≤2d)", IF(OrdersTable[[#This Row],[Delivery Days]]&lt;=4, "Standard (3-4d)", "Delayed (5d+)"))</f>
        <v>Standard (3-4d)</v>
      </c>
      <c r="AE2208">
        <v>4</v>
      </c>
      <c r="AF2208">
        <v>0</v>
      </c>
    </row>
    <row r="2209" spans="1:32" ht="15" x14ac:dyDescent="0.35">
      <c r="A2209" t="s">
        <v>6882</v>
      </c>
      <c r="B2209" s="1">
        <v>45672</v>
      </c>
      <c r="C2209">
        <f>YEAR(OrdersTable[[#This Row],[Order Date]])</f>
        <v>2025</v>
      </c>
      <c r="D2209" s="2">
        <f>DATE(YEAR(OrdersTable[[#This Row],[Order Date]]),MONTH(OrdersTable[[#This Row],[Order Date]]),1)</f>
        <v>45658</v>
      </c>
      <c r="E2209">
        <f>MONTH(OrdersTable[[#This Row],[Order Date]])</f>
        <v>1</v>
      </c>
      <c r="F2209" t="s">
        <v>4095</v>
      </c>
      <c r="G2209" t="str">
        <f>IF(OrdersTable[[#This Row],[Order Date]]=_xlfn.MINIFS(Order_Date, Customer_ID, OrdersTable[[#This Row],[Customer ID]]), "New", "Repeat")</f>
        <v>Repeat</v>
      </c>
      <c r="H2209" t="s">
        <v>59</v>
      </c>
      <c r="I2209" t="str">
        <f>INDEX(State!B:B,MATCH(OrdersTable[[#This Row],[State]],State!A:A,0))</f>
        <v>TN</v>
      </c>
      <c r="J2209" t="str">
        <f>INDEX(State!C:C,MATCH(OrdersTable[[#This Row],[State Code]],State!B:B,0))</f>
        <v>South</v>
      </c>
      <c r="K2209" t="s">
        <v>60</v>
      </c>
      <c r="L2209" t="s">
        <v>16</v>
      </c>
      <c r="M2209" t="s">
        <v>87</v>
      </c>
      <c r="N2209" t="str">
        <f>INDEX(Products!B:B,MATCH(OrdersTable[[#This Row],[Product ID]],Products!A:A,0))</f>
        <v>Linen Kurta</v>
      </c>
      <c r="O2209" t="str">
        <f>INDEX(Products!C:C,MATCH(OrdersTable[[#This Row],[Product ID]],Products!A:A,0))</f>
        <v>Apparel</v>
      </c>
      <c r="P2209">
        <v>3</v>
      </c>
      <c r="Q2209" s="5">
        <v>1499</v>
      </c>
      <c r="R2209" s="74">
        <v>0.3</v>
      </c>
      <c r="S2209" s="75">
        <f>OrdersTable[[#This Row],[Quantity]]*OrdersTable[[#This Row],[Unit Price]]</f>
        <v>4497</v>
      </c>
      <c r="T2209" s="5">
        <f>OrdersTable[[#This Row],[Gross Sale]]*OrdersTable[[#This Row],[Discount_Clean2]]</f>
        <v>1349.1</v>
      </c>
      <c r="U2209" s="5">
        <f>OrdersTable[[#This Row],[Gross Sale]]-OrdersTable[[#This Row],[Discount Amount]]</f>
        <v>3147.9</v>
      </c>
      <c r="V2209" s="77">
        <f>INDEX(Products!E:E,MATCH(OrdersTable[[#This Row],[Product ID]],Products!A:A,0))</f>
        <v>630</v>
      </c>
      <c r="W2209" s="77">
        <f>OrdersTable[[#This Row],[Quantity]]*OrdersTable[[#This Row],[Unit Cost]]</f>
        <v>1890</v>
      </c>
      <c r="X2209" s="77">
        <f>'Dropdown Lists'!$I$2*(1+OrdersTable[[#This Row],[Returned]])</f>
        <v>60</v>
      </c>
      <c r="Y2209" s="76">
        <f>OrdersTable[[#This Row],[Net Revenue]]-OrdersTable[[#This Row],[COGS]]-OrdersTable[[#This Row],[Shipping Cost]]</f>
        <v>1197.9000000000001</v>
      </c>
      <c r="Z2209" s="78">
        <f>IFERROR(OrdersTable[[#This Row],[Profit]]/OrdersTable[[#This Row],[Net Revenue]],0)</f>
        <v>0.38053940722386354</v>
      </c>
      <c r="AA2209" t="s">
        <v>4074</v>
      </c>
      <c r="AB2209" s="79">
        <v>45674</v>
      </c>
      <c r="AC2209">
        <f>OrdersTable[[#This Row],[Delivery Date]]-OrdersTable[[#This Row],[Order Date]]</f>
        <v>2</v>
      </c>
      <c r="AD2209" t="str">
        <f>IF(OrdersTable[[#This Row],[Delivery Days]]&lt;=2, "Express (≤2d)", IF(OrdersTable[[#This Row],[Delivery Days]]&lt;=4, "Standard (3-4d)", "Delayed (5d+)"))</f>
        <v>Express (≤2d)</v>
      </c>
      <c r="AE2209">
        <v>4</v>
      </c>
      <c r="AF2209">
        <v>0</v>
      </c>
    </row>
    <row r="2210" spans="1:32" ht="15" x14ac:dyDescent="0.35">
      <c r="A2210" t="s">
        <v>2523</v>
      </c>
      <c r="B2210" s="1">
        <v>45673</v>
      </c>
      <c r="C2210">
        <f>YEAR(OrdersTable[[#This Row],[Order Date]])</f>
        <v>2025</v>
      </c>
      <c r="D2210" s="2">
        <f>DATE(YEAR(OrdersTable[[#This Row],[Order Date]]),MONTH(OrdersTable[[#This Row],[Order Date]]),1)</f>
        <v>45658</v>
      </c>
      <c r="E2210">
        <f>MONTH(OrdersTable[[#This Row],[Order Date]])</f>
        <v>1</v>
      </c>
      <c r="F2210" t="s">
        <v>2524</v>
      </c>
      <c r="G2210" t="str">
        <f>IF(OrdersTable[[#This Row],[Order Date]]=_xlfn.MINIFS(Order_Date, Customer_ID, OrdersTable[[#This Row],[Customer ID]]), "New", "Repeat")</f>
        <v>New</v>
      </c>
      <c r="H2210" t="s">
        <v>32</v>
      </c>
      <c r="I2210" t="str">
        <f>INDEX(State!B:B,MATCH(OrdersTable[[#This Row],[State]],State!A:A,0))</f>
        <v>BR</v>
      </c>
      <c r="J2210" t="str">
        <f>INDEX(State!C:C,MATCH(OrdersTable[[#This Row],[State Code]],State!B:B,0))</f>
        <v>East</v>
      </c>
      <c r="K2210" t="s">
        <v>33</v>
      </c>
      <c r="L2210" t="s">
        <v>16</v>
      </c>
      <c r="M2210" t="s">
        <v>29</v>
      </c>
      <c r="N2210" t="str">
        <f>INDEX(Products!B:B,MATCH(OrdersTable[[#This Row],[Product ID]],Products!A:A,0))</f>
        <v>Joggers</v>
      </c>
      <c r="O2210" t="str">
        <f>INDEX(Products!C:C,MATCH(OrdersTable[[#This Row],[Product ID]],Products!A:A,0))</f>
        <v>Apparel</v>
      </c>
      <c r="P2210">
        <v>1</v>
      </c>
      <c r="Q2210" s="5">
        <v>1199</v>
      </c>
      <c r="R2210" s="74">
        <v>0.1</v>
      </c>
      <c r="S2210" s="75">
        <f>OrdersTable[[#This Row],[Quantity]]*OrdersTable[[#This Row],[Unit Price]]</f>
        <v>1199</v>
      </c>
      <c r="T2210" s="5">
        <f>OrdersTable[[#This Row],[Gross Sale]]*OrdersTable[[#This Row],[Discount_Clean2]]</f>
        <v>119.9</v>
      </c>
      <c r="U2210" s="5">
        <f>OrdersTable[[#This Row],[Gross Sale]]-OrdersTable[[#This Row],[Discount Amount]]</f>
        <v>1079.0999999999999</v>
      </c>
      <c r="V2210" s="77">
        <f>INDEX(Products!E:E,MATCH(OrdersTable[[#This Row],[Product ID]],Products!A:A,0))</f>
        <v>492</v>
      </c>
      <c r="W2210" s="77">
        <f>OrdersTable[[#This Row],[Quantity]]*OrdersTable[[#This Row],[Unit Cost]]</f>
        <v>492</v>
      </c>
      <c r="X2210" s="77">
        <f>'Dropdown Lists'!$I$2*(1+OrdersTable[[#This Row],[Returned]])</f>
        <v>60</v>
      </c>
      <c r="Y2210" s="76">
        <f>OrdersTable[[#This Row],[Net Revenue]]-OrdersTable[[#This Row],[COGS]]-OrdersTable[[#This Row],[Shipping Cost]]</f>
        <v>527.09999999999991</v>
      </c>
      <c r="Z2210" s="78">
        <f>IFERROR(OrdersTable[[#This Row],[Profit]]/OrdersTable[[#This Row],[Net Revenue]],0)</f>
        <v>0.48846260772866273</v>
      </c>
      <c r="AA2210" t="s">
        <v>2522</v>
      </c>
      <c r="AB2210" s="79">
        <v>45680</v>
      </c>
      <c r="AC2210">
        <f>OrdersTable[[#This Row],[Delivery Date]]-OrdersTable[[#This Row],[Order Date]]</f>
        <v>7</v>
      </c>
      <c r="AD2210" t="str">
        <f>IF(OrdersTable[[#This Row],[Delivery Days]]&lt;=2, "Express (≤2d)", IF(OrdersTable[[#This Row],[Delivery Days]]&lt;=4, "Standard (3-4d)", "Delayed (5d+)"))</f>
        <v>Delayed (5d+)</v>
      </c>
      <c r="AE2210">
        <v>2</v>
      </c>
      <c r="AF2210">
        <v>0</v>
      </c>
    </row>
    <row r="2211" spans="1:32" ht="15" x14ac:dyDescent="0.35">
      <c r="A2211" t="s">
        <v>3246</v>
      </c>
      <c r="B2211" s="1">
        <v>45673</v>
      </c>
      <c r="C2211">
        <f>YEAR(OrdersTable[[#This Row],[Order Date]])</f>
        <v>2025</v>
      </c>
      <c r="D2211" s="2">
        <f>DATE(YEAR(OrdersTable[[#This Row],[Order Date]]),MONTH(OrdersTable[[#This Row],[Order Date]]),1)</f>
        <v>45658</v>
      </c>
      <c r="E2211">
        <f>MONTH(OrdersTable[[#This Row],[Order Date]])</f>
        <v>1</v>
      </c>
      <c r="F2211" t="s">
        <v>682</v>
      </c>
      <c r="G2211" t="str">
        <f>IF(OrdersTable[[#This Row],[Order Date]]=_xlfn.MINIFS(Order_Date, Customer_ID, OrdersTable[[#This Row],[Customer ID]]), "New", "Repeat")</f>
        <v>New</v>
      </c>
      <c r="H2211" t="s">
        <v>27</v>
      </c>
      <c r="I2211" t="str">
        <f>INDEX(State!B:B,MATCH(OrdersTable[[#This Row],[State]],State!A:A,0))</f>
        <v>WB</v>
      </c>
      <c r="J2211" t="str">
        <f>INDEX(State!C:C,MATCH(OrdersTable[[#This Row],[State Code]],State!B:B,0))</f>
        <v>East</v>
      </c>
      <c r="K2211" t="s">
        <v>28</v>
      </c>
      <c r="L2211" t="s">
        <v>50</v>
      </c>
      <c r="M2211" t="s">
        <v>78</v>
      </c>
      <c r="N2211" t="str">
        <f>INDEX(Products!B:B,MATCH(OrdersTable[[#This Row],[Product ID]],Products!A:A,0))</f>
        <v>Retinol Night Cream</v>
      </c>
      <c r="O2211" t="str">
        <f>INDEX(Products!C:C,MATCH(OrdersTable[[#This Row],[Product ID]],Products!A:A,0))</f>
        <v>Skincare</v>
      </c>
      <c r="P2211">
        <v>1</v>
      </c>
      <c r="Q2211" s="5">
        <v>799</v>
      </c>
      <c r="R2211" s="74">
        <v>0.1</v>
      </c>
      <c r="S2211" s="75">
        <f>OrdersTable[[#This Row],[Quantity]]*OrdersTable[[#This Row],[Unit Price]]</f>
        <v>799</v>
      </c>
      <c r="T2211" s="5">
        <f>OrdersTable[[#This Row],[Gross Sale]]*OrdersTable[[#This Row],[Discount_Clean2]]</f>
        <v>79.900000000000006</v>
      </c>
      <c r="U2211" s="5">
        <f>OrdersTable[[#This Row],[Gross Sale]]-OrdersTable[[#This Row],[Discount Amount]]</f>
        <v>719.1</v>
      </c>
      <c r="V2211" s="77">
        <f>INDEX(Products!E:E,MATCH(OrdersTable[[#This Row],[Product ID]],Products!A:A,0))</f>
        <v>216</v>
      </c>
      <c r="W2211" s="77">
        <f>OrdersTable[[#This Row],[Quantity]]*OrdersTable[[#This Row],[Unit Cost]]</f>
        <v>216</v>
      </c>
      <c r="X2211" s="77">
        <f>'Dropdown Lists'!$I$2*(1+OrdersTable[[#This Row],[Returned]])</f>
        <v>60</v>
      </c>
      <c r="Y2211" s="76">
        <f>OrdersTable[[#This Row],[Net Revenue]]-OrdersTable[[#This Row],[COGS]]-OrdersTable[[#This Row],[Shipping Cost]]</f>
        <v>443.1</v>
      </c>
      <c r="Z2211" s="78">
        <f>IFERROR(OrdersTable[[#This Row],[Profit]]/OrdersTable[[#This Row],[Net Revenue]],0)</f>
        <v>0.61618690029203171</v>
      </c>
      <c r="AA2211" t="s">
        <v>2522</v>
      </c>
      <c r="AB2211" s="79">
        <v>45675</v>
      </c>
      <c r="AC2211">
        <f>OrdersTable[[#This Row],[Delivery Date]]-OrdersTable[[#This Row],[Order Date]]</f>
        <v>2</v>
      </c>
      <c r="AD2211" t="str">
        <f>IF(OrdersTable[[#This Row],[Delivery Days]]&lt;=2, "Express (≤2d)", IF(OrdersTable[[#This Row],[Delivery Days]]&lt;=4, "Standard (3-4d)", "Delayed (5d+)"))</f>
        <v>Express (≤2d)</v>
      </c>
      <c r="AE2211">
        <v>4</v>
      </c>
      <c r="AF2211">
        <v>0</v>
      </c>
    </row>
    <row r="2212" spans="1:32" ht="15" x14ac:dyDescent="0.35">
      <c r="A2212" t="s">
        <v>2350</v>
      </c>
      <c r="B2212" s="1">
        <v>45673</v>
      </c>
      <c r="C2212">
        <f>YEAR(OrdersTable[[#This Row],[Order Date]])</f>
        <v>2025</v>
      </c>
      <c r="D2212" s="2">
        <f>DATE(YEAR(OrdersTable[[#This Row],[Order Date]]),MONTH(OrdersTable[[#This Row],[Order Date]]),1)</f>
        <v>45658</v>
      </c>
      <c r="E2212">
        <f>MONTH(OrdersTable[[#This Row],[Order Date]])</f>
        <v>1</v>
      </c>
      <c r="F2212" t="s">
        <v>2351</v>
      </c>
      <c r="G2212" t="str">
        <f>IF(OrdersTable[[#This Row],[Order Date]]=_xlfn.MINIFS(Order_Date, Customer_ID, OrdersTable[[#This Row],[Customer ID]]), "New", "Repeat")</f>
        <v>New</v>
      </c>
      <c r="H2212" t="s">
        <v>167</v>
      </c>
      <c r="I2212" t="str">
        <f>INDEX(State!B:B,MATCH(OrdersTable[[#This Row],[State]],State!A:A,0))</f>
        <v>KA</v>
      </c>
      <c r="J2212" t="str">
        <f>INDEX(State!C:C,MATCH(OrdersTable[[#This Row],[State Code]],State!B:B,0))</f>
        <v>South</v>
      </c>
      <c r="K2212" t="s">
        <v>168</v>
      </c>
      <c r="L2212" t="s">
        <v>65</v>
      </c>
      <c r="M2212" t="s">
        <v>24</v>
      </c>
      <c r="N2212" t="str">
        <f>INDEX(Products!B:B,MATCH(OrdersTable[[#This Row],[Product ID]],Products!A:A,0))</f>
        <v>Scented Candle Set</v>
      </c>
      <c r="O2212" t="str">
        <f>INDEX(Products!C:C,MATCH(OrdersTable[[#This Row],[Product ID]],Products!A:A,0))</f>
        <v>Home &amp; Kitchen</v>
      </c>
      <c r="P2212">
        <v>1</v>
      </c>
      <c r="Q2212" s="5">
        <v>699</v>
      </c>
      <c r="R2212" s="74">
        <v>0.2</v>
      </c>
      <c r="S2212" s="75">
        <f>OrdersTable[[#This Row],[Quantity]]*OrdersTable[[#This Row],[Unit Price]]</f>
        <v>699</v>
      </c>
      <c r="T2212" s="5">
        <f>OrdersTable[[#This Row],[Gross Sale]]*OrdersTable[[#This Row],[Discount_Clean2]]</f>
        <v>139.80000000000001</v>
      </c>
      <c r="U2212" s="5">
        <f>OrdersTable[[#This Row],[Gross Sale]]-OrdersTable[[#This Row],[Discount Amount]]</f>
        <v>559.20000000000005</v>
      </c>
      <c r="V2212" s="77">
        <f>INDEX(Products!E:E,MATCH(OrdersTable[[#This Row],[Product ID]],Products!A:A,0))</f>
        <v>245</v>
      </c>
      <c r="W2212" s="77">
        <f>OrdersTable[[#This Row],[Quantity]]*OrdersTable[[#This Row],[Unit Cost]]</f>
        <v>245</v>
      </c>
      <c r="X2212" s="77">
        <f>'Dropdown Lists'!$I$2*(1+OrdersTable[[#This Row],[Returned]])</f>
        <v>60</v>
      </c>
      <c r="Y2212" s="76">
        <f>OrdersTable[[#This Row],[Net Revenue]]-OrdersTable[[#This Row],[COGS]]-OrdersTable[[#This Row],[Shipping Cost]]</f>
        <v>254.20000000000005</v>
      </c>
      <c r="Z2212" s="78">
        <f>IFERROR(OrdersTable[[#This Row],[Profit]]/OrdersTable[[#This Row],[Net Revenue]],0)</f>
        <v>0.45457796852646642</v>
      </c>
      <c r="AA2212" t="s">
        <v>18</v>
      </c>
      <c r="AB2212" s="79">
        <v>45674</v>
      </c>
      <c r="AC2212">
        <f>OrdersTable[[#This Row],[Delivery Date]]-OrdersTable[[#This Row],[Order Date]]</f>
        <v>1</v>
      </c>
      <c r="AD2212" t="str">
        <f>IF(OrdersTable[[#This Row],[Delivery Days]]&lt;=2, "Express (≤2d)", IF(OrdersTable[[#This Row],[Delivery Days]]&lt;=4, "Standard (3-4d)", "Delayed (5d+)"))</f>
        <v>Express (≤2d)</v>
      </c>
      <c r="AE2212">
        <v>5</v>
      </c>
      <c r="AF2212">
        <v>0</v>
      </c>
    </row>
    <row r="2213" spans="1:32" ht="15" x14ac:dyDescent="0.35">
      <c r="A2213" t="s">
        <v>5509</v>
      </c>
      <c r="B2213" s="1">
        <v>45674</v>
      </c>
      <c r="C2213">
        <f>YEAR(OrdersTable[[#This Row],[Order Date]])</f>
        <v>2025</v>
      </c>
      <c r="D2213" s="2">
        <f>DATE(YEAR(OrdersTable[[#This Row],[Order Date]]),MONTH(OrdersTable[[#This Row],[Order Date]]),1)</f>
        <v>45658</v>
      </c>
      <c r="E2213">
        <f>MONTH(OrdersTable[[#This Row],[Order Date]])</f>
        <v>1</v>
      </c>
      <c r="F2213" t="s">
        <v>5510</v>
      </c>
      <c r="G2213" t="str">
        <f>IF(OrdersTable[[#This Row],[Order Date]]=_xlfn.MINIFS(Order_Date, Customer_ID, OrdersTable[[#This Row],[Customer ID]]), "New", "Repeat")</f>
        <v>New</v>
      </c>
      <c r="H2213" t="s">
        <v>54</v>
      </c>
      <c r="I2213" t="str">
        <f>INDEX(State!B:B,MATCH(OrdersTable[[#This Row],[State]],State!A:A,0))</f>
        <v>RJ</v>
      </c>
      <c r="J2213" t="str">
        <f>INDEX(State!C:C,MATCH(OrdersTable[[#This Row],[State Code]],State!B:B,0))</f>
        <v>North</v>
      </c>
      <c r="K2213" t="s">
        <v>227</v>
      </c>
      <c r="L2213" t="s">
        <v>65</v>
      </c>
      <c r="M2213" t="s">
        <v>255</v>
      </c>
      <c r="N2213" t="str">
        <f>INDEX(Products!B:B,MATCH(OrdersTable[[#This Row],[Product ID]],Products!A:A,0))</f>
        <v>Cotton Oversized T-Shirt</v>
      </c>
      <c r="O2213" t="str">
        <f>INDEX(Products!C:C,MATCH(OrdersTable[[#This Row],[Product ID]],Products!A:A,0))</f>
        <v>Apparel</v>
      </c>
      <c r="P2213">
        <v>2</v>
      </c>
      <c r="Q2213" s="5">
        <v>799</v>
      </c>
      <c r="R2213" s="74">
        <v>0.05</v>
      </c>
      <c r="S2213" s="75">
        <f>OrdersTable[[#This Row],[Quantity]]*OrdersTable[[#This Row],[Unit Price]]</f>
        <v>1598</v>
      </c>
      <c r="T2213" s="5">
        <f>OrdersTable[[#This Row],[Gross Sale]]*OrdersTable[[#This Row],[Discount_Clean2]]</f>
        <v>79.900000000000006</v>
      </c>
      <c r="U2213" s="5">
        <f>OrdersTable[[#This Row],[Gross Sale]]-OrdersTable[[#This Row],[Discount Amount]]</f>
        <v>1518.1</v>
      </c>
      <c r="V2213" s="77">
        <f>INDEX(Products!E:E,MATCH(OrdersTable[[#This Row],[Product ID]],Products!A:A,0))</f>
        <v>320</v>
      </c>
      <c r="W2213" s="77">
        <f>OrdersTable[[#This Row],[Quantity]]*OrdersTable[[#This Row],[Unit Cost]]</f>
        <v>640</v>
      </c>
      <c r="X2213" s="77">
        <f>'Dropdown Lists'!$I$2*(1+OrdersTable[[#This Row],[Returned]])</f>
        <v>60</v>
      </c>
      <c r="Y2213" s="76">
        <f>OrdersTable[[#This Row],[Net Revenue]]-OrdersTable[[#This Row],[COGS]]-OrdersTable[[#This Row],[Shipping Cost]]</f>
        <v>818.09999999999991</v>
      </c>
      <c r="Z2213" s="78">
        <f>IFERROR(OrdersTable[[#This Row],[Profit]]/OrdersTable[[#This Row],[Net Revenue]],0)</f>
        <v>0.5388973058428298</v>
      </c>
      <c r="AA2213" t="s">
        <v>2522</v>
      </c>
      <c r="AB2213" s="79">
        <v>45676</v>
      </c>
      <c r="AC2213">
        <f>OrdersTable[[#This Row],[Delivery Date]]-OrdersTable[[#This Row],[Order Date]]</f>
        <v>2</v>
      </c>
      <c r="AD2213" t="str">
        <f>IF(OrdersTable[[#This Row],[Delivery Days]]&lt;=2, "Express (≤2d)", IF(OrdersTable[[#This Row],[Delivery Days]]&lt;=4, "Standard (3-4d)", "Delayed (5d+)"))</f>
        <v>Express (≤2d)</v>
      </c>
      <c r="AE2213">
        <v>4</v>
      </c>
      <c r="AF2213">
        <v>0</v>
      </c>
    </row>
    <row r="2214" spans="1:32" ht="15" x14ac:dyDescent="0.35">
      <c r="A2214" t="s">
        <v>6552</v>
      </c>
      <c r="B2214" s="1">
        <v>45674</v>
      </c>
      <c r="C2214">
        <f>YEAR(OrdersTable[[#This Row],[Order Date]])</f>
        <v>2025</v>
      </c>
      <c r="D2214" s="2">
        <f>DATE(YEAR(OrdersTable[[#This Row],[Order Date]]),MONTH(OrdersTable[[#This Row],[Order Date]]),1)</f>
        <v>45658</v>
      </c>
      <c r="E2214">
        <f>MONTH(OrdersTable[[#This Row],[Order Date]])</f>
        <v>1</v>
      </c>
      <c r="F2214" t="s">
        <v>739</v>
      </c>
      <c r="G2214" t="str">
        <f>IF(OrdersTable[[#This Row],[Order Date]]=_xlfn.MINIFS(Order_Date, Customer_ID, OrdersTable[[#This Row],[Customer ID]]), "New", "Repeat")</f>
        <v>Repeat</v>
      </c>
      <c r="H2214" t="s">
        <v>54</v>
      </c>
      <c r="I2214" t="str">
        <f>INDEX(State!B:B,MATCH(OrdersTable[[#This Row],[State]],State!A:A,0))</f>
        <v>RJ</v>
      </c>
      <c r="J2214" t="str">
        <f>INDEX(State!C:C,MATCH(OrdersTable[[#This Row],[State Code]],State!B:B,0))</f>
        <v>North</v>
      </c>
      <c r="K2214" t="s">
        <v>227</v>
      </c>
      <c r="L2214" t="s">
        <v>39</v>
      </c>
      <c r="M2214" t="s">
        <v>66</v>
      </c>
      <c r="N2214" t="str">
        <f>INDEX(Products!B:B,MATCH(OrdersTable[[#This Row],[Product ID]],Products!A:A,0))</f>
        <v>Sunscreen SPF 50</v>
      </c>
      <c r="O2214" t="str">
        <f>INDEX(Products!C:C,MATCH(OrdersTable[[#This Row],[Product ID]],Products!A:A,0))</f>
        <v>Skincare</v>
      </c>
      <c r="P2214">
        <v>3</v>
      </c>
      <c r="Q2214" s="5">
        <v>449</v>
      </c>
      <c r="R2214" s="74">
        <v>0.05</v>
      </c>
      <c r="S2214" s="75">
        <f>OrdersTable[[#This Row],[Quantity]]*OrdersTable[[#This Row],[Unit Price]]</f>
        <v>1347</v>
      </c>
      <c r="T2214" s="5">
        <f>OrdersTable[[#This Row],[Gross Sale]]*OrdersTable[[#This Row],[Discount_Clean2]]</f>
        <v>67.350000000000009</v>
      </c>
      <c r="U2214" s="5">
        <f>OrdersTable[[#This Row],[Gross Sale]]-OrdersTable[[#This Row],[Discount Amount]]</f>
        <v>1279.6500000000001</v>
      </c>
      <c r="V2214" s="77">
        <f>INDEX(Products!E:E,MATCH(OrdersTable[[#This Row],[Product ID]],Products!A:A,0))</f>
        <v>144</v>
      </c>
      <c r="W2214" s="77">
        <f>OrdersTable[[#This Row],[Quantity]]*OrdersTable[[#This Row],[Unit Cost]]</f>
        <v>432</v>
      </c>
      <c r="X2214" s="77">
        <f>'Dropdown Lists'!$I$2*(1+OrdersTable[[#This Row],[Returned]])</f>
        <v>60</v>
      </c>
      <c r="Y2214" s="76">
        <f>OrdersTable[[#This Row],[Net Revenue]]-OrdersTable[[#This Row],[COGS]]-OrdersTable[[#This Row],[Shipping Cost]]</f>
        <v>787.65000000000009</v>
      </c>
      <c r="Z2214" s="78">
        <f>IFERROR(OrdersTable[[#This Row],[Profit]]/OrdersTable[[#This Row],[Net Revenue]],0)</f>
        <v>0.61551986871410158</v>
      </c>
      <c r="AA2214" t="s">
        <v>18</v>
      </c>
      <c r="AB2214" s="79">
        <v>45678</v>
      </c>
      <c r="AC2214">
        <f>OrdersTable[[#This Row],[Delivery Date]]-OrdersTable[[#This Row],[Order Date]]</f>
        <v>4</v>
      </c>
      <c r="AD2214" t="str">
        <f>IF(OrdersTable[[#This Row],[Delivery Days]]&lt;=2, "Express (≤2d)", IF(OrdersTable[[#This Row],[Delivery Days]]&lt;=4, "Standard (3-4d)", "Delayed (5d+)"))</f>
        <v>Standard (3-4d)</v>
      </c>
      <c r="AE2214">
        <v>3</v>
      </c>
      <c r="AF2214">
        <v>0</v>
      </c>
    </row>
    <row r="2215" spans="1:32" ht="15" x14ac:dyDescent="0.35">
      <c r="A2215" t="s">
        <v>6986</v>
      </c>
      <c r="B2215" s="1">
        <v>45674</v>
      </c>
      <c r="C2215">
        <f>YEAR(OrdersTable[[#This Row],[Order Date]])</f>
        <v>2025</v>
      </c>
      <c r="D2215" s="2">
        <f>DATE(YEAR(OrdersTable[[#This Row],[Order Date]]),MONTH(OrdersTable[[#This Row],[Order Date]]),1)</f>
        <v>45658</v>
      </c>
      <c r="E2215">
        <f>MONTH(OrdersTable[[#This Row],[Order Date]])</f>
        <v>1</v>
      </c>
      <c r="F2215" t="s">
        <v>767</v>
      </c>
      <c r="G2215" t="str">
        <f>IF(OrdersTable[[#This Row],[Order Date]]=_xlfn.MINIFS(Order_Date, Customer_ID, OrdersTable[[#This Row],[Customer ID]]), "New", "Repeat")</f>
        <v>Repeat</v>
      </c>
      <c r="H2215" t="s">
        <v>128</v>
      </c>
      <c r="I2215" t="str">
        <f>INDEX(State!B:B,MATCH(OrdersTable[[#This Row],[State]],State!A:A,0))</f>
        <v>DL</v>
      </c>
      <c r="J2215" t="str">
        <f>INDEX(State!C:C,MATCH(OrdersTable[[#This Row],[State Code]],State!B:B,0))</f>
        <v>North</v>
      </c>
      <c r="K2215" t="s">
        <v>129</v>
      </c>
      <c r="L2215" t="s">
        <v>23</v>
      </c>
      <c r="M2215" t="s">
        <v>152</v>
      </c>
      <c r="N2215" t="str">
        <f>INDEX(Products!B:B,MATCH(OrdersTable[[#This Row],[Product ID]],Products!A:A,0))</f>
        <v>Green Tea (100 bags)</v>
      </c>
      <c r="O2215" t="str">
        <f>INDEX(Products!C:C,MATCH(OrdersTable[[#This Row],[Product ID]],Products!A:A,0))</f>
        <v>Wellness</v>
      </c>
      <c r="P2215">
        <v>4</v>
      </c>
      <c r="Q2215" s="5">
        <v>399</v>
      </c>
      <c r="R2215" s="74">
        <v>0.4</v>
      </c>
      <c r="S2215" s="75">
        <f>OrdersTable[[#This Row],[Quantity]]*OrdersTable[[#This Row],[Unit Price]]</f>
        <v>1596</v>
      </c>
      <c r="T2215" s="5">
        <f>OrdersTable[[#This Row],[Gross Sale]]*OrdersTable[[#This Row],[Discount_Clean2]]</f>
        <v>638.40000000000009</v>
      </c>
      <c r="U2215" s="5">
        <f>OrdersTable[[#This Row],[Gross Sale]]-OrdersTable[[#This Row],[Discount Amount]]</f>
        <v>957.59999999999991</v>
      </c>
      <c r="V2215" s="77">
        <f>INDEX(Products!E:E,MATCH(OrdersTable[[#This Row],[Product ID]],Products!A:A,0))</f>
        <v>128</v>
      </c>
      <c r="W2215" s="77">
        <f>OrdersTable[[#This Row],[Quantity]]*OrdersTable[[#This Row],[Unit Cost]]</f>
        <v>512</v>
      </c>
      <c r="X2215" s="77">
        <f>'Dropdown Lists'!$I$2*(1+OrdersTable[[#This Row],[Returned]])</f>
        <v>60</v>
      </c>
      <c r="Y2215" s="76">
        <f>OrdersTable[[#This Row],[Net Revenue]]-OrdersTable[[#This Row],[COGS]]-OrdersTable[[#This Row],[Shipping Cost]]</f>
        <v>385.59999999999991</v>
      </c>
      <c r="Z2215" s="78">
        <f>IFERROR(OrdersTable[[#This Row],[Profit]]/OrdersTable[[#This Row],[Net Revenue]],0)</f>
        <v>0.40267335004177102</v>
      </c>
      <c r="AA2215" t="s">
        <v>4074</v>
      </c>
      <c r="AB2215" s="79">
        <v>45676</v>
      </c>
      <c r="AC2215">
        <f>OrdersTable[[#This Row],[Delivery Date]]-OrdersTable[[#This Row],[Order Date]]</f>
        <v>2</v>
      </c>
      <c r="AD2215" t="str">
        <f>IF(OrdersTable[[#This Row],[Delivery Days]]&lt;=2, "Express (≤2d)", IF(OrdersTable[[#This Row],[Delivery Days]]&lt;=4, "Standard (3-4d)", "Delayed (5d+)"))</f>
        <v>Express (≤2d)</v>
      </c>
      <c r="AE2215">
        <v>4</v>
      </c>
      <c r="AF2215">
        <v>0</v>
      </c>
    </row>
    <row r="2216" spans="1:32" ht="15" x14ac:dyDescent="0.35">
      <c r="A2216" t="s">
        <v>4592</v>
      </c>
      <c r="B2216" s="1">
        <v>45674</v>
      </c>
      <c r="C2216">
        <f>YEAR(OrdersTable[[#This Row],[Order Date]])</f>
        <v>2025</v>
      </c>
      <c r="D2216" s="2">
        <f>DATE(YEAR(OrdersTable[[#This Row],[Order Date]]),MONTH(OrdersTable[[#This Row],[Order Date]]),1)</f>
        <v>45658</v>
      </c>
      <c r="E2216">
        <f>MONTH(OrdersTable[[#This Row],[Order Date]])</f>
        <v>1</v>
      </c>
      <c r="F2216" t="s">
        <v>4593</v>
      </c>
      <c r="G2216" t="str">
        <f>IF(OrdersTable[[#This Row],[Order Date]]=_xlfn.MINIFS(Order_Date, Customer_ID, OrdersTable[[#This Row],[Customer ID]]), "New", "Repeat")</f>
        <v>New</v>
      </c>
      <c r="H2216" t="s">
        <v>128</v>
      </c>
      <c r="I2216" t="str">
        <f>INDEX(State!B:B,MATCH(OrdersTable[[#This Row],[State]],State!A:A,0))</f>
        <v>DL</v>
      </c>
      <c r="J2216" t="str">
        <f>INDEX(State!C:C,MATCH(OrdersTable[[#This Row],[State Code]],State!B:B,0))</f>
        <v>North</v>
      </c>
      <c r="K2216" t="s">
        <v>129</v>
      </c>
      <c r="L2216" t="s">
        <v>23</v>
      </c>
      <c r="M2216" t="s">
        <v>66</v>
      </c>
      <c r="N2216" t="str">
        <f>INDEX(Products!B:B,MATCH(OrdersTable[[#This Row],[Product ID]],Products!A:A,0))</f>
        <v>Sunscreen SPF 50</v>
      </c>
      <c r="O2216" t="str">
        <f>INDEX(Products!C:C,MATCH(OrdersTable[[#This Row],[Product ID]],Products!A:A,0))</f>
        <v>Skincare</v>
      </c>
      <c r="P2216">
        <v>1</v>
      </c>
      <c r="Q2216" s="5">
        <v>449</v>
      </c>
      <c r="R2216" s="74">
        <v>0.15</v>
      </c>
      <c r="S2216" s="75">
        <f>OrdersTable[[#This Row],[Quantity]]*OrdersTable[[#This Row],[Unit Price]]</f>
        <v>449</v>
      </c>
      <c r="T2216" s="5">
        <f>OrdersTable[[#This Row],[Gross Sale]]*OrdersTable[[#This Row],[Discount_Clean2]]</f>
        <v>67.349999999999994</v>
      </c>
      <c r="U2216" s="5">
        <f>OrdersTable[[#This Row],[Gross Sale]]-OrdersTable[[#This Row],[Discount Amount]]</f>
        <v>381.65</v>
      </c>
      <c r="V2216" s="77">
        <f>INDEX(Products!E:E,MATCH(OrdersTable[[#This Row],[Product ID]],Products!A:A,0))</f>
        <v>144</v>
      </c>
      <c r="W2216" s="77">
        <f>OrdersTable[[#This Row],[Quantity]]*OrdersTable[[#This Row],[Unit Cost]]</f>
        <v>144</v>
      </c>
      <c r="X2216" s="77">
        <f>'Dropdown Lists'!$I$2*(1+OrdersTable[[#This Row],[Returned]])</f>
        <v>60</v>
      </c>
      <c r="Y2216" s="76">
        <f>OrdersTable[[#This Row],[Net Revenue]]-OrdersTable[[#This Row],[COGS]]-OrdersTable[[#This Row],[Shipping Cost]]</f>
        <v>177.64999999999998</v>
      </c>
      <c r="Z2216" s="78">
        <f>IFERROR(OrdersTable[[#This Row],[Profit]]/OrdersTable[[#This Row],[Net Revenue]],0)</f>
        <v>0.465478841870824</v>
      </c>
      <c r="AA2216" t="s">
        <v>4450</v>
      </c>
      <c r="AB2216" s="79">
        <v>45676</v>
      </c>
      <c r="AC2216">
        <f>OrdersTable[[#This Row],[Delivery Date]]-OrdersTable[[#This Row],[Order Date]]</f>
        <v>2</v>
      </c>
      <c r="AD2216" t="str">
        <f>IF(OrdersTable[[#This Row],[Delivery Days]]&lt;=2, "Express (≤2d)", IF(OrdersTable[[#This Row],[Delivery Days]]&lt;=4, "Standard (3-4d)", "Delayed (5d+)"))</f>
        <v>Express (≤2d)</v>
      </c>
      <c r="AF2216">
        <v>0</v>
      </c>
    </row>
    <row r="2217" spans="1:32" ht="15" x14ac:dyDescent="0.35">
      <c r="A2217" t="s">
        <v>2776</v>
      </c>
      <c r="B2217" s="1">
        <v>45674</v>
      </c>
      <c r="C2217">
        <f>YEAR(OrdersTable[[#This Row],[Order Date]])</f>
        <v>2025</v>
      </c>
      <c r="D2217" s="2">
        <f>DATE(YEAR(OrdersTable[[#This Row],[Order Date]]),MONTH(OrdersTable[[#This Row],[Order Date]]),1)</f>
        <v>45658</v>
      </c>
      <c r="E2217">
        <f>MONTH(OrdersTable[[#This Row],[Order Date]])</f>
        <v>1</v>
      </c>
      <c r="F2217" t="s">
        <v>2777</v>
      </c>
      <c r="G2217" t="str">
        <f>IF(OrdersTable[[#This Row],[Order Date]]=_xlfn.MINIFS(Order_Date, Customer_ID, OrdersTable[[#This Row],[Customer ID]]), "New", "Repeat")</f>
        <v>New</v>
      </c>
      <c r="H2217" t="s">
        <v>76</v>
      </c>
      <c r="I2217" t="str">
        <f>INDEX(State!B:B,MATCH(OrdersTable[[#This Row],[State]],State!A:A,0))</f>
        <v>UP</v>
      </c>
      <c r="J2217" t="str">
        <f>INDEX(State!C:C,MATCH(OrdersTable[[#This Row],[State Code]],State!B:B,0))</f>
        <v>North</v>
      </c>
      <c r="K2217" t="s">
        <v>105</v>
      </c>
      <c r="L2217" t="s">
        <v>50</v>
      </c>
      <c r="M2217" t="s">
        <v>66</v>
      </c>
      <c r="N2217" t="str">
        <f>INDEX(Products!B:B,MATCH(OrdersTable[[#This Row],[Product ID]],Products!A:A,0))</f>
        <v>Sunscreen SPF 50</v>
      </c>
      <c r="O2217" t="str">
        <f>INDEX(Products!C:C,MATCH(OrdersTable[[#This Row],[Product ID]],Products!A:A,0))</f>
        <v>Skincare</v>
      </c>
      <c r="P2217">
        <v>1</v>
      </c>
      <c r="Q2217" s="5">
        <v>449</v>
      </c>
      <c r="R2217" s="74">
        <v>0</v>
      </c>
      <c r="S2217" s="75">
        <f>OrdersTable[[#This Row],[Quantity]]*OrdersTable[[#This Row],[Unit Price]]</f>
        <v>449</v>
      </c>
      <c r="T2217" s="5">
        <f>OrdersTable[[#This Row],[Gross Sale]]*OrdersTable[[#This Row],[Discount_Clean2]]</f>
        <v>0</v>
      </c>
      <c r="U2217" s="5">
        <f>OrdersTable[[#This Row],[Gross Sale]]-OrdersTable[[#This Row],[Discount Amount]]</f>
        <v>449</v>
      </c>
      <c r="V2217" s="77">
        <f>INDEX(Products!E:E,MATCH(OrdersTable[[#This Row],[Product ID]],Products!A:A,0))</f>
        <v>144</v>
      </c>
      <c r="W2217" s="77">
        <f>OrdersTable[[#This Row],[Quantity]]*OrdersTable[[#This Row],[Unit Cost]]</f>
        <v>144</v>
      </c>
      <c r="X2217" s="77">
        <f>'Dropdown Lists'!$I$2*(1+OrdersTable[[#This Row],[Returned]])</f>
        <v>60</v>
      </c>
      <c r="Y2217" s="76">
        <f>OrdersTable[[#This Row],[Net Revenue]]-OrdersTable[[#This Row],[COGS]]-OrdersTable[[#This Row],[Shipping Cost]]</f>
        <v>245</v>
      </c>
      <c r="Z2217" s="78">
        <f>IFERROR(OrdersTable[[#This Row],[Profit]]/OrdersTable[[#This Row],[Net Revenue]],0)</f>
        <v>0.54565701559020041</v>
      </c>
      <c r="AA2217" t="s">
        <v>2522</v>
      </c>
      <c r="AB2217" s="79">
        <v>45677</v>
      </c>
      <c r="AC2217">
        <f>OrdersTable[[#This Row],[Delivery Date]]-OrdersTable[[#This Row],[Order Date]]</f>
        <v>3</v>
      </c>
      <c r="AD2217" t="str">
        <f>IF(OrdersTable[[#This Row],[Delivery Days]]&lt;=2, "Express (≤2d)", IF(OrdersTable[[#This Row],[Delivery Days]]&lt;=4, "Standard (3-4d)", "Delayed (5d+)"))</f>
        <v>Standard (3-4d)</v>
      </c>
      <c r="AE2217">
        <v>3</v>
      </c>
      <c r="AF2217">
        <v>0</v>
      </c>
    </row>
    <row r="2218" spans="1:32" ht="15" x14ac:dyDescent="0.35">
      <c r="A2218" t="s">
        <v>5925</v>
      </c>
      <c r="B2218" s="1">
        <v>45674</v>
      </c>
      <c r="C2218">
        <f>YEAR(OrdersTable[[#This Row],[Order Date]])</f>
        <v>2025</v>
      </c>
      <c r="D2218" s="2">
        <f>DATE(YEAR(OrdersTable[[#This Row],[Order Date]]),MONTH(OrdersTable[[#This Row],[Order Date]]),1)</f>
        <v>45658</v>
      </c>
      <c r="E2218">
        <f>MONTH(OrdersTable[[#This Row],[Order Date]])</f>
        <v>1</v>
      </c>
      <c r="F2218" t="s">
        <v>2401</v>
      </c>
      <c r="G2218" t="str">
        <f>IF(OrdersTable[[#This Row],[Order Date]]=_xlfn.MINIFS(Order_Date, Customer_ID, OrdersTable[[#This Row],[Customer ID]]), "New", "Repeat")</f>
        <v>Repeat</v>
      </c>
      <c r="H2218" t="s">
        <v>37</v>
      </c>
      <c r="I2218" t="str">
        <f>INDEX(State!B:B,MATCH(OrdersTable[[#This Row],[State]],State!A:A,0))</f>
        <v>GJ</v>
      </c>
      <c r="J2218" t="str">
        <f>INDEX(State!C:C,MATCH(OrdersTable[[#This Row],[State Code]],State!B:B,0))</f>
        <v>West</v>
      </c>
      <c r="K2218" t="s">
        <v>247</v>
      </c>
      <c r="L2218" t="s">
        <v>39</v>
      </c>
      <c r="M2218" t="s">
        <v>40</v>
      </c>
      <c r="N2218" t="str">
        <f>INDEX(Products!B:B,MATCH(OrdersTable[[#This Row],[Product ID]],Products!A:A,0))</f>
        <v>Ashwagandha Capsules</v>
      </c>
      <c r="O2218" t="str">
        <f>INDEX(Products!C:C,MATCH(OrdersTable[[#This Row],[Product ID]],Products!A:A,0))</f>
        <v>Wellness</v>
      </c>
      <c r="P2218">
        <v>2</v>
      </c>
      <c r="Q2218" s="5">
        <v>499</v>
      </c>
      <c r="R2218" s="74">
        <v>0</v>
      </c>
      <c r="S2218" s="75">
        <f>OrdersTable[[#This Row],[Quantity]]*OrdersTable[[#This Row],[Unit Price]]</f>
        <v>998</v>
      </c>
      <c r="T2218" s="5">
        <f>OrdersTable[[#This Row],[Gross Sale]]*OrdersTable[[#This Row],[Discount_Clean2]]</f>
        <v>0</v>
      </c>
      <c r="U2218" s="5">
        <f>OrdersTable[[#This Row],[Gross Sale]]-OrdersTable[[#This Row],[Discount Amount]]</f>
        <v>998</v>
      </c>
      <c r="V2218" s="77">
        <f>INDEX(Products!E:E,MATCH(OrdersTable[[#This Row],[Product ID]],Products!A:A,0))</f>
        <v>150</v>
      </c>
      <c r="W2218" s="77">
        <f>OrdersTable[[#This Row],[Quantity]]*OrdersTable[[#This Row],[Unit Cost]]</f>
        <v>300</v>
      </c>
      <c r="X2218" s="77">
        <f>'Dropdown Lists'!$I$2*(1+OrdersTable[[#This Row],[Returned]])</f>
        <v>60</v>
      </c>
      <c r="Y2218" s="76">
        <f>OrdersTable[[#This Row],[Net Revenue]]-OrdersTable[[#This Row],[COGS]]-OrdersTable[[#This Row],[Shipping Cost]]</f>
        <v>638</v>
      </c>
      <c r="Z2218" s="78">
        <f>IFERROR(OrdersTable[[#This Row],[Profit]]/OrdersTable[[#This Row],[Net Revenue]],0)</f>
        <v>0.63927855711422843</v>
      </c>
      <c r="AA2218" t="s">
        <v>18</v>
      </c>
      <c r="AB2218" s="79">
        <v>45679</v>
      </c>
      <c r="AC2218">
        <f>OrdersTable[[#This Row],[Delivery Date]]-OrdersTable[[#This Row],[Order Date]]</f>
        <v>5</v>
      </c>
      <c r="AD2218" t="str">
        <f>IF(OrdersTable[[#This Row],[Delivery Days]]&lt;=2, "Express (≤2d)", IF(OrdersTable[[#This Row],[Delivery Days]]&lt;=4, "Standard (3-4d)", "Delayed (5d+)"))</f>
        <v>Delayed (5d+)</v>
      </c>
      <c r="AF2218">
        <v>0</v>
      </c>
    </row>
    <row r="2219" spans="1:32" ht="15" x14ac:dyDescent="0.35">
      <c r="A2219" t="s">
        <v>4975</v>
      </c>
      <c r="B2219" s="1">
        <v>45674</v>
      </c>
      <c r="C2219">
        <f>YEAR(OrdersTable[[#This Row],[Order Date]])</f>
        <v>2025</v>
      </c>
      <c r="D2219" s="2">
        <f>DATE(YEAR(OrdersTable[[#This Row],[Order Date]]),MONTH(OrdersTable[[#This Row],[Order Date]]),1)</f>
        <v>45658</v>
      </c>
      <c r="E2219">
        <f>MONTH(OrdersTable[[#This Row],[Order Date]])</f>
        <v>1</v>
      </c>
      <c r="F2219" t="s">
        <v>4976</v>
      </c>
      <c r="G2219" t="str">
        <f>IF(OrdersTable[[#This Row],[Order Date]]=_xlfn.MINIFS(Order_Date, Customer_ID, OrdersTable[[#This Row],[Customer ID]]), "New", "Repeat")</f>
        <v>Repeat</v>
      </c>
      <c r="H2219" t="s">
        <v>123</v>
      </c>
      <c r="I2219" t="str">
        <f>INDEX(State!B:B,MATCH(OrdersTable[[#This Row],[State]],State!A:A,0))</f>
        <v>JH</v>
      </c>
      <c r="J2219" t="str">
        <f>INDEX(State!C:C,MATCH(OrdersTable[[#This Row],[State Code]],State!B:B,0))</f>
        <v>East</v>
      </c>
      <c r="K2219" t="s">
        <v>124</v>
      </c>
      <c r="L2219" t="s">
        <v>23</v>
      </c>
      <c r="M2219" t="s">
        <v>51</v>
      </c>
      <c r="N2219" t="str">
        <f>INDEX(Products!B:B,MATCH(OrdersTable[[#This Row],[Product ID]],Products!A:A,0))</f>
        <v>Anti-Dandruff Conditioner</v>
      </c>
      <c r="O2219" t="str">
        <f>INDEX(Products!C:C,MATCH(OrdersTable[[#This Row],[Product ID]],Products!A:A,0))</f>
        <v>Haircare</v>
      </c>
      <c r="P2219">
        <v>2</v>
      </c>
      <c r="Q2219" s="5">
        <v>399</v>
      </c>
      <c r="R2219" s="74">
        <v>0.35</v>
      </c>
      <c r="S2219" s="75">
        <f>OrdersTable[[#This Row],[Quantity]]*OrdersTable[[#This Row],[Unit Price]]</f>
        <v>798</v>
      </c>
      <c r="T2219" s="5">
        <f>OrdersTable[[#This Row],[Gross Sale]]*OrdersTable[[#This Row],[Discount_Clean2]]</f>
        <v>279.29999999999995</v>
      </c>
      <c r="U2219" s="5">
        <f>OrdersTable[[#This Row],[Gross Sale]]-OrdersTable[[#This Row],[Discount Amount]]</f>
        <v>518.70000000000005</v>
      </c>
      <c r="V2219" s="77">
        <f>INDEX(Products!E:E,MATCH(OrdersTable[[#This Row],[Product ID]],Products!A:A,0))</f>
        <v>136</v>
      </c>
      <c r="W2219" s="77">
        <f>OrdersTable[[#This Row],[Quantity]]*OrdersTable[[#This Row],[Unit Cost]]</f>
        <v>272</v>
      </c>
      <c r="X2219" s="77">
        <f>'Dropdown Lists'!$I$2*(1+OrdersTable[[#This Row],[Returned]])</f>
        <v>60</v>
      </c>
      <c r="Y2219" s="76">
        <f>OrdersTable[[#This Row],[Net Revenue]]-OrdersTable[[#This Row],[COGS]]-OrdersTable[[#This Row],[Shipping Cost]]</f>
        <v>186.70000000000005</v>
      </c>
      <c r="Z2219" s="78">
        <f>IFERROR(OrdersTable[[#This Row],[Profit]]/OrdersTable[[#This Row],[Net Revenue]],0)</f>
        <v>0.35993830730672843</v>
      </c>
      <c r="AA2219" t="s">
        <v>4074</v>
      </c>
      <c r="AB2219" s="79">
        <v>45679</v>
      </c>
      <c r="AC2219">
        <f>OrdersTable[[#This Row],[Delivery Date]]-OrdersTable[[#This Row],[Order Date]]</f>
        <v>5</v>
      </c>
      <c r="AD2219" t="str">
        <f>IF(OrdersTable[[#This Row],[Delivery Days]]&lt;=2, "Express (≤2d)", IF(OrdersTable[[#This Row],[Delivery Days]]&lt;=4, "Standard (3-4d)", "Delayed (5d+)"))</f>
        <v>Delayed (5d+)</v>
      </c>
      <c r="AF2219">
        <v>0</v>
      </c>
    </row>
    <row r="2220" spans="1:32" ht="15" x14ac:dyDescent="0.35">
      <c r="A2220" t="s">
        <v>2352</v>
      </c>
      <c r="B2220" s="1">
        <v>45674</v>
      </c>
      <c r="C2220">
        <f>YEAR(OrdersTable[[#This Row],[Order Date]])</f>
        <v>2025</v>
      </c>
      <c r="D2220" s="2">
        <f>DATE(YEAR(OrdersTable[[#This Row],[Order Date]]),MONTH(OrdersTable[[#This Row],[Order Date]]),1)</f>
        <v>45658</v>
      </c>
      <c r="E2220">
        <f>MONTH(OrdersTable[[#This Row],[Order Date]])</f>
        <v>1</v>
      </c>
      <c r="F2220" t="s">
        <v>2353</v>
      </c>
      <c r="G2220" t="str">
        <f>IF(OrdersTable[[#This Row],[Order Date]]=_xlfn.MINIFS(Order_Date, Customer_ID, OrdersTable[[#This Row],[Customer ID]]), "New", "Repeat")</f>
        <v>New</v>
      </c>
      <c r="H2220" t="s">
        <v>71</v>
      </c>
      <c r="I2220" t="str">
        <f>INDEX(State!B:B,MATCH(OrdersTable[[#This Row],[State]],State!A:A,0))</f>
        <v>MH</v>
      </c>
      <c r="J2220" t="str">
        <f>INDEX(State!C:C,MATCH(OrdersTable[[#This Row],[State Code]],State!B:B,0))</f>
        <v>West</v>
      </c>
      <c r="K2220" t="s">
        <v>72</v>
      </c>
      <c r="L2220" t="s">
        <v>23</v>
      </c>
      <c r="M2220" t="s">
        <v>45</v>
      </c>
      <c r="N2220" t="str">
        <f>INDEX(Products!B:B,MATCH(OrdersTable[[#This Row],[Product ID]],Products!A:A,0))</f>
        <v>Argan Shampoo</v>
      </c>
      <c r="O2220" t="str">
        <f>INDEX(Products!C:C,MATCH(OrdersTable[[#This Row],[Product ID]],Products!A:A,0))</f>
        <v>Haircare</v>
      </c>
      <c r="P2220">
        <v>1</v>
      </c>
      <c r="Q2220" s="5">
        <v>449</v>
      </c>
      <c r="R2220" s="74">
        <v>0.15</v>
      </c>
      <c r="S2220" s="75">
        <f>OrdersTable[[#This Row],[Quantity]]*OrdersTable[[#This Row],[Unit Price]]</f>
        <v>449</v>
      </c>
      <c r="T2220" s="5">
        <f>OrdersTable[[#This Row],[Gross Sale]]*OrdersTable[[#This Row],[Discount_Clean2]]</f>
        <v>67.349999999999994</v>
      </c>
      <c r="U2220" s="5">
        <f>OrdersTable[[#This Row],[Gross Sale]]-OrdersTable[[#This Row],[Discount Amount]]</f>
        <v>381.65</v>
      </c>
      <c r="V2220" s="77">
        <f>INDEX(Products!E:E,MATCH(OrdersTable[[#This Row],[Product ID]],Products!A:A,0))</f>
        <v>148</v>
      </c>
      <c r="W2220" s="77">
        <f>OrdersTable[[#This Row],[Quantity]]*OrdersTable[[#This Row],[Unit Cost]]</f>
        <v>148</v>
      </c>
      <c r="X2220" s="77">
        <f>'Dropdown Lists'!$I$2*(1+OrdersTable[[#This Row],[Returned]])</f>
        <v>60</v>
      </c>
      <c r="Y2220" s="76">
        <f>OrdersTable[[#This Row],[Net Revenue]]-OrdersTable[[#This Row],[COGS]]-OrdersTable[[#This Row],[Shipping Cost]]</f>
        <v>173.64999999999998</v>
      </c>
      <c r="Z2220" s="78">
        <f>IFERROR(OrdersTable[[#This Row],[Profit]]/OrdersTable[[#This Row],[Net Revenue]],0)</f>
        <v>0.45499803484868334</v>
      </c>
      <c r="AA2220" t="s">
        <v>18</v>
      </c>
      <c r="AB2220" s="79">
        <v>45675</v>
      </c>
      <c r="AC2220">
        <f>OrdersTable[[#This Row],[Delivery Date]]-OrdersTable[[#This Row],[Order Date]]</f>
        <v>1</v>
      </c>
      <c r="AD2220" t="str">
        <f>IF(OrdersTable[[#This Row],[Delivery Days]]&lt;=2, "Express (≤2d)", IF(OrdersTable[[#This Row],[Delivery Days]]&lt;=4, "Standard (3-4d)", "Delayed (5d+)"))</f>
        <v>Express (≤2d)</v>
      </c>
      <c r="AE2220">
        <v>5</v>
      </c>
      <c r="AF2220">
        <v>0</v>
      </c>
    </row>
    <row r="2221" spans="1:32" ht="15" x14ac:dyDescent="0.35">
      <c r="A2221" t="s">
        <v>4119</v>
      </c>
      <c r="B2221" s="1">
        <v>45674</v>
      </c>
      <c r="C2221">
        <f>YEAR(OrdersTable[[#This Row],[Order Date]])</f>
        <v>2025</v>
      </c>
      <c r="D2221" s="2">
        <f>DATE(YEAR(OrdersTable[[#This Row],[Order Date]]),MONTH(OrdersTable[[#This Row],[Order Date]]),1)</f>
        <v>45658</v>
      </c>
      <c r="E2221">
        <f>MONTH(OrdersTable[[#This Row],[Order Date]])</f>
        <v>1</v>
      </c>
      <c r="F2221" t="s">
        <v>4120</v>
      </c>
      <c r="G2221" t="str">
        <f>IF(OrdersTable[[#This Row],[Order Date]]=_xlfn.MINIFS(Order_Date, Customer_ID, OrdersTable[[#This Row],[Customer ID]]), "New", "Repeat")</f>
        <v>New</v>
      </c>
      <c r="H2221" t="s">
        <v>316</v>
      </c>
      <c r="I2221" t="str">
        <f>INDEX(State!B:B,MATCH(OrdersTable[[#This Row],[State]],State!A:A,0))</f>
        <v>KL</v>
      </c>
      <c r="J2221" t="str">
        <f>INDEX(State!C:C,MATCH(OrdersTable[[#This Row],[State Code]],State!B:B,0))</f>
        <v>South</v>
      </c>
      <c r="K2221" t="s">
        <v>338</v>
      </c>
      <c r="L2221" t="s">
        <v>16</v>
      </c>
      <c r="M2221" t="s">
        <v>576</v>
      </c>
      <c r="N2221" t="str">
        <f>INDEX(Products!B:B,MATCH(OrdersTable[[#This Row],[Product ID]],Products!A:A,0))</f>
        <v>Printed Saree</v>
      </c>
      <c r="O2221" t="str">
        <f>INDEX(Products!C:C,MATCH(OrdersTable[[#This Row],[Product ID]],Products!A:A,0))</f>
        <v>Apparel</v>
      </c>
      <c r="P2221">
        <v>1</v>
      </c>
      <c r="Q2221" s="5">
        <v>1999</v>
      </c>
      <c r="R2221" s="74">
        <v>0.15</v>
      </c>
      <c r="S2221" s="75">
        <f>OrdersTable[[#This Row],[Quantity]]*OrdersTable[[#This Row],[Unit Price]]</f>
        <v>1999</v>
      </c>
      <c r="T2221" s="5">
        <f>OrdersTable[[#This Row],[Gross Sale]]*OrdersTable[[#This Row],[Discount_Clean2]]</f>
        <v>299.84999999999997</v>
      </c>
      <c r="U2221" s="5">
        <f>OrdersTable[[#This Row],[Gross Sale]]-OrdersTable[[#This Row],[Discount Amount]]</f>
        <v>1699.15</v>
      </c>
      <c r="V2221" s="77">
        <f>INDEX(Products!E:E,MATCH(OrdersTable[[#This Row],[Product ID]],Products!A:A,0))</f>
        <v>880</v>
      </c>
      <c r="W2221" s="77">
        <f>OrdersTable[[#This Row],[Quantity]]*OrdersTable[[#This Row],[Unit Cost]]</f>
        <v>880</v>
      </c>
      <c r="X2221" s="77">
        <f>'Dropdown Lists'!$I$2*(1+OrdersTable[[#This Row],[Returned]])</f>
        <v>120</v>
      </c>
      <c r="Y2221" s="76">
        <f>OrdersTable[[#This Row],[Net Revenue]]-OrdersTable[[#This Row],[COGS]]-OrdersTable[[#This Row],[Shipping Cost]]</f>
        <v>699.15000000000009</v>
      </c>
      <c r="Z2221" s="78">
        <f>IFERROR(OrdersTable[[#This Row],[Profit]]/OrdersTable[[#This Row],[Net Revenue]],0)</f>
        <v>0.41147044110290443</v>
      </c>
      <c r="AA2221" t="s">
        <v>4074</v>
      </c>
      <c r="AB2221" s="79">
        <v>45676</v>
      </c>
      <c r="AC2221">
        <f>OrdersTable[[#This Row],[Delivery Date]]-OrdersTable[[#This Row],[Order Date]]</f>
        <v>2</v>
      </c>
      <c r="AD2221" t="str">
        <f>IF(OrdersTable[[#This Row],[Delivery Days]]&lt;=2, "Express (≤2d)", IF(OrdersTable[[#This Row],[Delivery Days]]&lt;=4, "Standard (3-4d)", "Delayed (5d+)"))</f>
        <v>Express (≤2d)</v>
      </c>
      <c r="AE2221">
        <v>5</v>
      </c>
      <c r="AF2221">
        <v>1</v>
      </c>
    </row>
    <row r="2222" spans="1:32" ht="15" x14ac:dyDescent="0.35">
      <c r="A2222" t="s">
        <v>2525</v>
      </c>
      <c r="B2222" s="1">
        <v>45675</v>
      </c>
      <c r="C2222">
        <f>YEAR(OrdersTable[[#This Row],[Order Date]])</f>
        <v>2025</v>
      </c>
      <c r="D2222" s="2">
        <f>DATE(YEAR(OrdersTable[[#This Row],[Order Date]]),MONTH(OrdersTable[[#This Row],[Order Date]]),1)</f>
        <v>45658</v>
      </c>
      <c r="E2222">
        <f>MONTH(OrdersTable[[#This Row],[Order Date]])</f>
        <v>1</v>
      </c>
      <c r="F2222" t="s">
        <v>1571</v>
      </c>
      <c r="G2222" t="str">
        <f>IF(OrdersTable[[#This Row],[Order Date]]=_xlfn.MINIFS(Order_Date, Customer_ID, OrdersTable[[#This Row],[Customer ID]]), "New", "Repeat")</f>
        <v>Repeat</v>
      </c>
      <c r="H2222" t="s">
        <v>210</v>
      </c>
      <c r="I2222" t="str">
        <f>INDEX(State!B:B,MATCH(OrdersTable[[#This Row],[State]],State!A:A,0))</f>
        <v>JK</v>
      </c>
      <c r="J2222" t="str">
        <f>INDEX(State!C:C,MATCH(OrdersTable[[#This Row],[State Code]],State!B:B,0))</f>
        <v>North</v>
      </c>
      <c r="K2222" t="s">
        <v>211</v>
      </c>
      <c r="L2222" t="s">
        <v>65</v>
      </c>
      <c r="M2222" t="s">
        <v>24</v>
      </c>
      <c r="N2222" t="str">
        <f>INDEX(Products!B:B,MATCH(OrdersTable[[#This Row],[Product ID]],Products!A:A,0))</f>
        <v>Scented Candle Set</v>
      </c>
      <c r="O2222" t="str">
        <f>INDEX(Products!C:C,MATCH(OrdersTable[[#This Row],[Product ID]],Products!A:A,0))</f>
        <v>Home &amp; Kitchen</v>
      </c>
      <c r="P2222">
        <v>1</v>
      </c>
      <c r="Q2222" s="5">
        <v>699</v>
      </c>
      <c r="R2222" s="74">
        <v>0.25</v>
      </c>
      <c r="S2222" s="75">
        <f>OrdersTable[[#This Row],[Quantity]]*OrdersTable[[#This Row],[Unit Price]]</f>
        <v>699</v>
      </c>
      <c r="T2222" s="5">
        <f>OrdersTable[[#This Row],[Gross Sale]]*OrdersTable[[#This Row],[Discount_Clean2]]</f>
        <v>174.75</v>
      </c>
      <c r="U2222" s="5">
        <f>OrdersTable[[#This Row],[Gross Sale]]-OrdersTable[[#This Row],[Discount Amount]]</f>
        <v>524.25</v>
      </c>
      <c r="V2222" s="77">
        <f>INDEX(Products!E:E,MATCH(OrdersTable[[#This Row],[Product ID]],Products!A:A,0))</f>
        <v>245</v>
      </c>
      <c r="W2222" s="77">
        <f>OrdersTable[[#This Row],[Quantity]]*OrdersTable[[#This Row],[Unit Cost]]</f>
        <v>245</v>
      </c>
      <c r="X2222" s="77">
        <f>'Dropdown Lists'!$I$2*(1+OrdersTable[[#This Row],[Returned]])</f>
        <v>60</v>
      </c>
      <c r="Y2222" s="76">
        <f>OrdersTable[[#This Row],[Net Revenue]]-OrdersTable[[#This Row],[COGS]]-OrdersTable[[#This Row],[Shipping Cost]]</f>
        <v>219.25</v>
      </c>
      <c r="Z2222" s="78">
        <f>IFERROR(OrdersTable[[#This Row],[Profit]]/OrdersTable[[#This Row],[Net Revenue]],0)</f>
        <v>0.41821649976156416</v>
      </c>
      <c r="AA2222" t="s">
        <v>2522</v>
      </c>
      <c r="AB2222" s="79">
        <v>45682</v>
      </c>
      <c r="AC2222">
        <f>OrdersTable[[#This Row],[Delivery Date]]-OrdersTable[[#This Row],[Order Date]]</f>
        <v>7</v>
      </c>
      <c r="AD2222" t="str">
        <f>IF(OrdersTable[[#This Row],[Delivery Days]]&lt;=2, "Express (≤2d)", IF(OrdersTable[[#This Row],[Delivery Days]]&lt;=4, "Standard (3-4d)", "Delayed (5d+)"))</f>
        <v>Delayed (5d+)</v>
      </c>
      <c r="AE2222">
        <v>2</v>
      </c>
      <c r="AF2222">
        <v>0</v>
      </c>
    </row>
    <row r="2223" spans="1:32" ht="15" x14ac:dyDescent="0.35">
      <c r="A2223" t="s">
        <v>3583</v>
      </c>
      <c r="B2223" s="1">
        <v>45675</v>
      </c>
      <c r="C2223">
        <f>YEAR(OrdersTable[[#This Row],[Order Date]])</f>
        <v>2025</v>
      </c>
      <c r="D2223" s="2">
        <f>DATE(YEAR(OrdersTable[[#This Row],[Order Date]]),MONTH(OrdersTable[[#This Row],[Order Date]]),1)</f>
        <v>45658</v>
      </c>
      <c r="E2223">
        <f>MONTH(OrdersTable[[#This Row],[Order Date]])</f>
        <v>1</v>
      </c>
      <c r="F2223" t="s">
        <v>3584</v>
      </c>
      <c r="G2223" t="str">
        <f>IF(OrdersTable[[#This Row],[Order Date]]=_xlfn.MINIFS(Order_Date, Customer_ID, OrdersTable[[#This Row],[Customer ID]]), "New", "Repeat")</f>
        <v>Repeat</v>
      </c>
      <c r="H2223" t="s">
        <v>184</v>
      </c>
      <c r="I2223" t="str">
        <f>INDEX(State!B:B,MATCH(OrdersTable[[#This Row],[State]],State!A:A,0))</f>
        <v>UK</v>
      </c>
      <c r="J2223" t="str">
        <f>INDEX(State!C:C,MATCH(OrdersTable[[#This Row],[State Code]],State!B:B,0))</f>
        <v>North</v>
      </c>
      <c r="K2223" t="s">
        <v>185</v>
      </c>
      <c r="L2223" t="s">
        <v>23</v>
      </c>
      <c r="M2223" t="s">
        <v>29</v>
      </c>
      <c r="N2223" t="str">
        <f>INDEX(Products!B:B,MATCH(OrdersTable[[#This Row],[Product ID]],Products!A:A,0))</f>
        <v>Joggers</v>
      </c>
      <c r="O2223" t="str">
        <f>INDEX(Products!C:C,MATCH(OrdersTable[[#This Row],[Product ID]],Products!A:A,0))</f>
        <v>Apparel</v>
      </c>
      <c r="P2223">
        <v>1</v>
      </c>
      <c r="Q2223" s="5">
        <v>1199</v>
      </c>
      <c r="R2223" s="74">
        <v>0.2</v>
      </c>
      <c r="S2223" s="75">
        <f>OrdersTable[[#This Row],[Quantity]]*OrdersTable[[#This Row],[Unit Price]]</f>
        <v>1199</v>
      </c>
      <c r="T2223" s="5">
        <f>OrdersTable[[#This Row],[Gross Sale]]*OrdersTable[[#This Row],[Discount_Clean2]]</f>
        <v>239.8</v>
      </c>
      <c r="U2223" s="5">
        <f>OrdersTable[[#This Row],[Gross Sale]]-OrdersTable[[#This Row],[Discount Amount]]</f>
        <v>959.2</v>
      </c>
      <c r="V2223" s="77">
        <f>INDEX(Products!E:E,MATCH(OrdersTable[[#This Row],[Product ID]],Products!A:A,0))</f>
        <v>492</v>
      </c>
      <c r="W2223" s="77">
        <f>OrdersTable[[#This Row],[Quantity]]*OrdersTable[[#This Row],[Unit Cost]]</f>
        <v>492</v>
      </c>
      <c r="X2223" s="77">
        <f>'Dropdown Lists'!$I$2*(1+OrdersTable[[#This Row],[Returned]])</f>
        <v>60</v>
      </c>
      <c r="Y2223" s="76">
        <f>OrdersTable[[#This Row],[Net Revenue]]-OrdersTable[[#This Row],[COGS]]-OrdersTable[[#This Row],[Shipping Cost]]</f>
        <v>407.20000000000005</v>
      </c>
      <c r="Z2223" s="78">
        <f>IFERROR(OrdersTable[[#This Row],[Profit]]/OrdersTable[[#This Row],[Net Revenue]],0)</f>
        <v>0.42452043369474562</v>
      </c>
      <c r="AA2223" t="s">
        <v>3495</v>
      </c>
      <c r="AB2223" s="79">
        <v>45677</v>
      </c>
      <c r="AC2223">
        <f>OrdersTable[[#This Row],[Delivery Date]]-OrdersTable[[#This Row],[Order Date]]</f>
        <v>2</v>
      </c>
      <c r="AD2223" t="str">
        <f>IF(OrdersTable[[#This Row],[Delivery Days]]&lt;=2, "Express (≤2d)", IF(OrdersTable[[#This Row],[Delivery Days]]&lt;=4, "Standard (3-4d)", "Delayed (5d+)"))</f>
        <v>Express (≤2d)</v>
      </c>
      <c r="AE2223">
        <v>4</v>
      </c>
      <c r="AF2223">
        <v>0</v>
      </c>
    </row>
    <row r="2224" spans="1:32" ht="15" x14ac:dyDescent="0.35">
      <c r="A2224" t="s">
        <v>6787</v>
      </c>
      <c r="B2224" s="1">
        <v>45675</v>
      </c>
      <c r="C2224">
        <f>YEAR(OrdersTable[[#This Row],[Order Date]])</f>
        <v>2025</v>
      </c>
      <c r="D2224" s="2">
        <f>DATE(YEAR(OrdersTable[[#This Row],[Order Date]]),MONTH(OrdersTable[[#This Row],[Order Date]]),1)</f>
        <v>45658</v>
      </c>
      <c r="E2224">
        <f>MONTH(OrdersTable[[#This Row],[Order Date]])</f>
        <v>1</v>
      </c>
      <c r="F2224" t="s">
        <v>6788</v>
      </c>
      <c r="G2224" t="str">
        <f>IF(OrdersTable[[#This Row],[Order Date]]=_xlfn.MINIFS(Order_Date, Customer_ID, OrdersTable[[#This Row],[Customer ID]]), "New", "Repeat")</f>
        <v>New</v>
      </c>
      <c r="H2224" t="s">
        <v>48</v>
      </c>
      <c r="I2224" t="str">
        <f>INDEX(State!B:B,MATCH(OrdersTable[[#This Row],[State]],State!A:A,0))</f>
        <v>HR</v>
      </c>
      <c r="J2224" t="str">
        <f>INDEX(State!C:C,MATCH(OrdersTable[[#This Row],[State Code]],State!B:B,0))</f>
        <v>North</v>
      </c>
      <c r="K2224" t="s">
        <v>151</v>
      </c>
      <c r="L2224" t="s">
        <v>23</v>
      </c>
      <c r="M2224" t="s">
        <v>106</v>
      </c>
      <c r="N2224" t="str">
        <f>INDEX(Products!B:B,MATCH(OrdersTable[[#This Row],[Product ID]],Products!A:A,0))</f>
        <v>Keratin Hair Mask</v>
      </c>
      <c r="O2224" t="str">
        <f>INDEX(Products!C:C,MATCH(OrdersTable[[#This Row],[Product ID]],Products!A:A,0))</f>
        <v>Haircare</v>
      </c>
      <c r="P2224">
        <v>3</v>
      </c>
      <c r="Q2224" s="5">
        <v>549</v>
      </c>
      <c r="R2224" s="74">
        <v>0.15</v>
      </c>
      <c r="S2224" s="75">
        <f>OrdersTable[[#This Row],[Quantity]]*OrdersTable[[#This Row],[Unit Price]]</f>
        <v>1647</v>
      </c>
      <c r="T2224" s="5">
        <f>OrdersTable[[#This Row],[Gross Sale]]*OrdersTable[[#This Row],[Discount_Clean2]]</f>
        <v>247.04999999999998</v>
      </c>
      <c r="U2224" s="5">
        <f>OrdersTable[[#This Row],[Gross Sale]]-OrdersTable[[#This Row],[Discount Amount]]</f>
        <v>1399.95</v>
      </c>
      <c r="V2224" s="77">
        <f>INDEX(Products!E:E,MATCH(OrdersTable[[#This Row],[Product ID]],Products!A:A,0))</f>
        <v>170</v>
      </c>
      <c r="W2224" s="77">
        <f>OrdersTable[[#This Row],[Quantity]]*OrdersTable[[#This Row],[Unit Cost]]</f>
        <v>510</v>
      </c>
      <c r="X2224" s="77">
        <f>'Dropdown Lists'!$I$2*(1+OrdersTable[[#This Row],[Returned]])</f>
        <v>60</v>
      </c>
      <c r="Y2224" s="76">
        <f>OrdersTable[[#This Row],[Net Revenue]]-OrdersTable[[#This Row],[COGS]]-OrdersTable[[#This Row],[Shipping Cost]]</f>
        <v>829.95</v>
      </c>
      <c r="Z2224" s="78">
        <f>IFERROR(OrdersTable[[#This Row],[Profit]]/OrdersTable[[#This Row],[Net Revenue]],0)</f>
        <v>0.59284260152148294</v>
      </c>
      <c r="AA2224" t="s">
        <v>3495</v>
      </c>
      <c r="AB2224" s="79">
        <v>45676</v>
      </c>
      <c r="AC2224">
        <f>OrdersTable[[#This Row],[Delivery Date]]-OrdersTable[[#This Row],[Order Date]]</f>
        <v>1</v>
      </c>
      <c r="AD2224" t="str">
        <f>IF(OrdersTable[[#This Row],[Delivery Days]]&lt;=2, "Express (≤2d)", IF(OrdersTable[[#This Row],[Delivery Days]]&lt;=4, "Standard (3-4d)", "Delayed (5d+)"))</f>
        <v>Express (≤2d)</v>
      </c>
      <c r="AF2224">
        <v>0</v>
      </c>
    </row>
    <row r="2225" spans="1:32" ht="15" x14ac:dyDescent="0.35">
      <c r="A2225" t="s">
        <v>3585</v>
      </c>
      <c r="B2225" s="1">
        <v>45675</v>
      </c>
      <c r="C2225">
        <f>YEAR(OrdersTable[[#This Row],[Order Date]])</f>
        <v>2025</v>
      </c>
      <c r="D2225" s="2">
        <f>DATE(YEAR(OrdersTable[[#This Row],[Order Date]]),MONTH(OrdersTable[[#This Row],[Order Date]]),1)</f>
        <v>45658</v>
      </c>
      <c r="E2225">
        <f>MONTH(OrdersTable[[#This Row],[Order Date]])</f>
        <v>1</v>
      </c>
      <c r="F2225" t="s">
        <v>3586</v>
      </c>
      <c r="G2225" t="str">
        <f>IF(OrdersTable[[#This Row],[Order Date]]=_xlfn.MINIFS(Order_Date, Customer_ID, OrdersTable[[#This Row],[Customer ID]]), "New", "Repeat")</f>
        <v>Repeat</v>
      </c>
      <c r="H2225" t="s">
        <v>43</v>
      </c>
      <c r="I2225" t="str">
        <f>INDEX(State!B:B,MATCH(OrdersTable[[#This Row],[State]],State!A:A,0))</f>
        <v>MP</v>
      </c>
      <c r="J2225" t="str">
        <f>INDEX(State!C:C,MATCH(OrdersTable[[#This Row],[State Code]],State!B:B,0))</f>
        <v>West</v>
      </c>
      <c r="K2225" t="s">
        <v>44</v>
      </c>
      <c r="L2225" t="s">
        <v>50</v>
      </c>
      <c r="M2225" t="s">
        <v>45</v>
      </c>
      <c r="N2225" t="str">
        <f>INDEX(Products!B:B,MATCH(OrdersTable[[#This Row],[Product ID]],Products!A:A,0))</f>
        <v>Argan Shampoo</v>
      </c>
      <c r="O2225" t="str">
        <f>INDEX(Products!C:C,MATCH(OrdersTable[[#This Row],[Product ID]],Products!A:A,0))</f>
        <v>Haircare</v>
      </c>
      <c r="P2225">
        <v>1</v>
      </c>
      <c r="Q2225" s="5">
        <v>449</v>
      </c>
      <c r="R2225" s="74">
        <v>0.15</v>
      </c>
      <c r="S2225" s="75">
        <f>OrdersTable[[#This Row],[Quantity]]*OrdersTable[[#This Row],[Unit Price]]</f>
        <v>449</v>
      </c>
      <c r="T2225" s="5">
        <f>OrdersTable[[#This Row],[Gross Sale]]*OrdersTable[[#This Row],[Discount_Clean2]]</f>
        <v>67.349999999999994</v>
      </c>
      <c r="U2225" s="5">
        <f>OrdersTable[[#This Row],[Gross Sale]]-OrdersTable[[#This Row],[Discount Amount]]</f>
        <v>381.65</v>
      </c>
      <c r="V2225" s="77">
        <f>INDEX(Products!E:E,MATCH(OrdersTable[[#This Row],[Product ID]],Products!A:A,0))</f>
        <v>148</v>
      </c>
      <c r="W2225" s="77">
        <f>OrdersTable[[#This Row],[Quantity]]*OrdersTable[[#This Row],[Unit Cost]]</f>
        <v>148</v>
      </c>
      <c r="X2225" s="77">
        <f>'Dropdown Lists'!$I$2*(1+OrdersTable[[#This Row],[Returned]])</f>
        <v>60</v>
      </c>
      <c r="Y2225" s="76">
        <f>OrdersTable[[#This Row],[Net Revenue]]-OrdersTable[[#This Row],[COGS]]-OrdersTable[[#This Row],[Shipping Cost]]</f>
        <v>173.64999999999998</v>
      </c>
      <c r="Z2225" s="78">
        <f>IFERROR(OrdersTable[[#This Row],[Profit]]/OrdersTable[[#This Row],[Net Revenue]],0)</f>
        <v>0.45499803484868334</v>
      </c>
      <c r="AA2225" t="s">
        <v>3495</v>
      </c>
      <c r="AB2225" s="79">
        <v>45678</v>
      </c>
      <c r="AC2225">
        <f>OrdersTable[[#This Row],[Delivery Date]]-OrdersTable[[#This Row],[Order Date]]</f>
        <v>3</v>
      </c>
      <c r="AD2225" t="str">
        <f>IF(OrdersTable[[#This Row],[Delivery Days]]&lt;=2, "Express (≤2d)", IF(OrdersTable[[#This Row],[Delivery Days]]&lt;=4, "Standard (3-4d)", "Delayed (5d+)"))</f>
        <v>Standard (3-4d)</v>
      </c>
      <c r="AE2225">
        <v>4</v>
      </c>
      <c r="AF2225">
        <v>0</v>
      </c>
    </row>
    <row r="2226" spans="1:32" ht="15" x14ac:dyDescent="0.35">
      <c r="A2226" t="s">
        <v>3010</v>
      </c>
      <c r="B2226" s="1">
        <v>45675</v>
      </c>
      <c r="C2226">
        <f>YEAR(OrdersTable[[#This Row],[Order Date]])</f>
        <v>2025</v>
      </c>
      <c r="D2226" s="2">
        <f>DATE(YEAR(OrdersTable[[#This Row],[Order Date]]),MONTH(OrdersTable[[#This Row],[Order Date]]),1)</f>
        <v>45658</v>
      </c>
      <c r="E2226">
        <f>MONTH(OrdersTable[[#This Row],[Order Date]])</f>
        <v>1</v>
      </c>
      <c r="F2226" t="s">
        <v>3011</v>
      </c>
      <c r="G2226" t="str">
        <f>IF(OrdersTable[[#This Row],[Order Date]]=_xlfn.MINIFS(Order_Date, Customer_ID, OrdersTable[[#This Row],[Customer ID]]), "New", "Repeat")</f>
        <v>New</v>
      </c>
      <c r="H2226" t="s">
        <v>123</v>
      </c>
      <c r="I2226" t="str">
        <f>INDEX(State!B:B,MATCH(OrdersTable[[#This Row],[State]],State!A:A,0))</f>
        <v>JH</v>
      </c>
      <c r="J2226" t="str">
        <f>INDEX(State!C:C,MATCH(OrdersTable[[#This Row],[State Code]],State!B:B,0))</f>
        <v>East</v>
      </c>
      <c r="K2226" t="s">
        <v>124</v>
      </c>
      <c r="L2226" t="s">
        <v>50</v>
      </c>
      <c r="M2226" t="s">
        <v>160</v>
      </c>
      <c r="N2226" t="str">
        <f>INDEX(Products!B:B,MATCH(OrdersTable[[#This Row],[Product ID]],Products!A:A,0))</f>
        <v>Niacinamide Toner</v>
      </c>
      <c r="O2226" t="str">
        <f>INDEX(Products!C:C,MATCH(OrdersTable[[#This Row],[Product ID]],Products!A:A,0))</f>
        <v>Skincare</v>
      </c>
      <c r="P2226">
        <v>1</v>
      </c>
      <c r="Q2226" s="5">
        <v>399</v>
      </c>
      <c r="R2226" s="74">
        <v>0.2</v>
      </c>
      <c r="S2226" s="75">
        <f>OrdersTable[[#This Row],[Quantity]]*OrdersTable[[#This Row],[Unit Price]]</f>
        <v>399</v>
      </c>
      <c r="T2226" s="5">
        <f>OrdersTable[[#This Row],[Gross Sale]]*OrdersTable[[#This Row],[Discount_Clean2]]</f>
        <v>79.800000000000011</v>
      </c>
      <c r="U2226" s="5">
        <f>OrdersTable[[#This Row],[Gross Sale]]-OrdersTable[[#This Row],[Discount Amount]]</f>
        <v>319.2</v>
      </c>
      <c r="V2226" s="77">
        <f>INDEX(Products!E:E,MATCH(OrdersTable[[#This Row],[Product ID]],Products!A:A,0))</f>
        <v>112</v>
      </c>
      <c r="W2226" s="77">
        <f>OrdersTable[[#This Row],[Quantity]]*OrdersTable[[#This Row],[Unit Cost]]</f>
        <v>112</v>
      </c>
      <c r="X2226" s="77">
        <f>'Dropdown Lists'!$I$2*(1+OrdersTable[[#This Row],[Returned]])</f>
        <v>60</v>
      </c>
      <c r="Y2226" s="76">
        <f>OrdersTable[[#This Row],[Net Revenue]]-OrdersTable[[#This Row],[COGS]]-OrdersTable[[#This Row],[Shipping Cost]]</f>
        <v>147.19999999999999</v>
      </c>
      <c r="Z2226" s="78">
        <f>IFERROR(OrdersTable[[#This Row],[Profit]]/OrdersTable[[#This Row],[Net Revenue]],0)</f>
        <v>0.46115288220551376</v>
      </c>
      <c r="AA2226" t="s">
        <v>2522</v>
      </c>
      <c r="AB2226" s="79">
        <v>45679</v>
      </c>
      <c r="AC2226">
        <f>OrdersTable[[#This Row],[Delivery Date]]-OrdersTable[[#This Row],[Order Date]]</f>
        <v>4</v>
      </c>
      <c r="AD2226" t="str">
        <f>IF(OrdersTable[[#This Row],[Delivery Days]]&lt;=2, "Express (≤2d)", IF(OrdersTable[[#This Row],[Delivery Days]]&lt;=4, "Standard (3-4d)", "Delayed (5d+)"))</f>
        <v>Standard (3-4d)</v>
      </c>
      <c r="AF2226">
        <v>0</v>
      </c>
    </row>
    <row r="2227" spans="1:32" ht="15" x14ac:dyDescent="0.35">
      <c r="A2227" t="s">
        <v>556</v>
      </c>
      <c r="B2227" s="1">
        <v>45675</v>
      </c>
      <c r="C2227">
        <f>YEAR(OrdersTable[[#This Row],[Order Date]])</f>
        <v>2025</v>
      </c>
      <c r="D2227" s="2">
        <f>DATE(YEAR(OrdersTable[[#This Row],[Order Date]]),MONTH(OrdersTable[[#This Row],[Order Date]]),1)</f>
        <v>45658</v>
      </c>
      <c r="E2227">
        <f>MONTH(OrdersTable[[#This Row],[Order Date]])</f>
        <v>1</v>
      </c>
      <c r="F2227" t="s">
        <v>329</v>
      </c>
      <c r="G2227" t="str">
        <f>IF(OrdersTable[[#This Row],[Order Date]]=_xlfn.MINIFS(Order_Date, Customer_ID, OrdersTable[[#This Row],[Customer ID]]), "New", "Repeat")</f>
        <v>Repeat</v>
      </c>
      <c r="H2227" t="s">
        <v>167</v>
      </c>
      <c r="I2227" t="str">
        <f>INDEX(State!B:B,MATCH(OrdersTable[[#This Row],[State]],State!A:A,0))</f>
        <v>KA</v>
      </c>
      <c r="J2227" t="str">
        <f>INDEX(State!C:C,MATCH(OrdersTable[[#This Row],[State Code]],State!B:B,0))</f>
        <v>South</v>
      </c>
      <c r="K2227" t="s">
        <v>168</v>
      </c>
      <c r="L2227" t="s">
        <v>50</v>
      </c>
      <c r="M2227" t="s">
        <v>152</v>
      </c>
      <c r="N2227" t="str">
        <f>INDEX(Products!B:B,MATCH(OrdersTable[[#This Row],[Product ID]],Products!A:A,0))</f>
        <v>Green Tea (100 bags)</v>
      </c>
      <c r="O2227" t="str">
        <f>INDEX(Products!C:C,MATCH(OrdersTable[[#This Row],[Product ID]],Products!A:A,0))</f>
        <v>Wellness</v>
      </c>
      <c r="P2227">
        <v>1</v>
      </c>
      <c r="Q2227" s="5">
        <v>399</v>
      </c>
      <c r="R2227" s="74">
        <v>0.35</v>
      </c>
      <c r="S2227" s="75">
        <f>OrdersTable[[#This Row],[Quantity]]*OrdersTable[[#This Row],[Unit Price]]</f>
        <v>399</v>
      </c>
      <c r="T2227" s="5">
        <f>OrdersTable[[#This Row],[Gross Sale]]*OrdersTable[[#This Row],[Discount_Clean2]]</f>
        <v>139.64999999999998</v>
      </c>
      <c r="U2227" s="5">
        <f>OrdersTable[[#This Row],[Gross Sale]]-OrdersTable[[#This Row],[Discount Amount]]</f>
        <v>259.35000000000002</v>
      </c>
      <c r="V2227" s="77">
        <f>INDEX(Products!E:E,MATCH(OrdersTable[[#This Row],[Product ID]],Products!A:A,0))</f>
        <v>128</v>
      </c>
      <c r="W2227" s="77">
        <f>OrdersTable[[#This Row],[Quantity]]*OrdersTable[[#This Row],[Unit Cost]]</f>
        <v>128</v>
      </c>
      <c r="X2227" s="77">
        <f>'Dropdown Lists'!$I$2*(1+OrdersTable[[#This Row],[Returned]])</f>
        <v>60</v>
      </c>
      <c r="Y2227" s="76">
        <f>OrdersTable[[#This Row],[Net Revenue]]-OrdersTable[[#This Row],[COGS]]-OrdersTable[[#This Row],[Shipping Cost]]</f>
        <v>71.350000000000023</v>
      </c>
      <c r="Z2227" s="78">
        <f>IFERROR(OrdersTable[[#This Row],[Profit]]/OrdersTable[[#This Row],[Net Revenue]],0)</f>
        <v>0.27511085405822255</v>
      </c>
      <c r="AA2227" t="s">
        <v>18</v>
      </c>
      <c r="AB2227" s="79">
        <v>45678</v>
      </c>
      <c r="AC2227">
        <f>OrdersTable[[#This Row],[Delivery Date]]-OrdersTable[[#This Row],[Order Date]]</f>
        <v>3</v>
      </c>
      <c r="AD2227" t="str">
        <f>IF(OrdersTable[[#This Row],[Delivery Days]]&lt;=2, "Express (≤2d)", IF(OrdersTable[[#This Row],[Delivery Days]]&lt;=4, "Standard (3-4d)", "Delayed (5d+)"))</f>
        <v>Standard (3-4d)</v>
      </c>
      <c r="AE2227">
        <v>4</v>
      </c>
      <c r="AF2227">
        <v>0</v>
      </c>
    </row>
    <row r="2228" spans="1:32" ht="15" x14ac:dyDescent="0.35">
      <c r="A2228" t="s">
        <v>1250</v>
      </c>
      <c r="B2228" s="1">
        <v>45675</v>
      </c>
      <c r="C2228">
        <f>YEAR(OrdersTable[[#This Row],[Order Date]])</f>
        <v>2025</v>
      </c>
      <c r="D2228" s="2">
        <f>DATE(YEAR(OrdersTable[[#This Row],[Order Date]]),MONTH(OrdersTable[[#This Row],[Order Date]]),1)</f>
        <v>45658</v>
      </c>
      <c r="E2228">
        <f>MONTH(OrdersTable[[#This Row],[Order Date]])</f>
        <v>1</v>
      </c>
      <c r="F2228" t="s">
        <v>1251</v>
      </c>
      <c r="G2228" t="str">
        <f>IF(OrdersTable[[#This Row],[Order Date]]=_xlfn.MINIFS(Order_Date, Customer_ID, OrdersTable[[#This Row],[Customer ID]]), "New", "Repeat")</f>
        <v>New</v>
      </c>
      <c r="H2228" t="s">
        <v>275</v>
      </c>
      <c r="I2228" t="str">
        <f>INDEX(State!B:B,MATCH(OrdersTable[[#This Row],[State]],State!A:A,0))</f>
        <v>AP</v>
      </c>
      <c r="J2228" t="str">
        <f>INDEX(State!C:C,MATCH(OrdersTable[[#This Row],[State Code]],State!B:B,0))</f>
        <v>South</v>
      </c>
      <c r="K2228" t="s">
        <v>491</v>
      </c>
      <c r="L2228" t="s">
        <v>16</v>
      </c>
      <c r="M2228" t="s">
        <v>92</v>
      </c>
      <c r="N2228" t="str">
        <f>INDEX(Products!B:B,MATCH(OrdersTable[[#This Row],[Product ID]],Products!A:A,0))</f>
        <v>Kolhapuri Sandals</v>
      </c>
      <c r="O2228" t="str">
        <f>INDEX(Products!C:C,MATCH(OrdersTable[[#This Row],[Product ID]],Products!A:A,0))</f>
        <v>Footwear</v>
      </c>
      <c r="P2228">
        <v>1</v>
      </c>
      <c r="Q2228" s="5">
        <v>999</v>
      </c>
      <c r="R2228" s="74">
        <v>0</v>
      </c>
      <c r="S2228" s="75">
        <f>OrdersTable[[#This Row],[Quantity]]*OrdersTable[[#This Row],[Unit Price]]</f>
        <v>999</v>
      </c>
      <c r="T2228" s="5">
        <f>OrdersTable[[#This Row],[Gross Sale]]*OrdersTable[[#This Row],[Discount_Clean2]]</f>
        <v>0</v>
      </c>
      <c r="U2228" s="5">
        <f>OrdersTable[[#This Row],[Gross Sale]]-OrdersTable[[#This Row],[Discount Amount]]</f>
        <v>999</v>
      </c>
      <c r="V2228" s="77">
        <f>INDEX(Products!E:E,MATCH(OrdersTable[[#This Row],[Product ID]],Products!A:A,0))</f>
        <v>400</v>
      </c>
      <c r="W2228" s="77">
        <f>OrdersTable[[#This Row],[Quantity]]*OrdersTable[[#This Row],[Unit Cost]]</f>
        <v>400</v>
      </c>
      <c r="X2228" s="77">
        <f>'Dropdown Lists'!$I$2*(1+OrdersTable[[#This Row],[Returned]])</f>
        <v>60</v>
      </c>
      <c r="Y2228" s="76">
        <f>OrdersTable[[#This Row],[Net Revenue]]-OrdersTable[[#This Row],[COGS]]-OrdersTable[[#This Row],[Shipping Cost]]</f>
        <v>539</v>
      </c>
      <c r="Z2228" s="78">
        <f>IFERROR(OrdersTable[[#This Row],[Profit]]/OrdersTable[[#This Row],[Net Revenue]],0)</f>
        <v>0.53953953953953959</v>
      </c>
      <c r="AA2228" t="s">
        <v>18</v>
      </c>
      <c r="AB2228" s="79">
        <v>45678</v>
      </c>
      <c r="AC2228">
        <f>OrdersTable[[#This Row],[Delivery Date]]-OrdersTable[[#This Row],[Order Date]]</f>
        <v>3</v>
      </c>
      <c r="AD2228" t="str">
        <f>IF(OrdersTable[[#This Row],[Delivery Days]]&lt;=2, "Express (≤2d)", IF(OrdersTable[[#This Row],[Delivery Days]]&lt;=4, "Standard (3-4d)", "Delayed (5d+)"))</f>
        <v>Standard (3-4d)</v>
      </c>
      <c r="AF2228">
        <v>0</v>
      </c>
    </row>
    <row r="2229" spans="1:32" ht="15" x14ac:dyDescent="0.35">
      <c r="A2229" t="s">
        <v>4121</v>
      </c>
      <c r="B2229" s="1">
        <v>45675</v>
      </c>
      <c r="C2229">
        <f>YEAR(OrdersTable[[#This Row],[Order Date]])</f>
        <v>2025</v>
      </c>
      <c r="D2229" s="2">
        <f>DATE(YEAR(OrdersTable[[#This Row],[Order Date]]),MONTH(OrdersTable[[#This Row],[Order Date]]),1)</f>
        <v>45658</v>
      </c>
      <c r="E2229">
        <f>MONTH(OrdersTable[[#This Row],[Order Date]])</f>
        <v>1</v>
      </c>
      <c r="F2229" t="s">
        <v>3025</v>
      </c>
      <c r="G2229" t="str">
        <f>IF(OrdersTable[[#This Row],[Order Date]]=_xlfn.MINIFS(Order_Date, Customer_ID, OrdersTable[[#This Row],[Customer ID]]), "New", "Repeat")</f>
        <v>New</v>
      </c>
      <c r="H2229" t="s">
        <v>59</v>
      </c>
      <c r="I2229" t="str">
        <f>INDEX(State!B:B,MATCH(OrdersTable[[#This Row],[State]],State!A:A,0))</f>
        <v>TN</v>
      </c>
      <c r="J2229" t="str">
        <f>INDEX(State!C:C,MATCH(OrdersTable[[#This Row],[State Code]],State!B:B,0))</f>
        <v>South</v>
      </c>
      <c r="K2229" t="s">
        <v>60</v>
      </c>
      <c r="L2229" t="s">
        <v>65</v>
      </c>
      <c r="M2229" t="s">
        <v>66</v>
      </c>
      <c r="N2229" t="str">
        <f>INDEX(Products!B:B,MATCH(OrdersTable[[#This Row],[Product ID]],Products!A:A,0))</f>
        <v>Sunscreen SPF 50</v>
      </c>
      <c r="O2229" t="str">
        <f>INDEX(Products!C:C,MATCH(OrdersTable[[#This Row],[Product ID]],Products!A:A,0))</f>
        <v>Skincare</v>
      </c>
      <c r="P2229">
        <v>1</v>
      </c>
      <c r="Q2229" s="5">
        <v>449</v>
      </c>
      <c r="R2229" s="74">
        <v>0.05</v>
      </c>
      <c r="S2229" s="75">
        <f>OrdersTable[[#This Row],[Quantity]]*OrdersTable[[#This Row],[Unit Price]]</f>
        <v>449</v>
      </c>
      <c r="T2229" s="5">
        <f>OrdersTable[[#This Row],[Gross Sale]]*OrdersTable[[#This Row],[Discount_Clean2]]</f>
        <v>22.450000000000003</v>
      </c>
      <c r="U2229" s="5">
        <f>OrdersTable[[#This Row],[Gross Sale]]-OrdersTable[[#This Row],[Discount Amount]]</f>
        <v>426.55</v>
      </c>
      <c r="V2229" s="77">
        <f>INDEX(Products!E:E,MATCH(OrdersTable[[#This Row],[Product ID]],Products!A:A,0))</f>
        <v>144</v>
      </c>
      <c r="W2229" s="77">
        <f>OrdersTable[[#This Row],[Quantity]]*OrdersTable[[#This Row],[Unit Cost]]</f>
        <v>144</v>
      </c>
      <c r="X2229" s="77">
        <f>'Dropdown Lists'!$I$2*(1+OrdersTable[[#This Row],[Returned]])</f>
        <v>60</v>
      </c>
      <c r="Y2229" s="76">
        <f>OrdersTable[[#This Row],[Net Revenue]]-OrdersTable[[#This Row],[COGS]]-OrdersTable[[#This Row],[Shipping Cost]]</f>
        <v>222.55</v>
      </c>
      <c r="Z2229" s="78">
        <f>IFERROR(OrdersTable[[#This Row],[Profit]]/OrdersTable[[#This Row],[Net Revenue]],0)</f>
        <v>0.52174422693705313</v>
      </c>
      <c r="AA2229" t="s">
        <v>4074</v>
      </c>
      <c r="AB2229" s="79">
        <v>45678</v>
      </c>
      <c r="AC2229">
        <f>OrdersTable[[#This Row],[Delivery Date]]-OrdersTable[[#This Row],[Order Date]]</f>
        <v>3</v>
      </c>
      <c r="AD2229" t="str">
        <f>IF(OrdersTable[[#This Row],[Delivery Days]]&lt;=2, "Express (≤2d)", IF(OrdersTable[[#This Row],[Delivery Days]]&lt;=4, "Standard (3-4d)", "Delayed (5d+)"))</f>
        <v>Standard (3-4d)</v>
      </c>
      <c r="AE2229">
        <v>5</v>
      </c>
      <c r="AF2229">
        <v>0</v>
      </c>
    </row>
    <row r="2230" spans="1:32" ht="15" x14ac:dyDescent="0.35">
      <c r="A2230" t="s">
        <v>4501</v>
      </c>
      <c r="B2230" s="1">
        <v>45675</v>
      </c>
      <c r="C2230">
        <f>YEAR(OrdersTable[[#This Row],[Order Date]])</f>
        <v>2025</v>
      </c>
      <c r="D2230" s="2">
        <f>DATE(YEAR(OrdersTable[[#This Row],[Order Date]]),MONTH(OrdersTable[[#This Row],[Order Date]]),1)</f>
        <v>45658</v>
      </c>
      <c r="E2230">
        <f>MONTH(OrdersTable[[#This Row],[Order Date]])</f>
        <v>1</v>
      </c>
      <c r="F2230" t="s">
        <v>4502</v>
      </c>
      <c r="G2230" t="str">
        <f>IF(OrdersTable[[#This Row],[Order Date]]=_xlfn.MINIFS(Order_Date, Customer_ID, OrdersTable[[#This Row],[Customer ID]]), "New", "Repeat")</f>
        <v>New</v>
      </c>
      <c r="H2230" t="s">
        <v>59</v>
      </c>
      <c r="I2230" t="str">
        <f>INDEX(State!B:B,MATCH(OrdersTable[[#This Row],[State]],State!A:A,0))</f>
        <v>TN</v>
      </c>
      <c r="J2230" t="str">
        <f>INDEX(State!C:C,MATCH(OrdersTable[[#This Row],[State Code]],State!B:B,0))</f>
        <v>South</v>
      </c>
      <c r="K2230" t="s">
        <v>60</v>
      </c>
      <c r="L2230" t="s">
        <v>50</v>
      </c>
      <c r="M2230" t="s">
        <v>56</v>
      </c>
      <c r="N2230" t="str">
        <f>INDEX(Products!B:B,MATCH(OrdersTable[[#This Row],[Product ID]],Products!A:A,0))</f>
        <v>Vitamin C Face Serum</v>
      </c>
      <c r="O2230" t="str">
        <f>INDEX(Products!C:C,MATCH(OrdersTable[[#This Row],[Product ID]],Products!A:A,0))</f>
        <v>Skincare</v>
      </c>
      <c r="P2230">
        <v>1</v>
      </c>
      <c r="Q2230" s="5">
        <v>599</v>
      </c>
      <c r="R2230" s="74">
        <v>0.2</v>
      </c>
      <c r="S2230" s="75">
        <f>OrdersTable[[#This Row],[Quantity]]*OrdersTable[[#This Row],[Unit Price]]</f>
        <v>599</v>
      </c>
      <c r="T2230" s="5">
        <f>OrdersTable[[#This Row],[Gross Sale]]*OrdersTable[[#This Row],[Discount_Clean2]]</f>
        <v>119.80000000000001</v>
      </c>
      <c r="U2230" s="5">
        <f>OrdersTable[[#This Row],[Gross Sale]]-OrdersTable[[#This Row],[Discount Amount]]</f>
        <v>479.2</v>
      </c>
      <c r="V2230" s="77">
        <f>INDEX(Products!E:E,MATCH(OrdersTable[[#This Row],[Product ID]],Products!A:A,0))</f>
        <v>180</v>
      </c>
      <c r="W2230" s="77">
        <f>OrdersTable[[#This Row],[Quantity]]*OrdersTable[[#This Row],[Unit Cost]]</f>
        <v>180</v>
      </c>
      <c r="X2230" s="77">
        <f>'Dropdown Lists'!$I$2*(1+OrdersTable[[#This Row],[Returned]])</f>
        <v>60</v>
      </c>
      <c r="Y2230" s="76">
        <f>OrdersTable[[#This Row],[Net Revenue]]-OrdersTable[[#This Row],[COGS]]-OrdersTable[[#This Row],[Shipping Cost]]</f>
        <v>239.2</v>
      </c>
      <c r="Z2230" s="78">
        <f>IFERROR(OrdersTable[[#This Row],[Profit]]/OrdersTable[[#This Row],[Net Revenue]],0)</f>
        <v>0.4991652754590985</v>
      </c>
      <c r="AA2230" t="s">
        <v>4450</v>
      </c>
      <c r="AB2230" s="79">
        <v>45676</v>
      </c>
      <c r="AC2230">
        <f>OrdersTable[[#This Row],[Delivery Date]]-OrdersTable[[#This Row],[Order Date]]</f>
        <v>1</v>
      </c>
      <c r="AD2230" t="str">
        <f>IF(OrdersTable[[#This Row],[Delivery Days]]&lt;=2, "Express (≤2d)", IF(OrdersTable[[#This Row],[Delivery Days]]&lt;=4, "Standard (3-4d)", "Delayed (5d+)"))</f>
        <v>Express (≤2d)</v>
      </c>
      <c r="AE2230">
        <v>4</v>
      </c>
      <c r="AF2230">
        <v>0</v>
      </c>
    </row>
    <row r="2231" spans="1:32" ht="15" x14ac:dyDescent="0.35">
      <c r="A2231" t="s">
        <v>1705</v>
      </c>
      <c r="B2231" s="1">
        <v>45676</v>
      </c>
      <c r="C2231">
        <f>YEAR(OrdersTable[[#This Row],[Order Date]])</f>
        <v>2025</v>
      </c>
      <c r="D2231" s="2">
        <f>DATE(YEAR(OrdersTable[[#This Row],[Order Date]]),MONTH(OrdersTable[[#This Row],[Order Date]]),1)</f>
        <v>45658</v>
      </c>
      <c r="E2231">
        <f>MONTH(OrdersTable[[#This Row],[Order Date]])</f>
        <v>1</v>
      </c>
      <c r="F2231" t="s">
        <v>1163</v>
      </c>
      <c r="G2231" t="str">
        <f>IF(OrdersTable[[#This Row],[Order Date]]=_xlfn.MINIFS(Order_Date, Customer_ID, OrdersTable[[#This Row],[Customer ID]]), "New", "Repeat")</f>
        <v>New</v>
      </c>
      <c r="H2231" t="s">
        <v>21</v>
      </c>
      <c r="I2231" t="str">
        <f>INDEX(State!B:B,MATCH(OrdersTable[[#This Row],[State]],State!A:A,0))</f>
        <v>PB</v>
      </c>
      <c r="J2231" t="str">
        <f>INDEX(State!C:C,MATCH(OrdersTable[[#This Row],[State Code]],State!B:B,0))</f>
        <v>North</v>
      </c>
      <c r="K2231" t="s">
        <v>260</v>
      </c>
      <c r="L2231" t="s">
        <v>65</v>
      </c>
      <c r="M2231" t="s">
        <v>148</v>
      </c>
      <c r="N2231" t="str">
        <f>INDEX(Products!B:B,MATCH(OrdersTable[[#This Row],[Product ID]],Products!A:A,0))</f>
        <v>Smartwatch Strap</v>
      </c>
      <c r="O2231" t="str">
        <f>INDEX(Products!C:C,MATCH(OrdersTable[[#This Row],[Product ID]],Products!A:A,0))</f>
        <v>Electronics</v>
      </c>
      <c r="P2231">
        <v>1</v>
      </c>
      <c r="Q2231" s="5">
        <v>499</v>
      </c>
      <c r="R2231" s="74">
        <v>0.1</v>
      </c>
      <c r="S2231" s="75">
        <f>OrdersTable[[#This Row],[Quantity]]*OrdersTable[[#This Row],[Unit Price]]</f>
        <v>499</v>
      </c>
      <c r="T2231" s="5">
        <f>OrdersTable[[#This Row],[Gross Sale]]*OrdersTable[[#This Row],[Discount_Clean2]]</f>
        <v>49.900000000000006</v>
      </c>
      <c r="U2231" s="5">
        <f>OrdersTable[[#This Row],[Gross Sale]]-OrdersTable[[#This Row],[Discount Amount]]</f>
        <v>449.1</v>
      </c>
      <c r="V2231" s="77">
        <f>INDEX(Products!E:E,MATCH(OrdersTable[[#This Row],[Product ID]],Products!A:A,0))</f>
        <v>200</v>
      </c>
      <c r="W2231" s="77">
        <f>OrdersTable[[#This Row],[Quantity]]*OrdersTable[[#This Row],[Unit Cost]]</f>
        <v>200</v>
      </c>
      <c r="X2231" s="77">
        <f>'Dropdown Lists'!$I$2*(1+OrdersTable[[#This Row],[Returned]])</f>
        <v>60</v>
      </c>
      <c r="Y2231" s="76">
        <f>OrdersTable[[#This Row],[Net Revenue]]-OrdersTable[[#This Row],[COGS]]-OrdersTable[[#This Row],[Shipping Cost]]</f>
        <v>189.10000000000002</v>
      </c>
      <c r="Z2231" s="78">
        <f>IFERROR(OrdersTable[[#This Row],[Profit]]/OrdersTable[[#This Row],[Net Revenue]],0)</f>
        <v>0.42106435092407041</v>
      </c>
      <c r="AA2231" t="s">
        <v>18</v>
      </c>
      <c r="AB2231" s="79">
        <v>45680</v>
      </c>
      <c r="AC2231">
        <f>OrdersTable[[#This Row],[Delivery Date]]-OrdersTable[[#This Row],[Order Date]]</f>
        <v>4</v>
      </c>
      <c r="AD2231" t="str">
        <f>IF(OrdersTable[[#This Row],[Delivery Days]]&lt;=2, "Express (≤2d)", IF(OrdersTable[[#This Row],[Delivery Days]]&lt;=4, "Standard (3-4d)", "Delayed (5d+)"))</f>
        <v>Standard (3-4d)</v>
      </c>
      <c r="AF2231">
        <v>0</v>
      </c>
    </row>
    <row r="2232" spans="1:32" ht="15" x14ac:dyDescent="0.35">
      <c r="A2232" t="s">
        <v>5926</v>
      </c>
      <c r="B2232" s="1">
        <v>45676</v>
      </c>
      <c r="C2232">
        <f>YEAR(OrdersTable[[#This Row],[Order Date]])</f>
        <v>2025</v>
      </c>
      <c r="D2232" s="2">
        <f>DATE(YEAR(OrdersTable[[#This Row],[Order Date]]),MONTH(OrdersTable[[#This Row],[Order Date]]),1)</f>
        <v>45658</v>
      </c>
      <c r="E2232">
        <f>MONTH(OrdersTable[[#This Row],[Order Date]])</f>
        <v>1</v>
      </c>
      <c r="F2232" t="s">
        <v>86</v>
      </c>
      <c r="G2232" t="str">
        <f>IF(OrdersTable[[#This Row],[Order Date]]=_xlfn.MINIFS(Order_Date, Customer_ID, OrdersTable[[#This Row],[Customer ID]]), "New", "Repeat")</f>
        <v>Repeat</v>
      </c>
      <c r="H2232" t="s">
        <v>76</v>
      </c>
      <c r="I2232" t="str">
        <f>INDEX(State!B:B,MATCH(OrdersTable[[#This Row],[State]],State!A:A,0))</f>
        <v>UP</v>
      </c>
      <c r="J2232" t="str">
        <f>INDEX(State!C:C,MATCH(OrdersTable[[#This Row],[State Code]],State!B:B,0))</f>
        <v>North</v>
      </c>
      <c r="K2232" t="s">
        <v>118</v>
      </c>
      <c r="L2232" t="s">
        <v>39</v>
      </c>
      <c r="M2232" t="s">
        <v>423</v>
      </c>
      <c r="N2232" t="str">
        <f>INDEX(Products!B:B,MATCH(OrdersTable[[#This Row],[Product ID]],Products!A:A,0))</f>
        <v>Power Bank 20000mAh</v>
      </c>
      <c r="O2232" t="str">
        <f>INDEX(Products!C:C,MATCH(OrdersTable[[#This Row],[Product ID]],Products!A:A,0))</f>
        <v>Electronics</v>
      </c>
      <c r="P2232">
        <v>2</v>
      </c>
      <c r="Q2232" s="5">
        <v>1799</v>
      </c>
      <c r="R2232" s="74">
        <v>0.4</v>
      </c>
      <c r="S2232" s="75">
        <f>OrdersTable[[#This Row],[Quantity]]*OrdersTable[[#This Row],[Unit Price]]</f>
        <v>3598</v>
      </c>
      <c r="T2232" s="5">
        <f>OrdersTable[[#This Row],[Gross Sale]]*OrdersTable[[#This Row],[Discount_Clean2]]</f>
        <v>1439.2</v>
      </c>
      <c r="U2232" s="5">
        <f>OrdersTable[[#This Row],[Gross Sale]]-OrdersTable[[#This Row],[Discount Amount]]</f>
        <v>2158.8000000000002</v>
      </c>
      <c r="V2232" s="77">
        <f>INDEX(Products!E:E,MATCH(OrdersTable[[#This Row],[Product ID]],Products!A:A,0))</f>
        <v>1079</v>
      </c>
      <c r="W2232" s="77">
        <f>OrdersTable[[#This Row],[Quantity]]*OrdersTable[[#This Row],[Unit Cost]]</f>
        <v>2158</v>
      </c>
      <c r="X2232" s="77">
        <f>'Dropdown Lists'!$I$2*(1+OrdersTable[[#This Row],[Returned]])</f>
        <v>60</v>
      </c>
      <c r="Y2232" s="76">
        <f>OrdersTable[[#This Row],[Net Revenue]]-OrdersTable[[#This Row],[COGS]]-OrdersTable[[#This Row],[Shipping Cost]]</f>
        <v>-59.199999999999818</v>
      </c>
      <c r="Z2232" s="78">
        <f>IFERROR(OrdersTable[[#This Row],[Profit]]/OrdersTable[[#This Row],[Net Revenue]],0)</f>
        <v>-2.742264220863434E-2</v>
      </c>
      <c r="AA2232" t="s">
        <v>18</v>
      </c>
      <c r="AB2232" s="79">
        <v>45680</v>
      </c>
      <c r="AC2232">
        <f>OrdersTable[[#This Row],[Delivery Date]]-OrdersTable[[#This Row],[Order Date]]</f>
        <v>4</v>
      </c>
      <c r="AD2232" t="str">
        <f>IF(OrdersTable[[#This Row],[Delivery Days]]&lt;=2, "Express (≤2d)", IF(OrdersTable[[#This Row],[Delivery Days]]&lt;=4, "Standard (3-4d)", "Delayed (5d+)"))</f>
        <v>Standard (3-4d)</v>
      </c>
      <c r="AF2232">
        <v>0</v>
      </c>
    </row>
    <row r="2233" spans="1:32" ht="15" x14ac:dyDescent="0.35">
      <c r="A2233" t="s">
        <v>245</v>
      </c>
      <c r="B2233" s="1">
        <v>45676</v>
      </c>
      <c r="C2233">
        <f>YEAR(OrdersTable[[#This Row],[Order Date]])</f>
        <v>2025</v>
      </c>
      <c r="D2233" s="2">
        <f>DATE(YEAR(OrdersTable[[#This Row],[Order Date]]),MONTH(OrdersTable[[#This Row],[Order Date]]),1)</f>
        <v>45658</v>
      </c>
      <c r="E2233">
        <f>MONTH(OrdersTable[[#This Row],[Order Date]])</f>
        <v>1</v>
      </c>
      <c r="F2233" t="s">
        <v>246</v>
      </c>
      <c r="G2233" t="str">
        <f>IF(OrdersTable[[#This Row],[Order Date]]=_xlfn.MINIFS(Order_Date, Customer_ID, OrdersTable[[#This Row],[Customer ID]]), "New", "Repeat")</f>
        <v>Repeat</v>
      </c>
      <c r="H2233" t="s">
        <v>37</v>
      </c>
      <c r="I2233" t="str">
        <f>INDEX(State!B:B,MATCH(OrdersTable[[#This Row],[State]],State!A:A,0))</f>
        <v>GJ</v>
      </c>
      <c r="J2233" t="str">
        <f>INDEX(State!C:C,MATCH(OrdersTable[[#This Row],[State Code]],State!B:B,0))</f>
        <v>West</v>
      </c>
      <c r="K2233" t="s">
        <v>247</v>
      </c>
      <c r="L2233" t="s">
        <v>23</v>
      </c>
      <c r="M2233" t="s">
        <v>84</v>
      </c>
      <c r="N2233" t="str">
        <f>INDEX(Products!B:B,MATCH(OrdersTable[[#This Row],[Product ID]],Products!A:A,0))</f>
        <v>Cotton Bedsheet</v>
      </c>
      <c r="O2233" t="str">
        <f>INDEX(Products!C:C,MATCH(OrdersTable[[#This Row],[Product ID]],Products!A:A,0))</f>
        <v>Home &amp; Kitchen</v>
      </c>
      <c r="P2233">
        <v>1</v>
      </c>
      <c r="Q2233" s="5">
        <v>1299</v>
      </c>
      <c r="R2233" s="74">
        <v>0</v>
      </c>
      <c r="S2233" s="75">
        <f>OrdersTable[[#This Row],[Quantity]]*OrdersTable[[#This Row],[Unit Price]]</f>
        <v>1299</v>
      </c>
      <c r="T2233" s="5">
        <f>OrdersTable[[#This Row],[Gross Sale]]*OrdersTable[[#This Row],[Discount_Clean2]]</f>
        <v>0</v>
      </c>
      <c r="U2233" s="5">
        <f>OrdersTable[[#This Row],[Gross Sale]]-OrdersTable[[#This Row],[Discount Amount]]</f>
        <v>1299</v>
      </c>
      <c r="V2233" s="77">
        <f>INDEX(Products!E:E,MATCH(OrdersTable[[#This Row],[Product ID]],Products!A:A,0))</f>
        <v>585</v>
      </c>
      <c r="W2233" s="77">
        <f>OrdersTable[[#This Row],[Quantity]]*OrdersTable[[#This Row],[Unit Cost]]</f>
        <v>585</v>
      </c>
      <c r="X2233" s="77">
        <f>'Dropdown Lists'!$I$2*(1+OrdersTable[[#This Row],[Returned]])</f>
        <v>60</v>
      </c>
      <c r="Y2233" s="76">
        <f>OrdersTable[[#This Row],[Net Revenue]]-OrdersTable[[#This Row],[COGS]]-OrdersTable[[#This Row],[Shipping Cost]]</f>
        <v>654</v>
      </c>
      <c r="Z2233" s="78">
        <f>IFERROR(OrdersTable[[#This Row],[Profit]]/OrdersTable[[#This Row],[Net Revenue]],0)</f>
        <v>0.50346420323325636</v>
      </c>
      <c r="AA2233" t="s">
        <v>18</v>
      </c>
      <c r="AB2233" s="79">
        <v>45679</v>
      </c>
      <c r="AC2233">
        <f>OrdersTable[[#This Row],[Delivery Date]]-OrdersTable[[#This Row],[Order Date]]</f>
        <v>3</v>
      </c>
      <c r="AD2233" t="str">
        <f>IF(OrdersTable[[#This Row],[Delivery Days]]&lt;=2, "Express (≤2d)", IF(OrdersTable[[#This Row],[Delivery Days]]&lt;=4, "Standard (3-4d)", "Delayed (5d+)"))</f>
        <v>Standard (3-4d)</v>
      </c>
      <c r="AE2233">
        <v>4</v>
      </c>
      <c r="AF2233">
        <v>0</v>
      </c>
    </row>
    <row r="2234" spans="1:32" ht="15" x14ac:dyDescent="0.35">
      <c r="A2234" t="s">
        <v>248</v>
      </c>
      <c r="B2234" s="1">
        <v>45676</v>
      </c>
      <c r="C2234">
        <f>YEAR(OrdersTable[[#This Row],[Order Date]])</f>
        <v>2025</v>
      </c>
      <c r="D2234" s="2">
        <f>DATE(YEAR(OrdersTable[[#This Row],[Order Date]]),MONTH(OrdersTable[[#This Row],[Order Date]]),1)</f>
        <v>45658</v>
      </c>
      <c r="E2234">
        <f>MONTH(OrdersTable[[#This Row],[Order Date]])</f>
        <v>1</v>
      </c>
      <c r="F2234" t="s">
        <v>249</v>
      </c>
      <c r="G2234" t="str">
        <f>IF(OrdersTable[[#This Row],[Order Date]]=_xlfn.MINIFS(Order_Date, Customer_ID, OrdersTable[[#This Row],[Customer ID]]), "New", "Repeat")</f>
        <v>Repeat</v>
      </c>
      <c r="H2234" t="s">
        <v>43</v>
      </c>
      <c r="I2234" t="str">
        <f>INDEX(State!B:B,MATCH(OrdersTable[[#This Row],[State]],State!A:A,0))</f>
        <v>MP</v>
      </c>
      <c r="J2234" t="str">
        <f>INDEX(State!C:C,MATCH(OrdersTable[[#This Row],[State Code]],State!B:B,0))</f>
        <v>West</v>
      </c>
      <c r="K2234" t="s">
        <v>250</v>
      </c>
      <c r="L2234" t="s">
        <v>50</v>
      </c>
      <c r="M2234" t="s">
        <v>106</v>
      </c>
      <c r="N2234" t="str">
        <f>INDEX(Products!B:B,MATCH(OrdersTable[[#This Row],[Product ID]],Products!A:A,0))</f>
        <v>Keratin Hair Mask</v>
      </c>
      <c r="O2234" t="str">
        <f>INDEX(Products!C:C,MATCH(OrdersTable[[#This Row],[Product ID]],Products!A:A,0))</f>
        <v>Haircare</v>
      </c>
      <c r="P2234">
        <v>1</v>
      </c>
      <c r="Q2234" s="5">
        <v>549</v>
      </c>
      <c r="R2234" s="74">
        <v>0.15</v>
      </c>
      <c r="S2234" s="75">
        <f>OrdersTable[[#This Row],[Quantity]]*OrdersTable[[#This Row],[Unit Price]]</f>
        <v>549</v>
      </c>
      <c r="T2234" s="5">
        <f>OrdersTable[[#This Row],[Gross Sale]]*OrdersTable[[#This Row],[Discount_Clean2]]</f>
        <v>82.35</v>
      </c>
      <c r="U2234" s="5">
        <f>OrdersTable[[#This Row],[Gross Sale]]-OrdersTable[[#This Row],[Discount Amount]]</f>
        <v>466.65</v>
      </c>
      <c r="V2234" s="77">
        <f>INDEX(Products!E:E,MATCH(OrdersTable[[#This Row],[Product ID]],Products!A:A,0))</f>
        <v>170</v>
      </c>
      <c r="W2234" s="77">
        <f>OrdersTable[[#This Row],[Quantity]]*OrdersTable[[#This Row],[Unit Cost]]</f>
        <v>170</v>
      </c>
      <c r="X2234" s="77">
        <f>'Dropdown Lists'!$I$2*(1+OrdersTable[[#This Row],[Returned]])</f>
        <v>60</v>
      </c>
      <c r="Y2234" s="76">
        <f>OrdersTable[[#This Row],[Net Revenue]]-OrdersTable[[#This Row],[COGS]]-OrdersTable[[#This Row],[Shipping Cost]]</f>
        <v>236.64999999999998</v>
      </c>
      <c r="Z2234" s="78">
        <f>IFERROR(OrdersTable[[#This Row],[Profit]]/OrdersTable[[#This Row],[Net Revenue]],0)</f>
        <v>0.50712525447337398</v>
      </c>
      <c r="AA2234" t="s">
        <v>18</v>
      </c>
      <c r="AB2234" s="79">
        <v>45679</v>
      </c>
      <c r="AC2234">
        <f>OrdersTable[[#This Row],[Delivery Date]]-OrdersTable[[#This Row],[Order Date]]</f>
        <v>3</v>
      </c>
      <c r="AD2234" t="str">
        <f>IF(OrdersTable[[#This Row],[Delivery Days]]&lt;=2, "Express (≤2d)", IF(OrdersTable[[#This Row],[Delivery Days]]&lt;=4, "Standard (3-4d)", "Delayed (5d+)"))</f>
        <v>Standard (3-4d)</v>
      </c>
      <c r="AE2234">
        <v>4</v>
      </c>
      <c r="AF2234">
        <v>0</v>
      </c>
    </row>
    <row r="2235" spans="1:32" ht="15" x14ac:dyDescent="0.35">
      <c r="A2235" t="s">
        <v>6139</v>
      </c>
      <c r="B2235" s="1">
        <v>45676</v>
      </c>
      <c r="C2235">
        <f>YEAR(OrdersTable[[#This Row],[Order Date]])</f>
        <v>2025</v>
      </c>
      <c r="D2235" s="2">
        <f>DATE(YEAR(OrdersTable[[#This Row],[Order Date]]),MONTH(OrdersTable[[#This Row],[Order Date]]),1)</f>
        <v>45658</v>
      </c>
      <c r="E2235">
        <f>MONTH(OrdersTable[[#This Row],[Order Date]])</f>
        <v>1</v>
      </c>
      <c r="F2235" t="s">
        <v>539</v>
      </c>
      <c r="G2235" t="str">
        <f>IF(OrdersTable[[#This Row],[Order Date]]=_xlfn.MINIFS(Order_Date, Customer_ID, OrdersTable[[#This Row],[Customer ID]]), "New", "Repeat")</f>
        <v>Repeat</v>
      </c>
      <c r="H2235" t="s">
        <v>167</v>
      </c>
      <c r="I2235" t="str">
        <f>INDEX(State!B:B,MATCH(OrdersTable[[#This Row],[State]],State!A:A,0))</f>
        <v>KA</v>
      </c>
      <c r="J2235" t="str">
        <f>INDEX(State!C:C,MATCH(OrdersTable[[#This Row],[State Code]],State!B:B,0))</f>
        <v>South</v>
      </c>
      <c r="K2235" t="s">
        <v>190</v>
      </c>
      <c r="L2235" t="s">
        <v>65</v>
      </c>
      <c r="M2235" t="s">
        <v>109</v>
      </c>
      <c r="N2235" t="str">
        <f>INDEX(Products!B:B,MATCH(OrdersTable[[#This Row],[Product ID]],Products!A:A,0))</f>
        <v>Onion Hair Oil</v>
      </c>
      <c r="O2235" t="str">
        <f>INDEX(Products!C:C,MATCH(OrdersTable[[#This Row],[Product ID]],Products!A:A,0))</f>
        <v>Haircare</v>
      </c>
      <c r="P2235">
        <v>2</v>
      </c>
      <c r="Q2235" s="5">
        <v>349</v>
      </c>
      <c r="R2235" s="74">
        <v>0.3</v>
      </c>
      <c r="S2235" s="75">
        <f>OrdersTable[[#This Row],[Quantity]]*OrdersTable[[#This Row],[Unit Price]]</f>
        <v>698</v>
      </c>
      <c r="T2235" s="5">
        <f>OrdersTable[[#This Row],[Gross Sale]]*OrdersTable[[#This Row],[Discount_Clean2]]</f>
        <v>209.4</v>
      </c>
      <c r="U2235" s="5">
        <f>OrdersTable[[#This Row],[Gross Sale]]-OrdersTable[[#This Row],[Discount Amount]]</f>
        <v>488.6</v>
      </c>
      <c r="V2235" s="77">
        <f>INDEX(Products!E:E,MATCH(OrdersTable[[#This Row],[Product ID]],Products!A:A,0))</f>
        <v>105</v>
      </c>
      <c r="W2235" s="77">
        <f>OrdersTable[[#This Row],[Quantity]]*OrdersTable[[#This Row],[Unit Cost]]</f>
        <v>210</v>
      </c>
      <c r="X2235" s="77">
        <f>'Dropdown Lists'!$I$2*(1+OrdersTable[[#This Row],[Returned]])</f>
        <v>60</v>
      </c>
      <c r="Y2235" s="76">
        <f>OrdersTable[[#This Row],[Net Revenue]]-OrdersTable[[#This Row],[COGS]]-OrdersTable[[#This Row],[Shipping Cost]]</f>
        <v>218.60000000000002</v>
      </c>
      <c r="Z2235" s="78">
        <f>IFERROR(OrdersTable[[#This Row],[Profit]]/OrdersTable[[#This Row],[Net Revenue]],0)</f>
        <v>0.44740073679901765</v>
      </c>
      <c r="AA2235" t="s">
        <v>18</v>
      </c>
      <c r="AB2235" s="79">
        <v>45677</v>
      </c>
      <c r="AC2235">
        <f>OrdersTable[[#This Row],[Delivery Date]]-OrdersTable[[#This Row],[Order Date]]</f>
        <v>1</v>
      </c>
      <c r="AD2235" t="str">
        <f>IF(OrdersTable[[#This Row],[Delivery Days]]&lt;=2, "Express (≤2d)", IF(OrdersTable[[#This Row],[Delivery Days]]&lt;=4, "Standard (3-4d)", "Delayed (5d+)"))</f>
        <v>Express (≤2d)</v>
      </c>
      <c r="AE2235">
        <v>4</v>
      </c>
      <c r="AF2235">
        <v>0</v>
      </c>
    </row>
    <row r="2236" spans="1:32" ht="15" x14ac:dyDescent="0.35">
      <c r="A2236" t="s">
        <v>1529</v>
      </c>
      <c r="B2236" s="1">
        <v>45676</v>
      </c>
      <c r="C2236">
        <f>YEAR(OrdersTable[[#This Row],[Order Date]])</f>
        <v>2025</v>
      </c>
      <c r="D2236" s="2">
        <f>DATE(YEAR(OrdersTable[[#This Row],[Order Date]]),MONTH(OrdersTable[[#This Row],[Order Date]]),1)</f>
        <v>45658</v>
      </c>
      <c r="E2236">
        <f>MONTH(OrdersTable[[#This Row],[Order Date]])</f>
        <v>1</v>
      </c>
      <c r="F2236" t="s">
        <v>1530</v>
      </c>
      <c r="G2236" t="str">
        <f>IF(OrdersTable[[#This Row],[Order Date]]=_xlfn.MINIFS(Order_Date, Customer_ID, OrdersTable[[#This Row],[Customer ID]]), "New", "Repeat")</f>
        <v>New</v>
      </c>
      <c r="H2236" t="s">
        <v>167</v>
      </c>
      <c r="I2236" t="str">
        <f>INDEX(State!B:B,MATCH(OrdersTable[[#This Row],[State]],State!A:A,0))</f>
        <v>KA</v>
      </c>
      <c r="J2236" t="str">
        <f>INDEX(State!C:C,MATCH(OrdersTable[[#This Row],[State Code]],State!B:B,0))</f>
        <v>South</v>
      </c>
      <c r="K2236" t="s">
        <v>190</v>
      </c>
      <c r="L2236" t="s">
        <v>39</v>
      </c>
      <c r="M2236" t="s">
        <v>148</v>
      </c>
      <c r="N2236" t="str">
        <f>INDEX(Products!B:B,MATCH(OrdersTable[[#This Row],[Product ID]],Products!A:A,0))</f>
        <v>Smartwatch Strap</v>
      </c>
      <c r="O2236" t="str">
        <f>INDEX(Products!C:C,MATCH(OrdersTable[[#This Row],[Product ID]],Products!A:A,0))</f>
        <v>Electronics</v>
      </c>
      <c r="P2236">
        <v>1</v>
      </c>
      <c r="Q2236" s="5">
        <v>499</v>
      </c>
      <c r="R2236" s="74">
        <v>0.15</v>
      </c>
      <c r="S2236" s="75">
        <f>OrdersTable[[#This Row],[Quantity]]*OrdersTable[[#This Row],[Unit Price]]</f>
        <v>499</v>
      </c>
      <c r="T2236" s="5">
        <f>OrdersTable[[#This Row],[Gross Sale]]*OrdersTable[[#This Row],[Discount_Clean2]]</f>
        <v>74.849999999999994</v>
      </c>
      <c r="U2236" s="5">
        <f>OrdersTable[[#This Row],[Gross Sale]]-OrdersTable[[#This Row],[Discount Amount]]</f>
        <v>424.15</v>
      </c>
      <c r="V2236" s="77">
        <f>INDEX(Products!E:E,MATCH(OrdersTable[[#This Row],[Product ID]],Products!A:A,0))</f>
        <v>200</v>
      </c>
      <c r="W2236" s="77">
        <f>OrdersTable[[#This Row],[Quantity]]*OrdersTable[[#This Row],[Unit Cost]]</f>
        <v>200</v>
      </c>
      <c r="X2236" s="77">
        <f>'Dropdown Lists'!$I$2*(1+OrdersTable[[#This Row],[Returned]])</f>
        <v>60</v>
      </c>
      <c r="Y2236" s="76">
        <f>OrdersTable[[#This Row],[Net Revenue]]-OrdersTable[[#This Row],[COGS]]-OrdersTable[[#This Row],[Shipping Cost]]</f>
        <v>164.14999999999998</v>
      </c>
      <c r="Z2236" s="78">
        <f>IFERROR(OrdersTable[[#This Row],[Profit]]/OrdersTable[[#This Row],[Net Revenue]],0)</f>
        <v>0.38700931274313327</v>
      </c>
      <c r="AA2236" t="s">
        <v>18</v>
      </c>
      <c r="AB2236" s="79">
        <v>45678</v>
      </c>
      <c r="AC2236">
        <f>OrdersTable[[#This Row],[Delivery Date]]-OrdersTable[[#This Row],[Order Date]]</f>
        <v>2</v>
      </c>
      <c r="AD2236" t="str">
        <f>IF(OrdersTable[[#This Row],[Delivery Days]]&lt;=2, "Express (≤2d)", IF(OrdersTable[[#This Row],[Delivery Days]]&lt;=4, "Standard (3-4d)", "Delayed (5d+)"))</f>
        <v>Express (≤2d)</v>
      </c>
      <c r="AF2236">
        <v>0</v>
      </c>
    </row>
    <row r="2237" spans="1:32" ht="15" x14ac:dyDescent="0.35">
      <c r="A2237" t="s">
        <v>5599</v>
      </c>
      <c r="B2237" s="1">
        <v>45676</v>
      </c>
      <c r="C2237">
        <f>YEAR(OrdersTable[[#This Row],[Order Date]])</f>
        <v>2025</v>
      </c>
      <c r="D2237" s="2">
        <f>DATE(YEAR(OrdersTable[[#This Row],[Order Date]]),MONTH(OrdersTable[[#This Row],[Order Date]]),1)</f>
        <v>45658</v>
      </c>
      <c r="E2237">
        <f>MONTH(OrdersTable[[#This Row],[Order Date]])</f>
        <v>1</v>
      </c>
      <c r="F2237" t="s">
        <v>1005</v>
      </c>
      <c r="G2237" t="str">
        <f>IF(OrdersTable[[#This Row],[Order Date]]=_xlfn.MINIFS(Order_Date, Customer_ID, OrdersTable[[#This Row],[Customer ID]]), "New", "Repeat")</f>
        <v>Repeat</v>
      </c>
      <c r="H2237" t="s">
        <v>59</v>
      </c>
      <c r="I2237" t="str">
        <f>INDEX(State!B:B,MATCH(OrdersTable[[#This Row],[State]],State!A:A,0))</f>
        <v>TN</v>
      </c>
      <c r="J2237" t="str">
        <f>INDEX(State!C:C,MATCH(OrdersTable[[#This Row],[State Code]],State!B:B,0))</f>
        <v>South</v>
      </c>
      <c r="K2237" t="s">
        <v>64</v>
      </c>
      <c r="L2237" t="s">
        <v>50</v>
      </c>
      <c r="M2237" t="s">
        <v>152</v>
      </c>
      <c r="N2237" t="str">
        <f>INDEX(Products!B:B,MATCH(OrdersTable[[#This Row],[Product ID]],Products!A:A,0))</f>
        <v>Green Tea (100 bags)</v>
      </c>
      <c r="O2237" t="str">
        <f>INDEX(Products!C:C,MATCH(OrdersTable[[#This Row],[Product ID]],Products!A:A,0))</f>
        <v>Wellness</v>
      </c>
      <c r="P2237">
        <v>2</v>
      </c>
      <c r="Q2237" s="5">
        <v>399</v>
      </c>
      <c r="R2237" s="74">
        <v>0.3</v>
      </c>
      <c r="S2237" s="75">
        <f>OrdersTable[[#This Row],[Quantity]]*OrdersTable[[#This Row],[Unit Price]]</f>
        <v>798</v>
      </c>
      <c r="T2237" s="5">
        <f>OrdersTable[[#This Row],[Gross Sale]]*OrdersTable[[#This Row],[Discount_Clean2]]</f>
        <v>239.39999999999998</v>
      </c>
      <c r="U2237" s="5">
        <f>OrdersTable[[#This Row],[Gross Sale]]-OrdersTable[[#This Row],[Discount Amount]]</f>
        <v>558.6</v>
      </c>
      <c r="V2237" s="77">
        <f>INDEX(Products!E:E,MATCH(OrdersTable[[#This Row],[Product ID]],Products!A:A,0))</f>
        <v>128</v>
      </c>
      <c r="W2237" s="77">
        <f>OrdersTable[[#This Row],[Quantity]]*OrdersTable[[#This Row],[Unit Cost]]</f>
        <v>256</v>
      </c>
      <c r="X2237" s="77">
        <f>'Dropdown Lists'!$I$2*(1+OrdersTable[[#This Row],[Returned]])</f>
        <v>60</v>
      </c>
      <c r="Y2237" s="76">
        <f>OrdersTable[[#This Row],[Net Revenue]]-OrdersTable[[#This Row],[COGS]]-OrdersTable[[#This Row],[Shipping Cost]]</f>
        <v>242.60000000000002</v>
      </c>
      <c r="Z2237" s="78">
        <f>IFERROR(OrdersTable[[#This Row],[Profit]]/OrdersTable[[#This Row],[Net Revenue]],0)</f>
        <v>0.43430003580379523</v>
      </c>
      <c r="AA2237" t="s">
        <v>2522</v>
      </c>
      <c r="AB2237" s="79">
        <v>45678</v>
      </c>
      <c r="AC2237">
        <f>OrdersTable[[#This Row],[Delivery Date]]-OrdersTable[[#This Row],[Order Date]]</f>
        <v>2</v>
      </c>
      <c r="AD2237" t="str">
        <f>IF(OrdersTable[[#This Row],[Delivery Days]]&lt;=2, "Express (≤2d)", IF(OrdersTable[[#This Row],[Delivery Days]]&lt;=4, "Standard (3-4d)", "Delayed (5d+)"))</f>
        <v>Express (≤2d)</v>
      </c>
      <c r="AE2237">
        <v>4</v>
      </c>
      <c r="AF2237">
        <v>0</v>
      </c>
    </row>
    <row r="2238" spans="1:32" ht="15" x14ac:dyDescent="0.35">
      <c r="A2238" t="s">
        <v>2778</v>
      </c>
      <c r="B2238" s="1">
        <v>45677</v>
      </c>
      <c r="C2238">
        <f>YEAR(OrdersTable[[#This Row],[Order Date]])</f>
        <v>2025</v>
      </c>
      <c r="D2238" s="2">
        <f>DATE(YEAR(OrdersTable[[#This Row],[Order Date]]),MONTH(OrdersTable[[#This Row],[Order Date]]),1)</f>
        <v>45658</v>
      </c>
      <c r="E2238">
        <f>MONTH(OrdersTable[[#This Row],[Order Date]])</f>
        <v>1</v>
      </c>
      <c r="F2238" t="s">
        <v>2779</v>
      </c>
      <c r="G2238" t="str">
        <f>IF(OrdersTable[[#This Row],[Order Date]]=_xlfn.MINIFS(Order_Date, Customer_ID, OrdersTable[[#This Row],[Customer ID]]), "New", "Repeat")</f>
        <v>Repeat</v>
      </c>
      <c r="H2238" t="s">
        <v>54</v>
      </c>
      <c r="I2238" t="str">
        <f>INDEX(State!B:B,MATCH(OrdersTable[[#This Row],[State]],State!A:A,0))</f>
        <v>RJ</v>
      </c>
      <c r="J2238" t="str">
        <f>INDEX(State!C:C,MATCH(OrdersTable[[#This Row],[State Code]],State!B:B,0))</f>
        <v>North</v>
      </c>
      <c r="K2238" t="s">
        <v>227</v>
      </c>
      <c r="L2238" t="s">
        <v>23</v>
      </c>
      <c r="M2238" t="s">
        <v>34</v>
      </c>
      <c r="N2238" t="str">
        <f>INDEX(Products!B:B,MATCH(OrdersTable[[#This Row],[Product ID]],Products!A:A,0))</f>
        <v>Flip Flops</v>
      </c>
      <c r="O2238" t="str">
        <f>INDEX(Products!C:C,MATCH(OrdersTable[[#This Row],[Product ID]],Products!A:A,0))</f>
        <v>Footwear</v>
      </c>
      <c r="P2238">
        <v>1</v>
      </c>
      <c r="Q2238" s="5">
        <v>399</v>
      </c>
      <c r="R2238" s="74">
        <v>0.1</v>
      </c>
      <c r="S2238" s="75">
        <f>OrdersTable[[#This Row],[Quantity]]*OrdersTable[[#This Row],[Unit Price]]</f>
        <v>399</v>
      </c>
      <c r="T2238" s="5">
        <f>OrdersTable[[#This Row],[Gross Sale]]*OrdersTable[[#This Row],[Discount_Clean2]]</f>
        <v>39.900000000000006</v>
      </c>
      <c r="U2238" s="5">
        <f>OrdersTable[[#This Row],[Gross Sale]]-OrdersTable[[#This Row],[Discount Amount]]</f>
        <v>359.1</v>
      </c>
      <c r="V2238" s="77">
        <f>INDEX(Products!E:E,MATCH(OrdersTable[[#This Row],[Product ID]],Products!A:A,0))</f>
        <v>152</v>
      </c>
      <c r="W2238" s="77">
        <f>OrdersTable[[#This Row],[Quantity]]*OrdersTable[[#This Row],[Unit Cost]]</f>
        <v>152</v>
      </c>
      <c r="X2238" s="77">
        <f>'Dropdown Lists'!$I$2*(1+OrdersTable[[#This Row],[Returned]])</f>
        <v>60</v>
      </c>
      <c r="Y2238" s="76">
        <f>OrdersTable[[#This Row],[Net Revenue]]-OrdersTable[[#This Row],[COGS]]-OrdersTable[[#This Row],[Shipping Cost]]</f>
        <v>147.10000000000002</v>
      </c>
      <c r="Z2238" s="78">
        <f>IFERROR(OrdersTable[[#This Row],[Profit]]/OrdersTable[[#This Row],[Net Revenue]],0)</f>
        <v>0.40963519910888335</v>
      </c>
      <c r="AA2238" t="s">
        <v>2522</v>
      </c>
      <c r="AB2238" s="79">
        <v>45681</v>
      </c>
      <c r="AC2238">
        <f>OrdersTable[[#This Row],[Delivery Date]]-OrdersTable[[#This Row],[Order Date]]</f>
        <v>4</v>
      </c>
      <c r="AD2238" t="str">
        <f>IF(OrdersTable[[#This Row],[Delivery Days]]&lt;=2, "Express (≤2d)", IF(OrdersTable[[#This Row],[Delivery Days]]&lt;=4, "Standard (3-4d)", "Delayed (5d+)"))</f>
        <v>Standard (3-4d)</v>
      </c>
      <c r="AE2238">
        <v>3</v>
      </c>
      <c r="AF2238">
        <v>0</v>
      </c>
    </row>
    <row r="2239" spans="1:32" ht="15" x14ac:dyDescent="0.35">
      <c r="A2239" t="s">
        <v>3012</v>
      </c>
      <c r="B2239" s="1">
        <v>45677</v>
      </c>
      <c r="C2239">
        <f>YEAR(OrdersTable[[#This Row],[Order Date]])</f>
        <v>2025</v>
      </c>
      <c r="D2239" s="2">
        <f>DATE(YEAR(OrdersTable[[#This Row],[Order Date]]),MONTH(OrdersTable[[#This Row],[Order Date]]),1)</f>
        <v>45658</v>
      </c>
      <c r="E2239">
        <f>MONTH(OrdersTable[[#This Row],[Order Date]])</f>
        <v>1</v>
      </c>
      <c r="F2239" t="s">
        <v>3013</v>
      </c>
      <c r="G2239" t="str">
        <f>IF(OrdersTable[[#This Row],[Order Date]]=_xlfn.MINIFS(Order_Date, Customer_ID, OrdersTable[[#This Row],[Customer ID]]), "New", "Repeat")</f>
        <v>Repeat</v>
      </c>
      <c r="H2239" t="s">
        <v>128</v>
      </c>
      <c r="I2239" t="str">
        <f>INDEX(State!B:B,MATCH(OrdersTable[[#This Row],[State]],State!A:A,0))</f>
        <v>DL</v>
      </c>
      <c r="J2239" t="str">
        <f>INDEX(State!C:C,MATCH(OrdersTable[[#This Row],[State Code]],State!B:B,0))</f>
        <v>North</v>
      </c>
      <c r="K2239" t="s">
        <v>129</v>
      </c>
      <c r="L2239" t="s">
        <v>23</v>
      </c>
      <c r="M2239" t="s">
        <v>78</v>
      </c>
      <c r="N2239" t="str">
        <f>INDEX(Products!B:B,MATCH(OrdersTable[[#This Row],[Product ID]],Products!A:A,0))</f>
        <v>Retinol Night Cream</v>
      </c>
      <c r="O2239" t="str">
        <f>INDEX(Products!C:C,MATCH(OrdersTable[[#This Row],[Product ID]],Products!A:A,0))</f>
        <v>Skincare</v>
      </c>
      <c r="P2239">
        <v>1</v>
      </c>
      <c r="Q2239" s="5">
        <v>799</v>
      </c>
      <c r="R2239" s="74">
        <v>0.05</v>
      </c>
      <c r="S2239" s="75">
        <f>OrdersTable[[#This Row],[Quantity]]*OrdersTable[[#This Row],[Unit Price]]</f>
        <v>799</v>
      </c>
      <c r="T2239" s="5">
        <f>OrdersTable[[#This Row],[Gross Sale]]*OrdersTable[[#This Row],[Discount_Clean2]]</f>
        <v>39.950000000000003</v>
      </c>
      <c r="U2239" s="5">
        <f>OrdersTable[[#This Row],[Gross Sale]]-OrdersTable[[#This Row],[Discount Amount]]</f>
        <v>759.05</v>
      </c>
      <c r="V2239" s="77">
        <f>INDEX(Products!E:E,MATCH(OrdersTable[[#This Row],[Product ID]],Products!A:A,0))</f>
        <v>216</v>
      </c>
      <c r="W2239" s="77">
        <f>OrdersTable[[#This Row],[Quantity]]*OrdersTable[[#This Row],[Unit Cost]]</f>
        <v>216</v>
      </c>
      <c r="X2239" s="77">
        <f>'Dropdown Lists'!$I$2*(1+OrdersTable[[#This Row],[Returned]])</f>
        <v>60</v>
      </c>
      <c r="Y2239" s="76">
        <f>OrdersTable[[#This Row],[Net Revenue]]-OrdersTable[[#This Row],[COGS]]-OrdersTable[[#This Row],[Shipping Cost]]</f>
        <v>483.04999999999995</v>
      </c>
      <c r="Z2239" s="78">
        <f>IFERROR(OrdersTable[[#This Row],[Profit]]/OrdersTable[[#This Row],[Net Revenue]],0)</f>
        <v>0.63638758975034582</v>
      </c>
      <c r="AA2239" t="s">
        <v>2522</v>
      </c>
      <c r="AB2239" s="79">
        <v>45678</v>
      </c>
      <c r="AC2239">
        <f>OrdersTable[[#This Row],[Delivery Date]]-OrdersTable[[#This Row],[Order Date]]</f>
        <v>1</v>
      </c>
      <c r="AD2239" t="str">
        <f>IF(OrdersTable[[#This Row],[Delivery Days]]&lt;=2, "Express (≤2d)", IF(OrdersTable[[#This Row],[Delivery Days]]&lt;=4, "Standard (3-4d)", "Delayed (5d+)"))</f>
        <v>Express (≤2d)</v>
      </c>
      <c r="AF2239">
        <v>0</v>
      </c>
    </row>
    <row r="2240" spans="1:32" ht="15" x14ac:dyDescent="0.35">
      <c r="A2240" t="s">
        <v>4267</v>
      </c>
      <c r="B2240" s="1">
        <v>45677</v>
      </c>
      <c r="C2240">
        <f>YEAR(OrdersTable[[#This Row],[Order Date]])</f>
        <v>2025</v>
      </c>
      <c r="D2240" s="2">
        <f>DATE(YEAR(OrdersTable[[#This Row],[Order Date]]),MONTH(OrdersTable[[#This Row],[Order Date]]),1)</f>
        <v>45658</v>
      </c>
      <c r="E2240">
        <f>MONTH(OrdersTable[[#This Row],[Order Date]])</f>
        <v>1</v>
      </c>
      <c r="F2240" t="s">
        <v>4268</v>
      </c>
      <c r="G2240" t="str">
        <f>IF(OrdersTable[[#This Row],[Order Date]]=_xlfn.MINIFS(Order_Date, Customer_ID, OrdersTable[[#This Row],[Customer ID]]), "New", "Repeat")</f>
        <v>New</v>
      </c>
      <c r="H2240" t="s">
        <v>128</v>
      </c>
      <c r="I2240" t="str">
        <f>INDEX(State!B:B,MATCH(OrdersTable[[#This Row],[State]],State!A:A,0))</f>
        <v>DL</v>
      </c>
      <c r="J2240" t="str">
        <f>INDEX(State!C:C,MATCH(OrdersTable[[#This Row],[State Code]],State!B:B,0))</f>
        <v>North</v>
      </c>
      <c r="K2240" t="s">
        <v>129</v>
      </c>
      <c r="L2240" t="s">
        <v>39</v>
      </c>
      <c r="M2240" t="s">
        <v>61</v>
      </c>
      <c r="N2240" t="str">
        <f>INDEX(Products!B:B,MATCH(OrdersTable[[#This Row],[Product ID]],Products!A:A,0))</f>
        <v>Multivitamin Gummies</v>
      </c>
      <c r="O2240" t="str">
        <f>INDEX(Products!C:C,MATCH(OrdersTable[[#This Row],[Product ID]],Products!A:A,0))</f>
        <v>Wellness</v>
      </c>
      <c r="P2240">
        <v>1</v>
      </c>
      <c r="Q2240" s="5">
        <v>699</v>
      </c>
      <c r="R2240" s="74">
        <v>0.1</v>
      </c>
      <c r="S2240" s="75">
        <f>OrdersTable[[#This Row],[Quantity]]*OrdersTable[[#This Row],[Unit Price]]</f>
        <v>699</v>
      </c>
      <c r="T2240" s="5">
        <f>OrdersTable[[#This Row],[Gross Sale]]*OrdersTable[[#This Row],[Discount_Clean2]]</f>
        <v>69.900000000000006</v>
      </c>
      <c r="U2240" s="5">
        <f>OrdersTable[[#This Row],[Gross Sale]]-OrdersTable[[#This Row],[Discount Amount]]</f>
        <v>629.1</v>
      </c>
      <c r="V2240" s="77">
        <f>INDEX(Products!E:E,MATCH(OrdersTable[[#This Row],[Product ID]],Products!A:A,0))</f>
        <v>238</v>
      </c>
      <c r="W2240" s="77">
        <f>OrdersTable[[#This Row],[Quantity]]*OrdersTable[[#This Row],[Unit Cost]]</f>
        <v>238</v>
      </c>
      <c r="X2240" s="77">
        <f>'Dropdown Lists'!$I$2*(1+OrdersTable[[#This Row],[Returned]])</f>
        <v>60</v>
      </c>
      <c r="Y2240" s="76">
        <f>OrdersTable[[#This Row],[Net Revenue]]-OrdersTable[[#This Row],[COGS]]-OrdersTable[[#This Row],[Shipping Cost]]</f>
        <v>331.1</v>
      </c>
      <c r="Z2240" s="78">
        <f>IFERROR(OrdersTable[[#This Row],[Profit]]/OrdersTable[[#This Row],[Net Revenue]],0)</f>
        <v>0.52630742330313152</v>
      </c>
      <c r="AA2240" t="s">
        <v>4074</v>
      </c>
      <c r="AB2240" s="79">
        <v>45679</v>
      </c>
      <c r="AC2240">
        <f>OrdersTable[[#This Row],[Delivery Date]]-OrdersTable[[#This Row],[Order Date]]</f>
        <v>2</v>
      </c>
      <c r="AD2240" t="str">
        <f>IF(OrdersTable[[#This Row],[Delivery Days]]&lt;=2, "Express (≤2d)", IF(OrdersTable[[#This Row],[Delivery Days]]&lt;=4, "Standard (3-4d)", "Delayed (5d+)"))</f>
        <v>Express (≤2d)</v>
      </c>
      <c r="AF2240">
        <v>0</v>
      </c>
    </row>
    <row r="2241" spans="1:32" ht="15" x14ac:dyDescent="0.35">
      <c r="A2241" t="s">
        <v>6140</v>
      </c>
      <c r="B2241" s="1">
        <v>45677</v>
      </c>
      <c r="C2241">
        <f>YEAR(OrdersTable[[#This Row],[Order Date]])</f>
        <v>2025</v>
      </c>
      <c r="D2241" s="2">
        <f>DATE(YEAR(OrdersTable[[#This Row],[Order Date]]),MONTH(OrdersTable[[#This Row],[Order Date]]),1)</f>
        <v>45658</v>
      </c>
      <c r="E2241">
        <f>MONTH(OrdersTable[[#This Row],[Order Date]])</f>
        <v>1</v>
      </c>
      <c r="F2241" t="s">
        <v>6141</v>
      </c>
      <c r="G2241" t="str">
        <f>IF(OrdersTable[[#This Row],[Order Date]]=_xlfn.MINIFS(Order_Date, Customer_ID, OrdersTable[[#This Row],[Customer ID]]), "New", "Repeat")</f>
        <v>New</v>
      </c>
      <c r="H2241" t="s">
        <v>76</v>
      </c>
      <c r="I2241" t="str">
        <f>INDEX(State!B:B,MATCH(OrdersTable[[#This Row],[State]],State!A:A,0))</f>
        <v>UP</v>
      </c>
      <c r="J2241" t="str">
        <f>INDEX(State!C:C,MATCH(OrdersTable[[#This Row],[State Code]],State!B:B,0))</f>
        <v>North</v>
      </c>
      <c r="K2241" t="s">
        <v>105</v>
      </c>
      <c r="L2241" t="s">
        <v>16</v>
      </c>
      <c r="M2241" t="s">
        <v>576</v>
      </c>
      <c r="N2241" t="str">
        <f>INDEX(Products!B:B,MATCH(OrdersTable[[#This Row],[Product ID]],Products!A:A,0))</f>
        <v>Printed Saree</v>
      </c>
      <c r="O2241" t="str">
        <f>INDEX(Products!C:C,MATCH(OrdersTable[[#This Row],[Product ID]],Products!A:A,0))</f>
        <v>Apparel</v>
      </c>
      <c r="P2241">
        <v>2</v>
      </c>
      <c r="Q2241" s="5">
        <v>1999</v>
      </c>
      <c r="R2241" s="74">
        <v>0.15</v>
      </c>
      <c r="S2241" s="75">
        <f>OrdersTable[[#This Row],[Quantity]]*OrdersTable[[#This Row],[Unit Price]]</f>
        <v>3998</v>
      </c>
      <c r="T2241" s="5">
        <f>OrdersTable[[#This Row],[Gross Sale]]*OrdersTable[[#This Row],[Discount_Clean2]]</f>
        <v>599.69999999999993</v>
      </c>
      <c r="U2241" s="5">
        <f>OrdersTable[[#This Row],[Gross Sale]]-OrdersTable[[#This Row],[Discount Amount]]</f>
        <v>3398.3</v>
      </c>
      <c r="V2241" s="77">
        <f>INDEX(Products!E:E,MATCH(OrdersTable[[#This Row],[Product ID]],Products!A:A,0))</f>
        <v>880</v>
      </c>
      <c r="W2241" s="77">
        <f>OrdersTable[[#This Row],[Quantity]]*OrdersTable[[#This Row],[Unit Cost]]</f>
        <v>1760</v>
      </c>
      <c r="X2241" s="77">
        <f>'Dropdown Lists'!$I$2*(1+OrdersTable[[#This Row],[Returned]])</f>
        <v>60</v>
      </c>
      <c r="Y2241" s="76">
        <f>OrdersTable[[#This Row],[Net Revenue]]-OrdersTable[[#This Row],[COGS]]-OrdersTable[[#This Row],[Shipping Cost]]</f>
        <v>1578.3000000000002</v>
      </c>
      <c r="Z2241" s="78">
        <f>IFERROR(OrdersTable[[#This Row],[Profit]]/OrdersTable[[#This Row],[Net Revenue]],0)</f>
        <v>0.464438101403643</v>
      </c>
      <c r="AA2241" t="s">
        <v>18</v>
      </c>
      <c r="AB2241" s="79">
        <v>45681</v>
      </c>
      <c r="AC2241">
        <f>OrdersTable[[#This Row],[Delivery Date]]-OrdersTable[[#This Row],[Order Date]]</f>
        <v>4</v>
      </c>
      <c r="AD2241" t="str">
        <f>IF(OrdersTable[[#This Row],[Delivery Days]]&lt;=2, "Express (≤2d)", IF(OrdersTable[[#This Row],[Delivery Days]]&lt;=4, "Standard (3-4d)", "Delayed (5d+)"))</f>
        <v>Standard (3-4d)</v>
      </c>
      <c r="AE2241">
        <v>4</v>
      </c>
      <c r="AF2241">
        <v>0</v>
      </c>
    </row>
    <row r="2242" spans="1:32" ht="15" x14ac:dyDescent="0.35">
      <c r="A2242" t="s">
        <v>799</v>
      </c>
      <c r="B2242" s="1">
        <v>45677</v>
      </c>
      <c r="C2242">
        <f>YEAR(OrdersTable[[#This Row],[Order Date]])</f>
        <v>2025</v>
      </c>
      <c r="D2242" s="2">
        <f>DATE(YEAR(OrdersTable[[#This Row],[Order Date]]),MONTH(OrdersTable[[#This Row],[Order Date]]),1)</f>
        <v>45658</v>
      </c>
      <c r="E2242">
        <f>MONTH(OrdersTable[[#This Row],[Order Date]])</f>
        <v>1</v>
      </c>
      <c r="F2242" t="s">
        <v>800</v>
      </c>
      <c r="G2242" t="str">
        <f>IF(OrdersTable[[#This Row],[Order Date]]=_xlfn.MINIFS(Order_Date, Customer_ID, OrdersTable[[#This Row],[Customer ID]]), "New", "Repeat")</f>
        <v>New</v>
      </c>
      <c r="H2242" t="s">
        <v>37</v>
      </c>
      <c r="I2242" t="str">
        <f>INDEX(State!B:B,MATCH(OrdersTable[[#This Row],[State]],State!A:A,0))</f>
        <v>GJ</v>
      </c>
      <c r="J2242" t="str">
        <f>INDEX(State!C:C,MATCH(OrdersTable[[#This Row],[State Code]],State!B:B,0))</f>
        <v>West</v>
      </c>
      <c r="K2242" t="s">
        <v>247</v>
      </c>
      <c r="L2242" t="s">
        <v>39</v>
      </c>
      <c r="M2242" t="s">
        <v>66</v>
      </c>
      <c r="N2242" t="str">
        <f>INDEX(Products!B:B,MATCH(OrdersTable[[#This Row],[Product ID]],Products!A:A,0))</f>
        <v>Sunscreen SPF 50</v>
      </c>
      <c r="O2242" t="str">
        <f>INDEX(Products!C:C,MATCH(OrdersTable[[#This Row],[Product ID]],Products!A:A,0))</f>
        <v>Skincare</v>
      </c>
      <c r="P2242">
        <v>1</v>
      </c>
      <c r="Q2242" s="5">
        <v>449</v>
      </c>
      <c r="R2242" s="74">
        <v>0</v>
      </c>
      <c r="S2242" s="75">
        <f>OrdersTable[[#This Row],[Quantity]]*OrdersTable[[#This Row],[Unit Price]]</f>
        <v>449</v>
      </c>
      <c r="T2242" s="5">
        <f>OrdersTable[[#This Row],[Gross Sale]]*OrdersTable[[#This Row],[Discount_Clean2]]</f>
        <v>0</v>
      </c>
      <c r="U2242" s="5">
        <f>OrdersTable[[#This Row],[Gross Sale]]-OrdersTable[[#This Row],[Discount Amount]]</f>
        <v>449</v>
      </c>
      <c r="V2242" s="77">
        <f>INDEX(Products!E:E,MATCH(OrdersTable[[#This Row],[Product ID]],Products!A:A,0))</f>
        <v>144</v>
      </c>
      <c r="W2242" s="77">
        <f>OrdersTable[[#This Row],[Quantity]]*OrdersTable[[#This Row],[Unit Cost]]</f>
        <v>144</v>
      </c>
      <c r="X2242" s="77">
        <f>'Dropdown Lists'!$I$2*(1+OrdersTable[[#This Row],[Returned]])</f>
        <v>60</v>
      </c>
      <c r="Y2242" s="76">
        <f>OrdersTable[[#This Row],[Net Revenue]]-OrdersTable[[#This Row],[COGS]]-OrdersTable[[#This Row],[Shipping Cost]]</f>
        <v>245</v>
      </c>
      <c r="Z2242" s="78">
        <f>IFERROR(OrdersTable[[#This Row],[Profit]]/OrdersTable[[#This Row],[Net Revenue]],0)</f>
        <v>0.54565701559020041</v>
      </c>
      <c r="AA2242" t="s">
        <v>18</v>
      </c>
      <c r="AB2242" s="79">
        <v>45682</v>
      </c>
      <c r="AC2242">
        <f>OrdersTable[[#This Row],[Delivery Date]]-OrdersTable[[#This Row],[Order Date]]</f>
        <v>5</v>
      </c>
      <c r="AD2242" t="str">
        <f>IF(OrdersTable[[#This Row],[Delivery Days]]&lt;=2, "Express (≤2d)", IF(OrdersTable[[#This Row],[Delivery Days]]&lt;=4, "Standard (3-4d)", "Delayed (5d+)"))</f>
        <v>Delayed (5d+)</v>
      </c>
      <c r="AE2242">
        <v>4</v>
      </c>
      <c r="AF2242">
        <v>0</v>
      </c>
    </row>
    <row r="2243" spans="1:32" ht="15" x14ac:dyDescent="0.35">
      <c r="A2243" t="s">
        <v>6553</v>
      </c>
      <c r="B2243" s="1">
        <v>45677</v>
      </c>
      <c r="C2243">
        <f>YEAR(OrdersTable[[#This Row],[Order Date]])</f>
        <v>2025</v>
      </c>
      <c r="D2243" s="2">
        <f>DATE(YEAR(OrdersTable[[#This Row],[Order Date]]),MONTH(OrdersTable[[#This Row],[Order Date]]),1)</f>
        <v>45658</v>
      </c>
      <c r="E2243">
        <f>MONTH(OrdersTable[[#This Row],[Order Date]])</f>
        <v>1</v>
      </c>
      <c r="F2243" t="s">
        <v>1486</v>
      </c>
      <c r="G2243" t="str">
        <f>IF(OrdersTable[[#This Row],[Order Date]]=_xlfn.MINIFS(Order_Date, Customer_ID, OrdersTable[[#This Row],[Customer ID]]), "New", "Repeat")</f>
        <v>Repeat</v>
      </c>
      <c r="H2243" t="s">
        <v>43</v>
      </c>
      <c r="I2243" t="str">
        <f>INDEX(State!B:B,MATCH(OrdersTable[[#This Row],[State]],State!A:A,0))</f>
        <v>MP</v>
      </c>
      <c r="J2243" t="str">
        <f>INDEX(State!C:C,MATCH(OrdersTable[[#This Row],[State Code]],State!B:B,0))</f>
        <v>West</v>
      </c>
      <c r="K2243" t="s">
        <v>44</v>
      </c>
      <c r="L2243" t="s">
        <v>50</v>
      </c>
      <c r="M2243" t="s">
        <v>66</v>
      </c>
      <c r="N2243" t="str">
        <f>INDEX(Products!B:B,MATCH(OrdersTable[[#This Row],[Product ID]],Products!A:A,0))</f>
        <v>Sunscreen SPF 50</v>
      </c>
      <c r="O2243" t="str">
        <f>INDEX(Products!C:C,MATCH(OrdersTable[[#This Row],[Product ID]],Products!A:A,0))</f>
        <v>Skincare</v>
      </c>
      <c r="P2243">
        <v>3</v>
      </c>
      <c r="Q2243" s="5">
        <v>449</v>
      </c>
      <c r="R2243" s="74">
        <v>0.05</v>
      </c>
      <c r="S2243" s="75">
        <f>OrdersTable[[#This Row],[Quantity]]*OrdersTable[[#This Row],[Unit Price]]</f>
        <v>1347</v>
      </c>
      <c r="T2243" s="5">
        <f>OrdersTable[[#This Row],[Gross Sale]]*OrdersTable[[#This Row],[Discount_Clean2]]</f>
        <v>67.350000000000009</v>
      </c>
      <c r="U2243" s="5">
        <f>OrdersTable[[#This Row],[Gross Sale]]-OrdersTable[[#This Row],[Discount Amount]]</f>
        <v>1279.6500000000001</v>
      </c>
      <c r="V2243" s="77">
        <f>INDEX(Products!E:E,MATCH(OrdersTable[[#This Row],[Product ID]],Products!A:A,0))</f>
        <v>144</v>
      </c>
      <c r="W2243" s="77">
        <f>OrdersTable[[#This Row],[Quantity]]*OrdersTable[[#This Row],[Unit Cost]]</f>
        <v>432</v>
      </c>
      <c r="X2243" s="77">
        <f>'Dropdown Lists'!$I$2*(1+OrdersTable[[#This Row],[Returned]])</f>
        <v>120</v>
      </c>
      <c r="Y2243" s="76">
        <f>OrdersTable[[#This Row],[Net Revenue]]-OrdersTable[[#This Row],[COGS]]-OrdersTable[[#This Row],[Shipping Cost]]</f>
        <v>727.65000000000009</v>
      </c>
      <c r="Z2243" s="78">
        <f>IFERROR(OrdersTable[[#This Row],[Profit]]/OrdersTable[[#This Row],[Net Revenue]],0)</f>
        <v>0.5686320478255773</v>
      </c>
      <c r="AA2243" t="s">
        <v>18</v>
      </c>
      <c r="AB2243" s="79">
        <v>45680</v>
      </c>
      <c r="AC2243">
        <f>OrdersTable[[#This Row],[Delivery Date]]-OrdersTable[[#This Row],[Order Date]]</f>
        <v>3</v>
      </c>
      <c r="AD2243" t="str">
        <f>IF(OrdersTable[[#This Row],[Delivery Days]]&lt;=2, "Express (≤2d)", IF(OrdersTable[[#This Row],[Delivery Days]]&lt;=4, "Standard (3-4d)", "Delayed (5d+)"))</f>
        <v>Standard (3-4d)</v>
      </c>
      <c r="AF2243">
        <v>1</v>
      </c>
    </row>
    <row r="2244" spans="1:32" ht="15" x14ac:dyDescent="0.35">
      <c r="A2244" t="s">
        <v>4012</v>
      </c>
      <c r="B2244" s="1">
        <v>45677</v>
      </c>
      <c r="C2244">
        <f>YEAR(OrdersTable[[#This Row],[Order Date]])</f>
        <v>2025</v>
      </c>
      <c r="D2244" s="2">
        <f>DATE(YEAR(OrdersTable[[#This Row],[Order Date]]),MONTH(OrdersTable[[#This Row],[Order Date]]),1)</f>
        <v>45658</v>
      </c>
      <c r="E2244">
        <f>MONTH(OrdersTable[[#This Row],[Order Date]])</f>
        <v>1</v>
      </c>
      <c r="F2244" t="s">
        <v>1422</v>
      </c>
      <c r="G2244" t="str">
        <f>IF(OrdersTable[[#This Row],[Order Date]]=_xlfn.MINIFS(Order_Date, Customer_ID, OrdersTable[[#This Row],[Customer ID]]), "New", "Repeat")</f>
        <v>Repeat</v>
      </c>
      <c r="H2244" t="s">
        <v>71</v>
      </c>
      <c r="I2244" t="str">
        <f>INDEX(State!B:B,MATCH(OrdersTable[[#This Row],[State]],State!A:A,0))</f>
        <v>MH</v>
      </c>
      <c r="J2244" t="str">
        <f>INDEX(State!C:C,MATCH(OrdersTable[[#This Row],[State Code]],State!B:B,0))</f>
        <v>West</v>
      </c>
      <c r="K2244" t="s">
        <v>102</v>
      </c>
      <c r="L2244" t="s">
        <v>65</v>
      </c>
      <c r="M2244" t="s">
        <v>17</v>
      </c>
      <c r="N2244" t="str">
        <f>INDEX(Products!B:B,MATCH(OrdersTable[[#This Row],[Product ID]],Products!A:A,0))</f>
        <v>Casual Sneakers</v>
      </c>
      <c r="O2244" t="str">
        <f>INDEX(Products!C:C,MATCH(OrdersTable[[#This Row],[Product ID]],Products!A:A,0))</f>
        <v>Footwear</v>
      </c>
      <c r="P2244">
        <v>1</v>
      </c>
      <c r="Q2244" s="5">
        <v>2199</v>
      </c>
      <c r="R2244" s="74">
        <v>0.2</v>
      </c>
      <c r="S2244" s="75">
        <f>OrdersTable[[#This Row],[Quantity]]*OrdersTable[[#This Row],[Unit Price]]</f>
        <v>2199</v>
      </c>
      <c r="T2244" s="5">
        <f>OrdersTable[[#This Row],[Gross Sale]]*OrdersTable[[#This Row],[Discount_Clean2]]</f>
        <v>439.8</v>
      </c>
      <c r="U2244" s="5">
        <f>OrdersTable[[#This Row],[Gross Sale]]-OrdersTable[[#This Row],[Discount Amount]]</f>
        <v>1759.2</v>
      </c>
      <c r="V2244" s="77">
        <f>INDEX(Products!E:E,MATCH(OrdersTable[[#This Row],[Product ID]],Products!A:A,0))</f>
        <v>1034</v>
      </c>
      <c r="W2244" s="77">
        <f>OrdersTable[[#This Row],[Quantity]]*OrdersTable[[#This Row],[Unit Cost]]</f>
        <v>1034</v>
      </c>
      <c r="X2244" s="77">
        <f>'Dropdown Lists'!$I$2*(1+OrdersTable[[#This Row],[Returned]])</f>
        <v>60</v>
      </c>
      <c r="Y2244" s="76">
        <f>OrdersTable[[#This Row],[Net Revenue]]-OrdersTable[[#This Row],[COGS]]-OrdersTable[[#This Row],[Shipping Cost]]</f>
        <v>665.2</v>
      </c>
      <c r="Z2244" s="78">
        <f>IFERROR(OrdersTable[[#This Row],[Profit]]/OrdersTable[[#This Row],[Net Revenue]],0)</f>
        <v>0.37812642110050027</v>
      </c>
      <c r="AA2244" t="s">
        <v>3495</v>
      </c>
      <c r="AB2244" s="79">
        <v>45679</v>
      </c>
      <c r="AC2244">
        <f>OrdersTable[[#This Row],[Delivery Date]]-OrdersTable[[#This Row],[Order Date]]</f>
        <v>2</v>
      </c>
      <c r="AD2244" t="str">
        <f>IF(OrdersTable[[#This Row],[Delivery Days]]&lt;=2, "Express (≤2d)", IF(OrdersTable[[#This Row],[Delivery Days]]&lt;=4, "Standard (3-4d)", "Delayed (5d+)"))</f>
        <v>Express (≤2d)</v>
      </c>
      <c r="AE2244">
        <v>5</v>
      </c>
      <c r="AF2244">
        <v>0</v>
      </c>
    </row>
    <row r="2245" spans="1:32" ht="15" x14ac:dyDescent="0.35">
      <c r="A2245" t="s">
        <v>5797</v>
      </c>
      <c r="B2245" s="1">
        <v>45677</v>
      </c>
      <c r="C2245">
        <f>YEAR(OrdersTable[[#This Row],[Order Date]])</f>
        <v>2025</v>
      </c>
      <c r="D2245" s="2">
        <f>DATE(YEAR(OrdersTable[[#This Row],[Order Date]]),MONTH(OrdersTable[[#This Row],[Order Date]]),1)</f>
        <v>45658</v>
      </c>
      <c r="E2245">
        <f>MONTH(OrdersTable[[#This Row],[Order Date]])</f>
        <v>1</v>
      </c>
      <c r="F2245" t="s">
        <v>1537</v>
      </c>
      <c r="G2245" t="str">
        <f>IF(OrdersTable[[#This Row],[Order Date]]=_xlfn.MINIFS(Order_Date, Customer_ID, OrdersTable[[#This Row],[Customer ID]]), "New", "Repeat")</f>
        <v>Repeat</v>
      </c>
      <c r="H2245" t="s">
        <v>275</v>
      </c>
      <c r="I2245" t="str">
        <f>INDEX(State!B:B,MATCH(OrdersTable[[#This Row],[State]],State!A:A,0))</f>
        <v>AP</v>
      </c>
      <c r="J2245" t="str">
        <f>INDEX(State!C:C,MATCH(OrdersTable[[#This Row],[State Code]],State!B:B,0))</f>
        <v>South</v>
      </c>
      <c r="K2245" t="s">
        <v>491</v>
      </c>
      <c r="L2245" t="s">
        <v>65</v>
      </c>
      <c r="M2245" t="s">
        <v>61</v>
      </c>
      <c r="N2245" t="str">
        <f>INDEX(Products!B:B,MATCH(OrdersTable[[#This Row],[Product ID]],Products!A:A,0))</f>
        <v>Multivitamin Gummies</v>
      </c>
      <c r="O2245" t="str">
        <f>INDEX(Products!C:C,MATCH(OrdersTable[[#This Row],[Product ID]],Products!A:A,0))</f>
        <v>Wellness</v>
      </c>
      <c r="P2245">
        <v>2</v>
      </c>
      <c r="Q2245" s="5">
        <v>699</v>
      </c>
      <c r="R2245" s="74">
        <v>0.3</v>
      </c>
      <c r="S2245" s="75">
        <f>OrdersTable[[#This Row],[Quantity]]*OrdersTable[[#This Row],[Unit Price]]</f>
        <v>1398</v>
      </c>
      <c r="T2245" s="5">
        <f>OrdersTable[[#This Row],[Gross Sale]]*OrdersTable[[#This Row],[Discount_Clean2]]</f>
        <v>419.4</v>
      </c>
      <c r="U2245" s="5">
        <f>OrdersTable[[#This Row],[Gross Sale]]-OrdersTable[[#This Row],[Discount Amount]]</f>
        <v>978.6</v>
      </c>
      <c r="V2245" s="77">
        <f>INDEX(Products!E:E,MATCH(OrdersTable[[#This Row],[Product ID]],Products!A:A,0))</f>
        <v>238</v>
      </c>
      <c r="W2245" s="77">
        <f>OrdersTable[[#This Row],[Quantity]]*OrdersTable[[#This Row],[Unit Cost]]</f>
        <v>476</v>
      </c>
      <c r="X2245" s="77">
        <f>'Dropdown Lists'!$I$2*(1+OrdersTable[[#This Row],[Returned]])</f>
        <v>60</v>
      </c>
      <c r="Y2245" s="76">
        <f>OrdersTable[[#This Row],[Net Revenue]]-OrdersTable[[#This Row],[COGS]]-OrdersTable[[#This Row],[Shipping Cost]]</f>
        <v>442.6</v>
      </c>
      <c r="Z2245" s="78">
        <f>IFERROR(OrdersTable[[#This Row],[Profit]]/OrdersTable[[#This Row],[Net Revenue]],0)</f>
        <v>0.45227876558348662</v>
      </c>
      <c r="AA2245" t="s">
        <v>18</v>
      </c>
      <c r="AB2245" s="79">
        <v>45680</v>
      </c>
      <c r="AC2245">
        <f>OrdersTable[[#This Row],[Delivery Date]]-OrdersTable[[#This Row],[Order Date]]</f>
        <v>3</v>
      </c>
      <c r="AD2245" t="str">
        <f>IF(OrdersTable[[#This Row],[Delivery Days]]&lt;=2, "Express (≤2d)", IF(OrdersTable[[#This Row],[Delivery Days]]&lt;=4, "Standard (3-4d)", "Delayed (5d+)"))</f>
        <v>Standard (3-4d)</v>
      </c>
      <c r="AE2245">
        <v>5</v>
      </c>
      <c r="AF2245">
        <v>0</v>
      </c>
    </row>
    <row r="2246" spans="1:32" ht="15" x14ac:dyDescent="0.35">
      <c r="A2246" t="s">
        <v>5165</v>
      </c>
      <c r="B2246" s="1">
        <v>45677</v>
      </c>
      <c r="C2246">
        <f>YEAR(OrdersTable[[#This Row],[Order Date]])</f>
        <v>2025</v>
      </c>
      <c r="D2246" s="2">
        <f>DATE(YEAR(OrdersTable[[#This Row],[Order Date]]),MONTH(OrdersTable[[#This Row],[Order Date]]),1)</f>
        <v>45658</v>
      </c>
      <c r="E2246">
        <f>MONTH(OrdersTable[[#This Row],[Order Date]])</f>
        <v>1</v>
      </c>
      <c r="F2246" t="s">
        <v>5166</v>
      </c>
      <c r="G2246" t="str">
        <f>IF(OrdersTable[[#This Row],[Order Date]]=_xlfn.MINIFS(Order_Date, Customer_ID, OrdersTable[[#This Row],[Customer ID]]), "New", "Repeat")</f>
        <v>New</v>
      </c>
      <c r="H2246" t="s">
        <v>275</v>
      </c>
      <c r="I2246" t="str">
        <f>INDEX(State!B:B,MATCH(OrdersTable[[#This Row],[State]],State!A:A,0))</f>
        <v>AP</v>
      </c>
      <c r="J2246" t="str">
        <f>INDEX(State!C:C,MATCH(OrdersTable[[#This Row],[State Code]],State!B:B,0))</f>
        <v>South</v>
      </c>
      <c r="K2246" t="s">
        <v>491</v>
      </c>
      <c r="L2246" t="s">
        <v>65</v>
      </c>
      <c r="M2246" t="s">
        <v>24</v>
      </c>
      <c r="N2246" t="str">
        <f>INDEX(Products!B:B,MATCH(OrdersTable[[#This Row],[Product ID]],Products!A:A,0))</f>
        <v>Scented Candle Set</v>
      </c>
      <c r="O2246" t="str">
        <f>INDEX(Products!C:C,MATCH(OrdersTable[[#This Row],[Product ID]],Products!A:A,0))</f>
        <v>Home &amp; Kitchen</v>
      </c>
      <c r="P2246">
        <v>2</v>
      </c>
      <c r="Q2246" s="5">
        <v>699</v>
      </c>
      <c r="R2246" s="74">
        <v>0.3</v>
      </c>
      <c r="S2246" s="75">
        <f>OrdersTable[[#This Row],[Quantity]]*OrdersTable[[#This Row],[Unit Price]]</f>
        <v>1398</v>
      </c>
      <c r="T2246" s="5">
        <f>OrdersTable[[#This Row],[Gross Sale]]*OrdersTable[[#This Row],[Discount_Clean2]]</f>
        <v>419.4</v>
      </c>
      <c r="U2246" s="5">
        <f>OrdersTable[[#This Row],[Gross Sale]]-OrdersTable[[#This Row],[Discount Amount]]</f>
        <v>978.6</v>
      </c>
      <c r="V2246" s="77">
        <f>INDEX(Products!E:E,MATCH(OrdersTable[[#This Row],[Product ID]],Products!A:A,0))</f>
        <v>245</v>
      </c>
      <c r="W2246" s="77">
        <f>OrdersTable[[#This Row],[Quantity]]*OrdersTable[[#This Row],[Unit Cost]]</f>
        <v>490</v>
      </c>
      <c r="X2246" s="77">
        <f>'Dropdown Lists'!$I$2*(1+OrdersTable[[#This Row],[Returned]])</f>
        <v>60</v>
      </c>
      <c r="Y2246" s="76">
        <f>OrdersTable[[#This Row],[Net Revenue]]-OrdersTable[[#This Row],[COGS]]-OrdersTable[[#This Row],[Shipping Cost]]</f>
        <v>428.6</v>
      </c>
      <c r="Z2246" s="78">
        <f>IFERROR(OrdersTable[[#This Row],[Profit]]/OrdersTable[[#This Row],[Net Revenue]],0)</f>
        <v>0.43797261393827919</v>
      </c>
      <c r="AA2246" t="s">
        <v>3495</v>
      </c>
      <c r="AB2246" s="79">
        <v>45681</v>
      </c>
      <c r="AC2246">
        <f>OrdersTable[[#This Row],[Delivery Date]]-OrdersTable[[#This Row],[Order Date]]</f>
        <v>4</v>
      </c>
      <c r="AD2246" t="str">
        <f>IF(OrdersTable[[#This Row],[Delivery Days]]&lt;=2, "Express (≤2d)", IF(OrdersTable[[#This Row],[Delivery Days]]&lt;=4, "Standard (3-4d)", "Delayed (5d+)"))</f>
        <v>Standard (3-4d)</v>
      </c>
      <c r="AF2246">
        <v>0</v>
      </c>
    </row>
    <row r="2247" spans="1:32" ht="15" x14ac:dyDescent="0.35">
      <c r="A2247" t="s">
        <v>1706</v>
      </c>
      <c r="B2247" s="1">
        <v>45677</v>
      </c>
      <c r="C2247">
        <f>YEAR(OrdersTable[[#This Row],[Order Date]])</f>
        <v>2025</v>
      </c>
      <c r="D2247" s="2">
        <f>DATE(YEAR(OrdersTable[[#This Row],[Order Date]]),MONTH(OrdersTable[[#This Row],[Order Date]]),1)</f>
        <v>45658</v>
      </c>
      <c r="E2247">
        <f>MONTH(OrdersTable[[#This Row],[Order Date]])</f>
        <v>1</v>
      </c>
      <c r="F2247" t="s">
        <v>1168</v>
      </c>
      <c r="G2247" t="str">
        <f>IF(OrdersTable[[#This Row],[Order Date]]=_xlfn.MINIFS(Order_Date, Customer_ID, OrdersTable[[#This Row],[Customer ID]]), "New", "Repeat")</f>
        <v>New</v>
      </c>
      <c r="H2247" t="s">
        <v>59</v>
      </c>
      <c r="I2247" t="str">
        <f>INDEX(State!B:B,MATCH(OrdersTable[[#This Row],[State]],State!A:A,0))</f>
        <v>TN</v>
      </c>
      <c r="J2247" t="str">
        <f>INDEX(State!C:C,MATCH(OrdersTable[[#This Row],[State Code]],State!B:B,0))</f>
        <v>South</v>
      </c>
      <c r="K2247" t="s">
        <v>60</v>
      </c>
      <c r="L2247" t="s">
        <v>65</v>
      </c>
      <c r="M2247" t="s">
        <v>34</v>
      </c>
      <c r="N2247" t="str">
        <f>INDEX(Products!B:B,MATCH(OrdersTable[[#This Row],[Product ID]],Products!A:A,0))</f>
        <v>Flip Flops</v>
      </c>
      <c r="O2247" t="str">
        <f>INDEX(Products!C:C,MATCH(OrdersTable[[#This Row],[Product ID]],Products!A:A,0))</f>
        <v>Footwear</v>
      </c>
      <c r="P2247">
        <v>1</v>
      </c>
      <c r="Q2247" s="5">
        <v>399</v>
      </c>
      <c r="R2247" s="74">
        <v>0.05</v>
      </c>
      <c r="S2247" s="75">
        <f>OrdersTable[[#This Row],[Quantity]]*OrdersTable[[#This Row],[Unit Price]]</f>
        <v>399</v>
      </c>
      <c r="T2247" s="5">
        <f>OrdersTable[[#This Row],[Gross Sale]]*OrdersTable[[#This Row],[Discount_Clean2]]</f>
        <v>19.950000000000003</v>
      </c>
      <c r="U2247" s="5">
        <f>OrdersTable[[#This Row],[Gross Sale]]-OrdersTable[[#This Row],[Discount Amount]]</f>
        <v>379.05</v>
      </c>
      <c r="V2247" s="77">
        <f>INDEX(Products!E:E,MATCH(OrdersTable[[#This Row],[Product ID]],Products!A:A,0))</f>
        <v>152</v>
      </c>
      <c r="W2247" s="77">
        <f>OrdersTable[[#This Row],[Quantity]]*OrdersTable[[#This Row],[Unit Cost]]</f>
        <v>152</v>
      </c>
      <c r="X2247" s="77">
        <f>'Dropdown Lists'!$I$2*(1+OrdersTable[[#This Row],[Returned]])</f>
        <v>60</v>
      </c>
      <c r="Y2247" s="76">
        <f>OrdersTable[[#This Row],[Net Revenue]]-OrdersTable[[#This Row],[COGS]]-OrdersTable[[#This Row],[Shipping Cost]]</f>
        <v>167.05</v>
      </c>
      <c r="Z2247" s="78">
        <f>IFERROR(OrdersTable[[#This Row],[Profit]]/OrdersTable[[#This Row],[Net Revenue]],0)</f>
        <v>0.44070703073473161</v>
      </c>
      <c r="AA2247" t="s">
        <v>18</v>
      </c>
      <c r="AB2247" s="79">
        <v>45679</v>
      </c>
      <c r="AC2247">
        <f>OrdersTable[[#This Row],[Delivery Date]]-OrdersTable[[#This Row],[Order Date]]</f>
        <v>2</v>
      </c>
      <c r="AD2247" t="str">
        <f>IF(OrdersTable[[#This Row],[Delivery Days]]&lt;=2, "Express (≤2d)", IF(OrdersTable[[#This Row],[Delivery Days]]&lt;=4, "Standard (3-4d)", "Delayed (5d+)"))</f>
        <v>Express (≤2d)</v>
      </c>
      <c r="AF2247">
        <v>0</v>
      </c>
    </row>
    <row r="2248" spans="1:32" ht="15" x14ac:dyDescent="0.35">
      <c r="A2248" t="s">
        <v>3247</v>
      </c>
      <c r="B2248" s="1">
        <v>45678</v>
      </c>
      <c r="C2248">
        <f>YEAR(OrdersTable[[#This Row],[Order Date]])</f>
        <v>2025</v>
      </c>
      <c r="D2248" s="2">
        <f>DATE(YEAR(OrdersTable[[#This Row],[Order Date]]),MONTH(OrdersTable[[#This Row],[Order Date]]),1)</f>
        <v>45658</v>
      </c>
      <c r="E2248">
        <f>MONTH(OrdersTable[[#This Row],[Order Date]])</f>
        <v>1</v>
      </c>
      <c r="F2248" t="s">
        <v>425</v>
      </c>
      <c r="G2248" t="str">
        <f>IF(OrdersTable[[#This Row],[Order Date]]=_xlfn.MINIFS(Order_Date, Customer_ID, OrdersTable[[#This Row],[Customer ID]]), "New", "Repeat")</f>
        <v>New</v>
      </c>
      <c r="H2248" t="s">
        <v>54</v>
      </c>
      <c r="I2248" t="str">
        <f>INDEX(State!B:B,MATCH(OrdersTable[[#This Row],[State]],State!A:A,0))</f>
        <v>RJ</v>
      </c>
      <c r="J2248" t="str">
        <f>INDEX(State!C:C,MATCH(OrdersTable[[#This Row],[State Code]],State!B:B,0))</f>
        <v>North</v>
      </c>
      <c r="K2248" t="s">
        <v>227</v>
      </c>
      <c r="L2248" t="s">
        <v>50</v>
      </c>
      <c r="M2248" t="s">
        <v>66</v>
      </c>
      <c r="N2248" t="str">
        <f>INDEX(Products!B:B,MATCH(OrdersTable[[#This Row],[Product ID]],Products!A:A,0))</f>
        <v>Sunscreen SPF 50</v>
      </c>
      <c r="O2248" t="str">
        <f>INDEX(Products!C:C,MATCH(OrdersTable[[#This Row],[Product ID]],Products!A:A,0))</f>
        <v>Skincare</v>
      </c>
      <c r="P2248">
        <v>1</v>
      </c>
      <c r="Q2248" s="5">
        <v>449</v>
      </c>
      <c r="R2248" s="74">
        <v>0.05</v>
      </c>
      <c r="S2248" s="75">
        <f>OrdersTable[[#This Row],[Quantity]]*OrdersTable[[#This Row],[Unit Price]]</f>
        <v>449</v>
      </c>
      <c r="T2248" s="5">
        <f>OrdersTable[[#This Row],[Gross Sale]]*OrdersTable[[#This Row],[Discount_Clean2]]</f>
        <v>22.450000000000003</v>
      </c>
      <c r="U2248" s="5">
        <f>OrdersTable[[#This Row],[Gross Sale]]-OrdersTable[[#This Row],[Discount Amount]]</f>
        <v>426.55</v>
      </c>
      <c r="V2248" s="77">
        <f>INDEX(Products!E:E,MATCH(OrdersTable[[#This Row],[Product ID]],Products!A:A,0))</f>
        <v>144</v>
      </c>
      <c r="W2248" s="77">
        <f>OrdersTable[[#This Row],[Quantity]]*OrdersTable[[#This Row],[Unit Cost]]</f>
        <v>144</v>
      </c>
      <c r="X2248" s="77">
        <f>'Dropdown Lists'!$I$2*(1+OrdersTable[[#This Row],[Returned]])</f>
        <v>60</v>
      </c>
      <c r="Y2248" s="76">
        <f>OrdersTable[[#This Row],[Net Revenue]]-OrdersTable[[#This Row],[COGS]]-OrdersTable[[#This Row],[Shipping Cost]]</f>
        <v>222.55</v>
      </c>
      <c r="Z2248" s="78">
        <f>IFERROR(OrdersTable[[#This Row],[Profit]]/OrdersTable[[#This Row],[Net Revenue]],0)</f>
        <v>0.52174422693705313</v>
      </c>
      <c r="AA2248" t="s">
        <v>2522</v>
      </c>
      <c r="AB2248" s="79">
        <v>45682</v>
      </c>
      <c r="AC2248">
        <f>OrdersTable[[#This Row],[Delivery Date]]-OrdersTable[[#This Row],[Order Date]]</f>
        <v>4</v>
      </c>
      <c r="AD2248" t="str">
        <f>IF(OrdersTable[[#This Row],[Delivery Days]]&lt;=2, "Express (≤2d)", IF(OrdersTable[[#This Row],[Delivery Days]]&lt;=4, "Standard (3-4d)", "Delayed (5d+)"))</f>
        <v>Standard (3-4d)</v>
      </c>
      <c r="AE2248">
        <v>4</v>
      </c>
      <c r="AF2248">
        <v>0</v>
      </c>
    </row>
    <row r="2249" spans="1:32" ht="15" x14ac:dyDescent="0.35">
      <c r="A2249" t="s">
        <v>1941</v>
      </c>
      <c r="B2249" s="1">
        <v>45678</v>
      </c>
      <c r="C2249">
        <f>YEAR(OrdersTable[[#This Row],[Order Date]])</f>
        <v>2025</v>
      </c>
      <c r="D2249" s="2">
        <f>DATE(YEAR(OrdersTable[[#This Row],[Order Date]]),MONTH(OrdersTable[[#This Row],[Order Date]]),1)</f>
        <v>45658</v>
      </c>
      <c r="E2249">
        <f>MONTH(OrdersTable[[#This Row],[Order Date]])</f>
        <v>1</v>
      </c>
      <c r="F2249" t="s">
        <v>1942</v>
      </c>
      <c r="G2249" t="str">
        <f>IF(OrdersTable[[#This Row],[Order Date]]=_xlfn.MINIFS(Order_Date, Customer_ID, OrdersTable[[#This Row],[Customer ID]]), "New", "Repeat")</f>
        <v>New</v>
      </c>
      <c r="H2249" t="s">
        <v>76</v>
      </c>
      <c r="I2249" t="str">
        <f>INDEX(State!B:B,MATCH(OrdersTable[[#This Row],[State]],State!A:A,0))</f>
        <v>UP</v>
      </c>
      <c r="J2249" t="str">
        <f>INDEX(State!C:C,MATCH(OrdersTable[[#This Row],[State Code]],State!B:B,0))</f>
        <v>North</v>
      </c>
      <c r="K2249" t="s">
        <v>118</v>
      </c>
      <c r="L2249" t="s">
        <v>23</v>
      </c>
      <c r="M2249" t="s">
        <v>228</v>
      </c>
      <c r="N2249" t="str">
        <f>INDEX(Products!B:B,MATCH(OrdersTable[[#This Row],[Product ID]],Products!A:A,0))</f>
        <v>Fast Charger 33W</v>
      </c>
      <c r="O2249" t="str">
        <f>INDEX(Products!C:C,MATCH(OrdersTable[[#This Row],[Product ID]],Products!A:A,0))</f>
        <v>Electronics</v>
      </c>
      <c r="P2249">
        <v>1</v>
      </c>
      <c r="Q2249" s="5">
        <v>899</v>
      </c>
      <c r="R2249" s="74">
        <v>0.05</v>
      </c>
      <c r="S2249" s="75">
        <f>OrdersTable[[#This Row],[Quantity]]*OrdersTable[[#This Row],[Unit Price]]</f>
        <v>899</v>
      </c>
      <c r="T2249" s="5">
        <f>OrdersTable[[#This Row],[Gross Sale]]*OrdersTable[[#This Row],[Discount_Clean2]]</f>
        <v>44.95</v>
      </c>
      <c r="U2249" s="5">
        <f>OrdersTable[[#This Row],[Gross Sale]]-OrdersTable[[#This Row],[Discount Amount]]</f>
        <v>854.05</v>
      </c>
      <c r="V2249" s="77">
        <f>INDEX(Products!E:E,MATCH(OrdersTable[[#This Row],[Product ID]],Products!A:A,0))</f>
        <v>494</v>
      </c>
      <c r="W2249" s="77">
        <f>OrdersTable[[#This Row],[Quantity]]*OrdersTable[[#This Row],[Unit Cost]]</f>
        <v>494</v>
      </c>
      <c r="X2249" s="77">
        <f>'Dropdown Lists'!$I$2*(1+OrdersTable[[#This Row],[Returned]])</f>
        <v>60</v>
      </c>
      <c r="Y2249" s="76">
        <f>OrdersTable[[#This Row],[Net Revenue]]-OrdersTable[[#This Row],[COGS]]-OrdersTable[[#This Row],[Shipping Cost]]</f>
        <v>300.04999999999995</v>
      </c>
      <c r="Z2249" s="78">
        <f>IFERROR(OrdersTable[[#This Row],[Profit]]/OrdersTable[[#This Row],[Net Revenue]],0)</f>
        <v>0.35132603477548152</v>
      </c>
      <c r="AA2249" t="s">
        <v>18</v>
      </c>
      <c r="AB2249" s="79">
        <v>45682</v>
      </c>
      <c r="AC2249">
        <f>OrdersTable[[#This Row],[Delivery Date]]-OrdersTable[[#This Row],[Order Date]]</f>
        <v>4</v>
      </c>
      <c r="AD2249" t="str">
        <f>IF(OrdersTable[[#This Row],[Delivery Days]]&lt;=2, "Express (≤2d)", IF(OrdersTable[[#This Row],[Delivery Days]]&lt;=4, "Standard (3-4d)", "Delayed (5d+)"))</f>
        <v>Standard (3-4d)</v>
      </c>
      <c r="AE2249">
        <v>3</v>
      </c>
      <c r="AF2249">
        <v>0</v>
      </c>
    </row>
    <row r="2250" spans="1:32" ht="15" x14ac:dyDescent="0.35">
      <c r="A2250" t="s">
        <v>965</v>
      </c>
      <c r="B2250" s="1">
        <v>45678</v>
      </c>
      <c r="C2250">
        <f>YEAR(OrdersTable[[#This Row],[Order Date]])</f>
        <v>2025</v>
      </c>
      <c r="D2250" s="2">
        <f>DATE(YEAR(OrdersTable[[#This Row],[Order Date]]),MONTH(OrdersTable[[#This Row],[Order Date]]),1)</f>
        <v>45658</v>
      </c>
      <c r="E2250">
        <f>MONTH(OrdersTable[[#This Row],[Order Date]])</f>
        <v>1</v>
      </c>
      <c r="F2250" t="s">
        <v>966</v>
      </c>
      <c r="G2250" t="str">
        <f>IF(OrdersTable[[#This Row],[Order Date]]=_xlfn.MINIFS(Order_Date, Customer_ID, OrdersTable[[#This Row],[Customer ID]]), "New", "Repeat")</f>
        <v>New</v>
      </c>
      <c r="H2250" t="s">
        <v>37</v>
      </c>
      <c r="I2250" t="str">
        <f>INDEX(State!B:B,MATCH(OrdersTable[[#This Row],[State]],State!A:A,0))</f>
        <v>GJ</v>
      </c>
      <c r="J2250" t="str">
        <f>INDEX(State!C:C,MATCH(OrdersTable[[#This Row],[State Code]],State!B:B,0))</f>
        <v>West</v>
      </c>
      <c r="K2250" t="s">
        <v>247</v>
      </c>
      <c r="L2250" t="s">
        <v>50</v>
      </c>
      <c r="M2250" t="s">
        <v>45</v>
      </c>
      <c r="N2250" t="str">
        <f>INDEX(Products!B:B,MATCH(OrdersTable[[#This Row],[Product ID]],Products!A:A,0))</f>
        <v>Argan Shampoo</v>
      </c>
      <c r="O2250" t="str">
        <f>INDEX(Products!C:C,MATCH(OrdersTable[[#This Row],[Product ID]],Products!A:A,0))</f>
        <v>Haircare</v>
      </c>
      <c r="P2250">
        <v>1</v>
      </c>
      <c r="Q2250" s="5">
        <v>449</v>
      </c>
      <c r="R2250" s="74">
        <v>0.05</v>
      </c>
      <c r="S2250" s="75">
        <f>OrdersTable[[#This Row],[Quantity]]*OrdersTable[[#This Row],[Unit Price]]</f>
        <v>449</v>
      </c>
      <c r="T2250" s="5">
        <f>OrdersTable[[#This Row],[Gross Sale]]*OrdersTable[[#This Row],[Discount_Clean2]]</f>
        <v>22.450000000000003</v>
      </c>
      <c r="U2250" s="5">
        <f>OrdersTable[[#This Row],[Gross Sale]]-OrdersTable[[#This Row],[Discount Amount]]</f>
        <v>426.55</v>
      </c>
      <c r="V2250" s="77">
        <f>INDEX(Products!E:E,MATCH(OrdersTable[[#This Row],[Product ID]],Products!A:A,0))</f>
        <v>148</v>
      </c>
      <c r="W2250" s="77">
        <f>OrdersTable[[#This Row],[Quantity]]*OrdersTable[[#This Row],[Unit Cost]]</f>
        <v>148</v>
      </c>
      <c r="X2250" s="77">
        <f>'Dropdown Lists'!$I$2*(1+OrdersTable[[#This Row],[Returned]])</f>
        <v>60</v>
      </c>
      <c r="Y2250" s="76">
        <f>OrdersTable[[#This Row],[Net Revenue]]-OrdersTable[[#This Row],[COGS]]-OrdersTable[[#This Row],[Shipping Cost]]</f>
        <v>218.55</v>
      </c>
      <c r="Z2250" s="78">
        <f>IFERROR(OrdersTable[[#This Row],[Profit]]/OrdersTable[[#This Row],[Net Revenue]],0)</f>
        <v>0.51236666275934828</v>
      </c>
      <c r="AA2250" t="s">
        <v>18</v>
      </c>
      <c r="AB2250" s="79">
        <v>45683</v>
      </c>
      <c r="AC2250">
        <f>OrdersTable[[#This Row],[Delivery Date]]-OrdersTable[[#This Row],[Order Date]]</f>
        <v>5</v>
      </c>
      <c r="AD2250" t="str">
        <f>IF(OrdersTable[[#This Row],[Delivery Days]]&lt;=2, "Express (≤2d)", IF(OrdersTable[[#This Row],[Delivery Days]]&lt;=4, "Standard (3-4d)", "Delayed (5d+)"))</f>
        <v>Delayed (5d+)</v>
      </c>
      <c r="AE2250">
        <v>4</v>
      </c>
      <c r="AF2250">
        <v>0</v>
      </c>
    </row>
    <row r="2251" spans="1:32" ht="15" x14ac:dyDescent="0.35">
      <c r="A2251" t="s">
        <v>1707</v>
      </c>
      <c r="B2251" s="1">
        <v>45678</v>
      </c>
      <c r="C2251">
        <f>YEAR(OrdersTable[[#This Row],[Order Date]])</f>
        <v>2025</v>
      </c>
      <c r="D2251" s="2">
        <f>DATE(YEAR(OrdersTable[[#This Row],[Order Date]]),MONTH(OrdersTable[[#This Row],[Order Date]]),1)</f>
        <v>45658</v>
      </c>
      <c r="E2251">
        <f>MONTH(OrdersTable[[#This Row],[Order Date]])</f>
        <v>1</v>
      </c>
      <c r="F2251" t="s">
        <v>1708</v>
      </c>
      <c r="G2251" t="str">
        <f>IF(OrdersTable[[#This Row],[Order Date]]=_xlfn.MINIFS(Order_Date, Customer_ID, OrdersTable[[#This Row],[Customer ID]]), "New", "Repeat")</f>
        <v>Repeat</v>
      </c>
      <c r="H2251" t="s">
        <v>71</v>
      </c>
      <c r="I2251" t="str">
        <f>INDEX(State!B:B,MATCH(OrdersTable[[#This Row],[State]],State!A:A,0))</f>
        <v>MH</v>
      </c>
      <c r="J2251" t="str">
        <f>INDEX(State!C:C,MATCH(OrdersTable[[#This Row],[State Code]],State!B:B,0))</f>
        <v>West</v>
      </c>
      <c r="K2251" t="s">
        <v>72</v>
      </c>
      <c r="L2251" t="s">
        <v>65</v>
      </c>
      <c r="M2251" t="s">
        <v>125</v>
      </c>
      <c r="N2251" t="str">
        <f>INDEX(Products!B:B,MATCH(OrdersTable[[#This Row],[Product ID]],Products!A:A,0))</f>
        <v>Copper Water Bottle</v>
      </c>
      <c r="O2251" t="str">
        <f>INDEX(Products!C:C,MATCH(OrdersTable[[#This Row],[Product ID]],Products!A:A,0))</f>
        <v>Home &amp; Kitchen</v>
      </c>
      <c r="P2251">
        <v>1</v>
      </c>
      <c r="Q2251" s="5">
        <v>899</v>
      </c>
      <c r="R2251" s="74">
        <v>0.15</v>
      </c>
      <c r="S2251" s="75">
        <f>OrdersTable[[#This Row],[Quantity]]*OrdersTable[[#This Row],[Unit Price]]</f>
        <v>899</v>
      </c>
      <c r="T2251" s="5">
        <f>OrdersTable[[#This Row],[Gross Sale]]*OrdersTable[[#This Row],[Discount_Clean2]]</f>
        <v>134.85</v>
      </c>
      <c r="U2251" s="5">
        <f>OrdersTable[[#This Row],[Gross Sale]]-OrdersTable[[#This Row],[Discount Amount]]</f>
        <v>764.15</v>
      </c>
      <c r="V2251" s="77">
        <f>INDEX(Products!E:E,MATCH(OrdersTable[[#This Row],[Product ID]],Products!A:A,0))</f>
        <v>378</v>
      </c>
      <c r="W2251" s="77">
        <f>OrdersTable[[#This Row],[Quantity]]*OrdersTable[[#This Row],[Unit Cost]]</f>
        <v>378</v>
      </c>
      <c r="X2251" s="77">
        <f>'Dropdown Lists'!$I$2*(1+OrdersTable[[#This Row],[Returned]])</f>
        <v>60</v>
      </c>
      <c r="Y2251" s="76">
        <f>OrdersTable[[#This Row],[Net Revenue]]-OrdersTable[[#This Row],[COGS]]-OrdersTable[[#This Row],[Shipping Cost]]</f>
        <v>326.14999999999998</v>
      </c>
      <c r="Z2251" s="78">
        <f>IFERROR(OrdersTable[[#This Row],[Profit]]/OrdersTable[[#This Row],[Net Revenue]],0)</f>
        <v>0.42681410717791007</v>
      </c>
      <c r="AA2251" t="s">
        <v>18</v>
      </c>
      <c r="AB2251" s="79">
        <v>45679</v>
      </c>
      <c r="AC2251">
        <f>OrdersTable[[#This Row],[Delivery Date]]-OrdersTable[[#This Row],[Order Date]]</f>
        <v>1</v>
      </c>
      <c r="AD2251" t="str">
        <f>IF(OrdersTable[[#This Row],[Delivery Days]]&lt;=2, "Express (≤2d)", IF(OrdersTable[[#This Row],[Delivery Days]]&lt;=4, "Standard (3-4d)", "Delayed (5d+)"))</f>
        <v>Express (≤2d)</v>
      </c>
      <c r="AF2251">
        <v>0</v>
      </c>
    </row>
    <row r="2252" spans="1:32" ht="15" x14ac:dyDescent="0.35">
      <c r="A2252" t="s">
        <v>557</v>
      </c>
      <c r="B2252" s="1">
        <v>45678</v>
      </c>
      <c r="C2252">
        <f>YEAR(OrdersTable[[#This Row],[Order Date]])</f>
        <v>2025</v>
      </c>
      <c r="D2252" s="2">
        <f>DATE(YEAR(OrdersTable[[#This Row],[Order Date]]),MONTH(OrdersTable[[#This Row],[Order Date]]),1)</f>
        <v>45658</v>
      </c>
      <c r="E2252">
        <f>MONTH(OrdersTable[[#This Row],[Order Date]])</f>
        <v>1</v>
      </c>
      <c r="F2252" t="s">
        <v>558</v>
      </c>
      <c r="G2252" t="str">
        <f>IF(OrdersTable[[#This Row],[Order Date]]=_xlfn.MINIFS(Order_Date, Customer_ID, OrdersTable[[#This Row],[Customer ID]]), "New", "Repeat")</f>
        <v>Repeat</v>
      </c>
      <c r="H2252" t="s">
        <v>71</v>
      </c>
      <c r="I2252" t="str">
        <f>INDEX(State!B:B,MATCH(OrdersTable[[#This Row],[State]],State!A:A,0))</f>
        <v>MH</v>
      </c>
      <c r="J2252" t="str">
        <f>INDEX(State!C:C,MATCH(OrdersTable[[#This Row],[State Code]],State!B:B,0))</f>
        <v>West</v>
      </c>
      <c r="K2252" t="s">
        <v>81</v>
      </c>
      <c r="L2252" t="s">
        <v>39</v>
      </c>
      <c r="M2252" t="s">
        <v>61</v>
      </c>
      <c r="N2252" t="str">
        <f>INDEX(Products!B:B,MATCH(OrdersTable[[#This Row],[Product ID]],Products!A:A,0))</f>
        <v>Multivitamin Gummies</v>
      </c>
      <c r="O2252" t="str">
        <f>INDEX(Products!C:C,MATCH(OrdersTable[[#This Row],[Product ID]],Products!A:A,0))</f>
        <v>Wellness</v>
      </c>
      <c r="P2252">
        <v>1</v>
      </c>
      <c r="Q2252" s="5">
        <v>699</v>
      </c>
      <c r="R2252" s="74">
        <v>0.15</v>
      </c>
      <c r="S2252" s="75">
        <f>OrdersTable[[#This Row],[Quantity]]*OrdersTable[[#This Row],[Unit Price]]</f>
        <v>699</v>
      </c>
      <c r="T2252" s="5">
        <f>OrdersTable[[#This Row],[Gross Sale]]*OrdersTable[[#This Row],[Discount_Clean2]]</f>
        <v>104.85</v>
      </c>
      <c r="U2252" s="5">
        <f>OrdersTable[[#This Row],[Gross Sale]]-OrdersTable[[#This Row],[Discount Amount]]</f>
        <v>594.15</v>
      </c>
      <c r="V2252" s="77">
        <f>INDEX(Products!E:E,MATCH(OrdersTable[[#This Row],[Product ID]],Products!A:A,0))</f>
        <v>238</v>
      </c>
      <c r="W2252" s="77">
        <f>OrdersTable[[#This Row],[Quantity]]*OrdersTable[[#This Row],[Unit Cost]]</f>
        <v>238</v>
      </c>
      <c r="X2252" s="77">
        <f>'Dropdown Lists'!$I$2*(1+OrdersTable[[#This Row],[Returned]])</f>
        <v>60</v>
      </c>
      <c r="Y2252" s="76">
        <f>OrdersTable[[#This Row],[Net Revenue]]-OrdersTable[[#This Row],[COGS]]-OrdersTable[[#This Row],[Shipping Cost]]</f>
        <v>296.14999999999998</v>
      </c>
      <c r="Z2252" s="78">
        <f>IFERROR(OrdersTable[[#This Row],[Profit]]/OrdersTable[[#This Row],[Net Revenue]],0)</f>
        <v>0.49844315408566858</v>
      </c>
      <c r="AA2252" t="s">
        <v>18</v>
      </c>
      <c r="AB2252" s="79">
        <v>45679</v>
      </c>
      <c r="AC2252">
        <f>OrdersTable[[#This Row],[Delivery Date]]-OrdersTable[[#This Row],[Order Date]]</f>
        <v>1</v>
      </c>
      <c r="AD2252" t="str">
        <f>IF(OrdersTable[[#This Row],[Delivery Days]]&lt;=2, "Express (≤2d)", IF(OrdersTable[[#This Row],[Delivery Days]]&lt;=4, "Standard (3-4d)", "Delayed (5d+)"))</f>
        <v>Express (≤2d)</v>
      </c>
      <c r="AE2252">
        <v>4</v>
      </c>
      <c r="AF2252">
        <v>0</v>
      </c>
    </row>
    <row r="2253" spans="1:32" ht="15" x14ac:dyDescent="0.35">
      <c r="A2253" t="s">
        <v>6142</v>
      </c>
      <c r="B2253" s="1">
        <v>45678</v>
      </c>
      <c r="C2253">
        <f>YEAR(OrdersTable[[#This Row],[Order Date]])</f>
        <v>2025</v>
      </c>
      <c r="D2253" s="2">
        <f>DATE(YEAR(OrdersTable[[#This Row],[Order Date]]),MONTH(OrdersTable[[#This Row],[Order Date]]),1)</f>
        <v>45658</v>
      </c>
      <c r="E2253">
        <f>MONTH(OrdersTable[[#This Row],[Order Date]])</f>
        <v>1</v>
      </c>
      <c r="F2253" t="s">
        <v>4049</v>
      </c>
      <c r="G2253" t="str">
        <f>IF(OrdersTable[[#This Row],[Order Date]]=_xlfn.MINIFS(Order_Date, Customer_ID, OrdersTable[[#This Row],[Customer ID]]), "New", "Repeat")</f>
        <v>New</v>
      </c>
      <c r="H2253" t="s">
        <v>95</v>
      </c>
      <c r="I2253" t="str">
        <f>INDEX(State!B:B,MATCH(OrdersTable[[#This Row],[State]],State!A:A,0))</f>
        <v>TG</v>
      </c>
      <c r="J2253" t="str">
        <f>INDEX(State!C:C,MATCH(OrdersTable[[#This Row],[State Code]],State!B:B,0))</f>
        <v>South</v>
      </c>
      <c r="K2253" t="s">
        <v>96</v>
      </c>
      <c r="L2253" t="s">
        <v>50</v>
      </c>
      <c r="M2253" t="s">
        <v>40</v>
      </c>
      <c r="N2253" t="str">
        <f>INDEX(Products!B:B,MATCH(OrdersTable[[#This Row],[Product ID]],Products!A:A,0))</f>
        <v>Ashwagandha Capsules</v>
      </c>
      <c r="O2253" t="str">
        <f>INDEX(Products!C:C,MATCH(OrdersTable[[#This Row],[Product ID]],Products!A:A,0))</f>
        <v>Wellness</v>
      </c>
      <c r="P2253">
        <v>2</v>
      </c>
      <c r="Q2253" s="5">
        <v>499</v>
      </c>
      <c r="R2253" s="74">
        <v>0</v>
      </c>
      <c r="S2253" s="75">
        <f>OrdersTable[[#This Row],[Quantity]]*OrdersTable[[#This Row],[Unit Price]]</f>
        <v>998</v>
      </c>
      <c r="T2253" s="5">
        <f>OrdersTable[[#This Row],[Gross Sale]]*OrdersTable[[#This Row],[Discount_Clean2]]</f>
        <v>0</v>
      </c>
      <c r="U2253" s="5">
        <f>OrdersTable[[#This Row],[Gross Sale]]-OrdersTable[[#This Row],[Discount Amount]]</f>
        <v>998</v>
      </c>
      <c r="V2253" s="77">
        <f>INDEX(Products!E:E,MATCH(OrdersTable[[#This Row],[Product ID]],Products!A:A,0))</f>
        <v>150</v>
      </c>
      <c r="W2253" s="77">
        <f>OrdersTable[[#This Row],[Quantity]]*OrdersTable[[#This Row],[Unit Cost]]</f>
        <v>300</v>
      </c>
      <c r="X2253" s="77">
        <f>'Dropdown Lists'!$I$2*(1+OrdersTable[[#This Row],[Returned]])</f>
        <v>60</v>
      </c>
      <c r="Y2253" s="76">
        <f>OrdersTable[[#This Row],[Net Revenue]]-OrdersTable[[#This Row],[COGS]]-OrdersTable[[#This Row],[Shipping Cost]]</f>
        <v>638</v>
      </c>
      <c r="Z2253" s="78">
        <f>IFERROR(OrdersTable[[#This Row],[Profit]]/OrdersTable[[#This Row],[Net Revenue]],0)</f>
        <v>0.63927855711422843</v>
      </c>
      <c r="AA2253" t="s">
        <v>18</v>
      </c>
      <c r="AB2253" s="79">
        <v>45681</v>
      </c>
      <c r="AC2253">
        <f>OrdersTable[[#This Row],[Delivery Date]]-OrdersTable[[#This Row],[Order Date]]</f>
        <v>3</v>
      </c>
      <c r="AD2253" t="str">
        <f>IF(OrdersTable[[#This Row],[Delivery Days]]&lt;=2, "Express (≤2d)", IF(OrdersTable[[#This Row],[Delivery Days]]&lt;=4, "Standard (3-4d)", "Delayed (5d+)"))</f>
        <v>Standard (3-4d)</v>
      </c>
      <c r="AE2253">
        <v>4</v>
      </c>
      <c r="AF2253">
        <v>0</v>
      </c>
    </row>
    <row r="2254" spans="1:32" ht="15" x14ac:dyDescent="0.35">
      <c r="A2254" t="s">
        <v>3248</v>
      </c>
      <c r="B2254" s="1">
        <v>45678</v>
      </c>
      <c r="C2254">
        <f>YEAR(OrdersTable[[#This Row],[Order Date]])</f>
        <v>2025</v>
      </c>
      <c r="D2254" s="2">
        <f>DATE(YEAR(OrdersTable[[#This Row],[Order Date]]),MONTH(OrdersTable[[#This Row],[Order Date]]),1)</f>
        <v>45658</v>
      </c>
      <c r="E2254">
        <f>MONTH(OrdersTable[[#This Row],[Order Date]])</f>
        <v>1</v>
      </c>
      <c r="F2254" t="s">
        <v>3249</v>
      </c>
      <c r="G2254" t="str">
        <f>IF(OrdersTable[[#This Row],[Order Date]]=_xlfn.MINIFS(Order_Date, Customer_ID, OrdersTable[[#This Row],[Customer ID]]), "New", "Repeat")</f>
        <v>New</v>
      </c>
      <c r="H2254" t="s">
        <v>275</v>
      </c>
      <c r="I2254" t="str">
        <f>INDEX(State!B:B,MATCH(OrdersTable[[#This Row],[State]],State!A:A,0))</f>
        <v>AP</v>
      </c>
      <c r="J2254" t="str">
        <f>INDEX(State!C:C,MATCH(OrdersTable[[#This Row],[State Code]],State!B:B,0))</f>
        <v>South</v>
      </c>
      <c r="K2254" t="s">
        <v>491</v>
      </c>
      <c r="L2254" t="s">
        <v>39</v>
      </c>
      <c r="M2254" t="s">
        <v>423</v>
      </c>
      <c r="N2254" t="str">
        <f>INDEX(Products!B:B,MATCH(OrdersTable[[#This Row],[Product ID]],Products!A:A,0))</f>
        <v>Power Bank 20000mAh</v>
      </c>
      <c r="O2254" t="str">
        <f>INDEX(Products!C:C,MATCH(OrdersTable[[#This Row],[Product ID]],Products!A:A,0))</f>
        <v>Electronics</v>
      </c>
      <c r="P2254">
        <v>1</v>
      </c>
      <c r="Q2254" s="5">
        <v>1799</v>
      </c>
      <c r="R2254" s="74">
        <v>0.4</v>
      </c>
      <c r="S2254" s="75">
        <f>OrdersTable[[#This Row],[Quantity]]*OrdersTable[[#This Row],[Unit Price]]</f>
        <v>1799</v>
      </c>
      <c r="T2254" s="5">
        <f>OrdersTable[[#This Row],[Gross Sale]]*OrdersTable[[#This Row],[Discount_Clean2]]</f>
        <v>719.6</v>
      </c>
      <c r="U2254" s="5">
        <f>OrdersTable[[#This Row],[Gross Sale]]-OrdersTable[[#This Row],[Discount Amount]]</f>
        <v>1079.4000000000001</v>
      </c>
      <c r="V2254" s="77">
        <f>INDEX(Products!E:E,MATCH(OrdersTable[[#This Row],[Product ID]],Products!A:A,0))</f>
        <v>1079</v>
      </c>
      <c r="W2254" s="77">
        <f>OrdersTable[[#This Row],[Quantity]]*OrdersTable[[#This Row],[Unit Cost]]</f>
        <v>1079</v>
      </c>
      <c r="X2254" s="77">
        <f>'Dropdown Lists'!$I$2*(1+OrdersTable[[#This Row],[Returned]])</f>
        <v>60</v>
      </c>
      <c r="Y2254" s="76">
        <f>OrdersTable[[#This Row],[Net Revenue]]-OrdersTable[[#This Row],[COGS]]-OrdersTable[[#This Row],[Shipping Cost]]</f>
        <v>-59.599999999999909</v>
      </c>
      <c r="Z2254" s="78">
        <f>IFERROR(OrdersTable[[#This Row],[Profit]]/OrdersTable[[#This Row],[Net Revenue]],0)</f>
        <v>-5.5215860663331388E-2</v>
      </c>
      <c r="AA2254" t="s">
        <v>2522</v>
      </c>
      <c r="AB2254" s="79">
        <v>45683</v>
      </c>
      <c r="AC2254">
        <f>OrdersTable[[#This Row],[Delivery Date]]-OrdersTable[[#This Row],[Order Date]]</f>
        <v>5</v>
      </c>
      <c r="AD2254" t="str">
        <f>IF(OrdersTable[[#This Row],[Delivery Days]]&lt;=2, "Express (≤2d)", IF(OrdersTable[[#This Row],[Delivery Days]]&lt;=4, "Standard (3-4d)", "Delayed (5d+)"))</f>
        <v>Delayed (5d+)</v>
      </c>
      <c r="AE2254">
        <v>4</v>
      </c>
      <c r="AF2254">
        <v>0</v>
      </c>
    </row>
    <row r="2255" spans="1:32" ht="15" x14ac:dyDescent="0.35">
      <c r="A2255" t="s">
        <v>7151</v>
      </c>
      <c r="B2255" s="1">
        <v>45679</v>
      </c>
      <c r="C2255">
        <f>YEAR(OrdersTable[[#This Row],[Order Date]])</f>
        <v>2025</v>
      </c>
      <c r="D2255" s="2">
        <f>DATE(YEAR(OrdersTable[[#This Row],[Order Date]]),MONTH(OrdersTable[[#This Row],[Order Date]]),1)</f>
        <v>45658</v>
      </c>
      <c r="E2255">
        <f>MONTH(OrdersTable[[#This Row],[Order Date]])</f>
        <v>1</v>
      </c>
      <c r="F2255" t="s">
        <v>1019</v>
      </c>
      <c r="G2255" t="str">
        <f>IF(OrdersTable[[#This Row],[Order Date]]=_xlfn.MINIFS(Order_Date, Customer_ID, OrdersTable[[#This Row],[Customer ID]]), "New", "Repeat")</f>
        <v>Repeat</v>
      </c>
      <c r="H2255" t="s">
        <v>210</v>
      </c>
      <c r="I2255" t="str">
        <f>INDEX(State!B:B,MATCH(OrdersTable[[#This Row],[State]],State!A:A,0))</f>
        <v>JK</v>
      </c>
      <c r="J2255" t="str">
        <f>INDEX(State!C:C,MATCH(OrdersTable[[#This Row],[State Code]],State!B:B,0))</f>
        <v>North</v>
      </c>
      <c r="K2255" t="s">
        <v>415</v>
      </c>
      <c r="L2255" t="s">
        <v>16</v>
      </c>
      <c r="M2255" t="s">
        <v>87</v>
      </c>
      <c r="N2255" t="str">
        <f>INDEX(Products!B:B,MATCH(OrdersTable[[#This Row],[Product ID]],Products!A:A,0))</f>
        <v>Linen Kurta</v>
      </c>
      <c r="O2255" t="str">
        <f>INDEX(Products!C:C,MATCH(OrdersTable[[#This Row],[Product ID]],Products!A:A,0))</f>
        <v>Apparel</v>
      </c>
      <c r="P2255">
        <v>5</v>
      </c>
      <c r="Q2255" s="5">
        <v>1499</v>
      </c>
      <c r="R2255" s="74">
        <v>0.35</v>
      </c>
      <c r="S2255" s="75">
        <f>OrdersTable[[#This Row],[Quantity]]*OrdersTable[[#This Row],[Unit Price]]</f>
        <v>7495</v>
      </c>
      <c r="T2255" s="5">
        <f>OrdersTable[[#This Row],[Gross Sale]]*OrdersTable[[#This Row],[Discount_Clean2]]</f>
        <v>2623.25</v>
      </c>
      <c r="U2255" s="5">
        <f>OrdersTable[[#This Row],[Gross Sale]]-OrdersTable[[#This Row],[Discount Amount]]</f>
        <v>4871.75</v>
      </c>
      <c r="V2255" s="77">
        <f>INDEX(Products!E:E,MATCH(OrdersTable[[#This Row],[Product ID]],Products!A:A,0))</f>
        <v>630</v>
      </c>
      <c r="W2255" s="77">
        <f>OrdersTable[[#This Row],[Quantity]]*OrdersTable[[#This Row],[Unit Cost]]</f>
        <v>3150</v>
      </c>
      <c r="X2255" s="77">
        <f>'Dropdown Lists'!$I$2*(1+OrdersTable[[#This Row],[Returned]])</f>
        <v>60</v>
      </c>
      <c r="Y2255" s="76">
        <f>OrdersTable[[#This Row],[Net Revenue]]-OrdersTable[[#This Row],[COGS]]-OrdersTable[[#This Row],[Shipping Cost]]</f>
        <v>1661.75</v>
      </c>
      <c r="Z2255" s="78">
        <f>IFERROR(OrdersTable[[#This Row],[Profit]]/OrdersTable[[#This Row],[Net Revenue]],0)</f>
        <v>0.34109919433468466</v>
      </c>
      <c r="AA2255" t="s">
        <v>18</v>
      </c>
      <c r="AB2255" s="79">
        <v>45684</v>
      </c>
      <c r="AC2255">
        <f>OrdersTable[[#This Row],[Delivery Date]]-OrdersTable[[#This Row],[Order Date]]</f>
        <v>5</v>
      </c>
      <c r="AD2255" t="str">
        <f>IF(OrdersTable[[#This Row],[Delivery Days]]&lt;=2, "Express (≤2d)", IF(OrdersTable[[#This Row],[Delivery Days]]&lt;=4, "Standard (3-4d)", "Delayed (5d+)"))</f>
        <v>Delayed (5d+)</v>
      </c>
      <c r="AE2255">
        <v>3</v>
      </c>
      <c r="AF2255">
        <v>0</v>
      </c>
    </row>
    <row r="2256" spans="1:32" ht="15" x14ac:dyDescent="0.35">
      <c r="A2256" t="s">
        <v>1943</v>
      </c>
      <c r="B2256" s="1">
        <v>45679</v>
      </c>
      <c r="C2256">
        <f>YEAR(OrdersTable[[#This Row],[Order Date]])</f>
        <v>2025</v>
      </c>
      <c r="D2256" s="2">
        <f>DATE(YEAR(OrdersTable[[#This Row],[Order Date]]),MONTH(OrdersTable[[#This Row],[Order Date]]),1)</f>
        <v>45658</v>
      </c>
      <c r="E2256">
        <f>MONTH(OrdersTable[[#This Row],[Order Date]])</f>
        <v>1</v>
      </c>
      <c r="F2256" t="s">
        <v>1944</v>
      </c>
      <c r="G2256" t="str">
        <f>IF(OrdersTable[[#This Row],[Order Date]]=_xlfn.MINIFS(Order_Date, Customer_ID, OrdersTable[[#This Row],[Customer ID]]), "New", "Repeat")</f>
        <v>New</v>
      </c>
      <c r="H2256" t="s">
        <v>37</v>
      </c>
      <c r="I2256" t="str">
        <f>INDEX(State!B:B,MATCH(OrdersTable[[#This Row],[State]],State!A:A,0))</f>
        <v>GJ</v>
      </c>
      <c r="J2256" t="str">
        <f>INDEX(State!C:C,MATCH(OrdersTable[[#This Row],[State Code]],State!B:B,0))</f>
        <v>West</v>
      </c>
      <c r="K2256" t="s">
        <v>38</v>
      </c>
      <c r="L2256" t="s">
        <v>23</v>
      </c>
      <c r="M2256" t="s">
        <v>92</v>
      </c>
      <c r="N2256" t="str">
        <f>INDEX(Products!B:B,MATCH(OrdersTable[[#This Row],[Product ID]],Products!A:A,0))</f>
        <v>Kolhapuri Sandals</v>
      </c>
      <c r="O2256" t="str">
        <f>INDEX(Products!C:C,MATCH(OrdersTable[[#This Row],[Product ID]],Products!A:A,0))</f>
        <v>Footwear</v>
      </c>
      <c r="P2256">
        <v>1</v>
      </c>
      <c r="Q2256" s="5">
        <v>999</v>
      </c>
      <c r="R2256" s="74">
        <v>0.05</v>
      </c>
      <c r="S2256" s="75">
        <f>OrdersTable[[#This Row],[Quantity]]*OrdersTable[[#This Row],[Unit Price]]</f>
        <v>999</v>
      </c>
      <c r="T2256" s="5">
        <f>OrdersTable[[#This Row],[Gross Sale]]*OrdersTable[[#This Row],[Discount_Clean2]]</f>
        <v>49.95</v>
      </c>
      <c r="U2256" s="5">
        <f>OrdersTable[[#This Row],[Gross Sale]]-OrdersTable[[#This Row],[Discount Amount]]</f>
        <v>949.05</v>
      </c>
      <c r="V2256" s="77">
        <f>INDEX(Products!E:E,MATCH(OrdersTable[[#This Row],[Product ID]],Products!A:A,0))</f>
        <v>400</v>
      </c>
      <c r="W2256" s="77">
        <f>OrdersTable[[#This Row],[Quantity]]*OrdersTable[[#This Row],[Unit Cost]]</f>
        <v>400</v>
      </c>
      <c r="X2256" s="77">
        <f>'Dropdown Lists'!$I$2*(1+OrdersTable[[#This Row],[Returned]])</f>
        <v>60</v>
      </c>
      <c r="Y2256" s="76">
        <f>OrdersTable[[#This Row],[Net Revenue]]-OrdersTable[[#This Row],[COGS]]-OrdersTable[[#This Row],[Shipping Cost]]</f>
        <v>489.04999999999995</v>
      </c>
      <c r="Z2256" s="78">
        <f>IFERROR(OrdersTable[[#This Row],[Profit]]/OrdersTable[[#This Row],[Net Revenue]],0)</f>
        <v>0.5153047784626732</v>
      </c>
      <c r="AA2256" t="s">
        <v>18</v>
      </c>
      <c r="AB2256" s="79">
        <v>45682</v>
      </c>
      <c r="AC2256">
        <f>OrdersTable[[#This Row],[Delivery Date]]-OrdersTable[[#This Row],[Order Date]]</f>
        <v>3</v>
      </c>
      <c r="AD2256" t="str">
        <f>IF(OrdersTable[[#This Row],[Delivery Days]]&lt;=2, "Express (≤2d)", IF(OrdersTable[[#This Row],[Delivery Days]]&lt;=4, "Standard (3-4d)", "Delayed (5d+)"))</f>
        <v>Standard (3-4d)</v>
      </c>
      <c r="AE2256">
        <v>3</v>
      </c>
      <c r="AF2256">
        <v>0</v>
      </c>
    </row>
    <row r="2257" spans="1:32" ht="15" x14ac:dyDescent="0.35">
      <c r="A2257" t="s">
        <v>6789</v>
      </c>
      <c r="B2257" s="1">
        <v>45679</v>
      </c>
      <c r="C2257">
        <f>YEAR(OrdersTable[[#This Row],[Order Date]])</f>
        <v>2025</v>
      </c>
      <c r="D2257" s="2">
        <f>DATE(YEAR(OrdersTable[[#This Row],[Order Date]]),MONTH(OrdersTable[[#This Row],[Order Date]]),1)</f>
        <v>45658</v>
      </c>
      <c r="E2257">
        <f>MONTH(OrdersTable[[#This Row],[Order Date]])</f>
        <v>1</v>
      </c>
      <c r="F2257" t="s">
        <v>6790</v>
      </c>
      <c r="G2257" t="str">
        <f>IF(OrdersTable[[#This Row],[Order Date]]=_xlfn.MINIFS(Order_Date, Customer_ID, OrdersTable[[#This Row],[Customer ID]]), "New", "Repeat")</f>
        <v>New</v>
      </c>
      <c r="H2257" t="s">
        <v>123</v>
      </c>
      <c r="I2257" t="str">
        <f>INDEX(State!B:B,MATCH(OrdersTable[[#This Row],[State]],State!A:A,0))</f>
        <v>JH</v>
      </c>
      <c r="J2257" t="str">
        <f>INDEX(State!C:C,MATCH(OrdersTable[[#This Row],[State Code]],State!B:B,0))</f>
        <v>East</v>
      </c>
      <c r="K2257" t="s">
        <v>124</v>
      </c>
      <c r="L2257" t="s">
        <v>39</v>
      </c>
      <c r="M2257" t="s">
        <v>61</v>
      </c>
      <c r="N2257" t="str">
        <f>INDEX(Products!B:B,MATCH(OrdersTable[[#This Row],[Product ID]],Products!A:A,0))</f>
        <v>Multivitamin Gummies</v>
      </c>
      <c r="O2257" t="str">
        <f>INDEX(Products!C:C,MATCH(OrdersTable[[#This Row],[Product ID]],Products!A:A,0))</f>
        <v>Wellness</v>
      </c>
      <c r="P2257">
        <v>3</v>
      </c>
      <c r="Q2257" s="5">
        <v>699</v>
      </c>
      <c r="R2257" s="74">
        <v>0.15</v>
      </c>
      <c r="S2257" s="75">
        <f>OrdersTable[[#This Row],[Quantity]]*OrdersTable[[#This Row],[Unit Price]]</f>
        <v>2097</v>
      </c>
      <c r="T2257" s="5">
        <f>OrdersTable[[#This Row],[Gross Sale]]*OrdersTable[[#This Row],[Discount_Clean2]]</f>
        <v>314.55</v>
      </c>
      <c r="U2257" s="5">
        <f>OrdersTable[[#This Row],[Gross Sale]]-OrdersTable[[#This Row],[Discount Amount]]</f>
        <v>1782.45</v>
      </c>
      <c r="V2257" s="77">
        <f>INDEX(Products!E:E,MATCH(OrdersTable[[#This Row],[Product ID]],Products!A:A,0))</f>
        <v>238</v>
      </c>
      <c r="W2257" s="77">
        <f>OrdersTable[[#This Row],[Quantity]]*OrdersTable[[#This Row],[Unit Cost]]</f>
        <v>714</v>
      </c>
      <c r="X2257" s="77">
        <f>'Dropdown Lists'!$I$2*(1+OrdersTable[[#This Row],[Returned]])</f>
        <v>60</v>
      </c>
      <c r="Y2257" s="76">
        <f>OrdersTable[[#This Row],[Net Revenue]]-OrdersTable[[#This Row],[COGS]]-OrdersTable[[#This Row],[Shipping Cost]]</f>
        <v>1008.45</v>
      </c>
      <c r="Z2257" s="78">
        <f>IFERROR(OrdersTable[[#This Row],[Profit]]/OrdersTable[[#This Row],[Net Revenue]],0)</f>
        <v>0.56576622065135063</v>
      </c>
      <c r="AA2257" t="s">
        <v>3495</v>
      </c>
      <c r="AB2257" s="79">
        <v>45685</v>
      </c>
      <c r="AC2257">
        <f>OrdersTable[[#This Row],[Delivery Date]]-OrdersTable[[#This Row],[Order Date]]</f>
        <v>6</v>
      </c>
      <c r="AD2257" t="str">
        <f>IF(OrdersTable[[#This Row],[Delivery Days]]&lt;=2, "Express (≤2d)", IF(OrdersTable[[#This Row],[Delivery Days]]&lt;=4, "Standard (3-4d)", "Delayed (5d+)"))</f>
        <v>Delayed (5d+)</v>
      </c>
      <c r="AE2257">
        <v>4</v>
      </c>
      <c r="AF2257">
        <v>0</v>
      </c>
    </row>
    <row r="2258" spans="1:32" ht="15" x14ac:dyDescent="0.35">
      <c r="A2258" t="s">
        <v>801</v>
      </c>
      <c r="B2258" s="1">
        <v>45679</v>
      </c>
      <c r="C2258">
        <f>YEAR(OrdersTable[[#This Row],[Order Date]])</f>
        <v>2025</v>
      </c>
      <c r="D2258" s="2">
        <f>DATE(YEAR(OrdersTable[[#This Row],[Order Date]]),MONTH(OrdersTable[[#This Row],[Order Date]]),1)</f>
        <v>45658</v>
      </c>
      <c r="E2258">
        <f>MONTH(OrdersTable[[#This Row],[Order Date]])</f>
        <v>1</v>
      </c>
      <c r="F2258" t="s">
        <v>802</v>
      </c>
      <c r="G2258" t="str">
        <f>IF(OrdersTable[[#This Row],[Order Date]]=_xlfn.MINIFS(Order_Date, Customer_ID, OrdersTable[[#This Row],[Customer ID]]), "New", "Repeat")</f>
        <v>New</v>
      </c>
      <c r="H2258" t="s">
        <v>275</v>
      </c>
      <c r="I2258" t="str">
        <f>INDEX(State!B:B,MATCH(OrdersTable[[#This Row],[State]],State!A:A,0))</f>
        <v>AP</v>
      </c>
      <c r="J2258" t="str">
        <f>INDEX(State!C:C,MATCH(OrdersTable[[#This Row],[State Code]],State!B:B,0))</f>
        <v>South</v>
      </c>
      <c r="K2258" t="s">
        <v>276</v>
      </c>
      <c r="L2258" t="s">
        <v>50</v>
      </c>
      <c r="M2258" t="s">
        <v>61</v>
      </c>
      <c r="N2258" t="str">
        <f>INDEX(Products!B:B,MATCH(OrdersTable[[#This Row],[Product ID]],Products!A:A,0))</f>
        <v>Multivitamin Gummies</v>
      </c>
      <c r="O2258" t="str">
        <f>INDEX(Products!C:C,MATCH(OrdersTable[[#This Row],[Product ID]],Products!A:A,0))</f>
        <v>Wellness</v>
      </c>
      <c r="P2258">
        <v>1</v>
      </c>
      <c r="Q2258" s="5">
        <v>699</v>
      </c>
      <c r="R2258" s="74">
        <v>0.2</v>
      </c>
      <c r="S2258" s="75">
        <f>OrdersTable[[#This Row],[Quantity]]*OrdersTable[[#This Row],[Unit Price]]</f>
        <v>699</v>
      </c>
      <c r="T2258" s="5">
        <f>OrdersTable[[#This Row],[Gross Sale]]*OrdersTable[[#This Row],[Discount_Clean2]]</f>
        <v>139.80000000000001</v>
      </c>
      <c r="U2258" s="5">
        <f>OrdersTable[[#This Row],[Gross Sale]]-OrdersTable[[#This Row],[Discount Amount]]</f>
        <v>559.20000000000005</v>
      </c>
      <c r="V2258" s="77">
        <f>INDEX(Products!E:E,MATCH(OrdersTable[[#This Row],[Product ID]],Products!A:A,0))</f>
        <v>238</v>
      </c>
      <c r="W2258" s="77">
        <f>OrdersTable[[#This Row],[Quantity]]*OrdersTable[[#This Row],[Unit Cost]]</f>
        <v>238</v>
      </c>
      <c r="X2258" s="77">
        <f>'Dropdown Lists'!$I$2*(1+OrdersTable[[#This Row],[Returned]])</f>
        <v>60</v>
      </c>
      <c r="Y2258" s="76">
        <f>OrdersTable[[#This Row],[Net Revenue]]-OrdersTable[[#This Row],[COGS]]-OrdersTable[[#This Row],[Shipping Cost]]</f>
        <v>261.20000000000005</v>
      </c>
      <c r="Z2258" s="78">
        <f>IFERROR(OrdersTable[[#This Row],[Profit]]/OrdersTable[[#This Row],[Net Revenue]],0)</f>
        <v>0.46709585121602293</v>
      </c>
      <c r="AA2258" t="s">
        <v>18</v>
      </c>
      <c r="AB2258" s="79">
        <v>45683</v>
      </c>
      <c r="AC2258">
        <f>OrdersTable[[#This Row],[Delivery Date]]-OrdersTable[[#This Row],[Order Date]]</f>
        <v>4</v>
      </c>
      <c r="AD2258" t="str">
        <f>IF(OrdersTable[[#This Row],[Delivery Days]]&lt;=2, "Express (≤2d)", IF(OrdersTable[[#This Row],[Delivery Days]]&lt;=4, "Standard (3-4d)", "Delayed (5d+)"))</f>
        <v>Standard (3-4d)</v>
      </c>
      <c r="AE2258">
        <v>4</v>
      </c>
      <c r="AF2258">
        <v>0</v>
      </c>
    </row>
    <row r="2259" spans="1:32" ht="15" x14ac:dyDescent="0.35">
      <c r="A2259" t="s">
        <v>1945</v>
      </c>
      <c r="B2259" s="1">
        <v>45680</v>
      </c>
      <c r="C2259">
        <f>YEAR(OrdersTable[[#This Row],[Order Date]])</f>
        <v>2025</v>
      </c>
      <c r="D2259" s="2">
        <f>DATE(YEAR(OrdersTable[[#This Row],[Order Date]]),MONTH(OrdersTable[[#This Row],[Order Date]]),1)</f>
        <v>45658</v>
      </c>
      <c r="E2259">
        <f>MONTH(OrdersTable[[#This Row],[Order Date]])</f>
        <v>1</v>
      </c>
      <c r="F2259" t="s">
        <v>1946</v>
      </c>
      <c r="G2259" t="str">
        <f>IF(OrdersTable[[#This Row],[Order Date]]=_xlfn.MINIFS(Order_Date, Customer_ID, OrdersTable[[#This Row],[Customer ID]]), "New", "Repeat")</f>
        <v>New</v>
      </c>
      <c r="H2259" t="s">
        <v>76</v>
      </c>
      <c r="I2259" t="str">
        <f>INDEX(State!B:B,MATCH(OrdersTable[[#This Row],[State]],State!A:A,0))</f>
        <v>UP</v>
      </c>
      <c r="J2259" t="str">
        <f>INDEX(State!C:C,MATCH(OrdersTable[[#This Row],[State Code]],State!B:B,0))</f>
        <v>North</v>
      </c>
      <c r="K2259" t="s">
        <v>118</v>
      </c>
      <c r="L2259" t="s">
        <v>50</v>
      </c>
      <c r="M2259" t="s">
        <v>78</v>
      </c>
      <c r="N2259" t="str">
        <f>INDEX(Products!B:B,MATCH(OrdersTable[[#This Row],[Product ID]],Products!A:A,0))</f>
        <v>Retinol Night Cream</v>
      </c>
      <c r="O2259" t="str">
        <f>INDEX(Products!C:C,MATCH(OrdersTable[[#This Row],[Product ID]],Products!A:A,0))</f>
        <v>Skincare</v>
      </c>
      <c r="P2259">
        <v>1</v>
      </c>
      <c r="Q2259" s="5">
        <v>799</v>
      </c>
      <c r="R2259" s="74">
        <v>0.15</v>
      </c>
      <c r="S2259" s="75">
        <f>OrdersTable[[#This Row],[Quantity]]*OrdersTable[[#This Row],[Unit Price]]</f>
        <v>799</v>
      </c>
      <c r="T2259" s="5">
        <f>OrdersTable[[#This Row],[Gross Sale]]*OrdersTable[[#This Row],[Discount_Clean2]]</f>
        <v>119.85</v>
      </c>
      <c r="U2259" s="5">
        <f>OrdersTable[[#This Row],[Gross Sale]]-OrdersTable[[#This Row],[Discount Amount]]</f>
        <v>679.15</v>
      </c>
      <c r="V2259" s="77">
        <f>INDEX(Products!E:E,MATCH(OrdersTable[[#This Row],[Product ID]],Products!A:A,0))</f>
        <v>216</v>
      </c>
      <c r="W2259" s="77">
        <f>OrdersTable[[#This Row],[Quantity]]*OrdersTable[[#This Row],[Unit Cost]]</f>
        <v>216</v>
      </c>
      <c r="X2259" s="77">
        <f>'Dropdown Lists'!$I$2*(1+OrdersTable[[#This Row],[Returned]])</f>
        <v>60</v>
      </c>
      <c r="Y2259" s="76">
        <f>OrdersTable[[#This Row],[Net Revenue]]-OrdersTable[[#This Row],[COGS]]-OrdersTable[[#This Row],[Shipping Cost]]</f>
        <v>403.15</v>
      </c>
      <c r="Z2259" s="78">
        <f>IFERROR(OrdersTable[[#This Row],[Profit]]/OrdersTable[[#This Row],[Net Revenue]],0)</f>
        <v>0.59360965913273944</v>
      </c>
      <c r="AA2259" t="s">
        <v>18</v>
      </c>
      <c r="AB2259" s="79">
        <v>45685</v>
      </c>
      <c r="AC2259">
        <f>OrdersTable[[#This Row],[Delivery Date]]-OrdersTable[[#This Row],[Order Date]]</f>
        <v>5</v>
      </c>
      <c r="AD2259" t="str">
        <f>IF(OrdersTable[[#This Row],[Delivery Days]]&lt;=2, "Express (≤2d)", IF(OrdersTable[[#This Row],[Delivery Days]]&lt;=4, "Standard (3-4d)", "Delayed (5d+)"))</f>
        <v>Delayed (5d+)</v>
      </c>
      <c r="AE2259">
        <v>3</v>
      </c>
      <c r="AF2259">
        <v>0</v>
      </c>
    </row>
    <row r="2260" spans="1:32" ht="15" x14ac:dyDescent="0.35">
      <c r="A2260" t="s">
        <v>4594</v>
      </c>
      <c r="B2260" s="1">
        <v>45680</v>
      </c>
      <c r="C2260">
        <f>YEAR(OrdersTable[[#This Row],[Order Date]])</f>
        <v>2025</v>
      </c>
      <c r="D2260" s="2">
        <f>DATE(YEAR(OrdersTable[[#This Row],[Order Date]]),MONTH(OrdersTable[[#This Row],[Order Date]]),1)</f>
        <v>45658</v>
      </c>
      <c r="E2260">
        <f>MONTH(OrdersTable[[#This Row],[Order Date]])</f>
        <v>1</v>
      </c>
      <c r="F2260" t="s">
        <v>1680</v>
      </c>
      <c r="G2260" t="str">
        <f>IF(OrdersTable[[#This Row],[Order Date]]=_xlfn.MINIFS(Order_Date, Customer_ID, OrdersTable[[#This Row],[Customer ID]]), "New", "Repeat")</f>
        <v>Repeat</v>
      </c>
      <c r="H2260" t="s">
        <v>37</v>
      </c>
      <c r="I2260" t="str">
        <f>INDEX(State!B:B,MATCH(OrdersTable[[#This Row],[State]],State!A:A,0))</f>
        <v>GJ</v>
      </c>
      <c r="J2260" t="str">
        <f>INDEX(State!C:C,MATCH(OrdersTable[[#This Row],[State Code]],State!B:B,0))</f>
        <v>West</v>
      </c>
      <c r="K2260" t="s">
        <v>247</v>
      </c>
      <c r="L2260" t="s">
        <v>39</v>
      </c>
      <c r="M2260" t="s">
        <v>148</v>
      </c>
      <c r="N2260" t="str">
        <f>INDEX(Products!B:B,MATCH(OrdersTable[[#This Row],[Product ID]],Products!A:A,0))</f>
        <v>Smartwatch Strap</v>
      </c>
      <c r="O2260" t="str">
        <f>INDEX(Products!C:C,MATCH(OrdersTable[[#This Row],[Product ID]],Products!A:A,0))</f>
        <v>Electronics</v>
      </c>
      <c r="P2260">
        <v>1</v>
      </c>
      <c r="Q2260" s="5">
        <v>499</v>
      </c>
      <c r="R2260" s="74">
        <v>0</v>
      </c>
      <c r="S2260" s="75">
        <f>OrdersTable[[#This Row],[Quantity]]*OrdersTable[[#This Row],[Unit Price]]</f>
        <v>499</v>
      </c>
      <c r="T2260" s="5">
        <f>OrdersTable[[#This Row],[Gross Sale]]*OrdersTable[[#This Row],[Discount_Clean2]]</f>
        <v>0</v>
      </c>
      <c r="U2260" s="5">
        <f>OrdersTable[[#This Row],[Gross Sale]]-OrdersTable[[#This Row],[Discount Amount]]</f>
        <v>499</v>
      </c>
      <c r="V2260" s="77">
        <f>INDEX(Products!E:E,MATCH(OrdersTable[[#This Row],[Product ID]],Products!A:A,0))</f>
        <v>200</v>
      </c>
      <c r="W2260" s="77">
        <f>OrdersTable[[#This Row],[Quantity]]*OrdersTable[[#This Row],[Unit Cost]]</f>
        <v>200</v>
      </c>
      <c r="X2260" s="77">
        <f>'Dropdown Lists'!$I$2*(1+OrdersTable[[#This Row],[Returned]])</f>
        <v>60</v>
      </c>
      <c r="Y2260" s="76">
        <f>OrdersTable[[#This Row],[Net Revenue]]-OrdersTable[[#This Row],[COGS]]-OrdersTable[[#This Row],[Shipping Cost]]</f>
        <v>239</v>
      </c>
      <c r="Z2260" s="78">
        <f>IFERROR(OrdersTable[[#This Row],[Profit]]/OrdersTable[[#This Row],[Net Revenue]],0)</f>
        <v>0.47895791583166331</v>
      </c>
      <c r="AA2260" t="s">
        <v>4450</v>
      </c>
      <c r="AB2260" s="79">
        <v>45681</v>
      </c>
      <c r="AC2260">
        <f>OrdersTable[[#This Row],[Delivery Date]]-OrdersTable[[#This Row],[Order Date]]</f>
        <v>1</v>
      </c>
      <c r="AD2260" t="str">
        <f>IF(OrdersTable[[#This Row],[Delivery Days]]&lt;=2, "Express (≤2d)", IF(OrdersTable[[#This Row],[Delivery Days]]&lt;=4, "Standard (3-4d)", "Delayed (5d+)"))</f>
        <v>Express (≤2d)</v>
      </c>
      <c r="AF2260">
        <v>0</v>
      </c>
    </row>
    <row r="2261" spans="1:32" ht="15" x14ac:dyDescent="0.35">
      <c r="A2261" t="s">
        <v>559</v>
      </c>
      <c r="B2261" s="1">
        <v>45680</v>
      </c>
      <c r="C2261">
        <f>YEAR(OrdersTable[[#This Row],[Order Date]])</f>
        <v>2025</v>
      </c>
      <c r="D2261" s="2">
        <f>DATE(YEAR(OrdersTable[[#This Row],[Order Date]]),MONTH(OrdersTable[[#This Row],[Order Date]]),1)</f>
        <v>45658</v>
      </c>
      <c r="E2261">
        <f>MONTH(OrdersTable[[#This Row],[Order Date]])</f>
        <v>1</v>
      </c>
      <c r="F2261" t="s">
        <v>560</v>
      </c>
      <c r="G2261" t="str">
        <f>IF(OrdersTable[[#This Row],[Order Date]]=_xlfn.MINIFS(Order_Date, Customer_ID, OrdersTable[[#This Row],[Customer ID]]), "New", "Repeat")</f>
        <v>Repeat</v>
      </c>
      <c r="H2261" t="s">
        <v>37</v>
      </c>
      <c r="I2261" t="str">
        <f>INDEX(State!B:B,MATCH(OrdersTable[[#This Row],[State]],State!A:A,0))</f>
        <v>GJ</v>
      </c>
      <c r="J2261" t="str">
        <f>INDEX(State!C:C,MATCH(OrdersTable[[#This Row],[State Code]],State!B:B,0))</f>
        <v>West</v>
      </c>
      <c r="K2261" t="s">
        <v>38</v>
      </c>
      <c r="L2261" t="s">
        <v>16</v>
      </c>
      <c r="M2261" t="s">
        <v>87</v>
      </c>
      <c r="N2261" t="str">
        <f>INDEX(Products!B:B,MATCH(OrdersTable[[#This Row],[Product ID]],Products!A:A,0))</f>
        <v>Linen Kurta</v>
      </c>
      <c r="O2261" t="str">
        <f>INDEX(Products!C:C,MATCH(OrdersTable[[#This Row],[Product ID]],Products!A:A,0))</f>
        <v>Apparel</v>
      </c>
      <c r="P2261">
        <v>1</v>
      </c>
      <c r="Q2261" s="5">
        <v>1499</v>
      </c>
      <c r="R2261" s="74">
        <v>0.25</v>
      </c>
      <c r="S2261" s="75">
        <f>OrdersTable[[#This Row],[Quantity]]*OrdersTable[[#This Row],[Unit Price]]</f>
        <v>1499</v>
      </c>
      <c r="T2261" s="5">
        <f>OrdersTable[[#This Row],[Gross Sale]]*OrdersTable[[#This Row],[Discount_Clean2]]</f>
        <v>374.75</v>
      </c>
      <c r="U2261" s="5">
        <f>OrdersTable[[#This Row],[Gross Sale]]-OrdersTable[[#This Row],[Discount Amount]]</f>
        <v>1124.25</v>
      </c>
      <c r="V2261" s="77">
        <f>INDEX(Products!E:E,MATCH(OrdersTable[[#This Row],[Product ID]],Products!A:A,0))</f>
        <v>630</v>
      </c>
      <c r="W2261" s="77">
        <f>OrdersTable[[#This Row],[Quantity]]*OrdersTable[[#This Row],[Unit Cost]]</f>
        <v>630</v>
      </c>
      <c r="X2261" s="77">
        <f>'Dropdown Lists'!$I$2*(1+OrdersTable[[#This Row],[Returned]])</f>
        <v>60</v>
      </c>
      <c r="Y2261" s="76">
        <f>OrdersTable[[#This Row],[Net Revenue]]-OrdersTable[[#This Row],[COGS]]-OrdersTable[[#This Row],[Shipping Cost]]</f>
        <v>434.25</v>
      </c>
      <c r="Z2261" s="78">
        <f>IFERROR(OrdersTable[[#This Row],[Profit]]/OrdersTable[[#This Row],[Net Revenue]],0)</f>
        <v>0.38625750500333556</v>
      </c>
      <c r="AA2261" t="s">
        <v>18</v>
      </c>
      <c r="AB2261" s="79">
        <v>45682</v>
      </c>
      <c r="AC2261">
        <f>OrdersTable[[#This Row],[Delivery Date]]-OrdersTable[[#This Row],[Order Date]]</f>
        <v>2</v>
      </c>
      <c r="AD2261" t="str">
        <f>IF(OrdersTable[[#This Row],[Delivery Days]]&lt;=2, "Express (≤2d)", IF(OrdersTable[[#This Row],[Delivery Days]]&lt;=4, "Standard (3-4d)", "Delayed (5d+)"))</f>
        <v>Express (≤2d)</v>
      </c>
      <c r="AE2261">
        <v>4</v>
      </c>
      <c r="AF2261">
        <v>0</v>
      </c>
    </row>
    <row r="2262" spans="1:32" ht="15" x14ac:dyDescent="0.35">
      <c r="A2262" t="s">
        <v>7152</v>
      </c>
      <c r="B2262" s="1">
        <v>45680</v>
      </c>
      <c r="C2262">
        <f>YEAR(OrdersTable[[#This Row],[Order Date]])</f>
        <v>2025</v>
      </c>
      <c r="D2262" s="2">
        <f>DATE(YEAR(OrdersTable[[#This Row],[Order Date]]),MONTH(OrdersTable[[#This Row],[Order Date]]),1)</f>
        <v>45658</v>
      </c>
      <c r="E2262">
        <f>MONTH(OrdersTable[[#This Row],[Order Date]])</f>
        <v>1</v>
      </c>
      <c r="F2262" t="s">
        <v>1352</v>
      </c>
      <c r="G2262" t="str">
        <f>IF(OrdersTable[[#This Row],[Order Date]]=_xlfn.MINIFS(Order_Date, Customer_ID, OrdersTable[[#This Row],[Customer ID]]), "New", "Repeat")</f>
        <v>Repeat</v>
      </c>
      <c r="H2262" t="s">
        <v>123</v>
      </c>
      <c r="I2262" t="str">
        <f>INDEX(State!B:B,MATCH(OrdersTable[[#This Row],[State]],State!A:A,0))</f>
        <v>JH</v>
      </c>
      <c r="J2262" t="str">
        <f>INDEX(State!C:C,MATCH(OrdersTable[[#This Row],[State Code]],State!B:B,0))</f>
        <v>East</v>
      </c>
      <c r="K2262" t="s">
        <v>124</v>
      </c>
      <c r="L2262" t="s">
        <v>65</v>
      </c>
      <c r="M2262" t="s">
        <v>152</v>
      </c>
      <c r="N2262" t="str">
        <f>INDEX(Products!B:B,MATCH(OrdersTable[[#This Row],[Product ID]],Products!A:A,0))</f>
        <v>Green Tea (100 bags)</v>
      </c>
      <c r="O2262" t="str">
        <f>INDEX(Products!C:C,MATCH(OrdersTable[[#This Row],[Product ID]],Products!A:A,0))</f>
        <v>Wellness</v>
      </c>
      <c r="P2262">
        <v>5</v>
      </c>
      <c r="Q2262" s="5">
        <v>399</v>
      </c>
      <c r="R2262" s="74">
        <v>0.45</v>
      </c>
      <c r="S2262" s="75">
        <f>OrdersTable[[#This Row],[Quantity]]*OrdersTable[[#This Row],[Unit Price]]</f>
        <v>1995</v>
      </c>
      <c r="T2262" s="5">
        <f>OrdersTable[[#This Row],[Gross Sale]]*OrdersTable[[#This Row],[Discount_Clean2]]</f>
        <v>897.75</v>
      </c>
      <c r="U2262" s="5">
        <f>OrdersTable[[#This Row],[Gross Sale]]-OrdersTable[[#This Row],[Discount Amount]]</f>
        <v>1097.25</v>
      </c>
      <c r="V2262" s="77">
        <f>INDEX(Products!E:E,MATCH(OrdersTable[[#This Row],[Product ID]],Products!A:A,0))</f>
        <v>128</v>
      </c>
      <c r="W2262" s="77">
        <f>OrdersTable[[#This Row],[Quantity]]*OrdersTable[[#This Row],[Unit Cost]]</f>
        <v>640</v>
      </c>
      <c r="X2262" s="77">
        <f>'Dropdown Lists'!$I$2*(1+OrdersTable[[#This Row],[Returned]])</f>
        <v>60</v>
      </c>
      <c r="Y2262" s="76">
        <f>OrdersTable[[#This Row],[Net Revenue]]-OrdersTable[[#This Row],[COGS]]-OrdersTable[[#This Row],[Shipping Cost]]</f>
        <v>397.25</v>
      </c>
      <c r="Z2262" s="78">
        <f>IFERROR(OrdersTable[[#This Row],[Profit]]/OrdersTable[[#This Row],[Net Revenue]],0)</f>
        <v>0.36204146730462522</v>
      </c>
      <c r="AA2262" t="s">
        <v>2522</v>
      </c>
      <c r="AB2262" s="79">
        <v>45685</v>
      </c>
      <c r="AC2262">
        <f>OrdersTable[[#This Row],[Delivery Date]]-OrdersTable[[#This Row],[Order Date]]</f>
        <v>5</v>
      </c>
      <c r="AD2262" t="str">
        <f>IF(OrdersTable[[#This Row],[Delivery Days]]&lt;=2, "Express (≤2d)", IF(OrdersTable[[#This Row],[Delivery Days]]&lt;=4, "Standard (3-4d)", "Delayed (5d+)"))</f>
        <v>Delayed (5d+)</v>
      </c>
      <c r="AE2262">
        <v>3</v>
      </c>
      <c r="AF2262">
        <v>0</v>
      </c>
    </row>
    <row r="2263" spans="1:32" ht="15" x14ac:dyDescent="0.35">
      <c r="A2263" t="s">
        <v>1252</v>
      </c>
      <c r="B2263" s="1">
        <v>45680</v>
      </c>
      <c r="C2263">
        <f>YEAR(OrdersTable[[#This Row],[Order Date]])</f>
        <v>2025</v>
      </c>
      <c r="D2263" s="2">
        <f>DATE(YEAR(OrdersTable[[#This Row],[Order Date]]),MONTH(OrdersTable[[#This Row],[Order Date]]),1)</f>
        <v>45658</v>
      </c>
      <c r="E2263">
        <f>MONTH(OrdersTable[[#This Row],[Order Date]])</f>
        <v>1</v>
      </c>
      <c r="F2263" t="s">
        <v>1253</v>
      </c>
      <c r="G2263" t="str">
        <f>IF(OrdersTable[[#This Row],[Order Date]]=_xlfn.MINIFS(Order_Date, Customer_ID, OrdersTable[[#This Row],[Customer ID]]), "New", "Repeat")</f>
        <v>Repeat</v>
      </c>
      <c r="H2263" t="s">
        <v>123</v>
      </c>
      <c r="I2263" t="str">
        <f>INDEX(State!B:B,MATCH(OrdersTable[[#This Row],[State]],State!A:A,0))</f>
        <v>JH</v>
      </c>
      <c r="J2263" t="str">
        <f>INDEX(State!C:C,MATCH(OrdersTable[[#This Row],[State Code]],State!B:B,0))</f>
        <v>East</v>
      </c>
      <c r="K2263" t="s">
        <v>124</v>
      </c>
      <c r="L2263" t="s">
        <v>16</v>
      </c>
      <c r="M2263" t="s">
        <v>255</v>
      </c>
      <c r="N2263" t="str">
        <f>INDEX(Products!B:B,MATCH(OrdersTable[[#This Row],[Product ID]],Products!A:A,0))</f>
        <v>Cotton Oversized T-Shirt</v>
      </c>
      <c r="O2263" t="str">
        <f>INDEX(Products!C:C,MATCH(OrdersTable[[#This Row],[Product ID]],Products!A:A,0))</f>
        <v>Apparel</v>
      </c>
      <c r="P2263">
        <v>1</v>
      </c>
      <c r="Q2263" s="5">
        <v>799</v>
      </c>
      <c r="R2263" s="74">
        <v>0.05</v>
      </c>
      <c r="S2263" s="75">
        <f>OrdersTable[[#This Row],[Quantity]]*OrdersTable[[#This Row],[Unit Price]]</f>
        <v>799</v>
      </c>
      <c r="T2263" s="5">
        <f>OrdersTable[[#This Row],[Gross Sale]]*OrdersTable[[#This Row],[Discount_Clean2]]</f>
        <v>39.950000000000003</v>
      </c>
      <c r="U2263" s="5">
        <f>OrdersTable[[#This Row],[Gross Sale]]-OrdersTable[[#This Row],[Discount Amount]]</f>
        <v>759.05</v>
      </c>
      <c r="V2263" s="77">
        <f>INDEX(Products!E:E,MATCH(OrdersTable[[#This Row],[Product ID]],Products!A:A,0))</f>
        <v>320</v>
      </c>
      <c r="W2263" s="77">
        <f>OrdersTable[[#This Row],[Quantity]]*OrdersTable[[#This Row],[Unit Cost]]</f>
        <v>320</v>
      </c>
      <c r="X2263" s="77">
        <f>'Dropdown Lists'!$I$2*(1+OrdersTable[[#This Row],[Returned]])</f>
        <v>60</v>
      </c>
      <c r="Y2263" s="76">
        <f>OrdersTable[[#This Row],[Net Revenue]]-OrdersTable[[#This Row],[COGS]]-OrdersTable[[#This Row],[Shipping Cost]]</f>
        <v>379.04999999999995</v>
      </c>
      <c r="Z2263" s="78">
        <f>IFERROR(OrdersTable[[#This Row],[Profit]]/OrdersTable[[#This Row],[Net Revenue]],0)</f>
        <v>0.49937421777221525</v>
      </c>
      <c r="AA2263" t="s">
        <v>18</v>
      </c>
      <c r="AB2263" s="79">
        <v>45686</v>
      </c>
      <c r="AC2263">
        <f>OrdersTable[[#This Row],[Delivery Date]]-OrdersTable[[#This Row],[Order Date]]</f>
        <v>6</v>
      </c>
      <c r="AD2263" t="str">
        <f>IF(OrdersTable[[#This Row],[Delivery Days]]&lt;=2, "Express (≤2d)", IF(OrdersTable[[#This Row],[Delivery Days]]&lt;=4, "Standard (3-4d)", "Delayed (5d+)"))</f>
        <v>Delayed (5d+)</v>
      </c>
      <c r="AF2263">
        <v>0</v>
      </c>
    </row>
    <row r="2264" spans="1:32" ht="15" x14ac:dyDescent="0.35">
      <c r="A2264" t="s">
        <v>5927</v>
      </c>
      <c r="B2264" s="1">
        <v>45680</v>
      </c>
      <c r="C2264">
        <f>YEAR(OrdersTable[[#This Row],[Order Date]])</f>
        <v>2025</v>
      </c>
      <c r="D2264" s="2">
        <f>DATE(YEAR(OrdersTable[[#This Row],[Order Date]]),MONTH(OrdersTable[[#This Row],[Order Date]]),1)</f>
        <v>45658</v>
      </c>
      <c r="E2264">
        <f>MONTH(OrdersTable[[#This Row],[Order Date]])</f>
        <v>1</v>
      </c>
      <c r="F2264" t="s">
        <v>1641</v>
      </c>
      <c r="G2264" t="str">
        <f>IF(OrdersTable[[#This Row],[Order Date]]=_xlfn.MINIFS(Order_Date, Customer_ID, OrdersTable[[#This Row],[Customer ID]]), "New", "Repeat")</f>
        <v>Repeat</v>
      </c>
      <c r="H2264" t="s">
        <v>123</v>
      </c>
      <c r="I2264" t="str">
        <f>INDEX(State!B:B,MATCH(OrdersTable[[#This Row],[State]],State!A:A,0))</f>
        <v>JH</v>
      </c>
      <c r="J2264" t="str">
        <f>INDEX(State!C:C,MATCH(OrdersTable[[#This Row],[State Code]],State!B:B,0))</f>
        <v>East</v>
      </c>
      <c r="K2264" t="s">
        <v>124</v>
      </c>
      <c r="L2264" t="s">
        <v>39</v>
      </c>
      <c r="M2264" t="s">
        <v>109</v>
      </c>
      <c r="N2264" t="str">
        <f>INDEX(Products!B:B,MATCH(OrdersTable[[#This Row],[Product ID]],Products!A:A,0))</f>
        <v>Onion Hair Oil</v>
      </c>
      <c r="O2264" t="str">
        <f>INDEX(Products!C:C,MATCH(OrdersTable[[#This Row],[Product ID]],Products!A:A,0))</f>
        <v>Haircare</v>
      </c>
      <c r="P2264">
        <v>2</v>
      </c>
      <c r="Q2264" s="5">
        <v>349</v>
      </c>
      <c r="R2264" s="74">
        <v>0.35</v>
      </c>
      <c r="S2264" s="75">
        <f>OrdersTable[[#This Row],[Quantity]]*OrdersTable[[#This Row],[Unit Price]]</f>
        <v>698</v>
      </c>
      <c r="T2264" s="5">
        <f>OrdersTable[[#This Row],[Gross Sale]]*OrdersTable[[#This Row],[Discount_Clean2]]</f>
        <v>244.29999999999998</v>
      </c>
      <c r="U2264" s="5">
        <f>OrdersTable[[#This Row],[Gross Sale]]-OrdersTable[[#This Row],[Discount Amount]]</f>
        <v>453.70000000000005</v>
      </c>
      <c r="V2264" s="77">
        <f>INDEX(Products!E:E,MATCH(OrdersTable[[#This Row],[Product ID]],Products!A:A,0))</f>
        <v>105</v>
      </c>
      <c r="W2264" s="77">
        <f>OrdersTable[[#This Row],[Quantity]]*OrdersTable[[#This Row],[Unit Cost]]</f>
        <v>210</v>
      </c>
      <c r="X2264" s="77">
        <f>'Dropdown Lists'!$I$2*(1+OrdersTable[[#This Row],[Returned]])</f>
        <v>60</v>
      </c>
      <c r="Y2264" s="76">
        <f>OrdersTable[[#This Row],[Net Revenue]]-OrdersTable[[#This Row],[COGS]]-OrdersTable[[#This Row],[Shipping Cost]]</f>
        <v>183.70000000000005</v>
      </c>
      <c r="Z2264" s="78">
        <f>IFERROR(OrdersTable[[#This Row],[Profit]]/OrdersTable[[#This Row],[Net Revenue]],0)</f>
        <v>0.40489310116817284</v>
      </c>
      <c r="AA2264" t="s">
        <v>18</v>
      </c>
      <c r="AB2264" s="79">
        <v>45685</v>
      </c>
      <c r="AC2264">
        <f>OrdersTable[[#This Row],[Delivery Date]]-OrdersTable[[#This Row],[Order Date]]</f>
        <v>5</v>
      </c>
      <c r="AD2264" t="str">
        <f>IF(OrdersTable[[#This Row],[Delivery Days]]&lt;=2, "Express (≤2d)", IF(OrdersTable[[#This Row],[Delivery Days]]&lt;=4, "Standard (3-4d)", "Delayed (5d+)"))</f>
        <v>Delayed (5d+)</v>
      </c>
      <c r="AF2264">
        <v>0</v>
      </c>
    </row>
    <row r="2265" spans="1:32" ht="15" x14ac:dyDescent="0.35">
      <c r="A2265" t="s">
        <v>561</v>
      </c>
      <c r="B2265" s="1">
        <v>45680</v>
      </c>
      <c r="C2265">
        <f>YEAR(OrdersTable[[#This Row],[Order Date]])</f>
        <v>2025</v>
      </c>
      <c r="D2265" s="2">
        <f>DATE(YEAR(OrdersTable[[#This Row],[Order Date]]),MONTH(OrdersTable[[#This Row],[Order Date]]),1)</f>
        <v>45658</v>
      </c>
      <c r="E2265">
        <f>MONTH(OrdersTable[[#This Row],[Order Date]])</f>
        <v>1</v>
      </c>
      <c r="F2265" t="s">
        <v>562</v>
      </c>
      <c r="G2265" t="str">
        <f>IF(OrdersTable[[#This Row],[Order Date]]=_xlfn.MINIFS(Order_Date, Customer_ID, OrdersTable[[#This Row],[Customer ID]]), "New", "Repeat")</f>
        <v>New</v>
      </c>
      <c r="H2265" t="s">
        <v>27</v>
      </c>
      <c r="I2265" t="str">
        <f>INDEX(State!B:B,MATCH(OrdersTable[[#This Row],[State]],State!A:A,0))</f>
        <v>WB</v>
      </c>
      <c r="J2265" t="str">
        <f>INDEX(State!C:C,MATCH(OrdersTable[[#This Row],[State Code]],State!B:B,0))</f>
        <v>East</v>
      </c>
      <c r="K2265" t="s">
        <v>28</v>
      </c>
      <c r="L2265" t="s">
        <v>23</v>
      </c>
      <c r="M2265" t="s">
        <v>152</v>
      </c>
      <c r="N2265" t="str">
        <f>INDEX(Products!B:B,MATCH(OrdersTable[[#This Row],[Product ID]],Products!A:A,0))</f>
        <v>Green Tea (100 bags)</v>
      </c>
      <c r="O2265" t="str">
        <f>INDEX(Products!C:C,MATCH(OrdersTable[[#This Row],[Product ID]],Products!A:A,0))</f>
        <v>Wellness</v>
      </c>
      <c r="P2265">
        <v>1</v>
      </c>
      <c r="Q2265" s="5">
        <v>399</v>
      </c>
      <c r="R2265" s="74">
        <v>0.45</v>
      </c>
      <c r="S2265" s="75">
        <f>OrdersTable[[#This Row],[Quantity]]*OrdersTable[[#This Row],[Unit Price]]</f>
        <v>399</v>
      </c>
      <c r="T2265" s="5">
        <f>OrdersTable[[#This Row],[Gross Sale]]*OrdersTable[[#This Row],[Discount_Clean2]]</f>
        <v>179.55</v>
      </c>
      <c r="U2265" s="5">
        <f>OrdersTable[[#This Row],[Gross Sale]]-OrdersTable[[#This Row],[Discount Amount]]</f>
        <v>219.45</v>
      </c>
      <c r="V2265" s="77">
        <f>INDEX(Products!E:E,MATCH(OrdersTable[[#This Row],[Product ID]],Products!A:A,0))</f>
        <v>128</v>
      </c>
      <c r="W2265" s="77">
        <f>OrdersTable[[#This Row],[Quantity]]*OrdersTable[[#This Row],[Unit Cost]]</f>
        <v>128</v>
      </c>
      <c r="X2265" s="77">
        <f>'Dropdown Lists'!$I$2*(1+OrdersTable[[#This Row],[Returned]])</f>
        <v>60</v>
      </c>
      <c r="Y2265" s="76">
        <f>OrdersTable[[#This Row],[Net Revenue]]-OrdersTable[[#This Row],[COGS]]-OrdersTable[[#This Row],[Shipping Cost]]</f>
        <v>31.449999999999989</v>
      </c>
      <c r="Z2265" s="78">
        <f>IFERROR(OrdersTable[[#This Row],[Profit]]/OrdersTable[[#This Row],[Net Revenue]],0)</f>
        <v>0.14331282752335381</v>
      </c>
      <c r="AA2265" t="s">
        <v>18</v>
      </c>
      <c r="AB2265" s="79">
        <v>45682</v>
      </c>
      <c r="AC2265">
        <f>OrdersTable[[#This Row],[Delivery Date]]-OrdersTable[[#This Row],[Order Date]]</f>
        <v>2</v>
      </c>
      <c r="AD2265" t="str">
        <f>IF(OrdersTable[[#This Row],[Delivery Days]]&lt;=2, "Express (≤2d)", IF(OrdersTable[[#This Row],[Delivery Days]]&lt;=4, "Standard (3-4d)", "Delayed (5d+)"))</f>
        <v>Express (≤2d)</v>
      </c>
      <c r="AE2265">
        <v>4</v>
      </c>
      <c r="AF2265">
        <v>0</v>
      </c>
    </row>
    <row r="2266" spans="1:32" ht="15" x14ac:dyDescent="0.35">
      <c r="A2266" t="s">
        <v>6341</v>
      </c>
      <c r="B2266" s="1">
        <v>45680</v>
      </c>
      <c r="C2266">
        <f>YEAR(OrdersTable[[#This Row],[Order Date]])</f>
        <v>2025</v>
      </c>
      <c r="D2266" s="2">
        <f>DATE(YEAR(OrdersTable[[#This Row],[Order Date]]),MONTH(OrdersTable[[#This Row],[Order Date]]),1)</f>
        <v>45658</v>
      </c>
      <c r="E2266">
        <f>MONTH(OrdersTable[[#This Row],[Order Date]])</f>
        <v>1</v>
      </c>
      <c r="F2266" t="s">
        <v>4208</v>
      </c>
      <c r="G2266" t="str">
        <f>IF(OrdersTable[[#This Row],[Order Date]]=_xlfn.MINIFS(Order_Date, Customer_ID, OrdersTable[[#This Row],[Customer ID]]), "New", "Repeat")</f>
        <v>New</v>
      </c>
      <c r="H2266" t="s">
        <v>71</v>
      </c>
      <c r="I2266" t="str">
        <f>INDEX(State!B:B,MATCH(OrdersTable[[#This Row],[State]],State!A:A,0))</f>
        <v>MH</v>
      </c>
      <c r="J2266" t="str">
        <f>INDEX(State!C:C,MATCH(OrdersTable[[#This Row],[State Code]],State!B:B,0))</f>
        <v>West</v>
      </c>
      <c r="K2266" t="s">
        <v>72</v>
      </c>
      <c r="L2266" t="s">
        <v>23</v>
      </c>
      <c r="M2266" t="s">
        <v>51</v>
      </c>
      <c r="N2266" t="str">
        <f>INDEX(Products!B:B,MATCH(OrdersTable[[#This Row],[Product ID]],Products!A:A,0))</f>
        <v>Anti-Dandruff Conditioner</v>
      </c>
      <c r="O2266" t="str">
        <f>INDEX(Products!C:C,MATCH(OrdersTable[[#This Row],[Product ID]],Products!A:A,0))</f>
        <v>Haircare</v>
      </c>
      <c r="P2266">
        <v>2</v>
      </c>
      <c r="Q2266" s="5">
        <v>399</v>
      </c>
      <c r="R2266" s="74">
        <v>0.45</v>
      </c>
      <c r="S2266" s="75">
        <f>OrdersTable[[#This Row],[Quantity]]*OrdersTable[[#This Row],[Unit Price]]</f>
        <v>798</v>
      </c>
      <c r="T2266" s="5">
        <f>OrdersTable[[#This Row],[Gross Sale]]*OrdersTable[[#This Row],[Discount_Clean2]]</f>
        <v>359.1</v>
      </c>
      <c r="U2266" s="5">
        <f>OrdersTable[[#This Row],[Gross Sale]]-OrdersTable[[#This Row],[Discount Amount]]</f>
        <v>438.9</v>
      </c>
      <c r="V2266" s="77">
        <f>INDEX(Products!E:E,MATCH(OrdersTable[[#This Row],[Product ID]],Products!A:A,0))</f>
        <v>136</v>
      </c>
      <c r="W2266" s="77">
        <f>OrdersTable[[#This Row],[Quantity]]*OrdersTable[[#This Row],[Unit Cost]]</f>
        <v>272</v>
      </c>
      <c r="X2266" s="77">
        <f>'Dropdown Lists'!$I$2*(1+OrdersTable[[#This Row],[Returned]])</f>
        <v>60</v>
      </c>
      <c r="Y2266" s="76">
        <f>OrdersTable[[#This Row],[Net Revenue]]-OrdersTable[[#This Row],[COGS]]-OrdersTable[[#This Row],[Shipping Cost]]</f>
        <v>106.89999999999998</v>
      </c>
      <c r="Z2266" s="78">
        <f>IFERROR(OrdersTable[[#This Row],[Profit]]/OrdersTable[[#This Row],[Net Revenue]],0)</f>
        <v>0.24356345408976984</v>
      </c>
      <c r="AA2266" t="s">
        <v>18</v>
      </c>
      <c r="AB2266" s="79">
        <v>45682</v>
      </c>
      <c r="AC2266">
        <f>OrdersTable[[#This Row],[Delivery Date]]-OrdersTable[[#This Row],[Order Date]]</f>
        <v>2</v>
      </c>
      <c r="AD2266" t="str">
        <f>IF(OrdersTable[[#This Row],[Delivery Days]]&lt;=2, "Express (≤2d)", IF(OrdersTable[[#This Row],[Delivery Days]]&lt;=4, "Standard (3-4d)", "Delayed (5d+)"))</f>
        <v>Express (≤2d)</v>
      </c>
      <c r="AF2266">
        <v>0</v>
      </c>
    </row>
    <row r="2267" spans="1:32" ht="15" x14ac:dyDescent="0.35">
      <c r="A2267" t="s">
        <v>1947</v>
      </c>
      <c r="B2267" s="1">
        <v>45680</v>
      </c>
      <c r="C2267">
        <f>YEAR(OrdersTable[[#This Row],[Order Date]])</f>
        <v>2025</v>
      </c>
      <c r="D2267" s="2">
        <f>DATE(YEAR(OrdersTable[[#This Row],[Order Date]]),MONTH(OrdersTable[[#This Row],[Order Date]]),1)</f>
        <v>45658</v>
      </c>
      <c r="E2267">
        <f>MONTH(OrdersTable[[#This Row],[Order Date]])</f>
        <v>1</v>
      </c>
      <c r="F2267" t="s">
        <v>1948</v>
      </c>
      <c r="G2267" t="str">
        <f>IF(OrdersTable[[#This Row],[Order Date]]=_xlfn.MINIFS(Order_Date, Customer_ID, OrdersTable[[#This Row],[Customer ID]]), "New", "Repeat")</f>
        <v>New</v>
      </c>
      <c r="H2267" t="s">
        <v>71</v>
      </c>
      <c r="I2267" t="str">
        <f>INDEX(State!B:B,MATCH(OrdersTable[[#This Row],[State]],State!A:A,0))</f>
        <v>MH</v>
      </c>
      <c r="J2267" t="str">
        <f>INDEX(State!C:C,MATCH(OrdersTable[[#This Row],[State Code]],State!B:B,0))</f>
        <v>West</v>
      </c>
      <c r="K2267" t="s">
        <v>102</v>
      </c>
      <c r="L2267" t="s">
        <v>23</v>
      </c>
      <c r="M2267" t="s">
        <v>255</v>
      </c>
      <c r="N2267" t="str">
        <f>INDEX(Products!B:B,MATCH(OrdersTable[[#This Row],[Product ID]],Products!A:A,0))</f>
        <v>Cotton Oversized T-Shirt</v>
      </c>
      <c r="O2267" t="str">
        <f>INDEX(Products!C:C,MATCH(OrdersTable[[#This Row],[Product ID]],Products!A:A,0))</f>
        <v>Apparel</v>
      </c>
      <c r="P2267">
        <v>1</v>
      </c>
      <c r="Q2267" s="5">
        <v>799</v>
      </c>
      <c r="R2267" s="74">
        <v>0</v>
      </c>
      <c r="S2267" s="75">
        <f>OrdersTable[[#This Row],[Quantity]]*OrdersTable[[#This Row],[Unit Price]]</f>
        <v>799</v>
      </c>
      <c r="T2267" s="5">
        <f>OrdersTable[[#This Row],[Gross Sale]]*OrdersTable[[#This Row],[Discount_Clean2]]</f>
        <v>0</v>
      </c>
      <c r="U2267" s="5">
        <f>OrdersTable[[#This Row],[Gross Sale]]-OrdersTable[[#This Row],[Discount Amount]]</f>
        <v>799</v>
      </c>
      <c r="V2267" s="77">
        <f>INDEX(Products!E:E,MATCH(OrdersTable[[#This Row],[Product ID]],Products!A:A,0))</f>
        <v>320</v>
      </c>
      <c r="W2267" s="77">
        <f>OrdersTable[[#This Row],[Quantity]]*OrdersTable[[#This Row],[Unit Cost]]</f>
        <v>320</v>
      </c>
      <c r="X2267" s="77">
        <f>'Dropdown Lists'!$I$2*(1+OrdersTable[[#This Row],[Returned]])</f>
        <v>120</v>
      </c>
      <c r="Y2267" s="76">
        <f>OrdersTable[[#This Row],[Net Revenue]]-OrdersTable[[#This Row],[COGS]]-OrdersTable[[#This Row],[Shipping Cost]]</f>
        <v>359</v>
      </c>
      <c r="Z2267" s="78">
        <f>IFERROR(OrdersTable[[#This Row],[Profit]]/OrdersTable[[#This Row],[Net Revenue]],0)</f>
        <v>0.44931163954943681</v>
      </c>
      <c r="AA2267" t="s">
        <v>18</v>
      </c>
      <c r="AB2267" s="79">
        <v>45682</v>
      </c>
      <c r="AC2267">
        <f>OrdersTable[[#This Row],[Delivery Date]]-OrdersTable[[#This Row],[Order Date]]</f>
        <v>2</v>
      </c>
      <c r="AD2267" t="str">
        <f>IF(OrdersTable[[#This Row],[Delivery Days]]&lt;=2, "Express (≤2d)", IF(OrdersTable[[#This Row],[Delivery Days]]&lt;=4, "Standard (3-4d)", "Delayed (5d+)"))</f>
        <v>Express (≤2d)</v>
      </c>
      <c r="AE2267">
        <v>3</v>
      </c>
      <c r="AF2267">
        <v>1</v>
      </c>
    </row>
    <row r="2268" spans="1:32" ht="15" x14ac:dyDescent="0.35">
      <c r="A2268" t="s">
        <v>1531</v>
      </c>
      <c r="B2268" s="1">
        <v>45680</v>
      </c>
      <c r="C2268">
        <f>YEAR(OrdersTable[[#This Row],[Order Date]])</f>
        <v>2025</v>
      </c>
      <c r="D2268" s="2">
        <f>DATE(YEAR(OrdersTable[[#This Row],[Order Date]]),MONTH(OrdersTable[[#This Row],[Order Date]]),1)</f>
        <v>45658</v>
      </c>
      <c r="E2268">
        <f>MONTH(OrdersTable[[#This Row],[Order Date]])</f>
        <v>1</v>
      </c>
      <c r="F2268" t="s">
        <v>1532</v>
      </c>
      <c r="G2268" t="str">
        <f>IF(OrdersTable[[#This Row],[Order Date]]=_xlfn.MINIFS(Order_Date, Customer_ID, OrdersTable[[#This Row],[Customer ID]]), "New", "Repeat")</f>
        <v>New</v>
      </c>
      <c r="H2268" t="s">
        <v>167</v>
      </c>
      <c r="I2268" t="str">
        <f>INDEX(State!B:B,MATCH(OrdersTable[[#This Row],[State]],State!A:A,0))</f>
        <v>KA</v>
      </c>
      <c r="J2268" t="str">
        <f>INDEX(State!C:C,MATCH(OrdersTable[[#This Row],[State Code]],State!B:B,0))</f>
        <v>South</v>
      </c>
      <c r="K2268" t="s">
        <v>190</v>
      </c>
      <c r="L2268" t="s">
        <v>39</v>
      </c>
      <c r="M2268" t="s">
        <v>106</v>
      </c>
      <c r="N2268" t="str">
        <f>INDEX(Products!B:B,MATCH(OrdersTable[[#This Row],[Product ID]],Products!A:A,0))</f>
        <v>Keratin Hair Mask</v>
      </c>
      <c r="O2268" t="str">
        <f>INDEX(Products!C:C,MATCH(OrdersTable[[#This Row],[Product ID]],Products!A:A,0))</f>
        <v>Haircare</v>
      </c>
      <c r="P2268">
        <v>1</v>
      </c>
      <c r="Q2268" s="5">
        <v>549</v>
      </c>
      <c r="R2268" s="74">
        <v>0.1</v>
      </c>
      <c r="S2268" s="75">
        <f>OrdersTable[[#This Row],[Quantity]]*OrdersTable[[#This Row],[Unit Price]]</f>
        <v>549</v>
      </c>
      <c r="T2268" s="5">
        <f>OrdersTable[[#This Row],[Gross Sale]]*OrdersTable[[#This Row],[Discount_Clean2]]</f>
        <v>54.900000000000006</v>
      </c>
      <c r="U2268" s="5">
        <f>OrdersTable[[#This Row],[Gross Sale]]-OrdersTable[[#This Row],[Discount Amount]]</f>
        <v>494.1</v>
      </c>
      <c r="V2268" s="77">
        <f>INDEX(Products!E:E,MATCH(OrdersTable[[#This Row],[Product ID]],Products!A:A,0))</f>
        <v>170</v>
      </c>
      <c r="W2268" s="77">
        <f>OrdersTable[[#This Row],[Quantity]]*OrdersTable[[#This Row],[Unit Cost]]</f>
        <v>170</v>
      </c>
      <c r="X2268" s="77">
        <f>'Dropdown Lists'!$I$2*(1+OrdersTable[[#This Row],[Returned]])</f>
        <v>60</v>
      </c>
      <c r="Y2268" s="76">
        <f>OrdersTable[[#This Row],[Net Revenue]]-OrdersTable[[#This Row],[COGS]]-OrdersTable[[#This Row],[Shipping Cost]]</f>
        <v>264.10000000000002</v>
      </c>
      <c r="Z2268" s="78">
        <f>IFERROR(OrdersTable[[#This Row],[Profit]]/OrdersTable[[#This Row],[Net Revenue]],0)</f>
        <v>0.53450718478040882</v>
      </c>
      <c r="AA2268" t="s">
        <v>18</v>
      </c>
      <c r="AB2268" s="79">
        <v>45682</v>
      </c>
      <c r="AC2268">
        <f>OrdersTable[[#This Row],[Delivery Date]]-OrdersTable[[#This Row],[Order Date]]</f>
        <v>2</v>
      </c>
      <c r="AD2268" t="str">
        <f>IF(OrdersTable[[#This Row],[Delivery Days]]&lt;=2, "Express (≤2d)", IF(OrdersTable[[#This Row],[Delivery Days]]&lt;=4, "Standard (3-4d)", "Delayed (5d+)"))</f>
        <v>Express (≤2d)</v>
      </c>
      <c r="AF2268">
        <v>0</v>
      </c>
    </row>
    <row r="2269" spans="1:32" ht="15" x14ac:dyDescent="0.35">
      <c r="A2269" t="s">
        <v>5928</v>
      </c>
      <c r="B2269" s="1">
        <v>45680</v>
      </c>
      <c r="C2269">
        <f>YEAR(OrdersTable[[#This Row],[Order Date]])</f>
        <v>2025</v>
      </c>
      <c r="D2269" s="2">
        <f>DATE(YEAR(OrdersTable[[#This Row],[Order Date]]),MONTH(OrdersTable[[#This Row],[Order Date]]),1)</f>
        <v>45658</v>
      </c>
      <c r="E2269">
        <f>MONTH(OrdersTable[[#This Row],[Order Date]])</f>
        <v>1</v>
      </c>
      <c r="F2269" t="s">
        <v>4780</v>
      </c>
      <c r="G2269" t="str">
        <f>IF(OrdersTable[[#This Row],[Order Date]]=_xlfn.MINIFS(Order_Date, Customer_ID, OrdersTable[[#This Row],[Customer ID]]), "New", "Repeat")</f>
        <v>Repeat</v>
      </c>
      <c r="H2269" t="s">
        <v>167</v>
      </c>
      <c r="I2269" t="str">
        <f>INDEX(State!B:B,MATCH(OrdersTable[[#This Row],[State]],State!A:A,0))</f>
        <v>KA</v>
      </c>
      <c r="J2269" t="str">
        <f>INDEX(State!C:C,MATCH(OrdersTable[[#This Row],[State Code]],State!B:B,0))</f>
        <v>South</v>
      </c>
      <c r="K2269" t="s">
        <v>190</v>
      </c>
      <c r="L2269" t="s">
        <v>50</v>
      </c>
      <c r="M2269" t="s">
        <v>179</v>
      </c>
      <c r="N2269" t="str">
        <f>INDEX(Products!B:B,MATCH(OrdersTable[[#This Row],[Product ID]],Products!A:A,0))</f>
        <v>Whey Protein 1kg</v>
      </c>
      <c r="O2269" t="str">
        <f>INDEX(Products!C:C,MATCH(OrdersTable[[#This Row],[Product ID]],Products!A:A,0))</f>
        <v>Wellness</v>
      </c>
      <c r="P2269">
        <v>2</v>
      </c>
      <c r="Q2269" s="5">
        <v>2299</v>
      </c>
      <c r="R2269" s="74">
        <v>0.35</v>
      </c>
      <c r="S2269" s="75">
        <f>OrdersTable[[#This Row],[Quantity]]*OrdersTable[[#This Row],[Unit Price]]</f>
        <v>4598</v>
      </c>
      <c r="T2269" s="5">
        <f>OrdersTable[[#This Row],[Gross Sale]]*OrdersTable[[#This Row],[Discount_Clean2]]</f>
        <v>1609.3</v>
      </c>
      <c r="U2269" s="5">
        <f>OrdersTable[[#This Row],[Gross Sale]]-OrdersTable[[#This Row],[Discount Amount]]</f>
        <v>2988.7</v>
      </c>
      <c r="V2269" s="77">
        <f>INDEX(Products!E:E,MATCH(OrdersTable[[#This Row],[Product ID]],Products!A:A,0))</f>
        <v>1333</v>
      </c>
      <c r="W2269" s="77">
        <f>OrdersTable[[#This Row],[Quantity]]*OrdersTable[[#This Row],[Unit Cost]]</f>
        <v>2666</v>
      </c>
      <c r="X2269" s="77">
        <f>'Dropdown Lists'!$I$2*(1+OrdersTable[[#This Row],[Returned]])</f>
        <v>60</v>
      </c>
      <c r="Y2269" s="76">
        <f>OrdersTable[[#This Row],[Net Revenue]]-OrdersTable[[#This Row],[COGS]]-OrdersTable[[#This Row],[Shipping Cost]]</f>
        <v>262.69999999999982</v>
      </c>
      <c r="Z2269" s="78">
        <f>IFERROR(OrdersTable[[#This Row],[Profit]]/OrdersTable[[#This Row],[Net Revenue]],0)</f>
        <v>8.7897748184829469E-2</v>
      </c>
      <c r="AA2269" t="s">
        <v>18</v>
      </c>
      <c r="AB2269" s="79">
        <v>45682</v>
      </c>
      <c r="AC2269">
        <f>OrdersTable[[#This Row],[Delivery Date]]-OrdersTable[[#This Row],[Order Date]]</f>
        <v>2</v>
      </c>
      <c r="AD2269" t="str">
        <f>IF(OrdersTable[[#This Row],[Delivery Days]]&lt;=2, "Express (≤2d)", IF(OrdersTable[[#This Row],[Delivery Days]]&lt;=4, "Standard (3-4d)", "Delayed (5d+)"))</f>
        <v>Express (≤2d)</v>
      </c>
      <c r="AF2269">
        <v>0</v>
      </c>
    </row>
    <row r="2270" spans="1:32" ht="15" x14ac:dyDescent="0.35">
      <c r="A2270" t="s">
        <v>6987</v>
      </c>
      <c r="B2270" s="1">
        <v>45680</v>
      </c>
      <c r="C2270">
        <f>YEAR(OrdersTable[[#This Row],[Order Date]])</f>
        <v>2025</v>
      </c>
      <c r="D2270" s="2">
        <f>DATE(YEAR(OrdersTable[[#This Row],[Order Date]]),MONTH(OrdersTable[[#This Row],[Order Date]]),1)</f>
        <v>45658</v>
      </c>
      <c r="E2270">
        <f>MONTH(OrdersTable[[#This Row],[Order Date]])</f>
        <v>1</v>
      </c>
      <c r="F2270" t="s">
        <v>2811</v>
      </c>
      <c r="G2270" t="str">
        <f>IF(OrdersTable[[#This Row],[Order Date]]=_xlfn.MINIFS(Order_Date, Customer_ID, OrdersTable[[#This Row],[Customer ID]]), "New", "Repeat")</f>
        <v>New</v>
      </c>
      <c r="H2270" t="s">
        <v>167</v>
      </c>
      <c r="I2270" t="str">
        <f>INDEX(State!B:B,MATCH(OrdersTable[[#This Row],[State]],State!A:A,0))</f>
        <v>KA</v>
      </c>
      <c r="J2270" t="str">
        <f>INDEX(State!C:C,MATCH(OrdersTable[[#This Row],[State Code]],State!B:B,0))</f>
        <v>South</v>
      </c>
      <c r="K2270" t="s">
        <v>168</v>
      </c>
      <c r="L2270" t="s">
        <v>23</v>
      </c>
      <c r="M2270" t="s">
        <v>109</v>
      </c>
      <c r="N2270" t="str">
        <f>INDEX(Products!B:B,MATCH(OrdersTable[[#This Row],[Product ID]],Products!A:A,0))</f>
        <v>Onion Hair Oil</v>
      </c>
      <c r="O2270" t="str">
        <f>INDEX(Products!C:C,MATCH(OrdersTable[[#This Row],[Product ID]],Products!A:A,0))</f>
        <v>Haircare</v>
      </c>
      <c r="P2270">
        <v>4</v>
      </c>
      <c r="Q2270" s="5">
        <v>349</v>
      </c>
      <c r="R2270" s="74">
        <v>0.3</v>
      </c>
      <c r="S2270" s="75">
        <f>OrdersTable[[#This Row],[Quantity]]*OrdersTable[[#This Row],[Unit Price]]</f>
        <v>1396</v>
      </c>
      <c r="T2270" s="5">
        <f>OrdersTable[[#This Row],[Gross Sale]]*OrdersTable[[#This Row],[Discount_Clean2]]</f>
        <v>418.8</v>
      </c>
      <c r="U2270" s="5">
        <f>OrdersTable[[#This Row],[Gross Sale]]-OrdersTable[[#This Row],[Discount Amount]]</f>
        <v>977.2</v>
      </c>
      <c r="V2270" s="77">
        <f>INDEX(Products!E:E,MATCH(OrdersTable[[#This Row],[Product ID]],Products!A:A,0))</f>
        <v>105</v>
      </c>
      <c r="W2270" s="77">
        <f>OrdersTable[[#This Row],[Quantity]]*OrdersTable[[#This Row],[Unit Cost]]</f>
        <v>420</v>
      </c>
      <c r="X2270" s="77">
        <f>'Dropdown Lists'!$I$2*(1+OrdersTable[[#This Row],[Returned]])</f>
        <v>60</v>
      </c>
      <c r="Y2270" s="76">
        <f>OrdersTable[[#This Row],[Net Revenue]]-OrdersTable[[#This Row],[COGS]]-OrdersTable[[#This Row],[Shipping Cost]]</f>
        <v>497.20000000000005</v>
      </c>
      <c r="Z2270" s="78">
        <f>IFERROR(OrdersTable[[#This Row],[Profit]]/OrdersTable[[#This Row],[Net Revenue]],0)</f>
        <v>0.50880065493246007</v>
      </c>
      <c r="AA2270" t="s">
        <v>4074</v>
      </c>
      <c r="AB2270" s="79">
        <v>45684</v>
      </c>
      <c r="AC2270">
        <f>OrdersTable[[#This Row],[Delivery Date]]-OrdersTable[[#This Row],[Order Date]]</f>
        <v>4</v>
      </c>
      <c r="AD2270" t="str">
        <f>IF(OrdersTable[[#This Row],[Delivery Days]]&lt;=2, "Express (≤2d)", IF(OrdersTable[[#This Row],[Delivery Days]]&lt;=4, "Standard (3-4d)", "Delayed (5d+)"))</f>
        <v>Standard (3-4d)</v>
      </c>
      <c r="AF2270">
        <v>0</v>
      </c>
    </row>
    <row r="2271" spans="1:32" ht="15" x14ac:dyDescent="0.35">
      <c r="A2271" t="s">
        <v>2595</v>
      </c>
      <c r="B2271" s="1">
        <v>45680</v>
      </c>
      <c r="C2271">
        <f>YEAR(OrdersTable[[#This Row],[Order Date]])</f>
        <v>2025</v>
      </c>
      <c r="D2271" s="2">
        <f>DATE(YEAR(OrdersTable[[#This Row],[Order Date]]),MONTH(OrdersTable[[#This Row],[Order Date]]),1)</f>
        <v>45658</v>
      </c>
      <c r="E2271">
        <f>MONTH(OrdersTable[[#This Row],[Order Date]])</f>
        <v>1</v>
      </c>
      <c r="F2271" t="s">
        <v>1590</v>
      </c>
      <c r="G2271" t="str">
        <f>IF(OrdersTable[[#This Row],[Order Date]]=_xlfn.MINIFS(Order_Date, Customer_ID, OrdersTable[[#This Row],[Customer ID]]), "New", "Repeat")</f>
        <v>New</v>
      </c>
      <c r="H2271" t="s">
        <v>275</v>
      </c>
      <c r="I2271" t="str">
        <f>INDEX(State!B:B,MATCH(OrdersTable[[#This Row],[State]],State!A:A,0))</f>
        <v>AP</v>
      </c>
      <c r="J2271" t="str">
        <f>INDEX(State!C:C,MATCH(OrdersTable[[#This Row],[State Code]],State!B:B,0))</f>
        <v>South</v>
      </c>
      <c r="K2271" t="s">
        <v>491</v>
      </c>
      <c r="L2271" t="s">
        <v>16</v>
      </c>
      <c r="M2271" t="s">
        <v>34</v>
      </c>
      <c r="N2271" t="str">
        <f>INDEX(Products!B:B,MATCH(OrdersTable[[#This Row],[Product ID]],Products!A:A,0))</f>
        <v>Flip Flops</v>
      </c>
      <c r="O2271" t="str">
        <f>INDEX(Products!C:C,MATCH(OrdersTable[[#This Row],[Product ID]],Products!A:A,0))</f>
        <v>Footwear</v>
      </c>
      <c r="P2271">
        <v>1</v>
      </c>
      <c r="Q2271" s="5">
        <v>399</v>
      </c>
      <c r="R2271" s="74">
        <v>0.05</v>
      </c>
      <c r="S2271" s="75">
        <f>OrdersTable[[#This Row],[Quantity]]*OrdersTable[[#This Row],[Unit Price]]</f>
        <v>399</v>
      </c>
      <c r="T2271" s="5">
        <f>OrdersTable[[#This Row],[Gross Sale]]*OrdersTable[[#This Row],[Discount_Clean2]]</f>
        <v>19.950000000000003</v>
      </c>
      <c r="U2271" s="5">
        <f>OrdersTable[[#This Row],[Gross Sale]]-OrdersTable[[#This Row],[Discount Amount]]</f>
        <v>379.05</v>
      </c>
      <c r="V2271" s="77">
        <f>INDEX(Products!E:E,MATCH(OrdersTable[[#This Row],[Product ID]],Products!A:A,0))</f>
        <v>152</v>
      </c>
      <c r="W2271" s="77">
        <f>OrdersTable[[#This Row],[Quantity]]*OrdersTable[[#This Row],[Unit Cost]]</f>
        <v>152</v>
      </c>
      <c r="X2271" s="77">
        <f>'Dropdown Lists'!$I$2*(1+OrdersTable[[#This Row],[Returned]])</f>
        <v>60</v>
      </c>
      <c r="Y2271" s="76">
        <f>OrdersTable[[#This Row],[Net Revenue]]-OrdersTable[[#This Row],[COGS]]-OrdersTable[[#This Row],[Shipping Cost]]</f>
        <v>167.05</v>
      </c>
      <c r="Z2271" s="78">
        <f>IFERROR(OrdersTable[[#This Row],[Profit]]/OrdersTable[[#This Row],[Net Revenue]],0)</f>
        <v>0.44070703073473161</v>
      </c>
      <c r="AA2271" t="s">
        <v>2522</v>
      </c>
      <c r="AB2271" s="79">
        <v>45683</v>
      </c>
      <c r="AC2271">
        <f>OrdersTable[[#This Row],[Delivery Date]]-OrdersTable[[#This Row],[Order Date]]</f>
        <v>3</v>
      </c>
      <c r="AD2271" t="str">
        <f>IF(OrdersTable[[#This Row],[Delivery Days]]&lt;=2, "Express (≤2d)", IF(OrdersTable[[#This Row],[Delivery Days]]&lt;=4, "Standard (3-4d)", "Delayed (5d+)"))</f>
        <v>Standard (3-4d)</v>
      </c>
      <c r="AE2271">
        <v>5</v>
      </c>
      <c r="AF2271">
        <v>0</v>
      </c>
    </row>
    <row r="2272" spans="1:32" ht="15" x14ac:dyDescent="0.35">
      <c r="A2272" t="s">
        <v>6554</v>
      </c>
      <c r="B2272" s="1">
        <v>45680</v>
      </c>
      <c r="C2272">
        <f>YEAR(OrdersTable[[#This Row],[Order Date]])</f>
        <v>2025</v>
      </c>
      <c r="D2272" s="2">
        <f>DATE(YEAR(OrdersTable[[#This Row],[Order Date]]),MONTH(OrdersTable[[#This Row],[Order Date]]),1)</f>
        <v>45658</v>
      </c>
      <c r="E2272">
        <f>MONTH(OrdersTable[[#This Row],[Order Date]])</f>
        <v>1</v>
      </c>
      <c r="F2272" t="s">
        <v>2728</v>
      </c>
      <c r="G2272" t="str">
        <f>IF(OrdersTable[[#This Row],[Order Date]]=_xlfn.MINIFS(Order_Date, Customer_ID, OrdersTable[[#This Row],[Customer ID]]), "New", "Repeat")</f>
        <v>Repeat</v>
      </c>
      <c r="H2272" t="s">
        <v>275</v>
      </c>
      <c r="I2272" t="str">
        <f>INDEX(State!B:B,MATCH(OrdersTable[[#This Row],[State]],State!A:A,0))</f>
        <v>AP</v>
      </c>
      <c r="J2272" t="str">
        <f>INDEX(State!C:C,MATCH(OrdersTable[[#This Row],[State Code]],State!B:B,0))</f>
        <v>South</v>
      </c>
      <c r="K2272" t="s">
        <v>276</v>
      </c>
      <c r="L2272" t="s">
        <v>23</v>
      </c>
      <c r="M2272" t="s">
        <v>66</v>
      </c>
      <c r="N2272" t="str">
        <f>INDEX(Products!B:B,MATCH(OrdersTable[[#This Row],[Product ID]],Products!A:A,0))</f>
        <v>Sunscreen SPF 50</v>
      </c>
      <c r="O2272" t="str">
        <f>INDEX(Products!C:C,MATCH(OrdersTable[[#This Row],[Product ID]],Products!A:A,0))</f>
        <v>Skincare</v>
      </c>
      <c r="P2272">
        <v>3</v>
      </c>
      <c r="Q2272" s="5">
        <v>449</v>
      </c>
      <c r="R2272" s="74">
        <v>0.1</v>
      </c>
      <c r="S2272" s="75">
        <f>OrdersTable[[#This Row],[Quantity]]*OrdersTable[[#This Row],[Unit Price]]</f>
        <v>1347</v>
      </c>
      <c r="T2272" s="5">
        <f>OrdersTable[[#This Row],[Gross Sale]]*OrdersTable[[#This Row],[Discount_Clean2]]</f>
        <v>134.70000000000002</v>
      </c>
      <c r="U2272" s="5">
        <f>OrdersTable[[#This Row],[Gross Sale]]-OrdersTable[[#This Row],[Discount Amount]]</f>
        <v>1212.3</v>
      </c>
      <c r="V2272" s="77">
        <f>INDEX(Products!E:E,MATCH(OrdersTable[[#This Row],[Product ID]],Products!A:A,0))</f>
        <v>144</v>
      </c>
      <c r="W2272" s="77">
        <f>OrdersTable[[#This Row],[Quantity]]*OrdersTable[[#This Row],[Unit Cost]]</f>
        <v>432</v>
      </c>
      <c r="X2272" s="77">
        <f>'Dropdown Lists'!$I$2*(1+OrdersTable[[#This Row],[Returned]])</f>
        <v>60</v>
      </c>
      <c r="Y2272" s="76">
        <f>OrdersTable[[#This Row],[Net Revenue]]-OrdersTable[[#This Row],[COGS]]-OrdersTable[[#This Row],[Shipping Cost]]</f>
        <v>720.3</v>
      </c>
      <c r="Z2272" s="78">
        <f>IFERROR(OrdersTable[[#This Row],[Profit]]/OrdersTable[[#This Row],[Net Revenue]],0)</f>
        <v>0.59415986142044042</v>
      </c>
      <c r="AA2272" t="s">
        <v>18</v>
      </c>
      <c r="AB2272" s="79">
        <v>45684</v>
      </c>
      <c r="AC2272">
        <f>OrdersTable[[#This Row],[Delivery Date]]-OrdersTable[[#This Row],[Order Date]]</f>
        <v>4</v>
      </c>
      <c r="AD2272" t="str">
        <f>IF(OrdersTable[[#This Row],[Delivery Days]]&lt;=2, "Express (≤2d)", IF(OrdersTable[[#This Row],[Delivery Days]]&lt;=4, "Standard (3-4d)", "Delayed (5d+)"))</f>
        <v>Standard (3-4d)</v>
      </c>
      <c r="AF2272">
        <v>0</v>
      </c>
    </row>
    <row r="2273" spans="1:32" ht="15" x14ac:dyDescent="0.35">
      <c r="A2273" t="s">
        <v>6342</v>
      </c>
      <c r="B2273" s="1">
        <v>45680</v>
      </c>
      <c r="C2273">
        <f>YEAR(OrdersTable[[#This Row],[Order Date]])</f>
        <v>2025</v>
      </c>
      <c r="D2273" s="2">
        <f>DATE(YEAR(OrdersTable[[#This Row],[Order Date]]),MONTH(OrdersTable[[#This Row],[Order Date]]),1)</f>
        <v>45658</v>
      </c>
      <c r="E2273">
        <f>MONTH(OrdersTable[[#This Row],[Order Date]])</f>
        <v>1</v>
      </c>
      <c r="F2273" t="s">
        <v>864</v>
      </c>
      <c r="G2273" t="str">
        <f>IF(OrdersTable[[#This Row],[Order Date]]=_xlfn.MINIFS(Order_Date, Customer_ID, OrdersTable[[#This Row],[Customer ID]]), "New", "Repeat")</f>
        <v>New</v>
      </c>
      <c r="H2273" t="s">
        <v>316</v>
      </c>
      <c r="I2273" t="str">
        <f>INDEX(State!B:B,MATCH(OrdersTable[[#This Row],[State]],State!A:A,0))</f>
        <v>KL</v>
      </c>
      <c r="J2273" t="str">
        <f>INDEX(State!C:C,MATCH(OrdersTable[[#This Row],[State Code]],State!B:B,0))</f>
        <v>South</v>
      </c>
      <c r="K2273" t="s">
        <v>338</v>
      </c>
      <c r="L2273" t="s">
        <v>23</v>
      </c>
      <c r="M2273" t="s">
        <v>152</v>
      </c>
      <c r="N2273" t="str">
        <f>INDEX(Products!B:B,MATCH(OrdersTable[[#This Row],[Product ID]],Products!A:A,0))</f>
        <v>Green Tea (100 bags)</v>
      </c>
      <c r="O2273" t="str">
        <f>INDEX(Products!C:C,MATCH(OrdersTable[[#This Row],[Product ID]],Products!A:A,0))</f>
        <v>Wellness</v>
      </c>
      <c r="P2273">
        <v>2</v>
      </c>
      <c r="Q2273" s="5">
        <v>399</v>
      </c>
      <c r="R2273" s="74">
        <v>0.3</v>
      </c>
      <c r="S2273" s="75">
        <f>OrdersTable[[#This Row],[Quantity]]*OrdersTable[[#This Row],[Unit Price]]</f>
        <v>798</v>
      </c>
      <c r="T2273" s="5">
        <f>OrdersTable[[#This Row],[Gross Sale]]*OrdersTable[[#This Row],[Discount_Clean2]]</f>
        <v>239.39999999999998</v>
      </c>
      <c r="U2273" s="5">
        <f>OrdersTable[[#This Row],[Gross Sale]]-OrdersTable[[#This Row],[Discount Amount]]</f>
        <v>558.6</v>
      </c>
      <c r="V2273" s="77">
        <f>INDEX(Products!E:E,MATCH(OrdersTable[[#This Row],[Product ID]],Products!A:A,0))</f>
        <v>128</v>
      </c>
      <c r="W2273" s="77">
        <f>OrdersTable[[#This Row],[Quantity]]*OrdersTable[[#This Row],[Unit Cost]]</f>
        <v>256</v>
      </c>
      <c r="X2273" s="77">
        <f>'Dropdown Lists'!$I$2*(1+OrdersTable[[#This Row],[Returned]])</f>
        <v>60</v>
      </c>
      <c r="Y2273" s="76">
        <f>OrdersTable[[#This Row],[Net Revenue]]-OrdersTable[[#This Row],[COGS]]-OrdersTable[[#This Row],[Shipping Cost]]</f>
        <v>242.60000000000002</v>
      </c>
      <c r="Z2273" s="78">
        <f>IFERROR(OrdersTable[[#This Row],[Profit]]/OrdersTable[[#This Row],[Net Revenue]],0)</f>
        <v>0.43430003580379523</v>
      </c>
      <c r="AA2273" t="s">
        <v>18</v>
      </c>
      <c r="AB2273" s="79">
        <v>45681</v>
      </c>
      <c r="AC2273">
        <f>OrdersTable[[#This Row],[Delivery Date]]-OrdersTable[[#This Row],[Order Date]]</f>
        <v>1</v>
      </c>
      <c r="AD2273" t="str">
        <f>IF(OrdersTable[[#This Row],[Delivery Days]]&lt;=2, "Express (≤2d)", IF(OrdersTable[[#This Row],[Delivery Days]]&lt;=4, "Standard (3-4d)", "Delayed (5d+)"))</f>
        <v>Express (≤2d)</v>
      </c>
      <c r="AE2273">
        <v>3</v>
      </c>
      <c r="AF2273">
        <v>0</v>
      </c>
    </row>
    <row r="2274" spans="1:32" ht="15" x14ac:dyDescent="0.35">
      <c r="A2274" t="s">
        <v>803</v>
      </c>
      <c r="B2274" s="1">
        <v>45680</v>
      </c>
      <c r="C2274">
        <f>YEAR(OrdersTable[[#This Row],[Order Date]])</f>
        <v>2025</v>
      </c>
      <c r="D2274" s="2">
        <f>DATE(YEAR(OrdersTable[[#This Row],[Order Date]]),MONTH(OrdersTable[[#This Row],[Order Date]]),1)</f>
        <v>45658</v>
      </c>
      <c r="E2274">
        <f>MONTH(OrdersTable[[#This Row],[Order Date]])</f>
        <v>1</v>
      </c>
      <c r="F2274" t="s">
        <v>804</v>
      </c>
      <c r="G2274" t="str">
        <f>IF(OrdersTable[[#This Row],[Order Date]]=_xlfn.MINIFS(Order_Date, Customer_ID, OrdersTable[[#This Row],[Customer ID]]), "New", "Repeat")</f>
        <v>Repeat</v>
      </c>
      <c r="H2274" t="s">
        <v>59</v>
      </c>
      <c r="I2274" t="str">
        <f>INDEX(State!B:B,MATCH(OrdersTable[[#This Row],[State]],State!A:A,0))</f>
        <v>TN</v>
      </c>
      <c r="J2274" t="str">
        <f>INDEX(State!C:C,MATCH(OrdersTable[[#This Row],[State Code]],State!B:B,0))</f>
        <v>South</v>
      </c>
      <c r="K2274" t="s">
        <v>60</v>
      </c>
      <c r="L2274" t="s">
        <v>65</v>
      </c>
      <c r="M2274" t="s">
        <v>255</v>
      </c>
      <c r="N2274" t="str">
        <f>INDEX(Products!B:B,MATCH(OrdersTable[[#This Row],[Product ID]],Products!A:A,0))</f>
        <v>Cotton Oversized T-Shirt</v>
      </c>
      <c r="O2274" t="str">
        <f>INDEX(Products!C:C,MATCH(OrdersTable[[#This Row],[Product ID]],Products!A:A,0))</f>
        <v>Apparel</v>
      </c>
      <c r="P2274">
        <v>1</v>
      </c>
      <c r="Q2274" s="5">
        <v>799</v>
      </c>
      <c r="R2274" s="74">
        <v>0</v>
      </c>
      <c r="S2274" s="75">
        <f>OrdersTable[[#This Row],[Quantity]]*OrdersTable[[#This Row],[Unit Price]]</f>
        <v>799</v>
      </c>
      <c r="T2274" s="5">
        <f>OrdersTable[[#This Row],[Gross Sale]]*OrdersTable[[#This Row],[Discount_Clean2]]</f>
        <v>0</v>
      </c>
      <c r="U2274" s="5">
        <f>OrdersTable[[#This Row],[Gross Sale]]-OrdersTable[[#This Row],[Discount Amount]]</f>
        <v>799</v>
      </c>
      <c r="V2274" s="77">
        <f>INDEX(Products!E:E,MATCH(OrdersTable[[#This Row],[Product ID]],Products!A:A,0))</f>
        <v>320</v>
      </c>
      <c r="W2274" s="77">
        <f>OrdersTable[[#This Row],[Quantity]]*OrdersTable[[#This Row],[Unit Cost]]</f>
        <v>320</v>
      </c>
      <c r="X2274" s="77">
        <f>'Dropdown Lists'!$I$2*(1+OrdersTable[[#This Row],[Returned]])</f>
        <v>60</v>
      </c>
      <c r="Y2274" s="76">
        <f>OrdersTable[[#This Row],[Net Revenue]]-OrdersTable[[#This Row],[COGS]]-OrdersTable[[#This Row],[Shipping Cost]]</f>
        <v>419</v>
      </c>
      <c r="Z2274" s="78">
        <f>IFERROR(OrdersTable[[#This Row],[Profit]]/OrdersTable[[#This Row],[Net Revenue]],0)</f>
        <v>0.52440550688360454</v>
      </c>
      <c r="AA2274" t="s">
        <v>18</v>
      </c>
      <c r="AB2274" s="79">
        <v>45681</v>
      </c>
      <c r="AC2274">
        <f>OrdersTable[[#This Row],[Delivery Date]]-OrdersTable[[#This Row],[Order Date]]</f>
        <v>1</v>
      </c>
      <c r="AD2274" t="str">
        <f>IF(OrdersTable[[#This Row],[Delivery Days]]&lt;=2, "Express (≤2d)", IF(OrdersTable[[#This Row],[Delivery Days]]&lt;=4, "Standard (3-4d)", "Delayed (5d+)"))</f>
        <v>Express (≤2d)</v>
      </c>
      <c r="AE2274">
        <v>4</v>
      </c>
      <c r="AF2274">
        <v>0</v>
      </c>
    </row>
    <row r="2275" spans="1:32" ht="15" x14ac:dyDescent="0.35">
      <c r="A2275" t="s">
        <v>1254</v>
      </c>
      <c r="B2275" s="1">
        <v>45681</v>
      </c>
      <c r="C2275">
        <f>YEAR(OrdersTable[[#This Row],[Order Date]])</f>
        <v>2025</v>
      </c>
      <c r="D2275" s="2">
        <f>DATE(YEAR(OrdersTable[[#This Row],[Order Date]]),MONTH(OrdersTable[[#This Row],[Order Date]]),1)</f>
        <v>45658</v>
      </c>
      <c r="E2275">
        <f>MONTH(OrdersTable[[#This Row],[Order Date]])</f>
        <v>1</v>
      </c>
      <c r="F2275" t="s">
        <v>1255</v>
      </c>
      <c r="G2275" t="str">
        <f>IF(OrdersTable[[#This Row],[Order Date]]=_xlfn.MINIFS(Order_Date, Customer_ID, OrdersTable[[#This Row],[Customer ID]]), "New", "Repeat")</f>
        <v>Repeat</v>
      </c>
      <c r="H2275" t="s">
        <v>54</v>
      </c>
      <c r="I2275" t="str">
        <f>INDEX(State!B:B,MATCH(OrdersTable[[#This Row],[State]],State!A:A,0))</f>
        <v>RJ</v>
      </c>
      <c r="J2275" t="str">
        <f>INDEX(State!C:C,MATCH(OrdersTable[[#This Row],[State Code]],State!B:B,0))</f>
        <v>North</v>
      </c>
      <c r="K2275" t="s">
        <v>227</v>
      </c>
      <c r="L2275" t="s">
        <v>16</v>
      </c>
      <c r="M2275" t="s">
        <v>205</v>
      </c>
      <c r="N2275" t="str">
        <f>INDEX(Products!B:B,MATCH(OrdersTable[[#This Row],[Product ID]],Products!A:A,0))</f>
        <v>Running Shoes</v>
      </c>
      <c r="O2275" t="str">
        <f>INDEX(Products!C:C,MATCH(OrdersTable[[#This Row],[Product ID]],Products!A:A,0))</f>
        <v>Footwear</v>
      </c>
      <c r="P2275">
        <v>1</v>
      </c>
      <c r="Q2275" s="5">
        <v>2999</v>
      </c>
      <c r="R2275" s="74">
        <v>0.2</v>
      </c>
      <c r="S2275" s="75">
        <f>OrdersTable[[#This Row],[Quantity]]*OrdersTable[[#This Row],[Unit Price]]</f>
        <v>2999</v>
      </c>
      <c r="T2275" s="5">
        <f>OrdersTable[[#This Row],[Gross Sale]]*OrdersTable[[#This Row],[Discount_Clean2]]</f>
        <v>599.80000000000007</v>
      </c>
      <c r="U2275" s="5">
        <f>OrdersTable[[#This Row],[Gross Sale]]-OrdersTable[[#This Row],[Discount Amount]]</f>
        <v>2399.1999999999998</v>
      </c>
      <c r="V2275" s="77">
        <f>INDEX(Products!E:E,MATCH(OrdersTable[[#This Row],[Product ID]],Products!A:A,0))</f>
        <v>1440</v>
      </c>
      <c r="W2275" s="77">
        <f>OrdersTable[[#This Row],[Quantity]]*OrdersTable[[#This Row],[Unit Cost]]</f>
        <v>1440</v>
      </c>
      <c r="X2275" s="77">
        <f>'Dropdown Lists'!$I$2*(1+OrdersTable[[#This Row],[Returned]])</f>
        <v>60</v>
      </c>
      <c r="Y2275" s="76">
        <f>OrdersTable[[#This Row],[Net Revenue]]-OrdersTable[[#This Row],[COGS]]-OrdersTable[[#This Row],[Shipping Cost]]</f>
        <v>899.19999999999982</v>
      </c>
      <c r="Z2275" s="78">
        <f>IFERROR(OrdersTable[[#This Row],[Profit]]/OrdersTable[[#This Row],[Net Revenue]],0)</f>
        <v>0.3747915971990663</v>
      </c>
      <c r="AA2275" t="s">
        <v>18</v>
      </c>
      <c r="AB2275" s="79">
        <v>45686</v>
      </c>
      <c r="AC2275">
        <f>OrdersTable[[#This Row],[Delivery Date]]-OrdersTable[[#This Row],[Order Date]]</f>
        <v>5</v>
      </c>
      <c r="AD2275" t="str">
        <f>IF(OrdersTable[[#This Row],[Delivery Days]]&lt;=2, "Express (≤2d)", IF(OrdersTable[[#This Row],[Delivery Days]]&lt;=4, "Standard (3-4d)", "Delayed (5d+)"))</f>
        <v>Delayed (5d+)</v>
      </c>
      <c r="AF2275">
        <v>0</v>
      </c>
    </row>
    <row r="2276" spans="1:32" ht="15" x14ac:dyDescent="0.35">
      <c r="A2276" t="s">
        <v>4122</v>
      </c>
      <c r="B2276" s="1">
        <v>45681</v>
      </c>
      <c r="C2276">
        <f>YEAR(OrdersTable[[#This Row],[Order Date]])</f>
        <v>2025</v>
      </c>
      <c r="D2276" s="2">
        <f>DATE(YEAR(OrdersTable[[#This Row],[Order Date]]),MONTH(OrdersTable[[#This Row],[Order Date]]),1)</f>
        <v>45658</v>
      </c>
      <c r="E2276">
        <f>MONTH(OrdersTable[[#This Row],[Order Date]])</f>
        <v>1</v>
      </c>
      <c r="F2276" t="s">
        <v>4123</v>
      </c>
      <c r="G2276" t="str">
        <f>IF(OrdersTable[[#This Row],[Order Date]]=_xlfn.MINIFS(Order_Date, Customer_ID, OrdersTable[[#This Row],[Customer ID]]), "New", "Repeat")</f>
        <v>New</v>
      </c>
      <c r="H2276" t="s">
        <v>54</v>
      </c>
      <c r="I2276" t="str">
        <f>INDEX(State!B:B,MATCH(OrdersTable[[#This Row],[State]],State!A:A,0))</f>
        <v>RJ</v>
      </c>
      <c r="J2276" t="str">
        <f>INDEX(State!C:C,MATCH(OrdersTable[[#This Row],[State Code]],State!B:B,0))</f>
        <v>North</v>
      </c>
      <c r="K2276" t="s">
        <v>227</v>
      </c>
      <c r="L2276" t="s">
        <v>65</v>
      </c>
      <c r="M2276" t="s">
        <v>34</v>
      </c>
      <c r="N2276" t="str">
        <f>INDEX(Products!B:B,MATCH(OrdersTable[[#This Row],[Product ID]],Products!A:A,0))</f>
        <v>Flip Flops</v>
      </c>
      <c r="O2276" t="str">
        <f>INDEX(Products!C:C,MATCH(OrdersTable[[#This Row],[Product ID]],Products!A:A,0))</f>
        <v>Footwear</v>
      </c>
      <c r="P2276">
        <v>1</v>
      </c>
      <c r="Q2276" s="5">
        <v>399</v>
      </c>
      <c r="R2276" s="74">
        <v>0.1</v>
      </c>
      <c r="S2276" s="75">
        <f>OrdersTable[[#This Row],[Quantity]]*OrdersTable[[#This Row],[Unit Price]]</f>
        <v>399</v>
      </c>
      <c r="T2276" s="5">
        <f>OrdersTable[[#This Row],[Gross Sale]]*OrdersTable[[#This Row],[Discount_Clean2]]</f>
        <v>39.900000000000006</v>
      </c>
      <c r="U2276" s="5">
        <f>OrdersTable[[#This Row],[Gross Sale]]-OrdersTable[[#This Row],[Discount Amount]]</f>
        <v>359.1</v>
      </c>
      <c r="V2276" s="77">
        <f>INDEX(Products!E:E,MATCH(OrdersTable[[#This Row],[Product ID]],Products!A:A,0))</f>
        <v>152</v>
      </c>
      <c r="W2276" s="77">
        <f>OrdersTable[[#This Row],[Quantity]]*OrdersTable[[#This Row],[Unit Cost]]</f>
        <v>152</v>
      </c>
      <c r="X2276" s="77">
        <f>'Dropdown Lists'!$I$2*(1+OrdersTable[[#This Row],[Returned]])</f>
        <v>60</v>
      </c>
      <c r="Y2276" s="76">
        <f>OrdersTable[[#This Row],[Net Revenue]]-OrdersTable[[#This Row],[COGS]]-OrdersTable[[#This Row],[Shipping Cost]]</f>
        <v>147.10000000000002</v>
      </c>
      <c r="Z2276" s="78">
        <f>IFERROR(OrdersTable[[#This Row],[Profit]]/OrdersTable[[#This Row],[Net Revenue]],0)</f>
        <v>0.40963519910888335</v>
      </c>
      <c r="AA2276" t="s">
        <v>4074</v>
      </c>
      <c r="AB2276" s="79">
        <v>45685</v>
      </c>
      <c r="AC2276">
        <f>OrdersTable[[#This Row],[Delivery Date]]-OrdersTable[[#This Row],[Order Date]]</f>
        <v>4</v>
      </c>
      <c r="AD2276" t="str">
        <f>IF(OrdersTable[[#This Row],[Delivery Days]]&lt;=2, "Express (≤2d)", IF(OrdersTable[[#This Row],[Delivery Days]]&lt;=4, "Standard (3-4d)", "Delayed (5d+)"))</f>
        <v>Standard (3-4d)</v>
      </c>
      <c r="AE2276">
        <v>3</v>
      </c>
      <c r="AF2276">
        <v>0</v>
      </c>
    </row>
    <row r="2277" spans="1:32" ht="15" x14ac:dyDescent="0.35">
      <c r="A2277" t="s">
        <v>6555</v>
      </c>
      <c r="B2277" s="1">
        <v>45681</v>
      </c>
      <c r="C2277">
        <f>YEAR(OrdersTable[[#This Row],[Order Date]])</f>
        <v>2025</v>
      </c>
      <c r="D2277" s="2">
        <f>DATE(YEAR(OrdersTable[[#This Row],[Order Date]]),MONTH(OrdersTable[[#This Row],[Order Date]]),1)</f>
        <v>45658</v>
      </c>
      <c r="E2277">
        <f>MONTH(OrdersTable[[#This Row],[Order Date]])</f>
        <v>1</v>
      </c>
      <c r="F2277" t="s">
        <v>6556</v>
      </c>
      <c r="G2277" t="str">
        <f>IF(OrdersTable[[#This Row],[Order Date]]=_xlfn.MINIFS(Order_Date, Customer_ID, OrdersTable[[#This Row],[Customer ID]]), "New", "Repeat")</f>
        <v>New</v>
      </c>
      <c r="H2277" t="s">
        <v>76</v>
      </c>
      <c r="I2277" t="str">
        <f>INDEX(State!B:B,MATCH(OrdersTable[[#This Row],[State]],State!A:A,0))</f>
        <v>UP</v>
      </c>
      <c r="J2277" t="str">
        <f>INDEX(State!C:C,MATCH(OrdersTable[[#This Row],[State Code]],State!B:B,0))</f>
        <v>North</v>
      </c>
      <c r="K2277" t="s">
        <v>77</v>
      </c>
      <c r="L2277" t="s">
        <v>23</v>
      </c>
      <c r="M2277" t="s">
        <v>148</v>
      </c>
      <c r="N2277" t="str">
        <f>INDEX(Products!B:B,MATCH(OrdersTable[[#This Row],[Product ID]],Products!A:A,0))</f>
        <v>Smartwatch Strap</v>
      </c>
      <c r="O2277" t="str">
        <f>INDEX(Products!C:C,MATCH(OrdersTable[[#This Row],[Product ID]],Products!A:A,0))</f>
        <v>Electronics</v>
      </c>
      <c r="P2277">
        <v>3</v>
      </c>
      <c r="Q2277" s="5">
        <v>499</v>
      </c>
      <c r="R2277" s="74">
        <v>0.1</v>
      </c>
      <c r="S2277" s="75">
        <f>OrdersTable[[#This Row],[Quantity]]*OrdersTable[[#This Row],[Unit Price]]</f>
        <v>1497</v>
      </c>
      <c r="T2277" s="5">
        <f>OrdersTable[[#This Row],[Gross Sale]]*OrdersTable[[#This Row],[Discount_Clean2]]</f>
        <v>149.70000000000002</v>
      </c>
      <c r="U2277" s="5">
        <f>OrdersTable[[#This Row],[Gross Sale]]-OrdersTable[[#This Row],[Discount Amount]]</f>
        <v>1347.3</v>
      </c>
      <c r="V2277" s="77">
        <f>INDEX(Products!E:E,MATCH(OrdersTable[[#This Row],[Product ID]],Products!A:A,0))</f>
        <v>200</v>
      </c>
      <c r="W2277" s="77">
        <f>OrdersTable[[#This Row],[Quantity]]*OrdersTable[[#This Row],[Unit Cost]]</f>
        <v>600</v>
      </c>
      <c r="X2277" s="77">
        <f>'Dropdown Lists'!$I$2*(1+OrdersTable[[#This Row],[Returned]])</f>
        <v>60</v>
      </c>
      <c r="Y2277" s="76">
        <f>OrdersTable[[#This Row],[Net Revenue]]-OrdersTable[[#This Row],[COGS]]-OrdersTable[[#This Row],[Shipping Cost]]</f>
        <v>687.3</v>
      </c>
      <c r="Z2277" s="78">
        <f>IFERROR(OrdersTable[[#This Row],[Profit]]/OrdersTable[[#This Row],[Net Revenue]],0)</f>
        <v>0.51013137385882878</v>
      </c>
      <c r="AA2277" t="s">
        <v>18</v>
      </c>
      <c r="AB2277" s="79">
        <v>45686</v>
      </c>
      <c r="AC2277">
        <f>OrdersTable[[#This Row],[Delivery Date]]-OrdersTable[[#This Row],[Order Date]]</f>
        <v>5</v>
      </c>
      <c r="AD2277" t="str">
        <f>IF(OrdersTable[[#This Row],[Delivery Days]]&lt;=2, "Express (≤2d)", IF(OrdersTable[[#This Row],[Delivery Days]]&lt;=4, "Standard (3-4d)", "Delayed (5d+)"))</f>
        <v>Delayed (5d+)</v>
      </c>
      <c r="AE2277">
        <v>3</v>
      </c>
      <c r="AF2277">
        <v>0</v>
      </c>
    </row>
    <row r="2278" spans="1:32" ht="15" x14ac:dyDescent="0.35">
      <c r="A2278" t="s">
        <v>3749</v>
      </c>
      <c r="B2278" s="1">
        <v>45681</v>
      </c>
      <c r="C2278">
        <f>YEAR(OrdersTable[[#This Row],[Order Date]])</f>
        <v>2025</v>
      </c>
      <c r="D2278" s="2">
        <f>DATE(YEAR(OrdersTable[[#This Row],[Order Date]]),MONTH(OrdersTable[[#This Row],[Order Date]]),1)</f>
        <v>45658</v>
      </c>
      <c r="E2278">
        <f>MONTH(OrdersTable[[#This Row],[Order Date]])</f>
        <v>1</v>
      </c>
      <c r="F2278" t="s">
        <v>3750</v>
      </c>
      <c r="G2278" t="str">
        <f>IF(OrdersTable[[#This Row],[Order Date]]=_xlfn.MINIFS(Order_Date, Customer_ID, OrdersTable[[#This Row],[Customer ID]]), "New", "Repeat")</f>
        <v>New</v>
      </c>
      <c r="H2278" t="s">
        <v>37</v>
      </c>
      <c r="I2278" t="str">
        <f>INDEX(State!B:B,MATCH(OrdersTable[[#This Row],[State]],State!A:A,0))</f>
        <v>GJ</v>
      </c>
      <c r="J2278" t="str">
        <f>INDEX(State!C:C,MATCH(OrdersTable[[#This Row],[State Code]],State!B:B,0))</f>
        <v>West</v>
      </c>
      <c r="K2278" t="s">
        <v>247</v>
      </c>
      <c r="L2278" t="s">
        <v>50</v>
      </c>
      <c r="M2278" t="s">
        <v>56</v>
      </c>
      <c r="N2278" t="str">
        <f>INDEX(Products!B:B,MATCH(OrdersTable[[#This Row],[Product ID]],Products!A:A,0))</f>
        <v>Vitamin C Face Serum</v>
      </c>
      <c r="O2278" t="str">
        <f>INDEX(Products!C:C,MATCH(OrdersTable[[#This Row],[Product ID]],Products!A:A,0))</f>
        <v>Skincare</v>
      </c>
      <c r="P2278">
        <v>1</v>
      </c>
      <c r="Q2278" s="5">
        <v>599</v>
      </c>
      <c r="R2278" s="74">
        <v>0.2</v>
      </c>
      <c r="S2278" s="75">
        <f>OrdersTable[[#This Row],[Quantity]]*OrdersTable[[#This Row],[Unit Price]]</f>
        <v>599</v>
      </c>
      <c r="T2278" s="5">
        <f>OrdersTable[[#This Row],[Gross Sale]]*OrdersTable[[#This Row],[Discount_Clean2]]</f>
        <v>119.80000000000001</v>
      </c>
      <c r="U2278" s="5">
        <f>OrdersTable[[#This Row],[Gross Sale]]-OrdersTable[[#This Row],[Discount Amount]]</f>
        <v>479.2</v>
      </c>
      <c r="V2278" s="77">
        <f>INDEX(Products!E:E,MATCH(OrdersTable[[#This Row],[Product ID]],Products!A:A,0))</f>
        <v>180</v>
      </c>
      <c r="W2278" s="77">
        <f>OrdersTable[[#This Row],[Quantity]]*OrdersTable[[#This Row],[Unit Cost]]</f>
        <v>180</v>
      </c>
      <c r="X2278" s="77">
        <f>'Dropdown Lists'!$I$2*(1+OrdersTable[[#This Row],[Returned]])</f>
        <v>60</v>
      </c>
      <c r="Y2278" s="76">
        <f>OrdersTable[[#This Row],[Net Revenue]]-OrdersTable[[#This Row],[COGS]]-OrdersTable[[#This Row],[Shipping Cost]]</f>
        <v>239.2</v>
      </c>
      <c r="Z2278" s="78">
        <f>IFERROR(OrdersTable[[#This Row],[Profit]]/OrdersTable[[#This Row],[Net Revenue]],0)</f>
        <v>0.4991652754590985</v>
      </c>
      <c r="AA2278" t="s">
        <v>3495</v>
      </c>
      <c r="AB2278" s="79">
        <v>45684</v>
      </c>
      <c r="AC2278">
        <f>OrdersTable[[#This Row],[Delivery Date]]-OrdersTable[[#This Row],[Order Date]]</f>
        <v>3</v>
      </c>
      <c r="AD2278" t="str">
        <f>IF(OrdersTable[[#This Row],[Delivery Days]]&lt;=2, "Express (≤2d)", IF(OrdersTable[[#This Row],[Delivery Days]]&lt;=4, "Standard (3-4d)", "Delayed (5d+)"))</f>
        <v>Standard (3-4d)</v>
      </c>
      <c r="AF2278">
        <v>0</v>
      </c>
    </row>
    <row r="2279" spans="1:32" ht="15" x14ac:dyDescent="0.35">
      <c r="A2279" t="s">
        <v>5167</v>
      </c>
      <c r="B2279" s="1">
        <v>45681</v>
      </c>
      <c r="C2279">
        <f>YEAR(OrdersTable[[#This Row],[Order Date]])</f>
        <v>2025</v>
      </c>
      <c r="D2279" s="2">
        <f>DATE(YEAR(OrdersTable[[#This Row],[Order Date]]),MONTH(OrdersTable[[#This Row],[Order Date]]),1)</f>
        <v>45658</v>
      </c>
      <c r="E2279">
        <f>MONTH(OrdersTable[[#This Row],[Order Date]])</f>
        <v>1</v>
      </c>
      <c r="F2279" t="s">
        <v>244</v>
      </c>
      <c r="G2279" t="str">
        <f>IF(OrdersTable[[#This Row],[Order Date]]=_xlfn.MINIFS(Order_Date, Customer_ID, OrdersTable[[#This Row],[Customer ID]]), "New", "Repeat")</f>
        <v>Repeat</v>
      </c>
      <c r="H2279" t="s">
        <v>27</v>
      </c>
      <c r="I2279" t="str">
        <f>INDEX(State!B:B,MATCH(OrdersTable[[#This Row],[State]],State!A:A,0))</f>
        <v>WB</v>
      </c>
      <c r="J2279" t="str">
        <f>INDEX(State!C:C,MATCH(OrdersTable[[#This Row],[State Code]],State!B:B,0))</f>
        <v>East</v>
      </c>
      <c r="K2279" t="s">
        <v>28</v>
      </c>
      <c r="L2279" t="s">
        <v>50</v>
      </c>
      <c r="M2279" t="s">
        <v>152</v>
      </c>
      <c r="N2279" t="str">
        <f>INDEX(Products!B:B,MATCH(OrdersTable[[#This Row],[Product ID]],Products!A:A,0))</f>
        <v>Green Tea (100 bags)</v>
      </c>
      <c r="O2279" t="str">
        <f>INDEX(Products!C:C,MATCH(OrdersTable[[#This Row],[Product ID]],Products!A:A,0))</f>
        <v>Wellness</v>
      </c>
      <c r="P2279">
        <v>2</v>
      </c>
      <c r="Q2279" s="5">
        <v>399</v>
      </c>
      <c r="R2279" s="74">
        <v>0.35</v>
      </c>
      <c r="S2279" s="75">
        <f>OrdersTable[[#This Row],[Quantity]]*OrdersTable[[#This Row],[Unit Price]]</f>
        <v>798</v>
      </c>
      <c r="T2279" s="5">
        <f>OrdersTable[[#This Row],[Gross Sale]]*OrdersTable[[#This Row],[Discount_Clean2]]</f>
        <v>279.29999999999995</v>
      </c>
      <c r="U2279" s="5">
        <f>OrdersTable[[#This Row],[Gross Sale]]-OrdersTable[[#This Row],[Discount Amount]]</f>
        <v>518.70000000000005</v>
      </c>
      <c r="V2279" s="77">
        <f>INDEX(Products!E:E,MATCH(OrdersTable[[#This Row],[Product ID]],Products!A:A,0))</f>
        <v>128</v>
      </c>
      <c r="W2279" s="77">
        <f>OrdersTable[[#This Row],[Quantity]]*OrdersTable[[#This Row],[Unit Cost]]</f>
        <v>256</v>
      </c>
      <c r="X2279" s="77">
        <f>'Dropdown Lists'!$I$2*(1+OrdersTable[[#This Row],[Returned]])</f>
        <v>60</v>
      </c>
      <c r="Y2279" s="76">
        <f>OrdersTable[[#This Row],[Net Revenue]]-OrdersTable[[#This Row],[COGS]]-OrdersTable[[#This Row],[Shipping Cost]]</f>
        <v>202.70000000000005</v>
      </c>
      <c r="Z2279" s="78">
        <f>IFERROR(OrdersTable[[#This Row],[Profit]]/OrdersTable[[#This Row],[Net Revenue]],0)</f>
        <v>0.39078465394254874</v>
      </c>
      <c r="AA2279" t="s">
        <v>3495</v>
      </c>
      <c r="AB2279" s="79">
        <v>45685</v>
      </c>
      <c r="AC2279">
        <f>OrdersTable[[#This Row],[Delivery Date]]-OrdersTable[[#This Row],[Order Date]]</f>
        <v>4</v>
      </c>
      <c r="AD2279" t="str">
        <f>IF(OrdersTable[[#This Row],[Delivery Days]]&lt;=2, "Express (≤2d)", IF(OrdersTable[[#This Row],[Delivery Days]]&lt;=4, "Standard (3-4d)", "Delayed (5d+)"))</f>
        <v>Standard (3-4d)</v>
      </c>
      <c r="AE2279">
        <v>4</v>
      </c>
      <c r="AF2279">
        <v>0</v>
      </c>
    </row>
    <row r="2280" spans="1:32" ht="15" x14ac:dyDescent="0.35">
      <c r="A2280" t="s">
        <v>1392</v>
      </c>
      <c r="B2280" s="1">
        <v>45681</v>
      </c>
      <c r="C2280">
        <f>YEAR(OrdersTable[[#This Row],[Order Date]])</f>
        <v>2025</v>
      </c>
      <c r="D2280" s="2">
        <f>DATE(YEAR(OrdersTable[[#This Row],[Order Date]]),MONTH(OrdersTable[[#This Row],[Order Date]]),1)</f>
        <v>45658</v>
      </c>
      <c r="E2280">
        <f>MONTH(OrdersTable[[#This Row],[Order Date]])</f>
        <v>1</v>
      </c>
      <c r="F2280" t="s">
        <v>1393</v>
      </c>
      <c r="G2280" t="str">
        <f>IF(OrdersTable[[#This Row],[Order Date]]=_xlfn.MINIFS(Order_Date, Customer_ID, OrdersTable[[#This Row],[Customer ID]]), "New", "Repeat")</f>
        <v>New</v>
      </c>
      <c r="H2280" t="s">
        <v>71</v>
      </c>
      <c r="I2280" t="str">
        <f>INDEX(State!B:B,MATCH(OrdersTable[[#This Row],[State]],State!A:A,0))</f>
        <v>MH</v>
      </c>
      <c r="J2280" t="str">
        <f>INDEX(State!C:C,MATCH(OrdersTable[[#This Row],[State Code]],State!B:B,0))</f>
        <v>West</v>
      </c>
      <c r="K2280" t="s">
        <v>72</v>
      </c>
      <c r="L2280" t="s">
        <v>23</v>
      </c>
      <c r="M2280" t="s">
        <v>66</v>
      </c>
      <c r="N2280" t="str">
        <f>INDEX(Products!B:B,MATCH(OrdersTable[[#This Row],[Product ID]],Products!A:A,0))</f>
        <v>Sunscreen SPF 50</v>
      </c>
      <c r="O2280" t="str">
        <f>INDEX(Products!C:C,MATCH(OrdersTable[[#This Row],[Product ID]],Products!A:A,0))</f>
        <v>Skincare</v>
      </c>
      <c r="P2280">
        <v>1</v>
      </c>
      <c r="Q2280" s="5">
        <v>449</v>
      </c>
      <c r="R2280" s="74">
        <v>0.05</v>
      </c>
      <c r="S2280" s="75">
        <f>OrdersTable[[#This Row],[Quantity]]*OrdersTable[[#This Row],[Unit Price]]</f>
        <v>449</v>
      </c>
      <c r="T2280" s="5">
        <f>OrdersTable[[#This Row],[Gross Sale]]*OrdersTable[[#This Row],[Discount_Clean2]]</f>
        <v>22.450000000000003</v>
      </c>
      <c r="U2280" s="5">
        <f>OrdersTable[[#This Row],[Gross Sale]]-OrdersTable[[#This Row],[Discount Amount]]</f>
        <v>426.55</v>
      </c>
      <c r="V2280" s="77">
        <f>INDEX(Products!E:E,MATCH(OrdersTable[[#This Row],[Product ID]],Products!A:A,0))</f>
        <v>144</v>
      </c>
      <c r="W2280" s="77">
        <f>OrdersTable[[#This Row],[Quantity]]*OrdersTable[[#This Row],[Unit Cost]]</f>
        <v>144</v>
      </c>
      <c r="X2280" s="77">
        <f>'Dropdown Lists'!$I$2*(1+OrdersTable[[#This Row],[Returned]])</f>
        <v>60</v>
      </c>
      <c r="Y2280" s="76">
        <f>OrdersTable[[#This Row],[Net Revenue]]-OrdersTable[[#This Row],[COGS]]-OrdersTable[[#This Row],[Shipping Cost]]</f>
        <v>222.55</v>
      </c>
      <c r="Z2280" s="78">
        <f>IFERROR(OrdersTable[[#This Row],[Profit]]/OrdersTable[[#This Row],[Net Revenue]],0)</f>
        <v>0.52174422693705313</v>
      </c>
      <c r="AA2280" t="s">
        <v>18</v>
      </c>
      <c r="AB2280" s="79">
        <v>45683</v>
      </c>
      <c r="AC2280">
        <f>OrdersTable[[#This Row],[Delivery Date]]-OrdersTable[[#This Row],[Order Date]]</f>
        <v>2</v>
      </c>
      <c r="AD2280" t="str">
        <f>IF(OrdersTable[[#This Row],[Delivery Days]]&lt;=2, "Express (≤2d)", IF(OrdersTable[[#This Row],[Delivery Days]]&lt;=4, "Standard (3-4d)", "Delayed (5d+)"))</f>
        <v>Express (≤2d)</v>
      </c>
      <c r="AF2280">
        <v>0</v>
      </c>
    </row>
    <row r="2281" spans="1:32" ht="15" x14ac:dyDescent="0.35">
      <c r="A2281" t="s">
        <v>4269</v>
      </c>
      <c r="B2281" s="1">
        <v>45681</v>
      </c>
      <c r="C2281">
        <f>YEAR(OrdersTable[[#This Row],[Order Date]])</f>
        <v>2025</v>
      </c>
      <c r="D2281" s="2">
        <f>DATE(YEAR(OrdersTable[[#This Row],[Order Date]]),MONTH(OrdersTable[[#This Row],[Order Date]]),1)</f>
        <v>45658</v>
      </c>
      <c r="E2281">
        <f>MONTH(OrdersTable[[#This Row],[Order Date]])</f>
        <v>1</v>
      </c>
      <c r="F2281" t="s">
        <v>4270</v>
      </c>
      <c r="G2281" t="str">
        <f>IF(OrdersTable[[#This Row],[Order Date]]=_xlfn.MINIFS(Order_Date, Customer_ID, OrdersTable[[#This Row],[Customer ID]]), "New", "Repeat")</f>
        <v>Repeat</v>
      </c>
      <c r="H2281" t="s">
        <v>71</v>
      </c>
      <c r="I2281" t="str">
        <f>INDEX(State!B:B,MATCH(OrdersTable[[#This Row],[State]],State!A:A,0))</f>
        <v>MH</v>
      </c>
      <c r="J2281" t="str">
        <f>INDEX(State!C:C,MATCH(OrdersTable[[#This Row],[State Code]],State!B:B,0))</f>
        <v>West</v>
      </c>
      <c r="K2281" t="s">
        <v>102</v>
      </c>
      <c r="L2281" t="s">
        <v>39</v>
      </c>
      <c r="M2281" t="s">
        <v>176</v>
      </c>
      <c r="N2281" t="str">
        <f>INDEX(Products!B:B,MATCH(OrdersTable[[#This Row],[Product ID]],Products!A:A,0))</f>
        <v>Denim Jacket</v>
      </c>
      <c r="O2281" t="str">
        <f>INDEX(Products!C:C,MATCH(OrdersTable[[#This Row],[Product ID]],Products!A:A,0))</f>
        <v>Apparel</v>
      </c>
      <c r="P2281">
        <v>1</v>
      </c>
      <c r="Q2281" s="5">
        <v>2499</v>
      </c>
      <c r="R2281" s="74">
        <v>0</v>
      </c>
      <c r="S2281" s="75">
        <f>OrdersTable[[#This Row],[Quantity]]*OrdersTable[[#This Row],[Unit Price]]</f>
        <v>2499</v>
      </c>
      <c r="T2281" s="5">
        <f>OrdersTable[[#This Row],[Gross Sale]]*OrdersTable[[#This Row],[Discount_Clean2]]</f>
        <v>0</v>
      </c>
      <c r="U2281" s="5">
        <f>OrdersTable[[#This Row],[Gross Sale]]-OrdersTable[[#This Row],[Discount Amount]]</f>
        <v>2499</v>
      </c>
      <c r="V2281" s="77">
        <f>INDEX(Products!E:E,MATCH(OrdersTable[[#This Row],[Product ID]],Products!A:A,0))</f>
        <v>1125</v>
      </c>
      <c r="W2281" s="77">
        <f>OrdersTable[[#This Row],[Quantity]]*OrdersTable[[#This Row],[Unit Cost]]</f>
        <v>1125</v>
      </c>
      <c r="X2281" s="77">
        <f>'Dropdown Lists'!$I$2*(1+OrdersTable[[#This Row],[Returned]])</f>
        <v>60</v>
      </c>
      <c r="Y2281" s="76">
        <f>OrdersTable[[#This Row],[Net Revenue]]-OrdersTable[[#This Row],[COGS]]-OrdersTable[[#This Row],[Shipping Cost]]</f>
        <v>1314</v>
      </c>
      <c r="Z2281" s="78">
        <f>IFERROR(OrdersTable[[#This Row],[Profit]]/OrdersTable[[#This Row],[Net Revenue]],0)</f>
        <v>0.5258103241296519</v>
      </c>
      <c r="AA2281" t="s">
        <v>4074</v>
      </c>
      <c r="AB2281" s="79">
        <v>45685</v>
      </c>
      <c r="AC2281">
        <f>OrdersTable[[#This Row],[Delivery Date]]-OrdersTable[[#This Row],[Order Date]]</f>
        <v>4</v>
      </c>
      <c r="AD2281" t="str">
        <f>IF(OrdersTable[[#This Row],[Delivery Days]]&lt;=2, "Express (≤2d)", IF(OrdersTable[[#This Row],[Delivery Days]]&lt;=4, "Standard (3-4d)", "Delayed (5d+)"))</f>
        <v>Standard (3-4d)</v>
      </c>
      <c r="AF2281">
        <v>0</v>
      </c>
    </row>
    <row r="2282" spans="1:32" ht="15" x14ac:dyDescent="0.35">
      <c r="A2282" t="s">
        <v>563</v>
      </c>
      <c r="B2282" s="1">
        <v>45681</v>
      </c>
      <c r="C2282">
        <f>YEAR(OrdersTable[[#This Row],[Order Date]])</f>
        <v>2025</v>
      </c>
      <c r="D2282" s="2">
        <f>DATE(YEAR(OrdersTable[[#This Row],[Order Date]]),MONTH(OrdersTable[[#This Row],[Order Date]]),1)</f>
        <v>45658</v>
      </c>
      <c r="E2282">
        <f>MONTH(OrdersTable[[#This Row],[Order Date]])</f>
        <v>1</v>
      </c>
      <c r="F2282" t="s">
        <v>564</v>
      </c>
      <c r="G2282" t="str">
        <f>IF(OrdersTable[[#This Row],[Order Date]]=_xlfn.MINIFS(Order_Date, Customer_ID, OrdersTable[[#This Row],[Customer ID]]), "New", "Repeat")</f>
        <v>Repeat</v>
      </c>
      <c r="H2282" t="s">
        <v>95</v>
      </c>
      <c r="I2282" t="str">
        <f>INDEX(State!B:B,MATCH(OrdersTable[[#This Row],[State]],State!A:A,0))</f>
        <v>TG</v>
      </c>
      <c r="J2282" t="str">
        <f>INDEX(State!C:C,MATCH(OrdersTable[[#This Row],[State Code]],State!B:B,0))</f>
        <v>South</v>
      </c>
      <c r="K2282" t="s">
        <v>96</v>
      </c>
      <c r="L2282" t="s">
        <v>65</v>
      </c>
      <c r="M2282" t="s">
        <v>565</v>
      </c>
      <c r="N2282" t="str">
        <f>INDEX(Products!B:B,MATCH(OrdersTable[[#This Row],[Product ID]],Products!A:A,0))</f>
        <v>Ceramic Dinner Set</v>
      </c>
      <c r="O2282" t="str">
        <f>INDEX(Products!C:C,MATCH(OrdersTable[[#This Row],[Product ID]],Products!A:A,0))</f>
        <v>Home &amp; Kitchen</v>
      </c>
      <c r="P2282">
        <v>1</v>
      </c>
      <c r="Q2282" s="5">
        <v>2499</v>
      </c>
      <c r="R2282" s="74">
        <v>0.25</v>
      </c>
      <c r="S2282" s="75">
        <f>OrdersTable[[#This Row],[Quantity]]*OrdersTable[[#This Row],[Unit Price]]</f>
        <v>2499</v>
      </c>
      <c r="T2282" s="5">
        <f>OrdersTable[[#This Row],[Gross Sale]]*OrdersTable[[#This Row],[Discount_Clean2]]</f>
        <v>624.75</v>
      </c>
      <c r="U2282" s="5">
        <f>OrdersTable[[#This Row],[Gross Sale]]-OrdersTable[[#This Row],[Discount Amount]]</f>
        <v>1874.25</v>
      </c>
      <c r="V2282" s="77">
        <f>INDEX(Products!E:E,MATCH(OrdersTable[[#This Row],[Product ID]],Products!A:A,0))</f>
        <v>1250</v>
      </c>
      <c r="W2282" s="77">
        <f>OrdersTable[[#This Row],[Quantity]]*OrdersTable[[#This Row],[Unit Cost]]</f>
        <v>1250</v>
      </c>
      <c r="X2282" s="77">
        <f>'Dropdown Lists'!$I$2*(1+OrdersTable[[#This Row],[Returned]])</f>
        <v>60</v>
      </c>
      <c r="Y2282" s="76">
        <f>OrdersTable[[#This Row],[Net Revenue]]-OrdersTable[[#This Row],[COGS]]-OrdersTable[[#This Row],[Shipping Cost]]</f>
        <v>564.25</v>
      </c>
      <c r="Z2282" s="78">
        <f>IFERROR(OrdersTable[[#This Row],[Profit]]/OrdersTable[[#This Row],[Net Revenue]],0)</f>
        <v>0.30105375483526742</v>
      </c>
      <c r="AA2282" t="s">
        <v>18</v>
      </c>
      <c r="AB2282" s="79">
        <v>45683</v>
      </c>
      <c r="AC2282">
        <f>OrdersTable[[#This Row],[Delivery Date]]-OrdersTable[[#This Row],[Order Date]]</f>
        <v>2</v>
      </c>
      <c r="AD2282" t="str">
        <f>IF(OrdersTable[[#This Row],[Delivery Days]]&lt;=2, "Express (≤2d)", IF(OrdersTable[[#This Row],[Delivery Days]]&lt;=4, "Standard (3-4d)", "Delayed (5d+)"))</f>
        <v>Express (≤2d)</v>
      </c>
      <c r="AE2282">
        <v>4</v>
      </c>
      <c r="AF2282">
        <v>0</v>
      </c>
    </row>
    <row r="2283" spans="1:32" ht="15" x14ac:dyDescent="0.35">
      <c r="A2283" t="s">
        <v>4013</v>
      </c>
      <c r="B2283" s="1">
        <v>45681</v>
      </c>
      <c r="C2283">
        <f>YEAR(OrdersTable[[#This Row],[Order Date]])</f>
        <v>2025</v>
      </c>
      <c r="D2283" s="2">
        <f>DATE(YEAR(OrdersTable[[#This Row],[Order Date]]),MONTH(OrdersTable[[#This Row],[Order Date]]),1)</f>
        <v>45658</v>
      </c>
      <c r="E2283">
        <f>MONTH(OrdersTable[[#This Row],[Order Date]])</f>
        <v>1</v>
      </c>
      <c r="F2283" t="s">
        <v>4014</v>
      </c>
      <c r="G2283" t="str">
        <f>IF(OrdersTable[[#This Row],[Order Date]]=_xlfn.MINIFS(Order_Date, Customer_ID, OrdersTable[[#This Row],[Customer ID]]), "New", "Repeat")</f>
        <v>New</v>
      </c>
      <c r="H2283" t="s">
        <v>95</v>
      </c>
      <c r="I2283" t="str">
        <f>INDEX(State!B:B,MATCH(OrdersTable[[#This Row],[State]],State!A:A,0))</f>
        <v>TG</v>
      </c>
      <c r="J2283" t="str">
        <f>INDEX(State!C:C,MATCH(OrdersTable[[#This Row],[State Code]],State!B:B,0))</f>
        <v>South</v>
      </c>
      <c r="K2283" t="s">
        <v>96</v>
      </c>
      <c r="L2283" t="s">
        <v>23</v>
      </c>
      <c r="M2283" t="s">
        <v>34</v>
      </c>
      <c r="N2283" t="str">
        <f>INDEX(Products!B:B,MATCH(OrdersTable[[#This Row],[Product ID]],Products!A:A,0))</f>
        <v>Flip Flops</v>
      </c>
      <c r="O2283" t="str">
        <f>INDEX(Products!C:C,MATCH(OrdersTable[[#This Row],[Product ID]],Products!A:A,0))</f>
        <v>Footwear</v>
      </c>
      <c r="P2283">
        <v>1</v>
      </c>
      <c r="Q2283" s="5">
        <v>399</v>
      </c>
      <c r="R2283" s="74">
        <v>0.1</v>
      </c>
      <c r="S2283" s="75">
        <f>OrdersTable[[#This Row],[Quantity]]*OrdersTable[[#This Row],[Unit Price]]</f>
        <v>399</v>
      </c>
      <c r="T2283" s="5">
        <f>OrdersTable[[#This Row],[Gross Sale]]*OrdersTable[[#This Row],[Discount_Clean2]]</f>
        <v>39.900000000000006</v>
      </c>
      <c r="U2283" s="5">
        <f>OrdersTable[[#This Row],[Gross Sale]]-OrdersTable[[#This Row],[Discount Amount]]</f>
        <v>359.1</v>
      </c>
      <c r="V2283" s="77">
        <f>INDEX(Products!E:E,MATCH(OrdersTable[[#This Row],[Product ID]],Products!A:A,0))</f>
        <v>152</v>
      </c>
      <c r="W2283" s="77">
        <f>OrdersTable[[#This Row],[Quantity]]*OrdersTable[[#This Row],[Unit Cost]]</f>
        <v>152</v>
      </c>
      <c r="X2283" s="77">
        <f>'Dropdown Lists'!$I$2*(1+OrdersTable[[#This Row],[Returned]])</f>
        <v>60</v>
      </c>
      <c r="Y2283" s="76">
        <f>OrdersTable[[#This Row],[Net Revenue]]-OrdersTable[[#This Row],[COGS]]-OrdersTable[[#This Row],[Shipping Cost]]</f>
        <v>147.10000000000002</v>
      </c>
      <c r="Z2283" s="78">
        <f>IFERROR(OrdersTable[[#This Row],[Profit]]/OrdersTable[[#This Row],[Net Revenue]],0)</f>
        <v>0.40963519910888335</v>
      </c>
      <c r="AA2283" t="s">
        <v>3495</v>
      </c>
      <c r="AB2283" s="79">
        <v>45683</v>
      </c>
      <c r="AC2283">
        <f>OrdersTable[[#This Row],[Delivery Date]]-OrdersTable[[#This Row],[Order Date]]</f>
        <v>2</v>
      </c>
      <c r="AD2283" t="str">
        <f>IF(OrdersTable[[#This Row],[Delivery Days]]&lt;=2, "Express (≤2d)", IF(OrdersTable[[#This Row],[Delivery Days]]&lt;=4, "Standard (3-4d)", "Delayed (5d+)"))</f>
        <v>Express (≤2d)</v>
      </c>
      <c r="AE2283">
        <v>5</v>
      </c>
      <c r="AF2283">
        <v>0</v>
      </c>
    </row>
    <row r="2284" spans="1:32" ht="15" x14ac:dyDescent="0.35">
      <c r="A2284" t="s">
        <v>5382</v>
      </c>
      <c r="B2284" s="1">
        <v>45681</v>
      </c>
      <c r="C2284">
        <f>YEAR(OrdersTable[[#This Row],[Order Date]])</f>
        <v>2025</v>
      </c>
      <c r="D2284" s="2">
        <f>DATE(YEAR(OrdersTable[[#This Row],[Order Date]]),MONTH(OrdersTable[[#This Row],[Order Date]]),1)</f>
        <v>45658</v>
      </c>
      <c r="E2284">
        <f>MONTH(OrdersTable[[#This Row],[Order Date]])</f>
        <v>1</v>
      </c>
      <c r="F2284" t="s">
        <v>1380</v>
      </c>
      <c r="G2284" t="str">
        <f>IF(OrdersTable[[#This Row],[Order Date]]=_xlfn.MINIFS(Order_Date, Customer_ID, OrdersTable[[#This Row],[Customer ID]]), "New", "Repeat")</f>
        <v>Repeat</v>
      </c>
      <c r="H2284" t="s">
        <v>275</v>
      </c>
      <c r="I2284" t="str">
        <f>INDEX(State!B:B,MATCH(OrdersTable[[#This Row],[State]],State!A:A,0))</f>
        <v>AP</v>
      </c>
      <c r="J2284" t="str">
        <f>INDEX(State!C:C,MATCH(OrdersTable[[#This Row],[State Code]],State!B:B,0))</f>
        <v>South</v>
      </c>
      <c r="K2284" t="s">
        <v>276</v>
      </c>
      <c r="L2284" t="s">
        <v>50</v>
      </c>
      <c r="M2284" t="s">
        <v>179</v>
      </c>
      <c r="N2284" t="str">
        <f>INDEX(Products!B:B,MATCH(OrdersTable[[#This Row],[Product ID]],Products!A:A,0))</f>
        <v>Whey Protein 1kg</v>
      </c>
      <c r="O2284" t="str">
        <f>INDEX(Products!C:C,MATCH(OrdersTable[[#This Row],[Product ID]],Products!A:A,0))</f>
        <v>Wellness</v>
      </c>
      <c r="P2284">
        <v>2</v>
      </c>
      <c r="Q2284" s="5">
        <v>2299</v>
      </c>
      <c r="R2284" s="74">
        <v>0.35</v>
      </c>
      <c r="S2284" s="75">
        <f>OrdersTable[[#This Row],[Quantity]]*OrdersTable[[#This Row],[Unit Price]]</f>
        <v>4598</v>
      </c>
      <c r="T2284" s="5">
        <f>OrdersTable[[#This Row],[Gross Sale]]*OrdersTable[[#This Row],[Discount_Clean2]]</f>
        <v>1609.3</v>
      </c>
      <c r="U2284" s="5">
        <f>OrdersTable[[#This Row],[Gross Sale]]-OrdersTable[[#This Row],[Discount Amount]]</f>
        <v>2988.7</v>
      </c>
      <c r="V2284" s="77">
        <f>INDEX(Products!E:E,MATCH(OrdersTable[[#This Row],[Product ID]],Products!A:A,0))</f>
        <v>1333</v>
      </c>
      <c r="W2284" s="77">
        <f>OrdersTable[[#This Row],[Quantity]]*OrdersTable[[#This Row],[Unit Cost]]</f>
        <v>2666</v>
      </c>
      <c r="X2284" s="77">
        <f>'Dropdown Lists'!$I$2*(1+OrdersTable[[#This Row],[Returned]])</f>
        <v>60</v>
      </c>
      <c r="Y2284" s="76">
        <f>OrdersTable[[#This Row],[Net Revenue]]-OrdersTable[[#This Row],[COGS]]-OrdersTable[[#This Row],[Shipping Cost]]</f>
        <v>262.69999999999982</v>
      </c>
      <c r="Z2284" s="78">
        <f>IFERROR(OrdersTable[[#This Row],[Profit]]/OrdersTable[[#This Row],[Net Revenue]],0)</f>
        <v>8.7897748184829469E-2</v>
      </c>
      <c r="AA2284" t="s">
        <v>2522</v>
      </c>
      <c r="AB2284" s="79">
        <v>45686</v>
      </c>
      <c r="AC2284">
        <f>OrdersTable[[#This Row],[Delivery Date]]-OrdersTable[[#This Row],[Order Date]]</f>
        <v>5</v>
      </c>
      <c r="AD2284" t="str">
        <f>IF(OrdersTable[[#This Row],[Delivery Days]]&lt;=2, "Express (≤2d)", IF(OrdersTable[[#This Row],[Delivery Days]]&lt;=4, "Standard (3-4d)", "Delayed (5d+)"))</f>
        <v>Delayed (5d+)</v>
      </c>
      <c r="AE2284">
        <v>3</v>
      </c>
      <c r="AF2284">
        <v>0</v>
      </c>
    </row>
    <row r="2285" spans="1:32" ht="15" x14ac:dyDescent="0.35">
      <c r="A2285" t="s">
        <v>5700</v>
      </c>
      <c r="B2285" s="1">
        <v>45682</v>
      </c>
      <c r="C2285">
        <f>YEAR(OrdersTable[[#This Row],[Order Date]])</f>
        <v>2025</v>
      </c>
      <c r="D2285" s="2">
        <f>DATE(YEAR(OrdersTable[[#This Row],[Order Date]]),MONTH(OrdersTable[[#This Row],[Order Date]]),1)</f>
        <v>45658</v>
      </c>
      <c r="E2285">
        <f>MONTH(OrdersTable[[#This Row],[Order Date]])</f>
        <v>1</v>
      </c>
      <c r="F2285" t="s">
        <v>5701</v>
      </c>
      <c r="G2285" t="str">
        <f>IF(OrdersTable[[#This Row],[Order Date]]=_xlfn.MINIFS(Order_Date, Customer_ID, OrdersTable[[#This Row],[Customer ID]]), "New", "Repeat")</f>
        <v>New</v>
      </c>
      <c r="H2285" t="s">
        <v>128</v>
      </c>
      <c r="I2285" t="str">
        <f>INDEX(State!B:B,MATCH(OrdersTable[[#This Row],[State]],State!A:A,0))</f>
        <v>DL</v>
      </c>
      <c r="J2285" t="str">
        <f>INDEX(State!C:C,MATCH(OrdersTable[[#This Row],[State Code]],State!B:B,0))</f>
        <v>North</v>
      </c>
      <c r="K2285" t="s">
        <v>129</v>
      </c>
      <c r="L2285" t="s">
        <v>16</v>
      </c>
      <c r="M2285" t="s">
        <v>176</v>
      </c>
      <c r="N2285" t="str">
        <f>INDEX(Products!B:B,MATCH(OrdersTable[[#This Row],[Product ID]],Products!A:A,0))</f>
        <v>Denim Jacket</v>
      </c>
      <c r="O2285" t="str">
        <f>INDEX(Products!C:C,MATCH(OrdersTable[[#This Row],[Product ID]],Products!A:A,0))</f>
        <v>Apparel</v>
      </c>
      <c r="P2285">
        <v>2</v>
      </c>
      <c r="Q2285" s="5">
        <v>2499</v>
      </c>
      <c r="R2285" s="74">
        <v>0</v>
      </c>
      <c r="S2285" s="75">
        <f>OrdersTable[[#This Row],[Quantity]]*OrdersTable[[#This Row],[Unit Price]]</f>
        <v>4998</v>
      </c>
      <c r="T2285" s="5">
        <f>OrdersTable[[#This Row],[Gross Sale]]*OrdersTable[[#This Row],[Discount_Clean2]]</f>
        <v>0</v>
      </c>
      <c r="U2285" s="5">
        <f>OrdersTable[[#This Row],[Gross Sale]]-OrdersTable[[#This Row],[Discount Amount]]</f>
        <v>4998</v>
      </c>
      <c r="V2285" s="77">
        <f>INDEX(Products!E:E,MATCH(OrdersTable[[#This Row],[Product ID]],Products!A:A,0))</f>
        <v>1125</v>
      </c>
      <c r="W2285" s="77">
        <f>OrdersTable[[#This Row],[Quantity]]*OrdersTable[[#This Row],[Unit Cost]]</f>
        <v>2250</v>
      </c>
      <c r="X2285" s="77">
        <f>'Dropdown Lists'!$I$2*(1+OrdersTable[[#This Row],[Returned]])</f>
        <v>60</v>
      </c>
      <c r="Y2285" s="76">
        <f>OrdersTable[[#This Row],[Net Revenue]]-OrdersTable[[#This Row],[COGS]]-OrdersTable[[#This Row],[Shipping Cost]]</f>
        <v>2688</v>
      </c>
      <c r="Z2285" s="78">
        <f>IFERROR(OrdersTable[[#This Row],[Profit]]/OrdersTable[[#This Row],[Net Revenue]],0)</f>
        <v>0.53781512605042014</v>
      </c>
      <c r="AA2285" t="s">
        <v>18</v>
      </c>
      <c r="AB2285" s="79">
        <v>45684</v>
      </c>
      <c r="AC2285">
        <f>OrdersTable[[#This Row],[Delivery Date]]-OrdersTable[[#This Row],[Order Date]]</f>
        <v>2</v>
      </c>
      <c r="AD2285" t="str">
        <f>IF(OrdersTable[[#This Row],[Delivery Days]]&lt;=2, "Express (≤2d)", IF(OrdersTable[[#This Row],[Delivery Days]]&lt;=4, "Standard (3-4d)", "Delayed (5d+)"))</f>
        <v>Express (≤2d)</v>
      </c>
      <c r="AE2285">
        <v>3</v>
      </c>
      <c r="AF2285">
        <v>0</v>
      </c>
    </row>
    <row r="2286" spans="1:32" ht="15" x14ac:dyDescent="0.35">
      <c r="A2286" t="s">
        <v>6557</v>
      </c>
      <c r="B2286" s="1">
        <v>45682</v>
      </c>
      <c r="C2286">
        <f>YEAR(OrdersTable[[#This Row],[Order Date]])</f>
        <v>2025</v>
      </c>
      <c r="D2286" s="2">
        <f>DATE(YEAR(OrdersTable[[#This Row],[Order Date]]),MONTH(OrdersTable[[#This Row],[Order Date]]),1)</f>
        <v>45658</v>
      </c>
      <c r="E2286">
        <f>MONTH(OrdersTable[[#This Row],[Order Date]])</f>
        <v>1</v>
      </c>
      <c r="F2286" t="s">
        <v>2406</v>
      </c>
      <c r="G2286" t="str">
        <f>IF(OrdersTable[[#This Row],[Order Date]]=_xlfn.MINIFS(Order_Date, Customer_ID, OrdersTable[[#This Row],[Customer ID]]), "New", "Repeat")</f>
        <v>New</v>
      </c>
      <c r="H2286" t="s">
        <v>76</v>
      </c>
      <c r="I2286" t="str">
        <f>INDEX(State!B:B,MATCH(OrdersTable[[#This Row],[State]],State!A:A,0))</f>
        <v>UP</v>
      </c>
      <c r="J2286" t="str">
        <f>INDEX(State!C:C,MATCH(OrdersTable[[#This Row],[State Code]],State!B:B,0))</f>
        <v>North</v>
      </c>
      <c r="K2286" t="s">
        <v>105</v>
      </c>
      <c r="L2286" t="s">
        <v>39</v>
      </c>
      <c r="M2286" t="s">
        <v>17</v>
      </c>
      <c r="N2286" t="str">
        <f>INDEX(Products!B:B,MATCH(OrdersTable[[#This Row],[Product ID]],Products!A:A,0))</f>
        <v>Casual Sneakers</v>
      </c>
      <c r="O2286" t="str">
        <f>INDEX(Products!C:C,MATCH(OrdersTable[[#This Row],[Product ID]],Products!A:A,0))</f>
        <v>Footwear</v>
      </c>
      <c r="P2286">
        <v>3</v>
      </c>
      <c r="Q2286" s="5">
        <v>2199</v>
      </c>
      <c r="R2286" s="74">
        <v>0.2</v>
      </c>
      <c r="S2286" s="75">
        <f>OrdersTable[[#This Row],[Quantity]]*OrdersTable[[#This Row],[Unit Price]]</f>
        <v>6597</v>
      </c>
      <c r="T2286" s="5">
        <f>OrdersTable[[#This Row],[Gross Sale]]*OrdersTable[[#This Row],[Discount_Clean2]]</f>
        <v>1319.4</v>
      </c>
      <c r="U2286" s="5">
        <f>OrdersTable[[#This Row],[Gross Sale]]-OrdersTable[[#This Row],[Discount Amount]]</f>
        <v>5277.6</v>
      </c>
      <c r="V2286" s="77">
        <f>INDEX(Products!E:E,MATCH(OrdersTable[[#This Row],[Product ID]],Products!A:A,0))</f>
        <v>1034</v>
      </c>
      <c r="W2286" s="77">
        <f>OrdersTable[[#This Row],[Quantity]]*OrdersTable[[#This Row],[Unit Cost]]</f>
        <v>3102</v>
      </c>
      <c r="X2286" s="77">
        <f>'Dropdown Lists'!$I$2*(1+OrdersTable[[#This Row],[Returned]])</f>
        <v>60</v>
      </c>
      <c r="Y2286" s="76">
        <f>OrdersTable[[#This Row],[Net Revenue]]-OrdersTable[[#This Row],[COGS]]-OrdersTable[[#This Row],[Shipping Cost]]</f>
        <v>2115.6000000000004</v>
      </c>
      <c r="Z2286" s="78">
        <f>IFERROR(OrdersTable[[#This Row],[Profit]]/OrdersTable[[#This Row],[Net Revenue]],0)</f>
        <v>0.40086402910413826</v>
      </c>
      <c r="AA2286" t="s">
        <v>18</v>
      </c>
      <c r="AB2286" s="79">
        <v>45686</v>
      </c>
      <c r="AC2286">
        <f>OrdersTable[[#This Row],[Delivery Date]]-OrdersTable[[#This Row],[Order Date]]</f>
        <v>4</v>
      </c>
      <c r="AD2286" t="str">
        <f>IF(OrdersTable[[#This Row],[Delivery Days]]&lt;=2, "Express (≤2d)", IF(OrdersTable[[#This Row],[Delivery Days]]&lt;=4, "Standard (3-4d)", "Delayed (5d+)"))</f>
        <v>Standard (3-4d)</v>
      </c>
      <c r="AE2286">
        <v>3</v>
      </c>
      <c r="AF2286">
        <v>0</v>
      </c>
    </row>
    <row r="2287" spans="1:32" ht="15" x14ac:dyDescent="0.35">
      <c r="A2287" t="s">
        <v>3894</v>
      </c>
      <c r="B2287" s="1">
        <v>45682</v>
      </c>
      <c r="C2287">
        <f>YEAR(OrdersTable[[#This Row],[Order Date]])</f>
        <v>2025</v>
      </c>
      <c r="D2287" s="2">
        <f>DATE(YEAR(OrdersTable[[#This Row],[Order Date]]),MONTH(OrdersTable[[#This Row],[Order Date]]),1)</f>
        <v>45658</v>
      </c>
      <c r="E2287">
        <f>MONTH(OrdersTable[[#This Row],[Order Date]])</f>
        <v>1</v>
      </c>
      <c r="F2287" t="s">
        <v>881</v>
      </c>
      <c r="G2287" t="str">
        <f>IF(OrdersTable[[#This Row],[Order Date]]=_xlfn.MINIFS(Order_Date, Customer_ID, OrdersTable[[#This Row],[Customer ID]]), "New", "Repeat")</f>
        <v>Repeat</v>
      </c>
      <c r="H2287" t="s">
        <v>27</v>
      </c>
      <c r="I2287" t="str">
        <f>INDEX(State!B:B,MATCH(OrdersTable[[#This Row],[State]],State!A:A,0))</f>
        <v>WB</v>
      </c>
      <c r="J2287" t="str">
        <f>INDEX(State!C:C,MATCH(OrdersTable[[#This Row],[State Code]],State!B:B,0))</f>
        <v>East</v>
      </c>
      <c r="K2287" t="s">
        <v>28</v>
      </c>
      <c r="L2287" t="s">
        <v>65</v>
      </c>
      <c r="M2287" t="s">
        <v>45</v>
      </c>
      <c r="N2287" t="str">
        <f>INDEX(Products!B:B,MATCH(OrdersTable[[#This Row],[Product ID]],Products!A:A,0))</f>
        <v>Argan Shampoo</v>
      </c>
      <c r="O2287" t="str">
        <f>INDEX(Products!C:C,MATCH(OrdersTable[[#This Row],[Product ID]],Products!A:A,0))</f>
        <v>Haircare</v>
      </c>
      <c r="P2287">
        <v>1</v>
      </c>
      <c r="Q2287" s="5">
        <v>449</v>
      </c>
      <c r="R2287" s="74">
        <v>0.05</v>
      </c>
      <c r="S2287" s="75">
        <f>OrdersTable[[#This Row],[Quantity]]*OrdersTable[[#This Row],[Unit Price]]</f>
        <v>449</v>
      </c>
      <c r="T2287" s="5">
        <f>OrdersTable[[#This Row],[Gross Sale]]*OrdersTable[[#This Row],[Discount_Clean2]]</f>
        <v>22.450000000000003</v>
      </c>
      <c r="U2287" s="5">
        <f>OrdersTable[[#This Row],[Gross Sale]]-OrdersTable[[#This Row],[Discount Amount]]</f>
        <v>426.55</v>
      </c>
      <c r="V2287" s="77">
        <f>INDEX(Products!E:E,MATCH(OrdersTable[[#This Row],[Product ID]],Products!A:A,0))</f>
        <v>148</v>
      </c>
      <c r="W2287" s="77">
        <f>OrdersTable[[#This Row],[Quantity]]*OrdersTable[[#This Row],[Unit Cost]]</f>
        <v>148</v>
      </c>
      <c r="X2287" s="77">
        <f>'Dropdown Lists'!$I$2*(1+OrdersTable[[#This Row],[Returned]])</f>
        <v>60</v>
      </c>
      <c r="Y2287" s="76">
        <f>OrdersTable[[#This Row],[Net Revenue]]-OrdersTable[[#This Row],[COGS]]-OrdersTable[[#This Row],[Shipping Cost]]</f>
        <v>218.55</v>
      </c>
      <c r="Z2287" s="78">
        <f>IFERROR(OrdersTable[[#This Row],[Profit]]/OrdersTable[[#This Row],[Net Revenue]],0)</f>
        <v>0.51236666275934828</v>
      </c>
      <c r="AA2287" t="s">
        <v>3495</v>
      </c>
      <c r="AB2287" s="79">
        <v>45685</v>
      </c>
      <c r="AC2287">
        <f>OrdersTable[[#This Row],[Delivery Date]]-OrdersTable[[#This Row],[Order Date]]</f>
        <v>3</v>
      </c>
      <c r="AD2287" t="str">
        <f>IF(OrdersTable[[#This Row],[Delivery Days]]&lt;=2, "Express (≤2d)", IF(OrdersTable[[#This Row],[Delivery Days]]&lt;=4, "Standard (3-4d)", "Delayed (5d+)"))</f>
        <v>Standard (3-4d)</v>
      </c>
      <c r="AE2287">
        <v>3</v>
      </c>
      <c r="AF2287">
        <v>0</v>
      </c>
    </row>
    <row r="2288" spans="1:32" ht="15" x14ac:dyDescent="0.35">
      <c r="A2288" t="s">
        <v>4820</v>
      </c>
      <c r="B2288" s="1">
        <v>45682</v>
      </c>
      <c r="C2288">
        <f>YEAR(OrdersTable[[#This Row],[Order Date]])</f>
        <v>2025</v>
      </c>
      <c r="D2288" s="2">
        <f>DATE(YEAR(OrdersTable[[#This Row],[Order Date]]),MONTH(OrdersTable[[#This Row],[Order Date]]),1)</f>
        <v>45658</v>
      </c>
      <c r="E2288">
        <f>MONTH(OrdersTable[[#This Row],[Order Date]])</f>
        <v>1</v>
      </c>
      <c r="F2288" t="s">
        <v>4821</v>
      </c>
      <c r="G2288" t="str">
        <f>IF(OrdersTable[[#This Row],[Order Date]]=_xlfn.MINIFS(Order_Date, Customer_ID, OrdersTable[[#This Row],[Customer ID]]), "New", "Repeat")</f>
        <v>New</v>
      </c>
      <c r="H2288" t="s">
        <v>27</v>
      </c>
      <c r="I2288" t="str">
        <f>INDEX(State!B:B,MATCH(OrdersTable[[#This Row],[State]],State!A:A,0))</f>
        <v>WB</v>
      </c>
      <c r="J2288" t="str">
        <f>INDEX(State!C:C,MATCH(OrdersTable[[#This Row],[State Code]],State!B:B,0))</f>
        <v>East</v>
      </c>
      <c r="K2288" t="s">
        <v>28</v>
      </c>
      <c r="L2288" t="s">
        <v>65</v>
      </c>
      <c r="M2288" t="s">
        <v>565</v>
      </c>
      <c r="N2288" t="str">
        <f>INDEX(Products!B:B,MATCH(OrdersTable[[#This Row],[Product ID]],Products!A:A,0))</f>
        <v>Ceramic Dinner Set</v>
      </c>
      <c r="O2288" t="str">
        <f>INDEX(Products!C:C,MATCH(OrdersTable[[#This Row],[Product ID]],Products!A:A,0))</f>
        <v>Home &amp; Kitchen</v>
      </c>
      <c r="P2288">
        <v>2</v>
      </c>
      <c r="Q2288" s="5">
        <v>2499</v>
      </c>
      <c r="R2288" s="74">
        <v>0.3</v>
      </c>
      <c r="S2288" s="75">
        <f>OrdersTable[[#This Row],[Quantity]]*OrdersTable[[#This Row],[Unit Price]]</f>
        <v>4998</v>
      </c>
      <c r="T2288" s="5">
        <f>OrdersTable[[#This Row],[Gross Sale]]*OrdersTable[[#This Row],[Discount_Clean2]]</f>
        <v>1499.3999999999999</v>
      </c>
      <c r="U2288" s="5">
        <f>OrdersTable[[#This Row],[Gross Sale]]-OrdersTable[[#This Row],[Discount Amount]]</f>
        <v>3498.6000000000004</v>
      </c>
      <c r="V2288" s="77">
        <f>INDEX(Products!E:E,MATCH(OrdersTable[[#This Row],[Product ID]],Products!A:A,0))</f>
        <v>1250</v>
      </c>
      <c r="W2288" s="77">
        <f>OrdersTable[[#This Row],[Quantity]]*OrdersTable[[#This Row],[Unit Cost]]</f>
        <v>2500</v>
      </c>
      <c r="X2288" s="77">
        <f>'Dropdown Lists'!$I$2*(1+OrdersTable[[#This Row],[Returned]])</f>
        <v>60</v>
      </c>
      <c r="Y2288" s="76">
        <f>OrdersTable[[#This Row],[Net Revenue]]-OrdersTable[[#This Row],[COGS]]-OrdersTable[[#This Row],[Shipping Cost]]</f>
        <v>938.60000000000036</v>
      </c>
      <c r="Z2288" s="78">
        <f>IFERROR(OrdersTable[[#This Row],[Profit]]/OrdersTable[[#This Row],[Net Revenue]],0)</f>
        <v>0.26827874006745561</v>
      </c>
      <c r="AA2288" t="s">
        <v>4450</v>
      </c>
      <c r="AB2288" s="79">
        <v>45685</v>
      </c>
      <c r="AC2288">
        <f>OrdersTable[[#This Row],[Delivery Date]]-OrdersTable[[#This Row],[Order Date]]</f>
        <v>3</v>
      </c>
      <c r="AD2288" t="str">
        <f>IF(OrdersTable[[#This Row],[Delivery Days]]&lt;=2, "Express (≤2d)", IF(OrdersTable[[#This Row],[Delivery Days]]&lt;=4, "Standard (3-4d)", "Delayed (5d+)"))</f>
        <v>Standard (3-4d)</v>
      </c>
      <c r="AE2288">
        <v>5</v>
      </c>
      <c r="AF2288">
        <v>0</v>
      </c>
    </row>
    <row r="2289" spans="1:32" ht="15" x14ac:dyDescent="0.35">
      <c r="A2289" t="s">
        <v>5798</v>
      </c>
      <c r="B2289" s="1">
        <v>45682</v>
      </c>
      <c r="C2289">
        <f>YEAR(OrdersTable[[#This Row],[Order Date]])</f>
        <v>2025</v>
      </c>
      <c r="D2289" s="2">
        <f>DATE(YEAR(OrdersTable[[#This Row],[Order Date]]),MONTH(OrdersTable[[#This Row],[Order Date]]),1)</f>
        <v>45658</v>
      </c>
      <c r="E2289">
        <f>MONTH(OrdersTable[[#This Row],[Order Date]])</f>
        <v>1</v>
      </c>
      <c r="F2289" t="s">
        <v>1255</v>
      </c>
      <c r="G2289" t="str">
        <f>IF(OrdersTable[[#This Row],[Order Date]]=_xlfn.MINIFS(Order_Date, Customer_ID, OrdersTable[[#This Row],[Customer ID]]), "New", "Repeat")</f>
        <v>Repeat</v>
      </c>
      <c r="H2289" t="s">
        <v>71</v>
      </c>
      <c r="I2289" t="str">
        <f>INDEX(State!B:B,MATCH(OrdersTable[[#This Row],[State]],State!A:A,0))</f>
        <v>MH</v>
      </c>
      <c r="J2289" t="str">
        <f>INDEX(State!C:C,MATCH(OrdersTable[[#This Row],[State Code]],State!B:B,0))</f>
        <v>West</v>
      </c>
      <c r="K2289" t="s">
        <v>72</v>
      </c>
      <c r="L2289" t="s">
        <v>50</v>
      </c>
      <c r="M2289" t="s">
        <v>179</v>
      </c>
      <c r="N2289" t="str">
        <f>INDEX(Products!B:B,MATCH(OrdersTable[[#This Row],[Product ID]],Products!A:A,0))</f>
        <v>Whey Protein 1kg</v>
      </c>
      <c r="O2289" t="str">
        <f>INDEX(Products!C:C,MATCH(OrdersTable[[#This Row],[Product ID]],Products!A:A,0))</f>
        <v>Wellness</v>
      </c>
      <c r="P2289">
        <v>2</v>
      </c>
      <c r="Q2289" s="5">
        <v>2299</v>
      </c>
      <c r="R2289" s="74">
        <v>0.35</v>
      </c>
      <c r="S2289" s="75">
        <f>OrdersTable[[#This Row],[Quantity]]*OrdersTable[[#This Row],[Unit Price]]</f>
        <v>4598</v>
      </c>
      <c r="T2289" s="5">
        <f>OrdersTable[[#This Row],[Gross Sale]]*OrdersTable[[#This Row],[Discount_Clean2]]</f>
        <v>1609.3</v>
      </c>
      <c r="U2289" s="5">
        <f>OrdersTable[[#This Row],[Gross Sale]]-OrdersTable[[#This Row],[Discount Amount]]</f>
        <v>2988.7</v>
      </c>
      <c r="V2289" s="77">
        <f>INDEX(Products!E:E,MATCH(OrdersTable[[#This Row],[Product ID]],Products!A:A,0))</f>
        <v>1333</v>
      </c>
      <c r="W2289" s="77">
        <f>OrdersTable[[#This Row],[Quantity]]*OrdersTable[[#This Row],[Unit Cost]]</f>
        <v>2666</v>
      </c>
      <c r="X2289" s="77">
        <f>'Dropdown Lists'!$I$2*(1+OrdersTable[[#This Row],[Returned]])</f>
        <v>60</v>
      </c>
      <c r="Y2289" s="76">
        <f>OrdersTable[[#This Row],[Net Revenue]]-OrdersTable[[#This Row],[COGS]]-OrdersTable[[#This Row],[Shipping Cost]]</f>
        <v>262.69999999999982</v>
      </c>
      <c r="Z2289" s="78">
        <f>IFERROR(OrdersTable[[#This Row],[Profit]]/OrdersTable[[#This Row],[Net Revenue]],0)</f>
        <v>8.7897748184829469E-2</v>
      </c>
      <c r="AA2289" t="s">
        <v>18</v>
      </c>
      <c r="AB2289" s="79">
        <v>45683</v>
      </c>
      <c r="AC2289">
        <f>OrdersTable[[#This Row],[Delivery Date]]-OrdersTable[[#This Row],[Order Date]]</f>
        <v>1</v>
      </c>
      <c r="AD2289" t="str">
        <f>IF(OrdersTable[[#This Row],[Delivery Days]]&lt;=2, "Express (≤2d)", IF(OrdersTable[[#This Row],[Delivery Days]]&lt;=4, "Standard (3-4d)", "Delayed (5d+)"))</f>
        <v>Express (≤2d)</v>
      </c>
      <c r="AE2289">
        <v>5</v>
      </c>
      <c r="AF2289">
        <v>0</v>
      </c>
    </row>
    <row r="2290" spans="1:32" ht="15" x14ac:dyDescent="0.35">
      <c r="A2290" t="s">
        <v>2596</v>
      </c>
      <c r="B2290" s="1">
        <v>45682</v>
      </c>
      <c r="C2290">
        <f>YEAR(OrdersTable[[#This Row],[Order Date]])</f>
        <v>2025</v>
      </c>
      <c r="D2290" s="2">
        <f>DATE(YEAR(OrdersTable[[#This Row],[Order Date]]),MONTH(OrdersTable[[#This Row],[Order Date]]),1)</f>
        <v>45658</v>
      </c>
      <c r="E2290">
        <f>MONTH(OrdersTable[[#This Row],[Order Date]])</f>
        <v>1</v>
      </c>
      <c r="F2290" t="s">
        <v>2597</v>
      </c>
      <c r="G2290" t="str">
        <f>IF(OrdersTable[[#This Row],[Order Date]]=_xlfn.MINIFS(Order_Date, Customer_ID, OrdersTable[[#This Row],[Customer ID]]), "New", "Repeat")</f>
        <v>New</v>
      </c>
      <c r="H2290" t="s">
        <v>167</v>
      </c>
      <c r="I2290" t="str">
        <f>INDEX(State!B:B,MATCH(OrdersTable[[#This Row],[State]],State!A:A,0))</f>
        <v>KA</v>
      </c>
      <c r="J2290" t="str">
        <f>INDEX(State!C:C,MATCH(OrdersTable[[#This Row],[State Code]],State!B:B,0))</f>
        <v>South</v>
      </c>
      <c r="K2290" t="s">
        <v>168</v>
      </c>
      <c r="L2290" t="s">
        <v>65</v>
      </c>
      <c r="M2290" t="s">
        <v>160</v>
      </c>
      <c r="N2290" t="str">
        <f>INDEX(Products!B:B,MATCH(OrdersTable[[#This Row],[Product ID]],Products!A:A,0))</f>
        <v>Niacinamide Toner</v>
      </c>
      <c r="O2290" t="str">
        <f>INDEX(Products!C:C,MATCH(OrdersTable[[#This Row],[Product ID]],Products!A:A,0))</f>
        <v>Skincare</v>
      </c>
      <c r="P2290">
        <v>1</v>
      </c>
      <c r="Q2290" s="5">
        <v>399</v>
      </c>
      <c r="R2290" s="74">
        <v>0.15</v>
      </c>
      <c r="S2290" s="75">
        <f>OrdersTable[[#This Row],[Quantity]]*OrdersTable[[#This Row],[Unit Price]]</f>
        <v>399</v>
      </c>
      <c r="T2290" s="5">
        <f>OrdersTable[[#This Row],[Gross Sale]]*OrdersTable[[#This Row],[Discount_Clean2]]</f>
        <v>59.849999999999994</v>
      </c>
      <c r="U2290" s="5">
        <f>OrdersTable[[#This Row],[Gross Sale]]-OrdersTable[[#This Row],[Discount Amount]]</f>
        <v>339.15</v>
      </c>
      <c r="V2290" s="77">
        <f>INDEX(Products!E:E,MATCH(OrdersTable[[#This Row],[Product ID]],Products!A:A,0))</f>
        <v>112</v>
      </c>
      <c r="W2290" s="77">
        <f>OrdersTable[[#This Row],[Quantity]]*OrdersTable[[#This Row],[Unit Cost]]</f>
        <v>112</v>
      </c>
      <c r="X2290" s="77">
        <f>'Dropdown Lists'!$I$2*(1+OrdersTable[[#This Row],[Returned]])</f>
        <v>60</v>
      </c>
      <c r="Y2290" s="76">
        <f>OrdersTable[[#This Row],[Net Revenue]]-OrdersTable[[#This Row],[COGS]]-OrdersTable[[#This Row],[Shipping Cost]]</f>
        <v>167.14999999999998</v>
      </c>
      <c r="Z2290" s="78">
        <f>IFERROR(OrdersTable[[#This Row],[Profit]]/OrdersTable[[#This Row],[Net Revenue]],0)</f>
        <v>0.49284977148754233</v>
      </c>
      <c r="AA2290" t="s">
        <v>2522</v>
      </c>
      <c r="AB2290" s="79">
        <v>45683</v>
      </c>
      <c r="AC2290">
        <f>OrdersTable[[#This Row],[Delivery Date]]-OrdersTable[[#This Row],[Order Date]]</f>
        <v>1</v>
      </c>
      <c r="AD2290" t="str">
        <f>IF(OrdersTable[[#This Row],[Delivery Days]]&lt;=2, "Express (≤2d)", IF(OrdersTable[[#This Row],[Delivery Days]]&lt;=4, "Standard (3-4d)", "Delayed (5d+)"))</f>
        <v>Express (≤2d)</v>
      </c>
      <c r="AE2290">
        <v>5</v>
      </c>
      <c r="AF2290">
        <v>0</v>
      </c>
    </row>
    <row r="2291" spans="1:32" ht="15" x14ac:dyDescent="0.35">
      <c r="A2291" t="s">
        <v>3587</v>
      </c>
      <c r="B2291" s="1">
        <v>45682</v>
      </c>
      <c r="C2291">
        <f>YEAR(OrdersTable[[#This Row],[Order Date]])</f>
        <v>2025</v>
      </c>
      <c r="D2291" s="2">
        <f>DATE(YEAR(OrdersTable[[#This Row],[Order Date]]),MONTH(OrdersTable[[#This Row],[Order Date]]),1)</f>
        <v>45658</v>
      </c>
      <c r="E2291">
        <f>MONTH(OrdersTable[[#This Row],[Order Date]])</f>
        <v>1</v>
      </c>
      <c r="F2291" t="s">
        <v>1772</v>
      </c>
      <c r="G2291" t="str">
        <f>IF(OrdersTable[[#This Row],[Order Date]]=_xlfn.MINIFS(Order_Date, Customer_ID, OrdersTable[[#This Row],[Customer ID]]), "New", "Repeat")</f>
        <v>Repeat</v>
      </c>
      <c r="H2291" t="s">
        <v>167</v>
      </c>
      <c r="I2291" t="str">
        <f>INDEX(State!B:B,MATCH(OrdersTable[[#This Row],[State]],State!A:A,0))</f>
        <v>KA</v>
      </c>
      <c r="J2291" t="str">
        <f>INDEX(State!C:C,MATCH(OrdersTable[[#This Row],[State Code]],State!B:B,0))</f>
        <v>South</v>
      </c>
      <c r="K2291" t="s">
        <v>168</v>
      </c>
      <c r="L2291" t="s">
        <v>50</v>
      </c>
      <c r="M2291" t="s">
        <v>73</v>
      </c>
      <c r="N2291" t="str">
        <f>INDEX(Products!B:B,MATCH(OrdersTable[[#This Row],[Product ID]],Products!A:A,0))</f>
        <v>Hydrating Face Wash</v>
      </c>
      <c r="O2291" t="str">
        <f>INDEX(Products!C:C,MATCH(OrdersTable[[#This Row],[Product ID]],Products!A:A,0))</f>
        <v>Skincare</v>
      </c>
      <c r="P2291">
        <v>1</v>
      </c>
      <c r="Q2291" s="5">
        <v>299</v>
      </c>
      <c r="R2291" s="74">
        <v>0</v>
      </c>
      <c r="S2291" s="75">
        <f>OrdersTable[[#This Row],[Quantity]]*OrdersTable[[#This Row],[Unit Price]]</f>
        <v>299</v>
      </c>
      <c r="T2291" s="5">
        <f>OrdersTable[[#This Row],[Gross Sale]]*OrdersTable[[#This Row],[Discount_Clean2]]</f>
        <v>0</v>
      </c>
      <c r="U2291" s="5">
        <f>OrdersTable[[#This Row],[Gross Sale]]-OrdersTable[[#This Row],[Discount Amount]]</f>
        <v>299</v>
      </c>
      <c r="V2291" s="77">
        <f>INDEX(Products!E:E,MATCH(OrdersTable[[#This Row],[Product ID]],Products!A:A,0))</f>
        <v>90</v>
      </c>
      <c r="W2291" s="77">
        <f>OrdersTable[[#This Row],[Quantity]]*OrdersTable[[#This Row],[Unit Cost]]</f>
        <v>90</v>
      </c>
      <c r="X2291" s="77">
        <f>'Dropdown Lists'!$I$2*(1+OrdersTable[[#This Row],[Returned]])</f>
        <v>60</v>
      </c>
      <c r="Y2291" s="76">
        <f>OrdersTable[[#This Row],[Net Revenue]]-OrdersTable[[#This Row],[COGS]]-OrdersTable[[#This Row],[Shipping Cost]]</f>
        <v>149</v>
      </c>
      <c r="Z2291" s="78">
        <f>IFERROR(OrdersTable[[#This Row],[Profit]]/OrdersTable[[#This Row],[Net Revenue]],0)</f>
        <v>0.49832775919732442</v>
      </c>
      <c r="AA2291" t="s">
        <v>3495</v>
      </c>
      <c r="AB2291" s="79">
        <v>45685</v>
      </c>
      <c r="AC2291">
        <f>OrdersTable[[#This Row],[Delivery Date]]-OrdersTable[[#This Row],[Order Date]]</f>
        <v>3</v>
      </c>
      <c r="AD2291" t="str">
        <f>IF(OrdersTable[[#This Row],[Delivery Days]]&lt;=2, "Express (≤2d)", IF(OrdersTable[[#This Row],[Delivery Days]]&lt;=4, "Standard (3-4d)", "Delayed (5d+)"))</f>
        <v>Standard (3-4d)</v>
      </c>
      <c r="AE2291">
        <v>4</v>
      </c>
      <c r="AF2291">
        <v>0</v>
      </c>
    </row>
    <row r="2292" spans="1:32" ht="15" x14ac:dyDescent="0.35">
      <c r="A2292" t="s">
        <v>1162</v>
      </c>
      <c r="B2292" s="1">
        <v>45682</v>
      </c>
      <c r="C2292">
        <f>YEAR(OrdersTable[[#This Row],[Order Date]])</f>
        <v>2025</v>
      </c>
      <c r="D2292" s="2">
        <f>DATE(YEAR(OrdersTable[[#This Row],[Order Date]]),MONTH(OrdersTable[[#This Row],[Order Date]]),1)</f>
        <v>45658</v>
      </c>
      <c r="E2292">
        <f>MONTH(OrdersTable[[#This Row],[Order Date]])</f>
        <v>1</v>
      </c>
      <c r="F2292" t="s">
        <v>1163</v>
      </c>
      <c r="G2292" t="str">
        <f>IF(OrdersTable[[#This Row],[Order Date]]=_xlfn.MINIFS(Order_Date, Customer_ID, OrdersTable[[#This Row],[Customer ID]]), "New", "Repeat")</f>
        <v>Repeat</v>
      </c>
      <c r="H2292" t="s">
        <v>275</v>
      </c>
      <c r="I2292" t="str">
        <f>INDEX(State!B:B,MATCH(OrdersTable[[#This Row],[State]],State!A:A,0))</f>
        <v>AP</v>
      </c>
      <c r="J2292" t="str">
        <f>INDEX(State!C:C,MATCH(OrdersTable[[#This Row],[State Code]],State!B:B,0))</f>
        <v>South</v>
      </c>
      <c r="K2292" t="s">
        <v>276</v>
      </c>
      <c r="L2292" t="s">
        <v>50</v>
      </c>
      <c r="M2292" t="s">
        <v>109</v>
      </c>
      <c r="N2292" t="str">
        <f>INDEX(Products!B:B,MATCH(OrdersTable[[#This Row],[Product ID]],Products!A:A,0))</f>
        <v>Onion Hair Oil</v>
      </c>
      <c r="O2292" t="str">
        <f>INDEX(Products!C:C,MATCH(OrdersTable[[#This Row],[Product ID]],Products!A:A,0))</f>
        <v>Haircare</v>
      </c>
      <c r="P2292">
        <v>1</v>
      </c>
      <c r="Q2292" s="5">
        <v>349</v>
      </c>
      <c r="R2292" s="74">
        <v>0.25</v>
      </c>
      <c r="S2292" s="75">
        <f>OrdersTable[[#This Row],[Quantity]]*OrdersTable[[#This Row],[Unit Price]]</f>
        <v>349</v>
      </c>
      <c r="T2292" s="5">
        <f>OrdersTable[[#This Row],[Gross Sale]]*OrdersTable[[#This Row],[Discount_Clean2]]</f>
        <v>87.25</v>
      </c>
      <c r="U2292" s="5">
        <f>OrdersTable[[#This Row],[Gross Sale]]-OrdersTable[[#This Row],[Discount Amount]]</f>
        <v>261.75</v>
      </c>
      <c r="V2292" s="77">
        <f>INDEX(Products!E:E,MATCH(OrdersTable[[#This Row],[Product ID]],Products!A:A,0))</f>
        <v>105</v>
      </c>
      <c r="W2292" s="77">
        <f>OrdersTable[[#This Row],[Quantity]]*OrdersTable[[#This Row],[Unit Cost]]</f>
        <v>105</v>
      </c>
      <c r="X2292" s="77">
        <f>'Dropdown Lists'!$I$2*(1+OrdersTable[[#This Row],[Returned]])</f>
        <v>120</v>
      </c>
      <c r="Y2292" s="76">
        <f>OrdersTable[[#This Row],[Net Revenue]]-OrdersTable[[#This Row],[COGS]]-OrdersTable[[#This Row],[Shipping Cost]]</f>
        <v>36.75</v>
      </c>
      <c r="Z2292" s="78">
        <f>IFERROR(OrdersTable[[#This Row],[Profit]]/OrdersTable[[#This Row],[Net Revenue]],0)</f>
        <v>0.14040114613180515</v>
      </c>
      <c r="AA2292" t="s">
        <v>18</v>
      </c>
      <c r="AB2292" s="79">
        <v>45685</v>
      </c>
      <c r="AC2292">
        <f>OrdersTable[[#This Row],[Delivery Date]]-OrdersTable[[#This Row],[Order Date]]</f>
        <v>3</v>
      </c>
      <c r="AD2292" t="str">
        <f>IF(OrdersTable[[#This Row],[Delivery Days]]&lt;=2, "Express (≤2d)", IF(OrdersTable[[#This Row],[Delivery Days]]&lt;=4, "Standard (3-4d)", "Delayed (5d+)"))</f>
        <v>Standard (3-4d)</v>
      </c>
      <c r="AF2292">
        <v>1</v>
      </c>
    </row>
    <row r="2293" spans="1:32" ht="15" x14ac:dyDescent="0.35">
      <c r="A2293" t="s">
        <v>3588</v>
      </c>
      <c r="B2293" s="1">
        <v>45683</v>
      </c>
      <c r="C2293">
        <f>YEAR(OrdersTable[[#This Row],[Order Date]])</f>
        <v>2025</v>
      </c>
      <c r="D2293" s="2">
        <f>DATE(YEAR(OrdersTable[[#This Row],[Order Date]]),MONTH(OrdersTable[[#This Row],[Order Date]]),1)</f>
        <v>45658</v>
      </c>
      <c r="E2293">
        <f>MONTH(OrdersTable[[#This Row],[Order Date]])</f>
        <v>1</v>
      </c>
      <c r="F2293" t="s">
        <v>1671</v>
      </c>
      <c r="G2293" t="str">
        <f>IF(OrdersTable[[#This Row],[Order Date]]=_xlfn.MINIFS(Order_Date, Customer_ID, OrdersTable[[#This Row],[Customer ID]]), "New", "Repeat")</f>
        <v>Repeat</v>
      </c>
      <c r="H2293" t="s">
        <v>21</v>
      </c>
      <c r="I2293" t="str">
        <f>INDEX(State!B:B,MATCH(OrdersTable[[#This Row],[State]],State!A:A,0))</f>
        <v>PB</v>
      </c>
      <c r="J2293" t="str">
        <f>INDEX(State!C:C,MATCH(OrdersTable[[#This Row],[State Code]],State!B:B,0))</f>
        <v>North</v>
      </c>
      <c r="K2293" t="s">
        <v>22</v>
      </c>
      <c r="L2293" t="s">
        <v>65</v>
      </c>
      <c r="M2293" t="s">
        <v>87</v>
      </c>
      <c r="N2293" t="str">
        <f>INDEX(Products!B:B,MATCH(OrdersTable[[#This Row],[Product ID]],Products!A:A,0))</f>
        <v>Linen Kurta</v>
      </c>
      <c r="O2293" t="str">
        <f>INDEX(Products!C:C,MATCH(OrdersTable[[#This Row],[Product ID]],Products!A:A,0))</f>
        <v>Apparel</v>
      </c>
      <c r="P2293">
        <v>1</v>
      </c>
      <c r="Q2293" s="5">
        <v>1499</v>
      </c>
      <c r="R2293" s="74">
        <v>0.25</v>
      </c>
      <c r="S2293" s="75">
        <f>OrdersTable[[#This Row],[Quantity]]*OrdersTable[[#This Row],[Unit Price]]</f>
        <v>1499</v>
      </c>
      <c r="T2293" s="5">
        <f>OrdersTable[[#This Row],[Gross Sale]]*OrdersTable[[#This Row],[Discount_Clean2]]</f>
        <v>374.75</v>
      </c>
      <c r="U2293" s="5">
        <f>OrdersTable[[#This Row],[Gross Sale]]-OrdersTable[[#This Row],[Discount Amount]]</f>
        <v>1124.25</v>
      </c>
      <c r="V2293" s="77">
        <f>INDEX(Products!E:E,MATCH(OrdersTable[[#This Row],[Product ID]],Products!A:A,0))</f>
        <v>630</v>
      </c>
      <c r="W2293" s="77">
        <f>OrdersTable[[#This Row],[Quantity]]*OrdersTable[[#This Row],[Unit Cost]]</f>
        <v>630</v>
      </c>
      <c r="X2293" s="77">
        <f>'Dropdown Lists'!$I$2*(1+OrdersTable[[#This Row],[Returned]])</f>
        <v>60</v>
      </c>
      <c r="Y2293" s="76">
        <f>OrdersTable[[#This Row],[Net Revenue]]-OrdersTable[[#This Row],[COGS]]-OrdersTable[[#This Row],[Shipping Cost]]</f>
        <v>434.25</v>
      </c>
      <c r="Z2293" s="78">
        <f>IFERROR(OrdersTable[[#This Row],[Profit]]/OrdersTable[[#This Row],[Net Revenue]],0)</f>
        <v>0.38625750500333556</v>
      </c>
      <c r="AA2293" t="s">
        <v>3495</v>
      </c>
      <c r="AB2293" s="79">
        <v>45687</v>
      </c>
      <c r="AC2293">
        <f>OrdersTable[[#This Row],[Delivery Date]]-OrdersTable[[#This Row],[Order Date]]</f>
        <v>4</v>
      </c>
      <c r="AD2293" t="str">
        <f>IF(OrdersTable[[#This Row],[Delivery Days]]&lt;=2, "Express (≤2d)", IF(OrdersTable[[#This Row],[Delivery Days]]&lt;=4, "Standard (3-4d)", "Delayed (5d+)"))</f>
        <v>Standard (3-4d)</v>
      </c>
      <c r="AE2293">
        <v>4</v>
      </c>
      <c r="AF2293">
        <v>0</v>
      </c>
    </row>
    <row r="2294" spans="1:32" ht="15" x14ac:dyDescent="0.35">
      <c r="A2294" t="s">
        <v>4503</v>
      </c>
      <c r="B2294" s="1">
        <v>45683</v>
      </c>
      <c r="C2294">
        <f>YEAR(OrdersTable[[#This Row],[Order Date]])</f>
        <v>2025</v>
      </c>
      <c r="D2294" s="2">
        <f>DATE(YEAR(OrdersTable[[#This Row],[Order Date]]),MONTH(OrdersTable[[#This Row],[Order Date]]),1)</f>
        <v>45658</v>
      </c>
      <c r="E2294">
        <f>MONTH(OrdersTable[[#This Row],[Order Date]])</f>
        <v>1</v>
      </c>
      <c r="F2294" t="s">
        <v>358</v>
      </c>
      <c r="G2294" t="str">
        <f>IF(OrdersTable[[#This Row],[Order Date]]=_xlfn.MINIFS(Order_Date, Customer_ID, OrdersTable[[#This Row],[Customer ID]]), "New", "Repeat")</f>
        <v>Repeat</v>
      </c>
      <c r="H2294" t="s">
        <v>54</v>
      </c>
      <c r="I2294" t="str">
        <f>INDEX(State!B:B,MATCH(OrdersTable[[#This Row],[State]],State!A:A,0))</f>
        <v>RJ</v>
      </c>
      <c r="J2294" t="str">
        <f>INDEX(State!C:C,MATCH(OrdersTable[[#This Row],[State Code]],State!B:B,0))</f>
        <v>North</v>
      </c>
      <c r="K2294" t="s">
        <v>55</v>
      </c>
      <c r="L2294" t="s">
        <v>16</v>
      </c>
      <c r="M2294" t="s">
        <v>34</v>
      </c>
      <c r="N2294" t="str">
        <f>INDEX(Products!B:B,MATCH(OrdersTable[[#This Row],[Product ID]],Products!A:A,0))</f>
        <v>Flip Flops</v>
      </c>
      <c r="O2294" t="str">
        <f>INDEX(Products!C:C,MATCH(OrdersTable[[#This Row],[Product ID]],Products!A:A,0))</f>
        <v>Footwear</v>
      </c>
      <c r="P2294">
        <v>1</v>
      </c>
      <c r="Q2294" s="5">
        <v>399</v>
      </c>
      <c r="R2294" s="74">
        <v>0.1</v>
      </c>
      <c r="S2294" s="75">
        <f>OrdersTable[[#This Row],[Quantity]]*OrdersTable[[#This Row],[Unit Price]]</f>
        <v>399</v>
      </c>
      <c r="T2294" s="5">
        <f>OrdersTable[[#This Row],[Gross Sale]]*OrdersTable[[#This Row],[Discount_Clean2]]</f>
        <v>39.900000000000006</v>
      </c>
      <c r="U2294" s="5">
        <f>OrdersTable[[#This Row],[Gross Sale]]-OrdersTable[[#This Row],[Discount Amount]]</f>
        <v>359.1</v>
      </c>
      <c r="V2294" s="77">
        <f>INDEX(Products!E:E,MATCH(OrdersTable[[#This Row],[Product ID]],Products!A:A,0))</f>
        <v>152</v>
      </c>
      <c r="W2294" s="77">
        <f>OrdersTable[[#This Row],[Quantity]]*OrdersTable[[#This Row],[Unit Cost]]</f>
        <v>152</v>
      </c>
      <c r="X2294" s="77">
        <f>'Dropdown Lists'!$I$2*(1+OrdersTable[[#This Row],[Returned]])</f>
        <v>60</v>
      </c>
      <c r="Y2294" s="76">
        <f>OrdersTable[[#This Row],[Net Revenue]]-OrdersTable[[#This Row],[COGS]]-OrdersTable[[#This Row],[Shipping Cost]]</f>
        <v>147.10000000000002</v>
      </c>
      <c r="Z2294" s="78">
        <f>IFERROR(OrdersTable[[#This Row],[Profit]]/OrdersTable[[#This Row],[Net Revenue]],0)</f>
        <v>0.40963519910888335</v>
      </c>
      <c r="AA2294" t="s">
        <v>4450</v>
      </c>
      <c r="AB2294" s="79">
        <v>45688</v>
      </c>
      <c r="AC2294">
        <f>OrdersTable[[#This Row],[Delivery Date]]-OrdersTable[[#This Row],[Order Date]]</f>
        <v>5</v>
      </c>
      <c r="AD2294" t="str">
        <f>IF(OrdersTable[[#This Row],[Delivery Days]]&lt;=2, "Express (≤2d)", IF(OrdersTable[[#This Row],[Delivery Days]]&lt;=4, "Standard (3-4d)", "Delayed (5d+)"))</f>
        <v>Delayed (5d+)</v>
      </c>
      <c r="AE2294">
        <v>4</v>
      </c>
      <c r="AF2294">
        <v>0</v>
      </c>
    </row>
    <row r="2295" spans="1:32" ht="15" x14ac:dyDescent="0.35">
      <c r="A2295" t="s">
        <v>4690</v>
      </c>
      <c r="B2295" s="1">
        <v>45683</v>
      </c>
      <c r="C2295">
        <f>YEAR(OrdersTable[[#This Row],[Order Date]])</f>
        <v>2025</v>
      </c>
      <c r="D2295" s="2">
        <f>DATE(YEAR(OrdersTable[[#This Row],[Order Date]]),MONTH(OrdersTable[[#This Row],[Order Date]]),1)</f>
        <v>45658</v>
      </c>
      <c r="E2295">
        <f>MONTH(OrdersTable[[#This Row],[Order Date]])</f>
        <v>1</v>
      </c>
      <c r="F2295" t="s">
        <v>4095</v>
      </c>
      <c r="G2295" t="str">
        <f>IF(OrdersTable[[#This Row],[Order Date]]=_xlfn.MINIFS(Order_Date, Customer_ID, OrdersTable[[#This Row],[Customer ID]]), "New", "Repeat")</f>
        <v>Repeat</v>
      </c>
      <c r="H2295" t="s">
        <v>54</v>
      </c>
      <c r="I2295" t="str">
        <f>INDEX(State!B:B,MATCH(OrdersTable[[#This Row],[State]],State!A:A,0))</f>
        <v>RJ</v>
      </c>
      <c r="J2295" t="str">
        <f>INDEX(State!C:C,MATCH(OrdersTable[[#This Row],[State Code]],State!B:B,0))</f>
        <v>North</v>
      </c>
      <c r="K2295" t="s">
        <v>227</v>
      </c>
      <c r="L2295" t="s">
        <v>65</v>
      </c>
      <c r="M2295" t="s">
        <v>92</v>
      </c>
      <c r="N2295" t="str">
        <f>INDEX(Products!B:B,MATCH(OrdersTable[[#This Row],[Product ID]],Products!A:A,0))</f>
        <v>Kolhapuri Sandals</v>
      </c>
      <c r="O2295" t="str">
        <f>INDEX(Products!C:C,MATCH(OrdersTable[[#This Row],[Product ID]],Products!A:A,0))</f>
        <v>Footwear</v>
      </c>
      <c r="P2295">
        <v>1</v>
      </c>
      <c r="Q2295" s="5">
        <v>999</v>
      </c>
      <c r="R2295" s="74">
        <v>0.05</v>
      </c>
      <c r="S2295" s="75">
        <f>OrdersTable[[#This Row],[Quantity]]*OrdersTable[[#This Row],[Unit Price]]</f>
        <v>999</v>
      </c>
      <c r="T2295" s="5">
        <f>OrdersTable[[#This Row],[Gross Sale]]*OrdersTable[[#This Row],[Discount_Clean2]]</f>
        <v>49.95</v>
      </c>
      <c r="U2295" s="5">
        <f>OrdersTable[[#This Row],[Gross Sale]]-OrdersTable[[#This Row],[Discount Amount]]</f>
        <v>949.05</v>
      </c>
      <c r="V2295" s="77">
        <f>INDEX(Products!E:E,MATCH(OrdersTable[[#This Row],[Product ID]],Products!A:A,0))</f>
        <v>400</v>
      </c>
      <c r="W2295" s="77">
        <f>OrdersTable[[#This Row],[Quantity]]*OrdersTable[[#This Row],[Unit Cost]]</f>
        <v>400</v>
      </c>
      <c r="X2295" s="77">
        <f>'Dropdown Lists'!$I$2*(1+OrdersTable[[#This Row],[Returned]])</f>
        <v>60</v>
      </c>
      <c r="Y2295" s="76">
        <f>OrdersTable[[#This Row],[Net Revenue]]-OrdersTable[[#This Row],[COGS]]-OrdersTable[[#This Row],[Shipping Cost]]</f>
        <v>489.04999999999995</v>
      </c>
      <c r="Z2295" s="78">
        <f>IFERROR(OrdersTable[[#This Row],[Profit]]/OrdersTable[[#This Row],[Net Revenue]],0)</f>
        <v>0.5153047784626732</v>
      </c>
      <c r="AA2295" t="s">
        <v>4450</v>
      </c>
      <c r="AB2295" s="79">
        <v>45687</v>
      </c>
      <c r="AC2295">
        <f>OrdersTable[[#This Row],[Delivery Date]]-OrdersTable[[#This Row],[Order Date]]</f>
        <v>4</v>
      </c>
      <c r="AD2295" t="str">
        <f>IF(OrdersTable[[#This Row],[Delivery Days]]&lt;=2, "Express (≤2d)", IF(OrdersTable[[#This Row],[Delivery Days]]&lt;=4, "Standard (3-4d)", "Delayed (5d+)"))</f>
        <v>Standard (3-4d)</v>
      </c>
      <c r="AE2295">
        <v>5</v>
      </c>
      <c r="AF2295">
        <v>0</v>
      </c>
    </row>
    <row r="2296" spans="1:32" ht="15" x14ac:dyDescent="0.35">
      <c r="A2296" t="s">
        <v>566</v>
      </c>
      <c r="B2296" s="1">
        <v>45683</v>
      </c>
      <c r="C2296">
        <f>YEAR(OrdersTable[[#This Row],[Order Date]])</f>
        <v>2025</v>
      </c>
      <c r="D2296" s="2">
        <f>DATE(YEAR(OrdersTable[[#This Row],[Order Date]]),MONTH(OrdersTable[[#This Row],[Order Date]]),1)</f>
        <v>45658</v>
      </c>
      <c r="E2296">
        <f>MONTH(OrdersTable[[#This Row],[Order Date]])</f>
        <v>1</v>
      </c>
      <c r="F2296" t="s">
        <v>567</v>
      </c>
      <c r="G2296" t="str">
        <f>IF(OrdersTable[[#This Row],[Order Date]]=_xlfn.MINIFS(Order_Date, Customer_ID, OrdersTable[[#This Row],[Customer ID]]), "New", "Repeat")</f>
        <v>New</v>
      </c>
      <c r="H2296" t="s">
        <v>37</v>
      </c>
      <c r="I2296" t="str">
        <f>INDEX(State!B:B,MATCH(OrdersTable[[#This Row],[State]],State!A:A,0))</f>
        <v>GJ</v>
      </c>
      <c r="J2296" t="str">
        <f>INDEX(State!C:C,MATCH(OrdersTable[[#This Row],[State Code]],State!B:B,0))</f>
        <v>West</v>
      </c>
      <c r="K2296" t="s">
        <v>38</v>
      </c>
      <c r="L2296" t="s">
        <v>65</v>
      </c>
      <c r="M2296" t="s">
        <v>87</v>
      </c>
      <c r="N2296" t="str">
        <f>INDEX(Products!B:B,MATCH(OrdersTable[[#This Row],[Product ID]],Products!A:A,0))</f>
        <v>Linen Kurta</v>
      </c>
      <c r="O2296" t="str">
        <f>INDEX(Products!C:C,MATCH(OrdersTable[[#This Row],[Product ID]],Products!A:A,0))</f>
        <v>Apparel</v>
      </c>
      <c r="P2296">
        <v>1</v>
      </c>
      <c r="Q2296" s="5">
        <v>1499</v>
      </c>
      <c r="R2296" s="74">
        <v>0.25</v>
      </c>
      <c r="S2296" s="75">
        <f>OrdersTable[[#This Row],[Quantity]]*OrdersTable[[#This Row],[Unit Price]]</f>
        <v>1499</v>
      </c>
      <c r="T2296" s="5">
        <f>OrdersTable[[#This Row],[Gross Sale]]*OrdersTable[[#This Row],[Discount_Clean2]]</f>
        <v>374.75</v>
      </c>
      <c r="U2296" s="5">
        <f>OrdersTable[[#This Row],[Gross Sale]]-OrdersTable[[#This Row],[Discount Amount]]</f>
        <v>1124.25</v>
      </c>
      <c r="V2296" s="77">
        <f>INDEX(Products!E:E,MATCH(OrdersTable[[#This Row],[Product ID]],Products!A:A,0))</f>
        <v>630</v>
      </c>
      <c r="W2296" s="77">
        <f>OrdersTable[[#This Row],[Quantity]]*OrdersTable[[#This Row],[Unit Cost]]</f>
        <v>630</v>
      </c>
      <c r="X2296" s="77">
        <f>'Dropdown Lists'!$I$2*(1+OrdersTable[[#This Row],[Returned]])</f>
        <v>60</v>
      </c>
      <c r="Y2296" s="76">
        <f>OrdersTable[[#This Row],[Net Revenue]]-OrdersTable[[#This Row],[COGS]]-OrdersTable[[#This Row],[Shipping Cost]]</f>
        <v>434.25</v>
      </c>
      <c r="Z2296" s="78">
        <f>IFERROR(OrdersTable[[#This Row],[Profit]]/OrdersTable[[#This Row],[Net Revenue]],0)</f>
        <v>0.38625750500333556</v>
      </c>
      <c r="AA2296" t="s">
        <v>18</v>
      </c>
      <c r="AB2296" s="79">
        <v>45686</v>
      </c>
      <c r="AC2296">
        <f>OrdersTable[[#This Row],[Delivery Date]]-OrdersTable[[#This Row],[Order Date]]</f>
        <v>3</v>
      </c>
      <c r="AD2296" t="str">
        <f>IF(OrdersTable[[#This Row],[Delivery Days]]&lt;=2, "Express (≤2d)", IF(OrdersTable[[#This Row],[Delivery Days]]&lt;=4, "Standard (3-4d)", "Delayed (5d+)"))</f>
        <v>Standard (3-4d)</v>
      </c>
      <c r="AE2296">
        <v>4</v>
      </c>
      <c r="AF2296">
        <v>0</v>
      </c>
    </row>
    <row r="2297" spans="1:32" ht="15" x14ac:dyDescent="0.35">
      <c r="A2297" t="s">
        <v>3895</v>
      </c>
      <c r="B2297" s="1">
        <v>45683</v>
      </c>
      <c r="C2297">
        <f>YEAR(OrdersTable[[#This Row],[Order Date]])</f>
        <v>2025</v>
      </c>
      <c r="D2297" s="2">
        <f>DATE(YEAR(OrdersTable[[#This Row],[Order Date]]),MONTH(OrdersTable[[#This Row],[Order Date]]),1)</f>
        <v>45658</v>
      </c>
      <c r="E2297">
        <f>MONTH(OrdersTable[[#This Row],[Order Date]])</f>
        <v>1</v>
      </c>
      <c r="F2297" t="s">
        <v>905</v>
      </c>
      <c r="G2297" t="str">
        <f>IF(OrdersTable[[#This Row],[Order Date]]=_xlfn.MINIFS(Order_Date, Customer_ID, OrdersTable[[#This Row],[Customer ID]]), "New", "Repeat")</f>
        <v>Repeat</v>
      </c>
      <c r="H2297" t="s">
        <v>27</v>
      </c>
      <c r="I2297" t="str">
        <f>INDEX(State!B:B,MATCH(OrdersTable[[#This Row],[State]],State!A:A,0))</f>
        <v>WB</v>
      </c>
      <c r="J2297" t="str">
        <f>INDEX(State!C:C,MATCH(OrdersTable[[#This Row],[State Code]],State!B:B,0))</f>
        <v>East</v>
      </c>
      <c r="K2297" t="s">
        <v>28</v>
      </c>
      <c r="L2297" t="s">
        <v>39</v>
      </c>
      <c r="M2297" t="s">
        <v>78</v>
      </c>
      <c r="N2297" t="str">
        <f>INDEX(Products!B:B,MATCH(OrdersTable[[#This Row],[Product ID]],Products!A:A,0))</f>
        <v>Retinol Night Cream</v>
      </c>
      <c r="O2297" t="str">
        <f>INDEX(Products!C:C,MATCH(OrdersTable[[#This Row],[Product ID]],Products!A:A,0))</f>
        <v>Skincare</v>
      </c>
      <c r="P2297">
        <v>1</v>
      </c>
      <c r="Q2297" s="5">
        <v>799</v>
      </c>
      <c r="R2297" s="74">
        <v>0</v>
      </c>
      <c r="S2297" s="75">
        <f>OrdersTable[[#This Row],[Quantity]]*OrdersTable[[#This Row],[Unit Price]]</f>
        <v>799</v>
      </c>
      <c r="T2297" s="5">
        <f>OrdersTable[[#This Row],[Gross Sale]]*OrdersTable[[#This Row],[Discount_Clean2]]</f>
        <v>0</v>
      </c>
      <c r="U2297" s="5">
        <f>OrdersTable[[#This Row],[Gross Sale]]-OrdersTable[[#This Row],[Discount Amount]]</f>
        <v>799</v>
      </c>
      <c r="V2297" s="77">
        <f>INDEX(Products!E:E,MATCH(OrdersTable[[#This Row],[Product ID]],Products!A:A,0))</f>
        <v>216</v>
      </c>
      <c r="W2297" s="77">
        <f>OrdersTable[[#This Row],[Quantity]]*OrdersTable[[#This Row],[Unit Cost]]</f>
        <v>216</v>
      </c>
      <c r="X2297" s="77">
        <f>'Dropdown Lists'!$I$2*(1+OrdersTable[[#This Row],[Returned]])</f>
        <v>120</v>
      </c>
      <c r="Y2297" s="76">
        <f>OrdersTable[[#This Row],[Net Revenue]]-OrdersTable[[#This Row],[COGS]]-OrdersTable[[#This Row],[Shipping Cost]]</f>
        <v>463</v>
      </c>
      <c r="Z2297" s="78">
        <f>IFERROR(OrdersTable[[#This Row],[Profit]]/OrdersTable[[#This Row],[Net Revenue]],0)</f>
        <v>0.57947434292866085</v>
      </c>
      <c r="AA2297" t="s">
        <v>3495</v>
      </c>
      <c r="AB2297" s="79">
        <v>45687</v>
      </c>
      <c r="AC2297">
        <f>OrdersTable[[#This Row],[Delivery Date]]-OrdersTable[[#This Row],[Order Date]]</f>
        <v>4</v>
      </c>
      <c r="AD2297" t="str">
        <f>IF(OrdersTable[[#This Row],[Delivery Days]]&lt;=2, "Express (≤2d)", IF(OrdersTable[[#This Row],[Delivery Days]]&lt;=4, "Standard (3-4d)", "Delayed (5d+)"))</f>
        <v>Standard (3-4d)</v>
      </c>
      <c r="AE2297">
        <v>3</v>
      </c>
      <c r="AF2297">
        <v>1</v>
      </c>
    </row>
    <row r="2298" spans="1:32" ht="15" x14ac:dyDescent="0.35">
      <c r="A2298" t="s">
        <v>251</v>
      </c>
      <c r="B2298" s="1">
        <v>45683</v>
      </c>
      <c r="C2298">
        <f>YEAR(OrdersTable[[#This Row],[Order Date]])</f>
        <v>2025</v>
      </c>
      <c r="D2298" s="2">
        <f>DATE(YEAR(OrdersTable[[#This Row],[Order Date]]),MONTH(OrdersTable[[#This Row],[Order Date]]),1)</f>
        <v>45658</v>
      </c>
      <c r="E2298">
        <f>MONTH(OrdersTable[[#This Row],[Order Date]])</f>
        <v>1</v>
      </c>
      <c r="F2298" t="s">
        <v>252</v>
      </c>
      <c r="G2298" t="str">
        <f>IF(OrdersTable[[#This Row],[Order Date]]=_xlfn.MINIFS(Order_Date, Customer_ID, OrdersTable[[#This Row],[Customer ID]]), "New", "Repeat")</f>
        <v>Repeat</v>
      </c>
      <c r="H2298" t="s">
        <v>71</v>
      </c>
      <c r="I2298" t="str">
        <f>INDEX(State!B:B,MATCH(OrdersTable[[#This Row],[State]],State!A:A,0))</f>
        <v>MH</v>
      </c>
      <c r="J2298" t="str">
        <f>INDEX(State!C:C,MATCH(OrdersTable[[#This Row],[State Code]],State!B:B,0))</f>
        <v>West</v>
      </c>
      <c r="K2298" t="s">
        <v>72</v>
      </c>
      <c r="L2298" t="s">
        <v>65</v>
      </c>
      <c r="M2298" t="s">
        <v>160</v>
      </c>
      <c r="N2298" t="str">
        <f>INDEX(Products!B:B,MATCH(OrdersTable[[#This Row],[Product ID]],Products!A:A,0))</f>
        <v>Niacinamide Toner</v>
      </c>
      <c r="O2298" t="str">
        <f>INDEX(Products!C:C,MATCH(OrdersTable[[#This Row],[Product ID]],Products!A:A,0))</f>
        <v>Skincare</v>
      </c>
      <c r="P2298">
        <v>1</v>
      </c>
      <c r="Q2298" s="5">
        <v>399</v>
      </c>
      <c r="R2298" s="74">
        <v>0.25</v>
      </c>
      <c r="S2298" s="75">
        <f>OrdersTable[[#This Row],[Quantity]]*OrdersTable[[#This Row],[Unit Price]]</f>
        <v>399</v>
      </c>
      <c r="T2298" s="5">
        <f>OrdersTable[[#This Row],[Gross Sale]]*OrdersTable[[#This Row],[Discount_Clean2]]</f>
        <v>99.75</v>
      </c>
      <c r="U2298" s="5">
        <f>OrdersTable[[#This Row],[Gross Sale]]-OrdersTable[[#This Row],[Discount Amount]]</f>
        <v>299.25</v>
      </c>
      <c r="V2298" s="77">
        <f>INDEX(Products!E:E,MATCH(OrdersTable[[#This Row],[Product ID]],Products!A:A,0))</f>
        <v>112</v>
      </c>
      <c r="W2298" s="77">
        <f>OrdersTable[[#This Row],[Quantity]]*OrdersTable[[#This Row],[Unit Cost]]</f>
        <v>112</v>
      </c>
      <c r="X2298" s="77">
        <f>'Dropdown Lists'!$I$2*(1+OrdersTable[[#This Row],[Returned]])</f>
        <v>60</v>
      </c>
      <c r="Y2298" s="76">
        <f>OrdersTable[[#This Row],[Net Revenue]]-OrdersTable[[#This Row],[COGS]]-OrdersTable[[#This Row],[Shipping Cost]]</f>
        <v>127.25</v>
      </c>
      <c r="Z2298" s="78">
        <f>IFERROR(OrdersTable[[#This Row],[Profit]]/OrdersTable[[#This Row],[Net Revenue]],0)</f>
        <v>0.42522974101921468</v>
      </c>
      <c r="AA2298" t="s">
        <v>18</v>
      </c>
      <c r="AB2298" s="79">
        <v>45684</v>
      </c>
      <c r="AC2298">
        <f>OrdersTable[[#This Row],[Delivery Date]]-OrdersTable[[#This Row],[Order Date]]</f>
        <v>1</v>
      </c>
      <c r="AD2298" t="str">
        <f>IF(OrdersTable[[#This Row],[Delivery Days]]&lt;=2, "Express (≤2d)", IF(OrdersTable[[#This Row],[Delivery Days]]&lt;=4, "Standard (3-4d)", "Delayed (5d+)"))</f>
        <v>Express (≤2d)</v>
      </c>
      <c r="AE2298">
        <v>4</v>
      </c>
      <c r="AF2298">
        <v>0</v>
      </c>
    </row>
    <row r="2299" spans="1:32" ht="15" x14ac:dyDescent="0.35">
      <c r="A2299" t="s">
        <v>1949</v>
      </c>
      <c r="B2299" s="1">
        <v>45684</v>
      </c>
      <c r="C2299">
        <f>YEAR(OrdersTable[[#This Row],[Order Date]])</f>
        <v>2025</v>
      </c>
      <c r="D2299" s="2">
        <f>DATE(YEAR(OrdersTable[[#This Row],[Order Date]]),MONTH(OrdersTable[[#This Row],[Order Date]]),1)</f>
        <v>45658</v>
      </c>
      <c r="E2299">
        <f>MONTH(OrdersTable[[#This Row],[Order Date]])</f>
        <v>1</v>
      </c>
      <c r="F2299" t="s">
        <v>1374</v>
      </c>
      <c r="G2299" t="str">
        <f>IF(OrdersTable[[#This Row],[Order Date]]=_xlfn.MINIFS(Order_Date, Customer_ID, OrdersTable[[#This Row],[Customer ID]]), "New", "Repeat")</f>
        <v>Repeat</v>
      </c>
      <c r="H2299" t="s">
        <v>210</v>
      </c>
      <c r="I2299" t="str">
        <f>INDEX(State!B:B,MATCH(OrdersTable[[#This Row],[State]],State!A:A,0))</f>
        <v>JK</v>
      </c>
      <c r="J2299" t="str">
        <f>INDEX(State!C:C,MATCH(OrdersTable[[#This Row],[State Code]],State!B:B,0))</f>
        <v>North</v>
      </c>
      <c r="K2299" t="s">
        <v>211</v>
      </c>
      <c r="L2299" t="s">
        <v>65</v>
      </c>
      <c r="M2299" t="s">
        <v>255</v>
      </c>
      <c r="N2299" t="str">
        <f>INDEX(Products!B:B,MATCH(OrdersTable[[#This Row],[Product ID]],Products!A:A,0))</f>
        <v>Cotton Oversized T-Shirt</v>
      </c>
      <c r="O2299" t="str">
        <f>INDEX(Products!C:C,MATCH(OrdersTable[[#This Row],[Product ID]],Products!A:A,0))</f>
        <v>Apparel</v>
      </c>
      <c r="P2299">
        <v>1</v>
      </c>
      <c r="Q2299" s="5">
        <v>799</v>
      </c>
      <c r="R2299" s="74">
        <v>0.05</v>
      </c>
      <c r="S2299" s="75">
        <f>OrdersTable[[#This Row],[Quantity]]*OrdersTable[[#This Row],[Unit Price]]</f>
        <v>799</v>
      </c>
      <c r="T2299" s="5">
        <f>OrdersTable[[#This Row],[Gross Sale]]*OrdersTable[[#This Row],[Discount_Clean2]]</f>
        <v>39.950000000000003</v>
      </c>
      <c r="U2299" s="5">
        <f>OrdersTable[[#This Row],[Gross Sale]]-OrdersTable[[#This Row],[Discount Amount]]</f>
        <v>759.05</v>
      </c>
      <c r="V2299" s="77">
        <f>INDEX(Products!E:E,MATCH(OrdersTable[[#This Row],[Product ID]],Products!A:A,0))</f>
        <v>320</v>
      </c>
      <c r="W2299" s="77">
        <f>OrdersTable[[#This Row],[Quantity]]*OrdersTable[[#This Row],[Unit Cost]]</f>
        <v>320</v>
      </c>
      <c r="X2299" s="77">
        <f>'Dropdown Lists'!$I$2*(1+OrdersTable[[#This Row],[Returned]])</f>
        <v>60</v>
      </c>
      <c r="Y2299" s="76">
        <f>OrdersTable[[#This Row],[Net Revenue]]-OrdersTable[[#This Row],[COGS]]-OrdersTable[[#This Row],[Shipping Cost]]</f>
        <v>379.04999999999995</v>
      </c>
      <c r="Z2299" s="78">
        <f>IFERROR(OrdersTable[[#This Row],[Profit]]/OrdersTable[[#This Row],[Net Revenue]],0)</f>
        <v>0.49937421777221525</v>
      </c>
      <c r="AA2299" t="s">
        <v>18</v>
      </c>
      <c r="AB2299" s="79">
        <v>45689</v>
      </c>
      <c r="AC2299">
        <f>OrdersTable[[#This Row],[Delivery Date]]-OrdersTable[[#This Row],[Order Date]]</f>
        <v>5</v>
      </c>
      <c r="AD2299" t="str">
        <f>IF(OrdersTable[[#This Row],[Delivery Days]]&lt;=2, "Express (≤2d)", IF(OrdersTable[[#This Row],[Delivery Days]]&lt;=4, "Standard (3-4d)", "Delayed (5d+)"))</f>
        <v>Delayed (5d+)</v>
      </c>
      <c r="AE2299">
        <v>3</v>
      </c>
      <c r="AF2299">
        <v>0</v>
      </c>
    </row>
    <row r="2300" spans="1:32" ht="15" x14ac:dyDescent="0.35">
      <c r="A2300" t="s">
        <v>2354</v>
      </c>
      <c r="B2300" s="1">
        <v>45684</v>
      </c>
      <c r="C2300">
        <f>YEAR(OrdersTable[[#This Row],[Order Date]])</f>
        <v>2025</v>
      </c>
      <c r="D2300" s="2">
        <f>DATE(YEAR(OrdersTable[[#This Row],[Order Date]]),MONTH(OrdersTable[[#This Row],[Order Date]]),1)</f>
        <v>45658</v>
      </c>
      <c r="E2300">
        <f>MONTH(OrdersTable[[#This Row],[Order Date]])</f>
        <v>1</v>
      </c>
      <c r="F2300" t="s">
        <v>2355</v>
      </c>
      <c r="G2300" t="str">
        <f>IF(OrdersTable[[#This Row],[Order Date]]=_xlfn.MINIFS(Order_Date, Customer_ID, OrdersTable[[#This Row],[Customer ID]]), "New", "Repeat")</f>
        <v>New</v>
      </c>
      <c r="H2300" t="s">
        <v>184</v>
      </c>
      <c r="I2300" t="str">
        <f>INDEX(State!B:B,MATCH(OrdersTable[[#This Row],[State]],State!A:A,0))</f>
        <v>UK</v>
      </c>
      <c r="J2300" t="str">
        <f>INDEX(State!C:C,MATCH(OrdersTable[[#This Row],[State Code]],State!B:B,0))</f>
        <v>North</v>
      </c>
      <c r="K2300" t="s">
        <v>185</v>
      </c>
      <c r="L2300" t="s">
        <v>23</v>
      </c>
      <c r="M2300" t="s">
        <v>173</v>
      </c>
      <c r="N2300" t="str">
        <f>INDEX(Products!B:B,MATCH(OrdersTable[[#This Row],[Product ID]],Products!A:A,0))</f>
        <v>Wireless Earbuds</v>
      </c>
      <c r="O2300" t="str">
        <f>INDEX(Products!C:C,MATCH(OrdersTable[[#This Row],[Product ID]],Products!A:A,0))</f>
        <v>Electronics</v>
      </c>
      <c r="P2300">
        <v>1</v>
      </c>
      <c r="Q2300" s="5">
        <v>1999</v>
      </c>
      <c r="R2300" s="74">
        <v>0.4</v>
      </c>
      <c r="S2300" s="75">
        <f>OrdersTable[[#This Row],[Quantity]]*OrdersTable[[#This Row],[Unit Price]]</f>
        <v>1999</v>
      </c>
      <c r="T2300" s="5">
        <f>OrdersTable[[#This Row],[Gross Sale]]*OrdersTable[[#This Row],[Discount_Clean2]]</f>
        <v>799.6</v>
      </c>
      <c r="U2300" s="5">
        <f>OrdersTable[[#This Row],[Gross Sale]]-OrdersTable[[#This Row],[Discount Amount]]</f>
        <v>1199.4000000000001</v>
      </c>
      <c r="V2300" s="77">
        <f>INDEX(Products!E:E,MATCH(OrdersTable[[#This Row],[Product ID]],Products!A:A,0))</f>
        <v>1239</v>
      </c>
      <c r="W2300" s="77">
        <f>OrdersTable[[#This Row],[Quantity]]*OrdersTable[[#This Row],[Unit Cost]]</f>
        <v>1239</v>
      </c>
      <c r="X2300" s="77">
        <f>'Dropdown Lists'!$I$2*(1+OrdersTable[[#This Row],[Returned]])</f>
        <v>60</v>
      </c>
      <c r="Y2300" s="76">
        <f>OrdersTable[[#This Row],[Net Revenue]]-OrdersTable[[#This Row],[COGS]]-OrdersTable[[#This Row],[Shipping Cost]]</f>
        <v>-99.599999999999909</v>
      </c>
      <c r="Z2300" s="78">
        <f>IFERROR(OrdersTable[[#This Row],[Profit]]/OrdersTable[[#This Row],[Net Revenue]],0)</f>
        <v>-8.3041520760380114E-2</v>
      </c>
      <c r="AA2300" t="s">
        <v>18</v>
      </c>
      <c r="AB2300" s="79">
        <v>45687</v>
      </c>
      <c r="AC2300">
        <f>OrdersTable[[#This Row],[Delivery Date]]-OrdersTable[[#This Row],[Order Date]]</f>
        <v>3</v>
      </c>
      <c r="AD2300" t="str">
        <f>IF(OrdersTable[[#This Row],[Delivery Days]]&lt;=2, "Express (≤2d)", IF(OrdersTable[[#This Row],[Delivery Days]]&lt;=4, "Standard (3-4d)", "Delayed (5d+)"))</f>
        <v>Standard (3-4d)</v>
      </c>
      <c r="AE2300">
        <v>5</v>
      </c>
      <c r="AF2300">
        <v>0</v>
      </c>
    </row>
    <row r="2301" spans="1:32" ht="15" x14ac:dyDescent="0.35">
      <c r="A2301" t="s">
        <v>3250</v>
      </c>
      <c r="B2301" s="1">
        <v>45684</v>
      </c>
      <c r="C2301">
        <f>YEAR(OrdersTable[[#This Row],[Order Date]])</f>
        <v>2025</v>
      </c>
      <c r="D2301" s="2">
        <f>DATE(YEAR(OrdersTable[[#This Row],[Order Date]]),MONTH(OrdersTable[[#This Row],[Order Date]]),1)</f>
        <v>45658</v>
      </c>
      <c r="E2301">
        <f>MONTH(OrdersTable[[#This Row],[Order Date]])</f>
        <v>1</v>
      </c>
      <c r="F2301" t="s">
        <v>3251</v>
      </c>
      <c r="G2301" t="str">
        <f>IF(OrdersTable[[#This Row],[Order Date]]=_xlfn.MINIFS(Order_Date, Customer_ID, OrdersTable[[#This Row],[Customer ID]]), "New", "Repeat")</f>
        <v>Repeat</v>
      </c>
      <c r="H2301" t="s">
        <v>54</v>
      </c>
      <c r="I2301" t="str">
        <f>INDEX(State!B:B,MATCH(OrdersTable[[#This Row],[State]],State!A:A,0))</f>
        <v>RJ</v>
      </c>
      <c r="J2301" t="str">
        <f>INDEX(State!C:C,MATCH(OrdersTable[[#This Row],[State Code]],State!B:B,0))</f>
        <v>North</v>
      </c>
      <c r="K2301" t="s">
        <v>227</v>
      </c>
      <c r="L2301" t="s">
        <v>23</v>
      </c>
      <c r="M2301" t="s">
        <v>148</v>
      </c>
      <c r="N2301" t="str">
        <f>INDEX(Products!B:B,MATCH(OrdersTable[[#This Row],[Product ID]],Products!A:A,0))</f>
        <v>Smartwatch Strap</v>
      </c>
      <c r="O2301" t="str">
        <f>INDEX(Products!C:C,MATCH(OrdersTable[[#This Row],[Product ID]],Products!A:A,0))</f>
        <v>Electronics</v>
      </c>
      <c r="P2301">
        <v>1</v>
      </c>
      <c r="Q2301" s="5">
        <v>499</v>
      </c>
      <c r="R2301" s="74">
        <v>0.1</v>
      </c>
      <c r="S2301" s="75">
        <f>OrdersTable[[#This Row],[Quantity]]*OrdersTable[[#This Row],[Unit Price]]</f>
        <v>499</v>
      </c>
      <c r="T2301" s="5">
        <f>OrdersTable[[#This Row],[Gross Sale]]*OrdersTable[[#This Row],[Discount_Clean2]]</f>
        <v>49.900000000000006</v>
      </c>
      <c r="U2301" s="5">
        <f>OrdersTable[[#This Row],[Gross Sale]]-OrdersTable[[#This Row],[Discount Amount]]</f>
        <v>449.1</v>
      </c>
      <c r="V2301" s="77">
        <f>INDEX(Products!E:E,MATCH(OrdersTable[[#This Row],[Product ID]],Products!A:A,0))</f>
        <v>200</v>
      </c>
      <c r="W2301" s="77">
        <f>OrdersTable[[#This Row],[Quantity]]*OrdersTable[[#This Row],[Unit Cost]]</f>
        <v>200</v>
      </c>
      <c r="X2301" s="77">
        <f>'Dropdown Lists'!$I$2*(1+OrdersTable[[#This Row],[Returned]])</f>
        <v>60</v>
      </c>
      <c r="Y2301" s="76">
        <f>OrdersTable[[#This Row],[Net Revenue]]-OrdersTable[[#This Row],[COGS]]-OrdersTable[[#This Row],[Shipping Cost]]</f>
        <v>189.10000000000002</v>
      </c>
      <c r="Z2301" s="78">
        <f>IFERROR(OrdersTable[[#This Row],[Profit]]/OrdersTable[[#This Row],[Net Revenue]],0)</f>
        <v>0.42106435092407041</v>
      </c>
      <c r="AA2301" t="s">
        <v>2522</v>
      </c>
      <c r="AB2301" s="79">
        <v>45688</v>
      </c>
      <c r="AC2301">
        <f>OrdersTable[[#This Row],[Delivery Date]]-OrdersTable[[#This Row],[Order Date]]</f>
        <v>4</v>
      </c>
      <c r="AD2301" t="str">
        <f>IF(OrdersTable[[#This Row],[Delivery Days]]&lt;=2, "Express (≤2d)", IF(OrdersTable[[#This Row],[Delivery Days]]&lt;=4, "Standard (3-4d)", "Delayed (5d+)"))</f>
        <v>Standard (3-4d)</v>
      </c>
      <c r="AE2301">
        <v>4</v>
      </c>
      <c r="AF2301">
        <v>0</v>
      </c>
    </row>
    <row r="2302" spans="1:32" ht="15" x14ac:dyDescent="0.35">
      <c r="A2302" t="s">
        <v>3014</v>
      </c>
      <c r="B2302" s="1">
        <v>45684</v>
      </c>
      <c r="C2302">
        <f>YEAR(OrdersTable[[#This Row],[Order Date]])</f>
        <v>2025</v>
      </c>
      <c r="D2302" s="2">
        <f>DATE(YEAR(OrdersTable[[#This Row],[Order Date]]),MONTH(OrdersTable[[#This Row],[Order Date]]),1)</f>
        <v>45658</v>
      </c>
      <c r="E2302">
        <f>MONTH(OrdersTable[[#This Row],[Order Date]])</f>
        <v>1</v>
      </c>
      <c r="F2302" t="s">
        <v>1474</v>
      </c>
      <c r="G2302" t="str">
        <f>IF(OrdersTable[[#This Row],[Order Date]]=_xlfn.MINIFS(Order_Date, Customer_ID, OrdersTable[[#This Row],[Customer ID]]), "New", "Repeat")</f>
        <v>Repeat</v>
      </c>
      <c r="H2302" t="s">
        <v>128</v>
      </c>
      <c r="I2302" t="str">
        <f>INDEX(State!B:B,MATCH(OrdersTable[[#This Row],[State]],State!A:A,0))</f>
        <v>DL</v>
      </c>
      <c r="J2302" t="str">
        <f>INDEX(State!C:C,MATCH(OrdersTable[[#This Row],[State Code]],State!B:B,0))</f>
        <v>North</v>
      </c>
      <c r="K2302" t="s">
        <v>129</v>
      </c>
      <c r="L2302" t="s">
        <v>23</v>
      </c>
      <c r="M2302" t="s">
        <v>87</v>
      </c>
      <c r="N2302" t="str">
        <f>INDEX(Products!B:B,MATCH(OrdersTable[[#This Row],[Product ID]],Products!A:A,0))</f>
        <v>Linen Kurta</v>
      </c>
      <c r="O2302" t="str">
        <f>INDEX(Products!C:C,MATCH(OrdersTable[[#This Row],[Product ID]],Products!A:A,0))</f>
        <v>Apparel</v>
      </c>
      <c r="P2302">
        <v>1</v>
      </c>
      <c r="Q2302" s="5">
        <v>1499</v>
      </c>
      <c r="R2302" s="74">
        <v>0.25</v>
      </c>
      <c r="S2302" s="75">
        <f>OrdersTable[[#This Row],[Quantity]]*OrdersTable[[#This Row],[Unit Price]]</f>
        <v>1499</v>
      </c>
      <c r="T2302" s="5">
        <f>OrdersTable[[#This Row],[Gross Sale]]*OrdersTable[[#This Row],[Discount_Clean2]]</f>
        <v>374.75</v>
      </c>
      <c r="U2302" s="5">
        <f>OrdersTable[[#This Row],[Gross Sale]]-OrdersTable[[#This Row],[Discount Amount]]</f>
        <v>1124.25</v>
      </c>
      <c r="V2302" s="77">
        <f>INDEX(Products!E:E,MATCH(OrdersTable[[#This Row],[Product ID]],Products!A:A,0))</f>
        <v>630</v>
      </c>
      <c r="W2302" s="77">
        <f>OrdersTable[[#This Row],[Quantity]]*OrdersTable[[#This Row],[Unit Cost]]</f>
        <v>630</v>
      </c>
      <c r="X2302" s="77">
        <f>'Dropdown Lists'!$I$2*(1+OrdersTable[[#This Row],[Returned]])</f>
        <v>120</v>
      </c>
      <c r="Y2302" s="76">
        <f>OrdersTable[[#This Row],[Net Revenue]]-OrdersTable[[#This Row],[COGS]]-OrdersTable[[#This Row],[Shipping Cost]]</f>
        <v>374.25</v>
      </c>
      <c r="Z2302" s="78">
        <f>IFERROR(OrdersTable[[#This Row],[Profit]]/OrdersTable[[#This Row],[Net Revenue]],0)</f>
        <v>0.33288859239492996</v>
      </c>
      <c r="AA2302" t="s">
        <v>2522</v>
      </c>
      <c r="AB2302" s="79">
        <v>45687</v>
      </c>
      <c r="AC2302">
        <f>OrdersTable[[#This Row],[Delivery Date]]-OrdersTable[[#This Row],[Order Date]]</f>
        <v>3</v>
      </c>
      <c r="AD2302" t="str">
        <f>IF(OrdersTable[[#This Row],[Delivery Days]]&lt;=2, "Express (≤2d)", IF(OrdersTable[[#This Row],[Delivery Days]]&lt;=4, "Standard (3-4d)", "Delayed (5d+)"))</f>
        <v>Standard (3-4d)</v>
      </c>
      <c r="AF2302">
        <v>1</v>
      </c>
    </row>
    <row r="2303" spans="1:32" ht="15" x14ac:dyDescent="0.35">
      <c r="A2303" t="s">
        <v>568</v>
      </c>
      <c r="B2303" s="1">
        <v>45684</v>
      </c>
      <c r="C2303">
        <f>YEAR(OrdersTable[[#This Row],[Order Date]])</f>
        <v>2025</v>
      </c>
      <c r="D2303" s="2">
        <f>DATE(YEAR(OrdersTable[[#This Row],[Order Date]]),MONTH(OrdersTable[[#This Row],[Order Date]]),1)</f>
        <v>45658</v>
      </c>
      <c r="E2303">
        <f>MONTH(OrdersTable[[#This Row],[Order Date]])</f>
        <v>1</v>
      </c>
      <c r="F2303" t="s">
        <v>569</v>
      </c>
      <c r="G2303" t="str">
        <f>IF(OrdersTable[[#This Row],[Order Date]]=_xlfn.MINIFS(Order_Date, Customer_ID, OrdersTable[[#This Row],[Customer ID]]), "New", "Repeat")</f>
        <v>New</v>
      </c>
      <c r="H2303" t="s">
        <v>32</v>
      </c>
      <c r="I2303" t="str">
        <f>INDEX(State!B:B,MATCH(OrdersTable[[#This Row],[State]],State!A:A,0))</f>
        <v>BR</v>
      </c>
      <c r="J2303" t="str">
        <f>INDEX(State!C:C,MATCH(OrdersTable[[#This Row],[State Code]],State!B:B,0))</f>
        <v>East</v>
      </c>
      <c r="K2303" t="s">
        <v>33</v>
      </c>
      <c r="L2303" t="s">
        <v>23</v>
      </c>
      <c r="M2303" t="s">
        <v>92</v>
      </c>
      <c r="N2303" t="str">
        <f>INDEX(Products!B:B,MATCH(OrdersTable[[#This Row],[Product ID]],Products!A:A,0))</f>
        <v>Kolhapuri Sandals</v>
      </c>
      <c r="O2303" t="str">
        <f>INDEX(Products!C:C,MATCH(OrdersTable[[#This Row],[Product ID]],Products!A:A,0))</f>
        <v>Footwear</v>
      </c>
      <c r="P2303">
        <v>1</v>
      </c>
      <c r="Q2303" s="5">
        <v>999</v>
      </c>
      <c r="R2303" s="74">
        <v>0.05</v>
      </c>
      <c r="S2303" s="75">
        <f>OrdersTable[[#This Row],[Quantity]]*OrdersTable[[#This Row],[Unit Price]]</f>
        <v>999</v>
      </c>
      <c r="T2303" s="5">
        <f>OrdersTable[[#This Row],[Gross Sale]]*OrdersTable[[#This Row],[Discount_Clean2]]</f>
        <v>49.95</v>
      </c>
      <c r="U2303" s="5">
        <f>OrdersTable[[#This Row],[Gross Sale]]-OrdersTable[[#This Row],[Discount Amount]]</f>
        <v>949.05</v>
      </c>
      <c r="V2303" s="77">
        <f>INDEX(Products!E:E,MATCH(OrdersTable[[#This Row],[Product ID]],Products!A:A,0))</f>
        <v>400</v>
      </c>
      <c r="W2303" s="77">
        <f>OrdersTable[[#This Row],[Quantity]]*OrdersTable[[#This Row],[Unit Cost]]</f>
        <v>400</v>
      </c>
      <c r="X2303" s="77">
        <f>'Dropdown Lists'!$I$2*(1+OrdersTable[[#This Row],[Returned]])</f>
        <v>60</v>
      </c>
      <c r="Y2303" s="76">
        <f>OrdersTable[[#This Row],[Net Revenue]]-OrdersTable[[#This Row],[COGS]]-OrdersTable[[#This Row],[Shipping Cost]]</f>
        <v>489.04999999999995</v>
      </c>
      <c r="Z2303" s="78">
        <f>IFERROR(OrdersTable[[#This Row],[Profit]]/OrdersTable[[#This Row],[Net Revenue]],0)</f>
        <v>0.5153047784626732</v>
      </c>
      <c r="AA2303" t="s">
        <v>18</v>
      </c>
      <c r="AB2303" s="79">
        <v>45687</v>
      </c>
      <c r="AC2303">
        <f>OrdersTable[[#This Row],[Delivery Date]]-OrdersTable[[#This Row],[Order Date]]</f>
        <v>3</v>
      </c>
      <c r="AD2303" t="str">
        <f>IF(OrdersTable[[#This Row],[Delivery Days]]&lt;=2, "Express (≤2d)", IF(OrdersTable[[#This Row],[Delivery Days]]&lt;=4, "Standard (3-4d)", "Delayed (5d+)"))</f>
        <v>Standard (3-4d)</v>
      </c>
      <c r="AE2303">
        <v>4</v>
      </c>
      <c r="AF2303">
        <v>0</v>
      </c>
    </row>
    <row r="2304" spans="1:32" ht="15" x14ac:dyDescent="0.35">
      <c r="A2304" t="s">
        <v>1533</v>
      </c>
      <c r="B2304" s="1">
        <v>45684</v>
      </c>
      <c r="C2304">
        <f>YEAR(OrdersTable[[#This Row],[Order Date]])</f>
        <v>2025</v>
      </c>
      <c r="D2304" s="2">
        <f>DATE(YEAR(OrdersTable[[#This Row],[Order Date]]),MONTH(OrdersTable[[#This Row],[Order Date]]),1)</f>
        <v>45658</v>
      </c>
      <c r="E2304">
        <f>MONTH(OrdersTable[[#This Row],[Order Date]])</f>
        <v>1</v>
      </c>
      <c r="F2304" t="s">
        <v>292</v>
      </c>
      <c r="G2304" t="str">
        <f>IF(OrdersTable[[#This Row],[Order Date]]=_xlfn.MINIFS(Order_Date, Customer_ID, OrdersTable[[#This Row],[Customer ID]]), "New", "Repeat")</f>
        <v>Repeat</v>
      </c>
      <c r="H2304" t="s">
        <v>482</v>
      </c>
      <c r="I2304" t="str">
        <f>INDEX(State!B:B,MATCH(OrdersTable[[#This Row],[State]],State!A:A,0))</f>
        <v>CG</v>
      </c>
      <c r="J2304" t="str">
        <f>INDEX(State!C:C,MATCH(OrdersTable[[#This Row],[State Code]],State!B:B,0))</f>
        <v>East</v>
      </c>
      <c r="K2304" t="s">
        <v>483</v>
      </c>
      <c r="L2304" t="s">
        <v>39</v>
      </c>
      <c r="M2304" t="s">
        <v>29</v>
      </c>
      <c r="N2304" t="str">
        <f>INDEX(Products!B:B,MATCH(OrdersTable[[#This Row],[Product ID]],Products!A:A,0))</f>
        <v>Joggers</v>
      </c>
      <c r="O2304" t="str">
        <f>INDEX(Products!C:C,MATCH(OrdersTable[[#This Row],[Product ID]],Products!A:A,0))</f>
        <v>Apparel</v>
      </c>
      <c r="P2304">
        <v>1</v>
      </c>
      <c r="Q2304" s="5">
        <v>1199</v>
      </c>
      <c r="R2304" s="74">
        <v>0.05</v>
      </c>
      <c r="S2304" s="75">
        <f>OrdersTable[[#This Row],[Quantity]]*OrdersTable[[#This Row],[Unit Price]]</f>
        <v>1199</v>
      </c>
      <c r="T2304" s="5">
        <f>OrdersTable[[#This Row],[Gross Sale]]*OrdersTable[[#This Row],[Discount_Clean2]]</f>
        <v>59.95</v>
      </c>
      <c r="U2304" s="5">
        <f>OrdersTable[[#This Row],[Gross Sale]]-OrdersTable[[#This Row],[Discount Amount]]</f>
        <v>1139.05</v>
      </c>
      <c r="V2304" s="77">
        <f>INDEX(Products!E:E,MATCH(OrdersTable[[#This Row],[Product ID]],Products!A:A,0))</f>
        <v>492</v>
      </c>
      <c r="W2304" s="77">
        <f>OrdersTable[[#This Row],[Quantity]]*OrdersTable[[#This Row],[Unit Cost]]</f>
        <v>492</v>
      </c>
      <c r="X2304" s="77">
        <f>'Dropdown Lists'!$I$2*(1+OrdersTable[[#This Row],[Returned]])</f>
        <v>60</v>
      </c>
      <c r="Y2304" s="76">
        <f>OrdersTable[[#This Row],[Net Revenue]]-OrdersTable[[#This Row],[COGS]]-OrdersTable[[#This Row],[Shipping Cost]]</f>
        <v>587.04999999999995</v>
      </c>
      <c r="Z2304" s="78">
        <f>IFERROR(OrdersTable[[#This Row],[Profit]]/OrdersTable[[#This Row],[Net Revenue]],0)</f>
        <v>0.51538562837452262</v>
      </c>
      <c r="AA2304" t="s">
        <v>18</v>
      </c>
      <c r="AB2304" s="79">
        <v>45687</v>
      </c>
      <c r="AC2304">
        <f>OrdersTable[[#This Row],[Delivery Date]]-OrdersTable[[#This Row],[Order Date]]</f>
        <v>3</v>
      </c>
      <c r="AD2304" t="str">
        <f>IF(OrdersTable[[#This Row],[Delivery Days]]&lt;=2, "Express (≤2d)", IF(OrdersTable[[#This Row],[Delivery Days]]&lt;=4, "Standard (3-4d)", "Delayed (5d+)"))</f>
        <v>Standard (3-4d)</v>
      </c>
      <c r="AF2304">
        <v>0</v>
      </c>
    </row>
    <row r="2305" spans="1:32" ht="15" x14ac:dyDescent="0.35">
      <c r="A2305" t="s">
        <v>5929</v>
      </c>
      <c r="B2305" s="1">
        <v>45684</v>
      </c>
      <c r="C2305">
        <f>YEAR(OrdersTable[[#This Row],[Order Date]])</f>
        <v>2025</v>
      </c>
      <c r="D2305" s="2">
        <f>DATE(YEAR(OrdersTable[[#This Row],[Order Date]]),MONTH(OrdersTable[[#This Row],[Order Date]]),1)</f>
        <v>45658</v>
      </c>
      <c r="E2305">
        <f>MONTH(OrdersTable[[#This Row],[Order Date]])</f>
        <v>1</v>
      </c>
      <c r="F2305" t="s">
        <v>5296</v>
      </c>
      <c r="G2305" t="str">
        <f>IF(OrdersTable[[#This Row],[Order Date]]=_xlfn.MINIFS(Order_Date, Customer_ID, OrdersTable[[#This Row],[Customer ID]]), "New", "Repeat")</f>
        <v>Repeat</v>
      </c>
      <c r="H2305" t="s">
        <v>482</v>
      </c>
      <c r="I2305" t="str">
        <f>INDEX(State!B:B,MATCH(OrdersTable[[#This Row],[State]],State!A:A,0))</f>
        <v>CG</v>
      </c>
      <c r="J2305" t="str">
        <f>INDEX(State!C:C,MATCH(OrdersTable[[#This Row],[State Code]],State!B:B,0))</f>
        <v>East</v>
      </c>
      <c r="K2305" t="s">
        <v>483</v>
      </c>
      <c r="L2305" t="s">
        <v>50</v>
      </c>
      <c r="M2305" t="s">
        <v>73</v>
      </c>
      <c r="N2305" t="str">
        <f>INDEX(Products!B:B,MATCH(OrdersTable[[#This Row],[Product ID]],Products!A:A,0))</f>
        <v>Hydrating Face Wash</v>
      </c>
      <c r="O2305" t="str">
        <f>INDEX(Products!C:C,MATCH(OrdersTable[[#This Row],[Product ID]],Products!A:A,0))</f>
        <v>Skincare</v>
      </c>
      <c r="P2305">
        <v>2</v>
      </c>
      <c r="Q2305" s="5">
        <v>299</v>
      </c>
      <c r="R2305" s="74">
        <v>0</v>
      </c>
      <c r="S2305" s="75">
        <f>OrdersTable[[#This Row],[Quantity]]*OrdersTable[[#This Row],[Unit Price]]</f>
        <v>598</v>
      </c>
      <c r="T2305" s="5">
        <f>OrdersTable[[#This Row],[Gross Sale]]*OrdersTable[[#This Row],[Discount_Clean2]]</f>
        <v>0</v>
      </c>
      <c r="U2305" s="5">
        <f>OrdersTable[[#This Row],[Gross Sale]]-OrdersTable[[#This Row],[Discount Amount]]</f>
        <v>598</v>
      </c>
      <c r="V2305" s="77">
        <f>INDEX(Products!E:E,MATCH(OrdersTable[[#This Row],[Product ID]],Products!A:A,0))</f>
        <v>90</v>
      </c>
      <c r="W2305" s="77">
        <f>OrdersTable[[#This Row],[Quantity]]*OrdersTable[[#This Row],[Unit Cost]]</f>
        <v>180</v>
      </c>
      <c r="X2305" s="77">
        <f>'Dropdown Lists'!$I$2*(1+OrdersTable[[#This Row],[Returned]])</f>
        <v>120</v>
      </c>
      <c r="Y2305" s="76">
        <f>OrdersTable[[#This Row],[Net Revenue]]-OrdersTable[[#This Row],[COGS]]-OrdersTable[[#This Row],[Shipping Cost]]</f>
        <v>298</v>
      </c>
      <c r="Z2305" s="78">
        <f>IFERROR(OrdersTable[[#This Row],[Profit]]/OrdersTable[[#This Row],[Net Revenue]],0)</f>
        <v>0.49832775919732442</v>
      </c>
      <c r="AA2305" t="s">
        <v>18</v>
      </c>
      <c r="AB2305" s="79">
        <v>45686</v>
      </c>
      <c r="AC2305">
        <f>OrdersTable[[#This Row],[Delivery Date]]-OrdersTable[[#This Row],[Order Date]]</f>
        <v>2</v>
      </c>
      <c r="AD2305" t="str">
        <f>IF(OrdersTable[[#This Row],[Delivery Days]]&lt;=2, "Express (≤2d)", IF(OrdersTable[[#This Row],[Delivery Days]]&lt;=4, "Standard (3-4d)", "Delayed (5d+)"))</f>
        <v>Express (≤2d)</v>
      </c>
      <c r="AF2305">
        <v>1</v>
      </c>
    </row>
    <row r="2306" spans="1:32" ht="15" x14ac:dyDescent="0.35">
      <c r="A2306" t="s">
        <v>3589</v>
      </c>
      <c r="B2306" s="1">
        <v>45684</v>
      </c>
      <c r="C2306">
        <f>YEAR(OrdersTable[[#This Row],[Order Date]])</f>
        <v>2025</v>
      </c>
      <c r="D2306" s="2">
        <f>DATE(YEAR(OrdersTable[[#This Row],[Order Date]]),MONTH(OrdersTable[[#This Row],[Order Date]]),1)</f>
        <v>45658</v>
      </c>
      <c r="E2306">
        <f>MONTH(OrdersTable[[#This Row],[Order Date]])</f>
        <v>1</v>
      </c>
      <c r="F2306" t="s">
        <v>3590</v>
      </c>
      <c r="G2306" t="str">
        <f>IF(OrdersTable[[#This Row],[Order Date]]=_xlfn.MINIFS(Order_Date, Customer_ID, OrdersTable[[#This Row],[Customer ID]]), "New", "Repeat")</f>
        <v>New</v>
      </c>
      <c r="H2306" t="s">
        <v>71</v>
      </c>
      <c r="I2306" t="str">
        <f>INDEX(State!B:B,MATCH(OrdersTable[[#This Row],[State]],State!A:A,0))</f>
        <v>MH</v>
      </c>
      <c r="J2306" t="str">
        <f>INDEX(State!C:C,MATCH(OrdersTable[[#This Row],[State Code]],State!B:B,0))</f>
        <v>West</v>
      </c>
      <c r="K2306" t="s">
        <v>81</v>
      </c>
      <c r="L2306" t="s">
        <v>23</v>
      </c>
      <c r="M2306" t="s">
        <v>78</v>
      </c>
      <c r="N2306" t="str">
        <f>INDEX(Products!B:B,MATCH(OrdersTable[[#This Row],[Product ID]],Products!A:A,0))</f>
        <v>Retinol Night Cream</v>
      </c>
      <c r="O2306" t="str">
        <f>INDEX(Products!C:C,MATCH(OrdersTable[[#This Row],[Product ID]],Products!A:A,0))</f>
        <v>Skincare</v>
      </c>
      <c r="P2306">
        <v>1</v>
      </c>
      <c r="Q2306" s="5">
        <v>799</v>
      </c>
      <c r="R2306" s="74">
        <v>0.05</v>
      </c>
      <c r="S2306" s="75">
        <f>OrdersTable[[#This Row],[Quantity]]*OrdersTable[[#This Row],[Unit Price]]</f>
        <v>799</v>
      </c>
      <c r="T2306" s="5">
        <f>OrdersTable[[#This Row],[Gross Sale]]*OrdersTable[[#This Row],[Discount_Clean2]]</f>
        <v>39.950000000000003</v>
      </c>
      <c r="U2306" s="5">
        <f>OrdersTable[[#This Row],[Gross Sale]]-OrdersTable[[#This Row],[Discount Amount]]</f>
        <v>759.05</v>
      </c>
      <c r="V2306" s="77">
        <f>INDEX(Products!E:E,MATCH(OrdersTable[[#This Row],[Product ID]],Products!A:A,0))</f>
        <v>216</v>
      </c>
      <c r="W2306" s="77">
        <f>OrdersTable[[#This Row],[Quantity]]*OrdersTable[[#This Row],[Unit Cost]]</f>
        <v>216</v>
      </c>
      <c r="X2306" s="77">
        <f>'Dropdown Lists'!$I$2*(1+OrdersTable[[#This Row],[Returned]])</f>
        <v>60</v>
      </c>
      <c r="Y2306" s="76">
        <f>OrdersTable[[#This Row],[Net Revenue]]-OrdersTable[[#This Row],[COGS]]-OrdersTable[[#This Row],[Shipping Cost]]</f>
        <v>483.04999999999995</v>
      </c>
      <c r="Z2306" s="78">
        <f>IFERROR(OrdersTable[[#This Row],[Profit]]/OrdersTable[[#This Row],[Net Revenue]],0)</f>
        <v>0.63638758975034582</v>
      </c>
      <c r="AA2306" t="s">
        <v>3495</v>
      </c>
      <c r="AB2306" s="79">
        <v>45685</v>
      </c>
      <c r="AC2306">
        <f>OrdersTable[[#This Row],[Delivery Date]]-OrdersTable[[#This Row],[Order Date]]</f>
        <v>1</v>
      </c>
      <c r="AD2306" t="str">
        <f>IF(OrdersTable[[#This Row],[Delivery Days]]&lt;=2, "Express (≤2d)", IF(OrdersTable[[#This Row],[Delivery Days]]&lt;=4, "Standard (3-4d)", "Delayed (5d+)"))</f>
        <v>Express (≤2d)</v>
      </c>
      <c r="AE2306">
        <v>4</v>
      </c>
      <c r="AF2306">
        <v>0</v>
      </c>
    </row>
    <row r="2307" spans="1:32" ht="15" x14ac:dyDescent="0.35">
      <c r="A2307" t="s">
        <v>1070</v>
      </c>
      <c r="B2307" s="1">
        <v>45684</v>
      </c>
      <c r="C2307">
        <f>YEAR(OrdersTable[[#This Row],[Order Date]])</f>
        <v>2025</v>
      </c>
      <c r="D2307" s="2">
        <f>DATE(YEAR(OrdersTable[[#This Row],[Order Date]]),MONTH(OrdersTable[[#This Row],[Order Date]]),1)</f>
        <v>45658</v>
      </c>
      <c r="E2307">
        <f>MONTH(OrdersTable[[#This Row],[Order Date]])</f>
        <v>1</v>
      </c>
      <c r="F2307" t="s">
        <v>1071</v>
      </c>
      <c r="G2307" t="str">
        <f>IF(OrdersTable[[#This Row],[Order Date]]=_xlfn.MINIFS(Order_Date, Customer_ID, OrdersTable[[#This Row],[Customer ID]]), "New", "Repeat")</f>
        <v>Repeat</v>
      </c>
      <c r="H2307" t="s">
        <v>71</v>
      </c>
      <c r="I2307" t="str">
        <f>INDEX(State!B:B,MATCH(OrdersTable[[#This Row],[State]],State!A:A,0))</f>
        <v>MH</v>
      </c>
      <c r="J2307" t="str">
        <f>INDEX(State!C:C,MATCH(OrdersTable[[#This Row],[State Code]],State!B:B,0))</f>
        <v>West</v>
      </c>
      <c r="K2307" t="s">
        <v>81</v>
      </c>
      <c r="L2307" t="s">
        <v>65</v>
      </c>
      <c r="M2307" t="s">
        <v>255</v>
      </c>
      <c r="N2307" t="str">
        <f>INDEX(Products!B:B,MATCH(OrdersTable[[#This Row],[Product ID]],Products!A:A,0))</f>
        <v>Cotton Oversized T-Shirt</v>
      </c>
      <c r="O2307" t="str">
        <f>INDEX(Products!C:C,MATCH(OrdersTable[[#This Row],[Product ID]],Products!A:A,0))</f>
        <v>Apparel</v>
      </c>
      <c r="P2307">
        <v>1</v>
      </c>
      <c r="Q2307" s="5">
        <v>799</v>
      </c>
      <c r="R2307" s="74">
        <v>0</v>
      </c>
      <c r="S2307" s="75">
        <f>OrdersTable[[#This Row],[Quantity]]*OrdersTable[[#This Row],[Unit Price]]</f>
        <v>799</v>
      </c>
      <c r="T2307" s="5">
        <f>OrdersTable[[#This Row],[Gross Sale]]*OrdersTable[[#This Row],[Discount_Clean2]]</f>
        <v>0</v>
      </c>
      <c r="U2307" s="5">
        <f>OrdersTable[[#This Row],[Gross Sale]]-OrdersTable[[#This Row],[Discount Amount]]</f>
        <v>799</v>
      </c>
      <c r="V2307" s="77">
        <f>INDEX(Products!E:E,MATCH(OrdersTable[[#This Row],[Product ID]],Products!A:A,0))</f>
        <v>320</v>
      </c>
      <c r="W2307" s="77">
        <f>OrdersTable[[#This Row],[Quantity]]*OrdersTable[[#This Row],[Unit Cost]]</f>
        <v>320</v>
      </c>
      <c r="X2307" s="77">
        <f>'Dropdown Lists'!$I$2*(1+OrdersTable[[#This Row],[Returned]])</f>
        <v>120</v>
      </c>
      <c r="Y2307" s="76">
        <f>OrdersTable[[#This Row],[Net Revenue]]-OrdersTable[[#This Row],[COGS]]-OrdersTable[[#This Row],[Shipping Cost]]</f>
        <v>359</v>
      </c>
      <c r="Z2307" s="78">
        <f>IFERROR(OrdersTable[[#This Row],[Profit]]/OrdersTable[[#This Row],[Net Revenue]],0)</f>
        <v>0.44931163954943681</v>
      </c>
      <c r="AA2307" t="s">
        <v>18</v>
      </c>
      <c r="AB2307" s="79">
        <v>45687</v>
      </c>
      <c r="AC2307">
        <f>OrdersTable[[#This Row],[Delivery Date]]-OrdersTable[[#This Row],[Order Date]]</f>
        <v>3</v>
      </c>
      <c r="AD2307" t="str">
        <f>IF(OrdersTable[[#This Row],[Delivery Days]]&lt;=2, "Express (≤2d)", IF(OrdersTable[[#This Row],[Delivery Days]]&lt;=4, "Standard (3-4d)", "Delayed (5d+)"))</f>
        <v>Standard (3-4d)</v>
      </c>
      <c r="AE2307">
        <v>4</v>
      </c>
      <c r="AF2307">
        <v>1</v>
      </c>
    </row>
    <row r="2308" spans="1:32" ht="15" x14ac:dyDescent="0.35">
      <c r="A2308" t="s">
        <v>1256</v>
      </c>
      <c r="B2308" s="1">
        <v>45684</v>
      </c>
      <c r="C2308">
        <f>YEAR(OrdersTable[[#This Row],[Order Date]])</f>
        <v>2025</v>
      </c>
      <c r="D2308" s="2">
        <f>DATE(YEAR(OrdersTable[[#This Row],[Order Date]]),MONTH(OrdersTable[[#This Row],[Order Date]]),1)</f>
        <v>45658</v>
      </c>
      <c r="E2308">
        <f>MONTH(OrdersTable[[#This Row],[Order Date]])</f>
        <v>1</v>
      </c>
      <c r="F2308" t="s">
        <v>1257</v>
      </c>
      <c r="G2308" t="str">
        <f>IF(OrdersTable[[#This Row],[Order Date]]=_xlfn.MINIFS(Order_Date, Customer_ID, OrdersTable[[#This Row],[Customer ID]]), "New", "Repeat")</f>
        <v>New</v>
      </c>
      <c r="H2308" t="s">
        <v>167</v>
      </c>
      <c r="I2308" t="str">
        <f>INDEX(State!B:B,MATCH(OrdersTable[[#This Row],[State]],State!A:A,0))</f>
        <v>KA</v>
      </c>
      <c r="J2308" t="str">
        <f>INDEX(State!C:C,MATCH(OrdersTable[[#This Row],[State Code]],State!B:B,0))</f>
        <v>South</v>
      </c>
      <c r="K2308" t="s">
        <v>190</v>
      </c>
      <c r="L2308" t="s">
        <v>16</v>
      </c>
      <c r="M2308" t="s">
        <v>576</v>
      </c>
      <c r="N2308" t="str">
        <f>INDEX(Products!B:B,MATCH(OrdersTable[[#This Row],[Product ID]],Products!A:A,0))</f>
        <v>Printed Saree</v>
      </c>
      <c r="O2308" t="str">
        <f>INDEX(Products!C:C,MATCH(OrdersTable[[#This Row],[Product ID]],Products!A:A,0))</f>
        <v>Apparel</v>
      </c>
      <c r="P2308">
        <v>1</v>
      </c>
      <c r="Q2308" s="5">
        <v>1999</v>
      </c>
      <c r="R2308" s="74">
        <v>0.05</v>
      </c>
      <c r="S2308" s="75">
        <f>OrdersTable[[#This Row],[Quantity]]*OrdersTable[[#This Row],[Unit Price]]</f>
        <v>1999</v>
      </c>
      <c r="T2308" s="5">
        <f>OrdersTable[[#This Row],[Gross Sale]]*OrdersTable[[#This Row],[Discount_Clean2]]</f>
        <v>99.95</v>
      </c>
      <c r="U2308" s="5">
        <f>OrdersTable[[#This Row],[Gross Sale]]-OrdersTable[[#This Row],[Discount Amount]]</f>
        <v>1899.05</v>
      </c>
      <c r="V2308" s="77">
        <f>INDEX(Products!E:E,MATCH(OrdersTable[[#This Row],[Product ID]],Products!A:A,0))</f>
        <v>880</v>
      </c>
      <c r="W2308" s="77">
        <f>OrdersTable[[#This Row],[Quantity]]*OrdersTable[[#This Row],[Unit Cost]]</f>
        <v>880</v>
      </c>
      <c r="X2308" s="77">
        <f>'Dropdown Lists'!$I$2*(1+OrdersTable[[#This Row],[Returned]])</f>
        <v>60</v>
      </c>
      <c r="Y2308" s="76">
        <f>OrdersTable[[#This Row],[Net Revenue]]-OrdersTable[[#This Row],[COGS]]-OrdersTable[[#This Row],[Shipping Cost]]</f>
        <v>959.05</v>
      </c>
      <c r="Z2308" s="78">
        <f>IFERROR(OrdersTable[[#This Row],[Profit]]/OrdersTable[[#This Row],[Net Revenue]],0)</f>
        <v>0.50501566572760059</v>
      </c>
      <c r="AA2308" t="s">
        <v>18</v>
      </c>
      <c r="AB2308" s="79">
        <v>45687</v>
      </c>
      <c r="AC2308">
        <f>OrdersTable[[#This Row],[Delivery Date]]-OrdersTable[[#This Row],[Order Date]]</f>
        <v>3</v>
      </c>
      <c r="AD2308" t="str">
        <f>IF(OrdersTable[[#This Row],[Delivery Days]]&lt;=2, "Express (≤2d)", IF(OrdersTable[[#This Row],[Delivery Days]]&lt;=4, "Standard (3-4d)", "Delayed (5d+)"))</f>
        <v>Standard (3-4d)</v>
      </c>
      <c r="AF2308">
        <v>0</v>
      </c>
    </row>
    <row r="2309" spans="1:32" ht="15" x14ac:dyDescent="0.35">
      <c r="A2309" t="s">
        <v>5168</v>
      </c>
      <c r="B2309" s="1">
        <v>45684</v>
      </c>
      <c r="C2309">
        <f>YEAR(OrdersTable[[#This Row],[Order Date]])</f>
        <v>2025</v>
      </c>
      <c r="D2309" s="2">
        <f>DATE(YEAR(OrdersTable[[#This Row],[Order Date]]),MONTH(OrdersTable[[#This Row],[Order Date]]),1)</f>
        <v>45658</v>
      </c>
      <c r="E2309">
        <f>MONTH(OrdersTable[[#This Row],[Order Date]])</f>
        <v>1</v>
      </c>
      <c r="F2309" t="s">
        <v>1917</v>
      </c>
      <c r="G2309" t="str">
        <f>IF(OrdersTable[[#This Row],[Order Date]]=_xlfn.MINIFS(Order_Date, Customer_ID, OrdersTable[[#This Row],[Customer ID]]), "New", "Repeat")</f>
        <v>Repeat</v>
      </c>
      <c r="H2309" t="s">
        <v>275</v>
      </c>
      <c r="I2309" t="str">
        <f>INDEX(State!B:B,MATCH(OrdersTable[[#This Row],[State]],State!A:A,0))</f>
        <v>AP</v>
      </c>
      <c r="J2309" t="str">
        <f>INDEX(State!C:C,MATCH(OrdersTable[[#This Row],[State Code]],State!B:B,0))</f>
        <v>South</v>
      </c>
      <c r="K2309" t="s">
        <v>276</v>
      </c>
      <c r="L2309" t="s">
        <v>65</v>
      </c>
      <c r="M2309" t="s">
        <v>24</v>
      </c>
      <c r="N2309" t="str">
        <f>INDEX(Products!B:B,MATCH(OrdersTable[[#This Row],[Product ID]],Products!A:A,0))</f>
        <v>Scented Candle Set</v>
      </c>
      <c r="O2309" t="str">
        <f>INDEX(Products!C:C,MATCH(OrdersTable[[#This Row],[Product ID]],Products!A:A,0))</f>
        <v>Home &amp; Kitchen</v>
      </c>
      <c r="P2309">
        <v>2</v>
      </c>
      <c r="Q2309" s="5">
        <v>699</v>
      </c>
      <c r="R2309" s="74">
        <v>0.2</v>
      </c>
      <c r="S2309" s="75">
        <f>OrdersTable[[#This Row],[Quantity]]*OrdersTable[[#This Row],[Unit Price]]</f>
        <v>1398</v>
      </c>
      <c r="T2309" s="5">
        <f>OrdersTable[[#This Row],[Gross Sale]]*OrdersTable[[#This Row],[Discount_Clean2]]</f>
        <v>279.60000000000002</v>
      </c>
      <c r="U2309" s="5">
        <f>OrdersTable[[#This Row],[Gross Sale]]-OrdersTable[[#This Row],[Discount Amount]]</f>
        <v>1118.4000000000001</v>
      </c>
      <c r="V2309" s="77">
        <f>INDEX(Products!E:E,MATCH(OrdersTable[[#This Row],[Product ID]],Products!A:A,0))</f>
        <v>245</v>
      </c>
      <c r="W2309" s="77">
        <f>OrdersTable[[#This Row],[Quantity]]*OrdersTable[[#This Row],[Unit Cost]]</f>
        <v>490</v>
      </c>
      <c r="X2309" s="77">
        <f>'Dropdown Lists'!$I$2*(1+OrdersTable[[#This Row],[Returned]])</f>
        <v>60</v>
      </c>
      <c r="Y2309" s="76">
        <f>OrdersTable[[#This Row],[Net Revenue]]-OrdersTable[[#This Row],[COGS]]-OrdersTable[[#This Row],[Shipping Cost]]</f>
        <v>568.40000000000009</v>
      </c>
      <c r="Z2309" s="78">
        <f>IFERROR(OrdersTable[[#This Row],[Profit]]/OrdersTable[[#This Row],[Net Revenue]],0)</f>
        <v>0.50822603719599435</v>
      </c>
      <c r="AA2309" t="s">
        <v>3495</v>
      </c>
      <c r="AB2309" s="79">
        <v>45689</v>
      </c>
      <c r="AC2309">
        <f>OrdersTable[[#This Row],[Delivery Date]]-OrdersTable[[#This Row],[Order Date]]</f>
        <v>5</v>
      </c>
      <c r="AD2309" t="str">
        <f>IF(OrdersTable[[#This Row],[Delivery Days]]&lt;=2, "Express (≤2d)", IF(OrdersTable[[#This Row],[Delivery Days]]&lt;=4, "Standard (3-4d)", "Delayed (5d+)"))</f>
        <v>Delayed (5d+)</v>
      </c>
      <c r="AF2309">
        <v>0</v>
      </c>
    </row>
    <row r="2310" spans="1:32" ht="15" x14ac:dyDescent="0.35">
      <c r="A2310" t="s">
        <v>3015</v>
      </c>
      <c r="B2310" s="1">
        <v>45684</v>
      </c>
      <c r="C2310">
        <f>YEAR(OrdersTable[[#This Row],[Order Date]])</f>
        <v>2025</v>
      </c>
      <c r="D2310" s="2">
        <f>DATE(YEAR(OrdersTable[[#This Row],[Order Date]]),MONTH(OrdersTable[[#This Row],[Order Date]]),1)</f>
        <v>45658</v>
      </c>
      <c r="E2310">
        <f>MONTH(OrdersTable[[#This Row],[Order Date]])</f>
        <v>1</v>
      </c>
      <c r="F2310" t="s">
        <v>2003</v>
      </c>
      <c r="G2310" t="str">
        <f>IF(OrdersTable[[#This Row],[Order Date]]=_xlfn.MINIFS(Order_Date, Customer_ID, OrdersTable[[#This Row],[Customer ID]]), "New", "Repeat")</f>
        <v>Repeat</v>
      </c>
      <c r="H2310" t="s">
        <v>59</v>
      </c>
      <c r="I2310" t="str">
        <f>INDEX(State!B:B,MATCH(OrdersTable[[#This Row],[State]],State!A:A,0))</f>
        <v>TN</v>
      </c>
      <c r="J2310" t="str">
        <f>INDEX(State!C:C,MATCH(OrdersTable[[#This Row],[State Code]],State!B:B,0))</f>
        <v>South</v>
      </c>
      <c r="K2310" t="s">
        <v>60</v>
      </c>
      <c r="L2310" t="s">
        <v>65</v>
      </c>
      <c r="M2310" t="s">
        <v>34</v>
      </c>
      <c r="N2310" t="str">
        <f>INDEX(Products!B:B,MATCH(OrdersTable[[#This Row],[Product ID]],Products!A:A,0))</f>
        <v>Flip Flops</v>
      </c>
      <c r="O2310" t="str">
        <f>INDEX(Products!C:C,MATCH(OrdersTable[[#This Row],[Product ID]],Products!A:A,0))</f>
        <v>Footwear</v>
      </c>
      <c r="P2310">
        <v>1</v>
      </c>
      <c r="Q2310" s="5">
        <v>399</v>
      </c>
      <c r="R2310" s="74">
        <v>0.1</v>
      </c>
      <c r="S2310" s="75">
        <f>OrdersTable[[#This Row],[Quantity]]*OrdersTable[[#This Row],[Unit Price]]</f>
        <v>399</v>
      </c>
      <c r="T2310" s="5">
        <f>OrdersTable[[#This Row],[Gross Sale]]*OrdersTable[[#This Row],[Discount_Clean2]]</f>
        <v>39.900000000000006</v>
      </c>
      <c r="U2310" s="5">
        <f>OrdersTable[[#This Row],[Gross Sale]]-OrdersTable[[#This Row],[Discount Amount]]</f>
        <v>359.1</v>
      </c>
      <c r="V2310" s="77">
        <f>INDEX(Products!E:E,MATCH(OrdersTable[[#This Row],[Product ID]],Products!A:A,0))</f>
        <v>152</v>
      </c>
      <c r="W2310" s="77">
        <f>OrdersTable[[#This Row],[Quantity]]*OrdersTable[[#This Row],[Unit Cost]]</f>
        <v>152</v>
      </c>
      <c r="X2310" s="77">
        <f>'Dropdown Lists'!$I$2*(1+OrdersTable[[#This Row],[Returned]])</f>
        <v>60</v>
      </c>
      <c r="Y2310" s="76">
        <f>OrdersTable[[#This Row],[Net Revenue]]-OrdersTable[[#This Row],[COGS]]-OrdersTable[[#This Row],[Shipping Cost]]</f>
        <v>147.10000000000002</v>
      </c>
      <c r="Z2310" s="78">
        <f>IFERROR(OrdersTable[[#This Row],[Profit]]/OrdersTable[[#This Row],[Net Revenue]],0)</f>
        <v>0.40963519910888335</v>
      </c>
      <c r="AA2310" t="s">
        <v>2522</v>
      </c>
      <c r="AB2310" s="79">
        <v>45686</v>
      </c>
      <c r="AC2310">
        <f>OrdersTable[[#This Row],[Delivery Date]]-OrdersTable[[#This Row],[Order Date]]</f>
        <v>2</v>
      </c>
      <c r="AD2310" t="str">
        <f>IF(OrdersTable[[#This Row],[Delivery Days]]&lt;=2, "Express (≤2d)", IF(OrdersTable[[#This Row],[Delivery Days]]&lt;=4, "Standard (3-4d)", "Delayed (5d+)"))</f>
        <v>Express (≤2d)</v>
      </c>
      <c r="AF2310">
        <v>0</v>
      </c>
    </row>
    <row r="2311" spans="1:32" ht="15" x14ac:dyDescent="0.35">
      <c r="A2311" t="s">
        <v>1534</v>
      </c>
      <c r="B2311" s="1">
        <v>45685</v>
      </c>
      <c r="C2311">
        <f>YEAR(OrdersTable[[#This Row],[Order Date]])</f>
        <v>2025</v>
      </c>
      <c r="D2311" s="2">
        <f>DATE(YEAR(OrdersTable[[#This Row],[Order Date]]),MONTH(OrdersTable[[#This Row],[Order Date]]),1)</f>
        <v>45658</v>
      </c>
      <c r="E2311">
        <f>MONTH(OrdersTable[[#This Row],[Order Date]])</f>
        <v>1</v>
      </c>
      <c r="F2311" t="s">
        <v>1535</v>
      </c>
      <c r="G2311" t="str">
        <f>IF(OrdersTable[[#This Row],[Order Date]]=_xlfn.MINIFS(Order_Date, Customer_ID, OrdersTable[[#This Row],[Customer ID]]), "New", "Repeat")</f>
        <v>New</v>
      </c>
      <c r="H2311" t="s">
        <v>54</v>
      </c>
      <c r="I2311" t="str">
        <f>INDEX(State!B:B,MATCH(OrdersTable[[#This Row],[State]],State!A:A,0))</f>
        <v>RJ</v>
      </c>
      <c r="J2311" t="str">
        <f>INDEX(State!C:C,MATCH(OrdersTable[[#This Row],[State Code]],State!B:B,0))</f>
        <v>North</v>
      </c>
      <c r="K2311" t="s">
        <v>227</v>
      </c>
      <c r="L2311" t="s">
        <v>39</v>
      </c>
      <c r="M2311" t="s">
        <v>148</v>
      </c>
      <c r="N2311" t="str">
        <f>INDEX(Products!B:B,MATCH(OrdersTable[[#This Row],[Product ID]],Products!A:A,0))</f>
        <v>Smartwatch Strap</v>
      </c>
      <c r="O2311" t="str">
        <f>INDEX(Products!C:C,MATCH(OrdersTable[[#This Row],[Product ID]],Products!A:A,0))</f>
        <v>Electronics</v>
      </c>
      <c r="P2311">
        <v>1</v>
      </c>
      <c r="Q2311" s="5">
        <v>499</v>
      </c>
      <c r="R2311" s="74">
        <v>0.1</v>
      </c>
      <c r="S2311" s="75">
        <f>OrdersTable[[#This Row],[Quantity]]*OrdersTable[[#This Row],[Unit Price]]</f>
        <v>499</v>
      </c>
      <c r="T2311" s="5">
        <f>OrdersTable[[#This Row],[Gross Sale]]*OrdersTable[[#This Row],[Discount_Clean2]]</f>
        <v>49.900000000000006</v>
      </c>
      <c r="U2311" s="5">
        <f>OrdersTable[[#This Row],[Gross Sale]]-OrdersTable[[#This Row],[Discount Amount]]</f>
        <v>449.1</v>
      </c>
      <c r="V2311" s="77">
        <f>INDEX(Products!E:E,MATCH(OrdersTable[[#This Row],[Product ID]],Products!A:A,0))</f>
        <v>200</v>
      </c>
      <c r="W2311" s="77">
        <f>OrdersTable[[#This Row],[Quantity]]*OrdersTable[[#This Row],[Unit Cost]]</f>
        <v>200</v>
      </c>
      <c r="X2311" s="77">
        <f>'Dropdown Lists'!$I$2*(1+OrdersTable[[#This Row],[Returned]])</f>
        <v>60</v>
      </c>
      <c r="Y2311" s="76">
        <f>OrdersTable[[#This Row],[Net Revenue]]-OrdersTable[[#This Row],[COGS]]-OrdersTable[[#This Row],[Shipping Cost]]</f>
        <v>189.10000000000002</v>
      </c>
      <c r="Z2311" s="78">
        <f>IFERROR(OrdersTable[[#This Row],[Profit]]/OrdersTable[[#This Row],[Net Revenue]],0)</f>
        <v>0.42106435092407041</v>
      </c>
      <c r="AA2311" t="s">
        <v>18</v>
      </c>
      <c r="AB2311" s="79">
        <v>45690</v>
      </c>
      <c r="AC2311">
        <f>OrdersTable[[#This Row],[Delivery Date]]-OrdersTable[[#This Row],[Order Date]]</f>
        <v>5</v>
      </c>
      <c r="AD2311" t="str">
        <f>IF(OrdersTable[[#This Row],[Delivery Days]]&lt;=2, "Express (≤2d)", IF(OrdersTable[[#This Row],[Delivery Days]]&lt;=4, "Standard (3-4d)", "Delayed (5d+)"))</f>
        <v>Delayed (5d+)</v>
      </c>
      <c r="AF2311">
        <v>0</v>
      </c>
    </row>
    <row r="2312" spans="1:32" ht="15" x14ac:dyDescent="0.35">
      <c r="A2312" t="s">
        <v>4124</v>
      </c>
      <c r="B2312" s="1">
        <v>45685</v>
      </c>
      <c r="C2312">
        <f>YEAR(OrdersTable[[#This Row],[Order Date]])</f>
        <v>2025</v>
      </c>
      <c r="D2312" s="2">
        <f>DATE(YEAR(OrdersTable[[#This Row],[Order Date]]),MONTH(OrdersTable[[#This Row],[Order Date]]),1)</f>
        <v>45658</v>
      </c>
      <c r="E2312">
        <f>MONTH(OrdersTable[[#This Row],[Order Date]])</f>
        <v>1</v>
      </c>
      <c r="F2312" t="s">
        <v>1750</v>
      </c>
      <c r="G2312" t="str">
        <f>IF(OrdersTable[[#This Row],[Order Date]]=_xlfn.MINIFS(Order_Date, Customer_ID, OrdersTable[[#This Row],[Customer ID]]), "New", "Repeat")</f>
        <v>Repeat</v>
      </c>
      <c r="H2312" t="s">
        <v>48</v>
      </c>
      <c r="I2312" t="str">
        <f>INDEX(State!B:B,MATCH(OrdersTable[[#This Row],[State]],State!A:A,0))</f>
        <v>HR</v>
      </c>
      <c r="J2312" t="str">
        <f>INDEX(State!C:C,MATCH(OrdersTable[[#This Row],[State Code]],State!B:B,0))</f>
        <v>North</v>
      </c>
      <c r="K2312" t="s">
        <v>151</v>
      </c>
      <c r="L2312" t="s">
        <v>23</v>
      </c>
      <c r="M2312" t="s">
        <v>87</v>
      </c>
      <c r="N2312" t="str">
        <f>INDEX(Products!B:B,MATCH(OrdersTable[[#This Row],[Product ID]],Products!A:A,0))</f>
        <v>Linen Kurta</v>
      </c>
      <c r="O2312" t="str">
        <f>INDEX(Products!C:C,MATCH(OrdersTable[[#This Row],[Product ID]],Products!A:A,0))</f>
        <v>Apparel</v>
      </c>
      <c r="P2312">
        <v>1</v>
      </c>
      <c r="Q2312" s="5">
        <v>1499</v>
      </c>
      <c r="R2312" s="74">
        <v>0.25</v>
      </c>
      <c r="S2312" s="75">
        <f>OrdersTable[[#This Row],[Quantity]]*OrdersTable[[#This Row],[Unit Price]]</f>
        <v>1499</v>
      </c>
      <c r="T2312" s="5">
        <f>OrdersTable[[#This Row],[Gross Sale]]*OrdersTable[[#This Row],[Discount_Clean2]]</f>
        <v>374.75</v>
      </c>
      <c r="U2312" s="5">
        <f>OrdersTable[[#This Row],[Gross Sale]]-OrdersTable[[#This Row],[Discount Amount]]</f>
        <v>1124.25</v>
      </c>
      <c r="V2312" s="77">
        <f>INDEX(Products!E:E,MATCH(OrdersTable[[#This Row],[Product ID]],Products!A:A,0))</f>
        <v>630</v>
      </c>
      <c r="W2312" s="77">
        <f>OrdersTable[[#This Row],[Quantity]]*OrdersTable[[#This Row],[Unit Cost]]</f>
        <v>630</v>
      </c>
      <c r="X2312" s="77">
        <f>'Dropdown Lists'!$I$2*(1+OrdersTable[[#This Row],[Returned]])</f>
        <v>60</v>
      </c>
      <c r="Y2312" s="76">
        <f>OrdersTable[[#This Row],[Net Revenue]]-OrdersTable[[#This Row],[COGS]]-OrdersTable[[#This Row],[Shipping Cost]]</f>
        <v>434.25</v>
      </c>
      <c r="Z2312" s="78">
        <f>IFERROR(OrdersTable[[#This Row],[Profit]]/OrdersTable[[#This Row],[Net Revenue]],0)</f>
        <v>0.38625750500333556</v>
      </c>
      <c r="AA2312" t="s">
        <v>4074</v>
      </c>
      <c r="AB2312" s="79">
        <v>45689</v>
      </c>
      <c r="AC2312">
        <f>OrdersTable[[#This Row],[Delivery Date]]-OrdersTable[[#This Row],[Order Date]]</f>
        <v>4</v>
      </c>
      <c r="AD2312" t="str">
        <f>IF(OrdersTable[[#This Row],[Delivery Days]]&lt;=2, "Express (≤2d)", IF(OrdersTable[[#This Row],[Delivery Days]]&lt;=4, "Standard (3-4d)", "Delayed (5d+)"))</f>
        <v>Standard (3-4d)</v>
      </c>
      <c r="AE2312">
        <v>3</v>
      </c>
      <c r="AF2312">
        <v>0</v>
      </c>
    </row>
    <row r="2313" spans="1:32" ht="15" x14ac:dyDescent="0.35">
      <c r="A2313" t="s">
        <v>6791</v>
      </c>
      <c r="B2313" s="1">
        <v>45685</v>
      </c>
      <c r="C2313">
        <f>YEAR(OrdersTable[[#This Row],[Order Date]])</f>
        <v>2025</v>
      </c>
      <c r="D2313" s="2">
        <f>DATE(YEAR(OrdersTable[[#This Row],[Order Date]]),MONTH(OrdersTable[[#This Row],[Order Date]]),1)</f>
        <v>45658</v>
      </c>
      <c r="E2313">
        <f>MONTH(OrdersTable[[#This Row],[Order Date]])</f>
        <v>1</v>
      </c>
      <c r="F2313" t="s">
        <v>4548</v>
      </c>
      <c r="G2313" t="str">
        <f>IF(OrdersTable[[#This Row],[Order Date]]=_xlfn.MINIFS(Order_Date, Customer_ID, OrdersTable[[#This Row],[Customer ID]]), "New", "Repeat")</f>
        <v>Repeat</v>
      </c>
      <c r="H2313" t="s">
        <v>128</v>
      </c>
      <c r="I2313" t="str">
        <f>INDEX(State!B:B,MATCH(OrdersTable[[#This Row],[State]],State!A:A,0))</f>
        <v>DL</v>
      </c>
      <c r="J2313" t="str">
        <f>INDEX(State!C:C,MATCH(OrdersTable[[#This Row],[State Code]],State!B:B,0))</f>
        <v>North</v>
      </c>
      <c r="K2313" t="s">
        <v>129</v>
      </c>
      <c r="L2313" t="s">
        <v>65</v>
      </c>
      <c r="M2313" t="s">
        <v>78</v>
      </c>
      <c r="N2313" t="str">
        <f>INDEX(Products!B:B,MATCH(OrdersTable[[#This Row],[Product ID]],Products!A:A,0))</f>
        <v>Retinol Night Cream</v>
      </c>
      <c r="O2313" t="str">
        <f>INDEX(Products!C:C,MATCH(OrdersTable[[#This Row],[Product ID]],Products!A:A,0))</f>
        <v>Skincare</v>
      </c>
      <c r="P2313">
        <v>3</v>
      </c>
      <c r="Q2313" s="5">
        <v>799</v>
      </c>
      <c r="R2313" s="74">
        <v>0.05</v>
      </c>
      <c r="S2313" s="75">
        <f>OrdersTable[[#This Row],[Quantity]]*OrdersTable[[#This Row],[Unit Price]]</f>
        <v>2397</v>
      </c>
      <c r="T2313" s="5">
        <f>OrdersTable[[#This Row],[Gross Sale]]*OrdersTable[[#This Row],[Discount_Clean2]]</f>
        <v>119.85000000000001</v>
      </c>
      <c r="U2313" s="5">
        <f>OrdersTable[[#This Row],[Gross Sale]]-OrdersTable[[#This Row],[Discount Amount]]</f>
        <v>2277.15</v>
      </c>
      <c r="V2313" s="77">
        <f>INDEX(Products!E:E,MATCH(OrdersTable[[#This Row],[Product ID]],Products!A:A,0))</f>
        <v>216</v>
      </c>
      <c r="W2313" s="77">
        <f>OrdersTable[[#This Row],[Quantity]]*OrdersTable[[#This Row],[Unit Cost]]</f>
        <v>648</v>
      </c>
      <c r="X2313" s="77">
        <f>'Dropdown Lists'!$I$2*(1+OrdersTable[[#This Row],[Returned]])</f>
        <v>60</v>
      </c>
      <c r="Y2313" s="76">
        <f>OrdersTable[[#This Row],[Net Revenue]]-OrdersTable[[#This Row],[COGS]]-OrdersTable[[#This Row],[Shipping Cost]]</f>
        <v>1569.15</v>
      </c>
      <c r="Z2313" s="78">
        <f>IFERROR(OrdersTable[[#This Row],[Profit]]/OrdersTable[[#This Row],[Net Revenue]],0)</f>
        <v>0.68908504051116526</v>
      </c>
      <c r="AA2313" t="s">
        <v>3495</v>
      </c>
      <c r="AB2313" s="79">
        <v>45689</v>
      </c>
      <c r="AC2313">
        <f>OrdersTable[[#This Row],[Delivery Date]]-OrdersTable[[#This Row],[Order Date]]</f>
        <v>4</v>
      </c>
      <c r="AD2313" t="str">
        <f>IF(OrdersTable[[#This Row],[Delivery Days]]&lt;=2, "Express (≤2d)", IF(OrdersTable[[#This Row],[Delivery Days]]&lt;=4, "Standard (3-4d)", "Delayed (5d+)"))</f>
        <v>Standard (3-4d)</v>
      </c>
      <c r="AE2313">
        <v>4</v>
      </c>
      <c r="AF2313">
        <v>0</v>
      </c>
    </row>
    <row r="2314" spans="1:32" ht="15" x14ac:dyDescent="0.35">
      <c r="A2314" t="s">
        <v>5600</v>
      </c>
      <c r="B2314" s="1">
        <v>45685</v>
      </c>
      <c r="C2314">
        <f>YEAR(OrdersTable[[#This Row],[Order Date]])</f>
        <v>2025</v>
      </c>
      <c r="D2314" s="2">
        <f>DATE(YEAR(OrdersTable[[#This Row],[Order Date]]),MONTH(OrdersTable[[#This Row],[Order Date]]),1)</f>
        <v>45658</v>
      </c>
      <c r="E2314">
        <f>MONTH(OrdersTable[[#This Row],[Order Date]])</f>
        <v>1</v>
      </c>
      <c r="F2314" t="s">
        <v>2014</v>
      </c>
      <c r="G2314" t="str">
        <f>IF(OrdersTable[[#This Row],[Order Date]]=_xlfn.MINIFS(Order_Date, Customer_ID, OrdersTable[[#This Row],[Customer ID]]), "New", "Repeat")</f>
        <v>New</v>
      </c>
      <c r="H2314" t="s">
        <v>128</v>
      </c>
      <c r="I2314" t="str">
        <f>INDEX(State!B:B,MATCH(OrdersTable[[#This Row],[State]],State!A:A,0))</f>
        <v>DL</v>
      </c>
      <c r="J2314" t="str">
        <f>INDEX(State!C:C,MATCH(OrdersTable[[#This Row],[State Code]],State!B:B,0))</f>
        <v>North</v>
      </c>
      <c r="K2314" t="s">
        <v>129</v>
      </c>
      <c r="L2314" t="s">
        <v>39</v>
      </c>
      <c r="M2314" t="s">
        <v>34</v>
      </c>
      <c r="N2314" t="str">
        <f>INDEX(Products!B:B,MATCH(OrdersTable[[#This Row],[Product ID]],Products!A:A,0))</f>
        <v>Flip Flops</v>
      </c>
      <c r="O2314" t="str">
        <f>INDEX(Products!C:C,MATCH(OrdersTable[[#This Row],[Product ID]],Products!A:A,0))</f>
        <v>Footwear</v>
      </c>
      <c r="P2314">
        <v>2</v>
      </c>
      <c r="Q2314" s="5">
        <v>399</v>
      </c>
      <c r="R2314" s="74">
        <v>0</v>
      </c>
      <c r="S2314" s="75">
        <f>OrdersTable[[#This Row],[Quantity]]*OrdersTable[[#This Row],[Unit Price]]</f>
        <v>798</v>
      </c>
      <c r="T2314" s="5">
        <f>OrdersTable[[#This Row],[Gross Sale]]*OrdersTable[[#This Row],[Discount_Clean2]]</f>
        <v>0</v>
      </c>
      <c r="U2314" s="5">
        <f>OrdersTable[[#This Row],[Gross Sale]]-OrdersTable[[#This Row],[Discount Amount]]</f>
        <v>798</v>
      </c>
      <c r="V2314" s="77">
        <f>INDEX(Products!E:E,MATCH(OrdersTable[[#This Row],[Product ID]],Products!A:A,0))</f>
        <v>152</v>
      </c>
      <c r="W2314" s="77">
        <f>OrdersTable[[#This Row],[Quantity]]*OrdersTable[[#This Row],[Unit Cost]]</f>
        <v>304</v>
      </c>
      <c r="X2314" s="77">
        <f>'Dropdown Lists'!$I$2*(1+OrdersTable[[#This Row],[Returned]])</f>
        <v>60</v>
      </c>
      <c r="Y2314" s="76">
        <f>OrdersTable[[#This Row],[Net Revenue]]-OrdersTable[[#This Row],[COGS]]-OrdersTable[[#This Row],[Shipping Cost]]</f>
        <v>434</v>
      </c>
      <c r="Z2314" s="78">
        <f>IFERROR(OrdersTable[[#This Row],[Profit]]/OrdersTable[[#This Row],[Net Revenue]],0)</f>
        <v>0.54385964912280704</v>
      </c>
      <c r="AA2314" t="s">
        <v>2522</v>
      </c>
      <c r="AB2314" s="79">
        <v>45688</v>
      </c>
      <c r="AC2314">
        <f>OrdersTable[[#This Row],[Delivery Date]]-OrdersTable[[#This Row],[Order Date]]</f>
        <v>3</v>
      </c>
      <c r="AD2314" t="str">
        <f>IF(OrdersTable[[#This Row],[Delivery Days]]&lt;=2, "Express (≤2d)", IF(OrdersTable[[#This Row],[Delivery Days]]&lt;=4, "Standard (3-4d)", "Delayed (5d+)"))</f>
        <v>Standard (3-4d)</v>
      </c>
      <c r="AE2314">
        <v>2</v>
      </c>
      <c r="AF2314">
        <v>0</v>
      </c>
    </row>
    <row r="2315" spans="1:32" ht="15" x14ac:dyDescent="0.35">
      <c r="A2315" t="s">
        <v>4595</v>
      </c>
      <c r="B2315" s="1">
        <v>45685</v>
      </c>
      <c r="C2315">
        <f>YEAR(OrdersTable[[#This Row],[Order Date]])</f>
        <v>2025</v>
      </c>
      <c r="D2315" s="2">
        <f>DATE(YEAR(OrdersTable[[#This Row],[Order Date]]),MONTH(OrdersTable[[#This Row],[Order Date]]),1)</f>
        <v>45658</v>
      </c>
      <c r="E2315">
        <f>MONTH(OrdersTable[[#This Row],[Order Date]])</f>
        <v>1</v>
      </c>
      <c r="F2315" t="s">
        <v>1904</v>
      </c>
      <c r="G2315" t="str">
        <f>IF(OrdersTable[[#This Row],[Order Date]]=_xlfn.MINIFS(Order_Date, Customer_ID, OrdersTable[[#This Row],[Customer ID]]), "New", "Repeat")</f>
        <v>Repeat</v>
      </c>
      <c r="H2315" t="s">
        <v>37</v>
      </c>
      <c r="I2315" t="str">
        <f>INDEX(State!B:B,MATCH(OrdersTable[[#This Row],[State]],State!A:A,0))</f>
        <v>GJ</v>
      </c>
      <c r="J2315" t="str">
        <f>INDEX(State!C:C,MATCH(OrdersTable[[#This Row],[State Code]],State!B:B,0))</f>
        <v>West</v>
      </c>
      <c r="K2315" t="s">
        <v>247</v>
      </c>
      <c r="L2315" t="s">
        <v>23</v>
      </c>
      <c r="M2315" t="s">
        <v>84</v>
      </c>
      <c r="N2315" t="str">
        <f>INDEX(Products!B:B,MATCH(OrdersTable[[#This Row],[Product ID]],Products!A:A,0))</f>
        <v>Cotton Bedsheet</v>
      </c>
      <c r="O2315" t="str">
        <f>INDEX(Products!C:C,MATCH(OrdersTable[[#This Row],[Product ID]],Products!A:A,0))</f>
        <v>Home &amp; Kitchen</v>
      </c>
      <c r="P2315">
        <v>1</v>
      </c>
      <c r="Q2315" s="5">
        <v>1299</v>
      </c>
      <c r="R2315" s="74">
        <v>0</v>
      </c>
      <c r="S2315" s="75">
        <f>OrdersTable[[#This Row],[Quantity]]*OrdersTable[[#This Row],[Unit Price]]</f>
        <v>1299</v>
      </c>
      <c r="T2315" s="5">
        <f>OrdersTable[[#This Row],[Gross Sale]]*OrdersTable[[#This Row],[Discount_Clean2]]</f>
        <v>0</v>
      </c>
      <c r="U2315" s="5">
        <f>OrdersTable[[#This Row],[Gross Sale]]-OrdersTable[[#This Row],[Discount Amount]]</f>
        <v>1299</v>
      </c>
      <c r="V2315" s="77">
        <f>INDEX(Products!E:E,MATCH(OrdersTable[[#This Row],[Product ID]],Products!A:A,0))</f>
        <v>585</v>
      </c>
      <c r="W2315" s="77">
        <f>OrdersTable[[#This Row],[Quantity]]*OrdersTable[[#This Row],[Unit Cost]]</f>
        <v>585</v>
      </c>
      <c r="X2315" s="77">
        <f>'Dropdown Lists'!$I$2*(1+OrdersTable[[#This Row],[Returned]])</f>
        <v>60</v>
      </c>
      <c r="Y2315" s="76">
        <f>OrdersTable[[#This Row],[Net Revenue]]-OrdersTable[[#This Row],[COGS]]-OrdersTable[[#This Row],[Shipping Cost]]</f>
        <v>654</v>
      </c>
      <c r="Z2315" s="78">
        <f>IFERROR(OrdersTable[[#This Row],[Profit]]/OrdersTable[[#This Row],[Net Revenue]],0)</f>
        <v>0.50346420323325636</v>
      </c>
      <c r="AA2315" t="s">
        <v>4450</v>
      </c>
      <c r="AB2315" s="79">
        <v>45689</v>
      </c>
      <c r="AC2315">
        <f>OrdersTable[[#This Row],[Delivery Date]]-OrdersTable[[#This Row],[Order Date]]</f>
        <v>4</v>
      </c>
      <c r="AD2315" t="str">
        <f>IF(OrdersTable[[#This Row],[Delivery Days]]&lt;=2, "Express (≤2d)", IF(OrdersTable[[#This Row],[Delivery Days]]&lt;=4, "Standard (3-4d)", "Delayed (5d+)"))</f>
        <v>Standard (3-4d)</v>
      </c>
      <c r="AF2315">
        <v>0</v>
      </c>
    </row>
    <row r="2316" spans="1:32" ht="15" x14ac:dyDescent="0.35">
      <c r="A2316" t="s">
        <v>1394</v>
      </c>
      <c r="B2316" s="1">
        <v>45685</v>
      </c>
      <c r="C2316">
        <f>YEAR(OrdersTable[[#This Row],[Order Date]])</f>
        <v>2025</v>
      </c>
      <c r="D2316" s="2">
        <f>DATE(YEAR(OrdersTable[[#This Row],[Order Date]]),MONTH(OrdersTable[[#This Row],[Order Date]]),1)</f>
        <v>45658</v>
      </c>
      <c r="E2316">
        <f>MONTH(OrdersTable[[#This Row],[Order Date]])</f>
        <v>1</v>
      </c>
      <c r="F2316" t="s">
        <v>282</v>
      </c>
      <c r="G2316" t="str">
        <f>IF(OrdersTable[[#This Row],[Order Date]]=_xlfn.MINIFS(Order_Date, Customer_ID, OrdersTable[[#This Row],[Customer ID]]), "New", "Repeat")</f>
        <v>Repeat</v>
      </c>
      <c r="H2316" t="s">
        <v>27</v>
      </c>
      <c r="I2316" t="str">
        <f>INDEX(State!B:B,MATCH(OrdersTable[[#This Row],[State]],State!A:A,0))</f>
        <v>WB</v>
      </c>
      <c r="J2316" t="str">
        <f>INDEX(State!C:C,MATCH(OrdersTable[[#This Row],[State Code]],State!B:B,0))</f>
        <v>East</v>
      </c>
      <c r="K2316" t="s">
        <v>28</v>
      </c>
      <c r="L2316" t="s">
        <v>23</v>
      </c>
      <c r="M2316" t="s">
        <v>152</v>
      </c>
      <c r="N2316" t="str">
        <f>INDEX(Products!B:B,MATCH(OrdersTable[[#This Row],[Product ID]],Products!A:A,0))</f>
        <v>Green Tea (100 bags)</v>
      </c>
      <c r="O2316" t="str">
        <f>INDEX(Products!C:C,MATCH(OrdersTable[[#This Row],[Product ID]],Products!A:A,0))</f>
        <v>Wellness</v>
      </c>
      <c r="P2316">
        <v>1</v>
      </c>
      <c r="Q2316" s="5">
        <v>399</v>
      </c>
      <c r="R2316" s="74">
        <v>0.45</v>
      </c>
      <c r="S2316" s="75">
        <f>OrdersTable[[#This Row],[Quantity]]*OrdersTable[[#This Row],[Unit Price]]</f>
        <v>399</v>
      </c>
      <c r="T2316" s="5">
        <f>OrdersTable[[#This Row],[Gross Sale]]*OrdersTable[[#This Row],[Discount_Clean2]]</f>
        <v>179.55</v>
      </c>
      <c r="U2316" s="5">
        <f>OrdersTable[[#This Row],[Gross Sale]]-OrdersTable[[#This Row],[Discount Amount]]</f>
        <v>219.45</v>
      </c>
      <c r="V2316" s="77">
        <f>INDEX(Products!E:E,MATCH(OrdersTable[[#This Row],[Product ID]],Products!A:A,0))</f>
        <v>128</v>
      </c>
      <c r="W2316" s="77">
        <f>OrdersTable[[#This Row],[Quantity]]*OrdersTable[[#This Row],[Unit Cost]]</f>
        <v>128</v>
      </c>
      <c r="X2316" s="77">
        <f>'Dropdown Lists'!$I$2*(1+OrdersTable[[#This Row],[Returned]])</f>
        <v>60</v>
      </c>
      <c r="Y2316" s="76">
        <f>OrdersTable[[#This Row],[Net Revenue]]-OrdersTable[[#This Row],[COGS]]-OrdersTable[[#This Row],[Shipping Cost]]</f>
        <v>31.449999999999989</v>
      </c>
      <c r="Z2316" s="78">
        <f>IFERROR(OrdersTable[[#This Row],[Profit]]/OrdersTable[[#This Row],[Net Revenue]],0)</f>
        <v>0.14331282752335381</v>
      </c>
      <c r="AA2316" t="s">
        <v>18</v>
      </c>
      <c r="AB2316" s="79">
        <v>45689</v>
      </c>
      <c r="AC2316">
        <f>OrdersTable[[#This Row],[Delivery Date]]-OrdersTable[[#This Row],[Order Date]]</f>
        <v>4</v>
      </c>
      <c r="AD2316" t="str">
        <f>IF(OrdersTable[[#This Row],[Delivery Days]]&lt;=2, "Express (≤2d)", IF(OrdersTable[[#This Row],[Delivery Days]]&lt;=4, "Standard (3-4d)", "Delayed (5d+)"))</f>
        <v>Standard (3-4d)</v>
      </c>
      <c r="AF2316">
        <v>0</v>
      </c>
    </row>
    <row r="2317" spans="1:32" ht="15" x14ac:dyDescent="0.35">
      <c r="A2317" t="s">
        <v>3591</v>
      </c>
      <c r="B2317" s="1">
        <v>45685</v>
      </c>
      <c r="C2317">
        <f>YEAR(OrdersTable[[#This Row],[Order Date]])</f>
        <v>2025</v>
      </c>
      <c r="D2317" s="2">
        <f>DATE(YEAR(OrdersTable[[#This Row],[Order Date]]),MONTH(OrdersTable[[#This Row],[Order Date]]),1)</f>
        <v>45658</v>
      </c>
      <c r="E2317">
        <f>MONTH(OrdersTable[[#This Row],[Order Date]])</f>
        <v>1</v>
      </c>
      <c r="F2317" t="s">
        <v>3592</v>
      </c>
      <c r="G2317" t="str">
        <f>IF(OrdersTable[[#This Row],[Order Date]]=_xlfn.MINIFS(Order_Date, Customer_ID, OrdersTable[[#This Row],[Customer ID]]), "New", "Repeat")</f>
        <v>Repeat</v>
      </c>
      <c r="H2317" t="s">
        <v>71</v>
      </c>
      <c r="I2317" t="str">
        <f>INDEX(State!B:B,MATCH(OrdersTable[[#This Row],[State]],State!A:A,0))</f>
        <v>MH</v>
      </c>
      <c r="J2317" t="str">
        <f>INDEX(State!C:C,MATCH(OrdersTable[[#This Row],[State Code]],State!B:B,0))</f>
        <v>West</v>
      </c>
      <c r="K2317" t="s">
        <v>102</v>
      </c>
      <c r="L2317" t="s">
        <v>39</v>
      </c>
      <c r="M2317" t="s">
        <v>40</v>
      </c>
      <c r="N2317" t="str">
        <f>INDEX(Products!B:B,MATCH(OrdersTable[[#This Row],[Product ID]],Products!A:A,0))</f>
        <v>Ashwagandha Capsules</v>
      </c>
      <c r="O2317" t="str">
        <f>INDEX(Products!C:C,MATCH(OrdersTable[[#This Row],[Product ID]],Products!A:A,0))</f>
        <v>Wellness</v>
      </c>
      <c r="P2317">
        <v>1</v>
      </c>
      <c r="Q2317" s="5">
        <v>499</v>
      </c>
      <c r="R2317" s="74">
        <v>0.05</v>
      </c>
      <c r="S2317" s="75">
        <f>OrdersTable[[#This Row],[Quantity]]*OrdersTable[[#This Row],[Unit Price]]</f>
        <v>499</v>
      </c>
      <c r="T2317" s="5">
        <f>OrdersTable[[#This Row],[Gross Sale]]*OrdersTable[[#This Row],[Discount_Clean2]]</f>
        <v>24.950000000000003</v>
      </c>
      <c r="U2317" s="5">
        <f>OrdersTable[[#This Row],[Gross Sale]]-OrdersTable[[#This Row],[Discount Amount]]</f>
        <v>474.05</v>
      </c>
      <c r="V2317" s="77">
        <f>INDEX(Products!E:E,MATCH(OrdersTable[[#This Row],[Product ID]],Products!A:A,0))</f>
        <v>150</v>
      </c>
      <c r="W2317" s="77">
        <f>OrdersTable[[#This Row],[Quantity]]*OrdersTable[[#This Row],[Unit Cost]]</f>
        <v>150</v>
      </c>
      <c r="X2317" s="77">
        <f>'Dropdown Lists'!$I$2*(1+OrdersTable[[#This Row],[Returned]])</f>
        <v>60</v>
      </c>
      <c r="Y2317" s="76">
        <f>OrdersTable[[#This Row],[Net Revenue]]-OrdersTable[[#This Row],[COGS]]-OrdersTable[[#This Row],[Shipping Cost]]</f>
        <v>264.05</v>
      </c>
      <c r="Z2317" s="78">
        <f>IFERROR(OrdersTable[[#This Row],[Profit]]/OrdersTable[[#This Row],[Net Revenue]],0)</f>
        <v>0.55700875435080688</v>
      </c>
      <c r="AA2317" t="s">
        <v>3495</v>
      </c>
      <c r="AB2317" s="79">
        <v>45688</v>
      </c>
      <c r="AC2317">
        <f>OrdersTable[[#This Row],[Delivery Date]]-OrdersTable[[#This Row],[Order Date]]</f>
        <v>3</v>
      </c>
      <c r="AD2317" t="str">
        <f>IF(OrdersTable[[#This Row],[Delivery Days]]&lt;=2, "Express (≤2d)", IF(OrdersTable[[#This Row],[Delivery Days]]&lt;=4, "Standard (3-4d)", "Delayed (5d+)"))</f>
        <v>Standard (3-4d)</v>
      </c>
      <c r="AE2317">
        <v>4</v>
      </c>
      <c r="AF2317">
        <v>0</v>
      </c>
    </row>
    <row r="2318" spans="1:32" ht="15" x14ac:dyDescent="0.35">
      <c r="A2318" t="s">
        <v>2780</v>
      </c>
      <c r="B2318" s="1">
        <v>45685</v>
      </c>
      <c r="C2318">
        <f>YEAR(OrdersTable[[#This Row],[Order Date]])</f>
        <v>2025</v>
      </c>
      <c r="D2318" s="2">
        <f>DATE(YEAR(OrdersTable[[#This Row],[Order Date]]),MONTH(OrdersTable[[#This Row],[Order Date]]),1)</f>
        <v>45658</v>
      </c>
      <c r="E2318">
        <f>MONTH(OrdersTable[[#This Row],[Order Date]])</f>
        <v>1</v>
      </c>
      <c r="F2318" t="s">
        <v>2781</v>
      </c>
      <c r="G2318" t="str">
        <f>IF(OrdersTable[[#This Row],[Order Date]]=_xlfn.MINIFS(Order_Date, Customer_ID, OrdersTable[[#This Row],[Customer ID]]), "New", "Repeat")</f>
        <v>New</v>
      </c>
      <c r="H2318" t="s">
        <v>71</v>
      </c>
      <c r="I2318" t="str">
        <f>INDEX(State!B:B,MATCH(OrdersTable[[#This Row],[State]],State!A:A,0))</f>
        <v>MH</v>
      </c>
      <c r="J2318" t="str">
        <f>INDEX(State!C:C,MATCH(OrdersTable[[#This Row],[State Code]],State!B:B,0))</f>
        <v>West</v>
      </c>
      <c r="K2318" t="s">
        <v>102</v>
      </c>
      <c r="L2318" t="s">
        <v>23</v>
      </c>
      <c r="M2318" t="s">
        <v>78</v>
      </c>
      <c r="N2318" t="str">
        <f>INDEX(Products!B:B,MATCH(OrdersTable[[#This Row],[Product ID]],Products!A:A,0))</f>
        <v>Retinol Night Cream</v>
      </c>
      <c r="O2318" t="str">
        <f>INDEX(Products!C:C,MATCH(OrdersTable[[#This Row],[Product ID]],Products!A:A,0))</f>
        <v>Skincare</v>
      </c>
      <c r="P2318">
        <v>1</v>
      </c>
      <c r="Q2318" s="5">
        <v>799</v>
      </c>
      <c r="R2318" s="74">
        <v>0</v>
      </c>
      <c r="S2318" s="75">
        <f>OrdersTable[[#This Row],[Quantity]]*OrdersTable[[#This Row],[Unit Price]]</f>
        <v>799</v>
      </c>
      <c r="T2318" s="5">
        <f>OrdersTable[[#This Row],[Gross Sale]]*OrdersTable[[#This Row],[Discount_Clean2]]</f>
        <v>0</v>
      </c>
      <c r="U2318" s="5">
        <f>OrdersTable[[#This Row],[Gross Sale]]-OrdersTable[[#This Row],[Discount Amount]]</f>
        <v>799</v>
      </c>
      <c r="V2318" s="77">
        <f>INDEX(Products!E:E,MATCH(OrdersTable[[#This Row],[Product ID]],Products!A:A,0))</f>
        <v>216</v>
      </c>
      <c r="W2318" s="77">
        <f>OrdersTable[[#This Row],[Quantity]]*OrdersTable[[#This Row],[Unit Cost]]</f>
        <v>216</v>
      </c>
      <c r="X2318" s="77">
        <f>'Dropdown Lists'!$I$2*(1+OrdersTable[[#This Row],[Returned]])</f>
        <v>60</v>
      </c>
      <c r="Y2318" s="76">
        <f>OrdersTable[[#This Row],[Net Revenue]]-OrdersTable[[#This Row],[COGS]]-OrdersTable[[#This Row],[Shipping Cost]]</f>
        <v>523</v>
      </c>
      <c r="Z2318" s="78">
        <f>IFERROR(OrdersTable[[#This Row],[Profit]]/OrdersTable[[#This Row],[Net Revenue]],0)</f>
        <v>0.65456821026282852</v>
      </c>
      <c r="AA2318" t="s">
        <v>2522</v>
      </c>
      <c r="AB2318" s="79">
        <v>45687</v>
      </c>
      <c r="AC2318">
        <f>OrdersTable[[#This Row],[Delivery Date]]-OrdersTable[[#This Row],[Order Date]]</f>
        <v>2</v>
      </c>
      <c r="AD2318" t="str">
        <f>IF(OrdersTable[[#This Row],[Delivery Days]]&lt;=2, "Express (≤2d)", IF(OrdersTable[[#This Row],[Delivery Days]]&lt;=4, "Standard (3-4d)", "Delayed (5d+)"))</f>
        <v>Express (≤2d)</v>
      </c>
      <c r="AE2318">
        <v>3</v>
      </c>
      <c r="AF2318">
        <v>0</v>
      </c>
    </row>
    <row r="2319" spans="1:32" ht="15" x14ac:dyDescent="0.35">
      <c r="A2319" t="s">
        <v>6343</v>
      </c>
      <c r="B2319" s="1">
        <v>45685</v>
      </c>
      <c r="C2319">
        <f>YEAR(OrdersTable[[#This Row],[Order Date]])</f>
        <v>2025</v>
      </c>
      <c r="D2319" s="2">
        <f>DATE(YEAR(OrdersTable[[#This Row],[Order Date]]),MONTH(OrdersTable[[#This Row],[Order Date]]),1)</f>
        <v>45658</v>
      </c>
      <c r="E2319">
        <f>MONTH(OrdersTable[[#This Row],[Order Date]])</f>
        <v>1</v>
      </c>
      <c r="F2319" t="s">
        <v>6344</v>
      </c>
      <c r="G2319" t="str">
        <f>IF(OrdersTable[[#This Row],[Order Date]]=_xlfn.MINIFS(Order_Date, Customer_ID, OrdersTable[[#This Row],[Customer ID]]), "New", "Repeat")</f>
        <v>New</v>
      </c>
      <c r="H2319" t="s">
        <v>71</v>
      </c>
      <c r="I2319" t="str">
        <f>INDEX(State!B:B,MATCH(OrdersTable[[#This Row],[State]],State!A:A,0))</f>
        <v>MH</v>
      </c>
      <c r="J2319" t="str">
        <f>INDEX(State!C:C,MATCH(OrdersTable[[#This Row],[State Code]],State!B:B,0))</f>
        <v>West</v>
      </c>
      <c r="K2319" t="s">
        <v>72</v>
      </c>
      <c r="L2319" t="s">
        <v>65</v>
      </c>
      <c r="M2319" t="s">
        <v>160</v>
      </c>
      <c r="N2319" t="str">
        <f>INDEX(Products!B:B,MATCH(OrdersTable[[#This Row],[Product ID]],Products!A:A,0))</f>
        <v>Niacinamide Toner</v>
      </c>
      <c r="O2319" t="str">
        <f>INDEX(Products!C:C,MATCH(OrdersTable[[#This Row],[Product ID]],Products!A:A,0))</f>
        <v>Skincare</v>
      </c>
      <c r="P2319">
        <v>2</v>
      </c>
      <c r="Q2319" s="5">
        <v>399</v>
      </c>
      <c r="R2319" s="74">
        <v>0.2</v>
      </c>
      <c r="S2319" s="75">
        <f>OrdersTable[[#This Row],[Quantity]]*OrdersTable[[#This Row],[Unit Price]]</f>
        <v>798</v>
      </c>
      <c r="T2319" s="5">
        <f>OrdersTable[[#This Row],[Gross Sale]]*OrdersTable[[#This Row],[Discount_Clean2]]</f>
        <v>159.60000000000002</v>
      </c>
      <c r="U2319" s="5">
        <f>OrdersTable[[#This Row],[Gross Sale]]-OrdersTable[[#This Row],[Discount Amount]]</f>
        <v>638.4</v>
      </c>
      <c r="V2319" s="77">
        <f>INDEX(Products!E:E,MATCH(OrdersTable[[#This Row],[Product ID]],Products!A:A,0))</f>
        <v>112</v>
      </c>
      <c r="W2319" s="77">
        <f>OrdersTable[[#This Row],[Quantity]]*OrdersTable[[#This Row],[Unit Cost]]</f>
        <v>224</v>
      </c>
      <c r="X2319" s="77">
        <f>'Dropdown Lists'!$I$2*(1+OrdersTable[[#This Row],[Returned]])</f>
        <v>60</v>
      </c>
      <c r="Y2319" s="76">
        <f>OrdersTable[[#This Row],[Net Revenue]]-OrdersTable[[#This Row],[COGS]]-OrdersTable[[#This Row],[Shipping Cost]]</f>
        <v>354.4</v>
      </c>
      <c r="Z2319" s="78">
        <f>IFERROR(OrdersTable[[#This Row],[Profit]]/OrdersTable[[#This Row],[Net Revenue]],0)</f>
        <v>0.55513784461152882</v>
      </c>
      <c r="AA2319" t="s">
        <v>18</v>
      </c>
      <c r="AB2319" s="79">
        <v>45686</v>
      </c>
      <c r="AC2319">
        <f>OrdersTable[[#This Row],[Delivery Date]]-OrdersTable[[#This Row],[Order Date]]</f>
        <v>1</v>
      </c>
      <c r="AD2319" t="str">
        <f>IF(OrdersTable[[#This Row],[Delivery Days]]&lt;=2, "Express (≤2d)", IF(OrdersTable[[#This Row],[Delivery Days]]&lt;=4, "Standard (3-4d)", "Delayed (5d+)"))</f>
        <v>Express (≤2d)</v>
      </c>
      <c r="AE2319">
        <v>5</v>
      </c>
      <c r="AF2319">
        <v>0</v>
      </c>
    </row>
    <row r="2320" spans="1:32" ht="15" x14ac:dyDescent="0.35">
      <c r="A2320" t="s">
        <v>570</v>
      </c>
      <c r="B2320" s="1">
        <v>45685</v>
      </c>
      <c r="C2320">
        <f>YEAR(OrdersTable[[#This Row],[Order Date]])</f>
        <v>2025</v>
      </c>
      <c r="D2320" s="2">
        <f>DATE(YEAR(OrdersTable[[#This Row],[Order Date]]),MONTH(OrdersTable[[#This Row],[Order Date]]),1)</f>
        <v>45658</v>
      </c>
      <c r="E2320">
        <f>MONTH(OrdersTable[[#This Row],[Order Date]])</f>
        <v>1</v>
      </c>
      <c r="F2320" t="s">
        <v>571</v>
      </c>
      <c r="G2320" t="str">
        <f>IF(OrdersTable[[#This Row],[Order Date]]=_xlfn.MINIFS(Order_Date, Customer_ID, OrdersTable[[#This Row],[Customer ID]]), "New", "Repeat")</f>
        <v>New</v>
      </c>
      <c r="H2320" t="s">
        <v>275</v>
      </c>
      <c r="I2320" t="str">
        <f>INDEX(State!B:B,MATCH(OrdersTable[[#This Row],[State]],State!A:A,0))</f>
        <v>AP</v>
      </c>
      <c r="J2320" t="str">
        <f>INDEX(State!C:C,MATCH(OrdersTable[[#This Row],[State Code]],State!B:B,0))</f>
        <v>South</v>
      </c>
      <c r="K2320" t="s">
        <v>276</v>
      </c>
      <c r="L2320" t="s">
        <v>23</v>
      </c>
      <c r="M2320" t="s">
        <v>24</v>
      </c>
      <c r="N2320" t="str">
        <f>INDEX(Products!B:B,MATCH(OrdersTable[[#This Row],[Product ID]],Products!A:A,0))</f>
        <v>Scented Candle Set</v>
      </c>
      <c r="O2320" t="str">
        <f>INDEX(Products!C:C,MATCH(OrdersTable[[#This Row],[Product ID]],Products!A:A,0))</f>
        <v>Home &amp; Kitchen</v>
      </c>
      <c r="P2320">
        <v>1</v>
      </c>
      <c r="Q2320" s="5">
        <v>699</v>
      </c>
      <c r="R2320" s="74">
        <v>0.2</v>
      </c>
      <c r="S2320" s="75">
        <f>OrdersTable[[#This Row],[Quantity]]*OrdersTable[[#This Row],[Unit Price]]</f>
        <v>699</v>
      </c>
      <c r="T2320" s="5">
        <f>OrdersTable[[#This Row],[Gross Sale]]*OrdersTable[[#This Row],[Discount_Clean2]]</f>
        <v>139.80000000000001</v>
      </c>
      <c r="U2320" s="5">
        <f>OrdersTable[[#This Row],[Gross Sale]]-OrdersTable[[#This Row],[Discount Amount]]</f>
        <v>559.20000000000005</v>
      </c>
      <c r="V2320" s="77">
        <f>INDEX(Products!E:E,MATCH(OrdersTable[[#This Row],[Product ID]],Products!A:A,0))</f>
        <v>245</v>
      </c>
      <c r="W2320" s="77">
        <f>OrdersTable[[#This Row],[Quantity]]*OrdersTable[[#This Row],[Unit Cost]]</f>
        <v>245</v>
      </c>
      <c r="X2320" s="77">
        <f>'Dropdown Lists'!$I$2*(1+OrdersTable[[#This Row],[Returned]])</f>
        <v>60</v>
      </c>
      <c r="Y2320" s="76">
        <f>OrdersTable[[#This Row],[Net Revenue]]-OrdersTable[[#This Row],[COGS]]-OrdersTable[[#This Row],[Shipping Cost]]</f>
        <v>254.20000000000005</v>
      </c>
      <c r="Z2320" s="78">
        <f>IFERROR(OrdersTable[[#This Row],[Profit]]/OrdersTable[[#This Row],[Net Revenue]],0)</f>
        <v>0.45457796852646642</v>
      </c>
      <c r="AA2320" t="s">
        <v>18</v>
      </c>
      <c r="AB2320" s="79">
        <v>45687</v>
      </c>
      <c r="AC2320">
        <f>OrdersTable[[#This Row],[Delivery Date]]-OrdersTable[[#This Row],[Order Date]]</f>
        <v>2</v>
      </c>
      <c r="AD2320" t="str">
        <f>IF(OrdersTable[[#This Row],[Delivery Days]]&lt;=2, "Express (≤2d)", IF(OrdersTable[[#This Row],[Delivery Days]]&lt;=4, "Standard (3-4d)", "Delayed (5d+)"))</f>
        <v>Express (≤2d)</v>
      </c>
      <c r="AE2320">
        <v>4</v>
      </c>
      <c r="AF2320">
        <v>0</v>
      </c>
    </row>
    <row r="2321" spans="1:32" ht="15" x14ac:dyDescent="0.35">
      <c r="A2321" t="s">
        <v>1072</v>
      </c>
      <c r="B2321" s="1">
        <v>45685</v>
      </c>
      <c r="C2321">
        <f>YEAR(OrdersTable[[#This Row],[Order Date]])</f>
        <v>2025</v>
      </c>
      <c r="D2321" s="2">
        <f>DATE(YEAR(OrdersTable[[#This Row],[Order Date]]),MONTH(OrdersTable[[#This Row],[Order Date]]),1)</f>
        <v>45658</v>
      </c>
      <c r="E2321">
        <f>MONTH(OrdersTable[[#This Row],[Order Date]])</f>
        <v>1</v>
      </c>
      <c r="F2321" t="s">
        <v>1073</v>
      </c>
      <c r="G2321" t="str">
        <f>IF(OrdersTable[[#This Row],[Order Date]]=_xlfn.MINIFS(Order_Date, Customer_ID, OrdersTable[[#This Row],[Customer ID]]), "New", "Repeat")</f>
        <v>Repeat</v>
      </c>
      <c r="H2321" t="s">
        <v>59</v>
      </c>
      <c r="I2321" t="str">
        <f>INDEX(State!B:B,MATCH(OrdersTable[[#This Row],[State]],State!A:A,0))</f>
        <v>TN</v>
      </c>
      <c r="J2321" t="str">
        <f>INDEX(State!C:C,MATCH(OrdersTable[[#This Row],[State Code]],State!B:B,0))</f>
        <v>South</v>
      </c>
      <c r="K2321" t="s">
        <v>64</v>
      </c>
      <c r="L2321" t="s">
        <v>39</v>
      </c>
      <c r="M2321" t="s">
        <v>66</v>
      </c>
      <c r="N2321" t="str">
        <f>INDEX(Products!B:B,MATCH(OrdersTable[[#This Row],[Product ID]],Products!A:A,0))</f>
        <v>Sunscreen SPF 50</v>
      </c>
      <c r="O2321" t="str">
        <f>INDEX(Products!C:C,MATCH(OrdersTable[[#This Row],[Product ID]],Products!A:A,0))</f>
        <v>Skincare</v>
      </c>
      <c r="P2321">
        <v>1</v>
      </c>
      <c r="Q2321" s="5">
        <v>449</v>
      </c>
      <c r="R2321" s="74">
        <v>0</v>
      </c>
      <c r="S2321" s="75">
        <f>OrdersTable[[#This Row],[Quantity]]*OrdersTable[[#This Row],[Unit Price]]</f>
        <v>449</v>
      </c>
      <c r="T2321" s="5">
        <f>OrdersTable[[#This Row],[Gross Sale]]*OrdersTable[[#This Row],[Discount_Clean2]]</f>
        <v>0</v>
      </c>
      <c r="U2321" s="5">
        <f>OrdersTable[[#This Row],[Gross Sale]]-OrdersTable[[#This Row],[Discount Amount]]</f>
        <v>449</v>
      </c>
      <c r="V2321" s="77">
        <f>INDEX(Products!E:E,MATCH(OrdersTable[[#This Row],[Product ID]],Products!A:A,0))</f>
        <v>144</v>
      </c>
      <c r="W2321" s="77">
        <f>OrdersTable[[#This Row],[Quantity]]*OrdersTable[[#This Row],[Unit Cost]]</f>
        <v>144</v>
      </c>
      <c r="X2321" s="77">
        <f>'Dropdown Lists'!$I$2*(1+OrdersTable[[#This Row],[Returned]])</f>
        <v>120</v>
      </c>
      <c r="Y2321" s="76">
        <f>OrdersTable[[#This Row],[Net Revenue]]-OrdersTable[[#This Row],[COGS]]-OrdersTable[[#This Row],[Shipping Cost]]</f>
        <v>185</v>
      </c>
      <c r="Z2321" s="78">
        <f>IFERROR(OrdersTable[[#This Row],[Profit]]/OrdersTable[[#This Row],[Net Revenue]],0)</f>
        <v>0.41202672605790647</v>
      </c>
      <c r="AA2321" t="s">
        <v>18</v>
      </c>
      <c r="AB2321" s="79">
        <v>45686</v>
      </c>
      <c r="AC2321">
        <f>OrdersTable[[#This Row],[Delivery Date]]-OrdersTable[[#This Row],[Order Date]]</f>
        <v>1</v>
      </c>
      <c r="AD2321" t="str">
        <f>IF(OrdersTable[[#This Row],[Delivery Days]]&lt;=2, "Express (≤2d)", IF(OrdersTable[[#This Row],[Delivery Days]]&lt;=4, "Standard (3-4d)", "Delayed (5d+)"))</f>
        <v>Express (≤2d)</v>
      </c>
      <c r="AE2321">
        <v>4</v>
      </c>
      <c r="AF2321">
        <v>1</v>
      </c>
    </row>
    <row r="2322" spans="1:32" ht="15" x14ac:dyDescent="0.35">
      <c r="A2322" t="s">
        <v>6143</v>
      </c>
      <c r="B2322" s="1">
        <v>45686</v>
      </c>
      <c r="C2322">
        <f>YEAR(OrdersTable[[#This Row],[Order Date]])</f>
        <v>2025</v>
      </c>
      <c r="D2322" s="2">
        <f>DATE(YEAR(OrdersTable[[#This Row],[Order Date]]),MONTH(OrdersTable[[#This Row],[Order Date]]),1)</f>
        <v>45658</v>
      </c>
      <c r="E2322">
        <f>MONTH(OrdersTable[[#This Row],[Order Date]])</f>
        <v>1</v>
      </c>
      <c r="F2322" t="s">
        <v>89</v>
      </c>
      <c r="G2322" t="str">
        <f>IF(OrdersTable[[#This Row],[Order Date]]=_xlfn.MINIFS(Order_Date, Customer_ID, OrdersTable[[#This Row],[Customer ID]]), "New", "Repeat")</f>
        <v>Repeat</v>
      </c>
      <c r="H2322" t="s">
        <v>54</v>
      </c>
      <c r="I2322" t="str">
        <f>INDEX(State!B:B,MATCH(OrdersTable[[#This Row],[State]],State!A:A,0))</f>
        <v>RJ</v>
      </c>
      <c r="J2322" t="str">
        <f>INDEX(State!C:C,MATCH(OrdersTable[[#This Row],[State Code]],State!B:B,0))</f>
        <v>North</v>
      </c>
      <c r="K2322" t="s">
        <v>55</v>
      </c>
      <c r="L2322" t="s">
        <v>50</v>
      </c>
      <c r="M2322" t="s">
        <v>61</v>
      </c>
      <c r="N2322" t="str">
        <f>INDEX(Products!B:B,MATCH(OrdersTable[[#This Row],[Product ID]],Products!A:A,0))</f>
        <v>Multivitamin Gummies</v>
      </c>
      <c r="O2322" t="str">
        <f>INDEX(Products!C:C,MATCH(OrdersTable[[#This Row],[Product ID]],Products!A:A,0))</f>
        <v>Wellness</v>
      </c>
      <c r="P2322">
        <v>2</v>
      </c>
      <c r="Q2322" s="5">
        <v>699</v>
      </c>
      <c r="R2322" s="74">
        <v>0.3</v>
      </c>
      <c r="S2322" s="75">
        <f>OrdersTable[[#This Row],[Quantity]]*OrdersTable[[#This Row],[Unit Price]]</f>
        <v>1398</v>
      </c>
      <c r="T2322" s="5">
        <f>OrdersTable[[#This Row],[Gross Sale]]*OrdersTable[[#This Row],[Discount_Clean2]]</f>
        <v>419.4</v>
      </c>
      <c r="U2322" s="5">
        <f>OrdersTable[[#This Row],[Gross Sale]]-OrdersTable[[#This Row],[Discount Amount]]</f>
        <v>978.6</v>
      </c>
      <c r="V2322" s="77">
        <f>INDEX(Products!E:E,MATCH(OrdersTable[[#This Row],[Product ID]],Products!A:A,0))</f>
        <v>238</v>
      </c>
      <c r="W2322" s="77">
        <f>OrdersTable[[#This Row],[Quantity]]*OrdersTable[[#This Row],[Unit Cost]]</f>
        <v>476</v>
      </c>
      <c r="X2322" s="77">
        <f>'Dropdown Lists'!$I$2*(1+OrdersTable[[#This Row],[Returned]])</f>
        <v>60</v>
      </c>
      <c r="Y2322" s="76">
        <f>OrdersTable[[#This Row],[Net Revenue]]-OrdersTable[[#This Row],[COGS]]-OrdersTable[[#This Row],[Shipping Cost]]</f>
        <v>442.6</v>
      </c>
      <c r="Z2322" s="78">
        <f>IFERROR(OrdersTable[[#This Row],[Profit]]/OrdersTable[[#This Row],[Net Revenue]],0)</f>
        <v>0.45227876558348662</v>
      </c>
      <c r="AA2322" t="s">
        <v>18</v>
      </c>
      <c r="AB2322" s="79">
        <v>45690</v>
      </c>
      <c r="AC2322">
        <f>OrdersTable[[#This Row],[Delivery Date]]-OrdersTable[[#This Row],[Order Date]]</f>
        <v>4</v>
      </c>
      <c r="AD2322" t="str">
        <f>IF(OrdersTable[[#This Row],[Delivery Days]]&lt;=2, "Express (≤2d)", IF(OrdersTable[[#This Row],[Delivery Days]]&lt;=4, "Standard (3-4d)", "Delayed (5d+)"))</f>
        <v>Standard (3-4d)</v>
      </c>
      <c r="AE2322">
        <v>4</v>
      </c>
      <c r="AF2322">
        <v>0</v>
      </c>
    </row>
    <row r="2323" spans="1:32" ht="15" x14ac:dyDescent="0.35">
      <c r="A2323" t="s">
        <v>572</v>
      </c>
      <c r="B2323" s="1">
        <v>45686</v>
      </c>
      <c r="C2323">
        <f>YEAR(OrdersTable[[#This Row],[Order Date]])</f>
        <v>2025</v>
      </c>
      <c r="D2323" s="2">
        <f>DATE(YEAR(OrdersTable[[#This Row],[Order Date]]),MONTH(OrdersTable[[#This Row],[Order Date]]),1)</f>
        <v>45658</v>
      </c>
      <c r="E2323">
        <f>MONTH(OrdersTable[[#This Row],[Order Date]])</f>
        <v>1</v>
      </c>
      <c r="F2323" t="s">
        <v>573</v>
      </c>
      <c r="G2323" t="str">
        <f>IF(OrdersTable[[#This Row],[Order Date]]=_xlfn.MINIFS(Order_Date, Customer_ID, OrdersTable[[#This Row],[Customer ID]]), "New", "Repeat")</f>
        <v>Repeat</v>
      </c>
      <c r="H2323" t="s">
        <v>76</v>
      </c>
      <c r="I2323" t="str">
        <f>INDEX(State!B:B,MATCH(OrdersTable[[#This Row],[State]],State!A:A,0))</f>
        <v>UP</v>
      </c>
      <c r="J2323" t="str">
        <f>INDEX(State!C:C,MATCH(OrdersTable[[#This Row],[State Code]],State!B:B,0))</f>
        <v>North</v>
      </c>
      <c r="K2323" t="s">
        <v>118</v>
      </c>
      <c r="L2323" t="s">
        <v>65</v>
      </c>
      <c r="M2323" t="s">
        <v>109</v>
      </c>
      <c r="N2323" t="str">
        <f>INDEX(Products!B:B,MATCH(OrdersTable[[#This Row],[Product ID]],Products!A:A,0))</f>
        <v>Onion Hair Oil</v>
      </c>
      <c r="O2323" t="str">
        <f>INDEX(Products!C:C,MATCH(OrdersTable[[#This Row],[Product ID]],Products!A:A,0))</f>
        <v>Haircare</v>
      </c>
      <c r="P2323">
        <v>1</v>
      </c>
      <c r="Q2323" s="5">
        <v>349</v>
      </c>
      <c r="R2323" s="74">
        <v>0.3</v>
      </c>
      <c r="S2323" s="75">
        <f>OrdersTable[[#This Row],[Quantity]]*OrdersTable[[#This Row],[Unit Price]]</f>
        <v>349</v>
      </c>
      <c r="T2323" s="5">
        <f>OrdersTable[[#This Row],[Gross Sale]]*OrdersTable[[#This Row],[Discount_Clean2]]</f>
        <v>104.7</v>
      </c>
      <c r="U2323" s="5">
        <f>OrdersTable[[#This Row],[Gross Sale]]-OrdersTable[[#This Row],[Discount Amount]]</f>
        <v>244.3</v>
      </c>
      <c r="V2323" s="77">
        <f>INDEX(Products!E:E,MATCH(OrdersTable[[#This Row],[Product ID]],Products!A:A,0))</f>
        <v>105</v>
      </c>
      <c r="W2323" s="77">
        <f>OrdersTable[[#This Row],[Quantity]]*OrdersTable[[#This Row],[Unit Cost]]</f>
        <v>105</v>
      </c>
      <c r="X2323" s="77">
        <f>'Dropdown Lists'!$I$2*(1+OrdersTable[[#This Row],[Returned]])</f>
        <v>60</v>
      </c>
      <c r="Y2323" s="76">
        <f>OrdersTable[[#This Row],[Net Revenue]]-OrdersTable[[#This Row],[COGS]]-OrdersTable[[#This Row],[Shipping Cost]]</f>
        <v>79.300000000000011</v>
      </c>
      <c r="Z2323" s="78">
        <f>IFERROR(OrdersTable[[#This Row],[Profit]]/OrdersTable[[#This Row],[Net Revenue]],0)</f>
        <v>0.32460090053213264</v>
      </c>
      <c r="AA2323" t="s">
        <v>18</v>
      </c>
      <c r="AB2323" s="79">
        <v>45689</v>
      </c>
      <c r="AC2323">
        <f>OrdersTable[[#This Row],[Delivery Date]]-OrdersTable[[#This Row],[Order Date]]</f>
        <v>3</v>
      </c>
      <c r="AD2323" t="str">
        <f>IF(OrdersTable[[#This Row],[Delivery Days]]&lt;=2, "Express (≤2d)", IF(OrdersTable[[#This Row],[Delivery Days]]&lt;=4, "Standard (3-4d)", "Delayed (5d+)"))</f>
        <v>Standard (3-4d)</v>
      </c>
      <c r="AE2323">
        <v>4</v>
      </c>
      <c r="AF2323">
        <v>0</v>
      </c>
    </row>
    <row r="2324" spans="1:32" ht="15" x14ac:dyDescent="0.35">
      <c r="A2324" t="s">
        <v>2782</v>
      </c>
      <c r="B2324" s="1">
        <v>45686</v>
      </c>
      <c r="C2324">
        <f>YEAR(OrdersTable[[#This Row],[Order Date]])</f>
        <v>2025</v>
      </c>
      <c r="D2324" s="2">
        <f>DATE(YEAR(OrdersTable[[#This Row],[Order Date]]),MONTH(OrdersTable[[#This Row],[Order Date]]),1)</f>
        <v>45658</v>
      </c>
      <c r="E2324">
        <f>MONTH(OrdersTable[[#This Row],[Order Date]])</f>
        <v>1</v>
      </c>
      <c r="F2324" t="s">
        <v>75</v>
      </c>
      <c r="G2324" t="str">
        <f>IF(OrdersTable[[#This Row],[Order Date]]=_xlfn.MINIFS(Order_Date, Customer_ID, OrdersTable[[#This Row],[Customer ID]]), "New", "Repeat")</f>
        <v>Repeat</v>
      </c>
      <c r="H2324" t="s">
        <v>37</v>
      </c>
      <c r="I2324" t="str">
        <f>INDEX(State!B:B,MATCH(OrdersTable[[#This Row],[State]],State!A:A,0))</f>
        <v>GJ</v>
      </c>
      <c r="J2324" t="str">
        <f>INDEX(State!C:C,MATCH(OrdersTable[[#This Row],[State Code]],State!B:B,0))</f>
        <v>West</v>
      </c>
      <c r="K2324" t="s">
        <v>38</v>
      </c>
      <c r="L2324" t="s">
        <v>39</v>
      </c>
      <c r="M2324" t="s">
        <v>24</v>
      </c>
      <c r="N2324" t="str">
        <f>INDEX(Products!B:B,MATCH(OrdersTable[[#This Row],[Product ID]],Products!A:A,0))</f>
        <v>Scented Candle Set</v>
      </c>
      <c r="O2324" t="str">
        <f>INDEX(Products!C:C,MATCH(OrdersTable[[#This Row],[Product ID]],Products!A:A,0))</f>
        <v>Home &amp; Kitchen</v>
      </c>
      <c r="P2324">
        <v>1</v>
      </c>
      <c r="Q2324" s="5">
        <v>699</v>
      </c>
      <c r="R2324" s="74">
        <v>0.2</v>
      </c>
      <c r="S2324" s="75">
        <f>OrdersTable[[#This Row],[Quantity]]*OrdersTable[[#This Row],[Unit Price]]</f>
        <v>699</v>
      </c>
      <c r="T2324" s="5">
        <f>OrdersTable[[#This Row],[Gross Sale]]*OrdersTable[[#This Row],[Discount_Clean2]]</f>
        <v>139.80000000000001</v>
      </c>
      <c r="U2324" s="5">
        <f>OrdersTable[[#This Row],[Gross Sale]]-OrdersTable[[#This Row],[Discount Amount]]</f>
        <v>559.20000000000005</v>
      </c>
      <c r="V2324" s="77">
        <f>INDEX(Products!E:E,MATCH(OrdersTable[[#This Row],[Product ID]],Products!A:A,0))</f>
        <v>245</v>
      </c>
      <c r="W2324" s="77">
        <f>OrdersTable[[#This Row],[Quantity]]*OrdersTable[[#This Row],[Unit Cost]]</f>
        <v>245</v>
      </c>
      <c r="X2324" s="77">
        <f>'Dropdown Lists'!$I$2*(1+OrdersTable[[#This Row],[Returned]])</f>
        <v>60</v>
      </c>
      <c r="Y2324" s="76">
        <f>OrdersTable[[#This Row],[Net Revenue]]-OrdersTable[[#This Row],[COGS]]-OrdersTable[[#This Row],[Shipping Cost]]</f>
        <v>254.20000000000005</v>
      </c>
      <c r="Z2324" s="78">
        <f>IFERROR(OrdersTable[[#This Row],[Profit]]/OrdersTable[[#This Row],[Net Revenue]],0)</f>
        <v>0.45457796852646642</v>
      </c>
      <c r="AA2324" t="s">
        <v>2522</v>
      </c>
      <c r="AB2324" s="79">
        <v>45689</v>
      </c>
      <c r="AC2324">
        <f>OrdersTable[[#This Row],[Delivery Date]]-OrdersTable[[#This Row],[Order Date]]</f>
        <v>3</v>
      </c>
      <c r="AD2324" t="str">
        <f>IF(OrdersTable[[#This Row],[Delivery Days]]&lt;=2, "Express (≤2d)", IF(OrdersTable[[#This Row],[Delivery Days]]&lt;=4, "Standard (3-4d)", "Delayed (5d+)"))</f>
        <v>Standard (3-4d)</v>
      </c>
      <c r="AE2324">
        <v>3</v>
      </c>
      <c r="AF2324">
        <v>0</v>
      </c>
    </row>
    <row r="2325" spans="1:32" ht="15" x14ac:dyDescent="0.35">
      <c r="A2325" t="s">
        <v>1950</v>
      </c>
      <c r="B2325" s="1">
        <v>45686</v>
      </c>
      <c r="C2325">
        <f>YEAR(OrdersTable[[#This Row],[Order Date]])</f>
        <v>2025</v>
      </c>
      <c r="D2325" s="2">
        <f>DATE(YEAR(OrdersTable[[#This Row],[Order Date]]),MONTH(OrdersTable[[#This Row],[Order Date]]),1)</f>
        <v>45658</v>
      </c>
      <c r="E2325">
        <f>MONTH(OrdersTable[[#This Row],[Order Date]])</f>
        <v>1</v>
      </c>
      <c r="F2325" t="s">
        <v>1166</v>
      </c>
      <c r="G2325" t="str">
        <f>IF(OrdersTable[[#This Row],[Order Date]]=_xlfn.MINIFS(Order_Date, Customer_ID, OrdersTable[[#This Row],[Customer ID]]), "New", "Repeat")</f>
        <v>New</v>
      </c>
      <c r="H2325" t="s">
        <v>37</v>
      </c>
      <c r="I2325" t="str">
        <f>INDEX(State!B:B,MATCH(OrdersTable[[#This Row],[State]],State!A:A,0))</f>
        <v>GJ</v>
      </c>
      <c r="J2325" t="str">
        <f>INDEX(State!C:C,MATCH(OrdersTable[[#This Row],[State Code]],State!B:B,0))</f>
        <v>West</v>
      </c>
      <c r="K2325" t="s">
        <v>38</v>
      </c>
      <c r="L2325" t="s">
        <v>23</v>
      </c>
      <c r="M2325" t="s">
        <v>73</v>
      </c>
      <c r="N2325" t="str">
        <f>INDEX(Products!B:B,MATCH(OrdersTable[[#This Row],[Product ID]],Products!A:A,0))</f>
        <v>Hydrating Face Wash</v>
      </c>
      <c r="O2325" t="str">
        <f>INDEX(Products!C:C,MATCH(OrdersTable[[#This Row],[Product ID]],Products!A:A,0))</f>
        <v>Skincare</v>
      </c>
      <c r="P2325">
        <v>1</v>
      </c>
      <c r="Q2325" s="5">
        <v>299</v>
      </c>
      <c r="R2325" s="74">
        <v>0</v>
      </c>
      <c r="S2325" s="75">
        <f>OrdersTable[[#This Row],[Quantity]]*OrdersTable[[#This Row],[Unit Price]]</f>
        <v>299</v>
      </c>
      <c r="T2325" s="5">
        <f>OrdersTable[[#This Row],[Gross Sale]]*OrdersTable[[#This Row],[Discount_Clean2]]</f>
        <v>0</v>
      </c>
      <c r="U2325" s="5">
        <f>OrdersTable[[#This Row],[Gross Sale]]-OrdersTable[[#This Row],[Discount Amount]]</f>
        <v>299</v>
      </c>
      <c r="V2325" s="77">
        <f>INDEX(Products!E:E,MATCH(OrdersTable[[#This Row],[Product ID]],Products!A:A,0))</f>
        <v>90</v>
      </c>
      <c r="W2325" s="77">
        <f>OrdersTable[[#This Row],[Quantity]]*OrdersTable[[#This Row],[Unit Cost]]</f>
        <v>90</v>
      </c>
      <c r="X2325" s="77">
        <f>'Dropdown Lists'!$I$2*(1+OrdersTable[[#This Row],[Returned]])</f>
        <v>60</v>
      </c>
      <c r="Y2325" s="76">
        <f>OrdersTable[[#This Row],[Net Revenue]]-OrdersTable[[#This Row],[COGS]]-OrdersTable[[#This Row],[Shipping Cost]]</f>
        <v>149</v>
      </c>
      <c r="Z2325" s="78">
        <f>IFERROR(OrdersTable[[#This Row],[Profit]]/OrdersTable[[#This Row],[Net Revenue]],0)</f>
        <v>0.49832775919732442</v>
      </c>
      <c r="AA2325" t="s">
        <v>18</v>
      </c>
      <c r="AB2325" s="79">
        <v>45690</v>
      </c>
      <c r="AC2325">
        <f>OrdersTable[[#This Row],[Delivery Date]]-OrdersTable[[#This Row],[Order Date]]</f>
        <v>4</v>
      </c>
      <c r="AD2325" t="str">
        <f>IF(OrdersTable[[#This Row],[Delivery Days]]&lt;=2, "Express (≤2d)", IF(OrdersTable[[#This Row],[Delivery Days]]&lt;=4, "Standard (3-4d)", "Delayed (5d+)"))</f>
        <v>Standard (3-4d)</v>
      </c>
      <c r="AE2325">
        <v>3</v>
      </c>
      <c r="AF2325">
        <v>0</v>
      </c>
    </row>
    <row r="2326" spans="1:32" ht="15" x14ac:dyDescent="0.35">
      <c r="A2326" t="s">
        <v>1536</v>
      </c>
      <c r="B2326" s="1">
        <v>45686</v>
      </c>
      <c r="C2326">
        <f>YEAR(OrdersTable[[#This Row],[Order Date]])</f>
        <v>2025</v>
      </c>
      <c r="D2326" s="2">
        <f>DATE(YEAR(OrdersTable[[#This Row],[Order Date]]),MONTH(OrdersTable[[#This Row],[Order Date]]),1)</f>
        <v>45658</v>
      </c>
      <c r="E2326">
        <f>MONTH(OrdersTable[[#This Row],[Order Date]])</f>
        <v>1</v>
      </c>
      <c r="F2326" t="s">
        <v>1537</v>
      </c>
      <c r="G2326" t="str">
        <f>IF(OrdersTable[[#This Row],[Order Date]]=_xlfn.MINIFS(Order_Date, Customer_ID, OrdersTable[[#This Row],[Customer ID]]), "New", "Repeat")</f>
        <v>Repeat</v>
      </c>
      <c r="H2326" t="s">
        <v>71</v>
      </c>
      <c r="I2326" t="str">
        <f>INDEX(State!B:B,MATCH(OrdersTable[[#This Row],[State]],State!A:A,0))</f>
        <v>MH</v>
      </c>
      <c r="J2326" t="str">
        <f>INDEX(State!C:C,MATCH(OrdersTable[[#This Row],[State Code]],State!B:B,0))</f>
        <v>West</v>
      </c>
      <c r="K2326" t="s">
        <v>72</v>
      </c>
      <c r="L2326" t="s">
        <v>39</v>
      </c>
      <c r="M2326" t="s">
        <v>56</v>
      </c>
      <c r="N2326" t="str">
        <f>INDEX(Products!B:B,MATCH(OrdersTable[[#This Row],[Product ID]],Products!A:A,0))</f>
        <v>Vitamin C Face Serum</v>
      </c>
      <c r="O2326" t="str">
        <f>INDEX(Products!C:C,MATCH(OrdersTable[[#This Row],[Product ID]],Products!A:A,0))</f>
        <v>Skincare</v>
      </c>
      <c r="P2326">
        <v>1</v>
      </c>
      <c r="Q2326" s="5">
        <v>599</v>
      </c>
      <c r="R2326" s="74">
        <v>0.15</v>
      </c>
      <c r="S2326" s="75">
        <f>OrdersTable[[#This Row],[Quantity]]*OrdersTable[[#This Row],[Unit Price]]</f>
        <v>599</v>
      </c>
      <c r="T2326" s="5">
        <f>OrdersTable[[#This Row],[Gross Sale]]*OrdersTable[[#This Row],[Discount_Clean2]]</f>
        <v>89.85</v>
      </c>
      <c r="U2326" s="5">
        <f>OrdersTable[[#This Row],[Gross Sale]]-OrdersTable[[#This Row],[Discount Amount]]</f>
        <v>509.15</v>
      </c>
      <c r="V2326" s="77">
        <f>INDEX(Products!E:E,MATCH(OrdersTable[[#This Row],[Product ID]],Products!A:A,0))</f>
        <v>180</v>
      </c>
      <c r="W2326" s="77">
        <f>OrdersTable[[#This Row],[Quantity]]*OrdersTable[[#This Row],[Unit Cost]]</f>
        <v>180</v>
      </c>
      <c r="X2326" s="77">
        <f>'Dropdown Lists'!$I$2*(1+OrdersTable[[#This Row],[Returned]])</f>
        <v>60</v>
      </c>
      <c r="Y2326" s="76">
        <f>OrdersTable[[#This Row],[Net Revenue]]-OrdersTable[[#This Row],[COGS]]-OrdersTable[[#This Row],[Shipping Cost]]</f>
        <v>269.14999999999998</v>
      </c>
      <c r="Z2326" s="78">
        <f>IFERROR(OrdersTable[[#This Row],[Profit]]/OrdersTable[[#This Row],[Net Revenue]],0)</f>
        <v>0.52862614160856325</v>
      </c>
      <c r="AA2326" t="s">
        <v>18</v>
      </c>
      <c r="AB2326" s="79">
        <v>45690</v>
      </c>
      <c r="AC2326">
        <f>OrdersTable[[#This Row],[Delivery Date]]-OrdersTable[[#This Row],[Order Date]]</f>
        <v>4</v>
      </c>
      <c r="AD2326" t="str">
        <f>IF(OrdersTable[[#This Row],[Delivery Days]]&lt;=2, "Express (≤2d)", IF(OrdersTable[[#This Row],[Delivery Days]]&lt;=4, "Standard (3-4d)", "Delayed (5d+)"))</f>
        <v>Standard (3-4d)</v>
      </c>
      <c r="AF2326">
        <v>0</v>
      </c>
    </row>
    <row r="2327" spans="1:32" ht="15" x14ac:dyDescent="0.35">
      <c r="A2327" t="s">
        <v>6144</v>
      </c>
      <c r="B2327" s="1">
        <v>45686</v>
      </c>
      <c r="C2327">
        <f>YEAR(OrdersTable[[#This Row],[Order Date]])</f>
        <v>2025</v>
      </c>
      <c r="D2327" s="2">
        <f>DATE(YEAR(OrdersTable[[#This Row],[Order Date]]),MONTH(OrdersTable[[#This Row],[Order Date]]),1)</f>
        <v>45658</v>
      </c>
      <c r="E2327">
        <f>MONTH(OrdersTable[[#This Row],[Order Date]])</f>
        <v>1</v>
      </c>
      <c r="F2327" t="s">
        <v>3360</v>
      </c>
      <c r="G2327" t="str">
        <f>IF(OrdersTable[[#This Row],[Order Date]]=_xlfn.MINIFS(Order_Date, Customer_ID, OrdersTable[[#This Row],[Customer ID]]), "New", "Repeat")</f>
        <v>New</v>
      </c>
      <c r="H2327" t="s">
        <v>95</v>
      </c>
      <c r="I2327" t="str">
        <f>INDEX(State!B:B,MATCH(OrdersTable[[#This Row],[State]],State!A:A,0))</f>
        <v>TG</v>
      </c>
      <c r="J2327" t="str">
        <f>INDEX(State!C:C,MATCH(OrdersTable[[#This Row],[State Code]],State!B:B,0))</f>
        <v>South</v>
      </c>
      <c r="K2327" t="s">
        <v>96</v>
      </c>
      <c r="L2327" t="s">
        <v>65</v>
      </c>
      <c r="M2327" t="s">
        <v>125</v>
      </c>
      <c r="N2327" t="str">
        <f>INDEX(Products!B:B,MATCH(OrdersTable[[#This Row],[Product ID]],Products!A:A,0))</f>
        <v>Copper Water Bottle</v>
      </c>
      <c r="O2327" t="str">
        <f>INDEX(Products!C:C,MATCH(OrdersTable[[#This Row],[Product ID]],Products!A:A,0))</f>
        <v>Home &amp; Kitchen</v>
      </c>
      <c r="P2327">
        <v>2</v>
      </c>
      <c r="Q2327" s="5">
        <v>899</v>
      </c>
      <c r="R2327" s="74">
        <v>0.15</v>
      </c>
      <c r="S2327" s="75">
        <f>OrdersTable[[#This Row],[Quantity]]*OrdersTable[[#This Row],[Unit Price]]</f>
        <v>1798</v>
      </c>
      <c r="T2327" s="5">
        <f>OrdersTable[[#This Row],[Gross Sale]]*OrdersTable[[#This Row],[Discount_Clean2]]</f>
        <v>269.7</v>
      </c>
      <c r="U2327" s="5">
        <f>OrdersTable[[#This Row],[Gross Sale]]-OrdersTable[[#This Row],[Discount Amount]]</f>
        <v>1528.3</v>
      </c>
      <c r="V2327" s="77">
        <f>INDEX(Products!E:E,MATCH(OrdersTable[[#This Row],[Product ID]],Products!A:A,0))</f>
        <v>378</v>
      </c>
      <c r="W2327" s="77">
        <f>OrdersTable[[#This Row],[Quantity]]*OrdersTable[[#This Row],[Unit Cost]]</f>
        <v>756</v>
      </c>
      <c r="X2327" s="77">
        <f>'Dropdown Lists'!$I$2*(1+OrdersTable[[#This Row],[Returned]])</f>
        <v>60</v>
      </c>
      <c r="Y2327" s="76">
        <f>OrdersTable[[#This Row],[Net Revenue]]-OrdersTable[[#This Row],[COGS]]-OrdersTable[[#This Row],[Shipping Cost]]</f>
        <v>712.3</v>
      </c>
      <c r="Z2327" s="78">
        <f>IFERROR(OrdersTable[[#This Row],[Profit]]/OrdersTable[[#This Row],[Net Revenue]],0)</f>
        <v>0.46607341490545051</v>
      </c>
      <c r="AA2327" t="s">
        <v>18</v>
      </c>
      <c r="AB2327" s="79">
        <v>45689</v>
      </c>
      <c r="AC2327">
        <f>OrdersTable[[#This Row],[Delivery Date]]-OrdersTable[[#This Row],[Order Date]]</f>
        <v>3</v>
      </c>
      <c r="AD2327" t="str">
        <f>IF(OrdersTable[[#This Row],[Delivery Days]]&lt;=2, "Express (≤2d)", IF(OrdersTable[[#This Row],[Delivery Days]]&lt;=4, "Standard (3-4d)", "Delayed (5d+)"))</f>
        <v>Standard (3-4d)</v>
      </c>
      <c r="AE2327">
        <v>4</v>
      </c>
      <c r="AF2327">
        <v>0</v>
      </c>
    </row>
    <row r="2328" spans="1:32" ht="15" x14ac:dyDescent="0.35">
      <c r="A2328" t="s">
        <v>3751</v>
      </c>
      <c r="B2328" s="1">
        <v>45687</v>
      </c>
      <c r="C2328">
        <f>YEAR(OrdersTable[[#This Row],[Order Date]])</f>
        <v>2025</v>
      </c>
      <c r="D2328" s="2">
        <f>DATE(YEAR(OrdersTable[[#This Row],[Order Date]]),MONTH(OrdersTable[[#This Row],[Order Date]]),1)</f>
        <v>45658</v>
      </c>
      <c r="E2328">
        <f>MONTH(OrdersTable[[#This Row],[Order Date]])</f>
        <v>1</v>
      </c>
      <c r="F2328" t="s">
        <v>3013</v>
      </c>
      <c r="G2328" t="str">
        <f>IF(OrdersTable[[#This Row],[Order Date]]=_xlfn.MINIFS(Order_Date, Customer_ID, OrdersTable[[#This Row],[Customer ID]]), "New", "Repeat")</f>
        <v>Repeat</v>
      </c>
      <c r="H2328" t="s">
        <v>48</v>
      </c>
      <c r="I2328" t="str">
        <f>INDEX(State!B:B,MATCH(OrdersTable[[#This Row],[State]],State!A:A,0))</f>
        <v>HR</v>
      </c>
      <c r="J2328" t="str">
        <f>INDEX(State!C:C,MATCH(OrdersTable[[#This Row],[State Code]],State!B:B,0))</f>
        <v>North</v>
      </c>
      <c r="K2328" t="s">
        <v>151</v>
      </c>
      <c r="L2328" t="s">
        <v>23</v>
      </c>
      <c r="M2328" t="s">
        <v>148</v>
      </c>
      <c r="N2328" t="str">
        <f>INDEX(Products!B:B,MATCH(OrdersTable[[#This Row],[Product ID]],Products!A:A,0))</f>
        <v>Smartwatch Strap</v>
      </c>
      <c r="O2328" t="str">
        <f>INDEX(Products!C:C,MATCH(OrdersTable[[#This Row],[Product ID]],Products!A:A,0))</f>
        <v>Electronics</v>
      </c>
      <c r="P2328">
        <v>1</v>
      </c>
      <c r="Q2328" s="5">
        <v>499</v>
      </c>
      <c r="R2328" s="74">
        <v>0.2</v>
      </c>
      <c r="S2328" s="75">
        <f>OrdersTable[[#This Row],[Quantity]]*OrdersTable[[#This Row],[Unit Price]]</f>
        <v>499</v>
      </c>
      <c r="T2328" s="5">
        <f>OrdersTable[[#This Row],[Gross Sale]]*OrdersTable[[#This Row],[Discount_Clean2]]</f>
        <v>99.800000000000011</v>
      </c>
      <c r="U2328" s="5">
        <f>OrdersTable[[#This Row],[Gross Sale]]-OrdersTable[[#This Row],[Discount Amount]]</f>
        <v>399.2</v>
      </c>
      <c r="V2328" s="77">
        <f>INDEX(Products!E:E,MATCH(OrdersTable[[#This Row],[Product ID]],Products!A:A,0))</f>
        <v>200</v>
      </c>
      <c r="W2328" s="77">
        <f>OrdersTable[[#This Row],[Quantity]]*OrdersTable[[#This Row],[Unit Cost]]</f>
        <v>200</v>
      </c>
      <c r="X2328" s="77">
        <f>'Dropdown Lists'!$I$2*(1+OrdersTable[[#This Row],[Returned]])</f>
        <v>60</v>
      </c>
      <c r="Y2328" s="76">
        <f>OrdersTable[[#This Row],[Net Revenue]]-OrdersTable[[#This Row],[COGS]]-OrdersTable[[#This Row],[Shipping Cost]]</f>
        <v>139.19999999999999</v>
      </c>
      <c r="Z2328" s="78">
        <f>IFERROR(OrdersTable[[#This Row],[Profit]]/OrdersTable[[#This Row],[Net Revenue]],0)</f>
        <v>0.34869739478957912</v>
      </c>
      <c r="AA2328" t="s">
        <v>3495</v>
      </c>
      <c r="AB2328" s="79">
        <v>45689</v>
      </c>
      <c r="AC2328">
        <f>OrdersTable[[#This Row],[Delivery Date]]-OrdersTable[[#This Row],[Order Date]]</f>
        <v>2</v>
      </c>
      <c r="AD2328" t="str">
        <f>IF(OrdersTable[[#This Row],[Delivery Days]]&lt;=2, "Express (≤2d)", IF(OrdersTable[[#This Row],[Delivery Days]]&lt;=4, "Standard (3-4d)", "Delayed (5d+)"))</f>
        <v>Express (≤2d)</v>
      </c>
      <c r="AF2328">
        <v>0</v>
      </c>
    </row>
    <row r="2329" spans="1:32" ht="15" x14ac:dyDescent="0.35">
      <c r="A2329" t="s">
        <v>3434</v>
      </c>
      <c r="B2329" s="1">
        <v>45687</v>
      </c>
      <c r="C2329">
        <f>YEAR(OrdersTable[[#This Row],[Order Date]])</f>
        <v>2025</v>
      </c>
      <c r="D2329" s="2">
        <f>DATE(YEAR(OrdersTable[[#This Row],[Order Date]]),MONTH(OrdersTable[[#This Row],[Order Date]]),1)</f>
        <v>45658</v>
      </c>
      <c r="E2329">
        <f>MONTH(OrdersTable[[#This Row],[Order Date]])</f>
        <v>1</v>
      </c>
      <c r="F2329" t="s">
        <v>3435</v>
      </c>
      <c r="G2329" t="str">
        <f>IF(OrdersTable[[#This Row],[Order Date]]=_xlfn.MINIFS(Order_Date, Customer_ID, OrdersTable[[#This Row],[Customer ID]]), "New", "Repeat")</f>
        <v>New</v>
      </c>
      <c r="H2329" t="s">
        <v>128</v>
      </c>
      <c r="I2329" t="str">
        <f>INDEX(State!B:B,MATCH(OrdersTable[[#This Row],[State]],State!A:A,0))</f>
        <v>DL</v>
      </c>
      <c r="J2329" t="str">
        <f>INDEX(State!C:C,MATCH(OrdersTable[[#This Row],[State Code]],State!B:B,0))</f>
        <v>North</v>
      </c>
      <c r="K2329" t="s">
        <v>129</v>
      </c>
      <c r="L2329" t="s">
        <v>65</v>
      </c>
      <c r="M2329" t="s">
        <v>78</v>
      </c>
      <c r="N2329" t="str">
        <f>INDEX(Products!B:B,MATCH(OrdersTable[[#This Row],[Product ID]],Products!A:A,0))</f>
        <v>Retinol Night Cream</v>
      </c>
      <c r="O2329" t="str">
        <f>INDEX(Products!C:C,MATCH(OrdersTable[[#This Row],[Product ID]],Products!A:A,0))</f>
        <v>Skincare</v>
      </c>
      <c r="P2329">
        <v>1</v>
      </c>
      <c r="Q2329" s="5">
        <v>799</v>
      </c>
      <c r="R2329" s="74">
        <v>0.1</v>
      </c>
      <c r="S2329" s="75">
        <f>OrdersTable[[#This Row],[Quantity]]*OrdersTable[[#This Row],[Unit Price]]</f>
        <v>799</v>
      </c>
      <c r="T2329" s="5">
        <f>OrdersTable[[#This Row],[Gross Sale]]*OrdersTable[[#This Row],[Discount_Clean2]]</f>
        <v>79.900000000000006</v>
      </c>
      <c r="U2329" s="5">
        <f>OrdersTable[[#This Row],[Gross Sale]]-OrdersTable[[#This Row],[Discount Amount]]</f>
        <v>719.1</v>
      </c>
      <c r="V2329" s="77">
        <f>INDEX(Products!E:E,MATCH(OrdersTable[[#This Row],[Product ID]],Products!A:A,0))</f>
        <v>216</v>
      </c>
      <c r="W2329" s="77">
        <f>OrdersTable[[#This Row],[Quantity]]*OrdersTable[[#This Row],[Unit Cost]]</f>
        <v>216</v>
      </c>
      <c r="X2329" s="77">
        <f>'Dropdown Lists'!$I$2*(1+OrdersTable[[#This Row],[Returned]])</f>
        <v>60</v>
      </c>
      <c r="Y2329" s="76">
        <f>OrdersTable[[#This Row],[Net Revenue]]-OrdersTable[[#This Row],[COGS]]-OrdersTable[[#This Row],[Shipping Cost]]</f>
        <v>443.1</v>
      </c>
      <c r="Z2329" s="78">
        <f>IFERROR(OrdersTable[[#This Row],[Profit]]/OrdersTable[[#This Row],[Net Revenue]],0)</f>
        <v>0.61618690029203171</v>
      </c>
      <c r="AA2329" t="s">
        <v>2522</v>
      </c>
      <c r="AB2329" s="79">
        <v>45690</v>
      </c>
      <c r="AC2329">
        <f>OrdersTable[[#This Row],[Delivery Date]]-OrdersTable[[#This Row],[Order Date]]</f>
        <v>3</v>
      </c>
      <c r="AD2329" t="str">
        <f>IF(OrdersTable[[#This Row],[Delivery Days]]&lt;=2, "Express (≤2d)", IF(OrdersTable[[#This Row],[Delivery Days]]&lt;=4, "Standard (3-4d)", "Delayed (5d+)"))</f>
        <v>Standard (3-4d)</v>
      </c>
      <c r="AE2329">
        <v>4</v>
      </c>
      <c r="AF2329">
        <v>0</v>
      </c>
    </row>
    <row r="2330" spans="1:32" ht="15" x14ac:dyDescent="0.35">
      <c r="A2330" t="s">
        <v>6883</v>
      </c>
      <c r="B2330" s="1">
        <v>45687</v>
      </c>
      <c r="C2330">
        <f>YEAR(OrdersTable[[#This Row],[Order Date]])</f>
        <v>2025</v>
      </c>
      <c r="D2330" s="2">
        <f>DATE(YEAR(OrdersTable[[#This Row],[Order Date]]),MONTH(OrdersTable[[#This Row],[Order Date]]),1)</f>
        <v>45658</v>
      </c>
      <c r="E2330">
        <f>MONTH(OrdersTable[[#This Row],[Order Date]])</f>
        <v>1</v>
      </c>
      <c r="F2330" t="s">
        <v>1778</v>
      </c>
      <c r="G2330" t="str">
        <f>IF(OrdersTable[[#This Row],[Order Date]]=_xlfn.MINIFS(Order_Date, Customer_ID, OrdersTable[[#This Row],[Customer ID]]), "New", "Repeat")</f>
        <v>New</v>
      </c>
      <c r="H2330" t="s">
        <v>128</v>
      </c>
      <c r="I2330" t="str">
        <f>INDEX(State!B:B,MATCH(OrdersTable[[#This Row],[State]],State!A:A,0))</f>
        <v>DL</v>
      </c>
      <c r="J2330" t="str">
        <f>INDEX(State!C:C,MATCH(OrdersTable[[#This Row],[State Code]],State!B:B,0))</f>
        <v>North</v>
      </c>
      <c r="K2330" t="s">
        <v>129</v>
      </c>
      <c r="L2330" t="s">
        <v>50</v>
      </c>
      <c r="M2330" t="s">
        <v>160</v>
      </c>
      <c r="N2330" t="str">
        <f>INDEX(Products!B:B,MATCH(OrdersTable[[#This Row],[Product ID]],Products!A:A,0))</f>
        <v>Niacinamide Toner</v>
      </c>
      <c r="O2330" t="str">
        <f>INDEX(Products!C:C,MATCH(OrdersTable[[#This Row],[Product ID]],Products!A:A,0))</f>
        <v>Skincare</v>
      </c>
      <c r="P2330">
        <v>3</v>
      </c>
      <c r="Q2330" s="5">
        <v>399</v>
      </c>
      <c r="R2330" s="74">
        <v>0.2</v>
      </c>
      <c r="S2330" s="75">
        <f>OrdersTable[[#This Row],[Quantity]]*OrdersTable[[#This Row],[Unit Price]]</f>
        <v>1197</v>
      </c>
      <c r="T2330" s="5">
        <f>OrdersTable[[#This Row],[Gross Sale]]*OrdersTable[[#This Row],[Discount_Clean2]]</f>
        <v>239.4</v>
      </c>
      <c r="U2330" s="5">
        <f>OrdersTable[[#This Row],[Gross Sale]]-OrdersTable[[#This Row],[Discount Amount]]</f>
        <v>957.6</v>
      </c>
      <c r="V2330" s="77">
        <f>INDEX(Products!E:E,MATCH(OrdersTable[[#This Row],[Product ID]],Products!A:A,0))</f>
        <v>112</v>
      </c>
      <c r="W2330" s="77">
        <f>OrdersTable[[#This Row],[Quantity]]*OrdersTable[[#This Row],[Unit Cost]]</f>
        <v>336</v>
      </c>
      <c r="X2330" s="77">
        <f>'Dropdown Lists'!$I$2*(1+OrdersTable[[#This Row],[Returned]])</f>
        <v>60</v>
      </c>
      <c r="Y2330" s="76">
        <f>OrdersTable[[#This Row],[Net Revenue]]-OrdersTable[[#This Row],[COGS]]-OrdersTable[[#This Row],[Shipping Cost]]</f>
        <v>561.6</v>
      </c>
      <c r="Z2330" s="78">
        <f>IFERROR(OrdersTable[[#This Row],[Profit]]/OrdersTable[[#This Row],[Net Revenue]],0)</f>
        <v>0.5864661654135338</v>
      </c>
      <c r="AA2330" t="s">
        <v>4450</v>
      </c>
      <c r="AB2330" s="79">
        <v>45688</v>
      </c>
      <c r="AC2330">
        <f>OrdersTable[[#This Row],[Delivery Date]]-OrdersTable[[#This Row],[Order Date]]</f>
        <v>1</v>
      </c>
      <c r="AD2330" t="str">
        <f>IF(OrdersTable[[#This Row],[Delivery Days]]&lt;=2, "Express (≤2d)", IF(OrdersTable[[#This Row],[Delivery Days]]&lt;=4, "Standard (3-4d)", "Delayed (5d+)"))</f>
        <v>Express (≤2d)</v>
      </c>
      <c r="AE2330">
        <v>5</v>
      </c>
      <c r="AF2330">
        <v>0</v>
      </c>
    </row>
    <row r="2331" spans="1:32" ht="15" x14ac:dyDescent="0.35">
      <c r="A2331" t="s">
        <v>5383</v>
      </c>
      <c r="B2331" s="1">
        <v>45687</v>
      </c>
      <c r="C2331">
        <f>YEAR(OrdersTable[[#This Row],[Order Date]])</f>
        <v>2025</v>
      </c>
      <c r="D2331" s="2">
        <f>DATE(YEAR(OrdersTable[[#This Row],[Order Date]]),MONTH(OrdersTable[[#This Row],[Order Date]]),1)</f>
        <v>45658</v>
      </c>
      <c r="E2331">
        <f>MONTH(OrdersTable[[#This Row],[Order Date]])</f>
        <v>1</v>
      </c>
      <c r="F2331" t="s">
        <v>1336</v>
      </c>
      <c r="G2331" t="str">
        <f>IF(OrdersTable[[#This Row],[Order Date]]=_xlfn.MINIFS(Order_Date, Customer_ID, OrdersTable[[#This Row],[Customer ID]]), "New", "Repeat")</f>
        <v>Repeat</v>
      </c>
      <c r="H2331" t="s">
        <v>76</v>
      </c>
      <c r="I2331" t="str">
        <f>INDEX(State!B:B,MATCH(OrdersTable[[#This Row],[State]],State!A:A,0))</f>
        <v>UP</v>
      </c>
      <c r="J2331" t="str">
        <f>INDEX(State!C:C,MATCH(OrdersTable[[#This Row],[State Code]],State!B:B,0))</f>
        <v>North</v>
      </c>
      <c r="K2331" t="s">
        <v>118</v>
      </c>
      <c r="L2331" t="s">
        <v>39</v>
      </c>
      <c r="M2331" t="s">
        <v>109</v>
      </c>
      <c r="N2331" t="str">
        <f>INDEX(Products!B:B,MATCH(OrdersTable[[#This Row],[Product ID]],Products!A:A,0))</f>
        <v>Onion Hair Oil</v>
      </c>
      <c r="O2331" t="str">
        <f>INDEX(Products!C:C,MATCH(OrdersTable[[#This Row],[Product ID]],Products!A:A,0))</f>
        <v>Haircare</v>
      </c>
      <c r="P2331">
        <v>2</v>
      </c>
      <c r="Q2331" s="5">
        <v>349</v>
      </c>
      <c r="R2331" s="74">
        <v>0.3</v>
      </c>
      <c r="S2331" s="75">
        <f>OrdersTable[[#This Row],[Quantity]]*OrdersTable[[#This Row],[Unit Price]]</f>
        <v>698</v>
      </c>
      <c r="T2331" s="5">
        <f>OrdersTable[[#This Row],[Gross Sale]]*OrdersTable[[#This Row],[Discount_Clean2]]</f>
        <v>209.4</v>
      </c>
      <c r="U2331" s="5">
        <f>OrdersTable[[#This Row],[Gross Sale]]-OrdersTable[[#This Row],[Discount Amount]]</f>
        <v>488.6</v>
      </c>
      <c r="V2331" s="77">
        <f>INDEX(Products!E:E,MATCH(OrdersTable[[#This Row],[Product ID]],Products!A:A,0))</f>
        <v>105</v>
      </c>
      <c r="W2331" s="77">
        <f>OrdersTable[[#This Row],[Quantity]]*OrdersTable[[#This Row],[Unit Cost]]</f>
        <v>210</v>
      </c>
      <c r="X2331" s="77">
        <f>'Dropdown Lists'!$I$2*(1+OrdersTable[[#This Row],[Returned]])</f>
        <v>60</v>
      </c>
      <c r="Y2331" s="76">
        <f>OrdersTable[[#This Row],[Net Revenue]]-OrdersTable[[#This Row],[COGS]]-OrdersTable[[#This Row],[Shipping Cost]]</f>
        <v>218.60000000000002</v>
      </c>
      <c r="Z2331" s="78">
        <f>IFERROR(OrdersTable[[#This Row],[Profit]]/OrdersTable[[#This Row],[Net Revenue]],0)</f>
        <v>0.44740073679901765</v>
      </c>
      <c r="AA2331" t="s">
        <v>2522</v>
      </c>
      <c r="AB2331" s="79">
        <v>45690</v>
      </c>
      <c r="AC2331">
        <f>OrdersTable[[#This Row],[Delivery Date]]-OrdersTable[[#This Row],[Order Date]]</f>
        <v>3</v>
      </c>
      <c r="AD2331" t="str">
        <f>IF(OrdersTable[[#This Row],[Delivery Days]]&lt;=2, "Express (≤2d)", IF(OrdersTable[[#This Row],[Delivery Days]]&lt;=4, "Standard (3-4d)", "Delayed (5d+)"))</f>
        <v>Standard (3-4d)</v>
      </c>
      <c r="AF2331">
        <v>0</v>
      </c>
    </row>
    <row r="2332" spans="1:32" ht="15" x14ac:dyDescent="0.35">
      <c r="A2332" t="s">
        <v>253</v>
      </c>
      <c r="B2332" s="1">
        <v>45687</v>
      </c>
      <c r="C2332">
        <f>YEAR(OrdersTable[[#This Row],[Order Date]])</f>
        <v>2025</v>
      </c>
      <c r="D2332" s="2">
        <f>DATE(YEAR(OrdersTable[[#This Row],[Order Date]]),MONTH(OrdersTable[[#This Row],[Order Date]]),1)</f>
        <v>45658</v>
      </c>
      <c r="E2332">
        <f>MONTH(OrdersTable[[#This Row],[Order Date]])</f>
        <v>1</v>
      </c>
      <c r="F2332" t="s">
        <v>254</v>
      </c>
      <c r="G2332" t="str">
        <f>IF(OrdersTable[[#This Row],[Order Date]]=_xlfn.MINIFS(Order_Date, Customer_ID, OrdersTable[[#This Row],[Customer ID]]), "New", "Repeat")</f>
        <v>Repeat</v>
      </c>
      <c r="H2332" t="s">
        <v>76</v>
      </c>
      <c r="I2332" t="str">
        <f>INDEX(State!B:B,MATCH(OrdersTable[[#This Row],[State]],State!A:A,0))</f>
        <v>UP</v>
      </c>
      <c r="J2332" t="str">
        <f>INDEX(State!C:C,MATCH(OrdersTable[[#This Row],[State Code]],State!B:B,0))</f>
        <v>North</v>
      </c>
      <c r="K2332" t="s">
        <v>105</v>
      </c>
      <c r="L2332" t="s">
        <v>39</v>
      </c>
      <c r="M2332" t="s">
        <v>255</v>
      </c>
      <c r="N2332" t="str">
        <f>INDEX(Products!B:B,MATCH(OrdersTable[[#This Row],[Product ID]],Products!A:A,0))</f>
        <v>Cotton Oversized T-Shirt</v>
      </c>
      <c r="O2332" t="str">
        <f>INDEX(Products!C:C,MATCH(OrdersTable[[#This Row],[Product ID]],Products!A:A,0))</f>
        <v>Apparel</v>
      </c>
      <c r="P2332">
        <v>1</v>
      </c>
      <c r="Q2332" s="5">
        <v>799</v>
      </c>
      <c r="R2332" s="74">
        <v>0.05</v>
      </c>
      <c r="S2332" s="75">
        <f>OrdersTable[[#This Row],[Quantity]]*OrdersTable[[#This Row],[Unit Price]]</f>
        <v>799</v>
      </c>
      <c r="T2332" s="5">
        <f>OrdersTable[[#This Row],[Gross Sale]]*OrdersTable[[#This Row],[Discount_Clean2]]</f>
        <v>39.950000000000003</v>
      </c>
      <c r="U2332" s="5">
        <f>OrdersTable[[#This Row],[Gross Sale]]-OrdersTable[[#This Row],[Discount Amount]]</f>
        <v>759.05</v>
      </c>
      <c r="V2332" s="77">
        <f>INDEX(Products!E:E,MATCH(OrdersTable[[#This Row],[Product ID]],Products!A:A,0))</f>
        <v>320</v>
      </c>
      <c r="W2332" s="77">
        <f>OrdersTable[[#This Row],[Quantity]]*OrdersTable[[#This Row],[Unit Cost]]</f>
        <v>320</v>
      </c>
      <c r="X2332" s="77">
        <f>'Dropdown Lists'!$I$2*(1+OrdersTable[[#This Row],[Returned]])</f>
        <v>60</v>
      </c>
      <c r="Y2332" s="76">
        <f>OrdersTable[[#This Row],[Net Revenue]]-OrdersTable[[#This Row],[COGS]]-OrdersTable[[#This Row],[Shipping Cost]]</f>
        <v>379.04999999999995</v>
      </c>
      <c r="Z2332" s="78">
        <f>IFERROR(OrdersTable[[#This Row],[Profit]]/OrdersTable[[#This Row],[Net Revenue]],0)</f>
        <v>0.49937421777221525</v>
      </c>
      <c r="AA2332" t="s">
        <v>18</v>
      </c>
      <c r="AB2332" s="79">
        <v>45691</v>
      </c>
      <c r="AC2332">
        <f>OrdersTable[[#This Row],[Delivery Date]]-OrdersTable[[#This Row],[Order Date]]</f>
        <v>4</v>
      </c>
      <c r="AD2332" t="str">
        <f>IF(OrdersTable[[#This Row],[Delivery Days]]&lt;=2, "Express (≤2d)", IF(OrdersTable[[#This Row],[Delivery Days]]&lt;=4, "Standard (3-4d)", "Delayed (5d+)"))</f>
        <v>Standard (3-4d)</v>
      </c>
      <c r="AE2332">
        <v>4</v>
      </c>
      <c r="AF2332">
        <v>0</v>
      </c>
    </row>
    <row r="2333" spans="1:32" ht="15" x14ac:dyDescent="0.35">
      <c r="A2333" t="s">
        <v>6988</v>
      </c>
      <c r="B2333" s="1">
        <v>45687</v>
      </c>
      <c r="C2333">
        <f>YEAR(OrdersTable[[#This Row],[Order Date]])</f>
        <v>2025</v>
      </c>
      <c r="D2333" s="2">
        <f>DATE(YEAR(OrdersTable[[#This Row],[Order Date]]),MONTH(OrdersTable[[#This Row],[Order Date]]),1)</f>
        <v>45658</v>
      </c>
      <c r="E2333">
        <f>MONTH(OrdersTable[[#This Row],[Order Date]])</f>
        <v>1</v>
      </c>
      <c r="F2333" t="s">
        <v>6671</v>
      </c>
      <c r="G2333" t="str">
        <f>IF(OrdersTable[[#This Row],[Order Date]]=_xlfn.MINIFS(Order_Date, Customer_ID, OrdersTable[[#This Row],[Customer ID]]), "New", "Repeat")</f>
        <v>Repeat</v>
      </c>
      <c r="H2333" t="s">
        <v>167</v>
      </c>
      <c r="I2333" t="str">
        <f>INDEX(State!B:B,MATCH(OrdersTable[[#This Row],[State]],State!A:A,0))</f>
        <v>KA</v>
      </c>
      <c r="J2333" t="str">
        <f>INDEX(State!C:C,MATCH(OrdersTable[[#This Row],[State Code]],State!B:B,0))</f>
        <v>South</v>
      </c>
      <c r="K2333" t="s">
        <v>168</v>
      </c>
      <c r="L2333" t="s">
        <v>65</v>
      </c>
      <c r="M2333" t="s">
        <v>148</v>
      </c>
      <c r="N2333" t="str">
        <f>INDEX(Products!B:B,MATCH(OrdersTable[[#This Row],[Product ID]],Products!A:A,0))</f>
        <v>Smartwatch Strap</v>
      </c>
      <c r="O2333" t="str">
        <f>INDEX(Products!C:C,MATCH(OrdersTable[[#This Row],[Product ID]],Products!A:A,0))</f>
        <v>Electronics</v>
      </c>
      <c r="P2333">
        <v>4</v>
      </c>
      <c r="Q2333" s="5">
        <v>499</v>
      </c>
      <c r="R2333" s="74">
        <v>0.05</v>
      </c>
      <c r="S2333" s="75">
        <f>OrdersTable[[#This Row],[Quantity]]*OrdersTable[[#This Row],[Unit Price]]</f>
        <v>1996</v>
      </c>
      <c r="T2333" s="5">
        <f>OrdersTable[[#This Row],[Gross Sale]]*OrdersTable[[#This Row],[Discount_Clean2]]</f>
        <v>99.800000000000011</v>
      </c>
      <c r="U2333" s="5">
        <f>OrdersTable[[#This Row],[Gross Sale]]-OrdersTable[[#This Row],[Discount Amount]]</f>
        <v>1896.2</v>
      </c>
      <c r="V2333" s="77">
        <f>INDEX(Products!E:E,MATCH(OrdersTable[[#This Row],[Product ID]],Products!A:A,0))</f>
        <v>200</v>
      </c>
      <c r="W2333" s="77">
        <f>OrdersTable[[#This Row],[Quantity]]*OrdersTable[[#This Row],[Unit Cost]]</f>
        <v>800</v>
      </c>
      <c r="X2333" s="77">
        <f>'Dropdown Lists'!$I$2*(1+OrdersTable[[#This Row],[Returned]])</f>
        <v>60</v>
      </c>
      <c r="Y2333" s="76">
        <f>OrdersTable[[#This Row],[Net Revenue]]-OrdersTable[[#This Row],[COGS]]-OrdersTable[[#This Row],[Shipping Cost]]</f>
        <v>1036.2</v>
      </c>
      <c r="Z2333" s="78">
        <f>IFERROR(OrdersTable[[#This Row],[Profit]]/OrdersTable[[#This Row],[Net Revenue]],0)</f>
        <v>0.54646134374011179</v>
      </c>
      <c r="AA2333" t="s">
        <v>4450</v>
      </c>
      <c r="AB2333" s="79">
        <v>45688</v>
      </c>
      <c r="AC2333">
        <f>OrdersTable[[#This Row],[Delivery Date]]-OrdersTable[[#This Row],[Order Date]]</f>
        <v>1</v>
      </c>
      <c r="AD2333" t="str">
        <f>IF(OrdersTable[[#This Row],[Delivery Days]]&lt;=2, "Express (≤2d)", IF(OrdersTable[[#This Row],[Delivery Days]]&lt;=4, "Standard (3-4d)", "Delayed (5d+)"))</f>
        <v>Express (≤2d)</v>
      </c>
      <c r="AF2333">
        <v>0</v>
      </c>
    </row>
    <row r="2334" spans="1:32" ht="15" x14ac:dyDescent="0.35">
      <c r="A2334" t="s">
        <v>6145</v>
      </c>
      <c r="B2334" s="1">
        <v>45687</v>
      </c>
      <c r="C2334">
        <f>YEAR(OrdersTable[[#This Row],[Order Date]])</f>
        <v>2025</v>
      </c>
      <c r="D2334" s="2">
        <f>DATE(YEAR(OrdersTable[[#This Row],[Order Date]]),MONTH(OrdersTable[[#This Row],[Order Date]]),1)</f>
        <v>45658</v>
      </c>
      <c r="E2334">
        <f>MONTH(OrdersTable[[#This Row],[Order Date]])</f>
        <v>1</v>
      </c>
      <c r="F2334" t="s">
        <v>4344</v>
      </c>
      <c r="G2334" t="str">
        <f>IF(OrdersTable[[#This Row],[Order Date]]=_xlfn.MINIFS(Order_Date, Customer_ID, OrdersTable[[#This Row],[Customer ID]]), "New", "Repeat")</f>
        <v>Repeat</v>
      </c>
      <c r="H2334" t="s">
        <v>275</v>
      </c>
      <c r="I2334" t="str">
        <f>INDEX(State!B:B,MATCH(OrdersTable[[#This Row],[State]],State!A:A,0))</f>
        <v>AP</v>
      </c>
      <c r="J2334" t="str">
        <f>INDEX(State!C:C,MATCH(OrdersTable[[#This Row],[State Code]],State!B:B,0))</f>
        <v>South</v>
      </c>
      <c r="K2334" t="s">
        <v>491</v>
      </c>
      <c r="L2334" t="s">
        <v>50</v>
      </c>
      <c r="M2334" t="s">
        <v>109</v>
      </c>
      <c r="N2334" t="str">
        <f>INDEX(Products!B:B,MATCH(OrdersTable[[#This Row],[Product ID]],Products!A:A,0))</f>
        <v>Onion Hair Oil</v>
      </c>
      <c r="O2334" t="str">
        <f>INDEX(Products!C:C,MATCH(OrdersTable[[#This Row],[Product ID]],Products!A:A,0))</f>
        <v>Haircare</v>
      </c>
      <c r="P2334">
        <v>2</v>
      </c>
      <c r="Q2334" s="5">
        <v>349</v>
      </c>
      <c r="R2334" s="74">
        <v>0.3</v>
      </c>
      <c r="S2334" s="75">
        <f>OrdersTable[[#This Row],[Quantity]]*OrdersTable[[#This Row],[Unit Price]]</f>
        <v>698</v>
      </c>
      <c r="T2334" s="5">
        <f>OrdersTable[[#This Row],[Gross Sale]]*OrdersTable[[#This Row],[Discount_Clean2]]</f>
        <v>209.4</v>
      </c>
      <c r="U2334" s="5">
        <f>OrdersTable[[#This Row],[Gross Sale]]-OrdersTable[[#This Row],[Discount Amount]]</f>
        <v>488.6</v>
      </c>
      <c r="V2334" s="77">
        <f>INDEX(Products!E:E,MATCH(OrdersTable[[#This Row],[Product ID]],Products!A:A,0))</f>
        <v>105</v>
      </c>
      <c r="W2334" s="77">
        <f>OrdersTable[[#This Row],[Quantity]]*OrdersTable[[#This Row],[Unit Cost]]</f>
        <v>210</v>
      </c>
      <c r="X2334" s="77">
        <f>'Dropdown Lists'!$I$2*(1+OrdersTable[[#This Row],[Returned]])</f>
        <v>60</v>
      </c>
      <c r="Y2334" s="76">
        <f>OrdersTable[[#This Row],[Net Revenue]]-OrdersTable[[#This Row],[COGS]]-OrdersTable[[#This Row],[Shipping Cost]]</f>
        <v>218.60000000000002</v>
      </c>
      <c r="Z2334" s="78">
        <f>IFERROR(OrdersTable[[#This Row],[Profit]]/OrdersTable[[#This Row],[Net Revenue]],0)</f>
        <v>0.44740073679901765</v>
      </c>
      <c r="AA2334" t="s">
        <v>18</v>
      </c>
      <c r="AB2334" s="79">
        <v>45692</v>
      </c>
      <c r="AC2334">
        <f>OrdersTable[[#This Row],[Delivery Date]]-OrdersTable[[#This Row],[Order Date]]</f>
        <v>5</v>
      </c>
      <c r="AD2334" t="str">
        <f>IF(OrdersTable[[#This Row],[Delivery Days]]&lt;=2, "Express (≤2d)", IF(OrdersTable[[#This Row],[Delivery Days]]&lt;=4, "Standard (3-4d)", "Delayed (5d+)"))</f>
        <v>Delayed (5d+)</v>
      </c>
      <c r="AE2334">
        <v>4</v>
      </c>
      <c r="AF2334">
        <v>0</v>
      </c>
    </row>
    <row r="2335" spans="1:32" ht="15" x14ac:dyDescent="0.35">
      <c r="A2335" t="s">
        <v>4596</v>
      </c>
      <c r="B2335" s="1">
        <v>45688</v>
      </c>
      <c r="C2335">
        <f>YEAR(OrdersTable[[#This Row],[Order Date]])</f>
        <v>2025</v>
      </c>
      <c r="D2335" s="2">
        <f>DATE(YEAR(OrdersTable[[#This Row],[Order Date]]),MONTH(OrdersTable[[#This Row],[Order Date]]),1)</f>
        <v>45658</v>
      </c>
      <c r="E2335">
        <f>MONTH(OrdersTable[[#This Row],[Order Date]])</f>
        <v>1</v>
      </c>
      <c r="F2335" t="s">
        <v>1079</v>
      </c>
      <c r="G2335" t="str">
        <f>IF(OrdersTable[[#This Row],[Order Date]]=_xlfn.MINIFS(Order_Date, Customer_ID, OrdersTable[[#This Row],[Customer ID]]), "New", "Repeat")</f>
        <v>Repeat</v>
      </c>
      <c r="H2335" t="s">
        <v>210</v>
      </c>
      <c r="I2335" t="str">
        <f>INDEX(State!B:B,MATCH(OrdersTable[[#This Row],[State]],State!A:A,0))</f>
        <v>JK</v>
      </c>
      <c r="J2335" t="str">
        <f>INDEX(State!C:C,MATCH(OrdersTable[[#This Row],[State Code]],State!B:B,0))</f>
        <v>North</v>
      </c>
      <c r="K2335" t="s">
        <v>211</v>
      </c>
      <c r="L2335" t="s">
        <v>23</v>
      </c>
      <c r="M2335" t="s">
        <v>565</v>
      </c>
      <c r="N2335" t="str">
        <f>INDEX(Products!B:B,MATCH(OrdersTable[[#This Row],[Product ID]],Products!A:A,0))</f>
        <v>Ceramic Dinner Set</v>
      </c>
      <c r="O2335" t="str">
        <f>INDEX(Products!C:C,MATCH(OrdersTable[[#This Row],[Product ID]],Products!A:A,0))</f>
        <v>Home &amp; Kitchen</v>
      </c>
      <c r="P2335">
        <v>1</v>
      </c>
      <c r="Q2335" s="5">
        <v>2499</v>
      </c>
      <c r="R2335" s="74">
        <v>0.3</v>
      </c>
      <c r="S2335" s="75">
        <f>OrdersTable[[#This Row],[Quantity]]*OrdersTable[[#This Row],[Unit Price]]</f>
        <v>2499</v>
      </c>
      <c r="T2335" s="5">
        <f>OrdersTable[[#This Row],[Gross Sale]]*OrdersTable[[#This Row],[Discount_Clean2]]</f>
        <v>749.69999999999993</v>
      </c>
      <c r="U2335" s="5">
        <f>OrdersTable[[#This Row],[Gross Sale]]-OrdersTable[[#This Row],[Discount Amount]]</f>
        <v>1749.3000000000002</v>
      </c>
      <c r="V2335" s="77">
        <f>INDEX(Products!E:E,MATCH(OrdersTable[[#This Row],[Product ID]],Products!A:A,0))</f>
        <v>1250</v>
      </c>
      <c r="W2335" s="77">
        <f>OrdersTable[[#This Row],[Quantity]]*OrdersTable[[#This Row],[Unit Cost]]</f>
        <v>1250</v>
      </c>
      <c r="X2335" s="77">
        <f>'Dropdown Lists'!$I$2*(1+OrdersTable[[#This Row],[Returned]])</f>
        <v>60</v>
      </c>
      <c r="Y2335" s="76">
        <f>OrdersTable[[#This Row],[Net Revenue]]-OrdersTable[[#This Row],[COGS]]-OrdersTable[[#This Row],[Shipping Cost]]</f>
        <v>439.30000000000018</v>
      </c>
      <c r="Z2335" s="78">
        <f>IFERROR(OrdersTable[[#This Row],[Profit]]/OrdersTable[[#This Row],[Net Revenue]],0)</f>
        <v>0.25112902303778661</v>
      </c>
      <c r="AA2335" t="s">
        <v>4450</v>
      </c>
      <c r="AB2335" s="79">
        <v>45694</v>
      </c>
      <c r="AC2335">
        <f>OrdersTable[[#This Row],[Delivery Date]]-OrdersTable[[#This Row],[Order Date]]</f>
        <v>6</v>
      </c>
      <c r="AD2335" t="str">
        <f>IF(OrdersTable[[#This Row],[Delivery Days]]&lt;=2, "Express (≤2d)", IF(OrdersTable[[#This Row],[Delivery Days]]&lt;=4, "Standard (3-4d)", "Delayed (5d+)"))</f>
        <v>Delayed (5d+)</v>
      </c>
      <c r="AF2335">
        <v>0</v>
      </c>
    </row>
    <row r="2336" spans="1:32" ht="15" x14ac:dyDescent="0.35">
      <c r="A2336" t="s">
        <v>3593</v>
      </c>
      <c r="B2336" s="1">
        <v>45688</v>
      </c>
      <c r="C2336">
        <f>YEAR(OrdersTable[[#This Row],[Order Date]])</f>
        <v>2025</v>
      </c>
      <c r="D2336" s="2">
        <f>DATE(YEAR(OrdersTable[[#This Row],[Order Date]]),MONTH(OrdersTable[[#This Row],[Order Date]]),1)</f>
        <v>45658</v>
      </c>
      <c r="E2336">
        <f>MONTH(OrdersTable[[#This Row],[Order Date]])</f>
        <v>1</v>
      </c>
      <c r="F2336" t="s">
        <v>3594</v>
      </c>
      <c r="G2336" t="str">
        <f>IF(OrdersTable[[#This Row],[Order Date]]=_xlfn.MINIFS(Order_Date, Customer_ID, OrdersTable[[#This Row],[Customer ID]]), "New", "Repeat")</f>
        <v>New</v>
      </c>
      <c r="H2336" t="s">
        <v>54</v>
      </c>
      <c r="I2336" t="str">
        <f>INDEX(State!B:B,MATCH(OrdersTable[[#This Row],[State]],State!A:A,0))</f>
        <v>RJ</v>
      </c>
      <c r="J2336" t="str">
        <f>INDEX(State!C:C,MATCH(OrdersTable[[#This Row],[State Code]],State!B:B,0))</f>
        <v>North</v>
      </c>
      <c r="K2336" t="s">
        <v>55</v>
      </c>
      <c r="L2336" t="s">
        <v>65</v>
      </c>
      <c r="M2336" t="s">
        <v>45</v>
      </c>
      <c r="N2336" t="str">
        <f>INDEX(Products!B:B,MATCH(OrdersTable[[#This Row],[Product ID]],Products!A:A,0))</f>
        <v>Argan Shampoo</v>
      </c>
      <c r="O2336" t="str">
        <f>INDEX(Products!C:C,MATCH(OrdersTable[[#This Row],[Product ID]],Products!A:A,0))</f>
        <v>Haircare</v>
      </c>
      <c r="P2336">
        <v>1</v>
      </c>
      <c r="Q2336" s="5">
        <v>449</v>
      </c>
      <c r="R2336" s="74">
        <v>0.15</v>
      </c>
      <c r="S2336" s="75">
        <f>OrdersTable[[#This Row],[Quantity]]*OrdersTable[[#This Row],[Unit Price]]</f>
        <v>449</v>
      </c>
      <c r="T2336" s="5">
        <f>OrdersTable[[#This Row],[Gross Sale]]*OrdersTable[[#This Row],[Discount_Clean2]]</f>
        <v>67.349999999999994</v>
      </c>
      <c r="U2336" s="5">
        <f>OrdersTable[[#This Row],[Gross Sale]]-OrdersTable[[#This Row],[Discount Amount]]</f>
        <v>381.65</v>
      </c>
      <c r="V2336" s="77">
        <f>INDEX(Products!E:E,MATCH(OrdersTable[[#This Row],[Product ID]],Products!A:A,0))</f>
        <v>148</v>
      </c>
      <c r="W2336" s="77">
        <f>OrdersTable[[#This Row],[Quantity]]*OrdersTable[[#This Row],[Unit Cost]]</f>
        <v>148</v>
      </c>
      <c r="X2336" s="77">
        <f>'Dropdown Lists'!$I$2*(1+OrdersTable[[#This Row],[Returned]])</f>
        <v>120</v>
      </c>
      <c r="Y2336" s="76">
        <f>OrdersTable[[#This Row],[Net Revenue]]-OrdersTable[[#This Row],[COGS]]-OrdersTable[[#This Row],[Shipping Cost]]</f>
        <v>113.64999999999998</v>
      </c>
      <c r="Z2336" s="78">
        <f>IFERROR(OrdersTable[[#This Row],[Profit]]/OrdersTable[[#This Row],[Net Revenue]],0)</f>
        <v>0.29778592951657273</v>
      </c>
      <c r="AA2336" t="s">
        <v>3495</v>
      </c>
      <c r="AB2336" s="79">
        <v>45692</v>
      </c>
      <c r="AC2336">
        <f>OrdersTable[[#This Row],[Delivery Date]]-OrdersTable[[#This Row],[Order Date]]</f>
        <v>4</v>
      </c>
      <c r="AD2336" t="str">
        <f>IF(OrdersTable[[#This Row],[Delivery Days]]&lt;=2, "Express (≤2d)", IF(OrdersTable[[#This Row],[Delivery Days]]&lt;=4, "Standard (3-4d)", "Delayed (5d+)"))</f>
        <v>Standard (3-4d)</v>
      </c>
      <c r="AE2336">
        <v>4</v>
      </c>
      <c r="AF2336">
        <v>1</v>
      </c>
    </row>
    <row r="2337" spans="1:32" ht="15" x14ac:dyDescent="0.35">
      <c r="A2337" t="s">
        <v>6146</v>
      </c>
      <c r="B2337" s="1">
        <v>45688</v>
      </c>
      <c r="C2337">
        <f>YEAR(OrdersTable[[#This Row],[Order Date]])</f>
        <v>2025</v>
      </c>
      <c r="D2337" s="2">
        <f>DATE(YEAR(OrdersTable[[#This Row],[Order Date]]),MONTH(OrdersTable[[#This Row],[Order Date]]),1)</f>
        <v>45658</v>
      </c>
      <c r="E2337">
        <f>MONTH(OrdersTable[[#This Row],[Order Date]])</f>
        <v>1</v>
      </c>
      <c r="F2337" t="s">
        <v>6147</v>
      </c>
      <c r="G2337" t="str">
        <f>IF(OrdersTable[[#This Row],[Order Date]]=_xlfn.MINIFS(Order_Date, Customer_ID, OrdersTable[[#This Row],[Customer ID]]), "New", "Repeat")</f>
        <v>New</v>
      </c>
      <c r="H2337" t="s">
        <v>54</v>
      </c>
      <c r="I2337" t="str">
        <f>INDEX(State!B:B,MATCH(OrdersTable[[#This Row],[State]],State!A:A,0))</f>
        <v>RJ</v>
      </c>
      <c r="J2337" t="str">
        <f>INDEX(State!C:C,MATCH(OrdersTable[[#This Row],[State Code]],State!B:B,0))</f>
        <v>North</v>
      </c>
      <c r="K2337" t="s">
        <v>55</v>
      </c>
      <c r="L2337" t="s">
        <v>39</v>
      </c>
      <c r="M2337" t="s">
        <v>92</v>
      </c>
      <c r="N2337" t="str">
        <f>INDEX(Products!B:B,MATCH(OrdersTable[[#This Row],[Product ID]],Products!A:A,0))</f>
        <v>Kolhapuri Sandals</v>
      </c>
      <c r="O2337" t="str">
        <f>INDEX(Products!C:C,MATCH(OrdersTable[[#This Row],[Product ID]],Products!A:A,0))</f>
        <v>Footwear</v>
      </c>
      <c r="P2337">
        <v>2</v>
      </c>
      <c r="Q2337" s="5">
        <v>999</v>
      </c>
      <c r="R2337" s="74">
        <v>0</v>
      </c>
      <c r="S2337" s="75">
        <f>OrdersTable[[#This Row],[Quantity]]*OrdersTable[[#This Row],[Unit Price]]</f>
        <v>1998</v>
      </c>
      <c r="T2337" s="5">
        <f>OrdersTable[[#This Row],[Gross Sale]]*OrdersTable[[#This Row],[Discount_Clean2]]</f>
        <v>0</v>
      </c>
      <c r="U2337" s="5">
        <f>OrdersTable[[#This Row],[Gross Sale]]-OrdersTable[[#This Row],[Discount Amount]]</f>
        <v>1998</v>
      </c>
      <c r="V2337" s="77">
        <f>INDEX(Products!E:E,MATCH(OrdersTable[[#This Row],[Product ID]],Products!A:A,0))</f>
        <v>400</v>
      </c>
      <c r="W2337" s="77">
        <f>OrdersTable[[#This Row],[Quantity]]*OrdersTable[[#This Row],[Unit Cost]]</f>
        <v>800</v>
      </c>
      <c r="X2337" s="77">
        <f>'Dropdown Lists'!$I$2*(1+OrdersTable[[#This Row],[Returned]])</f>
        <v>60</v>
      </c>
      <c r="Y2337" s="76">
        <f>OrdersTable[[#This Row],[Net Revenue]]-OrdersTable[[#This Row],[COGS]]-OrdersTable[[#This Row],[Shipping Cost]]</f>
        <v>1138</v>
      </c>
      <c r="Z2337" s="78">
        <f>IFERROR(OrdersTable[[#This Row],[Profit]]/OrdersTable[[#This Row],[Net Revenue]],0)</f>
        <v>0.56956956956956961</v>
      </c>
      <c r="AA2337" t="s">
        <v>18</v>
      </c>
      <c r="AB2337" s="79">
        <v>45692</v>
      </c>
      <c r="AC2337">
        <f>OrdersTable[[#This Row],[Delivery Date]]-OrdersTable[[#This Row],[Order Date]]</f>
        <v>4</v>
      </c>
      <c r="AD2337" t="str">
        <f>IF(OrdersTable[[#This Row],[Delivery Days]]&lt;=2, "Express (≤2d)", IF(OrdersTable[[#This Row],[Delivery Days]]&lt;=4, "Standard (3-4d)", "Delayed (5d+)"))</f>
        <v>Standard (3-4d)</v>
      </c>
      <c r="AE2337">
        <v>4</v>
      </c>
      <c r="AF2337">
        <v>0</v>
      </c>
    </row>
    <row r="2338" spans="1:32" ht="15" x14ac:dyDescent="0.35">
      <c r="A2338" t="s">
        <v>5930</v>
      </c>
      <c r="B2338" s="1">
        <v>45688</v>
      </c>
      <c r="C2338">
        <f>YEAR(OrdersTable[[#This Row],[Order Date]])</f>
        <v>2025</v>
      </c>
      <c r="D2338" s="2">
        <f>DATE(YEAR(OrdersTable[[#This Row],[Order Date]]),MONTH(OrdersTable[[#This Row],[Order Date]]),1)</f>
        <v>45658</v>
      </c>
      <c r="E2338">
        <f>MONTH(OrdersTable[[#This Row],[Order Date]])</f>
        <v>1</v>
      </c>
      <c r="F2338" t="s">
        <v>5931</v>
      </c>
      <c r="G2338" t="str">
        <f>IF(OrdersTable[[#This Row],[Order Date]]=_xlfn.MINIFS(Order_Date, Customer_ID, OrdersTable[[#This Row],[Customer ID]]), "New", "Repeat")</f>
        <v>New</v>
      </c>
      <c r="H2338" t="s">
        <v>32</v>
      </c>
      <c r="I2338" t="str">
        <f>INDEX(State!B:B,MATCH(OrdersTable[[#This Row],[State]],State!A:A,0))</f>
        <v>BR</v>
      </c>
      <c r="J2338" t="str">
        <f>INDEX(State!C:C,MATCH(OrdersTable[[#This Row],[State Code]],State!B:B,0))</f>
        <v>East</v>
      </c>
      <c r="K2338" t="s">
        <v>33</v>
      </c>
      <c r="L2338" t="s">
        <v>23</v>
      </c>
      <c r="M2338" t="s">
        <v>24</v>
      </c>
      <c r="N2338" t="str">
        <f>INDEX(Products!B:B,MATCH(OrdersTable[[#This Row],[Product ID]],Products!A:A,0))</f>
        <v>Scented Candle Set</v>
      </c>
      <c r="O2338" t="str">
        <f>INDEX(Products!C:C,MATCH(OrdersTable[[#This Row],[Product ID]],Products!A:A,0))</f>
        <v>Home &amp; Kitchen</v>
      </c>
      <c r="P2338">
        <v>2</v>
      </c>
      <c r="Q2338" s="5">
        <v>699</v>
      </c>
      <c r="R2338" s="74">
        <v>0.3</v>
      </c>
      <c r="S2338" s="75">
        <f>OrdersTable[[#This Row],[Quantity]]*OrdersTable[[#This Row],[Unit Price]]</f>
        <v>1398</v>
      </c>
      <c r="T2338" s="5">
        <f>OrdersTable[[#This Row],[Gross Sale]]*OrdersTable[[#This Row],[Discount_Clean2]]</f>
        <v>419.4</v>
      </c>
      <c r="U2338" s="5">
        <f>OrdersTable[[#This Row],[Gross Sale]]-OrdersTable[[#This Row],[Discount Amount]]</f>
        <v>978.6</v>
      </c>
      <c r="V2338" s="77">
        <f>INDEX(Products!E:E,MATCH(OrdersTable[[#This Row],[Product ID]],Products!A:A,0))</f>
        <v>245</v>
      </c>
      <c r="W2338" s="77">
        <f>OrdersTable[[#This Row],[Quantity]]*OrdersTable[[#This Row],[Unit Cost]]</f>
        <v>490</v>
      </c>
      <c r="X2338" s="77">
        <f>'Dropdown Lists'!$I$2*(1+OrdersTable[[#This Row],[Returned]])</f>
        <v>60</v>
      </c>
      <c r="Y2338" s="76">
        <f>OrdersTable[[#This Row],[Net Revenue]]-OrdersTable[[#This Row],[COGS]]-OrdersTable[[#This Row],[Shipping Cost]]</f>
        <v>428.6</v>
      </c>
      <c r="Z2338" s="78">
        <f>IFERROR(OrdersTable[[#This Row],[Profit]]/OrdersTable[[#This Row],[Net Revenue]],0)</f>
        <v>0.43797261393827919</v>
      </c>
      <c r="AA2338" t="s">
        <v>18</v>
      </c>
      <c r="AB2338" s="79">
        <v>45693</v>
      </c>
      <c r="AC2338">
        <f>OrdersTable[[#This Row],[Delivery Date]]-OrdersTable[[#This Row],[Order Date]]</f>
        <v>5</v>
      </c>
      <c r="AD2338" t="str">
        <f>IF(OrdersTable[[#This Row],[Delivery Days]]&lt;=2, "Express (≤2d)", IF(OrdersTable[[#This Row],[Delivery Days]]&lt;=4, "Standard (3-4d)", "Delayed (5d+)"))</f>
        <v>Delayed (5d+)</v>
      </c>
      <c r="AF2338">
        <v>0</v>
      </c>
    </row>
    <row r="2339" spans="1:32" ht="15" x14ac:dyDescent="0.35">
      <c r="A2339" t="s">
        <v>5601</v>
      </c>
      <c r="B2339" s="1">
        <v>45688</v>
      </c>
      <c r="C2339">
        <f>YEAR(OrdersTable[[#This Row],[Order Date]])</f>
        <v>2025</v>
      </c>
      <c r="D2339" s="2">
        <f>DATE(YEAR(OrdersTable[[#This Row],[Order Date]]),MONTH(OrdersTable[[#This Row],[Order Date]]),1)</f>
        <v>45658</v>
      </c>
      <c r="E2339">
        <f>MONTH(OrdersTable[[#This Row],[Order Date]])</f>
        <v>1</v>
      </c>
      <c r="F2339" t="s">
        <v>5602</v>
      </c>
      <c r="G2339" t="str">
        <f>IF(OrdersTable[[#This Row],[Order Date]]=_xlfn.MINIFS(Order_Date, Customer_ID, OrdersTable[[#This Row],[Customer ID]]), "New", "Repeat")</f>
        <v>New</v>
      </c>
      <c r="H2339" t="s">
        <v>482</v>
      </c>
      <c r="I2339" t="str">
        <f>INDEX(State!B:B,MATCH(OrdersTable[[#This Row],[State]],State!A:A,0))</f>
        <v>CG</v>
      </c>
      <c r="J2339" t="str">
        <f>INDEX(State!C:C,MATCH(OrdersTable[[#This Row],[State Code]],State!B:B,0))</f>
        <v>East</v>
      </c>
      <c r="K2339" t="s">
        <v>483</v>
      </c>
      <c r="L2339" t="s">
        <v>23</v>
      </c>
      <c r="M2339" t="s">
        <v>34</v>
      </c>
      <c r="N2339" t="str">
        <f>INDEX(Products!B:B,MATCH(OrdersTable[[#This Row],[Product ID]],Products!A:A,0))</f>
        <v>Flip Flops</v>
      </c>
      <c r="O2339" t="str">
        <f>INDEX(Products!C:C,MATCH(OrdersTable[[#This Row],[Product ID]],Products!A:A,0))</f>
        <v>Footwear</v>
      </c>
      <c r="P2339">
        <v>2</v>
      </c>
      <c r="Q2339" s="5">
        <v>399</v>
      </c>
      <c r="R2339" s="74">
        <v>0.2</v>
      </c>
      <c r="S2339" s="75">
        <f>OrdersTable[[#This Row],[Quantity]]*OrdersTable[[#This Row],[Unit Price]]</f>
        <v>798</v>
      </c>
      <c r="T2339" s="5">
        <f>OrdersTable[[#This Row],[Gross Sale]]*OrdersTable[[#This Row],[Discount_Clean2]]</f>
        <v>159.60000000000002</v>
      </c>
      <c r="U2339" s="5">
        <f>OrdersTable[[#This Row],[Gross Sale]]-OrdersTable[[#This Row],[Discount Amount]]</f>
        <v>638.4</v>
      </c>
      <c r="V2339" s="77">
        <f>INDEX(Products!E:E,MATCH(OrdersTable[[#This Row],[Product ID]],Products!A:A,0))</f>
        <v>152</v>
      </c>
      <c r="W2339" s="77">
        <f>OrdersTable[[#This Row],[Quantity]]*OrdersTable[[#This Row],[Unit Cost]]</f>
        <v>304</v>
      </c>
      <c r="X2339" s="77">
        <f>'Dropdown Lists'!$I$2*(1+OrdersTable[[#This Row],[Returned]])</f>
        <v>60</v>
      </c>
      <c r="Y2339" s="76">
        <f>OrdersTable[[#This Row],[Net Revenue]]-OrdersTable[[#This Row],[COGS]]-OrdersTable[[#This Row],[Shipping Cost]]</f>
        <v>274.39999999999998</v>
      </c>
      <c r="Z2339" s="78">
        <f>IFERROR(OrdersTable[[#This Row],[Profit]]/OrdersTable[[#This Row],[Net Revenue]],0)</f>
        <v>0.42982456140350878</v>
      </c>
      <c r="AA2339" t="s">
        <v>2522</v>
      </c>
      <c r="AB2339" s="79">
        <v>45690</v>
      </c>
      <c r="AC2339">
        <f>OrdersTable[[#This Row],[Delivery Date]]-OrdersTable[[#This Row],[Order Date]]</f>
        <v>2</v>
      </c>
      <c r="AD2339" t="str">
        <f>IF(OrdersTable[[#This Row],[Delivery Days]]&lt;=2, "Express (≤2d)", IF(OrdersTable[[#This Row],[Delivery Days]]&lt;=4, "Standard (3-4d)", "Delayed (5d+)"))</f>
        <v>Express (≤2d)</v>
      </c>
      <c r="AF2339">
        <v>0</v>
      </c>
    </row>
    <row r="2340" spans="1:32" ht="15" x14ac:dyDescent="0.35">
      <c r="A2340" t="s">
        <v>2598</v>
      </c>
      <c r="B2340" s="1">
        <v>45688</v>
      </c>
      <c r="C2340">
        <f>YEAR(OrdersTable[[#This Row],[Order Date]])</f>
        <v>2025</v>
      </c>
      <c r="D2340" s="2">
        <f>DATE(YEAR(OrdersTable[[#This Row],[Order Date]]),MONTH(OrdersTable[[#This Row],[Order Date]]),1)</f>
        <v>45658</v>
      </c>
      <c r="E2340">
        <f>MONTH(OrdersTable[[#This Row],[Order Date]])</f>
        <v>1</v>
      </c>
      <c r="F2340" t="s">
        <v>1157</v>
      </c>
      <c r="G2340" t="str">
        <f>IF(OrdersTable[[#This Row],[Order Date]]=_xlfn.MINIFS(Order_Date, Customer_ID, OrdersTable[[#This Row],[Customer ID]]), "New", "Repeat")</f>
        <v>Repeat</v>
      </c>
      <c r="H2340" t="s">
        <v>71</v>
      </c>
      <c r="I2340" t="str">
        <f>INDEX(State!B:B,MATCH(OrdersTable[[#This Row],[State]],State!A:A,0))</f>
        <v>MH</v>
      </c>
      <c r="J2340" t="str">
        <f>INDEX(State!C:C,MATCH(OrdersTable[[#This Row],[State Code]],State!B:B,0))</f>
        <v>West</v>
      </c>
      <c r="K2340" t="s">
        <v>102</v>
      </c>
      <c r="L2340" t="s">
        <v>65</v>
      </c>
      <c r="M2340" t="s">
        <v>106</v>
      </c>
      <c r="N2340" t="str">
        <f>INDEX(Products!B:B,MATCH(OrdersTable[[#This Row],[Product ID]],Products!A:A,0))</f>
        <v>Keratin Hair Mask</v>
      </c>
      <c r="O2340" t="str">
        <f>INDEX(Products!C:C,MATCH(OrdersTable[[#This Row],[Product ID]],Products!A:A,0))</f>
        <v>Haircare</v>
      </c>
      <c r="P2340">
        <v>1</v>
      </c>
      <c r="Q2340" s="5">
        <v>549</v>
      </c>
      <c r="R2340" s="74">
        <v>0.2</v>
      </c>
      <c r="S2340" s="75">
        <f>OrdersTable[[#This Row],[Quantity]]*OrdersTable[[#This Row],[Unit Price]]</f>
        <v>549</v>
      </c>
      <c r="T2340" s="5">
        <f>OrdersTable[[#This Row],[Gross Sale]]*OrdersTable[[#This Row],[Discount_Clean2]]</f>
        <v>109.80000000000001</v>
      </c>
      <c r="U2340" s="5">
        <f>OrdersTable[[#This Row],[Gross Sale]]-OrdersTable[[#This Row],[Discount Amount]]</f>
        <v>439.2</v>
      </c>
      <c r="V2340" s="77">
        <f>INDEX(Products!E:E,MATCH(OrdersTable[[#This Row],[Product ID]],Products!A:A,0))</f>
        <v>170</v>
      </c>
      <c r="W2340" s="77">
        <f>OrdersTable[[#This Row],[Quantity]]*OrdersTable[[#This Row],[Unit Cost]]</f>
        <v>170</v>
      </c>
      <c r="X2340" s="77">
        <f>'Dropdown Lists'!$I$2*(1+OrdersTable[[#This Row],[Returned]])</f>
        <v>60</v>
      </c>
      <c r="Y2340" s="76">
        <f>OrdersTable[[#This Row],[Net Revenue]]-OrdersTable[[#This Row],[COGS]]-OrdersTable[[#This Row],[Shipping Cost]]</f>
        <v>209.2</v>
      </c>
      <c r="Z2340" s="78">
        <f>IFERROR(OrdersTable[[#This Row],[Profit]]/OrdersTable[[#This Row],[Net Revenue]],0)</f>
        <v>0.47632058287795992</v>
      </c>
      <c r="AA2340" t="s">
        <v>2522</v>
      </c>
      <c r="AB2340" s="79">
        <v>45691</v>
      </c>
      <c r="AC2340">
        <f>OrdersTable[[#This Row],[Delivery Date]]-OrdersTable[[#This Row],[Order Date]]</f>
        <v>3</v>
      </c>
      <c r="AD2340" t="str">
        <f>IF(OrdersTable[[#This Row],[Delivery Days]]&lt;=2, "Express (≤2d)", IF(OrdersTable[[#This Row],[Delivery Days]]&lt;=4, "Standard (3-4d)", "Delayed (5d+)"))</f>
        <v>Standard (3-4d)</v>
      </c>
      <c r="AE2340">
        <v>5</v>
      </c>
      <c r="AF2340">
        <v>0</v>
      </c>
    </row>
    <row r="2341" spans="1:32" ht="15" x14ac:dyDescent="0.35">
      <c r="A2341" t="s">
        <v>2599</v>
      </c>
      <c r="B2341" s="1">
        <v>45688</v>
      </c>
      <c r="C2341">
        <f>YEAR(OrdersTable[[#This Row],[Order Date]])</f>
        <v>2025</v>
      </c>
      <c r="D2341" s="2">
        <f>DATE(YEAR(OrdersTable[[#This Row],[Order Date]]),MONTH(OrdersTable[[#This Row],[Order Date]]),1)</f>
        <v>45658</v>
      </c>
      <c r="E2341">
        <f>MONTH(OrdersTable[[#This Row],[Order Date]])</f>
        <v>1</v>
      </c>
      <c r="F2341" t="s">
        <v>1686</v>
      </c>
      <c r="G2341" t="str">
        <f>IF(OrdersTable[[#This Row],[Order Date]]=_xlfn.MINIFS(Order_Date, Customer_ID, OrdersTable[[#This Row],[Customer ID]]), "New", "Repeat")</f>
        <v>Repeat</v>
      </c>
      <c r="H2341" t="s">
        <v>95</v>
      </c>
      <c r="I2341" t="str">
        <f>INDEX(State!B:B,MATCH(OrdersTable[[#This Row],[State]],State!A:A,0))</f>
        <v>TG</v>
      </c>
      <c r="J2341" t="str">
        <f>INDEX(State!C:C,MATCH(OrdersTable[[#This Row],[State Code]],State!B:B,0))</f>
        <v>South</v>
      </c>
      <c r="K2341" t="s">
        <v>96</v>
      </c>
      <c r="L2341" t="s">
        <v>23</v>
      </c>
      <c r="M2341" t="s">
        <v>92</v>
      </c>
      <c r="N2341" t="str">
        <f>INDEX(Products!B:B,MATCH(OrdersTable[[#This Row],[Product ID]],Products!A:A,0))</f>
        <v>Kolhapuri Sandals</v>
      </c>
      <c r="O2341" t="str">
        <f>INDEX(Products!C:C,MATCH(OrdersTable[[#This Row],[Product ID]],Products!A:A,0))</f>
        <v>Footwear</v>
      </c>
      <c r="P2341">
        <v>1</v>
      </c>
      <c r="Q2341" s="5">
        <v>999</v>
      </c>
      <c r="R2341" s="74">
        <v>0.05</v>
      </c>
      <c r="S2341" s="75">
        <f>OrdersTable[[#This Row],[Quantity]]*OrdersTable[[#This Row],[Unit Price]]</f>
        <v>999</v>
      </c>
      <c r="T2341" s="5">
        <f>OrdersTable[[#This Row],[Gross Sale]]*OrdersTable[[#This Row],[Discount_Clean2]]</f>
        <v>49.95</v>
      </c>
      <c r="U2341" s="5">
        <f>OrdersTable[[#This Row],[Gross Sale]]-OrdersTable[[#This Row],[Discount Amount]]</f>
        <v>949.05</v>
      </c>
      <c r="V2341" s="77">
        <f>INDEX(Products!E:E,MATCH(OrdersTable[[#This Row],[Product ID]],Products!A:A,0))</f>
        <v>400</v>
      </c>
      <c r="W2341" s="77">
        <f>OrdersTable[[#This Row],[Quantity]]*OrdersTable[[#This Row],[Unit Cost]]</f>
        <v>400</v>
      </c>
      <c r="X2341" s="77">
        <f>'Dropdown Lists'!$I$2*(1+OrdersTable[[#This Row],[Returned]])</f>
        <v>120</v>
      </c>
      <c r="Y2341" s="76">
        <f>OrdersTable[[#This Row],[Net Revenue]]-OrdersTable[[#This Row],[COGS]]-OrdersTable[[#This Row],[Shipping Cost]]</f>
        <v>429.04999999999995</v>
      </c>
      <c r="Z2341" s="78">
        <f>IFERROR(OrdersTable[[#This Row],[Profit]]/OrdersTable[[#This Row],[Net Revenue]],0)</f>
        <v>0.4520836626099784</v>
      </c>
      <c r="AA2341" t="s">
        <v>2522</v>
      </c>
      <c r="AB2341" s="79">
        <v>45689</v>
      </c>
      <c r="AC2341">
        <f>OrdersTable[[#This Row],[Delivery Date]]-OrdersTable[[#This Row],[Order Date]]</f>
        <v>1</v>
      </c>
      <c r="AD2341" t="str">
        <f>IF(OrdersTable[[#This Row],[Delivery Days]]&lt;=2, "Express (≤2d)", IF(OrdersTable[[#This Row],[Delivery Days]]&lt;=4, "Standard (3-4d)", "Delayed (5d+)"))</f>
        <v>Express (≤2d)</v>
      </c>
      <c r="AE2341">
        <v>5</v>
      </c>
      <c r="AF2341">
        <v>1</v>
      </c>
    </row>
    <row r="2342" spans="1:32" ht="15" x14ac:dyDescent="0.35">
      <c r="A2342" t="s">
        <v>6558</v>
      </c>
      <c r="B2342" s="1">
        <v>45688</v>
      </c>
      <c r="C2342">
        <f>YEAR(OrdersTable[[#This Row],[Order Date]])</f>
        <v>2025</v>
      </c>
      <c r="D2342" s="2">
        <f>DATE(YEAR(OrdersTable[[#This Row],[Order Date]]),MONTH(OrdersTable[[#This Row],[Order Date]]),1)</f>
        <v>45658</v>
      </c>
      <c r="E2342">
        <f>MONTH(OrdersTable[[#This Row],[Order Date]])</f>
        <v>1</v>
      </c>
      <c r="F2342" t="s">
        <v>5296</v>
      </c>
      <c r="G2342" t="str">
        <f>IF(OrdersTable[[#This Row],[Order Date]]=_xlfn.MINIFS(Order_Date, Customer_ID, OrdersTable[[#This Row],[Customer ID]]), "New", "Repeat")</f>
        <v>Repeat</v>
      </c>
      <c r="H2342" t="s">
        <v>14</v>
      </c>
      <c r="I2342" t="str">
        <f>INDEX(State!B:B,MATCH(OrdersTable[[#This Row],[State]],State!A:A,0))</f>
        <v>OD</v>
      </c>
      <c r="J2342" t="str">
        <f>INDEX(State!C:C,MATCH(OrdersTable[[#This Row],[State Code]],State!B:B,0))</f>
        <v>East</v>
      </c>
      <c r="K2342" t="s">
        <v>15</v>
      </c>
      <c r="L2342" t="s">
        <v>16</v>
      </c>
      <c r="M2342" t="s">
        <v>29</v>
      </c>
      <c r="N2342" t="str">
        <f>INDEX(Products!B:B,MATCH(OrdersTable[[#This Row],[Product ID]],Products!A:A,0))</f>
        <v>Joggers</v>
      </c>
      <c r="O2342" t="str">
        <f>INDEX(Products!C:C,MATCH(OrdersTable[[#This Row],[Product ID]],Products!A:A,0))</f>
        <v>Apparel</v>
      </c>
      <c r="P2342">
        <v>3</v>
      </c>
      <c r="Q2342" s="5">
        <v>1199</v>
      </c>
      <c r="R2342" s="74">
        <v>0.15</v>
      </c>
      <c r="S2342" s="75">
        <f>OrdersTable[[#This Row],[Quantity]]*OrdersTable[[#This Row],[Unit Price]]</f>
        <v>3597</v>
      </c>
      <c r="T2342" s="5">
        <f>OrdersTable[[#This Row],[Gross Sale]]*OrdersTable[[#This Row],[Discount_Clean2]]</f>
        <v>539.54999999999995</v>
      </c>
      <c r="U2342" s="5">
        <f>OrdersTable[[#This Row],[Gross Sale]]-OrdersTable[[#This Row],[Discount Amount]]</f>
        <v>3057.45</v>
      </c>
      <c r="V2342" s="77">
        <f>INDEX(Products!E:E,MATCH(OrdersTable[[#This Row],[Product ID]],Products!A:A,0))</f>
        <v>492</v>
      </c>
      <c r="W2342" s="77">
        <f>OrdersTable[[#This Row],[Quantity]]*OrdersTable[[#This Row],[Unit Cost]]</f>
        <v>1476</v>
      </c>
      <c r="X2342" s="77">
        <f>'Dropdown Lists'!$I$2*(1+OrdersTable[[#This Row],[Returned]])</f>
        <v>60</v>
      </c>
      <c r="Y2342" s="76">
        <f>OrdersTable[[#This Row],[Net Revenue]]-OrdersTable[[#This Row],[COGS]]-OrdersTable[[#This Row],[Shipping Cost]]</f>
        <v>1521.4499999999998</v>
      </c>
      <c r="Z2342" s="78">
        <f>IFERROR(OrdersTable[[#This Row],[Profit]]/OrdersTable[[#This Row],[Net Revenue]],0)</f>
        <v>0.49762056615807287</v>
      </c>
      <c r="AA2342" t="s">
        <v>18</v>
      </c>
      <c r="AB2342" s="79">
        <v>45694</v>
      </c>
      <c r="AC2342">
        <f>OrdersTable[[#This Row],[Delivery Date]]-OrdersTable[[#This Row],[Order Date]]</f>
        <v>6</v>
      </c>
      <c r="AD2342" t="str">
        <f>IF(OrdersTable[[#This Row],[Delivery Days]]&lt;=2, "Express (≤2d)", IF(OrdersTable[[#This Row],[Delivery Days]]&lt;=4, "Standard (3-4d)", "Delayed (5d+)"))</f>
        <v>Delayed (5d+)</v>
      </c>
      <c r="AE2342">
        <v>4</v>
      </c>
      <c r="AF2342">
        <v>0</v>
      </c>
    </row>
    <row r="2343" spans="1:32" ht="15" x14ac:dyDescent="0.35">
      <c r="A2343" t="s">
        <v>4822</v>
      </c>
      <c r="B2343" s="1">
        <v>45688</v>
      </c>
      <c r="C2343">
        <f>YEAR(OrdersTable[[#This Row],[Order Date]])</f>
        <v>2025</v>
      </c>
      <c r="D2343" s="2">
        <f>DATE(YEAR(OrdersTable[[#This Row],[Order Date]]),MONTH(OrdersTable[[#This Row],[Order Date]]),1)</f>
        <v>45658</v>
      </c>
      <c r="E2343">
        <f>MONTH(OrdersTable[[#This Row],[Order Date]])</f>
        <v>1</v>
      </c>
      <c r="F2343" t="s">
        <v>2685</v>
      </c>
      <c r="G2343" t="str">
        <f>IF(OrdersTable[[#This Row],[Order Date]]=_xlfn.MINIFS(Order_Date, Customer_ID, OrdersTable[[#This Row],[Customer ID]]), "New", "Repeat")</f>
        <v>New</v>
      </c>
      <c r="H2343" t="s">
        <v>275</v>
      </c>
      <c r="I2343" t="str">
        <f>INDEX(State!B:B,MATCH(OrdersTable[[#This Row],[State]],State!A:A,0))</f>
        <v>AP</v>
      </c>
      <c r="J2343" t="str">
        <f>INDEX(State!C:C,MATCH(OrdersTable[[#This Row],[State Code]],State!B:B,0))</f>
        <v>South</v>
      </c>
      <c r="K2343" t="s">
        <v>491</v>
      </c>
      <c r="L2343" t="s">
        <v>23</v>
      </c>
      <c r="M2343" t="s">
        <v>565</v>
      </c>
      <c r="N2343" t="str">
        <f>INDEX(Products!B:B,MATCH(OrdersTable[[#This Row],[Product ID]],Products!A:A,0))</f>
        <v>Ceramic Dinner Set</v>
      </c>
      <c r="O2343" t="str">
        <f>INDEX(Products!C:C,MATCH(OrdersTable[[#This Row],[Product ID]],Products!A:A,0))</f>
        <v>Home &amp; Kitchen</v>
      </c>
      <c r="P2343">
        <v>2</v>
      </c>
      <c r="Q2343" s="5">
        <v>2499</v>
      </c>
      <c r="R2343" s="74">
        <v>0.3</v>
      </c>
      <c r="S2343" s="75">
        <f>OrdersTable[[#This Row],[Quantity]]*OrdersTable[[#This Row],[Unit Price]]</f>
        <v>4998</v>
      </c>
      <c r="T2343" s="5">
        <f>OrdersTable[[#This Row],[Gross Sale]]*OrdersTable[[#This Row],[Discount_Clean2]]</f>
        <v>1499.3999999999999</v>
      </c>
      <c r="U2343" s="5">
        <f>OrdersTable[[#This Row],[Gross Sale]]-OrdersTable[[#This Row],[Discount Amount]]</f>
        <v>3498.6000000000004</v>
      </c>
      <c r="V2343" s="77">
        <f>INDEX(Products!E:E,MATCH(OrdersTable[[#This Row],[Product ID]],Products!A:A,0))</f>
        <v>1250</v>
      </c>
      <c r="W2343" s="77">
        <f>OrdersTable[[#This Row],[Quantity]]*OrdersTable[[#This Row],[Unit Cost]]</f>
        <v>2500</v>
      </c>
      <c r="X2343" s="77">
        <f>'Dropdown Lists'!$I$2*(1+OrdersTable[[#This Row],[Returned]])</f>
        <v>60</v>
      </c>
      <c r="Y2343" s="76">
        <f>OrdersTable[[#This Row],[Net Revenue]]-OrdersTable[[#This Row],[COGS]]-OrdersTable[[#This Row],[Shipping Cost]]</f>
        <v>938.60000000000036</v>
      </c>
      <c r="Z2343" s="78">
        <f>IFERROR(OrdersTable[[#This Row],[Profit]]/OrdersTable[[#This Row],[Net Revenue]],0)</f>
        <v>0.26827874006745561</v>
      </c>
      <c r="AA2343" t="s">
        <v>4450</v>
      </c>
      <c r="AB2343" s="79">
        <v>45694</v>
      </c>
      <c r="AC2343">
        <f>OrdersTable[[#This Row],[Delivery Date]]-OrdersTable[[#This Row],[Order Date]]</f>
        <v>6</v>
      </c>
      <c r="AD2343" t="str">
        <f>IF(OrdersTable[[#This Row],[Delivery Days]]&lt;=2, "Express (≤2d)", IF(OrdersTable[[#This Row],[Delivery Days]]&lt;=4, "Standard (3-4d)", "Delayed (5d+)"))</f>
        <v>Delayed (5d+)</v>
      </c>
      <c r="AF2343">
        <v>0</v>
      </c>
    </row>
    <row r="2344" spans="1:32" ht="15" x14ac:dyDescent="0.35">
      <c r="A2344" t="s">
        <v>2504</v>
      </c>
      <c r="B2344" s="1">
        <v>45689</v>
      </c>
      <c r="C2344">
        <f>YEAR(OrdersTable[[#This Row],[Order Date]])</f>
        <v>2025</v>
      </c>
      <c r="D2344" s="2">
        <f>DATE(YEAR(OrdersTable[[#This Row],[Order Date]]),MONTH(OrdersTable[[#This Row],[Order Date]]),1)</f>
        <v>45689</v>
      </c>
      <c r="E2344">
        <f>MONTH(OrdersTable[[#This Row],[Order Date]])</f>
        <v>2</v>
      </c>
      <c r="F2344" t="s">
        <v>2505</v>
      </c>
      <c r="G2344" t="str">
        <f>IF(OrdersTable[[#This Row],[Order Date]]=_xlfn.MINIFS(Order_Date, Customer_ID, OrdersTable[[#This Row],[Customer ID]]), "New", "Repeat")</f>
        <v>Repeat</v>
      </c>
      <c r="H2344" t="s">
        <v>210</v>
      </c>
      <c r="I2344" t="str">
        <f>INDEX(State!B:B,MATCH(OrdersTable[[#This Row],[State]],State!A:A,0))</f>
        <v>JK</v>
      </c>
      <c r="J2344" t="str">
        <f>INDEX(State!C:C,MATCH(OrdersTable[[#This Row],[State Code]],State!B:B,0))</f>
        <v>North</v>
      </c>
      <c r="K2344" t="s">
        <v>415</v>
      </c>
      <c r="L2344" t="s">
        <v>23</v>
      </c>
      <c r="M2344" t="s">
        <v>148</v>
      </c>
      <c r="N2344" t="str">
        <f>INDEX(Products!B:B,MATCH(OrdersTable[[#This Row],[Product ID]],Products!A:A,0))</f>
        <v>Smartwatch Strap</v>
      </c>
      <c r="O2344" t="str">
        <f>INDEX(Products!C:C,MATCH(OrdersTable[[#This Row],[Product ID]],Products!A:A,0))</f>
        <v>Electronics</v>
      </c>
      <c r="P2344">
        <v>1</v>
      </c>
      <c r="Q2344" s="5">
        <v>499</v>
      </c>
      <c r="R2344" s="74">
        <v>0.05</v>
      </c>
      <c r="S2344" s="75">
        <f>OrdersTable[[#This Row],[Quantity]]*OrdersTable[[#This Row],[Unit Price]]</f>
        <v>499</v>
      </c>
      <c r="T2344" s="5">
        <f>OrdersTable[[#This Row],[Gross Sale]]*OrdersTable[[#This Row],[Discount_Clean2]]</f>
        <v>24.950000000000003</v>
      </c>
      <c r="U2344" s="5">
        <f>OrdersTable[[#This Row],[Gross Sale]]-OrdersTable[[#This Row],[Discount Amount]]</f>
        <v>474.05</v>
      </c>
      <c r="V2344" s="77">
        <f>INDEX(Products!E:E,MATCH(OrdersTable[[#This Row],[Product ID]],Products!A:A,0))</f>
        <v>200</v>
      </c>
      <c r="W2344" s="77">
        <f>OrdersTable[[#This Row],[Quantity]]*OrdersTable[[#This Row],[Unit Cost]]</f>
        <v>200</v>
      </c>
      <c r="X2344" s="77">
        <f>'Dropdown Lists'!$I$2*(1+OrdersTable[[#This Row],[Returned]])</f>
        <v>60</v>
      </c>
      <c r="Y2344" s="76">
        <f>OrdersTable[[#This Row],[Net Revenue]]-OrdersTable[[#This Row],[COGS]]-OrdersTable[[#This Row],[Shipping Cost]]</f>
        <v>214.05</v>
      </c>
      <c r="Z2344" s="78">
        <f>IFERROR(OrdersTable[[#This Row],[Profit]]/OrdersTable[[#This Row],[Net Revenue]],0)</f>
        <v>0.45153464824385614</v>
      </c>
      <c r="AA2344" t="s">
        <v>18</v>
      </c>
      <c r="AB2344" s="79">
        <v>45696</v>
      </c>
      <c r="AC2344">
        <f>OrdersTable[[#This Row],[Delivery Date]]-OrdersTable[[#This Row],[Order Date]]</f>
        <v>7</v>
      </c>
      <c r="AD2344" t="str">
        <f>IF(OrdersTable[[#This Row],[Delivery Days]]&lt;=2, "Express (≤2d)", IF(OrdersTable[[#This Row],[Delivery Days]]&lt;=4, "Standard (3-4d)", "Delayed (5d+)"))</f>
        <v>Delayed (5d+)</v>
      </c>
      <c r="AE2344">
        <v>2</v>
      </c>
      <c r="AF2344">
        <v>0</v>
      </c>
    </row>
    <row r="2345" spans="1:32" ht="15" x14ac:dyDescent="0.35">
      <c r="A2345" t="s">
        <v>4977</v>
      </c>
      <c r="B2345" s="1">
        <v>45689</v>
      </c>
      <c r="C2345">
        <f>YEAR(OrdersTable[[#This Row],[Order Date]])</f>
        <v>2025</v>
      </c>
      <c r="D2345" s="2">
        <f>DATE(YEAR(OrdersTable[[#This Row],[Order Date]]),MONTH(OrdersTable[[#This Row],[Order Date]]),1)</f>
        <v>45689</v>
      </c>
      <c r="E2345">
        <f>MONTH(OrdersTable[[#This Row],[Order Date]])</f>
        <v>2</v>
      </c>
      <c r="F2345" t="s">
        <v>3816</v>
      </c>
      <c r="G2345" t="str">
        <f>IF(OrdersTable[[#This Row],[Order Date]]=_xlfn.MINIFS(Order_Date, Customer_ID, OrdersTable[[#This Row],[Customer ID]]), "New", "Repeat")</f>
        <v>Repeat</v>
      </c>
      <c r="H2345" t="s">
        <v>128</v>
      </c>
      <c r="I2345" t="str">
        <f>INDEX(State!B:B,MATCH(OrdersTable[[#This Row],[State]],State!A:A,0))</f>
        <v>DL</v>
      </c>
      <c r="J2345" t="str">
        <f>INDEX(State!C:C,MATCH(OrdersTable[[#This Row],[State Code]],State!B:B,0))</f>
        <v>North</v>
      </c>
      <c r="K2345" t="s">
        <v>129</v>
      </c>
      <c r="L2345" t="s">
        <v>39</v>
      </c>
      <c r="M2345" t="s">
        <v>87</v>
      </c>
      <c r="N2345" t="str">
        <f>INDEX(Products!B:B,MATCH(OrdersTable[[#This Row],[Product ID]],Products!A:A,0))</f>
        <v>Linen Kurta</v>
      </c>
      <c r="O2345" t="str">
        <f>INDEX(Products!C:C,MATCH(OrdersTable[[#This Row],[Product ID]],Products!A:A,0))</f>
        <v>Apparel</v>
      </c>
      <c r="P2345">
        <v>2</v>
      </c>
      <c r="Q2345" s="5">
        <v>1499</v>
      </c>
      <c r="R2345" s="74">
        <v>0.35</v>
      </c>
      <c r="S2345" s="75">
        <f>OrdersTable[[#This Row],[Quantity]]*OrdersTable[[#This Row],[Unit Price]]</f>
        <v>2998</v>
      </c>
      <c r="T2345" s="5">
        <f>OrdersTable[[#This Row],[Gross Sale]]*OrdersTable[[#This Row],[Discount_Clean2]]</f>
        <v>1049.3</v>
      </c>
      <c r="U2345" s="5">
        <f>OrdersTable[[#This Row],[Gross Sale]]-OrdersTable[[#This Row],[Discount Amount]]</f>
        <v>1948.7</v>
      </c>
      <c r="V2345" s="77">
        <f>INDEX(Products!E:E,MATCH(OrdersTable[[#This Row],[Product ID]],Products!A:A,0))</f>
        <v>630</v>
      </c>
      <c r="W2345" s="77">
        <f>OrdersTable[[#This Row],[Quantity]]*OrdersTable[[#This Row],[Unit Cost]]</f>
        <v>1260</v>
      </c>
      <c r="X2345" s="77">
        <f>'Dropdown Lists'!$I$2*(1+OrdersTable[[#This Row],[Returned]])</f>
        <v>60</v>
      </c>
      <c r="Y2345" s="76">
        <f>OrdersTable[[#This Row],[Net Revenue]]-OrdersTable[[#This Row],[COGS]]-OrdersTable[[#This Row],[Shipping Cost]]</f>
        <v>628.70000000000005</v>
      </c>
      <c r="Z2345" s="78">
        <f>IFERROR(OrdersTable[[#This Row],[Profit]]/OrdersTable[[#This Row],[Net Revenue]],0)</f>
        <v>0.32262533997023657</v>
      </c>
      <c r="AA2345" t="s">
        <v>4074</v>
      </c>
      <c r="AB2345" s="79">
        <v>45693</v>
      </c>
      <c r="AC2345">
        <f>OrdersTable[[#This Row],[Delivery Date]]-OrdersTable[[#This Row],[Order Date]]</f>
        <v>4</v>
      </c>
      <c r="AD2345" t="str">
        <f>IF(OrdersTable[[#This Row],[Delivery Days]]&lt;=2, "Express (≤2d)", IF(OrdersTable[[#This Row],[Delivery Days]]&lt;=4, "Standard (3-4d)", "Delayed (5d+)"))</f>
        <v>Standard (3-4d)</v>
      </c>
      <c r="AE2345">
        <v>4</v>
      </c>
      <c r="AF2345">
        <v>0</v>
      </c>
    </row>
    <row r="2346" spans="1:32" ht="15" x14ac:dyDescent="0.35">
      <c r="A2346" t="s">
        <v>6345</v>
      </c>
      <c r="B2346" s="1">
        <v>45689</v>
      </c>
      <c r="C2346">
        <f>YEAR(OrdersTable[[#This Row],[Order Date]])</f>
        <v>2025</v>
      </c>
      <c r="D2346" s="2">
        <f>DATE(YEAR(OrdersTable[[#This Row],[Order Date]]),MONTH(OrdersTable[[#This Row],[Order Date]]),1)</f>
        <v>45689</v>
      </c>
      <c r="E2346">
        <f>MONTH(OrdersTable[[#This Row],[Order Date]])</f>
        <v>2</v>
      </c>
      <c r="F2346" t="s">
        <v>5914</v>
      </c>
      <c r="G2346" t="str">
        <f>IF(OrdersTable[[#This Row],[Order Date]]=_xlfn.MINIFS(Order_Date, Customer_ID, OrdersTable[[#This Row],[Customer ID]]), "New", "Repeat")</f>
        <v>Repeat</v>
      </c>
      <c r="H2346" t="s">
        <v>37</v>
      </c>
      <c r="I2346" t="str">
        <f>INDEX(State!B:B,MATCH(OrdersTable[[#This Row],[State]],State!A:A,0))</f>
        <v>GJ</v>
      </c>
      <c r="J2346" t="str">
        <f>INDEX(State!C:C,MATCH(OrdersTable[[#This Row],[State Code]],State!B:B,0))</f>
        <v>West</v>
      </c>
      <c r="K2346" t="s">
        <v>247</v>
      </c>
      <c r="L2346" t="s">
        <v>16</v>
      </c>
      <c r="M2346" t="s">
        <v>34</v>
      </c>
      <c r="N2346" t="str">
        <f>INDEX(Products!B:B,MATCH(OrdersTable[[#This Row],[Product ID]],Products!A:A,0))</f>
        <v>Flip Flops</v>
      </c>
      <c r="O2346" t="str">
        <f>INDEX(Products!C:C,MATCH(OrdersTable[[#This Row],[Product ID]],Products!A:A,0))</f>
        <v>Footwear</v>
      </c>
      <c r="P2346">
        <v>2</v>
      </c>
      <c r="Q2346" s="5">
        <v>399</v>
      </c>
      <c r="R2346" s="74">
        <v>0.1</v>
      </c>
      <c r="S2346" s="75">
        <f>OrdersTable[[#This Row],[Quantity]]*OrdersTable[[#This Row],[Unit Price]]</f>
        <v>798</v>
      </c>
      <c r="T2346" s="5">
        <f>OrdersTable[[#This Row],[Gross Sale]]*OrdersTable[[#This Row],[Discount_Clean2]]</f>
        <v>79.800000000000011</v>
      </c>
      <c r="U2346" s="5">
        <f>OrdersTable[[#This Row],[Gross Sale]]-OrdersTable[[#This Row],[Discount Amount]]</f>
        <v>718.2</v>
      </c>
      <c r="V2346" s="77">
        <f>INDEX(Products!E:E,MATCH(OrdersTable[[#This Row],[Product ID]],Products!A:A,0))</f>
        <v>152</v>
      </c>
      <c r="W2346" s="77">
        <f>OrdersTable[[#This Row],[Quantity]]*OrdersTable[[#This Row],[Unit Cost]]</f>
        <v>304</v>
      </c>
      <c r="X2346" s="77">
        <f>'Dropdown Lists'!$I$2*(1+OrdersTable[[#This Row],[Returned]])</f>
        <v>60</v>
      </c>
      <c r="Y2346" s="76">
        <f>OrdersTable[[#This Row],[Net Revenue]]-OrdersTable[[#This Row],[COGS]]-OrdersTable[[#This Row],[Shipping Cost]]</f>
        <v>354.20000000000005</v>
      </c>
      <c r="Z2346" s="78">
        <f>IFERROR(OrdersTable[[#This Row],[Profit]]/OrdersTable[[#This Row],[Net Revenue]],0)</f>
        <v>0.49317738791423005</v>
      </c>
      <c r="AA2346" t="s">
        <v>18</v>
      </c>
      <c r="AB2346" s="79">
        <v>45691</v>
      </c>
      <c r="AC2346">
        <f>OrdersTable[[#This Row],[Delivery Date]]-OrdersTable[[#This Row],[Order Date]]</f>
        <v>2</v>
      </c>
      <c r="AD2346" t="str">
        <f>IF(OrdersTable[[#This Row],[Delivery Days]]&lt;=2, "Express (≤2d)", IF(OrdersTable[[#This Row],[Delivery Days]]&lt;=4, "Standard (3-4d)", "Delayed (5d+)"))</f>
        <v>Express (≤2d)</v>
      </c>
      <c r="AE2346">
        <v>5</v>
      </c>
      <c r="AF2346">
        <v>0</v>
      </c>
    </row>
    <row r="2347" spans="1:32" ht="15" x14ac:dyDescent="0.35">
      <c r="A2347" t="s">
        <v>1951</v>
      </c>
      <c r="B2347" s="1">
        <v>45689</v>
      </c>
      <c r="C2347">
        <f>YEAR(OrdersTable[[#This Row],[Order Date]])</f>
        <v>2025</v>
      </c>
      <c r="D2347" s="2">
        <f>DATE(YEAR(OrdersTable[[#This Row],[Order Date]]),MONTH(OrdersTable[[#This Row],[Order Date]]),1)</f>
        <v>45689</v>
      </c>
      <c r="E2347">
        <f>MONTH(OrdersTable[[#This Row],[Order Date]])</f>
        <v>2</v>
      </c>
      <c r="F2347" t="s">
        <v>232</v>
      </c>
      <c r="G2347" t="str">
        <f>IF(OrdersTable[[#This Row],[Order Date]]=_xlfn.MINIFS(Order_Date, Customer_ID, OrdersTable[[#This Row],[Customer ID]]), "New", "Repeat")</f>
        <v>Repeat</v>
      </c>
      <c r="H2347" t="s">
        <v>27</v>
      </c>
      <c r="I2347" t="str">
        <f>INDEX(State!B:B,MATCH(OrdersTable[[#This Row],[State]],State!A:A,0))</f>
        <v>WB</v>
      </c>
      <c r="J2347" t="str">
        <f>INDEX(State!C:C,MATCH(OrdersTable[[#This Row],[State Code]],State!B:B,0))</f>
        <v>East</v>
      </c>
      <c r="K2347" t="s">
        <v>28</v>
      </c>
      <c r="L2347" t="s">
        <v>65</v>
      </c>
      <c r="M2347" t="s">
        <v>160</v>
      </c>
      <c r="N2347" t="str">
        <f>INDEX(Products!B:B,MATCH(OrdersTable[[#This Row],[Product ID]],Products!A:A,0))</f>
        <v>Niacinamide Toner</v>
      </c>
      <c r="O2347" t="str">
        <f>INDEX(Products!C:C,MATCH(OrdersTable[[#This Row],[Product ID]],Products!A:A,0))</f>
        <v>Skincare</v>
      </c>
      <c r="P2347">
        <v>1</v>
      </c>
      <c r="Q2347" s="5">
        <v>399</v>
      </c>
      <c r="R2347" s="74">
        <v>0.2</v>
      </c>
      <c r="S2347" s="75">
        <f>OrdersTable[[#This Row],[Quantity]]*OrdersTable[[#This Row],[Unit Price]]</f>
        <v>399</v>
      </c>
      <c r="T2347" s="5">
        <f>OrdersTable[[#This Row],[Gross Sale]]*OrdersTable[[#This Row],[Discount_Clean2]]</f>
        <v>79.800000000000011</v>
      </c>
      <c r="U2347" s="5">
        <f>OrdersTable[[#This Row],[Gross Sale]]-OrdersTable[[#This Row],[Discount Amount]]</f>
        <v>319.2</v>
      </c>
      <c r="V2347" s="77">
        <f>INDEX(Products!E:E,MATCH(OrdersTable[[#This Row],[Product ID]],Products!A:A,0))</f>
        <v>112</v>
      </c>
      <c r="W2347" s="77">
        <f>OrdersTable[[#This Row],[Quantity]]*OrdersTable[[#This Row],[Unit Cost]]</f>
        <v>112</v>
      </c>
      <c r="X2347" s="77">
        <f>'Dropdown Lists'!$I$2*(1+OrdersTable[[#This Row],[Returned]])</f>
        <v>60</v>
      </c>
      <c r="Y2347" s="76">
        <f>OrdersTable[[#This Row],[Net Revenue]]-OrdersTable[[#This Row],[COGS]]-OrdersTable[[#This Row],[Shipping Cost]]</f>
        <v>147.19999999999999</v>
      </c>
      <c r="Z2347" s="78">
        <f>IFERROR(OrdersTable[[#This Row],[Profit]]/OrdersTable[[#This Row],[Net Revenue]],0)</f>
        <v>0.46115288220551376</v>
      </c>
      <c r="AA2347" t="s">
        <v>18</v>
      </c>
      <c r="AB2347" s="79">
        <v>45692</v>
      </c>
      <c r="AC2347">
        <f>OrdersTable[[#This Row],[Delivery Date]]-OrdersTable[[#This Row],[Order Date]]</f>
        <v>3</v>
      </c>
      <c r="AD2347" t="str">
        <f>IF(OrdersTable[[#This Row],[Delivery Days]]&lt;=2, "Express (≤2d)", IF(OrdersTable[[#This Row],[Delivery Days]]&lt;=4, "Standard (3-4d)", "Delayed (5d+)"))</f>
        <v>Standard (3-4d)</v>
      </c>
      <c r="AE2347">
        <v>3</v>
      </c>
      <c r="AF2347">
        <v>0</v>
      </c>
    </row>
    <row r="2348" spans="1:32" ht="15" x14ac:dyDescent="0.35">
      <c r="A2348" t="s">
        <v>6148</v>
      </c>
      <c r="B2348" s="1">
        <v>45689</v>
      </c>
      <c r="C2348">
        <f>YEAR(OrdersTable[[#This Row],[Order Date]])</f>
        <v>2025</v>
      </c>
      <c r="D2348" s="2">
        <f>DATE(YEAR(OrdersTable[[#This Row],[Order Date]]),MONTH(OrdersTable[[#This Row],[Order Date]]),1)</f>
        <v>45689</v>
      </c>
      <c r="E2348">
        <f>MONTH(OrdersTable[[#This Row],[Order Date]])</f>
        <v>2</v>
      </c>
      <c r="F2348" t="s">
        <v>2217</v>
      </c>
      <c r="G2348" t="str">
        <f>IF(OrdersTable[[#This Row],[Order Date]]=_xlfn.MINIFS(Order_Date, Customer_ID, OrdersTable[[#This Row],[Customer ID]]), "New", "Repeat")</f>
        <v>Repeat</v>
      </c>
      <c r="H2348" t="s">
        <v>71</v>
      </c>
      <c r="I2348" t="str">
        <f>INDEX(State!B:B,MATCH(OrdersTable[[#This Row],[State]],State!A:A,0))</f>
        <v>MH</v>
      </c>
      <c r="J2348" t="str">
        <f>INDEX(State!C:C,MATCH(OrdersTable[[#This Row],[State Code]],State!B:B,0))</f>
        <v>West</v>
      </c>
      <c r="K2348" t="s">
        <v>102</v>
      </c>
      <c r="L2348" t="s">
        <v>23</v>
      </c>
      <c r="M2348" t="s">
        <v>106</v>
      </c>
      <c r="N2348" t="str">
        <f>INDEX(Products!B:B,MATCH(OrdersTable[[#This Row],[Product ID]],Products!A:A,0))</f>
        <v>Keratin Hair Mask</v>
      </c>
      <c r="O2348" t="str">
        <f>INDEX(Products!C:C,MATCH(OrdersTable[[#This Row],[Product ID]],Products!A:A,0))</f>
        <v>Haircare</v>
      </c>
      <c r="P2348">
        <v>2</v>
      </c>
      <c r="Q2348" s="5">
        <v>549</v>
      </c>
      <c r="R2348" s="74">
        <v>0.15</v>
      </c>
      <c r="S2348" s="75">
        <f>OrdersTable[[#This Row],[Quantity]]*OrdersTable[[#This Row],[Unit Price]]</f>
        <v>1098</v>
      </c>
      <c r="T2348" s="5">
        <f>OrdersTable[[#This Row],[Gross Sale]]*OrdersTable[[#This Row],[Discount_Clean2]]</f>
        <v>164.7</v>
      </c>
      <c r="U2348" s="5">
        <f>OrdersTable[[#This Row],[Gross Sale]]-OrdersTable[[#This Row],[Discount Amount]]</f>
        <v>933.3</v>
      </c>
      <c r="V2348" s="77">
        <f>INDEX(Products!E:E,MATCH(OrdersTable[[#This Row],[Product ID]],Products!A:A,0))</f>
        <v>170</v>
      </c>
      <c r="W2348" s="77">
        <f>OrdersTable[[#This Row],[Quantity]]*OrdersTable[[#This Row],[Unit Cost]]</f>
        <v>340</v>
      </c>
      <c r="X2348" s="77">
        <f>'Dropdown Lists'!$I$2*(1+OrdersTable[[#This Row],[Returned]])</f>
        <v>60</v>
      </c>
      <c r="Y2348" s="76">
        <f>OrdersTable[[#This Row],[Net Revenue]]-OrdersTable[[#This Row],[COGS]]-OrdersTable[[#This Row],[Shipping Cost]]</f>
        <v>533.29999999999995</v>
      </c>
      <c r="Z2348" s="78">
        <f>IFERROR(OrdersTable[[#This Row],[Profit]]/OrdersTable[[#This Row],[Net Revenue]],0)</f>
        <v>0.57141326475945564</v>
      </c>
      <c r="AA2348" t="s">
        <v>18</v>
      </c>
      <c r="AB2348" s="79">
        <v>45691</v>
      </c>
      <c r="AC2348">
        <f>OrdersTable[[#This Row],[Delivery Date]]-OrdersTable[[#This Row],[Order Date]]</f>
        <v>2</v>
      </c>
      <c r="AD2348" t="str">
        <f>IF(OrdersTable[[#This Row],[Delivery Days]]&lt;=2, "Express (≤2d)", IF(OrdersTable[[#This Row],[Delivery Days]]&lt;=4, "Standard (3-4d)", "Delayed (5d+)"))</f>
        <v>Express (≤2d)</v>
      </c>
      <c r="AE2348">
        <v>4</v>
      </c>
      <c r="AF2348">
        <v>0</v>
      </c>
    </row>
    <row r="2349" spans="1:32" ht="15" x14ac:dyDescent="0.35">
      <c r="A2349" t="s">
        <v>4978</v>
      </c>
      <c r="B2349" s="1">
        <v>45689</v>
      </c>
      <c r="C2349">
        <f>YEAR(OrdersTable[[#This Row],[Order Date]])</f>
        <v>2025</v>
      </c>
      <c r="D2349" s="2">
        <f>DATE(YEAR(OrdersTable[[#This Row],[Order Date]]),MONTH(OrdersTable[[#This Row],[Order Date]]),1)</f>
        <v>45689</v>
      </c>
      <c r="E2349">
        <f>MONTH(OrdersTable[[#This Row],[Order Date]])</f>
        <v>2</v>
      </c>
      <c r="F2349" t="s">
        <v>1089</v>
      </c>
      <c r="G2349" t="str">
        <f>IF(OrdersTable[[#This Row],[Order Date]]=_xlfn.MINIFS(Order_Date, Customer_ID, OrdersTable[[#This Row],[Customer ID]]), "New", "Repeat")</f>
        <v>Repeat</v>
      </c>
      <c r="H2349" t="s">
        <v>95</v>
      </c>
      <c r="I2349" t="str">
        <f>INDEX(State!B:B,MATCH(OrdersTable[[#This Row],[State]],State!A:A,0))</f>
        <v>TG</v>
      </c>
      <c r="J2349" t="str">
        <f>INDEX(State!C:C,MATCH(OrdersTable[[#This Row],[State Code]],State!B:B,0))</f>
        <v>South</v>
      </c>
      <c r="K2349" t="s">
        <v>96</v>
      </c>
      <c r="L2349" t="s">
        <v>65</v>
      </c>
      <c r="M2349" t="s">
        <v>56</v>
      </c>
      <c r="N2349" t="str">
        <f>INDEX(Products!B:B,MATCH(OrdersTable[[#This Row],[Product ID]],Products!A:A,0))</f>
        <v>Vitamin C Face Serum</v>
      </c>
      <c r="O2349" t="str">
        <f>INDEX(Products!C:C,MATCH(OrdersTable[[#This Row],[Product ID]],Products!A:A,0))</f>
        <v>Skincare</v>
      </c>
      <c r="P2349">
        <v>2</v>
      </c>
      <c r="Q2349" s="5">
        <v>599</v>
      </c>
      <c r="R2349" s="74">
        <v>0.25</v>
      </c>
      <c r="S2349" s="75">
        <f>OrdersTable[[#This Row],[Quantity]]*OrdersTable[[#This Row],[Unit Price]]</f>
        <v>1198</v>
      </c>
      <c r="T2349" s="5">
        <f>OrdersTable[[#This Row],[Gross Sale]]*OrdersTable[[#This Row],[Discount_Clean2]]</f>
        <v>299.5</v>
      </c>
      <c r="U2349" s="5">
        <f>OrdersTable[[#This Row],[Gross Sale]]-OrdersTable[[#This Row],[Discount Amount]]</f>
        <v>898.5</v>
      </c>
      <c r="V2349" s="77">
        <f>INDEX(Products!E:E,MATCH(OrdersTable[[#This Row],[Product ID]],Products!A:A,0))</f>
        <v>180</v>
      </c>
      <c r="W2349" s="77">
        <f>OrdersTable[[#This Row],[Quantity]]*OrdersTable[[#This Row],[Unit Cost]]</f>
        <v>360</v>
      </c>
      <c r="X2349" s="77">
        <f>'Dropdown Lists'!$I$2*(1+OrdersTable[[#This Row],[Returned]])</f>
        <v>60</v>
      </c>
      <c r="Y2349" s="76">
        <f>OrdersTable[[#This Row],[Net Revenue]]-OrdersTable[[#This Row],[COGS]]-OrdersTable[[#This Row],[Shipping Cost]]</f>
        <v>478.5</v>
      </c>
      <c r="Z2349" s="78">
        <f>IFERROR(OrdersTable[[#This Row],[Profit]]/OrdersTable[[#This Row],[Net Revenue]],0)</f>
        <v>0.53255425709515858</v>
      </c>
      <c r="AA2349" t="s">
        <v>4074</v>
      </c>
      <c r="AB2349" s="79">
        <v>45690</v>
      </c>
      <c r="AC2349">
        <f>OrdersTable[[#This Row],[Delivery Date]]-OrdersTable[[#This Row],[Order Date]]</f>
        <v>1</v>
      </c>
      <c r="AD2349" t="str">
        <f>IF(OrdersTable[[#This Row],[Delivery Days]]&lt;=2, "Express (≤2d)", IF(OrdersTable[[#This Row],[Delivery Days]]&lt;=4, "Standard (3-4d)", "Delayed (5d+)"))</f>
        <v>Express (≤2d)</v>
      </c>
      <c r="AE2349">
        <v>5</v>
      </c>
      <c r="AF2349">
        <v>0</v>
      </c>
    </row>
    <row r="2350" spans="1:32" ht="15" x14ac:dyDescent="0.35">
      <c r="A2350" t="s">
        <v>2134</v>
      </c>
      <c r="B2350" s="1">
        <v>45689</v>
      </c>
      <c r="C2350">
        <f>YEAR(OrdersTable[[#This Row],[Order Date]])</f>
        <v>2025</v>
      </c>
      <c r="D2350" s="2">
        <f>DATE(YEAR(OrdersTable[[#This Row],[Order Date]]),MONTH(OrdersTable[[#This Row],[Order Date]]),1)</f>
        <v>45689</v>
      </c>
      <c r="E2350">
        <f>MONTH(OrdersTable[[#This Row],[Order Date]])</f>
        <v>2</v>
      </c>
      <c r="F2350" t="s">
        <v>2135</v>
      </c>
      <c r="G2350" t="str">
        <f>IF(OrdersTable[[#This Row],[Order Date]]=_xlfn.MINIFS(Order_Date, Customer_ID, OrdersTable[[#This Row],[Customer ID]]), "New", "Repeat")</f>
        <v>New</v>
      </c>
      <c r="H2350" t="s">
        <v>95</v>
      </c>
      <c r="I2350" t="str">
        <f>INDEX(State!B:B,MATCH(OrdersTable[[#This Row],[State]],State!A:A,0))</f>
        <v>TG</v>
      </c>
      <c r="J2350" t="str">
        <f>INDEX(State!C:C,MATCH(OrdersTable[[#This Row],[State Code]],State!B:B,0))</f>
        <v>South</v>
      </c>
      <c r="K2350" t="s">
        <v>96</v>
      </c>
      <c r="L2350" t="s">
        <v>65</v>
      </c>
      <c r="M2350" t="s">
        <v>61</v>
      </c>
      <c r="N2350" t="str">
        <f>INDEX(Products!B:B,MATCH(OrdersTable[[#This Row],[Product ID]],Products!A:A,0))</f>
        <v>Multivitamin Gummies</v>
      </c>
      <c r="O2350" t="str">
        <f>INDEX(Products!C:C,MATCH(OrdersTable[[#This Row],[Product ID]],Products!A:A,0))</f>
        <v>Wellness</v>
      </c>
      <c r="P2350">
        <v>1</v>
      </c>
      <c r="Q2350" s="5">
        <v>699</v>
      </c>
      <c r="R2350" s="74">
        <v>0.15</v>
      </c>
      <c r="S2350" s="75">
        <f>OrdersTable[[#This Row],[Quantity]]*OrdersTable[[#This Row],[Unit Price]]</f>
        <v>699</v>
      </c>
      <c r="T2350" s="5">
        <f>OrdersTable[[#This Row],[Gross Sale]]*OrdersTable[[#This Row],[Discount_Clean2]]</f>
        <v>104.85</v>
      </c>
      <c r="U2350" s="5">
        <f>OrdersTable[[#This Row],[Gross Sale]]-OrdersTable[[#This Row],[Discount Amount]]</f>
        <v>594.15</v>
      </c>
      <c r="V2350" s="77">
        <f>INDEX(Products!E:E,MATCH(OrdersTable[[#This Row],[Product ID]],Products!A:A,0))</f>
        <v>238</v>
      </c>
      <c r="W2350" s="77">
        <f>OrdersTable[[#This Row],[Quantity]]*OrdersTable[[#This Row],[Unit Cost]]</f>
        <v>238</v>
      </c>
      <c r="X2350" s="77">
        <f>'Dropdown Lists'!$I$2*(1+OrdersTable[[#This Row],[Returned]])</f>
        <v>60</v>
      </c>
      <c r="Y2350" s="76">
        <f>OrdersTable[[#This Row],[Net Revenue]]-OrdersTable[[#This Row],[COGS]]-OrdersTable[[#This Row],[Shipping Cost]]</f>
        <v>296.14999999999998</v>
      </c>
      <c r="Z2350" s="78">
        <f>IFERROR(OrdersTable[[#This Row],[Profit]]/OrdersTable[[#This Row],[Net Revenue]],0)</f>
        <v>0.49844315408566858</v>
      </c>
      <c r="AA2350" t="s">
        <v>18</v>
      </c>
      <c r="AB2350" s="79">
        <v>45692</v>
      </c>
      <c r="AC2350">
        <f>OrdersTable[[#This Row],[Delivery Date]]-OrdersTable[[#This Row],[Order Date]]</f>
        <v>3</v>
      </c>
      <c r="AD2350" t="str">
        <f>IF(OrdersTable[[#This Row],[Delivery Days]]&lt;=2, "Express (≤2d)", IF(OrdersTable[[#This Row],[Delivery Days]]&lt;=4, "Standard (3-4d)", "Delayed (5d+)"))</f>
        <v>Standard (3-4d)</v>
      </c>
      <c r="AE2350">
        <v>3</v>
      </c>
      <c r="AF2350">
        <v>0</v>
      </c>
    </row>
    <row r="2351" spans="1:32" ht="15" x14ac:dyDescent="0.35">
      <c r="A2351" t="s">
        <v>6559</v>
      </c>
      <c r="B2351" s="1">
        <v>45689</v>
      </c>
      <c r="C2351">
        <f>YEAR(OrdersTable[[#This Row],[Order Date]])</f>
        <v>2025</v>
      </c>
      <c r="D2351" s="2">
        <f>DATE(YEAR(OrdersTable[[#This Row],[Order Date]]),MONTH(OrdersTable[[#This Row],[Order Date]]),1)</f>
        <v>45689</v>
      </c>
      <c r="E2351">
        <f>MONTH(OrdersTable[[#This Row],[Order Date]])</f>
        <v>2</v>
      </c>
      <c r="F2351" t="s">
        <v>1611</v>
      </c>
      <c r="G2351" t="str">
        <f>IF(OrdersTable[[#This Row],[Order Date]]=_xlfn.MINIFS(Order_Date, Customer_ID, OrdersTable[[#This Row],[Customer ID]]), "New", "Repeat")</f>
        <v>New</v>
      </c>
      <c r="H2351" t="s">
        <v>95</v>
      </c>
      <c r="I2351" t="str">
        <f>INDEX(State!B:B,MATCH(OrdersTable[[#This Row],[State]],State!A:A,0))</f>
        <v>TG</v>
      </c>
      <c r="J2351" t="str">
        <f>INDEX(State!C:C,MATCH(OrdersTable[[#This Row],[State Code]],State!B:B,0))</f>
        <v>South</v>
      </c>
      <c r="K2351" t="s">
        <v>96</v>
      </c>
      <c r="L2351" t="s">
        <v>23</v>
      </c>
      <c r="M2351" t="s">
        <v>125</v>
      </c>
      <c r="N2351" t="str">
        <f>INDEX(Products!B:B,MATCH(OrdersTable[[#This Row],[Product ID]],Products!A:A,0))</f>
        <v>Copper Water Bottle</v>
      </c>
      <c r="O2351" t="str">
        <f>INDEX(Products!C:C,MATCH(OrdersTable[[#This Row],[Product ID]],Products!A:A,0))</f>
        <v>Home &amp; Kitchen</v>
      </c>
      <c r="P2351">
        <v>3</v>
      </c>
      <c r="Q2351" s="5">
        <v>899</v>
      </c>
      <c r="R2351" s="74">
        <v>0.1</v>
      </c>
      <c r="S2351" s="75">
        <f>OrdersTable[[#This Row],[Quantity]]*OrdersTable[[#This Row],[Unit Price]]</f>
        <v>2697</v>
      </c>
      <c r="T2351" s="5">
        <f>OrdersTable[[#This Row],[Gross Sale]]*OrdersTable[[#This Row],[Discount_Clean2]]</f>
        <v>269.7</v>
      </c>
      <c r="U2351" s="5">
        <f>OrdersTable[[#This Row],[Gross Sale]]-OrdersTable[[#This Row],[Discount Amount]]</f>
        <v>2427.3000000000002</v>
      </c>
      <c r="V2351" s="77">
        <f>INDEX(Products!E:E,MATCH(OrdersTable[[#This Row],[Product ID]],Products!A:A,0))</f>
        <v>378</v>
      </c>
      <c r="W2351" s="77">
        <f>OrdersTable[[#This Row],[Quantity]]*OrdersTable[[#This Row],[Unit Cost]]</f>
        <v>1134</v>
      </c>
      <c r="X2351" s="77">
        <f>'Dropdown Lists'!$I$2*(1+OrdersTable[[#This Row],[Returned]])</f>
        <v>60</v>
      </c>
      <c r="Y2351" s="76">
        <f>OrdersTable[[#This Row],[Net Revenue]]-OrdersTable[[#This Row],[COGS]]-OrdersTable[[#This Row],[Shipping Cost]]</f>
        <v>1233.3000000000002</v>
      </c>
      <c r="Z2351" s="78">
        <f>IFERROR(OrdersTable[[#This Row],[Profit]]/OrdersTable[[#This Row],[Net Revenue]],0)</f>
        <v>0.50809541465826236</v>
      </c>
      <c r="AA2351" t="s">
        <v>18</v>
      </c>
      <c r="AB2351" s="79">
        <v>45691</v>
      </c>
      <c r="AC2351">
        <f>OrdersTable[[#This Row],[Delivery Date]]-OrdersTable[[#This Row],[Order Date]]</f>
        <v>2</v>
      </c>
      <c r="AD2351" t="str">
        <f>IF(OrdersTable[[#This Row],[Delivery Days]]&lt;=2, "Express (≤2d)", IF(OrdersTable[[#This Row],[Delivery Days]]&lt;=4, "Standard (3-4d)", "Delayed (5d+)"))</f>
        <v>Express (≤2d)</v>
      </c>
      <c r="AE2351">
        <v>4</v>
      </c>
      <c r="AF2351">
        <v>0</v>
      </c>
    </row>
    <row r="2352" spans="1:32" ht="15" x14ac:dyDescent="0.35">
      <c r="A2352" t="s">
        <v>5169</v>
      </c>
      <c r="B2352" s="1">
        <v>45689</v>
      </c>
      <c r="C2352">
        <f>YEAR(OrdersTable[[#This Row],[Order Date]])</f>
        <v>2025</v>
      </c>
      <c r="D2352" s="2">
        <f>DATE(YEAR(OrdersTable[[#This Row],[Order Date]]),MONTH(OrdersTable[[#This Row],[Order Date]]),1)</f>
        <v>45689</v>
      </c>
      <c r="E2352">
        <f>MONTH(OrdersTable[[#This Row],[Order Date]])</f>
        <v>2</v>
      </c>
      <c r="F2352" t="s">
        <v>340</v>
      </c>
      <c r="G2352" t="str">
        <f>IF(OrdersTable[[#This Row],[Order Date]]=_xlfn.MINIFS(Order_Date, Customer_ID, OrdersTable[[#This Row],[Customer ID]]), "New", "Repeat")</f>
        <v>Repeat</v>
      </c>
      <c r="H2352" t="s">
        <v>59</v>
      </c>
      <c r="I2352" t="str">
        <f>INDEX(State!B:B,MATCH(OrdersTable[[#This Row],[State]],State!A:A,0))</f>
        <v>TN</v>
      </c>
      <c r="J2352" t="str">
        <f>INDEX(State!C:C,MATCH(OrdersTable[[#This Row],[State Code]],State!B:B,0))</f>
        <v>South</v>
      </c>
      <c r="K2352" t="s">
        <v>64</v>
      </c>
      <c r="L2352" t="s">
        <v>23</v>
      </c>
      <c r="M2352" t="s">
        <v>78</v>
      </c>
      <c r="N2352" t="str">
        <f>INDEX(Products!B:B,MATCH(OrdersTable[[#This Row],[Product ID]],Products!A:A,0))</f>
        <v>Retinol Night Cream</v>
      </c>
      <c r="O2352" t="str">
        <f>INDEX(Products!C:C,MATCH(OrdersTable[[#This Row],[Product ID]],Products!A:A,0))</f>
        <v>Skincare</v>
      </c>
      <c r="P2352">
        <v>2</v>
      </c>
      <c r="Q2352" s="5">
        <v>799</v>
      </c>
      <c r="R2352" s="74">
        <v>0</v>
      </c>
      <c r="S2352" s="75">
        <f>OrdersTable[[#This Row],[Quantity]]*OrdersTable[[#This Row],[Unit Price]]</f>
        <v>1598</v>
      </c>
      <c r="T2352" s="5">
        <f>OrdersTable[[#This Row],[Gross Sale]]*OrdersTable[[#This Row],[Discount_Clean2]]</f>
        <v>0</v>
      </c>
      <c r="U2352" s="5">
        <f>OrdersTable[[#This Row],[Gross Sale]]-OrdersTable[[#This Row],[Discount Amount]]</f>
        <v>1598</v>
      </c>
      <c r="V2352" s="77">
        <f>INDEX(Products!E:E,MATCH(OrdersTable[[#This Row],[Product ID]],Products!A:A,0))</f>
        <v>216</v>
      </c>
      <c r="W2352" s="77">
        <f>OrdersTable[[#This Row],[Quantity]]*OrdersTable[[#This Row],[Unit Cost]]</f>
        <v>432</v>
      </c>
      <c r="X2352" s="77">
        <f>'Dropdown Lists'!$I$2*(1+OrdersTable[[#This Row],[Returned]])</f>
        <v>60</v>
      </c>
      <c r="Y2352" s="76">
        <f>OrdersTable[[#This Row],[Net Revenue]]-OrdersTable[[#This Row],[COGS]]-OrdersTable[[#This Row],[Shipping Cost]]</f>
        <v>1106</v>
      </c>
      <c r="Z2352" s="78">
        <f>IFERROR(OrdersTable[[#This Row],[Profit]]/OrdersTable[[#This Row],[Net Revenue]],0)</f>
        <v>0.69211514392991236</v>
      </c>
      <c r="AA2352" t="s">
        <v>3495</v>
      </c>
      <c r="AB2352" s="79">
        <v>45693</v>
      </c>
      <c r="AC2352">
        <f>OrdersTable[[#This Row],[Delivery Date]]-OrdersTable[[#This Row],[Order Date]]</f>
        <v>4</v>
      </c>
      <c r="AD2352" t="str">
        <f>IF(OrdersTable[[#This Row],[Delivery Days]]&lt;=2, "Express (≤2d)", IF(OrdersTable[[#This Row],[Delivery Days]]&lt;=4, "Standard (3-4d)", "Delayed (5d+)"))</f>
        <v>Standard (3-4d)</v>
      </c>
      <c r="AE2352">
        <v>5</v>
      </c>
      <c r="AF2352">
        <v>0</v>
      </c>
    </row>
    <row r="2353" spans="1:32" ht="15" x14ac:dyDescent="0.35">
      <c r="A2353" t="s">
        <v>805</v>
      </c>
      <c r="B2353" s="1">
        <v>45690</v>
      </c>
      <c r="C2353">
        <f>YEAR(OrdersTable[[#This Row],[Order Date]])</f>
        <v>2025</v>
      </c>
      <c r="D2353" s="2">
        <f>DATE(YEAR(OrdersTable[[#This Row],[Order Date]]),MONTH(OrdersTable[[#This Row],[Order Date]]),1)</f>
        <v>45689</v>
      </c>
      <c r="E2353">
        <f>MONTH(OrdersTable[[#This Row],[Order Date]])</f>
        <v>2</v>
      </c>
      <c r="F2353" t="s">
        <v>806</v>
      </c>
      <c r="G2353" t="str">
        <f>IF(OrdersTable[[#This Row],[Order Date]]=_xlfn.MINIFS(Order_Date, Customer_ID, OrdersTable[[#This Row],[Customer ID]]), "New", "Repeat")</f>
        <v>New</v>
      </c>
      <c r="H2353" t="s">
        <v>37</v>
      </c>
      <c r="I2353" t="str">
        <f>INDEX(State!B:B,MATCH(OrdersTable[[#This Row],[State]],State!A:A,0))</f>
        <v>GJ</v>
      </c>
      <c r="J2353" t="str">
        <f>INDEX(State!C:C,MATCH(OrdersTable[[#This Row],[State Code]],State!B:B,0))</f>
        <v>West</v>
      </c>
      <c r="K2353" t="s">
        <v>38</v>
      </c>
      <c r="L2353" t="s">
        <v>16</v>
      </c>
      <c r="M2353" t="s">
        <v>255</v>
      </c>
      <c r="N2353" t="str">
        <f>INDEX(Products!B:B,MATCH(OrdersTable[[#This Row],[Product ID]],Products!A:A,0))</f>
        <v>Cotton Oversized T-Shirt</v>
      </c>
      <c r="O2353" t="str">
        <f>INDEX(Products!C:C,MATCH(OrdersTable[[#This Row],[Product ID]],Products!A:A,0))</f>
        <v>Apparel</v>
      </c>
      <c r="P2353">
        <v>1</v>
      </c>
      <c r="Q2353" s="5">
        <v>799</v>
      </c>
      <c r="R2353" s="74">
        <v>0.1</v>
      </c>
      <c r="S2353" s="75">
        <f>OrdersTable[[#This Row],[Quantity]]*OrdersTable[[#This Row],[Unit Price]]</f>
        <v>799</v>
      </c>
      <c r="T2353" s="5">
        <f>OrdersTable[[#This Row],[Gross Sale]]*OrdersTable[[#This Row],[Discount_Clean2]]</f>
        <v>79.900000000000006</v>
      </c>
      <c r="U2353" s="5">
        <f>OrdersTable[[#This Row],[Gross Sale]]-OrdersTable[[#This Row],[Discount Amount]]</f>
        <v>719.1</v>
      </c>
      <c r="V2353" s="77">
        <f>INDEX(Products!E:E,MATCH(OrdersTable[[#This Row],[Product ID]],Products!A:A,0))</f>
        <v>320</v>
      </c>
      <c r="W2353" s="77">
        <f>OrdersTable[[#This Row],[Quantity]]*OrdersTable[[#This Row],[Unit Cost]]</f>
        <v>320</v>
      </c>
      <c r="X2353" s="77">
        <f>'Dropdown Lists'!$I$2*(1+OrdersTable[[#This Row],[Returned]])</f>
        <v>60</v>
      </c>
      <c r="Y2353" s="76">
        <f>OrdersTable[[#This Row],[Net Revenue]]-OrdersTable[[#This Row],[COGS]]-OrdersTable[[#This Row],[Shipping Cost]]</f>
        <v>339.1</v>
      </c>
      <c r="Z2353" s="78">
        <f>IFERROR(OrdersTable[[#This Row],[Profit]]/OrdersTable[[#This Row],[Net Revenue]],0)</f>
        <v>0.47156167431511614</v>
      </c>
      <c r="AA2353" t="s">
        <v>18</v>
      </c>
      <c r="AB2353" s="79">
        <v>45691</v>
      </c>
      <c r="AC2353">
        <f>OrdersTable[[#This Row],[Delivery Date]]-OrdersTable[[#This Row],[Order Date]]</f>
        <v>1</v>
      </c>
      <c r="AD2353" t="str">
        <f>IF(OrdersTable[[#This Row],[Delivery Days]]&lt;=2, "Express (≤2d)", IF(OrdersTable[[#This Row],[Delivery Days]]&lt;=4, "Standard (3-4d)", "Delayed (5d+)"))</f>
        <v>Express (≤2d)</v>
      </c>
      <c r="AE2353">
        <v>4</v>
      </c>
      <c r="AF2353">
        <v>0</v>
      </c>
    </row>
    <row r="2354" spans="1:32" ht="15" x14ac:dyDescent="0.35">
      <c r="A2354" t="s">
        <v>4387</v>
      </c>
      <c r="B2354" s="1">
        <v>45690</v>
      </c>
      <c r="C2354">
        <f>YEAR(OrdersTable[[#This Row],[Order Date]])</f>
        <v>2025</v>
      </c>
      <c r="D2354" s="2">
        <f>DATE(YEAR(OrdersTable[[#This Row],[Order Date]]),MONTH(OrdersTable[[#This Row],[Order Date]]),1)</f>
        <v>45689</v>
      </c>
      <c r="E2354">
        <f>MONTH(OrdersTable[[#This Row],[Order Date]])</f>
        <v>2</v>
      </c>
      <c r="F2354" t="s">
        <v>1717</v>
      </c>
      <c r="G2354" t="str">
        <f>IF(OrdersTable[[#This Row],[Order Date]]=_xlfn.MINIFS(Order_Date, Customer_ID, OrdersTable[[#This Row],[Customer ID]]), "New", "Repeat")</f>
        <v>Repeat</v>
      </c>
      <c r="H2354" t="s">
        <v>43</v>
      </c>
      <c r="I2354" t="str">
        <f>INDEX(State!B:B,MATCH(OrdersTable[[#This Row],[State]],State!A:A,0))</f>
        <v>MP</v>
      </c>
      <c r="J2354" t="str">
        <f>INDEX(State!C:C,MATCH(OrdersTable[[#This Row],[State Code]],State!B:B,0))</f>
        <v>West</v>
      </c>
      <c r="K2354" t="s">
        <v>44</v>
      </c>
      <c r="L2354" t="s">
        <v>23</v>
      </c>
      <c r="M2354" t="s">
        <v>51</v>
      </c>
      <c r="N2354" t="str">
        <f>INDEX(Products!B:B,MATCH(OrdersTable[[#This Row],[Product ID]],Products!A:A,0))</f>
        <v>Anti-Dandruff Conditioner</v>
      </c>
      <c r="O2354" t="str">
        <f>INDEX(Products!C:C,MATCH(OrdersTable[[#This Row],[Product ID]],Products!A:A,0))</f>
        <v>Haircare</v>
      </c>
      <c r="P2354">
        <v>1</v>
      </c>
      <c r="Q2354" s="5">
        <v>399</v>
      </c>
      <c r="R2354" s="74">
        <v>0.4</v>
      </c>
      <c r="S2354" s="75">
        <f>OrdersTable[[#This Row],[Quantity]]*OrdersTable[[#This Row],[Unit Price]]</f>
        <v>399</v>
      </c>
      <c r="T2354" s="5">
        <f>OrdersTable[[#This Row],[Gross Sale]]*OrdersTable[[#This Row],[Discount_Clean2]]</f>
        <v>159.60000000000002</v>
      </c>
      <c r="U2354" s="5">
        <f>OrdersTable[[#This Row],[Gross Sale]]-OrdersTable[[#This Row],[Discount Amount]]</f>
        <v>239.39999999999998</v>
      </c>
      <c r="V2354" s="77">
        <f>INDEX(Products!E:E,MATCH(OrdersTable[[#This Row],[Product ID]],Products!A:A,0))</f>
        <v>136</v>
      </c>
      <c r="W2354" s="77">
        <f>OrdersTable[[#This Row],[Quantity]]*OrdersTable[[#This Row],[Unit Cost]]</f>
        <v>136</v>
      </c>
      <c r="X2354" s="77">
        <f>'Dropdown Lists'!$I$2*(1+OrdersTable[[#This Row],[Returned]])</f>
        <v>60</v>
      </c>
      <c r="Y2354" s="76">
        <f>OrdersTable[[#This Row],[Net Revenue]]-OrdersTable[[#This Row],[COGS]]-OrdersTable[[#This Row],[Shipping Cost]]</f>
        <v>43.399999999999977</v>
      </c>
      <c r="Z2354" s="78">
        <f>IFERROR(OrdersTable[[#This Row],[Profit]]/OrdersTable[[#This Row],[Net Revenue]],0)</f>
        <v>0.18128654970760227</v>
      </c>
      <c r="AA2354" t="s">
        <v>4074</v>
      </c>
      <c r="AB2354" s="79">
        <v>45692</v>
      </c>
      <c r="AC2354">
        <f>OrdersTable[[#This Row],[Delivery Date]]-OrdersTable[[#This Row],[Order Date]]</f>
        <v>2</v>
      </c>
      <c r="AD2354" t="str">
        <f>IF(OrdersTable[[#This Row],[Delivery Days]]&lt;=2, "Express (≤2d)", IF(OrdersTable[[#This Row],[Delivery Days]]&lt;=4, "Standard (3-4d)", "Delayed (5d+)"))</f>
        <v>Express (≤2d)</v>
      </c>
      <c r="AE2354">
        <v>4</v>
      </c>
      <c r="AF2354">
        <v>0</v>
      </c>
    </row>
    <row r="2355" spans="1:32" ht="15" x14ac:dyDescent="0.35">
      <c r="A2355" t="s">
        <v>4691</v>
      </c>
      <c r="B2355" s="1">
        <v>45690</v>
      </c>
      <c r="C2355">
        <f>YEAR(OrdersTable[[#This Row],[Order Date]])</f>
        <v>2025</v>
      </c>
      <c r="D2355" s="2">
        <f>DATE(YEAR(OrdersTable[[#This Row],[Order Date]]),MONTH(OrdersTable[[#This Row],[Order Date]]),1)</f>
        <v>45689</v>
      </c>
      <c r="E2355">
        <f>MONTH(OrdersTable[[#This Row],[Order Date]])</f>
        <v>2</v>
      </c>
      <c r="F2355" t="s">
        <v>4692</v>
      </c>
      <c r="G2355" t="str">
        <f>IF(OrdersTable[[#This Row],[Order Date]]=_xlfn.MINIFS(Order_Date, Customer_ID, OrdersTable[[#This Row],[Customer ID]]), "New", "Repeat")</f>
        <v>New</v>
      </c>
      <c r="H2355" t="s">
        <v>167</v>
      </c>
      <c r="I2355" t="str">
        <f>INDEX(State!B:B,MATCH(OrdersTable[[#This Row],[State]],State!A:A,0))</f>
        <v>KA</v>
      </c>
      <c r="J2355" t="str">
        <f>INDEX(State!C:C,MATCH(OrdersTable[[#This Row],[State Code]],State!B:B,0))</f>
        <v>South</v>
      </c>
      <c r="K2355" t="s">
        <v>190</v>
      </c>
      <c r="L2355" t="s">
        <v>65</v>
      </c>
      <c r="M2355" t="s">
        <v>29</v>
      </c>
      <c r="N2355" t="str">
        <f>INDEX(Products!B:B,MATCH(OrdersTable[[#This Row],[Product ID]],Products!A:A,0))</f>
        <v>Joggers</v>
      </c>
      <c r="O2355" t="str">
        <f>INDEX(Products!C:C,MATCH(OrdersTable[[#This Row],[Product ID]],Products!A:A,0))</f>
        <v>Apparel</v>
      </c>
      <c r="P2355">
        <v>1</v>
      </c>
      <c r="Q2355" s="5">
        <v>1199</v>
      </c>
      <c r="R2355" s="74">
        <v>0.2</v>
      </c>
      <c r="S2355" s="75">
        <f>OrdersTable[[#This Row],[Quantity]]*OrdersTable[[#This Row],[Unit Price]]</f>
        <v>1199</v>
      </c>
      <c r="T2355" s="5">
        <f>OrdersTable[[#This Row],[Gross Sale]]*OrdersTable[[#This Row],[Discount_Clean2]]</f>
        <v>239.8</v>
      </c>
      <c r="U2355" s="5">
        <f>OrdersTable[[#This Row],[Gross Sale]]-OrdersTable[[#This Row],[Discount Amount]]</f>
        <v>959.2</v>
      </c>
      <c r="V2355" s="77">
        <f>INDEX(Products!E:E,MATCH(OrdersTable[[#This Row],[Product ID]],Products!A:A,0))</f>
        <v>492</v>
      </c>
      <c r="W2355" s="77">
        <f>OrdersTable[[#This Row],[Quantity]]*OrdersTable[[#This Row],[Unit Cost]]</f>
        <v>492</v>
      </c>
      <c r="X2355" s="77">
        <f>'Dropdown Lists'!$I$2*(1+OrdersTable[[#This Row],[Returned]])</f>
        <v>60</v>
      </c>
      <c r="Y2355" s="76">
        <f>OrdersTable[[#This Row],[Net Revenue]]-OrdersTable[[#This Row],[COGS]]-OrdersTable[[#This Row],[Shipping Cost]]</f>
        <v>407.20000000000005</v>
      </c>
      <c r="Z2355" s="78">
        <f>IFERROR(OrdersTable[[#This Row],[Profit]]/OrdersTable[[#This Row],[Net Revenue]],0)</f>
        <v>0.42452043369474562</v>
      </c>
      <c r="AA2355" t="s">
        <v>4450</v>
      </c>
      <c r="AB2355" s="79">
        <v>45694</v>
      </c>
      <c r="AC2355">
        <f>OrdersTable[[#This Row],[Delivery Date]]-OrdersTable[[#This Row],[Order Date]]</f>
        <v>4</v>
      </c>
      <c r="AD2355" t="str">
        <f>IF(OrdersTable[[#This Row],[Delivery Days]]&lt;=2, "Express (≤2d)", IF(OrdersTable[[#This Row],[Delivery Days]]&lt;=4, "Standard (3-4d)", "Delayed (5d+)"))</f>
        <v>Standard (3-4d)</v>
      </c>
      <c r="AE2355">
        <v>3</v>
      </c>
      <c r="AF2355">
        <v>0</v>
      </c>
    </row>
    <row r="2356" spans="1:32" ht="15" x14ac:dyDescent="0.35">
      <c r="A2356" t="s">
        <v>6346</v>
      </c>
      <c r="B2356" s="1">
        <v>45691</v>
      </c>
      <c r="C2356">
        <f>YEAR(OrdersTable[[#This Row],[Order Date]])</f>
        <v>2025</v>
      </c>
      <c r="D2356" s="2">
        <f>DATE(YEAR(OrdersTable[[#This Row],[Order Date]]),MONTH(OrdersTable[[#This Row],[Order Date]]),1)</f>
        <v>45689</v>
      </c>
      <c r="E2356">
        <f>MONTH(OrdersTable[[#This Row],[Order Date]])</f>
        <v>2</v>
      </c>
      <c r="F2356" t="s">
        <v>143</v>
      </c>
      <c r="G2356" t="str">
        <f>IF(OrdersTable[[#This Row],[Order Date]]=_xlfn.MINIFS(Order_Date, Customer_ID, OrdersTable[[#This Row],[Customer ID]]), "New", "Repeat")</f>
        <v>Repeat</v>
      </c>
      <c r="H2356" t="s">
        <v>132</v>
      </c>
      <c r="I2356" t="str">
        <f>INDEX(State!B:B,MATCH(OrdersTable[[#This Row],[State]],State!A:A,0))</f>
        <v>AS</v>
      </c>
      <c r="J2356" t="str">
        <f>INDEX(State!C:C,MATCH(OrdersTable[[#This Row],[State Code]],State!B:B,0))</f>
        <v>East</v>
      </c>
      <c r="K2356" t="s">
        <v>133</v>
      </c>
      <c r="L2356" t="s">
        <v>65</v>
      </c>
      <c r="M2356" t="s">
        <v>51</v>
      </c>
      <c r="N2356" t="str">
        <f>INDEX(Products!B:B,MATCH(OrdersTable[[#This Row],[Product ID]],Products!A:A,0))</f>
        <v>Anti-Dandruff Conditioner</v>
      </c>
      <c r="O2356" t="str">
        <f>INDEX(Products!C:C,MATCH(OrdersTable[[#This Row],[Product ID]],Products!A:A,0))</f>
        <v>Haircare</v>
      </c>
      <c r="P2356">
        <v>2</v>
      </c>
      <c r="Q2356" s="5">
        <v>399</v>
      </c>
      <c r="R2356" s="74">
        <v>0.45</v>
      </c>
      <c r="S2356" s="75">
        <f>OrdersTable[[#This Row],[Quantity]]*OrdersTable[[#This Row],[Unit Price]]</f>
        <v>798</v>
      </c>
      <c r="T2356" s="5">
        <f>OrdersTable[[#This Row],[Gross Sale]]*OrdersTable[[#This Row],[Discount_Clean2]]</f>
        <v>359.1</v>
      </c>
      <c r="U2356" s="5">
        <f>OrdersTable[[#This Row],[Gross Sale]]-OrdersTable[[#This Row],[Discount Amount]]</f>
        <v>438.9</v>
      </c>
      <c r="V2356" s="77">
        <f>INDEX(Products!E:E,MATCH(OrdersTable[[#This Row],[Product ID]],Products!A:A,0))</f>
        <v>136</v>
      </c>
      <c r="W2356" s="77">
        <f>OrdersTable[[#This Row],[Quantity]]*OrdersTable[[#This Row],[Unit Cost]]</f>
        <v>272</v>
      </c>
      <c r="X2356" s="77">
        <f>'Dropdown Lists'!$I$2*(1+OrdersTable[[#This Row],[Returned]])</f>
        <v>60</v>
      </c>
      <c r="Y2356" s="76">
        <f>OrdersTable[[#This Row],[Net Revenue]]-OrdersTable[[#This Row],[COGS]]-OrdersTable[[#This Row],[Shipping Cost]]</f>
        <v>106.89999999999998</v>
      </c>
      <c r="Z2356" s="78">
        <f>IFERROR(OrdersTable[[#This Row],[Profit]]/OrdersTable[[#This Row],[Net Revenue]],0)</f>
        <v>0.24356345408976984</v>
      </c>
      <c r="AA2356" t="s">
        <v>18</v>
      </c>
      <c r="AB2356" s="79">
        <v>45695</v>
      </c>
      <c r="AC2356">
        <f>OrdersTable[[#This Row],[Delivery Date]]-OrdersTable[[#This Row],[Order Date]]</f>
        <v>4</v>
      </c>
      <c r="AD2356" t="str">
        <f>IF(OrdersTable[[#This Row],[Delivery Days]]&lt;=2, "Express (≤2d)", IF(OrdersTable[[#This Row],[Delivery Days]]&lt;=4, "Standard (3-4d)", "Delayed (5d+)"))</f>
        <v>Standard (3-4d)</v>
      </c>
      <c r="AE2356">
        <v>2</v>
      </c>
      <c r="AF2356">
        <v>0</v>
      </c>
    </row>
    <row r="2357" spans="1:32" ht="15" x14ac:dyDescent="0.35">
      <c r="A2357" t="s">
        <v>1952</v>
      </c>
      <c r="B2357" s="1">
        <v>45691</v>
      </c>
      <c r="C2357">
        <f>YEAR(OrdersTable[[#This Row],[Order Date]])</f>
        <v>2025</v>
      </c>
      <c r="D2357" s="2">
        <f>DATE(YEAR(OrdersTable[[#This Row],[Order Date]]),MONTH(OrdersTable[[#This Row],[Order Date]]),1)</f>
        <v>45689</v>
      </c>
      <c r="E2357">
        <f>MONTH(OrdersTable[[#This Row],[Order Date]])</f>
        <v>2</v>
      </c>
      <c r="F2357" t="s">
        <v>1953</v>
      </c>
      <c r="G2357" t="str">
        <f>IF(OrdersTable[[#This Row],[Order Date]]=_xlfn.MINIFS(Order_Date, Customer_ID, OrdersTable[[#This Row],[Customer ID]]), "New", "Repeat")</f>
        <v>Repeat</v>
      </c>
      <c r="H2357" t="s">
        <v>37</v>
      </c>
      <c r="I2357" t="str">
        <f>INDEX(State!B:B,MATCH(OrdersTable[[#This Row],[State]],State!A:A,0))</f>
        <v>GJ</v>
      </c>
      <c r="J2357" t="str">
        <f>INDEX(State!C:C,MATCH(OrdersTable[[#This Row],[State Code]],State!B:B,0))</f>
        <v>West</v>
      </c>
      <c r="K2357" t="s">
        <v>247</v>
      </c>
      <c r="L2357" t="s">
        <v>50</v>
      </c>
      <c r="M2357" t="s">
        <v>61</v>
      </c>
      <c r="N2357" t="str">
        <f>INDEX(Products!B:B,MATCH(OrdersTable[[#This Row],[Product ID]],Products!A:A,0))</f>
        <v>Multivitamin Gummies</v>
      </c>
      <c r="O2357" t="str">
        <f>INDEX(Products!C:C,MATCH(OrdersTable[[#This Row],[Product ID]],Products!A:A,0))</f>
        <v>Wellness</v>
      </c>
      <c r="P2357">
        <v>1</v>
      </c>
      <c r="Q2357" s="5">
        <v>699</v>
      </c>
      <c r="R2357" s="74">
        <v>0.3</v>
      </c>
      <c r="S2357" s="75">
        <f>OrdersTable[[#This Row],[Quantity]]*OrdersTable[[#This Row],[Unit Price]]</f>
        <v>699</v>
      </c>
      <c r="T2357" s="5">
        <f>OrdersTable[[#This Row],[Gross Sale]]*OrdersTable[[#This Row],[Discount_Clean2]]</f>
        <v>209.7</v>
      </c>
      <c r="U2357" s="5">
        <f>OrdersTable[[#This Row],[Gross Sale]]-OrdersTable[[#This Row],[Discount Amount]]</f>
        <v>489.3</v>
      </c>
      <c r="V2357" s="77">
        <f>INDEX(Products!E:E,MATCH(OrdersTable[[#This Row],[Product ID]],Products!A:A,0))</f>
        <v>238</v>
      </c>
      <c r="W2357" s="77">
        <f>OrdersTable[[#This Row],[Quantity]]*OrdersTable[[#This Row],[Unit Cost]]</f>
        <v>238</v>
      </c>
      <c r="X2357" s="77">
        <f>'Dropdown Lists'!$I$2*(1+OrdersTable[[#This Row],[Returned]])</f>
        <v>60</v>
      </c>
      <c r="Y2357" s="76">
        <f>OrdersTable[[#This Row],[Net Revenue]]-OrdersTable[[#This Row],[COGS]]-OrdersTable[[#This Row],[Shipping Cost]]</f>
        <v>191.3</v>
      </c>
      <c r="Z2357" s="78">
        <f>IFERROR(OrdersTable[[#This Row],[Profit]]/OrdersTable[[#This Row],[Net Revenue]],0)</f>
        <v>0.39096668710402616</v>
      </c>
      <c r="AA2357" t="s">
        <v>18</v>
      </c>
      <c r="AB2357" s="79">
        <v>45694</v>
      </c>
      <c r="AC2357">
        <f>OrdersTable[[#This Row],[Delivery Date]]-OrdersTable[[#This Row],[Order Date]]</f>
        <v>3</v>
      </c>
      <c r="AD2357" t="str">
        <f>IF(OrdersTable[[#This Row],[Delivery Days]]&lt;=2, "Express (≤2d)", IF(OrdersTable[[#This Row],[Delivery Days]]&lt;=4, "Standard (3-4d)", "Delayed (5d+)"))</f>
        <v>Standard (3-4d)</v>
      </c>
      <c r="AE2357">
        <v>3</v>
      </c>
      <c r="AF2357">
        <v>0</v>
      </c>
    </row>
    <row r="2358" spans="1:32" ht="15" x14ac:dyDescent="0.35">
      <c r="A2358" t="s">
        <v>1258</v>
      </c>
      <c r="B2358" s="1">
        <v>45691</v>
      </c>
      <c r="C2358">
        <f>YEAR(OrdersTable[[#This Row],[Order Date]])</f>
        <v>2025</v>
      </c>
      <c r="D2358" s="2">
        <f>DATE(YEAR(OrdersTable[[#This Row],[Order Date]]),MONTH(OrdersTable[[#This Row],[Order Date]]),1)</f>
        <v>45689</v>
      </c>
      <c r="E2358">
        <f>MONTH(OrdersTable[[#This Row],[Order Date]])</f>
        <v>2</v>
      </c>
      <c r="F2358" t="s">
        <v>117</v>
      </c>
      <c r="G2358" t="str">
        <f>IF(OrdersTable[[#This Row],[Order Date]]=_xlfn.MINIFS(Order_Date, Customer_ID, OrdersTable[[#This Row],[Customer ID]]), "New", "Repeat")</f>
        <v>Repeat</v>
      </c>
      <c r="H2358" t="s">
        <v>27</v>
      </c>
      <c r="I2358" t="str">
        <f>INDEX(State!B:B,MATCH(OrdersTable[[#This Row],[State]],State!A:A,0))</f>
        <v>WB</v>
      </c>
      <c r="J2358" t="str">
        <f>INDEX(State!C:C,MATCH(OrdersTable[[#This Row],[State Code]],State!B:B,0))</f>
        <v>East</v>
      </c>
      <c r="K2358" t="s">
        <v>28</v>
      </c>
      <c r="L2358" t="s">
        <v>16</v>
      </c>
      <c r="M2358" t="s">
        <v>34</v>
      </c>
      <c r="N2358" t="str">
        <f>INDEX(Products!B:B,MATCH(OrdersTable[[#This Row],[Product ID]],Products!A:A,0))</f>
        <v>Flip Flops</v>
      </c>
      <c r="O2358" t="str">
        <f>INDEX(Products!C:C,MATCH(OrdersTable[[#This Row],[Product ID]],Products!A:A,0))</f>
        <v>Footwear</v>
      </c>
      <c r="P2358">
        <v>1</v>
      </c>
      <c r="Q2358" s="5">
        <v>399</v>
      </c>
      <c r="R2358" s="74">
        <v>0.05</v>
      </c>
      <c r="S2358" s="75">
        <f>OrdersTable[[#This Row],[Quantity]]*OrdersTable[[#This Row],[Unit Price]]</f>
        <v>399</v>
      </c>
      <c r="T2358" s="5">
        <f>OrdersTable[[#This Row],[Gross Sale]]*OrdersTable[[#This Row],[Discount_Clean2]]</f>
        <v>19.950000000000003</v>
      </c>
      <c r="U2358" s="5">
        <f>OrdersTable[[#This Row],[Gross Sale]]-OrdersTable[[#This Row],[Discount Amount]]</f>
        <v>379.05</v>
      </c>
      <c r="V2358" s="77">
        <f>INDEX(Products!E:E,MATCH(OrdersTable[[#This Row],[Product ID]],Products!A:A,0))</f>
        <v>152</v>
      </c>
      <c r="W2358" s="77">
        <f>OrdersTable[[#This Row],[Quantity]]*OrdersTable[[#This Row],[Unit Cost]]</f>
        <v>152</v>
      </c>
      <c r="X2358" s="77">
        <f>'Dropdown Lists'!$I$2*(1+OrdersTable[[#This Row],[Returned]])</f>
        <v>60</v>
      </c>
      <c r="Y2358" s="76">
        <f>OrdersTable[[#This Row],[Net Revenue]]-OrdersTable[[#This Row],[COGS]]-OrdersTable[[#This Row],[Shipping Cost]]</f>
        <v>167.05</v>
      </c>
      <c r="Z2358" s="78">
        <f>IFERROR(OrdersTable[[#This Row],[Profit]]/OrdersTable[[#This Row],[Net Revenue]],0)</f>
        <v>0.44070703073473161</v>
      </c>
      <c r="AA2358" t="s">
        <v>18</v>
      </c>
      <c r="AB2358" s="79">
        <v>45694</v>
      </c>
      <c r="AC2358">
        <f>OrdersTable[[#This Row],[Delivery Date]]-OrdersTable[[#This Row],[Order Date]]</f>
        <v>3</v>
      </c>
      <c r="AD2358" t="str">
        <f>IF(OrdersTable[[#This Row],[Delivery Days]]&lt;=2, "Express (≤2d)", IF(OrdersTable[[#This Row],[Delivery Days]]&lt;=4, "Standard (3-4d)", "Delayed (5d+)"))</f>
        <v>Standard (3-4d)</v>
      </c>
      <c r="AF2358">
        <v>0</v>
      </c>
    </row>
    <row r="2359" spans="1:32" ht="15" x14ac:dyDescent="0.35">
      <c r="A2359" t="s">
        <v>6560</v>
      </c>
      <c r="B2359" s="1">
        <v>45691</v>
      </c>
      <c r="C2359">
        <f>YEAR(OrdersTable[[#This Row],[Order Date]])</f>
        <v>2025</v>
      </c>
      <c r="D2359" s="2">
        <f>DATE(YEAR(OrdersTable[[#This Row],[Order Date]]),MONTH(OrdersTable[[#This Row],[Order Date]]),1)</f>
        <v>45689</v>
      </c>
      <c r="E2359">
        <f>MONTH(OrdersTable[[#This Row],[Order Date]])</f>
        <v>2</v>
      </c>
      <c r="F2359" t="s">
        <v>3276</v>
      </c>
      <c r="G2359" t="str">
        <f>IF(OrdersTable[[#This Row],[Order Date]]=_xlfn.MINIFS(Order_Date, Customer_ID, OrdersTable[[#This Row],[Customer ID]]), "New", "Repeat")</f>
        <v>New</v>
      </c>
      <c r="H2359" t="s">
        <v>27</v>
      </c>
      <c r="I2359" t="str">
        <f>INDEX(State!B:B,MATCH(OrdersTable[[#This Row],[State]],State!A:A,0))</f>
        <v>WB</v>
      </c>
      <c r="J2359" t="str">
        <f>INDEX(State!C:C,MATCH(OrdersTable[[#This Row],[State Code]],State!B:B,0))</f>
        <v>East</v>
      </c>
      <c r="K2359" t="s">
        <v>28</v>
      </c>
      <c r="L2359" t="s">
        <v>23</v>
      </c>
      <c r="M2359" t="s">
        <v>106</v>
      </c>
      <c r="N2359" t="str">
        <f>INDEX(Products!B:B,MATCH(OrdersTable[[#This Row],[Product ID]],Products!A:A,0))</f>
        <v>Keratin Hair Mask</v>
      </c>
      <c r="O2359" t="str">
        <f>INDEX(Products!C:C,MATCH(OrdersTable[[#This Row],[Product ID]],Products!A:A,0))</f>
        <v>Haircare</v>
      </c>
      <c r="P2359">
        <v>3</v>
      </c>
      <c r="Q2359" s="5">
        <v>549</v>
      </c>
      <c r="R2359" s="74">
        <v>0.2</v>
      </c>
      <c r="S2359" s="75">
        <f>OrdersTable[[#This Row],[Quantity]]*OrdersTable[[#This Row],[Unit Price]]</f>
        <v>1647</v>
      </c>
      <c r="T2359" s="5">
        <f>OrdersTable[[#This Row],[Gross Sale]]*OrdersTable[[#This Row],[Discount_Clean2]]</f>
        <v>329.40000000000003</v>
      </c>
      <c r="U2359" s="5">
        <f>OrdersTable[[#This Row],[Gross Sale]]-OrdersTable[[#This Row],[Discount Amount]]</f>
        <v>1317.6</v>
      </c>
      <c r="V2359" s="77">
        <f>INDEX(Products!E:E,MATCH(OrdersTable[[#This Row],[Product ID]],Products!A:A,0))</f>
        <v>170</v>
      </c>
      <c r="W2359" s="77">
        <f>OrdersTable[[#This Row],[Quantity]]*OrdersTable[[#This Row],[Unit Cost]]</f>
        <v>510</v>
      </c>
      <c r="X2359" s="77">
        <f>'Dropdown Lists'!$I$2*(1+OrdersTable[[#This Row],[Returned]])</f>
        <v>60</v>
      </c>
      <c r="Y2359" s="76">
        <f>OrdersTable[[#This Row],[Net Revenue]]-OrdersTable[[#This Row],[COGS]]-OrdersTable[[#This Row],[Shipping Cost]]</f>
        <v>747.59999999999991</v>
      </c>
      <c r="Z2359" s="78">
        <f>IFERROR(OrdersTable[[#This Row],[Profit]]/OrdersTable[[#This Row],[Net Revenue]],0)</f>
        <v>0.56739526411657559</v>
      </c>
      <c r="AA2359" t="s">
        <v>18</v>
      </c>
      <c r="AB2359" s="79">
        <v>45692</v>
      </c>
      <c r="AC2359">
        <f>OrdersTable[[#This Row],[Delivery Date]]-OrdersTable[[#This Row],[Order Date]]</f>
        <v>1</v>
      </c>
      <c r="AD2359" t="str">
        <f>IF(OrdersTable[[#This Row],[Delivery Days]]&lt;=2, "Express (≤2d)", IF(OrdersTable[[#This Row],[Delivery Days]]&lt;=4, "Standard (3-4d)", "Delayed (5d+)"))</f>
        <v>Express (≤2d)</v>
      </c>
      <c r="AE2359">
        <v>4</v>
      </c>
      <c r="AF2359">
        <v>0</v>
      </c>
    </row>
    <row r="2360" spans="1:32" ht="15" x14ac:dyDescent="0.35">
      <c r="A2360" t="s">
        <v>574</v>
      </c>
      <c r="B2360" s="1">
        <v>45691</v>
      </c>
      <c r="C2360">
        <f>YEAR(OrdersTable[[#This Row],[Order Date]])</f>
        <v>2025</v>
      </c>
      <c r="D2360" s="2">
        <f>DATE(YEAR(OrdersTable[[#This Row],[Order Date]]),MONTH(OrdersTable[[#This Row],[Order Date]]),1)</f>
        <v>45689</v>
      </c>
      <c r="E2360">
        <f>MONTH(OrdersTable[[#This Row],[Order Date]])</f>
        <v>2</v>
      </c>
      <c r="F2360" t="s">
        <v>575</v>
      </c>
      <c r="G2360" t="str">
        <f>IF(OrdersTable[[#This Row],[Order Date]]=_xlfn.MINIFS(Order_Date, Customer_ID, OrdersTable[[#This Row],[Customer ID]]), "New", "Repeat")</f>
        <v>Repeat</v>
      </c>
      <c r="H2360" t="s">
        <v>59</v>
      </c>
      <c r="I2360" t="str">
        <f>INDEX(State!B:B,MATCH(OrdersTable[[#This Row],[State]],State!A:A,0))</f>
        <v>TN</v>
      </c>
      <c r="J2360" t="str">
        <f>INDEX(State!C:C,MATCH(OrdersTable[[#This Row],[State Code]],State!B:B,0))</f>
        <v>South</v>
      </c>
      <c r="K2360" t="s">
        <v>60</v>
      </c>
      <c r="L2360" t="s">
        <v>23</v>
      </c>
      <c r="M2360" t="s">
        <v>576</v>
      </c>
      <c r="N2360" t="str">
        <f>INDEX(Products!B:B,MATCH(OrdersTable[[#This Row],[Product ID]],Products!A:A,0))</f>
        <v>Printed Saree</v>
      </c>
      <c r="O2360" t="str">
        <f>INDEX(Products!C:C,MATCH(OrdersTable[[#This Row],[Product ID]],Products!A:A,0))</f>
        <v>Apparel</v>
      </c>
      <c r="P2360">
        <v>1</v>
      </c>
      <c r="Q2360" s="5">
        <v>1999</v>
      </c>
      <c r="R2360" s="74">
        <v>0.05</v>
      </c>
      <c r="S2360" s="75">
        <f>OrdersTable[[#This Row],[Quantity]]*OrdersTable[[#This Row],[Unit Price]]</f>
        <v>1999</v>
      </c>
      <c r="T2360" s="5">
        <f>OrdersTable[[#This Row],[Gross Sale]]*OrdersTable[[#This Row],[Discount_Clean2]]</f>
        <v>99.95</v>
      </c>
      <c r="U2360" s="5">
        <f>OrdersTable[[#This Row],[Gross Sale]]-OrdersTable[[#This Row],[Discount Amount]]</f>
        <v>1899.05</v>
      </c>
      <c r="V2360" s="77">
        <f>INDEX(Products!E:E,MATCH(OrdersTable[[#This Row],[Product ID]],Products!A:A,0))</f>
        <v>880</v>
      </c>
      <c r="W2360" s="77">
        <f>OrdersTable[[#This Row],[Quantity]]*OrdersTable[[#This Row],[Unit Cost]]</f>
        <v>880</v>
      </c>
      <c r="X2360" s="77">
        <f>'Dropdown Lists'!$I$2*(1+OrdersTable[[#This Row],[Returned]])</f>
        <v>60</v>
      </c>
      <c r="Y2360" s="76">
        <f>OrdersTable[[#This Row],[Net Revenue]]-OrdersTable[[#This Row],[COGS]]-OrdersTable[[#This Row],[Shipping Cost]]</f>
        <v>959.05</v>
      </c>
      <c r="Z2360" s="78">
        <f>IFERROR(OrdersTable[[#This Row],[Profit]]/OrdersTable[[#This Row],[Net Revenue]],0)</f>
        <v>0.50501566572760059</v>
      </c>
      <c r="AA2360" t="s">
        <v>18</v>
      </c>
      <c r="AB2360" s="79">
        <v>45693</v>
      </c>
      <c r="AC2360">
        <f>OrdersTable[[#This Row],[Delivery Date]]-OrdersTable[[#This Row],[Order Date]]</f>
        <v>2</v>
      </c>
      <c r="AD2360" t="str">
        <f>IF(OrdersTable[[#This Row],[Delivery Days]]&lt;=2, "Express (≤2d)", IF(OrdersTable[[#This Row],[Delivery Days]]&lt;=4, "Standard (3-4d)", "Delayed (5d+)"))</f>
        <v>Express (≤2d)</v>
      </c>
      <c r="AE2360">
        <v>4</v>
      </c>
      <c r="AF2360">
        <v>0</v>
      </c>
    </row>
    <row r="2361" spans="1:32" ht="15" x14ac:dyDescent="0.35">
      <c r="A2361" t="s">
        <v>6561</v>
      </c>
      <c r="B2361" s="1">
        <v>45691</v>
      </c>
      <c r="C2361">
        <f>YEAR(OrdersTable[[#This Row],[Order Date]])</f>
        <v>2025</v>
      </c>
      <c r="D2361" s="2">
        <f>DATE(YEAR(OrdersTable[[#This Row],[Order Date]]),MONTH(OrdersTable[[#This Row],[Order Date]]),1)</f>
        <v>45689</v>
      </c>
      <c r="E2361">
        <f>MONTH(OrdersTable[[#This Row],[Order Date]])</f>
        <v>2</v>
      </c>
      <c r="F2361" t="s">
        <v>2034</v>
      </c>
      <c r="G2361" t="str">
        <f>IF(OrdersTable[[#This Row],[Order Date]]=_xlfn.MINIFS(Order_Date, Customer_ID, OrdersTable[[#This Row],[Customer ID]]), "New", "Repeat")</f>
        <v>Repeat</v>
      </c>
      <c r="H2361" t="s">
        <v>59</v>
      </c>
      <c r="I2361" t="str">
        <f>INDEX(State!B:B,MATCH(OrdersTable[[#This Row],[State]],State!A:A,0))</f>
        <v>TN</v>
      </c>
      <c r="J2361" t="str">
        <f>INDEX(State!C:C,MATCH(OrdersTable[[#This Row],[State Code]],State!B:B,0))</f>
        <v>South</v>
      </c>
      <c r="K2361" t="s">
        <v>60</v>
      </c>
      <c r="L2361" t="s">
        <v>23</v>
      </c>
      <c r="M2361" t="s">
        <v>125</v>
      </c>
      <c r="N2361" t="str">
        <f>INDEX(Products!B:B,MATCH(OrdersTable[[#This Row],[Product ID]],Products!A:A,0))</f>
        <v>Copper Water Bottle</v>
      </c>
      <c r="O2361" t="str">
        <f>INDEX(Products!C:C,MATCH(OrdersTable[[#This Row],[Product ID]],Products!A:A,0))</f>
        <v>Home &amp; Kitchen</v>
      </c>
      <c r="P2361">
        <v>3</v>
      </c>
      <c r="Q2361" s="5">
        <v>899</v>
      </c>
      <c r="R2361" s="74">
        <v>0.1</v>
      </c>
      <c r="S2361" s="75">
        <f>OrdersTable[[#This Row],[Quantity]]*OrdersTable[[#This Row],[Unit Price]]</f>
        <v>2697</v>
      </c>
      <c r="T2361" s="5">
        <f>OrdersTable[[#This Row],[Gross Sale]]*OrdersTable[[#This Row],[Discount_Clean2]]</f>
        <v>269.7</v>
      </c>
      <c r="U2361" s="5">
        <f>OrdersTable[[#This Row],[Gross Sale]]-OrdersTable[[#This Row],[Discount Amount]]</f>
        <v>2427.3000000000002</v>
      </c>
      <c r="V2361" s="77">
        <f>INDEX(Products!E:E,MATCH(OrdersTable[[#This Row],[Product ID]],Products!A:A,0))</f>
        <v>378</v>
      </c>
      <c r="W2361" s="77">
        <f>OrdersTable[[#This Row],[Quantity]]*OrdersTable[[#This Row],[Unit Cost]]</f>
        <v>1134</v>
      </c>
      <c r="X2361" s="77">
        <f>'Dropdown Lists'!$I$2*(1+OrdersTable[[#This Row],[Returned]])</f>
        <v>60</v>
      </c>
      <c r="Y2361" s="76">
        <f>OrdersTable[[#This Row],[Net Revenue]]-OrdersTable[[#This Row],[COGS]]-OrdersTable[[#This Row],[Shipping Cost]]</f>
        <v>1233.3000000000002</v>
      </c>
      <c r="Z2361" s="78">
        <f>IFERROR(OrdersTable[[#This Row],[Profit]]/OrdersTable[[#This Row],[Net Revenue]],0)</f>
        <v>0.50809541465826236</v>
      </c>
      <c r="AA2361" t="s">
        <v>18</v>
      </c>
      <c r="AB2361" s="79">
        <v>45695</v>
      </c>
      <c r="AC2361">
        <f>OrdersTable[[#This Row],[Delivery Date]]-OrdersTable[[#This Row],[Order Date]]</f>
        <v>4</v>
      </c>
      <c r="AD2361" t="str">
        <f>IF(OrdersTable[[#This Row],[Delivery Days]]&lt;=2, "Express (≤2d)", IF(OrdersTable[[#This Row],[Delivery Days]]&lt;=4, "Standard (3-4d)", "Delayed (5d+)"))</f>
        <v>Standard (3-4d)</v>
      </c>
      <c r="AE2361">
        <v>4</v>
      </c>
      <c r="AF2361">
        <v>0</v>
      </c>
    </row>
    <row r="2362" spans="1:32" ht="15" x14ac:dyDescent="0.35">
      <c r="A2362" t="s">
        <v>5384</v>
      </c>
      <c r="B2362" s="1">
        <v>45692</v>
      </c>
      <c r="C2362">
        <f>YEAR(OrdersTable[[#This Row],[Order Date]])</f>
        <v>2025</v>
      </c>
      <c r="D2362" s="2">
        <f>DATE(YEAR(OrdersTable[[#This Row],[Order Date]]),MONTH(OrdersTable[[#This Row],[Order Date]]),1)</f>
        <v>45689</v>
      </c>
      <c r="E2362">
        <f>MONTH(OrdersTable[[#This Row],[Order Date]])</f>
        <v>2</v>
      </c>
      <c r="F2362" t="s">
        <v>5385</v>
      </c>
      <c r="G2362" t="str">
        <f>IF(OrdersTable[[#This Row],[Order Date]]=_xlfn.MINIFS(Order_Date, Customer_ID, OrdersTable[[#This Row],[Customer ID]]), "New", "Repeat")</f>
        <v>New</v>
      </c>
      <c r="H2362" t="s">
        <v>21</v>
      </c>
      <c r="I2362" t="str">
        <f>INDEX(State!B:B,MATCH(OrdersTable[[#This Row],[State]],State!A:A,0))</f>
        <v>PB</v>
      </c>
      <c r="J2362" t="str">
        <f>INDEX(State!C:C,MATCH(OrdersTable[[#This Row],[State Code]],State!B:B,0))</f>
        <v>North</v>
      </c>
      <c r="K2362" t="s">
        <v>22</v>
      </c>
      <c r="L2362" t="s">
        <v>16</v>
      </c>
      <c r="M2362" t="s">
        <v>176</v>
      </c>
      <c r="N2362" t="str">
        <f>INDEX(Products!B:B,MATCH(OrdersTable[[#This Row],[Product ID]],Products!A:A,0))</f>
        <v>Denim Jacket</v>
      </c>
      <c r="O2362" t="str">
        <f>INDEX(Products!C:C,MATCH(OrdersTable[[#This Row],[Product ID]],Products!A:A,0))</f>
        <v>Apparel</v>
      </c>
      <c r="P2362">
        <v>2</v>
      </c>
      <c r="Q2362" s="5">
        <v>2499</v>
      </c>
      <c r="R2362" s="74">
        <v>0</v>
      </c>
      <c r="S2362" s="75">
        <f>OrdersTable[[#This Row],[Quantity]]*OrdersTable[[#This Row],[Unit Price]]</f>
        <v>4998</v>
      </c>
      <c r="T2362" s="5">
        <f>OrdersTable[[#This Row],[Gross Sale]]*OrdersTable[[#This Row],[Discount_Clean2]]</f>
        <v>0</v>
      </c>
      <c r="U2362" s="5">
        <f>OrdersTable[[#This Row],[Gross Sale]]-OrdersTable[[#This Row],[Discount Amount]]</f>
        <v>4998</v>
      </c>
      <c r="V2362" s="77">
        <f>INDEX(Products!E:E,MATCH(OrdersTable[[#This Row],[Product ID]],Products!A:A,0))</f>
        <v>1125</v>
      </c>
      <c r="W2362" s="77">
        <f>OrdersTable[[#This Row],[Quantity]]*OrdersTable[[#This Row],[Unit Cost]]</f>
        <v>2250</v>
      </c>
      <c r="X2362" s="77">
        <f>'Dropdown Lists'!$I$2*(1+OrdersTable[[#This Row],[Returned]])</f>
        <v>60</v>
      </c>
      <c r="Y2362" s="76">
        <f>OrdersTable[[#This Row],[Net Revenue]]-OrdersTable[[#This Row],[COGS]]-OrdersTable[[#This Row],[Shipping Cost]]</f>
        <v>2688</v>
      </c>
      <c r="Z2362" s="78">
        <f>IFERROR(OrdersTable[[#This Row],[Profit]]/OrdersTable[[#This Row],[Net Revenue]],0)</f>
        <v>0.53781512605042014</v>
      </c>
      <c r="AA2362" t="s">
        <v>2522</v>
      </c>
      <c r="AB2362" s="79">
        <v>45695</v>
      </c>
      <c r="AC2362">
        <f>OrdersTable[[#This Row],[Delivery Date]]-OrdersTable[[#This Row],[Order Date]]</f>
        <v>3</v>
      </c>
      <c r="AD2362" t="str">
        <f>IF(OrdersTable[[#This Row],[Delivery Days]]&lt;=2, "Express (≤2d)", IF(OrdersTable[[#This Row],[Delivery Days]]&lt;=4, "Standard (3-4d)", "Delayed (5d+)"))</f>
        <v>Standard (3-4d)</v>
      </c>
      <c r="AF2362">
        <v>0</v>
      </c>
    </row>
    <row r="2363" spans="1:32" ht="15" x14ac:dyDescent="0.35">
      <c r="A2363" t="s">
        <v>5386</v>
      </c>
      <c r="B2363" s="1">
        <v>45692</v>
      </c>
      <c r="C2363">
        <f>YEAR(OrdersTable[[#This Row],[Order Date]])</f>
        <v>2025</v>
      </c>
      <c r="D2363" s="2">
        <f>DATE(YEAR(OrdersTable[[#This Row],[Order Date]]),MONTH(OrdersTable[[#This Row],[Order Date]]),1)</f>
        <v>45689</v>
      </c>
      <c r="E2363">
        <f>MONTH(OrdersTable[[#This Row],[Order Date]])</f>
        <v>2</v>
      </c>
      <c r="F2363" t="s">
        <v>5387</v>
      </c>
      <c r="G2363" t="str">
        <f>IF(OrdersTable[[#This Row],[Order Date]]=_xlfn.MINIFS(Order_Date, Customer_ID, OrdersTable[[#This Row],[Customer ID]]), "New", "Repeat")</f>
        <v>New</v>
      </c>
      <c r="H2363" t="s">
        <v>184</v>
      </c>
      <c r="I2363" t="str">
        <f>INDEX(State!B:B,MATCH(OrdersTable[[#This Row],[State]],State!A:A,0))</f>
        <v>UK</v>
      </c>
      <c r="J2363" t="str">
        <f>INDEX(State!C:C,MATCH(OrdersTable[[#This Row],[State Code]],State!B:B,0))</f>
        <v>North</v>
      </c>
      <c r="K2363" t="s">
        <v>185</v>
      </c>
      <c r="L2363" t="s">
        <v>65</v>
      </c>
      <c r="M2363" t="s">
        <v>565</v>
      </c>
      <c r="N2363" t="str">
        <f>INDEX(Products!B:B,MATCH(OrdersTable[[#This Row],[Product ID]],Products!A:A,0))</f>
        <v>Ceramic Dinner Set</v>
      </c>
      <c r="O2363" t="str">
        <f>INDEX(Products!C:C,MATCH(OrdersTable[[#This Row],[Product ID]],Products!A:A,0))</f>
        <v>Home &amp; Kitchen</v>
      </c>
      <c r="P2363">
        <v>2</v>
      </c>
      <c r="Q2363" s="5">
        <v>2499</v>
      </c>
      <c r="R2363" s="74">
        <v>0.4</v>
      </c>
      <c r="S2363" s="75">
        <f>OrdersTable[[#This Row],[Quantity]]*OrdersTable[[#This Row],[Unit Price]]</f>
        <v>4998</v>
      </c>
      <c r="T2363" s="5">
        <f>OrdersTable[[#This Row],[Gross Sale]]*OrdersTable[[#This Row],[Discount_Clean2]]</f>
        <v>1999.2</v>
      </c>
      <c r="U2363" s="5">
        <f>OrdersTable[[#This Row],[Gross Sale]]-OrdersTable[[#This Row],[Discount Amount]]</f>
        <v>2998.8</v>
      </c>
      <c r="V2363" s="77">
        <f>INDEX(Products!E:E,MATCH(OrdersTable[[#This Row],[Product ID]],Products!A:A,0))</f>
        <v>1250</v>
      </c>
      <c r="W2363" s="77">
        <f>OrdersTable[[#This Row],[Quantity]]*OrdersTable[[#This Row],[Unit Cost]]</f>
        <v>2500</v>
      </c>
      <c r="X2363" s="77">
        <f>'Dropdown Lists'!$I$2*(1+OrdersTable[[#This Row],[Returned]])</f>
        <v>60</v>
      </c>
      <c r="Y2363" s="76">
        <f>OrdersTable[[#This Row],[Net Revenue]]-OrdersTable[[#This Row],[COGS]]-OrdersTable[[#This Row],[Shipping Cost]]</f>
        <v>438.80000000000018</v>
      </c>
      <c r="Z2363" s="78">
        <f>IFERROR(OrdersTable[[#This Row],[Profit]]/OrdersTable[[#This Row],[Net Revenue]],0)</f>
        <v>0.14632519674536487</v>
      </c>
      <c r="AA2363" t="s">
        <v>2522</v>
      </c>
      <c r="AB2363" s="79">
        <v>45696</v>
      </c>
      <c r="AC2363">
        <f>OrdersTable[[#This Row],[Delivery Date]]-OrdersTable[[#This Row],[Order Date]]</f>
        <v>4</v>
      </c>
      <c r="AD2363" t="str">
        <f>IF(OrdersTable[[#This Row],[Delivery Days]]&lt;=2, "Express (≤2d)", IF(OrdersTable[[#This Row],[Delivery Days]]&lt;=4, "Standard (3-4d)", "Delayed (5d+)"))</f>
        <v>Standard (3-4d)</v>
      </c>
      <c r="AE2363">
        <v>3</v>
      </c>
      <c r="AF2363">
        <v>0</v>
      </c>
    </row>
    <row r="2364" spans="1:32" ht="15" x14ac:dyDescent="0.35">
      <c r="A2364" t="s">
        <v>5932</v>
      </c>
      <c r="B2364" s="1">
        <v>45692</v>
      </c>
      <c r="C2364">
        <f>YEAR(OrdersTable[[#This Row],[Order Date]])</f>
        <v>2025</v>
      </c>
      <c r="D2364" s="2">
        <f>DATE(YEAR(OrdersTable[[#This Row],[Order Date]]),MONTH(OrdersTable[[#This Row],[Order Date]]),1)</f>
        <v>45689</v>
      </c>
      <c r="E2364">
        <f>MONTH(OrdersTable[[#This Row],[Order Date]])</f>
        <v>2</v>
      </c>
      <c r="F2364" t="s">
        <v>5933</v>
      </c>
      <c r="G2364" t="str">
        <f>IF(OrdersTable[[#This Row],[Order Date]]=_xlfn.MINIFS(Order_Date, Customer_ID, OrdersTable[[#This Row],[Customer ID]]), "New", "Repeat")</f>
        <v>New</v>
      </c>
      <c r="H2364" t="s">
        <v>76</v>
      </c>
      <c r="I2364" t="str">
        <f>INDEX(State!B:B,MATCH(OrdersTable[[#This Row],[State]],State!A:A,0))</f>
        <v>UP</v>
      </c>
      <c r="J2364" t="str">
        <f>INDEX(State!C:C,MATCH(OrdersTable[[#This Row],[State Code]],State!B:B,0))</f>
        <v>North</v>
      </c>
      <c r="K2364" t="s">
        <v>118</v>
      </c>
      <c r="L2364" t="s">
        <v>23</v>
      </c>
      <c r="M2364" t="s">
        <v>565</v>
      </c>
      <c r="N2364" t="str">
        <f>INDEX(Products!B:B,MATCH(OrdersTable[[#This Row],[Product ID]],Products!A:A,0))</f>
        <v>Ceramic Dinner Set</v>
      </c>
      <c r="O2364" t="str">
        <f>INDEX(Products!C:C,MATCH(OrdersTable[[#This Row],[Product ID]],Products!A:A,0))</f>
        <v>Home &amp; Kitchen</v>
      </c>
      <c r="P2364">
        <v>2</v>
      </c>
      <c r="Q2364" s="5">
        <v>2499</v>
      </c>
      <c r="R2364" s="74">
        <v>0.4</v>
      </c>
      <c r="S2364" s="75">
        <f>OrdersTable[[#This Row],[Quantity]]*OrdersTable[[#This Row],[Unit Price]]</f>
        <v>4998</v>
      </c>
      <c r="T2364" s="5">
        <f>OrdersTable[[#This Row],[Gross Sale]]*OrdersTable[[#This Row],[Discount_Clean2]]</f>
        <v>1999.2</v>
      </c>
      <c r="U2364" s="5">
        <f>OrdersTable[[#This Row],[Gross Sale]]-OrdersTable[[#This Row],[Discount Amount]]</f>
        <v>2998.8</v>
      </c>
      <c r="V2364" s="77">
        <f>INDEX(Products!E:E,MATCH(OrdersTable[[#This Row],[Product ID]],Products!A:A,0))</f>
        <v>1250</v>
      </c>
      <c r="W2364" s="77">
        <f>OrdersTable[[#This Row],[Quantity]]*OrdersTable[[#This Row],[Unit Cost]]</f>
        <v>2500</v>
      </c>
      <c r="X2364" s="77">
        <f>'Dropdown Lists'!$I$2*(1+OrdersTable[[#This Row],[Returned]])</f>
        <v>60</v>
      </c>
      <c r="Y2364" s="76">
        <f>OrdersTable[[#This Row],[Net Revenue]]-OrdersTable[[#This Row],[COGS]]-OrdersTable[[#This Row],[Shipping Cost]]</f>
        <v>438.80000000000018</v>
      </c>
      <c r="Z2364" s="78">
        <f>IFERROR(OrdersTable[[#This Row],[Profit]]/OrdersTable[[#This Row],[Net Revenue]],0)</f>
        <v>0.14632519674536487</v>
      </c>
      <c r="AA2364" t="s">
        <v>18</v>
      </c>
      <c r="AB2364" s="79">
        <v>45697</v>
      </c>
      <c r="AC2364">
        <f>OrdersTable[[#This Row],[Delivery Date]]-OrdersTable[[#This Row],[Order Date]]</f>
        <v>5</v>
      </c>
      <c r="AD2364" t="str">
        <f>IF(OrdersTable[[#This Row],[Delivery Days]]&lt;=2, "Express (≤2d)", IF(OrdersTable[[#This Row],[Delivery Days]]&lt;=4, "Standard (3-4d)", "Delayed (5d+)"))</f>
        <v>Delayed (5d+)</v>
      </c>
      <c r="AF2364">
        <v>0</v>
      </c>
    </row>
    <row r="2365" spans="1:32" ht="15" x14ac:dyDescent="0.35">
      <c r="A2365" t="s">
        <v>5388</v>
      </c>
      <c r="B2365" s="1">
        <v>45692</v>
      </c>
      <c r="C2365">
        <f>YEAR(OrdersTable[[#This Row],[Order Date]])</f>
        <v>2025</v>
      </c>
      <c r="D2365" s="2">
        <f>DATE(YEAR(OrdersTable[[#This Row],[Order Date]]),MONTH(OrdersTable[[#This Row],[Order Date]]),1)</f>
        <v>45689</v>
      </c>
      <c r="E2365">
        <f>MONTH(OrdersTable[[#This Row],[Order Date]])</f>
        <v>2</v>
      </c>
      <c r="F2365" t="s">
        <v>166</v>
      </c>
      <c r="G2365" t="str">
        <f>IF(OrdersTable[[#This Row],[Order Date]]=_xlfn.MINIFS(Order_Date, Customer_ID, OrdersTable[[#This Row],[Customer ID]]), "New", "Repeat")</f>
        <v>Repeat</v>
      </c>
      <c r="H2365" t="s">
        <v>95</v>
      </c>
      <c r="I2365" t="str">
        <f>INDEX(State!B:B,MATCH(OrdersTable[[#This Row],[State]],State!A:A,0))</f>
        <v>TG</v>
      </c>
      <c r="J2365" t="str">
        <f>INDEX(State!C:C,MATCH(OrdersTable[[#This Row],[State Code]],State!B:B,0))</f>
        <v>South</v>
      </c>
      <c r="K2365" t="s">
        <v>96</v>
      </c>
      <c r="L2365" t="s">
        <v>39</v>
      </c>
      <c r="M2365" t="s">
        <v>148</v>
      </c>
      <c r="N2365" t="str">
        <f>INDEX(Products!B:B,MATCH(OrdersTable[[#This Row],[Product ID]],Products!A:A,0))</f>
        <v>Smartwatch Strap</v>
      </c>
      <c r="O2365" t="str">
        <f>INDEX(Products!C:C,MATCH(OrdersTable[[#This Row],[Product ID]],Products!A:A,0))</f>
        <v>Electronics</v>
      </c>
      <c r="P2365">
        <v>2</v>
      </c>
      <c r="Q2365" s="5">
        <v>499</v>
      </c>
      <c r="R2365" s="74">
        <v>0</v>
      </c>
      <c r="S2365" s="75">
        <f>OrdersTable[[#This Row],[Quantity]]*OrdersTable[[#This Row],[Unit Price]]</f>
        <v>998</v>
      </c>
      <c r="T2365" s="5">
        <f>OrdersTable[[#This Row],[Gross Sale]]*OrdersTable[[#This Row],[Discount_Clean2]]</f>
        <v>0</v>
      </c>
      <c r="U2365" s="5">
        <f>OrdersTable[[#This Row],[Gross Sale]]-OrdersTable[[#This Row],[Discount Amount]]</f>
        <v>998</v>
      </c>
      <c r="V2365" s="77">
        <f>INDEX(Products!E:E,MATCH(OrdersTable[[#This Row],[Product ID]],Products!A:A,0))</f>
        <v>200</v>
      </c>
      <c r="W2365" s="77">
        <f>OrdersTable[[#This Row],[Quantity]]*OrdersTable[[#This Row],[Unit Cost]]</f>
        <v>400</v>
      </c>
      <c r="X2365" s="77">
        <f>'Dropdown Lists'!$I$2*(1+OrdersTable[[#This Row],[Returned]])</f>
        <v>60</v>
      </c>
      <c r="Y2365" s="76">
        <f>OrdersTable[[#This Row],[Net Revenue]]-OrdersTable[[#This Row],[COGS]]-OrdersTable[[#This Row],[Shipping Cost]]</f>
        <v>538</v>
      </c>
      <c r="Z2365" s="78">
        <f>IFERROR(OrdersTable[[#This Row],[Profit]]/OrdersTable[[#This Row],[Net Revenue]],0)</f>
        <v>0.53907815631262523</v>
      </c>
      <c r="AA2365" t="s">
        <v>2522</v>
      </c>
      <c r="AB2365" s="79">
        <v>45697</v>
      </c>
      <c r="AC2365">
        <f>OrdersTable[[#This Row],[Delivery Date]]-OrdersTable[[#This Row],[Order Date]]</f>
        <v>5</v>
      </c>
      <c r="AD2365" t="str">
        <f>IF(OrdersTable[[#This Row],[Delivery Days]]&lt;=2, "Express (≤2d)", IF(OrdersTable[[#This Row],[Delivery Days]]&lt;=4, "Standard (3-4d)", "Delayed (5d+)"))</f>
        <v>Delayed (5d+)</v>
      </c>
      <c r="AE2365">
        <v>5</v>
      </c>
      <c r="AF2365">
        <v>0</v>
      </c>
    </row>
    <row r="2366" spans="1:32" ht="15" x14ac:dyDescent="0.35">
      <c r="A2366" t="s">
        <v>3595</v>
      </c>
      <c r="B2366" s="1">
        <v>45693</v>
      </c>
      <c r="C2366">
        <f>YEAR(OrdersTable[[#This Row],[Order Date]])</f>
        <v>2025</v>
      </c>
      <c r="D2366" s="2">
        <f>DATE(YEAR(OrdersTable[[#This Row],[Order Date]]),MONTH(OrdersTable[[#This Row],[Order Date]]),1)</f>
        <v>45689</v>
      </c>
      <c r="E2366">
        <f>MONTH(OrdersTable[[#This Row],[Order Date]])</f>
        <v>2</v>
      </c>
      <c r="F2366" t="s">
        <v>3596</v>
      </c>
      <c r="G2366" t="str">
        <f>IF(OrdersTable[[#This Row],[Order Date]]=_xlfn.MINIFS(Order_Date, Customer_ID, OrdersTable[[#This Row],[Customer ID]]), "New", "Repeat")</f>
        <v>New</v>
      </c>
      <c r="H2366" t="s">
        <v>184</v>
      </c>
      <c r="I2366" t="str">
        <f>INDEX(State!B:B,MATCH(OrdersTable[[#This Row],[State]],State!A:A,0))</f>
        <v>UK</v>
      </c>
      <c r="J2366" t="str">
        <f>INDEX(State!C:C,MATCH(OrdersTable[[#This Row],[State Code]],State!B:B,0))</f>
        <v>North</v>
      </c>
      <c r="K2366" t="s">
        <v>185</v>
      </c>
      <c r="L2366" t="s">
        <v>39</v>
      </c>
      <c r="M2366" t="s">
        <v>173</v>
      </c>
      <c r="N2366" t="str">
        <f>INDEX(Products!B:B,MATCH(OrdersTable[[#This Row],[Product ID]],Products!A:A,0))</f>
        <v>Wireless Earbuds</v>
      </c>
      <c r="O2366" t="str">
        <f>INDEX(Products!C:C,MATCH(OrdersTable[[#This Row],[Product ID]],Products!A:A,0))</f>
        <v>Electronics</v>
      </c>
      <c r="P2366">
        <v>1</v>
      </c>
      <c r="Q2366" s="5">
        <v>1999</v>
      </c>
      <c r="R2366" s="74">
        <v>0.3</v>
      </c>
      <c r="S2366" s="75">
        <f>OrdersTable[[#This Row],[Quantity]]*OrdersTable[[#This Row],[Unit Price]]</f>
        <v>1999</v>
      </c>
      <c r="T2366" s="5">
        <f>OrdersTable[[#This Row],[Gross Sale]]*OrdersTable[[#This Row],[Discount_Clean2]]</f>
        <v>599.69999999999993</v>
      </c>
      <c r="U2366" s="5">
        <f>OrdersTable[[#This Row],[Gross Sale]]-OrdersTable[[#This Row],[Discount Amount]]</f>
        <v>1399.3000000000002</v>
      </c>
      <c r="V2366" s="77">
        <f>INDEX(Products!E:E,MATCH(OrdersTable[[#This Row],[Product ID]],Products!A:A,0))</f>
        <v>1239</v>
      </c>
      <c r="W2366" s="77">
        <f>OrdersTable[[#This Row],[Quantity]]*OrdersTable[[#This Row],[Unit Cost]]</f>
        <v>1239</v>
      </c>
      <c r="X2366" s="77">
        <f>'Dropdown Lists'!$I$2*(1+OrdersTable[[#This Row],[Returned]])</f>
        <v>60</v>
      </c>
      <c r="Y2366" s="76">
        <f>OrdersTable[[#This Row],[Net Revenue]]-OrdersTable[[#This Row],[COGS]]-OrdersTable[[#This Row],[Shipping Cost]]</f>
        <v>100.30000000000018</v>
      </c>
      <c r="Z2366" s="78">
        <f>IFERROR(OrdersTable[[#This Row],[Profit]]/OrdersTable[[#This Row],[Net Revenue]],0)</f>
        <v>7.1678696491102811E-2</v>
      </c>
      <c r="AA2366" t="s">
        <v>3495</v>
      </c>
      <c r="AB2366" s="79">
        <v>45698</v>
      </c>
      <c r="AC2366">
        <f>OrdersTable[[#This Row],[Delivery Date]]-OrdersTable[[#This Row],[Order Date]]</f>
        <v>5</v>
      </c>
      <c r="AD2366" t="str">
        <f>IF(OrdersTable[[#This Row],[Delivery Days]]&lt;=2, "Express (≤2d)", IF(OrdersTable[[#This Row],[Delivery Days]]&lt;=4, "Standard (3-4d)", "Delayed (5d+)"))</f>
        <v>Delayed (5d+)</v>
      </c>
      <c r="AE2366">
        <v>4</v>
      </c>
      <c r="AF2366">
        <v>0</v>
      </c>
    </row>
    <row r="2367" spans="1:32" ht="15" x14ac:dyDescent="0.35">
      <c r="A2367" t="s">
        <v>5799</v>
      </c>
      <c r="B2367" s="1">
        <v>45693</v>
      </c>
      <c r="C2367">
        <f>YEAR(OrdersTable[[#This Row],[Order Date]])</f>
        <v>2025</v>
      </c>
      <c r="D2367" s="2">
        <f>DATE(YEAR(OrdersTable[[#This Row],[Order Date]]),MONTH(OrdersTable[[#This Row],[Order Date]]),1)</f>
        <v>45689</v>
      </c>
      <c r="E2367">
        <f>MONTH(OrdersTable[[#This Row],[Order Date]])</f>
        <v>2</v>
      </c>
      <c r="F2367" t="s">
        <v>5800</v>
      </c>
      <c r="G2367" t="str">
        <f>IF(OrdersTable[[#This Row],[Order Date]]=_xlfn.MINIFS(Order_Date, Customer_ID, OrdersTable[[#This Row],[Customer ID]]), "New", "Repeat")</f>
        <v>New</v>
      </c>
      <c r="H2367" t="s">
        <v>128</v>
      </c>
      <c r="I2367" t="str">
        <f>INDEX(State!B:B,MATCH(OrdersTable[[#This Row],[State]],State!A:A,0))</f>
        <v>DL</v>
      </c>
      <c r="J2367" t="str">
        <f>INDEX(State!C:C,MATCH(OrdersTable[[#This Row],[State Code]],State!B:B,0))</f>
        <v>North</v>
      </c>
      <c r="K2367" t="s">
        <v>129</v>
      </c>
      <c r="L2367" t="s">
        <v>23</v>
      </c>
      <c r="M2367" t="s">
        <v>17</v>
      </c>
      <c r="N2367" t="str">
        <f>INDEX(Products!B:B,MATCH(OrdersTable[[#This Row],[Product ID]],Products!A:A,0))</f>
        <v>Casual Sneakers</v>
      </c>
      <c r="O2367" t="str">
        <f>INDEX(Products!C:C,MATCH(OrdersTable[[#This Row],[Product ID]],Products!A:A,0))</f>
        <v>Footwear</v>
      </c>
      <c r="P2367">
        <v>2</v>
      </c>
      <c r="Q2367" s="5">
        <v>2199</v>
      </c>
      <c r="R2367" s="74">
        <v>0.2</v>
      </c>
      <c r="S2367" s="75">
        <f>OrdersTable[[#This Row],[Quantity]]*OrdersTable[[#This Row],[Unit Price]]</f>
        <v>4398</v>
      </c>
      <c r="T2367" s="5">
        <f>OrdersTable[[#This Row],[Gross Sale]]*OrdersTable[[#This Row],[Discount_Clean2]]</f>
        <v>879.6</v>
      </c>
      <c r="U2367" s="5">
        <f>OrdersTable[[#This Row],[Gross Sale]]-OrdersTable[[#This Row],[Discount Amount]]</f>
        <v>3518.4</v>
      </c>
      <c r="V2367" s="77">
        <f>INDEX(Products!E:E,MATCH(OrdersTable[[#This Row],[Product ID]],Products!A:A,0))</f>
        <v>1034</v>
      </c>
      <c r="W2367" s="77">
        <f>OrdersTable[[#This Row],[Quantity]]*OrdersTable[[#This Row],[Unit Cost]]</f>
        <v>2068</v>
      </c>
      <c r="X2367" s="77">
        <f>'Dropdown Lists'!$I$2*(1+OrdersTable[[#This Row],[Returned]])</f>
        <v>60</v>
      </c>
      <c r="Y2367" s="76">
        <f>OrdersTable[[#This Row],[Net Revenue]]-OrdersTable[[#This Row],[COGS]]-OrdersTable[[#This Row],[Shipping Cost]]</f>
        <v>1390.4</v>
      </c>
      <c r="Z2367" s="78">
        <f>IFERROR(OrdersTable[[#This Row],[Profit]]/OrdersTable[[#This Row],[Net Revenue]],0)</f>
        <v>0.39517962710322874</v>
      </c>
      <c r="AA2367" t="s">
        <v>18</v>
      </c>
      <c r="AB2367" s="79">
        <v>45694</v>
      </c>
      <c r="AC2367">
        <f>OrdersTable[[#This Row],[Delivery Date]]-OrdersTable[[#This Row],[Order Date]]</f>
        <v>1</v>
      </c>
      <c r="AD2367" t="str">
        <f>IF(OrdersTable[[#This Row],[Delivery Days]]&lt;=2, "Express (≤2d)", IF(OrdersTable[[#This Row],[Delivery Days]]&lt;=4, "Standard (3-4d)", "Delayed (5d+)"))</f>
        <v>Express (≤2d)</v>
      </c>
      <c r="AE2367">
        <v>5</v>
      </c>
      <c r="AF2367">
        <v>0</v>
      </c>
    </row>
    <row r="2368" spans="1:32" ht="15" x14ac:dyDescent="0.35">
      <c r="A2368" t="s">
        <v>1954</v>
      </c>
      <c r="B2368" s="1">
        <v>45693</v>
      </c>
      <c r="C2368">
        <f>YEAR(OrdersTable[[#This Row],[Order Date]])</f>
        <v>2025</v>
      </c>
      <c r="D2368" s="2">
        <f>DATE(YEAR(OrdersTable[[#This Row],[Order Date]]),MONTH(OrdersTable[[#This Row],[Order Date]]),1)</f>
        <v>45689</v>
      </c>
      <c r="E2368">
        <f>MONTH(OrdersTable[[#This Row],[Order Date]])</f>
        <v>2</v>
      </c>
      <c r="F2368" t="s">
        <v>1085</v>
      </c>
      <c r="G2368" t="str">
        <f>IF(OrdersTable[[#This Row],[Order Date]]=_xlfn.MINIFS(Order_Date, Customer_ID, OrdersTable[[#This Row],[Customer ID]]), "New", "Repeat")</f>
        <v>Repeat</v>
      </c>
      <c r="H2368" t="s">
        <v>76</v>
      </c>
      <c r="I2368" t="str">
        <f>INDEX(State!B:B,MATCH(OrdersTable[[#This Row],[State]],State!A:A,0))</f>
        <v>UP</v>
      </c>
      <c r="J2368" t="str">
        <f>INDEX(State!C:C,MATCH(OrdersTable[[#This Row],[State Code]],State!B:B,0))</f>
        <v>North</v>
      </c>
      <c r="K2368" t="s">
        <v>77</v>
      </c>
      <c r="L2368" t="s">
        <v>39</v>
      </c>
      <c r="M2368" t="s">
        <v>152</v>
      </c>
      <c r="N2368" t="str">
        <f>INDEX(Products!B:B,MATCH(OrdersTable[[#This Row],[Product ID]],Products!A:A,0))</f>
        <v>Green Tea (100 bags)</v>
      </c>
      <c r="O2368" t="str">
        <f>INDEX(Products!C:C,MATCH(OrdersTable[[#This Row],[Product ID]],Products!A:A,0))</f>
        <v>Wellness</v>
      </c>
      <c r="P2368">
        <v>1</v>
      </c>
      <c r="Q2368" s="5">
        <v>399</v>
      </c>
      <c r="R2368" s="74">
        <v>0.35</v>
      </c>
      <c r="S2368" s="75">
        <f>OrdersTable[[#This Row],[Quantity]]*OrdersTable[[#This Row],[Unit Price]]</f>
        <v>399</v>
      </c>
      <c r="T2368" s="5">
        <f>OrdersTable[[#This Row],[Gross Sale]]*OrdersTable[[#This Row],[Discount_Clean2]]</f>
        <v>139.64999999999998</v>
      </c>
      <c r="U2368" s="5">
        <f>OrdersTable[[#This Row],[Gross Sale]]-OrdersTable[[#This Row],[Discount Amount]]</f>
        <v>259.35000000000002</v>
      </c>
      <c r="V2368" s="77">
        <f>INDEX(Products!E:E,MATCH(OrdersTable[[#This Row],[Product ID]],Products!A:A,0))</f>
        <v>128</v>
      </c>
      <c r="W2368" s="77">
        <f>OrdersTable[[#This Row],[Quantity]]*OrdersTable[[#This Row],[Unit Cost]]</f>
        <v>128</v>
      </c>
      <c r="X2368" s="77">
        <f>'Dropdown Lists'!$I$2*(1+OrdersTable[[#This Row],[Returned]])</f>
        <v>60</v>
      </c>
      <c r="Y2368" s="76">
        <f>OrdersTable[[#This Row],[Net Revenue]]-OrdersTable[[#This Row],[COGS]]-OrdersTable[[#This Row],[Shipping Cost]]</f>
        <v>71.350000000000023</v>
      </c>
      <c r="Z2368" s="78">
        <f>IFERROR(OrdersTable[[#This Row],[Profit]]/OrdersTable[[#This Row],[Net Revenue]],0)</f>
        <v>0.27511085405822255</v>
      </c>
      <c r="AA2368" t="s">
        <v>18</v>
      </c>
      <c r="AB2368" s="79">
        <v>45698</v>
      </c>
      <c r="AC2368">
        <f>OrdersTable[[#This Row],[Delivery Date]]-OrdersTable[[#This Row],[Order Date]]</f>
        <v>5</v>
      </c>
      <c r="AD2368" t="str">
        <f>IF(OrdersTable[[#This Row],[Delivery Days]]&lt;=2, "Express (≤2d)", IF(OrdersTable[[#This Row],[Delivery Days]]&lt;=4, "Standard (3-4d)", "Delayed (5d+)"))</f>
        <v>Delayed (5d+)</v>
      </c>
      <c r="AE2368">
        <v>3</v>
      </c>
      <c r="AF2368">
        <v>0</v>
      </c>
    </row>
    <row r="2369" spans="1:32" ht="15" x14ac:dyDescent="0.35">
      <c r="A2369" t="s">
        <v>2356</v>
      </c>
      <c r="B2369" s="1">
        <v>45693</v>
      </c>
      <c r="C2369">
        <f>YEAR(OrdersTable[[#This Row],[Order Date]])</f>
        <v>2025</v>
      </c>
      <c r="D2369" s="2">
        <f>DATE(YEAR(OrdersTable[[#This Row],[Order Date]]),MONTH(OrdersTable[[#This Row],[Order Date]]),1)</f>
        <v>45689</v>
      </c>
      <c r="E2369">
        <f>MONTH(OrdersTable[[#This Row],[Order Date]])</f>
        <v>2</v>
      </c>
      <c r="F2369" t="s">
        <v>2357</v>
      </c>
      <c r="G2369" t="str">
        <f>IF(OrdersTable[[#This Row],[Order Date]]=_xlfn.MINIFS(Order_Date, Customer_ID, OrdersTable[[#This Row],[Customer ID]]), "New", "Repeat")</f>
        <v>Repeat</v>
      </c>
      <c r="H2369" t="s">
        <v>71</v>
      </c>
      <c r="I2369" t="str">
        <f>INDEX(State!B:B,MATCH(OrdersTable[[#This Row],[State]],State!A:A,0))</f>
        <v>MH</v>
      </c>
      <c r="J2369" t="str">
        <f>INDEX(State!C:C,MATCH(OrdersTable[[#This Row],[State Code]],State!B:B,0))</f>
        <v>West</v>
      </c>
      <c r="K2369" t="s">
        <v>102</v>
      </c>
      <c r="L2369" t="s">
        <v>16</v>
      </c>
      <c r="M2369" t="s">
        <v>92</v>
      </c>
      <c r="N2369" t="str">
        <f>INDEX(Products!B:B,MATCH(OrdersTable[[#This Row],[Product ID]],Products!A:A,0))</f>
        <v>Kolhapuri Sandals</v>
      </c>
      <c r="O2369" t="str">
        <f>INDEX(Products!C:C,MATCH(OrdersTable[[#This Row],[Product ID]],Products!A:A,0))</f>
        <v>Footwear</v>
      </c>
      <c r="P2369">
        <v>1</v>
      </c>
      <c r="Q2369" s="5">
        <v>999</v>
      </c>
      <c r="R2369" s="74">
        <v>0.15</v>
      </c>
      <c r="S2369" s="75">
        <f>OrdersTable[[#This Row],[Quantity]]*OrdersTable[[#This Row],[Unit Price]]</f>
        <v>999</v>
      </c>
      <c r="T2369" s="5">
        <f>OrdersTable[[#This Row],[Gross Sale]]*OrdersTable[[#This Row],[Discount_Clean2]]</f>
        <v>149.85</v>
      </c>
      <c r="U2369" s="5">
        <f>OrdersTable[[#This Row],[Gross Sale]]-OrdersTable[[#This Row],[Discount Amount]]</f>
        <v>849.15</v>
      </c>
      <c r="V2369" s="77">
        <f>INDEX(Products!E:E,MATCH(OrdersTable[[#This Row],[Product ID]],Products!A:A,0))</f>
        <v>400</v>
      </c>
      <c r="W2369" s="77">
        <f>OrdersTable[[#This Row],[Quantity]]*OrdersTable[[#This Row],[Unit Cost]]</f>
        <v>400</v>
      </c>
      <c r="X2369" s="77">
        <f>'Dropdown Lists'!$I$2*(1+OrdersTable[[#This Row],[Returned]])</f>
        <v>120</v>
      </c>
      <c r="Y2369" s="76">
        <f>OrdersTable[[#This Row],[Net Revenue]]-OrdersTable[[#This Row],[COGS]]-OrdersTable[[#This Row],[Shipping Cost]]</f>
        <v>329.15</v>
      </c>
      <c r="Z2369" s="78">
        <f>IFERROR(OrdersTable[[#This Row],[Profit]]/OrdersTable[[#This Row],[Net Revenue]],0)</f>
        <v>0.38762291703468171</v>
      </c>
      <c r="AA2369" t="s">
        <v>18</v>
      </c>
      <c r="AB2369" s="79">
        <v>45694</v>
      </c>
      <c r="AC2369">
        <f>OrdersTable[[#This Row],[Delivery Date]]-OrdersTable[[#This Row],[Order Date]]</f>
        <v>1</v>
      </c>
      <c r="AD2369" t="str">
        <f>IF(OrdersTable[[#This Row],[Delivery Days]]&lt;=2, "Express (≤2d)", IF(OrdersTable[[#This Row],[Delivery Days]]&lt;=4, "Standard (3-4d)", "Delayed (5d+)"))</f>
        <v>Express (≤2d)</v>
      </c>
      <c r="AE2369">
        <v>5</v>
      </c>
      <c r="AF2369">
        <v>1</v>
      </c>
    </row>
    <row r="2370" spans="1:32" ht="15" x14ac:dyDescent="0.35">
      <c r="A2370" t="s">
        <v>3252</v>
      </c>
      <c r="B2370" s="1">
        <v>45693</v>
      </c>
      <c r="C2370">
        <f>YEAR(OrdersTable[[#This Row],[Order Date]])</f>
        <v>2025</v>
      </c>
      <c r="D2370" s="2">
        <f>DATE(YEAR(OrdersTable[[#This Row],[Order Date]]),MONTH(OrdersTable[[#This Row],[Order Date]]),1)</f>
        <v>45689</v>
      </c>
      <c r="E2370">
        <f>MONTH(OrdersTable[[#This Row],[Order Date]])</f>
        <v>2</v>
      </c>
      <c r="F2370" t="s">
        <v>2378</v>
      </c>
      <c r="G2370" t="str">
        <f>IF(OrdersTable[[#This Row],[Order Date]]=_xlfn.MINIFS(Order_Date, Customer_ID, OrdersTable[[#This Row],[Customer ID]]), "New", "Repeat")</f>
        <v>Repeat</v>
      </c>
      <c r="H2370" t="s">
        <v>275</v>
      </c>
      <c r="I2370" t="str">
        <f>INDEX(State!B:B,MATCH(OrdersTable[[#This Row],[State]],State!A:A,0))</f>
        <v>AP</v>
      </c>
      <c r="J2370" t="str">
        <f>INDEX(State!C:C,MATCH(OrdersTable[[#This Row],[State Code]],State!B:B,0))</f>
        <v>South</v>
      </c>
      <c r="K2370" t="s">
        <v>491</v>
      </c>
      <c r="L2370" t="s">
        <v>23</v>
      </c>
      <c r="M2370" t="s">
        <v>24</v>
      </c>
      <c r="N2370" t="str">
        <f>INDEX(Products!B:B,MATCH(OrdersTable[[#This Row],[Product ID]],Products!A:A,0))</f>
        <v>Scented Candle Set</v>
      </c>
      <c r="O2370" t="str">
        <f>INDEX(Products!C:C,MATCH(OrdersTable[[#This Row],[Product ID]],Products!A:A,0))</f>
        <v>Home &amp; Kitchen</v>
      </c>
      <c r="P2370">
        <v>1</v>
      </c>
      <c r="Q2370" s="5">
        <v>699</v>
      </c>
      <c r="R2370" s="74">
        <v>0.3</v>
      </c>
      <c r="S2370" s="75">
        <f>OrdersTable[[#This Row],[Quantity]]*OrdersTable[[#This Row],[Unit Price]]</f>
        <v>699</v>
      </c>
      <c r="T2370" s="5">
        <f>OrdersTable[[#This Row],[Gross Sale]]*OrdersTable[[#This Row],[Discount_Clean2]]</f>
        <v>209.7</v>
      </c>
      <c r="U2370" s="5">
        <f>OrdersTable[[#This Row],[Gross Sale]]-OrdersTable[[#This Row],[Discount Amount]]</f>
        <v>489.3</v>
      </c>
      <c r="V2370" s="77">
        <f>INDEX(Products!E:E,MATCH(OrdersTable[[#This Row],[Product ID]],Products!A:A,0))</f>
        <v>245</v>
      </c>
      <c r="W2370" s="77">
        <f>OrdersTable[[#This Row],[Quantity]]*OrdersTable[[#This Row],[Unit Cost]]</f>
        <v>245</v>
      </c>
      <c r="X2370" s="77">
        <f>'Dropdown Lists'!$I$2*(1+OrdersTable[[#This Row],[Returned]])</f>
        <v>60</v>
      </c>
      <c r="Y2370" s="76">
        <f>OrdersTable[[#This Row],[Net Revenue]]-OrdersTable[[#This Row],[COGS]]-OrdersTable[[#This Row],[Shipping Cost]]</f>
        <v>184.3</v>
      </c>
      <c r="Z2370" s="78">
        <f>IFERROR(OrdersTable[[#This Row],[Profit]]/OrdersTable[[#This Row],[Net Revenue]],0)</f>
        <v>0.37666053545881872</v>
      </c>
      <c r="AA2370" t="s">
        <v>2522</v>
      </c>
      <c r="AB2370" s="79">
        <v>45697</v>
      </c>
      <c r="AC2370">
        <f>OrdersTable[[#This Row],[Delivery Date]]-OrdersTable[[#This Row],[Order Date]]</f>
        <v>4</v>
      </c>
      <c r="AD2370" t="str">
        <f>IF(OrdersTable[[#This Row],[Delivery Days]]&lt;=2, "Express (≤2d)", IF(OrdersTable[[#This Row],[Delivery Days]]&lt;=4, "Standard (3-4d)", "Delayed (5d+)"))</f>
        <v>Standard (3-4d)</v>
      </c>
      <c r="AE2370">
        <v>4</v>
      </c>
      <c r="AF2370">
        <v>0</v>
      </c>
    </row>
    <row r="2371" spans="1:32" ht="15" x14ac:dyDescent="0.35">
      <c r="A2371" t="s">
        <v>1709</v>
      </c>
      <c r="B2371" s="1">
        <v>45694</v>
      </c>
      <c r="C2371">
        <f>YEAR(OrdersTable[[#This Row],[Order Date]])</f>
        <v>2025</v>
      </c>
      <c r="D2371" s="2">
        <f>DATE(YEAR(OrdersTable[[#This Row],[Order Date]]),MONTH(OrdersTable[[#This Row],[Order Date]]),1)</f>
        <v>45689</v>
      </c>
      <c r="E2371">
        <f>MONTH(OrdersTable[[#This Row],[Order Date]])</f>
        <v>2</v>
      </c>
      <c r="F2371" t="s">
        <v>972</v>
      </c>
      <c r="G2371" t="str">
        <f>IF(OrdersTable[[#This Row],[Order Date]]=_xlfn.MINIFS(Order_Date, Customer_ID, OrdersTable[[#This Row],[Customer ID]]), "New", "Repeat")</f>
        <v>Repeat</v>
      </c>
      <c r="H2371" t="s">
        <v>21</v>
      </c>
      <c r="I2371" t="str">
        <f>INDEX(State!B:B,MATCH(OrdersTable[[#This Row],[State]],State!A:A,0))</f>
        <v>PB</v>
      </c>
      <c r="J2371" t="str">
        <f>INDEX(State!C:C,MATCH(OrdersTable[[#This Row],[State Code]],State!B:B,0))</f>
        <v>North</v>
      </c>
      <c r="K2371" t="s">
        <v>22</v>
      </c>
      <c r="L2371" t="s">
        <v>65</v>
      </c>
      <c r="M2371" t="s">
        <v>24</v>
      </c>
      <c r="N2371" t="str">
        <f>INDEX(Products!B:B,MATCH(OrdersTable[[#This Row],[Product ID]],Products!A:A,0))</f>
        <v>Scented Candle Set</v>
      </c>
      <c r="O2371" t="str">
        <f>INDEX(Products!C:C,MATCH(OrdersTable[[#This Row],[Product ID]],Products!A:A,0))</f>
        <v>Home &amp; Kitchen</v>
      </c>
      <c r="P2371">
        <v>1</v>
      </c>
      <c r="Q2371" s="5">
        <v>699</v>
      </c>
      <c r="R2371" s="74">
        <v>0.2</v>
      </c>
      <c r="S2371" s="75">
        <f>OrdersTable[[#This Row],[Quantity]]*OrdersTable[[#This Row],[Unit Price]]</f>
        <v>699</v>
      </c>
      <c r="T2371" s="5">
        <f>OrdersTable[[#This Row],[Gross Sale]]*OrdersTable[[#This Row],[Discount_Clean2]]</f>
        <v>139.80000000000001</v>
      </c>
      <c r="U2371" s="5">
        <f>OrdersTable[[#This Row],[Gross Sale]]-OrdersTable[[#This Row],[Discount Amount]]</f>
        <v>559.20000000000005</v>
      </c>
      <c r="V2371" s="77">
        <f>INDEX(Products!E:E,MATCH(OrdersTable[[#This Row],[Product ID]],Products!A:A,0))</f>
        <v>245</v>
      </c>
      <c r="W2371" s="77">
        <f>OrdersTable[[#This Row],[Quantity]]*OrdersTable[[#This Row],[Unit Cost]]</f>
        <v>245</v>
      </c>
      <c r="X2371" s="77">
        <f>'Dropdown Lists'!$I$2*(1+OrdersTable[[#This Row],[Returned]])</f>
        <v>60</v>
      </c>
      <c r="Y2371" s="76">
        <f>OrdersTable[[#This Row],[Net Revenue]]-OrdersTable[[#This Row],[COGS]]-OrdersTable[[#This Row],[Shipping Cost]]</f>
        <v>254.20000000000005</v>
      </c>
      <c r="Z2371" s="78">
        <f>IFERROR(OrdersTable[[#This Row],[Profit]]/OrdersTable[[#This Row],[Net Revenue]],0)</f>
        <v>0.45457796852646642</v>
      </c>
      <c r="AA2371" t="s">
        <v>18</v>
      </c>
      <c r="AB2371" s="79">
        <v>45697</v>
      </c>
      <c r="AC2371">
        <f>OrdersTable[[#This Row],[Delivery Date]]-OrdersTable[[#This Row],[Order Date]]</f>
        <v>3</v>
      </c>
      <c r="AD2371" t="str">
        <f>IF(OrdersTable[[#This Row],[Delivery Days]]&lt;=2, "Express (≤2d)", IF(OrdersTable[[#This Row],[Delivery Days]]&lt;=4, "Standard (3-4d)", "Delayed (5d+)"))</f>
        <v>Standard (3-4d)</v>
      </c>
      <c r="AF2371">
        <v>0</v>
      </c>
    </row>
    <row r="2372" spans="1:32" ht="15" x14ac:dyDescent="0.35">
      <c r="A2372" t="s">
        <v>5603</v>
      </c>
      <c r="B2372" s="1">
        <v>45694</v>
      </c>
      <c r="C2372">
        <f>YEAR(OrdersTable[[#This Row],[Order Date]])</f>
        <v>2025</v>
      </c>
      <c r="D2372" s="2">
        <f>DATE(YEAR(OrdersTable[[#This Row],[Order Date]]),MONTH(OrdersTable[[#This Row],[Order Date]]),1)</f>
        <v>45689</v>
      </c>
      <c r="E2372">
        <f>MONTH(OrdersTable[[#This Row],[Order Date]])</f>
        <v>2</v>
      </c>
      <c r="F2372" t="s">
        <v>4869</v>
      </c>
      <c r="G2372" t="str">
        <f>IF(OrdersTable[[#This Row],[Order Date]]=_xlfn.MINIFS(Order_Date, Customer_ID, OrdersTable[[#This Row],[Customer ID]]), "New", "Repeat")</f>
        <v>New</v>
      </c>
      <c r="H2372" t="s">
        <v>128</v>
      </c>
      <c r="I2372" t="str">
        <f>INDEX(State!B:B,MATCH(OrdersTable[[#This Row],[State]],State!A:A,0))</f>
        <v>DL</v>
      </c>
      <c r="J2372" t="str">
        <f>INDEX(State!C:C,MATCH(OrdersTable[[#This Row],[State Code]],State!B:B,0))</f>
        <v>North</v>
      </c>
      <c r="K2372" t="s">
        <v>129</v>
      </c>
      <c r="L2372" t="s">
        <v>65</v>
      </c>
      <c r="M2372" t="s">
        <v>51</v>
      </c>
      <c r="N2372" t="str">
        <f>INDEX(Products!B:B,MATCH(OrdersTable[[#This Row],[Product ID]],Products!A:A,0))</f>
        <v>Anti-Dandruff Conditioner</v>
      </c>
      <c r="O2372" t="str">
        <f>INDEX(Products!C:C,MATCH(OrdersTable[[#This Row],[Product ID]],Products!A:A,0))</f>
        <v>Haircare</v>
      </c>
      <c r="P2372">
        <v>2</v>
      </c>
      <c r="Q2372" s="5">
        <v>399</v>
      </c>
      <c r="R2372" s="74">
        <v>0.35</v>
      </c>
      <c r="S2372" s="75">
        <f>OrdersTable[[#This Row],[Quantity]]*OrdersTable[[#This Row],[Unit Price]]</f>
        <v>798</v>
      </c>
      <c r="T2372" s="5">
        <f>OrdersTable[[#This Row],[Gross Sale]]*OrdersTable[[#This Row],[Discount_Clean2]]</f>
        <v>279.29999999999995</v>
      </c>
      <c r="U2372" s="5">
        <f>OrdersTable[[#This Row],[Gross Sale]]-OrdersTable[[#This Row],[Discount Amount]]</f>
        <v>518.70000000000005</v>
      </c>
      <c r="V2372" s="77">
        <f>INDEX(Products!E:E,MATCH(OrdersTable[[#This Row],[Product ID]],Products!A:A,0))</f>
        <v>136</v>
      </c>
      <c r="W2372" s="77">
        <f>OrdersTable[[#This Row],[Quantity]]*OrdersTable[[#This Row],[Unit Cost]]</f>
        <v>272</v>
      </c>
      <c r="X2372" s="77">
        <f>'Dropdown Lists'!$I$2*(1+OrdersTable[[#This Row],[Returned]])</f>
        <v>60</v>
      </c>
      <c r="Y2372" s="76">
        <f>OrdersTable[[#This Row],[Net Revenue]]-OrdersTable[[#This Row],[COGS]]-OrdersTable[[#This Row],[Shipping Cost]]</f>
        <v>186.70000000000005</v>
      </c>
      <c r="Z2372" s="78">
        <f>IFERROR(OrdersTable[[#This Row],[Profit]]/OrdersTable[[#This Row],[Net Revenue]],0)</f>
        <v>0.35993830730672843</v>
      </c>
      <c r="AA2372" t="s">
        <v>2522</v>
      </c>
      <c r="AB2372" s="79">
        <v>45696</v>
      </c>
      <c r="AC2372">
        <f>OrdersTable[[#This Row],[Delivery Date]]-OrdersTable[[#This Row],[Order Date]]</f>
        <v>2</v>
      </c>
      <c r="AD2372" t="str">
        <f>IF(OrdersTable[[#This Row],[Delivery Days]]&lt;=2, "Express (≤2d)", IF(OrdersTable[[#This Row],[Delivery Days]]&lt;=4, "Standard (3-4d)", "Delayed (5d+)"))</f>
        <v>Express (≤2d)</v>
      </c>
      <c r="AE2372">
        <v>4</v>
      </c>
      <c r="AF2372">
        <v>0</v>
      </c>
    </row>
    <row r="2373" spans="1:32" ht="15" x14ac:dyDescent="0.35">
      <c r="A2373" t="s">
        <v>7084</v>
      </c>
      <c r="B2373" s="1">
        <v>45694</v>
      </c>
      <c r="C2373">
        <f>YEAR(OrdersTable[[#This Row],[Order Date]])</f>
        <v>2025</v>
      </c>
      <c r="D2373" s="2">
        <f>DATE(YEAR(OrdersTable[[#This Row],[Order Date]]),MONTH(OrdersTable[[#This Row],[Order Date]]),1)</f>
        <v>45689</v>
      </c>
      <c r="E2373">
        <f>MONTH(OrdersTable[[#This Row],[Order Date]])</f>
        <v>2</v>
      </c>
      <c r="F2373" t="s">
        <v>1345</v>
      </c>
      <c r="G2373" t="str">
        <f>IF(OrdersTable[[#This Row],[Order Date]]=_xlfn.MINIFS(Order_Date, Customer_ID, OrdersTable[[#This Row],[Customer ID]]), "New", "Repeat")</f>
        <v>Repeat</v>
      </c>
      <c r="H2373" t="s">
        <v>76</v>
      </c>
      <c r="I2373" t="str">
        <f>INDEX(State!B:B,MATCH(OrdersTable[[#This Row],[State]],State!A:A,0))</f>
        <v>UP</v>
      </c>
      <c r="J2373" t="str">
        <f>INDEX(State!C:C,MATCH(OrdersTable[[#This Row],[State Code]],State!B:B,0))</f>
        <v>North</v>
      </c>
      <c r="K2373" t="s">
        <v>77</v>
      </c>
      <c r="L2373" t="s">
        <v>65</v>
      </c>
      <c r="M2373" t="s">
        <v>29</v>
      </c>
      <c r="N2373" t="str">
        <f>INDEX(Products!B:B,MATCH(OrdersTable[[#This Row],[Product ID]],Products!A:A,0))</f>
        <v>Joggers</v>
      </c>
      <c r="O2373" t="str">
        <f>INDEX(Products!C:C,MATCH(OrdersTable[[#This Row],[Product ID]],Products!A:A,0))</f>
        <v>Apparel</v>
      </c>
      <c r="P2373">
        <v>4</v>
      </c>
      <c r="Q2373" s="5">
        <v>1199</v>
      </c>
      <c r="R2373" s="74">
        <v>0.2</v>
      </c>
      <c r="S2373" s="75">
        <f>OrdersTable[[#This Row],[Quantity]]*OrdersTable[[#This Row],[Unit Price]]</f>
        <v>4796</v>
      </c>
      <c r="T2373" s="5">
        <f>OrdersTable[[#This Row],[Gross Sale]]*OrdersTable[[#This Row],[Discount_Clean2]]</f>
        <v>959.2</v>
      </c>
      <c r="U2373" s="5">
        <f>OrdersTable[[#This Row],[Gross Sale]]-OrdersTable[[#This Row],[Discount Amount]]</f>
        <v>3836.8</v>
      </c>
      <c r="V2373" s="77">
        <f>INDEX(Products!E:E,MATCH(OrdersTable[[#This Row],[Product ID]],Products!A:A,0))</f>
        <v>492</v>
      </c>
      <c r="W2373" s="77">
        <f>OrdersTable[[#This Row],[Quantity]]*OrdersTable[[#This Row],[Unit Cost]]</f>
        <v>1968</v>
      </c>
      <c r="X2373" s="77">
        <f>'Dropdown Lists'!$I$2*(1+OrdersTable[[#This Row],[Returned]])</f>
        <v>60</v>
      </c>
      <c r="Y2373" s="76">
        <f>OrdersTable[[#This Row],[Net Revenue]]-OrdersTable[[#This Row],[COGS]]-OrdersTable[[#This Row],[Shipping Cost]]</f>
        <v>1808.8000000000002</v>
      </c>
      <c r="Z2373" s="78">
        <f>IFERROR(OrdersTable[[#This Row],[Profit]]/OrdersTable[[#This Row],[Net Revenue]],0)</f>
        <v>0.47143452877397835</v>
      </c>
      <c r="AA2373" t="s">
        <v>18</v>
      </c>
      <c r="AB2373" s="79">
        <v>45699</v>
      </c>
      <c r="AC2373">
        <f>OrdersTable[[#This Row],[Delivery Date]]-OrdersTable[[#This Row],[Order Date]]</f>
        <v>5</v>
      </c>
      <c r="AD2373" t="str">
        <f>IF(OrdersTable[[#This Row],[Delivery Days]]&lt;=2, "Express (≤2d)", IF(OrdersTable[[#This Row],[Delivery Days]]&lt;=4, "Standard (3-4d)", "Delayed (5d+)"))</f>
        <v>Delayed (5d+)</v>
      </c>
      <c r="AE2373">
        <v>3</v>
      </c>
      <c r="AF2373">
        <v>0</v>
      </c>
    </row>
    <row r="2374" spans="1:32" ht="15" x14ac:dyDescent="0.35">
      <c r="A2374" t="s">
        <v>6149</v>
      </c>
      <c r="B2374" s="1">
        <v>45694</v>
      </c>
      <c r="C2374">
        <f>YEAR(OrdersTable[[#This Row],[Order Date]])</f>
        <v>2025</v>
      </c>
      <c r="D2374" s="2">
        <f>DATE(YEAR(OrdersTable[[#This Row],[Order Date]]),MONTH(OrdersTable[[#This Row],[Order Date]]),1)</f>
        <v>45689</v>
      </c>
      <c r="E2374">
        <f>MONTH(OrdersTable[[#This Row],[Order Date]])</f>
        <v>2</v>
      </c>
      <c r="F2374" t="s">
        <v>6150</v>
      </c>
      <c r="G2374" t="str">
        <f>IF(OrdersTable[[#This Row],[Order Date]]=_xlfn.MINIFS(Order_Date, Customer_ID, OrdersTable[[#This Row],[Customer ID]]), "New", "Repeat")</f>
        <v>New</v>
      </c>
      <c r="H2374" t="s">
        <v>27</v>
      </c>
      <c r="I2374" t="str">
        <f>INDEX(State!B:B,MATCH(OrdersTable[[#This Row],[State]],State!A:A,0))</f>
        <v>WB</v>
      </c>
      <c r="J2374" t="str">
        <f>INDEX(State!C:C,MATCH(OrdersTable[[#This Row],[State Code]],State!B:B,0))</f>
        <v>East</v>
      </c>
      <c r="K2374" t="s">
        <v>28</v>
      </c>
      <c r="L2374" t="s">
        <v>23</v>
      </c>
      <c r="M2374" t="s">
        <v>92</v>
      </c>
      <c r="N2374" t="str">
        <f>INDEX(Products!B:B,MATCH(OrdersTable[[#This Row],[Product ID]],Products!A:A,0))</f>
        <v>Kolhapuri Sandals</v>
      </c>
      <c r="O2374" t="str">
        <f>INDEX(Products!C:C,MATCH(OrdersTable[[#This Row],[Product ID]],Products!A:A,0))</f>
        <v>Footwear</v>
      </c>
      <c r="P2374">
        <v>2</v>
      </c>
      <c r="Q2374" s="5">
        <v>999</v>
      </c>
      <c r="R2374" s="74">
        <v>0.05</v>
      </c>
      <c r="S2374" s="75">
        <f>OrdersTable[[#This Row],[Quantity]]*OrdersTable[[#This Row],[Unit Price]]</f>
        <v>1998</v>
      </c>
      <c r="T2374" s="5">
        <f>OrdersTable[[#This Row],[Gross Sale]]*OrdersTable[[#This Row],[Discount_Clean2]]</f>
        <v>99.9</v>
      </c>
      <c r="U2374" s="5">
        <f>OrdersTable[[#This Row],[Gross Sale]]-OrdersTable[[#This Row],[Discount Amount]]</f>
        <v>1898.1</v>
      </c>
      <c r="V2374" s="77">
        <f>INDEX(Products!E:E,MATCH(OrdersTable[[#This Row],[Product ID]],Products!A:A,0))</f>
        <v>400</v>
      </c>
      <c r="W2374" s="77">
        <f>OrdersTable[[#This Row],[Quantity]]*OrdersTable[[#This Row],[Unit Cost]]</f>
        <v>800</v>
      </c>
      <c r="X2374" s="77">
        <f>'Dropdown Lists'!$I$2*(1+OrdersTable[[#This Row],[Returned]])</f>
        <v>120</v>
      </c>
      <c r="Y2374" s="76">
        <f>OrdersTable[[#This Row],[Net Revenue]]-OrdersTable[[#This Row],[COGS]]-OrdersTable[[#This Row],[Shipping Cost]]</f>
        <v>978.09999999999991</v>
      </c>
      <c r="Z2374" s="78">
        <f>IFERROR(OrdersTable[[#This Row],[Profit]]/OrdersTable[[#This Row],[Net Revenue]],0)</f>
        <v>0.5153047784626732</v>
      </c>
      <c r="AA2374" t="s">
        <v>18</v>
      </c>
      <c r="AB2374" s="79">
        <v>45698</v>
      </c>
      <c r="AC2374">
        <f>OrdersTable[[#This Row],[Delivery Date]]-OrdersTable[[#This Row],[Order Date]]</f>
        <v>4</v>
      </c>
      <c r="AD2374" t="str">
        <f>IF(OrdersTable[[#This Row],[Delivery Days]]&lt;=2, "Express (≤2d)", IF(OrdersTable[[#This Row],[Delivery Days]]&lt;=4, "Standard (3-4d)", "Delayed (5d+)"))</f>
        <v>Standard (3-4d)</v>
      </c>
      <c r="AE2374">
        <v>4</v>
      </c>
      <c r="AF2374">
        <v>1</v>
      </c>
    </row>
    <row r="2375" spans="1:32" ht="15" x14ac:dyDescent="0.35">
      <c r="A2375" t="s">
        <v>807</v>
      </c>
      <c r="B2375" s="1">
        <v>45694</v>
      </c>
      <c r="C2375">
        <f>YEAR(OrdersTable[[#This Row],[Order Date]])</f>
        <v>2025</v>
      </c>
      <c r="D2375" s="2">
        <f>DATE(YEAR(OrdersTable[[#This Row],[Order Date]]),MONTH(OrdersTable[[#This Row],[Order Date]]),1)</f>
        <v>45689</v>
      </c>
      <c r="E2375">
        <f>MONTH(OrdersTable[[#This Row],[Order Date]])</f>
        <v>2</v>
      </c>
      <c r="F2375" t="s">
        <v>360</v>
      </c>
      <c r="G2375" t="str">
        <f>IF(OrdersTable[[#This Row],[Order Date]]=_xlfn.MINIFS(Order_Date, Customer_ID, OrdersTable[[#This Row],[Customer ID]]), "New", "Repeat")</f>
        <v>New</v>
      </c>
      <c r="H2375" t="s">
        <v>59</v>
      </c>
      <c r="I2375" t="str">
        <f>INDEX(State!B:B,MATCH(OrdersTable[[#This Row],[State]],State!A:A,0))</f>
        <v>TN</v>
      </c>
      <c r="J2375" t="str">
        <f>INDEX(State!C:C,MATCH(OrdersTable[[#This Row],[State Code]],State!B:B,0))</f>
        <v>South</v>
      </c>
      <c r="K2375" t="s">
        <v>64</v>
      </c>
      <c r="L2375" t="s">
        <v>65</v>
      </c>
      <c r="M2375" t="s">
        <v>87</v>
      </c>
      <c r="N2375" t="str">
        <f>INDEX(Products!B:B,MATCH(OrdersTable[[#This Row],[Product ID]],Products!A:A,0))</f>
        <v>Linen Kurta</v>
      </c>
      <c r="O2375" t="str">
        <f>INDEX(Products!C:C,MATCH(OrdersTable[[#This Row],[Product ID]],Products!A:A,0))</f>
        <v>Apparel</v>
      </c>
      <c r="P2375">
        <v>1</v>
      </c>
      <c r="Q2375" s="5">
        <v>1499</v>
      </c>
      <c r="R2375" s="74">
        <v>0.25</v>
      </c>
      <c r="S2375" s="75">
        <f>OrdersTable[[#This Row],[Quantity]]*OrdersTable[[#This Row],[Unit Price]]</f>
        <v>1499</v>
      </c>
      <c r="T2375" s="5">
        <f>OrdersTable[[#This Row],[Gross Sale]]*OrdersTable[[#This Row],[Discount_Clean2]]</f>
        <v>374.75</v>
      </c>
      <c r="U2375" s="5">
        <f>OrdersTable[[#This Row],[Gross Sale]]-OrdersTable[[#This Row],[Discount Amount]]</f>
        <v>1124.25</v>
      </c>
      <c r="V2375" s="77">
        <f>INDEX(Products!E:E,MATCH(OrdersTable[[#This Row],[Product ID]],Products!A:A,0))</f>
        <v>630</v>
      </c>
      <c r="W2375" s="77">
        <f>OrdersTable[[#This Row],[Quantity]]*OrdersTable[[#This Row],[Unit Cost]]</f>
        <v>630</v>
      </c>
      <c r="X2375" s="77">
        <f>'Dropdown Lists'!$I$2*(1+OrdersTable[[#This Row],[Returned]])</f>
        <v>60</v>
      </c>
      <c r="Y2375" s="76">
        <f>OrdersTable[[#This Row],[Net Revenue]]-OrdersTable[[#This Row],[COGS]]-OrdersTable[[#This Row],[Shipping Cost]]</f>
        <v>434.25</v>
      </c>
      <c r="Z2375" s="78">
        <f>IFERROR(OrdersTable[[#This Row],[Profit]]/OrdersTable[[#This Row],[Net Revenue]],0)</f>
        <v>0.38625750500333556</v>
      </c>
      <c r="AA2375" t="s">
        <v>18</v>
      </c>
      <c r="AB2375" s="79">
        <v>45695</v>
      </c>
      <c r="AC2375">
        <f>OrdersTable[[#This Row],[Delivery Date]]-OrdersTable[[#This Row],[Order Date]]</f>
        <v>1</v>
      </c>
      <c r="AD2375" t="str">
        <f>IF(OrdersTable[[#This Row],[Delivery Days]]&lt;=2, "Express (≤2d)", IF(OrdersTable[[#This Row],[Delivery Days]]&lt;=4, "Standard (3-4d)", "Delayed (5d+)"))</f>
        <v>Express (≤2d)</v>
      </c>
      <c r="AE2375">
        <v>4</v>
      </c>
      <c r="AF2375">
        <v>0</v>
      </c>
    </row>
    <row r="2376" spans="1:32" ht="15" x14ac:dyDescent="0.35">
      <c r="A2376" t="s">
        <v>6347</v>
      </c>
      <c r="B2376" s="1">
        <v>45694</v>
      </c>
      <c r="C2376">
        <f>YEAR(OrdersTable[[#This Row],[Order Date]])</f>
        <v>2025</v>
      </c>
      <c r="D2376" s="2">
        <f>DATE(YEAR(OrdersTable[[#This Row],[Order Date]]),MONTH(OrdersTable[[#This Row],[Order Date]]),1)</f>
        <v>45689</v>
      </c>
      <c r="E2376">
        <f>MONTH(OrdersTable[[#This Row],[Order Date]])</f>
        <v>2</v>
      </c>
      <c r="F2376" t="s">
        <v>3545</v>
      </c>
      <c r="G2376" t="str">
        <f>IF(OrdersTable[[#This Row],[Order Date]]=_xlfn.MINIFS(Order_Date, Customer_ID, OrdersTable[[#This Row],[Customer ID]]), "New", "Repeat")</f>
        <v>Repeat</v>
      </c>
      <c r="H2376" t="s">
        <v>59</v>
      </c>
      <c r="I2376" t="str">
        <f>INDEX(State!B:B,MATCH(OrdersTable[[#This Row],[State]],State!A:A,0))</f>
        <v>TN</v>
      </c>
      <c r="J2376" t="str">
        <f>INDEX(State!C:C,MATCH(OrdersTable[[#This Row],[State Code]],State!B:B,0))</f>
        <v>South</v>
      </c>
      <c r="K2376" t="s">
        <v>60</v>
      </c>
      <c r="L2376" t="s">
        <v>65</v>
      </c>
      <c r="M2376" t="s">
        <v>34</v>
      </c>
      <c r="N2376" t="str">
        <f>INDEX(Products!B:B,MATCH(OrdersTable[[#This Row],[Product ID]],Products!A:A,0))</f>
        <v>Flip Flops</v>
      </c>
      <c r="O2376" t="str">
        <f>INDEX(Products!C:C,MATCH(OrdersTable[[#This Row],[Product ID]],Products!A:A,0))</f>
        <v>Footwear</v>
      </c>
      <c r="P2376">
        <v>2</v>
      </c>
      <c r="Q2376" s="5">
        <v>399</v>
      </c>
      <c r="R2376" s="74">
        <v>0.1</v>
      </c>
      <c r="S2376" s="75">
        <f>OrdersTable[[#This Row],[Quantity]]*OrdersTable[[#This Row],[Unit Price]]</f>
        <v>798</v>
      </c>
      <c r="T2376" s="5">
        <f>OrdersTable[[#This Row],[Gross Sale]]*OrdersTable[[#This Row],[Discount_Clean2]]</f>
        <v>79.800000000000011</v>
      </c>
      <c r="U2376" s="5">
        <f>OrdersTable[[#This Row],[Gross Sale]]-OrdersTable[[#This Row],[Discount Amount]]</f>
        <v>718.2</v>
      </c>
      <c r="V2376" s="77">
        <f>INDEX(Products!E:E,MATCH(OrdersTable[[#This Row],[Product ID]],Products!A:A,0))</f>
        <v>152</v>
      </c>
      <c r="W2376" s="77">
        <f>OrdersTable[[#This Row],[Quantity]]*OrdersTable[[#This Row],[Unit Cost]]</f>
        <v>304</v>
      </c>
      <c r="X2376" s="77">
        <f>'Dropdown Lists'!$I$2*(1+OrdersTable[[#This Row],[Returned]])</f>
        <v>60</v>
      </c>
      <c r="Y2376" s="76">
        <f>OrdersTable[[#This Row],[Net Revenue]]-OrdersTable[[#This Row],[COGS]]-OrdersTable[[#This Row],[Shipping Cost]]</f>
        <v>354.20000000000005</v>
      </c>
      <c r="Z2376" s="78">
        <f>IFERROR(OrdersTable[[#This Row],[Profit]]/OrdersTable[[#This Row],[Net Revenue]],0)</f>
        <v>0.49317738791423005</v>
      </c>
      <c r="AA2376" t="s">
        <v>18</v>
      </c>
      <c r="AB2376" s="79">
        <v>45697</v>
      </c>
      <c r="AC2376">
        <f>OrdersTable[[#This Row],[Delivery Date]]-OrdersTable[[#This Row],[Order Date]]</f>
        <v>3</v>
      </c>
      <c r="AD2376" t="str">
        <f>IF(OrdersTable[[#This Row],[Delivery Days]]&lt;=2, "Express (≤2d)", IF(OrdersTable[[#This Row],[Delivery Days]]&lt;=4, "Standard (3-4d)", "Delayed (5d+)"))</f>
        <v>Standard (3-4d)</v>
      </c>
      <c r="AE2376">
        <v>5</v>
      </c>
      <c r="AF2376">
        <v>0</v>
      </c>
    </row>
    <row r="2377" spans="1:32" ht="15" x14ac:dyDescent="0.35">
      <c r="A2377" t="s">
        <v>2358</v>
      </c>
      <c r="B2377" s="1">
        <v>45695</v>
      </c>
      <c r="C2377">
        <f>YEAR(OrdersTable[[#This Row],[Order Date]])</f>
        <v>2025</v>
      </c>
      <c r="D2377" s="2">
        <f>DATE(YEAR(OrdersTable[[#This Row],[Order Date]]),MONTH(OrdersTable[[#This Row],[Order Date]]),1)</f>
        <v>45689</v>
      </c>
      <c r="E2377">
        <f>MONTH(OrdersTable[[#This Row],[Order Date]])</f>
        <v>2</v>
      </c>
      <c r="F2377" t="s">
        <v>2359</v>
      </c>
      <c r="G2377" t="str">
        <f>IF(OrdersTable[[#This Row],[Order Date]]=_xlfn.MINIFS(Order_Date, Customer_ID, OrdersTable[[#This Row],[Customer ID]]), "New", "Repeat")</f>
        <v>New</v>
      </c>
      <c r="H2377" t="s">
        <v>128</v>
      </c>
      <c r="I2377" t="str">
        <f>INDEX(State!B:B,MATCH(OrdersTable[[#This Row],[State]],State!A:A,0))</f>
        <v>DL</v>
      </c>
      <c r="J2377" t="str">
        <f>INDEX(State!C:C,MATCH(OrdersTable[[#This Row],[State Code]],State!B:B,0))</f>
        <v>North</v>
      </c>
      <c r="K2377" t="s">
        <v>129</v>
      </c>
      <c r="L2377" t="s">
        <v>16</v>
      </c>
      <c r="M2377" t="s">
        <v>29</v>
      </c>
      <c r="N2377" t="str">
        <f>INDEX(Products!B:B,MATCH(OrdersTable[[#This Row],[Product ID]],Products!A:A,0))</f>
        <v>Joggers</v>
      </c>
      <c r="O2377" t="str">
        <f>INDEX(Products!C:C,MATCH(OrdersTable[[#This Row],[Product ID]],Products!A:A,0))</f>
        <v>Apparel</v>
      </c>
      <c r="P2377">
        <v>1</v>
      </c>
      <c r="Q2377" s="5">
        <v>1199</v>
      </c>
      <c r="R2377" s="74">
        <v>0.1</v>
      </c>
      <c r="S2377" s="75">
        <f>OrdersTable[[#This Row],[Quantity]]*OrdersTable[[#This Row],[Unit Price]]</f>
        <v>1199</v>
      </c>
      <c r="T2377" s="5">
        <f>OrdersTable[[#This Row],[Gross Sale]]*OrdersTable[[#This Row],[Discount_Clean2]]</f>
        <v>119.9</v>
      </c>
      <c r="U2377" s="5">
        <f>OrdersTable[[#This Row],[Gross Sale]]-OrdersTable[[#This Row],[Discount Amount]]</f>
        <v>1079.0999999999999</v>
      </c>
      <c r="V2377" s="77">
        <f>INDEX(Products!E:E,MATCH(OrdersTable[[#This Row],[Product ID]],Products!A:A,0))</f>
        <v>492</v>
      </c>
      <c r="W2377" s="77">
        <f>OrdersTable[[#This Row],[Quantity]]*OrdersTable[[#This Row],[Unit Cost]]</f>
        <v>492</v>
      </c>
      <c r="X2377" s="77">
        <f>'Dropdown Lists'!$I$2*(1+OrdersTable[[#This Row],[Returned]])</f>
        <v>60</v>
      </c>
      <c r="Y2377" s="76">
        <f>OrdersTable[[#This Row],[Net Revenue]]-OrdersTable[[#This Row],[COGS]]-OrdersTable[[#This Row],[Shipping Cost]]</f>
        <v>527.09999999999991</v>
      </c>
      <c r="Z2377" s="78">
        <f>IFERROR(OrdersTable[[#This Row],[Profit]]/OrdersTable[[#This Row],[Net Revenue]],0)</f>
        <v>0.48846260772866273</v>
      </c>
      <c r="AA2377" t="s">
        <v>18</v>
      </c>
      <c r="AB2377" s="79">
        <v>45698</v>
      </c>
      <c r="AC2377">
        <f>OrdersTable[[#This Row],[Delivery Date]]-OrdersTable[[#This Row],[Order Date]]</f>
        <v>3</v>
      </c>
      <c r="AD2377" t="str">
        <f>IF(OrdersTable[[#This Row],[Delivery Days]]&lt;=2, "Express (≤2d)", IF(OrdersTable[[#This Row],[Delivery Days]]&lt;=4, "Standard (3-4d)", "Delayed (5d+)"))</f>
        <v>Standard (3-4d)</v>
      </c>
      <c r="AE2377">
        <v>5</v>
      </c>
      <c r="AF2377">
        <v>0</v>
      </c>
    </row>
    <row r="2378" spans="1:32" ht="15" x14ac:dyDescent="0.35">
      <c r="A2378" t="s">
        <v>1259</v>
      </c>
      <c r="B2378" s="1">
        <v>45695</v>
      </c>
      <c r="C2378">
        <f>YEAR(OrdersTable[[#This Row],[Order Date]])</f>
        <v>2025</v>
      </c>
      <c r="D2378" s="2">
        <f>DATE(YEAR(OrdersTable[[#This Row],[Order Date]]),MONTH(OrdersTable[[#This Row],[Order Date]]),1)</f>
        <v>45689</v>
      </c>
      <c r="E2378">
        <f>MONTH(OrdersTable[[#This Row],[Order Date]])</f>
        <v>2</v>
      </c>
      <c r="F2378" t="s">
        <v>1260</v>
      </c>
      <c r="G2378" t="str">
        <f>IF(OrdersTable[[#This Row],[Order Date]]=_xlfn.MINIFS(Order_Date, Customer_ID, OrdersTable[[#This Row],[Customer ID]]), "New", "Repeat")</f>
        <v>New</v>
      </c>
      <c r="H2378" t="s">
        <v>128</v>
      </c>
      <c r="I2378" t="str">
        <f>INDEX(State!B:B,MATCH(OrdersTable[[#This Row],[State]],State!A:A,0))</f>
        <v>DL</v>
      </c>
      <c r="J2378" t="str">
        <f>INDEX(State!C:C,MATCH(OrdersTable[[#This Row],[State Code]],State!B:B,0))</f>
        <v>North</v>
      </c>
      <c r="K2378" t="s">
        <v>129</v>
      </c>
      <c r="L2378" t="s">
        <v>16</v>
      </c>
      <c r="M2378" t="s">
        <v>576</v>
      </c>
      <c r="N2378" t="str">
        <f>INDEX(Products!B:B,MATCH(OrdersTable[[#This Row],[Product ID]],Products!A:A,0))</f>
        <v>Printed Saree</v>
      </c>
      <c r="O2378" t="str">
        <f>INDEX(Products!C:C,MATCH(OrdersTable[[#This Row],[Product ID]],Products!A:A,0))</f>
        <v>Apparel</v>
      </c>
      <c r="P2378">
        <v>1</v>
      </c>
      <c r="Q2378" s="5">
        <v>1999</v>
      </c>
      <c r="R2378" s="74">
        <v>0.1</v>
      </c>
      <c r="S2378" s="75">
        <f>OrdersTable[[#This Row],[Quantity]]*OrdersTable[[#This Row],[Unit Price]]</f>
        <v>1999</v>
      </c>
      <c r="T2378" s="5">
        <f>OrdersTable[[#This Row],[Gross Sale]]*OrdersTable[[#This Row],[Discount_Clean2]]</f>
        <v>199.9</v>
      </c>
      <c r="U2378" s="5">
        <f>OrdersTable[[#This Row],[Gross Sale]]-OrdersTable[[#This Row],[Discount Amount]]</f>
        <v>1799.1</v>
      </c>
      <c r="V2378" s="77">
        <f>INDEX(Products!E:E,MATCH(OrdersTable[[#This Row],[Product ID]],Products!A:A,0))</f>
        <v>880</v>
      </c>
      <c r="W2378" s="77">
        <f>OrdersTable[[#This Row],[Quantity]]*OrdersTable[[#This Row],[Unit Cost]]</f>
        <v>880</v>
      </c>
      <c r="X2378" s="77">
        <f>'Dropdown Lists'!$I$2*(1+OrdersTable[[#This Row],[Returned]])</f>
        <v>60</v>
      </c>
      <c r="Y2378" s="76">
        <f>OrdersTable[[#This Row],[Net Revenue]]-OrdersTable[[#This Row],[COGS]]-OrdersTable[[#This Row],[Shipping Cost]]</f>
        <v>859.09999999999991</v>
      </c>
      <c r="Z2378" s="78">
        <f>IFERROR(OrdersTable[[#This Row],[Profit]]/OrdersTable[[#This Row],[Net Revenue]],0)</f>
        <v>0.47751653604580063</v>
      </c>
      <c r="AA2378" t="s">
        <v>18</v>
      </c>
      <c r="AB2378" s="79">
        <v>45698</v>
      </c>
      <c r="AC2378">
        <f>OrdersTable[[#This Row],[Delivery Date]]-OrdersTable[[#This Row],[Order Date]]</f>
        <v>3</v>
      </c>
      <c r="AD2378" t="str">
        <f>IF(OrdersTable[[#This Row],[Delivery Days]]&lt;=2, "Express (≤2d)", IF(OrdersTable[[#This Row],[Delivery Days]]&lt;=4, "Standard (3-4d)", "Delayed (5d+)"))</f>
        <v>Standard (3-4d)</v>
      </c>
      <c r="AF2378">
        <v>0</v>
      </c>
    </row>
    <row r="2379" spans="1:32" ht="15" x14ac:dyDescent="0.35">
      <c r="A2379" t="s">
        <v>4015</v>
      </c>
      <c r="B2379" s="1">
        <v>45695</v>
      </c>
      <c r="C2379">
        <f>YEAR(OrdersTable[[#This Row],[Order Date]])</f>
        <v>2025</v>
      </c>
      <c r="D2379" s="2">
        <f>DATE(YEAR(OrdersTable[[#This Row],[Order Date]]),MONTH(OrdersTable[[#This Row],[Order Date]]),1)</f>
        <v>45689</v>
      </c>
      <c r="E2379">
        <f>MONTH(OrdersTable[[#This Row],[Order Date]])</f>
        <v>2</v>
      </c>
      <c r="F2379" t="s">
        <v>4016</v>
      </c>
      <c r="G2379" t="str">
        <f>IF(OrdersTable[[#This Row],[Order Date]]=_xlfn.MINIFS(Order_Date, Customer_ID, OrdersTable[[#This Row],[Customer ID]]), "New", "Repeat")</f>
        <v>Repeat</v>
      </c>
      <c r="H2379" t="s">
        <v>76</v>
      </c>
      <c r="I2379" t="str">
        <f>INDEX(State!B:B,MATCH(OrdersTable[[#This Row],[State]],State!A:A,0))</f>
        <v>UP</v>
      </c>
      <c r="J2379" t="str">
        <f>INDEX(State!C:C,MATCH(OrdersTable[[#This Row],[State Code]],State!B:B,0))</f>
        <v>North</v>
      </c>
      <c r="K2379" t="s">
        <v>77</v>
      </c>
      <c r="L2379" t="s">
        <v>50</v>
      </c>
      <c r="M2379" t="s">
        <v>106</v>
      </c>
      <c r="N2379" t="str">
        <f>INDEX(Products!B:B,MATCH(OrdersTable[[#This Row],[Product ID]],Products!A:A,0))</f>
        <v>Keratin Hair Mask</v>
      </c>
      <c r="O2379" t="str">
        <f>INDEX(Products!C:C,MATCH(OrdersTable[[#This Row],[Product ID]],Products!A:A,0))</f>
        <v>Haircare</v>
      </c>
      <c r="P2379">
        <v>1</v>
      </c>
      <c r="Q2379" s="5">
        <v>549</v>
      </c>
      <c r="R2379" s="74">
        <v>0.15</v>
      </c>
      <c r="S2379" s="75">
        <f>OrdersTable[[#This Row],[Quantity]]*OrdersTable[[#This Row],[Unit Price]]</f>
        <v>549</v>
      </c>
      <c r="T2379" s="5">
        <f>OrdersTable[[#This Row],[Gross Sale]]*OrdersTable[[#This Row],[Discount_Clean2]]</f>
        <v>82.35</v>
      </c>
      <c r="U2379" s="5">
        <f>OrdersTable[[#This Row],[Gross Sale]]-OrdersTable[[#This Row],[Discount Amount]]</f>
        <v>466.65</v>
      </c>
      <c r="V2379" s="77">
        <f>INDEX(Products!E:E,MATCH(OrdersTable[[#This Row],[Product ID]],Products!A:A,0))</f>
        <v>170</v>
      </c>
      <c r="W2379" s="77">
        <f>OrdersTable[[#This Row],[Quantity]]*OrdersTable[[#This Row],[Unit Cost]]</f>
        <v>170</v>
      </c>
      <c r="X2379" s="77">
        <f>'Dropdown Lists'!$I$2*(1+OrdersTable[[#This Row],[Returned]])</f>
        <v>60</v>
      </c>
      <c r="Y2379" s="76">
        <f>OrdersTable[[#This Row],[Net Revenue]]-OrdersTable[[#This Row],[COGS]]-OrdersTable[[#This Row],[Shipping Cost]]</f>
        <v>236.64999999999998</v>
      </c>
      <c r="Z2379" s="78">
        <f>IFERROR(OrdersTable[[#This Row],[Profit]]/OrdersTable[[#This Row],[Net Revenue]],0)</f>
        <v>0.50712525447337398</v>
      </c>
      <c r="AA2379" t="s">
        <v>3495</v>
      </c>
      <c r="AB2379" s="79">
        <v>45697</v>
      </c>
      <c r="AC2379">
        <f>OrdersTable[[#This Row],[Delivery Date]]-OrdersTable[[#This Row],[Order Date]]</f>
        <v>2</v>
      </c>
      <c r="AD2379" t="str">
        <f>IF(OrdersTable[[#This Row],[Delivery Days]]&lt;=2, "Express (≤2d)", IF(OrdersTable[[#This Row],[Delivery Days]]&lt;=4, "Standard (3-4d)", "Delayed (5d+)"))</f>
        <v>Express (≤2d)</v>
      </c>
      <c r="AE2379">
        <v>5</v>
      </c>
      <c r="AF2379">
        <v>0</v>
      </c>
    </row>
    <row r="2380" spans="1:32" ht="15" x14ac:dyDescent="0.35">
      <c r="A2380" t="s">
        <v>6348</v>
      </c>
      <c r="B2380" s="1">
        <v>45695</v>
      </c>
      <c r="C2380">
        <f>YEAR(OrdersTable[[#This Row],[Order Date]])</f>
        <v>2025</v>
      </c>
      <c r="D2380" s="2">
        <f>DATE(YEAR(OrdersTable[[#This Row],[Order Date]]),MONTH(OrdersTable[[#This Row],[Order Date]]),1)</f>
        <v>45689</v>
      </c>
      <c r="E2380">
        <f>MONTH(OrdersTable[[#This Row],[Order Date]])</f>
        <v>2</v>
      </c>
      <c r="F2380" t="s">
        <v>752</v>
      </c>
      <c r="G2380" t="str">
        <f>IF(OrdersTable[[#This Row],[Order Date]]=_xlfn.MINIFS(Order_Date, Customer_ID, OrdersTable[[#This Row],[Customer ID]]), "New", "Repeat")</f>
        <v>Repeat</v>
      </c>
      <c r="H2380" t="s">
        <v>76</v>
      </c>
      <c r="I2380" t="str">
        <f>INDEX(State!B:B,MATCH(OrdersTable[[#This Row],[State]],State!A:A,0))</f>
        <v>UP</v>
      </c>
      <c r="J2380" t="str">
        <f>INDEX(State!C:C,MATCH(OrdersTable[[#This Row],[State Code]],State!B:B,0))</f>
        <v>North</v>
      </c>
      <c r="K2380" t="s">
        <v>77</v>
      </c>
      <c r="L2380" t="s">
        <v>65</v>
      </c>
      <c r="M2380" t="s">
        <v>51</v>
      </c>
      <c r="N2380" t="str">
        <f>INDEX(Products!B:B,MATCH(OrdersTable[[#This Row],[Product ID]],Products!A:A,0))</f>
        <v>Anti-Dandruff Conditioner</v>
      </c>
      <c r="O2380" t="str">
        <f>INDEX(Products!C:C,MATCH(OrdersTable[[#This Row],[Product ID]],Products!A:A,0))</f>
        <v>Haircare</v>
      </c>
      <c r="P2380">
        <v>2</v>
      </c>
      <c r="Q2380" s="5">
        <v>399</v>
      </c>
      <c r="R2380" s="74">
        <v>0.3</v>
      </c>
      <c r="S2380" s="75">
        <f>OrdersTable[[#This Row],[Quantity]]*OrdersTable[[#This Row],[Unit Price]]</f>
        <v>798</v>
      </c>
      <c r="T2380" s="5">
        <f>OrdersTable[[#This Row],[Gross Sale]]*OrdersTable[[#This Row],[Discount_Clean2]]</f>
        <v>239.39999999999998</v>
      </c>
      <c r="U2380" s="5">
        <f>OrdersTable[[#This Row],[Gross Sale]]-OrdersTable[[#This Row],[Discount Amount]]</f>
        <v>558.6</v>
      </c>
      <c r="V2380" s="77">
        <f>INDEX(Products!E:E,MATCH(OrdersTable[[#This Row],[Product ID]],Products!A:A,0))</f>
        <v>136</v>
      </c>
      <c r="W2380" s="77">
        <f>OrdersTable[[#This Row],[Quantity]]*OrdersTable[[#This Row],[Unit Cost]]</f>
        <v>272</v>
      </c>
      <c r="X2380" s="77">
        <f>'Dropdown Lists'!$I$2*(1+OrdersTable[[#This Row],[Returned]])</f>
        <v>60</v>
      </c>
      <c r="Y2380" s="76">
        <f>OrdersTable[[#This Row],[Net Revenue]]-OrdersTable[[#This Row],[COGS]]-OrdersTable[[#This Row],[Shipping Cost]]</f>
        <v>226.60000000000002</v>
      </c>
      <c r="Z2380" s="78">
        <f>IFERROR(OrdersTable[[#This Row],[Profit]]/OrdersTable[[#This Row],[Net Revenue]],0)</f>
        <v>0.40565699964196206</v>
      </c>
      <c r="AA2380" t="s">
        <v>18</v>
      </c>
      <c r="AB2380" s="79">
        <v>45699</v>
      </c>
      <c r="AC2380">
        <f>OrdersTable[[#This Row],[Delivery Date]]-OrdersTable[[#This Row],[Order Date]]</f>
        <v>4</v>
      </c>
      <c r="AD2380" t="str">
        <f>IF(OrdersTable[[#This Row],[Delivery Days]]&lt;=2, "Express (≤2d)", IF(OrdersTable[[#This Row],[Delivery Days]]&lt;=4, "Standard (3-4d)", "Delayed (5d+)"))</f>
        <v>Standard (3-4d)</v>
      </c>
      <c r="AE2380">
        <v>4</v>
      </c>
      <c r="AF2380">
        <v>0</v>
      </c>
    </row>
    <row r="2381" spans="1:32" ht="15" x14ac:dyDescent="0.35">
      <c r="A2381" t="s">
        <v>4388</v>
      </c>
      <c r="B2381" s="1">
        <v>45695</v>
      </c>
      <c r="C2381">
        <f>YEAR(OrdersTable[[#This Row],[Order Date]])</f>
        <v>2025</v>
      </c>
      <c r="D2381" s="2">
        <f>DATE(YEAR(OrdersTable[[#This Row],[Order Date]]),MONTH(OrdersTable[[#This Row],[Order Date]]),1)</f>
        <v>45689</v>
      </c>
      <c r="E2381">
        <f>MONTH(OrdersTable[[#This Row],[Order Date]])</f>
        <v>2</v>
      </c>
      <c r="F2381" t="s">
        <v>972</v>
      </c>
      <c r="G2381" t="str">
        <f>IF(OrdersTable[[#This Row],[Order Date]]=_xlfn.MINIFS(Order_Date, Customer_ID, OrdersTable[[#This Row],[Customer ID]]), "New", "Repeat")</f>
        <v>Repeat</v>
      </c>
      <c r="H2381" t="s">
        <v>43</v>
      </c>
      <c r="I2381" t="str">
        <f>INDEX(State!B:B,MATCH(OrdersTable[[#This Row],[State]],State!A:A,0))</f>
        <v>MP</v>
      </c>
      <c r="J2381" t="str">
        <f>INDEX(State!C:C,MATCH(OrdersTable[[#This Row],[State Code]],State!B:B,0))</f>
        <v>West</v>
      </c>
      <c r="K2381" t="s">
        <v>250</v>
      </c>
      <c r="L2381" t="s">
        <v>16</v>
      </c>
      <c r="M2381" t="s">
        <v>92</v>
      </c>
      <c r="N2381" t="str">
        <f>INDEX(Products!B:B,MATCH(OrdersTable[[#This Row],[Product ID]],Products!A:A,0))</f>
        <v>Kolhapuri Sandals</v>
      </c>
      <c r="O2381" t="str">
        <f>INDEX(Products!C:C,MATCH(OrdersTable[[#This Row],[Product ID]],Products!A:A,0))</f>
        <v>Footwear</v>
      </c>
      <c r="P2381">
        <v>1</v>
      </c>
      <c r="Q2381" s="5">
        <v>999</v>
      </c>
      <c r="R2381" s="74">
        <v>0.1</v>
      </c>
      <c r="S2381" s="75">
        <f>OrdersTable[[#This Row],[Quantity]]*OrdersTable[[#This Row],[Unit Price]]</f>
        <v>999</v>
      </c>
      <c r="T2381" s="5">
        <f>OrdersTable[[#This Row],[Gross Sale]]*OrdersTable[[#This Row],[Discount_Clean2]]</f>
        <v>99.9</v>
      </c>
      <c r="U2381" s="5">
        <f>OrdersTable[[#This Row],[Gross Sale]]-OrdersTable[[#This Row],[Discount Amount]]</f>
        <v>899.1</v>
      </c>
      <c r="V2381" s="77">
        <f>INDEX(Products!E:E,MATCH(OrdersTable[[#This Row],[Product ID]],Products!A:A,0))</f>
        <v>400</v>
      </c>
      <c r="W2381" s="77">
        <f>OrdersTable[[#This Row],[Quantity]]*OrdersTable[[#This Row],[Unit Cost]]</f>
        <v>400</v>
      </c>
      <c r="X2381" s="77">
        <f>'Dropdown Lists'!$I$2*(1+OrdersTable[[#This Row],[Returned]])</f>
        <v>60</v>
      </c>
      <c r="Y2381" s="76">
        <f>OrdersTable[[#This Row],[Net Revenue]]-OrdersTable[[#This Row],[COGS]]-OrdersTable[[#This Row],[Shipping Cost]]</f>
        <v>439.1</v>
      </c>
      <c r="Z2381" s="78">
        <f>IFERROR(OrdersTable[[#This Row],[Profit]]/OrdersTable[[#This Row],[Net Revenue]],0)</f>
        <v>0.48837726615504395</v>
      </c>
      <c r="AA2381" t="s">
        <v>4074</v>
      </c>
      <c r="AB2381" s="79">
        <v>45697</v>
      </c>
      <c r="AC2381">
        <f>OrdersTable[[#This Row],[Delivery Date]]-OrdersTable[[#This Row],[Order Date]]</f>
        <v>2</v>
      </c>
      <c r="AD2381" t="str">
        <f>IF(OrdersTable[[#This Row],[Delivery Days]]&lt;=2, "Express (≤2d)", IF(OrdersTable[[#This Row],[Delivery Days]]&lt;=4, "Standard (3-4d)", "Delayed (5d+)"))</f>
        <v>Express (≤2d)</v>
      </c>
      <c r="AE2381">
        <v>4</v>
      </c>
      <c r="AF2381">
        <v>0</v>
      </c>
    </row>
    <row r="2382" spans="1:32" ht="15" x14ac:dyDescent="0.35">
      <c r="A2382" t="s">
        <v>6562</v>
      </c>
      <c r="B2382" s="1">
        <v>45695</v>
      </c>
      <c r="C2382">
        <f>YEAR(OrdersTable[[#This Row],[Order Date]])</f>
        <v>2025</v>
      </c>
      <c r="D2382" s="2">
        <f>DATE(YEAR(OrdersTable[[#This Row],[Order Date]]),MONTH(OrdersTable[[#This Row],[Order Date]]),1)</f>
        <v>45689</v>
      </c>
      <c r="E2382">
        <f>MONTH(OrdersTable[[#This Row],[Order Date]])</f>
        <v>2</v>
      </c>
      <c r="F2382" t="s">
        <v>388</v>
      </c>
      <c r="G2382" t="str">
        <f>IF(OrdersTable[[#This Row],[Order Date]]=_xlfn.MINIFS(Order_Date, Customer_ID, OrdersTable[[#This Row],[Customer ID]]), "New", "Repeat")</f>
        <v>Repeat</v>
      </c>
      <c r="H2382" t="s">
        <v>27</v>
      </c>
      <c r="I2382" t="str">
        <f>INDEX(State!B:B,MATCH(OrdersTable[[#This Row],[State]],State!A:A,0))</f>
        <v>WB</v>
      </c>
      <c r="J2382" t="str">
        <f>INDEX(State!C:C,MATCH(OrdersTable[[#This Row],[State Code]],State!B:B,0))</f>
        <v>East</v>
      </c>
      <c r="K2382" t="s">
        <v>28</v>
      </c>
      <c r="L2382" t="s">
        <v>16</v>
      </c>
      <c r="M2382" t="s">
        <v>87</v>
      </c>
      <c r="N2382" t="str">
        <f>INDEX(Products!B:B,MATCH(OrdersTable[[#This Row],[Product ID]],Products!A:A,0))</f>
        <v>Linen Kurta</v>
      </c>
      <c r="O2382" t="str">
        <f>INDEX(Products!C:C,MATCH(OrdersTable[[#This Row],[Product ID]],Products!A:A,0))</f>
        <v>Apparel</v>
      </c>
      <c r="P2382">
        <v>3</v>
      </c>
      <c r="Q2382" s="5">
        <v>1499</v>
      </c>
      <c r="R2382" s="74">
        <v>0.4</v>
      </c>
      <c r="S2382" s="75">
        <f>OrdersTable[[#This Row],[Quantity]]*OrdersTable[[#This Row],[Unit Price]]</f>
        <v>4497</v>
      </c>
      <c r="T2382" s="5">
        <f>OrdersTable[[#This Row],[Gross Sale]]*OrdersTable[[#This Row],[Discount_Clean2]]</f>
        <v>1798.8000000000002</v>
      </c>
      <c r="U2382" s="5">
        <f>OrdersTable[[#This Row],[Gross Sale]]-OrdersTable[[#This Row],[Discount Amount]]</f>
        <v>2698.2</v>
      </c>
      <c r="V2382" s="77">
        <f>INDEX(Products!E:E,MATCH(OrdersTable[[#This Row],[Product ID]],Products!A:A,0))</f>
        <v>630</v>
      </c>
      <c r="W2382" s="77">
        <f>OrdersTable[[#This Row],[Quantity]]*OrdersTable[[#This Row],[Unit Cost]]</f>
        <v>1890</v>
      </c>
      <c r="X2382" s="77">
        <f>'Dropdown Lists'!$I$2*(1+OrdersTable[[#This Row],[Returned]])</f>
        <v>60</v>
      </c>
      <c r="Y2382" s="76">
        <f>OrdersTable[[#This Row],[Net Revenue]]-OrdersTable[[#This Row],[COGS]]-OrdersTable[[#This Row],[Shipping Cost]]</f>
        <v>748.19999999999982</v>
      </c>
      <c r="Z2382" s="78">
        <f>IFERROR(OrdersTable[[#This Row],[Profit]]/OrdersTable[[#This Row],[Net Revenue]],0)</f>
        <v>0.27729597509450737</v>
      </c>
      <c r="AA2382" t="s">
        <v>18</v>
      </c>
      <c r="AB2382" s="79">
        <v>45698</v>
      </c>
      <c r="AC2382">
        <f>OrdersTable[[#This Row],[Delivery Date]]-OrdersTable[[#This Row],[Order Date]]</f>
        <v>3</v>
      </c>
      <c r="AD2382" t="str">
        <f>IF(OrdersTable[[#This Row],[Delivery Days]]&lt;=2, "Express (≤2d)", IF(OrdersTable[[#This Row],[Delivery Days]]&lt;=4, "Standard (3-4d)", "Delayed (5d+)"))</f>
        <v>Standard (3-4d)</v>
      </c>
      <c r="AE2382">
        <v>4</v>
      </c>
      <c r="AF2382">
        <v>0</v>
      </c>
    </row>
    <row r="2383" spans="1:32" ht="15" x14ac:dyDescent="0.35">
      <c r="A2383" t="s">
        <v>5934</v>
      </c>
      <c r="B2383" s="1">
        <v>45695</v>
      </c>
      <c r="C2383">
        <f>YEAR(OrdersTable[[#This Row],[Order Date]])</f>
        <v>2025</v>
      </c>
      <c r="D2383" s="2">
        <f>DATE(YEAR(OrdersTable[[#This Row],[Order Date]]),MONTH(OrdersTable[[#This Row],[Order Date]]),1)</f>
        <v>45689</v>
      </c>
      <c r="E2383">
        <f>MONTH(OrdersTable[[#This Row],[Order Date]])</f>
        <v>2</v>
      </c>
      <c r="F2383" t="s">
        <v>1275</v>
      </c>
      <c r="G2383" t="str">
        <f>IF(OrdersTable[[#This Row],[Order Date]]=_xlfn.MINIFS(Order_Date, Customer_ID, OrdersTable[[#This Row],[Customer ID]]), "New", "Repeat")</f>
        <v>New</v>
      </c>
      <c r="H2383" t="s">
        <v>275</v>
      </c>
      <c r="I2383" t="str">
        <f>INDEX(State!B:B,MATCH(OrdersTable[[#This Row],[State]],State!A:A,0))</f>
        <v>AP</v>
      </c>
      <c r="J2383" t="str">
        <f>INDEX(State!C:C,MATCH(OrdersTable[[#This Row],[State Code]],State!B:B,0))</f>
        <v>South</v>
      </c>
      <c r="K2383" t="s">
        <v>491</v>
      </c>
      <c r="L2383" t="s">
        <v>16</v>
      </c>
      <c r="M2383" t="s">
        <v>87</v>
      </c>
      <c r="N2383" t="str">
        <f>INDEX(Products!B:B,MATCH(OrdersTable[[#This Row],[Product ID]],Products!A:A,0))</f>
        <v>Linen Kurta</v>
      </c>
      <c r="O2383" t="str">
        <f>INDEX(Products!C:C,MATCH(OrdersTable[[#This Row],[Product ID]],Products!A:A,0))</f>
        <v>Apparel</v>
      </c>
      <c r="P2383">
        <v>2</v>
      </c>
      <c r="Q2383" s="5">
        <v>1499</v>
      </c>
      <c r="R2383" s="74">
        <v>0.3</v>
      </c>
      <c r="S2383" s="75">
        <f>OrdersTable[[#This Row],[Quantity]]*OrdersTable[[#This Row],[Unit Price]]</f>
        <v>2998</v>
      </c>
      <c r="T2383" s="5">
        <f>OrdersTable[[#This Row],[Gross Sale]]*OrdersTable[[#This Row],[Discount_Clean2]]</f>
        <v>899.4</v>
      </c>
      <c r="U2383" s="5">
        <f>OrdersTable[[#This Row],[Gross Sale]]-OrdersTable[[#This Row],[Discount Amount]]</f>
        <v>2098.6</v>
      </c>
      <c r="V2383" s="77">
        <f>INDEX(Products!E:E,MATCH(OrdersTable[[#This Row],[Product ID]],Products!A:A,0))</f>
        <v>630</v>
      </c>
      <c r="W2383" s="77">
        <f>OrdersTable[[#This Row],[Quantity]]*OrdersTable[[#This Row],[Unit Cost]]</f>
        <v>1260</v>
      </c>
      <c r="X2383" s="77">
        <f>'Dropdown Lists'!$I$2*(1+OrdersTable[[#This Row],[Returned]])</f>
        <v>60</v>
      </c>
      <c r="Y2383" s="76">
        <f>OrdersTable[[#This Row],[Net Revenue]]-OrdersTable[[#This Row],[COGS]]-OrdersTable[[#This Row],[Shipping Cost]]</f>
        <v>778.59999999999991</v>
      </c>
      <c r="Z2383" s="78">
        <f>IFERROR(OrdersTable[[#This Row],[Profit]]/OrdersTable[[#This Row],[Net Revenue]],0)</f>
        <v>0.3710092442580768</v>
      </c>
      <c r="AA2383" t="s">
        <v>18</v>
      </c>
      <c r="AB2383" s="79">
        <v>45697</v>
      </c>
      <c r="AC2383">
        <f>OrdersTable[[#This Row],[Delivery Date]]-OrdersTable[[#This Row],[Order Date]]</f>
        <v>2</v>
      </c>
      <c r="AD2383" t="str">
        <f>IF(OrdersTable[[#This Row],[Delivery Days]]&lt;=2, "Express (≤2d)", IF(OrdersTable[[#This Row],[Delivery Days]]&lt;=4, "Standard (3-4d)", "Delayed (5d+)"))</f>
        <v>Express (≤2d)</v>
      </c>
      <c r="AF2383">
        <v>0</v>
      </c>
    </row>
    <row r="2384" spans="1:32" ht="15" x14ac:dyDescent="0.35">
      <c r="A2384" t="s">
        <v>808</v>
      </c>
      <c r="B2384" s="1">
        <v>45696</v>
      </c>
      <c r="C2384">
        <f>YEAR(OrdersTable[[#This Row],[Order Date]])</f>
        <v>2025</v>
      </c>
      <c r="D2384" s="2">
        <f>DATE(YEAR(OrdersTable[[#This Row],[Order Date]]),MONTH(OrdersTable[[#This Row],[Order Date]]),1)</f>
        <v>45689</v>
      </c>
      <c r="E2384">
        <f>MONTH(OrdersTable[[#This Row],[Order Date]])</f>
        <v>2</v>
      </c>
      <c r="F2384" t="s">
        <v>809</v>
      </c>
      <c r="G2384" t="str">
        <f>IF(OrdersTable[[#This Row],[Order Date]]=_xlfn.MINIFS(Order_Date, Customer_ID, OrdersTable[[#This Row],[Customer ID]]), "New", "Repeat")</f>
        <v>Repeat</v>
      </c>
      <c r="H2384" t="s">
        <v>21</v>
      </c>
      <c r="I2384" t="str">
        <f>INDEX(State!B:B,MATCH(OrdersTable[[#This Row],[State]],State!A:A,0))</f>
        <v>PB</v>
      </c>
      <c r="J2384" t="str">
        <f>INDEX(State!C:C,MATCH(OrdersTable[[#This Row],[State Code]],State!B:B,0))</f>
        <v>North</v>
      </c>
      <c r="K2384" t="s">
        <v>22</v>
      </c>
      <c r="L2384" t="s">
        <v>16</v>
      </c>
      <c r="M2384" t="s">
        <v>92</v>
      </c>
      <c r="N2384" t="str">
        <f>INDEX(Products!B:B,MATCH(OrdersTable[[#This Row],[Product ID]],Products!A:A,0))</f>
        <v>Kolhapuri Sandals</v>
      </c>
      <c r="O2384" t="str">
        <f>INDEX(Products!C:C,MATCH(OrdersTable[[#This Row],[Product ID]],Products!A:A,0))</f>
        <v>Footwear</v>
      </c>
      <c r="P2384">
        <v>1</v>
      </c>
      <c r="Q2384" s="5">
        <v>999</v>
      </c>
      <c r="R2384" s="74">
        <v>0.05</v>
      </c>
      <c r="S2384" s="75">
        <f>OrdersTable[[#This Row],[Quantity]]*OrdersTable[[#This Row],[Unit Price]]</f>
        <v>999</v>
      </c>
      <c r="T2384" s="5">
        <f>OrdersTable[[#This Row],[Gross Sale]]*OrdersTable[[#This Row],[Discount_Clean2]]</f>
        <v>49.95</v>
      </c>
      <c r="U2384" s="5">
        <f>OrdersTable[[#This Row],[Gross Sale]]-OrdersTable[[#This Row],[Discount Amount]]</f>
        <v>949.05</v>
      </c>
      <c r="V2384" s="77">
        <f>INDEX(Products!E:E,MATCH(OrdersTable[[#This Row],[Product ID]],Products!A:A,0))</f>
        <v>400</v>
      </c>
      <c r="W2384" s="77">
        <f>OrdersTable[[#This Row],[Quantity]]*OrdersTable[[#This Row],[Unit Cost]]</f>
        <v>400</v>
      </c>
      <c r="X2384" s="77">
        <f>'Dropdown Lists'!$I$2*(1+OrdersTable[[#This Row],[Returned]])</f>
        <v>60</v>
      </c>
      <c r="Y2384" s="76">
        <f>OrdersTable[[#This Row],[Net Revenue]]-OrdersTable[[#This Row],[COGS]]-OrdersTable[[#This Row],[Shipping Cost]]</f>
        <v>489.04999999999995</v>
      </c>
      <c r="Z2384" s="78">
        <f>IFERROR(OrdersTable[[#This Row],[Profit]]/OrdersTable[[#This Row],[Net Revenue]],0)</f>
        <v>0.5153047784626732</v>
      </c>
      <c r="AA2384" t="s">
        <v>18</v>
      </c>
      <c r="AB2384" s="79">
        <v>45700</v>
      </c>
      <c r="AC2384">
        <f>OrdersTable[[#This Row],[Delivery Date]]-OrdersTable[[#This Row],[Order Date]]</f>
        <v>4</v>
      </c>
      <c r="AD2384" t="str">
        <f>IF(OrdersTable[[#This Row],[Delivery Days]]&lt;=2, "Express (≤2d)", IF(OrdersTable[[#This Row],[Delivery Days]]&lt;=4, "Standard (3-4d)", "Delayed (5d+)"))</f>
        <v>Standard (3-4d)</v>
      </c>
      <c r="AE2384">
        <v>4</v>
      </c>
      <c r="AF2384">
        <v>0</v>
      </c>
    </row>
    <row r="2385" spans="1:32" ht="15" x14ac:dyDescent="0.35">
      <c r="A2385" t="s">
        <v>1538</v>
      </c>
      <c r="B2385" s="1">
        <v>45696</v>
      </c>
      <c r="C2385">
        <f>YEAR(OrdersTable[[#This Row],[Order Date]])</f>
        <v>2025</v>
      </c>
      <c r="D2385" s="2">
        <f>DATE(YEAR(OrdersTable[[#This Row],[Order Date]]),MONTH(OrdersTable[[#This Row],[Order Date]]),1)</f>
        <v>45689</v>
      </c>
      <c r="E2385">
        <f>MONTH(OrdersTable[[#This Row],[Order Date]])</f>
        <v>2</v>
      </c>
      <c r="F2385" t="s">
        <v>1539</v>
      </c>
      <c r="G2385" t="str">
        <f>IF(OrdersTable[[#This Row],[Order Date]]=_xlfn.MINIFS(Order_Date, Customer_ID, OrdersTable[[#This Row],[Customer ID]]), "New", "Repeat")</f>
        <v>Repeat</v>
      </c>
      <c r="H2385" t="s">
        <v>32</v>
      </c>
      <c r="I2385" t="str">
        <f>INDEX(State!B:B,MATCH(OrdersTable[[#This Row],[State]],State!A:A,0))</f>
        <v>BR</v>
      </c>
      <c r="J2385" t="str">
        <f>INDEX(State!C:C,MATCH(OrdersTable[[#This Row],[State Code]],State!B:B,0))</f>
        <v>East</v>
      </c>
      <c r="K2385" t="s">
        <v>33</v>
      </c>
      <c r="L2385" t="s">
        <v>39</v>
      </c>
      <c r="M2385" t="s">
        <v>84</v>
      </c>
      <c r="N2385" t="str">
        <f>INDEX(Products!B:B,MATCH(OrdersTable[[#This Row],[Product ID]],Products!A:A,0))</f>
        <v>Cotton Bedsheet</v>
      </c>
      <c r="O2385" t="str">
        <f>INDEX(Products!C:C,MATCH(OrdersTable[[#This Row],[Product ID]],Products!A:A,0))</f>
        <v>Home &amp; Kitchen</v>
      </c>
      <c r="P2385">
        <v>1</v>
      </c>
      <c r="Q2385" s="5">
        <v>1299</v>
      </c>
      <c r="R2385" s="74">
        <v>0.05</v>
      </c>
      <c r="S2385" s="75">
        <f>OrdersTable[[#This Row],[Quantity]]*OrdersTable[[#This Row],[Unit Price]]</f>
        <v>1299</v>
      </c>
      <c r="T2385" s="5">
        <f>OrdersTable[[#This Row],[Gross Sale]]*OrdersTable[[#This Row],[Discount_Clean2]]</f>
        <v>64.95</v>
      </c>
      <c r="U2385" s="5">
        <f>OrdersTable[[#This Row],[Gross Sale]]-OrdersTable[[#This Row],[Discount Amount]]</f>
        <v>1234.05</v>
      </c>
      <c r="V2385" s="77">
        <f>INDEX(Products!E:E,MATCH(OrdersTable[[#This Row],[Product ID]],Products!A:A,0))</f>
        <v>585</v>
      </c>
      <c r="W2385" s="77">
        <f>OrdersTable[[#This Row],[Quantity]]*OrdersTable[[#This Row],[Unit Cost]]</f>
        <v>585</v>
      </c>
      <c r="X2385" s="77">
        <f>'Dropdown Lists'!$I$2*(1+OrdersTable[[#This Row],[Returned]])</f>
        <v>120</v>
      </c>
      <c r="Y2385" s="76">
        <f>OrdersTable[[#This Row],[Net Revenue]]-OrdersTable[[#This Row],[COGS]]-OrdersTable[[#This Row],[Shipping Cost]]</f>
        <v>529.04999999999995</v>
      </c>
      <c r="Z2385" s="78">
        <f>IFERROR(OrdersTable[[#This Row],[Profit]]/OrdersTable[[#This Row],[Net Revenue]],0)</f>
        <v>0.42871034398930347</v>
      </c>
      <c r="AA2385" t="s">
        <v>18</v>
      </c>
      <c r="AB2385" s="79">
        <v>45703</v>
      </c>
      <c r="AC2385">
        <f>OrdersTable[[#This Row],[Delivery Date]]-OrdersTable[[#This Row],[Order Date]]</f>
        <v>7</v>
      </c>
      <c r="AD2385" t="str">
        <f>IF(OrdersTable[[#This Row],[Delivery Days]]&lt;=2, "Express (≤2d)", IF(OrdersTable[[#This Row],[Delivery Days]]&lt;=4, "Standard (3-4d)", "Delayed (5d+)"))</f>
        <v>Delayed (5d+)</v>
      </c>
      <c r="AF2385">
        <v>1</v>
      </c>
    </row>
    <row r="2386" spans="1:32" ht="15" x14ac:dyDescent="0.35">
      <c r="A2386" t="s">
        <v>3752</v>
      </c>
      <c r="B2386" s="1">
        <v>45696</v>
      </c>
      <c r="C2386">
        <f>YEAR(OrdersTable[[#This Row],[Order Date]])</f>
        <v>2025</v>
      </c>
      <c r="D2386" s="2">
        <f>DATE(YEAR(OrdersTable[[#This Row],[Order Date]]),MONTH(OrdersTable[[#This Row],[Order Date]]),1)</f>
        <v>45689</v>
      </c>
      <c r="E2386">
        <f>MONTH(OrdersTable[[#This Row],[Order Date]])</f>
        <v>2</v>
      </c>
      <c r="F2386" t="s">
        <v>268</v>
      </c>
      <c r="G2386" t="str">
        <f>IF(OrdersTable[[#This Row],[Order Date]]=_xlfn.MINIFS(Order_Date, Customer_ID, OrdersTable[[#This Row],[Customer ID]]), "New", "Repeat")</f>
        <v>New</v>
      </c>
      <c r="H2386" t="s">
        <v>71</v>
      </c>
      <c r="I2386" t="str">
        <f>INDEX(State!B:B,MATCH(OrdersTable[[#This Row],[State]],State!A:A,0))</f>
        <v>MH</v>
      </c>
      <c r="J2386" t="str">
        <f>INDEX(State!C:C,MATCH(OrdersTable[[#This Row],[State Code]],State!B:B,0))</f>
        <v>West</v>
      </c>
      <c r="K2386" t="s">
        <v>102</v>
      </c>
      <c r="L2386" t="s">
        <v>50</v>
      </c>
      <c r="M2386" t="s">
        <v>66</v>
      </c>
      <c r="N2386" t="str">
        <f>INDEX(Products!B:B,MATCH(OrdersTable[[#This Row],[Product ID]],Products!A:A,0))</f>
        <v>Sunscreen SPF 50</v>
      </c>
      <c r="O2386" t="str">
        <f>INDEX(Products!C:C,MATCH(OrdersTable[[#This Row],[Product ID]],Products!A:A,0))</f>
        <v>Skincare</v>
      </c>
      <c r="P2386">
        <v>1</v>
      </c>
      <c r="Q2386" s="5">
        <v>449</v>
      </c>
      <c r="R2386" s="74">
        <v>0.05</v>
      </c>
      <c r="S2386" s="75">
        <f>OrdersTable[[#This Row],[Quantity]]*OrdersTable[[#This Row],[Unit Price]]</f>
        <v>449</v>
      </c>
      <c r="T2386" s="5">
        <f>OrdersTable[[#This Row],[Gross Sale]]*OrdersTable[[#This Row],[Discount_Clean2]]</f>
        <v>22.450000000000003</v>
      </c>
      <c r="U2386" s="5">
        <f>OrdersTable[[#This Row],[Gross Sale]]-OrdersTable[[#This Row],[Discount Amount]]</f>
        <v>426.55</v>
      </c>
      <c r="V2386" s="77">
        <f>INDEX(Products!E:E,MATCH(OrdersTable[[#This Row],[Product ID]],Products!A:A,0))</f>
        <v>144</v>
      </c>
      <c r="W2386" s="77">
        <f>OrdersTable[[#This Row],[Quantity]]*OrdersTable[[#This Row],[Unit Cost]]</f>
        <v>144</v>
      </c>
      <c r="X2386" s="77">
        <f>'Dropdown Lists'!$I$2*(1+OrdersTable[[#This Row],[Returned]])</f>
        <v>60</v>
      </c>
      <c r="Y2386" s="76">
        <f>OrdersTable[[#This Row],[Net Revenue]]-OrdersTable[[#This Row],[COGS]]-OrdersTable[[#This Row],[Shipping Cost]]</f>
        <v>222.55</v>
      </c>
      <c r="Z2386" s="78">
        <f>IFERROR(OrdersTable[[#This Row],[Profit]]/OrdersTable[[#This Row],[Net Revenue]],0)</f>
        <v>0.52174422693705313</v>
      </c>
      <c r="AA2386" t="s">
        <v>3495</v>
      </c>
      <c r="AB2386" s="79">
        <v>45700</v>
      </c>
      <c r="AC2386">
        <f>OrdersTable[[#This Row],[Delivery Date]]-OrdersTable[[#This Row],[Order Date]]</f>
        <v>4</v>
      </c>
      <c r="AD2386" t="str">
        <f>IF(OrdersTable[[#This Row],[Delivery Days]]&lt;=2, "Express (≤2d)", IF(OrdersTable[[#This Row],[Delivery Days]]&lt;=4, "Standard (3-4d)", "Delayed (5d+)"))</f>
        <v>Standard (3-4d)</v>
      </c>
      <c r="AF2386">
        <v>0</v>
      </c>
    </row>
    <row r="2387" spans="1:32" ht="15" x14ac:dyDescent="0.35">
      <c r="A2387" t="s">
        <v>6884</v>
      </c>
      <c r="B2387" s="1">
        <v>45696</v>
      </c>
      <c r="C2387">
        <f>YEAR(OrdersTable[[#This Row],[Order Date]])</f>
        <v>2025</v>
      </c>
      <c r="D2387" s="2">
        <f>DATE(YEAR(OrdersTable[[#This Row],[Order Date]]),MONTH(OrdersTable[[#This Row],[Order Date]]),1)</f>
        <v>45689</v>
      </c>
      <c r="E2387">
        <f>MONTH(OrdersTable[[#This Row],[Order Date]])</f>
        <v>2</v>
      </c>
      <c r="F2387" t="s">
        <v>3437</v>
      </c>
      <c r="G2387" t="str">
        <f>IF(OrdersTable[[#This Row],[Order Date]]=_xlfn.MINIFS(Order_Date, Customer_ID, OrdersTable[[#This Row],[Customer ID]]), "New", "Repeat")</f>
        <v>Repeat</v>
      </c>
      <c r="H2387" t="s">
        <v>71</v>
      </c>
      <c r="I2387" t="str">
        <f>INDEX(State!B:B,MATCH(OrdersTable[[#This Row],[State]],State!A:A,0))</f>
        <v>MH</v>
      </c>
      <c r="J2387" t="str">
        <f>INDEX(State!C:C,MATCH(OrdersTable[[#This Row],[State Code]],State!B:B,0))</f>
        <v>West</v>
      </c>
      <c r="K2387" t="s">
        <v>72</v>
      </c>
      <c r="L2387" t="s">
        <v>65</v>
      </c>
      <c r="M2387" t="s">
        <v>51</v>
      </c>
      <c r="N2387" t="str">
        <f>INDEX(Products!B:B,MATCH(OrdersTable[[#This Row],[Product ID]],Products!A:A,0))</f>
        <v>Anti-Dandruff Conditioner</v>
      </c>
      <c r="O2387" t="str">
        <f>INDEX(Products!C:C,MATCH(OrdersTable[[#This Row],[Product ID]],Products!A:A,0))</f>
        <v>Haircare</v>
      </c>
      <c r="P2387">
        <v>3</v>
      </c>
      <c r="Q2387" s="5">
        <v>399</v>
      </c>
      <c r="R2387" s="74">
        <v>0.35</v>
      </c>
      <c r="S2387" s="75">
        <f>OrdersTable[[#This Row],[Quantity]]*OrdersTable[[#This Row],[Unit Price]]</f>
        <v>1197</v>
      </c>
      <c r="T2387" s="5">
        <f>OrdersTable[[#This Row],[Gross Sale]]*OrdersTable[[#This Row],[Discount_Clean2]]</f>
        <v>418.95</v>
      </c>
      <c r="U2387" s="5">
        <f>OrdersTable[[#This Row],[Gross Sale]]-OrdersTable[[#This Row],[Discount Amount]]</f>
        <v>778.05</v>
      </c>
      <c r="V2387" s="77">
        <f>INDEX(Products!E:E,MATCH(OrdersTable[[#This Row],[Product ID]],Products!A:A,0))</f>
        <v>136</v>
      </c>
      <c r="W2387" s="77">
        <f>OrdersTable[[#This Row],[Quantity]]*OrdersTable[[#This Row],[Unit Cost]]</f>
        <v>408</v>
      </c>
      <c r="X2387" s="77">
        <f>'Dropdown Lists'!$I$2*(1+OrdersTable[[#This Row],[Returned]])</f>
        <v>60</v>
      </c>
      <c r="Y2387" s="76">
        <f>OrdersTable[[#This Row],[Net Revenue]]-OrdersTable[[#This Row],[COGS]]-OrdersTable[[#This Row],[Shipping Cost]]</f>
        <v>310.04999999999995</v>
      </c>
      <c r="Z2387" s="78">
        <f>IFERROR(OrdersTable[[#This Row],[Profit]]/OrdersTable[[#This Row],[Net Revenue]],0)</f>
        <v>0.39849624060150374</v>
      </c>
      <c r="AA2387" t="s">
        <v>4074</v>
      </c>
      <c r="AB2387" s="79">
        <v>45700</v>
      </c>
      <c r="AC2387">
        <f>OrdersTable[[#This Row],[Delivery Date]]-OrdersTable[[#This Row],[Order Date]]</f>
        <v>4</v>
      </c>
      <c r="AD2387" t="str">
        <f>IF(OrdersTable[[#This Row],[Delivery Days]]&lt;=2, "Express (≤2d)", IF(OrdersTable[[#This Row],[Delivery Days]]&lt;=4, "Standard (3-4d)", "Delayed (5d+)"))</f>
        <v>Standard (3-4d)</v>
      </c>
      <c r="AF2387">
        <v>0</v>
      </c>
    </row>
    <row r="2388" spans="1:32" ht="15" x14ac:dyDescent="0.35">
      <c r="A2388" t="s">
        <v>5389</v>
      </c>
      <c r="B2388" s="1">
        <v>45696</v>
      </c>
      <c r="C2388">
        <f>YEAR(OrdersTable[[#This Row],[Order Date]])</f>
        <v>2025</v>
      </c>
      <c r="D2388" s="2">
        <f>DATE(YEAR(OrdersTable[[#This Row],[Order Date]]),MONTH(OrdersTable[[#This Row],[Order Date]]),1)</f>
        <v>45689</v>
      </c>
      <c r="E2388">
        <f>MONTH(OrdersTable[[#This Row],[Order Date]])</f>
        <v>2</v>
      </c>
      <c r="F2388" t="s">
        <v>3530</v>
      </c>
      <c r="G2388" t="str">
        <f>IF(OrdersTable[[#This Row],[Order Date]]=_xlfn.MINIFS(Order_Date, Customer_ID, OrdersTable[[#This Row],[Customer ID]]), "New", "Repeat")</f>
        <v>Repeat</v>
      </c>
      <c r="H2388" t="s">
        <v>71</v>
      </c>
      <c r="I2388" t="str">
        <f>INDEX(State!B:B,MATCH(OrdersTable[[#This Row],[State]],State!A:A,0))</f>
        <v>MH</v>
      </c>
      <c r="J2388" t="str">
        <f>INDEX(State!C:C,MATCH(OrdersTable[[#This Row],[State Code]],State!B:B,0))</f>
        <v>West</v>
      </c>
      <c r="K2388" t="s">
        <v>72</v>
      </c>
      <c r="L2388" t="s">
        <v>65</v>
      </c>
      <c r="M2388" t="s">
        <v>29</v>
      </c>
      <c r="N2388" t="str">
        <f>INDEX(Products!B:B,MATCH(OrdersTable[[#This Row],[Product ID]],Products!A:A,0))</f>
        <v>Joggers</v>
      </c>
      <c r="O2388" t="str">
        <f>INDEX(Products!C:C,MATCH(OrdersTable[[#This Row],[Product ID]],Products!A:A,0))</f>
        <v>Apparel</v>
      </c>
      <c r="P2388">
        <v>2</v>
      </c>
      <c r="Q2388" s="5">
        <v>1199</v>
      </c>
      <c r="R2388" s="74">
        <v>0.2</v>
      </c>
      <c r="S2388" s="75">
        <f>OrdersTable[[#This Row],[Quantity]]*OrdersTable[[#This Row],[Unit Price]]</f>
        <v>2398</v>
      </c>
      <c r="T2388" s="5">
        <f>OrdersTable[[#This Row],[Gross Sale]]*OrdersTable[[#This Row],[Discount_Clean2]]</f>
        <v>479.6</v>
      </c>
      <c r="U2388" s="5">
        <f>OrdersTable[[#This Row],[Gross Sale]]-OrdersTable[[#This Row],[Discount Amount]]</f>
        <v>1918.4</v>
      </c>
      <c r="V2388" s="77">
        <f>INDEX(Products!E:E,MATCH(OrdersTable[[#This Row],[Product ID]],Products!A:A,0))</f>
        <v>492</v>
      </c>
      <c r="W2388" s="77">
        <f>OrdersTable[[#This Row],[Quantity]]*OrdersTable[[#This Row],[Unit Cost]]</f>
        <v>984</v>
      </c>
      <c r="X2388" s="77">
        <f>'Dropdown Lists'!$I$2*(1+OrdersTable[[#This Row],[Returned]])</f>
        <v>60</v>
      </c>
      <c r="Y2388" s="76">
        <f>OrdersTable[[#This Row],[Net Revenue]]-OrdersTable[[#This Row],[COGS]]-OrdersTable[[#This Row],[Shipping Cost]]</f>
        <v>874.40000000000009</v>
      </c>
      <c r="Z2388" s="78">
        <f>IFERROR(OrdersTable[[#This Row],[Profit]]/OrdersTable[[#This Row],[Net Revenue]],0)</f>
        <v>0.45579649708090075</v>
      </c>
      <c r="AA2388" t="s">
        <v>2522</v>
      </c>
      <c r="AB2388" s="79">
        <v>45697</v>
      </c>
      <c r="AC2388">
        <f>OrdersTable[[#This Row],[Delivery Date]]-OrdersTable[[#This Row],[Order Date]]</f>
        <v>1</v>
      </c>
      <c r="AD2388" t="str">
        <f>IF(OrdersTable[[#This Row],[Delivery Days]]&lt;=2, "Express (≤2d)", IF(OrdersTable[[#This Row],[Delivery Days]]&lt;=4, "Standard (3-4d)", "Delayed (5d+)"))</f>
        <v>Express (≤2d)</v>
      </c>
      <c r="AE2388">
        <v>5</v>
      </c>
      <c r="AF2388">
        <v>0</v>
      </c>
    </row>
    <row r="2389" spans="1:32" ht="15" x14ac:dyDescent="0.35">
      <c r="A2389" t="s">
        <v>4979</v>
      </c>
      <c r="B2389" s="1">
        <v>45696</v>
      </c>
      <c r="C2389">
        <f>YEAR(OrdersTable[[#This Row],[Order Date]])</f>
        <v>2025</v>
      </c>
      <c r="D2389" s="2">
        <f>DATE(YEAR(OrdersTable[[#This Row],[Order Date]]),MONTH(OrdersTable[[#This Row],[Order Date]]),1)</f>
        <v>45689</v>
      </c>
      <c r="E2389">
        <f>MONTH(OrdersTable[[#This Row],[Order Date]])</f>
        <v>2</v>
      </c>
      <c r="F2389" t="s">
        <v>1277</v>
      </c>
      <c r="G2389" t="str">
        <f>IF(OrdersTable[[#This Row],[Order Date]]=_xlfn.MINIFS(Order_Date, Customer_ID, OrdersTable[[#This Row],[Customer ID]]), "New", "Repeat")</f>
        <v>New</v>
      </c>
      <c r="H2389" t="s">
        <v>167</v>
      </c>
      <c r="I2389" t="str">
        <f>INDEX(State!B:B,MATCH(OrdersTable[[#This Row],[State]],State!A:A,0))</f>
        <v>KA</v>
      </c>
      <c r="J2389" t="str">
        <f>INDEX(State!C:C,MATCH(OrdersTable[[#This Row],[State Code]],State!B:B,0))</f>
        <v>South</v>
      </c>
      <c r="K2389" t="s">
        <v>190</v>
      </c>
      <c r="L2389" t="s">
        <v>65</v>
      </c>
      <c r="M2389" t="s">
        <v>51</v>
      </c>
      <c r="N2389" t="str">
        <f>INDEX(Products!B:B,MATCH(OrdersTable[[#This Row],[Product ID]],Products!A:A,0))</f>
        <v>Anti-Dandruff Conditioner</v>
      </c>
      <c r="O2389" t="str">
        <f>INDEX(Products!C:C,MATCH(OrdersTable[[#This Row],[Product ID]],Products!A:A,0))</f>
        <v>Haircare</v>
      </c>
      <c r="P2389">
        <v>2</v>
      </c>
      <c r="Q2389" s="5">
        <v>399</v>
      </c>
      <c r="R2389" s="74">
        <v>0.35</v>
      </c>
      <c r="S2389" s="75">
        <f>OrdersTable[[#This Row],[Quantity]]*OrdersTable[[#This Row],[Unit Price]]</f>
        <v>798</v>
      </c>
      <c r="T2389" s="5">
        <f>OrdersTable[[#This Row],[Gross Sale]]*OrdersTable[[#This Row],[Discount_Clean2]]</f>
        <v>279.29999999999995</v>
      </c>
      <c r="U2389" s="5">
        <f>OrdersTable[[#This Row],[Gross Sale]]-OrdersTable[[#This Row],[Discount Amount]]</f>
        <v>518.70000000000005</v>
      </c>
      <c r="V2389" s="77">
        <f>INDEX(Products!E:E,MATCH(OrdersTable[[#This Row],[Product ID]],Products!A:A,0))</f>
        <v>136</v>
      </c>
      <c r="W2389" s="77">
        <f>OrdersTable[[#This Row],[Quantity]]*OrdersTable[[#This Row],[Unit Cost]]</f>
        <v>272</v>
      </c>
      <c r="X2389" s="77">
        <f>'Dropdown Lists'!$I$2*(1+OrdersTable[[#This Row],[Returned]])</f>
        <v>60</v>
      </c>
      <c r="Y2389" s="76">
        <f>OrdersTable[[#This Row],[Net Revenue]]-OrdersTable[[#This Row],[COGS]]-OrdersTable[[#This Row],[Shipping Cost]]</f>
        <v>186.70000000000005</v>
      </c>
      <c r="Z2389" s="78">
        <f>IFERROR(OrdersTable[[#This Row],[Profit]]/OrdersTable[[#This Row],[Net Revenue]],0)</f>
        <v>0.35993830730672843</v>
      </c>
      <c r="AA2389" t="s">
        <v>4074</v>
      </c>
      <c r="AB2389" s="79">
        <v>45699</v>
      </c>
      <c r="AC2389">
        <f>OrdersTable[[#This Row],[Delivery Date]]-OrdersTable[[#This Row],[Order Date]]</f>
        <v>3</v>
      </c>
      <c r="AD2389" t="str">
        <f>IF(OrdersTable[[#This Row],[Delivery Days]]&lt;=2, "Express (≤2d)", IF(OrdersTable[[#This Row],[Delivery Days]]&lt;=4, "Standard (3-4d)", "Delayed (5d+)"))</f>
        <v>Standard (3-4d)</v>
      </c>
      <c r="AE2389">
        <v>3</v>
      </c>
      <c r="AF2389">
        <v>0</v>
      </c>
    </row>
    <row r="2390" spans="1:32" ht="15" x14ac:dyDescent="0.35">
      <c r="A2390" t="s">
        <v>6885</v>
      </c>
      <c r="B2390" s="1">
        <v>45697</v>
      </c>
      <c r="C2390">
        <f>YEAR(OrdersTable[[#This Row],[Order Date]])</f>
        <v>2025</v>
      </c>
      <c r="D2390" s="2">
        <f>DATE(YEAR(OrdersTable[[#This Row],[Order Date]]),MONTH(OrdersTable[[#This Row],[Order Date]]),1)</f>
        <v>45689</v>
      </c>
      <c r="E2390">
        <f>MONTH(OrdersTable[[#This Row],[Order Date]])</f>
        <v>2</v>
      </c>
      <c r="F2390" t="s">
        <v>4085</v>
      </c>
      <c r="G2390" t="str">
        <f>IF(OrdersTable[[#This Row],[Order Date]]=_xlfn.MINIFS(Order_Date, Customer_ID, OrdersTable[[#This Row],[Customer ID]]), "New", "Repeat")</f>
        <v>Repeat</v>
      </c>
      <c r="H2390" t="s">
        <v>210</v>
      </c>
      <c r="I2390" t="str">
        <f>INDEX(State!B:B,MATCH(OrdersTable[[#This Row],[State]],State!A:A,0))</f>
        <v>JK</v>
      </c>
      <c r="J2390" t="str">
        <f>INDEX(State!C:C,MATCH(OrdersTable[[#This Row],[State Code]],State!B:B,0))</f>
        <v>North</v>
      </c>
      <c r="K2390" t="s">
        <v>415</v>
      </c>
      <c r="L2390" t="s">
        <v>23</v>
      </c>
      <c r="M2390" t="s">
        <v>56</v>
      </c>
      <c r="N2390" t="str">
        <f>INDEX(Products!B:B,MATCH(OrdersTable[[#This Row],[Product ID]],Products!A:A,0))</f>
        <v>Vitamin C Face Serum</v>
      </c>
      <c r="O2390" t="str">
        <f>INDEX(Products!C:C,MATCH(OrdersTable[[#This Row],[Product ID]],Products!A:A,0))</f>
        <v>Skincare</v>
      </c>
      <c r="P2390">
        <v>3</v>
      </c>
      <c r="Q2390" s="5">
        <v>599</v>
      </c>
      <c r="R2390" s="74">
        <v>0.15</v>
      </c>
      <c r="S2390" s="75">
        <f>OrdersTable[[#This Row],[Quantity]]*OrdersTable[[#This Row],[Unit Price]]</f>
        <v>1797</v>
      </c>
      <c r="T2390" s="5">
        <f>OrdersTable[[#This Row],[Gross Sale]]*OrdersTable[[#This Row],[Discount_Clean2]]</f>
        <v>269.55</v>
      </c>
      <c r="U2390" s="5">
        <f>OrdersTable[[#This Row],[Gross Sale]]-OrdersTable[[#This Row],[Discount Amount]]</f>
        <v>1527.45</v>
      </c>
      <c r="V2390" s="77">
        <f>INDEX(Products!E:E,MATCH(OrdersTable[[#This Row],[Product ID]],Products!A:A,0))</f>
        <v>180</v>
      </c>
      <c r="W2390" s="77">
        <f>OrdersTable[[#This Row],[Quantity]]*OrdersTable[[#This Row],[Unit Cost]]</f>
        <v>540</v>
      </c>
      <c r="X2390" s="77">
        <f>'Dropdown Lists'!$I$2*(1+OrdersTable[[#This Row],[Returned]])</f>
        <v>60</v>
      </c>
      <c r="Y2390" s="76">
        <f>OrdersTable[[#This Row],[Net Revenue]]-OrdersTable[[#This Row],[COGS]]-OrdersTable[[#This Row],[Shipping Cost]]</f>
        <v>927.45</v>
      </c>
      <c r="Z2390" s="78">
        <f>IFERROR(OrdersTable[[#This Row],[Profit]]/OrdersTable[[#This Row],[Net Revenue]],0)</f>
        <v>0.60718845134046939</v>
      </c>
      <c r="AA2390" t="s">
        <v>4450</v>
      </c>
      <c r="AB2390" s="79">
        <v>45703</v>
      </c>
      <c r="AC2390">
        <f>OrdersTable[[#This Row],[Delivery Date]]-OrdersTable[[#This Row],[Order Date]]</f>
        <v>6</v>
      </c>
      <c r="AD2390" t="str">
        <f>IF(OrdersTable[[#This Row],[Delivery Days]]&lt;=2, "Express (≤2d)", IF(OrdersTable[[#This Row],[Delivery Days]]&lt;=4, "Standard (3-4d)", "Delayed (5d+)"))</f>
        <v>Delayed (5d+)</v>
      </c>
      <c r="AE2390">
        <v>3</v>
      </c>
      <c r="AF2390">
        <v>0</v>
      </c>
    </row>
    <row r="2391" spans="1:32" ht="15" x14ac:dyDescent="0.35">
      <c r="A2391" t="s">
        <v>4823</v>
      </c>
      <c r="B2391" s="1">
        <v>45697</v>
      </c>
      <c r="C2391">
        <f>YEAR(OrdersTable[[#This Row],[Order Date]])</f>
        <v>2025</v>
      </c>
      <c r="D2391" s="2">
        <f>DATE(YEAR(OrdersTable[[#This Row],[Order Date]]),MONTH(OrdersTable[[#This Row],[Order Date]]),1)</f>
        <v>45689</v>
      </c>
      <c r="E2391">
        <f>MONTH(OrdersTable[[#This Row],[Order Date]])</f>
        <v>2</v>
      </c>
      <c r="F2391" t="s">
        <v>4824</v>
      </c>
      <c r="G2391" t="str">
        <f>IF(OrdersTable[[#This Row],[Order Date]]=_xlfn.MINIFS(Order_Date, Customer_ID, OrdersTable[[#This Row],[Customer ID]]), "New", "Repeat")</f>
        <v>New</v>
      </c>
      <c r="H2391" t="s">
        <v>128</v>
      </c>
      <c r="I2391" t="str">
        <f>INDEX(State!B:B,MATCH(OrdersTable[[#This Row],[State]],State!A:A,0))</f>
        <v>DL</v>
      </c>
      <c r="J2391" t="str">
        <f>INDEX(State!C:C,MATCH(OrdersTable[[#This Row],[State Code]],State!B:B,0))</f>
        <v>North</v>
      </c>
      <c r="K2391" t="s">
        <v>129</v>
      </c>
      <c r="L2391" t="s">
        <v>65</v>
      </c>
      <c r="M2391" t="s">
        <v>205</v>
      </c>
      <c r="N2391" t="str">
        <f>INDEX(Products!B:B,MATCH(OrdersTable[[#This Row],[Product ID]],Products!A:A,0))</f>
        <v>Running Shoes</v>
      </c>
      <c r="O2391" t="str">
        <f>INDEX(Products!C:C,MATCH(OrdersTable[[#This Row],[Product ID]],Products!A:A,0))</f>
        <v>Footwear</v>
      </c>
      <c r="P2391">
        <v>2</v>
      </c>
      <c r="Q2391" s="5">
        <v>2999</v>
      </c>
      <c r="R2391" s="74">
        <v>0.3</v>
      </c>
      <c r="S2391" s="75">
        <f>OrdersTable[[#This Row],[Quantity]]*OrdersTable[[#This Row],[Unit Price]]</f>
        <v>5998</v>
      </c>
      <c r="T2391" s="5">
        <f>OrdersTable[[#This Row],[Gross Sale]]*OrdersTable[[#This Row],[Discount_Clean2]]</f>
        <v>1799.3999999999999</v>
      </c>
      <c r="U2391" s="5">
        <f>OrdersTable[[#This Row],[Gross Sale]]-OrdersTable[[#This Row],[Discount Amount]]</f>
        <v>4198.6000000000004</v>
      </c>
      <c r="V2391" s="77">
        <f>INDEX(Products!E:E,MATCH(OrdersTable[[#This Row],[Product ID]],Products!A:A,0))</f>
        <v>1440</v>
      </c>
      <c r="W2391" s="77">
        <f>OrdersTable[[#This Row],[Quantity]]*OrdersTable[[#This Row],[Unit Cost]]</f>
        <v>2880</v>
      </c>
      <c r="X2391" s="77">
        <f>'Dropdown Lists'!$I$2*(1+OrdersTable[[#This Row],[Returned]])</f>
        <v>60</v>
      </c>
      <c r="Y2391" s="76">
        <f>OrdersTable[[#This Row],[Net Revenue]]-OrdersTable[[#This Row],[COGS]]-OrdersTable[[#This Row],[Shipping Cost]]</f>
        <v>1258.6000000000004</v>
      </c>
      <c r="Z2391" s="78">
        <f>IFERROR(OrdersTable[[#This Row],[Profit]]/OrdersTable[[#This Row],[Net Revenue]],0)</f>
        <v>0.29976658886295438</v>
      </c>
      <c r="AA2391" t="s">
        <v>4450</v>
      </c>
      <c r="AB2391" s="79">
        <v>45698</v>
      </c>
      <c r="AC2391">
        <f>OrdersTable[[#This Row],[Delivery Date]]-OrdersTable[[#This Row],[Order Date]]</f>
        <v>1</v>
      </c>
      <c r="AD2391" t="str">
        <f>IF(OrdersTable[[#This Row],[Delivery Days]]&lt;=2, "Express (≤2d)", IF(OrdersTable[[#This Row],[Delivery Days]]&lt;=4, "Standard (3-4d)", "Delayed (5d+)"))</f>
        <v>Express (≤2d)</v>
      </c>
      <c r="AE2391">
        <v>4</v>
      </c>
      <c r="AF2391">
        <v>0</v>
      </c>
    </row>
    <row r="2392" spans="1:32" ht="15" x14ac:dyDescent="0.35">
      <c r="A2392" t="s">
        <v>3016</v>
      </c>
      <c r="B2392" s="1">
        <v>45697</v>
      </c>
      <c r="C2392">
        <f>YEAR(OrdersTable[[#This Row],[Order Date]])</f>
        <v>2025</v>
      </c>
      <c r="D2392" s="2">
        <f>DATE(YEAR(OrdersTable[[#This Row],[Order Date]]),MONTH(OrdersTable[[#This Row],[Order Date]]),1)</f>
        <v>45689</v>
      </c>
      <c r="E2392">
        <f>MONTH(OrdersTable[[#This Row],[Order Date]])</f>
        <v>2</v>
      </c>
      <c r="F2392" t="s">
        <v>1580</v>
      </c>
      <c r="G2392" t="str">
        <f>IF(OrdersTable[[#This Row],[Order Date]]=_xlfn.MINIFS(Order_Date, Customer_ID, OrdersTable[[#This Row],[Customer ID]]), "New", "Repeat")</f>
        <v>Repeat</v>
      </c>
      <c r="H2392" t="s">
        <v>76</v>
      </c>
      <c r="I2392" t="str">
        <f>INDEX(State!B:B,MATCH(OrdersTable[[#This Row],[State]],State!A:A,0))</f>
        <v>UP</v>
      </c>
      <c r="J2392" t="str">
        <f>INDEX(State!C:C,MATCH(OrdersTable[[#This Row],[State Code]],State!B:B,0))</f>
        <v>North</v>
      </c>
      <c r="K2392" t="s">
        <v>77</v>
      </c>
      <c r="L2392" t="s">
        <v>39</v>
      </c>
      <c r="M2392" t="s">
        <v>66</v>
      </c>
      <c r="N2392" t="str">
        <f>INDEX(Products!B:B,MATCH(OrdersTable[[#This Row],[Product ID]],Products!A:A,0))</f>
        <v>Sunscreen SPF 50</v>
      </c>
      <c r="O2392" t="str">
        <f>INDEX(Products!C:C,MATCH(OrdersTable[[#This Row],[Product ID]],Products!A:A,0))</f>
        <v>Skincare</v>
      </c>
      <c r="P2392">
        <v>1</v>
      </c>
      <c r="Q2392" s="5">
        <v>449</v>
      </c>
      <c r="R2392" s="74">
        <v>0.05</v>
      </c>
      <c r="S2392" s="75">
        <f>OrdersTable[[#This Row],[Quantity]]*OrdersTable[[#This Row],[Unit Price]]</f>
        <v>449</v>
      </c>
      <c r="T2392" s="5">
        <f>OrdersTable[[#This Row],[Gross Sale]]*OrdersTable[[#This Row],[Discount_Clean2]]</f>
        <v>22.450000000000003</v>
      </c>
      <c r="U2392" s="5">
        <f>OrdersTable[[#This Row],[Gross Sale]]-OrdersTable[[#This Row],[Discount Amount]]</f>
        <v>426.55</v>
      </c>
      <c r="V2392" s="77">
        <f>INDEX(Products!E:E,MATCH(OrdersTable[[#This Row],[Product ID]],Products!A:A,0))</f>
        <v>144</v>
      </c>
      <c r="W2392" s="77">
        <f>OrdersTable[[#This Row],[Quantity]]*OrdersTable[[#This Row],[Unit Cost]]</f>
        <v>144</v>
      </c>
      <c r="X2392" s="77">
        <f>'Dropdown Lists'!$I$2*(1+OrdersTable[[#This Row],[Returned]])</f>
        <v>60</v>
      </c>
      <c r="Y2392" s="76">
        <f>OrdersTable[[#This Row],[Net Revenue]]-OrdersTable[[#This Row],[COGS]]-OrdersTable[[#This Row],[Shipping Cost]]</f>
        <v>222.55</v>
      </c>
      <c r="Z2392" s="78">
        <f>IFERROR(OrdersTable[[#This Row],[Profit]]/OrdersTable[[#This Row],[Net Revenue]],0)</f>
        <v>0.52174422693705313</v>
      </c>
      <c r="AA2392" t="s">
        <v>2522</v>
      </c>
      <c r="AB2392" s="79">
        <v>45703</v>
      </c>
      <c r="AC2392">
        <f>OrdersTable[[#This Row],[Delivery Date]]-OrdersTable[[#This Row],[Order Date]]</f>
        <v>6</v>
      </c>
      <c r="AD2392" t="str">
        <f>IF(OrdersTable[[#This Row],[Delivery Days]]&lt;=2, "Express (≤2d)", IF(OrdersTable[[#This Row],[Delivery Days]]&lt;=4, "Standard (3-4d)", "Delayed (5d+)"))</f>
        <v>Delayed (5d+)</v>
      </c>
      <c r="AF2392">
        <v>0</v>
      </c>
    </row>
    <row r="2393" spans="1:32" ht="15" x14ac:dyDescent="0.35">
      <c r="A2393" t="s">
        <v>577</v>
      </c>
      <c r="B2393" s="1">
        <v>45697</v>
      </c>
      <c r="C2393">
        <f>YEAR(OrdersTable[[#This Row],[Order Date]])</f>
        <v>2025</v>
      </c>
      <c r="D2393" s="2">
        <f>DATE(YEAR(OrdersTable[[#This Row],[Order Date]]),MONTH(OrdersTable[[#This Row],[Order Date]]),1)</f>
        <v>45689</v>
      </c>
      <c r="E2393">
        <f>MONTH(OrdersTable[[#This Row],[Order Date]])</f>
        <v>2</v>
      </c>
      <c r="F2393" t="s">
        <v>578</v>
      </c>
      <c r="G2393" t="str">
        <f>IF(OrdersTable[[#This Row],[Order Date]]=_xlfn.MINIFS(Order_Date, Customer_ID, OrdersTable[[#This Row],[Customer ID]]), "New", "Repeat")</f>
        <v>New</v>
      </c>
      <c r="H2393" t="s">
        <v>37</v>
      </c>
      <c r="I2393" t="str">
        <f>INDEX(State!B:B,MATCH(OrdersTable[[#This Row],[State]],State!A:A,0))</f>
        <v>GJ</v>
      </c>
      <c r="J2393" t="str">
        <f>INDEX(State!C:C,MATCH(OrdersTable[[#This Row],[State Code]],State!B:B,0))</f>
        <v>West</v>
      </c>
      <c r="K2393" t="s">
        <v>247</v>
      </c>
      <c r="L2393" t="s">
        <v>23</v>
      </c>
      <c r="M2393" t="s">
        <v>148</v>
      </c>
      <c r="N2393" t="str">
        <f>INDEX(Products!B:B,MATCH(OrdersTable[[#This Row],[Product ID]],Products!A:A,0))</f>
        <v>Smartwatch Strap</v>
      </c>
      <c r="O2393" t="str">
        <f>INDEX(Products!C:C,MATCH(OrdersTable[[#This Row],[Product ID]],Products!A:A,0))</f>
        <v>Electronics</v>
      </c>
      <c r="P2393">
        <v>1</v>
      </c>
      <c r="Q2393" s="5">
        <v>499</v>
      </c>
      <c r="R2393" s="74">
        <v>0.1</v>
      </c>
      <c r="S2393" s="75">
        <f>OrdersTable[[#This Row],[Quantity]]*OrdersTable[[#This Row],[Unit Price]]</f>
        <v>499</v>
      </c>
      <c r="T2393" s="5">
        <f>OrdersTable[[#This Row],[Gross Sale]]*OrdersTable[[#This Row],[Discount_Clean2]]</f>
        <v>49.900000000000006</v>
      </c>
      <c r="U2393" s="5">
        <f>OrdersTable[[#This Row],[Gross Sale]]-OrdersTable[[#This Row],[Discount Amount]]</f>
        <v>449.1</v>
      </c>
      <c r="V2393" s="77">
        <f>INDEX(Products!E:E,MATCH(OrdersTable[[#This Row],[Product ID]],Products!A:A,0))</f>
        <v>200</v>
      </c>
      <c r="W2393" s="77">
        <f>OrdersTable[[#This Row],[Quantity]]*OrdersTable[[#This Row],[Unit Cost]]</f>
        <v>200</v>
      </c>
      <c r="X2393" s="77">
        <f>'Dropdown Lists'!$I$2*(1+OrdersTable[[#This Row],[Returned]])</f>
        <v>60</v>
      </c>
      <c r="Y2393" s="76">
        <f>OrdersTable[[#This Row],[Net Revenue]]-OrdersTable[[#This Row],[COGS]]-OrdersTable[[#This Row],[Shipping Cost]]</f>
        <v>189.10000000000002</v>
      </c>
      <c r="Z2393" s="78">
        <f>IFERROR(OrdersTable[[#This Row],[Profit]]/OrdersTable[[#This Row],[Net Revenue]],0)</f>
        <v>0.42106435092407041</v>
      </c>
      <c r="AA2393" t="s">
        <v>18</v>
      </c>
      <c r="AB2393" s="79">
        <v>45700</v>
      </c>
      <c r="AC2393">
        <f>OrdersTable[[#This Row],[Delivery Date]]-OrdersTable[[#This Row],[Order Date]]</f>
        <v>3</v>
      </c>
      <c r="AD2393" t="str">
        <f>IF(OrdersTable[[#This Row],[Delivery Days]]&lt;=2, "Express (≤2d)", IF(OrdersTable[[#This Row],[Delivery Days]]&lt;=4, "Standard (3-4d)", "Delayed (5d+)"))</f>
        <v>Standard (3-4d)</v>
      </c>
      <c r="AE2393">
        <v>4</v>
      </c>
      <c r="AF2393">
        <v>0</v>
      </c>
    </row>
    <row r="2394" spans="1:32" ht="15" x14ac:dyDescent="0.35">
      <c r="A2394" t="s">
        <v>2526</v>
      </c>
      <c r="B2394" s="1">
        <v>45697</v>
      </c>
      <c r="C2394">
        <f>YEAR(OrdersTable[[#This Row],[Order Date]])</f>
        <v>2025</v>
      </c>
      <c r="D2394" s="2">
        <f>DATE(YEAR(OrdersTable[[#This Row],[Order Date]]),MONTH(OrdersTable[[#This Row],[Order Date]]),1)</f>
        <v>45689</v>
      </c>
      <c r="E2394">
        <f>MONTH(OrdersTable[[#This Row],[Order Date]])</f>
        <v>2</v>
      </c>
      <c r="F2394" t="s">
        <v>1021</v>
      </c>
      <c r="G2394" t="str">
        <f>IF(OrdersTable[[#This Row],[Order Date]]=_xlfn.MINIFS(Order_Date, Customer_ID, OrdersTable[[#This Row],[Customer ID]]), "New", "Repeat")</f>
        <v>Repeat</v>
      </c>
      <c r="H2394" t="s">
        <v>27</v>
      </c>
      <c r="I2394" t="str">
        <f>INDEX(State!B:B,MATCH(OrdersTable[[#This Row],[State]],State!A:A,0))</f>
        <v>WB</v>
      </c>
      <c r="J2394" t="str">
        <f>INDEX(State!C:C,MATCH(OrdersTable[[#This Row],[State Code]],State!B:B,0))</f>
        <v>East</v>
      </c>
      <c r="K2394" t="s">
        <v>28</v>
      </c>
      <c r="L2394" t="s">
        <v>39</v>
      </c>
      <c r="M2394" t="s">
        <v>73</v>
      </c>
      <c r="N2394" t="str">
        <f>INDEX(Products!B:B,MATCH(OrdersTable[[#This Row],[Product ID]],Products!A:A,0))</f>
        <v>Hydrating Face Wash</v>
      </c>
      <c r="O2394" t="str">
        <f>INDEX(Products!C:C,MATCH(OrdersTable[[#This Row],[Product ID]],Products!A:A,0))</f>
        <v>Skincare</v>
      </c>
      <c r="P2394">
        <v>1</v>
      </c>
      <c r="Q2394" s="5">
        <v>299</v>
      </c>
      <c r="R2394" s="74">
        <v>0.05</v>
      </c>
      <c r="S2394" s="75">
        <f>OrdersTable[[#This Row],[Quantity]]*OrdersTable[[#This Row],[Unit Price]]</f>
        <v>299</v>
      </c>
      <c r="T2394" s="5">
        <f>OrdersTable[[#This Row],[Gross Sale]]*OrdersTable[[#This Row],[Discount_Clean2]]</f>
        <v>14.950000000000001</v>
      </c>
      <c r="U2394" s="5">
        <f>OrdersTable[[#This Row],[Gross Sale]]-OrdersTable[[#This Row],[Discount Amount]]</f>
        <v>284.05</v>
      </c>
      <c r="V2394" s="77">
        <f>INDEX(Products!E:E,MATCH(OrdersTable[[#This Row],[Product ID]],Products!A:A,0))</f>
        <v>90</v>
      </c>
      <c r="W2394" s="77">
        <f>OrdersTable[[#This Row],[Quantity]]*OrdersTable[[#This Row],[Unit Cost]]</f>
        <v>90</v>
      </c>
      <c r="X2394" s="77">
        <f>'Dropdown Lists'!$I$2*(1+OrdersTable[[#This Row],[Returned]])</f>
        <v>60</v>
      </c>
      <c r="Y2394" s="76">
        <f>OrdersTable[[#This Row],[Net Revenue]]-OrdersTable[[#This Row],[COGS]]-OrdersTable[[#This Row],[Shipping Cost]]</f>
        <v>134.05000000000001</v>
      </c>
      <c r="Z2394" s="78">
        <f>IFERROR(OrdersTable[[#This Row],[Profit]]/OrdersTable[[#This Row],[Net Revenue]],0)</f>
        <v>0.47192395704981521</v>
      </c>
      <c r="AA2394" t="s">
        <v>2522</v>
      </c>
      <c r="AB2394" s="79">
        <v>45702</v>
      </c>
      <c r="AC2394">
        <f>OrdersTable[[#This Row],[Delivery Date]]-OrdersTable[[#This Row],[Order Date]]</f>
        <v>5</v>
      </c>
      <c r="AD2394" t="str">
        <f>IF(OrdersTable[[#This Row],[Delivery Days]]&lt;=2, "Express (≤2d)", IF(OrdersTable[[#This Row],[Delivery Days]]&lt;=4, "Standard (3-4d)", "Delayed (5d+)"))</f>
        <v>Delayed (5d+)</v>
      </c>
      <c r="AE2394">
        <v>2</v>
      </c>
      <c r="AF2394">
        <v>0</v>
      </c>
    </row>
    <row r="2395" spans="1:32" ht="15" x14ac:dyDescent="0.35">
      <c r="A2395" t="s">
        <v>5170</v>
      </c>
      <c r="B2395" s="1">
        <v>45697</v>
      </c>
      <c r="C2395">
        <f>YEAR(OrdersTable[[#This Row],[Order Date]])</f>
        <v>2025</v>
      </c>
      <c r="D2395" s="2">
        <f>DATE(YEAR(OrdersTable[[#This Row],[Order Date]]),MONTH(OrdersTable[[#This Row],[Order Date]]),1)</f>
        <v>45689</v>
      </c>
      <c r="E2395">
        <f>MONTH(OrdersTable[[#This Row],[Order Date]])</f>
        <v>2</v>
      </c>
      <c r="F2395" t="s">
        <v>4410</v>
      </c>
      <c r="G2395" t="str">
        <f>IF(OrdersTable[[#This Row],[Order Date]]=_xlfn.MINIFS(Order_Date, Customer_ID, OrdersTable[[#This Row],[Customer ID]]), "New", "Repeat")</f>
        <v>New</v>
      </c>
      <c r="H2395" t="s">
        <v>275</v>
      </c>
      <c r="I2395" t="str">
        <f>INDEX(State!B:B,MATCH(OrdersTable[[#This Row],[State]],State!A:A,0))</f>
        <v>AP</v>
      </c>
      <c r="J2395" t="str">
        <f>INDEX(State!C:C,MATCH(OrdersTable[[#This Row],[State Code]],State!B:B,0))</f>
        <v>South</v>
      </c>
      <c r="K2395" t="s">
        <v>276</v>
      </c>
      <c r="L2395" t="s">
        <v>65</v>
      </c>
      <c r="M2395" t="s">
        <v>51</v>
      </c>
      <c r="N2395" t="str">
        <f>INDEX(Products!B:B,MATCH(OrdersTable[[#This Row],[Product ID]],Products!A:A,0))</f>
        <v>Anti-Dandruff Conditioner</v>
      </c>
      <c r="O2395" t="str">
        <f>INDEX(Products!C:C,MATCH(OrdersTable[[#This Row],[Product ID]],Products!A:A,0))</f>
        <v>Haircare</v>
      </c>
      <c r="P2395">
        <v>2</v>
      </c>
      <c r="Q2395" s="5">
        <v>399</v>
      </c>
      <c r="R2395" s="74">
        <v>0.45</v>
      </c>
      <c r="S2395" s="75">
        <f>OrdersTable[[#This Row],[Quantity]]*OrdersTable[[#This Row],[Unit Price]]</f>
        <v>798</v>
      </c>
      <c r="T2395" s="5">
        <f>OrdersTable[[#This Row],[Gross Sale]]*OrdersTable[[#This Row],[Discount_Clean2]]</f>
        <v>359.1</v>
      </c>
      <c r="U2395" s="5">
        <f>OrdersTable[[#This Row],[Gross Sale]]-OrdersTable[[#This Row],[Discount Amount]]</f>
        <v>438.9</v>
      </c>
      <c r="V2395" s="77">
        <f>INDEX(Products!E:E,MATCH(OrdersTable[[#This Row],[Product ID]],Products!A:A,0))</f>
        <v>136</v>
      </c>
      <c r="W2395" s="77">
        <f>OrdersTable[[#This Row],[Quantity]]*OrdersTable[[#This Row],[Unit Cost]]</f>
        <v>272</v>
      </c>
      <c r="X2395" s="77">
        <f>'Dropdown Lists'!$I$2*(1+OrdersTable[[#This Row],[Returned]])</f>
        <v>120</v>
      </c>
      <c r="Y2395" s="76">
        <f>OrdersTable[[#This Row],[Net Revenue]]-OrdersTable[[#This Row],[COGS]]-OrdersTable[[#This Row],[Shipping Cost]]</f>
        <v>46.899999999999977</v>
      </c>
      <c r="Z2395" s="78">
        <f>IFERROR(OrdersTable[[#This Row],[Profit]]/OrdersTable[[#This Row],[Net Revenue]],0)</f>
        <v>0.10685805422647524</v>
      </c>
      <c r="AA2395" t="s">
        <v>3495</v>
      </c>
      <c r="AB2395" s="79">
        <v>45702</v>
      </c>
      <c r="AC2395">
        <f>OrdersTable[[#This Row],[Delivery Date]]-OrdersTable[[#This Row],[Order Date]]</f>
        <v>5</v>
      </c>
      <c r="AD2395" t="str">
        <f>IF(OrdersTable[[#This Row],[Delivery Days]]&lt;=2, "Express (≤2d)", IF(OrdersTable[[#This Row],[Delivery Days]]&lt;=4, "Standard (3-4d)", "Delayed (5d+)"))</f>
        <v>Delayed (5d+)</v>
      </c>
      <c r="AE2395">
        <v>3</v>
      </c>
      <c r="AF2395">
        <v>1</v>
      </c>
    </row>
    <row r="2396" spans="1:32" ht="15" x14ac:dyDescent="0.35">
      <c r="A2396" t="s">
        <v>810</v>
      </c>
      <c r="B2396" s="1">
        <v>45698</v>
      </c>
      <c r="C2396">
        <f>YEAR(OrdersTable[[#This Row],[Order Date]])</f>
        <v>2025</v>
      </c>
      <c r="D2396" s="2">
        <f>DATE(YEAR(OrdersTable[[#This Row],[Order Date]]),MONTH(OrdersTable[[#This Row],[Order Date]]),1)</f>
        <v>45689</v>
      </c>
      <c r="E2396">
        <f>MONTH(OrdersTable[[#This Row],[Order Date]])</f>
        <v>2</v>
      </c>
      <c r="F2396" t="s">
        <v>811</v>
      </c>
      <c r="G2396" t="str">
        <f>IF(OrdersTable[[#This Row],[Order Date]]=_xlfn.MINIFS(Order_Date, Customer_ID, OrdersTable[[#This Row],[Customer ID]]), "New", "Repeat")</f>
        <v>Repeat</v>
      </c>
      <c r="H2396" t="s">
        <v>21</v>
      </c>
      <c r="I2396" t="str">
        <f>INDEX(State!B:B,MATCH(OrdersTable[[#This Row],[State]],State!A:A,0))</f>
        <v>PB</v>
      </c>
      <c r="J2396" t="str">
        <f>INDEX(State!C:C,MATCH(OrdersTable[[#This Row],[State Code]],State!B:B,0))</f>
        <v>North</v>
      </c>
      <c r="K2396" t="s">
        <v>260</v>
      </c>
      <c r="L2396" t="s">
        <v>16</v>
      </c>
      <c r="M2396" t="s">
        <v>34</v>
      </c>
      <c r="N2396" t="str">
        <f>INDEX(Products!B:B,MATCH(OrdersTable[[#This Row],[Product ID]],Products!A:A,0))</f>
        <v>Flip Flops</v>
      </c>
      <c r="O2396" t="str">
        <f>INDEX(Products!C:C,MATCH(OrdersTable[[#This Row],[Product ID]],Products!A:A,0))</f>
        <v>Footwear</v>
      </c>
      <c r="P2396">
        <v>1</v>
      </c>
      <c r="Q2396" s="5">
        <v>399</v>
      </c>
      <c r="R2396" s="74">
        <v>0.2</v>
      </c>
      <c r="S2396" s="75">
        <f>OrdersTable[[#This Row],[Quantity]]*OrdersTable[[#This Row],[Unit Price]]</f>
        <v>399</v>
      </c>
      <c r="T2396" s="5">
        <f>OrdersTable[[#This Row],[Gross Sale]]*OrdersTable[[#This Row],[Discount_Clean2]]</f>
        <v>79.800000000000011</v>
      </c>
      <c r="U2396" s="5">
        <f>OrdersTable[[#This Row],[Gross Sale]]-OrdersTable[[#This Row],[Discount Amount]]</f>
        <v>319.2</v>
      </c>
      <c r="V2396" s="77">
        <f>INDEX(Products!E:E,MATCH(OrdersTable[[#This Row],[Product ID]],Products!A:A,0))</f>
        <v>152</v>
      </c>
      <c r="W2396" s="77">
        <f>OrdersTable[[#This Row],[Quantity]]*OrdersTable[[#This Row],[Unit Cost]]</f>
        <v>152</v>
      </c>
      <c r="X2396" s="77">
        <f>'Dropdown Lists'!$I$2*(1+OrdersTable[[#This Row],[Returned]])</f>
        <v>60</v>
      </c>
      <c r="Y2396" s="76">
        <f>OrdersTable[[#This Row],[Net Revenue]]-OrdersTable[[#This Row],[COGS]]-OrdersTable[[#This Row],[Shipping Cost]]</f>
        <v>107.19999999999999</v>
      </c>
      <c r="Z2396" s="78">
        <f>IFERROR(OrdersTable[[#This Row],[Profit]]/OrdersTable[[#This Row],[Net Revenue]],0)</f>
        <v>0.33583959899749372</v>
      </c>
      <c r="AA2396" t="s">
        <v>18</v>
      </c>
      <c r="AB2396" s="79">
        <v>45702</v>
      </c>
      <c r="AC2396">
        <f>OrdersTable[[#This Row],[Delivery Date]]-OrdersTable[[#This Row],[Order Date]]</f>
        <v>4</v>
      </c>
      <c r="AD2396" t="str">
        <f>IF(OrdersTable[[#This Row],[Delivery Days]]&lt;=2, "Express (≤2d)", IF(OrdersTable[[#This Row],[Delivery Days]]&lt;=4, "Standard (3-4d)", "Delayed (5d+)"))</f>
        <v>Standard (3-4d)</v>
      </c>
      <c r="AE2396">
        <v>4</v>
      </c>
      <c r="AF2396">
        <v>0</v>
      </c>
    </row>
    <row r="2397" spans="1:32" ht="15" x14ac:dyDescent="0.35">
      <c r="A2397" t="s">
        <v>3253</v>
      </c>
      <c r="B2397" s="1">
        <v>45698</v>
      </c>
      <c r="C2397">
        <f>YEAR(OrdersTable[[#This Row],[Order Date]])</f>
        <v>2025</v>
      </c>
      <c r="D2397" s="2">
        <f>DATE(YEAR(OrdersTable[[#This Row],[Order Date]]),MONTH(OrdersTable[[#This Row],[Order Date]]),1)</f>
        <v>45689</v>
      </c>
      <c r="E2397">
        <f>MONTH(OrdersTable[[#This Row],[Order Date]])</f>
        <v>2</v>
      </c>
      <c r="F2397" t="s">
        <v>852</v>
      </c>
      <c r="G2397" t="str">
        <f>IF(OrdersTable[[#This Row],[Order Date]]=_xlfn.MINIFS(Order_Date, Customer_ID, OrdersTable[[#This Row],[Customer ID]]), "New", "Repeat")</f>
        <v>Repeat</v>
      </c>
      <c r="H2397" t="s">
        <v>128</v>
      </c>
      <c r="I2397" t="str">
        <f>INDEX(State!B:B,MATCH(OrdersTable[[#This Row],[State]],State!A:A,0))</f>
        <v>DL</v>
      </c>
      <c r="J2397" t="str">
        <f>INDEX(State!C:C,MATCH(OrdersTable[[#This Row],[State Code]],State!B:B,0))</f>
        <v>North</v>
      </c>
      <c r="K2397" t="s">
        <v>129</v>
      </c>
      <c r="L2397" t="s">
        <v>50</v>
      </c>
      <c r="M2397" t="s">
        <v>106</v>
      </c>
      <c r="N2397" t="str">
        <f>INDEX(Products!B:B,MATCH(OrdersTable[[#This Row],[Product ID]],Products!A:A,0))</f>
        <v>Keratin Hair Mask</v>
      </c>
      <c r="O2397" t="str">
        <f>INDEX(Products!C:C,MATCH(OrdersTable[[#This Row],[Product ID]],Products!A:A,0))</f>
        <v>Haircare</v>
      </c>
      <c r="P2397">
        <v>1</v>
      </c>
      <c r="Q2397" s="5">
        <v>549</v>
      </c>
      <c r="R2397" s="74">
        <v>0.2</v>
      </c>
      <c r="S2397" s="75">
        <f>OrdersTable[[#This Row],[Quantity]]*OrdersTable[[#This Row],[Unit Price]]</f>
        <v>549</v>
      </c>
      <c r="T2397" s="5">
        <f>OrdersTable[[#This Row],[Gross Sale]]*OrdersTable[[#This Row],[Discount_Clean2]]</f>
        <v>109.80000000000001</v>
      </c>
      <c r="U2397" s="5">
        <f>OrdersTable[[#This Row],[Gross Sale]]-OrdersTable[[#This Row],[Discount Amount]]</f>
        <v>439.2</v>
      </c>
      <c r="V2397" s="77">
        <f>INDEX(Products!E:E,MATCH(OrdersTable[[#This Row],[Product ID]],Products!A:A,0))</f>
        <v>170</v>
      </c>
      <c r="W2397" s="77">
        <f>OrdersTable[[#This Row],[Quantity]]*OrdersTable[[#This Row],[Unit Cost]]</f>
        <v>170</v>
      </c>
      <c r="X2397" s="77">
        <f>'Dropdown Lists'!$I$2*(1+OrdersTable[[#This Row],[Returned]])</f>
        <v>60</v>
      </c>
      <c r="Y2397" s="76">
        <f>OrdersTable[[#This Row],[Net Revenue]]-OrdersTable[[#This Row],[COGS]]-OrdersTable[[#This Row],[Shipping Cost]]</f>
        <v>209.2</v>
      </c>
      <c r="Z2397" s="78">
        <f>IFERROR(OrdersTable[[#This Row],[Profit]]/OrdersTable[[#This Row],[Net Revenue]],0)</f>
        <v>0.47632058287795992</v>
      </c>
      <c r="AA2397" t="s">
        <v>2522</v>
      </c>
      <c r="AB2397" s="79">
        <v>45700</v>
      </c>
      <c r="AC2397">
        <f>OrdersTable[[#This Row],[Delivery Date]]-OrdersTable[[#This Row],[Order Date]]</f>
        <v>2</v>
      </c>
      <c r="AD2397" t="str">
        <f>IF(OrdersTable[[#This Row],[Delivery Days]]&lt;=2, "Express (≤2d)", IF(OrdersTable[[#This Row],[Delivery Days]]&lt;=4, "Standard (3-4d)", "Delayed (5d+)"))</f>
        <v>Express (≤2d)</v>
      </c>
      <c r="AE2397">
        <v>4</v>
      </c>
      <c r="AF2397">
        <v>0</v>
      </c>
    </row>
    <row r="2398" spans="1:32" ht="15" x14ac:dyDescent="0.35">
      <c r="A2398" t="s">
        <v>7085</v>
      </c>
      <c r="B2398" s="1">
        <v>45698</v>
      </c>
      <c r="C2398">
        <f>YEAR(OrdersTable[[#This Row],[Order Date]])</f>
        <v>2025</v>
      </c>
      <c r="D2398" s="2">
        <f>DATE(YEAR(OrdersTable[[#This Row],[Order Date]]),MONTH(OrdersTable[[#This Row],[Order Date]]),1)</f>
        <v>45689</v>
      </c>
      <c r="E2398">
        <f>MONTH(OrdersTable[[#This Row],[Order Date]])</f>
        <v>2</v>
      </c>
      <c r="F2398" t="s">
        <v>2538</v>
      </c>
      <c r="G2398" t="str">
        <f>IF(OrdersTable[[#This Row],[Order Date]]=_xlfn.MINIFS(Order_Date, Customer_ID, OrdersTable[[#This Row],[Customer ID]]), "New", "Repeat")</f>
        <v>Repeat</v>
      </c>
      <c r="H2398" t="s">
        <v>76</v>
      </c>
      <c r="I2398" t="str">
        <f>INDEX(State!B:B,MATCH(OrdersTable[[#This Row],[State]],State!A:A,0))</f>
        <v>UP</v>
      </c>
      <c r="J2398" t="str">
        <f>INDEX(State!C:C,MATCH(OrdersTable[[#This Row],[State Code]],State!B:B,0))</f>
        <v>North</v>
      </c>
      <c r="K2398" t="s">
        <v>118</v>
      </c>
      <c r="L2398" t="s">
        <v>65</v>
      </c>
      <c r="M2398" t="s">
        <v>152</v>
      </c>
      <c r="N2398" t="str">
        <f>INDEX(Products!B:B,MATCH(OrdersTable[[#This Row],[Product ID]],Products!A:A,0))</f>
        <v>Green Tea (100 bags)</v>
      </c>
      <c r="O2398" t="str">
        <f>INDEX(Products!C:C,MATCH(OrdersTable[[#This Row],[Product ID]],Products!A:A,0))</f>
        <v>Wellness</v>
      </c>
      <c r="P2398">
        <v>4</v>
      </c>
      <c r="Q2398" s="5">
        <v>399</v>
      </c>
      <c r="R2398" s="74">
        <v>0.3</v>
      </c>
      <c r="S2398" s="75">
        <f>OrdersTable[[#This Row],[Quantity]]*OrdersTable[[#This Row],[Unit Price]]</f>
        <v>1596</v>
      </c>
      <c r="T2398" s="5">
        <f>OrdersTable[[#This Row],[Gross Sale]]*OrdersTable[[#This Row],[Discount_Clean2]]</f>
        <v>478.79999999999995</v>
      </c>
      <c r="U2398" s="5">
        <f>OrdersTable[[#This Row],[Gross Sale]]-OrdersTable[[#This Row],[Discount Amount]]</f>
        <v>1117.2</v>
      </c>
      <c r="V2398" s="77">
        <f>INDEX(Products!E:E,MATCH(OrdersTable[[#This Row],[Product ID]],Products!A:A,0))</f>
        <v>128</v>
      </c>
      <c r="W2398" s="77">
        <f>OrdersTable[[#This Row],[Quantity]]*OrdersTable[[#This Row],[Unit Cost]]</f>
        <v>512</v>
      </c>
      <c r="X2398" s="77">
        <f>'Dropdown Lists'!$I$2*(1+OrdersTable[[#This Row],[Returned]])</f>
        <v>60</v>
      </c>
      <c r="Y2398" s="76">
        <f>OrdersTable[[#This Row],[Net Revenue]]-OrdersTable[[#This Row],[COGS]]-OrdersTable[[#This Row],[Shipping Cost]]</f>
        <v>545.20000000000005</v>
      </c>
      <c r="Z2398" s="78">
        <f>IFERROR(OrdersTable[[#This Row],[Profit]]/OrdersTable[[#This Row],[Net Revenue]],0)</f>
        <v>0.4880057286072324</v>
      </c>
      <c r="AA2398" t="s">
        <v>18</v>
      </c>
      <c r="AB2398" s="79">
        <v>45702</v>
      </c>
      <c r="AC2398">
        <f>OrdersTable[[#This Row],[Delivery Date]]-OrdersTable[[#This Row],[Order Date]]</f>
        <v>4</v>
      </c>
      <c r="AD2398" t="str">
        <f>IF(OrdersTable[[#This Row],[Delivery Days]]&lt;=2, "Express (≤2d)", IF(OrdersTable[[#This Row],[Delivery Days]]&lt;=4, "Standard (3-4d)", "Delayed (5d+)"))</f>
        <v>Standard (3-4d)</v>
      </c>
      <c r="AF2398">
        <v>0</v>
      </c>
    </row>
    <row r="2399" spans="1:32" ht="15" x14ac:dyDescent="0.35">
      <c r="A2399" t="s">
        <v>3597</v>
      </c>
      <c r="B2399" s="1">
        <v>45698</v>
      </c>
      <c r="C2399">
        <f>YEAR(OrdersTable[[#This Row],[Order Date]])</f>
        <v>2025</v>
      </c>
      <c r="D2399" s="2">
        <f>DATE(YEAR(OrdersTable[[#This Row],[Order Date]]),MONTH(OrdersTable[[#This Row],[Order Date]]),1)</f>
        <v>45689</v>
      </c>
      <c r="E2399">
        <f>MONTH(OrdersTable[[#This Row],[Order Date]])</f>
        <v>2</v>
      </c>
      <c r="F2399" t="s">
        <v>3025</v>
      </c>
      <c r="G2399" t="str">
        <f>IF(OrdersTable[[#This Row],[Order Date]]=_xlfn.MINIFS(Order_Date, Customer_ID, OrdersTable[[#This Row],[Customer ID]]), "New", "Repeat")</f>
        <v>Repeat</v>
      </c>
      <c r="H2399" t="s">
        <v>76</v>
      </c>
      <c r="I2399" t="str">
        <f>INDEX(State!B:B,MATCH(OrdersTable[[#This Row],[State]],State!A:A,0))</f>
        <v>UP</v>
      </c>
      <c r="J2399" t="str">
        <f>INDEX(State!C:C,MATCH(OrdersTable[[#This Row],[State Code]],State!B:B,0))</f>
        <v>North</v>
      </c>
      <c r="K2399" t="s">
        <v>105</v>
      </c>
      <c r="L2399" t="s">
        <v>65</v>
      </c>
      <c r="M2399" t="s">
        <v>45</v>
      </c>
      <c r="N2399" t="str">
        <f>INDEX(Products!B:B,MATCH(OrdersTable[[#This Row],[Product ID]],Products!A:A,0))</f>
        <v>Argan Shampoo</v>
      </c>
      <c r="O2399" t="str">
        <f>INDEX(Products!C:C,MATCH(OrdersTable[[#This Row],[Product ID]],Products!A:A,0))</f>
        <v>Haircare</v>
      </c>
      <c r="P2399">
        <v>1</v>
      </c>
      <c r="Q2399" s="5">
        <v>449</v>
      </c>
      <c r="R2399" s="74">
        <v>0.1</v>
      </c>
      <c r="S2399" s="75">
        <f>OrdersTable[[#This Row],[Quantity]]*OrdersTable[[#This Row],[Unit Price]]</f>
        <v>449</v>
      </c>
      <c r="T2399" s="5">
        <f>OrdersTable[[#This Row],[Gross Sale]]*OrdersTable[[#This Row],[Discount_Clean2]]</f>
        <v>44.900000000000006</v>
      </c>
      <c r="U2399" s="5">
        <f>OrdersTable[[#This Row],[Gross Sale]]-OrdersTable[[#This Row],[Discount Amount]]</f>
        <v>404.1</v>
      </c>
      <c r="V2399" s="77">
        <f>INDEX(Products!E:E,MATCH(OrdersTable[[#This Row],[Product ID]],Products!A:A,0))</f>
        <v>148</v>
      </c>
      <c r="W2399" s="77">
        <f>OrdersTable[[#This Row],[Quantity]]*OrdersTable[[#This Row],[Unit Cost]]</f>
        <v>148</v>
      </c>
      <c r="X2399" s="77">
        <f>'Dropdown Lists'!$I$2*(1+OrdersTable[[#This Row],[Returned]])</f>
        <v>60</v>
      </c>
      <c r="Y2399" s="76">
        <f>OrdersTable[[#This Row],[Net Revenue]]-OrdersTable[[#This Row],[COGS]]-OrdersTable[[#This Row],[Shipping Cost]]</f>
        <v>196.10000000000002</v>
      </c>
      <c r="Z2399" s="78">
        <f>IFERROR(OrdersTable[[#This Row],[Profit]]/OrdersTable[[#This Row],[Net Revenue]],0)</f>
        <v>0.48527592180153428</v>
      </c>
      <c r="AA2399" t="s">
        <v>3495</v>
      </c>
      <c r="AB2399" s="79">
        <v>45701</v>
      </c>
      <c r="AC2399">
        <f>OrdersTable[[#This Row],[Delivery Date]]-OrdersTable[[#This Row],[Order Date]]</f>
        <v>3</v>
      </c>
      <c r="AD2399" t="str">
        <f>IF(OrdersTable[[#This Row],[Delivery Days]]&lt;=2, "Express (≤2d)", IF(OrdersTable[[#This Row],[Delivery Days]]&lt;=4, "Standard (3-4d)", "Delayed (5d+)"))</f>
        <v>Standard (3-4d)</v>
      </c>
      <c r="AE2399">
        <v>4</v>
      </c>
      <c r="AF2399">
        <v>0</v>
      </c>
    </row>
    <row r="2400" spans="1:32" ht="15" x14ac:dyDescent="0.35">
      <c r="A2400" t="s">
        <v>3896</v>
      </c>
      <c r="B2400" s="1">
        <v>45698</v>
      </c>
      <c r="C2400">
        <f>YEAR(OrdersTable[[#This Row],[Order Date]])</f>
        <v>2025</v>
      </c>
      <c r="D2400" s="2">
        <f>DATE(YEAR(OrdersTable[[#This Row],[Order Date]]),MONTH(OrdersTable[[#This Row],[Order Date]]),1)</f>
        <v>45689</v>
      </c>
      <c r="E2400">
        <f>MONTH(OrdersTable[[#This Row],[Order Date]])</f>
        <v>2</v>
      </c>
      <c r="F2400" t="s">
        <v>1733</v>
      </c>
      <c r="G2400" t="str">
        <f>IF(OrdersTable[[#This Row],[Order Date]]=_xlfn.MINIFS(Order_Date, Customer_ID, OrdersTable[[#This Row],[Customer ID]]), "New", "Repeat")</f>
        <v>Repeat</v>
      </c>
      <c r="H2400" t="s">
        <v>27</v>
      </c>
      <c r="I2400" t="str">
        <f>INDEX(State!B:B,MATCH(OrdersTable[[#This Row],[State]],State!A:A,0))</f>
        <v>WB</v>
      </c>
      <c r="J2400" t="str">
        <f>INDEX(State!C:C,MATCH(OrdersTable[[#This Row],[State Code]],State!B:B,0))</f>
        <v>East</v>
      </c>
      <c r="K2400" t="s">
        <v>28</v>
      </c>
      <c r="L2400" t="s">
        <v>23</v>
      </c>
      <c r="M2400" t="s">
        <v>51</v>
      </c>
      <c r="N2400" t="str">
        <f>INDEX(Products!B:B,MATCH(OrdersTable[[#This Row],[Product ID]],Products!A:A,0))</f>
        <v>Anti-Dandruff Conditioner</v>
      </c>
      <c r="O2400" t="str">
        <f>INDEX(Products!C:C,MATCH(OrdersTable[[#This Row],[Product ID]],Products!A:A,0))</f>
        <v>Haircare</v>
      </c>
      <c r="P2400">
        <v>1</v>
      </c>
      <c r="Q2400" s="5">
        <v>399</v>
      </c>
      <c r="R2400" s="74">
        <v>0.45</v>
      </c>
      <c r="S2400" s="75">
        <f>OrdersTable[[#This Row],[Quantity]]*OrdersTable[[#This Row],[Unit Price]]</f>
        <v>399</v>
      </c>
      <c r="T2400" s="5">
        <f>OrdersTable[[#This Row],[Gross Sale]]*OrdersTable[[#This Row],[Discount_Clean2]]</f>
        <v>179.55</v>
      </c>
      <c r="U2400" s="5">
        <f>OrdersTable[[#This Row],[Gross Sale]]-OrdersTable[[#This Row],[Discount Amount]]</f>
        <v>219.45</v>
      </c>
      <c r="V2400" s="77">
        <f>INDEX(Products!E:E,MATCH(OrdersTable[[#This Row],[Product ID]],Products!A:A,0))</f>
        <v>136</v>
      </c>
      <c r="W2400" s="77">
        <f>OrdersTable[[#This Row],[Quantity]]*OrdersTable[[#This Row],[Unit Cost]]</f>
        <v>136</v>
      </c>
      <c r="X2400" s="77">
        <f>'Dropdown Lists'!$I$2*(1+OrdersTable[[#This Row],[Returned]])</f>
        <v>60</v>
      </c>
      <c r="Y2400" s="76">
        <f>OrdersTable[[#This Row],[Net Revenue]]-OrdersTable[[#This Row],[COGS]]-OrdersTable[[#This Row],[Shipping Cost]]</f>
        <v>23.449999999999989</v>
      </c>
      <c r="Z2400" s="78">
        <f>IFERROR(OrdersTable[[#This Row],[Profit]]/OrdersTable[[#This Row],[Net Revenue]],0)</f>
        <v>0.10685805422647524</v>
      </c>
      <c r="AA2400" t="s">
        <v>3495</v>
      </c>
      <c r="AB2400" s="79">
        <v>45702</v>
      </c>
      <c r="AC2400">
        <f>OrdersTable[[#This Row],[Delivery Date]]-OrdersTable[[#This Row],[Order Date]]</f>
        <v>4</v>
      </c>
      <c r="AD2400" t="str">
        <f>IF(OrdersTable[[#This Row],[Delivery Days]]&lt;=2, "Express (≤2d)", IF(OrdersTable[[#This Row],[Delivery Days]]&lt;=4, "Standard (3-4d)", "Delayed (5d+)"))</f>
        <v>Standard (3-4d)</v>
      </c>
      <c r="AE2400">
        <v>3</v>
      </c>
      <c r="AF2400">
        <v>0</v>
      </c>
    </row>
    <row r="2401" spans="1:32" ht="15" x14ac:dyDescent="0.35">
      <c r="A2401" t="s">
        <v>5390</v>
      </c>
      <c r="B2401" s="1">
        <v>45698</v>
      </c>
      <c r="C2401">
        <f>YEAR(OrdersTable[[#This Row],[Order Date]])</f>
        <v>2025</v>
      </c>
      <c r="D2401" s="2">
        <f>DATE(YEAR(OrdersTable[[#This Row],[Order Date]]),MONTH(OrdersTable[[#This Row],[Order Date]]),1)</f>
        <v>45689</v>
      </c>
      <c r="E2401">
        <f>MONTH(OrdersTable[[#This Row],[Order Date]])</f>
        <v>2</v>
      </c>
      <c r="F2401" t="s">
        <v>2201</v>
      </c>
      <c r="G2401" t="str">
        <f>IF(OrdersTable[[#This Row],[Order Date]]=_xlfn.MINIFS(Order_Date, Customer_ID, OrdersTable[[#This Row],[Customer ID]]), "New", "Repeat")</f>
        <v>Repeat</v>
      </c>
      <c r="H2401" t="s">
        <v>27</v>
      </c>
      <c r="I2401" t="str">
        <f>INDEX(State!B:B,MATCH(OrdersTable[[#This Row],[State]],State!A:A,0))</f>
        <v>WB</v>
      </c>
      <c r="J2401" t="str">
        <f>INDEX(State!C:C,MATCH(OrdersTable[[#This Row],[State Code]],State!B:B,0))</f>
        <v>East</v>
      </c>
      <c r="K2401" t="s">
        <v>28</v>
      </c>
      <c r="L2401" t="s">
        <v>16</v>
      </c>
      <c r="M2401" t="s">
        <v>87</v>
      </c>
      <c r="N2401" t="str">
        <f>INDEX(Products!B:B,MATCH(OrdersTable[[#This Row],[Product ID]],Products!A:A,0))</f>
        <v>Linen Kurta</v>
      </c>
      <c r="O2401" t="str">
        <f>INDEX(Products!C:C,MATCH(OrdersTable[[#This Row],[Product ID]],Products!A:A,0))</f>
        <v>Apparel</v>
      </c>
      <c r="P2401">
        <v>2</v>
      </c>
      <c r="Q2401" s="5">
        <v>1499</v>
      </c>
      <c r="R2401" s="74">
        <v>0.4</v>
      </c>
      <c r="S2401" s="75">
        <f>OrdersTable[[#This Row],[Quantity]]*OrdersTable[[#This Row],[Unit Price]]</f>
        <v>2998</v>
      </c>
      <c r="T2401" s="5">
        <f>OrdersTable[[#This Row],[Gross Sale]]*OrdersTable[[#This Row],[Discount_Clean2]]</f>
        <v>1199.2</v>
      </c>
      <c r="U2401" s="5">
        <f>OrdersTable[[#This Row],[Gross Sale]]-OrdersTable[[#This Row],[Discount Amount]]</f>
        <v>1798.8</v>
      </c>
      <c r="V2401" s="77">
        <f>INDEX(Products!E:E,MATCH(OrdersTable[[#This Row],[Product ID]],Products!A:A,0))</f>
        <v>630</v>
      </c>
      <c r="W2401" s="77">
        <f>OrdersTable[[#This Row],[Quantity]]*OrdersTable[[#This Row],[Unit Cost]]</f>
        <v>1260</v>
      </c>
      <c r="X2401" s="77">
        <f>'Dropdown Lists'!$I$2*(1+OrdersTable[[#This Row],[Returned]])</f>
        <v>60</v>
      </c>
      <c r="Y2401" s="76">
        <f>OrdersTable[[#This Row],[Net Revenue]]-OrdersTable[[#This Row],[COGS]]-OrdersTable[[#This Row],[Shipping Cost]]</f>
        <v>478.79999999999995</v>
      </c>
      <c r="Z2401" s="78">
        <f>IFERROR(OrdersTable[[#This Row],[Profit]]/OrdersTable[[#This Row],[Net Revenue]],0)</f>
        <v>0.26617745163442291</v>
      </c>
      <c r="AA2401" t="s">
        <v>2522</v>
      </c>
      <c r="AB2401" s="79">
        <v>45702</v>
      </c>
      <c r="AC2401">
        <f>OrdersTable[[#This Row],[Delivery Date]]-OrdersTable[[#This Row],[Order Date]]</f>
        <v>4</v>
      </c>
      <c r="AD2401" t="str">
        <f>IF(OrdersTable[[#This Row],[Delivery Days]]&lt;=2, "Express (≤2d)", IF(OrdersTable[[#This Row],[Delivery Days]]&lt;=4, "Standard (3-4d)", "Delayed (5d+)"))</f>
        <v>Standard (3-4d)</v>
      </c>
      <c r="AF2401">
        <v>0</v>
      </c>
    </row>
    <row r="2402" spans="1:32" ht="15" x14ac:dyDescent="0.35">
      <c r="A2402" t="s">
        <v>6151</v>
      </c>
      <c r="B2402" s="1">
        <v>45698</v>
      </c>
      <c r="C2402">
        <f>YEAR(OrdersTable[[#This Row],[Order Date]])</f>
        <v>2025</v>
      </c>
      <c r="D2402" s="2">
        <f>DATE(YEAR(OrdersTable[[#This Row],[Order Date]]),MONTH(OrdersTable[[#This Row],[Order Date]]),1)</f>
        <v>45689</v>
      </c>
      <c r="E2402">
        <f>MONTH(OrdersTable[[#This Row],[Order Date]])</f>
        <v>2</v>
      </c>
      <c r="F2402" t="s">
        <v>6152</v>
      </c>
      <c r="G2402" t="str">
        <f>IF(OrdersTable[[#This Row],[Order Date]]=_xlfn.MINIFS(Order_Date, Customer_ID, OrdersTable[[#This Row],[Customer ID]]), "New", "Repeat")</f>
        <v>New</v>
      </c>
      <c r="H2402" t="s">
        <v>71</v>
      </c>
      <c r="I2402" t="str">
        <f>INDEX(State!B:B,MATCH(OrdersTable[[#This Row],[State]],State!A:A,0))</f>
        <v>MH</v>
      </c>
      <c r="J2402" t="str">
        <f>INDEX(State!C:C,MATCH(OrdersTable[[#This Row],[State Code]],State!B:B,0))</f>
        <v>West</v>
      </c>
      <c r="K2402" t="s">
        <v>81</v>
      </c>
      <c r="L2402" t="s">
        <v>16</v>
      </c>
      <c r="M2402" t="s">
        <v>205</v>
      </c>
      <c r="N2402" t="str">
        <f>INDEX(Products!B:B,MATCH(OrdersTable[[#This Row],[Product ID]],Products!A:A,0))</f>
        <v>Running Shoes</v>
      </c>
      <c r="O2402" t="str">
        <f>INDEX(Products!C:C,MATCH(OrdersTable[[#This Row],[Product ID]],Products!A:A,0))</f>
        <v>Footwear</v>
      </c>
      <c r="P2402">
        <v>2</v>
      </c>
      <c r="Q2402" s="5">
        <v>2999</v>
      </c>
      <c r="R2402" s="74">
        <v>0.2</v>
      </c>
      <c r="S2402" s="75">
        <f>OrdersTable[[#This Row],[Quantity]]*OrdersTable[[#This Row],[Unit Price]]</f>
        <v>5998</v>
      </c>
      <c r="T2402" s="5">
        <f>OrdersTable[[#This Row],[Gross Sale]]*OrdersTable[[#This Row],[Discount_Clean2]]</f>
        <v>1199.6000000000001</v>
      </c>
      <c r="U2402" s="5">
        <f>OrdersTable[[#This Row],[Gross Sale]]-OrdersTable[[#This Row],[Discount Amount]]</f>
        <v>4798.3999999999996</v>
      </c>
      <c r="V2402" s="77">
        <f>INDEX(Products!E:E,MATCH(OrdersTable[[#This Row],[Product ID]],Products!A:A,0))</f>
        <v>1440</v>
      </c>
      <c r="W2402" s="77">
        <f>OrdersTable[[#This Row],[Quantity]]*OrdersTable[[#This Row],[Unit Cost]]</f>
        <v>2880</v>
      </c>
      <c r="X2402" s="77">
        <f>'Dropdown Lists'!$I$2*(1+OrdersTable[[#This Row],[Returned]])</f>
        <v>120</v>
      </c>
      <c r="Y2402" s="76">
        <f>OrdersTable[[#This Row],[Net Revenue]]-OrdersTable[[#This Row],[COGS]]-OrdersTable[[#This Row],[Shipping Cost]]</f>
        <v>1798.3999999999996</v>
      </c>
      <c r="Z2402" s="78">
        <f>IFERROR(OrdersTable[[#This Row],[Profit]]/OrdersTable[[#This Row],[Net Revenue]],0)</f>
        <v>0.3747915971990663</v>
      </c>
      <c r="AA2402" t="s">
        <v>18</v>
      </c>
      <c r="AB2402" s="79">
        <v>45699</v>
      </c>
      <c r="AC2402">
        <f>OrdersTable[[#This Row],[Delivery Date]]-OrdersTable[[#This Row],[Order Date]]</f>
        <v>1</v>
      </c>
      <c r="AD2402" t="str">
        <f>IF(OrdersTable[[#This Row],[Delivery Days]]&lt;=2, "Express (≤2d)", IF(OrdersTable[[#This Row],[Delivery Days]]&lt;=4, "Standard (3-4d)", "Delayed (5d+)"))</f>
        <v>Express (≤2d)</v>
      </c>
      <c r="AE2402">
        <v>4</v>
      </c>
      <c r="AF2402">
        <v>1</v>
      </c>
    </row>
    <row r="2403" spans="1:32" ht="15" x14ac:dyDescent="0.35">
      <c r="A2403" t="s">
        <v>1710</v>
      </c>
      <c r="B2403" s="1">
        <v>45698</v>
      </c>
      <c r="C2403">
        <f>YEAR(OrdersTable[[#This Row],[Order Date]])</f>
        <v>2025</v>
      </c>
      <c r="D2403" s="2">
        <f>DATE(YEAR(OrdersTable[[#This Row],[Order Date]]),MONTH(OrdersTable[[#This Row],[Order Date]]),1)</f>
        <v>45689</v>
      </c>
      <c r="E2403">
        <f>MONTH(OrdersTable[[#This Row],[Order Date]])</f>
        <v>2</v>
      </c>
      <c r="F2403" t="s">
        <v>270</v>
      </c>
      <c r="G2403" t="str">
        <f>IF(OrdersTable[[#This Row],[Order Date]]=_xlfn.MINIFS(Order_Date, Customer_ID, OrdersTable[[#This Row],[Customer ID]]), "New", "Repeat")</f>
        <v>Repeat</v>
      </c>
      <c r="H2403" t="s">
        <v>71</v>
      </c>
      <c r="I2403" t="str">
        <f>INDEX(State!B:B,MATCH(OrdersTable[[#This Row],[State]],State!A:A,0))</f>
        <v>MH</v>
      </c>
      <c r="J2403" t="str">
        <f>INDEX(State!C:C,MATCH(OrdersTable[[#This Row],[State Code]],State!B:B,0))</f>
        <v>West</v>
      </c>
      <c r="K2403" t="s">
        <v>81</v>
      </c>
      <c r="L2403" t="s">
        <v>65</v>
      </c>
      <c r="M2403" t="s">
        <v>45</v>
      </c>
      <c r="N2403" t="str">
        <f>INDEX(Products!B:B,MATCH(OrdersTable[[#This Row],[Product ID]],Products!A:A,0))</f>
        <v>Argan Shampoo</v>
      </c>
      <c r="O2403" t="str">
        <f>INDEX(Products!C:C,MATCH(OrdersTable[[#This Row],[Product ID]],Products!A:A,0))</f>
        <v>Haircare</v>
      </c>
      <c r="P2403">
        <v>1</v>
      </c>
      <c r="Q2403" s="5">
        <v>449</v>
      </c>
      <c r="R2403" s="74">
        <v>0</v>
      </c>
      <c r="S2403" s="75">
        <f>OrdersTable[[#This Row],[Quantity]]*OrdersTable[[#This Row],[Unit Price]]</f>
        <v>449</v>
      </c>
      <c r="T2403" s="5">
        <f>OrdersTable[[#This Row],[Gross Sale]]*OrdersTable[[#This Row],[Discount_Clean2]]</f>
        <v>0</v>
      </c>
      <c r="U2403" s="5">
        <f>OrdersTable[[#This Row],[Gross Sale]]-OrdersTable[[#This Row],[Discount Amount]]</f>
        <v>449</v>
      </c>
      <c r="V2403" s="77">
        <f>INDEX(Products!E:E,MATCH(OrdersTable[[#This Row],[Product ID]],Products!A:A,0))</f>
        <v>148</v>
      </c>
      <c r="W2403" s="77">
        <f>OrdersTable[[#This Row],[Quantity]]*OrdersTable[[#This Row],[Unit Cost]]</f>
        <v>148</v>
      </c>
      <c r="X2403" s="77">
        <f>'Dropdown Lists'!$I$2*(1+OrdersTable[[#This Row],[Returned]])</f>
        <v>60</v>
      </c>
      <c r="Y2403" s="76">
        <f>OrdersTable[[#This Row],[Net Revenue]]-OrdersTable[[#This Row],[COGS]]-OrdersTable[[#This Row],[Shipping Cost]]</f>
        <v>241</v>
      </c>
      <c r="Z2403" s="78">
        <f>IFERROR(OrdersTable[[#This Row],[Profit]]/OrdersTable[[#This Row],[Net Revenue]],0)</f>
        <v>0.53674832962138086</v>
      </c>
      <c r="AA2403" t="s">
        <v>18</v>
      </c>
      <c r="AB2403" s="79">
        <v>45701</v>
      </c>
      <c r="AC2403">
        <f>OrdersTable[[#This Row],[Delivery Date]]-OrdersTable[[#This Row],[Order Date]]</f>
        <v>3</v>
      </c>
      <c r="AD2403" t="str">
        <f>IF(OrdersTable[[#This Row],[Delivery Days]]&lt;=2, "Express (≤2d)", IF(OrdersTable[[#This Row],[Delivery Days]]&lt;=4, "Standard (3-4d)", "Delayed (5d+)"))</f>
        <v>Standard (3-4d)</v>
      </c>
      <c r="AF2403">
        <v>0</v>
      </c>
    </row>
    <row r="2404" spans="1:32" ht="15" x14ac:dyDescent="0.35">
      <c r="A2404" t="s">
        <v>6989</v>
      </c>
      <c r="B2404" s="1">
        <v>45698</v>
      </c>
      <c r="C2404">
        <f>YEAR(OrdersTable[[#This Row],[Order Date]])</f>
        <v>2025</v>
      </c>
      <c r="D2404" s="2">
        <f>DATE(YEAR(OrdersTable[[#This Row],[Order Date]]),MONTH(OrdersTable[[#This Row],[Order Date]]),1)</f>
        <v>45689</v>
      </c>
      <c r="E2404">
        <f>MONTH(OrdersTable[[#This Row],[Order Date]])</f>
        <v>2</v>
      </c>
      <c r="F2404" t="s">
        <v>1557</v>
      </c>
      <c r="G2404" t="str">
        <f>IF(OrdersTable[[#This Row],[Order Date]]=_xlfn.MINIFS(Order_Date, Customer_ID, OrdersTable[[#This Row],[Customer ID]]), "New", "Repeat")</f>
        <v>Repeat</v>
      </c>
      <c r="H2404" t="s">
        <v>71</v>
      </c>
      <c r="I2404" t="str">
        <f>INDEX(State!B:B,MATCH(OrdersTable[[#This Row],[State]],State!A:A,0))</f>
        <v>MH</v>
      </c>
      <c r="J2404" t="str">
        <f>INDEX(State!C:C,MATCH(OrdersTable[[#This Row],[State Code]],State!B:B,0))</f>
        <v>West</v>
      </c>
      <c r="K2404" t="s">
        <v>102</v>
      </c>
      <c r="L2404" t="s">
        <v>50</v>
      </c>
      <c r="M2404" t="s">
        <v>56</v>
      </c>
      <c r="N2404" t="str">
        <f>INDEX(Products!B:B,MATCH(OrdersTable[[#This Row],[Product ID]],Products!A:A,0))</f>
        <v>Vitamin C Face Serum</v>
      </c>
      <c r="O2404" t="str">
        <f>INDEX(Products!C:C,MATCH(OrdersTable[[#This Row],[Product ID]],Products!A:A,0))</f>
        <v>Skincare</v>
      </c>
      <c r="P2404">
        <v>4</v>
      </c>
      <c r="Q2404" s="5">
        <v>599</v>
      </c>
      <c r="R2404" s="74">
        <v>0.2</v>
      </c>
      <c r="S2404" s="75">
        <f>OrdersTable[[#This Row],[Quantity]]*OrdersTable[[#This Row],[Unit Price]]</f>
        <v>2396</v>
      </c>
      <c r="T2404" s="5">
        <f>OrdersTable[[#This Row],[Gross Sale]]*OrdersTable[[#This Row],[Discount_Clean2]]</f>
        <v>479.20000000000005</v>
      </c>
      <c r="U2404" s="5">
        <f>OrdersTable[[#This Row],[Gross Sale]]-OrdersTable[[#This Row],[Discount Amount]]</f>
        <v>1916.8</v>
      </c>
      <c r="V2404" s="77">
        <f>INDEX(Products!E:E,MATCH(OrdersTable[[#This Row],[Product ID]],Products!A:A,0))</f>
        <v>180</v>
      </c>
      <c r="W2404" s="77">
        <f>OrdersTable[[#This Row],[Quantity]]*OrdersTable[[#This Row],[Unit Cost]]</f>
        <v>720</v>
      </c>
      <c r="X2404" s="77">
        <f>'Dropdown Lists'!$I$2*(1+OrdersTable[[#This Row],[Returned]])</f>
        <v>60</v>
      </c>
      <c r="Y2404" s="76">
        <f>OrdersTable[[#This Row],[Net Revenue]]-OrdersTable[[#This Row],[COGS]]-OrdersTable[[#This Row],[Shipping Cost]]</f>
        <v>1136.8</v>
      </c>
      <c r="Z2404" s="78">
        <f>IFERROR(OrdersTable[[#This Row],[Profit]]/OrdersTable[[#This Row],[Net Revenue]],0)</f>
        <v>0.59307178631051749</v>
      </c>
      <c r="AA2404" t="s">
        <v>3495</v>
      </c>
      <c r="AB2404" s="79">
        <v>45701</v>
      </c>
      <c r="AC2404">
        <f>OrdersTable[[#This Row],[Delivery Date]]-OrdersTable[[#This Row],[Order Date]]</f>
        <v>3</v>
      </c>
      <c r="AD2404" t="str">
        <f>IF(OrdersTable[[#This Row],[Delivery Days]]&lt;=2, "Express (≤2d)", IF(OrdersTable[[#This Row],[Delivery Days]]&lt;=4, "Standard (3-4d)", "Delayed (5d+)"))</f>
        <v>Standard (3-4d)</v>
      </c>
      <c r="AE2404">
        <v>4</v>
      </c>
      <c r="AF2404">
        <v>0</v>
      </c>
    </row>
    <row r="2405" spans="1:32" ht="15" x14ac:dyDescent="0.35">
      <c r="A2405" t="s">
        <v>3254</v>
      </c>
      <c r="B2405" s="1">
        <v>45699</v>
      </c>
      <c r="C2405">
        <f>YEAR(OrdersTable[[#This Row],[Order Date]])</f>
        <v>2025</v>
      </c>
      <c r="D2405" s="2">
        <f>DATE(YEAR(OrdersTable[[#This Row],[Order Date]]),MONTH(OrdersTable[[#This Row],[Order Date]]),1)</f>
        <v>45689</v>
      </c>
      <c r="E2405">
        <f>MONTH(OrdersTable[[#This Row],[Order Date]])</f>
        <v>2</v>
      </c>
      <c r="F2405" t="s">
        <v>3033</v>
      </c>
      <c r="G2405" t="str">
        <f>IF(OrdersTable[[#This Row],[Order Date]]=_xlfn.MINIFS(Order_Date, Customer_ID, OrdersTable[[#This Row],[Customer ID]]), "New", "Repeat")</f>
        <v>Repeat</v>
      </c>
      <c r="H2405" t="s">
        <v>21</v>
      </c>
      <c r="I2405" t="str">
        <f>INDEX(State!B:B,MATCH(OrdersTable[[#This Row],[State]],State!A:A,0))</f>
        <v>PB</v>
      </c>
      <c r="J2405" t="str">
        <f>INDEX(State!C:C,MATCH(OrdersTable[[#This Row],[State Code]],State!B:B,0))</f>
        <v>North</v>
      </c>
      <c r="K2405" t="s">
        <v>22</v>
      </c>
      <c r="L2405" t="s">
        <v>50</v>
      </c>
      <c r="M2405" t="s">
        <v>73</v>
      </c>
      <c r="N2405" t="str">
        <f>INDEX(Products!B:B,MATCH(OrdersTable[[#This Row],[Product ID]],Products!A:A,0))</f>
        <v>Hydrating Face Wash</v>
      </c>
      <c r="O2405" t="str">
        <f>INDEX(Products!C:C,MATCH(OrdersTable[[#This Row],[Product ID]],Products!A:A,0))</f>
        <v>Skincare</v>
      </c>
      <c r="P2405">
        <v>1</v>
      </c>
      <c r="Q2405" s="5">
        <v>299</v>
      </c>
      <c r="R2405" s="74">
        <v>0</v>
      </c>
      <c r="S2405" s="75">
        <f>OrdersTable[[#This Row],[Quantity]]*OrdersTable[[#This Row],[Unit Price]]</f>
        <v>299</v>
      </c>
      <c r="T2405" s="5">
        <f>OrdersTable[[#This Row],[Gross Sale]]*OrdersTable[[#This Row],[Discount_Clean2]]</f>
        <v>0</v>
      </c>
      <c r="U2405" s="5">
        <f>OrdersTable[[#This Row],[Gross Sale]]-OrdersTable[[#This Row],[Discount Amount]]</f>
        <v>299</v>
      </c>
      <c r="V2405" s="77">
        <f>INDEX(Products!E:E,MATCH(OrdersTable[[#This Row],[Product ID]],Products!A:A,0))</f>
        <v>90</v>
      </c>
      <c r="W2405" s="77">
        <f>OrdersTable[[#This Row],[Quantity]]*OrdersTable[[#This Row],[Unit Cost]]</f>
        <v>90</v>
      </c>
      <c r="X2405" s="77">
        <f>'Dropdown Lists'!$I$2*(1+OrdersTable[[#This Row],[Returned]])</f>
        <v>60</v>
      </c>
      <c r="Y2405" s="76">
        <f>OrdersTable[[#This Row],[Net Revenue]]-OrdersTable[[#This Row],[COGS]]-OrdersTable[[#This Row],[Shipping Cost]]</f>
        <v>149</v>
      </c>
      <c r="Z2405" s="78">
        <f>IFERROR(OrdersTable[[#This Row],[Profit]]/OrdersTable[[#This Row],[Net Revenue]],0)</f>
        <v>0.49832775919732442</v>
      </c>
      <c r="AA2405" t="s">
        <v>2522</v>
      </c>
      <c r="AB2405" s="79">
        <v>45702</v>
      </c>
      <c r="AC2405">
        <f>OrdersTable[[#This Row],[Delivery Date]]-OrdersTable[[#This Row],[Order Date]]</f>
        <v>3</v>
      </c>
      <c r="AD2405" t="str">
        <f>IF(OrdersTable[[#This Row],[Delivery Days]]&lt;=2, "Express (≤2d)", IF(OrdersTable[[#This Row],[Delivery Days]]&lt;=4, "Standard (3-4d)", "Delayed (5d+)"))</f>
        <v>Standard (3-4d)</v>
      </c>
      <c r="AE2405">
        <v>4</v>
      </c>
      <c r="AF2405">
        <v>0</v>
      </c>
    </row>
    <row r="2406" spans="1:32" ht="15" x14ac:dyDescent="0.35">
      <c r="A2406" t="s">
        <v>2360</v>
      </c>
      <c r="B2406" s="1">
        <v>45699</v>
      </c>
      <c r="C2406">
        <f>YEAR(OrdersTable[[#This Row],[Order Date]])</f>
        <v>2025</v>
      </c>
      <c r="D2406" s="2">
        <f>DATE(YEAR(OrdersTable[[#This Row],[Order Date]]),MONTH(OrdersTable[[#This Row],[Order Date]]),1)</f>
        <v>45689</v>
      </c>
      <c r="E2406">
        <f>MONTH(OrdersTable[[#This Row],[Order Date]])</f>
        <v>2</v>
      </c>
      <c r="F2406" t="s">
        <v>935</v>
      </c>
      <c r="G2406" t="str">
        <f>IF(OrdersTable[[#This Row],[Order Date]]=_xlfn.MINIFS(Order_Date, Customer_ID, OrdersTable[[#This Row],[Customer ID]]), "New", "Repeat")</f>
        <v>Repeat</v>
      </c>
      <c r="H2406" t="s">
        <v>128</v>
      </c>
      <c r="I2406" t="str">
        <f>INDEX(State!B:B,MATCH(OrdersTable[[#This Row],[State]],State!A:A,0))</f>
        <v>DL</v>
      </c>
      <c r="J2406" t="str">
        <f>INDEX(State!C:C,MATCH(OrdersTable[[#This Row],[State Code]],State!B:B,0))</f>
        <v>North</v>
      </c>
      <c r="K2406" t="s">
        <v>129</v>
      </c>
      <c r="L2406" t="s">
        <v>16</v>
      </c>
      <c r="M2406" t="s">
        <v>176</v>
      </c>
      <c r="N2406" t="str">
        <f>INDEX(Products!B:B,MATCH(OrdersTable[[#This Row],[Product ID]],Products!A:A,0))</f>
        <v>Denim Jacket</v>
      </c>
      <c r="O2406" t="str">
        <f>INDEX(Products!C:C,MATCH(OrdersTable[[#This Row],[Product ID]],Products!A:A,0))</f>
        <v>Apparel</v>
      </c>
      <c r="P2406">
        <v>1</v>
      </c>
      <c r="Q2406" s="5">
        <v>2499</v>
      </c>
      <c r="R2406" s="74">
        <v>0.1</v>
      </c>
      <c r="S2406" s="75">
        <f>OrdersTable[[#This Row],[Quantity]]*OrdersTable[[#This Row],[Unit Price]]</f>
        <v>2499</v>
      </c>
      <c r="T2406" s="5">
        <f>OrdersTable[[#This Row],[Gross Sale]]*OrdersTable[[#This Row],[Discount_Clean2]]</f>
        <v>249.9</v>
      </c>
      <c r="U2406" s="5">
        <f>OrdersTable[[#This Row],[Gross Sale]]-OrdersTable[[#This Row],[Discount Amount]]</f>
        <v>2249.1</v>
      </c>
      <c r="V2406" s="77">
        <f>INDEX(Products!E:E,MATCH(OrdersTable[[#This Row],[Product ID]],Products!A:A,0))</f>
        <v>1125</v>
      </c>
      <c r="W2406" s="77">
        <f>OrdersTable[[#This Row],[Quantity]]*OrdersTable[[#This Row],[Unit Cost]]</f>
        <v>1125</v>
      </c>
      <c r="X2406" s="77">
        <f>'Dropdown Lists'!$I$2*(1+OrdersTable[[#This Row],[Returned]])</f>
        <v>120</v>
      </c>
      <c r="Y2406" s="76">
        <f>OrdersTable[[#This Row],[Net Revenue]]-OrdersTable[[#This Row],[COGS]]-OrdersTable[[#This Row],[Shipping Cost]]</f>
        <v>1004.0999999999999</v>
      </c>
      <c r="Z2406" s="78">
        <f>IFERROR(OrdersTable[[#This Row],[Profit]]/OrdersTable[[#This Row],[Net Revenue]],0)</f>
        <v>0.44644524476457248</v>
      </c>
      <c r="AA2406" t="s">
        <v>18</v>
      </c>
      <c r="AB2406" s="79">
        <v>45700</v>
      </c>
      <c r="AC2406">
        <f>OrdersTable[[#This Row],[Delivery Date]]-OrdersTable[[#This Row],[Order Date]]</f>
        <v>1</v>
      </c>
      <c r="AD2406" t="str">
        <f>IF(OrdersTable[[#This Row],[Delivery Days]]&lt;=2, "Express (≤2d)", IF(OrdersTable[[#This Row],[Delivery Days]]&lt;=4, "Standard (3-4d)", "Delayed (5d+)"))</f>
        <v>Express (≤2d)</v>
      </c>
      <c r="AE2406">
        <v>5</v>
      </c>
      <c r="AF2406">
        <v>1</v>
      </c>
    </row>
    <row r="2407" spans="1:32" ht="15" x14ac:dyDescent="0.35">
      <c r="A2407" t="s">
        <v>3598</v>
      </c>
      <c r="B2407" s="1">
        <v>45699</v>
      </c>
      <c r="C2407">
        <f>YEAR(OrdersTable[[#This Row],[Order Date]])</f>
        <v>2025</v>
      </c>
      <c r="D2407" s="2">
        <f>DATE(YEAR(OrdersTable[[#This Row],[Order Date]]),MONTH(OrdersTable[[#This Row],[Order Date]]),1)</f>
        <v>45689</v>
      </c>
      <c r="E2407">
        <f>MONTH(OrdersTable[[#This Row],[Order Date]])</f>
        <v>2</v>
      </c>
      <c r="F2407" t="s">
        <v>3599</v>
      </c>
      <c r="G2407" t="str">
        <f>IF(OrdersTable[[#This Row],[Order Date]]=_xlfn.MINIFS(Order_Date, Customer_ID, OrdersTable[[#This Row],[Customer ID]]), "New", "Repeat")</f>
        <v>New</v>
      </c>
      <c r="H2407" t="s">
        <v>128</v>
      </c>
      <c r="I2407" t="str">
        <f>INDEX(State!B:B,MATCH(OrdersTable[[#This Row],[State]],State!A:A,0))</f>
        <v>DL</v>
      </c>
      <c r="J2407" t="str">
        <f>INDEX(State!C:C,MATCH(OrdersTable[[#This Row],[State Code]],State!B:B,0))</f>
        <v>North</v>
      </c>
      <c r="K2407" t="s">
        <v>129</v>
      </c>
      <c r="L2407" t="s">
        <v>23</v>
      </c>
      <c r="M2407" t="s">
        <v>152</v>
      </c>
      <c r="N2407" t="str">
        <f>INDEX(Products!B:B,MATCH(OrdersTable[[#This Row],[Product ID]],Products!A:A,0))</f>
        <v>Green Tea (100 bags)</v>
      </c>
      <c r="O2407" t="str">
        <f>INDEX(Products!C:C,MATCH(OrdersTable[[#This Row],[Product ID]],Products!A:A,0))</f>
        <v>Wellness</v>
      </c>
      <c r="P2407">
        <v>1</v>
      </c>
      <c r="Q2407" s="5">
        <v>399</v>
      </c>
      <c r="R2407" s="74">
        <v>0.4</v>
      </c>
      <c r="S2407" s="75">
        <f>OrdersTable[[#This Row],[Quantity]]*OrdersTable[[#This Row],[Unit Price]]</f>
        <v>399</v>
      </c>
      <c r="T2407" s="5">
        <f>OrdersTable[[#This Row],[Gross Sale]]*OrdersTable[[#This Row],[Discount_Clean2]]</f>
        <v>159.60000000000002</v>
      </c>
      <c r="U2407" s="5">
        <f>OrdersTable[[#This Row],[Gross Sale]]-OrdersTable[[#This Row],[Discount Amount]]</f>
        <v>239.39999999999998</v>
      </c>
      <c r="V2407" s="77">
        <f>INDEX(Products!E:E,MATCH(OrdersTable[[#This Row],[Product ID]],Products!A:A,0))</f>
        <v>128</v>
      </c>
      <c r="W2407" s="77">
        <f>OrdersTable[[#This Row],[Quantity]]*OrdersTable[[#This Row],[Unit Cost]]</f>
        <v>128</v>
      </c>
      <c r="X2407" s="77">
        <f>'Dropdown Lists'!$I$2*(1+OrdersTable[[#This Row],[Returned]])</f>
        <v>60</v>
      </c>
      <c r="Y2407" s="76">
        <f>OrdersTable[[#This Row],[Net Revenue]]-OrdersTable[[#This Row],[COGS]]-OrdersTable[[#This Row],[Shipping Cost]]</f>
        <v>51.399999999999977</v>
      </c>
      <c r="Z2407" s="78">
        <f>IFERROR(OrdersTable[[#This Row],[Profit]]/OrdersTable[[#This Row],[Net Revenue]],0)</f>
        <v>0.21470342522974095</v>
      </c>
      <c r="AA2407" t="s">
        <v>3495</v>
      </c>
      <c r="AB2407" s="79">
        <v>45700</v>
      </c>
      <c r="AC2407">
        <f>OrdersTable[[#This Row],[Delivery Date]]-OrdersTable[[#This Row],[Order Date]]</f>
        <v>1</v>
      </c>
      <c r="AD2407" t="str">
        <f>IF(OrdersTable[[#This Row],[Delivery Days]]&lt;=2, "Express (≤2d)", IF(OrdersTable[[#This Row],[Delivery Days]]&lt;=4, "Standard (3-4d)", "Delayed (5d+)"))</f>
        <v>Express (≤2d)</v>
      </c>
      <c r="AE2407">
        <v>4</v>
      </c>
      <c r="AF2407">
        <v>0</v>
      </c>
    </row>
    <row r="2408" spans="1:32" ht="15" x14ac:dyDescent="0.35">
      <c r="A2408" t="s">
        <v>5391</v>
      </c>
      <c r="B2408" s="1">
        <v>45699</v>
      </c>
      <c r="C2408">
        <f>YEAR(OrdersTable[[#This Row],[Order Date]])</f>
        <v>2025</v>
      </c>
      <c r="D2408" s="2">
        <f>DATE(YEAR(OrdersTable[[#This Row],[Order Date]]),MONTH(OrdersTable[[#This Row],[Order Date]]),1)</f>
        <v>45689</v>
      </c>
      <c r="E2408">
        <f>MONTH(OrdersTable[[#This Row],[Order Date]])</f>
        <v>2</v>
      </c>
      <c r="F2408" t="s">
        <v>5392</v>
      </c>
      <c r="G2408" t="str">
        <f>IF(OrdersTable[[#This Row],[Order Date]]=_xlfn.MINIFS(Order_Date, Customer_ID, OrdersTable[[#This Row],[Customer ID]]), "New", "Repeat")</f>
        <v>New</v>
      </c>
      <c r="H2408" t="s">
        <v>37</v>
      </c>
      <c r="I2408" t="str">
        <f>INDEX(State!B:B,MATCH(OrdersTable[[#This Row],[State]],State!A:A,0))</f>
        <v>GJ</v>
      </c>
      <c r="J2408" t="str">
        <f>INDEX(State!C:C,MATCH(OrdersTable[[#This Row],[State Code]],State!B:B,0))</f>
        <v>West</v>
      </c>
      <c r="K2408" t="s">
        <v>247</v>
      </c>
      <c r="L2408" t="s">
        <v>16</v>
      </c>
      <c r="M2408" t="s">
        <v>576</v>
      </c>
      <c r="N2408" t="str">
        <f>INDEX(Products!B:B,MATCH(OrdersTable[[#This Row],[Product ID]],Products!A:A,0))</f>
        <v>Printed Saree</v>
      </c>
      <c r="O2408" t="str">
        <f>INDEX(Products!C:C,MATCH(OrdersTable[[#This Row],[Product ID]],Products!A:A,0))</f>
        <v>Apparel</v>
      </c>
      <c r="P2408">
        <v>2</v>
      </c>
      <c r="Q2408" s="5">
        <v>1999</v>
      </c>
      <c r="R2408" s="74">
        <v>0.15</v>
      </c>
      <c r="S2408" s="75">
        <f>OrdersTable[[#This Row],[Quantity]]*OrdersTable[[#This Row],[Unit Price]]</f>
        <v>3998</v>
      </c>
      <c r="T2408" s="5">
        <f>OrdersTable[[#This Row],[Gross Sale]]*OrdersTable[[#This Row],[Discount_Clean2]]</f>
        <v>599.69999999999993</v>
      </c>
      <c r="U2408" s="5">
        <f>OrdersTable[[#This Row],[Gross Sale]]-OrdersTable[[#This Row],[Discount Amount]]</f>
        <v>3398.3</v>
      </c>
      <c r="V2408" s="77">
        <f>INDEX(Products!E:E,MATCH(OrdersTable[[#This Row],[Product ID]],Products!A:A,0))</f>
        <v>880</v>
      </c>
      <c r="W2408" s="77">
        <f>OrdersTable[[#This Row],[Quantity]]*OrdersTable[[#This Row],[Unit Cost]]</f>
        <v>1760</v>
      </c>
      <c r="X2408" s="77">
        <f>'Dropdown Lists'!$I$2*(1+OrdersTable[[#This Row],[Returned]])</f>
        <v>60</v>
      </c>
      <c r="Y2408" s="76">
        <f>OrdersTable[[#This Row],[Net Revenue]]-OrdersTable[[#This Row],[COGS]]-OrdersTable[[#This Row],[Shipping Cost]]</f>
        <v>1578.3000000000002</v>
      </c>
      <c r="Z2408" s="78">
        <f>IFERROR(OrdersTable[[#This Row],[Profit]]/OrdersTable[[#This Row],[Net Revenue]],0)</f>
        <v>0.464438101403643</v>
      </c>
      <c r="AA2408" t="s">
        <v>2522</v>
      </c>
      <c r="AB2408" s="79">
        <v>45705</v>
      </c>
      <c r="AC2408">
        <f>OrdersTable[[#This Row],[Delivery Date]]-OrdersTable[[#This Row],[Order Date]]</f>
        <v>6</v>
      </c>
      <c r="AD2408" t="str">
        <f>IF(OrdersTable[[#This Row],[Delivery Days]]&lt;=2, "Express (≤2d)", IF(OrdersTable[[#This Row],[Delivery Days]]&lt;=4, "Standard (3-4d)", "Delayed (5d+)"))</f>
        <v>Delayed (5d+)</v>
      </c>
      <c r="AE2408">
        <v>3</v>
      </c>
      <c r="AF2408">
        <v>0</v>
      </c>
    </row>
    <row r="2409" spans="1:32" ht="15" x14ac:dyDescent="0.35">
      <c r="A2409" t="s">
        <v>4980</v>
      </c>
      <c r="B2409" s="1">
        <v>45699</v>
      </c>
      <c r="C2409">
        <f>YEAR(OrdersTable[[#This Row],[Order Date]])</f>
        <v>2025</v>
      </c>
      <c r="D2409" s="2">
        <f>DATE(YEAR(OrdersTable[[#This Row],[Order Date]]),MONTH(OrdersTable[[#This Row],[Order Date]]),1)</f>
        <v>45689</v>
      </c>
      <c r="E2409">
        <f>MONTH(OrdersTable[[#This Row],[Order Date]])</f>
        <v>2</v>
      </c>
      <c r="F2409" t="s">
        <v>3068</v>
      </c>
      <c r="G2409" t="str">
        <f>IF(OrdersTable[[#This Row],[Order Date]]=_xlfn.MINIFS(Order_Date, Customer_ID, OrdersTable[[#This Row],[Customer ID]]), "New", "Repeat")</f>
        <v>New</v>
      </c>
      <c r="H2409" t="s">
        <v>27</v>
      </c>
      <c r="I2409" t="str">
        <f>INDEX(State!B:B,MATCH(OrdersTable[[#This Row],[State]],State!A:A,0))</f>
        <v>WB</v>
      </c>
      <c r="J2409" t="str">
        <f>INDEX(State!C:C,MATCH(OrdersTable[[#This Row],[State Code]],State!B:B,0))</f>
        <v>East</v>
      </c>
      <c r="K2409" t="s">
        <v>28</v>
      </c>
      <c r="L2409" t="s">
        <v>65</v>
      </c>
      <c r="M2409" t="s">
        <v>66</v>
      </c>
      <c r="N2409" t="str">
        <f>INDEX(Products!B:B,MATCH(OrdersTable[[#This Row],[Product ID]],Products!A:A,0))</f>
        <v>Sunscreen SPF 50</v>
      </c>
      <c r="O2409" t="str">
        <f>INDEX(Products!C:C,MATCH(OrdersTable[[#This Row],[Product ID]],Products!A:A,0))</f>
        <v>Skincare</v>
      </c>
      <c r="P2409">
        <v>2</v>
      </c>
      <c r="Q2409" s="5">
        <v>449</v>
      </c>
      <c r="R2409" s="74">
        <v>0.05</v>
      </c>
      <c r="S2409" s="75">
        <f>OrdersTable[[#This Row],[Quantity]]*OrdersTable[[#This Row],[Unit Price]]</f>
        <v>898</v>
      </c>
      <c r="T2409" s="5">
        <f>OrdersTable[[#This Row],[Gross Sale]]*OrdersTable[[#This Row],[Discount_Clean2]]</f>
        <v>44.900000000000006</v>
      </c>
      <c r="U2409" s="5">
        <f>OrdersTable[[#This Row],[Gross Sale]]-OrdersTable[[#This Row],[Discount Amount]]</f>
        <v>853.1</v>
      </c>
      <c r="V2409" s="77">
        <f>INDEX(Products!E:E,MATCH(OrdersTable[[#This Row],[Product ID]],Products!A:A,0))</f>
        <v>144</v>
      </c>
      <c r="W2409" s="77">
        <f>OrdersTable[[#This Row],[Quantity]]*OrdersTable[[#This Row],[Unit Cost]]</f>
        <v>288</v>
      </c>
      <c r="X2409" s="77">
        <f>'Dropdown Lists'!$I$2*(1+OrdersTable[[#This Row],[Returned]])</f>
        <v>60</v>
      </c>
      <c r="Y2409" s="76">
        <f>OrdersTable[[#This Row],[Net Revenue]]-OrdersTable[[#This Row],[COGS]]-OrdersTable[[#This Row],[Shipping Cost]]</f>
        <v>505.1</v>
      </c>
      <c r="Z2409" s="78">
        <f>IFERROR(OrdersTable[[#This Row],[Profit]]/OrdersTable[[#This Row],[Net Revenue]],0)</f>
        <v>0.59207595826983939</v>
      </c>
      <c r="AA2409" t="s">
        <v>4074</v>
      </c>
      <c r="AB2409" s="79">
        <v>45703</v>
      </c>
      <c r="AC2409">
        <f>OrdersTable[[#This Row],[Delivery Date]]-OrdersTable[[#This Row],[Order Date]]</f>
        <v>4</v>
      </c>
      <c r="AD2409" t="str">
        <f>IF(OrdersTable[[#This Row],[Delivery Days]]&lt;=2, "Express (≤2d)", IF(OrdersTable[[#This Row],[Delivery Days]]&lt;=4, "Standard (3-4d)", "Delayed (5d+)"))</f>
        <v>Standard (3-4d)</v>
      </c>
      <c r="AF2409">
        <v>0</v>
      </c>
    </row>
    <row r="2410" spans="1:32" ht="15" x14ac:dyDescent="0.35">
      <c r="A2410" t="s">
        <v>3753</v>
      </c>
      <c r="B2410" s="1">
        <v>45699</v>
      </c>
      <c r="C2410">
        <f>YEAR(OrdersTable[[#This Row],[Order Date]])</f>
        <v>2025</v>
      </c>
      <c r="D2410" s="2">
        <f>DATE(YEAR(OrdersTable[[#This Row],[Order Date]]),MONTH(OrdersTable[[#This Row],[Order Date]]),1)</f>
        <v>45689</v>
      </c>
      <c r="E2410">
        <f>MONTH(OrdersTable[[#This Row],[Order Date]])</f>
        <v>2</v>
      </c>
      <c r="F2410" t="s">
        <v>3754</v>
      </c>
      <c r="G2410" t="str">
        <f>IF(OrdersTable[[#This Row],[Order Date]]=_xlfn.MINIFS(Order_Date, Customer_ID, OrdersTable[[#This Row],[Customer ID]]), "New", "Repeat")</f>
        <v>New</v>
      </c>
      <c r="H2410" t="s">
        <v>71</v>
      </c>
      <c r="I2410" t="str">
        <f>INDEX(State!B:B,MATCH(OrdersTable[[#This Row],[State]],State!A:A,0))</f>
        <v>MH</v>
      </c>
      <c r="J2410" t="str">
        <f>INDEX(State!C:C,MATCH(OrdersTable[[#This Row],[State Code]],State!B:B,0))</f>
        <v>West</v>
      </c>
      <c r="K2410" t="s">
        <v>72</v>
      </c>
      <c r="L2410" t="s">
        <v>39</v>
      </c>
      <c r="M2410" t="s">
        <v>24</v>
      </c>
      <c r="N2410" t="str">
        <f>INDEX(Products!B:B,MATCH(OrdersTable[[#This Row],[Product ID]],Products!A:A,0))</f>
        <v>Scented Candle Set</v>
      </c>
      <c r="O2410" t="str">
        <f>INDEX(Products!C:C,MATCH(OrdersTable[[#This Row],[Product ID]],Products!A:A,0))</f>
        <v>Home &amp; Kitchen</v>
      </c>
      <c r="P2410">
        <v>1</v>
      </c>
      <c r="Q2410" s="5">
        <v>699</v>
      </c>
      <c r="R2410" s="74">
        <v>0.15</v>
      </c>
      <c r="S2410" s="75">
        <f>OrdersTable[[#This Row],[Quantity]]*OrdersTable[[#This Row],[Unit Price]]</f>
        <v>699</v>
      </c>
      <c r="T2410" s="5">
        <f>OrdersTable[[#This Row],[Gross Sale]]*OrdersTable[[#This Row],[Discount_Clean2]]</f>
        <v>104.85</v>
      </c>
      <c r="U2410" s="5">
        <f>OrdersTable[[#This Row],[Gross Sale]]-OrdersTable[[#This Row],[Discount Amount]]</f>
        <v>594.15</v>
      </c>
      <c r="V2410" s="77">
        <f>INDEX(Products!E:E,MATCH(OrdersTable[[#This Row],[Product ID]],Products!A:A,0))</f>
        <v>245</v>
      </c>
      <c r="W2410" s="77">
        <f>OrdersTable[[#This Row],[Quantity]]*OrdersTable[[#This Row],[Unit Cost]]</f>
        <v>245</v>
      </c>
      <c r="X2410" s="77">
        <f>'Dropdown Lists'!$I$2*(1+OrdersTable[[#This Row],[Returned]])</f>
        <v>60</v>
      </c>
      <c r="Y2410" s="76">
        <f>OrdersTable[[#This Row],[Net Revenue]]-OrdersTable[[#This Row],[COGS]]-OrdersTable[[#This Row],[Shipping Cost]]</f>
        <v>289.14999999999998</v>
      </c>
      <c r="Z2410" s="78">
        <f>IFERROR(OrdersTable[[#This Row],[Profit]]/OrdersTable[[#This Row],[Net Revenue]],0)</f>
        <v>0.48666161743667424</v>
      </c>
      <c r="AA2410" t="s">
        <v>3495</v>
      </c>
      <c r="AB2410" s="79">
        <v>45704</v>
      </c>
      <c r="AC2410">
        <f>OrdersTable[[#This Row],[Delivery Date]]-OrdersTable[[#This Row],[Order Date]]</f>
        <v>5</v>
      </c>
      <c r="AD2410" t="str">
        <f>IF(OrdersTable[[#This Row],[Delivery Days]]&lt;=2, "Express (≤2d)", IF(OrdersTable[[#This Row],[Delivery Days]]&lt;=4, "Standard (3-4d)", "Delayed (5d+)"))</f>
        <v>Delayed (5d+)</v>
      </c>
      <c r="AF2410">
        <v>0</v>
      </c>
    </row>
    <row r="2411" spans="1:32" ht="15" x14ac:dyDescent="0.35">
      <c r="A2411" t="s">
        <v>6563</v>
      </c>
      <c r="B2411" s="1">
        <v>45699</v>
      </c>
      <c r="C2411">
        <f>YEAR(OrdersTable[[#This Row],[Order Date]])</f>
        <v>2025</v>
      </c>
      <c r="D2411" s="2">
        <f>DATE(YEAR(OrdersTable[[#This Row],[Order Date]]),MONTH(OrdersTable[[#This Row],[Order Date]]),1)</f>
        <v>45689</v>
      </c>
      <c r="E2411">
        <f>MONTH(OrdersTable[[#This Row],[Order Date]])</f>
        <v>2</v>
      </c>
      <c r="F2411" t="s">
        <v>6261</v>
      </c>
      <c r="G2411" t="str">
        <f>IF(OrdersTable[[#This Row],[Order Date]]=_xlfn.MINIFS(Order_Date, Customer_ID, OrdersTable[[#This Row],[Customer ID]]), "New", "Repeat")</f>
        <v>Repeat</v>
      </c>
      <c r="H2411" t="s">
        <v>316</v>
      </c>
      <c r="I2411" t="str">
        <f>INDEX(State!B:B,MATCH(OrdersTable[[#This Row],[State]],State!A:A,0))</f>
        <v>KL</v>
      </c>
      <c r="J2411" t="str">
        <f>INDEX(State!C:C,MATCH(OrdersTable[[#This Row],[State Code]],State!B:B,0))</f>
        <v>South</v>
      </c>
      <c r="K2411" t="s">
        <v>317</v>
      </c>
      <c r="L2411" t="s">
        <v>23</v>
      </c>
      <c r="M2411" t="s">
        <v>106</v>
      </c>
      <c r="N2411" t="str">
        <f>INDEX(Products!B:B,MATCH(OrdersTable[[#This Row],[Product ID]],Products!A:A,0))</f>
        <v>Keratin Hair Mask</v>
      </c>
      <c r="O2411" t="str">
        <f>INDEX(Products!C:C,MATCH(OrdersTable[[#This Row],[Product ID]],Products!A:A,0))</f>
        <v>Haircare</v>
      </c>
      <c r="P2411">
        <v>3</v>
      </c>
      <c r="Q2411" s="5">
        <v>549</v>
      </c>
      <c r="R2411" s="74">
        <v>0.15</v>
      </c>
      <c r="S2411" s="75">
        <f>OrdersTable[[#This Row],[Quantity]]*OrdersTable[[#This Row],[Unit Price]]</f>
        <v>1647</v>
      </c>
      <c r="T2411" s="5">
        <f>OrdersTable[[#This Row],[Gross Sale]]*OrdersTable[[#This Row],[Discount_Clean2]]</f>
        <v>247.04999999999998</v>
      </c>
      <c r="U2411" s="5">
        <f>OrdersTable[[#This Row],[Gross Sale]]-OrdersTable[[#This Row],[Discount Amount]]</f>
        <v>1399.95</v>
      </c>
      <c r="V2411" s="77">
        <f>INDEX(Products!E:E,MATCH(OrdersTable[[#This Row],[Product ID]],Products!A:A,0))</f>
        <v>170</v>
      </c>
      <c r="W2411" s="77">
        <f>OrdersTable[[#This Row],[Quantity]]*OrdersTable[[#This Row],[Unit Cost]]</f>
        <v>510</v>
      </c>
      <c r="X2411" s="77">
        <f>'Dropdown Lists'!$I$2*(1+OrdersTable[[#This Row],[Returned]])</f>
        <v>60</v>
      </c>
      <c r="Y2411" s="76">
        <f>OrdersTable[[#This Row],[Net Revenue]]-OrdersTable[[#This Row],[COGS]]-OrdersTable[[#This Row],[Shipping Cost]]</f>
        <v>829.95</v>
      </c>
      <c r="Z2411" s="78">
        <f>IFERROR(OrdersTable[[#This Row],[Profit]]/OrdersTable[[#This Row],[Net Revenue]],0)</f>
        <v>0.59284260152148294</v>
      </c>
      <c r="AA2411" t="s">
        <v>18</v>
      </c>
      <c r="AB2411" s="79">
        <v>45703</v>
      </c>
      <c r="AC2411">
        <f>OrdersTable[[#This Row],[Delivery Date]]-OrdersTable[[#This Row],[Order Date]]</f>
        <v>4</v>
      </c>
      <c r="AD2411" t="str">
        <f>IF(OrdersTable[[#This Row],[Delivery Days]]&lt;=2, "Express (≤2d)", IF(OrdersTable[[#This Row],[Delivery Days]]&lt;=4, "Standard (3-4d)", "Delayed (5d+)"))</f>
        <v>Standard (3-4d)</v>
      </c>
      <c r="AF2411">
        <v>0</v>
      </c>
    </row>
    <row r="2412" spans="1:32" ht="15" x14ac:dyDescent="0.35">
      <c r="A2412" t="s">
        <v>4125</v>
      </c>
      <c r="B2412" s="1">
        <v>45700</v>
      </c>
      <c r="C2412">
        <f>YEAR(OrdersTable[[#This Row],[Order Date]])</f>
        <v>2025</v>
      </c>
      <c r="D2412" s="2">
        <f>DATE(YEAR(OrdersTable[[#This Row],[Order Date]]),MONTH(OrdersTable[[#This Row],[Order Date]]),1)</f>
        <v>45689</v>
      </c>
      <c r="E2412">
        <f>MONTH(OrdersTable[[#This Row],[Order Date]])</f>
        <v>2</v>
      </c>
      <c r="F2412" t="s">
        <v>508</v>
      </c>
      <c r="G2412" t="str">
        <f>IF(OrdersTable[[#This Row],[Order Date]]=_xlfn.MINIFS(Order_Date, Customer_ID, OrdersTable[[#This Row],[Customer ID]]), "New", "Repeat")</f>
        <v>Repeat</v>
      </c>
      <c r="H2412" t="s">
        <v>76</v>
      </c>
      <c r="I2412" t="str">
        <f>INDEX(State!B:B,MATCH(OrdersTable[[#This Row],[State]],State!A:A,0))</f>
        <v>UP</v>
      </c>
      <c r="J2412" t="str">
        <f>INDEX(State!C:C,MATCH(OrdersTable[[#This Row],[State Code]],State!B:B,0))</f>
        <v>North</v>
      </c>
      <c r="K2412" t="s">
        <v>118</v>
      </c>
      <c r="L2412" t="s">
        <v>50</v>
      </c>
      <c r="M2412" t="s">
        <v>106</v>
      </c>
      <c r="N2412" t="str">
        <f>INDEX(Products!B:B,MATCH(OrdersTable[[#This Row],[Product ID]],Products!A:A,0))</f>
        <v>Keratin Hair Mask</v>
      </c>
      <c r="O2412" t="str">
        <f>INDEX(Products!C:C,MATCH(OrdersTable[[#This Row],[Product ID]],Products!A:A,0))</f>
        <v>Haircare</v>
      </c>
      <c r="P2412">
        <v>1</v>
      </c>
      <c r="Q2412" s="5">
        <v>549</v>
      </c>
      <c r="R2412" s="74">
        <v>0.2</v>
      </c>
      <c r="S2412" s="75">
        <f>OrdersTable[[#This Row],[Quantity]]*OrdersTable[[#This Row],[Unit Price]]</f>
        <v>549</v>
      </c>
      <c r="T2412" s="5">
        <f>OrdersTable[[#This Row],[Gross Sale]]*OrdersTable[[#This Row],[Discount_Clean2]]</f>
        <v>109.80000000000001</v>
      </c>
      <c r="U2412" s="5">
        <f>OrdersTable[[#This Row],[Gross Sale]]-OrdersTable[[#This Row],[Discount Amount]]</f>
        <v>439.2</v>
      </c>
      <c r="V2412" s="77">
        <f>INDEX(Products!E:E,MATCH(OrdersTable[[#This Row],[Product ID]],Products!A:A,0))</f>
        <v>170</v>
      </c>
      <c r="W2412" s="77">
        <f>OrdersTable[[#This Row],[Quantity]]*OrdersTable[[#This Row],[Unit Cost]]</f>
        <v>170</v>
      </c>
      <c r="X2412" s="77">
        <f>'Dropdown Lists'!$I$2*(1+OrdersTable[[#This Row],[Returned]])</f>
        <v>120</v>
      </c>
      <c r="Y2412" s="76">
        <f>OrdersTable[[#This Row],[Net Revenue]]-OrdersTable[[#This Row],[COGS]]-OrdersTable[[#This Row],[Shipping Cost]]</f>
        <v>149.19999999999999</v>
      </c>
      <c r="Z2412" s="78">
        <f>IFERROR(OrdersTable[[#This Row],[Profit]]/OrdersTable[[#This Row],[Net Revenue]],0)</f>
        <v>0.33970856102003644</v>
      </c>
      <c r="AA2412" t="s">
        <v>4074</v>
      </c>
      <c r="AB2412" s="79">
        <v>45703</v>
      </c>
      <c r="AC2412">
        <f>OrdersTable[[#This Row],[Delivery Date]]-OrdersTable[[#This Row],[Order Date]]</f>
        <v>3</v>
      </c>
      <c r="AD2412" t="str">
        <f>IF(OrdersTable[[#This Row],[Delivery Days]]&lt;=2, "Express (≤2d)", IF(OrdersTable[[#This Row],[Delivery Days]]&lt;=4, "Standard (3-4d)", "Delayed (5d+)"))</f>
        <v>Standard (3-4d)</v>
      </c>
      <c r="AE2412">
        <v>2</v>
      </c>
      <c r="AF2412">
        <v>1</v>
      </c>
    </row>
    <row r="2413" spans="1:32" ht="15" x14ac:dyDescent="0.35">
      <c r="A2413" t="s">
        <v>3436</v>
      </c>
      <c r="B2413" s="1">
        <v>45700</v>
      </c>
      <c r="C2413">
        <f>YEAR(OrdersTable[[#This Row],[Order Date]])</f>
        <v>2025</v>
      </c>
      <c r="D2413" s="2">
        <f>DATE(YEAR(OrdersTable[[#This Row],[Order Date]]),MONTH(OrdersTable[[#This Row],[Order Date]]),1)</f>
        <v>45689</v>
      </c>
      <c r="E2413">
        <f>MONTH(OrdersTable[[#This Row],[Order Date]])</f>
        <v>2</v>
      </c>
      <c r="F2413" t="s">
        <v>3437</v>
      </c>
      <c r="G2413" t="str">
        <f>IF(OrdersTable[[#This Row],[Order Date]]=_xlfn.MINIFS(Order_Date, Customer_ID, OrdersTable[[#This Row],[Customer ID]]), "New", "Repeat")</f>
        <v>Repeat</v>
      </c>
      <c r="H2413" t="s">
        <v>76</v>
      </c>
      <c r="I2413" t="str">
        <f>INDEX(State!B:B,MATCH(OrdersTable[[#This Row],[State]],State!A:A,0))</f>
        <v>UP</v>
      </c>
      <c r="J2413" t="str">
        <f>INDEX(State!C:C,MATCH(OrdersTable[[#This Row],[State Code]],State!B:B,0))</f>
        <v>North</v>
      </c>
      <c r="K2413" t="s">
        <v>105</v>
      </c>
      <c r="L2413" t="s">
        <v>65</v>
      </c>
      <c r="M2413" t="s">
        <v>78</v>
      </c>
      <c r="N2413" t="str">
        <f>INDEX(Products!B:B,MATCH(OrdersTable[[#This Row],[Product ID]],Products!A:A,0))</f>
        <v>Retinol Night Cream</v>
      </c>
      <c r="O2413" t="str">
        <f>INDEX(Products!C:C,MATCH(OrdersTable[[#This Row],[Product ID]],Products!A:A,0))</f>
        <v>Skincare</v>
      </c>
      <c r="P2413">
        <v>1</v>
      </c>
      <c r="Q2413" s="5">
        <v>799</v>
      </c>
      <c r="R2413" s="74">
        <v>0.05</v>
      </c>
      <c r="S2413" s="75">
        <f>OrdersTable[[#This Row],[Quantity]]*OrdersTable[[#This Row],[Unit Price]]</f>
        <v>799</v>
      </c>
      <c r="T2413" s="5">
        <f>OrdersTable[[#This Row],[Gross Sale]]*OrdersTable[[#This Row],[Discount_Clean2]]</f>
        <v>39.950000000000003</v>
      </c>
      <c r="U2413" s="5">
        <f>OrdersTable[[#This Row],[Gross Sale]]-OrdersTable[[#This Row],[Discount Amount]]</f>
        <v>759.05</v>
      </c>
      <c r="V2413" s="77">
        <f>INDEX(Products!E:E,MATCH(OrdersTable[[#This Row],[Product ID]],Products!A:A,0))</f>
        <v>216</v>
      </c>
      <c r="W2413" s="77">
        <f>OrdersTable[[#This Row],[Quantity]]*OrdersTable[[#This Row],[Unit Cost]]</f>
        <v>216</v>
      </c>
      <c r="X2413" s="77">
        <f>'Dropdown Lists'!$I$2*(1+OrdersTable[[#This Row],[Returned]])</f>
        <v>60</v>
      </c>
      <c r="Y2413" s="76">
        <f>OrdersTable[[#This Row],[Net Revenue]]-OrdersTable[[#This Row],[COGS]]-OrdersTable[[#This Row],[Shipping Cost]]</f>
        <v>483.04999999999995</v>
      </c>
      <c r="Z2413" s="78">
        <f>IFERROR(OrdersTable[[#This Row],[Profit]]/OrdersTable[[#This Row],[Net Revenue]],0)</f>
        <v>0.63638758975034582</v>
      </c>
      <c r="AA2413" t="s">
        <v>2522</v>
      </c>
      <c r="AB2413" s="79">
        <v>45702</v>
      </c>
      <c r="AC2413">
        <f>OrdersTable[[#This Row],[Delivery Date]]-OrdersTable[[#This Row],[Order Date]]</f>
        <v>2</v>
      </c>
      <c r="AD2413" t="str">
        <f>IF(OrdersTable[[#This Row],[Delivery Days]]&lt;=2, "Express (≤2d)", IF(OrdersTable[[#This Row],[Delivery Days]]&lt;=4, "Standard (3-4d)", "Delayed (5d+)"))</f>
        <v>Express (≤2d)</v>
      </c>
      <c r="AE2413">
        <v>4</v>
      </c>
      <c r="AF2413">
        <v>0</v>
      </c>
    </row>
    <row r="2414" spans="1:32" ht="15" x14ac:dyDescent="0.35">
      <c r="A2414" t="s">
        <v>3017</v>
      </c>
      <c r="B2414" s="1">
        <v>45700</v>
      </c>
      <c r="C2414">
        <f>YEAR(OrdersTable[[#This Row],[Order Date]])</f>
        <v>2025</v>
      </c>
      <c r="D2414" s="2">
        <f>DATE(YEAR(OrdersTable[[#This Row],[Order Date]]),MONTH(OrdersTable[[#This Row],[Order Date]]),1)</f>
        <v>45689</v>
      </c>
      <c r="E2414">
        <f>MONTH(OrdersTable[[#This Row],[Order Date]])</f>
        <v>2</v>
      </c>
      <c r="F2414" t="s">
        <v>3018</v>
      </c>
      <c r="G2414" t="str">
        <f>IF(OrdersTable[[#This Row],[Order Date]]=_xlfn.MINIFS(Order_Date, Customer_ID, OrdersTable[[#This Row],[Customer ID]]), "New", "Repeat")</f>
        <v>New</v>
      </c>
      <c r="H2414" t="s">
        <v>37</v>
      </c>
      <c r="I2414" t="str">
        <f>INDEX(State!B:B,MATCH(OrdersTable[[#This Row],[State]],State!A:A,0))</f>
        <v>GJ</v>
      </c>
      <c r="J2414" t="str">
        <f>INDEX(State!C:C,MATCH(OrdersTable[[#This Row],[State Code]],State!B:B,0))</f>
        <v>West</v>
      </c>
      <c r="K2414" t="s">
        <v>38</v>
      </c>
      <c r="L2414" t="s">
        <v>65</v>
      </c>
      <c r="M2414" t="s">
        <v>78</v>
      </c>
      <c r="N2414" t="str">
        <f>INDEX(Products!B:B,MATCH(OrdersTable[[#This Row],[Product ID]],Products!A:A,0))</f>
        <v>Retinol Night Cream</v>
      </c>
      <c r="O2414" t="str">
        <f>INDEX(Products!C:C,MATCH(OrdersTable[[#This Row],[Product ID]],Products!A:A,0))</f>
        <v>Skincare</v>
      </c>
      <c r="P2414">
        <v>1</v>
      </c>
      <c r="Q2414" s="5">
        <v>799</v>
      </c>
      <c r="R2414" s="74">
        <v>0.1</v>
      </c>
      <c r="S2414" s="75">
        <f>OrdersTable[[#This Row],[Quantity]]*OrdersTable[[#This Row],[Unit Price]]</f>
        <v>799</v>
      </c>
      <c r="T2414" s="5">
        <f>OrdersTable[[#This Row],[Gross Sale]]*OrdersTable[[#This Row],[Discount_Clean2]]</f>
        <v>79.900000000000006</v>
      </c>
      <c r="U2414" s="5">
        <f>OrdersTable[[#This Row],[Gross Sale]]-OrdersTable[[#This Row],[Discount Amount]]</f>
        <v>719.1</v>
      </c>
      <c r="V2414" s="77">
        <f>INDEX(Products!E:E,MATCH(OrdersTable[[#This Row],[Product ID]],Products!A:A,0))</f>
        <v>216</v>
      </c>
      <c r="W2414" s="77">
        <f>OrdersTable[[#This Row],[Quantity]]*OrdersTable[[#This Row],[Unit Cost]]</f>
        <v>216</v>
      </c>
      <c r="X2414" s="77">
        <f>'Dropdown Lists'!$I$2*(1+OrdersTable[[#This Row],[Returned]])</f>
        <v>60</v>
      </c>
      <c r="Y2414" s="76">
        <f>OrdersTable[[#This Row],[Net Revenue]]-OrdersTable[[#This Row],[COGS]]-OrdersTable[[#This Row],[Shipping Cost]]</f>
        <v>443.1</v>
      </c>
      <c r="Z2414" s="78">
        <f>IFERROR(OrdersTable[[#This Row],[Profit]]/OrdersTable[[#This Row],[Net Revenue]],0)</f>
        <v>0.61618690029203171</v>
      </c>
      <c r="AA2414" t="s">
        <v>2522</v>
      </c>
      <c r="AB2414" s="79">
        <v>45702</v>
      </c>
      <c r="AC2414">
        <f>OrdersTable[[#This Row],[Delivery Date]]-OrdersTable[[#This Row],[Order Date]]</f>
        <v>2</v>
      </c>
      <c r="AD2414" t="str">
        <f>IF(OrdersTable[[#This Row],[Delivery Days]]&lt;=2, "Express (≤2d)", IF(OrdersTable[[#This Row],[Delivery Days]]&lt;=4, "Standard (3-4d)", "Delayed (5d+)"))</f>
        <v>Express (≤2d)</v>
      </c>
      <c r="AF2414">
        <v>0</v>
      </c>
    </row>
    <row r="2415" spans="1:32" ht="15" x14ac:dyDescent="0.35">
      <c r="A2415" t="s">
        <v>5393</v>
      </c>
      <c r="B2415" s="1">
        <v>45700</v>
      </c>
      <c r="C2415">
        <f>YEAR(OrdersTable[[#This Row],[Order Date]])</f>
        <v>2025</v>
      </c>
      <c r="D2415" s="2">
        <f>DATE(YEAR(OrdersTable[[#This Row],[Order Date]]),MONTH(OrdersTable[[#This Row],[Order Date]]),1)</f>
        <v>45689</v>
      </c>
      <c r="E2415">
        <f>MONTH(OrdersTable[[#This Row],[Order Date]])</f>
        <v>2</v>
      </c>
      <c r="F2415" t="s">
        <v>2531</v>
      </c>
      <c r="G2415" t="str">
        <f>IF(OrdersTable[[#This Row],[Order Date]]=_xlfn.MINIFS(Order_Date, Customer_ID, OrdersTable[[#This Row],[Customer ID]]), "New", "Repeat")</f>
        <v>Repeat</v>
      </c>
      <c r="H2415" t="s">
        <v>37</v>
      </c>
      <c r="I2415" t="str">
        <f>INDEX(State!B:B,MATCH(OrdersTable[[#This Row],[State]],State!A:A,0))</f>
        <v>GJ</v>
      </c>
      <c r="J2415" t="str">
        <f>INDEX(State!C:C,MATCH(OrdersTable[[#This Row],[State Code]],State!B:B,0))</f>
        <v>West</v>
      </c>
      <c r="K2415" t="s">
        <v>38</v>
      </c>
      <c r="L2415" t="s">
        <v>16</v>
      </c>
      <c r="M2415" t="s">
        <v>255</v>
      </c>
      <c r="N2415" t="str">
        <f>INDEX(Products!B:B,MATCH(OrdersTable[[#This Row],[Product ID]],Products!A:A,0))</f>
        <v>Cotton Oversized T-Shirt</v>
      </c>
      <c r="O2415" t="str">
        <f>INDEX(Products!C:C,MATCH(OrdersTable[[#This Row],[Product ID]],Products!A:A,0))</f>
        <v>Apparel</v>
      </c>
      <c r="P2415">
        <v>2</v>
      </c>
      <c r="Q2415" s="5">
        <v>799</v>
      </c>
      <c r="R2415" s="74">
        <v>0.05</v>
      </c>
      <c r="S2415" s="75">
        <f>OrdersTable[[#This Row],[Quantity]]*OrdersTable[[#This Row],[Unit Price]]</f>
        <v>1598</v>
      </c>
      <c r="T2415" s="5">
        <f>OrdersTable[[#This Row],[Gross Sale]]*OrdersTable[[#This Row],[Discount_Clean2]]</f>
        <v>79.900000000000006</v>
      </c>
      <c r="U2415" s="5">
        <f>OrdersTable[[#This Row],[Gross Sale]]-OrdersTable[[#This Row],[Discount Amount]]</f>
        <v>1518.1</v>
      </c>
      <c r="V2415" s="77">
        <f>INDEX(Products!E:E,MATCH(OrdersTable[[#This Row],[Product ID]],Products!A:A,0))</f>
        <v>320</v>
      </c>
      <c r="W2415" s="77">
        <f>OrdersTable[[#This Row],[Quantity]]*OrdersTable[[#This Row],[Unit Cost]]</f>
        <v>640</v>
      </c>
      <c r="X2415" s="77">
        <f>'Dropdown Lists'!$I$2*(1+OrdersTable[[#This Row],[Returned]])</f>
        <v>60</v>
      </c>
      <c r="Y2415" s="76">
        <f>OrdersTable[[#This Row],[Net Revenue]]-OrdersTable[[#This Row],[COGS]]-OrdersTable[[#This Row],[Shipping Cost]]</f>
        <v>818.09999999999991</v>
      </c>
      <c r="Z2415" s="78">
        <f>IFERROR(OrdersTable[[#This Row],[Profit]]/OrdersTable[[#This Row],[Net Revenue]],0)</f>
        <v>0.5388973058428298</v>
      </c>
      <c r="AA2415" t="s">
        <v>2522</v>
      </c>
      <c r="AB2415" s="79">
        <v>45702</v>
      </c>
      <c r="AC2415">
        <f>OrdersTable[[#This Row],[Delivery Date]]-OrdersTable[[#This Row],[Order Date]]</f>
        <v>2</v>
      </c>
      <c r="AD2415" t="str">
        <f>IF(OrdersTable[[#This Row],[Delivery Days]]&lt;=2, "Express (≤2d)", IF(OrdersTable[[#This Row],[Delivery Days]]&lt;=4, "Standard (3-4d)", "Delayed (5d+)"))</f>
        <v>Express (≤2d)</v>
      </c>
      <c r="AE2415">
        <v>5</v>
      </c>
      <c r="AF2415">
        <v>0</v>
      </c>
    </row>
    <row r="2416" spans="1:32" ht="15" x14ac:dyDescent="0.35">
      <c r="A2416" t="s">
        <v>3255</v>
      </c>
      <c r="B2416" s="1">
        <v>45700</v>
      </c>
      <c r="C2416">
        <f>YEAR(OrdersTable[[#This Row],[Order Date]])</f>
        <v>2025</v>
      </c>
      <c r="D2416" s="2">
        <f>DATE(YEAR(OrdersTable[[#This Row],[Order Date]]),MONTH(OrdersTable[[#This Row],[Order Date]]),1)</f>
        <v>45689</v>
      </c>
      <c r="E2416">
        <f>MONTH(OrdersTable[[#This Row],[Order Date]])</f>
        <v>2</v>
      </c>
      <c r="F2416" t="s">
        <v>3256</v>
      </c>
      <c r="G2416" t="str">
        <f>IF(OrdersTable[[#This Row],[Order Date]]=_xlfn.MINIFS(Order_Date, Customer_ID, OrdersTable[[#This Row],[Customer ID]]), "New", "Repeat")</f>
        <v>Repeat</v>
      </c>
      <c r="H2416" t="s">
        <v>37</v>
      </c>
      <c r="I2416" t="str">
        <f>INDEX(State!B:B,MATCH(OrdersTable[[#This Row],[State]],State!A:A,0))</f>
        <v>GJ</v>
      </c>
      <c r="J2416" t="str">
        <f>INDEX(State!C:C,MATCH(OrdersTable[[#This Row],[State Code]],State!B:B,0))</f>
        <v>West</v>
      </c>
      <c r="K2416" t="s">
        <v>38</v>
      </c>
      <c r="L2416" t="s">
        <v>50</v>
      </c>
      <c r="M2416" t="s">
        <v>152</v>
      </c>
      <c r="N2416" t="str">
        <f>INDEX(Products!B:B,MATCH(OrdersTable[[#This Row],[Product ID]],Products!A:A,0))</f>
        <v>Green Tea (100 bags)</v>
      </c>
      <c r="O2416" t="str">
        <f>INDEX(Products!C:C,MATCH(OrdersTable[[#This Row],[Product ID]],Products!A:A,0))</f>
        <v>Wellness</v>
      </c>
      <c r="P2416">
        <v>1</v>
      </c>
      <c r="Q2416" s="5">
        <v>399</v>
      </c>
      <c r="R2416" s="74">
        <v>0.4</v>
      </c>
      <c r="S2416" s="75">
        <f>OrdersTable[[#This Row],[Quantity]]*OrdersTable[[#This Row],[Unit Price]]</f>
        <v>399</v>
      </c>
      <c r="T2416" s="5">
        <f>OrdersTable[[#This Row],[Gross Sale]]*OrdersTable[[#This Row],[Discount_Clean2]]</f>
        <v>159.60000000000002</v>
      </c>
      <c r="U2416" s="5">
        <f>OrdersTable[[#This Row],[Gross Sale]]-OrdersTable[[#This Row],[Discount Amount]]</f>
        <v>239.39999999999998</v>
      </c>
      <c r="V2416" s="77">
        <f>INDEX(Products!E:E,MATCH(OrdersTable[[#This Row],[Product ID]],Products!A:A,0))</f>
        <v>128</v>
      </c>
      <c r="W2416" s="77">
        <f>OrdersTable[[#This Row],[Quantity]]*OrdersTable[[#This Row],[Unit Cost]]</f>
        <v>128</v>
      </c>
      <c r="X2416" s="77">
        <f>'Dropdown Lists'!$I$2*(1+OrdersTable[[#This Row],[Returned]])</f>
        <v>60</v>
      </c>
      <c r="Y2416" s="76">
        <f>OrdersTable[[#This Row],[Net Revenue]]-OrdersTable[[#This Row],[COGS]]-OrdersTable[[#This Row],[Shipping Cost]]</f>
        <v>51.399999999999977</v>
      </c>
      <c r="Z2416" s="78">
        <f>IFERROR(OrdersTable[[#This Row],[Profit]]/OrdersTable[[#This Row],[Net Revenue]],0)</f>
        <v>0.21470342522974095</v>
      </c>
      <c r="AA2416" t="s">
        <v>2522</v>
      </c>
      <c r="AB2416" s="79">
        <v>45704</v>
      </c>
      <c r="AC2416">
        <f>OrdersTable[[#This Row],[Delivery Date]]-OrdersTable[[#This Row],[Order Date]]</f>
        <v>4</v>
      </c>
      <c r="AD2416" t="str">
        <f>IF(OrdersTable[[#This Row],[Delivery Days]]&lt;=2, "Express (≤2d)", IF(OrdersTable[[#This Row],[Delivery Days]]&lt;=4, "Standard (3-4d)", "Delayed (5d+)"))</f>
        <v>Standard (3-4d)</v>
      </c>
      <c r="AE2416">
        <v>4</v>
      </c>
      <c r="AF2416">
        <v>0</v>
      </c>
    </row>
    <row r="2417" spans="1:32" ht="15" x14ac:dyDescent="0.35">
      <c r="A2417" t="s">
        <v>1540</v>
      </c>
      <c r="B2417" s="1">
        <v>45700</v>
      </c>
      <c r="C2417">
        <f>YEAR(OrdersTable[[#This Row],[Order Date]])</f>
        <v>2025</v>
      </c>
      <c r="D2417" s="2">
        <f>DATE(YEAR(OrdersTable[[#This Row],[Order Date]]),MONTH(OrdersTable[[#This Row],[Order Date]]),1)</f>
        <v>45689</v>
      </c>
      <c r="E2417">
        <f>MONTH(OrdersTable[[#This Row],[Order Date]])</f>
        <v>2</v>
      </c>
      <c r="F2417" t="s">
        <v>1541</v>
      </c>
      <c r="G2417" t="str">
        <f>IF(OrdersTable[[#This Row],[Order Date]]=_xlfn.MINIFS(Order_Date, Customer_ID, OrdersTable[[#This Row],[Customer ID]]), "New", "Repeat")</f>
        <v>Repeat</v>
      </c>
      <c r="H2417" t="s">
        <v>71</v>
      </c>
      <c r="I2417" t="str">
        <f>INDEX(State!B:B,MATCH(OrdersTable[[#This Row],[State]],State!A:A,0))</f>
        <v>MH</v>
      </c>
      <c r="J2417" t="str">
        <f>INDEX(State!C:C,MATCH(OrdersTable[[#This Row],[State Code]],State!B:B,0))</f>
        <v>West</v>
      </c>
      <c r="K2417" t="s">
        <v>72</v>
      </c>
      <c r="L2417" t="s">
        <v>39</v>
      </c>
      <c r="M2417" t="s">
        <v>56</v>
      </c>
      <c r="N2417" t="str">
        <f>INDEX(Products!B:B,MATCH(OrdersTable[[#This Row],[Product ID]],Products!A:A,0))</f>
        <v>Vitamin C Face Serum</v>
      </c>
      <c r="O2417" t="str">
        <f>INDEX(Products!C:C,MATCH(OrdersTable[[#This Row],[Product ID]],Products!A:A,0))</f>
        <v>Skincare</v>
      </c>
      <c r="P2417">
        <v>1</v>
      </c>
      <c r="Q2417" s="5">
        <v>599</v>
      </c>
      <c r="R2417" s="74">
        <v>0.2</v>
      </c>
      <c r="S2417" s="75">
        <f>OrdersTable[[#This Row],[Quantity]]*OrdersTable[[#This Row],[Unit Price]]</f>
        <v>599</v>
      </c>
      <c r="T2417" s="5">
        <f>OrdersTable[[#This Row],[Gross Sale]]*OrdersTable[[#This Row],[Discount_Clean2]]</f>
        <v>119.80000000000001</v>
      </c>
      <c r="U2417" s="5">
        <f>OrdersTable[[#This Row],[Gross Sale]]-OrdersTable[[#This Row],[Discount Amount]]</f>
        <v>479.2</v>
      </c>
      <c r="V2417" s="77">
        <f>INDEX(Products!E:E,MATCH(OrdersTable[[#This Row],[Product ID]],Products!A:A,0))</f>
        <v>180</v>
      </c>
      <c r="W2417" s="77">
        <f>OrdersTable[[#This Row],[Quantity]]*OrdersTable[[#This Row],[Unit Cost]]</f>
        <v>180</v>
      </c>
      <c r="X2417" s="77">
        <f>'Dropdown Lists'!$I$2*(1+OrdersTable[[#This Row],[Returned]])</f>
        <v>60</v>
      </c>
      <c r="Y2417" s="76">
        <f>OrdersTable[[#This Row],[Net Revenue]]-OrdersTable[[#This Row],[COGS]]-OrdersTable[[#This Row],[Shipping Cost]]</f>
        <v>239.2</v>
      </c>
      <c r="Z2417" s="78">
        <f>IFERROR(OrdersTable[[#This Row],[Profit]]/OrdersTable[[#This Row],[Net Revenue]],0)</f>
        <v>0.4991652754590985</v>
      </c>
      <c r="AA2417" t="s">
        <v>18</v>
      </c>
      <c r="AB2417" s="79">
        <v>45703</v>
      </c>
      <c r="AC2417">
        <f>OrdersTable[[#This Row],[Delivery Date]]-OrdersTable[[#This Row],[Order Date]]</f>
        <v>3</v>
      </c>
      <c r="AD2417" t="str">
        <f>IF(OrdersTable[[#This Row],[Delivery Days]]&lt;=2, "Express (≤2d)", IF(OrdersTable[[#This Row],[Delivery Days]]&lt;=4, "Standard (3-4d)", "Delayed (5d+)"))</f>
        <v>Standard (3-4d)</v>
      </c>
      <c r="AF2417">
        <v>0</v>
      </c>
    </row>
    <row r="2418" spans="1:32" ht="15" x14ac:dyDescent="0.35">
      <c r="A2418" t="s">
        <v>2527</v>
      </c>
      <c r="B2418" s="1">
        <v>45700</v>
      </c>
      <c r="C2418">
        <f>YEAR(OrdersTable[[#This Row],[Order Date]])</f>
        <v>2025</v>
      </c>
      <c r="D2418" s="2">
        <f>DATE(YEAR(OrdersTable[[#This Row],[Order Date]]),MONTH(OrdersTable[[#This Row],[Order Date]]),1)</f>
        <v>45689</v>
      </c>
      <c r="E2418">
        <f>MONTH(OrdersTable[[#This Row],[Order Date]])</f>
        <v>2</v>
      </c>
      <c r="F2418" t="s">
        <v>2511</v>
      </c>
      <c r="G2418" t="str">
        <f>IF(OrdersTable[[#This Row],[Order Date]]=_xlfn.MINIFS(Order_Date, Customer_ID, OrdersTable[[#This Row],[Customer ID]]), "New", "Repeat")</f>
        <v>New</v>
      </c>
      <c r="H2418" t="s">
        <v>95</v>
      </c>
      <c r="I2418" t="str">
        <f>INDEX(State!B:B,MATCH(OrdersTable[[#This Row],[State]],State!A:A,0))</f>
        <v>TG</v>
      </c>
      <c r="J2418" t="str">
        <f>INDEX(State!C:C,MATCH(OrdersTable[[#This Row],[State Code]],State!B:B,0))</f>
        <v>South</v>
      </c>
      <c r="K2418" t="s">
        <v>96</v>
      </c>
      <c r="L2418" t="s">
        <v>23</v>
      </c>
      <c r="M2418" t="s">
        <v>205</v>
      </c>
      <c r="N2418" t="str">
        <f>INDEX(Products!B:B,MATCH(OrdersTable[[#This Row],[Product ID]],Products!A:A,0))</f>
        <v>Running Shoes</v>
      </c>
      <c r="O2418" t="str">
        <f>INDEX(Products!C:C,MATCH(OrdersTable[[#This Row],[Product ID]],Products!A:A,0))</f>
        <v>Footwear</v>
      </c>
      <c r="P2418">
        <v>1</v>
      </c>
      <c r="Q2418" s="5">
        <v>2999</v>
      </c>
      <c r="R2418" s="74">
        <v>0.2</v>
      </c>
      <c r="S2418" s="75">
        <f>OrdersTable[[#This Row],[Quantity]]*OrdersTable[[#This Row],[Unit Price]]</f>
        <v>2999</v>
      </c>
      <c r="T2418" s="5">
        <f>OrdersTable[[#This Row],[Gross Sale]]*OrdersTable[[#This Row],[Discount_Clean2]]</f>
        <v>599.80000000000007</v>
      </c>
      <c r="U2418" s="5">
        <f>OrdersTable[[#This Row],[Gross Sale]]-OrdersTable[[#This Row],[Discount Amount]]</f>
        <v>2399.1999999999998</v>
      </c>
      <c r="V2418" s="77">
        <f>INDEX(Products!E:E,MATCH(OrdersTable[[#This Row],[Product ID]],Products!A:A,0))</f>
        <v>1440</v>
      </c>
      <c r="W2418" s="77">
        <f>OrdersTable[[#This Row],[Quantity]]*OrdersTable[[#This Row],[Unit Cost]]</f>
        <v>1440</v>
      </c>
      <c r="X2418" s="77">
        <f>'Dropdown Lists'!$I$2*(1+OrdersTable[[#This Row],[Returned]])</f>
        <v>60</v>
      </c>
      <c r="Y2418" s="76">
        <f>OrdersTable[[#This Row],[Net Revenue]]-OrdersTable[[#This Row],[COGS]]-OrdersTable[[#This Row],[Shipping Cost]]</f>
        <v>899.19999999999982</v>
      </c>
      <c r="Z2418" s="78">
        <f>IFERROR(OrdersTable[[#This Row],[Profit]]/OrdersTable[[#This Row],[Net Revenue]],0)</f>
        <v>0.3747915971990663</v>
      </c>
      <c r="AA2418" t="s">
        <v>2522</v>
      </c>
      <c r="AB2418" s="79">
        <v>45702</v>
      </c>
      <c r="AC2418">
        <f>OrdersTable[[#This Row],[Delivery Date]]-OrdersTable[[#This Row],[Order Date]]</f>
        <v>2</v>
      </c>
      <c r="AD2418" t="str">
        <f>IF(OrdersTable[[#This Row],[Delivery Days]]&lt;=2, "Express (≤2d)", IF(OrdersTable[[#This Row],[Delivery Days]]&lt;=4, "Standard (3-4d)", "Delayed (5d+)"))</f>
        <v>Express (≤2d)</v>
      </c>
      <c r="AE2418">
        <v>2</v>
      </c>
      <c r="AF2418">
        <v>0</v>
      </c>
    </row>
    <row r="2419" spans="1:32" ht="15" x14ac:dyDescent="0.35">
      <c r="A2419" t="s">
        <v>4271</v>
      </c>
      <c r="B2419" s="1">
        <v>45701</v>
      </c>
      <c r="C2419">
        <f>YEAR(OrdersTable[[#This Row],[Order Date]])</f>
        <v>2025</v>
      </c>
      <c r="D2419" s="2">
        <f>DATE(YEAR(OrdersTable[[#This Row],[Order Date]]),MONTH(OrdersTable[[#This Row],[Order Date]]),1)</f>
        <v>45689</v>
      </c>
      <c r="E2419">
        <f>MONTH(OrdersTable[[#This Row],[Order Date]])</f>
        <v>2</v>
      </c>
      <c r="F2419" t="s">
        <v>2036</v>
      </c>
      <c r="G2419" t="str">
        <f>IF(OrdersTable[[#This Row],[Order Date]]=_xlfn.MINIFS(Order_Date, Customer_ID, OrdersTable[[#This Row],[Customer ID]]), "New", "Repeat")</f>
        <v>New</v>
      </c>
      <c r="H2419" t="s">
        <v>128</v>
      </c>
      <c r="I2419" t="str">
        <f>INDEX(State!B:B,MATCH(OrdersTable[[#This Row],[State]],State!A:A,0))</f>
        <v>DL</v>
      </c>
      <c r="J2419" t="str">
        <f>INDEX(State!C:C,MATCH(OrdersTable[[#This Row],[State Code]],State!B:B,0))</f>
        <v>North</v>
      </c>
      <c r="K2419" t="s">
        <v>129</v>
      </c>
      <c r="L2419" t="s">
        <v>50</v>
      </c>
      <c r="M2419" t="s">
        <v>56</v>
      </c>
      <c r="N2419" t="str">
        <f>INDEX(Products!B:B,MATCH(OrdersTable[[#This Row],[Product ID]],Products!A:A,0))</f>
        <v>Vitamin C Face Serum</v>
      </c>
      <c r="O2419" t="str">
        <f>INDEX(Products!C:C,MATCH(OrdersTable[[#This Row],[Product ID]],Products!A:A,0))</f>
        <v>Skincare</v>
      </c>
      <c r="P2419">
        <v>1</v>
      </c>
      <c r="Q2419" s="5">
        <v>599</v>
      </c>
      <c r="R2419" s="74">
        <v>0.2</v>
      </c>
      <c r="S2419" s="75">
        <f>OrdersTable[[#This Row],[Quantity]]*OrdersTable[[#This Row],[Unit Price]]</f>
        <v>599</v>
      </c>
      <c r="T2419" s="5">
        <f>OrdersTable[[#This Row],[Gross Sale]]*OrdersTable[[#This Row],[Discount_Clean2]]</f>
        <v>119.80000000000001</v>
      </c>
      <c r="U2419" s="5">
        <f>OrdersTable[[#This Row],[Gross Sale]]-OrdersTable[[#This Row],[Discount Amount]]</f>
        <v>479.2</v>
      </c>
      <c r="V2419" s="77">
        <f>INDEX(Products!E:E,MATCH(OrdersTable[[#This Row],[Product ID]],Products!A:A,0))</f>
        <v>180</v>
      </c>
      <c r="W2419" s="77">
        <f>OrdersTable[[#This Row],[Quantity]]*OrdersTable[[#This Row],[Unit Cost]]</f>
        <v>180</v>
      </c>
      <c r="X2419" s="77">
        <f>'Dropdown Lists'!$I$2*(1+OrdersTable[[#This Row],[Returned]])</f>
        <v>60</v>
      </c>
      <c r="Y2419" s="76">
        <f>OrdersTable[[#This Row],[Net Revenue]]-OrdersTable[[#This Row],[COGS]]-OrdersTable[[#This Row],[Shipping Cost]]</f>
        <v>239.2</v>
      </c>
      <c r="Z2419" s="78">
        <f>IFERROR(OrdersTable[[#This Row],[Profit]]/OrdersTable[[#This Row],[Net Revenue]],0)</f>
        <v>0.4991652754590985</v>
      </c>
      <c r="AA2419" t="s">
        <v>4074</v>
      </c>
      <c r="AB2419" s="79">
        <v>45703</v>
      </c>
      <c r="AC2419">
        <f>OrdersTable[[#This Row],[Delivery Date]]-OrdersTable[[#This Row],[Order Date]]</f>
        <v>2</v>
      </c>
      <c r="AD2419" t="str">
        <f>IF(OrdersTable[[#This Row],[Delivery Days]]&lt;=2, "Express (≤2d)", IF(OrdersTable[[#This Row],[Delivery Days]]&lt;=4, "Standard (3-4d)", "Delayed (5d+)"))</f>
        <v>Express (≤2d)</v>
      </c>
      <c r="AF2419">
        <v>0</v>
      </c>
    </row>
    <row r="2420" spans="1:32" ht="15" x14ac:dyDescent="0.35">
      <c r="A2420" t="s">
        <v>579</v>
      </c>
      <c r="B2420" s="1">
        <v>45701</v>
      </c>
      <c r="C2420">
        <f>YEAR(OrdersTable[[#This Row],[Order Date]])</f>
        <v>2025</v>
      </c>
      <c r="D2420" s="2">
        <f>DATE(YEAR(OrdersTable[[#This Row],[Order Date]]),MONTH(OrdersTable[[#This Row],[Order Date]]),1)</f>
        <v>45689</v>
      </c>
      <c r="E2420">
        <f>MONTH(OrdersTable[[#This Row],[Order Date]])</f>
        <v>2</v>
      </c>
      <c r="F2420" t="s">
        <v>580</v>
      </c>
      <c r="G2420" t="str">
        <f>IF(OrdersTable[[#This Row],[Order Date]]=_xlfn.MINIFS(Order_Date, Customer_ID, OrdersTable[[#This Row],[Customer ID]]), "New", "Repeat")</f>
        <v>Repeat</v>
      </c>
      <c r="H2420" t="s">
        <v>76</v>
      </c>
      <c r="I2420" t="str">
        <f>INDEX(State!B:B,MATCH(OrdersTable[[#This Row],[State]],State!A:A,0))</f>
        <v>UP</v>
      </c>
      <c r="J2420" t="str">
        <f>INDEX(State!C:C,MATCH(OrdersTable[[#This Row],[State Code]],State!B:B,0))</f>
        <v>North</v>
      </c>
      <c r="K2420" t="s">
        <v>118</v>
      </c>
      <c r="L2420" t="s">
        <v>23</v>
      </c>
      <c r="M2420" t="s">
        <v>17</v>
      </c>
      <c r="N2420" t="str">
        <f>INDEX(Products!B:B,MATCH(OrdersTable[[#This Row],[Product ID]],Products!A:A,0))</f>
        <v>Casual Sneakers</v>
      </c>
      <c r="O2420" t="str">
        <f>INDEX(Products!C:C,MATCH(OrdersTable[[#This Row],[Product ID]],Products!A:A,0))</f>
        <v>Footwear</v>
      </c>
      <c r="P2420">
        <v>1</v>
      </c>
      <c r="Q2420" s="5">
        <v>2199</v>
      </c>
      <c r="R2420" s="74">
        <v>0.15</v>
      </c>
      <c r="S2420" s="75">
        <f>OrdersTable[[#This Row],[Quantity]]*OrdersTable[[#This Row],[Unit Price]]</f>
        <v>2199</v>
      </c>
      <c r="T2420" s="5">
        <f>OrdersTable[[#This Row],[Gross Sale]]*OrdersTable[[#This Row],[Discount_Clean2]]</f>
        <v>329.84999999999997</v>
      </c>
      <c r="U2420" s="5">
        <f>OrdersTable[[#This Row],[Gross Sale]]-OrdersTable[[#This Row],[Discount Amount]]</f>
        <v>1869.15</v>
      </c>
      <c r="V2420" s="77">
        <f>INDEX(Products!E:E,MATCH(OrdersTable[[#This Row],[Product ID]],Products!A:A,0))</f>
        <v>1034</v>
      </c>
      <c r="W2420" s="77">
        <f>OrdersTable[[#This Row],[Quantity]]*OrdersTable[[#This Row],[Unit Cost]]</f>
        <v>1034</v>
      </c>
      <c r="X2420" s="77">
        <f>'Dropdown Lists'!$I$2*(1+OrdersTable[[#This Row],[Returned]])</f>
        <v>60</v>
      </c>
      <c r="Y2420" s="76">
        <f>OrdersTable[[#This Row],[Net Revenue]]-OrdersTable[[#This Row],[COGS]]-OrdersTable[[#This Row],[Shipping Cost]]</f>
        <v>775.15000000000009</v>
      </c>
      <c r="Z2420" s="78">
        <f>IFERROR(OrdersTable[[#This Row],[Profit]]/OrdersTable[[#This Row],[Net Revenue]],0)</f>
        <v>0.41470721985929437</v>
      </c>
      <c r="AA2420" t="s">
        <v>18</v>
      </c>
      <c r="AB2420" s="79">
        <v>45706</v>
      </c>
      <c r="AC2420">
        <f>OrdersTable[[#This Row],[Delivery Date]]-OrdersTable[[#This Row],[Order Date]]</f>
        <v>5</v>
      </c>
      <c r="AD2420" t="str">
        <f>IF(OrdersTable[[#This Row],[Delivery Days]]&lt;=2, "Express (≤2d)", IF(OrdersTable[[#This Row],[Delivery Days]]&lt;=4, "Standard (3-4d)", "Delayed (5d+)"))</f>
        <v>Delayed (5d+)</v>
      </c>
      <c r="AE2420">
        <v>4</v>
      </c>
      <c r="AF2420">
        <v>0</v>
      </c>
    </row>
    <row r="2421" spans="1:32" ht="15" x14ac:dyDescent="0.35">
      <c r="A2421" t="s">
        <v>6564</v>
      </c>
      <c r="B2421" s="1">
        <v>45701</v>
      </c>
      <c r="C2421">
        <f>YEAR(OrdersTable[[#This Row],[Order Date]])</f>
        <v>2025</v>
      </c>
      <c r="D2421" s="2">
        <f>DATE(YEAR(OrdersTable[[#This Row],[Order Date]]),MONTH(OrdersTable[[#This Row],[Order Date]]),1)</f>
        <v>45689</v>
      </c>
      <c r="E2421">
        <f>MONTH(OrdersTable[[#This Row],[Order Date]])</f>
        <v>2</v>
      </c>
      <c r="F2421" t="s">
        <v>6565</v>
      </c>
      <c r="G2421" t="str">
        <f>IF(OrdersTable[[#This Row],[Order Date]]=_xlfn.MINIFS(Order_Date, Customer_ID, OrdersTable[[#This Row],[Customer ID]]), "New", "Repeat")</f>
        <v>New</v>
      </c>
      <c r="H2421" t="s">
        <v>37</v>
      </c>
      <c r="I2421" t="str">
        <f>INDEX(State!B:B,MATCH(OrdersTable[[#This Row],[State]],State!A:A,0))</f>
        <v>GJ</v>
      </c>
      <c r="J2421" t="str">
        <f>INDEX(State!C:C,MATCH(OrdersTable[[#This Row],[State Code]],State!B:B,0))</f>
        <v>West</v>
      </c>
      <c r="K2421" t="s">
        <v>38</v>
      </c>
      <c r="L2421" t="s">
        <v>23</v>
      </c>
      <c r="M2421" t="s">
        <v>109</v>
      </c>
      <c r="N2421" t="str">
        <f>INDEX(Products!B:B,MATCH(OrdersTable[[#This Row],[Product ID]],Products!A:A,0))</f>
        <v>Onion Hair Oil</v>
      </c>
      <c r="O2421" t="str">
        <f>INDEX(Products!C:C,MATCH(OrdersTable[[#This Row],[Product ID]],Products!A:A,0))</f>
        <v>Haircare</v>
      </c>
      <c r="P2421">
        <v>3</v>
      </c>
      <c r="Q2421" s="5">
        <v>349</v>
      </c>
      <c r="R2421" s="74">
        <v>0.3</v>
      </c>
      <c r="S2421" s="75">
        <f>OrdersTable[[#This Row],[Quantity]]*OrdersTable[[#This Row],[Unit Price]]</f>
        <v>1047</v>
      </c>
      <c r="T2421" s="5">
        <f>OrdersTable[[#This Row],[Gross Sale]]*OrdersTable[[#This Row],[Discount_Clean2]]</f>
        <v>314.09999999999997</v>
      </c>
      <c r="U2421" s="5">
        <f>OrdersTable[[#This Row],[Gross Sale]]-OrdersTable[[#This Row],[Discount Amount]]</f>
        <v>732.90000000000009</v>
      </c>
      <c r="V2421" s="77">
        <f>INDEX(Products!E:E,MATCH(OrdersTable[[#This Row],[Product ID]],Products!A:A,0))</f>
        <v>105</v>
      </c>
      <c r="W2421" s="77">
        <f>OrdersTable[[#This Row],[Quantity]]*OrdersTable[[#This Row],[Unit Cost]]</f>
        <v>315</v>
      </c>
      <c r="X2421" s="77">
        <f>'Dropdown Lists'!$I$2*(1+OrdersTable[[#This Row],[Returned]])</f>
        <v>60</v>
      </c>
      <c r="Y2421" s="76">
        <f>OrdersTable[[#This Row],[Net Revenue]]-OrdersTable[[#This Row],[COGS]]-OrdersTable[[#This Row],[Shipping Cost]]</f>
        <v>357.90000000000009</v>
      </c>
      <c r="Z2421" s="78">
        <f>IFERROR(OrdersTable[[#This Row],[Profit]]/OrdersTable[[#This Row],[Net Revenue]],0)</f>
        <v>0.48833401555464601</v>
      </c>
      <c r="AA2421" t="s">
        <v>18</v>
      </c>
      <c r="AB2421" s="79">
        <v>45702</v>
      </c>
      <c r="AC2421">
        <f>OrdersTable[[#This Row],[Delivery Date]]-OrdersTable[[#This Row],[Order Date]]</f>
        <v>1</v>
      </c>
      <c r="AD2421" t="str">
        <f>IF(OrdersTable[[#This Row],[Delivery Days]]&lt;=2, "Express (≤2d)", IF(OrdersTable[[#This Row],[Delivery Days]]&lt;=4, "Standard (3-4d)", "Delayed (5d+)"))</f>
        <v>Express (≤2d)</v>
      </c>
      <c r="AE2421">
        <v>5</v>
      </c>
      <c r="AF2421">
        <v>0</v>
      </c>
    </row>
    <row r="2422" spans="1:32" ht="15" x14ac:dyDescent="0.35">
      <c r="A2422" t="s">
        <v>4597</v>
      </c>
      <c r="B2422" s="1">
        <v>45701</v>
      </c>
      <c r="C2422">
        <f>YEAR(OrdersTable[[#This Row],[Order Date]])</f>
        <v>2025</v>
      </c>
      <c r="D2422" s="2">
        <f>DATE(YEAR(OrdersTable[[#This Row],[Order Date]]),MONTH(OrdersTable[[#This Row],[Order Date]]),1)</f>
        <v>45689</v>
      </c>
      <c r="E2422">
        <f>MONTH(OrdersTable[[#This Row],[Order Date]])</f>
        <v>2</v>
      </c>
      <c r="F2422" t="s">
        <v>1842</v>
      </c>
      <c r="G2422" t="str">
        <f>IF(OrdersTable[[#This Row],[Order Date]]=_xlfn.MINIFS(Order_Date, Customer_ID, OrdersTable[[#This Row],[Customer ID]]), "New", "Repeat")</f>
        <v>Repeat</v>
      </c>
      <c r="H2422" t="s">
        <v>37</v>
      </c>
      <c r="I2422" t="str">
        <f>INDEX(State!B:B,MATCH(OrdersTable[[#This Row],[State]],State!A:A,0))</f>
        <v>GJ</v>
      </c>
      <c r="J2422" t="str">
        <f>INDEX(State!C:C,MATCH(OrdersTable[[#This Row],[State Code]],State!B:B,0))</f>
        <v>West</v>
      </c>
      <c r="K2422" t="s">
        <v>247</v>
      </c>
      <c r="L2422" t="s">
        <v>39</v>
      </c>
      <c r="M2422" t="s">
        <v>92</v>
      </c>
      <c r="N2422" t="str">
        <f>INDEX(Products!B:B,MATCH(OrdersTable[[#This Row],[Product ID]],Products!A:A,0))</f>
        <v>Kolhapuri Sandals</v>
      </c>
      <c r="O2422" t="str">
        <f>INDEX(Products!C:C,MATCH(OrdersTable[[#This Row],[Product ID]],Products!A:A,0))</f>
        <v>Footwear</v>
      </c>
      <c r="P2422">
        <v>1</v>
      </c>
      <c r="Q2422" s="5">
        <v>999</v>
      </c>
      <c r="R2422" s="74">
        <v>0</v>
      </c>
      <c r="S2422" s="75">
        <f>OrdersTable[[#This Row],[Quantity]]*OrdersTable[[#This Row],[Unit Price]]</f>
        <v>999</v>
      </c>
      <c r="T2422" s="5">
        <f>OrdersTable[[#This Row],[Gross Sale]]*OrdersTable[[#This Row],[Discount_Clean2]]</f>
        <v>0</v>
      </c>
      <c r="U2422" s="5">
        <f>OrdersTable[[#This Row],[Gross Sale]]-OrdersTable[[#This Row],[Discount Amount]]</f>
        <v>999</v>
      </c>
      <c r="V2422" s="77">
        <f>INDEX(Products!E:E,MATCH(OrdersTable[[#This Row],[Product ID]],Products!A:A,0))</f>
        <v>400</v>
      </c>
      <c r="W2422" s="77">
        <f>OrdersTable[[#This Row],[Quantity]]*OrdersTable[[#This Row],[Unit Cost]]</f>
        <v>400</v>
      </c>
      <c r="X2422" s="77">
        <f>'Dropdown Lists'!$I$2*(1+OrdersTable[[#This Row],[Returned]])</f>
        <v>120</v>
      </c>
      <c r="Y2422" s="76">
        <f>OrdersTable[[#This Row],[Net Revenue]]-OrdersTable[[#This Row],[COGS]]-OrdersTable[[#This Row],[Shipping Cost]]</f>
        <v>479</v>
      </c>
      <c r="Z2422" s="78">
        <f>IFERROR(OrdersTable[[#This Row],[Profit]]/OrdersTable[[#This Row],[Net Revenue]],0)</f>
        <v>0.4794794794794795</v>
      </c>
      <c r="AA2422" t="s">
        <v>4450</v>
      </c>
      <c r="AB2422" s="79">
        <v>45706</v>
      </c>
      <c r="AC2422">
        <f>OrdersTable[[#This Row],[Delivery Date]]-OrdersTable[[#This Row],[Order Date]]</f>
        <v>5</v>
      </c>
      <c r="AD2422" t="str">
        <f>IF(OrdersTable[[#This Row],[Delivery Days]]&lt;=2, "Express (≤2d)", IF(OrdersTable[[#This Row],[Delivery Days]]&lt;=4, "Standard (3-4d)", "Delayed (5d+)"))</f>
        <v>Delayed (5d+)</v>
      </c>
      <c r="AF2422">
        <v>1</v>
      </c>
    </row>
    <row r="2423" spans="1:32" ht="15" x14ac:dyDescent="0.35">
      <c r="A2423" t="s">
        <v>2600</v>
      </c>
      <c r="B2423" s="1">
        <v>45701</v>
      </c>
      <c r="C2423">
        <f>YEAR(OrdersTable[[#This Row],[Order Date]])</f>
        <v>2025</v>
      </c>
      <c r="D2423" s="2">
        <f>DATE(YEAR(OrdersTable[[#This Row],[Order Date]]),MONTH(OrdersTable[[#This Row],[Order Date]]),1)</f>
        <v>45689</v>
      </c>
      <c r="E2423">
        <f>MONTH(OrdersTable[[#This Row],[Order Date]])</f>
        <v>2</v>
      </c>
      <c r="F2423" t="s">
        <v>729</v>
      </c>
      <c r="G2423" t="str">
        <f>IF(OrdersTable[[#This Row],[Order Date]]=_xlfn.MINIFS(Order_Date, Customer_ID, OrdersTable[[#This Row],[Customer ID]]), "New", "Repeat")</f>
        <v>Repeat</v>
      </c>
      <c r="H2423" t="s">
        <v>167</v>
      </c>
      <c r="I2423" t="str">
        <f>INDEX(State!B:B,MATCH(OrdersTable[[#This Row],[State]],State!A:A,0))</f>
        <v>KA</v>
      </c>
      <c r="J2423" t="str">
        <f>INDEX(State!C:C,MATCH(OrdersTable[[#This Row],[State Code]],State!B:B,0))</f>
        <v>South</v>
      </c>
      <c r="K2423" t="s">
        <v>168</v>
      </c>
      <c r="L2423" t="s">
        <v>65</v>
      </c>
      <c r="M2423" t="s">
        <v>40</v>
      </c>
      <c r="N2423" t="str">
        <f>INDEX(Products!B:B,MATCH(OrdersTable[[#This Row],[Product ID]],Products!A:A,0))</f>
        <v>Ashwagandha Capsules</v>
      </c>
      <c r="O2423" t="str">
        <f>INDEX(Products!C:C,MATCH(OrdersTable[[#This Row],[Product ID]],Products!A:A,0))</f>
        <v>Wellness</v>
      </c>
      <c r="P2423">
        <v>1</v>
      </c>
      <c r="Q2423" s="5">
        <v>499</v>
      </c>
      <c r="R2423" s="74">
        <v>0.1</v>
      </c>
      <c r="S2423" s="75">
        <f>OrdersTable[[#This Row],[Quantity]]*OrdersTable[[#This Row],[Unit Price]]</f>
        <v>499</v>
      </c>
      <c r="T2423" s="5">
        <f>OrdersTable[[#This Row],[Gross Sale]]*OrdersTable[[#This Row],[Discount_Clean2]]</f>
        <v>49.900000000000006</v>
      </c>
      <c r="U2423" s="5">
        <f>OrdersTable[[#This Row],[Gross Sale]]-OrdersTable[[#This Row],[Discount Amount]]</f>
        <v>449.1</v>
      </c>
      <c r="V2423" s="77">
        <f>INDEX(Products!E:E,MATCH(OrdersTable[[#This Row],[Product ID]],Products!A:A,0))</f>
        <v>150</v>
      </c>
      <c r="W2423" s="77">
        <f>OrdersTable[[#This Row],[Quantity]]*OrdersTable[[#This Row],[Unit Cost]]</f>
        <v>150</v>
      </c>
      <c r="X2423" s="77">
        <f>'Dropdown Lists'!$I$2*(1+OrdersTable[[#This Row],[Returned]])</f>
        <v>60</v>
      </c>
      <c r="Y2423" s="76">
        <f>OrdersTable[[#This Row],[Net Revenue]]-OrdersTable[[#This Row],[COGS]]-OrdersTable[[#This Row],[Shipping Cost]]</f>
        <v>239.10000000000002</v>
      </c>
      <c r="Z2423" s="78">
        <f>IFERROR(OrdersTable[[#This Row],[Profit]]/OrdersTable[[#This Row],[Net Revenue]],0)</f>
        <v>0.53239812959251842</v>
      </c>
      <c r="AA2423" t="s">
        <v>2522</v>
      </c>
      <c r="AB2423" s="79">
        <v>45703</v>
      </c>
      <c r="AC2423">
        <f>OrdersTable[[#This Row],[Delivery Date]]-OrdersTable[[#This Row],[Order Date]]</f>
        <v>2</v>
      </c>
      <c r="AD2423" t="str">
        <f>IF(OrdersTable[[#This Row],[Delivery Days]]&lt;=2, "Express (≤2d)", IF(OrdersTable[[#This Row],[Delivery Days]]&lt;=4, "Standard (3-4d)", "Delayed (5d+)"))</f>
        <v>Express (≤2d)</v>
      </c>
      <c r="AE2423">
        <v>5</v>
      </c>
      <c r="AF2423">
        <v>0</v>
      </c>
    </row>
    <row r="2424" spans="1:32" ht="15" x14ac:dyDescent="0.35">
      <c r="A2424" t="s">
        <v>4126</v>
      </c>
      <c r="B2424" s="1">
        <v>45702</v>
      </c>
      <c r="C2424">
        <f>YEAR(OrdersTable[[#This Row],[Order Date]])</f>
        <v>2025</v>
      </c>
      <c r="D2424" s="2">
        <f>DATE(YEAR(OrdersTable[[#This Row],[Order Date]]),MONTH(OrdersTable[[#This Row],[Order Date]]),1)</f>
        <v>45689</v>
      </c>
      <c r="E2424">
        <f>MONTH(OrdersTable[[#This Row],[Order Date]])</f>
        <v>2</v>
      </c>
      <c r="F2424" t="s">
        <v>4127</v>
      </c>
      <c r="G2424" t="str">
        <f>IF(OrdersTable[[#This Row],[Order Date]]=_xlfn.MINIFS(Order_Date, Customer_ID, OrdersTable[[#This Row],[Customer ID]]), "New", "Repeat")</f>
        <v>New</v>
      </c>
      <c r="H2424" t="s">
        <v>21</v>
      </c>
      <c r="I2424" t="str">
        <f>INDEX(State!B:B,MATCH(OrdersTable[[#This Row],[State]],State!A:A,0))</f>
        <v>PB</v>
      </c>
      <c r="J2424" t="str">
        <f>INDEX(State!C:C,MATCH(OrdersTable[[#This Row],[State Code]],State!B:B,0))</f>
        <v>North</v>
      </c>
      <c r="K2424" t="s">
        <v>260</v>
      </c>
      <c r="L2424" t="s">
        <v>65</v>
      </c>
      <c r="M2424" t="s">
        <v>160</v>
      </c>
      <c r="N2424" t="str">
        <f>INDEX(Products!B:B,MATCH(OrdersTable[[#This Row],[Product ID]],Products!A:A,0))</f>
        <v>Niacinamide Toner</v>
      </c>
      <c r="O2424" t="str">
        <f>INDEX(Products!C:C,MATCH(OrdersTable[[#This Row],[Product ID]],Products!A:A,0))</f>
        <v>Skincare</v>
      </c>
      <c r="P2424">
        <v>1</v>
      </c>
      <c r="Q2424" s="5">
        <v>399</v>
      </c>
      <c r="R2424" s="74">
        <v>0.15</v>
      </c>
      <c r="S2424" s="75">
        <f>OrdersTable[[#This Row],[Quantity]]*OrdersTable[[#This Row],[Unit Price]]</f>
        <v>399</v>
      </c>
      <c r="T2424" s="5">
        <f>OrdersTable[[#This Row],[Gross Sale]]*OrdersTable[[#This Row],[Discount_Clean2]]</f>
        <v>59.849999999999994</v>
      </c>
      <c r="U2424" s="5">
        <f>OrdersTable[[#This Row],[Gross Sale]]-OrdersTable[[#This Row],[Discount Amount]]</f>
        <v>339.15</v>
      </c>
      <c r="V2424" s="77">
        <f>INDEX(Products!E:E,MATCH(OrdersTable[[#This Row],[Product ID]],Products!A:A,0))</f>
        <v>112</v>
      </c>
      <c r="W2424" s="77">
        <f>OrdersTable[[#This Row],[Quantity]]*OrdersTable[[#This Row],[Unit Cost]]</f>
        <v>112</v>
      </c>
      <c r="X2424" s="77">
        <f>'Dropdown Lists'!$I$2*(1+OrdersTable[[#This Row],[Returned]])</f>
        <v>60</v>
      </c>
      <c r="Y2424" s="76">
        <f>OrdersTable[[#This Row],[Net Revenue]]-OrdersTable[[#This Row],[COGS]]-OrdersTable[[#This Row],[Shipping Cost]]</f>
        <v>167.14999999999998</v>
      </c>
      <c r="Z2424" s="78">
        <f>IFERROR(OrdersTable[[#This Row],[Profit]]/OrdersTable[[#This Row],[Net Revenue]],0)</f>
        <v>0.49284977148754233</v>
      </c>
      <c r="AA2424" t="s">
        <v>4074</v>
      </c>
      <c r="AB2424" s="79">
        <v>45707</v>
      </c>
      <c r="AC2424">
        <f>OrdersTable[[#This Row],[Delivery Date]]-OrdersTable[[#This Row],[Order Date]]</f>
        <v>5</v>
      </c>
      <c r="AD2424" t="str">
        <f>IF(OrdersTable[[#This Row],[Delivery Days]]&lt;=2, "Express (≤2d)", IF(OrdersTable[[#This Row],[Delivery Days]]&lt;=4, "Standard (3-4d)", "Delayed (5d+)"))</f>
        <v>Delayed (5d+)</v>
      </c>
      <c r="AE2424">
        <v>5</v>
      </c>
      <c r="AF2424">
        <v>0</v>
      </c>
    </row>
    <row r="2425" spans="1:32" ht="15" x14ac:dyDescent="0.35">
      <c r="A2425" t="s">
        <v>4504</v>
      </c>
      <c r="B2425" s="1">
        <v>45702</v>
      </c>
      <c r="C2425">
        <f>YEAR(OrdersTable[[#This Row],[Order Date]])</f>
        <v>2025</v>
      </c>
      <c r="D2425" s="2">
        <f>DATE(YEAR(OrdersTable[[#This Row],[Order Date]]),MONTH(OrdersTable[[#This Row],[Order Date]]),1)</f>
        <v>45689</v>
      </c>
      <c r="E2425">
        <f>MONTH(OrdersTable[[#This Row],[Order Date]])</f>
        <v>2</v>
      </c>
      <c r="F2425" t="s">
        <v>4505</v>
      </c>
      <c r="G2425" t="str">
        <f>IF(OrdersTable[[#This Row],[Order Date]]=_xlfn.MINIFS(Order_Date, Customer_ID, OrdersTable[[#This Row],[Customer ID]]), "New", "Repeat")</f>
        <v>New</v>
      </c>
      <c r="H2425" t="s">
        <v>54</v>
      </c>
      <c r="I2425" t="str">
        <f>INDEX(State!B:B,MATCH(OrdersTable[[#This Row],[State]],State!A:A,0))</f>
        <v>RJ</v>
      </c>
      <c r="J2425" t="str">
        <f>INDEX(State!C:C,MATCH(OrdersTable[[#This Row],[State Code]],State!B:B,0))</f>
        <v>North</v>
      </c>
      <c r="K2425" t="s">
        <v>55</v>
      </c>
      <c r="L2425" t="s">
        <v>39</v>
      </c>
      <c r="M2425" t="s">
        <v>40</v>
      </c>
      <c r="N2425" t="str">
        <f>INDEX(Products!B:B,MATCH(OrdersTable[[#This Row],[Product ID]],Products!A:A,0))</f>
        <v>Ashwagandha Capsules</v>
      </c>
      <c r="O2425" t="str">
        <f>INDEX(Products!C:C,MATCH(OrdersTable[[#This Row],[Product ID]],Products!A:A,0))</f>
        <v>Wellness</v>
      </c>
      <c r="P2425">
        <v>1</v>
      </c>
      <c r="Q2425" s="5">
        <v>499</v>
      </c>
      <c r="R2425" s="74">
        <v>0</v>
      </c>
      <c r="S2425" s="75">
        <f>OrdersTable[[#This Row],[Quantity]]*OrdersTable[[#This Row],[Unit Price]]</f>
        <v>499</v>
      </c>
      <c r="T2425" s="5">
        <f>OrdersTable[[#This Row],[Gross Sale]]*OrdersTable[[#This Row],[Discount_Clean2]]</f>
        <v>0</v>
      </c>
      <c r="U2425" s="5">
        <f>OrdersTable[[#This Row],[Gross Sale]]-OrdersTable[[#This Row],[Discount Amount]]</f>
        <v>499</v>
      </c>
      <c r="V2425" s="77">
        <f>INDEX(Products!E:E,MATCH(OrdersTable[[#This Row],[Product ID]],Products!A:A,0))</f>
        <v>150</v>
      </c>
      <c r="W2425" s="77">
        <f>OrdersTable[[#This Row],[Quantity]]*OrdersTable[[#This Row],[Unit Cost]]</f>
        <v>150</v>
      </c>
      <c r="X2425" s="77">
        <f>'Dropdown Lists'!$I$2*(1+OrdersTable[[#This Row],[Returned]])</f>
        <v>120</v>
      </c>
      <c r="Y2425" s="76">
        <f>OrdersTable[[#This Row],[Net Revenue]]-OrdersTable[[#This Row],[COGS]]-OrdersTable[[#This Row],[Shipping Cost]]</f>
        <v>229</v>
      </c>
      <c r="Z2425" s="78">
        <f>IFERROR(OrdersTable[[#This Row],[Profit]]/OrdersTable[[#This Row],[Net Revenue]],0)</f>
        <v>0.4589178356713427</v>
      </c>
      <c r="AA2425" t="s">
        <v>4450</v>
      </c>
      <c r="AB2425" s="79">
        <v>45706</v>
      </c>
      <c r="AC2425">
        <f>OrdersTable[[#This Row],[Delivery Date]]-OrdersTable[[#This Row],[Order Date]]</f>
        <v>4</v>
      </c>
      <c r="AD2425" t="str">
        <f>IF(OrdersTable[[#This Row],[Delivery Days]]&lt;=2, "Express (≤2d)", IF(OrdersTable[[#This Row],[Delivery Days]]&lt;=4, "Standard (3-4d)", "Delayed (5d+)"))</f>
        <v>Standard (3-4d)</v>
      </c>
      <c r="AE2425">
        <v>4</v>
      </c>
      <c r="AF2425">
        <v>1</v>
      </c>
    </row>
    <row r="2426" spans="1:32" ht="15" x14ac:dyDescent="0.35">
      <c r="A2426" t="s">
        <v>581</v>
      </c>
      <c r="B2426" s="1">
        <v>45702</v>
      </c>
      <c r="C2426">
        <f>YEAR(OrdersTable[[#This Row],[Order Date]])</f>
        <v>2025</v>
      </c>
      <c r="D2426" s="2">
        <f>DATE(YEAR(OrdersTable[[#This Row],[Order Date]]),MONTH(OrdersTable[[#This Row],[Order Date]]),1)</f>
        <v>45689</v>
      </c>
      <c r="E2426">
        <f>MONTH(OrdersTable[[#This Row],[Order Date]])</f>
        <v>2</v>
      </c>
      <c r="F2426" t="s">
        <v>582</v>
      </c>
      <c r="G2426" t="str">
        <f>IF(OrdersTable[[#This Row],[Order Date]]=_xlfn.MINIFS(Order_Date, Customer_ID, OrdersTable[[#This Row],[Customer ID]]), "New", "Repeat")</f>
        <v>New</v>
      </c>
      <c r="H2426" t="s">
        <v>76</v>
      </c>
      <c r="I2426" t="str">
        <f>INDEX(State!B:B,MATCH(OrdersTable[[#This Row],[State]],State!A:A,0))</f>
        <v>UP</v>
      </c>
      <c r="J2426" t="str">
        <f>INDEX(State!C:C,MATCH(OrdersTable[[#This Row],[State Code]],State!B:B,0))</f>
        <v>North</v>
      </c>
      <c r="K2426" t="s">
        <v>77</v>
      </c>
      <c r="L2426" t="s">
        <v>23</v>
      </c>
      <c r="M2426" t="s">
        <v>148</v>
      </c>
      <c r="N2426" t="str">
        <f>INDEX(Products!B:B,MATCH(OrdersTable[[#This Row],[Product ID]],Products!A:A,0))</f>
        <v>Smartwatch Strap</v>
      </c>
      <c r="O2426" t="str">
        <f>INDEX(Products!C:C,MATCH(OrdersTable[[#This Row],[Product ID]],Products!A:A,0))</f>
        <v>Electronics</v>
      </c>
      <c r="P2426">
        <v>1</v>
      </c>
      <c r="Q2426" s="5">
        <v>499</v>
      </c>
      <c r="R2426" s="74">
        <v>0.1</v>
      </c>
      <c r="S2426" s="75">
        <f>OrdersTable[[#This Row],[Quantity]]*OrdersTable[[#This Row],[Unit Price]]</f>
        <v>499</v>
      </c>
      <c r="T2426" s="5">
        <f>OrdersTable[[#This Row],[Gross Sale]]*OrdersTable[[#This Row],[Discount_Clean2]]</f>
        <v>49.900000000000006</v>
      </c>
      <c r="U2426" s="5">
        <f>OrdersTable[[#This Row],[Gross Sale]]-OrdersTable[[#This Row],[Discount Amount]]</f>
        <v>449.1</v>
      </c>
      <c r="V2426" s="77">
        <f>INDEX(Products!E:E,MATCH(OrdersTable[[#This Row],[Product ID]],Products!A:A,0))</f>
        <v>200</v>
      </c>
      <c r="W2426" s="77">
        <f>OrdersTable[[#This Row],[Quantity]]*OrdersTable[[#This Row],[Unit Cost]]</f>
        <v>200</v>
      </c>
      <c r="X2426" s="77">
        <f>'Dropdown Lists'!$I$2*(1+OrdersTable[[#This Row],[Returned]])</f>
        <v>60</v>
      </c>
      <c r="Y2426" s="76">
        <f>OrdersTable[[#This Row],[Net Revenue]]-OrdersTable[[#This Row],[COGS]]-OrdersTable[[#This Row],[Shipping Cost]]</f>
        <v>189.10000000000002</v>
      </c>
      <c r="Z2426" s="78">
        <f>IFERROR(OrdersTable[[#This Row],[Profit]]/OrdersTable[[#This Row],[Net Revenue]],0)</f>
        <v>0.42106435092407041</v>
      </c>
      <c r="AA2426" t="s">
        <v>18</v>
      </c>
      <c r="AB2426" s="79">
        <v>45704</v>
      </c>
      <c r="AC2426">
        <f>OrdersTable[[#This Row],[Delivery Date]]-OrdersTable[[#This Row],[Order Date]]</f>
        <v>2</v>
      </c>
      <c r="AD2426" t="str">
        <f>IF(OrdersTable[[#This Row],[Delivery Days]]&lt;=2, "Express (≤2d)", IF(OrdersTable[[#This Row],[Delivery Days]]&lt;=4, "Standard (3-4d)", "Delayed (5d+)"))</f>
        <v>Express (≤2d)</v>
      </c>
      <c r="AE2426">
        <v>4</v>
      </c>
      <c r="AF2426">
        <v>0</v>
      </c>
    </row>
    <row r="2427" spans="1:32" ht="15" x14ac:dyDescent="0.35">
      <c r="A2427" t="s">
        <v>256</v>
      </c>
      <c r="B2427" s="1">
        <v>45702</v>
      </c>
      <c r="C2427">
        <f>YEAR(OrdersTable[[#This Row],[Order Date]])</f>
        <v>2025</v>
      </c>
      <c r="D2427" s="2">
        <f>DATE(YEAR(OrdersTable[[#This Row],[Order Date]]),MONTH(OrdersTable[[#This Row],[Order Date]]),1)</f>
        <v>45689</v>
      </c>
      <c r="E2427">
        <f>MONTH(OrdersTable[[#This Row],[Order Date]])</f>
        <v>2</v>
      </c>
      <c r="F2427" t="s">
        <v>257</v>
      </c>
      <c r="G2427" t="str">
        <f>IF(OrdersTable[[#This Row],[Order Date]]=_xlfn.MINIFS(Order_Date, Customer_ID, OrdersTable[[#This Row],[Customer ID]]), "New", "Repeat")</f>
        <v>New</v>
      </c>
      <c r="H2427" t="s">
        <v>32</v>
      </c>
      <c r="I2427" t="str">
        <f>INDEX(State!B:B,MATCH(OrdersTable[[#This Row],[State]],State!A:A,0))</f>
        <v>BR</v>
      </c>
      <c r="J2427" t="str">
        <f>INDEX(State!C:C,MATCH(OrdersTable[[#This Row],[State Code]],State!B:B,0))</f>
        <v>East</v>
      </c>
      <c r="K2427" t="s">
        <v>33</v>
      </c>
      <c r="L2427" t="s">
        <v>23</v>
      </c>
      <c r="M2427" t="s">
        <v>34</v>
      </c>
      <c r="N2427" t="str">
        <f>INDEX(Products!B:B,MATCH(OrdersTable[[#This Row],[Product ID]],Products!A:A,0))</f>
        <v>Flip Flops</v>
      </c>
      <c r="O2427" t="str">
        <f>INDEX(Products!C:C,MATCH(OrdersTable[[#This Row],[Product ID]],Products!A:A,0))</f>
        <v>Footwear</v>
      </c>
      <c r="P2427">
        <v>1</v>
      </c>
      <c r="Q2427" s="5">
        <v>399</v>
      </c>
      <c r="R2427" s="74">
        <v>0.15</v>
      </c>
      <c r="S2427" s="75">
        <f>OrdersTable[[#This Row],[Quantity]]*OrdersTable[[#This Row],[Unit Price]]</f>
        <v>399</v>
      </c>
      <c r="T2427" s="5">
        <f>OrdersTable[[#This Row],[Gross Sale]]*OrdersTable[[#This Row],[Discount_Clean2]]</f>
        <v>59.849999999999994</v>
      </c>
      <c r="U2427" s="5">
        <f>OrdersTable[[#This Row],[Gross Sale]]-OrdersTable[[#This Row],[Discount Amount]]</f>
        <v>339.15</v>
      </c>
      <c r="V2427" s="77">
        <f>INDEX(Products!E:E,MATCH(OrdersTable[[#This Row],[Product ID]],Products!A:A,0))</f>
        <v>152</v>
      </c>
      <c r="W2427" s="77">
        <f>OrdersTable[[#This Row],[Quantity]]*OrdersTable[[#This Row],[Unit Cost]]</f>
        <v>152</v>
      </c>
      <c r="X2427" s="77">
        <f>'Dropdown Lists'!$I$2*(1+OrdersTable[[#This Row],[Returned]])</f>
        <v>60</v>
      </c>
      <c r="Y2427" s="76">
        <f>OrdersTable[[#This Row],[Net Revenue]]-OrdersTable[[#This Row],[COGS]]-OrdersTable[[#This Row],[Shipping Cost]]</f>
        <v>127.14999999999998</v>
      </c>
      <c r="Z2427" s="78">
        <f>IFERROR(OrdersTable[[#This Row],[Profit]]/OrdersTable[[#This Row],[Net Revenue]],0)</f>
        <v>0.37490785787999409</v>
      </c>
      <c r="AA2427" t="s">
        <v>18</v>
      </c>
      <c r="AB2427" s="79">
        <v>45707</v>
      </c>
      <c r="AC2427">
        <f>OrdersTable[[#This Row],[Delivery Date]]-OrdersTable[[#This Row],[Order Date]]</f>
        <v>5</v>
      </c>
      <c r="AD2427" t="str">
        <f>IF(OrdersTable[[#This Row],[Delivery Days]]&lt;=2, "Express (≤2d)", IF(OrdersTable[[#This Row],[Delivery Days]]&lt;=4, "Standard (3-4d)", "Delayed (5d+)"))</f>
        <v>Delayed (5d+)</v>
      </c>
      <c r="AE2427">
        <v>4</v>
      </c>
      <c r="AF2427">
        <v>0</v>
      </c>
    </row>
    <row r="2428" spans="1:32" ht="15" x14ac:dyDescent="0.35">
      <c r="A2428" t="s">
        <v>3897</v>
      </c>
      <c r="B2428" s="1">
        <v>45702</v>
      </c>
      <c r="C2428">
        <f>YEAR(OrdersTable[[#This Row],[Order Date]])</f>
        <v>2025</v>
      </c>
      <c r="D2428" s="2">
        <f>DATE(YEAR(OrdersTable[[#This Row],[Order Date]]),MONTH(OrdersTable[[#This Row],[Order Date]]),1)</f>
        <v>45689</v>
      </c>
      <c r="E2428">
        <f>MONTH(OrdersTable[[#This Row],[Order Date]])</f>
        <v>2</v>
      </c>
      <c r="F2428" t="s">
        <v>3682</v>
      </c>
      <c r="G2428" t="str">
        <f>IF(OrdersTable[[#This Row],[Order Date]]=_xlfn.MINIFS(Order_Date, Customer_ID, OrdersTable[[#This Row],[Customer ID]]), "New", "Repeat")</f>
        <v>New</v>
      </c>
      <c r="H2428" t="s">
        <v>132</v>
      </c>
      <c r="I2428" t="str">
        <f>INDEX(State!B:B,MATCH(OrdersTable[[#This Row],[State]],State!A:A,0))</f>
        <v>AS</v>
      </c>
      <c r="J2428" t="str">
        <f>INDEX(State!C:C,MATCH(OrdersTable[[#This Row],[State Code]],State!B:B,0))</f>
        <v>East</v>
      </c>
      <c r="K2428" t="s">
        <v>133</v>
      </c>
      <c r="L2428" t="s">
        <v>65</v>
      </c>
      <c r="M2428" t="s">
        <v>24</v>
      </c>
      <c r="N2428" t="str">
        <f>INDEX(Products!B:B,MATCH(OrdersTable[[#This Row],[Product ID]],Products!A:A,0))</f>
        <v>Scented Candle Set</v>
      </c>
      <c r="O2428" t="str">
        <f>INDEX(Products!C:C,MATCH(OrdersTable[[#This Row],[Product ID]],Products!A:A,0))</f>
        <v>Home &amp; Kitchen</v>
      </c>
      <c r="P2428">
        <v>1</v>
      </c>
      <c r="Q2428" s="5">
        <v>699</v>
      </c>
      <c r="R2428" s="74">
        <v>0.25</v>
      </c>
      <c r="S2428" s="75">
        <f>OrdersTable[[#This Row],[Quantity]]*OrdersTable[[#This Row],[Unit Price]]</f>
        <v>699</v>
      </c>
      <c r="T2428" s="5">
        <f>OrdersTable[[#This Row],[Gross Sale]]*OrdersTable[[#This Row],[Discount_Clean2]]</f>
        <v>174.75</v>
      </c>
      <c r="U2428" s="5">
        <f>OrdersTable[[#This Row],[Gross Sale]]-OrdersTable[[#This Row],[Discount Amount]]</f>
        <v>524.25</v>
      </c>
      <c r="V2428" s="77">
        <f>INDEX(Products!E:E,MATCH(OrdersTable[[#This Row],[Product ID]],Products!A:A,0))</f>
        <v>245</v>
      </c>
      <c r="W2428" s="77">
        <f>OrdersTable[[#This Row],[Quantity]]*OrdersTable[[#This Row],[Unit Cost]]</f>
        <v>245</v>
      </c>
      <c r="X2428" s="77">
        <f>'Dropdown Lists'!$I$2*(1+OrdersTable[[#This Row],[Returned]])</f>
        <v>60</v>
      </c>
      <c r="Y2428" s="76">
        <f>OrdersTable[[#This Row],[Net Revenue]]-OrdersTable[[#This Row],[COGS]]-OrdersTable[[#This Row],[Shipping Cost]]</f>
        <v>219.25</v>
      </c>
      <c r="Z2428" s="78">
        <f>IFERROR(OrdersTable[[#This Row],[Profit]]/OrdersTable[[#This Row],[Net Revenue]],0)</f>
        <v>0.41821649976156416</v>
      </c>
      <c r="AA2428" t="s">
        <v>3495</v>
      </c>
      <c r="AB2428" s="79">
        <v>45709</v>
      </c>
      <c r="AC2428">
        <f>OrdersTable[[#This Row],[Delivery Date]]-OrdersTable[[#This Row],[Order Date]]</f>
        <v>7</v>
      </c>
      <c r="AD2428" t="str">
        <f>IF(OrdersTable[[#This Row],[Delivery Days]]&lt;=2, "Express (≤2d)", IF(OrdersTable[[#This Row],[Delivery Days]]&lt;=4, "Standard (3-4d)", "Delayed (5d+)"))</f>
        <v>Delayed (5d+)</v>
      </c>
      <c r="AE2428">
        <v>3</v>
      </c>
      <c r="AF2428">
        <v>0</v>
      </c>
    </row>
    <row r="2429" spans="1:32" ht="15" x14ac:dyDescent="0.35">
      <c r="A2429" t="s">
        <v>6566</v>
      </c>
      <c r="B2429" s="1">
        <v>45702</v>
      </c>
      <c r="C2429">
        <f>YEAR(OrdersTable[[#This Row],[Order Date]])</f>
        <v>2025</v>
      </c>
      <c r="D2429" s="2">
        <f>DATE(YEAR(OrdersTable[[#This Row],[Order Date]]),MONTH(OrdersTable[[#This Row],[Order Date]]),1)</f>
        <v>45689</v>
      </c>
      <c r="E2429">
        <f>MONTH(OrdersTable[[#This Row],[Order Date]])</f>
        <v>2</v>
      </c>
      <c r="F2429" t="s">
        <v>6117</v>
      </c>
      <c r="G2429" t="str">
        <f>IF(OrdersTable[[#This Row],[Order Date]]=_xlfn.MINIFS(Order_Date, Customer_ID, OrdersTable[[#This Row],[Customer ID]]), "New", "Repeat")</f>
        <v>Repeat</v>
      </c>
      <c r="H2429" t="s">
        <v>71</v>
      </c>
      <c r="I2429" t="str">
        <f>INDEX(State!B:B,MATCH(OrdersTable[[#This Row],[State]],State!A:A,0))</f>
        <v>MH</v>
      </c>
      <c r="J2429" t="str">
        <f>INDEX(State!C:C,MATCH(OrdersTable[[#This Row],[State Code]],State!B:B,0))</f>
        <v>West</v>
      </c>
      <c r="K2429" t="s">
        <v>81</v>
      </c>
      <c r="L2429" t="s">
        <v>23</v>
      </c>
      <c r="M2429" t="s">
        <v>565</v>
      </c>
      <c r="N2429" t="str">
        <f>INDEX(Products!B:B,MATCH(OrdersTable[[#This Row],[Product ID]],Products!A:A,0))</f>
        <v>Ceramic Dinner Set</v>
      </c>
      <c r="O2429" t="str">
        <f>INDEX(Products!C:C,MATCH(OrdersTable[[#This Row],[Product ID]],Products!A:A,0))</f>
        <v>Home &amp; Kitchen</v>
      </c>
      <c r="P2429">
        <v>3</v>
      </c>
      <c r="Q2429" s="5">
        <v>2499</v>
      </c>
      <c r="R2429" s="74">
        <v>0.25</v>
      </c>
      <c r="S2429" s="75">
        <f>OrdersTable[[#This Row],[Quantity]]*OrdersTable[[#This Row],[Unit Price]]</f>
        <v>7497</v>
      </c>
      <c r="T2429" s="5">
        <f>OrdersTable[[#This Row],[Gross Sale]]*OrdersTable[[#This Row],[Discount_Clean2]]</f>
        <v>1874.25</v>
      </c>
      <c r="U2429" s="5">
        <f>OrdersTable[[#This Row],[Gross Sale]]-OrdersTable[[#This Row],[Discount Amount]]</f>
        <v>5622.75</v>
      </c>
      <c r="V2429" s="77">
        <f>INDEX(Products!E:E,MATCH(OrdersTable[[#This Row],[Product ID]],Products!A:A,0))</f>
        <v>1250</v>
      </c>
      <c r="W2429" s="77">
        <f>OrdersTable[[#This Row],[Quantity]]*OrdersTable[[#This Row],[Unit Cost]]</f>
        <v>3750</v>
      </c>
      <c r="X2429" s="77">
        <f>'Dropdown Lists'!$I$2*(1+OrdersTable[[#This Row],[Returned]])</f>
        <v>60</v>
      </c>
      <c r="Y2429" s="76">
        <f>OrdersTable[[#This Row],[Net Revenue]]-OrdersTable[[#This Row],[COGS]]-OrdersTable[[#This Row],[Shipping Cost]]</f>
        <v>1812.75</v>
      </c>
      <c r="Z2429" s="78">
        <f>IFERROR(OrdersTable[[#This Row],[Profit]]/OrdersTable[[#This Row],[Net Revenue]],0)</f>
        <v>0.32239562491663332</v>
      </c>
      <c r="AA2429" t="s">
        <v>18</v>
      </c>
      <c r="AB2429" s="79">
        <v>45705</v>
      </c>
      <c r="AC2429">
        <f>OrdersTable[[#This Row],[Delivery Date]]-OrdersTable[[#This Row],[Order Date]]</f>
        <v>3</v>
      </c>
      <c r="AD2429" t="str">
        <f>IF(OrdersTable[[#This Row],[Delivery Days]]&lt;=2, "Express (≤2d)", IF(OrdersTable[[#This Row],[Delivery Days]]&lt;=4, "Standard (3-4d)", "Delayed (5d+)"))</f>
        <v>Standard (3-4d)</v>
      </c>
      <c r="AE2429">
        <v>3</v>
      </c>
      <c r="AF2429">
        <v>0</v>
      </c>
    </row>
    <row r="2430" spans="1:32" ht="15" x14ac:dyDescent="0.35">
      <c r="A2430" t="s">
        <v>3898</v>
      </c>
      <c r="B2430" s="1">
        <v>45702</v>
      </c>
      <c r="C2430">
        <f>YEAR(OrdersTable[[#This Row],[Order Date]])</f>
        <v>2025</v>
      </c>
      <c r="D2430" s="2">
        <f>DATE(YEAR(OrdersTable[[#This Row],[Order Date]]),MONTH(OrdersTable[[#This Row],[Order Date]]),1)</f>
        <v>45689</v>
      </c>
      <c r="E2430">
        <f>MONTH(OrdersTable[[#This Row],[Order Date]])</f>
        <v>2</v>
      </c>
      <c r="F2430" t="s">
        <v>1460</v>
      </c>
      <c r="G2430" t="str">
        <f>IF(OrdersTable[[#This Row],[Order Date]]=_xlfn.MINIFS(Order_Date, Customer_ID, OrdersTable[[#This Row],[Customer ID]]), "New", "Repeat")</f>
        <v>Repeat</v>
      </c>
      <c r="H2430" t="s">
        <v>275</v>
      </c>
      <c r="I2430" t="str">
        <f>INDEX(State!B:B,MATCH(OrdersTable[[#This Row],[State]],State!A:A,0))</f>
        <v>AP</v>
      </c>
      <c r="J2430" t="str">
        <f>INDEX(State!C:C,MATCH(OrdersTable[[#This Row],[State Code]],State!B:B,0))</f>
        <v>South</v>
      </c>
      <c r="K2430" t="s">
        <v>276</v>
      </c>
      <c r="L2430" t="s">
        <v>23</v>
      </c>
      <c r="M2430" t="s">
        <v>576</v>
      </c>
      <c r="N2430" t="str">
        <f>INDEX(Products!B:B,MATCH(OrdersTable[[#This Row],[Product ID]],Products!A:A,0))</f>
        <v>Printed Saree</v>
      </c>
      <c r="O2430" t="str">
        <f>INDEX(Products!C:C,MATCH(OrdersTable[[#This Row],[Product ID]],Products!A:A,0))</f>
        <v>Apparel</v>
      </c>
      <c r="P2430">
        <v>1</v>
      </c>
      <c r="Q2430" s="5">
        <v>1999</v>
      </c>
      <c r="R2430" s="74">
        <v>0</v>
      </c>
      <c r="S2430" s="75">
        <f>OrdersTable[[#This Row],[Quantity]]*OrdersTable[[#This Row],[Unit Price]]</f>
        <v>1999</v>
      </c>
      <c r="T2430" s="5">
        <f>OrdersTable[[#This Row],[Gross Sale]]*OrdersTable[[#This Row],[Discount_Clean2]]</f>
        <v>0</v>
      </c>
      <c r="U2430" s="5">
        <f>OrdersTable[[#This Row],[Gross Sale]]-OrdersTable[[#This Row],[Discount Amount]]</f>
        <v>1999</v>
      </c>
      <c r="V2430" s="77">
        <f>INDEX(Products!E:E,MATCH(OrdersTable[[#This Row],[Product ID]],Products!A:A,0))</f>
        <v>880</v>
      </c>
      <c r="W2430" s="77">
        <f>OrdersTable[[#This Row],[Quantity]]*OrdersTable[[#This Row],[Unit Cost]]</f>
        <v>880</v>
      </c>
      <c r="X2430" s="77">
        <f>'Dropdown Lists'!$I$2*(1+OrdersTable[[#This Row],[Returned]])</f>
        <v>60</v>
      </c>
      <c r="Y2430" s="76">
        <f>OrdersTable[[#This Row],[Net Revenue]]-OrdersTable[[#This Row],[COGS]]-OrdersTable[[#This Row],[Shipping Cost]]</f>
        <v>1059</v>
      </c>
      <c r="Z2430" s="78">
        <f>IFERROR(OrdersTable[[#This Row],[Profit]]/OrdersTable[[#This Row],[Net Revenue]],0)</f>
        <v>0.52976488244122066</v>
      </c>
      <c r="AA2430" t="s">
        <v>3495</v>
      </c>
      <c r="AB2430" s="79">
        <v>45707</v>
      </c>
      <c r="AC2430">
        <f>OrdersTable[[#This Row],[Delivery Date]]-OrdersTable[[#This Row],[Order Date]]</f>
        <v>5</v>
      </c>
      <c r="AD2430" t="str">
        <f>IF(OrdersTable[[#This Row],[Delivery Days]]&lt;=2, "Express (≤2d)", IF(OrdersTable[[#This Row],[Delivery Days]]&lt;=4, "Standard (3-4d)", "Delayed (5d+)"))</f>
        <v>Delayed (5d+)</v>
      </c>
      <c r="AE2430">
        <v>3</v>
      </c>
      <c r="AF2430">
        <v>0</v>
      </c>
    </row>
    <row r="2431" spans="1:32" ht="15" x14ac:dyDescent="0.35">
      <c r="A2431" t="s">
        <v>2783</v>
      </c>
      <c r="B2431" s="1">
        <v>45702</v>
      </c>
      <c r="C2431">
        <f>YEAR(OrdersTable[[#This Row],[Order Date]])</f>
        <v>2025</v>
      </c>
      <c r="D2431" s="2">
        <f>DATE(YEAR(OrdersTable[[#This Row],[Order Date]]),MONTH(OrdersTable[[#This Row],[Order Date]]),1)</f>
        <v>45689</v>
      </c>
      <c r="E2431">
        <f>MONTH(OrdersTable[[#This Row],[Order Date]])</f>
        <v>2</v>
      </c>
      <c r="F2431" t="s">
        <v>1494</v>
      </c>
      <c r="G2431" t="str">
        <f>IF(OrdersTable[[#This Row],[Order Date]]=_xlfn.MINIFS(Order_Date, Customer_ID, OrdersTable[[#This Row],[Customer ID]]), "New", "Repeat")</f>
        <v>Repeat</v>
      </c>
      <c r="H2431" t="s">
        <v>59</v>
      </c>
      <c r="I2431" t="str">
        <f>INDEX(State!B:B,MATCH(OrdersTable[[#This Row],[State]],State!A:A,0))</f>
        <v>TN</v>
      </c>
      <c r="J2431" t="str">
        <f>INDEX(State!C:C,MATCH(OrdersTable[[#This Row],[State Code]],State!B:B,0))</f>
        <v>South</v>
      </c>
      <c r="K2431" t="s">
        <v>60</v>
      </c>
      <c r="L2431" t="s">
        <v>23</v>
      </c>
      <c r="M2431" t="s">
        <v>66</v>
      </c>
      <c r="N2431" t="str">
        <f>INDEX(Products!B:B,MATCH(OrdersTable[[#This Row],[Product ID]],Products!A:A,0))</f>
        <v>Sunscreen SPF 50</v>
      </c>
      <c r="O2431" t="str">
        <f>INDEX(Products!C:C,MATCH(OrdersTable[[#This Row],[Product ID]],Products!A:A,0))</f>
        <v>Skincare</v>
      </c>
      <c r="P2431">
        <v>1</v>
      </c>
      <c r="Q2431" s="5">
        <v>449</v>
      </c>
      <c r="R2431" s="74">
        <v>0.15</v>
      </c>
      <c r="S2431" s="75">
        <f>OrdersTable[[#This Row],[Quantity]]*OrdersTable[[#This Row],[Unit Price]]</f>
        <v>449</v>
      </c>
      <c r="T2431" s="5">
        <f>OrdersTable[[#This Row],[Gross Sale]]*OrdersTable[[#This Row],[Discount_Clean2]]</f>
        <v>67.349999999999994</v>
      </c>
      <c r="U2431" s="5">
        <f>OrdersTable[[#This Row],[Gross Sale]]-OrdersTable[[#This Row],[Discount Amount]]</f>
        <v>381.65</v>
      </c>
      <c r="V2431" s="77">
        <f>INDEX(Products!E:E,MATCH(OrdersTable[[#This Row],[Product ID]],Products!A:A,0))</f>
        <v>144</v>
      </c>
      <c r="W2431" s="77">
        <f>OrdersTable[[#This Row],[Quantity]]*OrdersTable[[#This Row],[Unit Cost]]</f>
        <v>144</v>
      </c>
      <c r="X2431" s="77">
        <f>'Dropdown Lists'!$I$2*(1+OrdersTable[[#This Row],[Returned]])</f>
        <v>60</v>
      </c>
      <c r="Y2431" s="76">
        <f>OrdersTable[[#This Row],[Net Revenue]]-OrdersTable[[#This Row],[COGS]]-OrdersTable[[#This Row],[Shipping Cost]]</f>
        <v>177.64999999999998</v>
      </c>
      <c r="Z2431" s="78">
        <f>IFERROR(OrdersTable[[#This Row],[Profit]]/OrdersTable[[#This Row],[Net Revenue]],0)</f>
        <v>0.465478841870824</v>
      </c>
      <c r="AA2431" t="s">
        <v>2522</v>
      </c>
      <c r="AB2431" s="79">
        <v>45704</v>
      </c>
      <c r="AC2431">
        <f>OrdersTable[[#This Row],[Delivery Date]]-OrdersTable[[#This Row],[Order Date]]</f>
        <v>2</v>
      </c>
      <c r="AD2431" t="str">
        <f>IF(OrdersTable[[#This Row],[Delivery Days]]&lt;=2, "Express (≤2d)", IF(OrdersTable[[#This Row],[Delivery Days]]&lt;=4, "Standard (3-4d)", "Delayed (5d+)"))</f>
        <v>Express (≤2d)</v>
      </c>
      <c r="AE2431">
        <v>3</v>
      </c>
      <c r="AF2431">
        <v>0</v>
      </c>
    </row>
    <row r="2432" spans="1:32" ht="15" x14ac:dyDescent="0.35">
      <c r="A2432" t="s">
        <v>2784</v>
      </c>
      <c r="B2432" s="1">
        <v>45703</v>
      </c>
      <c r="C2432">
        <f>YEAR(OrdersTable[[#This Row],[Order Date]])</f>
        <v>2025</v>
      </c>
      <c r="D2432" s="2">
        <f>DATE(YEAR(OrdersTable[[#This Row],[Order Date]]),MONTH(OrdersTable[[#This Row],[Order Date]]),1)</f>
        <v>45689</v>
      </c>
      <c r="E2432">
        <f>MONTH(OrdersTable[[#This Row],[Order Date]])</f>
        <v>2</v>
      </c>
      <c r="F2432" t="s">
        <v>2785</v>
      </c>
      <c r="G2432" t="str">
        <f>IF(OrdersTable[[#This Row],[Order Date]]=_xlfn.MINIFS(Order_Date, Customer_ID, OrdersTable[[#This Row],[Customer ID]]), "New", "Repeat")</f>
        <v>New</v>
      </c>
      <c r="H2432" t="s">
        <v>54</v>
      </c>
      <c r="I2432" t="str">
        <f>INDEX(State!B:B,MATCH(OrdersTable[[#This Row],[State]],State!A:A,0))</f>
        <v>RJ</v>
      </c>
      <c r="J2432" t="str">
        <f>INDEX(State!C:C,MATCH(OrdersTable[[#This Row],[State Code]],State!B:B,0))</f>
        <v>North</v>
      </c>
      <c r="K2432" t="s">
        <v>227</v>
      </c>
      <c r="L2432" t="s">
        <v>65</v>
      </c>
      <c r="M2432" t="s">
        <v>56</v>
      </c>
      <c r="N2432" t="str">
        <f>INDEX(Products!B:B,MATCH(OrdersTable[[#This Row],[Product ID]],Products!A:A,0))</f>
        <v>Vitamin C Face Serum</v>
      </c>
      <c r="O2432" t="str">
        <f>INDEX(Products!C:C,MATCH(OrdersTable[[#This Row],[Product ID]],Products!A:A,0))</f>
        <v>Skincare</v>
      </c>
      <c r="P2432">
        <v>1</v>
      </c>
      <c r="Q2432" s="5">
        <v>599</v>
      </c>
      <c r="R2432" s="74">
        <v>0.15</v>
      </c>
      <c r="S2432" s="75">
        <f>OrdersTable[[#This Row],[Quantity]]*OrdersTable[[#This Row],[Unit Price]]</f>
        <v>599</v>
      </c>
      <c r="T2432" s="5">
        <f>OrdersTable[[#This Row],[Gross Sale]]*OrdersTable[[#This Row],[Discount_Clean2]]</f>
        <v>89.85</v>
      </c>
      <c r="U2432" s="5">
        <f>OrdersTable[[#This Row],[Gross Sale]]-OrdersTable[[#This Row],[Discount Amount]]</f>
        <v>509.15</v>
      </c>
      <c r="V2432" s="77">
        <f>INDEX(Products!E:E,MATCH(OrdersTable[[#This Row],[Product ID]],Products!A:A,0))</f>
        <v>180</v>
      </c>
      <c r="W2432" s="77">
        <f>OrdersTable[[#This Row],[Quantity]]*OrdersTable[[#This Row],[Unit Cost]]</f>
        <v>180</v>
      </c>
      <c r="X2432" s="77">
        <f>'Dropdown Lists'!$I$2*(1+OrdersTable[[#This Row],[Returned]])</f>
        <v>120</v>
      </c>
      <c r="Y2432" s="76">
        <f>OrdersTable[[#This Row],[Net Revenue]]-OrdersTable[[#This Row],[COGS]]-OrdersTable[[#This Row],[Shipping Cost]]</f>
        <v>209.14999999999998</v>
      </c>
      <c r="Z2432" s="78">
        <f>IFERROR(OrdersTable[[#This Row],[Profit]]/OrdersTable[[#This Row],[Net Revenue]],0)</f>
        <v>0.41078267701070409</v>
      </c>
      <c r="AA2432" t="s">
        <v>2522</v>
      </c>
      <c r="AB2432" s="79">
        <v>45710</v>
      </c>
      <c r="AC2432">
        <f>OrdersTable[[#This Row],[Delivery Date]]-OrdersTable[[#This Row],[Order Date]]</f>
        <v>7</v>
      </c>
      <c r="AD2432" t="str">
        <f>IF(OrdersTable[[#This Row],[Delivery Days]]&lt;=2, "Express (≤2d)", IF(OrdersTable[[#This Row],[Delivery Days]]&lt;=4, "Standard (3-4d)", "Delayed (5d+)"))</f>
        <v>Delayed (5d+)</v>
      </c>
      <c r="AE2432">
        <v>3</v>
      </c>
      <c r="AF2432">
        <v>1</v>
      </c>
    </row>
    <row r="2433" spans="1:32" ht="15" x14ac:dyDescent="0.35">
      <c r="A2433" t="s">
        <v>3438</v>
      </c>
      <c r="B2433" s="1">
        <v>45703</v>
      </c>
      <c r="C2433">
        <f>YEAR(OrdersTable[[#This Row],[Order Date]])</f>
        <v>2025</v>
      </c>
      <c r="D2433" s="2">
        <f>DATE(YEAR(OrdersTable[[#This Row],[Order Date]]),MONTH(OrdersTable[[#This Row],[Order Date]]),1)</f>
        <v>45689</v>
      </c>
      <c r="E2433">
        <f>MONTH(OrdersTable[[#This Row],[Order Date]])</f>
        <v>2</v>
      </c>
      <c r="F2433" t="s">
        <v>1131</v>
      </c>
      <c r="G2433" t="str">
        <f>IF(OrdersTable[[#This Row],[Order Date]]=_xlfn.MINIFS(Order_Date, Customer_ID, OrdersTable[[#This Row],[Customer ID]]), "New", "Repeat")</f>
        <v>Repeat</v>
      </c>
      <c r="H2433" t="s">
        <v>76</v>
      </c>
      <c r="I2433" t="str">
        <f>INDEX(State!B:B,MATCH(OrdersTable[[#This Row],[State]],State!A:A,0))</f>
        <v>UP</v>
      </c>
      <c r="J2433" t="str">
        <f>INDEX(State!C:C,MATCH(OrdersTable[[#This Row],[State Code]],State!B:B,0))</f>
        <v>North</v>
      </c>
      <c r="K2433" t="s">
        <v>77</v>
      </c>
      <c r="L2433" t="s">
        <v>65</v>
      </c>
      <c r="M2433" t="s">
        <v>73</v>
      </c>
      <c r="N2433" t="str">
        <f>INDEX(Products!B:B,MATCH(OrdersTable[[#This Row],[Product ID]],Products!A:A,0))</f>
        <v>Hydrating Face Wash</v>
      </c>
      <c r="O2433" t="str">
        <f>INDEX(Products!C:C,MATCH(OrdersTable[[#This Row],[Product ID]],Products!A:A,0))</f>
        <v>Skincare</v>
      </c>
      <c r="P2433">
        <v>1</v>
      </c>
      <c r="Q2433" s="5">
        <v>299</v>
      </c>
      <c r="R2433" s="74">
        <v>0.05</v>
      </c>
      <c r="S2433" s="75">
        <f>OrdersTable[[#This Row],[Quantity]]*OrdersTable[[#This Row],[Unit Price]]</f>
        <v>299</v>
      </c>
      <c r="T2433" s="5">
        <f>OrdersTable[[#This Row],[Gross Sale]]*OrdersTable[[#This Row],[Discount_Clean2]]</f>
        <v>14.950000000000001</v>
      </c>
      <c r="U2433" s="5">
        <f>OrdersTable[[#This Row],[Gross Sale]]-OrdersTable[[#This Row],[Discount Amount]]</f>
        <v>284.05</v>
      </c>
      <c r="V2433" s="77">
        <f>INDEX(Products!E:E,MATCH(OrdersTable[[#This Row],[Product ID]],Products!A:A,0))</f>
        <v>90</v>
      </c>
      <c r="W2433" s="77">
        <f>OrdersTable[[#This Row],[Quantity]]*OrdersTable[[#This Row],[Unit Cost]]</f>
        <v>90</v>
      </c>
      <c r="X2433" s="77">
        <f>'Dropdown Lists'!$I$2*(1+OrdersTable[[#This Row],[Returned]])</f>
        <v>60</v>
      </c>
      <c r="Y2433" s="76">
        <f>OrdersTable[[#This Row],[Net Revenue]]-OrdersTable[[#This Row],[COGS]]-OrdersTable[[#This Row],[Shipping Cost]]</f>
        <v>134.05000000000001</v>
      </c>
      <c r="Z2433" s="78">
        <f>IFERROR(OrdersTable[[#This Row],[Profit]]/OrdersTable[[#This Row],[Net Revenue]],0)</f>
        <v>0.47192395704981521</v>
      </c>
      <c r="AA2433" t="s">
        <v>2522</v>
      </c>
      <c r="AB2433" s="79">
        <v>45707</v>
      </c>
      <c r="AC2433">
        <f>OrdersTable[[#This Row],[Delivery Date]]-OrdersTable[[#This Row],[Order Date]]</f>
        <v>4</v>
      </c>
      <c r="AD2433" t="str">
        <f>IF(OrdersTable[[#This Row],[Delivery Days]]&lt;=2, "Express (≤2d)", IF(OrdersTable[[#This Row],[Delivery Days]]&lt;=4, "Standard (3-4d)", "Delayed (5d+)"))</f>
        <v>Standard (3-4d)</v>
      </c>
      <c r="AE2433">
        <v>4</v>
      </c>
      <c r="AF2433">
        <v>0</v>
      </c>
    </row>
    <row r="2434" spans="1:32" ht="15" x14ac:dyDescent="0.35">
      <c r="A2434" t="s">
        <v>4506</v>
      </c>
      <c r="B2434" s="1">
        <v>45703</v>
      </c>
      <c r="C2434">
        <f>YEAR(OrdersTable[[#This Row],[Order Date]])</f>
        <v>2025</v>
      </c>
      <c r="D2434" s="2">
        <f>DATE(YEAR(OrdersTable[[#This Row],[Order Date]]),MONTH(OrdersTable[[#This Row],[Order Date]]),1)</f>
        <v>45689</v>
      </c>
      <c r="E2434">
        <f>MONTH(OrdersTable[[#This Row],[Order Date]])</f>
        <v>2</v>
      </c>
      <c r="F2434" t="s">
        <v>4507</v>
      </c>
      <c r="G2434" t="str">
        <f>IF(OrdersTable[[#This Row],[Order Date]]=_xlfn.MINIFS(Order_Date, Customer_ID, OrdersTable[[#This Row],[Customer ID]]), "New", "Repeat")</f>
        <v>New</v>
      </c>
      <c r="H2434" t="s">
        <v>37</v>
      </c>
      <c r="I2434" t="str">
        <f>INDEX(State!B:B,MATCH(OrdersTable[[#This Row],[State]],State!A:A,0))</f>
        <v>GJ</v>
      </c>
      <c r="J2434" t="str">
        <f>INDEX(State!C:C,MATCH(OrdersTable[[#This Row],[State Code]],State!B:B,0))</f>
        <v>West</v>
      </c>
      <c r="K2434" t="s">
        <v>247</v>
      </c>
      <c r="L2434" t="s">
        <v>65</v>
      </c>
      <c r="M2434" t="s">
        <v>125</v>
      </c>
      <c r="N2434" t="str">
        <f>INDEX(Products!B:B,MATCH(OrdersTable[[#This Row],[Product ID]],Products!A:A,0))</f>
        <v>Copper Water Bottle</v>
      </c>
      <c r="O2434" t="str">
        <f>INDEX(Products!C:C,MATCH(OrdersTable[[#This Row],[Product ID]],Products!A:A,0))</f>
        <v>Home &amp; Kitchen</v>
      </c>
      <c r="P2434">
        <v>1</v>
      </c>
      <c r="Q2434" s="5">
        <v>899</v>
      </c>
      <c r="R2434" s="74">
        <v>0.15</v>
      </c>
      <c r="S2434" s="75">
        <f>OrdersTable[[#This Row],[Quantity]]*OrdersTable[[#This Row],[Unit Price]]</f>
        <v>899</v>
      </c>
      <c r="T2434" s="5">
        <f>OrdersTable[[#This Row],[Gross Sale]]*OrdersTable[[#This Row],[Discount_Clean2]]</f>
        <v>134.85</v>
      </c>
      <c r="U2434" s="5">
        <f>OrdersTable[[#This Row],[Gross Sale]]-OrdersTable[[#This Row],[Discount Amount]]</f>
        <v>764.15</v>
      </c>
      <c r="V2434" s="77">
        <f>INDEX(Products!E:E,MATCH(OrdersTable[[#This Row],[Product ID]],Products!A:A,0))</f>
        <v>378</v>
      </c>
      <c r="W2434" s="77">
        <f>OrdersTable[[#This Row],[Quantity]]*OrdersTable[[#This Row],[Unit Cost]]</f>
        <v>378</v>
      </c>
      <c r="X2434" s="77">
        <f>'Dropdown Lists'!$I$2*(1+OrdersTable[[#This Row],[Returned]])</f>
        <v>60</v>
      </c>
      <c r="Y2434" s="76">
        <f>OrdersTable[[#This Row],[Net Revenue]]-OrdersTable[[#This Row],[COGS]]-OrdersTable[[#This Row],[Shipping Cost]]</f>
        <v>326.14999999999998</v>
      </c>
      <c r="Z2434" s="78">
        <f>IFERROR(OrdersTable[[#This Row],[Profit]]/OrdersTable[[#This Row],[Net Revenue]],0)</f>
        <v>0.42681410717791007</v>
      </c>
      <c r="AA2434" t="s">
        <v>4450</v>
      </c>
      <c r="AB2434" s="79">
        <v>45708</v>
      </c>
      <c r="AC2434">
        <f>OrdersTable[[#This Row],[Delivery Date]]-OrdersTable[[#This Row],[Order Date]]</f>
        <v>5</v>
      </c>
      <c r="AD2434" t="str">
        <f>IF(OrdersTable[[#This Row],[Delivery Days]]&lt;=2, "Express (≤2d)", IF(OrdersTable[[#This Row],[Delivery Days]]&lt;=4, "Standard (3-4d)", "Delayed (5d+)"))</f>
        <v>Delayed (5d+)</v>
      </c>
      <c r="AE2434">
        <v>4</v>
      </c>
      <c r="AF2434">
        <v>0</v>
      </c>
    </row>
    <row r="2435" spans="1:32" ht="15" x14ac:dyDescent="0.35">
      <c r="A2435" t="s">
        <v>5171</v>
      </c>
      <c r="B2435" s="1">
        <v>45703</v>
      </c>
      <c r="C2435">
        <f>YEAR(OrdersTable[[#This Row],[Order Date]])</f>
        <v>2025</v>
      </c>
      <c r="D2435" s="2">
        <f>DATE(YEAR(OrdersTable[[#This Row],[Order Date]]),MONTH(OrdersTable[[#This Row],[Order Date]]),1)</f>
        <v>45689</v>
      </c>
      <c r="E2435">
        <f>MONTH(OrdersTable[[#This Row],[Order Date]])</f>
        <v>2</v>
      </c>
      <c r="F2435" t="s">
        <v>101</v>
      </c>
      <c r="G2435" t="str">
        <f>IF(OrdersTable[[#This Row],[Order Date]]=_xlfn.MINIFS(Order_Date, Customer_ID, OrdersTable[[#This Row],[Customer ID]]), "New", "Repeat")</f>
        <v>Repeat</v>
      </c>
      <c r="H2435" t="s">
        <v>37</v>
      </c>
      <c r="I2435" t="str">
        <f>INDEX(State!B:B,MATCH(OrdersTable[[#This Row],[State]],State!A:A,0))</f>
        <v>GJ</v>
      </c>
      <c r="J2435" t="str">
        <f>INDEX(State!C:C,MATCH(OrdersTable[[#This Row],[State Code]],State!B:B,0))</f>
        <v>West</v>
      </c>
      <c r="K2435" t="s">
        <v>247</v>
      </c>
      <c r="L2435" t="s">
        <v>23</v>
      </c>
      <c r="M2435" t="s">
        <v>66</v>
      </c>
      <c r="N2435" t="str">
        <f>INDEX(Products!B:B,MATCH(OrdersTable[[#This Row],[Product ID]],Products!A:A,0))</f>
        <v>Sunscreen SPF 50</v>
      </c>
      <c r="O2435" t="str">
        <f>INDEX(Products!C:C,MATCH(OrdersTable[[#This Row],[Product ID]],Products!A:A,0))</f>
        <v>Skincare</v>
      </c>
      <c r="P2435">
        <v>2</v>
      </c>
      <c r="Q2435" s="5">
        <v>449</v>
      </c>
      <c r="R2435" s="74">
        <v>0.05</v>
      </c>
      <c r="S2435" s="75">
        <f>OrdersTable[[#This Row],[Quantity]]*OrdersTable[[#This Row],[Unit Price]]</f>
        <v>898</v>
      </c>
      <c r="T2435" s="5">
        <f>OrdersTable[[#This Row],[Gross Sale]]*OrdersTable[[#This Row],[Discount_Clean2]]</f>
        <v>44.900000000000006</v>
      </c>
      <c r="U2435" s="5">
        <f>OrdersTable[[#This Row],[Gross Sale]]-OrdersTable[[#This Row],[Discount Amount]]</f>
        <v>853.1</v>
      </c>
      <c r="V2435" s="77">
        <f>INDEX(Products!E:E,MATCH(OrdersTable[[#This Row],[Product ID]],Products!A:A,0))</f>
        <v>144</v>
      </c>
      <c r="W2435" s="77">
        <f>OrdersTable[[#This Row],[Quantity]]*OrdersTable[[#This Row],[Unit Cost]]</f>
        <v>288</v>
      </c>
      <c r="X2435" s="77">
        <f>'Dropdown Lists'!$I$2*(1+OrdersTable[[#This Row],[Returned]])</f>
        <v>60</v>
      </c>
      <c r="Y2435" s="76">
        <f>OrdersTable[[#This Row],[Net Revenue]]-OrdersTable[[#This Row],[COGS]]-OrdersTable[[#This Row],[Shipping Cost]]</f>
        <v>505.1</v>
      </c>
      <c r="Z2435" s="78">
        <f>IFERROR(OrdersTable[[#This Row],[Profit]]/OrdersTable[[#This Row],[Net Revenue]],0)</f>
        <v>0.59207595826983939</v>
      </c>
      <c r="AA2435" t="s">
        <v>3495</v>
      </c>
      <c r="AB2435" s="79">
        <v>45704</v>
      </c>
      <c r="AC2435">
        <f>OrdersTable[[#This Row],[Delivery Date]]-OrdersTable[[#This Row],[Order Date]]</f>
        <v>1</v>
      </c>
      <c r="AD2435" t="str">
        <f>IF(OrdersTable[[#This Row],[Delivery Days]]&lt;=2, "Express (≤2d)", IF(OrdersTable[[#This Row],[Delivery Days]]&lt;=4, "Standard (3-4d)", "Delayed (5d+)"))</f>
        <v>Express (≤2d)</v>
      </c>
      <c r="AF2435">
        <v>0</v>
      </c>
    </row>
    <row r="2436" spans="1:32" ht="15" x14ac:dyDescent="0.35">
      <c r="A2436" t="s">
        <v>6792</v>
      </c>
      <c r="B2436" s="1">
        <v>45703</v>
      </c>
      <c r="C2436">
        <f>YEAR(OrdersTable[[#This Row],[Order Date]])</f>
        <v>2025</v>
      </c>
      <c r="D2436" s="2">
        <f>DATE(YEAR(OrdersTable[[#This Row],[Order Date]]),MONTH(OrdersTable[[#This Row],[Order Date]]),1)</f>
        <v>45689</v>
      </c>
      <c r="E2436">
        <f>MONTH(OrdersTable[[#This Row],[Order Date]])</f>
        <v>2</v>
      </c>
      <c r="F2436" t="s">
        <v>1139</v>
      </c>
      <c r="G2436" t="str">
        <f>IF(OrdersTable[[#This Row],[Order Date]]=_xlfn.MINIFS(Order_Date, Customer_ID, OrdersTable[[#This Row],[Customer ID]]), "New", "Repeat")</f>
        <v>Repeat</v>
      </c>
      <c r="H2436" t="s">
        <v>482</v>
      </c>
      <c r="I2436" t="str">
        <f>INDEX(State!B:B,MATCH(OrdersTable[[#This Row],[State]],State!A:A,0))</f>
        <v>CG</v>
      </c>
      <c r="J2436" t="str">
        <f>INDEX(State!C:C,MATCH(OrdersTable[[#This Row],[State Code]],State!B:B,0))</f>
        <v>East</v>
      </c>
      <c r="K2436" t="s">
        <v>483</v>
      </c>
      <c r="L2436" t="s">
        <v>23</v>
      </c>
      <c r="M2436" t="s">
        <v>73</v>
      </c>
      <c r="N2436" t="str">
        <f>INDEX(Products!B:B,MATCH(OrdersTable[[#This Row],[Product ID]],Products!A:A,0))</f>
        <v>Hydrating Face Wash</v>
      </c>
      <c r="O2436" t="str">
        <f>INDEX(Products!C:C,MATCH(OrdersTable[[#This Row],[Product ID]],Products!A:A,0))</f>
        <v>Skincare</v>
      </c>
      <c r="P2436">
        <v>3</v>
      </c>
      <c r="Q2436" s="5">
        <v>299</v>
      </c>
      <c r="R2436" s="74">
        <v>0.1</v>
      </c>
      <c r="S2436" s="75">
        <f>OrdersTable[[#This Row],[Quantity]]*OrdersTable[[#This Row],[Unit Price]]</f>
        <v>897</v>
      </c>
      <c r="T2436" s="5">
        <f>OrdersTable[[#This Row],[Gross Sale]]*OrdersTable[[#This Row],[Discount_Clean2]]</f>
        <v>89.7</v>
      </c>
      <c r="U2436" s="5">
        <f>OrdersTable[[#This Row],[Gross Sale]]-OrdersTable[[#This Row],[Discount Amount]]</f>
        <v>807.3</v>
      </c>
      <c r="V2436" s="77">
        <f>INDEX(Products!E:E,MATCH(OrdersTable[[#This Row],[Product ID]],Products!A:A,0))</f>
        <v>90</v>
      </c>
      <c r="W2436" s="77">
        <f>OrdersTable[[#This Row],[Quantity]]*OrdersTable[[#This Row],[Unit Cost]]</f>
        <v>270</v>
      </c>
      <c r="X2436" s="77">
        <f>'Dropdown Lists'!$I$2*(1+OrdersTable[[#This Row],[Returned]])</f>
        <v>60</v>
      </c>
      <c r="Y2436" s="76">
        <f>OrdersTable[[#This Row],[Net Revenue]]-OrdersTable[[#This Row],[COGS]]-OrdersTable[[#This Row],[Shipping Cost]]</f>
        <v>477.29999999999995</v>
      </c>
      <c r="Z2436" s="78">
        <f>IFERROR(OrdersTable[[#This Row],[Profit]]/OrdersTable[[#This Row],[Net Revenue]],0)</f>
        <v>0.59123002601263464</v>
      </c>
      <c r="AA2436" t="s">
        <v>3495</v>
      </c>
      <c r="AB2436" s="79">
        <v>45707</v>
      </c>
      <c r="AC2436">
        <f>OrdersTable[[#This Row],[Delivery Date]]-OrdersTable[[#This Row],[Order Date]]</f>
        <v>4</v>
      </c>
      <c r="AD2436" t="str">
        <f>IF(OrdersTable[[#This Row],[Delivery Days]]&lt;=2, "Express (≤2d)", IF(OrdersTable[[#This Row],[Delivery Days]]&lt;=4, "Standard (3-4d)", "Delayed (5d+)"))</f>
        <v>Standard (3-4d)</v>
      </c>
      <c r="AE2436">
        <v>5</v>
      </c>
      <c r="AF2436">
        <v>0</v>
      </c>
    </row>
    <row r="2437" spans="1:32" ht="15" x14ac:dyDescent="0.35">
      <c r="A2437" t="s">
        <v>4598</v>
      </c>
      <c r="B2437" s="1">
        <v>45704</v>
      </c>
      <c r="C2437">
        <f>YEAR(OrdersTable[[#This Row],[Order Date]])</f>
        <v>2025</v>
      </c>
      <c r="D2437" s="2">
        <f>DATE(YEAR(OrdersTable[[#This Row],[Order Date]]),MONTH(OrdersTable[[#This Row],[Order Date]]),1)</f>
        <v>45689</v>
      </c>
      <c r="E2437">
        <f>MONTH(OrdersTable[[#This Row],[Order Date]])</f>
        <v>2</v>
      </c>
      <c r="F2437" t="s">
        <v>4599</v>
      </c>
      <c r="G2437" t="str">
        <f>IF(OrdersTable[[#This Row],[Order Date]]=_xlfn.MINIFS(Order_Date, Customer_ID, OrdersTable[[#This Row],[Customer ID]]), "New", "Repeat")</f>
        <v>New</v>
      </c>
      <c r="H2437" t="s">
        <v>54</v>
      </c>
      <c r="I2437" t="str">
        <f>INDEX(State!B:B,MATCH(OrdersTable[[#This Row],[State]],State!A:A,0))</f>
        <v>RJ</v>
      </c>
      <c r="J2437" t="str">
        <f>INDEX(State!C:C,MATCH(OrdersTable[[#This Row],[State Code]],State!B:B,0))</f>
        <v>North</v>
      </c>
      <c r="K2437" t="s">
        <v>55</v>
      </c>
      <c r="L2437" t="s">
        <v>39</v>
      </c>
      <c r="M2437" t="s">
        <v>51</v>
      </c>
      <c r="N2437" t="str">
        <f>INDEX(Products!B:B,MATCH(OrdersTable[[#This Row],[Product ID]],Products!A:A,0))</f>
        <v>Anti-Dandruff Conditioner</v>
      </c>
      <c r="O2437" t="str">
        <f>INDEX(Products!C:C,MATCH(OrdersTable[[#This Row],[Product ID]],Products!A:A,0))</f>
        <v>Haircare</v>
      </c>
      <c r="P2437">
        <v>1</v>
      </c>
      <c r="Q2437" s="5">
        <v>399</v>
      </c>
      <c r="R2437" s="74">
        <v>0.25</v>
      </c>
      <c r="S2437" s="75">
        <f>OrdersTable[[#This Row],[Quantity]]*OrdersTable[[#This Row],[Unit Price]]</f>
        <v>399</v>
      </c>
      <c r="T2437" s="5">
        <f>OrdersTable[[#This Row],[Gross Sale]]*OrdersTable[[#This Row],[Discount_Clean2]]</f>
        <v>99.75</v>
      </c>
      <c r="U2437" s="5">
        <f>OrdersTable[[#This Row],[Gross Sale]]-OrdersTable[[#This Row],[Discount Amount]]</f>
        <v>299.25</v>
      </c>
      <c r="V2437" s="77">
        <f>INDEX(Products!E:E,MATCH(OrdersTable[[#This Row],[Product ID]],Products!A:A,0))</f>
        <v>136</v>
      </c>
      <c r="W2437" s="77">
        <f>OrdersTable[[#This Row],[Quantity]]*OrdersTable[[#This Row],[Unit Cost]]</f>
        <v>136</v>
      </c>
      <c r="X2437" s="77">
        <f>'Dropdown Lists'!$I$2*(1+OrdersTable[[#This Row],[Returned]])</f>
        <v>60</v>
      </c>
      <c r="Y2437" s="76">
        <f>OrdersTable[[#This Row],[Net Revenue]]-OrdersTable[[#This Row],[COGS]]-OrdersTable[[#This Row],[Shipping Cost]]</f>
        <v>103.25</v>
      </c>
      <c r="Z2437" s="78">
        <f>IFERROR(OrdersTable[[#This Row],[Profit]]/OrdersTable[[#This Row],[Net Revenue]],0)</f>
        <v>0.34502923976608185</v>
      </c>
      <c r="AA2437" t="s">
        <v>4450</v>
      </c>
      <c r="AB2437" s="79">
        <v>45708</v>
      </c>
      <c r="AC2437">
        <f>OrdersTable[[#This Row],[Delivery Date]]-OrdersTable[[#This Row],[Order Date]]</f>
        <v>4</v>
      </c>
      <c r="AD2437" t="str">
        <f>IF(OrdersTable[[#This Row],[Delivery Days]]&lt;=2, "Express (≤2d)", IF(OrdersTable[[#This Row],[Delivery Days]]&lt;=4, "Standard (3-4d)", "Delayed (5d+)"))</f>
        <v>Standard (3-4d)</v>
      </c>
      <c r="AF2437">
        <v>0</v>
      </c>
    </row>
    <row r="2438" spans="1:32" ht="15" x14ac:dyDescent="0.35">
      <c r="A2438" t="s">
        <v>2361</v>
      </c>
      <c r="B2438" s="1">
        <v>45704</v>
      </c>
      <c r="C2438">
        <f>YEAR(OrdersTable[[#This Row],[Order Date]])</f>
        <v>2025</v>
      </c>
      <c r="D2438" s="2">
        <f>DATE(YEAR(OrdersTable[[#This Row],[Order Date]]),MONTH(OrdersTable[[#This Row],[Order Date]]),1)</f>
        <v>45689</v>
      </c>
      <c r="E2438">
        <f>MONTH(OrdersTable[[#This Row],[Order Date]])</f>
        <v>2</v>
      </c>
      <c r="F2438" t="s">
        <v>2362</v>
      </c>
      <c r="G2438" t="str">
        <f>IF(OrdersTable[[#This Row],[Order Date]]=_xlfn.MINIFS(Order_Date, Customer_ID, OrdersTable[[#This Row],[Customer ID]]), "New", "Repeat")</f>
        <v>New</v>
      </c>
      <c r="H2438" t="s">
        <v>128</v>
      </c>
      <c r="I2438" t="str">
        <f>INDEX(State!B:B,MATCH(OrdersTable[[#This Row],[State]],State!A:A,0))</f>
        <v>DL</v>
      </c>
      <c r="J2438" t="str">
        <f>INDEX(State!C:C,MATCH(OrdersTable[[#This Row],[State Code]],State!B:B,0))</f>
        <v>North</v>
      </c>
      <c r="K2438" t="s">
        <v>129</v>
      </c>
      <c r="L2438" t="s">
        <v>23</v>
      </c>
      <c r="M2438" t="s">
        <v>17</v>
      </c>
      <c r="N2438" t="str">
        <f>INDEX(Products!B:B,MATCH(OrdersTable[[#This Row],[Product ID]],Products!A:A,0))</f>
        <v>Casual Sneakers</v>
      </c>
      <c r="O2438" t="str">
        <f>INDEX(Products!C:C,MATCH(OrdersTable[[#This Row],[Product ID]],Products!A:A,0))</f>
        <v>Footwear</v>
      </c>
      <c r="P2438">
        <v>1</v>
      </c>
      <c r="Q2438" s="5">
        <v>2199</v>
      </c>
      <c r="R2438" s="74">
        <v>0.25</v>
      </c>
      <c r="S2438" s="75">
        <f>OrdersTable[[#This Row],[Quantity]]*OrdersTable[[#This Row],[Unit Price]]</f>
        <v>2199</v>
      </c>
      <c r="T2438" s="5">
        <f>OrdersTable[[#This Row],[Gross Sale]]*OrdersTable[[#This Row],[Discount_Clean2]]</f>
        <v>549.75</v>
      </c>
      <c r="U2438" s="5">
        <f>OrdersTable[[#This Row],[Gross Sale]]-OrdersTable[[#This Row],[Discount Amount]]</f>
        <v>1649.25</v>
      </c>
      <c r="V2438" s="77">
        <f>INDEX(Products!E:E,MATCH(OrdersTable[[#This Row],[Product ID]],Products!A:A,0))</f>
        <v>1034</v>
      </c>
      <c r="W2438" s="77">
        <f>OrdersTable[[#This Row],[Quantity]]*OrdersTable[[#This Row],[Unit Cost]]</f>
        <v>1034</v>
      </c>
      <c r="X2438" s="77">
        <f>'Dropdown Lists'!$I$2*(1+OrdersTable[[#This Row],[Returned]])</f>
        <v>60</v>
      </c>
      <c r="Y2438" s="76">
        <f>OrdersTable[[#This Row],[Net Revenue]]-OrdersTable[[#This Row],[COGS]]-OrdersTable[[#This Row],[Shipping Cost]]</f>
        <v>555.25</v>
      </c>
      <c r="Z2438" s="78">
        <f>IFERROR(OrdersTable[[#This Row],[Profit]]/OrdersTable[[#This Row],[Net Revenue]],0)</f>
        <v>0.33666818250720026</v>
      </c>
      <c r="AA2438" t="s">
        <v>18</v>
      </c>
      <c r="AB2438" s="79">
        <v>45705</v>
      </c>
      <c r="AC2438">
        <f>OrdersTable[[#This Row],[Delivery Date]]-OrdersTable[[#This Row],[Order Date]]</f>
        <v>1</v>
      </c>
      <c r="AD2438" t="str">
        <f>IF(OrdersTable[[#This Row],[Delivery Days]]&lt;=2, "Express (≤2d)", IF(OrdersTable[[#This Row],[Delivery Days]]&lt;=4, "Standard (3-4d)", "Delayed (5d+)"))</f>
        <v>Express (≤2d)</v>
      </c>
      <c r="AE2438">
        <v>5</v>
      </c>
      <c r="AF2438">
        <v>0</v>
      </c>
    </row>
    <row r="2439" spans="1:32" ht="15" x14ac:dyDescent="0.35">
      <c r="A2439" t="s">
        <v>5604</v>
      </c>
      <c r="B2439" s="1">
        <v>45704</v>
      </c>
      <c r="C2439">
        <f>YEAR(OrdersTable[[#This Row],[Order Date]])</f>
        <v>2025</v>
      </c>
      <c r="D2439" s="2">
        <f>DATE(YEAR(OrdersTable[[#This Row],[Order Date]]),MONTH(OrdersTable[[#This Row],[Order Date]]),1)</f>
        <v>45689</v>
      </c>
      <c r="E2439">
        <f>MONTH(OrdersTable[[#This Row],[Order Date]])</f>
        <v>2</v>
      </c>
      <c r="F2439" t="s">
        <v>419</v>
      </c>
      <c r="G2439" t="str">
        <f>IF(OrdersTable[[#This Row],[Order Date]]=_xlfn.MINIFS(Order_Date, Customer_ID, OrdersTable[[#This Row],[Customer ID]]), "New", "Repeat")</f>
        <v>Repeat</v>
      </c>
      <c r="H2439" t="s">
        <v>37</v>
      </c>
      <c r="I2439" t="str">
        <f>INDEX(State!B:B,MATCH(OrdersTable[[#This Row],[State]],State!A:A,0))</f>
        <v>GJ</v>
      </c>
      <c r="J2439" t="str">
        <f>INDEX(State!C:C,MATCH(OrdersTable[[#This Row],[State Code]],State!B:B,0))</f>
        <v>West</v>
      </c>
      <c r="K2439" t="s">
        <v>247</v>
      </c>
      <c r="L2439" t="s">
        <v>23</v>
      </c>
      <c r="M2439" t="s">
        <v>51</v>
      </c>
      <c r="N2439" t="str">
        <f>INDEX(Products!B:B,MATCH(OrdersTable[[#This Row],[Product ID]],Products!A:A,0))</f>
        <v>Anti-Dandruff Conditioner</v>
      </c>
      <c r="O2439" t="str">
        <f>INDEX(Products!C:C,MATCH(OrdersTable[[#This Row],[Product ID]],Products!A:A,0))</f>
        <v>Haircare</v>
      </c>
      <c r="P2439">
        <v>2</v>
      </c>
      <c r="Q2439" s="5">
        <v>399</v>
      </c>
      <c r="R2439" s="74">
        <v>0.35</v>
      </c>
      <c r="S2439" s="75">
        <f>OrdersTable[[#This Row],[Quantity]]*OrdersTable[[#This Row],[Unit Price]]</f>
        <v>798</v>
      </c>
      <c r="T2439" s="5">
        <f>OrdersTable[[#This Row],[Gross Sale]]*OrdersTable[[#This Row],[Discount_Clean2]]</f>
        <v>279.29999999999995</v>
      </c>
      <c r="U2439" s="5">
        <f>OrdersTable[[#This Row],[Gross Sale]]-OrdersTable[[#This Row],[Discount Amount]]</f>
        <v>518.70000000000005</v>
      </c>
      <c r="V2439" s="77">
        <f>INDEX(Products!E:E,MATCH(OrdersTable[[#This Row],[Product ID]],Products!A:A,0))</f>
        <v>136</v>
      </c>
      <c r="W2439" s="77">
        <f>OrdersTable[[#This Row],[Quantity]]*OrdersTable[[#This Row],[Unit Cost]]</f>
        <v>272</v>
      </c>
      <c r="X2439" s="77">
        <f>'Dropdown Lists'!$I$2*(1+OrdersTable[[#This Row],[Returned]])</f>
        <v>60</v>
      </c>
      <c r="Y2439" s="76">
        <f>OrdersTable[[#This Row],[Net Revenue]]-OrdersTable[[#This Row],[COGS]]-OrdersTable[[#This Row],[Shipping Cost]]</f>
        <v>186.70000000000005</v>
      </c>
      <c r="Z2439" s="78">
        <f>IFERROR(OrdersTable[[#This Row],[Profit]]/OrdersTable[[#This Row],[Net Revenue]],0)</f>
        <v>0.35993830730672843</v>
      </c>
      <c r="AA2439" t="s">
        <v>2522</v>
      </c>
      <c r="AB2439" s="79">
        <v>45706</v>
      </c>
      <c r="AC2439">
        <f>OrdersTable[[#This Row],[Delivery Date]]-OrdersTable[[#This Row],[Order Date]]</f>
        <v>2</v>
      </c>
      <c r="AD2439" t="str">
        <f>IF(OrdersTable[[#This Row],[Delivery Days]]&lt;=2, "Express (≤2d)", IF(OrdersTable[[#This Row],[Delivery Days]]&lt;=4, "Standard (3-4d)", "Delayed (5d+)"))</f>
        <v>Express (≤2d)</v>
      </c>
      <c r="AE2439">
        <v>5</v>
      </c>
      <c r="AF2439">
        <v>0</v>
      </c>
    </row>
    <row r="2440" spans="1:32" ht="15" x14ac:dyDescent="0.35">
      <c r="A2440" t="s">
        <v>4981</v>
      </c>
      <c r="B2440" s="1">
        <v>45704</v>
      </c>
      <c r="C2440">
        <f>YEAR(OrdersTable[[#This Row],[Order Date]])</f>
        <v>2025</v>
      </c>
      <c r="D2440" s="2">
        <f>DATE(YEAR(OrdersTable[[#This Row],[Order Date]]),MONTH(OrdersTable[[#This Row],[Order Date]]),1)</f>
        <v>45689</v>
      </c>
      <c r="E2440">
        <f>MONTH(OrdersTable[[#This Row],[Order Date]])</f>
        <v>2</v>
      </c>
      <c r="F2440" t="s">
        <v>290</v>
      </c>
      <c r="G2440" t="str">
        <f>IF(OrdersTable[[#This Row],[Order Date]]=_xlfn.MINIFS(Order_Date, Customer_ID, OrdersTable[[#This Row],[Customer ID]]), "New", "Repeat")</f>
        <v>New</v>
      </c>
      <c r="H2440" t="s">
        <v>37</v>
      </c>
      <c r="I2440" t="str">
        <f>INDEX(State!B:B,MATCH(OrdersTable[[#This Row],[State]],State!A:A,0))</f>
        <v>GJ</v>
      </c>
      <c r="J2440" t="str">
        <f>INDEX(State!C:C,MATCH(OrdersTable[[#This Row],[State Code]],State!B:B,0))</f>
        <v>West</v>
      </c>
      <c r="K2440" t="s">
        <v>247</v>
      </c>
      <c r="L2440" t="s">
        <v>16</v>
      </c>
      <c r="M2440" t="s">
        <v>92</v>
      </c>
      <c r="N2440" t="str">
        <f>INDEX(Products!B:B,MATCH(OrdersTable[[#This Row],[Product ID]],Products!A:A,0))</f>
        <v>Kolhapuri Sandals</v>
      </c>
      <c r="O2440" t="str">
        <f>INDEX(Products!C:C,MATCH(OrdersTable[[#This Row],[Product ID]],Products!A:A,0))</f>
        <v>Footwear</v>
      </c>
      <c r="P2440">
        <v>2</v>
      </c>
      <c r="Q2440" s="5">
        <v>999</v>
      </c>
      <c r="R2440" s="74">
        <v>0.05</v>
      </c>
      <c r="S2440" s="75">
        <f>OrdersTable[[#This Row],[Quantity]]*OrdersTable[[#This Row],[Unit Price]]</f>
        <v>1998</v>
      </c>
      <c r="T2440" s="5">
        <f>OrdersTable[[#This Row],[Gross Sale]]*OrdersTable[[#This Row],[Discount_Clean2]]</f>
        <v>99.9</v>
      </c>
      <c r="U2440" s="5">
        <f>OrdersTable[[#This Row],[Gross Sale]]-OrdersTable[[#This Row],[Discount Amount]]</f>
        <v>1898.1</v>
      </c>
      <c r="V2440" s="77">
        <f>INDEX(Products!E:E,MATCH(OrdersTable[[#This Row],[Product ID]],Products!A:A,0))</f>
        <v>400</v>
      </c>
      <c r="W2440" s="77">
        <f>OrdersTable[[#This Row],[Quantity]]*OrdersTable[[#This Row],[Unit Cost]]</f>
        <v>800</v>
      </c>
      <c r="X2440" s="77">
        <f>'Dropdown Lists'!$I$2*(1+OrdersTable[[#This Row],[Returned]])</f>
        <v>60</v>
      </c>
      <c r="Y2440" s="76">
        <f>OrdersTable[[#This Row],[Net Revenue]]-OrdersTable[[#This Row],[COGS]]-OrdersTable[[#This Row],[Shipping Cost]]</f>
        <v>1038.0999999999999</v>
      </c>
      <c r="Z2440" s="78">
        <f>IFERROR(OrdersTable[[#This Row],[Profit]]/OrdersTable[[#This Row],[Net Revenue]],0)</f>
        <v>0.54691533638902057</v>
      </c>
      <c r="AA2440" t="s">
        <v>4074</v>
      </c>
      <c r="AB2440" s="79">
        <v>45708</v>
      </c>
      <c r="AC2440">
        <f>OrdersTable[[#This Row],[Delivery Date]]-OrdersTable[[#This Row],[Order Date]]</f>
        <v>4</v>
      </c>
      <c r="AD2440" t="str">
        <f>IF(OrdersTable[[#This Row],[Delivery Days]]&lt;=2, "Express (≤2d)", IF(OrdersTable[[#This Row],[Delivery Days]]&lt;=4, "Standard (3-4d)", "Delayed (5d+)"))</f>
        <v>Standard (3-4d)</v>
      </c>
      <c r="AE2440">
        <v>3</v>
      </c>
      <c r="AF2440">
        <v>0</v>
      </c>
    </row>
    <row r="2441" spans="1:32" ht="15" x14ac:dyDescent="0.35">
      <c r="A2441" t="s">
        <v>2363</v>
      </c>
      <c r="B2441" s="1">
        <v>45704</v>
      </c>
      <c r="C2441">
        <f>YEAR(OrdersTable[[#This Row],[Order Date]])</f>
        <v>2025</v>
      </c>
      <c r="D2441" s="2">
        <f>DATE(YEAR(OrdersTable[[#This Row],[Order Date]]),MONTH(OrdersTable[[#This Row],[Order Date]]),1)</f>
        <v>45689</v>
      </c>
      <c r="E2441">
        <f>MONTH(OrdersTable[[#This Row],[Order Date]])</f>
        <v>2</v>
      </c>
      <c r="F2441" t="s">
        <v>2364</v>
      </c>
      <c r="G2441" t="str">
        <f>IF(OrdersTable[[#This Row],[Order Date]]=_xlfn.MINIFS(Order_Date, Customer_ID, OrdersTable[[#This Row],[Customer ID]]), "New", "Repeat")</f>
        <v>New</v>
      </c>
      <c r="H2441" t="s">
        <v>71</v>
      </c>
      <c r="I2441" t="str">
        <f>INDEX(State!B:B,MATCH(OrdersTable[[#This Row],[State]],State!A:A,0))</f>
        <v>MH</v>
      </c>
      <c r="J2441" t="str">
        <f>INDEX(State!C:C,MATCH(OrdersTable[[#This Row],[State Code]],State!B:B,0))</f>
        <v>West</v>
      </c>
      <c r="K2441" t="s">
        <v>102</v>
      </c>
      <c r="L2441" t="s">
        <v>16</v>
      </c>
      <c r="M2441" t="s">
        <v>255</v>
      </c>
      <c r="N2441" t="str">
        <f>INDEX(Products!B:B,MATCH(OrdersTable[[#This Row],[Product ID]],Products!A:A,0))</f>
        <v>Cotton Oversized T-Shirt</v>
      </c>
      <c r="O2441" t="str">
        <f>INDEX(Products!C:C,MATCH(OrdersTable[[#This Row],[Product ID]],Products!A:A,0))</f>
        <v>Apparel</v>
      </c>
      <c r="P2441">
        <v>1</v>
      </c>
      <c r="Q2441" s="5">
        <v>799</v>
      </c>
      <c r="R2441" s="74">
        <v>0</v>
      </c>
      <c r="S2441" s="75">
        <f>OrdersTable[[#This Row],[Quantity]]*OrdersTable[[#This Row],[Unit Price]]</f>
        <v>799</v>
      </c>
      <c r="T2441" s="5">
        <f>OrdersTable[[#This Row],[Gross Sale]]*OrdersTable[[#This Row],[Discount_Clean2]]</f>
        <v>0</v>
      </c>
      <c r="U2441" s="5">
        <f>OrdersTable[[#This Row],[Gross Sale]]-OrdersTable[[#This Row],[Discount Amount]]</f>
        <v>799</v>
      </c>
      <c r="V2441" s="77">
        <f>INDEX(Products!E:E,MATCH(OrdersTable[[#This Row],[Product ID]],Products!A:A,0))</f>
        <v>320</v>
      </c>
      <c r="W2441" s="77">
        <f>OrdersTable[[#This Row],[Quantity]]*OrdersTable[[#This Row],[Unit Cost]]</f>
        <v>320</v>
      </c>
      <c r="X2441" s="77">
        <f>'Dropdown Lists'!$I$2*(1+OrdersTable[[#This Row],[Returned]])</f>
        <v>60</v>
      </c>
      <c r="Y2441" s="76">
        <f>OrdersTable[[#This Row],[Net Revenue]]-OrdersTable[[#This Row],[COGS]]-OrdersTable[[#This Row],[Shipping Cost]]</f>
        <v>419</v>
      </c>
      <c r="Z2441" s="78">
        <f>IFERROR(OrdersTable[[#This Row],[Profit]]/OrdersTable[[#This Row],[Net Revenue]],0)</f>
        <v>0.52440550688360454</v>
      </c>
      <c r="AA2441" t="s">
        <v>18</v>
      </c>
      <c r="AB2441" s="79">
        <v>45707</v>
      </c>
      <c r="AC2441">
        <f>OrdersTable[[#This Row],[Delivery Date]]-OrdersTable[[#This Row],[Order Date]]</f>
        <v>3</v>
      </c>
      <c r="AD2441" t="str">
        <f>IF(OrdersTable[[#This Row],[Delivery Days]]&lt;=2, "Express (≤2d)", IF(OrdersTable[[#This Row],[Delivery Days]]&lt;=4, "Standard (3-4d)", "Delayed (5d+)"))</f>
        <v>Standard (3-4d)</v>
      </c>
      <c r="AE2441">
        <v>5</v>
      </c>
      <c r="AF2441">
        <v>0</v>
      </c>
    </row>
    <row r="2442" spans="1:32" ht="15" x14ac:dyDescent="0.35">
      <c r="A2442" t="s">
        <v>1261</v>
      </c>
      <c r="B2442" s="1">
        <v>45705</v>
      </c>
      <c r="C2442">
        <f>YEAR(OrdersTable[[#This Row],[Order Date]])</f>
        <v>2025</v>
      </c>
      <c r="D2442" s="2">
        <f>DATE(YEAR(OrdersTable[[#This Row],[Order Date]]),MONTH(OrdersTable[[#This Row],[Order Date]]),1)</f>
        <v>45689</v>
      </c>
      <c r="E2442">
        <f>MONTH(OrdersTable[[#This Row],[Order Date]])</f>
        <v>2</v>
      </c>
      <c r="F2442" t="s">
        <v>1262</v>
      </c>
      <c r="G2442" t="str">
        <f>IF(OrdersTable[[#This Row],[Order Date]]=_xlfn.MINIFS(Order_Date, Customer_ID, OrdersTable[[#This Row],[Customer ID]]), "New", "Repeat")</f>
        <v>New</v>
      </c>
      <c r="H2442" t="s">
        <v>210</v>
      </c>
      <c r="I2442" t="str">
        <f>INDEX(State!B:B,MATCH(OrdersTable[[#This Row],[State]],State!A:A,0))</f>
        <v>JK</v>
      </c>
      <c r="J2442" t="str">
        <f>INDEX(State!C:C,MATCH(OrdersTable[[#This Row],[State Code]],State!B:B,0))</f>
        <v>North</v>
      </c>
      <c r="K2442" t="s">
        <v>211</v>
      </c>
      <c r="L2442" t="s">
        <v>16</v>
      </c>
      <c r="M2442" t="s">
        <v>29</v>
      </c>
      <c r="N2442" t="str">
        <f>INDEX(Products!B:B,MATCH(OrdersTable[[#This Row],[Product ID]],Products!A:A,0))</f>
        <v>Joggers</v>
      </c>
      <c r="O2442" t="str">
        <f>INDEX(Products!C:C,MATCH(OrdersTable[[#This Row],[Product ID]],Products!A:A,0))</f>
        <v>Apparel</v>
      </c>
      <c r="P2442">
        <v>1</v>
      </c>
      <c r="Q2442" s="5">
        <v>1199</v>
      </c>
      <c r="R2442" s="74">
        <v>0.2</v>
      </c>
      <c r="S2442" s="75">
        <f>OrdersTable[[#This Row],[Quantity]]*OrdersTable[[#This Row],[Unit Price]]</f>
        <v>1199</v>
      </c>
      <c r="T2442" s="5">
        <f>OrdersTable[[#This Row],[Gross Sale]]*OrdersTable[[#This Row],[Discount_Clean2]]</f>
        <v>239.8</v>
      </c>
      <c r="U2442" s="5">
        <f>OrdersTable[[#This Row],[Gross Sale]]-OrdersTable[[#This Row],[Discount Amount]]</f>
        <v>959.2</v>
      </c>
      <c r="V2442" s="77">
        <f>INDEX(Products!E:E,MATCH(OrdersTable[[#This Row],[Product ID]],Products!A:A,0))</f>
        <v>492</v>
      </c>
      <c r="W2442" s="77">
        <f>OrdersTable[[#This Row],[Quantity]]*OrdersTable[[#This Row],[Unit Cost]]</f>
        <v>492</v>
      </c>
      <c r="X2442" s="77">
        <f>'Dropdown Lists'!$I$2*(1+OrdersTable[[#This Row],[Returned]])</f>
        <v>60</v>
      </c>
      <c r="Y2442" s="76">
        <f>OrdersTable[[#This Row],[Net Revenue]]-OrdersTable[[#This Row],[COGS]]-OrdersTable[[#This Row],[Shipping Cost]]</f>
        <v>407.20000000000005</v>
      </c>
      <c r="Z2442" s="78">
        <f>IFERROR(OrdersTable[[#This Row],[Profit]]/OrdersTable[[#This Row],[Net Revenue]],0)</f>
        <v>0.42452043369474562</v>
      </c>
      <c r="AA2442" t="s">
        <v>18</v>
      </c>
      <c r="AB2442" s="79">
        <v>45709</v>
      </c>
      <c r="AC2442">
        <f>OrdersTable[[#This Row],[Delivery Date]]-OrdersTable[[#This Row],[Order Date]]</f>
        <v>4</v>
      </c>
      <c r="AD2442" t="str">
        <f>IF(OrdersTable[[#This Row],[Delivery Days]]&lt;=2, "Express (≤2d)", IF(OrdersTable[[#This Row],[Delivery Days]]&lt;=4, "Standard (3-4d)", "Delayed (5d+)"))</f>
        <v>Standard (3-4d)</v>
      </c>
      <c r="AF2442">
        <v>0</v>
      </c>
    </row>
    <row r="2443" spans="1:32" ht="15" x14ac:dyDescent="0.35">
      <c r="A2443" t="s">
        <v>3019</v>
      </c>
      <c r="B2443" s="1">
        <v>45705</v>
      </c>
      <c r="C2443">
        <f>YEAR(OrdersTable[[#This Row],[Order Date]])</f>
        <v>2025</v>
      </c>
      <c r="D2443" s="2">
        <f>DATE(YEAR(OrdersTable[[#This Row],[Order Date]]),MONTH(OrdersTable[[#This Row],[Order Date]]),1)</f>
        <v>45689</v>
      </c>
      <c r="E2443">
        <f>MONTH(OrdersTable[[#This Row],[Order Date]])</f>
        <v>2</v>
      </c>
      <c r="F2443" t="s">
        <v>3020</v>
      </c>
      <c r="G2443" t="str">
        <f>IF(OrdersTable[[#This Row],[Order Date]]=_xlfn.MINIFS(Order_Date, Customer_ID, OrdersTable[[#This Row],[Customer ID]]), "New", "Repeat")</f>
        <v>New</v>
      </c>
      <c r="H2443" t="s">
        <v>21</v>
      </c>
      <c r="I2443" t="str">
        <f>INDEX(State!B:B,MATCH(OrdersTable[[#This Row],[State]],State!A:A,0))</f>
        <v>PB</v>
      </c>
      <c r="J2443" t="str">
        <f>INDEX(State!C:C,MATCH(OrdersTable[[#This Row],[State Code]],State!B:B,0))</f>
        <v>North</v>
      </c>
      <c r="K2443" t="s">
        <v>22</v>
      </c>
      <c r="L2443" t="s">
        <v>50</v>
      </c>
      <c r="M2443" t="s">
        <v>73</v>
      </c>
      <c r="N2443" t="str">
        <f>INDEX(Products!B:B,MATCH(OrdersTable[[#This Row],[Product ID]],Products!A:A,0))</f>
        <v>Hydrating Face Wash</v>
      </c>
      <c r="O2443" t="str">
        <f>INDEX(Products!C:C,MATCH(OrdersTable[[#This Row],[Product ID]],Products!A:A,0))</f>
        <v>Skincare</v>
      </c>
      <c r="P2443">
        <v>1</v>
      </c>
      <c r="Q2443" s="5">
        <v>299</v>
      </c>
      <c r="R2443" s="74">
        <v>0</v>
      </c>
      <c r="S2443" s="75">
        <f>OrdersTable[[#This Row],[Quantity]]*OrdersTable[[#This Row],[Unit Price]]</f>
        <v>299</v>
      </c>
      <c r="T2443" s="5">
        <f>OrdersTable[[#This Row],[Gross Sale]]*OrdersTable[[#This Row],[Discount_Clean2]]</f>
        <v>0</v>
      </c>
      <c r="U2443" s="5">
        <f>OrdersTable[[#This Row],[Gross Sale]]-OrdersTable[[#This Row],[Discount Amount]]</f>
        <v>299</v>
      </c>
      <c r="V2443" s="77">
        <f>INDEX(Products!E:E,MATCH(OrdersTable[[#This Row],[Product ID]],Products!A:A,0))</f>
        <v>90</v>
      </c>
      <c r="W2443" s="77">
        <f>OrdersTable[[#This Row],[Quantity]]*OrdersTable[[#This Row],[Unit Cost]]</f>
        <v>90</v>
      </c>
      <c r="X2443" s="77">
        <f>'Dropdown Lists'!$I$2*(1+OrdersTable[[#This Row],[Returned]])</f>
        <v>60</v>
      </c>
      <c r="Y2443" s="76">
        <f>OrdersTable[[#This Row],[Net Revenue]]-OrdersTable[[#This Row],[COGS]]-OrdersTable[[#This Row],[Shipping Cost]]</f>
        <v>149</v>
      </c>
      <c r="Z2443" s="78">
        <f>IFERROR(OrdersTable[[#This Row],[Profit]]/OrdersTable[[#This Row],[Net Revenue]],0)</f>
        <v>0.49832775919732442</v>
      </c>
      <c r="AA2443" t="s">
        <v>2522</v>
      </c>
      <c r="AB2443" s="79">
        <v>45707</v>
      </c>
      <c r="AC2443">
        <f>OrdersTable[[#This Row],[Delivery Date]]-OrdersTable[[#This Row],[Order Date]]</f>
        <v>2</v>
      </c>
      <c r="AD2443" t="str">
        <f>IF(OrdersTable[[#This Row],[Delivery Days]]&lt;=2, "Express (≤2d)", IF(OrdersTable[[#This Row],[Delivery Days]]&lt;=4, "Standard (3-4d)", "Delayed (5d+)"))</f>
        <v>Express (≤2d)</v>
      </c>
      <c r="AF2443">
        <v>0</v>
      </c>
    </row>
    <row r="2444" spans="1:32" ht="15" x14ac:dyDescent="0.35">
      <c r="A2444" t="s">
        <v>4017</v>
      </c>
      <c r="B2444" s="1">
        <v>45705</v>
      </c>
      <c r="C2444">
        <f>YEAR(OrdersTable[[#This Row],[Order Date]])</f>
        <v>2025</v>
      </c>
      <c r="D2444" s="2">
        <f>DATE(YEAR(OrdersTable[[#This Row],[Order Date]]),MONTH(OrdersTable[[#This Row],[Order Date]]),1)</f>
        <v>45689</v>
      </c>
      <c r="E2444">
        <f>MONTH(OrdersTable[[#This Row],[Order Date]])</f>
        <v>2</v>
      </c>
      <c r="F2444" t="s">
        <v>2064</v>
      </c>
      <c r="G2444" t="str">
        <f>IF(OrdersTable[[#This Row],[Order Date]]=_xlfn.MINIFS(Order_Date, Customer_ID, OrdersTable[[#This Row],[Customer ID]]), "New", "Repeat")</f>
        <v>New</v>
      </c>
      <c r="H2444" t="s">
        <v>128</v>
      </c>
      <c r="I2444" t="str">
        <f>INDEX(State!B:B,MATCH(OrdersTable[[#This Row],[State]],State!A:A,0))</f>
        <v>DL</v>
      </c>
      <c r="J2444" t="str">
        <f>INDEX(State!C:C,MATCH(OrdersTable[[#This Row],[State Code]],State!B:B,0))</f>
        <v>North</v>
      </c>
      <c r="K2444" t="s">
        <v>129</v>
      </c>
      <c r="L2444" t="s">
        <v>65</v>
      </c>
      <c r="M2444" t="s">
        <v>66</v>
      </c>
      <c r="N2444" t="str">
        <f>INDEX(Products!B:B,MATCH(OrdersTable[[#This Row],[Product ID]],Products!A:A,0))</f>
        <v>Sunscreen SPF 50</v>
      </c>
      <c r="O2444" t="str">
        <f>INDEX(Products!C:C,MATCH(OrdersTable[[#This Row],[Product ID]],Products!A:A,0))</f>
        <v>Skincare</v>
      </c>
      <c r="P2444">
        <v>1</v>
      </c>
      <c r="Q2444" s="5">
        <v>449</v>
      </c>
      <c r="R2444" s="74">
        <v>0.05</v>
      </c>
      <c r="S2444" s="75">
        <f>OrdersTable[[#This Row],[Quantity]]*OrdersTable[[#This Row],[Unit Price]]</f>
        <v>449</v>
      </c>
      <c r="T2444" s="5">
        <f>OrdersTable[[#This Row],[Gross Sale]]*OrdersTable[[#This Row],[Discount_Clean2]]</f>
        <v>22.450000000000003</v>
      </c>
      <c r="U2444" s="5">
        <f>OrdersTable[[#This Row],[Gross Sale]]-OrdersTable[[#This Row],[Discount Amount]]</f>
        <v>426.55</v>
      </c>
      <c r="V2444" s="77">
        <f>INDEX(Products!E:E,MATCH(OrdersTable[[#This Row],[Product ID]],Products!A:A,0))</f>
        <v>144</v>
      </c>
      <c r="W2444" s="77">
        <f>OrdersTable[[#This Row],[Quantity]]*OrdersTable[[#This Row],[Unit Cost]]</f>
        <v>144</v>
      </c>
      <c r="X2444" s="77">
        <f>'Dropdown Lists'!$I$2*(1+OrdersTable[[#This Row],[Returned]])</f>
        <v>60</v>
      </c>
      <c r="Y2444" s="76">
        <f>OrdersTable[[#This Row],[Net Revenue]]-OrdersTable[[#This Row],[COGS]]-OrdersTable[[#This Row],[Shipping Cost]]</f>
        <v>222.55</v>
      </c>
      <c r="Z2444" s="78">
        <f>IFERROR(OrdersTable[[#This Row],[Profit]]/OrdersTable[[#This Row],[Net Revenue]],0)</f>
        <v>0.52174422693705313</v>
      </c>
      <c r="AA2444" t="s">
        <v>3495</v>
      </c>
      <c r="AB2444" s="79">
        <v>45706</v>
      </c>
      <c r="AC2444">
        <f>OrdersTable[[#This Row],[Delivery Date]]-OrdersTable[[#This Row],[Order Date]]</f>
        <v>1</v>
      </c>
      <c r="AD2444" t="str">
        <f>IF(OrdersTable[[#This Row],[Delivery Days]]&lt;=2, "Express (≤2d)", IF(OrdersTable[[#This Row],[Delivery Days]]&lt;=4, "Standard (3-4d)", "Delayed (5d+)"))</f>
        <v>Express (≤2d)</v>
      </c>
      <c r="AE2444">
        <v>5</v>
      </c>
      <c r="AF2444">
        <v>0</v>
      </c>
    </row>
    <row r="2445" spans="1:32" ht="15" x14ac:dyDescent="0.35">
      <c r="A2445" t="s">
        <v>3257</v>
      </c>
      <c r="B2445" s="1">
        <v>45705</v>
      </c>
      <c r="C2445">
        <f>YEAR(OrdersTable[[#This Row],[Order Date]])</f>
        <v>2025</v>
      </c>
      <c r="D2445" s="2">
        <f>DATE(YEAR(OrdersTable[[#This Row],[Order Date]]),MONTH(OrdersTable[[#This Row],[Order Date]]),1)</f>
        <v>45689</v>
      </c>
      <c r="E2445">
        <f>MONTH(OrdersTable[[#This Row],[Order Date]])</f>
        <v>2</v>
      </c>
      <c r="F2445" t="s">
        <v>2591</v>
      </c>
      <c r="G2445" t="str">
        <f>IF(OrdersTable[[#This Row],[Order Date]]=_xlfn.MINIFS(Order_Date, Customer_ID, OrdersTable[[#This Row],[Customer ID]]), "New", "Repeat")</f>
        <v>Repeat</v>
      </c>
      <c r="H2445" t="s">
        <v>37</v>
      </c>
      <c r="I2445" t="str">
        <f>INDEX(State!B:B,MATCH(OrdersTable[[#This Row],[State]],State!A:A,0))</f>
        <v>GJ</v>
      </c>
      <c r="J2445" t="str">
        <f>INDEX(State!C:C,MATCH(OrdersTable[[#This Row],[State Code]],State!B:B,0))</f>
        <v>West</v>
      </c>
      <c r="K2445" t="s">
        <v>38</v>
      </c>
      <c r="L2445" t="s">
        <v>23</v>
      </c>
      <c r="M2445" t="s">
        <v>66</v>
      </c>
      <c r="N2445" t="str">
        <f>INDEX(Products!B:B,MATCH(OrdersTable[[#This Row],[Product ID]],Products!A:A,0))</f>
        <v>Sunscreen SPF 50</v>
      </c>
      <c r="O2445" t="str">
        <f>INDEX(Products!C:C,MATCH(OrdersTable[[#This Row],[Product ID]],Products!A:A,0))</f>
        <v>Skincare</v>
      </c>
      <c r="P2445">
        <v>1</v>
      </c>
      <c r="Q2445" s="5">
        <v>449</v>
      </c>
      <c r="R2445" s="74">
        <v>0.15</v>
      </c>
      <c r="S2445" s="75">
        <f>OrdersTable[[#This Row],[Quantity]]*OrdersTable[[#This Row],[Unit Price]]</f>
        <v>449</v>
      </c>
      <c r="T2445" s="5">
        <f>OrdersTable[[#This Row],[Gross Sale]]*OrdersTable[[#This Row],[Discount_Clean2]]</f>
        <v>67.349999999999994</v>
      </c>
      <c r="U2445" s="5">
        <f>OrdersTable[[#This Row],[Gross Sale]]-OrdersTable[[#This Row],[Discount Amount]]</f>
        <v>381.65</v>
      </c>
      <c r="V2445" s="77">
        <f>INDEX(Products!E:E,MATCH(OrdersTable[[#This Row],[Product ID]],Products!A:A,0))</f>
        <v>144</v>
      </c>
      <c r="W2445" s="77">
        <f>OrdersTable[[#This Row],[Quantity]]*OrdersTable[[#This Row],[Unit Cost]]</f>
        <v>144</v>
      </c>
      <c r="X2445" s="77">
        <f>'Dropdown Lists'!$I$2*(1+OrdersTable[[#This Row],[Returned]])</f>
        <v>60</v>
      </c>
      <c r="Y2445" s="76">
        <f>OrdersTable[[#This Row],[Net Revenue]]-OrdersTable[[#This Row],[COGS]]-OrdersTable[[#This Row],[Shipping Cost]]</f>
        <v>177.64999999999998</v>
      </c>
      <c r="Z2445" s="78">
        <f>IFERROR(OrdersTable[[#This Row],[Profit]]/OrdersTable[[#This Row],[Net Revenue]],0)</f>
        <v>0.465478841870824</v>
      </c>
      <c r="AA2445" t="s">
        <v>2522</v>
      </c>
      <c r="AB2445" s="79">
        <v>45708</v>
      </c>
      <c r="AC2445">
        <f>OrdersTable[[#This Row],[Delivery Date]]-OrdersTable[[#This Row],[Order Date]]</f>
        <v>3</v>
      </c>
      <c r="AD2445" t="str">
        <f>IF(OrdersTable[[#This Row],[Delivery Days]]&lt;=2, "Express (≤2d)", IF(OrdersTable[[#This Row],[Delivery Days]]&lt;=4, "Standard (3-4d)", "Delayed (5d+)"))</f>
        <v>Standard (3-4d)</v>
      </c>
      <c r="AE2445">
        <v>4</v>
      </c>
      <c r="AF2445">
        <v>0</v>
      </c>
    </row>
    <row r="2446" spans="1:32" ht="15" x14ac:dyDescent="0.35">
      <c r="A2446" t="s">
        <v>4982</v>
      </c>
      <c r="B2446" s="1">
        <v>45705</v>
      </c>
      <c r="C2446">
        <f>YEAR(OrdersTable[[#This Row],[Order Date]])</f>
        <v>2025</v>
      </c>
      <c r="D2446" s="2">
        <f>DATE(YEAR(OrdersTable[[#This Row],[Order Date]]),MONTH(OrdersTable[[#This Row],[Order Date]]),1)</f>
        <v>45689</v>
      </c>
      <c r="E2446">
        <f>MONTH(OrdersTable[[#This Row],[Order Date]])</f>
        <v>2</v>
      </c>
      <c r="F2446" t="s">
        <v>4258</v>
      </c>
      <c r="G2446" t="str">
        <f>IF(OrdersTable[[#This Row],[Order Date]]=_xlfn.MINIFS(Order_Date, Customer_ID, OrdersTable[[#This Row],[Customer ID]]), "New", "Repeat")</f>
        <v>Repeat</v>
      </c>
      <c r="H2446" t="s">
        <v>71</v>
      </c>
      <c r="I2446" t="str">
        <f>INDEX(State!B:B,MATCH(OrdersTable[[#This Row],[State]],State!A:A,0))</f>
        <v>MH</v>
      </c>
      <c r="J2446" t="str">
        <f>INDEX(State!C:C,MATCH(OrdersTable[[#This Row],[State Code]],State!B:B,0))</f>
        <v>West</v>
      </c>
      <c r="K2446" t="s">
        <v>102</v>
      </c>
      <c r="L2446" t="s">
        <v>65</v>
      </c>
      <c r="M2446" t="s">
        <v>565</v>
      </c>
      <c r="N2446" t="str">
        <f>INDEX(Products!B:B,MATCH(OrdersTable[[#This Row],[Product ID]],Products!A:A,0))</f>
        <v>Ceramic Dinner Set</v>
      </c>
      <c r="O2446" t="str">
        <f>INDEX(Products!C:C,MATCH(OrdersTable[[#This Row],[Product ID]],Products!A:A,0))</f>
        <v>Home &amp; Kitchen</v>
      </c>
      <c r="P2446">
        <v>2</v>
      </c>
      <c r="Q2446" s="5">
        <v>2499</v>
      </c>
      <c r="R2446" s="74">
        <v>0.3</v>
      </c>
      <c r="S2446" s="75">
        <f>OrdersTable[[#This Row],[Quantity]]*OrdersTable[[#This Row],[Unit Price]]</f>
        <v>4998</v>
      </c>
      <c r="T2446" s="5">
        <f>OrdersTable[[#This Row],[Gross Sale]]*OrdersTable[[#This Row],[Discount_Clean2]]</f>
        <v>1499.3999999999999</v>
      </c>
      <c r="U2446" s="5">
        <f>OrdersTable[[#This Row],[Gross Sale]]-OrdersTable[[#This Row],[Discount Amount]]</f>
        <v>3498.6000000000004</v>
      </c>
      <c r="V2446" s="77">
        <f>INDEX(Products!E:E,MATCH(OrdersTable[[#This Row],[Product ID]],Products!A:A,0))</f>
        <v>1250</v>
      </c>
      <c r="W2446" s="77">
        <f>OrdersTable[[#This Row],[Quantity]]*OrdersTable[[#This Row],[Unit Cost]]</f>
        <v>2500</v>
      </c>
      <c r="X2446" s="77">
        <f>'Dropdown Lists'!$I$2*(1+OrdersTable[[#This Row],[Returned]])</f>
        <v>60</v>
      </c>
      <c r="Y2446" s="76">
        <f>OrdersTable[[#This Row],[Net Revenue]]-OrdersTable[[#This Row],[COGS]]-OrdersTable[[#This Row],[Shipping Cost]]</f>
        <v>938.60000000000036</v>
      </c>
      <c r="Z2446" s="78">
        <f>IFERROR(OrdersTable[[#This Row],[Profit]]/OrdersTable[[#This Row],[Net Revenue]],0)</f>
        <v>0.26827874006745561</v>
      </c>
      <c r="AA2446" t="s">
        <v>4074</v>
      </c>
      <c r="AB2446" s="79">
        <v>45707</v>
      </c>
      <c r="AC2446">
        <f>OrdersTable[[#This Row],[Delivery Date]]-OrdersTable[[#This Row],[Order Date]]</f>
        <v>2</v>
      </c>
      <c r="AD2446" t="str">
        <f>IF(OrdersTable[[#This Row],[Delivery Days]]&lt;=2, "Express (≤2d)", IF(OrdersTable[[#This Row],[Delivery Days]]&lt;=4, "Standard (3-4d)", "Delayed (5d+)"))</f>
        <v>Express (≤2d)</v>
      </c>
      <c r="AE2446">
        <v>4</v>
      </c>
      <c r="AF2446">
        <v>0</v>
      </c>
    </row>
    <row r="2447" spans="1:32" ht="15" x14ac:dyDescent="0.35">
      <c r="A2447" t="s">
        <v>3600</v>
      </c>
      <c r="B2447" s="1">
        <v>45705</v>
      </c>
      <c r="C2447">
        <f>YEAR(OrdersTable[[#This Row],[Order Date]])</f>
        <v>2025</v>
      </c>
      <c r="D2447" s="2">
        <f>DATE(YEAR(OrdersTable[[#This Row],[Order Date]]),MONTH(OrdersTable[[#This Row],[Order Date]]),1)</f>
        <v>45689</v>
      </c>
      <c r="E2447">
        <f>MONTH(OrdersTable[[#This Row],[Order Date]])</f>
        <v>2</v>
      </c>
      <c r="F2447" t="s">
        <v>1546</v>
      </c>
      <c r="G2447" t="str">
        <f>IF(OrdersTable[[#This Row],[Order Date]]=_xlfn.MINIFS(Order_Date, Customer_ID, OrdersTable[[#This Row],[Customer ID]]), "New", "Repeat")</f>
        <v>Repeat</v>
      </c>
      <c r="H2447" t="s">
        <v>71</v>
      </c>
      <c r="I2447" t="str">
        <f>INDEX(State!B:B,MATCH(OrdersTable[[#This Row],[State]],State!A:A,0))</f>
        <v>MH</v>
      </c>
      <c r="J2447" t="str">
        <f>INDEX(State!C:C,MATCH(OrdersTable[[#This Row],[State Code]],State!B:B,0))</f>
        <v>West</v>
      </c>
      <c r="K2447" t="s">
        <v>72</v>
      </c>
      <c r="L2447" t="s">
        <v>23</v>
      </c>
      <c r="M2447" t="s">
        <v>160</v>
      </c>
      <c r="N2447" t="str">
        <f>INDEX(Products!B:B,MATCH(OrdersTable[[#This Row],[Product ID]],Products!A:A,0))</f>
        <v>Niacinamide Toner</v>
      </c>
      <c r="O2447" t="str">
        <f>INDEX(Products!C:C,MATCH(OrdersTable[[#This Row],[Product ID]],Products!A:A,0))</f>
        <v>Skincare</v>
      </c>
      <c r="P2447">
        <v>1</v>
      </c>
      <c r="Q2447" s="5">
        <v>399</v>
      </c>
      <c r="R2447" s="74">
        <v>0.2</v>
      </c>
      <c r="S2447" s="75">
        <f>OrdersTable[[#This Row],[Quantity]]*OrdersTable[[#This Row],[Unit Price]]</f>
        <v>399</v>
      </c>
      <c r="T2447" s="5">
        <f>OrdersTable[[#This Row],[Gross Sale]]*OrdersTable[[#This Row],[Discount_Clean2]]</f>
        <v>79.800000000000011</v>
      </c>
      <c r="U2447" s="5">
        <f>OrdersTable[[#This Row],[Gross Sale]]-OrdersTable[[#This Row],[Discount Amount]]</f>
        <v>319.2</v>
      </c>
      <c r="V2447" s="77">
        <f>INDEX(Products!E:E,MATCH(OrdersTable[[#This Row],[Product ID]],Products!A:A,0))</f>
        <v>112</v>
      </c>
      <c r="W2447" s="77">
        <f>OrdersTable[[#This Row],[Quantity]]*OrdersTable[[#This Row],[Unit Cost]]</f>
        <v>112</v>
      </c>
      <c r="X2447" s="77">
        <f>'Dropdown Lists'!$I$2*(1+OrdersTable[[#This Row],[Returned]])</f>
        <v>60</v>
      </c>
      <c r="Y2447" s="76">
        <f>OrdersTable[[#This Row],[Net Revenue]]-OrdersTable[[#This Row],[COGS]]-OrdersTable[[#This Row],[Shipping Cost]]</f>
        <v>147.19999999999999</v>
      </c>
      <c r="Z2447" s="78">
        <f>IFERROR(OrdersTable[[#This Row],[Profit]]/OrdersTable[[#This Row],[Net Revenue]],0)</f>
        <v>0.46115288220551376</v>
      </c>
      <c r="AA2447" t="s">
        <v>3495</v>
      </c>
      <c r="AB2447" s="79">
        <v>45706</v>
      </c>
      <c r="AC2447">
        <f>OrdersTable[[#This Row],[Delivery Date]]-OrdersTable[[#This Row],[Order Date]]</f>
        <v>1</v>
      </c>
      <c r="AD2447" t="str">
        <f>IF(OrdersTable[[#This Row],[Delivery Days]]&lt;=2, "Express (≤2d)", IF(OrdersTable[[#This Row],[Delivery Days]]&lt;=4, "Standard (3-4d)", "Delayed (5d+)"))</f>
        <v>Express (≤2d)</v>
      </c>
      <c r="AE2447">
        <v>4</v>
      </c>
      <c r="AF2447">
        <v>0</v>
      </c>
    </row>
    <row r="2448" spans="1:32" ht="15" x14ac:dyDescent="0.35">
      <c r="A2448" t="s">
        <v>2786</v>
      </c>
      <c r="B2448" s="1">
        <v>45705</v>
      </c>
      <c r="C2448">
        <f>YEAR(OrdersTable[[#This Row],[Order Date]])</f>
        <v>2025</v>
      </c>
      <c r="D2448" s="2">
        <f>DATE(YEAR(OrdersTable[[#This Row],[Order Date]]),MONTH(OrdersTable[[#This Row],[Order Date]]),1)</f>
        <v>45689</v>
      </c>
      <c r="E2448">
        <f>MONTH(OrdersTable[[#This Row],[Order Date]])</f>
        <v>2</v>
      </c>
      <c r="F2448" t="s">
        <v>2787</v>
      </c>
      <c r="G2448" t="str">
        <f>IF(OrdersTable[[#This Row],[Order Date]]=_xlfn.MINIFS(Order_Date, Customer_ID, OrdersTable[[#This Row],[Customer ID]]), "New", "Repeat")</f>
        <v>Repeat</v>
      </c>
      <c r="H2448" t="s">
        <v>95</v>
      </c>
      <c r="I2448" t="str">
        <f>INDEX(State!B:B,MATCH(OrdersTable[[#This Row],[State]],State!A:A,0))</f>
        <v>TG</v>
      </c>
      <c r="J2448" t="str">
        <f>INDEX(State!C:C,MATCH(OrdersTable[[#This Row],[State Code]],State!B:B,0))</f>
        <v>South</v>
      </c>
      <c r="K2448" t="s">
        <v>96</v>
      </c>
      <c r="L2448" t="s">
        <v>65</v>
      </c>
      <c r="M2448" t="s">
        <v>160</v>
      </c>
      <c r="N2448" t="str">
        <f>INDEX(Products!B:B,MATCH(OrdersTable[[#This Row],[Product ID]],Products!A:A,0))</f>
        <v>Niacinamide Toner</v>
      </c>
      <c r="O2448" t="str">
        <f>INDEX(Products!C:C,MATCH(OrdersTable[[#This Row],[Product ID]],Products!A:A,0))</f>
        <v>Skincare</v>
      </c>
      <c r="P2448">
        <v>1</v>
      </c>
      <c r="Q2448" s="5">
        <v>399</v>
      </c>
      <c r="R2448" s="74">
        <v>0.25</v>
      </c>
      <c r="S2448" s="75">
        <f>OrdersTable[[#This Row],[Quantity]]*OrdersTable[[#This Row],[Unit Price]]</f>
        <v>399</v>
      </c>
      <c r="T2448" s="5">
        <f>OrdersTable[[#This Row],[Gross Sale]]*OrdersTable[[#This Row],[Discount_Clean2]]</f>
        <v>99.75</v>
      </c>
      <c r="U2448" s="5">
        <f>OrdersTable[[#This Row],[Gross Sale]]-OrdersTable[[#This Row],[Discount Amount]]</f>
        <v>299.25</v>
      </c>
      <c r="V2448" s="77">
        <f>INDEX(Products!E:E,MATCH(OrdersTable[[#This Row],[Product ID]],Products!A:A,0))</f>
        <v>112</v>
      </c>
      <c r="W2448" s="77">
        <f>OrdersTable[[#This Row],[Quantity]]*OrdersTable[[#This Row],[Unit Cost]]</f>
        <v>112</v>
      </c>
      <c r="X2448" s="77">
        <f>'Dropdown Lists'!$I$2*(1+OrdersTable[[#This Row],[Returned]])</f>
        <v>60</v>
      </c>
      <c r="Y2448" s="76">
        <f>OrdersTable[[#This Row],[Net Revenue]]-OrdersTable[[#This Row],[COGS]]-OrdersTable[[#This Row],[Shipping Cost]]</f>
        <v>127.25</v>
      </c>
      <c r="Z2448" s="78">
        <f>IFERROR(OrdersTable[[#This Row],[Profit]]/OrdersTable[[#This Row],[Net Revenue]],0)</f>
        <v>0.42522974101921468</v>
      </c>
      <c r="AA2448" t="s">
        <v>2522</v>
      </c>
      <c r="AB2448" s="79">
        <v>45709</v>
      </c>
      <c r="AC2448">
        <f>OrdersTable[[#This Row],[Delivery Date]]-OrdersTable[[#This Row],[Order Date]]</f>
        <v>4</v>
      </c>
      <c r="AD2448" t="str">
        <f>IF(OrdersTable[[#This Row],[Delivery Days]]&lt;=2, "Express (≤2d)", IF(OrdersTable[[#This Row],[Delivery Days]]&lt;=4, "Standard (3-4d)", "Delayed (5d+)"))</f>
        <v>Standard (3-4d)</v>
      </c>
      <c r="AE2448">
        <v>3</v>
      </c>
      <c r="AF2448">
        <v>0</v>
      </c>
    </row>
    <row r="2449" spans="1:32" ht="15" x14ac:dyDescent="0.35">
      <c r="A2449" t="s">
        <v>5394</v>
      </c>
      <c r="B2449" s="1">
        <v>45706</v>
      </c>
      <c r="C2449">
        <f>YEAR(OrdersTable[[#This Row],[Order Date]])</f>
        <v>2025</v>
      </c>
      <c r="D2449" s="2">
        <f>DATE(YEAR(OrdersTable[[#This Row],[Order Date]]),MONTH(OrdersTable[[#This Row],[Order Date]]),1)</f>
        <v>45689</v>
      </c>
      <c r="E2449">
        <f>MONTH(OrdersTable[[#This Row],[Order Date]])</f>
        <v>2</v>
      </c>
      <c r="F2449" t="s">
        <v>1287</v>
      </c>
      <c r="G2449" t="str">
        <f>IF(OrdersTable[[#This Row],[Order Date]]=_xlfn.MINIFS(Order_Date, Customer_ID, OrdersTable[[#This Row],[Customer ID]]), "New", "Repeat")</f>
        <v>New</v>
      </c>
      <c r="H2449" t="s">
        <v>21</v>
      </c>
      <c r="I2449" t="str">
        <f>INDEX(State!B:B,MATCH(OrdersTable[[#This Row],[State]],State!A:A,0))</f>
        <v>PB</v>
      </c>
      <c r="J2449" t="str">
        <f>INDEX(State!C:C,MATCH(OrdersTable[[#This Row],[State Code]],State!B:B,0))</f>
        <v>North</v>
      </c>
      <c r="K2449" t="s">
        <v>22</v>
      </c>
      <c r="L2449" t="s">
        <v>23</v>
      </c>
      <c r="M2449" t="s">
        <v>24</v>
      </c>
      <c r="N2449" t="str">
        <f>INDEX(Products!B:B,MATCH(OrdersTable[[#This Row],[Product ID]],Products!A:A,0))</f>
        <v>Scented Candle Set</v>
      </c>
      <c r="O2449" t="str">
        <f>INDEX(Products!C:C,MATCH(OrdersTable[[#This Row],[Product ID]],Products!A:A,0))</f>
        <v>Home &amp; Kitchen</v>
      </c>
      <c r="P2449">
        <v>2</v>
      </c>
      <c r="Q2449" s="5">
        <v>699</v>
      </c>
      <c r="R2449" s="74">
        <v>0.3</v>
      </c>
      <c r="S2449" s="75">
        <f>OrdersTable[[#This Row],[Quantity]]*OrdersTable[[#This Row],[Unit Price]]</f>
        <v>1398</v>
      </c>
      <c r="T2449" s="5">
        <f>OrdersTable[[#This Row],[Gross Sale]]*OrdersTable[[#This Row],[Discount_Clean2]]</f>
        <v>419.4</v>
      </c>
      <c r="U2449" s="5">
        <f>OrdersTable[[#This Row],[Gross Sale]]-OrdersTable[[#This Row],[Discount Amount]]</f>
        <v>978.6</v>
      </c>
      <c r="V2449" s="77">
        <f>INDEX(Products!E:E,MATCH(OrdersTable[[#This Row],[Product ID]],Products!A:A,0))</f>
        <v>245</v>
      </c>
      <c r="W2449" s="77">
        <f>OrdersTable[[#This Row],[Quantity]]*OrdersTable[[#This Row],[Unit Cost]]</f>
        <v>490</v>
      </c>
      <c r="X2449" s="77">
        <f>'Dropdown Lists'!$I$2*(1+OrdersTable[[#This Row],[Returned]])</f>
        <v>60</v>
      </c>
      <c r="Y2449" s="76">
        <f>OrdersTable[[#This Row],[Net Revenue]]-OrdersTable[[#This Row],[COGS]]-OrdersTable[[#This Row],[Shipping Cost]]</f>
        <v>428.6</v>
      </c>
      <c r="Z2449" s="78">
        <f>IFERROR(OrdersTable[[#This Row],[Profit]]/OrdersTable[[#This Row],[Net Revenue]],0)</f>
        <v>0.43797261393827919</v>
      </c>
      <c r="AA2449" t="s">
        <v>2522</v>
      </c>
      <c r="AB2449" s="79">
        <v>45709</v>
      </c>
      <c r="AC2449">
        <f>OrdersTable[[#This Row],[Delivery Date]]-OrdersTable[[#This Row],[Order Date]]</f>
        <v>3</v>
      </c>
      <c r="AD2449" t="str">
        <f>IF(OrdersTable[[#This Row],[Delivery Days]]&lt;=2, "Express (≤2d)", IF(OrdersTable[[#This Row],[Delivery Days]]&lt;=4, "Standard (3-4d)", "Delayed (5d+)"))</f>
        <v>Standard (3-4d)</v>
      </c>
      <c r="AF2449">
        <v>0</v>
      </c>
    </row>
    <row r="2450" spans="1:32" ht="15" x14ac:dyDescent="0.35">
      <c r="A2450" t="s">
        <v>3755</v>
      </c>
      <c r="B2450" s="1">
        <v>45706</v>
      </c>
      <c r="C2450">
        <f>YEAR(OrdersTable[[#This Row],[Order Date]])</f>
        <v>2025</v>
      </c>
      <c r="D2450" s="2">
        <f>DATE(YEAR(OrdersTable[[#This Row],[Order Date]]),MONTH(OrdersTable[[#This Row],[Order Date]]),1)</f>
        <v>45689</v>
      </c>
      <c r="E2450">
        <f>MONTH(OrdersTable[[#This Row],[Order Date]])</f>
        <v>2</v>
      </c>
      <c r="F2450" t="s">
        <v>2092</v>
      </c>
      <c r="G2450" t="str">
        <f>IF(OrdersTable[[#This Row],[Order Date]]=_xlfn.MINIFS(Order_Date, Customer_ID, OrdersTable[[#This Row],[Customer ID]]), "New", "Repeat")</f>
        <v>Repeat</v>
      </c>
      <c r="H2450" t="s">
        <v>76</v>
      </c>
      <c r="I2450" t="str">
        <f>INDEX(State!B:B,MATCH(OrdersTable[[#This Row],[State]],State!A:A,0))</f>
        <v>UP</v>
      </c>
      <c r="J2450" t="str">
        <f>INDEX(State!C:C,MATCH(OrdersTable[[#This Row],[State Code]],State!B:B,0))</f>
        <v>North</v>
      </c>
      <c r="K2450" t="s">
        <v>77</v>
      </c>
      <c r="L2450" t="s">
        <v>50</v>
      </c>
      <c r="M2450" t="s">
        <v>106</v>
      </c>
      <c r="N2450" t="str">
        <f>INDEX(Products!B:B,MATCH(OrdersTable[[#This Row],[Product ID]],Products!A:A,0))</f>
        <v>Keratin Hair Mask</v>
      </c>
      <c r="O2450" t="str">
        <f>INDEX(Products!C:C,MATCH(OrdersTable[[#This Row],[Product ID]],Products!A:A,0))</f>
        <v>Haircare</v>
      </c>
      <c r="P2450">
        <v>1</v>
      </c>
      <c r="Q2450" s="5">
        <v>549</v>
      </c>
      <c r="R2450" s="74">
        <v>0.15</v>
      </c>
      <c r="S2450" s="75">
        <f>OrdersTable[[#This Row],[Quantity]]*OrdersTable[[#This Row],[Unit Price]]</f>
        <v>549</v>
      </c>
      <c r="T2450" s="5">
        <f>OrdersTable[[#This Row],[Gross Sale]]*OrdersTable[[#This Row],[Discount_Clean2]]</f>
        <v>82.35</v>
      </c>
      <c r="U2450" s="5">
        <f>OrdersTable[[#This Row],[Gross Sale]]-OrdersTable[[#This Row],[Discount Amount]]</f>
        <v>466.65</v>
      </c>
      <c r="V2450" s="77">
        <f>INDEX(Products!E:E,MATCH(OrdersTable[[#This Row],[Product ID]],Products!A:A,0))</f>
        <v>170</v>
      </c>
      <c r="W2450" s="77">
        <f>OrdersTable[[#This Row],[Quantity]]*OrdersTable[[#This Row],[Unit Cost]]</f>
        <v>170</v>
      </c>
      <c r="X2450" s="77">
        <f>'Dropdown Lists'!$I$2*(1+OrdersTable[[#This Row],[Returned]])</f>
        <v>120</v>
      </c>
      <c r="Y2450" s="76">
        <f>OrdersTable[[#This Row],[Net Revenue]]-OrdersTable[[#This Row],[COGS]]-OrdersTable[[#This Row],[Shipping Cost]]</f>
        <v>176.64999999999998</v>
      </c>
      <c r="Z2450" s="78">
        <f>IFERROR(OrdersTable[[#This Row],[Profit]]/OrdersTable[[#This Row],[Net Revenue]],0)</f>
        <v>0.3785492339012107</v>
      </c>
      <c r="AA2450" t="s">
        <v>3495</v>
      </c>
      <c r="AB2450" s="79">
        <v>45709</v>
      </c>
      <c r="AC2450">
        <f>OrdersTable[[#This Row],[Delivery Date]]-OrdersTable[[#This Row],[Order Date]]</f>
        <v>3</v>
      </c>
      <c r="AD2450" t="str">
        <f>IF(OrdersTable[[#This Row],[Delivery Days]]&lt;=2, "Express (≤2d)", IF(OrdersTable[[#This Row],[Delivery Days]]&lt;=4, "Standard (3-4d)", "Delayed (5d+)"))</f>
        <v>Standard (3-4d)</v>
      </c>
      <c r="AF2450">
        <v>1</v>
      </c>
    </row>
    <row r="2451" spans="1:32" ht="15" x14ac:dyDescent="0.35">
      <c r="A2451" t="s">
        <v>3601</v>
      </c>
      <c r="B2451" s="1">
        <v>45706</v>
      </c>
      <c r="C2451">
        <f>YEAR(OrdersTable[[#This Row],[Order Date]])</f>
        <v>2025</v>
      </c>
      <c r="D2451" s="2">
        <f>DATE(YEAR(OrdersTable[[#This Row],[Order Date]]),MONTH(OrdersTable[[#This Row],[Order Date]]),1)</f>
        <v>45689</v>
      </c>
      <c r="E2451">
        <f>MONTH(OrdersTable[[#This Row],[Order Date]])</f>
        <v>2</v>
      </c>
      <c r="F2451" t="s">
        <v>1161</v>
      </c>
      <c r="G2451" t="str">
        <f>IF(OrdersTable[[#This Row],[Order Date]]=_xlfn.MINIFS(Order_Date, Customer_ID, OrdersTable[[#This Row],[Customer ID]]), "New", "Repeat")</f>
        <v>Repeat</v>
      </c>
      <c r="H2451" t="s">
        <v>71</v>
      </c>
      <c r="I2451" t="str">
        <f>INDEX(State!B:B,MATCH(OrdersTable[[#This Row],[State]],State!A:A,0))</f>
        <v>MH</v>
      </c>
      <c r="J2451" t="str">
        <f>INDEX(State!C:C,MATCH(OrdersTable[[#This Row],[State Code]],State!B:B,0))</f>
        <v>West</v>
      </c>
      <c r="K2451" t="s">
        <v>81</v>
      </c>
      <c r="L2451" t="s">
        <v>50</v>
      </c>
      <c r="M2451" t="s">
        <v>160</v>
      </c>
      <c r="N2451" t="str">
        <f>INDEX(Products!B:B,MATCH(OrdersTable[[#This Row],[Product ID]],Products!A:A,0))</f>
        <v>Niacinamide Toner</v>
      </c>
      <c r="O2451" t="str">
        <f>INDEX(Products!C:C,MATCH(OrdersTable[[#This Row],[Product ID]],Products!A:A,0))</f>
        <v>Skincare</v>
      </c>
      <c r="P2451">
        <v>1</v>
      </c>
      <c r="Q2451" s="5">
        <v>399</v>
      </c>
      <c r="R2451" s="74">
        <v>0.2</v>
      </c>
      <c r="S2451" s="75">
        <f>OrdersTable[[#This Row],[Quantity]]*OrdersTable[[#This Row],[Unit Price]]</f>
        <v>399</v>
      </c>
      <c r="T2451" s="5">
        <f>OrdersTable[[#This Row],[Gross Sale]]*OrdersTable[[#This Row],[Discount_Clean2]]</f>
        <v>79.800000000000011</v>
      </c>
      <c r="U2451" s="5">
        <f>OrdersTable[[#This Row],[Gross Sale]]-OrdersTable[[#This Row],[Discount Amount]]</f>
        <v>319.2</v>
      </c>
      <c r="V2451" s="77">
        <f>INDEX(Products!E:E,MATCH(OrdersTable[[#This Row],[Product ID]],Products!A:A,0))</f>
        <v>112</v>
      </c>
      <c r="W2451" s="77">
        <f>OrdersTable[[#This Row],[Quantity]]*OrdersTable[[#This Row],[Unit Cost]]</f>
        <v>112</v>
      </c>
      <c r="X2451" s="77">
        <f>'Dropdown Lists'!$I$2*(1+OrdersTable[[#This Row],[Returned]])</f>
        <v>60</v>
      </c>
      <c r="Y2451" s="76">
        <f>OrdersTable[[#This Row],[Net Revenue]]-OrdersTable[[#This Row],[COGS]]-OrdersTable[[#This Row],[Shipping Cost]]</f>
        <v>147.19999999999999</v>
      </c>
      <c r="Z2451" s="78">
        <f>IFERROR(OrdersTable[[#This Row],[Profit]]/OrdersTable[[#This Row],[Net Revenue]],0)</f>
        <v>0.46115288220551376</v>
      </c>
      <c r="AA2451" t="s">
        <v>3495</v>
      </c>
      <c r="AB2451" s="79">
        <v>45708</v>
      </c>
      <c r="AC2451">
        <f>OrdersTable[[#This Row],[Delivery Date]]-OrdersTable[[#This Row],[Order Date]]</f>
        <v>2</v>
      </c>
      <c r="AD2451" t="str">
        <f>IF(OrdersTable[[#This Row],[Delivery Days]]&lt;=2, "Express (≤2d)", IF(OrdersTable[[#This Row],[Delivery Days]]&lt;=4, "Standard (3-4d)", "Delayed (5d+)"))</f>
        <v>Express (≤2d)</v>
      </c>
      <c r="AE2451">
        <v>4</v>
      </c>
      <c r="AF2451">
        <v>0</v>
      </c>
    </row>
    <row r="2452" spans="1:32" ht="15" x14ac:dyDescent="0.35">
      <c r="A2452" t="s">
        <v>4600</v>
      </c>
      <c r="B2452" s="1">
        <v>45706</v>
      </c>
      <c r="C2452">
        <f>YEAR(OrdersTable[[#This Row],[Order Date]])</f>
        <v>2025</v>
      </c>
      <c r="D2452" s="2">
        <f>DATE(YEAR(OrdersTable[[#This Row],[Order Date]]),MONTH(OrdersTable[[#This Row],[Order Date]]),1)</f>
        <v>45689</v>
      </c>
      <c r="E2452">
        <f>MONTH(OrdersTable[[#This Row],[Order Date]])</f>
        <v>2</v>
      </c>
      <c r="F2452" t="s">
        <v>2378</v>
      </c>
      <c r="G2452" t="str">
        <f>IF(OrdersTable[[#This Row],[Order Date]]=_xlfn.MINIFS(Order_Date, Customer_ID, OrdersTable[[#This Row],[Customer ID]]), "New", "Repeat")</f>
        <v>Repeat</v>
      </c>
      <c r="H2452" t="s">
        <v>95</v>
      </c>
      <c r="I2452" t="str">
        <f>INDEX(State!B:B,MATCH(OrdersTable[[#This Row],[State]],State!A:A,0))</f>
        <v>TG</v>
      </c>
      <c r="J2452" t="str">
        <f>INDEX(State!C:C,MATCH(OrdersTable[[#This Row],[State Code]],State!B:B,0))</f>
        <v>South</v>
      </c>
      <c r="K2452" t="s">
        <v>96</v>
      </c>
      <c r="L2452" t="s">
        <v>65</v>
      </c>
      <c r="M2452" t="s">
        <v>92</v>
      </c>
      <c r="N2452" t="str">
        <f>INDEX(Products!B:B,MATCH(OrdersTable[[#This Row],[Product ID]],Products!A:A,0))</f>
        <v>Kolhapuri Sandals</v>
      </c>
      <c r="O2452" t="str">
        <f>INDEX(Products!C:C,MATCH(OrdersTable[[#This Row],[Product ID]],Products!A:A,0))</f>
        <v>Footwear</v>
      </c>
      <c r="P2452">
        <v>1</v>
      </c>
      <c r="Q2452" s="5">
        <v>999</v>
      </c>
      <c r="R2452" s="74">
        <v>0.05</v>
      </c>
      <c r="S2452" s="75">
        <f>OrdersTable[[#This Row],[Quantity]]*OrdersTable[[#This Row],[Unit Price]]</f>
        <v>999</v>
      </c>
      <c r="T2452" s="5">
        <f>OrdersTable[[#This Row],[Gross Sale]]*OrdersTable[[#This Row],[Discount_Clean2]]</f>
        <v>49.95</v>
      </c>
      <c r="U2452" s="5">
        <f>OrdersTable[[#This Row],[Gross Sale]]-OrdersTable[[#This Row],[Discount Amount]]</f>
        <v>949.05</v>
      </c>
      <c r="V2452" s="77">
        <f>INDEX(Products!E:E,MATCH(OrdersTable[[#This Row],[Product ID]],Products!A:A,0))</f>
        <v>400</v>
      </c>
      <c r="W2452" s="77">
        <f>OrdersTable[[#This Row],[Quantity]]*OrdersTable[[#This Row],[Unit Cost]]</f>
        <v>400</v>
      </c>
      <c r="X2452" s="77">
        <f>'Dropdown Lists'!$I$2*(1+OrdersTable[[#This Row],[Returned]])</f>
        <v>60</v>
      </c>
      <c r="Y2452" s="76">
        <f>OrdersTable[[#This Row],[Net Revenue]]-OrdersTable[[#This Row],[COGS]]-OrdersTable[[#This Row],[Shipping Cost]]</f>
        <v>489.04999999999995</v>
      </c>
      <c r="Z2452" s="78">
        <f>IFERROR(OrdersTable[[#This Row],[Profit]]/OrdersTable[[#This Row],[Net Revenue]],0)</f>
        <v>0.5153047784626732</v>
      </c>
      <c r="AA2452" t="s">
        <v>4450</v>
      </c>
      <c r="AB2452" s="79">
        <v>45709</v>
      </c>
      <c r="AC2452">
        <f>OrdersTable[[#This Row],[Delivery Date]]-OrdersTable[[#This Row],[Order Date]]</f>
        <v>3</v>
      </c>
      <c r="AD2452" t="str">
        <f>IF(OrdersTable[[#This Row],[Delivery Days]]&lt;=2, "Express (≤2d)", IF(OrdersTable[[#This Row],[Delivery Days]]&lt;=4, "Standard (3-4d)", "Delayed (5d+)"))</f>
        <v>Standard (3-4d)</v>
      </c>
      <c r="AF2452">
        <v>0</v>
      </c>
    </row>
    <row r="2453" spans="1:32" ht="15" x14ac:dyDescent="0.35">
      <c r="A2453" t="s">
        <v>4389</v>
      </c>
      <c r="B2453" s="1">
        <v>45706</v>
      </c>
      <c r="C2453">
        <f>YEAR(OrdersTable[[#This Row],[Order Date]])</f>
        <v>2025</v>
      </c>
      <c r="D2453" s="2">
        <f>DATE(YEAR(OrdersTable[[#This Row],[Order Date]]),MONTH(OrdersTable[[#This Row],[Order Date]]),1)</f>
        <v>45689</v>
      </c>
      <c r="E2453">
        <f>MONTH(OrdersTable[[#This Row],[Order Date]])</f>
        <v>2</v>
      </c>
      <c r="F2453" t="s">
        <v>582</v>
      </c>
      <c r="G2453" t="str">
        <f>IF(OrdersTable[[#This Row],[Order Date]]=_xlfn.MINIFS(Order_Date, Customer_ID, OrdersTable[[#This Row],[Customer ID]]), "New", "Repeat")</f>
        <v>Repeat</v>
      </c>
      <c r="H2453" t="s">
        <v>167</v>
      </c>
      <c r="I2453" t="str">
        <f>INDEX(State!B:B,MATCH(OrdersTable[[#This Row],[State]],State!A:A,0))</f>
        <v>KA</v>
      </c>
      <c r="J2453" t="str">
        <f>INDEX(State!C:C,MATCH(OrdersTable[[#This Row],[State Code]],State!B:B,0))</f>
        <v>South</v>
      </c>
      <c r="K2453" t="s">
        <v>168</v>
      </c>
      <c r="L2453" t="s">
        <v>16</v>
      </c>
      <c r="M2453" t="s">
        <v>34</v>
      </c>
      <c r="N2453" t="str">
        <f>INDEX(Products!B:B,MATCH(OrdersTable[[#This Row],[Product ID]],Products!A:A,0))</f>
        <v>Flip Flops</v>
      </c>
      <c r="O2453" t="str">
        <f>INDEX(Products!C:C,MATCH(OrdersTable[[#This Row],[Product ID]],Products!A:A,0))</f>
        <v>Footwear</v>
      </c>
      <c r="P2453">
        <v>1</v>
      </c>
      <c r="Q2453" s="5">
        <v>399</v>
      </c>
      <c r="R2453" s="74">
        <v>0.1</v>
      </c>
      <c r="S2453" s="75">
        <f>OrdersTable[[#This Row],[Quantity]]*OrdersTable[[#This Row],[Unit Price]]</f>
        <v>399</v>
      </c>
      <c r="T2453" s="5">
        <f>OrdersTable[[#This Row],[Gross Sale]]*OrdersTable[[#This Row],[Discount_Clean2]]</f>
        <v>39.900000000000006</v>
      </c>
      <c r="U2453" s="5">
        <f>OrdersTable[[#This Row],[Gross Sale]]-OrdersTable[[#This Row],[Discount Amount]]</f>
        <v>359.1</v>
      </c>
      <c r="V2453" s="77">
        <f>INDEX(Products!E:E,MATCH(OrdersTable[[#This Row],[Product ID]],Products!A:A,0))</f>
        <v>152</v>
      </c>
      <c r="W2453" s="77">
        <f>OrdersTable[[#This Row],[Quantity]]*OrdersTable[[#This Row],[Unit Cost]]</f>
        <v>152</v>
      </c>
      <c r="X2453" s="77">
        <f>'Dropdown Lists'!$I$2*(1+OrdersTable[[#This Row],[Returned]])</f>
        <v>60</v>
      </c>
      <c r="Y2453" s="76">
        <f>OrdersTable[[#This Row],[Net Revenue]]-OrdersTable[[#This Row],[COGS]]-OrdersTable[[#This Row],[Shipping Cost]]</f>
        <v>147.10000000000002</v>
      </c>
      <c r="Z2453" s="78">
        <f>IFERROR(OrdersTable[[#This Row],[Profit]]/OrdersTable[[#This Row],[Net Revenue]],0)</f>
        <v>0.40963519910888335</v>
      </c>
      <c r="AA2453" t="s">
        <v>4074</v>
      </c>
      <c r="AB2453" s="79">
        <v>45709</v>
      </c>
      <c r="AC2453">
        <f>OrdersTable[[#This Row],[Delivery Date]]-OrdersTable[[#This Row],[Order Date]]</f>
        <v>3</v>
      </c>
      <c r="AD2453" t="str">
        <f>IF(OrdersTable[[#This Row],[Delivery Days]]&lt;=2, "Express (≤2d)", IF(OrdersTable[[#This Row],[Delivery Days]]&lt;=4, "Standard (3-4d)", "Delayed (5d+)"))</f>
        <v>Standard (3-4d)</v>
      </c>
      <c r="AE2453">
        <v>4</v>
      </c>
      <c r="AF2453">
        <v>0</v>
      </c>
    </row>
    <row r="2454" spans="1:32" ht="15" x14ac:dyDescent="0.35">
      <c r="A2454" t="s">
        <v>4390</v>
      </c>
      <c r="B2454" s="1">
        <v>45706</v>
      </c>
      <c r="C2454">
        <f>YEAR(OrdersTable[[#This Row],[Order Date]])</f>
        <v>2025</v>
      </c>
      <c r="D2454" s="2">
        <f>DATE(YEAR(OrdersTable[[#This Row],[Order Date]]),MONTH(OrdersTable[[#This Row],[Order Date]]),1)</f>
        <v>45689</v>
      </c>
      <c r="E2454">
        <f>MONTH(OrdersTable[[#This Row],[Order Date]])</f>
        <v>2</v>
      </c>
      <c r="F2454" t="s">
        <v>4391</v>
      </c>
      <c r="G2454" t="str">
        <f>IF(OrdersTable[[#This Row],[Order Date]]=_xlfn.MINIFS(Order_Date, Customer_ID, OrdersTable[[#This Row],[Customer ID]]), "New", "Repeat")</f>
        <v>New</v>
      </c>
      <c r="H2454" t="s">
        <v>59</v>
      </c>
      <c r="I2454" t="str">
        <f>INDEX(State!B:B,MATCH(OrdersTable[[#This Row],[State]],State!A:A,0))</f>
        <v>TN</v>
      </c>
      <c r="J2454" t="str">
        <f>INDEX(State!C:C,MATCH(OrdersTable[[#This Row],[State Code]],State!B:B,0))</f>
        <v>South</v>
      </c>
      <c r="K2454" t="s">
        <v>64</v>
      </c>
      <c r="L2454" t="s">
        <v>16</v>
      </c>
      <c r="M2454" t="s">
        <v>255</v>
      </c>
      <c r="N2454" t="str">
        <f>INDEX(Products!B:B,MATCH(OrdersTable[[#This Row],[Product ID]],Products!A:A,0))</f>
        <v>Cotton Oversized T-Shirt</v>
      </c>
      <c r="O2454" t="str">
        <f>INDEX(Products!C:C,MATCH(OrdersTable[[#This Row],[Product ID]],Products!A:A,0))</f>
        <v>Apparel</v>
      </c>
      <c r="P2454">
        <v>1</v>
      </c>
      <c r="Q2454" s="5">
        <v>799</v>
      </c>
      <c r="R2454" s="74">
        <v>0</v>
      </c>
      <c r="S2454" s="75">
        <f>OrdersTable[[#This Row],[Quantity]]*OrdersTable[[#This Row],[Unit Price]]</f>
        <v>799</v>
      </c>
      <c r="T2454" s="5">
        <f>OrdersTable[[#This Row],[Gross Sale]]*OrdersTable[[#This Row],[Discount_Clean2]]</f>
        <v>0</v>
      </c>
      <c r="U2454" s="5">
        <f>OrdersTable[[#This Row],[Gross Sale]]-OrdersTable[[#This Row],[Discount Amount]]</f>
        <v>799</v>
      </c>
      <c r="V2454" s="77">
        <f>INDEX(Products!E:E,MATCH(OrdersTable[[#This Row],[Product ID]],Products!A:A,0))</f>
        <v>320</v>
      </c>
      <c r="W2454" s="77">
        <f>OrdersTable[[#This Row],[Quantity]]*OrdersTable[[#This Row],[Unit Cost]]</f>
        <v>320</v>
      </c>
      <c r="X2454" s="77">
        <f>'Dropdown Lists'!$I$2*(1+OrdersTable[[#This Row],[Returned]])</f>
        <v>60</v>
      </c>
      <c r="Y2454" s="76">
        <f>OrdersTable[[#This Row],[Net Revenue]]-OrdersTable[[#This Row],[COGS]]-OrdersTable[[#This Row],[Shipping Cost]]</f>
        <v>419</v>
      </c>
      <c r="Z2454" s="78">
        <f>IFERROR(OrdersTable[[#This Row],[Profit]]/OrdersTable[[#This Row],[Net Revenue]],0)</f>
        <v>0.52440550688360454</v>
      </c>
      <c r="AA2454" t="s">
        <v>4074</v>
      </c>
      <c r="AB2454" s="79">
        <v>45708</v>
      </c>
      <c r="AC2454">
        <f>OrdersTable[[#This Row],[Delivery Date]]-OrdersTable[[#This Row],[Order Date]]</f>
        <v>2</v>
      </c>
      <c r="AD2454" t="str">
        <f>IF(OrdersTable[[#This Row],[Delivery Days]]&lt;=2, "Express (≤2d)", IF(OrdersTable[[#This Row],[Delivery Days]]&lt;=4, "Standard (3-4d)", "Delayed (5d+)"))</f>
        <v>Express (≤2d)</v>
      </c>
      <c r="AE2454">
        <v>4</v>
      </c>
      <c r="AF2454">
        <v>0</v>
      </c>
    </row>
    <row r="2455" spans="1:32" ht="15" x14ac:dyDescent="0.35">
      <c r="A2455" t="s">
        <v>5395</v>
      </c>
      <c r="B2455" s="1">
        <v>45707</v>
      </c>
      <c r="C2455">
        <f>YEAR(OrdersTable[[#This Row],[Order Date]])</f>
        <v>2025</v>
      </c>
      <c r="D2455" s="2">
        <f>DATE(YEAR(OrdersTable[[#This Row],[Order Date]]),MONTH(OrdersTable[[#This Row],[Order Date]]),1)</f>
        <v>45689</v>
      </c>
      <c r="E2455">
        <f>MONTH(OrdersTable[[#This Row],[Order Date]])</f>
        <v>2</v>
      </c>
      <c r="F2455" t="s">
        <v>1095</v>
      </c>
      <c r="G2455" t="str">
        <f>IF(OrdersTable[[#This Row],[Order Date]]=_xlfn.MINIFS(Order_Date, Customer_ID, OrdersTable[[#This Row],[Customer ID]]), "New", "Repeat")</f>
        <v>Repeat</v>
      </c>
      <c r="H2455" t="s">
        <v>128</v>
      </c>
      <c r="I2455" t="str">
        <f>INDEX(State!B:B,MATCH(OrdersTable[[#This Row],[State]],State!A:A,0))</f>
        <v>DL</v>
      </c>
      <c r="J2455" t="str">
        <f>INDEX(State!C:C,MATCH(OrdersTable[[#This Row],[State Code]],State!B:B,0))</f>
        <v>North</v>
      </c>
      <c r="K2455" t="s">
        <v>129</v>
      </c>
      <c r="L2455" t="s">
        <v>50</v>
      </c>
      <c r="M2455" t="s">
        <v>73</v>
      </c>
      <c r="N2455" t="str">
        <f>INDEX(Products!B:B,MATCH(OrdersTable[[#This Row],[Product ID]],Products!A:A,0))</f>
        <v>Hydrating Face Wash</v>
      </c>
      <c r="O2455" t="str">
        <f>INDEX(Products!C:C,MATCH(OrdersTable[[#This Row],[Product ID]],Products!A:A,0))</f>
        <v>Skincare</v>
      </c>
      <c r="P2455">
        <v>2</v>
      </c>
      <c r="Q2455" s="5">
        <v>299</v>
      </c>
      <c r="R2455" s="74">
        <v>0</v>
      </c>
      <c r="S2455" s="75">
        <f>OrdersTable[[#This Row],[Quantity]]*OrdersTable[[#This Row],[Unit Price]]</f>
        <v>598</v>
      </c>
      <c r="T2455" s="5">
        <f>OrdersTable[[#This Row],[Gross Sale]]*OrdersTable[[#This Row],[Discount_Clean2]]</f>
        <v>0</v>
      </c>
      <c r="U2455" s="5">
        <f>OrdersTable[[#This Row],[Gross Sale]]-OrdersTable[[#This Row],[Discount Amount]]</f>
        <v>598</v>
      </c>
      <c r="V2455" s="77">
        <f>INDEX(Products!E:E,MATCH(OrdersTable[[#This Row],[Product ID]],Products!A:A,0))</f>
        <v>90</v>
      </c>
      <c r="W2455" s="77">
        <f>OrdersTable[[#This Row],[Quantity]]*OrdersTable[[#This Row],[Unit Cost]]</f>
        <v>180</v>
      </c>
      <c r="X2455" s="77">
        <f>'Dropdown Lists'!$I$2*(1+OrdersTable[[#This Row],[Returned]])</f>
        <v>120</v>
      </c>
      <c r="Y2455" s="76">
        <f>OrdersTable[[#This Row],[Net Revenue]]-OrdersTable[[#This Row],[COGS]]-OrdersTable[[#This Row],[Shipping Cost]]</f>
        <v>298</v>
      </c>
      <c r="Z2455" s="78">
        <f>IFERROR(OrdersTable[[#This Row],[Profit]]/OrdersTable[[#This Row],[Net Revenue]],0)</f>
        <v>0.49832775919732442</v>
      </c>
      <c r="AA2455" t="s">
        <v>2522</v>
      </c>
      <c r="AB2455" s="79">
        <v>45709</v>
      </c>
      <c r="AC2455">
        <f>OrdersTable[[#This Row],[Delivery Date]]-OrdersTable[[#This Row],[Order Date]]</f>
        <v>2</v>
      </c>
      <c r="AD2455" t="str">
        <f>IF(OrdersTable[[#This Row],[Delivery Days]]&lt;=2, "Express (≤2d)", IF(OrdersTable[[#This Row],[Delivery Days]]&lt;=4, "Standard (3-4d)", "Delayed (5d+)"))</f>
        <v>Express (≤2d)</v>
      </c>
      <c r="AE2455">
        <v>5</v>
      </c>
      <c r="AF2455">
        <v>1</v>
      </c>
    </row>
    <row r="2456" spans="1:32" ht="15" x14ac:dyDescent="0.35">
      <c r="A2456" t="s">
        <v>6153</v>
      </c>
      <c r="B2456" s="1">
        <v>45707</v>
      </c>
      <c r="C2456">
        <f>YEAR(OrdersTable[[#This Row],[Order Date]])</f>
        <v>2025</v>
      </c>
      <c r="D2456" s="2">
        <f>DATE(YEAR(OrdersTable[[#This Row],[Order Date]]),MONTH(OrdersTable[[#This Row],[Order Date]]),1)</f>
        <v>45689</v>
      </c>
      <c r="E2456">
        <f>MONTH(OrdersTable[[#This Row],[Order Date]])</f>
        <v>2</v>
      </c>
      <c r="F2456" t="s">
        <v>2986</v>
      </c>
      <c r="G2456" t="str">
        <f>IF(OrdersTable[[#This Row],[Order Date]]=_xlfn.MINIFS(Order_Date, Customer_ID, OrdersTable[[#This Row],[Customer ID]]), "New", "Repeat")</f>
        <v>Repeat</v>
      </c>
      <c r="H2456" t="s">
        <v>128</v>
      </c>
      <c r="I2456" t="str">
        <f>INDEX(State!B:B,MATCH(OrdersTable[[#This Row],[State]],State!A:A,0))</f>
        <v>DL</v>
      </c>
      <c r="J2456" t="str">
        <f>INDEX(State!C:C,MATCH(OrdersTable[[#This Row],[State Code]],State!B:B,0))</f>
        <v>North</v>
      </c>
      <c r="K2456" t="s">
        <v>129</v>
      </c>
      <c r="L2456" t="s">
        <v>50</v>
      </c>
      <c r="M2456" t="s">
        <v>56</v>
      </c>
      <c r="N2456" t="str">
        <f>INDEX(Products!B:B,MATCH(OrdersTable[[#This Row],[Product ID]],Products!A:A,0))</f>
        <v>Vitamin C Face Serum</v>
      </c>
      <c r="O2456" t="str">
        <f>INDEX(Products!C:C,MATCH(OrdersTable[[#This Row],[Product ID]],Products!A:A,0))</f>
        <v>Skincare</v>
      </c>
      <c r="P2456">
        <v>2</v>
      </c>
      <c r="Q2456" s="5">
        <v>599</v>
      </c>
      <c r="R2456" s="74">
        <v>0.1</v>
      </c>
      <c r="S2456" s="75">
        <f>OrdersTable[[#This Row],[Quantity]]*OrdersTable[[#This Row],[Unit Price]]</f>
        <v>1198</v>
      </c>
      <c r="T2456" s="5">
        <f>OrdersTable[[#This Row],[Gross Sale]]*OrdersTable[[#This Row],[Discount_Clean2]]</f>
        <v>119.80000000000001</v>
      </c>
      <c r="U2456" s="5">
        <f>OrdersTable[[#This Row],[Gross Sale]]-OrdersTable[[#This Row],[Discount Amount]]</f>
        <v>1078.2</v>
      </c>
      <c r="V2456" s="77">
        <f>INDEX(Products!E:E,MATCH(OrdersTable[[#This Row],[Product ID]],Products!A:A,0))</f>
        <v>180</v>
      </c>
      <c r="W2456" s="77">
        <f>OrdersTable[[#This Row],[Quantity]]*OrdersTable[[#This Row],[Unit Cost]]</f>
        <v>360</v>
      </c>
      <c r="X2456" s="77">
        <f>'Dropdown Lists'!$I$2*(1+OrdersTable[[#This Row],[Returned]])</f>
        <v>60</v>
      </c>
      <c r="Y2456" s="76">
        <f>OrdersTable[[#This Row],[Net Revenue]]-OrdersTable[[#This Row],[COGS]]-OrdersTable[[#This Row],[Shipping Cost]]</f>
        <v>658.2</v>
      </c>
      <c r="Z2456" s="78">
        <f>IFERROR(OrdersTable[[#This Row],[Profit]]/OrdersTable[[#This Row],[Net Revenue]],0)</f>
        <v>0.6104618809126322</v>
      </c>
      <c r="AA2456" t="s">
        <v>18</v>
      </c>
      <c r="AB2456" s="79">
        <v>45708</v>
      </c>
      <c r="AC2456">
        <f>OrdersTable[[#This Row],[Delivery Date]]-OrdersTable[[#This Row],[Order Date]]</f>
        <v>1</v>
      </c>
      <c r="AD2456" t="str">
        <f>IF(OrdersTable[[#This Row],[Delivery Days]]&lt;=2, "Express (≤2d)", IF(OrdersTable[[#This Row],[Delivery Days]]&lt;=4, "Standard (3-4d)", "Delayed (5d+)"))</f>
        <v>Express (≤2d)</v>
      </c>
      <c r="AE2456">
        <v>4</v>
      </c>
      <c r="AF2456">
        <v>0</v>
      </c>
    </row>
    <row r="2457" spans="1:32" ht="15" x14ac:dyDescent="0.35">
      <c r="A2457" t="s">
        <v>4392</v>
      </c>
      <c r="B2457" s="1">
        <v>45707</v>
      </c>
      <c r="C2457">
        <f>YEAR(OrdersTable[[#This Row],[Order Date]])</f>
        <v>2025</v>
      </c>
      <c r="D2457" s="2">
        <f>DATE(YEAR(OrdersTable[[#This Row],[Order Date]]),MONTH(OrdersTable[[#This Row],[Order Date]]),1)</f>
        <v>45689</v>
      </c>
      <c r="E2457">
        <f>MONTH(OrdersTable[[#This Row],[Order Date]])</f>
        <v>2</v>
      </c>
      <c r="F2457" t="s">
        <v>4393</v>
      </c>
      <c r="G2457" t="str">
        <f>IF(OrdersTable[[#This Row],[Order Date]]=_xlfn.MINIFS(Order_Date, Customer_ID, OrdersTable[[#This Row],[Customer ID]]), "New", "Repeat")</f>
        <v>New</v>
      </c>
      <c r="H2457" t="s">
        <v>76</v>
      </c>
      <c r="I2457" t="str">
        <f>INDEX(State!B:B,MATCH(OrdersTable[[#This Row],[State]],State!A:A,0))</f>
        <v>UP</v>
      </c>
      <c r="J2457" t="str">
        <f>INDEX(State!C:C,MATCH(OrdersTable[[#This Row],[State Code]],State!B:B,0))</f>
        <v>North</v>
      </c>
      <c r="K2457" t="s">
        <v>105</v>
      </c>
      <c r="L2457" t="s">
        <v>50</v>
      </c>
      <c r="M2457" t="s">
        <v>73</v>
      </c>
      <c r="N2457" t="str">
        <f>INDEX(Products!B:B,MATCH(OrdersTable[[#This Row],[Product ID]],Products!A:A,0))</f>
        <v>Hydrating Face Wash</v>
      </c>
      <c r="O2457" t="str">
        <f>INDEX(Products!C:C,MATCH(OrdersTable[[#This Row],[Product ID]],Products!A:A,0))</f>
        <v>Skincare</v>
      </c>
      <c r="P2457">
        <v>1</v>
      </c>
      <c r="Q2457" s="5">
        <v>299</v>
      </c>
      <c r="R2457" s="74">
        <v>0</v>
      </c>
      <c r="S2457" s="75">
        <f>OrdersTable[[#This Row],[Quantity]]*OrdersTable[[#This Row],[Unit Price]]</f>
        <v>299</v>
      </c>
      <c r="T2457" s="5">
        <f>OrdersTable[[#This Row],[Gross Sale]]*OrdersTable[[#This Row],[Discount_Clean2]]</f>
        <v>0</v>
      </c>
      <c r="U2457" s="5">
        <f>OrdersTable[[#This Row],[Gross Sale]]-OrdersTable[[#This Row],[Discount Amount]]</f>
        <v>299</v>
      </c>
      <c r="V2457" s="77">
        <f>INDEX(Products!E:E,MATCH(OrdersTable[[#This Row],[Product ID]],Products!A:A,0))</f>
        <v>90</v>
      </c>
      <c r="W2457" s="77">
        <f>OrdersTable[[#This Row],[Quantity]]*OrdersTable[[#This Row],[Unit Cost]]</f>
        <v>90</v>
      </c>
      <c r="X2457" s="77">
        <f>'Dropdown Lists'!$I$2*(1+OrdersTable[[#This Row],[Returned]])</f>
        <v>60</v>
      </c>
      <c r="Y2457" s="76">
        <f>OrdersTable[[#This Row],[Net Revenue]]-OrdersTable[[#This Row],[COGS]]-OrdersTable[[#This Row],[Shipping Cost]]</f>
        <v>149</v>
      </c>
      <c r="Z2457" s="78">
        <f>IFERROR(OrdersTable[[#This Row],[Profit]]/OrdersTable[[#This Row],[Net Revenue]],0)</f>
        <v>0.49832775919732442</v>
      </c>
      <c r="AA2457" t="s">
        <v>4074</v>
      </c>
      <c r="AB2457" s="79">
        <v>45711</v>
      </c>
      <c r="AC2457">
        <f>OrdersTable[[#This Row],[Delivery Date]]-OrdersTable[[#This Row],[Order Date]]</f>
        <v>4</v>
      </c>
      <c r="AD2457" t="str">
        <f>IF(OrdersTable[[#This Row],[Delivery Days]]&lt;=2, "Express (≤2d)", IF(OrdersTable[[#This Row],[Delivery Days]]&lt;=4, "Standard (3-4d)", "Delayed (5d+)"))</f>
        <v>Standard (3-4d)</v>
      </c>
      <c r="AE2457">
        <v>4</v>
      </c>
      <c r="AF2457">
        <v>0</v>
      </c>
    </row>
    <row r="2458" spans="1:32" ht="15" x14ac:dyDescent="0.35">
      <c r="A2458" t="s">
        <v>2788</v>
      </c>
      <c r="B2458" s="1">
        <v>45707</v>
      </c>
      <c r="C2458">
        <f>YEAR(OrdersTable[[#This Row],[Order Date]])</f>
        <v>2025</v>
      </c>
      <c r="D2458" s="2">
        <f>DATE(YEAR(OrdersTable[[#This Row],[Order Date]]),MONTH(OrdersTable[[#This Row],[Order Date]]),1)</f>
        <v>45689</v>
      </c>
      <c r="E2458">
        <f>MONTH(OrdersTable[[#This Row],[Order Date]])</f>
        <v>2</v>
      </c>
      <c r="F2458" t="s">
        <v>2789</v>
      </c>
      <c r="G2458" t="str">
        <f>IF(OrdersTable[[#This Row],[Order Date]]=_xlfn.MINIFS(Order_Date, Customer_ID, OrdersTable[[#This Row],[Customer ID]]), "New", "Repeat")</f>
        <v>New</v>
      </c>
      <c r="H2458" t="s">
        <v>482</v>
      </c>
      <c r="I2458" t="str">
        <f>INDEX(State!B:B,MATCH(OrdersTable[[#This Row],[State]],State!A:A,0))</f>
        <v>CG</v>
      </c>
      <c r="J2458" t="str">
        <f>INDEX(State!C:C,MATCH(OrdersTable[[#This Row],[State Code]],State!B:B,0))</f>
        <v>East</v>
      </c>
      <c r="K2458" t="s">
        <v>483</v>
      </c>
      <c r="L2458" t="s">
        <v>65</v>
      </c>
      <c r="M2458" t="s">
        <v>66</v>
      </c>
      <c r="N2458" t="str">
        <f>INDEX(Products!B:B,MATCH(OrdersTable[[#This Row],[Product ID]],Products!A:A,0))</f>
        <v>Sunscreen SPF 50</v>
      </c>
      <c r="O2458" t="str">
        <f>INDEX(Products!C:C,MATCH(OrdersTable[[#This Row],[Product ID]],Products!A:A,0))</f>
        <v>Skincare</v>
      </c>
      <c r="P2458">
        <v>1</v>
      </c>
      <c r="Q2458" s="5">
        <v>449</v>
      </c>
      <c r="R2458" s="74">
        <v>0.05</v>
      </c>
      <c r="S2458" s="75">
        <f>OrdersTable[[#This Row],[Quantity]]*OrdersTable[[#This Row],[Unit Price]]</f>
        <v>449</v>
      </c>
      <c r="T2458" s="5">
        <f>OrdersTable[[#This Row],[Gross Sale]]*OrdersTable[[#This Row],[Discount_Clean2]]</f>
        <v>22.450000000000003</v>
      </c>
      <c r="U2458" s="5">
        <f>OrdersTable[[#This Row],[Gross Sale]]-OrdersTable[[#This Row],[Discount Amount]]</f>
        <v>426.55</v>
      </c>
      <c r="V2458" s="77">
        <f>INDEX(Products!E:E,MATCH(OrdersTable[[#This Row],[Product ID]],Products!A:A,0))</f>
        <v>144</v>
      </c>
      <c r="W2458" s="77">
        <f>OrdersTable[[#This Row],[Quantity]]*OrdersTable[[#This Row],[Unit Cost]]</f>
        <v>144</v>
      </c>
      <c r="X2458" s="77">
        <f>'Dropdown Lists'!$I$2*(1+OrdersTable[[#This Row],[Returned]])</f>
        <v>60</v>
      </c>
      <c r="Y2458" s="76">
        <f>OrdersTable[[#This Row],[Net Revenue]]-OrdersTable[[#This Row],[COGS]]-OrdersTable[[#This Row],[Shipping Cost]]</f>
        <v>222.55</v>
      </c>
      <c r="Z2458" s="78">
        <f>IFERROR(OrdersTable[[#This Row],[Profit]]/OrdersTable[[#This Row],[Net Revenue]],0)</f>
        <v>0.52174422693705313</v>
      </c>
      <c r="AA2458" t="s">
        <v>2522</v>
      </c>
      <c r="AB2458" s="79">
        <v>45712</v>
      </c>
      <c r="AC2458">
        <f>OrdersTable[[#This Row],[Delivery Date]]-OrdersTable[[#This Row],[Order Date]]</f>
        <v>5</v>
      </c>
      <c r="AD2458" t="str">
        <f>IF(OrdersTable[[#This Row],[Delivery Days]]&lt;=2, "Express (≤2d)", IF(OrdersTable[[#This Row],[Delivery Days]]&lt;=4, "Standard (3-4d)", "Delayed (5d+)"))</f>
        <v>Delayed (5d+)</v>
      </c>
      <c r="AE2458">
        <v>3</v>
      </c>
      <c r="AF2458">
        <v>0</v>
      </c>
    </row>
    <row r="2459" spans="1:32" ht="15" x14ac:dyDescent="0.35">
      <c r="A2459" t="s">
        <v>1395</v>
      </c>
      <c r="B2459" s="1">
        <v>45707</v>
      </c>
      <c r="C2459">
        <f>YEAR(OrdersTable[[#This Row],[Order Date]])</f>
        <v>2025</v>
      </c>
      <c r="D2459" s="2">
        <f>DATE(YEAR(OrdersTable[[#This Row],[Order Date]]),MONTH(OrdersTable[[#This Row],[Order Date]]),1)</f>
        <v>45689</v>
      </c>
      <c r="E2459">
        <f>MONTH(OrdersTable[[#This Row],[Order Date]])</f>
        <v>2</v>
      </c>
      <c r="F2459" t="s">
        <v>1396</v>
      </c>
      <c r="G2459" t="str">
        <f>IF(OrdersTable[[#This Row],[Order Date]]=_xlfn.MINIFS(Order_Date, Customer_ID, OrdersTable[[#This Row],[Customer ID]]), "New", "Repeat")</f>
        <v>Repeat</v>
      </c>
      <c r="H2459" t="s">
        <v>71</v>
      </c>
      <c r="I2459" t="str">
        <f>INDEX(State!B:B,MATCH(OrdersTable[[#This Row],[State]],State!A:A,0))</f>
        <v>MH</v>
      </c>
      <c r="J2459" t="str">
        <f>INDEX(State!C:C,MATCH(OrdersTable[[#This Row],[State Code]],State!B:B,0))</f>
        <v>West</v>
      </c>
      <c r="K2459" t="s">
        <v>81</v>
      </c>
      <c r="L2459" t="s">
        <v>23</v>
      </c>
      <c r="M2459" t="s">
        <v>78</v>
      </c>
      <c r="N2459" t="str">
        <f>INDEX(Products!B:B,MATCH(OrdersTable[[#This Row],[Product ID]],Products!A:A,0))</f>
        <v>Retinol Night Cream</v>
      </c>
      <c r="O2459" t="str">
        <f>INDEX(Products!C:C,MATCH(OrdersTable[[#This Row],[Product ID]],Products!A:A,0))</f>
        <v>Skincare</v>
      </c>
      <c r="P2459">
        <v>1</v>
      </c>
      <c r="Q2459" s="5">
        <v>799</v>
      </c>
      <c r="R2459" s="74">
        <v>0.1</v>
      </c>
      <c r="S2459" s="75">
        <f>OrdersTable[[#This Row],[Quantity]]*OrdersTable[[#This Row],[Unit Price]]</f>
        <v>799</v>
      </c>
      <c r="T2459" s="5">
        <f>OrdersTable[[#This Row],[Gross Sale]]*OrdersTable[[#This Row],[Discount_Clean2]]</f>
        <v>79.900000000000006</v>
      </c>
      <c r="U2459" s="5">
        <f>OrdersTable[[#This Row],[Gross Sale]]-OrdersTable[[#This Row],[Discount Amount]]</f>
        <v>719.1</v>
      </c>
      <c r="V2459" s="77">
        <f>INDEX(Products!E:E,MATCH(OrdersTable[[#This Row],[Product ID]],Products!A:A,0))</f>
        <v>216</v>
      </c>
      <c r="W2459" s="77">
        <f>OrdersTable[[#This Row],[Quantity]]*OrdersTable[[#This Row],[Unit Cost]]</f>
        <v>216</v>
      </c>
      <c r="X2459" s="77">
        <f>'Dropdown Lists'!$I$2*(1+OrdersTable[[#This Row],[Returned]])</f>
        <v>60</v>
      </c>
      <c r="Y2459" s="76">
        <f>OrdersTable[[#This Row],[Net Revenue]]-OrdersTable[[#This Row],[COGS]]-OrdersTable[[#This Row],[Shipping Cost]]</f>
        <v>443.1</v>
      </c>
      <c r="Z2459" s="78">
        <f>IFERROR(OrdersTable[[#This Row],[Profit]]/OrdersTable[[#This Row],[Net Revenue]],0)</f>
        <v>0.61618690029203171</v>
      </c>
      <c r="AA2459" t="s">
        <v>18</v>
      </c>
      <c r="AB2459" s="79">
        <v>45709</v>
      </c>
      <c r="AC2459">
        <f>OrdersTable[[#This Row],[Delivery Date]]-OrdersTable[[#This Row],[Order Date]]</f>
        <v>2</v>
      </c>
      <c r="AD2459" t="str">
        <f>IF(OrdersTable[[#This Row],[Delivery Days]]&lt;=2, "Express (≤2d)", IF(OrdersTable[[#This Row],[Delivery Days]]&lt;=4, "Standard (3-4d)", "Delayed (5d+)"))</f>
        <v>Express (≤2d)</v>
      </c>
      <c r="AF2459">
        <v>0</v>
      </c>
    </row>
    <row r="2460" spans="1:32" ht="15" x14ac:dyDescent="0.35">
      <c r="A2460" t="s">
        <v>1955</v>
      </c>
      <c r="B2460" s="1">
        <v>45707</v>
      </c>
      <c r="C2460">
        <f>YEAR(OrdersTable[[#This Row],[Order Date]])</f>
        <v>2025</v>
      </c>
      <c r="D2460" s="2">
        <f>DATE(YEAR(OrdersTable[[#This Row],[Order Date]]),MONTH(OrdersTable[[#This Row],[Order Date]]),1)</f>
        <v>45689</v>
      </c>
      <c r="E2460">
        <f>MONTH(OrdersTable[[#This Row],[Order Date]])</f>
        <v>2</v>
      </c>
      <c r="F2460" t="s">
        <v>178</v>
      </c>
      <c r="G2460" t="str">
        <f>IF(OrdersTable[[#This Row],[Order Date]]=_xlfn.MINIFS(Order_Date, Customer_ID, OrdersTable[[#This Row],[Customer ID]]), "New", "Repeat")</f>
        <v>Repeat</v>
      </c>
      <c r="H2460" t="s">
        <v>71</v>
      </c>
      <c r="I2460" t="str">
        <f>INDEX(State!B:B,MATCH(OrdersTable[[#This Row],[State]],State!A:A,0))</f>
        <v>MH</v>
      </c>
      <c r="J2460" t="str">
        <f>INDEX(State!C:C,MATCH(OrdersTable[[#This Row],[State Code]],State!B:B,0))</f>
        <v>West</v>
      </c>
      <c r="K2460" t="s">
        <v>72</v>
      </c>
      <c r="L2460" t="s">
        <v>16</v>
      </c>
      <c r="M2460" t="s">
        <v>205</v>
      </c>
      <c r="N2460" t="str">
        <f>INDEX(Products!B:B,MATCH(OrdersTable[[#This Row],[Product ID]],Products!A:A,0))</f>
        <v>Running Shoes</v>
      </c>
      <c r="O2460" t="str">
        <f>INDEX(Products!C:C,MATCH(OrdersTable[[#This Row],[Product ID]],Products!A:A,0))</f>
        <v>Footwear</v>
      </c>
      <c r="P2460">
        <v>1</v>
      </c>
      <c r="Q2460" s="5">
        <v>2999</v>
      </c>
      <c r="R2460" s="74">
        <v>0.2</v>
      </c>
      <c r="S2460" s="75">
        <f>OrdersTable[[#This Row],[Quantity]]*OrdersTable[[#This Row],[Unit Price]]</f>
        <v>2999</v>
      </c>
      <c r="T2460" s="5">
        <f>OrdersTable[[#This Row],[Gross Sale]]*OrdersTable[[#This Row],[Discount_Clean2]]</f>
        <v>599.80000000000007</v>
      </c>
      <c r="U2460" s="5">
        <f>OrdersTable[[#This Row],[Gross Sale]]-OrdersTable[[#This Row],[Discount Amount]]</f>
        <v>2399.1999999999998</v>
      </c>
      <c r="V2460" s="77">
        <f>INDEX(Products!E:E,MATCH(OrdersTable[[#This Row],[Product ID]],Products!A:A,0))</f>
        <v>1440</v>
      </c>
      <c r="W2460" s="77">
        <f>OrdersTable[[#This Row],[Quantity]]*OrdersTable[[#This Row],[Unit Cost]]</f>
        <v>1440</v>
      </c>
      <c r="X2460" s="77">
        <f>'Dropdown Lists'!$I$2*(1+OrdersTable[[#This Row],[Returned]])</f>
        <v>60</v>
      </c>
      <c r="Y2460" s="76">
        <f>OrdersTable[[#This Row],[Net Revenue]]-OrdersTable[[#This Row],[COGS]]-OrdersTable[[#This Row],[Shipping Cost]]</f>
        <v>899.19999999999982</v>
      </c>
      <c r="Z2460" s="78">
        <f>IFERROR(OrdersTable[[#This Row],[Profit]]/OrdersTable[[#This Row],[Net Revenue]],0)</f>
        <v>0.3747915971990663</v>
      </c>
      <c r="AA2460" t="s">
        <v>18</v>
      </c>
      <c r="AB2460" s="79">
        <v>45708</v>
      </c>
      <c r="AC2460">
        <f>OrdersTable[[#This Row],[Delivery Date]]-OrdersTable[[#This Row],[Order Date]]</f>
        <v>1</v>
      </c>
      <c r="AD2460" t="str">
        <f>IF(OrdersTable[[#This Row],[Delivery Days]]&lt;=2, "Express (≤2d)", IF(OrdersTable[[#This Row],[Delivery Days]]&lt;=4, "Standard (3-4d)", "Delayed (5d+)"))</f>
        <v>Express (≤2d)</v>
      </c>
      <c r="AE2460">
        <v>3</v>
      </c>
      <c r="AF2460">
        <v>0</v>
      </c>
    </row>
    <row r="2461" spans="1:32" ht="15" x14ac:dyDescent="0.35">
      <c r="A2461" t="s">
        <v>583</v>
      </c>
      <c r="B2461" s="1">
        <v>45707</v>
      </c>
      <c r="C2461">
        <f>YEAR(OrdersTable[[#This Row],[Order Date]])</f>
        <v>2025</v>
      </c>
      <c r="D2461" s="2">
        <f>DATE(YEAR(OrdersTable[[#This Row],[Order Date]]),MONTH(OrdersTable[[#This Row],[Order Date]]),1)</f>
        <v>45689</v>
      </c>
      <c r="E2461">
        <f>MONTH(OrdersTable[[#This Row],[Order Date]])</f>
        <v>2</v>
      </c>
      <c r="F2461" t="s">
        <v>584</v>
      </c>
      <c r="G2461" t="str">
        <f>IF(OrdersTable[[#This Row],[Order Date]]=_xlfn.MINIFS(Order_Date, Customer_ID, OrdersTable[[#This Row],[Customer ID]]), "New", "Repeat")</f>
        <v>New</v>
      </c>
      <c r="H2461" t="s">
        <v>167</v>
      </c>
      <c r="I2461" t="str">
        <f>INDEX(State!B:B,MATCH(OrdersTable[[#This Row],[State]],State!A:A,0))</f>
        <v>KA</v>
      </c>
      <c r="J2461" t="str">
        <f>INDEX(State!C:C,MATCH(OrdersTable[[#This Row],[State Code]],State!B:B,0))</f>
        <v>South</v>
      </c>
      <c r="K2461" t="s">
        <v>190</v>
      </c>
      <c r="L2461" t="s">
        <v>39</v>
      </c>
      <c r="M2461" t="s">
        <v>73</v>
      </c>
      <c r="N2461" t="str">
        <f>INDEX(Products!B:B,MATCH(OrdersTable[[#This Row],[Product ID]],Products!A:A,0))</f>
        <v>Hydrating Face Wash</v>
      </c>
      <c r="O2461" t="str">
        <f>INDEX(Products!C:C,MATCH(OrdersTable[[#This Row],[Product ID]],Products!A:A,0))</f>
        <v>Skincare</v>
      </c>
      <c r="P2461">
        <v>1</v>
      </c>
      <c r="Q2461" s="5">
        <v>299</v>
      </c>
      <c r="R2461" s="74">
        <v>0.05</v>
      </c>
      <c r="S2461" s="75">
        <f>OrdersTable[[#This Row],[Quantity]]*OrdersTable[[#This Row],[Unit Price]]</f>
        <v>299</v>
      </c>
      <c r="T2461" s="5">
        <f>OrdersTable[[#This Row],[Gross Sale]]*OrdersTable[[#This Row],[Discount_Clean2]]</f>
        <v>14.950000000000001</v>
      </c>
      <c r="U2461" s="5">
        <f>OrdersTable[[#This Row],[Gross Sale]]-OrdersTable[[#This Row],[Discount Amount]]</f>
        <v>284.05</v>
      </c>
      <c r="V2461" s="77">
        <f>INDEX(Products!E:E,MATCH(OrdersTable[[#This Row],[Product ID]],Products!A:A,0))</f>
        <v>90</v>
      </c>
      <c r="W2461" s="77">
        <f>OrdersTable[[#This Row],[Quantity]]*OrdersTable[[#This Row],[Unit Cost]]</f>
        <v>90</v>
      </c>
      <c r="X2461" s="77">
        <f>'Dropdown Lists'!$I$2*(1+OrdersTable[[#This Row],[Returned]])</f>
        <v>60</v>
      </c>
      <c r="Y2461" s="76">
        <f>OrdersTable[[#This Row],[Net Revenue]]-OrdersTable[[#This Row],[COGS]]-OrdersTable[[#This Row],[Shipping Cost]]</f>
        <v>134.05000000000001</v>
      </c>
      <c r="Z2461" s="78">
        <f>IFERROR(OrdersTable[[#This Row],[Profit]]/OrdersTable[[#This Row],[Net Revenue]],0)</f>
        <v>0.47192395704981521</v>
      </c>
      <c r="AA2461" t="s">
        <v>18</v>
      </c>
      <c r="AB2461" s="79">
        <v>45709</v>
      </c>
      <c r="AC2461">
        <f>OrdersTable[[#This Row],[Delivery Date]]-OrdersTable[[#This Row],[Order Date]]</f>
        <v>2</v>
      </c>
      <c r="AD2461" t="str">
        <f>IF(OrdersTable[[#This Row],[Delivery Days]]&lt;=2, "Express (≤2d)", IF(OrdersTable[[#This Row],[Delivery Days]]&lt;=4, "Standard (3-4d)", "Delayed (5d+)"))</f>
        <v>Express (≤2d)</v>
      </c>
      <c r="AE2461">
        <v>4</v>
      </c>
      <c r="AF2461">
        <v>0</v>
      </c>
    </row>
    <row r="2462" spans="1:32" ht="15" x14ac:dyDescent="0.35">
      <c r="A2462" t="s">
        <v>5801</v>
      </c>
      <c r="B2462" s="1">
        <v>45707</v>
      </c>
      <c r="C2462">
        <f>YEAR(OrdersTable[[#This Row],[Order Date]])</f>
        <v>2025</v>
      </c>
      <c r="D2462" s="2">
        <f>DATE(YEAR(OrdersTable[[#This Row],[Order Date]]),MONTH(OrdersTable[[#This Row],[Order Date]]),1)</f>
        <v>45689</v>
      </c>
      <c r="E2462">
        <f>MONTH(OrdersTable[[#This Row],[Order Date]])</f>
        <v>2</v>
      </c>
      <c r="F2462" t="s">
        <v>3654</v>
      </c>
      <c r="G2462" t="str">
        <f>IF(OrdersTable[[#This Row],[Order Date]]=_xlfn.MINIFS(Order_Date, Customer_ID, OrdersTable[[#This Row],[Customer ID]]), "New", "Repeat")</f>
        <v>New</v>
      </c>
      <c r="H2462" t="s">
        <v>59</v>
      </c>
      <c r="I2462" t="str">
        <f>INDEX(State!B:B,MATCH(OrdersTable[[#This Row],[State]],State!A:A,0))</f>
        <v>TN</v>
      </c>
      <c r="J2462" t="str">
        <f>INDEX(State!C:C,MATCH(OrdersTable[[#This Row],[State Code]],State!B:B,0))</f>
        <v>South</v>
      </c>
      <c r="K2462" t="s">
        <v>60</v>
      </c>
      <c r="L2462" t="s">
        <v>23</v>
      </c>
      <c r="M2462" t="s">
        <v>56</v>
      </c>
      <c r="N2462" t="str">
        <f>INDEX(Products!B:B,MATCH(OrdersTable[[#This Row],[Product ID]],Products!A:A,0))</f>
        <v>Vitamin C Face Serum</v>
      </c>
      <c r="O2462" t="str">
        <f>INDEX(Products!C:C,MATCH(OrdersTable[[#This Row],[Product ID]],Products!A:A,0))</f>
        <v>Skincare</v>
      </c>
      <c r="P2462">
        <v>2</v>
      </c>
      <c r="Q2462" s="5">
        <v>599</v>
      </c>
      <c r="R2462" s="74">
        <v>0.15</v>
      </c>
      <c r="S2462" s="75">
        <f>OrdersTable[[#This Row],[Quantity]]*OrdersTable[[#This Row],[Unit Price]]</f>
        <v>1198</v>
      </c>
      <c r="T2462" s="5">
        <f>OrdersTable[[#This Row],[Gross Sale]]*OrdersTable[[#This Row],[Discount_Clean2]]</f>
        <v>179.7</v>
      </c>
      <c r="U2462" s="5">
        <f>OrdersTable[[#This Row],[Gross Sale]]-OrdersTable[[#This Row],[Discount Amount]]</f>
        <v>1018.3</v>
      </c>
      <c r="V2462" s="77">
        <f>INDEX(Products!E:E,MATCH(OrdersTable[[#This Row],[Product ID]],Products!A:A,0))</f>
        <v>180</v>
      </c>
      <c r="W2462" s="77">
        <f>OrdersTable[[#This Row],[Quantity]]*OrdersTable[[#This Row],[Unit Cost]]</f>
        <v>360</v>
      </c>
      <c r="X2462" s="77">
        <f>'Dropdown Lists'!$I$2*(1+OrdersTable[[#This Row],[Returned]])</f>
        <v>60</v>
      </c>
      <c r="Y2462" s="76">
        <f>OrdersTable[[#This Row],[Net Revenue]]-OrdersTable[[#This Row],[COGS]]-OrdersTable[[#This Row],[Shipping Cost]]</f>
        <v>598.29999999999995</v>
      </c>
      <c r="Z2462" s="78">
        <f>IFERROR(OrdersTable[[#This Row],[Profit]]/OrdersTable[[#This Row],[Net Revenue]],0)</f>
        <v>0.58754787390749286</v>
      </c>
      <c r="AA2462" t="s">
        <v>18</v>
      </c>
      <c r="AB2462" s="79">
        <v>45709</v>
      </c>
      <c r="AC2462">
        <f>OrdersTable[[#This Row],[Delivery Date]]-OrdersTable[[#This Row],[Order Date]]</f>
        <v>2</v>
      </c>
      <c r="AD2462" t="str">
        <f>IF(OrdersTable[[#This Row],[Delivery Days]]&lt;=2, "Express (≤2d)", IF(OrdersTable[[#This Row],[Delivery Days]]&lt;=4, "Standard (3-4d)", "Delayed (5d+)"))</f>
        <v>Express (≤2d)</v>
      </c>
      <c r="AE2462">
        <v>5</v>
      </c>
      <c r="AF2462">
        <v>0</v>
      </c>
    </row>
    <row r="2463" spans="1:32" ht="15" x14ac:dyDescent="0.35">
      <c r="A2463" t="s">
        <v>4825</v>
      </c>
      <c r="B2463" s="1">
        <v>45708</v>
      </c>
      <c r="C2463">
        <f>YEAR(OrdersTable[[#This Row],[Order Date]])</f>
        <v>2025</v>
      </c>
      <c r="D2463" s="2">
        <f>DATE(YEAR(OrdersTable[[#This Row],[Order Date]]),MONTH(OrdersTable[[#This Row],[Order Date]]),1)</f>
        <v>45689</v>
      </c>
      <c r="E2463">
        <f>MONTH(OrdersTable[[#This Row],[Order Date]])</f>
        <v>2</v>
      </c>
      <c r="F2463" t="s">
        <v>4826</v>
      </c>
      <c r="G2463" t="str">
        <f>IF(OrdersTable[[#This Row],[Order Date]]=_xlfn.MINIFS(Order_Date, Customer_ID, OrdersTable[[#This Row],[Customer ID]]), "New", "Repeat")</f>
        <v>New</v>
      </c>
      <c r="H2463" t="s">
        <v>76</v>
      </c>
      <c r="I2463" t="str">
        <f>INDEX(State!B:B,MATCH(OrdersTable[[#This Row],[State]],State!A:A,0))</f>
        <v>UP</v>
      </c>
      <c r="J2463" t="str">
        <f>INDEX(State!C:C,MATCH(OrdersTable[[#This Row],[State Code]],State!B:B,0))</f>
        <v>North</v>
      </c>
      <c r="K2463" t="s">
        <v>105</v>
      </c>
      <c r="L2463" t="s">
        <v>65</v>
      </c>
      <c r="M2463" t="s">
        <v>152</v>
      </c>
      <c r="N2463" t="str">
        <f>INDEX(Products!B:B,MATCH(OrdersTable[[#This Row],[Product ID]],Products!A:A,0))</f>
        <v>Green Tea (100 bags)</v>
      </c>
      <c r="O2463" t="str">
        <f>INDEX(Products!C:C,MATCH(OrdersTable[[#This Row],[Product ID]],Products!A:A,0))</f>
        <v>Wellness</v>
      </c>
      <c r="P2463">
        <v>2</v>
      </c>
      <c r="Q2463" s="5">
        <v>399</v>
      </c>
      <c r="R2463" s="74">
        <v>0.35</v>
      </c>
      <c r="S2463" s="75">
        <f>OrdersTable[[#This Row],[Quantity]]*OrdersTable[[#This Row],[Unit Price]]</f>
        <v>798</v>
      </c>
      <c r="T2463" s="5">
        <f>OrdersTable[[#This Row],[Gross Sale]]*OrdersTable[[#This Row],[Discount_Clean2]]</f>
        <v>279.29999999999995</v>
      </c>
      <c r="U2463" s="5">
        <f>OrdersTable[[#This Row],[Gross Sale]]-OrdersTable[[#This Row],[Discount Amount]]</f>
        <v>518.70000000000005</v>
      </c>
      <c r="V2463" s="77">
        <f>INDEX(Products!E:E,MATCH(OrdersTable[[#This Row],[Product ID]],Products!A:A,0))</f>
        <v>128</v>
      </c>
      <c r="W2463" s="77">
        <f>OrdersTable[[#This Row],[Quantity]]*OrdersTable[[#This Row],[Unit Cost]]</f>
        <v>256</v>
      </c>
      <c r="X2463" s="77">
        <f>'Dropdown Lists'!$I$2*(1+OrdersTable[[#This Row],[Returned]])</f>
        <v>60</v>
      </c>
      <c r="Y2463" s="76">
        <f>OrdersTable[[#This Row],[Net Revenue]]-OrdersTable[[#This Row],[COGS]]-OrdersTable[[#This Row],[Shipping Cost]]</f>
        <v>202.70000000000005</v>
      </c>
      <c r="Z2463" s="78">
        <f>IFERROR(OrdersTable[[#This Row],[Profit]]/OrdersTable[[#This Row],[Net Revenue]],0)</f>
        <v>0.39078465394254874</v>
      </c>
      <c r="AA2463" t="s">
        <v>4450</v>
      </c>
      <c r="AB2463" s="79">
        <v>45711</v>
      </c>
      <c r="AC2463">
        <f>OrdersTable[[#This Row],[Delivery Date]]-OrdersTable[[#This Row],[Order Date]]</f>
        <v>3</v>
      </c>
      <c r="AD2463" t="str">
        <f>IF(OrdersTable[[#This Row],[Delivery Days]]&lt;=2, "Express (≤2d)", IF(OrdersTable[[#This Row],[Delivery Days]]&lt;=4, "Standard (3-4d)", "Delayed (5d+)"))</f>
        <v>Standard (3-4d)</v>
      </c>
      <c r="AE2463">
        <v>4</v>
      </c>
      <c r="AF2463">
        <v>0</v>
      </c>
    </row>
    <row r="2464" spans="1:32" ht="15" x14ac:dyDescent="0.35">
      <c r="A2464" t="s">
        <v>5172</v>
      </c>
      <c r="B2464" s="1">
        <v>45708</v>
      </c>
      <c r="C2464">
        <f>YEAR(OrdersTable[[#This Row],[Order Date]])</f>
        <v>2025</v>
      </c>
      <c r="D2464" s="2">
        <f>DATE(YEAR(OrdersTable[[#This Row],[Order Date]]),MONTH(OrdersTable[[#This Row],[Order Date]]),1)</f>
        <v>45689</v>
      </c>
      <c r="E2464">
        <f>MONTH(OrdersTable[[#This Row],[Order Date]])</f>
        <v>2</v>
      </c>
      <c r="F2464" t="s">
        <v>2813</v>
      </c>
      <c r="G2464" t="str">
        <f>IF(OrdersTable[[#This Row],[Order Date]]=_xlfn.MINIFS(Order_Date, Customer_ID, OrdersTable[[#This Row],[Customer ID]]), "New", "Repeat")</f>
        <v>New</v>
      </c>
      <c r="H2464" t="s">
        <v>43</v>
      </c>
      <c r="I2464" t="str">
        <f>INDEX(State!B:B,MATCH(OrdersTable[[#This Row],[State]],State!A:A,0))</f>
        <v>MP</v>
      </c>
      <c r="J2464" t="str">
        <f>INDEX(State!C:C,MATCH(OrdersTable[[#This Row],[State Code]],State!B:B,0))</f>
        <v>West</v>
      </c>
      <c r="K2464" t="s">
        <v>250</v>
      </c>
      <c r="L2464" t="s">
        <v>50</v>
      </c>
      <c r="M2464" t="s">
        <v>109</v>
      </c>
      <c r="N2464" t="str">
        <f>INDEX(Products!B:B,MATCH(OrdersTable[[#This Row],[Product ID]],Products!A:A,0))</f>
        <v>Onion Hair Oil</v>
      </c>
      <c r="O2464" t="str">
        <f>INDEX(Products!C:C,MATCH(OrdersTable[[#This Row],[Product ID]],Products!A:A,0))</f>
        <v>Haircare</v>
      </c>
      <c r="P2464">
        <v>2</v>
      </c>
      <c r="Q2464" s="5">
        <v>349</v>
      </c>
      <c r="R2464" s="74">
        <v>0.4</v>
      </c>
      <c r="S2464" s="75">
        <f>OrdersTable[[#This Row],[Quantity]]*OrdersTable[[#This Row],[Unit Price]]</f>
        <v>698</v>
      </c>
      <c r="T2464" s="5">
        <f>OrdersTable[[#This Row],[Gross Sale]]*OrdersTable[[#This Row],[Discount_Clean2]]</f>
        <v>279.2</v>
      </c>
      <c r="U2464" s="5">
        <f>OrdersTable[[#This Row],[Gross Sale]]-OrdersTable[[#This Row],[Discount Amount]]</f>
        <v>418.8</v>
      </c>
      <c r="V2464" s="77">
        <f>INDEX(Products!E:E,MATCH(OrdersTable[[#This Row],[Product ID]],Products!A:A,0))</f>
        <v>105</v>
      </c>
      <c r="W2464" s="77">
        <f>OrdersTable[[#This Row],[Quantity]]*OrdersTable[[#This Row],[Unit Cost]]</f>
        <v>210</v>
      </c>
      <c r="X2464" s="77">
        <f>'Dropdown Lists'!$I$2*(1+OrdersTable[[#This Row],[Returned]])</f>
        <v>60</v>
      </c>
      <c r="Y2464" s="76">
        <f>OrdersTable[[#This Row],[Net Revenue]]-OrdersTable[[#This Row],[COGS]]-OrdersTable[[#This Row],[Shipping Cost]]</f>
        <v>148.80000000000001</v>
      </c>
      <c r="Z2464" s="78">
        <f>IFERROR(OrdersTable[[#This Row],[Profit]]/OrdersTable[[#This Row],[Net Revenue]],0)</f>
        <v>0.35530085959885388</v>
      </c>
      <c r="AA2464" t="s">
        <v>3495</v>
      </c>
      <c r="AB2464" s="79">
        <v>45711</v>
      </c>
      <c r="AC2464">
        <f>OrdersTable[[#This Row],[Delivery Date]]-OrdersTable[[#This Row],[Order Date]]</f>
        <v>3</v>
      </c>
      <c r="AD2464" t="str">
        <f>IF(OrdersTable[[#This Row],[Delivery Days]]&lt;=2, "Express (≤2d)", IF(OrdersTable[[#This Row],[Delivery Days]]&lt;=4, "Standard (3-4d)", "Delayed (5d+)"))</f>
        <v>Standard (3-4d)</v>
      </c>
      <c r="AE2464">
        <v>3</v>
      </c>
      <c r="AF2464">
        <v>0</v>
      </c>
    </row>
    <row r="2465" spans="1:32" ht="15" x14ac:dyDescent="0.35">
      <c r="A2465" t="s">
        <v>1956</v>
      </c>
      <c r="B2465" s="1">
        <v>45708</v>
      </c>
      <c r="C2465">
        <f>YEAR(OrdersTable[[#This Row],[Order Date]])</f>
        <v>2025</v>
      </c>
      <c r="D2465" s="2">
        <f>DATE(YEAR(OrdersTable[[#This Row],[Order Date]]),MONTH(OrdersTable[[#This Row],[Order Date]]),1)</f>
        <v>45689</v>
      </c>
      <c r="E2465">
        <f>MONTH(OrdersTable[[#This Row],[Order Date]])</f>
        <v>2</v>
      </c>
      <c r="F2465" t="s">
        <v>1957</v>
      </c>
      <c r="G2465" t="str">
        <f>IF(OrdersTable[[#This Row],[Order Date]]=_xlfn.MINIFS(Order_Date, Customer_ID, OrdersTable[[#This Row],[Customer ID]]), "New", "Repeat")</f>
        <v>New</v>
      </c>
      <c r="H2465" t="s">
        <v>59</v>
      </c>
      <c r="I2465" t="str">
        <f>INDEX(State!B:B,MATCH(OrdersTable[[#This Row],[State]],State!A:A,0))</f>
        <v>TN</v>
      </c>
      <c r="J2465" t="str">
        <f>INDEX(State!C:C,MATCH(OrdersTable[[#This Row],[State Code]],State!B:B,0))</f>
        <v>South</v>
      </c>
      <c r="K2465" t="s">
        <v>60</v>
      </c>
      <c r="L2465" t="s">
        <v>23</v>
      </c>
      <c r="M2465" t="s">
        <v>152</v>
      </c>
      <c r="N2465" t="str">
        <f>INDEX(Products!B:B,MATCH(OrdersTable[[#This Row],[Product ID]],Products!A:A,0))</f>
        <v>Green Tea (100 bags)</v>
      </c>
      <c r="O2465" t="str">
        <f>INDEX(Products!C:C,MATCH(OrdersTable[[#This Row],[Product ID]],Products!A:A,0))</f>
        <v>Wellness</v>
      </c>
      <c r="P2465">
        <v>1</v>
      </c>
      <c r="Q2465" s="5">
        <v>399</v>
      </c>
      <c r="R2465" s="74">
        <v>0.35</v>
      </c>
      <c r="S2465" s="75">
        <f>OrdersTable[[#This Row],[Quantity]]*OrdersTable[[#This Row],[Unit Price]]</f>
        <v>399</v>
      </c>
      <c r="T2465" s="5">
        <f>OrdersTable[[#This Row],[Gross Sale]]*OrdersTable[[#This Row],[Discount_Clean2]]</f>
        <v>139.64999999999998</v>
      </c>
      <c r="U2465" s="5">
        <f>OrdersTable[[#This Row],[Gross Sale]]-OrdersTable[[#This Row],[Discount Amount]]</f>
        <v>259.35000000000002</v>
      </c>
      <c r="V2465" s="77">
        <f>INDEX(Products!E:E,MATCH(OrdersTable[[#This Row],[Product ID]],Products!A:A,0))</f>
        <v>128</v>
      </c>
      <c r="W2465" s="77">
        <f>OrdersTable[[#This Row],[Quantity]]*OrdersTable[[#This Row],[Unit Cost]]</f>
        <v>128</v>
      </c>
      <c r="X2465" s="77">
        <f>'Dropdown Lists'!$I$2*(1+OrdersTable[[#This Row],[Returned]])</f>
        <v>60</v>
      </c>
      <c r="Y2465" s="76">
        <f>OrdersTable[[#This Row],[Net Revenue]]-OrdersTable[[#This Row],[COGS]]-OrdersTable[[#This Row],[Shipping Cost]]</f>
        <v>71.350000000000023</v>
      </c>
      <c r="Z2465" s="78">
        <f>IFERROR(OrdersTable[[#This Row],[Profit]]/OrdersTable[[#This Row],[Net Revenue]],0)</f>
        <v>0.27511085405822255</v>
      </c>
      <c r="AA2465" t="s">
        <v>18</v>
      </c>
      <c r="AB2465" s="79">
        <v>45709</v>
      </c>
      <c r="AC2465">
        <f>OrdersTable[[#This Row],[Delivery Date]]-OrdersTable[[#This Row],[Order Date]]</f>
        <v>1</v>
      </c>
      <c r="AD2465" t="str">
        <f>IF(OrdersTable[[#This Row],[Delivery Days]]&lt;=2, "Express (≤2d)", IF(OrdersTable[[#This Row],[Delivery Days]]&lt;=4, "Standard (3-4d)", "Delayed (5d+)"))</f>
        <v>Express (≤2d)</v>
      </c>
      <c r="AE2465">
        <v>3</v>
      </c>
      <c r="AF2465">
        <v>0</v>
      </c>
    </row>
    <row r="2466" spans="1:32" ht="15" x14ac:dyDescent="0.35">
      <c r="A2466" t="s">
        <v>5396</v>
      </c>
      <c r="B2466" s="1">
        <v>45709</v>
      </c>
      <c r="C2466">
        <f>YEAR(OrdersTable[[#This Row],[Order Date]])</f>
        <v>2025</v>
      </c>
      <c r="D2466" s="2">
        <f>DATE(YEAR(OrdersTable[[#This Row],[Order Date]]),MONTH(OrdersTable[[#This Row],[Order Date]]),1)</f>
        <v>45689</v>
      </c>
      <c r="E2466">
        <f>MONTH(OrdersTable[[#This Row],[Order Date]])</f>
        <v>2</v>
      </c>
      <c r="F2466" t="s">
        <v>5397</v>
      </c>
      <c r="G2466" t="str">
        <f>IF(OrdersTable[[#This Row],[Order Date]]=_xlfn.MINIFS(Order_Date, Customer_ID, OrdersTable[[#This Row],[Customer ID]]), "New", "Repeat")</f>
        <v>New</v>
      </c>
      <c r="H2466" t="s">
        <v>21</v>
      </c>
      <c r="I2466" t="str">
        <f>INDEX(State!B:B,MATCH(OrdersTable[[#This Row],[State]],State!A:A,0))</f>
        <v>PB</v>
      </c>
      <c r="J2466" t="str">
        <f>INDEX(State!C:C,MATCH(OrdersTable[[#This Row],[State Code]],State!B:B,0))</f>
        <v>North</v>
      </c>
      <c r="K2466" t="s">
        <v>22</v>
      </c>
      <c r="L2466" t="s">
        <v>16</v>
      </c>
      <c r="M2466" t="s">
        <v>576</v>
      </c>
      <c r="N2466" t="str">
        <f>INDEX(Products!B:B,MATCH(OrdersTable[[#This Row],[Product ID]],Products!A:A,0))</f>
        <v>Printed Saree</v>
      </c>
      <c r="O2466" t="str">
        <f>INDEX(Products!C:C,MATCH(OrdersTable[[#This Row],[Product ID]],Products!A:A,0))</f>
        <v>Apparel</v>
      </c>
      <c r="P2466">
        <v>2</v>
      </c>
      <c r="Q2466" s="5">
        <v>1999</v>
      </c>
      <c r="R2466" s="74">
        <v>0.15</v>
      </c>
      <c r="S2466" s="75">
        <f>OrdersTable[[#This Row],[Quantity]]*OrdersTable[[#This Row],[Unit Price]]</f>
        <v>3998</v>
      </c>
      <c r="T2466" s="5">
        <f>OrdersTable[[#This Row],[Gross Sale]]*OrdersTable[[#This Row],[Discount_Clean2]]</f>
        <v>599.69999999999993</v>
      </c>
      <c r="U2466" s="5">
        <f>OrdersTable[[#This Row],[Gross Sale]]-OrdersTable[[#This Row],[Discount Amount]]</f>
        <v>3398.3</v>
      </c>
      <c r="V2466" s="77">
        <f>INDEX(Products!E:E,MATCH(OrdersTable[[#This Row],[Product ID]],Products!A:A,0))</f>
        <v>880</v>
      </c>
      <c r="W2466" s="77">
        <f>OrdersTable[[#This Row],[Quantity]]*OrdersTable[[#This Row],[Unit Cost]]</f>
        <v>1760</v>
      </c>
      <c r="X2466" s="77">
        <f>'Dropdown Lists'!$I$2*(1+OrdersTable[[#This Row],[Returned]])</f>
        <v>60</v>
      </c>
      <c r="Y2466" s="76">
        <f>OrdersTable[[#This Row],[Net Revenue]]-OrdersTable[[#This Row],[COGS]]-OrdersTable[[#This Row],[Shipping Cost]]</f>
        <v>1578.3000000000002</v>
      </c>
      <c r="Z2466" s="78">
        <f>IFERROR(OrdersTable[[#This Row],[Profit]]/OrdersTable[[#This Row],[Net Revenue]],0)</f>
        <v>0.464438101403643</v>
      </c>
      <c r="AA2466" t="s">
        <v>2522</v>
      </c>
      <c r="AB2466" s="79">
        <v>45713</v>
      </c>
      <c r="AC2466">
        <f>OrdersTable[[#This Row],[Delivery Date]]-OrdersTable[[#This Row],[Order Date]]</f>
        <v>4</v>
      </c>
      <c r="AD2466" t="str">
        <f>IF(OrdersTable[[#This Row],[Delivery Days]]&lt;=2, "Express (≤2d)", IF(OrdersTable[[#This Row],[Delivery Days]]&lt;=4, "Standard (3-4d)", "Delayed (5d+)"))</f>
        <v>Standard (3-4d)</v>
      </c>
      <c r="AE2466">
        <v>5</v>
      </c>
      <c r="AF2466">
        <v>0</v>
      </c>
    </row>
    <row r="2467" spans="1:32" ht="15" x14ac:dyDescent="0.35">
      <c r="A2467" t="s">
        <v>3021</v>
      </c>
      <c r="B2467" s="1">
        <v>45709</v>
      </c>
      <c r="C2467">
        <f>YEAR(OrdersTable[[#This Row],[Order Date]])</f>
        <v>2025</v>
      </c>
      <c r="D2467" s="2">
        <f>DATE(YEAR(OrdersTable[[#This Row],[Order Date]]),MONTH(OrdersTable[[#This Row],[Order Date]]),1)</f>
        <v>45689</v>
      </c>
      <c r="E2467">
        <f>MONTH(OrdersTable[[#This Row],[Order Date]])</f>
        <v>2</v>
      </c>
      <c r="F2467" t="s">
        <v>3022</v>
      </c>
      <c r="G2467" t="str">
        <f>IF(OrdersTable[[#This Row],[Order Date]]=_xlfn.MINIFS(Order_Date, Customer_ID, OrdersTable[[#This Row],[Customer ID]]), "New", "Repeat")</f>
        <v>Repeat</v>
      </c>
      <c r="H2467" t="s">
        <v>21</v>
      </c>
      <c r="I2467" t="str">
        <f>INDEX(State!B:B,MATCH(OrdersTable[[#This Row],[State]],State!A:A,0))</f>
        <v>PB</v>
      </c>
      <c r="J2467" t="str">
        <f>INDEX(State!C:C,MATCH(OrdersTable[[#This Row],[State Code]],State!B:B,0))</f>
        <v>North</v>
      </c>
      <c r="K2467" t="s">
        <v>260</v>
      </c>
      <c r="L2467" t="s">
        <v>39</v>
      </c>
      <c r="M2467" t="s">
        <v>78</v>
      </c>
      <c r="N2467" t="str">
        <f>INDEX(Products!B:B,MATCH(OrdersTable[[#This Row],[Product ID]],Products!A:A,0))</f>
        <v>Retinol Night Cream</v>
      </c>
      <c r="O2467" t="str">
        <f>INDEX(Products!C:C,MATCH(OrdersTable[[#This Row],[Product ID]],Products!A:A,0))</f>
        <v>Skincare</v>
      </c>
      <c r="P2467">
        <v>1</v>
      </c>
      <c r="Q2467" s="5">
        <v>799</v>
      </c>
      <c r="R2467" s="74">
        <v>0</v>
      </c>
      <c r="S2467" s="75">
        <f>OrdersTable[[#This Row],[Quantity]]*OrdersTable[[#This Row],[Unit Price]]</f>
        <v>799</v>
      </c>
      <c r="T2467" s="5">
        <f>OrdersTable[[#This Row],[Gross Sale]]*OrdersTable[[#This Row],[Discount_Clean2]]</f>
        <v>0</v>
      </c>
      <c r="U2467" s="5">
        <f>OrdersTable[[#This Row],[Gross Sale]]-OrdersTable[[#This Row],[Discount Amount]]</f>
        <v>799</v>
      </c>
      <c r="V2467" s="77">
        <f>INDEX(Products!E:E,MATCH(OrdersTable[[#This Row],[Product ID]],Products!A:A,0))</f>
        <v>216</v>
      </c>
      <c r="W2467" s="77">
        <f>OrdersTable[[#This Row],[Quantity]]*OrdersTable[[#This Row],[Unit Cost]]</f>
        <v>216</v>
      </c>
      <c r="X2467" s="77">
        <f>'Dropdown Lists'!$I$2*(1+OrdersTable[[#This Row],[Returned]])</f>
        <v>60</v>
      </c>
      <c r="Y2467" s="76">
        <f>OrdersTable[[#This Row],[Net Revenue]]-OrdersTable[[#This Row],[COGS]]-OrdersTable[[#This Row],[Shipping Cost]]</f>
        <v>523</v>
      </c>
      <c r="Z2467" s="78">
        <f>IFERROR(OrdersTable[[#This Row],[Profit]]/OrdersTable[[#This Row],[Net Revenue]],0)</f>
        <v>0.65456821026282852</v>
      </c>
      <c r="AA2467" t="s">
        <v>2522</v>
      </c>
      <c r="AB2467" s="79">
        <v>45712</v>
      </c>
      <c r="AC2467">
        <f>OrdersTable[[#This Row],[Delivery Date]]-OrdersTable[[#This Row],[Order Date]]</f>
        <v>3</v>
      </c>
      <c r="AD2467" t="str">
        <f>IF(OrdersTable[[#This Row],[Delivery Days]]&lt;=2, "Express (≤2d)", IF(OrdersTable[[#This Row],[Delivery Days]]&lt;=4, "Standard (3-4d)", "Delayed (5d+)"))</f>
        <v>Standard (3-4d)</v>
      </c>
      <c r="AF2467">
        <v>0</v>
      </c>
    </row>
    <row r="2468" spans="1:32" ht="15" x14ac:dyDescent="0.35">
      <c r="A2468" t="s">
        <v>6886</v>
      </c>
      <c r="B2468" s="1">
        <v>45709</v>
      </c>
      <c r="C2468">
        <f>YEAR(OrdersTable[[#This Row],[Order Date]])</f>
        <v>2025</v>
      </c>
      <c r="D2468" s="2">
        <f>DATE(YEAR(OrdersTable[[#This Row],[Order Date]]),MONTH(OrdersTable[[#This Row],[Order Date]]),1)</f>
        <v>45689</v>
      </c>
      <c r="E2468">
        <f>MONTH(OrdersTable[[#This Row],[Order Date]])</f>
        <v>2</v>
      </c>
      <c r="F2468" t="s">
        <v>3071</v>
      </c>
      <c r="G2468" t="str">
        <f>IF(OrdersTable[[#This Row],[Order Date]]=_xlfn.MINIFS(Order_Date, Customer_ID, OrdersTable[[#This Row],[Customer ID]]), "New", "Repeat")</f>
        <v>New</v>
      </c>
      <c r="H2468" t="s">
        <v>184</v>
      </c>
      <c r="I2468" t="str">
        <f>INDEX(State!B:B,MATCH(OrdersTable[[#This Row],[State]],State!A:A,0))</f>
        <v>UK</v>
      </c>
      <c r="J2468" t="str">
        <f>INDEX(State!C:C,MATCH(OrdersTable[[#This Row],[State Code]],State!B:B,0))</f>
        <v>North</v>
      </c>
      <c r="K2468" t="s">
        <v>185</v>
      </c>
      <c r="L2468" t="s">
        <v>16</v>
      </c>
      <c r="M2468" t="s">
        <v>17</v>
      </c>
      <c r="N2468" t="str">
        <f>INDEX(Products!B:B,MATCH(OrdersTable[[#This Row],[Product ID]],Products!A:A,0))</f>
        <v>Casual Sneakers</v>
      </c>
      <c r="O2468" t="str">
        <f>INDEX(Products!C:C,MATCH(OrdersTable[[#This Row],[Product ID]],Products!A:A,0))</f>
        <v>Footwear</v>
      </c>
      <c r="P2468">
        <v>3</v>
      </c>
      <c r="Q2468" s="5">
        <v>2199</v>
      </c>
      <c r="R2468" s="74">
        <v>0.3</v>
      </c>
      <c r="S2468" s="75">
        <f>OrdersTable[[#This Row],[Quantity]]*OrdersTable[[#This Row],[Unit Price]]</f>
        <v>6597</v>
      </c>
      <c r="T2468" s="5">
        <f>OrdersTable[[#This Row],[Gross Sale]]*OrdersTable[[#This Row],[Discount_Clean2]]</f>
        <v>1979.1</v>
      </c>
      <c r="U2468" s="5">
        <f>OrdersTable[[#This Row],[Gross Sale]]-OrdersTable[[#This Row],[Discount Amount]]</f>
        <v>4617.8999999999996</v>
      </c>
      <c r="V2468" s="77">
        <f>INDEX(Products!E:E,MATCH(OrdersTable[[#This Row],[Product ID]],Products!A:A,0))</f>
        <v>1034</v>
      </c>
      <c r="W2468" s="77">
        <f>OrdersTable[[#This Row],[Quantity]]*OrdersTable[[#This Row],[Unit Cost]]</f>
        <v>3102</v>
      </c>
      <c r="X2468" s="77">
        <f>'Dropdown Lists'!$I$2*(1+OrdersTable[[#This Row],[Returned]])</f>
        <v>60</v>
      </c>
      <c r="Y2468" s="76">
        <f>OrdersTable[[#This Row],[Net Revenue]]-OrdersTable[[#This Row],[COGS]]-OrdersTable[[#This Row],[Shipping Cost]]</f>
        <v>1455.8999999999996</v>
      </c>
      <c r="Z2468" s="78">
        <f>IFERROR(OrdersTable[[#This Row],[Profit]]/OrdersTable[[#This Row],[Net Revenue]],0)</f>
        <v>0.31527317611901506</v>
      </c>
      <c r="AA2468" t="s">
        <v>4074</v>
      </c>
      <c r="AB2468" s="79">
        <v>45712</v>
      </c>
      <c r="AC2468">
        <f>OrdersTable[[#This Row],[Delivery Date]]-OrdersTable[[#This Row],[Order Date]]</f>
        <v>3</v>
      </c>
      <c r="AD2468" t="str">
        <f>IF(OrdersTable[[#This Row],[Delivery Days]]&lt;=2, "Express (≤2d)", IF(OrdersTable[[#This Row],[Delivery Days]]&lt;=4, "Standard (3-4d)", "Delayed (5d+)"))</f>
        <v>Standard (3-4d)</v>
      </c>
      <c r="AF2468">
        <v>0</v>
      </c>
    </row>
    <row r="2469" spans="1:32" ht="15" x14ac:dyDescent="0.35">
      <c r="A2469" t="s">
        <v>4983</v>
      </c>
      <c r="B2469" s="1">
        <v>45709</v>
      </c>
      <c r="C2469">
        <f>YEAR(OrdersTable[[#This Row],[Order Date]])</f>
        <v>2025</v>
      </c>
      <c r="D2469" s="2">
        <f>DATE(YEAR(OrdersTable[[#This Row],[Order Date]]),MONTH(OrdersTable[[#This Row],[Order Date]]),1)</f>
        <v>45689</v>
      </c>
      <c r="E2469">
        <f>MONTH(OrdersTable[[#This Row],[Order Date]])</f>
        <v>2</v>
      </c>
      <c r="F2469" t="s">
        <v>2077</v>
      </c>
      <c r="G2469" t="str">
        <f>IF(OrdersTable[[#This Row],[Order Date]]=_xlfn.MINIFS(Order_Date, Customer_ID, OrdersTable[[#This Row],[Customer ID]]), "New", "Repeat")</f>
        <v>Repeat</v>
      </c>
      <c r="H2469" t="s">
        <v>184</v>
      </c>
      <c r="I2469" t="str">
        <f>INDEX(State!B:B,MATCH(OrdersTable[[#This Row],[State]],State!A:A,0))</f>
        <v>UK</v>
      </c>
      <c r="J2469" t="str">
        <f>INDEX(State!C:C,MATCH(OrdersTable[[#This Row],[State Code]],State!B:B,0))</f>
        <v>North</v>
      </c>
      <c r="K2469" t="s">
        <v>185</v>
      </c>
      <c r="L2469" t="s">
        <v>50</v>
      </c>
      <c r="M2469" t="s">
        <v>152</v>
      </c>
      <c r="N2469" t="str">
        <f>INDEX(Products!B:B,MATCH(OrdersTable[[#This Row],[Product ID]],Products!A:A,0))</f>
        <v>Green Tea (100 bags)</v>
      </c>
      <c r="O2469" t="str">
        <f>INDEX(Products!C:C,MATCH(OrdersTable[[#This Row],[Product ID]],Products!A:A,0))</f>
        <v>Wellness</v>
      </c>
      <c r="P2469">
        <v>2</v>
      </c>
      <c r="Q2469" s="5">
        <v>399</v>
      </c>
      <c r="R2469" s="74">
        <v>0.3</v>
      </c>
      <c r="S2469" s="75">
        <f>OrdersTable[[#This Row],[Quantity]]*OrdersTable[[#This Row],[Unit Price]]</f>
        <v>798</v>
      </c>
      <c r="T2469" s="5">
        <f>OrdersTable[[#This Row],[Gross Sale]]*OrdersTable[[#This Row],[Discount_Clean2]]</f>
        <v>239.39999999999998</v>
      </c>
      <c r="U2469" s="5">
        <f>OrdersTable[[#This Row],[Gross Sale]]-OrdersTable[[#This Row],[Discount Amount]]</f>
        <v>558.6</v>
      </c>
      <c r="V2469" s="77">
        <f>INDEX(Products!E:E,MATCH(OrdersTable[[#This Row],[Product ID]],Products!A:A,0))</f>
        <v>128</v>
      </c>
      <c r="W2469" s="77">
        <f>OrdersTable[[#This Row],[Quantity]]*OrdersTable[[#This Row],[Unit Cost]]</f>
        <v>256</v>
      </c>
      <c r="X2469" s="77">
        <f>'Dropdown Lists'!$I$2*(1+OrdersTable[[#This Row],[Returned]])</f>
        <v>60</v>
      </c>
      <c r="Y2469" s="76">
        <f>OrdersTable[[#This Row],[Net Revenue]]-OrdersTable[[#This Row],[COGS]]-OrdersTable[[#This Row],[Shipping Cost]]</f>
        <v>242.60000000000002</v>
      </c>
      <c r="Z2469" s="78">
        <f>IFERROR(OrdersTable[[#This Row],[Profit]]/OrdersTable[[#This Row],[Net Revenue]],0)</f>
        <v>0.43430003580379523</v>
      </c>
      <c r="AA2469" t="s">
        <v>4074</v>
      </c>
      <c r="AB2469" s="79">
        <v>45713</v>
      </c>
      <c r="AC2469">
        <f>OrdersTable[[#This Row],[Delivery Date]]-OrdersTable[[#This Row],[Order Date]]</f>
        <v>4</v>
      </c>
      <c r="AD2469" t="str">
        <f>IF(OrdersTable[[#This Row],[Delivery Days]]&lt;=2, "Express (≤2d)", IF(OrdersTable[[#This Row],[Delivery Days]]&lt;=4, "Standard (3-4d)", "Delayed (5d+)"))</f>
        <v>Standard (3-4d)</v>
      </c>
      <c r="AE2469">
        <v>4</v>
      </c>
      <c r="AF2469">
        <v>0</v>
      </c>
    </row>
    <row r="2470" spans="1:32" ht="15" x14ac:dyDescent="0.35">
      <c r="A2470" t="s">
        <v>6349</v>
      </c>
      <c r="B2470" s="1">
        <v>45709</v>
      </c>
      <c r="C2470">
        <f>YEAR(OrdersTable[[#This Row],[Order Date]])</f>
        <v>2025</v>
      </c>
      <c r="D2470" s="2">
        <f>DATE(YEAR(OrdersTable[[#This Row],[Order Date]]),MONTH(OrdersTable[[#This Row],[Order Date]]),1)</f>
        <v>45689</v>
      </c>
      <c r="E2470">
        <f>MONTH(OrdersTable[[#This Row],[Order Date]])</f>
        <v>2</v>
      </c>
      <c r="F2470" t="s">
        <v>5683</v>
      </c>
      <c r="G2470" t="str">
        <f>IF(OrdersTable[[#This Row],[Order Date]]=_xlfn.MINIFS(Order_Date, Customer_ID, OrdersTable[[#This Row],[Customer ID]]), "New", "Repeat")</f>
        <v>Repeat</v>
      </c>
      <c r="H2470" t="s">
        <v>128</v>
      </c>
      <c r="I2470" t="str">
        <f>INDEX(State!B:B,MATCH(OrdersTable[[#This Row],[State]],State!A:A,0))</f>
        <v>DL</v>
      </c>
      <c r="J2470" t="str">
        <f>INDEX(State!C:C,MATCH(OrdersTable[[#This Row],[State Code]],State!B:B,0))</f>
        <v>North</v>
      </c>
      <c r="K2470" t="s">
        <v>129</v>
      </c>
      <c r="L2470" t="s">
        <v>23</v>
      </c>
      <c r="M2470" t="s">
        <v>152</v>
      </c>
      <c r="N2470" t="str">
        <f>INDEX(Products!B:B,MATCH(OrdersTable[[#This Row],[Product ID]],Products!A:A,0))</f>
        <v>Green Tea (100 bags)</v>
      </c>
      <c r="O2470" t="str">
        <f>INDEX(Products!C:C,MATCH(OrdersTable[[#This Row],[Product ID]],Products!A:A,0))</f>
        <v>Wellness</v>
      </c>
      <c r="P2470">
        <v>2</v>
      </c>
      <c r="Q2470" s="5">
        <v>399</v>
      </c>
      <c r="R2470" s="74">
        <v>0.35</v>
      </c>
      <c r="S2470" s="75">
        <f>OrdersTable[[#This Row],[Quantity]]*OrdersTable[[#This Row],[Unit Price]]</f>
        <v>798</v>
      </c>
      <c r="T2470" s="5">
        <f>OrdersTable[[#This Row],[Gross Sale]]*OrdersTable[[#This Row],[Discount_Clean2]]</f>
        <v>279.29999999999995</v>
      </c>
      <c r="U2470" s="5">
        <f>OrdersTable[[#This Row],[Gross Sale]]-OrdersTable[[#This Row],[Discount Amount]]</f>
        <v>518.70000000000005</v>
      </c>
      <c r="V2470" s="77">
        <f>INDEX(Products!E:E,MATCH(OrdersTable[[#This Row],[Product ID]],Products!A:A,0))</f>
        <v>128</v>
      </c>
      <c r="W2470" s="77">
        <f>OrdersTable[[#This Row],[Quantity]]*OrdersTable[[#This Row],[Unit Cost]]</f>
        <v>256</v>
      </c>
      <c r="X2470" s="77">
        <f>'Dropdown Lists'!$I$2*(1+OrdersTable[[#This Row],[Returned]])</f>
        <v>60</v>
      </c>
      <c r="Y2470" s="76">
        <f>OrdersTable[[#This Row],[Net Revenue]]-OrdersTable[[#This Row],[COGS]]-OrdersTable[[#This Row],[Shipping Cost]]</f>
        <v>202.70000000000005</v>
      </c>
      <c r="Z2470" s="78">
        <f>IFERROR(OrdersTable[[#This Row],[Profit]]/OrdersTable[[#This Row],[Net Revenue]],0)</f>
        <v>0.39078465394254874</v>
      </c>
      <c r="AA2470" t="s">
        <v>18</v>
      </c>
      <c r="AB2470" s="79">
        <v>45710</v>
      </c>
      <c r="AC2470">
        <f>OrdersTable[[#This Row],[Delivery Date]]-OrdersTable[[#This Row],[Order Date]]</f>
        <v>1</v>
      </c>
      <c r="AD2470" t="str">
        <f>IF(OrdersTable[[#This Row],[Delivery Days]]&lt;=2, "Express (≤2d)", IF(OrdersTable[[#This Row],[Delivery Days]]&lt;=4, "Standard (3-4d)", "Delayed (5d+)"))</f>
        <v>Express (≤2d)</v>
      </c>
      <c r="AE2470">
        <v>4</v>
      </c>
      <c r="AF2470">
        <v>0</v>
      </c>
    </row>
    <row r="2471" spans="1:32" ht="15" x14ac:dyDescent="0.35">
      <c r="A2471" t="s">
        <v>4984</v>
      </c>
      <c r="B2471" s="1">
        <v>45709</v>
      </c>
      <c r="C2471">
        <f>YEAR(OrdersTable[[#This Row],[Order Date]])</f>
        <v>2025</v>
      </c>
      <c r="D2471" s="2">
        <f>DATE(YEAR(OrdersTable[[#This Row],[Order Date]]),MONTH(OrdersTable[[#This Row],[Order Date]]),1)</f>
        <v>45689</v>
      </c>
      <c r="E2471">
        <f>MONTH(OrdersTable[[#This Row],[Order Date]])</f>
        <v>2</v>
      </c>
      <c r="F2471" t="s">
        <v>4985</v>
      </c>
      <c r="G2471" t="str">
        <f>IF(OrdersTable[[#This Row],[Order Date]]=_xlfn.MINIFS(Order_Date, Customer_ID, OrdersTable[[#This Row],[Customer ID]]), "New", "Repeat")</f>
        <v>Repeat</v>
      </c>
      <c r="H2471" t="s">
        <v>128</v>
      </c>
      <c r="I2471" t="str">
        <f>INDEX(State!B:B,MATCH(OrdersTable[[#This Row],[State]],State!A:A,0))</f>
        <v>DL</v>
      </c>
      <c r="J2471" t="str">
        <f>INDEX(State!C:C,MATCH(OrdersTable[[#This Row],[State Code]],State!B:B,0))</f>
        <v>North</v>
      </c>
      <c r="K2471" t="s">
        <v>129</v>
      </c>
      <c r="L2471" t="s">
        <v>50</v>
      </c>
      <c r="M2471" t="s">
        <v>66</v>
      </c>
      <c r="N2471" t="str">
        <f>INDEX(Products!B:B,MATCH(OrdersTable[[#This Row],[Product ID]],Products!A:A,0))</f>
        <v>Sunscreen SPF 50</v>
      </c>
      <c r="O2471" t="str">
        <f>INDEX(Products!C:C,MATCH(OrdersTable[[#This Row],[Product ID]],Products!A:A,0))</f>
        <v>Skincare</v>
      </c>
      <c r="P2471">
        <v>2</v>
      </c>
      <c r="Q2471" s="5">
        <v>449</v>
      </c>
      <c r="R2471" s="74">
        <v>0</v>
      </c>
      <c r="S2471" s="75">
        <f>OrdersTable[[#This Row],[Quantity]]*OrdersTable[[#This Row],[Unit Price]]</f>
        <v>898</v>
      </c>
      <c r="T2471" s="5">
        <f>OrdersTable[[#This Row],[Gross Sale]]*OrdersTable[[#This Row],[Discount_Clean2]]</f>
        <v>0</v>
      </c>
      <c r="U2471" s="5">
        <f>OrdersTable[[#This Row],[Gross Sale]]-OrdersTable[[#This Row],[Discount Amount]]</f>
        <v>898</v>
      </c>
      <c r="V2471" s="77">
        <f>INDEX(Products!E:E,MATCH(OrdersTable[[#This Row],[Product ID]],Products!A:A,0))</f>
        <v>144</v>
      </c>
      <c r="W2471" s="77">
        <f>OrdersTable[[#This Row],[Quantity]]*OrdersTable[[#This Row],[Unit Cost]]</f>
        <v>288</v>
      </c>
      <c r="X2471" s="77">
        <f>'Dropdown Lists'!$I$2*(1+OrdersTable[[#This Row],[Returned]])</f>
        <v>60</v>
      </c>
      <c r="Y2471" s="76">
        <f>OrdersTable[[#This Row],[Net Revenue]]-OrdersTable[[#This Row],[COGS]]-OrdersTable[[#This Row],[Shipping Cost]]</f>
        <v>550</v>
      </c>
      <c r="Z2471" s="78">
        <f>IFERROR(OrdersTable[[#This Row],[Profit]]/OrdersTable[[#This Row],[Net Revenue]],0)</f>
        <v>0.61247216035634744</v>
      </c>
      <c r="AA2471" t="s">
        <v>4074</v>
      </c>
      <c r="AB2471" s="79">
        <v>45711</v>
      </c>
      <c r="AC2471">
        <f>OrdersTable[[#This Row],[Delivery Date]]-OrdersTable[[#This Row],[Order Date]]</f>
        <v>2</v>
      </c>
      <c r="AD2471" t="str">
        <f>IF(OrdersTable[[#This Row],[Delivery Days]]&lt;=2, "Express (≤2d)", IF(OrdersTable[[#This Row],[Delivery Days]]&lt;=4, "Standard (3-4d)", "Delayed (5d+)"))</f>
        <v>Express (≤2d)</v>
      </c>
      <c r="AE2471">
        <v>5</v>
      </c>
      <c r="AF2471">
        <v>0</v>
      </c>
    </row>
    <row r="2472" spans="1:32" ht="15" x14ac:dyDescent="0.35">
      <c r="A2472" t="s">
        <v>967</v>
      </c>
      <c r="B2472" s="1">
        <v>45709</v>
      </c>
      <c r="C2472">
        <f>YEAR(OrdersTable[[#This Row],[Order Date]])</f>
        <v>2025</v>
      </c>
      <c r="D2472" s="2">
        <f>DATE(YEAR(OrdersTable[[#This Row],[Order Date]]),MONTH(OrdersTable[[#This Row],[Order Date]]),1)</f>
        <v>45689</v>
      </c>
      <c r="E2472">
        <f>MONTH(OrdersTable[[#This Row],[Order Date]])</f>
        <v>2</v>
      </c>
      <c r="F2472" t="s">
        <v>968</v>
      </c>
      <c r="G2472" t="str">
        <f>IF(OrdersTable[[#This Row],[Order Date]]=_xlfn.MINIFS(Order_Date, Customer_ID, OrdersTable[[#This Row],[Customer ID]]), "New", "Repeat")</f>
        <v>New</v>
      </c>
      <c r="H2472" t="s">
        <v>76</v>
      </c>
      <c r="I2472" t="str">
        <f>INDEX(State!B:B,MATCH(OrdersTable[[#This Row],[State]],State!A:A,0))</f>
        <v>UP</v>
      </c>
      <c r="J2472" t="str">
        <f>INDEX(State!C:C,MATCH(OrdersTable[[#This Row],[State Code]],State!B:B,0))</f>
        <v>North</v>
      </c>
      <c r="K2472" t="s">
        <v>77</v>
      </c>
      <c r="L2472" t="s">
        <v>39</v>
      </c>
      <c r="M2472" t="s">
        <v>66</v>
      </c>
      <c r="N2472" t="str">
        <f>INDEX(Products!B:B,MATCH(OrdersTable[[#This Row],[Product ID]],Products!A:A,0))</f>
        <v>Sunscreen SPF 50</v>
      </c>
      <c r="O2472" t="str">
        <f>INDEX(Products!C:C,MATCH(OrdersTable[[#This Row],[Product ID]],Products!A:A,0))</f>
        <v>Skincare</v>
      </c>
      <c r="P2472">
        <v>1</v>
      </c>
      <c r="Q2472" s="5">
        <v>449</v>
      </c>
      <c r="R2472" s="74">
        <v>0.1</v>
      </c>
      <c r="S2472" s="75">
        <f>OrdersTable[[#This Row],[Quantity]]*OrdersTable[[#This Row],[Unit Price]]</f>
        <v>449</v>
      </c>
      <c r="T2472" s="5">
        <f>OrdersTable[[#This Row],[Gross Sale]]*OrdersTable[[#This Row],[Discount_Clean2]]</f>
        <v>44.900000000000006</v>
      </c>
      <c r="U2472" s="5">
        <f>OrdersTable[[#This Row],[Gross Sale]]-OrdersTable[[#This Row],[Discount Amount]]</f>
        <v>404.1</v>
      </c>
      <c r="V2472" s="77">
        <f>INDEX(Products!E:E,MATCH(OrdersTable[[#This Row],[Product ID]],Products!A:A,0))</f>
        <v>144</v>
      </c>
      <c r="W2472" s="77">
        <f>OrdersTable[[#This Row],[Quantity]]*OrdersTable[[#This Row],[Unit Cost]]</f>
        <v>144</v>
      </c>
      <c r="X2472" s="77">
        <f>'Dropdown Lists'!$I$2*(1+OrdersTable[[#This Row],[Returned]])</f>
        <v>60</v>
      </c>
      <c r="Y2472" s="76">
        <f>OrdersTable[[#This Row],[Net Revenue]]-OrdersTable[[#This Row],[COGS]]-OrdersTable[[#This Row],[Shipping Cost]]</f>
        <v>200.10000000000002</v>
      </c>
      <c r="Z2472" s="78">
        <f>IFERROR(OrdersTable[[#This Row],[Profit]]/OrdersTable[[#This Row],[Net Revenue]],0)</f>
        <v>0.4951744617668894</v>
      </c>
      <c r="AA2472" t="s">
        <v>18</v>
      </c>
      <c r="AB2472" s="79">
        <v>45715</v>
      </c>
      <c r="AC2472">
        <f>OrdersTable[[#This Row],[Delivery Date]]-OrdersTable[[#This Row],[Order Date]]</f>
        <v>6</v>
      </c>
      <c r="AD2472" t="str">
        <f>IF(OrdersTable[[#This Row],[Delivery Days]]&lt;=2, "Express (≤2d)", IF(OrdersTable[[#This Row],[Delivery Days]]&lt;=4, "Standard (3-4d)", "Delayed (5d+)"))</f>
        <v>Delayed (5d+)</v>
      </c>
      <c r="AE2472">
        <v>4</v>
      </c>
      <c r="AF2472">
        <v>0</v>
      </c>
    </row>
    <row r="2473" spans="1:32" ht="15" x14ac:dyDescent="0.35">
      <c r="A2473" t="s">
        <v>3258</v>
      </c>
      <c r="B2473" s="1">
        <v>45709</v>
      </c>
      <c r="C2473">
        <f>YEAR(OrdersTable[[#This Row],[Order Date]])</f>
        <v>2025</v>
      </c>
      <c r="D2473" s="2">
        <f>DATE(YEAR(OrdersTable[[#This Row],[Order Date]]),MONTH(OrdersTable[[#This Row],[Order Date]]),1)</f>
        <v>45689</v>
      </c>
      <c r="E2473">
        <f>MONTH(OrdersTable[[#This Row],[Order Date]])</f>
        <v>2</v>
      </c>
      <c r="F2473" t="s">
        <v>809</v>
      </c>
      <c r="G2473" t="str">
        <f>IF(OrdersTable[[#This Row],[Order Date]]=_xlfn.MINIFS(Order_Date, Customer_ID, OrdersTable[[#This Row],[Customer ID]]), "New", "Repeat")</f>
        <v>Repeat</v>
      </c>
      <c r="H2473" t="s">
        <v>76</v>
      </c>
      <c r="I2473" t="str">
        <f>INDEX(State!B:B,MATCH(OrdersTable[[#This Row],[State]],State!A:A,0))</f>
        <v>UP</v>
      </c>
      <c r="J2473" t="str">
        <f>INDEX(State!C:C,MATCH(OrdersTable[[#This Row],[State Code]],State!B:B,0))</f>
        <v>North</v>
      </c>
      <c r="K2473" t="s">
        <v>77</v>
      </c>
      <c r="L2473" t="s">
        <v>50</v>
      </c>
      <c r="M2473" t="s">
        <v>61</v>
      </c>
      <c r="N2473" t="str">
        <f>INDEX(Products!B:B,MATCH(OrdersTable[[#This Row],[Product ID]],Products!A:A,0))</f>
        <v>Multivitamin Gummies</v>
      </c>
      <c r="O2473" t="str">
        <f>INDEX(Products!C:C,MATCH(OrdersTable[[#This Row],[Product ID]],Products!A:A,0))</f>
        <v>Wellness</v>
      </c>
      <c r="P2473">
        <v>1</v>
      </c>
      <c r="Q2473" s="5">
        <v>699</v>
      </c>
      <c r="R2473" s="74">
        <v>0.25</v>
      </c>
      <c r="S2473" s="75">
        <f>OrdersTable[[#This Row],[Quantity]]*OrdersTable[[#This Row],[Unit Price]]</f>
        <v>699</v>
      </c>
      <c r="T2473" s="5">
        <f>OrdersTable[[#This Row],[Gross Sale]]*OrdersTable[[#This Row],[Discount_Clean2]]</f>
        <v>174.75</v>
      </c>
      <c r="U2473" s="5">
        <f>OrdersTable[[#This Row],[Gross Sale]]-OrdersTable[[#This Row],[Discount Amount]]</f>
        <v>524.25</v>
      </c>
      <c r="V2473" s="77">
        <f>INDEX(Products!E:E,MATCH(OrdersTable[[#This Row],[Product ID]],Products!A:A,0))</f>
        <v>238</v>
      </c>
      <c r="W2473" s="77">
        <f>OrdersTable[[#This Row],[Quantity]]*OrdersTable[[#This Row],[Unit Cost]]</f>
        <v>238</v>
      </c>
      <c r="X2473" s="77">
        <f>'Dropdown Lists'!$I$2*(1+OrdersTable[[#This Row],[Returned]])</f>
        <v>60</v>
      </c>
      <c r="Y2473" s="76">
        <f>OrdersTable[[#This Row],[Net Revenue]]-OrdersTable[[#This Row],[COGS]]-OrdersTable[[#This Row],[Shipping Cost]]</f>
        <v>226.25</v>
      </c>
      <c r="Z2473" s="78">
        <f>IFERROR(OrdersTable[[#This Row],[Profit]]/OrdersTable[[#This Row],[Net Revenue]],0)</f>
        <v>0.43156890796375774</v>
      </c>
      <c r="AA2473" t="s">
        <v>2522</v>
      </c>
      <c r="AB2473" s="79">
        <v>45712</v>
      </c>
      <c r="AC2473">
        <f>OrdersTable[[#This Row],[Delivery Date]]-OrdersTable[[#This Row],[Order Date]]</f>
        <v>3</v>
      </c>
      <c r="AD2473" t="str">
        <f>IF(OrdersTable[[#This Row],[Delivery Days]]&lt;=2, "Express (≤2d)", IF(OrdersTable[[#This Row],[Delivery Days]]&lt;=4, "Standard (3-4d)", "Delayed (5d+)"))</f>
        <v>Standard (3-4d)</v>
      </c>
      <c r="AE2473">
        <v>4</v>
      </c>
      <c r="AF2473">
        <v>0</v>
      </c>
    </row>
    <row r="2474" spans="1:32" ht="15" x14ac:dyDescent="0.35">
      <c r="A2474" t="s">
        <v>4128</v>
      </c>
      <c r="B2474" s="1">
        <v>45709</v>
      </c>
      <c r="C2474">
        <f>YEAR(OrdersTable[[#This Row],[Order Date]])</f>
        <v>2025</v>
      </c>
      <c r="D2474" s="2">
        <f>DATE(YEAR(OrdersTable[[#This Row],[Order Date]]),MONTH(OrdersTable[[#This Row],[Order Date]]),1)</f>
        <v>45689</v>
      </c>
      <c r="E2474">
        <f>MONTH(OrdersTable[[#This Row],[Order Date]])</f>
        <v>2</v>
      </c>
      <c r="F2474" t="s">
        <v>2126</v>
      </c>
      <c r="G2474" t="str">
        <f>IF(OrdersTable[[#This Row],[Order Date]]=_xlfn.MINIFS(Order_Date, Customer_ID, OrdersTable[[#This Row],[Customer ID]]), "New", "Repeat")</f>
        <v>Repeat</v>
      </c>
      <c r="H2474" t="s">
        <v>32</v>
      </c>
      <c r="I2474" t="str">
        <f>INDEX(State!B:B,MATCH(OrdersTable[[#This Row],[State]],State!A:A,0))</f>
        <v>BR</v>
      </c>
      <c r="J2474" t="str">
        <f>INDEX(State!C:C,MATCH(OrdersTable[[#This Row],[State Code]],State!B:B,0))</f>
        <v>East</v>
      </c>
      <c r="K2474" t="s">
        <v>33</v>
      </c>
      <c r="L2474" t="s">
        <v>16</v>
      </c>
      <c r="M2474" t="s">
        <v>92</v>
      </c>
      <c r="N2474" t="str">
        <f>INDEX(Products!B:B,MATCH(OrdersTable[[#This Row],[Product ID]],Products!A:A,0))</f>
        <v>Kolhapuri Sandals</v>
      </c>
      <c r="O2474" t="str">
        <f>INDEX(Products!C:C,MATCH(OrdersTable[[#This Row],[Product ID]],Products!A:A,0))</f>
        <v>Footwear</v>
      </c>
      <c r="P2474">
        <v>1</v>
      </c>
      <c r="Q2474" s="5">
        <v>999</v>
      </c>
      <c r="R2474" s="74">
        <v>0</v>
      </c>
      <c r="S2474" s="75">
        <f>OrdersTable[[#This Row],[Quantity]]*OrdersTable[[#This Row],[Unit Price]]</f>
        <v>999</v>
      </c>
      <c r="T2474" s="5">
        <f>OrdersTable[[#This Row],[Gross Sale]]*OrdersTable[[#This Row],[Discount_Clean2]]</f>
        <v>0</v>
      </c>
      <c r="U2474" s="5">
        <f>OrdersTable[[#This Row],[Gross Sale]]-OrdersTable[[#This Row],[Discount Amount]]</f>
        <v>999</v>
      </c>
      <c r="V2474" s="77">
        <f>INDEX(Products!E:E,MATCH(OrdersTable[[#This Row],[Product ID]],Products!A:A,0))</f>
        <v>400</v>
      </c>
      <c r="W2474" s="77">
        <f>OrdersTable[[#This Row],[Quantity]]*OrdersTable[[#This Row],[Unit Cost]]</f>
        <v>400</v>
      </c>
      <c r="X2474" s="77">
        <f>'Dropdown Lists'!$I$2*(1+OrdersTable[[#This Row],[Returned]])</f>
        <v>120</v>
      </c>
      <c r="Y2474" s="76">
        <f>OrdersTable[[#This Row],[Net Revenue]]-OrdersTable[[#This Row],[COGS]]-OrdersTable[[#This Row],[Shipping Cost]]</f>
        <v>479</v>
      </c>
      <c r="Z2474" s="78">
        <f>IFERROR(OrdersTable[[#This Row],[Profit]]/OrdersTable[[#This Row],[Net Revenue]],0)</f>
        <v>0.4794794794794795</v>
      </c>
      <c r="AA2474" t="s">
        <v>4074</v>
      </c>
      <c r="AB2474" s="79">
        <v>45716</v>
      </c>
      <c r="AC2474">
        <f>OrdersTable[[#This Row],[Delivery Date]]-OrdersTable[[#This Row],[Order Date]]</f>
        <v>7</v>
      </c>
      <c r="AD2474" t="str">
        <f>IF(OrdersTable[[#This Row],[Delivery Days]]&lt;=2, "Express (≤2d)", IF(OrdersTable[[#This Row],[Delivery Days]]&lt;=4, "Standard (3-4d)", "Delayed (5d+)"))</f>
        <v>Delayed (5d+)</v>
      </c>
      <c r="AE2474">
        <v>3</v>
      </c>
      <c r="AF2474">
        <v>1</v>
      </c>
    </row>
    <row r="2475" spans="1:32" ht="15" x14ac:dyDescent="0.35">
      <c r="A2475" t="s">
        <v>6567</v>
      </c>
      <c r="B2475" s="1">
        <v>45709</v>
      </c>
      <c r="C2475">
        <f>YEAR(OrdersTable[[#This Row],[Order Date]])</f>
        <v>2025</v>
      </c>
      <c r="D2475" s="2">
        <f>DATE(YEAR(OrdersTable[[#This Row],[Order Date]]),MONTH(OrdersTable[[#This Row],[Order Date]]),1)</f>
        <v>45689</v>
      </c>
      <c r="E2475">
        <f>MONTH(OrdersTable[[#This Row],[Order Date]])</f>
        <v>2</v>
      </c>
      <c r="F2475" t="s">
        <v>4695</v>
      </c>
      <c r="G2475" t="str">
        <f>IF(OrdersTable[[#This Row],[Order Date]]=_xlfn.MINIFS(Order_Date, Customer_ID, OrdersTable[[#This Row],[Customer ID]]), "New", "Repeat")</f>
        <v>Repeat</v>
      </c>
      <c r="H2475" t="s">
        <v>43</v>
      </c>
      <c r="I2475" t="str">
        <f>INDEX(State!B:B,MATCH(OrdersTable[[#This Row],[State]],State!A:A,0))</f>
        <v>MP</v>
      </c>
      <c r="J2475" t="str">
        <f>INDEX(State!C:C,MATCH(OrdersTable[[#This Row],[State Code]],State!B:B,0))</f>
        <v>West</v>
      </c>
      <c r="K2475" t="s">
        <v>250</v>
      </c>
      <c r="L2475" t="s">
        <v>65</v>
      </c>
      <c r="M2475" t="s">
        <v>152</v>
      </c>
      <c r="N2475" t="str">
        <f>INDEX(Products!B:B,MATCH(OrdersTable[[#This Row],[Product ID]],Products!A:A,0))</f>
        <v>Green Tea (100 bags)</v>
      </c>
      <c r="O2475" t="str">
        <f>INDEX(Products!C:C,MATCH(OrdersTable[[#This Row],[Product ID]],Products!A:A,0))</f>
        <v>Wellness</v>
      </c>
      <c r="P2475">
        <v>3</v>
      </c>
      <c r="Q2475" s="5">
        <v>399</v>
      </c>
      <c r="R2475" s="74">
        <v>0.35</v>
      </c>
      <c r="S2475" s="75">
        <f>OrdersTable[[#This Row],[Quantity]]*OrdersTable[[#This Row],[Unit Price]]</f>
        <v>1197</v>
      </c>
      <c r="T2475" s="5">
        <f>OrdersTable[[#This Row],[Gross Sale]]*OrdersTable[[#This Row],[Discount_Clean2]]</f>
        <v>418.95</v>
      </c>
      <c r="U2475" s="5">
        <f>OrdersTable[[#This Row],[Gross Sale]]-OrdersTable[[#This Row],[Discount Amount]]</f>
        <v>778.05</v>
      </c>
      <c r="V2475" s="77">
        <f>INDEX(Products!E:E,MATCH(OrdersTable[[#This Row],[Product ID]],Products!A:A,0))</f>
        <v>128</v>
      </c>
      <c r="W2475" s="77">
        <f>OrdersTable[[#This Row],[Quantity]]*OrdersTable[[#This Row],[Unit Cost]]</f>
        <v>384</v>
      </c>
      <c r="X2475" s="77">
        <f>'Dropdown Lists'!$I$2*(1+OrdersTable[[#This Row],[Returned]])</f>
        <v>60</v>
      </c>
      <c r="Y2475" s="76">
        <f>OrdersTable[[#This Row],[Net Revenue]]-OrdersTable[[#This Row],[COGS]]-OrdersTable[[#This Row],[Shipping Cost]]</f>
        <v>334.04999999999995</v>
      </c>
      <c r="Z2475" s="78">
        <f>IFERROR(OrdersTable[[#This Row],[Profit]]/OrdersTable[[#This Row],[Net Revenue]],0)</f>
        <v>0.42934258723732405</v>
      </c>
      <c r="AA2475" t="s">
        <v>18</v>
      </c>
      <c r="AB2475" s="79">
        <v>45712</v>
      </c>
      <c r="AC2475">
        <f>OrdersTable[[#This Row],[Delivery Date]]-OrdersTable[[#This Row],[Order Date]]</f>
        <v>3</v>
      </c>
      <c r="AD2475" t="str">
        <f>IF(OrdersTable[[#This Row],[Delivery Days]]&lt;=2, "Express (≤2d)", IF(OrdersTable[[#This Row],[Delivery Days]]&lt;=4, "Standard (3-4d)", "Delayed (5d+)"))</f>
        <v>Standard (3-4d)</v>
      </c>
      <c r="AE2475">
        <v>4</v>
      </c>
      <c r="AF2475">
        <v>0</v>
      </c>
    </row>
    <row r="2476" spans="1:32" ht="15" x14ac:dyDescent="0.35">
      <c r="A2476" t="s">
        <v>1958</v>
      </c>
      <c r="B2476" s="1">
        <v>45709</v>
      </c>
      <c r="C2476">
        <f>YEAR(OrdersTable[[#This Row],[Order Date]])</f>
        <v>2025</v>
      </c>
      <c r="D2476" s="2">
        <f>DATE(YEAR(OrdersTable[[#This Row],[Order Date]]),MONTH(OrdersTable[[#This Row],[Order Date]]),1)</f>
        <v>45689</v>
      </c>
      <c r="E2476">
        <f>MONTH(OrdersTable[[#This Row],[Order Date]])</f>
        <v>2</v>
      </c>
      <c r="F2476" t="s">
        <v>1959</v>
      </c>
      <c r="G2476" t="str">
        <f>IF(OrdersTable[[#This Row],[Order Date]]=_xlfn.MINIFS(Order_Date, Customer_ID, OrdersTable[[#This Row],[Customer ID]]), "New", "Repeat")</f>
        <v>Repeat</v>
      </c>
      <c r="H2476" t="s">
        <v>43</v>
      </c>
      <c r="I2476" t="str">
        <f>INDEX(State!B:B,MATCH(OrdersTable[[#This Row],[State]],State!A:A,0))</f>
        <v>MP</v>
      </c>
      <c r="J2476" t="str">
        <f>INDEX(State!C:C,MATCH(OrdersTable[[#This Row],[State Code]],State!B:B,0))</f>
        <v>West</v>
      </c>
      <c r="K2476" t="s">
        <v>44</v>
      </c>
      <c r="L2476" t="s">
        <v>39</v>
      </c>
      <c r="M2476" t="s">
        <v>87</v>
      </c>
      <c r="N2476" t="str">
        <f>INDEX(Products!B:B,MATCH(OrdersTable[[#This Row],[Product ID]],Products!A:A,0))</f>
        <v>Linen Kurta</v>
      </c>
      <c r="O2476" t="str">
        <f>INDEX(Products!C:C,MATCH(OrdersTable[[#This Row],[Product ID]],Products!A:A,0))</f>
        <v>Apparel</v>
      </c>
      <c r="P2476">
        <v>1</v>
      </c>
      <c r="Q2476" s="5">
        <v>1499</v>
      </c>
      <c r="R2476" s="74">
        <v>0.2</v>
      </c>
      <c r="S2476" s="75">
        <f>OrdersTable[[#This Row],[Quantity]]*OrdersTable[[#This Row],[Unit Price]]</f>
        <v>1499</v>
      </c>
      <c r="T2476" s="5">
        <f>OrdersTable[[#This Row],[Gross Sale]]*OrdersTable[[#This Row],[Discount_Clean2]]</f>
        <v>299.8</v>
      </c>
      <c r="U2476" s="5">
        <f>OrdersTable[[#This Row],[Gross Sale]]-OrdersTable[[#This Row],[Discount Amount]]</f>
        <v>1199.2</v>
      </c>
      <c r="V2476" s="77">
        <f>INDEX(Products!E:E,MATCH(OrdersTable[[#This Row],[Product ID]],Products!A:A,0))</f>
        <v>630</v>
      </c>
      <c r="W2476" s="77">
        <f>OrdersTable[[#This Row],[Quantity]]*OrdersTable[[#This Row],[Unit Cost]]</f>
        <v>630</v>
      </c>
      <c r="X2476" s="77">
        <f>'Dropdown Lists'!$I$2*(1+OrdersTable[[#This Row],[Returned]])</f>
        <v>60</v>
      </c>
      <c r="Y2476" s="76">
        <f>OrdersTable[[#This Row],[Net Revenue]]-OrdersTable[[#This Row],[COGS]]-OrdersTable[[#This Row],[Shipping Cost]]</f>
        <v>509.20000000000005</v>
      </c>
      <c r="Z2476" s="78">
        <f>IFERROR(OrdersTable[[#This Row],[Profit]]/OrdersTable[[#This Row],[Net Revenue]],0)</f>
        <v>0.42461641094062713</v>
      </c>
      <c r="AA2476" t="s">
        <v>18</v>
      </c>
      <c r="AB2476" s="79">
        <v>45714</v>
      </c>
      <c r="AC2476">
        <f>OrdersTable[[#This Row],[Delivery Date]]-OrdersTable[[#This Row],[Order Date]]</f>
        <v>5</v>
      </c>
      <c r="AD2476" t="str">
        <f>IF(OrdersTable[[#This Row],[Delivery Days]]&lt;=2, "Express (≤2d)", IF(OrdersTable[[#This Row],[Delivery Days]]&lt;=4, "Standard (3-4d)", "Delayed (5d+)"))</f>
        <v>Delayed (5d+)</v>
      </c>
      <c r="AE2476">
        <v>3</v>
      </c>
      <c r="AF2476">
        <v>0</v>
      </c>
    </row>
    <row r="2477" spans="1:32" ht="15" x14ac:dyDescent="0.35">
      <c r="A2477" t="s">
        <v>2365</v>
      </c>
      <c r="B2477" s="1">
        <v>45709</v>
      </c>
      <c r="C2477">
        <f>YEAR(OrdersTable[[#This Row],[Order Date]])</f>
        <v>2025</v>
      </c>
      <c r="D2477" s="2">
        <f>DATE(YEAR(OrdersTable[[#This Row],[Order Date]]),MONTH(OrdersTable[[#This Row],[Order Date]]),1)</f>
        <v>45689</v>
      </c>
      <c r="E2477">
        <f>MONTH(OrdersTable[[#This Row],[Order Date]])</f>
        <v>2</v>
      </c>
      <c r="F2477" t="s">
        <v>2366</v>
      </c>
      <c r="G2477" t="str">
        <f>IF(OrdersTable[[#This Row],[Order Date]]=_xlfn.MINIFS(Order_Date, Customer_ID, OrdersTable[[#This Row],[Customer ID]]), "New", "Repeat")</f>
        <v>New</v>
      </c>
      <c r="H2477" t="s">
        <v>123</v>
      </c>
      <c r="I2477" t="str">
        <f>INDEX(State!B:B,MATCH(OrdersTable[[#This Row],[State]],State!A:A,0))</f>
        <v>JH</v>
      </c>
      <c r="J2477" t="str">
        <f>INDEX(State!C:C,MATCH(OrdersTable[[#This Row],[State Code]],State!B:B,0))</f>
        <v>East</v>
      </c>
      <c r="K2477" t="s">
        <v>124</v>
      </c>
      <c r="L2477" t="s">
        <v>65</v>
      </c>
      <c r="M2477" t="s">
        <v>24</v>
      </c>
      <c r="N2477" t="str">
        <f>INDEX(Products!B:B,MATCH(OrdersTable[[#This Row],[Product ID]],Products!A:A,0))</f>
        <v>Scented Candle Set</v>
      </c>
      <c r="O2477" t="str">
        <f>INDEX(Products!C:C,MATCH(OrdersTable[[#This Row],[Product ID]],Products!A:A,0))</f>
        <v>Home &amp; Kitchen</v>
      </c>
      <c r="P2477">
        <v>1</v>
      </c>
      <c r="Q2477" s="5">
        <v>699</v>
      </c>
      <c r="R2477" s="74">
        <v>0.25</v>
      </c>
      <c r="S2477" s="75">
        <f>OrdersTable[[#This Row],[Quantity]]*OrdersTable[[#This Row],[Unit Price]]</f>
        <v>699</v>
      </c>
      <c r="T2477" s="5">
        <f>OrdersTable[[#This Row],[Gross Sale]]*OrdersTable[[#This Row],[Discount_Clean2]]</f>
        <v>174.75</v>
      </c>
      <c r="U2477" s="5">
        <f>OrdersTable[[#This Row],[Gross Sale]]-OrdersTable[[#This Row],[Discount Amount]]</f>
        <v>524.25</v>
      </c>
      <c r="V2477" s="77">
        <f>INDEX(Products!E:E,MATCH(OrdersTable[[#This Row],[Product ID]],Products!A:A,0))</f>
        <v>245</v>
      </c>
      <c r="W2477" s="77">
        <f>OrdersTable[[#This Row],[Quantity]]*OrdersTable[[#This Row],[Unit Cost]]</f>
        <v>245</v>
      </c>
      <c r="X2477" s="77">
        <f>'Dropdown Lists'!$I$2*(1+OrdersTable[[#This Row],[Returned]])</f>
        <v>60</v>
      </c>
      <c r="Y2477" s="76">
        <f>OrdersTable[[#This Row],[Net Revenue]]-OrdersTable[[#This Row],[COGS]]-OrdersTable[[#This Row],[Shipping Cost]]</f>
        <v>219.25</v>
      </c>
      <c r="Z2477" s="78">
        <f>IFERROR(OrdersTable[[#This Row],[Profit]]/OrdersTable[[#This Row],[Net Revenue]],0)</f>
        <v>0.41821649976156416</v>
      </c>
      <c r="AA2477" t="s">
        <v>18</v>
      </c>
      <c r="AB2477" s="79">
        <v>45712</v>
      </c>
      <c r="AC2477">
        <f>OrdersTable[[#This Row],[Delivery Date]]-OrdersTable[[#This Row],[Order Date]]</f>
        <v>3</v>
      </c>
      <c r="AD2477" t="str">
        <f>IF(OrdersTable[[#This Row],[Delivery Days]]&lt;=2, "Express (≤2d)", IF(OrdersTable[[#This Row],[Delivery Days]]&lt;=4, "Standard (3-4d)", "Delayed (5d+)"))</f>
        <v>Standard (3-4d)</v>
      </c>
      <c r="AE2477">
        <v>5</v>
      </c>
      <c r="AF2477">
        <v>0</v>
      </c>
    </row>
    <row r="2478" spans="1:32" ht="15" x14ac:dyDescent="0.35">
      <c r="A2478" t="s">
        <v>4827</v>
      </c>
      <c r="B2478" s="1">
        <v>45709</v>
      </c>
      <c r="C2478">
        <f>YEAR(OrdersTable[[#This Row],[Order Date]])</f>
        <v>2025</v>
      </c>
      <c r="D2478" s="2">
        <f>DATE(YEAR(OrdersTable[[#This Row],[Order Date]]),MONTH(OrdersTable[[#This Row],[Order Date]]),1)</f>
        <v>45689</v>
      </c>
      <c r="E2478">
        <f>MONTH(OrdersTable[[#This Row],[Order Date]])</f>
        <v>2</v>
      </c>
      <c r="F2478" t="s">
        <v>1121</v>
      </c>
      <c r="G2478" t="str">
        <f>IF(OrdersTable[[#This Row],[Order Date]]=_xlfn.MINIFS(Order_Date, Customer_ID, OrdersTable[[#This Row],[Customer ID]]), "New", "Repeat")</f>
        <v>Repeat</v>
      </c>
      <c r="H2478" t="s">
        <v>167</v>
      </c>
      <c r="I2478" t="str">
        <f>INDEX(State!B:B,MATCH(OrdersTable[[#This Row],[State]],State!A:A,0))</f>
        <v>KA</v>
      </c>
      <c r="J2478" t="str">
        <f>INDEX(State!C:C,MATCH(OrdersTable[[#This Row],[State Code]],State!B:B,0))</f>
        <v>South</v>
      </c>
      <c r="K2478" t="s">
        <v>168</v>
      </c>
      <c r="L2478" t="s">
        <v>65</v>
      </c>
      <c r="M2478" t="s">
        <v>106</v>
      </c>
      <c r="N2478" t="str">
        <f>INDEX(Products!B:B,MATCH(OrdersTable[[#This Row],[Product ID]],Products!A:A,0))</f>
        <v>Keratin Hair Mask</v>
      </c>
      <c r="O2478" t="str">
        <f>INDEX(Products!C:C,MATCH(OrdersTable[[#This Row],[Product ID]],Products!A:A,0))</f>
        <v>Haircare</v>
      </c>
      <c r="P2478">
        <v>2</v>
      </c>
      <c r="Q2478" s="5">
        <v>549</v>
      </c>
      <c r="R2478" s="74">
        <v>0.15</v>
      </c>
      <c r="S2478" s="75">
        <f>OrdersTable[[#This Row],[Quantity]]*OrdersTable[[#This Row],[Unit Price]]</f>
        <v>1098</v>
      </c>
      <c r="T2478" s="5">
        <f>OrdersTable[[#This Row],[Gross Sale]]*OrdersTable[[#This Row],[Discount_Clean2]]</f>
        <v>164.7</v>
      </c>
      <c r="U2478" s="5">
        <f>OrdersTable[[#This Row],[Gross Sale]]-OrdersTable[[#This Row],[Discount Amount]]</f>
        <v>933.3</v>
      </c>
      <c r="V2478" s="77">
        <f>INDEX(Products!E:E,MATCH(OrdersTable[[#This Row],[Product ID]],Products!A:A,0))</f>
        <v>170</v>
      </c>
      <c r="W2478" s="77">
        <f>OrdersTable[[#This Row],[Quantity]]*OrdersTable[[#This Row],[Unit Cost]]</f>
        <v>340</v>
      </c>
      <c r="X2478" s="77">
        <f>'Dropdown Lists'!$I$2*(1+OrdersTable[[#This Row],[Returned]])</f>
        <v>60</v>
      </c>
      <c r="Y2478" s="76">
        <f>OrdersTable[[#This Row],[Net Revenue]]-OrdersTable[[#This Row],[COGS]]-OrdersTable[[#This Row],[Shipping Cost]]</f>
        <v>533.29999999999995</v>
      </c>
      <c r="Z2478" s="78">
        <f>IFERROR(OrdersTable[[#This Row],[Profit]]/OrdersTable[[#This Row],[Net Revenue]],0)</f>
        <v>0.57141326475945564</v>
      </c>
      <c r="AA2478" t="s">
        <v>4450</v>
      </c>
      <c r="AB2478" s="79">
        <v>45711</v>
      </c>
      <c r="AC2478">
        <f>OrdersTable[[#This Row],[Delivery Date]]-OrdersTable[[#This Row],[Order Date]]</f>
        <v>2</v>
      </c>
      <c r="AD2478" t="str">
        <f>IF(OrdersTable[[#This Row],[Delivery Days]]&lt;=2, "Express (≤2d)", IF(OrdersTable[[#This Row],[Delivery Days]]&lt;=4, "Standard (3-4d)", "Delayed (5d+)"))</f>
        <v>Express (≤2d)</v>
      </c>
      <c r="AE2478">
        <v>4</v>
      </c>
      <c r="AF2478">
        <v>0</v>
      </c>
    </row>
    <row r="2479" spans="1:32" ht="15" x14ac:dyDescent="0.35">
      <c r="A2479" t="s">
        <v>5173</v>
      </c>
      <c r="B2479" s="1">
        <v>45709</v>
      </c>
      <c r="C2479">
        <f>YEAR(OrdersTable[[#This Row],[Order Date]])</f>
        <v>2025</v>
      </c>
      <c r="D2479" s="2">
        <f>DATE(YEAR(OrdersTable[[#This Row],[Order Date]]),MONTH(OrdersTable[[#This Row],[Order Date]]),1)</f>
        <v>45689</v>
      </c>
      <c r="E2479">
        <f>MONTH(OrdersTable[[#This Row],[Order Date]])</f>
        <v>2</v>
      </c>
      <c r="F2479" t="s">
        <v>5174</v>
      </c>
      <c r="G2479" t="str">
        <f>IF(OrdersTable[[#This Row],[Order Date]]=_xlfn.MINIFS(Order_Date, Customer_ID, OrdersTable[[#This Row],[Customer ID]]), "New", "Repeat")</f>
        <v>New</v>
      </c>
      <c r="H2479" t="s">
        <v>275</v>
      </c>
      <c r="I2479" t="str">
        <f>INDEX(State!B:B,MATCH(OrdersTable[[#This Row],[State]],State!A:A,0))</f>
        <v>AP</v>
      </c>
      <c r="J2479" t="str">
        <f>INDEX(State!C:C,MATCH(OrdersTable[[#This Row],[State Code]],State!B:B,0))</f>
        <v>South</v>
      </c>
      <c r="K2479" t="s">
        <v>491</v>
      </c>
      <c r="L2479" t="s">
        <v>65</v>
      </c>
      <c r="M2479" t="s">
        <v>56</v>
      </c>
      <c r="N2479" t="str">
        <f>INDEX(Products!B:B,MATCH(OrdersTable[[#This Row],[Product ID]],Products!A:A,0))</f>
        <v>Vitamin C Face Serum</v>
      </c>
      <c r="O2479" t="str">
        <f>INDEX(Products!C:C,MATCH(OrdersTable[[#This Row],[Product ID]],Products!A:A,0))</f>
        <v>Skincare</v>
      </c>
      <c r="P2479">
        <v>2</v>
      </c>
      <c r="Q2479" s="5">
        <v>599</v>
      </c>
      <c r="R2479" s="74">
        <v>0.1</v>
      </c>
      <c r="S2479" s="75">
        <f>OrdersTable[[#This Row],[Quantity]]*OrdersTable[[#This Row],[Unit Price]]</f>
        <v>1198</v>
      </c>
      <c r="T2479" s="5">
        <f>OrdersTable[[#This Row],[Gross Sale]]*OrdersTable[[#This Row],[Discount_Clean2]]</f>
        <v>119.80000000000001</v>
      </c>
      <c r="U2479" s="5">
        <f>OrdersTable[[#This Row],[Gross Sale]]-OrdersTable[[#This Row],[Discount Amount]]</f>
        <v>1078.2</v>
      </c>
      <c r="V2479" s="77">
        <f>INDEX(Products!E:E,MATCH(OrdersTable[[#This Row],[Product ID]],Products!A:A,0))</f>
        <v>180</v>
      </c>
      <c r="W2479" s="77">
        <f>OrdersTable[[#This Row],[Quantity]]*OrdersTable[[#This Row],[Unit Cost]]</f>
        <v>360</v>
      </c>
      <c r="X2479" s="77">
        <f>'Dropdown Lists'!$I$2*(1+OrdersTable[[#This Row],[Returned]])</f>
        <v>60</v>
      </c>
      <c r="Y2479" s="76">
        <f>OrdersTable[[#This Row],[Net Revenue]]-OrdersTable[[#This Row],[COGS]]-OrdersTable[[#This Row],[Shipping Cost]]</f>
        <v>658.2</v>
      </c>
      <c r="Z2479" s="78">
        <f>IFERROR(OrdersTable[[#This Row],[Profit]]/OrdersTable[[#This Row],[Net Revenue]],0)</f>
        <v>0.6104618809126322</v>
      </c>
      <c r="AA2479" t="s">
        <v>3495</v>
      </c>
      <c r="AB2479" s="79">
        <v>45711</v>
      </c>
      <c r="AC2479">
        <f>OrdersTable[[#This Row],[Delivery Date]]-OrdersTable[[#This Row],[Order Date]]</f>
        <v>2</v>
      </c>
      <c r="AD2479" t="str">
        <f>IF(OrdersTable[[#This Row],[Delivery Days]]&lt;=2, "Express (≤2d)", IF(OrdersTable[[#This Row],[Delivery Days]]&lt;=4, "Standard (3-4d)", "Delayed (5d+)"))</f>
        <v>Express (≤2d)</v>
      </c>
      <c r="AE2479">
        <v>4</v>
      </c>
      <c r="AF2479">
        <v>0</v>
      </c>
    </row>
    <row r="2480" spans="1:32" ht="15" x14ac:dyDescent="0.35">
      <c r="A2480" t="s">
        <v>2136</v>
      </c>
      <c r="B2480" s="1">
        <v>45709</v>
      </c>
      <c r="C2480">
        <f>YEAR(OrdersTable[[#This Row],[Order Date]])</f>
        <v>2025</v>
      </c>
      <c r="D2480" s="2">
        <f>DATE(YEAR(OrdersTable[[#This Row],[Order Date]]),MONTH(OrdersTable[[#This Row],[Order Date]]),1)</f>
        <v>45689</v>
      </c>
      <c r="E2480">
        <f>MONTH(OrdersTable[[#This Row],[Order Date]])</f>
        <v>2</v>
      </c>
      <c r="F2480" t="s">
        <v>2137</v>
      </c>
      <c r="G2480" t="str">
        <f>IF(OrdersTable[[#This Row],[Order Date]]=_xlfn.MINIFS(Order_Date, Customer_ID, OrdersTable[[#This Row],[Customer ID]]), "New", "Repeat")</f>
        <v>Repeat</v>
      </c>
      <c r="H2480" t="s">
        <v>59</v>
      </c>
      <c r="I2480" t="str">
        <f>INDEX(State!B:B,MATCH(OrdersTable[[#This Row],[State]],State!A:A,0))</f>
        <v>TN</v>
      </c>
      <c r="J2480" t="str">
        <f>INDEX(State!C:C,MATCH(OrdersTable[[#This Row],[State Code]],State!B:B,0))</f>
        <v>South</v>
      </c>
      <c r="K2480" t="s">
        <v>60</v>
      </c>
      <c r="L2480" t="s">
        <v>50</v>
      </c>
      <c r="M2480" t="s">
        <v>40</v>
      </c>
      <c r="N2480" t="str">
        <f>INDEX(Products!B:B,MATCH(OrdersTable[[#This Row],[Product ID]],Products!A:A,0))</f>
        <v>Ashwagandha Capsules</v>
      </c>
      <c r="O2480" t="str">
        <f>INDEX(Products!C:C,MATCH(OrdersTable[[#This Row],[Product ID]],Products!A:A,0))</f>
        <v>Wellness</v>
      </c>
      <c r="P2480">
        <v>1</v>
      </c>
      <c r="Q2480" s="5">
        <v>499</v>
      </c>
      <c r="R2480" s="74">
        <v>0</v>
      </c>
      <c r="S2480" s="75">
        <f>OrdersTable[[#This Row],[Quantity]]*OrdersTable[[#This Row],[Unit Price]]</f>
        <v>499</v>
      </c>
      <c r="T2480" s="5">
        <f>OrdersTable[[#This Row],[Gross Sale]]*OrdersTable[[#This Row],[Discount_Clean2]]</f>
        <v>0</v>
      </c>
      <c r="U2480" s="5">
        <f>OrdersTable[[#This Row],[Gross Sale]]-OrdersTable[[#This Row],[Discount Amount]]</f>
        <v>499</v>
      </c>
      <c r="V2480" s="77">
        <f>INDEX(Products!E:E,MATCH(OrdersTable[[#This Row],[Product ID]],Products!A:A,0))</f>
        <v>150</v>
      </c>
      <c r="W2480" s="77">
        <f>OrdersTable[[#This Row],[Quantity]]*OrdersTable[[#This Row],[Unit Cost]]</f>
        <v>150</v>
      </c>
      <c r="X2480" s="77">
        <f>'Dropdown Lists'!$I$2*(1+OrdersTable[[#This Row],[Returned]])</f>
        <v>60</v>
      </c>
      <c r="Y2480" s="76">
        <f>OrdersTable[[#This Row],[Net Revenue]]-OrdersTable[[#This Row],[COGS]]-OrdersTable[[#This Row],[Shipping Cost]]</f>
        <v>289</v>
      </c>
      <c r="Z2480" s="78">
        <f>IFERROR(OrdersTable[[#This Row],[Profit]]/OrdersTable[[#This Row],[Net Revenue]],0)</f>
        <v>0.57915831663326656</v>
      </c>
      <c r="AA2480" t="s">
        <v>18</v>
      </c>
      <c r="AB2480" s="79">
        <v>45711</v>
      </c>
      <c r="AC2480">
        <f>OrdersTable[[#This Row],[Delivery Date]]-OrdersTable[[#This Row],[Order Date]]</f>
        <v>2</v>
      </c>
      <c r="AD2480" t="str">
        <f>IF(OrdersTable[[#This Row],[Delivery Days]]&lt;=2, "Express (≤2d)", IF(OrdersTable[[#This Row],[Delivery Days]]&lt;=4, "Standard (3-4d)", "Delayed (5d+)"))</f>
        <v>Express (≤2d)</v>
      </c>
      <c r="AE2480">
        <v>3</v>
      </c>
      <c r="AF2480">
        <v>0</v>
      </c>
    </row>
    <row r="2481" spans="1:32" ht="15" x14ac:dyDescent="0.35">
      <c r="A2481" t="s">
        <v>4394</v>
      </c>
      <c r="B2481" s="1">
        <v>45710</v>
      </c>
      <c r="C2481">
        <f>YEAR(OrdersTable[[#This Row],[Order Date]])</f>
        <v>2025</v>
      </c>
      <c r="D2481" s="2">
        <f>DATE(YEAR(OrdersTable[[#This Row],[Order Date]]),MONTH(OrdersTable[[#This Row],[Order Date]]),1)</f>
        <v>45689</v>
      </c>
      <c r="E2481">
        <f>MONTH(OrdersTable[[#This Row],[Order Date]])</f>
        <v>2</v>
      </c>
      <c r="F2481" t="s">
        <v>327</v>
      </c>
      <c r="G2481" t="str">
        <f>IF(OrdersTable[[#This Row],[Order Date]]=_xlfn.MINIFS(Order_Date, Customer_ID, OrdersTable[[#This Row],[Customer ID]]), "New", "Repeat")</f>
        <v>New</v>
      </c>
      <c r="H2481" t="s">
        <v>37</v>
      </c>
      <c r="I2481" t="str">
        <f>INDEX(State!B:B,MATCH(OrdersTable[[#This Row],[State]],State!A:A,0))</f>
        <v>GJ</v>
      </c>
      <c r="J2481" t="str">
        <f>INDEX(State!C:C,MATCH(OrdersTable[[#This Row],[State Code]],State!B:B,0))</f>
        <v>West</v>
      </c>
      <c r="K2481" t="s">
        <v>247</v>
      </c>
      <c r="L2481" t="s">
        <v>50</v>
      </c>
      <c r="M2481" t="s">
        <v>56</v>
      </c>
      <c r="N2481" t="str">
        <f>INDEX(Products!B:B,MATCH(OrdersTable[[#This Row],[Product ID]],Products!A:A,0))</f>
        <v>Vitamin C Face Serum</v>
      </c>
      <c r="O2481" t="str">
        <f>INDEX(Products!C:C,MATCH(OrdersTable[[#This Row],[Product ID]],Products!A:A,0))</f>
        <v>Skincare</v>
      </c>
      <c r="P2481">
        <v>1</v>
      </c>
      <c r="Q2481" s="5">
        <v>599</v>
      </c>
      <c r="R2481" s="74">
        <v>0.1</v>
      </c>
      <c r="S2481" s="75">
        <f>OrdersTable[[#This Row],[Quantity]]*OrdersTable[[#This Row],[Unit Price]]</f>
        <v>599</v>
      </c>
      <c r="T2481" s="5">
        <f>OrdersTable[[#This Row],[Gross Sale]]*OrdersTable[[#This Row],[Discount_Clean2]]</f>
        <v>59.900000000000006</v>
      </c>
      <c r="U2481" s="5">
        <f>OrdersTable[[#This Row],[Gross Sale]]-OrdersTable[[#This Row],[Discount Amount]]</f>
        <v>539.1</v>
      </c>
      <c r="V2481" s="77">
        <f>INDEX(Products!E:E,MATCH(OrdersTable[[#This Row],[Product ID]],Products!A:A,0))</f>
        <v>180</v>
      </c>
      <c r="W2481" s="77">
        <f>OrdersTable[[#This Row],[Quantity]]*OrdersTable[[#This Row],[Unit Cost]]</f>
        <v>180</v>
      </c>
      <c r="X2481" s="77">
        <f>'Dropdown Lists'!$I$2*(1+OrdersTable[[#This Row],[Returned]])</f>
        <v>60</v>
      </c>
      <c r="Y2481" s="76">
        <f>OrdersTable[[#This Row],[Net Revenue]]-OrdersTable[[#This Row],[COGS]]-OrdersTable[[#This Row],[Shipping Cost]]</f>
        <v>299.10000000000002</v>
      </c>
      <c r="Z2481" s="78">
        <f>IFERROR(OrdersTable[[#This Row],[Profit]]/OrdersTable[[#This Row],[Net Revenue]],0)</f>
        <v>0.5548135781858653</v>
      </c>
      <c r="AA2481" t="s">
        <v>4074</v>
      </c>
      <c r="AB2481" s="79">
        <v>45712</v>
      </c>
      <c r="AC2481">
        <f>OrdersTable[[#This Row],[Delivery Date]]-OrdersTable[[#This Row],[Order Date]]</f>
        <v>2</v>
      </c>
      <c r="AD2481" t="str">
        <f>IF(OrdersTable[[#This Row],[Delivery Days]]&lt;=2, "Express (≤2d)", IF(OrdersTable[[#This Row],[Delivery Days]]&lt;=4, "Standard (3-4d)", "Delayed (5d+)"))</f>
        <v>Express (≤2d)</v>
      </c>
      <c r="AE2481">
        <v>4</v>
      </c>
      <c r="AF2481">
        <v>0</v>
      </c>
    </row>
    <row r="2482" spans="1:32" ht="15" x14ac:dyDescent="0.35">
      <c r="A2482" t="s">
        <v>3602</v>
      </c>
      <c r="B2482" s="1">
        <v>45710</v>
      </c>
      <c r="C2482">
        <f>YEAR(OrdersTable[[#This Row],[Order Date]])</f>
        <v>2025</v>
      </c>
      <c r="D2482" s="2">
        <f>DATE(YEAR(OrdersTable[[#This Row],[Order Date]]),MONTH(OrdersTable[[#This Row],[Order Date]]),1)</f>
        <v>45689</v>
      </c>
      <c r="E2482">
        <f>MONTH(OrdersTable[[#This Row],[Order Date]])</f>
        <v>2</v>
      </c>
      <c r="F2482" t="s">
        <v>1183</v>
      </c>
      <c r="G2482" t="str">
        <f>IF(OrdersTable[[#This Row],[Order Date]]=_xlfn.MINIFS(Order_Date, Customer_ID, OrdersTable[[#This Row],[Customer ID]]), "New", "Repeat")</f>
        <v>Repeat</v>
      </c>
      <c r="H2482" t="s">
        <v>43</v>
      </c>
      <c r="I2482" t="str">
        <f>INDEX(State!B:B,MATCH(OrdersTable[[#This Row],[State]],State!A:A,0))</f>
        <v>MP</v>
      </c>
      <c r="J2482" t="str">
        <f>INDEX(State!C:C,MATCH(OrdersTable[[#This Row],[State Code]],State!B:B,0))</f>
        <v>West</v>
      </c>
      <c r="K2482" t="s">
        <v>250</v>
      </c>
      <c r="L2482" t="s">
        <v>23</v>
      </c>
      <c r="M2482" t="s">
        <v>66</v>
      </c>
      <c r="N2482" t="str">
        <f>INDEX(Products!B:B,MATCH(OrdersTable[[#This Row],[Product ID]],Products!A:A,0))</f>
        <v>Sunscreen SPF 50</v>
      </c>
      <c r="O2482" t="str">
        <f>INDEX(Products!C:C,MATCH(OrdersTable[[#This Row],[Product ID]],Products!A:A,0))</f>
        <v>Skincare</v>
      </c>
      <c r="P2482">
        <v>1</v>
      </c>
      <c r="Q2482" s="5">
        <v>449</v>
      </c>
      <c r="R2482" s="74">
        <v>0.1</v>
      </c>
      <c r="S2482" s="75">
        <f>OrdersTable[[#This Row],[Quantity]]*OrdersTable[[#This Row],[Unit Price]]</f>
        <v>449</v>
      </c>
      <c r="T2482" s="5">
        <f>OrdersTable[[#This Row],[Gross Sale]]*OrdersTable[[#This Row],[Discount_Clean2]]</f>
        <v>44.900000000000006</v>
      </c>
      <c r="U2482" s="5">
        <f>OrdersTable[[#This Row],[Gross Sale]]-OrdersTable[[#This Row],[Discount Amount]]</f>
        <v>404.1</v>
      </c>
      <c r="V2482" s="77">
        <f>INDEX(Products!E:E,MATCH(OrdersTable[[#This Row],[Product ID]],Products!A:A,0))</f>
        <v>144</v>
      </c>
      <c r="W2482" s="77">
        <f>OrdersTable[[#This Row],[Quantity]]*OrdersTable[[#This Row],[Unit Cost]]</f>
        <v>144</v>
      </c>
      <c r="X2482" s="77">
        <f>'Dropdown Lists'!$I$2*(1+OrdersTable[[#This Row],[Returned]])</f>
        <v>120</v>
      </c>
      <c r="Y2482" s="76">
        <f>OrdersTable[[#This Row],[Net Revenue]]-OrdersTable[[#This Row],[COGS]]-OrdersTable[[#This Row],[Shipping Cost]]</f>
        <v>140.10000000000002</v>
      </c>
      <c r="Z2482" s="78">
        <f>IFERROR(OrdersTable[[#This Row],[Profit]]/OrdersTable[[#This Row],[Net Revenue]],0)</f>
        <v>0.34669636228656275</v>
      </c>
      <c r="AA2482" t="s">
        <v>3495</v>
      </c>
      <c r="AB2482" s="79">
        <v>45714</v>
      </c>
      <c r="AC2482">
        <f>OrdersTable[[#This Row],[Delivery Date]]-OrdersTable[[#This Row],[Order Date]]</f>
        <v>4</v>
      </c>
      <c r="AD2482" t="str">
        <f>IF(OrdersTable[[#This Row],[Delivery Days]]&lt;=2, "Express (≤2d)", IF(OrdersTable[[#This Row],[Delivery Days]]&lt;=4, "Standard (3-4d)", "Delayed (5d+)"))</f>
        <v>Standard (3-4d)</v>
      </c>
      <c r="AE2482">
        <v>4</v>
      </c>
      <c r="AF2482">
        <v>1</v>
      </c>
    </row>
    <row r="2483" spans="1:32" ht="15" x14ac:dyDescent="0.35">
      <c r="A2483" t="s">
        <v>6887</v>
      </c>
      <c r="B2483" s="1">
        <v>45710</v>
      </c>
      <c r="C2483">
        <f>YEAR(OrdersTable[[#This Row],[Order Date]])</f>
        <v>2025</v>
      </c>
      <c r="D2483" s="2">
        <f>DATE(YEAR(OrdersTable[[#This Row],[Order Date]]),MONTH(OrdersTable[[#This Row],[Order Date]]),1)</f>
        <v>45689</v>
      </c>
      <c r="E2483">
        <f>MONTH(OrdersTable[[#This Row],[Order Date]])</f>
        <v>2</v>
      </c>
      <c r="F2483" t="s">
        <v>284</v>
      </c>
      <c r="G2483" t="str">
        <f>IF(OrdersTable[[#This Row],[Order Date]]=_xlfn.MINIFS(Order_Date, Customer_ID, OrdersTable[[#This Row],[Customer ID]]), "New", "Repeat")</f>
        <v>Repeat</v>
      </c>
      <c r="H2483" t="s">
        <v>59</v>
      </c>
      <c r="I2483" t="str">
        <f>INDEX(State!B:B,MATCH(OrdersTable[[#This Row],[State]],State!A:A,0))</f>
        <v>TN</v>
      </c>
      <c r="J2483" t="str">
        <f>INDEX(State!C:C,MATCH(OrdersTable[[#This Row],[State Code]],State!B:B,0))</f>
        <v>South</v>
      </c>
      <c r="K2483" t="s">
        <v>60</v>
      </c>
      <c r="L2483" t="s">
        <v>65</v>
      </c>
      <c r="M2483" t="s">
        <v>109</v>
      </c>
      <c r="N2483" t="str">
        <f>INDEX(Products!B:B,MATCH(OrdersTable[[#This Row],[Product ID]],Products!A:A,0))</f>
        <v>Onion Hair Oil</v>
      </c>
      <c r="O2483" t="str">
        <f>INDEX(Products!C:C,MATCH(OrdersTable[[#This Row],[Product ID]],Products!A:A,0))</f>
        <v>Haircare</v>
      </c>
      <c r="P2483">
        <v>3</v>
      </c>
      <c r="Q2483" s="5">
        <v>349</v>
      </c>
      <c r="R2483" s="74">
        <v>0.25</v>
      </c>
      <c r="S2483" s="75">
        <f>OrdersTable[[#This Row],[Quantity]]*OrdersTable[[#This Row],[Unit Price]]</f>
        <v>1047</v>
      </c>
      <c r="T2483" s="5">
        <f>OrdersTable[[#This Row],[Gross Sale]]*OrdersTable[[#This Row],[Discount_Clean2]]</f>
        <v>261.75</v>
      </c>
      <c r="U2483" s="5">
        <f>OrdersTable[[#This Row],[Gross Sale]]-OrdersTable[[#This Row],[Discount Amount]]</f>
        <v>785.25</v>
      </c>
      <c r="V2483" s="77">
        <f>INDEX(Products!E:E,MATCH(OrdersTable[[#This Row],[Product ID]],Products!A:A,0))</f>
        <v>105</v>
      </c>
      <c r="W2483" s="77">
        <f>OrdersTable[[#This Row],[Quantity]]*OrdersTable[[#This Row],[Unit Cost]]</f>
        <v>315</v>
      </c>
      <c r="X2483" s="77">
        <f>'Dropdown Lists'!$I$2*(1+OrdersTable[[#This Row],[Returned]])</f>
        <v>60</v>
      </c>
      <c r="Y2483" s="76">
        <f>OrdersTable[[#This Row],[Net Revenue]]-OrdersTable[[#This Row],[COGS]]-OrdersTable[[#This Row],[Shipping Cost]]</f>
        <v>410.25</v>
      </c>
      <c r="Z2483" s="78">
        <f>IFERROR(OrdersTable[[#This Row],[Profit]]/OrdersTable[[#This Row],[Net Revenue]],0)</f>
        <v>0.52244508118433619</v>
      </c>
      <c r="AA2483" t="s">
        <v>4074</v>
      </c>
      <c r="AB2483" s="79">
        <v>45712</v>
      </c>
      <c r="AC2483">
        <f>OrdersTable[[#This Row],[Delivery Date]]-OrdersTable[[#This Row],[Order Date]]</f>
        <v>2</v>
      </c>
      <c r="AD2483" t="str">
        <f>IF(OrdersTable[[#This Row],[Delivery Days]]&lt;=2, "Express (≤2d)", IF(OrdersTable[[#This Row],[Delivery Days]]&lt;=4, "Standard (3-4d)", "Delayed (5d+)"))</f>
        <v>Express (≤2d)</v>
      </c>
      <c r="AE2483">
        <v>4</v>
      </c>
      <c r="AF2483">
        <v>0</v>
      </c>
    </row>
    <row r="2484" spans="1:32" ht="15" x14ac:dyDescent="0.35">
      <c r="A2484" t="s">
        <v>2601</v>
      </c>
      <c r="B2484" s="1">
        <v>45710</v>
      </c>
      <c r="C2484">
        <f>YEAR(OrdersTable[[#This Row],[Order Date]])</f>
        <v>2025</v>
      </c>
      <c r="D2484" s="2">
        <f>DATE(YEAR(OrdersTable[[#This Row],[Order Date]]),MONTH(OrdersTable[[#This Row],[Order Date]]),1)</f>
        <v>45689</v>
      </c>
      <c r="E2484">
        <f>MONTH(OrdersTable[[#This Row],[Order Date]])</f>
        <v>2</v>
      </c>
      <c r="F2484" t="s">
        <v>508</v>
      </c>
      <c r="G2484" t="str">
        <f>IF(OrdersTable[[#This Row],[Order Date]]=_xlfn.MINIFS(Order_Date, Customer_ID, OrdersTable[[#This Row],[Customer ID]]), "New", "Repeat")</f>
        <v>Repeat</v>
      </c>
      <c r="H2484" t="s">
        <v>59</v>
      </c>
      <c r="I2484" t="str">
        <f>INDEX(State!B:B,MATCH(OrdersTable[[#This Row],[State]],State!A:A,0))</f>
        <v>TN</v>
      </c>
      <c r="J2484" t="str">
        <f>INDEX(State!C:C,MATCH(OrdersTable[[#This Row],[State Code]],State!B:B,0))</f>
        <v>South</v>
      </c>
      <c r="K2484" t="s">
        <v>64</v>
      </c>
      <c r="L2484" t="s">
        <v>23</v>
      </c>
      <c r="M2484" t="s">
        <v>228</v>
      </c>
      <c r="N2484" t="str">
        <f>INDEX(Products!B:B,MATCH(OrdersTable[[#This Row],[Product ID]],Products!A:A,0))</f>
        <v>Fast Charger 33W</v>
      </c>
      <c r="O2484" t="str">
        <f>INDEX(Products!C:C,MATCH(OrdersTable[[#This Row],[Product ID]],Products!A:A,0))</f>
        <v>Electronics</v>
      </c>
      <c r="P2484">
        <v>1</v>
      </c>
      <c r="Q2484" s="5">
        <v>899</v>
      </c>
      <c r="R2484" s="74">
        <v>0.05</v>
      </c>
      <c r="S2484" s="75">
        <f>OrdersTable[[#This Row],[Quantity]]*OrdersTable[[#This Row],[Unit Price]]</f>
        <v>899</v>
      </c>
      <c r="T2484" s="5">
        <f>OrdersTable[[#This Row],[Gross Sale]]*OrdersTable[[#This Row],[Discount_Clean2]]</f>
        <v>44.95</v>
      </c>
      <c r="U2484" s="5">
        <f>OrdersTable[[#This Row],[Gross Sale]]-OrdersTable[[#This Row],[Discount Amount]]</f>
        <v>854.05</v>
      </c>
      <c r="V2484" s="77">
        <f>INDEX(Products!E:E,MATCH(OrdersTable[[#This Row],[Product ID]],Products!A:A,0))</f>
        <v>494</v>
      </c>
      <c r="W2484" s="77">
        <f>OrdersTable[[#This Row],[Quantity]]*OrdersTable[[#This Row],[Unit Cost]]</f>
        <v>494</v>
      </c>
      <c r="X2484" s="77">
        <f>'Dropdown Lists'!$I$2*(1+OrdersTable[[#This Row],[Returned]])</f>
        <v>60</v>
      </c>
      <c r="Y2484" s="76">
        <f>OrdersTable[[#This Row],[Net Revenue]]-OrdersTable[[#This Row],[COGS]]-OrdersTable[[#This Row],[Shipping Cost]]</f>
        <v>300.04999999999995</v>
      </c>
      <c r="Z2484" s="78">
        <f>IFERROR(OrdersTable[[#This Row],[Profit]]/OrdersTable[[#This Row],[Net Revenue]],0)</f>
        <v>0.35132603477548152</v>
      </c>
      <c r="AA2484" t="s">
        <v>2522</v>
      </c>
      <c r="AB2484" s="79">
        <v>45714</v>
      </c>
      <c r="AC2484">
        <f>OrdersTable[[#This Row],[Delivery Date]]-OrdersTable[[#This Row],[Order Date]]</f>
        <v>4</v>
      </c>
      <c r="AD2484" t="str">
        <f>IF(OrdersTable[[#This Row],[Delivery Days]]&lt;=2, "Express (≤2d)", IF(OrdersTable[[#This Row],[Delivery Days]]&lt;=4, "Standard (3-4d)", "Delayed (5d+)"))</f>
        <v>Standard (3-4d)</v>
      </c>
      <c r="AE2484">
        <v>5</v>
      </c>
      <c r="AF2484">
        <v>0</v>
      </c>
    </row>
    <row r="2485" spans="1:32" ht="15" x14ac:dyDescent="0.35">
      <c r="A2485" t="s">
        <v>1960</v>
      </c>
      <c r="B2485" s="1">
        <v>45711</v>
      </c>
      <c r="C2485">
        <f>YEAR(OrdersTable[[#This Row],[Order Date]])</f>
        <v>2025</v>
      </c>
      <c r="D2485" s="2">
        <f>DATE(YEAR(OrdersTable[[#This Row],[Order Date]]),MONTH(OrdersTable[[#This Row],[Order Date]]),1)</f>
        <v>45689</v>
      </c>
      <c r="E2485">
        <f>MONTH(OrdersTable[[#This Row],[Order Date]])</f>
        <v>2</v>
      </c>
      <c r="F2485" t="s">
        <v>1961</v>
      </c>
      <c r="G2485" t="str">
        <f>IF(OrdersTable[[#This Row],[Order Date]]=_xlfn.MINIFS(Order_Date, Customer_ID, OrdersTable[[#This Row],[Customer ID]]), "New", "Repeat")</f>
        <v>Repeat</v>
      </c>
      <c r="H2485" t="s">
        <v>54</v>
      </c>
      <c r="I2485" t="str">
        <f>INDEX(State!B:B,MATCH(OrdersTable[[#This Row],[State]],State!A:A,0))</f>
        <v>RJ</v>
      </c>
      <c r="J2485" t="str">
        <f>INDEX(State!C:C,MATCH(OrdersTable[[#This Row],[State Code]],State!B:B,0))</f>
        <v>North</v>
      </c>
      <c r="K2485" t="s">
        <v>227</v>
      </c>
      <c r="L2485" t="s">
        <v>23</v>
      </c>
      <c r="M2485" t="s">
        <v>73</v>
      </c>
      <c r="N2485" t="str">
        <f>INDEX(Products!B:B,MATCH(OrdersTable[[#This Row],[Product ID]],Products!A:A,0))</f>
        <v>Hydrating Face Wash</v>
      </c>
      <c r="O2485" t="str">
        <f>INDEX(Products!C:C,MATCH(OrdersTable[[#This Row],[Product ID]],Products!A:A,0))</f>
        <v>Skincare</v>
      </c>
      <c r="P2485">
        <v>1</v>
      </c>
      <c r="Q2485" s="5">
        <v>299</v>
      </c>
      <c r="R2485" s="74">
        <v>0.05</v>
      </c>
      <c r="S2485" s="75">
        <f>OrdersTable[[#This Row],[Quantity]]*OrdersTable[[#This Row],[Unit Price]]</f>
        <v>299</v>
      </c>
      <c r="T2485" s="5">
        <f>OrdersTable[[#This Row],[Gross Sale]]*OrdersTable[[#This Row],[Discount_Clean2]]</f>
        <v>14.950000000000001</v>
      </c>
      <c r="U2485" s="5">
        <f>OrdersTable[[#This Row],[Gross Sale]]-OrdersTable[[#This Row],[Discount Amount]]</f>
        <v>284.05</v>
      </c>
      <c r="V2485" s="77">
        <f>INDEX(Products!E:E,MATCH(OrdersTable[[#This Row],[Product ID]],Products!A:A,0))</f>
        <v>90</v>
      </c>
      <c r="W2485" s="77">
        <f>OrdersTable[[#This Row],[Quantity]]*OrdersTable[[#This Row],[Unit Cost]]</f>
        <v>90</v>
      </c>
      <c r="X2485" s="77">
        <f>'Dropdown Lists'!$I$2*(1+OrdersTable[[#This Row],[Returned]])</f>
        <v>60</v>
      </c>
      <c r="Y2485" s="76">
        <f>OrdersTable[[#This Row],[Net Revenue]]-OrdersTable[[#This Row],[COGS]]-OrdersTable[[#This Row],[Shipping Cost]]</f>
        <v>134.05000000000001</v>
      </c>
      <c r="Z2485" s="78">
        <f>IFERROR(OrdersTable[[#This Row],[Profit]]/OrdersTable[[#This Row],[Net Revenue]],0)</f>
        <v>0.47192395704981521</v>
      </c>
      <c r="AA2485" t="s">
        <v>18</v>
      </c>
      <c r="AB2485" s="79">
        <v>45714</v>
      </c>
      <c r="AC2485">
        <f>OrdersTable[[#This Row],[Delivery Date]]-OrdersTable[[#This Row],[Order Date]]</f>
        <v>3</v>
      </c>
      <c r="AD2485" t="str">
        <f>IF(OrdersTable[[#This Row],[Delivery Days]]&lt;=2, "Express (≤2d)", IF(OrdersTable[[#This Row],[Delivery Days]]&lt;=4, "Standard (3-4d)", "Delayed (5d+)"))</f>
        <v>Standard (3-4d)</v>
      </c>
      <c r="AE2485">
        <v>3</v>
      </c>
      <c r="AF2485">
        <v>0</v>
      </c>
    </row>
    <row r="2486" spans="1:32" ht="15" x14ac:dyDescent="0.35">
      <c r="A2486" t="s">
        <v>3023</v>
      </c>
      <c r="B2486" s="1">
        <v>45711</v>
      </c>
      <c r="C2486">
        <f>YEAR(OrdersTable[[#This Row],[Order Date]])</f>
        <v>2025</v>
      </c>
      <c r="D2486" s="2">
        <f>DATE(YEAR(OrdersTable[[#This Row],[Order Date]]),MONTH(OrdersTable[[#This Row],[Order Date]]),1)</f>
        <v>45689</v>
      </c>
      <c r="E2486">
        <f>MONTH(OrdersTable[[#This Row],[Order Date]])</f>
        <v>2</v>
      </c>
      <c r="F2486" t="s">
        <v>75</v>
      </c>
      <c r="G2486" t="str">
        <f>IF(OrdersTable[[#This Row],[Order Date]]=_xlfn.MINIFS(Order_Date, Customer_ID, OrdersTable[[#This Row],[Customer ID]]), "New", "Repeat")</f>
        <v>Repeat</v>
      </c>
      <c r="H2486" t="s">
        <v>54</v>
      </c>
      <c r="I2486" t="str">
        <f>INDEX(State!B:B,MATCH(OrdersTable[[#This Row],[State]],State!A:A,0))</f>
        <v>RJ</v>
      </c>
      <c r="J2486" t="str">
        <f>INDEX(State!C:C,MATCH(OrdersTable[[#This Row],[State Code]],State!B:B,0))</f>
        <v>North</v>
      </c>
      <c r="K2486" t="s">
        <v>227</v>
      </c>
      <c r="L2486" t="s">
        <v>23</v>
      </c>
      <c r="M2486" t="s">
        <v>92</v>
      </c>
      <c r="N2486" t="str">
        <f>INDEX(Products!B:B,MATCH(OrdersTable[[#This Row],[Product ID]],Products!A:A,0))</f>
        <v>Kolhapuri Sandals</v>
      </c>
      <c r="O2486" t="str">
        <f>INDEX(Products!C:C,MATCH(OrdersTable[[#This Row],[Product ID]],Products!A:A,0))</f>
        <v>Footwear</v>
      </c>
      <c r="P2486">
        <v>1</v>
      </c>
      <c r="Q2486" s="5">
        <v>999</v>
      </c>
      <c r="R2486" s="74">
        <v>0.1</v>
      </c>
      <c r="S2486" s="75">
        <f>OrdersTable[[#This Row],[Quantity]]*OrdersTable[[#This Row],[Unit Price]]</f>
        <v>999</v>
      </c>
      <c r="T2486" s="5">
        <f>OrdersTable[[#This Row],[Gross Sale]]*OrdersTable[[#This Row],[Discount_Clean2]]</f>
        <v>99.9</v>
      </c>
      <c r="U2486" s="5">
        <f>OrdersTable[[#This Row],[Gross Sale]]-OrdersTable[[#This Row],[Discount Amount]]</f>
        <v>899.1</v>
      </c>
      <c r="V2486" s="77">
        <f>INDEX(Products!E:E,MATCH(OrdersTable[[#This Row],[Product ID]],Products!A:A,0))</f>
        <v>400</v>
      </c>
      <c r="W2486" s="77">
        <f>OrdersTable[[#This Row],[Quantity]]*OrdersTable[[#This Row],[Unit Cost]]</f>
        <v>400</v>
      </c>
      <c r="X2486" s="77">
        <f>'Dropdown Lists'!$I$2*(1+OrdersTable[[#This Row],[Returned]])</f>
        <v>60</v>
      </c>
      <c r="Y2486" s="76">
        <f>OrdersTable[[#This Row],[Net Revenue]]-OrdersTable[[#This Row],[COGS]]-OrdersTable[[#This Row],[Shipping Cost]]</f>
        <v>439.1</v>
      </c>
      <c r="Z2486" s="78">
        <f>IFERROR(OrdersTable[[#This Row],[Profit]]/OrdersTable[[#This Row],[Net Revenue]],0)</f>
        <v>0.48837726615504395</v>
      </c>
      <c r="AA2486" t="s">
        <v>2522</v>
      </c>
      <c r="AB2486" s="79">
        <v>45714</v>
      </c>
      <c r="AC2486">
        <f>OrdersTable[[#This Row],[Delivery Date]]-OrdersTable[[#This Row],[Order Date]]</f>
        <v>3</v>
      </c>
      <c r="AD2486" t="str">
        <f>IF(OrdersTable[[#This Row],[Delivery Days]]&lt;=2, "Express (≤2d)", IF(OrdersTable[[#This Row],[Delivery Days]]&lt;=4, "Standard (3-4d)", "Delayed (5d+)"))</f>
        <v>Standard (3-4d)</v>
      </c>
      <c r="AF2486">
        <v>0</v>
      </c>
    </row>
    <row r="2487" spans="1:32" ht="15" x14ac:dyDescent="0.35">
      <c r="A2487" t="s">
        <v>4395</v>
      </c>
      <c r="B2487" s="1">
        <v>45711</v>
      </c>
      <c r="C2487">
        <f>YEAR(OrdersTable[[#This Row],[Order Date]])</f>
        <v>2025</v>
      </c>
      <c r="D2487" s="2">
        <f>DATE(YEAR(OrdersTable[[#This Row],[Order Date]]),MONTH(OrdersTable[[#This Row],[Order Date]]),1)</f>
        <v>45689</v>
      </c>
      <c r="E2487">
        <f>MONTH(OrdersTable[[#This Row],[Order Date]])</f>
        <v>2</v>
      </c>
      <c r="F2487" t="s">
        <v>4396</v>
      </c>
      <c r="G2487" t="str">
        <f>IF(OrdersTable[[#This Row],[Order Date]]=_xlfn.MINIFS(Order_Date, Customer_ID, OrdersTable[[#This Row],[Customer ID]]), "New", "Repeat")</f>
        <v>Repeat</v>
      </c>
      <c r="H2487" t="s">
        <v>128</v>
      </c>
      <c r="I2487" t="str">
        <f>INDEX(State!B:B,MATCH(OrdersTable[[#This Row],[State]],State!A:A,0))</f>
        <v>DL</v>
      </c>
      <c r="J2487" t="str">
        <f>INDEX(State!C:C,MATCH(OrdersTable[[#This Row],[State Code]],State!B:B,0))</f>
        <v>North</v>
      </c>
      <c r="K2487" t="s">
        <v>129</v>
      </c>
      <c r="L2487" t="s">
        <v>65</v>
      </c>
      <c r="M2487" t="s">
        <v>87</v>
      </c>
      <c r="N2487" t="str">
        <f>INDEX(Products!B:B,MATCH(OrdersTable[[#This Row],[Product ID]],Products!A:A,0))</f>
        <v>Linen Kurta</v>
      </c>
      <c r="O2487" t="str">
        <f>INDEX(Products!C:C,MATCH(OrdersTable[[#This Row],[Product ID]],Products!A:A,0))</f>
        <v>Apparel</v>
      </c>
      <c r="P2487">
        <v>1</v>
      </c>
      <c r="Q2487" s="5">
        <v>1499</v>
      </c>
      <c r="R2487" s="74">
        <v>0.25</v>
      </c>
      <c r="S2487" s="75">
        <f>OrdersTable[[#This Row],[Quantity]]*OrdersTable[[#This Row],[Unit Price]]</f>
        <v>1499</v>
      </c>
      <c r="T2487" s="5">
        <f>OrdersTable[[#This Row],[Gross Sale]]*OrdersTable[[#This Row],[Discount_Clean2]]</f>
        <v>374.75</v>
      </c>
      <c r="U2487" s="5">
        <f>OrdersTable[[#This Row],[Gross Sale]]-OrdersTable[[#This Row],[Discount Amount]]</f>
        <v>1124.25</v>
      </c>
      <c r="V2487" s="77">
        <f>INDEX(Products!E:E,MATCH(OrdersTable[[#This Row],[Product ID]],Products!A:A,0))</f>
        <v>630</v>
      </c>
      <c r="W2487" s="77">
        <f>OrdersTable[[#This Row],[Quantity]]*OrdersTable[[#This Row],[Unit Cost]]</f>
        <v>630</v>
      </c>
      <c r="X2487" s="77">
        <f>'Dropdown Lists'!$I$2*(1+OrdersTable[[#This Row],[Returned]])</f>
        <v>60</v>
      </c>
      <c r="Y2487" s="76">
        <f>OrdersTable[[#This Row],[Net Revenue]]-OrdersTable[[#This Row],[COGS]]-OrdersTable[[#This Row],[Shipping Cost]]</f>
        <v>434.25</v>
      </c>
      <c r="Z2487" s="78">
        <f>IFERROR(OrdersTable[[#This Row],[Profit]]/OrdersTable[[#This Row],[Net Revenue]],0)</f>
        <v>0.38625750500333556</v>
      </c>
      <c r="AA2487" t="s">
        <v>4074</v>
      </c>
      <c r="AB2487" s="79">
        <v>45713</v>
      </c>
      <c r="AC2487">
        <f>OrdersTable[[#This Row],[Delivery Date]]-OrdersTable[[#This Row],[Order Date]]</f>
        <v>2</v>
      </c>
      <c r="AD2487" t="str">
        <f>IF(OrdersTable[[#This Row],[Delivery Days]]&lt;=2, "Express (≤2d)", IF(OrdersTable[[#This Row],[Delivery Days]]&lt;=4, "Standard (3-4d)", "Delayed (5d+)"))</f>
        <v>Express (≤2d)</v>
      </c>
      <c r="AE2487">
        <v>4</v>
      </c>
      <c r="AF2487">
        <v>0</v>
      </c>
    </row>
    <row r="2488" spans="1:32" ht="15" x14ac:dyDescent="0.35">
      <c r="A2488" t="s">
        <v>3899</v>
      </c>
      <c r="B2488" s="1">
        <v>45712</v>
      </c>
      <c r="C2488">
        <f>YEAR(OrdersTable[[#This Row],[Order Date]])</f>
        <v>2025</v>
      </c>
      <c r="D2488" s="2">
        <f>DATE(YEAR(OrdersTable[[#This Row],[Order Date]]),MONTH(OrdersTable[[#This Row],[Order Date]]),1)</f>
        <v>45689</v>
      </c>
      <c r="E2488">
        <f>MONTH(OrdersTable[[#This Row],[Order Date]])</f>
        <v>2</v>
      </c>
      <c r="F2488" t="s">
        <v>2148</v>
      </c>
      <c r="G2488" t="str">
        <f>IF(OrdersTable[[#This Row],[Order Date]]=_xlfn.MINIFS(Order_Date, Customer_ID, OrdersTable[[#This Row],[Customer ID]]), "New", "Repeat")</f>
        <v>New</v>
      </c>
      <c r="H2488" t="s">
        <v>76</v>
      </c>
      <c r="I2488" t="str">
        <f>INDEX(State!B:B,MATCH(OrdersTable[[#This Row],[State]],State!A:A,0))</f>
        <v>UP</v>
      </c>
      <c r="J2488" t="str">
        <f>INDEX(State!C:C,MATCH(OrdersTable[[#This Row],[State Code]],State!B:B,0))</f>
        <v>North</v>
      </c>
      <c r="K2488" t="s">
        <v>105</v>
      </c>
      <c r="L2488" t="s">
        <v>50</v>
      </c>
      <c r="M2488" t="s">
        <v>40</v>
      </c>
      <c r="N2488" t="str">
        <f>INDEX(Products!B:B,MATCH(OrdersTable[[#This Row],[Product ID]],Products!A:A,0))</f>
        <v>Ashwagandha Capsules</v>
      </c>
      <c r="O2488" t="str">
        <f>INDEX(Products!C:C,MATCH(OrdersTable[[#This Row],[Product ID]],Products!A:A,0))</f>
        <v>Wellness</v>
      </c>
      <c r="P2488">
        <v>1</v>
      </c>
      <c r="Q2488" s="5">
        <v>499</v>
      </c>
      <c r="R2488" s="74">
        <v>0</v>
      </c>
      <c r="S2488" s="75">
        <f>OrdersTable[[#This Row],[Quantity]]*OrdersTable[[#This Row],[Unit Price]]</f>
        <v>499</v>
      </c>
      <c r="T2488" s="5">
        <f>OrdersTable[[#This Row],[Gross Sale]]*OrdersTable[[#This Row],[Discount_Clean2]]</f>
        <v>0</v>
      </c>
      <c r="U2488" s="5">
        <f>OrdersTable[[#This Row],[Gross Sale]]-OrdersTable[[#This Row],[Discount Amount]]</f>
        <v>499</v>
      </c>
      <c r="V2488" s="77">
        <f>INDEX(Products!E:E,MATCH(OrdersTable[[#This Row],[Product ID]],Products!A:A,0))</f>
        <v>150</v>
      </c>
      <c r="W2488" s="77">
        <f>OrdersTable[[#This Row],[Quantity]]*OrdersTable[[#This Row],[Unit Cost]]</f>
        <v>150</v>
      </c>
      <c r="X2488" s="77">
        <f>'Dropdown Lists'!$I$2*(1+OrdersTable[[#This Row],[Returned]])</f>
        <v>60</v>
      </c>
      <c r="Y2488" s="76">
        <f>OrdersTable[[#This Row],[Net Revenue]]-OrdersTable[[#This Row],[COGS]]-OrdersTable[[#This Row],[Shipping Cost]]</f>
        <v>289</v>
      </c>
      <c r="Z2488" s="78">
        <f>IFERROR(OrdersTable[[#This Row],[Profit]]/OrdersTable[[#This Row],[Net Revenue]],0)</f>
        <v>0.57915831663326656</v>
      </c>
      <c r="AA2488" t="s">
        <v>3495</v>
      </c>
      <c r="AB2488" s="79">
        <v>45718</v>
      </c>
      <c r="AC2488">
        <f>OrdersTable[[#This Row],[Delivery Date]]-OrdersTable[[#This Row],[Order Date]]</f>
        <v>6</v>
      </c>
      <c r="AD2488" t="str">
        <f>IF(OrdersTable[[#This Row],[Delivery Days]]&lt;=2, "Express (≤2d)", IF(OrdersTable[[#This Row],[Delivery Days]]&lt;=4, "Standard (3-4d)", "Delayed (5d+)"))</f>
        <v>Delayed (5d+)</v>
      </c>
      <c r="AE2488">
        <v>3</v>
      </c>
      <c r="AF2488">
        <v>0</v>
      </c>
    </row>
    <row r="2489" spans="1:32" ht="15" x14ac:dyDescent="0.35">
      <c r="A2489" t="s">
        <v>3603</v>
      </c>
      <c r="B2489" s="1">
        <v>45712</v>
      </c>
      <c r="C2489">
        <f>YEAR(OrdersTable[[#This Row],[Order Date]])</f>
        <v>2025</v>
      </c>
      <c r="D2489" s="2">
        <f>DATE(YEAR(OrdersTable[[#This Row],[Order Date]]),MONTH(OrdersTable[[#This Row],[Order Date]]),1)</f>
        <v>45689</v>
      </c>
      <c r="E2489">
        <f>MONTH(OrdersTable[[#This Row],[Order Date]])</f>
        <v>2</v>
      </c>
      <c r="F2489" t="s">
        <v>3604</v>
      </c>
      <c r="G2489" t="str">
        <f>IF(OrdersTable[[#This Row],[Order Date]]=_xlfn.MINIFS(Order_Date, Customer_ID, OrdersTable[[#This Row],[Customer ID]]), "New", "Repeat")</f>
        <v>New</v>
      </c>
      <c r="H2489" t="s">
        <v>32</v>
      </c>
      <c r="I2489" t="str">
        <f>INDEX(State!B:B,MATCH(OrdersTable[[#This Row],[State]],State!A:A,0))</f>
        <v>BR</v>
      </c>
      <c r="J2489" t="str">
        <f>INDEX(State!C:C,MATCH(OrdersTable[[#This Row],[State Code]],State!B:B,0))</f>
        <v>East</v>
      </c>
      <c r="K2489" t="s">
        <v>33</v>
      </c>
      <c r="L2489" t="s">
        <v>65</v>
      </c>
      <c r="M2489" t="s">
        <v>24</v>
      </c>
      <c r="N2489" t="str">
        <f>INDEX(Products!B:B,MATCH(OrdersTable[[#This Row],[Product ID]],Products!A:A,0))</f>
        <v>Scented Candle Set</v>
      </c>
      <c r="O2489" t="str">
        <f>INDEX(Products!C:C,MATCH(OrdersTable[[#This Row],[Product ID]],Products!A:A,0))</f>
        <v>Home &amp; Kitchen</v>
      </c>
      <c r="P2489">
        <v>1</v>
      </c>
      <c r="Q2489" s="5">
        <v>699</v>
      </c>
      <c r="R2489" s="74">
        <v>0.2</v>
      </c>
      <c r="S2489" s="75">
        <f>OrdersTable[[#This Row],[Quantity]]*OrdersTable[[#This Row],[Unit Price]]</f>
        <v>699</v>
      </c>
      <c r="T2489" s="5">
        <f>OrdersTable[[#This Row],[Gross Sale]]*OrdersTable[[#This Row],[Discount_Clean2]]</f>
        <v>139.80000000000001</v>
      </c>
      <c r="U2489" s="5">
        <f>OrdersTable[[#This Row],[Gross Sale]]-OrdersTable[[#This Row],[Discount Amount]]</f>
        <v>559.20000000000005</v>
      </c>
      <c r="V2489" s="77">
        <f>INDEX(Products!E:E,MATCH(OrdersTable[[#This Row],[Product ID]],Products!A:A,0))</f>
        <v>245</v>
      </c>
      <c r="W2489" s="77">
        <f>OrdersTable[[#This Row],[Quantity]]*OrdersTable[[#This Row],[Unit Cost]]</f>
        <v>245</v>
      </c>
      <c r="X2489" s="77">
        <f>'Dropdown Lists'!$I$2*(1+OrdersTable[[#This Row],[Returned]])</f>
        <v>60</v>
      </c>
      <c r="Y2489" s="76">
        <f>OrdersTable[[#This Row],[Net Revenue]]-OrdersTable[[#This Row],[COGS]]-OrdersTable[[#This Row],[Shipping Cost]]</f>
        <v>254.20000000000005</v>
      </c>
      <c r="Z2489" s="78">
        <f>IFERROR(OrdersTable[[#This Row],[Profit]]/OrdersTable[[#This Row],[Net Revenue]],0)</f>
        <v>0.45457796852646642</v>
      </c>
      <c r="AA2489" t="s">
        <v>3495</v>
      </c>
      <c r="AB2489" s="79">
        <v>45716</v>
      </c>
      <c r="AC2489">
        <f>OrdersTable[[#This Row],[Delivery Date]]-OrdersTable[[#This Row],[Order Date]]</f>
        <v>4</v>
      </c>
      <c r="AD2489" t="str">
        <f>IF(OrdersTable[[#This Row],[Delivery Days]]&lt;=2, "Express (≤2d)", IF(OrdersTable[[#This Row],[Delivery Days]]&lt;=4, "Standard (3-4d)", "Delayed (5d+)"))</f>
        <v>Standard (3-4d)</v>
      </c>
      <c r="AE2489">
        <v>4</v>
      </c>
      <c r="AF2489">
        <v>0</v>
      </c>
    </row>
    <row r="2490" spans="1:32" ht="15" x14ac:dyDescent="0.35">
      <c r="A2490" t="s">
        <v>3439</v>
      </c>
      <c r="B2490" s="1">
        <v>45712</v>
      </c>
      <c r="C2490">
        <f>YEAR(OrdersTable[[#This Row],[Order Date]])</f>
        <v>2025</v>
      </c>
      <c r="D2490" s="2">
        <f>DATE(YEAR(OrdersTable[[#This Row],[Order Date]]),MONTH(OrdersTable[[#This Row],[Order Date]]),1)</f>
        <v>45689</v>
      </c>
      <c r="E2490">
        <f>MONTH(OrdersTable[[#This Row],[Order Date]])</f>
        <v>2</v>
      </c>
      <c r="F2490" t="s">
        <v>3440</v>
      </c>
      <c r="G2490" t="str">
        <f>IF(OrdersTable[[#This Row],[Order Date]]=_xlfn.MINIFS(Order_Date, Customer_ID, OrdersTable[[#This Row],[Customer ID]]), "New", "Repeat")</f>
        <v>New</v>
      </c>
      <c r="H2490" t="s">
        <v>37</v>
      </c>
      <c r="I2490" t="str">
        <f>INDEX(State!B:B,MATCH(OrdersTable[[#This Row],[State]],State!A:A,0))</f>
        <v>GJ</v>
      </c>
      <c r="J2490" t="str">
        <f>INDEX(State!C:C,MATCH(OrdersTable[[#This Row],[State Code]],State!B:B,0))</f>
        <v>West</v>
      </c>
      <c r="K2490" t="s">
        <v>247</v>
      </c>
      <c r="L2490" t="s">
        <v>65</v>
      </c>
      <c r="M2490" t="s">
        <v>45</v>
      </c>
      <c r="N2490" t="str">
        <f>INDEX(Products!B:B,MATCH(OrdersTable[[#This Row],[Product ID]],Products!A:A,0))</f>
        <v>Argan Shampoo</v>
      </c>
      <c r="O2490" t="str">
        <f>INDEX(Products!C:C,MATCH(OrdersTable[[#This Row],[Product ID]],Products!A:A,0))</f>
        <v>Haircare</v>
      </c>
      <c r="P2490">
        <v>1</v>
      </c>
      <c r="Q2490" s="5">
        <v>449</v>
      </c>
      <c r="R2490" s="74">
        <v>0</v>
      </c>
      <c r="S2490" s="75">
        <f>OrdersTable[[#This Row],[Quantity]]*OrdersTable[[#This Row],[Unit Price]]</f>
        <v>449</v>
      </c>
      <c r="T2490" s="5">
        <f>OrdersTable[[#This Row],[Gross Sale]]*OrdersTable[[#This Row],[Discount_Clean2]]</f>
        <v>0</v>
      </c>
      <c r="U2490" s="5">
        <f>OrdersTable[[#This Row],[Gross Sale]]-OrdersTable[[#This Row],[Discount Amount]]</f>
        <v>449</v>
      </c>
      <c r="V2490" s="77">
        <f>INDEX(Products!E:E,MATCH(OrdersTable[[#This Row],[Product ID]],Products!A:A,0))</f>
        <v>148</v>
      </c>
      <c r="W2490" s="77">
        <f>OrdersTable[[#This Row],[Quantity]]*OrdersTable[[#This Row],[Unit Cost]]</f>
        <v>148</v>
      </c>
      <c r="X2490" s="77">
        <f>'Dropdown Lists'!$I$2*(1+OrdersTable[[#This Row],[Returned]])</f>
        <v>60</v>
      </c>
      <c r="Y2490" s="76">
        <f>OrdersTable[[#This Row],[Net Revenue]]-OrdersTable[[#This Row],[COGS]]-OrdersTable[[#This Row],[Shipping Cost]]</f>
        <v>241</v>
      </c>
      <c r="Z2490" s="78">
        <f>IFERROR(OrdersTable[[#This Row],[Profit]]/OrdersTable[[#This Row],[Net Revenue]],0)</f>
        <v>0.53674832962138086</v>
      </c>
      <c r="AA2490" t="s">
        <v>2522</v>
      </c>
      <c r="AB2490" s="79">
        <v>45715</v>
      </c>
      <c r="AC2490">
        <f>OrdersTable[[#This Row],[Delivery Date]]-OrdersTable[[#This Row],[Order Date]]</f>
        <v>3</v>
      </c>
      <c r="AD2490" t="str">
        <f>IF(OrdersTable[[#This Row],[Delivery Days]]&lt;=2, "Express (≤2d)", IF(OrdersTable[[#This Row],[Delivery Days]]&lt;=4, "Standard (3-4d)", "Delayed (5d+)"))</f>
        <v>Standard (3-4d)</v>
      </c>
      <c r="AE2490">
        <v>4</v>
      </c>
      <c r="AF2490">
        <v>0</v>
      </c>
    </row>
    <row r="2491" spans="1:32" ht="15" x14ac:dyDescent="0.35">
      <c r="A2491" t="s">
        <v>7086</v>
      </c>
      <c r="B2491" s="1">
        <v>45712</v>
      </c>
      <c r="C2491">
        <f>YEAR(OrdersTable[[#This Row],[Order Date]])</f>
        <v>2025</v>
      </c>
      <c r="D2491" s="2">
        <f>DATE(YEAR(OrdersTable[[#This Row],[Order Date]]),MONTH(OrdersTable[[#This Row],[Order Date]]),1)</f>
        <v>45689</v>
      </c>
      <c r="E2491">
        <f>MONTH(OrdersTable[[#This Row],[Order Date]])</f>
        <v>2</v>
      </c>
      <c r="F2491" t="s">
        <v>6426</v>
      </c>
      <c r="G2491" t="str">
        <f>IF(OrdersTable[[#This Row],[Order Date]]=_xlfn.MINIFS(Order_Date, Customer_ID, OrdersTable[[#This Row],[Customer ID]]), "New", "Repeat")</f>
        <v>New</v>
      </c>
      <c r="H2491" t="s">
        <v>37</v>
      </c>
      <c r="I2491" t="str">
        <f>INDEX(State!B:B,MATCH(OrdersTable[[#This Row],[State]],State!A:A,0))</f>
        <v>GJ</v>
      </c>
      <c r="J2491" t="str">
        <f>INDEX(State!C:C,MATCH(OrdersTable[[#This Row],[State Code]],State!B:B,0))</f>
        <v>West</v>
      </c>
      <c r="K2491" t="s">
        <v>38</v>
      </c>
      <c r="L2491" t="s">
        <v>65</v>
      </c>
      <c r="M2491" t="s">
        <v>34</v>
      </c>
      <c r="N2491" t="str">
        <f>INDEX(Products!B:B,MATCH(OrdersTable[[#This Row],[Product ID]],Products!A:A,0))</f>
        <v>Flip Flops</v>
      </c>
      <c r="O2491" t="str">
        <f>INDEX(Products!C:C,MATCH(OrdersTable[[#This Row],[Product ID]],Products!A:A,0))</f>
        <v>Footwear</v>
      </c>
      <c r="P2491">
        <v>4</v>
      </c>
      <c r="Q2491" s="5">
        <v>399</v>
      </c>
      <c r="R2491" s="74">
        <v>0.05</v>
      </c>
      <c r="S2491" s="75">
        <f>OrdersTable[[#This Row],[Quantity]]*OrdersTable[[#This Row],[Unit Price]]</f>
        <v>1596</v>
      </c>
      <c r="T2491" s="5">
        <f>OrdersTable[[#This Row],[Gross Sale]]*OrdersTable[[#This Row],[Discount_Clean2]]</f>
        <v>79.800000000000011</v>
      </c>
      <c r="U2491" s="5">
        <f>OrdersTable[[#This Row],[Gross Sale]]-OrdersTable[[#This Row],[Discount Amount]]</f>
        <v>1516.2</v>
      </c>
      <c r="V2491" s="77">
        <f>INDEX(Products!E:E,MATCH(OrdersTable[[#This Row],[Product ID]],Products!A:A,0))</f>
        <v>152</v>
      </c>
      <c r="W2491" s="77">
        <f>OrdersTable[[#This Row],[Quantity]]*OrdersTable[[#This Row],[Unit Cost]]</f>
        <v>608</v>
      </c>
      <c r="X2491" s="77">
        <f>'Dropdown Lists'!$I$2*(1+OrdersTable[[#This Row],[Returned]])</f>
        <v>60</v>
      </c>
      <c r="Y2491" s="76">
        <f>OrdersTable[[#This Row],[Net Revenue]]-OrdersTable[[#This Row],[COGS]]-OrdersTable[[#This Row],[Shipping Cost]]</f>
        <v>848.2</v>
      </c>
      <c r="Z2491" s="78">
        <f>IFERROR(OrdersTable[[#This Row],[Profit]]/OrdersTable[[#This Row],[Net Revenue]],0)</f>
        <v>0.55942487798443474</v>
      </c>
      <c r="AA2491" t="s">
        <v>18</v>
      </c>
      <c r="AB2491" s="79">
        <v>45714</v>
      </c>
      <c r="AC2491">
        <f>OrdersTable[[#This Row],[Delivery Date]]-OrdersTable[[#This Row],[Order Date]]</f>
        <v>2</v>
      </c>
      <c r="AD2491" t="str">
        <f>IF(OrdersTable[[#This Row],[Delivery Days]]&lt;=2, "Express (≤2d)", IF(OrdersTable[[#This Row],[Delivery Days]]&lt;=4, "Standard (3-4d)", "Delayed (5d+)"))</f>
        <v>Express (≤2d)</v>
      </c>
      <c r="AE2491">
        <v>5</v>
      </c>
      <c r="AF2491">
        <v>0</v>
      </c>
    </row>
    <row r="2492" spans="1:32" ht="15" x14ac:dyDescent="0.35">
      <c r="A2492" t="s">
        <v>1397</v>
      </c>
      <c r="B2492" s="1">
        <v>45712</v>
      </c>
      <c r="C2492">
        <f>YEAR(OrdersTable[[#This Row],[Order Date]])</f>
        <v>2025</v>
      </c>
      <c r="D2492" s="2">
        <f>DATE(YEAR(OrdersTable[[#This Row],[Order Date]]),MONTH(OrdersTable[[#This Row],[Order Date]]),1)</f>
        <v>45689</v>
      </c>
      <c r="E2492">
        <f>MONTH(OrdersTable[[#This Row],[Order Date]])</f>
        <v>2</v>
      </c>
      <c r="F2492" t="s">
        <v>1398</v>
      </c>
      <c r="G2492" t="str">
        <f>IF(OrdersTable[[#This Row],[Order Date]]=_xlfn.MINIFS(Order_Date, Customer_ID, OrdersTable[[#This Row],[Customer ID]]), "New", "Repeat")</f>
        <v>New</v>
      </c>
      <c r="H2492" t="s">
        <v>43</v>
      </c>
      <c r="I2492" t="str">
        <f>INDEX(State!B:B,MATCH(OrdersTable[[#This Row],[State]],State!A:A,0))</f>
        <v>MP</v>
      </c>
      <c r="J2492" t="str">
        <f>INDEX(State!C:C,MATCH(OrdersTable[[#This Row],[State Code]],State!B:B,0))</f>
        <v>West</v>
      </c>
      <c r="K2492" t="s">
        <v>250</v>
      </c>
      <c r="L2492" t="s">
        <v>23</v>
      </c>
      <c r="M2492" t="s">
        <v>173</v>
      </c>
      <c r="N2492" t="str">
        <f>INDEX(Products!B:B,MATCH(OrdersTable[[#This Row],[Product ID]],Products!A:A,0))</f>
        <v>Wireless Earbuds</v>
      </c>
      <c r="O2492" t="str">
        <f>INDEX(Products!C:C,MATCH(OrdersTable[[#This Row],[Product ID]],Products!A:A,0))</f>
        <v>Electronics</v>
      </c>
      <c r="P2492">
        <v>1</v>
      </c>
      <c r="Q2492" s="5">
        <v>1999</v>
      </c>
      <c r="R2492" s="74">
        <v>0.3</v>
      </c>
      <c r="S2492" s="75">
        <f>OrdersTable[[#This Row],[Quantity]]*OrdersTable[[#This Row],[Unit Price]]</f>
        <v>1999</v>
      </c>
      <c r="T2492" s="5">
        <f>OrdersTable[[#This Row],[Gross Sale]]*OrdersTable[[#This Row],[Discount_Clean2]]</f>
        <v>599.69999999999993</v>
      </c>
      <c r="U2492" s="5">
        <f>OrdersTable[[#This Row],[Gross Sale]]-OrdersTable[[#This Row],[Discount Amount]]</f>
        <v>1399.3000000000002</v>
      </c>
      <c r="V2492" s="77">
        <f>INDEX(Products!E:E,MATCH(OrdersTable[[#This Row],[Product ID]],Products!A:A,0))</f>
        <v>1239</v>
      </c>
      <c r="W2492" s="77">
        <f>OrdersTable[[#This Row],[Quantity]]*OrdersTable[[#This Row],[Unit Cost]]</f>
        <v>1239</v>
      </c>
      <c r="X2492" s="77">
        <f>'Dropdown Lists'!$I$2*(1+OrdersTable[[#This Row],[Returned]])</f>
        <v>60</v>
      </c>
      <c r="Y2492" s="76">
        <f>OrdersTable[[#This Row],[Net Revenue]]-OrdersTable[[#This Row],[COGS]]-OrdersTable[[#This Row],[Shipping Cost]]</f>
        <v>100.30000000000018</v>
      </c>
      <c r="Z2492" s="78">
        <f>IFERROR(OrdersTable[[#This Row],[Profit]]/OrdersTable[[#This Row],[Net Revenue]],0)</f>
        <v>7.1678696491102811E-2</v>
      </c>
      <c r="AA2492" t="s">
        <v>18</v>
      </c>
      <c r="AB2492" s="79">
        <v>45715</v>
      </c>
      <c r="AC2492">
        <f>OrdersTable[[#This Row],[Delivery Date]]-OrdersTable[[#This Row],[Order Date]]</f>
        <v>3</v>
      </c>
      <c r="AD2492" t="str">
        <f>IF(OrdersTable[[#This Row],[Delivery Days]]&lt;=2, "Express (≤2d)", IF(OrdersTable[[#This Row],[Delivery Days]]&lt;=4, "Standard (3-4d)", "Delayed (5d+)"))</f>
        <v>Standard (3-4d)</v>
      </c>
      <c r="AF2492">
        <v>0</v>
      </c>
    </row>
    <row r="2493" spans="1:32" ht="15" x14ac:dyDescent="0.35">
      <c r="A2493" t="s">
        <v>1542</v>
      </c>
      <c r="B2493" s="1">
        <v>45712</v>
      </c>
      <c r="C2493">
        <f>YEAR(OrdersTable[[#This Row],[Order Date]])</f>
        <v>2025</v>
      </c>
      <c r="D2493" s="2">
        <f>DATE(YEAR(OrdersTable[[#This Row],[Order Date]]),MONTH(OrdersTable[[#This Row],[Order Date]]),1)</f>
        <v>45689</v>
      </c>
      <c r="E2493">
        <f>MONTH(OrdersTable[[#This Row],[Order Date]])</f>
        <v>2</v>
      </c>
      <c r="F2493" t="s">
        <v>1543</v>
      </c>
      <c r="G2493" t="str">
        <f>IF(OrdersTable[[#This Row],[Order Date]]=_xlfn.MINIFS(Order_Date, Customer_ID, OrdersTable[[#This Row],[Customer ID]]), "New", "Repeat")</f>
        <v>Repeat</v>
      </c>
      <c r="H2493" t="s">
        <v>27</v>
      </c>
      <c r="I2493" t="str">
        <f>INDEX(State!B:B,MATCH(OrdersTable[[#This Row],[State]],State!A:A,0))</f>
        <v>WB</v>
      </c>
      <c r="J2493" t="str">
        <f>INDEX(State!C:C,MATCH(OrdersTable[[#This Row],[State Code]],State!B:B,0))</f>
        <v>East</v>
      </c>
      <c r="K2493" t="s">
        <v>28</v>
      </c>
      <c r="L2493" t="s">
        <v>39</v>
      </c>
      <c r="M2493" t="s">
        <v>152</v>
      </c>
      <c r="N2493" t="str">
        <f>INDEX(Products!B:B,MATCH(OrdersTable[[#This Row],[Product ID]],Products!A:A,0))</f>
        <v>Green Tea (100 bags)</v>
      </c>
      <c r="O2493" t="str">
        <f>INDEX(Products!C:C,MATCH(OrdersTable[[#This Row],[Product ID]],Products!A:A,0))</f>
        <v>Wellness</v>
      </c>
      <c r="P2493">
        <v>1</v>
      </c>
      <c r="Q2493" s="5">
        <v>399</v>
      </c>
      <c r="R2493" s="74">
        <v>0.3</v>
      </c>
      <c r="S2493" s="75">
        <f>OrdersTable[[#This Row],[Quantity]]*OrdersTable[[#This Row],[Unit Price]]</f>
        <v>399</v>
      </c>
      <c r="T2493" s="5">
        <f>OrdersTable[[#This Row],[Gross Sale]]*OrdersTable[[#This Row],[Discount_Clean2]]</f>
        <v>119.69999999999999</v>
      </c>
      <c r="U2493" s="5">
        <f>OrdersTable[[#This Row],[Gross Sale]]-OrdersTable[[#This Row],[Discount Amount]]</f>
        <v>279.3</v>
      </c>
      <c r="V2493" s="77">
        <f>INDEX(Products!E:E,MATCH(OrdersTable[[#This Row],[Product ID]],Products!A:A,0))</f>
        <v>128</v>
      </c>
      <c r="W2493" s="77">
        <f>OrdersTable[[#This Row],[Quantity]]*OrdersTable[[#This Row],[Unit Cost]]</f>
        <v>128</v>
      </c>
      <c r="X2493" s="77">
        <f>'Dropdown Lists'!$I$2*(1+OrdersTable[[#This Row],[Returned]])</f>
        <v>60</v>
      </c>
      <c r="Y2493" s="76">
        <f>OrdersTable[[#This Row],[Net Revenue]]-OrdersTable[[#This Row],[COGS]]-OrdersTable[[#This Row],[Shipping Cost]]</f>
        <v>91.300000000000011</v>
      </c>
      <c r="Z2493" s="78">
        <f>IFERROR(OrdersTable[[#This Row],[Profit]]/OrdersTable[[#This Row],[Net Revenue]],0)</f>
        <v>0.32688865019692093</v>
      </c>
      <c r="AA2493" t="s">
        <v>18</v>
      </c>
      <c r="AB2493" s="79">
        <v>45717</v>
      </c>
      <c r="AC2493">
        <f>OrdersTable[[#This Row],[Delivery Date]]-OrdersTable[[#This Row],[Order Date]]</f>
        <v>5</v>
      </c>
      <c r="AD2493" t="str">
        <f>IF(OrdersTable[[#This Row],[Delivery Days]]&lt;=2, "Express (≤2d)", IF(OrdersTable[[#This Row],[Delivery Days]]&lt;=4, "Standard (3-4d)", "Delayed (5d+)"))</f>
        <v>Delayed (5d+)</v>
      </c>
      <c r="AF2493">
        <v>0</v>
      </c>
    </row>
    <row r="2494" spans="1:32" ht="15" x14ac:dyDescent="0.35">
      <c r="A2494" t="s">
        <v>3024</v>
      </c>
      <c r="B2494" s="1">
        <v>45712</v>
      </c>
      <c r="C2494">
        <f>YEAR(OrdersTable[[#This Row],[Order Date]])</f>
        <v>2025</v>
      </c>
      <c r="D2494" s="2">
        <f>DATE(YEAR(OrdersTable[[#This Row],[Order Date]]),MONTH(OrdersTable[[#This Row],[Order Date]]),1)</f>
        <v>45689</v>
      </c>
      <c r="E2494">
        <f>MONTH(OrdersTable[[#This Row],[Order Date]])</f>
        <v>2</v>
      </c>
      <c r="F2494" t="s">
        <v>3025</v>
      </c>
      <c r="G2494" t="str">
        <f>IF(OrdersTable[[#This Row],[Order Date]]=_xlfn.MINIFS(Order_Date, Customer_ID, OrdersTable[[#This Row],[Customer ID]]), "New", "Repeat")</f>
        <v>Repeat</v>
      </c>
      <c r="H2494" t="s">
        <v>27</v>
      </c>
      <c r="I2494" t="str">
        <f>INDEX(State!B:B,MATCH(OrdersTable[[#This Row],[State]],State!A:A,0))</f>
        <v>WB</v>
      </c>
      <c r="J2494" t="str">
        <f>INDEX(State!C:C,MATCH(OrdersTable[[#This Row],[State Code]],State!B:B,0))</f>
        <v>East</v>
      </c>
      <c r="K2494" t="s">
        <v>28</v>
      </c>
      <c r="L2494" t="s">
        <v>39</v>
      </c>
      <c r="M2494" t="s">
        <v>148</v>
      </c>
      <c r="N2494" t="str">
        <f>INDEX(Products!B:B,MATCH(OrdersTable[[#This Row],[Product ID]],Products!A:A,0))</f>
        <v>Smartwatch Strap</v>
      </c>
      <c r="O2494" t="str">
        <f>INDEX(Products!C:C,MATCH(OrdersTable[[#This Row],[Product ID]],Products!A:A,0))</f>
        <v>Electronics</v>
      </c>
      <c r="P2494">
        <v>1</v>
      </c>
      <c r="Q2494" s="5">
        <v>499</v>
      </c>
      <c r="R2494" s="74">
        <v>0.05</v>
      </c>
      <c r="S2494" s="75">
        <f>OrdersTable[[#This Row],[Quantity]]*OrdersTable[[#This Row],[Unit Price]]</f>
        <v>499</v>
      </c>
      <c r="T2494" s="5">
        <f>OrdersTable[[#This Row],[Gross Sale]]*OrdersTable[[#This Row],[Discount_Clean2]]</f>
        <v>24.950000000000003</v>
      </c>
      <c r="U2494" s="5">
        <f>OrdersTable[[#This Row],[Gross Sale]]-OrdersTable[[#This Row],[Discount Amount]]</f>
        <v>474.05</v>
      </c>
      <c r="V2494" s="77">
        <f>INDEX(Products!E:E,MATCH(OrdersTable[[#This Row],[Product ID]],Products!A:A,0))</f>
        <v>200</v>
      </c>
      <c r="W2494" s="77">
        <f>OrdersTable[[#This Row],[Quantity]]*OrdersTable[[#This Row],[Unit Cost]]</f>
        <v>200</v>
      </c>
      <c r="X2494" s="77">
        <f>'Dropdown Lists'!$I$2*(1+OrdersTable[[#This Row],[Returned]])</f>
        <v>60</v>
      </c>
      <c r="Y2494" s="76">
        <f>OrdersTable[[#This Row],[Net Revenue]]-OrdersTable[[#This Row],[COGS]]-OrdersTable[[#This Row],[Shipping Cost]]</f>
        <v>214.05</v>
      </c>
      <c r="Z2494" s="78">
        <f>IFERROR(OrdersTable[[#This Row],[Profit]]/OrdersTable[[#This Row],[Net Revenue]],0)</f>
        <v>0.45153464824385614</v>
      </c>
      <c r="AA2494" t="s">
        <v>2522</v>
      </c>
      <c r="AB2494" s="79">
        <v>45716</v>
      </c>
      <c r="AC2494">
        <f>OrdersTable[[#This Row],[Delivery Date]]-OrdersTable[[#This Row],[Order Date]]</f>
        <v>4</v>
      </c>
      <c r="AD2494" t="str">
        <f>IF(OrdersTable[[#This Row],[Delivery Days]]&lt;=2, "Express (≤2d)", IF(OrdersTable[[#This Row],[Delivery Days]]&lt;=4, "Standard (3-4d)", "Delayed (5d+)"))</f>
        <v>Standard (3-4d)</v>
      </c>
      <c r="AF2494">
        <v>0</v>
      </c>
    </row>
    <row r="2495" spans="1:32" ht="15" x14ac:dyDescent="0.35">
      <c r="A2495" t="s">
        <v>6707</v>
      </c>
      <c r="B2495" s="1">
        <v>45712</v>
      </c>
      <c r="C2495">
        <f>YEAR(OrdersTable[[#This Row],[Order Date]])</f>
        <v>2025</v>
      </c>
      <c r="D2495" s="2">
        <f>DATE(YEAR(OrdersTable[[#This Row],[Order Date]]),MONTH(OrdersTable[[#This Row],[Order Date]]),1)</f>
        <v>45689</v>
      </c>
      <c r="E2495">
        <f>MONTH(OrdersTable[[#This Row],[Order Date]])</f>
        <v>2</v>
      </c>
      <c r="F2495" t="s">
        <v>2049</v>
      </c>
      <c r="G2495" t="str">
        <f>IF(OrdersTable[[#This Row],[Order Date]]=_xlfn.MINIFS(Order_Date, Customer_ID, OrdersTable[[#This Row],[Customer ID]]), "New", "Repeat")</f>
        <v>New</v>
      </c>
      <c r="H2495" t="s">
        <v>14</v>
      </c>
      <c r="I2495" t="str">
        <f>INDEX(State!B:B,MATCH(OrdersTable[[#This Row],[State]],State!A:A,0))</f>
        <v>OD</v>
      </c>
      <c r="J2495" t="str">
        <f>INDEX(State!C:C,MATCH(OrdersTable[[#This Row],[State Code]],State!B:B,0))</f>
        <v>East</v>
      </c>
      <c r="K2495" t="s">
        <v>15</v>
      </c>
      <c r="L2495" t="s">
        <v>23</v>
      </c>
      <c r="M2495" t="s">
        <v>160</v>
      </c>
      <c r="N2495" t="str">
        <f>INDEX(Products!B:B,MATCH(OrdersTable[[#This Row],[Product ID]],Products!A:A,0))</f>
        <v>Niacinamide Toner</v>
      </c>
      <c r="O2495" t="str">
        <f>INDEX(Products!C:C,MATCH(OrdersTable[[#This Row],[Product ID]],Products!A:A,0))</f>
        <v>Skincare</v>
      </c>
      <c r="P2495">
        <v>3</v>
      </c>
      <c r="Q2495" s="5">
        <v>399</v>
      </c>
      <c r="R2495" s="74">
        <v>0.2</v>
      </c>
      <c r="S2495" s="75">
        <f>OrdersTable[[#This Row],[Quantity]]*OrdersTable[[#This Row],[Unit Price]]</f>
        <v>1197</v>
      </c>
      <c r="T2495" s="5">
        <f>OrdersTable[[#This Row],[Gross Sale]]*OrdersTable[[#This Row],[Discount_Clean2]]</f>
        <v>239.4</v>
      </c>
      <c r="U2495" s="5">
        <f>OrdersTable[[#This Row],[Gross Sale]]-OrdersTable[[#This Row],[Discount Amount]]</f>
        <v>957.6</v>
      </c>
      <c r="V2495" s="77">
        <f>INDEX(Products!E:E,MATCH(OrdersTable[[#This Row],[Product ID]],Products!A:A,0))</f>
        <v>112</v>
      </c>
      <c r="W2495" s="77">
        <f>OrdersTable[[#This Row],[Quantity]]*OrdersTable[[#This Row],[Unit Cost]]</f>
        <v>336</v>
      </c>
      <c r="X2495" s="77">
        <f>'Dropdown Lists'!$I$2*(1+OrdersTable[[#This Row],[Returned]])</f>
        <v>60</v>
      </c>
      <c r="Y2495" s="76">
        <f>OrdersTable[[#This Row],[Net Revenue]]-OrdersTable[[#This Row],[COGS]]-OrdersTable[[#This Row],[Shipping Cost]]</f>
        <v>561.6</v>
      </c>
      <c r="Z2495" s="78">
        <f>IFERROR(OrdersTable[[#This Row],[Profit]]/OrdersTable[[#This Row],[Net Revenue]],0)</f>
        <v>0.5864661654135338</v>
      </c>
      <c r="AA2495" t="s">
        <v>2522</v>
      </c>
      <c r="AB2495" s="79">
        <v>45715</v>
      </c>
      <c r="AC2495">
        <f>OrdersTable[[#This Row],[Delivery Date]]-OrdersTable[[#This Row],[Order Date]]</f>
        <v>3</v>
      </c>
      <c r="AD2495" t="str">
        <f>IF(OrdersTable[[#This Row],[Delivery Days]]&lt;=2, "Express (≤2d)", IF(OrdersTable[[#This Row],[Delivery Days]]&lt;=4, "Standard (3-4d)", "Delayed (5d+)"))</f>
        <v>Standard (3-4d)</v>
      </c>
      <c r="AE2495">
        <v>3</v>
      </c>
      <c r="AF2495">
        <v>0</v>
      </c>
    </row>
    <row r="2496" spans="1:32" ht="15" x14ac:dyDescent="0.35">
      <c r="A2496" t="s">
        <v>3026</v>
      </c>
      <c r="B2496" s="1">
        <v>45713</v>
      </c>
      <c r="C2496">
        <f>YEAR(OrdersTable[[#This Row],[Order Date]])</f>
        <v>2025</v>
      </c>
      <c r="D2496" s="2">
        <f>DATE(YEAR(OrdersTable[[#This Row],[Order Date]]),MONTH(OrdersTable[[#This Row],[Order Date]]),1)</f>
        <v>45689</v>
      </c>
      <c r="E2496">
        <f>MONTH(OrdersTable[[#This Row],[Order Date]])</f>
        <v>2</v>
      </c>
      <c r="F2496" t="s">
        <v>3027</v>
      </c>
      <c r="G2496" t="str">
        <f>IF(OrdersTable[[#This Row],[Order Date]]=_xlfn.MINIFS(Order_Date, Customer_ID, OrdersTable[[#This Row],[Customer ID]]), "New", "Repeat")</f>
        <v>Repeat</v>
      </c>
      <c r="H2496" t="s">
        <v>21</v>
      </c>
      <c r="I2496" t="str">
        <f>INDEX(State!B:B,MATCH(OrdersTable[[#This Row],[State]],State!A:A,0))</f>
        <v>PB</v>
      </c>
      <c r="J2496" t="str">
        <f>INDEX(State!C:C,MATCH(OrdersTable[[#This Row],[State Code]],State!B:B,0))</f>
        <v>North</v>
      </c>
      <c r="K2496" t="s">
        <v>22</v>
      </c>
      <c r="L2496" t="s">
        <v>39</v>
      </c>
      <c r="M2496" t="s">
        <v>148</v>
      </c>
      <c r="N2496" t="str">
        <f>INDEX(Products!B:B,MATCH(OrdersTable[[#This Row],[Product ID]],Products!A:A,0))</f>
        <v>Smartwatch Strap</v>
      </c>
      <c r="O2496" t="str">
        <f>INDEX(Products!C:C,MATCH(OrdersTable[[#This Row],[Product ID]],Products!A:A,0))</f>
        <v>Electronics</v>
      </c>
      <c r="P2496">
        <v>1</v>
      </c>
      <c r="Q2496" s="5">
        <v>499</v>
      </c>
      <c r="R2496" s="74">
        <v>0</v>
      </c>
      <c r="S2496" s="75">
        <f>OrdersTable[[#This Row],[Quantity]]*OrdersTable[[#This Row],[Unit Price]]</f>
        <v>499</v>
      </c>
      <c r="T2496" s="5">
        <f>OrdersTable[[#This Row],[Gross Sale]]*OrdersTable[[#This Row],[Discount_Clean2]]</f>
        <v>0</v>
      </c>
      <c r="U2496" s="5">
        <f>OrdersTable[[#This Row],[Gross Sale]]-OrdersTable[[#This Row],[Discount Amount]]</f>
        <v>499</v>
      </c>
      <c r="V2496" s="77">
        <f>INDEX(Products!E:E,MATCH(OrdersTable[[#This Row],[Product ID]],Products!A:A,0))</f>
        <v>200</v>
      </c>
      <c r="W2496" s="77">
        <f>OrdersTable[[#This Row],[Quantity]]*OrdersTable[[#This Row],[Unit Cost]]</f>
        <v>200</v>
      </c>
      <c r="X2496" s="77">
        <f>'Dropdown Lists'!$I$2*(1+OrdersTable[[#This Row],[Returned]])</f>
        <v>60</v>
      </c>
      <c r="Y2496" s="76">
        <f>OrdersTable[[#This Row],[Net Revenue]]-OrdersTable[[#This Row],[COGS]]-OrdersTable[[#This Row],[Shipping Cost]]</f>
        <v>239</v>
      </c>
      <c r="Z2496" s="78">
        <f>IFERROR(OrdersTable[[#This Row],[Profit]]/OrdersTable[[#This Row],[Net Revenue]],0)</f>
        <v>0.47895791583166331</v>
      </c>
      <c r="AA2496" t="s">
        <v>2522</v>
      </c>
      <c r="AB2496" s="79">
        <v>45718</v>
      </c>
      <c r="AC2496">
        <f>OrdersTable[[#This Row],[Delivery Date]]-OrdersTable[[#This Row],[Order Date]]</f>
        <v>5</v>
      </c>
      <c r="AD2496" t="str">
        <f>IF(OrdersTable[[#This Row],[Delivery Days]]&lt;=2, "Express (≤2d)", IF(OrdersTable[[#This Row],[Delivery Days]]&lt;=4, "Standard (3-4d)", "Delayed (5d+)"))</f>
        <v>Delayed (5d+)</v>
      </c>
      <c r="AF2496">
        <v>0</v>
      </c>
    </row>
    <row r="2497" spans="1:32" ht="15" x14ac:dyDescent="0.35">
      <c r="A2497" t="s">
        <v>5802</v>
      </c>
      <c r="B2497" s="1">
        <v>45713</v>
      </c>
      <c r="C2497">
        <f>YEAR(OrdersTable[[#This Row],[Order Date]])</f>
        <v>2025</v>
      </c>
      <c r="D2497" s="2">
        <f>DATE(YEAR(OrdersTable[[#This Row],[Order Date]]),MONTH(OrdersTable[[#This Row],[Order Date]]),1)</f>
        <v>45689</v>
      </c>
      <c r="E2497">
        <f>MONTH(OrdersTable[[#This Row],[Order Date]])</f>
        <v>2</v>
      </c>
      <c r="F2497" t="s">
        <v>953</v>
      </c>
      <c r="G2497" t="str">
        <f>IF(OrdersTable[[#This Row],[Order Date]]=_xlfn.MINIFS(Order_Date, Customer_ID, OrdersTable[[#This Row],[Customer ID]]), "New", "Repeat")</f>
        <v>Repeat</v>
      </c>
      <c r="H2497" t="s">
        <v>48</v>
      </c>
      <c r="I2497" t="str">
        <f>INDEX(State!B:B,MATCH(OrdersTable[[#This Row],[State]],State!A:A,0))</f>
        <v>HR</v>
      </c>
      <c r="J2497" t="str">
        <f>INDEX(State!C:C,MATCH(OrdersTable[[#This Row],[State Code]],State!B:B,0))</f>
        <v>North</v>
      </c>
      <c r="K2497" t="s">
        <v>151</v>
      </c>
      <c r="L2497" t="s">
        <v>39</v>
      </c>
      <c r="M2497" t="s">
        <v>423</v>
      </c>
      <c r="N2497" t="str">
        <f>INDEX(Products!B:B,MATCH(OrdersTable[[#This Row],[Product ID]],Products!A:A,0))</f>
        <v>Power Bank 20000mAh</v>
      </c>
      <c r="O2497" t="str">
        <f>INDEX(Products!C:C,MATCH(OrdersTable[[#This Row],[Product ID]],Products!A:A,0))</f>
        <v>Electronics</v>
      </c>
      <c r="P2497">
        <v>2</v>
      </c>
      <c r="Q2497" s="5">
        <v>1799</v>
      </c>
      <c r="R2497" s="74">
        <v>0.3</v>
      </c>
      <c r="S2497" s="75">
        <f>OrdersTable[[#This Row],[Quantity]]*OrdersTable[[#This Row],[Unit Price]]</f>
        <v>3598</v>
      </c>
      <c r="T2497" s="5">
        <f>OrdersTable[[#This Row],[Gross Sale]]*OrdersTable[[#This Row],[Discount_Clean2]]</f>
        <v>1079.3999999999999</v>
      </c>
      <c r="U2497" s="5">
        <f>OrdersTable[[#This Row],[Gross Sale]]-OrdersTable[[#This Row],[Discount Amount]]</f>
        <v>2518.6000000000004</v>
      </c>
      <c r="V2497" s="77">
        <f>INDEX(Products!E:E,MATCH(OrdersTable[[#This Row],[Product ID]],Products!A:A,0))</f>
        <v>1079</v>
      </c>
      <c r="W2497" s="77">
        <f>OrdersTable[[#This Row],[Quantity]]*OrdersTable[[#This Row],[Unit Cost]]</f>
        <v>2158</v>
      </c>
      <c r="X2497" s="77">
        <f>'Dropdown Lists'!$I$2*(1+OrdersTable[[#This Row],[Returned]])</f>
        <v>60</v>
      </c>
      <c r="Y2497" s="76">
        <f>OrdersTable[[#This Row],[Net Revenue]]-OrdersTable[[#This Row],[COGS]]-OrdersTable[[#This Row],[Shipping Cost]]</f>
        <v>300.60000000000036</v>
      </c>
      <c r="Z2497" s="78">
        <f>IFERROR(OrdersTable[[#This Row],[Profit]]/OrdersTable[[#This Row],[Net Revenue]],0)</f>
        <v>0.11935202096402776</v>
      </c>
      <c r="AA2497" t="s">
        <v>18</v>
      </c>
      <c r="AB2497" s="79">
        <v>45716</v>
      </c>
      <c r="AC2497">
        <f>OrdersTable[[#This Row],[Delivery Date]]-OrdersTable[[#This Row],[Order Date]]</f>
        <v>3</v>
      </c>
      <c r="AD2497" t="str">
        <f>IF(OrdersTable[[#This Row],[Delivery Days]]&lt;=2, "Express (≤2d)", IF(OrdersTable[[#This Row],[Delivery Days]]&lt;=4, "Standard (3-4d)", "Delayed (5d+)"))</f>
        <v>Standard (3-4d)</v>
      </c>
      <c r="AE2497">
        <v>5</v>
      </c>
      <c r="AF2497">
        <v>0</v>
      </c>
    </row>
    <row r="2498" spans="1:32" ht="15" x14ac:dyDescent="0.35">
      <c r="A2498" t="s">
        <v>4828</v>
      </c>
      <c r="B2498" s="1">
        <v>45713</v>
      </c>
      <c r="C2498">
        <f>YEAR(OrdersTable[[#This Row],[Order Date]])</f>
        <v>2025</v>
      </c>
      <c r="D2498" s="2">
        <f>DATE(YEAR(OrdersTable[[#This Row],[Order Date]]),MONTH(OrdersTable[[#This Row],[Order Date]]),1)</f>
        <v>45689</v>
      </c>
      <c r="E2498">
        <f>MONTH(OrdersTable[[#This Row],[Order Date]])</f>
        <v>2</v>
      </c>
      <c r="F2498" t="s">
        <v>4829</v>
      </c>
      <c r="G2498" t="str">
        <f>IF(OrdersTable[[#This Row],[Order Date]]=_xlfn.MINIFS(Order_Date, Customer_ID, OrdersTable[[#This Row],[Customer ID]]), "New", "Repeat")</f>
        <v>New</v>
      </c>
      <c r="H2498" t="s">
        <v>132</v>
      </c>
      <c r="I2498" t="str">
        <f>INDEX(State!B:B,MATCH(OrdersTable[[#This Row],[State]],State!A:A,0))</f>
        <v>AS</v>
      </c>
      <c r="J2498" t="str">
        <f>INDEX(State!C:C,MATCH(OrdersTable[[#This Row],[State Code]],State!B:B,0))</f>
        <v>East</v>
      </c>
      <c r="K2498" t="s">
        <v>133</v>
      </c>
      <c r="L2498" t="s">
        <v>65</v>
      </c>
      <c r="M2498" t="s">
        <v>87</v>
      </c>
      <c r="N2498" t="str">
        <f>INDEX(Products!B:B,MATCH(OrdersTable[[#This Row],[Product ID]],Products!A:A,0))</f>
        <v>Linen Kurta</v>
      </c>
      <c r="O2498" t="str">
        <f>INDEX(Products!C:C,MATCH(OrdersTable[[#This Row],[Product ID]],Products!A:A,0))</f>
        <v>Apparel</v>
      </c>
      <c r="P2498">
        <v>2</v>
      </c>
      <c r="Q2498" s="5">
        <v>1499</v>
      </c>
      <c r="R2498" s="74">
        <v>0.35</v>
      </c>
      <c r="S2498" s="75">
        <f>OrdersTable[[#This Row],[Quantity]]*OrdersTable[[#This Row],[Unit Price]]</f>
        <v>2998</v>
      </c>
      <c r="T2498" s="5">
        <f>OrdersTable[[#This Row],[Gross Sale]]*OrdersTable[[#This Row],[Discount_Clean2]]</f>
        <v>1049.3</v>
      </c>
      <c r="U2498" s="5">
        <f>OrdersTable[[#This Row],[Gross Sale]]-OrdersTable[[#This Row],[Discount Amount]]</f>
        <v>1948.7</v>
      </c>
      <c r="V2498" s="77">
        <f>INDEX(Products!E:E,MATCH(OrdersTable[[#This Row],[Product ID]],Products!A:A,0))</f>
        <v>630</v>
      </c>
      <c r="W2498" s="77">
        <f>OrdersTable[[#This Row],[Quantity]]*OrdersTable[[#This Row],[Unit Cost]]</f>
        <v>1260</v>
      </c>
      <c r="X2498" s="77">
        <f>'Dropdown Lists'!$I$2*(1+OrdersTable[[#This Row],[Returned]])</f>
        <v>60</v>
      </c>
      <c r="Y2498" s="76">
        <f>OrdersTable[[#This Row],[Net Revenue]]-OrdersTable[[#This Row],[COGS]]-OrdersTable[[#This Row],[Shipping Cost]]</f>
        <v>628.70000000000005</v>
      </c>
      <c r="Z2498" s="78">
        <f>IFERROR(OrdersTable[[#This Row],[Profit]]/OrdersTable[[#This Row],[Net Revenue]],0)</f>
        <v>0.32262533997023657</v>
      </c>
      <c r="AA2498" t="s">
        <v>4450</v>
      </c>
      <c r="AB2498" s="79">
        <v>45719</v>
      </c>
      <c r="AC2498">
        <f>OrdersTable[[#This Row],[Delivery Date]]-OrdersTable[[#This Row],[Order Date]]</f>
        <v>6</v>
      </c>
      <c r="AD2498" t="str">
        <f>IF(OrdersTable[[#This Row],[Delivery Days]]&lt;=2, "Express (≤2d)", IF(OrdersTable[[#This Row],[Delivery Days]]&lt;=4, "Standard (3-4d)", "Delayed (5d+)"))</f>
        <v>Delayed (5d+)</v>
      </c>
      <c r="AE2498">
        <v>4</v>
      </c>
      <c r="AF2498">
        <v>0</v>
      </c>
    </row>
    <row r="2499" spans="1:32" ht="15" x14ac:dyDescent="0.35">
      <c r="A2499" t="s">
        <v>4601</v>
      </c>
      <c r="B2499" s="1">
        <v>45713</v>
      </c>
      <c r="C2499">
        <f>YEAR(OrdersTable[[#This Row],[Order Date]])</f>
        <v>2025</v>
      </c>
      <c r="D2499" s="2">
        <f>DATE(YEAR(OrdersTable[[#This Row],[Order Date]]),MONTH(OrdersTable[[#This Row],[Order Date]]),1)</f>
        <v>45689</v>
      </c>
      <c r="E2499">
        <f>MONTH(OrdersTable[[#This Row],[Order Date]])</f>
        <v>2</v>
      </c>
      <c r="F2499" t="s">
        <v>4602</v>
      </c>
      <c r="G2499" t="str">
        <f>IF(OrdersTable[[#This Row],[Order Date]]=_xlfn.MINIFS(Order_Date, Customer_ID, OrdersTable[[#This Row],[Customer ID]]), "New", "Repeat")</f>
        <v>New</v>
      </c>
      <c r="H2499" t="s">
        <v>37</v>
      </c>
      <c r="I2499" t="str">
        <f>INDEX(State!B:B,MATCH(OrdersTable[[#This Row],[State]],State!A:A,0))</f>
        <v>GJ</v>
      </c>
      <c r="J2499" t="str">
        <f>INDEX(State!C:C,MATCH(OrdersTable[[#This Row],[State Code]],State!B:B,0))</f>
        <v>West</v>
      </c>
      <c r="K2499" t="s">
        <v>247</v>
      </c>
      <c r="L2499" t="s">
        <v>50</v>
      </c>
      <c r="M2499" t="s">
        <v>45</v>
      </c>
      <c r="N2499" t="str">
        <f>INDEX(Products!B:B,MATCH(OrdersTable[[#This Row],[Product ID]],Products!A:A,0))</f>
        <v>Argan Shampoo</v>
      </c>
      <c r="O2499" t="str">
        <f>INDEX(Products!C:C,MATCH(OrdersTable[[#This Row],[Product ID]],Products!A:A,0))</f>
        <v>Haircare</v>
      </c>
      <c r="P2499">
        <v>1</v>
      </c>
      <c r="Q2499" s="5">
        <v>449</v>
      </c>
      <c r="R2499" s="74">
        <v>0.1</v>
      </c>
      <c r="S2499" s="75">
        <f>OrdersTable[[#This Row],[Quantity]]*OrdersTable[[#This Row],[Unit Price]]</f>
        <v>449</v>
      </c>
      <c r="T2499" s="5">
        <f>OrdersTable[[#This Row],[Gross Sale]]*OrdersTable[[#This Row],[Discount_Clean2]]</f>
        <v>44.900000000000006</v>
      </c>
      <c r="U2499" s="5">
        <f>OrdersTable[[#This Row],[Gross Sale]]-OrdersTable[[#This Row],[Discount Amount]]</f>
        <v>404.1</v>
      </c>
      <c r="V2499" s="77">
        <f>INDEX(Products!E:E,MATCH(OrdersTable[[#This Row],[Product ID]],Products!A:A,0))</f>
        <v>148</v>
      </c>
      <c r="W2499" s="77">
        <f>OrdersTable[[#This Row],[Quantity]]*OrdersTable[[#This Row],[Unit Cost]]</f>
        <v>148</v>
      </c>
      <c r="X2499" s="77">
        <f>'Dropdown Lists'!$I$2*(1+OrdersTable[[#This Row],[Returned]])</f>
        <v>60</v>
      </c>
      <c r="Y2499" s="76">
        <f>OrdersTable[[#This Row],[Net Revenue]]-OrdersTable[[#This Row],[COGS]]-OrdersTable[[#This Row],[Shipping Cost]]</f>
        <v>196.10000000000002</v>
      </c>
      <c r="Z2499" s="78">
        <f>IFERROR(OrdersTable[[#This Row],[Profit]]/OrdersTable[[#This Row],[Net Revenue]],0)</f>
        <v>0.48527592180153428</v>
      </c>
      <c r="AA2499" t="s">
        <v>4450</v>
      </c>
      <c r="AB2499" s="79">
        <v>45717</v>
      </c>
      <c r="AC2499">
        <f>OrdersTable[[#This Row],[Delivery Date]]-OrdersTable[[#This Row],[Order Date]]</f>
        <v>4</v>
      </c>
      <c r="AD2499" t="str">
        <f>IF(OrdersTable[[#This Row],[Delivery Days]]&lt;=2, "Express (≤2d)", IF(OrdersTable[[#This Row],[Delivery Days]]&lt;=4, "Standard (3-4d)", "Delayed (5d+)"))</f>
        <v>Standard (3-4d)</v>
      </c>
      <c r="AF2499">
        <v>0</v>
      </c>
    </row>
    <row r="2500" spans="1:32" ht="15" x14ac:dyDescent="0.35">
      <c r="A2500" t="s">
        <v>4986</v>
      </c>
      <c r="B2500" s="1">
        <v>45713</v>
      </c>
      <c r="C2500">
        <f>YEAR(OrdersTable[[#This Row],[Order Date]])</f>
        <v>2025</v>
      </c>
      <c r="D2500" s="2">
        <f>DATE(YEAR(OrdersTable[[#This Row],[Order Date]]),MONTH(OrdersTable[[#This Row],[Order Date]]),1)</f>
        <v>45689</v>
      </c>
      <c r="E2500">
        <f>MONTH(OrdersTable[[#This Row],[Order Date]])</f>
        <v>2</v>
      </c>
      <c r="F2500" t="s">
        <v>2625</v>
      </c>
      <c r="G2500" t="str">
        <f>IF(OrdersTable[[#This Row],[Order Date]]=_xlfn.MINIFS(Order_Date, Customer_ID, OrdersTable[[#This Row],[Customer ID]]), "New", "Repeat")</f>
        <v>Repeat</v>
      </c>
      <c r="H2500" t="s">
        <v>71</v>
      </c>
      <c r="I2500" t="str">
        <f>INDEX(State!B:B,MATCH(OrdersTable[[#This Row],[State]],State!A:A,0))</f>
        <v>MH</v>
      </c>
      <c r="J2500" t="str">
        <f>INDEX(State!C:C,MATCH(OrdersTable[[#This Row],[State Code]],State!B:B,0))</f>
        <v>West</v>
      </c>
      <c r="K2500" t="s">
        <v>72</v>
      </c>
      <c r="L2500" t="s">
        <v>23</v>
      </c>
      <c r="M2500" t="s">
        <v>152</v>
      </c>
      <c r="N2500" t="str">
        <f>INDEX(Products!B:B,MATCH(OrdersTable[[#This Row],[Product ID]],Products!A:A,0))</f>
        <v>Green Tea (100 bags)</v>
      </c>
      <c r="O2500" t="str">
        <f>INDEX(Products!C:C,MATCH(OrdersTable[[#This Row],[Product ID]],Products!A:A,0))</f>
        <v>Wellness</v>
      </c>
      <c r="P2500">
        <v>2</v>
      </c>
      <c r="Q2500" s="5">
        <v>399</v>
      </c>
      <c r="R2500" s="74">
        <v>0.35</v>
      </c>
      <c r="S2500" s="75">
        <f>OrdersTable[[#This Row],[Quantity]]*OrdersTable[[#This Row],[Unit Price]]</f>
        <v>798</v>
      </c>
      <c r="T2500" s="5">
        <f>OrdersTable[[#This Row],[Gross Sale]]*OrdersTable[[#This Row],[Discount_Clean2]]</f>
        <v>279.29999999999995</v>
      </c>
      <c r="U2500" s="5">
        <f>OrdersTable[[#This Row],[Gross Sale]]-OrdersTable[[#This Row],[Discount Amount]]</f>
        <v>518.70000000000005</v>
      </c>
      <c r="V2500" s="77">
        <f>INDEX(Products!E:E,MATCH(OrdersTable[[#This Row],[Product ID]],Products!A:A,0))</f>
        <v>128</v>
      </c>
      <c r="W2500" s="77">
        <f>OrdersTable[[#This Row],[Quantity]]*OrdersTable[[#This Row],[Unit Cost]]</f>
        <v>256</v>
      </c>
      <c r="X2500" s="77">
        <f>'Dropdown Lists'!$I$2*(1+OrdersTable[[#This Row],[Returned]])</f>
        <v>60</v>
      </c>
      <c r="Y2500" s="76">
        <f>OrdersTable[[#This Row],[Net Revenue]]-OrdersTable[[#This Row],[COGS]]-OrdersTable[[#This Row],[Shipping Cost]]</f>
        <v>202.70000000000005</v>
      </c>
      <c r="Z2500" s="78">
        <f>IFERROR(OrdersTable[[#This Row],[Profit]]/OrdersTable[[#This Row],[Net Revenue]],0)</f>
        <v>0.39078465394254874</v>
      </c>
      <c r="AA2500" t="s">
        <v>4074</v>
      </c>
      <c r="AB2500" s="79">
        <v>45714</v>
      </c>
      <c r="AC2500">
        <f>OrdersTable[[#This Row],[Delivery Date]]-OrdersTable[[#This Row],[Order Date]]</f>
        <v>1</v>
      </c>
      <c r="AD2500" t="str">
        <f>IF(OrdersTable[[#This Row],[Delivery Days]]&lt;=2, "Express (≤2d)", IF(OrdersTable[[#This Row],[Delivery Days]]&lt;=4, "Standard (3-4d)", "Delayed (5d+)"))</f>
        <v>Express (≤2d)</v>
      </c>
      <c r="AE2500">
        <v>4</v>
      </c>
      <c r="AF2500">
        <v>0</v>
      </c>
    </row>
    <row r="2501" spans="1:32" ht="15" x14ac:dyDescent="0.35">
      <c r="A2501" t="s">
        <v>5935</v>
      </c>
      <c r="B2501" s="1">
        <v>45713</v>
      </c>
      <c r="C2501">
        <f>YEAR(OrdersTable[[#This Row],[Order Date]])</f>
        <v>2025</v>
      </c>
      <c r="D2501" s="2">
        <f>DATE(YEAR(OrdersTable[[#This Row],[Order Date]]),MONTH(OrdersTable[[#This Row],[Order Date]]),1)</f>
        <v>45689</v>
      </c>
      <c r="E2501">
        <f>MONTH(OrdersTable[[#This Row],[Order Date]])</f>
        <v>2</v>
      </c>
      <c r="F2501" t="s">
        <v>204</v>
      </c>
      <c r="G2501" t="str">
        <f>IF(OrdersTable[[#This Row],[Order Date]]=_xlfn.MINIFS(Order_Date, Customer_ID, OrdersTable[[#This Row],[Customer ID]]), "New", "Repeat")</f>
        <v>Repeat</v>
      </c>
      <c r="H2501" t="s">
        <v>95</v>
      </c>
      <c r="I2501" t="str">
        <f>INDEX(State!B:B,MATCH(OrdersTable[[#This Row],[State]],State!A:A,0))</f>
        <v>TG</v>
      </c>
      <c r="J2501" t="str">
        <f>INDEX(State!C:C,MATCH(OrdersTable[[#This Row],[State Code]],State!B:B,0))</f>
        <v>South</v>
      </c>
      <c r="K2501" t="s">
        <v>96</v>
      </c>
      <c r="L2501" t="s">
        <v>23</v>
      </c>
      <c r="M2501" t="s">
        <v>109</v>
      </c>
      <c r="N2501" t="str">
        <f>INDEX(Products!B:B,MATCH(OrdersTable[[#This Row],[Product ID]],Products!A:A,0))</f>
        <v>Onion Hair Oil</v>
      </c>
      <c r="O2501" t="str">
        <f>INDEX(Products!C:C,MATCH(OrdersTable[[#This Row],[Product ID]],Products!A:A,0))</f>
        <v>Haircare</v>
      </c>
      <c r="P2501">
        <v>2</v>
      </c>
      <c r="Q2501" s="5">
        <v>349</v>
      </c>
      <c r="R2501" s="74">
        <v>0.4</v>
      </c>
      <c r="S2501" s="75">
        <f>OrdersTable[[#This Row],[Quantity]]*OrdersTable[[#This Row],[Unit Price]]</f>
        <v>698</v>
      </c>
      <c r="T2501" s="5">
        <f>OrdersTable[[#This Row],[Gross Sale]]*OrdersTable[[#This Row],[Discount_Clean2]]</f>
        <v>279.2</v>
      </c>
      <c r="U2501" s="5">
        <f>OrdersTable[[#This Row],[Gross Sale]]-OrdersTable[[#This Row],[Discount Amount]]</f>
        <v>418.8</v>
      </c>
      <c r="V2501" s="77">
        <f>INDEX(Products!E:E,MATCH(OrdersTable[[#This Row],[Product ID]],Products!A:A,0))</f>
        <v>105</v>
      </c>
      <c r="W2501" s="77">
        <f>OrdersTable[[#This Row],[Quantity]]*OrdersTable[[#This Row],[Unit Cost]]</f>
        <v>210</v>
      </c>
      <c r="X2501" s="77">
        <f>'Dropdown Lists'!$I$2*(1+OrdersTable[[#This Row],[Returned]])</f>
        <v>60</v>
      </c>
      <c r="Y2501" s="76">
        <f>OrdersTable[[#This Row],[Net Revenue]]-OrdersTable[[#This Row],[COGS]]-OrdersTable[[#This Row],[Shipping Cost]]</f>
        <v>148.80000000000001</v>
      </c>
      <c r="Z2501" s="78">
        <f>IFERROR(OrdersTable[[#This Row],[Profit]]/OrdersTable[[#This Row],[Net Revenue]],0)</f>
        <v>0.35530085959885388</v>
      </c>
      <c r="AA2501" t="s">
        <v>18</v>
      </c>
      <c r="AB2501" s="79">
        <v>45716</v>
      </c>
      <c r="AC2501">
        <f>OrdersTable[[#This Row],[Delivery Date]]-OrdersTable[[#This Row],[Order Date]]</f>
        <v>3</v>
      </c>
      <c r="AD2501" t="str">
        <f>IF(OrdersTable[[#This Row],[Delivery Days]]&lt;=2, "Express (≤2d)", IF(OrdersTable[[#This Row],[Delivery Days]]&lt;=4, "Standard (3-4d)", "Delayed (5d+)"))</f>
        <v>Standard (3-4d)</v>
      </c>
      <c r="AF2501">
        <v>0</v>
      </c>
    </row>
    <row r="2502" spans="1:32" ht="15" x14ac:dyDescent="0.35">
      <c r="A2502" t="s">
        <v>3028</v>
      </c>
      <c r="B2502" s="1">
        <v>45714</v>
      </c>
      <c r="C2502">
        <f>YEAR(OrdersTable[[#This Row],[Order Date]])</f>
        <v>2025</v>
      </c>
      <c r="D2502" s="2">
        <f>DATE(YEAR(OrdersTable[[#This Row],[Order Date]]),MONTH(OrdersTable[[#This Row],[Order Date]]),1)</f>
        <v>45689</v>
      </c>
      <c r="E2502">
        <f>MONTH(OrdersTable[[#This Row],[Order Date]])</f>
        <v>2</v>
      </c>
      <c r="F2502" t="s">
        <v>3029</v>
      </c>
      <c r="G2502" t="str">
        <f>IF(OrdersTable[[#This Row],[Order Date]]=_xlfn.MINIFS(Order_Date, Customer_ID, OrdersTable[[#This Row],[Customer ID]]), "New", "Repeat")</f>
        <v>New</v>
      </c>
      <c r="H2502" t="s">
        <v>54</v>
      </c>
      <c r="I2502" t="str">
        <f>INDEX(State!B:B,MATCH(OrdersTable[[#This Row],[State]],State!A:A,0))</f>
        <v>RJ</v>
      </c>
      <c r="J2502" t="str">
        <f>INDEX(State!C:C,MATCH(OrdersTable[[#This Row],[State Code]],State!B:B,0))</f>
        <v>North</v>
      </c>
      <c r="K2502" t="s">
        <v>227</v>
      </c>
      <c r="L2502" t="s">
        <v>65</v>
      </c>
      <c r="M2502" t="s">
        <v>84</v>
      </c>
      <c r="N2502" t="str">
        <f>INDEX(Products!B:B,MATCH(OrdersTable[[#This Row],[Product ID]],Products!A:A,0))</f>
        <v>Cotton Bedsheet</v>
      </c>
      <c r="O2502" t="str">
        <f>INDEX(Products!C:C,MATCH(OrdersTable[[#This Row],[Product ID]],Products!A:A,0))</f>
        <v>Home &amp; Kitchen</v>
      </c>
      <c r="P2502">
        <v>1</v>
      </c>
      <c r="Q2502" s="5">
        <v>1299</v>
      </c>
      <c r="R2502" s="74">
        <v>0</v>
      </c>
      <c r="S2502" s="75">
        <f>OrdersTable[[#This Row],[Quantity]]*OrdersTable[[#This Row],[Unit Price]]</f>
        <v>1299</v>
      </c>
      <c r="T2502" s="5">
        <f>OrdersTable[[#This Row],[Gross Sale]]*OrdersTable[[#This Row],[Discount_Clean2]]</f>
        <v>0</v>
      </c>
      <c r="U2502" s="5">
        <f>OrdersTable[[#This Row],[Gross Sale]]-OrdersTable[[#This Row],[Discount Amount]]</f>
        <v>1299</v>
      </c>
      <c r="V2502" s="77">
        <f>INDEX(Products!E:E,MATCH(OrdersTable[[#This Row],[Product ID]],Products!A:A,0))</f>
        <v>585</v>
      </c>
      <c r="W2502" s="77">
        <f>OrdersTable[[#This Row],[Quantity]]*OrdersTable[[#This Row],[Unit Cost]]</f>
        <v>585</v>
      </c>
      <c r="X2502" s="77">
        <f>'Dropdown Lists'!$I$2*(1+OrdersTable[[#This Row],[Returned]])</f>
        <v>60</v>
      </c>
      <c r="Y2502" s="76">
        <f>OrdersTable[[#This Row],[Net Revenue]]-OrdersTable[[#This Row],[COGS]]-OrdersTable[[#This Row],[Shipping Cost]]</f>
        <v>654</v>
      </c>
      <c r="Z2502" s="78">
        <f>IFERROR(OrdersTable[[#This Row],[Profit]]/OrdersTable[[#This Row],[Net Revenue]],0)</f>
        <v>0.50346420323325636</v>
      </c>
      <c r="AA2502" t="s">
        <v>2522</v>
      </c>
      <c r="AB2502" s="79">
        <v>45716</v>
      </c>
      <c r="AC2502">
        <f>OrdersTable[[#This Row],[Delivery Date]]-OrdersTable[[#This Row],[Order Date]]</f>
        <v>2</v>
      </c>
      <c r="AD2502" t="str">
        <f>IF(OrdersTable[[#This Row],[Delivery Days]]&lt;=2, "Express (≤2d)", IF(OrdersTable[[#This Row],[Delivery Days]]&lt;=4, "Standard (3-4d)", "Delayed (5d+)"))</f>
        <v>Express (≤2d)</v>
      </c>
      <c r="AF2502">
        <v>0</v>
      </c>
    </row>
    <row r="2503" spans="1:32" ht="15" x14ac:dyDescent="0.35">
      <c r="A2503" t="s">
        <v>4129</v>
      </c>
      <c r="B2503" s="1">
        <v>45714</v>
      </c>
      <c r="C2503">
        <f>YEAR(OrdersTable[[#This Row],[Order Date]])</f>
        <v>2025</v>
      </c>
      <c r="D2503" s="2">
        <f>DATE(YEAR(OrdersTable[[#This Row],[Order Date]]),MONTH(OrdersTable[[#This Row],[Order Date]]),1)</f>
        <v>45689</v>
      </c>
      <c r="E2503">
        <f>MONTH(OrdersTable[[#This Row],[Order Date]])</f>
        <v>2</v>
      </c>
      <c r="F2503" t="s">
        <v>3537</v>
      </c>
      <c r="G2503" t="str">
        <f>IF(OrdersTable[[#This Row],[Order Date]]=_xlfn.MINIFS(Order_Date, Customer_ID, OrdersTable[[#This Row],[Customer ID]]), "New", "Repeat")</f>
        <v>Repeat</v>
      </c>
      <c r="H2503" t="s">
        <v>76</v>
      </c>
      <c r="I2503" t="str">
        <f>INDEX(State!B:B,MATCH(OrdersTable[[#This Row],[State]],State!A:A,0))</f>
        <v>UP</v>
      </c>
      <c r="J2503" t="str">
        <f>INDEX(State!C:C,MATCH(OrdersTable[[#This Row],[State Code]],State!B:B,0))</f>
        <v>North</v>
      </c>
      <c r="K2503" t="s">
        <v>118</v>
      </c>
      <c r="L2503" t="s">
        <v>16</v>
      </c>
      <c r="M2503" t="s">
        <v>92</v>
      </c>
      <c r="N2503" t="str">
        <f>INDEX(Products!B:B,MATCH(OrdersTable[[#This Row],[Product ID]],Products!A:A,0))</f>
        <v>Kolhapuri Sandals</v>
      </c>
      <c r="O2503" t="str">
        <f>INDEX(Products!C:C,MATCH(OrdersTable[[#This Row],[Product ID]],Products!A:A,0))</f>
        <v>Footwear</v>
      </c>
      <c r="P2503">
        <v>1</v>
      </c>
      <c r="Q2503" s="5">
        <v>999</v>
      </c>
      <c r="R2503" s="74">
        <v>0</v>
      </c>
      <c r="S2503" s="75">
        <f>OrdersTable[[#This Row],[Quantity]]*OrdersTable[[#This Row],[Unit Price]]</f>
        <v>999</v>
      </c>
      <c r="T2503" s="5">
        <f>OrdersTable[[#This Row],[Gross Sale]]*OrdersTable[[#This Row],[Discount_Clean2]]</f>
        <v>0</v>
      </c>
      <c r="U2503" s="5">
        <f>OrdersTable[[#This Row],[Gross Sale]]-OrdersTable[[#This Row],[Discount Amount]]</f>
        <v>999</v>
      </c>
      <c r="V2503" s="77">
        <f>INDEX(Products!E:E,MATCH(OrdersTable[[#This Row],[Product ID]],Products!A:A,0))</f>
        <v>400</v>
      </c>
      <c r="W2503" s="77">
        <f>OrdersTable[[#This Row],[Quantity]]*OrdersTable[[#This Row],[Unit Cost]]</f>
        <v>400</v>
      </c>
      <c r="X2503" s="77">
        <f>'Dropdown Lists'!$I$2*(1+OrdersTable[[#This Row],[Returned]])</f>
        <v>60</v>
      </c>
      <c r="Y2503" s="76">
        <f>OrdersTable[[#This Row],[Net Revenue]]-OrdersTable[[#This Row],[COGS]]-OrdersTable[[#This Row],[Shipping Cost]]</f>
        <v>539</v>
      </c>
      <c r="Z2503" s="78">
        <f>IFERROR(OrdersTable[[#This Row],[Profit]]/OrdersTable[[#This Row],[Net Revenue]],0)</f>
        <v>0.53953953953953959</v>
      </c>
      <c r="AA2503" t="s">
        <v>4074</v>
      </c>
      <c r="AB2503" s="79">
        <v>45716</v>
      </c>
      <c r="AC2503">
        <f>OrdersTable[[#This Row],[Delivery Date]]-OrdersTable[[#This Row],[Order Date]]</f>
        <v>2</v>
      </c>
      <c r="AD2503" t="str">
        <f>IF(OrdersTable[[#This Row],[Delivery Days]]&lt;=2, "Express (≤2d)", IF(OrdersTable[[#This Row],[Delivery Days]]&lt;=4, "Standard (3-4d)", "Delayed (5d+)"))</f>
        <v>Express (≤2d)</v>
      </c>
      <c r="AE2503">
        <v>5</v>
      </c>
      <c r="AF2503">
        <v>0</v>
      </c>
    </row>
    <row r="2504" spans="1:32" ht="15" x14ac:dyDescent="0.35">
      <c r="A2504" t="s">
        <v>1544</v>
      </c>
      <c r="B2504" s="1">
        <v>45714</v>
      </c>
      <c r="C2504">
        <f>YEAR(OrdersTable[[#This Row],[Order Date]])</f>
        <v>2025</v>
      </c>
      <c r="D2504" s="2">
        <f>DATE(YEAR(OrdersTable[[#This Row],[Order Date]]),MONTH(OrdersTable[[#This Row],[Order Date]]),1)</f>
        <v>45689</v>
      </c>
      <c r="E2504">
        <f>MONTH(OrdersTable[[#This Row],[Order Date]])</f>
        <v>2</v>
      </c>
      <c r="F2504" t="s">
        <v>337</v>
      </c>
      <c r="G2504" t="str">
        <f>IF(OrdersTable[[#This Row],[Order Date]]=_xlfn.MINIFS(Order_Date, Customer_ID, OrdersTable[[#This Row],[Customer ID]]), "New", "Repeat")</f>
        <v>New</v>
      </c>
      <c r="H2504" t="s">
        <v>71</v>
      </c>
      <c r="I2504" t="str">
        <f>INDEX(State!B:B,MATCH(OrdersTable[[#This Row],[State]],State!A:A,0))</f>
        <v>MH</v>
      </c>
      <c r="J2504" t="str">
        <f>INDEX(State!C:C,MATCH(OrdersTable[[#This Row],[State Code]],State!B:B,0))</f>
        <v>West</v>
      </c>
      <c r="K2504" t="s">
        <v>102</v>
      </c>
      <c r="L2504" t="s">
        <v>39</v>
      </c>
      <c r="M2504" t="s">
        <v>61</v>
      </c>
      <c r="N2504" t="str">
        <f>INDEX(Products!B:B,MATCH(OrdersTable[[#This Row],[Product ID]],Products!A:A,0))</f>
        <v>Multivitamin Gummies</v>
      </c>
      <c r="O2504" t="str">
        <f>INDEX(Products!C:C,MATCH(OrdersTable[[#This Row],[Product ID]],Products!A:A,0))</f>
        <v>Wellness</v>
      </c>
      <c r="P2504">
        <v>1</v>
      </c>
      <c r="Q2504" s="5">
        <v>699</v>
      </c>
      <c r="R2504" s="74">
        <v>0.15</v>
      </c>
      <c r="S2504" s="75">
        <f>OrdersTable[[#This Row],[Quantity]]*OrdersTable[[#This Row],[Unit Price]]</f>
        <v>699</v>
      </c>
      <c r="T2504" s="5">
        <f>OrdersTable[[#This Row],[Gross Sale]]*OrdersTable[[#This Row],[Discount_Clean2]]</f>
        <v>104.85</v>
      </c>
      <c r="U2504" s="5">
        <f>OrdersTable[[#This Row],[Gross Sale]]-OrdersTable[[#This Row],[Discount Amount]]</f>
        <v>594.15</v>
      </c>
      <c r="V2504" s="77">
        <f>INDEX(Products!E:E,MATCH(OrdersTable[[#This Row],[Product ID]],Products!A:A,0))</f>
        <v>238</v>
      </c>
      <c r="W2504" s="77">
        <f>OrdersTable[[#This Row],[Quantity]]*OrdersTable[[#This Row],[Unit Cost]]</f>
        <v>238</v>
      </c>
      <c r="X2504" s="77">
        <f>'Dropdown Lists'!$I$2*(1+OrdersTable[[#This Row],[Returned]])</f>
        <v>60</v>
      </c>
      <c r="Y2504" s="76">
        <f>OrdersTable[[#This Row],[Net Revenue]]-OrdersTable[[#This Row],[COGS]]-OrdersTable[[#This Row],[Shipping Cost]]</f>
        <v>296.14999999999998</v>
      </c>
      <c r="Z2504" s="78">
        <f>IFERROR(OrdersTable[[#This Row],[Profit]]/OrdersTable[[#This Row],[Net Revenue]],0)</f>
        <v>0.49844315408566858</v>
      </c>
      <c r="AA2504" t="s">
        <v>18</v>
      </c>
      <c r="AB2504" s="79">
        <v>45717</v>
      </c>
      <c r="AC2504">
        <f>OrdersTable[[#This Row],[Delivery Date]]-OrdersTable[[#This Row],[Order Date]]</f>
        <v>3</v>
      </c>
      <c r="AD2504" t="str">
        <f>IF(OrdersTable[[#This Row],[Delivery Days]]&lt;=2, "Express (≤2d)", IF(OrdersTable[[#This Row],[Delivery Days]]&lt;=4, "Standard (3-4d)", "Delayed (5d+)"))</f>
        <v>Standard (3-4d)</v>
      </c>
      <c r="AF2504">
        <v>0</v>
      </c>
    </row>
    <row r="2505" spans="1:32" ht="15" x14ac:dyDescent="0.35">
      <c r="A2505" t="s">
        <v>4397</v>
      </c>
      <c r="B2505" s="1">
        <v>45714</v>
      </c>
      <c r="C2505">
        <f>YEAR(OrdersTable[[#This Row],[Order Date]])</f>
        <v>2025</v>
      </c>
      <c r="D2505" s="2">
        <f>DATE(YEAR(OrdersTable[[#This Row],[Order Date]]),MONTH(OrdersTable[[#This Row],[Order Date]]),1)</f>
        <v>45689</v>
      </c>
      <c r="E2505">
        <f>MONTH(OrdersTable[[#This Row],[Order Date]])</f>
        <v>2</v>
      </c>
      <c r="F2505" t="s">
        <v>3557</v>
      </c>
      <c r="G2505" t="str">
        <f>IF(OrdersTable[[#This Row],[Order Date]]=_xlfn.MINIFS(Order_Date, Customer_ID, OrdersTable[[#This Row],[Customer ID]]), "New", "Repeat")</f>
        <v>Repeat</v>
      </c>
      <c r="H2505" t="s">
        <v>71</v>
      </c>
      <c r="I2505" t="str">
        <f>INDEX(State!B:B,MATCH(OrdersTable[[#This Row],[State]],State!A:A,0))</f>
        <v>MH</v>
      </c>
      <c r="J2505" t="str">
        <f>INDEX(State!C:C,MATCH(OrdersTable[[#This Row],[State Code]],State!B:B,0))</f>
        <v>West</v>
      </c>
      <c r="K2505" t="s">
        <v>81</v>
      </c>
      <c r="L2505" t="s">
        <v>65</v>
      </c>
      <c r="M2505" t="s">
        <v>255</v>
      </c>
      <c r="N2505" t="str">
        <f>INDEX(Products!B:B,MATCH(OrdersTable[[#This Row],[Product ID]],Products!A:A,0))</f>
        <v>Cotton Oversized T-Shirt</v>
      </c>
      <c r="O2505" t="str">
        <f>INDEX(Products!C:C,MATCH(OrdersTable[[#This Row],[Product ID]],Products!A:A,0))</f>
        <v>Apparel</v>
      </c>
      <c r="P2505">
        <v>1</v>
      </c>
      <c r="Q2505" s="5">
        <v>799</v>
      </c>
      <c r="R2505" s="74">
        <v>0</v>
      </c>
      <c r="S2505" s="75">
        <f>OrdersTable[[#This Row],[Quantity]]*OrdersTable[[#This Row],[Unit Price]]</f>
        <v>799</v>
      </c>
      <c r="T2505" s="5">
        <f>OrdersTable[[#This Row],[Gross Sale]]*OrdersTable[[#This Row],[Discount_Clean2]]</f>
        <v>0</v>
      </c>
      <c r="U2505" s="5">
        <f>OrdersTable[[#This Row],[Gross Sale]]-OrdersTable[[#This Row],[Discount Amount]]</f>
        <v>799</v>
      </c>
      <c r="V2505" s="77">
        <f>INDEX(Products!E:E,MATCH(OrdersTable[[#This Row],[Product ID]],Products!A:A,0))</f>
        <v>320</v>
      </c>
      <c r="W2505" s="77">
        <f>OrdersTable[[#This Row],[Quantity]]*OrdersTable[[#This Row],[Unit Cost]]</f>
        <v>320</v>
      </c>
      <c r="X2505" s="77">
        <f>'Dropdown Lists'!$I$2*(1+OrdersTable[[#This Row],[Returned]])</f>
        <v>60</v>
      </c>
      <c r="Y2505" s="76">
        <f>OrdersTable[[#This Row],[Net Revenue]]-OrdersTable[[#This Row],[COGS]]-OrdersTable[[#This Row],[Shipping Cost]]</f>
        <v>419</v>
      </c>
      <c r="Z2505" s="78">
        <f>IFERROR(OrdersTable[[#This Row],[Profit]]/OrdersTable[[#This Row],[Net Revenue]],0)</f>
        <v>0.52440550688360454</v>
      </c>
      <c r="AA2505" t="s">
        <v>4074</v>
      </c>
      <c r="AB2505" s="79">
        <v>45716</v>
      </c>
      <c r="AC2505">
        <f>OrdersTable[[#This Row],[Delivery Date]]-OrdersTable[[#This Row],[Order Date]]</f>
        <v>2</v>
      </c>
      <c r="AD2505" t="str">
        <f>IF(OrdersTable[[#This Row],[Delivery Days]]&lt;=2, "Express (≤2d)", IF(OrdersTable[[#This Row],[Delivery Days]]&lt;=4, "Standard (3-4d)", "Delayed (5d+)"))</f>
        <v>Express (≤2d)</v>
      </c>
      <c r="AE2505">
        <v>4</v>
      </c>
      <c r="AF2505">
        <v>0</v>
      </c>
    </row>
    <row r="2506" spans="1:32" ht="15" x14ac:dyDescent="0.35">
      <c r="A2506" t="s">
        <v>2602</v>
      </c>
      <c r="B2506" s="1">
        <v>45714</v>
      </c>
      <c r="C2506">
        <f>YEAR(OrdersTable[[#This Row],[Order Date]])</f>
        <v>2025</v>
      </c>
      <c r="D2506" s="2">
        <f>DATE(YEAR(OrdersTable[[#This Row],[Order Date]]),MONTH(OrdersTable[[#This Row],[Order Date]]),1)</f>
        <v>45689</v>
      </c>
      <c r="E2506">
        <f>MONTH(OrdersTable[[#This Row],[Order Date]])</f>
        <v>2</v>
      </c>
      <c r="F2506" t="s">
        <v>2603</v>
      </c>
      <c r="G2506" t="str">
        <f>IF(OrdersTable[[#This Row],[Order Date]]=_xlfn.MINIFS(Order_Date, Customer_ID, OrdersTable[[#This Row],[Customer ID]]), "New", "Repeat")</f>
        <v>New</v>
      </c>
      <c r="H2506" t="s">
        <v>71</v>
      </c>
      <c r="I2506" t="str">
        <f>INDEX(State!B:B,MATCH(OrdersTable[[#This Row],[State]],State!A:A,0))</f>
        <v>MH</v>
      </c>
      <c r="J2506" t="str">
        <f>INDEX(State!C:C,MATCH(OrdersTable[[#This Row],[State Code]],State!B:B,0))</f>
        <v>West</v>
      </c>
      <c r="K2506" t="s">
        <v>81</v>
      </c>
      <c r="L2506" t="s">
        <v>50</v>
      </c>
      <c r="M2506" t="s">
        <v>106</v>
      </c>
      <c r="N2506" t="str">
        <f>INDEX(Products!B:B,MATCH(OrdersTable[[#This Row],[Product ID]],Products!A:A,0))</f>
        <v>Keratin Hair Mask</v>
      </c>
      <c r="O2506" t="str">
        <f>INDEX(Products!C:C,MATCH(OrdersTable[[#This Row],[Product ID]],Products!A:A,0))</f>
        <v>Haircare</v>
      </c>
      <c r="P2506">
        <v>1</v>
      </c>
      <c r="Q2506" s="5">
        <v>549</v>
      </c>
      <c r="R2506" s="74">
        <v>0.2</v>
      </c>
      <c r="S2506" s="75">
        <f>OrdersTable[[#This Row],[Quantity]]*OrdersTable[[#This Row],[Unit Price]]</f>
        <v>549</v>
      </c>
      <c r="T2506" s="5">
        <f>OrdersTable[[#This Row],[Gross Sale]]*OrdersTable[[#This Row],[Discount_Clean2]]</f>
        <v>109.80000000000001</v>
      </c>
      <c r="U2506" s="5">
        <f>OrdersTable[[#This Row],[Gross Sale]]-OrdersTable[[#This Row],[Discount Amount]]</f>
        <v>439.2</v>
      </c>
      <c r="V2506" s="77">
        <f>INDEX(Products!E:E,MATCH(OrdersTable[[#This Row],[Product ID]],Products!A:A,0))</f>
        <v>170</v>
      </c>
      <c r="W2506" s="77">
        <f>OrdersTable[[#This Row],[Quantity]]*OrdersTable[[#This Row],[Unit Cost]]</f>
        <v>170</v>
      </c>
      <c r="X2506" s="77">
        <f>'Dropdown Lists'!$I$2*(1+OrdersTable[[#This Row],[Returned]])</f>
        <v>60</v>
      </c>
      <c r="Y2506" s="76">
        <f>OrdersTable[[#This Row],[Net Revenue]]-OrdersTable[[#This Row],[COGS]]-OrdersTable[[#This Row],[Shipping Cost]]</f>
        <v>209.2</v>
      </c>
      <c r="Z2506" s="78">
        <f>IFERROR(OrdersTable[[#This Row],[Profit]]/OrdersTable[[#This Row],[Net Revenue]],0)</f>
        <v>0.47632058287795992</v>
      </c>
      <c r="AA2506" t="s">
        <v>2522</v>
      </c>
      <c r="AB2506" s="79">
        <v>45717</v>
      </c>
      <c r="AC2506">
        <f>OrdersTable[[#This Row],[Delivery Date]]-OrdersTable[[#This Row],[Order Date]]</f>
        <v>3</v>
      </c>
      <c r="AD2506" t="str">
        <f>IF(OrdersTable[[#This Row],[Delivery Days]]&lt;=2, "Express (≤2d)", IF(OrdersTable[[#This Row],[Delivery Days]]&lt;=4, "Standard (3-4d)", "Delayed (5d+)"))</f>
        <v>Standard (3-4d)</v>
      </c>
      <c r="AE2506">
        <v>5</v>
      </c>
      <c r="AF2506">
        <v>0</v>
      </c>
    </row>
    <row r="2507" spans="1:32" ht="15" x14ac:dyDescent="0.35">
      <c r="A2507" t="s">
        <v>4830</v>
      </c>
      <c r="B2507" s="1">
        <v>45715</v>
      </c>
      <c r="C2507">
        <f>YEAR(OrdersTable[[#This Row],[Order Date]])</f>
        <v>2025</v>
      </c>
      <c r="D2507" s="2">
        <f>DATE(YEAR(OrdersTable[[#This Row],[Order Date]]),MONTH(OrdersTable[[#This Row],[Order Date]]),1)</f>
        <v>45689</v>
      </c>
      <c r="E2507">
        <f>MONTH(OrdersTable[[#This Row],[Order Date]])</f>
        <v>2</v>
      </c>
      <c r="F2507" t="s">
        <v>4168</v>
      </c>
      <c r="G2507" t="str">
        <f>IF(OrdersTable[[#This Row],[Order Date]]=_xlfn.MINIFS(Order_Date, Customer_ID, OrdersTable[[#This Row],[Customer ID]]), "New", "Repeat")</f>
        <v>New</v>
      </c>
      <c r="H2507" t="s">
        <v>37</v>
      </c>
      <c r="I2507" t="str">
        <f>INDEX(State!B:B,MATCH(OrdersTable[[#This Row],[State]],State!A:A,0))</f>
        <v>GJ</v>
      </c>
      <c r="J2507" t="str">
        <f>INDEX(State!C:C,MATCH(OrdersTable[[#This Row],[State Code]],State!B:B,0))</f>
        <v>West</v>
      </c>
      <c r="K2507" t="s">
        <v>247</v>
      </c>
      <c r="L2507" t="s">
        <v>23</v>
      </c>
      <c r="M2507" t="s">
        <v>29</v>
      </c>
      <c r="N2507" t="str">
        <f>INDEX(Products!B:B,MATCH(OrdersTable[[#This Row],[Product ID]],Products!A:A,0))</f>
        <v>Joggers</v>
      </c>
      <c r="O2507" t="str">
        <f>INDEX(Products!C:C,MATCH(OrdersTable[[#This Row],[Product ID]],Products!A:A,0))</f>
        <v>Apparel</v>
      </c>
      <c r="P2507">
        <v>2</v>
      </c>
      <c r="Q2507" s="5">
        <v>1199</v>
      </c>
      <c r="R2507" s="74">
        <v>0.2</v>
      </c>
      <c r="S2507" s="75">
        <f>OrdersTable[[#This Row],[Quantity]]*OrdersTable[[#This Row],[Unit Price]]</f>
        <v>2398</v>
      </c>
      <c r="T2507" s="5">
        <f>OrdersTable[[#This Row],[Gross Sale]]*OrdersTable[[#This Row],[Discount_Clean2]]</f>
        <v>479.6</v>
      </c>
      <c r="U2507" s="5">
        <f>OrdersTable[[#This Row],[Gross Sale]]-OrdersTable[[#This Row],[Discount Amount]]</f>
        <v>1918.4</v>
      </c>
      <c r="V2507" s="77">
        <f>INDEX(Products!E:E,MATCH(OrdersTable[[#This Row],[Product ID]],Products!A:A,0))</f>
        <v>492</v>
      </c>
      <c r="W2507" s="77">
        <f>OrdersTable[[#This Row],[Quantity]]*OrdersTable[[#This Row],[Unit Cost]]</f>
        <v>984</v>
      </c>
      <c r="X2507" s="77">
        <f>'Dropdown Lists'!$I$2*(1+OrdersTable[[#This Row],[Returned]])</f>
        <v>120</v>
      </c>
      <c r="Y2507" s="76">
        <f>OrdersTable[[#This Row],[Net Revenue]]-OrdersTable[[#This Row],[COGS]]-OrdersTable[[#This Row],[Shipping Cost]]</f>
        <v>814.40000000000009</v>
      </c>
      <c r="Z2507" s="78">
        <f>IFERROR(OrdersTable[[#This Row],[Profit]]/OrdersTable[[#This Row],[Net Revenue]],0)</f>
        <v>0.42452043369474562</v>
      </c>
      <c r="AA2507" t="s">
        <v>4450</v>
      </c>
      <c r="AB2507" s="79">
        <v>45717</v>
      </c>
      <c r="AC2507">
        <f>OrdersTable[[#This Row],[Delivery Date]]-OrdersTable[[#This Row],[Order Date]]</f>
        <v>2</v>
      </c>
      <c r="AD2507" t="str">
        <f>IF(OrdersTable[[#This Row],[Delivery Days]]&lt;=2, "Express (≤2d)", IF(OrdersTable[[#This Row],[Delivery Days]]&lt;=4, "Standard (3-4d)", "Delayed (5d+)"))</f>
        <v>Express (≤2d)</v>
      </c>
      <c r="AE2507">
        <v>4</v>
      </c>
      <c r="AF2507">
        <v>1</v>
      </c>
    </row>
    <row r="2508" spans="1:32" ht="15" x14ac:dyDescent="0.35">
      <c r="A2508" t="s">
        <v>6568</v>
      </c>
      <c r="B2508" s="1">
        <v>45715</v>
      </c>
      <c r="C2508">
        <f>YEAR(OrdersTable[[#This Row],[Order Date]])</f>
        <v>2025</v>
      </c>
      <c r="D2508" s="2">
        <f>DATE(YEAR(OrdersTable[[#This Row],[Order Date]]),MONTH(OrdersTable[[#This Row],[Order Date]]),1)</f>
        <v>45689</v>
      </c>
      <c r="E2508">
        <f>MONTH(OrdersTable[[#This Row],[Order Date]])</f>
        <v>2</v>
      </c>
      <c r="F2508" t="s">
        <v>1799</v>
      </c>
      <c r="G2508" t="str">
        <f>IF(OrdersTable[[#This Row],[Order Date]]=_xlfn.MINIFS(Order_Date, Customer_ID, OrdersTable[[#This Row],[Customer ID]]), "New", "Repeat")</f>
        <v>Repeat</v>
      </c>
      <c r="H2508" t="s">
        <v>37</v>
      </c>
      <c r="I2508" t="str">
        <f>INDEX(State!B:B,MATCH(OrdersTable[[#This Row],[State]],State!A:A,0))</f>
        <v>GJ</v>
      </c>
      <c r="J2508" t="str">
        <f>INDEX(State!C:C,MATCH(OrdersTable[[#This Row],[State Code]],State!B:B,0))</f>
        <v>West</v>
      </c>
      <c r="K2508" t="s">
        <v>38</v>
      </c>
      <c r="L2508" t="s">
        <v>16</v>
      </c>
      <c r="M2508" t="s">
        <v>87</v>
      </c>
      <c r="N2508" t="str">
        <f>INDEX(Products!B:B,MATCH(OrdersTable[[#This Row],[Product ID]],Products!A:A,0))</f>
        <v>Linen Kurta</v>
      </c>
      <c r="O2508" t="str">
        <f>INDEX(Products!C:C,MATCH(OrdersTable[[#This Row],[Product ID]],Products!A:A,0))</f>
        <v>Apparel</v>
      </c>
      <c r="P2508">
        <v>3</v>
      </c>
      <c r="Q2508" s="5">
        <v>1499</v>
      </c>
      <c r="R2508" s="74">
        <v>0.35</v>
      </c>
      <c r="S2508" s="75">
        <f>OrdersTable[[#This Row],[Quantity]]*OrdersTable[[#This Row],[Unit Price]]</f>
        <v>4497</v>
      </c>
      <c r="T2508" s="5">
        <f>OrdersTable[[#This Row],[Gross Sale]]*OrdersTable[[#This Row],[Discount_Clean2]]</f>
        <v>1573.9499999999998</v>
      </c>
      <c r="U2508" s="5">
        <f>OrdersTable[[#This Row],[Gross Sale]]-OrdersTable[[#This Row],[Discount Amount]]</f>
        <v>2923.05</v>
      </c>
      <c r="V2508" s="77">
        <f>INDEX(Products!E:E,MATCH(OrdersTable[[#This Row],[Product ID]],Products!A:A,0))</f>
        <v>630</v>
      </c>
      <c r="W2508" s="77">
        <f>OrdersTable[[#This Row],[Quantity]]*OrdersTable[[#This Row],[Unit Cost]]</f>
        <v>1890</v>
      </c>
      <c r="X2508" s="77">
        <f>'Dropdown Lists'!$I$2*(1+OrdersTable[[#This Row],[Returned]])</f>
        <v>60</v>
      </c>
      <c r="Y2508" s="76">
        <f>OrdersTable[[#This Row],[Net Revenue]]-OrdersTable[[#This Row],[COGS]]-OrdersTable[[#This Row],[Shipping Cost]]</f>
        <v>973.05000000000018</v>
      </c>
      <c r="Z2508" s="78">
        <f>IFERROR(OrdersTable[[#This Row],[Profit]]/OrdersTable[[#This Row],[Net Revenue]],0)</f>
        <v>0.33288859239493002</v>
      </c>
      <c r="AA2508" t="s">
        <v>18</v>
      </c>
      <c r="AB2508" s="79">
        <v>45719</v>
      </c>
      <c r="AC2508">
        <f>OrdersTable[[#This Row],[Delivery Date]]-OrdersTable[[#This Row],[Order Date]]</f>
        <v>4</v>
      </c>
      <c r="AD2508" t="str">
        <f>IF(OrdersTable[[#This Row],[Delivery Days]]&lt;=2, "Express (≤2d)", IF(OrdersTable[[#This Row],[Delivery Days]]&lt;=4, "Standard (3-4d)", "Delayed (5d+)"))</f>
        <v>Standard (3-4d)</v>
      </c>
      <c r="AE2508">
        <v>4</v>
      </c>
      <c r="AF2508">
        <v>0</v>
      </c>
    </row>
    <row r="2509" spans="1:32" ht="15" x14ac:dyDescent="0.35">
      <c r="A2509" t="s">
        <v>2790</v>
      </c>
      <c r="B2509" s="1">
        <v>45715</v>
      </c>
      <c r="C2509">
        <f>YEAR(OrdersTable[[#This Row],[Order Date]])</f>
        <v>2025</v>
      </c>
      <c r="D2509" s="2">
        <f>DATE(YEAR(OrdersTable[[#This Row],[Order Date]]),MONTH(OrdersTable[[#This Row],[Order Date]]),1)</f>
        <v>45689</v>
      </c>
      <c r="E2509">
        <f>MONTH(OrdersTable[[#This Row],[Order Date]])</f>
        <v>2</v>
      </c>
      <c r="F2509" t="s">
        <v>2791</v>
      </c>
      <c r="G2509" t="str">
        <f>IF(OrdersTable[[#This Row],[Order Date]]=_xlfn.MINIFS(Order_Date, Customer_ID, OrdersTable[[#This Row],[Customer ID]]), "New", "Repeat")</f>
        <v>Repeat</v>
      </c>
      <c r="H2509" t="s">
        <v>27</v>
      </c>
      <c r="I2509" t="str">
        <f>INDEX(State!B:B,MATCH(OrdersTable[[#This Row],[State]],State!A:A,0))</f>
        <v>WB</v>
      </c>
      <c r="J2509" t="str">
        <f>INDEX(State!C:C,MATCH(OrdersTable[[#This Row],[State Code]],State!B:B,0))</f>
        <v>East</v>
      </c>
      <c r="K2509" t="s">
        <v>28</v>
      </c>
      <c r="L2509" t="s">
        <v>39</v>
      </c>
      <c r="M2509" t="s">
        <v>61</v>
      </c>
      <c r="N2509" t="str">
        <f>INDEX(Products!B:B,MATCH(OrdersTable[[#This Row],[Product ID]],Products!A:A,0))</f>
        <v>Multivitamin Gummies</v>
      </c>
      <c r="O2509" t="str">
        <f>INDEX(Products!C:C,MATCH(OrdersTable[[#This Row],[Product ID]],Products!A:A,0))</f>
        <v>Wellness</v>
      </c>
      <c r="P2509">
        <v>1</v>
      </c>
      <c r="Q2509" s="5">
        <v>699</v>
      </c>
      <c r="R2509" s="74">
        <v>0.15</v>
      </c>
      <c r="S2509" s="75">
        <f>OrdersTable[[#This Row],[Quantity]]*OrdersTable[[#This Row],[Unit Price]]</f>
        <v>699</v>
      </c>
      <c r="T2509" s="5">
        <f>OrdersTable[[#This Row],[Gross Sale]]*OrdersTable[[#This Row],[Discount_Clean2]]</f>
        <v>104.85</v>
      </c>
      <c r="U2509" s="5">
        <f>OrdersTable[[#This Row],[Gross Sale]]-OrdersTable[[#This Row],[Discount Amount]]</f>
        <v>594.15</v>
      </c>
      <c r="V2509" s="77">
        <f>INDEX(Products!E:E,MATCH(OrdersTable[[#This Row],[Product ID]],Products!A:A,0))</f>
        <v>238</v>
      </c>
      <c r="W2509" s="77">
        <f>OrdersTable[[#This Row],[Quantity]]*OrdersTable[[#This Row],[Unit Cost]]</f>
        <v>238</v>
      </c>
      <c r="X2509" s="77">
        <f>'Dropdown Lists'!$I$2*(1+OrdersTable[[#This Row],[Returned]])</f>
        <v>60</v>
      </c>
      <c r="Y2509" s="76">
        <f>OrdersTable[[#This Row],[Net Revenue]]-OrdersTable[[#This Row],[COGS]]-OrdersTable[[#This Row],[Shipping Cost]]</f>
        <v>296.14999999999998</v>
      </c>
      <c r="Z2509" s="78">
        <f>IFERROR(OrdersTable[[#This Row],[Profit]]/OrdersTable[[#This Row],[Net Revenue]],0)</f>
        <v>0.49844315408566858</v>
      </c>
      <c r="AA2509" t="s">
        <v>2522</v>
      </c>
      <c r="AB2509" s="79">
        <v>45719</v>
      </c>
      <c r="AC2509">
        <f>OrdersTable[[#This Row],[Delivery Date]]-OrdersTable[[#This Row],[Order Date]]</f>
        <v>4</v>
      </c>
      <c r="AD2509" t="str">
        <f>IF(OrdersTable[[#This Row],[Delivery Days]]&lt;=2, "Express (≤2d)", IF(OrdersTable[[#This Row],[Delivery Days]]&lt;=4, "Standard (3-4d)", "Delayed (5d+)"))</f>
        <v>Standard (3-4d)</v>
      </c>
      <c r="AE2509">
        <v>3</v>
      </c>
      <c r="AF2509">
        <v>0</v>
      </c>
    </row>
    <row r="2510" spans="1:32" ht="15" x14ac:dyDescent="0.35">
      <c r="A2510" t="s">
        <v>4508</v>
      </c>
      <c r="B2510" s="1">
        <v>45715</v>
      </c>
      <c r="C2510">
        <f>YEAR(OrdersTable[[#This Row],[Order Date]])</f>
        <v>2025</v>
      </c>
      <c r="D2510" s="2">
        <f>DATE(YEAR(OrdersTable[[#This Row],[Order Date]]),MONTH(OrdersTable[[#This Row],[Order Date]]),1)</f>
        <v>45689</v>
      </c>
      <c r="E2510">
        <f>MONTH(OrdersTable[[#This Row],[Order Date]])</f>
        <v>2</v>
      </c>
      <c r="F2510" t="s">
        <v>4509</v>
      </c>
      <c r="G2510" t="str">
        <f>IF(OrdersTable[[#This Row],[Order Date]]=_xlfn.MINIFS(Order_Date, Customer_ID, OrdersTable[[#This Row],[Customer ID]]), "New", "Repeat")</f>
        <v>New</v>
      </c>
      <c r="H2510" t="s">
        <v>95</v>
      </c>
      <c r="I2510" t="str">
        <f>INDEX(State!B:B,MATCH(OrdersTable[[#This Row],[State]],State!A:A,0))</f>
        <v>TG</v>
      </c>
      <c r="J2510" t="str">
        <f>INDEX(State!C:C,MATCH(OrdersTable[[#This Row],[State Code]],State!B:B,0))</f>
        <v>South</v>
      </c>
      <c r="K2510" t="s">
        <v>96</v>
      </c>
      <c r="L2510" t="s">
        <v>23</v>
      </c>
      <c r="M2510" t="s">
        <v>160</v>
      </c>
      <c r="N2510" t="str">
        <f>INDEX(Products!B:B,MATCH(OrdersTable[[#This Row],[Product ID]],Products!A:A,0))</f>
        <v>Niacinamide Toner</v>
      </c>
      <c r="O2510" t="str">
        <f>INDEX(Products!C:C,MATCH(OrdersTable[[#This Row],[Product ID]],Products!A:A,0))</f>
        <v>Skincare</v>
      </c>
      <c r="P2510">
        <v>1</v>
      </c>
      <c r="Q2510" s="5">
        <v>399</v>
      </c>
      <c r="R2510" s="74">
        <v>0.2</v>
      </c>
      <c r="S2510" s="75">
        <f>OrdersTable[[#This Row],[Quantity]]*OrdersTable[[#This Row],[Unit Price]]</f>
        <v>399</v>
      </c>
      <c r="T2510" s="5">
        <f>OrdersTable[[#This Row],[Gross Sale]]*OrdersTable[[#This Row],[Discount_Clean2]]</f>
        <v>79.800000000000011</v>
      </c>
      <c r="U2510" s="5">
        <f>OrdersTable[[#This Row],[Gross Sale]]-OrdersTable[[#This Row],[Discount Amount]]</f>
        <v>319.2</v>
      </c>
      <c r="V2510" s="77">
        <f>INDEX(Products!E:E,MATCH(OrdersTable[[#This Row],[Product ID]],Products!A:A,0))</f>
        <v>112</v>
      </c>
      <c r="W2510" s="77">
        <f>OrdersTable[[#This Row],[Quantity]]*OrdersTable[[#This Row],[Unit Cost]]</f>
        <v>112</v>
      </c>
      <c r="X2510" s="77">
        <f>'Dropdown Lists'!$I$2*(1+OrdersTable[[#This Row],[Returned]])</f>
        <v>60</v>
      </c>
      <c r="Y2510" s="76">
        <f>OrdersTable[[#This Row],[Net Revenue]]-OrdersTable[[#This Row],[COGS]]-OrdersTable[[#This Row],[Shipping Cost]]</f>
        <v>147.19999999999999</v>
      </c>
      <c r="Z2510" s="78">
        <f>IFERROR(OrdersTable[[#This Row],[Profit]]/OrdersTable[[#This Row],[Net Revenue]],0)</f>
        <v>0.46115288220551376</v>
      </c>
      <c r="AA2510" t="s">
        <v>4450</v>
      </c>
      <c r="AB2510" s="79">
        <v>45717</v>
      </c>
      <c r="AC2510">
        <f>OrdersTable[[#This Row],[Delivery Date]]-OrdersTable[[#This Row],[Order Date]]</f>
        <v>2</v>
      </c>
      <c r="AD2510" t="str">
        <f>IF(OrdersTable[[#This Row],[Delivery Days]]&lt;=2, "Express (≤2d)", IF(OrdersTable[[#This Row],[Delivery Days]]&lt;=4, "Standard (3-4d)", "Delayed (5d+)"))</f>
        <v>Express (≤2d)</v>
      </c>
      <c r="AE2510">
        <v>4</v>
      </c>
      <c r="AF2510">
        <v>0</v>
      </c>
    </row>
    <row r="2511" spans="1:32" ht="15" x14ac:dyDescent="0.35">
      <c r="A2511" t="s">
        <v>3605</v>
      </c>
      <c r="B2511" s="1">
        <v>45715</v>
      </c>
      <c r="C2511">
        <f>YEAR(OrdersTable[[#This Row],[Order Date]])</f>
        <v>2025</v>
      </c>
      <c r="D2511" s="2">
        <f>DATE(YEAR(OrdersTable[[#This Row],[Order Date]]),MONTH(OrdersTable[[#This Row],[Order Date]]),1)</f>
        <v>45689</v>
      </c>
      <c r="E2511">
        <f>MONTH(OrdersTable[[#This Row],[Order Date]])</f>
        <v>2</v>
      </c>
      <c r="F2511" t="s">
        <v>3606</v>
      </c>
      <c r="G2511" t="str">
        <f>IF(OrdersTable[[#This Row],[Order Date]]=_xlfn.MINIFS(Order_Date, Customer_ID, OrdersTable[[#This Row],[Customer ID]]), "New", "Repeat")</f>
        <v>New</v>
      </c>
      <c r="H2511" t="s">
        <v>167</v>
      </c>
      <c r="I2511" t="str">
        <f>INDEX(State!B:B,MATCH(OrdersTable[[#This Row],[State]],State!A:A,0))</f>
        <v>KA</v>
      </c>
      <c r="J2511" t="str">
        <f>INDEX(State!C:C,MATCH(OrdersTable[[#This Row],[State Code]],State!B:B,0))</f>
        <v>South</v>
      </c>
      <c r="K2511" t="s">
        <v>168</v>
      </c>
      <c r="L2511" t="s">
        <v>65</v>
      </c>
      <c r="M2511" t="s">
        <v>61</v>
      </c>
      <c r="N2511" t="str">
        <f>INDEX(Products!B:B,MATCH(OrdersTable[[#This Row],[Product ID]],Products!A:A,0))</f>
        <v>Multivitamin Gummies</v>
      </c>
      <c r="O2511" t="str">
        <f>INDEX(Products!C:C,MATCH(OrdersTable[[#This Row],[Product ID]],Products!A:A,0))</f>
        <v>Wellness</v>
      </c>
      <c r="P2511">
        <v>1</v>
      </c>
      <c r="Q2511" s="5">
        <v>699</v>
      </c>
      <c r="R2511" s="74">
        <v>0.15</v>
      </c>
      <c r="S2511" s="75">
        <f>OrdersTable[[#This Row],[Quantity]]*OrdersTable[[#This Row],[Unit Price]]</f>
        <v>699</v>
      </c>
      <c r="T2511" s="5">
        <f>OrdersTable[[#This Row],[Gross Sale]]*OrdersTable[[#This Row],[Discount_Clean2]]</f>
        <v>104.85</v>
      </c>
      <c r="U2511" s="5">
        <f>OrdersTable[[#This Row],[Gross Sale]]-OrdersTable[[#This Row],[Discount Amount]]</f>
        <v>594.15</v>
      </c>
      <c r="V2511" s="77">
        <f>INDEX(Products!E:E,MATCH(OrdersTable[[#This Row],[Product ID]],Products!A:A,0))</f>
        <v>238</v>
      </c>
      <c r="W2511" s="77">
        <f>OrdersTable[[#This Row],[Quantity]]*OrdersTable[[#This Row],[Unit Cost]]</f>
        <v>238</v>
      </c>
      <c r="X2511" s="77">
        <f>'Dropdown Lists'!$I$2*(1+OrdersTable[[#This Row],[Returned]])</f>
        <v>60</v>
      </c>
      <c r="Y2511" s="76">
        <f>OrdersTable[[#This Row],[Net Revenue]]-OrdersTable[[#This Row],[COGS]]-OrdersTable[[#This Row],[Shipping Cost]]</f>
        <v>296.14999999999998</v>
      </c>
      <c r="Z2511" s="78">
        <f>IFERROR(OrdersTable[[#This Row],[Profit]]/OrdersTable[[#This Row],[Net Revenue]],0)</f>
        <v>0.49844315408566858</v>
      </c>
      <c r="AA2511" t="s">
        <v>3495</v>
      </c>
      <c r="AB2511" s="79">
        <v>45718</v>
      </c>
      <c r="AC2511">
        <f>OrdersTable[[#This Row],[Delivery Date]]-OrdersTable[[#This Row],[Order Date]]</f>
        <v>3</v>
      </c>
      <c r="AD2511" t="str">
        <f>IF(OrdersTable[[#This Row],[Delivery Days]]&lt;=2, "Express (≤2d)", IF(OrdersTable[[#This Row],[Delivery Days]]&lt;=4, "Standard (3-4d)", "Delayed (5d+)"))</f>
        <v>Standard (3-4d)</v>
      </c>
      <c r="AE2511">
        <v>4</v>
      </c>
      <c r="AF2511">
        <v>0</v>
      </c>
    </row>
    <row r="2512" spans="1:32" ht="15" x14ac:dyDescent="0.35">
      <c r="A2512" t="s">
        <v>5511</v>
      </c>
      <c r="B2512" s="1">
        <v>45716</v>
      </c>
      <c r="C2512">
        <f>YEAR(OrdersTable[[#This Row],[Order Date]])</f>
        <v>2025</v>
      </c>
      <c r="D2512" s="2">
        <f>DATE(YEAR(OrdersTable[[#This Row],[Order Date]]),MONTH(OrdersTable[[#This Row],[Order Date]]),1)</f>
        <v>45689</v>
      </c>
      <c r="E2512">
        <f>MONTH(OrdersTable[[#This Row],[Order Date]])</f>
        <v>2</v>
      </c>
      <c r="F2512" t="s">
        <v>1154</v>
      </c>
      <c r="G2512" t="str">
        <f>IF(OrdersTable[[#This Row],[Order Date]]=_xlfn.MINIFS(Order_Date, Customer_ID, OrdersTable[[#This Row],[Customer ID]]), "New", "Repeat")</f>
        <v>Repeat</v>
      </c>
      <c r="H2512" t="s">
        <v>21</v>
      </c>
      <c r="I2512" t="str">
        <f>INDEX(State!B:B,MATCH(OrdersTable[[#This Row],[State]],State!A:A,0))</f>
        <v>PB</v>
      </c>
      <c r="J2512" t="str">
        <f>INDEX(State!C:C,MATCH(OrdersTable[[#This Row],[State Code]],State!B:B,0))</f>
        <v>North</v>
      </c>
      <c r="K2512" t="s">
        <v>22</v>
      </c>
      <c r="L2512" t="s">
        <v>65</v>
      </c>
      <c r="M2512" t="s">
        <v>84</v>
      </c>
      <c r="N2512" t="str">
        <f>INDEX(Products!B:B,MATCH(OrdersTable[[#This Row],[Product ID]],Products!A:A,0))</f>
        <v>Cotton Bedsheet</v>
      </c>
      <c r="O2512" t="str">
        <f>INDEX(Products!C:C,MATCH(OrdersTable[[#This Row],[Product ID]],Products!A:A,0))</f>
        <v>Home &amp; Kitchen</v>
      </c>
      <c r="P2512">
        <v>2</v>
      </c>
      <c r="Q2512" s="5">
        <v>1299</v>
      </c>
      <c r="R2512" s="74">
        <v>0.1</v>
      </c>
      <c r="S2512" s="75">
        <f>OrdersTable[[#This Row],[Quantity]]*OrdersTable[[#This Row],[Unit Price]]</f>
        <v>2598</v>
      </c>
      <c r="T2512" s="5">
        <f>OrdersTable[[#This Row],[Gross Sale]]*OrdersTable[[#This Row],[Discount_Clean2]]</f>
        <v>259.8</v>
      </c>
      <c r="U2512" s="5">
        <f>OrdersTable[[#This Row],[Gross Sale]]-OrdersTable[[#This Row],[Discount Amount]]</f>
        <v>2338.1999999999998</v>
      </c>
      <c r="V2512" s="77">
        <f>INDEX(Products!E:E,MATCH(OrdersTable[[#This Row],[Product ID]],Products!A:A,0))</f>
        <v>585</v>
      </c>
      <c r="W2512" s="77">
        <f>OrdersTable[[#This Row],[Quantity]]*OrdersTable[[#This Row],[Unit Cost]]</f>
        <v>1170</v>
      </c>
      <c r="X2512" s="77">
        <f>'Dropdown Lists'!$I$2*(1+OrdersTable[[#This Row],[Returned]])</f>
        <v>60</v>
      </c>
      <c r="Y2512" s="76">
        <f>OrdersTable[[#This Row],[Net Revenue]]-OrdersTable[[#This Row],[COGS]]-OrdersTable[[#This Row],[Shipping Cost]]</f>
        <v>1108.1999999999998</v>
      </c>
      <c r="Z2512" s="78">
        <f>IFERROR(OrdersTable[[#This Row],[Profit]]/OrdersTable[[#This Row],[Net Revenue]],0)</f>
        <v>0.47395432383885033</v>
      </c>
      <c r="AA2512" t="s">
        <v>2522</v>
      </c>
      <c r="AB2512" s="79">
        <v>45720</v>
      </c>
      <c r="AC2512">
        <f>OrdersTable[[#This Row],[Delivery Date]]-OrdersTable[[#This Row],[Order Date]]</f>
        <v>4</v>
      </c>
      <c r="AD2512" t="str">
        <f>IF(OrdersTable[[#This Row],[Delivery Days]]&lt;=2, "Express (≤2d)", IF(OrdersTable[[#This Row],[Delivery Days]]&lt;=4, "Standard (3-4d)", "Delayed (5d+)"))</f>
        <v>Standard (3-4d)</v>
      </c>
      <c r="AE2512">
        <v>4</v>
      </c>
      <c r="AF2512">
        <v>0</v>
      </c>
    </row>
    <row r="2513" spans="1:32" ht="15" x14ac:dyDescent="0.35">
      <c r="A2513" t="s">
        <v>4831</v>
      </c>
      <c r="B2513" s="1">
        <v>45716</v>
      </c>
      <c r="C2513">
        <f>YEAR(OrdersTable[[#This Row],[Order Date]])</f>
        <v>2025</v>
      </c>
      <c r="D2513" s="2">
        <f>DATE(YEAR(OrdersTable[[#This Row],[Order Date]]),MONTH(OrdersTable[[#This Row],[Order Date]]),1)</f>
        <v>45689</v>
      </c>
      <c r="E2513">
        <f>MONTH(OrdersTable[[#This Row],[Order Date]])</f>
        <v>2</v>
      </c>
      <c r="F2513" t="s">
        <v>2955</v>
      </c>
      <c r="G2513" t="str">
        <f>IF(OrdersTable[[#This Row],[Order Date]]=_xlfn.MINIFS(Order_Date, Customer_ID, OrdersTable[[#This Row],[Customer ID]]), "New", "Repeat")</f>
        <v>Repeat</v>
      </c>
      <c r="H2513" t="s">
        <v>54</v>
      </c>
      <c r="I2513" t="str">
        <f>INDEX(State!B:B,MATCH(OrdersTable[[#This Row],[State]],State!A:A,0))</f>
        <v>RJ</v>
      </c>
      <c r="J2513" t="str">
        <f>INDEX(State!C:C,MATCH(OrdersTable[[#This Row],[State Code]],State!B:B,0))</f>
        <v>North</v>
      </c>
      <c r="K2513" t="s">
        <v>227</v>
      </c>
      <c r="L2513" t="s">
        <v>65</v>
      </c>
      <c r="M2513" t="s">
        <v>51</v>
      </c>
      <c r="N2513" t="str">
        <f>INDEX(Products!B:B,MATCH(OrdersTable[[#This Row],[Product ID]],Products!A:A,0))</f>
        <v>Anti-Dandruff Conditioner</v>
      </c>
      <c r="O2513" t="str">
        <f>INDEX(Products!C:C,MATCH(OrdersTable[[#This Row],[Product ID]],Products!A:A,0))</f>
        <v>Haircare</v>
      </c>
      <c r="P2513">
        <v>2</v>
      </c>
      <c r="Q2513" s="5">
        <v>399</v>
      </c>
      <c r="R2513" s="74">
        <v>0.35</v>
      </c>
      <c r="S2513" s="75">
        <f>OrdersTable[[#This Row],[Quantity]]*OrdersTable[[#This Row],[Unit Price]]</f>
        <v>798</v>
      </c>
      <c r="T2513" s="5">
        <f>OrdersTable[[#This Row],[Gross Sale]]*OrdersTable[[#This Row],[Discount_Clean2]]</f>
        <v>279.29999999999995</v>
      </c>
      <c r="U2513" s="5">
        <f>OrdersTable[[#This Row],[Gross Sale]]-OrdersTable[[#This Row],[Discount Amount]]</f>
        <v>518.70000000000005</v>
      </c>
      <c r="V2513" s="77">
        <f>INDEX(Products!E:E,MATCH(OrdersTable[[#This Row],[Product ID]],Products!A:A,0))</f>
        <v>136</v>
      </c>
      <c r="W2513" s="77">
        <f>OrdersTable[[#This Row],[Quantity]]*OrdersTable[[#This Row],[Unit Cost]]</f>
        <v>272</v>
      </c>
      <c r="X2513" s="77">
        <f>'Dropdown Lists'!$I$2*(1+OrdersTable[[#This Row],[Returned]])</f>
        <v>60</v>
      </c>
      <c r="Y2513" s="76">
        <f>OrdersTable[[#This Row],[Net Revenue]]-OrdersTable[[#This Row],[COGS]]-OrdersTable[[#This Row],[Shipping Cost]]</f>
        <v>186.70000000000005</v>
      </c>
      <c r="Z2513" s="78">
        <f>IFERROR(OrdersTable[[#This Row],[Profit]]/OrdersTable[[#This Row],[Net Revenue]],0)</f>
        <v>0.35993830730672843</v>
      </c>
      <c r="AA2513" t="s">
        <v>4450</v>
      </c>
      <c r="AB2513" s="79">
        <v>45721</v>
      </c>
      <c r="AC2513">
        <f>OrdersTable[[#This Row],[Delivery Date]]-OrdersTable[[#This Row],[Order Date]]</f>
        <v>5</v>
      </c>
      <c r="AD2513" t="str">
        <f>IF(OrdersTable[[#This Row],[Delivery Days]]&lt;=2, "Express (≤2d)", IF(OrdersTable[[#This Row],[Delivery Days]]&lt;=4, "Standard (3-4d)", "Delayed (5d+)"))</f>
        <v>Delayed (5d+)</v>
      </c>
      <c r="AE2513">
        <v>4</v>
      </c>
      <c r="AF2513">
        <v>0</v>
      </c>
    </row>
    <row r="2514" spans="1:32" ht="15" x14ac:dyDescent="0.35">
      <c r="A2514" t="s">
        <v>4398</v>
      </c>
      <c r="B2514" s="1">
        <v>45716</v>
      </c>
      <c r="C2514">
        <f>YEAR(OrdersTable[[#This Row],[Order Date]])</f>
        <v>2025</v>
      </c>
      <c r="D2514" s="2">
        <f>DATE(YEAR(OrdersTable[[#This Row],[Order Date]]),MONTH(OrdersTable[[#This Row],[Order Date]]),1)</f>
        <v>45689</v>
      </c>
      <c r="E2514">
        <f>MONTH(OrdersTable[[#This Row],[Order Date]])</f>
        <v>2</v>
      </c>
      <c r="F2514" t="s">
        <v>4399</v>
      </c>
      <c r="G2514" t="str">
        <f>IF(OrdersTable[[#This Row],[Order Date]]=_xlfn.MINIFS(Order_Date, Customer_ID, OrdersTable[[#This Row],[Customer ID]]), "New", "Repeat")</f>
        <v>Repeat</v>
      </c>
      <c r="H2514" t="s">
        <v>76</v>
      </c>
      <c r="I2514" t="str">
        <f>INDEX(State!B:B,MATCH(OrdersTable[[#This Row],[State]],State!A:A,0))</f>
        <v>UP</v>
      </c>
      <c r="J2514" t="str">
        <f>INDEX(State!C:C,MATCH(OrdersTable[[#This Row],[State Code]],State!B:B,0))</f>
        <v>North</v>
      </c>
      <c r="K2514" t="s">
        <v>105</v>
      </c>
      <c r="L2514" t="s">
        <v>65</v>
      </c>
      <c r="M2514" t="s">
        <v>109</v>
      </c>
      <c r="N2514" t="str">
        <f>INDEX(Products!B:B,MATCH(OrdersTable[[#This Row],[Product ID]],Products!A:A,0))</f>
        <v>Onion Hair Oil</v>
      </c>
      <c r="O2514" t="str">
        <f>INDEX(Products!C:C,MATCH(OrdersTable[[#This Row],[Product ID]],Products!A:A,0))</f>
        <v>Haircare</v>
      </c>
      <c r="P2514">
        <v>1</v>
      </c>
      <c r="Q2514" s="5">
        <v>349</v>
      </c>
      <c r="R2514" s="74">
        <v>0.4</v>
      </c>
      <c r="S2514" s="75">
        <f>OrdersTable[[#This Row],[Quantity]]*OrdersTable[[#This Row],[Unit Price]]</f>
        <v>349</v>
      </c>
      <c r="T2514" s="5">
        <f>OrdersTable[[#This Row],[Gross Sale]]*OrdersTable[[#This Row],[Discount_Clean2]]</f>
        <v>139.6</v>
      </c>
      <c r="U2514" s="5">
        <f>OrdersTable[[#This Row],[Gross Sale]]-OrdersTable[[#This Row],[Discount Amount]]</f>
        <v>209.4</v>
      </c>
      <c r="V2514" s="77">
        <f>INDEX(Products!E:E,MATCH(OrdersTable[[#This Row],[Product ID]],Products!A:A,0))</f>
        <v>105</v>
      </c>
      <c r="W2514" s="77">
        <f>OrdersTable[[#This Row],[Quantity]]*OrdersTable[[#This Row],[Unit Cost]]</f>
        <v>105</v>
      </c>
      <c r="X2514" s="77">
        <f>'Dropdown Lists'!$I$2*(1+OrdersTable[[#This Row],[Returned]])</f>
        <v>60</v>
      </c>
      <c r="Y2514" s="76">
        <f>OrdersTable[[#This Row],[Net Revenue]]-OrdersTable[[#This Row],[COGS]]-OrdersTable[[#This Row],[Shipping Cost]]</f>
        <v>44.400000000000006</v>
      </c>
      <c r="Z2514" s="78">
        <f>IFERROR(OrdersTable[[#This Row],[Profit]]/OrdersTable[[#This Row],[Net Revenue]],0)</f>
        <v>0.21203438395415475</v>
      </c>
      <c r="AA2514" t="s">
        <v>4074</v>
      </c>
      <c r="AB2514" s="79">
        <v>45718</v>
      </c>
      <c r="AC2514">
        <f>OrdersTable[[#This Row],[Delivery Date]]-OrdersTable[[#This Row],[Order Date]]</f>
        <v>2</v>
      </c>
      <c r="AD2514" t="str">
        <f>IF(OrdersTable[[#This Row],[Delivery Days]]&lt;=2, "Express (≤2d)", IF(OrdersTable[[#This Row],[Delivery Days]]&lt;=4, "Standard (3-4d)", "Delayed (5d+)"))</f>
        <v>Express (≤2d)</v>
      </c>
      <c r="AE2514">
        <v>4</v>
      </c>
      <c r="AF2514">
        <v>0</v>
      </c>
    </row>
    <row r="2515" spans="1:32" ht="15" x14ac:dyDescent="0.35">
      <c r="A2515" t="s">
        <v>3607</v>
      </c>
      <c r="B2515" s="1">
        <v>45716</v>
      </c>
      <c r="C2515">
        <f>YEAR(OrdersTable[[#This Row],[Order Date]])</f>
        <v>2025</v>
      </c>
      <c r="D2515" s="2">
        <f>DATE(YEAR(OrdersTable[[#This Row],[Order Date]]),MONTH(OrdersTable[[#This Row],[Order Date]]),1)</f>
        <v>45689</v>
      </c>
      <c r="E2515">
        <f>MONTH(OrdersTable[[#This Row],[Order Date]])</f>
        <v>2</v>
      </c>
      <c r="F2515" t="s">
        <v>3608</v>
      </c>
      <c r="G2515" t="str">
        <f>IF(OrdersTable[[#This Row],[Order Date]]=_xlfn.MINIFS(Order_Date, Customer_ID, OrdersTable[[#This Row],[Customer ID]]), "New", "Repeat")</f>
        <v>Repeat</v>
      </c>
      <c r="H2515" t="s">
        <v>76</v>
      </c>
      <c r="I2515" t="str">
        <f>INDEX(State!B:B,MATCH(OrdersTable[[#This Row],[State]],State!A:A,0))</f>
        <v>UP</v>
      </c>
      <c r="J2515" t="str">
        <f>INDEX(State!C:C,MATCH(OrdersTable[[#This Row],[State Code]],State!B:B,0))</f>
        <v>North</v>
      </c>
      <c r="K2515" t="s">
        <v>77</v>
      </c>
      <c r="L2515" t="s">
        <v>65</v>
      </c>
      <c r="M2515" t="s">
        <v>84</v>
      </c>
      <c r="N2515" t="str">
        <f>INDEX(Products!B:B,MATCH(OrdersTable[[#This Row],[Product ID]],Products!A:A,0))</f>
        <v>Cotton Bedsheet</v>
      </c>
      <c r="O2515" t="str">
        <f>INDEX(Products!C:C,MATCH(OrdersTable[[#This Row],[Product ID]],Products!A:A,0))</f>
        <v>Home &amp; Kitchen</v>
      </c>
      <c r="P2515">
        <v>1</v>
      </c>
      <c r="Q2515" s="5">
        <v>1299</v>
      </c>
      <c r="R2515" s="74">
        <v>0</v>
      </c>
      <c r="S2515" s="75">
        <f>OrdersTable[[#This Row],[Quantity]]*OrdersTable[[#This Row],[Unit Price]]</f>
        <v>1299</v>
      </c>
      <c r="T2515" s="5">
        <f>OrdersTable[[#This Row],[Gross Sale]]*OrdersTable[[#This Row],[Discount_Clean2]]</f>
        <v>0</v>
      </c>
      <c r="U2515" s="5">
        <f>OrdersTable[[#This Row],[Gross Sale]]-OrdersTable[[#This Row],[Discount Amount]]</f>
        <v>1299</v>
      </c>
      <c r="V2515" s="77">
        <f>INDEX(Products!E:E,MATCH(OrdersTable[[#This Row],[Product ID]],Products!A:A,0))</f>
        <v>585</v>
      </c>
      <c r="W2515" s="77">
        <f>OrdersTable[[#This Row],[Quantity]]*OrdersTable[[#This Row],[Unit Cost]]</f>
        <v>585</v>
      </c>
      <c r="X2515" s="77">
        <f>'Dropdown Lists'!$I$2*(1+OrdersTable[[#This Row],[Returned]])</f>
        <v>60</v>
      </c>
      <c r="Y2515" s="76">
        <f>OrdersTable[[#This Row],[Net Revenue]]-OrdersTable[[#This Row],[COGS]]-OrdersTable[[#This Row],[Shipping Cost]]</f>
        <v>654</v>
      </c>
      <c r="Z2515" s="78">
        <f>IFERROR(OrdersTable[[#This Row],[Profit]]/OrdersTable[[#This Row],[Net Revenue]],0)</f>
        <v>0.50346420323325636</v>
      </c>
      <c r="AA2515" t="s">
        <v>3495</v>
      </c>
      <c r="AB2515" s="79">
        <v>45721</v>
      </c>
      <c r="AC2515">
        <f>OrdersTable[[#This Row],[Delivery Date]]-OrdersTable[[#This Row],[Order Date]]</f>
        <v>5</v>
      </c>
      <c r="AD2515" t="str">
        <f>IF(OrdersTable[[#This Row],[Delivery Days]]&lt;=2, "Express (≤2d)", IF(OrdersTable[[#This Row],[Delivery Days]]&lt;=4, "Standard (3-4d)", "Delayed (5d+)"))</f>
        <v>Delayed (5d+)</v>
      </c>
      <c r="AE2515">
        <v>4</v>
      </c>
      <c r="AF2515">
        <v>0</v>
      </c>
    </row>
    <row r="2516" spans="1:32" ht="15" x14ac:dyDescent="0.35">
      <c r="A2516" t="s">
        <v>5175</v>
      </c>
      <c r="B2516" s="1">
        <v>45716</v>
      </c>
      <c r="C2516">
        <f>YEAR(OrdersTable[[#This Row],[Order Date]])</f>
        <v>2025</v>
      </c>
      <c r="D2516" s="2">
        <f>DATE(YEAR(OrdersTable[[#This Row],[Order Date]]),MONTH(OrdersTable[[#This Row],[Order Date]]),1)</f>
        <v>45689</v>
      </c>
      <c r="E2516">
        <f>MONTH(OrdersTable[[#This Row],[Order Date]])</f>
        <v>2</v>
      </c>
      <c r="F2516" t="s">
        <v>5176</v>
      </c>
      <c r="G2516" t="str">
        <f>IF(OrdersTable[[#This Row],[Order Date]]=_xlfn.MINIFS(Order_Date, Customer_ID, OrdersTable[[#This Row],[Customer ID]]), "New", "Repeat")</f>
        <v>Repeat</v>
      </c>
      <c r="H2516" t="s">
        <v>71</v>
      </c>
      <c r="I2516" t="str">
        <f>INDEX(State!B:B,MATCH(OrdersTable[[#This Row],[State]],State!A:A,0))</f>
        <v>MH</v>
      </c>
      <c r="J2516" t="str">
        <f>INDEX(State!C:C,MATCH(OrdersTable[[#This Row],[State Code]],State!B:B,0))</f>
        <v>West</v>
      </c>
      <c r="K2516" t="s">
        <v>81</v>
      </c>
      <c r="L2516" t="s">
        <v>50</v>
      </c>
      <c r="M2516" t="s">
        <v>106</v>
      </c>
      <c r="N2516" t="str">
        <f>INDEX(Products!B:B,MATCH(OrdersTable[[#This Row],[Product ID]],Products!A:A,0))</f>
        <v>Keratin Hair Mask</v>
      </c>
      <c r="O2516" t="str">
        <f>INDEX(Products!C:C,MATCH(OrdersTable[[#This Row],[Product ID]],Products!A:A,0))</f>
        <v>Haircare</v>
      </c>
      <c r="P2516">
        <v>2</v>
      </c>
      <c r="Q2516" s="5">
        <v>549</v>
      </c>
      <c r="R2516" s="74">
        <v>0.25</v>
      </c>
      <c r="S2516" s="75">
        <f>OrdersTable[[#This Row],[Quantity]]*OrdersTable[[#This Row],[Unit Price]]</f>
        <v>1098</v>
      </c>
      <c r="T2516" s="5">
        <f>OrdersTable[[#This Row],[Gross Sale]]*OrdersTable[[#This Row],[Discount_Clean2]]</f>
        <v>274.5</v>
      </c>
      <c r="U2516" s="5">
        <f>OrdersTable[[#This Row],[Gross Sale]]-OrdersTable[[#This Row],[Discount Amount]]</f>
        <v>823.5</v>
      </c>
      <c r="V2516" s="77">
        <f>INDEX(Products!E:E,MATCH(OrdersTable[[#This Row],[Product ID]],Products!A:A,0))</f>
        <v>170</v>
      </c>
      <c r="W2516" s="77">
        <f>OrdersTable[[#This Row],[Quantity]]*OrdersTable[[#This Row],[Unit Cost]]</f>
        <v>340</v>
      </c>
      <c r="X2516" s="77">
        <f>'Dropdown Lists'!$I$2*(1+OrdersTable[[#This Row],[Returned]])</f>
        <v>60</v>
      </c>
      <c r="Y2516" s="76">
        <f>OrdersTable[[#This Row],[Net Revenue]]-OrdersTable[[#This Row],[COGS]]-OrdersTable[[#This Row],[Shipping Cost]]</f>
        <v>423.5</v>
      </c>
      <c r="Z2516" s="78">
        <f>IFERROR(OrdersTable[[#This Row],[Profit]]/OrdersTable[[#This Row],[Net Revenue]],0)</f>
        <v>0.51426836672738307</v>
      </c>
      <c r="AA2516" t="s">
        <v>3495</v>
      </c>
      <c r="AB2516" s="79">
        <v>45719</v>
      </c>
      <c r="AC2516">
        <f>OrdersTable[[#This Row],[Delivery Date]]-OrdersTable[[#This Row],[Order Date]]</f>
        <v>3</v>
      </c>
      <c r="AD2516" t="str">
        <f>IF(OrdersTable[[#This Row],[Delivery Days]]&lt;=2, "Express (≤2d)", IF(OrdersTable[[#This Row],[Delivery Days]]&lt;=4, "Standard (3-4d)", "Delayed (5d+)"))</f>
        <v>Standard (3-4d)</v>
      </c>
      <c r="AE2516">
        <v>4</v>
      </c>
      <c r="AF2516">
        <v>0</v>
      </c>
    </row>
    <row r="2517" spans="1:32" ht="15" x14ac:dyDescent="0.35">
      <c r="A2517" t="s">
        <v>1074</v>
      </c>
      <c r="B2517" s="1">
        <v>45716</v>
      </c>
      <c r="C2517">
        <f>YEAR(OrdersTable[[#This Row],[Order Date]])</f>
        <v>2025</v>
      </c>
      <c r="D2517" s="2">
        <f>DATE(YEAR(OrdersTable[[#This Row],[Order Date]]),MONTH(OrdersTable[[#This Row],[Order Date]]),1)</f>
        <v>45689</v>
      </c>
      <c r="E2517">
        <f>MONTH(OrdersTable[[#This Row],[Order Date]])</f>
        <v>2</v>
      </c>
      <c r="F2517" t="s">
        <v>1075</v>
      </c>
      <c r="G2517" t="str">
        <f>IF(OrdersTable[[#This Row],[Order Date]]=_xlfn.MINIFS(Order_Date, Customer_ID, OrdersTable[[#This Row],[Customer ID]]), "New", "Repeat")</f>
        <v>New</v>
      </c>
      <c r="H2517" t="s">
        <v>95</v>
      </c>
      <c r="I2517" t="str">
        <f>INDEX(State!B:B,MATCH(OrdersTable[[#This Row],[State]],State!A:A,0))</f>
        <v>TG</v>
      </c>
      <c r="J2517" t="str">
        <f>INDEX(State!C:C,MATCH(OrdersTable[[#This Row],[State Code]],State!B:B,0))</f>
        <v>South</v>
      </c>
      <c r="K2517" t="s">
        <v>96</v>
      </c>
      <c r="L2517" t="s">
        <v>39</v>
      </c>
      <c r="M2517" t="s">
        <v>176</v>
      </c>
      <c r="N2517" t="str">
        <f>INDEX(Products!B:B,MATCH(OrdersTable[[#This Row],[Product ID]],Products!A:A,0))</f>
        <v>Denim Jacket</v>
      </c>
      <c r="O2517" t="str">
        <f>INDEX(Products!C:C,MATCH(OrdersTable[[#This Row],[Product ID]],Products!A:A,0))</f>
        <v>Apparel</v>
      </c>
      <c r="P2517">
        <v>1</v>
      </c>
      <c r="Q2517" s="5">
        <v>2499</v>
      </c>
      <c r="R2517" s="74">
        <v>0</v>
      </c>
      <c r="S2517" s="75">
        <f>OrdersTable[[#This Row],[Quantity]]*OrdersTable[[#This Row],[Unit Price]]</f>
        <v>2499</v>
      </c>
      <c r="T2517" s="5">
        <f>OrdersTable[[#This Row],[Gross Sale]]*OrdersTable[[#This Row],[Discount_Clean2]]</f>
        <v>0</v>
      </c>
      <c r="U2517" s="5">
        <f>OrdersTable[[#This Row],[Gross Sale]]-OrdersTable[[#This Row],[Discount Amount]]</f>
        <v>2499</v>
      </c>
      <c r="V2517" s="77">
        <f>INDEX(Products!E:E,MATCH(OrdersTable[[#This Row],[Product ID]],Products!A:A,0))</f>
        <v>1125</v>
      </c>
      <c r="W2517" s="77">
        <f>OrdersTable[[#This Row],[Quantity]]*OrdersTable[[#This Row],[Unit Cost]]</f>
        <v>1125</v>
      </c>
      <c r="X2517" s="77">
        <f>'Dropdown Lists'!$I$2*(1+OrdersTable[[#This Row],[Returned]])</f>
        <v>120</v>
      </c>
      <c r="Y2517" s="76">
        <f>OrdersTable[[#This Row],[Net Revenue]]-OrdersTable[[#This Row],[COGS]]-OrdersTable[[#This Row],[Shipping Cost]]</f>
        <v>1254</v>
      </c>
      <c r="Z2517" s="78">
        <f>IFERROR(OrdersTable[[#This Row],[Profit]]/OrdersTable[[#This Row],[Net Revenue]],0)</f>
        <v>0.50180072028811529</v>
      </c>
      <c r="AA2517" t="s">
        <v>18</v>
      </c>
      <c r="AB2517" s="79">
        <v>45720</v>
      </c>
      <c r="AC2517">
        <f>OrdersTable[[#This Row],[Delivery Date]]-OrdersTable[[#This Row],[Order Date]]</f>
        <v>4</v>
      </c>
      <c r="AD2517" t="str">
        <f>IF(OrdersTable[[#This Row],[Delivery Days]]&lt;=2, "Express (≤2d)", IF(OrdersTable[[#This Row],[Delivery Days]]&lt;=4, "Standard (3-4d)", "Delayed (5d+)"))</f>
        <v>Standard (3-4d)</v>
      </c>
      <c r="AE2517">
        <v>4</v>
      </c>
      <c r="AF2517">
        <v>1</v>
      </c>
    </row>
    <row r="2518" spans="1:32" ht="15" x14ac:dyDescent="0.35">
      <c r="A2518" t="s">
        <v>969</v>
      </c>
      <c r="B2518" s="1">
        <v>45717</v>
      </c>
      <c r="C2518">
        <f>YEAR(OrdersTable[[#This Row],[Order Date]])</f>
        <v>2025</v>
      </c>
      <c r="D2518" s="2">
        <f>DATE(YEAR(OrdersTable[[#This Row],[Order Date]]),MONTH(OrdersTable[[#This Row],[Order Date]]),1)</f>
        <v>45717</v>
      </c>
      <c r="E2518">
        <f>MONTH(OrdersTable[[#This Row],[Order Date]])</f>
        <v>3</v>
      </c>
      <c r="F2518" t="s">
        <v>970</v>
      </c>
      <c r="G2518" t="str">
        <f>IF(OrdersTable[[#This Row],[Order Date]]=_xlfn.MINIFS(Order_Date, Customer_ID, OrdersTable[[#This Row],[Customer ID]]), "New", "Repeat")</f>
        <v>Repeat</v>
      </c>
      <c r="H2518" t="s">
        <v>128</v>
      </c>
      <c r="I2518" t="str">
        <f>INDEX(State!B:B,MATCH(OrdersTable[[#This Row],[State]],State!A:A,0))</f>
        <v>DL</v>
      </c>
      <c r="J2518" t="str">
        <f>INDEX(State!C:C,MATCH(OrdersTable[[#This Row],[State Code]],State!B:B,0))</f>
        <v>North</v>
      </c>
      <c r="K2518" t="s">
        <v>129</v>
      </c>
      <c r="L2518" t="s">
        <v>23</v>
      </c>
      <c r="M2518" t="s">
        <v>109</v>
      </c>
      <c r="N2518" t="str">
        <f>INDEX(Products!B:B,MATCH(OrdersTable[[#This Row],[Product ID]],Products!A:A,0))</f>
        <v>Onion Hair Oil</v>
      </c>
      <c r="O2518" t="str">
        <f>INDEX(Products!C:C,MATCH(OrdersTable[[#This Row],[Product ID]],Products!A:A,0))</f>
        <v>Haircare</v>
      </c>
      <c r="P2518">
        <v>1</v>
      </c>
      <c r="Q2518" s="5">
        <v>349</v>
      </c>
      <c r="R2518" s="74">
        <v>0.3</v>
      </c>
      <c r="S2518" s="75">
        <f>OrdersTable[[#This Row],[Quantity]]*OrdersTable[[#This Row],[Unit Price]]</f>
        <v>349</v>
      </c>
      <c r="T2518" s="5">
        <f>OrdersTable[[#This Row],[Gross Sale]]*OrdersTable[[#This Row],[Discount_Clean2]]</f>
        <v>104.7</v>
      </c>
      <c r="U2518" s="5">
        <f>OrdersTable[[#This Row],[Gross Sale]]-OrdersTable[[#This Row],[Discount Amount]]</f>
        <v>244.3</v>
      </c>
      <c r="V2518" s="77">
        <f>INDEX(Products!E:E,MATCH(OrdersTable[[#This Row],[Product ID]],Products!A:A,0))</f>
        <v>105</v>
      </c>
      <c r="W2518" s="77">
        <f>OrdersTable[[#This Row],[Quantity]]*OrdersTable[[#This Row],[Unit Cost]]</f>
        <v>105</v>
      </c>
      <c r="X2518" s="77">
        <f>'Dropdown Lists'!$I$2*(1+OrdersTable[[#This Row],[Returned]])</f>
        <v>60</v>
      </c>
      <c r="Y2518" s="76">
        <f>OrdersTable[[#This Row],[Net Revenue]]-OrdersTable[[#This Row],[COGS]]-OrdersTable[[#This Row],[Shipping Cost]]</f>
        <v>79.300000000000011</v>
      </c>
      <c r="Z2518" s="78">
        <f>IFERROR(OrdersTable[[#This Row],[Profit]]/OrdersTable[[#This Row],[Net Revenue]],0)</f>
        <v>0.32460090053213264</v>
      </c>
      <c r="AA2518" t="s">
        <v>18</v>
      </c>
      <c r="AB2518" s="79">
        <v>45718</v>
      </c>
      <c r="AC2518">
        <f>OrdersTable[[#This Row],[Delivery Date]]-OrdersTable[[#This Row],[Order Date]]</f>
        <v>1</v>
      </c>
      <c r="AD2518" t="str">
        <f>IF(OrdersTable[[#This Row],[Delivery Days]]&lt;=2, "Express (≤2d)", IF(OrdersTable[[#This Row],[Delivery Days]]&lt;=4, "Standard (3-4d)", "Delayed (5d+)"))</f>
        <v>Express (≤2d)</v>
      </c>
      <c r="AE2518">
        <v>4</v>
      </c>
      <c r="AF2518">
        <v>0</v>
      </c>
    </row>
    <row r="2519" spans="1:32" ht="15" x14ac:dyDescent="0.35">
      <c r="A2519" t="s">
        <v>5512</v>
      </c>
      <c r="B2519" s="1">
        <v>45717</v>
      </c>
      <c r="C2519">
        <f>YEAR(OrdersTable[[#This Row],[Order Date]])</f>
        <v>2025</v>
      </c>
      <c r="D2519" s="2">
        <f>DATE(YEAR(OrdersTable[[#This Row],[Order Date]]),MONTH(OrdersTable[[#This Row],[Order Date]]),1)</f>
        <v>45717</v>
      </c>
      <c r="E2519">
        <f>MONTH(OrdersTable[[#This Row],[Order Date]])</f>
        <v>3</v>
      </c>
      <c r="F2519" t="s">
        <v>2313</v>
      </c>
      <c r="G2519" t="str">
        <f>IF(OrdersTable[[#This Row],[Order Date]]=_xlfn.MINIFS(Order_Date, Customer_ID, OrdersTable[[#This Row],[Customer ID]]), "New", "Repeat")</f>
        <v>Repeat</v>
      </c>
      <c r="H2519" t="s">
        <v>27</v>
      </c>
      <c r="I2519" t="str">
        <f>INDEX(State!B:B,MATCH(OrdersTable[[#This Row],[State]],State!A:A,0))</f>
        <v>WB</v>
      </c>
      <c r="J2519" t="str">
        <f>INDEX(State!C:C,MATCH(OrdersTable[[#This Row],[State Code]],State!B:B,0))</f>
        <v>East</v>
      </c>
      <c r="K2519" t="s">
        <v>28</v>
      </c>
      <c r="L2519" t="s">
        <v>16</v>
      </c>
      <c r="M2519" t="s">
        <v>576</v>
      </c>
      <c r="N2519" t="str">
        <f>INDEX(Products!B:B,MATCH(OrdersTable[[#This Row],[Product ID]],Products!A:A,0))</f>
        <v>Printed Saree</v>
      </c>
      <c r="O2519" t="str">
        <f>INDEX(Products!C:C,MATCH(OrdersTable[[#This Row],[Product ID]],Products!A:A,0))</f>
        <v>Apparel</v>
      </c>
      <c r="P2519">
        <v>2</v>
      </c>
      <c r="Q2519" s="5">
        <v>1999</v>
      </c>
      <c r="R2519" s="74">
        <v>0</v>
      </c>
      <c r="S2519" s="75">
        <f>OrdersTable[[#This Row],[Quantity]]*OrdersTable[[#This Row],[Unit Price]]</f>
        <v>3998</v>
      </c>
      <c r="T2519" s="5">
        <f>OrdersTable[[#This Row],[Gross Sale]]*OrdersTable[[#This Row],[Discount_Clean2]]</f>
        <v>0</v>
      </c>
      <c r="U2519" s="5">
        <f>OrdersTable[[#This Row],[Gross Sale]]-OrdersTable[[#This Row],[Discount Amount]]</f>
        <v>3998</v>
      </c>
      <c r="V2519" s="77">
        <f>INDEX(Products!E:E,MATCH(OrdersTable[[#This Row],[Product ID]],Products!A:A,0))</f>
        <v>880</v>
      </c>
      <c r="W2519" s="77">
        <f>OrdersTable[[#This Row],[Quantity]]*OrdersTable[[#This Row],[Unit Cost]]</f>
        <v>1760</v>
      </c>
      <c r="X2519" s="77">
        <f>'Dropdown Lists'!$I$2*(1+OrdersTable[[#This Row],[Returned]])</f>
        <v>60</v>
      </c>
      <c r="Y2519" s="76">
        <f>OrdersTable[[#This Row],[Net Revenue]]-OrdersTable[[#This Row],[COGS]]-OrdersTable[[#This Row],[Shipping Cost]]</f>
        <v>2178</v>
      </c>
      <c r="Z2519" s="78">
        <f>IFERROR(OrdersTable[[#This Row],[Profit]]/OrdersTable[[#This Row],[Net Revenue]],0)</f>
        <v>0.54477238619309654</v>
      </c>
      <c r="AA2519" t="s">
        <v>2522</v>
      </c>
      <c r="AB2519" s="79">
        <v>45721</v>
      </c>
      <c r="AC2519">
        <f>OrdersTable[[#This Row],[Delivery Date]]-OrdersTable[[#This Row],[Order Date]]</f>
        <v>4</v>
      </c>
      <c r="AD2519" t="str">
        <f>IF(OrdersTable[[#This Row],[Delivery Days]]&lt;=2, "Express (≤2d)", IF(OrdersTable[[#This Row],[Delivery Days]]&lt;=4, "Standard (3-4d)", "Delayed (5d+)"))</f>
        <v>Standard (3-4d)</v>
      </c>
      <c r="AE2519">
        <v>4</v>
      </c>
      <c r="AF2519">
        <v>0</v>
      </c>
    </row>
    <row r="2520" spans="1:32" ht="15" x14ac:dyDescent="0.35">
      <c r="A2520" t="s">
        <v>5936</v>
      </c>
      <c r="B2520" s="1">
        <v>45717</v>
      </c>
      <c r="C2520">
        <f>YEAR(OrdersTable[[#This Row],[Order Date]])</f>
        <v>2025</v>
      </c>
      <c r="D2520" s="2">
        <f>DATE(YEAR(OrdersTable[[#This Row],[Order Date]]),MONTH(OrdersTable[[#This Row],[Order Date]]),1)</f>
        <v>45717</v>
      </c>
      <c r="E2520">
        <f>MONTH(OrdersTable[[#This Row],[Order Date]])</f>
        <v>3</v>
      </c>
      <c r="F2520" t="s">
        <v>401</v>
      </c>
      <c r="G2520" t="str">
        <f>IF(OrdersTable[[#This Row],[Order Date]]=_xlfn.MINIFS(Order_Date, Customer_ID, OrdersTable[[#This Row],[Customer ID]]), "New", "Repeat")</f>
        <v>New</v>
      </c>
      <c r="H2520" t="s">
        <v>90</v>
      </c>
      <c r="I2520" t="str">
        <f>INDEX(State!B:B,MATCH(OrdersTable[[#This Row],[State]],State!A:A,0))</f>
        <v>GA</v>
      </c>
      <c r="J2520" t="str">
        <f>INDEX(State!C:C,MATCH(OrdersTable[[#This Row],[State Code]],State!B:B,0))</f>
        <v>West</v>
      </c>
      <c r="K2520" t="s">
        <v>91</v>
      </c>
      <c r="L2520" t="s">
        <v>50</v>
      </c>
      <c r="M2520" t="s">
        <v>109</v>
      </c>
      <c r="N2520" t="str">
        <f>INDEX(Products!B:B,MATCH(OrdersTable[[#This Row],[Product ID]],Products!A:A,0))</f>
        <v>Onion Hair Oil</v>
      </c>
      <c r="O2520" t="str">
        <f>INDEX(Products!C:C,MATCH(OrdersTable[[#This Row],[Product ID]],Products!A:A,0))</f>
        <v>Haircare</v>
      </c>
      <c r="P2520">
        <v>2</v>
      </c>
      <c r="Q2520" s="5">
        <v>349</v>
      </c>
      <c r="R2520" s="74">
        <v>0.3</v>
      </c>
      <c r="S2520" s="75">
        <f>OrdersTable[[#This Row],[Quantity]]*OrdersTable[[#This Row],[Unit Price]]</f>
        <v>698</v>
      </c>
      <c r="T2520" s="5">
        <f>OrdersTable[[#This Row],[Gross Sale]]*OrdersTable[[#This Row],[Discount_Clean2]]</f>
        <v>209.4</v>
      </c>
      <c r="U2520" s="5">
        <f>OrdersTable[[#This Row],[Gross Sale]]-OrdersTable[[#This Row],[Discount Amount]]</f>
        <v>488.6</v>
      </c>
      <c r="V2520" s="77">
        <f>INDEX(Products!E:E,MATCH(OrdersTable[[#This Row],[Product ID]],Products!A:A,0))</f>
        <v>105</v>
      </c>
      <c r="W2520" s="77">
        <f>OrdersTable[[#This Row],[Quantity]]*OrdersTable[[#This Row],[Unit Cost]]</f>
        <v>210</v>
      </c>
      <c r="X2520" s="77">
        <f>'Dropdown Lists'!$I$2*(1+OrdersTable[[#This Row],[Returned]])</f>
        <v>60</v>
      </c>
      <c r="Y2520" s="76">
        <f>OrdersTable[[#This Row],[Net Revenue]]-OrdersTable[[#This Row],[COGS]]-OrdersTable[[#This Row],[Shipping Cost]]</f>
        <v>218.60000000000002</v>
      </c>
      <c r="Z2520" s="78">
        <f>IFERROR(OrdersTable[[#This Row],[Profit]]/OrdersTable[[#This Row],[Net Revenue]],0)</f>
        <v>0.44740073679901765</v>
      </c>
      <c r="AA2520" t="s">
        <v>18</v>
      </c>
      <c r="AB2520" s="79">
        <v>45719</v>
      </c>
      <c r="AC2520">
        <f>OrdersTable[[#This Row],[Delivery Date]]-OrdersTable[[#This Row],[Order Date]]</f>
        <v>2</v>
      </c>
      <c r="AD2520" t="str">
        <f>IF(OrdersTable[[#This Row],[Delivery Days]]&lt;=2, "Express (≤2d)", IF(OrdersTable[[#This Row],[Delivery Days]]&lt;=4, "Standard (3-4d)", "Delayed (5d+)"))</f>
        <v>Express (≤2d)</v>
      </c>
      <c r="AF2520">
        <v>0</v>
      </c>
    </row>
    <row r="2521" spans="1:32" ht="15" x14ac:dyDescent="0.35">
      <c r="A2521" t="s">
        <v>4400</v>
      </c>
      <c r="B2521" s="1">
        <v>45717</v>
      </c>
      <c r="C2521">
        <f>YEAR(OrdersTable[[#This Row],[Order Date]])</f>
        <v>2025</v>
      </c>
      <c r="D2521" s="2">
        <f>DATE(YEAR(OrdersTable[[#This Row],[Order Date]]),MONTH(OrdersTable[[#This Row],[Order Date]]),1)</f>
        <v>45717</v>
      </c>
      <c r="E2521">
        <f>MONTH(OrdersTable[[#This Row],[Order Date]])</f>
        <v>3</v>
      </c>
      <c r="F2521" t="s">
        <v>2975</v>
      </c>
      <c r="G2521" t="str">
        <f>IF(OrdersTable[[#This Row],[Order Date]]=_xlfn.MINIFS(Order_Date, Customer_ID, OrdersTable[[#This Row],[Customer ID]]), "New", "Repeat")</f>
        <v>Repeat</v>
      </c>
      <c r="H2521" t="s">
        <v>316</v>
      </c>
      <c r="I2521" t="str">
        <f>INDEX(State!B:B,MATCH(OrdersTable[[#This Row],[State]],State!A:A,0))</f>
        <v>KL</v>
      </c>
      <c r="J2521" t="str">
        <f>INDEX(State!C:C,MATCH(OrdersTable[[#This Row],[State Code]],State!B:B,0))</f>
        <v>South</v>
      </c>
      <c r="K2521" t="s">
        <v>338</v>
      </c>
      <c r="L2521" t="s">
        <v>65</v>
      </c>
      <c r="M2521" t="s">
        <v>160</v>
      </c>
      <c r="N2521" t="str">
        <f>INDEX(Products!B:B,MATCH(OrdersTable[[#This Row],[Product ID]],Products!A:A,0))</f>
        <v>Niacinamide Toner</v>
      </c>
      <c r="O2521" t="str">
        <f>INDEX(Products!C:C,MATCH(OrdersTable[[#This Row],[Product ID]],Products!A:A,0))</f>
        <v>Skincare</v>
      </c>
      <c r="P2521">
        <v>1</v>
      </c>
      <c r="Q2521" s="5">
        <v>399</v>
      </c>
      <c r="R2521" s="74">
        <v>0.2</v>
      </c>
      <c r="S2521" s="75">
        <f>OrdersTable[[#This Row],[Quantity]]*OrdersTable[[#This Row],[Unit Price]]</f>
        <v>399</v>
      </c>
      <c r="T2521" s="5">
        <f>OrdersTable[[#This Row],[Gross Sale]]*OrdersTable[[#This Row],[Discount_Clean2]]</f>
        <v>79.800000000000011</v>
      </c>
      <c r="U2521" s="5">
        <f>OrdersTable[[#This Row],[Gross Sale]]-OrdersTable[[#This Row],[Discount Amount]]</f>
        <v>319.2</v>
      </c>
      <c r="V2521" s="77">
        <f>INDEX(Products!E:E,MATCH(OrdersTable[[#This Row],[Product ID]],Products!A:A,0))</f>
        <v>112</v>
      </c>
      <c r="W2521" s="77">
        <f>OrdersTable[[#This Row],[Quantity]]*OrdersTable[[#This Row],[Unit Cost]]</f>
        <v>112</v>
      </c>
      <c r="X2521" s="77">
        <f>'Dropdown Lists'!$I$2*(1+OrdersTable[[#This Row],[Returned]])</f>
        <v>60</v>
      </c>
      <c r="Y2521" s="76">
        <f>OrdersTable[[#This Row],[Net Revenue]]-OrdersTable[[#This Row],[COGS]]-OrdersTable[[#This Row],[Shipping Cost]]</f>
        <v>147.19999999999999</v>
      </c>
      <c r="Z2521" s="78">
        <f>IFERROR(OrdersTable[[#This Row],[Profit]]/OrdersTable[[#This Row],[Net Revenue]],0)</f>
        <v>0.46115288220551376</v>
      </c>
      <c r="AA2521" t="s">
        <v>4074</v>
      </c>
      <c r="AB2521" s="79">
        <v>45719</v>
      </c>
      <c r="AC2521">
        <f>OrdersTable[[#This Row],[Delivery Date]]-OrdersTable[[#This Row],[Order Date]]</f>
        <v>2</v>
      </c>
      <c r="AD2521" t="str">
        <f>IF(OrdersTable[[#This Row],[Delivery Days]]&lt;=2, "Express (≤2d)", IF(OrdersTable[[#This Row],[Delivery Days]]&lt;=4, "Standard (3-4d)", "Delayed (5d+)"))</f>
        <v>Express (≤2d)</v>
      </c>
      <c r="AE2521">
        <v>4</v>
      </c>
      <c r="AF2521">
        <v>0</v>
      </c>
    </row>
    <row r="2522" spans="1:32" ht="15" x14ac:dyDescent="0.35">
      <c r="A2522" t="s">
        <v>1962</v>
      </c>
      <c r="B2522" s="1">
        <v>45717</v>
      </c>
      <c r="C2522">
        <f>YEAR(OrdersTable[[#This Row],[Order Date]])</f>
        <v>2025</v>
      </c>
      <c r="D2522" s="2">
        <f>DATE(YEAR(OrdersTable[[#This Row],[Order Date]]),MONTH(OrdersTable[[#This Row],[Order Date]]),1)</f>
        <v>45717</v>
      </c>
      <c r="E2522">
        <f>MONTH(OrdersTable[[#This Row],[Order Date]])</f>
        <v>3</v>
      </c>
      <c r="F2522" t="s">
        <v>1963</v>
      </c>
      <c r="G2522" t="str">
        <f>IF(OrdersTable[[#This Row],[Order Date]]=_xlfn.MINIFS(Order_Date, Customer_ID, OrdersTable[[#This Row],[Customer ID]]), "New", "Repeat")</f>
        <v>Repeat</v>
      </c>
      <c r="H2522" t="s">
        <v>316</v>
      </c>
      <c r="I2522" t="str">
        <f>INDEX(State!B:B,MATCH(OrdersTable[[#This Row],[State]],State!A:A,0))</f>
        <v>KL</v>
      </c>
      <c r="J2522" t="str">
        <f>INDEX(State!C:C,MATCH(OrdersTable[[#This Row],[State Code]],State!B:B,0))</f>
        <v>South</v>
      </c>
      <c r="K2522" t="s">
        <v>317</v>
      </c>
      <c r="L2522" t="s">
        <v>16</v>
      </c>
      <c r="M2522" t="s">
        <v>205</v>
      </c>
      <c r="N2522" t="str">
        <f>INDEX(Products!B:B,MATCH(OrdersTable[[#This Row],[Product ID]],Products!A:A,0))</f>
        <v>Running Shoes</v>
      </c>
      <c r="O2522" t="str">
        <f>INDEX(Products!C:C,MATCH(OrdersTable[[#This Row],[Product ID]],Products!A:A,0))</f>
        <v>Footwear</v>
      </c>
      <c r="P2522">
        <v>1</v>
      </c>
      <c r="Q2522" s="5">
        <v>2999</v>
      </c>
      <c r="R2522" s="74">
        <v>0.2</v>
      </c>
      <c r="S2522" s="75">
        <f>OrdersTable[[#This Row],[Quantity]]*OrdersTable[[#This Row],[Unit Price]]</f>
        <v>2999</v>
      </c>
      <c r="T2522" s="5">
        <f>OrdersTable[[#This Row],[Gross Sale]]*OrdersTable[[#This Row],[Discount_Clean2]]</f>
        <v>599.80000000000007</v>
      </c>
      <c r="U2522" s="5">
        <f>OrdersTable[[#This Row],[Gross Sale]]-OrdersTable[[#This Row],[Discount Amount]]</f>
        <v>2399.1999999999998</v>
      </c>
      <c r="V2522" s="77">
        <f>INDEX(Products!E:E,MATCH(OrdersTable[[#This Row],[Product ID]],Products!A:A,0))</f>
        <v>1440</v>
      </c>
      <c r="W2522" s="77">
        <f>OrdersTable[[#This Row],[Quantity]]*OrdersTable[[#This Row],[Unit Cost]]</f>
        <v>1440</v>
      </c>
      <c r="X2522" s="77">
        <f>'Dropdown Lists'!$I$2*(1+OrdersTable[[#This Row],[Returned]])</f>
        <v>60</v>
      </c>
      <c r="Y2522" s="76">
        <f>OrdersTable[[#This Row],[Net Revenue]]-OrdersTable[[#This Row],[COGS]]-OrdersTable[[#This Row],[Shipping Cost]]</f>
        <v>899.19999999999982</v>
      </c>
      <c r="Z2522" s="78">
        <f>IFERROR(OrdersTable[[#This Row],[Profit]]/OrdersTable[[#This Row],[Net Revenue]],0)</f>
        <v>0.3747915971990663</v>
      </c>
      <c r="AA2522" t="s">
        <v>18</v>
      </c>
      <c r="AB2522" s="79">
        <v>45721</v>
      </c>
      <c r="AC2522">
        <f>OrdersTable[[#This Row],[Delivery Date]]-OrdersTable[[#This Row],[Order Date]]</f>
        <v>4</v>
      </c>
      <c r="AD2522" t="str">
        <f>IF(OrdersTable[[#This Row],[Delivery Days]]&lt;=2, "Express (≤2d)", IF(OrdersTable[[#This Row],[Delivery Days]]&lt;=4, "Standard (3-4d)", "Delayed (5d+)"))</f>
        <v>Standard (3-4d)</v>
      </c>
      <c r="AE2522">
        <v>3</v>
      </c>
      <c r="AF2522">
        <v>0</v>
      </c>
    </row>
    <row r="2523" spans="1:32" ht="15" x14ac:dyDescent="0.35">
      <c r="A2523" t="s">
        <v>2792</v>
      </c>
      <c r="B2523" s="1">
        <v>45718</v>
      </c>
      <c r="C2523">
        <f>YEAR(OrdersTable[[#This Row],[Order Date]])</f>
        <v>2025</v>
      </c>
      <c r="D2523" s="2">
        <f>DATE(YEAR(OrdersTable[[#This Row],[Order Date]]),MONTH(OrdersTable[[#This Row],[Order Date]]),1)</f>
        <v>45717</v>
      </c>
      <c r="E2523">
        <f>MONTH(OrdersTable[[#This Row],[Order Date]])</f>
        <v>3</v>
      </c>
      <c r="F2523" t="s">
        <v>2205</v>
      </c>
      <c r="G2523" t="str">
        <f>IF(OrdersTable[[#This Row],[Order Date]]=_xlfn.MINIFS(Order_Date, Customer_ID, OrdersTable[[#This Row],[Customer ID]]), "New", "Repeat")</f>
        <v>Repeat</v>
      </c>
      <c r="H2523" t="s">
        <v>21</v>
      </c>
      <c r="I2523" t="str">
        <f>INDEX(State!B:B,MATCH(OrdersTable[[#This Row],[State]],State!A:A,0))</f>
        <v>PB</v>
      </c>
      <c r="J2523" t="str">
        <f>INDEX(State!C:C,MATCH(OrdersTable[[#This Row],[State Code]],State!B:B,0))</f>
        <v>North</v>
      </c>
      <c r="K2523" t="s">
        <v>260</v>
      </c>
      <c r="L2523" t="s">
        <v>39</v>
      </c>
      <c r="M2523" t="s">
        <v>255</v>
      </c>
      <c r="N2523" t="str">
        <f>INDEX(Products!B:B,MATCH(OrdersTable[[#This Row],[Product ID]],Products!A:A,0))</f>
        <v>Cotton Oversized T-Shirt</v>
      </c>
      <c r="O2523" t="str">
        <f>INDEX(Products!C:C,MATCH(OrdersTable[[#This Row],[Product ID]],Products!A:A,0))</f>
        <v>Apparel</v>
      </c>
      <c r="P2523">
        <v>1</v>
      </c>
      <c r="Q2523" s="5">
        <v>799</v>
      </c>
      <c r="R2523" s="74">
        <v>0</v>
      </c>
      <c r="S2523" s="75">
        <f>OrdersTable[[#This Row],[Quantity]]*OrdersTable[[#This Row],[Unit Price]]</f>
        <v>799</v>
      </c>
      <c r="T2523" s="5">
        <f>OrdersTable[[#This Row],[Gross Sale]]*OrdersTable[[#This Row],[Discount_Clean2]]</f>
        <v>0</v>
      </c>
      <c r="U2523" s="5">
        <f>OrdersTable[[#This Row],[Gross Sale]]-OrdersTable[[#This Row],[Discount Amount]]</f>
        <v>799</v>
      </c>
      <c r="V2523" s="77">
        <f>INDEX(Products!E:E,MATCH(OrdersTable[[#This Row],[Product ID]],Products!A:A,0))</f>
        <v>320</v>
      </c>
      <c r="W2523" s="77">
        <f>OrdersTable[[#This Row],[Quantity]]*OrdersTable[[#This Row],[Unit Cost]]</f>
        <v>320</v>
      </c>
      <c r="X2523" s="77">
        <f>'Dropdown Lists'!$I$2*(1+OrdersTable[[#This Row],[Returned]])</f>
        <v>60</v>
      </c>
      <c r="Y2523" s="76">
        <f>OrdersTable[[#This Row],[Net Revenue]]-OrdersTable[[#This Row],[COGS]]-OrdersTable[[#This Row],[Shipping Cost]]</f>
        <v>419</v>
      </c>
      <c r="Z2523" s="78">
        <f>IFERROR(OrdersTable[[#This Row],[Profit]]/OrdersTable[[#This Row],[Net Revenue]],0)</f>
        <v>0.52440550688360454</v>
      </c>
      <c r="AA2523" t="s">
        <v>2522</v>
      </c>
      <c r="AB2523" s="79">
        <v>45722</v>
      </c>
      <c r="AC2523">
        <f>OrdersTable[[#This Row],[Delivery Date]]-OrdersTable[[#This Row],[Order Date]]</f>
        <v>4</v>
      </c>
      <c r="AD2523" t="str">
        <f>IF(OrdersTable[[#This Row],[Delivery Days]]&lt;=2, "Express (≤2d)", IF(OrdersTable[[#This Row],[Delivery Days]]&lt;=4, "Standard (3-4d)", "Delayed (5d+)"))</f>
        <v>Standard (3-4d)</v>
      </c>
      <c r="AE2523">
        <v>3</v>
      </c>
      <c r="AF2523">
        <v>0</v>
      </c>
    </row>
    <row r="2524" spans="1:32" ht="15" x14ac:dyDescent="0.35">
      <c r="A2524" t="s">
        <v>4603</v>
      </c>
      <c r="B2524" s="1">
        <v>45718</v>
      </c>
      <c r="C2524">
        <f>YEAR(OrdersTable[[#This Row],[Order Date]])</f>
        <v>2025</v>
      </c>
      <c r="D2524" s="2">
        <f>DATE(YEAR(OrdersTable[[#This Row],[Order Date]]),MONTH(OrdersTable[[#This Row],[Order Date]]),1)</f>
        <v>45717</v>
      </c>
      <c r="E2524">
        <f>MONTH(OrdersTable[[#This Row],[Order Date]])</f>
        <v>3</v>
      </c>
      <c r="F2524" t="s">
        <v>1696</v>
      </c>
      <c r="G2524" t="str">
        <f>IF(OrdersTable[[#This Row],[Order Date]]=_xlfn.MINIFS(Order_Date, Customer_ID, OrdersTable[[#This Row],[Customer ID]]), "New", "Repeat")</f>
        <v>Repeat</v>
      </c>
      <c r="H2524" t="s">
        <v>482</v>
      </c>
      <c r="I2524" t="str">
        <f>INDEX(State!B:B,MATCH(OrdersTable[[#This Row],[State]],State!A:A,0))</f>
        <v>CG</v>
      </c>
      <c r="J2524" t="str">
        <f>INDEX(State!C:C,MATCH(OrdersTable[[#This Row],[State Code]],State!B:B,0))</f>
        <v>East</v>
      </c>
      <c r="K2524" t="s">
        <v>483</v>
      </c>
      <c r="L2524" t="s">
        <v>50</v>
      </c>
      <c r="M2524" t="s">
        <v>56</v>
      </c>
      <c r="N2524" t="str">
        <f>INDEX(Products!B:B,MATCH(OrdersTable[[#This Row],[Product ID]],Products!A:A,0))</f>
        <v>Vitamin C Face Serum</v>
      </c>
      <c r="O2524" t="str">
        <f>INDEX(Products!C:C,MATCH(OrdersTable[[#This Row],[Product ID]],Products!A:A,0))</f>
        <v>Skincare</v>
      </c>
      <c r="P2524">
        <v>1</v>
      </c>
      <c r="Q2524" s="5">
        <v>599</v>
      </c>
      <c r="R2524" s="74">
        <v>0.15</v>
      </c>
      <c r="S2524" s="75">
        <f>OrdersTable[[#This Row],[Quantity]]*OrdersTable[[#This Row],[Unit Price]]</f>
        <v>599</v>
      </c>
      <c r="T2524" s="5">
        <f>OrdersTable[[#This Row],[Gross Sale]]*OrdersTable[[#This Row],[Discount_Clean2]]</f>
        <v>89.85</v>
      </c>
      <c r="U2524" s="5">
        <f>OrdersTable[[#This Row],[Gross Sale]]-OrdersTable[[#This Row],[Discount Amount]]</f>
        <v>509.15</v>
      </c>
      <c r="V2524" s="77">
        <f>INDEX(Products!E:E,MATCH(OrdersTable[[#This Row],[Product ID]],Products!A:A,0))</f>
        <v>180</v>
      </c>
      <c r="W2524" s="77">
        <f>OrdersTable[[#This Row],[Quantity]]*OrdersTable[[#This Row],[Unit Cost]]</f>
        <v>180</v>
      </c>
      <c r="X2524" s="77">
        <f>'Dropdown Lists'!$I$2*(1+OrdersTable[[#This Row],[Returned]])</f>
        <v>60</v>
      </c>
      <c r="Y2524" s="76">
        <f>OrdersTable[[#This Row],[Net Revenue]]-OrdersTable[[#This Row],[COGS]]-OrdersTable[[#This Row],[Shipping Cost]]</f>
        <v>269.14999999999998</v>
      </c>
      <c r="Z2524" s="78">
        <f>IFERROR(OrdersTable[[#This Row],[Profit]]/OrdersTable[[#This Row],[Net Revenue]],0)</f>
        <v>0.52862614160856325</v>
      </c>
      <c r="AA2524" t="s">
        <v>4450</v>
      </c>
      <c r="AB2524" s="79">
        <v>45722</v>
      </c>
      <c r="AC2524">
        <f>OrdersTable[[#This Row],[Delivery Date]]-OrdersTable[[#This Row],[Order Date]]</f>
        <v>4</v>
      </c>
      <c r="AD2524" t="str">
        <f>IF(OrdersTable[[#This Row],[Delivery Days]]&lt;=2, "Express (≤2d)", IF(OrdersTable[[#This Row],[Delivery Days]]&lt;=4, "Standard (3-4d)", "Delayed (5d+)"))</f>
        <v>Standard (3-4d)</v>
      </c>
      <c r="AF2524">
        <v>0</v>
      </c>
    </row>
    <row r="2525" spans="1:32" ht="15" x14ac:dyDescent="0.35">
      <c r="A2525" t="s">
        <v>6350</v>
      </c>
      <c r="B2525" s="1">
        <v>45718</v>
      </c>
      <c r="C2525">
        <f>YEAR(OrdersTable[[#This Row],[Order Date]])</f>
        <v>2025</v>
      </c>
      <c r="D2525" s="2">
        <f>DATE(YEAR(OrdersTable[[#This Row],[Order Date]]),MONTH(OrdersTable[[#This Row],[Order Date]]),1)</f>
        <v>45717</v>
      </c>
      <c r="E2525">
        <f>MONTH(OrdersTable[[#This Row],[Order Date]])</f>
        <v>3</v>
      </c>
      <c r="F2525" t="s">
        <v>976</v>
      </c>
      <c r="G2525" t="str">
        <f>IF(OrdersTable[[#This Row],[Order Date]]=_xlfn.MINIFS(Order_Date, Customer_ID, OrdersTable[[#This Row],[Customer ID]]), "New", "Repeat")</f>
        <v>Repeat</v>
      </c>
      <c r="H2525" t="s">
        <v>27</v>
      </c>
      <c r="I2525" t="str">
        <f>INDEX(State!B:B,MATCH(OrdersTable[[#This Row],[State]],State!A:A,0))</f>
        <v>WB</v>
      </c>
      <c r="J2525" t="str">
        <f>INDEX(State!C:C,MATCH(OrdersTable[[#This Row],[State Code]],State!B:B,0))</f>
        <v>East</v>
      </c>
      <c r="K2525" t="s">
        <v>28</v>
      </c>
      <c r="L2525" t="s">
        <v>65</v>
      </c>
      <c r="M2525" t="s">
        <v>152</v>
      </c>
      <c r="N2525" t="str">
        <f>INDEX(Products!B:B,MATCH(OrdersTable[[#This Row],[Product ID]],Products!A:A,0))</f>
        <v>Green Tea (100 bags)</v>
      </c>
      <c r="O2525" t="str">
        <f>INDEX(Products!C:C,MATCH(OrdersTable[[#This Row],[Product ID]],Products!A:A,0))</f>
        <v>Wellness</v>
      </c>
      <c r="P2525">
        <v>2</v>
      </c>
      <c r="Q2525" s="5">
        <v>399</v>
      </c>
      <c r="R2525" s="74">
        <v>0.35</v>
      </c>
      <c r="S2525" s="75">
        <f>OrdersTable[[#This Row],[Quantity]]*OrdersTable[[#This Row],[Unit Price]]</f>
        <v>798</v>
      </c>
      <c r="T2525" s="5">
        <f>OrdersTable[[#This Row],[Gross Sale]]*OrdersTable[[#This Row],[Discount_Clean2]]</f>
        <v>279.29999999999995</v>
      </c>
      <c r="U2525" s="5">
        <f>OrdersTable[[#This Row],[Gross Sale]]-OrdersTable[[#This Row],[Discount Amount]]</f>
        <v>518.70000000000005</v>
      </c>
      <c r="V2525" s="77">
        <f>INDEX(Products!E:E,MATCH(OrdersTable[[#This Row],[Product ID]],Products!A:A,0))</f>
        <v>128</v>
      </c>
      <c r="W2525" s="77">
        <f>OrdersTable[[#This Row],[Quantity]]*OrdersTable[[#This Row],[Unit Cost]]</f>
        <v>256</v>
      </c>
      <c r="X2525" s="77">
        <f>'Dropdown Lists'!$I$2*(1+OrdersTable[[#This Row],[Returned]])</f>
        <v>60</v>
      </c>
      <c r="Y2525" s="76">
        <f>OrdersTable[[#This Row],[Net Revenue]]-OrdersTable[[#This Row],[COGS]]-OrdersTable[[#This Row],[Shipping Cost]]</f>
        <v>202.70000000000005</v>
      </c>
      <c r="Z2525" s="78">
        <f>IFERROR(OrdersTable[[#This Row],[Profit]]/OrdersTable[[#This Row],[Net Revenue]],0)</f>
        <v>0.39078465394254874</v>
      </c>
      <c r="AA2525" t="s">
        <v>18</v>
      </c>
      <c r="AB2525" s="79">
        <v>45722</v>
      </c>
      <c r="AC2525">
        <f>OrdersTable[[#This Row],[Delivery Date]]-OrdersTable[[#This Row],[Order Date]]</f>
        <v>4</v>
      </c>
      <c r="AD2525" t="str">
        <f>IF(OrdersTable[[#This Row],[Delivery Days]]&lt;=2, "Express (≤2d)", IF(OrdersTable[[#This Row],[Delivery Days]]&lt;=4, "Standard (3-4d)", "Delayed (5d+)"))</f>
        <v>Standard (3-4d)</v>
      </c>
      <c r="AF2525">
        <v>0</v>
      </c>
    </row>
    <row r="2526" spans="1:32" ht="15" x14ac:dyDescent="0.35">
      <c r="A2526" t="s">
        <v>6990</v>
      </c>
      <c r="B2526" s="1">
        <v>45718</v>
      </c>
      <c r="C2526">
        <f>YEAR(OrdersTable[[#This Row],[Order Date]])</f>
        <v>2025</v>
      </c>
      <c r="D2526" s="2">
        <f>DATE(YEAR(OrdersTable[[#This Row],[Order Date]]),MONTH(OrdersTable[[#This Row],[Order Date]]),1)</f>
        <v>45717</v>
      </c>
      <c r="E2526">
        <f>MONTH(OrdersTable[[#This Row],[Order Date]])</f>
        <v>3</v>
      </c>
      <c r="F2526" t="s">
        <v>811</v>
      </c>
      <c r="G2526" t="str">
        <f>IF(OrdersTable[[#This Row],[Order Date]]=_xlfn.MINIFS(Order_Date, Customer_ID, OrdersTable[[#This Row],[Customer ID]]), "New", "Repeat")</f>
        <v>Repeat</v>
      </c>
      <c r="H2526" t="s">
        <v>14</v>
      </c>
      <c r="I2526" t="str">
        <f>INDEX(State!B:B,MATCH(OrdersTable[[#This Row],[State]],State!A:A,0))</f>
        <v>OD</v>
      </c>
      <c r="J2526" t="str">
        <f>INDEX(State!C:C,MATCH(OrdersTable[[#This Row],[State Code]],State!B:B,0))</f>
        <v>East</v>
      </c>
      <c r="K2526" t="s">
        <v>15</v>
      </c>
      <c r="L2526" t="s">
        <v>65</v>
      </c>
      <c r="M2526" t="s">
        <v>87</v>
      </c>
      <c r="N2526" t="str">
        <f>INDEX(Products!B:B,MATCH(OrdersTable[[#This Row],[Product ID]],Products!A:A,0))</f>
        <v>Linen Kurta</v>
      </c>
      <c r="O2526" t="str">
        <f>INDEX(Products!C:C,MATCH(OrdersTable[[#This Row],[Product ID]],Products!A:A,0))</f>
        <v>Apparel</v>
      </c>
      <c r="P2526">
        <v>4</v>
      </c>
      <c r="Q2526" s="5">
        <v>1499</v>
      </c>
      <c r="R2526" s="74">
        <v>0.25</v>
      </c>
      <c r="S2526" s="75">
        <f>OrdersTable[[#This Row],[Quantity]]*OrdersTable[[#This Row],[Unit Price]]</f>
        <v>5996</v>
      </c>
      <c r="T2526" s="5">
        <f>OrdersTable[[#This Row],[Gross Sale]]*OrdersTable[[#This Row],[Discount_Clean2]]</f>
        <v>1499</v>
      </c>
      <c r="U2526" s="5">
        <f>OrdersTable[[#This Row],[Gross Sale]]-OrdersTable[[#This Row],[Discount Amount]]</f>
        <v>4497</v>
      </c>
      <c r="V2526" s="77">
        <f>INDEX(Products!E:E,MATCH(OrdersTable[[#This Row],[Product ID]],Products!A:A,0))</f>
        <v>630</v>
      </c>
      <c r="W2526" s="77">
        <f>OrdersTable[[#This Row],[Quantity]]*OrdersTable[[#This Row],[Unit Cost]]</f>
        <v>2520</v>
      </c>
      <c r="X2526" s="77">
        <f>'Dropdown Lists'!$I$2*(1+OrdersTable[[#This Row],[Returned]])</f>
        <v>60</v>
      </c>
      <c r="Y2526" s="76">
        <f>OrdersTable[[#This Row],[Net Revenue]]-OrdersTable[[#This Row],[COGS]]-OrdersTable[[#This Row],[Shipping Cost]]</f>
        <v>1917</v>
      </c>
      <c r="Z2526" s="78">
        <f>IFERROR(OrdersTable[[#This Row],[Profit]]/OrdersTable[[#This Row],[Net Revenue]],0)</f>
        <v>0.42628418945963975</v>
      </c>
      <c r="AA2526" t="s">
        <v>3495</v>
      </c>
      <c r="AB2526" s="79">
        <v>45723</v>
      </c>
      <c r="AC2526">
        <f>OrdersTable[[#This Row],[Delivery Date]]-OrdersTable[[#This Row],[Order Date]]</f>
        <v>5</v>
      </c>
      <c r="AD2526" t="str">
        <f>IF(OrdersTable[[#This Row],[Delivery Days]]&lt;=2, "Express (≤2d)", IF(OrdersTable[[#This Row],[Delivery Days]]&lt;=4, "Standard (3-4d)", "Delayed (5d+)"))</f>
        <v>Delayed (5d+)</v>
      </c>
      <c r="AF2526">
        <v>0</v>
      </c>
    </row>
    <row r="2527" spans="1:32" ht="15" x14ac:dyDescent="0.35">
      <c r="A2527" t="s">
        <v>1263</v>
      </c>
      <c r="B2527" s="1">
        <v>45718</v>
      </c>
      <c r="C2527">
        <f>YEAR(OrdersTable[[#This Row],[Order Date]])</f>
        <v>2025</v>
      </c>
      <c r="D2527" s="2">
        <f>DATE(YEAR(OrdersTable[[#This Row],[Order Date]]),MONTH(OrdersTable[[#This Row],[Order Date]]),1)</f>
        <v>45717</v>
      </c>
      <c r="E2527">
        <f>MONTH(OrdersTable[[#This Row],[Order Date]])</f>
        <v>3</v>
      </c>
      <c r="F2527" t="s">
        <v>1264</v>
      </c>
      <c r="G2527" t="str">
        <f>IF(OrdersTable[[#This Row],[Order Date]]=_xlfn.MINIFS(Order_Date, Customer_ID, OrdersTable[[#This Row],[Customer ID]]), "New", "Repeat")</f>
        <v>New</v>
      </c>
      <c r="H2527" t="s">
        <v>167</v>
      </c>
      <c r="I2527" t="str">
        <f>INDEX(State!B:B,MATCH(OrdersTable[[#This Row],[State]],State!A:A,0))</f>
        <v>KA</v>
      </c>
      <c r="J2527" t="str">
        <f>INDEX(State!C:C,MATCH(OrdersTable[[#This Row],[State Code]],State!B:B,0))</f>
        <v>South</v>
      </c>
      <c r="K2527" t="s">
        <v>190</v>
      </c>
      <c r="L2527" t="s">
        <v>16</v>
      </c>
      <c r="M2527" t="s">
        <v>34</v>
      </c>
      <c r="N2527" t="str">
        <f>INDEX(Products!B:B,MATCH(OrdersTable[[#This Row],[Product ID]],Products!A:A,0))</f>
        <v>Flip Flops</v>
      </c>
      <c r="O2527" t="str">
        <f>INDEX(Products!C:C,MATCH(OrdersTable[[#This Row],[Product ID]],Products!A:A,0))</f>
        <v>Footwear</v>
      </c>
      <c r="P2527">
        <v>1</v>
      </c>
      <c r="Q2527" s="5">
        <v>399</v>
      </c>
      <c r="R2527" s="74">
        <v>0.1</v>
      </c>
      <c r="S2527" s="75">
        <f>OrdersTable[[#This Row],[Quantity]]*OrdersTable[[#This Row],[Unit Price]]</f>
        <v>399</v>
      </c>
      <c r="T2527" s="5">
        <f>OrdersTable[[#This Row],[Gross Sale]]*OrdersTable[[#This Row],[Discount_Clean2]]</f>
        <v>39.900000000000006</v>
      </c>
      <c r="U2527" s="5">
        <f>OrdersTable[[#This Row],[Gross Sale]]-OrdersTable[[#This Row],[Discount Amount]]</f>
        <v>359.1</v>
      </c>
      <c r="V2527" s="77">
        <f>INDEX(Products!E:E,MATCH(OrdersTable[[#This Row],[Product ID]],Products!A:A,0))</f>
        <v>152</v>
      </c>
      <c r="W2527" s="77">
        <f>OrdersTable[[#This Row],[Quantity]]*OrdersTable[[#This Row],[Unit Cost]]</f>
        <v>152</v>
      </c>
      <c r="X2527" s="77">
        <f>'Dropdown Lists'!$I$2*(1+OrdersTable[[#This Row],[Returned]])</f>
        <v>60</v>
      </c>
      <c r="Y2527" s="76">
        <f>OrdersTable[[#This Row],[Net Revenue]]-OrdersTable[[#This Row],[COGS]]-OrdersTable[[#This Row],[Shipping Cost]]</f>
        <v>147.10000000000002</v>
      </c>
      <c r="Z2527" s="78">
        <f>IFERROR(OrdersTable[[#This Row],[Profit]]/OrdersTable[[#This Row],[Net Revenue]],0)</f>
        <v>0.40963519910888335</v>
      </c>
      <c r="AA2527" t="s">
        <v>18</v>
      </c>
      <c r="AB2527" s="79">
        <v>45720</v>
      </c>
      <c r="AC2527">
        <f>OrdersTable[[#This Row],[Delivery Date]]-OrdersTable[[#This Row],[Order Date]]</f>
        <v>2</v>
      </c>
      <c r="AD2527" t="str">
        <f>IF(OrdersTable[[#This Row],[Delivery Days]]&lt;=2, "Express (≤2d)", IF(OrdersTable[[#This Row],[Delivery Days]]&lt;=4, "Standard (3-4d)", "Delayed (5d+)"))</f>
        <v>Express (≤2d)</v>
      </c>
      <c r="AF2527">
        <v>0</v>
      </c>
    </row>
    <row r="2528" spans="1:32" ht="15" x14ac:dyDescent="0.35">
      <c r="A2528" t="s">
        <v>6991</v>
      </c>
      <c r="B2528" s="1">
        <v>45718</v>
      </c>
      <c r="C2528">
        <f>YEAR(OrdersTable[[#This Row],[Order Date]])</f>
        <v>2025</v>
      </c>
      <c r="D2528" s="2">
        <f>DATE(YEAR(OrdersTable[[#This Row],[Order Date]]),MONTH(OrdersTable[[#This Row],[Order Date]]),1)</f>
        <v>45717</v>
      </c>
      <c r="E2528">
        <f>MONTH(OrdersTable[[#This Row],[Order Date]])</f>
        <v>3</v>
      </c>
      <c r="F2528" t="s">
        <v>5296</v>
      </c>
      <c r="G2528" t="str">
        <f>IF(OrdersTable[[#This Row],[Order Date]]=_xlfn.MINIFS(Order_Date, Customer_ID, OrdersTable[[#This Row],[Customer ID]]), "New", "Repeat")</f>
        <v>Repeat</v>
      </c>
      <c r="H2528" t="s">
        <v>167</v>
      </c>
      <c r="I2528" t="str">
        <f>INDEX(State!B:B,MATCH(OrdersTable[[#This Row],[State]],State!A:A,0))</f>
        <v>KA</v>
      </c>
      <c r="J2528" t="str">
        <f>INDEX(State!C:C,MATCH(OrdersTable[[#This Row],[State Code]],State!B:B,0))</f>
        <v>South</v>
      </c>
      <c r="K2528" t="s">
        <v>168</v>
      </c>
      <c r="L2528" t="s">
        <v>39</v>
      </c>
      <c r="M2528" t="s">
        <v>45</v>
      </c>
      <c r="N2528" t="str">
        <f>INDEX(Products!B:B,MATCH(OrdersTable[[#This Row],[Product ID]],Products!A:A,0))</f>
        <v>Argan Shampoo</v>
      </c>
      <c r="O2528" t="str">
        <f>INDEX(Products!C:C,MATCH(OrdersTable[[#This Row],[Product ID]],Products!A:A,0))</f>
        <v>Haircare</v>
      </c>
      <c r="P2528">
        <v>4</v>
      </c>
      <c r="Q2528" s="5">
        <v>449</v>
      </c>
      <c r="R2528" s="74">
        <v>0.1</v>
      </c>
      <c r="S2528" s="75">
        <f>OrdersTable[[#This Row],[Quantity]]*OrdersTable[[#This Row],[Unit Price]]</f>
        <v>1796</v>
      </c>
      <c r="T2528" s="5">
        <f>OrdersTable[[#This Row],[Gross Sale]]*OrdersTable[[#This Row],[Discount_Clean2]]</f>
        <v>179.60000000000002</v>
      </c>
      <c r="U2528" s="5">
        <f>OrdersTable[[#This Row],[Gross Sale]]-OrdersTable[[#This Row],[Discount Amount]]</f>
        <v>1616.4</v>
      </c>
      <c r="V2528" s="77">
        <f>INDEX(Products!E:E,MATCH(OrdersTable[[#This Row],[Product ID]],Products!A:A,0))</f>
        <v>148</v>
      </c>
      <c r="W2528" s="77">
        <f>OrdersTable[[#This Row],[Quantity]]*OrdersTable[[#This Row],[Unit Cost]]</f>
        <v>592</v>
      </c>
      <c r="X2528" s="77">
        <f>'Dropdown Lists'!$I$2*(1+OrdersTable[[#This Row],[Returned]])</f>
        <v>60</v>
      </c>
      <c r="Y2528" s="76">
        <f>OrdersTable[[#This Row],[Net Revenue]]-OrdersTable[[#This Row],[COGS]]-OrdersTable[[#This Row],[Shipping Cost]]</f>
        <v>964.40000000000009</v>
      </c>
      <c r="Z2528" s="78">
        <f>IFERROR(OrdersTable[[#This Row],[Profit]]/OrdersTable[[#This Row],[Net Revenue]],0)</f>
        <v>0.59663449641177924</v>
      </c>
      <c r="AA2528" t="s">
        <v>3495</v>
      </c>
      <c r="AB2528" s="79">
        <v>45721</v>
      </c>
      <c r="AC2528">
        <f>OrdersTable[[#This Row],[Delivery Date]]-OrdersTable[[#This Row],[Order Date]]</f>
        <v>3</v>
      </c>
      <c r="AD2528" t="str">
        <f>IF(OrdersTable[[#This Row],[Delivery Days]]&lt;=2, "Express (≤2d)", IF(OrdersTable[[#This Row],[Delivery Days]]&lt;=4, "Standard (3-4d)", "Delayed (5d+)"))</f>
        <v>Standard (3-4d)</v>
      </c>
      <c r="AF2528">
        <v>0</v>
      </c>
    </row>
    <row r="2529" spans="1:32" ht="15" x14ac:dyDescent="0.35">
      <c r="A2529" t="s">
        <v>1711</v>
      </c>
      <c r="B2529" s="1">
        <v>45719</v>
      </c>
      <c r="C2529">
        <f>YEAR(OrdersTable[[#This Row],[Order Date]])</f>
        <v>2025</v>
      </c>
      <c r="D2529" s="2">
        <f>DATE(YEAR(OrdersTable[[#This Row],[Order Date]]),MONTH(OrdersTable[[#This Row],[Order Date]]),1)</f>
        <v>45717</v>
      </c>
      <c r="E2529">
        <f>MONTH(OrdersTable[[#This Row],[Order Date]])</f>
        <v>3</v>
      </c>
      <c r="F2529" t="s">
        <v>366</v>
      </c>
      <c r="G2529" t="str">
        <f>IF(OrdersTable[[#This Row],[Order Date]]=_xlfn.MINIFS(Order_Date, Customer_ID, OrdersTable[[#This Row],[Customer ID]]), "New", "Repeat")</f>
        <v>Repeat</v>
      </c>
      <c r="H2529" t="s">
        <v>128</v>
      </c>
      <c r="I2529" t="str">
        <f>INDEX(State!B:B,MATCH(OrdersTable[[#This Row],[State]],State!A:A,0))</f>
        <v>DL</v>
      </c>
      <c r="J2529" t="str">
        <f>INDEX(State!C:C,MATCH(OrdersTable[[#This Row],[State Code]],State!B:B,0))</f>
        <v>North</v>
      </c>
      <c r="K2529" t="s">
        <v>129</v>
      </c>
      <c r="L2529" t="s">
        <v>65</v>
      </c>
      <c r="M2529" t="s">
        <v>84</v>
      </c>
      <c r="N2529" t="str">
        <f>INDEX(Products!B:B,MATCH(OrdersTable[[#This Row],[Product ID]],Products!A:A,0))</f>
        <v>Cotton Bedsheet</v>
      </c>
      <c r="O2529" t="str">
        <f>INDEX(Products!C:C,MATCH(OrdersTable[[#This Row],[Product ID]],Products!A:A,0))</f>
        <v>Home &amp; Kitchen</v>
      </c>
      <c r="P2529">
        <v>1</v>
      </c>
      <c r="Q2529" s="5">
        <v>1299</v>
      </c>
      <c r="R2529" s="74">
        <v>0</v>
      </c>
      <c r="S2529" s="75">
        <f>OrdersTable[[#This Row],[Quantity]]*OrdersTable[[#This Row],[Unit Price]]</f>
        <v>1299</v>
      </c>
      <c r="T2529" s="5">
        <f>OrdersTable[[#This Row],[Gross Sale]]*OrdersTable[[#This Row],[Discount_Clean2]]</f>
        <v>0</v>
      </c>
      <c r="U2529" s="5">
        <f>OrdersTable[[#This Row],[Gross Sale]]-OrdersTable[[#This Row],[Discount Amount]]</f>
        <v>1299</v>
      </c>
      <c r="V2529" s="77">
        <f>INDEX(Products!E:E,MATCH(OrdersTable[[#This Row],[Product ID]],Products!A:A,0))</f>
        <v>585</v>
      </c>
      <c r="W2529" s="77">
        <f>OrdersTable[[#This Row],[Quantity]]*OrdersTable[[#This Row],[Unit Cost]]</f>
        <v>585</v>
      </c>
      <c r="X2529" s="77">
        <f>'Dropdown Lists'!$I$2*(1+OrdersTable[[#This Row],[Returned]])</f>
        <v>60</v>
      </c>
      <c r="Y2529" s="76">
        <f>OrdersTable[[#This Row],[Net Revenue]]-OrdersTable[[#This Row],[COGS]]-OrdersTable[[#This Row],[Shipping Cost]]</f>
        <v>654</v>
      </c>
      <c r="Z2529" s="78">
        <f>IFERROR(OrdersTable[[#This Row],[Profit]]/OrdersTable[[#This Row],[Net Revenue]],0)</f>
        <v>0.50346420323325636</v>
      </c>
      <c r="AA2529" t="s">
        <v>18</v>
      </c>
      <c r="AB2529" s="79">
        <v>45721</v>
      </c>
      <c r="AC2529">
        <f>OrdersTable[[#This Row],[Delivery Date]]-OrdersTable[[#This Row],[Order Date]]</f>
        <v>2</v>
      </c>
      <c r="AD2529" t="str">
        <f>IF(OrdersTable[[#This Row],[Delivery Days]]&lt;=2, "Express (≤2d)", IF(OrdersTable[[#This Row],[Delivery Days]]&lt;=4, "Standard (3-4d)", "Delayed (5d+)"))</f>
        <v>Express (≤2d)</v>
      </c>
      <c r="AF2529">
        <v>0</v>
      </c>
    </row>
    <row r="2530" spans="1:32" ht="15" x14ac:dyDescent="0.35">
      <c r="A2530" t="s">
        <v>6992</v>
      </c>
      <c r="B2530" s="1">
        <v>45719</v>
      </c>
      <c r="C2530">
        <f>YEAR(OrdersTable[[#This Row],[Order Date]])</f>
        <v>2025</v>
      </c>
      <c r="D2530" s="2">
        <f>DATE(YEAR(OrdersTable[[#This Row],[Order Date]]),MONTH(OrdersTable[[#This Row],[Order Date]]),1)</f>
        <v>45717</v>
      </c>
      <c r="E2530">
        <f>MONTH(OrdersTable[[#This Row],[Order Date]])</f>
        <v>3</v>
      </c>
      <c r="F2530" t="s">
        <v>5545</v>
      </c>
      <c r="G2530" t="str">
        <f>IF(OrdersTable[[#This Row],[Order Date]]=_xlfn.MINIFS(Order_Date, Customer_ID, OrdersTable[[#This Row],[Customer ID]]), "New", "Repeat")</f>
        <v>New</v>
      </c>
      <c r="H2530" t="s">
        <v>71</v>
      </c>
      <c r="I2530" t="str">
        <f>INDEX(State!B:B,MATCH(OrdersTable[[#This Row],[State]],State!A:A,0))</f>
        <v>MH</v>
      </c>
      <c r="J2530" t="str">
        <f>INDEX(State!C:C,MATCH(OrdersTable[[#This Row],[State Code]],State!B:B,0))</f>
        <v>West</v>
      </c>
      <c r="K2530" t="s">
        <v>72</v>
      </c>
      <c r="L2530" t="s">
        <v>16</v>
      </c>
      <c r="M2530" t="s">
        <v>87</v>
      </c>
      <c r="N2530" t="str">
        <f>INDEX(Products!B:B,MATCH(OrdersTable[[#This Row],[Product ID]],Products!A:A,0))</f>
        <v>Linen Kurta</v>
      </c>
      <c r="O2530" t="str">
        <f>INDEX(Products!C:C,MATCH(OrdersTable[[#This Row],[Product ID]],Products!A:A,0))</f>
        <v>Apparel</v>
      </c>
      <c r="P2530">
        <v>4</v>
      </c>
      <c r="Q2530" s="5">
        <v>1499</v>
      </c>
      <c r="R2530" s="74">
        <v>0.3</v>
      </c>
      <c r="S2530" s="75">
        <f>OrdersTable[[#This Row],[Quantity]]*OrdersTable[[#This Row],[Unit Price]]</f>
        <v>5996</v>
      </c>
      <c r="T2530" s="5">
        <f>OrdersTable[[#This Row],[Gross Sale]]*OrdersTable[[#This Row],[Discount_Clean2]]</f>
        <v>1798.8</v>
      </c>
      <c r="U2530" s="5">
        <f>OrdersTable[[#This Row],[Gross Sale]]-OrdersTable[[#This Row],[Discount Amount]]</f>
        <v>4197.2</v>
      </c>
      <c r="V2530" s="77">
        <f>INDEX(Products!E:E,MATCH(OrdersTable[[#This Row],[Product ID]],Products!A:A,0))</f>
        <v>630</v>
      </c>
      <c r="W2530" s="77">
        <f>OrdersTable[[#This Row],[Quantity]]*OrdersTable[[#This Row],[Unit Cost]]</f>
        <v>2520</v>
      </c>
      <c r="X2530" s="77">
        <f>'Dropdown Lists'!$I$2*(1+OrdersTable[[#This Row],[Returned]])</f>
        <v>60</v>
      </c>
      <c r="Y2530" s="76">
        <f>OrdersTable[[#This Row],[Net Revenue]]-OrdersTable[[#This Row],[COGS]]-OrdersTable[[#This Row],[Shipping Cost]]</f>
        <v>1617.1999999999998</v>
      </c>
      <c r="Z2530" s="78">
        <f>IFERROR(OrdersTable[[#This Row],[Profit]]/OrdersTable[[#This Row],[Net Revenue]],0)</f>
        <v>0.38530448870675688</v>
      </c>
      <c r="AA2530" t="s">
        <v>4450</v>
      </c>
      <c r="AB2530" s="79">
        <v>45720</v>
      </c>
      <c r="AC2530">
        <f>OrdersTable[[#This Row],[Delivery Date]]-OrdersTable[[#This Row],[Order Date]]</f>
        <v>1</v>
      </c>
      <c r="AD2530" t="str">
        <f>IF(OrdersTable[[#This Row],[Delivery Days]]&lt;=2, "Express (≤2d)", IF(OrdersTable[[#This Row],[Delivery Days]]&lt;=4, "Standard (3-4d)", "Delayed (5d+)"))</f>
        <v>Express (≤2d)</v>
      </c>
      <c r="AE2530">
        <v>5</v>
      </c>
      <c r="AF2530">
        <v>0</v>
      </c>
    </row>
    <row r="2531" spans="1:32" ht="15" x14ac:dyDescent="0.35">
      <c r="A2531" t="s">
        <v>6708</v>
      </c>
      <c r="B2531" s="1">
        <v>45719</v>
      </c>
      <c r="C2531">
        <f>YEAR(OrdersTable[[#This Row],[Order Date]])</f>
        <v>2025</v>
      </c>
      <c r="D2531" s="2">
        <f>DATE(YEAR(OrdersTable[[#This Row],[Order Date]]),MONTH(OrdersTable[[#This Row],[Order Date]]),1)</f>
        <v>45717</v>
      </c>
      <c r="E2531">
        <f>MONTH(OrdersTable[[#This Row],[Order Date]])</f>
        <v>3</v>
      </c>
      <c r="F2531" t="s">
        <v>1942</v>
      </c>
      <c r="G2531" t="str">
        <f>IF(OrdersTable[[#This Row],[Order Date]]=_xlfn.MINIFS(Order_Date, Customer_ID, OrdersTable[[#This Row],[Customer ID]]), "New", "Repeat")</f>
        <v>Repeat</v>
      </c>
      <c r="H2531" t="s">
        <v>95</v>
      </c>
      <c r="I2531" t="str">
        <f>INDEX(State!B:B,MATCH(OrdersTable[[#This Row],[State]],State!A:A,0))</f>
        <v>TG</v>
      </c>
      <c r="J2531" t="str">
        <f>INDEX(State!C:C,MATCH(OrdersTable[[#This Row],[State Code]],State!B:B,0))</f>
        <v>South</v>
      </c>
      <c r="K2531" t="s">
        <v>96</v>
      </c>
      <c r="L2531" t="s">
        <v>50</v>
      </c>
      <c r="M2531" t="s">
        <v>160</v>
      </c>
      <c r="N2531" t="str">
        <f>INDEX(Products!B:B,MATCH(OrdersTable[[#This Row],[Product ID]],Products!A:A,0))</f>
        <v>Niacinamide Toner</v>
      </c>
      <c r="O2531" t="str">
        <f>INDEX(Products!C:C,MATCH(OrdersTable[[#This Row],[Product ID]],Products!A:A,0))</f>
        <v>Skincare</v>
      </c>
      <c r="P2531">
        <v>3</v>
      </c>
      <c r="Q2531" s="5">
        <v>399</v>
      </c>
      <c r="R2531" s="74">
        <v>0.3</v>
      </c>
      <c r="S2531" s="75">
        <f>OrdersTable[[#This Row],[Quantity]]*OrdersTable[[#This Row],[Unit Price]]</f>
        <v>1197</v>
      </c>
      <c r="T2531" s="5">
        <f>OrdersTable[[#This Row],[Gross Sale]]*OrdersTable[[#This Row],[Discount_Clean2]]</f>
        <v>359.09999999999997</v>
      </c>
      <c r="U2531" s="5">
        <f>OrdersTable[[#This Row],[Gross Sale]]-OrdersTable[[#This Row],[Discount Amount]]</f>
        <v>837.90000000000009</v>
      </c>
      <c r="V2531" s="77">
        <f>INDEX(Products!E:E,MATCH(OrdersTable[[#This Row],[Product ID]],Products!A:A,0))</f>
        <v>112</v>
      </c>
      <c r="W2531" s="77">
        <f>OrdersTable[[#This Row],[Quantity]]*OrdersTable[[#This Row],[Unit Cost]]</f>
        <v>336</v>
      </c>
      <c r="X2531" s="77">
        <f>'Dropdown Lists'!$I$2*(1+OrdersTable[[#This Row],[Returned]])</f>
        <v>60</v>
      </c>
      <c r="Y2531" s="76">
        <f>OrdersTable[[#This Row],[Net Revenue]]-OrdersTable[[#This Row],[COGS]]-OrdersTable[[#This Row],[Shipping Cost]]</f>
        <v>441.90000000000009</v>
      </c>
      <c r="Z2531" s="78">
        <f>IFERROR(OrdersTable[[#This Row],[Profit]]/OrdersTable[[#This Row],[Net Revenue]],0)</f>
        <v>0.527389903329753</v>
      </c>
      <c r="AA2531" t="s">
        <v>2522</v>
      </c>
      <c r="AB2531" s="79">
        <v>45721</v>
      </c>
      <c r="AC2531">
        <f>OrdersTable[[#This Row],[Delivery Date]]-OrdersTable[[#This Row],[Order Date]]</f>
        <v>2</v>
      </c>
      <c r="AD2531" t="str">
        <f>IF(OrdersTable[[#This Row],[Delivery Days]]&lt;=2, "Express (≤2d)", IF(OrdersTable[[#This Row],[Delivery Days]]&lt;=4, "Standard (3-4d)", "Delayed (5d+)"))</f>
        <v>Express (≤2d)</v>
      </c>
      <c r="AE2531">
        <v>3</v>
      </c>
      <c r="AF2531">
        <v>0</v>
      </c>
    </row>
    <row r="2532" spans="1:32" ht="15" x14ac:dyDescent="0.35">
      <c r="A2532" t="s">
        <v>6351</v>
      </c>
      <c r="B2532" s="1">
        <v>45719</v>
      </c>
      <c r="C2532">
        <f>YEAR(OrdersTable[[#This Row],[Order Date]])</f>
        <v>2025</v>
      </c>
      <c r="D2532" s="2">
        <f>DATE(YEAR(OrdersTable[[#This Row],[Order Date]]),MONTH(OrdersTable[[#This Row],[Order Date]]),1)</f>
        <v>45717</v>
      </c>
      <c r="E2532">
        <f>MONTH(OrdersTable[[#This Row],[Order Date]])</f>
        <v>3</v>
      </c>
      <c r="F2532" t="s">
        <v>358</v>
      </c>
      <c r="G2532" t="str">
        <f>IF(OrdersTable[[#This Row],[Order Date]]=_xlfn.MINIFS(Order_Date, Customer_ID, OrdersTable[[#This Row],[Customer ID]]), "New", "Repeat")</f>
        <v>Repeat</v>
      </c>
      <c r="H2532" t="s">
        <v>95</v>
      </c>
      <c r="I2532" t="str">
        <f>INDEX(State!B:B,MATCH(OrdersTable[[#This Row],[State]],State!A:A,0))</f>
        <v>TG</v>
      </c>
      <c r="J2532" t="str">
        <f>INDEX(State!C:C,MATCH(OrdersTable[[#This Row],[State Code]],State!B:B,0))</f>
        <v>South</v>
      </c>
      <c r="K2532" t="s">
        <v>96</v>
      </c>
      <c r="L2532" t="s">
        <v>50</v>
      </c>
      <c r="M2532" t="s">
        <v>152</v>
      </c>
      <c r="N2532" t="str">
        <f>INDEX(Products!B:B,MATCH(OrdersTable[[#This Row],[Product ID]],Products!A:A,0))</f>
        <v>Green Tea (100 bags)</v>
      </c>
      <c r="O2532" t="str">
        <f>INDEX(Products!C:C,MATCH(OrdersTable[[#This Row],[Product ID]],Products!A:A,0))</f>
        <v>Wellness</v>
      </c>
      <c r="P2532">
        <v>2</v>
      </c>
      <c r="Q2532" s="5">
        <v>399</v>
      </c>
      <c r="R2532" s="74">
        <v>0.35</v>
      </c>
      <c r="S2532" s="75">
        <f>OrdersTable[[#This Row],[Quantity]]*OrdersTable[[#This Row],[Unit Price]]</f>
        <v>798</v>
      </c>
      <c r="T2532" s="5">
        <f>OrdersTable[[#This Row],[Gross Sale]]*OrdersTable[[#This Row],[Discount_Clean2]]</f>
        <v>279.29999999999995</v>
      </c>
      <c r="U2532" s="5">
        <f>OrdersTable[[#This Row],[Gross Sale]]-OrdersTable[[#This Row],[Discount Amount]]</f>
        <v>518.70000000000005</v>
      </c>
      <c r="V2532" s="77">
        <f>INDEX(Products!E:E,MATCH(OrdersTable[[#This Row],[Product ID]],Products!A:A,0))</f>
        <v>128</v>
      </c>
      <c r="W2532" s="77">
        <f>OrdersTable[[#This Row],[Quantity]]*OrdersTable[[#This Row],[Unit Cost]]</f>
        <v>256</v>
      </c>
      <c r="X2532" s="77">
        <f>'Dropdown Lists'!$I$2*(1+OrdersTable[[#This Row],[Returned]])</f>
        <v>60</v>
      </c>
      <c r="Y2532" s="76">
        <f>OrdersTable[[#This Row],[Net Revenue]]-OrdersTable[[#This Row],[COGS]]-OrdersTable[[#This Row],[Shipping Cost]]</f>
        <v>202.70000000000005</v>
      </c>
      <c r="Z2532" s="78">
        <f>IFERROR(OrdersTable[[#This Row],[Profit]]/OrdersTable[[#This Row],[Net Revenue]],0)</f>
        <v>0.39078465394254874</v>
      </c>
      <c r="AA2532" t="s">
        <v>18</v>
      </c>
      <c r="AB2532" s="79">
        <v>45722</v>
      </c>
      <c r="AC2532">
        <f>OrdersTable[[#This Row],[Delivery Date]]-OrdersTable[[#This Row],[Order Date]]</f>
        <v>3</v>
      </c>
      <c r="AD2532" t="str">
        <f>IF(OrdersTable[[#This Row],[Delivery Days]]&lt;=2, "Express (≤2d)", IF(OrdersTable[[#This Row],[Delivery Days]]&lt;=4, "Standard (3-4d)", "Delayed (5d+)"))</f>
        <v>Standard (3-4d)</v>
      </c>
      <c r="AF2532">
        <v>0</v>
      </c>
    </row>
    <row r="2533" spans="1:32" ht="15" x14ac:dyDescent="0.35">
      <c r="A2533" t="s">
        <v>5513</v>
      </c>
      <c r="B2533" s="1">
        <v>45719</v>
      </c>
      <c r="C2533">
        <f>YEAR(OrdersTable[[#This Row],[Order Date]])</f>
        <v>2025</v>
      </c>
      <c r="D2533" s="2">
        <f>DATE(YEAR(OrdersTable[[#This Row],[Order Date]]),MONTH(OrdersTable[[#This Row],[Order Date]]),1)</f>
        <v>45717</v>
      </c>
      <c r="E2533">
        <f>MONTH(OrdersTable[[#This Row],[Order Date]])</f>
        <v>3</v>
      </c>
      <c r="F2533" t="s">
        <v>5514</v>
      </c>
      <c r="G2533" t="str">
        <f>IF(OrdersTable[[#This Row],[Order Date]]=_xlfn.MINIFS(Order_Date, Customer_ID, OrdersTable[[#This Row],[Customer ID]]), "New", "Repeat")</f>
        <v>New</v>
      </c>
      <c r="H2533" t="s">
        <v>90</v>
      </c>
      <c r="I2533" t="str">
        <f>INDEX(State!B:B,MATCH(OrdersTable[[#This Row],[State]],State!A:A,0))</f>
        <v>GA</v>
      </c>
      <c r="J2533" t="str">
        <f>INDEX(State!C:C,MATCH(OrdersTable[[#This Row],[State Code]],State!B:B,0))</f>
        <v>West</v>
      </c>
      <c r="K2533" t="s">
        <v>91</v>
      </c>
      <c r="L2533" t="s">
        <v>16</v>
      </c>
      <c r="M2533" t="s">
        <v>87</v>
      </c>
      <c r="N2533" t="str">
        <f>INDEX(Products!B:B,MATCH(OrdersTable[[#This Row],[Product ID]],Products!A:A,0))</f>
        <v>Linen Kurta</v>
      </c>
      <c r="O2533" t="str">
        <f>INDEX(Products!C:C,MATCH(OrdersTable[[#This Row],[Product ID]],Products!A:A,0))</f>
        <v>Apparel</v>
      </c>
      <c r="P2533">
        <v>2</v>
      </c>
      <c r="Q2533" s="5">
        <v>1499</v>
      </c>
      <c r="R2533" s="74">
        <v>0.3</v>
      </c>
      <c r="S2533" s="75">
        <f>OrdersTable[[#This Row],[Quantity]]*OrdersTable[[#This Row],[Unit Price]]</f>
        <v>2998</v>
      </c>
      <c r="T2533" s="5">
        <f>OrdersTable[[#This Row],[Gross Sale]]*OrdersTable[[#This Row],[Discount_Clean2]]</f>
        <v>899.4</v>
      </c>
      <c r="U2533" s="5">
        <f>OrdersTable[[#This Row],[Gross Sale]]-OrdersTable[[#This Row],[Discount Amount]]</f>
        <v>2098.6</v>
      </c>
      <c r="V2533" s="77">
        <f>INDEX(Products!E:E,MATCH(OrdersTable[[#This Row],[Product ID]],Products!A:A,0))</f>
        <v>630</v>
      </c>
      <c r="W2533" s="77">
        <f>OrdersTable[[#This Row],[Quantity]]*OrdersTable[[#This Row],[Unit Cost]]</f>
        <v>1260</v>
      </c>
      <c r="X2533" s="77">
        <f>'Dropdown Lists'!$I$2*(1+OrdersTable[[#This Row],[Returned]])</f>
        <v>60</v>
      </c>
      <c r="Y2533" s="76">
        <f>OrdersTable[[#This Row],[Net Revenue]]-OrdersTable[[#This Row],[COGS]]-OrdersTable[[#This Row],[Shipping Cost]]</f>
        <v>778.59999999999991</v>
      </c>
      <c r="Z2533" s="78">
        <f>IFERROR(OrdersTable[[#This Row],[Profit]]/OrdersTable[[#This Row],[Net Revenue]],0)</f>
        <v>0.3710092442580768</v>
      </c>
      <c r="AA2533" t="s">
        <v>2522</v>
      </c>
      <c r="AB2533" s="79">
        <v>45722</v>
      </c>
      <c r="AC2533">
        <f>OrdersTable[[#This Row],[Delivery Date]]-OrdersTable[[#This Row],[Order Date]]</f>
        <v>3</v>
      </c>
      <c r="AD2533" t="str">
        <f>IF(OrdersTable[[#This Row],[Delivery Days]]&lt;=2, "Express (≤2d)", IF(OrdersTable[[#This Row],[Delivery Days]]&lt;=4, "Standard (3-4d)", "Delayed (5d+)"))</f>
        <v>Standard (3-4d)</v>
      </c>
      <c r="AE2533">
        <v>4</v>
      </c>
      <c r="AF2533">
        <v>0</v>
      </c>
    </row>
    <row r="2534" spans="1:32" ht="15" x14ac:dyDescent="0.35">
      <c r="A2534" t="s">
        <v>1076</v>
      </c>
      <c r="B2534" s="1">
        <v>45719</v>
      </c>
      <c r="C2534">
        <f>YEAR(OrdersTable[[#This Row],[Order Date]])</f>
        <v>2025</v>
      </c>
      <c r="D2534" s="2">
        <f>DATE(YEAR(OrdersTable[[#This Row],[Order Date]]),MONTH(OrdersTable[[#This Row],[Order Date]]),1)</f>
        <v>45717</v>
      </c>
      <c r="E2534">
        <f>MONTH(OrdersTable[[#This Row],[Order Date]])</f>
        <v>3</v>
      </c>
      <c r="F2534" t="s">
        <v>1077</v>
      </c>
      <c r="G2534" t="str">
        <f>IF(OrdersTable[[#This Row],[Order Date]]=_xlfn.MINIFS(Order_Date, Customer_ID, OrdersTable[[#This Row],[Customer ID]]), "New", "Repeat")</f>
        <v>New</v>
      </c>
      <c r="H2534" t="s">
        <v>167</v>
      </c>
      <c r="I2534" t="str">
        <f>INDEX(State!B:B,MATCH(OrdersTable[[#This Row],[State]],State!A:A,0))</f>
        <v>KA</v>
      </c>
      <c r="J2534" t="str">
        <f>INDEX(State!C:C,MATCH(OrdersTable[[#This Row],[State Code]],State!B:B,0))</f>
        <v>South</v>
      </c>
      <c r="K2534" t="s">
        <v>168</v>
      </c>
      <c r="L2534" t="s">
        <v>16</v>
      </c>
      <c r="M2534" t="s">
        <v>17</v>
      </c>
      <c r="N2534" t="str">
        <f>INDEX(Products!B:B,MATCH(OrdersTable[[#This Row],[Product ID]],Products!A:A,0))</f>
        <v>Casual Sneakers</v>
      </c>
      <c r="O2534" t="str">
        <f>INDEX(Products!C:C,MATCH(OrdersTable[[#This Row],[Product ID]],Products!A:A,0))</f>
        <v>Footwear</v>
      </c>
      <c r="P2534">
        <v>1</v>
      </c>
      <c r="Q2534" s="5">
        <v>2199</v>
      </c>
      <c r="R2534" s="74">
        <v>0.15</v>
      </c>
      <c r="S2534" s="75">
        <f>OrdersTable[[#This Row],[Quantity]]*OrdersTable[[#This Row],[Unit Price]]</f>
        <v>2199</v>
      </c>
      <c r="T2534" s="5">
        <f>OrdersTable[[#This Row],[Gross Sale]]*OrdersTable[[#This Row],[Discount_Clean2]]</f>
        <v>329.84999999999997</v>
      </c>
      <c r="U2534" s="5">
        <f>OrdersTable[[#This Row],[Gross Sale]]-OrdersTable[[#This Row],[Discount Amount]]</f>
        <v>1869.15</v>
      </c>
      <c r="V2534" s="77">
        <f>INDEX(Products!E:E,MATCH(OrdersTable[[#This Row],[Product ID]],Products!A:A,0))</f>
        <v>1034</v>
      </c>
      <c r="W2534" s="77">
        <f>OrdersTable[[#This Row],[Quantity]]*OrdersTable[[#This Row],[Unit Cost]]</f>
        <v>1034</v>
      </c>
      <c r="X2534" s="77">
        <f>'Dropdown Lists'!$I$2*(1+OrdersTable[[#This Row],[Returned]])</f>
        <v>120</v>
      </c>
      <c r="Y2534" s="76">
        <f>OrdersTable[[#This Row],[Net Revenue]]-OrdersTable[[#This Row],[COGS]]-OrdersTable[[#This Row],[Shipping Cost]]</f>
        <v>715.15000000000009</v>
      </c>
      <c r="Z2534" s="78">
        <f>IFERROR(OrdersTable[[#This Row],[Profit]]/OrdersTable[[#This Row],[Net Revenue]],0)</f>
        <v>0.38260706738357009</v>
      </c>
      <c r="AA2534" t="s">
        <v>18</v>
      </c>
      <c r="AB2534" s="79">
        <v>45720</v>
      </c>
      <c r="AC2534">
        <f>OrdersTable[[#This Row],[Delivery Date]]-OrdersTable[[#This Row],[Order Date]]</f>
        <v>1</v>
      </c>
      <c r="AD2534" t="str">
        <f>IF(OrdersTable[[#This Row],[Delivery Days]]&lt;=2, "Express (≤2d)", IF(OrdersTable[[#This Row],[Delivery Days]]&lt;=4, "Standard (3-4d)", "Delayed (5d+)"))</f>
        <v>Express (≤2d)</v>
      </c>
      <c r="AE2534">
        <v>4</v>
      </c>
      <c r="AF2534">
        <v>1</v>
      </c>
    </row>
    <row r="2535" spans="1:32" ht="15" x14ac:dyDescent="0.35">
      <c r="A2535" t="s">
        <v>7087</v>
      </c>
      <c r="B2535" s="1">
        <v>45720</v>
      </c>
      <c r="C2535">
        <f>YEAR(OrdersTable[[#This Row],[Order Date]])</f>
        <v>2025</v>
      </c>
      <c r="D2535" s="2">
        <f>DATE(YEAR(OrdersTable[[#This Row],[Order Date]]),MONTH(OrdersTable[[#This Row],[Order Date]]),1)</f>
        <v>45717</v>
      </c>
      <c r="E2535">
        <f>MONTH(OrdersTable[[#This Row],[Order Date]])</f>
        <v>3</v>
      </c>
      <c r="F2535" t="s">
        <v>2746</v>
      </c>
      <c r="G2535" t="str">
        <f>IF(OrdersTable[[#This Row],[Order Date]]=_xlfn.MINIFS(Order_Date, Customer_ID, OrdersTable[[#This Row],[Customer ID]]), "New", "Repeat")</f>
        <v>Repeat</v>
      </c>
      <c r="H2535" t="s">
        <v>71</v>
      </c>
      <c r="I2535" t="str">
        <f>INDEX(State!B:B,MATCH(OrdersTable[[#This Row],[State]],State!A:A,0))</f>
        <v>MH</v>
      </c>
      <c r="J2535" t="str">
        <f>INDEX(State!C:C,MATCH(OrdersTable[[#This Row],[State Code]],State!B:B,0))</f>
        <v>West</v>
      </c>
      <c r="K2535" t="s">
        <v>81</v>
      </c>
      <c r="L2535" t="s">
        <v>65</v>
      </c>
      <c r="M2535" t="s">
        <v>40</v>
      </c>
      <c r="N2535" t="str">
        <f>INDEX(Products!B:B,MATCH(OrdersTable[[#This Row],[Product ID]],Products!A:A,0))</f>
        <v>Ashwagandha Capsules</v>
      </c>
      <c r="O2535" t="str">
        <f>INDEX(Products!C:C,MATCH(OrdersTable[[#This Row],[Product ID]],Products!A:A,0))</f>
        <v>Wellness</v>
      </c>
      <c r="P2535">
        <v>4</v>
      </c>
      <c r="Q2535" s="5">
        <v>499</v>
      </c>
      <c r="R2535" s="74">
        <v>0.05</v>
      </c>
      <c r="S2535" s="75">
        <f>OrdersTable[[#This Row],[Quantity]]*OrdersTable[[#This Row],[Unit Price]]</f>
        <v>1996</v>
      </c>
      <c r="T2535" s="5">
        <f>OrdersTable[[#This Row],[Gross Sale]]*OrdersTable[[#This Row],[Discount_Clean2]]</f>
        <v>99.800000000000011</v>
      </c>
      <c r="U2535" s="5">
        <f>OrdersTable[[#This Row],[Gross Sale]]-OrdersTable[[#This Row],[Discount Amount]]</f>
        <v>1896.2</v>
      </c>
      <c r="V2535" s="77">
        <f>INDEX(Products!E:E,MATCH(OrdersTable[[#This Row],[Product ID]],Products!A:A,0))</f>
        <v>150</v>
      </c>
      <c r="W2535" s="77">
        <f>OrdersTable[[#This Row],[Quantity]]*OrdersTable[[#This Row],[Unit Cost]]</f>
        <v>600</v>
      </c>
      <c r="X2535" s="77">
        <f>'Dropdown Lists'!$I$2*(1+OrdersTable[[#This Row],[Returned]])</f>
        <v>60</v>
      </c>
      <c r="Y2535" s="76">
        <f>OrdersTable[[#This Row],[Net Revenue]]-OrdersTable[[#This Row],[COGS]]-OrdersTable[[#This Row],[Shipping Cost]]</f>
        <v>1236.2</v>
      </c>
      <c r="Z2535" s="78">
        <f>IFERROR(OrdersTable[[#This Row],[Profit]]/OrdersTable[[#This Row],[Net Revenue]],0)</f>
        <v>0.65193544984706253</v>
      </c>
      <c r="AA2535" t="s">
        <v>18</v>
      </c>
      <c r="AB2535" s="79">
        <v>45722</v>
      </c>
      <c r="AC2535">
        <f>OrdersTable[[#This Row],[Delivery Date]]-OrdersTable[[#This Row],[Order Date]]</f>
        <v>2</v>
      </c>
      <c r="AD2535" t="str">
        <f>IF(OrdersTable[[#This Row],[Delivery Days]]&lt;=2, "Express (≤2d)", IF(OrdersTable[[#This Row],[Delivery Days]]&lt;=4, "Standard (3-4d)", "Delayed (5d+)"))</f>
        <v>Express (≤2d)</v>
      </c>
      <c r="AF2535">
        <v>0</v>
      </c>
    </row>
    <row r="2536" spans="1:32" ht="15" x14ac:dyDescent="0.35">
      <c r="A2536" t="s">
        <v>7088</v>
      </c>
      <c r="B2536" s="1">
        <v>45720</v>
      </c>
      <c r="C2536">
        <f>YEAR(OrdersTable[[#This Row],[Order Date]])</f>
        <v>2025</v>
      </c>
      <c r="D2536" s="2">
        <f>DATE(YEAR(OrdersTable[[#This Row],[Order Date]]),MONTH(OrdersTable[[#This Row],[Order Date]]),1)</f>
        <v>45717</v>
      </c>
      <c r="E2536">
        <f>MONTH(OrdersTable[[#This Row],[Order Date]])</f>
        <v>3</v>
      </c>
      <c r="F2536" t="s">
        <v>3225</v>
      </c>
      <c r="G2536" t="str">
        <f>IF(OrdersTable[[#This Row],[Order Date]]=_xlfn.MINIFS(Order_Date, Customer_ID, OrdersTable[[#This Row],[Customer ID]]), "New", "Repeat")</f>
        <v>Repeat</v>
      </c>
      <c r="H2536" t="s">
        <v>95</v>
      </c>
      <c r="I2536" t="str">
        <f>INDEX(State!B:B,MATCH(OrdersTable[[#This Row],[State]],State!A:A,0))</f>
        <v>TG</v>
      </c>
      <c r="J2536" t="str">
        <f>INDEX(State!C:C,MATCH(OrdersTable[[#This Row],[State Code]],State!B:B,0))</f>
        <v>South</v>
      </c>
      <c r="K2536" t="s">
        <v>96</v>
      </c>
      <c r="L2536" t="s">
        <v>65</v>
      </c>
      <c r="M2536" t="s">
        <v>24</v>
      </c>
      <c r="N2536" t="str">
        <f>INDEX(Products!B:B,MATCH(OrdersTable[[#This Row],[Product ID]],Products!A:A,0))</f>
        <v>Scented Candle Set</v>
      </c>
      <c r="O2536" t="str">
        <f>INDEX(Products!C:C,MATCH(OrdersTable[[#This Row],[Product ID]],Products!A:A,0))</f>
        <v>Home &amp; Kitchen</v>
      </c>
      <c r="P2536">
        <v>4</v>
      </c>
      <c r="Q2536" s="5">
        <v>699</v>
      </c>
      <c r="R2536" s="74">
        <v>0.3</v>
      </c>
      <c r="S2536" s="75">
        <f>OrdersTable[[#This Row],[Quantity]]*OrdersTable[[#This Row],[Unit Price]]</f>
        <v>2796</v>
      </c>
      <c r="T2536" s="5">
        <f>OrdersTable[[#This Row],[Gross Sale]]*OrdersTable[[#This Row],[Discount_Clean2]]</f>
        <v>838.8</v>
      </c>
      <c r="U2536" s="5">
        <f>OrdersTable[[#This Row],[Gross Sale]]-OrdersTable[[#This Row],[Discount Amount]]</f>
        <v>1957.2</v>
      </c>
      <c r="V2536" s="77">
        <f>INDEX(Products!E:E,MATCH(OrdersTable[[#This Row],[Product ID]],Products!A:A,0))</f>
        <v>245</v>
      </c>
      <c r="W2536" s="77">
        <f>OrdersTable[[#This Row],[Quantity]]*OrdersTable[[#This Row],[Unit Cost]]</f>
        <v>980</v>
      </c>
      <c r="X2536" s="77">
        <f>'Dropdown Lists'!$I$2*(1+OrdersTable[[#This Row],[Returned]])</f>
        <v>60</v>
      </c>
      <c r="Y2536" s="76">
        <f>OrdersTable[[#This Row],[Net Revenue]]-OrdersTable[[#This Row],[COGS]]-OrdersTable[[#This Row],[Shipping Cost]]</f>
        <v>917.2</v>
      </c>
      <c r="Z2536" s="78">
        <f>IFERROR(OrdersTable[[#This Row],[Profit]]/OrdersTable[[#This Row],[Net Revenue]],0)</f>
        <v>0.46862865317800939</v>
      </c>
      <c r="AA2536" t="s">
        <v>18</v>
      </c>
      <c r="AB2536" s="79">
        <v>45724</v>
      </c>
      <c r="AC2536">
        <f>OrdersTable[[#This Row],[Delivery Date]]-OrdersTable[[#This Row],[Order Date]]</f>
        <v>4</v>
      </c>
      <c r="AD2536" t="str">
        <f>IF(OrdersTable[[#This Row],[Delivery Days]]&lt;=2, "Express (≤2d)", IF(OrdersTable[[#This Row],[Delivery Days]]&lt;=4, "Standard (3-4d)", "Delayed (5d+)"))</f>
        <v>Standard (3-4d)</v>
      </c>
      <c r="AE2536">
        <v>5</v>
      </c>
      <c r="AF2536">
        <v>0</v>
      </c>
    </row>
    <row r="2537" spans="1:32" ht="15" x14ac:dyDescent="0.35">
      <c r="A2537" t="s">
        <v>3259</v>
      </c>
      <c r="B2537" s="1">
        <v>45720</v>
      </c>
      <c r="C2537">
        <f>YEAR(OrdersTable[[#This Row],[Order Date]])</f>
        <v>2025</v>
      </c>
      <c r="D2537" s="2">
        <f>DATE(YEAR(OrdersTable[[#This Row],[Order Date]]),MONTH(OrdersTable[[#This Row],[Order Date]]),1)</f>
        <v>45717</v>
      </c>
      <c r="E2537">
        <f>MONTH(OrdersTable[[#This Row],[Order Date]])</f>
        <v>3</v>
      </c>
      <c r="F2537" t="s">
        <v>3260</v>
      </c>
      <c r="G2537" t="str">
        <f>IF(OrdersTable[[#This Row],[Order Date]]=_xlfn.MINIFS(Order_Date, Customer_ID, OrdersTable[[#This Row],[Customer ID]]), "New", "Repeat")</f>
        <v>Repeat</v>
      </c>
      <c r="H2537" t="s">
        <v>59</v>
      </c>
      <c r="I2537" t="str">
        <f>INDEX(State!B:B,MATCH(OrdersTable[[#This Row],[State]],State!A:A,0))</f>
        <v>TN</v>
      </c>
      <c r="J2537" t="str">
        <f>INDEX(State!C:C,MATCH(OrdersTable[[#This Row],[State Code]],State!B:B,0))</f>
        <v>South</v>
      </c>
      <c r="K2537" t="s">
        <v>60</v>
      </c>
      <c r="L2537" t="s">
        <v>39</v>
      </c>
      <c r="M2537" t="s">
        <v>40</v>
      </c>
      <c r="N2537" t="str">
        <f>INDEX(Products!B:B,MATCH(OrdersTable[[#This Row],[Product ID]],Products!A:A,0))</f>
        <v>Ashwagandha Capsules</v>
      </c>
      <c r="O2537" t="str">
        <f>INDEX(Products!C:C,MATCH(OrdersTable[[#This Row],[Product ID]],Products!A:A,0))</f>
        <v>Wellness</v>
      </c>
      <c r="P2537">
        <v>1</v>
      </c>
      <c r="Q2537" s="5">
        <v>499</v>
      </c>
      <c r="R2537" s="74">
        <v>0</v>
      </c>
      <c r="S2537" s="75">
        <f>OrdersTable[[#This Row],[Quantity]]*OrdersTable[[#This Row],[Unit Price]]</f>
        <v>499</v>
      </c>
      <c r="T2537" s="5">
        <f>OrdersTable[[#This Row],[Gross Sale]]*OrdersTable[[#This Row],[Discount_Clean2]]</f>
        <v>0</v>
      </c>
      <c r="U2537" s="5">
        <f>OrdersTable[[#This Row],[Gross Sale]]-OrdersTable[[#This Row],[Discount Amount]]</f>
        <v>499</v>
      </c>
      <c r="V2537" s="77">
        <f>INDEX(Products!E:E,MATCH(OrdersTable[[#This Row],[Product ID]],Products!A:A,0))</f>
        <v>150</v>
      </c>
      <c r="W2537" s="77">
        <f>OrdersTable[[#This Row],[Quantity]]*OrdersTable[[#This Row],[Unit Cost]]</f>
        <v>150</v>
      </c>
      <c r="X2537" s="77">
        <f>'Dropdown Lists'!$I$2*(1+OrdersTable[[#This Row],[Returned]])</f>
        <v>60</v>
      </c>
      <c r="Y2537" s="76">
        <f>OrdersTable[[#This Row],[Net Revenue]]-OrdersTable[[#This Row],[COGS]]-OrdersTable[[#This Row],[Shipping Cost]]</f>
        <v>289</v>
      </c>
      <c r="Z2537" s="78">
        <f>IFERROR(OrdersTable[[#This Row],[Profit]]/OrdersTable[[#This Row],[Net Revenue]],0)</f>
        <v>0.57915831663326656</v>
      </c>
      <c r="AA2537" t="s">
        <v>2522</v>
      </c>
      <c r="AB2537" s="79">
        <v>45723</v>
      </c>
      <c r="AC2537">
        <f>OrdersTable[[#This Row],[Delivery Date]]-OrdersTable[[#This Row],[Order Date]]</f>
        <v>3</v>
      </c>
      <c r="AD2537" t="str">
        <f>IF(OrdersTable[[#This Row],[Delivery Days]]&lt;=2, "Express (≤2d)", IF(OrdersTable[[#This Row],[Delivery Days]]&lt;=4, "Standard (3-4d)", "Delayed (5d+)"))</f>
        <v>Standard (3-4d)</v>
      </c>
      <c r="AE2537">
        <v>4</v>
      </c>
      <c r="AF2537">
        <v>0</v>
      </c>
    </row>
    <row r="2538" spans="1:32" ht="15" x14ac:dyDescent="0.35">
      <c r="A2538" t="s">
        <v>4401</v>
      </c>
      <c r="B2538" s="1">
        <v>45720</v>
      </c>
      <c r="C2538">
        <f>YEAR(OrdersTable[[#This Row],[Order Date]])</f>
        <v>2025</v>
      </c>
      <c r="D2538" s="2">
        <f>DATE(YEAR(OrdersTable[[#This Row],[Order Date]]),MONTH(OrdersTable[[#This Row],[Order Date]]),1)</f>
        <v>45717</v>
      </c>
      <c r="E2538">
        <f>MONTH(OrdersTable[[#This Row],[Order Date]])</f>
        <v>3</v>
      </c>
      <c r="F2538" t="s">
        <v>4402</v>
      </c>
      <c r="G2538" t="str">
        <f>IF(OrdersTable[[#This Row],[Order Date]]=_xlfn.MINIFS(Order_Date, Customer_ID, OrdersTable[[#This Row],[Customer ID]]), "New", "Repeat")</f>
        <v>New</v>
      </c>
      <c r="H2538" t="s">
        <v>59</v>
      </c>
      <c r="I2538" t="str">
        <f>INDEX(State!B:B,MATCH(OrdersTable[[#This Row],[State]],State!A:A,0))</f>
        <v>TN</v>
      </c>
      <c r="J2538" t="str">
        <f>INDEX(State!C:C,MATCH(OrdersTable[[#This Row],[State Code]],State!B:B,0))</f>
        <v>South</v>
      </c>
      <c r="K2538" t="s">
        <v>60</v>
      </c>
      <c r="L2538" t="s">
        <v>39</v>
      </c>
      <c r="M2538" t="s">
        <v>205</v>
      </c>
      <c r="N2538" t="str">
        <f>INDEX(Products!B:B,MATCH(OrdersTable[[#This Row],[Product ID]],Products!A:A,0))</f>
        <v>Running Shoes</v>
      </c>
      <c r="O2538" t="str">
        <f>INDEX(Products!C:C,MATCH(OrdersTable[[#This Row],[Product ID]],Products!A:A,0))</f>
        <v>Footwear</v>
      </c>
      <c r="P2538">
        <v>1</v>
      </c>
      <c r="Q2538" s="5">
        <v>2999</v>
      </c>
      <c r="R2538" s="74">
        <v>0.15</v>
      </c>
      <c r="S2538" s="75">
        <f>OrdersTable[[#This Row],[Quantity]]*OrdersTable[[#This Row],[Unit Price]]</f>
        <v>2999</v>
      </c>
      <c r="T2538" s="5">
        <f>OrdersTable[[#This Row],[Gross Sale]]*OrdersTable[[#This Row],[Discount_Clean2]]</f>
        <v>449.84999999999997</v>
      </c>
      <c r="U2538" s="5">
        <f>OrdersTable[[#This Row],[Gross Sale]]-OrdersTable[[#This Row],[Discount Amount]]</f>
        <v>2549.15</v>
      </c>
      <c r="V2538" s="77">
        <f>INDEX(Products!E:E,MATCH(OrdersTable[[#This Row],[Product ID]],Products!A:A,0))</f>
        <v>1440</v>
      </c>
      <c r="W2538" s="77">
        <f>OrdersTable[[#This Row],[Quantity]]*OrdersTable[[#This Row],[Unit Cost]]</f>
        <v>1440</v>
      </c>
      <c r="X2538" s="77">
        <f>'Dropdown Lists'!$I$2*(1+OrdersTable[[#This Row],[Returned]])</f>
        <v>60</v>
      </c>
      <c r="Y2538" s="76">
        <f>OrdersTable[[#This Row],[Net Revenue]]-OrdersTable[[#This Row],[COGS]]-OrdersTable[[#This Row],[Shipping Cost]]</f>
        <v>1049.1500000000001</v>
      </c>
      <c r="Z2538" s="78">
        <f>IFERROR(OrdersTable[[#This Row],[Profit]]/OrdersTable[[#This Row],[Net Revenue]],0)</f>
        <v>0.41156856206970954</v>
      </c>
      <c r="AA2538" t="s">
        <v>4074</v>
      </c>
      <c r="AB2538" s="79">
        <v>45725</v>
      </c>
      <c r="AC2538">
        <f>OrdersTable[[#This Row],[Delivery Date]]-OrdersTable[[#This Row],[Order Date]]</f>
        <v>5</v>
      </c>
      <c r="AD2538" t="str">
        <f>IF(OrdersTable[[#This Row],[Delivery Days]]&lt;=2, "Express (≤2d)", IF(OrdersTable[[#This Row],[Delivery Days]]&lt;=4, "Standard (3-4d)", "Delayed (5d+)"))</f>
        <v>Delayed (5d+)</v>
      </c>
      <c r="AE2538">
        <v>4</v>
      </c>
      <c r="AF2538">
        <v>0</v>
      </c>
    </row>
    <row r="2539" spans="1:32" ht="15" x14ac:dyDescent="0.35">
      <c r="A2539" t="s">
        <v>3261</v>
      </c>
      <c r="B2539" s="1">
        <v>45721</v>
      </c>
      <c r="C2539">
        <f>YEAR(OrdersTable[[#This Row],[Order Date]])</f>
        <v>2025</v>
      </c>
      <c r="D2539" s="2">
        <f>DATE(YEAR(OrdersTable[[#This Row],[Order Date]]),MONTH(OrdersTable[[#This Row],[Order Date]]),1)</f>
        <v>45717</v>
      </c>
      <c r="E2539">
        <f>MONTH(OrdersTable[[#This Row],[Order Date]])</f>
        <v>3</v>
      </c>
      <c r="F2539" t="s">
        <v>3262</v>
      </c>
      <c r="G2539" t="str">
        <f>IF(OrdersTable[[#This Row],[Order Date]]=_xlfn.MINIFS(Order_Date, Customer_ID, OrdersTable[[#This Row],[Customer ID]]), "New", "Repeat")</f>
        <v>Repeat</v>
      </c>
      <c r="H2539" t="s">
        <v>158</v>
      </c>
      <c r="I2539" t="str">
        <f>INDEX(State!B:B,MATCH(OrdersTable[[#This Row],[State]],State!A:A,0))</f>
        <v>HP</v>
      </c>
      <c r="J2539" t="str">
        <f>INDEX(State!C:C,MATCH(OrdersTable[[#This Row],[State Code]],State!B:B,0))</f>
        <v>North</v>
      </c>
      <c r="K2539" t="s">
        <v>159</v>
      </c>
      <c r="L2539" t="s">
        <v>50</v>
      </c>
      <c r="M2539" t="s">
        <v>66</v>
      </c>
      <c r="N2539" t="str">
        <f>INDEX(Products!B:B,MATCH(OrdersTable[[#This Row],[Product ID]],Products!A:A,0))</f>
        <v>Sunscreen SPF 50</v>
      </c>
      <c r="O2539" t="str">
        <f>INDEX(Products!C:C,MATCH(OrdersTable[[#This Row],[Product ID]],Products!A:A,0))</f>
        <v>Skincare</v>
      </c>
      <c r="P2539">
        <v>1</v>
      </c>
      <c r="Q2539" s="5">
        <v>449</v>
      </c>
      <c r="R2539" s="74">
        <v>0.15</v>
      </c>
      <c r="S2539" s="75">
        <f>OrdersTable[[#This Row],[Quantity]]*OrdersTable[[#This Row],[Unit Price]]</f>
        <v>449</v>
      </c>
      <c r="T2539" s="5">
        <f>OrdersTable[[#This Row],[Gross Sale]]*OrdersTable[[#This Row],[Discount_Clean2]]</f>
        <v>67.349999999999994</v>
      </c>
      <c r="U2539" s="5">
        <f>OrdersTable[[#This Row],[Gross Sale]]-OrdersTable[[#This Row],[Discount Amount]]</f>
        <v>381.65</v>
      </c>
      <c r="V2539" s="77">
        <f>INDEX(Products!E:E,MATCH(OrdersTable[[#This Row],[Product ID]],Products!A:A,0))</f>
        <v>144</v>
      </c>
      <c r="W2539" s="77">
        <f>OrdersTable[[#This Row],[Quantity]]*OrdersTable[[#This Row],[Unit Cost]]</f>
        <v>144</v>
      </c>
      <c r="X2539" s="77">
        <f>'Dropdown Lists'!$I$2*(1+OrdersTable[[#This Row],[Returned]])</f>
        <v>120</v>
      </c>
      <c r="Y2539" s="76">
        <f>OrdersTable[[#This Row],[Net Revenue]]-OrdersTable[[#This Row],[COGS]]-OrdersTable[[#This Row],[Shipping Cost]]</f>
        <v>117.64999999999998</v>
      </c>
      <c r="Z2539" s="78">
        <f>IFERROR(OrdersTable[[#This Row],[Profit]]/OrdersTable[[#This Row],[Net Revenue]],0)</f>
        <v>0.30826673653871345</v>
      </c>
      <c r="AA2539" t="s">
        <v>2522</v>
      </c>
      <c r="AB2539" s="79">
        <v>45728</v>
      </c>
      <c r="AC2539">
        <f>OrdersTable[[#This Row],[Delivery Date]]-OrdersTable[[#This Row],[Order Date]]</f>
        <v>7</v>
      </c>
      <c r="AD2539" t="str">
        <f>IF(OrdersTable[[#This Row],[Delivery Days]]&lt;=2, "Express (≤2d)", IF(OrdersTable[[#This Row],[Delivery Days]]&lt;=4, "Standard (3-4d)", "Delayed (5d+)"))</f>
        <v>Delayed (5d+)</v>
      </c>
      <c r="AE2539">
        <v>4</v>
      </c>
      <c r="AF2539">
        <v>1</v>
      </c>
    </row>
    <row r="2540" spans="1:32" ht="15" x14ac:dyDescent="0.35">
      <c r="A2540" t="s">
        <v>2793</v>
      </c>
      <c r="B2540" s="1">
        <v>45721</v>
      </c>
      <c r="C2540">
        <f>YEAR(OrdersTable[[#This Row],[Order Date]])</f>
        <v>2025</v>
      </c>
      <c r="D2540" s="2">
        <f>DATE(YEAR(OrdersTable[[#This Row],[Order Date]]),MONTH(OrdersTable[[#This Row],[Order Date]]),1)</f>
        <v>45717</v>
      </c>
      <c r="E2540">
        <f>MONTH(OrdersTable[[#This Row],[Order Date]])</f>
        <v>3</v>
      </c>
      <c r="F2540" t="s">
        <v>2794</v>
      </c>
      <c r="G2540" t="str">
        <f>IF(OrdersTable[[#This Row],[Order Date]]=_xlfn.MINIFS(Order_Date, Customer_ID, OrdersTable[[#This Row],[Customer ID]]), "New", "Repeat")</f>
        <v>New</v>
      </c>
      <c r="H2540" t="s">
        <v>32</v>
      </c>
      <c r="I2540" t="str">
        <f>INDEX(State!B:B,MATCH(OrdersTable[[#This Row],[State]],State!A:A,0))</f>
        <v>BR</v>
      </c>
      <c r="J2540" t="str">
        <f>INDEX(State!C:C,MATCH(OrdersTable[[#This Row],[State Code]],State!B:B,0))</f>
        <v>East</v>
      </c>
      <c r="K2540" t="s">
        <v>33</v>
      </c>
      <c r="L2540" t="s">
        <v>50</v>
      </c>
      <c r="M2540" t="s">
        <v>179</v>
      </c>
      <c r="N2540" t="str">
        <f>INDEX(Products!B:B,MATCH(OrdersTable[[#This Row],[Product ID]],Products!A:A,0))</f>
        <v>Whey Protein 1kg</v>
      </c>
      <c r="O2540" t="str">
        <f>INDEX(Products!C:C,MATCH(OrdersTable[[#This Row],[Product ID]],Products!A:A,0))</f>
        <v>Wellness</v>
      </c>
      <c r="P2540">
        <v>1</v>
      </c>
      <c r="Q2540" s="5">
        <v>2299</v>
      </c>
      <c r="R2540" s="74">
        <v>0.45</v>
      </c>
      <c r="S2540" s="75">
        <f>OrdersTable[[#This Row],[Quantity]]*OrdersTable[[#This Row],[Unit Price]]</f>
        <v>2299</v>
      </c>
      <c r="T2540" s="5">
        <f>OrdersTable[[#This Row],[Gross Sale]]*OrdersTable[[#This Row],[Discount_Clean2]]</f>
        <v>1034.55</v>
      </c>
      <c r="U2540" s="5">
        <f>OrdersTable[[#This Row],[Gross Sale]]-OrdersTable[[#This Row],[Discount Amount]]</f>
        <v>1264.45</v>
      </c>
      <c r="V2540" s="77">
        <f>INDEX(Products!E:E,MATCH(OrdersTable[[#This Row],[Product ID]],Products!A:A,0))</f>
        <v>1333</v>
      </c>
      <c r="W2540" s="77">
        <f>OrdersTable[[#This Row],[Quantity]]*OrdersTable[[#This Row],[Unit Cost]]</f>
        <v>1333</v>
      </c>
      <c r="X2540" s="77">
        <f>'Dropdown Lists'!$I$2*(1+OrdersTable[[#This Row],[Returned]])</f>
        <v>60</v>
      </c>
      <c r="Y2540" s="76">
        <f>OrdersTable[[#This Row],[Net Revenue]]-OrdersTable[[#This Row],[COGS]]-OrdersTable[[#This Row],[Shipping Cost]]</f>
        <v>-128.54999999999995</v>
      </c>
      <c r="Z2540" s="78">
        <f>IFERROR(OrdersTable[[#This Row],[Profit]]/OrdersTable[[#This Row],[Net Revenue]],0)</f>
        <v>-0.10166475542726082</v>
      </c>
      <c r="AA2540" t="s">
        <v>2522</v>
      </c>
      <c r="AB2540" s="79">
        <v>45724</v>
      </c>
      <c r="AC2540">
        <f>OrdersTable[[#This Row],[Delivery Date]]-OrdersTable[[#This Row],[Order Date]]</f>
        <v>3</v>
      </c>
      <c r="AD2540" t="str">
        <f>IF(OrdersTable[[#This Row],[Delivery Days]]&lt;=2, "Express (≤2d)", IF(OrdersTable[[#This Row],[Delivery Days]]&lt;=4, "Standard (3-4d)", "Delayed (5d+)"))</f>
        <v>Standard (3-4d)</v>
      </c>
      <c r="AE2540">
        <v>3</v>
      </c>
      <c r="AF2540">
        <v>0</v>
      </c>
    </row>
    <row r="2541" spans="1:32" ht="15" x14ac:dyDescent="0.35">
      <c r="A2541" t="s">
        <v>5515</v>
      </c>
      <c r="B2541" s="1">
        <v>45721</v>
      </c>
      <c r="C2541">
        <f>YEAR(OrdersTable[[#This Row],[Order Date]])</f>
        <v>2025</v>
      </c>
      <c r="D2541" s="2">
        <f>DATE(YEAR(OrdersTable[[#This Row],[Order Date]]),MONTH(OrdersTable[[#This Row],[Order Date]]),1)</f>
        <v>45717</v>
      </c>
      <c r="E2541">
        <f>MONTH(OrdersTable[[#This Row],[Order Date]])</f>
        <v>3</v>
      </c>
      <c r="F2541" t="s">
        <v>5113</v>
      </c>
      <c r="G2541" t="str">
        <f>IF(OrdersTable[[#This Row],[Order Date]]=_xlfn.MINIFS(Order_Date, Customer_ID, OrdersTable[[#This Row],[Customer ID]]), "New", "Repeat")</f>
        <v>Repeat</v>
      </c>
      <c r="H2541" t="s">
        <v>37</v>
      </c>
      <c r="I2541" t="str">
        <f>INDEX(State!B:B,MATCH(OrdersTable[[#This Row],[State]],State!A:A,0))</f>
        <v>GJ</v>
      </c>
      <c r="J2541" t="str">
        <f>INDEX(State!C:C,MATCH(OrdersTable[[#This Row],[State Code]],State!B:B,0))</f>
        <v>West</v>
      </c>
      <c r="K2541" t="s">
        <v>38</v>
      </c>
      <c r="L2541" t="s">
        <v>39</v>
      </c>
      <c r="M2541" t="s">
        <v>228</v>
      </c>
      <c r="N2541" t="str">
        <f>INDEX(Products!B:B,MATCH(OrdersTable[[#This Row],[Product ID]],Products!A:A,0))</f>
        <v>Fast Charger 33W</v>
      </c>
      <c r="O2541" t="str">
        <f>INDEX(Products!C:C,MATCH(OrdersTable[[#This Row],[Product ID]],Products!A:A,0))</f>
        <v>Electronics</v>
      </c>
      <c r="P2541">
        <v>2</v>
      </c>
      <c r="Q2541" s="5">
        <v>899</v>
      </c>
      <c r="R2541" s="74">
        <v>0</v>
      </c>
      <c r="S2541" s="75">
        <f>OrdersTable[[#This Row],[Quantity]]*OrdersTable[[#This Row],[Unit Price]]</f>
        <v>1798</v>
      </c>
      <c r="T2541" s="5">
        <f>OrdersTable[[#This Row],[Gross Sale]]*OrdersTable[[#This Row],[Discount_Clean2]]</f>
        <v>0</v>
      </c>
      <c r="U2541" s="5">
        <f>OrdersTable[[#This Row],[Gross Sale]]-OrdersTable[[#This Row],[Discount Amount]]</f>
        <v>1798</v>
      </c>
      <c r="V2541" s="77">
        <f>INDEX(Products!E:E,MATCH(OrdersTable[[#This Row],[Product ID]],Products!A:A,0))</f>
        <v>494</v>
      </c>
      <c r="W2541" s="77">
        <f>OrdersTable[[#This Row],[Quantity]]*OrdersTable[[#This Row],[Unit Cost]]</f>
        <v>988</v>
      </c>
      <c r="X2541" s="77">
        <f>'Dropdown Lists'!$I$2*(1+OrdersTable[[#This Row],[Returned]])</f>
        <v>60</v>
      </c>
      <c r="Y2541" s="76">
        <f>OrdersTable[[#This Row],[Net Revenue]]-OrdersTable[[#This Row],[COGS]]-OrdersTable[[#This Row],[Shipping Cost]]</f>
        <v>750</v>
      </c>
      <c r="Z2541" s="78">
        <f>IFERROR(OrdersTable[[#This Row],[Profit]]/OrdersTable[[#This Row],[Net Revenue]],0)</f>
        <v>0.41713014460511677</v>
      </c>
      <c r="AA2541" t="s">
        <v>2522</v>
      </c>
      <c r="AB2541" s="79">
        <v>45725</v>
      </c>
      <c r="AC2541">
        <f>OrdersTable[[#This Row],[Delivery Date]]-OrdersTable[[#This Row],[Order Date]]</f>
        <v>4</v>
      </c>
      <c r="AD2541" t="str">
        <f>IF(OrdersTable[[#This Row],[Delivery Days]]&lt;=2, "Express (≤2d)", IF(OrdersTable[[#This Row],[Delivery Days]]&lt;=4, "Standard (3-4d)", "Delayed (5d+)"))</f>
        <v>Standard (3-4d)</v>
      </c>
      <c r="AE2541">
        <v>4</v>
      </c>
      <c r="AF2541">
        <v>0</v>
      </c>
    </row>
    <row r="2542" spans="1:32" ht="15" x14ac:dyDescent="0.35">
      <c r="A2542" t="s">
        <v>6569</v>
      </c>
      <c r="B2542" s="1">
        <v>45721</v>
      </c>
      <c r="C2542">
        <f>YEAR(OrdersTable[[#This Row],[Order Date]])</f>
        <v>2025</v>
      </c>
      <c r="D2542" s="2">
        <f>DATE(YEAR(OrdersTable[[#This Row],[Order Date]]),MONTH(OrdersTable[[#This Row],[Order Date]]),1)</f>
        <v>45717</v>
      </c>
      <c r="E2542">
        <f>MONTH(OrdersTable[[#This Row],[Order Date]])</f>
        <v>3</v>
      </c>
      <c r="F2542" t="s">
        <v>6570</v>
      </c>
      <c r="G2542" t="str">
        <f>IF(OrdersTable[[#This Row],[Order Date]]=_xlfn.MINIFS(Order_Date, Customer_ID, OrdersTable[[#This Row],[Customer ID]]), "New", "Repeat")</f>
        <v>New</v>
      </c>
      <c r="H2542" t="s">
        <v>27</v>
      </c>
      <c r="I2542" t="str">
        <f>INDEX(State!B:B,MATCH(OrdersTable[[#This Row],[State]],State!A:A,0))</f>
        <v>WB</v>
      </c>
      <c r="J2542" t="str">
        <f>INDEX(State!C:C,MATCH(OrdersTable[[#This Row],[State Code]],State!B:B,0))</f>
        <v>East</v>
      </c>
      <c r="K2542" t="s">
        <v>28</v>
      </c>
      <c r="L2542" t="s">
        <v>65</v>
      </c>
      <c r="M2542" t="s">
        <v>423</v>
      </c>
      <c r="N2542" t="str">
        <f>INDEX(Products!B:B,MATCH(OrdersTable[[#This Row],[Product ID]],Products!A:A,0))</f>
        <v>Power Bank 20000mAh</v>
      </c>
      <c r="O2542" t="str">
        <f>INDEX(Products!C:C,MATCH(OrdersTable[[#This Row],[Product ID]],Products!A:A,0))</f>
        <v>Electronics</v>
      </c>
      <c r="P2542">
        <v>3</v>
      </c>
      <c r="Q2542" s="5">
        <v>1799</v>
      </c>
      <c r="R2542" s="74">
        <v>0.3</v>
      </c>
      <c r="S2542" s="75">
        <f>OrdersTable[[#This Row],[Quantity]]*OrdersTable[[#This Row],[Unit Price]]</f>
        <v>5397</v>
      </c>
      <c r="T2542" s="5">
        <f>OrdersTable[[#This Row],[Gross Sale]]*OrdersTable[[#This Row],[Discount_Clean2]]</f>
        <v>1619.1</v>
      </c>
      <c r="U2542" s="5">
        <f>OrdersTable[[#This Row],[Gross Sale]]-OrdersTable[[#This Row],[Discount Amount]]</f>
        <v>3777.9</v>
      </c>
      <c r="V2542" s="77">
        <f>INDEX(Products!E:E,MATCH(OrdersTable[[#This Row],[Product ID]],Products!A:A,0))</f>
        <v>1079</v>
      </c>
      <c r="W2542" s="77">
        <f>OrdersTable[[#This Row],[Quantity]]*OrdersTable[[#This Row],[Unit Cost]]</f>
        <v>3237</v>
      </c>
      <c r="X2542" s="77">
        <f>'Dropdown Lists'!$I$2*(1+OrdersTable[[#This Row],[Returned]])</f>
        <v>60</v>
      </c>
      <c r="Y2542" s="76">
        <f>OrdersTable[[#This Row],[Net Revenue]]-OrdersTable[[#This Row],[COGS]]-OrdersTable[[#This Row],[Shipping Cost]]</f>
        <v>480.90000000000009</v>
      </c>
      <c r="Z2542" s="78">
        <f>IFERROR(OrdersTable[[#This Row],[Profit]]/OrdersTable[[#This Row],[Net Revenue]],0)</f>
        <v>0.12729294052251253</v>
      </c>
      <c r="AA2542" t="s">
        <v>18</v>
      </c>
      <c r="AB2542" s="79">
        <v>45726</v>
      </c>
      <c r="AC2542">
        <f>OrdersTable[[#This Row],[Delivery Date]]-OrdersTable[[#This Row],[Order Date]]</f>
        <v>5</v>
      </c>
      <c r="AD2542" t="str">
        <f>IF(OrdersTable[[#This Row],[Delivery Days]]&lt;=2, "Express (≤2d)", IF(OrdersTable[[#This Row],[Delivery Days]]&lt;=4, "Standard (3-4d)", "Delayed (5d+)"))</f>
        <v>Delayed (5d+)</v>
      </c>
      <c r="AE2542">
        <v>3</v>
      </c>
      <c r="AF2542">
        <v>0</v>
      </c>
    </row>
    <row r="2543" spans="1:32" ht="15" x14ac:dyDescent="0.35">
      <c r="A2543" t="s">
        <v>6888</v>
      </c>
      <c r="B2543" s="1">
        <v>45721</v>
      </c>
      <c r="C2543">
        <f>YEAR(OrdersTable[[#This Row],[Order Date]])</f>
        <v>2025</v>
      </c>
      <c r="D2543" s="2">
        <f>DATE(YEAR(OrdersTable[[#This Row],[Order Date]]),MONTH(OrdersTable[[#This Row],[Order Date]]),1)</f>
        <v>45717</v>
      </c>
      <c r="E2543">
        <f>MONTH(OrdersTable[[#This Row],[Order Date]])</f>
        <v>3</v>
      </c>
      <c r="F2543" t="s">
        <v>6889</v>
      </c>
      <c r="G2543" t="str">
        <f>IF(OrdersTable[[#This Row],[Order Date]]=_xlfn.MINIFS(Order_Date, Customer_ID, OrdersTable[[#This Row],[Customer ID]]), "New", "Repeat")</f>
        <v>New</v>
      </c>
      <c r="H2543" t="s">
        <v>71</v>
      </c>
      <c r="I2543" t="str">
        <f>INDEX(State!B:B,MATCH(OrdersTable[[#This Row],[State]],State!A:A,0))</f>
        <v>MH</v>
      </c>
      <c r="J2543" t="str">
        <f>INDEX(State!C:C,MATCH(OrdersTable[[#This Row],[State Code]],State!B:B,0))</f>
        <v>West</v>
      </c>
      <c r="K2543" t="s">
        <v>102</v>
      </c>
      <c r="L2543" t="s">
        <v>23</v>
      </c>
      <c r="M2543" t="s">
        <v>255</v>
      </c>
      <c r="N2543" t="str">
        <f>INDEX(Products!B:B,MATCH(OrdersTable[[#This Row],[Product ID]],Products!A:A,0))</f>
        <v>Cotton Oversized T-Shirt</v>
      </c>
      <c r="O2543" t="str">
        <f>INDEX(Products!C:C,MATCH(OrdersTable[[#This Row],[Product ID]],Products!A:A,0))</f>
        <v>Apparel</v>
      </c>
      <c r="P2543">
        <v>3</v>
      </c>
      <c r="Q2543" s="5">
        <v>799</v>
      </c>
      <c r="R2543" s="74">
        <v>0</v>
      </c>
      <c r="S2543" s="75">
        <f>OrdersTable[[#This Row],[Quantity]]*OrdersTable[[#This Row],[Unit Price]]</f>
        <v>2397</v>
      </c>
      <c r="T2543" s="5">
        <f>OrdersTable[[#This Row],[Gross Sale]]*OrdersTable[[#This Row],[Discount_Clean2]]</f>
        <v>0</v>
      </c>
      <c r="U2543" s="5">
        <f>OrdersTable[[#This Row],[Gross Sale]]-OrdersTable[[#This Row],[Discount Amount]]</f>
        <v>2397</v>
      </c>
      <c r="V2543" s="77">
        <f>INDEX(Products!E:E,MATCH(OrdersTable[[#This Row],[Product ID]],Products!A:A,0))</f>
        <v>320</v>
      </c>
      <c r="W2543" s="77">
        <f>OrdersTable[[#This Row],[Quantity]]*OrdersTable[[#This Row],[Unit Cost]]</f>
        <v>960</v>
      </c>
      <c r="X2543" s="77">
        <f>'Dropdown Lists'!$I$2*(1+OrdersTable[[#This Row],[Returned]])</f>
        <v>60</v>
      </c>
      <c r="Y2543" s="76">
        <f>OrdersTable[[#This Row],[Net Revenue]]-OrdersTable[[#This Row],[COGS]]-OrdersTable[[#This Row],[Shipping Cost]]</f>
        <v>1377</v>
      </c>
      <c r="Z2543" s="78">
        <f>IFERROR(OrdersTable[[#This Row],[Profit]]/OrdersTable[[#This Row],[Net Revenue]],0)</f>
        <v>0.57446808510638303</v>
      </c>
      <c r="AA2543" t="s">
        <v>4074</v>
      </c>
      <c r="AB2543" s="79">
        <v>45723</v>
      </c>
      <c r="AC2543">
        <f>OrdersTable[[#This Row],[Delivery Date]]-OrdersTable[[#This Row],[Order Date]]</f>
        <v>2</v>
      </c>
      <c r="AD2543" t="str">
        <f>IF(OrdersTable[[#This Row],[Delivery Days]]&lt;=2, "Express (≤2d)", IF(OrdersTable[[#This Row],[Delivery Days]]&lt;=4, "Standard (3-4d)", "Delayed (5d+)"))</f>
        <v>Express (≤2d)</v>
      </c>
      <c r="AE2543">
        <v>3</v>
      </c>
      <c r="AF2543">
        <v>0</v>
      </c>
    </row>
    <row r="2544" spans="1:32" ht="15" x14ac:dyDescent="0.35">
      <c r="A2544" t="s">
        <v>2604</v>
      </c>
      <c r="B2544" s="1">
        <v>45721</v>
      </c>
      <c r="C2544">
        <f>YEAR(OrdersTable[[#This Row],[Order Date]])</f>
        <v>2025</v>
      </c>
      <c r="D2544" s="2">
        <f>DATE(YEAR(OrdersTable[[#This Row],[Order Date]]),MONTH(OrdersTable[[#This Row],[Order Date]]),1)</f>
        <v>45717</v>
      </c>
      <c r="E2544">
        <f>MONTH(OrdersTable[[#This Row],[Order Date]])</f>
        <v>3</v>
      </c>
      <c r="F2544" t="s">
        <v>2605</v>
      </c>
      <c r="G2544" t="str">
        <f>IF(OrdersTable[[#This Row],[Order Date]]=_xlfn.MINIFS(Order_Date, Customer_ID, OrdersTable[[#This Row],[Customer ID]]), "New", "Repeat")</f>
        <v>Repeat</v>
      </c>
      <c r="H2544" t="s">
        <v>167</v>
      </c>
      <c r="I2544" t="str">
        <f>INDEX(State!B:B,MATCH(OrdersTable[[#This Row],[State]],State!A:A,0))</f>
        <v>KA</v>
      </c>
      <c r="J2544" t="str">
        <f>INDEX(State!C:C,MATCH(OrdersTable[[#This Row],[State Code]],State!B:B,0))</f>
        <v>South</v>
      </c>
      <c r="K2544" t="s">
        <v>190</v>
      </c>
      <c r="L2544" t="s">
        <v>23</v>
      </c>
      <c r="M2544" t="s">
        <v>61</v>
      </c>
      <c r="N2544" t="str">
        <f>INDEX(Products!B:B,MATCH(OrdersTable[[#This Row],[Product ID]],Products!A:A,0))</f>
        <v>Multivitamin Gummies</v>
      </c>
      <c r="O2544" t="str">
        <f>INDEX(Products!C:C,MATCH(OrdersTable[[#This Row],[Product ID]],Products!A:A,0))</f>
        <v>Wellness</v>
      </c>
      <c r="P2544">
        <v>1</v>
      </c>
      <c r="Q2544" s="5">
        <v>699</v>
      </c>
      <c r="R2544" s="74">
        <v>0.2</v>
      </c>
      <c r="S2544" s="75">
        <f>OrdersTable[[#This Row],[Quantity]]*OrdersTable[[#This Row],[Unit Price]]</f>
        <v>699</v>
      </c>
      <c r="T2544" s="5">
        <f>OrdersTable[[#This Row],[Gross Sale]]*OrdersTable[[#This Row],[Discount_Clean2]]</f>
        <v>139.80000000000001</v>
      </c>
      <c r="U2544" s="5">
        <f>OrdersTable[[#This Row],[Gross Sale]]-OrdersTable[[#This Row],[Discount Amount]]</f>
        <v>559.20000000000005</v>
      </c>
      <c r="V2544" s="77">
        <f>INDEX(Products!E:E,MATCH(OrdersTable[[#This Row],[Product ID]],Products!A:A,0))</f>
        <v>238</v>
      </c>
      <c r="W2544" s="77">
        <f>OrdersTable[[#This Row],[Quantity]]*OrdersTable[[#This Row],[Unit Cost]]</f>
        <v>238</v>
      </c>
      <c r="X2544" s="77">
        <f>'Dropdown Lists'!$I$2*(1+OrdersTable[[#This Row],[Returned]])</f>
        <v>60</v>
      </c>
      <c r="Y2544" s="76">
        <f>OrdersTable[[#This Row],[Net Revenue]]-OrdersTable[[#This Row],[COGS]]-OrdersTable[[#This Row],[Shipping Cost]]</f>
        <v>261.20000000000005</v>
      </c>
      <c r="Z2544" s="78">
        <f>IFERROR(OrdersTable[[#This Row],[Profit]]/OrdersTable[[#This Row],[Net Revenue]],0)</f>
        <v>0.46709585121602293</v>
      </c>
      <c r="AA2544" t="s">
        <v>2522</v>
      </c>
      <c r="AB2544" s="79">
        <v>45723</v>
      </c>
      <c r="AC2544">
        <f>OrdersTable[[#This Row],[Delivery Date]]-OrdersTable[[#This Row],[Order Date]]</f>
        <v>2</v>
      </c>
      <c r="AD2544" t="str">
        <f>IF(OrdersTable[[#This Row],[Delivery Days]]&lt;=2, "Express (≤2d)", IF(OrdersTable[[#This Row],[Delivery Days]]&lt;=4, "Standard (3-4d)", "Delayed (5d+)"))</f>
        <v>Express (≤2d)</v>
      </c>
      <c r="AE2544">
        <v>5</v>
      </c>
      <c r="AF2544">
        <v>0</v>
      </c>
    </row>
    <row r="2545" spans="1:32" ht="15" x14ac:dyDescent="0.35">
      <c r="A2545" t="s">
        <v>4510</v>
      </c>
      <c r="B2545" s="1">
        <v>45721</v>
      </c>
      <c r="C2545">
        <f>YEAR(OrdersTable[[#This Row],[Order Date]])</f>
        <v>2025</v>
      </c>
      <c r="D2545" s="2">
        <f>DATE(YEAR(OrdersTable[[#This Row],[Order Date]]),MONTH(OrdersTable[[#This Row],[Order Date]]),1)</f>
        <v>45717</v>
      </c>
      <c r="E2545">
        <f>MONTH(OrdersTable[[#This Row],[Order Date]])</f>
        <v>3</v>
      </c>
      <c r="F2545" t="s">
        <v>4132</v>
      </c>
      <c r="G2545" t="str">
        <f>IF(OrdersTable[[#This Row],[Order Date]]=_xlfn.MINIFS(Order_Date, Customer_ID, OrdersTable[[#This Row],[Customer ID]]), "New", "Repeat")</f>
        <v>Repeat</v>
      </c>
      <c r="H2545" t="s">
        <v>167</v>
      </c>
      <c r="I2545" t="str">
        <f>INDEX(State!B:B,MATCH(OrdersTable[[#This Row],[State]],State!A:A,0))</f>
        <v>KA</v>
      </c>
      <c r="J2545" t="str">
        <f>INDEX(State!C:C,MATCH(OrdersTable[[#This Row],[State Code]],State!B:B,0))</f>
        <v>South</v>
      </c>
      <c r="K2545" t="s">
        <v>168</v>
      </c>
      <c r="L2545" t="s">
        <v>16</v>
      </c>
      <c r="M2545" t="s">
        <v>29</v>
      </c>
      <c r="N2545" t="str">
        <f>INDEX(Products!B:B,MATCH(OrdersTable[[#This Row],[Product ID]],Products!A:A,0))</f>
        <v>Joggers</v>
      </c>
      <c r="O2545" t="str">
        <f>INDEX(Products!C:C,MATCH(OrdersTable[[#This Row],[Product ID]],Products!A:A,0))</f>
        <v>Apparel</v>
      </c>
      <c r="P2545">
        <v>1</v>
      </c>
      <c r="Q2545" s="5">
        <v>1199</v>
      </c>
      <c r="R2545" s="74">
        <v>0.1</v>
      </c>
      <c r="S2545" s="75">
        <f>OrdersTable[[#This Row],[Quantity]]*OrdersTable[[#This Row],[Unit Price]]</f>
        <v>1199</v>
      </c>
      <c r="T2545" s="5">
        <f>OrdersTable[[#This Row],[Gross Sale]]*OrdersTable[[#This Row],[Discount_Clean2]]</f>
        <v>119.9</v>
      </c>
      <c r="U2545" s="5">
        <f>OrdersTable[[#This Row],[Gross Sale]]-OrdersTable[[#This Row],[Discount Amount]]</f>
        <v>1079.0999999999999</v>
      </c>
      <c r="V2545" s="77">
        <f>INDEX(Products!E:E,MATCH(OrdersTable[[#This Row],[Product ID]],Products!A:A,0))</f>
        <v>492</v>
      </c>
      <c r="W2545" s="77">
        <f>OrdersTable[[#This Row],[Quantity]]*OrdersTable[[#This Row],[Unit Cost]]</f>
        <v>492</v>
      </c>
      <c r="X2545" s="77">
        <f>'Dropdown Lists'!$I$2*(1+OrdersTable[[#This Row],[Returned]])</f>
        <v>60</v>
      </c>
      <c r="Y2545" s="76">
        <f>OrdersTable[[#This Row],[Net Revenue]]-OrdersTable[[#This Row],[COGS]]-OrdersTable[[#This Row],[Shipping Cost]]</f>
        <v>527.09999999999991</v>
      </c>
      <c r="Z2545" s="78">
        <f>IFERROR(OrdersTable[[#This Row],[Profit]]/OrdersTable[[#This Row],[Net Revenue]],0)</f>
        <v>0.48846260772866273</v>
      </c>
      <c r="AA2545" t="s">
        <v>4450</v>
      </c>
      <c r="AB2545" s="79">
        <v>45723</v>
      </c>
      <c r="AC2545">
        <f>OrdersTable[[#This Row],[Delivery Date]]-OrdersTable[[#This Row],[Order Date]]</f>
        <v>2</v>
      </c>
      <c r="AD2545" t="str">
        <f>IF(OrdersTable[[#This Row],[Delivery Days]]&lt;=2, "Express (≤2d)", IF(OrdersTable[[#This Row],[Delivery Days]]&lt;=4, "Standard (3-4d)", "Delayed (5d+)"))</f>
        <v>Express (≤2d)</v>
      </c>
      <c r="AE2545">
        <v>4</v>
      </c>
      <c r="AF2545">
        <v>0</v>
      </c>
    </row>
    <row r="2546" spans="1:32" ht="15" x14ac:dyDescent="0.35">
      <c r="A2546" t="s">
        <v>585</v>
      </c>
      <c r="B2546" s="1">
        <v>45721</v>
      </c>
      <c r="C2546">
        <f>YEAR(OrdersTable[[#This Row],[Order Date]])</f>
        <v>2025</v>
      </c>
      <c r="D2546" s="2">
        <f>DATE(YEAR(OrdersTable[[#This Row],[Order Date]]),MONTH(OrdersTable[[#This Row],[Order Date]]),1)</f>
        <v>45717</v>
      </c>
      <c r="E2546">
        <f>MONTH(OrdersTable[[#This Row],[Order Date]])</f>
        <v>3</v>
      </c>
      <c r="F2546" t="s">
        <v>586</v>
      </c>
      <c r="G2546" t="str">
        <f>IF(OrdersTable[[#This Row],[Order Date]]=_xlfn.MINIFS(Order_Date, Customer_ID, OrdersTable[[#This Row],[Customer ID]]), "New", "Repeat")</f>
        <v>New</v>
      </c>
      <c r="H2546" t="s">
        <v>275</v>
      </c>
      <c r="I2546" t="str">
        <f>INDEX(State!B:B,MATCH(OrdersTable[[#This Row],[State]],State!A:A,0))</f>
        <v>AP</v>
      </c>
      <c r="J2546" t="str">
        <f>INDEX(State!C:C,MATCH(OrdersTable[[#This Row],[State Code]],State!B:B,0))</f>
        <v>South</v>
      </c>
      <c r="K2546" t="s">
        <v>491</v>
      </c>
      <c r="L2546" t="s">
        <v>39</v>
      </c>
      <c r="M2546" t="s">
        <v>24</v>
      </c>
      <c r="N2546" t="str">
        <f>INDEX(Products!B:B,MATCH(OrdersTable[[#This Row],[Product ID]],Products!A:A,0))</f>
        <v>Scented Candle Set</v>
      </c>
      <c r="O2546" t="str">
        <f>INDEX(Products!C:C,MATCH(OrdersTable[[#This Row],[Product ID]],Products!A:A,0))</f>
        <v>Home &amp; Kitchen</v>
      </c>
      <c r="P2546">
        <v>1</v>
      </c>
      <c r="Q2546" s="5">
        <v>699</v>
      </c>
      <c r="R2546" s="74">
        <v>0.1</v>
      </c>
      <c r="S2546" s="75">
        <f>OrdersTable[[#This Row],[Quantity]]*OrdersTable[[#This Row],[Unit Price]]</f>
        <v>699</v>
      </c>
      <c r="T2546" s="5">
        <f>OrdersTable[[#This Row],[Gross Sale]]*OrdersTable[[#This Row],[Discount_Clean2]]</f>
        <v>69.900000000000006</v>
      </c>
      <c r="U2546" s="5">
        <f>OrdersTable[[#This Row],[Gross Sale]]-OrdersTable[[#This Row],[Discount Amount]]</f>
        <v>629.1</v>
      </c>
      <c r="V2546" s="77">
        <f>INDEX(Products!E:E,MATCH(OrdersTable[[#This Row],[Product ID]],Products!A:A,0))</f>
        <v>245</v>
      </c>
      <c r="W2546" s="77">
        <f>OrdersTable[[#This Row],[Quantity]]*OrdersTable[[#This Row],[Unit Cost]]</f>
        <v>245</v>
      </c>
      <c r="X2546" s="77">
        <f>'Dropdown Lists'!$I$2*(1+OrdersTable[[#This Row],[Returned]])</f>
        <v>60</v>
      </c>
      <c r="Y2546" s="76">
        <f>OrdersTable[[#This Row],[Net Revenue]]-OrdersTable[[#This Row],[COGS]]-OrdersTable[[#This Row],[Shipping Cost]]</f>
        <v>324.10000000000002</v>
      </c>
      <c r="Z2546" s="78">
        <f>IFERROR(OrdersTable[[#This Row],[Profit]]/OrdersTable[[#This Row],[Net Revenue]],0)</f>
        <v>0.51518041646797008</v>
      </c>
      <c r="AA2546" t="s">
        <v>18</v>
      </c>
      <c r="AB2546" s="79">
        <v>45725</v>
      </c>
      <c r="AC2546">
        <f>OrdersTable[[#This Row],[Delivery Date]]-OrdersTable[[#This Row],[Order Date]]</f>
        <v>4</v>
      </c>
      <c r="AD2546" t="str">
        <f>IF(OrdersTable[[#This Row],[Delivery Days]]&lt;=2, "Express (≤2d)", IF(OrdersTable[[#This Row],[Delivery Days]]&lt;=4, "Standard (3-4d)", "Delayed (5d+)"))</f>
        <v>Standard (3-4d)</v>
      </c>
      <c r="AE2546">
        <v>4</v>
      </c>
      <c r="AF2546">
        <v>0</v>
      </c>
    </row>
    <row r="2547" spans="1:32" ht="15" x14ac:dyDescent="0.35">
      <c r="A2547" t="s">
        <v>3756</v>
      </c>
      <c r="B2547" s="1">
        <v>45722</v>
      </c>
      <c r="C2547">
        <f>YEAR(OrdersTable[[#This Row],[Order Date]])</f>
        <v>2025</v>
      </c>
      <c r="D2547" s="2">
        <f>DATE(YEAR(OrdersTable[[#This Row],[Order Date]]),MONTH(OrdersTable[[#This Row],[Order Date]]),1)</f>
        <v>45717</v>
      </c>
      <c r="E2547">
        <f>MONTH(OrdersTable[[#This Row],[Order Date]])</f>
        <v>3</v>
      </c>
      <c r="F2547" t="s">
        <v>1382</v>
      </c>
      <c r="G2547" t="str">
        <f>IF(OrdersTable[[#This Row],[Order Date]]=_xlfn.MINIFS(Order_Date, Customer_ID, OrdersTable[[#This Row],[Customer ID]]), "New", "Repeat")</f>
        <v>Repeat</v>
      </c>
      <c r="H2547" t="s">
        <v>27</v>
      </c>
      <c r="I2547" t="str">
        <f>INDEX(State!B:B,MATCH(OrdersTable[[#This Row],[State]],State!A:A,0))</f>
        <v>WB</v>
      </c>
      <c r="J2547" t="str">
        <f>INDEX(State!C:C,MATCH(OrdersTable[[#This Row],[State Code]],State!B:B,0))</f>
        <v>East</v>
      </c>
      <c r="K2547" t="s">
        <v>28</v>
      </c>
      <c r="L2547" t="s">
        <v>23</v>
      </c>
      <c r="M2547" t="s">
        <v>34</v>
      </c>
      <c r="N2547" t="str">
        <f>INDEX(Products!B:B,MATCH(OrdersTable[[#This Row],[Product ID]],Products!A:A,0))</f>
        <v>Flip Flops</v>
      </c>
      <c r="O2547" t="str">
        <f>INDEX(Products!C:C,MATCH(OrdersTable[[#This Row],[Product ID]],Products!A:A,0))</f>
        <v>Footwear</v>
      </c>
      <c r="P2547">
        <v>1</v>
      </c>
      <c r="Q2547" s="5">
        <v>399</v>
      </c>
      <c r="R2547" s="74">
        <v>0.15</v>
      </c>
      <c r="S2547" s="75">
        <f>OrdersTable[[#This Row],[Quantity]]*OrdersTable[[#This Row],[Unit Price]]</f>
        <v>399</v>
      </c>
      <c r="T2547" s="5">
        <f>OrdersTable[[#This Row],[Gross Sale]]*OrdersTable[[#This Row],[Discount_Clean2]]</f>
        <v>59.849999999999994</v>
      </c>
      <c r="U2547" s="5">
        <f>OrdersTable[[#This Row],[Gross Sale]]-OrdersTable[[#This Row],[Discount Amount]]</f>
        <v>339.15</v>
      </c>
      <c r="V2547" s="77">
        <f>INDEX(Products!E:E,MATCH(OrdersTable[[#This Row],[Product ID]],Products!A:A,0))</f>
        <v>152</v>
      </c>
      <c r="W2547" s="77">
        <f>OrdersTable[[#This Row],[Quantity]]*OrdersTable[[#This Row],[Unit Cost]]</f>
        <v>152</v>
      </c>
      <c r="X2547" s="77">
        <f>'Dropdown Lists'!$I$2*(1+OrdersTable[[#This Row],[Returned]])</f>
        <v>60</v>
      </c>
      <c r="Y2547" s="76">
        <f>OrdersTable[[#This Row],[Net Revenue]]-OrdersTable[[#This Row],[COGS]]-OrdersTable[[#This Row],[Shipping Cost]]</f>
        <v>127.14999999999998</v>
      </c>
      <c r="Z2547" s="78">
        <f>IFERROR(OrdersTable[[#This Row],[Profit]]/OrdersTable[[#This Row],[Net Revenue]],0)</f>
        <v>0.37490785787999409</v>
      </c>
      <c r="AA2547" t="s">
        <v>3495</v>
      </c>
      <c r="AB2547" s="79">
        <v>45725</v>
      </c>
      <c r="AC2547">
        <f>OrdersTable[[#This Row],[Delivery Date]]-OrdersTable[[#This Row],[Order Date]]</f>
        <v>3</v>
      </c>
      <c r="AD2547" t="str">
        <f>IF(OrdersTable[[#This Row],[Delivery Days]]&lt;=2, "Express (≤2d)", IF(OrdersTable[[#This Row],[Delivery Days]]&lt;=4, "Standard (3-4d)", "Delayed (5d+)"))</f>
        <v>Standard (3-4d)</v>
      </c>
      <c r="AF2547">
        <v>0</v>
      </c>
    </row>
    <row r="2548" spans="1:32" ht="15" x14ac:dyDescent="0.35">
      <c r="A2548" t="s">
        <v>4693</v>
      </c>
      <c r="B2548" s="1">
        <v>45722</v>
      </c>
      <c r="C2548">
        <f>YEAR(OrdersTable[[#This Row],[Order Date]])</f>
        <v>2025</v>
      </c>
      <c r="D2548" s="2">
        <f>DATE(YEAR(OrdersTable[[#This Row],[Order Date]]),MONTH(OrdersTable[[#This Row],[Order Date]]),1)</f>
        <v>45717</v>
      </c>
      <c r="E2548">
        <f>MONTH(OrdersTable[[#This Row],[Order Date]])</f>
        <v>3</v>
      </c>
      <c r="F2548" t="s">
        <v>3463</v>
      </c>
      <c r="G2548" t="str">
        <f>IF(OrdersTable[[#This Row],[Order Date]]=_xlfn.MINIFS(Order_Date, Customer_ID, OrdersTable[[#This Row],[Customer ID]]), "New", "Repeat")</f>
        <v>Repeat</v>
      </c>
      <c r="H2548" t="s">
        <v>71</v>
      </c>
      <c r="I2548" t="str">
        <f>INDEX(State!B:B,MATCH(OrdersTable[[#This Row],[State]],State!A:A,0))</f>
        <v>MH</v>
      </c>
      <c r="J2548" t="str">
        <f>INDEX(State!C:C,MATCH(OrdersTable[[#This Row],[State Code]],State!B:B,0))</f>
        <v>West</v>
      </c>
      <c r="K2548" t="s">
        <v>81</v>
      </c>
      <c r="L2548" t="s">
        <v>23</v>
      </c>
      <c r="M2548" t="s">
        <v>40</v>
      </c>
      <c r="N2548" t="str">
        <f>INDEX(Products!B:B,MATCH(OrdersTable[[#This Row],[Product ID]],Products!A:A,0))</f>
        <v>Ashwagandha Capsules</v>
      </c>
      <c r="O2548" t="str">
        <f>INDEX(Products!C:C,MATCH(OrdersTable[[#This Row],[Product ID]],Products!A:A,0))</f>
        <v>Wellness</v>
      </c>
      <c r="P2548">
        <v>1</v>
      </c>
      <c r="Q2548" s="5">
        <v>499</v>
      </c>
      <c r="R2548" s="74">
        <v>0.05</v>
      </c>
      <c r="S2548" s="75">
        <f>OrdersTable[[#This Row],[Quantity]]*OrdersTable[[#This Row],[Unit Price]]</f>
        <v>499</v>
      </c>
      <c r="T2548" s="5">
        <f>OrdersTable[[#This Row],[Gross Sale]]*OrdersTable[[#This Row],[Discount_Clean2]]</f>
        <v>24.950000000000003</v>
      </c>
      <c r="U2548" s="5">
        <f>OrdersTable[[#This Row],[Gross Sale]]-OrdersTable[[#This Row],[Discount Amount]]</f>
        <v>474.05</v>
      </c>
      <c r="V2548" s="77">
        <f>INDEX(Products!E:E,MATCH(OrdersTable[[#This Row],[Product ID]],Products!A:A,0))</f>
        <v>150</v>
      </c>
      <c r="W2548" s="77">
        <f>OrdersTable[[#This Row],[Quantity]]*OrdersTable[[#This Row],[Unit Cost]]</f>
        <v>150</v>
      </c>
      <c r="X2548" s="77">
        <f>'Dropdown Lists'!$I$2*(1+OrdersTable[[#This Row],[Returned]])</f>
        <v>60</v>
      </c>
      <c r="Y2548" s="76">
        <f>OrdersTable[[#This Row],[Net Revenue]]-OrdersTable[[#This Row],[COGS]]-OrdersTable[[#This Row],[Shipping Cost]]</f>
        <v>264.05</v>
      </c>
      <c r="Z2548" s="78">
        <f>IFERROR(OrdersTable[[#This Row],[Profit]]/OrdersTable[[#This Row],[Net Revenue]],0)</f>
        <v>0.55700875435080688</v>
      </c>
      <c r="AA2548" t="s">
        <v>4450</v>
      </c>
      <c r="AB2548" s="79">
        <v>45724</v>
      </c>
      <c r="AC2548">
        <f>OrdersTable[[#This Row],[Delivery Date]]-OrdersTable[[#This Row],[Order Date]]</f>
        <v>2</v>
      </c>
      <c r="AD2548" t="str">
        <f>IF(OrdersTable[[#This Row],[Delivery Days]]&lt;=2, "Express (≤2d)", IF(OrdersTable[[#This Row],[Delivery Days]]&lt;=4, "Standard (3-4d)", "Delayed (5d+)"))</f>
        <v>Express (≤2d)</v>
      </c>
      <c r="AE2548">
        <v>5</v>
      </c>
      <c r="AF2548">
        <v>0</v>
      </c>
    </row>
    <row r="2549" spans="1:32" ht="15" x14ac:dyDescent="0.35">
      <c r="A2549" t="s">
        <v>5803</v>
      </c>
      <c r="B2549" s="1">
        <v>45722</v>
      </c>
      <c r="C2549">
        <f>YEAR(OrdersTable[[#This Row],[Order Date]])</f>
        <v>2025</v>
      </c>
      <c r="D2549" s="2">
        <f>DATE(YEAR(OrdersTable[[#This Row],[Order Date]]),MONTH(OrdersTable[[#This Row],[Order Date]]),1)</f>
        <v>45717</v>
      </c>
      <c r="E2549">
        <f>MONTH(OrdersTable[[#This Row],[Order Date]])</f>
        <v>3</v>
      </c>
      <c r="F2549" t="s">
        <v>5230</v>
      </c>
      <c r="G2549" t="str">
        <f>IF(OrdersTable[[#This Row],[Order Date]]=_xlfn.MINIFS(Order_Date, Customer_ID, OrdersTable[[#This Row],[Customer ID]]), "New", "Repeat")</f>
        <v>New</v>
      </c>
      <c r="H2549" t="s">
        <v>59</v>
      </c>
      <c r="I2549" t="str">
        <f>INDEX(State!B:B,MATCH(OrdersTable[[#This Row],[State]],State!A:A,0))</f>
        <v>TN</v>
      </c>
      <c r="J2549" t="str">
        <f>INDEX(State!C:C,MATCH(OrdersTable[[#This Row],[State Code]],State!B:B,0))</f>
        <v>South</v>
      </c>
      <c r="K2549" t="s">
        <v>60</v>
      </c>
      <c r="L2549" t="s">
        <v>50</v>
      </c>
      <c r="M2549" t="s">
        <v>56</v>
      </c>
      <c r="N2549" t="str">
        <f>INDEX(Products!B:B,MATCH(OrdersTable[[#This Row],[Product ID]],Products!A:A,0))</f>
        <v>Vitamin C Face Serum</v>
      </c>
      <c r="O2549" t="str">
        <f>INDEX(Products!C:C,MATCH(OrdersTable[[#This Row],[Product ID]],Products!A:A,0))</f>
        <v>Skincare</v>
      </c>
      <c r="P2549">
        <v>2</v>
      </c>
      <c r="Q2549" s="5">
        <v>599</v>
      </c>
      <c r="R2549" s="74">
        <v>0.2</v>
      </c>
      <c r="S2549" s="75">
        <f>OrdersTable[[#This Row],[Quantity]]*OrdersTable[[#This Row],[Unit Price]]</f>
        <v>1198</v>
      </c>
      <c r="T2549" s="5">
        <f>OrdersTable[[#This Row],[Gross Sale]]*OrdersTable[[#This Row],[Discount_Clean2]]</f>
        <v>239.60000000000002</v>
      </c>
      <c r="U2549" s="5">
        <f>OrdersTable[[#This Row],[Gross Sale]]-OrdersTable[[#This Row],[Discount Amount]]</f>
        <v>958.4</v>
      </c>
      <c r="V2549" s="77">
        <f>INDEX(Products!E:E,MATCH(OrdersTable[[#This Row],[Product ID]],Products!A:A,0))</f>
        <v>180</v>
      </c>
      <c r="W2549" s="77">
        <f>OrdersTable[[#This Row],[Quantity]]*OrdersTable[[#This Row],[Unit Cost]]</f>
        <v>360</v>
      </c>
      <c r="X2549" s="77">
        <f>'Dropdown Lists'!$I$2*(1+OrdersTable[[#This Row],[Returned]])</f>
        <v>60</v>
      </c>
      <c r="Y2549" s="76">
        <f>OrdersTable[[#This Row],[Net Revenue]]-OrdersTable[[#This Row],[COGS]]-OrdersTable[[#This Row],[Shipping Cost]]</f>
        <v>538.4</v>
      </c>
      <c r="Z2549" s="78">
        <f>IFERROR(OrdersTable[[#This Row],[Profit]]/OrdersTable[[#This Row],[Net Revenue]],0)</f>
        <v>0.56176961602671116</v>
      </c>
      <c r="AA2549" t="s">
        <v>18</v>
      </c>
      <c r="AB2549" s="79">
        <v>45723</v>
      </c>
      <c r="AC2549">
        <f>OrdersTable[[#This Row],[Delivery Date]]-OrdersTable[[#This Row],[Order Date]]</f>
        <v>1</v>
      </c>
      <c r="AD2549" t="str">
        <f>IF(OrdersTable[[#This Row],[Delivery Days]]&lt;=2, "Express (≤2d)", IF(OrdersTable[[#This Row],[Delivery Days]]&lt;=4, "Standard (3-4d)", "Delayed (5d+)"))</f>
        <v>Express (≤2d)</v>
      </c>
      <c r="AE2549">
        <v>5</v>
      </c>
      <c r="AF2549">
        <v>0</v>
      </c>
    </row>
    <row r="2550" spans="1:32" ht="15" x14ac:dyDescent="0.35">
      <c r="A2550" t="s">
        <v>5177</v>
      </c>
      <c r="B2550" s="1">
        <v>45723</v>
      </c>
      <c r="C2550">
        <f>YEAR(OrdersTable[[#This Row],[Order Date]])</f>
        <v>2025</v>
      </c>
      <c r="D2550" s="2">
        <f>DATE(YEAR(OrdersTable[[#This Row],[Order Date]]),MONTH(OrdersTable[[#This Row],[Order Date]]),1)</f>
        <v>45717</v>
      </c>
      <c r="E2550">
        <f>MONTH(OrdersTable[[#This Row],[Order Date]])</f>
        <v>3</v>
      </c>
      <c r="F2550" t="s">
        <v>1510</v>
      </c>
      <c r="G2550" t="str">
        <f>IF(OrdersTable[[#This Row],[Order Date]]=_xlfn.MINIFS(Order_Date, Customer_ID, OrdersTable[[#This Row],[Customer ID]]), "New", "Repeat")</f>
        <v>Repeat</v>
      </c>
      <c r="H2550" t="s">
        <v>21</v>
      </c>
      <c r="I2550" t="str">
        <f>INDEX(State!B:B,MATCH(OrdersTable[[#This Row],[State]],State!A:A,0))</f>
        <v>PB</v>
      </c>
      <c r="J2550" t="str">
        <f>INDEX(State!C:C,MATCH(OrdersTable[[#This Row],[State Code]],State!B:B,0))</f>
        <v>North</v>
      </c>
      <c r="K2550" t="s">
        <v>22</v>
      </c>
      <c r="L2550" t="s">
        <v>50</v>
      </c>
      <c r="M2550" t="s">
        <v>160</v>
      </c>
      <c r="N2550" t="str">
        <f>INDEX(Products!B:B,MATCH(OrdersTable[[#This Row],[Product ID]],Products!A:A,0))</f>
        <v>Niacinamide Toner</v>
      </c>
      <c r="O2550" t="str">
        <f>INDEX(Products!C:C,MATCH(OrdersTable[[#This Row],[Product ID]],Products!A:A,0))</f>
        <v>Skincare</v>
      </c>
      <c r="P2550">
        <v>2</v>
      </c>
      <c r="Q2550" s="5">
        <v>399</v>
      </c>
      <c r="R2550" s="74">
        <v>0.3</v>
      </c>
      <c r="S2550" s="75">
        <f>OrdersTable[[#This Row],[Quantity]]*OrdersTable[[#This Row],[Unit Price]]</f>
        <v>798</v>
      </c>
      <c r="T2550" s="5">
        <f>OrdersTable[[#This Row],[Gross Sale]]*OrdersTable[[#This Row],[Discount_Clean2]]</f>
        <v>239.39999999999998</v>
      </c>
      <c r="U2550" s="5">
        <f>OrdersTable[[#This Row],[Gross Sale]]-OrdersTable[[#This Row],[Discount Amount]]</f>
        <v>558.6</v>
      </c>
      <c r="V2550" s="77">
        <f>INDEX(Products!E:E,MATCH(OrdersTable[[#This Row],[Product ID]],Products!A:A,0))</f>
        <v>112</v>
      </c>
      <c r="W2550" s="77">
        <f>OrdersTable[[#This Row],[Quantity]]*OrdersTable[[#This Row],[Unit Cost]]</f>
        <v>224</v>
      </c>
      <c r="X2550" s="77">
        <f>'Dropdown Lists'!$I$2*(1+OrdersTable[[#This Row],[Returned]])</f>
        <v>60</v>
      </c>
      <c r="Y2550" s="76">
        <f>OrdersTable[[#This Row],[Net Revenue]]-OrdersTable[[#This Row],[COGS]]-OrdersTable[[#This Row],[Shipping Cost]]</f>
        <v>274.60000000000002</v>
      </c>
      <c r="Z2550" s="78">
        <f>IFERROR(OrdersTable[[#This Row],[Profit]]/OrdersTable[[#This Row],[Net Revenue]],0)</f>
        <v>0.49158610812746151</v>
      </c>
      <c r="AA2550" t="s">
        <v>3495</v>
      </c>
      <c r="AB2550" s="79">
        <v>45727</v>
      </c>
      <c r="AC2550">
        <f>OrdersTable[[#This Row],[Delivery Date]]-OrdersTable[[#This Row],[Order Date]]</f>
        <v>4</v>
      </c>
      <c r="AD2550" t="str">
        <f>IF(OrdersTable[[#This Row],[Delivery Days]]&lt;=2, "Express (≤2d)", IF(OrdersTable[[#This Row],[Delivery Days]]&lt;=4, "Standard (3-4d)", "Delayed (5d+)"))</f>
        <v>Standard (3-4d)</v>
      </c>
      <c r="AE2550">
        <v>4</v>
      </c>
      <c r="AF2550">
        <v>0</v>
      </c>
    </row>
    <row r="2551" spans="1:32" ht="15" x14ac:dyDescent="0.35">
      <c r="A2551" t="s">
        <v>2138</v>
      </c>
      <c r="B2551" s="1">
        <v>45723</v>
      </c>
      <c r="C2551">
        <f>YEAR(OrdersTable[[#This Row],[Order Date]])</f>
        <v>2025</v>
      </c>
      <c r="D2551" s="2">
        <f>DATE(YEAR(OrdersTable[[#This Row],[Order Date]]),MONTH(OrdersTable[[#This Row],[Order Date]]),1)</f>
        <v>45717</v>
      </c>
      <c r="E2551">
        <f>MONTH(OrdersTable[[#This Row],[Order Date]])</f>
        <v>3</v>
      </c>
      <c r="F2551" t="s">
        <v>1503</v>
      </c>
      <c r="G2551" t="str">
        <f>IF(OrdersTable[[#This Row],[Order Date]]=_xlfn.MINIFS(Order_Date, Customer_ID, OrdersTable[[#This Row],[Customer ID]]), "New", "Repeat")</f>
        <v>Repeat</v>
      </c>
      <c r="H2551" t="s">
        <v>158</v>
      </c>
      <c r="I2551" t="str">
        <f>INDEX(State!B:B,MATCH(OrdersTable[[#This Row],[State]],State!A:A,0))</f>
        <v>HP</v>
      </c>
      <c r="J2551" t="str">
        <f>INDEX(State!C:C,MATCH(OrdersTable[[#This Row],[State Code]],State!B:B,0))</f>
        <v>North</v>
      </c>
      <c r="K2551" t="s">
        <v>159</v>
      </c>
      <c r="L2551" t="s">
        <v>39</v>
      </c>
      <c r="M2551" t="s">
        <v>106</v>
      </c>
      <c r="N2551" t="str">
        <f>INDEX(Products!B:B,MATCH(OrdersTable[[#This Row],[Product ID]],Products!A:A,0))</f>
        <v>Keratin Hair Mask</v>
      </c>
      <c r="O2551" t="str">
        <f>INDEX(Products!C:C,MATCH(OrdersTable[[#This Row],[Product ID]],Products!A:A,0))</f>
        <v>Haircare</v>
      </c>
      <c r="P2551">
        <v>1</v>
      </c>
      <c r="Q2551" s="5">
        <v>549</v>
      </c>
      <c r="R2551" s="74">
        <v>0.05</v>
      </c>
      <c r="S2551" s="75">
        <f>OrdersTable[[#This Row],[Quantity]]*OrdersTable[[#This Row],[Unit Price]]</f>
        <v>549</v>
      </c>
      <c r="T2551" s="5">
        <f>OrdersTable[[#This Row],[Gross Sale]]*OrdersTable[[#This Row],[Discount_Clean2]]</f>
        <v>27.450000000000003</v>
      </c>
      <c r="U2551" s="5">
        <f>OrdersTable[[#This Row],[Gross Sale]]-OrdersTable[[#This Row],[Discount Amount]]</f>
        <v>521.54999999999995</v>
      </c>
      <c r="V2551" s="77">
        <f>INDEX(Products!E:E,MATCH(OrdersTable[[#This Row],[Product ID]],Products!A:A,0))</f>
        <v>170</v>
      </c>
      <c r="W2551" s="77">
        <f>OrdersTable[[#This Row],[Quantity]]*OrdersTable[[#This Row],[Unit Cost]]</f>
        <v>170</v>
      </c>
      <c r="X2551" s="77">
        <f>'Dropdown Lists'!$I$2*(1+OrdersTable[[#This Row],[Returned]])</f>
        <v>60</v>
      </c>
      <c r="Y2551" s="76">
        <f>OrdersTable[[#This Row],[Net Revenue]]-OrdersTable[[#This Row],[COGS]]-OrdersTable[[#This Row],[Shipping Cost]]</f>
        <v>291.54999999999995</v>
      </c>
      <c r="Z2551" s="78">
        <f>IFERROR(OrdersTable[[#This Row],[Profit]]/OrdersTable[[#This Row],[Net Revenue]],0)</f>
        <v>0.55900680663407143</v>
      </c>
      <c r="AA2551" t="s">
        <v>18</v>
      </c>
      <c r="AB2551" s="79">
        <v>45728</v>
      </c>
      <c r="AC2551">
        <f>OrdersTable[[#This Row],[Delivery Date]]-OrdersTable[[#This Row],[Order Date]]</f>
        <v>5</v>
      </c>
      <c r="AD2551" t="str">
        <f>IF(OrdersTable[[#This Row],[Delivery Days]]&lt;=2, "Express (≤2d)", IF(OrdersTable[[#This Row],[Delivery Days]]&lt;=4, "Standard (3-4d)", "Delayed (5d+)"))</f>
        <v>Delayed (5d+)</v>
      </c>
      <c r="AE2551">
        <v>3</v>
      </c>
      <c r="AF2551">
        <v>0</v>
      </c>
    </row>
    <row r="2552" spans="1:32" ht="15" x14ac:dyDescent="0.35">
      <c r="A2552" t="s">
        <v>3030</v>
      </c>
      <c r="B2552" s="1">
        <v>45723</v>
      </c>
      <c r="C2552">
        <f>YEAR(OrdersTable[[#This Row],[Order Date]])</f>
        <v>2025</v>
      </c>
      <c r="D2552" s="2">
        <f>DATE(YEAR(OrdersTable[[#This Row],[Order Date]]),MONTH(OrdersTable[[#This Row],[Order Date]]),1)</f>
        <v>45717</v>
      </c>
      <c r="E2552">
        <f>MONTH(OrdersTable[[#This Row],[Order Date]])</f>
        <v>3</v>
      </c>
      <c r="F2552" t="s">
        <v>3031</v>
      </c>
      <c r="G2552" t="str">
        <f>IF(OrdersTable[[#This Row],[Order Date]]=_xlfn.MINIFS(Order_Date, Customer_ID, OrdersTable[[#This Row],[Customer ID]]), "New", "Repeat")</f>
        <v>New</v>
      </c>
      <c r="H2552" t="s">
        <v>43</v>
      </c>
      <c r="I2552" t="str">
        <f>INDEX(State!B:B,MATCH(OrdersTable[[#This Row],[State]],State!A:A,0))</f>
        <v>MP</v>
      </c>
      <c r="J2552" t="str">
        <f>INDEX(State!C:C,MATCH(OrdersTable[[#This Row],[State Code]],State!B:B,0))</f>
        <v>West</v>
      </c>
      <c r="K2552" t="s">
        <v>44</v>
      </c>
      <c r="L2552" t="s">
        <v>39</v>
      </c>
      <c r="M2552" t="s">
        <v>24</v>
      </c>
      <c r="N2552" t="str">
        <f>INDEX(Products!B:B,MATCH(OrdersTable[[#This Row],[Product ID]],Products!A:A,0))</f>
        <v>Scented Candle Set</v>
      </c>
      <c r="O2552" t="str">
        <f>INDEX(Products!C:C,MATCH(OrdersTable[[#This Row],[Product ID]],Products!A:A,0))</f>
        <v>Home &amp; Kitchen</v>
      </c>
      <c r="P2552">
        <v>1</v>
      </c>
      <c r="Q2552" s="5">
        <v>699</v>
      </c>
      <c r="R2552" s="74">
        <v>0.15</v>
      </c>
      <c r="S2552" s="75">
        <f>OrdersTable[[#This Row],[Quantity]]*OrdersTable[[#This Row],[Unit Price]]</f>
        <v>699</v>
      </c>
      <c r="T2552" s="5">
        <f>OrdersTable[[#This Row],[Gross Sale]]*OrdersTable[[#This Row],[Discount_Clean2]]</f>
        <v>104.85</v>
      </c>
      <c r="U2552" s="5">
        <f>OrdersTable[[#This Row],[Gross Sale]]-OrdersTable[[#This Row],[Discount Amount]]</f>
        <v>594.15</v>
      </c>
      <c r="V2552" s="77">
        <f>INDEX(Products!E:E,MATCH(OrdersTable[[#This Row],[Product ID]],Products!A:A,0))</f>
        <v>245</v>
      </c>
      <c r="W2552" s="77">
        <f>OrdersTable[[#This Row],[Quantity]]*OrdersTable[[#This Row],[Unit Cost]]</f>
        <v>245</v>
      </c>
      <c r="X2552" s="77">
        <f>'Dropdown Lists'!$I$2*(1+OrdersTable[[#This Row],[Returned]])</f>
        <v>60</v>
      </c>
      <c r="Y2552" s="76">
        <f>OrdersTable[[#This Row],[Net Revenue]]-OrdersTable[[#This Row],[COGS]]-OrdersTable[[#This Row],[Shipping Cost]]</f>
        <v>289.14999999999998</v>
      </c>
      <c r="Z2552" s="78">
        <f>IFERROR(OrdersTable[[#This Row],[Profit]]/OrdersTable[[#This Row],[Net Revenue]],0)</f>
        <v>0.48666161743667424</v>
      </c>
      <c r="AA2552" t="s">
        <v>2522</v>
      </c>
      <c r="AB2552" s="79">
        <v>45726</v>
      </c>
      <c r="AC2552">
        <f>OrdersTable[[#This Row],[Delivery Date]]-OrdersTable[[#This Row],[Order Date]]</f>
        <v>3</v>
      </c>
      <c r="AD2552" t="str">
        <f>IF(OrdersTable[[#This Row],[Delivery Days]]&lt;=2, "Express (≤2d)", IF(OrdersTable[[#This Row],[Delivery Days]]&lt;=4, "Standard (3-4d)", "Delayed (5d+)"))</f>
        <v>Standard (3-4d)</v>
      </c>
      <c r="AF2552">
        <v>0</v>
      </c>
    </row>
    <row r="2553" spans="1:32" ht="15" x14ac:dyDescent="0.35">
      <c r="A2553" t="s">
        <v>1964</v>
      </c>
      <c r="B2553" s="1">
        <v>45723</v>
      </c>
      <c r="C2553">
        <f>YEAR(OrdersTable[[#This Row],[Order Date]])</f>
        <v>2025</v>
      </c>
      <c r="D2553" s="2">
        <f>DATE(YEAR(OrdersTable[[#This Row],[Order Date]]),MONTH(OrdersTable[[#This Row],[Order Date]]),1)</f>
        <v>45717</v>
      </c>
      <c r="E2553">
        <f>MONTH(OrdersTable[[#This Row],[Order Date]])</f>
        <v>3</v>
      </c>
      <c r="F2553" t="s">
        <v>1965</v>
      </c>
      <c r="G2553" t="str">
        <f>IF(OrdersTable[[#This Row],[Order Date]]=_xlfn.MINIFS(Order_Date, Customer_ID, OrdersTable[[#This Row],[Customer ID]]), "New", "Repeat")</f>
        <v>Repeat</v>
      </c>
      <c r="H2553" t="s">
        <v>71</v>
      </c>
      <c r="I2553" t="str">
        <f>INDEX(State!B:B,MATCH(OrdersTable[[#This Row],[State]],State!A:A,0))</f>
        <v>MH</v>
      </c>
      <c r="J2553" t="str">
        <f>INDEX(State!C:C,MATCH(OrdersTable[[#This Row],[State Code]],State!B:B,0))</f>
        <v>West</v>
      </c>
      <c r="K2553" t="s">
        <v>81</v>
      </c>
      <c r="L2553" t="s">
        <v>65</v>
      </c>
      <c r="M2553" t="s">
        <v>56</v>
      </c>
      <c r="N2553" t="str">
        <f>INDEX(Products!B:B,MATCH(OrdersTable[[#This Row],[Product ID]],Products!A:A,0))</f>
        <v>Vitamin C Face Serum</v>
      </c>
      <c r="O2553" t="str">
        <f>INDEX(Products!C:C,MATCH(OrdersTable[[#This Row],[Product ID]],Products!A:A,0))</f>
        <v>Skincare</v>
      </c>
      <c r="P2553">
        <v>1</v>
      </c>
      <c r="Q2553" s="5">
        <v>599</v>
      </c>
      <c r="R2553" s="74">
        <v>0.25</v>
      </c>
      <c r="S2553" s="75">
        <f>OrdersTable[[#This Row],[Quantity]]*OrdersTable[[#This Row],[Unit Price]]</f>
        <v>599</v>
      </c>
      <c r="T2553" s="5">
        <f>OrdersTable[[#This Row],[Gross Sale]]*OrdersTable[[#This Row],[Discount_Clean2]]</f>
        <v>149.75</v>
      </c>
      <c r="U2553" s="5">
        <f>OrdersTable[[#This Row],[Gross Sale]]-OrdersTable[[#This Row],[Discount Amount]]</f>
        <v>449.25</v>
      </c>
      <c r="V2553" s="77">
        <f>INDEX(Products!E:E,MATCH(OrdersTable[[#This Row],[Product ID]],Products!A:A,0))</f>
        <v>180</v>
      </c>
      <c r="W2553" s="77">
        <f>OrdersTable[[#This Row],[Quantity]]*OrdersTable[[#This Row],[Unit Cost]]</f>
        <v>180</v>
      </c>
      <c r="X2553" s="77">
        <f>'Dropdown Lists'!$I$2*(1+OrdersTable[[#This Row],[Returned]])</f>
        <v>60</v>
      </c>
      <c r="Y2553" s="76">
        <f>OrdersTable[[#This Row],[Net Revenue]]-OrdersTable[[#This Row],[COGS]]-OrdersTable[[#This Row],[Shipping Cost]]</f>
        <v>209.25</v>
      </c>
      <c r="Z2553" s="78">
        <f>IFERROR(OrdersTable[[#This Row],[Profit]]/OrdersTable[[#This Row],[Net Revenue]],0)</f>
        <v>0.46577629382303842</v>
      </c>
      <c r="AA2553" t="s">
        <v>18</v>
      </c>
      <c r="AB2553" s="79">
        <v>45727</v>
      </c>
      <c r="AC2553">
        <f>OrdersTable[[#This Row],[Delivery Date]]-OrdersTable[[#This Row],[Order Date]]</f>
        <v>4</v>
      </c>
      <c r="AD2553" t="str">
        <f>IF(OrdersTable[[#This Row],[Delivery Days]]&lt;=2, "Express (≤2d)", IF(OrdersTable[[#This Row],[Delivery Days]]&lt;=4, "Standard (3-4d)", "Delayed (5d+)"))</f>
        <v>Standard (3-4d)</v>
      </c>
      <c r="AE2553">
        <v>3</v>
      </c>
      <c r="AF2553">
        <v>0</v>
      </c>
    </row>
    <row r="2554" spans="1:32" ht="15" x14ac:dyDescent="0.35">
      <c r="A2554" t="s">
        <v>2367</v>
      </c>
      <c r="B2554" s="1">
        <v>45723</v>
      </c>
      <c r="C2554">
        <f>YEAR(OrdersTable[[#This Row],[Order Date]])</f>
        <v>2025</v>
      </c>
      <c r="D2554" s="2">
        <f>DATE(YEAR(OrdersTable[[#This Row],[Order Date]]),MONTH(OrdersTable[[#This Row],[Order Date]]),1)</f>
        <v>45717</v>
      </c>
      <c r="E2554">
        <f>MONTH(OrdersTable[[#This Row],[Order Date]])</f>
        <v>3</v>
      </c>
      <c r="F2554" t="s">
        <v>2368</v>
      </c>
      <c r="G2554" t="str">
        <f>IF(OrdersTable[[#This Row],[Order Date]]=_xlfn.MINIFS(Order_Date, Customer_ID, OrdersTable[[#This Row],[Customer ID]]), "New", "Repeat")</f>
        <v>New</v>
      </c>
      <c r="H2554" t="s">
        <v>95</v>
      </c>
      <c r="I2554" t="str">
        <f>INDEX(State!B:B,MATCH(OrdersTable[[#This Row],[State]],State!A:A,0))</f>
        <v>TG</v>
      </c>
      <c r="J2554" t="str">
        <f>INDEX(State!C:C,MATCH(OrdersTable[[#This Row],[State Code]],State!B:B,0))</f>
        <v>South</v>
      </c>
      <c r="K2554" t="s">
        <v>96</v>
      </c>
      <c r="L2554" t="s">
        <v>39</v>
      </c>
      <c r="M2554" t="s">
        <v>125</v>
      </c>
      <c r="N2554" t="str">
        <f>INDEX(Products!B:B,MATCH(OrdersTable[[#This Row],[Product ID]],Products!A:A,0))</f>
        <v>Copper Water Bottle</v>
      </c>
      <c r="O2554" t="str">
        <f>INDEX(Products!C:C,MATCH(OrdersTable[[#This Row],[Product ID]],Products!A:A,0))</f>
        <v>Home &amp; Kitchen</v>
      </c>
      <c r="P2554">
        <v>1</v>
      </c>
      <c r="Q2554" s="5">
        <v>899</v>
      </c>
      <c r="R2554" s="74">
        <v>0.1</v>
      </c>
      <c r="S2554" s="75">
        <f>OrdersTable[[#This Row],[Quantity]]*OrdersTable[[#This Row],[Unit Price]]</f>
        <v>899</v>
      </c>
      <c r="T2554" s="5">
        <f>OrdersTable[[#This Row],[Gross Sale]]*OrdersTable[[#This Row],[Discount_Clean2]]</f>
        <v>89.9</v>
      </c>
      <c r="U2554" s="5">
        <f>OrdersTable[[#This Row],[Gross Sale]]-OrdersTable[[#This Row],[Discount Amount]]</f>
        <v>809.1</v>
      </c>
      <c r="V2554" s="77">
        <f>INDEX(Products!E:E,MATCH(OrdersTable[[#This Row],[Product ID]],Products!A:A,0))</f>
        <v>378</v>
      </c>
      <c r="W2554" s="77">
        <f>OrdersTable[[#This Row],[Quantity]]*OrdersTable[[#This Row],[Unit Cost]]</f>
        <v>378</v>
      </c>
      <c r="X2554" s="77">
        <f>'Dropdown Lists'!$I$2*(1+OrdersTable[[#This Row],[Returned]])</f>
        <v>60</v>
      </c>
      <c r="Y2554" s="76">
        <f>OrdersTable[[#This Row],[Net Revenue]]-OrdersTable[[#This Row],[COGS]]-OrdersTable[[#This Row],[Shipping Cost]]</f>
        <v>371.1</v>
      </c>
      <c r="Z2554" s="78">
        <f>IFERROR(OrdersTable[[#This Row],[Profit]]/OrdersTable[[#This Row],[Net Revenue]],0)</f>
        <v>0.45865776789024842</v>
      </c>
      <c r="AA2554" t="s">
        <v>18</v>
      </c>
      <c r="AB2554" s="79">
        <v>45725</v>
      </c>
      <c r="AC2554">
        <f>OrdersTable[[#This Row],[Delivery Date]]-OrdersTable[[#This Row],[Order Date]]</f>
        <v>2</v>
      </c>
      <c r="AD2554" t="str">
        <f>IF(OrdersTable[[#This Row],[Delivery Days]]&lt;=2, "Express (≤2d)", IF(OrdersTable[[#This Row],[Delivery Days]]&lt;=4, "Standard (3-4d)", "Delayed (5d+)"))</f>
        <v>Express (≤2d)</v>
      </c>
      <c r="AE2554">
        <v>5</v>
      </c>
      <c r="AF2554">
        <v>0</v>
      </c>
    </row>
    <row r="2555" spans="1:32" ht="15" x14ac:dyDescent="0.35">
      <c r="A2555" t="s">
        <v>3900</v>
      </c>
      <c r="B2555" s="1">
        <v>45723</v>
      </c>
      <c r="C2555">
        <f>YEAR(OrdersTable[[#This Row],[Order Date]])</f>
        <v>2025</v>
      </c>
      <c r="D2555" s="2">
        <f>DATE(YEAR(OrdersTable[[#This Row],[Order Date]]),MONTH(OrdersTable[[#This Row],[Order Date]]),1)</f>
        <v>45717</v>
      </c>
      <c r="E2555">
        <f>MONTH(OrdersTable[[#This Row],[Order Date]])</f>
        <v>3</v>
      </c>
      <c r="F2555" t="s">
        <v>3901</v>
      </c>
      <c r="G2555" t="str">
        <f>IF(OrdersTable[[#This Row],[Order Date]]=_xlfn.MINIFS(Order_Date, Customer_ID, OrdersTable[[#This Row],[Customer ID]]), "New", "Repeat")</f>
        <v>Repeat</v>
      </c>
      <c r="H2555" t="s">
        <v>14</v>
      </c>
      <c r="I2555" t="str">
        <f>INDEX(State!B:B,MATCH(OrdersTable[[#This Row],[State]],State!A:A,0))</f>
        <v>OD</v>
      </c>
      <c r="J2555" t="str">
        <f>INDEX(State!C:C,MATCH(OrdersTable[[#This Row],[State Code]],State!B:B,0))</f>
        <v>East</v>
      </c>
      <c r="K2555" t="s">
        <v>15</v>
      </c>
      <c r="L2555" t="s">
        <v>65</v>
      </c>
      <c r="M2555" t="s">
        <v>66</v>
      </c>
      <c r="N2555" t="str">
        <f>INDEX(Products!B:B,MATCH(OrdersTable[[#This Row],[Product ID]],Products!A:A,0))</f>
        <v>Sunscreen SPF 50</v>
      </c>
      <c r="O2555" t="str">
        <f>INDEX(Products!C:C,MATCH(OrdersTable[[#This Row],[Product ID]],Products!A:A,0))</f>
        <v>Skincare</v>
      </c>
      <c r="P2555">
        <v>1</v>
      </c>
      <c r="Q2555" s="5">
        <v>449</v>
      </c>
      <c r="R2555" s="74">
        <v>0.05</v>
      </c>
      <c r="S2555" s="75">
        <f>OrdersTable[[#This Row],[Quantity]]*OrdersTable[[#This Row],[Unit Price]]</f>
        <v>449</v>
      </c>
      <c r="T2555" s="5">
        <f>OrdersTable[[#This Row],[Gross Sale]]*OrdersTable[[#This Row],[Discount_Clean2]]</f>
        <v>22.450000000000003</v>
      </c>
      <c r="U2555" s="5">
        <f>OrdersTable[[#This Row],[Gross Sale]]-OrdersTable[[#This Row],[Discount Amount]]</f>
        <v>426.55</v>
      </c>
      <c r="V2555" s="77">
        <f>INDEX(Products!E:E,MATCH(OrdersTable[[#This Row],[Product ID]],Products!A:A,0))</f>
        <v>144</v>
      </c>
      <c r="W2555" s="77">
        <f>OrdersTable[[#This Row],[Quantity]]*OrdersTable[[#This Row],[Unit Cost]]</f>
        <v>144</v>
      </c>
      <c r="X2555" s="77">
        <f>'Dropdown Lists'!$I$2*(1+OrdersTable[[#This Row],[Returned]])</f>
        <v>60</v>
      </c>
      <c r="Y2555" s="76">
        <f>OrdersTable[[#This Row],[Net Revenue]]-OrdersTable[[#This Row],[COGS]]-OrdersTable[[#This Row],[Shipping Cost]]</f>
        <v>222.55</v>
      </c>
      <c r="Z2555" s="78">
        <f>IFERROR(OrdersTable[[#This Row],[Profit]]/OrdersTable[[#This Row],[Net Revenue]],0)</f>
        <v>0.52174422693705313</v>
      </c>
      <c r="AA2555" t="s">
        <v>3495</v>
      </c>
      <c r="AB2555" s="79">
        <v>45727</v>
      </c>
      <c r="AC2555">
        <f>OrdersTable[[#This Row],[Delivery Date]]-OrdersTable[[#This Row],[Order Date]]</f>
        <v>4</v>
      </c>
      <c r="AD2555" t="str">
        <f>IF(OrdersTable[[#This Row],[Delivery Days]]&lt;=2, "Express (≤2d)", IF(OrdersTable[[#This Row],[Delivery Days]]&lt;=4, "Standard (3-4d)", "Delayed (5d+)"))</f>
        <v>Standard (3-4d)</v>
      </c>
      <c r="AE2555">
        <v>3</v>
      </c>
      <c r="AF2555">
        <v>0</v>
      </c>
    </row>
    <row r="2556" spans="1:32" ht="15" x14ac:dyDescent="0.35">
      <c r="A2556" t="s">
        <v>3263</v>
      </c>
      <c r="B2556" s="1">
        <v>45723</v>
      </c>
      <c r="C2556">
        <f>YEAR(OrdersTable[[#This Row],[Order Date]])</f>
        <v>2025</v>
      </c>
      <c r="D2556" s="2">
        <f>DATE(YEAR(OrdersTable[[#This Row],[Order Date]]),MONTH(OrdersTable[[#This Row],[Order Date]]),1)</f>
        <v>45717</v>
      </c>
      <c r="E2556">
        <f>MONTH(OrdersTable[[#This Row],[Order Date]])</f>
        <v>3</v>
      </c>
      <c r="F2556" t="s">
        <v>584</v>
      </c>
      <c r="G2556" t="str">
        <f>IF(OrdersTable[[#This Row],[Order Date]]=_xlfn.MINIFS(Order_Date, Customer_ID, OrdersTable[[#This Row],[Customer ID]]), "New", "Repeat")</f>
        <v>Repeat</v>
      </c>
      <c r="H2556" t="s">
        <v>14</v>
      </c>
      <c r="I2556" t="str">
        <f>INDEX(State!B:B,MATCH(OrdersTable[[#This Row],[State]],State!A:A,0))</f>
        <v>OD</v>
      </c>
      <c r="J2556" t="str">
        <f>INDEX(State!C:C,MATCH(OrdersTable[[#This Row],[State Code]],State!B:B,0))</f>
        <v>East</v>
      </c>
      <c r="K2556" t="s">
        <v>15</v>
      </c>
      <c r="L2556" t="s">
        <v>23</v>
      </c>
      <c r="M2556" t="s">
        <v>29</v>
      </c>
      <c r="N2556" t="str">
        <f>INDEX(Products!B:B,MATCH(OrdersTable[[#This Row],[Product ID]],Products!A:A,0))</f>
        <v>Joggers</v>
      </c>
      <c r="O2556" t="str">
        <f>INDEX(Products!C:C,MATCH(OrdersTable[[#This Row],[Product ID]],Products!A:A,0))</f>
        <v>Apparel</v>
      </c>
      <c r="P2556">
        <v>1</v>
      </c>
      <c r="Q2556" s="5">
        <v>1199</v>
      </c>
      <c r="R2556" s="74">
        <v>0.2</v>
      </c>
      <c r="S2556" s="75">
        <f>OrdersTable[[#This Row],[Quantity]]*OrdersTable[[#This Row],[Unit Price]]</f>
        <v>1199</v>
      </c>
      <c r="T2556" s="5">
        <f>OrdersTable[[#This Row],[Gross Sale]]*OrdersTable[[#This Row],[Discount_Clean2]]</f>
        <v>239.8</v>
      </c>
      <c r="U2556" s="5">
        <f>OrdersTable[[#This Row],[Gross Sale]]-OrdersTable[[#This Row],[Discount Amount]]</f>
        <v>959.2</v>
      </c>
      <c r="V2556" s="77">
        <f>INDEX(Products!E:E,MATCH(OrdersTable[[#This Row],[Product ID]],Products!A:A,0))</f>
        <v>492</v>
      </c>
      <c r="W2556" s="77">
        <f>OrdersTable[[#This Row],[Quantity]]*OrdersTable[[#This Row],[Unit Cost]]</f>
        <v>492</v>
      </c>
      <c r="X2556" s="77">
        <f>'Dropdown Lists'!$I$2*(1+OrdersTable[[#This Row],[Returned]])</f>
        <v>60</v>
      </c>
      <c r="Y2556" s="76">
        <f>OrdersTable[[#This Row],[Net Revenue]]-OrdersTable[[#This Row],[COGS]]-OrdersTable[[#This Row],[Shipping Cost]]</f>
        <v>407.20000000000005</v>
      </c>
      <c r="Z2556" s="78">
        <f>IFERROR(OrdersTable[[#This Row],[Profit]]/OrdersTable[[#This Row],[Net Revenue]],0)</f>
        <v>0.42452043369474562</v>
      </c>
      <c r="AA2556" t="s">
        <v>2522</v>
      </c>
      <c r="AB2556" s="79">
        <v>45728</v>
      </c>
      <c r="AC2556">
        <f>OrdersTable[[#This Row],[Delivery Date]]-OrdersTable[[#This Row],[Order Date]]</f>
        <v>5</v>
      </c>
      <c r="AD2556" t="str">
        <f>IF(OrdersTable[[#This Row],[Delivery Days]]&lt;=2, "Express (≤2d)", IF(OrdersTable[[#This Row],[Delivery Days]]&lt;=4, "Standard (3-4d)", "Delayed (5d+)"))</f>
        <v>Delayed (5d+)</v>
      </c>
      <c r="AE2556">
        <v>4</v>
      </c>
      <c r="AF2556">
        <v>0</v>
      </c>
    </row>
    <row r="2557" spans="1:32" ht="15" x14ac:dyDescent="0.35">
      <c r="A2557" t="s">
        <v>6154</v>
      </c>
      <c r="B2557" s="1">
        <v>45723</v>
      </c>
      <c r="C2557">
        <f>YEAR(OrdersTable[[#This Row],[Order Date]])</f>
        <v>2025</v>
      </c>
      <c r="D2557" s="2">
        <f>DATE(YEAR(OrdersTable[[#This Row],[Order Date]]),MONTH(OrdersTable[[#This Row],[Order Date]]),1)</f>
        <v>45717</v>
      </c>
      <c r="E2557">
        <f>MONTH(OrdersTable[[#This Row],[Order Date]])</f>
        <v>3</v>
      </c>
      <c r="F2557" t="s">
        <v>623</v>
      </c>
      <c r="G2557" t="str">
        <f>IF(OrdersTable[[#This Row],[Order Date]]=_xlfn.MINIFS(Order_Date, Customer_ID, OrdersTable[[#This Row],[Customer ID]]), "New", "Repeat")</f>
        <v>New</v>
      </c>
      <c r="H2557" t="s">
        <v>167</v>
      </c>
      <c r="I2557" t="str">
        <f>INDEX(State!B:B,MATCH(OrdersTable[[#This Row],[State]],State!A:A,0))</f>
        <v>KA</v>
      </c>
      <c r="J2557" t="str">
        <f>INDEX(State!C:C,MATCH(OrdersTable[[#This Row],[State Code]],State!B:B,0))</f>
        <v>South</v>
      </c>
      <c r="K2557" t="s">
        <v>168</v>
      </c>
      <c r="L2557" t="s">
        <v>16</v>
      </c>
      <c r="M2557" t="s">
        <v>255</v>
      </c>
      <c r="N2557" t="str">
        <f>INDEX(Products!B:B,MATCH(OrdersTable[[#This Row],[Product ID]],Products!A:A,0))</f>
        <v>Cotton Oversized T-Shirt</v>
      </c>
      <c r="O2557" t="str">
        <f>INDEX(Products!C:C,MATCH(OrdersTable[[#This Row],[Product ID]],Products!A:A,0))</f>
        <v>Apparel</v>
      </c>
      <c r="P2557">
        <v>2</v>
      </c>
      <c r="Q2557" s="5">
        <v>799</v>
      </c>
      <c r="R2557" s="74">
        <v>0.05</v>
      </c>
      <c r="S2557" s="75">
        <f>OrdersTable[[#This Row],[Quantity]]*OrdersTable[[#This Row],[Unit Price]]</f>
        <v>1598</v>
      </c>
      <c r="T2557" s="5">
        <f>OrdersTable[[#This Row],[Gross Sale]]*OrdersTable[[#This Row],[Discount_Clean2]]</f>
        <v>79.900000000000006</v>
      </c>
      <c r="U2557" s="5">
        <f>OrdersTable[[#This Row],[Gross Sale]]-OrdersTable[[#This Row],[Discount Amount]]</f>
        <v>1518.1</v>
      </c>
      <c r="V2557" s="77">
        <f>INDEX(Products!E:E,MATCH(OrdersTable[[#This Row],[Product ID]],Products!A:A,0))</f>
        <v>320</v>
      </c>
      <c r="W2557" s="77">
        <f>OrdersTable[[#This Row],[Quantity]]*OrdersTable[[#This Row],[Unit Cost]]</f>
        <v>640</v>
      </c>
      <c r="X2557" s="77">
        <f>'Dropdown Lists'!$I$2*(1+OrdersTable[[#This Row],[Returned]])</f>
        <v>60</v>
      </c>
      <c r="Y2557" s="76">
        <f>OrdersTable[[#This Row],[Net Revenue]]-OrdersTable[[#This Row],[COGS]]-OrdersTable[[#This Row],[Shipping Cost]]</f>
        <v>818.09999999999991</v>
      </c>
      <c r="Z2557" s="78">
        <f>IFERROR(OrdersTable[[#This Row],[Profit]]/OrdersTable[[#This Row],[Net Revenue]],0)</f>
        <v>0.5388973058428298</v>
      </c>
      <c r="AA2557" t="s">
        <v>18</v>
      </c>
      <c r="AB2557" s="79">
        <v>45726</v>
      </c>
      <c r="AC2557">
        <f>OrdersTable[[#This Row],[Delivery Date]]-OrdersTable[[#This Row],[Order Date]]</f>
        <v>3</v>
      </c>
      <c r="AD2557" t="str">
        <f>IF(OrdersTable[[#This Row],[Delivery Days]]&lt;=2, "Express (≤2d)", IF(OrdersTable[[#This Row],[Delivery Days]]&lt;=4, "Standard (3-4d)", "Delayed (5d+)"))</f>
        <v>Standard (3-4d)</v>
      </c>
      <c r="AE2557">
        <v>4</v>
      </c>
      <c r="AF2557">
        <v>0</v>
      </c>
    </row>
    <row r="2558" spans="1:32" ht="15" x14ac:dyDescent="0.35">
      <c r="A2558" t="s">
        <v>2369</v>
      </c>
      <c r="B2558" s="1">
        <v>45723</v>
      </c>
      <c r="C2558">
        <f>YEAR(OrdersTable[[#This Row],[Order Date]])</f>
        <v>2025</v>
      </c>
      <c r="D2558" s="2">
        <f>DATE(YEAR(OrdersTable[[#This Row],[Order Date]]),MONTH(OrdersTable[[#This Row],[Order Date]]),1)</f>
        <v>45717</v>
      </c>
      <c r="E2558">
        <f>MONTH(OrdersTable[[#This Row],[Order Date]])</f>
        <v>3</v>
      </c>
      <c r="F2558" t="s">
        <v>1148</v>
      </c>
      <c r="G2558" t="str">
        <f>IF(OrdersTable[[#This Row],[Order Date]]=_xlfn.MINIFS(Order_Date, Customer_ID, OrdersTable[[#This Row],[Customer ID]]), "New", "Repeat")</f>
        <v>Repeat</v>
      </c>
      <c r="H2558" t="s">
        <v>316</v>
      </c>
      <c r="I2558" t="str">
        <f>INDEX(State!B:B,MATCH(OrdersTable[[#This Row],[State]],State!A:A,0))</f>
        <v>KL</v>
      </c>
      <c r="J2558" t="str">
        <f>INDEX(State!C:C,MATCH(OrdersTable[[#This Row],[State Code]],State!B:B,0))</f>
        <v>South</v>
      </c>
      <c r="K2558" t="s">
        <v>317</v>
      </c>
      <c r="L2558" t="s">
        <v>65</v>
      </c>
      <c r="M2558" t="s">
        <v>160</v>
      </c>
      <c r="N2558" t="str">
        <f>INDEX(Products!B:B,MATCH(OrdersTable[[#This Row],[Product ID]],Products!A:A,0))</f>
        <v>Niacinamide Toner</v>
      </c>
      <c r="O2558" t="str">
        <f>INDEX(Products!C:C,MATCH(OrdersTable[[#This Row],[Product ID]],Products!A:A,0))</f>
        <v>Skincare</v>
      </c>
      <c r="P2558">
        <v>1</v>
      </c>
      <c r="Q2558" s="5">
        <v>399</v>
      </c>
      <c r="R2558" s="74">
        <v>0.2</v>
      </c>
      <c r="S2558" s="75">
        <f>OrdersTable[[#This Row],[Quantity]]*OrdersTable[[#This Row],[Unit Price]]</f>
        <v>399</v>
      </c>
      <c r="T2558" s="5">
        <f>OrdersTable[[#This Row],[Gross Sale]]*OrdersTable[[#This Row],[Discount_Clean2]]</f>
        <v>79.800000000000011</v>
      </c>
      <c r="U2558" s="5">
        <f>OrdersTable[[#This Row],[Gross Sale]]-OrdersTable[[#This Row],[Discount Amount]]</f>
        <v>319.2</v>
      </c>
      <c r="V2558" s="77">
        <f>INDEX(Products!E:E,MATCH(OrdersTable[[#This Row],[Product ID]],Products!A:A,0))</f>
        <v>112</v>
      </c>
      <c r="W2558" s="77">
        <f>OrdersTable[[#This Row],[Quantity]]*OrdersTable[[#This Row],[Unit Cost]]</f>
        <v>112</v>
      </c>
      <c r="X2558" s="77">
        <f>'Dropdown Lists'!$I$2*(1+OrdersTable[[#This Row],[Returned]])</f>
        <v>60</v>
      </c>
      <c r="Y2558" s="76">
        <f>OrdersTable[[#This Row],[Net Revenue]]-OrdersTable[[#This Row],[COGS]]-OrdersTable[[#This Row],[Shipping Cost]]</f>
        <v>147.19999999999999</v>
      </c>
      <c r="Z2558" s="78">
        <f>IFERROR(OrdersTable[[#This Row],[Profit]]/OrdersTable[[#This Row],[Net Revenue]],0)</f>
        <v>0.46115288220551376</v>
      </c>
      <c r="AA2558" t="s">
        <v>18</v>
      </c>
      <c r="AB2558" s="79">
        <v>45725</v>
      </c>
      <c r="AC2558">
        <f>OrdersTable[[#This Row],[Delivery Date]]-OrdersTable[[#This Row],[Order Date]]</f>
        <v>2</v>
      </c>
      <c r="AD2558" t="str">
        <f>IF(OrdersTable[[#This Row],[Delivery Days]]&lt;=2, "Express (≤2d)", IF(OrdersTable[[#This Row],[Delivery Days]]&lt;=4, "Standard (3-4d)", "Delayed (5d+)"))</f>
        <v>Express (≤2d)</v>
      </c>
      <c r="AE2558">
        <v>5</v>
      </c>
      <c r="AF2558">
        <v>0</v>
      </c>
    </row>
    <row r="2559" spans="1:32" ht="15" x14ac:dyDescent="0.35">
      <c r="A2559" t="s">
        <v>5516</v>
      </c>
      <c r="B2559" s="1">
        <v>45723</v>
      </c>
      <c r="C2559">
        <f>YEAR(OrdersTable[[#This Row],[Order Date]])</f>
        <v>2025</v>
      </c>
      <c r="D2559" s="2">
        <f>DATE(YEAR(OrdersTable[[#This Row],[Order Date]]),MONTH(OrdersTable[[#This Row],[Order Date]]),1)</f>
        <v>45717</v>
      </c>
      <c r="E2559">
        <f>MONTH(OrdersTable[[#This Row],[Order Date]])</f>
        <v>3</v>
      </c>
      <c r="F2559" t="s">
        <v>456</v>
      </c>
      <c r="G2559" t="str">
        <f>IF(OrdersTable[[#This Row],[Order Date]]=_xlfn.MINIFS(Order_Date, Customer_ID, OrdersTable[[#This Row],[Customer ID]]), "New", "Repeat")</f>
        <v>Repeat</v>
      </c>
      <c r="H2559" t="s">
        <v>59</v>
      </c>
      <c r="I2559" t="str">
        <f>INDEX(State!B:B,MATCH(OrdersTable[[#This Row],[State]],State!A:A,0))</f>
        <v>TN</v>
      </c>
      <c r="J2559" t="str">
        <f>INDEX(State!C:C,MATCH(OrdersTable[[#This Row],[State Code]],State!B:B,0))</f>
        <v>South</v>
      </c>
      <c r="K2559" t="s">
        <v>64</v>
      </c>
      <c r="L2559" t="s">
        <v>65</v>
      </c>
      <c r="M2559" t="s">
        <v>24</v>
      </c>
      <c r="N2559" t="str">
        <f>INDEX(Products!B:B,MATCH(OrdersTable[[#This Row],[Product ID]],Products!A:A,0))</f>
        <v>Scented Candle Set</v>
      </c>
      <c r="O2559" t="str">
        <f>INDEX(Products!C:C,MATCH(OrdersTable[[#This Row],[Product ID]],Products!A:A,0))</f>
        <v>Home &amp; Kitchen</v>
      </c>
      <c r="P2559">
        <v>2</v>
      </c>
      <c r="Q2559" s="5">
        <v>699</v>
      </c>
      <c r="R2559" s="74">
        <v>0.3</v>
      </c>
      <c r="S2559" s="75">
        <f>OrdersTable[[#This Row],[Quantity]]*OrdersTable[[#This Row],[Unit Price]]</f>
        <v>1398</v>
      </c>
      <c r="T2559" s="5">
        <f>OrdersTable[[#This Row],[Gross Sale]]*OrdersTable[[#This Row],[Discount_Clean2]]</f>
        <v>419.4</v>
      </c>
      <c r="U2559" s="5">
        <f>OrdersTable[[#This Row],[Gross Sale]]-OrdersTable[[#This Row],[Discount Amount]]</f>
        <v>978.6</v>
      </c>
      <c r="V2559" s="77">
        <f>INDEX(Products!E:E,MATCH(OrdersTable[[#This Row],[Product ID]],Products!A:A,0))</f>
        <v>245</v>
      </c>
      <c r="W2559" s="77">
        <f>OrdersTable[[#This Row],[Quantity]]*OrdersTable[[#This Row],[Unit Cost]]</f>
        <v>490</v>
      </c>
      <c r="X2559" s="77">
        <f>'Dropdown Lists'!$I$2*(1+OrdersTable[[#This Row],[Returned]])</f>
        <v>60</v>
      </c>
      <c r="Y2559" s="76">
        <f>OrdersTable[[#This Row],[Net Revenue]]-OrdersTable[[#This Row],[COGS]]-OrdersTable[[#This Row],[Shipping Cost]]</f>
        <v>428.6</v>
      </c>
      <c r="Z2559" s="78">
        <f>IFERROR(OrdersTable[[#This Row],[Profit]]/OrdersTable[[#This Row],[Net Revenue]],0)</f>
        <v>0.43797261393827919</v>
      </c>
      <c r="AA2559" t="s">
        <v>2522</v>
      </c>
      <c r="AB2559" s="79">
        <v>45724</v>
      </c>
      <c r="AC2559">
        <f>OrdersTable[[#This Row],[Delivery Date]]-OrdersTable[[#This Row],[Order Date]]</f>
        <v>1</v>
      </c>
      <c r="AD2559" t="str">
        <f>IF(OrdersTable[[#This Row],[Delivery Days]]&lt;=2, "Express (≤2d)", IF(OrdersTable[[#This Row],[Delivery Days]]&lt;=4, "Standard (3-4d)", "Delayed (5d+)"))</f>
        <v>Express (≤2d)</v>
      </c>
      <c r="AE2559">
        <v>4</v>
      </c>
      <c r="AF2559">
        <v>0</v>
      </c>
    </row>
    <row r="2560" spans="1:32" ht="15" x14ac:dyDescent="0.35">
      <c r="A2560" t="s">
        <v>1966</v>
      </c>
      <c r="B2560" s="1">
        <v>45724</v>
      </c>
      <c r="C2560">
        <f>YEAR(OrdersTable[[#This Row],[Order Date]])</f>
        <v>2025</v>
      </c>
      <c r="D2560" s="2">
        <f>DATE(YEAR(OrdersTable[[#This Row],[Order Date]]),MONTH(OrdersTable[[#This Row],[Order Date]]),1)</f>
        <v>45717</v>
      </c>
      <c r="E2560">
        <f>MONTH(OrdersTable[[#This Row],[Order Date]])</f>
        <v>3</v>
      </c>
      <c r="F2560" t="s">
        <v>1005</v>
      </c>
      <c r="G2560" t="str">
        <f>IF(OrdersTable[[#This Row],[Order Date]]=_xlfn.MINIFS(Order_Date, Customer_ID, OrdersTable[[#This Row],[Customer ID]]), "New", "Repeat")</f>
        <v>Repeat</v>
      </c>
      <c r="H2560" t="s">
        <v>210</v>
      </c>
      <c r="I2560" t="str">
        <f>INDEX(State!B:B,MATCH(OrdersTable[[#This Row],[State]],State!A:A,0))</f>
        <v>JK</v>
      </c>
      <c r="J2560" t="str">
        <f>INDEX(State!C:C,MATCH(OrdersTable[[#This Row],[State Code]],State!B:B,0))</f>
        <v>North</v>
      </c>
      <c r="K2560" t="s">
        <v>415</v>
      </c>
      <c r="L2560" t="s">
        <v>65</v>
      </c>
      <c r="M2560" t="s">
        <v>148</v>
      </c>
      <c r="N2560" t="str">
        <f>INDEX(Products!B:B,MATCH(OrdersTable[[#This Row],[Product ID]],Products!A:A,0))</f>
        <v>Smartwatch Strap</v>
      </c>
      <c r="O2560" t="str">
        <f>INDEX(Products!C:C,MATCH(OrdersTable[[#This Row],[Product ID]],Products!A:A,0))</f>
        <v>Electronics</v>
      </c>
      <c r="P2560">
        <v>1</v>
      </c>
      <c r="Q2560" s="5">
        <v>499</v>
      </c>
      <c r="R2560" s="74">
        <v>0.1</v>
      </c>
      <c r="S2560" s="75">
        <f>OrdersTable[[#This Row],[Quantity]]*OrdersTable[[#This Row],[Unit Price]]</f>
        <v>499</v>
      </c>
      <c r="T2560" s="5">
        <f>OrdersTable[[#This Row],[Gross Sale]]*OrdersTable[[#This Row],[Discount_Clean2]]</f>
        <v>49.900000000000006</v>
      </c>
      <c r="U2560" s="5">
        <f>OrdersTable[[#This Row],[Gross Sale]]-OrdersTable[[#This Row],[Discount Amount]]</f>
        <v>449.1</v>
      </c>
      <c r="V2560" s="77">
        <f>INDEX(Products!E:E,MATCH(OrdersTable[[#This Row],[Product ID]],Products!A:A,0))</f>
        <v>200</v>
      </c>
      <c r="W2560" s="77">
        <f>OrdersTable[[#This Row],[Quantity]]*OrdersTable[[#This Row],[Unit Cost]]</f>
        <v>200</v>
      </c>
      <c r="X2560" s="77">
        <f>'Dropdown Lists'!$I$2*(1+OrdersTable[[#This Row],[Returned]])</f>
        <v>120</v>
      </c>
      <c r="Y2560" s="76">
        <f>OrdersTable[[#This Row],[Net Revenue]]-OrdersTable[[#This Row],[COGS]]-OrdersTable[[#This Row],[Shipping Cost]]</f>
        <v>129.10000000000002</v>
      </c>
      <c r="Z2560" s="78">
        <f>IFERROR(OrdersTable[[#This Row],[Profit]]/OrdersTable[[#This Row],[Net Revenue]],0)</f>
        <v>0.28746381652193281</v>
      </c>
      <c r="AA2560" t="s">
        <v>18</v>
      </c>
      <c r="AB2560" s="79">
        <v>45730</v>
      </c>
      <c r="AC2560">
        <f>OrdersTable[[#This Row],[Delivery Date]]-OrdersTable[[#This Row],[Order Date]]</f>
        <v>6</v>
      </c>
      <c r="AD2560" t="str">
        <f>IF(OrdersTable[[#This Row],[Delivery Days]]&lt;=2, "Express (≤2d)", IF(OrdersTable[[#This Row],[Delivery Days]]&lt;=4, "Standard (3-4d)", "Delayed (5d+)"))</f>
        <v>Delayed (5d+)</v>
      </c>
      <c r="AE2560">
        <v>3</v>
      </c>
      <c r="AF2560">
        <v>1</v>
      </c>
    </row>
    <row r="2561" spans="1:32" ht="15" x14ac:dyDescent="0.35">
      <c r="A2561" t="s">
        <v>6993</v>
      </c>
      <c r="B2561" s="1">
        <v>45724</v>
      </c>
      <c r="C2561">
        <f>YEAR(OrdersTable[[#This Row],[Order Date]])</f>
        <v>2025</v>
      </c>
      <c r="D2561" s="2">
        <f>DATE(YEAR(OrdersTable[[#This Row],[Order Date]]),MONTH(OrdersTable[[#This Row],[Order Date]]),1)</f>
        <v>45717</v>
      </c>
      <c r="E2561">
        <f>MONTH(OrdersTable[[#This Row],[Order Date]])</f>
        <v>3</v>
      </c>
      <c r="F2561" t="s">
        <v>4707</v>
      </c>
      <c r="G2561" t="str">
        <f>IF(OrdersTable[[#This Row],[Order Date]]=_xlfn.MINIFS(Order_Date, Customer_ID, OrdersTable[[#This Row],[Customer ID]]), "New", "Repeat")</f>
        <v>Repeat</v>
      </c>
      <c r="H2561" t="s">
        <v>76</v>
      </c>
      <c r="I2561" t="str">
        <f>INDEX(State!B:B,MATCH(OrdersTable[[#This Row],[State]],State!A:A,0))</f>
        <v>UP</v>
      </c>
      <c r="J2561" t="str">
        <f>INDEX(State!C:C,MATCH(OrdersTable[[#This Row],[State Code]],State!B:B,0))</f>
        <v>North</v>
      </c>
      <c r="K2561" t="s">
        <v>118</v>
      </c>
      <c r="L2561" t="s">
        <v>39</v>
      </c>
      <c r="M2561" t="s">
        <v>125</v>
      </c>
      <c r="N2561" t="str">
        <f>INDEX(Products!B:B,MATCH(OrdersTable[[#This Row],[Product ID]],Products!A:A,0))</f>
        <v>Copper Water Bottle</v>
      </c>
      <c r="O2561" t="str">
        <f>INDEX(Products!C:C,MATCH(OrdersTable[[#This Row],[Product ID]],Products!A:A,0))</f>
        <v>Home &amp; Kitchen</v>
      </c>
      <c r="P2561">
        <v>4</v>
      </c>
      <c r="Q2561" s="5">
        <v>899</v>
      </c>
      <c r="R2561" s="74">
        <v>0</v>
      </c>
      <c r="S2561" s="75">
        <f>OrdersTable[[#This Row],[Quantity]]*OrdersTable[[#This Row],[Unit Price]]</f>
        <v>3596</v>
      </c>
      <c r="T2561" s="5">
        <f>OrdersTable[[#This Row],[Gross Sale]]*OrdersTable[[#This Row],[Discount_Clean2]]</f>
        <v>0</v>
      </c>
      <c r="U2561" s="5">
        <f>OrdersTable[[#This Row],[Gross Sale]]-OrdersTable[[#This Row],[Discount Amount]]</f>
        <v>3596</v>
      </c>
      <c r="V2561" s="77">
        <f>INDEX(Products!E:E,MATCH(OrdersTable[[#This Row],[Product ID]],Products!A:A,0))</f>
        <v>378</v>
      </c>
      <c r="W2561" s="77">
        <f>OrdersTable[[#This Row],[Quantity]]*OrdersTable[[#This Row],[Unit Cost]]</f>
        <v>1512</v>
      </c>
      <c r="X2561" s="77">
        <f>'Dropdown Lists'!$I$2*(1+OrdersTable[[#This Row],[Returned]])</f>
        <v>60</v>
      </c>
      <c r="Y2561" s="76">
        <f>OrdersTable[[#This Row],[Net Revenue]]-OrdersTable[[#This Row],[COGS]]-OrdersTable[[#This Row],[Shipping Cost]]</f>
        <v>2024</v>
      </c>
      <c r="Z2561" s="78">
        <f>IFERROR(OrdersTable[[#This Row],[Profit]]/OrdersTable[[#This Row],[Net Revenue]],0)</f>
        <v>0.56284760845383763</v>
      </c>
      <c r="AA2561" t="s">
        <v>2522</v>
      </c>
      <c r="AB2561" s="79">
        <v>45728</v>
      </c>
      <c r="AC2561">
        <f>OrdersTable[[#This Row],[Delivery Date]]-OrdersTable[[#This Row],[Order Date]]</f>
        <v>4</v>
      </c>
      <c r="AD2561" t="str">
        <f>IF(OrdersTable[[#This Row],[Delivery Days]]&lt;=2, "Express (≤2d)", IF(OrdersTable[[#This Row],[Delivery Days]]&lt;=4, "Standard (3-4d)", "Delayed (5d+)"))</f>
        <v>Standard (3-4d)</v>
      </c>
      <c r="AE2561">
        <v>4</v>
      </c>
      <c r="AF2561">
        <v>0</v>
      </c>
    </row>
    <row r="2562" spans="1:32" ht="15" x14ac:dyDescent="0.35">
      <c r="A2562" t="s">
        <v>1967</v>
      </c>
      <c r="B2562" s="1">
        <v>45724</v>
      </c>
      <c r="C2562">
        <f>YEAR(OrdersTable[[#This Row],[Order Date]])</f>
        <v>2025</v>
      </c>
      <c r="D2562" s="2">
        <f>DATE(YEAR(OrdersTable[[#This Row],[Order Date]]),MONTH(OrdersTable[[#This Row],[Order Date]]),1)</f>
        <v>45717</v>
      </c>
      <c r="E2562">
        <f>MONTH(OrdersTable[[#This Row],[Order Date]])</f>
        <v>3</v>
      </c>
      <c r="F2562" t="s">
        <v>889</v>
      </c>
      <c r="G2562" t="str">
        <f>IF(OrdersTable[[#This Row],[Order Date]]=_xlfn.MINIFS(Order_Date, Customer_ID, OrdersTable[[#This Row],[Customer ID]]), "New", "Repeat")</f>
        <v>Repeat</v>
      </c>
      <c r="H2562" t="s">
        <v>37</v>
      </c>
      <c r="I2562" t="str">
        <f>INDEX(State!B:B,MATCH(OrdersTable[[#This Row],[State]],State!A:A,0))</f>
        <v>GJ</v>
      </c>
      <c r="J2562" t="str">
        <f>INDEX(State!C:C,MATCH(OrdersTable[[#This Row],[State Code]],State!B:B,0))</f>
        <v>West</v>
      </c>
      <c r="K2562" t="s">
        <v>38</v>
      </c>
      <c r="L2562" t="s">
        <v>23</v>
      </c>
      <c r="M2562" t="s">
        <v>45</v>
      </c>
      <c r="N2562" t="str">
        <f>INDEX(Products!B:B,MATCH(OrdersTable[[#This Row],[Product ID]],Products!A:A,0))</f>
        <v>Argan Shampoo</v>
      </c>
      <c r="O2562" t="str">
        <f>INDEX(Products!C:C,MATCH(OrdersTable[[#This Row],[Product ID]],Products!A:A,0))</f>
        <v>Haircare</v>
      </c>
      <c r="P2562">
        <v>1</v>
      </c>
      <c r="Q2562" s="5">
        <v>449</v>
      </c>
      <c r="R2562" s="74">
        <v>0.05</v>
      </c>
      <c r="S2562" s="75">
        <f>OrdersTable[[#This Row],[Quantity]]*OrdersTable[[#This Row],[Unit Price]]</f>
        <v>449</v>
      </c>
      <c r="T2562" s="5">
        <f>OrdersTable[[#This Row],[Gross Sale]]*OrdersTable[[#This Row],[Discount_Clean2]]</f>
        <v>22.450000000000003</v>
      </c>
      <c r="U2562" s="5">
        <f>OrdersTable[[#This Row],[Gross Sale]]-OrdersTable[[#This Row],[Discount Amount]]</f>
        <v>426.55</v>
      </c>
      <c r="V2562" s="77">
        <f>INDEX(Products!E:E,MATCH(OrdersTable[[#This Row],[Product ID]],Products!A:A,0))</f>
        <v>148</v>
      </c>
      <c r="W2562" s="77">
        <f>OrdersTable[[#This Row],[Quantity]]*OrdersTable[[#This Row],[Unit Cost]]</f>
        <v>148</v>
      </c>
      <c r="X2562" s="77">
        <f>'Dropdown Lists'!$I$2*(1+OrdersTable[[#This Row],[Returned]])</f>
        <v>60</v>
      </c>
      <c r="Y2562" s="76">
        <f>OrdersTable[[#This Row],[Net Revenue]]-OrdersTable[[#This Row],[COGS]]-OrdersTable[[#This Row],[Shipping Cost]]</f>
        <v>218.55</v>
      </c>
      <c r="Z2562" s="78">
        <f>IFERROR(OrdersTable[[#This Row],[Profit]]/OrdersTable[[#This Row],[Net Revenue]],0)</f>
        <v>0.51236666275934828</v>
      </c>
      <c r="AA2562" t="s">
        <v>18</v>
      </c>
      <c r="AB2562" s="79">
        <v>45728</v>
      </c>
      <c r="AC2562">
        <f>OrdersTable[[#This Row],[Delivery Date]]-OrdersTable[[#This Row],[Order Date]]</f>
        <v>4</v>
      </c>
      <c r="AD2562" t="str">
        <f>IF(OrdersTable[[#This Row],[Delivery Days]]&lt;=2, "Express (≤2d)", IF(OrdersTable[[#This Row],[Delivery Days]]&lt;=4, "Standard (3-4d)", "Delayed (5d+)"))</f>
        <v>Standard (3-4d)</v>
      </c>
      <c r="AE2562">
        <v>3</v>
      </c>
      <c r="AF2562">
        <v>0</v>
      </c>
    </row>
    <row r="2563" spans="1:32" ht="15" x14ac:dyDescent="0.35">
      <c r="A2563" t="s">
        <v>1968</v>
      </c>
      <c r="B2563" s="1">
        <v>45724</v>
      </c>
      <c r="C2563">
        <f>YEAR(OrdersTable[[#This Row],[Order Date]])</f>
        <v>2025</v>
      </c>
      <c r="D2563" s="2">
        <f>DATE(YEAR(OrdersTable[[#This Row],[Order Date]]),MONTH(OrdersTable[[#This Row],[Order Date]]),1)</f>
        <v>45717</v>
      </c>
      <c r="E2563">
        <f>MONTH(OrdersTable[[#This Row],[Order Date]])</f>
        <v>3</v>
      </c>
      <c r="F2563" t="s">
        <v>1571</v>
      </c>
      <c r="G2563" t="str">
        <f>IF(OrdersTable[[#This Row],[Order Date]]=_xlfn.MINIFS(Order_Date, Customer_ID, OrdersTable[[#This Row],[Customer ID]]), "New", "Repeat")</f>
        <v>Repeat</v>
      </c>
      <c r="H2563" t="s">
        <v>59</v>
      </c>
      <c r="I2563" t="str">
        <f>INDEX(State!B:B,MATCH(OrdersTable[[#This Row],[State]],State!A:A,0))</f>
        <v>TN</v>
      </c>
      <c r="J2563" t="str">
        <f>INDEX(State!C:C,MATCH(OrdersTable[[#This Row],[State Code]],State!B:B,0))</f>
        <v>South</v>
      </c>
      <c r="K2563" t="s">
        <v>60</v>
      </c>
      <c r="L2563" t="s">
        <v>23</v>
      </c>
      <c r="M2563" t="s">
        <v>78</v>
      </c>
      <c r="N2563" t="str">
        <f>INDEX(Products!B:B,MATCH(OrdersTable[[#This Row],[Product ID]],Products!A:A,0))</f>
        <v>Retinol Night Cream</v>
      </c>
      <c r="O2563" t="str">
        <f>INDEX(Products!C:C,MATCH(OrdersTable[[#This Row],[Product ID]],Products!A:A,0))</f>
        <v>Skincare</v>
      </c>
      <c r="P2563">
        <v>1</v>
      </c>
      <c r="Q2563" s="5">
        <v>799</v>
      </c>
      <c r="R2563" s="74">
        <v>0.15</v>
      </c>
      <c r="S2563" s="75">
        <f>OrdersTable[[#This Row],[Quantity]]*OrdersTable[[#This Row],[Unit Price]]</f>
        <v>799</v>
      </c>
      <c r="T2563" s="5">
        <f>OrdersTable[[#This Row],[Gross Sale]]*OrdersTable[[#This Row],[Discount_Clean2]]</f>
        <v>119.85</v>
      </c>
      <c r="U2563" s="5">
        <f>OrdersTable[[#This Row],[Gross Sale]]-OrdersTable[[#This Row],[Discount Amount]]</f>
        <v>679.15</v>
      </c>
      <c r="V2563" s="77">
        <f>INDEX(Products!E:E,MATCH(OrdersTable[[#This Row],[Product ID]],Products!A:A,0))</f>
        <v>216</v>
      </c>
      <c r="W2563" s="77">
        <f>OrdersTable[[#This Row],[Quantity]]*OrdersTable[[#This Row],[Unit Cost]]</f>
        <v>216</v>
      </c>
      <c r="X2563" s="77">
        <f>'Dropdown Lists'!$I$2*(1+OrdersTable[[#This Row],[Returned]])</f>
        <v>60</v>
      </c>
      <c r="Y2563" s="76">
        <f>OrdersTable[[#This Row],[Net Revenue]]-OrdersTable[[#This Row],[COGS]]-OrdersTable[[#This Row],[Shipping Cost]]</f>
        <v>403.15</v>
      </c>
      <c r="Z2563" s="78">
        <f>IFERROR(OrdersTable[[#This Row],[Profit]]/OrdersTable[[#This Row],[Net Revenue]],0)</f>
        <v>0.59360965913273944</v>
      </c>
      <c r="AA2563" t="s">
        <v>18</v>
      </c>
      <c r="AB2563" s="79">
        <v>45729</v>
      </c>
      <c r="AC2563">
        <f>OrdersTable[[#This Row],[Delivery Date]]-OrdersTable[[#This Row],[Order Date]]</f>
        <v>5</v>
      </c>
      <c r="AD2563" t="str">
        <f>IF(OrdersTable[[#This Row],[Delivery Days]]&lt;=2, "Express (≤2d)", IF(OrdersTable[[#This Row],[Delivery Days]]&lt;=4, "Standard (3-4d)", "Delayed (5d+)"))</f>
        <v>Delayed (5d+)</v>
      </c>
      <c r="AE2563">
        <v>3</v>
      </c>
      <c r="AF2563">
        <v>0</v>
      </c>
    </row>
    <row r="2564" spans="1:32" ht="15" x14ac:dyDescent="0.35">
      <c r="A2564" t="s">
        <v>3032</v>
      </c>
      <c r="B2564" s="1">
        <v>45725</v>
      </c>
      <c r="C2564">
        <f>YEAR(OrdersTable[[#This Row],[Order Date]])</f>
        <v>2025</v>
      </c>
      <c r="D2564" s="2">
        <f>DATE(YEAR(OrdersTable[[#This Row],[Order Date]]),MONTH(OrdersTable[[#This Row],[Order Date]]),1)</f>
        <v>45717</v>
      </c>
      <c r="E2564">
        <f>MONTH(OrdersTable[[#This Row],[Order Date]])</f>
        <v>3</v>
      </c>
      <c r="F2564" t="s">
        <v>3033</v>
      </c>
      <c r="G2564" t="str">
        <f>IF(OrdersTable[[#This Row],[Order Date]]=_xlfn.MINIFS(Order_Date, Customer_ID, OrdersTable[[#This Row],[Customer ID]]), "New", "Repeat")</f>
        <v>Repeat</v>
      </c>
      <c r="H2564" t="s">
        <v>21</v>
      </c>
      <c r="I2564" t="str">
        <f>INDEX(State!B:B,MATCH(OrdersTable[[#This Row],[State]],State!A:A,0))</f>
        <v>PB</v>
      </c>
      <c r="J2564" t="str">
        <f>INDEX(State!C:C,MATCH(OrdersTable[[#This Row],[State Code]],State!B:B,0))</f>
        <v>North</v>
      </c>
      <c r="K2564" t="s">
        <v>22</v>
      </c>
      <c r="L2564" t="s">
        <v>23</v>
      </c>
      <c r="M2564" t="s">
        <v>24</v>
      </c>
      <c r="N2564" t="str">
        <f>INDEX(Products!B:B,MATCH(OrdersTable[[#This Row],[Product ID]],Products!A:A,0))</f>
        <v>Scented Candle Set</v>
      </c>
      <c r="O2564" t="str">
        <f>INDEX(Products!C:C,MATCH(OrdersTable[[#This Row],[Product ID]],Products!A:A,0))</f>
        <v>Home &amp; Kitchen</v>
      </c>
      <c r="P2564">
        <v>1</v>
      </c>
      <c r="Q2564" s="5">
        <v>699</v>
      </c>
      <c r="R2564" s="74">
        <v>0.25</v>
      </c>
      <c r="S2564" s="75">
        <f>OrdersTable[[#This Row],[Quantity]]*OrdersTable[[#This Row],[Unit Price]]</f>
        <v>699</v>
      </c>
      <c r="T2564" s="5">
        <f>OrdersTable[[#This Row],[Gross Sale]]*OrdersTable[[#This Row],[Discount_Clean2]]</f>
        <v>174.75</v>
      </c>
      <c r="U2564" s="5">
        <f>OrdersTable[[#This Row],[Gross Sale]]-OrdersTable[[#This Row],[Discount Amount]]</f>
        <v>524.25</v>
      </c>
      <c r="V2564" s="77">
        <f>INDEX(Products!E:E,MATCH(OrdersTable[[#This Row],[Product ID]],Products!A:A,0))</f>
        <v>245</v>
      </c>
      <c r="W2564" s="77">
        <f>OrdersTable[[#This Row],[Quantity]]*OrdersTable[[#This Row],[Unit Cost]]</f>
        <v>245</v>
      </c>
      <c r="X2564" s="77">
        <f>'Dropdown Lists'!$I$2*(1+OrdersTable[[#This Row],[Returned]])</f>
        <v>60</v>
      </c>
      <c r="Y2564" s="76">
        <f>OrdersTable[[#This Row],[Net Revenue]]-OrdersTable[[#This Row],[COGS]]-OrdersTable[[#This Row],[Shipping Cost]]</f>
        <v>219.25</v>
      </c>
      <c r="Z2564" s="78">
        <f>IFERROR(OrdersTable[[#This Row],[Profit]]/OrdersTable[[#This Row],[Net Revenue]],0)</f>
        <v>0.41821649976156416</v>
      </c>
      <c r="AA2564" t="s">
        <v>2522</v>
      </c>
      <c r="AB2564" s="79">
        <v>45729</v>
      </c>
      <c r="AC2564">
        <f>OrdersTable[[#This Row],[Delivery Date]]-OrdersTable[[#This Row],[Order Date]]</f>
        <v>4</v>
      </c>
      <c r="AD2564" t="str">
        <f>IF(OrdersTable[[#This Row],[Delivery Days]]&lt;=2, "Express (≤2d)", IF(OrdersTable[[#This Row],[Delivery Days]]&lt;=4, "Standard (3-4d)", "Delayed (5d+)"))</f>
        <v>Standard (3-4d)</v>
      </c>
      <c r="AF2564">
        <v>0</v>
      </c>
    </row>
    <row r="2565" spans="1:32" ht="15" x14ac:dyDescent="0.35">
      <c r="A2565" t="s">
        <v>258</v>
      </c>
      <c r="B2565" s="1">
        <v>45725</v>
      </c>
      <c r="C2565">
        <f>YEAR(OrdersTable[[#This Row],[Order Date]])</f>
        <v>2025</v>
      </c>
      <c r="D2565" s="2">
        <f>DATE(YEAR(OrdersTable[[#This Row],[Order Date]]),MONTH(OrdersTable[[#This Row],[Order Date]]),1)</f>
        <v>45717</v>
      </c>
      <c r="E2565">
        <f>MONTH(OrdersTable[[#This Row],[Order Date]])</f>
        <v>3</v>
      </c>
      <c r="F2565" t="s">
        <v>259</v>
      </c>
      <c r="G2565" t="str">
        <f>IF(OrdersTable[[#This Row],[Order Date]]=_xlfn.MINIFS(Order_Date, Customer_ID, OrdersTable[[#This Row],[Customer ID]]), "New", "Repeat")</f>
        <v>New</v>
      </c>
      <c r="H2565" t="s">
        <v>21</v>
      </c>
      <c r="I2565" t="str">
        <f>INDEX(State!B:B,MATCH(OrdersTable[[#This Row],[State]],State!A:A,0))</f>
        <v>PB</v>
      </c>
      <c r="J2565" t="str">
        <f>INDEX(State!C:C,MATCH(OrdersTable[[#This Row],[State Code]],State!B:B,0))</f>
        <v>North</v>
      </c>
      <c r="K2565" t="s">
        <v>260</v>
      </c>
      <c r="L2565" t="s">
        <v>65</v>
      </c>
      <c r="M2565" t="s">
        <v>148</v>
      </c>
      <c r="N2565" t="str">
        <f>INDEX(Products!B:B,MATCH(OrdersTable[[#This Row],[Product ID]],Products!A:A,0))</f>
        <v>Smartwatch Strap</v>
      </c>
      <c r="O2565" t="str">
        <f>INDEX(Products!C:C,MATCH(OrdersTable[[#This Row],[Product ID]],Products!A:A,0))</f>
        <v>Electronics</v>
      </c>
      <c r="P2565">
        <v>1</v>
      </c>
      <c r="Q2565" s="5">
        <v>499</v>
      </c>
      <c r="R2565" s="74">
        <v>0.15</v>
      </c>
      <c r="S2565" s="75">
        <f>OrdersTable[[#This Row],[Quantity]]*OrdersTable[[#This Row],[Unit Price]]</f>
        <v>499</v>
      </c>
      <c r="T2565" s="5">
        <f>OrdersTable[[#This Row],[Gross Sale]]*OrdersTable[[#This Row],[Discount_Clean2]]</f>
        <v>74.849999999999994</v>
      </c>
      <c r="U2565" s="5">
        <f>OrdersTable[[#This Row],[Gross Sale]]-OrdersTable[[#This Row],[Discount Amount]]</f>
        <v>424.15</v>
      </c>
      <c r="V2565" s="77">
        <f>INDEX(Products!E:E,MATCH(OrdersTable[[#This Row],[Product ID]],Products!A:A,0))</f>
        <v>200</v>
      </c>
      <c r="W2565" s="77">
        <f>OrdersTable[[#This Row],[Quantity]]*OrdersTable[[#This Row],[Unit Cost]]</f>
        <v>200</v>
      </c>
      <c r="X2565" s="77">
        <f>'Dropdown Lists'!$I$2*(1+OrdersTable[[#This Row],[Returned]])</f>
        <v>60</v>
      </c>
      <c r="Y2565" s="76">
        <f>OrdersTable[[#This Row],[Net Revenue]]-OrdersTable[[#This Row],[COGS]]-OrdersTable[[#This Row],[Shipping Cost]]</f>
        <v>164.14999999999998</v>
      </c>
      <c r="Z2565" s="78">
        <f>IFERROR(OrdersTable[[#This Row],[Profit]]/OrdersTable[[#This Row],[Net Revenue]],0)</f>
        <v>0.38700931274313327</v>
      </c>
      <c r="AA2565" t="s">
        <v>18</v>
      </c>
      <c r="AB2565" s="79">
        <v>45728</v>
      </c>
      <c r="AC2565">
        <f>OrdersTable[[#This Row],[Delivery Date]]-OrdersTable[[#This Row],[Order Date]]</f>
        <v>3</v>
      </c>
      <c r="AD2565" t="str">
        <f>IF(OrdersTable[[#This Row],[Delivery Days]]&lt;=2, "Express (≤2d)", IF(OrdersTable[[#This Row],[Delivery Days]]&lt;=4, "Standard (3-4d)", "Delayed (5d+)"))</f>
        <v>Standard (3-4d)</v>
      </c>
      <c r="AE2565">
        <v>4</v>
      </c>
      <c r="AF2565">
        <v>0</v>
      </c>
    </row>
    <row r="2566" spans="1:32" ht="15" x14ac:dyDescent="0.35">
      <c r="A2566" t="s">
        <v>6571</v>
      </c>
      <c r="B2566" s="1">
        <v>45725</v>
      </c>
      <c r="C2566">
        <f>YEAR(OrdersTable[[#This Row],[Order Date]])</f>
        <v>2025</v>
      </c>
      <c r="D2566" s="2">
        <f>DATE(YEAR(OrdersTable[[#This Row],[Order Date]]),MONTH(OrdersTable[[#This Row],[Order Date]]),1)</f>
        <v>45717</v>
      </c>
      <c r="E2566">
        <f>MONTH(OrdersTable[[#This Row],[Order Date]])</f>
        <v>3</v>
      </c>
      <c r="F2566" t="s">
        <v>1944</v>
      </c>
      <c r="G2566" t="str">
        <f>IF(OrdersTable[[#This Row],[Order Date]]=_xlfn.MINIFS(Order_Date, Customer_ID, OrdersTable[[#This Row],[Customer ID]]), "New", "Repeat")</f>
        <v>Repeat</v>
      </c>
      <c r="H2566" t="s">
        <v>54</v>
      </c>
      <c r="I2566" t="str">
        <f>INDEX(State!B:B,MATCH(OrdersTable[[#This Row],[State]],State!A:A,0))</f>
        <v>RJ</v>
      </c>
      <c r="J2566" t="str">
        <f>INDEX(State!C:C,MATCH(OrdersTable[[#This Row],[State Code]],State!B:B,0))</f>
        <v>North</v>
      </c>
      <c r="K2566" t="s">
        <v>55</v>
      </c>
      <c r="L2566" t="s">
        <v>50</v>
      </c>
      <c r="M2566" t="s">
        <v>160</v>
      </c>
      <c r="N2566" t="str">
        <f>INDEX(Products!B:B,MATCH(OrdersTable[[#This Row],[Product ID]],Products!A:A,0))</f>
        <v>Niacinamide Toner</v>
      </c>
      <c r="O2566" t="str">
        <f>INDEX(Products!C:C,MATCH(OrdersTable[[#This Row],[Product ID]],Products!A:A,0))</f>
        <v>Skincare</v>
      </c>
      <c r="P2566">
        <v>3</v>
      </c>
      <c r="Q2566" s="5">
        <v>399</v>
      </c>
      <c r="R2566" s="74">
        <v>0.3</v>
      </c>
      <c r="S2566" s="75">
        <f>OrdersTable[[#This Row],[Quantity]]*OrdersTable[[#This Row],[Unit Price]]</f>
        <v>1197</v>
      </c>
      <c r="T2566" s="5">
        <f>OrdersTable[[#This Row],[Gross Sale]]*OrdersTable[[#This Row],[Discount_Clean2]]</f>
        <v>359.09999999999997</v>
      </c>
      <c r="U2566" s="5">
        <f>OrdersTable[[#This Row],[Gross Sale]]-OrdersTable[[#This Row],[Discount Amount]]</f>
        <v>837.90000000000009</v>
      </c>
      <c r="V2566" s="77">
        <f>INDEX(Products!E:E,MATCH(OrdersTable[[#This Row],[Product ID]],Products!A:A,0))</f>
        <v>112</v>
      </c>
      <c r="W2566" s="77">
        <f>OrdersTable[[#This Row],[Quantity]]*OrdersTable[[#This Row],[Unit Cost]]</f>
        <v>336</v>
      </c>
      <c r="X2566" s="77">
        <f>'Dropdown Lists'!$I$2*(1+OrdersTable[[#This Row],[Returned]])</f>
        <v>60</v>
      </c>
      <c r="Y2566" s="76">
        <f>OrdersTable[[#This Row],[Net Revenue]]-OrdersTable[[#This Row],[COGS]]-OrdersTable[[#This Row],[Shipping Cost]]</f>
        <v>441.90000000000009</v>
      </c>
      <c r="Z2566" s="78">
        <f>IFERROR(OrdersTable[[#This Row],[Profit]]/OrdersTable[[#This Row],[Net Revenue]],0)</f>
        <v>0.527389903329753</v>
      </c>
      <c r="AA2566" t="s">
        <v>18</v>
      </c>
      <c r="AB2566" s="79">
        <v>45730</v>
      </c>
      <c r="AC2566">
        <f>OrdersTable[[#This Row],[Delivery Date]]-OrdersTable[[#This Row],[Order Date]]</f>
        <v>5</v>
      </c>
      <c r="AD2566" t="str">
        <f>IF(OrdersTable[[#This Row],[Delivery Days]]&lt;=2, "Express (≤2d)", IF(OrdersTable[[#This Row],[Delivery Days]]&lt;=4, "Standard (3-4d)", "Delayed (5d+)"))</f>
        <v>Delayed (5d+)</v>
      </c>
      <c r="AE2566">
        <v>5</v>
      </c>
      <c r="AF2566">
        <v>0</v>
      </c>
    </row>
    <row r="2567" spans="1:32" ht="15" x14ac:dyDescent="0.35">
      <c r="A2567" t="s">
        <v>5605</v>
      </c>
      <c r="B2567" s="1">
        <v>45725</v>
      </c>
      <c r="C2567">
        <f>YEAR(OrdersTable[[#This Row],[Order Date]])</f>
        <v>2025</v>
      </c>
      <c r="D2567" s="2">
        <f>DATE(YEAR(OrdersTable[[#This Row],[Order Date]]),MONTH(OrdersTable[[#This Row],[Order Date]]),1)</f>
        <v>45717</v>
      </c>
      <c r="E2567">
        <f>MONTH(OrdersTable[[#This Row],[Order Date]])</f>
        <v>3</v>
      </c>
      <c r="F2567" t="s">
        <v>2302</v>
      </c>
      <c r="G2567" t="str">
        <f>IF(OrdersTable[[#This Row],[Order Date]]=_xlfn.MINIFS(Order_Date, Customer_ID, OrdersTable[[#This Row],[Customer ID]]), "New", "Repeat")</f>
        <v>Repeat</v>
      </c>
      <c r="H2567" t="s">
        <v>128</v>
      </c>
      <c r="I2567" t="str">
        <f>INDEX(State!B:B,MATCH(OrdersTable[[#This Row],[State]],State!A:A,0))</f>
        <v>DL</v>
      </c>
      <c r="J2567" t="str">
        <f>INDEX(State!C:C,MATCH(OrdersTable[[#This Row],[State Code]],State!B:B,0))</f>
        <v>North</v>
      </c>
      <c r="K2567" t="s">
        <v>129</v>
      </c>
      <c r="L2567" t="s">
        <v>50</v>
      </c>
      <c r="M2567" t="s">
        <v>51</v>
      </c>
      <c r="N2567" t="str">
        <f>INDEX(Products!B:B,MATCH(OrdersTable[[#This Row],[Product ID]],Products!A:A,0))</f>
        <v>Anti-Dandruff Conditioner</v>
      </c>
      <c r="O2567" t="str">
        <f>INDEX(Products!C:C,MATCH(OrdersTable[[#This Row],[Product ID]],Products!A:A,0))</f>
        <v>Haircare</v>
      </c>
      <c r="P2567">
        <v>2</v>
      </c>
      <c r="Q2567" s="5">
        <v>399</v>
      </c>
      <c r="R2567" s="74">
        <v>0.45</v>
      </c>
      <c r="S2567" s="75">
        <f>OrdersTable[[#This Row],[Quantity]]*OrdersTable[[#This Row],[Unit Price]]</f>
        <v>798</v>
      </c>
      <c r="T2567" s="5">
        <f>OrdersTable[[#This Row],[Gross Sale]]*OrdersTable[[#This Row],[Discount_Clean2]]</f>
        <v>359.1</v>
      </c>
      <c r="U2567" s="5">
        <f>OrdersTable[[#This Row],[Gross Sale]]-OrdersTable[[#This Row],[Discount Amount]]</f>
        <v>438.9</v>
      </c>
      <c r="V2567" s="77">
        <f>INDEX(Products!E:E,MATCH(OrdersTable[[#This Row],[Product ID]],Products!A:A,0))</f>
        <v>136</v>
      </c>
      <c r="W2567" s="77">
        <f>OrdersTable[[#This Row],[Quantity]]*OrdersTable[[#This Row],[Unit Cost]]</f>
        <v>272</v>
      </c>
      <c r="X2567" s="77">
        <f>'Dropdown Lists'!$I$2*(1+OrdersTable[[#This Row],[Returned]])</f>
        <v>60</v>
      </c>
      <c r="Y2567" s="76">
        <f>OrdersTable[[#This Row],[Net Revenue]]-OrdersTable[[#This Row],[COGS]]-OrdersTable[[#This Row],[Shipping Cost]]</f>
        <v>106.89999999999998</v>
      </c>
      <c r="Z2567" s="78">
        <f>IFERROR(OrdersTable[[#This Row],[Profit]]/OrdersTable[[#This Row],[Net Revenue]],0)</f>
        <v>0.24356345408976984</v>
      </c>
      <c r="AA2567" t="s">
        <v>2522</v>
      </c>
      <c r="AB2567" s="79">
        <v>45729</v>
      </c>
      <c r="AC2567">
        <f>OrdersTable[[#This Row],[Delivery Date]]-OrdersTable[[#This Row],[Order Date]]</f>
        <v>4</v>
      </c>
      <c r="AD2567" t="str">
        <f>IF(OrdersTable[[#This Row],[Delivery Days]]&lt;=2, "Express (≤2d)", IF(OrdersTable[[#This Row],[Delivery Days]]&lt;=4, "Standard (3-4d)", "Delayed (5d+)"))</f>
        <v>Standard (3-4d)</v>
      </c>
      <c r="AE2567">
        <v>4</v>
      </c>
      <c r="AF2567">
        <v>0</v>
      </c>
    </row>
    <row r="2568" spans="1:32" ht="15" x14ac:dyDescent="0.35">
      <c r="A2568" t="s">
        <v>6890</v>
      </c>
      <c r="B2568" s="1">
        <v>45725</v>
      </c>
      <c r="C2568">
        <f>YEAR(OrdersTable[[#This Row],[Order Date]])</f>
        <v>2025</v>
      </c>
      <c r="D2568" s="2">
        <f>DATE(YEAR(OrdersTable[[#This Row],[Order Date]]),MONTH(OrdersTable[[#This Row],[Order Date]]),1)</f>
        <v>45717</v>
      </c>
      <c r="E2568">
        <f>MONTH(OrdersTable[[#This Row],[Order Date]])</f>
        <v>3</v>
      </c>
      <c r="F2568" t="s">
        <v>6891</v>
      </c>
      <c r="G2568" t="str">
        <f>IF(OrdersTable[[#This Row],[Order Date]]=_xlfn.MINIFS(Order_Date, Customer_ID, OrdersTable[[#This Row],[Customer ID]]), "New", "Repeat")</f>
        <v>New</v>
      </c>
      <c r="H2568" t="s">
        <v>76</v>
      </c>
      <c r="I2568" t="str">
        <f>INDEX(State!B:B,MATCH(OrdersTable[[#This Row],[State]],State!A:A,0))</f>
        <v>UP</v>
      </c>
      <c r="J2568" t="str">
        <f>INDEX(State!C:C,MATCH(OrdersTable[[#This Row],[State Code]],State!B:B,0))</f>
        <v>North</v>
      </c>
      <c r="K2568" t="s">
        <v>105</v>
      </c>
      <c r="L2568" t="s">
        <v>39</v>
      </c>
      <c r="M2568" t="s">
        <v>205</v>
      </c>
      <c r="N2568" t="str">
        <f>INDEX(Products!B:B,MATCH(OrdersTable[[#This Row],[Product ID]],Products!A:A,0))</f>
        <v>Running Shoes</v>
      </c>
      <c r="O2568" t="str">
        <f>INDEX(Products!C:C,MATCH(OrdersTable[[#This Row],[Product ID]],Products!A:A,0))</f>
        <v>Footwear</v>
      </c>
      <c r="P2568">
        <v>3</v>
      </c>
      <c r="Q2568" s="5">
        <v>2999</v>
      </c>
      <c r="R2568" s="74">
        <v>0.15</v>
      </c>
      <c r="S2568" s="75">
        <f>OrdersTable[[#This Row],[Quantity]]*OrdersTable[[#This Row],[Unit Price]]</f>
        <v>8997</v>
      </c>
      <c r="T2568" s="5">
        <f>OrdersTable[[#This Row],[Gross Sale]]*OrdersTable[[#This Row],[Discount_Clean2]]</f>
        <v>1349.55</v>
      </c>
      <c r="U2568" s="5">
        <f>OrdersTable[[#This Row],[Gross Sale]]-OrdersTable[[#This Row],[Discount Amount]]</f>
        <v>7647.45</v>
      </c>
      <c r="V2568" s="77">
        <f>INDEX(Products!E:E,MATCH(OrdersTable[[#This Row],[Product ID]],Products!A:A,0))</f>
        <v>1440</v>
      </c>
      <c r="W2568" s="77">
        <f>OrdersTable[[#This Row],[Quantity]]*OrdersTable[[#This Row],[Unit Cost]]</f>
        <v>4320</v>
      </c>
      <c r="X2568" s="77">
        <f>'Dropdown Lists'!$I$2*(1+OrdersTable[[#This Row],[Returned]])</f>
        <v>60</v>
      </c>
      <c r="Y2568" s="76">
        <f>OrdersTable[[#This Row],[Net Revenue]]-OrdersTable[[#This Row],[COGS]]-OrdersTable[[#This Row],[Shipping Cost]]</f>
        <v>3267.45</v>
      </c>
      <c r="Z2568" s="78">
        <f>IFERROR(OrdersTable[[#This Row],[Profit]]/OrdersTable[[#This Row],[Net Revenue]],0)</f>
        <v>0.42726006708118391</v>
      </c>
      <c r="AA2568" t="s">
        <v>4450</v>
      </c>
      <c r="AB2568" s="79">
        <v>45729</v>
      </c>
      <c r="AC2568">
        <f>OrdersTable[[#This Row],[Delivery Date]]-OrdersTable[[#This Row],[Order Date]]</f>
        <v>4</v>
      </c>
      <c r="AD2568" t="str">
        <f>IF(OrdersTable[[#This Row],[Delivery Days]]&lt;=2, "Express (≤2d)", IF(OrdersTable[[#This Row],[Delivery Days]]&lt;=4, "Standard (3-4d)", "Delayed (5d+)"))</f>
        <v>Standard (3-4d)</v>
      </c>
      <c r="AE2568">
        <v>4</v>
      </c>
      <c r="AF2568">
        <v>0</v>
      </c>
    </row>
    <row r="2569" spans="1:32" ht="15" x14ac:dyDescent="0.35">
      <c r="A2569" t="s">
        <v>5398</v>
      </c>
      <c r="B2569" s="1">
        <v>45725</v>
      </c>
      <c r="C2569">
        <f>YEAR(OrdersTable[[#This Row],[Order Date]])</f>
        <v>2025</v>
      </c>
      <c r="D2569" s="2">
        <f>DATE(YEAR(OrdersTable[[#This Row],[Order Date]]),MONTH(OrdersTable[[#This Row],[Order Date]]),1)</f>
        <v>45717</v>
      </c>
      <c r="E2569">
        <f>MONTH(OrdersTable[[#This Row],[Order Date]])</f>
        <v>3</v>
      </c>
      <c r="F2569" t="s">
        <v>2209</v>
      </c>
      <c r="G2569" t="str">
        <f>IF(OrdersTable[[#This Row],[Order Date]]=_xlfn.MINIFS(Order_Date, Customer_ID, OrdersTable[[#This Row],[Customer ID]]), "New", "Repeat")</f>
        <v>Repeat</v>
      </c>
      <c r="H2569" t="s">
        <v>32</v>
      </c>
      <c r="I2569" t="str">
        <f>INDEX(State!B:B,MATCH(OrdersTable[[#This Row],[State]],State!A:A,0))</f>
        <v>BR</v>
      </c>
      <c r="J2569" t="str">
        <f>INDEX(State!C:C,MATCH(OrdersTable[[#This Row],[State Code]],State!B:B,0))</f>
        <v>East</v>
      </c>
      <c r="K2569" t="s">
        <v>33</v>
      </c>
      <c r="L2569" t="s">
        <v>50</v>
      </c>
      <c r="M2569" t="s">
        <v>179</v>
      </c>
      <c r="N2569" t="str">
        <f>INDEX(Products!B:B,MATCH(OrdersTable[[#This Row],[Product ID]],Products!A:A,0))</f>
        <v>Whey Protein 1kg</v>
      </c>
      <c r="O2569" t="str">
        <f>INDEX(Products!C:C,MATCH(OrdersTable[[#This Row],[Product ID]],Products!A:A,0))</f>
        <v>Wellness</v>
      </c>
      <c r="P2569">
        <v>2</v>
      </c>
      <c r="Q2569" s="5">
        <v>2299</v>
      </c>
      <c r="R2569" s="74">
        <v>0.35</v>
      </c>
      <c r="S2569" s="75">
        <f>OrdersTable[[#This Row],[Quantity]]*OrdersTable[[#This Row],[Unit Price]]</f>
        <v>4598</v>
      </c>
      <c r="T2569" s="5">
        <f>OrdersTable[[#This Row],[Gross Sale]]*OrdersTable[[#This Row],[Discount_Clean2]]</f>
        <v>1609.3</v>
      </c>
      <c r="U2569" s="5">
        <f>OrdersTable[[#This Row],[Gross Sale]]-OrdersTable[[#This Row],[Discount Amount]]</f>
        <v>2988.7</v>
      </c>
      <c r="V2569" s="77">
        <f>INDEX(Products!E:E,MATCH(OrdersTable[[#This Row],[Product ID]],Products!A:A,0))</f>
        <v>1333</v>
      </c>
      <c r="W2569" s="77">
        <f>OrdersTable[[#This Row],[Quantity]]*OrdersTable[[#This Row],[Unit Cost]]</f>
        <v>2666</v>
      </c>
      <c r="X2569" s="77">
        <f>'Dropdown Lists'!$I$2*(1+OrdersTable[[#This Row],[Returned]])</f>
        <v>60</v>
      </c>
      <c r="Y2569" s="76">
        <f>OrdersTable[[#This Row],[Net Revenue]]-OrdersTable[[#This Row],[COGS]]-OrdersTable[[#This Row],[Shipping Cost]]</f>
        <v>262.69999999999982</v>
      </c>
      <c r="Z2569" s="78">
        <f>IFERROR(OrdersTable[[#This Row],[Profit]]/OrdersTable[[#This Row],[Net Revenue]],0)</f>
        <v>8.7897748184829469E-2</v>
      </c>
      <c r="AA2569" t="s">
        <v>2522</v>
      </c>
      <c r="AB2569" s="79">
        <v>45728</v>
      </c>
      <c r="AC2569">
        <f>OrdersTable[[#This Row],[Delivery Date]]-OrdersTable[[#This Row],[Order Date]]</f>
        <v>3</v>
      </c>
      <c r="AD2569" t="str">
        <f>IF(OrdersTable[[#This Row],[Delivery Days]]&lt;=2, "Express (≤2d)", IF(OrdersTable[[#This Row],[Delivery Days]]&lt;=4, "Standard (3-4d)", "Delayed (5d+)"))</f>
        <v>Standard (3-4d)</v>
      </c>
      <c r="AE2569">
        <v>3</v>
      </c>
      <c r="AF2569">
        <v>0</v>
      </c>
    </row>
    <row r="2570" spans="1:32" ht="15" x14ac:dyDescent="0.35">
      <c r="A2570" t="s">
        <v>6155</v>
      </c>
      <c r="B2570" s="1">
        <v>45725</v>
      </c>
      <c r="C2570">
        <f>YEAR(OrdersTable[[#This Row],[Order Date]])</f>
        <v>2025</v>
      </c>
      <c r="D2570" s="2">
        <f>DATE(YEAR(OrdersTable[[#This Row],[Order Date]]),MONTH(OrdersTable[[#This Row],[Order Date]]),1)</f>
        <v>45717</v>
      </c>
      <c r="E2570">
        <f>MONTH(OrdersTable[[#This Row],[Order Date]])</f>
        <v>3</v>
      </c>
      <c r="F2570" t="s">
        <v>5174</v>
      </c>
      <c r="G2570" t="str">
        <f>IF(OrdersTable[[#This Row],[Order Date]]=_xlfn.MINIFS(Order_Date, Customer_ID, OrdersTable[[#This Row],[Customer ID]]), "New", "Repeat")</f>
        <v>Repeat</v>
      </c>
      <c r="H2570" t="s">
        <v>43</v>
      </c>
      <c r="I2570" t="str">
        <f>INDEX(State!B:B,MATCH(OrdersTable[[#This Row],[State]],State!A:A,0))</f>
        <v>MP</v>
      </c>
      <c r="J2570" t="str">
        <f>INDEX(State!C:C,MATCH(OrdersTable[[#This Row],[State Code]],State!B:B,0))</f>
        <v>West</v>
      </c>
      <c r="K2570" t="s">
        <v>44</v>
      </c>
      <c r="L2570" t="s">
        <v>65</v>
      </c>
      <c r="M2570" t="s">
        <v>423</v>
      </c>
      <c r="N2570" t="str">
        <f>INDEX(Products!B:B,MATCH(OrdersTable[[#This Row],[Product ID]],Products!A:A,0))</f>
        <v>Power Bank 20000mAh</v>
      </c>
      <c r="O2570" t="str">
        <f>INDEX(Products!C:C,MATCH(OrdersTable[[#This Row],[Product ID]],Products!A:A,0))</f>
        <v>Electronics</v>
      </c>
      <c r="P2570">
        <v>2</v>
      </c>
      <c r="Q2570" s="5">
        <v>1799</v>
      </c>
      <c r="R2570" s="74">
        <v>0.35</v>
      </c>
      <c r="S2570" s="75">
        <f>OrdersTable[[#This Row],[Quantity]]*OrdersTable[[#This Row],[Unit Price]]</f>
        <v>3598</v>
      </c>
      <c r="T2570" s="5">
        <f>OrdersTable[[#This Row],[Gross Sale]]*OrdersTable[[#This Row],[Discount_Clean2]]</f>
        <v>1259.3</v>
      </c>
      <c r="U2570" s="5">
        <f>OrdersTable[[#This Row],[Gross Sale]]-OrdersTable[[#This Row],[Discount Amount]]</f>
        <v>2338.6999999999998</v>
      </c>
      <c r="V2570" s="77">
        <f>INDEX(Products!E:E,MATCH(OrdersTable[[#This Row],[Product ID]],Products!A:A,0))</f>
        <v>1079</v>
      </c>
      <c r="W2570" s="77">
        <f>OrdersTable[[#This Row],[Quantity]]*OrdersTable[[#This Row],[Unit Cost]]</f>
        <v>2158</v>
      </c>
      <c r="X2570" s="77">
        <f>'Dropdown Lists'!$I$2*(1+OrdersTable[[#This Row],[Returned]])</f>
        <v>60</v>
      </c>
      <c r="Y2570" s="76">
        <f>OrdersTable[[#This Row],[Net Revenue]]-OrdersTable[[#This Row],[COGS]]-OrdersTable[[#This Row],[Shipping Cost]]</f>
        <v>120.69999999999982</v>
      </c>
      <c r="Z2570" s="78">
        <f>IFERROR(OrdersTable[[#This Row],[Profit]]/OrdersTable[[#This Row],[Net Revenue]],0)</f>
        <v>5.1609868730491226E-2</v>
      </c>
      <c r="AA2570" t="s">
        <v>18</v>
      </c>
      <c r="AB2570" s="79">
        <v>45728</v>
      </c>
      <c r="AC2570">
        <f>OrdersTable[[#This Row],[Delivery Date]]-OrdersTable[[#This Row],[Order Date]]</f>
        <v>3</v>
      </c>
      <c r="AD2570" t="str">
        <f>IF(OrdersTable[[#This Row],[Delivery Days]]&lt;=2, "Express (≤2d)", IF(OrdersTable[[#This Row],[Delivery Days]]&lt;=4, "Standard (3-4d)", "Delayed (5d+)"))</f>
        <v>Standard (3-4d)</v>
      </c>
      <c r="AE2570">
        <v>4</v>
      </c>
      <c r="AF2570">
        <v>0</v>
      </c>
    </row>
    <row r="2571" spans="1:32" ht="15" x14ac:dyDescent="0.35">
      <c r="A2571" t="s">
        <v>2795</v>
      </c>
      <c r="B2571" s="1">
        <v>45725</v>
      </c>
      <c r="C2571">
        <f>YEAR(OrdersTable[[#This Row],[Order Date]])</f>
        <v>2025</v>
      </c>
      <c r="D2571" s="2">
        <f>DATE(YEAR(OrdersTable[[#This Row],[Order Date]]),MONTH(OrdersTable[[#This Row],[Order Date]]),1)</f>
        <v>45717</v>
      </c>
      <c r="E2571">
        <f>MONTH(OrdersTable[[#This Row],[Order Date]])</f>
        <v>3</v>
      </c>
      <c r="F2571" t="s">
        <v>2775</v>
      </c>
      <c r="G2571" t="str">
        <f>IF(OrdersTable[[#This Row],[Order Date]]=_xlfn.MINIFS(Order_Date, Customer_ID, OrdersTable[[#This Row],[Customer ID]]), "New", "Repeat")</f>
        <v>Repeat</v>
      </c>
      <c r="H2571" t="s">
        <v>482</v>
      </c>
      <c r="I2571" t="str">
        <f>INDEX(State!B:B,MATCH(OrdersTable[[#This Row],[State]],State!A:A,0))</f>
        <v>CG</v>
      </c>
      <c r="J2571" t="str">
        <f>INDEX(State!C:C,MATCH(OrdersTable[[#This Row],[State Code]],State!B:B,0))</f>
        <v>East</v>
      </c>
      <c r="K2571" t="s">
        <v>483</v>
      </c>
      <c r="L2571" t="s">
        <v>23</v>
      </c>
      <c r="M2571" t="s">
        <v>24</v>
      </c>
      <c r="N2571" t="str">
        <f>INDEX(Products!B:B,MATCH(OrdersTable[[#This Row],[Product ID]],Products!A:A,0))</f>
        <v>Scented Candle Set</v>
      </c>
      <c r="O2571" t="str">
        <f>INDEX(Products!C:C,MATCH(OrdersTable[[#This Row],[Product ID]],Products!A:A,0))</f>
        <v>Home &amp; Kitchen</v>
      </c>
      <c r="P2571">
        <v>1</v>
      </c>
      <c r="Q2571" s="5">
        <v>699</v>
      </c>
      <c r="R2571" s="74">
        <v>0.2</v>
      </c>
      <c r="S2571" s="75">
        <f>OrdersTable[[#This Row],[Quantity]]*OrdersTable[[#This Row],[Unit Price]]</f>
        <v>699</v>
      </c>
      <c r="T2571" s="5">
        <f>OrdersTable[[#This Row],[Gross Sale]]*OrdersTable[[#This Row],[Discount_Clean2]]</f>
        <v>139.80000000000001</v>
      </c>
      <c r="U2571" s="5">
        <f>OrdersTable[[#This Row],[Gross Sale]]-OrdersTable[[#This Row],[Discount Amount]]</f>
        <v>559.20000000000005</v>
      </c>
      <c r="V2571" s="77">
        <f>INDEX(Products!E:E,MATCH(OrdersTable[[#This Row],[Product ID]],Products!A:A,0))</f>
        <v>245</v>
      </c>
      <c r="W2571" s="77">
        <f>OrdersTable[[#This Row],[Quantity]]*OrdersTable[[#This Row],[Unit Cost]]</f>
        <v>245</v>
      </c>
      <c r="X2571" s="77">
        <f>'Dropdown Lists'!$I$2*(1+OrdersTable[[#This Row],[Returned]])</f>
        <v>60</v>
      </c>
      <c r="Y2571" s="76">
        <f>OrdersTable[[#This Row],[Net Revenue]]-OrdersTable[[#This Row],[COGS]]-OrdersTable[[#This Row],[Shipping Cost]]</f>
        <v>254.20000000000005</v>
      </c>
      <c r="Z2571" s="78">
        <f>IFERROR(OrdersTable[[#This Row],[Profit]]/OrdersTable[[#This Row],[Net Revenue]],0)</f>
        <v>0.45457796852646642</v>
      </c>
      <c r="AA2571" t="s">
        <v>2522</v>
      </c>
      <c r="AB2571" s="79">
        <v>45731</v>
      </c>
      <c r="AC2571">
        <f>OrdersTable[[#This Row],[Delivery Date]]-OrdersTable[[#This Row],[Order Date]]</f>
        <v>6</v>
      </c>
      <c r="AD2571" t="str">
        <f>IF(OrdersTable[[#This Row],[Delivery Days]]&lt;=2, "Express (≤2d)", IF(OrdersTable[[#This Row],[Delivery Days]]&lt;=4, "Standard (3-4d)", "Delayed (5d+)"))</f>
        <v>Delayed (5d+)</v>
      </c>
      <c r="AE2571">
        <v>3</v>
      </c>
      <c r="AF2571">
        <v>0</v>
      </c>
    </row>
    <row r="2572" spans="1:32" ht="15" x14ac:dyDescent="0.35">
      <c r="A2572" t="s">
        <v>2606</v>
      </c>
      <c r="B2572" s="1">
        <v>45725</v>
      </c>
      <c r="C2572">
        <f>YEAR(OrdersTable[[#This Row],[Order Date]])</f>
        <v>2025</v>
      </c>
      <c r="D2572" s="2">
        <f>DATE(YEAR(OrdersTable[[#This Row],[Order Date]]),MONTH(OrdersTable[[#This Row],[Order Date]]),1)</f>
        <v>45717</v>
      </c>
      <c r="E2572">
        <f>MONTH(OrdersTable[[#This Row],[Order Date]])</f>
        <v>3</v>
      </c>
      <c r="F2572" t="s">
        <v>2000</v>
      </c>
      <c r="G2572" t="str">
        <f>IF(OrdersTable[[#This Row],[Order Date]]=_xlfn.MINIFS(Order_Date, Customer_ID, OrdersTable[[#This Row],[Customer ID]]), "New", "Repeat")</f>
        <v>New</v>
      </c>
      <c r="H2572" t="s">
        <v>71</v>
      </c>
      <c r="I2572" t="str">
        <f>INDEX(State!B:B,MATCH(OrdersTable[[#This Row],[State]],State!A:A,0))</f>
        <v>MH</v>
      </c>
      <c r="J2572" t="str">
        <f>INDEX(State!C:C,MATCH(OrdersTable[[#This Row],[State Code]],State!B:B,0))</f>
        <v>West</v>
      </c>
      <c r="K2572" t="s">
        <v>102</v>
      </c>
      <c r="L2572" t="s">
        <v>16</v>
      </c>
      <c r="M2572" t="s">
        <v>255</v>
      </c>
      <c r="N2572" t="str">
        <f>INDEX(Products!B:B,MATCH(OrdersTable[[#This Row],[Product ID]],Products!A:A,0))</f>
        <v>Cotton Oversized T-Shirt</v>
      </c>
      <c r="O2572" t="str">
        <f>INDEX(Products!C:C,MATCH(OrdersTable[[#This Row],[Product ID]],Products!A:A,0))</f>
        <v>Apparel</v>
      </c>
      <c r="P2572">
        <v>1</v>
      </c>
      <c r="Q2572" s="5">
        <v>799</v>
      </c>
      <c r="R2572" s="74">
        <v>0.1</v>
      </c>
      <c r="S2572" s="75">
        <f>OrdersTable[[#This Row],[Quantity]]*OrdersTable[[#This Row],[Unit Price]]</f>
        <v>799</v>
      </c>
      <c r="T2572" s="5">
        <f>OrdersTable[[#This Row],[Gross Sale]]*OrdersTable[[#This Row],[Discount_Clean2]]</f>
        <v>79.900000000000006</v>
      </c>
      <c r="U2572" s="5">
        <f>OrdersTable[[#This Row],[Gross Sale]]-OrdersTable[[#This Row],[Discount Amount]]</f>
        <v>719.1</v>
      </c>
      <c r="V2572" s="77">
        <f>INDEX(Products!E:E,MATCH(OrdersTable[[#This Row],[Product ID]],Products!A:A,0))</f>
        <v>320</v>
      </c>
      <c r="W2572" s="77">
        <f>OrdersTable[[#This Row],[Quantity]]*OrdersTable[[#This Row],[Unit Cost]]</f>
        <v>320</v>
      </c>
      <c r="X2572" s="77">
        <f>'Dropdown Lists'!$I$2*(1+OrdersTable[[#This Row],[Returned]])</f>
        <v>60</v>
      </c>
      <c r="Y2572" s="76">
        <f>OrdersTable[[#This Row],[Net Revenue]]-OrdersTable[[#This Row],[COGS]]-OrdersTable[[#This Row],[Shipping Cost]]</f>
        <v>339.1</v>
      </c>
      <c r="Z2572" s="78">
        <f>IFERROR(OrdersTable[[#This Row],[Profit]]/OrdersTable[[#This Row],[Net Revenue]],0)</f>
        <v>0.47156167431511614</v>
      </c>
      <c r="AA2572" t="s">
        <v>2522</v>
      </c>
      <c r="AB2572" s="79">
        <v>45727</v>
      </c>
      <c r="AC2572">
        <f>OrdersTable[[#This Row],[Delivery Date]]-OrdersTable[[#This Row],[Order Date]]</f>
        <v>2</v>
      </c>
      <c r="AD2572" t="str">
        <f>IF(OrdersTable[[#This Row],[Delivery Days]]&lt;=2, "Express (≤2d)", IF(OrdersTable[[#This Row],[Delivery Days]]&lt;=4, "Standard (3-4d)", "Delayed (5d+)"))</f>
        <v>Express (≤2d)</v>
      </c>
      <c r="AE2572">
        <v>5</v>
      </c>
      <c r="AF2572">
        <v>0</v>
      </c>
    </row>
    <row r="2573" spans="1:32" ht="15" x14ac:dyDescent="0.35">
      <c r="A2573" t="s">
        <v>587</v>
      </c>
      <c r="B2573" s="1">
        <v>45725</v>
      </c>
      <c r="C2573">
        <f>YEAR(OrdersTable[[#This Row],[Order Date]])</f>
        <v>2025</v>
      </c>
      <c r="D2573" s="2">
        <f>DATE(YEAR(OrdersTable[[#This Row],[Order Date]]),MONTH(OrdersTable[[#This Row],[Order Date]]),1)</f>
        <v>45717</v>
      </c>
      <c r="E2573">
        <f>MONTH(OrdersTable[[#This Row],[Order Date]])</f>
        <v>3</v>
      </c>
      <c r="F2573" t="s">
        <v>588</v>
      </c>
      <c r="G2573" t="str">
        <f>IF(OrdersTable[[#This Row],[Order Date]]=_xlfn.MINIFS(Order_Date, Customer_ID, OrdersTable[[#This Row],[Customer ID]]), "New", "Repeat")</f>
        <v>New</v>
      </c>
      <c r="H2573" t="s">
        <v>90</v>
      </c>
      <c r="I2573" t="str">
        <f>INDEX(State!B:B,MATCH(OrdersTable[[#This Row],[State]],State!A:A,0))</f>
        <v>GA</v>
      </c>
      <c r="J2573" t="str">
        <f>INDEX(State!C:C,MATCH(OrdersTable[[#This Row],[State Code]],State!B:B,0))</f>
        <v>West</v>
      </c>
      <c r="K2573" t="s">
        <v>91</v>
      </c>
      <c r="L2573" t="s">
        <v>39</v>
      </c>
      <c r="M2573" t="s">
        <v>24</v>
      </c>
      <c r="N2573" t="str">
        <f>INDEX(Products!B:B,MATCH(OrdersTable[[#This Row],[Product ID]],Products!A:A,0))</f>
        <v>Scented Candle Set</v>
      </c>
      <c r="O2573" t="str">
        <f>INDEX(Products!C:C,MATCH(OrdersTable[[#This Row],[Product ID]],Products!A:A,0))</f>
        <v>Home &amp; Kitchen</v>
      </c>
      <c r="P2573">
        <v>1</v>
      </c>
      <c r="Q2573" s="5">
        <v>699</v>
      </c>
      <c r="R2573" s="74">
        <v>0.2</v>
      </c>
      <c r="S2573" s="75">
        <f>OrdersTable[[#This Row],[Quantity]]*OrdersTable[[#This Row],[Unit Price]]</f>
        <v>699</v>
      </c>
      <c r="T2573" s="5">
        <f>OrdersTable[[#This Row],[Gross Sale]]*OrdersTable[[#This Row],[Discount_Clean2]]</f>
        <v>139.80000000000001</v>
      </c>
      <c r="U2573" s="5">
        <f>OrdersTable[[#This Row],[Gross Sale]]-OrdersTable[[#This Row],[Discount Amount]]</f>
        <v>559.20000000000005</v>
      </c>
      <c r="V2573" s="77">
        <f>INDEX(Products!E:E,MATCH(OrdersTable[[#This Row],[Product ID]],Products!A:A,0))</f>
        <v>245</v>
      </c>
      <c r="W2573" s="77">
        <f>OrdersTable[[#This Row],[Quantity]]*OrdersTable[[#This Row],[Unit Cost]]</f>
        <v>245</v>
      </c>
      <c r="X2573" s="77">
        <f>'Dropdown Lists'!$I$2*(1+OrdersTable[[#This Row],[Returned]])</f>
        <v>60</v>
      </c>
      <c r="Y2573" s="76">
        <f>OrdersTable[[#This Row],[Net Revenue]]-OrdersTable[[#This Row],[COGS]]-OrdersTable[[#This Row],[Shipping Cost]]</f>
        <v>254.20000000000005</v>
      </c>
      <c r="Z2573" s="78">
        <f>IFERROR(OrdersTable[[#This Row],[Profit]]/OrdersTable[[#This Row],[Net Revenue]],0)</f>
        <v>0.45457796852646642</v>
      </c>
      <c r="AA2573" t="s">
        <v>18</v>
      </c>
      <c r="AB2573" s="79">
        <v>45729</v>
      </c>
      <c r="AC2573">
        <f>OrdersTable[[#This Row],[Delivery Date]]-OrdersTable[[#This Row],[Order Date]]</f>
        <v>4</v>
      </c>
      <c r="AD2573" t="str">
        <f>IF(OrdersTable[[#This Row],[Delivery Days]]&lt;=2, "Express (≤2d)", IF(OrdersTable[[#This Row],[Delivery Days]]&lt;=4, "Standard (3-4d)", "Delayed (5d+)"))</f>
        <v>Standard (3-4d)</v>
      </c>
      <c r="AE2573">
        <v>4</v>
      </c>
      <c r="AF2573">
        <v>0</v>
      </c>
    </row>
    <row r="2574" spans="1:32" ht="15" x14ac:dyDescent="0.35">
      <c r="A2574" t="s">
        <v>5399</v>
      </c>
      <c r="B2574" s="1">
        <v>45725</v>
      </c>
      <c r="C2574">
        <f>YEAR(OrdersTable[[#This Row],[Order Date]])</f>
        <v>2025</v>
      </c>
      <c r="D2574" s="2">
        <f>DATE(YEAR(OrdersTable[[#This Row],[Order Date]]),MONTH(OrdersTable[[#This Row],[Order Date]]),1)</f>
        <v>45717</v>
      </c>
      <c r="E2574">
        <f>MONTH(OrdersTable[[#This Row],[Order Date]])</f>
        <v>3</v>
      </c>
      <c r="F2574" t="s">
        <v>3371</v>
      </c>
      <c r="G2574" t="str">
        <f>IF(OrdersTable[[#This Row],[Order Date]]=_xlfn.MINIFS(Order_Date, Customer_ID, OrdersTable[[#This Row],[Customer ID]]), "New", "Repeat")</f>
        <v>New</v>
      </c>
      <c r="H2574" t="s">
        <v>167</v>
      </c>
      <c r="I2574" t="str">
        <f>INDEX(State!B:B,MATCH(OrdersTable[[#This Row],[State]],State!A:A,0))</f>
        <v>KA</v>
      </c>
      <c r="J2574" t="str">
        <f>INDEX(State!C:C,MATCH(OrdersTable[[#This Row],[State Code]],State!B:B,0))</f>
        <v>South</v>
      </c>
      <c r="K2574" t="s">
        <v>190</v>
      </c>
      <c r="L2574" t="s">
        <v>65</v>
      </c>
      <c r="M2574" t="s">
        <v>173</v>
      </c>
      <c r="N2574" t="str">
        <f>INDEX(Products!B:B,MATCH(OrdersTable[[#This Row],[Product ID]],Products!A:A,0))</f>
        <v>Wireless Earbuds</v>
      </c>
      <c r="O2574" t="str">
        <f>INDEX(Products!C:C,MATCH(OrdersTable[[#This Row],[Product ID]],Products!A:A,0))</f>
        <v>Electronics</v>
      </c>
      <c r="P2574">
        <v>2</v>
      </c>
      <c r="Q2574" s="5">
        <v>1999</v>
      </c>
      <c r="R2574" s="74">
        <v>0.3</v>
      </c>
      <c r="S2574" s="75">
        <f>OrdersTable[[#This Row],[Quantity]]*OrdersTable[[#This Row],[Unit Price]]</f>
        <v>3998</v>
      </c>
      <c r="T2574" s="5">
        <f>OrdersTable[[#This Row],[Gross Sale]]*OrdersTable[[#This Row],[Discount_Clean2]]</f>
        <v>1199.3999999999999</v>
      </c>
      <c r="U2574" s="5">
        <f>OrdersTable[[#This Row],[Gross Sale]]-OrdersTable[[#This Row],[Discount Amount]]</f>
        <v>2798.6000000000004</v>
      </c>
      <c r="V2574" s="77">
        <f>INDEX(Products!E:E,MATCH(OrdersTable[[#This Row],[Product ID]],Products!A:A,0))</f>
        <v>1239</v>
      </c>
      <c r="W2574" s="77">
        <f>OrdersTable[[#This Row],[Quantity]]*OrdersTable[[#This Row],[Unit Cost]]</f>
        <v>2478</v>
      </c>
      <c r="X2574" s="77">
        <f>'Dropdown Lists'!$I$2*(1+OrdersTable[[#This Row],[Returned]])</f>
        <v>60</v>
      </c>
      <c r="Y2574" s="76">
        <f>OrdersTable[[#This Row],[Net Revenue]]-OrdersTable[[#This Row],[COGS]]-OrdersTable[[#This Row],[Shipping Cost]]</f>
        <v>260.60000000000036</v>
      </c>
      <c r="Z2574" s="78">
        <f>IFERROR(OrdersTable[[#This Row],[Profit]]/OrdersTable[[#This Row],[Net Revenue]],0)</f>
        <v>9.3117987565211294E-2</v>
      </c>
      <c r="AA2574" t="s">
        <v>2522</v>
      </c>
      <c r="AB2574" s="79">
        <v>45727</v>
      </c>
      <c r="AC2574">
        <f>OrdersTable[[#This Row],[Delivery Date]]-OrdersTable[[#This Row],[Order Date]]</f>
        <v>2</v>
      </c>
      <c r="AD2574" t="str">
        <f>IF(OrdersTable[[#This Row],[Delivery Days]]&lt;=2, "Express (≤2d)", IF(OrdersTable[[#This Row],[Delivery Days]]&lt;=4, "Standard (3-4d)", "Delayed (5d+)"))</f>
        <v>Express (≤2d)</v>
      </c>
      <c r="AE2574">
        <v>5</v>
      </c>
      <c r="AF2574">
        <v>0</v>
      </c>
    </row>
    <row r="2575" spans="1:32" ht="15" x14ac:dyDescent="0.35">
      <c r="A2575" t="s">
        <v>812</v>
      </c>
      <c r="B2575" s="1">
        <v>45725</v>
      </c>
      <c r="C2575">
        <f>YEAR(OrdersTable[[#This Row],[Order Date]])</f>
        <v>2025</v>
      </c>
      <c r="D2575" s="2">
        <f>DATE(YEAR(OrdersTable[[#This Row],[Order Date]]),MONTH(OrdersTable[[#This Row],[Order Date]]),1)</f>
        <v>45717</v>
      </c>
      <c r="E2575">
        <f>MONTH(OrdersTable[[#This Row],[Order Date]])</f>
        <v>3</v>
      </c>
      <c r="F2575" t="s">
        <v>813</v>
      </c>
      <c r="G2575" t="str">
        <f>IF(OrdersTable[[#This Row],[Order Date]]=_xlfn.MINIFS(Order_Date, Customer_ID, OrdersTable[[#This Row],[Customer ID]]), "New", "Repeat")</f>
        <v>New</v>
      </c>
      <c r="H2575" t="s">
        <v>59</v>
      </c>
      <c r="I2575" t="str">
        <f>INDEX(State!B:B,MATCH(OrdersTable[[#This Row],[State]],State!A:A,0))</f>
        <v>TN</v>
      </c>
      <c r="J2575" t="str">
        <f>INDEX(State!C:C,MATCH(OrdersTable[[#This Row],[State Code]],State!B:B,0))</f>
        <v>South</v>
      </c>
      <c r="K2575" t="s">
        <v>64</v>
      </c>
      <c r="L2575" t="s">
        <v>39</v>
      </c>
      <c r="M2575" t="s">
        <v>205</v>
      </c>
      <c r="N2575" t="str">
        <f>INDEX(Products!B:B,MATCH(OrdersTable[[#This Row],[Product ID]],Products!A:A,0))</f>
        <v>Running Shoes</v>
      </c>
      <c r="O2575" t="str">
        <f>INDEX(Products!C:C,MATCH(OrdersTable[[#This Row],[Product ID]],Products!A:A,0))</f>
        <v>Footwear</v>
      </c>
      <c r="P2575">
        <v>1</v>
      </c>
      <c r="Q2575" s="5">
        <v>2999</v>
      </c>
      <c r="R2575" s="74">
        <v>0.2</v>
      </c>
      <c r="S2575" s="75">
        <f>OrdersTable[[#This Row],[Quantity]]*OrdersTable[[#This Row],[Unit Price]]</f>
        <v>2999</v>
      </c>
      <c r="T2575" s="5">
        <f>OrdersTable[[#This Row],[Gross Sale]]*OrdersTable[[#This Row],[Discount_Clean2]]</f>
        <v>599.80000000000007</v>
      </c>
      <c r="U2575" s="5">
        <f>OrdersTable[[#This Row],[Gross Sale]]-OrdersTable[[#This Row],[Discount Amount]]</f>
        <v>2399.1999999999998</v>
      </c>
      <c r="V2575" s="77">
        <f>INDEX(Products!E:E,MATCH(OrdersTable[[#This Row],[Product ID]],Products!A:A,0))</f>
        <v>1440</v>
      </c>
      <c r="W2575" s="77">
        <f>OrdersTable[[#This Row],[Quantity]]*OrdersTable[[#This Row],[Unit Cost]]</f>
        <v>1440</v>
      </c>
      <c r="X2575" s="77">
        <f>'Dropdown Lists'!$I$2*(1+OrdersTable[[#This Row],[Returned]])</f>
        <v>60</v>
      </c>
      <c r="Y2575" s="76">
        <f>OrdersTable[[#This Row],[Net Revenue]]-OrdersTable[[#This Row],[COGS]]-OrdersTable[[#This Row],[Shipping Cost]]</f>
        <v>899.19999999999982</v>
      </c>
      <c r="Z2575" s="78">
        <f>IFERROR(OrdersTable[[#This Row],[Profit]]/OrdersTable[[#This Row],[Net Revenue]],0)</f>
        <v>0.3747915971990663</v>
      </c>
      <c r="AA2575" t="s">
        <v>18</v>
      </c>
      <c r="AB2575" s="79">
        <v>45729</v>
      </c>
      <c r="AC2575">
        <f>OrdersTable[[#This Row],[Delivery Date]]-OrdersTable[[#This Row],[Order Date]]</f>
        <v>4</v>
      </c>
      <c r="AD2575" t="str">
        <f>IF(OrdersTable[[#This Row],[Delivery Days]]&lt;=2, "Express (≤2d)", IF(OrdersTable[[#This Row],[Delivery Days]]&lt;=4, "Standard (3-4d)", "Delayed (5d+)"))</f>
        <v>Standard (3-4d)</v>
      </c>
      <c r="AE2575">
        <v>4</v>
      </c>
      <c r="AF2575">
        <v>0</v>
      </c>
    </row>
    <row r="2576" spans="1:32" ht="15" x14ac:dyDescent="0.35">
      <c r="A2576" t="s">
        <v>6709</v>
      </c>
      <c r="B2576" s="1">
        <v>45725</v>
      </c>
      <c r="C2576">
        <f>YEAR(OrdersTable[[#This Row],[Order Date]])</f>
        <v>2025</v>
      </c>
      <c r="D2576" s="2">
        <f>DATE(YEAR(OrdersTable[[#This Row],[Order Date]]),MONTH(OrdersTable[[#This Row],[Order Date]]),1)</f>
        <v>45717</v>
      </c>
      <c r="E2576">
        <f>MONTH(OrdersTable[[#This Row],[Order Date]])</f>
        <v>3</v>
      </c>
      <c r="F2576" t="s">
        <v>2692</v>
      </c>
      <c r="G2576" t="str">
        <f>IF(OrdersTable[[#This Row],[Order Date]]=_xlfn.MINIFS(Order_Date, Customer_ID, OrdersTable[[#This Row],[Customer ID]]), "New", "Repeat")</f>
        <v>Repeat</v>
      </c>
      <c r="H2576" t="s">
        <v>59</v>
      </c>
      <c r="I2576" t="str">
        <f>INDEX(State!B:B,MATCH(OrdersTable[[#This Row],[State]],State!A:A,0))</f>
        <v>TN</v>
      </c>
      <c r="J2576" t="str">
        <f>INDEX(State!C:C,MATCH(OrdersTable[[#This Row],[State Code]],State!B:B,0))</f>
        <v>South</v>
      </c>
      <c r="K2576" t="s">
        <v>60</v>
      </c>
      <c r="L2576" t="s">
        <v>50</v>
      </c>
      <c r="M2576" t="s">
        <v>51</v>
      </c>
      <c r="N2576" t="str">
        <f>INDEX(Products!B:B,MATCH(OrdersTable[[#This Row],[Product ID]],Products!A:A,0))</f>
        <v>Anti-Dandruff Conditioner</v>
      </c>
      <c r="O2576" t="str">
        <f>INDEX(Products!C:C,MATCH(OrdersTable[[#This Row],[Product ID]],Products!A:A,0))</f>
        <v>Haircare</v>
      </c>
      <c r="P2576">
        <v>3</v>
      </c>
      <c r="Q2576" s="5">
        <v>399</v>
      </c>
      <c r="R2576" s="74">
        <v>0.45</v>
      </c>
      <c r="S2576" s="75">
        <f>OrdersTable[[#This Row],[Quantity]]*OrdersTable[[#This Row],[Unit Price]]</f>
        <v>1197</v>
      </c>
      <c r="T2576" s="5">
        <f>OrdersTable[[#This Row],[Gross Sale]]*OrdersTable[[#This Row],[Discount_Clean2]]</f>
        <v>538.65</v>
      </c>
      <c r="U2576" s="5">
        <f>OrdersTable[[#This Row],[Gross Sale]]-OrdersTable[[#This Row],[Discount Amount]]</f>
        <v>658.35</v>
      </c>
      <c r="V2576" s="77">
        <f>INDEX(Products!E:E,MATCH(OrdersTable[[#This Row],[Product ID]],Products!A:A,0))</f>
        <v>136</v>
      </c>
      <c r="W2576" s="77">
        <f>OrdersTable[[#This Row],[Quantity]]*OrdersTable[[#This Row],[Unit Cost]]</f>
        <v>408</v>
      </c>
      <c r="X2576" s="77">
        <f>'Dropdown Lists'!$I$2*(1+OrdersTable[[#This Row],[Returned]])</f>
        <v>60</v>
      </c>
      <c r="Y2576" s="76">
        <f>OrdersTable[[#This Row],[Net Revenue]]-OrdersTable[[#This Row],[COGS]]-OrdersTable[[#This Row],[Shipping Cost]]</f>
        <v>190.35000000000002</v>
      </c>
      <c r="Z2576" s="78">
        <f>IFERROR(OrdersTable[[#This Row],[Profit]]/OrdersTable[[#This Row],[Net Revenue]],0)</f>
        <v>0.28913192071086813</v>
      </c>
      <c r="AA2576" t="s">
        <v>2522</v>
      </c>
      <c r="AB2576" s="79">
        <v>45729</v>
      </c>
      <c r="AC2576">
        <f>OrdersTable[[#This Row],[Delivery Date]]-OrdersTable[[#This Row],[Order Date]]</f>
        <v>4</v>
      </c>
      <c r="AD2576" t="str">
        <f>IF(OrdersTable[[#This Row],[Delivery Days]]&lt;=2, "Express (≤2d)", IF(OrdersTable[[#This Row],[Delivery Days]]&lt;=4, "Standard (3-4d)", "Delayed (5d+)"))</f>
        <v>Standard (3-4d)</v>
      </c>
      <c r="AE2576">
        <v>3</v>
      </c>
      <c r="AF2576">
        <v>0</v>
      </c>
    </row>
    <row r="2577" spans="1:32" ht="15" x14ac:dyDescent="0.35">
      <c r="A2577" t="s">
        <v>2370</v>
      </c>
      <c r="B2577" s="1">
        <v>45726</v>
      </c>
      <c r="C2577">
        <f>YEAR(OrdersTable[[#This Row],[Order Date]])</f>
        <v>2025</v>
      </c>
      <c r="D2577" s="2">
        <f>DATE(YEAR(OrdersTable[[#This Row],[Order Date]]),MONTH(OrdersTable[[#This Row],[Order Date]]),1)</f>
        <v>45717</v>
      </c>
      <c r="E2577">
        <f>MONTH(OrdersTable[[#This Row],[Order Date]])</f>
        <v>3</v>
      </c>
      <c r="F2577" t="s">
        <v>2371</v>
      </c>
      <c r="G2577" t="str">
        <f>IF(OrdersTable[[#This Row],[Order Date]]=_xlfn.MINIFS(Order_Date, Customer_ID, OrdersTable[[#This Row],[Customer ID]]), "New", "Repeat")</f>
        <v>Repeat</v>
      </c>
      <c r="H2577" t="s">
        <v>21</v>
      </c>
      <c r="I2577" t="str">
        <f>INDEX(State!B:B,MATCH(OrdersTable[[#This Row],[State]],State!A:A,0))</f>
        <v>PB</v>
      </c>
      <c r="J2577" t="str">
        <f>INDEX(State!C:C,MATCH(OrdersTable[[#This Row],[State Code]],State!B:B,0))</f>
        <v>North</v>
      </c>
      <c r="K2577" t="s">
        <v>22</v>
      </c>
      <c r="L2577" t="s">
        <v>65</v>
      </c>
      <c r="M2577" t="s">
        <v>255</v>
      </c>
      <c r="N2577" t="str">
        <f>INDEX(Products!B:B,MATCH(OrdersTable[[#This Row],[Product ID]],Products!A:A,0))</f>
        <v>Cotton Oversized T-Shirt</v>
      </c>
      <c r="O2577" t="str">
        <f>INDEX(Products!C:C,MATCH(OrdersTable[[#This Row],[Product ID]],Products!A:A,0))</f>
        <v>Apparel</v>
      </c>
      <c r="P2577">
        <v>1</v>
      </c>
      <c r="Q2577" s="5">
        <v>799</v>
      </c>
      <c r="R2577" s="74">
        <v>0.1</v>
      </c>
      <c r="S2577" s="75">
        <f>OrdersTable[[#This Row],[Quantity]]*OrdersTable[[#This Row],[Unit Price]]</f>
        <v>799</v>
      </c>
      <c r="T2577" s="5">
        <f>OrdersTable[[#This Row],[Gross Sale]]*OrdersTable[[#This Row],[Discount_Clean2]]</f>
        <v>79.900000000000006</v>
      </c>
      <c r="U2577" s="5">
        <f>OrdersTable[[#This Row],[Gross Sale]]-OrdersTable[[#This Row],[Discount Amount]]</f>
        <v>719.1</v>
      </c>
      <c r="V2577" s="77">
        <f>INDEX(Products!E:E,MATCH(OrdersTable[[#This Row],[Product ID]],Products!A:A,0))</f>
        <v>320</v>
      </c>
      <c r="W2577" s="77">
        <f>OrdersTable[[#This Row],[Quantity]]*OrdersTable[[#This Row],[Unit Cost]]</f>
        <v>320</v>
      </c>
      <c r="X2577" s="77">
        <f>'Dropdown Lists'!$I$2*(1+OrdersTable[[#This Row],[Returned]])</f>
        <v>60</v>
      </c>
      <c r="Y2577" s="76">
        <f>OrdersTable[[#This Row],[Net Revenue]]-OrdersTable[[#This Row],[COGS]]-OrdersTable[[#This Row],[Shipping Cost]]</f>
        <v>339.1</v>
      </c>
      <c r="Z2577" s="78">
        <f>IFERROR(OrdersTable[[#This Row],[Profit]]/OrdersTable[[#This Row],[Net Revenue]],0)</f>
        <v>0.47156167431511614</v>
      </c>
      <c r="AA2577" t="s">
        <v>18</v>
      </c>
      <c r="AB2577" s="79">
        <v>45728</v>
      </c>
      <c r="AC2577">
        <f>OrdersTable[[#This Row],[Delivery Date]]-OrdersTable[[#This Row],[Order Date]]</f>
        <v>2</v>
      </c>
      <c r="AD2577" t="str">
        <f>IF(OrdersTable[[#This Row],[Delivery Days]]&lt;=2, "Express (≤2d)", IF(OrdersTable[[#This Row],[Delivery Days]]&lt;=4, "Standard (3-4d)", "Delayed (5d+)"))</f>
        <v>Express (≤2d)</v>
      </c>
      <c r="AE2577">
        <v>5</v>
      </c>
      <c r="AF2577">
        <v>0</v>
      </c>
    </row>
    <row r="2578" spans="1:32" ht="15" x14ac:dyDescent="0.35">
      <c r="A2578" t="s">
        <v>3034</v>
      </c>
      <c r="B2578" s="1">
        <v>45726</v>
      </c>
      <c r="C2578">
        <f>YEAR(OrdersTable[[#This Row],[Order Date]])</f>
        <v>2025</v>
      </c>
      <c r="D2578" s="2">
        <f>DATE(YEAR(OrdersTable[[#This Row],[Order Date]]),MONTH(OrdersTable[[#This Row],[Order Date]]),1)</f>
        <v>45717</v>
      </c>
      <c r="E2578">
        <f>MONTH(OrdersTable[[#This Row],[Order Date]])</f>
        <v>3</v>
      </c>
      <c r="F2578" t="s">
        <v>3035</v>
      </c>
      <c r="G2578" t="str">
        <f>IF(OrdersTable[[#This Row],[Order Date]]=_xlfn.MINIFS(Order_Date, Customer_ID, OrdersTable[[#This Row],[Customer ID]]), "New", "Repeat")</f>
        <v>New</v>
      </c>
      <c r="H2578" t="s">
        <v>76</v>
      </c>
      <c r="I2578" t="str">
        <f>INDEX(State!B:B,MATCH(OrdersTable[[#This Row],[State]],State!A:A,0))</f>
        <v>UP</v>
      </c>
      <c r="J2578" t="str">
        <f>INDEX(State!C:C,MATCH(OrdersTable[[#This Row],[State Code]],State!B:B,0))</f>
        <v>North</v>
      </c>
      <c r="K2578" t="s">
        <v>77</v>
      </c>
      <c r="L2578" t="s">
        <v>65</v>
      </c>
      <c r="M2578" t="s">
        <v>40</v>
      </c>
      <c r="N2578" t="str">
        <f>INDEX(Products!B:B,MATCH(OrdersTable[[#This Row],[Product ID]],Products!A:A,0))</f>
        <v>Ashwagandha Capsules</v>
      </c>
      <c r="O2578" t="str">
        <f>INDEX(Products!C:C,MATCH(OrdersTable[[#This Row],[Product ID]],Products!A:A,0))</f>
        <v>Wellness</v>
      </c>
      <c r="P2578">
        <v>1</v>
      </c>
      <c r="Q2578" s="5">
        <v>499</v>
      </c>
      <c r="R2578" s="74">
        <v>0.1</v>
      </c>
      <c r="S2578" s="75">
        <f>OrdersTable[[#This Row],[Quantity]]*OrdersTable[[#This Row],[Unit Price]]</f>
        <v>499</v>
      </c>
      <c r="T2578" s="5">
        <f>OrdersTable[[#This Row],[Gross Sale]]*OrdersTable[[#This Row],[Discount_Clean2]]</f>
        <v>49.900000000000006</v>
      </c>
      <c r="U2578" s="5">
        <f>OrdersTable[[#This Row],[Gross Sale]]-OrdersTable[[#This Row],[Discount Amount]]</f>
        <v>449.1</v>
      </c>
      <c r="V2578" s="77">
        <f>INDEX(Products!E:E,MATCH(OrdersTable[[#This Row],[Product ID]],Products!A:A,0))</f>
        <v>150</v>
      </c>
      <c r="W2578" s="77">
        <f>OrdersTable[[#This Row],[Quantity]]*OrdersTable[[#This Row],[Unit Cost]]</f>
        <v>150</v>
      </c>
      <c r="X2578" s="77">
        <f>'Dropdown Lists'!$I$2*(1+OrdersTable[[#This Row],[Returned]])</f>
        <v>60</v>
      </c>
      <c r="Y2578" s="76">
        <f>OrdersTable[[#This Row],[Net Revenue]]-OrdersTable[[#This Row],[COGS]]-OrdersTable[[#This Row],[Shipping Cost]]</f>
        <v>239.10000000000002</v>
      </c>
      <c r="Z2578" s="78">
        <f>IFERROR(OrdersTable[[#This Row],[Profit]]/OrdersTable[[#This Row],[Net Revenue]],0)</f>
        <v>0.53239812959251842</v>
      </c>
      <c r="AA2578" t="s">
        <v>2522</v>
      </c>
      <c r="AB2578" s="79">
        <v>45728</v>
      </c>
      <c r="AC2578">
        <f>OrdersTable[[#This Row],[Delivery Date]]-OrdersTable[[#This Row],[Order Date]]</f>
        <v>2</v>
      </c>
      <c r="AD2578" t="str">
        <f>IF(OrdersTable[[#This Row],[Delivery Days]]&lt;=2, "Express (≤2d)", IF(OrdersTable[[#This Row],[Delivery Days]]&lt;=4, "Standard (3-4d)", "Delayed (5d+)"))</f>
        <v>Express (≤2d)</v>
      </c>
      <c r="AF2578">
        <v>0</v>
      </c>
    </row>
    <row r="2579" spans="1:32" ht="15" x14ac:dyDescent="0.35">
      <c r="A2579" t="s">
        <v>6572</v>
      </c>
      <c r="B2579" s="1">
        <v>45726</v>
      </c>
      <c r="C2579">
        <f>YEAR(OrdersTable[[#This Row],[Order Date]])</f>
        <v>2025</v>
      </c>
      <c r="D2579" s="2">
        <f>DATE(YEAR(OrdersTable[[#This Row],[Order Date]]),MONTH(OrdersTable[[#This Row],[Order Date]]),1)</f>
        <v>45717</v>
      </c>
      <c r="E2579">
        <f>MONTH(OrdersTable[[#This Row],[Order Date]])</f>
        <v>3</v>
      </c>
      <c r="F2579" t="s">
        <v>6573</v>
      </c>
      <c r="G2579" t="str">
        <f>IF(OrdersTable[[#This Row],[Order Date]]=_xlfn.MINIFS(Order_Date, Customer_ID, OrdersTable[[#This Row],[Customer ID]]), "New", "Repeat")</f>
        <v>New</v>
      </c>
      <c r="H2579" t="s">
        <v>32</v>
      </c>
      <c r="I2579" t="str">
        <f>INDEX(State!B:B,MATCH(OrdersTable[[#This Row],[State]],State!A:A,0))</f>
        <v>BR</v>
      </c>
      <c r="J2579" t="str">
        <f>INDEX(State!C:C,MATCH(OrdersTable[[#This Row],[State Code]],State!B:B,0))</f>
        <v>East</v>
      </c>
      <c r="K2579" t="s">
        <v>33</v>
      </c>
      <c r="L2579" t="s">
        <v>23</v>
      </c>
      <c r="M2579" t="s">
        <v>148</v>
      </c>
      <c r="N2579" t="str">
        <f>INDEX(Products!B:B,MATCH(OrdersTable[[#This Row],[Product ID]],Products!A:A,0))</f>
        <v>Smartwatch Strap</v>
      </c>
      <c r="O2579" t="str">
        <f>INDEX(Products!C:C,MATCH(OrdersTable[[#This Row],[Product ID]],Products!A:A,0))</f>
        <v>Electronics</v>
      </c>
      <c r="P2579">
        <v>3</v>
      </c>
      <c r="Q2579" s="5">
        <v>499</v>
      </c>
      <c r="R2579" s="74">
        <v>0.1</v>
      </c>
      <c r="S2579" s="75">
        <f>OrdersTable[[#This Row],[Quantity]]*OrdersTable[[#This Row],[Unit Price]]</f>
        <v>1497</v>
      </c>
      <c r="T2579" s="5">
        <f>OrdersTable[[#This Row],[Gross Sale]]*OrdersTable[[#This Row],[Discount_Clean2]]</f>
        <v>149.70000000000002</v>
      </c>
      <c r="U2579" s="5">
        <f>OrdersTable[[#This Row],[Gross Sale]]-OrdersTable[[#This Row],[Discount Amount]]</f>
        <v>1347.3</v>
      </c>
      <c r="V2579" s="77">
        <f>INDEX(Products!E:E,MATCH(OrdersTable[[#This Row],[Product ID]],Products!A:A,0))</f>
        <v>200</v>
      </c>
      <c r="W2579" s="77">
        <f>OrdersTable[[#This Row],[Quantity]]*OrdersTable[[#This Row],[Unit Cost]]</f>
        <v>600</v>
      </c>
      <c r="X2579" s="77">
        <f>'Dropdown Lists'!$I$2*(1+OrdersTable[[#This Row],[Returned]])</f>
        <v>60</v>
      </c>
      <c r="Y2579" s="76">
        <f>OrdersTable[[#This Row],[Net Revenue]]-OrdersTable[[#This Row],[COGS]]-OrdersTable[[#This Row],[Shipping Cost]]</f>
        <v>687.3</v>
      </c>
      <c r="Z2579" s="78">
        <f>IFERROR(OrdersTable[[#This Row],[Profit]]/OrdersTable[[#This Row],[Net Revenue]],0)</f>
        <v>0.51013137385882878</v>
      </c>
      <c r="AA2579" t="s">
        <v>18</v>
      </c>
      <c r="AB2579" s="79">
        <v>45731</v>
      </c>
      <c r="AC2579">
        <f>OrdersTable[[#This Row],[Delivery Date]]-OrdersTable[[#This Row],[Order Date]]</f>
        <v>5</v>
      </c>
      <c r="AD2579" t="str">
        <f>IF(OrdersTable[[#This Row],[Delivery Days]]&lt;=2, "Express (≤2d)", IF(OrdersTable[[#This Row],[Delivery Days]]&lt;=4, "Standard (3-4d)", "Delayed (5d+)"))</f>
        <v>Delayed (5d+)</v>
      </c>
      <c r="AE2579">
        <v>3</v>
      </c>
      <c r="AF2579">
        <v>0</v>
      </c>
    </row>
    <row r="2580" spans="1:32" ht="15" x14ac:dyDescent="0.35">
      <c r="A2580" t="s">
        <v>3264</v>
      </c>
      <c r="B2580" s="1">
        <v>45726</v>
      </c>
      <c r="C2580">
        <f>YEAR(OrdersTable[[#This Row],[Order Date]])</f>
        <v>2025</v>
      </c>
      <c r="D2580" s="2">
        <f>DATE(YEAR(OrdersTable[[#This Row],[Order Date]]),MONTH(OrdersTable[[#This Row],[Order Date]]),1)</f>
        <v>45717</v>
      </c>
      <c r="E2580">
        <f>MONTH(OrdersTable[[#This Row],[Order Date]])</f>
        <v>3</v>
      </c>
      <c r="F2580" t="s">
        <v>703</v>
      </c>
      <c r="G2580" t="str">
        <f>IF(OrdersTable[[#This Row],[Order Date]]=_xlfn.MINIFS(Order_Date, Customer_ID, OrdersTable[[#This Row],[Customer ID]]), "New", "Repeat")</f>
        <v>Repeat</v>
      </c>
      <c r="H2580" t="s">
        <v>27</v>
      </c>
      <c r="I2580" t="str">
        <f>INDEX(State!B:B,MATCH(OrdersTable[[#This Row],[State]],State!A:A,0))</f>
        <v>WB</v>
      </c>
      <c r="J2580" t="str">
        <f>INDEX(State!C:C,MATCH(OrdersTable[[#This Row],[State Code]],State!B:B,0))</f>
        <v>East</v>
      </c>
      <c r="K2580" t="s">
        <v>28</v>
      </c>
      <c r="L2580" t="s">
        <v>39</v>
      </c>
      <c r="M2580" t="s">
        <v>51</v>
      </c>
      <c r="N2580" t="str">
        <f>INDEX(Products!B:B,MATCH(OrdersTable[[#This Row],[Product ID]],Products!A:A,0))</f>
        <v>Anti-Dandruff Conditioner</v>
      </c>
      <c r="O2580" t="str">
        <f>INDEX(Products!C:C,MATCH(OrdersTable[[#This Row],[Product ID]],Products!A:A,0))</f>
        <v>Haircare</v>
      </c>
      <c r="P2580">
        <v>1</v>
      </c>
      <c r="Q2580" s="5">
        <v>399</v>
      </c>
      <c r="R2580" s="74">
        <v>0.25</v>
      </c>
      <c r="S2580" s="75">
        <f>OrdersTable[[#This Row],[Quantity]]*OrdersTable[[#This Row],[Unit Price]]</f>
        <v>399</v>
      </c>
      <c r="T2580" s="5">
        <f>OrdersTable[[#This Row],[Gross Sale]]*OrdersTable[[#This Row],[Discount_Clean2]]</f>
        <v>99.75</v>
      </c>
      <c r="U2580" s="5">
        <f>OrdersTable[[#This Row],[Gross Sale]]-OrdersTable[[#This Row],[Discount Amount]]</f>
        <v>299.25</v>
      </c>
      <c r="V2580" s="77">
        <f>INDEX(Products!E:E,MATCH(OrdersTable[[#This Row],[Product ID]],Products!A:A,0))</f>
        <v>136</v>
      </c>
      <c r="W2580" s="77">
        <f>OrdersTable[[#This Row],[Quantity]]*OrdersTable[[#This Row],[Unit Cost]]</f>
        <v>136</v>
      </c>
      <c r="X2580" s="77">
        <f>'Dropdown Lists'!$I$2*(1+OrdersTable[[#This Row],[Returned]])</f>
        <v>60</v>
      </c>
      <c r="Y2580" s="76">
        <f>OrdersTable[[#This Row],[Net Revenue]]-OrdersTable[[#This Row],[COGS]]-OrdersTable[[#This Row],[Shipping Cost]]</f>
        <v>103.25</v>
      </c>
      <c r="Z2580" s="78">
        <f>IFERROR(OrdersTable[[#This Row],[Profit]]/OrdersTable[[#This Row],[Net Revenue]],0)</f>
        <v>0.34502923976608185</v>
      </c>
      <c r="AA2580" t="s">
        <v>2522</v>
      </c>
      <c r="AB2580" s="79">
        <v>45730</v>
      </c>
      <c r="AC2580">
        <f>OrdersTable[[#This Row],[Delivery Date]]-OrdersTable[[#This Row],[Order Date]]</f>
        <v>4</v>
      </c>
      <c r="AD2580" t="str">
        <f>IF(OrdersTable[[#This Row],[Delivery Days]]&lt;=2, "Express (≤2d)", IF(OrdersTable[[#This Row],[Delivery Days]]&lt;=4, "Standard (3-4d)", "Delayed (5d+)"))</f>
        <v>Standard (3-4d)</v>
      </c>
      <c r="AE2580">
        <v>4</v>
      </c>
      <c r="AF2580">
        <v>0</v>
      </c>
    </row>
    <row r="2581" spans="1:32" ht="15" x14ac:dyDescent="0.35">
      <c r="A2581" t="s">
        <v>4604</v>
      </c>
      <c r="B2581" s="1">
        <v>45726</v>
      </c>
      <c r="C2581">
        <f>YEAR(OrdersTable[[#This Row],[Order Date]])</f>
        <v>2025</v>
      </c>
      <c r="D2581" s="2">
        <f>DATE(YEAR(OrdersTable[[#This Row],[Order Date]]),MONTH(OrdersTable[[#This Row],[Order Date]]),1)</f>
        <v>45717</v>
      </c>
      <c r="E2581">
        <f>MONTH(OrdersTable[[#This Row],[Order Date]])</f>
        <v>3</v>
      </c>
      <c r="F2581" t="s">
        <v>1192</v>
      </c>
      <c r="G2581" t="str">
        <f>IF(OrdersTable[[#This Row],[Order Date]]=_xlfn.MINIFS(Order_Date, Customer_ID, OrdersTable[[#This Row],[Customer ID]]), "New", "Repeat")</f>
        <v>Repeat</v>
      </c>
      <c r="H2581" t="s">
        <v>71</v>
      </c>
      <c r="I2581" t="str">
        <f>INDEX(State!B:B,MATCH(OrdersTable[[#This Row],[State]],State!A:A,0))</f>
        <v>MH</v>
      </c>
      <c r="J2581" t="str">
        <f>INDEX(State!C:C,MATCH(OrdersTable[[#This Row],[State Code]],State!B:B,0))</f>
        <v>West</v>
      </c>
      <c r="K2581" t="s">
        <v>81</v>
      </c>
      <c r="L2581" t="s">
        <v>23</v>
      </c>
      <c r="M2581" t="s">
        <v>84</v>
      </c>
      <c r="N2581" t="str">
        <f>INDEX(Products!B:B,MATCH(OrdersTable[[#This Row],[Product ID]],Products!A:A,0))</f>
        <v>Cotton Bedsheet</v>
      </c>
      <c r="O2581" t="str">
        <f>INDEX(Products!C:C,MATCH(OrdersTable[[#This Row],[Product ID]],Products!A:A,0))</f>
        <v>Home &amp; Kitchen</v>
      </c>
      <c r="P2581">
        <v>1</v>
      </c>
      <c r="Q2581" s="5">
        <v>1299</v>
      </c>
      <c r="R2581" s="74">
        <v>0.05</v>
      </c>
      <c r="S2581" s="75">
        <f>OrdersTable[[#This Row],[Quantity]]*OrdersTable[[#This Row],[Unit Price]]</f>
        <v>1299</v>
      </c>
      <c r="T2581" s="5">
        <f>OrdersTable[[#This Row],[Gross Sale]]*OrdersTable[[#This Row],[Discount_Clean2]]</f>
        <v>64.95</v>
      </c>
      <c r="U2581" s="5">
        <f>OrdersTable[[#This Row],[Gross Sale]]-OrdersTable[[#This Row],[Discount Amount]]</f>
        <v>1234.05</v>
      </c>
      <c r="V2581" s="77">
        <f>INDEX(Products!E:E,MATCH(OrdersTable[[#This Row],[Product ID]],Products!A:A,0))</f>
        <v>585</v>
      </c>
      <c r="W2581" s="77">
        <f>OrdersTable[[#This Row],[Quantity]]*OrdersTable[[#This Row],[Unit Cost]]</f>
        <v>585</v>
      </c>
      <c r="X2581" s="77">
        <f>'Dropdown Lists'!$I$2*(1+OrdersTable[[#This Row],[Returned]])</f>
        <v>120</v>
      </c>
      <c r="Y2581" s="76">
        <f>OrdersTable[[#This Row],[Net Revenue]]-OrdersTable[[#This Row],[COGS]]-OrdersTable[[#This Row],[Shipping Cost]]</f>
        <v>529.04999999999995</v>
      </c>
      <c r="Z2581" s="78">
        <f>IFERROR(OrdersTable[[#This Row],[Profit]]/OrdersTable[[#This Row],[Net Revenue]],0)</f>
        <v>0.42871034398930347</v>
      </c>
      <c r="AA2581" t="s">
        <v>4450</v>
      </c>
      <c r="AB2581" s="79">
        <v>45729</v>
      </c>
      <c r="AC2581">
        <f>OrdersTable[[#This Row],[Delivery Date]]-OrdersTable[[#This Row],[Order Date]]</f>
        <v>3</v>
      </c>
      <c r="AD2581" t="str">
        <f>IF(OrdersTable[[#This Row],[Delivery Days]]&lt;=2, "Express (≤2d)", IF(OrdersTable[[#This Row],[Delivery Days]]&lt;=4, "Standard (3-4d)", "Delayed (5d+)"))</f>
        <v>Standard (3-4d)</v>
      </c>
      <c r="AF2581">
        <v>1</v>
      </c>
    </row>
    <row r="2582" spans="1:32" ht="15" x14ac:dyDescent="0.35">
      <c r="A2582" t="s">
        <v>5400</v>
      </c>
      <c r="B2582" s="1">
        <v>45726</v>
      </c>
      <c r="C2582">
        <f>YEAR(OrdersTable[[#This Row],[Order Date]])</f>
        <v>2025</v>
      </c>
      <c r="D2582" s="2">
        <f>DATE(YEAR(OrdersTable[[#This Row],[Order Date]]),MONTH(OrdersTable[[#This Row],[Order Date]]),1)</f>
        <v>45717</v>
      </c>
      <c r="E2582">
        <f>MONTH(OrdersTable[[#This Row],[Order Date]])</f>
        <v>3</v>
      </c>
      <c r="F2582" t="s">
        <v>5401</v>
      </c>
      <c r="G2582" t="str">
        <f>IF(OrdersTable[[#This Row],[Order Date]]=_xlfn.MINIFS(Order_Date, Customer_ID, OrdersTable[[#This Row],[Customer ID]]), "New", "Repeat")</f>
        <v>Repeat</v>
      </c>
      <c r="H2582" t="s">
        <v>71</v>
      </c>
      <c r="I2582" t="str">
        <f>INDEX(State!B:B,MATCH(OrdersTable[[#This Row],[State]],State!A:A,0))</f>
        <v>MH</v>
      </c>
      <c r="J2582" t="str">
        <f>INDEX(State!C:C,MATCH(OrdersTable[[#This Row],[State Code]],State!B:B,0))</f>
        <v>West</v>
      </c>
      <c r="K2582" t="s">
        <v>72</v>
      </c>
      <c r="L2582" t="s">
        <v>50</v>
      </c>
      <c r="M2582" t="s">
        <v>66</v>
      </c>
      <c r="N2582" t="str">
        <f>INDEX(Products!B:B,MATCH(OrdersTable[[#This Row],[Product ID]],Products!A:A,0))</f>
        <v>Sunscreen SPF 50</v>
      </c>
      <c r="O2582" t="str">
        <f>INDEX(Products!C:C,MATCH(OrdersTable[[#This Row],[Product ID]],Products!A:A,0))</f>
        <v>Skincare</v>
      </c>
      <c r="P2582">
        <v>2</v>
      </c>
      <c r="Q2582" s="5">
        <v>449</v>
      </c>
      <c r="R2582" s="74">
        <v>0</v>
      </c>
      <c r="S2582" s="75">
        <f>OrdersTable[[#This Row],[Quantity]]*OrdersTable[[#This Row],[Unit Price]]</f>
        <v>898</v>
      </c>
      <c r="T2582" s="5">
        <f>OrdersTable[[#This Row],[Gross Sale]]*OrdersTable[[#This Row],[Discount_Clean2]]</f>
        <v>0</v>
      </c>
      <c r="U2582" s="5">
        <f>OrdersTable[[#This Row],[Gross Sale]]-OrdersTable[[#This Row],[Discount Amount]]</f>
        <v>898</v>
      </c>
      <c r="V2582" s="77">
        <f>INDEX(Products!E:E,MATCH(OrdersTable[[#This Row],[Product ID]],Products!A:A,0))</f>
        <v>144</v>
      </c>
      <c r="W2582" s="77">
        <f>OrdersTable[[#This Row],[Quantity]]*OrdersTable[[#This Row],[Unit Cost]]</f>
        <v>288</v>
      </c>
      <c r="X2582" s="77">
        <f>'Dropdown Lists'!$I$2*(1+OrdersTable[[#This Row],[Returned]])</f>
        <v>60</v>
      </c>
      <c r="Y2582" s="76">
        <f>OrdersTable[[#This Row],[Net Revenue]]-OrdersTable[[#This Row],[COGS]]-OrdersTable[[#This Row],[Shipping Cost]]</f>
        <v>550</v>
      </c>
      <c r="Z2582" s="78">
        <f>IFERROR(OrdersTable[[#This Row],[Profit]]/OrdersTable[[#This Row],[Net Revenue]],0)</f>
        <v>0.61247216035634744</v>
      </c>
      <c r="AA2582" t="s">
        <v>2522</v>
      </c>
      <c r="AB2582" s="79">
        <v>45728</v>
      </c>
      <c r="AC2582">
        <f>OrdersTable[[#This Row],[Delivery Date]]-OrdersTable[[#This Row],[Order Date]]</f>
        <v>2</v>
      </c>
      <c r="AD2582" t="str">
        <f>IF(OrdersTable[[#This Row],[Delivery Days]]&lt;=2, "Express (≤2d)", IF(OrdersTable[[#This Row],[Delivery Days]]&lt;=4, "Standard (3-4d)", "Delayed (5d+)"))</f>
        <v>Express (≤2d)</v>
      </c>
      <c r="AF2582">
        <v>0</v>
      </c>
    </row>
    <row r="2583" spans="1:32" ht="15" x14ac:dyDescent="0.35">
      <c r="A2583" t="s">
        <v>4987</v>
      </c>
      <c r="B2583" s="1">
        <v>45726</v>
      </c>
      <c r="C2583">
        <f>YEAR(OrdersTable[[#This Row],[Order Date]])</f>
        <v>2025</v>
      </c>
      <c r="D2583" s="2">
        <f>DATE(YEAR(OrdersTable[[#This Row],[Order Date]]),MONTH(OrdersTable[[#This Row],[Order Date]]),1)</f>
        <v>45717</v>
      </c>
      <c r="E2583">
        <f>MONTH(OrdersTable[[#This Row],[Order Date]])</f>
        <v>3</v>
      </c>
      <c r="F2583" t="s">
        <v>4988</v>
      </c>
      <c r="G2583" t="str">
        <f>IF(OrdersTable[[#This Row],[Order Date]]=_xlfn.MINIFS(Order_Date, Customer_ID, OrdersTable[[#This Row],[Customer ID]]), "New", "Repeat")</f>
        <v>New</v>
      </c>
      <c r="H2583" t="s">
        <v>167</v>
      </c>
      <c r="I2583" t="str">
        <f>INDEX(State!B:B,MATCH(OrdersTable[[#This Row],[State]],State!A:A,0))</f>
        <v>KA</v>
      </c>
      <c r="J2583" t="str">
        <f>INDEX(State!C:C,MATCH(OrdersTable[[#This Row],[State Code]],State!B:B,0))</f>
        <v>South</v>
      </c>
      <c r="K2583" t="s">
        <v>190</v>
      </c>
      <c r="L2583" t="s">
        <v>16</v>
      </c>
      <c r="M2583" t="s">
        <v>205</v>
      </c>
      <c r="N2583" t="str">
        <f>INDEX(Products!B:B,MATCH(OrdersTable[[#This Row],[Product ID]],Products!A:A,0))</f>
        <v>Running Shoes</v>
      </c>
      <c r="O2583" t="str">
        <f>INDEX(Products!C:C,MATCH(OrdersTable[[#This Row],[Product ID]],Products!A:A,0))</f>
        <v>Footwear</v>
      </c>
      <c r="P2583">
        <v>2</v>
      </c>
      <c r="Q2583" s="5">
        <v>2999</v>
      </c>
      <c r="R2583" s="74">
        <v>0.3</v>
      </c>
      <c r="S2583" s="75">
        <f>OrdersTable[[#This Row],[Quantity]]*OrdersTable[[#This Row],[Unit Price]]</f>
        <v>5998</v>
      </c>
      <c r="T2583" s="5">
        <f>OrdersTable[[#This Row],[Gross Sale]]*OrdersTable[[#This Row],[Discount_Clean2]]</f>
        <v>1799.3999999999999</v>
      </c>
      <c r="U2583" s="5">
        <f>OrdersTable[[#This Row],[Gross Sale]]-OrdersTable[[#This Row],[Discount Amount]]</f>
        <v>4198.6000000000004</v>
      </c>
      <c r="V2583" s="77">
        <f>INDEX(Products!E:E,MATCH(OrdersTable[[#This Row],[Product ID]],Products!A:A,0))</f>
        <v>1440</v>
      </c>
      <c r="W2583" s="77">
        <f>OrdersTable[[#This Row],[Quantity]]*OrdersTable[[#This Row],[Unit Cost]]</f>
        <v>2880</v>
      </c>
      <c r="X2583" s="77">
        <f>'Dropdown Lists'!$I$2*(1+OrdersTable[[#This Row],[Returned]])</f>
        <v>60</v>
      </c>
      <c r="Y2583" s="76">
        <f>OrdersTable[[#This Row],[Net Revenue]]-OrdersTable[[#This Row],[COGS]]-OrdersTable[[#This Row],[Shipping Cost]]</f>
        <v>1258.6000000000004</v>
      </c>
      <c r="Z2583" s="78">
        <f>IFERROR(OrdersTable[[#This Row],[Profit]]/OrdersTable[[#This Row],[Net Revenue]],0)</f>
        <v>0.29976658886295438</v>
      </c>
      <c r="AA2583" t="s">
        <v>4074</v>
      </c>
      <c r="AB2583" s="79">
        <v>45728</v>
      </c>
      <c r="AC2583">
        <f>OrdersTable[[#This Row],[Delivery Date]]-OrdersTable[[#This Row],[Order Date]]</f>
        <v>2</v>
      </c>
      <c r="AD2583" t="str">
        <f>IF(OrdersTable[[#This Row],[Delivery Days]]&lt;=2, "Express (≤2d)", IF(OrdersTable[[#This Row],[Delivery Days]]&lt;=4, "Standard (3-4d)", "Delayed (5d+)"))</f>
        <v>Express (≤2d)</v>
      </c>
      <c r="AE2583">
        <v>4</v>
      </c>
      <c r="AF2583">
        <v>0</v>
      </c>
    </row>
    <row r="2584" spans="1:32" ht="15" x14ac:dyDescent="0.35">
      <c r="A2584" t="s">
        <v>3036</v>
      </c>
      <c r="B2584" s="1">
        <v>45727</v>
      </c>
      <c r="C2584">
        <f>YEAR(OrdersTable[[#This Row],[Order Date]])</f>
        <v>2025</v>
      </c>
      <c r="D2584" s="2">
        <f>DATE(YEAR(OrdersTable[[#This Row],[Order Date]]),MONTH(OrdersTable[[#This Row],[Order Date]]),1)</f>
        <v>45717</v>
      </c>
      <c r="E2584">
        <f>MONTH(OrdersTable[[#This Row],[Order Date]])</f>
        <v>3</v>
      </c>
      <c r="F2584" t="s">
        <v>3037</v>
      </c>
      <c r="G2584" t="str">
        <f>IF(OrdersTable[[#This Row],[Order Date]]=_xlfn.MINIFS(Order_Date, Customer_ID, OrdersTable[[#This Row],[Customer ID]]), "New", "Repeat")</f>
        <v>New</v>
      </c>
      <c r="H2584" t="s">
        <v>32</v>
      </c>
      <c r="I2584" t="str">
        <f>INDEX(State!B:B,MATCH(OrdersTable[[#This Row],[State]],State!A:A,0))</f>
        <v>BR</v>
      </c>
      <c r="J2584" t="str">
        <f>INDEX(State!C:C,MATCH(OrdersTable[[#This Row],[State Code]],State!B:B,0))</f>
        <v>East</v>
      </c>
      <c r="K2584" t="s">
        <v>33</v>
      </c>
      <c r="L2584" t="s">
        <v>65</v>
      </c>
      <c r="M2584" t="s">
        <v>176</v>
      </c>
      <c r="N2584" t="str">
        <f>INDEX(Products!B:B,MATCH(OrdersTable[[#This Row],[Product ID]],Products!A:A,0))</f>
        <v>Denim Jacket</v>
      </c>
      <c r="O2584" t="str">
        <f>INDEX(Products!C:C,MATCH(OrdersTable[[#This Row],[Product ID]],Products!A:A,0))</f>
        <v>Apparel</v>
      </c>
      <c r="P2584">
        <v>1</v>
      </c>
      <c r="Q2584" s="5">
        <v>2499</v>
      </c>
      <c r="R2584" s="74">
        <v>0</v>
      </c>
      <c r="S2584" s="75">
        <f>OrdersTable[[#This Row],[Quantity]]*OrdersTable[[#This Row],[Unit Price]]</f>
        <v>2499</v>
      </c>
      <c r="T2584" s="5">
        <f>OrdersTable[[#This Row],[Gross Sale]]*OrdersTable[[#This Row],[Discount_Clean2]]</f>
        <v>0</v>
      </c>
      <c r="U2584" s="5">
        <f>OrdersTable[[#This Row],[Gross Sale]]-OrdersTable[[#This Row],[Discount Amount]]</f>
        <v>2499</v>
      </c>
      <c r="V2584" s="77">
        <f>INDEX(Products!E:E,MATCH(OrdersTable[[#This Row],[Product ID]],Products!A:A,0))</f>
        <v>1125</v>
      </c>
      <c r="W2584" s="77">
        <f>OrdersTable[[#This Row],[Quantity]]*OrdersTable[[#This Row],[Unit Cost]]</f>
        <v>1125</v>
      </c>
      <c r="X2584" s="77">
        <f>'Dropdown Lists'!$I$2*(1+OrdersTable[[#This Row],[Returned]])</f>
        <v>60</v>
      </c>
      <c r="Y2584" s="76">
        <f>OrdersTable[[#This Row],[Net Revenue]]-OrdersTable[[#This Row],[COGS]]-OrdersTable[[#This Row],[Shipping Cost]]</f>
        <v>1314</v>
      </c>
      <c r="Z2584" s="78">
        <f>IFERROR(OrdersTable[[#This Row],[Profit]]/OrdersTable[[#This Row],[Net Revenue]],0)</f>
        <v>0.5258103241296519</v>
      </c>
      <c r="AA2584" t="s">
        <v>2522</v>
      </c>
      <c r="AB2584" s="79">
        <v>45731</v>
      </c>
      <c r="AC2584">
        <f>OrdersTable[[#This Row],[Delivery Date]]-OrdersTable[[#This Row],[Order Date]]</f>
        <v>4</v>
      </c>
      <c r="AD2584" t="str">
        <f>IF(OrdersTable[[#This Row],[Delivery Days]]&lt;=2, "Express (≤2d)", IF(OrdersTable[[#This Row],[Delivery Days]]&lt;=4, "Standard (3-4d)", "Delayed (5d+)"))</f>
        <v>Standard (3-4d)</v>
      </c>
      <c r="AF2584">
        <v>0</v>
      </c>
    </row>
    <row r="2585" spans="1:32" ht="15" x14ac:dyDescent="0.35">
      <c r="A2585" t="s">
        <v>3038</v>
      </c>
      <c r="B2585" s="1">
        <v>45727</v>
      </c>
      <c r="C2585">
        <f>YEAR(OrdersTable[[#This Row],[Order Date]])</f>
        <v>2025</v>
      </c>
      <c r="D2585" s="2">
        <f>DATE(YEAR(OrdersTable[[#This Row],[Order Date]]),MONTH(OrdersTable[[#This Row],[Order Date]]),1)</f>
        <v>45717</v>
      </c>
      <c r="E2585">
        <f>MONTH(OrdersTable[[#This Row],[Order Date]])</f>
        <v>3</v>
      </c>
      <c r="F2585" t="s">
        <v>3039</v>
      </c>
      <c r="G2585" t="str">
        <f>IF(OrdersTable[[#This Row],[Order Date]]=_xlfn.MINIFS(Order_Date, Customer_ID, OrdersTable[[#This Row],[Customer ID]]), "New", "Repeat")</f>
        <v>Repeat</v>
      </c>
      <c r="H2585" t="s">
        <v>71</v>
      </c>
      <c r="I2585" t="str">
        <f>INDEX(State!B:B,MATCH(OrdersTable[[#This Row],[State]],State!A:A,0))</f>
        <v>MH</v>
      </c>
      <c r="J2585" t="str">
        <f>INDEX(State!C:C,MATCH(OrdersTable[[#This Row],[State Code]],State!B:B,0))</f>
        <v>West</v>
      </c>
      <c r="K2585" t="s">
        <v>81</v>
      </c>
      <c r="L2585" t="s">
        <v>65</v>
      </c>
      <c r="M2585" t="s">
        <v>152</v>
      </c>
      <c r="N2585" t="str">
        <f>INDEX(Products!B:B,MATCH(OrdersTable[[#This Row],[Product ID]],Products!A:A,0))</f>
        <v>Green Tea (100 bags)</v>
      </c>
      <c r="O2585" t="str">
        <f>INDEX(Products!C:C,MATCH(OrdersTable[[#This Row],[Product ID]],Products!A:A,0))</f>
        <v>Wellness</v>
      </c>
      <c r="P2585">
        <v>1</v>
      </c>
      <c r="Q2585" s="5">
        <v>399</v>
      </c>
      <c r="R2585" s="74">
        <v>0.4</v>
      </c>
      <c r="S2585" s="75">
        <f>OrdersTable[[#This Row],[Quantity]]*OrdersTable[[#This Row],[Unit Price]]</f>
        <v>399</v>
      </c>
      <c r="T2585" s="5">
        <f>OrdersTable[[#This Row],[Gross Sale]]*OrdersTable[[#This Row],[Discount_Clean2]]</f>
        <v>159.60000000000002</v>
      </c>
      <c r="U2585" s="5">
        <f>OrdersTable[[#This Row],[Gross Sale]]-OrdersTable[[#This Row],[Discount Amount]]</f>
        <v>239.39999999999998</v>
      </c>
      <c r="V2585" s="77">
        <f>INDEX(Products!E:E,MATCH(OrdersTable[[#This Row],[Product ID]],Products!A:A,0))</f>
        <v>128</v>
      </c>
      <c r="W2585" s="77">
        <f>OrdersTable[[#This Row],[Quantity]]*OrdersTable[[#This Row],[Unit Cost]]</f>
        <v>128</v>
      </c>
      <c r="X2585" s="77">
        <f>'Dropdown Lists'!$I$2*(1+OrdersTable[[#This Row],[Returned]])</f>
        <v>60</v>
      </c>
      <c r="Y2585" s="76">
        <f>OrdersTable[[#This Row],[Net Revenue]]-OrdersTable[[#This Row],[COGS]]-OrdersTable[[#This Row],[Shipping Cost]]</f>
        <v>51.399999999999977</v>
      </c>
      <c r="Z2585" s="78">
        <f>IFERROR(OrdersTable[[#This Row],[Profit]]/OrdersTable[[#This Row],[Net Revenue]],0)</f>
        <v>0.21470342522974095</v>
      </c>
      <c r="AA2585" t="s">
        <v>2522</v>
      </c>
      <c r="AB2585" s="79">
        <v>45728</v>
      </c>
      <c r="AC2585">
        <f>OrdersTable[[#This Row],[Delivery Date]]-OrdersTable[[#This Row],[Order Date]]</f>
        <v>1</v>
      </c>
      <c r="AD2585" t="str">
        <f>IF(OrdersTable[[#This Row],[Delivery Days]]&lt;=2, "Express (≤2d)", IF(OrdersTable[[#This Row],[Delivery Days]]&lt;=4, "Standard (3-4d)", "Delayed (5d+)"))</f>
        <v>Express (≤2d)</v>
      </c>
      <c r="AF2585">
        <v>0</v>
      </c>
    </row>
    <row r="2586" spans="1:32" ht="15" x14ac:dyDescent="0.35">
      <c r="A2586" t="s">
        <v>261</v>
      </c>
      <c r="B2586" s="1">
        <v>45727</v>
      </c>
      <c r="C2586">
        <f>YEAR(OrdersTable[[#This Row],[Order Date]])</f>
        <v>2025</v>
      </c>
      <c r="D2586" s="2">
        <f>DATE(YEAR(OrdersTable[[#This Row],[Order Date]]),MONTH(OrdersTable[[#This Row],[Order Date]]),1)</f>
        <v>45717</v>
      </c>
      <c r="E2586">
        <f>MONTH(OrdersTable[[#This Row],[Order Date]])</f>
        <v>3</v>
      </c>
      <c r="F2586" t="s">
        <v>262</v>
      </c>
      <c r="G2586" t="str">
        <f>IF(OrdersTable[[#This Row],[Order Date]]=_xlfn.MINIFS(Order_Date, Customer_ID, OrdersTable[[#This Row],[Customer ID]]), "New", "Repeat")</f>
        <v>New</v>
      </c>
      <c r="H2586" t="s">
        <v>95</v>
      </c>
      <c r="I2586" t="str">
        <f>INDEX(State!B:B,MATCH(OrdersTable[[#This Row],[State]],State!A:A,0))</f>
        <v>TG</v>
      </c>
      <c r="J2586" t="str">
        <f>INDEX(State!C:C,MATCH(OrdersTable[[#This Row],[State Code]],State!B:B,0))</f>
        <v>South</v>
      </c>
      <c r="K2586" t="s">
        <v>96</v>
      </c>
      <c r="L2586" t="s">
        <v>16</v>
      </c>
      <c r="M2586" t="s">
        <v>87</v>
      </c>
      <c r="N2586" t="str">
        <f>INDEX(Products!B:B,MATCH(OrdersTable[[#This Row],[Product ID]],Products!A:A,0))</f>
        <v>Linen Kurta</v>
      </c>
      <c r="O2586" t="str">
        <f>INDEX(Products!C:C,MATCH(OrdersTable[[#This Row],[Product ID]],Products!A:A,0))</f>
        <v>Apparel</v>
      </c>
      <c r="P2586">
        <v>1</v>
      </c>
      <c r="Q2586" s="5">
        <v>1499</v>
      </c>
      <c r="R2586" s="74">
        <v>0.25</v>
      </c>
      <c r="S2586" s="75">
        <f>OrdersTable[[#This Row],[Quantity]]*OrdersTable[[#This Row],[Unit Price]]</f>
        <v>1499</v>
      </c>
      <c r="T2586" s="5">
        <f>OrdersTable[[#This Row],[Gross Sale]]*OrdersTable[[#This Row],[Discount_Clean2]]</f>
        <v>374.75</v>
      </c>
      <c r="U2586" s="5">
        <f>OrdersTable[[#This Row],[Gross Sale]]-OrdersTable[[#This Row],[Discount Amount]]</f>
        <v>1124.25</v>
      </c>
      <c r="V2586" s="77">
        <f>INDEX(Products!E:E,MATCH(OrdersTable[[#This Row],[Product ID]],Products!A:A,0))</f>
        <v>630</v>
      </c>
      <c r="W2586" s="77">
        <f>OrdersTable[[#This Row],[Quantity]]*OrdersTable[[#This Row],[Unit Cost]]</f>
        <v>630</v>
      </c>
      <c r="X2586" s="77">
        <f>'Dropdown Lists'!$I$2*(1+OrdersTable[[#This Row],[Returned]])</f>
        <v>60</v>
      </c>
      <c r="Y2586" s="76">
        <f>OrdersTable[[#This Row],[Net Revenue]]-OrdersTable[[#This Row],[COGS]]-OrdersTable[[#This Row],[Shipping Cost]]</f>
        <v>434.25</v>
      </c>
      <c r="Z2586" s="78">
        <f>IFERROR(OrdersTable[[#This Row],[Profit]]/OrdersTable[[#This Row],[Net Revenue]],0)</f>
        <v>0.38625750500333556</v>
      </c>
      <c r="AA2586" t="s">
        <v>18</v>
      </c>
      <c r="AB2586" s="79">
        <v>45728</v>
      </c>
      <c r="AC2586">
        <f>OrdersTable[[#This Row],[Delivery Date]]-OrdersTable[[#This Row],[Order Date]]</f>
        <v>1</v>
      </c>
      <c r="AD2586" t="str">
        <f>IF(OrdersTable[[#This Row],[Delivery Days]]&lt;=2, "Express (≤2d)", IF(OrdersTable[[#This Row],[Delivery Days]]&lt;=4, "Standard (3-4d)", "Delayed (5d+)"))</f>
        <v>Express (≤2d)</v>
      </c>
      <c r="AE2586">
        <v>4</v>
      </c>
      <c r="AF2586">
        <v>0</v>
      </c>
    </row>
    <row r="2587" spans="1:32" ht="15" x14ac:dyDescent="0.35">
      <c r="A2587" t="s">
        <v>1969</v>
      </c>
      <c r="B2587" s="1">
        <v>45727</v>
      </c>
      <c r="C2587">
        <f>YEAR(OrdersTable[[#This Row],[Order Date]])</f>
        <v>2025</v>
      </c>
      <c r="D2587" s="2">
        <f>DATE(YEAR(OrdersTable[[#This Row],[Order Date]]),MONTH(OrdersTable[[#This Row],[Order Date]]),1)</f>
        <v>45717</v>
      </c>
      <c r="E2587">
        <f>MONTH(OrdersTable[[#This Row],[Order Date]])</f>
        <v>3</v>
      </c>
      <c r="F2587" t="s">
        <v>1620</v>
      </c>
      <c r="G2587" t="str">
        <f>IF(OrdersTable[[#This Row],[Order Date]]=_xlfn.MINIFS(Order_Date, Customer_ID, OrdersTable[[#This Row],[Customer ID]]), "New", "Repeat")</f>
        <v>Repeat</v>
      </c>
      <c r="H2587" t="s">
        <v>167</v>
      </c>
      <c r="I2587" t="str">
        <f>INDEX(State!B:B,MATCH(OrdersTable[[#This Row],[State]],State!A:A,0))</f>
        <v>KA</v>
      </c>
      <c r="J2587" t="str">
        <f>INDEX(State!C:C,MATCH(OrdersTable[[#This Row],[State Code]],State!B:B,0))</f>
        <v>South</v>
      </c>
      <c r="K2587" t="s">
        <v>190</v>
      </c>
      <c r="L2587" t="s">
        <v>50</v>
      </c>
      <c r="M2587" t="s">
        <v>40</v>
      </c>
      <c r="N2587" t="str">
        <f>INDEX(Products!B:B,MATCH(OrdersTable[[#This Row],[Product ID]],Products!A:A,0))</f>
        <v>Ashwagandha Capsules</v>
      </c>
      <c r="O2587" t="str">
        <f>INDEX(Products!C:C,MATCH(OrdersTable[[#This Row],[Product ID]],Products!A:A,0))</f>
        <v>Wellness</v>
      </c>
      <c r="P2587">
        <v>1</v>
      </c>
      <c r="Q2587" s="5">
        <v>499</v>
      </c>
      <c r="R2587" s="74">
        <v>0.1</v>
      </c>
      <c r="S2587" s="75">
        <f>OrdersTable[[#This Row],[Quantity]]*OrdersTable[[#This Row],[Unit Price]]</f>
        <v>499</v>
      </c>
      <c r="T2587" s="5">
        <f>OrdersTable[[#This Row],[Gross Sale]]*OrdersTable[[#This Row],[Discount_Clean2]]</f>
        <v>49.900000000000006</v>
      </c>
      <c r="U2587" s="5">
        <f>OrdersTable[[#This Row],[Gross Sale]]-OrdersTable[[#This Row],[Discount Amount]]</f>
        <v>449.1</v>
      </c>
      <c r="V2587" s="77">
        <f>INDEX(Products!E:E,MATCH(OrdersTable[[#This Row],[Product ID]],Products!A:A,0))</f>
        <v>150</v>
      </c>
      <c r="W2587" s="77">
        <f>OrdersTable[[#This Row],[Quantity]]*OrdersTable[[#This Row],[Unit Cost]]</f>
        <v>150</v>
      </c>
      <c r="X2587" s="77">
        <f>'Dropdown Lists'!$I$2*(1+OrdersTable[[#This Row],[Returned]])</f>
        <v>60</v>
      </c>
      <c r="Y2587" s="76">
        <f>OrdersTable[[#This Row],[Net Revenue]]-OrdersTable[[#This Row],[COGS]]-OrdersTable[[#This Row],[Shipping Cost]]</f>
        <v>239.10000000000002</v>
      </c>
      <c r="Z2587" s="78">
        <f>IFERROR(OrdersTable[[#This Row],[Profit]]/OrdersTable[[#This Row],[Net Revenue]],0)</f>
        <v>0.53239812959251842</v>
      </c>
      <c r="AA2587" t="s">
        <v>18</v>
      </c>
      <c r="AB2587" s="79">
        <v>45731</v>
      </c>
      <c r="AC2587">
        <f>OrdersTable[[#This Row],[Delivery Date]]-OrdersTable[[#This Row],[Order Date]]</f>
        <v>4</v>
      </c>
      <c r="AD2587" t="str">
        <f>IF(OrdersTable[[#This Row],[Delivery Days]]&lt;=2, "Express (≤2d)", IF(OrdersTable[[#This Row],[Delivery Days]]&lt;=4, "Standard (3-4d)", "Delayed (5d+)"))</f>
        <v>Standard (3-4d)</v>
      </c>
      <c r="AE2587">
        <v>3</v>
      </c>
      <c r="AF2587">
        <v>0</v>
      </c>
    </row>
    <row r="2588" spans="1:32" ht="15" x14ac:dyDescent="0.35">
      <c r="A2588" t="s">
        <v>814</v>
      </c>
      <c r="B2588" s="1">
        <v>45728</v>
      </c>
      <c r="C2588">
        <f>YEAR(OrdersTable[[#This Row],[Order Date]])</f>
        <v>2025</v>
      </c>
      <c r="D2588" s="2">
        <f>DATE(YEAR(OrdersTable[[#This Row],[Order Date]]),MONTH(OrdersTable[[#This Row],[Order Date]]),1)</f>
        <v>45717</v>
      </c>
      <c r="E2588">
        <f>MONTH(OrdersTable[[#This Row],[Order Date]])</f>
        <v>3</v>
      </c>
      <c r="F2588" t="s">
        <v>815</v>
      </c>
      <c r="G2588" t="str">
        <f>IF(OrdersTable[[#This Row],[Order Date]]=_xlfn.MINIFS(Order_Date, Customer_ID, OrdersTable[[#This Row],[Customer ID]]), "New", "Repeat")</f>
        <v>New</v>
      </c>
      <c r="H2588" t="s">
        <v>21</v>
      </c>
      <c r="I2588" t="str">
        <f>INDEX(State!B:B,MATCH(OrdersTable[[#This Row],[State]],State!A:A,0))</f>
        <v>PB</v>
      </c>
      <c r="J2588" t="str">
        <f>INDEX(State!C:C,MATCH(OrdersTable[[#This Row],[State Code]],State!B:B,0))</f>
        <v>North</v>
      </c>
      <c r="K2588" t="s">
        <v>260</v>
      </c>
      <c r="L2588" t="s">
        <v>23</v>
      </c>
      <c r="M2588" t="s">
        <v>148</v>
      </c>
      <c r="N2588" t="str">
        <f>INDEX(Products!B:B,MATCH(OrdersTable[[#This Row],[Product ID]],Products!A:A,0))</f>
        <v>Smartwatch Strap</v>
      </c>
      <c r="O2588" t="str">
        <f>INDEX(Products!C:C,MATCH(OrdersTable[[#This Row],[Product ID]],Products!A:A,0))</f>
        <v>Electronics</v>
      </c>
      <c r="P2588">
        <v>1</v>
      </c>
      <c r="Q2588" s="5">
        <v>499</v>
      </c>
      <c r="R2588" s="74">
        <v>0.15</v>
      </c>
      <c r="S2588" s="75">
        <f>OrdersTable[[#This Row],[Quantity]]*OrdersTable[[#This Row],[Unit Price]]</f>
        <v>499</v>
      </c>
      <c r="T2588" s="5">
        <f>OrdersTable[[#This Row],[Gross Sale]]*OrdersTable[[#This Row],[Discount_Clean2]]</f>
        <v>74.849999999999994</v>
      </c>
      <c r="U2588" s="5">
        <f>OrdersTable[[#This Row],[Gross Sale]]-OrdersTable[[#This Row],[Discount Amount]]</f>
        <v>424.15</v>
      </c>
      <c r="V2588" s="77">
        <f>INDEX(Products!E:E,MATCH(OrdersTable[[#This Row],[Product ID]],Products!A:A,0))</f>
        <v>200</v>
      </c>
      <c r="W2588" s="77">
        <f>OrdersTable[[#This Row],[Quantity]]*OrdersTable[[#This Row],[Unit Cost]]</f>
        <v>200</v>
      </c>
      <c r="X2588" s="77">
        <f>'Dropdown Lists'!$I$2*(1+OrdersTable[[#This Row],[Returned]])</f>
        <v>60</v>
      </c>
      <c r="Y2588" s="76">
        <f>OrdersTable[[#This Row],[Net Revenue]]-OrdersTable[[#This Row],[COGS]]-OrdersTable[[#This Row],[Shipping Cost]]</f>
        <v>164.14999999999998</v>
      </c>
      <c r="Z2588" s="78">
        <f>IFERROR(OrdersTable[[#This Row],[Profit]]/OrdersTable[[#This Row],[Net Revenue]],0)</f>
        <v>0.38700931274313327</v>
      </c>
      <c r="AA2588" t="s">
        <v>18</v>
      </c>
      <c r="AB2588" s="79">
        <v>45731</v>
      </c>
      <c r="AC2588">
        <f>OrdersTable[[#This Row],[Delivery Date]]-OrdersTable[[#This Row],[Order Date]]</f>
        <v>3</v>
      </c>
      <c r="AD2588" t="str">
        <f>IF(OrdersTable[[#This Row],[Delivery Days]]&lt;=2, "Express (≤2d)", IF(OrdersTable[[#This Row],[Delivery Days]]&lt;=4, "Standard (3-4d)", "Delayed (5d+)"))</f>
        <v>Standard (3-4d)</v>
      </c>
      <c r="AE2588">
        <v>4</v>
      </c>
      <c r="AF2588">
        <v>0</v>
      </c>
    </row>
    <row r="2589" spans="1:32" ht="15" x14ac:dyDescent="0.35">
      <c r="A2589" t="s">
        <v>6892</v>
      </c>
      <c r="B2589" s="1">
        <v>45728</v>
      </c>
      <c r="C2589">
        <f>YEAR(OrdersTable[[#This Row],[Order Date]])</f>
        <v>2025</v>
      </c>
      <c r="D2589" s="2">
        <f>DATE(YEAR(OrdersTable[[#This Row],[Order Date]]),MONTH(OrdersTable[[#This Row],[Order Date]]),1)</f>
        <v>45717</v>
      </c>
      <c r="E2589">
        <f>MONTH(OrdersTable[[#This Row],[Order Date]])</f>
        <v>3</v>
      </c>
      <c r="F2589" t="s">
        <v>346</v>
      </c>
      <c r="G2589" t="str">
        <f>IF(OrdersTable[[#This Row],[Order Date]]=_xlfn.MINIFS(Order_Date, Customer_ID, OrdersTable[[#This Row],[Customer ID]]), "New", "Repeat")</f>
        <v>New</v>
      </c>
      <c r="H2589" t="s">
        <v>128</v>
      </c>
      <c r="I2589" t="str">
        <f>INDEX(State!B:B,MATCH(OrdersTable[[#This Row],[State]],State!A:A,0))</f>
        <v>DL</v>
      </c>
      <c r="J2589" t="str">
        <f>INDEX(State!C:C,MATCH(OrdersTable[[#This Row],[State Code]],State!B:B,0))</f>
        <v>North</v>
      </c>
      <c r="K2589" t="s">
        <v>129</v>
      </c>
      <c r="L2589" t="s">
        <v>23</v>
      </c>
      <c r="M2589" t="s">
        <v>29</v>
      </c>
      <c r="N2589" t="str">
        <f>INDEX(Products!B:B,MATCH(OrdersTable[[#This Row],[Product ID]],Products!A:A,0))</f>
        <v>Joggers</v>
      </c>
      <c r="O2589" t="str">
        <f>INDEX(Products!C:C,MATCH(OrdersTable[[#This Row],[Product ID]],Products!A:A,0))</f>
        <v>Apparel</v>
      </c>
      <c r="P2589">
        <v>3</v>
      </c>
      <c r="Q2589" s="5">
        <v>1199</v>
      </c>
      <c r="R2589" s="74">
        <v>0.2</v>
      </c>
      <c r="S2589" s="75">
        <f>OrdersTable[[#This Row],[Quantity]]*OrdersTable[[#This Row],[Unit Price]]</f>
        <v>3597</v>
      </c>
      <c r="T2589" s="5">
        <f>OrdersTable[[#This Row],[Gross Sale]]*OrdersTable[[#This Row],[Discount_Clean2]]</f>
        <v>719.40000000000009</v>
      </c>
      <c r="U2589" s="5">
        <f>OrdersTable[[#This Row],[Gross Sale]]-OrdersTable[[#This Row],[Discount Amount]]</f>
        <v>2877.6</v>
      </c>
      <c r="V2589" s="77">
        <f>INDEX(Products!E:E,MATCH(OrdersTable[[#This Row],[Product ID]],Products!A:A,0))</f>
        <v>492</v>
      </c>
      <c r="W2589" s="77">
        <f>OrdersTable[[#This Row],[Quantity]]*OrdersTable[[#This Row],[Unit Cost]]</f>
        <v>1476</v>
      </c>
      <c r="X2589" s="77">
        <f>'Dropdown Lists'!$I$2*(1+OrdersTable[[#This Row],[Returned]])</f>
        <v>60</v>
      </c>
      <c r="Y2589" s="76">
        <f>OrdersTable[[#This Row],[Net Revenue]]-OrdersTable[[#This Row],[COGS]]-OrdersTable[[#This Row],[Shipping Cost]]</f>
        <v>1341.6</v>
      </c>
      <c r="Z2589" s="78">
        <f>IFERROR(OrdersTable[[#This Row],[Profit]]/OrdersTable[[#This Row],[Net Revenue]],0)</f>
        <v>0.46622185154295243</v>
      </c>
      <c r="AA2589" t="s">
        <v>4450</v>
      </c>
      <c r="AB2589" s="79">
        <v>45730</v>
      </c>
      <c r="AC2589">
        <f>OrdersTable[[#This Row],[Delivery Date]]-OrdersTable[[#This Row],[Order Date]]</f>
        <v>2</v>
      </c>
      <c r="AD2589" t="str">
        <f>IF(OrdersTable[[#This Row],[Delivery Days]]&lt;=2, "Express (≤2d)", IF(OrdersTable[[#This Row],[Delivery Days]]&lt;=4, "Standard (3-4d)", "Delayed (5d+)"))</f>
        <v>Express (≤2d)</v>
      </c>
      <c r="AE2589">
        <v>5</v>
      </c>
      <c r="AF2589">
        <v>0</v>
      </c>
    </row>
    <row r="2590" spans="1:32" ht="15" x14ac:dyDescent="0.35">
      <c r="A2590" t="s">
        <v>4403</v>
      </c>
      <c r="B2590" s="1">
        <v>45728</v>
      </c>
      <c r="C2590">
        <f>YEAR(OrdersTable[[#This Row],[Order Date]])</f>
        <v>2025</v>
      </c>
      <c r="D2590" s="2">
        <f>DATE(YEAR(OrdersTable[[#This Row],[Order Date]]),MONTH(OrdersTable[[#This Row],[Order Date]]),1)</f>
        <v>45717</v>
      </c>
      <c r="E2590">
        <f>MONTH(OrdersTable[[#This Row],[Order Date]])</f>
        <v>3</v>
      </c>
      <c r="F2590" t="s">
        <v>2752</v>
      </c>
      <c r="G2590" t="str">
        <f>IF(OrdersTable[[#This Row],[Order Date]]=_xlfn.MINIFS(Order_Date, Customer_ID, OrdersTable[[#This Row],[Customer ID]]), "New", "Repeat")</f>
        <v>Repeat</v>
      </c>
      <c r="H2590" t="s">
        <v>128</v>
      </c>
      <c r="I2590" t="str">
        <f>INDEX(State!B:B,MATCH(OrdersTable[[#This Row],[State]],State!A:A,0))</f>
        <v>DL</v>
      </c>
      <c r="J2590" t="str">
        <f>INDEX(State!C:C,MATCH(OrdersTable[[#This Row],[State Code]],State!B:B,0))</f>
        <v>North</v>
      </c>
      <c r="K2590" t="s">
        <v>129</v>
      </c>
      <c r="L2590" t="s">
        <v>39</v>
      </c>
      <c r="M2590" t="s">
        <v>24</v>
      </c>
      <c r="N2590" t="str">
        <f>INDEX(Products!B:B,MATCH(OrdersTable[[#This Row],[Product ID]],Products!A:A,0))</f>
        <v>Scented Candle Set</v>
      </c>
      <c r="O2590" t="str">
        <f>INDEX(Products!C:C,MATCH(OrdersTable[[#This Row],[Product ID]],Products!A:A,0))</f>
        <v>Home &amp; Kitchen</v>
      </c>
      <c r="P2590">
        <v>1</v>
      </c>
      <c r="Q2590" s="5">
        <v>699</v>
      </c>
      <c r="R2590" s="74">
        <v>0.15</v>
      </c>
      <c r="S2590" s="75">
        <f>OrdersTable[[#This Row],[Quantity]]*OrdersTable[[#This Row],[Unit Price]]</f>
        <v>699</v>
      </c>
      <c r="T2590" s="5">
        <f>OrdersTable[[#This Row],[Gross Sale]]*OrdersTable[[#This Row],[Discount_Clean2]]</f>
        <v>104.85</v>
      </c>
      <c r="U2590" s="5">
        <f>OrdersTable[[#This Row],[Gross Sale]]-OrdersTable[[#This Row],[Discount Amount]]</f>
        <v>594.15</v>
      </c>
      <c r="V2590" s="77">
        <f>INDEX(Products!E:E,MATCH(OrdersTable[[#This Row],[Product ID]],Products!A:A,0))</f>
        <v>245</v>
      </c>
      <c r="W2590" s="77">
        <f>OrdersTable[[#This Row],[Quantity]]*OrdersTable[[#This Row],[Unit Cost]]</f>
        <v>245</v>
      </c>
      <c r="X2590" s="77">
        <f>'Dropdown Lists'!$I$2*(1+OrdersTable[[#This Row],[Returned]])</f>
        <v>60</v>
      </c>
      <c r="Y2590" s="76">
        <f>OrdersTable[[#This Row],[Net Revenue]]-OrdersTable[[#This Row],[COGS]]-OrdersTable[[#This Row],[Shipping Cost]]</f>
        <v>289.14999999999998</v>
      </c>
      <c r="Z2590" s="78">
        <f>IFERROR(OrdersTable[[#This Row],[Profit]]/OrdersTable[[#This Row],[Net Revenue]],0)</f>
        <v>0.48666161743667424</v>
      </c>
      <c r="AA2590" t="s">
        <v>4074</v>
      </c>
      <c r="AB2590" s="79">
        <v>45731</v>
      </c>
      <c r="AC2590">
        <f>OrdersTable[[#This Row],[Delivery Date]]-OrdersTable[[#This Row],[Order Date]]</f>
        <v>3</v>
      </c>
      <c r="AD2590" t="str">
        <f>IF(OrdersTable[[#This Row],[Delivery Days]]&lt;=2, "Express (≤2d)", IF(OrdersTable[[#This Row],[Delivery Days]]&lt;=4, "Standard (3-4d)", "Delayed (5d+)"))</f>
        <v>Standard (3-4d)</v>
      </c>
      <c r="AE2590">
        <v>4</v>
      </c>
      <c r="AF2590">
        <v>0</v>
      </c>
    </row>
    <row r="2591" spans="1:32" ht="15" x14ac:dyDescent="0.35">
      <c r="A2591" t="s">
        <v>4605</v>
      </c>
      <c r="B2591" s="1">
        <v>45728</v>
      </c>
      <c r="C2591">
        <f>YEAR(OrdersTable[[#This Row],[Order Date]])</f>
        <v>2025</v>
      </c>
      <c r="D2591" s="2">
        <f>DATE(YEAR(OrdersTable[[#This Row],[Order Date]]),MONTH(OrdersTable[[#This Row],[Order Date]]),1)</f>
        <v>45717</v>
      </c>
      <c r="E2591">
        <f>MONTH(OrdersTable[[#This Row],[Order Date]])</f>
        <v>3</v>
      </c>
      <c r="F2591" t="s">
        <v>4606</v>
      </c>
      <c r="G2591" t="str">
        <f>IF(OrdersTable[[#This Row],[Order Date]]=_xlfn.MINIFS(Order_Date, Customer_ID, OrdersTable[[#This Row],[Customer ID]]), "New", "Repeat")</f>
        <v>Repeat</v>
      </c>
      <c r="H2591" t="s">
        <v>32</v>
      </c>
      <c r="I2591" t="str">
        <f>INDEX(State!B:B,MATCH(OrdersTable[[#This Row],[State]],State!A:A,0))</f>
        <v>BR</v>
      </c>
      <c r="J2591" t="str">
        <f>INDEX(State!C:C,MATCH(OrdersTable[[#This Row],[State Code]],State!B:B,0))</f>
        <v>East</v>
      </c>
      <c r="K2591" t="s">
        <v>33</v>
      </c>
      <c r="L2591" t="s">
        <v>50</v>
      </c>
      <c r="M2591" t="s">
        <v>56</v>
      </c>
      <c r="N2591" t="str">
        <f>INDEX(Products!B:B,MATCH(OrdersTable[[#This Row],[Product ID]],Products!A:A,0))</f>
        <v>Vitamin C Face Serum</v>
      </c>
      <c r="O2591" t="str">
        <f>INDEX(Products!C:C,MATCH(OrdersTable[[#This Row],[Product ID]],Products!A:A,0))</f>
        <v>Skincare</v>
      </c>
      <c r="P2591">
        <v>1</v>
      </c>
      <c r="Q2591" s="5">
        <v>599</v>
      </c>
      <c r="R2591" s="74">
        <v>0.15</v>
      </c>
      <c r="S2591" s="75">
        <f>OrdersTable[[#This Row],[Quantity]]*OrdersTable[[#This Row],[Unit Price]]</f>
        <v>599</v>
      </c>
      <c r="T2591" s="5">
        <f>OrdersTable[[#This Row],[Gross Sale]]*OrdersTable[[#This Row],[Discount_Clean2]]</f>
        <v>89.85</v>
      </c>
      <c r="U2591" s="5">
        <f>OrdersTable[[#This Row],[Gross Sale]]-OrdersTable[[#This Row],[Discount Amount]]</f>
        <v>509.15</v>
      </c>
      <c r="V2591" s="77">
        <f>INDEX(Products!E:E,MATCH(OrdersTable[[#This Row],[Product ID]],Products!A:A,0))</f>
        <v>180</v>
      </c>
      <c r="W2591" s="77">
        <f>OrdersTable[[#This Row],[Quantity]]*OrdersTable[[#This Row],[Unit Cost]]</f>
        <v>180</v>
      </c>
      <c r="X2591" s="77">
        <f>'Dropdown Lists'!$I$2*(1+OrdersTable[[#This Row],[Returned]])</f>
        <v>60</v>
      </c>
      <c r="Y2591" s="76">
        <f>OrdersTable[[#This Row],[Net Revenue]]-OrdersTable[[#This Row],[COGS]]-OrdersTable[[#This Row],[Shipping Cost]]</f>
        <v>269.14999999999998</v>
      </c>
      <c r="Z2591" s="78">
        <f>IFERROR(OrdersTable[[#This Row],[Profit]]/OrdersTable[[#This Row],[Net Revenue]],0)</f>
        <v>0.52862614160856325</v>
      </c>
      <c r="AA2591" t="s">
        <v>4450</v>
      </c>
      <c r="AB2591" s="79">
        <v>45731</v>
      </c>
      <c r="AC2591">
        <f>OrdersTable[[#This Row],[Delivery Date]]-OrdersTable[[#This Row],[Order Date]]</f>
        <v>3</v>
      </c>
      <c r="AD2591" t="str">
        <f>IF(OrdersTable[[#This Row],[Delivery Days]]&lt;=2, "Express (≤2d)", IF(OrdersTable[[#This Row],[Delivery Days]]&lt;=4, "Standard (3-4d)", "Delayed (5d+)"))</f>
        <v>Standard (3-4d)</v>
      </c>
      <c r="AF2591">
        <v>0</v>
      </c>
    </row>
    <row r="2592" spans="1:32" ht="15" x14ac:dyDescent="0.35">
      <c r="A2592" t="s">
        <v>3902</v>
      </c>
      <c r="B2592" s="1">
        <v>45728</v>
      </c>
      <c r="C2592">
        <f>YEAR(OrdersTable[[#This Row],[Order Date]])</f>
        <v>2025</v>
      </c>
      <c r="D2592" s="2">
        <f>DATE(YEAR(OrdersTable[[#This Row],[Order Date]]),MONTH(OrdersTable[[#This Row],[Order Date]]),1)</f>
        <v>45717</v>
      </c>
      <c r="E2592">
        <f>MONTH(OrdersTable[[#This Row],[Order Date]])</f>
        <v>3</v>
      </c>
      <c r="F2592" t="s">
        <v>1222</v>
      </c>
      <c r="G2592" t="str">
        <f>IF(OrdersTable[[#This Row],[Order Date]]=_xlfn.MINIFS(Order_Date, Customer_ID, OrdersTable[[#This Row],[Customer ID]]), "New", "Repeat")</f>
        <v>Repeat</v>
      </c>
      <c r="H2592" t="s">
        <v>482</v>
      </c>
      <c r="I2592" t="str">
        <f>INDEX(State!B:B,MATCH(OrdersTable[[#This Row],[State]],State!A:A,0))</f>
        <v>CG</v>
      </c>
      <c r="J2592" t="str">
        <f>INDEX(State!C:C,MATCH(OrdersTable[[#This Row],[State Code]],State!B:B,0))</f>
        <v>East</v>
      </c>
      <c r="K2592" t="s">
        <v>483</v>
      </c>
      <c r="L2592" t="s">
        <v>65</v>
      </c>
      <c r="M2592" t="s">
        <v>61</v>
      </c>
      <c r="N2592" t="str">
        <f>INDEX(Products!B:B,MATCH(OrdersTable[[#This Row],[Product ID]],Products!A:A,0))</f>
        <v>Multivitamin Gummies</v>
      </c>
      <c r="O2592" t="str">
        <f>INDEX(Products!C:C,MATCH(OrdersTable[[#This Row],[Product ID]],Products!A:A,0))</f>
        <v>Wellness</v>
      </c>
      <c r="P2592">
        <v>1</v>
      </c>
      <c r="Q2592" s="5">
        <v>699</v>
      </c>
      <c r="R2592" s="74">
        <v>0.15</v>
      </c>
      <c r="S2592" s="75">
        <f>OrdersTable[[#This Row],[Quantity]]*OrdersTable[[#This Row],[Unit Price]]</f>
        <v>699</v>
      </c>
      <c r="T2592" s="5">
        <f>OrdersTable[[#This Row],[Gross Sale]]*OrdersTable[[#This Row],[Discount_Clean2]]</f>
        <v>104.85</v>
      </c>
      <c r="U2592" s="5">
        <f>OrdersTable[[#This Row],[Gross Sale]]-OrdersTable[[#This Row],[Discount Amount]]</f>
        <v>594.15</v>
      </c>
      <c r="V2592" s="77">
        <f>INDEX(Products!E:E,MATCH(OrdersTable[[#This Row],[Product ID]],Products!A:A,0))</f>
        <v>238</v>
      </c>
      <c r="W2592" s="77">
        <f>OrdersTable[[#This Row],[Quantity]]*OrdersTable[[#This Row],[Unit Cost]]</f>
        <v>238</v>
      </c>
      <c r="X2592" s="77">
        <f>'Dropdown Lists'!$I$2*(1+OrdersTable[[#This Row],[Returned]])</f>
        <v>60</v>
      </c>
      <c r="Y2592" s="76">
        <f>OrdersTable[[#This Row],[Net Revenue]]-OrdersTable[[#This Row],[COGS]]-OrdersTable[[#This Row],[Shipping Cost]]</f>
        <v>296.14999999999998</v>
      </c>
      <c r="Z2592" s="78">
        <f>IFERROR(OrdersTable[[#This Row],[Profit]]/OrdersTable[[#This Row],[Net Revenue]],0)</f>
        <v>0.49844315408566858</v>
      </c>
      <c r="AA2592" t="s">
        <v>3495</v>
      </c>
      <c r="AB2592" s="79">
        <v>45730</v>
      </c>
      <c r="AC2592">
        <f>OrdersTable[[#This Row],[Delivery Date]]-OrdersTable[[#This Row],[Order Date]]</f>
        <v>2</v>
      </c>
      <c r="AD2592" t="str">
        <f>IF(OrdersTable[[#This Row],[Delivery Days]]&lt;=2, "Express (≤2d)", IF(OrdersTable[[#This Row],[Delivery Days]]&lt;=4, "Standard (3-4d)", "Delayed (5d+)"))</f>
        <v>Express (≤2d)</v>
      </c>
      <c r="AE2592">
        <v>3</v>
      </c>
      <c r="AF2592">
        <v>0</v>
      </c>
    </row>
    <row r="2593" spans="1:32" ht="15" x14ac:dyDescent="0.35">
      <c r="A2593" t="s">
        <v>4130</v>
      </c>
      <c r="B2593" s="1">
        <v>45728</v>
      </c>
      <c r="C2593">
        <f>YEAR(OrdersTable[[#This Row],[Order Date]])</f>
        <v>2025</v>
      </c>
      <c r="D2593" s="2">
        <f>DATE(YEAR(OrdersTable[[#This Row],[Order Date]]),MONTH(OrdersTable[[#This Row],[Order Date]]),1)</f>
        <v>45717</v>
      </c>
      <c r="E2593">
        <f>MONTH(OrdersTable[[#This Row],[Order Date]])</f>
        <v>3</v>
      </c>
      <c r="F2593" t="s">
        <v>397</v>
      </c>
      <c r="G2593" t="str">
        <f>IF(OrdersTable[[#This Row],[Order Date]]=_xlfn.MINIFS(Order_Date, Customer_ID, OrdersTable[[#This Row],[Customer ID]]), "New", "Repeat")</f>
        <v>Repeat</v>
      </c>
      <c r="H2593" t="s">
        <v>71</v>
      </c>
      <c r="I2593" t="str">
        <f>INDEX(State!B:B,MATCH(OrdersTable[[#This Row],[State]],State!A:A,0))</f>
        <v>MH</v>
      </c>
      <c r="J2593" t="str">
        <f>INDEX(State!C:C,MATCH(OrdersTable[[#This Row],[State Code]],State!B:B,0))</f>
        <v>West</v>
      </c>
      <c r="K2593" t="s">
        <v>81</v>
      </c>
      <c r="L2593" t="s">
        <v>23</v>
      </c>
      <c r="M2593" t="s">
        <v>176</v>
      </c>
      <c r="N2593" t="str">
        <f>INDEX(Products!B:B,MATCH(OrdersTable[[#This Row],[Product ID]],Products!A:A,0))</f>
        <v>Denim Jacket</v>
      </c>
      <c r="O2593" t="str">
        <f>INDEX(Products!C:C,MATCH(OrdersTable[[#This Row],[Product ID]],Products!A:A,0))</f>
        <v>Apparel</v>
      </c>
      <c r="P2593">
        <v>1</v>
      </c>
      <c r="Q2593" s="5">
        <v>2499</v>
      </c>
      <c r="R2593" s="74">
        <v>0.1</v>
      </c>
      <c r="S2593" s="75">
        <f>OrdersTable[[#This Row],[Quantity]]*OrdersTable[[#This Row],[Unit Price]]</f>
        <v>2499</v>
      </c>
      <c r="T2593" s="5">
        <f>OrdersTable[[#This Row],[Gross Sale]]*OrdersTable[[#This Row],[Discount_Clean2]]</f>
        <v>249.9</v>
      </c>
      <c r="U2593" s="5">
        <f>OrdersTable[[#This Row],[Gross Sale]]-OrdersTable[[#This Row],[Discount Amount]]</f>
        <v>2249.1</v>
      </c>
      <c r="V2593" s="77">
        <f>INDEX(Products!E:E,MATCH(OrdersTable[[#This Row],[Product ID]],Products!A:A,0))</f>
        <v>1125</v>
      </c>
      <c r="W2593" s="77">
        <f>OrdersTable[[#This Row],[Quantity]]*OrdersTable[[#This Row],[Unit Cost]]</f>
        <v>1125</v>
      </c>
      <c r="X2593" s="77">
        <f>'Dropdown Lists'!$I$2*(1+OrdersTable[[#This Row],[Returned]])</f>
        <v>60</v>
      </c>
      <c r="Y2593" s="76">
        <f>OrdersTable[[#This Row],[Net Revenue]]-OrdersTable[[#This Row],[COGS]]-OrdersTable[[#This Row],[Shipping Cost]]</f>
        <v>1064.0999999999999</v>
      </c>
      <c r="Z2593" s="78">
        <f>IFERROR(OrdersTable[[#This Row],[Profit]]/OrdersTable[[#This Row],[Net Revenue]],0)</f>
        <v>0.4731225823662798</v>
      </c>
      <c r="AA2593" t="s">
        <v>4074</v>
      </c>
      <c r="AB2593" s="79">
        <v>45732</v>
      </c>
      <c r="AC2593">
        <f>OrdersTable[[#This Row],[Delivery Date]]-OrdersTable[[#This Row],[Order Date]]</f>
        <v>4</v>
      </c>
      <c r="AD2593" t="str">
        <f>IF(OrdersTable[[#This Row],[Delivery Days]]&lt;=2, "Express (≤2d)", IF(OrdersTable[[#This Row],[Delivery Days]]&lt;=4, "Standard (3-4d)", "Delayed (5d+)"))</f>
        <v>Standard (3-4d)</v>
      </c>
      <c r="AE2593">
        <v>5</v>
      </c>
      <c r="AF2593">
        <v>0</v>
      </c>
    </row>
    <row r="2594" spans="1:32" ht="15" x14ac:dyDescent="0.35">
      <c r="A2594" t="s">
        <v>4511</v>
      </c>
      <c r="B2594" s="1">
        <v>45728</v>
      </c>
      <c r="C2594">
        <f>YEAR(OrdersTable[[#This Row],[Order Date]])</f>
        <v>2025</v>
      </c>
      <c r="D2594" s="2">
        <f>DATE(YEAR(OrdersTable[[#This Row],[Order Date]]),MONTH(OrdersTable[[#This Row],[Order Date]]),1)</f>
        <v>45717</v>
      </c>
      <c r="E2594">
        <f>MONTH(OrdersTable[[#This Row],[Order Date]])</f>
        <v>3</v>
      </c>
      <c r="F2594" t="s">
        <v>4512</v>
      </c>
      <c r="G2594" t="str">
        <f>IF(OrdersTable[[#This Row],[Order Date]]=_xlfn.MINIFS(Order_Date, Customer_ID, OrdersTable[[#This Row],[Customer ID]]), "New", "Repeat")</f>
        <v>New</v>
      </c>
      <c r="H2594" t="s">
        <v>167</v>
      </c>
      <c r="I2594" t="str">
        <f>INDEX(State!B:B,MATCH(OrdersTable[[#This Row],[State]],State!A:A,0))</f>
        <v>KA</v>
      </c>
      <c r="J2594" t="str">
        <f>INDEX(State!C:C,MATCH(OrdersTable[[#This Row],[State Code]],State!B:B,0))</f>
        <v>South</v>
      </c>
      <c r="K2594" t="s">
        <v>190</v>
      </c>
      <c r="L2594" t="s">
        <v>39</v>
      </c>
      <c r="M2594" t="s">
        <v>205</v>
      </c>
      <c r="N2594" t="str">
        <f>INDEX(Products!B:B,MATCH(OrdersTable[[#This Row],[Product ID]],Products!A:A,0))</f>
        <v>Running Shoes</v>
      </c>
      <c r="O2594" t="str">
        <f>INDEX(Products!C:C,MATCH(OrdersTable[[#This Row],[Product ID]],Products!A:A,0))</f>
        <v>Footwear</v>
      </c>
      <c r="P2594">
        <v>1</v>
      </c>
      <c r="Q2594" s="5">
        <v>2999</v>
      </c>
      <c r="R2594" s="74">
        <v>0.1</v>
      </c>
      <c r="S2594" s="75">
        <f>OrdersTable[[#This Row],[Quantity]]*OrdersTable[[#This Row],[Unit Price]]</f>
        <v>2999</v>
      </c>
      <c r="T2594" s="5">
        <f>OrdersTable[[#This Row],[Gross Sale]]*OrdersTable[[#This Row],[Discount_Clean2]]</f>
        <v>299.90000000000003</v>
      </c>
      <c r="U2594" s="5">
        <f>OrdersTable[[#This Row],[Gross Sale]]-OrdersTable[[#This Row],[Discount Amount]]</f>
        <v>2699.1</v>
      </c>
      <c r="V2594" s="77">
        <f>INDEX(Products!E:E,MATCH(OrdersTable[[#This Row],[Product ID]],Products!A:A,0))</f>
        <v>1440</v>
      </c>
      <c r="W2594" s="77">
        <f>OrdersTable[[#This Row],[Quantity]]*OrdersTable[[#This Row],[Unit Cost]]</f>
        <v>1440</v>
      </c>
      <c r="X2594" s="77">
        <f>'Dropdown Lists'!$I$2*(1+OrdersTable[[#This Row],[Returned]])</f>
        <v>60</v>
      </c>
      <c r="Y2594" s="76">
        <f>OrdersTable[[#This Row],[Net Revenue]]-OrdersTable[[#This Row],[COGS]]-OrdersTable[[#This Row],[Shipping Cost]]</f>
        <v>1199.0999999999999</v>
      </c>
      <c r="Z2594" s="78">
        <f>IFERROR(OrdersTable[[#This Row],[Profit]]/OrdersTable[[#This Row],[Net Revenue]],0)</f>
        <v>0.4442591975102812</v>
      </c>
      <c r="AA2594" t="s">
        <v>4450</v>
      </c>
      <c r="AB2594" s="79">
        <v>45732</v>
      </c>
      <c r="AC2594">
        <f>OrdersTable[[#This Row],[Delivery Date]]-OrdersTable[[#This Row],[Order Date]]</f>
        <v>4</v>
      </c>
      <c r="AD2594" t="str">
        <f>IF(OrdersTable[[#This Row],[Delivery Days]]&lt;=2, "Express (≤2d)", IF(OrdersTable[[#This Row],[Delivery Days]]&lt;=4, "Standard (3-4d)", "Delayed (5d+)"))</f>
        <v>Standard (3-4d)</v>
      </c>
      <c r="AE2594">
        <v>4</v>
      </c>
      <c r="AF2594">
        <v>0</v>
      </c>
    </row>
    <row r="2595" spans="1:32" ht="15" x14ac:dyDescent="0.35">
      <c r="A2595" t="s">
        <v>5804</v>
      </c>
      <c r="B2595" s="1">
        <v>45728</v>
      </c>
      <c r="C2595">
        <f>YEAR(OrdersTable[[#This Row],[Order Date]])</f>
        <v>2025</v>
      </c>
      <c r="D2595" s="2">
        <f>DATE(YEAR(OrdersTable[[#This Row],[Order Date]]),MONTH(OrdersTable[[#This Row],[Order Date]]),1)</f>
        <v>45717</v>
      </c>
      <c r="E2595">
        <f>MONTH(OrdersTable[[#This Row],[Order Date]])</f>
        <v>3</v>
      </c>
      <c r="F2595" t="s">
        <v>525</v>
      </c>
      <c r="G2595" t="str">
        <f>IF(OrdersTable[[#This Row],[Order Date]]=_xlfn.MINIFS(Order_Date, Customer_ID, OrdersTable[[#This Row],[Customer ID]]), "New", "Repeat")</f>
        <v>Repeat</v>
      </c>
      <c r="H2595" t="s">
        <v>167</v>
      </c>
      <c r="I2595" t="str">
        <f>INDEX(State!B:B,MATCH(OrdersTable[[#This Row],[State]],State!A:A,0))</f>
        <v>KA</v>
      </c>
      <c r="J2595" t="str">
        <f>INDEX(State!C:C,MATCH(OrdersTable[[#This Row],[State Code]],State!B:B,0))</f>
        <v>South</v>
      </c>
      <c r="K2595" t="s">
        <v>190</v>
      </c>
      <c r="L2595" t="s">
        <v>23</v>
      </c>
      <c r="M2595" t="s">
        <v>87</v>
      </c>
      <c r="N2595" t="str">
        <f>INDEX(Products!B:B,MATCH(OrdersTable[[#This Row],[Product ID]],Products!A:A,0))</f>
        <v>Linen Kurta</v>
      </c>
      <c r="O2595" t="str">
        <f>INDEX(Products!C:C,MATCH(OrdersTable[[#This Row],[Product ID]],Products!A:A,0))</f>
        <v>Apparel</v>
      </c>
      <c r="P2595">
        <v>2</v>
      </c>
      <c r="Q2595" s="5">
        <v>1499</v>
      </c>
      <c r="R2595" s="74">
        <v>0.25</v>
      </c>
      <c r="S2595" s="75">
        <f>OrdersTable[[#This Row],[Quantity]]*OrdersTable[[#This Row],[Unit Price]]</f>
        <v>2998</v>
      </c>
      <c r="T2595" s="5">
        <f>OrdersTable[[#This Row],[Gross Sale]]*OrdersTable[[#This Row],[Discount_Clean2]]</f>
        <v>749.5</v>
      </c>
      <c r="U2595" s="5">
        <f>OrdersTable[[#This Row],[Gross Sale]]-OrdersTable[[#This Row],[Discount Amount]]</f>
        <v>2248.5</v>
      </c>
      <c r="V2595" s="77">
        <f>INDEX(Products!E:E,MATCH(OrdersTable[[#This Row],[Product ID]],Products!A:A,0))</f>
        <v>630</v>
      </c>
      <c r="W2595" s="77">
        <f>OrdersTable[[#This Row],[Quantity]]*OrdersTable[[#This Row],[Unit Cost]]</f>
        <v>1260</v>
      </c>
      <c r="X2595" s="77">
        <f>'Dropdown Lists'!$I$2*(1+OrdersTable[[#This Row],[Returned]])</f>
        <v>60</v>
      </c>
      <c r="Y2595" s="76">
        <f>OrdersTable[[#This Row],[Net Revenue]]-OrdersTable[[#This Row],[COGS]]-OrdersTable[[#This Row],[Shipping Cost]]</f>
        <v>928.5</v>
      </c>
      <c r="Z2595" s="78">
        <f>IFERROR(OrdersTable[[#This Row],[Profit]]/OrdersTable[[#This Row],[Net Revenue]],0)</f>
        <v>0.41294196130753835</v>
      </c>
      <c r="AA2595" t="s">
        <v>18</v>
      </c>
      <c r="AB2595" s="79">
        <v>45731</v>
      </c>
      <c r="AC2595">
        <f>OrdersTable[[#This Row],[Delivery Date]]-OrdersTable[[#This Row],[Order Date]]</f>
        <v>3</v>
      </c>
      <c r="AD2595" t="str">
        <f>IF(OrdersTable[[#This Row],[Delivery Days]]&lt;=2, "Express (≤2d)", IF(OrdersTable[[#This Row],[Delivery Days]]&lt;=4, "Standard (3-4d)", "Delayed (5d+)"))</f>
        <v>Standard (3-4d)</v>
      </c>
      <c r="AE2595">
        <v>5</v>
      </c>
      <c r="AF2595">
        <v>0</v>
      </c>
    </row>
    <row r="2596" spans="1:32" ht="15" x14ac:dyDescent="0.35">
      <c r="A2596" t="s">
        <v>4131</v>
      </c>
      <c r="B2596" s="1">
        <v>45728</v>
      </c>
      <c r="C2596">
        <f>YEAR(OrdersTable[[#This Row],[Order Date]])</f>
        <v>2025</v>
      </c>
      <c r="D2596" s="2">
        <f>DATE(YEAR(OrdersTable[[#This Row],[Order Date]]),MONTH(OrdersTable[[#This Row],[Order Date]]),1)</f>
        <v>45717</v>
      </c>
      <c r="E2596">
        <f>MONTH(OrdersTable[[#This Row],[Order Date]])</f>
        <v>3</v>
      </c>
      <c r="F2596" t="s">
        <v>4132</v>
      </c>
      <c r="G2596" t="str">
        <f>IF(OrdersTable[[#This Row],[Order Date]]=_xlfn.MINIFS(Order_Date, Customer_ID, OrdersTable[[#This Row],[Customer ID]]), "New", "Repeat")</f>
        <v>Repeat</v>
      </c>
      <c r="H2596" t="s">
        <v>167</v>
      </c>
      <c r="I2596" t="str">
        <f>INDEX(State!B:B,MATCH(OrdersTable[[#This Row],[State]],State!A:A,0))</f>
        <v>KA</v>
      </c>
      <c r="J2596" t="str">
        <f>INDEX(State!C:C,MATCH(OrdersTable[[#This Row],[State Code]],State!B:B,0))</f>
        <v>South</v>
      </c>
      <c r="K2596" t="s">
        <v>168</v>
      </c>
      <c r="L2596" t="s">
        <v>16</v>
      </c>
      <c r="M2596" t="s">
        <v>34</v>
      </c>
      <c r="N2596" t="str">
        <f>INDEX(Products!B:B,MATCH(OrdersTable[[#This Row],[Product ID]],Products!A:A,0))</f>
        <v>Flip Flops</v>
      </c>
      <c r="O2596" t="str">
        <f>INDEX(Products!C:C,MATCH(OrdersTable[[#This Row],[Product ID]],Products!A:A,0))</f>
        <v>Footwear</v>
      </c>
      <c r="P2596">
        <v>1</v>
      </c>
      <c r="Q2596" s="5">
        <v>399</v>
      </c>
      <c r="R2596" s="74">
        <v>0.1</v>
      </c>
      <c r="S2596" s="75">
        <f>OrdersTable[[#This Row],[Quantity]]*OrdersTable[[#This Row],[Unit Price]]</f>
        <v>399</v>
      </c>
      <c r="T2596" s="5">
        <f>OrdersTable[[#This Row],[Gross Sale]]*OrdersTable[[#This Row],[Discount_Clean2]]</f>
        <v>39.900000000000006</v>
      </c>
      <c r="U2596" s="5">
        <f>OrdersTable[[#This Row],[Gross Sale]]-OrdersTable[[#This Row],[Discount Amount]]</f>
        <v>359.1</v>
      </c>
      <c r="V2596" s="77">
        <f>INDEX(Products!E:E,MATCH(OrdersTable[[#This Row],[Product ID]],Products!A:A,0))</f>
        <v>152</v>
      </c>
      <c r="W2596" s="77">
        <f>OrdersTable[[#This Row],[Quantity]]*OrdersTable[[#This Row],[Unit Cost]]</f>
        <v>152</v>
      </c>
      <c r="X2596" s="77">
        <f>'Dropdown Lists'!$I$2*(1+OrdersTable[[#This Row],[Returned]])</f>
        <v>60</v>
      </c>
      <c r="Y2596" s="76">
        <f>OrdersTable[[#This Row],[Net Revenue]]-OrdersTable[[#This Row],[COGS]]-OrdersTable[[#This Row],[Shipping Cost]]</f>
        <v>147.10000000000002</v>
      </c>
      <c r="Z2596" s="78">
        <f>IFERROR(OrdersTable[[#This Row],[Profit]]/OrdersTable[[#This Row],[Net Revenue]],0)</f>
        <v>0.40963519910888335</v>
      </c>
      <c r="AA2596" t="s">
        <v>4074</v>
      </c>
      <c r="AB2596" s="79">
        <v>45731</v>
      </c>
      <c r="AC2596">
        <f>OrdersTable[[#This Row],[Delivery Date]]-OrdersTable[[#This Row],[Order Date]]</f>
        <v>3</v>
      </c>
      <c r="AD2596" t="str">
        <f>IF(OrdersTable[[#This Row],[Delivery Days]]&lt;=2, "Express (≤2d)", IF(OrdersTable[[#This Row],[Delivery Days]]&lt;=4, "Standard (3-4d)", "Delayed (5d+)"))</f>
        <v>Standard (3-4d)</v>
      </c>
      <c r="AE2596">
        <v>3</v>
      </c>
      <c r="AF2596">
        <v>0</v>
      </c>
    </row>
    <row r="2597" spans="1:32" ht="15" x14ac:dyDescent="0.35">
      <c r="A2597" t="s">
        <v>4694</v>
      </c>
      <c r="B2597" s="1">
        <v>45728</v>
      </c>
      <c r="C2597">
        <f>YEAR(OrdersTable[[#This Row],[Order Date]])</f>
        <v>2025</v>
      </c>
      <c r="D2597" s="2">
        <f>DATE(YEAR(OrdersTable[[#This Row],[Order Date]]),MONTH(OrdersTable[[#This Row],[Order Date]]),1)</f>
        <v>45717</v>
      </c>
      <c r="E2597">
        <f>MONTH(OrdersTable[[#This Row],[Order Date]])</f>
        <v>3</v>
      </c>
      <c r="F2597" t="s">
        <v>4695</v>
      </c>
      <c r="G2597" t="str">
        <f>IF(OrdersTable[[#This Row],[Order Date]]=_xlfn.MINIFS(Order_Date, Customer_ID, OrdersTable[[#This Row],[Customer ID]]), "New", "Repeat")</f>
        <v>Repeat</v>
      </c>
      <c r="H2597" t="s">
        <v>316</v>
      </c>
      <c r="I2597" t="str">
        <f>INDEX(State!B:B,MATCH(OrdersTable[[#This Row],[State]],State!A:A,0))</f>
        <v>KL</v>
      </c>
      <c r="J2597" t="str">
        <f>INDEX(State!C:C,MATCH(OrdersTable[[#This Row],[State Code]],State!B:B,0))</f>
        <v>South</v>
      </c>
      <c r="K2597" t="s">
        <v>317</v>
      </c>
      <c r="L2597" t="s">
        <v>50</v>
      </c>
      <c r="M2597" t="s">
        <v>160</v>
      </c>
      <c r="N2597" t="str">
        <f>INDEX(Products!B:B,MATCH(OrdersTable[[#This Row],[Product ID]],Products!A:A,0))</f>
        <v>Niacinamide Toner</v>
      </c>
      <c r="O2597" t="str">
        <f>INDEX(Products!C:C,MATCH(OrdersTable[[#This Row],[Product ID]],Products!A:A,0))</f>
        <v>Skincare</v>
      </c>
      <c r="P2597">
        <v>1</v>
      </c>
      <c r="Q2597" s="5">
        <v>399</v>
      </c>
      <c r="R2597" s="74">
        <v>0.25</v>
      </c>
      <c r="S2597" s="75">
        <f>OrdersTable[[#This Row],[Quantity]]*OrdersTable[[#This Row],[Unit Price]]</f>
        <v>399</v>
      </c>
      <c r="T2597" s="5">
        <f>OrdersTable[[#This Row],[Gross Sale]]*OrdersTable[[#This Row],[Discount_Clean2]]</f>
        <v>99.75</v>
      </c>
      <c r="U2597" s="5">
        <f>OrdersTable[[#This Row],[Gross Sale]]-OrdersTable[[#This Row],[Discount Amount]]</f>
        <v>299.25</v>
      </c>
      <c r="V2597" s="77">
        <f>INDEX(Products!E:E,MATCH(OrdersTable[[#This Row],[Product ID]],Products!A:A,0))</f>
        <v>112</v>
      </c>
      <c r="W2597" s="77">
        <f>OrdersTable[[#This Row],[Quantity]]*OrdersTable[[#This Row],[Unit Cost]]</f>
        <v>112</v>
      </c>
      <c r="X2597" s="77">
        <f>'Dropdown Lists'!$I$2*(1+OrdersTable[[#This Row],[Returned]])</f>
        <v>60</v>
      </c>
      <c r="Y2597" s="76">
        <f>OrdersTable[[#This Row],[Net Revenue]]-OrdersTable[[#This Row],[COGS]]-OrdersTable[[#This Row],[Shipping Cost]]</f>
        <v>127.25</v>
      </c>
      <c r="Z2597" s="78">
        <f>IFERROR(OrdersTable[[#This Row],[Profit]]/OrdersTable[[#This Row],[Net Revenue]],0)</f>
        <v>0.42522974101921468</v>
      </c>
      <c r="AA2597" t="s">
        <v>4450</v>
      </c>
      <c r="AB2597" s="79">
        <v>45732</v>
      </c>
      <c r="AC2597">
        <f>OrdersTable[[#This Row],[Delivery Date]]-OrdersTable[[#This Row],[Order Date]]</f>
        <v>4</v>
      </c>
      <c r="AD2597" t="str">
        <f>IF(OrdersTable[[#This Row],[Delivery Days]]&lt;=2, "Express (≤2d)", IF(OrdersTable[[#This Row],[Delivery Days]]&lt;=4, "Standard (3-4d)", "Delayed (5d+)"))</f>
        <v>Standard (3-4d)</v>
      </c>
      <c r="AE2597">
        <v>3</v>
      </c>
      <c r="AF2597">
        <v>0</v>
      </c>
    </row>
    <row r="2598" spans="1:32" ht="15" x14ac:dyDescent="0.35">
      <c r="A2598" t="s">
        <v>5805</v>
      </c>
      <c r="B2598" s="1">
        <v>45728</v>
      </c>
      <c r="C2598">
        <f>YEAR(OrdersTable[[#This Row],[Order Date]])</f>
        <v>2025</v>
      </c>
      <c r="D2598" s="2">
        <f>DATE(YEAR(OrdersTable[[#This Row],[Order Date]]),MONTH(OrdersTable[[#This Row],[Order Date]]),1)</f>
        <v>45717</v>
      </c>
      <c r="E2598">
        <f>MONTH(OrdersTable[[#This Row],[Order Date]])</f>
        <v>3</v>
      </c>
      <c r="F2598" t="s">
        <v>2740</v>
      </c>
      <c r="G2598" t="str">
        <f>IF(OrdersTable[[#This Row],[Order Date]]=_xlfn.MINIFS(Order_Date, Customer_ID, OrdersTable[[#This Row],[Customer ID]]), "New", "Repeat")</f>
        <v>Repeat</v>
      </c>
      <c r="H2598" t="s">
        <v>59</v>
      </c>
      <c r="I2598" t="str">
        <f>INDEX(State!B:B,MATCH(OrdersTable[[#This Row],[State]],State!A:A,0))</f>
        <v>TN</v>
      </c>
      <c r="J2598" t="str">
        <f>INDEX(State!C:C,MATCH(OrdersTable[[#This Row],[State Code]],State!B:B,0))</f>
        <v>South</v>
      </c>
      <c r="K2598" t="s">
        <v>64</v>
      </c>
      <c r="L2598" t="s">
        <v>23</v>
      </c>
      <c r="M2598" t="s">
        <v>84</v>
      </c>
      <c r="N2598" t="str">
        <f>INDEX(Products!B:B,MATCH(OrdersTable[[#This Row],[Product ID]],Products!A:A,0))</f>
        <v>Cotton Bedsheet</v>
      </c>
      <c r="O2598" t="str">
        <f>INDEX(Products!C:C,MATCH(OrdersTable[[#This Row],[Product ID]],Products!A:A,0))</f>
        <v>Home &amp; Kitchen</v>
      </c>
      <c r="P2598">
        <v>2</v>
      </c>
      <c r="Q2598" s="5">
        <v>1299</v>
      </c>
      <c r="R2598" s="74">
        <v>0.05</v>
      </c>
      <c r="S2598" s="75">
        <f>OrdersTable[[#This Row],[Quantity]]*OrdersTable[[#This Row],[Unit Price]]</f>
        <v>2598</v>
      </c>
      <c r="T2598" s="5">
        <f>OrdersTable[[#This Row],[Gross Sale]]*OrdersTable[[#This Row],[Discount_Clean2]]</f>
        <v>129.9</v>
      </c>
      <c r="U2598" s="5">
        <f>OrdersTable[[#This Row],[Gross Sale]]-OrdersTable[[#This Row],[Discount Amount]]</f>
        <v>2468.1</v>
      </c>
      <c r="V2598" s="77">
        <f>INDEX(Products!E:E,MATCH(OrdersTable[[#This Row],[Product ID]],Products!A:A,0))</f>
        <v>585</v>
      </c>
      <c r="W2598" s="77">
        <f>OrdersTable[[#This Row],[Quantity]]*OrdersTable[[#This Row],[Unit Cost]]</f>
        <v>1170</v>
      </c>
      <c r="X2598" s="77">
        <f>'Dropdown Lists'!$I$2*(1+OrdersTable[[#This Row],[Returned]])</f>
        <v>60</v>
      </c>
      <c r="Y2598" s="76">
        <f>OrdersTable[[#This Row],[Net Revenue]]-OrdersTable[[#This Row],[COGS]]-OrdersTable[[#This Row],[Shipping Cost]]</f>
        <v>1238.0999999999999</v>
      </c>
      <c r="Z2598" s="78">
        <f>IFERROR(OrdersTable[[#This Row],[Profit]]/OrdersTable[[#This Row],[Net Revenue]],0)</f>
        <v>0.50164093837364776</v>
      </c>
      <c r="AA2598" t="s">
        <v>18</v>
      </c>
      <c r="AB2598" s="79">
        <v>45730</v>
      </c>
      <c r="AC2598">
        <f>OrdersTable[[#This Row],[Delivery Date]]-OrdersTable[[#This Row],[Order Date]]</f>
        <v>2</v>
      </c>
      <c r="AD2598" t="str">
        <f>IF(OrdersTable[[#This Row],[Delivery Days]]&lt;=2, "Express (≤2d)", IF(OrdersTable[[#This Row],[Delivery Days]]&lt;=4, "Standard (3-4d)", "Delayed (5d+)"))</f>
        <v>Express (≤2d)</v>
      </c>
      <c r="AE2598">
        <v>5</v>
      </c>
      <c r="AF2598">
        <v>0</v>
      </c>
    </row>
    <row r="2599" spans="1:32" ht="15" x14ac:dyDescent="0.35">
      <c r="A2599" t="s">
        <v>6156</v>
      </c>
      <c r="B2599" s="1">
        <v>45729</v>
      </c>
      <c r="C2599">
        <f>YEAR(OrdersTable[[#This Row],[Order Date]])</f>
        <v>2025</v>
      </c>
      <c r="D2599" s="2">
        <f>DATE(YEAR(OrdersTable[[#This Row],[Order Date]]),MONTH(OrdersTable[[#This Row],[Order Date]]),1)</f>
        <v>45717</v>
      </c>
      <c r="E2599">
        <f>MONTH(OrdersTable[[#This Row],[Order Date]])</f>
        <v>3</v>
      </c>
      <c r="F2599" t="s">
        <v>611</v>
      </c>
      <c r="G2599" t="str">
        <f>IF(OrdersTable[[#This Row],[Order Date]]=_xlfn.MINIFS(Order_Date, Customer_ID, OrdersTable[[#This Row],[Customer ID]]), "New", "Repeat")</f>
        <v>Repeat</v>
      </c>
      <c r="H2599" t="s">
        <v>128</v>
      </c>
      <c r="I2599" t="str">
        <f>INDEX(State!B:B,MATCH(OrdersTable[[#This Row],[State]],State!A:A,0))</f>
        <v>DL</v>
      </c>
      <c r="J2599" t="str">
        <f>INDEX(State!C:C,MATCH(OrdersTable[[#This Row],[State Code]],State!B:B,0))</f>
        <v>North</v>
      </c>
      <c r="K2599" t="s">
        <v>129</v>
      </c>
      <c r="L2599" t="s">
        <v>50</v>
      </c>
      <c r="M2599" t="s">
        <v>56</v>
      </c>
      <c r="N2599" t="str">
        <f>INDEX(Products!B:B,MATCH(OrdersTable[[#This Row],[Product ID]],Products!A:A,0))</f>
        <v>Vitamin C Face Serum</v>
      </c>
      <c r="O2599" t="str">
        <f>INDEX(Products!C:C,MATCH(OrdersTable[[#This Row],[Product ID]],Products!A:A,0))</f>
        <v>Skincare</v>
      </c>
      <c r="P2599">
        <v>2</v>
      </c>
      <c r="Q2599" s="5">
        <v>599</v>
      </c>
      <c r="R2599" s="74">
        <v>0.1</v>
      </c>
      <c r="S2599" s="75">
        <f>OrdersTable[[#This Row],[Quantity]]*OrdersTable[[#This Row],[Unit Price]]</f>
        <v>1198</v>
      </c>
      <c r="T2599" s="5">
        <f>OrdersTable[[#This Row],[Gross Sale]]*OrdersTable[[#This Row],[Discount_Clean2]]</f>
        <v>119.80000000000001</v>
      </c>
      <c r="U2599" s="5">
        <f>OrdersTable[[#This Row],[Gross Sale]]-OrdersTable[[#This Row],[Discount Amount]]</f>
        <v>1078.2</v>
      </c>
      <c r="V2599" s="77">
        <f>INDEX(Products!E:E,MATCH(OrdersTable[[#This Row],[Product ID]],Products!A:A,0))</f>
        <v>180</v>
      </c>
      <c r="W2599" s="77">
        <f>OrdersTable[[#This Row],[Quantity]]*OrdersTable[[#This Row],[Unit Cost]]</f>
        <v>360</v>
      </c>
      <c r="X2599" s="77">
        <f>'Dropdown Lists'!$I$2*(1+OrdersTable[[#This Row],[Returned]])</f>
        <v>60</v>
      </c>
      <c r="Y2599" s="76">
        <f>OrdersTable[[#This Row],[Net Revenue]]-OrdersTable[[#This Row],[COGS]]-OrdersTable[[#This Row],[Shipping Cost]]</f>
        <v>658.2</v>
      </c>
      <c r="Z2599" s="78">
        <f>IFERROR(OrdersTable[[#This Row],[Profit]]/OrdersTable[[#This Row],[Net Revenue]],0)</f>
        <v>0.6104618809126322</v>
      </c>
      <c r="AA2599" t="s">
        <v>18</v>
      </c>
      <c r="AB2599" s="79">
        <v>45731</v>
      </c>
      <c r="AC2599">
        <f>OrdersTable[[#This Row],[Delivery Date]]-OrdersTable[[#This Row],[Order Date]]</f>
        <v>2</v>
      </c>
      <c r="AD2599" t="str">
        <f>IF(OrdersTable[[#This Row],[Delivery Days]]&lt;=2, "Express (≤2d)", IF(OrdersTable[[#This Row],[Delivery Days]]&lt;=4, "Standard (3-4d)", "Delayed (5d+)"))</f>
        <v>Express (≤2d)</v>
      </c>
      <c r="AE2599">
        <v>4</v>
      </c>
      <c r="AF2599">
        <v>0</v>
      </c>
    </row>
    <row r="2600" spans="1:32" ht="15" x14ac:dyDescent="0.35">
      <c r="A2600" t="s">
        <v>5937</v>
      </c>
      <c r="B2600" s="1">
        <v>45729</v>
      </c>
      <c r="C2600">
        <f>YEAR(OrdersTable[[#This Row],[Order Date]])</f>
        <v>2025</v>
      </c>
      <c r="D2600" s="2">
        <f>DATE(YEAR(OrdersTable[[#This Row],[Order Date]]),MONTH(OrdersTable[[#This Row],[Order Date]]),1)</f>
        <v>45717</v>
      </c>
      <c r="E2600">
        <f>MONTH(OrdersTable[[#This Row],[Order Date]])</f>
        <v>3</v>
      </c>
      <c r="F2600" t="s">
        <v>2706</v>
      </c>
      <c r="G2600" t="str">
        <f>IF(OrdersTable[[#This Row],[Order Date]]=_xlfn.MINIFS(Order_Date, Customer_ID, OrdersTable[[#This Row],[Customer ID]]), "New", "Repeat")</f>
        <v>Repeat</v>
      </c>
      <c r="H2600" t="s">
        <v>27</v>
      </c>
      <c r="I2600" t="str">
        <f>INDEX(State!B:B,MATCH(OrdersTable[[#This Row],[State]],State!A:A,0))</f>
        <v>WB</v>
      </c>
      <c r="J2600" t="str">
        <f>INDEX(State!C:C,MATCH(OrdersTable[[#This Row],[State Code]],State!B:B,0))</f>
        <v>East</v>
      </c>
      <c r="K2600" t="s">
        <v>28</v>
      </c>
      <c r="L2600" t="s">
        <v>65</v>
      </c>
      <c r="M2600" t="s">
        <v>106</v>
      </c>
      <c r="N2600" t="str">
        <f>INDEX(Products!B:B,MATCH(OrdersTable[[#This Row],[Product ID]],Products!A:A,0))</f>
        <v>Keratin Hair Mask</v>
      </c>
      <c r="O2600" t="str">
        <f>INDEX(Products!C:C,MATCH(OrdersTable[[#This Row],[Product ID]],Products!A:A,0))</f>
        <v>Haircare</v>
      </c>
      <c r="P2600">
        <v>2</v>
      </c>
      <c r="Q2600" s="5">
        <v>549</v>
      </c>
      <c r="R2600" s="74">
        <v>0.25</v>
      </c>
      <c r="S2600" s="75">
        <f>OrdersTable[[#This Row],[Quantity]]*OrdersTable[[#This Row],[Unit Price]]</f>
        <v>1098</v>
      </c>
      <c r="T2600" s="5">
        <f>OrdersTable[[#This Row],[Gross Sale]]*OrdersTable[[#This Row],[Discount_Clean2]]</f>
        <v>274.5</v>
      </c>
      <c r="U2600" s="5">
        <f>OrdersTable[[#This Row],[Gross Sale]]-OrdersTable[[#This Row],[Discount Amount]]</f>
        <v>823.5</v>
      </c>
      <c r="V2600" s="77">
        <f>INDEX(Products!E:E,MATCH(OrdersTable[[#This Row],[Product ID]],Products!A:A,0))</f>
        <v>170</v>
      </c>
      <c r="W2600" s="77">
        <f>OrdersTable[[#This Row],[Quantity]]*OrdersTable[[#This Row],[Unit Cost]]</f>
        <v>340</v>
      </c>
      <c r="X2600" s="77">
        <f>'Dropdown Lists'!$I$2*(1+OrdersTable[[#This Row],[Returned]])</f>
        <v>60</v>
      </c>
      <c r="Y2600" s="76">
        <f>OrdersTable[[#This Row],[Net Revenue]]-OrdersTable[[#This Row],[COGS]]-OrdersTable[[#This Row],[Shipping Cost]]</f>
        <v>423.5</v>
      </c>
      <c r="Z2600" s="78">
        <f>IFERROR(OrdersTable[[#This Row],[Profit]]/OrdersTable[[#This Row],[Net Revenue]],0)</f>
        <v>0.51426836672738307</v>
      </c>
      <c r="AA2600" t="s">
        <v>18</v>
      </c>
      <c r="AB2600" s="79">
        <v>45732</v>
      </c>
      <c r="AC2600">
        <f>OrdersTable[[#This Row],[Delivery Date]]-OrdersTable[[#This Row],[Order Date]]</f>
        <v>3</v>
      </c>
      <c r="AD2600" t="str">
        <f>IF(OrdersTable[[#This Row],[Delivery Days]]&lt;=2, "Express (≤2d)", IF(OrdersTable[[#This Row],[Delivery Days]]&lt;=4, "Standard (3-4d)", "Delayed (5d+)"))</f>
        <v>Standard (3-4d)</v>
      </c>
      <c r="AF2600">
        <v>0</v>
      </c>
    </row>
    <row r="2601" spans="1:32" ht="15" x14ac:dyDescent="0.35">
      <c r="A2601" t="s">
        <v>6574</v>
      </c>
      <c r="B2601" s="1">
        <v>45729</v>
      </c>
      <c r="C2601">
        <f>YEAR(OrdersTable[[#This Row],[Order Date]])</f>
        <v>2025</v>
      </c>
      <c r="D2601" s="2">
        <f>DATE(YEAR(OrdersTable[[#This Row],[Order Date]]),MONTH(OrdersTable[[#This Row],[Order Date]]),1)</f>
        <v>45717</v>
      </c>
      <c r="E2601">
        <f>MONTH(OrdersTable[[#This Row],[Order Date]])</f>
        <v>3</v>
      </c>
      <c r="F2601" t="s">
        <v>6575</v>
      </c>
      <c r="G2601" t="str">
        <f>IF(OrdersTable[[#This Row],[Order Date]]=_xlfn.MINIFS(Order_Date, Customer_ID, OrdersTable[[#This Row],[Customer ID]]), "New", "Repeat")</f>
        <v>New</v>
      </c>
      <c r="H2601" t="s">
        <v>27</v>
      </c>
      <c r="I2601" t="str">
        <f>INDEX(State!B:B,MATCH(OrdersTable[[#This Row],[State]],State!A:A,0))</f>
        <v>WB</v>
      </c>
      <c r="J2601" t="str">
        <f>INDEX(State!C:C,MATCH(OrdersTable[[#This Row],[State Code]],State!B:B,0))</f>
        <v>East</v>
      </c>
      <c r="K2601" t="s">
        <v>28</v>
      </c>
      <c r="L2601" t="s">
        <v>50</v>
      </c>
      <c r="M2601" t="s">
        <v>152</v>
      </c>
      <c r="N2601" t="str">
        <f>INDEX(Products!B:B,MATCH(OrdersTable[[#This Row],[Product ID]],Products!A:A,0))</f>
        <v>Green Tea (100 bags)</v>
      </c>
      <c r="O2601" t="str">
        <f>INDEX(Products!C:C,MATCH(OrdersTable[[#This Row],[Product ID]],Products!A:A,0))</f>
        <v>Wellness</v>
      </c>
      <c r="P2601">
        <v>3</v>
      </c>
      <c r="Q2601" s="5">
        <v>399</v>
      </c>
      <c r="R2601" s="74">
        <v>0.35</v>
      </c>
      <c r="S2601" s="75">
        <f>OrdersTable[[#This Row],[Quantity]]*OrdersTable[[#This Row],[Unit Price]]</f>
        <v>1197</v>
      </c>
      <c r="T2601" s="5">
        <f>OrdersTable[[#This Row],[Gross Sale]]*OrdersTable[[#This Row],[Discount_Clean2]]</f>
        <v>418.95</v>
      </c>
      <c r="U2601" s="5">
        <f>OrdersTable[[#This Row],[Gross Sale]]-OrdersTable[[#This Row],[Discount Amount]]</f>
        <v>778.05</v>
      </c>
      <c r="V2601" s="77">
        <f>INDEX(Products!E:E,MATCH(OrdersTable[[#This Row],[Product ID]],Products!A:A,0))</f>
        <v>128</v>
      </c>
      <c r="W2601" s="77">
        <f>OrdersTable[[#This Row],[Quantity]]*OrdersTable[[#This Row],[Unit Cost]]</f>
        <v>384</v>
      </c>
      <c r="X2601" s="77">
        <f>'Dropdown Lists'!$I$2*(1+OrdersTable[[#This Row],[Returned]])</f>
        <v>60</v>
      </c>
      <c r="Y2601" s="76">
        <f>OrdersTable[[#This Row],[Net Revenue]]-OrdersTable[[#This Row],[COGS]]-OrdersTable[[#This Row],[Shipping Cost]]</f>
        <v>334.04999999999995</v>
      </c>
      <c r="Z2601" s="78">
        <f>IFERROR(OrdersTable[[#This Row],[Profit]]/OrdersTable[[#This Row],[Net Revenue]],0)</f>
        <v>0.42934258723732405</v>
      </c>
      <c r="AA2601" t="s">
        <v>18</v>
      </c>
      <c r="AB2601" s="79">
        <v>45732</v>
      </c>
      <c r="AC2601">
        <f>OrdersTable[[#This Row],[Delivery Date]]-OrdersTable[[#This Row],[Order Date]]</f>
        <v>3</v>
      </c>
      <c r="AD2601" t="str">
        <f>IF(OrdersTable[[#This Row],[Delivery Days]]&lt;=2, "Express (≤2d)", IF(OrdersTable[[#This Row],[Delivery Days]]&lt;=4, "Standard (3-4d)", "Delayed (5d+)"))</f>
        <v>Standard (3-4d)</v>
      </c>
      <c r="AE2601">
        <v>5</v>
      </c>
      <c r="AF2601">
        <v>0</v>
      </c>
    </row>
    <row r="2602" spans="1:32" ht="15" x14ac:dyDescent="0.35">
      <c r="A2602" t="s">
        <v>3441</v>
      </c>
      <c r="B2602" s="1">
        <v>45729</v>
      </c>
      <c r="C2602">
        <f>YEAR(OrdersTable[[#This Row],[Order Date]])</f>
        <v>2025</v>
      </c>
      <c r="D2602" s="2">
        <f>DATE(YEAR(OrdersTable[[#This Row],[Order Date]]),MONTH(OrdersTable[[#This Row],[Order Date]]),1)</f>
        <v>45717</v>
      </c>
      <c r="E2602">
        <f>MONTH(OrdersTable[[#This Row],[Order Date]])</f>
        <v>3</v>
      </c>
      <c r="F2602" t="s">
        <v>2708</v>
      </c>
      <c r="G2602" t="str">
        <f>IF(OrdersTable[[#This Row],[Order Date]]=_xlfn.MINIFS(Order_Date, Customer_ID, OrdersTable[[#This Row],[Customer ID]]), "New", "Repeat")</f>
        <v>Repeat</v>
      </c>
      <c r="H2602" t="s">
        <v>167</v>
      </c>
      <c r="I2602" t="str">
        <f>INDEX(State!B:B,MATCH(OrdersTable[[#This Row],[State]],State!A:A,0))</f>
        <v>KA</v>
      </c>
      <c r="J2602" t="str">
        <f>INDEX(State!C:C,MATCH(OrdersTable[[#This Row],[State Code]],State!B:B,0))</f>
        <v>South</v>
      </c>
      <c r="K2602" t="s">
        <v>168</v>
      </c>
      <c r="L2602" t="s">
        <v>65</v>
      </c>
      <c r="M2602" t="s">
        <v>29</v>
      </c>
      <c r="N2602" t="str">
        <f>INDEX(Products!B:B,MATCH(OrdersTable[[#This Row],[Product ID]],Products!A:A,0))</f>
        <v>Joggers</v>
      </c>
      <c r="O2602" t="str">
        <f>INDEX(Products!C:C,MATCH(OrdersTable[[#This Row],[Product ID]],Products!A:A,0))</f>
        <v>Apparel</v>
      </c>
      <c r="P2602">
        <v>1</v>
      </c>
      <c r="Q2602" s="5">
        <v>1199</v>
      </c>
      <c r="R2602" s="74">
        <v>0.05</v>
      </c>
      <c r="S2602" s="75">
        <f>OrdersTable[[#This Row],[Quantity]]*OrdersTable[[#This Row],[Unit Price]]</f>
        <v>1199</v>
      </c>
      <c r="T2602" s="5">
        <f>OrdersTable[[#This Row],[Gross Sale]]*OrdersTable[[#This Row],[Discount_Clean2]]</f>
        <v>59.95</v>
      </c>
      <c r="U2602" s="5">
        <f>OrdersTable[[#This Row],[Gross Sale]]-OrdersTable[[#This Row],[Discount Amount]]</f>
        <v>1139.05</v>
      </c>
      <c r="V2602" s="77">
        <f>INDEX(Products!E:E,MATCH(OrdersTable[[#This Row],[Product ID]],Products!A:A,0))</f>
        <v>492</v>
      </c>
      <c r="W2602" s="77">
        <f>OrdersTable[[#This Row],[Quantity]]*OrdersTable[[#This Row],[Unit Cost]]</f>
        <v>492</v>
      </c>
      <c r="X2602" s="77">
        <f>'Dropdown Lists'!$I$2*(1+OrdersTable[[#This Row],[Returned]])</f>
        <v>60</v>
      </c>
      <c r="Y2602" s="76">
        <f>OrdersTable[[#This Row],[Net Revenue]]-OrdersTable[[#This Row],[COGS]]-OrdersTable[[#This Row],[Shipping Cost]]</f>
        <v>587.04999999999995</v>
      </c>
      <c r="Z2602" s="78">
        <f>IFERROR(OrdersTable[[#This Row],[Profit]]/OrdersTable[[#This Row],[Net Revenue]],0)</f>
        <v>0.51538562837452262</v>
      </c>
      <c r="AA2602" t="s">
        <v>2522</v>
      </c>
      <c r="AB2602" s="79">
        <v>45732</v>
      </c>
      <c r="AC2602">
        <f>OrdersTable[[#This Row],[Delivery Date]]-OrdersTable[[#This Row],[Order Date]]</f>
        <v>3</v>
      </c>
      <c r="AD2602" t="str">
        <f>IF(OrdersTable[[#This Row],[Delivery Days]]&lt;=2, "Express (≤2d)", IF(OrdersTable[[#This Row],[Delivery Days]]&lt;=4, "Standard (3-4d)", "Delayed (5d+)"))</f>
        <v>Standard (3-4d)</v>
      </c>
      <c r="AE2602">
        <v>4</v>
      </c>
      <c r="AF2602">
        <v>0</v>
      </c>
    </row>
    <row r="2603" spans="1:32" ht="15" x14ac:dyDescent="0.35">
      <c r="A2603" t="s">
        <v>2607</v>
      </c>
      <c r="B2603" s="1">
        <v>45729</v>
      </c>
      <c r="C2603">
        <f>YEAR(OrdersTable[[#This Row],[Order Date]])</f>
        <v>2025</v>
      </c>
      <c r="D2603" s="2">
        <f>DATE(YEAR(OrdersTable[[#This Row],[Order Date]]),MONTH(OrdersTable[[#This Row],[Order Date]]),1)</f>
        <v>45717</v>
      </c>
      <c r="E2603">
        <f>MONTH(OrdersTable[[#This Row],[Order Date]])</f>
        <v>3</v>
      </c>
      <c r="F2603" t="s">
        <v>1891</v>
      </c>
      <c r="G2603" t="str">
        <f>IF(OrdersTable[[#This Row],[Order Date]]=_xlfn.MINIFS(Order_Date, Customer_ID, OrdersTable[[#This Row],[Customer ID]]), "New", "Repeat")</f>
        <v>Repeat</v>
      </c>
      <c r="H2603" t="s">
        <v>59</v>
      </c>
      <c r="I2603" t="str">
        <f>INDEX(State!B:B,MATCH(OrdersTable[[#This Row],[State]],State!A:A,0))</f>
        <v>TN</v>
      </c>
      <c r="J2603" t="str">
        <f>INDEX(State!C:C,MATCH(OrdersTable[[#This Row],[State Code]],State!B:B,0))</f>
        <v>South</v>
      </c>
      <c r="K2603" t="s">
        <v>60</v>
      </c>
      <c r="L2603" t="s">
        <v>23</v>
      </c>
      <c r="M2603" t="s">
        <v>29</v>
      </c>
      <c r="N2603" t="str">
        <f>INDEX(Products!B:B,MATCH(OrdersTable[[#This Row],[Product ID]],Products!A:A,0))</f>
        <v>Joggers</v>
      </c>
      <c r="O2603" t="str">
        <f>INDEX(Products!C:C,MATCH(OrdersTable[[#This Row],[Product ID]],Products!A:A,0))</f>
        <v>Apparel</v>
      </c>
      <c r="P2603">
        <v>1</v>
      </c>
      <c r="Q2603" s="5">
        <v>1199</v>
      </c>
      <c r="R2603" s="74">
        <v>0.15</v>
      </c>
      <c r="S2603" s="75">
        <f>OrdersTable[[#This Row],[Quantity]]*OrdersTable[[#This Row],[Unit Price]]</f>
        <v>1199</v>
      </c>
      <c r="T2603" s="5">
        <f>OrdersTable[[#This Row],[Gross Sale]]*OrdersTable[[#This Row],[Discount_Clean2]]</f>
        <v>179.85</v>
      </c>
      <c r="U2603" s="5">
        <f>OrdersTable[[#This Row],[Gross Sale]]-OrdersTable[[#This Row],[Discount Amount]]</f>
        <v>1019.15</v>
      </c>
      <c r="V2603" s="77">
        <f>INDEX(Products!E:E,MATCH(OrdersTable[[#This Row],[Product ID]],Products!A:A,0))</f>
        <v>492</v>
      </c>
      <c r="W2603" s="77">
        <f>OrdersTable[[#This Row],[Quantity]]*OrdersTable[[#This Row],[Unit Cost]]</f>
        <v>492</v>
      </c>
      <c r="X2603" s="77">
        <f>'Dropdown Lists'!$I$2*(1+OrdersTable[[#This Row],[Returned]])</f>
        <v>60</v>
      </c>
      <c r="Y2603" s="76">
        <f>OrdersTable[[#This Row],[Net Revenue]]-OrdersTable[[#This Row],[COGS]]-OrdersTable[[#This Row],[Shipping Cost]]</f>
        <v>467.15</v>
      </c>
      <c r="Z2603" s="78">
        <f>IFERROR(OrdersTable[[#This Row],[Profit]]/OrdersTable[[#This Row],[Net Revenue]],0)</f>
        <v>0.45837217288917231</v>
      </c>
      <c r="AA2603" t="s">
        <v>2522</v>
      </c>
      <c r="AB2603" s="79">
        <v>45731</v>
      </c>
      <c r="AC2603">
        <f>OrdersTable[[#This Row],[Delivery Date]]-OrdersTable[[#This Row],[Order Date]]</f>
        <v>2</v>
      </c>
      <c r="AD2603" t="str">
        <f>IF(OrdersTable[[#This Row],[Delivery Days]]&lt;=2, "Express (≤2d)", IF(OrdersTable[[#This Row],[Delivery Days]]&lt;=4, "Standard (3-4d)", "Delayed (5d+)"))</f>
        <v>Express (≤2d)</v>
      </c>
      <c r="AE2603">
        <v>5</v>
      </c>
      <c r="AF2603">
        <v>0</v>
      </c>
    </row>
    <row r="2604" spans="1:32" ht="15" x14ac:dyDescent="0.35">
      <c r="A2604" t="s">
        <v>1545</v>
      </c>
      <c r="B2604" s="1">
        <v>45729</v>
      </c>
      <c r="C2604">
        <f>YEAR(OrdersTable[[#This Row],[Order Date]])</f>
        <v>2025</v>
      </c>
      <c r="D2604" s="2">
        <f>DATE(YEAR(OrdersTable[[#This Row],[Order Date]]),MONTH(OrdersTable[[#This Row],[Order Date]]),1)</f>
        <v>45717</v>
      </c>
      <c r="E2604">
        <f>MONTH(OrdersTable[[#This Row],[Order Date]])</f>
        <v>3</v>
      </c>
      <c r="F2604" t="s">
        <v>1546</v>
      </c>
      <c r="G2604" t="str">
        <f>IF(OrdersTable[[#This Row],[Order Date]]=_xlfn.MINIFS(Order_Date, Customer_ID, OrdersTable[[#This Row],[Customer ID]]), "New", "Repeat")</f>
        <v>Repeat</v>
      </c>
      <c r="H2604" t="s">
        <v>59</v>
      </c>
      <c r="I2604" t="str">
        <f>INDEX(State!B:B,MATCH(OrdersTable[[#This Row],[State]],State!A:A,0))</f>
        <v>TN</v>
      </c>
      <c r="J2604" t="str">
        <f>INDEX(State!C:C,MATCH(OrdersTable[[#This Row],[State Code]],State!B:B,0))</f>
        <v>South</v>
      </c>
      <c r="K2604" t="s">
        <v>64</v>
      </c>
      <c r="L2604" t="s">
        <v>39</v>
      </c>
      <c r="M2604" t="s">
        <v>179</v>
      </c>
      <c r="N2604" t="str">
        <f>INDEX(Products!B:B,MATCH(OrdersTable[[#This Row],[Product ID]],Products!A:A,0))</f>
        <v>Whey Protein 1kg</v>
      </c>
      <c r="O2604" t="str">
        <f>INDEX(Products!C:C,MATCH(OrdersTable[[#This Row],[Product ID]],Products!A:A,0))</f>
        <v>Wellness</v>
      </c>
      <c r="P2604">
        <v>1</v>
      </c>
      <c r="Q2604" s="5">
        <v>2299</v>
      </c>
      <c r="R2604" s="74">
        <v>0.3</v>
      </c>
      <c r="S2604" s="75">
        <f>OrdersTable[[#This Row],[Quantity]]*OrdersTable[[#This Row],[Unit Price]]</f>
        <v>2299</v>
      </c>
      <c r="T2604" s="5">
        <f>OrdersTable[[#This Row],[Gross Sale]]*OrdersTable[[#This Row],[Discount_Clean2]]</f>
        <v>689.69999999999993</v>
      </c>
      <c r="U2604" s="5">
        <f>OrdersTable[[#This Row],[Gross Sale]]-OrdersTable[[#This Row],[Discount Amount]]</f>
        <v>1609.3000000000002</v>
      </c>
      <c r="V2604" s="77">
        <f>INDEX(Products!E:E,MATCH(OrdersTable[[#This Row],[Product ID]],Products!A:A,0))</f>
        <v>1333</v>
      </c>
      <c r="W2604" s="77">
        <f>OrdersTable[[#This Row],[Quantity]]*OrdersTable[[#This Row],[Unit Cost]]</f>
        <v>1333</v>
      </c>
      <c r="X2604" s="77">
        <f>'Dropdown Lists'!$I$2*(1+OrdersTable[[#This Row],[Returned]])</f>
        <v>60</v>
      </c>
      <c r="Y2604" s="76">
        <f>OrdersTable[[#This Row],[Net Revenue]]-OrdersTable[[#This Row],[COGS]]-OrdersTable[[#This Row],[Shipping Cost]]</f>
        <v>216.30000000000018</v>
      </c>
      <c r="Z2604" s="78">
        <f>IFERROR(OrdersTable[[#This Row],[Profit]]/OrdersTable[[#This Row],[Net Revenue]],0)</f>
        <v>0.13440626359286656</v>
      </c>
      <c r="AA2604" t="s">
        <v>18</v>
      </c>
      <c r="AB2604" s="79">
        <v>45731</v>
      </c>
      <c r="AC2604">
        <f>OrdersTable[[#This Row],[Delivery Date]]-OrdersTable[[#This Row],[Order Date]]</f>
        <v>2</v>
      </c>
      <c r="AD2604" t="str">
        <f>IF(OrdersTable[[#This Row],[Delivery Days]]&lt;=2, "Express (≤2d)", IF(OrdersTable[[#This Row],[Delivery Days]]&lt;=4, "Standard (3-4d)", "Delayed (5d+)"))</f>
        <v>Express (≤2d)</v>
      </c>
      <c r="AF2604">
        <v>0</v>
      </c>
    </row>
    <row r="2605" spans="1:32" ht="15" x14ac:dyDescent="0.35">
      <c r="A2605" t="s">
        <v>1164</v>
      </c>
      <c r="B2605" s="1">
        <v>45730</v>
      </c>
      <c r="C2605">
        <f>YEAR(OrdersTable[[#This Row],[Order Date]])</f>
        <v>2025</v>
      </c>
      <c r="D2605" s="2">
        <f>DATE(YEAR(OrdersTable[[#This Row],[Order Date]]),MONTH(OrdersTable[[#This Row],[Order Date]]),1)</f>
        <v>45717</v>
      </c>
      <c r="E2605">
        <f>MONTH(OrdersTable[[#This Row],[Order Date]])</f>
        <v>3</v>
      </c>
      <c r="F2605" t="s">
        <v>521</v>
      </c>
      <c r="G2605" t="str">
        <f>IF(OrdersTable[[#This Row],[Order Date]]=_xlfn.MINIFS(Order_Date, Customer_ID, OrdersTable[[#This Row],[Customer ID]]), "New", "Repeat")</f>
        <v>Repeat</v>
      </c>
      <c r="H2605" t="s">
        <v>21</v>
      </c>
      <c r="I2605" t="str">
        <f>INDEX(State!B:B,MATCH(OrdersTable[[#This Row],[State]],State!A:A,0))</f>
        <v>PB</v>
      </c>
      <c r="J2605" t="str">
        <f>INDEX(State!C:C,MATCH(OrdersTable[[#This Row],[State Code]],State!B:B,0))</f>
        <v>North</v>
      </c>
      <c r="K2605" t="s">
        <v>22</v>
      </c>
      <c r="L2605" t="s">
        <v>50</v>
      </c>
      <c r="M2605" t="s">
        <v>51</v>
      </c>
      <c r="N2605" t="str">
        <f>INDEX(Products!B:B,MATCH(OrdersTable[[#This Row],[Product ID]],Products!A:A,0))</f>
        <v>Anti-Dandruff Conditioner</v>
      </c>
      <c r="O2605" t="str">
        <f>INDEX(Products!C:C,MATCH(OrdersTable[[#This Row],[Product ID]],Products!A:A,0))</f>
        <v>Haircare</v>
      </c>
      <c r="P2605">
        <v>1</v>
      </c>
      <c r="Q2605" s="5">
        <v>399</v>
      </c>
      <c r="R2605" s="74">
        <v>0.35</v>
      </c>
      <c r="S2605" s="75">
        <f>OrdersTable[[#This Row],[Quantity]]*OrdersTable[[#This Row],[Unit Price]]</f>
        <v>399</v>
      </c>
      <c r="T2605" s="5">
        <f>OrdersTable[[#This Row],[Gross Sale]]*OrdersTable[[#This Row],[Discount_Clean2]]</f>
        <v>139.64999999999998</v>
      </c>
      <c r="U2605" s="5">
        <f>OrdersTable[[#This Row],[Gross Sale]]-OrdersTable[[#This Row],[Discount Amount]]</f>
        <v>259.35000000000002</v>
      </c>
      <c r="V2605" s="77">
        <f>INDEX(Products!E:E,MATCH(OrdersTable[[#This Row],[Product ID]],Products!A:A,0))</f>
        <v>136</v>
      </c>
      <c r="W2605" s="77">
        <f>OrdersTable[[#This Row],[Quantity]]*OrdersTable[[#This Row],[Unit Cost]]</f>
        <v>136</v>
      </c>
      <c r="X2605" s="77">
        <f>'Dropdown Lists'!$I$2*(1+OrdersTable[[#This Row],[Returned]])</f>
        <v>120</v>
      </c>
      <c r="Y2605" s="76">
        <f>OrdersTable[[#This Row],[Net Revenue]]-OrdersTable[[#This Row],[COGS]]-OrdersTable[[#This Row],[Shipping Cost]]</f>
        <v>3.3500000000000227</v>
      </c>
      <c r="Z2605" s="78">
        <f>IFERROR(OrdersTable[[#This Row],[Profit]]/OrdersTable[[#This Row],[Net Revenue]],0)</f>
        <v>1.2916907653749846E-2</v>
      </c>
      <c r="AA2605" t="s">
        <v>18</v>
      </c>
      <c r="AB2605" s="79">
        <v>45735</v>
      </c>
      <c r="AC2605">
        <f>OrdersTable[[#This Row],[Delivery Date]]-OrdersTable[[#This Row],[Order Date]]</f>
        <v>5</v>
      </c>
      <c r="AD2605" t="str">
        <f>IF(OrdersTable[[#This Row],[Delivery Days]]&lt;=2, "Express (≤2d)", IF(OrdersTable[[#This Row],[Delivery Days]]&lt;=4, "Standard (3-4d)", "Delayed (5d+)"))</f>
        <v>Delayed (5d+)</v>
      </c>
      <c r="AF2605">
        <v>1</v>
      </c>
    </row>
    <row r="2606" spans="1:32" ht="15" x14ac:dyDescent="0.35">
      <c r="A2606" t="s">
        <v>3040</v>
      </c>
      <c r="B2606" s="1">
        <v>45730</v>
      </c>
      <c r="C2606">
        <f>YEAR(OrdersTable[[#This Row],[Order Date]])</f>
        <v>2025</v>
      </c>
      <c r="D2606" s="2">
        <f>DATE(YEAR(OrdersTable[[#This Row],[Order Date]]),MONTH(OrdersTable[[#This Row],[Order Date]]),1)</f>
        <v>45717</v>
      </c>
      <c r="E2606">
        <f>MONTH(OrdersTable[[#This Row],[Order Date]])</f>
        <v>3</v>
      </c>
      <c r="F2606" t="s">
        <v>3041</v>
      </c>
      <c r="G2606" t="str">
        <f>IF(OrdersTable[[#This Row],[Order Date]]=_xlfn.MINIFS(Order_Date, Customer_ID, OrdersTable[[#This Row],[Customer ID]]), "New", "Repeat")</f>
        <v>Repeat</v>
      </c>
      <c r="H2606" t="s">
        <v>128</v>
      </c>
      <c r="I2606" t="str">
        <f>INDEX(State!B:B,MATCH(OrdersTable[[#This Row],[State]],State!A:A,0))</f>
        <v>DL</v>
      </c>
      <c r="J2606" t="str">
        <f>INDEX(State!C:C,MATCH(OrdersTable[[#This Row],[State Code]],State!B:B,0))</f>
        <v>North</v>
      </c>
      <c r="K2606" t="s">
        <v>129</v>
      </c>
      <c r="L2606" t="s">
        <v>16</v>
      </c>
      <c r="M2606" t="s">
        <v>92</v>
      </c>
      <c r="N2606" t="str">
        <f>INDEX(Products!B:B,MATCH(OrdersTable[[#This Row],[Product ID]],Products!A:A,0))</f>
        <v>Kolhapuri Sandals</v>
      </c>
      <c r="O2606" t="str">
        <f>INDEX(Products!C:C,MATCH(OrdersTable[[#This Row],[Product ID]],Products!A:A,0))</f>
        <v>Footwear</v>
      </c>
      <c r="P2606">
        <v>1</v>
      </c>
      <c r="Q2606" s="5">
        <v>999</v>
      </c>
      <c r="R2606" s="74">
        <v>0.15</v>
      </c>
      <c r="S2606" s="75">
        <f>OrdersTable[[#This Row],[Quantity]]*OrdersTable[[#This Row],[Unit Price]]</f>
        <v>999</v>
      </c>
      <c r="T2606" s="5">
        <f>OrdersTable[[#This Row],[Gross Sale]]*OrdersTable[[#This Row],[Discount_Clean2]]</f>
        <v>149.85</v>
      </c>
      <c r="U2606" s="5">
        <f>OrdersTable[[#This Row],[Gross Sale]]-OrdersTable[[#This Row],[Discount Amount]]</f>
        <v>849.15</v>
      </c>
      <c r="V2606" s="77">
        <f>INDEX(Products!E:E,MATCH(OrdersTable[[#This Row],[Product ID]],Products!A:A,0))</f>
        <v>400</v>
      </c>
      <c r="W2606" s="77">
        <f>OrdersTable[[#This Row],[Quantity]]*OrdersTable[[#This Row],[Unit Cost]]</f>
        <v>400</v>
      </c>
      <c r="X2606" s="77">
        <f>'Dropdown Lists'!$I$2*(1+OrdersTable[[#This Row],[Returned]])</f>
        <v>120</v>
      </c>
      <c r="Y2606" s="76">
        <f>OrdersTable[[#This Row],[Net Revenue]]-OrdersTable[[#This Row],[COGS]]-OrdersTable[[#This Row],[Shipping Cost]]</f>
        <v>329.15</v>
      </c>
      <c r="Z2606" s="78">
        <f>IFERROR(OrdersTable[[#This Row],[Profit]]/OrdersTable[[#This Row],[Net Revenue]],0)</f>
        <v>0.38762291703468171</v>
      </c>
      <c r="AA2606" t="s">
        <v>2522</v>
      </c>
      <c r="AB2606" s="79">
        <v>45732</v>
      </c>
      <c r="AC2606">
        <f>OrdersTable[[#This Row],[Delivery Date]]-OrdersTable[[#This Row],[Order Date]]</f>
        <v>2</v>
      </c>
      <c r="AD2606" t="str">
        <f>IF(OrdersTable[[#This Row],[Delivery Days]]&lt;=2, "Express (≤2d)", IF(OrdersTable[[#This Row],[Delivery Days]]&lt;=4, "Standard (3-4d)", "Delayed (5d+)"))</f>
        <v>Express (≤2d)</v>
      </c>
      <c r="AF2606">
        <v>1</v>
      </c>
    </row>
    <row r="2607" spans="1:32" ht="15" x14ac:dyDescent="0.35">
      <c r="A2607" t="s">
        <v>1399</v>
      </c>
      <c r="B2607" s="1">
        <v>45730</v>
      </c>
      <c r="C2607">
        <f>YEAR(OrdersTable[[#This Row],[Order Date]])</f>
        <v>2025</v>
      </c>
      <c r="D2607" s="2">
        <f>DATE(YEAR(OrdersTable[[#This Row],[Order Date]]),MONTH(OrdersTable[[#This Row],[Order Date]]),1)</f>
        <v>45717</v>
      </c>
      <c r="E2607">
        <f>MONTH(OrdersTable[[#This Row],[Order Date]])</f>
        <v>3</v>
      </c>
      <c r="F2607" t="s">
        <v>1400</v>
      </c>
      <c r="G2607" t="str">
        <f>IF(OrdersTable[[#This Row],[Order Date]]=_xlfn.MINIFS(Order_Date, Customer_ID, OrdersTable[[#This Row],[Customer ID]]), "New", "Repeat")</f>
        <v>New</v>
      </c>
      <c r="H2607" t="s">
        <v>128</v>
      </c>
      <c r="I2607" t="str">
        <f>INDEX(State!B:B,MATCH(OrdersTable[[#This Row],[State]],State!A:A,0))</f>
        <v>DL</v>
      </c>
      <c r="J2607" t="str">
        <f>INDEX(State!C:C,MATCH(OrdersTable[[#This Row],[State Code]],State!B:B,0))</f>
        <v>North</v>
      </c>
      <c r="K2607" t="s">
        <v>129</v>
      </c>
      <c r="L2607" t="s">
        <v>23</v>
      </c>
      <c r="M2607" t="s">
        <v>73</v>
      </c>
      <c r="N2607" t="str">
        <f>INDEX(Products!B:B,MATCH(OrdersTable[[#This Row],[Product ID]],Products!A:A,0))</f>
        <v>Hydrating Face Wash</v>
      </c>
      <c r="O2607" t="str">
        <f>INDEX(Products!C:C,MATCH(OrdersTable[[#This Row],[Product ID]],Products!A:A,0))</f>
        <v>Skincare</v>
      </c>
      <c r="P2607">
        <v>1</v>
      </c>
      <c r="Q2607" s="5">
        <v>299</v>
      </c>
      <c r="R2607" s="74">
        <v>0</v>
      </c>
      <c r="S2607" s="75">
        <f>OrdersTable[[#This Row],[Quantity]]*OrdersTable[[#This Row],[Unit Price]]</f>
        <v>299</v>
      </c>
      <c r="T2607" s="5">
        <f>OrdersTable[[#This Row],[Gross Sale]]*OrdersTable[[#This Row],[Discount_Clean2]]</f>
        <v>0</v>
      </c>
      <c r="U2607" s="5">
        <f>OrdersTable[[#This Row],[Gross Sale]]-OrdersTable[[#This Row],[Discount Amount]]</f>
        <v>299</v>
      </c>
      <c r="V2607" s="77">
        <f>INDEX(Products!E:E,MATCH(OrdersTable[[#This Row],[Product ID]],Products!A:A,0))</f>
        <v>90</v>
      </c>
      <c r="W2607" s="77">
        <f>OrdersTable[[#This Row],[Quantity]]*OrdersTable[[#This Row],[Unit Cost]]</f>
        <v>90</v>
      </c>
      <c r="X2607" s="77">
        <f>'Dropdown Lists'!$I$2*(1+OrdersTable[[#This Row],[Returned]])</f>
        <v>60</v>
      </c>
      <c r="Y2607" s="76">
        <f>OrdersTable[[#This Row],[Net Revenue]]-OrdersTable[[#This Row],[COGS]]-OrdersTable[[#This Row],[Shipping Cost]]</f>
        <v>149</v>
      </c>
      <c r="Z2607" s="78">
        <f>IFERROR(OrdersTable[[#This Row],[Profit]]/OrdersTable[[#This Row],[Net Revenue]],0)</f>
        <v>0.49832775919732442</v>
      </c>
      <c r="AA2607" t="s">
        <v>18</v>
      </c>
      <c r="AB2607" s="79">
        <v>45732</v>
      </c>
      <c r="AC2607">
        <f>OrdersTable[[#This Row],[Delivery Date]]-OrdersTable[[#This Row],[Order Date]]</f>
        <v>2</v>
      </c>
      <c r="AD2607" t="str">
        <f>IF(OrdersTable[[#This Row],[Delivery Days]]&lt;=2, "Express (≤2d)", IF(OrdersTable[[#This Row],[Delivery Days]]&lt;=4, "Standard (3-4d)", "Delayed (5d+)"))</f>
        <v>Express (≤2d)</v>
      </c>
      <c r="AF2607">
        <v>0</v>
      </c>
    </row>
    <row r="2608" spans="1:32" ht="15" x14ac:dyDescent="0.35">
      <c r="A2608" t="s">
        <v>263</v>
      </c>
      <c r="B2608" s="1">
        <v>45730</v>
      </c>
      <c r="C2608">
        <f>YEAR(OrdersTable[[#This Row],[Order Date]])</f>
        <v>2025</v>
      </c>
      <c r="D2608" s="2">
        <f>DATE(YEAR(OrdersTable[[#This Row],[Order Date]]),MONTH(OrdersTable[[#This Row],[Order Date]]),1)</f>
        <v>45717</v>
      </c>
      <c r="E2608">
        <f>MONTH(OrdersTable[[#This Row],[Order Date]])</f>
        <v>3</v>
      </c>
      <c r="F2608" t="s">
        <v>264</v>
      </c>
      <c r="G2608" t="str">
        <f>IF(OrdersTable[[#This Row],[Order Date]]=_xlfn.MINIFS(Order_Date, Customer_ID, OrdersTable[[#This Row],[Customer ID]]), "New", "Repeat")</f>
        <v>New</v>
      </c>
      <c r="H2608" t="s">
        <v>71</v>
      </c>
      <c r="I2608" t="str">
        <f>INDEX(State!B:B,MATCH(OrdersTable[[#This Row],[State]],State!A:A,0))</f>
        <v>MH</v>
      </c>
      <c r="J2608" t="str">
        <f>INDEX(State!C:C,MATCH(OrdersTable[[#This Row],[State Code]],State!B:B,0))</f>
        <v>West</v>
      </c>
      <c r="K2608" t="s">
        <v>102</v>
      </c>
      <c r="L2608" t="s">
        <v>50</v>
      </c>
      <c r="M2608" t="s">
        <v>106</v>
      </c>
      <c r="N2608" t="str">
        <f>INDEX(Products!B:B,MATCH(OrdersTable[[#This Row],[Product ID]],Products!A:A,0))</f>
        <v>Keratin Hair Mask</v>
      </c>
      <c r="O2608" t="str">
        <f>INDEX(Products!C:C,MATCH(OrdersTable[[#This Row],[Product ID]],Products!A:A,0))</f>
        <v>Haircare</v>
      </c>
      <c r="P2608">
        <v>1</v>
      </c>
      <c r="Q2608" s="5">
        <v>549</v>
      </c>
      <c r="R2608" s="74">
        <v>0.1</v>
      </c>
      <c r="S2608" s="75">
        <f>OrdersTable[[#This Row],[Quantity]]*OrdersTable[[#This Row],[Unit Price]]</f>
        <v>549</v>
      </c>
      <c r="T2608" s="5">
        <f>OrdersTable[[#This Row],[Gross Sale]]*OrdersTable[[#This Row],[Discount_Clean2]]</f>
        <v>54.900000000000006</v>
      </c>
      <c r="U2608" s="5">
        <f>OrdersTable[[#This Row],[Gross Sale]]-OrdersTable[[#This Row],[Discount Amount]]</f>
        <v>494.1</v>
      </c>
      <c r="V2608" s="77">
        <f>INDEX(Products!E:E,MATCH(OrdersTable[[#This Row],[Product ID]],Products!A:A,0))</f>
        <v>170</v>
      </c>
      <c r="W2608" s="77">
        <f>OrdersTable[[#This Row],[Quantity]]*OrdersTable[[#This Row],[Unit Cost]]</f>
        <v>170</v>
      </c>
      <c r="X2608" s="77">
        <f>'Dropdown Lists'!$I$2*(1+OrdersTable[[#This Row],[Returned]])</f>
        <v>60</v>
      </c>
      <c r="Y2608" s="76">
        <f>OrdersTable[[#This Row],[Net Revenue]]-OrdersTable[[#This Row],[COGS]]-OrdersTable[[#This Row],[Shipping Cost]]</f>
        <v>264.10000000000002</v>
      </c>
      <c r="Z2608" s="78">
        <f>IFERROR(OrdersTable[[#This Row],[Profit]]/OrdersTable[[#This Row],[Net Revenue]],0)</f>
        <v>0.53450718478040882</v>
      </c>
      <c r="AA2608" t="s">
        <v>18</v>
      </c>
      <c r="AB2608" s="79">
        <v>45731</v>
      </c>
      <c r="AC2608">
        <f>OrdersTable[[#This Row],[Delivery Date]]-OrdersTable[[#This Row],[Order Date]]</f>
        <v>1</v>
      </c>
      <c r="AD2608" t="str">
        <f>IF(OrdersTable[[#This Row],[Delivery Days]]&lt;=2, "Express (≤2d)", IF(OrdersTable[[#This Row],[Delivery Days]]&lt;=4, "Standard (3-4d)", "Delayed (5d+)"))</f>
        <v>Express (≤2d)</v>
      </c>
      <c r="AE2608">
        <v>4</v>
      </c>
      <c r="AF2608">
        <v>0</v>
      </c>
    </row>
    <row r="2609" spans="1:32" ht="15" x14ac:dyDescent="0.35">
      <c r="A2609" t="s">
        <v>3042</v>
      </c>
      <c r="B2609" s="1">
        <v>45730</v>
      </c>
      <c r="C2609">
        <f>YEAR(OrdersTable[[#This Row],[Order Date]])</f>
        <v>2025</v>
      </c>
      <c r="D2609" s="2">
        <f>DATE(YEAR(OrdersTable[[#This Row],[Order Date]]),MONTH(OrdersTable[[#This Row],[Order Date]]),1)</f>
        <v>45717</v>
      </c>
      <c r="E2609">
        <f>MONTH(OrdersTable[[#This Row],[Order Date]])</f>
        <v>3</v>
      </c>
      <c r="F2609" t="s">
        <v>3043</v>
      </c>
      <c r="G2609" t="str">
        <f>IF(OrdersTable[[#This Row],[Order Date]]=_xlfn.MINIFS(Order_Date, Customer_ID, OrdersTable[[#This Row],[Customer ID]]), "New", "Repeat")</f>
        <v>New</v>
      </c>
      <c r="H2609" t="s">
        <v>71</v>
      </c>
      <c r="I2609" t="str">
        <f>INDEX(State!B:B,MATCH(OrdersTable[[#This Row],[State]],State!A:A,0))</f>
        <v>MH</v>
      </c>
      <c r="J2609" t="str">
        <f>INDEX(State!C:C,MATCH(OrdersTable[[#This Row],[State Code]],State!B:B,0))</f>
        <v>West</v>
      </c>
      <c r="K2609" t="s">
        <v>72</v>
      </c>
      <c r="L2609" t="s">
        <v>65</v>
      </c>
      <c r="M2609" t="s">
        <v>40</v>
      </c>
      <c r="N2609" t="str">
        <f>INDEX(Products!B:B,MATCH(OrdersTable[[#This Row],[Product ID]],Products!A:A,0))</f>
        <v>Ashwagandha Capsules</v>
      </c>
      <c r="O2609" t="str">
        <f>INDEX(Products!C:C,MATCH(OrdersTable[[#This Row],[Product ID]],Products!A:A,0))</f>
        <v>Wellness</v>
      </c>
      <c r="P2609">
        <v>1</v>
      </c>
      <c r="Q2609" s="5">
        <v>499</v>
      </c>
      <c r="R2609" s="74">
        <v>0.1</v>
      </c>
      <c r="S2609" s="75">
        <f>OrdersTable[[#This Row],[Quantity]]*OrdersTable[[#This Row],[Unit Price]]</f>
        <v>499</v>
      </c>
      <c r="T2609" s="5">
        <f>OrdersTable[[#This Row],[Gross Sale]]*OrdersTable[[#This Row],[Discount_Clean2]]</f>
        <v>49.900000000000006</v>
      </c>
      <c r="U2609" s="5">
        <f>OrdersTable[[#This Row],[Gross Sale]]-OrdersTable[[#This Row],[Discount Amount]]</f>
        <v>449.1</v>
      </c>
      <c r="V2609" s="77">
        <f>INDEX(Products!E:E,MATCH(OrdersTable[[#This Row],[Product ID]],Products!A:A,0))</f>
        <v>150</v>
      </c>
      <c r="W2609" s="77">
        <f>OrdersTable[[#This Row],[Quantity]]*OrdersTable[[#This Row],[Unit Cost]]</f>
        <v>150</v>
      </c>
      <c r="X2609" s="77">
        <f>'Dropdown Lists'!$I$2*(1+OrdersTable[[#This Row],[Returned]])</f>
        <v>60</v>
      </c>
      <c r="Y2609" s="76">
        <f>OrdersTable[[#This Row],[Net Revenue]]-OrdersTable[[#This Row],[COGS]]-OrdersTable[[#This Row],[Shipping Cost]]</f>
        <v>239.10000000000002</v>
      </c>
      <c r="Z2609" s="78">
        <f>IFERROR(OrdersTable[[#This Row],[Profit]]/OrdersTable[[#This Row],[Net Revenue]],0)</f>
        <v>0.53239812959251842</v>
      </c>
      <c r="AA2609" t="s">
        <v>2522</v>
      </c>
      <c r="AB2609" s="79">
        <v>45731</v>
      </c>
      <c r="AC2609">
        <f>OrdersTable[[#This Row],[Delivery Date]]-OrdersTable[[#This Row],[Order Date]]</f>
        <v>1</v>
      </c>
      <c r="AD2609" t="str">
        <f>IF(OrdersTable[[#This Row],[Delivery Days]]&lt;=2, "Express (≤2d)", IF(OrdersTable[[#This Row],[Delivery Days]]&lt;=4, "Standard (3-4d)", "Delayed (5d+)"))</f>
        <v>Express (≤2d)</v>
      </c>
      <c r="AF2609">
        <v>0</v>
      </c>
    </row>
    <row r="2610" spans="1:32" ht="15" x14ac:dyDescent="0.35">
      <c r="A2610" t="s">
        <v>3609</v>
      </c>
      <c r="B2610" s="1">
        <v>45730</v>
      </c>
      <c r="C2610">
        <f>YEAR(OrdersTable[[#This Row],[Order Date]])</f>
        <v>2025</v>
      </c>
      <c r="D2610" s="2">
        <f>DATE(YEAR(OrdersTable[[#This Row],[Order Date]]),MONTH(OrdersTable[[#This Row],[Order Date]]),1)</f>
        <v>45717</v>
      </c>
      <c r="E2610">
        <f>MONTH(OrdersTable[[#This Row],[Order Date]])</f>
        <v>3</v>
      </c>
      <c r="F2610" t="s">
        <v>763</v>
      </c>
      <c r="G2610" t="str">
        <f>IF(OrdersTable[[#This Row],[Order Date]]=_xlfn.MINIFS(Order_Date, Customer_ID, OrdersTable[[#This Row],[Customer ID]]), "New", "Repeat")</f>
        <v>Repeat</v>
      </c>
      <c r="H2610" t="s">
        <v>167</v>
      </c>
      <c r="I2610" t="str">
        <f>INDEX(State!B:B,MATCH(OrdersTable[[#This Row],[State]],State!A:A,0))</f>
        <v>KA</v>
      </c>
      <c r="J2610" t="str">
        <f>INDEX(State!C:C,MATCH(OrdersTable[[#This Row],[State Code]],State!B:B,0))</f>
        <v>South</v>
      </c>
      <c r="K2610" t="s">
        <v>190</v>
      </c>
      <c r="L2610" t="s">
        <v>50</v>
      </c>
      <c r="M2610" t="s">
        <v>152</v>
      </c>
      <c r="N2610" t="str">
        <f>INDEX(Products!B:B,MATCH(OrdersTable[[#This Row],[Product ID]],Products!A:A,0))</f>
        <v>Green Tea (100 bags)</v>
      </c>
      <c r="O2610" t="str">
        <f>INDEX(Products!C:C,MATCH(OrdersTable[[#This Row],[Product ID]],Products!A:A,0))</f>
        <v>Wellness</v>
      </c>
      <c r="P2610">
        <v>1</v>
      </c>
      <c r="Q2610" s="5">
        <v>399</v>
      </c>
      <c r="R2610" s="74">
        <v>0.35</v>
      </c>
      <c r="S2610" s="75">
        <f>OrdersTable[[#This Row],[Quantity]]*OrdersTable[[#This Row],[Unit Price]]</f>
        <v>399</v>
      </c>
      <c r="T2610" s="5">
        <f>OrdersTable[[#This Row],[Gross Sale]]*OrdersTable[[#This Row],[Discount_Clean2]]</f>
        <v>139.64999999999998</v>
      </c>
      <c r="U2610" s="5">
        <f>OrdersTable[[#This Row],[Gross Sale]]-OrdersTable[[#This Row],[Discount Amount]]</f>
        <v>259.35000000000002</v>
      </c>
      <c r="V2610" s="77">
        <f>INDEX(Products!E:E,MATCH(OrdersTable[[#This Row],[Product ID]],Products!A:A,0))</f>
        <v>128</v>
      </c>
      <c r="W2610" s="77">
        <f>OrdersTable[[#This Row],[Quantity]]*OrdersTable[[#This Row],[Unit Cost]]</f>
        <v>128</v>
      </c>
      <c r="X2610" s="77">
        <f>'Dropdown Lists'!$I$2*(1+OrdersTable[[#This Row],[Returned]])</f>
        <v>60</v>
      </c>
      <c r="Y2610" s="76">
        <f>OrdersTable[[#This Row],[Net Revenue]]-OrdersTable[[#This Row],[COGS]]-OrdersTable[[#This Row],[Shipping Cost]]</f>
        <v>71.350000000000023</v>
      </c>
      <c r="Z2610" s="78">
        <f>IFERROR(OrdersTable[[#This Row],[Profit]]/OrdersTable[[#This Row],[Net Revenue]],0)</f>
        <v>0.27511085405822255</v>
      </c>
      <c r="AA2610" t="s">
        <v>3495</v>
      </c>
      <c r="AB2610" s="79">
        <v>45732</v>
      </c>
      <c r="AC2610">
        <f>OrdersTable[[#This Row],[Delivery Date]]-OrdersTable[[#This Row],[Order Date]]</f>
        <v>2</v>
      </c>
      <c r="AD2610" t="str">
        <f>IF(OrdersTable[[#This Row],[Delivery Days]]&lt;=2, "Express (≤2d)", IF(OrdersTable[[#This Row],[Delivery Days]]&lt;=4, "Standard (3-4d)", "Delayed (5d+)"))</f>
        <v>Express (≤2d)</v>
      </c>
      <c r="AE2610">
        <v>4</v>
      </c>
      <c r="AF2610">
        <v>0</v>
      </c>
    </row>
    <row r="2611" spans="1:32" ht="15" x14ac:dyDescent="0.35">
      <c r="A2611" t="s">
        <v>4404</v>
      </c>
      <c r="B2611" s="1">
        <v>45730</v>
      </c>
      <c r="C2611">
        <f>YEAR(OrdersTable[[#This Row],[Order Date]])</f>
        <v>2025</v>
      </c>
      <c r="D2611" s="2">
        <f>DATE(YEAR(OrdersTable[[#This Row],[Order Date]]),MONTH(OrdersTable[[#This Row],[Order Date]]),1)</f>
        <v>45717</v>
      </c>
      <c r="E2611">
        <f>MONTH(OrdersTable[[#This Row],[Order Date]])</f>
        <v>3</v>
      </c>
      <c r="F2611" t="s">
        <v>2100</v>
      </c>
      <c r="G2611" t="str">
        <f>IF(OrdersTable[[#This Row],[Order Date]]=_xlfn.MINIFS(Order_Date, Customer_ID, OrdersTable[[#This Row],[Customer ID]]), "New", "Repeat")</f>
        <v>Repeat</v>
      </c>
      <c r="H2611" t="s">
        <v>167</v>
      </c>
      <c r="I2611" t="str">
        <f>INDEX(State!B:B,MATCH(OrdersTable[[#This Row],[State]],State!A:A,0))</f>
        <v>KA</v>
      </c>
      <c r="J2611" t="str">
        <f>INDEX(State!C:C,MATCH(OrdersTable[[#This Row],[State Code]],State!B:B,0))</f>
        <v>South</v>
      </c>
      <c r="K2611" t="s">
        <v>190</v>
      </c>
      <c r="L2611" t="s">
        <v>65</v>
      </c>
      <c r="M2611" t="s">
        <v>45</v>
      </c>
      <c r="N2611" t="str">
        <f>INDEX(Products!B:B,MATCH(OrdersTable[[#This Row],[Product ID]],Products!A:A,0))</f>
        <v>Argan Shampoo</v>
      </c>
      <c r="O2611" t="str">
        <f>INDEX(Products!C:C,MATCH(OrdersTable[[#This Row],[Product ID]],Products!A:A,0))</f>
        <v>Haircare</v>
      </c>
      <c r="P2611">
        <v>1</v>
      </c>
      <c r="Q2611" s="5">
        <v>449</v>
      </c>
      <c r="R2611" s="74">
        <v>0.05</v>
      </c>
      <c r="S2611" s="75">
        <f>OrdersTable[[#This Row],[Quantity]]*OrdersTable[[#This Row],[Unit Price]]</f>
        <v>449</v>
      </c>
      <c r="T2611" s="5">
        <f>OrdersTable[[#This Row],[Gross Sale]]*OrdersTable[[#This Row],[Discount_Clean2]]</f>
        <v>22.450000000000003</v>
      </c>
      <c r="U2611" s="5">
        <f>OrdersTable[[#This Row],[Gross Sale]]-OrdersTable[[#This Row],[Discount Amount]]</f>
        <v>426.55</v>
      </c>
      <c r="V2611" s="77">
        <f>INDEX(Products!E:E,MATCH(OrdersTable[[#This Row],[Product ID]],Products!A:A,0))</f>
        <v>148</v>
      </c>
      <c r="W2611" s="77">
        <f>OrdersTable[[#This Row],[Quantity]]*OrdersTable[[#This Row],[Unit Cost]]</f>
        <v>148</v>
      </c>
      <c r="X2611" s="77">
        <f>'Dropdown Lists'!$I$2*(1+OrdersTable[[#This Row],[Returned]])</f>
        <v>60</v>
      </c>
      <c r="Y2611" s="76">
        <f>OrdersTable[[#This Row],[Net Revenue]]-OrdersTable[[#This Row],[COGS]]-OrdersTable[[#This Row],[Shipping Cost]]</f>
        <v>218.55</v>
      </c>
      <c r="Z2611" s="78">
        <f>IFERROR(OrdersTable[[#This Row],[Profit]]/OrdersTable[[#This Row],[Net Revenue]],0)</f>
        <v>0.51236666275934828</v>
      </c>
      <c r="AA2611" t="s">
        <v>4074</v>
      </c>
      <c r="AB2611" s="79">
        <v>45732</v>
      </c>
      <c r="AC2611">
        <f>OrdersTable[[#This Row],[Delivery Date]]-OrdersTable[[#This Row],[Order Date]]</f>
        <v>2</v>
      </c>
      <c r="AD2611" t="str">
        <f>IF(OrdersTable[[#This Row],[Delivery Days]]&lt;=2, "Express (≤2d)", IF(OrdersTable[[#This Row],[Delivery Days]]&lt;=4, "Standard (3-4d)", "Delayed (5d+)"))</f>
        <v>Express (≤2d)</v>
      </c>
      <c r="AE2611">
        <v>4</v>
      </c>
      <c r="AF2611">
        <v>0</v>
      </c>
    </row>
    <row r="2612" spans="1:32" ht="15" x14ac:dyDescent="0.35">
      <c r="A2612" t="s">
        <v>2139</v>
      </c>
      <c r="B2612" s="1">
        <v>45730</v>
      </c>
      <c r="C2612">
        <f>YEAR(OrdersTable[[#This Row],[Order Date]])</f>
        <v>2025</v>
      </c>
      <c r="D2612" s="2">
        <f>DATE(YEAR(OrdersTable[[#This Row],[Order Date]]),MONTH(OrdersTable[[#This Row],[Order Date]]),1)</f>
        <v>45717</v>
      </c>
      <c r="E2612">
        <f>MONTH(OrdersTable[[#This Row],[Order Date]])</f>
        <v>3</v>
      </c>
      <c r="F2612" t="s">
        <v>2140</v>
      </c>
      <c r="G2612" t="str">
        <f>IF(OrdersTable[[#This Row],[Order Date]]=_xlfn.MINIFS(Order_Date, Customer_ID, OrdersTable[[#This Row],[Customer ID]]), "New", "Repeat")</f>
        <v>New</v>
      </c>
      <c r="H2612" t="s">
        <v>167</v>
      </c>
      <c r="I2612" t="str">
        <f>INDEX(State!B:B,MATCH(OrdersTable[[#This Row],[State]],State!A:A,0))</f>
        <v>KA</v>
      </c>
      <c r="J2612" t="str">
        <f>INDEX(State!C:C,MATCH(OrdersTable[[#This Row],[State Code]],State!B:B,0))</f>
        <v>South</v>
      </c>
      <c r="K2612" t="s">
        <v>168</v>
      </c>
      <c r="L2612" t="s">
        <v>39</v>
      </c>
      <c r="M2612" t="s">
        <v>66</v>
      </c>
      <c r="N2612" t="str">
        <f>INDEX(Products!B:B,MATCH(OrdersTable[[#This Row],[Product ID]],Products!A:A,0))</f>
        <v>Sunscreen SPF 50</v>
      </c>
      <c r="O2612" t="str">
        <f>INDEX(Products!C:C,MATCH(OrdersTable[[#This Row],[Product ID]],Products!A:A,0))</f>
        <v>Skincare</v>
      </c>
      <c r="P2612">
        <v>1</v>
      </c>
      <c r="Q2612" s="5">
        <v>449</v>
      </c>
      <c r="R2612" s="74">
        <v>0</v>
      </c>
      <c r="S2612" s="75">
        <f>OrdersTable[[#This Row],[Quantity]]*OrdersTable[[#This Row],[Unit Price]]</f>
        <v>449</v>
      </c>
      <c r="T2612" s="5">
        <f>OrdersTable[[#This Row],[Gross Sale]]*OrdersTable[[#This Row],[Discount_Clean2]]</f>
        <v>0</v>
      </c>
      <c r="U2612" s="5">
        <f>OrdersTable[[#This Row],[Gross Sale]]-OrdersTable[[#This Row],[Discount Amount]]</f>
        <v>449</v>
      </c>
      <c r="V2612" s="77">
        <f>INDEX(Products!E:E,MATCH(OrdersTable[[#This Row],[Product ID]],Products!A:A,0))</f>
        <v>144</v>
      </c>
      <c r="W2612" s="77">
        <f>OrdersTable[[#This Row],[Quantity]]*OrdersTable[[#This Row],[Unit Cost]]</f>
        <v>144</v>
      </c>
      <c r="X2612" s="77">
        <f>'Dropdown Lists'!$I$2*(1+OrdersTable[[#This Row],[Returned]])</f>
        <v>60</v>
      </c>
      <c r="Y2612" s="76">
        <f>OrdersTable[[#This Row],[Net Revenue]]-OrdersTable[[#This Row],[COGS]]-OrdersTable[[#This Row],[Shipping Cost]]</f>
        <v>245</v>
      </c>
      <c r="Z2612" s="78">
        <f>IFERROR(OrdersTable[[#This Row],[Profit]]/OrdersTable[[#This Row],[Net Revenue]],0)</f>
        <v>0.54565701559020041</v>
      </c>
      <c r="AA2612" t="s">
        <v>18</v>
      </c>
      <c r="AB2612" s="79">
        <v>45735</v>
      </c>
      <c r="AC2612">
        <f>OrdersTable[[#This Row],[Delivery Date]]-OrdersTable[[#This Row],[Order Date]]</f>
        <v>5</v>
      </c>
      <c r="AD2612" t="str">
        <f>IF(OrdersTable[[#This Row],[Delivery Days]]&lt;=2, "Express (≤2d)", IF(OrdersTable[[#This Row],[Delivery Days]]&lt;=4, "Standard (3-4d)", "Delayed (5d+)"))</f>
        <v>Delayed (5d+)</v>
      </c>
      <c r="AE2612">
        <v>3</v>
      </c>
      <c r="AF2612">
        <v>0</v>
      </c>
    </row>
    <row r="2613" spans="1:32" ht="15" x14ac:dyDescent="0.35">
      <c r="A2613" t="s">
        <v>4513</v>
      </c>
      <c r="B2613" s="1">
        <v>45731</v>
      </c>
      <c r="C2613">
        <f>YEAR(OrdersTable[[#This Row],[Order Date]])</f>
        <v>2025</v>
      </c>
      <c r="D2613" s="2">
        <f>DATE(YEAR(OrdersTable[[#This Row],[Order Date]]),MONTH(OrdersTable[[#This Row],[Order Date]]),1)</f>
        <v>45717</v>
      </c>
      <c r="E2613">
        <f>MONTH(OrdersTable[[#This Row],[Order Date]])</f>
        <v>3</v>
      </c>
      <c r="F2613" t="s">
        <v>392</v>
      </c>
      <c r="G2613" t="str">
        <f>IF(OrdersTable[[#This Row],[Order Date]]=_xlfn.MINIFS(Order_Date, Customer_ID, OrdersTable[[#This Row],[Customer ID]]), "New", "Repeat")</f>
        <v>New</v>
      </c>
      <c r="H2613" t="s">
        <v>32</v>
      </c>
      <c r="I2613" t="str">
        <f>INDEX(State!B:B,MATCH(OrdersTable[[#This Row],[State]],State!A:A,0))</f>
        <v>BR</v>
      </c>
      <c r="J2613" t="str">
        <f>INDEX(State!C:C,MATCH(OrdersTable[[#This Row],[State Code]],State!B:B,0))</f>
        <v>East</v>
      </c>
      <c r="K2613" t="s">
        <v>33</v>
      </c>
      <c r="L2613" t="s">
        <v>23</v>
      </c>
      <c r="M2613" t="s">
        <v>109</v>
      </c>
      <c r="N2613" t="str">
        <f>INDEX(Products!B:B,MATCH(OrdersTable[[#This Row],[Product ID]],Products!A:A,0))</f>
        <v>Onion Hair Oil</v>
      </c>
      <c r="O2613" t="str">
        <f>INDEX(Products!C:C,MATCH(OrdersTable[[#This Row],[Product ID]],Products!A:A,0))</f>
        <v>Haircare</v>
      </c>
      <c r="P2613">
        <v>1</v>
      </c>
      <c r="Q2613" s="5">
        <v>349</v>
      </c>
      <c r="R2613" s="74">
        <v>0.25</v>
      </c>
      <c r="S2613" s="75">
        <f>OrdersTable[[#This Row],[Quantity]]*OrdersTable[[#This Row],[Unit Price]]</f>
        <v>349</v>
      </c>
      <c r="T2613" s="5">
        <f>OrdersTable[[#This Row],[Gross Sale]]*OrdersTable[[#This Row],[Discount_Clean2]]</f>
        <v>87.25</v>
      </c>
      <c r="U2613" s="5">
        <f>OrdersTable[[#This Row],[Gross Sale]]-OrdersTable[[#This Row],[Discount Amount]]</f>
        <v>261.75</v>
      </c>
      <c r="V2613" s="77">
        <f>INDEX(Products!E:E,MATCH(OrdersTable[[#This Row],[Product ID]],Products!A:A,0))</f>
        <v>105</v>
      </c>
      <c r="W2613" s="77">
        <f>OrdersTable[[#This Row],[Quantity]]*OrdersTable[[#This Row],[Unit Cost]]</f>
        <v>105</v>
      </c>
      <c r="X2613" s="77">
        <f>'Dropdown Lists'!$I$2*(1+OrdersTable[[#This Row],[Returned]])</f>
        <v>60</v>
      </c>
      <c r="Y2613" s="76">
        <f>OrdersTable[[#This Row],[Net Revenue]]-OrdersTable[[#This Row],[COGS]]-OrdersTable[[#This Row],[Shipping Cost]]</f>
        <v>96.75</v>
      </c>
      <c r="Z2613" s="78">
        <f>IFERROR(OrdersTable[[#This Row],[Profit]]/OrdersTable[[#This Row],[Net Revenue]],0)</f>
        <v>0.36962750716332377</v>
      </c>
      <c r="AA2613" t="s">
        <v>4450</v>
      </c>
      <c r="AB2613" s="79">
        <v>45735</v>
      </c>
      <c r="AC2613">
        <f>OrdersTable[[#This Row],[Delivery Date]]-OrdersTable[[#This Row],[Order Date]]</f>
        <v>4</v>
      </c>
      <c r="AD2613" t="str">
        <f>IF(OrdersTable[[#This Row],[Delivery Days]]&lt;=2, "Express (≤2d)", IF(OrdersTable[[#This Row],[Delivery Days]]&lt;=4, "Standard (3-4d)", "Delayed (5d+)"))</f>
        <v>Standard (3-4d)</v>
      </c>
      <c r="AE2613">
        <v>4</v>
      </c>
      <c r="AF2613">
        <v>0</v>
      </c>
    </row>
    <row r="2614" spans="1:32" ht="15" x14ac:dyDescent="0.35">
      <c r="A2614" t="s">
        <v>971</v>
      </c>
      <c r="B2614" s="1">
        <v>45731</v>
      </c>
      <c r="C2614">
        <f>YEAR(OrdersTable[[#This Row],[Order Date]])</f>
        <v>2025</v>
      </c>
      <c r="D2614" s="2">
        <f>DATE(YEAR(OrdersTable[[#This Row],[Order Date]]),MONTH(OrdersTable[[#This Row],[Order Date]]),1)</f>
        <v>45717</v>
      </c>
      <c r="E2614">
        <f>MONTH(OrdersTable[[#This Row],[Order Date]])</f>
        <v>3</v>
      </c>
      <c r="F2614" t="s">
        <v>972</v>
      </c>
      <c r="G2614" t="str">
        <f>IF(OrdersTable[[#This Row],[Order Date]]=_xlfn.MINIFS(Order_Date, Customer_ID, OrdersTable[[#This Row],[Customer ID]]), "New", "Repeat")</f>
        <v>Repeat</v>
      </c>
      <c r="H2614" t="s">
        <v>37</v>
      </c>
      <c r="I2614" t="str">
        <f>INDEX(State!B:B,MATCH(OrdersTable[[#This Row],[State]],State!A:A,0))</f>
        <v>GJ</v>
      </c>
      <c r="J2614" t="str">
        <f>INDEX(State!C:C,MATCH(OrdersTable[[#This Row],[State Code]],State!B:B,0))</f>
        <v>West</v>
      </c>
      <c r="K2614" t="s">
        <v>247</v>
      </c>
      <c r="L2614" t="s">
        <v>23</v>
      </c>
      <c r="M2614" t="s">
        <v>34</v>
      </c>
      <c r="N2614" t="str">
        <f>INDEX(Products!B:B,MATCH(OrdersTable[[#This Row],[Product ID]],Products!A:A,0))</f>
        <v>Flip Flops</v>
      </c>
      <c r="O2614" t="str">
        <f>INDEX(Products!C:C,MATCH(OrdersTable[[#This Row],[Product ID]],Products!A:A,0))</f>
        <v>Footwear</v>
      </c>
      <c r="P2614">
        <v>1</v>
      </c>
      <c r="Q2614" s="5">
        <v>399</v>
      </c>
      <c r="R2614" s="74">
        <v>0.1</v>
      </c>
      <c r="S2614" s="75">
        <f>OrdersTable[[#This Row],[Quantity]]*OrdersTable[[#This Row],[Unit Price]]</f>
        <v>399</v>
      </c>
      <c r="T2614" s="5">
        <f>OrdersTable[[#This Row],[Gross Sale]]*OrdersTable[[#This Row],[Discount_Clean2]]</f>
        <v>39.900000000000006</v>
      </c>
      <c r="U2614" s="5">
        <f>OrdersTable[[#This Row],[Gross Sale]]-OrdersTable[[#This Row],[Discount Amount]]</f>
        <v>359.1</v>
      </c>
      <c r="V2614" s="77">
        <f>INDEX(Products!E:E,MATCH(OrdersTable[[#This Row],[Product ID]],Products!A:A,0))</f>
        <v>152</v>
      </c>
      <c r="W2614" s="77">
        <f>OrdersTable[[#This Row],[Quantity]]*OrdersTable[[#This Row],[Unit Cost]]</f>
        <v>152</v>
      </c>
      <c r="X2614" s="77">
        <f>'Dropdown Lists'!$I$2*(1+OrdersTable[[#This Row],[Returned]])</f>
        <v>60</v>
      </c>
      <c r="Y2614" s="76">
        <f>OrdersTable[[#This Row],[Net Revenue]]-OrdersTable[[#This Row],[COGS]]-OrdersTable[[#This Row],[Shipping Cost]]</f>
        <v>147.10000000000002</v>
      </c>
      <c r="Z2614" s="78">
        <f>IFERROR(OrdersTable[[#This Row],[Profit]]/OrdersTable[[#This Row],[Net Revenue]],0)</f>
        <v>0.40963519910888335</v>
      </c>
      <c r="AA2614" t="s">
        <v>18</v>
      </c>
      <c r="AB2614" s="79">
        <v>45733</v>
      </c>
      <c r="AC2614">
        <f>OrdersTable[[#This Row],[Delivery Date]]-OrdersTable[[#This Row],[Order Date]]</f>
        <v>2</v>
      </c>
      <c r="AD2614" t="str">
        <f>IF(OrdersTable[[#This Row],[Delivery Days]]&lt;=2, "Express (≤2d)", IF(OrdersTable[[#This Row],[Delivery Days]]&lt;=4, "Standard (3-4d)", "Delayed (5d+)"))</f>
        <v>Express (≤2d)</v>
      </c>
      <c r="AE2614">
        <v>4</v>
      </c>
      <c r="AF2614">
        <v>0</v>
      </c>
    </row>
    <row r="2615" spans="1:32" ht="15" x14ac:dyDescent="0.35">
      <c r="A2615" t="s">
        <v>4272</v>
      </c>
      <c r="B2615" s="1">
        <v>45731</v>
      </c>
      <c r="C2615">
        <f>YEAR(OrdersTable[[#This Row],[Order Date]])</f>
        <v>2025</v>
      </c>
      <c r="D2615" s="2">
        <f>DATE(YEAR(OrdersTable[[#This Row],[Order Date]]),MONTH(OrdersTable[[#This Row],[Order Date]]),1)</f>
        <v>45717</v>
      </c>
      <c r="E2615">
        <f>MONTH(OrdersTable[[#This Row],[Order Date]])</f>
        <v>3</v>
      </c>
      <c r="F2615" t="s">
        <v>3685</v>
      </c>
      <c r="G2615" t="str">
        <f>IF(OrdersTable[[#This Row],[Order Date]]=_xlfn.MINIFS(Order_Date, Customer_ID, OrdersTable[[#This Row],[Customer ID]]), "New", "Repeat")</f>
        <v>Repeat</v>
      </c>
      <c r="H2615" t="s">
        <v>59</v>
      </c>
      <c r="I2615" t="str">
        <f>INDEX(State!B:B,MATCH(OrdersTable[[#This Row],[State]],State!A:A,0))</f>
        <v>TN</v>
      </c>
      <c r="J2615" t="str">
        <f>INDEX(State!C:C,MATCH(OrdersTable[[#This Row],[State Code]],State!B:B,0))</f>
        <v>South</v>
      </c>
      <c r="K2615" t="s">
        <v>64</v>
      </c>
      <c r="L2615" t="s">
        <v>65</v>
      </c>
      <c r="M2615" t="s">
        <v>24</v>
      </c>
      <c r="N2615" t="str">
        <f>INDEX(Products!B:B,MATCH(OrdersTable[[#This Row],[Product ID]],Products!A:A,0))</f>
        <v>Scented Candle Set</v>
      </c>
      <c r="O2615" t="str">
        <f>INDEX(Products!C:C,MATCH(OrdersTable[[#This Row],[Product ID]],Products!A:A,0))</f>
        <v>Home &amp; Kitchen</v>
      </c>
      <c r="P2615">
        <v>1</v>
      </c>
      <c r="Q2615" s="5">
        <v>699</v>
      </c>
      <c r="R2615" s="74">
        <v>0.2</v>
      </c>
      <c r="S2615" s="75">
        <f>OrdersTable[[#This Row],[Quantity]]*OrdersTable[[#This Row],[Unit Price]]</f>
        <v>699</v>
      </c>
      <c r="T2615" s="5">
        <f>OrdersTable[[#This Row],[Gross Sale]]*OrdersTable[[#This Row],[Discount_Clean2]]</f>
        <v>139.80000000000001</v>
      </c>
      <c r="U2615" s="5">
        <f>OrdersTable[[#This Row],[Gross Sale]]-OrdersTable[[#This Row],[Discount Amount]]</f>
        <v>559.20000000000005</v>
      </c>
      <c r="V2615" s="77">
        <f>INDEX(Products!E:E,MATCH(OrdersTable[[#This Row],[Product ID]],Products!A:A,0))</f>
        <v>245</v>
      </c>
      <c r="W2615" s="77">
        <f>OrdersTable[[#This Row],[Quantity]]*OrdersTable[[#This Row],[Unit Cost]]</f>
        <v>245</v>
      </c>
      <c r="X2615" s="77">
        <f>'Dropdown Lists'!$I$2*(1+OrdersTable[[#This Row],[Returned]])</f>
        <v>60</v>
      </c>
      <c r="Y2615" s="76">
        <f>OrdersTable[[#This Row],[Net Revenue]]-OrdersTable[[#This Row],[COGS]]-OrdersTable[[#This Row],[Shipping Cost]]</f>
        <v>254.20000000000005</v>
      </c>
      <c r="Z2615" s="78">
        <f>IFERROR(OrdersTable[[#This Row],[Profit]]/OrdersTable[[#This Row],[Net Revenue]],0)</f>
        <v>0.45457796852646642</v>
      </c>
      <c r="AA2615" t="s">
        <v>4074</v>
      </c>
      <c r="AB2615" s="79">
        <v>45732</v>
      </c>
      <c r="AC2615">
        <f>OrdersTable[[#This Row],[Delivery Date]]-OrdersTable[[#This Row],[Order Date]]</f>
        <v>1</v>
      </c>
      <c r="AD2615" t="str">
        <f>IF(OrdersTable[[#This Row],[Delivery Days]]&lt;=2, "Express (≤2d)", IF(OrdersTable[[#This Row],[Delivery Days]]&lt;=4, "Standard (3-4d)", "Delayed (5d+)"))</f>
        <v>Express (≤2d)</v>
      </c>
      <c r="AF2615">
        <v>0</v>
      </c>
    </row>
    <row r="2616" spans="1:32" ht="15" x14ac:dyDescent="0.35">
      <c r="A2616" t="s">
        <v>1401</v>
      </c>
      <c r="B2616" s="1">
        <v>45732</v>
      </c>
      <c r="C2616">
        <f>YEAR(OrdersTable[[#This Row],[Order Date]])</f>
        <v>2025</v>
      </c>
      <c r="D2616" s="2">
        <f>DATE(YEAR(OrdersTable[[#This Row],[Order Date]]),MONTH(OrdersTable[[#This Row],[Order Date]]),1)</f>
        <v>45717</v>
      </c>
      <c r="E2616">
        <f>MONTH(OrdersTable[[#This Row],[Order Date]])</f>
        <v>3</v>
      </c>
      <c r="F2616" t="s">
        <v>1402</v>
      </c>
      <c r="G2616" t="str">
        <f>IF(OrdersTable[[#This Row],[Order Date]]=_xlfn.MINIFS(Order_Date, Customer_ID, OrdersTable[[#This Row],[Customer ID]]), "New", "Repeat")</f>
        <v>New</v>
      </c>
      <c r="H2616" t="s">
        <v>21</v>
      </c>
      <c r="I2616" t="str">
        <f>INDEX(State!B:B,MATCH(OrdersTable[[#This Row],[State]],State!A:A,0))</f>
        <v>PB</v>
      </c>
      <c r="J2616" t="str">
        <f>INDEX(State!C:C,MATCH(OrdersTable[[#This Row],[State Code]],State!B:B,0))</f>
        <v>North</v>
      </c>
      <c r="K2616" t="s">
        <v>22</v>
      </c>
      <c r="L2616" t="s">
        <v>23</v>
      </c>
      <c r="M2616" t="s">
        <v>125</v>
      </c>
      <c r="N2616" t="str">
        <f>INDEX(Products!B:B,MATCH(OrdersTable[[#This Row],[Product ID]],Products!A:A,0))</f>
        <v>Copper Water Bottle</v>
      </c>
      <c r="O2616" t="str">
        <f>INDEX(Products!C:C,MATCH(OrdersTable[[#This Row],[Product ID]],Products!A:A,0))</f>
        <v>Home &amp; Kitchen</v>
      </c>
      <c r="P2616">
        <v>1</v>
      </c>
      <c r="Q2616" s="5">
        <v>899</v>
      </c>
      <c r="R2616" s="74">
        <v>0</v>
      </c>
      <c r="S2616" s="75">
        <f>OrdersTable[[#This Row],[Quantity]]*OrdersTable[[#This Row],[Unit Price]]</f>
        <v>899</v>
      </c>
      <c r="T2616" s="5">
        <f>OrdersTable[[#This Row],[Gross Sale]]*OrdersTable[[#This Row],[Discount_Clean2]]</f>
        <v>0</v>
      </c>
      <c r="U2616" s="5">
        <f>OrdersTable[[#This Row],[Gross Sale]]-OrdersTable[[#This Row],[Discount Amount]]</f>
        <v>899</v>
      </c>
      <c r="V2616" s="77">
        <f>INDEX(Products!E:E,MATCH(OrdersTable[[#This Row],[Product ID]],Products!A:A,0))</f>
        <v>378</v>
      </c>
      <c r="W2616" s="77">
        <f>OrdersTable[[#This Row],[Quantity]]*OrdersTable[[#This Row],[Unit Cost]]</f>
        <v>378</v>
      </c>
      <c r="X2616" s="77">
        <f>'Dropdown Lists'!$I$2*(1+OrdersTable[[#This Row],[Returned]])</f>
        <v>60</v>
      </c>
      <c r="Y2616" s="76">
        <f>OrdersTable[[#This Row],[Net Revenue]]-OrdersTable[[#This Row],[COGS]]-OrdersTable[[#This Row],[Shipping Cost]]</f>
        <v>461</v>
      </c>
      <c r="Z2616" s="78">
        <f>IFERROR(OrdersTable[[#This Row],[Profit]]/OrdersTable[[#This Row],[Net Revenue]],0)</f>
        <v>0.51279199110122353</v>
      </c>
      <c r="AA2616" t="s">
        <v>18</v>
      </c>
      <c r="AB2616" s="79">
        <v>45735</v>
      </c>
      <c r="AC2616">
        <f>OrdersTable[[#This Row],[Delivery Date]]-OrdersTable[[#This Row],[Order Date]]</f>
        <v>3</v>
      </c>
      <c r="AD2616" t="str">
        <f>IF(OrdersTable[[#This Row],[Delivery Days]]&lt;=2, "Express (≤2d)", IF(OrdersTable[[#This Row],[Delivery Days]]&lt;=4, "Standard (3-4d)", "Delayed (5d+)"))</f>
        <v>Standard (3-4d)</v>
      </c>
      <c r="AF2616">
        <v>0</v>
      </c>
    </row>
    <row r="2617" spans="1:32" ht="15" x14ac:dyDescent="0.35">
      <c r="A2617" t="s">
        <v>5806</v>
      </c>
      <c r="B2617" s="1">
        <v>45732</v>
      </c>
      <c r="C2617">
        <f>YEAR(OrdersTable[[#This Row],[Order Date]])</f>
        <v>2025</v>
      </c>
      <c r="D2617" s="2">
        <f>DATE(YEAR(OrdersTable[[#This Row],[Order Date]]),MONTH(OrdersTable[[#This Row],[Order Date]]),1)</f>
        <v>45717</v>
      </c>
      <c r="E2617">
        <f>MONTH(OrdersTable[[#This Row],[Order Date]])</f>
        <v>3</v>
      </c>
      <c r="F2617" t="s">
        <v>5807</v>
      </c>
      <c r="G2617" t="str">
        <f>IF(OrdersTable[[#This Row],[Order Date]]=_xlfn.MINIFS(Order_Date, Customer_ID, OrdersTable[[#This Row],[Customer ID]]), "New", "Repeat")</f>
        <v>New</v>
      </c>
      <c r="H2617" t="s">
        <v>21</v>
      </c>
      <c r="I2617" t="str">
        <f>INDEX(State!B:B,MATCH(OrdersTable[[#This Row],[State]],State!A:A,0))</f>
        <v>PB</v>
      </c>
      <c r="J2617" t="str">
        <f>INDEX(State!C:C,MATCH(OrdersTable[[#This Row],[State Code]],State!B:B,0))</f>
        <v>North</v>
      </c>
      <c r="K2617" t="s">
        <v>260</v>
      </c>
      <c r="L2617" t="s">
        <v>16</v>
      </c>
      <c r="M2617" t="s">
        <v>87</v>
      </c>
      <c r="N2617" t="str">
        <f>INDEX(Products!B:B,MATCH(OrdersTable[[#This Row],[Product ID]],Products!A:A,0))</f>
        <v>Linen Kurta</v>
      </c>
      <c r="O2617" t="str">
        <f>INDEX(Products!C:C,MATCH(OrdersTable[[#This Row],[Product ID]],Products!A:A,0))</f>
        <v>Apparel</v>
      </c>
      <c r="P2617">
        <v>2</v>
      </c>
      <c r="Q2617" s="5">
        <v>1499</v>
      </c>
      <c r="R2617" s="74">
        <v>0.3</v>
      </c>
      <c r="S2617" s="75">
        <f>OrdersTable[[#This Row],[Quantity]]*OrdersTable[[#This Row],[Unit Price]]</f>
        <v>2998</v>
      </c>
      <c r="T2617" s="5">
        <f>OrdersTable[[#This Row],[Gross Sale]]*OrdersTable[[#This Row],[Discount_Clean2]]</f>
        <v>899.4</v>
      </c>
      <c r="U2617" s="5">
        <f>OrdersTable[[#This Row],[Gross Sale]]-OrdersTable[[#This Row],[Discount Amount]]</f>
        <v>2098.6</v>
      </c>
      <c r="V2617" s="77">
        <f>INDEX(Products!E:E,MATCH(OrdersTable[[#This Row],[Product ID]],Products!A:A,0))</f>
        <v>630</v>
      </c>
      <c r="W2617" s="77">
        <f>OrdersTable[[#This Row],[Quantity]]*OrdersTable[[#This Row],[Unit Cost]]</f>
        <v>1260</v>
      </c>
      <c r="X2617" s="77">
        <f>'Dropdown Lists'!$I$2*(1+OrdersTable[[#This Row],[Returned]])</f>
        <v>60</v>
      </c>
      <c r="Y2617" s="76">
        <f>OrdersTable[[#This Row],[Net Revenue]]-OrdersTable[[#This Row],[COGS]]-OrdersTable[[#This Row],[Shipping Cost]]</f>
        <v>778.59999999999991</v>
      </c>
      <c r="Z2617" s="78">
        <f>IFERROR(OrdersTable[[#This Row],[Profit]]/OrdersTable[[#This Row],[Net Revenue]],0)</f>
        <v>0.3710092442580768</v>
      </c>
      <c r="AA2617" t="s">
        <v>18</v>
      </c>
      <c r="AB2617" s="79">
        <v>45735</v>
      </c>
      <c r="AC2617">
        <f>OrdersTable[[#This Row],[Delivery Date]]-OrdersTable[[#This Row],[Order Date]]</f>
        <v>3</v>
      </c>
      <c r="AD2617" t="str">
        <f>IF(OrdersTable[[#This Row],[Delivery Days]]&lt;=2, "Express (≤2d)", IF(OrdersTable[[#This Row],[Delivery Days]]&lt;=4, "Standard (3-4d)", "Delayed (5d+)"))</f>
        <v>Standard (3-4d)</v>
      </c>
      <c r="AE2617">
        <v>5</v>
      </c>
      <c r="AF2617">
        <v>0</v>
      </c>
    </row>
    <row r="2618" spans="1:32" ht="15" x14ac:dyDescent="0.35">
      <c r="A2618" t="s">
        <v>816</v>
      </c>
      <c r="B2618" s="1">
        <v>45732</v>
      </c>
      <c r="C2618">
        <f>YEAR(OrdersTable[[#This Row],[Order Date]])</f>
        <v>2025</v>
      </c>
      <c r="D2618" s="2">
        <f>DATE(YEAR(OrdersTable[[#This Row],[Order Date]]),MONTH(OrdersTable[[#This Row],[Order Date]]),1)</f>
        <v>45717</v>
      </c>
      <c r="E2618">
        <f>MONTH(OrdersTable[[#This Row],[Order Date]])</f>
        <v>3</v>
      </c>
      <c r="F2618" t="s">
        <v>817</v>
      </c>
      <c r="G2618" t="str">
        <f>IF(OrdersTable[[#This Row],[Order Date]]=_xlfn.MINIFS(Order_Date, Customer_ID, OrdersTable[[#This Row],[Customer ID]]), "New", "Repeat")</f>
        <v>Repeat</v>
      </c>
      <c r="H2618" t="s">
        <v>128</v>
      </c>
      <c r="I2618" t="str">
        <f>INDEX(State!B:B,MATCH(OrdersTable[[#This Row],[State]],State!A:A,0))</f>
        <v>DL</v>
      </c>
      <c r="J2618" t="str">
        <f>INDEX(State!C:C,MATCH(OrdersTable[[#This Row],[State Code]],State!B:B,0))</f>
        <v>North</v>
      </c>
      <c r="K2618" t="s">
        <v>129</v>
      </c>
      <c r="L2618" t="s">
        <v>65</v>
      </c>
      <c r="M2618" t="s">
        <v>56</v>
      </c>
      <c r="N2618" t="str">
        <f>INDEX(Products!B:B,MATCH(OrdersTable[[#This Row],[Product ID]],Products!A:A,0))</f>
        <v>Vitamin C Face Serum</v>
      </c>
      <c r="O2618" t="str">
        <f>INDEX(Products!C:C,MATCH(OrdersTable[[#This Row],[Product ID]],Products!A:A,0))</f>
        <v>Skincare</v>
      </c>
      <c r="P2618">
        <v>1</v>
      </c>
      <c r="Q2618" s="5">
        <v>599</v>
      </c>
      <c r="R2618" s="74">
        <v>0.15</v>
      </c>
      <c r="S2618" s="75">
        <f>OrdersTable[[#This Row],[Quantity]]*OrdersTable[[#This Row],[Unit Price]]</f>
        <v>599</v>
      </c>
      <c r="T2618" s="5">
        <f>OrdersTable[[#This Row],[Gross Sale]]*OrdersTable[[#This Row],[Discount_Clean2]]</f>
        <v>89.85</v>
      </c>
      <c r="U2618" s="5">
        <f>OrdersTable[[#This Row],[Gross Sale]]-OrdersTable[[#This Row],[Discount Amount]]</f>
        <v>509.15</v>
      </c>
      <c r="V2618" s="77">
        <f>INDEX(Products!E:E,MATCH(OrdersTable[[#This Row],[Product ID]],Products!A:A,0))</f>
        <v>180</v>
      </c>
      <c r="W2618" s="77">
        <f>OrdersTable[[#This Row],[Quantity]]*OrdersTable[[#This Row],[Unit Cost]]</f>
        <v>180</v>
      </c>
      <c r="X2618" s="77">
        <f>'Dropdown Lists'!$I$2*(1+OrdersTable[[#This Row],[Returned]])</f>
        <v>60</v>
      </c>
      <c r="Y2618" s="76">
        <f>OrdersTable[[#This Row],[Net Revenue]]-OrdersTable[[#This Row],[COGS]]-OrdersTable[[#This Row],[Shipping Cost]]</f>
        <v>269.14999999999998</v>
      </c>
      <c r="Z2618" s="78">
        <f>IFERROR(OrdersTable[[#This Row],[Profit]]/OrdersTable[[#This Row],[Net Revenue]],0)</f>
        <v>0.52862614160856325</v>
      </c>
      <c r="AA2618" t="s">
        <v>18</v>
      </c>
      <c r="AB2618" s="79">
        <v>45733</v>
      </c>
      <c r="AC2618">
        <f>OrdersTable[[#This Row],[Delivery Date]]-OrdersTable[[#This Row],[Order Date]]</f>
        <v>1</v>
      </c>
      <c r="AD2618" t="str">
        <f>IF(OrdersTable[[#This Row],[Delivery Days]]&lt;=2, "Express (≤2d)", IF(OrdersTable[[#This Row],[Delivery Days]]&lt;=4, "Standard (3-4d)", "Delayed (5d+)"))</f>
        <v>Express (≤2d)</v>
      </c>
      <c r="AE2618">
        <v>4</v>
      </c>
      <c r="AF2618">
        <v>0</v>
      </c>
    </row>
    <row r="2619" spans="1:32" ht="15" x14ac:dyDescent="0.35">
      <c r="A2619" t="s">
        <v>4018</v>
      </c>
      <c r="B2619" s="1">
        <v>45732</v>
      </c>
      <c r="C2619">
        <f>YEAR(OrdersTable[[#This Row],[Order Date]])</f>
        <v>2025</v>
      </c>
      <c r="D2619" s="2">
        <f>DATE(YEAR(OrdersTable[[#This Row],[Order Date]]),MONTH(OrdersTable[[#This Row],[Order Date]]),1)</f>
        <v>45717</v>
      </c>
      <c r="E2619">
        <f>MONTH(OrdersTable[[#This Row],[Order Date]])</f>
        <v>3</v>
      </c>
      <c r="F2619" t="s">
        <v>4019</v>
      </c>
      <c r="G2619" t="str">
        <f>IF(OrdersTable[[#This Row],[Order Date]]=_xlfn.MINIFS(Order_Date, Customer_ID, OrdersTable[[#This Row],[Customer ID]]), "New", "Repeat")</f>
        <v>Repeat</v>
      </c>
      <c r="H2619" t="s">
        <v>32</v>
      </c>
      <c r="I2619" t="str">
        <f>INDEX(State!B:B,MATCH(OrdersTable[[#This Row],[State]],State!A:A,0))</f>
        <v>BR</v>
      </c>
      <c r="J2619" t="str">
        <f>INDEX(State!C:C,MATCH(OrdersTable[[#This Row],[State Code]],State!B:B,0))</f>
        <v>East</v>
      </c>
      <c r="K2619" t="s">
        <v>33</v>
      </c>
      <c r="L2619" t="s">
        <v>65</v>
      </c>
      <c r="M2619" t="s">
        <v>106</v>
      </c>
      <c r="N2619" t="str">
        <f>INDEX(Products!B:B,MATCH(OrdersTable[[#This Row],[Product ID]],Products!A:A,0))</f>
        <v>Keratin Hair Mask</v>
      </c>
      <c r="O2619" t="str">
        <f>INDEX(Products!C:C,MATCH(OrdersTable[[#This Row],[Product ID]],Products!A:A,0))</f>
        <v>Haircare</v>
      </c>
      <c r="P2619">
        <v>1</v>
      </c>
      <c r="Q2619" s="5">
        <v>549</v>
      </c>
      <c r="R2619" s="74">
        <v>0.25</v>
      </c>
      <c r="S2619" s="75">
        <f>OrdersTable[[#This Row],[Quantity]]*OrdersTable[[#This Row],[Unit Price]]</f>
        <v>549</v>
      </c>
      <c r="T2619" s="5">
        <f>OrdersTable[[#This Row],[Gross Sale]]*OrdersTable[[#This Row],[Discount_Clean2]]</f>
        <v>137.25</v>
      </c>
      <c r="U2619" s="5">
        <f>OrdersTable[[#This Row],[Gross Sale]]-OrdersTable[[#This Row],[Discount Amount]]</f>
        <v>411.75</v>
      </c>
      <c r="V2619" s="77">
        <f>INDEX(Products!E:E,MATCH(OrdersTable[[#This Row],[Product ID]],Products!A:A,0))</f>
        <v>170</v>
      </c>
      <c r="W2619" s="77">
        <f>OrdersTable[[#This Row],[Quantity]]*OrdersTable[[#This Row],[Unit Cost]]</f>
        <v>170</v>
      </c>
      <c r="X2619" s="77">
        <f>'Dropdown Lists'!$I$2*(1+OrdersTable[[#This Row],[Returned]])</f>
        <v>60</v>
      </c>
      <c r="Y2619" s="76">
        <f>OrdersTable[[#This Row],[Net Revenue]]-OrdersTable[[#This Row],[COGS]]-OrdersTable[[#This Row],[Shipping Cost]]</f>
        <v>181.75</v>
      </c>
      <c r="Z2619" s="78">
        <f>IFERROR(OrdersTable[[#This Row],[Profit]]/OrdersTable[[#This Row],[Net Revenue]],0)</f>
        <v>0.44140862173649059</v>
      </c>
      <c r="AA2619" t="s">
        <v>3495</v>
      </c>
      <c r="AB2619" s="79">
        <v>45735</v>
      </c>
      <c r="AC2619">
        <f>OrdersTable[[#This Row],[Delivery Date]]-OrdersTable[[#This Row],[Order Date]]</f>
        <v>3</v>
      </c>
      <c r="AD2619" t="str">
        <f>IF(OrdersTable[[#This Row],[Delivery Days]]&lt;=2, "Express (≤2d)", IF(OrdersTable[[#This Row],[Delivery Days]]&lt;=4, "Standard (3-4d)", "Delayed (5d+)"))</f>
        <v>Standard (3-4d)</v>
      </c>
      <c r="AE2619">
        <v>5</v>
      </c>
      <c r="AF2619">
        <v>0</v>
      </c>
    </row>
    <row r="2620" spans="1:32" ht="15" x14ac:dyDescent="0.35">
      <c r="A2620" t="s">
        <v>1078</v>
      </c>
      <c r="B2620" s="1">
        <v>45732</v>
      </c>
      <c r="C2620">
        <f>YEAR(OrdersTable[[#This Row],[Order Date]])</f>
        <v>2025</v>
      </c>
      <c r="D2620" s="2">
        <f>DATE(YEAR(OrdersTable[[#This Row],[Order Date]]),MONTH(OrdersTable[[#This Row],[Order Date]]),1)</f>
        <v>45717</v>
      </c>
      <c r="E2620">
        <f>MONTH(OrdersTable[[#This Row],[Order Date]])</f>
        <v>3</v>
      </c>
      <c r="F2620" t="s">
        <v>1079</v>
      </c>
      <c r="G2620" t="str">
        <f>IF(OrdersTable[[#This Row],[Order Date]]=_xlfn.MINIFS(Order_Date, Customer_ID, OrdersTable[[#This Row],[Customer ID]]), "New", "Repeat")</f>
        <v>Repeat</v>
      </c>
      <c r="H2620" t="s">
        <v>37</v>
      </c>
      <c r="I2620" t="str">
        <f>INDEX(State!B:B,MATCH(OrdersTable[[#This Row],[State]],State!A:A,0))</f>
        <v>GJ</v>
      </c>
      <c r="J2620" t="str">
        <f>INDEX(State!C:C,MATCH(OrdersTable[[#This Row],[State Code]],State!B:B,0))</f>
        <v>West</v>
      </c>
      <c r="K2620" t="s">
        <v>247</v>
      </c>
      <c r="L2620" t="s">
        <v>65</v>
      </c>
      <c r="M2620" t="s">
        <v>66</v>
      </c>
      <c r="N2620" t="str">
        <f>INDEX(Products!B:B,MATCH(OrdersTable[[#This Row],[Product ID]],Products!A:A,0))</f>
        <v>Sunscreen SPF 50</v>
      </c>
      <c r="O2620" t="str">
        <f>INDEX(Products!C:C,MATCH(OrdersTable[[#This Row],[Product ID]],Products!A:A,0))</f>
        <v>Skincare</v>
      </c>
      <c r="P2620">
        <v>1</v>
      </c>
      <c r="Q2620" s="5">
        <v>449</v>
      </c>
      <c r="R2620" s="74">
        <v>0.05</v>
      </c>
      <c r="S2620" s="75">
        <f>OrdersTable[[#This Row],[Quantity]]*OrdersTable[[#This Row],[Unit Price]]</f>
        <v>449</v>
      </c>
      <c r="T2620" s="5">
        <f>OrdersTable[[#This Row],[Gross Sale]]*OrdersTable[[#This Row],[Discount_Clean2]]</f>
        <v>22.450000000000003</v>
      </c>
      <c r="U2620" s="5">
        <f>OrdersTable[[#This Row],[Gross Sale]]-OrdersTable[[#This Row],[Discount Amount]]</f>
        <v>426.55</v>
      </c>
      <c r="V2620" s="77">
        <f>INDEX(Products!E:E,MATCH(OrdersTable[[#This Row],[Product ID]],Products!A:A,0))</f>
        <v>144</v>
      </c>
      <c r="W2620" s="77">
        <f>OrdersTable[[#This Row],[Quantity]]*OrdersTable[[#This Row],[Unit Cost]]</f>
        <v>144</v>
      </c>
      <c r="X2620" s="77">
        <f>'Dropdown Lists'!$I$2*(1+OrdersTable[[#This Row],[Returned]])</f>
        <v>120</v>
      </c>
      <c r="Y2620" s="76">
        <f>OrdersTable[[#This Row],[Net Revenue]]-OrdersTable[[#This Row],[COGS]]-OrdersTable[[#This Row],[Shipping Cost]]</f>
        <v>162.55000000000001</v>
      </c>
      <c r="Z2620" s="78">
        <f>IFERROR(OrdersTable[[#This Row],[Profit]]/OrdersTable[[#This Row],[Net Revenue]],0)</f>
        <v>0.38108076427148052</v>
      </c>
      <c r="AA2620" t="s">
        <v>18</v>
      </c>
      <c r="AB2620" s="79">
        <v>45734</v>
      </c>
      <c r="AC2620">
        <f>OrdersTable[[#This Row],[Delivery Date]]-OrdersTable[[#This Row],[Order Date]]</f>
        <v>2</v>
      </c>
      <c r="AD2620" t="str">
        <f>IF(OrdersTable[[#This Row],[Delivery Days]]&lt;=2, "Express (≤2d)", IF(OrdersTable[[#This Row],[Delivery Days]]&lt;=4, "Standard (3-4d)", "Delayed (5d+)"))</f>
        <v>Express (≤2d)</v>
      </c>
      <c r="AE2620">
        <v>4</v>
      </c>
      <c r="AF2620">
        <v>1</v>
      </c>
    </row>
    <row r="2621" spans="1:32" ht="15" x14ac:dyDescent="0.35">
      <c r="A2621" t="s">
        <v>4514</v>
      </c>
      <c r="B2621" s="1">
        <v>45732</v>
      </c>
      <c r="C2621">
        <f>YEAR(OrdersTable[[#This Row],[Order Date]])</f>
        <v>2025</v>
      </c>
      <c r="D2621" s="2">
        <f>DATE(YEAR(OrdersTable[[#This Row],[Order Date]]),MONTH(OrdersTable[[#This Row],[Order Date]]),1)</f>
        <v>45717</v>
      </c>
      <c r="E2621">
        <f>MONTH(OrdersTable[[#This Row],[Order Date]])</f>
        <v>3</v>
      </c>
      <c r="F2621" t="s">
        <v>4515</v>
      </c>
      <c r="G2621" t="str">
        <f>IF(OrdersTable[[#This Row],[Order Date]]=_xlfn.MINIFS(Order_Date, Customer_ID, OrdersTable[[#This Row],[Customer ID]]), "New", "Repeat")</f>
        <v>New</v>
      </c>
      <c r="H2621" t="s">
        <v>37</v>
      </c>
      <c r="I2621" t="str">
        <f>INDEX(State!B:B,MATCH(OrdersTable[[#This Row],[State]],State!A:A,0))</f>
        <v>GJ</v>
      </c>
      <c r="J2621" t="str">
        <f>INDEX(State!C:C,MATCH(OrdersTable[[#This Row],[State Code]],State!B:B,0))</f>
        <v>West</v>
      </c>
      <c r="K2621" t="s">
        <v>247</v>
      </c>
      <c r="L2621" t="s">
        <v>65</v>
      </c>
      <c r="M2621" t="s">
        <v>40</v>
      </c>
      <c r="N2621" t="str">
        <f>INDEX(Products!B:B,MATCH(OrdersTable[[#This Row],[Product ID]],Products!A:A,0))</f>
        <v>Ashwagandha Capsules</v>
      </c>
      <c r="O2621" t="str">
        <f>INDEX(Products!C:C,MATCH(OrdersTable[[#This Row],[Product ID]],Products!A:A,0))</f>
        <v>Wellness</v>
      </c>
      <c r="P2621">
        <v>1</v>
      </c>
      <c r="Q2621" s="5">
        <v>499</v>
      </c>
      <c r="R2621" s="74">
        <v>0</v>
      </c>
      <c r="S2621" s="75">
        <f>OrdersTable[[#This Row],[Quantity]]*OrdersTable[[#This Row],[Unit Price]]</f>
        <v>499</v>
      </c>
      <c r="T2621" s="5">
        <f>OrdersTable[[#This Row],[Gross Sale]]*OrdersTable[[#This Row],[Discount_Clean2]]</f>
        <v>0</v>
      </c>
      <c r="U2621" s="5">
        <f>OrdersTable[[#This Row],[Gross Sale]]-OrdersTable[[#This Row],[Discount Amount]]</f>
        <v>499</v>
      </c>
      <c r="V2621" s="77">
        <f>INDEX(Products!E:E,MATCH(OrdersTable[[#This Row],[Product ID]],Products!A:A,0))</f>
        <v>150</v>
      </c>
      <c r="W2621" s="77">
        <f>OrdersTable[[#This Row],[Quantity]]*OrdersTable[[#This Row],[Unit Cost]]</f>
        <v>150</v>
      </c>
      <c r="X2621" s="77">
        <f>'Dropdown Lists'!$I$2*(1+OrdersTable[[#This Row],[Returned]])</f>
        <v>60</v>
      </c>
      <c r="Y2621" s="76">
        <f>OrdersTable[[#This Row],[Net Revenue]]-OrdersTable[[#This Row],[COGS]]-OrdersTable[[#This Row],[Shipping Cost]]</f>
        <v>289</v>
      </c>
      <c r="Z2621" s="78">
        <f>IFERROR(OrdersTable[[#This Row],[Profit]]/OrdersTable[[#This Row],[Net Revenue]],0)</f>
        <v>0.57915831663326656</v>
      </c>
      <c r="AA2621" t="s">
        <v>4450</v>
      </c>
      <c r="AB2621" s="79">
        <v>45734</v>
      </c>
      <c r="AC2621">
        <f>OrdersTable[[#This Row],[Delivery Date]]-OrdersTable[[#This Row],[Order Date]]</f>
        <v>2</v>
      </c>
      <c r="AD2621" t="str">
        <f>IF(OrdersTable[[#This Row],[Delivery Days]]&lt;=2, "Express (≤2d)", IF(OrdersTable[[#This Row],[Delivery Days]]&lt;=4, "Standard (3-4d)", "Delayed (5d+)"))</f>
        <v>Express (≤2d)</v>
      </c>
      <c r="AE2621">
        <v>4</v>
      </c>
      <c r="AF2621">
        <v>0</v>
      </c>
    </row>
    <row r="2622" spans="1:32" ht="15" x14ac:dyDescent="0.35">
      <c r="A2622" t="s">
        <v>2372</v>
      </c>
      <c r="B2622" s="1">
        <v>45732</v>
      </c>
      <c r="C2622">
        <f>YEAR(OrdersTable[[#This Row],[Order Date]])</f>
        <v>2025</v>
      </c>
      <c r="D2622" s="2">
        <f>DATE(YEAR(OrdersTable[[#This Row],[Order Date]]),MONTH(OrdersTable[[#This Row],[Order Date]]),1)</f>
        <v>45717</v>
      </c>
      <c r="E2622">
        <f>MONTH(OrdersTable[[#This Row],[Order Date]])</f>
        <v>3</v>
      </c>
      <c r="F2622" t="s">
        <v>2373</v>
      </c>
      <c r="G2622" t="str">
        <f>IF(OrdersTable[[#This Row],[Order Date]]=_xlfn.MINIFS(Order_Date, Customer_ID, OrdersTable[[#This Row],[Customer ID]]), "New", "Repeat")</f>
        <v>Repeat</v>
      </c>
      <c r="H2622" t="s">
        <v>37</v>
      </c>
      <c r="I2622" t="str">
        <f>INDEX(State!B:B,MATCH(OrdersTable[[#This Row],[State]],State!A:A,0))</f>
        <v>GJ</v>
      </c>
      <c r="J2622" t="str">
        <f>INDEX(State!C:C,MATCH(OrdersTable[[#This Row],[State Code]],State!B:B,0))</f>
        <v>West</v>
      </c>
      <c r="K2622" t="s">
        <v>247</v>
      </c>
      <c r="L2622" t="s">
        <v>39</v>
      </c>
      <c r="M2622" t="s">
        <v>51</v>
      </c>
      <c r="N2622" t="str">
        <f>INDEX(Products!B:B,MATCH(OrdersTable[[#This Row],[Product ID]],Products!A:A,0))</f>
        <v>Anti-Dandruff Conditioner</v>
      </c>
      <c r="O2622" t="str">
        <f>INDEX(Products!C:C,MATCH(OrdersTable[[#This Row],[Product ID]],Products!A:A,0))</f>
        <v>Haircare</v>
      </c>
      <c r="P2622">
        <v>1</v>
      </c>
      <c r="Q2622" s="5">
        <v>399</v>
      </c>
      <c r="R2622" s="74">
        <v>0.25</v>
      </c>
      <c r="S2622" s="75">
        <f>OrdersTable[[#This Row],[Quantity]]*OrdersTable[[#This Row],[Unit Price]]</f>
        <v>399</v>
      </c>
      <c r="T2622" s="5">
        <f>OrdersTable[[#This Row],[Gross Sale]]*OrdersTable[[#This Row],[Discount_Clean2]]</f>
        <v>99.75</v>
      </c>
      <c r="U2622" s="5">
        <f>OrdersTable[[#This Row],[Gross Sale]]-OrdersTable[[#This Row],[Discount Amount]]</f>
        <v>299.25</v>
      </c>
      <c r="V2622" s="77">
        <f>INDEX(Products!E:E,MATCH(OrdersTable[[#This Row],[Product ID]],Products!A:A,0))</f>
        <v>136</v>
      </c>
      <c r="W2622" s="77">
        <f>OrdersTable[[#This Row],[Quantity]]*OrdersTable[[#This Row],[Unit Cost]]</f>
        <v>136</v>
      </c>
      <c r="X2622" s="77">
        <f>'Dropdown Lists'!$I$2*(1+OrdersTable[[#This Row],[Returned]])</f>
        <v>60</v>
      </c>
      <c r="Y2622" s="76">
        <f>OrdersTable[[#This Row],[Net Revenue]]-OrdersTable[[#This Row],[COGS]]-OrdersTable[[#This Row],[Shipping Cost]]</f>
        <v>103.25</v>
      </c>
      <c r="Z2622" s="78">
        <f>IFERROR(OrdersTable[[#This Row],[Profit]]/OrdersTable[[#This Row],[Net Revenue]],0)</f>
        <v>0.34502923976608185</v>
      </c>
      <c r="AA2622" t="s">
        <v>18</v>
      </c>
      <c r="AB2622" s="79">
        <v>45738</v>
      </c>
      <c r="AC2622">
        <f>OrdersTable[[#This Row],[Delivery Date]]-OrdersTable[[#This Row],[Order Date]]</f>
        <v>6</v>
      </c>
      <c r="AD2622" t="str">
        <f>IF(OrdersTable[[#This Row],[Delivery Days]]&lt;=2, "Express (≤2d)", IF(OrdersTable[[#This Row],[Delivery Days]]&lt;=4, "Standard (3-4d)", "Delayed (5d+)"))</f>
        <v>Delayed (5d+)</v>
      </c>
      <c r="AE2622">
        <v>5</v>
      </c>
      <c r="AF2622">
        <v>0</v>
      </c>
    </row>
    <row r="2623" spans="1:32" ht="15" x14ac:dyDescent="0.35">
      <c r="A2623" t="s">
        <v>4989</v>
      </c>
      <c r="B2623" s="1">
        <v>45732</v>
      </c>
      <c r="C2623">
        <f>YEAR(OrdersTable[[#This Row],[Order Date]])</f>
        <v>2025</v>
      </c>
      <c r="D2623" s="2">
        <f>DATE(YEAR(OrdersTable[[#This Row],[Order Date]]),MONTH(OrdersTable[[#This Row],[Order Date]]),1)</f>
        <v>45717</v>
      </c>
      <c r="E2623">
        <f>MONTH(OrdersTable[[#This Row],[Order Date]])</f>
        <v>3</v>
      </c>
      <c r="F2623" t="s">
        <v>3586</v>
      </c>
      <c r="G2623" t="str">
        <f>IF(OrdersTable[[#This Row],[Order Date]]=_xlfn.MINIFS(Order_Date, Customer_ID, OrdersTable[[#This Row],[Customer ID]]), "New", "Repeat")</f>
        <v>Repeat</v>
      </c>
      <c r="H2623" t="s">
        <v>71</v>
      </c>
      <c r="I2623" t="str">
        <f>INDEX(State!B:B,MATCH(OrdersTable[[#This Row],[State]],State!A:A,0))</f>
        <v>MH</v>
      </c>
      <c r="J2623" t="str">
        <f>INDEX(State!C:C,MATCH(OrdersTable[[#This Row],[State Code]],State!B:B,0))</f>
        <v>West</v>
      </c>
      <c r="K2623" t="s">
        <v>81</v>
      </c>
      <c r="L2623" t="s">
        <v>23</v>
      </c>
      <c r="M2623" t="s">
        <v>34</v>
      </c>
      <c r="N2623" t="str">
        <f>INDEX(Products!B:B,MATCH(OrdersTable[[#This Row],[Product ID]],Products!A:A,0))</f>
        <v>Flip Flops</v>
      </c>
      <c r="O2623" t="str">
        <f>INDEX(Products!C:C,MATCH(OrdersTable[[#This Row],[Product ID]],Products!A:A,0))</f>
        <v>Footwear</v>
      </c>
      <c r="P2623">
        <v>2</v>
      </c>
      <c r="Q2623" s="5">
        <v>399</v>
      </c>
      <c r="R2623" s="74">
        <v>0.05</v>
      </c>
      <c r="S2623" s="75">
        <f>OrdersTable[[#This Row],[Quantity]]*OrdersTable[[#This Row],[Unit Price]]</f>
        <v>798</v>
      </c>
      <c r="T2623" s="5">
        <f>OrdersTable[[#This Row],[Gross Sale]]*OrdersTable[[#This Row],[Discount_Clean2]]</f>
        <v>39.900000000000006</v>
      </c>
      <c r="U2623" s="5">
        <f>OrdersTable[[#This Row],[Gross Sale]]-OrdersTable[[#This Row],[Discount Amount]]</f>
        <v>758.1</v>
      </c>
      <c r="V2623" s="77">
        <f>INDEX(Products!E:E,MATCH(OrdersTable[[#This Row],[Product ID]],Products!A:A,0))</f>
        <v>152</v>
      </c>
      <c r="W2623" s="77">
        <f>OrdersTable[[#This Row],[Quantity]]*OrdersTable[[#This Row],[Unit Cost]]</f>
        <v>304</v>
      </c>
      <c r="X2623" s="77">
        <f>'Dropdown Lists'!$I$2*(1+OrdersTable[[#This Row],[Returned]])</f>
        <v>120</v>
      </c>
      <c r="Y2623" s="76">
        <f>OrdersTable[[#This Row],[Net Revenue]]-OrdersTable[[#This Row],[COGS]]-OrdersTable[[#This Row],[Shipping Cost]]</f>
        <v>334.1</v>
      </c>
      <c r="Z2623" s="78">
        <f>IFERROR(OrdersTable[[#This Row],[Profit]]/OrdersTable[[#This Row],[Net Revenue]],0)</f>
        <v>0.44070703073473161</v>
      </c>
      <c r="AA2623" t="s">
        <v>4074</v>
      </c>
      <c r="AB2623" s="79">
        <v>45733</v>
      </c>
      <c r="AC2623">
        <f>OrdersTable[[#This Row],[Delivery Date]]-OrdersTable[[#This Row],[Order Date]]</f>
        <v>1</v>
      </c>
      <c r="AD2623" t="str">
        <f>IF(OrdersTable[[#This Row],[Delivery Days]]&lt;=2, "Express (≤2d)", IF(OrdersTable[[#This Row],[Delivery Days]]&lt;=4, "Standard (3-4d)", "Delayed (5d+)"))</f>
        <v>Express (≤2d)</v>
      </c>
      <c r="AF2623">
        <v>1</v>
      </c>
    </row>
    <row r="2624" spans="1:32" ht="15" x14ac:dyDescent="0.35">
      <c r="A2624" t="s">
        <v>5402</v>
      </c>
      <c r="B2624" s="1">
        <v>45732</v>
      </c>
      <c r="C2624">
        <f>YEAR(OrdersTable[[#This Row],[Order Date]])</f>
        <v>2025</v>
      </c>
      <c r="D2624" s="2">
        <f>DATE(YEAR(OrdersTable[[#This Row],[Order Date]]),MONTH(OrdersTable[[#This Row],[Order Date]]),1)</f>
        <v>45717</v>
      </c>
      <c r="E2624">
        <f>MONTH(OrdersTable[[#This Row],[Order Date]])</f>
        <v>3</v>
      </c>
      <c r="F2624" t="s">
        <v>5223</v>
      </c>
      <c r="G2624" t="str">
        <f>IF(OrdersTable[[#This Row],[Order Date]]=_xlfn.MINIFS(Order_Date, Customer_ID, OrdersTable[[#This Row],[Customer ID]]), "New", "Repeat")</f>
        <v>New</v>
      </c>
      <c r="H2624" t="s">
        <v>95</v>
      </c>
      <c r="I2624" t="str">
        <f>INDEX(State!B:B,MATCH(OrdersTable[[#This Row],[State]],State!A:A,0))</f>
        <v>TG</v>
      </c>
      <c r="J2624" t="str">
        <f>INDEX(State!C:C,MATCH(OrdersTable[[#This Row],[State Code]],State!B:B,0))</f>
        <v>South</v>
      </c>
      <c r="K2624" t="s">
        <v>96</v>
      </c>
      <c r="L2624" t="s">
        <v>23</v>
      </c>
      <c r="M2624" t="s">
        <v>66</v>
      </c>
      <c r="N2624" t="str">
        <f>INDEX(Products!B:B,MATCH(OrdersTable[[#This Row],[Product ID]],Products!A:A,0))</f>
        <v>Sunscreen SPF 50</v>
      </c>
      <c r="O2624" t="str">
        <f>INDEX(Products!C:C,MATCH(OrdersTable[[#This Row],[Product ID]],Products!A:A,0))</f>
        <v>Skincare</v>
      </c>
      <c r="P2624">
        <v>2</v>
      </c>
      <c r="Q2624" s="5">
        <v>449</v>
      </c>
      <c r="R2624" s="74">
        <v>0.15</v>
      </c>
      <c r="S2624" s="75">
        <f>OrdersTable[[#This Row],[Quantity]]*OrdersTable[[#This Row],[Unit Price]]</f>
        <v>898</v>
      </c>
      <c r="T2624" s="5">
        <f>OrdersTable[[#This Row],[Gross Sale]]*OrdersTable[[#This Row],[Discount_Clean2]]</f>
        <v>134.69999999999999</v>
      </c>
      <c r="U2624" s="5">
        <f>OrdersTable[[#This Row],[Gross Sale]]-OrdersTable[[#This Row],[Discount Amount]]</f>
        <v>763.3</v>
      </c>
      <c r="V2624" s="77">
        <f>INDEX(Products!E:E,MATCH(OrdersTable[[#This Row],[Product ID]],Products!A:A,0))</f>
        <v>144</v>
      </c>
      <c r="W2624" s="77">
        <f>OrdersTable[[#This Row],[Quantity]]*OrdersTable[[#This Row],[Unit Cost]]</f>
        <v>288</v>
      </c>
      <c r="X2624" s="77">
        <f>'Dropdown Lists'!$I$2*(1+OrdersTable[[#This Row],[Returned]])</f>
        <v>120</v>
      </c>
      <c r="Y2624" s="76">
        <f>OrdersTable[[#This Row],[Net Revenue]]-OrdersTable[[#This Row],[COGS]]-OrdersTable[[#This Row],[Shipping Cost]]</f>
        <v>355.29999999999995</v>
      </c>
      <c r="Z2624" s="78">
        <f>IFERROR(OrdersTable[[#This Row],[Profit]]/OrdersTable[[#This Row],[Net Revenue]],0)</f>
        <v>0.465478841870824</v>
      </c>
      <c r="AA2624" t="s">
        <v>2522</v>
      </c>
      <c r="AB2624" s="79">
        <v>45734</v>
      </c>
      <c r="AC2624">
        <f>OrdersTable[[#This Row],[Delivery Date]]-OrdersTable[[#This Row],[Order Date]]</f>
        <v>2</v>
      </c>
      <c r="AD2624" t="str">
        <f>IF(OrdersTable[[#This Row],[Delivery Days]]&lt;=2, "Express (≤2d)", IF(OrdersTable[[#This Row],[Delivery Days]]&lt;=4, "Standard (3-4d)", "Delayed (5d+)"))</f>
        <v>Express (≤2d)</v>
      </c>
      <c r="AE2624">
        <v>5</v>
      </c>
      <c r="AF2624">
        <v>1</v>
      </c>
    </row>
    <row r="2625" spans="1:32" ht="15" x14ac:dyDescent="0.35">
      <c r="A2625" t="s">
        <v>265</v>
      </c>
      <c r="B2625" s="1">
        <v>45732</v>
      </c>
      <c r="C2625">
        <f>YEAR(OrdersTable[[#This Row],[Order Date]])</f>
        <v>2025</v>
      </c>
      <c r="D2625" s="2">
        <f>DATE(YEAR(OrdersTable[[#This Row],[Order Date]]),MONTH(OrdersTable[[#This Row],[Order Date]]),1)</f>
        <v>45717</v>
      </c>
      <c r="E2625">
        <f>MONTH(OrdersTable[[#This Row],[Order Date]])</f>
        <v>3</v>
      </c>
      <c r="F2625" t="s">
        <v>266</v>
      </c>
      <c r="G2625" t="str">
        <f>IF(OrdersTable[[#This Row],[Order Date]]=_xlfn.MINIFS(Order_Date, Customer_ID, OrdersTable[[#This Row],[Customer ID]]), "New", "Repeat")</f>
        <v>Repeat</v>
      </c>
      <c r="H2625" t="s">
        <v>95</v>
      </c>
      <c r="I2625" t="str">
        <f>INDEX(State!B:B,MATCH(OrdersTable[[#This Row],[State]],State!A:A,0))</f>
        <v>TG</v>
      </c>
      <c r="J2625" t="str">
        <f>INDEX(State!C:C,MATCH(OrdersTable[[#This Row],[State Code]],State!B:B,0))</f>
        <v>South</v>
      </c>
      <c r="K2625" t="s">
        <v>96</v>
      </c>
      <c r="L2625" t="s">
        <v>23</v>
      </c>
      <c r="M2625" t="s">
        <v>45</v>
      </c>
      <c r="N2625" t="str">
        <f>INDEX(Products!B:B,MATCH(OrdersTable[[#This Row],[Product ID]],Products!A:A,0))</f>
        <v>Argan Shampoo</v>
      </c>
      <c r="O2625" t="str">
        <f>INDEX(Products!C:C,MATCH(OrdersTable[[#This Row],[Product ID]],Products!A:A,0))</f>
        <v>Haircare</v>
      </c>
      <c r="P2625">
        <v>1</v>
      </c>
      <c r="Q2625" s="5">
        <v>449</v>
      </c>
      <c r="R2625" s="74">
        <v>0.1</v>
      </c>
      <c r="S2625" s="75">
        <f>OrdersTable[[#This Row],[Quantity]]*OrdersTable[[#This Row],[Unit Price]]</f>
        <v>449</v>
      </c>
      <c r="T2625" s="5">
        <f>OrdersTable[[#This Row],[Gross Sale]]*OrdersTable[[#This Row],[Discount_Clean2]]</f>
        <v>44.900000000000006</v>
      </c>
      <c r="U2625" s="5">
        <f>OrdersTable[[#This Row],[Gross Sale]]-OrdersTable[[#This Row],[Discount Amount]]</f>
        <v>404.1</v>
      </c>
      <c r="V2625" s="77">
        <f>INDEX(Products!E:E,MATCH(OrdersTable[[#This Row],[Product ID]],Products!A:A,0))</f>
        <v>148</v>
      </c>
      <c r="W2625" s="77">
        <f>OrdersTable[[#This Row],[Quantity]]*OrdersTable[[#This Row],[Unit Cost]]</f>
        <v>148</v>
      </c>
      <c r="X2625" s="77">
        <f>'Dropdown Lists'!$I$2*(1+OrdersTable[[#This Row],[Returned]])</f>
        <v>60</v>
      </c>
      <c r="Y2625" s="76">
        <f>OrdersTable[[#This Row],[Net Revenue]]-OrdersTable[[#This Row],[COGS]]-OrdersTable[[#This Row],[Shipping Cost]]</f>
        <v>196.10000000000002</v>
      </c>
      <c r="Z2625" s="78">
        <f>IFERROR(OrdersTable[[#This Row],[Profit]]/OrdersTable[[#This Row],[Net Revenue]],0)</f>
        <v>0.48527592180153428</v>
      </c>
      <c r="AA2625" t="s">
        <v>18</v>
      </c>
      <c r="AB2625" s="79">
        <v>45735</v>
      </c>
      <c r="AC2625">
        <f>OrdersTable[[#This Row],[Delivery Date]]-OrdersTable[[#This Row],[Order Date]]</f>
        <v>3</v>
      </c>
      <c r="AD2625" t="str">
        <f>IF(OrdersTable[[#This Row],[Delivery Days]]&lt;=2, "Express (≤2d)", IF(OrdersTable[[#This Row],[Delivery Days]]&lt;=4, "Standard (3-4d)", "Delayed (5d+)"))</f>
        <v>Standard (3-4d)</v>
      </c>
      <c r="AE2625">
        <v>4</v>
      </c>
      <c r="AF2625">
        <v>0</v>
      </c>
    </row>
    <row r="2626" spans="1:32" ht="15" x14ac:dyDescent="0.35">
      <c r="A2626" t="s">
        <v>3757</v>
      </c>
      <c r="B2626" s="1">
        <v>45732</v>
      </c>
      <c r="C2626">
        <f>YEAR(OrdersTable[[#This Row],[Order Date]])</f>
        <v>2025</v>
      </c>
      <c r="D2626" s="2">
        <f>DATE(YEAR(OrdersTable[[#This Row],[Order Date]]),MONTH(OrdersTable[[#This Row],[Order Date]]),1)</f>
        <v>45717</v>
      </c>
      <c r="E2626">
        <f>MONTH(OrdersTable[[#This Row],[Order Date]])</f>
        <v>3</v>
      </c>
      <c r="F2626" t="s">
        <v>3694</v>
      </c>
      <c r="G2626" t="str">
        <f>IF(OrdersTable[[#This Row],[Order Date]]=_xlfn.MINIFS(Order_Date, Customer_ID, OrdersTable[[#This Row],[Customer ID]]), "New", "Repeat")</f>
        <v>New</v>
      </c>
      <c r="H2626" t="s">
        <v>95</v>
      </c>
      <c r="I2626" t="str">
        <f>INDEX(State!B:B,MATCH(OrdersTable[[#This Row],[State]],State!A:A,0))</f>
        <v>TG</v>
      </c>
      <c r="J2626" t="str">
        <f>INDEX(State!C:C,MATCH(OrdersTable[[#This Row],[State Code]],State!B:B,0))</f>
        <v>South</v>
      </c>
      <c r="K2626" t="s">
        <v>96</v>
      </c>
      <c r="L2626" t="s">
        <v>23</v>
      </c>
      <c r="M2626" t="s">
        <v>73</v>
      </c>
      <c r="N2626" t="str">
        <f>INDEX(Products!B:B,MATCH(OrdersTable[[#This Row],[Product ID]],Products!A:A,0))</f>
        <v>Hydrating Face Wash</v>
      </c>
      <c r="O2626" t="str">
        <f>INDEX(Products!C:C,MATCH(OrdersTable[[#This Row],[Product ID]],Products!A:A,0))</f>
        <v>Skincare</v>
      </c>
      <c r="P2626">
        <v>1</v>
      </c>
      <c r="Q2626" s="5">
        <v>299</v>
      </c>
      <c r="R2626" s="74">
        <v>0</v>
      </c>
      <c r="S2626" s="75">
        <f>OrdersTable[[#This Row],[Quantity]]*OrdersTable[[#This Row],[Unit Price]]</f>
        <v>299</v>
      </c>
      <c r="T2626" s="5">
        <f>OrdersTable[[#This Row],[Gross Sale]]*OrdersTable[[#This Row],[Discount_Clean2]]</f>
        <v>0</v>
      </c>
      <c r="U2626" s="5">
        <f>OrdersTable[[#This Row],[Gross Sale]]-OrdersTable[[#This Row],[Discount Amount]]</f>
        <v>299</v>
      </c>
      <c r="V2626" s="77">
        <f>INDEX(Products!E:E,MATCH(OrdersTable[[#This Row],[Product ID]],Products!A:A,0))</f>
        <v>90</v>
      </c>
      <c r="W2626" s="77">
        <f>OrdersTable[[#This Row],[Quantity]]*OrdersTable[[#This Row],[Unit Cost]]</f>
        <v>90</v>
      </c>
      <c r="X2626" s="77">
        <f>'Dropdown Lists'!$I$2*(1+OrdersTable[[#This Row],[Returned]])</f>
        <v>60</v>
      </c>
      <c r="Y2626" s="76">
        <f>OrdersTable[[#This Row],[Net Revenue]]-OrdersTable[[#This Row],[COGS]]-OrdersTable[[#This Row],[Shipping Cost]]</f>
        <v>149</v>
      </c>
      <c r="Z2626" s="78">
        <f>IFERROR(OrdersTable[[#This Row],[Profit]]/OrdersTable[[#This Row],[Net Revenue]],0)</f>
        <v>0.49832775919732442</v>
      </c>
      <c r="AA2626" t="s">
        <v>3495</v>
      </c>
      <c r="AB2626" s="79">
        <v>45735</v>
      </c>
      <c r="AC2626">
        <f>OrdersTable[[#This Row],[Delivery Date]]-OrdersTable[[#This Row],[Order Date]]</f>
        <v>3</v>
      </c>
      <c r="AD2626" t="str">
        <f>IF(OrdersTable[[#This Row],[Delivery Days]]&lt;=2, "Express (≤2d)", IF(OrdersTable[[#This Row],[Delivery Days]]&lt;=4, "Standard (3-4d)", "Delayed (5d+)"))</f>
        <v>Standard (3-4d)</v>
      </c>
      <c r="AF2626">
        <v>0</v>
      </c>
    </row>
    <row r="2627" spans="1:32" ht="15" x14ac:dyDescent="0.35">
      <c r="A2627" t="s">
        <v>6576</v>
      </c>
      <c r="B2627" s="1">
        <v>45732</v>
      </c>
      <c r="C2627">
        <f>YEAR(OrdersTable[[#This Row],[Order Date]])</f>
        <v>2025</v>
      </c>
      <c r="D2627" s="2">
        <f>DATE(YEAR(OrdersTable[[#This Row],[Order Date]]),MONTH(OrdersTable[[#This Row],[Order Date]]),1)</f>
        <v>45717</v>
      </c>
      <c r="E2627">
        <f>MONTH(OrdersTable[[#This Row],[Order Date]])</f>
        <v>3</v>
      </c>
      <c r="F2627" t="s">
        <v>1861</v>
      </c>
      <c r="G2627" t="str">
        <f>IF(OrdersTable[[#This Row],[Order Date]]=_xlfn.MINIFS(Order_Date, Customer_ID, OrdersTable[[#This Row],[Customer ID]]), "New", "Repeat")</f>
        <v>Repeat</v>
      </c>
      <c r="H2627" t="s">
        <v>14</v>
      </c>
      <c r="I2627" t="str">
        <f>INDEX(State!B:B,MATCH(OrdersTable[[#This Row],[State]],State!A:A,0))</f>
        <v>OD</v>
      </c>
      <c r="J2627" t="str">
        <f>INDEX(State!C:C,MATCH(OrdersTable[[#This Row],[State Code]],State!B:B,0))</f>
        <v>East</v>
      </c>
      <c r="K2627" t="s">
        <v>15</v>
      </c>
      <c r="L2627" t="s">
        <v>65</v>
      </c>
      <c r="M2627" t="s">
        <v>61</v>
      </c>
      <c r="N2627" t="str">
        <f>INDEX(Products!B:B,MATCH(OrdersTable[[#This Row],[Product ID]],Products!A:A,0))</f>
        <v>Multivitamin Gummies</v>
      </c>
      <c r="O2627" t="str">
        <f>INDEX(Products!C:C,MATCH(OrdersTable[[#This Row],[Product ID]],Products!A:A,0))</f>
        <v>Wellness</v>
      </c>
      <c r="P2627">
        <v>3</v>
      </c>
      <c r="Q2627" s="5">
        <v>699</v>
      </c>
      <c r="R2627" s="74">
        <v>0.3</v>
      </c>
      <c r="S2627" s="75">
        <f>OrdersTable[[#This Row],[Quantity]]*OrdersTable[[#This Row],[Unit Price]]</f>
        <v>2097</v>
      </c>
      <c r="T2627" s="5">
        <f>OrdersTable[[#This Row],[Gross Sale]]*OrdersTable[[#This Row],[Discount_Clean2]]</f>
        <v>629.1</v>
      </c>
      <c r="U2627" s="5">
        <f>OrdersTable[[#This Row],[Gross Sale]]-OrdersTable[[#This Row],[Discount Amount]]</f>
        <v>1467.9</v>
      </c>
      <c r="V2627" s="77">
        <f>INDEX(Products!E:E,MATCH(OrdersTable[[#This Row],[Product ID]],Products!A:A,0))</f>
        <v>238</v>
      </c>
      <c r="W2627" s="77">
        <f>OrdersTable[[#This Row],[Quantity]]*OrdersTable[[#This Row],[Unit Cost]]</f>
        <v>714</v>
      </c>
      <c r="X2627" s="77">
        <f>'Dropdown Lists'!$I$2*(1+OrdersTable[[#This Row],[Returned]])</f>
        <v>60</v>
      </c>
      <c r="Y2627" s="76">
        <f>OrdersTable[[#This Row],[Net Revenue]]-OrdersTable[[#This Row],[COGS]]-OrdersTable[[#This Row],[Shipping Cost]]</f>
        <v>693.90000000000009</v>
      </c>
      <c r="Z2627" s="78">
        <f>IFERROR(OrdersTable[[#This Row],[Profit]]/OrdersTable[[#This Row],[Net Revenue]],0)</f>
        <v>0.47271612507664013</v>
      </c>
      <c r="AA2627" t="s">
        <v>18</v>
      </c>
      <c r="AB2627" s="79">
        <v>45738</v>
      </c>
      <c r="AC2627">
        <f>OrdersTable[[#This Row],[Delivery Date]]-OrdersTable[[#This Row],[Order Date]]</f>
        <v>6</v>
      </c>
      <c r="AD2627" t="str">
        <f>IF(OrdersTable[[#This Row],[Delivery Days]]&lt;=2, "Express (≤2d)", IF(OrdersTable[[#This Row],[Delivery Days]]&lt;=4, "Standard (3-4d)", "Delayed (5d+)"))</f>
        <v>Delayed (5d+)</v>
      </c>
      <c r="AE2627">
        <v>3</v>
      </c>
      <c r="AF2627">
        <v>0</v>
      </c>
    </row>
    <row r="2628" spans="1:32" ht="15" x14ac:dyDescent="0.35">
      <c r="A2628" t="s">
        <v>4133</v>
      </c>
      <c r="B2628" s="1">
        <v>45732</v>
      </c>
      <c r="C2628">
        <f>YEAR(OrdersTable[[#This Row],[Order Date]])</f>
        <v>2025</v>
      </c>
      <c r="D2628" s="2">
        <f>DATE(YEAR(OrdersTable[[#This Row],[Order Date]]),MONTH(OrdersTable[[#This Row],[Order Date]]),1)</f>
        <v>45717</v>
      </c>
      <c r="E2628">
        <f>MONTH(OrdersTable[[#This Row],[Order Date]])</f>
        <v>3</v>
      </c>
      <c r="F2628" t="s">
        <v>4134</v>
      </c>
      <c r="G2628" t="str">
        <f>IF(OrdersTable[[#This Row],[Order Date]]=_xlfn.MINIFS(Order_Date, Customer_ID, OrdersTable[[#This Row],[Customer ID]]), "New", "Repeat")</f>
        <v>New</v>
      </c>
      <c r="H2628" t="s">
        <v>90</v>
      </c>
      <c r="I2628" t="str">
        <f>INDEX(State!B:B,MATCH(OrdersTable[[#This Row],[State]],State!A:A,0))</f>
        <v>GA</v>
      </c>
      <c r="J2628" t="str">
        <f>INDEX(State!C:C,MATCH(OrdersTable[[#This Row],[State Code]],State!B:B,0))</f>
        <v>West</v>
      </c>
      <c r="K2628" t="s">
        <v>91</v>
      </c>
      <c r="L2628" t="s">
        <v>65</v>
      </c>
      <c r="M2628" t="s">
        <v>228</v>
      </c>
      <c r="N2628" t="str">
        <f>INDEX(Products!B:B,MATCH(OrdersTable[[#This Row],[Product ID]],Products!A:A,0))</f>
        <v>Fast Charger 33W</v>
      </c>
      <c r="O2628" t="str">
        <f>INDEX(Products!C:C,MATCH(OrdersTable[[#This Row],[Product ID]],Products!A:A,0))</f>
        <v>Electronics</v>
      </c>
      <c r="P2628">
        <v>1</v>
      </c>
      <c r="Q2628" s="5">
        <v>899</v>
      </c>
      <c r="R2628" s="74">
        <v>0.05</v>
      </c>
      <c r="S2628" s="75">
        <f>OrdersTable[[#This Row],[Quantity]]*OrdersTable[[#This Row],[Unit Price]]</f>
        <v>899</v>
      </c>
      <c r="T2628" s="5">
        <f>OrdersTable[[#This Row],[Gross Sale]]*OrdersTable[[#This Row],[Discount_Clean2]]</f>
        <v>44.95</v>
      </c>
      <c r="U2628" s="5">
        <f>OrdersTable[[#This Row],[Gross Sale]]-OrdersTable[[#This Row],[Discount Amount]]</f>
        <v>854.05</v>
      </c>
      <c r="V2628" s="77">
        <f>INDEX(Products!E:E,MATCH(OrdersTable[[#This Row],[Product ID]],Products!A:A,0))</f>
        <v>494</v>
      </c>
      <c r="W2628" s="77">
        <f>OrdersTable[[#This Row],[Quantity]]*OrdersTable[[#This Row],[Unit Cost]]</f>
        <v>494</v>
      </c>
      <c r="X2628" s="77">
        <f>'Dropdown Lists'!$I$2*(1+OrdersTable[[#This Row],[Returned]])</f>
        <v>60</v>
      </c>
      <c r="Y2628" s="76">
        <f>OrdersTable[[#This Row],[Net Revenue]]-OrdersTable[[#This Row],[COGS]]-OrdersTable[[#This Row],[Shipping Cost]]</f>
        <v>300.04999999999995</v>
      </c>
      <c r="Z2628" s="78">
        <f>IFERROR(OrdersTable[[#This Row],[Profit]]/OrdersTable[[#This Row],[Net Revenue]],0)</f>
        <v>0.35132603477548152</v>
      </c>
      <c r="AA2628" t="s">
        <v>4074</v>
      </c>
      <c r="AB2628" s="79">
        <v>45733</v>
      </c>
      <c r="AC2628">
        <f>OrdersTable[[#This Row],[Delivery Date]]-OrdersTable[[#This Row],[Order Date]]</f>
        <v>1</v>
      </c>
      <c r="AD2628" t="str">
        <f>IF(OrdersTable[[#This Row],[Delivery Days]]&lt;=2, "Express (≤2d)", IF(OrdersTable[[#This Row],[Delivery Days]]&lt;=4, "Standard (3-4d)", "Delayed (5d+)"))</f>
        <v>Express (≤2d)</v>
      </c>
      <c r="AE2628">
        <v>3</v>
      </c>
      <c r="AF2628">
        <v>0</v>
      </c>
    </row>
    <row r="2629" spans="1:32" ht="15" x14ac:dyDescent="0.35">
      <c r="A2629" t="s">
        <v>5606</v>
      </c>
      <c r="B2629" s="1">
        <v>45733</v>
      </c>
      <c r="C2629">
        <f>YEAR(OrdersTable[[#This Row],[Order Date]])</f>
        <v>2025</v>
      </c>
      <c r="D2629" s="2">
        <f>DATE(YEAR(OrdersTable[[#This Row],[Order Date]]),MONTH(OrdersTable[[#This Row],[Order Date]]),1)</f>
        <v>45717</v>
      </c>
      <c r="E2629">
        <f>MONTH(OrdersTable[[#This Row],[Order Date]])</f>
        <v>3</v>
      </c>
      <c r="F2629" t="s">
        <v>5607</v>
      </c>
      <c r="G2629" t="str">
        <f>IF(OrdersTable[[#This Row],[Order Date]]=_xlfn.MINIFS(Order_Date, Customer_ID, OrdersTable[[#This Row],[Customer ID]]), "New", "Repeat")</f>
        <v>New</v>
      </c>
      <c r="H2629" t="s">
        <v>210</v>
      </c>
      <c r="I2629" t="str">
        <f>INDEX(State!B:B,MATCH(OrdersTable[[#This Row],[State]],State!A:A,0))</f>
        <v>JK</v>
      </c>
      <c r="J2629" t="str">
        <f>INDEX(State!C:C,MATCH(OrdersTable[[#This Row],[State Code]],State!B:B,0))</f>
        <v>North</v>
      </c>
      <c r="K2629" t="s">
        <v>211</v>
      </c>
      <c r="L2629" t="s">
        <v>65</v>
      </c>
      <c r="M2629" t="s">
        <v>152</v>
      </c>
      <c r="N2629" t="str">
        <f>INDEX(Products!B:B,MATCH(OrdersTable[[#This Row],[Product ID]],Products!A:A,0))</f>
        <v>Green Tea (100 bags)</v>
      </c>
      <c r="O2629" t="str">
        <f>INDEX(Products!C:C,MATCH(OrdersTable[[#This Row],[Product ID]],Products!A:A,0))</f>
        <v>Wellness</v>
      </c>
      <c r="P2629">
        <v>2</v>
      </c>
      <c r="Q2629" s="5">
        <v>399</v>
      </c>
      <c r="R2629" s="74">
        <v>0.3</v>
      </c>
      <c r="S2629" s="75">
        <f>OrdersTable[[#This Row],[Quantity]]*OrdersTable[[#This Row],[Unit Price]]</f>
        <v>798</v>
      </c>
      <c r="T2629" s="5">
        <f>OrdersTable[[#This Row],[Gross Sale]]*OrdersTable[[#This Row],[Discount_Clean2]]</f>
        <v>239.39999999999998</v>
      </c>
      <c r="U2629" s="5">
        <f>OrdersTable[[#This Row],[Gross Sale]]-OrdersTable[[#This Row],[Discount Amount]]</f>
        <v>558.6</v>
      </c>
      <c r="V2629" s="77">
        <f>INDEX(Products!E:E,MATCH(OrdersTable[[#This Row],[Product ID]],Products!A:A,0))</f>
        <v>128</v>
      </c>
      <c r="W2629" s="77">
        <f>OrdersTable[[#This Row],[Quantity]]*OrdersTable[[#This Row],[Unit Cost]]</f>
        <v>256</v>
      </c>
      <c r="X2629" s="77">
        <f>'Dropdown Lists'!$I$2*(1+OrdersTable[[#This Row],[Returned]])</f>
        <v>60</v>
      </c>
      <c r="Y2629" s="76">
        <f>OrdersTable[[#This Row],[Net Revenue]]-OrdersTable[[#This Row],[COGS]]-OrdersTable[[#This Row],[Shipping Cost]]</f>
        <v>242.60000000000002</v>
      </c>
      <c r="Z2629" s="78">
        <f>IFERROR(OrdersTable[[#This Row],[Profit]]/OrdersTable[[#This Row],[Net Revenue]],0)</f>
        <v>0.43430003580379523</v>
      </c>
      <c r="AA2629" t="s">
        <v>2522</v>
      </c>
      <c r="AB2629" s="79">
        <v>45739</v>
      </c>
      <c r="AC2629">
        <f>OrdersTable[[#This Row],[Delivery Date]]-OrdersTable[[#This Row],[Order Date]]</f>
        <v>6</v>
      </c>
      <c r="AD2629" t="str">
        <f>IF(OrdersTable[[#This Row],[Delivery Days]]&lt;=2, "Express (≤2d)", IF(OrdersTable[[#This Row],[Delivery Days]]&lt;=4, "Standard (3-4d)", "Delayed (5d+)"))</f>
        <v>Delayed (5d+)</v>
      </c>
      <c r="AF2629">
        <v>0</v>
      </c>
    </row>
    <row r="2630" spans="1:32" ht="15" x14ac:dyDescent="0.35">
      <c r="A2630" t="s">
        <v>5938</v>
      </c>
      <c r="B2630" s="1">
        <v>45733</v>
      </c>
      <c r="C2630">
        <f>YEAR(OrdersTable[[#This Row],[Order Date]])</f>
        <v>2025</v>
      </c>
      <c r="D2630" s="2">
        <f>DATE(YEAR(OrdersTable[[#This Row],[Order Date]]),MONTH(OrdersTable[[#This Row],[Order Date]]),1)</f>
        <v>45717</v>
      </c>
      <c r="E2630">
        <f>MONTH(OrdersTable[[#This Row],[Order Date]])</f>
        <v>3</v>
      </c>
      <c r="F2630" t="s">
        <v>2304</v>
      </c>
      <c r="G2630" t="str">
        <f>IF(OrdersTable[[#This Row],[Order Date]]=_xlfn.MINIFS(Order_Date, Customer_ID, OrdersTable[[#This Row],[Customer ID]]), "New", "Repeat")</f>
        <v>Repeat</v>
      </c>
      <c r="H2630" t="s">
        <v>76</v>
      </c>
      <c r="I2630" t="str">
        <f>INDEX(State!B:B,MATCH(OrdersTable[[#This Row],[State]],State!A:A,0))</f>
        <v>UP</v>
      </c>
      <c r="J2630" t="str">
        <f>INDEX(State!C:C,MATCH(OrdersTable[[#This Row],[State Code]],State!B:B,0))</f>
        <v>North</v>
      </c>
      <c r="K2630" t="s">
        <v>105</v>
      </c>
      <c r="L2630" t="s">
        <v>16</v>
      </c>
      <c r="M2630" t="s">
        <v>576</v>
      </c>
      <c r="N2630" t="str">
        <f>INDEX(Products!B:B,MATCH(OrdersTable[[#This Row],[Product ID]],Products!A:A,0))</f>
        <v>Printed Saree</v>
      </c>
      <c r="O2630" t="str">
        <f>INDEX(Products!C:C,MATCH(OrdersTable[[#This Row],[Product ID]],Products!A:A,0))</f>
        <v>Apparel</v>
      </c>
      <c r="P2630">
        <v>2</v>
      </c>
      <c r="Q2630" s="5">
        <v>1999</v>
      </c>
      <c r="R2630" s="74">
        <v>0.1</v>
      </c>
      <c r="S2630" s="75">
        <f>OrdersTable[[#This Row],[Quantity]]*OrdersTable[[#This Row],[Unit Price]]</f>
        <v>3998</v>
      </c>
      <c r="T2630" s="5">
        <f>OrdersTable[[#This Row],[Gross Sale]]*OrdersTable[[#This Row],[Discount_Clean2]]</f>
        <v>399.8</v>
      </c>
      <c r="U2630" s="5">
        <f>OrdersTable[[#This Row],[Gross Sale]]-OrdersTable[[#This Row],[Discount Amount]]</f>
        <v>3598.2</v>
      </c>
      <c r="V2630" s="77">
        <f>INDEX(Products!E:E,MATCH(OrdersTable[[#This Row],[Product ID]],Products!A:A,0))</f>
        <v>880</v>
      </c>
      <c r="W2630" s="77">
        <f>OrdersTable[[#This Row],[Quantity]]*OrdersTable[[#This Row],[Unit Cost]]</f>
        <v>1760</v>
      </c>
      <c r="X2630" s="77">
        <f>'Dropdown Lists'!$I$2*(1+OrdersTable[[#This Row],[Returned]])</f>
        <v>120</v>
      </c>
      <c r="Y2630" s="76">
        <f>OrdersTable[[#This Row],[Net Revenue]]-OrdersTable[[#This Row],[COGS]]-OrdersTable[[#This Row],[Shipping Cost]]</f>
        <v>1718.1999999999998</v>
      </c>
      <c r="Z2630" s="78">
        <f>IFERROR(OrdersTable[[#This Row],[Profit]]/OrdersTable[[#This Row],[Net Revenue]],0)</f>
        <v>0.47751653604580063</v>
      </c>
      <c r="AA2630" t="s">
        <v>18</v>
      </c>
      <c r="AB2630" s="79">
        <v>45735</v>
      </c>
      <c r="AC2630">
        <f>OrdersTable[[#This Row],[Delivery Date]]-OrdersTable[[#This Row],[Order Date]]</f>
        <v>2</v>
      </c>
      <c r="AD2630" t="str">
        <f>IF(OrdersTable[[#This Row],[Delivery Days]]&lt;=2, "Express (≤2d)", IF(OrdersTable[[#This Row],[Delivery Days]]&lt;=4, "Standard (3-4d)", "Delayed (5d+)"))</f>
        <v>Express (≤2d)</v>
      </c>
      <c r="AF2630">
        <v>1</v>
      </c>
    </row>
    <row r="2631" spans="1:32" ht="15" x14ac:dyDescent="0.35">
      <c r="A2631" t="s">
        <v>1712</v>
      </c>
      <c r="B2631" s="1">
        <v>45733</v>
      </c>
      <c r="C2631">
        <f>YEAR(OrdersTable[[#This Row],[Order Date]])</f>
        <v>2025</v>
      </c>
      <c r="D2631" s="2">
        <f>DATE(YEAR(OrdersTable[[#This Row],[Order Date]]),MONTH(OrdersTable[[#This Row],[Order Date]]),1)</f>
        <v>45717</v>
      </c>
      <c r="E2631">
        <f>MONTH(OrdersTable[[#This Row],[Order Date]])</f>
        <v>3</v>
      </c>
      <c r="F2631" t="s">
        <v>1713</v>
      </c>
      <c r="G2631" t="str">
        <f>IF(OrdersTable[[#This Row],[Order Date]]=_xlfn.MINIFS(Order_Date, Customer_ID, OrdersTable[[#This Row],[Customer ID]]), "New", "Repeat")</f>
        <v>New</v>
      </c>
      <c r="H2631" t="s">
        <v>27</v>
      </c>
      <c r="I2631" t="str">
        <f>INDEX(State!B:B,MATCH(OrdersTable[[#This Row],[State]],State!A:A,0))</f>
        <v>WB</v>
      </c>
      <c r="J2631" t="str">
        <f>INDEX(State!C:C,MATCH(OrdersTable[[#This Row],[State Code]],State!B:B,0))</f>
        <v>East</v>
      </c>
      <c r="K2631" t="s">
        <v>28</v>
      </c>
      <c r="L2631" t="s">
        <v>65</v>
      </c>
      <c r="M2631" t="s">
        <v>160</v>
      </c>
      <c r="N2631" t="str">
        <f>INDEX(Products!B:B,MATCH(OrdersTable[[#This Row],[Product ID]],Products!A:A,0))</f>
        <v>Niacinamide Toner</v>
      </c>
      <c r="O2631" t="str">
        <f>INDEX(Products!C:C,MATCH(OrdersTable[[#This Row],[Product ID]],Products!A:A,0))</f>
        <v>Skincare</v>
      </c>
      <c r="P2631">
        <v>1</v>
      </c>
      <c r="Q2631" s="5">
        <v>399</v>
      </c>
      <c r="R2631" s="74">
        <v>0.2</v>
      </c>
      <c r="S2631" s="75">
        <f>OrdersTable[[#This Row],[Quantity]]*OrdersTable[[#This Row],[Unit Price]]</f>
        <v>399</v>
      </c>
      <c r="T2631" s="5">
        <f>OrdersTable[[#This Row],[Gross Sale]]*OrdersTable[[#This Row],[Discount_Clean2]]</f>
        <v>79.800000000000011</v>
      </c>
      <c r="U2631" s="5">
        <f>OrdersTable[[#This Row],[Gross Sale]]-OrdersTable[[#This Row],[Discount Amount]]</f>
        <v>319.2</v>
      </c>
      <c r="V2631" s="77">
        <f>INDEX(Products!E:E,MATCH(OrdersTable[[#This Row],[Product ID]],Products!A:A,0))</f>
        <v>112</v>
      </c>
      <c r="W2631" s="77">
        <f>OrdersTable[[#This Row],[Quantity]]*OrdersTable[[#This Row],[Unit Cost]]</f>
        <v>112</v>
      </c>
      <c r="X2631" s="77">
        <f>'Dropdown Lists'!$I$2*(1+OrdersTable[[#This Row],[Returned]])</f>
        <v>60</v>
      </c>
      <c r="Y2631" s="76">
        <f>OrdersTable[[#This Row],[Net Revenue]]-OrdersTable[[#This Row],[COGS]]-OrdersTable[[#This Row],[Shipping Cost]]</f>
        <v>147.19999999999999</v>
      </c>
      <c r="Z2631" s="78">
        <f>IFERROR(OrdersTable[[#This Row],[Profit]]/OrdersTable[[#This Row],[Net Revenue]],0)</f>
        <v>0.46115288220551376</v>
      </c>
      <c r="AA2631" t="s">
        <v>18</v>
      </c>
      <c r="AB2631" s="79">
        <v>45736</v>
      </c>
      <c r="AC2631">
        <f>OrdersTable[[#This Row],[Delivery Date]]-OrdersTable[[#This Row],[Order Date]]</f>
        <v>3</v>
      </c>
      <c r="AD2631" t="str">
        <f>IF(OrdersTable[[#This Row],[Delivery Days]]&lt;=2, "Express (≤2d)", IF(OrdersTable[[#This Row],[Delivery Days]]&lt;=4, "Standard (3-4d)", "Delayed (5d+)"))</f>
        <v>Standard (3-4d)</v>
      </c>
      <c r="AF2631">
        <v>0</v>
      </c>
    </row>
    <row r="2632" spans="1:32" ht="15" x14ac:dyDescent="0.35">
      <c r="A2632" t="s">
        <v>6577</v>
      </c>
      <c r="B2632" s="1">
        <v>45733</v>
      </c>
      <c r="C2632">
        <f>YEAR(OrdersTable[[#This Row],[Order Date]])</f>
        <v>2025</v>
      </c>
      <c r="D2632" s="2">
        <f>DATE(YEAR(OrdersTable[[#This Row],[Order Date]]),MONTH(OrdersTable[[#This Row],[Order Date]]),1)</f>
        <v>45717</v>
      </c>
      <c r="E2632">
        <f>MONTH(OrdersTable[[#This Row],[Order Date]])</f>
        <v>3</v>
      </c>
      <c r="F2632" t="s">
        <v>1035</v>
      </c>
      <c r="G2632" t="str">
        <f>IF(OrdersTable[[#This Row],[Order Date]]=_xlfn.MINIFS(Order_Date, Customer_ID, OrdersTable[[#This Row],[Customer ID]]), "New", "Repeat")</f>
        <v>New</v>
      </c>
      <c r="H2632" t="s">
        <v>71</v>
      </c>
      <c r="I2632" t="str">
        <f>INDEX(State!B:B,MATCH(OrdersTable[[#This Row],[State]],State!A:A,0))</f>
        <v>MH</v>
      </c>
      <c r="J2632" t="str">
        <f>INDEX(State!C:C,MATCH(OrdersTable[[#This Row],[State Code]],State!B:B,0))</f>
        <v>West</v>
      </c>
      <c r="K2632" t="s">
        <v>81</v>
      </c>
      <c r="L2632" t="s">
        <v>65</v>
      </c>
      <c r="M2632" t="s">
        <v>84</v>
      </c>
      <c r="N2632" t="str">
        <f>INDEX(Products!B:B,MATCH(OrdersTable[[#This Row],[Product ID]],Products!A:A,0))</f>
        <v>Cotton Bedsheet</v>
      </c>
      <c r="O2632" t="str">
        <f>INDEX(Products!C:C,MATCH(OrdersTable[[#This Row],[Product ID]],Products!A:A,0))</f>
        <v>Home &amp; Kitchen</v>
      </c>
      <c r="P2632">
        <v>3</v>
      </c>
      <c r="Q2632" s="5">
        <v>1299</v>
      </c>
      <c r="R2632" s="74">
        <v>0</v>
      </c>
      <c r="S2632" s="75">
        <f>OrdersTable[[#This Row],[Quantity]]*OrdersTable[[#This Row],[Unit Price]]</f>
        <v>3897</v>
      </c>
      <c r="T2632" s="5">
        <f>OrdersTable[[#This Row],[Gross Sale]]*OrdersTable[[#This Row],[Discount_Clean2]]</f>
        <v>0</v>
      </c>
      <c r="U2632" s="5">
        <f>OrdersTable[[#This Row],[Gross Sale]]-OrdersTable[[#This Row],[Discount Amount]]</f>
        <v>3897</v>
      </c>
      <c r="V2632" s="77">
        <f>INDEX(Products!E:E,MATCH(OrdersTable[[#This Row],[Product ID]],Products!A:A,0))</f>
        <v>585</v>
      </c>
      <c r="W2632" s="77">
        <f>OrdersTable[[#This Row],[Quantity]]*OrdersTable[[#This Row],[Unit Cost]]</f>
        <v>1755</v>
      </c>
      <c r="X2632" s="77">
        <f>'Dropdown Lists'!$I$2*(1+OrdersTable[[#This Row],[Returned]])</f>
        <v>60</v>
      </c>
      <c r="Y2632" s="76">
        <f>OrdersTable[[#This Row],[Net Revenue]]-OrdersTable[[#This Row],[COGS]]-OrdersTable[[#This Row],[Shipping Cost]]</f>
        <v>2082</v>
      </c>
      <c r="Z2632" s="78">
        <f>IFERROR(OrdersTable[[#This Row],[Profit]]/OrdersTable[[#This Row],[Net Revenue]],0)</f>
        <v>0.53425712086220167</v>
      </c>
      <c r="AA2632" t="s">
        <v>18</v>
      </c>
      <c r="AB2632" s="79">
        <v>45735</v>
      </c>
      <c r="AC2632">
        <f>OrdersTable[[#This Row],[Delivery Date]]-OrdersTable[[#This Row],[Order Date]]</f>
        <v>2</v>
      </c>
      <c r="AD2632" t="str">
        <f>IF(OrdersTable[[#This Row],[Delivery Days]]&lt;=2, "Express (≤2d)", IF(OrdersTable[[#This Row],[Delivery Days]]&lt;=4, "Standard (3-4d)", "Delayed (5d+)"))</f>
        <v>Express (≤2d)</v>
      </c>
      <c r="AE2632">
        <v>4</v>
      </c>
      <c r="AF2632">
        <v>0</v>
      </c>
    </row>
    <row r="2633" spans="1:32" ht="15" x14ac:dyDescent="0.35">
      <c r="A2633" t="s">
        <v>1970</v>
      </c>
      <c r="B2633" s="1">
        <v>45733</v>
      </c>
      <c r="C2633">
        <f>YEAR(OrdersTable[[#This Row],[Order Date]])</f>
        <v>2025</v>
      </c>
      <c r="D2633" s="2">
        <f>DATE(YEAR(OrdersTable[[#This Row],[Order Date]]),MONTH(OrdersTable[[#This Row],[Order Date]]),1)</f>
        <v>45717</v>
      </c>
      <c r="E2633">
        <f>MONTH(OrdersTable[[#This Row],[Order Date]])</f>
        <v>3</v>
      </c>
      <c r="F2633" t="s">
        <v>1971</v>
      </c>
      <c r="G2633" t="str">
        <f>IF(OrdersTable[[#This Row],[Order Date]]=_xlfn.MINIFS(Order_Date, Customer_ID, OrdersTable[[#This Row],[Customer ID]]), "New", "Repeat")</f>
        <v>Repeat</v>
      </c>
      <c r="H2633" t="s">
        <v>95</v>
      </c>
      <c r="I2633" t="str">
        <f>INDEX(State!B:B,MATCH(OrdersTable[[#This Row],[State]],State!A:A,0))</f>
        <v>TG</v>
      </c>
      <c r="J2633" t="str">
        <f>INDEX(State!C:C,MATCH(OrdersTable[[#This Row],[State Code]],State!B:B,0))</f>
        <v>South</v>
      </c>
      <c r="K2633" t="s">
        <v>96</v>
      </c>
      <c r="L2633" t="s">
        <v>65</v>
      </c>
      <c r="M2633" t="s">
        <v>176</v>
      </c>
      <c r="N2633" t="str">
        <f>INDEX(Products!B:B,MATCH(OrdersTable[[#This Row],[Product ID]],Products!A:A,0))</f>
        <v>Denim Jacket</v>
      </c>
      <c r="O2633" t="str">
        <f>INDEX(Products!C:C,MATCH(OrdersTable[[#This Row],[Product ID]],Products!A:A,0))</f>
        <v>Apparel</v>
      </c>
      <c r="P2633">
        <v>1</v>
      </c>
      <c r="Q2633" s="5">
        <v>2499</v>
      </c>
      <c r="R2633" s="74">
        <v>0</v>
      </c>
      <c r="S2633" s="75">
        <f>OrdersTable[[#This Row],[Quantity]]*OrdersTable[[#This Row],[Unit Price]]</f>
        <v>2499</v>
      </c>
      <c r="T2633" s="5">
        <f>OrdersTable[[#This Row],[Gross Sale]]*OrdersTable[[#This Row],[Discount_Clean2]]</f>
        <v>0</v>
      </c>
      <c r="U2633" s="5">
        <f>OrdersTable[[#This Row],[Gross Sale]]-OrdersTable[[#This Row],[Discount Amount]]</f>
        <v>2499</v>
      </c>
      <c r="V2633" s="77">
        <f>INDEX(Products!E:E,MATCH(OrdersTable[[#This Row],[Product ID]],Products!A:A,0))</f>
        <v>1125</v>
      </c>
      <c r="W2633" s="77">
        <f>OrdersTable[[#This Row],[Quantity]]*OrdersTable[[#This Row],[Unit Cost]]</f>
        <v>1125</v>
      </c>
      <c r="X2633" s="77">
        <f>'Dropdown Lists'!$I$2*(1+OrdersTable[[#This Row],[Returned]])</f>
        <v>60</v>
      </c>
      <c r="Y2633" s="76">
        <f>OrdersTable[[#This Row],[Net Revenue]]-OrdersTable[[#This Row],[COGS]]-OrdersTable[[#This Row],[Shipping Cost]]</f>
        <v>1314</v>
      </c>
      <c r="Z2633" s="78">
        <f>IFERROR(OrdersTable[[#This Row],[Profit]]/OrdersTable[[#This Row],[Net Revenue]],0)</f>
        <v>0.5258103241296519</v>
      </c>
      <c r="AA2633" t="s">
        <v>18</v>
      </c>
      <c r="AB2633" s="79">
        <v>45736</v>
      </c>
      <c r="AC2633">
        <f>OrdersTable[[#This Row],[Delivery Date]]-OrdersTable[[#This Row],[Order Date]]</f>
        <v>3</v>
      </c>
      <c r="AD2633" t="str">
        <f>IF(OrdersTable[[#This Row],[Delivery Days]]&lt;=2, "Express (≤2d)", IF(OrdersTable[[#This Row],[Delivery Days]]&lt;=4, "Standard (3-4d)", "Delayed (5d+)"))</f>
        <v>Standard (3-4d)</v>
      </c>
      <c r="AE2633">
        <v>3</v>
      </c>
      <c r="AF2633">
        <v>0</v>
      </c>
    </row>
    <row r="2634" spans="1:32" ht="15" x14ac:dyDescent="0.35">
      <c r="A2634" t="s">
        <v>6994</v>
      </c>
      <c r="B2634" s="1">
        <v>45733</v>
      </c>
      <c r="C2634">
        <f>YEAR(OrdersTable[[#This Row],[Order Date]])</f>
        <v>2025</v>
      </c>
      <c r="D2634" s="2">
        <f>DATE(YEAR(OrdersTable[[#This Row],[Order Date]]),MONTH(OrdersTable[[#This Row],[Order Date]]),1)</f>
        <v>45717</v>
      </c>
      <c r="E2634">
        <f>MONTH(OrdersTable[[#This Row],[Order Date]])</f>
        <v>3</v>
      </c>
      <c r="F2634" t="s">
        <v>4695</v>
      </c>
      <c r="G2634" t="str">
        <f>IF(OrdersTable[[#This Row],[Order Date]]=_xlfn.MINIFS(Order_Date, Customer_ID, OrdersTable[[#This Row],[Customer ID]]), "New", "Repeat")</f>
        <v>Repeat</v>
      </c>
      <c r="H2634" t="s">
        <v>14</v>
      </c>
      <c r="I2634" t="str">
        <f>INDEX(State!B:B,MATCH(OrdersTable[[#This Row],[State]],State!A:A,0))</f>
        <v>OD</v>
      </c>
      <c r="J2634" t="str">
        <f>INDEX(State!C:C,MATCH(OrdersTable[[#This Row],[State Code]],State!B:B,0))</f>
        <v>East</v>
      </c>
      <c r="K2634" t="s">
        <v>15</v>
      </c>
      <c r="L2634" t="s">
        <v>50</v>
      </c>
      <c r="M2634" t="s">
        <v>66</v>
      </c>
      <c r="N2634" t="str">
        <f>INDEX(Products!B:B,MATCH(OrdersTable[[#This Row],[Product ID]],Products!A:A,0))</f>
        <v>Sunscreen SPF 50</v>
      </c>
      <c r="O2634" t="str">
        <f>INDEX(Products!C:C,MATCH(OrdersTable[[#This Row],[Product ID]],Products!A:A,0))</f>
        <v>Skincare</v>
      </c>
      <c r="P2634">
        <v>4</v>
      </c>
      <c r="Q2634" s="5">
        <v>449</v>
      </c>
      <c r="R2634" s="74">
        <v>0.15</v>
      </c>
      <c r="S2634" s="75">
        <f>OrdersTable[[#This Row],[Quantity]]*OrdersTable[[#This Row],[Unit Price]]</f>
        <v>1796</v>
      </c>
      <c r="T2634" s="5">
        <f>OrdersTable[[#This Row],[Gross Sale]]*OrdersTable[[#This Row],[Discount_Clean2]]</f>
        <v>269.39999999999998</v>
      </c>
      <c r="U2634" s="5">
        <f>OrdersTable[[#This Row],[Gross Sale]]-OrdersTable[[#This Row],[Discount Amount]]</f>
        <v>1526.6</v>
      </c>
      <c r="V2634" s="77">
        <f>INDEX(Products!E:E,MATCH(OrdersTable[[#This Row],[Product ID]],Products!A:A,0))</f>
        <v>144</v>
      </c>
      <c r="W2634" s="77">
        <f>OrdersTable[[#This Row],[Quantity]]*OrdersTable[[#This Row],[Unit Cost]]</f>
        <v>576</v>
      </c>
      <c r="X2634" s="77">
        <f>'Dropdown Lists'!$I$2*(1+OrdersTable[[#This Row],[Returned]])</f>
        <v>60</v>
      </c>
      <c r="Y2634" s="76">
        <f>OrdersTable[[#This Row],[Net Revenue]]-OrdersTable[[#This Row],[COGS]]-OrdersTable[[#This Row],[Shipping Cost]]</f>
        <v>890.59999999999991</v>
      </c>
      <c r="Z2634" s="78">
        <f>IFERROR(OrdersTable[[#This Row],[Profit]]/OrdersTable[[#This Row],[Net Revenue]],0)</f>
        <v>0.58338792086990698</v>
      </c>
      <c r="AA2634" t="s">
        <v>2522</v>
      </c>
      <c r="AB2634" s="79">
        <v>45740</v>
      </c>
      <c r="AC2634">
        <f>OrdersTable[[#This Row],[Delivery Date]]-OrdersTable[[#This Row],[Order Date]]</f>
        <v>7</v>
      </c>
      <c r="AD2634" t="str">
        <f>IF(OrdersTable[[#This Row],[Delivery Days]]&lt;=2, "Express (≤2d)", IF(OrdersTable[[#This Row],[Delivery Days]]&lt;=4, "Standard (3-4d)", "Delayed (5d+)"))</f>
        <v>Delayed (5d+)</v>
      </c>
      <c r="AE2634">
        <v>3</v>
      </c>
      <c r="AF2634">
        <v>0</v>
      </c>
    </row>
    <row r="2635" spans="1:32" ht="15" x14ac:dyDescent="0.35">
      <c r="A2635" t="s">
        <v>5939</v>
      </c>
      <c r="B2635" s="1">
        <v>45733</v>
      </c>
      <c r="C2635">
        <f>YEAR(OrdersTable[[#This Row],[Order Date]])</f>
        <v>2025</v>
      </c>
      <c r="D2635" s="2">
        <f>DATE(YEAR(OrdersTable[[#This Row],[Order Date]]),MONTH(OrdersTable[[#This Row],[Order Date]]),1)</f>
        <v>45717</v>
      </c>
      <c r="E2635">
        <f>MONTH(OrdersTable[[#This Row],[Order Date]])</f>
        <v>3</v>
      </c>
      <c r="F2635" t="s">
        <v>4826</v>
      </c>
      <c r="G2635" t="str">
        <f>IF(OrdersTable[[#This Row],[Order Date]]=_xlfn.MINIFS(Order_Date, Customer_ID, OrdersTable[[#This Row],[Customer ID]]), "New", "Repeat")</f>
        <v>Repeat</v>
      </c>
      <c r="H2635" t="s">
        <v>59</v>
      </c>
      <c r="I2635" t="str">
        <f>INDEX(State!B:B,MATCH(OrdersTable[[#This Row],[State]],State!A:A,0))</f>
        <v>TN</v>
      </c>
      <c r="J2635" t="str">
        <f>INDEX(State!C:C,MATCH(OrdersTable[[#This Row],[State Code]],State!B:B,0))</f>
        <v>South</v>
      </c>
      <c r="K2635" t="s">
        <v>60</v>
      </c>
      <c r="L2635" t="s">
        <v>39</v>
      </c>
      <c r="M2635" t="s">
        <v>61</v>
      </c>
      <c r="N2635" t="str">
        <f>INDEX(Products!B:B,MATCH(OrdersTable[[#This Row],[Product ID]],Products!A:A,0))</f>
        <v>Multivitamin Gummies</v>
      </c>
      <c r="O2635" t="str">
        <f>INDEX(Products!C:C,MATCH(OrdersTable[[#This Row],[Product ID]],Products!A:A,0))</f>
        <v>Wellness</v>
      </c>
      <c r="P2635">
        <v>2</v>
      </c>
      <c r="Q2635" s="5">
        <v>699</v>
      </c>
      <c r="R2635" s="74">
        <v>0.2</v>
      </c>
      <c r="S2635" s="75">
        <f>OrdersTable[[#This Row],[Quantity]]*OrdersTable[[#This Row],[Unit Price]]</f>
        <v>1398</v>
      </c>
      <c r="T2635" s="5">
        <f>OrdersTable[[#This Row],[Gross Sale]]*OrdersTable[[#This Row],[Discount_Clean2]]</f>
        <v>279.60000000000002</v>
      </c>
      <c r="U2635" s="5">
        <f>OrdersTable[[#This Row],[Gross Sale]]-OrdersTable[[#This Row],[Discount Amount]]</f>
        <v>1118.4000000000001</v>
      </c>
      <c r="V2635" s="77">
        <f>INDEX(Products!E:E,MATCH(OrdersTable[[#This Row],[Product ID]],Products!A:A,0))</f>
        <v>238</v>
      </c>
      <c r="W2635" s="77">
        <f>OrdersTable[[#This Row],[Quantity]]*OrdersTable[[#This Row],[Unit Cost]]</f>
        <v>476</v>
      </c>
      <c r="X2635" s="77">
        <f>'Dropdown Lists'!$I$2*(1+OrdersTable[[#This Row],[Returned]])</f>
        <v>60</v>
      </c>
      <c r="Y2635" s="76">
        <f>OrdersTable[[#This Row],[Net Revenue]]-OrdersTable[[#This Row],[COGS]]-OrdersTable[[#This Row],[Shipping Cost]]</f>
        <v>582.40000000000009</v>
      </c>
      <c r="Z2635" s="78">
        <f>IFERROR(OrdersTable[[#This Row],[Profit]]/OrdersTable[[#This Row],[Net Revenue]],0)</f>
        <v>0.5207439198855508</v>
      </c>
      <c r="AA2635" t="s">
        <v>18</v>
      </c>
      <c r="AB2635" s="79">
        <v>45737</v>
      </c>
      <c r="AC2635">
        <f>OrdersTable[[#This Row],[Delivery Date]]-OrdersTable[[#This Row],[Order Date]]</f>
        <v>4</v>
      </c>
      <c r="AD2635" t="str">
        <f>IF(OrdersTable[[#This Row],[Delivery Days]]&lt;=2, "Express (≤2d)", IF(OrdersTable[[#This Row],[Delivery Days]]&lt;=4, "Standard (3-4d)", "Delayed (5d+)"))</f>
        <v>Standard (3-4d)</v>
      </c>
      <c r="AF2635">
        <v>0</v>
      </c>
    </row>
    <row r="2636" spans="1:32" ht="15" x14ac:dyDescent="0.35">
      <c r="A2636" t="s">
        <v>3610</v>
      </c>
      <c r="B2636" s="1">
        <v>45733</v>
      </c>
      <c r="C2636">
        <f>YEAR(OrdersTable[[#This Row],[Order Date]])</f>
        <v>2025</v>
      </c>
      <c r="D2636" s="2">
        <f>DATE(YEAR(OrdersTable[[#This Row],[Order Date]]),MONTH(OrdersTable[[#This Row],[Order Date]]),1)</f>
        <v>45717</v>
      </c>
      <c r="E2636">
        <f>MONTH(OrdersTable[[#This Row],[Order Date]])</f>
        <v>3</v>
      </c>
      <c r="F2636" t="s">
        <v>3611</v>
      </c>
      <c r="G2636" t="str">
        <f>IF(OrdersTable[[#This Row],[Order Date]]=_xlfn.MINIFS(Order_Date, Customer_ID, OrdersTable[[#This Row],[Customer ID]]), "New", "Repeat")</f>
        <v>New</v>
      </c>
      <c r="H2636" t="s">
        <v>59</v>
      </c>
      <c r="I2636" t="str">
        <f>INDEX(State!B:B,MATCH(OrdersTable[[#This Row],[State]],State!A:A,0))</f>
        <v>TN</v>
      </c>
      <c r="J2636" t="str">
        <f>INDEX(State!C:C,MATCH(OrdersTable[[#This Row],[State Code]],State!B:B,0))</f>
        <v>South</v>
      </c>
      <c r="K2636" t="s">
        <v>64</v>
      </c>
      <c r="L2636" t="s">
        <v>23</v>
      </c>
      <c r="M2636" t="s">
        <v>84</v>
      </c>
      <c r="N2636" t="str">
        <f>INDEX(Products!B:B,MATCH(OrdersTable[[#This Row],[Product ID]],Products!A:A,0))</f>
        <v>Cotton Bedsheet</v>
      </c>
      <c r="O2636" t="str">
        <f>INDEX(Products!C:C,MATCH(OrdersTable[[#This Row],[Product ID]],Products!A:A,0))</f>
        <v>Home &amp; Kitchen</v>
      </c>
      <c r="P2636">
        <v>1</v>
      </c>
      <c r="Q2636" s="5">
        <v>1299</v>
      </c>
      <c r="R2636" s="74">
        <v>0</v>
      </c>
      <c r="S2636" s="75">
        <f>OrdersTable[[#This Row],[Quantity]]*OrdersTable[[#This Row],[Unit Price]]</f>
        <v>1299</v>
      </c>
      <c r="T2636" s="5">
        <f>OrdersTable[[#This Row],[Gross Sale]]*OrdersTable[[#This Row],[Discount_Clean2]]</f>
        <v>0</v>
      </c>
      <c r="U2636" s="5">
        <f>OrdersTable[[#This Row],[Gross Sale]]-OrdersTable[[#This Row],[Discount Amount]]</f>
        <v>1299</v>
      </c>
      <c r="V2636" s="77">
        <f>INDEX(Products!E:E,MATCH(OrdersTable[[#This Row],[Product ID]],Products!A:A,0))</f>
        <v>585</v>
      </c>
      <c r="W2636" s="77">
        <f>OrdersTable[[#This Row],[Quantity]]*OrdersTable[[#This Row],[Unit Cost]]</f>
        <v>585</v>
      </c>
      <c r="X2636" s="77">
        <f>'Dropdown Lists'!$I$2*(1+OrdersTable[[#This Row],[Returned]])</f>
        <v>60</v>
      </c>
      <c r="Y2636" s="76">
        <f>OrdersTable[[#This Row],[Net Revenue]]-OrdersTable[[#This Row],[COGS]]-OrdersTable[[#This Row],[Shipping Cost]]</f>
        <v>654</v>
      </c>
      <c r="Z2636" s="78">
        <f>IFERROR(OrdersTable[[#This Row],[Profit]]/OrdersTable[[#This Row],[Net Revenue]],0)</f>
        <v>0.50346420323325636</v>
      </c>
      <c r="AA2636" t="s">
        <v>3495</v>
      </c>
      <c r="AB2636" s="79">
        <v>45735</v>
      </c>
      <c r="AC2636">
        <f>OrdersTable[[#This Row],[Delivery Date]]-OrdersTable[[#This Row],[Order Date]]</f>
        <v>2</v>
      </c>
      <c r="AD2636" t="str">
        <f>IF(OrdersTable[[#This Row],[Delivery Days]]&lt;=2, "Express (≤2d)", IF(OrdersTable[[#This Row],[Delivery Days]]&lt;=4, "Standard (3-4d)", "Delayed (5d+)"))</f>
        <v>Express (≤2d)</v>
      </c>
      <c r="AE2636">
        <v>4</v>
      </c>
      <c r="AF2636">
        <v>0</v>
      </c>
    </row>
    <row r="2637" spans="1:32" ht="15" x14ac:dyDescent="0.35">
      <c r="A2637" t="s">
        <v>5403</v>
      </c>
      <c r="B2637" s="1">
        <v>45734</v>
      </c>
      <c r="C2637">
        <f>YEAR(OrdersTable[[#This Row],[Order Date]])</f>
        <v>2025</v>
      </c>
      <c r="D2637" s="2">
        <f>DATE(YEAR(OrdersTable[[#This Row],[Order Date]]),MONTH(OrdersTable[[#This Row],[Order Date]]),1)</f>
        <v>45717</v>
      </c>
      <c r="E2637">
        <f>MONTH(OrdersTable[[#This Row],[Order Date]])</f>
        <v>3</v>
      </c>
      <c r="F2637" t="s">
        <v>5404</v>
      </c>
      <c r="G2637" t="str">
        <f>IF(OrdersTable[[#This Row],[Order Date]]=_xlfn.MINIFS(Order_Date, Customer_ID, OrdersTable[[#This Row],[Customer ID]]), "New", "Repeat")</f>
        <v>New</v>
      </c>
      <c r="H2637" t="s">
        <v>21</v>
      </c>
      <c r="I2637" t="str">
        <f>INDEX(State!B:B,MATCH(OrdersTable[[#This Row],[State]],State!A:A,0))</f>
        <v>PB</v>
      </c>
      <c r="J2637" t="str">
        <f>INDEX(State!C:C,MATCH(OrdersTable[[#This Row],[State Code]],State!B:B,0))</f>
        <v>North</v>
      </c>
      <c r="K2637" t="s">
        <v>22</v>
      </c>
      <c r="L2637" t="s">
        <v>23</v>
      </c>
      <c r="M2637" t="s">
        <v>84</v>
      </c>
      <c r="N2637" t="str">
        <f>INDEX(Products!B:B,MATCH(OrdersTable[[#This Row],[Product ID]],Products!A:A,0))</f>
        <v>Cotton Bedsheet</v>
      </c>
      <c r="O2637" t="str">
        <f>INDEX(Products!C:C,MATCH(OrdersTable[[#This Row],[Product ID]],Products!A:A,0))</f>
        <v>Home &amp; Kitchen</v>
      </c>
      <c r="P2637">
        <v>2</v>
      </c>
      <c r="Q2637" s="5">
        <v>1299</v>
      </c>
      <c r="R2637" s="74">
        <v>0</v>
      </c>
      <c r="S2637" s="75">
        <f>OrdersTable[[#This Row],[Quantity]]*OrdersTable[[#This Row],[Unit Price]]</f>
        <v>2598</v>
      </c>
      <c r="T2637" s="5">
        <f>OrdersTable[[#This Row],[Gross Sale]]*OrdersTable[[#This Row],[Discount_Clean2]]</f>
        <v>0</v>
      </c>
      <c r="U2637" s="5">
        <f>OrdersTable[[#This Row],[Gross Sale]]-OrdersTable[[#This Row],[Discount Amount]]</f>
        <v>2598</v>
      </c>
      <c r="V2637" s="77">
        <f>INDEX(Products!E:E,MATCH(OrdersTable[[#This Row],[Product ID]],Products!A:A,0))</f>
        <v>585</v>
      </c>
      <c r="W2637" s="77">
        <f>OrdersTable[[#This Row],[Quantity]]*OrdersTable[[#This Row],[Unit Cost]]</f>
        <v>1170</v>
      </c>
      <c r="X2637" s="77">
        <f>'Dropdown Lists'!$I$2*(1+OrdersTable[[#This Row],[Returned]])</f>
        <v>60</v>
      </c>
      <c r="Y2637" s="76">
        <f>OrdersTable[[#This Row],[Net Revenue]]-OrdersTable[[#This Row],[COGS]]-OrdersTable[[#This Row],[Shipping Cost]]</f>
        <v>1368</v>
      </c>
      <c r="Z2637" s="78">
        <f>IFERROR(OrdersTable[[#This Row],[Profit]]/OrdersTable[[#This Row],[Net Revenue]],0)</f>
        <v>0.52655889145496537</v>
      </c>
      <c r="AA2637" t="s">
        <v>2522</v>
      </c>
      <c r="AB2637" s="79">
        <v>45738</v>
      </c>
      <c r="AC2637">
        <f>OrdersTable[[#This Row],[Delivery Date]]-OrdersTable[[#This Row],[Order Date]]</f>
        <v>4</v>
      </c>
      <c r="AD2637" t="str">
        <f>IF(OrdersTable[[#This Row],[Delivery Days]]&lt;=2, "Express (≤2d)", IF(OrdersTable[[#This Row],[Delivery Days]]&lt;=4, "Standard (3-4d)", "Delayed (5d+)"))</f>
        <v>Standard (3-4d)</v>
      </c>
      <c r="AE2637">
        <v>3</v>
      </c>
      <c r="AF2637">
        <v>0</v>
      </c>
    </row>
    <row r="2638" spans="1:32" ht="15" x14ac:dyDescent="0.35">
      <c r="A2638" t="s">
        <v>2608</v>
      </c>
      <c r="B2638" s="1">
        <v>45734</v>
      </c>
      <c r="C2638">
        <f>YEAR(OrdersTable[[#This Row],[Order Date]])</f>
        <v>2025</v>
      </c>
      <c r="D2638" s="2">
        <f>DATE(YEAR(OrdersTable[[#This Row],[Order Date]]),MONTH(OrdersTable[[#This Row],[Order Date]]),1)</f>
        <v>45717</v>
      </c>
      <c r="E2638">
        <f>MONTH(OrdersTable[[#This Row],[Order Date]])</f>
        <v>3</v>
      </c>
      <c r="F2638" t="s">
        <v>1541</v>
      </c>
      <c r="G2638" t="str">
        <f>IF(OrdersTable[[#This Row],[Order Date]]=_xlfn.MINIFS(Order_Date, Customer_ID, OrdersTable[[#This Row],[Customer ID]]), "New", "Repeat")</f>
        <v>Repeat</v>
      </c>
      <c r="H2638" t="s">
        <v>76</v>
      </c>
      <c r="I2638" t="str">
        <f>INDEX(State!B:B,MATCH(OrdersTable[[#This Row],[State]],State!A:A,0))</f>
        <v>UP</v>
      </c>
      <c r="J2638" t="str">
        <f>INDEX(State!C:C,MATCH(OrdersTable[[#This Row],[State Code]],State!B:B,0))</f>
        <v>North</v>
      </c>
      <c r="K2638" t="s">
        <v>105</v>
      </c>
      <c r="L2638" t="s">
        <v>23</v>
      </c>
      <c r="M2638" t="s">
        <v>92</v>
      </c>
      <c r="N2638" t="str">
        <f>INDEX(Products!B:B,MATCH(OrdersTable[[#This Row],[Product ID]],Products!A:A,0))</f>
        <v>Kolhapuri Sandals</v>
      </c>
      <c r="O2638" t="str">
        <f>INDEX(Products!C:C,MATCH(OrdersTable[[#This Row],[Product ID]],Products!A:A,0))</f>
        <v>Footwear</v>
      </c>
      <c r="P2638">
        <v>1</v>
      </c>
      <c r="Q2638" s="5">
        <v>999</v>
      </c>
      <c r="R2638" s="74">
        <v>0.05</v>
      </c>
      <c r="S2638" s="75">
        <f>OrdersTable[[#This Row],[Quantity]]*OrdersTable[[#This Row],[Unit Price]]</f>
        <v>999</v>
      </c>
      <c r="T2638" s="5">
        <f>OrdersTable[[#This Row],[Gross Sale]]*OrdersTable[[#This Row],[Discount_Clean2]]</f>
        <v>49.95</v>
      </c>
      <c r="U2638" s="5">
        <f>OrdersTable[[#This Row],[Gross Sale]]-OrdersTable[[#This Row],[Discount Amount]]</f>
        <v>949.05</v>
      </c>
      <c r="V2638" s="77">
        <f>INDEX(Products!E:E,MATCH(OrdersTable[[#This Row],[Product ID]],Products!A:A,0))</f>
        <v>400</v>
      </c>
      <c r="W2638" s="77">
        <f>OrdersTable[[#This Row],[Quantity]]*OrdersTable[[#This Row],[Unit Cost]]</f>
        <v>400</v>
      </c>
      <c r="X2638" s="77">
        <f>'Dropdown Lists'!$I$2*(1+OrdersTable[[#This Row],[Returned]])</f>
        <v>60</v>
      </c>
      <c r="Y2638" s="76">
        <f>OrdersTable[[#This Row],[Net Revenue]]-OrdersTable[[#This Row],[COGS]]-OrdersTable[[#This Row],[Shipping Cost]]</f>
        <v>489.04999999999995</v>
      </c>
      <c r="Z2638" s="78">
        <f>IFERROR(OrdersTable[[#This Row],[Profit]]/OrdersTable[[#This Row],[Net Revenue]],0)</f>
        <v>0.5153047784626732</v>
      </c>
      <c r="AA2638" t="s">
        <v>2522</v>
      </c>
      <c r="AB2638" s="79">
        <v>45739</v>
      </c>
      <c r="AC2638">
        <f>OrdersTable[[#This Row],[Delivery Date]]-OrdersTable[[#This Row],[Order Date]]</f>
        <v>5</v>
      </c>
      <c r="AD2638" t="str">
        <f>IF(OrdersTable[[#This Row],[Delivery Days]]&lt;=2, "Express (≤2d)", IF(OrdersTable[[#This Row],[Delivery Days]]&lt;=4, "Standard (3-4d)", "Delayed (5d+)"))</f>
        <v>Delayed (5d+)</v>
      </c>
      <c r="AE2638">
        <v>5</v>
      </c>
      <c r="AF2638">
        <v>0</v>
      </c>
    </row>
    <row r="2639" spans="1:32" ht="15" x14ac:dyDescent="0.35">
      <c r="A2639" t="s">
        <v>6578</v>
      </c>
      <c r="B2639" s="1">
        <v>45734</v>
      </c>
      <c r="C2639">
        <f>YEAR(OrdersTable[[#This Row],[Order Date]])</f>
        <v>2025</v>
      </c>
      <c r="D2639" s="2">
        <f>DATE(YEAR(OrdersTable[[#This Row],[Order Date]]),MONTH(OrdersTable[[#This Row],[Order Date]]),1)</f>
        <v>45717</v>
      </c>
      <c r="E2639">
        <f>MONTH(OrdersTable[[#This Row],[Order Date]])</f>
        <v>3</v>
      </c>
      <c r="F2639" t="s">
        <v>3119</v>
      </c>
      <c r="G2639" t="str">
        <f>IF(OrdersTable[[#This Row],[Order Date]]=_xlfn.MINIFS(Order_Date, Customer_ID, OrdersTable[[#This Row],[Customer ID]]), "New", "Repeat")</f>
        <v>Repeat</v>
      </c>
      <c r="H2639" t="s">
        <v>27</v>
      </c>
      <c r="I2639" t="str">
        <f>INDEX(State!B:B,MATCH(OrdersTable[[#This Row],[State]],State!A:A,0))</f>
        <v>WB</v>
      </c>
      <c r="J2639" t="str">
        <f>INDEX(State!C:C,MATCH(OrdersTable[[#This Row],[State Code]],State!B:B,0))</f>
        <v>East</v>
      </c>
      <c r="K2639" t="s">
        <v>28</v>
      </c>
      <c r="L2639" t="s">
        <v>39</v>
      </c>
      <c r="M2639" t="s">
        <v>152</v>
      </c>
      <c r="N2639" t="str">
        <f>INDEX(Products!B:B,MATCH(OrdersTable[[#This Row],[Product ID]],Products!A:A,0))</f>
        <v>Green Tea (100 bags)</v>
      </c>
      <c r="O2639" t="str">
        <f>INDEX(Products!C:C,MATCH(OrdersTable[[#This Row],[Product ID]],Products!A:A,0))</f>
        <v>Wellness</v>
      </c>
      <c r="P2639">
        <v>3</v>
      </c>
      <c r="Q2639" s="5">
        <v>399</v>
      </c>
      <c r="R2639" s="74">
        <v>0.3</v>
      </c>
      <c r="S2639" s="75">
        <f>OrdersTable[[#This Row],[Quantity]]*OrdersTable[[#This Row],[Unit Price]]</f>
        <v>1197</v>
      </c>
      <c r="T2639" s="5">
        <f>OrdersTable[[#This Row],[Gross Sale]]*OrdersTable[[#This Row],[Discount_Clean2]]</f>
        <v>359.09999999999997</v>
      </c>
      <c r="U2639" s="5">
        <f>OrdersTable[[#This Row],[Gross Sale]]-OrdersTable[[#This Row],[Discount Amount]]</f>
        <v>837.90000000000009</v>
      </c>
      <c r="V2639" s="77">
        <f>INDEX(Products!E:E,MATCH(OrdersTable[[#This Row],[Product ID]],Products!A:A,0))</f>
        <v>128</v>
      </c>
      <c r="W2639" s="77">
        <f>OrdersTable[[#This Row],[Quantity]]*OrdersTable[[#This Row],[Unit Cost]]</f>
        <v>384</v>
      </c>
      <c r="X2639" s="77">
        <f>'Dropdown Lists'!$I$2*(1+OrdersTable[[#This Row],[Returned]])</f>
        <v>60</v>
      </c>
      <c r="Y2639" s="76">
        <f>OrdersTable[[#This Row],[Net Revenue]]-OrdersTable[[#This Row],[COGS]]-OrdersTable[[#This Row],[Shipping Cost]]</f>
        <v>393.90000000000009</v>
      </c>
      <c r="Z2639" s="78">
        <f>IFERROR(OrdersTable[[#This Row],[Profit]]/OrdersTable[[#This Row],[Net Revenue]],0)</f>
        <v>0.47010383100608671</v>
      </c>
      <c r="AA2639" t="s">
        <v>18</v>
      </c>
      <c r="AB2639" s="79">
        <v>45737</v>
      </c>
      <c r="AC2639">
        <f>OrdersTable[[#This Row],[Delivery Date]]-OrdersTable[[#This Row],[Order Date]]</f>
        <v>3</v>
      </c>
      <c r="AD2639" t="str">
        <f>IF(OrdersTable[[#This Row],[Delivery Days]]&lt;=2, "Express (≤2d)", IF(OrdersTable[[#This Row],[Delivery Days]]&lt;=4, "Standard (3-4d)", "Delayed (5d+)"))</f>
        <v>Standard (3-4d)</v>
      </c>
      <c r="AE2639">
        <v>5</v>
      </c>
      <c r="AF2639">
        <v>0</v>
      </c>
    </row>
    <row r="2640" spans="1:32" ht="15" x14ac:dyDescent="0.35">
      <c r="A2640" t="s">
        <v>973</v>
      </c>
      <c r="B2640" s="1">
        <v>45734</v>
      </c>
      <c r="C2640">
        <f>YEAR(OrdersTable[[#This Row],[Order Date]])</f>
        <v>2025</v>
      </c>
      <c r="D2640" s="2">
        <f>DATE(YEAR(OrdersTable[[#This Row],[Order Date]]),MONTH(OrdersTable[[#This Row],[Order Date]]),1)</f>
        <v>45717</v>
      </c>
      <c r="E2640">
        <f>MONTH(OrdersTable[[#This Row],[Order Date]])</f>
        <v>3</v>
      </c>
      <c r="F2640" t="s">
        <v>974</v>
      </c>
      <c r="G2640" t="str">
        <f>IF(OrdersTable[[#This Row],[Order Date]]=_xlfn.MINIFS(Order_Date, Customer_ID, OrdersTable[[#This Row],[Customer ID]]), "New", "Repeat")</f>
        <v>Repeat</v>
      </c>
      <c r="H2640" t="s">
        <v>71</v>
      </c>
      <c r="I2640" t="str">
        <f>INDEX(State!B:B,MATCH(OrdersTable[[#This Row],[State]],State!A:A,0))</f>
        <v>MH</v>
      </c>
      <c r="J2640" t="str">
        <f>INDEX(State!C:C,MATCH(OrdersTable[[#This Row],[State Code]],State!B:B,0))</f>
        <v>West</v>
      </c>
      <c r="K2640" t="s">
        <v>102</v>
      </c>
      <c r="L2640" t="s">
        <v>50</v>
      </c>
      <c r="M2640" t="s">
        <v>61</v>
      </c>
      <c r="N2640" t="str">
        <f>INDEX(Products!B:B,MATCH(OrdersTable[[#This Row],[Product ID]],Products!A:A,0))</f>
        <v>Multivitamin Gummies</v>
      </c>
      <c r="O2640" t="str">
        <f>INDEX(Products!C:C,MATCH(OrdersTable[[#This Row],[Product ID]],Products!A:A,0))</f>
        <v>Wellness</v>
      </c>
      <c r="P2640">
        <v>1</v>
      </c>
      <c r="Q2640" s="5">
        <v>699</v>
      </c>
      <c r="R2640" s="74">
        <v>0.2</v>
      </c>
      <c r="S2640" s="75">
        <f>OrdersTable[[#This Row],[Quantity]]*OrdersTable[[#This Row],[Unit Price]]</f>
        <v>699</v>
      </c>
      <c r="T2640" s="5">
        <f>OrdersTable[[#This Row],[Gross Sale]]*OrdersTable[[#This Row],[Discount_Clean2]]</f>
        <v>139.80000000000001</v>
      </c>
      <c r="U2640" s="5">
        <f>OrdersTable[[#This Row],[Gross Sale]]-OrdersTable[[#This Row],[Discount Amount]]</f>
        <v>559.20000000000005</v>
      </c>
      <c r="V2640" s="77">
        <f>INDEX(Products!E:E,MATCH(OrdersTable[[#This Row],[Product ID]],Products!A:A,0))</f>
        <v>238</v>
      </c>
      <c r="W2640" s="77">
        <f>OrdersTable[[#This Row],[Quantity]]*OrdersTable[[#This Row],[Unit Cost]]</f>
        <v>238</v>
      </c>
      <c r="X2640" s="77">
        <f>'Dropdown Lists'!$I$2*(1+OrdersTable[[#This Row],[Returned]])</f>
        <v>60</v>
      </c>
      <c r="Y2640" s="76">
        <f>OrdersTable[[#This Row],[Net Revenue]]-OrdersTable[[#This Row],[COGS]]-OrdersTable[[#This Row],[Shipping Cost]]</f>
        <v>261.20000000000005</v>
      </c>
      <c r="Z2640" s="78">
        <f>IFERROR(OrdersTable[[#This Row],[Profit]]/OrdersTable[[#This Row],[Net Revenue]],0)</f>
        <v>0.46709585121602293</v>
      </c>
      <c r="AA2640" t="s">
        <v>18</v>
      </c>
      <c r="AB2640" s="79">
        <v>45736</v>
      </c>
      <c r="AC2640">
        <f>OrdersTable[[#This Row],[Delivery Date]]-OrdersTable[[#This Row],[Order Date]]</f>
        <v>2</v>
      </c>
      <c r="AD2640" t="str">
        <f>IF(OrdersTable[[#This Row],[Delivery Days]]&lt;=2, "Express (≤2d)", IF(OrdersTable[[#This Row],[Delivery Days]]&lt;=4, "Standard (3-4d)", "Delayed (5d+)"))</f>
        <v>Express (≤2d)</v>
      </c>
      <c r="AE2640">
        <v>4</v>
      </c>
      <c r="AF2640">
        <v>0</v>
      </c>
    </row>
    <row r="2641" spans="1:32" ht="15" x14ac:dyDescent="0.35">
      <c r="A2641" t="s">
        <v>267</v>
      </c>
      <c r="B2641" s="1">
        <v>45734</v>
      </c>
      <c r="C2641">
        <f>YEAR(OrdersTable[[#This Row],[Order Date]])</f>
        <v>2025</v>
      </c>
      <c r="D2641" s="2">
        <f>DATE(YEAR(OrdersTable[[#This Row],[Order Date]]),MONTH(OrdersTable[[#This Row],[Order Date]]),1)</f>
        <v>45717</v>
      </c>
      <c r="E2641">
        <f>MONTH(OrdersTable[[#This Row],[Order Date]])</f>
        <v>3</v>
      </c>
      <c r="F2641" t="s">
        <v>268</v>
      </c>
      <c r="G2641" t="str">
        <f>IF(OrdersTable[[#This Row],[Order Date]]=_xlfn.MINIFS(Order_Date, Customer_ID, OrdersTable[[#This Row],[Customer ID]]), "New", "Repeat")</f>
        <v>Repeat</v>
      </c>
      <c r="H2641" t="s">
        <v>167</v>
      </c>
      <c r="I2641" t="str">
        <f>INDEX(State!B:B,MATCH(OrdersTable[[#This Row],[State]],State!A:A,0))</f>
        <v>KA</v>
      </c>
      <c r="J2641" t="str">
        <f>INDEX(State!C:C,MATCH(OrdersTable[[#This Row],[State Code]],State!B:B,0))</f>
        <v>South</v>
      </c>
      <c r="K2641" t="s">
        <v>168</v>
      </c>
      <c r="L2641" t="s">
        <v>65</v>
      </c>
      <c r="M2641" t="s">
        <v>24</v>
      </c>
      <c r="N2641" t="str">
        <f>INDEX(Products!B:B,MATCH(OrdersTable[[#This Row],[Product ID]],Products!A:A,0))</f>
        <v>Scented Candle Set</v>
      </c>
      <c r="O2641" t="str">
        <f>INDEX(Products!C:C,MATCH(OrdersTable[[#This Row],[Product ID]],Products!A:A,0))</f>
        <v>Home &amp; Kitchen</v>
      </c>
      <c r="P2641">
        <v>1</v>
      </c>
      <c r="Q2641" s="5">
        <v>699</v>
      </c>
      <c r="R2641" s="74">
        <v>0.2</v>
      </c>
      <c r="S2641" s="75">
        <f>OrdersTable[[#This Row],[Quantity]]*OrdersTable[[#This Row],[Unit Price]]</f>
        <v>699</v>
      </c>
      <c r="T2641" s="5">
        <f>OrdersTable[[#This Row],[Gross Sale]]*OrdersTable[[#This Row],[Discount_Clean2]]</f>
        <v>139.80000000000001</v>
      </c>
      <c r="U2641" s="5">
        <f>OrdersTable[[#This Row],[Gross Sale]]-OrdersTable[[#This Row],[Discount Amount]]</f>
        <v>559.20000000000005</v>
      </c>
      <c r="V2641" s="77">
        <f>INDEX(Products!E:E,MATCH(OrdersTable[[#This Row],[Product ID]],Products!A:A,0))</f>
        <v>245</v>
      </c>
      <c r="W2641" s="77">
        <f>OrdersTable[[#This Row],[Quantity]]*OrdersTable[[#This Row],[Unit Cost]]</f>
        <v>245</v>
      </c>
      <c r="X2641" s="77">
        <f>'Dropdown Lists'!$I$2*(1+OrdersTable[[#This Row],[Returned]])</f>
        <v>60</v>
      </c>
      <c r="Y2641" s="76">
        <f>OrdersTable[[#This Row],[Net Revenue]]-OrdersTable[[#This Row],[COGS]]-OrdersTable[[#This Row],[Shipping Cost]]</f>
        <v>254.20000000000005</v>
      </c>
      <c r="Z2641" s="78">
        <f>IFERROR(OrdersTable[[#This Row],[Profit]]/OrdersTable[[#This Row],[Net Revenue]],0)</f>
        <v>0.45457796852646642</v>
      </c>
      <c r="AA2641" t="s">
        <v>18</v>
      </c>
      <c r="AB2641" s="79">
        <v>45736</v>
      </c>
      <c r="AC2641">
        <f>OrdersTable[[#This Row],[Delivery Date]]-OrdersTable[[#This Row],[Order Date]]</f>
        <v>2</v>
      </c>
      <c r="AD2641" t="str">
        <f>IF(OrdersTable[[#This Row],[Delivery Days]]&lt;=2, "Express (≤2d)", IF(OrdersTable[[#This Row],[Delivery Days]]&lt;=4, "Standard (3-4d)", "Delayed (5d+)"))</f>
        <v>Express (≤2d)</v>
      </c>
      <c r="AE2641">
        <v>4</v>
      </c>
      <c r="AF2641">
        <v>0</v>
      </c>
    </row>
    <row r="2642" spans="1:32" ht="15" x14ac:dyDescent="0.35">
      <c r="A2642" t="s">
        <v>3442</v>
      </c>
      <c r="B2642" s="1">
        <v>45734</v>
      </c>
      <c r="C2642">
        <f>YEAR(OrdersTable[[#This Row],[Order Date]])</f>
        <v>2025</v>
      </c>
      <c r="D2642" s="2">
        <f>DATE(YEAR(OrdersTable[[#This Row],[Order Date]]),MONTH(OrdersTable[[#This Row],[Order Date]]),1)</f>
        <v>45717</v>
      </c>
      <c r="E2642">
        <f>MONTH(OrdersTable[[#This Row],[Order Date]])</f>
        <v>3</v>
      </c>
      <c r="F2642" t="s">
        <v>183</v>
      </c>
      <c r="G2642" t="str">
        <f>IF(OrdersTable[[#This Row],[Order Date]]=_xlfn.MINIFS(Order_Date, Customer_ID, OrdersTable[[#This Row],[Customer ID]]), "New", "Repeat")</f>
        <v>Repeat</v>
      </c>
      <c r="H2642" t="s">
        <v>275</v>
      </c>
      <c r="I2642" t="str">
        <f>INDEX(State!B:B,MATCH(OrdersTable[[#This Row],[State]],State!A:A,0))</f>
        <v>AP</v>
      </c>
      <c r="J2642" t="str">
        <f>INDEX(State!C:C,MATCH(OrdersTable[[#This Row],[State Code]],State!B:B,0))</f>
        <v>South</v>
      </c>
      <c r="K2642" t="s">
        <v>276</v>
      </c>
      <c r="L2642" t="s">
        <v>65</v>
      </c>
      <c r="M2642" t="s">
        <v>92</v>
      </c>
      <c r="N2642" t="str">
        <f>INDEX(Products!B:B,MATCH(OrdersTable[[#This Row],[Product ID]],Products!A:A,0))</f>
        <v>Kolhapuri Sandals</v>
      </c>
      <c r="O2642" t="str">
        <f>INDEX(Products!C:C,MATCH(OrdersTable[[#This Row],[Product ID]],Products!A:A,0))</f>
        <v>Footwear</v>
      </c>
      <c r="P2642">
        <v>1</v>
      </c>
      <c r="Q2642" s="5">
        <v>999</v>
      </c>
      <c r="R2642" s="74">
        <v>0.05</v>
      </c>
      <c r="S2642" s="75">
        <f>OrdersTable[[#This Row],[Quantity]]*OrdersTable[[#This Row],[Unit Price]]</f>
        <v>999</v>
      </c>
      <c r="T2642" s="5">
        <f>OrdersTable[[#This Row],[Gross Sale]]*OrdersTable[[#This Row],[Discount_Clean2]]</f>
        <v>49.95</v>
      </c>
      <c r="U2642" s="5">
        <f>OrdersTable[[#This Row],[Gross Sale]]-OrdersTable[[#This Row],[Discount Amount]]</f>
        <v>949.05</v>
      </c>
      <c r="V2642" s="77">
        <f>INDEX(Products!E:E,MATCH(OrdersTable[[#This Row],[Product ID]],Products!A:A,0))</f>
        <v>400</v>
      </c>
      <c r="W2642" s="77">
        <f>OrdersTable[[#This Row],[Quantity]]*OrdersTable[[#This Row],[Unit Cost]]</f>
        <v>400</v>
      </c>
      <c r="X2642" s="77">
        <f>'Dropdown Lists'!$I$2*(1+OrdersTable[[#This Row],[Returned]])</f>
        <v>60</v>
      </c>
      <c r="Y2642" s="76">
        <f>OrdersTable[[#This Row],[Net Revenue]]-OrdersTable[[#This Row],[COGS]]-OrdersTable[[#This Row],[Shipping Cost]]</f>
        <v>489.04999999999995</v>
      </c>
      <c r="Z2642" s="78">
        <f>IFERROR(OrdersTable[[#This Row],[Profit]]/OrdersTable[[#This Row],[Net Revenue]],0)</f>
        <v>0.5153047784626732</v>
      </c>
      <c r="AA2642" t="s">
        <v>2522</v>
      </c>
      <c r="AB2642" s="79">
        <v>45735</v>
      </c>
      <c r="AC2642">
        <f>OrdersTable[[#This Row],[Delivery Date]]-OrdersTable[[#This Row],[Order Date]]</f>
        <v>1</v>
      </c>
      <c r="AD2642" t="str">
        <f>IF(OrdersTable[[#This Row],[Delivery Days]]&lt;=2, "Express (≤2d)", IF(OrdersTable[[#This Row],[Delivery Days]]&lt;=4, "Standard (3-4d)", "Delayed (5d+)"))</f>
        <v>Express (≤2d)</v>
      </c>
      <c r="AE2642">
        <v>4</v>
      </c>
      <c r="AF2642">
        <v>0</v>
      </c>
    </row>
    <row r="2643" spans="1:32" ht="15" x14ac:dyDescent="0.35">
      <c r="A2643" t="s">
        <v>3612</v>
      </c>
      <c r="B2643" s="1">
        <v>45734</v>
      </c>
      <c r="C2643">
        <f>YEAR(OrdersTable[[#This Row],[Order Date]])</f>
        <v>2025</v>
      </c>
      <c r="D2643" s="2">
        <f>DATE(YEAR(OrdersTable[[#This Row],[Order Date]]),MONTH(OrdersTable[[#This Row],[Order Date]]),1)</f>
        <v>45717</v>
      </c>
      <c r="E2643">
        <f>MONTH(OrdersTable[[#This Row],[Order Date]])</f>
        <v>3</v>
      </c>
      <c r="F2643" t="s">
        <v>2137</v>
      </c>
      <c r="G2643" t="str">
        <f>IF(OrdersTable[[#This Row],[Order Date]]=_xlfn.MINIFS(Order_Date, Customer_ID, OrdersTable[[#This Row],[Customer ID]]), "New", "Repeat")</f>
        <v>Repeat</v>
      </c>
      <c r="H2643" t="s">
        <v>59</v>
      </c>
      <c r="I2643" t="str">
        <f>INDEX(State!B:B,MATCH(OrdersTable[[#This Row],[State]],State!A:A,0))</f>
        <v>TN</v>
      </c>
      <c r="J2643" t="str">
        <f>INDEX(State!C:C,MATCH(OrdersTable[[#This Row],[State Code]],State!B:B,0))</f>
        <v>South</v>
      </c>
      <c r="K2643" t="s">
        <v>64</v>
      </c>
      <c r="L2643" t="s">
        <v>23</v>
      </c>
      <c r="M2643" t="s">
        <v>34</v>
      </c>
      <c r="N2643" t="str">
        <f>INDEX(Products!B:B,MATCH(OrdersTable[[#This Row],[Product ID]],Products!A:A,0))</f>
        <v>Flip Flops</v>
      </c>
      <c r="O2643" t="str">
        <f>INDEX(Products!C:C,MATCH(OrdersTable[[#This Row],[Product ID]],Products!A:A,0))</f>
        <v>Footwear</v>
      </c>
      <c r="P2643">
        <v>1</v>
      </c>
      <c r="Q2643" s="5">
        <v>399</v>
      </c>
      <c r="R2643" s="74">
        <v>0.05</v>
      </c>
      <c r="S2643" s="75">
        <f>OrdersTable[[#This Row],[Quantity]]*OrdersTable[[#This Row],[Unit Price]]</f>
        <v>399</v>
      </c>
      <c r="T2643" s="5">
        <f>OrdersTable[[#This Row],[Gross Sale]]*OrdersTable[[#This Row],[Discount_Clean2]]</f>
        <v>19.950000000000003</v>
      </c>
      <c r="U2643" s="5">
        <f>OrdersTable[[#This Row],[Gross Sale]]-OrdersTable[[#This Row],[Discount Amount]]</f>
        <v>379.05</v>
      </c>
      <c r="V2643" s="77">
        <f>INDEX(Products!E:E,MATCH(OrdersTable[[#This Row],[Product ID]],Products!A:A,0))</f>
        <v>152</v>
      </c>
      <c r="W2643" s="77">
        <f>OrdersTable[[#This Row],[Quantity]]*OrdersTable[[#This Row],[Unit Cost]]</f>
        <v>152</v>
      </c>
      <c r="X2643" s="77">
        <f>'Dropdown Lists'!$I$2*(1+OrdersTable[[#This Row],[Returned]])</f>
        <v>60</v>
      </c>
      <c r="Y2643" s="76">
        <f>OrdersTable[[#This Row],[Net Revenue]]-OrdersTable[[#This Row],[COGS]]-OrdersTable[[#This Row],[Shipping Cost]]</f>
        <v>167.05</v>
      </c>
      <c r="Z2643" s="78">
        <f>IFERROR(OrdersTable[[#This Row],[Profit]]/OrdersTable[[#This Row],[Net Revenue]],0)</f>
        <v>0.44070703073473161</v>
      </c>
      <c r="AA2643" t="s">
        <v>3495</v>
      </c>
      <c r="AB2643" s="79">
        <v>45736</v>
      </c>
      <c r="AC2643">
        <f>OrdersTable[[#This Row],[Delivery Date]]-OrdersTable[[#This Row],[Order Date]]</f>
        <v>2</v>
      </c>
      <c r="AD2643" t="str">
        <f>IF(OrdersTable[[#This Row],[Delivery Days]]&lt;=2, "Express (≤2d)", IF(OrdersTable[[#This Row],[Delivery Days]]&lt;=4, "Standard (3-4d)", "Delayed (5d+)"))</f>
        <v>Express (≤2d)</v>
      </c>
      <c r="AE2643">
        <v>4</v>
      </c>
      <c r="AF2643">
        <v>0</v>
      </c>
    </row>
    <row r="2644" spans="1:32" ht="15" x14ac:dyDescent="0.35">
      <c r="A2644" t="s">
        <v>589</v>
      </c>
      <c r="B2644" s="1">
        <v>45735</v>
      </c>
      <c r="C2644">
        <f>YEAR(OrdersTable[[#This Row],[Order Date]])</f>
        <v>2025</v>
      </c>
      <c r="D2644" s="2">
        <f>DATE(YEAR(OrdersTable[[#This Row],[Order Date]]),MONTH(OrdersTable[[#This Row],[Order Date]]),1)</f>
        <v>45717</v>
      </c>
      <c r="E2644">
        <f>MONTH(OrdersTable[[#This Row],[Order Date]])</f>
        <v>3</v>
      </c>
      <c r="F2644" t="s">
        <v>590</v>
      </c>
      <c r="G2644" t="str">
        <f>IF(OrdersTable[[#This Row],[Order Date]]=_xlfn.MINIFS(Order_Date, Customer_ID, OrdersTable[[#This Row],[Customer ID]]), "New", "Repeat")</f>
        <v>New</v>
      </c>
      <c r="H2644" t="s">
        <v>21</v>
      </c>
      <c r="I2644" t="str">
        <f>INDEX(State!B:B,MATCH(OrdersTable[[#This Row],[State]],State!A:A,0))</f>
        <v>PB</v>
      </c>
      <c r="J2644" t="str">
        <f>INDEX(State!C:C,MATCH(OrdersTable[[#This Row],[State Code]],State!B:B,0))</f>
        <v>North</v>
      </c>
      <c r="K2644" t="s">
        <v>260</v>
      </c>
      <c r="L2644" t="s">
        <v>39</v>
      </c>
      <c r="M2644" t="s">
        <v>109</v>
      </c>
      <c r="N2644" t="str">
        <f>INDEX(Products!B:B,MATCH(OrdersTable[[#This Row],[Product ID]],Products!A:A,0))</f>
        <v>Onion Hair Oil</v>
      </c>
      <c r="O2644" t="str">
        <f>INDEX(Products!C:C,MATCH(OrdersTable[[#This Row],[Product ID]],Products!A:A,0))</f>
        <v>Haircare</v>
      </c>
      <c r="P2644">
        <v>1</v>
      </c>
      <c r="Q2644" s="5">
        <v>349</v>
      </c>
      <c r="R2644" s="74">
        <v>0.3</v>
      </c>
      <c r="S2644" s="75">
        <f>OrdersTable[[#This Row],[Quantity]]*OrdersTable[[#This Row],[Unit Price]]</f>
        <v>349</v>
      </c>
      <c r="T2644" s="5">
        <f>OrdersTable[[#This Row],[Gross Sale]]*OrdersTable[[#This Row],[Discount_Clean2]]</f>
        <v>104.7</v>
      </c>
      <c r="U2644" s="5">
        <f>OrdersTable[[#This Row],[Gross Sale]]-OrdersTable[[#This Row],[Discount Amount]]</f>
        <v>244.3</v>
      </c>
      <c r="V2644" s="77">
        <f>INDEX(Products!E:E,MATCH(OrdersTable[[#This Row],[Product ID]],Products!A:A,0))</f>
        <v>105</v>
      </c>
      <c r="W2644" s="77">
        <f>OrdersTable[[#This Row],[Quantity]]*OrdersTable[[#This Row],[Unit Cost]]</f>
        <v>105</v>
      </c>
      <c r="X2644" s="77">
        <f>'Dropdown Lists'!$I$2*(1+OrdersTable[[#This Row],[Returned]])</f>
        <v>60</v>
      </c>
      <c r="Y2644" s="76">
        <f>OrdersTable[[#This Row],[Net Revenue]]-OrdersTable[[#This Row],[COGS]]-OrdersTable[[#This Row],[Shipping Cost]]</f>
        <v>79.300000000000011</v>
      </c>
      <c r="Z2644" s="78">
        <f>IFERROR(OrdersTable[[#This Row],[Profit]]/OrdersTable[[#This Row],[Net Revenue]],0)</f>
        <v>0.32460090053213264</v>
      </c>
      <c r="AA2644" t="s">
        <v>18</v>
      </c>
      <c r="AB2644" s="79">
        <v>45741</v>
      </c>
      <c r="AC2644">
        <f>OrdersTable[[#This Row],[Delivery Date]]-OrdersTable[[#This Row],[Order Date]]</f>
        <v>6</v>
      </c>
      <c r="AD2644" t="str">
        <f>IF(OrdersTable[[#This Row],[Delivery Days]]&lt;=2, "Express (≤2d)", IF(OrdersTable[[#This Row],[Delivery Days]]&lt;=4, "Standard (3-4d)", "Delayed (5d+)"))</f>
        <v>Delayed (5d+)</v>
      </c>
      <c r="AE2644">
        <v>4</v>
      </c>
      <c r="AF2644">
        <v>0</v>
      </c>
    </row>
    <row r="2645" spans="1:32" ht="15" x14ac:dyDescent="0.35">
      <c r="A2645" t="s">
        <v>1714</v>
      </c>
      <c r="B2645" s="1">
        <v>45735</v>
      </c>
      <c r="C2645">
        <f>YEAR(OrdersTable[[#This Row],[Order Date]])</f>
        <v>2025</v>
      </c>
      <c r="D2645" s="2">
        <f>DATE(YEAR(OrdersTable[[#This Row],[Order Date]]),MONTH(OrdersTable[[#This Row],[Order Date]]),1)</f>
        <v>45717</v>
      </c>
      <c r="E2645">
        <f>MONTH(OrdersTable[[#This Row],[Order Date]])</f>
        <v>3</v>
      </c>
      <c r="F2645" t="s">
        <v>1715</v>
      </c>
      <c r="G2645" t="str">
        <f>IF(OrdersTable[[#This Row],[Order Date]]=_xlfn.MINIFS(Order_Date, Customer_ID, OrdersTable[[#This Row],[Customer ID]]), "New", "Repeat")</f>
        <v>New</v>
      </c>
      <c r="H2645" t="s">
        <v>167</v>
      </c>
      <c r="I2645" t="str">
        <f>INDEX(State!B:B,MATCH(OrdersTable[[#This Row],[State]],State!A:A,0))</f>
        <v>KA</v>
      </c>
      <c r="J2645" t="str">
        <f>INDEX(State!C:C,MATCH(OrdersTable[[#This Row],[State Code]],State!B:B,0))</f>
        <v>South</v>
      </c>
      <c r="K2645" t="s">
        <v>190</v>
      </c>
      <c r="L2645" t="s">
        <v>65</v>
      </c>
      <c r="M2645" t="s">
        <v>45</v>
      </c>
      <c r="N2645" t="str">
        <f>INDEX(Products!B:B,MATCH(OrdersTable[[#This Row],[Product ID]],Products!A:A,0))</f>
        <v>Argan Shampoo</v>
      </c>
      <c r="O2645" t="str">
        <f>INDEX(Products!C:C,MATCH(OrdersTable[[#This Row],[Product ID]],Products!A:A,0))</f>
        <v>Haircare</v>
      </c>
      <c r="P2645">
        <v>1</v>
      </c>
      <c r="Q2645" s="5">
        <v>449</v>
      </c>
      <c r="R2645" s="74">
        <v>0.1</v>
      </c>
      <c r="S2645" s="75">
        <f>OrdersTable[[#This Row],[Quantity]]*OrdersTable[[#This Row],[Unit Price]]</f>
        <v>449</v>
      </c>
      <c r="T2645" s="5">
        <f>OrdersTable[[#This Row],[Gross Sale]]*OrdersTable[[#This Row],[Discount_Clean2]]</f>
        <v>44.900000000000006</v>
      </c>
      <c r="U2645" s="5">
        <f>OrdersTable[[#This Row],[Gross Sale]]-OrdersTable[[#This Row],[Discount Amount]]</f>
        <v>404.1</v>
      </c>
      <c r="V2645" s="77">
        <f>INDEX(Products!E:E,MATCH(OrdersTable[[#This Row],[Product ID]],Products!A:A,0))</f>
        <v>148</v>
      </c>
      <c r="W2645" s="77">
        <f>OrdersTable[[#This Row],[Quantity]]*OrdersTable[[#This Row],[Unit Cost]]</f>
        <v>148</v>
      </c>
      <c r="X2645" s="77">
        <f>'Dropdown Lists'!$I$2*(1+OrdersTable[[#This Row],[Returned]])</f>
        <v>60</v>
      </c>
      <c r="Y2645" s="76">
        <f>OrdersTable[[#This Row],[Net Revenue]]-OrdersTable[[#This Row],[COGS]]-OrdersTable[[#This Row],[Shipping Cost]]</f>
        <v>196.10000000000002</v>
      </c>
      <c r="Z2645" s="78">
        <f>IFERROR(OrdersTable[[#This Row],[Profit]]/OrdersTable[[#This Row],[Net Revenue]],0)</f>
        <v>0.48527592180153428</v>
      </c>
      <c r="AA2645" t="s">
        <v>18</v>
      </c>
      <c r="AB2645" s="79">
        <v>45737</v>
      </c>
      <c r="AC2645">
        <f>OrdersTable[[#This Row],[Delivery Date]]-OrdersTable[[#This Row],[Order Date]]</f>
        <v>2</v>
      </c>
      <c r="AD2645" t="str">
        <f>IF(OrdersTable[[#This Row],[Delivery Days]]&lt;=2, "Express (≤2d)", IF(OrdersTable[[#This Row],[Delivery Days]]&lt;=4, "Standard (3-4d)", "Delayed (5d+)"))</f>
        <v>Express (≤2d)</v>
      </c>
      <c r="AF2645">
        <v>0</v>
      </c>
    </row>
    <row r="2646" spans="1:32" ht="15" x14ac:dyDescent="0.35">
      <c r="A2646" t="s">
        <v>5178</v>
      </c>
      <c r="B2646" s="1">
        <v>45736</v>
      </c>
      <c r="C2646">
        <f>YEAR(OrdersTable[[#This Row],[Order Date]])</f>
        <v>2025</v>
      </c>
      <c r="D2646" s="2">
        <f>DATE(YEAR(OrdersTable[[#This Row],[Order Date]]),MONTH(OrdersTable[[#This Row],[Order Date]]),1)</f>
        <v>45717</v>
      </c>
      <c r="E2646">
        <f>MONTH(OrdersTable[[#This Row],[Order Date]])</f>
        <v>3</v>
      </c>
      <c r="F2646" t="s">
        <v>325</v>
      </c>
      <c r="G2646" t="str">
        <f>IF(OrdersTable[[#This Row],[Order Date]]=_xlfn.MINIFS(Order_Date, Customer_ID, OrdersTable[[#This Row],[Customer ID]]), "New", "Repeat")</f>
        <v>New</v>
      </c>
      <c r="H2646" t="s">
        <v>158</v>
      </c>
      <c r="I2646" t="str">
        <f>INDEX(State!B:B,MATCH(OrdersTable[[#This Row],[State]],State!A:A,0))</f>
        <v>HP</v>
      </c>
      <c r="J2646" t="str">
        <f>INDEX(State!C:C,MATCH(OrdersTable[[#This Row],[State Code]],State!B:B,0))</f>
        <v>North</v>
      </c>
      <c r="K2646" t="s">
        <v>159</v>
      </c>
      <c r="L2646" t="s">
        <v>50</v>
      </c>
      <c r="M2646" t="s">
        <v>152</v>
      </c>
      <c r="N2646" t="str">
        <f>INDEX(Products!B:B,MATCH(OrdersTable[[#This Row],[Product ID]],Products!A:A,0))</f>
        <v>Green Tea (100 bags)</v>
      </c>
      <c r="O2646" t="str">
        <f>INDEX(Products!C:C,MATCH(OrdersTable[[#This Row],[Product ID]],Products!A:A,0))</f>
        <v>Wellness</v>
      </c>
      <c r="P2646">
        <v>2</v>
      </c>
      <c r="Q2646" s="5">
        <v>399</v>
      </c>
      <c r="R2646" s="74">
        <v>0.4</v>
      </c>
      <c r="S2646" s="75">
        <f>OrdersTable[[#This Row],[Quantity]]*OrdersTable[[#This Row],[Unit Price]]</f>
        <v>798</v>
      </c>
      <c r="T2646" s="5">
        <f>OrdersTable[[#This Row],[Gross Sale]]*OrdersTable[[#This Row],[Discount_Clean2]]</f>
        <v>319.20000000000005</v>
      </c>
      <c r="U2646" s="5">
        <f>OrdersTable[[#This Row],[Gross Sale]]-OrdersTable[[#This Row],[Discount Amount]]</f>
        <v>478.79999999999995</v>
      </c>
      <c r="V2646" s="77">
        <f>INDEX(Products!E:E,MATCH(OrdersTable[[#This Row],[Product ID]],Products!A:A,0))</f>
        <v>128</v>
      </c>
      <c r="W2646" s="77">
        <f>OrdersTable[[#This Row],[Quantity]]*OrdersTable[[#This Row],[Unit Cost]]</f>
        <v>256</v>
      </c>
      <c r="X2646" s="77">
        <f>'Dropdown Lists'!$I$2*(1+OrdersTable[[#This Row],[Returned]])</f>
        <v>120</v>
      </c>
      <c r="Y2646" s="76">
        <f>OrdersTable[[#This Row],[Net Revenue]]-OrdersTable[[#This Row],[COGS]]-OrdersTable[[#This Row],[Shipping Cost]]</f>
        <v>102.79999999999995</v>
      </c>
      <c r="Z2646" s="78">
        <f>IFERROR(OrdersTable[[#This Row],[Profit]]/OrdersTable[[#This Row],[Net Revenue]],0)</f>
        <v>0.21470342522974095</v>
      </c>
      <c r="AA2646" t="s">
        <v>3495</v>
      </c>
      <c r="AB2646" s="79">
        <v>45739</v>
      </c>
      <c r="AC2646">
        <f>OrdersTable[[#This Row],[Delivery Date]]-OrdersTable[[#This Row],[Order Date]]</f>
        <v>3</v>
      </c>
      <c r="AD2646" t="str">
        <f>IF(OrdersTable[[#This Row],[Delivery Days]]&lt;=2, "Express (≤2d)", IF(OrdersTable[[#This Row],[Delivery Days]]&lt;=4, "Standard (3-4d)", "Delayed (5d+)"))</f>
        <v>Standard (3-4d)</v>
      </c>
      <c r="AE2646">
        <v>4</v>
      </c>
      <c r="AF2646">
        <v>1</v>
      </c>
    </row>
    <row r="2647" spans="1:32" ht="15" x14ac:dyDescent="0.35">
      <c r="A2647" t="s">
        <v>2796</v>
      </c>
      <c r="B2647" s="1">
        <v>45736</v>
      </c>
      <c r="C2647">
        <f>YEAR(OrdersTable[[#This Row],[Order Date]])</f>
        <v>2025</v>
      </c>
      <c r="D2647" s="2">
        <f>DATE(YEAR(OrdersTable[[#This Row],[Order Date]]),MONTH(OrdersTable[[#This Row],[Order Date]]),1)</f>
        <v>45717</v>
      </c>
      <c r="E2647">
        <f>MONTH(OrdersTable[[#This Row],[Order Date]])</f>
        <v>3</v>
      </c>
      <c r="F2647" t="s">
        <v>843</v>
      </c>
      <c r="G2647" t="str">
        <f>IF(OrdersTable[[#This Row],[Order Date]]=_xlfn.MINIFS(Order_Date, Customer_ID, OrdersTable[[#This Row],[Customer ID]]), "New", "Repeat")</f>
        <v>Repeat</v>
      </c>
      <c r="H2647" t="s">
        <v>37</v>
      </c>
      <c r="I2647" t="str">
        <f>INDEX(State!B:B,MATCH(OrdersTable[[#This Row],[State]],State!A:A,0))</f>
        <v>GJ</v>
      </c>
      <c r="J2647" t="str">
        <f>INDEX(State!C:C,MATCH(OrdersTable[[#This Row],[State Code]],State!B:B,0))</f>
        <v>West</v>
      </c>
      <c r="K2647" t="s">
        <v>247</v>
      </c>
      <c r="L2647" t="s">
        <v>16</v>
      </c>
      <c r="M2647" t="s">
        <v>176</v>
      </c>
      <c r="N2647" t="str">
        <f>INDEX(Products!B:B,MATCH(OrdersTable[[#This Row],[Product ID]],Products!A:A,0))</f>
        <v>Denim Jacket</v>
      </c>
      <c r="O2647" t="str">
        <f>INDEX(Products!C:C,MATCH(OrdersTable[[#This Row],[Product ID]],Products!A:A,0))</f>
        <v>Apparel</v>
      </c>
      <c r="P2647">
        <v>1</v>
      </c>
      <c r="Q2647" s="5">
        <v>2499</v>
      </c>
      <c r="R2647" s="74">
        <v>0.1</v>
      </c>
      <c r="S2647" s="75">
        <f>OrdersTable[[#This Row],[Quantity]]*OrdersTable[[#This Row],[Unit Price]]</f>
        <v>2499</v>
      </c>
      <c r="T2647" s="5">
        <f>OrdersTable[[#This Row],[Gross Sale]]*OrdersTable[[#This Row],[Discount_Clean2]]</f>
        <v>249.9</v>
      </c>
      <c r="U2647" s="5">
        <f>OrdersTable[[#This Row],[Gross Sale]]-OrdersTable[[#This Row],[Discount Amount]]</f>
        <v>2249.1</v>
      </c>
      <c r="V2647" s="77">
        <f>INDEX(Products!E:E,MATCH(OrdersTable[[#This Row],[Product ID]],Products!A:A,0))</f>
        <v>1125</v>
      </c>
      <c r="W2647" s="77">
        <f>OrdersTable[[#This Row],[Quantity]]*OrdersTable[[#This Row],[Unit Cost]]</f>
        <v>1125</v>
      </c>
      <c r="X2647" s="77">
        <f>'Dropdown Lists'!$I$2*(1+OrdersTable[[#This Row],[Returned]])</f>
        <v>120</v>
      </c>
      <c r="Y2647" s="76">
        <f>OrdersTable[[#This Row],[Net Revenue]]-OrdersTable[[#This Row],[COGS]]-OrdersTable[[#This Row],[Shipping Cost]]</f>
        <v>1004.0999999999999</v>
      </c>
      <c r="Z2647" s="78">
        <f>IFERROR(OrdersTable[[#This Row],[Profit]]/OrdersTable[[#This Row],[Net Revenue]],0)</f>
        <v>0.44644524476457248</v>
      </c>
      <c r="AA2647" t="s">
        <v>2522</v>
      </c>
      <c r="AB2647" s="79">
        <v>45740</v>
      </c>
      <c r="AC2647">
        <f>OrdersTable[[#This Row],[Delivery Date]]-OrdersTable[[#This Row],[Order Date]]</f>
        <v>4</v>
      </c>
      <c r="AD2647" t="str">
        <f>IF(OrdersTable[[#This Row],[Delivery Days]]&lt;=2, "Express (≤2d)", IF(OrdersTable[[#This Row],[Delivery Days]]&lt;=4, "Standard (3-4d)", "Delayed (5d+)"))</f>
        <v>Standard (3-4d)</v>
      </c>
      <c r="AE2647">
        <v>3</v>
      </c>
      <c r="AF2647">
        <v>1</v>
      </c>
    </row>
    <row r="2648" spans="1:32" ht="15" x14ac:dyDescent="0.35">
      <c r="A2648" t="s">
        <v>1716</v>
      </c>
      <c r="B2648" s="1">
        <v>45736</v>
      </c>
      <c r="C2648">
        <f>YEAR(OrdersTable[[#This Row],[Order Date]])</f>
        <v>2025</v>
      </c>
      <c r="D2648" s="2">
        <f>DATE(YEAR(OrdersTable[[#This Row],[Order Date]]),MONTH(OrdersTable[[#This Row],[Order Date]]),1)</f>
        <v>45717</v>
      </c>
      <c r="E2648">
        <f>MONTH(OrdersTable[[#This Row],[Order Date]])</f>
        <v>3</v>
      </c>
      <c r="F2648" t="s">
        <v>1717</v>
      </c>
      <c r="G2648" t="str">
        <f>IF(OrdersTable[[#This Row],[Order Date]]=_xlfn.MINIFS(Order_Date, Customer_ID, OrdersTable[[#This Row],[Customer ID]]), "New", "Repeat")</f>
        <v>Repeat</v>
      </c>
      <c r="H2648" t="s">
        <v>27</v>
      </c>
      <c r="I2648" t="str">
        <f>INDEX(State!B:B,MATCH(OrdersTable[[#This Row],[State]],State!A:A,0))</f>
        <v>WB</v>
      </c>
      <c r="J2648" t="str">
        <f>INDEX(State!C:C,MATCH(OrdersTable[[#This Row],[State Code]],State!B:B,0))</f>
        <v>East</v>
      </c>
      <c r="K2648" t="s">
        <v>28</v>
      </c>
      <c r="L2648" t="s">
        <v>65</v>
      </c>
      <c r="M2648" t="s">
        <v>106</v>
      </c>
      <c r="N2648" t="str">
        <f>INDEX(Products!B:B,MATCH(OrdersTable[[#This Row],[Product ID]],Products!A:A,0))</f>
        <v>Keratin Hair Mask</v>
      </c>
      <c r="O2648" t="str">
        <f>INDEX(Products!C:C,MATCH(OrdersTable[[#This Row],[Product ID]],Products!A:A,0))</f>
        <v>Haircare</v>
      </c>
      <c r="P2648">
        <v>1</v>
      </c>
      <c r="Q2648" s="5">
        <v>549</v>
      </c>
      <c r="R2648" s="74">
        <v>0.2</v>
      </c>
      <c r="S2648" s="75">
        <f>OrdersTable[[#This Row],[Quantity]]*OrdersTable[[#This Row],[Unit Price]]</f>
        <v>549</v>
      </c>
      <c r="T2648" s="5">
        <f>OrdersTable[[#This Row],[Gross Sale]]*OrdersTable[[#This Row],[Discount_Clean2]]</f>
        <v>109.80000000000001</v>
      </c>
      <c r="U2648" s="5">
        <f>OrdersTable[[#This Row],[Gross Sale]]-OrdersTable[[#This Row],[Discount Amount]]</f>
        <v>439.2</v>
      </c>
      <c r="V2648" s="77">
        <f>INDEX(Products!E:E,MATCH(OrdersTable[[#This Row],[Product ID]],Products!A:A,0))</f>
        <v>170</v>
      </c>
      <c r="W2648" s="77">
        <f>OrdersTable[[#This Row],[Quantity]]*OrdersTable[[#This Row],[Unit Cost]]</f>
        <v>170</v>
      </c>
      <c r="X2648" s="77">
        <f>'Dropdown Lists'!$I$2*(1+OrdersTable[[#This Row],[Returned]])</f>
        <v>60</v>
      </c>
      <c r="Y2648" s="76">
        <f>OrdersTable[[#This Row],[Net Revenue]]-OrdersTable[[#This Row],[COGS]]-OrdersTable[[#This Row],[Shipping Cost]]</f>
        <v>209.2</v>
      </c>
      <c r="Z2648" s="78">
        <f>IFERROR(OrdersTable[[#This Row],[Profit]]/OrdersTable[[#This Row],[Net Revenue]],0)</f>
        <v>0.47632058287795992</v>
      </c>
      <c r="AA2648" t="s">
        <v>18</v>
      </c>
      <c r="AB2648" s="79">
        <v>45739</v>
      </c>
      <c r="AC2648">
        <f>OrdersTable[[#This Row],[Delivery Date]]-OrdersTable[[#This Row],[Order Date]]</f>
        <v>3</v>
      </c>
      <c r="AD2648" t="str">
        <f>IF(OrdersTable[[#This Row],[Delivery Days]]&lt;=2, "Express (≤2d)", IF(OrdersTable[[#This Row],[Delivery Days]]&lt;=4, "Standard (3-4d)", "Delayed (5d+)"))</f>
        <v>Standard (3-4d)</v>
      </c>
      <c r="AF2648">
        <v>0</v>
      </c>
    </row>
    <row r="2649" spans="1:32" ht="15" x14ac:dyDescent="0.35">
      <c r="A2649" t="s">
        <v>4990</v>
      </c>
      <c r="B2649" s="1">
        <v>45736</v>
      </c>
      <c r="C2649">
        <f>YEAR(OrdersTable[[#This Row],[Order Date]])</f>
        <v>2025</v>
      </c>
      <c r="D2649" s="2">
        <f>DATE(YEAR(OrdersTable[[#This Row],[Order Date]]),MONTH(OrdersTable[[#This Row],[Order Date]]),1)</f>
        <v>45717</v>
      </c>
      <c r="E2649">
        <f>MONTH(OrdersTable[[#This Row],[Order Date]])</f>
        <v>3</v>
      </c>
      <c r="F2649" t="s">
        <v>4824</v>
      </c>
      <c r="G2649" t="str">
        <f>IF(OrdersTable[[#This Row],[Order Date]]=_xlfn.MINIFS(Order_Date, Customer_ID, OrdersTable[[#This Row],[Customer ID]]), "New", "Repeat")</f>
        <v>Repeat</v>
      </c>
      <c r="H2649" t="s">
        <v>95</v>
      </c>
      <c r="I2649" t="str">
        <f>INDEX(State!B:B,MATCH(OrdersTable[[#This Row],[State]],State!A:A,0))</f>
        <v>TG</v>
      </c>
      <c r="J2649" t="str">
        <f>INDEX(State!C:C,MATCH(OrdersTable[[#This Row],[State Code]],State!B:B,0))</f>
        <v>South</v>
      </c>
      <c r="K2649" t="s">
        <v>96</v>
      </c>
      <c r="L2649" t="s">
        <v>50</v>
      </c>
      <c r="M2649" t="s">
        <v>45</v>
      </c>
      <c r="N2649" t="str">
        <f>INDEX(Products!B:B,MATCH(OrdersTable[[#This Row],[Product ID]],Products!A:A,0))</f>
        <v>Argan Shampoo</v>
      </c>
      <c r="O2649" t="str">
        <f>INDEX(Products!C:C,MATCH(OrdersTable[[#This Row],[Product ID]],Products!A:A,0))</f>
        <v>Haircare</v>
      </c>
      <c r="P2649">
        <v>2</v>
      </c>
      <c r="Q2649" s="5">
        <v>449</v>
      </c>
      <c r="R2649" s="74">
        <v>0</v>
      </c>
      <c r="S2649" s="75">
        <f>OrdersTable[[#This Row],[Quantity]]*OrdersTable[[#This Row],[Unit Price]]</f>
        <v>898</v>
      </c>
      <c r="T2649" s="5">
        <f>OrdersTable[[#This Row],[Gross Sale]]*OrdersTable[[#This Row],[Discount_Clean2]]</f>
        <v>0</v>
      </c>
      <c r="U2649" s="5">
        <f>OrdersTable[[#This Row],[Gross Sale]]-OrdersTable[[#This Row],[Discount Amount]]</f>
        <v>898</v>
      </c>
      <c r="V2649" s="77">
        <f>INDEX(Products!E:E,MATCH(OrdersTable[[#This Row],[Product ID]],Products!A:A,0))</f>
        <v>148</v>
      </c>
      <c r="W2649" s="77">
        <f>OrdersTable[[#This Row],[Quantity]]*OrdersTable[[#This Row],[Unit Cost]]</f>
        <v>296</v>
      </c>
      <c r="X2649" s="77">
        <f>'Dropdown Lists'!$I$2*(1+OrdersTable[[#This Row],[Returned]])</f>
        <v>60</v>
      </c>
      <c r="Y2649" s="76">
        <f>OrdersTable[[#This Row],[Net Revenue]]-OrdersTable[[#This Row],[COGS]]-OrdersTable[[#This Row],[Shipping Cost]]</f>
        <v>542</v>
      </c>
      <c r="Z2649" s="78">
        <f>IFERROR(OrdersTable[[#This Row],[Profit]]/OrdersTable[[#This Row],[Net Revenue]],0)</f>
        <v>0.60356347438752789</v>
      </c>
      <c r="AA2649" t="s">
        <v>4074</v>
      </c>
      <c r="AB2649" s="79">
        <v>45737</v>
      </c>
      <c r="AC2649">
        <f>OrdersTable[[#This Row],[Delivery Date]]-OrdersTable[[#This Row],[Order Date]]</f>
        <v>1</v>
      </c>
      <c r="AD2649" t="str">
        <f>IF(OrdersTable[[#This Row],[Delivery Days]]&lt;=2, "Express (≤2d)", IF(OrdersTable[[#This Row],[Delivery Days]]&lt;=4, "Standard (3-4d)", "Delayed (5d+)"))</f>
        <v>Express (≤2d)</v>
      </c>
      <c r="AF2649">
        <v>0</v>
      </c>
    </row>
    <row r="2650" spans="1:32" ht="15" x14ac:dyDescent="0.35">
      <c r="A2650" t="s">
        <v>3613</v>
      </c>
      <c r="B2650" s="1">
        <v>45736</v>
      </c>
      <c r="C2650">
        <f>YEAR(OrdersTable[[#This Row],[Order Date]])</f>
        <v>2025</v>
      </c>
      <c r="D2650" s="2">
        <f>DATE(YEAR(OrdersTable[[#This Row],[Order Date]]),MONTH(OrdersTable[[#This Row],[Order Date]]),1)</f>
        <v>45717</v>
      </c>
      <c r="E2650">
        <f>MONTH(OrdersTable[[#This Row],[Order Date]])</f>
        <v>3</v>
      </c>
      <c r="F2650" t="s">
        <v>3614</v>
      </c>
      <c r="G2650" t="str">
        <f>IF(OrdersTable[[#This Row],[Order Date]]=_xlfn.MINIFS(Order_Date, Customer_ID, OrdersTable[[#This Row],[Customer ID]]), "New", "Repeat")</f>
        <v>New</v>
      </c>
      <c r="H2650" t="s">
        <v>95</v>
      </c>
      <c r="I2650" t="str">
        <f>INDEX(State!B:B,MATCH(OrdersTable[[#This Row],[State]],State!A:A,0))</f>
        <v>TG</v>
      </c>
      <c r="J2650" t="str">
        <f>INDEX(State!C:C,MATCH(OrdersTable[[#This Row],[State Code]],State!B:B,0))</f>
        <v>South</v>
      </c>
      <c r="K2650" t="s">
        <v>96</v>
      </c>
      <c r="L2650" t="s">
        <v>23</v>
      </c>
      <c r="M2650" t="s">
        <v>24</v>
      </c>
      <c r="N2650" t="str">
        <f>INDEX(Products!B:B,MATCH(OrdersTable[[#This Row],[Product ID]],Products!A:A,0))</f>
        <v>Scented Candle Set</v>
      </c>
      <c r="O2650" t="str">
        <f>INDEX(Products!C:C,MATCH(OrdersTable[[#This Row],[Product ID]],Products!A:A,0))</f>
        <v>Home &amp; Kitchen</v>
      </c>
      <c r="P2650">
        <v>1</v>
      </c>
      <c r="Q2650" s="5">
        <v>699</v>
      </c>
      <c r="R2650" s="74">
        <v>0.3</v>
      </c>
      <c r="S2650" s="75">
        <f>OrdersTable[[#This Row],[Quantity]]*OrdersTable[[#This Row],[Unit Price]]</f>
        <v>699</v>
      </c>
      <c r="T2650" s="5">
        <f>OrdersTable[[#This Row],[Gross Sale]]*OrdersTable[[#This Row],[Discount_Clean2]]</f>
        <v>209.7</v>
      </c>
      <c r="U2650" s="5">
        <f>OrdersTable[[#This Row],[Gross Sale]]-OrdersTable[[#This Row],[Discount Amount]]</f>
        <v>489.3</v>
      </c>
      <c r="V2650" s="77">
        <f>INDEX(Products!E:E,MATCH(OrdersTable[[#This Row],[Product ID]],Products!A:A,0))</f>
        <v>245</v>
      </c>
      <c r="W2650" s="77">
        <f>OrdersTable[[#This Row],[Quantity]]*OrdersTable[[#This Row],[Unit Cost]]</f>
        <v>245</v>
      </c>
      <c r="X2650" s="77">
        <f>'Dropdown Lists'!$I$2*(1+OrdersTable[[#This Row],[Returned]])</f>
        <v>60</v>
      </c>
      <c r="Y2650" s="76">
        <f>OrdersTable[[#This Row],[Net Revenue]]-OrdersTable[[#This Row],[COGS]]-OrdersTable[[#This Row],[Shipping Cost]]</f>
        <v>184.3</v>
      </c>
      <c r="Z2650" s="78">
        <f>IFERROR(OrdersTable[[#This Row],[Profit]]/OrdersTable[[#This Row],[Net Revenue]],0)</f>
        <v>0.37666053545881872</v>
      </c>
      <c r="AA2650" t="s">
        <v>3495</v>
      </c>
      <c r="AB2650" s="79">
        <v>45739</v>
      </c>
      <c r="AC2650">
        <f>OrdersTable[[#This Row],[Delivery Date]]-OrdersTable[[#This Row],[Order Date]]</f>
        <v>3</v>
      </c>
      <c r="AD2650" t="str">
        <f>IF(OrdersTable[[#This Row],[Delivery Days]]&lt;=2, "Express (≤2d)", IF(OrdersTable[[#This Row],[Delivery Days]]&lt;=4, "Standard (3-4d)", "Delayed (5d+)"))</f>
        <v>Standard (3-4d)</v>
      </c>
      <c r="AE2650">
        <v>4</v>
      </c>
      <c r="AF2650">
        <v>0</v>
      </c>
    </row>
    <row r="2651" spans="1:32" ht="15" x14ac:dyDescent="0.35">
      <c r="A2651" t="s">
        <v>975</v>
      </c>
      <c r="B2651" s="1">
        <v>45736</v>
      </c>
      <c r="C2651">
        <f>YEAR(OrdersTable[[#This Row],[Order Date]])</f>
        <v>2025</v>
      </c>
      <c r="D2651" s="2">
        <f>DATE(YEAR(OrdersTable[[#This Row],[Order Date]]),MONTH(OrdersTable[[#This Row],[Order Date]]),1)</f>
        <v>45717</v>
      </c>
      <c r="E2651">
        <f>MONTH(OrdersTable[[#This Row],[Order Date]])</f>
        <v>3</v>
      </c>
      <c r="F2651" t="s">
        <v>976</v>
      </c>
      <c r="G2651" t="str">
        <f>IF(OrdersTable[[#This Row],[Order Date]]=_xlfn.MINIFS(Order_Date, Customer_ID, OrdersTable[[#This Row],[Customer ID]]), "New", "Repeat")</f>
        <v>Repeat</v>
      </c>
      <c r="H2651" t="s">
        <v>59</v>
      </c>
      <c r="I2651" t="str">
        <f>INDEX(State!B:B,MATCH(OrdersTable[[#This Row],[State]],State!A:A,0))</f>
        <v>TN</v>
      </c>
      <c r="J2651" t="str">
        <f>INDEX(State!C:C,MATCH(OrdersTable[[#This Row],[State Code]],State!B:B,0))</f>
        <v>South</v>
      </c>
      <c r="K2651" t="s">
        <v>60</v>
      </c>
      <c r="L2651" t="s">
        <v>65</v>
      </c>
      <c r="M2651" t="s">
        <v>205</v>
      </c>
      <c r="N2651" t="str">
        <f>INDEX(Products!B:B,MATCH(OrdersTable[[#This Row],[Product ID]],Products!A:A,0))</f>
        <v>Running Shoes</v>
      </c>
      <c r="O2651" t="str">
        <f>INDEX(Products!C:C,MATCH(OrdersTable[[#This Row],[Product ID]],Products!A:A,0))</f>
        <v>Footwear</v>
      </c>
      <c r="P2651">
        <v>1</v>
      </c>
      <c r="Q2651" s="5">
        <v>2999</v>
      </c>
      <c r="R2651" s="74">
        <v>0.15</v>
      </c>
      <c r="S2651" s="75">
        <f>OrdersTable[[#This Row],[Quantity]]*OrdersTable[[#This Row],[Unit Price]]</f>
        <v>2999</v>
      </c>
      <c r="T2651" s="5">
        <f>OrdersTable[[#This Row],[Gross Sale]]*OrdersTable[[#This Row],[Discount_Clean2]]</f>
        <v>449.84999999999997</v>
      </c>
      <c r="U2651" s="5">
        <f>OrdersTable[[#This Row],[Gross Sale]]-OrdersTable[[#This Row],[Discount Amount]]</f>
        <v>2549.15</v>
      </c>
      <c r="V2651" s="77">
        <f>INDEX(Products!E:E,MATCH(OrdersTable[[#This Row],[Product ID]],Products!A:A,0))</f>
        <v>1440</v>
      </c>
      <c r="W2651" s="77">
        <f>OrdersTable[[#This Row],[Quantity]]*OrdersTable[[#This Row],[Unit Cost]]</f>
        <v>1440</v>
      </c>
      <c r="X2651" s="77">
        <f>'Dropdown Lists'!$I$2*(1+OrdersTable[[#This Row],[Returned]])</f>
        <v>60</v>
      </c>
      <c r="Y2651" s="76">
        <f>OrdersTable[[#This Row],[Net Revenue]]-OrdersTable[[#This Row],[COGS]]-OrdersTable[[#This Row],[Shipping Cost]]</f>
        <v>1049.1500000000001</v>
      </c>
      <c r="Z2651" s="78">
        <f>IFERROR(OrdersTable[[#This Row],[Profit]]/OrdersTable[[#This Row],[Net Revenue]],0)</f>
        <v>0.41156856206970954</v>
      </c>
      <c r="AA2651" t="s">
        <v>18</v>
      </c>
      <c r="AB2651" s="79">
        <v>45737</v>
      </c>
      <c r="AC2651">
        <f>OrdersTable[[#This Row],[Delivery Date]]-OrdersTable[[#This Row],[Order Date]]</f>
        <v>1</v>
      </c>
      <c r="AD2651" t="str">
        <f>IF(OrdersTable[[#This Row],[Delivery Days]]&lt;=2, "Express (≤2d)", IF(OrdersTable[[#This Row],[Delivery Days]]&lt;=4, "Standard (3-4d)", "Delayed (5d+)"))</f>
        <v>Express (≤2d)</v>
      </c>
      <c r="AE2651">
        <v>4</v>
      </c>
      <c r="AF2651">
        <v>0</v>
      </c>
    </row>
    <row r="2652" spans="1:32" ht="15" x14ac:dyDescent="0.35">
      <c r="A2652" t="s">
        <v>5179</v>
      </c>
      <c r="B2652" s="1">
        <v>45737</v>
      </c>
      <c r="C2652">
        <f>YEAR(OrdersTable[[#This Row],[Order Date]])</f>
        <v>2025</v>
      </c>
      <c r="D2652" s="2">
        <f>DATE(YEAR(OrdersTable[[#This Row],[Order Date]]),MONTH(OrdersTable[[#This Row],[Order Date]]),1)</f>
        <v>45717</v>
      </c>
      <c r="E2652">
        <f>MONTH(OrdersTable[[#This Row],[Order Date]])</f>
        <v>3</v>
      </c>
      <c r="F2652" t="s">
        <v>4821</v>
      </c>
      <c r="G2652" t="str">
        <f>IF(OrdersTable[[#This Row],[Order Date]]=_xlfn.MINIFS(Order_Date, Customer_ID, OrdersTable[[#This Row],[Customer ID]]), "New", "Repeat")</f>
        <v>Repeat</v>
      </c>
      <c r="H2652" t="s">
        <v>37</v>
      </c>
      <c r="I2652" t="str">
        <f>INDEX(State!B:B,MATCH(OrdersTable[[#This Row],[State]],State!A:A,0))</f>
        <v>GJ</v>
      </c>
      <c r="J2652" t="str">
        <f>INDEX(State!C:C,MATCH(OrdersTable[[#This Row],[State Code]],State!B:B,0))</f>
        <v>West</v>
      </c>
      <c r="K2652" t="s">
        <v>38</v>
      </c>
      <c r="L2652" t="s">
        <v>39</v>
      </c>
      <c r="M2652" t="s">
        <v>84</v>
      </c>
      <c r="N2652" t="str">
        <f>INDEX(Products!B:B,MATCH(OrdersTable[[#This Row],[Product ID]],Products!A:A,0))</f>
        <v>Cotton Bedsheet</v>
      </c>
      <c r="O2652" t="str">
        <f>INDEX(Products!C:C,MATCH(OrdersTable[[#This Row],[Product ID]],Products!A:A,0))</f>
        <v>Home &amp; Kitchen</v>
      </c>
      <c r="P2652">
        <v>2</v>
      </c>
      <c r="Q2652" s="5">
        <v>1299</v>
      </c>
      <c r="R2652" s="74">
        <v>0</v>
      </c>
      <c r="S2652" s="75">
        <f>OrdersTable[[#This Row],[Quantity]]*OrdersTable[[#This Row],[Unit Price]]</f>
        <v>2598</v>
      </c>
      <c r="T2652" s="5">
        <f>OrdersTable[[#This Row],[Gross Sale]]*OrdersTable[[#This Row],[Discount_Clean2]]</f>
        <v>0</v>
      </c>
      <c r="U2652" s="5">
        <f>OrdersTable[[#This Row],[Gross Sale]]-OrdersTable[[#This Row],[Discount Amount]]</f>
        <v>2598</v>
      </c>
      <c r="V2652" s="77">
        <f>INDEX(Products!E:E,MATCH(OrdersTable[[#This Row],[Product ID]],Products!A:A,0))</f>
        <v>585</v>
      </c>
      <c r="W2652" s="77">
        <f>OrdersTable[[#This Row],[Quantity]]*OrdersTable[[#This Row],[Unit Cost]]</f>
        <v>1170</v>
      </c>
      <c r="X2652" s="77">
        <f>'Dropdown Lists'!$I$2*(1+OrdersTable[[#This Row],[Returned]])</f>
        <v>60</v>
      </c>
      <c r="Y2652" s="76">
        <f>OrdersTable[[#This Row],[Net Revenue]]-OrdersTable[[#This Row],[COGS]]-OrdersTable[[#This Row],[Shipping Cost]]</f>
        <v>1368</v>
      </c>
      <c r="Z2652" s="78">
        <f>IFERROR(OrdersTable[[#This Row],[Profit]]/OrdersTable[[#This Row],[Net Revenue]],0)</f>
        <v>0.52655889145496537</v>
      </c>
      <c r="AA2652" t="s">
        <v>3495</v>
      </c>
      <c r="AB2652" s="79">
        <v>45743</v>
      </c>
      <c r="AC2652">
        <f>OrdersTable[[#This Row],[Delivery Date]]-OrdersTable[[#This Row],[Order Date]]</f>
        <v>6</v>
      </c>
      <c r="AD2652" t="str">
        <f>IF(OrdersTable[[#This Row],[Delivery Days]]&lt;=2, "Express (≤2d)", IF(OrdersTable[[#This Row],[Delivery Days]]&lt;=4, "Standard (3-4d)", "Delayed (5d+)"))</f>
        <v>Delayed (5d+)</v>
      </c>
      <c r="AE2652">
        <v>4</v>
      </c>
      <c r="AF2652">
        <v>0</v>
      </c>
    </row>
    <row r="2653" spans="1:32" ht="15" x14ac:dyDescent="0.35">
      <c r="A2653" t="s">
        <v>591</v>
      </c>
      <c r="B2653" s="1">
        <v>45737</v>
      </c>
      <c r="C2653">
        <f>YEAR(OrdersTable[[#This Row],[Order Date]])</f>
        <v>2025</v>
      </c>
      <c r="D2653" s="2">
        <f>DATE(YEAR(OrdersTable[[#This Row],[Order Date]]),MONTH(OrdersTable[[#This Row],[Order Date]]),1)</f>
        <v>45717</v>
      </c>
      <c r="E2653">
        <f>MONTH(OrdersTable[[#This Row],[Order Date]])</f>
        <v>3</v>
      </c>
      <c r="F2653" t="s">
        <v>407</v>
      </c>
      <c r="G2653" t="str">
        <f>IF(OrdersTable[[#This Row],[Order Date]]=_xlfn.MINIFS(Order_Date, Customer_ID, OrdersTable[[#This Row],[Customer ID]]), "New", "Repeat")</f>
        <v>Repeat</v>
      </c>
      <c r="H2653" t="s">
        <v>95</v>
      </c>
      <c r="I2653" t="str">
        <f>INDEX(State!B:B,MATCH(OrdersTable[[#This Row],[State]],State!A:A,0))</f>
        <v>TG</v>
      </c>
      <c r="J2653" t="str">
        <f>INDEX(State!C:C,MATCH(OrdersTable[[#This Row],[State Code]],State!B:B,0))</f>
        <v>South</v>
      </c>
      <c r="K2653" t="s">
        <v>96</v>
      </c>
      <c r="L2653" t="s">
        <v>50</v>
      </c>
      <c r="M2653" t="s">
        <v>109</v>
      </c>
      <c r="N2653" t="str">
        <f>INDEX(Products!B:B,MATCH(OrdersTable[[#This Row],[Product ID]],Products!A:A,0))</f>
        <v>Onion Hair Oil</v>
      </c>
      <c r="O2653" t="str">
        <f>INDEX(Products!C:C,MATCH(OrdersTable[[#This Row],[Product ID]],Products!A:A,0))</f>
        <v>Haircare</v>
      </c>
      <c r="P2653">
        <v>1</v>
      </c>
      <c r="Q2653" s="5">
        <v>349</v>
      </c>
      <c r="R2653" s="74">
        <v>0.3</v>
      </c>
      <c r="S2653" s="75">
        <f>OrdersTable[[#This Row],[Quantity]]*OrdersTable[[#This Row],[Unit Price]]</f>
        <v>349</v>
      </c>
      <c r="T2653" s="5">
        <f>OrdersTable[[#This Row],[Gross Sale]]*OrdersTable[[#This Row],[Discount_Clean2]]</f>
        <v>104.7</v>
      </c>
      <c r="U2653" s="5">
        <f>OrdersTable[[#This Row],[Gross Sale]]-OrdersTable[[#This Row],[Discount Amount]]</f>
        <v>244.3</v>
      </c>
      <c r="V2653" s="77">
        <f>INDEX(Products!E:E,MATCH(OrdersTable[[#This Row],[Product ID]],Products!A:A,0))</f>
        <v>105</v>
      </c>
      <c r="W2653" s="77">
        <f>OrdersTable[[#This Row],[Quantity]]*OrdersTable[[#This Row],[Unit Cost]]</f>
        <v>105</v>
      </c>
      <c r="X2653" s="77">
        <f>'Dropdown Lists'!$I$2*(1+OrdersTable[[#This Row],[Returned]])</f>
        <v>60</v>
      </c>
      <c r="Y2653" s="76">
        <f>OrdersTable[[#This Row],[Net Revenue]]-OrdersTable[[#This Row],[COGS]]-OrdersTable[[#This Row],[Shipping Cost]]</f>
        <v>79.300000000000011</v>
      </c>
      <c r="Z2653" s="78">
        <f>IFERROR(OrdersTable[[#This Row],[Profit]]/OrdersTable[[#This Row],[Net Revenue]],0)</f>
        <v>0.32460090053213264</v>
      </c>
      <c r="AA2653" t="s">
        <v>18</v>
      </c>
      <c r="AB2653" s="79">
        <v>45739</v>
      </c>
      <c r="AC2653">
        <f>OrdersTable[[#This Row],[Delivery Date]]-OrdersTable[[#This Row],[Order Date]]</f>
        <v>2</v>
      </c>
      <c r="AD2653" t="str">
        <f>IF(OrdersTable[[#This Row],[Delivery Days]]&lt;=2, "Express (≤2d)", IF(OrdersTable[[#This Row],[Delivery Days]]&lt;=4, "Standard (3-4d)", "Delayed (5d+)"))</f>
        <v>Express (≤2d)</v>
      </c>
      <c r="AE2653">
        <v>4</v>
      </c>
      <c r="AF2653">
        <v>0</v>
      </c>
    </row>
    <row r="2654" spans="1:32" ht="15" x14ac:dyDescent="0.35">
      <c r="A2654" t="s">
        <v>4135</v>
      </c>
      <c r="B2654" s="1">
        <v>45737</v>
      </c>
      <c r="C2654">
        <f>YEAR(OrdersTable[[#This Row],[Order Date]])</f>
        <v>2025</v>
      </c>
      <c r="D2654" s="2">
        <f>DATE(YEAR(OrdersTable[[#This Row],[Order Date]]),MONTH(OrdersTable[[#This Row],[Order Date]]),1)</f>
        <v>45717</v>
      </c>
      <c r="E2654">
        <f>MONTH(OrdersTable[[#This Row],[Order Date]])</f>
        <v>3</v>
      </c>
      <c r="F2654" t="s">
        <v>3637</v>
      </c>
      <c r="G2654" t="str">
        <f>IF(OrdersTable[[#This Row],[Order Date]]=_xlfn.MINIFS(Order_Date, Customer_ID, OrdersTable[[#This Row],[Customer ID]]), "New", "Repeat")</f>
        <v>Repeat</v>
      </c>
      <c r="H2654" t="s">
        <v>167</v>
      </c>
      <c r="I2654" t="str">
        <f>INDEX(State!B:B,MATCH(OrdersTable[[#This Row],[State]],State!A:A,0))</f>
        <v>KA</v>
      </c>
      <c r="J2654" t="str">
        <f>INDEX(State!C:C,MATCH(OrdersTable[[#This Row],[State Code]],State!B:B,0))</f>
        <v>South</v>
      </c>
      <c r="K2654" t="s">
        <v>190</v>
      </c>
      <c r="L2654" t="s">
        <v>65</v>
      </c>
      <c r="M2654" t="s">
        <v>61</v>
      </c>
      <c r="N2654" t="str">
        <f>INDEX(Products!B:B,MATCH(OrdersTable[[#This Row],[Product ID]],Products!A:A,0))</f>
        <v>Multivitamin Gummies</v>
      </c>
      <c r="O2654" t="str">
        <f>INDEX(Products!C:C,MATCH(OrdersTable[[#This Row],[Product ID]],Products!A:A,0))</f>
        <v>Wellness</v>
      </c>
      <c r="P2654">
        <v>1</v>
      </c>
      <c r="Q2654" s="5">
        <v>699</v>
      </c>
      <c r="R2654" s="74">
        <v>0.2</v>
      </c>
      <c r="S2654" s="75">
        <f>OrdersTable[[#This Row],[Quantity]]*OrdersTable[[#This Row],[Unit Price]]</f>
        <v>699</v>
      </c>
      <c r="T2654" s="5">
        <f>OrdersTable[[#This Row],[Gross Sale]]*OrdersTable[[#This Row],[Discount_Clean2]]</f>
        <v>139.80000000000001</v>
      </c>
      <c r="U2654" s="5">
        <f>OrdersTable[[#This Row],[Gross Sale]]-OrdersTable[[#This Row],[Discount Amount]]</f>
        <v>559.20000000000005</v>
      </c>
      <c r="V2654" s="77">
        <f>INDEX(Products!E:E,MATCH(OrdersTable[[#This Row],[Product ID]],Products!A:A,0))</f>
        <v>238</v>
      </c>
      <c r="W2654" s="77">
        <f>OrdersTable[[#This Row],[Quantity]]*OrdersTable[[#This Row],[Unit Cost]]</f>
        <v>238</v>
      </c>
      <c r="X2654" s="77">
        <f>'Dropdown Lists'!$I$2*(1+OrdersTable[[#This Row],[Returned]])</f>
        <v>60</v>
      </c>
      <c r="Y2654" s="76">
        <f>OrdersTable[[#This Row],[Net Revenue]]-OrdersTable[[#This Row],[COGS]]-OrdersTable[[#This Row],[Shipping Cost]]</f>
        <v>261.20000000000005</v>
      </c>
      <c r="Z2654" s="78">
        <f>IFERROR(OrdersTable[[#This Row],[Profit]]/OrdersTable[[#This Row],[Net Revenue]],0)</f>
        <v>0.46709585121602293</v>
      </c>
      <c r="AA2654" t="s">
        <v>4074</v>
      </c>
      <c r="AB2654" s="79">
        <v>45739</v>
      </c>
      <c r="AC2654">
        <f>OrdersTable[[#This Row],[Delivery Date]]-OrdersTable[[#This Row],[Order Date]]</f>
        <v>2</v>
      </c>
      <c r="AD2654" t="str">
        <f>IF(OrdersTable[[#This Row],[Delivery Days]]&lt;=2, "Express (≤2d)", IF(OrdersTable[[#This Row],[Delivery Days]]&lt;=4, "Standard (3-4d)", "Delayed (5d+)"))</f>
        <v>Express (≤2d)</v>
      </c>
      <c r="AE2654">
        <v>3</v>
      </c>
      <c r="AF2654">
        <v>0</v>
      </c>
    </row>
    <row r="2655" spans="1:32" ht="15" x14ac:dyDescent="0.35">
      <c r="A2655" t="s">
        <v>2797</v>
      </c>
      <c r="B2655" s="1">
        <v>45737</v>
      </c>
      <c r="C2655">
        <f>YEAR(OrdersTable[[#This Row],[Order Date]])</f>
        <v>2025</v>
      </c>
      <c r="D2655" s="2">
        <f>DATE(YEAR(OrdersTable[[#This Row],[Order Date]]),MONTH(OrdersTable[[#This Row],[Order Date]]),1)</f>
        <v>45717</v>
      </c>
      <c r="E2655">
        <f>MONTH(OrdersTable[[#This Row],[Order Date]])</f>
        <v>3</v>
      </c>
      <c r="F2655" t="s">
        <v>1760</v>
      </c>
      <c r="G2655" t="str">
        <f>IF(OrdersTable[[#This Row],[Order Date]]=_xlfn.MINIFS(Order_Date, Customer_ID, OrdersTable[[#This Row],[Customer ID]]), "New", "Repeat")</f>
        <v>Repeat</v>
      </c>
      <c r="H2655" t="s">
        <v>316</v>
      </c>
      <c r="I2655" t="str">
        <f>INDEX(State!B:B,MATCH(OrdersTable[[#This Row],[State]],State!A:A,0))</f>
        <v>KL</v>
      </c>
      <c r="J2655" t="str">
        <f>INDEX(State!C:C,MATCH(OrdersTable[[#This Row],[State Code]],State!B:B,0))</f>
        <v>South</v>
      </c>
      <c r="K2655" t="s">
        <v>338</v>
      </c>
      <c r="L2655" t="s">
        <v>65</v>
      </c>
      <c r="M2655" t="s">
        <v>61</v>
      </c>
      <c r="N2655" t="str">
        <f>INDEX(Products!B:B,MATCH(OrdersTable[[#This Row],[Product ID]],Products!A:A,0))</f>
        <v>Multivitamin Gummies</v>
      </c>
      <c r="O2655" t="str">
        <f>INDEX(Products!C:C,MATCH(OrdersTable[[#This Row],[Product ID]],Products!A:A,0))</f>
        <v>Wellness</v>
      </c>
      <c r="P2655">
        <v>1</v>
      </c>
      <c r="Q2655" s="5">
        <v>699</v>
      </c>
      <c r="R2655" s="74">
        <v>0.25</v>
      </c>
      <c r="S2655" s="75">
        <f>OrdersTable[[#This Row],[Quantity]]*OrdersTable[[#This Row],[Unit Price]]</f>
        <v>699</v>
      </c>
      <c r="T2655" s="5">
        <f>OrdersTable[[#This Row],[Gross Sale]]*OrdersTable[[#This Row],[Discount_Clean2]]</f>
        <v>174.75</v>
      </c>
      <c r="U2655" s="5">
        <f>OrdersTable[[#This Row],[Gross Sale]]-OrdersTable[[#This Row],[Discount Amount]]</f>
        <v>524.25</v>
      </c>
      <c r="V2655" s="77">
        <f>INDEX(Products!E:E,MATCH(OrdersTable[[#This Row],[Product ID]],Products!A:A,0))</f>
        <v>238</v>
      </c>
      <c r="W2655" s="77">
        <f>OrdersTable[[#This Row],[Quantity]]*OrdersTable[[#This Row],[Unit Cost]]</f>
        <v>238</v>
      </c>
      <c r="X2655" s="77">
        <f>'Dropdown Lists'!$I$2*(1+OrdersTable[[#This Row],[Returned]])</f>
        <v>60</v>
      </c>
      <c r="Y2655" s="76">
        <f>OrdersTable[[#This Row],[Net Revenue]]-OrdersTable[[#This Row],[COGS]]-OrdersTable[[#This Row],[Shipping Cost]]</f>
        <v>226.25</v>
      </c>
      <c r="Z2655" s="78">
        <f>IFERROR(OrdersTable[[#This Row],[Profit]]/OrdersTable[[#This Row],[Net Revenue]],0)</f>
        <v>0.43156890796375774</v>
      </c>
      <c r="AA2655" t="s">
        <v>2522</v>
      </c>
      <c r="AB2655" s="79">
        <v>45741</v>
      </c>
      <c r="AC2655">
        <f>OrdersTable[[#This Row],[Delivery Date]]-OrdersTable[[#This Row],[Order Date]]</f>
        <v>4</v>
      </c>
      <c r="AD2655" t="str">
        <f>IF(OrdersTable[[#This Row],[Delivery Days]]&lt;=2, "Express (≤2d)", IF(OrdersTable[[#This Row],[Delivery Days]]&lt;=4, "Standard (3-4d)", "Delayed (5d+)"))</f>
        <v>Standard (3-4d)</v>
      </c>
      <c r="AE2655">
        <v>3</v>
      </c>
      <c r="AF2655">
        <v>0</v>
      </c>
    </row>
    <row r="2656" spans="1:32" ht="15" x14ac:dyDescent="0.35">
      <c r="A2656" t="s">
        <v>3758</v>
      </c>
      <c r="B2656" s="1">
        <v>45738</v>
      </c>
      <c r="C2656">
        <f>YEAR(OrdersTable[[#This Row],[Order Date]])</f>
        <v>2025</v>
      </c>
      <c r="D2656" s="2">
        <f>DATE(YEAR(OrdersTable[[#This Row],[Order Date]]),MONTH(OrdersTable[[#This Row],[Order Date]]),1)</f>
        <v>45717</v>
      </c>
      <c r="E2656">
        <f>MONTH(OrdersTable[[#This Row],[Order Date]])</f>
        <v>3</v>
      </c>
      <c r="F2656" t="s">
        <v>3759</v>
      </c>
      <c r="G2656" t="str">
        <f>IF(OrdersTable[[#This Row],[Order Date]]=_xlfn.MINIFS(Order_Date, Customer_ID, OrdersTable[[#This Row],[Customer ID]]), "New", "Repeat")</f>
        <v>Repeat</v>
      </c>
      <c r="H2656" t="s">
        <v>21</v>
      </c>
      <c r="I2656" t="str">
        <f>INDEX(State!B:B,MATCH(OrdersTable[[#This Row],[State]],State!A:A,0))</f>
        <v>PB</v>
      </c>
      <c r="J2656" t="str">
        <f>INDEX(State!C:C,MATCH(OrdersTable[[#This Row],[State Code]],State!B:B,0))</f>
        <v>North</v>
      </c>
      <c r="K2656" t="s">
        <v>260</v>
      </c>
      <c r="L2656" t="s">
        <v>50</v>
      </c>
      <c r="M2656" t="s">
        <v>45</v>
      </c>
      <c r="N2656" t="str">
        <f>INDEX(Products!B:B,MATCH(OrdersTable[[#This Row],[Product ID]],Products!A:A,0))</f>
        <v>Argan Shampoo</v>
      </c>
      <c r="O2656" t="str">
        <f>INDEX(Products!C:C,MATCH(OrdersTable[[#This Row],[Product ID]],Products!A:A,0))</f>
        <v>Haircare</v>
      </c>
      <c r="P2656">
        <v>1</v>
      </c>
      <c r="Q2656" s="5">
        <v>449</v>
      </c>
      <c r="R2656" s="74">
        <v>0.05</v>
      </c>
      <c r="S2656" s="75">
        <f>OrdersTable[[#This Row],[Quantity]]*OrdersTable[[#This Row],[Unit Price]]</f>
        <v>449</v>
      </c>
      <c r="T2656" s="5">
        <f>OrdersTable[[#This Row],[Gross Sale]]*OrdersTable[[#This Row],[Discount_Clean2]]</f>
        <v>22.450000000000003</v>
      </c>
      <c r="U2656" s="5">
        <f>OrdersTable[[#This Row],[Gross Sale]]-OrdersTable[[#This Row],[Discount Amount]]</f>
        <v>426.55</v>
      </c>
      <c r="V2656" s="77">
        <f>INDEX(Products!E:E,MATCH(OrdersTable[[#This Row],[Product ID]],Products!A:A,0))</f>
        <v>148</v>
      </c>
      <c r="W2656" s="77">
        <f>OrdersTable[[#This Row],[Quantity]]*OrdersTable[[#This Row],[Unit Cost]]</f>
        <v>148</v>
      </c>
      <c r="X2656" s="77">
        <f>'Dropdown Lists'!$I$2*(1+OrdersTable[[#This Row],[Returned]])</f>
        <v>60</v>
      </c>
      <c r="Y2656" s="76">
        <f>OrdersTable[[#This Row],[Net Revenue]]-OrdersTable[[#This Row],[COGS]]-OrdersTable[[#This Row],[Shipping Cost]]</f>
        <v>218.55</v>
      </c>
      <c r="Z2656" s="78">
        <f>IFERROR(OrdersTable[[#This Row],[Profit]]/OrdersTable[[#This Row],[Net Revenue]],0)</f>
        <v>0.51236666275934828</v>
      </c>
      <c r="AA2656" t="s">
        <v>3495</v>
      </c>
      <c r="AB2656" s="79">
        <v>45740</v>
      </c>
      <c r="AC2656">
        <f>OrdersTable[[#This Row],[Delivery Date]]-OrdersTable[[#This Row],[Order Date]]</f>
        <v>2</v>
      </c>
      <c r="AD2656" t="str">
        <f>IF(OrdersTable[[#This Row],[Delivery Days]]&lt;=2, "Express (≤2d)", IF(OrdersTable[[#This Row],[Delivery Days]]&lt;=4, "Standard (3-4d)", "Delayed (5d+)"))</f>
        <v>Express (≤2d)</v>
      </c>
      <c r="AF2656">
        <v>0</v>
      </c>
    </row>
    <row r="2657" spans="1:32" ht="15" x14ac:dyDescent="0.35">
      <c r="A2657" t="s">
        <v>1165</v>
      </c>
      <c r="B2657" s="1">
        <v>45738</v>
      </c>
      <c r="C2657">
        <f>YEAR(OrdersTable[[#This Row],[Order Date]])</f>
        <v>2025</v>
      </c>
      <c r="D2657" s="2">
        <f>DATE(YEAR(OrdersTable[[#This Row],[Order Date]]),MONTH(OrdersTable[[#This Row],[Order Date]]),1)</f>
        <v>45717</v>
      </c>
      <c r="E2657">
        <f>MONTH(OrdersTable[[#This Row],[Order Date]])</f>
        <v>3</v>
      </c>
      <c r="F2657" t="s">
        <v>1166</v>
      </c>
      <c r="G2657" t="str">
        <f>IF(OrdersTable[[#This Row],[Order Date]]=_xlfn.MINIFS(Order_Date, Customer_ID, OrdersTable[[#This Row],[Customer ID]]), "New", "Repeat")</f>
        <v>Repeat</v>
      </c>
      <c r="H2657" t="s">
        <v>128</v>
      </c>
      <c r="I2657" t="str">
        <f>INDEX(State!B:B,MATCH(OrdersTable[[#This Row],[State]],State!A:A,0))</f>
        <v>DL</v>
      </c>
      <c r="J2657" t="str">
        <f>INDEX(State!C:C,MATCH(OrdersTable[[#This Row],[State Code]],State!B:B,0))</f>
        <v>North</v>
      </c>
      <c r="K2657" t="s">
        <v>129</v>
      </c>
      <c r="L2657" t="s">
        <v>50</v>
      </c>
      <c r="M2657" t="s">
        <v>106</v>
      </c>
      <c r="N2657" t="str">
        <f>INDEX(Products!B:B,MATCH(OrdersTable[[#This Row],[Product ID]],Products!A:A,0))</f>
        <v>Keratin Hair Mask</v>
      </c>
      <c r="O2657" t="str">
        <f>INDEX(Products!C:C,MATCH(OrdersTable[[#This Row],[Product ID]],Products!A:A,0))</f>
        <v>Haircare</v>
      </c>
      <c r="P2657">
        <v>1</v>
      </c>
      <c r="Q2657" s="5">
        <v>549</v>
      </c>
      <c r="R2657" s="74">
        <v>0.15</v>
      </c>
      <c r="S2657" s="75">
        <f>OrdersTable[[#This Row],[Quantity]]*OrdersTable[[#This Row],[Unit Price]]</f>
        <v>549</v>
      </c>
      <c r="T2657" s="5">
        <f>OrdersTable[[#This Row],[Gross Sale]]*OrdersTable[[#This Row],[Discount_Clean2]]</f>
        <v>82.35</v>
      </c>
      <c r="U2657" s="5">
        <f>OrdersTable[[#This Row],[Gross Sale]]-OrdersTable[[#This Row],[Discount Amount]]</f>
        <v>466.65</v>
      </c>
      <c r="V2657" s="77">
        <f>INDEX(Products!E:E,MATCH(OrdersTable[[#This Row],[Product ID]],Products!A:A,0))</f>
        <v>170</v>
      </c>
      <c r="W2657" s="77">
        <f>OrdersTable[[#This Row],[Quantity]]*OrdersTable[[#This Row],[Unit Cost]]</f>
        <v>170</v>
      </c>
      <c r="X2657" s="77">
        <f>'Dropdown Lists'!$I$2*(1+OrdersTable[[#This Row],[Returned]])</f>
        <v>60</v>
      </c>
      <c r="Y2657" s="76">
        <f>OrdersTable[[#This Row],[Net Revenue]]-OrdersTable[[#This Row],[COGS]]-OrdersTable[[#This Row],[Shipping Cost]]</f>
        <v>236.64999999999998</v>
      </c>
      <c r="Z2657" s="78">
        <f>IFERROR(OrdersTable[[#This Row],[Profit]]/OrdersTable[[#This Row],[Net Revenue]],0)</f>
        <v>0.50712525447337398</v>
      </c>
      <c r="AA2657" t="s">
        <v>18</v>
      </c>
      <c r="AB2657" s="79">
        <v>45741</v>
      </c>
      <c r="AC2657">
        <f>OrdersTable[[#This Row],[Delivery Date]]-OrdersTable[[#This Row],[Order Date]]</f>
        <v>3</v>
      </c>
      <c r="AD2657" t="str">
        <f>IF(OrdersTable[[#This Row],[Delivery Days]]&lt;=2, "Express (≤2d)", IF(OrdersTable[[#This Row],[Delivery Days]]&lt;=4, "Standard (3-4d)", "Delayed (5d+)"))</f>
        <v>Standard (3-4d)</v>
      </c>
      <c r="AF2657">
        <v>0</v>
      </c>
    </row>
    <row r="2658" spans="1:32" ht="15" x14ac:dyDescent="0.35">
      <c r="A2658" t="s">
        <v>4064</v>
      </c>
      <c r="B2658" s="1">
        <v>45738</v>
      </c>
      <c r="C2658">
        <f>YEAR(OrdersTable[[#This Row],[Order Date]])</f>
        <v>2025</v>
      </c>
      <c r="D2658" s="2">
        <f>DATE(YEAR(OrdersTable[[#This Row],[Order Date]]),MONTH(OrdersTable[[#This Row],[Order Date]]),1)</f>
        <v>45717</v>
      </c>
      <c r="E2658">
        <f>MONTH(OrdersTable[[#This Row],[Order Date]])</f>
        <v>3</v>
      </c>
      <c r="F2658" t="s">
        <v>356</v>
      </c>
      <c r="G2658" t="str">
        <f>IF(OrdersTable[[#This Row],[Order Date]]=_xlfn.MINIFS(Order_Date, Customer_ID, OrdersTable[[#This Row],[Customer ID]]), "New", "Repeat")</f>
        <v>New</v>
      </c>
      <c r="H2658" t="s">
        <v>27</v>
      </c>
      <c r="I2658" t="str">
        <f>INDEX(State!B:B,MATCH(OrdersTable[[#This Row],[State]],State!A:A,0))</f>
        <v>WB</v>
      </c>
      <c r="J2658" t="str">
        <f>INDEX(State!C:C,MATCH(OrdersTable[[#This Row],[State Code]],State!B:B,0))</f>
        <v>East</v>
      </c>
      <c r="K2658" t="s">
        <v>28</v>
      </c>
      <c r="L2658" t="s">
        <v>39</v>
      </c>
      <c r="M2658" t="s">
        <v>87</v>
      </c>
      <c r="N2658" t="str">
        <f>INDEX(Products!B:B,MATCH(OrdersTable[[#This Row],[Product ID]],Products!A:A,0))</f>
        <v>Linen Kurta</v>
      </c>
      <c r="O2658" t="str">
        <f>INDEX(Products!C:C,MATCH(OrdersTable[[#This Row],[Product ID]],Products!A:A,0))</f>
        <v>Apparel</v>
      </c>
      <c r="P2658">
        <v>1</v>
      </c>
      <c r="Q2658" s="5">
        <v>1499</v>
      </c>
      <c r="R2658" s="74">
        <v>0.25</v>
      </c>
      <c r="S2658" s="75">
        <f>OrdersTable[[#This Row],[Quantity]]*OrdersTable[[#This Row],[Unit Price]]</f>
        <v>1499</v>
      </c>
      <c r="T2658" s="5">
        <f>OrdersTable[[#This Row],[Gross Sale]]*OrdersTable[[#This Row],[Discount_Clean2]]</f>
        <v>374.75</v>
      </c>
      <c r="U2658" s="5">
        <f>OrdersTable[[#This Row],[Gross Sale]]-OrdersTable[[#This Row],[Discount Amount]]</f>
        <v>1124.25</v>
      </c>
      <c r="V2658" s="77">
        <f>INDEX(Products!E:E,MATCH(OrdersTable[[#This Row],[Product ID]],Products!A:A,0))</f>
        <v>630</v>
      </c>
      <c r="W2658" s="77">
        <f>OrdersTable[[#This Row],[Quantity]]*OrdersTable[[#This Row],[Unit Cost]]</f>
        <v>630</v>
      </c>
      <c r="X2658" s="77">
        <f>'Dropdown Lists'!$I$2*(1+OrdersTable[[#This Row],[Returned]])</f>
        <v>60</v>
      </c>
      <c r="Y2658" s="76">
        <f>OrdersTable[[#This Row],[Net Revenue]]-OrdersTable[[#This Row],[COGS]]-OrdersTable[[#This Row],[Shipping Cost]]</f>
        <v>434.25</v>
      </c>
      <c r="Z2658" s="78">
        <f>IFERROR(OrdersTable[[#This Row],[Profit]]/OrdersTable[[#This Row],[Net Revenue]],0)</f>
        <v>0.38625750500333556</v>
      </c>
      <c r="AA2658" t="s">
        <v>3495</v>
      </c>
      <c r="AB2658" s="79">
        <v>45743</v>
      </c>
      <c r="AC2658">
        <f>OrdersTable[[#This Row],[Delivery Date]]-OrdersTable[[#This Row],[Order Date]]</f>
        <v>5</v>
      </c>
      <c r="AD2658" t="str">
        <f>IF(OrdersTable[[#This Row],[Delivery Days]]&lt;=2, "Express (≤2d)", IF(OrdersTable[[#This Row],[Delivery Days]]&lt;=4, "Standard (3-4d)", "Delayed (5d+)"))</f>
        <v>Delayed (5d+)</v>
      </c>
      <c r="AE2658">
        <v>2</v>
      </c>
      <c r="AF2658">
        <v>0</v>
      </c>
    </row>
    <row r="2659" spans="1:32" ht="15" x14ac:dyDescent="0.35">
      <c r="A2659" t="s">
        <v>6995</v>
      </c>
      <c r="B2659" s="1">
        <v>45738</v>
      </c>
      <c r="C2659">
        <f>YEAR(OrdersTable[[#This Row],[Order Date]])</f>
        <v>2025</v>
      </c>
      <c r="D2659" s="2">
        <f>DATE(YEAR(OrdersTable[[#This Row],[Order Date]]),MONTH(OrdersTable[[#This Row],[Order Date]]),1)</f>
        <v>45717</v>
      </c>
      <c r="E2659">
        <f>MONTH(OrdersTable[[#This Row],[Order Date]])</f>
        <v>3</v>
      </c>
      <c r="F2659" t="s">
        <v>2137</v>
      </c>
      <c r="G2659" t="str">
        <f>IF(OrdersTable[[#This Row],[Order Date]]=_xlfn.MINIFS(Order_Date, Customer_ID, OrdersTable[[#This Row],[Customer ID]]), "New", "Repeat")</f>
        <v>Repeat</v>
      </c>
      <c r="H2659" t="s">
        <v>71</v>
      </c>
      <c r="I2659" t="str">
        <f>INDEX(State!B:B,MATCH(OrdersTable[[#This Row],[State]],State!A:A,0))</f>
        <v>MH</v>
      </c>
      <c r="J2659" t="str">
        <f>INDEX(State!C:C,MATCH(OrdersTable[[#This Row],[State Code]],State!B:B,0))</f>
        <v>West</v>
      </c>
      <c r="K2659" t="s">
        <v>72</v>
      </c>
      <c r="L2659" t="s">
        <v>39</v>
      </c>
      <c r="M2659" t="s">
        <v>61</v>
      </c>
      <c r="N2659" t="str">
        <f>INDEX(Products!B:B,MATCH(OrdersTable[[#This Row],[Product ID]],Products!A:A,0))</f>
        <v>Multivitamin Gummies</v>
      </c>
      <c r="O2659" t="str">
        <f>INDEX(Products!C:C,MATCH(OrdersTable[[#This Row],[Product ID]],Products!A:A,0))</f>
        <v>Wellness</v>
      </c>
      <c r="P2659">
        <v>4</v>
      </c>
      <c r="Q2659" s="5">
        <v>699</v>
      </c>
      <c r="R2659" s="74">
        <v>0.15</v>
      </c>
      <c r="S2659" s="75">
        <f>OrdersTable[[#This Row],[Quantity]]*OrdersTable[[#This Row],[Unit Price]]</f>
        <v>2796</v>
      </c>
      <c r="T2659" s="5">
        <f>OrdersTable[[#This Row],[Gross Sale]]*OrdersTable[[#This Row],[Discount_Clean2]]</f>
        <v>419.4</v>
      </c>
      <c r="U2659" s="5">
        <f>OrdersTable[[#This Row],[Gross Sale]]-OrdersTable[[#This Row],[Discount Amount]]</f>
        <v>2376.6</v>
      </c>
      <c r="V2659" s="77">
        <f>INDEX(Products!E:E,MATCH(OrdersTable[[#This Row],[Product ID]],Products!A:A,0))</f>
        <v>238</v>
      </c>
      <c r="W2659" s="77">
        <f>OrdersTable[[#This Row],[Quantity]]*OrdersTable[[#This Row],[Unit Cost]]</f>
        <v>952</v>
      </c>
      <c r="X2659" s="77">
        <f>'Dropdown Lists'!$I$2*(1+OrdersTable[[#This Row],[Returned]])</f>
        <v>60</v>
      </c>
      <c r="Y2659" s="76">
        <f>OrdersTable[[#This Row],[Net Revenue]]-OrdersTable[[#This Row],[COGS]]-OrdersTable[[#This Row],[Shipping Cost]]</f>
        <v>1364.6</v>
      </c>
      <c r="Z2659" s="78">
        <f>IFERROR(OrdersTable[[#This Row],[Profit]]/OrdersTable[[#This Row],[Net Revenue]],0)</f>
        <v>0.57418160397206086</v>
      </c>
      <c r="AA2659" t="s">
        <v>4450</v>
      </c>
      <c r="AB2659" s="79">
        <v>45739</v>
      </c>
      <c r="AC2659">
        <f>OrdersTable[[#This Row],[Delivery Date]]-OrdersTable[[#This Row],[Order Date]]</f>
        <v>1</v>
      </c>
      <c r="AD2659" t="str">
        <f>IF(OrdersTable[[#This Row],[Delivery Days]]&lt;=2, "Express (≤2d)", IF(OrdersTable[[#This Row],[Delivery Days]]&lt;=4, "Standard (3-4d)", "Delayed (5d+)"))</f>
        <v>Express (≤2d)</v>
      </c>
      <c r="AF2659">
        <v>0</v>
      </c>
    </row>
    <row r="2660" spans="1:32" ht="15" x14ac:dyDescent="0.35">
      <c r="A2660" t="s">
        <v>4405</v>
      </c>
      <c r="B2660" s="1">
        <v>45738</v>
      </c>
      <c r="C2660">
        <f>YEAR(OrdersTable[[#This Row],[Order Date]])</f>
        <v>2025</v>
      </c>
      <c r="D2660" s="2">
        <f>DATE(YEAR(OrdersTable[[#This Row],[Order Date]]),MONTH(OrdersTable[[#This Row],[Order Date]]),1)</f>
        <v>45717</v>
      </c>
      <c r="E2660">
        <f>MONTH(OrdersTable[[#This Row],[Order Date]])</f>
        <v>3</v>
      </c>
      <c r="F2660" t="s">
        <v>4406</v>
      </c>
      <c r="G2660" t="str">
        <f>IF(OrdersTable[[#This Row],[Order Date]]=_xlfn.MINIFS(Order_Date, Customer_ID, OrdersTable[[#This Row],[Customer ID]]), "New", "Repeat")</f>
        <v>New</v>
      </c>
      <c r="H2660" t="s">
        <v>71</v>
      </c>
      <c r="I2660" t="str">
        <f>INDEX(State!B:B,MATCH(OrdersTable[[#This Row],[State]],State!A:A,0))</f>
        <v>MH</v>
      </c>
      <c r="J2660" t="str">
        <f>INDEX(State!C:C,MATCH(OrdersTable[[#This Row],[State Code]],State!B:B,0))</f>
        <v>West</v>
      </c>
      <c r="K2660" t="s">
        <v>72</v>
      </c>
      <c r="L2660" t="s">
        <v>65</v>
      </c>
      <c r="M2660" t="s">
        <v>106</v>
      </c>
      <c r="N2660" t="str">
        <f>INDEX(Products!B:B,MATCH(OrdersTable[[#This Row],[Product ID]],Products!A:A,0))</f>
        <v>Keratin Hair Mask</v>
      </c>
      <c r="O2660" t="str">
        <f>INDEX(Products!C:C,MATCH(OrdersTable[[#This Row],[Product ID]],Products!A:A,0))</f>
        <v>Haircare</v>
      </c>
      <c r="P2660">
        <v>1</v>
      </c>
      <c r="Q2660" s="5">
        <v>549</v>
      </c>
      <c r="R2660" s="74">
        <v>0.2</v>
      </c>
      <c r="S2660" s="75">
        <f>OrdersTable[[#This Row],[Quantity]]*OrdersTable[[#This Row],[Unit Price]]</f>
        <v>549</v>
      </c>
      <c r="T2660" s="5">
        <f>OrdersTable[[#This Row],[Gross Sale]]*OrdersTable[[#This Row],[Discount_Clean2]]</f>
        <v>109.80000000000001</v>
      </c>
      <c r="U2660" s="5">
        <f>OrdersTable[[#This Row],[Gross Sale]]-OrdersTable[[#This Row],[Discount Amount]]</f>
        <v>439.2</v>
      </c>
      <c r="V2660" s="77">
        <f>INDEX(Products!E:E,MATCH(OrdersTable[[#This Row],[Product ID]],Products!A:A,0))</f>
        <v>170</v>
      </c>
      <c r="W2660" s="77">
        <f>OrdersTable[[#This Row],[Quantity]]*OrdersTable[[#This Row],[Unit Cost]]</f>
        <v>170</v>
      </c>
      <c r="X2660" s="77">
        <f>'Dropdown Lists'!$I$2*(1+OrdersTable[[#This Row],[Returned]])</f>
        <v>60</v>
      </c>
      <c r="Y2660" s="76">
        <f>OrdersTable[[#This Row],[Net Revenue]]-OrdersTable[[#This Row],[COGS]]-OrdersTable[[#This Row],[Shipping Cost]]</f>
        <v>209.2</v>
      </c>
      <c r="Z2660" s="78">
        <f>IFERROR(OrdersTable[[#This Row],[Profit]]/OrdersTable[[#This Row],[Net Revenue]],0)</f>
        <v>0.47632058287795992</v>
      </c>
      <c r="AA2660" t="s">
        <v>4074</v>
      </c>
      <c r="AB2660" s="79">
        <v>45739</v>
      </c>
      <c r="AC2660">
        <f>OrdersTable[[#This Row],[Delivery Date]]-OrdersTable[[#This Row],[Order Date]]</f>
        <v>1</v>
      </c>
      <c r="AD2660" t="str">
        <f>IF(OrdersTable[[#This Row],[Delivery Days]]&lt;=2, "Express (≤2d)", IF(OrdersTable[[#This Row],[Delivery Days]]&lt;=4, "Standard (3-4d)", "Delayed (5d+)"))</f>
        <v>Express (≤2d)</v>
      </c>
      <c r="AE2660">
        <v>4</v>
      </c>
      <c r="AF2660">
        <v>0</v>
      </c>
    </row>
    <row r="2661" spans="1:32" ht="15" x14ac:dyDescent="0.35">
      <c r="A2661" t="s">
        <v>2374</v>
      </c>
      <c r="B2661" s="1">
        <v>45738</v>
      </c>
      <c r="C2661">
        <f>YEAR(OrdersTable[[#This Row],[Order Date]])</f>
        <v>2025</v>
      </c>
      <c r="D2661" s="2">
        <f>DATE(YEAR(OrdersTable[[#This Row],[Order Date]]),MONTH(OrdersTable[[#This Row],[Order Date]]),1)</f>
        <v>45717</v>
      </c>
      <c r="E2661">
        <f>MONTH(OrdersTable[[#This Row],[Order Date]])</f>
        <v>3</v>
      </c>
      <c r="F2661" t="s">
        <v>2375</v>
      </c>
      <c r="G2661" t="str">
        <f>IF(OrdersTable[[#This Row],[Order Date]]=_xlfn.MINIFS(Order_Date, Customer_ID, OrdersTable[[#This Row],[Customer ID]]), "New", "Repeat")</f>
        <v>New</v>
      </c>
      <c r="H2661" t="s">
        <v>95</v>
      </c>
      <c r="I2661" t="str">
        <f>INDEX(State!B:B,MATCH(OrdersTable[[#This Row],[State]],State!A:A,0))</f>
        <v>TG</v>
      </c>
      <c r="J2661" t="str">
        <f>INDEX(State!C:C,MATCH(OrdersTable[[#This Row],[State Code]],State!B:B,0))</f>
        <v>South</v>
      </c>
      <c r="K2661" t="s">
        <v>96</v>
      </c>
      <c r="L2661" t="s">
        <v>23</v>
      </c>
      <c r="M2661" t="s">
        <v>45</v>
      </c>
      <c r="N2661" t="str">
        <f>INDEX(Products!B:B,MATCH(OrdersTable[[#This Row],[Product ID]],Products!A:A,0))</f>
        <v>Argan Shampoo</v>
      </c>
      <c r="O2661" t="str">
        <f>INDEX(Products!C:C,MATCH(OrdersTable[[#This Row],[Product ID]],Products!A:A,0))</f>
        <v>Haircare</v>
      </c>
      <c r="P2661">
        <v>1</v>
      </c>
      <c r="Q2661" s="5">
        <v>449</v>
      </c>
      <c r="R2661" s="74">
        <v>0.05</v>
      </c>
      <c r="S2661" s="75">
        <f>OrdersTable[[#This Row],[Quantity]]*OrdersTable[[#This Row],[Unit Price]]</f>
        <v>449</v>
      </c>
      <c r="T2661" s="5">
        <f>OrdersTable[[#This Row],[Gross Sale]]*OrdersTable[[#This Row],[Discount_Clean2]]</f>
        <v>22.450000000000003</v>
      </c>
      <c r="U2661" s="5">
        <f>OrdersTable[[#This Row],[Gross Sale]]-OrdersTable[[#This Row],[Discount Amount]]</f>
        <v>426.55</v>
      </c>
      <c r="V2661" s="77">
        <f>INDEX(Products!E:E,MATCH(OrdersTable[[#This Row],[Product ID]],Products!A:A,0))</f>
        <v>148</v>
      </c>
      <c r="W2661" s="77">
        <f>OrdersTable[[#This Row],[Quantity]]*OrdersTable[[#This Row],[Unit Cost]]</f>
        <v>148</v>
      </c>
      <c r="X2661" s="77">
        <f>'Dropdown Lists'!$I$2*(1+OrdersTable[[#This Row],[Returned]])</f>
        <v>60</v>
      </c>
      <c r="Y2661" s="76">
        <f>OrdersTable[[#This Row],[Net Revenue]]-OrdersTable[[#This Row],[COGS]]-OrdersTable[[#This Row],[Shipping Cost]]</f>
        <v>218.55</v>
      </c>
      <c r="Z2661" s="78">
        <f>IFERROR(OrdersTable[[#This Row],[Profit]]/OrdersTable[[#This Row],[Net Revenue]],0)</f>
        <v>0.51236666275934828</v>
      </c>
      <c r="AA2661" t="s">
        <v>18</v>
      </c>
      <c r="AB2661" s="79">
        <v>45741</v>
      </c>
      <c r="AC2661">
        <f>OrdersTable[[#This Row],[Delivery Date]]-OrdersTable[[#This Row],[Order Date]]</f>
        <v>3</v>
      </c>
      <c r="AD2661" t="str">
        <f>IF(OrdersTable[[#This Row],[Delivery Days]]&lt;=2, "Express (≤2d)", IF(OrdersTable[[#This Row],[Delivery Days]]&lt;=4, "Standard (3-4d)", "Delayed (5d+)"))</f>
        <v>Standard (3-4d)</v>
      </c>
      <c r="AE2661">
        <v>5</v>
      </c>
      <c r="AF2661">
        <v>0</v>
      </c>
    </row>
    <row r="2662" spans="1:32" ht="15" x14ac:dyDescent="0.35">
      <c r="A2662" t="s">
        <v>1403</v>
      </c>
      <c r="B2662" s="1">
        <v>45738</v>
      </c>
      <c r="C2662">
        <f>YEAR(OrdersTable[[#This Row],[Order Date]])</f>
        <v>2025</v>
      </c>
      <c r="D2662" s="2">
        <f>DATE(YEAR(OrdersTable[[#This Row],[Order Date]]),MONTH(OrdersTable[[#This Row],[Order Date]]),1)</f>
        <v>45717</v>
      </c>
      <c r="E2662">
        <f>MONTH(OrdersTable[[#This Row],[Order Date]])</f>
        <v>3</v>
      </c>
      <c r="F2662" t="s">
        <v>1404</v>
      </c>
      <c r="G2662" t="str">
        <f>IF(OrdersTable[[#This Row],[Order Date]]=_xlfn.MINIFS(Order_Date, Customer_ID, OrdersTable[[#This Row],[Customer ID]]), "New", "Repeat")</f>
        <v>Repeat</v>
      </c>
      <c r="H2662" t="s">
        <v>275</v>
      </c>
      <c r="I2662" t="str">
        <f>INDEX(State!B:B,MATCH(OrdersTable[[#This Row],[State]],State!A:A,0))</f>
        <v>AP</v>
      </c>
      <c r="J2662" t="str">
        <f>INDEX(State!C:C,MATCH(OrdersTable[[#This Row],[State Code]],State!B:B,0))</f>
        <v>South</v>
      </c>
      <c r="K2662" t="s">
        <v>276</v>
      </c>
      <c r="L2662" t="s">
        <v>23</v>
      </c>
      <c r="M2662" t="s">
        <v>255</v>
      </c>
      <c r="N2662" t="str">
        <f>INDEX(Products!B:B,MATCH(OrdersTable[[#This Row],[Product ID]],Products!A:A,0))</f>
        <v>Cotton Oversized T-Shirt</v>
      </c>
      <c r="O2662" t="str">
        <f>INDEX(Products!C:C,MATCH(OrdersTable[[#This Row],[Product ID]],Products!A:A,0))</f>
        <v>Apparel</v>
      </c>
      <c r="P2662">
        <v>1</v>
      </c>
      <c r="Q2662" s="5">
        <v>799</v>
      </c>
      <c r="R2662" s="74">
        <v>0</v>
      </c>
      <c r="S2662" s="75">
        <f>OrdersTable[[#This Row],[Quantity]]*OrdersTable[[#This Row],[Unit Price]]</f>
        <v>799</v>
      </c>
      <c r="T2662" s="5">
        <f>OrdersTable[[#This Row],[Gross Sale]]*OrdersTable[[#This Row],[Discount_Clean2]]</f>
        <v>0</v>
      </c>
      <c r="U2662" s="5">
        <f>OrdersTable[[#This Row],[Gross Sale]]-OrdersTable[[#This Row],[Discount Amount]]</f>
        <v>799</v>
      </c>
      <c r="V2662" s="77">
        <f>INDEX(Products!E:E,MATCH(OrdersTable[[#This Row],[Product ID]],Products!A:A,0))</f>
        <v>320</v>
      </c>
      <c r="W2662" s="77">
        <f>OrdersTable[[#This Row],[Quantity]]*OrdersTable[[#This Row],[Unit Cost]]</f>
        <v>320</v>
      </c>
      <c r="X2662" s="77">
        <f>'Dropdown Lists'!$I$2*(1+OrdersTable[[#This Row],[Returned]])</f>
        <v>60</v>
      </c>
      <c r="Y2662" s="76">
        <f>OrdersTable[[#This Row],[Net Revenue]]-OrdersTable[[#This Row],[COGS]]-OrdersTable[[#This Row],[Shipping Cost]]</f>
        <v>419</v>
      </c>
      <c r="Z2662" s="78">
        <f>IFERROR(OrdersTable[[#This Row],[Profit]]/OrdersTable[[#This Row],[Net Revenue]],0)</f>
        <v>0.52440550688360454</v>
      </c>
      <c r="AA2662" t="s">
        <v>18</v>
      </c>
      <c r="AB2662" s="79">
        <v>45742</v>
      </c>
      <c r="AC2662">
        <f>OrdersTable[[#This Row],[Delivery Date]]-OrdersTable[[#This Row],[Order Date]]</f>
        <v>4</v>
      </c>
      <c r="AD2662" t="str">
        <f>IF(OrdersTable[[#This Row],[Delivery Days]]&lt;=2, "Express (≤2d)", IF(OrdersTable[[#This Row],[Delivery Days]]&lt;=4, "Standard (3-4d)", "Delayed (5d+)"))</f>
        <v>Standard (3-4d)</v>
      </c>
      <c r="AF2662">
        <v>0</v>
      </c>
    </row>
    <row r="2663" spans="1:32" ht="15" x14ac:dyDescent="0.35">
      <c r="A2663" t="s">
        <v>1265</v>
      </c>
      <c r="B2663" s="1">
        <v>45738</v>
      </c>
      <c r="C2663">
        <f>YEAR(OrdersTable[[#This Row],[Order Date]])</f>
        <v>2025</v>
      </c>
      <c r="D2663" s="2">
        <f>DATE(YEAR(OrdersTable[[#This Row],[Order Date]]),MONTH(OrdersTable[[#This Row],[Order Date]]),1)</f>
        <v>45717</v>
      </c>
      <c r="E2663">
        <f>MONTH(OrdersTable[[#This Row],[Order Date]])</f>
        <v>3</v>
      </c>
      <c r="F2663" t="s">
        <v>386</v>
      </c>
      <c r="G2663" t="str">
        <f>IF(OrdersTable[[#This Row],[Order Date]]=_xlfn.MINIFS(Order_Date, Customer_ID, OrdersTable[[#This Row],[Customer ID]]), "New", "Repeat")</f>
        <v>New</v>
      </c>
      <c r="H2663" t="s">
        <v>59</v>
      </c>
      <c r="I2663" t="str">
        <f>INDEX(State!B:B,MATCH(OrdersTable[[#This Row],[State]],State!A:A,0))</f>
        <v>TN</v>
      </c>
      <c r="J2663" t="str">
        <f>INDEX(State!C:C,MATCH(OrdersTable[[#This Row],[State Code]],State!B:B,0))</f>
        <v>South</v>
      </c>
      <c r="K2663" t="s">
        <v>64</v>
      </c>
      <c r="L2663" t="s">
        <v>16</v>
      </c>
      <c r="M2663" t="s">
        <v>92</v>
      </c>
      <c r="N2663" t="str">
        <f>INDEX(Products!B:B,MATCH(OrdersTable[[#This Row],[Product ID]],Products!A:A,0))</f>
        <v>Kolhapuri Sandals</v>
      </c>
      <c r="O2663" t="str">
        <f>INDEX(Products!C:C,MATCH(OrdersTable[[#This Row],[Product ID]],Products!A:A,0))</f>
        <v>Footwear</v>
      </c>
      <c r="P2663">
        <v>1</v>
      </c>
      <c r="Q2663" s="5">
        <v>999</v>
      </c>
      <c r="R2663" s="74">
        <v>0</v>
      </c>
      <c r="S2663" s="75">
        <f>OrdersTable[[#This Row],[Quantity]]*OrdersTable[[#This Row],[Unit Price]]</f>
        <v>999</v>
      </c>
      <c r="T2663" s="5">
        <f>OrdersTable[[#This Row],[Gross Sale]]*OrdersTable[[#This Row],[Discount_Clean2]]</f>
        <v>0</v>
      </c>
      <c r="U2663" s="5">
        <f>OrdersTable[[#This Row],[Gross Sale]]-OrdersTable[[#This Row],[Discount Amount]]</f>
        <v>999</v>
      </c>
      <c r="V2663" s="77">
        <f>INDEX(Products!E:E,MATCH(OrdersTable[[#This Row],[Product ID]],Products!A:A,0))</f>
        <v>400</v>
      </c>
      <c r="W2663" s="77">
        <f>OrdersTable[[#This Row],[Quantity]]*OrdersTable[[#This Row],[Unit Cost]]</f>
        <v>400</v>
      </c>
      <c r="X2663" s="77">
        <f>'Dropdown Lists'!$I$2*(1+OrdersTable[[#This Row],[Returned]])</f>
        <v>60</v>
      </c>
      <c r="Y2663" s="76">
        <f>OrdersTable[[#This Row],[Net Revenue]]-OrdersTable[[#This Row],[COGS]]-OrdersTable[[#This Row],[Shipping Cost]]</f>
        <v>539</v>
      </c>
      <c r="Z2663" s="78">
        <f>IFERROR(OrdersTable[[#This Row],[Profit]]/OrdersTable[[#This Row],[Net Revenue]],0)</f>
        <v>0.53953953953953959</v>
      </c>
      <c r="AA2663" t="s">
        <v>18</v>
      </c>
      <c r="AB2663" s="79">
        <v>45740</v>
      </c>
      <c r="AC2663">
        <f>OrdersTable[[#This Row],[Delivery Date]]-OrdersTable[[#This Row],[Order Date]]</f>
        <v>2</v>
      </c>
      <c r="AD2663" t="str">
        <f>IF(OrdersTable[[#This Row],[Delivery Days]]&lt;=2, "Express (≤2d)", IF(OrdersTable[[#This Row],[Delivery Days]]&lt;=4, "Standard (3-4d)", "Delayed (5d+)"))</f>
        <v>Express (≤2d)</v>
      </c>
      <c r="AF2663">
        <v>0</v>
      </c>
    </row>
    <row r="2664" spans="1:32" ht="15" x14ac:dyDescent="0.35">
      <c r="A2664" t="s">
        <v>1167</v>
      </c>
      <c r="B2664" s="1">
        <v>45739</v>
      </c>
      <c r="C2664">
        <f>YEAR(OrdersTable[[#This Row],[Order Date]])</f>
        <v>2025</v>
      </c>
      <c r="D2664" s="2">
        <f>DATE(YEAR(OrdersTable[[#This Row],[Order Date]]),MONTH(OrdersTable[[#This Row],[Order Date]]),1)</f>
        <v>45717</v>
      </c>
      <c r="E2664">
        <f>MONTH(OrdersTable[[#This Row],[Order Date]])</f>
        <v>3</v>
      </c>
      <c r="F2664" t="s">
        <v>1168</v>
      </c>
      <c r="G2664" t="str">
        <f>IF(OrdersTable[[#This Row],[Order Date]]=_xlfn.MINIFS(Order_Date, Customer_ID, OrdersTable[[#This Row],[Customer ID]]), "New", "Repeat")</f>
        <v>Repeat</v>
      </c>
      <c r="H2664" t="s">
        <v>54</v>
      </c>
      <c r="I2664" t="str">
        <f>INDEX(State!B:B,MATCH(OrdersTable[[#This Row],[State]],State!A:A,0))</f>
        <v>RJ</v>
      </c>
      <c r="J2664" t="str">
        <f>INDEX(State!C:C,MATCH(OrdersTable[[#This Row],[State Code]],State!B:B,0))</f>
        <v>North</v>
      </c>
      <c r="K2664" t="s">
        <v>227</v>
      </c>
      <c r="L2664" t="s">
        <v>50</v>
      </c>
      <c r="M2664" t="s">
        <v>66</v>
      </c>
      <c r="N2664" t="str">
        <f>INDEX(Products!B:B,MATCH(OrdersTable[[#This Row],[Product ID]],Products!A:A,0))</f>
        <v>Sunscreen SPF 50</v>
      </c>
      <c r="O2664" t="str">
        <f>INDEX(Products!C:C,MATCH(OrdersTable[[#This Row],[Product ID]],Products!A:A,0))</f>
        <v>Skincare</v>
      </c>
      <c r="P2664">
        <v>1</v>
      </c>
      <c r="Q2664" s="5">
        <v>449</v>
      </c>
      <c r="R2664" s="74">
        <v>0.05</v>
      </c>
      <c r="S2664" s="75">
        <f>OrdersTable[[#This Row],[Quantity]]*OrdersTable[[#This Row],[Unit Price]]</f>
        <v>449</v>
      </c>
      <c r="T2664" s="5">
        <f>OrdersTable[[#This Row],[Gross Sale]]*OrdersTable[[#This Row],[Discount_Clean2]]</f>
        <v>22.450000000000003</v>
      </c>
      <c r="U2664" s="5">
        <f>OrdersTable[[#This Row],[Gross Sale]]-OrdersTable[[#This Row],[Discount Amount]]</f>
        <v>426.55</v>
      </c>
      <c r="V2664" s="77">
        <f>INDEX(Products!E:E,MATCH(OrdersTable[[#This Row],[Product ID]],Products!A:A,0))</f>
        <v>144</v>
      </c>
      <c r="W2664" s="77">
        <f>OrdersTable[[#This Row],[Quantity]]*OrdersTable[[#This Row],[Unit Cost]]</f>
        <v>144</v>
      </c>
      <c r="X2664" s="77">
        <f>'Dropdown Lists'!$I$2*(1+OrdersTable[[#This Row],[Returned]])</f>
        <v>60</v>
      </c>
      <c r="Y2664" s="76">
        <f>OrdersTable[[#This Row],[Net Revenue]]-OrdersTable[[#This Row],[COGS]]-OrdersTable[[#This Row],[Shipping Cost]]</f>
        <v>222.55</v>
      </c>
      <c r="Z2664" s="78">
        <f>IFERROR(OrdersTable[[#This Row],[Profit]]/OrdersTable[[#This Row],[Net Revenue]],0)</f>
        <v>0.52174422693705313</v>
      </c>
      <c r="AA2664" t="s">
        <v>18</v>
      </c>
      <c r="AB2664" s="79">
        <v>45744</v>
      </c>
      <c r="AC2664">
        <f>OrdersTable[[#This Row],[Delivery Date]]-OrdersTable[[#This Row],[Order Date]]</f>
        <v>5</v>
      </c>
      <c r="AD2664" t="str">
        <f>IF(OrdersTable[[#This Row],[Delivery Days]]&lt;=2, "Express (≤2d)", IF(OrdersTable[[#This Row],[Delivery Days]]&lt;=4, "Standard (3-4d)", "Delayed (5d+)"))</f>
        <v>Delayed (5d+)</v>
      </c>
      <c r="AF2664">
        <v>0</v>
      </c>
    </row>
    <row r="2665" spans="1:32" ht="15" x14ac:dyDescent="0.35">
      <c r="A2665" t="s">
        <v>6996</v>
      </c>
      <c r="B2665" s="1">
        <v>45739</v>
      </c>
      <c r="C2665">
        <f>YEAR(OrdersTable[[#This Row],[Order Date]])</f>
        <v>2025</v>
      </c>
      <c r="D2665" s="2">
        <f>DATE(YEAR(OrdersTable[[#This Row],[Order Date]]),MONTH(OrdersTable[[#This Row],[Order Date]]),1)</f>
        <v>45717</v>
      </c>
      <c r="E2665">
        <f>MONTH(OrdersTable[[#This Row],[Order Date]])</f>
        <v>3</v>
      </c>
      <c r="F2665" t="s">
        <v>6997</v>
      </c>
      <c r="G2665" t="str">
        <f>IF(OrdersTable[[#This Row],[Order Date]]=_xlfn.MINIFS(Order_Date, Customer_ID, OrdersTable[[#This Row],[Customer ID]]), "New", "Repeat")</f>
        <v>New</v>
      </c>
      <c r="H2665" t="s">
        <v>32</v>
      </c>
      <c r="I2665" t="str">
        <f>INDEX(State!B:B,MATCH(OrdersTable[[#This Row],[State]],State!A:A,0))</f>
        <v>BR</v>
      </c>
      <c r="J2665" t="str">
        <f>INDEX(State!C:C,MATCH(OrdersTable[[#This Row],[State Code]],State!B:B,0))</f>
        <v>East</v>
      </c>
      <c r="K2665" t="s">
        <v>33</v>
      </c>
      <c r="L2665" t="s">
        <v>65</v>
      </c>
      <c r="M2665" t="s">
        <v>152</v>
      </c>
      <c r="N2665" t="str">
        <f>INDEX(Products!B:B,MATCH(OrdersTable[[#This Row],[Product ID]],Products!A:A,0))</f>
        <v>Green Tea (100 bags)</v>
      </c>
      <c r="O2665" t="str">
        <f>INDEX(Products!C:C,MATCH(OrdersTable[[#This Row],[Product ID]],Products!A:A,0))</f>
        <v>Wellness</v>
      </c>
      <c r="P2665">
        <v>4</v>
      </c>
      <c r="Q2665" s="5">
        <v>399</v>
      </c>
      <c r="R2665" s="74">
        <v>0.3</v>
      </c>
      <c r="S2665" s="75">
        <f>OrdersTable[[#This Row],[Quantity]]*OrdersTable[[#This Row],[Unit Price]]</f>
        <v>1596</v>
      </c>
      <c r="T2665" s="5">
        <f>OrdersTable[[#This Row],[Gross Sale]]*OrdersTable[[#This Row],[Discount_Clean2]]</f>
        <v>478.79999999999995</v>
      </c>
      <c r="U2665" s="5">
        <f>OrdersTable[[#This Row],[Gross Sale]]-OrdersTable[[#This Row],[Discount Amount]]</f>
        <v>1117.2</v>
      </c>
      <c r="V2665" s="77">
        <f>INDEX(Products!E:E,MATCH(OrdersTable[[#This Row],[Product ID]],Products!A:A,0))</f>
        <v>128</v>
      </c>
      <c r="W2665" s="77">
        <f>OrdersTable[[#This Row],[Quantity]]*OrdersTable[[#This Row],[Unit Cost]]</f>
        <v>512</v>
      </c>
      <c r="X2665" s="77">
        <f>'Dropdown Lists'!$I$2*(1+OrdersTable[[#This Row],[Returned]])</f>
        <v>60</v>
      </c>
      <c r="Y2665" s="76">
        <f>OrdersTable[[#This Row],[Net Revenue]]-OrdersTable[[#This Row],[COGS]]-OrdersTable[[#This Row],[Shipping Cost]]</f>
        <v>545.20000000000005</v>
      </c>
      <c r="Z2665" s="78">
        <f>IFERROR(OrdersTable[[#This Row],[Profit]]/OrdersTable[[#This Row],[Net Revenue]],0)</f>
        <v>0.4880057286072324</v>
      </c>
      <c r="AA2665" t="s">
        <v>3495</v>
      </c>
      <c r="AB2665" s="79">
        <v>45743</v>
      </c>
      <c r="AC2665">
        <f>OrdersTable[[#This Row],[Delivery Date]]-OrdersTable[[#This Row],[Order Date]]</f>
        <v>4</v>
      </c>
      <c r="AD2665" t="str">
        <f>IF(OrdersTable[[#This Row],[Delivery Days]]&lt;=2, "Express (≤2d)", IF(OrdersTable[[#This Row],[Delivery Days]]&lt;=4, "Standard (3-4d)", "Delayed (5d+)"))</f>
        <v>Standard (3-4d)</v>
      </c>
      <c r="AF2665">
        <v>0</v>
      </c>
    </row>
    <row r="2666" spans="1:32" ht="15" x14ac:dyDescent="0.35">
      <c r="A2666" t="s">
        <v>269</v>
      </c>
      <c r="B2666" s="1">
        <v>45739</v>
      </c>
      <c r="C2666">
        <f>YEAR(OrdersTable[[#This Row],[Order Date]])</f>
        <v>2025</v>
      </c>
      <c r="D2666" s="2">
        <f>DATE(YEAR(OrdersTable[[#This Row],[Order Date]]),MONTH(OrdersTable[[#This Row],[Order Date]]),1)</f>
        <v>45717</v>
      </c>
      <c r="E2666">
        <f>MONTH(OrdersTable[[#This Row],[Order Date]])</f>
        <v>3</v>
      </c>
      <c r="F2666" t="s">
        <v>270</v>
      </c>
      <c r="G2666" t="str">
        <f>IF(OrdersTable[[#This Row],[Order Date]]=_xlfn.MINIFS(Order_Date, Customer_ID, OrdersTable[[#This Row],[Customer ID]]), "New", "Repeat")</f>
        <v>Repeat</v>
      </c>
      <c r="H2666" t="s">
        <v>37</v>
      </c>
      <c r="I2666" t="str">
        <f>INDEX(State!B:B,MATCH(OrdersTable[[#This Row],[State]],State!A:A,0))</f>
        <v>GJ</v>
      </c>
      <c r="J2666" t="str">
        <f>INDEX(State!C:C,MATCH(OrdersTable[[#This Row],[State Code]],State!B:B,0))</f>
        <v>West</v>
      </c>
      <c r="K2666" t="s">
        <v>247</v>
      </c>
      <c r="L2666" t="s">
        <v>23</v>
      </c>
      <c r="M2666" t="s">
        <v>66</v>
      </c>
      <c r="N2666" t="str">
        <f>INDEX(Products!B:B,MATCH(OrdersTable[[#This Row],[Product ID]],Products!A:A,0))</f>
        <v>Sunscreen SPF 50</v>
      </c>
      <c r="O2666" t="str">
        <f>INDEX(Products!C:C,MATCH(OrdersTable[[#This Row],[Product ID]],Products!A:A,0))</f>
        <v>Skincare</v>
      </c>
      <c r="P2666">
        <v>1</v>
      </c>
      <c r="Q2666" s="5">
        <v>449</v>
      </c>
      <c r="R2666" s="74">
        <v>0.05</v>
      </c>
      <c r="S2666" s="75">
        <f>OrdersTable[[#This Row],[Quantity]]*OrdersTable[[#This Row],[Unit Price]]</f>
        <v>449</v>
      </c>
      <c r="T2666" s="5">
        <f>OrdersTable[[#This Row],[Gross Sale]]*OrdersTable[[#This Row],[Discount_Clean2]]</f>
        <v>22.450000000000003</v>
      </c>
      <c r="U2666" s="5">
        <f>OrdersTable[[#This Row],[Gross Sale]]-OrdersTable[[#This Row],[Discount Amount]]</f>
        <v>426.55</v>
      </c>
      <c r="V2666" s="77">
        <f>INDEX(Products!E:E,MATCH(OrdersTable[[#This Row],[Product ID]],Products!A:A,0))</f>
        <v>144</v>
      </c>
      <c r="W2666" s="77">
        <f>OrdersTable[[#This Row],[Quantity]]*OrdersTable[[#This Row],[Unit Cost]]</f>
        <v>144</v>
      </c>
      <c r="X2666" s="77">
        <f>'Dropdown Lists'!$I$2*(1+OrdersTable[[#This Row],[Returned]])</f>
        <v>60</v>
      </c>
      <c r="Y2666" s="76">
        <f>OrdersTable[[#This Row],[Net Revenue]]-OrdersTable[[#This Row],[COGS]]-OrdersTable[[#This Row],[Shipping Cost]]</f>
        <v>222.55</v>
      </c>
      <c r="Z2666" s="78">
        <f>IFERROR(OrdersTable[[#This Row],[Profit]]/OrdersTable[[#This Row],[Net Revenue]],0)</f>
        <v>0.52174422693705313</v>
      </c>
      <c r="AA2666" t="s">
        <v>18</v>
      </c>
      <c r="AB2666" s="79">
        <v>45741</v>
      </c>
      <c r="AC2666">
        <f>OrdersTable[[#This Row],[Delivery Date]]-OrdersTable[[#This Row],[Order Date]]</f>
        <v>2</v>
      </c>
      <c r="AD2666" t="str">
        <f>IF(OrdersTable[[#This Row],[Delivery Days]]&lt;=2, "Express (≤2d)", IF(OrdersTable[[#This Row],[Delivery Days]]&lt;=4, "Standard (3-4d)", "Delayed (5d+)"))</f>
        <v>Express (≤2d)</v>
      </c>
      <c r="AE2666">
        <v>4</v>
      </c>
      <c r="AF2666">
        <v>0</v>
      </c>
    </row>
    <row r="2667" spans="1:32" ht="15" x14ac:dyDescent="0.35">
      <c r="A2667" t="s">
        <v>271</v>
      </c>
      <c r="B2667" s="1">
        <v>45739</v>
      </c>
      <c r="C2667">
        <f>YEAR(OrdersTable[[#This Row],[Order Date]])</f>
        <v>2025</v>
      </c>
      <c r="D2667" s="2">
        <f>DATE(YEAR(OrdersTable[[#This Row],[Order Date]]),MONTH(OrdersTable[[#This Row],[Order Date]]),1)</f>
        <v>45717</v>
      </c>
      <c r="E2667">
        <f>MONTH(OrdersTable[[#This Row],[Order Date]])</f>
        <v>3</v>
      </c>
      <c r="F2667" t="s">
        <v>272</v>
      </c>
      <c r="G2667" t="str">
        <f>IF(OrdersTable[[#This Row],[Order Date]]=_xlfn.MINIFS(Order_Date, Customer_ID, OrdersTable[[#This Row],[Customer ID]]), "New", "Repeat")</f>
        <v>New</v>
      </c>
      <c r="H2667" t="s">
        <v>27</v>
      </c>
      <c r="I2667" t="str">
        <f>INDEX(State!B:B,MATCH(OrdersTable[[#This Row],[State]],State!A:A,0))</f>
        <v>WB</v>
      </c>
      <c r="J2667" t="str">
        <f>INDEX(State!C:C,MATCH(OrdersTable[[#This Row],[State Code]],State!B:B,0))</f>
        <v>East</v>
      </c>
      <c r="K2667" t="s">
        <v>28</v>
      </c>
      <c r="L2667" t="s">
        <v>23</v>
      </c>
      <c r="M2667" t="s">
        <v>92</v>
      </c>
      <c r="N2667" t="str">
        <f>INDEX(Products!B:B,MATCH(OrdersTable[[#This Row],[Product ID]],Products!A:A,0))</f>
        <v>Kolhapuri Sandals</v>
      </c>
      <c r="O2667" t="str">
        <f>INDEX(Products!C:C,MATCH(OrdersTable[[#This Row],[Product ID]],Products!A:A,0))</f>
        <v>Footwear</v>
      </c>
      <c r="P2667">
        <v>1</v>
      </c>
      <c r="Q2667" s="5">
        <v>999</v>
      </c>
      <c r="R2667" s="74">
        <v>0.1</v>
      </c>
      <c r="S2667" s="75">
        <f>OrdersTable[[#This Row],[Quantity]]*OrdersTable[[#This Row],[Unit Price]]</f>
        <v>999</v>
      </c>
      <c r="T2667" s="5">
        <f>OrdersTable[[#This Row],[Gross Sale]]*OrdersTable[[#This Row],[Discount_Clean2]]</f>
        <v>99.9</v>
      </c>
      <c r="U2667" s="5">
        <f>OrdersTable[[#This Row],[Gross Sale]]-OrdersTable[[#This Row],[Discount Amount]]</f>
        <v>899.1</v>
      </c>
      <c r="V2667" s="77">
        <f>INDEX(Products!E:E,MATCH(OrdersTable[[#This Row],[Product ID]],Products!A:A,0))</f>
        <v>400</v>
      </c>
      <c r="W2667" s="77">
        <f>OrdersTable[[#This Row],[Quantity]]*OrdersTable[[#This Row],[Unit Cost]]</f>
        <v>400</v>
      </c>
      <c r="X2667" s="77">
        <f>'Dropdown Lists'!$I$2*(1+OrdersTable[[#This Row],[Returned]])</f>
        <v>60</v>
      </c>
      <c r="Y2667" s="76">
        <f>OrdersTable[[#This Row],[Net Revenue]]-OrdersTable[[#This Row],[COGS]]-OrdersTable[[#This Row],[Shipping Cost]]</f>
        <v>439.1</v>
      </c>
      <c r="Z2667" s="78">
        <f>IFERROR(OrdersTable[[#This Row],[Profit]]/OrdersTable[[#This Row],[Net Revenue]],0)</f>
        <v>0.48837726615504395</v>
      </c>
      <c r="AA2667" t="s">
        <v>18</v>
      </c>
      <c r="AB2667" s="79">
        <v>45742</v>
      </c>
      <c r="AC2667">
        <f>OrdersTable[[#This Row],[Delivery Date]]-OrdersTable[[#This Row],[Order Date]]</f>
        <v>3</v>
      </c>
      <c r="AD2667" t="str">
        <f>IF(OrdersTable[[#This Row],[Delivery Days]]&lt;=2, "Express (≤2d)", IF(OrdersTable[[#This Row],[Delivery Days]]&lt;=4, "Standard (3-4d)", "Delayed (5d+)"))</f>
        <v>Standard (3-4d)</v>
      </c>
      <c r="AE2667">
        <v>4</v>
      </c>
      <c r="AF2667">
        <v>0</v>
      </c>
    </row>
    <row r="2668" spans="1:32" ht="15" x14ac:dyDescent="0.35">
      <c r="A2668" t="s">
        <v>5180</v>
      </c>
      <c r="B2668" s="1">
        <v>45739</v>
      </c>
      <c r="C2668">
        <f>YEAR(OrdersTable[[#This Row],[Order Date]])</f>
        <v>2025</v>
      </c>
      <c r="D2668" s="2">
        <f>DATE(YEAR(OrdersTable[[#This Row],[Order Date]]),MONTH(OrdersTable[[#This Row],[Order Date]]),1)</f>
        <v>45717</v>
      </c>
      <c r="E2668">
        <f>MONTH(OrdersTable[[#This Row],[Order Date]])</f>
        <v>3</v>
      </c>
      <c r="F2668" t="s">
        <v>4780</v>
      </c>
      <c r="G2668" t="str">
        <f>IF(OrdersTable[[#This Row],[Order Date]]=_xlfn.MINIFS(Order_Date, Customer_ID, OrdersTable[[#This Row],[Customer ID]]), "New", "Repeat")</f>
        <v>Repeat</v>
      </c>
      <c r="H2668" t="s">
        <v>27</v>
      </c>
      <c r="I2668" t="str">
        <f>INDEX(State!B:B,MATCH(OrdersTable[[#This Row],[State]],State!A:A,0))</f>
        <v>WB</v>
      </c>
      <c r="J2668" t="str">
        <f>INDEX(State!C:C,MATCH(OrdersTable[[#This Row],[State Code]],State!B:B,0))</f>
        <v>East</v>
      </c>
      <c r="K2668" t="s">
        <v>28</v>
      </c>
      <c r="L2668" t="s">
        <v>39</v>
      </c>
      <c r="M2668" t="s">
        <v>255</v>
      </c>
      <c r="N2668" t="str">
        <f>INDEX(Products!B:B,MATCH(OrdersTable[[#This Row],[Product ID]],Products!A:A,0))</f>
        <v>Cotton Oversized T-Shirt</v>
      </c>
      <c r="O2668" t="str">
        <f>INDEX(Products!C:C,MATCH(OrdersTable[[#This Row],[Product ID]],Products!A:A,0))</f>
        <v>Apparel</v>
      </c>
      <c r="P2668">
        <v>2</v>
      </c>
      <c r="Q2668" s="5">
        <v>799</v>
      </c>
      <c r="R2668" s="74">
        <v>0</v>
      </c>
      <c r="S2668" s="75">
        <f>OrdersTable[[#This Row],[Quantity]]*OrdersTable[[#This Row],[Unit Price]]</f>
        <v>1598</v>
      </c>
      <c r="T2668" s="5">
        <f>OrdersTable[[#This Row],[Gross Sale]]*OrdersTable[[#This Row],[Discount_Clean2]]</f>
        <v>0</v>
      </c>
      <c r="U2668" s="5">
        <f>OrdersTable[[#This Row],[Gross Sale]]-OrdersTable[[#This Row],[Discount Amount]]</f>
        <v>1598</v>
      </c>
      <c r="V2668" s="77">
        <f>INDEX(Products!E:E,MATCH(OrdersTable[[#This Row],[Product ID]],Products!A:A,0))</f>
        <v>320</v>
      </c>
      <c r="W2668" s="77">
        <f>OrdersTable[[#This Row],[Quantity]]*OrdersTable[[#This Row],[Unit Cost]]</f>
        <v>640</v>
      </c>
      <c r="X2668" s="77">
        <f>'Dropdown Lists'!$I$2*(1+OrdersTable[[#This Row],[Returned]])</f>
        <v>120</v>
      </c>
      <c r="Y2668" s="76">
        <f>OrdersTable[[#This Row],[Net Revenue]]-OrdersTable[[#This Row],[COGS]]-OrdersTable[[#This Row],[Shipping Cost]]</f>
        <v>838</v>
      </c>
      <c r="Z2668" s="78">
        <f>IFERROR(OrdersTable[[#This Row],[Profit]]/OrdersTable[[#This Row],[Net Revenue]],0)</f>
        <v>0.52440550688360454</v>
      </c>
      <c r="AA2668" t="s">
        <v>3495</v>
      </c>
      <c r="AB2668" s="79">
        <v>45743</v>
      </c>
      <c r="AC2668">
        <f>OrdersTable[[#This Row],[Delivery Date]]-OrdersTable[[#This Row],[Order Date]]</f>
        <v>4</v>
      </c>
      <c r="AD2668" t="str">
        <f>IF(OrdersTable[[#This Row],[Delivery Days]]&lt;=2, "Express (≤2d)", IF(OrdersTable[[#This Row],[Delivery Days]]&lt;=4, "Standard (3-4d)", "Delayed (5d+)"))</f>
        <v>Standard (3-4d)</v>
      </c>
      <c r="AF2668">
        <v>1</v>
      </c>
    </row>
    <row r="2669" spans="1:32" ht="15" x14ac:dyDescent="0.35">
      <c r="A2669" t="s">
        <v>5517</v>
      </c>
      <c r="B2669" s="1">
        <v>45739</v>
      </c>
      <c r="C2669">
        <f>YEAR(OrdersTable[[#This Row],[Order Date]])</f>
        <v>2025</v>
      </c>
      <c r="D2669" s="2">
        <f>DATE(YEAR(OrdersTable[[#This Row],[Order Date]]),MONTH(OrdersTable[[#This Row],[Order Date]]),1)</f>
        <v>45717</v>
      </c>
      <c r="E2669">
        <f>MONTH(OrdersTable[[#This Row],[Order Date]])</f>
        <v>3</v>
      </c>
      <c r="F2669" t="s">
        <v>4663</v>
      </c>
      <c r="G2669" t="str">
        <f>IF(OrdersTable[[#This Row],[Order Date]]=_xlfn.MINIFS(Order_Date, Customer_ID, OrdersTable[[#This Row],[Customer ID]]), "New", "Repeat")</f>
        <v>Repeat</v>
      </c>
      <c r="H2669" t="s">
        <v>95</v>
      </c>
      <c r="I2669" t="str">
        <f>INDEX(State!B:B,MATCH(OrdersTable[[#This Row],[State]],State!A:A,0))</f>
        <v>TG</v>
      </c>
      <c r="J2669" t="str">
        <f>INDEX(State!C:C,MATCH(OrdersTable[[#This Row],[State Code]],State!B:B,0))</f>
        <v>South</v>
      </c>
      <c r="K2669" t="s">
        <v>96</v>
      </c>
      <c r="L2669" t="s">
        <v>39</v>
      </c>
      <c r="M2669" t="s">
        <v>29</v>
      </c>
      <c r="N2669" t="str">
        <f>INDEX(Products!B:B,MATCH(OrdersTable[[#This Row],[Product ID]],Products!A:A,0))</f>
        <v>Joggers</v>
      </c>
      <c r="O2669" t="str">
        <f>INDEX(Products!C:C,MATCH(OrdersTable[[#This Row],[Product ID]],Products!A:A,0))</f>
        <v>Apparel</v>
      </c>
      <c r="P2669">
        <v>2</v>
      </c>
      <c r="Q2669" s="5">
        <v>1199</v>
      </c>
      <c r="R2669" s="74">
        <v>0.05</v>
      </c>
      <c r="S2669" s="75">
        <f>OrdersTable[[#This Row],[Quantity]]*OrdersTable[[#This Row],[Unit Price]]</f>
        <v>2398</v>
      </c>
      <c r="T2669" s="5">
        <f>OrdersTable[[#This Row],[Gross Sale]]*OrdersTable[[#This Row],[Discount_Clean2]]</f>
        <v>119.9</v>
      </c>
      <c r="U2669" s="5">
        <f>OrdersTable[[#This Row],[Gross Sale]]-OrdersTable[[#This Row],[Discount Amount]]</f>
        <v>2278.1</v>
      </c>
      <c r="V2669" s="77">
        <f>INDEX(Products!E:E,MATCH(OrdersTable[[#This Row],[Product ID]],Products!A:A,0))</f>
        <v>492</v>
      </c>
      <c r="W2669" s="77">
        <f>OrdersTable[[#This Row],[Quantity]]*OrdersTable[[#This Row],[Unit Cost]]</f>
        <v>984</v>
      </c>
      <c r="X2669" s="77">
        <f>'Dropdown Lists'!$I$2*(1+OrdersTable[[#This Row],[Returned]])</f>
        <v>60</v>
      </c>
      <c r="Y2669" s="76">
        <f>OrdersTable[[#This Row],[Net Revenue]]-OrdersTable[[#This Row],[COGS]]-OrdersTable[[#This Row],[Shipping Cost]]</f>
        <v>1234.0999999999999</v>
      </c>
      <c r="Z2669" s="78">
        <f>IFERROR(OrdersTable[[#This Row],[Profit]]/OrdersTable[[#This Row],[Net Revenue]],0)</f>
        <v>0.54172336596286375</v>
      </c>
      <c r="AA2669" t="s">
        <v>2522</v>
      </c>
      <c r="AB2669" s="79">
        <v>45743</v>
      </c>
      <c r="AC2669">
        <f>OrdersTable[[#This Row],[Delivery Date]]-OrdersTable[[#This Row],[Order Date]]</f>
        <v>4</v>
      </c>
      <c r="AD2669" t="str">
        <f>IF(OrdersTable[[#This Row],[Delivery Days]]&lt;=2, "Express (≤2d)", IF(OrdersTable[[#This Row],[Delivery Days]]&lt;=4, "Standard (3-4d)", "Delayed (5d+)"))</f>
        <v>Standard (3-4d)</v>
      </c>
      <c r="AE2669">
        <v>4</v>
      </c>
      <c r="AF2669">
        <v>0</v>
      </c>
    </row>
    <row r="2670" spans="1:32" ht="15" x14ac:dyDescent="0.35">
      <c r="A2670" t="s">
        <v>6998</v>
      </c>
      <c r="B2670" s="1">
        <v>45739</v>
      </c>
      <c r="C2670">
        <f>YEAR(OrdersTable[[#This Row],[Order Date]])</f>
        <v>2025</v>
      </c>
      <c r="D2670" s="2">
        <f>DATE(YEAR(OrdersTable[[#This Row],[Order Date]]),MONTH(OrdersTable[[#This Row],[Order Date]]),1)</f>
        <v>45717</v>
      </c>
      <c r="E2670">
        <f>MONTH(OrdersTable[[#This Row],[Order Date]])</f>
        <v>3</v>
      </c>
      <c r="F2670" t="s">
        <v>1085</v>
      </c>
      <c r="G2670" t="str">
        <f>IF(OrdersTable[[#This Row],[Order Date]]=_xlfn.MINIFS(Order_Date, Customer_ID, OrdersTable[[#This Row],[Customer ID]]), "New", "Repeat")</f>
        <v>Repeat</v>
      </c>
      <c r="H2670" t="s">
        <v>90</v>
      </c>
      <c r="I2670" t="str">
        <f>INDEX(State!B:B,MATCH(OrdersTable[[#This Row],[State]],State!A:A,0))</f>
        <v>GA</v>
      </c>
      <c r="J2670" t="str">
        <f>INDEX(State!C:C,MATCH(OrdersTable[[#This Row],[State Code]],State!B:B,0))</f>
        <v>West</v>
      </c>
      <c r="K2670" t="s">
        <v>91</v>
      </c>
      <c r="L2670" t="s">
        <v>23</v>
      </c>
      <c r="M2670" t="s">
        <v>423</v>
      </c>
      <c r="N2670" t="str">
        <f>INDEX(Products!B:B,MATCH(OrdersTable[[#This Row],[Product ID]],Products!A:A,0))</f>
        <v>Power Bank 20000mAh</v>
      </c>
      <c r="O2670" t="str">
        <f>INDEX(Products!C:C,MATCH(OrdersTable[[#This Row],[Product ID]],Products!A:A,0))</f>
        <v>Electronics</v>
      </c>
      <c r="P2670">
        <v>4</v>
      </c>
      <c r="Q2670" s="5">
        <v>1799</v>
      </c>
      <c r="R2670" s="74">
        <v>0.45</v>
      </c>
      <c r="S2670" s="75">
        <f>OrdersTable[[#This Row],[Quantity]]*OrdersTable[[#This Row],[Unit Price]]</f>
        <v>7196</v>
      </c>
      <c r="T2670" s="5">
        <f>OrdersTable[[#This Row],[Gross Sale]]*OrdersTable[[#This Row],[Discount_Clean2]]</f>
        <v>3238.2000000000003</v>
      </c>
      <c r="U2670" s="5">
        <f>OrdersTable[[#This Row],[Gross Sale]]-OrdersTable[[#This Row],[Discount Amount]]</f>
        <v>3957.7999999999997</v>
      </c>
      <c r="V2670" s="77">
        <f>INDEX(Products!E:E,MATCH(OrdersTable[[#This Row],[Product ID]],Products!A:A,0))</f>
        <v>1079</v>
      </c>
      <c r="W2670" s="77">
        <f>OrdersTable[[#This Row],[Quantity]]*OrdersTable[[#This Row],[Unit Cost]]</f>
        <v>4316</v>
      </c>
      <c r="X2670" s="77">
        <f>'Dropdown Lists'!$I$2*(1+OrdersTable[[#This Row],[Returned]])</f>
        <v>60</v>
      </c>
      <c r="Y2670" s="76">
        <f>OrdersTable[[#This Row],[Net Revenue]]-OrdersTable[[#This Row],[COGS]]-OrdersTable[[#This Row],[Shipping Cost]]</f>
        <v>-418.20000000000027</v>
      </c>
      <c r="Z2670" s="78">
        <f>IFERROR(OrdersTable[[#This Row],[Profit]]/OrdersTable[[#This Row],[Net Revenue]],0)</f>
        <v>-0.10566476325231197</v>
      </c>
      <c r="AA2670" t="s">
        <v>4074</v>
      </c>
      <c r="AB2670" s="79">
        <v>45741</v>
      </c>
      <c r="AC2670">
        <f>OrdersTable[[#This Row],[Delivery Date]]-OrdersTable[[#This Row],[Order Date]]</f>
        <v>2</v>
      </c>
      <c r="AD2670" t="str">
        <f>IF(OrdersTable[[#This Row],[Delivery Days]]&lt;=2, "Express (≤2d)", IF(OrdersTable[[#This Row],[Delivery Days]]&lt;=4, "Standard (3-4d)", "Delayed (5d+)"))</f>
        <v>Express (≤2d)</v>
      </c>
      <c r="AE2670">
        <v>3</v>
      </c>
      <c r="AF2670">
        <v>0</v>
      </c>
    </row>
    <row r="2671" spans="1:32" ht="15" x14ac:dyDescent="0.35">
      <c r="A2671" t="s">
        <v>1718</v>
      </c>
      <c r="B2671" s="1">
        <v>45739</v>
      </c>
      <c r="C2671">
        <f>YEAR(OrdersTable[[#This Row],[Order Date]])</f>
        <v>2025</v>
      </c>
      <c r="D2671" s="2">
        <f>DATE(YEAR(OrdersTable[[#This Row],[Order Date]]),MONTH(OrdersTable[[#This Row],[Order Date]]),1)</f>
        <v>45717</v>
      </c>
      <c r="E2671">
        <f>MONTH(OrdersTable[[#This Row],[Order Date]])</f>
        <v>3</v>
      </c>
      <c r="F2671" t="s">
        <v>957</v>
      </c>
      <c r="G2671" t="str">
        <f>IF(OrdersTable[[#This Row],[Order Date]]=_xlfn.MINIFS(Order_Date, Customer_ID, OrdersTable[[#This Row],[Customer ID]]), "New", "Repeat")</f>
        <v>Repeat</v>
      </c>
      <c r="H2671" t="s">
        <v>167</v>
      </c>
      <c r="I2671" t="str">
        <f>INDEX(State!B:B,MATCH(OrdersTable[[#This Row],[State]],State!A:A,0))</f>
        <v>KA</v>
      </c>
      <c r="J2671" t="str">
        <f>INDEX(State!C:C,MATCH(OrdersTable[[#This Row],[State Code]],State!B:B,0))</f>
        <v>South</v>
      </c>
      <c r="K2671" t="s">
        <v>168</v>
      </c>
      <c r="L2671" t="s">
        <v>65</v>
      </c>
      <c r="M2671" t="s">
        <v>73</v>
      </c>
      <c r="N2671" t="str">
        <f>INDEX(Products!B:B,MATCH(OrdersTable[[#This Row],[Product ID]],Products!A:A,0))</f>
        <v>Hydrating Face Wash</v>
      </c>
      <c r="O2671" t="str">
        <f>INDEX(Products!C:C,MATCH(OrdersTable[[#This Row],[Product ID]],Products!A:A,0))</f>
        <v>Skincare</v>
      </c>
      <c r="P2671">
        <v>1</v>
      </c>
      <c r="Q2671" s="5">
        <v>299</v>
      </c>
      <c r="R2671" s="74">
        <v>0.05</v>
      </c>
      <c r="S2671" s="75">
        <f>OrdersTable[[#This Row],[Quantity]]*OrdersTable[[#This Row],[Unit Price]]</f>
        <v>299</v>
      </c>
      <c r="T2671" s="5">
        <f>OrdersTable[[#This Row],[Gross Sale]]*OrdersTable[[#This Row],[Discount_Clean2]]</f>
        <v>14.950000000000001</v>
      </c>
      <c r="U2671" s="5">
        <f>OrdersTable[[#This Row],[Gross Sale]]-OrdersTable[[#This Row],[Discount Amount]]</f>
        <v>284.05</v>
      </c>
      <c r="V2671" s="77">
        <f>INDEX(Products!E:E,MATCH(OrdersTable[[#This Row],[Product ID]],Products!A:A,0))</f>
        <v>90</v>
      </c>
      <c r="W2671" s="77">
        <f>OrdersTable[[#This Row],[Quantity]]*OrdersTable[[#This Row],[Unit Cost]]</f>
        <v>90</v>
      </c>
      <c r="X2671" s="77">
        <f>'Dropdown Lists'!$I$2*(1+OrdersTable[[#This Row],[Returned]])</f>
        <v>60</v>
      </c>
      <c r="Y2671" s="76">
        <f>OrdersTable[[#This Row],[Net Revenue]]-OrdersTable[[#This Row],[COGS]]-OrdersTable[[#This Row],[Shipping Cost]]</f>
        <v>134.05000000000001</v>
      </c>
      <c r="Z2671" s="78">
        <f>IFERROR(OrdersTable[[#This Row],[Profit]]/OrdersTable[[#This Row],[Net Revenue]],0)</f>
        <v>0.47192395704981521</v>
      </c>
      <c r="AA2671" t="s">
        <v>18</v>
      </c>
      <c r="AB2671" s="79">
        <v>45742</v>
      </c>
      <c r="AC2671">
        <f>OrdersTable[[#This Row],[Delivery Date]]-OrdersTable[[#This Row],[Order Date]]</f>
        <v>3</v>
      </c>
      <c r="AD2671" t="str">
        <f>IF(OrdersTable[[#This Row],[Delivery Days]]&lt;=2, "Express (≤2d)", IF(OrdersTable[[#This Row],[Delivery Days]]&lt;=4, "Standard (3-4d)", "Delayed (5d+)"))</f>
        <v>Standard (3-4d)</v>
      </c>
      <c r="AF2671">
        <v>0</v>
      </c>
    </row>
    <row r="2672" spans="1:32" ht="15" x14ac:dyDescent="0.35">
      <c r="A2672" t="s">
        <v>4991</v>
      </c>
      <c r="B2672" s="1">
        <v>45739</v>
      </c>
      <c r="C2672">
        <f>YEAR(OrdersTable[[#This Row],[Order Date]])</f>
        <v>2025</v>
      </c>
      <c r="D2672" s="2">
        <f>DATE(YEAR(OrdersTable[[#This Row],[Order Date]]),MONTH(OrdersTable[[#This Row],[Order Date]]),1)</f>
        <v>45717</v>
      </c>
      <c r="E2672">
        <f>MONTH(OrdersTable[[#This Row],[Order Date]])</f>
        <v>3</v>
      </c>
      <c r="F2672" t="s">
        <v>2148</v>
      </c>
      <c r="G2672" t="str">
        <f>IF(OrdersTable[[#This Row],[Order Date]]=_xlfn.MINIFS(Order_Date, Customer_ID, OrdersTable[[#This Row],[Customer ID]]), "New", "Repeat")</f>
        <v>Repeat</v>
      </c>
      <c r="H2672" t="s">
        <v>167</v>
      </c>
      <c r="I2672" t="str">
        <f>INDEX(State!B:B,MATCH(OrdersTable[[#This Row],[State]],State!A:A,0))</f>
        <v>KA</v>
      </c>
      <c r="J2672" t="str">
        <f>INDEX(State!C:C,MATCH(OrdersTable[[#This Row],[State Code]],State!B:B,0))</f>
        <v>South</v>
      </c>
      <c r="K2672" t="s">
        <v>190</v>
      </c>
      <c r="L2672" t="s">
        <v>50</v>
      </c>
      <c r="M2672" t="s">
        <v>66</v>
      </c>
      <c r="N2672" t="str">
        <f>INDEX(Products!B:B,MATCH(OrdersTable[[#This Row],[Product ID]],Products!A:A,0))</f>
        <v>Sunscreen SPF 50</v>
      </c>
      <c r="O2672" t="str">
        <f>INDEX(Products!C:C,MATCH(OrdersTable[[#This Row],[Product ID]],Products!A:A,0))</f>
        <v>Skincare</v>
      </c>
      <c r="P2672">
        <v>2</v>
      </c>
      <c r="Q2672" s="5">
        <v>449</v>
      </c>
      <c r="R2672" s="74">
        <v>0.15</v>
      </c>
      <c r="S2672" s="75">
        <f>OrdersTable[[#This Row],[Quantity]]*OrdersTable[[#This Row],[Unit Price]]</f>
        <v>898</v>
      </c>
      <c r="T2672" s="5">
        <f>OrdersTable[[#This Row],[Gross Sale]]*OrdersTable[[#This Row],[Discount_Clean2]]</f>
        <v>134.69999999999999</v>
      </c>
      <c r="U2672" s="5">
        <f>OrdersTable[[#This Row],[Gross Sale]]-OrdersTable[[#This Row],[Discount Amount]]</f>
        <v>763.3</v>
      </c>
      <c r="V2672" s="77">
        <f>INDEX(Products!E:E,MATCH(OrdersTable[[#This Row],[Product ID]],Products!A:A,0))</f>
        <v>144</v>
      </c>
      <c r="W2672" s="77">
        <f>OrdersTable[[#This Row],[Quantity]]*OrdersTable[[#This Row],[Unit Cost]]</f>
        <v>288</v>
      </c>
      <c r="X2672" s="77">
        <f>'Dropdown Lists'!$I$2*(1+OrdersTable[[#This Row],[Returned]])</f>
        <v>60</v>
      </c>
      <c r="Y2672" s="76">
        <f>OrdersTable[[#This Row],[Net Revenue]]-OrdersTable[[#This Row],[COGS]]-OrdersTable[[#This Row],[Shipping Cost]]</f>
        <v>415.29999999999995</v>
      </c>
      <c r="Z2672" s="78">
        <f>IFERROR(OrdersTable[[#This Row],[Profit]]/OrdersTable[[#This Row],[Net Revenue]],0)</f>
        <v>0.54408489453687936</v>
      </c>
      <c r="AA2672" t="s">
        <v>4074</v>
      </c>
      <c r="AB2672" s="79">
        <v>45740</v>
      </c>
      <c r="AC2672">
        <f>OrdersTable[[#This Row],[Delivery Date]]-OrdersTable[[#This Row],[Order Date]]</f>
        <v>1</v>
      </c>
      <c r="AD2672" t="str">
        <f>IF(OrdersTable[[#This Row],[Delivery Days]]&lt;=2, "Express (≤2d)", IF(OrdersTable[[#This Row],[Delivery Days]]&lt;=4, "Standard (3-4d)", "Delayed (5d+)"))</f>
        <v>Express (≤2d)</v>
      </c>
      <c r="AE2672">
        <v>5</v>
      </c>
      <c r="AF2672">
        <v>0</v>
      </c>
    </row>
    <row r="2673" spans="1:32" ht="15" x14ac:dyDescent="0.35">
      <c r="A2673" t="s">
        <v>2376</v>
      </c>
      <c r="B2673" s="1">
        <v>45739</v>
      </c>
      <c r="C2673">
        <f>YEAR(OrdersTable[[#This Row],[Order Date]])</f>
        <v>2025</v>
      </c>
      <c r="D2673" s="2">
        <f>DATE(YEAR(OrdersTable[[#This Row],[Order Date]]),MONTH(OrdersTable[[#This Row],[Order Date]]),1)</f>
        <v>45717</v>
      </c>
      <c r="E2673">
        <f>MONTH(OrdersTable[[#This Row],[Order Date]])</f>
        <v>3</v>
      </c>
      <c r="F2673" t="s">
        <v>1408</v>
      </c>
      <c r="G2673" t="str">
        <f>IF(OrdersTable[[#This Row],[Order Date]]=_xlfn.MINIFS(Order_Date, Customer_ID, OrdersTable[[#This Row],[Customer ID]]), "New", "Repeat")</f>
        <v>Repeat</v>
      </c>
      <c r="H2673" t="s">
        <v>59</v>
      </c>
      <c r="I2673" t="str">
        <f>INDEX(State!B:B,MATCH(OrdersTable[[#This Row],[State]],State!A:A,0))</f>
        <v>TN</v>
      </c>
      <c r="J2673" t="str">
        <f>INDEX(State!C:C,MATCH(OrdersTable[[#This Row],[State Code]],State!B:B,0))</f>
        <v>South</v>
      </c>
      <c r="K2673" t="s">
        <v>64</v>
      </c>
      <c r="L2673" t="s">
        <v>50</v>
      </c>
      <c r="M2673" t="s">
        <v>73</v>
      </c>
      <c r="N2673" t="str">
        <f>INDEX(Products!B:B,MATCH(OrdersTable[[#This Row],[Product ID]],Products!A:A,0))</f>
        <v>Hydrating Face Wash</v>
      </c>
      <c r="O2673" t="str">
        <f>INDEX(Products!C:C,MATCH(OrdersTable[[#This Row],[Product ID]],Products!A:A,0))</f>
        <v>Skincare</v>
      </c>
      <c r="P2673">
        <v>1</v>
      </c>
      <c r="Q2673" s="5">
        <v>299</v>
      </c>
      <c r="R2673" s="74">
        <v>0.05</v>
      </c>
      <c r="S2673" s="75">
        <f>OrdersTable[[#This Row],[Quantity]]*OrdersTable[[#This Row],[Unit Price]]</f>
        <v>299</v>
      </c>
      <c r="T2673" s="5">
        <f>OrdersTable[[#This Row],[Gross Sale]]*OrdersTable[[#This Row],[Discount_Clean2]]</f>
        <v>14.950000000000001</v>
      </c>
      <c r="U2673" s="5">
        <f>OrdersTable[[#This Row],[Gross Sale]]-OrdersTable[[#This Row],[Discount Amount]]</f>
        <v>284.05</v>
      </c>
      <c r="V2673" s="77">
        <f>INDEX(Products!E:E,MATCH(OrdersTable[[#This Row],[Product ID]],Products!A:A,0))</f>
        <v>90</v>
      </c>
      <c r="W2673" s="77">
        <f>OrdersTable[[#This Row],[Quantity]]*OrdersTable[[#This Row],[Unit Cost]]</f>
        <v>90</v>
      </c>
      <c r="X2673" s="77">
        <f>'Dropdown Lists'!$I$2*(1+OrdersTable[[#This Row],[Returned]])</f>
        <v>60</v>
      </c>
      <c r="Y2673" s="76">
        <f>OrdersTable[[#This Row],[Net Revenue]]-OrdersTable[[#This Row],[COGS]]-OrdersTable[[#This Row],[Shipping Cost]]</f>
        <v>134.05000000000001</v>
      </c>
      <c r="Z2673" s="78">
        <f>IFERROR(OrdersTable[[#This Row],[Profit]]/OrdersTable[[#This Row],[Net Revenue]],0)</f>
        <v>0.47192395704981521</v>
      </c>
      <c r="AA2673" t="s">
        <v>18</v>
      </c>
      <c r="AB2673" s="79">
        <v>45742</v>
      </c>
      <c r="AC2673">
        <f>OrdersTable[[#This Row],[Delivery Date]]-OrdersTable[[#This Row],[Order Date]]</f>
        <v>3</v>
      </c>
      <c r="AD2673" t="str">
        <f>IF(OrdersTable[[#This Row],[Delivery Days]]&lt;=2, "Express (≤2d)", IF(OrdersTable[[#This Row],[Delivery Days]]&lt;=4, "Standard (3-4d)", "Delayed (5d+)"))</f>
        <v>Standard (3-4d)</v>
      </c>
      <c r="AE2673">
        <v>5</v>
      </c>
      <c r="AF2673">
        <v>0</v>
      </c>
    </row>
    <row r="2674" spans="1:32" ht="15" x14ac:dyDescent="0.35">
      <c r="A2674" t="s">
        <v>6352</v>
      </c>
      <c r="B2674" s="1">
        <v>45740</v>
      </c>
      <c r="C2674">
        <f>YEAR(OrdersTable[[#This Row],[Order Date]])</f>
        <v>2025</v>
      </c>
      <c r="D2674" s="2">
        <f>DATE(YEAR(OrdersTable[[#This Row],[Order Date]]),MONTH(OrdersTable[[#This Row],[Order Date]]),1)</f>
        <v>45717</v>
      </c>
      <c r="E2674">
        <f>MONTH(OrdersTable[[#This Row],[Order Date]])</f>
        <v>3</v>
      </c>
      <c r="F2674" t="s">
        <v>1878</v>
      </c>
      <c r="G2674" t="str">
        <f>IF(OrdersTable[[#This Row],[Order Date]]=_xlfn.MINIFS(Order_Date, Customer_ID, OrdersTable[[#This Row],[Customer ID]]), "New", "Repeat")</f>
        <v>Repeat</v>
      </c>
      <c r="H2674" t="s">
        <v>54</v>
      </c>
      <c r="I2674" t="str">
        <f>INDEX(State!B:B,MATCH(OrdersTable[[#This Row],[State]],State!A:A,0))</f>
        <v>RJ</v>
      </c>
      <c r="J2674" t="str">
        <f>INDEX(State!C:C,MATCH(OrdersTable[[#This Row],[State Code]],State!B:B,0))</f>
        <v>North</v>
      </c>
      <c r="K2674" t="s">
        <v>55</v>
      </c>
      <c r="L2674" t="s">
        <v>65</v>
      </c>
      <c r="M2674" t="s">
        <v>51</v>
      </c>
      <c r="N2674" t="str">
        <f>INDEX(Products!B:B,MATCH(OrdersTable[[#This Row],[Product ID]],Products!A:A,0))</f>
        <v>Anti-Dandruff Conditioner</v>
      </c>
      <c r="O2674" t="str">
        <f>INDEX(Products!C:C,MATCH(OrdersTable[[#This Row],[Product ID]],Products!A:A,0))</f>
        <v>Haircare</v>
      </c>
      <c r="P2674">
        <v>2</v>
      </c>
      <c r="Q2674" s="5">
        <v>399</v>
      </c>
      <c r="R2674" s="74">
        <v>0.3</v>
      </c>
      <c r="S2674" s="75">
        <f>OrdersTable[[#This Row],[Quantity]]*OrdersTable[[#This Row],[Unit Price]]</f>
        <v>798</v>
      </c>
      <c r="T2674" s="5">
        <f>OrdersTable[[#This Row],[Gross Sale]]*OrdersTable[[#This Row],[Discount_Clean2]]</f>
        <v>239.39999999999998</v>
      </c>
      <c r="U2674" s="5">
        <f>OrdersTable[[#This Row],[Gross Sale]]-OrdersTable[[#This Row],[Discount Amount]]</f>
        <v>558.6</v>
      </c>
      <c r="V2674" s="77">
        <f>INDEX(Products!E:E,MATCH(OrdersTable[[#This Row],[Product ID]],Products!A:A,0))</f>
        <v>136</v>
      </c>
      <c r="W2674" s="77">
        <f>OrdersTable[[#This Row],[Quantity]]*OrdersTable[[#This Row],[Unit Cost]]</f>
        <v>272</v>
      </c>
      <c r="X2674" s="77">
        <f>'Dropdown Lists'!$I$2*(1+OrdersTable[[#This Row],[Returned]])</f>
        <v>60</v>
      </c>
      <c r="Y2674" s="76">
        <f>OrdersTable[[#This Row],[Net Revenue]]-OrdersTable[[#This Row],[COGS]]-OrdersTable[[#This Row],[Shipping Cost]]</f>
        <v>226.60000000000002</v>
      </c>
      <c r="Z2674" s="78">
        <f>IFERROR(OrdersTable[[#This Row],[Profit]]/OrdersTable[[#This Row],[Net Revenue]],0)</f>
        <v>0.40565699964196206</v>
      </c>
      <c r="AA2674" t="s">
        <v>18</v>
      </c>
      <c r="AB2674" s="79">
        <v>45744</v>
      </c>
      <c r="AC2674">
        <f>OrdersTable[[#This Row],[Delivery Date]]-OrdersTable[[#This Row],[Order Date]]</f>
        <v>4</v>
      </c>
      <c r="AD2674" t="str">
        <f>IF(OrdersTable[[#This Row],[Delivery Days]]&lt;=2, "Express (≤2d)", IF(OrdersTable[[#This Row],[Delivery Days]]&lt;=4, "Standard (3-4d)", "Delayed (5d+)"))</f>
        <v>Standard (3-4d)</v>
      </c>
      <c r="AE2674">
        <v>4</v>
      </c>
      <c r="AF2674">
        <v>0</v>
      </c>
    </row>
    <row r="2675" spans="1:32" ht="15" x14ac:dyDescent="0.35">
      <c r="A2675" t="s">
        <v>4607</v>
      </c>
      <c r="B2675" s="1">
        <v>45740</v>
      </c>
      <c r="C2675">
        <f>YEAR(OrdersTable[[#This Row],[Order Date]])</f>
        <v>2025</v>
      </c>
      <c r="D2675" s="2">
        <f>DATE(YEAR(OrdersTable[[#This Row],[Order Date]]),MONTH(OrdersTable[[#This Row],[Order Date]]),1)</f>
        <v>45717</v>
      </c>
      <c r="E2675">
        <f>MONTH(OrdersTable[[#This Row],[Order Date]])</f>
        <v>3</v>
      </c>
      <c r="F2675" t="s">
        <v>75</v>
      </c>
      <c r="G2675" t="str">
        <f>IF(OrdersTable[[#This Row],[Order Date]]=_xlfn.MINIFS(Order_Date, Customer_ID, OrdersTable[[#This Row],[Customer ID]]), "New", "Repeat")</f>
        <v>Repeat</v>
      </c>
      <c r="H2675" t="s">
        <v>54</v>
      </c>
      <c r="I2675" t="str">
        <f>INDEX(State!B:B,MATCH(OrdersTable[[#This Row],[State]],State!A:A,0))</f>
        <v>RJ</v>
      </c>
      <c r="J2675" t="str">
        <f>INDEX(State!C:C,MATCH(OrdersTable[[#This Row],[State Code]],State!B:B,0))</f>
        <v>North</v>
      </c>
      <c r="K2675" t="s">
        <v>227</v>
      </c>
      <c r="L2675" t="s">
        <v>16</v>
      </c>
      <c r="M2675" t="s">
        <v>34</v>
      </c>
      <c r="N2675" t="str">
        <f>INDEX(Products!B:B,MATCH(OrdersTable[[#This Row],[Product ID]],Products!A:A,0))</f>
        <v>Flip Flops</v>
      </c>
      <c r="O2675" t="str">
        <f>INDEX(Products!C:C,MATCH(OrdersTable[[#This Row],[Product ID]],Products!A:A,0))</f>
        <v>Footwear</v>
      </c>
      <c r="P2675">
        <v>1</v>
      </c>
      <c r="Q2675" s="5">
        <v>399</v>
      </c>
      <c r="R2675" s="74">
        <v>0.1</v>
      </c>
      <c r="S2675" s="75">
        <f>OrdersTable[[#This Row],[Quantity]]*OrdersTable[[#This Row],[Unit Price]]</f>
        <v>399</v>
      </c>
      <c r="T2675" s="5">
        <f>OrdersTable[[#This Row],[Gross Sale]]*OrdersTable[[#This Row],[Discount_Clean2]]</f>
        <v>39.900000000000006</v>
      </c>
      <c r="U2675" s="5">
        <f>OrdersTable[[#This Row],[Gross Sale]]-OrdersTable[[#This Row],[Discount Amount]]</f>
        <v>359.1</v>
      </c>
      <c r="V2675" s="77">
        <f>INDEX(Products!E:E,MATCH(OrdersTable[[#This Row],[Product ID]],Products!A:A,0))</f>
        <v>152</v>
      </c>
      <c r="W2675" s="77">
        <f>OrdersTable[[#This Row],[Quantity]]*OrdersTable[[#This Row],[Unit Cost]]</f>
        <v>152</v>
      </c>
      <c r="X2675" s="77">
        <f>'Dropdown Lists'!$I$2*(1+OrdersTable[[#This Row],[Returned]])</f>
        <v>60</v>
      </c>
      <c r="Y2675" s="76">
        <f>OrdersTable[[#This Row],[Net Revenue]]-OrdersTable[[#This Row],[COGS]]-OrdersTable[[#This Row],[Shipping Cost]]</f>
        <v>147.10000000000002</v>
      </c>
      <c r="Z2675" s="78">
        <f>IFERROR(OrdersTable[[#This Row],[Profit]]/OrdersTable[[#This Row],[Net Revenue]],0)</f>
        <v>0.40963519910888335</v>
      </c>
      <c r="AA2675" t="s">
        <v>4450</v>
      </c>
      <c r="AB2675" s="79">
        <v>45743</v>
      </c>
      <c r="AC2675">
        <f>OrdersTable[[#This Row],[Delivery Date]]-OrdersTable[[#This Row],[Order Date]]</f>
        <v>3</v>
      </c>
      <c r="AD2675" t="str">
        <f>IF(OrdersTable[[#This Row],[Delivery Days]]&lt;=2, "Express (≤2d)", IF(OrdersTable[[#This Row],[Delivery Days]]&lt;=4, "Standard (3-4d)", "Delayed (5d+)"))</f>
        <v>Standard (3-4d)</v>
      </c>
      <c r="AF2675">
        <v>0</v>
      </c>
    </row>
    <row r="2676" spans="1:32" ht="15" x14ac:dyDescent="0.35">
      <c r="A2676" t="s">
        <v>5702</v>
      </c>
      <c r="B2676" s="1">
        <v>45740</v>
      </c>
      <c r="C2676">
        <f>YEAR(OrdersTable[[#This Row],[Order Date]])</f>
        <v>2025</v>
      </c>
      <c r="D2676" s="2">
        <f>DATE(YEAR(OrdersTable[[#This Row],[Order Date]]),MONTH(OrdersTable[[#This Row],[Order Date]]),1)</f>
        <v>45717</v>
      </c>
      <c r="E2676">
        <f>MONTH(OrdersTable[[#This Row],[Order Date]])</f>
        <v>3</v>
      </c>
      <c r="F2676" t="s">
        <v>3186</v>
      </c>
      <c r="G2676" t="str">
        <f>IF(OrdersTable[[#This Row],[Order Date]]=_xlfn.MINIFS(Order_Date, Customer_ID, OrdersTable[[#This Row],[Customer ID]]), "New", "Repeat")</f>
        <v>Repeat</v>
      </c>
      <c r="H2676" t="s">
        <v>132</v>
      </c>
      <c r="I2676" t="str">
        <f>INDEX(State!B:B,MATCH(OrdersTable[[#This Row],[State]],State!A:A,0))</f>
        <v>AS</v>
      </c>
      <c r="J2676" t="str">
        <f>INDEX(State!C:C,MATCH(OrdersTable[[#This Row],[State Code]],State!B:B,0))</f>
        <v>East</v>
      </c>
      <c r="K2676" t="s">
        <v>133</v>
      </c>
      <c r="L2676" t="s">
        <v>16</v>
      </c>
      <c r="M2676" t="s">
        <v>176</v>
      </c>
      <c r="N2676" t="str">
        <f>INDEX(Products!B:B,MATCH(OrdersTable[[#This Row],[Product ID]],Products!A:A,0))</f>
        <v>Denim Jacket</v>
      </c>
      <c r="O2676" t="str">
        <f>INDEX(Products!C:C,MATCH(OrdersTable[[#This Row],[Product ID]],Products!A:A,0))</f>
        <v>Apparel</v>
      </c>
      <c r="P2676">
        <v>2</v>
      </c>
      <c r="Q2676" s="5">
        <v>2499</v>
      </c>
      <c r="R2676" s="74">
        <v>0.1</v>
      </c>
      <c r="S2676" s="75">
        <f>OrdersTable[[#This Row],[Quantity]]*OrdersTable[[#This Row],[Unit Price]]</f>
        <v>4998</v>
      </c>
      <c r="T2676" s="5">
        <f>OrdersTable[[#This Row],[Gross Sale]]*OrdersTable[[#This Row],[Discount_Clean2]]</f>
        <v>499.8</v>
      </c>
      <c r="U2676" s="5">
        <f>OrdersTable[[#This Row],[Gross Sale]]-OrdersTable[[#This Row],[Discount Amount]]</f>
        <v>4498.2</v>
      </c>
      <c r="V2676" s="77">
        <f>INDEX(Products!E:E,MATCH(OrdersTable[[#This Row],[Product ID]],Products!A:A,0))</f>
        <v>1125</v>
      </c>
      <c r="W2676" s="77">
        <f>OrdersTable[[#This Row],[Quantity]]*OrdersTable[[#This Row],[Unit Cost]]</f>
        <v>2250</v>
      </c>
      <c r="X2676" s="77">
        <f>'Dropdown Lists'!$I$2*(1+OrdersTable[[#This Row],[Returned]])</f>
        <v>60</v>
      </c>
      <c r="Y2676" s="76">
        <f>OrdersTable[[#This Row],[Net Revenue]]-OrdersTable[[#This Row],[COGS]]-OrdersTable[[#This Row],[Shipping Cost]]</f>
        <v>2188.1999999999998</v>
      </c>
      <c r="Z2676" s="78">
        <f>IFERROR(OrdersTable[[#This Row],[Profit]]/OrdersTable[[#This Row],[Net Revenue]],0)</f>
        <v>0.48646125116713351</v>
      </c>
      <c r="AA2676" t="s">
        <v>18</v>
      </c>
      <c r="AB2676" s="79">
        <v>45747</v>
      </c>
      <c r="AC2676">
        <f>OrdersTable[[#This Row],[Delivery Date]]-OrdersTable[[#This Row],[Order Date]]</f>
        <v>7</v>
      </c>
      <c r="AD2676" t="str">
        <f>IF(OrdersTable[[#This Row],[Delivery Days]]&lt;=2, "Express (≤2d)", IF(OrdersTable[[#This Row],[Delivery Days]]&lt;=4, "Standard (3-4d)", "Delayed (5d+)"))</f>
        <v>Delayed (5d+)</v>
      </c>
      <c r="AE2676">
        <v>3</v>
      </c>
      <c r="AF2676">
        <v>0</v>
      </c>
    </row>
    <row r="2677" spans="1:32" ht="15" x14ac:dyDescent="0.35">
      <c r="A2677" t="s">
        <v>6353</v>
      </c>
      <c r="B2677" s="1">
        <v>45740</v>
      </c>
      <c r="C2677">
        <f>YEAR(OrdersTable[[#This Row],[Order Date]])</f>
        <v>2025</v>
      </c>
      <c r="D2677" s="2">
        <f>DATE(YEAR(OrdersTable[[#This Row],[Order Date]]),MONTH(OrdersTable[[#This Row],[Order Date]]),1)</f>
        <v>45717</v>
      </c>
      <c r="E2677">
        <f>MONTH(OrdersTable[[#This Row],[Order Date]])</f>
        <v>3</v>
      </c>
      <c r="F2677" t="s">
        <v>3844</v>
      </c>
      <c r="G2677" t="str">
        <f>IF(OrdersTable[[#This Row],[Order Date]]=_xlfn.MINIFS(Order_Date, Customer_ID, OrdersTable[[#This Row],[Customer ID]]), "New", "Repeat")</f>
        <v>Repeat</v>
      </c>
      <c r="H2677" t="s">
        <v>37</v>
      </c>
      <c r="I2677" t="str">
        <f>INDEX(State!B:B,MATCH(OrdersTable[[#This Row],[State]],State!A:A,0))</f>
        <v>GJ</v>
      </c>
      <c r="J2677" t="str">
        <f>INDEX(State!C:C,MATCH(OrdersTable[[#This Row],[State Code]],State!B:B,0))</f>
        <v>West</v>
      </c>
      <c r="K2677" t="s">
        <v>38</v>
      </c>
      <c r="L2677" t="s">
        <v>23</v>
      </c>
      <c r="M2677" t="s">
        <v>152</v>
      </c>
      <c r="N2677" t="str">
        <f>INDEX(Products!B:B,MATCH(OrdersTable[[#This Row],[Product ID]],Products!A:A,0))</f>
        <v>Green Tea (100 bags)</v>
      </c>
      <c r="O2677" t="str">
        <f>INDEX(Products!C:C,MATCH(OrdersTable[[#This Row],[Product ID]],Products!A:A,0))</f>
        <v>Wellness</v>
      </c>
      <c r="P2677">
        <v>2</v>
      </c>
      <c r="Q2677" s="5">
        <v>399</v>
      </c>
      <c r="R2677" s="74">
        <v>0.35</v>
      </c>
      <c r="S2677" s="75">
        <f>OrdersTable[[#This Row],[Quantity]]*OrdersTable[[#This Row],[Unit Price]]</f>
        <v>798</v>
      </c>
      <c r="T2677" s="5">
        <f>OrdersTable[[#This Row],[Gross Sale]]*OrdersTable[[#This Row],[Discount_Clean2]]</f>
        <v>279.29999999999995</v>
      </c>
      <c r="U2677" s="5">
        <f>OrdersTable[[#This Row],[Gross Sale]]-OrdersTable[[#This Row],[Discount Amount]]</f>
        <v>518.70000000000005</v>
      </c>
      <c r="V2677" s="77">
        <f>INDEX(Products!E:E,MATCH(OrdersTable[[#This Row],[Product ID]],Products!A:A,0))</f>
        <v>128</v>
      </c>
      <c r="W2677" s="77">
        <f>OrdersTable[[#This Row],[Quantity]]*OrdersTable[[#This Row],[Unit Cost]]</f>
        <v>256</v>
      </c>
      <c r="X2677" s="77">
        <f>'Dropdown Lists'!$I$2*(1+OrdersTable[[#This Row],[Returned]])</f>
        <v>60</v>
      </c>
      <c r="Y2677" s="76">
        <f>OrdersTable[[#This Row],[Net Revenue]]-OrdersTable[[#This Row],[COGS]]-OrdersTable[[#This Row],[Shipping Cost]]</f>
        <v>202.70000000000005</v>
      </c>
      <c r="Z2677" s="78">
        <f>IFERROR(OrdersTable[[#This Row],[Profit]]/OrdersTable[[#This Row],[Net Revenue]],0)</f>
        <v>0.39078465394254874</v>
      </c>
      <c r="AA2677" t="s">
        <v>18</v>
      </c>
      <c r="AB2677" s="79">
        <v>45742</v>
      </c>
      <c r="AC2677">
        <f>OrdersTable[[#This Row],[Delivery Date]]-OrdersTable[[#This Row],[Order Date]]</f>
        <v>2</v>
      </c>
      <c r="AD2677" t="str">
        <f>IF(OrdersTable[[#This Row],[Delivery Days]]&lt;=2, "Express (≤2d)", IF(OrdersTable[[#This Row],[Delivery Days]]&lt;=4, "Standard (3-4d)", "Delayed (5d+)"))</f>
        <v>Express (≤2d)</v>
      </c>
      <c r="AE2677">
        <v>3</v>
      </c>
      <c r="AF2677">
        <v>0</v>
      </c>
    </row>
    <row r="2678" spans="1:32" ht="15" x14ac:dyDescent="0.35">
      <c r="A2678" t="s">
        <v>3265</v>
      </c>
      <c r="B2678" s="1">
        <v>45740</v>
      </c>
      <c r="C2678">
        <f>YEAR(OrdersTable[[#This Row],[Order Date]])</f>
        <v>2025</v>
      </c>
      <c r="D2678" s="2">
        <f>DATE(YEAR(OrdersTable[[#This Row],[Order Date]]),MONTH(OrdersTable[[#This Row],[Order Date]]),1)</f>
        <v>45717</v>
      </c>
      <c r="E2678">
        <f>MONTH(OrdersTable[[#This Row],[Order Date]])</f>
        <v>3</v>
      </c>
      <c r="F2678" t="s">
        <v>342</v>
      </c>
      <c r="G2678" t="str">
        <f>IF(OrdersTable[[#This Row],[Order Date]]=_xlfn.MINIFS(Order_Date, Customer_ID, OrdersTable[[#This Row],[Customer ID]]), "New", "Repeat")</f>
        <v>New</v>
      </c>
      <c r="H2678" t="s">
        <v>37</v>
      </c>
      <c r="I2678" t="str">
        <f>INDEX(State!B:B,MATCH(OrdersTable[[#This Row],[State]],State!A:A,0))</f>
        <v>GJ</v>
      </c>
      <c r="J2678" t="str">
        <f>INDEX(State!C:C,MATCH(OrdersTable[[#This Row],[State Code]],State!B:B,0))</f>
        <v>West</v>
      </c>
      <c r="K2678" t="s">
        <v>247</v>
      </c>
      <c r="L2678" t="s">
        <v>23</v>
      </c>
      <c r="M2678" t="s">
        <v>179</v>
      </c>
      <c r="N2678" t="str">
        <f>INDEX(Products!B:B,MATCH(OrdersTable[[#This Row],[Product ID]],Products!A:A,0))</f>
        <v>Whey Protein 1kg</v>
      </c>
      <c r="O2678" t="str">
        <f>INDEX(Products!C:C,MATCH(OrdersTable[[#This Row],[Product ID]],Products!A:A,0))</f>
        <v>Wellness</v>
      </c>
      <c r="P2678">
        <v>1</v>
      </c>
      <c r="Q2678" s="5">
        <v>2299</v>
      </c>
      <c r="R2678" s="74">
        <v>0.35</v>
      </c>
      <c r="S2678" s="75">
        <f>OrdersTable[[#This Row],[Quantity]]*OrdersTable[[#This Row],[Unit Price]]</f>
        <v>2299</v>
      </c>
      <c r="T2678" s="5">
        <f>OrdersTable[[#This Row],[Gross Sale]]*OrdersTable[[#This Row],[Discount_Clean2]]</f>
        <v>804.65</v>
      </c>
      <c r="U2678" s="5">
        <f>OrdersTable[[#This Row],[Gross Sale]]-OrdersTable[[#This Row],[Discount Amount]]</f>
        <v>1494.35</v>
      </c>
      <c r="V2678" s="77">
        <f>INDEX(Products!E:E,MATCH(OrdersTable[[#This Row],[Product ID]],Products!A:A,0))</f>
        <v>1333</v>
      </c>
      <c r="W2678" s="77">
        <f>OrdersTable[[#This Row],[Quantity]]*OrdersTable[[#This Row],[Unit Cost]]</f>
        <v>1333</v>
      </c>
      <c r="X2678" s="77">
        <f>'Dropdown Lists'!$I$2*(1+OrdersTable[[#This Row],[Returned]])</f>
        <v>60</v>
      </c>
      <c r="Y2678" s="76">
        <f>OrdersTable[[#This Row],[Net Revenue]]-OrdersTable[[#This Row],[COGS]]-OrdersTable[[#This Row],[Shipping Cost]]</f>
        <v>101.34999999999991</v>
      </c>
      <c r="Z2678" s="78">
        <f>IFERROR(OrdersTable[[#This Row],[Profit]]/OrdersTable[[#This Row],[Net Revenue]],0)</f>
        <v>6.7822130023086902E-2</v>
      </c>
      <c r="AA2678" t="s">
        <v>2522</v>
      </c>
      <c r="AB2678" s="79">
        <v>45742</v>
      </c>
      <c r="AC2678">
        <f>OrdersTable[[#This Row],[Delivery Date]]-OrdersTable[[#This Row],[Order Date]]</f>
        <v>2</v>
      </c>
      <c r="AD2678" t="str">
        <f>IF(OrdersTable[[#This Row],[Delivery Days]]&lt;=2, "Express (≤2d)", IF(OrdersTable[[#This Row],[Delivery Days]]&lt;=4, "Standard (3-4d)", "Delayed (5d+)"))</f>
        <v>Express (≤2d)</v>
      </c>
      <c r="AE2678">
        <v>4</v>
      </c>
      <c r="AF2678">
        <v>0</v>
      </c>
    </row>
    <row r="2679" spans="1:32" ht="15" x14ac:dyDescent="0.35">
      <c r="A2679" t="s">
        <v>3266</v>
      </c>
      <c r="B2679" s="1">
        <v>45740</v>
      </c>
      <c r="C2679">
        <f>YEAR(OrdersTable[[#This Row],[Order Date]])</f>
        <v>2025</v>
      </c>
      <c r="D2679" s="2">
        <f>DATE(YEAR(OrdersTable[[#This Row],[Order Date]]),MONTH(OrdersTable[[#This Row],[Order Date]]),1)</f>
        <v>45717</v>
      </c>
      <c r="E2679">
        <f>MONTH(OrdersTable[[#This Row],[Order Date]])</f>
        <v>3</v>
      </c>
      <c r="F2679" t="s">
        <v>3267</v>
      </c>
      <c r="G2679" t="str">
        <f>IF(OrdersTable[[#This Row],[Order Date]]=_xlfn.MINIFS(Order_Date, Customer_ID, OrdersTable[[#This Row],[Customer ID]]), "New", "Repeat")</f>
        <v>Repeat</v>
      </c>
      <c r="H2679" t="s">
        <v>27</v>
      </c>
      <c r="I2679" t="str">
        <f>INDEX(State!B:B,MATCH(OrdersTable[[#This Row],[State]],State!A:A,0))</f>
        <v>WB</v>
      </c>
      <c r="J2679" t="str">
        <f>INDEX(State!C:C,MATCH(OrdersTable[[#This Row],[State Code]],State!B:B,0))</f>
        <v>East</v>
      </c>
      <c r="K2679" t="s">
        <v>28</v>
      </c>
      <c r="L2679" t="s">
        <v>23</v>
      </c>
      <c r="M2679" t="s">
        <v>255</v>
      </c>
      <c r="N2679" t="str">
        <f>INDEX(Products!B:B,MATCH(OrdersTable[[#This Row],[Product ID]],Products!A:A,0))</f>
        <v>Cotton Oversized T-Shirt</v>
      </c>
      <c r="O2679" t="str">
        <f>INDEX(Products!C:C,MATCH(OrdersTable[[#This Row],[Product ID]],Products!A:A,0))</f>
        <v>Apparel</v>
      </c>
      <c r="P2679">
        <v>1</v>
      </c>
      <c r="Q2679" s="5">
        <v>799</v>
      </c>
      <c r="R2679" s="74">
        <v>0.05</v>
      </c>
      <c r="S2679" s="75">
        <f>OrdersTable[[#This Row],[Quantity]]*OrdersTable[[#This Row],[Unit Price]]</f>
        <v>799</v>
      </c>
      <c r="T2679" s="5">
        <f>OrdersTable[[#This Row],[Gross Sale]]*OrdersTable[[#This Row],[Discount_Clean2]]</f>
        <v>39.950000000000003</v>
      </c>
      <c r="U2679" s="5">
        <f>OrdersTable[[#This Row],[Gross Sale]]-OrdersTable[[#This Row],[Discount Amount]]</f>
        <v>759.05</v>
      </c>
      <c r="V2679" s="77">
        <f>INDEX(Products!E:E,MATCH(OrdersTable[[#This Row],[Product ID]],Products!A:A,0))</f>
        <v>320</v>
      </c>
      <c r="W2679" s="77">
        <f>OrdersTable[[#This Row],[Quantity]]*OrdersTable[[#This Row],[Unit Cost]]</f>
        <v>320</v>
      </c>
      <c r="X2679" s="77">
        <f>'Dropdown Lists'!$I$2*(1+OrdersTable[[#This Row],[Returned]])</f>
        <v>60</v>
      </c>
      <c r="Y2679" s="76">
        <f>OrdersTable[[#This Row],[Net Revenue]]-OrdersTable[[#This Row],[COGS]]-OrdersTable[[#This Row],[Shipping Cost]]</f>
        <v>379.04999999999995</v>
      </c>
      <c r="Z2679" s="78">
        <f>IFERROR(OrdersTable[[#This Row],[Profit]]/OrdersTable[[#This Row],[Net Revenue]],0)</f>
        <v>0.49937421777221525</v>
      </c>
      <c r="AA2679" t="s">
        <v>2522</v>
      </c>
      <c r="AB2679" s="79">
        <v>45744</v>
      </c>
      <c r="AC2679">
        <f>OrdersTable[[#This Row],[Delivery Date]]-OrdersTable[[#This Row],[Order Date]]</f>
        <v>4</v>
      </c>
      <c r="AD2679" t="str">
        <f>IF(OrdersTable[[#This Row],[Delivery Days]]&lt;=2, "Express (≤2d)", IF(OrdersTable[[#This Row],[Delivery Days]]&lt;=4, "Standard (3-4d)", "Delayed (5d+)"))</f>
        <v>Standard (3-4d)</v>
      </c>
      <c r="AE2679">
        <v>4</v>
      </c>
      <c r="AF2679">
        <v>0</v>
      </c>
    </row>
    <row r="2680" spans="1:32" ht="15" x14ac:dyDescent="0.35">
      <c r="A2680" t="s">
        <v>592</v>
      </c>
      <c r="B2680" s="1">
        <v>45740</v>
      </c>
      <c r="C2680">
        <f>YEAR(OrdersTable[[#This Row],[Order Date]])</f>
        <v>2025</v>
      </c>
      <c r="D2680" s="2">
        <f>DATE(YEAR(OrdersTable[[#This Row],[Order Date]]),MONTH(OrdersTable[[#This Row],[Order Date]]),1)</f>
        <v>45717</v>
      </c>
      <c r="E2680">
        <f>MONTH(OrdersTable[[#This Row],[Order Date]])</f>
        <v>3</v>
      </c>
      <c r="F2680" t="s">
        <v>593</v>
      </c>
      <c r="G2680" t="str">
        <f>IF(OrdersTable[[#This Row],[Order Date]]=_xlfn.MINIFS(Order_Date, Customer_ID, OrdersTable[[#This Row],[Customer ID]]), "New", "Repeat")</f>
        <v>Repeat</v>
      </c>
      <c r="H2680" t="s">
        <v>27</v>
      </c>
      <c r="I2680" t="str">
        <f>INDEX(State!B:B,MATCH(OrdersTable[[#This Row],[State]],State!A:A,0))</f>
        <v>WB</v>
      </c>
      <c r="J2680" t="str">
        <f>INDEX(State!C:C,MATCH(OrdersTable[[#This Row],[State Code]],State!B:B,0))</f>
        <v>East</v>
      </c>
      <c r="K2680" t="s">
        <v>28</v>
      </c>
      <c r="L2680" t="s">
        <v>50</v>
      </c>
      <c r="M2680" t="s">
        <v>160</v>
      </c>
      <c r="N2680" t="str">
        <f>INDEX(Products!B:B,MATCH(OrdersTable[[#This Row],[Product ID]],Products!A:A,0))</f>
        <v>Niacinamide Toner</v>
      </c>
      <c r="O2680" t="str">
        <f>INDEX(Products!C:C,MATCH(OrdersTable[[#This Row],[Product ID]],Products!A:A,0))</f>
        <v>Skincare</v>
      </c>
      <c r="P2680">
        <v>1</v>
      </c>
      <c r="Q2680" s="5">
        <v>399</v>
      </c>
      <c r="R2680" s="74">
        <v>0.2</v>
      </c>
      <c r="S2680" s="75">
        <f>OrdersTable[[#This Row],[Quantity]]*OrdersTable[[#This Row],[Unit Price]]</f>
        <v>399</v>
      </c>
      <c r="T2680" s="5">
        <f>OrdersTable[[#This Row],[Gross Sale]]*OrdersTable[[#This Row],[Discount_Clean2]]</f>
        <v>79.800000000000011</v>
      </c>
      <c r="U2680" s="5">
        <f>OrdersTable[[#This Row],[Gross Sale]]-OrdersTable[[#This Row],[Discount Amount]]</f>
        <v>319.2</v>
      </c>
      <c r="V2680" s="77">
        <f>INDEX(Products!E:E,MATCH(OrdersTable[[#This Row],[Product ID]],Products!A:A,0))</f>
        <v>112</v>
      </c>
      <c r="W2680" s="77">
        <f>OrdersTable[[#This Row],[Quantity]]*OrdersTable[[#This Row],[Unit Cost]]</f>
        <v>112</v>
      </c>
      <c r="X2680" s="77">
        <f>'Dropdown Lists'!$I$2*(1+OrdersTable[[#This Row],[Returned]])</f>
        <v>60</v>
      </c>
      <c r="Y2680" s="76">
        <f>OrdersTable[[#This Row],[Net Revenue]]-OrdersTable[[#This Row],[COGS]]-OrdersTable[[#This Row],[Shipping Cost]]</f>
        <v>147.19999999999999</v>
      </c>
      <c r="Z2680" s="78">
        <f>IFERROR(OrdersTable[[#This Row],[Profit]]/OrdersTable[[#This Row],[Net Revenue]],0)</f>
        <v>0.46115288220551376</v>
      </c>
      <c r="AA2680" t="s">
        <v>18</v>
      </c>
      <c r="AB2680" s="79">
        <v>45744</v>
      </c>
      <c r="AC2680">
        <f>OrdersTable[[#This Row],[Delivery Date]]-OrdersTable[[#This Row],[Order Date]]</f>
        <v>4</v>
      </c>
      <c r="AD2680" t="str">
        <f>IF(OrdersTable[[#This Row],[Delivery Days]]&lt;=2, "Express (≤2d)", IF(OrdersTable[[#This Row],[Delivery Days]]&lt;=4, "Standard (3-4d)", "Delayed (5d+)"))</f>
        <v>Standard (3-4d)</v>
      </c>
      <c r="AE2680">
        <v>4</v>
      </c>
      <c r="AF2680">
        <v>0</v>
      </c>
    </row>
    <row r="2681" spans="1:32" ht="15" x14ac:dyDescent="0.35">
      <c r="A2681" t="s">
        <v>7089</v>
      </c>
      <c r="B2681" s="1">
        <v>45740</v>
      </c>
      <c r="C2681">
        <f>YEAR(OrdersTable[[#This Row],[Order Date]])</f>
        <v>2025</v>
      </c>
      <c r="D2681" s="2">
        <f>DATE(YEAR(OrdersTable[[#This Row],[Order Date]]),MONTH(OrdersTable[[#This Row],[Order Date]]),1)</f>
        <v>45717</v>
      </c>
      <c r="E2681">
        <f>MONTH(OrdersTable[[#This Row],[Order Date]])</f>
        <v>3</v>
      </c>
      <c r="F2681" t="s">
        <v>2418</v>
      </c>
      <c r="G2681" t="str">
        <f>IF(OrdersTable[[#This Row],[Order Date]]=_xlfn.MINIFS(Order_Date, Customer_ID, OrdersTable[[#This Row],[Customer ID]]), "New", "Repeat")</f>
        <v>Repeat</v>
      </c>
      <c r="H2681" t="s">
        <v>71</v>
      </c>
      <c r="I2681" t="str">
        <f>INDEX(State!B:B,MATCH(OrdersTable[[#This Row],[State]],State!A:A,0))</f>
        <v>MH</v>
      </c>
      <c r="J2681" t="str">
        <f>INDEX(State!C:C,MATCH(OrdersTable[[#This Row],[State Code]],State!B:B,0))</f>
        <v>West</v>
      </c>
      <c r="K2681" t="s">
        <v>72</v>
      </c>
      <c r="L2681" t="s">
        <v>39</v>
      </c>
      <c r="M2681" t="s">
        <v>29</v>
      </c>
      <c r="N2681" t="str">
        <f>INDEX(Products!B:B,MATCH(OrdersTable[[#This Row],[Product ID]],Products!A:A,0))</f>
        <v>Joggers</v>
      </c>
      <c r="O2681" t="str">
        <f>INDEX(Products!C:C,MATCH(OrdersTable[[#This Row],[Product ID]],Products!A:A,0))</f>
        <v>Apparel</v>
      </c>
      <c r="P2681">
        <v>4</v>
      </c>
      <c r="Q2681" s="5">
        <v>1199</v>
      </c>
      <c r="R2681" s="74">
        <v>0.1</v>
      </c>
      <c r="S2681" s="75">
        <f>OrdersTable[[#This Row],[Quantity]]*OrdersTable[[#This Row],[Unit Price]]</f>
        <v>4796</v>
      </c>
      <c r="T2681" s="5">
        <f>OrdersTable[[#This Row],[Gross Sale]]*OrdersTable[[#This Row],[Discount_Clean2]]</f>
        <v>479.6</v>
      </c>
      <c r="U2681" s="5">
        <f>OrdersTable[[#This Row],[Gross Sale]]-OrdersTable[[#This Row],[Discount Amount]]</f>
        <v>4316.3999999999996</v>
      </c>
      <c r="V2681" s="77">
        <f>INDEX(Products!E:E,MATCH(OrdersTable[[#This Row],[Product ID]],Products!A:A,0))</f>
        <v>492</v>
      </c>
      <c r="W2681" s="77">
        <f>OrdersTable[[#This Row],[Quantity]]*OrdersTable[[#This Row],[Unit Cost]]</f>
        <v>1968</v>
      </c>
      <c r="X2681" s="77">
        <f>'Dropdown Lists'!$I$2*(1+OrdersTable[[#This Row],[Returned]])</f>
        <v>60</v>
      </c>
      <c r="Y2681" s="76">
        <f>OrdersTable[[#This Row],[Net Revenue]]-OrdersTable[[#This Row],[COGS]]-OrdersTable[[#This Row],[Shipping Cost]]</f>
        <v>2288.3999999999996</v>
      </c>
      <c r="Z2681" s="78">
        <f>IFERROR(OrdersTable[[#This Row],[Profit]]/OrdersTable[[#This Row],[Net Revenue]],0)</f>
        <v>0.53016402557686959</v>
      </c>
      <c r="AA2681" t="s">
        <v>18</v>
      </c>
      <c r="AB2681" s="79">
        <v>45742</v>
      </c>
      <c r="AC2681">
        <f>OrdersTable[[#This Row],[Delivery Date]]-OrdersTable[[#This Row],[Order Date]]</f>
        <v>2</v>
      </c>
      <c r="AD2681" t="str">
        <f>IF(OrdersTable[[#This Row],[Delivery Days]]&lt;=2, "Express (≤2d)", IF(OrdersTable[[#This Row],[Delivery Days]]&lt;=4, "Standard (3-4d)", "Delayed (5d+)"))</f>
        <v>Express (≤2d)</v>
      </c>
      <c r="AE2681">
        <v>4</v>
      </c>
      <c r="AF2681">
        <v>0</v>
      </c>
    </row>
    <row r="2682" spans="1:32" ht="15" x14ac:dyDescent="0.35">
      <c r="A2682" t="s">
        <v>5808</v>
      </c>
      <c r="B2682" s="1">
        <v>45740</v>
      </c>
      <c r="C2682">
        <f>YEAR(OrdersTable[[#This Row],[Order Date]])</f>
        <v>2025</v>
      </c>
      <c r="D2682" s="2">
        <f>DATE(YEAR(OrdersTable[[#This Row],[Order Date]]),MONTH(OrdersTable[[#This Row],[Order Date]]),1)</f>
        <v>45717</v>
      </c>
      <c r="E2682">
        <f>MONTH(OrdersTable[[#This Row],[Order Date]])</f>
        <v>3</v>
      </c>
      <c r="F2682" t="s">
        <v>3383</v>
      </c>
      <c r="G2682" t="str">
        <f>IF(OrdersTable[[#This Row],[Order Date]]=_xlfn.MINIFS(Order_Date, Customer_ID, OrdersTable[[#This Row],[Customer ID]]), "New", "Repeat")</f>
        <v>Repeat</v>
      </c>
      <c r="H2682" t="s">
        <v>95</v>
      </c>
      <c r="I2682" t="str">
        <f>INDEX(State!B:B,MATCH(OrdersTable[[#This Row],[State]],State!A:A,0))</f>
        <v>TG</v>
      </c>
      <c r="J2682" t="str">
        <f>INDEX(State!C:C,MATCH(OrdersTable[[#This Row],[State Code]],State!B:B,0))</f>
        <v>South</v>
      </c>
      <c r="K2682" t="s">
        <v>96</v>
      </c>
      <c r="L2682" t="s">
        <v>65</v>
      </c>
      <c r="M2682" t="s">
        <v>109</v>
      </c>
      <c r="N2682" t="str">
        <f>INDEX(Products!B:B,MATCH(OrdersTable[[#This Row],[Product ID]],Products!A:A,0))</f>
        <v>Onion Hair Oil</v>
      </c>
      <c r="O2682" t="str">
        <f>INDEX(Products!C:C,MATCH(OrdersTable[[#This Row],[Product ID]],Products!A:A,0))</f>
        <v>Haircare</v>
      </c>
      <c r="P2682">
        <v>2</v>
      </c>
      <c r="Q2682" s="5">
        <v>349</v>
      </c>
      <c r="R2682" s="74">
        <v>0.3</v>
      </c>
      <c r="S2682" s="75">
        <f>OrdersTable[[#This Row],[Quantity]]*OrdersTable[[#This Row],[Unit Price]]</f>
        <v>698</v>
      </c>
      <c r="T2682" s="5">
        <f>OrdersTable[[#This Row],[Gross Sale]]*OrdersTable[[#This Row],[Discount_Clean2]]</f>
        <v>209.4</v>
      </c>
      <c r="U2682" s="5">
        <f>OrdersTable[[#This Row],[Gross Sale]]-OrdersTable[[#This Row],[Discount Amount]]</f>
        <v>488.6</v>
      </c>
      <c r="V2682" s="77">
        <f>INDEX(Products!E:E,MATCH(OrdersTable[[#This Row],[Product ID]],Products!A:A,0))</f>
        <v>105</v>
      </c>
      <c r="W2682" s="77">
        <f>OrdersTable[[#This Row],[Quantity]]*OrdersTable[[#This Row],[Unit Cost]]</f>
        <v>210</v>
      </c>
      <c r="X2682" s="77">
        <f>'Dropdown Lists'!$I$2*(1+OrdersTable[[#This Row],[Returned]])</f>
        <v>60</v>
      </c>
      <c r="Y2682" s="76">
        <f>OrdersTable[[#This Row],[Net Revenue]]-OrdersTable[[#This Row],[COGS]]-OrdersTable[[#This Row],[Shipping Cost]]</f>
        <v>218.60000000000002</v>
      </c>
      <c r="Z2682" s="78">
        <f>IFERROR(OrdersTable[[#This Row],[Profit]]/OrdersTable[[#This Row],[Net Revenue]],0)</f>
        <v>0.44740073679901765</v>
      </c>
      <c r="AA2682" t="s">
        <v>18</v>
      </c>
      <c r="AB2682" s="79">
        <v>45742</v>
      </c>
      <c r="AC2682">
        <f>OrdersTable[[#This Row],[Delivery Date]]-OrdersTable[[#This Row],[Order Date]]</f>
        <v>2</v>
      </c>
      <c r="AD2682" t="str">
        <f>IF(OrdersTable[[#This Row],[Delivery Days]]&lt;=2, "Express (≤2d)", IF(OrdersTable[[#This Row],[Delivery Days]]&lt;=4, "Standard (3-4d)", "Delayed (5d+)"))</f>
        <v>Express (≤2d)</v>
      </c>
      <c r="AE2682">
        <v>5</v>
      </c>
      <c r="AF2682">
        <v>0</v>
      </c>
    </row>
    <row r="2683" spans="1:32" ht="15" x14ac:dyDescent="0.35">
      <c r="A2683" t="s">
        <v>2377</v>
      </c>
      <c r="B2683" s="1">
        <v>45740</v>
      </c>
      <c r="C2683">
        <f>YEAR(OrdersTable[[#This Row],[Order Date]])</f>
        <v>2025</v>
      </c>
      <c r="D2683" s="2">
        <f>DATE(YEAR(OrdersTable[[#This Row],[Order Date]]),MONTH(OrdersTable[[#This Row],[Order Date]]),1)</f>
        <v>45717</v>
      </c>
      <c r="E2683">
        <f>MONTH(OrdersTable[[#This Row],[Order Date]])</f>
        <v>3</v>
      </c>
      <c r="F2683" t="s">
        <v>2378</v>
      </c>
      <c r="G2683" t="str">
        <f>IF(OrdersTable[[#This Row],[Order Date]]=_xlfn.MINIFS(Order_Date, Customer_ID, OrdersTable[[#This Row],[Customer ID]]), "New", "Repeat")</f>
        <v>Repeat</v>
      </c>
      <c r="H2683" t="s">
        <v>167</v>
      </c>
      <c r="I2683" t="str">
        <f>INDEX(State!B:B,MATCH(OrdersTable[[#This Row],[State]],State!A:A,0))</f>
        <v>KA</v>
      </c>
      <c r="J2683" t="str">
        <f>INDEX(State!C:C,MATCH(OrdersTable[[#This Row],[State Code]],State!B:B,0))</f>
        <v>South</v>
      </c>
      <c r="K2683" t="s">
        <v>168</v>
      </c>
      <c r="L2683" t="s">
        <v>65</v>
      </c>
      <c r="M2683" t="s">
        <v>73</v>
      </c>
      <c r="N2683" t="str">
        <f>INDEX(Products!B:B,MATCH(OrdersTable[[#This Row],[Product ID]],Products!A:A,0))</f>
        <v>Hydrating Face Wash</v>
      </c>
      <c r="O2683" t="str">
        <f>INDEX(Products!C:C,MATCH(OrdersTable[[#This Row],[Product ID]],Products!A:A,0))</f>
        <v>Skincare</v>
      </c>
      <c r="P2683">
        <v>1</v>
      </c>
      <c r="Q2683" s="5">
        <v>299</v>
      </c>
      <c r="R2683" s="74">
        <v>0.05</v>
      </c>
      <c r="S2683" s="75">
        <f>OrdersTable[[#This Row],[Quantity]]*OrdersTable[[#This Row],[Unit Price]]</f>
        <v>299</v>
      </c>
      <c r="T2683" s="5">
        <f>OrdersTable[[#This Row],[Gross Sale]]*OrdersTable[[#This Row],[Discount_Clean2]]</f>
        <v>14.950000000000001</v>
      </c>
      <c r="U2683" s="5">
        <f>OrdersTable[[#This Row],[Gross Sale]]-OrdersTable[[#This Row],[Discount Amount]]</f>
        <v>284.05</v>
      </c>
      <c r="V2683" s="77">
        <f>INDEX(Products!E:E,MATCH(OrdersTable[[#This Row],[Product ID]],Products!A:A,0))</f>
        <v>90</v>
      </c>
      <c r="W2683" s="77">
        <f>OrdersTable[[#This Row],[Quantity]]*OrdersTable[[#This Row],[Unit Cost]]</f>
        <v>90</v>
      </c>
      <c r="X2683" s="77">
        <f>'Dropdown Lists'!$I$2*(1+OrdersTable[[#This Row],[Returned]])</f>
        <v>60</v>
      </c>
      <c r="Y2683" s="76">
        <f>OrdersTable[[#This Row],[Net Revenue]]-OrdersTable[[#This Row],[COGS]]-OrdersTable[[#This Row],[Shipping Cost]]</f>
        <v>134.05000000000001</v>
      </c>
      <c r="Z2683" s="78">
        <f>IFERROR(OrdersTable[[#This Row],[Profit]]/OrdersTable[[#This Row],[Net Revenue]],0)</f>
        <v>0.47192395704981521</v>
      </c>
      <c r="AA2683" t="s">
        <v>18</v>
      </c>
      <c r="AB2683" s="79">
        <v>45741</v>
      </c>
      <c r="AC2683">
        <f>OrdersTable[[#This Row],[Delivery Date]]-OrdersTable[[#This Row],[Order Date]]</f>
        <v>1</v>
      </c>
      <c r="AD2683" t="str">
        <f>IF(OrdersTable[[#This Row],[Delivery Days]]&lt;=2, "Express (≤2d)", IF(OrdersTable[[#This Row],[Delivery Days]]&lt;=4, "Standard (3-4d)", "Delayed (5d+)"))</f>
        <v>Express (≤2d)</v>
      </c>
      <c r="AE2683">
        <v>5</v>
      </c>
      <c r="AF2683">
        <v>0</v>
      </c>
    </row>
    <row r="2684" spans="1:32" ht="15" x14ac:dyDescent="0.35">
      <c r="A2684" t="s">
        <v>4992</v>
      </c>
      <c r="B2684" s="1">
        <v>45740</v>
      </c>
      <c r="C2684">
        <f>YEAR(OrdersTable[[#This Row],[Order Date]])</f>
        <v>2025</v>
      </c>
      <c r="D2684" s="2">
        <f>DATE(YEAR(OrdersTable[[#This Row],[Order Date]]),MONTH(OrdersTable[[#This Row],[Order Date]]),1)</f>
        <v>45717</v>
      </c>
      <c r="E2684">
        <f>MONTH(OrdersTable[[#This Row],[Order Date]])</f>
        <v>3</v>
      </c>
      <c r="F2684" t="s">
        <v>3421</v>
      </c>
      <c r="G2684" t="str">
        <f>IF(OrdersTable[[#This Row],[Order Date]]=_xlfn.MINIFS(Order_Date, Customer_ID, OrdersTable[[#This Row],[Customer ID]]), "New", "Repeat")</f>
        <v>Repeat</v>
      </c>
      <c r="H2684" t="s">
        <v>59</v>
      </c>
      <c r="I2684" t="str">
        <f>INDEX(State!B:B,MATCH(OrdersTable[[#This Row],[State]],State!A:A,0))</f>
        <v>TN</v>
      </c>
      <c r="J2684" t="str">
        <f>INDEX(State!C:C,MATCH(OrdersTable[[#This Row],[State Code]],State!B:B,0))</f>
        <v>South</v>
      </c>
      <c r="K2684" t="s">
        <v>60</v>
      </c>
      <c r="L2684" t="s">
        <v>39</v>
      </c>
      <c r="M2684" t="s">
        <v>565</v>
      </c>
      <c r="N2684" t="str">
        <f>INDEX(Products!B:B,MATCH(OrdersTable[[#This Row],[Product ID]],Products!A:A,0))</f>
        <v>Ceramic Dinner Set</v>
      </c>
      <c r="O2684" t="str">
        <f>INDEX(Products!C:C,MATCH(OrdersTable[[#This Row],[Product ID]],Products!A:A,0))</f>
        <v>Home &amp; Kitchen</v>
      </c>
      <c r="P2684">
        <v>2</v>
      </c>
      <c r="Q2684" s="5">
        <v>2499</v>
      </c>
      <c r="R2684" s="74">
        <v>0.25</v>
      </c>
      <c r="S2684" s="75">
        <f>OrdersTable[[#This Row],[Quantity]]*OrdersTable[[#This Row],[Unit Price]]</f>
        <v>4998</v>
      </c>
      <c r="T2684" s="5">
        <f>OrdersTable[[#This Row],[Gross Sale]]*OrdersTable[[#This Row],[Discount_Clean2]]</f>
        <v>1249.5</v>
      </c>
      <c r="U2684" s="5">
        <f>OrdersTable[[#This Row],[Gross Sale]]-OrdersTable[[#This Row],[Discount Amount]]</f>
        <v>3748.5</v>
      </c>
      <c r="V2684" s="77">
        <f>INDEX(Products!E:E,MATCH(OrdersTable[[#This Row],[Product ID]],Products!A:A,0))</f>
        <v>1250</v>
      </c>
      <c r="W2684" s="77">
        <f>OrdersTable[[#This Row],[Quantity]]*OrdersTable[[#This Row],[Unit Cost]]</f>
        <v>2500</v>
      </c>
      <c r="X2684" s="77">
        <f>'Dropdown Lists'!$I$2*(1+OrdersTable[[#This Row],[Returned]])</f>
        <v>60</v>
      </c>
      <c r="Y2684" s="76">
        <f>OrdersTable[[#This Row],[Net Revenue]]-OrdersTable[[#This Row],[COGS]]-OrdersTable[[#This Row],[Shipping Cost]]</f>
        <v>1188.5</v>
      </c>
      <c r="Z2684" s="78">
        <f>IFERROR(OrdersTable[[#This Row],[Profit]]/OrdersTable[[#This Row],[Net Revenue]],0)</f>
        <v>0.31706015739629184</v>
      </c>
      <c r="AA2684" t="s">
        <v>4074</v>
      </c>
      <c r="AB2684" s="79">
        <v>45742</v>
      </c>
      <c r="AC2684">
        <f>OrdersTable[[#This Row],[Delivery Date]]-OrdersTable[[#This Row],[Order Date]]</f>
        <v>2</v>
      </c>
      <c r="AD2684" t="str">
        <f>IF(OrdersTable[[#This Row],[Delivery Days]]&lt;=2, "Express (≤2d)", IF(OrdersTable[[#This Row],[Delivery Days]]&lt;=4, "Standard (3-4d)", "Delayed (5d+)"))</f>
        <v>Express (≤2d)</v>
      </c>
      <c r="AE2684">
        <v>3</v>
      </c>
      <c r="AF2684">
        <v>0</v>
      </c>
    </row>
    <row r="2685" spans="1:32" ht="15" x14ac:dyDescent="0.35">
      <c r="A2685" t="s">
        <v>4273</v>
      </c>
      <c r="B2685" s="1">
        <v>45741</v>
      </c>
      <c r="C2685">
        <f>YEAR(OrdersTable[[#This Row],[Order Date]])</f>
        <v>2025</v>
      </c>
      <c r="D2685" s="2">
        <f>DATE(YEAR(OrdersTable[[#This Row],[Order Date]]),MONTH(OrdersTable[[#This Row],[Order Date]]),1)</f>
        <v>45717</v>
      </c>
      <c r="E2685">
        <f>MONTH(OrdersTable[[#This Row],[Order Date]])</f>
        <v>3</v>
      </c>
      <c r="F2685" t="s">
        <v>397</v>
      </c>
      <c r="G2685" t="str">
        <f>IF(OrdersTable[[#This Row],[Order Date]]=_xlfn.MINIFS(Order_Date, Customer_ID, OrdersTable[[#This Row],[Customer ID]]), "New", "Repeat")</f>
        <v>Repeat</v>
      </c>
      <c r="H2685" t="s">
        <v>54</v>
      </c>
      <c r="I2685" t="str">
        <f>INDEX(State!B:B,MATCH(OrdersTable[[#This Row],[State]],State!A:A,0))</f>
        <v>RJ</v>
      </c>
      <c r="J2685" t="str">
        <f>INDEX(State!C:C,MATCH(OrdersTable[[#This Row],[State Code]],State!B:B,0))</f>
        <v>North</v>
      </c>
      <c r="K2685" t="s">
        <v>227</v>
      </c>
      <c r="L2685" t="s">
        <v>23</v>
      </c>
      <c r="M2685" t="s">
        <v>148</v>
      </c>
      <c r="N2685" t="str">
        <f>INDEX(Products!B:B,MATCH(OrdersTable[[#This Row],[Product ID]],Products!A:A,0))</f>
        <v>Smartwatch Strap</v>
      </c>
      <c r="O2685" t="str">
        <f>INDEX(Products!C:C,MATCH(OrdersTable[[#This Row],[Product ID]],Products!A:A,0))</f>
        <v>Electronics</v>
      </c>
      <c r="P2685">
        <v>1</v>
      </c>
      <c r="Q2685" s="5">
        <v>499</v>
      </c>
      <c r="R2685" s="74">
        <v>0.1</v>
      </c>
      <c r="S2685" s="75">
        <f>OrdersTable[[#This Row],[Quantity]]*OrdersTable[[#This Row],[Unit Price]]</f>
        <v>499</v>
      </c>
      <c r="T2685" s="5">
        <f>OrdersTable[[#This Row],[Gross Sale]]*OrdersTable[[#This Row],[Discount_Clean2]]</f>
        <v>49.900000000000006</v>
      </c>
      <c r="U2685" s="5">
        <f>OrdersTable[[#This Row],[Gross Sale]]-OrdersTable[[#This Row],[Discount Amount]]</f>
        <v>449.1</v>
      </c>
      <c r="V2685" s="77">
        <f>INDEX(Products!E:E,MATCH(OrdersTable[[#This Row],[Product ID]],Products!A:A,0))</f>
        <v>200</v>
      </c>
      <c r="W2685" s="77">
        <f>OrdersTable[[#This Row],[Quantity]]*OrdersTable[[#This Row],[Unit Cost]]</f>
        <v>200</v>
      </c>
      <c r="X2685" s="77">
        <f>'Dropdown Lists'!$I$2*(1+OrdersTable[[#This Row],[Returned]])</f>
        <v>60</v>
      </c>
      <c r="Y2685" s="76">
        <f>OrdersTable[[#This Row],[Net Revenue]]-OrdersTable[[#This Row],[COGS]]-OrdersTable[[#This Row],[Shipping Cost]]</f>
        <v>189.10000000000002</v>
      </c>
      <c r="Z2685" s="78">
        <f>IFERROR(OrdersTable[[#This Row],[Profit]]/OrdersTable[[#This Row],[Net Revenue]],0)</f>
        <v>0.42106435092407041</v>
      </c>
      <c r="AA2685" t="s">
        <v>4074</v>
      </c>
      <c r="AB2685" s="79">
        <v>45745</v>
      </c>
      <c r="AC2685">
        <f>OrdersTable[[#This Row],[Delivery Date]]-OrdersTable[[#This Row],[Order Date]]</f>
        <v>4</v>
      </c>
      <c r="AD2685" t="str">
        <f>IF(OrdersTable[[#This Row],[Delivery Days]]&lt;=2, "Express (≤2d)", IF(OrdersTable[[#This Row],[Delivery Days]]&lt;=4, "Standard (3-4d)", "Delayed (5d+)"))</f>
        <v>Standard (3-4d)</v>
      </c>
      <c r="AF2685">
        <v>0</v>
      </c>
    </row>
    <row r="2686" spans="1:32" ht="15" x14ac:dyDescent="0.35">
      <c r="A2686" t="s">
        <v>1972</v>
      </c>
      <c r="B2686" s="1">
        <v>45741</v>
      </c>
      <c r="C2686">
        <f>YEAR(OrdersTable[[#This Row],[Order Date]])</f>
        <v>2025</v>
      </c>
      <c r="D2686" s="2">
        <f>DATE(YEAR(OrdersTable[[#This Row],[Order Date]]),MONTH(OrdersTable[[#This Row],[Order Date]]),1)</f>
        <v>45717</v>
      </c>
      <c r="E2686">
        <f>MONTH(OrdersTable[[#This Row],[Order Date]])</f>
        <v>3</v>
      </c>
      <c r="F2686" t="s">
        <v>607</v>
      </c>
      <c r="G2686" t="str">
        <f>IF(OrdersTable[[#This Row],[Order Date]]=_xlfn.MINIFS(Order_Date, Customer_ID, OrdersTable[[#This Row],[Customer ID]]), "New", "Repeat")</f>
        <v>Repeat</v>
      </c>
      <c r="H2686" t="s">
        <v>128</v>
      </c>
      <c r="I2686" t="str">
        <f>INDEX(State!B:B,MATCH(OrdersTable[[#This Row],[State]],State!A:A,0))</f>
        <v>DL</v>
      </c>
      <c r="J2686" t="str">
        <f>INDEX(State!C:C,MATCH(OrdersTable[[#This Row],[State Code]],State!B:B,0))</f>
        <v>North</v>
      </c>
      <c r="K2686" t="s">
        <v>129</v>
      </c>
      <c r="L2686" t="s">
        <v>65</v>
      </c>
      <c r="M2686" t="s">
        <v>173</v>
      </c>
      <c r="N2686" t="str">
        <f>INDEX(Products!B:B,MATCH(OrdersTable[[#This Row],[Product ID]],Products!A:A,0))</f>
        <v>Wireless Earbuds</v>
      </c>
      <c r="O2686" t="str">
        <f>INDEX(Products!C:C,MATCH(OrdersTable[[#This Row],[Product ID]],Products!A:A,0))</f>
        <v>Electronics</v>
      </c>
      <c r="P2686">
        <v>1</v>
      </c>
      <c r="Q2686" s="5">
        <v>1999</v>
      </c>
      <c r="R2686" s="74">
        <v>0.45</v>
      </c>
      <c r="S2686" s="75">
        <f>OrdersTable[[#This Row],[Quantity]]*OrdersTable[[#This Row],[Unit Price]]</f>
        <v>1999</v>
      </c>
      <c r="T2686" s="5">
        <f>OrdersTable[[#This Row],[Gross Sale]]*OrdersTable[[#This Row],[Discount_Clean2]]</f>
        <v>899.55000000000007</v>
      </c>
      <c r="U2686" s="5">
        <f>OrdersTable[[#This Row],[Gross Sale]]-OrdersTable[[#This Row],[Discount Amount]]</f>
        <v>1099.4499999999998</v>
      </c>
      <c r="V2686" s="77">
        <f>INDEX(Products!E:E,MATCH(OrdersTable[[#This Row],[Product ID]],Products!A:A,0))</f>
        <v>1239</v>
      </c>
      <c r="W2686" s="77">
        <f>OrdersTable[[#This Row],[Quantity]]*OrdersTable[[#This Row],[Unit Cost]]</f>
        <v>1239</v>
      </c>
      <c r="X2686" s="77">
        <f>'Dropdown Lists'!$I$2*(1+OrdersTable[[#This Row],[Returned]])</f>
        <v>60</v>
      </c>
      <c r="Y2686" s="76">
        <f>OrdersTable[[#This Row],[Net Revenue]]-OrdersTable[[#This Row],[COGS]]-OrdersTable[[#This Row],[Shipping Cost]]</f>
        <v>-199.55000000000018</v>
      </c>
      <c r="Z2686" s="78">
        <f>IFERROR(OrdersTable[[#This Row],[Profit]]/OrdersTable[[#This Row],[Net Revenue]],0)</f>
        <v>-0.18149984082950585</v>
      </c>
      <c r="AA2686" t="s">
        <v>18</v>
      </c>
      <c r="AB2686" s="79">
        <v>45742</v>
      </c>
      <c r="AC2686">
        <f>OrdersTable[[#This Row],[Delivery Date]]-OrdersTable[[#This Row],[Order Date]]</f>
        <v>1</v>
      </c>
      <c r="AD2686" t="str">
        <f>IF(OrdersTable[[#This Row],[Delivery Days]]&lt;=2, "Express (≤2d)", IF(OrdersTable[[#This Row],[Delivery Days]]&lt;=4, "Standard (3-4d)", "Delayed (5d+)"))</f>
        <v>Express (≤2d)</v>
      </c>
      <c r="AE2686">
        <v>3</v>
      </c>
      <c r="AF2686">
        <v>0</v>
      </c>
    </row>
    <row r="2687" spans="1:32" ht="15" x14ac:dyDescent="0.35">
      <c r="A2687" t="s">
        <v>594</v>
      </c>
      <c r="B2687" s="1">
        <v>45741</v>
      </c>
      <c r="C2687">
        <f>YEAR(OrdersTable[[#This Row],[Order Date]])</f>
        <v>2025</v>
      </c>
      <c r="D2687" s="2">
        <f>DATE(YEAR(OrdersTable[[#This Row],[Order Date]]),MONTH(OrdersTable[[#This Row],[Order Date]]),1)</f>
        <v>45717</v>
      </c>
      <c r="E2687">
        <f>MONTH(OrdersTable[[#This Row],[Order Date]])</f>
        <v>3</v>
      </c>
      <c r="F2687" t="s">
        <v>333</v>
      </c>
      <c r="G2687" t="str">
        <f>IF(OrdersTable[[#This Row],[Order Date]]=_xlfn.MINIFS(Order_Date, Customer_ID, OrdersTable[[#This Row],[Customer ID]]), "New", "Repeat")</f>
        <v>Repeat</v>
      </c>
      <c r="H2687" t="s">
        <v>71</v>
      </c>
      <c r="I2687" t="str">
        <f>INDEX(State!B:B,MATCH(OrdersTable[[#This Row],[State]],State!A:A,0))</f>
        <v>MH</v>
      </c>
      <c r="J2687" t="str">
        <f>INDEX(State!C:C,MATCH(OrdersTable[[#This Row],[State Code]],State!B:B,0))</f>
        <v>West</v>
      </c>
      <c r="K2687" t="s">
        <v>81</v>
      </c>
      <c r="L2687" t="s">
        <v>16</v>
      </c>
      <c r="M2687" t="s">
        <v>92</v>
      </c>
      <c r="N2687" t="str">
        <f>INDEX(Products!B:B,MATCH(OrdersTable[[#This Row],[Product ID]],Products!A:A,0))</f>
        <v>Kolhapuri Sandals</v>
      </c>
      <c r="O2687" t="str">
        <f>INDEX(Products!C:C,MATCH(OrdersTable[[#This Row],[Product ID]],Products!A:A,0))</f>
        <v>Footwear</v>
      </c>
      <c r="P2687">
        <v>1</v>
      </c>
      <c r="Q2687" s="5">
        <v>999</v>
      </c>
      <c r="R2687" s="74">
        <v>0.1</v>
      </c>
      <c r="S2687" s="75">
        <f>OrdersTable[[#This Row],[Quantity]]*OrdersTable[[#This Row],[Unit Price]]</f>
        <v>999</v>
      </c>
      <c r="T2687" s="5">
        <f>OrdersTable[[#This Row],[Gross Sale]]*OrdersTable[[#This Row],[Discount_Clean2]]</f>
        <v>99.9</v>
      </c>
      <c r="U2687" s="5">
        <f>OrdersTable[[#This Row],[Gross Sale]]-OrdersTable[[#This Row],[Discount Amount]]</f>
        <v>899.1</v>
      </c>
      <c r="V2687" s="77">
        <f>INDEX(Products!E:E,MATCH(OrdersTable[[#This Row],[Product ID]],Products!A:A,0))</f>
        <v>400</v>
      </c>
      <c r="W2687" s="77">
        <f>OrdersTable[[#This Row],[Quantity]]*OrdersTable[[#This Row],[Unit Cost]]</f>
        <v>400</v>
      </c>
      <c r="X2687" s="77">
        <f>'Dropdown Lists'!$I$2*(1+OrdersTable[[#This Row],[Returned]])</f>
        <v>60</v>
      </c>
      <c r="Y2687" s="76">
        <f>OrdersTable[[#This Row],[Net Revenue]]-OrdersTable[[#This Row],[COGS]]-OrdersTable[[#This Row],[Shipping Cost]]</f>
        <v>439.1</v>
      </c>
      <c r="Z2687" s="78">
        <f>IFERROR(OrdersTable[[#This Row],[Profit]]/OrdersTable[[#This Row],[Net Revenue]],0)</f>
        <v>0.48837726615504395</v>
      </c>
      <c r="AA2687" t="s">
        <v>18</v>
      </c>
      <c r="AB2687" s="79">
        <v>45742</v>
      </c>
      <c r="AC2687">
        <f>OrdersTable[[#This Row],[Delivery Date]]-OrdersTable[[#This Row],[Order Date]]</f>
        <v>1</v>
      </c>
      <c r="AD2687" t="str">
        <f>IF(OrdersTable[[#This Row],[Delivery Days]]&lt;=2, "Express (≤2d)", IF(OrdersTable[[#This Row],[Delivery Days]]&lt;=4, "Standard (3-4d)", "Delayed (5d+)"))</f>
        <v>Express (≤2d)</v>
      </c>
      <c r="AE2687">
        <v>4</v>
      </c>
      <c r="AF2687">
        <v>0</v>
      </c>
    </row>
    <row r="2688" spans="1:32" ht="15" x14ac:dyDescent="0.35">
      <c r="A2688" t="s">
        <v>3443</v>
      </c>
      <c r="B2688" s="1">
        <v>45741</v>
      </c>
      <c r="C2688">
        <f>YEAR(OrdersTable[[#This Row],[Order Date]])</f>
        <v>2025</v>
      </c>
      <c r="D2688" s="2">
        <f>DATE(YEAR(OrdersTable[[#This Row],[Order Date]]),MONTH(OrdersTable[[#This Row],[Order Date]]),1)</f>
        <v>45717</v>
      </c>
      <c r="E2688">
        <f>MONTH(OrdersTable[[#This Row],[Order Date]])</f>
        <v>3</v>
      </c>
      <c r="F2688" t="s">
        <v>2769</v>
      </c>
      <c r="G2688" t="str">
        <f>IF(OrdersTable[[#This Row],[Order Date]]=_xlfn.MINIFS(Order_Date, Customer_ID, OrdersTable[[#This Row],[Customer ID]]), "New", "Repeat")</f>
        <v>Repeat</v>
      </c>
      <c r="H2688" t="s">
        <v>95</v>
      </c>
      <c r="I2688" t="str">
        <f>INDEX(State!B:B,MATCH(OrdersTable[[#This Row],[State]],State!A:A,0))</f>
        <v>TG</v>
      </c>
      <c r="J2688" t="str">
        <f>INDEX(State!C:C,MATCH(OrdersTable[[#This Row],[State Code]],State!B:B,0))</f>
        <v>South</v>
      </c>
      <c r="K2688" t="s">
        <v>96</v>
      </c>
      <c r="L2688" t="s">
        <v>65</v>
      </c>
      <c r="M2688" t="s">
        <v>51</v>
      </c>
      <c r="N2688" t="str">
        <f>INDEX(Products!B:B,MATCH(OrdersTable[[#This Row],[Product ID]],Products!A:A,0))</f>
        <v>Anti-Dandruff Conditioner</v>
      </c>
      <c r="O2688" t="str">
        <f>INDEX(Products!C:C,MATCH(OrdersTable[[#This Row],[Product ID]],Products!A:A,0))</f>
        <v>Haircare</v>
      </c>
      <c r="P2688">
        <v>1</v>
      </c>
      <c r="Q2688" s="5">
        <v>399</v>
      </c>
      <c r="R2688" s="74">
        <v>0.35</v>
      </c>
      <c r="S2688" s="75">
        <f>OrdersTable[[#This Row],[Quantity]]*OrdersTable[[#This Row],[Unit Price]]</f>
        <v>399</v>
      </c>
      <c r="T2688" s="5">
        <f>OrdersTable[[#This Row],[Gross Sale]]*OrdersTable[[#This Row],[Discount_Clean2]]</f>
        <v>139.64999999999998</v>
      </c>
      <c r="U2688" s="5">
        <f>OrdersTable[[#This Row],[Gross Sale]]-OrdersTable[[#This Row],[Discount Amount]]</f>
        <v>259.35000000000002</v>
      </c>
      <c r="V2688" s="77">
        <f>INDEX(Products!E:E,MATCH(OrdersTable[[#This Row],[Product ID]],Products!A:A,0))</f>
        <v>136</v>
      </c>
      <c r="W2688" s="77">
        <f>OrdersTable[[#This Row],[Quantity]]*OrdersTable[[#This Row],[Unit Cost]]</f>
        <v>136</v>
      </c>
      <c r="X2688" s="77">
        <f>'Dropdown Lists'!$I$2*(1+OrdersTable[[#This Row],[Returned]])</f>
        <v>60</v>
      </c>
      <c r="Y2688" s="76">
        <f>OrdersTable[[#This Row],[Net Revenue]]-OrdersTable[[#This Row],[COGS]]-OrdersTable[[#This Row],[Shipping Cost]]</f>
        <v>63.350000000000023</v>
      </c>
      <c r="Z2688" s="78">
        <f>IFERROR(OrdersTable[[#This Row],[Profit]]/OrdersTable[[#This Row],[Net Revenue]],0)</f>
        <v>0.24426450742240222</v>
      </c>
      <c r="AA2688" t="s">
        <v>2522</v>
      </c>
      <c r="AB2688" s="79">
        <v>45743</v>
      </c>
      <c r="AC2688">
        <f>OrdersTable[[#This Row],[Delivery Date]]-OrdersTable[[#This Row],[Order Date]]</f>
        <v>2</v>
      </c>
      <c r="AD2688" t="str">
        <f>IF(OrdersTable[[#This Row],[Delivery Days]]&lt;=2, "Express (≤2d)", IF(OrdersTable[[#This Row],[Delivery Days]]&lt;=4, "Standard (3-4d)", "Delayed (5d+)"))</f>
        <v>Express (≤2d)</v>
      </c>
      <c r="AE2688">
        <v>4</v>
      </c>
      <c r="AF2688">
        <v>0</v>
      </c>
    </row>
    <row r="2689" spans="1:32" ht="15" x14ac:dyDescent="0.35">
      <c r="A2689" t="s">
        <v>1719</v>
      </c>
      <c r="B2689" s="1">
        <v>45741</v>
      </c>
      <c r="C2689">
        <f>YEAR(OrdersTable[[#This Row],[Order Date]])</f>
        <v>2025</v>
      </c>
      <c r="D2689" s="2">
        <f>DATE(YEAR(OrdersTable[[#This Row],[Order Date]]),MONTH(OrdersTable[[#This Row],[Order Date]]),1)</f>
        <v>45717</v>
      </c>
      <c r="E2689">
        <f>MONTH(OrdersTable[[#This Row],[Order Date]])</f>
        <v>3</v>
      </c>
      <c r="F2689" t="s">
        <v>1720</v>
      </c>
      <c r="G2689" t="str">
        <f>IF(OrdersTable[[#This Row],[Order Date]]=_xlfn.MINIFS(Order_Date, Customer_ID, OrdersTable[[#This Row],[Customer ID]]), "New", "Repeat")</f>
        <v>New</v>
      </c>
      <c r="H2689" t="s">
        <v>275</v>
      </c>
      <c r="I2689" t="str">
        <f>INDEX(State!B:B,MATCH(OrdersTable[[#This Row],[State]],State!A:A,0))</f>
        <v>AP</v>
      </c>
      <c r="J2689" t="str">
        <f>INDEX(State!C:C,MATCH(OrdersTable[[#This Row],[State Code]],State!B:B,0))</f>
        <v>South</v>
      </c>
      <c r="K2689" t="s">
        <v>276</v>
      </c>
      <c r="L2689" t="s">
        <v>65</v>
      </c>
      <c r="M2689" t="s">
        <v>176</v>
      </c>
      <c r="N2689" t="str">
        <f>INDEX(Products!B:B,MATCH(OrdersTable[[#This Row],[Product ID]],Products!A:A,0))</f>
        <v>Denim Jacket</v>
      </c>
      <c r="O2689" t="str">
        <f>INDEX(Products!C:C,MATCH(OrdersTable[[#This Row],[Product ID]],Products!A:A,0))</f>
        <v>Apparel</v>
      </c>
      <c r="P2689">
        <v>1</v>
      </c>
      <c r="Q2689" s="5">
        <v>2499</v>
      </c>
      <c r="R2689" s="74">
        <v>0</v>
      </c>
      <c r="S2689" s="75">
        <f>OrdersTable[[#This Row],[Quantity]]*OrdersTable[[#This Row],[Unit Price]]</f>
        <v>2499</v>
      </c>
      <c r="T2689" s="5">
        <f>OrdersTable[[#This Row],[Gross Sale]]*OrdersTable[[#This Row],[Discount_Clean2]]</f>
        <v>0</v>
      </c>
      <c r="U2689" s="5">
        <f>OrdersTable[[#This Row],[Gross Sale]]-OrdersTable[[#This Row],[Discount Amount]]</f>
        <v>2499</v>
      </c>
      <c r="V2689" s="77">
        <f>INDEX(Products!E:E,MATCH(OrdersTable[[#This Row],[Product ID]],Products!A:A,0))</f>
        <v>1125</v>
      </c>
      <c r="W2689" s="77">
        <f>OrdersTable[[#This Row],[Quantity]]*OrdersTable[[#This Row],[Unit Cost]]</f>
        <v>1125</v>
      </c>
      <c r="X2689" s="77">
        <f>'Dropdown Lists'!$I$2*(1+OrdersTable[[#This Row],[Returned]])</f>
        <v>60</v>
      </c>
      <c r="Y2689" s="76">
        <f>OrdersTable[[#This Row],[Net Revenue]]-OrdersTable[[#This Row],[COGS]]-OrdersTable[[#This Row],[Shipping Cost]]</f>
        <v>1314</v>
      </c>
      <c r="Z2689" s="78">
        <f>IFERROR(OrdersTable[[#This Row],[Profit]]/OrdersTable[[#This Row],[Net Revenue]],0)</f>
        <v>0.5258103241296519</v>
      </c>
      <c r="AA2689" t="s">
        <v>18</v>
      </c>
      <c r="AB2689" s="79">
        <v>45745</v>
      </c>
      <c r="AC2689">
        <f>OrdersTable[[#This Row],[Delivery Date]]-OrdersTable[[#This Row],[Order Date]]</f>
        <v>4</v>
      </c>
      <c r="AD2689" t="str">
        <f>IF(OrdersTable[[#This Row],[Delivery Days]]&lt;=2, "Express (≤2d)", IF(OrdersTable[[#This Row],[Delivery Days]]&lt;=4, "Standard (3-4d)", "Delayed (5d+)"))</f>
        <v>Standard (3-4d)</v>
      </c>
      <c r="AF2689">
        <v>0</v>
      </c>
    </row>
    <row r="2690" spans="1:32" ht="15" x14ac:dyDescent="0.35">
      <c r="A2690" t="s">
        <v>4832</v>
      </c>
      <c r="B2690" s="1">
        <v>45741</v>
      </c>
      <c r="C2690">
        <f>YEAR(OrdersTable[[#This Row],[Order Date]])</f>
        <v>2025</v>
      </c>
      <c r="D2690" s="2">
        <f>DATE(YEAR(OrdersTable[[#This Row],[Order Date]]),MONTH(OrdersTable[[#This Row],[Order Date]]),1)</f>
        <v>45717</v>
      </c>
      <c r="E2690">
        <f>MONTH(OrdersTable[[#This Row],[Order Date]])</f>
        <v>3</v>
      </c>
      <c r="F2690" t="s">
        <v>4833</v>
      </c>
      <c r="G2690" t="str">
        <f>IF(OrdersTable[[#This Row],[Order Date]]=_xlfn.MINIFS(Order_Date, Customer_ID, OrdersTable[[#This Row],[Customer ID]]), "New", "Repeat")</f>
        <v>New</v>
      </c>
      <c r="H2690" t="s">
        <v>275</v>
      </c>
      <c r="I2690" t="str">
        <f>INDEX(State!B:B,MATCH(OrdersTable[[#This Row],[State]],State!A:A,0))</f>
        <v>AP</v>
      </c>
      <c r="J2690" t="str">
        <f>INDEX(State!C:C,MATCH(OrdersTable[[#This Row],[State Code]],State!B:B,0))</f>
        <v>South</v>
      </c>
      <c r="K2690" t="s">
        <v>491</v>
      </c>
      <c r="L2690" t="s">
        <v>65</v>
      </c>
      <c r="M2690" t="s">
        <v>109</v>
      </c>
      <c r="N2690" t="str">
        <f>INDEX(Products!B:B,MATCH(OrdersTable[[#This Row],[Product ID]],Products!A:A,0))</f>
        <v>Onion Hair Oil</v>
      </c>
      <c r="O2690" t="str">
        <f>INDEX(Products!C:C,MATCH(OrdersTable[[#This Row],[Product ID]],Products!A:A,0))</f>
        <v>Haircare</v>
      </c>
      <c r="P2690">
        <v>2</v>
      </c>
      <c r="Q2690" s="5">
        <v>349</v>
      </c>
      <c r="R2690" s="74">
        <v>0.3</v>
      </c>
      <c r="S2690" s="75">
        <f>OrdersTable[[#This Row],[Quantity]]*OrdersTable[[#This Row],[Unit Price]]</f>
        <v>698</v>
      </c>
      <c r="T2690" s="5">
        <f>OrdersTable[[#This Row],[Gross Sale]]*OrdersTable[[#This Row],[Discount_Clean2]]</f>
        <v>209.4</v>
      </c>
      <c r="U2690" s="5">
        <f>OrdersTable[[#This Row],[Gross Sale]]-OrdersTable[[#This Row],[Discount Amount]]</f>
        <v>488.6</v>
      </c>
      <c r="V2690" s="77">
        <f>INDEX(Products!E:E,MATCH(OrdersTable[[#This Row],[Product ID]],Products!A:A,0))</f>
        <v>105</v>
      </c>
      <c r="W2690" s="77">
        <f>OrdersTable[[#This Row],[Quantity]]*OrdersTable[[#This Row],[Unit Cost]]</f>
        <v>210</v>
      </c>
      <c r="X2690" s="77">
        <f>'Dropdown Lists'!$I$2*(1+OrdersTable[[#This Row],[Returned]])</f>
        <v>60</v>
      </c>
      <c r="Y2690" s="76">
        <f>OrdersTable[[#This Row],[Net Revenue]]-OrdersTable[[#This Row],[COGS]]-OrdersTable[[#This Row],[Shipping Cost]]</f>
        <v>218.60000000000002</v>
      </c>
      <c r="Z2690" s="78">
        <f>IFERROR(OrdersTable[[#This Row],[Profit]]/OrdersTable[[#This Row],[Net Revenue]],0)</f>
        <v>0.44740073679901765</v>
      </c>
      <c r="AA2690" t="s">
        <v>4450</v>
      </c>
      <c r="AB2690" s="79">
        <v>45744</v>
      </c>
      <c r="AC2690">
        <f>OrdersTable[[#This Row],[Delivery Date]]-OrdersTable[[#This Row],[Order Date]]</f>
        <v>3</v>
      </c>
      <c r="AD2690" t="str">
        <f>IF(OrdersTable[[#This Row],[Delivery Days]]&lt;=2, "Express (≤2d)", IF(OrdersTable[[#This Row],[Delivery Days]]&lt;=4, "Standard (3-4d)", "Delayed (5d+)"))</f>
        <v>Standard (3-4d)</v>
      </c>
      <c r="AE2690">
        <v>5</v>
      </c>
      <c r="AF2690">
        <v>0</v>
      </c>
    </row>
    <row r="2691" spans="1:32" ht="15" x14ac:dyDescent="0.35">
      <c r="A2691" t="s">
        <v>273</v>
      </c>
      <c r="B2691" s="1">
        <v>45741</v>
      </c>
      <c r="C2691">
        <f>YEAR(OrdersTable[[#This Row],[Order Date]])</f>
        <v>2025</v>
      </c>
      <c r="D2691" s="2">
        <f>DATE(YEAR(OrdersTable[[#This Row],[Order Date]]),MONTH(OrdersTable[[#This Row],[Order Date]]),1)</f>
        <v>45717</v>
      </c>
      <c r="E2691">
        <f>MONTH(OrdersTable[[#This Row],[Order Date]])</f>
        <v>3</v>
      </c>
      <c r="F2691" t="s">
        <v>274</v>
      </c>
      <c r="G2691" t="str">
        <f>IF(OrdersTable[[#This Row],[Order Date]]=_xlfn.MINIFS(Order_Date, Customer_ID, OrdersTable[[#This Row],[Customer ID]]), "New", "Repeat")</f>
        <v>Repeat</v>
      </c>
      <c r="H2691" t="s">
        <v>275</v>
      </c>
      <c r="I2691" t="str">
        <f>INDEX(State!B:B,MATCH(OrdersTable[[#This Row],[State]],State!A:A,0))</f>
        <v>AP</v>
      </c>
      <c r="J2691" t="str">
        <f>INDEX(State!C:C,MATCH(OrdersTable[[#This Row],[State Code]],State!B:B,0))</f>
        <v>South</v>
      </c>
      <c r="K2691" t="s">
        <v>276</v>
      </c>
      <c r="L2691" t="s">
        <v>23</v>
      </c>
      <c r="M2691" t="s">
        <v>152</v>
      </c>
      <c r="N2691" t="str">
        <f>INDEX(Products!B:B,MATCH(OrdersTable[[#This Row],[Product ID]],Products!A:A,0))</f>
        <v>Green Tea (100 bags)</v>
      </c>
      <c r="O2691" t="str">
        <f>INDEX(Products!C:C,MATCH(OrdersTable[[#This Row],[Product ID]],Products!A:A,0))</f>
        <v>Wellness</v>
      </c>
      <c r="P2691">
        <v>1</v>
      </c>
      <c r="Q2691" s="5">
        <v>399</v>
      </c>
      <c r="R2691" s="74">
        <v>0.35</v>
      </c>
      <c r="S2691" s="75">
        <f>OrdersTable[[#This Row],[Quantity]]*OrdersTable[[#This Row],[Unit Price]]</f>
        <v>399</v>
      </c>
      <c r="T2691" s="5">
        <f>OrdersTable[[#This Row],[Gross Sale]]*OrdersTable[[#This Row],[Discount_Clean2]]</f>
        <v>139.64999999999998</v>
      </c>
      <c r="U2691" s="5">
        <f>OrdersTable[[#This Row],[Gross Sale]]-OrdersTable[[#This Row],[Discount Amount]]</f>
        <v>259.35000000000002</v>
      </c>
      <c r="V2691" s="77">
        <f>INDEX(Products!E:E,MATCH(OrdersTable[[#This Row],[Product ID]],Products!A:A,0))</f>
        <v>128</v>
      </c>
      <c r="W2691" s="77">
        <f>OrdersTable[[#This Row],[Quantity]]*OrdersTable[[#This Row],[Unit Cost]]</f>
        <v>128</v>
      </c>
      <c r="X2691" s="77">
        <f>'Dropdown Lists'!$I$2*(1+OrdersTable[[#This Row],[Returned]])</f>
        <v>60</v>
      </c>
      <c r="Y2691" s="76">
        <f>OrdersTable[[#This Row],[Net Revenue]]-OrdersTable[[#This Row],[COGS]]-OrdersTable[[#This Row],[Shipping Cost]]</f>
        <v>71.350000000000023</v>
      </c>
      <c r="Z2691" s="78">
        <f>IFERROR(OrdersTable[[#This Row],[Profit]]/OrdersTable[[#This Row],[Net Revenue]],0)</f>
        <v>0.27511085405822255</v>
      </c>
      <c r="AA2691" t="s">
        <v>18</v>
      </c>
      <c r="AB2691" s="79">
        <v>45744</v>
      </c>
      <c r="AC2691">
        <f>OrdersTable[[#This Row],[Delivery Date]]-OrdersTable[[#This Row],[Order Date]]</f>
        <v>3</v>
      </c>
      <c r="AD2691" t="str">
        <f>IF(OrdersTable[[#This Row],[Delivery Days]]&lt;=2, "Express (≤2d)", IF(OrdersTable[[#This Row],[Delivery Days]]&lt;=4, "Standard (3-4d)", "Delayed (5d+)"))</f>
        <v>Standard (3-4d)</v>
      </c>
      <c r="AE2691">
        <v>4</v>
      </c>
      <c r="AF2691">
        <v>0</v>
      </c>
    </row>
    <row r="2692" spans="1:32" ht="15" x14ac:dyDescent="0.35">
      <c r="A2692" t="s">
        <v>4020</v>
      </c>
      <c r="B2692" s="1">
        <v>45742</v>
      </c>
      <c r="C2692">
        <f>YEAR(OrdersTable[[#This Row],[Order Date]])</f>
        <v>2025</v>
      </c>
      <c r="D2692" s="2">
        <f>DATE(YEAR(OrdersTable[[#This Row],[Order Date]]),MONTH(OrdersTable[[#This Row],[Order Date]]),1)</f>
        <v>45717</v>
      </c>
      <c r="E2692">
        <f>MONTH(OrdersTable[[#This Row],[Order Date]])</f>
        <v>3</v>
      </c>
      <c r="F2692" t="s">
        <v>1064</v>
      </c>
      <c r="G2692" t="str">
        <f>IF(OrdersTable[[#This Row],[Order Date]]=_xlfn.MINIFS(Order_Date, Customer_ID, OrdersTable[[#This Row],[Customer ID]]), "New", "Repeat")</f>
        <v>Repeat</v>
      </c>
      <c r="H2692" t="s">
        <v>21</v>
      </c>
      <c r="I2692" t="str">
        <f>INDEX(State!B:B,MATCH(OrdersTable[[#This Row],[State]],State!A:A,0))</f>
        <v>PB</v>
      </c>
      <c r="J2692" t="str">
        <f>INDEX(State!C:C,MATCH(OrdersTable[[#This Row],[State Code]],State!B:B,0))</f>
        <v>North</v>
      </c>
      <c r="K2692" t="s">
        <v>260</v>
      </c>
      <c r="L2692" t="s">
        <v>50</v>
      </c>
      <c r="M2692" t="s">
        <v>109</v>
      </c>
      <c r="N2692" t="str">
        <f>INDEX(Products!B:B,MATCH(OrdersTable[[#This Row],[Product ID]],Products!A:A,0))</f>
        <v>Onion Hair Oil</v>
      </c>
      <c r="O2692" t="str">
        <f>INDEX(Products!C:C,MATCH(OrdersTable[[#This Row],[Product ID]],Products!A:A,0))</f>
        <v>Haircare</v>
      </c>
      <c r="P2692">
        <v>1</v>
      </c>
      <c r="Q2692" s="5">
        <v>349</v>
      </c>
      <c r="R2692" s="74">
        <v>0.3</v>
      </c>
      <c r="S2692" s="75">
        <f>OrdersTable[[#This Row],[Quantity]]*OrdersTable[[#This Row],[Unit Price]]</f>
        <v>349</v>
      </c>
      <c r="T2692" s="5">
        <f>OrdersTable[[#This Row],[Gross Sale]]*OrdersTable[[#This Row],[Discount_Clean2]]</f>
        <v>104.7</v>
      </c>
      <c r="U2692" s="5">
        <f>OrdersTable[[#This Row],[Gross Sale]]-OrdersTable[[#This Row],[Discount Amount]]</f>
        <v>244.3</v>
      </c>
      <c r="V2692" s="77">
        <f>INDEX(Products!E:E,MATCH(OrdersTable[[#This Row],[Product ID]],Products!A:A,0))</f>
        <v>105</v>
      </c>
      <c r="W2692" s="77">
        <f>OrdersTable[[#This Row],[Quantity]]*OrdersTable[[#This Row],[Unit Cost]]</f>
        <v>105</v>
      </c>
      <c r="X2692" s="77">
        <f>'Dropdown Lists'!$I$2*(1+OrdersTable[[#This Row],[Returned]])</f>
        <v>60</v>
      </c>
      <c r="Y2692" s="76">
        <f>OrdersTable[[#This Row],[Net Revenue]]-OrdersTable[[#This Row],[COGS]]-OrdersTable[[#This Row],[Shipping Cost]]</f>
        <v>79.300000000000011</v>
      </c>
      <c r="Z2692" s="78">
        <f>IFERROR(OrdersTable[[#This Row],[Profit]]/OrdersTable[[#This Row],[Net Revenue]],0)</f>
        <v>0.32460090053213264</v>
      </c>
      <c r="AA2692" t="s">
        <v>3495</v>
      </c>
      <c r="AB2692" s="79">
        <v>45746</v>
      </c>
      <c r="AC2692">
        <f>OrdersTable[[#This Row],[Delivery Date]]-OrdersTable[[#This Row],[Order Date]]</f>
        <v>4</v>
      </c>
      <c r="AD2692" t="str">
        <f>IF(OrdersTable[[#This Row],[Delivery Days]]&lt;=2, "Express (≤2d)", IF(OrdersTable[[#This Row],[Delivery Days]]&lt;=4, "Standard (3-4d)", "Delayed (5d+)"))</f>
        <v>Standard (3-4d)</v>
      </c>
      <c r="AE2692">
        <v>5</v>
      </c>
      <c r="AF2692">
        <v>0</v>
      </c>
    </row>
    <row r="2693" spans="1:32" ht="15" x14ac:dyDescent="0.35">
      <c r="A2693" t="s">
        <v>1169</v>
      </c>
      <c r="B2693" s="1">
        <v>45742</v>
      </c>
      <c r="C2693">
        <f>YEAR(OrdersTable[[#This Row],[Order Date]])</f>
        <v>2025</v>
      </c>
      <c r="D2693" s="2">
        <f>DATE(YEAR(OrdersTable[[#This Row],[Order Date]]),MONTH(OrdersTable[[#This Row],[Order Date]]),1)</f>
        <v>45717</v>
      </c>
      <c r="E2693">
        <f>MONTH(OrdersTable[[#This Row],[Order Date]])</f>
        <v>3</v>
      </c>
      <c r="F2693" t="s">
        <v>340</v>
      </c>
      <c r="G2693" t="str">
        <f>IF(OrdersTable[[#This Row],[Order Date]]=_xlfn.MINIFS(Order_Date, Customer_ID, OrdersTable[[#This Row],[Customer ID]]), "New", "Repeat")</f>
        <v>Repeat</v>
      </c>
      <c r="H2693" t="s">
        <v>21</v>
      </c>
      <c r="I2693" t="str">
        <f>INDEX(State!B:B,MATCH(OrdersTable[[#This Row],[State]],State!A:A,0))</f>
        <v>PB</v>
      </c>
      <c r="J2693" t="str">
        <f>INDEX(State!C:C,MATCH(OrdersTable[[#This Row],[State Code]],State!B:B,0))</f>
        <v>North</v>
      </c>
      <c r="K2693" t="s">
        <v>260</v>
      </c>
      <c r="L2693" t="s">
        <v>50</v>
      </c>
      <c r="M2693" t="s">
        <v>45</v>
      </c>
      <c r="N2693" t="str">
        <f>INDEX(Products!B:B,MATCH(OrdersTable[[#This Row],[Product ID]],Products!A:A,0))</f>
        <v>Argan Shampoo</v>
      </c>
      <c r="O2693" t="str">
        <f>INDEX(Products!C:C,MATCH(OrdersTable[[#This Row],[Product ID]],Products!A:A,0))</f>
        <v>Haircare</v>
      </c>
      <c r="P2693">
        <v>1</v>
      </c>
      <c r="Q2693" s="5">
        <v>449</v>
      </c>
      <c r="R2693" s="74">
        <v>0.05</v>
      </c>
      <c r="S2693" s="75">
        <f>OrdersTable[[#This Row],[Quantity]]*OrdersTable[[#This Row],[Unit Price]]</f>
        <v>449</v>
      </c>
      <c r="T2693" s="5">
        <f>OrdersTable[[#This Row],[Gross Sale]]*OrdersTable[[#This Row],[Discount_Clean2]]</f>
        <v>22.450000000000003</v>
      </c>
      <c r="U2693" s="5">
        <f>OrdersTable[[#This Row],[Gross Sale]]-OrdersTable[[#This Row],[Discount Amount]]</f>
        <v>426.55</v>
      </c>
      <c r="V2693" s="77">
        <f>INDEX(Products!E:E,MATCH(OrdersTable[[#This Row],[Product ID]],Products!A:A,0))</f>
        <v>148</v>
      </c>
      <c r="W2693" s="77">
        <f>OrdersTable[[#This Row],[Quantity]]*OrdersTable[[#This Row],[Unit Cost]]</f>
        <v>148</v>
      </c>
      <c r="X2693" s="77">
        <f>'Dropdown Lists'!$I$2*(1+OrdersTable[[#This Row],[Returned]])</f>
        <v>120</v>
      </c>
      <c r="Y2693" s="76">
        <f>OrdersTable[[#This Row],[Net Revenue]]-OrdersTable[[#This Row],[COGS]]-OrdersTable[[#This Row],[Shipping Cost]]</f>
        <v>158.55000000000001</v>
      </c>
      <c r="Z2693" s="78">
        <f>IFERROR(OrdersTable[[#This Row],[Profit]]/OrdersTable[[#This Row],[Net Revenue]],0)</f>
        <v>0.37170320009377567</v>
      </c>
      <c r="AA2693" t="s">
        <v>18</v>
      </c>
      <c r="AB2693" s="79">
        <v>45745</v>
      </c>
      <c r="AC2693">
        <f>OrdersTable[[#This Row],[Delivery Date]]-OrdersTable[[#This Row],[Order Date]]</f>
        <v>3</v>
      </c>
      <c r="AD2693" t="str">
        <f>IF(OrdersTable[[#This Row],[Delivery Days]]&lt;=2, "Express (≤2d)", IF(OrdersTable[[#This Row],[Delivery Days]]&lt;=4, "Standard (3-4d)", "Delayed (5d+)"))</f>
        <v>Standard (3-4d)</v>
      </c>
      <c r="AF2693">
        <v>1</v>
      </c>
    </row>
    <row r="2694" spans="1:32" ht="15" x14ac:dyDescent="0.35">
      <c r="A2694" t="s">
        <v>277</v>
      </c>
      <c r="B2694" s="1">
        <v>45742</v>
      </c>
      <c r="C2694">
        <f>YEAR(OrdersTable[[#This Row],[Order Date]])</f>
        <v>2025</v>
      </c>
      <c r="D2694" s="2">
        <f>DATE(YEAR(OrdersTable[[#This Row],[Order Date]]),MONTH(OrdersTable[[#This Row],[Order Date]]),1)</f>
        <v>45717</v>
      </c>
      <c r="E2694">
        <f>MONTH(OrdersTable[[#This Row],[Order Date]])</f>
        <v>3</v>
      </c>
      <c r="F2694" t="s">
        <v>278</v>
      </c>
      <c r="G2694" t="str">
        <f>IF(OrdersTable[[#This Row],[Order Date]]=_xlfn.MINIFS(Order_Date, Customer_ID, OrdersTable[[#This Row],[Customer ID]]), "New", "Repeat")</f>
        <v>New</v>
      </c>
      <c r="H2694" t="s">
        <v>32</v>
      </c>
      <c r="I2694" t="str">
        <f>INDEX(State!B:B,MATCH(OrdersTable[[#This Row],[State]],State!A:A,0))</f>
        <v>BR</v>
      </c>
      <c r="J2694" t="str">
        <f>INDEX(State!C:C,MATCH(OrdersTable[[#This Row],[State Code]],State!B:B,0))</f>
        <v>East</v>
      </c>
      <c r="K2694" t="s">
        <v>33</v>
      </c>
      <c r="L2694" t="s">
        <v>65</v>
      </c>
      <c r="M2694" t="s">
        <v>34</v>
      </c>
      <c r="N2694" t="str">
        <f>INDEX(Products!B:B,MATCH(OrdersTable[[#This Row],[Product ID]],Products!A:A,0))</f>
        <v>Flip Flops</v>
      </c>
      <c r="O2694" t="str">
        <f>INDEX(Products!C:C,MATCH(OrdersTable[[#This Row],[Product ID]],Products!A:A,0))</f>
        <v>Footwear</v>
      </c>
      <c r="P2694">
        <v>1</v>
      </c>
      <c r="Q2694" s="5">
        <v>399</v>
      </c>
      <c r="R2694" s="74">
        <v>0.05</v>
      </c>
      <c r="S2694" s="75">
        <f>OrdersTable[[#This Row],[Quantity]]*OrdersTable[[#This Row],[Unit Price]]</f>
        <v>399</v>
      </c>
      <c r="T2694" s="5">
        <f>OrdersTable[[#This Row],[Gross Sale]]*OrdersTable[[#This Row],[Discount_Clean2]]</f>
        <v>19.950000000000003</v>
      </c>
      <c r="U2694" s="5">
        <f>OrdersTable[[#This Row],[Gross Sale]]-OrdersTable[[#This Row],[Discount Amount]]</f>
        <v>379.05</v>
      </c>
      <c r="V2694" s="77">
        <f>INDEX(Products!E:E,MATCH(OrdersTable[[#This Row],[Product ID]],Products!A:A,0))</f>
        <v>152</v>
      </c>
      <c r="W2694" s="77">
        <f>OrdersTable[[#This Row],[Quantity]]*OrdersTable[[#This Row],[Unit Cost]]</f>
        <v>152</v>
      </c>
      <c r="X2694" s="77">
        <f>'Dropdown Lists'!$I$2*(1+OrdersTable[[#This Row],[Returned]])</f>
        <v>60</v>
      </c>
      <c r="Y2694" s="76">
        <f>OrdersTable[[#This Row],[Net Revenue]]-OrdersTable[[#This Row],[COGS]]-OrdersTable[[#This Row],[Shipping Cost]]</f>
        <v>167.05</v>
      </c>
      <c r="Z2694" s="78">
        <f>IFERROR(OrdersTable[[#This Row],[Profit]]/OrdersTable[[#This Row],[Net Revenue]],0)</f>
        <v>0.44070703073473161</v>
      </c>
      <c r="AA2694" t="s">
        <v>18</v>
      </c>
      <c r="AB2694" s="79">
        <v>45745</v>
      </c>
      <c r="AC2694">
        <f>OrdersTable[[#This Row],[Delivery Date]]-OrdersTable[[#This Row],[Order Date]]</f>
        <v>3</v>
      </c>
      <c r="AD2694" t="str">
        <f>IF(OrdersTable[[#This Row],[Delivery Days]]&lt;=2, "Express (≤2d)", IF(OrdersTable[[#This Row],[Delivery Days]]&lt;=4, "Standard (3-4d)", "Delayed (5d+)"))</f>
        <v>Standard (3-4d)</v>
      </c>
      <c r="AE2694">
        <v>4</v>
      </c>
      <c r="AF2694">
        <v>0</v>
      </c>
    </row>
    <row r="2695" spans="1:32" ht="15" x14ac:dyDescent="0.35">
      <c r="A2695" t="s">
        <v>2798</v>
      </c>
      <c r="B2695" s="1">
        <v>45742</v>
      </c>
      <c r="C2695">
        <f>YEAR(OrdersTable[[#This Row],[Order Date]])</f>
        <v>2025</v>
      </c>
      <c r="D2695" s="2">
        <f>DATE(YEAR(OrdersTable[[#This Row],[Order Date]]),MONTH(OrdersTable[[#This Row],[Order Date]]),1)</f>
        <v>45717</v>
      </c>
      <c r="E2695">
        <f>MONTH(OrdersTable[[#This Row],[Order Date]])</f>
        <v>3</v>
      </c>
      <c r="F2695" t="s">
        <v>2323</v>
      </c>
      <c r="G2695" t="str">
        <f>IF(OrdersTable[[#This Row],[Order Date]]=_xlfn.MINIFS(Order_Date, Customer_ID, OrdersTable[[#This Row],[Customer ID]]), "New", "Repeat")</f>
        <v>Repeat</v>
      </c>
      <c r="H2695" t="s">
        <v>27</v>
      </c>
      <c r="I2695" t="str">
        <f>INDEX(State!B:B,MATCH(OrdersTable[[#This Row],[State]],State!A:A,0))</f>
        <v>WB</v>
      </c>
      <c r="J2695" t="str">
        <f>INDEX(State!C:C,MATCH(OrdersTable[[#This Row],[State Code]],State!B:B,0))</f>
        <v>East</v>
      </c>
      <c r="K2695" t="s">
        <v>28</v>
      </c>
      <c r="L2695" t="s">
        <v>50</v>
      </c>
      <c r="M2695" t="s">
        <v>40</v>
      </c>
      <c r="N2695" t="str">
        <f>INDEX(Products!B:B,MATCH(OrdersTable[[#This Row],[Product ID]],Products!A:A,0))</f>
        <v>Ashwagandha Capsules</v>
      </c>
      <c r="O2695" t="str">
        <f>INDEX(Products!C:C,MATCH(OrdersTable[[#This Row],[Product ID]],Products!A:A,0))</f>
        <v>Wellness</v>
      </c>
      <c r="P2695">
        <v>1</v>
      </c>
      <c r="Q2695" s="5">
        <v>499</v>
      </c>
      <c r="R2695" s="74">
        <v>0</v>
      </c>
      <c r="S2695" s="75">
        <f>OrdersTable[[#This Row],[Quantity]]*OrdersTable[[#This Row],[Unit Price]]</f>
        <v>499</v>
      </c>
      <c r="T2695" s="5">
        <f>OrdersTable[[#This Row],[Gross Sale]]*OrdersTable[[#This Row],[Discount_Clean2]]</f>
        <v>0</v>
      </c>
      <c r="U2695" s="5">
        <f>OrdersTable[[#This Row],[Gross Sale]]-OrdersTable[[#This Row],[Discount Amount]]</f>
        <v>499</v>
      </c>
      <c r="V2695" s="77">
        <f>INDEX(Products!E:E,MATCH(OrdersTable[[#This Row],[Product ID]],Products!A:A,0))</f>
        <v>150</v>
      </c>
      <c r="W2695" s="77">
        <f>OrdersTable[[#This Row],[Quantity]]*OrdersTable[[#This Row],[Unit Cost]]</f>
        <v>150</v>
      </c>
      <c r="X2695" s="77">
        <f>'Dropdown Lists'!$I$2*(1+OrdersTable[[#This Row],[Returned]])</f>
        <v>60</v>
      </c>
      <c r="Y2695" s="76">
        <f>OrdersTable[[#This Row],[Net Revenue]]-OrdersTable[[#This Row],[COGS]]-OrdersTable[[#This Row],[Shipping Cost]]</f>
        <v>289</v>
      </c>
      <c r="Z2695" s="78">
        <f>IFERROR(OrdersTable[[#This Row],[Profit]]/OrdersTable[[#This Row],[Net Revenue]],0)</f>
        <v>0.57915831663326656</v>
      </c>
      <c r="AA2695" t="s">
        <v>2522</v>
      </c>
      <c r="AB2695" s="79">
        <v>45745</v>
      </c>
      <c r="AC2695">
        <f>OrdersTable[[#This Row],[Delivery Date]]-OrdersTable[[#This Row],[Order Date]]</f>
        <v>3</v>
      </c>
      <c r="AD2695" t="str">
        <f>IF(OrdersTable[[#This Row],[Delivery Days]]&lt;=2, "Express (≤2d)", IF(OrdersTable[[#This Row],[Delivery Days]]&lt;=4, "Standard (3-4d)", "Delayed (5d+)"))</f>
        <v>Standard (3-4d)</v>
      </c>
      <c r="AE2695">
        <v>3</v>
      </c>
      <c r="AF2695">
        <v>0</v>
      </c>
    </row>
    <row r="2696" spans="1:32" ht="15" x14ac:dyDescent="0.35">
      <c r="A2696" t="s">
        <v>3268</v>
      </c>
      <c r="B2696" s="1">
        <v>45742</v>
      </c>
      <c r="C2696">
        <f>YEAR(OrdersTable[[#This Row],[Order Date]])</f>
        <v>2025</v>
      </c>
      <c r="D2696" s="2">
        <f>DATE(YEAR(OrdersTable[[#This Row],[Order Date]]),MONTH(OrdersTable[[#This Row],[Order Date]]),1)</f>
        <v>45717</v>
      </c>
      <c r="E2696">
        <f>MONTH(OrdersTable[[#This Row],[Order Date]])</f>
        <v>3</v>
      </c>
      <c r="F2696" t="s">
        <v>514</v>
      </c>
      <c r="G2696" t="str">
        <f>IF(OrdersTable[[#This Row],[Order Date]]=_xlfn.MINIFS(Order_Date, Customer_ID, OrdersTable[[#This Row],[Customer ID]]), "New", "Repeat")</f>
        <v>Repeat</v>
      </c>
      <c r="H2696" t="s">
        <v>71</v>
      </c>
      <c r="I2696" t="str">
        <f>INDEX(State!B:B,MATCH(OrdersTable[[#This Row],[State]],State!A:A,0))</f>
        <v>MH</v>
      </c>
      <c r="J2696" t="str">
        <f>INDEX(State!C:C,MATCH(OrdersTable[[#This Row],[State Code]],State!B:B,0))</f>
        <v>West</v>
      </c>
      <c r="K2696" t="s">
        <v>81</v>
      </c>
      <c r="L2696" t="s">
        <v>50</v>
      </c>
      <c r="M2696" t="s">
        <v>109</v>
      </c>
      <c r="N2696" t="str">
        <f>INDEX(Products!B:B,MATCH(OrdersTable[[#This Row],[Product ID]],Products!A:A,0))</f>
        <v>Onion Hair Oil</v>
      </c>
      <c r="O2696" t="str">
        <f>INDEX(Products!C:C,MATCH(OrdersTable[[#This Row],[Product ID]],Products!A:A,0))</f>
        <v>Haircare</v>
      </c>
      <c r="P2696">
        <v>1</v>
      </c>
      <c r="Q2696" s="5">
        <v>349</v>
      </c>
      <c r="R2696" s="74">
        <v>0.3</v>
      </c>
      <c r="S2696" s="75">
        <f>OrdersTable[[#This Row],[Quantity]]*OrdersTable[[#This Row],[Unit Price]]</f>
        <v>349</v>
      </c>
      <c r="T2696" s="5">
        <f>OrdersTable[[#This Row],[Gross Sale]]*OrdersTable[[#This Row],[Discount_Clean2]]</f>
        <v>104.7</v>
      </c>
      <c r="U2696" s="5">
        <f>OrdersTable[[#This Row],[Gross Sale]]-OrdersTable[[#This Row],[Discount Amount]]</f>
        <v>244.3</v>
      </c>
      <c r="V2696" s="77">
        <f>INDEX(Products!E:E,MATCH(OrdersTable[[#This Row],[Product ID]],Products!A:A,0))</f>
        <v>105</v>
      </c>
      <c r="W2696" s="77">
        <f>OrdersTable[[#This Row],[Quantity]]*OrdersTable[[#This Row],[Unit Cost]]</f>
        <v>105</v>
      </c>
      <c r="X2696" s="77">
        <f>'Dropdown Lists'!$I$2*(1+OrdersTable[[#This Row],[Returned]])</f>
        <v>60</v>
      </c>
      <c r="Y2696" s="76">
        <f>OrdersTable[[#This Row],[Net Revenue]]-OrdersTable[[#This Row],[COGS]]-OrdersTable[[#This Row],[Shipping Cost]]</f>
        <v>79.300000000000011</v>
      </c>
      <c r="Z2696" s="78">
        <f>IFERROR(OrdersTable[[#This Row],[Profit]]/OrdersTable[[#This Row],[Net Revenue]],0)</f>
        <v>0.32460090053213264</v>
      </c>
      <c r="AA2696" t="s">
        <v>2522</v>
      </c>
      <c r="AB2696" s="79">
        <v>45745</v>
      </c>
      <c r="AC2696">
        <f>OrdersTable[[#This Row],[Delivery Date]]-OrdersTable[[#This Row],[Order Date]]</f>
        <v>3</v>
      </c>
      <c r="AD2696" t="str">
        <f>IF(OrdersTable[[#This Row],[Delivery Days]]&lt;=2, "Express (≤2d)", IF(OrdersTable[[#This Row],[Delivery Days]]&lt;=4, "Standard (3-4d)", "Delayed (5d+)"))</f>
        <v>Standard (3-4d)</v>
      </c>
      <c r="AE2696">
        <v>4</v>
      </c>
      <c r="AF2696">
        <v>0</v>
      </c>
    </row>
    <row r="2697" spans="1:32" ht="15" x14ac:dyDescent="0.35">
      <c r="A2697" t="s">
        <v>4021</v>
      </c>
      <c r="B2697" s="1">
        <v>45742</v>
      </c>
      <c r="C2697">
        <f>YEAR(OrdersTable[[#This Row],[Order Date]])</f>
        <v>2025</v>
      </c>
      <c r="D2697" s="2">
        <f>DATE(YEAR(OrdersTable[[#This Row],[Order Date]]),MONTH(OrdersTable[[#This Row],[Order Date]]),1)</f>
        <v>45717</v>
      </c>
      <c r="E2697">
        <f>MONTH(OrdersTable[[#This Row],[Order Date]])</f>
        <v>3</v>
      </c>
      <c r="F2697" t="s">
        <v>4022</v>
      </c>
      <c r="G2697" t="str">
        <f>IF(OrdersTable[[#This Row],[Order Date]]=_xlfn.MINIFS(Order_Date, Customer_ID, OrdersTable[[#This Row],[Customer ID]]), "New", "Repeat")</f>
        <v>Repeat</v>
      </c>
      <c r="H2697" t="s">
        <v>14</v>
      </c>
      <c r="I2697" t="str">
        <f>INDEX(State!B:B,MATCH(OrdersTable[[#This Row],[State]],State!A:A,0))</f>
        <v>OD</v>
      </c>
      <c r="J2697" t="str">
        <f>INDEX(State!C:C,MATCH(OrdersTable[[#This Row],[State Code]],State!B:B,0))</f>
        <v>East</v>
      </c>
      <c r="K2697" t="s">
        <v>15</v>
      </c>
      <c r="L2697" t="s">
        <v>23</v>
      </c>
      <c r="M2697" t="s">
        <v>255</v>
      </c>
      <c r="N2697" t="str">
        <f>INDEX(Products!B:B,MATCH(OrdersTable[[#This Row],[Product ID]],Products!A:A,0))</f>
        <v>Cotton Oversized T-Shirt</v>
      </c>
      <c r="O2697" t="str">
        <f>INDEX(Products!C:C,MATCH(OrdersTable[[#This Row],[Product ID]],Products!A:A,0))</f>
        <v>Apparel</v>
      </c>
      <c r="P2697">
        <v>1</v>
      </c>
      <c r="Q2697" s="5">
        <v>799</v>
      </c>
      <c r="R2697" s="74">
        <v>0</v>
      </c>
      <c r="S2697" s="75">
        <f>OrdersTable[[#This Row],[Quantity]]*OrdersTable[[#This Row],[Unit Price]]</f>
        <v>799</v>
      </c>
      <c r="T2697" s="5">
        <f>OrdersTable[[#This Row],[Gross Sale]]*OrdersTable[[#This Row],[Discount_Clean2]]</f>
        <v>0</v>
      </c>
      <c r="U2697" s="5">
        <f>OrdersTable[[#This Row],[Gross Sale]]-OrdersTable[[#This Row],[Discount Amount]]</f>
        <v>799</v>
      </c>
      <c r="V2697" s="77">
        <f>INDEX(Products!E:E,MATCH(OrdersTable[[#This Row],[Product ID]],Products!A:A,0))</f>
        <v>320</v>
      </c>
      <c r="W2697" s="77">
        <f>OrdersTable[[#This Row],[Quantity]]*OrdersTable[[#This Row],[Unit Cost]]</f>
        <v>320</v>
      </c>
      <c r="X2697" s="77">
        <f>'Dropdown Lists'!$I$2*(1+OrdersTable[[#This Row],[Returned]])</f>
        <v>60</v>
      </c>
      <c r="Y2697" s="76">
        <f>OrdersTable[[#This Row],[Net Revenue]]-OrdersTable[[#This Row],[COGS]]-OrdersTable[[#This Row],[Shipping Cost]]</f>
        <v>419</v>
      </c>
      <c r="Z2697" s="78">
        <f>IFERROR(OrdersTable[[#This Row],[Profit]]/OrdersTable[[#This Row],[Net Revenue]],0)</f>
        <v>0.52440550688360454</v>
      </c>
      <c r="AA2697" t="s">
        <v>3495</v>
      </c>
      <c r="AB2697" s="79">
        <v>45745</v>
      </c>
      <c r="AC2697">
        <f>OrdersTable[[#This Row],[Delivery Date]]-OrdersTable[[#This Row],[Order Date]]</f>
        <v>3</v>
      </c>
      <c r="AD2697" t="str">
        <f>IF(OrdersTable[[#This Row],[Delivery Days]]&lt;=2, "Express (≤2d)", IF(OrdersTable[[#This Row],[Delivery Days]]&lt;=4, "Standard (3-4d)", "Delayed (5d+)"))</f>
        <v>Standard (3-4d)</v>
      </c>
      <c r="AE2697">
        <v>5</v>
      </c>
      <c r="AF2697">
        <v>0</v>
      </c>
    </row>
    <row r="2698" spans="1:32" ht="15" x14ac:dyDescent="0.35">
      <c r="A2698" t="s">
        <v>3044</v>
      </c>
      <c r="B2698" s="1">
        <v>45743</v>
      </c>
      <c r="C2698">
        <f>YEAR(OrdersTable[[#This Row],[Order Date]])</f>
        <v>2025</v>
      </c>
      <c r="D2698" s="2">
        <f>DATE(YEAR(OrdersTable[[#This Row],[Order Date]]),MONTH(OrdersTable[[#This Row],[Order Date]]),1)</f>
        <v>45717</v>
      </c>
      <c r="E2698">
        <f>MONTH(OrdersTable[[#This Row],[Order Date]])</f>
        <v>3</v>
      </c>
      <c r="F2698" t="s">
        <v>1791</v>
      </c>
      <c r="G2698" t="str">
        <f>IF(OrdersTable[[#This Row],[Order Date]]=_xlfn.MINIFS(Order_Date, Customer_ID, OrdersTable[[#This Row],[Customer ID]]), "New", "Repeat")</f>
        <v>Repeat</v>
      </c>
      <c r="H2698" t="s">
        <v>27</v>
      </c>
      <c r="I2698" t="str">
        <f>INDEX(State!B:B,MATCH(OrdersTable[[#This Row],[State]],State!A:A,0))</f>
        <v>WB</v>
      </c>
      <c r="J2698" t="str">
        <f>INDEX(State!C:C,MATCH(OrdersTable[[#This Row],[State Code]],State!B:B,0))</f>
        <v>East</v>
      </c>
      <c r="K2698" t="s">
        <v>28</v>
      </c>
      <c r="L2698" t="s">
        <v>50</v>
      </c>
      <c r="M2698" t="s">
        <v>152</v>
      </c>
      <c r="N2698" t="str">
        <f>INDEX(Products!B:B,MATCH(OrdersTable[[#This Row],[Product ID]],Products!A:A,0))</f>
        <v>Green Tea (100 bags)</v>
      </c>
      <c r="O2698" t="str">
        <f>INDEX(Products!C:C,MATCH(OrdersTable[[#This Row],[Product ID]],Products!A:A,0))</f>
        <v>Wellness</v>
      </c>
      <c r="P2698">
        <v>1</v>
      </c>
      <c r="Q2698" s="5">
        <v>399</v>
      </c>
      <c r="R2698" s="74">
        <v>0.3</v>
      </c>
      <c r="S2698" s="75">
        <f>OrdersTable[[#This Row],[Quantity]]*OrdersTable[[#This Row],[Unit Price]]</f>
        <v>399</v>
      </c>
      <c r="T2698" s="5">
        <f>OrdersTable[[#This Row],[Gross Sale]]*OrdersTable[[#This Row],[Discount_Clean2]]</f>
        <v>119.69999999999999</v>
      </c>
      <c r="U2698" s="5">
        <f>OrdersTable[[#This Row],[Gross Sale]]-OrdersTable[[#This Row],[Discount Amount]]</f>
        <v>279.3</v>
      </c>
      <c r="V2698" s="77">
        <f>INDEX(Products!E:E,MATCH(OrdersTable[[#This Row],[Product ID]],Products!A:A,0))</f>
        <v>128</v>
      </c>
      <c r="W2698" s="77">
        <f>OrdersTable[[#This Row],[Quantity]]*OrdersTable[[#This Row],[Unit Cost]]</f>
        <v>128</v>
      </c>
      <c r="X2698" s="77">
        <f>'Dropdown Lists'!$I$2*(1+OrdersTable[[#This Row],[Returned]])</f>
        <v>60</v>
      </c>
      <c r="Y2698" s="76">
        <f>OrdersTable[[#This Row],[Net Revenue]]-OrdersTable[[#This Row],[COGS]]-OrdersTable[[#This Row],[Shipping Cost]]</f>
        <v>91.300000000000011</v>
      </c>
      <c r="Z2698" s="78">
        <f>IFERROR(OrdersTable[[#This Row],[Profit]]/OrdersTable[[#This Row],[Net Revenue]],0)</f>
        <v>0.32688865019692093</v>
      </c>
      <c r="AA2698" t="s">
        <v>2522</v>
      </c>
      <c r="AB2698" s="79">
        <v>45747</v>
      </c>
      <c r="AC2698">
        <f>OrdersTable[[#This Row],[Delivery Date]]-OrdersTable[[#This Row],[Order Date]]</f>
        <v>4</v>
      </c>
      <c r="AD2698" t="str">
        <f>IF(OrdersTable[[#This Row],[Delivery Days]]&lt;=2, "Express (≤2d)", IF(OrdersTable[[#This Row],[Delivery Days]]&lt;=4, "Standard (3-4d)", "Delayed (5d+)"))</f>
        <v>Standard (3-4d)</v>
      </c>
      <c r="AF2698">
        <v>0</v>
      </c>
    </row>
    <row r="2699" spans="1:32" ht="15" x14ac:dyDescent="0.35">
      <c r="A2699" t="s">
        <v>3045</v>
      </c>
      <c r="B2699" s="1">
        <v>45743</v>
      </c>
      <c r="C2699">
        <f>YEAR(OrdersTable[[#This Row],[Order Date]])</f>
        <v>2025</v>
      </c>
      <c r="D2699" s="2">
        <f>DATE(YEAR(OrdersTable[[#This Row],[Order Date]]),MONTH(OrdersTable[[#This Row],[Order Date]]),1)</f>
        <v>45717</v>
      </c>
      <c r="E2699">
        <f>MONTH(OrdersTable[[#This Row],[Order Date]])</f>
        <v>3</v>
      </c>
      <c r="F2699" t="s">
        <v>3046</v>
      </c>
      <c r="G2699" t="str">
        <f>IF(OrdersTable[[#This Row],[Order Date]]=_xlfn.MINIFS(Order_Date, Customer_ID, OrdersTable[[#This Row],[Customer ID]]), "New", "Repeat")</f>
        <v>New</v>
      </c>
      <c r="H2699" t="s">
        <v>27</v>
      </c>
      <c r="I2699" t="str">
        <f>INDEX(State!B:B,MATCH(OrdersTable[[#This Row],[State]],State!A:A,0))</f>
        <v>WB</v>
      </c>
      <c r="J2699" t="str">
        <f>INDEX(State!C:C,MATCH(OrdersTable[[#This Row],[State Code]],State!B:B,0))</f>
        <v>East</v>
      </c>
      <c r="K2699" t="s">
        <v>28</v>
      </c>
      <c r="L2699" t="s">
        <v>65</v>
      </c>
      <c r="M2699" t="s">
        <v>576</v>
      </c>
      <c r="N2699" t="str">
        <f>INDEX(Products!B:B,MATCH(OrdersTable[[#This Row],[Product ID]],Products!A:A,0))</f>
        <v>Printed Saree</v>
      </c>
      <c r="O2699" t="str">
        <f>INDEX(Products!C:C,MATCH(OrdersTable[[#This Row],[Product ID]],Products!A:A,0))</f>
        <v>Apparel</v>
      </c>
      <c r="P2699">
        <v>1</v>
      </c>
      <c r="Q2699" s="5">
        <v>1999</v>
      </c>
      <c r="R2699" s="74">
        <v>0.1</v>
      </c>
      <c r="S2699" s="75">
        <f>OrdersTable[[#This Row],[Quantity]]*OrdersTable[[#This Row],[Unit Price]]</f>
        <v>1999</v>
      </c>
      <c r="T2699" s="5">
        <f>OrdersTable[[#This Row],[Gross Sale]]*OrdersTable[[#This Row],[Discount_Clean2]]</f>
        <v>199.9</v>
      </c>
      <c r="U2699" s="5">
        <f>OrdersTable[[#This Row],[Gross Sale]]-OrdersTable[[#This Row],[Discount Amount]]</f>
        <v>1799.1</v>
      </c>
      <c r="V2699" s="77">
        <f>INDEX(Products!E:E,MATCH(OrdersTable[[#This Row],[Product ID]],Products!A:A,0))</f>
        <v>880</v>
      </c>
      <c r="W2699" s="77">
        <f>OrdersTable[[#This Row],[Quantity]]*OrdersTable[[#This Row],[Unit Cost]]</f>
        <v>880</v>
      </c>
      <c r="X2699" s="77">
        <f>'Dropdown Lists'!$I$2*(1+OrdersTable[[#This Row],[Returned]])</f>
        <v>60</v>
      </c>
      <c r="Y2699" s="76">
        <f>OrdersTable[[#This Row],[Net Revenue]]-OrdersTable[[#This Row],[COGS]]-OrdersTable[[#This Row],[Shipping Cost]]</f>
        <v>859.09999999999991</v>
      </c>
      <c r="Z2699" s="78">
        <f>IFERROR(OrdersTable[[#This Row],[Profit]]/OrdersTable[[#This Row],[Net Revenue]],0)</f>
        <v>0.47751653604580063</v>
      </c>
      <c r="AA2699" t="s">
        <v>2522</v>
      </c>
      <c r="AB2699" s="79">
        <v>45746</v>
      </c>
      <c r="AC2699">
        <f>OrdersTable[[#This Row],[Delivery Date]]-OrdersTable[[#This Row],[Order Date]]</f>
        <v>3</v>
      </c>
      <c r="AD2699" t="str">
        <f>IF(OrdersTable[[#This Row],[Delivery Days]]&lt;=2, "Express (≤2d)", IF(OrdersTable[[#This Row],[Delivery Days]]&lt;=4, "Standard (3-4d)", "Delayed (5d+)"))</f>
        <v>Standard (3-4d)</v>
      </c>
      <c r="AF2699">
        <v>0</v>
      </c>
    </row>
    <row r="2700" spans="1:32" ht="15" x14ac:dyDescent="0.35">
      <c r="A2700" t="s">
        <v>4993</v>
      </c>
      <c r="B2700" s="1">
        <v>45743</v>
      </c>
      <c r="C2700">
        <f>YEAR(OrdersTable[[#This Row],[Order Date]])</f>
        <v>2025</v>
      </c>
      <c r="D2700" s="2">
        <f>DATE(YEAR(OrdersTable[[#This Row],[Order Date]]),MONTH(OrdersTable[[#This Row],[Order Date]]),1)</f>
        <v>45717</v>
      </c>
      <c r="E2700">
        <f>MONTH(OrdersTable[[#This Row],[Order Date]])</f>
        <v>3</v>
      </c>
      <c r="F2700" t="s">
        <v>4793</v>
      </c>
      <c r="G2700" t="str">
        <f>IF(OrdersTable[[#This Row],[Order Date]]=_xlfn.MINIFS(Order_Date, Customer_ID, OrdersTable[[#This Row],[Customer ID]]), "New", "Repeat")</f>
        <v>Repeat</v>
      </c>
      <c r="H2700" t="s">
        <v>95</v>
      </c>
      <c r="I2700" t="str">
        <f>INDEX(State!B:B,MATCH(OrdersTable[[#This Row],[State]],State!A:A,0))</f>
        <v>TG</v>
      </c>
      <c r="J2700" t="str">
        <f>INDEX(State!C:C,MATCH(OrdersTable[[#This Row],[State Code]],State!B:B,0))</f>
        <v>South</v>
      </c>
      <c r="K2700" t="s">
        <v>96</v>
      </c>
      <c r="L2700" t="s">
        <v>23</v>
      </c>
      <c r="M2700" t="s">
        <v>87</v>
      </c>
      <c r="N2700" t="str">
        <f>INDEX(Products!B:B,MATCH(OrdersTable[[#This Row],[Product ID]],Products!A:A,0))</f>
        <v>Linen Kurta</v>
      </c>
      <c r="O2700" t="str">
        <f>INDEX(Products!C:C,MATCH(OrdersTable[[#This Row],[Product ID]],Products!A:A,0))</f>
        <v>Apparel</v>
      </c>
      <c r="P2700">
        <v>2</v>
      </c>
      <c r="Q2700" s="5">
        <v>1499</v>
      </c>
      <c r="R2700" s="74">
        <v>0.25</v>
      </c>
      <c r="S2700" s="75">
        <f>OrdersTable[[#This Row],[Quantity]]*OrdersTable[[#This Row],[Unit Price]]</f>
        <v>2998</v>
      </c>
      <c r="T2700" s="5">
        <f>OrdersTable[[#This Row],[Gross Sale]]*OrdersTable[[#This Row],[Discount_Clean2]]</f>
        <v>749.5</v>
      </c>
      <c r="U2700" s="5">
        <f>OrdersTable[[#This Row],[Gross Sale]]-OrdersTable[[#This Row],[Discount Amount]]</f>
        <v>2248.5</v>
      </c>
      <c r="V2700" s="77">
        <f>INDEX(Products!E:E,MATCH(OrdersTable[[#This Row],[Product ID]],Products!A:A,0))</f>
        <v>630</v>
      </c>
      <c r="W2700" s="77">
        <f>OrdersTable[[#This Row],[Quantity]]*OrdersTable[[#This Row],[Unit Cost]]</f>
        <v>1260</v>
      </c>
      <c r="X2700" s="77">
        <f>'Dropdown Lists'!$I$2*(1+OrdersTable[[#This Row],[Returned]])</f>
        <v>60</v>
      </c>
      <c r="Y2700" s="76">
        <f>OrdersTable[[#This Row],[Net Revenue]]-OrdersTable[[#This Row],[COGS]]-OrdersTable[[#This Row],[Shipping Cost]]</f>
        <v>928.5</v>
      </c>
      <c r="Z2700" s="78">
        <f>IFERROR(OrdersTable[[#This Row],[Profit]]/OrdersTable[[#This Row],[Net Revenue]],0)</f>
        <v>0.41294196130753835</v>
      </c>
      <c r="AA2700" t="s">
        <v>4074</v>
      </c>
      <c r="AB2700" s="79">
        <v>45744</v>
      </c>
      <c r="AC2700">
        <f>OrdersTable[[#This Row],[Delivery Date]]-OrdersTable[[#This Row],[Order Date]]</f>
        <v>1</v>
      </c>
      <c r="AD2700" t="str">
        <f>IF(OrdersTable[[#This Row],[Delivery Days]]&lt;=2, "Express (≤2d)", IF(OrdersTable[[#This Row],[Delivery Days]]&lt;=4, "Standard (3-4d)", "Delayed (5d+)"))</f>
        <v>Express (≤2d)</v>
      </c>
      <c r="AF2700">
        <v>0</v>
      </c>
    </row>
    <row r="2701" spans="1:32" ht="15" x14ac:dyDescent="0.35">
      <c r="A2701" t="s">
        <v>3760</v>
      </c>
      <c r="B2701" s="1">
        <v>45743</v>
      </c>
      <c r="C2701">
        <f>YEAR(OrdersTable[[#This Row],[Order Date]])</f>
        <v>2025</v>
      </c>
      <c r="D2701" s="2">
        <f>DATE(YEAR(OrdersTable[[#This Row],[Order Date]]),MONTH(OrdersTable[[#This Row],[Order Date]]),1)</f>
        <v>45717</v>
      </c>
      <c r="E2701">
        <f>MONTH(OrdersTable[[#This Row],[Order Date]])</f>
        <v>3</v>
      </c>
      <c r="F2701" t="s">
        <v>3761</v>
      </c>
      <c r="G2701" t="str">
        <f>IF(OrdersTable[[#This Row],[Order Date]]=_xlfn.MINIFS(Order_Date, Customer_ID, OrdersTable[[#This Row],[Customer ID]]), "New", "Repeat")</f>
        <v>Repeat</v>
      </c>
      <c r="H2701" t="s">
        <v>95</v>
      </c>
      <c r="I2701" t="str">
        <f>INDEX(State!B:B,MATCH(OrdersTable[[#This Row],[State]],State!A:A,0))</f>
        <v>TG</v>
      </c>
      <c r="J2701" t="str">
        <f>INDEX(State!C:C,MATCH(OrdersTable[[#This Row],[State Code]],State!B:B,0))</f>
        <v>South</v>
      </c>
      <c r="K2701" t="s">
        <v>96</v>
      </c>
      <c r="L2701" t="s">
        <v>23</v>
      </c>
      <c r="M2701" t="s">
        <v>34</v>
      </c>
      <c r="N2701" t="str">
        <f>INDEX(Products!B:B,MATCH(OrdersTable[[#This Row],[Product ID]],Products!A:A,0))</f>
        <v>Flip Flops</v>
      </c>
      <c r="O2701" t="str">
        <f>INDEX(Products!C:C,MATCH(OrdersTable[[#This Row],[Product ID]],Products!A:A,0))</f>
        <v>Footwear</v>
      </c>
      <c r="P2701">
        <v>1</v>
      </c>
      <c r="Q2701" s="5">
        <v>399</v>
      </c>
      <c r="R2701" s="74">
        <v>0.1</v>
      </c>
      <c r="S2701" s="75">
        <f>OrdersTable[[#This Row],[Quantity]]*OrdersTable[[#This Row],[Unit Price]]</f>
        <v>399</v>
      </c>
      <c r="T2701" s="5">
        <f>OrdersTable[[#This Row],[Gross Sale]]*OrdersTable[[#This Row],[Discount_Clean2]]</f>
        <v>39.900000000000006</v>
      </c>
      <c r="U2701" s="5">
        <f>OrdersTable[[#This Row],[Gross Sale]]-OrdersTable[[#This Row],[Discount Amount]]</f>
        <v>359.1</v>
      </c>
      <c r="V2701" s="77">
        <f>INDEX(Products!E:E,MATCH(OrdersTable[[#This Row],[Product ID]],Products!A:A,0))</f>
        <v>152</v>
      </c>
      <c r="W2701" s="77">
        <f>OrdersTable[[#This Row],[Quantity]]*OrdersTable[[#This Row],[Unit Cost]]</f>
        <v>152</v>
      </c>
      <c r="X2701" s="77">
        <f>'Dropdown Lists'!$I$2*(1+OrdersTable[[#This Row],[Returned]])</f>
        <v>60</v>
      </c>
      <c r="Y2701" s="76">
        <f>OrdersTable[[#This Row],[Net Revenue]]-OrdersTable[[#This Row],[COGS]]-OrdersTable[[#This Row],[Shipping Cost]]</f>
        <v>147.10000000000002</v>
      </c>
      <c r="Z2701" s="78">
        <f>IFERROR(OrdersTable[[#This Row],[Profit]]/OrdersTable[[#This Row],[Net Revenue]],0)</f>
        <v>0.40963519910888335</v>
      </c>
      <c r="AA2701" t="s">
        <v>3495</v>
      </c>
      <c r="AB2701" s="79">
        <v>45745</v>
      </c>
      <c r="AC2701">
        <f>OrdersTable[[#This Row],[Delivery Date]]-OrdersTable[[#This Row],[Order Date]]</f>
        <v>2</v>
      </c>
      <c r="AD2701" t="str">
        <f>IF(OrdersTable[[#This Row],[Delivery Days]]&lt;=2, "Express (≤2d)", IF(OrdersTable[[#This Row],[Delivery Days]]&lt;=4, "Standard (3-4d)", "Delayed (5d+)"))</f>
        <v>Express (≤2d)</v>
      </c>
      <c r="AF2701">
        <v>0</v>
      </c>
    </row>
    <row r="2702" spans="1:32" ht="15" x14ac:dyDescent="0.35">
      <c r="A2702" t="s">
        <v>5608</v>
      </c>
      <c r="B2702" s="1">
        <v>45743</v>
      </c>
      <c r="C2702">
        <f>YEAR(OrdersTable[[#This Row],[Order Date]])</f>
        <v>2025</v>
      </c>
      <c r="D2702" s="2">
        <f>DATE(YEAR(OrdersTable[[#This Row],[Order Date]]),MONTH(OrdersTable[[#This Row],[Order Date]]),1)</f>
        <v>45717</v>
      </c>
      <c r="E2702">
        <f>MONTH(OrdersTable[[#This Row],[Order Date]])</f>
        <v>3</v>
      </c>
      <c r="F2702" t="s">
        <v>1560</v>
      </c>
      <c r="G2702" t="str">
        <f>IF(OrdersTable[[#This Row],[Order Date]]=_xlfn.MINIFS(Order_Date, Customer_ID, OrdersTable[[#This Row],[Customer ID]]), "New", "Repeat")</f>
        <v>Repeat</v>
      </c>
      <c r="H2702" t="s">
        <v>167</v>
      </c>
      <c r="I2702" t="str">
        <f>INDEX(State!B:B,MATCH(OrdersTable[[#This Row],[State]],State!A:A,0))</f>
        <v>KA</v>
      </c>
      <c r="J2702" t="str">
        <f>INDEX(State!C:C,MATCH(OrdersTable[[#This Row],[State Code]],State!B:B,0))</f>
        <v>South</v>
      </c>
      <c r="K2702" t="s">
        <v>168</v>
      </c>
      <c r="L2702" t="s">
        <v>50</v>
      </c>
      <c r="M2702" t="s">
        <v>152</v>
      </c>
      <c r="N2702" t="str">
        <f>INDEX(Products!B:B,MATCH(OrdersTable[[#This Row],[Product ID]],Products!A:A,0))</f>
        <v>Green Tea (100 bags)</v>
      </c>
      <c r="O2702" t="str">
        <f>INDEX(Products!C:C,MATCH(OrdersTable[[#This Row],[Product ID]],Products!A:A,0))</f>
        <v>Wellness</v>
      </c>
      <c r="P2702">
        <v>2</v>
      </c>
      <c r="Q2702" s="5">
        <v>399</v>
      </c>
      <c r="R2702" s="74">
        <v>0.4</v>
      </c>
      <c r="S2702" s="75">
        <f>OrdersTable[[#This Row],[Quantity]]*OrdersTable[[#This Row],[Unit Price]]</f>
        <v>798</v>
      </c>
      <c r="T2702" s="5">
        <f>OrdersTable[[#This Row],[Gross Sale]]*OrdersTable[[#This Row],[Discount_Clean2]]</f>
        <v>319.20000000000005</v>
      </c>
      <c r="U2702" s="5">
        <f>OrdersTable[[#This Row],[Gross Sale]]-OrdersTable[[#This Row],[Discount Amount]]</f>
        <v>478.79999999999995</v>
      </c>
      <c r="V2702" s="77">
        <f>INDEX(Products!E:E,MATCH(OrdersTable[[#This Row],[Product ID]],Products!A:A,0))</f>
        <v>128</v>
      </c>
      <c r="W2702" s="77">
        <f>OrdersTable[[#This Row],[Quantity]]*OrdersTable[[#This Row],[Unit Cost]]</f>
        <v>256</v>
      </c>
      <c r="X2702" s="77">
        <f>'Dropdown Lists'!$I$2*(1+OrdersTable[[#This Row],[Returned]])</f>
        <v>60</v>
      </c>
      <c r="Y2702" s="76">
        <f>OrdersTable[[#This Row],[Net Revenue]]-OrdersTable[[#This Row],[COGS]]-OrdersTable[[#This Row],[Shipping Cost]]</f>
        <v>162.79999999999995</v>
      </c>
      <c r="Z2702" s="78">
        <f>IFERROR(OrdersTable[[#This Row],[Profit]]/OrdersTable[[#This Row],[Net Revenue]],0)</f>
        <v>0.34001670843776099</v>
      </c>
      <c r="AA2702" t="s">
        <v>2522</v>
      </c>
      <c r="AB2702" s="79">
        <v>45745</v>
      </c>
      <c r="AC2702">
        <f>OrdersTable[[#This Row],[Delivery Date]]-OrdersTable[[#This Row],[Order Date]]</f>
        <v>2</v>
      </c>
      <c r="AD2702" t="str">
        <f>IF(OrdersTable[[#This Row],[Delivery Days]]&lt;=2, "Express (≤2d)", IF(OrdersTable[[#This Row],[Delivery Days]]&lt;=4, "Standard (3-4d)", "Delayed (5d+)"))</f>
        <v>Express (≤2d)</v>
      </c>
      <c r="AF2702">
        <v>0</v>
      </c>
    </row>
    <row r="2703" spans="1:32" ht="15" x14ac:dyDescent="0.35">
      <c r="A2703" t="s">
        <v>6354</v>
      </c>
      <c r="B2703" s="1">
        <v>45743</v>
      </c>
      <c r="C2703">
        <f>YEAR(OrdersTable[[#This Row],[Order Date]])</f>
        <v>2025</v>
      </c>
      <c r="D2703" s="2">
        <f>DATE(YEAR(OrdersTable[[#This Row],[Order Date]]),MONTH(OrdersTable[[#This Row],[Order Date]]),1)</f>
        <v>45717</v>
      </c>
      <c r="E2703">
        <f>MONTH(OrdersTable[[#This Row],[Order Date]])</f>
        <v>3</v>
      </c>
      <c r="F2703" t="s">
        <v>1235</v>
      </c>
      <c r="G2703" t="str">
        <f>IF(OrdersTable[[#This Row],[Order Date]]=_xlfn.MINIFS(Order_Date, Customer_ID, OrdersTable[[#This Row],[Customer ID]]), "New", "Repeat")</f>
        <v>Repeat</v>
      </c>
      <c r="H2703" t="s">
        <v>316</v>
      </c>
      <c r="I2703" t="str">
        <f>INDEX(State!B:B,MATCH(OrdersTable[[#This Row],[State]],State!A:A,0))</f>
        <v>KL</v>
      </c>
      <c r="J2703" t="str">
        <f>INDEX(State!C:C,MATCH(OrdersTable[[#This Row],[State Code]],State!B:B,0))</f>
        <v>South</v>
      </c>
      <c r="K2703" t="s">
        <v>317</v>
      </c>
      <c r="L2703" t="s">
        <v>23</v>
      </c>
      <c r="M2703" t="s">
        <v>51</v>
      </c>
      <c r="N2703" t="str">
        <f>INDEX(Products!B:B,MATCH(OrdersTable[[#This Row],[Product ID]],Products!A:A,0))</f>
        <v>Anti-Dandruff Conditioner</v>
      </c>
      <c r="O2703" t="str">
        <f>INDEX(Products!C:C,MATCH(OrdersTable[[#This Row],[Product ID]],Products!A:A,0))</f>
        <v>Haircare</v>
      </c>
      <c r="P2703">
        <v>2</v>
      </c>
      <c r="Q2703" s="5">
        <v>399</v>
      </c>
      <c r="R2703" s="74">
        <v>0.45</v>
      </c>
      <c r="S2703" s="75">
        <f>OrdersTable[[#This Row],[Quantity]]*OrdersTable[[#This Row],[Unit Price]]</f>
        <v>798</v>
      </c>
      <c r="T2703" s="5">
        <f>OrdersTable[[#This Row],[Gross Sale]]*OrdersTable[[#This Row],[Discount_Clean2]]</f>
        <v>359.1</v>
      </c>
      <c r="U2703" s="5">
        <f>OrdersTable[[#This Row],[Gross Sale]]-OrdersTable[[#This Row],[Discount Amount]]</f>
        <v>438.9</v>
      </c>
      <c r="V2703" s="77">
        <f>INDEX(Products!E:E,MATCH(OrdersTable[[#This Row],[Product ID]],Products!A:A,0))</f>
        <v>136</v>
      </c>
      <c r="W2703" s="77">
        <f>OrdersTable[[#This Row],[Quantity]]*OrdersTable[[#This Row],[Unit Cost]]</f>
        <v>272</v>
      </c>
      <c r="X2703" s="77">
        <f>'Dropdown Lists'!$I$2*(1+OrdersTable[[#This Row],[Returned]])</f>
        <v>60</v>
      </c>
      <c r="Y2703" s="76">
        <f>OrdersTable[[#This Row],[Net Revenue]]-OrdersTable[[#This Row],[COGS]]-OrdersTable[[#This Row],[Shipping Cost]]</f>
        <v>106.89999999999998</v>
      </c>
      <c r="Z2703" s="78">
        <f>IFERROR(OrdersTable[[#This Row],[Profit]]/OrdersTable[[#This Row],[Net Revenue]],0)</f>
        <v>0.24356345408976984</v>
      </c>
      <c r="AA2703" t="s">
        <v>18</v>
      </c>
      <c r="AB2703" s="79">
        <v>45747</v>
      </c>
      <c r="AC2703">
        <f>OrdersTable[[#This Row],[Delivery Date]]-OrdersTable[[#This Row],[Order Date]]</f>
        <v>4</v>
      </c>
      <c r="AD2703" t="str">
        <f>IF(OrdersTable[[#This Row],[Delivery Days]]&lt;=2, "Express (≤2d)", IF(OrdersTable[[#This Row],[Delivery Days]]&lt;=4, "Standard (3-4d)", "Delayed (5d+)"))</f>
        <v>Standard (3-4d)</v>
      </c>
      <c r="AE2703">
        <v>3</v>
      </c>
      <c r="AF2703">
        <v>0</v>
      </c>
    </row>
    <row r="2704" spans="1:32" ht="15" x14ac:dyDescent="0.35">
      <c r="A2704" t="s">
        <v>2379</v>
      </c>
      <c r="B2704" s="1">
        <v>45743</v>
      </c>
      <c r="C2704">
        <f>YEAR(OrdersTable[[#This Row],[Order Date]])</f>
        <v>2025</v>
      </c>
      <c r="D2704" s="2">
        <f>DATE(YEAR(OrdersTable[[#This Row],[Order Date]]),MONTH(OrdersTable[[#This Row],[Order Date]]),1)</f>
        <v>45717</v>
      </c>
      <c r="E2704">
        <f>MONTH(OrdersTable[[#This Row],[Order Date]])</f>
        <v>3</v>
      </c>
      <c r="F2704" t="s">
        <v>2380</v>
      </c>
      <c r="G2704" t="str">
        <f>IF(OrdersTable[[#This Row],[Order Date]]=_xlfn.MINIFS(Order_Date, Customer_ID, OrdersTable[[#This Row],[Customer ID]]), "New", "Repeat")</f>
        <v>New</v>
      </c>
      <c r="H2704" t="s">
        <v>59</v>
      </c>
      <c r="I2704" t="str">
        <f>INDEX(State!B:B,MATCH(OrdersTable[[#This Row],[State]],State!A:A,0))</f>
        <v>TN</v>
      </c>
      <c r="J2704" t="str">
        <f>INDEX(State!C:C,MATCH(OrdersTable[[#This Row],[State Code]],State!B:B,0))</f>
        <v>South</v>
      </c>
      <c r="K2704" t="s">
        <v>60</v>
      </c>
      <c r="L2704" t="s">
        <v>39</v>
      </c>
      <c r="M2704" t="s">
        <v>87</v>
      </c>
      <c r="N2704" t="str">
        <f>INDEX(Products!B:B,MATCH(OrdersTable[[#This Row],[Product ID]],Products!A:A,0))</f>
        <v>Linen Kurta</v>
      </c>
      <c r="O2704" t="str">
        <f>INDEX(Products!C:C,MATCH(OrdersTable[[#This Row],[Product ID]],Products!A:A,0))</f>
        <v>Apparel</v>
      </c>
      <c r="P2704">
        <v>1</v>
      </c>
      <c r="Q2704" s="5">
        <v>1499</v>
      </c>
      <c r="R2704" s="74">
        <v>0.35</v>
      </c>
      <c r="S2704" s="75">
        <f>OrdersTable[[#This Row],[Quantity]]*OrdersTable[[#This Row],[Unit Price]]</f>
        <v>1499</v>
      </c>
      <c r="T2704" s="5">
        <f>OrdersTable[[#This Row],[Gross Sale]]*OrdersTable[[#This Row],[Discount_Clean2]]</f>
        <v>524.65</v>
      </c>
      <c r="U2704" s="5">
        <f>OrdersTable[[#This Row],[Gross Sale]]-OrdersTable[[#This Row],[Discount Amount]]</f>
        <v>974.35</v>
      </c>
      <c r="V2704" s="77">
        <f>INDEX(Products!E:E,MATCH(OrdersTable[[#This Row],[Product ID]],Products!A:A,0))</f>
        <v>630</v>
      </c>
      <c r="W2704" s="77">
        <f>OrdersTable[[#This Row],[Quantity]]*OrdersTable[[#This Row],[Unit Cost]]</f>
        <v>630</v>
      </c>
      <c r="X2704" s="77">
        <f>'Dropdown Lists'!$I$2*(1+OrdersTable[[#This Row],[Returned]])</f>
        <v>60</v>
      </c>
      <c r="Y2704" s="76">
        <f>OrdersTable[[#This Row],[Net Revenue]]-OrdersTable[[#This Row],[COGS]]-OrdersTable[[#This Row],[Shipping Cost]]</f>
        <v>284.35000000000002</v>
      </c>
      <c r="Z2704" s="78">
        <f>IFERROR(OrdersTable[[#This Row],[Profit]]/OrdersTable[[#This Row],[Net Revenue]],0)</f>
        <v>0.29183558269615645</v>
      </c>
      <c r="AA2704" t="s">
        <v>18</v>
      </c>
      <c r="AB2704" s="79">
        <v>45746</v>
      </c>
      <c r="AC2704">
        <f>OrdersTable[[#This Row],[Delivery Date]]-OrdersTable[[#This Row],[Order Date]]</f>
        <v>3</v>
      </c>
      <c r="AD2704" t="str">
        <f>IF(OrdersTable[[#This Row],[Delivery Days]]&lt;=2, "Express (≤2d)", IF(OrdersTable[[#This Row],[Delivery Days]]&lt;=4, "Standard (3-4d)", "Delayed (5d+)"))</f>
        <v>Standard (3-4d)</v>
      </c>
      <c r="AE2704">
        <v>5</v>
      </c>
      <c r="AF2704">
        <v>0</v>
      </c>
    </row>
    <row r="2705" spans="1:32" ht="15" x14ac:dyDescent="0.35">
      <c r="A2705" t="s">
        <v>279</v>
      </c>
      <c r="B2705" s="1">
        <v>45744</v>
      </c>
      <c r="C2705">
        <f>YEAR(OrdersTable[[#This Row],[Order Date]])</f>
        <v>2025</v>
      </c>
      <c r="D2705" s="2">
        <f>DATE(YEAR(OrdersTable[[#This Row],[Order Date]]),MONTH(OrdersTable[[#This Row],[Order Date]]),1)</f>
        <v>45717</v>
      </c>
      <c r="E2705">
        <f>MONTH(OrdersTable[[#This Row],[Order Date]])</f>
        <v>3</v>
      </c>
      <c r="F2705" t="s">
        <v>280</v>
      </c>
      <c r="G2705" t="str">
        <f>IF(OrdersTable[[#This Row],[Order Date]]=_xlfn.MINIFS(Order_Date, Customer_ID, OrdersTable[[#This Row],[Customer ID]]), "New", "Repeat")</f>
        <v>New</v>
      </c>
      <c r="H2705" t="s">
        <v>37</v>
      </c>
      <c r="I2705" t="str">
        <f>INDEX(State!B:B,MATCH(OrdersTable[[#This Row],[State]],State!A:A,0))</f>
        <v>GJ</v>
      </c>
      <c r="J2705" t="str">
        <f>INDEX(State!C:C,MATCH(OrdersTable[[#This Row],[State Code]],State!B:B,0))</f>
        <v>West</v>
      </c>
      <c r="K2705" t="s">
        <v>247</v>
      </c>
      <c r="L2705" t="s">
        <v>23</v>
      </c>
      <c r="M2705" t="s">
        <v>160</v>
      </c>
      <c r="N2705" t="str">
        <f>INDEX(Products!B:B,MATCH(OrdersTable[[#This Row],[Product ID]],Products!A:A,0))</f>
        <v>Niacinamide Toner</v>
      </c>
      <c r="O2705" t="str">
        <f>INDEX(Products!C:C,MATCH(OrdersTable[[#This Row],[Product ID]],Products!A:A,0))</f>
        <v>Skincare</v>
      </c>
      <c r="P2705">
        <v>1</v>
      </c>
      <c r="Q2705" s="5">
        <v>399</v>
      </c>
      <c r="R2705" s="74">
        <v>0.2</v>
      </c>
      <c r="S2705" s="75">
        <f>OrdersTable[[#This Row],[Quantity]]*OrdersTable[[#This Row],[Unit Price]]</f>
        <v>399</v>
      </c>
      <c r="T2705" s="5">
        <f>OrdersTable[[#This Row],[Gross Sale]]*OrdersTable[[#This Row],[Discount_Clean2]]</f>
        <v>79.800000000000011</v>
      </c>
      <c r="U2705" s="5">
        <f>OrdersTable[[#This Row],[Gross Sale]]-OrdersTable[[#This Row],[Discount Amount]]</f>
        <v>319.2</v>
      </c>
      <c r="V2705" s="77">
        <f>INDEX(Products!E:E,MATCH(OrdersTable[[#This Row],[Product ID]],Products!A:A,0))</f>
        <v>112</v>
      </c>
      <c r="W2705" s="77">
        <f>OrdersTable[[#This Row],[Quantity]]*OrdersTable[[#This Row],[Unit Cost]]</f>
        <v>112</v>
      </c>
      <c r="X2705" s="77">
        <f>'Dropdown Lists'!$I$2*(1+OrdersTable[[#This Row],[Returned]])</f>
        <v>60</v>
      </c>
      <c r="Y2705" s="76">
        <f>OrdersTable[[#This Row],[Net Revenue]]-OrdersTable[[#This Row],[COGS]]-OrdersTable[[#This Row],[Shipping Cost]]</f>
        <v>147.19999999999999</v>
      </c>
      <c r="Z2705" s="78">
        <f>IFERROR(OrdersTable[[#This Row],[Profit]]/OrdersTable[[#This Row],[Net Revenue]],0)</f>
        <v>0.46115288220551376</v>
      </c>
      <c r="AA2705" t="s">
        <v>18</v>
      </c>
      <c r="AB2705" s="79">
        <v>45748</v>
      </c>
      <c r="AC2705">
        <f>OrdersTable[[#This Row],[Delivery Date]]-OrdersTable[[#This Row],[Order Date]]</f>
        <v>4</v>
      </c>
      <c r="AD2705" t="str">
        <f>IF(OrdersTable[[#This Row],[Delivery Days]]&lt;=2, "Express (≤2d)", IF(OrdersTable[[#This Row],[Delivery Days]]&lt;=4, "Standard (3-4d)", "Delayed (5d+)"))</f>
        <v>Standard (3-4d)</v>
      </c>
      <c r="AE2705">
        <v>4</v>
      </c>
      <c r="AF2705">
        <v>0</v>
      </c>
    </row>
    <row r="2706" spans="1:32" ht="15" x14ac:dyDescent="0.35">
      <c r="A2706" t="s">
        <v>6157</v>
      </c>
      <c r="B2706" s="1">
        <v>45744</v>
      </c>
      <c r="C2706">
        <f>YEAR(OrdersTable[[#This Row],[Order Date]])</f>
        <v>2025</v>
      </c>
      <c r="D2706" s="2">
        <f>DATE(YEAR(OrdersTable[[#This Row],[Order Date]]),MONTH(OrdersTable[[#This Row],[Order Date]]),1)</f>
        <v>45717</v>
      </c>
      <c r="E2706">
        <f>MONTH(OrdersTable[[#This Row],[Order Date]])</f>
        <v>3</v>
      </c>
      <c r="F2706" t="s">
        <v>1919</v>
      </c>
      <c r="G2706" t="str">
        <f>IF(OrdersTable[[#This Row],[Order Date]]=_xlfn.MINIFS(Order_Date, Customer_ID, OrdersTable[[#This Row],[Customer ID]]), "New", "Repeat")</f>
        <v>Repeat</v>
      </c>
      <c r="H2706" t="s">
        <v>37</v>
      </c>
      <c r="I2706" t="str">
        <f>INDEX(State!B:B,MATCH(OrdersTable[[#This Row],[State]],State!A:A,0))</f>
        <v>GJ</v>
      </c>
      <c r="J2706" t="str">
        <f>INDEX(State!C:C,MATCH(OrdersTable[[#This Row],[State Code]],State!B:B,0))</f>
        <v>West</v>
      </c>
      <c r="K2706" t="s">
        <v>38</v>
      </c>
      <c r="L2706" t="s">
        <v>39</v>
      </c>
      <c r="M2706" t="s">
        <v>228</v>
      </c>
      <c r="N2706" t="str">
        <f>INDEX(Products!B:B,MATCH(OrdersTable[[#This Row],[Product ID]],Products!A:A,0))</f>
        <v>Fast Charger 33W</v>
      </c>
      <c r="O2706" t="str">
        <f>INDEX(Products!C:C,MATCH(OrdersTable[[#This Row],[Product ID]],Products!A:A,0))</f>
        <v>Electronics</v>
      </c>
      <c r="P2706">
        <v>2</v>
      </c>
      <c r="Q2706" s="5">
        <v>899</v>
      </c>
      <c r="R2706" s="74">
        <v>0</v>
      </c>
      <c r="S2706" s="75">
        <f>OrdersTable[[#This Row],[Quantity]]*OrdersTable[[#This Row],[Unit Price]]</f>
        <v>1798</v>
      </c>
      <c r="T2706" s="5">
        <f>OrdersTable[[#This Row],[Gross Sale]]*OrdersTable[[#This Row],[Discount_Clean2]]</f>
        <v>0</v>
      </c>
      <c r="U2706" s="5">
        <f>OrdersTable[[#This Row],[Gross Sale]]-OrdersTable[[#This Row],[Discount Amount]]</f>
        <v>1798</v>
      </c>
      <c r="V2706" s="77">
        <f>INDEX(Products!E:E,MATCH(OrdersTable[[#This Row],[Product ID]],Products!A:A,0))</f>
        <v>494</v>
      </c>
      <c r="W2706" s="77">
        <f>OrdersTable[[#This Row],[Quantity]]*OrdersTable[[#This Row],[Unit Cost]]</f>
        <v>988</v>
      </c>
      <c r="X2706" s="77">
        <f>'Dropdown Lists'!$I$2*(1+OrdersTable[[#This Row],[Returned]])</f>
        <v>60</v>
      </c>
      <c r="Y2706" s="76">
        <f>OrdersTable[[#This Row],[Net Revenue]]-OrdersTable[[#This Row],[COGS]]-OrdersTable[[#This Row],[Shipping Cost]]</f>
        <v>750</v>
      </c>
      <c r="Z2706" s="78">
        <f>IFERROR(OrdersTable[[#This Row],[Profit]]/OrdersTable[[#This Row],[Net Revenue]],0)</f>
        <v>0.41713014460511677</v>
      </c>
      <c r="AA2706" t="s">
        <v>18</v>
      </c>
      <c r="AB2706" s="79">
        <v>45747</v>
      </c>
      <c r="AC2706">
        <f>OrdersTable[[#This Row],[Delivery Date]]-OrdersTable[[#This Row],[Order Date]]</f>
        <v>3</v>
      </c>
      <c r="AD2706" t="str">
        <f>IF(OrdersTable[[#This Row],[Delivery Days]]&lt;=2, "Express (≤2d)", IF(OrdersTable[[#This Row],[Delivery Days]]&lt;=4, "Standard (3-4d)", "Delayed (5d+)"))</f>
        <v>Standard (3-4d)</v>
      </c>
      <c r="AE2706">
        <v>4</v>
      </c>
      <c r="AF2706">
        <v>0</v>
      </c>
    </row>
    <row r="2707" spans="1:32" ht="15" x14ac:dyDescent="0.35">
      <c r="A2707" t="s">
        <v>4274</v>
      </c>
      <c r="B2707" s="1">
        <v>45745</v>
      </c>
      <c r="C2707">
        <f>YEAR(OrdersTable[[#This Row],[Order Date]])</f>
        <v>2025</v>
      </c>
      <c r="D2707" s="2">
        <f>DATE(YEAR(OrdersTable[[#This Row],[Order Date]]),MONTH(OrdersTable[[#This Row],[Order Date]]),1)</f>
        <v>45717</v>
      </c>
      <c r="E2707">
        <f>MONTH(OrdersTable[[#This Row],[Order Date]])</f>
        <v>3</v>
      </c>
      <c r="F2707" t="s">
        <v>2191</v>
      </c>
      <c r="G2707" t="str">
        <f>IF(OrdersTable[[#This Row],[Order Date]]=_xlfn.MINIFS(Order_Date, Customer_ID, OrdersTable[[#This Row],[Customer ID]]), "New", "Repeat")</f>
        <v>New</v>
      </c>
      <c r="H2707" t="s">
        <v>128</v>
      </c>
      <c r="I2707" t="str">
        <f>INDEX(State!B:B,MATCH(OrdersTable[[#This Row],[State]],State!A:A,0))</f>
        <v>DL</v>
      </c>
      <c r="J2707" t="str">
        <f>INDEX(State!C:C,MATCH(OrdersTable[[#This Row],[State Code]],State!B:B,0))</f>
        <v>North</v>
      </c>
      <c r="K2707" t="s">
        <v>129</v>
      </c>
      <c r="L2707" t="s">
        <v>16</v>
      </c>
      <c r="M2707" t="s">
        <v>34</v>
      </c>
      <c r="N2707" t="str">
        <f>INDEX(Products!B:B,MATCH(OrdersTable[[#This Row],[Product ID]],Products!A:A,0))</f>
        <v>Flip Flops</v>
      </c>
      <c r="O2707" t="str">
        <f>INDEX(Products!C:C,MATCH(OrdersTable[[#This Row],[Product ID]],Products!A:A,0))</f>
        <v>Footwear</v>
      </c>
      <c r="P2707">
        <v>1</v>
      </c>
      <c r="Q2707" s="5">
        <v>399</v>
      </c>
      <c r="R2707" s="74">
        <v>0.1</v>
      </c>
      <c r="S2707" s="75">
        <f>OrdersTable[[#This Row],[Quantity]]*OrdersTable[[#This Row],[Unit Price]]</f>
        <v>399</v>
      </c>
      <c r="T2707" s="5">
        <f>OrdersTable[[#This Row],[Gross Sale]]*OrdersTable[[#This Row],[Discount_Clean2]]</f>
        <v>39.900000000000006</v>
      </c>
      <c r="U2707" s="5">
        <f>OrdersTable[[#This Row],[Gross Sale]]-OrdersTable[[#This Row],[Discount Amount]]</f>
        <v>359.1</v>
      </c>
      <c r="V2707" s="77">
        <f>INDEX(Products!E:E,MATCH(OrdersTable[[#This Row],[Product ID]],Products!A:A,0))</f>
        <v>152</v>
      </c>
      <c r="W2707" s="77">
        <f>OrdersTable[[#This Row],[Quantity]]*OrdersTable[[#This Row],[Unit Cost]]</f>
        <v>152</v>
      </c>
      <c r="X2707" s="77">
        <f>'Dropdown Lists'!$I$2*(1+OrdersTable[[#This Row],[Returned]])</f>
        <v>60</v>
      </c>
      <c r="Y2707" s="76">
        <f>OrdersTable[[#This Row],[Net Revenue]]-OrdersTable[[#This Row],[COGS]]-OrdersTable[[#This Row],[Shipping Cost]]</f>
        <v>147.10000000000002</v>
      </c>
      <c r="Z2707" s="78">
        <f>IFERROR(OrdersTable[[#This Row],[Profit]]/OrdersTable[[#This Row],[Net Revenue]],0)</f>
        <v>0.40963519910888335</v>
      </c>
      <c r="AA2707" t="s">
        <v>4074</v>
      </c>
      <c r="AB2707" s="79">
        <v>45746</v>
      </c>
      <c r="AC2707">
        <f>OrdersTable[[#This Row],[Delivery Date]]-OrdersTable[[#This Row],[Order Date]]</f>
        <v>1</v>
      </c>
      <c r="AD2707" t="str">
        <f>IF(OrdersTable[[#This Row],[Delivery Days]]&lt;=2, "Express (≤2d)", IF(OrdersTable[[#This Row],[Delivery Days]]&lt;=4, "Standard (3-4d)", "Delayed (5d+)"))</f>
        <v>Express (≤2d)</v>
      </c>
      <c r="AF2707">
        <v>0</v>
      </c>
    </row>
    <row r="2708" spans="1:32" ht="15" x14ac:dyDescent="0.35">
      <c r="A2708" t="s">
        <v>1547</v>
      </c>
      <c r="B2708" s="1">
        <v>45745</v>
      </c>
      <c r="C2708">
        <f>YEAR(OrdersTable[[#This Row],[Order Date]])</f>
        <v>2025</v>
      </c>
      <c r="D2708" s="2">
        <f>DATE(YEAR(OrdersTable[[#This Row],[Order Date]]),MONTH(OrdersTable[[#This Row],[Order Date]]),1)</f>
        <v>45717</v>
      </c>
      <c r="E2708">
        <f>MONTH(OrdersTable[[#This Row],[Order Date]])</f>
        <v>3</v>
      </c>
      <c r="F2708" t="s">
        <v>1548</v>
      </c>
      <c r="G2708" t="str">
        <f>IF(OrdersTable[[#This Row],[Order Date]]=_xlfn.MINIFS(Order_Date, Customer_ID, OrdersTable[[#This Row],[Customer ID]]), "New", "Repeat")</f>
        <v>New</v>
      </c>
      <c r="H2708" t="s">
        <v>76</v>
      </c>
      <c r="I2708" t="str">
        <f>INDEX(State!B:B,MATCH(OrdersTable[[#This Row],[State]],State!A:A,0))</f>
        <v>UP</v>
      </c>
      <c r="J2708" t="str">
        <f>INDEX(State!C:C,MATCH(OrdersTable[[#This Row],[State Code]],State!B:B,0))</f>
        <v>North</v>
      </c>
      <c r="K2708" t="s">
        <v>77</v>
      </c>
      <c r="L2708" t="s">
        <v>39</v>
      </c>
      <c r="M2708" t="s">
        <v>29</v>
      </c>
      <c r="N2708" t="str">
        <f>INDEX(Products!B:B,MATCH(OrdersTable[[#This Row],[Product ID]],Products!A:A,0))</f>
        <v>Joggers</v>
      </c>
      <c r="O2708" t="str">
        <f>INDEX(Products!C:C,MATCH(OrdersTable[[#This Row],[Product ID]],Products!A:A,0))</f>
        <v>Apparel</v>
      </c>
      <c r="P2708">
        <v>1</v>
      </c>
      <c r="Q2708" s="5">
        <v>1199</v>
      </c>
      <c r="R2708" s="74">
        <v>0.05</v>
      </c>
      <c r="S2708" s="75">
        <f>OrdersTable[[#This Row],[Quantity]]*OrdersTable[[#This Row],[Unit Price]]</f>
        <v>1199</v>
      </c>
      <c r="T2708" s="5">
        <f>OrdersTable[[#This Row],[Gross Sale]]*OrdersTable[[#This Row],[Discount_Clean2]]</f>
        <v>59.95</v>
      </c>
      <c r="U2708" s="5">
        <f>OrdersTable[[#This Row],[Gross Sale]]-OrdersTable[[#This Row],[Discount Amount]]</f>
        <v>1139.05</v>
      </c>
      <c r="V2708" s="77">
        <f>INDEX(Products!E:E,MATCH(OrdersTable[[#This Row],[Product ID]],Products!A:A,0))</f>
        <v>492</v>
      </c>
      <c r="W2708" s="77">
        <f>OrdersTable[[#This Row],[Quantity]]*OrdersTable[[#This Row],[Unit Cost]]</f>
        <v>492</v>
      </c>
      <c r="X2708" s="77">
        <f>'Dropdown Lists'!$I$2*(1+OrdersTable[[#This Row],[Returned]])</f>
        <v>60</v>
      </c>
      <c r="Y2708" s="76">
        <f>OrdersTable[[#This Row],[Net Revenue]]-OrdersTable[[#This Row],[COGS]]-OrdersTable[[#This Row],[Shipping Cost]]</f>
        <v>587.04999999999995</v>
      </c>
      <c r="Z2708" s="78">
        <f>IFERROR(OrdersTable[[#This Row],[Profit]]/OrdersTable[[#This Row],[Net Revenue]],0)</f>
        <v>0.51538562837452262</v>
      </c>
      <c r="AA2708" t="s">
        <v>18</v>
      </c>
      <c r="AB2708" s="79">
        <v>45750</v>
      </c>
      <c r="AC2708">
        <f>OrdersTable[[#This Row],[Delivery Date]]-OrdersTable[[#This Row],[Order Date]]</f>
        <v>5</v>
      </c>
      <c r="AD2708" t="str">
        <f>IF(OrdersTable[[#This Row],[Delivery Days]]&lt;=2, "Express (≤2d)", IF(OrdersTable[[#This Row],[Delivery Days]]&lt;=4, "Standard (3-4d)", "Delayed (5d+)"))</f>
        <v>Delayed (5d+)</v>
      </c>
      <c r="AF2708">
        <v>0</v>
      </c>
    </row>
    <row r="2709" spans="1:32" ht="15" x14ac:dyDescent="0.35">
      <c r="A2709" t="s">
        <v>4994</v>
      </c>
      <c r="B2709" s="1">
        <v>45745</v>
      </c>
      <c r="C2709">
        <f>YEAR(OrdersTable[[#This Row],[Order Date]])</f>
        <v>2025</v>
      </c>
      <c r="D2709" s="2">
        <f>DATE(YEAR(OrdersTable[[#This Row],[Order Date]]),MONTH(OrdersTable[[#This Row],[Order Date]]),1)</f>
        <v>45717</v>
      </c>
      <c r="E2709">
        <f>MONTH(OrdersTable[[#This Row],[Order Date]])</f>
        <v>3</v>
      </c>
      <c r="F2709" t="s">
        <v>3759</v>
      </c>
      <c r="G2709" t="str">
        <f>IF(OrdersTable[[#This Row],[Order Date]]=_xlfn.MINIFS(Order_Date, Customer_ID, OrdersTable[[#This Row],[Customer ID]]), "New", "Repeat")</f>
        <v>Repeat</v>
      </c>
      <c r="H2709" t="s">
        <v>37</v>
      </c>
      <c r="I2709" t="str">
        <f>INDEX(State!B:B,MATCH(OrdersTable[[#This Row],[State]],State!A:A,0))</f>
        <v>GJ</v>
      </c>
      <c r="J2709" t="str">
        <f>INDEX(State!C:C,MATCH(OrdersTable[[#This Row],[State Code]],State!B:B,0))</f>
        <v>West</v>
      </c>
      <c r="K2709" t="s">
        <v>38</v>
      </c>
      <c r="L2709" t="s">
        <v>16</v>
      </c>
      <c r="M2709" t="s">
        <v>34</v>
      </c>
      <c r="N2709" t="str">
        <f>INDEX(Products!B:B,MATCH(OrdersTable[[#This Row],[Product ID]],Products!A:A,0))</f>
        <v>Flip Flops</v>
      </c>
      <c r="O2709" t="str">
        <f>INDEX(Products!C:C,MATCH(OrdersTable[[#This Row],[Product ID]],Products!A:A,0))</f>
        <v>Footwear</v>
      </c>
      <c r="P2709">
        <v>2</v>
      </c>
      <c r="Q2709" s="5">
        <v>399</v>
      </c>
      <c r="R2709" s="74">
        <v>0.2</v>
      </c>
      <c r="S2709" s="75">
        <f>OrdersTable[[#This Row],[Quantity]]*OrdersTable[[#This Row],[Unit Price]]</f>
        <v>798</v>
      </c>
      <c r="T2709" s="5">
        <f>OrdersTable[[#This Row],[Gross Sale]]*OrdersTable[[#This Row],[Discount_Clean2]]</f>
        <v>159.60000000000002</v>
      </c>
      <c r="U2709" s="5">
        <f>OrdersTable[[#This Row],[Gross Sale]]-OrdersTable[[#This Row],[Discount Amount]]</f>
        <v>638.4</v>
      </c>
      <c r="V2709" s="77">
        <f>INDEX(Products!E:E,MATCH(OrdersTable[[#This Row],[Product ID]],Products!A:A,0))</f>
        <v>152</v>
      </c>
      <c r="W2709" s="77">
        <f>OrdersTable[[#This Row],[Quantity]]*OrdersTable[[#This Row],[Unit Cost]]</f>
        <v>304</v>
      </c>
      <c r="X2709" s="77">
        <f>'Dropdown Lists'!$I$2*(1+OrdersTable[[#This Row],[Returned]])</f>
        <v>60</v>
      </c>
      <c r="Y2709" s="76">
        <f>OrdersTable[[#This Row],[Net Revenue]]-OrdersTable[[#This Row],[COGS]]-OrdersTable[[#This Row],[Shipping Cost]]</f>
        <v>274.39999999999998</v>
      </c>
      <c r="Z2709" s="78">
        <f>IFERROR(OrdersTable[[#This Row],[Profit]]/OrdersTable[[#This Row],[Net Revenue]],0)</f>
        <v>0.42982456140350878</v>
      </c>
      <c r="AA2709" t="s">
        <v>4074</v>
      </c>
      <c r="AB2709" s="79">
        <v>45747</v>
      </c>
      <c r="AC2709">
        <f>OrdersTable[[#This Row],[Delivery Date]]-OrdersTable[[#This Row],[Order Date]]</f>
        <v>2</v>
      </c>
      <c r="AD2709" t="str">
        <f>IF(OrdersTable[[#This Row],[Delivery Days]]&lt;=2, "Express (≤2d)", IF(OrdersTable[[#This Row],[Delivery Days]]&lt;=4, "Standard (3-4d)", "Delayed (5d+)"))</f>
        <v>Express (≤2d)</v>
      </c>
      <c r="AE2709">
        <v>4</v>
      </c>
      <c r="AF2709">
        <v>0</v>
      </c>
    </row>
    <row r="2710" spans="1:32" ht="15" x14ac:dyDescent="0.35">
      <c r="A2710" t="s">
        <v>3615</v>
      </c>
      <c r="B2710" s="1">
        <v>45745</v>
      </c>
      <c r="C2710">
        <f>YEAR(OrdersTable[[#This Row],[Order Date]])</f>
        <v>2025</v>
      </c>
      <c r="D2710" s="2">
        <f>DATE(YEAR(OrdersTable[[#This Row],[Order Date]]),MONTH(OrdersTable[[#This Row],[Order Date]]),1)</f>
        <v>45717</v>
      </c>
      <c r="E2710">
        <f>MONTH(OrdersTable[[#This Row],[Order Date]])</f>
        <v>3</v>
      </c>
      <c r="F2710" t="s">
        <v>2414</v>
      </c>
      <c r="G2710" t="str">
        <f>IF(OrdersTable[[#This Row],[Order Date]]=_xlfn.MINIFS(Order_Date, Customer_ID, OrdersTable[[#This Row],[Customer ID]]), "New", "Repeat")</f>
        <v>Repeat</v>
      </c>
      <c r="H2710" t="s">
        <v>482</v>
      </c>
      <c r="I2710" t="str">
        <f>INDEX(State!B:B,MATCH(OrdersTable[[#This Row],[State]],State!A:A,0))</f>
        <v>CG</v>
      </c>
      <c r="J2710" t="str">
        <f>INDEX(State!C:C,MATCH(OrdersTable[[#This Row],[State Code]],State!B:B,0))</f>
        <v>East</v>
      </c>
      <c r="K2710" t="s">
        <v>483</v>
      </c>
      <c r="L2710" t="s">
        <v>16</v>
      </c>
      <c r="M2710" t="s">
        <v>576</v>
      </c>
      <c r="N2710" t="str">
        <f>INDEX(Products!B:B,MATCH(OrdersTable[[#This Row],[Product ID]],Products!A:A,0))</f>
        <v>Printed Saree</v>
      </c>
      <c r="O2710" t="str">
        <f>INDEX(Products!C:C,MATCH(OrdersTable[[#This Row],[Product ID]],Products!A:A,0))</f>
        <v>Apparel</v>
      </c>
      <c r="P2710">
        <v>1</v>
      </c>
      <c r="Q2710" s="5">
        <v>1999</v>
      </c>
      <c r="R2710" s="74">
        <v>0.1</v>
      </c>
      <c r="S2710" s="75">
        <f>OrdersTable[[#This Row],[Quantity]]*OrdersTable[[#This Row],[Unit Price]]</f>
        <v>1999</v>
      </c>
      <c r="T2710" s="5">
        <f>OrdersTable[[#This Row],[Gross Sale]]*OrdersTable[[#This Row],[Discount_Clean2]]</f>
        <v>199.9</v>
      </c>
      <c r="U2710" s="5">
        <f>OrdersTable[[#This Row],[Gross Sale]]-OrdersTable[[#This Row],[Discount Amount]]</f>
        <v>1799.1</v>
      </c>
      <c r="V2710" s="77">
        <f>INDEX(Products!E:E,MATCH(OrdersTable[[#This Row],[Product ID]],Products!A:A,0))</f>
        <v>880</v>
      </c>
      <c r="W2710" s="77">
        <f>OrdersTable[[#This Row],[Quantity]]*OrdersTable[[#This Row],[Unit Cost]]</f>
        <v>880</v>
      </c>
      <c r="X2710" s="77">
        <f>'Dropdown Lists'!$I$2*(1+OrdersTable[[#This Row],[Returned]])</f>
        <v>60</v>
      </c>
      <c r="Y2710" s="76">
        <f>OrdersTable[[#This Row],[Net Revenue]]-OrdersTable[[#This Row],[COGS]]-OrdersTable[[#This Row],[Shipping Cost]]</f>
        <v>859.09999999999991</v>
      </c>
      <c r="Z2710" s="78">
        <f>IFERROR(OrdersTable[[#This Row],[Profit]]/OrdersTable[[#This Row],[Net Revenue]],0)</f>
        <v>0.47751653604580063</v>
      </c>
      <c r="AA2710" t="s">
        <v>3495</v>
      </c>
      <c r="AB2710" s="79">
        <v>45749</v>
      </c>
      <c r="AC2710">
        <f>OrdersTable[[#This Row],[Delivery Date]]-OrdersTable[[#This Row],[Order Date]]</f>
        <v>4</v>
      </c>
      <c r="AD2710" t="str">
        <f>IF(OrdersTable[[#This Row],[Delivery Days]]&lt;=2, "Express (≤2d)", IF(OrdersTable[[#This Row],[Delivery Days]]&lt;=4, "Standard (3-4d)", "Delayed (5d+)"))</f>
        <v>Standard (3-4d)</v>
      </c>
      <c r="AE2710">
        <v>4</v>
      </c>
      <c r="AF2710">
        <v>0</v>
      </c>
    </row>
    <row r="2711" spans="1:32" ht="15" x14ac:dyDescent="0.35">
      <c r="A2711" t="s">
        <v>3762</v>
      </c>
      <c r="B2711" s="1">
        <v>45745</v>
      </c>
      <c r="C2711">
        <f>YEAR(OrdersTable[[#This Row],[Order Date]])</f>
        <v>2025</v>
      </c>
      <c r="D2711" s="2">
        <f>DATE(YEAR(OrdersTable[[#This Row],[Order Date]]),MONTH(OrdersTable[[#This Row],[Order Date]]),1)</f>
        <v>45717</v>
      </c>
      <c r="E2711">
        <f>MONTH(OrdersTable[[#This Row],[Order Date]])</f>
        <v>3</v>
      </c>
      <c r="F2711" t="s">
        <v>970</v>
      </c>
      <c r="G2711" t="str">
        <f>IF(OrdersTable[[#This Row],[Order Date]]=_xlfn.MINIFS(Order_Date, Customer_ID, OrdersTable[[#This Row],[Customer ID]]), "New", "Repeat")</f>
        <v>Repeat</v>
      </c>
      <c r="H2711" t="s">
        <v>27</v>
      </c>
      <c r="I2711" t="str">
        <f>INDEX(State!B:B,MATCH(OrdersTable[[#This Row],[State]],State!A:A,0))</f>
        <v>WB</v>
      </c>
      <c r="J2711" t="str">
        <f>INDEX(State!C:C,MATCH(OrdersTable[[#This Row],[State Code]],State!B:B,0))</f>
        <v>East</v>
      </c>
      <c r="K2711" t="s">
        <v>28</v>
      </c>
      <c r="L2711" t="s">
        <v>23</v>
      </c>
      <c r="M2711" t="s">
        <v>78</v>
      </c>
      <c r="N2711" t="str">
        <f>INDEX(Products!B:B,MATCH(OrdersTable[[#This Row],[Product ID]],Products!A:A,0))</f>
        <v>Retinol Night Cream</v>
      </c>
      <c r="O2711" t="str">
        <f>INDEX(Products!C:C,MATCH(OrdersTable[[#This Row],[Product ID]],Products!A:A,0))</f>
        <v>Skincare</v>
      </c>
      <c r="P2711">
        <v>1</v>
      </c>
      <c r="Q2711" s="5">
        <v>799</v>
      </c>
      <c r="R2711" s="74">
        <v>0</v>
      </c>
      <c r="S2711" s="75">
        <f>OrdersTable[[#This Row],[Quantity]]*OrdersTable[[#This Row],[Unit Price]]</f>
        <v>799</v>
      </c>
      <c r="T2711" s="5">
        <f>OrdersTable[[#This Row],[Gross Sale]]*OrdersTable[[#This Row],[Discount_Clean2]]</f>
        <v>0</v>
      </c>
      <c r="U2711" s="5">
        <f>OrdersTable[[#This Row],[Gross Sale]]-OrdersTable[[#This Row],[Discount Amount]]</f>
        <v>799</v>
      </c>
      <c r="V2711" s="77">
        <f>INDEX(Products!E:E,MATCH(OrdersTable[[#This Row],[Product ID]],Products!A:A,0))</f>
        <v>216</v>
      </c>
      <c r="W2711" s="77">
        <f>OrdersTable[[#This Row],[Quantity]]*OrdersTable[[#This Row],[Unit Cost]]</f>
        <v>216</v>
      </c>
      <c r="X2711" s="77">
        <f>'Dropdown Lists'!$I$2*(1+OrdersTable[[#This Row],[Returned]])</f>
        <v>60</v>
      </c>
      <c r="Y2711" s="76">
        <f>OrdersTable[[#This Row],[Net Revenue]]-OrdersTable[[#This Row],[COGS]]-OrdersTable[[#This Row],[Shipping Cost]]</f>
        <v>523</v>
      </c>
      <c r="Z2711" s="78">
        <f>IFERROR(OrdersTable[[#This Row],[Profit]]/OrdersTable[[#This Row],[Net Revenue]],0)</f>
        <v>0.65456821026282852</v>
      </c>
      <c r="AA2711" t="s">
        <v>3495</v>
      </c>
      <c r="AB2711" s="79">
        <v>45749</v>
      </c>
      <c r="AC2711">
        <f>OrdersTable[[#This Row],[Delivery Date]]-OrdersTable[[#This Row],[Order Date]]</f>
        <v>4</v>
      </c>
      <c r="AD2711" t="str">
        <f>IF(OrdersTable[[#This Row],[Delivery Days]]&lt;=2, "Express (≤2d)", IF(OrdersTable[[#This Row],[Delivery Days]]&lt;=4, "Standard (3-4d)", "Delayed (5d+)"))</f>
        <v>Standard (3-4d)</v>
      </c>
      <c r="AF2711">
        <v>0</v>
      </c>
    </row>
    <row r="2712" spans="1:32" ht="15" x14ac:dyDescent="0.35">
      <c r="A2712" t="s">
        <v>3269</v>
      </c>
      <c r="B2712" s="1">
        <v>45745</v>
      </c>
      <c r="C2712">
        <f>YEAR(OrdersTable[[#This Row],[Order Date]])</f>
        <v>2025</v>
      </c>
      <c r="D2712" s="2">
        <f>DATE(YEAR(OrdersTable[[#This Row],[Order Date]]),MONTH(OrdersTable[[#This Row],[Order Date]]),1)</f>
        <v>45717</v>
      </c>
      <c r="E2712">
        <f>MONTH(OrdersTable[[#This Row],[Order Date]])</f>
        <v>3</v>
      </c>
      <c r="F2712" t="s">
        <v>1427</v>
      </c>
      <c r="G2712" t="str">
        <f>IF(OrdersTable[[#This Row],[Order Date]]=_xlfn.MINIFS(Order_Date, Customer_ID, OrdersTable[[#This Row],[Customer ID]]), "New", "Repeat")</f>
        <v>New</v>
      </c>
      <c r="H2712" t="s">
        <v>71</v>
      </c>
      <c r="I2712" t="str">
        <f>INDEX(State!B:B,MATCH(OrdersTable[[#This Row],[State]],State!A:A,0))</f>
        <v>MH</v>
      </c>
      <c r="J2712" t="str">
        <f>INDEX(State!C:C,MATCH(OrdersTable[[#This Row],[State Code]],State!B:B,0))</f>
        <v>West</v>
      </c>
      <c r="K2712" t="s">
        <v>102</v>
      </c>
      <c r="L2712" t="s">
        <v>39</v>
      </c>
      <c r="M2712" t="s">
        <v>148</v>
      </c>
      <c r="N2712" t="str">
        <f>INDEX(Products!B:B,MATCH(OrdersTable[[#This Row],[Product ID]],Products!A:A,0))</f>
        <v>Smartwatch Strap</v>
      </c>
      <c r="O2712" t="str">
        <f>INDEX(Products!C:C,MATCH(OrdersTable[[#This Row],[Product ID]],Products!A:A,0))</f>
        <v>Electronics</v>
      </c>
      <c r="P2712">
        <v>1</v>
      </c>
      <c r="Q2712" s="5">
        <v>499</v>
      </c>
      <c r="R2712" s="74">
        <v>0.1</v>
      </c>
      <c r="S2712" s="75">
        <f>OrdersTable[[#This Row],[Quantity]]*OrdersTable[[#This Row],[Unit Price]]</f>
        <v>499</v>
      </c>
      <c r="T2712" s="5">
        <f>OrdersTable[[#This Row],[Gross Sale]]*OrdersTable[[#This Row],[Discount_Clean2]]</f>
        <v>49.900000000000006</v>
      </c>
      <c r="U2712" s="5">
        <f>OrdersTable[[#This Row],[Gross Sale]]-OrdersTable[[#This Row],[Discount Amount]]</f>
        <v>449.1</v>
      </c>
      <c r="V2712" s="77">
        <f>INDEX(Products!E:E,MATCH(OrdersTable[[#This Row],[Product ID]],Products!A:A,0))</f>
        <v>200</v>
      </c>
      <c r="W2712" s="77">
        <f>OrdersTable[[#This Row],[Quantity]]*OrdersTable[[#This Row],[Unit Cost]]</f>
        <v>200</v>
      </c>
      <c r="X2712" s="77">
        <f>'Dropdown Lists'!$I$2*(1+OrdersTable[[#This Row],[Returned]])</f>
        <v>60</v>
      </c>
      <c r="Y2712" s="76">
        <f>OrdersTable[[#This Row],[Net Revenue]]-OrdersTable[[#This Row],[COGS]]-OrdersTable[[#This Row],[Shipping Cost]]</f>
        <v>189.10000000000002</v>
      </c>
      <c r="Z2712" s="78">
        <f>IFERROR(OrdersTable[[#This Row],[Profit]]/OrdersTable[[#This Row],[Net Revenue]],0)</f>
        <v>0.42106435092407041</v>
      </c>
      <c r="AA2712" t="s">
        <v>2522</v>
      </c>
      <c r="AB2712" s="79">
        <v>45746</v>
      </c>
      <c r="AC2712">
        <f>OrdersTable[[#This Row],[Delivery Date]]-OrdersTable[[#This Row],[Order Date]]</f>
        <v>1</v>
      </c>
      <c r="AD2712" t="str">
        <f>IF(OrdersTable[[#This Row],[Delivery Days]]&lt;=2, "Express (≤2d)", IF(OrdersTable[[#This Row],[Delivery Days]]&lt;=4, "Standard (3-4d)", "Delayed (5d+)"))</f>
        <v>Express (≤2d)</v>
      </c>
      <c r="AE2712">
        <v>4</v>
      </c>
      <c r="AF2712">
        <v>0</v>
      </c>
    </row>
    <row r="2713" spans="1:32" ht="15" x14ac:dyDescent="0.35">
      <c r="A2713" t="s">
        <v>4023</v>
      </c>
      <c r="B2713" s="1">
        <v>45745</v>
      </c>
      <c r="C2713">
        <f>YEAR(OrdersTable[[#This Row],[Order Date]])</f>
        <v>2025</v>
      </c>
      <c r="D2713" s="2">
        <f>DATE(YEAR(OrdersTable[[#This Row],[Order Date]]),MONTH(OrdersTable[[#This Row],[Order Date]]),1)</f>
        <v>45717</v>
      </c>
      <c r="E2713">
        <f>MONTH(OrdersTable[[#This Row],[Order Date]])</f>
        <v>3</v>
      </c>
      <c r="F2713" t="s">
        <v>3049</v>
      </c>
      <c r="G2713" t="str">
        <f>IF(OrdersTable[[#This Row],[Order Date]]=_xlfn.MINIFS(Order_Date, Customer_ID, OrdersTable[[#This Row],[Customer ID]]), "New", "Repeat")</f>
        <v>New</v>
      </c>
      <c r="H2713" t="s">
        <v>71</v>
      </c>
      <c r="I2713" t="str">
        <f>INDEX(State!B:B,MATCH(OrdersTable[[#This Row],[State]],State!A:A,0))</f>
        <v>MH</v>
      </c>
      <c r="J2713" t="str">
        <f>INDEX(State!C:C,MATCH(OrdersTable[[#This Row],[State Code]],State!B:B,0))</f>
        <v>West</v>
      </c>
      <c r="K2713" t="s">
        <v>72</v>
      </c>
      <c r="L2713" t="s">
        <v>50</v>
      </c>
      <c r="M2713" t="s">
        <v>40</v>
      </c>
      <c r="N2713" t="str">
        <f>INDEX(Products!B:B,MATCH(OrdersTable[[#This Row],[Product ID]],Products!A:A,0))</f>
        <v>Ashwagandha Capsules</v>
      </c>
      <c r="O2713" t="str">
        <f>INDEX(Products!C:C,MATCH(OrdersTable[[#This Row],[Product ID]],Products!A:A,0))</f>
        <v>Wellness</v>
      </c>
      <c r="P2713">
        <v>1</v>
      </c>
      <c r="Q2713" s="5">
        <v>499</v>
      </c>
      <c r="R2713" s="74">
        <v>0.1</v>
      </c>
      <c r="S2713" s="75">
        <f>OrdersTable[[#This Row],[Quantity]]*OrdersTable[[#This Row],[Unit Price]]</f>
        <v>499</v>
      </c>
      <c r="T2713" s="5">
        <f>OrdersTable[[#This Row],[Gross Sale]]*OrdersTable[[#This Row],[Discount_Clean2]]</f>
        <v>49.900000000000006</v>
      </c>
      <c r="U2713" s="5">
        <f>OrdersTable[[#This Row],[Gross Sale]]-OrdersTable[[#This Row],[Discount Amount]]</f>
        <v>449.1</v>
      </c>
      <c r="V2713" s="77">
        <f>INDEX(Products!E:E,MATCH(OrdersTable[[#This Row],[Product ID]],Products!A:A,0))</f>
        <v>150</v>
      </c>
      <c r="W2713" s="77">
        <f>OrdersTable[[#This Row],[Quantity]]*OrdersTable[[#This Row],[Unit Cost]]</f>
        <v>150</v>
      </c>
      <c r="X2713" s="77">
        <f>'Dropdown Lists'!$I$2*(1+OrdersTable[[#This Row],[Returned]])</f>
        <v>60</v>
      </c>
      <c r="Y2713" s="76">
        <f>OrdersTable[[#This Row],[Net Revenue]]-OrdersTable[[#This Row],[COGS]]-OrdersTable[[#This Row],[Shipping Cost]]</f>
        <v>239.10000000000002</v>
      </c>
      <c r="Z2713" s="78">
        <f>IFERROR(OrdersTable[[#This Row],[Profit]]/OrdersTable[[#This Row],[Net Revenue]],0)</f>
        <v>0.53239812959251842</v>
      </c>
      <c r="AA2713" t="s">
        <v>3495</v>
      </c>
      <c r="AB2713" s="79">
        <v>45746</v>
      </c>
      <c r="AC2713">
        <f>OrdersTable[[#This Row],[Delivery Date]]-OrdersTable[[#This Row],[Order Date]]</f>
        <v>1</v>
      </c>
      <c r="AD2713" t="str">
        <f>IF(OrdersTable[[#This Row],[Delivery Days]]&lt;=2, "Express (≤2d)", IF(OrdersTable[[#This Row],[Delivery Days]]&lt;=4, "Standard (3-4d)", "Delayed (5d+)"))</f>
        <v>Express (≤2d)</v>
      </c>
      <c r="AE2713">
        <v>5</v>
      </c>
      <c r="AF2713">
        <v>0</v>
      </c>
    </row>
    <row r="2714" spans="1:32" ht="15" x14ac:dyDescent="0.35">
      <c r="A2714" t="s">
        <v>6158</v>
      </c>
      <c r="B2714" s="1">
        <v>45745</v>
      </c>
      <c r="C2714">
        <f>YEAR(OrdersTable[[#This Row],[Order Date]])</f>
        <v>2025</v>
      </c>
      <c r="D2714" s="2">
        <f>DATE(YEAR(OrdersTable[[#This Row],[Order Date]]),MONTH(OrdersTable[[#This Row],[Order Date]]),1)</f>
        <v>45717</v>
      </c>
      <c r="E2714">
        <f>MONTH(OrdersTable[[#This Row],[Order Date]])</f>
        <v>3</v>
      </c>
      <c r="F2714" t="s">
        <v>811</v>
      </c>
      <c r="G2714" t="str">
        <f>IF(OrdersTable[[#This Row],[Order Date]]=_xlfn.MINIFS(Order_Date, Customer_ID, OrdersTable[[#This Row],[Customer ID]]), "New", "Repeat")</f>
        <v>Repeat</v>
      </c>
      <c r="H2714" t="s">
        <v>167</v>
      </c>
      <c r="I2714" t="str">
        <f>INDEX(State!B:B,MATCH(OrdersTable[[#This Row],[State]],State!A:A,0))</f>
        <v>KA</v>
      </c>
      <c r="J2714" t="str">
        <f>INDEX(State!C:C,MATCH(OrdersTable[[#This Row],[State Code]],State!B:B,0))</f>
        <v>South</v>
      </c>
      <c r="K2714" t="s">
        <v>190</v>
      </c>
      <c r="L2714" t="s">
        <v>23</v>
      </c>
      <c r="M2714" t="s">
        <v>148</v>
      </c>
      <c r="N2714" t="str">
        <f>INDEX(Products!B:B,MATCH(OrdersTable[[#This Row],[Product ID]],Products!A:A,0))</f>
        <v>Smartwatch Strap</v>
      </c>
      <c r="O2714" t="str">
        <f>INDEX(Products!C:C,MATCH(OrdersTable[[#This Row],[Product ID]],Products!A:A,0))</f>
        <v>Electronics</v>
      </c>
      <c r="P2714">
        <v>2</v>
      </c>
      <c r="Q2714" s="5">
        <v>499</v>
      </c>
      <c r="R2714" s="74">
        <v>0.1</v>
      </c>
      <c r="S2714" s="75">
        <f>OrdersTable[[#This Row],[Quantity]]*OrdersTable[[#This Row],[Unit Price]]</f>
        <v>998</v>
      </c>
      <c r="T2714" s="5">
        <f>OrdersTable[[#This Row],[Gross Sale]]*OrdersTable[[#This Row],[Discount_Clean2]]</f>
        <v>99.800000000000011</v>
      </c>
      <c r="U2714" s="5">
        <f>OrdersTable[[#This Row],[Gross Sale]]-OrdersTable[[#This Row],[Discount Amount]]</f>
        <v>898.2</v>
      </c>
      <c r="V2714" s="77">
        <f>INDEX(Products!E:E,MATCH(OrdersTable[[#This Row],[Product ID]],Products!A:A,0))</f>
        <v>200</v>
      </c>
      <c r="W2714" s="77">
        <f>OrdersTable[[#This Row],[Quantity]]*OrdersTable[[#This Row],[Unit Cost]]</f>
        <v>400</v>
      </c>
      <c r="X2714" s="77">
        <f>'Dropdown Lists'!$I$2*(1+OrdersTable[[#This Row],[Returned]])</f>
        <v>60</v>
      </c>
      <c r="Y2714" s="76">
        <f>OrdersTable[[#This Row],[Net Revenue]]-OrdersTable[[#This Row],[COGS]]-OrdersTable[[#This Row],[Shipping Cost]]</f>
        <v>438.20000000000005</v>
      </c>
      <c r="Z2714" s="78">
        <f>IFERROR(OrdersTable[[#This Row],[Profit]]/OrdersTable[[#This Row],[Net Revenue]],0)</f>
        <v>0.4878646181251392</v>
      </c>
      <c r="AA2714" t="s">
        <v>18</v>
      </c>
      <c r="AB2714" s="79">
        <v>45747</v>
      </c>
      <c r="AC2714">
        <f>OrdersTable[[#This Row],[Delivery Date]]-OrdersTable[[#This Row],[Order Date]]</f>
        <v>2</v>
      </c>
      <c r="AD2714" t="str">
        <f>IF(OrdersTable[[#This Row],[Delivery Days]]&lt;=2, "Express (≤2d)", IF(OrdersTable[[#This Row],[Delivery Days]]&lt;=4, "Standard (3-4d)", "Delayed (5d+)"))</f>
        <v>Express (≤2d)</v>
      </c>
      <c r="AE2714">
        <v>4</v>
      </c>
      <c r="AF2714">
        <v>0</v>
      </c>
    </row>
    <row r="2715" spans="1:32" ht="15" x14ac:dyDescent="0.35">
      <c r="A2715" t="s">
        <v>5703</v>
      </c>
      <c r="B2715" s="1">
        <v>45745</v>
      </c>
      <c r="C2715">
        <f>YEAR(OrdersTable[[#This Row],[Order Date]])</f>
        <v>2025</v>
      </c>
      <c r="D2715" s="2">
        <f>DATE(YEAR(OrdersTable[[#This Row],[Order Date]]),MONTH(OrdersTable[[#This Row],[Order Date]]),1)</f>
        <v>45717</v>
      </c>
      <c r="E2715">
        <f>MONTH(OrdersTable[[#This Row],[Order Date]])</f>
        <v>3</v>
      </c>
      <c r="F2715" t="s">
        <v>5704</v>
      </c>
      <c r="G2715" t="str">
        <f>IF(OrdersTable[[#This Row],[Order Date]]=_xlfn.MINIFS(Order_Date, Customer_ID, OrdersTable[[#This Row],[Customer ID]]), "New", "Repeat")</f>
        <v>New</v>
      </c>
      <c r="H2715" t="s">
        <v>167</v>
      </c>
      <c r="I2715" t="str">
        <f>INDEX(State!B:B,MATCH(OrdersTable[[#This Row],[State]],State!A:A,0))</f>
        <v>KA</v>
      </c>
      <c r="J2715" t="str">
        <f>INDEX(State!C:C,MATCH(OrdersTable[[#This Row],[State Code]],State!B:B,0))</f>
        <v>South</v>
      </c>
      <c r="K2715" t="s">
        <v>190</v>
      </c>
      <c r="L2715" t="s">
        <v>65</v>
      </c>
      <c r="M2715" t="s">
        <v>29</v>
      </c>
      <c r="N2715" t="str">
        <f>INDEX(Products!B:B,MATCH(OrdersTable[[#This Row],[Product ID]],Products!A:A,0))</f>
        <v>Joggers</v>
      </c>
      <c r="O2715" t="str">
        <f>INDEX(Products!C:C,MATCH(OrdersTable[[#This Row],[Product ID]],Products!A:A,0))</f>
        <v>Apparel</v>
      </c>
      <c r="P2715">
        <v>2</v>
      </c>
      <c r="Q2715" s="5">
        <v>1199</v>
      </c>
      <c r="R2715" s="74">
        <v>0.15</v>
      </c>
      <c r="S2715" s="75">
        <f>OrdersTable[[#This Row],[Quantity]]*OrdersTable[[#This Row],[Unit Price]]</f>
        <v>2398</v>
      </c>
      <c r="T2715" s="5">
        <f>OrdersTable[[#This Row],[Gross Sale]]*OrdersTable[[#This Row],[Discount_Clean2]]</f>
        <v>359.7</v>
      </c>
      <c r="U2715" s="5">
        <f>OrdersTable[[#This Row],[Gross Sale]]-OrdersTable[[#This Row],[Discount Amount]]</f>
        <v>2038.3</v>
      </c>
      <c r="V2715" s="77">
        <f>INDEX(Products!E:E,MATCH(OrdersTable[[#This Row],[Product ID]],Products!A:A,0))</f>
        <v>492</v>
      </c>
      <c r="W2715" s="77">
        <f>OrdersTable[[#This Row],[Quantity]]*OrdersTable[[#This Row],[Unit Cost]]</f>
        <v>984</v>
      </c>
      <c r="X2715" s="77">
        <f>'Dropdown Lists'!$I$2*(1+OrdersTable[[#This Row],[Returned]])</f>
        <v>60</v>
      </c>
      <c r="Y2715" s="76">
        <f>OrdersTable[[#This Row],[Net Revenue]]-OrdersTable[[#This Row],[COGS]]-OrdersTable[[#This Row],[Shipping Cost]]</f>
        <v>994.3</v>
      </c>
      <c r="Z2715" s="78">
        <f>IFERROR(OrdersTable[[#This Row],[Profit]]/OrdersTable[[#This Row],[Net Revenue]],0)</f>
        <v>0.48780846784084775</v>
      </c>
      <c r="AA2715" t="s">
        <v>18</v>
      </c>
      <c r="AB2715" s="79">
        <v>45747</v>
      </c>
      <c r="AC2715">
        <f>OrdersTable[[#This Row],[Delivery Date]]-OrdersTable[[#This Row],[Order Date]]</f>
        <v>2</v>
      </c>
      <c r="AD2715" t="str">
        <f>IF(OrdersTable[[#This Row],[Delivery Days]]&lt;=2, "Express (≤2d)", IF(OrdersTable[[#This Row],[Delivery Days]]&lt;=4, "Standard (3-4d)", "Delayed (5d+)"))</f>
        <v>Express (≤2d)</v>
      </c>
      <c r="AE2715">
        <v>3</v>
      </c>
      <c r="AF2715">
        <v>0</v>
      </c>
    </row>
    <row r="2716" spans="1:32" ht="15" x14ac:dyDescent="0.35">
      <c r="A2716" t="s">
        <v>2609</v>
      </c>
      <c r="B2716" s="1">
        <v>45745</v>
      </c>
      <c r="C2716">
        <f>YEAR(OrdersTable[[#This Row],[Order Date]])</f>
        <v>2025</v>
      </c>
      <c r="D2716" s="2">
        <f>DATE(YEAR(OrdersTable[[#This Row],[Order Date]]),MONTH(OrdersTable[[#This Row],[Order Date]]),1)</f>
        <v>45717</v>
      </c>
      <c r="E2716">
        <f>MONTH(OrdersTable[[#This Row],[Order Date]])</f>
        <v>3</v>
      </c>
      <c r="F2716" t="s">
        <v>2494</v>
      </c>
      <c r="G2716" t="str">
        <f>IF(OrdersTable[[#This Row],[Order Date]]=_xlfn.MINIFS(Order_Date, Customer_ID, OrdersTable[[#This Row],[Customer ID]]), "New", "Repeat")</f>
        <v>New</v>
      </c>
      <c r="H2716" t="s">
        <v>167</v>
      </c>
      <c r="I2716" t="str">
        <f>INDEX(State!B:B,MATCH(OrdersTable[[#This Row],[State]],State!A:A,0))</f>
        <v>KA</v>
      </c>
      <c r="J2716" t="str">
        <f>INDEX(State!C:C,MATCH(OrdersTable[[#This Row],[State Code]],State!B:B,0))</f>
        <v>South</v>
      </c>
      <c r="K2716" t="s">
        <v>168</v>
      </c>
      <c r="L2716" t="s">
        <v>65</v>
      </c>
      <c r="M2716" t="s">
        <v>78</v>
      </c>
      <c r="N2716" t="str">
        <f>INDEX(Products!B:B,MATCH(OrdersTable[[#This Row],[Product ID]],Products!A:A,0))</f>
        <v>Retinol Night Cream</v>
      </c>
      <c r="O2716" t="str">
        <f>INDEX(Products!C:C,MATCH(OrdersTable[[#This Row],[Product ID]],Products!A:A,0))</f>
        <v>Skincare</v>
      </c>
      <c r="P2716">
        <v>1</v>
      </c>
      <c r="Q2716" s="5">
        <v>799</v>
      </c>
      <c r="R2716" s="74">
        <v>0.05</v>
      </c>
      <c r="S2716" s="75">
        <f>OrdersTable[[#This Row],[Quantity]]*OrdersTable[[#This Row],[Unit Price]]</f>
        <v>799</v>
      </c>
      <c r="T2716" s="5">
        <f>OrdersTable[[#This Row],[Gross Sale]]*OrdersTable[[#This Row],[Discount_Clean2]]</f>
        <v>39.950000000000003</v>
      </c>
      <c r="U2716" s="5">
        <f>OrdersTable[[#This Row],[Gross Sale]]-OrdersTable[[#This Row],[Discount Amount]]</f>
        <v>759.05</v>
      </c>
      <c r="V2716" s="77">
        <f>INDEX(Products!E:E,MATCH(OrdersTable[[#This Row],[Product ID]],Products!A:A,0))</f>
        <v>216</v>
      </c>
      <c r="W2716" s="77">
        <f>OrdersTable[[#This Row],[Quantity]]*OrdersTable[[#This Row],[Unit Cost]]</f>
        <v>216</v>
      </c>
      <c r="X2716" s="77">
        <f>'Dropdown Lists'!$I$2*(1+OrdersTable[[#This Row],[Returned]])</f>
        <v>60</v>
      </c>
      <c r="Y2716" s="76">
        <f>OrdersTable[[#This Row],[Net Revenue]]-OrdersTable[[#This Row],[COGS]]-OrdersTable[[#This Row],[Shipping Cost]]</f>
        <v>483.04999999999995</v>
      </c>
      <c r="Z2716" s="78">
        <f>IFERROR(OrdersTable[[#This Row],[Profit]]/OrdersTable[[#This Row],[Net Revenue]],0)</f>
        <v>0.63638758975034582</v>
      </c>
      <c r="AA2716" t="s">
        <v>2522</v>
      </c>
      <c r="AB2716" s="79">
        <v>45748</v>
      </c>
      <c r="AC2716">
        <f>OrdersTable[[#This Row],[Delivery Date]]-OrdersTable[[#This Row],[Order Date]]</f>
        <v>3</v>
      </c>
      <c r="AD2716" t="str">
        <f>IF(OrdersTable[[#This Row],[Delivery Days]]&lt;=2, "Express (≤2d)", IF(OrdersTable[[#This Row],[Delivery Days]]&lt;=4, "Standard (3-4d)", "Delayed (5d+)"))</f>
        <v>Standard (3-4d)</v>
      </c>
      <c r="AE2716">
        <v>5</v>
      </c>
      <c r="AF2716">
        <v>0</v>
      </c>
    </row>
    <row r="2717" spans="1:32" ht="15" x14ac:dyDescent="0.35">
      <c r="A2717" t="s">
        <v>977</v>
      </c>
      <c r="B2717" s="1">
        <v>45745</v>
      </c>
      <c r="C2717">
        <f>YEAR(OrdersTable[[#This Row],[Order Date]])</f>
        <v>2025</v>
      </c>
      <c r="D2717" s="2">
        <f>DATE(YEAR(OrdersTable[[#This Row],[Order Date]]),MONTH(OrdersTable[[#This Row],[Order Date]]),1)</f>
        <v>45717</v>
      </c>
      <c r="E2717">
        <f>MONTH(OrdersTable[[#This Row],[Order Date]])</f>
        <v>3</v>
      </c>
      <c r="F2717" t="s">
        <v>727</v>
      </c>
      <c r="G2717" t="str">
        <f>IF(OrdersTable[[#This Row],[Order Date]]=_xlfn.MINIFS(Order_Date, Customer_ID, OrdersTable[[#This Row],[Customer ID]]), "New", "Repeat")</f>
        <v>Repeat</v>
      </c>
      <c r="H2717" t="s">
        <v>59</v>
      </c>
      <c r="I2717" t="str">
        <f>INDEX(State!B:B,MATCH(OrdersTable[[#This Row],[State]],State!A:A,0))</f>
        <v>TN</v>
      </c>
      <c r="J2717" t="str">
        <f>INDEX(State!C:C,MATCH(OrdersTable[[#This Row],[State Code]],State!B:B,0))</f>
        <v>South</v>
      </c>
      <c r="K2717" t="s">
        <v>64</v>
      </c>
      <c r="L2717" t="s">
        <v>16</v>
      </c>
      <c r="M2717" t="s">
        <v>92</v>
      </c>
      <c r="N2717" t="str">
        <f>INDEX(Products!B:B,MATCH(OrdersTable[[#This Row],[Product ID]],Products!A:A,0))</f>
        <v>Kolhapuri Sandals</v>
      </c>
      <c r="O2717" t="str">
        <f>INDEX(Products!C:C,MATCH(OrdersTable[[#This Row],[Product ID]],Products!A:A,0))</f>
        <v>Footwear</v>
      </c>
      <c r="P2717">
        <v>1</v>
      </c>
      <c r="Q2717" s="5">
        <v>999</v>
      </c>
      <c r="R2717" s="74">
        <v>0.05</v>
      </c>
      <c r="S2717" s="75">
        <f>OrdersTable[[#This Row],[Quantity]]*OrdersTable[[#This Row],[Unit Price]]</f>
        <v>999</v>
      </c>
      <c r="T2717" s="5">
        <f>OrdersTable[[#This Row],[Gross Sale]]*OrdersTable[[#This Row],[Discount_Clean2]]</f>
        <v>49.95</v>
      </c>
      <c r="U2717" s="5">
        <f>OrdersTable[[#This Row],[Gross Sale]]-OrdersTable[[#This Row],[Discount Amount]]</f>
        <v>949.05</v>
      </c>
      <c r="V2717" s="77">
        <f>INDEX(Products!E:E,MATCH(OrdersTable[[#This Row],[Product ID]],Products!A:A,0))</f>
        <v>400</v>
      </c>
      <c r="W2717" s="77">
        <f>OrdersTable[[#This Row],[Quantity]]*OrdersTable[[#This Row],[Unit Cost]]</f>
        <v>400</v>
      </c>
      <c r="X2717" s="77">
        <f>'Dropdown Lists'!$I$2*(1+OrdersTable[[#This Row],[Returned]])</f>
        <v>60</v>
      </c>
      <c r="Y2717" s="76">
        <f>OrdersTable[[#This Row],[Net Revenue]]-OrdersTable[[#This Row],[COGS]]-OrdersTable[[#This Row],[Shipping Cost]]</f>
        <v>489.04999999999995</v>
      </c>
      <c r="Z2717" s="78">
        <f>IFERROR(OrdersTable[[#This Row],[Profit]]/OrdersTable[[#This Row],[Net Revenue]],0)</f>
        <v>0.5153047784626732</v>
      </c>
      <c r="AA2717" t="s">
        <v>18</v>
      </c>
      <c r="AB2717" s="79">
        <v>45747</v>
      </c>
      <c r="AC2717">
        <f>OrdersTable[[#This Row],[Delivery Date]]-OrdersTable[[#This Row],[Order Date]]</f>
        <v>2</v>
      </c>
      <c r="AD2717" t="str">
        <f>IF(OrdersTable[[#This Row],[Delivery Days]]&lt;=2, "Express (≤2d)", IF(OrdersTable[[#This Row],[Delivery Days]]&lt;=4, "Standard (3-4d)", "Delayed (5d+)"))</f>
        <v>Express (≤2d)</v>
      </c>
      <c r="AE2717">
        <v>4</v>
      </c>
      <c r="AF2717">
        <v>0</v>
      </c>
    </row>
    <row r="2718" spans="1:32" ht="15" x14ac:dyDescent="0.35">
      <c r="A2718" t="s">
        <v>2141</v>
      </c>
      <c r="B2718" s="1">
        <v>45745</v>
      </c>
      <c r="C2718">
        <f>YEAR(OrdersTable[[#This Row],[Order Date]])</f>
        <v>2025</v>
      </c>
      <c r="D2718" s="2">
        <f>DATE(YEAR(OrdersTable[[#This Row],[Order Date]]),MONTH(OrdersTable[[#This Row],[Order Date]]),1)</f>
        <v>45717</v>
      </c>
      <c r="E2718">
        <f>MONTH(OrdersTable[[#This Row],[Order Date]])</f>
        <v>3</v>
      </c>
      <c r="F2718" t="s">
        <v>2142</v>
      </c>
      <c r="G2718" t="str">
        <f>IF(OrdersTable[[#This Row],[Order Date]]=_xlfn.MINIFS(Order_Date, Customer_ID, OrdersTable[[#This Row],[Customer ID]]), "New", "Repeat")</f>
        <v>New</v>
      </c>
      <c r="H2718" t="s">
        <v>59</v>
      </c>
      <c r="I2718" t="str">
        <f>INDEX(State!B:B,MATCH(OrdersTable[[#This Row],[State]],State!A:A,0))</f>
        <v>TN</v>
      </c>
      <c r="J2718" t="str">
        <f>INDEX(State!C:C,MATCH(OrdersTable[[#This Row],[State Code]],State!B:B,0))</f>
        <v>South</v>
      </c>
      <c r="K2718" t="s">
        <v>60</v>
      </c>
      <c r="L2718" t="s">
        <v>23</v>
      </c>
      <c r="M2718" t="s">
        <v>56</v>
      </c>
      <c r="N2718" t="str">
        <f>INDEX(Products!B:B,MATCH(OrdersTable[[#This Row],[Product ID]],Products!A:A,0))</f>
        <v>Vitamin C Face Serum</v>
      </c>
      <c r="O2718" t="str">
        <f>INDEX(Products!C:C,MATCH(OrdersTable[[#This Row],[Product ID]],Products!A:A,0))</f>
        <v>Skincare</v>
      </c>
      <c r="P2718">
        <v>1</v>
      </c>
      <c r="Q2718" s="5">
        <v>599</v>
      </c>
      <c r="R2718" s="74">
        <v>0.15</v>
      </c>
      <c r="S2718" s="75">
        <f>OrdersTable[[#This Row],[Quantity]]*OrdersTable[[#This Row],[Unit Price]]</f>
        <v>599</v>
      </c>
      <c r="T2718" s="5">
        <f>OrdersTable[[#This Row],[Gross Sale]]*OrdersTable[[#This Row],[Discount_Clean2]]</f>
        <v>89.85</v>
      </c>
      <c r="U2718" s="5">
        <f>OrdersTable[[#This Row],[Gross Sale]]-OrdersTable[[#This Row],[Discount Amount]]</f>
        <v>509.15</v>
      </c>
      <c r="V2718" s="77">
        <f>INDEX(Products!E:E,MATCH(OrdersTable[[#This Row],[Product ID]],Products!A:A,0))</f>
        <v>180</v>
      </c>
      <c r="W2718" s="77">
        <f>OrdersTable[[#This Row],[Quantity]]*OrdersTable[[#This Row],[Unit Cost]]</f>
        <v>180</v>
      </c>
      <c r="X2718" s="77">
        <f>'Dropdown Lists'!$I$2*(1+OrdersTable[[#This Row],[Returned]])</f>
        <v>60</v>
      </c>
      <c r="Y2718" s="76">
        <f>OrdersTable[[#This Row],[Net Revenue]]-OrdersTable[[#This Row],[COGS]]-OrdersTable[[#This Row],[Shipping Cost]]</f>
        <v>269.14999999999998</v>
      </c>
      <c r="Z2718" s="78">
        <f>IFERROR(OrdersTable[[#This Row],[Profit]]/OrdersTable[[#This Row],[Net Revenue]],0)</f>
        <v>0.52862614160856325</v>
      </c>
      <c r="AA2718" t="s">
        <v>18</v>
      </c>
      <c r="AB2718" s="79">
        <v>45749</v>
      </c>
      <c r="AC2718">
        <f>OrdersTable[[#This Row],[Delivery Date]]-OrdersTable[[#This Row],[Order Date]]</f>
        <v>4</v>
      </c>
      <c r="AD2718" t="str">
        <f>IF(OrdersTable[[#This Row],[Delivery Days]]&lt;=2, "Express (≤2d)", IF(OrdersTable[[#This Row],[Delivery Days]]&lt;=4, "Standard (3-4d)", "Delayed (5d+)"))</f>
        <v>Standard (3-4d)</v>
      </c>
      <c r="AE2718">
        <v>3</v>
      </c>
      <c r="AF2718">
        <v>0</v>
      </c>
    </row>
    <row r="2719" spans="1:32" ht="15" x14ac:dyDescent="0.35">
      <c r="A2719" t="s">
        <v>4834</v>
      </c>
      <c r="B2719" s="1">
        <v>45745</v>
      </c>
      <c r="C2719">
        <f>YEAR(OrdersTable[[#This Row],[Order Date]])</f>
        <v>2025</v>
      </c>
      <c r="D2719" s="2">
        <f>DATE(YEAR(OrdersTable[[#This Row],[Order Date]]),MONTH(OrdersTable[[#This Row],[Order Date]]),1)</f>
        <v>45717</v>
      </c>
      <c r="E2719">
        <f>MONTH(OrdersTable[[#This Row],[Order Date]])</f>
        <v>3</v>
      </c>
      <c r="F2719" t="s">
        <v>31</v>
      </c>
      <c r="G2719" t="str">
        <f>IF(OrdersTable[[#This Row],[Order Date]]=_xlfn.MINIFS(Order_Date, Customer_ID, OrdersTable[[#This Row],[Customer ID]]), "New", "Repeat")</f>
        <v>Repeat</v>
      </c>
      <c r="H2719" t="s">
        <v>59</v>
      </c>
      <c r="I2719" t="str">
        <f>INDEX(State!B:B,MATCH(OrdersTable[[#This Row],[State]],State!A:A,0))</f>
        <v>TN</v>
      </c>
      <c r="J2719" t="str">
        <f>INDEX(State!C:C,MATCH(OrdersTable[[#This Row],[State Code]],State!B:B,0))</f>
        <v>South</v>
      </c>
      <c r="K2719" t="s">
        <v>60</v>
      </c>
      <c r="L2719" t="s">
        <v>65</v>
      </c>
      <c r="M2719" t="s">
        <v>106</v>
      </c>
      <c r="N2719" t="str">
        <f>INDEX(Products!B:B,MATCH(OrdersTable[[#This Row],[Product ID]],Products!A:A,0))</f>
        <v>Keratin Hair Mask</v>
      </c>
      <c r="O2719" t="str">
        <f>INDEX(Products!C:C,MATCH(OrdersTable[[#This Row],[Product ID]],Products!A:A,0))</f>
        <v>Haircare</v>
      </c>
      <c r="P2719">
        <v>2</v>
      </c>
      <c r="Q2719" s="5">
        <v>549</v>
      </c>
      <c r="R2719" s="74">
        <v>0.2</v>
      </c>
      <c r="S2719" s="75">
        <f>OrdersTable[[#This Row],[Quantity]]*OrdersTable[[#This Row],[Unit Price]]</f>
        <v>1098</v>
      </c>
      <c r="T2719" s="5">
        <f>OrdersTable[[#This Row],[Gross Sale]]*OrdersTable[[#This Row],[Discount_Clean2]]</f>
        <v>219.60000000000002</v>
      </c>
      <c r="U2719" s="5">
        <f>OrdersTable[[#This Row],[Gross Sale]]-OrdersTable[[#This Row],[Discount Amount]]</f>
        <v>878.4</v>
      </c>
      <c r="V2719" s="77">
        <f>INDEX(Products!E:E,MATCH(OrdersTable[[#This Row],[Product ID]],Products!A:A,0))</f>
        <v>170</v>
      </c>
      <c r="W2719" s="77">
        <f>OrdersTable[[#This Row],[Quantity]]*OrdersTable[[#This Row],[Unit Cost]]</f>
        <v>340</v>
      </c>
      <c r="X2719" s="77">
        <f>'Dropdown Lists'!$I$2*(1+OrdersTable[[#This Row],[Returned]])</f>
        <v>60</v>
      </c>
      <c r="Y2719" s="76">
        <f>OrdersTable[[#This Row],[Net Revenue]]-OrdersTable[[#This Row],[COGS]]-OrdersTable[[#This Row],[Shipping Cost]]</f>
        <v>478.4</v>
      </c>
      <c r="Z2719" s="78">
        <f>IFERROR(OrdersTable[[#This Row],[Profit]]/OrdersTable[[#This Row],[Net Revenue]],0)</f>
        <v>0.54462659380692169</v>
      </c>
      <c r="AA2719" t="s">
        <v>4450</v>
      </c>
      <c r="AB2719" s="79">
        <v>45749</v>
      </c>
      <c r="AC2719">
        <f>OrdersTable[[#This Row],[Delivery Date]]-OrdersTable[[#This Row],[Order Date]]</f>
        <v>4</v>
      </c>
      <c r="AD2719" t="str">
        <f>IF(OrdersTable[[#This Row],[Delivery Days]]&lt;=2, "Express (≤2d)", IF(OrdersTable[[#This Row],[Delivery Days]]&lt;=4, "Standard (3-4d)", "Delayed (5d+)"))</f>
        <v>Standard (3-4d)</v>
      </c>
      <c r="AE2719">
        <v>5</v>
      </c>
      <c r="AF2719">
        <v>0</v>
      </c>
    </row>
    <row r="2720" spans="1:32" ht="15" x14ac:dyDescent="0.35">
      <c r="A2720" t="s">
        <v>281</v>
      </c>
      <c r="B2720" s="1">
        <v>45745</v>
      </c>
      <c r="C2720">
        <f>YEAR(OrdersTable[[#This Row],[Order Date]])</f>
        <v>2025</v>
      </c>
      <c r="D2720" s="2">
        <f>DATE(YEAR(OrdersTable[[#This Row],[Order Date]]),MONTH(OrdersTable[[#This Row],[Order Date]]),1)</f>
        <v>45717</v>
      </c>
      <c r="E2720">
        <f>MONTH(OrdersTable[[#This Row],[Order Date]])</f>
        <v>3</v>
      </c>
      <c r="F2720" t="s">
        <v>282</v>
      </c>
      <c r="G2720" t="str">
        <f>IF(OrdersTable[[#This Row],[Order Date]]=_xlfn.MINIFS(Order_Date, Customer_ID, OrdersTable[[#This Row],[Customer ID]]), "New", "Repeat")</f>
        <v>Repeat</v>
      </c>
      <c r="H2720" t="s">
        <v>59</v>
      </c>
      <c r="I2720" t="str">
        <f>INDEX(State!B:B,MATCH(OrdersTable[[#This Row],[State]],State!A:A,0))</f>
        <v>TN</v>
      </c>
      <c r="J2720" t="str">
        <f>INDEX(State!C:C,MATCH(OrdersTable[[#This Row],[State Code]],State!B:B,0))</f>
        <v>South</v>
      </c>
      <c r="K2720" t="s">
        <v>64</v>
      </c>
      <c r="L2720" t="s">
        <v>39</v>
      </c>
      <c r="M2720" t="s">
        <v>84</v>
      </c>
      <c r="N2720" t="str">
        <f>INDEX(Products!B:B,MATCH(OrdersTable[[#This Row],[Product ID]],Products!A:A,0))</f>
        <v>Cotton Bedsheet</v>
      </c>
      <c r="O2720" t="str">
        <f>INDEX(Products!C:C,MATCH(OrdersTable[[#This Row],[Product ID]],Products!A:A,0))</f>
        <v>Home &amp; Kitchen</v>
      </c>
      <c r="P2720">
        <v>1</v>
      </c>
      <c r="Q2720" s="5">
        <v>1299</v>
      </c>
      <c r="R2720" s="74">
        <v>0</v>
      </c>
      <c r="S2720" s="75">
        <f>OrdersTable[[#This Row],[Quantity]]*OrdersTable[[#This Row],[Unit Price]]</f>
        <v>1299</v>
      </c>
      <c r="T2720" s="5">
        <f>OrdersTable[[#This Row],[Gross Sale]]*OrdersTable[[#This Row],[Discount_Clean2]]</f>
        <v>0</v>
      </c>
      <c r="U2720" s="5">
        <f>OrdersTable[[#This Row],[Gross Sale]]-OrdersTable[[#This Row],[Discount Amount]]</f>
        <v>1299</v>
      </c>
      <c r="V2720" s="77">
        <f>INDEX(Products!E:E,MATCH(OrdersTable[[#This Row],[Product ID]],Products!A:A,0))</f>
        <v>585</v>
      </c>
      <c r="W2720" s="77">
        <f>OrdersTable[[#This Row],[Quantity]]*OrdersTable[[#This Row],[Unit Cost]]</f>
        <v>585</v>
      </c>
      <c r="X2720" s="77">
        <f>'Dropdown Lists'!$I$2*(1+OrdersTable[[#This Row],[Returned]])</f>
        <v>60</v>
      </c>
      <c r="Y2720" s="76">
        <f>OrdersTable[[#This Row],[Net Revenue]]-OrdersTable[[#This Row],[COGS]]-OrdersTable[[#This Row],[Shipping Cost]]</f>
        <v>654</v>
      </c>
      <c r="Z2720" s="78">
        <f>IFERROR(OrdersTable[[#This Row],[Profit]]/OrdersTable[[#This Row],[Net Revenue]],0)</f>
        <v>0.50346420323325636</v>
      </c>
      <c r="AA2720" t="s">
        <v>18</v>
      </c>
      <c r="AB2720" s="79">
        <v>45750</v>
      </c>
      <c r="AC2720">
        <f>OrdersTable[[#This Row],[Delivery Date]]-OrdersTable[[#This Row],[Order Date]]</f>
        <v>5</v>
      </c>
      <c r="AD2720" t="str">
        <f>IF(OrdersTable[[#This Row],[Delivery Days]]&lt;=2, "Express (≤2d)", IF(OrdersTable[[#This Row],[Delivery Days]]&lt;=4, "Standard (3-4d)", "Delayed (5d+)"))</f>
        <v>Delayed (5d+)</v>
      </c>
      <c r="AE2720">
        <v>4</v>
      </c>
      <c r="AF2720">
        <v>0</v>
      </c>
    </row>
    <row r="2721" spans="1:32" ht="15" x14ac:dyDescent="0.35">
      <c r="A2721" t="s">
        <v>595</v>
      </c>
      <c r="B2721" s="1">
        <v>45746</v>
      </c>
      <c r="C2721">
        <f>YEAR(OrdersTable[[#This Row],[Order Date]])</f>
        <v>2025</v>
      </c>
      <c r="D2721" s="2">
        <f>DATE(YEAR(OrdersTable[[#This Row],[Order Date]]),MONTH(OrdersTable[[#This Row],[Order Date]]),1)</f>
        <v>45717</v>
      </c>
      <c r="E2721">
        <f>MONTH(OrdersTable[[#This Row],[Order Date]])</f>
        <v>3</v>
      </c>
      <c r="F2721" t="s">
        <v>596</v>
      </c>
      <c r="G2721" t="str">
        <f>IF(OrdersTable[[#This Row],[Order Date]]=_xlfn.MINIFS(Order_Date, Customer_ID, OrdersTable[[#This Row],[Customer ID]]), "New", "Repeat")</f>
        <v>New</v>
      </c>
      <c r="H2721" t="s">
        <v>76</v>
      </c>
      <c r="I2721" t="str">
        <f>INDEX(State!B:B,MATCH(OrdersTable[[#This Row],[State]],State!A:A,0))</f>
        <v>UP</v>
      </c>
      <c r="J2721" t="str">
        <f>INDEX(State!C:C,MATCH(OrdersTable[[#This Row],[State Code]],State!B:B,0))</f>
        <v>North</v>
      </c>
      <c r="K2721" t="s">
        <v>77</v>
      </c>
      <c r="L2721" t="s">
        <v>39</v>
      </c>
      <c r="M2721" t="s">
        <v>51</v>
      </c>
      <c r="N2721" t="str">
        <f>INDEX(Products!B:B,MATCH(OrdersTable[[#This Row],[Product ID]],Products!A:A,0))</f>
        <v>Anti-Dandruff Conditioner</v>
      </c>
      <c r="O2721" t="str">
        <f>INDEX(Products!C:C,MATCH(OrdersTable[[#This Row],[Product ID]],Products!A:A,0))</f>
        <v>Haircare</v>
      </c>
      <c r="P2721">
        <v>1</v>
      </c>
      <c r="Q2721" s="5">
        <v>399</v>
      </c>
      <c r="R2721" s="74">
        <v>0.3</v>
      </c>
      <c r="S2721" s="75">
        <f>OrdersTable[[#This Row],[Quantity]]*OrdersTable[[#This Row],[Unit Price]]</f>
        <v>399</v>
      </c>
      <c r="T2721" s="5">
        <f>OrdersTable[[#This Row],[Gross Sale]]*OrdersTable[[#This Row],[Discount_Clean2]]</f>
        <v>119.69999999999999</v>
      </c>
      <c r="U2721" s="5">
        <f>OrdersTable[[#This Row],[Gross Sale]]-OrdersTable[[#This Row],[Discount Amount]]</f>
        <v>279.3</v>
      </c>
      <c r="V2721" s="77">
        <f>INDEX(Products!E:E,MATCH(OrdersTable[[#This Row],[Product ID]],Products!A:A,0))</f>
        <v>136</v>
      </c>
      <c r="W2721" s="77">
        <f>OrdersTable[[#This Row],[Quantity]]*OrdersTable[[#This Row],[Unit Cost]]</f>
        <v>136</v>
      </c>
      <c r="X2721" s="77">
        <f>'Dropdown Lists'!$I$2*(1+OrdersTable[[#This Row],[Returned]])</f>
        <v>60</v>
      </c>
      <c r="Y2721" s="76">
        <f>OrdersTable[[#This Row],[Net Revenue]]-OrdersTable[[#This Row],[COGS]]-OrdersTable[[#This Row],[Shipping Cost]]</f>
        <v>83.300000000000011</v>
      </c>
      <c r="Z2721" s="78">
        <f>IFERROR(OrdersTable[[#This Row],[Profit]]/OrdersTable[[#This Row],[Net Revenue]],0)</f>
        <v>0.29824561403508776</v>
      </c>
      <c r="AA2721" t="s">
        <v>18</v>
      </c>
      <c r="AB2721" s="79">
        <v>45750</v>
      </c>
      <c r="AC2721">
        <f>OrdersTable[[#This Row],[Delivery Date]]-OrdersTable[[#This Row],[Order Date]]</f>
        <v>4</v>
      </c>
      <c r="AD2721" t="str">
        <f>IF(OrdersTable[[#This Row],[Delivery Days]]&lt;=2, "Express (≤2d)", IF(OrdersTable[[#This Row],[Delivery Days]]&lt;=4, "Standard (3-4d)", "Delayed (5d+)"))</f>
        <v>Standard (3-4d)</v>
      </c>
      <c r="AE2721">
        <v>4</v>
      </c>
      <c r="AF2721">
        <v>0</v>
      </c>
    </row>
    <row r="2722" spans="1:32" ht="15" x14ac:dyDescent="0.35">
      <c r="A2722" t="s">
        <v>597</v>
      </c>
      <c r="B2722" s="1">
        <v>45746</v>
      </c>
      <c r="C2722">
        <f>YEAR(OrdersTable[[#This Row],[Order Date]])</f>
        <v>2025</v>
      </c>
      <c r="D2722" s="2">
        <f>DATE(YEAR(OrdersTable[[#This Row],[Order Date]]),MONTH(OrdersTable[[#This Row],[Order Date]]),1)</f>
        <v>45717</v>
      </c>
      <c r="E2722">
        <f>MONTH(OrdersTable[[#This Row],[Order Date]])</f>
        <v>3</v>
      </c>
      <c r="F2722" t="s">
        <v>598</v>
      </c>
      <c r="G2722" t="str">
        <f>IF(OrdersTable[[#This Row],[Order Date]]=_xlfn.MINIFS(Order_Date, Customer_ID, OrdersTable[[#This Row],[Customer ID]]), "New", "Repeat")</f>
        <v>New</v>
      </c>
      <c r="H2722" t="s">
        <v>76</v>
      </c>
      <c r="I2722" t="str">
        <f>INDEX(State!B:B,MATCH(OrdersTable[[#This Row],[State]],State!A:A,0))</f>
        <v>UP</v>
      </c>
      <c r="J2722" t="str">
        <f>INDEX(State!C:C,MATCH(OrdersTable[[#This Row],[State Code]],State!B:B,0))</f>
        <v>North</v>
      </c>
      <c r="K2722" t="s">
        <v>118</v>
      </c>
      <c r="L2722" t="s">
        <v>16</v>
      </c>
      <c r="M2722" t="s">
        <v>29</v>
      </c>
      <c r="N2722" t="str">
        <f>INDEX(Products!B:B,MATCH(OrdersTable[[#This Row],[Product ID]],Products!A:A,0))</f>
        <v>Joggers</v>
      </c>
      <c r="O2722" t="str">
        <f>INDEX(Products!C:C,MATCH(OrdersTable[[#This Row],[Product ID]],Products!A:A,0))</f>
        <v>Apparel</v>
      </c>
      <c r="P2722">
        <v>1</v>
      </c>
      <c r="Q2722" s="5">
        <v>1199</v>
      </c>
      <c r="R2722" s="74">
        <v>0.1</v>
      </c>
      <c r="S2722" s="75">
        <f>OrdersTable[[#This Row],[Quantity]]*OrdersTable[[#This Row],[Unit Price]]</f>
        <v>1199</v>
      </c>
      <c r="T2722" s="5">
        <f>OrdersTable[[#This Row],[Gross Sale]]*OrdersTable[[#This Row],[Discount_Clean2]]</f>
        <v>119.9</v>
      </c>
      <c r="U2722" s="5">
        <f>OrdersTable[[#This Row],[Gross Sale]]-OrdersTable[[#This Row],[Discount Amount]]</f>
        <v>1079.0999999999999</v>
      </c>
      <c r="V2722" s="77">
        <f>INDEX(Products!E:E,MATCH(OrdersTable[[#This Row],[Product ID]],Products!A:A,0))</f>
        <v>492</v>
      </c>
      <c r="W2722" s="77">
        <f>OrdersTable[[#This Row],[Quantity]]*OrdersTable[[#This Row],[Unit Cost]]</f>
        <v>492</v>
      </c>
      <c r="X2722" s="77">
        <f>'Dropdown Lists'!$I$2*(1+OrdersTable[[#This Row],[Returned]])</f>
        <v>60</v>
      </c>
      <c r="Y2722" s="76">
        <f>OrdersTable[[#This Row],[Net Revenue]]-OrdersTable[[#This Row],[COGS]]-OrdersTable[[#This Row],[Shipping Cost]]</f>
        <v>527.09999999999991</v>
      </c>
      <c r="Z2722" s="78">
        <f>IFERROR(OrdersTable[[#This Row],[Profit]]/OrdersTable[[#This Row],[Net Revenue]],0)</f>
        <v>0.48846260772866273</v>
      </c>
      <c r="AA2722" t="s">
        <v>18</v>
      </c>
      <c r="AB2722" s="79">
        <v>45750</v>
      </c>
      <c r="AC2722">
        <f>OrdersTable[[#This Row],[Delivery Date]]-OrdersTable[[#This Row],[Order Date]]</f>
        <v>4</v>
      </c>
      <c r="AD2722" t="str">
        <f>IF(OrdersTable[[#This Row],[Delivery Days]]&lt;=2, "Express (≤2d)", IF(OrdersTable[[#This Row],[Delivery Days]]&lt;=4, "Standard (3-4d)", "Delayed (5d+)"))</f>
        <v>Standard (3-4d)</v>
      </c>
      <c r="AE2722">
        <v>4</v>
      </c>
      <c r="AF2722">
        <v>0</v>
      </c>
    </row>
    <row r="2723" spans="1:32" ht="15" x14ac:dyDescent="0.35">
      <c r="A2723" t="s">
        <v>978</v>
      </c>
      <c r="B2723" s="1">
        <v>45746</v>
      </c>
      <c r="C2723">
        <f>YEAR(OrdersTable[[#This Row],[Order Date]])</f>
        <v>2025</v>
      </c>
      <c r="D2723" s="2">
        <f>DATE(YEAR(OrdersTable[[#This Row],[Order Date]]),MONTH(OrdersTable[[#This Row],[Order Date]]),1)</f>
        <v>45717</v>
      </c>
      <c r="E2723">
        <f>MONTH(OrdersTable[[#This Row],[Order Date]])</f>
        <v>3</v>
      </c>
      <c r="F2723" t="s">
        <v>798</v>
      </c>
      <c r="G2723" t="str">
        <f>IF(OrdersTable[[#This Row],[Order Date]]=_xlfn.MINIFS(Order_Date, Customer_ID, OrdersTable[[#This Row],[Customer ID]]), "New", "Repeat")</f>
        <v>Repeat</v>
      </c>
      <c r="H2723" t="s">
        <v>27</v>
      </c>
      <c r="I2723" t="str">
        <f>INDEX(State!B:B,MATCH(OrdersTable[[#This Row],[State]],State!A:A,0))</f>
        <v>WB</v>
      </c>
      <c r="J2723" t="str">
        <f>INDEX(State!C:C,MATCH(OrdersTable[[#This Row],[State Code]],State!B:B,0))</f>
        <v>East</v>
      </c>
      <c r="K2723" t="s">
        <v>28</v>
      </c>
      <c r="L2723" t="s">
        <v>50</v>
      </c>
      <c r="M2723" t="s">
        <v>73</v>
      </c>
      <c r="N2723" t="str">
        <f>INDEX(Products!B:B,MATCH(OrdersTable[[#This Row],[Product ID]],Products!A:A,0))</f>
        <v>Hydrating Face Wash</v>
      </c>
      <c r="O2723" t="str">
        <f>INDEX(Products!C:C,MATCH(OrdersTable[[#This Row],[Product ID]],Products!A:A,0))</f>
        <v>Skincare</v>
      </c>
      <c r="P2723">
        <v>1</v>
      </c>
      <c r="Q2723" s="5">
        <v>299</v>
      </c>
      <c r="R2723" s="74">
        <v>0</v>
      </c>
      <c r="S2723" s="75">
        <f>OrdersTable[[#This Row],[Quantity]]*OrdersTable[[#This Row],[Unit Price]]</f>
        <v>299</v>
      </c>
      <c r="T2723" s="5">
        <f>OrdersTable[[#This Row],[Gross Sale]]*OrdersTable[[#This Row],[Discount_Clean2]]</f>
        <v>0</v>
      </c>
      <c r="U2723" s="5">
        <f>OrdersTable[[#This Row],[Gross Sale]]-OrdersTable[[#This Row],[Discount Amount]]</f>
        <v>299</v>
      </c>
      <c r="V2723" s="77">
        <f>INDEX(Products!E:E,MATCH(OrdersTable[[#This Row],[Product ID]],Products!A:A,0))</f>
        <v>90</v>
      </c>
      <c r="W2723" s="77">
        <f>OrdersTable[[#This Row],[Quantity]]*OrdersTable[[#This Row],[Unit Cost]]</f>
        <v>90</v>
      </c>
      <c r="X2723" s="77">
        <f>'Dropdown Lists'!$I$2*(1+OrdersTable[[#This Row],[Returned]])</f>
        <v>60</v>
      </c>
      <c r="Y2723" s="76">
        <f>OrdersTable[[#This Row],[Net Revenue]]-OrdersTable[[#This Row],[COGS]]-OrdersTable[[#This Row],[Shipping Cost]]</f>
        <v>149</v>
      </c>
      <c r="Z2723" s="78">
        <f>IFERROR(OrdersTable[[#This Row],[Profit]]/OrdersTable[[#This Row],[Net Revenue]],0)</f>
        <v>0.49832775919732442</v>
      </c>
      <c r="AA2723" t="s">
        <v>18</v>
      </c>
      <c r="AB2723" s="79">
        <v>45749</v>
      </c>
      <c r="AC2723">
        <f>OrdersTable[[#This Row],[Delivery Date]]-OrdersTable[[#This Row],[Order Date]]</f>
        <v>3</v>
      </c>
      <c r="AD2723" t="str">
        <f>IF(OrdersTable[[#This Row],[Delivery Days]]&lt;=2, "Express (≤2d)", IF(OrdersTable[[#This Row],[Delivery Days]]&lt;=4, "Standard (3-4d)", "Delayed (5d+)"))</f>
        <v>Standard (3-4d)</v>
      </c>
      <c r="AE2723">
        <v>4</v>
      </c>
      <c r="AF2723">
        <v>0</v>
      </c>
    </row>
    <row r="2724" spans="1:32" ht="15" x14ac:dyDescent="0.35">
      <c r="A2724" t="s">
        <v>6710</v>
      </c>
      <c r="B2724" s="1">
        <v>45746</v>
      </c>
      <c r="C2724">
        <f>YEAR(OrdersTable[[#This Row],[Order Date]])</f>
        <v>2025</v>
      </c>
      <c r="D2724" s="2">
        <f>DATE(YEAR(OrdersTable[[#This Row],[Order Date]]),MONTH(OrdersTable[[#This Row],[Order Date]]),1)</f>
        <v>45717</v>
      </c>
      <c r="E2724">
        <f>MONTH(OrdersTable[[#This Row],[Order Date]])</f>
        <v>3</v>
      </c>
      <c r="F2724" t="s">
        <v>2406</v>
      </c>
      <c r="G2724" t="str">
        <f>IF(OrdersTable[[#This Row],[Order Date]]=_xlfn.MINIFS(Order_Date, Customer_ID, OrdersTable[[#This Row],[Customer ID]]), "New", "Repeat")</f>
        <v>Repeat</v>
      </c>
      <c r="H2724" t="s">
        <v>167</v>
      </c>
      <c r="I2724" t="str">
        <f>INDEX(State!B:B,MATCH(OrdersTable[[#This Row],[State]],State!A:A,0))</f>
        <v>KA</v>
      </c>
      <c r="J2724" t="str">
        <f>INDEX(State!C:C,MATCH(OrdersTable[[#This Row],[State Code]],State!B:B,0))</f>
        <v>South</v>
      </c>
      <c r="K2724" t="s">
        <v>168</v>
      </c>
      <c r="L2724" t="s">
        <v>65</v>
      </c>
      <c r="M2724" t="s">
        <v>125</v>
      </c>
      <c r="N2724" t="str">
        <f>INDEX(Products!B:B,MATCH(OrdersTable[[#This Row],[Product ID]],Products!A:A,0))</f>
        <v>Copper Water Bottle</v>
      </c>
      <c r="O2724" t="str">
        <f>INDEX(Products!C:C,MATCH(OrdersTable[[#This Row],[Product ID]],Products!A:A,0))</f>
        <v>Home &amp; Kitchen</v>
      </c>
      <c r="P2724">
        <v>3</v>
      </c>
      <c r="Q2724" s="5">
        <v>899</v>
      </c>
      <c r="R2724" s="74">
        <v>0.05</v>
      </c>
      <c r="S2724" s="75">
        <f>OrdersTable[[#This Row],[Quantity]]*OrdersTable[[#This Row],[Unit Price]]</f>
        <v>2697</v>
      </c>
      <c r="T2724" s="5">
        <f>OrdersTable[[#This Row],[Gross Sale]]*OrdersTable[[#This Row],[Discount_Clean2]]</f>
        <v>134.85</v>
      </c>
      <c r="U2724" s="5">
        <f>OrdersTable[[#This Row],[Gross Sale]]-OrdersTable[[#This Row],[Discount Amount]]</f>
        <v>2562.15</v>
      </c>
      <c r="V2724" s="77">
        <f>INDEX(Products!E:E,MATCH(OrdersTable[[#This Row],[Product ID]],Products!A:A,0))</f>
        <v>378</v>
      </c>
      <c r="W2724" s="77">
        <f>OrdersTable[[#This Row],[Quantity]]*OrdersTable[[#This Row],[Unit Cost]]</f>
        <v>1134</v>
      </c>
      <c r="X2724" s="77">
        <f>'Dropdown Lists'!$I$2*(1+OrdersTable[[#This Row],[Returned]])</f>
        <v>60</v>
      </c>
      <c r="Y2724" s="76">
        <f>OrdersTable[[#This Row],[Net Revenue]]-OrdersTable[[#This Row],[COGS]]-OrdersTable[[#This Row],[Shipping Cost]]</f>
        <v>1368.15</v>
      </c>
      <c r="Z2724" s="78">
        <f>IFERROR(OrdersTable[[#This Row],[Profit]]/OrdersTable[[#This Row],[Net Revenue]],0)</f>
        <v>0.53398512967624845</v>
      </c>
      <c r="AA2724" t="s">
        <v>2522</v>
      </c>
      <c r="AB2724" s="79">
        <v>45749</v>
      </c>
      <c r="AC2724">
        <f>OrdersTable[[#This Row],[Delivery Date]]-OrdersTable[[#This Row],[Order Date]]</f>
        <v>3</v>
      </c>
      <c r="AD2724" t="str">
        <f>IF(OrdersTable[[#This Row],[Delivery Days]]&lt;=2, "Express (≤2d)", IF(OrdersTable[[#This Row],[Delivery Days]]&lt;=4, "Standard (3-4d)", "Delayed (5d+)"))</f>
        <v>Standard (3-4d)</v>
      </c>
      <c r="AE2724">
        <v>4</v>
      </c>
      <c r="AF2724">
        <v>0</v>
      </c>
    </row>
    <row r="2725" spans="1:32" ht="15" x14ac:dyDescent="0.35">
      <c r="A2725" t="s">
        <v>1973</v>
      </c>
      <c r="B2725" s="1">
        <v>45746</v>
      </c>
      <c r="C2725">
        <f>YEAR(OrdersTable[[#This Row],[Order Date]])</f>
        <v>2025</v>
      </c>
      <c r="D2725" s="2">
        <f>DATE(YEAR(OrdersTable[[#This Row],[Order Date]]),MONTH(OrdersTable[[#This Row],[Order Date]]),1)</f>
        <v>45717</v>
      </c>
      <c r="E2725">
        <f>MONTH(OrdersTable[[#This Row],[Order Date]])</f>
        <v>3</v>
      </c>
      <c r="F2725" t="s">
        <v>1974</v>
      </c>
      <c r="G2725" t="str">
        <f>IF(OrdersTable[[#This Row],[Order Date]]=_xlfn.MINIFS(Order_Date, Customer_ID, OrdersTable[[#This Row],[Customer ID]]), "New", "Repeat")</f>
        <v>New</v>
      </c>
      <c r="H2725" t="s">
        <v>167</v>
      </c>
      <c r="I2725" t="str">
        <f>INDEX(State!B:B,MATCH(OrdersTable[[#This Row],[State]],State!A:A,0))</f>
        <v>KA</v>
      </c>
      <c r="J2725" t="str">
        <f>INDEX(State!C:C,MATCH(OrdersTable[[#This Row],[State Code]],State!B:B,0))</f>
        <v>South</v>
      </c>
      <c r="K2725" t="s">
        <v>190</v>
      </c>
      <c r="L2725" t="s">
        <v>23</v>
      </c>
      <c r="M2725" t="s">
        <v>176</v>
      </c>
      <c r="N2725" t="str">
        <f>INDEX(Products!B:B,MATCH(OrdersTable[[#This Row],[Product ID]],Products!A:A,0))</f>
        <v>Denim Jacket</v>
      </c>
      <c r="O2725" t="str">
        <f>INDEX(Products!C:C,MATCH(OrdersTable[[#This Row],[Product ID]],Products!A:A,0))</f>
        <v>Apparel</v>
      </c>
      <c r="P2725">
        <v>1</v>
      </c>
      <c r="Q2725" s="5">
        <v>2499</v>
      </c>
      <c r="R2725" s="74">
        <v>0.1</v>
      </c>
      <c r="S2725" s="75">
        <f>OrdersTable[[#This Row],[Quantity]]*OrdersTable[[#This Row],[Unit Price]]</f>
        <v>2499</v>
      </c>
      <c r="T2725" s="5">
        <f>OrdersTable[[#This Row],[Gross Sale]]*OrdersTable[[#This Row],[Discount_Clean2]]</f>
        <v>249.9</v>
      </c>
      <c r="U2725" s="5">
        <f>OrdersTable[[#This Row],[Gross Sale]]-OrdersTable[[#This Row],[Discount Amount]]</f>
        <v>2249.1</v>
      </c>
      <c r="V2725" s="77">
        <f>INDEX(Products!E:E,MATCH(OrdersTable[[#This Row],[Product ID]],Products!A:A,0))</f>
        <v>1125</v>
      </c>
      <c r="W2725" s="77">
        <f>OrdersTable[[#This Row],[Quantity]]*OrdersTable[[#This Row],[Unit Cost]]</f>
        <v>1125</v>
      </c>
      <c r="X2725" s="77">
        <f>'Dropdown Lists'!$I$2*(1+OrdersTable[[#This Row],[Returned]])</f>
        <v>60</v>
      </c>
      <c r="Y2725" s="76">
        <f>OrdersTable[[#This Row],[Net Revenue]]-OrdersTable[[#This Row],[COGS]]-OrdersTable[[#This Row],[Shipping Cost]]</f>
        <v>1064.0999999999999</v>
      </c>
      <c r="Z2725" s="78">
        <f>IFERROR(OrdersTable[[#This Row],[Profit]]/OrdersTable[[#This Row],[Net Revenue]],0)</f>
        <v>0.4731225823662798</v>
      </c>
      <c r="AA2725" t="s">
        <v>18</v>
      </c>
      <c r="AB2725" s="79">
        <v>45748</v>
      </c>
      <c r="AC2725">
        <f>OrdersTable[[#This Row],[Delivery Date]]-OrdersTable[[#This Row],[Order Date]]</f>
        <v>2</v>
      </c>
      <c r="AD2725" t="str">
        <f>IF(OrdersTable[[#This Row],[Delivery Days]]&lt;=2, "Express (≤2d)", IF(OrdersTable[[#This Row],[Delivery Days]]&lt;=4, "Standard (3-4d)", "Delayed (5d+)"))</f>
        <v>Express (≤2d)</v>
      </c>
      <c r="AE2725">
        <v>3</v>
      </c>
      <c r="AF2725">
        <v>0</v>
      </c>
    </row>
    <row r="2726" spans="1:32" ht="15" x14ac:dyDescent="0.35">
      <c r="A2726" t="s">
        <v>1080</v>
      </c>
      <c r="B2726" s="1">
        <v>45746</v>
      </c>
      <c r="C2726">
        <f>YEAR(OrdersTable[[#This Row],[Order Date]])</f>
        <v>2025</v>
      </c>
      <c r="D2726" s="2">
        <f>DATE(YEAR(OrdersTable[[#This Row],[Order Date]]),MONTH(OrdersTable[[#This Row],[Order Date]]),1)</f>
        <v>45717</v>
      </c>
      <c r="E2726">
        <f>MONTH(OrdersTable[[#This Row],[Order Date]])</f>
        <v>3</v>
      </c>
      <c r="F2726" t="s">
        <v>1081</v>
      </c>
      <c r="G2726" t="str">
        <f>IF(OrdersTable[[#This Row],[Order Date]]=_xlfn.MINIFS(Order_Date, Customer_ID, OrdersTable[[#This Row],[Customer ID]]), "New", "Repeat")</f>
        <v>Repeat</v>
      </c>
      <c r="H2726" t="s">
        <v>59</v>
      </c>
      <c r="I2726" t="str">
        <f>INDEX(State!B:B,MATCH(OrdersTable[[#This Row],[State]],State!A:A,0))</f>
        <v>TN</v>
      </c>
      <c r="J2726" t="str">
        <f>INDEX(State!C:C,MATCH(OrdersTable[[#This Row],[State Code]],State!B:B,0))</f>
        <v>South</v>
      </c>
      <c r="K2726" t="s">
        <v>60</v>
      </c>
      <c r="L2726" t="s">
        <v>16</v>
      </c>
      <c r="M2726" t="s">
        <v>176</v>
      </c>
      <c r="N2726" t="str">
        <f>INDEX(Products!B:B,MATCH(OrdersTable[[#This Row],[Product ID]],Products!A:A,0))</f>
        <v>Denim Jacket</v>
      </c>
      <c r="O2726" t="str">
        <f>INDEX(Products!C:C,MATCH(OrdersTable[[#This Row],[Product ID]],Products!A:A,0))</f>
        <v>Apparel</v>
      </c>
      <c r="P2726">
        <v>1</v>
      </c>
      <c r="Q2726" s="5">
        <v>2499</v>
      </c>
      <c r="R2726" s="74">
        <v>0</v>
      </c>
      <c r="S2726" s="75">
        <f>OrdersTable[[#This Row],[Quantity]]*OrdersTable[[#This Row],[Unit Price]]</f>
        <v>2499</v>
      </c>
      <c r="T2726" s="5">
        <f>OrdersTable[[#This Row],[Gross Sale]]*OrdersTable[[#This Row],[Discount_Clean2]]</f>
        <v>0</v>
      </c>
      <c r="U2726" s="5">
        <f>OrdersTable[[#This Row],[Gross Sale]]-OrdersTable[[#This Row],[Discount Amount]]</f>
        <v>2499</v>
      </c>
      <c r="V2726" s="77">
        <f>INDEX(Products!E:E,MATCH(OrdersTable[[#This Row],[Product ID]],Products!A:A,0))</f>
        <v>1125</v>
      </c>
      <c r="W2726" s="77">
        <f>OrdersTable[[#This Row],[Quantity]]*OrdersTable[[#This Row],[Unit Cost]]</f>
        <v>1125</v>
      </c>
      <c r="X2726" s="77">
        <f>'Dropdown Lists'!$I$2*(1+OrdersTable[[#This Row],[Returned]])</f>
        <v>120</v>
      </c>
      <c r="Y2726" s="76">
        <f>OrdersTable[[#This Row],[Net Revenue]]-OrdersTable[[#This Row],[COGS]]-OrdersTable[[#This Row],[Shipping Cost]]</f>
        <v>1254</v>
      </c>
      <c r="Z2726" s="78">
        <f>IFERROR(OrdersTable[[#This Row],[Profit]]/OrdersTable[[#This Row],[Net Revenue]],0)</f>
        <v>0.50180072028811529</v>
      </c>
      <c r="AA2726" t="s">
        <v>18</v>
      </c>
      <c r="AB2726" s="79">
        <v>45747</v>
      </c>
      <c r="AC2726">
        <f>OrdersTable[[#This Row],[Delivery Date]]-OrdersTable[[#This Row],[Order Date]]</f>
        <v>1</v>
      </c>
      <c r="AD2726" t="str">
        <f>IF(OrdersTable[[#This Row],[Delivery Days]]&lt;=2, "Express (≤2d)", IF(OrdersTable[[#This Row],[Delivery Days]]&lt;=4, "Standard (3-4d)", "Delayed (5d+)"))</f>
        <v>Express (≤2d)</v>
      </c>
      <c r="AE2726">
        <v>4</v>
      </c>
      <c r="AF2726">
        <v>1</v>
      </c>
    </row>
    <row r="2727" spans="1:32" ht="15" x14ac:dyDescent="0.35">
      <c r="A2727" t="s">
        <v>599</v>
      </c>
      <c r="B2727" s="1">
        <v>45747</v>
      </c>
      <c r="C2727">
        <f>YEAR(OrdersTable[[#This Row],[Order Date]])</f>
        <v>2025</v>
      </c>
      <c r="D2727" s="2">
        <f>DATE(YEAR(OrdersTable[[#This Row],[Order Date]]),MONTH(OrdersTable[[#This Row],[Order Date]]),1)</f>
        <v>45717</v>
      </c>
      <c r="E2727">
        <f>MONTH(OrdersTable[[#This Row],[Order Date]])</f>
        <v>3</v>
      </c>
      <c r="F2727" t="s">
        <v>600</v>
      </c>
      <c r="G2727" t="str">
        <f>IF(OrdersTable[[#This Row],[Order Date]]=_xlfn.MINIFS(Order_Date, Customer_ID, OrdersTable[[#This Row],[Customer ID]]), "New", "Repeat")</f>
        <v>Repeat</v>
      </c>
      <c r="H2727" t="s">
        <v>54</v>
      </c>
      <c r="I2727" t="str">
        <f>INDEX(State!B:B,MATCH(OrdersTable[[#This Row],[State]],State!A:A,0))</f>
        <v>RJ</v>
      </c>
      <c r="J2727" t="str">
        <f>INDEX(State!C:C,MATCH(OrdersTable[[#This Row],[State Code]],State!B:B,0))</f>
        <v>North</v>
      </c>
      <c r="K2727" t="s">
        <v>55</v>
      </c>
      <c r="L2727" t="s">
        <v>65</v>
      </c>
      <c r="M2727" t="s">
        <v>152</v>
      </c>
      <c r="N2727" t="str">
        <f>INDEX(Products!B:B,MATCH(OrdersTable[[#This Row],[Product ID]],Products!A:A,0))</f>
        <v>Green Tea (100 bags)</v>
      </c>
      <c r="O2727" t="str">
        <f>INDEX(Products!C:C,MATCH(OrdersTable[[#This Row],[Product ID]],Products!A:A,0))</f>
        <v>Wellness</v>
      </c>
      <c r="P2727">
        <v>1</v>
      </c>
      <c r="Q2727" s="5">
        <v>399</v>
      </c>
      <c r="R2727" s="74">
        <v>0.3</v>
      </c>
      <c r="S2727" s="75">
        <f>OrdersTable[[#This Row],[Quantity]]*OrdersTable[[#This Row],[Unit Price]]</f>
        <v>399</v>
      </c>
      <c r="T2727" s="5">
        <f>OrdersTable[[#This Row],[Gross Sale]]*OrdersTable[[#This Row],[Discount_Clean2]]</f>
        <v>119.69999999999999</v>
      </c>
      <c r="U2727" s="5">
        <f>OrdersTable[[#This Row],[Gross Sale]]-OrdersTable[[#This Row],[Discount Amount]]</f>
        <v>279.3</v>
      </c>
      <c r="V2727" s="77">
        <f>INDEX(Products!E:E,MATCH(OrdersTable[[#This Row],[Product ID]],Products!A:A,0))</f>
        <v>128</v>
      </c>
      <c r="W2727" s="77">
        <f>OrdersTable[[#This Row],[Quantity]]*OrdersTable[[#This Row],[Unit Cost]]</f>
        <v>128</v>
      </c>
      <c r="X2727" s="77">
        <f>'Dropdown Lists'!$I$2*(1+OrdersTable[[#This Row],[Returned]])</f>
        <v>60</v>
      </c>
      <c r="Y2727" s="76">
        <f>OrdersTable[[#This Row],[Net Revenue]]-OrdersTable[[#This Row],[COGS]]-OrdersTable[[#This Row],[Shipping Cost]]</f>
        <v>91.300000000000011</v>
      </c>
      <c r="Z2727" s="78">
        <f>IFERROR(OrdersTable[[#This Row],[Profit]]/OrdersTable[[#This Row],[Net Revenue]],0)</f>
        <v>0.32688865019692093</v>
      </c>
      <c r="AA2727" t="s">
        <v>18</v>
      </c>
      <c r="AB2727" s="79">
        <v>45750</v>
      </c>
      <c r="AC2727">
        <f>OrdersTable[[#This Row],[Delivery Date]]-OrdersTable[[#This Row],[Order Date]]</f>
        <v>3</v>
      </c>
      <c r="AD2727" t="str">
        <f>IF(OrdersTable[[#This Row],[Delivery Days]]&lt;=2, "Express (≤2d)", IF(OrdersTable[[#This Row],[Delivery Days]]&lt;=4, "Standard (3-4d)", "Delayed (5d+)"))</f>
        <v>Standard (3-4d)</v>
      </c>
      <c r="AE2727">
        <v>4</v>
      </c>
      <c r="AF2727">
        <v>0</v>
      </c>
    </row>
    <row r="2728" spans="1:32" ht="15" x14ac:dyDescent="0.35">
      <c r="A2728" t="s">
        <v>6999</v>
      </c>
      <c r="B2728" s="1">
        <v>45747</v>
      </c>
      <c r="C2728">
        <f>YEAR(OrdersTable[[#This Row],[Order Date]])</f>
        <v>2025</v>
      </c>
      <c r="D2728" s="2">
        <f>DATE(YEAR(OrdersTable[[#This Row],[Order Date]]),MONTH(OrdersTable[[#This Row],[Order Date]]),1)</f>
        <v>45717</v>
      </c>
      <c r="E2728">
        <f>MONTH(OrdersTable[[#This Row],[Order Date]])</f>
        <v>3</v>
      </c>
      <c r="F2728" t="s">
        <v>3142</v>
      </c>
      <c r="G2728" t="str">
        <f>IF(OrdersTable[[#This Row],[Order Date]]=_xlfn.MINIFS(Order_Date, Customer_ID, OrdersTable[[#This Row],[Customer ID]]), "New", "Repeat")</f>
        <v>Repeat</v>
      </c>
      <c r="H2728" t="s">
        <v>128</v>
      </c>
      <c r="I2728" t="str">
        <f>INDEX(State!B:B,MATCH(OrdersTable[[#This Row],[State]],State!A:A,0))</f>
        <v>DL</v>
      </c>
      <c r="J2728" t="str">
        <f>INDEX(State!C:C,MATCH(OrdersTable[[#This Row],[State Code]],State!B:B,0))</f>
        <v>North</v>
      </c>
      <c r="K2728" t="s">
        <v>129</v>
      </c>
      <c r="L2728" t="s">
        <v>23</v>
      </c>
      <c r="M2728" t="s">
        <v>78</v>
      </c>
      <c r="N2728" t="str">
        <f>INDEX(Products!B:B,MATCH(OrdersTable[[#This Row],[Product ID]],Products!A:A,0))</f>
        <v>Retinol Night Cream</v>
      </c>
      <c r="O2728" t="str">
        <f>INDEX(Products!C:C,MATCH(OrdersTable[[#This Row],[Product ID]],Products!A:A,0))</f>
        <v>Skincare</v>
      </c>
      <c r="P2728">
        <v>4</v>
      </c>
      <c r="Q2728" s="5">
        <v>799</v>
      </c>
      <c r="R2728" s="74">
        <v>0.05</v>
      </c>
      <c r="S2728" s="75">
        <f>OrdersTable[[#This Row],[Quantity]]*OrdersTable[[#This Row],[Unit Price]]</f>
        <v>3196</v>
      </c>
      <c r="T2728" s="5">
        <f>OrdersTable[[#This Row],[Gross Sale]]*OrdersTable[[#This Row],[Discount_Clean2]]</f>
        <v>159.80000000000001</v>
      </c>
      <c r="U2728" s="5">
        <f>OrdersTable[[#This Row],[Gross Sale]]-OrdersTable[[#This Row],[Discount Amount]]</f>
        <v>3036.2</v>
      </c>
      <c r="V2728" s="77">
        <f>INDEX(Products!E:E,MATCH(OrdersTable[[#This Row],[Product ID]],Products!A:A,0))</f>
        <v>216</v>
      </c>
      <c r="W2728" s="77">
        <f>OrdersTable[[#This Row],[Quantity]]*OrdersTable[[#This Row],[Unit Cost]]</f>
        <v>864</v>
      </c>
      <c r="X2728" s="77">
        <f>'Dropdown Lists'!$I$2*(1+OrdersTable[[#This Row],[Returned]])</f>
        <v>60</v>
      </c>
      <c r="Y2728" s="76">
        <f>OrdersTable[[#This Row],[Net Revenue]]-OrdersTable[[#This Row],[COGS]]-OrdersTable[[#This Row],[Shipping Cost]]</f>
        <v>2112.1999999999998</v>
      </c>
      <c r="Z2728" s="78">
        <f>IFERROR(OrdersTable[[#This Row],[Profit]]/OrdersTable[[#This Row],[Net Revenue]],0)</f>
        <v>0.69567222185626765</v>
      </c>
      <c r="AA2728" t="s">
        <v>3495</v>
      </c>
      <c r="AB2728" s="79">
        <v>45748</v>
      </c>
      <c r="AC2728">
        <f>OrdersTable[[#This Row],[Delivery Date]]-OrdersTable[[#This Row],[Order Date]]</f>
        <v>1</v>
      </c>
      <c r="AD2728" t="str">
        <f>IF(OrdersTable[[#This Row],[Delivery Days]]&lt;=2, "Express (≤2d)", IF(OrdersTable[[#This Row],[Delivery Days]]&lt;=4, "Standard (3-4d)", "Delayed (5d+)"))</f>
        <v>Express (≤2d)</v>
      </c>
      <c r="AE2728">
        <v>4</v>
      </c>
      <c r="AF2728">
        <v>0</v>
      </c>
    </row>
    <row r="2729" spans="1:32" ht="15" x14ac:dyDescent="0.35">
      <c r="A2729" t="s">
        <v>283</v>
      </c>
      <c r="B2729" s="1">
        <v>45747</v>
      </c>
      <c r="C2729">
        <f>YEAR(OrdersTable[[#This Row],[Order Date]])</f>
        <v>2025</v>
      </c>
      <c r="D2729" s="2">
        <f>DATE(YEAR(OrdersTable[[#This Row],[Order Date]]),MONTH(OrdersTable[[#This Row],[Order Date]]),1)</f>
        <v>45717</v>
      </c>
      <c r="E2729">
        <f>MONTH(OrdersTable[[#This Row],[Order Date]])</f>
        <v>3</v>
      </c>
      <c r="F2729" t="s">
        <v>284</v>
      </c>
      <c r="G2729" t="str">
        <f>IF(OrdersTable[[#This Row],[Order Date]]=_xlfn.MINIFS(Order_Date, Customer_ID, OrdersTable[[#This Row],[Customer ID]]), "New", "Repeat")</f>
        <v>Repeat</v>
      </c>
      <c r="H2729" t="s">
        <v>128</v>
      </c>
      <c r="I2729" t="str">
        <f>INDEX(State!B:B,MATCH(OrdersTable[[#This Row],[State]],State!A:A,0))</f>
        <v>DL</v>
      </c>
      <c r="J2729" t="str">
        <f>INDEX(State!C:C,MATCH(OrdersTable[[#This Row],[State Code]],State!B:B,0))</f>
        <v>North</v>
      </c>
      <c r="K2729" t="s">
        <v>129</v>
      </c>
      <c r="L2729" t="s">
        <v>39</v>
      </c>
      <c r="M2729" t="s">
        <v>152</v>
      </c>
      <c r="N2729" t="str">
        <f>INDEX(Products!B:B,MATCH(OrdersTable[[#This Row],[Product ID]],Products!A:A,0))</f>
        <v>Green Tea (100 bags)</v>
      </c>
      <c r="O2729" t="str">
        <f>INDEX(Products!C:C,MATCH(OrdersTable[[#This Row],[Product ID]],Products!A:A,0))</f>
        <v>Wellness</v>
      </c>
      <c r="P2729">
        <v>1</v>
      </c>
      <c r="Q2729" s="5">
        <v>399</v>
      </c>
      <c r="R2729" s="74">
        <v>0.3</v>
      </c>
      <c r="S2729" s="75">
        <f>OrdersTable[[#This Row],[Quantity]]*OrdersTable[[#This Row],[Unit Price]]</f>
        <v>399</v>
      </c>
      <c r="T2729" s="5">
        <f>OrdersTable[[#This Row],[Gross Sale]]*OrdersTable[[#This Row],[Discount_Clean2]]</f>
        <v>119.69999999999999</v>
      </c>
      <c r="U2729" s="5">
        <f>OrdersTable[[#This Row],[Gross Sale]]-OrdersTable[[#This Row],[Discount Amount]]</f>
        <v>279.3</v>
      </c>
      <c r="V2729" s="77">
        <f>INDEX(Products!E:E,MATCH(OrdersTable[[#This Row],[Product ID]],Products!A:A,0))</f>
        <v>128</v>
      </c>
      <c r="W2729" s="77">
        <f>OrdersTable[[#This Row],[Quantity]]*OrdersTable[[#This Row],[Unit Cost]]</f>
        <v>128</v>
      </c>
      <c r="X2729" s="77">
        <f>'Dropdown Lists'!$I$2*(1+OrdersTable[[#This Row],[Returned]])</f>
        <v>60</v>
      </c>
      <c r="Y2729" s="76">
        <f>OrdersTable[[#This Row],[Net Revenue]]-OrdersTable[[#This Row],[COGS]]-OrdersTable[[#This Row],[Shipping Cost]]</f>
        <v>91.300000000000011</v>
      </c>
      <c r="Z2729" s="78">
        <f>IFERROR(OrdersTable[[#This Row],[Profit]]/OrdersTable[[#This Row],[Net Revenue]],0)</f>
        <v>0.32688865019692093</v>
      </c>
      <c r="AA2729" t="s">
        <v>18</v>
      </c>
      <c r="AB2729" s="79">
        <v>45751</v>
      </c>
      <c r="AC2729">
        <f>OrdersTable[[#This Row],[Delivery Date]]-OrdersTable[[#This Row],[Order Date]]</f>
        <v>4</v>
      </c>
      <c r="AD2729" t="str">
        <f>IF(OrdersTable[[#This Row],[Delivery Days]]&lt;=2, "Express (≤2d)", IF(OrdersTable[[#This Row],[Delivery Days]]&lt;=4, "Standard (3-4d)", "Delayed (5d+)"))</f>
        <v>Standard (3-4d)</v>
      </c>
      <c r="AE2729">
        <v>4</v>
      </c>
      <c r="AF2729">
        <v>0</v>
      </c>
    </row>
    <row r="2730" spans="1:32" ht="15" x14ac:dyDescent="0.35">
      <c r="A2730" t="s">
        <v>601</v>
      </c>
      <c r="B2730" s="1">
        <v>45747</v>
      </c>
      <c r="C2730">
        <f>YEAR(OrdersTable[[#This Row],[Order Date]])</f>
        <v>2025</v>
      </c>
      <c r="D2730" s="2">
        <f>DATE(YEAR(OrdersTable[[#This Row],[Order Date]]),MONTH(OrdersTable[[#This Row],[Order Date]]),1)</f>
        <v>45717</v>
      </c>
      <c r="E2730">
        <f>MONTH(OrdersTable[[#This Row],[Order Date]])</f>
        <v>3</v>
      </c>
      <c r="F2730" t="s">
        <v>222</v>
      </c>
      <c r="G2730" t="str">
        <f>IF(OrdersTable[[#This Row],[Order Date]]=_xlfn.MINIFS(Order_Date, Customer_ID, OrdersTable[[#This Row],[Customer ID]]), "New", "Repeat")</f>
        <v>Repeat</v>
      </c>
      <c r="H2730" t="s">
        <v>37</v>
      </c>
      <c r="I2730" t="str">
        <f>INDEX(State!B:B,MATCH(OrdersTable[[#This Row],[State]],State!A:A,0))</f>
        <v>GJ</v>
      </c>
      <c r="J2730" t="str">
        <f>INDEX(State!C:C,MATCH(OrdersTable[[#This Row],[State Code]],State!B:B,0))</f>
        <v>West</v>
      </c>
      <c r="K2730" t="s">
        <v>38</v>
      </c>
      <c r="L2730" t="s">
        <v>65</v>
      </c>
      <c r="M2730" t="s">
        <v>148</v>
      </c>
      <c r="N2730" t="str">
        <f>INDEX(Products!B:B,MATCH(OrdersTable[[#This Row],[Product ID]],Products!A:A,0))</f>
        <v>Smartwatch Strap</v>
      </c>
      <c r="O2730" t="str">
        <f>INDEX(Products!C:C,MATCH(OrdersTable[[#This Row],[Product ID]],Products!A:A,0))</f>
        <v>Electronics</v>
      </c>
      <c r="P2730">
        <v>1</v>
      </c>
      <c r="Q2730" s="5">
        <v>499</v>
      </c>
      <c r="R2730" s="74">
        <v>0.1</v>
      </c>
      <c r="S2730" s="75">
        <f>OrdersTable[[#This Row],[Quantity]]*OrdersTable[[#This Row],[Unit Price]]</f>
        <v>499</v>
      </c>
      <c r="T2730" s="5">
        <f>OrdersTable[[#This Row],[Gross Sale]]*OrdersTable[[#This Row],[Discount_Clean2]]</f>
        <v>49.900000000000006</v>
      </c>
      <c r="U2730" s="5">
        <f>OrdersTable[[#This Row],[Gross Sale]]-OrdersTable[[#This Row],[Discount Amount]]</f>
        <v>449.1</v>
      </c>
      <c r="V2730" s="77">
        <f>INDEX(Products!E:E,MATCH(OrdersTable[[#This Row],[Product ID]],Products!A:A,0))</f>
        <v>200</v>
      </c>
      <c r="W2730" s="77">
        <f>OrdersTable[[#This Row],[Quantity]]*OrdersTable[[#This Row],[Unit Cost]]</f>
        <v>200</v>
      </c>
      <c r="X2730" s="77">
        <f>'Dropdown Lists'!$I$2*(1+OrdersTable[[#This Row],[Returned]])</f>
        <v>60</v>
      </c>
      <c r="Y2730" s="76">
        <f>OrdersTable[[#This Row],[Net Revenue]]-OrdersTable[[#This Row],[COGS]]-OrdersTable[[#This Row],[Shipping Cost]]</f>
        <v>189.10000000000002</v>
      </c>
      <c r="Z2730" s="78">
        <f>IFERROR(OrdersTable[[#This Row],[Profit]]/OrdersTable[[#This Row],[Net Revenue]],0)</f>
        <v>0.42106435092407041</v>
      </c>
      <c r="AA2730" t="s">
        <v>18</v>
      </c>
      <c r="AB2730" s="79">
        <v>45750</v>
      </c>
      <c r="AC2730">
        <f>OrdersTable[[#This Row],[Delivery Date]]-OrdersTable[[#This Row],[Order Date]]</f>
        <v>3</v>
      </c>
      <c r="AD2730" t="str">
        <f>IF(OrdersTable[[#This Row],[Delivery Days]]&lt;=2, "Express (≤2d)", IF(OrdersTable[[#This Row],[Delivery Days]]&lt;=4, "Standard (3-4d)", "Delayed (5d+)"))</f>
        <v>Standard (3-4d)</v>
      </c>
      <c r="AE2730">
        <v>4</v>
      </c>
      <c r="AF2730">
        <v>0</v>
      </c>
    </row>
    <row r="2731" spans="1:32" ht="15" x14ac:dyDescent="0.35">
      <c r="A2731" t="s">
        <v>1721</v>
      </c>
      <c r="B2731" s="1">
        <v>45747</v>
      </c>
      <c r="C2731">
        <f>YEAR(OrdersTable[[#This Row],[Order Date]])</f>
        <v>2025</v>
      </c>
      <c r="D2731" s="2">
        <f>DATE(YEAR(OrdersTable[[#This Row],[Order Date]]),MONTH(OrdersTable[[#This Row],[Order Date]]),1)</f>
        <v>45717</v>
      </c>
      <c r="E2731">
        <f>MONTH(OrdersTable[[#This Row],[Order Date]])</f>
        <v>3</v>
      </c>
      <c r="F2731" t="s">
        <v>1539</v>
      </c>
      <c r="G2731" t="str">
        <f>IF(OrdersTable[[#This Row],[Order Date]]=_xlfn.MINIFS(Order_Date, Customer_ID, OrdersTable[[#This Row],[Customer ID]]), "New", "Repeat")</f>
        <v>Repeat</v>
      </c>
      <c r="H2731" t="s">
        <v>37</v>
      </c>
      <c r="I2731" t="str">
        <f>INDEX(State!B:B,MATCH(OrdersTable[[#This Row],[State]],State!A:A,0))</f>
        <v>GJ</v>
      </c>
      <c r="J2731" t="str">
        <f>INDEX(State!C:C,MATCH(OrdersTable[[#This Row],[State Code]],State!B:B,0))</f>
        <v>West</v>
      </c>
      <c r="K2731" t="s">
        <v>38</v>
      </c>
      <c r="L2731" t="s">
        <v>65</v>
      </c>
      <c r="M2731" t="s">
        <v>125</v>
      </c>
      <c r="N2731" t="str">
        <f>INDEX(Products!B:B,MATCH(OrdersTable[[#This Row],[Product ID]],Products!A:A,0))</f>
        <v>Copper Water Bottle</v>
      </c>
      <c r="O2731" t="str">
        <f>INDEX(Products!C:C,MATCH(OrdersTable[[#This Row],[Product ID]],Products!A:A,0))</f>
        <v>Home &amp; Kitchen</v>
      </c>
      <c r="P2731">
        <v>1</v>
      </c>
      <c r="Q2731" s="5">
        <v>899</v>
      </c>
      <c r="R2731" s="74">
        <v>0.1</v>
      </c>
      <c r="S2731" s="75">
        <f>OrdersTable[[#This Row],[Quantity]]*OrdersTable[[#This Row],[Unit Price]]</f>
        <v>899</v>
      </c>
      <c r="T2731" s="5">
        <f>OrdersTable[[#This Row],[Gross Sale]]*OrdersTable[[#This Row],[Discount_Clean2]]</f>
        <v>89.9</v>
      </c>
      <c r="U2731" s="5">
        <f>OrdersTable[[#This Row],[Gross Sale]]-OrdersTable[[#This Row],[Discount Amount]]</f>
        <v>809.1</v>
      </c>
      <c r="V2731" s="77">
        <f>INDEX(Products!E:E,MATCH(OrdersTable[[#This Row],[Product ID]],Products!A:A,0))</f>
        <v>378</v>
      </c>
      <c r="W2731" s="77">
        <f>OrdersTable[[#This Row],[Quantity]]*OrdersTable[[#This Row],[Unit Cost]]</f>
        <v>378</v>
      </c>
      <c r="X2731" s="77">
        <f>'Dropdown Lists'!$I$2*(1+OrdersTable[[#This Row],[Returned]])</f>
        <v>60</v>
      </c>
      <c r="Y2731" s="76">
        <f>OrdersTable[[#This Row],[Net Revenue]]-OrdersTable[[#This Row],[COGS]]-OrdersTable[[#This Row],[Shipping Cost]]</f>
        <v>371.1</v>
      </c>
      <c r="Z2731" s="78">
        <f>IFERROR(OrdersTable[[#This Row],[Profit]]/OrdersTable[[#This Row],[Net Revenue]],0)</f>
        <v>0.45865776789024842</v>
      </c>
      <c r="AA2731" t="s">
        <v>18</v>
      </c>
      <c r="AB2731" s="79">
        <v>45749</v>
      </c>
      <c r="AC2731">
        <f>OrdersTable[[#This Row],[Delivery Date]]-OrdersTable[[#This Row],[Order Date]]</f>
        <v>2</v>
      </c>
      <c r="AD2731" t="str">
        <f>IF(OrdersTable[[#This Row],[Delivery Days]]&lt;=2, "Express (≤2d)", IF(OrdersTable[[#This Row],[Delivery Days]]&lt;=4, "Standard (3-4d)", "Delayed (5d+)"))</f>
        <v>Express (≤2d)</v>
      </c>
      <c r="AF2731">
        <v>0</v>
      </c>
    </row>
    <row r="2732" spans="1:32" ht="15" x14ac:dyDescent="0.35">
      <c r="A2732" t="s">
        <v>5705</v>
      </c>
      <c r="B2732" s="1">
        <v>45747</v>
      </c>
      <c r="C2732">
        <f>YEAR(OrdersTable[[#This Row],[Order Date]])</f>
        <v>2025</v>
      </c>
      <c r="D2732" s="2">
        <f>DATE(YEAR(OrdersTable[[#This Row],[Order Date]]),MONTH(OrdersTable[[#This Row],[Order Date]]),1)</f>
        <v>45717</v>
      </c>
      <c r="E2732">
        <f>MONTH(OrdersTable[[#This Row],[Order Date]])</f>
        <v>3</v>
      </c>
      <c r="F2732" t="s">
        <v>5706</v>
      </c>
      <c r="G2732" t="str">
        <f>IF(OrdersTable[[#This Row],[Order Date]]=_xlfn.MINIFS(Order_Date, Customer_ID, OrdersTable[[#This Row],[Customer ID]]), "New", "Repeat")</f>
        <v>New</v>
      </c>
      <c r="H2732" t="s">
        <v>27</v>
      </c>
      <c r="I2732" t="str">
        <f>INDEX(State!B:B,MATCH(OrdersTable[[#This Row],[State]],State!A:A,0))</f>
        <v>WB</v>
      </c>
      <c r="J2732" t="str">
        <f>INDEX(State!C:C,MATCH(OrdersTable[[#This Row],[State Code]],State!B:B,0))</f>
        <v>East</v>
      </c>
      <c r="K2732" t="s">
        <v>28</v>
      </c>
      <c r="L2732" t="s">
        <v>23</v>
      </c>
      <c r="M2732" t="s">
        <v>565</v>
      </c>
      <c r="N2732" t="str">
        <f>INDEX(Products!B:B,MATCH(OrdersTable[[#This Row],[Product ID]],Products!A:A,0))</f>
        <v>Ceramic Dinner Set</v>
      </c>
      <c r="O2732" t="str">
        <f>INDEX(Products!C:C,MATCH(OrdersTable[[#This Row],[Product ID]],Products!A:A,0))</f>
        <v>Home &amp; Kitchen</v>
      </c>
      <c r="P2732">
        <v>2</v>
      </c>
      <c r="Q2732" s="5">
        <v>2499</v>
      </c>
      <c r="R2732" s="74">
        <v>0.35</v>
      </c>
      <c r="S2732" s="75">
        <f>OrdersTable[[#This Row],[Quantity]]*OrdersTable[[#This Row],[Unit Price]]</f>
        <v>4998</v>
      </c>
      <c r="T2732" s="5">
        <f>OrdersTable[[#This Row],[Gross Sale]]*OrdersTable[[#This Row],[Discount_Clean2]]</f>
        <v>1749.3</v>
      </c>
      <c r="U2732" s="5">
        <f>OrdersTable[[#This Row],[Gross Sale]]-OrdersTable[[#This Row],[Discount Amount]]</f>
        <v>3248.7</v>
      </c>
      <c r="V2732" s="77">
        <f>INDEX(Products!E:E,MATCH(OrdersTable[[#This Row],[Product ID]],Products!A:A,0))</f>
        <v>1250</v>
      </c>
      <c r="W2732" s="77">
        <f>OrdersTable[[#This Row],[Quantity]]*OrdersTable[[#This Row],[Unit Cost]]</f>
        <v>2500</v>
      </c>
      <c r="X2732" s="77">
        <f>'Dropdown Lists'!$I$2*(1+OrdersTable[[#This Row],[Returned]])</f>
        <v>60</v>
      </c>
      <c r="Y2732" s="76">
        <f>OrdersTable[[#This Row],[Net Revenue]]-OrdersTable[[#This Row],[COGS]]-OrdersTable[[#This Row],[Shipping Cost]]</f>
        <v>688.69999999999982</v>
      </c>
      <c r="Z2732" s="78">
        <f>IFERROR(OrdersTable[[#This Row],[Profit]]/OrdersTable[[#This Row],[Net Revenue]],0)</f>
        <v>0.21199248930341363</v>
      </c>
      <c r="AA2732" t="s">
        <v>18</v>
      </c>
      <c r="AB2732" s="79">
        <v>45751</v>
      </c>
      <c r="AC2732">
        <f>OrdersTable[[#This Row],[Delivery Date]]-OrdersTable[[#This Row],[Order Date]]</f>
        <v>4</v>
      </c>
      <c r="AD2732" t="str">
        <f>IF(OrdersTable[[#This Row],[Delivery Days]]&lt;=2, "Express (≤2d)", IF(OrdersTable[[#This Row],[Delivery Days]]&lt;=4, "Standard (3-4d)", "Delayed (5d+)"))</f>
        <v>Standard (3-4d)</v>
      </c>
      <c r="AE2732">
        <v>3</v>
      </c>
      <c r="AF2732">
        <v>0</v>
      </c>
    </row>
    <row r="2733" spans="1:32" ht="15" x14ac:dyDescent="0.35">
      <c r="A2733" t="s">
        <v>7090</v>
      </c>
      <c r="B2733" s="1">
        <v>45747</v>
      </c>
      <c r="C2733">
        <f>YEAR(OrdersTable[[#This Row],[Order Date]])</f>
        <v>2025</v>
      </c>
      <c r="D2733" s="2">
        <f>DATE(YEAR(OrdersTable[[#This Row],[Order Date]]),MONTH(OrdersTable[[#This Row],[Order Date]]),1)</f>
        <v>45717</v>
      </c>
      <c r="E2733">
        <f>MONTH(OrdersTable[[#This Row],[Order Date]])</f>
        <v>3</v>
      </c>
      <c r="F2733" t="s">
        <v>7091</v>
      </c>
      <c r="G2733" t="str">
        <f>IF(OrdersTable[[#This Row],[Order Date]]=_xlfn.MINIFS(Order_Date, Customer_ID, OrdersTable[[#This Row],[Customer ID]]), "New", "Repeat")</f>
        <v>New</v>
      </c>
      <c r="H2733" t="s">
        <v>95</v>
      </c>
      <c r="I2733" t="str">
        <f>INDEX(State!B:B,MATCH(OrdersTable[[#This Row],[State]],State!A:A,0))</f>
        <v>TG</v>
      </c>
      <c r="J2733" t="str">
        <f>INDEX(State!C:C,MATCH(OrdersTable[[#This Row],[State Code]],State!B:B,0))</f>
        <v>South</v>
      </c>
      <c r="K2733" t="s">
        <v>96</v>
      </c>
      <c r="L2733" t="s">
        <v>16</v>
      </c>
      <c r="M2733" t="s">
        <v>176</v>
      </c>
      <c r="N2733" t="str">
        <f>INDEX(Products!B:B,MATCH(OrdersTable[[#This Row],[Product ID]],Products!A:A,0))</f>
        <v>Denim Jacket</v>
      </c>
      <c r="O2733" t="str">
        <f>INDEX(Products!C:C,MATCH(OrdersTable[[#This Row],[Product ID]],Products!A:A,0))</f>
        <v>Apparel</v>
      </c>
      <c r="P2733">
        <v>4</v>
      </c>
      <c r="Q2733" s="5">
        <v>2499</v>
      </c>
      <c r="R2733" s="74">
        <v>0</v>
      </c>
      <c r="S2733" s="75">
        <f>OrdersTable[[#This Row],[Quantity]]*OrdersTable[[#This Row],[Unit Price]]</f>
        <v>9996</v>
      </c>
      <c r="T2733" s="5">
        <f>OrdersTable[[#This Row],[Gross Sale]]*OrdersTable[[#This Row],[Discount_Clean2]]</f>
        <v>0</v>
      </c>
      <c r="U2733" s="5">
        <f>OrdersTable[[#This Row],[Gross Sale]]-OrdersTable[[#This Row],[Discount Amount]]</f>
        <v>9996</v>
      </c>
      <c r="V2733" s="77">
        <f>INDEX(Products!E:E,MATCH(OrdersTable[[#This Row],[Product ID]],Products!A:A,0))</f>
        <v>1125</v>
      </c>
      <c r="W2733" s="77">
        <f>OrdersTable[[#This Row],[Quantity]]*OrdersTable[[#This Row],[Unit Cost]]</f>
        <v>4500</v>
      </c>
      <c r="X2733" s="77">
        <f>'Dropdown Lists'!$I$2*(1+OrdersTable[[#This Row],[Returned]])</f>
        <v>60</v>
      </c>
      <c r="Y2733" s="76">
        <f>OrdersTable[[#This Row],[Net Revenue]]-OrdersTable[[#This Row],[COGS]]-OrdersTable[[#This Row],[Shipping Cost]]</f>
        <v>5436</v>
      </c>
      <c r="Z2733" s="78">
        <f>IFERROR(OrdersTable[[#This Row],[Profit]]/OrdersTable[[#This Row],[Net Revenue]],0)</f>
        <v>0.54381752701080432</v>
      </c>
      <c r="AA2733" t="s">
        <v>18</v>
      </c>
      <c r="AB2733" s="79">
        <v>45749</v>
      </c>
      <c r="AC2733">
        <f>OrdersTable[[#This Row],[Delivery Date]]-OrdersTable[[#This Row],[Order Date]]</f>
        <v>2</v>
      </c>
      <c r="AD2733" t="str">
        <f>IF(OrdersTable[[#This Row],[Delivery Days]]&lt;=2, "Express (≤2d)", IF(OrdersTable[[#This Row],[Delivery Days]]&lt;=4, "Standard (3-4d)", "Delayed (5d+)"))</f>
        <v>Express (≤2d)</v>
      </c>
      <c r="AF2733">
        <v>0</v>
      </c>
    </row>
    <row r="2734" spans="1:32" ht="15" x14ac:dyDescent="0.35">
      <c r="A2734" t="s">
        <v>5181</v>
      </c>
      <c r="B2734" s="1">
        <v>45747</v>
      </c>
      <c r="C2734">
        <f>YEAR(OrdersTable[[#This Row],[Order Date]])</f>
        <v>2025</v>
      </c>
      <c r="D2734" s="2">
        <f>DATE(YEAR(OrdersTable[[#This Row],[Order Date]]),MONTH(OrdersTable[[#This Row],[Order Date]]),1)</f>
        <v>45717</v>
      </c>
      <c r="E2734">
        <f>MONTH(OrdersTable[[#This Row],[Order Date]])</f>
        <v>3</v>
      </c>
      <c r="F2734" t="s">
        <v>686</v>
      </c>
      <c r="G2734" t="str">
        <f>IF(OrdersTable[[#This Row],[Order Date]]=_xlfn.MINIFS(Order_Date, Customer_ID, OrdersTable[[#This Row],[Customer ID]]), "New", "Repeat")</f>
        <v>Repeat</v>
      </c>
      <c r="H2734" t="s">
        <v>95</v>
      </c>
      <c r="I2734" t="str">
        <f>INDEX(State!B:B,MATCH(OrdersTable[[#This Row],[State]],State!A:A,0))</f>
        <v>TG</v>
      </c>
      <c r="J2734" t="str">
        <f>INDEX(State!C:C,MATCH(OrdersTable[[#This Row],[State Code]],State!B:B,0))</f>
        <v>South</v>
      </c>
      <c r="K2734" t="s">
        <v>96</v>
      </c>
      <c r="L2734" t="s">
        <v>65</v>
      </c>
      <c r="M2734" t="s">
        <v>66</v>
      </c>
      <c r="N2734" t="str">
        <f>INDEX(Products!B:B,MATCH(OrdersTable[[#This Row],[Product ID]],Products!A:A,0))</f>
        <v>Sunscreen SPF 50</v>
      </c>
      <c r="O2734" t="str">
        <f>INDEX(Products!C:C,MATCH(OrdersTable[[#This Row],[Product ID]],Products!A:A,0))</f>
        <v>Skincare</v>
      </c>
      <c r="P2734">
        <v>2</v>
      </c>
      <c r="Q2734" s="5">
        <v>449</v>
      </c>
      <c r="R2734" s="74">
        <v>0.15</v>
      </c>
      <c r="S2734" s="75">
        <f>OrdersTable[[#This Row],[Quantity]]*OrdersTable[[#This Row],[Unit Price]]</f>
        <v>898</v>
      </c>
      <c r="T2734" s="5">
        <f>OrdersTable[[#This Row],[Gross Sale]]*OrdersTable[[#This Row],[Discount_Clean2]]</f>
        <v>134.69999999999999</v>
      </c>
      <c r="U2734" s="5">
        <f>OrdersTable[[#This Row],[Gross Sale]]-OrdersTable[[#This Row],[Discount Amount]]</f>
        <v>763.3</v>
      </c>
      <c r="V2734" s="77">
        <f>INDEX(Products!E:E,MATCH(OrdersTable[[#This Row],[Product ID]],Products!A:A,0))</f>
        <v>144</v>
      </c>
      <c r="W2734" s="77">
        <f>OrdersTable[[#This Row],[Quantity]]*OrdersTable[[#This Row],[Unit Cost]]</f>
        <v>288</v>
      </c>
      <c r="X2734" s="77">
        <f>'Dropdown Lists'!$I$2*(1+OrdersTable[[#This Row],[Returned]])</f>
        <v>120</v>
      </c>
      <c r="Y2734" s="76">
        <f>OrdersTable[[#This Row],[Net Revenue]]-OrdersTable[[#This Row],[COGS]]-OrdersTable[[#This Row],[Shipping Cost]]</f>
        <v>355.29999999999995</v>
      </c>
      <c r="Z2734" s="78">
        <f>IFERROR(OrdersTable[[#This Row],[Profit]]/OrdersTable[[#This Row],[Net Revenue]],0)</f>
        <v>0.465478841870824</v>
      </c>
      <c r="AA2734" t="s">
        <v>3495</v>
      </c>
      <c r="AB2734" s="79">
        <v>45749</v>
      </c>
      <c r="AC2734">
        <f>OrdersTable[[#This Row],[Delivery Date]]-OrdersTable[[#This Row],[Order Date]]</f>
        <v>2</v>
      </c>
      <c r="AD2734" t="str">
        <f>IF(OrdersTable[[#This Row],[Delivery Days]]&lt;=2, "Express (≤2d)", IF(OrdersTable[[#This Row],[Delivery Days]]&lt;=4, "Standard (3-4d)", "Delayed (5d+)"))</f>
        <v>Express (≤2d)</v>
      </c>
      <c r="AE2734">
        <v>4</v>
      </c>
      <c r="AF2734">
        <v>1</v>
      </c>
    </row>
    <row r="2735" spans="1:32" ht="15" x14ac:dyDescent="0.35">
      <c r="A2735" t="s">
        <v>7000</v>
      </c>
      <c r="B2735" s="1">
        <v>45747</v>
      </c>
      <c r="C2735">
        <f>YEAR(OrdersTable[[#This Row],[Order Date]])</f>
        <v>2025</v>
      </c>
      <c r="D2735" s="2">
        <f>DATE(YEAR(OrdersTable[[#This Row],[Order Date]]),MONTH(OrdersTable[[#This Row],[Order Date]]),1)</f>
        <v>45717</v>
      </c>
      <c r="E2735">
        <f>MONTH(OrdersTable[[#This Row],[Order Date]])</f>
        <v>3</v>
      </c>
      <c r="F2735" t="s">
        <v>891</v>
      </c>
      <c r="G2735" t="str">
        <f>IF(OrdersTable[[#This Row],[Order Date]]=_xlfn.MINIFS(Order_Date, Customer_ID, OrdersTable[[#This Row],[Customer ID]]), "New", "Repeat")</f>
        <v>Repeat</v>
      </c>
      <c r="H2735" t="s">
        <v>59</v>
      </c>
      <c r="I2735" t="str">
        <f>INDEX(State!B:B,MATCH(OrdersTable[[#This Row],[State]],State!A:A,0))</f>
        <v>TN</v>
      </c>
      <c r="J2735" t="str">
        <f>INDEX(State!C:C,MATCH(OrdersTable[[#This Row],[State Code]],State!B:B,0))</f>
        <v>South</v>
      </c>
      <c r="K2735" t="s">
        <v>60</v>
      </c>
      <c r="L2735" t="s">
        <v>16</v>
      </c>
      <c r="M2735" t="s">
        <v>29</v>
      </c>
      <c r="N2735" t="str">
        <f>INDEX(Products!B:B,MATCH(OrdersTable[[#This Row],[Product ID]],Products!A:A,0))</f>
        <v>Joggers</v>
      </c>
      <c r="O2735" t="str">
        <f>INDEX(Products!C:C,MATCH(OrdersTable[[#This Row],[Product ID]],Products!A:A,0))</f>
        <v>Apparel</v>
      </c>
      <c r="P2735">
        <v>4</v>
      </c>
      <c r="Q2735" s="5">
        <v>1199</v>
      </c>
      <c r="R2735" s="74">
        <v>0.05</v>
      </c>
      <c r="S2735" s="75">
        <f>OrdersTable[[#This Row],[Quantity]]*OrdersTable[[#This Row],[Unit Price]]</f>
        <v>4796</v>
      </c>
      <c r="T2735" s="5">
        <f>OrdersTable[[#This Row],[Gross Sale]]*OrdersTable[[#This Row],[Discount_Clean2]]</f>
        <v>239.8</v>
      </c>
      <c r="U2735" s="5">
        <f>OrdersTable[[#This Row],[Gross Sale]]-OrdersTable[[#This Row],[Discount Amount]]</f>
        <v>4556.2</v>
      </c>
      <c r="V2735" s="77">
        <f>INDEX(Products!E:E,MATCH(OrdersTable[[#This Row],[Product ID]],Products!A:A,0))</f>
        <v>492</v>
      </c>
      <c r="W2735" s="77">
        <f>OrdersTable[[#This Row],[Quantity]]*OrdersTable[[#This Row],[Unit Cost]]</f>
        <v>1968</v>
      </c>
      <c r="X2735" s="77">
        <f>'Dropdown Lists'!$I$2*(1+OrdersTable[[#This Row],[Returned]])</f>
        <v>60</v>
      </c>
      <c r="Y2735" s="76">
        <f>OrdersTable[[#This Row],[Net Revenue]]-OrdersTable[[#This Row],[COGS]]-OrdersTable[[#This Row],[Shipping Cost]]</f>
        <v>2528.1999999999998</v>
      </c>
      <c r="Z2735" s="78">
        <f>IFERROR(OrdersTable[[#This Row],[Profit]]/OrdersTable[[#This Row],[Net Revenue]],0)</f>
        <v>0.55489223475703431</v>
      </c>
      <c r="AA2735" t="s">
        <v>4074</v>
      </c>
      <c r="AB2735" s="79">
        <v>45748</v>
      </c>
      <c r="AC2735">
        <f>OrdersTable[[#This Row],[Delivery Date]]-OrdersTable[[#This Row],[Order Date]]</f>
        <v>1</v>
      </c>
      <c r="AD2735" t="str">
        <f>IF(OrdersTable[[#This Row],[Delivery Days]]&lt;=2, "Express (≤2d)", IF(OrdersTable[[#This Row],[Delivery Days]]&lt;=4, "Standard (3-4d)", "Delayed (5d+)"))</f>
        <v>Express (≤2d)</v>
      </c>
      <c r="AF2735">
        <v>0</v>
      </c>
    </row>
    <row r="2736" spans="1:32" ht="15" x14ac:dyDescent="0.35">
      <c r="A2736" t="s">
        <v>4835</v>
      </c>
      <c r="B2736" s="1">
        <v>45748</v>
      </c>
      <c r="C2736">
        <f>YEAR(OrdersTable[[#This Row],[Order Date]])</f>
        <v>2025</v>
      </c>
      <c r="D2736" s="2">
        <f>DATE(YEAR(OrdersTable[[#This Row],[Order Date]]),MONTH(OrdersTable[[#This Row],[Order Date]]),1)</f>
        <v>45748</v>
      </c>
      <c r="E2736">
        <f>MONTH(OrdersTable[[#This Row],[Order Date]])</f>
        <v>4</v>
      </c>
      <c r="F2736" t="s">
        <v>516</v>
      </c>
      <c r="G2736" t="str">
        <f>IF(OrdersTable[[#This Row],[Order Date]]=_xlfn.MINIFS(Order_Date, Customer_ID, OrdersTable[[#This Row],[Customer ID]]), "New", "Repeat")</f>
        <v>Repeat</v>
      </c>
      <c r="H2736" t="s">
        <v>76</v>
      </c>
      <c r="I2736" t="str">
        <f>INDEX(State!B:B,MATCH(OrdersTable[[#This Row],[State]],State!A:A,0))</f>
        <v>UP</v>
      </c>
      <c r="J2736" t="str">
        <f>INDEX(State!C:C,MATCH(OrdersTable[[#This Row],[State Code]],State!B:B,0))</f>
        <v>North</v>
      </c>
      <c r="K2736" t="s">
        <v>77</v>
      </c>
      <c r="L2736" t="s">
        <v>50</v>
      </c>
      <c r="M2736" t="s">
        <v>51</v>
      </c>
      <c r="N2736" t="str">
        <f>INDEX(Products!B:B,MATCH(OrdersTable[[#This Row],[Product ID]],Products!A:A,0))</f>
        <v>Anti-Dandruff Conditioner</v>
      </c>
      <c r="O2736" t="str">
        <f>INDEX(Products!C:C,MATCH(OrdersTable[[#This Row],[Product ID]],Products!A:A,0))</f>
        <v>Haircare</v>
      </c>
      <c r="P2736">
        <v>2</v>
      </c>
      <c r="Q2736" s="5">
        <v>399</v>
      </c>
      <c r="R2736" s="74">
        <v>0.45</v>
      </c>
      <c r="S2736" s="75">
        <f>OrdersTable[[#This Row],[Quantity]]*OrdersTable[[#This Row],[Unit Price]]</f>
        <v>798</v>
      </c>
      <c r="T2736" s="5">
        <f>OrdersTable[[#This Row],[Gross Sale]]*OrdersTable[[#This Row],[Discount_Clean2]]</f>
        <v>359.1</v>
      </c>
      <c r="U2736" s="5">
        <f>OrdersTable[[#This Row],[Gross Sale]]-OrdersTable[[#This Row],[Discount Amount]]</f>
        <v>438.9</v>
      </c>
      <c r="V2736" s="77">
        <f>INDEX(Products!E:E,MATCH(OrdersTable[[#This Row],[Product ID]],Products!A:A,0))</f>
        <v>136</v>
      </c>
      <c r="W2736" s="77">
        <f>OrdersTable[[#This Row],[Quantity]]*OrdersTable[[#This Row],[Unit Cost]]</f>
        <v>272</v>
      </c>
      <c r="X2736" s="77">
        <f>'Dropdown Lists'!$I$2*(1+OrdersTable[[#This Row],[Returned]])</f>
        <v>60</v>
      </c>
      <c r="Y2736" s="76">
        <f>OrdersTable[[#This Row],[Net Revenue]]-OrdersTable[[#This Row],[COGS]]-OrdersTable[[#This Row],[Shipping Cost]]</f>
        <v>106.89999999999998</v>
      </c>
      <c r="Z2736" s="78">
        <f>IFERROR(OrdersTable[[#This Row],[Profit]]/OrdersTable[[#This Row],[Net Revenue]],0)</f>
        <v>0.24356345408976984</v>
      </c>
      <c r="AA2736" t="s">
        <v>4450</v>
      </c>
      <c r="AB2736" s="79">
        <v>45752</v>
      </c>
      <c r="AC2736">
        <f>OrdersTable[[#This Row],[Delivery Date]]-OrdersTable[[#This Row],[Order Date]]</f>
        <v>4</v>
      </c>
      <c r="AD2736" t="str">
        <f>IF(OrdersTable[[#This Row],[Delivery Days]]&lt;=2, "Express (≤2d)", IF(OrdersTable[[#This Row],[Delivery Days]]&lt;=4, "Standard (3-4d)", "Delayed (5d+)"))</f>
        <v>Standard (3-4d)</v>
      </c>
      <c r="AE2736">
        <v>3</v>
      </c>
      <c r="AF2736">
        <v>0</v>
      </c>
    </row>
    <row r="2737" spans="1:32" ht="15" x14ac:dyDescent="0.35">
      <c r="A2737" t="s">
        <v>285</v>
      </c>
      <c r="B2737" s="1">
        <v>45748</v>
      </c>
      <c r="C2737">
        <f>YEAR(OrdersTable[[#This Row],[Order Date]])</f>
        <v>2025</v>
      </c>
      <c r="D2737" s="2">
        <f>DATE(YEAR(OrdersTable[[#This Row],[Order Date]]),MONTH(OrdersTable[[#This Row],[Order Date]]),1)</f>
        <v>45748</v>
      </c>
      <c r="E2737">
        <f>MONTH(OrdersTable[[#This Row],[Order Date]])</f>
        <v>4</v>
      </c>
      <c r="F2737" t="s">
        <v>286</v>
      </c>
      <c r="G2737" t="str">
        <f>IF(OrdersTable[[#This Row],[Order Date]]=_xlfn.MINIFS(Order_Date, Customer_ID, OrdersTable[[#This Row],[Customer ID]]), "New", "Repeat")</f>
        <v>New</v>
      </c>
      <c r="H2737" t="s">
        <v>43</v>
      </c>
      <c r="I2737" t="str">
        <f>INDEX(State!B:B,MATCH(OrdersTable[[#This Row],[State]],State!A:A,0))</f>
        <v>MP</v>
      </c>
      <c r="J2737" t="str">
        <f>INDEX(State!C:C,MATCH(OrdersTable[[#This Row],[State Code]],State!B:B,0))</f>
        <v>West</v>
      </c>
      <c r="K2737" t="s">
        <v>250</v>
      </c>
      <c r="L2737" t="s">
        <v>65</v>
      </c>
      <c r="M2737" t="s">
        <v>40</v>
      </c>
      <c r="N2737" t="str">
        <f>INDEX(Products!B:B,MATCH(OrdersTable[[#This Row],[Product ID]],Products!A:A,0))</f>
        <v>Ashwagandha Capsules</v>
      </c>
      <c r="O2737" t="str">
        <f>INDEX(Products!C:C,MATCH(OrdersTable[[#This Row],[Product ID]],Products!A:A,0))</f>
        <v>Wellness</v>
      </c>
      <c r="P2737">
        <v>1</v>
      </c>
      <c r="Q2737" s="5">
        <v>499</v>
      </c>
      <c r="R2737" s="74">
        <v>0.1</v>
      </c>
      <c r="S2737" s="75">
        <f>OrdersTable[[#This Row],[Quantity]]*OrdersTable[[#This Row],[Unit Price]]</f>
        <v>499</v>
      </c>
      <c r="T2737" s="5">
        <f>OrdersTable[[#This Row],[Gross Sale]]*OrdersTable[[#This Row],[Discount_Clean2]]</f>
        <v>49.900000000000006</v>
      </c>
      <c r="U2737" s="5">
        <f>OrdersTable[[#This Row],[Gross Sale]]-OrdersTable[[#This Row],[Discount Amount]]</f>
        <v>449.1</v>
      </c>
      <c r="V2737" s="77">
        <f>INDEX(Products!E:E,MATCH(OrdersTable[[#This Row],[Product ID]],Products!A:A,0))</f>
        <v>150</v>
      </c>
      <c r="W2737" s="77">
        <f>OrdersTable[[#This Row],[Quantity]]*OrdersTable[[#This Row],[Unit Cost]]</f>
        <v>150</v>
      </c>
      <c r="X2737" s="77">
        <f>'Dropdown Lists'!$I$2*(1+OrdersTable[[#This Row],[Returned]])</f>
        <v>60</v>
      </c>
      <c r="Y2737" s="76">
        <f>OrdersTable[[#This Row],[Net Revenue]]-OrdersTable[[#This Row],[COGS]]-OrdersTable[[#This Row],[Shipping Cost]]</f>
        <v>239.10000000000002</v>
      </c>
      <c r="Z2737" s="78">
        <f>IFERROR(OrdersTable[[#This Row],[Profit]]/OrdersTable[[#This Row],[Net Revenue]],0)</f>
        <v>0.53239812959251842</v>
      </c>
      <c r="AA2737" t="s">
        <v>18</v>
      </c>
      <c r="AB2737" s="79">
        <v>45752</v>
      </c>
      <c r="AC2737">
        <f>OrdersTable[[#This Row],[Delivery Date]]-OrdersTable[[#This Row],[Order Date]]</f>
        <v>4</v>
      </c>
      <c r="AD2737" t="str">
        <f>IF(OrdersTable[[#This Row],[Delivery Days]]&lt;=2, "Express (≤2d)", IF(OrdersTable[[#This Row],[Delivery Days]]&lt;=4, "Standard (3-4d)", "Delayed (5d+)"))</f>
        <v>Standard (3-4d)</v>
      </c>
      <c r="AE2737">
        <v>4</v>
      </c>
      <c r="AF2737">
        <v>0</v>
      </c>
    </row>
    <row r="2738" spans="1:32" ht="15" x14ac:dyDescent="0.35">
      <c r="A2738" t="s">
        <v>287</v>
      </c>
      <c r="B2738" s="1">
        <v>45748</v>
      </c>
      <c r="C2738">
        <f>YEAR(OrdersTable[[#This Row],[Order Date]])</f>
        <v>2025</v>
      </c>
      <c r="D2738" s="2">
        <f>DATE(YEAR(OrdersTable[[#This Row],[Order Date]]),MONTH(OrdersTable[[#This Row],[Order Date]]),1)</f>
        <v>45748</v>
      </c>
      <c r="E2738">
        <f>MONTH(OrdersTable[[#This Row],[Order Date]])</f>
        <v>4</v>
      </c>
      <c r="F2738" t="s">
        <v>288</v>
      </c>
      <c r="G2738" t="str">
        <f>IF(OrdersTable[[#This Row],[Order Date]]=_xlfn.MINIFS(Order_Date, Customer_ID, OrdersTable[[#This Row],[Customer ID]]), "New", "Repeat")</f>
        <v>Repeat</v>
      </c>
      <c r="H2738" t="s">
        <v>43</v>
      </c>
      <c r="I2738" t="str">
        <f>INDEX(State!B:B,MATCH(OrdersTable[[#This Row],[State]],State!A:A,0))</f>
        <v>MP</v>
      </c>
      <c r="J2738" t="str">
        <f>INDEX(State!C:C,MATCH(OrdersTable[[#This Row],[State Code]],State!B:B,0))</f>
        <v>West</v>
      </c>
      <c r="K2738" t="s">
        <v>250</v>
      </c>
      <c r="L2738" t="s">
        <v>23</v>
      </c>
      <c r="M2738" t="s">
        <v>109</v>
      </c>
      <c r="N2738" t="str">
        <f>INDEX(Products!B:B,MATCH(OrdersTable[[#This Row],[Product ID]],Products!A:A,0))</f>
        <v>Onion Hair Oil</v>
      </c>
      <c r="O2738" t="str">
        <f>INDEX(Products!C:C,MATCH(OrdersTable[[#This Row],[Product ID]],Products!A:A,0))</f>
        <v>Haircare</v>
      </c>
      <c r="P2738">
        <v>1</v>
      </c>
      <c r="Q2738" s="5">
        <v>349</v>
      </c>
      <c r="R2738" s="74">
        <v>0.3</v>
      </c>
      <c r="S2738" s="75">
        <f>OrdersTable[[#This Row],[Quantity]]*OrdersTable[[#This Row],[Unit Price]]</f>
        <v>349</v>
      </c>
      <c r="T2738" s="5">
        <f>OrdersTable[[#This Row],[Gross Sale]]*OrdersTable[[#This Row],[Discount_Clean2]]</f>
        <v>104.7</v>
      </c>
      <c r="U2738" s="5">
        <f>OrdersTable[[#This Row],[Gross Sale]]-OrdersTable[[#This Row],[Discount Amount]]</f>
        <v>244.3</v>
      </c>
      <c r="V2738" s="77">
        <f>INDEX(Products!E:E,MATCH(OrdersTable[[#This Row],[Product ID]],Products!A:A,0))</f>
        <v>105</v>
      </c>
      <c r="W2738" s="77">
        <f>OrdersTable[[#This Row],[Quantity]]*OrdersTable[[#This Row],[Unit Cost]]</f>
        <v>105</v>
      </c>
      <c r="X2738" s="77">
        <f>'Dropdown Lists'!$I$2*(1+OrdersTable[[#This Row],[Returned]])</f>
        <v>60</v>
      </c>
      <c r="Y2738" s="76">
        <f>OrdersTable[[#This Row],[Net Revenue]]-OrdersTable[[#This Row],[COGS]]-OrdersTable[[#This Row],[Shipping Cost]]</f>
        <v>79.300000000000011</v>
      </c>
      <c r="Z2738" s="78">
        <f>IFERROR(OrdersTable[[#This Row],[Profit]]/OrdersTable[[#This Row],[Net Revenue]],0)</f>
        <v>0.32460090053213264</v>
      </c>
      <c r="AA2738" t="s">
        <v>18</v>
      </c>
      <c r="AB2738" s="79">
        <v>45752</v>
      </c>
      <c r="AC2738">
        <f>OrdersTable[[#This Row],[Delivery Date]]-OrdersTable[[#This Row],[Order Date]]</f>
        <v>4</v>
      </c>
      <c r="AD2738" t="str">
        <f>IF(OrdersTable[[#This Row],[Delivery Days]]&lt;=2, "Express (≤2d)", IF(OrdersTable[[#This Row],[Delivery Days]]&lt;=4, "Standard (3-4d)", "Delayed (5d+)"))</f>
        <v>Standard (3-4d)</v>
      </c>
      <c r="AE2738">
        <v>4</v>
      </c>
      <c r="AF2738">
        <v>0</v>
      </c>
    </row>
    <row r="2739" spans="1:32" ht="15" x14ac:dyDescent="0.35">
      <c r="A2739" t="s">
        <v>1266</v>
      </c>
      <c r="B2739" s="1">
        <v>45748</v>
      </c>
      <c r="C2739">
        <f>YEAR(OrdersTable[[#This Row],[Order Date]])</f>
        <v>2025</v>
      </c>
      <c r="D2739" s="2">
        <f>DATE(YEAR(OrdersTable[[#This Row],[Order Date]]),MONTH(OrdersTable[[#This Row],[Order Date]]),1)</f>
        <v>45748</v>
      </c>
      <c r="E2739">
        <f>MONTH(OrdersTable[[#This Row],[Order Date]])</f>
        <v>4</v>
      </c>
      <c r="F2739" t="s">
        <v>1267</v>
      </c>
      <c r="G2739" t="str">
        <f>IF(OrdersTable[[#This Row],[Order Date]]=_xlfn.MINIFS(Order_Date, Customer_ID, OrdersTable[[#This Row],[Customer ID]]), "New", "Repeat")</f>
        <v>Repeat</v>
      </c>
      <c r="H2739" t="s">
        <v>27</v>
      </c>
      <c r="I2739" t="str">
        <f>INDEX(State!B:B,MATCH(OrdersTable[[#This Row],[State]],State!A:A,0))</f>
        <v>WB</v>
      </c>
      <c r="J2739" t="str">
        <f>INDEX(State!C:C,MATCH(OrdersTable[[#This Row],[State Code]],State!B:B,0))</f>
        <v>East</v>
      </c>
      <c r="K2739" t="s">
        <v>28</v>
      </c>
      <c r="L2739" t="s">
        <v>16</v>
      </c>
      <c r="M2739" t="s">
        <v>205</v>
      </c>
      <c r="N2739" t="str">
        <f>INDEX(Products!B:B,MATCH(OrdersTable[[#This Row],[Product ID]],Products!A:A,0))</f>
        <v>Running Shoes</v>
      </c>
      <c r="O2739" t="str">
        <f>INDEX(Products!C:C,MATCH(OrdersTable[[#This Row],[Product ID]],Products!A:A,0))</f>
        <v>Footwear</v>
      </c>
      <c r="P2739">
        <v>1</v>
      </c>
      <c r="Q2739" s="5">
        <v>2999</v>
      </c>
      <c r="R2739" s="74">
        <v>0.2</v>
      </c>
      <c r="S2739" s="75">
        <f>OrdersTable[[#This Row],[Quantity]]*OrdersTable[[#This Row],[Unit Price]]</f>
        <v>2999</v>
      </c>
      <c r="T2739" s="5">
        <f>OrdersTable[[#This Row],[Gross Sale]]*OrdersTable[[#This Row],[Discount_Clean2]]</f>
        <v>599.80000000000007</v>
      </c>
      <c r="U2739" s="5">
        <f>OrdersTable[[#This Row],[Gross Sale]]-OrdersTable[[#This Row],[Discount Amount]]</f>
        <v>2399.1999999999998</v>
      </c>
      <c r="V2739" s="77">
        <f>INDEX(Products!E:E,MATCH(OrdersTable[[#This Row],[Product ID]],Products!A:A,0))</f>
        <v>1440</v>
      </c>
      <c r="W2739" s="77">
        <f>OrdersTable[[#This Row],[Quantity]]*OrdersTable[[#This Row],[Unit Cost]]</f>
        <v>1440</v>
      </c>
      <c r="X2739" s="77">
        <f>'Dropdown Lists'!$I$2*(1+OrdersTable[[#This Row],[Returned]])</f>
        <v>60</v>
      </c>
      <c r="Y2739" s="76">
        <f>OrdersTable[[#This Row],[Net Revenue]]-OrdersTable[[#This Row],[COGS]]-OrdersTable[[#This Row],[Shipping Cost]]</f>
        <v>899.19999999999982</v>
      </c>
      <c r="Z2739" s="78">
        <f>IFERROR(OrdersTable[[#This Row],[Profit]]/OrdersTable[[#This Row],[Net Revenue]],0)</f>
        <v>0.3747915971990663</v>
      </c>
      <c r="AA2739" t="s">
        <v>18</v>
      </c>
      <c r="AB2739" s="79">
        <v>45750</v>
      </c>
      <c r="AC2739">
        <f>OrdersTable[[#This Row],[Delivery Date]]-OrdersTable[[#This Row],[Order Date]]</f>
        <v>2</v>
      </c>
      <c r="AD2739" t="str">
        <f>IF(OrdersTable[[#This Row],[Delivery Days]]&lt;=2, "Express (≤2d)", IF(OrdersTable[[#This Row],[Delivery Days]]&lt;=4, "Standard (3-4d)", "Delayed (5d+)"))</f>
        <v>Express (≤2d)</v>
      </c>
      <c r="AF2739">
        <v>0</v>
      </c>
    </row>
    <row r="2740" spans="1:32" ht="15" x14ac:dyDescent="0.35">
      <c r="A2740" t="s">
        <v>5405</v>
      </c>
      <c r="B2740" s="1">
        <v>45748</v>
      </c>
      <c r="C2740">
        <f>YEAR(OrdersTable[[#This Row],[Order Date]])</f>
        <v>2025</v>
      </c>
      <c r="D2740" s="2">
        <f>DATE(YEAR(OrdersTable[[#This Row],[Order Date]]),MONTH(OrdersTable[[#This Row],[Order Date]]),1)</f>
        <v>45748</v>
      </c>
      <c r="E2740">
        <f>MONTH(OrdersTable[[#This Row],[Order Date]])</f>
        <v>4</v>
      </c>
      <c r="F2740" t="s">
        <v>63</v>
      </c>
      <c r="G2740" t="str">
        <f>IF(OrdersTable[[#This Row],[Order Date]]=_xlfn.MINIFS(Order_Date, Customer_ID, OrdersTable[[#This Row],[Customer ID]]), "New", "Repeat")</f>
        <v>Repeat</v>
      </c>
      <c r="H2740" t="s">
        <v>95</v>
      </c>
      <c r="I2740" t="str">
        <f>INDEX(State!B:B,MATCH(OrdersTable[[#This Row],[State]],State!A:A,0))</f>
        <v>TG</v>
      </c>
      <c r="J2740" t="str">
        <f>INDEX(State!C:C,MATCH(OrdersTable[[#This Row],[State Code]],State!B:B,0))</f>
        <v>South</v>
      </c>
      <c r="K2740" t="s">
        <v>96</v>
      </c>
      <c r="L2740" t="s">
        <v>23</v>
      </c>
      <c r="M2740" t="s">
        <v>73</v>
      </c>
      <c r="N2740" t="str">
        <f>INDEX(Products!B:B,MATCH(OrdersTable[[#This Row],[Product ID]],Products!A:A,0))</f>
        <v>Hydrating Face Wash</v>
      </c>
      <c r="O2740" t="str">
        <f>INDEX(Products!C:C,MATCH(OrdersTable[[#This Row],[Product ID]],Products!A:A,0))</f>
        <v>Skincare</v>
      </c>
      <c r="P2740">
        <v>2</v>
      </c>
      <c r="Q2740" s="5">
        <v>299</v>
      </c>
      <c r="R2740" s="74">
        <v>0</v>
      </c>
      <c r="S2740" s="75">
        <f>OrdersTable[[#This Row],[Quantity]]*OrdersTable[[#This Row],[Unit Price]]</f>
        <v>598</v>
      </c>
      <c r="T2740" s="5">
        <f>OrdersTable[[#This Row],[Gross Sale]]*OrdersTable[[#This Row],[Discount_Clean2]]</f>
        <v>0</v>
      </c>
      <c r="U2740" s="5">
        <f>OrdersTable[[#This Row],[Gross Sale]]-OrdersTable[[#This Row],[Discount Amount]]</f>
        <v>598</v>
      </c>
      <c r="V2740" s="77">
        <f>INDEX(Products!E:E,MATCH(OrdersTable[[#This Row],[Product ID]],Products!A:A,0))</f>
        <v>90</v>
      </c>
      <c r="W2740" s="77">
        <f>OrdersTable[[#This Row],[Quantity]]*OrdersTable[[#This Row],[Unit Cost]]</f>
        <v>180</v>
      </c>
      <c r="X2740" s="77">
        <f>'Dropdown Lists'!$I$2*(1+OrdersTable[[#This Row],[Returned]])</f>
        <v>60</v>
      </c>
      <c r="Y2740" s="76">
        <f>OrdersTable[[#This Row],[Net Revenue]]-OrdersTable[[#This Row],[COGS]]-OrdersTable[[#This Row],[Shipping Cost]]</f>
        <v>358</v>
      </c>
      <c r="Z2740" s="78">
        <f>IFERROR(OrdersTable[[#This Row],[Profit]]/OrdersTable[[#This Row],[Net Revenue]],0)</f>
        <v>0.59866220735785958</v>
      </c>
      <c r="AA2740" t="s">
        <v>2522</v>
      </c>
      <c r="AB2740" s="79">
        <v>45750</v>
      </c>
      <c r="AC2740">
        <f>OrdersTable[[#This Row],[Delivery Date]]-OrdersTable[[#This Row],[Order Date]]</f>
        <v>2</v>
      </c>
      <c r="AD2740" t="str">
        <f>IF(OrdersTable[[#This Row],[Delivery Days]]&lt;=2, "Express (≤2d)", IF(OrdersTable[[#This Row],[Delivery Days]]&lt;=4, "Standard (3-4d)", "Delayed (5d+)"))</f>
        <v>Express (≤2d)</v>
      </c>
      <c r="AF2740">
        <v>0</v>
      </c>
    </row>
    <row r="2741" spans="1:32" ht="15" x14ac:dyDescent="0.35">
      <c r="A2741" t="s">
        <v>5940</v>
      </c>
      <c r="B2741" s="1">
        <v>45748</v>
      </c>
      <c r="C2741">
        <f>YEAR(OrdersTable[[#This Row],[Order Date]])</f>
        <v>2025</v>
      </c>
      <c r="D2741" s="2">
        <f>DATE(YEAR(OrdersTable[[#This Row],[Order Date]]),MONTH(OrdersTable[[#This Row],[Order Date]]),1)</f>
        <v>45748</v>
      </c>
      <c r="E2741">
        <f>MONTH(OrdersTable[[#This Row],[Order Date]])</f>
        <v>4</v>
      </c>
      <c r="F2741" t="s">
        <v>763</v>
      </c>
      <c r="G2741" t="str">
        <f>IF(OrdersTable[[#This Row],[Order Date]]=_xlfn.MINIFS(Order_Date, Customer_ID, OrdersTable[[#This Row],[Customer ID]]), "New", "Repeat")</f>
        <v>Repeat</v>
      </c>
      <c r="H2741" t="s">
        <v>14</v>
      </c>
      <c r="I2741" t="str">
        <f>INDEX(State!B:B,MATCH(OrdersTable[[#This Row],[State]],State!A:A,0))</f>
        <v>OD</v>
      </c>
      <c r="J2741" t="str">
        <f>INDEX(State!C:C,MATCH(OrdersTable[[#This Row],[State Code]],State!B:B,0))</f>
        <v>East</v>
      </c>
      <c r="K2741" t="s">
        <v>15</v>
      </c>
      <c r="L2741" t="s">
        <v>16</v>
      </c>
      <c r="M2741" t="s">
        <v>29</v>
      </c>
      <c r="N2741" t="str">
        <f>INDEX(Products!B:B,MATCH(OrdersTable[[#This Row],[Product ID]],Products!A:A,0))</f>
        <v>Joggers</v>
      </c>
      <c r="O2741" t="str">
        <f>INDEX(Products!C:C,MATCH(OrdersTable[[#This Row],[Product ID]],Products!A:A,0))</f>
        <v>Apparel</v>
      </c>
      <c r="P2741">
        <v>2</v>
      </c>
      <c r="Q2741" s="5">
        <v>1199</v>
      </c>
      <c r="R2741" s="74">
        <v>0.1</v>
      </c>
      <c r="S2741" s="75">
        <f>OrdersTable[[#This Row],[Quantity]]*OrdersTable[[#This Row],[Unit Price]]</f>
        <v>2398</v>
      </c>
      <c r="T2741" s="5">
        <f>OrdersTable[[#This Row],[Gross Sale]]*OrdersTable[[#This Row],[Discount_Clean2]]</f>
        <v>239.8</v>
      </c>
      <c r="U2741" s="5">
        <f>OrdersTable[[#This Row],[Gross Sale]]-OrdersTable[[#This Row],[Discount Amount]]</f>
        <v>2158.1999999999998</v>
      </c>
      <c r="V2741" s="77">
        <f>INDEX(Products!E:E,MATCH(OrdersTable[[#This Row],[Product ID]],Products!A:A,0))</f>
        <v>492</v>
      </c>
      <c r="W2741" s="77">
        <f>OrdersTable[[#This Row],[Quantity]]*OrdersTable[[#This Row],[Unit Cost]]</f>
        <v>984</v>
      </c>
      <c r="X2741" s="77">
        <f>'Dropdown Lists'!$I$2*(1+OrdersTable[[#This Row],[Returned]])</f>
        <v>120</v>
      </c>
      <c r="Y2741" s="76">
        <f>OrdersTable[[#This Row],[Net Revenue]]-OrdersTable[[#This Row],[COGS]]-OrdersTable[[#This Row],[Shipping Cost]]</f>
        <v>1054.1999999999998</v>
      </c>
      <c r="Z2741" s="78">
        <f>IFERROR(OrdersTable[[#This Row],[Profit]]/OrdersTable[[#This Row],[Net Revenue]],0)</f>
        <v>0.48846260772866273</v>
      </c>
      <c r="AA2741" t="s">
        <v>18</v>
      </c>
      <c r="AB2741" s="79">
        <v>45753</v>
      </c>
      <c r="AC2741">
        <f>OrdersTable[[#This Row],[Delivery Date]]-OrdersTable[[#This Row],[Order Date]]</f>
        <v>5</v>
      </c>
      <c r="AD2741" t="str">
        <f>IF(OrdersTable[[#This Row],[Delivery Days]]&lt;=2, "Express (≤2d)", IF(OrdersTable[[#This Row],[Delivery Days]]&lt;=4, "Standard (3-4d)", "Delayed (5d+)"))</f>
        <v>Delayed (5d+)</v>
      </c>
      <c r="AF2741">
        <v>1</v>
      </c>
    </row>
    <row r="2742" spans="1:32" ht="15" x14ac:dyDescent="0.35">
      <c r="A2742" t="s">
        <v>6355</v>
      </c>
      <c r="B2742" s="1">
        <v>45748</v>
      </c>
      <c r="C2742">
        <f>YEAR(OrdersTable[[#This Row],[Order Date]])</f>
        <v>2025</v>
      </c>
      <c r="D2742" s="2">
        <f>DATE(YEAR(OrdersTable[[#This Row],[Order Date]]),MONTH(OrdersTable[[#This Row],[Order Date]]),1)</f>
        <v>45748</v>
      </c>
      <c r="E2742">
        <f>MONTH(OrdersTable[[#This Row],[Order Date]])</f>
        <v>4</v>
      </c>
      <c r="F2742" t="s">
        <v>3761</v>
      </c>
      <c r="G2742" t="str">
        <f>IF(OrdersTable[[#This Row],[Order Date]]=_xlfn.MINIFS(Order_Date, Customer_ID, OrdersTable[[#This Row],[Customer ID]]), "New", "Repeat")</f>
        <v>Repeat</v>
      </c>
      <c r="H2742" t="s">
        <v>167</v>
      </c>
      <c r="I2742" t="str">
        <f>INDEX(State!B:B,MATCH(OrdersTable[[#This Row],[State]],State!A:A,0))</f>
        <v>KA</v>
      </c>
      <c r="J2742" t="str">
        <f>INDEX(State!C:C,MATCH(OrdersTable[[#This Row],[State Code]],State!B:B,0))</f>
        <v>South</v>
      </c>
      <c r="K2742" t="s">
        <v>168</v>
      </c>
      <c r="L2742" t="s">
        <v>23</v>
      </c>
      <c r="M2742" t="s">
        <v>160</v>
      </c>
      <c r="N2742" t="str">
        <f>INDEX(Products!B:B,MATCH(OrdersTable[[#This Row],[Product ID]],Products!A:A,0))</f>
        <v>Niacinamide Toner</v>
      </c>
      <c r="O2742" t="str">
        <f>INDEX(Products!C:C,MATCH(OrdersTable[[#This Row],[Product ID]],Products!A:A,0))</f>
        <v>Skincare</v>
      </c>
      <c r="P2742">
        <v>2</v>
      </c>
      <c r="Q2742" s="5">
        <v>399</v>
      </c>
      <c r="R2742" s="74">
        <v>0.2</v>
      </c>
      <c r="S2742" s="75">
        <f>OrdersTable[[#This Row],[Quantity]]*OrdersTable[[#This Row],[Unit Price]]</f>
        <v>798</v>
      </c>
      <c r="T2742" s="5">
        <f>OrdersTable[[#This Row],[Gross Sale]]*OrdersTable[[#This Row],[Discount_Clean2]]</f>
        <v>159.60000000000002</v>
      </c>
      <c r="U2742" s="5">
        <f>OrdersTable[[#This Row],[Gross Sale]]-OrdersTable[[#This Row],[Discount Amount]]</f>
        <v>638.4</v>
      </c>
      <c r="V2742" s="77">
        <f>INDEX(Products!E:E,MATCH(OrdersTable[[#This Row],[Product ID]],Products!A:A,0))</f>
        <v>112</v>
      </c>
      <c r="W2742" s="77">
        <f>OrdersTable[[#This Row],[Quantity]]*OrdersTable[[#This Row],[Unit Cost]]</f>
        <v>224</v>
      </c>
      <c r="X2742" s="77">
        <f>'Dropdown Lists'!$I$2*(1+OrdersTable[[#This Row],[Returned]])</f>
        <v>60</v>
      </c>
      <c r="Y2742" s="76">
        <f>OrdersTable[[#This Row],[Net Revenue]]-OrdersTable[[#This Row],[COGS]]-OrdersTable[[#This Row],[Shipping Cost]]</f>
        <v>354.4</v>
      </c>
      <c r="Z2742" s="78">
        <f>IFERROR(OrdersTable[[#This Row],[Profit]]/OrdersTable[[#This Row],[Net Revenue]],0)</f>
        <v>0.55513784461152882</v>
      </c>
      <c r="AA2742" t="s">
        <v>18</v>
      </c>
      <c r="AB2742" s="79">
        <v>45750</v>
      </c>
      <c r="AC2742">
        <f>OrdersTable[[#This Row],[Delivery Date]]-OrdersTable[[#This Row],[Order Date]]</f>
        <v>2</v>
      </c>
      <c r="AD2742" t="str">
        <f>IF(OrdersTable[[#This Row],[Delivery Days]]&lt;=2, "Express (≤2d)", IF(OrdersTable[[#This Row],[Delivery Days]]&lt;=4, "Standard (3-4d)", "Delayed (5d+)"))</f>
        <v>Express (≤2d)</v>
      </c>
      <c r="AE2742">
        <v>4</v>
      </c>
      <c r="AF2742">
        <v>0</v>
      </c>
    </row>
    <row r="2743" spans="1:32" ht="15" x14ac:dyDescent="0.35">
      <c r="A2743" t="s">
        <v>7001</v>
      </c>
      <c r="B2743" s="1">
        <v>45749</v>
      </c>
      <c r="C2743">
        <f>YEAR(OrdersTable[[#This Row],[Order Date]])</f>
        <v>2025</v>
      </c>
      <c r="D2743" s="2">
        <f>DATE(YEAR(OrdersTable[[#This Row],[Order Date]]),MONTH(OrdersTable[[#This Row],[Order Date]]),1)</f>
        <v>45748</v>
      </c>
      <c r="E2743">
        <f>MONTH(OrdersTable[[#This Row],[Order Date]])</f>
        <v>4</v>
      </c>
      <c r="F2743" t="s">
        <v>1959</v>
      </c>
      <c r="G2743" t="str">
        <f>IF(OrdersTable[[#This Row],[Order Date]]=_xlfn.MINIFS(Order_Date, Customer_ID, OrdersTable[[#This Row],[Customer ID]]), "New", "Repeat")</f>
        <v>Repeat</v>
      </c>
      <c r="H2743" t="s">
        <v>76</v>
      </c>
      <c r="I2743" t="str">
        <f>INDEX(State!B:B,MATCH(OrdersTable[[#This Row],[State]],State!A:A,0))</f>
        <v>UP</v>
      </c>
      <c r="J2743" t="str">
        <f>INDEX(State!C:C,MATCH(OrdersTable[[#This Row],[State Code]],State!B:B,0))</f>
        <v>North</v>
      </c>
      <c r="K2743" t="s">
        <v>105</v>
      </c>
      <c r="L2743" t="s">
        <v>39</v>
      </c>
      <c r="M2743" t="s">
        <v>40</v>
      </c>
      <c r="N2743" t="str">
        <f>INDEX(Products!B:B,MATCH(OrdersTable[[#This Row],[Product ID]],Products!A:A,0))</f>
        <v>Ashwagandha Capsules</v>
      </c>
      <c r="O2743" t="str">
        <f>INDEX(Products!C:C,MATCH(OrdersTable[[#This Row],[Product ID]],Products!A:A,0))</f>
        <v>Wellness</v>
      </c>
      <c r="P2743">
        <v>4</v>
      </c>
      <c r="Q2743" s="5">
        <v>499</v>
      </c>
      <c r="R2743" s="74">
        <v>0.05</v>
      </c>
      <c r="S2743" s="75">
        <f>OrdersTable[[#This Row],[Quantity]]*OrdersTable[[#This Row],[Unit Price]]</f>
        <v>1996</v>
      </c>
      <c r="T2743" s="5">
        <f>OrdersTable[[#This Row],[Gross Sale]]*OrdersTable[[#This Row],[Discount_Clean2]]</f>
        <v>99.800000000000011</v>
      </c>
      <c r="U2743" s="5">
        <f>OrdersTable[[#This Row],[Gross Sale]]-OrdersTable[[#This Row],[Discount Amount]]</f>
        <v>1896.2</v>
      </c>
      <c r="V2743" s="77">
        <f>INDEX(Products!E:E,MATCH(OrdersTable[[#This Row],[Product ID]],Products!A:A,0))</f>
        <v>150</v>
      </c>
      <c r="W2743" s="77">
        <f>OrdersTable[[#This Row],[Quantity]]*OrdersTable[[#This Row],[Unit Cost]]</f>
        <v>600</v>
      </c>
      <c r="X2743" s="77">
        <f>'Dropdown Lists'!$I$2*(1+OrdersTable[[#This Row],[Returned]])</f>
        <v>60</v>
      </c>
      <c r="Y2743" s="76">
        <f>OrdersTable[[#This Row],[Net Revenue]]-OrdersTable[[#This Row],[COGS]]-OrdersTable[[#This Row],[Shipping Cost]]</f>
        <v>1236.2</v>
      </c>
      <c r="Z2743" s="78">
        <f>IFERROR(OrdersTable[[#This Row],[Profit]]/OrdersTable[[#This Row],[Net Revenue]],0)</f>
        <v>0.65193544984706253</v>
      </c>
      <c r="AA2743" t="s">
        <v>2522</v>
      </c>
      <c r="AB2743" s="79">
        <v>45753</v>
      </c>
      <c r="AC2743">
        <f>OrdersTable[[#This Row],[Delivery Date]]-OrdersTable[[#This Row],[Order Date]]</f>
        <v>4</v>
      </c>
      <c r="AD2743" t="str">
        <f>IF(OrdersTable[[#This Row],[Delivery Days]]&lt;=2, "Express (≤2d)", IF(OrdersTable[[#This Row],[Delivery Days]]&lt;=4, "Standard (3-4d)", "Delayed (5d+)"))</f>
        <v>Standard (3-4d)</v>
      </c>
      <c r="AE2743">
        <v>3</v>
      </c>
      <c r="AF2743">
        <v>0</v>
      </c>
    </row>
    <row r="2744" spans="1:32" ht="15" x14ac:dyDescent="0.35">
      <c r="A2744" t="s">
        <v>2610</v>
      </c>
      <c r="B2744" s="1">
        <v>45749</v>
      </c>
      <c r="C2744">
        <f>YEAR(OrdersTable[[#This Row],[Order Date]])</f>
        <v>2025</v>
      </c>
      <c r="D2744" s="2">
        <f>DATE(YEAR(OrdersTable[[#This Row],[Order Date]]),MONTH(OrdersTable[[#This Row],[Order Date]]),1)</f>
        <v>45748</v>
      </c>
      <c r="E2744">
        <f>MONTH(OrdersTable[[#This Row],[Order Date]])</f>
        <v>4</v>
      </c>
      <c r="F2744" t="s">
        <v>115</v>
      </c>
      <c r="G2744" t="str">
        <f>IF(OrdersTable[[#This Row],[Order Date]]=_xlfn.MINIFS(Order_Date, Customer_ID, OrdersTable[[#This Row],[Customer ID]]), "New", "Repeat")</f>
        <v>Repeat</v>
      </c>
      <c r="H2744" t="s">
        <v>76</v>
      </c>
      <c r="I2744" t="str">
        <f>INDEX(State!B:B,MATCH(OrdersTable[[#This Row],[State]],State!A:A,0))</f>
        <v>UP</v>
      </c>
      <c r="J2744" t="str">
        <f>INDEX(State!C:C,MATCH(OrdersTable[[#This Row],[State Code]],State!B:B,0))</f>
        <v>North</v>
      </c>
      <c r="K2744" t="s">
        <v>118</v>
      </c>
      <c r="L2744" t="s">
        <v>23</v>
      </c>
      <c r="M2744" t="s">
        <v>423</v>
      </c>
      <c r="N2744" t="str">
        <f>INDEX(Products!B:B,MATCH(OrdersTable[[#This Row],[Product ID]],Products!A:A,0))</f>
        <v>Power Bank 20000mAh</v>
      </c>
      <c r="O2744" t="str">
        <f>INDEX(Products!C:C,MATCH(OrdersTable[[#This Row],[Product ID]],Products!A:A,0))</f>
        <v>Electronics</v>
      </c>
      <c r="P2744">
        <v>1</v>
      </c>
      <c r="Q2744" s="5">
        <v>1799</v>
      </c>
      <c r="R2744" s="74">
        <v>0.35</v>
      </c>
      <c r="S2744" s="75">
        <f>OrdersTable[[#This Row],[Quantity]]*OrdersTable[[#This Row],[Unit Price]]</f>
        <v>1799</v>
      </c>
      <c r="T2744" s="5">
        <f>OrdersTable[[#This Row],[Gross Sale]]*OrdersTable[[#This Row],[Discount_Clean2]]</f>
        <v>629.65</v>
      </c>
      <c r="U2744" s="5">
        <f>OrdersTable[[#This Row],[Gross Sale]]-OrdersTable[[#This Row],[Discount Amount]]</f>
        <v>1169.3499999999999</v>
      </c>
      <c r="V2744" s="77">
        <f>INDEX(Products!E:E,MATCH(OrdersTable[[#This Row],[Product ID]],Products!A:A,0))</f>
        <v>1079</v>
      </c>
      <c r="W2744" s="77">
        <f>OrdersTable[[#This Row],[Quantity]]*OrdersTable[[#This Row],[Unit Cost]]</f>
        <v>1079</v>
      </c>
      <c r="X2744" s="77">
        <f>'Dropdown Lists'!$I$2*(1+OrdersTable[[#This Row],[Returned]])</f>
        <v>60</v>
      </c>
      <c r="Y2744" s="76">
        <f>OrdersTable[[#This Row],[Net Revenue]]-OrdersTable[[#This Row],[COGS]]-OrdersTable[[#This Row],[Shipping Cost]]</f>
        <v>30.349999999999909</v>
      </c>
      <c r="Z2744" s="78">
        <f>IFERROR(OrdersTable[[#This Row],[Profit]]/OrdersTable[[#This Row],[Net Revenue]],0)</f>
        <v>2.5954590156924712E-2</v>
      </c>
      <c r="AA2744" t="s">
        <v>2522</v>
      </c>
      <c r="AB2744" s="79">
        <v>45750</v>
      </c>
      <c r="AC2744">
        <f>OrdersTable[[#This Row],[Delivery Date]]-OrdersTable[[#This Row],[Order Date]]</f>
        <v>1</v>
      </c>
      <c r="AD2744" t="str">
        <f>IF(OrdersTable[[#This Row],[Delivery Days]]&lt;=2, "Express (≤2d)", IF(OrdersTable[[#This Row],[Delivery Days]]&lt;=4, "Standard (3-4d)", "Delayed (5d+)"))</f>
        <v>Express (≤2d)</v>
      </c>
      <c r="AE2744">
        <v>5</v>
      </c>
      <c r="AF2744">
        <v>0</v>
      </c>
    </row>
    <row r="2745" spans="1:32" ht="15" x14ac:dyDescent="0.35">
      <c r="A2745" t="s">
        <v>4836</v>
      </c>
      <c r="B2745" s="1">
        <v>45749</v>
      </c>
      <c r="C2745">
        <f>YEAR(OrdersTable[[#This Row],[Order Date]])</f>
        <v>2025</v>
      </c>
      <c r="D2745" s="2">
        <f>DATE(YEAR(OrdersTable[[#This Row],[Order Date]]),MONTH(OrdersTable[[#This Row],[Order Date]]),1)</f>
        <v>45748</v>
      </c>
      <c r="E2745">
        <f>MONTH(OrdersTable[[#This Row],[Order Date]])</f>
        <v>4</v>
      </c>
      <c r="F2745" t="s">
        <v>2614</v>
      </c>
      <c r="G2745" t="str">
        <f>IF(OrdersTable[[#This Row],[Order Date]]=_xlfn.MINIFS(Order_Date, Customer_ID, OrdersTable[[#This Row],[Customer ID]]), "New", "Repeat")</f>
        <v>New</v>
      </c>
      <c r="H2745" t="s">
        <v>27</v>
      </c>
      <c r="I2745" t="str">
        <f>INDEX(State!B:B,MATCH(OrdersTable[[#This Row],[State]],State!A:A,0))</f>
        <v>WB</v>
      </c>
      <c r="J2745" t="str">
        <f>INDEX(State!C:C,MATCH(OrdersTable[[#This Row],[State Code]],State!B:B,0))</f>
        <v>East</v>
      </c>
      <c r="K2745" t="s">
        <v>28</v>
      </c>
      <c r="L2745" t="s">
        <v>23</v>
      </c>
      <c r="M2745" t="s">
        <v>109</v>
      </c>
      <c r="N2745" t="str">
        <f>INDEX(Products!B:B,MATCH(OrdersTable[[#This Row],[Product ID]],Products!A:A,0))</f>
        <v>Onion Hair Oil</v>
      </c>
      <c r="O2745" t="str">
        <f>INDEX(Products!C:C,MATCH(OrdersTable[[#This Row],[Product ID]],Products!A:A,0))</f>
        <v>Haircare</v>
      </c>
      <c r="P2745">
        <v>2</v>
      </c>
      <c r="Q2745" s="5">
        <v>349</v>
      </c>
      <c r="R2745" s="74">
        <v>0.3</v>
      </c>
      <c r="S2745" s="75">
        <f>OrdersTable[[#This Row],[Quantity]]*OrdersTable[[#This Row],[Unit Price]]</f>
        <v>698</v>
      </c>
      <c r="T2745" s="5">
        <f>OrdersTable[[#This Row],[Gross Sale]]*OrdersTable[[#This Row],[Discount_Clean2]]</f>
        <v>209.4</v>
      </c>
      <c r="U2745" s="5">
        <f>OrdersTable[[#This Row],[Gross Sale]]-OrdersTable[[#This Row],[Discount Amount]]</f>
        <v>488.6</v>
      </c>
      <c r="V2745" s="77">
        <f>INDEX(Products!E:E,MATCH(OrdersTable[[#This Row],[Product ID]],Products!A:A,0))</f>
        <v>105</v>
      </c>
      <c r="W2745" s="77">
        <f>OrdersTable[[#This Row],[Quantity]]*OrdersTable[[#This Row],[Unit Cost]]</f>
        <v>210</v>
      </c>
      <c r="X2745" s="77">
        <f>'Dropdown Lists'!$I$2*(1+OrdersTable[[#This Row],[Returned]])</f>
        <v>60</v>
      </c>
      <c r="Y2745" s="76">
        <f>OrdersTable[[#This Row],[Net Revenue]]-OrdersTable[[#This Row],[COGS]]-OrdersTable[[#This Row],[Shipping Cost]]</f>
        <v>218.60000000000002</v>
      </c>
      <c r="Z2745" s="78">
        <f>IFERROR(OrdersTable[[#This Row],[Profit]]/OrdersTable[[#This Row],[Net Revenue]],0)</f>
        <v>0.44740073679901765</v>
      </c>
      <c r="AA2745" t="s">
        <v>4450</v>
      </c>
      <c r="AB2745" s="79">
        <v>45751</v>
      </c>
      <c r="AC2745">
        <f>OrdersTable[[#This Row],[Delivery Date]]-OrdersTable[[#This Row],[Order Date]]</f>
        <v>2</v>
      </c>
      <c r="AD2745" t="str">
        <f>IF(OrdersTable[[#This Row],[Delivery Days]]&lt;=2, "Express (≤2d)", IF(OrdersTable[[#This Row],[Delivery Days]]&lt;=4, "Standard (3-4d)", "Delayed (5d+)"))</f>
        <v>Express (≤2d)</v>
      </c>
      <c r="AE2745">
        <v>5</v>
      </c>
      <c r="AF2745">
        <v>0</v>
      </c>
    </row>
    <row r="2746" spans="1:32" ht="15" x14ac:dyDescent="0.35">
      <c r="A2746" t="s">
        <v>6579</v>
      </c>
      <c r="B2746" s="1">
        <v>45749</v>
      </c>
      <c r="C2746">
        <f>YEAR(OrdersTable[[#This Row],[Order Date]])</f>
        <v>2025</v>
      </c>
      <c r="D2746" s="2">
        <f>DATE(YEAR(OrdersTable[[#This Row],[Order Date]]),MONTH(OrdersTable[[#This Row],[Order Date]]),1)</f>
        <v>45748</v>
      </c>
      <c r="E2746">
        <f>MONTH(OrdersTable[[#This Row],[Order Date]])</f>
        <v>4</v>
      </c>
      <c r="F2746" t="s">
        <v>213</v>
      </c>
      <c r="G2746" t="str">
        <f>IF(OrdersTable[[#This Row],[Order Date]]=_xlfn.MINIFS(Order_Date, Customer_ID, OrdersTable[[#This Row],[Customer ID]]), "New", "Repeat")</f>
        <v>Repeat</v>
      </c>
      <c r="H2746" t="s">
        <v>27</v>
      </c>
      <c r="I2746" t="str">
        <f>INDEX(State!B:B,MATCH(OrdersTable[[#This Row],[State]],State!A:A,0))</f>
        <v>WB</v>
      </c>
      <c r="J2746" t="str">
        <f>INDEX(State!C:C,MATCH(OrdersTable[[#This Row],[State Code]],State!B:B,0))</f>
        <v>East</v>
      </c>
      <c r="K2746" t="s">
        <v>28</v>
      </c>
      <c r="L2746" t="s">
        <v>65</v>
      </c>
      <c r="M2746" t="s">
        <v>61</v>
      </c>
      <c r="N2746" t="str">
        <f>INDEX(Products!B:B,MATCH(OrdersTable[[#This Row],[Product ID]],Products!A:A,0))</f>
        <v>Multivitamin Gummies</v>
      </c>
      <c r="O2746" t="str">
        <f>INDEX(Products!C:C,MATCH(OrdersTable[[#This Row],[Product ID]],Products!A:A,0))</f>
        <v>Wellness</v>
      </c>
      <c r="P2746">
        <v>3</v>
      </c>
      <c r="Q2746" s="5">
        <v>699</v>
      </c>
      <c r="R2746" s="74">
        <v>0.2</v>
      </c>
      <c r="S2746" s="75">
        <f>OrdersTable[[#This Row],[Quantity]]*OrdersTable[[#This Row],[Unit Price]]</f>
        <v>2097</v>
      </c>
      <c r="T2746" s="5">
        <f>OrdersTable[[#This Row],[Gross Sale]]*OrdersTable[[#This Row],[Discount_Clean2]]</f>
        <v>419.40000000000003</v>
      </c>
      <c r="U2746" s="5">
        <f>OrdersTable[[#This Row],[Gross Sale]]-OrdersTable[[#This Row],[Discount Amount]]</f>
        <v>1677.6</v>
      </c>
      <c r="V2746" s="77">
        <f>INDEX(Products!E:E,MATCH(OrdersTable[[#This Row],[Product ID]],Products!A:A,0))</f>
        <v>238</v>
      </c>
      <c r="W2746" s="77">
        <f>OrdersTable[[#This Row],[Quantity]]*OrdersTable[[#This Row],[Unit Cost]]</f>
        <v>714</v>
      </c>
      <c r="X2746" s="77">
        <f>'Dropdown Lists'!$I$2*(1+OrdersTable[[#This Row],[Returned]])</f>
        <v>60</v>
      </c>
      <c r="Y2746" s="76">
        <f>OrdersTable[[#This Row],[Net Revenue]]-OrdersTable[[#This Row],[COGS]]-OrdersTable[[#This Row],[Shipping Cost]]</f>
        <v>903.59999999999991</v>
      </c>
      <c r="Z2746" s="78">
        <f>IFERROR(OrdersTable[[#This Row],[Profit]]/OrdersTable[[#This Row],[Net Revenue]],0)</f>
        <v>0.53862660944206009</v>
      </c>
      <c r="AA2746" t="s">
        <v>18</v>
      </c>
      <c r="AB2746" s="79">
        <v>45752</v>
      </c>
      <c r="AC2746">
        <f>OrdersTable[[#This Row],[Delivery Date]]-OrdersTable[[#This Row],[Order Date]]</f>
        <v>3</v>
      </c>
      <c r="AD2746" t="str">
        <f>IF(OrdersTable[[#This Row],[Delivery Days]]&lt;=2, "Express (≤2d)", IF(OrdersTable[[#This Row],[Delivery Days]]&lt;=4, "Standard (3-4d)", "Delayed (5d+)"))</f>
        <v>Standard (3-4d)</v>
      </c>
      <c r="AF2746">
        <v>0</v>
      </c>
    </row>
    <row r="2747" spans="1:32" ht="15" x14ac:dyDescent="0.35">
      <c r="A2747" t="s">
        <v>2381</v>
      </c>
      <c r="B2747" s="1">
        <v>45749</v>
      </c>
      <c r="C2747">
        <f>YEAR(OrdersTable[[#This Row],[Order Date]])</f>
        <v>2025</v>
      </c>
      <c r="D2747" s="2">
        <f>DATE(YEAR(OrdersTable[[#This Row],[Order Date]]),MONTH(OrdersTable[[#This Row],[Order Date]]),1)</f>
        <v>45748</v>
      </c>
      <c r="E2747">
        <f>MONTH(OrdersTable[[#This Row],[Order Date]])</f>
        <v>4</v>
      </c>
      <c r="F2747" t="s">
        <v>2382</v>
      </c>
      <c r="G2747" t="str">
        <f>IF(OrdersTable[[#This Row],[Order Date]]=_xlfn.MINIFS(Order_Date, Customer_ID, OrdersTable[[#This Row],[Customer ID]]), "New", "Repeat")</f>
        <v>Repeat</v>
      </c>
      <c r="H2747" t="s">
        <v>71</v>
      </c>
      <c r="I2747" t="str">
        <f>INDEX(State!B:B,MATCH(OrdersTable[[#This Row],[State]],State!A:A,0))</f>
        <v>MH</v>
      </c>
      <c r="J2747" t="str">
        <f>INDEX(State!C:C,MATCH(OrdersTable[[#This Row],[State Code]],State!B:B,0))</f>
        <v>West</v>
      </c>
      <c r="K2747" t="s">
        <v>102</v>
      </c>
      <c r="L2747" t="s">
        <v>23</v>
      </c>
      <c r="M2747" t="s">
        <v>24</v>
      </c>
      <c r="N2747" t="str">
        <f>INDEX(Products!B:B,MATCH(OrdersTable[[#This Row],[Product ID]],Products!A:A,0))</f>
        <v>Scented Candle Set</v>
      </c>
      <c r="O2747" t="str">
        <f>INDEX(Products!C:C,MATCH(OrdersTable[[#This Row],[Product ID]],Products!A:A,0))</f>
        <v>Home &amp; Kitchen</v>
      </c>
      <c r="P2747">
        <v>1</v>
      </c>
      <c r="Q2747" s="5">
        <v>699</v>
      </c>
      <c r="R2747" s="74">
        <v>0.25</v>
      </c>
      <c r="S2747" s="75">
        <f>OrdersTable[[#This Row],[Quantity]]*OrdersTable[[#This Row],[Unit Price]]</f>
        <v>699</v>
      </c>
      <c r="T2747" s="5">
        <f>OrdersTable[[#This Row],[Gross Sale]]*OrdersTable[[#This Row],[Discount_Clean2]]</f>
        <v>174.75</v>
      </c>
      <c r="U2747" s="5">
        <f>OrdersTable[[#This Row],[Gross Sale]]-OrdersTable[[#This Row],[Discount Amount]]</f>
        <v>524.25</v>
      </c>
      <c r="V2747" s="77">
        <f>INDEX(Products!E:E,MATCH(OrdersTable[[#This Row],[Product ID]],Products!A:A,0))</f>
        <v>245</v>
      </c>
      <c r="W2747" s="77">
        <f>OrdersTable[[#This Row],[Quantity]]*OrdersTable[[#This Row],[Unit Cost]]</f>
        <v>245</v>
      </c>
      <c r="X2747" s="77">
        <f>'Dropdown Lists'!$I$2*(1+OrdersTable[[#This Row],[Returned]])</f>
        <v>60</v>
      </c>
      <c r="Y2747" s="76">
        <f>OrdersTable[[#This Row],[Net Revenue]]-OrdersTable[[#This Row],[COGS]]-OrdersTable[[#This Row],[Shipping Cost]]</f>
        <v>219.25</v>
      </c>
      <c r="Z2747" s="78">
        <f>IFERROR(OrdersTable[[#This Row],[Profit]]/OrdersTable[[#This Row],[Net Revenue]],0)</f>
        <v>0.41821649976156416</v>
      </c>
      <c r="AA2747" t="s">
        <v>18</v>
      </c>
      <c r="AB2747" s="79">
        <v>45751</v>
      </c>
      <c r="AC2747">
        <f>OrdersTable[[#This Row],[Delivery Date]]-OrdersTable[[#This Row],[Order Date]]</f>
        <v>2</v>
      </c>
      <c r="AD2747" t="str">
        <f>IF(OrdersTable[[#This Row],[Delivery Days]]&lt;=2, "Express (≤2d)", IF(OrdersTable[[#This Row],[Delivery Days]]&lt;=4, "Standard (3-4d)", "Delayed (5d+)"))</f>
        <v>Express (≤2d)</v>
      </c>
      <c r="AE2747">
        <v>5</v>
      </c>
      <c r="AF2747">
        <v>0</v>
      </c>
    </row>
    <row r="2748" spans="1:32" ht="15" x14ac:dyDescent="0.35">
      <c r="A2748" t="s">
        <v>3270</v>
      </c>
      <c r="B2748" s="1">
        <v>45749</v>
      </c>
      <c r="C2748">
        <f>YEAR(OrdersTable[[#This Row],[Order Date]])</f>
        <v>2025</v>
      </c>
      <c r="D2748" s="2">
        <f>DATE(YEAR(OrdersTable[[#This Row],[Order Date]]),MONTH(OrdersTable[[#This Row],[Order Date]]),1)</f>
        <v>45748</v>
      </c>
      <c r="E2748">
        <f>MONTH(OrdersTable[[#This Row],[Order Date]])</f>
        <v>4</v>
      </c>
      <c r="F2748" t="s">
        <v>3043</v>
      </c>
      <c r="G2748" t="str">
        <f>IF(OrdersTable[[#This Row],[Order Date]]=_xlfn.MINIFS(Order_Date, Customer_ID, OrdersTable[[#This Row],[Customer ID]]), "New", "Repeat")</f>
        <v>Repeat</v>
      </c>
      <c r="H2748" t="s">
        <v>167</v>
      </c>
      <c r="I2748" t="str">
        <f>INDEX(State!B:B,MATCH(OrdersTable[[#This Row],[State]],State!A:A,0))</f>
        <v>KA</v>
      </c>
      <c r="J2748" t="str">
        <f>INDEX(State!C:C,MATCH(OrdersTable[[#This Row],[State Code]],State!B:B,0))</f>
        <v>South</v>
      </c>
      <c r="K2748" t="s">
        <v>190</v>
      </c>
      <c r="L2748" t="s">
        <v>50</v>
      </c>
      <c r="M2748" t="s">
        <v>40</v>
      </c>
      <c r="N2748" t="str">
        <f>INDEX(Products!B:B,MATCH(OrdersTable[[#This Row],[Product ID]],Products!A:A,0))</f>
        <v>Ashwagandha Capsules</v>
      </c>
      <c r="O2748" t="str">
        <f>INDEX(Products!C:C,MATCH(OrdersTable[[#This Row],[Product ID]],Products!A:A,0))</f>
        <v>Wellness</v>
      </c>
      <c r="P2748">
        <v>1</v>
      </c>
      <c r="Q2748" s="5">
        <v>499</v>
      </c>
      <c r="R2748" s="74">
        <v>0</v>
      </c>
      <c r="S2748" s="75">
        <f>OrdersTable[[#This Row],[Quantity]]*OrdersTable[[#This Row],[Unit Price]]</f>
        <v>499</v>
      </c>
      <c r="T2748" s="5">
        <f>OrdersTable[[#This Row],[Gross Sale]]*OrdersTable[[#This Row],[Discount_Clean2]]</f>
        <v>0</v>
      </c>
      <c r="U2748" s="5">
        <f>OrdersTable[[#This Row],[Gross Sale]]-OrdersTable[[#This Row],[Discount Amount]]</f>
        <v>499</v>
      </c>
      <c r="V2748" s="77">
        <f>INDEX(Products!E:E,MATCH(OrdersTable[[#This Row],[Product ID]],Products!A:A,0))</f>
        <v>150</v>
      </c>
      <c r="W2748" s="77">
        <f>OrdersTable[[#This Row],[Quantity]]*OrdersTable[[#This Row],[Unit Cost]]</f>
        <v>150</v>
      </c>
      <c r="X2748" s="77">
        <f>'Dropdown Lists'!$I$2*(1+OrdersTable[[#This Row],[Returned]])</f>
        <v>60</v>
      </c>
      <c r="Y2748" s="76">
        <f>OrdersTable[[#This Row],[Net Revenue]]-OrdersTable[[#This Row],[COGS]]-OrdersTable[[#This Row],[Shipping Cost]]</f>
        <v>289</v>
      </c>
      <c r="Z2748" s="78">
        <f>IFERROR(OrdersTable[[#This Row],[Profit]]/OrdersTable[[#This Row],[Net Revenue]],0)</f>
        <v>0.57915831663326656</v>
      </c>
      <c r="AA2748" t="s">
        <v>2522</v>
      </c>
      <c r="AB2748" s="79">
        <v>45750</v>
      </c>
      <c r="AC2748">
        <f>OrdersTable[[#This Row],[Delivery Date]]-OrdersTable[[#This Row],[Order Date]]</f>
        <v>1</v>
      </c>
      <c r="AD2748" t="str">
        <f>IF(OrdersTable[[#This Row],[Delivery Days]]&lt;=2, "Express (≤2d)", IF(OrdersTable[[#This Row],[Delivery Days]]&lt;=4, "Standard (3-4d)", "Delayed (5d+)"))</f>
        <v>Express (≤2d)</v>
      </c>
      <c r="AE2748">
        <v>4</v>
      </c>
      <c r="AF2748">
        <v>0</v>
      </c>
    </row>
    <row r="2749" spans="1:32" ht="15" x14ac:dyDescent="0.35">
      <c r="A2749" t="s">
        <v>4275</v>
      </c>
      <c r="B2749" s="1">
        <v>45749</v>
      </c>
      <c r="C2749">
        <f>YEAR(OrdersTable[[#This Row],[Order Date]])</f>
        <v>2025</v>
      </c>
      <c r="D2749" s="2">
        <f>DATE(YEAR(OrdersTable[[#This Row],[Order Date]]),MONTH(OrdersTable[[#This Row],[Order Date]]),1)</f>
        <v>45748</v>
      </c>
      <c r="E2749">
        <f>MONTH(OrdersTable[[#This Row],[Order Date]])</f>
        <v>4</v>
      </c>
      <c r="F2749" t="s">
        <v>4276</v>
      </c>
      <c r="G2749" t="str">
        <f>IF(OrdersTable[[#This Row],[Order Date]]=_xlfn.MINIFS(Order_Date, Customer_ID, OrdersTable[[#This Row],[Customer ID]]), "New", "Repeat")</f>
        <v>New</v>
      </c>
      <c r="H2749" t="s">
        <v>167</v>
      </c>
      <c r="I2749" t="str">
        <f>INDEX(State!B:B,MATCH(OrdersTable[[#This Row],[State]],State!A:A,0))</f>
        <v>KA</v>
      </c>
      <c r="J2749" t="str">
        <f>INDEX(State!C:C,MATCH(OrdersTable[[#This Row],[State Code]],State!B:B,0))</f>
        <v>South</v>
      </c>
      <c r="K2749" t="s">
        <v>190</v>
      </c>
      <c r="L2749" t="s">
        <v>50</v>
      </c>
      <c r="M2749" t="s">
        <v>160</v>
      </c>
      <c r="N2749" t="str">
        <f>INDEX(Products!B:B,MATCH(OrdersTable[[#This Row],[Product ID]],Products!A:A,0))</f>
        <v>Niacinamide Toner</v>
      </c>
      <c r="O2749" t="str">
        <f>INDEX(Products!C:C,MATCH(OrdersTable[[#This Row],[Product ID]],Products!A:A,0))</f>
        <v>Skincare</v>
      </c>
      <c r="P2749">
        <v>1</v>
      </c>
      <c r="Q2749" s="5">
        <v>399</v>
      </c>
      <c r="R2749" s="74">
        <v>0.15</v>
      </c>
      <c r="S2749" s="75">
        <f>OrdersTable[[#This Row],[Quantity]]*OrdersTable[[#This Row],[Unit Price]]</f>
        <v>399</v>
      </c>
      <c r="T2749" s="5">
        <f>OrdersTable[[#This Row],[Gross Sale]]*OrdersTable[[#This Row],[Discount_Clean2]]</f>
        <v>59.849999999999994</v>
      </c>
      <c r="U2749" s="5">
        <f>OrdersTable[[#This Row],[Gross Sale]]-OrdersTable[[#This Row],[Discount Amount]]</f>
        <v>339.15</v>
      </c>
      <c r="V2749" s="77">
        <f>INDEX(Products!E:E,MATCH(OrdersTable[[#This Row],[Product ID]],Products!A:A,0))</f>
        <v>112</v>
      </c>
      <c r="W2749" s="77">
        <f>OrdersTable[[#This Row],[Quantity]]*OrdersTable[[#This Row],[Unit Cost]]</f>
        <v>112</v>
      </c>
      <c r="X2749" s="77">
        <f>'Dropdown Lists'!$I$2*(1+OrdersTable[[#This Row],[Returned]])</f>
        <v>60</v>
      </c>
      <c r="Y2749" s="76">
        <f>OrdersTable[[#This Row],[Net Revenue]]-OrdersTable[[#This Row],[COGS]]-OrdersTable[[#This Row],[Shipping Cost]]</f>
        <v>167.14999999999998</v>
      </c>
      <c r="Z2749" s="78">
        <f>IFERROR(OrdersTable[[#This Row],[Profit]]/OrdersTable[[#This Row],[Net Revenue]],0)</f>
        <v>0.49284977148754233</v>
      </c>
      <c r="AA2749" t="s">
        <v>4074</v>
      </c>
      <c r="AB2749" s="79">
        <v>45751</v>
      </c>
      <c r="AC2749">
        <f>OrdersTable[[#This Row],[Delivery Date]]-OrdersTable[[#This Row],[Order Date]]</f>
        <v>2</v>
      </c>
      <c r="AD2749" t="str">
        <f>IF(OrdersTable[[#This Row],[Delivery Days]]&lt;=2, "Express (≤2d)", IF(OrdersTable[[#This Row],[Delivery Days]]&lt;=4, "Standard (3-4d)", "Delayed (5d+)"))</f>
        <v>Express (≤2d)</v>
      </c>
      <c r="AF2749">
        <v>0</v>
      </c>
    </row>
    <row r="2750" spans="1:32" ht="15" x14ac:dyDescent="0.35">
      <c r="A2750" t="s">
        <v>1975</v>
      </c>
      <c r="B2750" s="1">
        <v>45749</v>
      </c>
      <c r="C2750">
        <f>YEAR(OrdersTable[[#This Row],[Order Date]])</f>
        <v>2025</v>
      </c>
      <c r="D2750" s="2">
        <f>DATE(YEAR(OrdersTable[[#This Row],[Order Date]]),MONTH(OrdersTable[[#This Row],[Order Date]]),1)</f>
        <v>45748</v>
      </c>
      <c r="E2750">
        <f>MONTH(OrdersTable[[#This Row],[Order Date]])</f>
        <v>4</v>
      </c>
      <c r="F2750" t="s">
        <v>1976</v>
      </c>
      <c r="G2750" t="str">
        <f>IF(OrdersTable[[#This Row],[Order Date]]=_xlfn.MINIFS(Order_Date, Customer_ID, OrdersTable[[#This Row],[Customer ID]]), "New", "Repeat")</f>
        <v>New</v>
      </c>
      <c r="H2750" t="s">
        <v>167</v>
      </c>
      <c r="I2750" t="str">
        <f>INDEX(State!B:B,MATCH(OrdersTable[[#This Row],[State]],State!A:A,0))</f>
        <v>KA</v>
      </c>
      <c r="J2750" t="str">
        <f>INDEX(State!C:C,MATCH(OrdersTable[[#This Row],[State Code]],State!B:B,0))</f>
        <v>South</v>
      </c>
      <c r="K2750" t="s">
        <v>168</v>
      </c>
      <c r="L2750" t="s">
        <v>50</v>
      </c>
      <c r="M2750" t="s">
        <v>56</v>
      </c>
      <c r="N2750" t="str">
        <f>INDEX(Products!B:B,MATCH(OrdersTable[[#This Row],[Product ID]],Products!A:A,0))</f>
        <v>Vitamin C Face Serum</v>
      </c>
      <c r="O2750" t="str">
        <f>INDEX(Products!C:C,MATCH(OrdersTable[[#This Row],[Product ID]],Products!A:A,0))</f>
        <v>Skincare</v>
      </c>
      <c r="P2750">
        <v>1</v>
      </c>
      <c r="Q2750" s="5">
        <v>599</v>
      </c>
      <c r="R2750" s="74">
        <v>0.2</v>
      </c>
      <c r="S2750" s="75">
        <f>OrdersTable[[#This Row],[Quantity]]*OrdersTable[[#This Row],[Unit Price]]</f>
        <v>599</v>
      </c>
      <c r="T2750" s="5">
        <f>OrdersTable[[#This Row],[Gross Sale]]*OrdersTable[[#This Row],[Discount_Clean2]]</f>
        <v>119.80000000000001</v>
      </c>
      <c r="U2750" s="5">
        <f>OrdersTable[[#This Row],[Gross Sale]]-OrdersTable[[#This Row],[Discount Amount]]</f>
        <v>479.2</v>
      </c>
      <c r="V2750" s="77">
        <f>INDEX(Products!E:E,MATCH(OrdersTable[[#This Row],[Product ID]],Products!A:A,0))</f>
        <v>180</v>
      </c>
      <c r="W2750" s="77">
        <f>OrdersTable[[#This Row],[Quantity]]*OrdersTable[[#This Row],[Unit Cost]]</f>
        <v>180</v>
      </c>
      <c r="X2750" s="77">
        <f>'Dropdown Lists'!$I$2*(1+OrdersTable[[#This Row],[Returned]])</f>
        <v>60</v>
      </c>
      <c r="Y2750" s="76">
        <f>OrdersTable[[#This Row],[Net Revenue]]-OrdersTable[[#This Row],[COGS]]-OrdersTable[[#This Row],[Shipping Cost]]</f>
        <v>239.2</v>
      </c>
      <c r="Z2750" s="78">
        <f>IFERROR(OrdersTable[[#This Row],[Profit]]/OrdersTable[[#This Row],[Net Revenue]],0)</f>
        <v>0.4991652754590985</v>
      </c>
      <c r="AA2750" t="s">
        <v>18</v>
      </c>
      <c r="AB2750" s="79">
        <v>45754</v>
      </c>
      <c r="AC2750">
        <f>OrdersTable[[#This Row],[Delivery Date]]-OrdersTable[[#This Row],[Order Date]]</f>
        <v>5</v>
      </c>
      <c r="AD2750" t="str">
        <f>IF(OrdersTable[[#This Row],[Delivery Days]]&lt;=2, "Express (≤2d)", IF(OrdersTable[[#This Row],[Delivery Days]]&lt;=4, "Standard (3-4d)", "Delayed (5d+)"))</f>
        <v>Delayed (5d+)</v>
      </c>
      <c r="AE2750">
        <v>3</v>
      </c>
      <c r="AF2750">
        <v>0</v>
      </c>
    </row>
    <row r="2751" spans="1:32" ht="15" x14ac:dyDescent="0.35">
      <c r="A2751" t="s">
        <v>4696</v>
      </c>
      <c r="B2751" s="1">
        <v>45750</v>
      </c>
      <c r="C2751">
        <f>YEAR(OrdersTable[[#This Row],[Order Date]])</f>
        <v>2025</v>
      </c>
      <c r="D2751" s="2">
        <f>DATE(YEAR(OrdersTable[[#This Row],[Order Date]]),MONTH(OrdersTable[[#This Row],[Order Date]]),1)</f>
        <v>45748</v>
      </c>
      <c r="E2751">
        <f>MONTH(OrdersTable[[#This Row],[Order Date]])</f>
        <v>4</v>
      </c>
      <c r="F2751" t="s">
        <v>1112</v>
      </c>
      <c r="G2751" t="str">
        <f>IF(OrdersTable[[#This Row],[Order Date]]=_xlfn.MINIFS(Order_Date, Customer_ID, OrdersTable[[#This Row],[Customer ID]]), "New", "Repeat")</f>
        <v>Repeat</v>
      </c>
      <c r="H2751" t="s">
        <v>482</v>
      </c>
      <c r="I2751" t="str">
        <f>INDEX(State!B:B,MATCH(OrdersTable[[#This Row],[State]],State!A:A,0))</f>
        <v>CG</v>
      </c>
      <c r="J2751" t="str">
        <f>INDEX(State!C:C,MATCH(OrdersTable[[#This Row],[State Code]],State!B:B,0))</f>
        <v>East</v>
      </c>
      <c r="K2751" t="s">
        <v>483</v>
      </c>
      <c r="L2751" t="s">
        <v>50</v>
      </c>
      <c r="M2751" t="s">
        <v>45</v>
      </c>
      <c r="N2751" t="str">
        <f>INDEX(Products!B:B,MATCH(OrdersTable[[#This Row],[Product ID]],Products!A:A,0))</f>
        <v>Argan Shampoo</v>
      </c>
      <c r="O2751" t="str">
        <f>INDEX(Products!C:C,MATCH(OrdersTable[[#This Row],[Product ID]],Products!A:A,0))</f>
        <v>Haircare</v>
      </c>
      <c r="P2751">
        <v>1</v>
      </c>
      <c r="Q2751" s="5">
        <v>449</v>
      </c>
      <c r="R2751" s="74">
        <v>0.15</v>
      </c>
      <c r="S2751" s="75">
        <f>OrdersTable[[#This Row],[Quantity]]*OrdersTable[[#This Row],[Unit Price]]</f>
        <v>449</v>
      </c>
      <c r="T2751" s="5">
        <f>OrdersTable[[#This Row],[Gross Sale]]*OrdersTable[[#This Row],[Discount_Clean2]]</f>
        <v>67.349999999999994</v>
      </c>
      <c r="U2751" s="5">
        <f>OrdersTable[[#This Row],[Gross Sale]]-OrdersTable[[#This Row],[Discount Amount]]</f>
        <v>381.65</v>
      </c>
      <c r="V2751" s="77">
        <f>INDEX(Products!E:E,MATCH(OrdersTable[[#This Row],[Product ID]],Products!A:A,0))</f>
        <v>148</v>
      </c>
      <c r="W2751" s="77">
        <f>OrdersTable[[#This Row],[Quantity]]*OrdersTable[[#This Row],[Unit Cost]]</f>
        <v>148</v>
      </c>
      <c r="X2751" s="77">
        <f>'Dropdown Lists'!$I$2*(1+OrdersTable[[#This Row],[Returned]])</f>
        <v>60</v>
      </c>
      <c r="Y2751" s="76">
        <f>OrdersTable[[#This Row],[Net Revenue]]-OrdersTable[[#This Row],[COGS]]-OrdersTable[[#This Row],[Shipping Cost]]</f>
        <v>173.64999999999998</v>
      </c>
      <c r="Z2751" s="78">
        <f>IFERROR(OrdersTable[[#This Row],[Profit]]/OrdersTable[[#This Row],[Net Revenue]],0)</f>
        <v>0.45499803484868334</v>
      </c>
      <c r="AA2751" t="s">
        <v>4450</v>
      </c>
      <c r="AB2751" s="79">
        <v>45755</v>
      </c>
      <c r="AC2751">
        <f>OrdersTable[[#This Row],[Delivery Date]]-OrdersTable[[#This Row],[Order Date]]</f>
        <v>5</v>
      </c>
      <c r="AD2751" t="str">
        <f>IF(OrdersTable[[#This Row],[Delivery Days]]&lt;=2, "Express (≤2d)", IF(OrdersTable[[#This Row],[Delivery Days]]&lt;=4, "Standard (3-4d)", "Delayed (5d+)"))</f>
        <v>Delayed (5d+)</v>
      </c>
      <c r="AE2751">
        <v>3</v>
      </c>
      <c r="AF2751">
        <v>0</v>
      </c>
    </row>
    <row r="2752" spans="1:32" ht="15" x14ac:dyDescent="0.35">
      <c r="A2752" t="s">
        <v>7092</v>
      </c>
      <c r="B2752" s="1">
        <v>45750</v>
      </c>
      <c r="C2752">
        <f>YEAR(OrdersTable[[#This Row],[Order Date]])</f>
        <v>2025</v>
      </c>
      <c r="D2752" s="2">
        <f>DATE(YEAR(OrdersTable[[#This Row],[Order Date]]),MONTH(OrdersTable[[#This Row],[Order Date]]),1)</f>
        <v>45748</v>
      </c>
      <c r="E2752">
        <f>MONTH(OrdersTable[[#This Row],[Order Date]])</f>
        <v>4</v>
      </c>
      <c r="F2752" t="s">
        <v>1801</v>
      </c>
      <c r="G2752" t="str">
        <f>IF(OrdersTable[[#This Row],[Order Date]]=_xlfn.MINIFS(Order_Date, Customer_ID, OrdersTable[[#This Row],[Customer ID]]), "New", "Repeat")</f>
        <v>Repeat</v>
      </c>
      <c r="H2752" t="s">
        <v>14</v>
      </c>
      <c r="I2752" t="str">
        <f>INDEX(State!B:B,MATCH(OrdersTable[[#This Row],[State]],State!A:A,0))</f>
        <v>OD</v>
      </c>
      <c r="J2752" t="str">
        <f>INDEX(State!C:C,MATCH(OrdersTable[[#This Row],[State Code]],State!B:B,0))</f>
        <v>East</v>
      </c>
      <c r="K2752" t="s">
        <v>15</v>
      </c>
      <c r="L2752" t="s">
        <v>65</v>
      </c>
      <c r="M2752" t="s">
        <v>152</v>
      </c>
      <c r="N2752" t="str">
        <f>INDEX(Products!B:B,MATCH(OrdersTable[[#This Row],[Product ID]],Products!A:A,0))</f>
        <v>Green Tea (100 bags)</v>
      </c>
      <c r="O2752" t="str">
        <f>INDEX(Products!C:C,MATCH(OrdersTable[[#This Row],[Product ID]],Products!A:A,0))</f>
        <v>Wellness</v>
      </c>
      <c r="P2752">
        <v>4</v>
      </c>
      <c r="Q2752" s="5">
        <v>399</v>
      </c>
      <c r="R2752" s="74">
        <v>0.4</v>
      </c>
      <c r="S2752" s="75">
        <f>OrdersTable[[#This Row],[Quantity]]*OrdersTable[[#This Row],[Unit Price]]</f>
        <v>1596</v>
      </c>
      <c r="T2752" s="5">
        <f>OrdersTable[[#This Row],[Gross Sale]]*OrdersTable[[#This Row],[Discount_Clean2]]</f>
        <v>638.40000000000009</v>
      </c>
      <c r="U2752" s="5">
        <f>OrdersTable[[#This Row],[Gross Sale]]-OrdersTable[[#This Row],[Discount Amount]]</f>
        <v>957.59999999999991</v>
      </c>
      <c r="V2752" s="77">
        <f>INDEX(Products!E:E,MATCH(OrdersTable[[#This Row],[Product ID]],Products!A:A,0))</f>
        <v>128</v>
      </c>
      <c r="W2752" s="77">
        <f>OrdersTable[[#This Row],[Quantity]]*OrdersTable[[#This Row],[Unit Cost]]</f>
        <v>512</v>
      </c>
      <c r="X2752" s="77">
        <f>'Dropdown Lists'!$I$2*(1+OrdersTable[[#This Row],[Returned]])</f>
        <v>60</v>
      </c>
      <c r="Y2752" s="76">
        <f>OrdersTable[[#This Row],[Net Revenue]]-OrdersTable[[#This Row],[COGS]]-OrdersTable[[#This Row],[Shipping Cost]]</f>
        <v>385.59999999999991</v>
      </c>
      <c r="Z2752" s="78">
        <f>IFERROR(OrdersTable[[#This Row],[Profit]]/OrdersTable[[#This Row],[Net Revenue]],0)</f>
        <v>0.40267335004177102</v>
      </c>
      <c r="AA2752" t="s">
        <v>18</v>
      </c>
      <c r="AB2752" s="79">
        <v>45754</v>
      </c>
      <c r="AC2752">
        <f>OrdersTable[[#This Row],[Delivery Date]]-OrdersTable[[#This Row],[Order Date]]</f>
        <v>4</v>
      </c>
      <c r="AD2752" t="str">
        <f>IF(OrdersTable[[#This Row],[Delivery Days]]&lt;=2, "Express (≤2d)", IF(OrdersTable[[#This Row],[Delivery Days]]&lt;=4, "Standard (3-4d)", "Delayed (5d+)"))</f>
        <v>Standard (3-4d)</v>
      </c>
      <c r="AE2752">
        <v>4</v>
      </c>
      <c r="AF2752">
        <v>0</v>
      </c>
    </row>
    <row r="2753" spans="1:32" ht="15" x14ac:dyDescent="0.35">
      <c r="A2753" t="s">
        <v>1722</v>
      </c>
      <c r="B2753" s="1">
        <v>45750</v>
      </c>
      <c r="C2753">
        <f>YEAR(OrdersTable[[#This Row],[Order Date]])</f>
        <v>2025</v>
      </c>
      <c r="D2753" s="2">
        <f>DATE(YEAR(OrdersTable[[#This Row],[Order Date]]),MONTH(OrdersTable[[#This Row],[Order Date]]),1)</f>
        <v>45748</v>
      </c>
      <c r="E2753">
        <f>MONTH(OrdersTable[[#This Row],[Order Date]])</f>
        <v>4</v>
      </c>
      <c r="F2753" t="s">
        <v>1723</v>
      </c>
      <c r="G2753" t="str">
        <f>IF(OrdersTable[[#This Row],[Order Date]]=_xlfn.MINIFS(Order_Date, Customer_ID, OrdersTable[[#This Row],[Customer ID]]), "New", "Repeat")</f>
        <v>New</v>
      </c>
      <c r="H2753" t="s">
        <v>275</v>
      </c>
      <c r="I2753" t="str">
        <f>INDEX(State!B:B,MATCH(OrdersTable[[#This Row],[State]],State!A:A,0))</f>
        <v>AP</v>
      </c>
      <c r="J2753" t="str">
        <f>INDEX(State!C:C,MATCH(OrdersTable[[#This Row],[State Code]],State!B:B,0))</f>
        <v>South</v>
      </c>
      <c r="K2753" t="s">
        <v>491</v>
      </c>
      <c r="L2753" t="s">
        <v>65</v>
      </c>
      <c r="M2753" t="s">
        <v>73</v>
      </c>
      <c r="N2753" t="str">
        <f>INDEX(Products!B:B,MATCH(OrdersTable[[#This Row],[Product ID]],Products!A:A,0))</f>
        <v>Hydrating Face Wash</v>
      </c>
      <c r="O2753" t="str">
        <f>INDEX(Products!C:C,MATCH(OrdersTable[[#This Row],[Product ID]],Products!A:A,0))</f>
        <v>Skincare</v>
      </c>
      <c r="P2753">
        <v>1</v>
      </c>
      <c r="Q2753" s="5">
        <v>299</v>
      </c>
      <c r="R2753" s="74">
        <v>0</v>
      </c>
      <c r="S2753" s="75">
        <f>OrdersTable[[#This Row],[Quantity]]*OrdersTable[[#This Row],[Unit Price]]</f>
        <v>299</v>
      </c>
      <c r="T2753" s="5">
        <f>OrdersTable[[#This Row],[Gross Sale]]*OrdersTable[[#This Row],[Discount_Clean2]]</f>
        <v>0</v>
      </c>
      <c r="U2753" s="5">
        <f>OrdersTable[[#This Row],[Gross Sale]]-OrdersTable[[#This Row],[Discount Amount]]</f>
        <v>299</v>
      </c>
      <c r="V2753" s="77">
        <f>INDEX(Products!E:E,MATCH(OrdersTable[[#This Row],[Product ID]],Products!A:A,0))</f>
        <v>90</v>
      </c>
      <c r="W2753" s="77">
        <f>OrdersTable[[#This Row],[Quantity]]*OrdersTable[[#This Row],[Unit Cost]]</f>
        <v>90</v>
      </c>
      <c r="X2753" s="77">
        <f>'Dropdown Lists'!$I$2*(1+OrdersTable[[#This Row],[Returned]])</f>
        <v>60</v>
      </c>
      <c r="Y2753" s="76">
        <f>OrdersTable[[#This Row],[Net Revenue]]-OrdersTable[[#This Row],[COGS]]-OrdersTable[[#This Row],[Shipping Cost]]</f>
        <v>149</v>
      </c>
      <c r="Z2753" s="78">
        <f>IFERROR(OrdersTable[[#This Row],[Profit]]/OrdersTable[[#This Row],[Net Revenue]],0)</f>
        <v>0.49832775919732442</v>
      </c>
      <c r="AA2753" t="s">
        <v>18</v>
      </c>
      <c r="AB2753" s="79">
        <v>45752</v>
      </c>
      <c r="AC2753">
        <f>OrdersTable[[#This Row],[Delivery Date]]-OrdersTable[[#This Row],[Order Date]]</f>
        <v>2</v>
      </c>
      <c r="AD2753" t="str">
        <f>IF(OrdersTable[[#This Row],[Delivery Days]]&lt;=2, "Express (≤2d)", IF(OrdersTable[[#This Row],[Delivery Days]]&lt;=4, "Standard (3-4d)", "Delayed (5d+)"))</f>
        <v>Express (≤2d)</v>
      </c>
      <c r="AF2753">
        <v>0</v>
      </c>
    </row>
    <row r="2754" spans="1:32" ht="15" x14ac:dyDescent="0.35">
      <c r="A2754" t="s">
        <v>6711</v>
      </c>
      <c r="B2754" s="1">
        <v>45751</v>
      </c>
      <c r="C2754">
        <f>YEAR(OrdersTable[[#This Row],[Order Date]])</f>
        <v>2025</v>
      </c>
      <c r="D2754" s="2">
        <f>DATE(YEAR(OrdersTable[[#This Row],[Order Date]]),MONTH(OrdersTable[[#This Row],[Order Date]]),1)</f>
        <v>45748</v>
      </c>
      <c r="E2754">
        <f>MONTH(OrdersTable[[#This Row],[Order Date]])</f>
        <v>4</v>
      </c>
      <c r="F2754" t="s">
        <v>725</v>
      </c>
      <c r="G2754" t="str">
        <f>IF(OrdersTable[[#This Row],[Order Date]]=_xlfn.MINIFS(Order_Date, Customer_ID, OrdersTable[[#This Row],[Customer ID]]), "New", "Repeat")</f>
        <v>Repeat</v>
      </c>
      <c r="H2754" t="s">
        <v>54</v>
      </c>
      <c r="I2754" t="str">
        <f>INDEX(State!B:B,MATCH(OrdersTable[[#This Row],[State]],State!A:A,0))</f>
        <v>RJ</v>
      </c>
      <c r="J2754" t="str">
        <f>INDEX(State!C:C,MATCH(OrdersTable[[#This Row],[State Code]],State!B:B,0))</f>
        <v>North</v>
      </c>
      <c r="K2754" t="s">
        <v>227</v>
      </c>
      <c r="L2754" t="s">
        <v>65</v>
      </c>
      <c r="M2754" t="s">
        <v>160</v>
      </c>
      <c r="N2754" t="str">
        <f>INDEX(Products!B:B,MATCH(OrdersTable[[#This Row],[Product ID]],Products!A:A,0))</f>
        <v>Niacinamide Toner</v>
      </c>
      <c r="O2754" t="str">
        <f>INDEX(Products!C:C,MATCH(OrdersTable[[#This Row],[Product ID]],Products!A:A,0))</f>
        <v>Skincare</v>
      </c>
      <c r="P2754">
        <v>3</v>
      </c>
      <c r="Q2754" s="5">
        <v>399</v>
      </c>
      <c r="R2754" s="74">
        <v>0.3</v>
      </c>
      <c r="S2754" s="75">
        <f>OrdersTable[[#This Row],[Quantity]]*OrdersTable[[#This Row],[Unit Price]]</f>
        <v>1197</v>
      </c>
      <c r="T2754" s="5">
        <f>OrdersTable[[#This Row],[Gross Sale]]*OrdersTable[[#This Row],[Discount_Clean2]]</f>
        <v>359.09999999999997</v>
      </c>
      <c r="U2754" s="5">
        <f>OrdersTable[[#This Row],[Gross Sale]]-OrdersTable[[#This Row],[Discount Amount]]</f>
        <v>837.90000000000009</v>
      </c>
      <c r="V2754" s="77">
        <f>INDEX(Products!E:E,MATCH(OrdersTable[[#This Row],[Product ID]],Products!A:A,0))</f>
        <v>112</v>
      </c>
      <c r="W2754" s="77">
        <f>OrdersTable[[#This Row],[Quantity]]*OrdersTable[[#This Row],[Unit Cost]]</f>
        <v>336</v>
      </c>
      <c r="X2754" s="77">
        <f>'Dropdown Lists'!$I$2*(1+OrdersTable[[#This Row],[Returned]])</f>
        <v>60</v>
      </c>
      <c r="Y2754" s="76">
        <f>OrdersTable[[#This Row],[Net Revenue]]-OrdersTable[[#This Row],[COGS]]-OrdersTable[[#This Row],[Shipping Cost]]</f>
        <v>441.90000000000009</v>
      </c>
      <c r="Z2754" s="78">
        <f>IFERROR(OrdersTable[[#This Row],[Profit]]/OrdersTable[[#This Row],[Net Revenue]],0)</f>
        <v>0.527389903329753</v>
      </c>
      <c r="AA2754" t="s">
        <v>2522</v>
      </c>
      <c r="AB2754" s="79">
        <v>45753</v>
      </c>
      <c r="AC2754">
        <f>OrdersTable[[#This Row],[Delivery Date]]-OrdersTable[[#This Row],[Order Date]]</f>
        <v>2</v>
      </c>
      <c r="AD2754" t="str">
        <f>IF(OrdersTable[[#This Row],[Delivery Days]]&lt;=2, "Express (≤2d)", IF(OrdersTable[[#This Row],[Delivery Days]]&lt;=4, "Standard (3-4d)", "Delayed (5d+)"))</f>
        <v>Express (≤2d)</v>
      </c>
      <c r="AF2754">
        <v>0</v>
      </c>
    </row>
    <row r="2755" spans="1:32" ht="15" x14ac:dyDescent="0.35">
      <c r="A2755" t="s">
        <v>7153</v>
      </c>
      <c r="B2755" s="1">
        <v>45751</v>
      </c>
      <c r="C2755">
        <f>YEAR(OrdersTable[[#This Row],[Order Date]])</f>
        <v>2025</v>
      </c>
      <c r="D2755" s="2">
        <f>DATE(YEAR(OrdersTable[[#This Row],[Order Date]]),MONTH(OrdersTable[[#This Row],[Order Date]]),1)</f>
        <v>45748</v>
      </c>
      <c r="E2755">
        <f>MONTH(OrdersTable[[#This Row],[Order Date]])</f>
        <v>4</v>
      </c>
      <c r="F2755" t="s">
        <v>7154</v>
      </c>
      <c r="G2755" t="str">
        <f>IF(OrdersTable[[#This Row],[Order Date]]=_xlfn.MINIFS(Order_Date, Customer_ID, OrdersTable[[#This Row],[Customer ID]]), "New", "Repeat")</f>
        <v>New</v>
      </c>
      <c r="H2755" t="s">
        <v>48</v>
      </c>
      <c r="I2755" t="str">
        <f>INDEX(State!B:B,MATCH(OrdersTable[[#This Row],[State]],State!A:A,0))</f>
        <v>HR</v>
      </c>
      <c r="J2755" t="str">
        <f>INDEX(State!C:C,MATCH(OrdersTable[[#This Row],[State Code]],State!B:B,0))</f>
        <v>North</v>
      </c>
      <c r="K2755" t="s">
        <v>151</v>
      </c>
      <c r="L2755" t="s">
        <v>65</v>
      </c>
      <c r="M2755" t="s">
        <v>160</v>
      </c>
      <c r="N2755" t="str">
        <f>INDEX(Products!B:B,MATCH(OrdersTable[[#This Row],[Product ID]],Products!A:A,0))</f>
        <v>Niacinamide Toner</v>
      </c>
      <c r="O2755" t="str">
        <f>INDEX(Products!C:C,MATCH(OrdersTable[[#This Row],[Product ID]],Products!A:A,0))</f>
        <v>Skincare</v>
      </c>
      <c r="P2755">
        <v>5</v>
      </c>
      <c r="Q2755" s="5">
        <v>399</v>
      </c>
      <c r="R2755" s="74">
        <v>0.3</v>
      </c>
      <c r="S2755" s="75">
        <f>OrdersTable[[#This Row],[Quantity]]*OrdersTable[[#This Row],[Unit Price]]</f>
        <v>1995</v>
      </c>
      <c r="T2755" s="5">
        <f>OrdersTable[[#This Row],[Gross Sale]]*OrdersTable[[#This Row],[Discount_Clean2]]</f>
        <v>598.5</v>
      </c>
      <c r="U2755" s="5">
        <f>OrdersTable[[#This Row],[Gross Sale]]-OrdersTable[[#This Row],[Discount Amount]]</f>
        <v>1396.5</v>
      </c>
      <c r="V2755" s="77">
        <f>INDEX(Products!E:E,MATCH(OrdersTable[[#This Row],[Product ID]],Products!A:A,0))</f>
        <v>112</v>
      </c>
      <c r="W2755" s="77">
        <f>OrdersTable[[#This Row],[Quantity]]*OrdersTable[[#This Row],[Unit Cost]]</f>
        <v>560</v>
      </c>
      <c r="X2755" s="77">
        <f>'Dropdown Lists'!$I$2*(1+OrdersTable[[#This Row],[Returned]])</f>
        <v>60</v>
      </c>
      <c r="Y2755" s="76">
        <f>OrdersTable[[#This Row],[Net Revenue]]-OrdersTable[[#This Row],[COGS]]-OrdersTable[[#This Row],[Shipping Cost]]</f>
        <v>776.5</v>
      </c>
      <c r="Z2755" s="78">
        <f>IFERROR(OrdersTable[[#This Row],[Profit]]/OrdersTable[[#This Row],[Net Revenue]],0)</f>
        <v>0.55603293949158605</v>
      </c>
      <c r="AA2755" t="s">
        <v>18</v>
      </c>
      <c r="AB2755" s="79">
        <v>45753</v>
      </c>
      <c r="AC2755">
        <f>OrdersTable[[#This Row],[Delivery Date]]-OrdersTable[[#This Row],[Order Date]]</f>
        <v>2</v>
      </c>
      <c r="AD2755" t="str">
        <f>IF(OrdersTable[[#This Row],[Delivery Days]]&lt;=2, "Express (≤2d)", IF(OrdersTable[[#This Row],[Delivery Days]]&lt;=4, "Standard (3-4d)", "Delayed (5d+)"))</f>
        <v>Express (≤2d)</v>
      </c>
      <c r="AF2755">
        <v>0</v>
      </c>
    </row>
    <row r="2756" spans="1:32" ht="15" x14ac:dyDescent="0.35">
      <c r="A2756" t="s">
        <v>1549</v>
      </c>
      <c r="B2756" s="1">
        <v>45751</v>
      </c>
      <c r="C2756">
        <f>YEAR(OrdersTable[[#This Row],[Order Date]])</f>
        <v>2025</v>
      </c>
      <c r="D2756" s="2">
        <f>DATE(YEAR(OrdersTable[[#This Row],[Order Date]]),MONTH(OrdersTable[[#This Row],[Order Date]]),1)</f>
        <v>45748</v>
      </c>
      <c r="E2756">
        <f>MONTH(OrdersTable[[#This Row],[Order Date]])</f>
        <v>4</v>
      </c>
      <c r="F2756" t="s">
        <v>1550</v>
      </c>
      <c r="G2756" t="str">
        <f>IF(OrdersTable[[#This Row],[Order Date]]=_xlfn.MINIFS(Order_Date, Customer_ID, OrdersTable[[#This Row],[Customer ID]]), "New", "Repeat")</f>
        <v>Repeat</v>
      </c>
      <c r="H2756" t="s">
        <v>128</v>
      </c>
      <c r="I2756" t="str">
        <f>INDEX(State!B:B,MATCH(OrdersTable[[#This Row],[State]],State!A:A,0))</f>
        <v>DL</v>
      </c>
      <c r="J2756" t="str">
        <f>INDEX(State!C:C,MATCH(OrdersTable[[#This Row],[State Code]],State!B:B,0))</f>
        <v>North</v>
      </c>
      <c r="K2756" t="s">
        <v>129</v>
      </c>
      <c r="L2756" t="s">
        <v>39</v>
      </c>
      <c r="M2756" t="s">
        <v>160</v>
      </c>
      <c r="N2756" t="str">
        <f>INDEX(Products!B:B,MATCH(OrdersTable[[#This Row],[Product ID]],Products!A:A,0))</f>
        <v>Niacinamide Toner</v>
      </c>
      <c r="O2756" t="str">
        <f>INDEX(Products!C:C,MATCH(OrdersTable[[#This Row],[Product ID]],Products!A:A,0))</f>
        <v>Skincare</v>
      </c>
      <c r="P2756">
        <v>1</v>
      </c>
      <c r="Q2756" s="5">
        <v>399</v>
      </c>
      <c r="R2756" s="74">
        <v>0.15</v>
      </c>
      <c r="S2756" s="75">
        <f>OrdersTable[[#This Row],[Quantity]]*OrdersTable[[#This Row],[Unit Price]]</f>
        <v>399</v>
      </c>
      <c r="T2756" s="5">
        <f>OrdersTable[[#This Row],[Gross Sale]]*OrdersTable[[#This Row],[Discount_Clean2]]</f>
        <v>59.849999999999994</v>
      </c>
      <c r="U2756" s="5">
        <f>OrdersTable[[#This Row],[Gross Sale]]-OrdersTable[[#This Row],[Discount Amount]]</f>
        <v>339.15</v>
      </c>
      <c r="V2756" s="77">
        <f>INDEX(Products!E:E,MATCH(OrdersTable[[#This Row],[Product ID]],Products!A:A,0))</f>
        <v>112</v>
      </c>
      <c r="W2756" s="77">
        <f>OrdersTable[[#This Row],[Quantity]]*OrdersTable[[#This Row],[Unit Cost]]</f>
        <v>112</v>
      </c>
      <c r="X2756" s="77">
        <f>'Dropdown Lists'!$I$2*(1+OrdersTable[[#This Row],[Returned]])</f>
        <v>60</v>
      </c>
      <c r="Y2756" s="76">
        <f>OrdersTable[[#This Row],[Net Revenue]]-OrdersTable[[#This Row],[COGS]]-OrdersTable[[#This Row],[Shipping Cost]]</f>
        <v>167.14999999999998</v>
      </c>
      <c r="Z2756" s="78">
        <f>IFERROR(OrdersTable[[#This Row],[Profit]]/OrdersTable[[#This Row],[Net Revenue]],0)</f>
        <v>0.49284977148754233</v>
      </c>
      <c r="AA2756" t="s">
        <v>18</v>
      </c>
      <c r="AB2756" s="79">
        <v>45753</v>
      </c>
      <c r="AC2756">
        <f>OrdersTable[[#This Row],[Delivery Date]]-OrdersTable[[#This Row],[Order Date]]</f>
        <v>2</v>
      </c>
      <c r="AD2756" t="str">
        <f>IF(OrdersTable[[#This Row],[Delivery Days]]&lt;=2, "Express (≤2d)", IF(OrdersTable[[#This Row],[Delivery Days]]&lt;=4, "Standard (3-4d)", "Delayed (5d+)"))</f>
        <v>Express (≤2d)</v>
      </c>
      <c r="AF2756">
        <v>0</v>
      </c>
    </row>
    <row r="2757" spans="1:32" ht="15" x14ac:dyDescent="0.35">
      <c r="A2757" t="s">
        <v>6356</v>
      </c>
      <c r="B2757" s="1">
        <v>45751</v>
      </c>
      <c r="C2757">
        <f>YEAR(OrdersTable[[#This Row],[Order Date]])</f>
        <v>2025</v>
      </c>
      <c r="D2757" s="2">
        <f>DATE(YEAR(OrdersTable[[#This Row],[Order Date]]),MONTH(OrdersTable[[#This Row],[Order Date]]),1)</f>
        <v>45748</v>
      </c>
      <c r="E2757">
        <f>MONTH(OrdersTable[[#This Row],[Order Date]])</f>
        <v>4</v>
      </c>
      <c r="F2757" t="s">
        <v>2548</v>
      </c>
      <c r="G2757" t="str">
        <f>IF(OrdersTable[[#This Row],[Order Date]]=_xlfn.MINIFS(Order_Date, Customer_ID, OrdersTable[[#This Row],[Customer ID]]), "New", "Repeat")</f>
        <v>Repeat</v>
      </c>
      <c r="H2757" t="s">
        <v>76</v>
      </c>
      <c r="I2757" t="str">
        <f>INDEX(State!B:B,MATCH(OrdersTable[[#This Row],[State]],State!A:A,0))</f>
        <v>UP</v>
      </c>
      <c r="J2757" t="str">
        <f>INDEX(State!C:C,MATCH(OrdersTable[[#This Row],[State Code]],State!B:B,0))</f>
        <v>North</v>
      </c>
      <c r="K2757" t="s">
        <v>77</v>
      </c>
      <c r="L2757" t="s">
        <v>65</v>
      </c>
      <c r="M2757" t="s">
        <v>51</v>
      </c>
      <c r="N2757" t="str">
        <f>INDEX(Products!B:B,MATCH(OrdersTable[[#This Row],[Product ID]],Products!A:A,0))</f>
        <v>Anti-Dandruff Conditioner</v>
      </c>
      <c r="O2757" t="str">
        <f>INDEX(Products!C:C,MATCH(OrdersTable[[#This Row],[Product ID]],Products!A:A,0))</f>
        <v>Haircare</v>
      </c>
      <c r="P2757">
        <v>2</v>
      </c>
      <c r="Q2757" s="5">
        <v>399</v>
      </c>
      <c r="R2757" s="74">
        <v>0.3</v>
      </c>
      <c r="S2757" s="75">
        <f>OrdersTable[[#This Row],[Quantity]]*OrdersTable[[#This Row],[Unit Price]]</f>
        <v>798</v>
      </c>
      <c r="T2757" s="5">
        <f>OrdersTable[[#This Row],[Gross Sale]]*OrdersTable[[#This Row],[Discount_Clean2]]</f>
        <v>239.39999999999998</v>
      </c>
      <c r="U2757" s="5">
        <f>OrdersTable[[#This Row],[Gross Sale]]-OrdersTable[[#This Row],[Discount Amount]]</f>
        <v>558.6</v>
      </c>
      <c r="V2757" s="77">
        <f>INDEX(Products!E:E,MATCH(OrdersTable[[#This Row],[Product ID]],Products!A:A,0))</f>
        <v>136</v>
      </c>
      <c r="W2757" s="77">
        <f>OrdersTable[[#This Row],[Quantity]]*OrdersTable[[#This Row],[Unit Cost]]</f>
        <v>272</v>
      </c>
      <c r="X2757" s="77">
        <f>'Dropdown Lists'!$I$2*(1+OrdersTable[[#This Row],[Returned]])</f>
        <v>60</v>
      </c>
      <c r="Y2757" s="76">
        <f>OrdersTable[[#This Row],[Net Revenue]]-OrdersTable[[#This Row],[COGS]]-OrdersTable[[#This Row],[Shipping Cost]]</f>
        <v>226.60000000000002</v>
      </c>
      <c r="Z2757" s="78">
        <f>IFERROR(OrdersTable[[#This Row],[Profit]]/OrdersTable[[#This Row],[Net Revenue]],0)</f>
        <v>0.40565699964196206</v>
      </c>
      <c r="AA2757" t="s">
        <v>18</v>
      </c>
      <c r="AB2757" s="79">
        <v>45753</v>
      </c>
      <c r="AC2757">
        <f>OrdersTable[[#This Row],[Delivery Date]]-OrdersTable[[#This Row],[Order Date]]</f>
        <v>2</v>
      </c>
      <c r="AD2757" t="str">
        <f>IF(OrdersTable[[#This Row],[Delivery Days]]&lt;=2, "Express (≤2d)", IF(OrdersTable[[#This Row],[Delivery Days]]&lt;=4, "Standard (3-4d)", "Delayed (5d+)"))</f>
        <v>Express (≤2d)</v>
      </c>
      <c r="AE2757">
        <v>5</v>
      </c>
      <c r="AF2757">
        <v>0</v>
      </c>
    </row>
    <row r="2758" spans="1:32" ht="15" x14ac:dyDescent="0.35">
      <c r="A2758" t="s">
        <v>3047</v>
      </c>
      <c r="B2758" s="1">
        <v>45751</v>
      </c>
      <c r="C2758">
        <f>YEAR(OrdersTable[[#This Row],[Order Date]])</f>
        <v>2025</v>
      </c>
      <c r="D2758" s="2">
        <f>DATE(YEAR(OrdersTable[[#This Row],[Order Date]]),MONTH(OrdersTable[[#This Row],[Order Date]]),1)</f>
        <v>45748</v>
      </c>
      <c r="E2758">
        <f>MONTH(OrdersTable[[#This Row],[Order Date]])</f>
        <v>4</v>
      </c>
      <c r="F2758" t="s">
        <v>1664</v>
      </c>
      <c r="G2758" t="str">
        <f>IF(OrdersTable[[#This Row],[Order Date]]=_xlfn.MINIFS(Order_Date, Customer_ID, OrdersTable[[#This Row],[Customer ID]]), "New", "Repeat")</f>
        <v>Repeat</v>
      </c>
      <c r="H2758" t="s">
        <v>167</v>
      </c>
      <c r="I2758" t="str">
        <f>INDEX(State!B:B,MATCH(OrdersTable[[#This Row],[State]],State!A:A,0))</f>
        <v>KA</v>
      </c>
      <c r="J2758" t="str">
        <f>INDEX(State!C:C,MATCH(OrdersTable[[#This Row],[State Code]],State!B:B,0))</f>
        <v>South</v>
      </c>
      <c r="K2758" t="s">
        <v>190</v>
      </c>
      <c r="L2758" t="s">
        <v>39</v>
      </c>
      <c r="M2758" t="s">
        <v>17</v>
      </c>
      <c r="N2758" t="str">
        <f>INDEX(Products!B:B,MATCH(OrdersTable[[#This Row],[Product ID]],Products!A:A,0))</f>
        <v>Casual Sneakers</v>
      </c>
      <c r="O2758" t="str">
        <f>INDEX(Products!C:C,MATCH(OrdersTable[[#This Row],[Product ID]],Products!A:A,0))</f>
        <v>Footwear</v>
      </c>
      <c r="P2758">
        <v>1</v>
      </c>
      <c r="Q2758" s="5">
        <v>2199</v>
      </c>
      <c r="R2758" s="74">
        <v>0.25</v>
      </c>
      <c r="S2758" s="75">
        <f>OrdersTable[[#This Row],[Quantity]]*OrdersTable[[#This Row],[Unit Price]]</f>
        <v>2199</v>
      </c>
      <c r="T2758" s="5">
        <f>OrdersTable[[#This Row],[Gross Sale]]*OrdersTable[[#This Row],[Discount_Clean2]]</f>
        <v>549.75</v>
      </c>
      <c r="U2758" s="5">
        <f>OrdersTable[[#This Row],[Gross Sale]]-OrdersTable[[#This Row],[Discount Amount]]</f>
        <v>1649.25</v>
      </c>
      <c r="V2758" s="77">
        <f>INDEX(Products!E:E,MATCH(OrdersTable[[#This Row],[Product ID]],Products!A:A,0))</f>
        <v>1034</v>
      </c>
      <c r="W2758" s="77">
        <f>OrdersTable[[#This Row],[Quantity]]*OrdersTable[[#This Row],[Unit Cost]]</f>
        <v>1034</v>
      </c>
      <c r="X2758" s="77">
        <f>'Dropdown Lists'!$I$2*(1+OrdersTable[[#This Row],[Returned]])</f>
        <v>60</v>
      </c>
      <c r="Y2758" s="76">
        <f>OrdersTable[[#This Row],[Net Revenue]]-OrdersTable[[#This Row],[COGS]]-OrdersTable[[#This Row],[Shipping Cost]]</f>
        <v>555.25</v>
      </c>
      <c r="Z2758" s="78">
        <f>IFERROR(OrdersTable[[#This Row],[Profit]]/OrdersTable[[#This Row],[Net Revenue]],0)</f>
        <v>0.33666818250720026</v>
      </c>
      <c r="AA2758" t="s">
        <v>2522</v>
      </c>
      <c r="AB2758" s="79">
        <v>45755</v>
      </c>
      <c r="AC2758">
        <f>OrdersTable[[#This Row],[Delivery Date]]-OrdersTable[[#This Row],[Order Date]]</f>
        <v>4</v>
      </c>
      <c r="AD2758" t="str">
        <f>IF(OrdersTable[[#This Row],[Delivery Days]]&lt;=2, "Express (≤2d)", IF(OrdersTable[[#This Row],[Delivery Days]]&lt;=4, "Standard (3-4d)", "Delayed (5d+)"))</f>
        <v>Standard (3-4d)</v>
      </c>
      <c r="AF2758">
        <v>0</v>
      </c>
    </row>
    <row r="2759" spans="1:32" ht="15" x14ac:dyDescent="0.35">
      <c r="A2759" t="s">
        <v>1268</v>
      </c>
      <c r="B2759" s="1">
        <v>45751</v>
      </c>
      <c r="C2759">
        <f>YEAR(OrdersTable[[#This Row],[Order Date]])</f>
        <v>2025</v>
      </c>
      <c r="D2759" s="2">
        <f>DATE(YEAR(OrdersTable[[#This Row],[Order Date]]),MONTH(OrdersTable[[#This Row],[Order Date]]),1)</f>
        <v>45748</v>
      </c>
      <c r="E2759">
        <f>MONTH(OrdersTable[[#This Row],[Order Date]])</f>
        <v>4</v>
      </c>
      <c r="F2759" t="s">
        <v>1269</v>
      </c>
      <c r="G2759" t="str">
        <f>IF(OrdersTable[[#This Row],[Order Date]]=_xlfn.MINIFS(Order_Date, Customer_ID, OrdersTable[[#This Row],[Customer ID]]), "New", "Repeat")</f>
        <v>New</v>
      </c>
      <c r="H2759" t="s">
        <v>167</v>
      </c>
      <c r="I2759" t="str">
        <f>INDEX(State!B:B,MATCH(OrdersTable[[#This Row],[State]],State!A:A,0))</f>
        <v>KA</v>
      </c>
      <c r="J2759" t="str">
        <f>INDEX(State!C:C,MATCH(OrdersTable[[#This Row],[State Code]],State!B:B,0))</f>
        <v>South</v>
      </c>
      <c r="K2759" t="s">
        <v>190</v>
      </c>
      <c r="L2759" t="s">
        <v>16</v>
      </c>
      <c r="M2759" t="s">
        <v>205</v>
      </c>
      <c r="N2759" t="str">
        <f>INDEX(Products!B:B,MATCH(OrdersTable[[#This Row],[Product ID]],Products!A:A,0))</f>
        <v>Running Shoes</v>
      </c>
      <c r="O2759" t="str">
        <f>INDEX(Products!C:C,MATCH(OrdersTable[[#This Row],[Product ID]],Products!A:A,0))</f>
        <v>Footwear</v>
      </c>
      <c r="P2759">
        <v>1</v>
      </c>
      <c r="Q2759" s="5">
        <v>2999</v>
      </c>
      <c r="R2759" s="74">
        <v>0.2</v>
      </c>
      <c r="S2759" s="75">
        <f>OrdersTable[[#This Row],[Quantity]]*OrdersTable[[#This Row],[Unit Price]]</f>
        <v>2999</v>
      </c>
      <c r="T2759" s="5">
        <f>OrdersTable[[#This Row],[Gross Sale]]*OrdersTable[[#This Row],[Discount_Clean2]]</f>
        <v>599.80000000000007</v>
      </c>
      <c r="U2759" s="5">
        <f>OrdersTable[[#This Row],[Gross Sale]]-OrdersTable[[#This Row],[Discount Amount]]</f>
        <v>2399.1999999999998</v>
      </c>
      <c r="V2759" s="77">
        <f>INDEX(Products!E:E,MATCH(OrdersTable[[#This Row],[Product ID]],Products!A:A,0))</f>
        <v>1440</v>
      </c>
      <c r="W2759" s="77">
        <f>OrdersTable[[#This Row],[Quantity]]*OrdersTable[[#This Row],[Unit Cost]]</f>
        <v>1440</v>
      </c>
      <c r="X2759" s="77">
        <f>'Dropdown Lists'!$I$2*(1+OrdersTable[[#This Row],[Returned]])</f>
        <v>60</v>
      </c>
      <c r="Y2759" s="76">
        <f>OrdersTable[[#This Row],[Net Revenue]]-OrdersTable[[#This Row],[COGS]]-OrdersTable[[#This Row],[Shipping Cost]]</f>
        <v>899.19999999999982</v>
      </c>
      <c r="Z2759" s="78">
        <f>IFERROR(OrdersTable[[#This Row],[Profit]]/OrdersTable[[#This Row],[Net Revenue]],0)</f>
        <v>0.3747915971990663</v>
      </c>
      <c r="AA2759" t="s">
        <v>18</v>
      </c>
      <c r="AB2759" s="79">
        <v>45755</v>
      </c>
      <c r="AC2759">
        <f>OrdersTable[[#This Row],[Delivery Date]]-OrdersTable[[#This Row],[Order Date]]</f>
        <v>4</v>
      </c>
      <c r="AD2759" t="str">
        <f>IF(OrdersTable[[#This Row],[Delivery Days]]&lt;=2, "Express (≤2d)", IF(OrdersTable[[#This Row],[Delivery Days]]&lt;=4, "Standard (3-4d)", "Delayed (5d+)"))</f>
        <v>Standard (3-4d)</v>
      </c>
      <c r="AF2759">
        <v>0</v>
      </c>
    </row>
    <row r="2760" spans="1:32" ht="15" x14ac:dyDescent="0.35">
      <c r="A2760" t="s">
        <v>5406</v>
      </c>
      <c r="B2760" s="1">
        <v>45752</v>
      </c>
      <c r="C2760">
        <f>YEAR(OrdersTable[[#This Row],[Order Date]])</f>
        <v>2025</v>
      </c>
      <c r="D2760" s="2">
        <f>DATE(YEAR(OrdersTable[[#This Row],[Order Date]]),MONTH(OrdersTable[[#This Row],[Order Date]]),1)</f>
        <v>45748</v>
      </c>
      <c r="E2760">
        <f>MONTH(OrdersTable[[#This Row],[Order Date]])</f>
        <v>4</v>
      </c>
      <c r="F2760" t="s">
        <v>1883</v>
      </c>
      <c r="G2760" t="str">
        <f>IF(OrdersTable[[#This Row],[Order Date]]=_xlfn.MINIFS(Order_Date, Customer_ID, OrdersTable[[#This Row],[Customer ID]]), "New", "Repeat")</f>
        <v>Repeat</v>
      </c>
      <c r="H2760" t="s">
        <v>37</v>
      </c>
      <c r="I2760" t="str">
        <f>INDEX(State!B:B,MATCH(OrdersTable[[#This Row],[State]],State!A:A,0))</f>
        <v>GJ</v>
      </c>
      <c r="J2760" t="str">
        <f>INDEX(State!C:C,MATCH(OrdersTable[[#This Row],[State Code]],State!B:B,0))</f>
        <v>West</v>
      </c>
      <c r="K2760" t="s">
        <v>38</v>
      </c>
      <c r="L2760" t="s">
        <v>50</v>
      </c>
      <c r="M2760" t="s">
        <v>40</v>
      </c>
      <c r="N2760" t="str">
        <f>INDEX(Products!B:B,MATCH(OrdersTable[[#This Row],[Product ID]],Products!A:A,0))</f>
        <v>Ashwagandha Capsules</v>
      </c>
      <c r="O2760" t="str">
        <f>INDEX(Products!C:C,MATCH(OrdersTable[[#This Row],[Product ID]],Products!A:A,0))</f>
        <v>Wellness</v>
      </c>
      <c r="P2760">
        <v>2</v>
      </c>
      <c r="Q2760" s="5">
        <v>499</v>
      </c>
      <c r="R2760" s="74">
        <v>0.1</v>
      </c>
      <c r="S2760" s="75">
        <f>OrdersTable[[#This Row],[Quantity]]*OrdersTable[[#This Row],[Unit Price]]</f>
        <v>998</v>
      </c>
      <c r="T2760" s="5">
        <f>OrdersTable[[#This Row],[Gross Sale]]*OrdersTable[[#This Row],[Discount_Clean2]]</f>
        <v>99.800000000000011</v>
      </c>
      <c r="U2760" s="5">
        <f>OrdersTable[[#This Row],[Gross Sale]]-OrdersTable[[#This Row],[Discount Amount]]</f>
        <v>898.2</v>
      </c>
      <c r="V2760" s="77">
        <f>INDEX(Products!E:E,MATCH(OrdersTable[[#This Row],[Product ID]],Products!A:A,0))</f>
        <v>150</v>
      </c>
      <c r="W2760" s="77">
        <f>OrdersTable[[#This Row],[Quantity]]*OrdersTable[[#This Row],[Unit Cost]]</f>
        <v>300</v>
      </c>
      <c r="X2760" s="77">
        <f>'Dropdown Lists'!$I$2*(1+OrdersTable[[#This Row],[Returned]])</f>
        <v>60</v>
      </c>
      <c r="Y2760" s="76">
        <f>OrdersTable[[#This Row],[Net Revenue]]-OrdersTable[[#This Row],[COGS]]-OrdersTable[[#This Row],[Shipping Cost]]</f>
        <v>538.20000000000005</v>
      </c>
      <c r="Z2760" s="78">
        <f>IFERROR(OrdersTable[[#This Row],[Profit]]/OrdersTable[[#This Row],[Net Revenue]],0)</f>
        <v>0.59919839679358722</v>
      </c>
      <c r="AA2760" t="s">
        <v>2522</v>
      </c>
      <c r="AB2760" s="79">
        <v>45755</v>
      </c>
      <c r="AC2760">
        <f>OrdersTable[[#This Row],[Delivery Date]]-OrdersTable[[#This Row],[Order Date]]</f>
        <v>3</v>
      </c>
      <c r="AD2760" t="str">
        <f>IF(OrdersTable[[#This Row],[Delivery Days]]&lt;=2, "Express (≤2d)", IF(OrdersTable[[#This Row],[Delivery Days]]&lt;=4, "Standard (3-4d)", "Delayed (5d+)"))</f>
        <v>Standard (3-4d)</v>
      </c>
      <c r="AF2760">
        <v>0</v>
      </c>
    </row>
    <row r="2761" spans="1:32" ht="15" x14ac:dyDescent="0.35">
      <c r="A2761" t="s">
        <v>818</v>
      </c>
      <c r="B2761" s="1">
        <v>45752</v>
      </c>
      <c r="C2761">
        <f>YEAR(OrdersTable[[#This Row],[Order Date]])</f>
        <v>2025</v>
      </c>
      <c r="D2761" s="2">
        <f>DATE(YEAR(OrdersTable[[#This Row],[Order Date]]),MONTH(OrdersTable[[#This Row],[Order Date]]),1)</f>
        <v>45748</v>
      </c>
      <c r="E2761">
        <f>MONTH(OrdersTable[[#This Row],[Order Date]])</f>
        <v>4</v>
      </c>
      <c r="F2761" t="s">
        <v>819</v>
      </c>
      <c r="G2761" t="str">
        <f>IF(OrdersTable[[#This Row],[Order Date]]=_xlfn.MINIFS(Order_Date, Customer_ID, OrdersTable[[#This Row],[Customer ID]]), "New", "Repeat")</f>
        <v>Repeat</v>
      </c>
      <c r="H2761" t="s">
        <v>123</v>
      </c>
      <c r="I2761" t="str">
        <f>INDEX(State!B:B,MATCH(OrdersTable[[#This Row],[State]],State!A:A,0))</f>
        <v>JH</v>
      </c>
      <c r="J2761" t="str">
        <f>INDEX(State!C:C,MATCH(OrdersTable[[#This Row],[State Code]],State!B:B,0))</f>
        <v>East</v>
      </c>
      <c r="K2761" t="s">
        <v>124</v>
      </c>
      <c r="L2761" t="s">
        <v>65</v>
      </c>
      <c r="M2761" t="s">
        <v>576</v>
      </c>
      <c r="N2761" t="str">
        <f>INDEX(Products!B:B,MATCH(OrdersTable[[#This Row],[Product ID]],Products!A:A,0))</f>
        <v>Printed Saree</v>
      </c>
      <c r="O2761" t="str">
        <f>INDEX(Products!C:C,MATCH(OrdersTable[[#This Row],[Product ID]],Products!A:A,0))</f>
        <v>Apparel</v>
      </c>
      <c r="P2761">
        <v>1</v>
      </c>
      <c r="Q2761" s="5">
        <v>1999</v>
      </c>
      <c r="R2761" s="74">
        <v>0.05</v>
      </c>
      <c r="S2761" s="75">
        <f>OrdersTable[[#This Row],[Quantity]]*OrdersTable[[#This Row],[Unit Price]]</f>
        <v>1999</v>
      </c>
      <c r="T2761" s="5">
        <f>OrdersTable[[#This Row],[Gross Sale]]*OrdersTable[[#This Row],[Discount_Clean2]]</f>
        <v>99.95</v>
      </c>
      <c r="U2761" s="5">
        <f>OrdersTable[[#This Row],[Gross Sale]]-OrdersTable[[#This Row],[Discount Amount]]</f>
        <v>1899.05</v>
      </c>
      <c r="V2761" s="77">
        <f>INDEX(Products!E:E,MATCH(OrdersTable[[#This Row],[Product ID]],Products!A:A,0))</f>
        <v>880</v>
      </c>
      <c r="W2761" s="77">
        <f>OrdersTable[[#This Row],[Quantity]]*OrdersTable[[#This Row],[Unit Cost]]</f>
        <v>880</v>
      </c>
      <c r="X2761" s="77">
        <f>'Dropdown Lists'!$I$2*(1+OrdersTable[[#This Row],[Returned]])</f>
        <v>60</v>
      </c>
      <c r="Y2761" s="76">
        <f>OrdersTable[[#This Row],[Net Revenue]]-OrdersTable[[#This Row],[COGS]]-OrdersTable[[#This Row],[Shipping Cost]]</f>
        <v>959.05</v>
      </c>
      <c r="Z2761" s="78">
        <f>IFERROR(OrdersTable[[#This Row],[Profit]]/OrdersTable[[#This Row],[Net Revenue]],0)</f>
        <v>0.50501566572760059</v>
      </c>
      <c r="AA2761" t="s">
        <v>18</v>
      </c>
      <c r="AB2761" s="79">
        <v>45757</v>
      </c>
      <c r="AC2761">
        <f>OrdersTable[[#This Row],[Delivery Date]]-OrdersTable[[#This Row],[Order Date]]</f>
        <v>5</v>
      </c>
      <c r="AD2761" t="str">
        <f>IF(OrdersTable[[#This Row],[Delivery Days]]&lt;=2, "Express (≤2d)", IF(OrdersTable[[#This Row],[Delivery Days]]&lt;=4, "Standard (3-4d)", "Delayed (5d+)"))</f>
        <v>Delayed (5d+)</v>
      </c>
      <c r="AE2761">
        <v>4</v>
      </c>
      <c r="AF2761">
        <v>0</v>
      </c>
    </row>
    <row r="2762" spans="1:32" ht="15" x14ac:dyDescent="0.35">
      <c r="A2762" t="s">
        <v>5407</v>
      </c>
      <c r="B2762" s="1">
        <v>45752</v>
      </c>
      <c r="C2762">
        <f>YEAR(OrdersTable[[#This Row],[Order Date]])</f>
        <v>2025</v>
      </c>
      <c r="D2762" s="2">
        <f>DATE(YEAR(OrdersTable[[#This Row],[Order Date]]),MONTH(OrdersTable[[#This Row],[Order Date]]),1)</f>
        <v>45748</v>
      </c>
      <c r="E2762">
        <f>MONTH(OrdersTable[[#This Row],[Order Date]])</f>
        <v>4</v>
      </c>
      <c r="F2762" t="s">
        <v>5408</v>
      </c>
      <c r="G2762" t="str">
        <f>IF(OrdersTable[[#This Row],[Order Date]]=_xlfn.MINIFS(Order_Date, Customer_ID, OrdersTable[[#This Row],[Customer ID]]), "New", "Repeat")</f>
        <v>New</v>
      </c>
      <c r="H2762" t="s">
        <v>71</v>
      </c>
      <c r="I2762" t="str">
        <f>INDEX(State!B:B,MATCH(OrdersTable[[#This Row],[State]],State!A:A,0))</f>
        <v>MH</v>
      </c>
      <c r="J2762" t="str">
        <f>INDEX(State!C:C,MATCH(OrdersTable[[#This Row],[State Code]],State!B:B,0))</f>
        <v>West</v>
      </c>
      <c r="K2762" t="s">
        <v>102</v>
      </c>
      <c r="L2762" t="s">
        <v>16</v>
      </c>
      <c r="M2762" t="s">
        <v>87</v>
      </c>
      <c r="N2762" t="str">
        <f>INDEX(Products!B:B,MATCH(OrdersTable[[#This Row],[Product ID]],Products!A:A,0))</f>
        <v>Linen Kurta</v>
      </c>
      <c r="O2762" t="str">
        <f>INDEX(Products!C:C,MATCH(OrdersTable[[#This Row],[Product ID]],Products!A:A,0))</f>
        <v>Apparel</v>
      </c>
      <c r="P2762">
        <v>2</v>
      </c>
      <c r="Q2762" s="5">
        <v>1499</v>
      </c>
      <c r="R2762" s="74">
        <v>0.3</v>
      </c>
      <c r="S2762" s="75">
        <f>OrdersTable[[#This Row],[Quantity]]*OrdersTable[[#This Row],[Unit Price]]</f>
        <v>2998</v>
      </c>
      <c r="T2762" s="5">
        <f>OrdersTable[[#This Row],[Gross Sale]]*OrdersTable[[#This Row],[Discount_Clean2]]</f>
        <v>899.4</v>
      </c>
      <c r="U2762" s="5">
        <f>OrdersTable[[#This Row],[Gross Sale]]-OrdersTable[[#This Row],[Discount Amount]]</f>
        <v>2098.6</v>
      </c>
      <c r="V2762" s="77">
        <f>INDEX(Products!E:E,MATCH(OrdersTable[[#This Row],[Product ID]],Products!A:A,0))</f>
        <v>630</v>
      </c>
      <c r="W2762" s="77">
        <f>OrdersTable[[#This Row],[Quantity]]*OrdersTable[[#This Row],[Unit Cost]]</f>
        <v>1260</v>
      </c>
      <c r="X2762" s="77">
        <f>'Dropdown Lists'!$I$2*(1+OrdersTable[[#This Row],[Returned]])</f>
        <v>60</v>
      </c>
      <c r="Y2762" s="76">
        <f>OrdersTable[[#This Row],[Net Revenue]]-OrdersTable[[#This Row],[COGS]]-OrdersTable[[#This Row],[Shipping Cost]]</f>
        <v>778.59999999999991</v>
      </c>
      <c r="Z2762" s="78">
        <f>IFERROR(OrdersTable[[#This Row],[Profit]]/OrdersTable[[#This Row],[Net Revenue]],0)</f>
        <v>0.3710092442580768</v>
      </c>
      <c r="AA2762" t="s">
        <v>2522</v>
      </c>
      <c r="AB2762" s="79">
        <v>45754</v>
      </c>
      <c r="AC2762">
        <f>OrdersTable[[#This Row],[Delivery Date]]-OrdersTable[[#This Row],[Order Date]]</f>
        <v>2</v>
      </c>
      <c r="AD2762" t="str">
        <f>IF(OrdersTable[[#This Row],[Delivery Days]]&lt;=2, "Express (≤2d)", IF(OrdersTable[[#This Row],[Delivery Days]]&lt;=4, "Standard (3-4d)", "Delayed (5d+)"))</f>
        <v>Express (≤2d)</v>
      </c>
      <c r="AE2762">
        <v>3</v>
      </c>
      <c r="AF2762">
        <v>0</v>
      </c>
    </row>
    <row r="2763" spans="1:32" ht="15" x14ac:dyDescent="0.35">
      <c r="A2763" t="s">
        <v>5182</v>
      </c>
      <c r="B2763" s="1">
        <v>45752</v>
      </c>
      <c r="C2763">
        <f>YEAR(OrdersTable[[#This Row],[Order Date]])</f>
        <v>2025</v>
      </c>
      <c r="D2763" s="2">
        <f>DATE(YEAR(OrdersTable[[#This Row],[Order Date]]),MONTH(OrdersTable[[#This Row],[Order Date]]),1)</f>
        <v>45748</v>
      </c>
      <c r="E2763">
        <f>MONTH(OrdersTable[[#This Row],[Order Date]])</f>
        <v>4</v>
      </c>
      <c r="F2763" t="s">
        <v>1262</v>
      </c>
      <c r="G2763" t="str">
        <f>IF(OrdersTable[[#This Row],[Order Date]]=_xlfn.MINIFS(Order_Date, Customer_ID, OrdersTable[[#This Row],[Customer ID]]), "New", "Repeat")</f>
        <v>Repeat</v>
      </c>
      <c r="H2763" t="s">
        <v>167</v>
      </c>
      <c r="I2763" t="str">
        <f>INDEX(State!B:B,MATCH(OrdersTable[[#This Row],[State]],State!A:A,0))</f>
        <v>KA</v>
      </c>
      <c r="J2763" t="str">
        <f>INDEX(State!C:C,MATCH(OrdersTable[[#This Row],[State Code]],State!B:B,0))</f>
        <v>South</v>
      </c>
      <c r="K2763" t="s">
        <v>168</v>
      </c>
      <c r="L2763" t="s">
        <v>16</v>
      </c>
      <c r="M2763" t="s">
        <v>176</v>
      </c>
      <c r="N2763" t="str">
        <f>INDEX(Products!B:B,MATCH(OrdersTable[[#This Row],[Product ID]],Products!A:A,0))</f>
        <v>Denim Jacket</v>
      </c>
      <c r="O2763" t="str">
        <f>INDEX(Products!C:C,MATCH(OrdersTable[[#This Row],[Product ID]],Products!A:A,0))</f>
        <v>Apparel</v>
      </c>
      <c r="P2763">
        <v>2</v>
      </c>
      <c r="Q2763" s="5">
        <v>2499</v>
      </c>
      <c r="R2763" s="74">
        <v>0.1</v>
      </c>
      <c r="S2763" s="75">
        <f>OrdersTable[[#This Row],[Quantity]]*OrdersTable[[#This Row],[Unit Price]]</f>
        <v>4998</v>
      </c>
      <c r="T2763" s="5">
        <f>OrdersTable[[#This Row],[Gross Sale]]*OrdersTable[[#This Row],[Discount_Clean2]]</f>
        <v>499.8</v>
      </c>
      <c r="U2763" s="5">
        <f>OrdersTable[[#This Row],[Gross Sale]]-OrdersTable[[#This Row],[Discount Amount]]</f>
        <v>4498.2</v>
      </c>
      <c r="V2763" s="77">
        <f>INDEX(Products!E:E,MATCH(OrdersTable[[#This Row],[Product ID]],Products!A:A,0))</f>
        <v>1125</v>
      </c>
      <c r="W2763" s="77">
        <f>OrdersTable[[#This Row],[Quantity]]*OrdersTable[[#This Row],[Unit Cost]]</f>
        <v>2250</v>
      </c>
      <c r="X2763" s="77">
        <f>'Dropdown Lists'!$I$2*(1+OrdersTable[[#This Row],[Returned]])</f>
        <v>60</v>
      </c>
      <c r="Y2763" s="76">
        <f>OrdersTable[[#This Row],[Net Revenue]]-OrdersTable[[#This Row],[COGS]]-OrdersTable[[#This Row],[Shipping Cost]]</f>
        <v>2188.1999999999998</v>
      </c>
      <c r="Z2763" s="78">
        <f>IFERROR(OrdersTable[[#This Row],[Profit]]/OrdersTable[[#This Row],[Net Revenue]],0)</f>
        <v>0.48646125116713351</v>
      </c>
      <c r="AA2763" t="s">
        <v>3495</v>
      </c>
      <c r="AB2763" s="79">
        <v>45753</v>
      </c>
      <c r="AC2763">
        <f>OrdersTable[[#This Row],[Delivery Date]]-OrdersTable[[#This Row],[Order Date]]</f>
        <v>1</v>
      </c>
      <c r="AD2763" t="str">
        <f>IF(OrdersTable[[#This Row],[Delivery Days]]&lt;=2, "Express (≤2d)", IF(OrdersTable[[#This Row],[Delivery Days]]&lt;=4, "Standard (3-4d)", "Delayed (5d+)"))</f>
        <v>Express (≤2d)</v>
      </c>
      <c r="AF2763">
        <v>0</v>
      </c>
    </row>
    <row r="2764" spans="1:32" ht="15" x14ac:dyDescent="0.35">
      <c r="A2764" t="s">
        <v>4516</v>
      </c>
      <c r="B2764" s="1">
        <v>45752</v>
      </c>
      <c r="C2764">
        <f>YEAR(OrdersTable[[#This Row],[Order Date]])</f>
        <v>2025</v>
      </c>
      <c r="D2764" s="2">
        <f>DATE(YEAR(OrdersTable[[#This Row],[Order Date]]),MONTH(OrdersTable[[#This Row],[Order Date]]),1)</f>
        <v>45748</v>
      </c>
      <c r="E2764">
        <f>MONTH(OrdersTable[[#This Row],[Order Date]])</f>
        <v>4</v>
      </c>
      <c r="F2764" t="s">
        <v>3569</v>
      </c>
      <c r="G2764" t="str">
        <f>IF(OrdersTable[[#This Row],[Order Date]]=_xlfn.MINIFS(Order_Date, Customer_ID, OrdersTable[[#This Row],[Customer ID]]), "New", "Repeat")</f>
        <v>Repeat</v>
      </c>
      <c r="H2764" t="s">
        <v>275</v>
      </c>
      <c r="I2764" t="str">
        <f>INDEX(State!B:B,MATCH(OrdersTable[[#This Row],[State]],State!A:A,0))</f>
        <v>AP</v>
      </c>
      <c r="J2764" t="str">
        <f>INDEX(State!C:C,MATCH(OrdersTable[[#This Row],[State Code]],State!B:B,0))</f>
        <v>South</v>
      </c>
      <c r="K2764" t="s">
        <v>491</v>
      </c>
      <c r="L2764" t="s">
        <v>16</v>
      </c>
      <c r="M2764" t="s">
        <v>34</v>
      </c>
      <c r="N2764" t="str">
        <f>INDEX(Products!B:B,MATCH(OrdersTable[[#This Row],[Product ID]],Products!A:A,0))</f>
        <v>Flip Flops</v>
      </c>
      <c r="O2764" t="str">
        <f>INDEX(Products!C:C,MATCH(OrdersTable[[#This Row],[Product ID]],Products!A:A,0))</f>
        <v>Footwear</v>
      </c>
      <c r="P2764">
        <v>1</v>
      </c>
      <c r="Q2764" s="5">
        <v>399</v>
      </c>
      <c r="R2764" s="74">
        <v>0.2</v>
      </c>
      <c r="S2764" s="75">
        <f>OrdersTable[[#This Row],[Quantity]]*OrdersTable[[#This Row],[Unit Price]]</f>
        <v>399</v>
      </c>
      <c r="T2764" s="5">
        <f>OrdersTable[[#This Row],[Gross Sale]]*OrdersTable[[#This Row],[Discount_Clean2]]</f>
        <v>79.800000000000011</v>
      </c>
      <c r="U2764" s="5">
        <f>OrdersTable[[#This Row],[Gross Sale]]-OrdersTable[[#This Row],[Discount Amount]]</f>
        <v>319.2</v>
      </c>
      <c r="V2764" s="77">
        <f>INDEX(Products!E:E,MATCH(OrdersTable[[#This Row],[Product ID]],Products!A:A,0))</f>
        <v>152</v>
      </c>
      <c r="W2764" s="77">
        <f>OrdersTable[[#This Row],[Quantity]]*OrdersTable[[#This Row],[Unit Cost]]</f>
        <v>152</v>
      </c>
      <c r="X2764" s="77">
        <f>'Dropdown Lists'!$I$2*(1+OrdersTable[[#This Row],[Returned]])</f>
        <v>60</v>
      </c>
      <c r="Y2764" s="76">
        <f>OrdersTable[[#This Row],[Net Revenue]]-OrdersTable[[#This Row],[COGS]]-OrdersTable[[#This Row],[Shipping Cost]]</f>
        <v>107.19999999999999</v>
      </c>
      <c r="Z2764" s="78">
        <f>IFERROR(OrdersTable[[#This Row],[Profit]]/OrdersTable[[#This Row],[Net Revenue]],0)</f>
        <v>0.33583959899749372</v>
      </c>
      <c r="AA2764" t="s">
        <v>4450</v>
      </c>
      <c r="AB2764" s="79">
        <v>45756</v>
      </c>
      <c r="AC2764">
        <f>OrdersTable[[#This Row],[Delivery Date]]-OrdersTable[[#This Row],[Order Date]]</f>
        <v>4</v>
      </c>
      <c r="AD2764" t="str">
        <f>IF(OrdersTable[[#This Row],[Delivery Days]]&lt;=2, "Express (≤2d)", IF(OrdersTable[[#This Row],[Delivery Days]]&lt;=4, "Standard (3-4d)", "Delayed (5d+)"))</f>
        <v>Standard (3-4d)</v>
      </c>
      <c r="AE2764">
        <v>4</v>
      </c>
      <c r="AF2764">
        <v>0</v>
      </c>
    </row>
    <row r="2765" spans="1:32" ht="15" x14ac:dyDescent="0.35">
      <c r="A2765" t="s">
        <v>289</v>
      </c>
      <c r="B2765" s="1">
        <v>45752</v>
      </c>
      <c r="C2765">
        <f>YEAR(OrdersTable[[#This Row],[Order Date]])</f>
        <v>2025</v>
      </c>
      <c r="D2765" s="2">
        <f>DATE(YEAR(OrdersTable[[#This Row],[Order Date]]),MONTH(OrdersTable[[#This Row],[Order Date]]),1)</f>
        <v>45748</v>
      </c>
      <c r="E2765">
        <f>MONTH(OrdersTable[[#This Row],[Order Date]])</f>
        <v>4</v>
      </c>
      <c r="F2765" t="s">
        <v>290</v>
      </c>
      <c r="G2765" t="str">
        <f>IF(OrdersTable[[#This Row],[Order Date]]=_xlfn.MINIFS(Order_Date, Customer_ID, OrdersTable[[#This Row],[Customer ID]]), "New", "Repeat")</f>
        <v>Repeat</v>
      </c>
      <c r="H2765" t="s">
        <v>59</v>
      </c>
      <c r="I2765" t="str">
        <f>INDEX(State!B:B,MATCH(OrdersTable[[#This Row],[State]],State!A:A,0))</f>
        <v>TN</v>
      </c>
      <c r="J2765" t="str">
        <f>INDEX(State!C:C,MATCH(OrdersTable[[#This Row],[State Code]],State!B:B,0))</f>
        <v>South</v>
      </c>
      <c r="K2765" t="s">
        <v>64</v>
      </c>
      <c r="L2765" t="s">
        <v>65</v>
      </c>
      <c r="M2765" t="s">
        <v>51</v>
      </c>
      <c r="N2765" t="str">
        <f>INDEX(Products!B:B,MATCH(OrdersTable[[#This Row],[Product ID]],Products!A:A,0))</f>
        <v>Anti-Dandruff Conditioner</v>
      </c>
      <c r="O2765" t="str">
        <f>INDEX(Products!C:C,MATCH(OrdersTable[[#This Row],[Product ID]],Products!A:A,0))</f>
        <v>Haircare</v>
      </c>
      <c r="P2765">
        <v>1</v>
      </c>
      <c r="Q2765" s="5">
        <v>399</v>
      </c>
      <c r="R2765" s="74">
        <v>0.35</v>
      </c>
      <c r="S2765" s="75">
        <f>OrdersTable[[#This Row],[Quantity]]*OrdersTable[[#This Row],[Unit Price]]</f>
        <v>399</v>
      </c>
      <c r="T2765" s="5">
        <f>OrdersTable[[#This Row],[Gross Sale]]*OrdersTable[[#This Row],[Discount_Clean2]]</f>
        <v>139.64999999999998</v>
      </c>
      <c r="U2765" s="5">
        <f>OrdersTable[[#This Row],[Gross Sale]]-OrdersTable[[#This Row],[Discount Amount]]</f>
        <v>259.35000000000002</v>
      </c>
      <c r="V2765" s="77">
        <f>INDEX(Products!E:E,MATCH(OrdersTable[[#This Row],[Product ID]],Products!A:A,0))</f>
        <v>136</v>
      </c>
      <c r="W2765" s="77">
        <f>OrdersTable[[#This Row],[Quantity]]*OrdersTable[[#This Row],[Unit Cost]]</f>
        <v>136</v>
      </c>
      <c r="X2765" s="77">
        <f>'Dropdown Lists'!$I$2*(1+OrdersTable[[#This Row],[Returned]])</f>
        <v>60</v>
      </c>
      <c r="Y2765" s="76">
        <f>OrdersTable[[#This Row],[Net Revenue]]-OrdersTable[[#This Row],[COGS]]-OrdersTable[[#This Row],[Shipping Cost]]</f>
        <v>63.350000000000023</v>
      </c>
      <c r="Z2765" s="78">
        <f>IFERROR(OrdersTable[[#This Row],[Profit]]/OrdersTable[[#This Row],[Net Revenue]],0)</f>
        <v>0.24426450742240222</v>
      </c>
      <c r="AA2765" t="s">
        <v>18</v>
      </c>
      <c r="AB2765" s="79">
        <v>45753</v>
      </c>
      <c r="AC2765">
        <f>OrdersTable[[#This Row],[Delivery Date]]-OrdersTable[[#This Row],[Order Date]]</f>
        <v>1</v>
      </c>
      <c r="AD2765" t="str">
        <f>IF(OrdersTable[[#This Row],[Delivery Days]]&lt;=2, "Express (≤2d)", IF(OrdersTable[[#This Row],[Delivery Days]]&lt;=4, "Standard (3-4d)", "Delayed (5d+)"))</f>
        <v>Express (≤2d)</v>
      </c>
      <c r="AE2765">
        <v>4</v>
      </c>
      <c r="AF2765">
        <v>0</v>
      </c>
    </row>
    <row r="2766" spans="1:32" ht="15" x14ac:dyDescent="0.35">
      <c r="A2766" t="s">
        <v>6712</v>
      </c>
      <c r="B2766" s="1">
        <v>45753</v>
      </c>
      <c r="C2766">
        <f>YEAR(OrdersTable[[#This Row],[Order Date]])</f>
        <v>2025</v>
      </c>
      <c r="D2766" s="2">
        <f>DATE(YEAR(OrdersTable[[#This Row],[Order Date]]),MONTH(OrdersTable[[#This Row],[Order Date]]),1)</f>
        <v>45748</v>
      </c>
      <c r="E2766">
        <f>MONTH(OrdersTable[[#This Row],[Order Date]])</f>
        <v>4</v>
      </c>
      <c r="F2766" t="s">
        <v>6713</v>
      </c>
      <c r="G2766" t="str">
        <f>IF(OrdersTable[[#This Row],[Order Date]]=_xlfn.MINIFS(Order_Date, Customer_ID, OrdersTable[[#This Row],[Customer ID]]), "New", "Repeat")</f>
        <v>New</v>
      </c>
      <c r="H2766" t="s">
        <v>210</v>
      </c>
      <c r="I2766" t="str">
        <f>INDEX(State!B:B,MATCH(OrdersTable[[#This Row],[State]],State!A:A,0))</f>
        <v>JK</v>
      </c>
      <c r="J2766" t="str">
        <f>INDEX(State!C:C,MATCH(OrdersTable[[#This Row],[State Code]],State!B:B,0))</f>
        <v>North</v>
      </c>
      <c r="K2766" t="s">
        <v>415</v>
      </c>
      <c r="L2766" t="s">
        <v>39</v>
      </c>
      <c r="M2766" t="s">
        <v>565</v>
      </c>
      <c r="N2766" t="str">
        <f>INDEX(Products!B:B,MATCH(OrdersTable[[#This Row],[Product ID]],Products!A:A,0))</f>
        <v>Ceramic Dinner Set</v>
      </c>
      <c r="O2766" t="str">
        <f>INDEX(Products!C:C,MATCH(OrdersTable[[#This Row],[Product ID]],Products!A:A,0))</f>
        <v>Home &amp; Kitchen</v>
      </c>
      <c r="P2766">
        <v>3</v>
      </c>
      <c r="Q2766" s="5">
        <v>2499</v>
      </c>
      <c r="R2766" s="74">
        <v>0.3</v>
      </c>
      <c r="S2766" s="75">
        <f>OrdersTable[[#This Row],[Quantity]]*OrdersTable[[#This Row],[Unit Price]]</f>
        <v>7497</v>
      </c>
      <c r="T2766" s="5">
        <f>OrdersTable[[#This Row],[Gross Sale]]*OrdersTable[[#This Row],[Discount_Clean2]]</f>
        <v>2249.1</v>
      </c>
      <c r="U2766" s="5">
        <f>OrdersTable[[#This Row],[Gross Sale]]-OrdersTable[[#This Row],[Discount Amount]]</f>
        <v>5247.9</v>
      </c>
      <c r="V2766" s="77">
        <f>INDEX(Products!E:E,MATCH(OrdersTable[[#This Row],[Product ID]],Products!A:A,0))</f>
        <v>1250</v>
      </c>
      <c r="W2766" s="77">
        <f>OrdersTable[[#This Row],[Quantity]]*OrdersTable[[#This Row],[Unit Cost]]</f>
        <v>3750</v>
      </c>
      <c r="X2766" s="77">
        <f>'Dropdown Lists'!$I$2*(1+OrdersTable[[#This Row],[Returned]])</f>
        <v>60</v>
      </c>
      <c r="Y2766" s="76">
        <f>OrdersTable[[#This Row],[Net Revenue]]-OrdersTable[[#This Row],[COGS]]-OrdersTable[[#This Row],[Shipping Cost]]</f>
        <v>1437.8999999999996</v>
      </c>
      <c r="Z2766" s="78">
        <f>IFERROR(OrdersTable[[#This Row],[Profit]]/OrdersTable[[#This Row],[Net Revenue]],0)</f>
        <v>0.27399531241067848</v>
      </c>
      <c r="AA2766" t="s">
        <v>2522</v>
      </c>
      <c r="AB2766" s="79">
        <v>45759</v>
      </c>
      <c r="AC2766">
        <f>OrdersTable[[#This Row],[Delivery Date]]-OrdersTable[[#This Row],[Order Date]]</f>
        <v>6</v>
      </c>
      <c r="AD2766" t="str">
        <f>IF(OrdersTable[[#This Row],[Delivery Days]]&lt;=2, "Express (≤2d)", IF(OrdersTable[[#This Row],[Delivery Days]]&lt;=4, "Standard (3-4d)", "Delayed (5d+)"))</f>
        <v>Delayed (5d+)</v>
      </c>
      <c r="AE2766">
        <v>4</v>
      </c>
      <c r="AF2766">
        <v>0</v>
      </c>
    </row>
    <row r="2767" spans="1:32" ht="15" x14ac:dyDescent="0.35">
      <c r="A2767" t="s">
        <v>6357</v>
      </c>
      <c r="B2767" s="1">
        <v>45753</v>
      </c>
      <c r="C2767">
        <f>YEAR(OrdersTable[[#This Row],[Order Date]])</f>
        <v>2025</v>
      </c>
      <c r="D2767" s="2">
        <f>DATE(YEAR(OrdersTable[[#This Row],[Order Date]]),MONTH(OrdersTable[[#This Row],[Order Date]]),1)</f>
        <v>45748</v>
      </c>
      <c r="E2767">
        <f>MONTH(OrdersTable[[#This Row],[Order Date]])</f>
        <v>4</v>
      </c>
      <c r="F2767" t="s">
        <v>6358</v>
      </c>
      <c r="G2767" t="str">
        <f>IF(OrdersTable[[#This Row],[Order Date]]=_xlfn.MINIFS(Order_Date, Customer_ID, OrdersTable[[#This Row],[Customer ID]]), "New", "Repeat")</f>
        <v>New</v>
      </c>
      <c r="H2767" t="s">
        <v>54</v>
      </c>
      <c r="I2767" t="str">
        <f>INDEX(State!B:B,MATCH(OrdersTable[[#This Row],[State]],State!A:A,0))</f>
        <v>RJ</v>
      </c>
      <c r="J2767" t="str">
        <f>INDEX(State!C:C,MATCH(OrdersTable[[#This Row],[State Code]],State!B:B,0))</f>
        <v>North</v>
      </c>
      <c r="K2767" t="s">
        <v>55</v>
      </c>
      <c r="L2767" t="s">
        <v>39</v>
      </c>
      <c r="M2767" t="s">
        <v>152</v>
      </c>
      <c r="N2767" t="str">
        <f>INDEX(Products!B:B,MATCH(OrdersTable[[#This Row],[Product ID]],Products!A:A,0))</f>
        <v>Green Tea (100 bags)</v>
      </c>
      <c r="O2767" t="str">
        <f>INDEX(Products!C:C,MATCH(OrdersTable[[#This Row],[Product ID]],Products!A:A,0))</f>
        <v>Wellness</v>
      </c>
      <c r="P2767">
        <v>2</v>
      </c>
      <c r="Q2767" s="5">
        <v>399</v>
      </c>
      <c r="R2767" s="74">
        <v>0.35</v>
      </c>
      <c r="S2767" s="75">
        <f>OrdersTable[[#This Row],[Quantity]]*OrdersTable[[#This Row],[Unit Price]]</f>
        <v>798</v>
      </c>
      <c r="T2767" s="5">
        <f>OrdersTable[[#This Row],[Gross Sale]]*OrdersTable[[#This Row],[Discount_Clean2]]</f>
        <v>279.29999999999995</v>
      </c>
      <c r="U2767" s="5">
        <f>OrdersTable[[#This Row],[Gross Sale]]-OrdersTable[[#This Row],[Discount Amount]]</f>
        <v>518.70000000000005</v>
      </c>
      <c r="V2767" s="77">
        <f>INDEX(Products!E:E,MATCH(OrdersTable[[#This Row],[Product ID]],Products!A:A,0))</f>
        <v>128</v>
      </c>
      <c r="W2767" s="77">
        <f>OrdersTable[[#This Row],[Quantity]]*OrdersTable[[#This Row],[Unit Cost]]</f>
        <v>256</v>
      </c>
      <c r="X2767" s="77">
        <f>'Dropdown Lists'!$I$2*(1+OrdersTable[[#This Row],[Returned]])</f>
        <v>60</v>
      </c>
      <c r="Y2767" s="76">
        <f>OrdersTable[[#This Row],[Net Revenue]]-OrdersTable[[#This Row],[COGS]]-OrdersTable[[#This Row],[Shipping Cost]]</f>
        <v>202.70000000000005</v>
      </c>
      <c r="Z2767" s="78">
        <f>IFERROR(OrdersTable[[#This Row],[Profit]]/OrdersTable[[#This Row],[Net Revenue]],0)</f>
        <v>0.39078465394254874</v>
      </c>
      <c r="AA2767" t="s">
        <v>18</v>
      </c>
      <c r="AB2767" s="79">
        <v>45759</v>
      </c>
      <c r="AC2767">
        <f>OrdersTable[[#This Row],[Delivery Date]]-OrdersTable[[#This Row],[Order Date]]</f>
        <v>6</v>
      </c>
      <c r="AD2767" t="str">
        <f>IF(OrdersTable[[#This Row],[Delivery Days]]&lt;=2, "Express (≤2d)", IF(OrdersTable[[#This Row],[Delivery Days]]&lt;=4, "Standard (3-4d)", "Delayed (5d+)"))</f>
        <v>Delayed (5d+)</v>
      </c>
      <c r="AE2767">
        <v>4</v>
      </c>
      <c r="AF2767">
        <v>0</v>
      </c>
    </row>
    <row r="2768" spans="1:32" ht="15" x14ac:dyDescent="0.35">
      <c r="A2768" t="s">
        <v>6359</v>
      </c>
      <c r="B2768" s="1">
        <v>45753</v>
      </c>
      <c r="C2768">
        <f>YEAR(OrdersTable[[#This Row],[Order Date]])</f>
        <v>2025</v>
      </c>
      <c r="D2768" s="2">
        <f>DATE(YEAR(OrdersTable[[#This Row],[Order Date]]),MONTH(OrdersTable[[#This Row],[Order Date]]),1)</f>
        <v>45748</v>
      </c>
      <c r="E2768">
        <f>MONTH(OrdersTable[[#This Row],[Order Date]])</f>
        <v>4</v>
      </c>
      <c r="F2768" t="s">
        <v>2554</v>
      </c>
      <c r="G2768" t="str">
        <f>IF(OrdersTable[[#This Row],[Order Date]]=_xlfn.MINIFS(Order_Date, Customer_ID, OrdersTable[[#This Row],[Customer ID]]), "New", "Repeat")</f>
        <v>Repeat</v>
      </c>
      <c r="H2768" t="s">
        <v>54</v>
      </c>
      <c r="I2768" t="str">
        <f>INDEX(State!B:B,MATCH(OrdersTable[[#This Row],[State]],State!A:A,0))</f>
        <v>RJ</v>
      </c>
      <c r="J2768" t="str">
        <f>INDEX(State!C:C,MATCH(OrdersTable[[#This Row],[State Code]],State!B:B,0))</f>
        <v>North</v>
      </c>
      <c r="K2768" t="s">
        <v>227</v>
      </c>
      <c r="L2768" t="s">
        <v>65</v>
      </c>
      <c r="M2768" t="s">
        <v>51</v>
      </c>
      <c r="N2768" t="str">
        <f>INDEX(Products!B:B,MATCH(OrdersTable[[#This Row],[Product ID]],Products!A:A,0))</f>
        <v>Anti-Dandruff Conditioner</v>
      </c>
      <c r="O2768" t="str">
        <f>INDEX(Products!C:C,MATCH(OrdersTable[[#This Row],[Product ID]],Products!A:A,0))</f>
        <v>Haircare</v>
      </c>
      <c r="P2768">
        <v>2</v>
      </c>
      <c r="Q2768" s="5">
        <v>399</v>
      </c>
      <c r="R2768" s="74">
        <v>0.35</v>
      </c>
      <c r="S2768" s="75">
        <f>OrdersTable[[#This Row],[Quantity]]*OrdersTable[[#This Row],[Unit Price]]</f>
        <v>798</v>
      </c>
      <c r="T2768" s="5">
        <f>OrdersTable[[#This Row],[Gross Sale]]*OrdersTable[[#This Row],[Discount_Clean2]]</f>
        <v>279.29999999999995</v>
      </c>
      <c r="U2768" s="5">
        <f>OrdersTable[[#This Row],[Gross Sale]]-OrdersTable[[#This Row],[Discount Amount]]</f>
        <v>518.70000000000005</v>
      </c>
      <c r="V2768" s="77">
        <f>INDEX(Products!E:E,MATCH(OrdersTable[[#This Row],[Product ID]],Products!A:A,0))</f>
        <v>136</v>
      </c>
      <c r="W2768" s="77">
        <f>OrdersTable[[#This Row],[Quantity]]*OrdersTable[[#This Row],[Unit Cost]]</f>
        <v>272</v>
      </c>
      <c r="X2768" s="77">
        <f>'Dropdown Lists'!$I$2*(1+OrdersTable[[#This Row],[Returned]])</f>
        <v>60</v>
      </c>
      <c r="Y2768" s="76">
        <f>OrdersTable[[#This Row],[Net Revenue]]-OrdersTable[[#This Row],[COGS]]-OrdersTable[[#This Row],[Shipping Cost]]</f>
        <v>186.70000000000005</v>
      </c>
      <c r="Z2768" s="78">
        <f>IFERROR(OrdersTable[[#This Row],[Profit]]/OrdersTable[[#This Row],[Net Revenue]],0)</f>
        <v>0.35993830730672843</v>
      </c>
      <c r="AA2768" t="s">
        <v>18</v>
      </c>
      <c r="AB2768" s="79">
        <v>45757</v>
      </c>
      <c r="AC2768">
        <f>OrdersTable[[#This Row],[Delivery Date]]-OrdersTable[[#This Row],[Order Date]]</f>
        <v>4</v>
      </c>
      <c r="AD2768" t="str">
        <f>IF(OrdersTable[[#This Row],[Delivery Days]]&lt;=2, "Express (≤2d)", IF(OrdersTable[[#This Row],[Delivery Days]]&lt;=4, "Standard (3-4d)", "Delayed (5d+)"))</f>
        <v>Standard (3-4d)</v>
      </c>
      <c r="AE2768">
        <v>4</v>
      </c>
      <c r="AF2768">
        <v>0</v>
      </c>
    </row>
    <row r="2769" spans="1:32" ht="15" x14ac:dyDescent="0.35">
      <c r="A2769" t="s">
        <v>1724</v>
      </c>
      <c r="B2769" s="1">
        <v>45753</v>
      </c>
      <c r="C2769">
        <f>YEAR(OrdersTable[[#This Row],[Order Date]])</f>
        <v>2025</v>
      </c>
      <c r="D2769" s="2">
        <f>DATE(YEAR(OrdersTable[[#This Row],[Order Date]]),MONTH(OrdersTable[[#This Row],[Order Date]]),1)</f>
        <v>45748</v>
      </c>
      <c r="E2769">
        <f>MONTH(OrdersTable[[#This Row],[Order Date]])</f>
        <v>4</v>
      </c>
      <c r="F2769" t="s">
        <v>1725</v>
      </c>
      <c r="G2769" t="str">
        <f>IF(OrdersTable[[#This Row],[Order Date]]=_xlfn.MINIFS(Order_Date, Customer_ID, OrdersTable[[#This Row],[Customer ID]]), "New", "Repeat")</f>
        <v>Repeat</v>
      </c>
      <c r="H2769" t="s">
        <v>128</v>
      </c>
      <c r="I2769" t="str">
        <f>INDEX(State!B:B,MATCH(OrdersTable[[#This Row],[State]],State!A:A,0))</f>
        <v>DL</v>
      </c>
      <c r="J2769" t="str">
        <f>INDEX(State!C:C,MATCH(OrdersTable[[#This Row],[State Code]],State!B:B,0))</f>
        <v>North</v>
      </c>
      <c r="K2769" t="s">
        <v>129</v>
      </c>
      <c r="L2769" t="s">
        <v>65</v>
      </c>
      <c r="M2769" t="s">
        <v>51</v>
      </c>
      <c r="N2769" t="str">
        <f>INDEX(Products!B:B,MATCH(OrdersTable[[#This Row],[Product ID]],Products!A:A,0))</f>
        <v>Anti-Dandruff Conditioner</v>
      </c>
      <c r="O2769" t="str">
        <f>INDEX(Products!C:C,MATCH(OrdersTable[[#This Row],[Product ID]],Products!A:A,0))</f>
        <v>Haircare</v>
      </c>
      <c r="P2769">
        <v>1</v>
      </c>
      <c r="Q2769" s="5">
        <v>399</v>
      </c>
      <c r="R2769" s="74">
        <v>0.35</v>
      </c>
      <c r="S2769" s="75">
        <f>OrdersTable[[#This Row],[Quantity]]*OrdersTable[[#This Row],[Unit Price]]</f>
        <v>399</v>
      </c>
      <c r="T2769" s="5">
        <f>OrdersTable[[#This Row],[Gross Sale]]*OrdersTable[[#This Row],[Discount_Clean2]]</f>
        <v>139.64999999999998</v>
      </c>
      <c r="U2769" s="5">
        <f>OrdersTable[[#This Row],[Gross Sale]]-OrdersTable[[#This Row],[Discount Amount]]</f>
        <v>259.35000000000002</v>
      </c>
      <c r="V2769" s="77">
        <f>INDEX(Products!E:E,MATCH(OrdersTable[[#This Row],[Product ID]],Products!A:A,0))</f>
        <v>136</v>
      </c>
      <c r="W2769" s="77">
        <f>OrdersTable[[#This Row],[Quantity]]*OrdersTable[[#This Row],[Unit Cost]]</f>
        <v>136</v>
      </c>
      <c r="X2769" s="77">
        <f>'Dropdown Lists'!$I$2*(1+OrdersTable[[#This Row],[Returned]])</f>
        <v>60</v>
      </c>
      <c r="Y2769" s="76">
        <f>OrdersTable[[#This Row],[Net Revenue]]-OrdersTable[[#This Row],[COGS]]-OrdersTable[[#This Row],[Shipping Cost]]</f>
        <v>63.350000000000023</v>
      </c>
      <c r="Z2769" s="78">
        <f>IFERROR(OrdersTable[[#This Row],[Profit]]/OrdersTable[[#This Row],[Net Revenue]],0)</f>
        <v>0.24426450742240222</v>
      </c>
      <c r="AA2769" t="s">
        <v>18</v>
      </c>
      <c r="AB2769" s="79">
        <v>45755</v>
      </c>
      <c r="AC2769">
        <f>OrdersTable[[#This Row],[Delivery Date]]-OrdersTable[[#This Row],[Order Date]]</f>
        <v>2</v>
      </c>
      <c r="AD2769" t="str">
        <f>IF(OrdersTable[[#This Row],[Delivery Days]]&lt;=2, "Express (≤2d)", IF(OrdersTable[[#This Row],[Delivery Days]]&lt;=4, "Standard (3-4d)", "Delayed (5d+)"))</f>
        <v>Express (≤2d)</v>
      </c>
      <c r="AF2769">
        <v>0</v>
      </c>
    </row>
    <row r="2770" spans="1:32" ht="15" x14ac:dyDescent="0.35">
      <c r="A2770" t="s">
        <v>5609</v>
      </c>
      <c r="B2770" s="1">
        <v>45753</v>
      </c>
      <c r="C2770">
        <f>YEAR(OrdersTable[[#This Row],[Order Date]])</f>
        <v>2025</v>
      </c>
      <c r="D2770" s="2">
        <f>DATE(YEAR(OrdersTable[[#This Row],[Order Date]]),MONTH(OrdersTable[[#This Row],[Order Date]]),1)</f>
        <v>45748</v>
      </c>
      <c r="E2770">
        <f>MONTH(OrdersTable[[#This Row],[Order Date]])</f>
        <v>4</v>
      </c>
      <c r="F2770" t="s">
        <v>5610</v>
      </c>
      <c r="G2770" t="str">
        <f>IF(OrdersTable[[#This Row],[Order Date]]=_xlfn.MINIFS(Order_Date, Customer_ID, OrdersTable[[#This Row],[Customer ID]]), "New", "Repeat")</f>
        <v>New</v>
      </c>
      <c r="H2770" t="s">
        <v>76</v>
      </c>
      <c r="I2770" t="str">
        <f>INDEX(State!B:B,MATCH(OrdersTable[[#This Row],[State]],State!A:A,0))</f>
        <v>UP</v>
      </c>
      <c r="J2770" t="str">
        <f>INDEX(State!C:C,MATCH(OrdersTable[[#This Row],[State Code]],State!B:B,0))</f>
        <v>North</v>
      </c>
      <c r="K2770" t="s">
        <v>118</v>
      </c>
      <c r="L2770" t="s">
        <v>39</v>
      </c>
      <c r="M2770" t="s">
        <v>160</v>
      </c>
      <c r="N2770" t="str">
        <f>INDEX(Products!B:B,MATCH(OrdersTable[[#This Row],[Product ID]],Products!A:A,0))</f>
        <v>Niacinamide Toner</v>
      </c>
      <c r="O2770" t="str">
        <f>INDEX(Products!C:C,MATCH(OrdersTable[[#This Row],[Product ID]],Products!A:A,0))</f>
        <v>Skincare</v>
      </c>
      <c r="P2770">
        <v>2</v>
      </c>
      <c r="Q2770" s="5">
        <v>399</v>
      </c>
      <c r="R2770" s="74">
        <v>0.15</v>
      </c>
      <c r="S2770" s="75">
        <f>OrdersTable[[#This Row],[Quantity]]*OrdersTable[[#This Row],[Unit Price]]</f>
        <v>798</v>
      </c>
      <c r="T2770" s="5">
        <f>OrdersTable[[#This Row],[Gross Sale]]*OrdersTable[[#This Row],[Discount_Clean2]]</f>
        <v>119.69999999999999</v>
      </c>
      <c r="U2770" s="5">
        <f>OrdersTable[[#This Row],[Gross Sale]]-OrdersTable[[#This Row],[Discount Amount]]</f>
        <v>678.3</v>
      </c>
      <c r="V2770" s="77">
        <f>INDEX(Products!E:E,MATCH(OrdersTable[[#This Row],[Product ID]],Products!A:A,0))</f>
        <v>112</v>
      </c>
      <c r="W2770" s="77">
        <f>OrdersTable[[#This Row],[Quantity]]*OrdersTable[[#This Row],[Unit Cost]]</f>
        <v>224</v>
      </c>
      <c r="X2770" s="77">
        <f>'Dropdown Lists'!$I$2*(1+OrdersTable[[#This Row],[Returned]])</f>
        <v>60</v>
      </c>
      <c r="Y2770" s="76">
        <f>OrdersTable[[#This Row],[Net Revenue]]-OrdersTable[[#This Row],[COGS]]-OrdersTable[[#This Row],[Shipping Cost]]</f>
        <v>394.29999999999995</v>
      </c>
      <c r="Z2770" s="78">
        <f>IFERROR(OrdersTable[[#This Row],[Profit]]/OrdersTable[[#This Row],[Net Revenue]],0)</f>
        <v>0.58130620669320354</v>
      </c>
      <c r="AA2770" t="s">
        <v>2522</v>
      </c>
      <c r="AB2770" s="79">
        <v>45758</v>
      </c>
      <c r="AC2770">
        <f>OrdersTable[[#This Row],[Delivery Date]]-OrdersTable[[#This Row],[Order Date]]</f>
        <v>5</v>
      </c>
      <c r="AD2770" t="str">
        <f>IF(OrdersTable[[#This Row],[Delivery Days]]&lt;=2, "Express (≤2d)", IF(OrdersTable[[#This Row],[Delivery Days]]&lt;=4, "Standard (3-4d)", "Delayed (5d+)"))</f>
        <v>Delayed (5d+)</v>
      </c>
      <c r="AF2770">
        <v>0</v>
      </c>
    </row>
    <row r="2771" spans="1:32" ht="15" x14ac:dyDescent="0.35">
      <c r="A2771" t="s">
        <v>5809</v>
      </c>
      <c r="B2771" s="1">
        <v>45753</v>
      </c>
      <c r="C2771">
        <f>YEAR(OrdersTable[[#This Row],[Order Date]])</f>
        <v>2025</v>
      </c>
      <c r="D2771" s="2">
        <f>DATE(YEAR(OrdersTable[[#This Row],[Order Date]]),MONTH(OrdersTable[[#This Row],[Order Date]]),1)</f>
        <v>45748</v>
      </c>
      <c r="E2771">
        <f>MONTH(OrdersTable[[#This Row],[Order Date]])</f>
        <v>4</v>
      </c>
      <c r="F2771" t="s">
        <v>4775</v>
      </c>
      <c r="G2771" t="str">
        <f>IF(OrdersTable[[#This Row],[Order Date]]=_xlfn.MINIFS(Order_Date, Customer_ID, OrdersTable[[#This Row],[Customer ID]]), "New", "Repeat")</f>
        <v>Repeat</v>
      </c>
      <c r="H2771" t="s">
        <v>43</v>
      </c>
      <c r="I2771" t="str">
        <f>INDEX(State!B:B,MATCH(OrdersTable[[#This Row],[State]],State!A:A,0))</f>
        <v>MP</v>
      </c>
      <c r="J2771" t="str">
        <f>INDEX(State!C:C,MATCH(OrdersTable[[#This Row],[State Code]],State!B:B,0))</f>
        <v>West</v>
      </c>
      <c r="K2771" t="s">
        <v>44</v>
      </c>
      <c r="L2771" t="s">
        <v>39</v>
      </c>
      <c r="M2771" t="s">
        <v>109</v>
      </c>
      <c r="N2771" t="str">
        <f>INDEX(Products!B:B,MATCH(OrdersTable[[#This Row],[Product ID]],Products!A:A,0))</f>
        <v>Onion Hair Oil</v>
      </c>
      <c r="O2771" t="str">
        <f>INDEX(Products!C:C,MATCH(OrdersTable[[#This Row],[Product ID]],Products!A:A,0))</f>
        <v>Haircare</v>
      </c>
      <c r="P2771">
        <v>2</v>
      </c>
      <c r="Q2771" s="5">
        <v>349</v>
      </c>
      <c r="R2771" s="74">
        <v>0.35</v>
      </c>
      <c r="S2771" s="75">
        <f>OrdersTable[[#This Row],[Quantity]]*OrdersTable[[#This Row],[Unit Price]]</f>
        <v>698</v>
      </c>
      <c r="T2771" s="5">
        <f>OrdersTable[[#This Row],[Gross Sale]]*OrdersTable[[#This Row],[Discount_Clean2]]</f>
        <v>244.29999999999998</v>
      </c>
      <c r="U2771" s="5">
        <f>OrdersTable[[#This Row],[Gross Sale]]-OrdersTable[[#This Row],[Discount Amount]]</f>
        <v>453.70000000000005</v>
      </c>
      <c r="V2771" s="77">
        <f>INDEX(Products!E:E,MATCH(OrdersTable[[#This Row],[Product ID]],Products!A:A,0))</f>
        <v>105</v>
      </c>
      <c r="W2771" s="77">
        <f>OrdersTable[[#This Row],[Quantity]]*OrdersTable[[#This Row],[Unit Cost]]</f>
        <v>210</v>
      </c>
      <c r="X2771" s="77">
        <f>'Dropdown Lists'!$I$2*(1+OrdersTable[[#This Row],[Returned]])</f>
        <v>60</v>
      </c>
      <c r="Y2771" s="76">
        <f>OrdersTable[[#This Row],[Net Revenue]]-OrdersTable[[#This Row],[COGS]]-OrdersTable[[#This Row],[Shipping Cost]]</f>
        <v>183.70000000000005</v>
      </c>
      <c r="Z2771" s="78">
        <f>IFERROR(OrdersTable[[#This Row],[Profit]]/OrdersTable[[#This Row],[Net Revenue]],0)</f>
        <v>0.40489310116817284</v>
      </c>
      <c r="AA2771" t="s">
        <v>18</v>
      </c>
      <c r="AB2771" s="79">
        <v>45759</v>
      </c>
      <c r="AC2771">
        <f>OrdersTable[[#This Row],[Delivery Date]]-OrdersTable[[#This Row],[Order Date]]</f>
        <v>6</v>
      </c>
      <c r="AD2771" t="str">
        <f>IF(OrdersTable[[#This Row],[Delivery Days]]&lt;=2, "Express (≤2d)", IF(OrdersTable[[#This Row],[Delivery Days]]&lt;=4, "Standard (3-4d)", "Delayed (5d+)"))</f>
        <v>Delayed (5d+)</v>
      </c>
      <c r="AE2771">
        <v>5</v>
      </c>
      <c r="AF2771">
        <v>0</v>
      </c>
    </row>
    <row r="2772" spans="1:32" ht="15" x14ac:dyDescent="0.35">
      <c r="A2772" t="s">
        <v>291</v>
      </c>
      <c r="B2772" s="1">
        <v>45753</v>
      </c>
      <c r="C2772">
        <f>YEAR(OrdersTable[[#This Row],[Order Date]])</f>
        <v>2025</v>
      </c>
      <c r="D2772" s="2">
        <f>DATE(YEAR(OrdersTable[[#This Row],[Order Date]]),MONTH(OrdersTable[[#This Row],[Order Date]]),1)</f>
        <v>45748</v>
      </c>
      <c r="E2772">
        <f>MONTH(OrdersTable[[#This Row],[Order Date]])</f>
        <v>4</v>
      </c>
      <c r="F2772" t="s">
        <v>292</v>
      </c>
      <c r="G2772" t="str">
        <f>IF(OrdersTable[[#This Row],[Order Date]]=_xlfn.MINIFS(Order_Date, Customer_ID, OrdersTable[[#This Row],[Customer ID]]), "New", "Repeat")</f>
        <v>Repeat</v>
      </c>
      <c r="H2772" t="s">
        <v>27</v>
      </c>
      <c r="I2772" t="str">
        <f>INDEX(State!B:B,MATCH(OrdersTable[[#This Row],[State]],State!A:A,0))</f>
        <v>WB</v>
      </c>
      <c r="J2772" t="str">
        <f>INDEX(State!C:C,MATCH(OrdersTable[[#This Row],[State Code]],State!B:B,0))</f>
        <v>East</v>
      </c>
      <c r="K2772" t="s">
        <v>28</v>
      </c>
      <c r="L2772" t="s">
        <v>23</v>
      </c>
      <c r="M2772" t="s">
        <v>40</v>
      </c>
      <c r="N2772" t="str">
        <f>INDEX(Products!B:B,MATCH(OrdersTable[[#This Row],[Product ID]],Products!A:A,0))</f>
        <v>Ashwagandha Capsules</v>
      </c>
      <c r="O2772" t="str">
        <f>INDEX(Products!C:C,MATCH(OrdersTable[[#This Row],[Product ID]],Products!A:A,0))</f>
        <v>Wellness</v>
      </c>
      <c r="P2772">
        <v>1</v>
      </c>
      <c r="Q2772" s="5">
        <v>499</v>
      </c>
      <c r="R2772" s="74">
        <v>0.1</v>
      </c>
      <c r="S2772" s="75">
        <f>OrdersTable[[#This Row],[Quantity]]*OrdersTable[[#This Row],[Unit Price]]</f>
        <v>499</v>
      </c>
      <c r="T2772" s="5">
        <f>OrdersTable[[#This Row],[Gross Sale]]*OrdersTable[[#This Row],[Discount_Clean2]]</f>
        <v>49.900000000000006</v>
      </c>
      <c r="U2772" s="5">
        <f>OrdersTable[[#This Row],[Gross Sale]]-OrdersTable[[#This Row],[Discount Amount]]</f>
        <v>449.1</v>
      </c>
      <c r="V2772" s="77">
        <f>INDEX(Products!E:E,MATCH(OrdersTable[[#This Row],[Product ID]],Products!A:A,0))</f>
        <v>150</v>
      </c>
      <c r="W2772" s="77">
        <f>OrdersTable[[#This Row],[Quantity]]*OrdersTable[[#This Row],[Unit Cost]]</f>
        <v>150</v>
      </c>
      <c r="X2772" s="77">
        <f>'Dropdown Lists'!$I$2*(1+OrdersTable[[#This Row],[Returned]])</f>
        <v>60</v>
      </c>
      <c r="Y2772" s="76">
        <f>OrdersTable[[#This Row],[Net Revenue]]-OrdersTable[[#This Row],[COGS]]-OrdersTable[[#This Row],[Shipping Cost]]</f>
        <v>239.10000000000002</v>
      </c>
      <c r="Z2772" s="78">
        <f>IFERROR(OrdersTable[[#This Row],[Profit]]/OrdersTable[[#This Row],[Net Revenue]],0)</f>
        <v>0.53239812959251842</v>
      </c>
      <c r="AA2772" t="s">
        <v>18</v>
      </c>
      <c r="AB2772" s="79">
        <v>45756</v>
      </c>
      <c r="AC2772">
        <f>OrdersTable[[#This Row],[Delivery Date]]-OrdersTable[[#This Row],[Order Date]]</f>
        <v>3</v>
      </c>
      <c r="AD2772" t="str">
        <f>IF(OrdersTable[[#This Row],[Delivery Days]]&lt;=2, "Express (≤2d)", IF(OrdersTable[[#This Row],[Delivery Days]]&lt;=4, "Standard (3-4d)", "Delayed (5d+)"))</f>
        <v>Standard (3-4d)</v>
      </c>
      <c r="AE2772">
        <v>4</v>
      </c>
      <c r="AF2772">
        <v>0</v>
      </c>
    </row>
    <row r="2773" spans="1:32" ht="15" x14ac:dyDescent="0.35">
      <c r="A2773" t="s">
        <v>1551</v>
      </c>
      <c r="B2773" s="1">
        <v>45753</v>
      </c>
      <c r="C2773">
        <f>YEAR(OrdersTable[[#This Row],[Order Date]])</f>
        <v>2025</v>
      </c>
      <c r="D2773" s="2">
        <f>DATE(YEAR(OrdersTable[[#This Row],[Order Date]]),MONTH(OrdersTable[[#This Row],[Order Date]]),1)</f>
        <v>45748</v>
      </c>
      <c r="E2773">
        <f>MONTH(OrdersTable[[#This Row],[Order Date]])</f>
        <v>4</v>
      </c>
      <c r="F2773" t="s">
        <v>207</v>
      </c>
      <c r="G2773" t="str">
        <f>IF(OrdersTable[[#This Row],[Order Date]]=_xlfn.MINIFS(Order_Date, Customer_ID, OrdersTable[[#This Row],[Customer ID]]), "New", "Repeat")</f>
        <v>Repeat</v>
      </c>
      <c r="H2773" t="s">
        <v>27</v>
      </c>
      <c r="I2773" t="str">
        <f>INDEX(State!B:B,MATCH(OrdersTable[[#This Row],[State]],State!A:A,0))</f>
        <v>WB</v>
      </c>
      <c r="J2773" t="str">
        <f>INDEX(State!C:C,MATCH(OrdersTable[[#This Row],[State Code]],State!B:B,0))</f>
        <v>East</v>
      </c>
      <c r="K2773" t="s">
        <v>28</v>
      </c>
      <c r="L2773" t="s">
        <v>39</v>
      </c>
      <c r="M2773" t="s">
        <v>40</v>
      </c>
      <c r="N2773" t="str">
        <f>INDEX(Products!B:B,MATCH(OrdersTable[[#This Row],[Product ID]],Products!A:A,0))</f>
        <v>Ashwagandha Capsules</v>
      </c>
      <c r="O2773" t="str">
        <f>INDEX(Products!C:C,MATCH(OrdersTable[[#This Row],[Product ID]],Products!A:A,0))</f>
        <v>Wellness</v>
      </c>
      <c r="P2773">
        <v>1</v>
      </c>
      <c r="Q2773" s="5">
        <v>499</v>
      </c>
      <c r="R2773" s="74">
        <v>0</v>
      </c>
      <c r="S2773" s="75">
        <f>OrdersTable[[#This Row],[Quantity]]*OrdersTable[[#This Row],[Unit Price]]</f>
        <v>499</v>
      </c>
      <c r="T2773" s="5">
        <f>OrdersTable[[#This Row],[Gross Sale]]*OrdersTable[[#This Row],[Discount_Clean2]]</f>
        <v>0</v>
      </c>
      <c r="U2773" s="5">
        <f>OrdersTable[[#This Row],[Gross Sale]]-OrdersTable[[#This Row],[Discount Amount]]</f>
        <v>499</v>
      </c>
      <c r="V2773" s="77">
        <f>INDEX(Products!E:E,MATCH(OrdersTable[[#This Row],[Product ID]],Products!A:A,0))</f>
        <v>150</v>
      </c>
      <c r="W2773" s="77">
        <f>OrdersTable[[#This Row],[Quantity]]*OrdersTable[[#This Row],[Unit Cost]]</f>
        <v>150</v>
      </c>
      <c r="X2773" s="77">
        <f>'Dropdown Lists'!$I$2*(1+OrdersTable[[#This Row],[Returned]])</f>
        <v>60</v>
      </c>
      <c r="Y2773" s="76">
        <f>OrdersTable[[#This Row],[Net Revenue]]-OrdersTable[[#This Row],[COGS]]-OrdersTable[[#This Row],[Shipping Cost]]</f>
        <v>289</v>
      </c>
      <c r="Z2773" s="78">
        <f>IFERROR(OrdersTable[[#This Row],[Profit]]/OrdersTable[[#This Row],[Net Revenue]],0)</f>
        <v>0.57915831663326656</v>
      </c>
      <c r="AA2773" t="s">
        <v>18</v>
      </c>
      <c r="AB2773" s="79">
        <v>45757</v>
      </c>
      <c r="AC2773">
        <f>OrdersTable[[#This Row],[Delivery Date]]-OrdersTable[[#This Row],[Order Date]]</f>
        <v>4</v>
      </c>
      <c r="AD2773" t="str">
        <f>IF(OrdersTable[[#This Row],[Delivery Days]]&lt;=2, "Express (≤2d)", IF(OrdersTable[[#This Row],[Delivery Days]]&lt;=4, "Standard (3-4d)", "Delayed (5d+)"))</f>
        <v>Standard (3-4d)</v>
      </c>
      <c r="AF2773">
        <v>0</v>
      </c>
    </row>
    <row r="2774" spans="1:32" ht="15" x14ac:dyDescent="0.35">
      <c r="A2774" t="s">
        <v>3616</v>
      </c>
      <c r="B2774" s="1">
        <v>45753</v>
      </c>
      <c r="C2774">
        <f>YEAR(OrdersTable[[#This Row],[Order Date]])</f>
        <v>2025</v>
      </c>
      <c r="D2774" s="2">
        <f>DATE(YEAR(OrdersTable[[#This Row],[Order Date]]),MONTH(OrdersTable[[#This Row],[Order Date]]),1)</f>
        <v>45748</v>
      </c>
      <c r="E2774">
        <f>MONTH(OrdersTable[[#This Row],[Order Date]])</f>
        <v>4</v>
      </c>
      <c r="F2774" t="s">
        <v>473</v>
      </c>
      <c r="G2774" t="str">
        <f>IF(OrdersTable[[#This Row],[Order Date]]=_xlfn.MINIFS(Order_Date, Customer_ID, OrdersTable[[#This Row],[Customer ID]]), "New", "Repeat")</f>
        <v>Repeat</v>
      </c>
      <c r="H2774" t="s">
        <v>71</v>
      </c>
      <c r="I2774" t="str">
        <f>INDEX(State!B:B,MATCH(OrdersTable[[#This Row],[State]],State!A:A,0))</f>
        <v>MH</v>
      </c>
      <c r="J2774" t="str">
        <f>INDEX(State!C:C,MATCH(OrdersTable[[#This Row],[State Code]],State!B:B,0))</f>
        <v>West</v>
      </c>
      <c r="K2774" t="s">
        <v>102</v>
      </c>
      <c r="L2774" t="s">
        <v>65</v>
      </c>
      <c r="M2774" t="s">
        <v>40</v>
      </c>
      <c r="N2774" t="str">
        <f>INDEX(Products!B:B,MATCH(OrdersTable[[#This Row],[Product ID]],Products!A:A,0))</f>
        <v>Ashwagandha Capsules</v>
      </c>
      <c r="O2774" t="str">
        <f>INDEX(Products!C:C,MATCH(OrdersTable[[#This Row],[Product ID]],Products!A:A,0))</f>
        <v>Wellness</v>
      </c>
      <c r="P2774">
        <v>1</v>
      </c>
      <c r="Q2774" s="5">
        <v>499</v>
      </c>
      <c r="R2774" s="74">
        <v>0.05</v>
      </c>
      <c r="S2774" s="75">
        <f>OrdersTable[[#This Row],[Quantity]]*OrdersTable[[#This Row],[Unit Price]]</f>
        <v>499</v>
      </c>
      <c r="T2774" s="5">
        <f>OrdersTable[[#This Row],[Gross Sale]]*OrdersTable[[#This Row],[Discount_Clean2]]</f>
        <v>24.950000000000003</v>
      </c>
      <c r="U2774" s="5">
        <f>OrdersTable[[#This Row],[Gross Sale]]-OrdersTable[[#This Row],[Discount Amount]]</f>
        <v>474.05</v>
      </c>
      <c r="V2774" s="77">
        <f>INDEX(Products!E:E,MATCH(OrdersTable[[#This Row],[Product ID]],Products!A:A,0))</f>
        <v>150</v>
      </c>
      <c r="W2774" s="77">
        <f>OrdersTable[[#This Row],[Quantity]]*OrdersTable[[#This Row],[Unit Cost]]</f>
        <v>150</v>
      </c>
      <c r="X2774" s="77">
        <f>'Dropdown Lists'!$I$2*(1+OrdersTable[[#This Row],[Returned]])</f>
        <v>60</v>
      </c>
      <c r="Y2774" s="76">
        <f>OrdersTable[[#This Row],[Net Revenue]]-OrdersTable[[#This Row],[COGS]]-OrdersTable[[#This Row],[Shipping Cost]]</f>
        <v>264.05</v>
      </c>
      <c r="Z2774" s="78">
        <f>IFERROR(OrdersTable[[#This Row],[Profit]]/OrdersTable[[#This Row],[Net Revenue]],0)</f>
        <v>0.55700875435080688</v>
      </c>
      <c r="AA2774" t="s">
        <v>3495</v>
      </c>
      <c r="AB2774" s="79">
        <v>45755</v>
      </c>
      <c r="AC2774">
        <f>OrdersTable[[#This Row],[Delivery Date]]-OrdersTable[[#This Row],[Order Date]]</f>
        <v>2</v>
      </c>
      <c r="AD2774" t="str">
        <f>IF(OrdersTable[[#This Row],[Delivery Days]]&lt;=2, "Express (≤2d)", IF(OrdersTable[[#This Row],[Delivery Days]]&lt;=4, "Standard (3-4d)", "Delayed (5d+)"))</f>
        <v>Express (≤2d)</v>
      </c>
      <c r="AE2774">
        <v>4</v>
      </c>
      <c r="AF2774">
        <v>0</v>
      </c>
    </row>
    <row r="2775" spans="1:32" ht="15" x14ac:dyDescent="0.35">
      <c r="A2775" t="s">
        <v>5810</v>
      </c>
      <c r="B2775" s="1">
        <v>45753</v>
      </c>
      <c r="C2775">
        <f>YEAR(OrdersTable[[#This Row],[Order Date]])</f>
        <v>2025</v>
      </c>
      <c r="D2775" s="2">
        <f>DATE(YEAR(OrdersTable[[#This Row],[Order Date]]),MONTH(OrdersTable[[#This Row],[Order Date]]),1)</f>
        <v>45748</v>
      </c>
      <c r="E2775">
        <f>MONTH(OrdersTable[[#This Row],[Order Date]])</f>
        <v>4</v>
      </c>
      <c r="F2775" t="s">
        <v>1176</v>
      </c>
      <c r="G2775" t="str">
        <f>IF(OrdersTable[[#This Row],[Order Date]]=_xlfn.MINIFS(Order_Date, Customer_ID, OrdersTable[[#This Row],[Customer ID]]), "New", "Repeat")</f>
        <v>New</v>
      </c>
      <c r="H2775" t="s">
        <v>275</v>
      </c>
      <c r="I2775" t="str">
        <f>INDEX(State!B:B,MATCH(OrdersTable[[#This Row],[State]],State!A:A,0))</f>
        <v>AP</v>
      </c>
      <c r="J2775" t="str">
        <f>INDEX(State!C:C,MATCH(OrdersTable[[#This Row],[State Code]],State!B:B,0))</f>
        <v>South</v>
      </c>
      <c r="K2775" t="s">
        <v>491</v>
      </c>
      <c r="L2775" t="s">
        <v>65</v>
      </c>
      <c r="M2775" t="s">
        <v>56</v>
      </c>
      <c r="N2775" t="str">
        <f>INDEX(Products!B:B,MATCH(OrdersTable[[#This Row],[Product ID]],Products!A:A,0))</f>
        <v>Vitamin C Face Serum</v>
      </c>
      <c r="O2775" t="str">
        <f>INDEX(Products!C:C,MATCH(OrdersTable[[#This Row],[Product ID]],Products!A:A,0))</f>
        <v>Skincare</v>
      </c>
      <c r="P2775">
        <v>2</v>
      </c>
      <c r="Q2775" s="5">
        <v>599</v>
      </c>
      <c r="R2775" s="74">
        <v>0.15</v>
      </c>
      <c r="S2775" s="75">
        <f>OrdersTable[[#This Row],[Quantity]]*OrdersTable[[#This Row],[Unit Price]]</f>
        <v>1198</v>
      </c>
      <c r="T2775" s="5">
        <f>OrdersTable[[#This Row],[Gross Sale]]*OrdersTable[[#This Row],[Discount_Clean2]]</f>
        <v>179.7</v>
      </c>
      <c r="U2775" s="5">
        <f>OrdersTable[[#This Row],[Gross Sale]]-OrdersTable[[#This Row],[Discount Amount]]</f>
        <v>1018.3</v>
      </c>
      <c r="V2775" s="77">
        <f>INDEX(Products!E:E,MATCH(OrdersTable[[#This Row],[Product ID]],Products!A:A,0))</f>
        <v>180</v>
      </c>
      <c r="W2775" s="77">
        <f>OrdersTable[[#This Row],[Quantity]]*OrdersTable[[#This Row],[Unit Cost]]</f>
        <v>360</v>
      </c>
      <c r="X2775" s="77">
        <f>'Dropdown Lists'!$I$2*(1+OrdersTable[[#This Row],[Returned]])</f>
        <v>60</v>
      </c>
      <c r="Y2775" s="76">
        <f>OrdersTable[[#This Row],[Net Revenue]]-OrdersTable[[#This Row],[COGS]]-OrdersTable[[#This Row],[Shipping Cost]]</f>
        <v>598.29999999999995</v>
      </c>
      <c r="Z2775" s="78">
        <f>IFERROR(OrdersTable[[#This Row],[Profit]]/OrdersTable[[#This Row],[Net Revenue]],0)</f>
        <v>0.58754787390749286</v>
      </c>
      <c r="AA2775" t="s">
        <v>18</v>
      </c>
      <c r="AB2775" s="79">
        <v>45756</v>
      </c>
      <c r="AC2775">
        <f>OrdersTable[[#This Row],[Delivery Date]]-OrdersTable[[#This Row],[Order Date]]</f>
        <v>3</v>
      </c>
      <c r="AD2775" t="str">
        <f>IF(OrdersTable[[#This Row],[Delivery Days]]&lt;=2, "Express (≤2d)", IF(OrdersTable[[#This Row],[Delivery Days]]&lt;=4, "Standard (3-4d)", "Delayed (5d+)"))</f>
        <v>Standard (3-4d)</v>
      </c>
      <c r="AE2775">
        <v>5</v>
      </c>
      <c r="AF2775">
        <v>0</v>
      </c>
    </row>
    <row r="2776" spans="1:32" ht="15" x14ac:dyDescent="0.35">
      <c r="A2776" t="s">
        <v>1977</v>
      </c>
      <c r="B2776" s="1">
        <v>45753</v>
      </c>
      <c r="C2776">
        <f>YEAR(OrdersTable[[#This Row],[Order Date]])</f>
        <v>2025</v>
      </c>
      <c r="D2776" s="2">
        <f>DATE(YEAR(OrdersTable[[#This Row],[Order Date]]),MONTH(OrdersTable[[#This Row],[Order Date]]),1)</f>
        <v>45748</v>
      </c>
      <c r="E2776">
        <f>MONTH(OrdersTable[[#This Row],[Order Date]])</f>
        <v>4</v>
      </c>
      <c r="F2776" t="s">
        <v>1978</v>
      </c>
      <c r="G2776" t="str">
        <f>IF(OrdersTable[[#This Row],[Order Date]]=_xlfn.MINIFS(Order_Date, Customer_ID, OrdersTable[[#This Row],[Customer ID]]), "New", "Repeat")</f>
        <v>New</v>
      </c>
      <c r="H2776" t="s">
        <v>316</v>
      </c>
      <c r="I2776" t="str">
        <f>INDEX(State!B:B,MATCH(OrdersTable[[#This Row],[State]],State!A:A,0))</f>
        <v>KL</v>
      </c>
      <c r="J2776" t="str">
        <f>INDEX(State!C:C,MATCH(OrdersTable[[#This Row],[State Code]],State!B:B,0))</f>
        <v>South</v>
      </c>
      <c r="K2776" t="s">
        <v>338</v>
      </c>
      <c r="L2776" t="s">
        <v>65</v>
      </c>
      <c r="M2776" t="s">
        <v>29</v>
      </c>
      <c r="N2776" t="str">
        <f>INDEX(Products!B:B,MATCH(OrdersTable[[#This Row],[Product ID]],Products!A:A,0))</f>
        <v>Joggers</v>
      </c>
      <c r="O2776" t="str">
        <f>INDEX(Products!C:C,MATCH(OrdersTable[[#This Row],[Product ID]],Products!A:A,0))</f>
        <v>Apparel</v>
      </c>
      <c r="P2776">
        <v>1</v>
      </c>
      <c r="Q2776" s="5">
        <v>1199</v>
      </c>
      <c r="R2776" s="74">
        <v>0.2</v>
      </c>
      <c r="S2776" s="75">
        <f>OrdersTable[[#This Row],[Quantity]]*OrdersTable[[#This Row],[Unit Price]]</f>
        <v>1199</v>
      </c>
      <c r="T2776" s="5">
        <f>OrdersTable[[#This Row],[Gross Sale]]*OrdersTable[[#This Row],[Discount_Clean2]]</f>
        <v>239.8</v>
      </c>
      <c r="U2776" s="5">
        <f>OrdersTable[[#This Row],[Gross Sale]]-OrdersTable[[#This Row],[Discount Amount]]</f>
        <v>959.2</v>
      </c>
      <c r="V2776" s="77">
        <f>INDEX(Products!E:E,MATCH(OrdersTable[[#This Row],[Product ID]],Products!A:A,0))</f>
        <v>492</v>
      </c>
      <c r="W2776" s="77">
        <f>OrdersTable[[#This Row],[Quantity]]*OrdersTable[[#This Row],[Unit Cost]]</f>
        <v>492</v>
      </c>
      <c r="X2776" s="77">
        <f>'Dropdown Lists'!$I$2*(1+OrdersTable[[#This Row],[Returned]])</f>
        <v>60</v>
      </c>
      <c r="Y2776" s="76">
        <f>OrdersTable[[#This Row],[Net Revenue]]-OrdersTable[[#This Row],[COGS]]-OrdersTable[[#This Row],[Shipping Cost]]</f>
        <v>407.20000000000005</v>
      </c>
      <c r="Z2776" s="78">
        <f>IFERROR(OrdersTable[[#This Row],[Profit]]/OrdersTable[[#This Row],[Net Revenue]],0)</f>
        <v>0.42452043369474562</v>
      </c>
      <c r="AA2776" t="s">
        <v>18</v>
      </c>
      <c r="AB2776" s="79">
        <v>45757</v>
      </c>
      <c r="AC2776">
        <f>OrdersTable[[#This Row],[Delivery Date]]-OrdersTable[[#This Row],[Order Date]]</f>
        <v>4</v>
      </c>
      <c r="AD2776" t="str">
        <f>IF(OrdersTable[[#This Row],[Delivery Days]]&lt;=2, "Express (≤2d)", IF(OrdersTable[[#This Row],[Delivery Days]]&lt;=4, "Standard (3-4d)", "Delayed (5d+)"))</f>
        <v>Standard (3-4d)</v>
      </c>
      <c r="AE2776">
        <v>3</v>
      </c>
      <c r="AF2776">
        <v>0</v>
      </c>
    </row>
    <row r="2777" spans="1:32" ht="15" x14ac:dyDescent="0.35">
      <c r="A2777" t="s">
        <v>3763</v>
      </c>
      <c r="B2777" s="1">
        <v>45754</v>
      </c>
      <c r="C2777">
        <f>YEAR(OrdersTable[[#This Row],[Order Date]])</f>
        <v>2025</v>
      </c>
      <c r="D2777" s="2">
        <f>DATE(YEAR(OrdersTable[[#This Row],[Order Date]]),MONTH(OrdersTable[[#This Row],[Order Date]]),1)</f>
        <v>45748</v>
      </c>
      <c r="E2777">
        <f>MONTH(OrdersTable[[#This Row],[Order Date]])</f>
        <v>4</v>
      </c>
      <c r="F2777" t="s">
        <v>1192</v>
      </c>
      <c r="G2777" t="str">
        <f>IF(OrdersTable[[#This Row],[Order Date]]=_xlfn.MINIFS(Order_Date, Customer_ID, OrdersTable[[#This Row],[Customer ID]]), "New", "Repeat")</f>
        <v>Repeat</v>
      </c>
      <c r="H2777" t="s">
        <v>21</v>
      </c>
      <c r="I2777" t="str">
        <f>INDEX(State!B:B,MATCH(OrdersTable[[#This Row],[State]],State!A:A,0))</f>
        <v>PB</v>
      </c>
      <c r="J2777" t="str">
        <f>INDEX(State!C:C,MATCH(OrdersTable[[#This Row],[State Code]],State!B:B,0))</f>
        <v>North</v>
      </c>
      <c r="K2777" t="s">
        <v>22</v>
      </c>
      <c r="L2777" t="s">
        <v>23</v>
      </c>
      <c r="M2777" t="s">
        <v>148</v>
      </c>
      <c r="N2777" t="str">
        <f>INDEX(Products!B:B,MATCH(OrdersTable[[#This Row],[Product ID]],Products!A:A,0))</f>
        <v>Smartwatch Strap</v>
      </c>
      <c r="O2777" t="str">
        <f>INDEX(Products!C:C,MATCH(OrdersTable[[#This Row],[Product ID]],Products!A:A,0))</f>
        <v>Electronics</v>
      </c>
      <c r="P2777">
        <v>1</v>
      </c>
      <c r="Q2777" s="5">
        <v>499</v>
      </c>
      <c r="R2777" s="74">
        <v>0.1</v>
      </c>
      <c r="S2777" s="75">
        <f>OrdersTable[[#This Row],[Quantity]]*OrdersTable[[#This Row],[Unit Price]]</f>
        <v>499</v>
      </c>
      <c r="T2777" s="5">
        <f>OrdersTable[[#This Row],[Gross Sale]]*OrdersTable[[#This Row],[Discount_Clean2]]</f>
        <v>49.900000000000006</v>
      </c>
      <c r="U2777" s="5">
        <f>OrdersTable[[#This Row],[Gross Sale]]-OrdersTable[[#This Row],[Discount Amount]]</f>
        <v>449.1</v>
      </c>
      <c r="V2777" s="77">
        <f>INDEX(Products!E:E,MATCH(OrdersTable[[#This Row],[Product ID]],Products!A:A,0))</f>
        <v>200</v>
      </c>
      <c r="W2777" s="77">
        <f>OrdersTable[[#This Row],[Quantity]]*OrdersTable[[#This Row],[Unit Cost]]</f>
        <v>200</v>
      </c>
      <c r="X2777" s="77">
        <f>'Dropdown Lists'!$I$2*(1+OrdersTable[[#This Row],[Returned]])</f>
        <v>60</v>
      </c>
      <c r="Y2777" s="76">
        <f>OrdersTable[[#This Row],[Net Revenue]]-OrdersTable[[#This Row],[COGS]]-OrdersTable[[#This Row],[Shipping Cost]]</f>
        <v>189.10000000000002</v>
      </c>
      <c r="Z2777" s="78">
        <f>IFERROR(OrdersTable[[#This Row],[Profit]]/OrdersTable[[#This Row],[Net Revenue]],0)</f>
        <v>0.42106435092407041</v>
      </c>
      <c r="AA2777" t="s">
        <v>3495</v>
      </c>
      <c r="AB2777" s="79">
        <v>45758</v>
      </c>
      <c r="AC2777">
        <f>OrdersTable[[#This Row],[Delivery Date]]-OrdersTable[[#This Row],[Order Date]]</f>
        <v>4</v>
      </c>
      <c r="AD2777" t="str">
        <f>IF(OrdersTable[[#This Row],[Delivery Days]]&lt;=2, "Express (≤2d)", IF(OrdersTable[[#This Row],[Delivery Days]]&lt;=4, "Standard (3-4d)", "Delayed (5d+)"))</f>
        <v>Standard (3-4d)</v>
      </c>
      <c r="AF2777">
        <v>0</v>
      </c>
    </row>
    <row r="2778" spans="1:32" ht="15" x14ac:dyDescent="0.35">
      <c r="A2778" t="s">
        <v>5183</v>
      </c>
      <c r="B2778" s="1">
        <v>45754</v>
      </c>
      <c r="C2778">
        <f>YEAR(OrdersTable[[#This Row],[Order Date]])</f>
        <v>2025</v>
      </c>
      <c r="D2778" s="2">
        <f>DATE(YEAR(OrdersTable[[#This Row],[Order Date]]),MONTH(OrdersTable[[#This Row],[Order Date]]),1)</f>
        <v>45748</v>
      </c>
      <c r="E2778">
        <f>MONTH(OrdersTable[[#This Row],[Order Date]])</f>
        <v>4</v>
      </c>
      <c r="F2778" t="s">
        <v>2548</v>
      </c>
      <c r="G2778" t="str">
        <f>IF(OrdersTable[[#This Row],[Order Date]]=_xlfn.MINIFS(Order_Date, Customer_ID, OrdersTable[[#This Row],[Customer ID]]), "New", "Repeat")</f>
        <v>Repeat</v>
      </c>
      <c r="H2778" t="s">
        <v>128</v>
      </c>
      <c r="I2778" t="str">
        <f>INDEX(State!B:B,MATCH(OrdersTable[[#This Row],[State]],State!A:A,0))</f>
        <v>DL</v>
      </c>
      <c r="J2778" t="str">
        <f>INDEX(State!C:C,MATCH(OrdersTable[[#This Row],[State Code]],State!B:B,0))</f>
        <v>North</v>
      </c>
      <c r="K2778" t="s">
        <v>129</v>
      </c>
      <c r="L2778" t="s">
        <v>65</v>
      </c>
      <c r="M2778" t="s">
        <v>148</v>
      </c>
      <c r="N2778" t="str">
        <f>INDEX(Products!B:B,MATCH(OrdersTable[[#This Row],[Product ID]],Products!A:A,0))</f>
        <v>Smartwatch Strap</v>
      </c>
      <c r="O2778" t="str">
        <f>INDEX(Products!C:C,MATCH(OrdersTable[[#This Row],[Product ID]],Products!A:A,0))</f>
        <v>Electronics</v>
      </c>
      <c r="P2778">
        <v>2</v>
      </c>
      <c r="Q2778" s="5">
        <v>499</v>
      </c>
      <c r="R2778" s="74">
        <v>0.15</v>
      </c>
      <c r="S2778" s="75">
        <f>OrdersTable[[#This Row],[Quantity]]*OrdersTable[[#This Row],[Unit Price]]</f>
        <v>998</v>
      </c>
      <c r="T2778" s="5">
        <f>OrdersTable[[#This Row],[Gross Sale]]*OrdersTable[[#This Row],[Discount_Clean2]]</f>
        <v>149.69999999999999</v>
      </c>
      <c r="U2778" s="5">
        <f>OrdersTable[[#This Row],[Gross Sale]]-OrdersTable[[#This Row],[Discount Amount]]</f>
        <v>848.3</v>
      </c>
      <c r="V2778" s="77">
        <f>INDEX(Products!E:E,MATCH(OrdersTable[[#This Row],[Product ID]],Products!A:A,0))</f>
        <v>200</v>
      </c>
      <c r="W2778" s="77">
        <f>OrdersTable[[#This Row],[Quantity]]*OrdersTable[[#This Row],[Unit Cost]]</f>
        <v>400</v>
      </c>
      <c r="X2778" s="77">
        <f>'Dropdown Lists'!$I$2*(1+OrdersTable[[#This Row],[Returned]])</f>
        <v>60</v>
      </c>
      <c r="Y2778" s="76">
        <f>OrdersTable[[#This Row],[Net Revenue]]-OrdersTable[[#This Row],[COGS]]-OrdersTable[[#This Row],[Shipping Cost]]</f>
        <v>388.29999999999995</v>
      </c>
      <c r="Z2778" s="78">
        <f>IFERROR(OrdersTable[[#This Row],[Profit]]/OrdersTable[[#This Row],[Net Revenue]],0)</f>
        <v>0.45773900742661794</v>
      </c>
      <c r="AA2778" t="s">
        <v>3495</v>
      </c>
      <c r="AB2778" s="79">
        <v>45756</v>
      </c>
      <c r="AC2778">
        <f>OrdersTable[[#This Row],[Delivery Date]]-OrdersTable[[#This Row],[Order Date]]</f>
        <v>2</v>
      </c>
      <c r="AD2778" t="str">
        <f>IF(OrdersTable[[#This Row],[Delivery Days]]&lt;=2, "Express (≤2d)", IF(OrdersTable[[#This Row],[Delivery Days]]&lt;=4, "Standard (3-4d)", "Delayed (5d+)"))</f>
        <v>Express (≤2d)</v>
      </c>
      <c r="AF2778">
        <v>0</v>
      </c>
    </row>
    <row r="2779" spans="1:32" ht="15" x14ac:dyDescent="0.35">
      <c r="A2779" t="s">
        <v>293</v>
      </c>
      <c r="B2779" s="1">
        <v>45754</v>
      </c>
      <c r="C2779">
        <f>YEAR(OrdersTable[[#This Row],[Order Date]])</f>
        <v>2025</v>
      </c>
      <c r="D2779" s="2">
        <f>DATE(YEAR(OrdersTable[[#This Row],[Order Date]]),MONTH(OrdersTable[[#This Row],[Order Date]]),1)</f>
        <v>45748</v>
      </c>
      <c r="E2779">
        <f>MONTH(OrdersTable[[#This Row],[Order Date]])</f>
        <v>4</v>
      </c>
      <c r="F2779" t="s">
        <v>294</v>
      </c>
      <c r="G2779" t="str">
        <f>IF(OrdersTable[[#This Row],[Order Date]]=_xlfn.MINIFS(Order_Date, Customer_ID, OrdersTable[[#This Row],[Customer ID]]), "New", "Repeat")</f>
        <v>Repeat</v>
      </c>
      <c r="H2779" t="s">
        <v>76</v>
      </c>
      <c r="I2779" t="str">
        <f>INDEX(State!B:B,MATCH(OrdersTable[[#This Row],[State]],State!A:A,0))</f>
        <v>UP</v>
      </c>
      <c r="J2779" t="str">
        <f>INDEX(State!C:C,MATCH(OrdersTable[[#This Row],[State Code]],State!B:B,0))</f>
        <v>North</v>
      </c>
      <c r="K2779" t="s">
        <v>77</v>
      </c>
      <c r="L2779" t="s">
        <v>23</v>
      </c>
      <c r="M2779" t="s">
        <v>66</v>
      </c>
      <c r="N2779" t="str">
        <f>INDEX(Products!B:B,MATCH(OrdersTable[[#This Row],[Product ID]],Products!A:A,0))</f>
        <v>Sunscreen SPF 50</v>
      </c>
      <c r="O2779" t="str">
        <f>INDEX(Products!C:C,MATCH(OrdersTable[[#This Row],[Product ID]],Products!A:A,0))</f>
        <v>Skincare</v>
      </c>
      <c r="P2779">
        <v>1</v>
      </c>
      <c r="Q2779" s="5">
        <v>449</v>
      </c>
      <c r="R2779" s="74">
        <v>0.15</v>
      </c>
      <c r="S2779" s="75">
        <f>OrdersTable[[#This Row],[Quantity]]*OrdersTable[[#This Row],[Unit Price]]</f>
        <v>449</v>
      </c>
      <c r="T2779" s="5">
        <f>OrdersTable[[#This Row],[Gross Sale]]*OrdersTable[[#This Row],[Discount_Clean2]]</f>
        <v>67.349999999999994</v>
      </c>
      <c r="U2779" s="5">
        <f>OrdersTable[[#This Row],[Gross Sale]]-OrdersTable[[#This Row],[Discount Amount]]</f>
        <v>381.65</v>
      </c>
      <c r="V2779" s="77">
        <f>INDEX(Products!E:E,MATCH(OrdersTable[[#This Row],[Product ID]],Products!A:A,0))</f>
        <v>144</v>
      </c>
      <c r="W2779" s="77">
        <f>OrdersTable[[#This Row],[Quantity]]*OrdersTable[[#This Row],[Unit Cost]]</f>
        <v>144</v>
      </c>
      <c r="X2779" s="77">
        <f>'Dropdown Lists'!$I$2*(1+OrdersTable[[#This Row],[Returned]])</f>
        <v>60</v>
      </c>
      <c r="Y2779" s="76">
        <f>OrdersTable[[#This Row],[Net Revenue]]-OrdersTable[[#This Row],[COGS]]-OrdersTable[[#This Row],[Shipping Cost]]</f>
        <v>177.64999999999998</v>
      </c>
      <c r="Z2779" s="78">
        <f>IFERROR(OrdersTable[[#This Row],[Profit]]/OrdersTable[[#This Row],[Net Revenue]],0)</f>
        <v>0.465478841870824</v>
      </c>
      <c r="AA2779" t="s">
        <v>18</v>
      </c>
      <c r="AB2779" s="79">
        <v>45759</v>
      </c>
      <c r="AC2779">
        <f>OrdersTable[[#This Row],[Delivery Date]]-OrdersTable[[#This Row],[Order Date]]</f>
        <v>5</v>
      </c>
      <c r="AD2779" t="str">
        <f>IF(OrdersTable[[#This Row],[Delivery Days]]&lt;=2, "Express (≤2d)", IF(OrdersTable[[#This Row],[Delivery Days]]&lt;=4, "Standard (3-4d)", "Delayed (5d+)"))</f>
        <v>Delayed (5d+)</v>
      </c>
      <c r="AE2779">
        <v>4</v>
      </c>
      <c r="AF2779">
        <v>0</v>
      </c>
    </row>
    <row r="2780" spans="1:32" ht="15" x14ac:dyDescent="0.35">
      <c r="A2780" t="s">
        <v>4837</v>
      </c>
      <c r="B2780" s="1">
        <v>45754</v>
      </c>
      <c r="C2780">
        <f>YEAR(OrdersTable[[#This Row],[Order Date]])</f>
        <v>2025</v>
      </c>
      <c r="D2780" s="2">
        <f>DATE(YEAR(OrdersTable[[#This Row],[Order Date]]),MONTH(OrdersTable[[#This Row],[Order Date]]),1)</f>
        <v>45748</v>
      </c>
      <c r="E2780">
        <f>MONTH(OrdersTable[[#This Row],[Order Date]])</f>
        <v>4</v>
      </c>
      <c r="F2780" t="s">
        <v>4338</v>
      </c>
      <c r="G2780" t="str">
        <f>IF(OrdersTable[[#This Row],[Order Date]]=_xlfn.MINIFS(Order_Date, Customer_ID, OrdersTable[[#This Row],[Customer ID]]), "New", "Repeat")</f>
        <v>Repeat</v>
      </c>
      <c r="H2780" t="s">
        <v>76</v>
      </c>
      <c r="I2780" t="str">
        <f>INDEX(State!B:B,MATCH(OrdersTable[[#This Row],[State]],State!A:A,0))</f>
        <v>UP</v>
      </c>
      <c r="J2780" t="str">
        <f>INDEX(State!C:C,MATCH(OrdersTable[[#This Row],[State Code]],State!B:B,0))</f>
        <v>North</v>
      </c>
      <c r="K2780" t="s">
        <v>118</v>
      </c>
      <c r="L2780" t="s">
        <v>50</v>
      </c>
      <c r="M2780" t="s">
        <v>45</v>
      </c>
      <c r="N2780" t="str">
        <f>INDEX(Products!B:B,MATCH(OrdersTable[[#This Row],[Product ID]],Products!A:A,0))</f>
        <v>Argan Shampoo</v>
      </c>
      <c r="O2780" t="str">
        <f>INDEX(Products!C:C,MATCH(OrdersTable[[#This Row],[Product ID]],Products!A:A,0))</f>
        <v>Haircare</v>
      </c>
      <c r="P2780">
        <v>2</v>
      </c>
      <c r="Q2780" s="5">
        <v>449</v>
      </c>
      <c r="R2780" s="74">
        <v>0.05</v>
      </c>
      <c r="S2780" s="75">
        <f>OrdersTable[[#This Row],[Quantity]]*OrdersTable[[#This Row],[Unit Price]]</f>
        <v>898</v>
      </c>
      <c r="T2780" s="5">
        <f>OrdersTable[[#This Row],[Gross Sale]]*OrdersTable[[#This Row],[Discount_Clean2]]</f>
        <v>44.900000000000006</v>
      </c>
      <c r="U2780" s="5">
        <f>OrdersTable[[#This Row],[Gross Sale]]-OrdersTable[[#This Row],[Discount Amount]]</f>
        <v>853.1</v>
      </c>
      <c r="V2780" s="77">
        <f>INDEX(Products!E:E,MATCH(OrdersTable[[#This Row],[Product ID]],Products!A:A,0))</f>
        <v>148</v>
      </c>
      <c r="W2780" s="77">
        <f>OrdersTable[[#This Row],[Quantity]]*OrdersTable[[#This Row],[Unit Cost]]</f>
        <v>296</v>
      </c>
      <c r="X2780" s="77">
        <f>'Dropdown Lists'!$I$2*(1+OrdersTable[[#This Row],[Returned]])</f>
        <v>60</v>
      </c>
      <c r="Y2780" s="76">
        <f>OrdersTable[[#This Row],[Net Revenue]]-OrdersTable[[#This Row],[COGS]]-OrdersTable[[#This Row],[Shipping Cost]]</f>
        <v>497.1</v>
      </c>
      <c r="Z2780" s="78">
        <f>IFERROR(OrdersTable[[#This Row],[Profit]]/OrdersTable[[#This Row],[Net Revenue]],0)</f>
        <v>0.58269839409213453</v>
      </c>
      <c r="AA2780" t="s">
        <v>4450</v>
      </c>
      <c r="AB2780" s="79">
        <v>45757</v>
      </c>
      <c r="AC2780">
        <f>OrdersTable[[#This Row],[Delivery Date]]-OrdersTable[[#This Row],[Order Date]]</f>
        <v>3</v>
      </c>
      <c r="AD2780" t="str">
        <f>IF(OrdersTable[[#This Row],[Delivery Days]]&lt;=2, "Express (≤2d)", IF(OrdersTable[[#This Row],[Delivery Days]]&lt;=4, "Standard (3-4d)", "Delayed (5d+)"))</f>
        <v>Standard (3-4d)</v>
      </c>
      <c r="AE2780">
        <v>4</v>
      </c>
      <c r="AF2780">
        <v>0</v>
      </c>
    </row>
    <row r="2781" spans="1:32" ht="15" x14ac:dyDescent="0.35">
      <c r="A2781" t="s">
        <v>6893</v>
      </c>
      <c r="B2781" s="1">
        <v>45754</v>
      </c>
      <c r="C2781">
        <f>YEAR(OrdersTable[[#This Row],[Order Date]])</f>
        <v>2025</v>
      </c>
      <c r="D2781" s="2">
        <f>DATE(YEAR(OrdersTable[[#This Row],[Order Date]]),MONTH(OrdersTable[[#This Row],[Order Date]]),1)</f>
        <v>45748</v>
      </c>
      <c r="E2781">
        <f>MONTH(OrdersTable[[#This Row],[Order Date]])</f>
        <v>4</v>
      </c>
      <c r="F2781" t="s">
        <v>6894</v>
      </c>
      <c r="G2781" t="str">
        <f>IF(OrdersTable[[#This Row],[Order Date]]=_xlfn.MINIFS(Order_Date, Customer_ID, OrdersTable[[#This Row],[Customer ID]]), "New", "Repeat")</f>
        <v>New</v>
      </c>
      <c r="H2781" t="s">
        <v>43</v>
      </c>
      <c r="I2781" t="str">
        <f>INDEX(State!B:B,MATCH(OrdersTable[[#This Row],[State]],State!A:A,0))</f>
        <v>MP</v>
      </c>
      <c r="J2781" t="str">
        <f>INDEX(State!C:C,MATCH(OrdersTable[[#This Row],[State Code]],State!B:B,0))</f>
        <v>West</v>
      </c>
      <c r="K2781" t="s">
        <v>250</v>
      </c>
      <c r="L2781" t="s">
        <v>23</v>
      </c>
      <c r="M2781" t="s">
        <v>87</v>
      </c>
      <c r="N2781" t="str">
        <f>INDEX(Products!B:B,MATCH(OrdersTable[[#This Row],[Product ID]],Products!A:A,0))</f>
        <v>Linen Kurta</v>
      </c>
      <c r="O2781" t="str">
        <f>INDEX(Products!C:C,MATCH(OrdersTable[[#This Row],[Product ID]],Products!A:A,0))</f>
        <v>Apparel</v>
      </c>
      <c r="P2781">
        <v>3</v>
      </c>
      <c r="Q2781" s="5">
        <v>1499</v>
      </c>
      <c r="R2781" s="74">
        <v>0.25</v>
      </c>
      <c r="S2781" s="75">
        <f>OrdersTable[[#This Row],[Quantity]]*OrdersTable[[#This Row],[Unit Price]]</f>
        <v>4497</v>
      </c>
      <c r="T2781" s="5">
        <f>OrdersTable[[#This Row],[Gross Sale]]*OrdersTable[[#This Row],[Discount_Clean2]]</f>
        <v>1124.25</v>
      </c>
      <c r="U2781" s="5">
        <f>OrdersTable[[#This Row],[Gross Sale]]-OrdersTable[[#This Row],[Discount Amount]]</f>
        <v>3372.75</v>
      </c>
      <c r="V2781" s="77">
        <f>INDEX(Products!E:E,MATCH(OrdersTable[[#This Row],[Product ID]],Products!A:A,0))</f>
        <v>630</v>
      </c>
      <c r="W2781" s="77">
        <f>OrdersTable[[#This Row],[Quantity]]*OrdersTable[[#This Row],[Unit Cost]]</f>
        <v>1890</v>
      </c>
      <c r="X2781" s="77">
        <f>'Dropdown Lists'!$I$2*(1+OrdersTable[[#This Row],[Returned]])</f>
        <v>60</v>
      </c>
      <c r="Y2781" s="76">
        <f>OrdersTable[[#This Row],[Net Revenue]]-OrdersTable[[#This Row],[COGS]]-OrdersTable[[#This Row],[Shipping Cost]]</f>
        <v>1422.75</v>
      </c>
      <c r="Z2781" s="78">
        <f>IFERROR(OrdersTable[[#This Row],[Profit]]/OrdersTable[[#This Row],[Net Revenue]],0)</f>
        <v>0.42183678007560593</v>
      </c>
      <c r="AA2781" t="s">
        <v>4074</v>
      </c>
      <c r="AB2781" s="79">
        <v>45758</v>
      </c>
      <c r="AC2781">
        <f>OrdersTable[[#This Row],[Delivery Date]]-OrdersTable[[#This Row],[Order Date]]</f>
        <v>4</v>
      </c>
      <c r="AD2781" t="str">
        <f>IF(OrdersTable[[#This Row],[Delivery Days]]&lt;=2, "Express (≤2d)", IF(OrdersTable[[#This Row],[Delivery Days]]&lt;=4, "Standard (3-4d)", "Delayed (5d+)"))</f>
        <v>Standard (3-4d)</v>
      </c>
      <c r="AE2781">
        <v>4</v>
      </c>
      <c r="AF2781">
        <v>0</v>
      </c>
    </row>
    <row r="2782" spans="1:32" ht="15" x14ac:dyDescent="0.35">
      <c r="A2782" t="s">
        <v>3764</v>
      </c>
      <c r="B2782" s="1">
        <v>45754</v>
      </c>
      <c r="C2782">
        <f>YEAR(OrdersTable[[#This Row],[Order Date]])</f>
        <v>2025</v>
      </c>
      <c r="D2782" s="2">
        <f>DATE(YEAR(OrdersTable[[#This Row],[Order Date]]),MONTH(OrdersTable[[#This Row],[Order Date]]),1)</f>
        <v>45748</v>
      </c>
      <c r="E2782">
        <f>MONTH(OrdersTable[[#This Row],[Order Date]])</f>
        <v>4</v>
      </c>
      <c r="F2782" t="s">
        <v>3765</v>
      </c>
      <c r="G2782" t="str">
        <f>IF(OrdersTable[[#This Row],[Order Date]]=_xlfn.MINIFS(Order_Date, Customer_ID, OrdersTable[[#This Row],[Customer ID]]), "New", "Repeat")</f>
        <v>New</v>
      </c>
      <c r="H2782" t="s">
        <v>123</v>
      </c>
      <c r="I2782" t="str">
        <f>INDEX(State!B:B,MATCH(OrdersTable[[#This Row],[State]],State!A:A,0))</f>
        <v>JH</v>
      </c>
      <c r="J2782" t="str">
        <f>INDEX(State!C:C,MATCH(OrdersTable[[#This Row],[State Code]],State!B:B,0))</f>
        <v>East</v>
      </c>
      <c r="K2782" t="s">
        <v>124</v>
      </c>
      <c r="L2782" t="s">
        <v>50</v>
      </c>
      <c r="M2782" t="s">
        <v>73</v>
      </c>
      <c r="N2782" t="str">
        <f>INDEX(Products!B:B,MATCH(OrdersTable[[#This Row],[Product ID]],Products!A:A,0))</f>
        <v>Hydrating Face Wash</v>
      </c>
      <c r="O2782" t="str">
        <f>INDEX(Products!C:C,MATCH(OrdersTable[[#This Row],[Product ID]],Products!A:A,0))</f>
        <v>Skincare</v>
      </c>
      <c r="P2782">
        <v>1</v>
      </c>
      <c r="Q2782" s="5">
        <v>299</v>
      </c>
      <c r="R2782" s="74">
        <v>0</v>
      </c>
      <c r="S2782" s="75">
        <f>OrdersTable[[#This Row],[Quantity]]*OrdersTable[[#This Row],[Unit Price]]</f>
        <v>299</v>
      </c>
      <c r="T2782" s="5">
        <f>OrdersTable[[#This Row],[Gross Sale]]*OrdersTable[[#This Row],[Discount_Clean2]]</f>
        <v>0</v>
      </c>
      <c r="U2782" s="5">
        <f>OrdersTable[[#This Row],[Gross Sale]]-OrdersTable[[#This Row],[Discount Amount]]</f>
        <v>299</v>
      </c>
      <c r="V2782" s="77">
        <f>INDEX(Products!E:E,MATCH(OrdersTable[[#This Row],[Product ID]],Products!A:A,0))</f>
        <v>90</v>
      </c>
      <c r="W2782" s="77">
        <f>OrdersTable[[#This Row],[Quantity]]*OrdersTable[[#This Row],[Unit Cost]]</f>
        <v>90</v>
      </c>
      <c r="X2782" s="77">
        <f>'Dropdown Lists'!$I$2*(1+OrdersTable[[#This Row],[Returned]])</f>
        <v>60</v>
      </c>
      <c r="Y2782" s="76">
        <f>OrdersTable[[#This Row],[Net Revenue]]-OrdersTable[[#This Row],[COGS]]-OrdersTable[[#This Row],[Shipping Cost]]</f>
        <v>149</v>
      </c>
      <c r="Z2782" s="78">
        <f>IFERROR(OrdersTable[[#This Row],[Profit]]/OrdersTable[[#This Row],[Net Revenue]],0)</f>
        <v>0.49832775919732442</v>
      </c>
      <c r="AA2782" t="s">
        <v>3495</v>
      </c>
      <c r="AB2782" s="79">
        <v>45758</v>
      </c>
      <c r="AC2782">
        <f>OrdersTable[[#This Row],[Delivery Date]]-OrdersTable[[#This Row],[Order Date]]</f>
        <v>4</v>
      </c>
      <c r="AD2782" t="str">
        <f>IF(OrdersTable[[#This Row],[Delivery Days]]&lt;=2, "Express (≤2d)", IF(OrdersTable[[#This Row],[Delivery Days]]&lt;=4, "Standard (3-4d)", "Delayed (5d+)"))</f>
        <v>Standard (3-4d)</v>
      </c>
      <c r="AF2782">
        <v>0</v>
      </c>
    </row>
    <row r="2783" spans="1:32" ht="15" x14ac:dyDescent="0.35">
      <c r="A2783" t="s">
        <v>7002</v>
      </c>
      <c r="B2783" s="1">
        <v>45754</v>
      </c>
      <c r="C2783">
        <f>YEAR(OrdersTable[[#This Row],[Order Date]])</f>
        <v>2025</v>
      </c>
      <c r="D2783" s="2">
        <f>DATE(YEAR(OrdersTable[[#This Row],[Order Date]]),MONTH(OrdersTable[[#This Row],[Order Date]]),1)</f>
        <v>45748</v>
      </c>
      <c r="E2783">
        <f>MONTH(OrdersTable[[#This Row],[Order Date]])</f>
        <v>4</v>
      </c>
      <c r="F2783" t="s">
        <v>2697</v>
      </c>
      <c r="G2783" t="str">
        <f>IF(OrdersTable[[#This Row],[Order Date]]=_xlfn.MINIFS(Order_Date, Customer_ID, OrdersTable[[#This Row],[Customer ID]]), "New", "Repeat")</f>
        <v>Repeat</v>
      </c>
      <c r="H2783" t="s">
        <v>71</v>
      </c>
      <c r="I2783" t="str">
        <f>INDEX(State!B:B,MATCH(OrdersTable[[#This Row],[State]],State!A:A,0))</f>
        <v>MH</v>
      </c>
      <c r="J2783" t="str">
        <f>INDEX(State!C:C,MATCH(OrdersTable[[#This Row],[State Code]],State!B:B,0))</f>
        <v>West</v>
      </c>
      <c r="K2783" t="s">
        <v>81</v>
      </c>
      <c r="L2783" t="s">
        <v>65</v>
      </c>
      <c r="M2783" t="s">
        <v>56</v>
      </c>
      <c r="N2783" t="str">
        <f>INDEX(Products!B:B,MATCH(OrdersTable[[#This Row],[Product ID]],Products!A:A,0))</f>
        <v>Vitamin C Face Serum</v>
      </c>
      <c r="O2783" t="str">
        <f>INDEX(Products!C:C,MATCH(OrdersTable[[#This Row],[Product ID]],Products!A:A,0))</f>
        <v>Skincare</v>
      </c>
      <c r="P2783">
        <v>4</v>
      </c>
      <c r="Q2783" s="5">
        <v>599</v>
      </c>
      <c r="R2783" s="74">
        <v>0.1</v>
      </c>
      <c r="S2783" s="75">
        <f>OrdersTable[[#This Row],[Quantity]]*OrdersTable[[#This Row],[Unit Price]]</f>
        <v>2396</v>
      </c>
      <c r="T2783" s="5">
        <f>OrdersTable[[#This Row],[Gross Sale]]*OrdersTable[[#This Row],[Discount_Clean2]]</f>
        <v>239.60000000000002</v>
      </c>
      <c r="U2783" s="5">
        <f>OrdersTable[[#This Row],[Gross Sale]]-OrdersTable[[#This Row],[Discount Amount]]</f>
        <v>2156.4</v>
      </c>
      <c r="V2783" s="77">
        <f>INDEX(Products!E:E,MATCH(OrdersTable[[#This Row],[Product ID]],Products!A:A,0))</f>
        <v>180</v>
      </c>
      <c r="W2783" s="77">
        <f>OrdersTable[[#This Row],[Quantity]]*OrdersTable[[#This Row],[Unit Cost]]</f>
        <v>720</v>
      </c>
      <c r="X2783" s="77">
        <f>'Dropdown Lists'!$I$2*(1+OrdersTable[[#This Row],[Returned]])</f>
        <v>60</v>
      </c>
      <c r="Y2783" s="76">
        <f>OrdersTable[[#This Row],[Net Revenue]]-OrdersTable[[#This Row],[COGS]]-OrdersTable[[#This Row],[Shipping Cost]]</f>
        <v>1376.4</v>
      </c>
      <c r="Z2783" s="78">
        <f>IFERROR(OrdersTable[[#This Row],[Profit]]/OrdersTable[[#This Row],[Net Revenue]],0)</f>
        <v>0.63828603227601555</v>
      </c>
      <c r="AA2783" t="s">
        <v>4074</v>
      </c>
      <c r="AB2783" s="79">
        <v>45757</v>
      </c>
      <c r="AC2783">
        <f>OrdersTable[[#This Row],[Delivery Date]]-OrdersTable[[#This Row],[Order Date]]</f>
        <v>3</v>
      </c>
      <c r="AD2783" t="str">
        <f>IF(OrdersTable[[#This Row],[Delivery Days]]&lt;=2, "Express (≤2d)", IF(OrdersTable[[#This Row],[Delivery Days]]&lt;=4, "Standard (3-4d)", "Delayed (5d+)"))</f>
        <v>Standard (3-4d)</v>
      </c>
      <c r="AF2783">
        <v>0</v>
      </c>
    </row>
    <row r="2784" spans="1:32" ht="15" x14ac:dyDescent="0.35">
      <c r="A2784" t="s">
        <v>4407</v>
      </c>
      <c r="B2784" s="1">
        <v>45754</v>
      </c>
      <c r="C2784">
        <f>YEAR(OrdersTable[[#This Row],[Order Date]])</f>
        <v>2025</v>
      </c>
      <c r="D2784" s="2">
        <f>DATE(YEAR(OrdersTable[[#This Row],[Order Date]]),MONTH(OrdersTable[[#This Row],[Order Date]]),1)</f>
        <v>45748</v>
      </c>
      <c r="E2784">
        <f>MONTH(OrdersTable[[#This Row],[Order Date]])</f>
        <v>4</v>
      </c>
      <c r="F2784" t="s">
        <v>297</v>
      </c>
      <c r="G2784" t="str">
        <f>IF(OrdersTable[[#This Row],[Order Date]]=_xlfn.MINIFS(Order_Date, Customer_ID, OrdersTable[[#This Row],[Customer ID]]), "New", "Repeat")</f>
        <v>Repeat</v>
      </c>
      <c r="H2784" t="s">
        <v>167</v>
      </c>
      <c r="I2784" t="str">
        <f>INDEX(State!B:B,MATCH(OrdersTable[[#This Row],[State]],State!A:A,0))</f>
        <v>KA</v>
      </c>
      <c r="J2784" t="str">
        <f>INDEX(State!C:C,MATCH(OrdersTable[[#This Row],[State Code]],State!B:B,0))</f>
        <v>South</v>
      </c>
      <c r="K2784" t="s">
        <v>168</v>
      </c>
      <c r="L2784" t="s">
        <v>65</v>
      </c>
      <c r="M2784" t="s">
        <v>84</v>
      </c>
      <c r="N2784" t="str">
        <f>INDEX(Products!B:B,MATCH(OrdersTable[[#This Row],[Product ID]],Products!A:A,0))</f>
        <v>Cotton Bedsheet</v>
      </c>
      <c r="O2784" t="str">
        <f>INDEX(Products!C:C,MATCH(OrdersTable[[#This Row],[Product ID]],Products!A:A,0))</f>
        <v>Home &amp; Kitchen</v>
      </c>
      <c r="P2784">
        <v>1</v>
      </c>
      <c r="Q2784" s="5">
        <v>1299</v>
      </c>
      <c r="R2784" s="74">
        <v>0</v>
      </c>
      <c r="S2784" s="75">
        <f>OrdersTable[[#This Row],[Quantity]]*OrdersTable[[#This Row],[Unit Price]]</f>
        <v>1299</v>
      </c>
      <c r="T2784" s="5">
        <f>OrdersTable[[#This Row],[Gross Sale]]*OrdersTable[[#This Row],[Discount_Clean2]]</f>
        <v>0</v>
      </c>
      <c r="U2784" s="5">
        <f>OrdersTable[[#This Row],[Gross Sale]]-OrdersTable[[#This Row],[Discount Amount]]</f>
        <v>1299</v>
      </c>
      <c r="V2784" s="77">
        <f>INDEX(Products!E:E,MATCH(OrdersTable[[#This Row],[Product ID]],Products!A:A,0))</f>
        <v>585</v>
      </c>
      <c r="W2784" s="77">
        <f>OrdersTable[[#This Row],[Quantity]]*OrdersTable[[#This Row],[Unit Cost]]</f>
        <v>585</v>
      </c>
      <c r="X2784" s="77">
        <f>'Dropdown Lists'!$I$2*(1+OrdersTable[[#This Row],[Returned]])</f>
        <v>60</v>
      </c>
      <c r="Y2784" s="76">
        <f>OrdersTable[[#This Row],[Net Revenue]]-OrdersTable[[#This Row],[COGS]]-OrdersTable[[#This Row],[Shipping Cost]]</f>
        <v>654</v>
      </c>
      <c r="Z2784" s="78">
        <f>IFERROR(OrdersTable[[#This Row],[Profit]]/OrdersTable[[#This Row],[Net Revenue]],0)</f>
        <v>0.50346420323325636</v>
      </c>
      <c r="AA2784" t="s">
        <v>4074</v>
      </c>
      <c r="AB2784" s="79">
        <v>45756</v>
      </c>
      <c r="AC2784">
        <f>OrdersTable[[#This Row],[Delivery Date]]-OrdersTable[[#This Row],[Order Date]]</f>
        <v>2</v>
      </c>
      <c r="AD2784" t="str">
        <f>IF(OrdersTable[[#This Row],[Delivery Days]]&lt;=2, "Express (≤2d)", IF(OrdersTable[[#This Row],[Delivery Days]]&lt;=4, "Standard (3-4d)", "Delayed (5d+)"))</f>
        <v>Express (≤2d)</v>
      </c>
      <c r="AE2784">
        <v>4</v>
      </c>
      <c r="AF2784">
        <v>0</v>
      </c>
    </row>
    <row r="2785" spans="1:32" ht="15" x14ac:dyDescent="0.35">
      <c r="A2785" t="s">
        <v>3271</v>
      </c>
      <c r="B2785" s="1">
        <v>45754</v>
      </c>
      <c r="C2785">
        <f>YEAR(OrdersTable[[#This Row],[Order Date]])</f>
        <v>2025</v>
      </c>
      <c r="D2785" s="2">
        <f>DATE(YEAR(OrdersTable[[#This Row],[Order Date]]),MONTH(OrdersTable[[#This Row],[Order Date]]),1)</f>
        <v>45748</v>
      </c>
      <c r="E2785">
        <f>MONTH(OrdersTable[[#This Row],[Order Date]])</f>
        <v>4</v>
      </c>
      <c r="F2785" t="s">
        <v>3272</v>
      </c>
      <c r="G2785" t="str">
        <f>IF(OrdersTable[[#This Row],[Order Date]]=_xlfn.MINIFS(Order_Date, Customer_ID, OrdersTable[[#This Row],[Customer ID]]), "New", "Repeat")</f>
        <v>Repeat</v>
      </c>
      <c r="H2785" t="s">
        <v>167</v>
      </c>
      <c r="I2785" t="str">
        <f>INDEX(State!B:B,MATCH(OrdersTable[[#This Row],[State]],State!A:A,0))</f>
        <v>KA</v>
      </c>
      <c r="J2785" t="str">
        <f>INDEX(State!C:C,MATCH(OrdersTable[[#This Row],[State Code]],State!B:B,0))</f>
        <v>South</v>
      </c>
      <c r="K2785" t="s">
        <v>190</v>
      </c>
      <c r="L2785" t="s">
        <v>23</v>
      </c>
      <c r="M2785" t="s">
        <v>87</v>
      </c>
      <c r="N2785" t="str">
        <f>INDEX(Products!B:B,MATCH(OrdersTable[[#This Row],[Product ID]],Products!A:A,0))</f>
        <v>Linen Kurta</v>
      </c>
      <c r="O2785" t="str">
        <f>INDEX(Products!C:C,MATCH(OrdersTable[[#This Row],[Product ID]],Products!A:A,0))</f>
        <v>Apparel</v>
      </c>
      <c r="P2785">
        <v>1</v>
      </c>
      <c r="Q2785" s="5">
        <v>1499</v>
      </c>
      <c r="R2785" s="74">
        <v>0.3</v>
      </c>
      <c r="S2785" s="75">
        <f>OrdersTable[[#This Row],[Quantity]]*OrdersTable[[#This Row],[Unit Price]]</f>
        <v>1499</v>
      </c>
      <c r="T2785" s="5">
        <f>OrdersTable[[#This Row],[Gross Sale]]*OrdersTable[[#This Row],[Discount_Clean2]]</f>
        <v>449.7</v>
      </c>
      <c r="U2785" s="5">
        <f>OrdersTable[[#This Row],[Gross Sale]]-OrdersTable[[#This Row],[Discount Amount]]</f>
        <v>1049.3</v>
      </c>
      <c r="V2785" s="77">
        <f>INDEX(Products!E:E,MATCH(OrdersTable[[#This Row],[Product ID]],Products!A:A,0))</f>
        <v>630</v>
      </c>
      <c r="W2785" s="77">
        <f>OrdersTable[[#This Row],[Quantity]]*OrdersTable[[#This Row],[Unit Cost]]</f>
        <v>630</v>
      </c>
      <c r="X2785" s="77">
        <f>'Dropdown Lists'!$I$2*(1+OrdersTable[[#This Row],[Returned]])</f>
        <v>120</v>
      </c>
      <c r="Y2785" s="76">
        <f>OrdersTable[[#This Row],[Net Revenue]]-OrdersTable[[#This Row],[COGS]]-OrdersTable[[#This Row],[Shipping Cost]]</f>
        <v>299.29999999999995</v>
      </c>
      <c r="Z2785" s="78">
        <f>IFERROR(OrdersTable[[#This Row],[Profit]]/OrdersTable[[#This Row],[Net Revenue]],0)</f>
        <v>0.28523777756599633</v>
      </c>
      <c r="AA2785" t="s">
        <v>2522</v>
      </c>
      <c r="AB2785" s="79">
        <v>45755</v>
      </c>
      <c r="AC2785">
        <f>OrdersTable[[#This Row],[Delivery Date]]-OrdersTable[[#This Row],[Order Date]]</f>
        <v>1</v>
      </c>
      <c r="AD2785" t="str">
        <f>IF(OrdersTable[[#This Row],[Delivery Days]]&lt;=2, "Express (≤2d)", IF(OrdersTable[[#This Row],[Delivery Days]]&lt;=4, "Standard (3-4d)", "Delayed (5d+)"))</f>
        <v>Express (≤2d)</v>
      </c>
      <c r="AE2785">
        <v>4</v>
      </c>
      <c r="AF2785">
        <v>1</v>
      </c>
    </row>
    <row r="2786" spans="1:32" ht="15" x14ac:dyDescent="0.35">
      <c r="A2786" t="s">
        <v>5707</v>
      </c>
      <c r="B2786" s="1">
        <v>45754</v>
      </c>
      <c r="C2786">
        <f>YEAR(OrdersTable[[#This Row],[Order Date]])</f>
        <v>2025</v>
      </c>
      <c r="D2786" s="2">
        <f>DATE(YEAR(OrdersTable[[#This Row],[Order Date]]),MONTH(OrdersTable[[#This Row],[Order Date]]),1)</f>
        <v>45748</v>
      </c>
      <c r="E2786">
        <f>MONTH(OrdersTable[[#This Row],[Order Date]])</f>
        <v>4</v>
      </c>
      <c r="F2786" t="s">
        <v>1988</v>
      </c>
      <c r="G2786" t="str">
        <f>IF(OrdersTable[[#This Row],[Order Date]]=_xlfn.MINIFS(Order_Date, Customer_ID, OrdersTable[[#This Row],[Customer ID]]), "New", "Repeat")</f>
        <v>Repeat</v>
      </c>
      <c r="H2786" t="s">
        <v>167</v>
      </c>
      <c r="I2786" t="str">
        <f>INDEX(State!B:B,MATCH(OrdersTable[[#This Row],[State]],State!A:A,0))</f>
        <v>KA</v>
      </c>
      <c r="J2786" t="str">
        <f>INDEX(State!C:C,MATCH(OrdersTable[[#This Row],[State Code]],State!B:B,0))</f>
        <v>South</v>
      </c>
      <c r="K2786" t="s">
        <v>190</v>
      </c>
      <c r="L2786" t="s">
        <v>16</v>
      </c>
      <c r="M2786" t="s">
        <v>87</v>
      </c>
      <c r="N2786" t="str">
        <f>INDEX(Products!B:B,MATCH(OrdersTable[[#This Row],[Product ID]],Products!A:A,0))</f>
        <v>Linen Kurta</v>
      </c>
      <c r="O2786" t="str">
        <f>INDEX(Products!C:C,MATCH(OrdersTable[[#This Row],[Product ID]],Products!A:A,0))</f>
        <v>Apparel</v>
      </c>
      <c r="P2786">
        <v>2</v>
      </c>
      <c r="Q2786" s="5">
        <v>1499</v>
      </c>
      <c r="R2786" s="74">
        <v>0.4</v>
      </c>
      <c r="S2786" s="75">
        <f>OrdersTable[[#This Row],[Quantity]]*OrdersTable[[#This Row],[Unit Price]]</f>
        <v>2998</v>
      </c>
      <c r="T2786" s="5">
        <f>OrdersTable[[#This Row],[Gross Sale]]*OrdersTable[[#This Row],[Discount_Clean2]]</f>
        <v>1199.2</v>
      </c>
      <c r="U2786" s="5">
        <f>OrdersTable[[#This Row],[Gross Sale]]-OrdersTable[[#This Row],[Discount Amount]]</f>
        <v>1798.8</v>
      </c>
      <c r="V2786" s="77">
        <f>INDEX(Products!E:E,MATCH(OrdersTable[[#This Row],[Product ID]],Products!A:A,0))</f>
        <v>630</v>
      </c>
      <c r="W2786" s="77">
        <f>OrdersTable[[#This Row],[Quantity]]*OrdersTable[[#This Row],[Unit Cost]]</f>
        <v>1260</v>
      </c>
      <c r="X2786" s="77">
        <f>'Dropdown Lists'!$I$2*(1+OrdersTable[[#This Row],[Returned]])</f>
        <v>60</v>
      </c>
      <c r="Y2786" s="76">
        <f>OrdersTable[[#This Row],[Net Revenue]]-OrdersTable[[#This Row],[COGS]]-OrdersTable[[#This Row],[Shipping Cost]]</f>
        <v>478.79999999999995</v>
      </c>
      <c r="Z2786" s="78">
        <f>IFERROR(OrdersTable[[#This Row],[Profit]]/OrdersTable[[#This Row],[Net Revenue]],0)</f>
        <v>0.26617745163442291</v>
      </c>
      <c r="AA2786" t="s">
        <v>18</v>
      </c>
      <c r="AB2786" s="79">
        <v>45755</v>
      </c>
      <c r="AC2786">
        <f>OrdersTable[[#This Row],[Delivery Date]]-OrdersTable[[#This Row],[Order Date]]</f>
        <v>1</v>
      </c>
      <c r="AD2786" t="str">
        <f>IF(OrdersTable[[#This Row],[Delivery Days]]&lt;=2, "Express (≤2d)", IF(OrdersTable[[#This Row],[Delivery Days]]&lt;=4, "Standard (3-4d)", "Delayed (5d+)"))</f>
        <v>Express (≤2d)</v>
      </c>
      <c r="AE2786">
        <v>3</v>
      </c>
      <c r="AF2786">
        <v>0</v>
      </c>
    </row>
    <row r="2787" spans="1:32" ht="15" x14ac:dyDescent="0.35">
      <c r="A2787" t="s">
        <v>1726</v>
      </c>
      <c r="B2787" s="1">
        <v>45755</v>
      </c>
      <c r="C2787">
        <f>YEAR(OrdersTable[[#This Row],[Order Date]])</f>
        <v>2025</v>
      </c>
      <c r="D2787" s="2">
        <f>DATE(YEAR(OrdersTable[[#This Row],[Order Date]]),MONTH(OrdersTable[[#This Row],[Order Date]]),1)</f>
        <v>45748</v>
      </c>
      <c r="E2787">
        <f>MONTH(OrdersTable[[#This Row],[Order Date]])</f>
        <v>4</v>
      </c>
      <c r="F2787" t="s">
        <v>1727</v>
      </c>
      <c r="G2787" t="str">
        <f>IF(OrdersTable[[#This Row],[Order Date]]=_xlfn.MINIFS(Order_Date, Customer_ID, OrdersTable[[#This Row],[Customer ID]]), "New", "Repeat")</f>
        <v>Repeat</v>
      </c>
      <c r="H2787" t="s">
        <v>184</v>
      </c>
      <c r="I2787" t="str">
        <f>INDEX(State!B:B,MATCH(OrdersTable[[#This Row],[State]],State!A:A,0))</f>
        <v>UK</v>
      </c>
      <c r="J2787" t="str">
        <f>INDEX(State!C:C,MATCH(OrdersTable[[#This Row],[State Code]],State!B:B,0))</f>
        <v>North</v>
      </c>
      <c r="K2787" t="s">
        <v>185</v>
      </c>
      <c r="L2787" t="s">
        <v>65</v>
      </c>
      <c r="M2787" t="s">
        <v>87</v>
      </c>
      <c r="N2787" t="str">
        <f>INDEX(Products!B:B,MATCH(OrdersTable[[#This Row],[Product ID]],Products!A:A,0))</f>
        <v>Linen Kurta</v>
      </c>
      <c r="O2787" t="str">
        <f>INDEX(Products!C:C,MATCH(OrdersTable[[#This Row],[Product ID]],Products!A:A,0))</f>
        <v>Apparel</v>
      </c>
      <c r="P2787">
        <v>1</v>
      </c>
      <c r="Q2787" s="5">
        <v>1499</v>
      </c>
      <c r="R2787" s="74">
        <v>0.4</v>
      </c>
      <c r="S2787" s="75">
        <f>OrdersTable[[#This Row],[Quantity]]*OrdersTable[[#This Row],[Unit Price]]</f>
        <v>1499</v>
      </c>
      <c r="T2787" s="5">
        <f>OrdersTable[[#This Row],[Gross Sale]]*OrdersTable[[#This Row],[Discount_Clean2]]</f>
        <v>599.6</v>
      </c>
      <c r="U2787" s="5">
        <f>OrdersTable[[#This Row],[Gross Sale]]-OrdersTable[[#This Row],[Discount Amount]]</f>
        <v>899.4</v>
      </c>
      <c r="V2787" s="77">
        <f>INDEX(Products!E:E,MATCH(OrdersTable[[#This Row],[Product ID]],Products!A:A,0))</f>
        <v>630</v>
      </c>
      <c r="W2787" s="77">
        <f>OrdersTable[[#This Row],[Quantity]]*OrdersTable[[#This Row],[Unit Cost]]</f>
        <v>630</v>
      </c>
      <c r="X2787" s="77">
        <f>'Dropdown Lists'!$I$2*(1+OrdersTable[[#This Row],[Returned]])</f>
        <v>60</v>
      </c>
      <c r="Y2787" s="76">
        <f>OrdersTable[[#This Row],[Net Revenue]]-OrdersTable[[#This Row],[COGS]]-OrdersTable[[#This Row],[Shipping Cost]]</f>
        <v>209.39999999999998</v>
      </c>
      <c r="Z2787" s="78">
        <f>IFERROR(OrdersTable[[#This Row],[Profit]]/OrdersTable[[#This Row],[Net Revenue]],0)</f>
        <v>0.23282188125416942</v>
      </c>
      <c r="AA2787" t="s">
        <v>18</v>
      </c>
      <c r="AB2787" s="79">
        <v>45759</v>
      </c>
      <c r="AC2787">
        <f>OrdersTable[[#This Row],[Delivery Date]]-OrdersTable[[#This Row],[Order Date]]</f>
        <v>4</v>
      </c>
      <c r="AD2787" t="str">
        <f>IF(OrdersTable[[#This Row],[Delivery Days]]&lt;=2, "Express (≤2d)", IF(OrdersTable[[#This Row],[Delivery Days]]&lt;=4, "Standard (3-4d)", "Delayed (5d+)"))</f>
        <v>Standard (3-4d)</v>
      </c>
      <c r="AF2787">
        <v>0</v>
      </c>
    </row>
    <row r="2788" spans="1:32" ht="15" x14ac:dyDescent="0.35">
      <c r="A2788" t="s">
        <v>6895</v>
      </c>
      <c r="B2788" s="1">
        <v>45755</v>
      </c>
      <c r="C2788">
        <f>YEAR(OrdersTable[[#This Row],[Order Date]])</f>
        <v>2025</v>
      </c>
      <c r="D2788" s="2">
        <f>DATE(YEAR(OrdersTable[[#This Row],[Order Date]]),MONTH(OrdersTable[[#This Row],[Order Date]]),1)</f>
        <v>45748</v>
      </c>
      <c r="E2788">
        <f>MONTH(OrdersTable[[#This Row],[Order Date]])</f>
        <v>4</v>
      </c>
      <c r="F2788" t="s">
        <v>6896</v>
      </c>
      <c r="G2788" t="str">
        <f>IF(OrdersTable[[#This Row],[Order Date]]=_xlfn.MINIFS(Order_Date, Customer_ID, OrdersTable[[#This Row],[Customer ID]]), "New", "Repeat")</f>
        <v>New</v>
      </c>
      <c r="H2788" t="s">
        <v>54</v>
      </c>
      <c r="I2788" t="str">
        <f>INDEX(State!B:B,MATCH(OrdersTable[[#This Row],[State]],State!A:A,0))</f>
        <v>RJ</v>
      </c>
      <c r="J2788" t="str">
        <f>INDEX(State!C:C,MATCH(OrdersTable[[#This Row],[State Code]],State!B:B,0))</f>
        <v>North</v>
      </c>
      <c r="K2788" t="s">
        <v>227</v>
      </c>
      <c r="L2788" t="s">
        <v>23</v>
      </c>
      <c r="M2788" t="s">
        <v>29</v>
      </c>
      <c r="N2788" t="str">
        <f>INDEX(Products!B:B,MATCH(OrdersTable[[#This Row],[Product ID]],Products!A:A,0))</f>
        <v>Joggers</v>
      </c>
      <c r="O2788" t="str">
        <f>INDEX(Products!C:C,MATCH(OrdersTable[[#This Row],[Product ID]],Products!A:A,0))</f>
        <v>Apparel</v>
      </c>
      <c r="P2788">
        <v>3</v>
      </c>
      <c r="Q2788" s="5">
        <v>1199</v>
      </c>
      <c r="R2788" s="74">
        <v>0.2</v>
      </c>
      <c r="S2788" s="75">
        <f>OrdersTable[[#This Row],[Quantity]]*OrdersTable[[#This Row],[Unit Price]]</f>
        <v>3597</v>
      </c>
      <c r="T2788" s="5">
        <f>OrdersTable[[#This Row],[Gross Sale]]*OrdersTable[[#This Row],[Discount_Clean2]]</f>
        <v>719.40000000000009</v>
      </c>
      <c r="U2788" s="5">
        <f>OrdersTable[[#This Row],[Gross Sale]]-OrdersTable[[#This Row],[Discount Amount]]</f>
        <v>2877.6</v>
      </c>
      <c r="V2788" s="77">
        <f>INDEX(Products!E:E,MATCH(OrdersTable[[#This Row],[Product ID]],Products!A:A,0))</f>
        <v>492</v>
      </c>
      <c r="W2788" s="77">
        <f>OrdersTable[[#This Row],[Quantity]]*OrdersTable[[#This Row],[Unit Cost]]</f>
        <v>1476</v>
      </c>
      <c r="X2788" s="77">
        <f>'Dropdown Lists'!$I$2*(1+OrdersTable[[#This Row],[Returned]])</f>
        <v>60</v>
      </c>
      <c r="Y2788" s="76">
        <f>OrdersTable[[#This Row],[Net Revenue]]-OrdersTable[[#This Row],[COGS]]-OrdersTable[[#This Row],[Shipping Cost]]</f>
        <v>1341.6</v>
      </c>
      <c r="Z2788" s="78">
        <f>IFERROR(OrdersTable[[#This Row],[Profit]]/OrdersTable[[#This Row],[Net Revenue]],0)</f>
        <v>0.46622185154295243</v>
      </c>
      <c r="AA2788" t="s">
        <v>4450</v>
      </c>
      <c r="AB2788" s="79">
        <v>45757</v>
      </c>
      <c r="AC2788">
        <f>OrdersTable[[#This Row],[Delivery Date]]-OrdersTable[[#This Row],[Order Date]]</f>
        <v>2</v>
      </c>
      <c r="AD2788" t="str">
        <f>IF(OrdersTable[[#This Row],[Delivery Days]]&lt;=2, "Express (≤2d)", IF(OrdersTable[[#This Row],[Delivery Days]]&lt;=4, "Standard (3-4d)", "Delayed (5d+)"))</f>
        <v>Express (≤2d)</v>
      </c>
      <c r="AE2788">
        <v>5</v>
      </c>
      <c r="AF2788">
        <v>0</v>
      </c>
    </row>
    <row r="2789" spans="1:32" ht="15" x14ac:dyDescent="0.35">
      <c r="A2789" t="s">
        <v>3766</v>
      </c>
      <c r="B2789" s="1">
        <v>45755</v>
      </c>
      <c r="C2789">
        <f>YEAR(OrdersTable[[#This Row],[Order Date]])</f>
        <v>2025</v>
      </c>
      <c r="D2789" s="2">
        <f>DATE(YEAR(OrdersTable[[#This Row],[Order Date]]),MONTH(OrdersTable[[#This Row],[Order Date]]),1)</f>
        <v>45748</v>
      </c>
      <c r="E2789">
        <f>MONTH(OrdersTable[[#This Row],[Order Date]])</f>
        <v>4</v>
      </c>
      <c r="F2789" t="s">
        <v>1878</v>
      </c>
      <c r="G2789" t="str">
        <f>IF(OrdersTable[[#This Row],[Order Date]]=_xlfn.MINIFS(Order_Date, Customer_ID, OrdersTable[[#This Row],[Customer ID]]), "New", "Repeat")</f>
        <v>Repeat</v>
      </c>
      <c r="H2789" t="s">
        <v>32</v>
      </c>
      <c r="I2789" t="str">
        <f>INDEX(State!B:B,MATCH(OrdersTable[[#This Row],[State]],State!A:A,0))</f>
        <v>BR</v>
      </c>
      <c r="J2789" t="str">
        <f>INDEX(State!C:C,MATCH(OrdersTable[[#This Row],[State Code]],State!B:B,0))</f>
        <v>East</v>
      </c>
      <c r="K2789" t="s">
        <v>33</v>
      </c>
      <c r="L2789" t="s">
        <v>39</v>
      </c>
      <c r="M2789" t="s">
        <v>255</v>
      </c>
      <c r="N2789" t="str">
        <f>INDEX(Products!B:B,MATCH(OrdersTable[[#This Row],[Product ID]],Products!A:A,0))</f>
        <v>Cotton Oversized T-Shirt</v>
      </c>
      <c r="O2789" t="str">
        <f>INDEX(Products!C:C,MATCH(OrdersTable[[#This Row],[Product ID]],Products!A:A,0))</f>
        <v>Apparel</v>
      </c>
      <c r="P2789">
        <v>1</v>
      </c>
      <c r="Q2789" s="5">
        <v>799</v>
      </c>
      <c r="R2789" s="74">
        <v>0</v>
      </c>
      <c r="S2789" s="75">
        <f>OrdersTable[[#This Row],[Quantity]]*OrdersTable[[#This Row],[Unit Price]]</f>
        <v>799</v>
      </c>
      <c r="T2789" s="5">
        <f>OrdersTable[[#This Row],[Gross Sale]]*OrdersTable[[#This Row],[Discount_Clean2]]</f>
        <v>0</v>
      </c>
      <c r="U2789" s="5">
        <f>OrdersTable[[#This Row],[Gross Sale]]-OrdersTable[[#This Row],[Discount Amount]]</f>
        <v>799</v>
      </c>
      <c r="V2789" s="77">
        <f>INDEX(Products!E:E,MATCH(OrdersTable[[#This Row],[Product ID]],Products!A:A,0))</f>
        <v>320</v>
      </c>
      <c r="W2789" s="77">
        <f>OrdersTable[[#This Row],[Quantity]]*OrdersTable[[#This Row],[Unit Cost]]</f>
        <v>320</v>
      </c>
      <c r="X2789" s="77">
        <f>'Dropdown Lists'!$I$2*(1+OrdersTable[[#This Row],[Returned]])</f>
        <v>60</v>
      </c>
      <c r="Y2789" s="76">
        <f>OrdersTable[[#This Row],[Net Revenue]]-OrdersTable[[#This Row],[COGS]]-OrdersTable[[#This Row],[Shipping Cost]]</f>
        <v>419</v>
      </c>
      <c r="Z2789" s="78">
        <f>IFERROR(OrdersTable[[#This Row],[Profit]]/OrdersTable[[#This Row],[Net Revenue]],0)</f>
        <v>0.52440550688360454</v>
      </c>
      <c r="AA2789" t="s">
        <v>3495</v>
      </c>
      <c r="AB2789" s="79">
        <v>45760</v>
      </c>
      <c r="AC2789">
        <f>OrdersTable[[#This Row],[Delivery Date]]-OrdersTable[[#This Row],[Order Date]]</f>
        <v>5</v>
      </c>
      <c r="AD2789" t="str">
        <f>IF(OrdersTable[[#This Row],[Delivery Days]]&lt;=2, "Express (≤2d)", IF(OrdersTable[[#This Row],[Delivery Days]]&lt;=4, "Standard (3-4d)", "Delayed (5d+)"))</f>
        <v>Delayed (5d+)</v>
      </c>
      <c r="AF2789">
        <v>0</v>
      </c>
    </row>
    <row r="2790" spans="1:32" ht="15" x14ac:dyDescent="0.35">
      <c r="A2790" t="s">
        <v>5611</v>
      </c>
      <c r="B2790" s="1">
        <v>45755</v>
      </c>
      <c r="C2790">
        <f>YEAR(OrdersTable[[#This Row],[Order Date]])</f>
        <v>2025</v>
      </c>
      <c r="D2790" s="2">
        <f>DATE(YEAR(OrdersTable[[#This Row],[Order Date]]),MONTH(OrdersTable[[#This Row],[Order Date]]),1)</f>
        <v>45748</v>
      </c>
      <c r="E2790">
        <f>MONTH(OrdersTable[[#This Row],[Order Date]])</f>
        <v>4</v>
      </c>
      <c r="F2790" t="s">
        <v>887</v>
      </c>
      <c r="G2790" t="str">
        <f>IF(OrdersTable[[#This Row],[Order Date]]=_xlfn.MINIFS(Order_Date, Customer_ID, OrdersTable[[#This Row],[Customer ID]]), "New", "Repeat")</f>
        <v>Repeat</v>
      </c>
      <c r="H2790" t="s">
        <v>43</v>
      </c>
      <c r="I2790" t="str">
        <f>INDEX(State!B:B,MATCH(OrdersTable[[#This Row],[State]],State!A:A,0))</f>
        <v>MP</v>
      </c>
      <c r="J2790" t="str">
        <f>INDEX(State!C:C,MATCH(OrdersTable[[#This Row],[State Code]],State!B:B,0))</f>
        <v>West</v>
      </c>
      <c r="K2790" t="s">
        <v>250</v>
      </c>
      <c r="L2790" t="s">
        <v>50</v>
      </c>
      <c r="M2790" t="s">
        <v>152</v>
      </c>
      <c r="N2790" t="str">
        <f>INDEX(Products!B:B,MATCH(OrdersTable[[#This Row],[Product ID]],Products!A:A,0))</f>
        <v>Green Tea (100 bags)</v>
      </c>
      <c r="O2790" t="str">
        <f>INDEX(Products!C:C,MATCH(OrdersTable[[#This Row],[Product ID]],Products!A:A,0))</f>
        <v>Wellness</v>
      </c>
      <c r="P2790">
        <v>2</v>
      </c>
      <c r="Q2790" s="5">
        <v>399</v>
      </c>
      <c r="R2790" s="74">
        <v>0.45</v>
      </c>
      <c r="S2790" s="75">
        <f>OrdersTable[[#This Row],[Quantity]]*OrdersTable[[#This Row],[Unit Price]]</f>
        <v>798</v>
      </c>
      <c r="T2790" s="5">
        <f>OrdersTable[[#This Row],[Gross Sale]]*OrdersTable[[#This Row],[Discount_Clean2]]</f>
        <v>359.1</v>
      </c>
      <c r="U2790" s="5">
        <f>OrdersTable[[#This Row],[Gross Sale]]-OrdersTable[[#This Row],[Discount Amount]]</f>
        <v>438.9</v>
      </c>
      <c r="V2790" s="77">
        <f>INDEX(Products!E:E,MATCH(OrdersTable[[#This Row],[Product ID]],Products!A:A,0))</f>
        <v>128</v>
      </c>
      <c r="W2790" s="77">
        <f>OrdersTable[[#This Row],[Quantity]]*OrdersTable[[#This Row],[Unit Cost]]</f>
        <v>256</v>
      </c>
      <c r="X2790" s="77">
        <f>'Dropdown Lists'!$I$2*(1+OrdersTable[[#This Row],[Returned]])</f>
        <v>60</v>
      </c>
      <c r="Y2790" s="76">
        <f>OrdersTable[[#This Row],[Net Revenue]]-OrdersTable[[#This Row],[COGS]]-OrdersTable[[#This Row],[Shipping Cost]]</f>
        <v>122.89999999999998</v>
      </c>
      <c r="Z2790" s="78">
        <f>IFERROR(OrdersTable[[#This Row],[Profit]]/OrdersTable[[#This Row],[Net Revenue]],0)</f>
        <v>0.28001822738664839</v>
      </c>
      <c r="AA2790" t="s">
        <v>2522</v>
      </c>
      <c r="AB2790" s="79">
        <v>45760</v>
      </c>
      <c r="AC2790">
        <f>OrdersTable[[#This Row],[Delivery Date]]-OrdersTable[[#This Row],[Order Date]]</f>
        <v>5</v>
      </c>
      <c r="AD2790" t="str">
        <f>IF(OrdersTable[[#This Row],[Delivery Days]]&lt;=2, "Express (≤2d)", IF(OrdersTable[[#This Row],[Delivery Days]]&lt;=4, "Standard (3-4d)", "Delayed (5d+)"))</f>
        <v>Delayed (5d+)</v>
      </c>
      <c r="AE2790">
        <v>3</v>
      </c>
      <c r="AF2790">
        <v>0</v>
      </c>
    </row>
    <row r="2791" spans="1:32" ht="15" x14ac:dyDescent="0.35">
      <c r="A2791" t="s">
        <v>1728</v>
      </c>
      <c r="B2791" s="1">
        <v>45755</v>
      </c>
      <c r="C2791">
        <f>YEAR(OrdersTable[[#This Row],[Order Date]])</f>
        <v>2025</v>
      </c>
      <c r="D2791" s="2">
        <f>DATE(YEAR(OrdersTable[[#This Row],[Order Date]]),MONTH(OrdersTable[[#This Row],[Order Date]]),1)</f>
        <v>45748</v>
      </c>
      <c r="E2791">
        <f>MONTH(OrdersTable[[#This Row],[Order Date]])</f>
        <v>4</v>
      </c>
      <c r="F2791" t="s">
        <v>1729</v>
      </c>
      <c r="G2791" t="str">
        <f>IF(OrdersTable[[#This Row],[Order Date]]=_xlfn.MINIFS(Order_Date, Customer_ID, OrdersTable[[#This Row],[Customer ID]]), "New", "Repeat")</f>
        <v>Repeat</v>
      </c>
      <c r="H2791" t="s">
        <v>167</v>
      </c>
      <c r="I2791" t="str">
        <f>INDEX(State!B:B,MATCH(OrdersTable[[#This Row],[State]],State!A:A,0))</f>
        <v>KA</v>
      </c>
      <c r="J2791" t="str">
        <f>INDEX(State!C:C,MATCH(OrdersTable[[#This Row],[State Code]],State!B:B,0))</f>
        <v>South</v>
      </c>
      <c r="K2791" t="s">
        <v>168</v>
      </c>
      <c r="L2791" t="s">
        <v>65</v>
      </c>
      <c r="M2791" t="s">
        <v>106</v>
      </c>
      <c r="N2791" t="str">
        <f>INDEX(Products!B:B,MATCH(OrdersTable[[#This Row],[Product ID]],Products!A:A,0))</f>
        <v>Keratin Hair Mask</v>
      </c>
      <c r="O2791" t="str">
        <f>INDEX(Products!C:C,MATCH(OrdersTable[[#This Row],[Product ID]],Products!A:A,0))</f>
        <v>Haircare</v>
      </c>
      <c r="P2791">
        <v>1</v>
      </c>
      <c r="Q2791" s="5">
        <v>549</v>
      </c>
      <c r="R2791" s="74">
        <v>0.2</v>
      </c>
      <c r="S2791" s="75">
        <f>OrdersTable[[#This Row],[Quantity]]*OrdersTable[[#This Row],[Unit Price]]</f>
        <v>549</v>
      </c>
      <c r="T2791" s="5">
        <f>OrdersTable[[#This Row],[Gross Sale]]*OrdersTable[[#This Row],[Discount_Clean2]]</f>
        <v>109.80000000000001</v>
      </c>
      <c r="U2791" s="5">
        <f>OrdersTable[[#This Row],[Gross Sale]]-OrdersTable[[#This Row],[Discount Amount]]</f>
        <v>439.2</v>
      </c>
      <c r="V2791" s="77">
        <f>INDEX(Products!E:E,MATCH(OrdersTable[[#This Row],[Product ID]],Products!A:A,0))</f>
        <v>170</v>
      </c>
      <c r="W2791" s="77">
        <f>OrdersTable[[#This Row],[Quantity]]*OrdersTable[[#This Row],[Unit Cost]]</f>
        <v>170</v>
      </c>
      <c r="X2791" s="77">
        <f>'Dropdown Lists'!$I$2*(1+OrdersTable[[#This Row],[Returned]])</f>
        <v>60</v>
      </c>
      <c r="Y2791" s="76">
        <f>OrdersTable[[#This Row],[Net Revenue]]-OrdersTable[[#This Row],[COGS]]-OrdersTable[[#This Row],[Shipping Cost]]</f>
        <v>209.2</v>
      </c>
      <c r="Z2791" s="78">
        <f>IFERROR(OrdersTable[[#This Row],[Profit]]/OrdersTable[[#This Row],[Net Revenue]],0)</f>
        <v>0.47632058287795992</v>
      </c>
      <c r="AA2791" t="s">
        <v>18</v>
      </c>
      <c r="AB2791" s="79">
        <v>45757</v>
      </c>
      <c r="AC2791">
        <f>OrdersTable[[#This Row],[Delivery Date]]-OrdersTable[[#This Row],[Order Date]]</f>
        <v>2</v>
      </c>
      <c r="AD2791" t="str">
        <f>IF(OrdersTable[[#This Row],[Delivery Days]]&lt;=2, "Express (≤2d)", IF(OrdersTable[[#This Row],[Delivery Days]]&lt;=4, "Standard (3-4d)", "Delayed (5d+)"))</f>
        <v>Express (≤2d)</v>
      </c>
      <c r="AF2791">
        <v>0</v>
      </c>
    </row>
    <row r="2792" spans="1:32" ht="15" x14ac:dyDescent="0.35">
      <c r="A2792" t="s">
        <v>4136</v>
      </c>
      <c r="B2792" s="1">
        <v>45755</v>
      </c>
      <c r="C2792">
        <f>YEAR(OrdersTable[[#This Row],[Order Date]])</f>
        <v>2025</v>
      </c>
      <c r="D2792" s="2">
        <f>DATE(YEAR(OrdersTable[[#This Row],[Order Date]]),MONTH(OrdersTable[[#This Row],[Order Date]]),1)</f>
        <v>45748</v>
      </c>
      <c r="E2792">
        <f>MONTH(OrdersTable[[#This Row],[Order Date]])</f>
        <v>4</v>
      </c>
      <c r="F2792" t="s">
        <v>4137</v>
      </c>
      <c r="G2792" t="str">
        <f>IF(OrdersTable[[#This Row],[Order Date]]=_xlfn.MINIFS(Order_Date, Customer_ID, OrdersTable[[#This Row],[Customer ID]]), "New", "Repeat")</f>
        <v>Repeat</v>
      </c>
      <c r="H2792" t="s">
        <v>275</v>
      </c>
      <c r="I2792" t="str">
        <f>INDEX(State!B:B,MATCH(OrdersTable[[#This Row],[State]],State!A:A,0))</f>
        <v>AP</v>
      </c>
      <c r="J2792" t="str">
        <f>INDEX(State!C:C,MATCH(OrdersTable[[#This Row],[State Code]],State!B:B,0))</f>
        <v>South</v>
      </c>
      <c r="K2792" t="s">
        <v>491</v>
      </c>
      <c r="L2792" t="s">
        <v>65</v>
      </c>
      <c r="M2792" t="s">
        <v>56</v>
      </c>
      <c r="N2792" t="str">
        <f>INDEX(Products!B:B,MATCH(OrdersTable[[#This Row],[Product ID]],Products!A:A,0))</f>
        <v>Vitamin C Face Serum</v>
      </c>
      <c r="O2792" t="str">
        <f>INDEX(Products!C:C,MATCH(OrdersTable[[#This Row],[Product ID]],Products!A:A,0))</f>
        <v>Skincare</v>
      </c>
      <c r="P2792">
        <v>1</v>
      </c>
      <c r="Q2792" s="5">
        <v>599</v>
      </c>
      <c r="R2792" s="74">
        <v>0.2</v>
      </c>
      <c r="S2792" s="75">
        <f>OrdersTable[[#This Row],[Quantity]]*OrdersTable[[#This Row],[Unit Price]]</f>
        <v>599</v>
      </c>
      <c r="T2792" s="5">
        <f>OrdersTable[[#This Row],[Gross Sale]]*OrdersTable[[#This Row],[Discount_Clean2]]</f>
        <v>119.80000000000001</v>
      </c>
      <c r="U2792" s="5">
        <f>OrdersTable[[#This Row],[Gross Sale]]-OrdersTable[[#This Row],[Discount Amount]]</f>
        <v>479.2</v>
      </c>
      <c r="V2792" s="77">
        <f>INDEX(Products!E:E,MATCH(OrdersTable[[#This Row],[Product ID]],Products!A:A,0))</f>
        <v>180</v>
      </c>
      <c r="W2792" s="77">
        <f>OrdersTable[[#This Row],[Quantity]]*OrdersTable[[#This Row],[Unit Cost]]</f>
        <v>180</v>
      </c>
      <c r="X2792" s="77">
        <f>'Dropdown Lists'!$I$2*(1+OrdersTable[[#This Row],[Returned]])</f>
        <v>60</v>
      </c>
      <c r="Y2792" s="76">
        <f>OrdersTable[[#This Row],[Net Revenue]]-OrdersTable[[#This Row],[COGS]]-OrdersTable[[#This Row],[Shipping Cost]]</f>
        <v>239.2</v>
      </c>
      <c r="Z2792" s="78">
        <f>IFERROR(OrdersTable[[#This Row],[Profit]]/OrdersTable[[#This Row],[Net Revenue]],0)</f>
        <v>0.4991652754590985</v>
      </c>
      <c r="AA2792" t="s">
        <v>4074</v>
      </c>
      <c r="AB2792" s="79">
        <v>45761</v>
      </c>
      <c r="AC2792">
        <f>OrdersTable[[#This Row],[Delivery Date]]-OrdersTable[[#This Row],[Order Date]]</f>
        <v>6</v>
      </c>
      <c r="AD2792" t="str">
        <f>IF(OrdersTable[[#This Row],[Delivery Days]]&lt;=2, "Express (≤2d)", IF(OrdersTable[[#This Row],[Delivery Days]]&lt;=4, "Standard (3-4d)", "Delayed (5d+)"))</f>
        <v>Delayed (5d+)</v>
      </c>
      <c r="AE2792">
        <v>3</v>
      </c>
      <c r="AF2792">
        <v>0</v>
      </c>
    </row>
    <row r="2793" spans="1:32" ht="15" x14ac:dyDescent="0.35">
      <c r="A2793" t="s">
        <v>1270</v>
      </c>
      <c r="B2793" s="1">
        <v>45756</v>
      </c>
      <c r="C2793">
        <f>YEAR(OrdersTable[[#This Row],[Order Date]])</f>
        <v>2025</v>
      </c>
      <c r="D2793" s="2">
        <f>DATE(YEAR(OrdersTable[[#This Row],[Order Date]]),MONTH(OrdersTable[[#This Row],[Order Date]]),1)</f>
        <v>45748</v>
      </c>
      <c r="E2793">
        <f>MONTH(OrdersTable[[#This Row],[Order Date]])</f>
        <v>4</v>
      </c>
      <c r="F2793" t="s">
        <v>1271</v>
      </c>
      <c r="G2793" t="str">
        <f>IF(OrdersTable[[#This Row],[Order Date]]=_xlfn.MINIFS(Order_Date, Customer_ID, OrdersTable[[#This Row],[Customer ID]]), "New", "Repeat")</f>
        <v>Repeat</v>
      </c>
      <c r="H2793" t="s">
        <v>54</v>
      </c>
      <c r="I2793" t="str">
        <f>INDEX(State!B:B,MATCH(OrdersTable[[#This Row],[State]],State!A:A,0))</f>
        <v>RJ</v>
      </c>
      <c r="J2793" t="str">
        <f>INDEX(State!C:C,MATCH(OrdersTable[[#This Row],[State Code]],State!B:B,0))</f>
        <v>North</v>
      </c>
      <c r="K2793" t="s">
        <v>227</v>
      </c>
      <c r="L2793" t="s">
        <v>16</v>
      </c>
      <c r="M2793" t="s">
        <v>255</v>
      </c>
      <c r="N2793" t="str">
        <f>INDEX(Products!B:B,MATCH(OrdersTable[[#This Row],[Product ID]],Products!A:A,0))</f>
        <v>Cotton Oversized T-Shirt</v>
      </c>
      <c r="O2793" t="str">
        <f>INDEX(Products!C:C,MATCH(OrdersTable[[#This Row],[Product ID]],Products!A:A,0))</f>
        <v>Apparel</v>
      </c>
      <c r="P2793">
        <v>1</v>
      </c>
      <c r="Q2793" s="5">
        <v>799</v>
      </c>
      <c r="R2793" s="74">
        <v>0.05</v>
      </c>
      <c r="S2793" s="75">
        <f>OrdersTable[[#This Row],[Quantity]]*OrdersTable[[#This Row],[Unit Price]]</f>
        <v>799</v>
      </c>
      <c r="T2793" s="5">
        <f>OrdersTable[[#This Row],[Gross Sale]]*OrdersTable[[#This Row],[Discount_Clean2]]</f>
        <v>39.950000000000003</v>
      </c>
      <c r="U2793" s="5">
        <f>OrdersTable[[#This Row],[Gross Sale]]-OrdersTable[[#This Row],[Discount Amount]]</f>
        <v>759.05</v>
      </c>
      <c r="V2793" s="77">
        <f>INDEX(Products!E:E,MATCH(OrdersTable[[#This Row],[Product ID]],Products!A:A,0))</f>
        <v>320</v>
      </c>
      <c r="W2793" s="77">
        <f>OrdersTable[[#This Row],[Quantity]]*OrdersTable[[#This Row],[Unit Cost]]</f>
        <v>320</v>
      </c>
      <c r="X2793" s="77">
        <f>'Dropdown Lists'!$I$2*(1+OrdersTable[[#This Row],[Returned]])</f>
        <v>60</v>
      </c>
      <c r="Y2793" s="76">
        <f>OrdersTable[[#This Row],[Net Revenue]]-OrdersTable[[#This Row],[COGS]]-OrdersTable[[#This Row],[Shipping Cost]]</f>
        <v>379.04999999999995</v>
      </c>
      <c r="Z2793" s="78">
        <f>IFERROR(OrdersTable[[#This Row],[Profit]]/OrdersTable[[#This Row],[Net Revenue]],0)</f>
        <v>0.49937421777221525</v>
      </c>
      <c r="AA2793" t="s">
        <v>18</v>
      </c>
      <c r="AB2793" s="79">
        <v>45760</v>
      </c>
      <c r="AC2793">
        <f>OrdersTable[[#This Row],[Delivery Date]]-OrdersTable[[#This Row],[Order Date]]</f>
        <v>4</v>
      </c>
      <c r="AD2793" t="str">
        <f>IF(OrdersTable[[#This Row],[Delivery Days]]&lt;=2, "Express (≤2d)", IF(OrdersTable[[#This Row],[Delivery Days]]&lt;=4, "Standard (3-4d)", "Delayed (5d+)"))</f>
        <v>Standard (3-4d)</v>
      </c>
      <c r="AF2793">
        <v>0</v>
      </c>
    </row>
    <row r="2794" spans="1:32" ht="15" x14ac:dyDescent="0.35">
      <c r="A2794" t="s">
        <v>2383</v>
      </c>
      <c r="B2794" s="1">
        <v>45756</v>
      </c>
      <c r="C2794">
        <f>YEAR(OrdersTable[[#This Row],[Order Date]])</f>
        <v>2025</v>
      </c>
      <c r="D2794" s="2">
        <f>DATE(YEAR(OrdersTable[[#This Row],[Order Date]]),MONTH(OrdersTable[[#This Row],[Order Date]]),1)</f>
        <v>45748</v>
      </c>
      <c r="E2794">
        <f>MONTH(OrdersTable[[#This Row],[Order Date]])</f>
        <v>4</v>
      </c>
      <c r="F2794" t="s">
        <v>2384</v>
      </c>
      <c r="G2794" t="str">
        <f>IF(OrdersTable[[#This Row],[Order Date]]=_xlfn.MINIFS(Order_Date, Customer_ID, OrdersTable[[#This Row],[Customer ID]]), "New", "Repeat")</f>
        <v>New</v>
      </c>
      <c r="H2794" t="s">
        <v>54</v>
      </c>
      <c r="I2794" t="str">
        <f>INDEX(State!B:B,MATCH(OrdersTable[[#This Row],[State]],State!A:A,0))</f>
        <v>RJ</v>
      </c>
      <c r="J2794" t="str">
        <f>INDEX(State!C:C,MATCH(OrdersTable[[#This Row],[State Code]],State!B:B,0))</f>
        <v>North</v>
      </c>
      <c r="K2794" t="s">
        <v>55</v>
      </c>
      <c r="L2794" t="s">
        <v>23</v>
      </c>
      <c r="M2794" t="s">
        <v>160</v>
      </c>
      <c r="N2794" t="str">
        <f>INDEX(Products!B:B,MATCH(OrdersTable[[#This Row],[Product ID]],Products!A:A,0))</f>
        <v>Niacinamide Toner</v>
      </c>
      <c r="O2794" t="str">
        <f>INDEX(Products!C:C,MATCH(OrdersTable[[#This Row],[Product ID]],Products!A:A,0))</f>
        <v>Skincare</v>
      </c>
      <c r="P2794">
        <v>1</v>
      </c>
      <c r="Q2794" s="5">
        <v>399</v>
      </c>
      <c r="R2794" s="74">
        <v>0.25</v>
      </c>
      <c r="S2794" s="75">
        <f>OrdersTable[[#This Row],[Quantity]]*OrdersTable[[#This Row],[Unit Price]]</f>
        <v>399</v>
      </c>
      <c r="T2794" s="5">
        <f>OrdersTable[[#This Row],[Gross Sale]]*OrdersTable[[#This Row],[Discount_Clean2]]</f>
        <v>99.75</v>
      </c>
      <c r="U2794" s="5">
        <f>OrdersTable[[#This Row],[Gross Sale]]-OrdersTable[[#This Row],[Discount Amount]]</f>
        <v>299.25</v>
      </c>
      <c r="V2794" s="77">
        <f>INDEX(Products!E:E,MATCH(OrdersTable[[#This Row],[Product ID]],Products!A:A,0))</f>
        <v>112</v>
      </c>
      <c r="W2794" s="77">
        <f>OrdersTable[[#This Row],[Quantity]]*OrdersTable[[#This Row],[Unit Cost]]</f>
        <v>112</v>
      </c>
      <c r="X2794" s="77">
        <f>'Dropdown Lists'!$I$2*(1+OrdersTable[[#This Row],[Returned]])</f>
        <v>60</v>
      </c>
      <c r="Y2794" s="76">
        <f>OrdersTable[[#This Row],[Net Revenue]]-OrdersTable[[#This Row],[COGS]]-OrdersTable[[#This Row],[Shipping Cost]]</f>
        <v>127.25</v>
      </c>
      <c r="Z2794" s="78">
        <f>IFERROR(OrdersTable[[#This Row],[Profit]]/OrdersTable[[#This Row],[Net Revenue]],0)</f>
        <v>0.42522974101921468</v>
      </c>
      <c r="AA2794" t="s">
        <v>18</v>
      </c>
      <c r="AB2794" s="79">
        <v>45758</v>
      </c>
      <c r="AC2794">
        <f>OrdersTable[[#This Row],[Delivery Date]]-OrdersTable[[#This Row],[Order Date]]</f>
        <v>2</v>
      </c>
      <c r="AD2794" t="str">
        <f>IF(OrdersTable[[#This Row],[Delivery Days]]&lt;=2, "Express (≤2d)", IF(OrdersTable[[#This Row],[Delivery Days]]&lt;=4, "Standard (3-4d)", "Delayed (5d+)"))</f>
        <v>Express (≤2d)</v>
      </c>
      <c r="AE2794">
        <v>5</v>
      </c>
      <c r="AF2794">
        <v>0</v>
      </c>
    </row>
    <row r="2795" spans="1:32" ht="15" x14ac:dyDescent="0.35">
      <c r="A2795" t="s">
        <v>4517</v>
      </c>
      <c r="B2795" s="1">
        <v>45756</v>
      </c>
      <c r="C2795">
        <f>YEAR(OrdersTable[[#This Row],[Order Date]])</f>
        <v>2025</v>
      </c>
      <c r="D2795" s="2">
        <f>DATE(YEAR(OrdersTable[[#This Row],[Order Date]]),MONTH(OrdersTable[[#This Row],[Order Date]]),1)</f>
        <v>45748</v>
      </c>
      <c r="E2795">
        <f>MONTH(OrdersTable[[#This Row],[Order Date]])</f>
        <v>4</v>
      </c>
      <c r="F2795" t="s">
        <v>1541</v>
      </c>
      <c r="G2795" t="str">
        <f>IF(OrdersTable[[#This Row],[Order Date]]=_xlfn.MINIFS(Order_Date, Customer_ID, OrdersTable[[#This Row],[Customer ID]]), "New", "Repeat")</f>
        <v>Repeat</v>
      </c>
      <c r="H2795" t="s">
        <v>32</v>
      </c>
      <c r="I2795" t="str">
        <f>INDEX(State!B:B,MATCH(OrdersTable[[#This Row],[State]],State!A:A,0))</f>
        <v>BR</v>
      </c>
      <c r="J2795" t="str">
        <f>INDEX(State!C:C,MATCH(OrdersTable[[#This Row],[State Code]],State!B:B,0))</f>
        <v>East</v>
      </c>
      <c r="K2795" t="s">
        <v>33</v>
      </c>
      <c r="L2795" t="s">
        <v>65</v>
      </c>
      <c r="M2795" t="s">
        <v>73</v>
      </c>
      <c r="N2795" t="str">
        <f>INDEX(Products!B:B,MATCH(OrdersTable[[#This Row],[Product ID]],Products!A:A,0))</f>
        <v>Hydrating Face Wash</v>
      </c>
      <c r="O2795" t="str">
        <f>INDEX(Products!C:C,MATCH(OrdersTable[[#This Row],[Product ID]],Products!A:A,0))</f>
        <v>Skincare</v>
      </c>
      <c r="P2795">
        <v>1</v>
      </c>
      <c r="Q2795" s="5">
        <v>299</v>
      </c>
      <c r="R2795" s="74">
        <v>0.05</v>
      </c>
      <c r="S2795" s="75">
        <f>OrdersTable[[#This Row],[Quantity]]*OrdersTable[[#This Row],[Unit Price]]</f>
        <v>299</v>
      </c>
      <c r="T2795" s="5">
        <f>OrdersTable[[#This Row],[Gross Sale]]*OrdersTable[[#This Row],[Discount_Clean2]]</f>
        <v>14.950000000000001</v>
      </c>
      <c r="U2795" s="5">
        <f>OrdersTable[[#This Row],[Gross Sale]]-OrdersTable[[#This Row],[Discount Amount]]</f>
        <v>284.05</v>
      </c>
      <c r="V2795" s="77">
        <f>INDEX(Products!E:E,MATCH(OrdersTable[[#This Row],[Product ID]],Products!A:A,0))</f>
        <v>90</v>
      </c>
      <c r="W2795" s="77">
        <f>OrdersTable[[#This Row],[Quantity]]*OrdersTable[[#This Row],[Unit Cost]]</f>
        <v>90</v>
      </c>
      <c r="X2795" s="77">
        <f>'Dropdown Lists'!$I$2*(1+OrdersTable[[#This Row],[Returned]])</f>
        <v>60</v>
      </c>
      <c r="Y2795" s="76">
        <f>OrdersTable[[#This Row],[Net Revenue]]-OrdersTable[[#This Row],[COGS]]-OrdersTable[[#This Row],[Shipping Cost]]</f>
        <v>134.05000000000001</v>
      </c>
      <c r="Z2795" s="78">
        <f>IFERROR(OrdersTable[[#This Row],[Profit]]/OrdersTable[[#This Row],[Net Revenue]],0)</f>
        <v>0.47192395704981521</v>
      </c>
      <c r="AA2795" t="s">
        <v>4450</v>
      </c>
      <c r="AB2795" s="79">
        <v>45761</v>
      </c>
      <c r="AC2795">
        <f>OrdersTable[[#This Row],[Delivery Date]]-OrdersTable[[#This Row],[Order Date]]</f>
        <v>5</v>
      </c>
      <c r="AD2795" t="str">
        <f>IF(OrdersTable[[#This Row],[Delivery Days]]&lt;=2, "Express (≤2d)", IF(OrdersTable[[#This Row],[Delivery Days]]&lt;=4, "Standard (3-4d)", "Delayed (5d+)"))</f>
        <v>Delayed (5d+)</v>
      </c>
      <c r="AE2795">
        <v>4</v>
      </c>
      <c r="AF2795">
        <v>0</v>
      </c>
    </row>
    <row r="2796" spans="1:32" ht="15" x14ac:dyDescent="0.35">
      <c r="A2796" t="s">
        <v>1405</v>
      </c>
      <c r="B2796" s="1">
        <v>45756</v>
      </c>
      <c r="C2796">
        <f>YEAR(OrdersTable[[#This Row],[Order Date]])</f>
        <v>2025</v>
      </c>
      <c r="D2796" s="2">
        <f>DATE(YEAR(OrdersTable[[#This Row],[Order Date]]),MONTH(OrdersTable[[#This Row],[Order Date]]),1)</f>
        <v>45748</v>
      </c>
      <c r="E2796">
        <f>MONTH(OrdersTable[[#This Row],[Order Date]])</f>
        <v>4</v>
      </c>
      <c r="F2796" t="s">
        <v>1406</v>
      </c>
      <c r="G2796" t="str">
        <f>IF(OrdersTable[[#This Row],[Order Date]]=_xlfn.MINIFS(Order_Date, Customer_ID, OrdersTable[[#This Row],[Customer ID]]), "New", "Repeat")</f>
        <v>Repeat</v>
      </c>
      <c r="H2796" t="s">
        <v>132</v>
      </c>
      <c r="I2796" t="str">
        <f>INDEX(State!B:B,MATCH(OrdersTable[[#This Row],[State]],State!A:A,0))</f>
        <v>AS</v>
      </c>
      <c r="J2796" t="str">
        <f>INDEX(State!C:C,MATCH(OrdersTable[[#This Row],[State Code]],State!B:B,0))</f>
        <v>East</v>
      </c>
      <c r="K2796" t="s">
        <v>133</v>
      </c>
      <c r="L2796" t="s">
        <v>23</v>
      </c>
      <c r="M2796" t="s">
        <v>34</v>
      </c>
      <c r="N2796" t="str">
        <f>INDEX(Products!B:B,MATCH(OrdersTable[[#This Row],[Product ID]],Products!A:A,0))</f>
        <v>Flip Flops</v>
      </c>
      <c r="O2796" t="str">
        <f>INDEX(Products!C:C,MATCH(OrdersTable[[#This Row],[Product ID]],Products!A:A,0))</f>
        <v>Footwear</v>
      </c>
      <c r="P2796">
        <v>1</v>
      </c>
      <c r="Q2796" s="5">
        <v>399</v>
      </c>
      <c r="R2796" s="74">
        <v>0.05</v>
      </c>
      <c r="S2796" s="75">
        <f>OrdersTable[[#This Row],[Quantity]]*OrdersTable[[#This Row],[Unit Price]]</f>
        <v>399</v>
      </c>
      <c r="T2796" s="5">
        <f>OrdersTable[[#This Row],[Gross Sale]]*OrdersTable[[#This Row],[Discount_Clean2]]</f>
        <v>19.950000000000003</v>
      </c>
      <c r="U2796" s="5">
        <f>OrdersTable[[#This Row],[Gross Sale]]-OrdersTable[[#This Row],[Discount Amount]]</f>
        <v>379.05</v>
      </c>
      <c r="V2796" s="77">
        <f>INDEX(Products!E:E,MATCH(OrdersTable[[#This Row],[Product ID]],Products!A:A,0))</f>
        <v>152</v>
      </c>
      <c r="W2796" s="77">
        <f>OrdersTable[[#This Row],[Quantity]]*OrdersTable[[#This Row],[Unit Cost]]</f>
        <v>152</v>
      </c>
      <c r="X2796" s="77">
        <f>'Dropdown Lists'!$I$2*(1+OrdersTable[[#This Row],[Returned]])</f>
        <v>60</v>
      </c>
      <c r="Y2796" s="76">
        <f>OrdersTable[[#This Row],[Net Revenue]]-OrdersTable[[#This Row],[COGS]]-OrdersTable[[#This Row],[Shipping Cost]]</f>
        <v>167.05</v>
      </c>
      <c r="Z2796" s="78">
        <f>IFERROR(OrdersTable[[#This Row],[Profit]]/OrdersTable[[#This Row],[Net Revenue]],0)</f>
        <v>0.44070703073473161</v>
      </c>
      <c r="AA2796" t="s">
        <v>18</v>
      </c>
      <c r="AB2796" s="79">
        <v>45761</v>
      </c>
      <c r="AC2796">
        <f>OrdersTable[[#This Row],[Delivery Date]]-OrdersTable[[#This Row],[Order Date]]</f>
        <v>5</v>
      </c>
      <c r="AD2796" t="str">
        <f>IF(OrdersTable[[#This Row],[Delivery Days]]&lt;=2, "Express (≤2d)", IF(OrdersTable[[#This Row],[Delivery Days]]&lt;=4, "Standard (3-4d)", "Delayed (5d+)"))</f>
        <v>Delayed (5d+)</v>
      </c>
      <c r="AF2796">
        <v>0</v>
      </c>
    </row>
    <row r="2797" spans="1:32" ht="15" x14ac:dyDescent="0.35">
      <c r="A2797" t="s">
        <v>295</v>
      </c>
      <c r="B2797" s="1">
        <v>45756</v>
      </c>
      <c r="C2797">
        <f>YEAR(OrdersTable[[#This Row],[Order Date]])</f>
        <v>2025</v>
      </c>
      <c r="D2797" s="2">
        <f>DATE(YEAR(OrdersTable[[#This Row],[Order Date]]),MONTH(OrdersTable[[#This Row],[Order Date]]),1)</f>
        <v>45748</v>
      </c>
      <c r="E2797">
        <f>MONTH(OrdersTable[[#This Row],[Order Date]])</f>
        <v>4</v>
      </c>
      <c r="F2797" t="s">
        <v>224</v>
      </c>
      <c r="G2797" t="str">
        <f>IF(OrdersTable[[#This Row],[Order Date]]=_xlfn.MINIFS(Order_Date, Customer_ID, OrdersTable[[#This Row],[Customer ID]]), "New", "Repeat")</f>
        <v>Repeat</v>
      </c>
      <c r="H2797" t="s">
        <v>132</v>
      </c>
      <c r="I2797" t="str">
        <f>INDEX(State!B:B,MATCH(OrdersTable[[#This Row],[State]],State!A:A,0))</f>
        <v>AS</v>
      </c>
      <c r="J2797" t="str">
        <f>INDEX(State!C:C,MATCH(OrdersTable[[#This Row],[State Code]],State!B:B,0))</f>
        <v>East</v>
      </c>
      <c r="K2797" t="s">
        <v>133</v>
      </c>
      <c r="L2797" t="s">
        <v>65</v>
      </c>
      <c r="M2797" t="s">
        <v>61</v>
      </c>
      <c r="N2797" t="str">
        <f>INDEX(Products!B:B,MATCH(OrdersTable[[#This Row],[Product ID]],Products!A:A,0))</f>
        <v>Multivitamin Gummies</v>
      </c>
      <c r="O2797" t="str">
        <f>INDEX(Products!C:C,MATCH(OrdersTable[[#This Row],[Product ID]],Products!A:A,0))</f>
        <v>Wellness</v>
      </c>
      <c r="P2797">
        <v>1</v>
      </c>
      <c r="Q2797" s="5">
        <v>699</v>
      </c>
      <c r="R2797" s="74">
        <v>0.25</v>
      </c>
      <c r="S2797" s="75">
        <f>OrdersTable[[#This Row],[Quantity]]*OrdersTable[[#This Row],[Unit Price]]</f>
        <v>699</v>
      </c>
      <c r="T2797" s="5">
        <f>OrdersTable[[#This Row],[Gross Sale]]*OrdersTable[[#This Row],[Discount_Clean2]]</f>
        <v>174.75</v>
      </c>
      <c r="U2797" s="5">
        <f>OrdersTable[[#This Row],[Gross Sale]]-OrdersTable[[#This Row],[Discount Amount]]</f>
        <v>524.25</v>
      </c>
      <c r="V2797" s="77">
        <f>INDEX(Products!E:E,MATCH(OrdersTable[[#This Row],[Product ID]],Products!A:A,0))</f>
        <v>238</v>
      </c>
      <c r="W2797" s="77">
        <f>OrdersTable[[#This Row],[Quantity]]*OrdersTable[[#This Row],[Unit Cost]]</f>
        <v>238</v>
      </c>
      <c r="X2797" s="77">
        <f>'Dropdown Lists'!$I$2*(1+OrdersTable[[#This Row],[Returned]])</f>
        <v>60</v>
      </c>
      <c r="Y2797" s="76">
        <f>OrdersTable[[#This Row],[Net Revenue]]-OrdersTable[[#This Row],[COGS]]-OrdersTable[[#This Row],[Shipping Cost]]</f>
        <v>226.25</v>
      </c>
      <c r="Z2797" s="78">
        <f>IFERROR(OrdersTable[[#This Row],[Profit]]/OrdersTable[[#This Row],[Net Revenue]],0)</f>
        <v>0.43156890796375774</v>
      </c>
      <c r="AA2797" t="s">
        <v>18</v>
      </c>
      <c r="AB2797" s="79">
        <v>45761</v>
      </c>
      <c r="AC2797">
        <f>OrdersTable[[#This Row],[Delivery Date]]-OrdersTable[[#This Row],[Order Date]]</f>
        <v>5</v>
      </c>
      <c r="AD2797" t="str">
        <f>IF(OrdersTable[[#This Row],[Delivery Days]]&lt;=2, "Express (≤2d)", IF(OrdersTable[[#This Row],[Delivery Days]]&lt;=4, "Standard (3-4d)", "Delayed (5d+)"))</f>
        <v>Delayed (5d+)</v>
      </c>
      <c r="AE2797">
        <v>4</v>
      </c>
      <c r="AF2797">
        <v>0</v>
      </c>
    </row>
    <row r="2798" spans="1:32" ht="15" x14ac:dyDescent="0.35">
      <c r="A2798" t="s">
        <v>602</v>
      </c>
      <c r="B2798" s="1">
        <v>45756</v>
      </c>
      <c r="C2798">
        <f>YEAR(OrdersTable[[#This Row],[Order Date]])</f>
        <v>2025</v>
      </c>
      <c r="D2798" s="2">
        <f>DATE(YEAR(OrdersTable[[#This Row],[Order Date]]),MONTH(OrdersTable[[#This Row],[Order Date]]),1)</f>
        <v>45748</v>
      </c>
      <c r="E2798">
        <f>MONTH(OrdersTable[[#This Row],[Order Date]])</f>
        <v>4</v>
      </c>
      <c r="F2798" t="s">
        <v>603</v>
      </c>
      <c r="G2798" t="str">
        <f>IF(OrdersTable[[#This Row],[Order Date]]=_xlfn.MINIFS(Order_Date, Customer_ID, OrdersTable[[#This Row],[Customer ID]]), "New", "Repeat")</f>
        <v>Repeat</v>
      </c>
      <c r="H2798" t="s">
        <v>37</v>
      </c>
      <c r="I2798" t="str">
        <f>INDEX(State!B:B,MATCH(OrdersTable[[#This Row],[State]],State!A:A,0))</f>
        <v>GJ</v>
      </c>
      <c r="J2798" t="str">
        <f>INDEX(State!C:C,MATCH(OrdersTable[[#This Row],[State Code]],State!B:B,0))</f>
        <v>West</v>
      </c>
      <c r="K2798" t="s">
        <v>247</v>
      </c>
      <c r="L2798" t="s">
        <v>39</v>
      </c>
      <c r="M2798" t="s">
        <v>51</v>
      </c>
      <c r="N2798" t="str">
        <f>INDEX(Products!B:B,MATCH(OrdersTable[[#This Row],[Product ID]],Products!A:A,0))</f>
        <v>Anti-Dandruff Conditioner</v>
      </c>
      <c r="O2798" t="str">
        <f>INDEX(Products!C:C,MATCH(OrdersTable[[#This Row],[Product ID]],Products!A:A,0))</f>
        <v>Haircare</v>
      </c>
      <c r="P2798">
        <v>1</v>
      </c>
      <c r="Q2798" s="5">
        <v>399</v>
      </c>
      <c r="R2798" s="74">
        <v>0.25</v>
      </c>
      <c r="S2798" s="75">
        <f>OrdersTable[[#This Row],[Quantity]]*OrdersTable[[#This Row],[Unit Price]]</f>
        <v>399</v>
      </c>
      <c r="T2798" s="5">
        <f>OrdersTable[[#This Row],[Gross Sale]]*OrdersTable[[#This Row],[Discount_Clean2]]</f>
        <v>99.75</v>
      </c>
      <c r="U2798" s="5">
        <f>OrdersTable[[#This Row],[Gross Sale]]-OrdersTable[[#This Row],[Discount Amount]]</f>
        <v>299.25</v>
      </c>
      <c r="V2798" s="77">
        <f>INDEX(Products!E:E,MATCH(OrdersTable[[#This Row],[Product ID]],Products!A:A,0))</f>
        <v>136</v>
      </c>
      <c r="W2798" s="77">
        <f>OrdersTable[[#This Row],[Quantity]]*OrdersTable[[#This Row],[Unit Cost]]</f>
        <v>136</v>
      </c>
      <c r="X2798" s="77">
        <f>'Dropdown Lists'!$I$2*(1+OrdersTable[[#This Row],[Returned]])</f>
        <v>60</v>
      </c>
      <c r="Y2798" s="76">
        <f>OrdersTable[[#This Row],[Net Revenue]]-OrdersTable[[#This Row],[COGS]]-OrdersTable[[#This Row],[Shipping Cost]]</f>
        <v>103.25</v>
      </c>
      <c r="Z2798" s="78">
        <f>IFERROR(OrdersTable[[#This Row],[Profit]]/OrdersTable[[#This Row],[Net Revenue]],0)</f>
        <v>0.34502923976608185</v>
      </c>
      <c r="AA2798" t="s">
        <v>18</v>
      </c>
      <c r="AB2798" s="79">
        <v>45761</v>
      </c>
      <c r="AC2798">
        <f>OrdersTable[[#This Row],[Delivery Date]]-OrdersTable[[#This Row],[Order Date]]</f>
        <v>5</v>
      </c>
      <c r="AD2798" t="str">
        <f>IF(OrdersTable[[#This Row],[Delivery Days]]&lt;=2, "Express (≤2d)", IF(OrdersTable[[#This Row],[Delivery Days]]&lt;=4, "Standard (3-4d)", "Delayed (5d+)"))</f>
        <v>Delayed (5d+)</v>
      </c>
      <c r="AE2798">
        <v>4</v>
      </c>
      <c r="AF2798">
        <v>0</v>
      </c>
    </row>
    <row r="2799" spans="1:32" ht="15" x14ac:dyDescent="0.35">
      <c r="A2799" t="s">
        <v>2506</v>
      </c>
      <c r="B2799" s="1">
        <v>45756</v>
      </c>
      <c r="C2799">
        <f>YEAR(OrdersTable[[#This Row],[Order Date]])</f>
        <v>2025</v>
      </c>
      <c r="D2799" s="2">
        <f>DATE(YEAR(OrdersTable[[#This Row],[Order Date]]),MONTH(OrdersTable[[#This Row],[Order Date]]),1)</f>
        <v>45748</v>
      </c>
      <c r="E2799">
        <f>MONTH(OrdersTable[[#This Row],[Order Date]])</f>
        <v>4</v>
      </c>
      <c r="F2799" t="s">
        <v>2507</v>
      </c>
      <c r="G2799" t="str">
        <f>IF(OrdersTable[[#This Row],[Order Date]]=_xlfn.MINIFS(Order_Date, Customer_ID, OrdersTable[[#This Row],[Customer ID]]), "New", "Repeat")</f>
        <v>New</v>
      </c>
      <c r="H2799" t="s">
        <v>482</v>
      </c>
      <c r="I2799" t="str">
        <f>INDEX(State!B:B,MATCH(OrdersTable[[#This Row],[State]],State!A:A,0))</f>
        <v>CG</v>
      </c>
      <c r="J2799" t="str">
        <f>INDEX(State!C:C,MATCH(OrdersTable[[#This Row],[State Code]],State!B:B,0))</f>
        <v>East</v>
      </c>
      <c r="K2799" t="s">
        <v>483</v>
      </c>
      <c r="L2799" t="s">
        <v>23</v>
      </c>
      <c r="M2799" t="s">
        <v>255</v>
      </c>
      <c r="N2799" t="str">
        <f>INDEX(Products!B:B,MATCH(OrdersTable[[#This Row],[Product ID]],Products!A:A,0))</f>
        <v>Cotton Oversized T-Shirt</v>
      </c>
      <c r="O2799" t="str">
        <f>INDEX(Products!C:C,MATCH(OrdersTable[[#This Row],[Product ID]],Products!A:A,0))</f>
        <v>Apparel</v>
      </c>
      <c r="P2799">
        <v>1</v>
      </c>
      <c r="Q2799" s="5">
        <v>799</v>
      </c>
      <c r="R2799" s="74">
        <v>0</v>
      </c>
      <c r="S2799" s="75">
        <f>OrdersTable[[#This Row],[Quantity]]*OrdersTable[[#This Row],[Unit Price]]</f>
        <v>799</v>
      </c>
      <c r="T2799" s="5">
        <f>OrdersTable[[#This Row],[Gross Sale]]*OrdersTable[[#This Row],[Discount_Clean2]]</f>
        <v>0</v>
      </c>
      <c r="U2799" s="5">
        <f>OrdersTable[[#This Row],[Gross Sale]]-OrdersTable[[#This Row],[Discount Amount]]</f>
        <v>799</v>
      </c>
      <c r="V2799" s="77">
        <f>INDEX(Products!E:E,MATCH(OrdersTable[[#This Row],[Product ID]],Products!A:A,0))</f>
        <v>320</v>
      </c>
      <c r="W2799" s="77">
        <f>OrdersTable[[#This Row],[Quantity]]*OrdersTable[[#This Row],[Unit Cost]]</f>
        <v>320</v>
      </c>
      <c r="X2799" s="77">
        <f>'Dropdown Lists'!$I$2*(1+OrdersTable[[#This Row],[Returned]])</f>
        <v>120</v>
      </c>
      <c r="Y2799" s="76">
        <f>OrdersTable[[#This Row],[Net Revenue]]-OrdersTable[[#This Row],[COGS]]-OrdersTable[[#This Row],[Shipping Cost]]</f>
        <v>359</v>
      </c>
      <c r="Z2799" s="78">
        <f>IFERROR(OrdersTable[[#This Row],[Profit]]/OrdersTable[[#This Row],[Net Revenue]],0)</f>
        <v>0.44931163954943681</v>
      </c>
      <c r="AA2799" t="s">
        <v>18</v>
      </c>
      <c r="AB2799" s="79">
        <v>45759</v>
      </c>
      <c r="AC2799">
        <f>OrdersTable[[#This Row],[Delivery Date]]-OrdersTable[[#This Row],[Order Date]]</f>
        <v>3</v>
      </c>
      <c r="AD2799" t="str">
        <f>IF(OrdersTable[[#This Row],[Delivery Days]]&lt;=2, "Express (≤2d)", IF(OrdersTable[[#This Row],[Delivery Days]]&lt;=4, "Standard (3-4d)", "Delayed (5d+)"))</f>
        <v>Standard (3-4d)</v>
      </c>
      <c r="AE2799">
        <v>2</v>
      </c>
      <c r="AF2799">
        <v>1</v>
      </c>
    </row>
    <row r="2800" spans="1:32" ht="15" x14ac:dyDescent="0.35">
      <c r="A2800" t="s">
        <v>1407</v>
      </c>
      <c r="B2800" s="1">
        <v>45756</v>
      </c>
      <c r="C2800">
        <f>YEAR(OrdersTable[[#This Row],[Order Date]])</f>
        <v>2025</v>
      </c>
      <c r="D2800" s="2">
        <f>DATE(YEAR(OrdersTable[[#This Row],[Order Date]]),MONTH(OrdersTable[[#This Row],[Order Date]]),1)</f>
        <v>45748</v>
      </c>
      <c r="E2800">
        <f>MONTH(OrdersTable[[#This Row],[Order Date]])</f>
        <v>4</v>
      </c>
      <c r="F2800" t="s">
        <v>1408</v>
      </c>
      <c r="G2800" t="str">
        <f>IF(OrdersTable[[#This Row],[Order Date]]=_xlfn.MINIFS(Order_Date, Customer_ID, OrdersTable[[#This Row],[Customer ID]]), "New", "Repeat")</f>
        <v>Repeat</v>
      </c>
      <c r="H2800" t="s">
        <v>71</v>
      </c>
      <c r="I2800" t="str">
        <f>INDEX(State!B:B,MATCH(OrdersTable[[#This Row],[State]],State!A:A,0))</f>
        <v>MH</v>
      </c>
      <c r="J2800" t="str">
        <f>INDEX(State!C:C,MATCH(OrdersTable[[#This Row],[State Code]],State!B:B,0))</f>
        <v>West</v>
      </c>
      <c r="K2800" t="s">
        <v>72</v>
      </c>
      <c r="L2800" t="s">
        <v>23</v>
      </c>
      <c r="M2800" t="s">
        <v>84</v>
      </c>
      <c r="N2800" t="str">
        <f>INDEX(Products!B:B,MATCH(OrdersTable[[#This Row],[Product ID]],Products!A:A,0))</f>
        <v>Cotton Bedsheet</v>
      </c>
      <c r="O2800" t="str">
        <f>INDEX(Products!C:C,MATCH(OrdersTable[[#This Row],[Product ID]],Products!A:A,0))</f>
        <v>Home &amp; Kitchen</v>
      </c>
      <c r="P2800">
        <v>1</v>
      </c>
      <c r="Q2800" s="5">
        <v>1299</v>
      </c>
      <c r="R2800" s="74">
        <v>0</v>
      </c>
      <c r="S2800" s="75">
        <f>OrdersTable[[#This Row],[Quantity]]*OrdersTable[[#This Row],[Unit Price]]</f>
        <v>1299</v>
      </c>
      <c r="T2800" s="5">
        <f>OrdersTable[[#This Row],[Gross Sale]]*OrdersTable[[#This Row],[Discount_Clean2]]</f>
        <v>0</v>
      </c>
      <c r="U2800" s="5">
        <f>OrdersTable[[#This Row],[Gross Sale]]-OrdersTable[[#This Row],[Discount Amount]]</f>
        <v>1299</v>
      </c>
      <c r="V2800" s="77">
        <f>INDEX(Products!E:E,MATCH(OrdersTable[[#This Row],[Product ID]],Products!A:A,0))</f>
        <v>585</v>
      </c>
      <c r="W2800" s="77">
        <f>OrdersTable[[#This Row],[Quantity]]*OrdersTable[[#This Row],[Unit Cost]]</f>
        <v>585</v>
      </c>
      <c r="X2800" s="77">
        <f>'Dropdown Lists'!$I$2*(1+OrdersTable[[#This Row],[Returned]])</f>
        <v>60</v>
      </c>
      <c r="Y2800" s="76">
        <f>OrdersTable[[#This Row],[Net Revenue]]-OrdersTable[[#This Row],[COGS]]-OrdersTable[[#This Row],[Shipping Cost]]</f>
        <v>654</v>
      </c>
      <c r="Z2800" s="78">
        <f>IFERROR(OrdersTable[[#This Row],[Profit]]/OrdersTable[[#This Row],[Net Revenue]],0)</f>
        <v>0.50346420323325636</v>
      </c>
      <c r="AA2800" t="s">
        <v>18</v>
      </c>
      <c r="AB2800" s="79">
        <v>45758</v>
      </c>
      <c r="AC2800">
        <f>OrdersTable[[#This Row],[Delivery Date]]-OrdersTable[[#This Row],[Order Date]]</f>
        <v>2</v>
      </c>
      <c r="AD2800" t="str">
        <f>IF(OrdersTable[[#This Row],[Delivery Days]]&lt;=2, "Express (≤2d)", IF(OrdersTable[[#This Row],[Delivery Days]]&lt;=4, "Standard (3-4d)", "Delayed (5d+)"))</f>
        <v>Express (≤2d)</v>
      </c>
      <c r="AF2800">
        <v>0</v>
      </c>
    </row>
    <row r="2801" spans="1:32" ht="15" x14ac:dyDescent="0.35">
      <c r="A2801" t="s">
        <v>5811</v>
      </c>
      <c r="B2801" s="1">
        <v>45756</v>
      </c>
      <c r="C2801">
        <f>YEAR(OrdersTable[[#This Row],[Order Date]])</f>
        <v>2025</v>
      </c>
      <c r="D2801" s="2">
        <f>DATE(YEAR(OrdersTable[[#This Row],[Order Date]]),MONTH(OrdersTable[[#This Row],[Order Date]]),1)</f>
        <v>45748</v>
      </c>
      <c r="E2801">
        <f>MONTH(OrdersTable[[#This Row],[Order Date]])</f>
        <v>4</v>
      </c>
      <c r="F2801" t="s">
        <v>5812</v>
      </c>
      <c r="G2801" t="str">
        <f>IF(OrdersTable[[#This Row],[Order Date]]=_xlfn.MINIFS(Order_Date, Customer_ID, OrdersTable[[#This Row],[Customer ID]]), "New", "Repeat")</f>
        <v>New</v>
      </c>
      <c r="H2801" t="s">
        <v>95</v>
      </c>
      <c r="I2801" t="str">
        <f>INDEX(State!B:B,MATCH(OrdersTable[[#This Row],[State]],State!A:A,0))</f>
        <v>TG</v>
      </c>
      <c r="J2801" t="str">
        <f>INDEX(State!C:C,MATCH(OrdersTable[[#This Row],[State Code]],State!B:B,0))</f>
        <v>South</v>
      </c>
      <c r="K2801" t="s">
        <v>96</v>
      </c>
      <c r="L2801" t="s">
        <v>65</v>
      </c>
      <c r="M2801" t="s">
        <v>66</v>
      </c>
      <c r="N2801" t="str">
        <f>INDEX(Products!B:B,MATCH(OrdersTable[[#This Row],[Product ID]],Products!A:A,0))</f>
        <v>Sunscreen SPF 50</v>
      </c>
      <c r="O2801" t="str">
        <f>INDEX(Products!C:C,MATCH(OrdersTable[[#This Row],[Product ID]],Products!A:A,0))</f>
        <v>Skincare</v>
      </c>
      <c r="P2801">
        <v>2</v>
      </c>
      <c r="Q2801" s="5">
        <v>449</v>
      </c>
      <c r="R2801" s="74">
        <v>0.1</v>
      </c>
      <c r="S2801" s="75">
        <f>OrdersTable[[#This Row],[Quantity]]*OrdersTable[[#This Row],[Unit Price]]</f>
        <v>898</v>
      </c>
      <c r="T2801" s="5">
        <f>OrdersTable[[#This Row],[Gross Sale]]*OrdersTable[[#This Row],[Discount_Clean2]]</f>
        <v>89.800000000000011</v>
      </c>
      <c r="U2801" s="5">
        <f>OrdersTable[[#This Row],[Gross Sale]]-OrdersTable[[#This Row],[Discount Amount]]</f>
        <v>808.2</v>
      </c>
      <c r="V2801" s="77">
        <f>INDEX(Products!E:E,MATCH(OrdersTable[[#This Row],[Product ID]],Products!A:A,0))</f>
        <v>144</v>
      </c>
      <c r="W2801" s="77">
        <f>OrdersTable[[#This Row],[Quantity]]*OrdersTable[[#This Row],[Unit Cost]]</f>
        <v>288</v>
      </c>
      <c r="X2801" s="77">
        <f>'Dropdown Lists'!$I$2*(1+OrdersTable[[#This Row],[Returned]])</f>
        <v>60</v>
      </c>
      <c r="Y2801" s="76">
        <f>OrdersTable[[#This Row],[Net Revenue]]-OrdersTable[[#This Row],[COGS]]-OrdersTable[[#This Row],[Shipping Cost]]</f>
        <v>460.20000000000005</v>
      </c>
      <c r="Z2801" s="78">
        <f>IFERROR(OrdersTable[[#This Row],[Profit]]/OrdersTable[[#This Row],[Net Revenue]],0)</f>
        <v>0.56941351150705277</v>
      </c>
      <c r="AA2801" t="s">
        <v>18</v>
      </c>
      <c r="AB2801" s="79">
        <v>45757</v>
      </c>
      <c r="AC2801">
        <f>OrdersTable[[#This Row],[Delivery Date]]-OrdersTable[[#This Row],[Order Date]]</f>
        <v>1</v>
      </c>
      <c r="AD2801" t="str">
        <f>IF(OrdersTable[[#This Row],[Delivery Days]]&lt;=2, "Express (≤2d)", IF(OrdersTable[[#This Row],[Delivery Days]]&lt;=4, "Standard (3-4d)", "Delayed (5d+)"))</f>
        <v>Express (≤2d)</v>
      </c>
      <c r="AE2801">
        <v>5</v>
      </c>
      <c r="AF2801">
        <v>0</v>
      </c>
    </row>
    <row r="2802" spans="1:32" ht="15" x14ac:dyDescent="0.35">
      <c r="A2802" t="s">
        <v>5708</v>
      </c>
      <c r="B2802" s="1">
        <v>45756</v>
      </c>
      <c r="C2802">
        <f>YEAR(OrdersTable[[#This Row],[Order Date]])</f>
        <v>2025</v>
      </c>
      <c r="D2802" s="2">
        <f>DATE(YEAR(OrdersTable[[#This Row],[Order Date]]),MONTH(OrdersTable[[#This Row],[Order Date]]),1)</f>
        <v>45748</v>
      </c>
      <c r="E2802">
        <f>MONTH(OrdersTable[[#This Row],[Order Date]])</f>
        <v>4</v>
      </c>
      <c r="F2802" t="s">
        <v>5709</v>
      </c>
      <c r="G2802" t="str">
        <f>IF(OrdersTable[[#This Row],[Order Date]]=_xlfn.MINIFS(Order_Date, Customer_ID, OrdersTable[[#This Row],[Customer ID]]), "New", "Repeat")</f>
        <v>New</v>
      </c>
      <c r="H2802" t="s">
        <v>14</v>
      </c>
      <c r="I2802" t="str">
        <f>INDEX(State!B:B,MATCH(OrdersTable[[#This Row],[State]],State!A:A,0))</f>
        <v>OD</v>
      </c>
      <c r="J2802" t="str">
        <f>INDEX(State!C:C,MATCH(OrdersTable[[#This Row],[State Code]],State!B:B,0))</f>
        <v>East</v>
      </c>
      <c r="K2802" t="s">
        <v>15</v>
      </c>
      <c r="L2802" t="s">
        <v>23</v>
      </c>
      <c r="M2802" t="s">
        <v>109</v>
      </c>
      <c r="N2802" t="str">
        <f>INDEX(Products!B:B,MATCH(OrdersTable[[#This Row],[Product ID]],Products!A:A,0))</f>
        <v>Onion Hair Oil</v>
      </c>
      <c r="O2802" t="str">
        <f>INDEX(Products!C:C,MATCH(OrdersTable[[#This Row],[Product ID]],Products!A:A,0))</f>
        <v>Haircare</v>
      </c>
      <c r="P2802">
        <v>2</v>
      </c>
      <c r="Q2802" s="5">
        <v>349</v>
      </c>
      <c r="R2802" s="74">
        <v>0.35</v>
      </c>
      <c r="S2802" s="75">
        <f>OrdersTable[[#This Row],[Quantity]]*OrdersTable[[#This Row],[Unit Price]]</f>
        <v>698</v>
      </c>
      <c r="T2802" s="5">
        <f>OrdersTable[[#This Row],[Gross Sale]]*OrdersTable[[#This Row],[Discount_Clean2]]</f>
        <v>244.29999999999998</v>
      </c>
      <c r="U2802" s="5">
        <f>OrdersTable[[#This Row],[Gross Sale]]-OrdersTable[[#This Row],[Discount Amount]]</f>
        <v>453.70000000000005</v>
      </c>
      <c r="V2802" s="77">
        <f>INDEX(Products!E:E,MATCH(OrdersTable[[#This Row],[Product ID]],Products!A:A,0))</f>
        <v>105</v>
      </c>
      <c r="W2802" s="77">
        <f>OrdersTable[[#This Row],[Quantity]]*OrdersTable[[#This Row],[Unit Cost]]</f>
        <v>210</v>
      </c>
      <c r="X2802" s="77">
        <f>'Dropdown Lists'!$I$2*(1+OrdersTable[[#This Row],[Returned]])</f>
        <v>60</v>
      </c>
      <c r="Y2802" s="76">
        <f>OrdersTable[[#This Row],[Net Revenue]]-OrdersTable[[#This Row],[COGS]]-OrdersTable[[#This Row],[Shipping Cost]]</f>
        <v>183.70000000000005</v>
      </c>
      <c r="Z2802" s="78">
        <f>IFERROR(OrdersTable[[#This Row],[Profit]]/OrdersTable[[#This Row],[Net Revenue]],0)</f>
        <v>0.40489310116817284</v>
      </c>
      <c r="AA2802" t="s">
        <v>18</v>
      </c>
      <c r="AB2802" s="79">
        <v>45761</v>
      </c>
      <c r="AC2802">
        <f>OrdersTable[[#This Row],[Delivery Date]]-OrdersTable[[#This Row],[Order Date]]</f>
        <v>5</v>
      </c>
      <c r="AD2802" t="str">
        <f>IF(OrdersTable[[#This Row],[Delivery Days]]&lt;=2, "Express (≤2d)", IF(OrdersTable[[#This Row],[Delivery Days]]&lt;=4, "Standard (3-4d)", "Delayed (5d+)"))</f>
        <v>Delayed (5d+)</v>
      </c>
      <c r="AE2802">
        <v>3</v>
      </c>
      <c r="AF2802">
        <v>0</v>
      </c>
    </row>
    <row r="2803" spans="1:32" ht="15" x14ac:dyDescent="0.35">
      <c r="A2803" t="s">
        <v>4697</v>
      </c>
      <c r="B2803" s="1">
        <v>45756</v>
      </c>
      <c r="C2803">
        <f>YEAR(OrdersTable[[#This Row],[Order Date]])</f>
        <v>2025</v>
      </c>
      <c r="D2803" s="2">
        <f>DATE(YEAR(OrdersTable[[#This Row],[Order Date]]),MONTH(OrdersTable[[#This Row],[Order Date]]),1)</f>
        <v>45748</v>
      </c>
      <c r="E2803">
        <f>MONTH(OrdersTable[[#This Row],[Order Date]])</f>
        <v>4</v>
      </c>
      <c r="F2803" t="s">
        <v>1584</v>
      </c>
      <c r="G2803" t="str">
        <f>IF(OrdersTable[[#This Row],[Order Date]]=_xlfn.MINIFS(Order_Date, Customer_ID, OrdersTable[[#This Row],[Customer ID]]), "New", "Repeat")</f>
        <v>New</v>
      </c>
      <c r="H2803" t="s">
        <v>59</v>
      </c>
      <c r="I2803" t="str">
        <f>INDEX(State!B:B,MATCH(OrdersTable[[#This Row],[State]],State!A:A,0))</f>
        <v>TN</v>
      </c>
      <c r="J2803" t="str">
        <f>INDEX(State!C:C,MATCH(OrdersTable[[#This Row],[State Code]],State!B:B,0))</f>
        <v>South</v>
      </c>
      <c r="K2803" t="s">
        <v>64</v>
      </c>
      <c r="L2803" t="s">
        <v>65</v>
      </c>
      <c r="M2803" t="s">
        <v>34</v>
      </c>
      <c r="N2803" t="str">
        <f>INDEX(Products!B:B,MATCH(OrdersTable[[#This Row],[Product ID]],Products!A:A,0))</f>
        <v>Flip Flops</v>
      </c>
      <c r="O2803" t="str">
        <f>INDEX(Products!C:C,MATCH(OrdersTable[[#This Row],[Product ID]],Products!A:A,0))</f>
        <v>Footwear</v>
      </c>
      <c r="P2803">
        <v>1</v>
      </c>
      <c r="Q2803" s="5">
        <v>399</v>
      </c>
      <c r="R2803" s="74">
        <v>0.2</v>
      </c>
      <c r="S2803" s="75">
        <f>OrdersTable[[#This Row],[Quantity]]*OrdersTable[[#This Row],[Unit Price]]</f>
        <v>399</v>
      </c>
      <c r="T2803" s="5">
        <f>OrdersTable[[#This Row],[Gross Sale]]*OrdersTable[[#This Row],[Discount_Clean2]]</f>
        <v>79.800000000000011</v>
      </c>
      <c r="U2803" s="5">
        <f>OrdersTable[[#This Row],[Gross Sale]]-OrdersTable[[#This Row],[Discount Amount]]</f>
        <v>319.2</v>
      </c>
      <c r="V2803" s="77">
        <f>INDEX(Products!E:E,MATCH(OrdersTable[[#This Row],[Product ID]],Products!A:A,0))</f>
        <v>152</v>
      </c>
      <c r="W2803" s="77">
        <f>OrdersTable[[#This Row],[Quantity]]*OrdersTable[[#This Row],[Unit Cost]]</f>
        <v>152</v>
      </c>
      <c r="X2803" s="77">
        <f>'Dropdown Lists'!$I$2*(1+OrdersTable[[#This Row],[Returned]])</f>
        <v>60</v>
      </c>
      <c r="Y2803" s="76">
        <f>OrdersTable[[#This Row],[Net Revenue]]-OrdersTable[[#This Row],[COGS]]-OrdersTable[[#This Row],[Shipping Cost]]</f>
        <v>107.19999999999999</v>
      </c>
      <c r="Z2803" s="78">
        <f>IFERROR(OrdersTable[[#This Row],[Profit]]/OrdersTable[[#This Row],[Net Revenue]],0)</f>
        <v>0.33583959899749372</v>
      </c>
      <c r="AA2803" t="s">
        <v>4450</v>
      </c>
      <c r="AB2803" s="79">
        <v>45758</v>
      </c>
      <c r="AC2803">
        <f>OrdersTable[[#This Row],[Delivery Date]]-OrdersTable[[#This Row],[Order Date]]</f>
        <v>2</v>
      </c>
      <c r="AD2803" t="str">
        <f>IF(OrdersTable[[#This Row],[Delivery Days]]&lt;=2, "Express (≤2d)", IF(OrdersTable[[#This Row],[Delivery Days]]&lt;=4, "Standard (3-4d)", "Delayed (5d+)"))</f>
        <v>Express (≤2d)</v>
      </c>
      <c r="AE2803">
        <v>5</v>
      </c>
      <c r="AF2803">
        <v>0</v>
      </c>
    </row>
    <row r="2804" spans="1:32" ht="15" x14ac:dyDescent="0.35">
      <c r="A2804" t="s">
        <v>6793</v>
      </c>
      <c r="B2804" s="1">
        <v>45756</v>
      </c>
      <c r="C2804">
        <f>YEAR(OrdersTable[[#This Row],[Order Date]])</f>
        <v>2025</v>
      </c>
      <c r="D2804" s="2">
        <f>DATE(YEAR(OrdersTable[[#This Row],[Order Date]]),MONTH(OrdersTable[[#This Row],[Order Date]]),1)</f>
        <v>45748</v>
      </c>
      <c r="E2804">
        <f>MONTH(OrdersTable[[#This Row],[Order Date]])</f>
        <v>4</v>
      </c>
      <c r="F2804" t="s">
        <v>3256</v>
      </c>
      <c r="G2804" t="str">
        <f>IF(OrdersTable[[#This Row],[Order Date]]=_xlfn.MINIFS(Order_Date, Customer_ID, OrdersTable[[#This Row],[Customer ID]]), "New", "Repeat")</f>
        <v>Repeat</v>
      </c>
      <c r="H2804" t="s">
        <v>59</v>
      </c>
      <c r="I2804" t="str">
        <f>INDEX(State!B:B,MATCH(OrdersTable[[#This Row],[State]],State!A:A,0))</f>
        <v>TN</v>
      </c>
      <c r="J2804" t="str">
        <f>INDEX(State!C:C,MATCH(OrdersTable[[#This Row],[State Code]],State!B:B,0))</f>
        <v>South</v>
      </c>
      <c r="K2804" t="s">
        <v>60</v>
      </c>
      <c r="L2804" t="s">
        <v>39</v>
      </c>
      <c r="M2804" t="s">
        <v>45</v>
      </c>
      <c r="N2804" t="str">
        <f>INDEX(Products!B:B,MATCH(OrdersTable[[#This Row],[Product ID]],Products!A:A,0))</f>
        <v>Argan Shampoo</v>
      </c>
      <c r="O2804" t="str">
        <f>INDEX(Products!C:C,MATCH(OrdersTable[[#This Row],[Product ID]],Products!A:A,0))</f>
        <v>Haircare</v>
      </c>
      <c r="P2804">
        <v>3</v>
      </c>
      <c r="Q2804" s="5">
        <v>449</v>
      </c>
      <c r="R2804" s="74">
        <v>0</v>
      </c>
      <c r="S2804" s="75">
        <f>OrdersTable[[#This Row],[Quantity]]*OrdersTable[[#This Row],[Unit Price]]</f>
        <v>1347</v>
      </c>
      <c r="T2804" s="5">
        <f>OrdersTable[[#This Row],[Gross Sale]]*OrdersTable[[#This Row],[Discount_Clean2]]</f>
        <v>0</v>
      </c>
      <c r="U2804" s="5">
        <f>OrdersTable[[#This Row],[Gross Sale]]-OrdersTable[[#This Row],[Discount Amount]]</f>
        <v>1347</v>
      </c>
      <c r="V2804" s="77">
        <f>INDEX(Products!E:E,MATCH(OrdersTable[[#This Row],[Product ID]],Products!A:A,0))</f>
        <v>148</v>
      </c>
      <c r="W2804" s="77">
        <f>OrdersTable[[#This Row],[Quantity]]*OrdersTable[[#This Row],[Unit Cost]]</f>
        <v>444</v>
      </c>
      <c r="X2804" s="77">
        <f>'Dropdown Lists'!$I$2*(1+OrdersTable[[#This Row],[Returned]])</f>
        <v>60</v>
      </c>
      <c r="Y2804" s="76">
        <f>OrdersTable[[#This Row],[Net Revenue]]-OrdersTable[[#This Row],[COGS]]-OrdersTable[[#This Row],[Shipping Cost]]</f>
        <v>843</v>
      </c>
      <c r="Z2804" s="78">
        <f>IFERROR(OrdersTable[[#This Row],[Profit]]/OrdersTable[[#This Row],[Net Revenue]],0)</f>
        <v>0.62583518930957682</v>
      </c>
      <c r="AA2804" t="s">
        <v>3495</v>
      </c>
      <c r="AB2804" s="79">
        <v>45760</v>
      </c>
      <c r="AC2804">
        <f>OrdersTable[[#This Row],[Delivery Date]]-OrdersTable[[#This Row],[Order Date]]</f>
        <v>4</v>
      </c>
      <c r="AD2804" t="str">
        <f>IF(OrdersTable[[#This Row],[Delivery Days]]&lt;=2, "Express (≤2d)", IF(OrdersTable[[#This Row],[Delivery Days]]&lt;=4, "Standard (3-4d)", "Delayed (5d+)"))</f>
        <v>Standard (3-4d)</v>
      </c>
      <c r="AE2804">
        <v>4</v>
      </c>
      <c r="AF2804">
        <v>0</v>
      </c>
    </row>
    <row r="2805" spans="1:32" ht="15" x14ac:dyDescent="0.35">
      <c r="A2805" t="s">
        <v>3048</v>
      </c>
      <c r="B2805" s="1">
        <v>45757</v>
      </c>
      <c r="C2805">
        <f>YEAR(OrdersTable[[#This Row],[Order Date]])</f>
        <v>2025</v>
      </c>
      <c r="D2805" s="2">
        <f>DATE(YEAR(OrdersTable[[#This Row],[Order Date]]),MONTH(OrdersTable[[#This Row],[Order Date]]),1)</f>
        <v>45748</v>
      </c>
      <c r="E2805">
        <f>MONTH(OrdersTable[[#This Row],[Order Date]])</f>
        <v>4</v>
      </c>
      <c r="F2805" t="s">
        <v>3049</v>
      </c>
      <c r="G2805" t="str">
        <f>IF(OrdersTable[[#This Row],[Order Date]]=_xlfn.MINIFS(Order_Date, Customer_ID, OrdersTable[[#This Row],[Customer ID]]), "New", "Repeat")</f>
        <v>Repeat</v>
      </c>
      <c r="H2805" t="s">
        <v>54</v>
      </c>
      <c r="I2805" t="str">
        <f>INDEX(State!B:B,MATCH(OrdersTable[[#This Row],[State]],State!A:A,0))</f>
        <v>RJ</v>
      </c>
      <c r="J2805" t="str">
        <f>INDEX(State!C:C,MATCH(OrdersTable[[#This Row],[State Code]],State!B:B,0))</f>
        <v>North</v>
      </c>
      <c r="K2805" t="s">
        <v>227</v>
      </c>
      <c r="L2805" t="s">
        <v>23</v>
      </c>
      <c r="M2805" t="s">
        <v>92</v>
      </c>
      <c r="N2805" t="str">
        <f>INDEX(Products!B:B,MATCH(OrdersTable[[#This Row],[Product ID]],Products!A:A,0))</f>
        <v>Kolhapuri Sandals</v>
      </c>
      <c r="O2805" t="str">
        <f>INDEX(Products!C:C,MATCH(OrdersTable[[#This Row],[Product ID]],Products!A:A,0))</f>
        <v>Footwear</v>
      </c>
      <c r="P2805">
        <v>1</v>
      </c>
      <c r="Q2805" s="5">
        <v>999</v>
      </c>
      <c r="R2805" s="74">
        <v>0.15</v>
      </c>
      <c r="S2805" s="75">
        <f>OrdersTable[[#This Row],[Quantity]]*OrdersTable[[#This Row],[Unit Price]]</f>
        <v>999</v>
      </c>
      <c r="T2805" s="5">
        <f>OrdersTable[[#This Row],[Gross Sale]]*OrdersTable[[#This Row],[Discount_Clean2]]</f>
        <v>149.85</v>
      </c>
      <c r="U2805" s="5">
        <f>OrdersTable[[#This Row],[Gross Sale]]-OrdersTable[[#This Row],[Discount Amount]]</f>
        <v>849.15</v>
      </c>
      <c r="V2805" s="77">
        <f>INDEX(Products!E:E,MATCH(OrdersTable[[#This Row],[Product ID]],Products!A:A,0))</f>
        <v>400</v>
      </c>
      <c r="W2805" s="77">
        <f>OrdersTable[[#This Row],[Quantity]]*OrdersTable[[#This Row],[Unit Cost]]</f>
        <v>400</v>
      </c>
      <c r="X2805" s="77">
        <f>'Dropdown Lists'!$I$2*(1+OrdersTable[[#This Row],[Returned]])</f>
        <v>60</v>
      </c>
      <c r="Y2805" s="76">
        <f>OrdersTable[[#This Row],[Net Revenue]]-OrdersTable[[#This Row],[COGS]]-OrdersTable[[#This Row],[Shipping Cost]]</f>
        <v>389.15</v>
      </c>
      <c r="Z2805" s="78">
        <f>IFERROR(OrdersTable[[#This Row],[Profit]]/OrdersTable[[#This Row],[Net Revenue]],0)</f>
        <v>0.45828181122298767</v>
      </c>
      <c r="AA2805" t="s">
        <v>2522</v>
      </c>
      <c r="AB2805" s="79">
        <v>45763</v>
      </c>
      <c r="AC2805">
        <f>OrdersTable[[#This Row],[Delivery Date]]-OrdersTable[[#This Row],[Order Date]]</f>
        <v>6</v>
      </c>
      <c r="AD2805" t="str">
        <f>IF(OrdersTable[[#This Row],[Delivery Days]]&lt;=2, "Express (≤2d)", IF(OrdersTable[[#This Row],[Delivery Days]]&lt;=4, "Standard (3-4d)", "Delayed (5d+)"))</f>
        <v>Delayed (5d+)</v>
      </c>
      <c r="AF2805">
        <v>0</v>
      </c>
    </row>
    <row r="2806" spans="1:32" ht="15" x14ac:dyDescent="0.35">
      <c r="A2806" t="s">
        <v>3903</v>
      </c>
      <c r="B2806" s="1">
        <v>45757</v>
      </c>
      <c r="C2806">
        <f>YEAR(OrdersTable[[#This Row],[Order Date]])</f>
        <v>2025</v>
      </c>
      <c r="D2806" s="2">
        <f>DATE(YEAR(OrdersTable[[#This Row],[Order Date]]),MONTH(OrdersTable[[#This Row],[Order Date]]),1)</f>
        <v>45748</v>
      </c>
      <c r="E2806">
        <f>MONTH(OrdersTable[[#This Row],[Order Date]])</f>
        <v>4</v>
      </c>
      <c r="F2806" t="s">
        <v>3332</v>
      </c>
      <c r="G2806" t="str">
        <f>IF(OrdersTable[[#This Row],[Order Date]]=_xlfn.MINIFS(Order_Date, Customer_ID, OrdersTable[[#This Row],[Customer ID]]), "New", "Repeat")</f>
        <v>Repeat</v>
      </c>
      <c r="H2806" t="s">
        <v>54</v>
      </c>
      <c r="I2806" t="str">
        <f>INDEX(State!B:B,MATCH(OrdersTable[[#This Row],[State]],State!A:A,0))</f>
        <v>RJ</v>
      </c>
      <c r="J2806" t="str">
        <f>INDEX(State!C:C,MATCH(OrdersTable[[#This Row],[State Code]],State!B:B,0))</f>
        <v>North</v>
      </c>
      <c r="K2806" t="s">
        <v>55</v>
      </c>
      <c r="L2806" t="s">
        <v>23</v>
      </c>
      <c r="M2806" t="s">
        <v>106</v>
      </c>
      <c r="N2806" t="str">
        <f>INDEX(Products!B:B,MATCH(OrdersTable[[#This Row],[Product ID]],Products!A:A,0))</f>
        <v>Keratin Hair Mask</v>
      </c>
      <c r="O2806" t="str">
        <f>INDEX(Products!C:C,MATCH(OrdersTable[[#This Row],[Product ID]],Products!A:A,0))</f>
        <v>Haircare</v>
      </c>
      <c r="P2806">
        <v>1</v>
      </c>
      <c r="Q2806" s="5">
        <v>549</v>
      </c>
      <c r="R2806" s="74">
        <v>0.1</v>
      </c>
      <c r="S2806" s="75">
        <f>OrdersTable[[#This Row],[Quantity]]*OrdersTable[[#This Row],[Unit Price]]</f>
        <v>549</v>
      </c>
      <c r="T2806" s="5">
        <f>OrdersTable[[#This Row],[Gross Sale]]*OrdersTable[[#This Row],[Discount_Clean2]]</f>
        <v>54.900000000000006</v>
      </c>
      <c r="U2806" s="5">
        <f>OrdersTable[[#This Row],[Gross Sale]]-OrdersTable[[#This Row],[Discount Amount]]</f>
        <v>494.1</v>
      </c>
      <c r="V2806" s="77">
        <f>INDEX(Products!E:E,MATCH(OrdersTable[[#This Row],[Product ID]],Products!A:A,0))</f>
        <v>170</v>
      </c>
      <c r="W2806" s="77">
        <f>OrdersTable[[#This Row],[Quantity]]*OrdersTable[[#This Row],[Unit Cost]]</f>
        <v>170</v>
      </c>
      <c r="X2806" s="77">
        <f>'Dropdown Lists'!$I$2*(1+OrdersTable[[#This Row],[Returned]])</f>
        <v>60</v>
      </c>
      <c r="Y2806" s="76">
        <f>OrdersTable[[#This Row],[Net Revenue]]-OrdersTable[[#This Row],[COGS]]-OrdersTable[[#This Row],[Shipping Cost]]</f>
        <v>264.10000000000002</v>
      </c>
      <c r="Z2806" s="78">
        <f>IFERROR(OrdersTable[[#This Row],[Profit]]/OrdersTable[[#This Row],[Net Revenue]],0)</f>
        <v>0.53450718478040882</v>
      </c>
      <c r="AA2806" t="s">
        <v>3495</v>
      </c>
      <c r="AB2806" s="79">
        <v>45763</v>
      </c>
      <c r="AC2806">
        <f>OrdersTable[[#This Row],[Delivery Date]]-OrdersTable[[#This Row],[Order Date]]</f>
        <v>6</v>
      </c>
      <c r="AD2806" t="str">
        <f>IF(OrdersTable[[#This Row],[Delivery Days]]&lt;=2, "Express (≤2d)", IF(OrdersTable[[#This Row],[Delivery Days]]&lt;=4, "Standard (3-4d)", "Delayed (5d+)"))</f>
        <v>Delayed (5d+)</v>
      </c>
      <c r="AE2806">
        <v>3</v>
      </c>
      <c r="AF2806">
        <v>0</v>
      </c>
    </row>
    <row r="2807" spans="1:32" ht="15" x14ac:dyDescent="0.35">
      <c r="A2807" t="s">
        <v>5941</v>
      </c>
      <c r="B2807" s="1">
        <v>45757</v>
      </c>
      <c r="C2807">
        <f>YEAR(OrdersTable[[#This Row],[Order Date]])</f>
        <v>2025</v>
      </c>
      <c r="D2807" s="2">
        <f>DATE(YEAR(OrdersTable[[#This Row],[Order Date]]),MONTH(OrdersTable[[#This Row],[Order Date]]),1)</f>
        <v>45748</v>
      </c>
      <c r="E2807">
        <f>MONTH(OrdersTable[[#This Row],[Order Date]])</f>
        <v>4</v>
      </c>
      <c r="F2807" t="s">
        <v>3305</v>
      </c>
      <c r="G2807" t="str">
        <f>IF(OrdersTable[[#This Row],[Order Date]]=_xlfn.MINIFS(Order_Date, Customer_ID, OrdersTable[[#This Row],[Customer ID]]), "New", "Repeat")</f>
        <v>Repeat</v>
      </c>
      <c r="H2807" t="s">
        <v>48</v>
      </c>
      <c r="I2807" t="str">
        <f>INDEX(State!B:B,MATCH(OrdersTable[[#This Row],[State]],State!A:A,0))</f>
        <v>HR</v>
      </c>
      <c r="J2807" t="str">
        <f>INDEX(State!C:C,MATCH(OrdersTable[[#This Row],[State Code]],State!B:B,0))</f>
        <v>North</v>
      </c>
      <c r="K2807" t="s">
        <v>49</v>
      </c>
      <c r="L2807" t="s">
        <v>23</v>
      </c>
      <c r="M2807" t="s">
        <v>179</v>
      </c>
      <c r="N2807" t="str">
        <f>INDEX(Products!B:B,MATCH(OrdersTable[[#This Row],[Product ID]],Products!A:A,0))</f>
        <v>Whey Protein 1kg</v>
      </c>
      <c r="O2807" t="str">
        <f>INDEX(Products!C:C,MATCH(OrdersTable[[#This Row],[Product ID]],Products!A:A,0))</f>
        <v>Wellness</v>
      </c>
      <c r="P2807">
        <v>2</v>
      </c>
      <c r="Q2807" s="5">
        <v>2299</v>
      </c>
      <c r="R2807" s="74">
        <v>0.45</v>
      </c>
      <c r="S2807" s="75">
        <f>OrdersTable[[#This Row],[Quantity]]*OrdersTable[[#This Row],[Unit Price]]</f>
        <v>4598</v>
      </c>
      <c r="T2807" s="5">
        <f>OrdersTable[[#This Row],[Gross Sale]]*OrdersTable[[#This Row],[Discount_Clean2]]</f>
        <v>2069.1</v>
      </c>
      <c r="U2807" s="5">
        <f>OrdersTable[[#This Row],[Gross Sale]]-OrdersTable[[#This Row],[Discount Amount]]</f>
        <v>2528.9</v>
      </c>
      <c r="V2807" s="77">
        <f>INDEX(Products!E:E,MATCH(OrdersTable[[#This Row],[Product ID]],Products!A:A,0))</f>
        <v>1333</v>
      </c>
      <c r="W2807" s="77">
        <f>OrdersTable[[#This Row],[Quantity]]*OrdersTable[[#This Row],[Unit Cost]]</f>
        <v>2666</v>
      </c>
      <c r="X2807" s="77">
        <f>'Dropdown Lists'!$I$2*(1+OrdersTable[[#This Row],[Returned]])</f>
        <v>60</v>
      </c>
      <c r="Y2807" s="76">
        <f>OrdersTable[[#This Row],[Net Revenue]]-OrdersTable[[#This Row],[COGS]]-OrdersTable[[#This Row],[Shipping Cost]]</f>
        <v>-197.09999999999991</v>
      </c>
      <c r="Z2807" s="78">
        <f>IFERROR(OrdersTable[[#This Row],[Profit]]/OrdersTable[[#This Row],[Net Revenue]],0)</f>
        <v>-7.7939024872474158E-2</v>
      </c>
      <c r="AA2807" t="s">
        <v>18</v>
      </c>
      <c r="AB2807" s="79">
        <v>45760</v>
      </c>
      <c r="AC2807">
        <f>OrdersTable[[#This Row],[Delivery Date]]-OrdersTable[[#This Row],[Order Date]]</f>
        <v>3</v>
      </c>
      <c r="AD2807" t="str">
        <f>IF(OrdersTable[[#This Row],[Delivery Days]]&lt;=2, "Express (≤2d)", IF(OrdersTable[[#This Row],[Delivery Days]]&lt;=4, "Standard (3-4d)", "Delayed (5d+)"))</f>
        <v>Standard (3-4d)</v>
      </c>
      <c r="AF2807">
        <v>0</v>
      </c>
    </row>
    <row r="2808" spans="1:32" ht="15" x14ac:dyDescent="0.35">
      <c r="A2808" t="s">
        <v>1730</v>
      </c>
      <c r="B2808" s="1">
        <v>45757</v>
      </c>
      <c r="C2808">
        <f>YEAR(OrdersTable[[#This Row],[Order Date]])</f>
        <v>2025</v>
      </c>
      <c r="D2808" s="2">
        <f>DATE(YEAR(OrdersTable[[#This Row],[Order Date]]),MONTH(OrdersTable[[#This Row],[Order Date]]),1)</f>
        <v>45748</v>
      </c>
      <c r="E2808">
        <f>MONTH(OrdersTable[[#This Row],[Order Date]])</f>
        <v>4</v>
      </c>
      <c r="F2808" t="s">
        <v>1731</v>
      </c>
      <c r="G2808" t="str">
        <f>IF(OrdersTable[[#This Row],[Order Date]]=_xlfn.MINIFS(Order_Date, Customer_ID, OrdersTable[[#This Row],[Customer ID]]), "New", "Repeat")</f>
        <v>Repeat</v>
      </c>
      <c r="H2808" t="s">
        <v>128</v>
      </c>
      <c r="I2808" t="str">
        <f>INDEX(State!B:B,MATCH(OrdersTable[[#This Row],[State]],State!A:A,0))</f>
        <v>DL</v>
      </c>
      <c r="J2808" t="str">
        <f>INDEX(State!C:C,MATCH(OrdersTable[[#This Row],[State Code]],State!B:B,0))</f>
        <v>North</v>
      </c>
      <c r="K2808" t="s">
        <v>129</v>
      </c>
      <c r="L2808" t="s">
        <v>65</v>
      </c>
      <c r="M2808" t="s">
        <v>17</v>
      </c>
      <c r="N2808" t="str">
        <f>INDEX(Products!B:B,MATCH(OrdersTable[[#This Row],[Product ID]],Products!A:A,0))</f>
        <v>Casual Sneakers</v>
      </c>
      <c r="O2808" t="str">
        <f>INDEX(Products!C:C,MATCH(OrdersTable[[#This Row],[Product ID]],Products!A:A,0))</f>
        <v>Footwear</v>
      </c>
      <c r="P2808">
        <v>1</v>
      </c>
      <c r="Q2808" s="5">
        <v>2199</v>
      </c>
      <c r="R2808" s="74">
        <v>0.15</v>
      </c>
      <c r="S2808" s="75">
        <f>OrdersTable[[#This Row],[Quantity]]*OrdersTable[[#This Row],[Unit Price]]</f>
        <v>2199</v>
      </c>
      <c r="T2808" s="5">
        <f>OrdersTable[[#This Row],[Gross Sale]]*OrdersTable[[#This Row],[Discount_Clean2]]</f>
        <v>329.84999999999997</v>
      </c>
      <c r="U2808" s="5">
        <f>OrdersTable[[#This Row],[Gross Sale]]-OrdersTable[[#This Row],[Discount Amount]]</f>
        <v>1869.15</v>
      </c>
      <c r="V2808" s="77">
        <f>INDEX(Products!E:E,MATCH(OrdersTable[[#This Row],[Product ID]],Products!A:A,0))</f>
        <v>1034</v>
      </c>
      <c r="W2808" s="77">
        <f>OrdersTable[[#This Row],[Quantity]]*OrdersTable[[#This Row],[Unit Cost]]</f>
        <v>1034</v>
      </c>
      <c r="X2808" s="77">
        <f>'Dropdown Lists'!$I$2*(1+OrdersTable[[#This Row],[Returned]])</f>
        <v>120</v>
      </c>
      <c r="Y2808" s="76">
        <f>OrdersTable[[#This Row],[Net Revenue]]-OrdersTable[[#This Row],[COGS]]-OrdersTable[[#This Row],[Shipping Cost]]</f>
        <v>715.15000000000009</v>
      </c>
      <c r="Z2808" s="78">
        <f>IFERROR(OrdersTable[[#This Row],[Profit]]/OrdersTable[[#This Row],[Net Revenue]],0)</f>
        <v>0.38260706738357009</v>
      </c>
      <c r="AA2808" t="s">
        <v>18</v>
      </c>
      <c r="AB2808" s="79">
        <v>45758</v>
      </c>
      <c r="AC2808">
        <f>OrdersTable[[#This Row],[Delivery Date]]-OrdersTable[[#This Row],[Order Date]]</f>
        <v>1</v>
      </c>
      <c r="AD2808" t="str">
        <f>IF(OrdersTable[[#This Row],[Delivery Days]]&lt;=2, "Express (≤2d)", IF(OrdersTable[[#This Row],[Delivery Days]]&lt;=4, "Standard (3-4d)", "Delayed (5d+)"))</f>
        <v>Express (≤2d)</v>
      </c>
      <c r="AF2808">
        <v>1</v>
      </c>
    </row>
    <row r="2809" spans="1:32" ht="15" x14ac:dyDescent="0.35">
      <c r="A2809" t="s">
        <v>3767</v>
      </c>
      <c r="B2809" s="1">
        <v>45757</v>
      </c>
      <c r="C2809">
        <f>YEAR(OrdersTable[[#This Row],[Order Date]])</f>
        <v>2025</v>
      </c>
      <c r="D2809" s="2">
        <f>DATE(YEAR(OrdersTable[[#This Row],[Order Date]]),MONTH(OrdersTable[[#This Row],[Order Date]]),1)</f>
        <v>45748</v>
      </c>
      <c r="E2809">
        <f>MONTH(OrdersTable[[#This Row],[Order Date]])</f>
        <v>4</v>
      </c>
      <c r="F2809" t="s">
        <v>1359</v>
      </c>
      <c r="G2809" t="str">
        <f>IF(OrdersTable[[#This Row],[Order Date]]=_xlfn.MINIFS(Order_Date, Customer_ID, OrdersTable[[#This Row],[Customer ID]]), "New", "Repeat")</f>
        <v>Repeat</v>
      </c>
      <c r="H2809" t="s">
        <v>43</v>
      </c>
      <c r="I2809" t="str">
        <f>INDEX(State!B:B,MATCH(OrdersTable[[#This Row],[State]],State!A:A,0))</f>
        <v>MP</v>
      </c>
      <c r="J2809" t="str">
        <f>INDEX(State!C:C,MATCH(OrdersTable[[#This Row],[State Code]],State!B:B,0))</f>
        <v>West</v>
      </c>
      <c r="K2809" t="s">
        <v>44</v>
      </c>
      <c r="L2809" t="s">
        <v>65</v>
      </c>
      <c r="M2809" t="s">
        <v>56</v>
      </c>
      <c r="N2809" t="str">
        <f>INDEX(Products!B:B,MATCH(OrdersTable[[#This Row],[Product ID]],Products!A:A,0))</f>
        <v>Vitamin C Face Serum</v>
      </c>
      <c r="O2809" t="str">
        <f>INDEX(Products!C:C,MATCH(OrdersTable[[#This Row],[Product ID]],Products!A:A,0))</f>
        <v>Skincare</v>
      </c>
      <c r="P2809">
        <v>1</v>
      </c>
      <c r="Q2809" s="5">
        <v>599</v>
      </c>
      <c r="R2809" s="74">
        <v>0.2</v>
      </c>
      <c r="S2809" s="75">
        <f>OrdersTable[[#This Row],[Quantity]]*OrdersTable[[#This Row],[Unit Price]]</f>
        <v>599</v>
      </c>
      <c r="T2809" s="5">
        <f>OrdersTable[[#This Row],[Gross Sale]]*OrdersTable[[#This Row],[Discount_Clean2]]</f>
        <v>119.80000000000001</v>
      </c>
      <c r="U2809" s="5">
        <f>OrdersTable[[#This Row],[Gross Sale]]-OrdersTable[[#This Row],[Discount Amount]]</f>
        <v>479.2</v>
      </c>
      <c r="V2809" s="77">
        <f>INDEX(Products!E:E,MATCH(OrdersTable[[#This Row],[Product ID]],Products!A:A,0))</f>
        <v>180</v>
      </c>
      <c r="W2809" s="77">
        <f>OrdersTable[[#This Row],[Quantity]]*OrdersTable[[#This Row],[Unit Cost]]</f>
        <v>180</v>
      </c>
      <c r="X2809" s="77">
        <f>'Dropdown Lists'!$I$2*(1+OrdersTable[[#This Row],[Returned]])</f>
        <v>60</v>
      </c>
      <c r="Y2809" s="76">
        <f>OrdersTable[[#This Row],[Net Revenue]]-OrdersTable[[#This Row],[COGS]]-OrdersTable[[#This Row],[Shipping Cost]]</f>
        <v>239.2</v>
      </c>
      <c r="Z2809" s="78">
        <f>IFERROR(OrdersTable[[#This Row],[Profit]]/OrdersTable[[#This Row],[Net Revenue]],0)</f>
        <v>0.4991652754590985</v>
      </c>
      <c r="AA2809" t="s">
        <v>3495</v>
      </c>
      <c r="AB2809" s="79">
        <v>45762</v>
      </c>
      <c r="AC2809">
        <f>OrdersTable[[#This Row],[Delivery Date]]-OrdersTable[[#This Row],[Order Date]]</f>
        <v>5</v>
      </c>
      <c r="AD2809" t="str">
        <f>IF(OrdersTable[[#This Row],[Delivery Days]]&lt;=2, "Express (≤2d)", IF(OrdersTable[[#This Row],[Delivery Days]]&lt;=4, "Standard (3-4d)", "Delayed (5d+)"))</f>
        <v>Delayed (5d+)</v>
      </c>
      <c r="AF2809">
        <v>0</v>
      </c>
    </row>
    <row r="2810" spans="1:32" ht="15" x14ac:dyDescent="0.35">
      <c r="A2810" t="s">
        <v>2143</v>
      </c>
      <c r="B2810" s="1">
        <v>45757</v>
      </c>
      <c r="C2810">
        <f>YEAR(OrdersTable[[#This Row],[Order Date]])</f>
        <v>2025</v>
      </c>
      <c r="D2810" s="2">
        <f>DATE(YEAR(OrdersTable[[#This Row],[Order Date]]),MONTH(OrdersTable[[#This Row],[Order Date]]),1)</f>
        <v>45748</v>
      </c>
      <c r="E2810">
        <f>MONTH(OrdersTable[[#This Row],[Order Date]])</f>
        <v>4</v>
      </c>
      <c r="F2810" t="s">
        <v>703</v>
      </c>
      <c r="G2810" t="str">
        <f>IF(OrdersTable[[#This Row],[Order Date]]=_xlfn.MINIFS(Order_Date, Customer_ID, OrdersTable[[#This Row],[Customer ID]]), "New", "Repeat")</f>
        <v>Repeat</v>
      </c>
      <c r="H2810" t="s">
        <v>316</v>
      </c>
      <c r="I2810" t="str">
        <f>INDEX(State!B:B,MATCH(OrdersTable[[#This Row],[State]],State!A:A,0))</f>
        <v>KL</v>
      </c>
      <c r="J2810" t="str">
        <f>INDEX(State!C:C,MATCH(OrdersTable[[#This Row],[State Code]],State!B:B,0))</f>
        <v>South</v>
      </c>
      <c r="K2810" t="s">
        <v>338</v>
      </c>
      <c r="L2810" t="s">
        <v>39</v>
      </c>
      <c r="M2810" t="s">
        <v>160</v>
      </c>
      <c r="N2810" t="str">
        <f>INDEX(Products!B:B,MATCH(OrdersTable[[#This Row],[Product ID]],Products!A:A,0))</f>
        <v>Niacinamide Toner</v>
      </c>
      <c r="O2810" t="str">
        <f>INDEX(Products!C:C,MATCH(OrdersTable[[#This Row],[Product ID]],Products!A:A,0))</f>
        <v>Skincare</v>
      </c>
      <c r="P2810">
        <v>1</v>
      </c>
      <c r="Q2810" s="5">
        <v>399</v>
      </c>
      <c r="R2810" s="74">
        <v>0.2</v>
      </c>
      <c r="S2810" s="75">
        <f>OrdersTable[[#This Row],[Quantity]]*OrdersTable[[#This Row],[Unit Price]]</f>
        <v>399</v>
      </c>
      <c r="T2810" s="5">
        <f>OrdersTable[[#This Row],[Gross Sale]]*OrdersTable[[#This Row],[Discount_Clean2]]</f>
        <v>79.800000000000011</v>
      </c>
      <c r="U2810" s="5">
        <f>OrdersTable[[#This Row],[Gross Sale]]-OrdersTable[[#This Row],[Discount Amount]]</f>
        <v>319.2</v>
      </c>
      <c r="V2810" s="77">
        <f>INDEX(Products!E:E,MATCH(OrdersTable[[#This Row],[Product ID]],Products!A:A,0))</f>
        <v>112</v>
      </c>
      <c r="W2810" s="77">
        <f>OrdersTable[[#This Row],[Quantity]]*OrdersTable[[#This Row],[Unit Cost]]</f>
        <v>112</v>
      </c>
      <c r="X2810" s="77">
        <f>'Dropdown Lists'!$I$2*(1+OrdersTable[[#This Row],[Returned]])</f>
        <v>60</v>
      </c>
      <c r="Y2810" s="76">
        <f>OrdersTable[[#This Row],[Net Revenue]]-OrdersTable[[#This Row],[COGS]]-OrdersTable[[#This Row],[Shipping Cost]]</f>
        <v>147.19999999999999</v>
      </c>
      <c r="Z2810" s="78">
        <f>IFERROR(OrdersTable[[#This Row],[Profit]]/OrdersTable[[#This Row],[Net Revenue]],0)</f>
        <v>0.46115288220551376</v>
      </c>
      <c r="AA2810" t="s">
        <v>18</v>
      </c>
      <c r="AB2810" s="79">
        <v>45761</v>
      </c>
      <c r="AC2810">
        <f>OrdersTable[[#This Row],[Delivery Date]]-OrdersTable[[#This Row],[Order Date]]</f>
        <v>4</v>
      </c>
      <c r="AD2810" t="str">
        <f>IF(OrdersTable[[#This Row],[Delivery Days]]&lt;=2, "Express (≤2d)", IF(OrdersTable[[#This Row],[Delivery Days]]&lt;=4, "Standard (3-4d)", "Delayed (5d+)"))</f>
        <v>Standard (3-4d)</v>
      </c>
      <c r="AE2810">
        <v>3</v>
      </c>
      <c r="AF2810">
        <v>0</v>
      </c>
    </row>
    <row r="2811" spans="1:32" ht="15" x14ac:dyDescent="0.35">
      <c r="A2811" t="s">
        <v>1272</v>
      </c>
      <c r="B2811" s="1">
        <v>45757</v>
      </c>
      <c r="C2811">
        <f>YEAR(OrdersTable[[#This Row],[Order Date]])</f>
        <v>2025</v>
      </c>
      <c r="D2811" s="2">
        <f>DATE(YEAR(OrdersTable[[#This Row],[Order Date]]),MONTH(OrdersTable[[#This Row],[Order Date]]),1)</f>
        <v>45748</v>
      </c>
      <c r="E2811">
        <f>MONTH(OrdersTable[[#This Row],[Order Date]])</f>
        <v>4</v>
      </c>
      <c r="F2811" t="s">
        <v>1273</v>
      </c>
      <c r="G2811" t="str">
        <f>IF(OrdersTable[[#This Row],[Order Date]]=_xlfn.MINIFS(Order_Date, Customer_ID, OrdersTable[[#This Row],[Customer ID]]), "New", "Repeat")</f>
        <v>Repeat</v>
      </c>
      <c r="H2811" t="s">
        <v>316</v>
      </c>
      <c r="I2811" t="str">
        <f>INDEX(State!B:B,MATCH(OrdersTable[[#This Row],[State]],State!A:A,0))</f>
        <v>KL</v>
      </c>
      <c r="J2811" t="str">
        <f>INDEX(State!C:C,MATCH(OrdersTable[[#This Row],[State Code]],State!B:B,0))</f>
        <v>South</v>
      </c>
      <c r="K2811" t="s">
        <v>338</v>
      </c>
      <c r="L2811" t="s">
        <v>16</v>
      </c>
      <c r="M2811" t="s">
        <v>34</v>
      </c>
      <c r="N2811" t="str">
        <f>INDEX(Products!B:B,MATCH(OrdersTable[[#This Row],[Product ID]],Products!A:A,0))</f>
        <v>Flip Flops</v>
      </c>
      <c r="O2811" t="str">
        <f>INDEX(Products!C:C,MATCH(OrdersTable[[#This Row],[Product ID]],Products!A:A,0))</f>
        <v>Footwear</v>
      </c>
      <c r="P2811">
        <v>1</v>
      </c>
      <c r="Q2811" s="5">
        <v>399</v>
      </c>
      <c r="R2811" s="74">
        <v>0.1</v>
      </c>
      <c r="S2811" s="75">
        <f>OrdersTable[[#This Row],[Quantity]]*OrdersTable[[#This Row],[Unit Price]]</f>
        <v>399</v>
      </c>
      <c r="T2811" s="5">
        <f>OrdersTable[[#This Row],[Gross Sale]]*OrdersTable[[#This Row],[Discount_Clean2]]</f>
        <v>39.900000000000006</v>
      </c>
      <c r="U2811" s="5">
        <f>OrdersTable[[#This Row],[Gross Sale]]-OrdersTable[[#This Row],[Discount Amount]]</f>
        <v>359.1</v>
      </c>
      <c r="V2811" s="77">
        <f>INDEX(Products!E:E,MATCH(OrdersTable[[#This Row],[Product ID]],Products!A:A,0))</f>
        <v>152</v>
      </c>
      <c r="W2811" s="77">
        <f>OrdersTable[[#This Row],[Quantity]]*OrdersTable[[#This Row],[Unit Cost]]</f>
        <v>152</v>
      </c>
      <c r="X2811" s="77">
        <f>'Dropdown Lists'!$I$2*(1+OrdersTable[[#This Row],[Returned]])</f>
        <v>120</v>
      </c>
      <c r="Y2811" s="76">
        <f>OrdersTable[[#This Row],[Net Revenue]]-OrdersTable[[#This Row],[COGS]]-OrdersTable[[#This Row],[Shipping Cost]]</f>
        <v>87.100000000000023</v>
      </c>
      <c r="Z2811" s="78">
        <f>IFERROR(OrdersTable[[#This Row],[Profit]]/OrdersTable[[#This Row],[Net Revenue]],0)</f>
        <v>0.24255082149818996</v>
      </c>
      <c r="AA2811" t="s">
        <v>18</v>
      </c>
      <c r="AB2811" s="79">
        <v>45761</v>
      </c>
      <c r="AC2811">
        <f>OrdersTable[[#This Row],[Delivery Date]]-OrdersTable[[#This Row],[Order Date]]</f>
        <v>4</v>
      </c>
      <c r="AD2811" t="str">
        <f>IF(OrdersTable[[#This Row],[Delivery Days]]&lt;=2, "Express (≤2d)", IF(OrdersTable[[#This Row],[Delivery Days]]&lt;=4, "Standard (3-4d)", "Delayed (5d+)"))</f>
        <v>Standard (3-4d)</v>
      </c>
      <c r="AF2811">
        <v>1</v>
      </c>
    </row>
    <row r="2812" spans="1:32" ht="15" x14ac:dyDescent="0.35">
      <c r="A2812" t="s">
        <v>7093</v>
      </c>
      <c r="B2812" s="1">
        <v>45758</v>
      </c>
      <c r="C2812">
        <f>YEAR(OrdersTable[[#This Row],[Order Date]])</f>
        <v>2025</v>
      </c>
      <c r="D2812" s="2">
        <f>DATE(YEAR(OrdersTable[[#This Row],[Order Date]]),MONTH(OrdersTable[[#This Row],[Order Date]]),1)</f>
        <v>45748</v>
      </c>
      <c r="E2812">
        <f>MONTH(OrdersTable[[#This Row],[Order Date]])</f>
        <v>4</v>
      </c>
      <c r="F2812" t="s">
        <v>7094</v>
      </c>
      <c r="G2812" t="str">
        <f>IF(OrdersTable[[#This Row],[Order Date]]=_xlfn.MINIFS(Order_Date, Customer_ID, OrdersTable[[#This Row],[Customer ID]]), "New", "Repeat")</f>
        <v>New</v>
      </c>
      <c r="H2812" t="s">
        <v>54</v>
      </c>
      <c r="I2812" t="str">
        <f>INDEX(State!B:B,MATCH(OrdersTable[[#This Row],[State]],State!A:A,0))</f>
        <v>RJ</v>
      </c>
      <c r="J2812" t="str">
        <f>INDEX(State!C:C,MATCH(OrdersTable[[#This Row],[State Code]],State!B:B,0))</f>
        <v>North</v>
      </c>
      <c r="K2812" t="s">
        <v>227</v>
      </c>
      <c r="L2812" t="s">
        <v>50</v>
      </c>
      <c r="M2812" t="s">
        <v>78</v>
      </c>
      <c r="N2812" t="str">
        <f>INDEX(Products!B:B,MATCH(OrdersTable[[#This Row],[Product ID]],Products!A:A,0))</f>
        <v>Retinol Night Cream</v>
      </c>
      <c r="O2812" t="str">
        <f>INDEX(Products!C:C,MATCH(OrdersTable[[#This Row],[Product ID]],Products!A:A,0))</f>
        <v>Skincare</v>
      </c>
      <c r="P2812">
        <v>4</v>
      </c>
      <c r="Q2812" s="5">
        <v>799</v>
      </c>
      <c r="R2812" s="74">
        <v>0</v>
      </c>
      <c r="S2812" s="75">
        <f>OrdersTable[[#This Row],[Quantity]]*OrdersTable[[#This Row],[Unit Price]]</f>
        <v>3196</v>
      </c>
      <c r="T2812" s="5">
        <f>OrdersTable[[#This Row],[Gross Sale]]*OrdersTable[[#This Row],[Discount_Clean2]]</f>
        <v>0</v>
      </c>
      <c r="U2812" s="5">
        <f>OrdersTable[[#This Row],[Gross Sale]]-OrdersTable[[#This Row],[Discount Amount]]</f>
        <v>3196</v>
      </c>
      <c r="V2812" s="77">
        <f>INDEX(Products!E:E,MATCH(OrdersTable[[#This Row],[Product ID]],Products!A:A,0))</f>
        <v>216</v>
      </c>
      <c r="W2812" s="77">
        <f>OrdersTable[[#This Row],[Quantity]]*OrdersTable[[#This Row],[Unit Cost]]</f>
        <v>864</v>
      </c>
      <c r="X2812" s="77">
        <f>'Dropdown Lists'!$I$2*(1+OrdersTable[[#This Row],[Returned]])</f>
        <v>60</v>
      </c>
      <c r="Y2812" s="76">
        <f>OrdersTable[[#This Row],[Net Revenue]]-OrdersTable[[#This Row],[COGS]]-OrdersTable[[#This Row],[Shipping Cost]]</f>
        <v>2272</v>
      </c>
      <c r="Z2812" s="78">
        <f>IFERROR(OrdersTable[[#This Row],[Profit]]/OrdersTable[[#This Row],[Net Revenue]],0)</f>
        <v>0.71088861076345433</v>
      </c>
      <c r="AA2812" t="s">
        <v>18</v>
      </c>
      <c r="AB2812" s="79">
        <v>45761</v>
      </c>
      <c r="AC2812">
        <f>OrdersTable[[#This Row],[Delivery Date]]-OrdersTable[[#This Row],[Order Date]]</f>
        <v>3</v>
      </c>
      <c r="AD2812" t="str">
        <f>IF(OrdersTable[[#This Row],[Delivery Days]]&lt;=2, "Express (≤2d)", IF(OrdersTable[[#This Row],[Delivery Days]]&lt;=4, "Standard (3-4d)", "Delayed (5d+)"))</f>
        <v>Standard (3-4d)</v>
      </c>
      <c r="AF2812">
        <v>0</v>
      </c>
    </row>
    <row r="2813" spans="1:32" ht="15" x14ac:dyDescent="0.35">
      <c r="A2813" t="s">
        <v>604</v>
      </c>
      <c r="B2813" s="1">
        <v>45758</v>
      </c>
      <c r="C2813">
        <f>YEAR(OrdersTable[[#This Row],[Order Date]])</f>
        <v>2025</v>
      </c>
      <c r="D2813" s="2">
        <f>DATE(YEAR(OrdersTable[[#This Row],[Order Date]]),MONTH(OrdersTable[[#This Row],[Order Date]]),1)</f>
        <v>45748</v>
      </c>
      <c r="E2813">
        <f>MONTH(OrdersTable[[#This Row],[Order Date]])</f>
        <v>4</v>
      </c>
      <c r="F2813" t="s">
        <v>605</v>
      </c>
      <c r="G2813" t="str">
        <f>IF(OrdersTable[[#This Row],[Order Date]]=_xlfn.MINIFS(Order_Date, Customer_ID, OrdersTable[[#This Row],[Customer ID]]), "New", "Repeat")</f>
        <v>New</v>
      </c>
      <c r="H2813" t="s">
        <v>54</v>
      </c>
      <c r="I2813" t="str">
        <f>INDEX(State!B:B,MATCH(OrdersTable[[#This Row],[State]],State!A:A,0))</f>
        <v>RJ</v>
      </c>
      <c r="J2813" t="str">
        <f>INDEX(State!C:C,MATCH(OrdersTable[[#This Row],[State Code]],State!B:B,0))</f>
        <v>North</v>
      </c>
      <c r="K2813" t="s">
        <v>55</v>
      </c>
      <c r="L2813" t="s">
        <v>16</v>
      </c>
      <c r="M2813" t="s">
        <v>29</v>
      </c>
      <c r="N2813" t="str">
        <f>INDEX(Products!B:B,MATCH(OrdersTable[[#This Row],[Product ID]],Products!A:A,0))</f>
        <v>Joggers</v>
      </c>
      <c r="O2813" t="str">
        <f>INDEX(Products!C:C,MATCH(OrdersTable[[#This Row],[Product ID]],Products!A:A,0))</f>
        <v>Apparel</v>
      </c>
      <c r="P2813">
        <v>1</v>
      </c>
      <c r="Q2813" s="5">
        <v>1199</v>
      </c>
      <c r="R2813" s="74">
        <v>0.15</v>
      </c>
      <c r="S2813" s="75">
        <f>OrdersTable[[#This Row],[Quantity]]*OrdersTable[[#This Row],[Unit Price]]</f>
        <v>1199</v>
      </c>
      <c r="T2813" s="5">
        <f>OrdersTable[[#This Row],[Gross Sale]]*OrdersTable[[#This Row],[Discount_Clean2]]</f>
        <v>179.85</v>
      </c>
      <c r="U2813" s="5">
        <f>OrdersTable[[#This Row],[Gross Sale]]-OrdersTable[[#This Row],[Discount Amount]]</f>
        <v>1019.15</v>
      </c>
      <c r="V2813" s="77">
        <f>INDEX(Products!E:E,MATCH(OrdersTable[[#This Row],[Product ID]],Products!A:A,0))</f>
        <v>492</v>
      </c>
      <c r="W2813" s="77">
        <f>OrdersTable[[#This Row],[Quantity]]*OrdersTable[[#This Row],[Unit Cost]]</f>
        <v>492</v>
      </c>
      <c r="X2813" s="77">
        <f>'Dropdown Lists'!$I$2*(1+OrdersTable[[#This Row],[Returned]])</f>
        <v>60</v>
      </c>
      <c r="Y2813" s="76">
        <f>OrdersTable[[#This Row],[Net Revenue]]-OrdersTable[[#This Row],[COGS]]-OrdersTable[[#This Row],[Shipping Cost]]</f>
        <v>467.15</v>
      </c>
      <c r="Z2813" s="78">
        <f>IFERROR(OrdersTable[[#This Row],[Profit]]/OrdersTable[[#This Row],[Net Revenue]],0)</f>
        <v>0.45837217288917231</v>
      </c>
      <c r="AA2813" t="s">
        <v>18</v>
      </c>
      <c r="AB2813" s="79">
        <v>45760</v>
      </c>
      <c r="AC2813">
        <f>OrdersTable[[#This Row],[Delivery Date]]-OrdersTable[[#This Row],[Order Date]]</f>
        <v>2</v>
      </c>
      <c r="AD2813" t="str">
        <f>IF(OrdersTable[[#This Row],[Delivery Days]]&lt;=2, "Express (≤2d)", IF(OrdersTable[[#This Row],[Delivery Days]]&lt;=4, "Standard (3-4d)", "Delayed (5d+)"))</f>
        <v>Express (≤2d)</v>
      </c>
      <c r="AE2813">
        <v>4</v>
      </c>
      <c r="AF2813">
        <v>0</v>
      </c>
    </row>
    <row r="2814" spans="1:32" ht="15" x14ac:dyDescent="0.35">
      <c r="A2814" t="s">
        <v>3904</v>
      </c>
      <c r="B2814" s="1">
        <v>45758</v>
      </c>
      <c r="C2814">
        <f>YEAR(OrdersTable[[#This Row],[Order Date]])</f>
        <v>2025</v>
      </c>
      <c r="D2814" s="2">
        <f>DATE(YEAR(OrdersTable[[#This Row],[Order Date]]),MONTH(OrdersTable[[#This Row],[Order Date]]),1)</f>
        <v>45748</v>
      </c>
      <c r="E2814">
        <f>MONTH(OrdersTable[[#This Row],[Order Date]])</f>
        <v>4</v>
      </c>
      <c r="F2814" t="s">
        <v>2171</v>
      </c>
      <c r="G2814" t="str">
        <f>IF(OrdersTable[[#This Row],[Order Date]]=_xlfn.MINIFS(Order_Date, Customer_ID, OrdersTable[[#This Row],[Customer ID]]), "New", "Repeat")</f>
        <v>New</v>
      </c>
      <c r="H2814" t="s">
        <v>54</v>
      </c>
      <c r="I2814" t="str">
        <f>INDEX(State!B:B,MATCH(OrdersTable[[#This Row],[State]],State!A:A,0))</f>
        <v>RJ</v>
      </c>
      <c r="J2814" t="str">
        <f>INDEX(State!C:C,MATCH(OrdersTable[[#This Row],[State Code]],State!B:B,0))</f>
        <v>North</v>
      </c>
      <c r="K2814" t="s">
        <v>55</v>
      </c>
      <c r="L2814" t="s">
        <v>23</v>
      </c>
      <c r="M2814" t="s">
        <v>255</v>
      </c>
      <c r="N2814" t="str">
        <f>INDEX(Products!B:B,MATCH(OrdersTable[[#This Row],[Product ID]],Products!A:A,0))</f>
        <v>Cotton Oversized T-Shirt</v>
      </c>
      <c r="O2814" t="str">
        <f>INDEX(Products!C:C,MATCH(OrdersTable[[#This Row],[Product ID]],Products!A:A,0))</f>
        <v>Apparel</v>
      </c>
      <c r="P2814">
        <v>1</v>
      </c>
      <c r="Q2814" s="5">
        <v>799</v>
      </c>
      <c r="R2814" s="74">
        <v>0</v>
      </c>
      <c r="S2814" s="75">
        <f>OrdersTable[[#This Row],[Quantity]]*OrdersTable[[#This Row],[Unit Price]]</f>
        <v>799</v>
      </c>
      <c r="T2814" s="5">
        <f>OrdersTable[[#This Row],[Gross Sale]]*OrdersTable[[#This Row],[Discount_Clean2]]</f>
        <v>0</v>
      </c>
      <c r="U2814" s="5">
        <f>OrdersTable[[#This Row],[Gross Sale]]-OrdersTable[[#This Row],[Discount Amount]]</f>
        <v>799</v>
      </c>
      <c r="V2814" s="77">
        <f>INDEX(Products!E:E,MATCH(OrdersTable[[#This Row],[Product ID]],Products!A:A,0))</f>
        <v>320</v>
      </c>
      <c r="W2814" s="77">
        <f>OrdersTable[[#This Row],[Quantity]]*OrdersTable[[#This Row],[Unit Cost]]</f>
        <v>320</v>
      </c>
      <c r="X2814" s="77">
        <f>'Dropdown Lists'!$I$2*(1+OrdersTable[[#This Row],[Returned]])</f>
        <v>60</v>
      </c>
      <c r="Y2814" s="76">
        <f>OrdersTable[[#This Row],[Net Revenue]]-OrdersTable[[#This Row],[COGS]]-OrdersTable[[#This Row],[Shipping Cost]]</f>
        <v>419</v>
      </c>
      <c r="Z2814" s="78">
        <f>IFERROR(OrdersTable[[#This Row],[Profit]]/OrdersTable[[#This Row],[Net Revenue]],0)</f>
        <v>0.52440550688360454</v>
      </c>
      <c r="AA2814" t="s">
        <v>3495</v>
      </c>
      <c r="AB2814" s="79">
        <v>45764</v>
      </c>
      <c r="AC2814">
        <f>OrdersTable[[#This Row],[Delivery Date]]-OrdersTable[[#This Row],[Order Date]]</f>
        <v>6</v>
      </c>
      <c r="AD2814" t="str">
        <f>IF(OrdersTable[[#This Row],[Delivery Days]]&lt;=2, "Express (≤2d)", IF(OrdersTable[[#This Row],[Delivery Days]]&lt;=4, "Standard (3-4d)", "Delayed (5d+)"))</f>
        <v>Delayed (5d+)</v>
      </c>
      <c r="AE2814">
        <v>3</v>
      </c>
      <c r="AF2814">
        <v>0</v>
      </c>
    </row>
    <row r="2815" spans="1:32" ht="15" x14ac:dyDescent="0.35">
      <c r="A2815" t="s">
        <v>1979</v>
      </c>
      <c r="B2815" s="1">
        <v>45758</v>
      </c>
      <c r="C2815">
        <f>YEAR(OrdersTable[[#This Row],[Order Date]])</f>
        <v>2025</v>
      </c>
      <c r="D2815" s="2">
        <f>DATE(YEAR(OrdersTable[[#This Row],[Order Date]]),MONTH(OrdersTable[[#This Row],[Order Date]]),1)</f>
        <v>45748</v>
      </c>
      <c r="E2815">
        <f>MONTH(OrdersTable[[#This Row],[Order Date]])</f>
        <v>4</v>
      </c>
      <c r="F2815" t="s">
        <v>1980</v>
      </c>
      <c r="G2815" t="str">
        <f>IF(OrdersTable[[#This Row],[Order Date]]=_xlfn.MINIFS(Order_Date, Customer_ID, OrdersTable[[#This Row],[Customer ID]]), "New", "Repeat")</f>
        <v>Repeat</v>
      </c>
      <c r="H2815" t="s">
        <v>48</v>
      </c>
      <c r="I2815" t="str">
        <f>INDEX(State!B:B,MATCH(OrdersTable[[#This Row],[State]],State!A:A,0))</f>
        <v>HR</v>
      </c>
      <c r="J2815" t="str">
        <f>INDEX(State!C:C,MATCH(OrdersTable[[#This Row],[State Code]],State!B:B,0))</f>
        <v>North</v>
      </c>
      <c r="K2815" t="s">
        <v>49</v>
      </c>
      <c r="L2815" t="s">
        <v>65</v>
      </c>
      <c r="M2815" t="s">
        <v>87</v>
      </c>
      <c r="N2815" t="str">
        <f>INDEX(Products!B:B,MATCH(OrdersTable[[#This Row],[Product ID]],Products!A:A,0))</f>
        <v>Linen Kurta</v>
      </c>
      <c r="O2815" t="str">
        <f>INDEX(Products!C:C,MATCH(OrdersTable[[#This Row],[Product ID]],Products!A:A,0))</f>
        <v>Apparel</v>
      </c>
      <c r="P2815">
        <v>1</v>
      </c>
      <c r="Q2815" s="5">
        <v>1499</v>
      </c>
      <c r="R2815" s="74">
        <v>0.4</v>
      </c>
      <c r="S2815" s="75">
        <f>OrdersTable[[#This Row],[Quantity]]*OrdersTable[[#This Row],[Unit Price]]</f>
        <v>1499</v>
      </c>
      <c r="T2815" s="5">
        <f>OrdersTable[[#This Row],[Gross Sale]]*OrdersTable[[#This Row],[Discount_Clean2]]</f>
        <v>599.6</v>
      </c>
      <c r="U2815" s="5">
        <f>OrdersTable[[#This Row],[Gross Sale]]-OrdersTable[[#This Row],[Discount Amount]]</f>
        <v>899.4</v>
      </c>
      <c r="V2815" s="77">
        <f>INDEX(Products!E:E,MATCH(OrdersTable[[#This Row],[Product ID]],Products!A:A,0))</f>
        <v>630</v>
      </c>
      <c r="W2815" s="77">
        <f>OrdersTable[[#This Row],[Quantity]]*OrdersTable[[#This Row],[Unit Cost]]</f>
        <v>630</v>
      </c>
      <c r="X2815" s="77">
        <f>'Dropdown Lists'!$I$2*(1+OrdersTable[[#This Row],[Returned]])</f>
        <v>60</v>
      </c>
      <c r="Y2815" s="76">
        <f>OrdersTable[[#This Row],[Net Revenue]]-OrdersTable[[#This Row],[COGS]]-OrdersTable[[#This Row],[Shipping Cost]]</f>
        <v>209.39999999999998</v>
      </c>
      <c r="Z2815" s="78">
        <f>IFERROR(OrdersTable[[#This Row],[Profit]]/OrdersTable[[#This Row],[Net Revenue]],0)</f>
        <v>0.23282188125416942</v>
      </c>
      <c r="AA2815" t="s">
        <v>18</v>
      </c>
      <c r="AB2815" s="79">
        <v>45761</v>
      </c>
      <c r="AC2815">
        <f>OrdersTable[[#This Row],[Delivery Date]]-OrdersTable[[#This Row],[Order Date]]</f>
        <v>3</v>
      </c>
      <c r="AD2815" t="str">
        <f>IF(OrdersTable[[#This Row],[Delivery Days]]&lt;=2, "Express (≤2d)", IF(OrdersTable[[#This Row],[Delivery Days]]&lt;=4, "Standard (3-4d)", "Delayed (5d+)"))</f>
        <v>Standard (3-4d)</v>
      </c>
      <c r="AE2815">
        <v>3</v>
      </c>
      <c r="AF2815">
        <v>0</v>
      </c>
    </row>
    <row r="2816" spans="1:32" ht="15" x14ac:dyDescent="0.35">
      <c r="A2816" t="s">
        <v>606</v>
      </c>
      <c r="B2816" s="1">
        <v>45758</v>
      </c>
      <c r="C2816">
        <f>YEAR(OrdersTable[[#This Row],[Order Date]])</f>
        <v>2025</v>
      </c>
      <c r="D2816" s="2">
        <f>DATE(YEAR(OrdersTable[[#This Row],[Order Date]]),MONTH(OrdersTable[[#This Row],[Order Date]]),1)</f>
        <v>45748</v>
      </c>
      <c r="E2816">
        <f>MONTH(OrdersTable[[#This Row],[Order Date]])</f>
        <v>4</v>
      </c>
      <c r="F2816" t="s">
        <v>607</v>
      </c>
      <c r="G2816" t="str">
        <f>IF(OrdersTable[[#This Row],[Order Date]]=_xlfn.MINIFS(Order_Date, Customer_ID, OrdersTable[[#This Row],[Customer ID]]), "New", "Repeat")</f>
        <v>Repeat</v>
      </c>
      <c r="H2816" t="s">
        <v>76</v>
      </c>
      <c r="I2816" t="str">
        <f>INDEX(State!B:B,MATCH(OrdersTable[[#This Row],[State]],State!A:A,0))</f>
        <v>UP</v>
      </c>
      <c r="J2816" t="str">
        <f>INDEX(State!C:C,MATCH(OrdersTable[[#This Row],[State Code]],State!B:B,0))</f>
        <v>North</v>
      </c>
      <c r="K2816" t="s">
        <v>105</v>
      </c>
      <c r="L2816" t="s">
        <v>16</v>
      </c>
      <c r="M2816" t="s">
        <v>34</v>
      </c>
      <c r="N2816" t="str">
        <f>INDEX(Products!B:B,MATCH(OrdersTable[[#This Row],[Product ID]],Products!A:A,0))</f>
        <v>Flip Flops</v>
      </c>
      <c r="O2816" t="str">
        <f>INDEX(Products!C:C,MATCH(OrdersTable[[#This Row],[Product ID]],Products!A:A,0))</f>
        <v>Footwear</v>
      </c>
      <c r="P2816">
        <v>1</v>
      </c>
      <c r="Q2816" s="5">
        <v>399</v>
      </c>
      <c r="R2816" s="74">
        <v>0.1</v>
      </c>
      <c r="S2816" s="75">
        <f>OrdersTable[[#This Row],[Quantity]]*OrdersTable[[#This Row],[Unit Price]]</f>
        <v>399</v>
      </c>
      <c r="T2816" s="5">
        <f>OrdersTable[[#This Row],[Gross Sale]]*OrdersTable[[#This Row],[Discount_Clean2]]</f>
        <v>39.900000000000006</v>
      </c>
      <c r="U2816" s="5">
        <f>OrdersTable[[#This Row],[Gross Sale]]-OrdersTable[[#This Row],[Discount Amount]]</f>
        <v>359.1</v>
      </c>
      <c r="V2816" s="77">
        <f>INDEX(Products!E:E,MATCH(OrdersTable[[#This Row],[Product ID]],Products!A:A,0))</f>
        <v>152</v>
      </c>
      <c r="W2816" s="77">
        <f>OrdersTable[[#This Row],[Quantity]]*OrdersTable[[#This Row],[Unit Cost]]</f>
        <v>152</v>
      </c>
      <c r="X2816" s="77">
        <f>'Dropdown Lists'!$I$2*(1+OrdersTable[[#This Row],[Returned]])</f>
        <v>60</v>
      </c>
      <c r="Y2816" s="76">
        <f>OrdersTable[[#This Row],[Net Revenue]]-OrdersTable[[#This Row],[COGS]]-OrdersTable[[#This Row],[Shipping Cost]]</f>
        <v>147.10000000000002</v>
      </c>
      <c r="Z2816" s="78">
        <f>IFERROR(OrdersTable[[#This Row],[Profit]]/OrdersTable[[#This Row],[Net Revenue]],0)</f>
        <v>0.40963519910888335</v>
      </c>
      <c r="AA2816" t="s">
        <v>18</v>
      </c>
      <c r="AB2816" s="79">
        <v>45761</v>
      </c>
      <c r="AC2816">
        <f>OrdersTable[[#This Row],[Delivery Date]]-OrdersTable[[#This Row],[Order Date]]</f>
        <v>3</v>
      </c>
      <c r="AD2816" t="str">
        <f>IF(OrdersTable[[#This Row],[Delivery Days]]&lt;=2, "Express (≤2d)", IF(OrdersTable[[#This Row],[Delivery Days]]&lt;=4, "Standard (3-4d)", "Delayed (5d+)"))</f>
        <v>Standard (3-4d)</v>
      </c>
      <c r="AE2816">
        <v>4</v>
      </c>
      <c r="AF2816">
        <v>0</v>
      </c>
    </row>
    <row r="2817" spans="1:32" ht="15" x14ac:dyDescent="0.35">
      <c r="A2817" t="s">
        <v>5184</v>
      </c>
      <c r="B2817" s="1">
        <v>45758</v>
      </c>
      <c r="C2817">
        <f>YEAR(OrdersTable[[#This Row],[Order Date]])</f>
        <v>2025</v>
      </c>
      <c r="D2817" s="2">
        <f>DATE(YEAR(OrdersTable[[#This Row],[Order Date]]),MONTH(OrdersTable[[#This Row],[Order Date]]),1)</f>
        <v>45748</v>
      </c>
      <c r="E2817">
        <f>MONTH(OrdersTable[[#This Row],[Order Date]])</f>
        <v>4</v>
      </c>
      <c r="F2817" t="s">
        <v>889</v>
      </c>
      <c r="G2817" t="str">
        <f>IF(OrdersTable[[#This Row],[Order Date]]=_xlfn.MINIFS(Order_Date, Customer_ID, OrdersTable[[#This Row],[Customer ID]]), "New", "Repeat")</f>
        <v>Repeat</v>
      </c>
      <c r="H2817" t="s">
        <v>76</v>
      </c>
      <c r="I2817" t="str">
        <f>INDEX(State!B:B,MATCH(OrdersTable[[#This Row],[State]],State!A:A,0))</f>
        <v>UP</v>
      </c>
      <c r="J2817" t="str">
        <f>INDEX(State!C:C,MATCH(OrdersTable[[#This Row],[State Code]],State!B:B,0))</f>
        <v>North</v>
      </c>
      <c r="K2817" t="s">
        <v>77</v>
      </c>
      <c r="L2817" t="s">
        <v>23</v>
      </c>
      <c r="M2817" t="s">
        <v>40</v>
      </c>
      <c r="N2817" t="str">
        <f>INDEX(Products!B:B,MATCH(OrdersTable[[#This Row],[Product ID]],Products!A:A,0))</f>
        <v>Ashwagandha Capsules</v>
      </c>
      <c r="O2817" t="str">
        <f>INDEX(Products!C:C,MATCH(OrdersTable[[#This Row],[Product ID]],Products!A:A,0))</f>
        <v>Wellness</v>
      </c>
      <c r="P2817">
        <v>2</v>
      </c>
      <c r="Q2817" s="5">
        <v>499</v>
      </c>
      <c r="R2817" s="74">
        <v>0</v>
      </c>
      <c r="S2817" s="75">
        <f>OrdersTable[[#This Row],[Quantity]]*OrdersTable[[#This Row],[Unit Price]]</f>
        <v>998</v>
      </c>
      <c r="T2817" s="5">
        <f>OrdersTable[[#This Row],[Gross Sale]]*OrdersTable[[#This Row],[Discount_Clean2]]</f>
        <v>0</v>
      </c>
      <c r="U2817" s="5">
        <f>OrdersTable[[#This Row],[Gross Sale]]-OrdersTable[[#This Row],[Discount Amount]]</f>
        <v>998</v>
      </c>
      <c r="V2817" s="77">
        <f>INDEX(Products!E:E,MATCH(OrdersTable[[#This Row],[Product ID]],Products!A:A,0))</f>
        <v>150</v>
      </c>
      <c r="W2817" s="77">
        <f>OrdersTable[[#This Row],[Quantity]]*OrdersTable[[#This Row],[Unit Cost]]</f>
        <v>300</v>
      </c>
      <c r="X2817" s="77">
        <f>'Dropdown Lists'!$I$2*(1+OrdersTable[[#This Row],[Returned]])</f>
        <v>60</v>
      </c>
      <c r="Y2817" s="76">
        <f>OrdersTable[[#This Row],[Net Revenue]]-OrdersTable[[#This Row],[COGS]]-OrdersTable[[#This Row],[Shipping Cost]]</f>
        <v>638</v>
      </c>
      <c r="Z2817" s="78">
        <f>IFERROR(OrdersTable[[#This Row],[Profit]]/OrdersTable[[#This Row],[Net Revenue]],0)</f>
        <v>0.63927855711422843</v>
      </c>
      <c r="AA2817" t="s">
        <v>3495</v>
      </c>
      <c r="AB2817" s="79">
        <v>45762</v>
      </c>
      <c r="AC2817">
        <f>OrdersTable[[#This Row],[Delivery Date]]-OrdersTable[[#This Row],[Order Date]]</f>
        <v>4</v>
      </c>
      <c r="AD2817" t="str">
        <f>IF(OrdersTable[[#This Row],[Delivery Days]]&lt;=2, "Express (≤2d)", IF(OrdersTable[[#This Row],[Delivery Days]]&lt;=4, "Standard (3-4d)", "Delayed (5d+)"))</f>
        <v>Standard (3-4d)</v>
      </c>
      <c r="AE2817">
        <v>3</v>
      </c>
      <c r="AF2817">
        <v>0</v>
      </c>
    </row>
    <row r="2818" spans="1:32" ht="15" x14ac:dyDescent="0.35">
      <c r="A2818" t="s">
        <v>1732</v>
      </c>
      <c r="B2818" s="1">
        <v>45758</v>
      </c>
      <c r="C2818">
        <f>YEAR(OrdersTable[[#This Row],[Order Date]])</f>
        <v>2025</v>
      </c>
      <c r="D2818" s="2">
        <f>DATE(YEAR(OrdersTable[[#This Row],[Order Date]]),MONTH(OrdersTable[[#This Row],[Order Date]]),1)</f>
        <v>45748</v>
      </c>
      <c r="E2818">
        <f>MONTH(OrdersTable[[#This Row],[Order Date]])</f>
        <v>4</v>
      </c>
      <c r="F2818" t="s">
        <v>1733</v>
      </c>
      <c r="G2818" t="str">
        <f>IF(OrdersTable[[#This Row],[Order Date]]=_xlfn.MINIFS(Order_Date, Customer_ID, OrdersTable[[#This Row],[Customer ID]]), "New", "Repeat")</f>
        <v>Repeat</v>
      </c>
      <c r="H2818" t="s">
        <v>14</v>
      </c>
      <c r="I2818" t="str">
        <f>INDEX(State!B:B,MATCH(OrdersTable[[#This Row],[State]],State!A:A,0))</f>
        <v>OD</v>
      </c>
      <c r="J2818" t="str">
        <f>INDEX(State!C:C,MATCH(OrdersTable[[#This Row],[State Code]],State!B:B,0))</f>
        <v>East</v>
      </c>
      <c r="K2818" t="s">
        <v>15</v>
      </c>
      <c r="L2818" t="s">
        <v>65</v>
      </c>
      <c r="M2818" t="s">
        <v>24</v>
      </c>
      <c r="N2818" t="str">
        <f>INDEX(Products!B:B,MATCH(OrdersTable[[#This Row],[Product ID]],Products!A:A,0))</f>
        <v>Scented Candle Set</v>
      </c>
      <c r="O2818" t="str">
        <f>INDEX(Products!C:C,MATCH(OrdersTable[[#This Row],[Product ID]],Products!A:A,0))</f>
        <v>Home &amp; Kitchen</v>
      </c>
      <c r="P2818">
        <v>1</v>
      </c>
      <c r="Q2818" s="5">
        <v>699</v>
      </c>
      <c r="R2818" s="74">
        <v>0.15</v>
      </c>
      <c r="S2818" s="75">
        <f>OrdersTable[[#This Row],[Quantity]]*OrdersTable[[#This Row],[Unit Price]]</f>
        <v>699</v>
      </c>
      <c r="T2818" s="5">
        <f>OrdersTable[[#This Row],[Gross Sale]]*OrdersTable[[#This Row],[Discount_Clean2]]</f>
        <v>104.85</v>
      </c>
      <c r="U2818" s="5">
        <f>OrdersTable[[#This Row],[Gross Sale]]-OrdersTable[[#This Row],[Discount Amount]]</f>
        <v>594.15</v>
      </c>
      <c r="V2818" s="77">
        <f>INDEX(Products!E:E,MATCH(OrdersTable[[#This Row],[Product ID]],Products!A:A,0))</f>
        <v>245</v>
      </c>
      <c r="W2818" s="77">
        <f>OrdersTable[[#This Row],[Quantity]]*OrdersTable[[#This Row],[Unit Cost]]</f>
        <v>245</v>
      </c>
      <c r="X2818" s="77">
        <f>'Dropdown Lists'!$I$2*(1+OrdersTable[[#This Row],[Returned]])</f>
        <v>60</v>
      </c>
      <c r="Y2818" s="76">
        <f>OrdersTable[[#This Row],[Net Revenue]]-OrdersTable[[#This Row],[COGS]]-OrdersTable[[#This Row],[Shipping Cost]]</f>
        <v>289.14999999999998</v>
      </c>
      <c r="Z2818" s="78">
        <f>IFERROR(OrdersTable[[#This Row],[Profit]]/OrdersTable[[#This Row],[Net Revenue]],0)</f>
        <v>0.48666161743667424</v>
      </c>
      <c r="AA2818" t="s">
        <v>18</v>
      </c>
      <c r="AB2818" s="79">
        <v>45761</v>
      </c>
      <c r="AC2818">
        <f>OrdersTable[[#This Row],[Delivery Date]]-OrdersTable[[#This Row],[Order Date]]</f>
        <v>3</v>
      </c>
      <c r="AD2818" t="str">
        <f>IF(OrdersTable[[#This Row],[Delivery Days]]&lt;=2, "Express (≤2d)", IF(OrdersTable[[#This Row],[Delivery Days]]&lt;=4, "Standard (3-4d)", "Delayed (5d+)"))</f>
        <v>Standard (3-4d)</v>
      </c>
      <c r="AF2818">
        <v>0</v>
      </c>
    </row>
    <row r="2819" spans="1:32" ht="15" x14ac:dyDescent="0.35">
      <c r="A2819" t="s">
        <v>1552</v>
      </c>
      <c r="B2819" s="1">
        <v>45758</v>
      </c>
      <c r="C2819">
        <f>YEAR(OrdersTable[[#This Row],[Order Date]])</f>
        <v>2025</v>
      </c>
      <c r="D2819" s="2">
        <f>DATE(YEAR(OrdersTable[[#This Row],[Order Date]]),MONTH(OrdersTable[[#This Row],[Order Date]]),1)</f>
        <v>45748</v>
      </c>
      <c r="E2819">
        <f>MONTH(OrdersTable[[#This Row],[Order Date]])</f>
        <v>4</v>
      </c>
      <c r="F2819" t="s">
        <v>1553</v>
      </c>
      <c r="G2819" t="str">
        <f>IF(OrdersTable[[#This Row],[Order Date]]=_xlfn.MINIFS(Order_Date, Customer_ID, OrdersTable[[#This Row],[Customer ID]]), "New", "Repeat")</f>
        <v>New</v>
      </c>
      <c r="H2819" t="s">
        <v>90</v>
      </c>
      <c r="I2819" t="str">
        <f>INDEX(State!B:B,MATCH(OrdersTable[[#This Row],[State]],State!A:A,0))</f>
        <v>GA</v>
      </c>
      <c r="J2819" t="str">
        <f>INDEX(State!C:C,MATCH(OrdersTable[[#This Row],[State Code]],State!B:B,0))</f>
        <v>West</v>
      </c>
      <c r="K2819" t="s">
        <v>91</v>
      </c>
      <c r="L2819" t="s">
        <v>39</v>
      </c>
      <c r="M2819" t="s">
        <v>40</v>
      </c>
      <c r="N2819" t="str">
        <f>INDEX(Products!B:B,MATCH(OrdersTable[[#This Row],[Product ID]],Products!A:A,0))</f>
        <v>Ashwagandha Capsules</v>
      </c>
      <c r="O2819" t="str">
        <f>INDEX(Products!C:C,MATCH(OrdersTable[[#This Row],[Product ID]],Products!A:A,0))</f>
        <v>Wellness</v>
      </c>
      <c r="P2819">
        <v>1</v>
      </c>
      <c r="Q2819" s="5">
        <v>499</v>
      </c>
      <c r="R2819" s="74">
        <v>0</v>
      </c>
      <c r="S2819" s="75">
        <f>OrdersTable[[#This Row],[Quantity]]*OrdersTable[[#This Row],[Unit Price]]</f>
        <v>499</v>
      </c>
      <c r="T2819" s="5">
        <f>OrdersTable[[#This Row],[Gross Sale]]*OrdersTable[[#This Row],[Discount_Clean2]]</f>
        <v>0</v>
      </c>
      <c r="U2819" s="5">
        <f>OrdersTable[[#This Row],[Gross Sale]]-OrdersTable[[#This Row],[Discount Amount]]</f>
        <v>499</v>
      </c>
      <c r="V2819" s="77">
        <f>INDEX(Products!E:E,MATCH(OrdersTable[[#This Row],[Product ID]],Products!A:A,0))</f>
        <v>150</v>
      </c>
      <c r="W2819" s="77">
        <f>OrdersTable[[#This Row],[Quantity]]*OrdersTable[[#This Row],[Unit Cost]]</f>
        <v>150</v>
      </c>
      <c r="X2819" s="77">
        <f>'Dropdown Lists'!$I$2*(1+OrdersTable[[#This Row],[Returned]])</f>
        <v>60</v>
      </c>
      <c r="Y2819" s="76">
        <f>OrdersTable[[#This Row],[Net Revenue]]-OrdersTable[[#This Row],[COGS]]-OrdersTable[[#This Row],[Shipping Cost]]</f>
        <v>289</v>
      </c>
      <c r="Z2819" s="78">
        <f>IFERROR(OrdersTable[[#This Row],[Profit]]/OrdersTable[[#This Row],[Net Revenue]],0)</f>
        <v>0.57915831663326656</v>
      </c>
      <c r="AA2819" t="s">
        <v>18</v>
      </c>
      <c r="AB2819" s="79">
        <v>45761</v>
      </c>
      <c r="AC2819">
        <f>OrdersTable[[#This Row],[Delivery Date]]-OrdersTable[[#This Row],[Order Date]]</f>
        <v>3</v>
      </c>
      <c r="AD2819" t="str">
        <f>IF(OrdersTable[[#This Row],[Delivery Days]]&lt;=2, "Express (≤2d)", IF(OrdersTable[[#This Row],[Delivery Days]]&lt;=4, "Standard (3-4d)", "Delayed (5d+)"))</f>
        <v>Standard (3-4d)</v>
      </c>
      <c r="AF2819">
        <v>0</v>
      </c>
    </row>
    <row r="2820" spans="1:32" ht="15" x14ac:dyDescent="0.35">
      <c r="A2820" t="s">
        <v>1082</v>
      </c>
      <c r="B2820" s="1">
        <v>45758</v>
      </c>
      <c r="C2820">
        <f>YEAR(OrdersTable[[#This Row],[Order Date]])</f>
        <v>2025</v>
      </c>
      <c r="D2820" s="2">
        <f>DATE(YEAR(OrdersTable[[#This Row],[Order Date]]),MONTH(OrdersTable[[#This Row],[Order Date]]),1)</f>
        <v>45748</v>
      </c>
      <c r="E2820">
        <f>MONTH(OrdersTable[[#This Row],[Order Date]])</f>
        <v>4</v>
      </c>
      <c r="F2820" t="s">
        <v>1083</v>
      </c>
      <c r="G2820" t="str">
        <f>IF(OrdersTable[[#This Row],[Order Date]]=_xlfn.MINIFS(Order_Date, Customer_ID, OrdersTable[[#This Row],[Customer ID]]), "New", "Repeat")</f>
        <v>New</v>
      </c>
      <c r="H2820" t="s">
        <v>316</v>
      </c>
      <c r="I2820" t="str">
        <f>INDEX(State!B:B,MATCH(OrdersTable[[#This Row],[State]],State!A:A,0))</f>
        <v>KL</v>
      </c>
      <c r="J2820" t="str">
        <f>INDEX(State!C:C,MATCH(OrdersTable[[#This Row],[State Code]],State!B:B,0))</f>
        <v>South</v>
      </c>
      <c r="K2820" t="s">
        <v>317</v>
      </c>
      <c r="L2820" t="s">
        <v>16</v>
      </c>
      <c r="M2820" t="s">
        <v>205</v>
      </c>
      <c r="N2820" t="str">
        <f>INDEX(Products!B:B,MATCH(OrdersTable[[#This Row],[Product ID]],Products!A:A,0))</f>
        <v>Running Shoes</v>
      </c>
      <c r="O2820" t="str">
        <f>INDEX(Products!C:C,MATCH(OrdersTable[[#This Row],[Product ID]],Products!A:A,0))</f>
        <v>Footwear</v>
      </c>
      <c r="P2820">
        <v>1</v>
      </c>
      <c r="Q2820" s="5">
        <v>2999</v>
      </c>
      <c r="R2820" s="74">
        <v>0.25</v>
      </c>
      <c r="S2820" s="75">
        <f>OrdersTable[[#This Row],[Quantity]]*OrdersTable[[#This Row],[Unit Price]]</f>
        <v>2999</v>
      </c>
      <c r="T2820" s="5">
        <f>OrdersTable[[#This Row],[Gross Sale]]*OrdersTable[[#This Row],[Discount_Clean2]]</f>
        <v>749.75</v>
      </c>
      <c r="U2820" s="5">
        <f>OrdersTable[[#This Row],[Gross Sale]]-OrdersTable[[#This Row],[Discount Amount]]</f>
        <v>2249.25</v>
      </c>
      <c r="V2820" s="77">
        <f>INDEX(Products!E:E,MATCH(OrdersTable[[#This Row],[Product ID]],Products!A:A,0))</f>
        <v>1440</v>
      </c>
      <c r="W2820" s="77">
        <f>OrdersTable[[#This Row],[Quantity]]*OrdersTable[[#This Row],[Unit Cost]]</f>
        <v>1440</v>
      </c>
      <c r="X2820" s="77">
        <f>'Dropdown Lists'!$I$2*(1+OrdersTable[[#This Row],[Returned]])</f>
        <v>120</v>
      </c>
      <c r="Y2820" s="76">
        <f>OrdersTable[[#This Row],[Net Revenue]]-OrdersTable[[#This Row],[COGS]]-OrdersTable[[#This Row],[Shipping Cost]]</f>
        <v>689.25</v>
      </c>
      <c r="Z2820" s="78">
        <f>IFERROR(OrdersTable[[#This Row],[Profit]]/OrdersTable[[#This Row],[Net Revenue]],0)</f>
        <v>0.30643547849283093</v>
      </c>
      <c r="AA2820" t="s">
        <v>18</v>
      </c>
      <c r="AB2820" s="79">
        <v>45763</v>
      </c>
      <c r="AC2820">
        <f>OrdersTable[[#This Row],[Delivery Date]]-OrdersTable[[#This Row],[Order Date]]</f>
        <v>5</v>
      </c>
      <c r="AD2820" t="str">
        <f>IF(OrdersTable[[#This Row],[Delivery Days]]&lt;=2, "Express (≤2d)", IF(OrdersTable[[#This Row],[Delivery Days]]&lt;=4, "Standard (3-4d)", "Delayed (5d+)"))</f>
        <v>Delayed (5d+)</v>
      </c>
      <c r="AE2820">
        <v>4</v>
      </c>
      <c r="AF2820">
        <v>1</v>
      </c>
    </row>
    <row r="2821" spans="1:32" ht="15" x14ac:dyDescent="0.35">
      <c r="A2821" t="s">
        <v>2385</v>
      </c>
      <c r="B2821" s="1">
        <v>45759</v>
      </c>
      <c r="C2821">
        <f>YEAR(OrdersTable[[#This Row],[Order Date]])</f>
        <v>2025</v>
      </c>
      <c r="D2821" s="2">
        <f>DATE(YEAR(OrdersTable[[#This Row],[Order Date]]),MONTH(OrdersTable[[#This Row],[Order Date]]),1)</f>
        <v>45748</v>
      </c>
      <c r="E2821">
        <f>MONTH(OrdersTable[[#This Row],[Order Date]])</f>
        <v>4</v>
      </c>
      <c r="F2821" t="s">
        <v>1023</v>
      </c>
      <c r="G2821" t="str">
        <f>IF(OrdersTable[[#This Row],[Order Date]]=_xlfn.MINIFS(Order_Date, Customer_ID, OrdersTable[[#This Row],[Customer ID]]), "New", "Repeat")</f>
        <v>Repeat</v>
      </c>
      <c r="H2821" t="s">
        <v>21</v>
      </c>
      <c r="I2821" t="str">
        <f>INDEX(State!B:B,MATCH(OrdersTable[[#This Row],[State]],State!A:A,0))</f>
        <v>PB</v>
      </c>
      <c r="J2821" t="str">
        <f>INDEX(State!C:C,MATCH(OrdersTable[[#This Row],[State Code]],State!B:B,0))</f>
        <v>North</v>
      </c>
      <c r="K2821" t="s">
        <v>260</v>
      </c>
      <c r="L2821" t="s">
        <v>50</v>
      </c>
      <c r="M2821" t="s">
        <v>66</v>
      </c>
      <c r="N2821" t="str">
        <f>INDEX(Products!B:B,MATCH(OrdersTable[[#This Row],[Product ID]],Products!A:A,0))</f>
        <v>Sunscreen SPF 50</v>
      </c>
      <c r="O2821" t="str">
        <f>INDEX(Products!C:C,MATCH(OrdersTable[[#This Row],[Product ID]],Products!A:A,0))</f>
        <v>Skincare</v>
      </c>
      <c r="P2821">
        <v>1</v>
      </c>
      <c r="Q2821" s="5">
        <v>449</v>
      </c>
      <c r="R2821" s="74">
        <v>0.05</v>
      </c>
      <c r="S2821" s="75">
        <f>OrdersTable[[#This Row],[Quantity]]*OrdersTable[[#This Row],[Unit Price]]</f>
        <v>449</v>
      </c>
      <c r="T2821" s="5">
        <f>OrdersTable[[#This Row],[Gross Sale]]*OrdersTable[[#This Row],[Discount_Clean2]]</f>
        <v>22.450000000000003</v>
      </c>
      <c r="U2821" s="5">
        <f>OrdersTable[[#This Row],[Gross Sale]]-OrdersTable[[#This Row],[Discount Amount]]</f>
        <v>426.55</v>
      </c>
      <c r="V2821" s="77">
        <f>INDEX(Products!E:E,MATCH(OrdersTable[[#This Row],[Product ID]],Products!A:A,0))</f>
        <v>144</v>
      </c>
      <c r="W2821" s="77">
        <f>OrdersTable[[#This Row],[Quantity]]*OrdersTable[[#This Row],[Unit Cost]]</f>
        <v>144</v>
      </c>
      <c r="X2821" s="77">
        <f>'Dropdown Lists'!$I$2*(1+OrdersTable[[#This Row],[Returned]])</f>
        <v>60</v>
      </c>
      <c r="Y2821" s="76">
        <f>OrdersTable[[#This Row],[Net Revenue]]-OrdersTable[[#This Row],[COGS]]-OrdersTable[[#This Row],[Shipping Cost]]</f>
        <v>222.55</v>
      </c>
      <c r="Z2821" s="78">
        <f>IFERROR(OrdersTable[[#This Row],[Profit]]/OrdersTable[[#This Row],[Net Revenue]],0)</f>
        <v>0.52174422693705313</v>
      </c>
      <c r="AA2821" t="s">
        <v>18</v>
      </c>
      <c r="AB2821" s="79">
        <v>45763</v>
      </c>
      <c r="AC2821">
        <f>OrdersTable[[#This Row],[Delivery Date]]-OrdersTable[[#This Row],[Order Date]]</f>
        <v>4</v>
      </c>
      <c r="AD2821" t="str">
        <f>IF(OrdersTable[[#This Row],[Delivery Days]]&lt;=2, "Express (≤2d)", IF(OrdersTable[[#This Row],[Delivery Days]]&lt;=4, "Standard (3-4d)", "Delayed (5d+)"))</f>
        <v>Standard (3-4d)</v>
      </c>
      <c r="AE2821">
        <v>5</v>
      </c>
      <c r="AF2821">
        <v>0</v>
      </c>
    </row>
    <row r="2822" spans="1:32" ht="15" x14ac:dyDescent="0.35">
      <c r="A2822" t="s">
        <v>5185</v>
      </c>
      <c r="B2822" s="1">
        <v>45759</v>
      </c>
      <c r="C2822">
        <f>YEAR(OrdersTable[[#This Row],[Order Date]])</f>
        <v>2025</v>
      </c>
      <c r="D2822" s="2">
        <f>DATE(YEAR(OrdersTable[[#This Row],[Order Date]]),MONTH(OrdersTable[[#This Row],[Order Date]]),1)</f>
        <v>45748</v>
      </c>
      <c r="E2822">
        <f>MONTH(OrdersTable[[#This Row],[Order Date]])</f>
        <v>4</v>
      </c>
      <c r="F2822" t="s">
        <v>86</v>
      </c>
      <c r="G2822" t="str">
        <f>IF(OrdersTable[[#This Row],[Order Date]]=_xlfn.MINIFS(Order_Date, Customer_ID, OrdersTable[[#This Row],[Customer ID]]), "New", "Repeat")</f>
        <v>Repeat</v>
      </c>
      <c r="H2822" t="s">
        <v>37</v>
      </c>
      <c r="I2822" t="str">
        <f>INDEX(State!B:B,MATCH(OrdersTable[[#This Row],[State]],State!A:A,0))</f>
        <v>GJ</v>
      </c>
      <c r="J2822" t="str">
        <f>INDEX(State!C:C,MATCH(OrdersTable[[#This Row],[State Code]],State!B:B,0))</f>
        <v>West</v>
      </c>
      <c r="K2822" t="s">
        <v>247</v>
      </c>
      <c r="L2822" t="s">
        <v>39</v>
      </c>
      <c r="M2822" t="s">
        <v>565</v>
      </c>
      <c r="N2822" t="str">
        <f>INDEX(Products!B:B,MATCH(OrdersTable[[#This Row],[Product ID]],Products!A:A,0))</f>
        <v>Ceramic Dinner Set</v>
      </c>
      <c r="O2822" t="str">
        <f>INDEX(Products!C:C,MATCH(OrdersTable[[#This Row],[Product ID]],Products!A:A,0))</f>
        <v>Home &amp; Kitchen</v>
      </c>
      <c r="P2822">
        <v>2</v>
      </c>
      <c r="Q2822" s="5">
        <v>2499</v>
      </c>
      <c r="R2822" s="74">
        <v>0.2</v>
      </c>
      <c r="S2822" s="75">
        <f>OrdersTable[[#This Row],[Quantity]]*OrdersTable[[#This Row],[Unit Price]]</f>
        <v>4998</v>
      </c>
      <c r="T2822" s="5">
        <f>OrdersTable[[#This Row],[Gross Sale]]*OrdersTable[[#This Row],[Discount_Clean2]]</f>
        <v>999.6</v>
      </c>
      <c r="U2822" s="5">
        <f>OrdersTable[[#This Row],[Gross Sale]]-OrdersTable[[#This Row],[Discount Amount]]</f>
        <v>3998.4</v>
      </c>
      <c r="V2822" s="77">
        <f>INDEX(Products!E:E,MATCH(OrdersTable[[#This Row],[Product ID]],Products!A:A,0))</f>
        <v>1250</v>
      </c>
      <c r="W2822" s="77">
        <f>OrdersTable[[#This Row],[Quantity]]*OrdersTable[[#This Row],[Unit Cost]]</f>
        <v>2500</v>
      </c>
      <c r="X2822" s="77">
        <f>'Dropdown Lists'!$I$2*(1+OrdersTable[[#This Row],[Returned]])</f>
        <v>60</v>
      </c>
      <c r="Y2822" s="76">
        <f>OrdersTable[[#This Row],[Net Revenue]]-OrdersTable[[#This Row],[COGS]]-OrdersTable[[#This Row],[Shipping Cost]]</f>
        <v>1438.4</v>
      </c>
      <c r="Z2822" s="78">
        <f>IFERROR(OrdersTable[[#This Row],[Profit]]/OrdersTable[[#This Row],[Net Revenue]],0)</f>
        <v>0.35974389755902364</v>
      </c>
      <c r="AA2822" t="s">
        <v>3495</v>
      </c>
      <c r="AB2822" s="79">
        <v>45765</v>
      </c>
      <c r="AC2822">
        <f>OrdersTable[[#This Row],[Delivery Date]]-OrdersTable[[#This Row],[Order Date]]</f>
        <v>6</v>
      </c>
      <c r="AD2822" t="str">
        <f>IF(OrdersTable[[#This Row],[Delivery Days]]&lt;=2, "Express (≤2d)", IF(OrdersTable[[#This Row],[Delivery Days]]&lt;=4, "Standard (3-4d)", "Delayed (5d+)"))</f>
        <v>Delayed (5d+)</v>
      </c>
      <c r="AF2822">
        <v>0</v>
      </c>
    </row>
    <row r="2823" spans="1:32" ht="15" x14ac:dyDescent="0.35">
      <c r="A2823" t="s">
        <v>4138</v>
      </c>
      <c r="B2823" s="1">
        <v>45759</v>
      </c>
      <c r="C2823">
        <f>YEAR(OrdersTable[[#This Row],[Order Date]])</f>
        <v>2025</v>
      </c>
      <c r="D2823" s="2">
        <f>DATE(YEAR(OrdersTable[[#This Row],[Order Date]]),MONTH(OrdersTable[[#This Row],[Order Date]]),1)</f>
        <v>45748</v>
      </c>
      <c r="E2823">
        <f>MONTH(OrdersTable[[#This Row],[Order Date]])</f>
        <v>4</v>
      </c>
      <c r="F2823" t="s">
        <v>742</v>
      </c>
      <c r="G2823" t="str">
        <f>IF(OrdersTable[[#This Row],[Order Date]]=_xlfn.MINIFS(Order_Date, Customer_ID, OrdersTable[[#This Row],[Customer ID]]), "New", "Repeat")</f>
        <v>Repeat</v>
      </c>
      <c r="H2823" t="s">
        <v>275</v>
      </c>
      <c r="I2823" t="str">
        <f>INDEX(State!B:B,MATCH(OrdersTable[[#This Row],[State]],State!A:A,0))</f>
        <v>AP</v>
      </c>
      <c r="J2823" t="str">
        <f>INDEX(State!C:C,MATCH(OrdersTable[[#This Row],[State Code]],State!B:B,0))</f>
        <v>South</v>
      </c>
      <c r="K2823" t="s">
        <v>491</v>
      </c>
      <c r="L2823" t="s">
        <v>16</v>
      </c>
      <c r="M2823" t="s">
        <v>34</v>
      </c>
      <c r="N2823" t="str">
        <f>INDEX(Products!B:B,MATCH(OrdersTable[[#This Row],[Product ID]],Products!A:A,0))</f>
        <v>Flip Flops</v>
      </c>
      <c r="O2823" t="str">
        <f>INDEX(Products!C:C,MATCH(OrdersTable[[#This Row],[Product ID]],Products!A:A,0))</f>
        <v>Footwear</v>
      </c>
      <c r="P2823">
        <v>1</v>
      </c>
      <c r="Q2823" s="5">
        <v>399</v>
      </c>
      <c r="R2823" s="74">
        <v>0.1</v>
      </c>
      <c r="S2823" s="75">
        <f>OrdersTable[[#This Row],[Quantity]]*OrdersTable[[#This Row],[Unit Price]]</f>
        <v>399</v>
      </c>
      <c r="T2823" s="5">
        <f>OrdersTable[[#This Row],[Gross Sale]]*OrdersTable[[#This Row],[Discount_Clean2]]</f>
        <v>39.900000000000006</v>
      </c>
      <c r="U2823" s="5">
        <f>OrdersTable[[#This Row],[Gross Sale]]-OrdersTable[[#This Row],[Discount Amount]]</f>
        <v>359.1</v>
      </c>
      <c r="V2823" s="77">
        <f>INDEX(Products!E:E,MATCH(OrdersTable[[#This Row],[Product ID]],Products!A:A,0))</f>
        <v>152</v>
      </c>
      <c r="W2823" s="77">
        <f>OrdersTable[[#This Row],[Quantity]]*OrdersTable[[#This Row],[Unit Cost]]</f>
        <v>152</v>
      </c>
      <c r="X2823" s="77">
        <f>'Dropdown Lists'!$I$2*(1+OrdersTable[[#This Row],[Returned]])</f>
        <v>60</v>
      </c>
      <c r="Y2823" s="76">
        <f>OrdersTable[[#This Row],[Net Revenue]]-OrdersTable[[#This Row],[COGS]]-OrdersTable[[#This Row],[Shipping Cost]]</f>
        <v>147.10000000000002</v>
      </c>
      <c r="Z2823" s="78">
        <f>IFERROR(OrdersTable[[#This Row],[Profit]]/OrdersTable[[#This Row],[Net Revenue]],0)</f>
        <v>0.40963519910888335</v>
      </c>
      <c r="AA2823" t="s">
        <v>4074</v>
      </c>
      <c r="AB2823" s="79">
        <v>45762</v>
      </c>
      <c r="AC2823">
        <f>OrdersTable[[#This Row],[Delivery Date]]-OrdersTable[[#This Row],[Order Date]]</f>
        <v>3</v>
      </c>
      <c r="AD2823" t="str">
        <f>IF(OrdersTable[[#This Row],[Delivery Days]]&lt;=2, "Express (≤2d)", IF(OrdersTable[[#This Row],[Delivery Days]]&lt;=4, "Standard (3-4d)", "Delayed (5d+)"))</f>
        <v>Standard (3-4d)</v>
      </c>
      <c r="AE2823">
        <v>5</v>
      </c>
      <c r="AF2823">
        <v>0</v>
      </c>
    </row>
    <row r="2824" spans="1:32" ht="15" x14ac:dyDescent="0.35">
      <c r="A2824" t="s">
        <v>3050</v>
      </c>
      <c r="B2824" s="1">
        <v>45759</v>
      </c>
      <c r="C2824">
        <f>YEAR(OrdersTable[[#This Row],[Order Date]])</f>
        <v>2025</v>
      </c>
      <c r="D2824" s="2">
        <f>DATE(YEAR(OrdersTable[[#This Row],[Order Date]]),MONTH(OrdersTable[[#This Row],[Order Date]]),1)</f>
        <v>45748</v>
      </c>
      <c r="E2824">
        <f>MONTH(OrdersTable[[#This Row],[Order Date]])</f>
        <v>4</v>
      </c>
      <c r="F2824" t="s">
        <v>588</v>
      </c>
      <c r="G2824" t="str">
        <f>IF(OrdersTable[[#This Row],[Order Date]]=_xlfn.MINIFS(Order_Date, Customer_ID, OrdersTable[[#This Row],[Customer ID]]), "New", "Repeat")</f>
        <v>Repeat</v>
      </c>
      <c r="H2824" t="s">
        <v>59</v>
      </c>
      <c r="I2824" t="str">
        <f>INDEX(State!B:B,MATCH(OrdersTable[[#This Row],[State]],State!A:A,0))</f>
        <v>TN</v>
      </c>
      <c r="J2824" t="str">
        <f>INDEX(State!C:C,MATCH(OrdersTable[[#This Row],[State Code]],State!B:B,0))</f>
        <v>South</v>
      </c>
      <c r="K2824" t="s">
        <v>60</v>
      </c>
      <c r="L2824" t="s">
        <v>50</v>
      </c>
      <c r="M2824" t="s">
        <v>106</v>
      </c>
      <c r="N2824" t="str">
        <f>INDEX(Products!B:B,MATCH(OrdersTable[[#This Row],[Product ID]],Products!A:A,0))</f>
        <v>Keratin Hair Mask</v>
      </c>
      <c r="O2824" t="str">
        <f>INDEX(Products!C:C,MATCH(OrdersTable[[#This Row],[Product ID]],Products!A:A,0))</f>
        <v>Haircare</v>
      </c>
      <c r="P2824">
        <v>1</v>
      </c>
      <c r="Q2824" s="5">
        <v>549</v>
      </c>
      <c r="R2824" s="74">
        <v>0.2</v>
      </c>
      <c r="S2824" s="75">
        <f>OrdersTable[[#This Row],[Quantity]]*OrdersTable[[#This Row],[Unit Price]]</f>
        <v>549</v>
      </c>
      <c r="T2824" s="5">
        <f>OrdersTable[[#This Row],[Gross Sale]]*OrdersTable[[#This Row],[Discount_Clean2]]</f>
        <v>109.80000000000001</v>
      </c>
      <c r="U2824" s="5">
        <f>OrdersTable[[#This Row],[Gross Sale]]-OrdersTable[[#This Row],[Discount Amount]]</f>
        <v>439.2</v>
      </c>
      <c r="V2824" s="77">
        <f>INDEX(Products!E:E,MATCH(OrdersTable[[#This Row],[Product ID]],Products!A:A,0))</f>
        <v>170</v>
      </c>
      <c r="W2824" s="77">
        <f>OrdersTable[[#This Row],[Quantity]]*OrdersTable[[#This Row],[Unit Cost]]</f>
        <v>170</v>
      </c>
      <c r="X2824" s="77">
        <f>'Dropdown Lists'!$I$2*(1+OrdersTable[[#This Row],[Returned]])</f>
        <v>60</v>
      </c>
      <c r="Y2824" s="76">
        <f>OrdersTable[[#This Row],[Net Revenue]]-OrdersTable[[#This Row],[COGS]]-OrdersTable[[#This Row],[Shipping Cost]]</f>
        <v>209.2</v>
      </c>
      <c r="Z2824" s="78">
        <f>IFERROR(OrdersTable[[#This Row],[Profit]]/OrdersTable[[#This Row],[Net Revenue]],0)</f>
        <v>0.47632058287795992</v>
      </c>
      <c r="AA2824" t="s">
        <v>2522</v>
      </c>
      <c r="AB2824" s="79">
        <v>45761</v>
      </c>
      <c r="AC2824">
        <f>OrdersTable[[#This Row],[Delivery Date]]-OrdersTable[[#This Row],[Order Date]]</f>
        <v>2</v>
      </c>
      <c r="AD2824" t="str">
        <f>IF(OrdersTable[[#This Row],[Delivery Days]]&lt;=2, "Express (≤2d)", IF(OrdersTable[[#This Row],[Delivery Days]]&lt;=4, "Standard (3-4d)", "Delayed (5d+)"))</f>
        <v>Express (≤2d)</v>
      </c>
      <c r="AF2824">
        <v>0</v>
      </c>
    </row>
    <row r="2825" spans="1:32" ht="15" x14ac:dyDescent="0.35">
      <c r="A2825" t="s">
        <v>4139</v>
      </c>
      <c r="B2825" s="1">
        <v>45760</v>
      </c>
      <c r="C2825">
        <f>YEAR(OrdersTable[[#This Row],[Order Date]])</f>
        <v>2025</v>
      </c>
      <c r="D2825" s="2">
        <f>DATE(YEAR(OrdersTable[[#This Row],[Order Date]]),MONTH(OrdersTable[[#This Row],[Order Date]]),1)</f>
        <v>45748</v>
      </c>
      <c r="E2825">
        <f>MONTH(OrdersTable[[#This Row],[Order Date]])</f>
        <v>4</v>
      </c>
      <c r="F2825" t="s">
        <v>47</v>
      </c>
      <c r="G2825" t="str">
        <f>IF(OrdersTable[[#This Row],[Order Date]]=_xlfn.MINIFS(Order_Date, Customer_ID, OrdersTable[[#This Row],[Customer ID]]), "New", "Repeat")</f>
        <v>Repeat</v>
      </c>
      <c r="H2825" t="s">
        <v>76</v>
      </c>
      <c r="I2825" t="str">
        <f>INDEX(State!B:B,MATCH(OrdersTable[[#This Row],[State]],State!A:A,0))</f>
        <v>UP</v>
      </c>
      <c r="J2825" t="str">
        <f>INDEX(State!C:C,MATCH(OrdersTable[[#This Row],[State Code]],State!B:B,0))</f>
        <v>North</v>
      </c>
      <c r="K2825" t="s">
        <v>77</v>
      </c>
      <c r="L2825" t="s">
        <v>65</v>
      </c>
      <c r="M2825" t="s">
        <v>92</v>
      </c>
      <c r="N2825" t="str">
        <f>INDEX(Products!B:B,MATCH(OrdersTable[[#This Row],[Product ID]],Products!A:A,0))</f>
        <v>Kolhapuri Sandals</v>
      </c>
      <c r="O2825" t="str">
        <f>INDEX(Products!C:C,MATCH(OrdersTable[[#This Row],[Product ID]],Products!A:A,0))</f>
        <v>Footwear</v>
      </c>
      <c r="P2825">
        <v>1</v>
      </c>
      <c r="Q2825" s="5">
        <v>999</v>
      </c>
      <c r="R2825" s="74">
        <v>0.1</v>
      </c>
      <c r="S2825" s="75">
        <f>OrdersTable[[#This Row],[Quantity]]*OrdersTable[[#This Row],[Unit Price]]</f>
        <v>999</v>
      </c>
      <c r="T2825" s="5">
        <f>OrdersTable[[#This Row],[Gross Sale]]*OrdersTable[[#This Row],[Discount_Clean2]]</f>
        <v>99.9</v>
      </c>
      <c r="U2825" s="5">
        <f>OrdersTable[[#This Row],[Gross Sale]]-OrdersTable[[#This Row],[Discount Amount]]</f>
        <v>899.1</v>
      </c>
      <c r="V2825" s="77">
        <f>INDEX(Products!E:E,MATCH(OrdersTable[[#This Row],[Product ID]],Products!A:A,0))</f>
        <v>400</v>
      </c>
      <c r="W2825" s="77">
        <f>OrdersTable[[#This Row],[Quantity]]*OrdersTable[[#This Row],[Unit Cost]]</f>
        <v>400</v>
      </c>
      <c r="X2825" s="77">
        <f>'Dropdown Lists'!$I$2*(1+OrdersTable[[#This Row],[Returned]])</f>
        <v>60</v>
      </c>
      <c r="Y2825" s="76">
        <f>OrdersTable[[#This Row],[Net Revenue]]-OrdersTable[[#This Row],[COGS]]-OrdersTable[[#This Row],[Shipping Cost]]</f>
        <v>439.1</v>
      </c>
      <c r="Z2825" s="78">
        <f>IFERROR(OrdersTable[[#This Row],[Profit]]/OrdersTable[[#This Row],[Net Revenue]],0)</f>
        <v>0.48837726615504395</v>
      </c>
      <c r="AA2825" t="s">
        <v>4074</v>
      </c>
      <c r="AB2825" s="79">
        <v>45763</v>
      </c>
      <c r="AC2825">
        <f>OrdersTable[[#This Row],[Delivery Date]]-OrdersTable[[#This Row],[Order Date]]</f>
        <v>3</v>
      </c>
      <c r="AD2825" t="str">
        <f>IF(OrdersTable[[#This Row],[Delivery Days]]&lt;=2, "Express (≤2d)", IF(OrdersTable[[#This Row],[Delivery Days]]&lt;=4, "Standard (3-4d)", "Delayed (5d+)"))</f>
        <v>Standard (3-4d)</v>
      </c>
      <c r="AE2825">
        <v>3</v>
      </c>
      <c r="AF2825">
        <v>0</v>
      </c>
    </row>
    <row r="2826" spans="1:32" ht="15" x14ac:dyDescent="0.35">
      <c r="A2826" t="s">
        <v>3051</v>
      </c>
      <c r="B2826" s="1">
        <v>45760</v>
      </c>
      <c r="C2826">
        <f>YEAR(OrdersTable[[#This Row],[Order Date]])</f>
        <v>2025</v>
      </c>
      <c r="D2826" s="2">
        <f>DATE(YEAR(OrdersTable[[#This Row],[Order Date]]),MONTH(OrdersTable[[#This Row],[Order Date]]),1)</f>
        <v>45748</v>
      </c>
      <c r="E2826">
        <f>MONTH(OrdersTable[[#This Row],[Order Date]])</f>
        <v>4</v>
      </c>
      <c r="F2826" t="s">
        <v>2260</v>
      </c>
      <c r="G2826" t="str">
        <f>IF(OrdersTable[[#This Row],[Order Date]]=_xlfn.MINIFS(Order_Date, Customer_ID, OrdersTable[[#This Row],[Customer ID]]), "New", "Repeat")</f>
        <v>Repeat</v>
      </c>
      <c r="H2826" t="s">
        <v>32</v>
      </c>
      <c r="I2826" t="str">
        <f>INDEX(State!B:B,MATCH(OrdersTable[[#This Row],[State]],State!A:A,0))</f>
        <v>BR</v>
      </c>
      <c r="J2826" t="str">
        <f>INDEX(State!C:C,MATCH(OrdersTable[[#This Row],[State Code]],State!B:B,0))</f>
        <v>East</v>
      </c>
      <c r="K2826" t="s">
        <v>33</v>
      </c>
      <c r="L2826" t="s">
        <v>65</v>
      </c>
      <c r="M2826" t="s">
        <v>45</v>
      </c>
      <c r="N2826" t="str">
        <f>INDEX(Products!B:B,MATCH(OrdersTable[[#This Row],[Product ID]],Products!A:A,0))</f>
        <v>Argan Shampoo</v>
      </c>
      <c r="O2826" t="str">
        <f>INDEX(Products!C:C,MATCH(OrdersTable[[#This Row],[Product ID]],Products!A:A,0))</f>
        <v>Haircare</v>
      </c>
      <c r="P2826">
        <v>1</v>
      </c>
      <c r="Q2826" s="5">
        <v>449</v>
      </c>
      <c r="R2826" s="74">
        <v>0.1</v>
      </c>
      <c r="S2826" s="75">
        <f>OrdersTable[[#This Row],[Quantity]]*OrdersTable[[#This Row],[Unit Price]]</f>
        <v>449</v>
      </c>
      <c r="T2826" s="5">
        <f>OrdersTable[[#This Row],[Gross Sale]]*OrdersTable[[#This Row],[Discount_Clean2]]</f>
        <v>44.900000000000006</v>
      </c>
      <c r="U2826" s="5">
        <f>OrdersTable[[#This Row],[Gross Sale]]-OrdersTable[[#This Row],[Discount Amount]]</f>
        <v>404.1</v>
      </c>
      <c r="V2826" s="77">
        <f>INDEX(Products!E:E,MATCH(OrdersTable[[#This Row],[Product ID]],Products!A:A,0))</f>
        <v>148</v>
      </c>
      <c r="W2826" s="77">
        <f>OrdersTable[[#This Row],[Quantity]]*OrdersTable[[#This Row],[Unit Cost]]</f>
        <v>148</v>
      </c>
      <c r="X2826" s="77">
        <f>'Dropdown Lists'!$I$2*(1+OrdersTable[[#This Row],[Returned]])</f>
        <v>60</v>
      </c>
      <c r="Y2826" s="76">
        <f>OrdersTable[[#This Row],[Net Revenue]]-OrdersTable[[#This Row],[COGS]]-OrdersTable[[#This Row],[Shipping Cost]]</f>
        <v>196.10000000000002</v>
      </c>
      <c r="Z2826" s="78">
        <f>IFERROR(OrdersTable[[#This Row],[Profit]]/OrdersTable[[#This Row],[Net Revenue]],0)</f>
        <v>0.48527592180153428</v>
      </c>
      <c r="AA2826" t="s">
        <v>2522</v>
      </c>
      <c r="AB2826" s="79">
        <v>45764</v>
      </c>
      <c r="AC2826">
        <f>OrdersTable[[#This Row],[Delivery Date]]-OrdersTable[[#This Row],[Order Date]]</f>
        <v>4</v>
      </c>
      <c r="AD2826" t="str">
        <f>IF(OrdersTable[[#This Row],[Delivery Days]]&lt;=2, "Express (≤2d)", IF(OrdersTable[[#This Row],[Delivery Days]]&lt;=4, "Standard (3-4d)", "Delayed (5d+)"))</f>
        <v>Standard (3-4d)</v>
      </c>
      <c r="AF2826">
        <v>0</v>
      </c>
    </row>
    <row r="2827" spans="1:32" ht="15" x14ac:dyDescent="0.35">
      <c r="A2827" t="s">
        <v>4024</v>
      </c>
      <c r="B2827" s="1">
        <v>45760</v>
      </c>
      <c r="C2827">
        <f>YEAR(OrdersTable[[#This Row],[Order Date]])</f>
        <v>2025</v>
      </c>
      <c r="D2827" s="2">
        <f>DATE(YEAR(OrdersTable[[#This Row],[Order Date]]),MONTH(OrdersTable[[#This Row],[Order Date]]),1)</f>
        <v>45748</v>
      </c>
      <c r="E2827">
        <f>MONTH(OrdersTable[[#This Row],[Order Date]])</f>
        <v>4</v>
      </c>
      <c r="F2827" t="s">
        <v>1452</v>
      </c>
      <c r="G2827" t="str">
        <f>IF(OrdersTable[[#This Row],[Order Date]]=_xlfn.MINIFS(Order_Date, Customer_ID, OrdersTable[[#This Row],[Customer ID]]), "New", "Repeat")</f>
        <v>Repeat</v>
      </c>
      <c r="H2827" t="s">
        <v>27</v>
      </c>
      <c r="I2827" t="str">
        <f>INDEX(State!B:B,MATCH(OrdersTable[[#This Row],[State]],State!A:A,0))</f>
        <v>WB</v>
      </c>
      <c r="J2827" t="str">
        <f>INDEX(State!C:C,MATCH(OrdersTable[[#This Row],[State Code]],State!B:B,0))</f>
        <v>East</v>
      </c>
      <c r="K2827" t="s">
        <v>28</v>
      </c>
      <c r="L2827" t="s">
        <v>16</v>
      </c>
      <c r="M2827" t="s">
        <v>34</v>
      </c>
      <c r="N2827" t="str">
        <f>INDEX(Products!B:B,MATCH(OrdersTable[[#This Row],[Product ID]],Products!A:A,0))</f>
        <v>Flip Flops</v>
      </c>
      <c r="O2827" t="str">
        <f>INDEX(Products!C:C,MATCH(OrdersTable[[#This Row],[Product ID]],Products!A:A,0))</f>
        <v>Footwear</v>
      </c>
      <c r="P2827">
        <v>1</v>
      </c>
      <c r="Q2827" s="5">
        <v>399</v>
      </c>
      <c r="R2827" s="74">
        <v>0.2</v>
      </c>
      <c r="S2827" s="75">
        <f>OrdersTable[[#This Row],[Quantity]]*OrdersTable[[#This Row],[Unit Price]]</f>
        <v>399</v>
      </c>
      <c r="T2827" s="5">
        <f>OrdersTable[[#This Row],[Gross Sale]]*OrdersTable[[#This Row],[Discount_Clean2]]</f>
        <v>79.800000000000011</v>
      </c>
      <c r="U2827" s="5">
        <f>OrdersTable[[#This Row],[Gross Sale]]-OrdersTable[[#This Row],[Discount Amount]]</f>
        <v>319.2</v>
      </c>
      <c r="V2827" s="77">
        <f>INDEX(Products!E:E,MATCH(OrdersTable[[#This Row],[Product ID]],Products!A:A,0))</f>
        <v>152</v>
      </c>
      <c r="W2827" s="77">
        <f>OrdersTable[[#This Row],[Quantity]]*OrdersTable[[#This Row],[Unit Cost]]</f>
        <v>152</v>
      </c>
      <c r="X2827" s="77">
        <f>'Dropdown Lists'!$I$2*(1+OrdersTable[[#This Row],[Returned]])</f>
        <v>60</v>
      </c>
      <c r="Y2827" s="76">
        <f>OrdersTable[[#This Row],[Net Revenue]]-OrdersTable[[#This Row],[COGS]]-OrdersTable[[#This Row],[Shipping Cost]]</f>
        <v>107.19999999999999</v>
      </c>
      <c r="Z2827" s="78">
        <f>IFERROR(OrdersTable[[#This Row],[Profit]]/OrdersTable[[#This Row],[Net Revenue]],0)</f>
        <v>0.33583959899749372</v>
      </c>
      <c r="AA2827" t="s">
        <v>3495</v>
      </c>
      <c r="AB2827" s="79">
        <v>45764</v>
      </c>
      <c r="AC2827">
        <f>OrdersTable[[#This Row],[Delivery Date]]-OrdersTable[[#This Row],[Order Date]]</f>
        <v>4</v>
      </c>
      <c r="AD2827" t="str">
        <f>IF(OrdersTable[[#This Row],[Delivery Days]]&lt;=2, "Express (≤2d)", IF(OrdersTable[[#This Row],[Delivery Days]]&lt;=4, "Standard (3-4d)", "Delayed (5d+)"))</f>
        <v>Standard (3-4d)</v>
      </c>
      <c r="AE2827">
        <v>5</v>
      </c>
      <c r="AF2827">
        <v>0</v>
      </c>
    </row>
    <row r="2828" spans="1:32" ht="15" x14ac:dyDescent="0.35">
      <c r="A2828" t="s">
        <v>1734</v>
      </c>
      <c r="B2828" s="1">
        <v>45760</v>
      </c>
      <c r="C2828">
        <f>YEAR(OrdersTable[[#This Row],[Order Date]])</f>
        <v>2025</v>
      </c>
      <c r="D2828" s="2">
        <f>DATE(YEAR(OrdersTable[[#This Row],[Order Date]]),MONTH(OrdersTable[[#This Row],[Order Date]]),1)</f>
        <v>45748</v>
      </c>
      <c r="E2828">
        <f>MONTH(OrdersTable[[#This Row],[Order Date]])</f>
        <v>4</v>
      </c>
      <c r="F2828" t="s">
        <v>1735</v>
      </c>
      <c r="G2828" t="str">
        <f>IF(OrdersTable[[#This Row],[Order Date]]=_xlfn.MINIFS(Order_Date, Customer_ID, OrdersTable[[#This Row],[Customer ID]]), "New", "Repeat")</f>
        <v>New</v>
      </c>
      <c r="H2828" t="s">
        <v>95</v>
      </c>
      <c r="I2828" t="str">
        <f>INDEX(State!B:B,MATCH(OrdersTable[[#This Row],[State]],State!A:A,0))</f>
        <v>TG</v>
      </c>
      <c r="J2828" t="str">
        <f>INDEX(State!C:C,MATCH(OrdersTable[[#This Row],[State Code]],State!B:B,0))</f>
        <v>South</v>
      </c>
      <c r="K2828" t="s">
        <v>96</v>
      </c>
      <c r="L2828" t="s">
        <v>65</v>
      </c>
      <c r="M2828" t="s">
        <v>61</v>
      </c>
      <c r="N2828" t="str">
        <f>INDEX(Products!B:B,MATCH(OrdersTable[[#This Row],[Product ID]],Products!A:A,0))</f>
        <v>Multivitamin Gummies</v>
      </c>
      <c r="O2828" t="str">
        <f>INDEX(Products!C:C,MATCH(OrdersTable[[#This Row],[Product ID]],Products!A:A,0))</f>
        <v>Wellness</v>
      </c>
      <c r="P2828">
        <v>1</v>
      </c>
      <c r="Q2828" s="5">
        <v>699</v>
      </c>
      <c r="R2828" s="74">
        <v>0.2</v>
      </c>
      <c r="S2828" s="75">
        <f>OrdersTable[[#This Row],[Quantity]]*OrdersTable[[#This Row],[Unit Price]]</f>
        <v>699</v>
      </c>
      <c r="T2828" s="5">
        <f>OrdersTable[[#This Row],[Gross Sale]]*OrdersTable[[#This Row],[Discount_Clean2]]</f>
        <v>139.80000000000001</v>
      </c>
      <c r="U2828" s="5">
        <f>OrdersTable[[#This Row],[Gross Sale]]-OrdersTable[[#This Row],[Discount Amount]]</f>
        <v>559.20000000000005</v>
      </c>
      <c r="V2828" s="77">
        <f>INDEX(Products!E:E,MATCH(OrdersTable[[#This Row],[Product ID]],Products!A:A,0))</f>
        <v>238</v>
      </c>
      <c r="W2828" s="77">
        <f>OrdersTable[[#This Row],[Quantity]]*OrdersTable[[#This Row],[Unit Cost]]</f>
        <v>238</v>
      </c>
      <c r="X2828" s="77">
        <f>'Dropdown Lists'!$I$2*(1+OrdersTable[[#This Row],[Returned]])</f>
        <v>60</v>
      </c>
      <c r="Y2828" s="76">
        <f>OrdersTable[[#This Row],[Net Revenue]]-OrdersTable[[#This Row],[COGS]]-OrdersTable[[#This Row],[Shipping Cost]]</f>
        <v>261.20000000000005</v>
      </c>
      <c r="Z2828" s="78">
        <f>IFERROR(OrdersTable[[#This Row],[Profit]]/OrdersTable[[#This Row],[Net Revenue]],0)</f>
        <v>0.46709585121602293</v>
      </c>
      <c r="AA2828" t="s">
        <v>18</v>
      </c>
      <c r="AB2828" s="79">
        <v>45762</v>
      </c>
      <c r="AC2828">
        <f>OrdersTable[[#This Row],[Delivery Date]]-OrdersTable[[#This Row],[Order Date]]</f>
        <v>2</v>
      </c>
      <c r="AD2828" t="str">
        <f>IF(OrdersTable[[#This Row],[Delivery Days]]&lt;=2, "Express (≤2d)", IF(OrdersTable[[#This Row],[Delivery Days]]&lt;=4, "Standard (3-4d)", "Delayed (5d+)"))</f>
        <v>Express (≤2d)</v>
      </c>
      <c r="AF2828">
        <v>0</v>
      </c>
    </row>
    <row r="2829" spans="1:32" ht="15" x14ac:dyDescent="0.35">
      <c r="A2829" t="s">
        <v>296</v>
      </c>
      <c r="B2829" s="1">
        <v>45761</v>
      </c>
      <c r="C2829">
        <f>YEAR(OrdersTable[[#This Row],[Order Date]])</f>
        <v>2025</v>
      </c>
      <c r="D2829" s="2">
        <f>DATE(YEAR(OrdersTable[[#This Row],[Order Date]]),MONTH(OrdersTable[[#This Row],[Order Date]]),1)</f>
        <v>45748</v>
      </c>
      <c r="E2829">
        <f>MONTH(OrdersTable[[#This Row],[Order Date]])</f>
        <v>4</v>
      </c>
      <c r="F2829" t="s">
        <v>297</v>
      </c>
      <c r="G2829" t="str">
        <f>IF(OrdersTable[[#This Row],[Order Date]]=_xlfn.MINIFS(Order_Date, Customer_ID, OrdersTable[[#This Row],[Customer ID]]), "New", "Repeat")</f>
        <v>Repeat</v>
      </c>
      <c r="H2829" t="s">
        <v>48</v>
      </c>
      <c r="I2829" t="str">
        <f>INDEX(State!B:B,MATCH(OrdersTable[[#This Row],[State]],State!A:A,0))</f>
        <v>HR</v>
      </c>
      <c r="J2829" t="str">
        <f>INDEX(State!C:C,MATCH(OrdersTable[[#This Row],[State Code]],State!B:B,0))</f>
        <v>North</v>
      </c>
      <c r="K2829" t="s">
        <v>151</v>
      </c>
      <c r="L2829" t="s">
        <v>23</v>
      </c>
      <c r="M2829" t="s">
        <v>148</v>
      </c>
      <c r="N2829" t="str">
        <f>INDEX(Products!B:B,MATCH(OrdersTable[[#This Row],[Product ID]],Products!A:A,0))</f>
        <v>Smartwatch Strap</v>
      </c>
      <c r="O2829" t="str">
        <f>INDEX(Products!C:C,MATCH(OrdersTable[[#This Row],[Product ID]],Products!A:A,0))</f>
        <v>Electronics</v>
      </c>
      <c r="P2829">
        <v>1</v>
      </c>
      <c r="Q2829" s="5">
        <v>499</v>
      </c>
      <c r="R2829" s="74">
        <v>0.1</v>
      </c>
      <c r="S2829" s="75">
        <f>OrdersTable[[#This Row],[Quantity]]*OrdersTable[[#This Row],[Unit Price]]</f>
        <v>499</v>
      </c>
      <c r="T2829" s="5">
        <f>OrdersTable[[#This Row],[Gross Sale]]*OrdersTable[[#This Row],[Discount_Clean2]]</f>
        <v>49.900000000000006</v>
      </c>
      <c r="U2829" s="5">
        <f>OrdersTable[[#This Row],[Gross Sale]]-OrdersTable[[#This Row],[Discount Amount]]</f>
        <v>449.1</v>
      </c>
      <c r="V2829" s="77">
        <f>INDEX(Products!E:E,MATCH(OrdersTable[[#This Row],[Product ID]],Products!A:A,0))</f>
        <v>200</v>
      </c>
      <c r="W2829" s="77">
        <f>OrdersTable[[#This Row],[Quantity]]*OrdersTable[[#This Row],[Unit Cost]]</f>
        <v>200</v>
      </c>
      <c r="X2829" s="77">
        <f>'Dropdown Lists'!$I$2*(1+OrdersTable[[#This Row],[Returned]])</f>
        <v>60</v>
      </c>
      <c r="Y2829" s="76">
        <f>OrdersTable[[#This Row],[Net Revenue]]-OrdersTable[[#This Row],[COGS]]-OrdersTable[[#This Row],[Shipping Cost]]</f>
        <v>189.10000000000002</v>
      </c>
      <c r="Z2829" s="78">
        <f>IFERROR(OrdersTable[[#This Row],[Profit]]/OrdersTable[[#This Row],[Net Revenue]],0)</f>
        <v>0.42106435092407041</v>
      </c>
      <c r="AA2829" t="s">
        <v>18</v>
      </c>
      <c r="AB2829" s="79">
        <v>45764</v>
      </c>
      <c r="AC2829">
        <f>OrdersTable[[#This Row],[Delivery Date]]-OrdersTable[[#This Row],[Order Date]]</f>
        <v>3</v>
      </c>
      <c r="AD2829" t="str">
        <f>IF(OrdersTable[[#This Row],[Delivery Days]]&lt;=2, "Express (≤2d)", IF(OrdersTable[[#This Row],[Delivery Days]]&lt;=4, "Standard (3-4d)", "Delayed (5d+)"))</f>
        <v>Standard (3-4d)</v>
      </c>
      <c r="AE2829">
        <v>4</v>
      </c>
      <c r="AF2829">
        <v>0</v>
      </c>
    </row>
    <row r="2830" spans="1:32" ht="15" x14ac:dyDescent="0.35">
      <c r="A2830" t="s">
        <v>820</v>
      </c>
      <c r="B2830" s="1">
        <v>45761</v>
      </c>
      <c r="C2830">
        <f>YEAR(OrdersTable[[#This Row],[Order Date]])</f>
        <v>2025</v>
      </c>
      <c r="D2830" s="2">
        <f>DATE(YEAR(OrdersTable[[#This Row],[Order Date]]),MONTH(OrdersTable[[#This Row],[Order Date]]),1)</f>
        <v>45748</v>
      </c>
      <c r="E2830">
        <f>MONTH(OrdersTable[[#This Row],[Order Date]])</f>
        <v>4</v>
      </c>
      <c r="F2830" t="s">
        <v>821</v>
      </c>
      <c r="G2830" t="str">
        <f>IF(OrdersTable[[#This Row],[Order Date]]=_xlfn.MINIFS(Order_Date, Customer_ID, OrdersTable[[#This Row],[Customer ID]]), "New", "Repeat")</f>
        <v>Repeat</v>
      </c>
      <c r="H2830" t="s">
        <v>128</v>
      </c>
      <c r="I2830" t="str">
        <f>INDEX(State!B:B,MATCH(OrdersTable[[#This Row],[State]],State!A:A,0))</f>
        <v>DL</v>
      </c>
      <c r="J2830" t="str">
        <f>INDEX(State!C:C,MATCH(OrdersTable[[#This Row],[State Code]],State!B:B,0))</f>
        <v>North</v>
      </c>
      <c r="K2830" t="s">
        <v>129</v>
      </c>
      <c r="L2830" t="s">
        <v>23</v>
      </c>
      <c r="M2830" t="s">
        <v>106</v>
      </c>
      <c r="N2830" t="str">
        <f>INDEX(Products!B:B,MATCH(OrdersTable[[#This Row],[Product ID]],Products!A:A,0))</f>
        <v>Keratin Hair Mask</v>
      </c>
      <c r="O2830" t="str">
        <f>INDEX(Products!C:C,MATCH(OrdersTable[[#This Row],[Product ID]],Products!A:A,0))</f>
        <v>Haircare</v>
      </c>
      <c r="P2830">
        <v>1</v>
      </c>
      <c r="Q2830" s="5">
        <v>549</v>
      </c>
      <c r="R2830" s="74">
        <v>0.1</v>
      </c>
      <c r="S2830" s="75">
        <f>OrdersTable[[#This Row],[Quantity]]*OrdersTable[[#This Row],[Unit Price]]</f>
        <v>549</v>
      </c>
      <c r="T2830" s="5">
        <f>OrdersTable[[#This Row],[Gross Sale]]*OrdersTable[[#This Row],[Discount_Clean2]]</f>
        <v>54.900000000000006</v>
      </c>
      <c r="U2830" s="5">
        <f>OrdersTable[[#This Row],[Gross Sale]]-OrdersTable[[#This Row],[Discount Amount]]</f>
        <v>494.1</v>
      </c>
      <c r="V2830" s="77">
        <f>INDEX(Products!E:E,MATCH(OrdersTable[[#This Row],[Product ID]],Products!A:A,0))</f>
        <v>170</v>
      </c>
      <c r="W2830" s="77">
        <f>OrdersTable[[#This Row],[Quantity]]*OrdersTable[[#This Row],[Unit Cost]]</f>
        <v>170</v>
      </c>
      <c r="X2830" s="77">
        <f>'Dropdown Lists'!$I$2*(1+OrdersTable[[#This Row],[Returned]])</f>
        <v>60</v>
      </c>
      <c r="Y2830" s="76">
        <f>OrdersTable[[#This Row],[Net Revenue]]-OrdersTable[[#This Row],[COGS]]-OrdersTable[[#This Row],[Shipping Cost]]</f>
        <v>264.10000000000002</v>
      </c>
      <c r="Z2830" s="78">
        <f>IFERROR(OrdersTable[[#This Row],[Profit]]/OrdersTable[[#This Row],[Net Revenue]],0)</f>
        <v>0.53450718478040882</v>
      </c>
      <c r="AA2830" t="s">
        <v>18</v>
      </c>
      <c r="AB2830" s="79">
        <v>45763</v>
      </c>
      <c r="AC2830">
        <f>OrdersTable[[#This Row],[Delivery Date]]-OrdersTable[[#This Row],[Order Date]]</f>
        <v>2</v>
      </c>
      <c r="AD2830" t="str">
        <f>IF(OrdersTable[[#This Row],[Delivery Days]]&lt;=2, "Express (≤2d)", IF(OrdersTable[[#This Row],[Delivery Days]]&lt;=4, "Standard (3-4d)", "Delayed (5d+)"))</f>
        <v>Express (≤2d)</v>
      </c>
      <c r="AE2830">
        <v>4</v>
      </c>
      <c r="AF2830">
        <v>0</v>
      </c>
    </row>
    <row r="2831" spans="1:32" ht="15" x14ac:dyDescent="0.35">
      <c r="A2831" t="s">
        <v>608</v>
      </c>
      <c r="B2831" s="1">
        <v>45761</v>
      </c>
      <c r="C2831">
        <f>YEAR(OrdersTable[[#This Row],[Order Date]])</f>
        <v>2025</v>
      </c>
      <c r="D2831" s="2">
        <f>DATE(YEAR(OrdersTable[[#This Row],[Order Date]]),MONTH(OrdersTable[[#This Row],[Order Date]]),1)</f>
        <v>45748</v>
      </c>
      <c r="E2831">
        <f>MONTH(OrdersTable[[#This Row],[Order Date]])</f>
        <v>4</v>
      </c>
      <c r="F2831" t="s">
        <v>609</v>
      </c>
      <c r="G2831" t="str">
        <f>IF(OrdersTable[[#This Row],[Order Date]]=_xlfn.MINIFS(Order_Date, Customer_ID, OrdersTable[[#This Row],[Customer ID]]), "New", "Repeat")</f>
        <v>New</v>
      </c>
      <c r="H2831" t="s">
        <v>128</v>
      </c>
      <c r="I2831" t="str">
        <f>INDEX(State!B:B,MATCH(OrdersTable[[#This Row],[State]],State!A:A,0))</f>
        <v>DL</v>
      </c>
      <c r="J2831" t="str">
        <f>INDEX(State!C:C,MATCH(OrdersTable[[#This Row],[State Code]],State!B:B,0))</f>
        <v>North</v>
      </c>
      <c r="K2831" t="s">
        <v>129</v>
      </c>
      <c r="L2831" t="s">
        <v>39</v>
      </c>
      <c r="M2831" t="s">
        <v>45</v>
      </c>
      <c r="N2831" t="str">
        <f>INDEX(Products!B:B,MATCH(OrdersTable[[#This Row],[Product ID]],Products!A:A,0))</f>
        <v>Argan Shampoo</v>
      </c>
      <c r="O2831" t="str">
        <f>INDEX(Products!C:C,MATCH(OrdersTable[[#This Row],[Product ID]],Products!A:A,0))</f>
        <v>Haircare</v>
      </c>
      <c r="P2831">
        <v>1</v>
      </c>
      <c r="Q2831" s="5">
        <v>449</v>
      </c>
      <c r="R2831" s="74">
        <v>0</v>
      </c>
      <c r="S2831" s="75">
        <f>OrdersTable[[#This Row],[Quantity]]*OrdersTable[[#This Row],[Unit Price]]</f>
        <v>449</v>
      </c>
      <c r="T2831" s="5">
        <f>OrdersTable[[#This Row],[Gross Sale]]*OrdersTable[[#This Row],[Discount_Clean2]]</f>
        <v>0</v>
      </c>
      <c r="U2831" s="5">
        <f>OrdersTable[[#This Row],[Gross Sale]]-OrdersTable[[#This Row],[Discount Amount]]</f>
        <v>449</v>
      </c>
      <c r="V2831" s="77">
        <f>INDEX(Products!E:E,MATCH(OrdersTable[[#This Row],[Product ID]],Products!A:A,0))</f>
        <v>148</v>
      </c>
      <c r="W2831" s="77">
        <f>OrdersTable[[#This Row],[Quantity]]*OrdersTable[[#This Row],[Unit Cost]]</f>
        <v>148</v>
      </c>
      <c r="X2831" s="77">
        <f>'Dropdown Lists'!$I$2*(1+OrdersTable[[#This Row],[Returned]])</f>
        <v>60</v>
      </c>
      <c r="Y2831" s="76">
        <f>OrdersTable[[#This Row],[Net Revenue]]-OrdersTable[[#This Row],[COGS]]-OrdersTable[[#This Row],[Shipping Cost]]</f>
        <v>241</v>
      </c>
      <c r="Z2831" s="78">
        <f>IFERROR(OrdersTable[[#This Row],[Profit]]/OrdersTable[[#This Row],[Net Revenue]],0)</f>
        <v>0.53674832962138086</v>
      </c>
      <c r="AA2831" t="s">
        <v>18</v>
      </c>
      <c r="AB2831" s="79">
        <v>45762</v>
      </c>
      <c r="AC2831">
        <f>OrdersTable[[#This Row],[Delivery Date]]-OrdersTable[[#This Row],[Order Date]]</f>
        <v>1</v>
      </c>
      <c r="AD2831" t="str">
        <f>IF(OrdersTable[[#This Row],[Delivery Days]]&lt;=2, "Express (≤2d)", IF(OrdersTable[[#This Row],[Delivery Days]]&lt;=4, "Standard (3-4d)", "Delayed (5d+)"))</f>
        <v>Express (≤2d)</v>
      </c>
      <c r="AE2831">
        <v>4</v>
      </c>
      <c r="AF2831">
        <v>0</v>
      </c>
    </row>
    <row r="2832" spans="1:32" ht="15" x14ac:dyDescent="0.35">
      <c r="A2832" t="s">
        <v>4277</v>
      </c>
      <c r="B2832" s="1">
        <v>45761</v>
      </c>
      <c r="C2832">
        <f>YEAR(OrdersTable[[#This Row],[Order Date]])</f>
        <v>2025</v>
      </c>
      <c r="D2832" s="2">
        <f>DATE(YEAR(OrdersTable[[#This Row],[Order Date]]),MONTH(OrdersTable[[#This Row],[Order Date]]),1)</f>
        <v>45748</v>
      </c>
      <c r="E2832">
        <f>MONTH(OrdersTable[[#This Row],[Order Date]])</f>
        <v>4</v>
      </c>
      <c r="F2832" t="s">
        <v>236</v>
      </c>
      <c r="G2832" t="str">
        <f>IF(OrdersTable[[#This Row],[Order Date]]=_xlfn.MINIFS(Order_Date, Customer_ID, OrdersTable[[#This Row],[Customer ID]]), "New", "Repeat")</f>
        <v>Repeat</v>
      </c>
      <c r="H2832" t="s">
        <v>27</v>
      </c>
      <c r="I2832" t="str">
        <f>INDEX(State!B:B,MATCH(OrdersTable[[#This Row],[State]],State!A:A,0))</f>
        <v>WB</v>
      </c>
      <c r="J2832" t="str">
        <f>INDEX(State!C:C,MATCH(OrdersTable[[#This Row],[State Code]],State!B:B,0))</f>
        <v>East</v>
      </c>
      <c r="K2832" t="s">
        <v>28</v>
      </c>
      <c r="L2832" t="s">
        <v>39</v>
      </c>
      <c r="M2832" t="s">
        <v>78</v>
      </c>
      <c r="N2832" t="str">
        <f>INDEX(Products!B:B,MATCH(OrdersTable[[#This Row],[Product ID]],Products!A:A,0))</f>
        <v>Retinol Night Cream</v>
      </c>
      <c r="O2832" t="str">
        <f>INDEX(Products!C:C,MATCH(OrdersTable[[#This Row],[Product ID]],Products!A:A,0))</f>
        <v>Skincare</v>
      </c>
      <c r="P2832">
        <v>1</v>
      </c>
      <c r="Q2832" s="5">
        <v>799</v>
      </c>
      <c r="R2832" s="74">
        <v>0.1</v>
      </c>
      <c r="S2832" s="75">
        <f>OrdersTable[[#This Row],[Quantity]]*OrdersTable[[#This Row],[Unit Price]]</f>
        <v>799</v>
      </c>
      <c r="T2832" s="5">
        <f>OrdersTable[[#This Row],[Gross Sale]]*OrdersTable[[#This Row],[Discount_Clean2]]</f>
        <v>79.900000000000006</v>
      </c>
      <c r="U2832" s="5">
        <f>OrdersTable[[#This Row],[Gross Sale]]-OrdersTable[[#This Row],[Discount Amount]]</f>
        <v>719.1</v>
      </c>
      <c r="V2832" s="77">
        <f>INDEX(Products!E:E,MATCH(OrdersTable[[#This Row],[Product ID]],Products!A:A,0))</f>
        <v>216</v>
      </c>
      <c r="W2832" s="77">
        <f>OrdersTable[[#This Row],[Quantity]]*OrdersTable[[#This Row],[Unit Cost]]</f>
        <v>216</v>
      </c>
      <c r="X2832" s="77">
        <f>'Dropdown Lists'!$I$2*(1+OrdersTable[[#This Row],[Returned]])</f>
        <v>60</v>
      </c>
      <c r="Y2832" s="76">
        <f>OrdersTable[[#This Row],[Net Revenue]]-OrdersTable[[#This Row],[COGS]]-OrdersTable[[#This Row],[Shipping Cost]]</f>
        <v>443.1</v>
      </c>
      <c r="Z2832" s="78">
        <f>IFERROR(OrdersTable[[#This Row],[Profit]]/OrdersTable[[#This Row],[Net Revenue]],0)</f>
        <v>0.61618690029203171</v>
      </c>
      <c r="AA2832" t="s">
        <v>4074</v>
      </c>
      <c r="AB2832" s="79">
        <v>45764</v>
      </c>
      <c r="AC2832">
        <f>OrdersTable[[#This Row],[Delivery Date]]-OrdersTable[[#This Row],[Order Date]]</f>
        <v>3</v>
      </c>
      <c r="AD2832" t="str">
        <f>IF(OrdersTable[[#This Row],[Delivery Days]]&lt;=2, "Express (≤2d)", IF(OrdersTable[[#This Row],[Delivery Days]]&lt;=4, "Standard (3-4d)", "Delayed (5d+)"))</f>
        <v>Standard (3-4d)</v>
      </c>
      <c r="AF2832">
        <v>0</v>
      </c>
    </row>
    <row r="2833" spans="1:32" ht="15" x14ac:dyDescent="0.35">
      <c r="A2833" t="s">
        <v>6159</v>
      </c>
      <c r="B2833" s="1">
        <v>45761</v>
      </c>
      <c r="C2833">
        <f>YEAR(OrdersTable[[#This Row],[Order Date]])</f>
        <v>2025</v>
      </c>
      <c r="D2833" s="2">
        <f>DATE(YEAR(OrdersTable[[#This Row],[Order Date]]),MONTH(OrdersTable[[#This Row],[Order Date]]),1)</f>
        <v>45748</v>
      </c>
      <c r="E2833">
        <f>MONTH(OrdersTable[[#This Row],[Order Date]])</f>
        <v>4</v>
      </c>
      <c r="F2833" t="s">
        <v>6160</v>
      </c>
      <c r="G2833" t="str">
        <f>IF(OrdersTable[[#This Row],[Order Date]]=_xlfn.MINIFS(Order_Date, Customer_ID, OrdersTable[[#This Row],[Customer ID]]), "New", "Repeat")</f>
        <v>New</v>
      </c>
      <c r="H2833" t="s">
        <v>71</v>
      </c>
      <c r="I2833" t="str">
        <f>INDEX(State!B:B,MATCH(OrdersTable[[#This Row],[State]],State!A:A,0))</f>
        <v>MH</v>
      </c>
      <c r="J2833" t="str">
        <f>INDEX(State!C:C,MATCH(OrdersTable[[#This Row],[State Code]],State!B:B,0))</f>
        <v>West</v>
      </c>
      <c r="K2833" t="s">
        <v>72</v>
      </c>
      <c r="L2833" t="s">
        <v>39</v>
      </c>
      <c r="M2833" t="s">
        <v>125</v>
      </c>
      <c r="N2833" t="str">
        <f>INDEX(Products!B:B,MATCH(OrdersTable[[#This Row],[Product ID]],Products!A:A,0))</f>
        <v>Copper Water Bottle</v>
      </c>
      <c r="O2833" t="str">
        <f>INDEX(Products!C:C,MATCH(OrdersTable[[#This Row],[Product ID]],Products!A:A,0))</f>
        <v>Home &amp; Kitchen</v>
      </c>
      <c r="P2833">
        <v>2</v>
      </c>
      <c r="Q2833" s="5">
        <v>899</v>
      </c>
      <c r="R2833" s="74">
        <v>0.1</v>
      </c>
      <c r="S2833" s="75">
        <f>OrdersTable[[#This Row],[Quantity]]*OrdersTable[[#This Row],[Unit Price]]</f>
        <v>1798</v>
      </c>
      <c r="T2833" s="5">
        <f>OrdersTable[[#This Row],[Gross Sale]]*OrdersTable[[#This Row],[Discount_Clean2]]</f>
        <v>179.8</v>
      </c>
      <c r="U2833" s="5">
        <f>OrdersTable[[#This Row],[Gross Sale]]-OrdersTable[[#This Row],[Discount Amount]]</f>
        <v>1618.2</v>
      </c>
      <c r="V2833" s="77">
        <f>INDEX(Products!E:E,MATCH(OrdersTable[[#This Row],[Product ID]],Products!A:A,0))</f>
        <v>378</v>
      </c>
      <c r="W2833" s="77">
        <f>OrdersTable[[#This Row],[Quantity]]*OrdersTable[[#This Row],[Unit Cost]]</f>
        <v>756</v>
      </c>
      <c r="X2833" s="77">
        <f>'Dropdown Lists'!$I$2*(1+OrdersTable[[#This Row],[Returned]])</f>
        <v>60</v>
      </c>
      <c r="Y2833" s="76">
        <f>OrdersTable[[#This Row],[Net Revenue]]-OrdersTable[[#This Row],[COGS]]-OrdersTable[[#This Row],[Shipping Cost]]</f>
        <v>802.2</v>
      </c>
      <c r="Z2833" s="78">
        <f>IFERROR(OrdersTable[[#This Row],[Profit]]/OrdersTable[[#This Row],[Net Revenue]],0)</f>
        <v>0.4957360029662588</v>
      </c>
      <c r="AA2833" t="s">
        <v>18</v>
      </c>
      <c r="AB2833" s="79">
        <v>45764</v>
      </c>
      <c r="AC2833">
        <f>OrdersTable[[#This Row],[Delivery Date]]-OrdersTable[[#This Row],[Order Date]]</f>
        <v>3</v>
      </c>
      <c r="AD2833" t="str">
        <f>IF(OrdersTable[[#This Row],[Delivery Days]]&lt;=2, "Express (≤2d)", IF(OrdersTable[[#This Row],[Delivery Days]]&lt;=4, "Standard (3-4d)", "Delayed (5d+)"))</f>
        <v>Standard (3-4d)</v>
      </c>
      <c r="AE2833">
        <v>4</v>
      </c>
      <c r="AF2833">
        <v>0</v>
      </c>
    </row>
    <row r="2834" spans="1:32" ht="15" x14ac:dyDescent="0.35">
      <c r="A2834" t="s">
        <v>298</v>
      </c>
      <c r="B2834" s="1">
        <v>45761</v>
      </c>
      <c r="C2834">
        <f>YEAR(OrdersTable[[#This Row],[Order Date]])</f>
        <v>2025</v>
      </c>
      <c r="D2834" s="2">
        <f>DATE(YEAR(OrdersTable[[#This Row],[Order Date]]),MONTH(OrdersTable[[#This Row],[Order Date]]),1)</f>
        <v>45748</v>
      </c>
      <c r="E2834">
        <f>MONTH(OrdersTable[[#This Row],[Order Date]])</f>
        <v>4</v>
      </c>
      <c r="F2834" t="s">
        <v>299</v>
      </c>
      <c r="G2834" t="str">
        <f>IF(OrdersTable[[#This Row],[Order Date]]=_xlfn.MINIFS(Order_Date, Customer_ID, OrdersTable[[#This Row],[Customer ID]]), "New", "Repeat")</f>
        <v>New</v>
      </c>
      <c r="H2834" t="s">
        <v>95</v>
      </c>
      <c r="I2834" t="str">
        <f>INDEX(State!B:B,MATCH(OrdersTable[[#This Row],[State]],State!A:A,0))</f>
        <v>TG</v>
      </c>
      <c r="J2834" t="str">
        <f>INDEX(State!C:C,MATCH(OrdersTable[[#This Row],[State Code]],State!B:B,0))</f>
        <v>South</v>
      </c>
      <c r="K2834" t="s">
        <v>96</v>
      </c>
      <c r="L2834" t="s">
        <v>50</v>
      </c>
      <c r="M2834" t="s">
        <v>56</v>
      </c>
      <c r="N2834" t="str">
        <f>INDEX(Products!B:B,MATCH(OrdersTable[[#This Row],[Product ID]],Products!A:A,0))</f>
        <v>Vitamin C Face Serum</v>
      </c>
      <c r="O2834" t="str">
        <f>INDEX(Products!C:C,MATCH(OrdersTable[[#This Row],[Product ID]],Products!A:A,0))</f>
        <v>Skincare</v>
      </c>
      <c r="P2834">
        <v>1</v>
      </c>
      <c r="Q2834" s="5">
        <v>599</v>
      </c>
      <c r="R2834" s="74">
        <v>0.2</v>
      </c>
      <c r="S2834" s="75">
        <f>OrdersTable[[#This Row],[Quantity]]*OrdersTable[[#This Row],[Unit Price]]</f>
        <v>599</v>
      </c>
      <c r="T2834" s="5">
        <f>OrdersTable[[#This Row],[Gross Sale]]*OrdersTable[[#This Row],[Discount_Clean2]]</f>
        <v>119.80000000000001</v>
      </c>
      <c r="U2834" s="5">
        <f>OrdersTable[[#This Row],[Gross Sale]]-OrdersTable[[#This Row],[Discount Amount]]</f>
        <v>479.2</v>
      </c>
      <c r="V2834" s="77">
        <f>INDEX(Products!E:E,MATCH(OrdersTable[[#This Row],[Product ID]],Products!A:A,0))</f>
        <v>180</v>
      </c>
      <c r="W2834" s="77">
        <f>OrdersTable[[#This Row],[Quantity]]*OrdersTable[[#This Row],[Unit Cost]]</f>
        <v>180</v>
      </c>
      <c r="X2834" s="77">
        <f>'Dropdown Lists'!$I$2*(1+OrdersTable[[#This Row],[Returned]])</f>
        <v>60</v>
      </c>
      <c r="Y2834" s="76">
        <f>OrdersTable[[#This Row],[Net Revenue]]-OrdersTable[[#This Row],[COGS]]-OrdersTable[[#This Row],[Shipping Cost]]</f>
        <v>239.2</v>
      </c>
      <c r="Z2834" s="78">
        <f>IFERROR(OrdersTable[[#This Row],[Profit]]/OrdersTable[[#This Row],[Net Revenue]],0)</f>
        <v>0.4991652754590985</v>
      </c>
      <c r="AA2834" t="s">
        <v>18</v>
      </c>
      <c r="AB2834" s="79">
        <v>45764</v>
      </c>
      <c r="AC2834">
        <f>OrdersTable[[#This Row],[Delivery Date]]-OrdersTable[[#This Row],[Order Date]]</f>
        <v>3</v>
      </c>
      <c r="AD2834" t="str">
        <f>IF(OrdersTable[[#This Row],[Delivery Days]]&lt;=2, "Express (≤2d)", IF(OrdersTable[[#This Row],[Delivery Days]]&lt;=4, "Standard (3-4d)", "Delayed (5d+)"))</f>
        <v>Standard (3-4d)</v>
      </c>
      <c r="AE2834">
        <v>4</v>
      </c>
      <c r="AF2834">
        <v>0</v>
      </c>
    </row>
    <row r="2835" spans="1:32" ht="15" x14ac:dyDescent="0.35">
      <c r="A2835" t="s">
        <v>6794</v>
      </c>
      <c r="B2835" s="1">
        <v>45761</v>
      </c>
      <c r="C2835">
        <f>YEAR(OrdersTable[[#This Row],[Order Date]])</f>
        <v>2025</v>
      </c>
      <c r="D2835" s="2">
        <f>DATE(YEAR(OrdersTable[[#This Row],[Order Date]]),MONTH(OrdersTable[[#This Row],[Order Date]]),1)</f>
        <v>45748</v>
      </c>
      <c r="E2835">
        <f>MONTH(OrdersTable[[#This Row],[Order Date]])</f>
        <v>4</v>
      </c>
      <c r="F2835" t="s">
        <v>4151</v>
      </c>
      <c r="G2835" t="str">
        <f>IF(OrdersTable[[#This Row],[Order Date]]=_xlfn.MINIFS(Order_Date, Customer_ID, OrdersTable[[#This Row],[Customer ID]]), "New", "Repeat")</f>
        <v>Repeat</v>
      </c>
      <c r="H2835" t="s">
        <v>95</v>
      </c>
      <c r="I2835" t="str">
        <f>INDEX(State!B:B,MATCH(OrdersTable[[#This Row],[State]],State!A:A,0))</f>
        <v>TG</v>
      </c>
      <c r="J2835" t="str">
        <f>INDEX(State!C:C,MATCH(OrdersTable[[#This Row],[State Code]],State!B:B,0))</f>
        <v>South</v>
      </c>
      <c r="K2835" t="s">
        <v>96</v>
      </c>
      <c r="L2835" t="s">
        <v>65</v>
      </c>
      <c r="M2835" t="s">
        <v>173</v>
      </c>
      <c r="N2835" t="str">
        <f>INDEX(Products!B:B,MATCH(OrdersTable[[#This Row],[Product ID]],Products!A:A,0))</f>
        <v>Wireless Earbuds</v>
      </c>
      <c r="O2835" t="str">
        <f>INDEX(Products!C:C,MATCH(OrdersTable[[#This Row],[Product ID]],Products!A:A,0))</f>
        <v>Electronics</v>
      </c>
      <c r="P2835">
        <v>3</v>
      </c>
      <c r="Q2835" s="5">
        <v>1999</v>
      </c>
      <c r="R2835" s="74">
        <v>0.45</v>
      </c>
      <c r="S2835" s="75">
        <f>OrdersTable[[#This Row],[Quantity]]*OrdersTable[[#This Row],[Unit Price]]</f>
        <v>5997</v>
      </c>
      <c r="T2835" s="5">
        <f>OrdersTable[[#This Row],[Gross Sale]]*OrdersTable[[#This Row],[Discount_Clean2]]</f>
        <v>2698.65</v>
      </c>
      <c r="U2835" s="5">
        <f>OrdersTable[[#This Row],[Gross Sale]]-OrdersTable[[#This Row],[Discount Amount]]</f>
        <v>3298.35</v>
      </c>
      <c r="V2835" s="77">
        <f>INDEX(Products!E:E,MATCH(OrdersTable[[#This Row],[Product ID]],Products!A:A,0))</f>
        <v>1239</v>
      </c>
      <c r="W2835" s="77">
        <f>OrdersTable[[#This Row],[Quantity]]*OrdersTable[[#This Row],[Unit Cost]]</f>
        <v>3717</v>
      </c>
      <c r="X2835" s="77">
        <f>'Dropdown Lists'!$I$2*(1+OrdersTable[[#This Row],[Returned]])</f>
        <v>60</v>
      </c>
      <c r="Y2835" s="76">
        <f>OrdersTable[[#This Row],[Net Revenue]]-OrdersTable[[#This Row],[COGS]]-OrdersTable[[#This Row],[Shipping Cost]]</f>
        <v>-478.65000000000009</v>
      </c>
      <c r="Z2835" s="78">
        <f>IFERROR(OrdersTable[[#This Row],[Profit]]/OrdersTable[[#This Row],[Net Revenue]],0)</f>
        <v>-0.1451180135522307</v>
      </c>
      <c r="AA2835" t="s">
        <v>3495</v>
      </c>
      <c r="AB2835" s="79">
        <v>45765</v>
      </c>
      <c r="AC2835">
        <f>OrdersTable[[#This Row],[Delivery Date]]-OrdersTable[[#This Row],[Order Date]]</f>
        <v>4</v>
      </c>
      <c r="AD2835" t="str">
        <f>IF(OrdersTable[[#This Row],[Delivery Days]]&lt;=2, "Express (≤2d)", IF(OrdersTable[[#This Row],[Delivery Days]]&lt;=4, "Standard (3-4d)", "Delayed (5d+)"))</f>
        <v>Standard (3-4d)</v>
      </c>
      <c r="AE2835">
        <v>3</v>
      </c>
      <c r="AF2835">
        <v>0</v>
      </c>
    </row>
    <row r="2836" spans="1:32" ht="15" x14ac:dyDescent="0.35">
      <c r="A2836" t="s">
        <v>2611</v>
      </c>
      <c r="B2836" s="1">
        <v>45761</v>
      </c>
      <c r="C2836">
        <f>YEAR(OrdersTable[[#This Row],[Order Date]])</f>
        <v>2025</v>
      </c>
      <c r="D2836" s="2">
        <f>DATE(YEAR(OrdersTable[[#This Row],[Order Date]]),MONTH(OrdersTable[[#This Row],[Order Date]]),1)</f>
        <v>45748</v>
      </c>
      <c r="E2836">
        <f>MONTH(OrdersTable[[#This Row],[Order Date]])</f>
        <v>4</v>
      </c>
      <c r="F2836" t="s">
        <v>2612</v>
      </c>
      <c r="G2836" t="str">
        <f>IF(OrdersTable[[#This Row],[Order Date]]=_xlfn.MINIFS(Order_Date, Customer_ID, OrdersTable[[#This Row],[Customer ID]]), "New", "Repeat")</f>
        <v>New</v>
      </c>
      <c r="H2836" t="s">
        <v>167</v>
      </c>
      <c r="I2836" t="str">
        <f>INDEX(State!B:B,MATCH(OrdersTable[[#This Row],[State]],State!A:A,0))</f>
        <v>KA</v>
      </c>
      <c r="J2836" t="str">
        <f>INDEX(State!C:C,MATCH(OrdersTable[[#This Row],[State Code]],State!B:B,0))</f>
        <v>South</v>
      </c>
      <c r="K2836" t="s">
        <v>190</v>
      </c>
      <c r="L2836" t="s">
        <v>16</v>
      </c>
      <c r="M2836" t="s">
        <v>34</v>
      </c>
      <c r="N2836" t="str">
        <f>INDEX(Products!B:B,MATCH(OrdersTable[[#This Row],[Product ID]],Products!A:A,0))</f>
        <v>Flip Flops</v>
      </c>
      <c r="O2836" t="str">
        <f>INDEX(Products!C:C,MATCH(OrdersTable[[#This Row],[Product ID]],Products!A:A,0))</f>
        <v>Footwear</v>
      </c>
      <c r="P2836">
        <v>1</v>
      </c>
      <c r="Q2836" s="5">
        <v>399</v>
      </c>
      <c r="R2836" s="74">
        <v>0.1</v>
      </c>
      <c r="S2836" s="75">
        <f>OrdersTable[[#This Row],[Quantity]]*OrdersTable[[#This Row],[Unit Price]]</f>
        <v>399</v>
      </c>
      <c r="T2836" s="5">
        <f>OrdersTable[[#This Row],[Gross Sale]]*OrdersTable[[#This Row],[Discount_Clean2]]</f>
        <v>39.900000000000006</v>
      </c>
      <c r="U2836" s="5">
        <f>OrdersTable[[#This Row],[Gross Sale]]-OrdersTable[[#This Row],[Discount Amount]]</f>
        <v>359.1</v>
      </c>
      <c r="V2836" s="77">
        <f>INDEX(Products!E:E,MATCH(OrdersTable[[#This Row],[Product ID]],Products!A:A,0))</f>
        <v>152</v>
      </c>
      <c r="W2836" s="77">
        <f>OrdersTable[[#This Row],[Quantity]]*OrdersTable[[#This Row],[Unit Cost]]</f>
        <v>152</v>
      </c>
      <c r="X2836" s="77">
        <f>'Dropdown Lists'!$I$2*(1+OrdersTable[[#This Row],[Returned]])</f>
        <v>120</v>
      </c>
      <c r="Y2836" s="76">
        <f>OrdersTable[[#This Row],[Net Revenue]]-OrdersTable[[#This Row],[COGS]]-OrdersTable[[#This Row],[Shipping Cost]]</f>
        <v>87.100000000000023</v>
      </c>
      <c r="Z2836" s="78">
        <f>IFERROR(OrdersTable[[#This Row],[Profit]]/OrdersTable[[#This Row],[Net Revenue]],0)</f>
        <v>0.24255082149818996</v>
      </c>
      <c r="AA2836" t="s">
        <v>2522</v>
      </c>
      <c r="AB2836" s="79">
        <v>45762</v>
      </c>
      <c r="AC2836">
        <f>OrdersTable[[#This Row],[Delivery Date]]-OrdersTable[[#This Row],[Order Date]]</f>
        <v>1</v>
      </c>
      <c r="AD2836" t="str">
        <f>IF(OrdersTable[[#This Row],[Delivery Days]]&lt;=2, "Express (≤2d)", IF(OrdersTable[[#This Row],[Delivery Days]]&lt;=4, "Standard (3-4d)", "Delayed (5d+)"))</f>
        <v>Express (≤2d)</v>
      </c>
      <c r="AE2836">
        <v>5</v>
      </c>
      <c r="AF2836">
        <v>1</v>
      </c>
    </row>
    <row r="2837" spans="1:32" ht="15" x14ac:dyDescent="0.35">
      <c r="A2837" t="s">
        <v>3273</v>
      </c>
      <c r="B2837" s="1">
        <v>45762</v>
      </c>
      <c r="C2837">
        <f>YEAR(OrdersTable[[#This Row],[Order Date]])</f>
        <v>2025</v>
      </c>
      <c r="D2837" s="2">
        <f>DATE(YEAR(OrdersTable[[#This Row],[Order Date]]),MONTH(OrdersTable[[#This Row],[Order Date]]),1)</f>
        <v>45748</v>
      </c>
      <c r="E2837">
        <f>MONTH(OrdersTable[[#This Row],[Order Date]])</f>
        <v>4</v>
      </c>
      <c r="F2837" t="s">
        <v>458</v>
      </c>
      <c r="G2837" t="str">
        <f>IF(OrdersTable[[#This Row],[Order Date]]=_xlfn.MINIFS(Order_Date, Customer_ID, OrdersTable[[#This Row],[Customer ID]]), "New", "Repeat")</f>
        <v>Repeat</v>
      </c>
      <c r="H2837" t="s">
        <v>76</v>
      </c>
      <c r="I2837" t="str">
        <f>INDEX(State!B:B,MATCH(OrdersTable[[#This Row],[State]],State!A:A,0))</f>
        <v>UP</v>
      </c>
      <c r="J2837" t="str">
        <f>INDEX(State!C:C,MATCH(OrdersTable[[#This Row],[State Code]],State!B:B,0))</f>
        <v>North</v>
      </c>
      <c r="K2837" t="s">
        <v>77</v>
      </c>
      <c r="L2837" t="s">
        <v>39</v>
      </c>
      <c r="M2837" t="s">
        <v>228</v>
      </c>
      <c r="N2837" t="str">
        <f>INDEX(Products!B:B,MATCH(OrdersTable[[#This Row],[Product ID]],Products!A:A,0))</f>
        <v>Fast Charger 33W</v>
      </c>
      <c r="O2837" t="str">
        <f>INDEX(Products!C:C,MATCH(OrdersTable[[#This Row],[Product ID]],Products!A:A,0))</f>
        <v>Electronics</v>
      </c>
      <c r="P2837">
        <v>1</v>
      </c>
      <c r="Q2837" s="5">
        <v>899</v>
      </c>
      <c r="R2837" s="74">
        <v>0</v>
      </c>
      <c r="S2837" s="75">
        <f>OrdersTable[[#This Row],[Quantity]]*OrdersTable[[#This Row],[Unit Price]]</f>
        <v>899</v>
      </c>
      <c r="T2837" s="5">
        <f>OrdersTable[[#This Row],[Gross Sale]]*OrdersTable[[#This Row],[Discount_Clean2]]</f>
        <v>0</v>
      </c>
      <c r="U2837" s="5">
        <f>OrdersTable[[#This Row],[Gross Sale]]-OrdersTable[[#This Row],[Discount Amount]]</f>
        <v>899</v>
      </c>
      <c r="V2837" s="77">
        <f>INDEX(Products!E:E,MATCH(OrdersTable[[#This Row],[Product ID]],Products!A:A,0))</f>
        <v>494</v>
      </c>
      <c r="W2837" s="77">
        <f>OrdersTable[[#This Row],[Quantity]]*OrdersTable[[#This Row],[Unit Cost]]</f>
        <v>494</v>
      </c>
      <c r="X2837" s="77">
        <f>'Dropdown Lists'!$I$2*(1+OrdersTable[[#This Row],[Returned]])</f>
        <v>60</v>
      </c>
      <c r="Y2837" s="76">
        <f>OrdersTable[[#This Row],[Net Revenue]]-OrdersTable[[#This Row],[COGS]]-OrdersTable[[#This Row],[Shipping Cost]]</f>
        <v>345</v>
      </c>
      <c r="Z2837" s="78">
        <f>IFERROR(OrdersTable[[#This Row],[Profit]]/OrdersTable[[#This Row],[Net Revenue]],0)</f>
        <v>0.38375973303670746</v>
      </c>
      <c r="AA2837" t="s">
        <v>2522</v>
      </c>
      <c r="AB2837" s="79">
        <v>45764</v>
      </c>
      <c r="AC2837">
        <f>OrdersTable[[#This Row],[Delivery Date]]-OrdersTable[[#This Row],[Order Date]]</f>
        <v>2</v>
      </c>
      <c r="AD2837" t="str">
        <f>IF(OrdersTable[[#This Row],[Delivery Days]]&lt;=2, "Express (≤2d)", IF(OrdersTable[[#This Row],[Delivery Days]]&lt;=4, "Standard (3-4d)", "Delayed (5d+)"))</f>
        <v>Express (≤2d)</v>
      </c>
      <c r="AE2837">
        <v>4</v>
      </c>
      <c r="AF2837">
        <v>0</v>
      </c>
    </row>
    <row r="2838" spans="1:32" ht="15" x14ac:dyDescent="0.35">
      <c r="A2838" t="s">
        <v>3768</v>
      </c>
      <c r="B2838" s="1">
        <v>45762</v>
      </c>
      <c r="C2838">
        <f>YEAR(OrdersTable[[#This Row],[Order Date]])</f>
        <v>2025</v>
      </c>
      <c r="D2838" s="2">
        <f>DATE(YEAR(OrdersTable[[#This Row],[Order Date]]),MONTH(OrdersTable[[#This Row],[Order Date]]),1)</f>
        <v>45748</v>
      </c>
      <c r="E2838">
        <f>MONTH(OrdersTable[[#This Row],[Order Date]])</f>
        <v>4</v>
      </c>
      <c r="F2838" t="s">
        <v>2283</v>
      </c>
      <c r="G2838" t="str">
        <f>IF(OrdersTable[[#This Row],[Order Date]]=_xlfn.MINIFS(Order_Date, Customer_ID, OrdersTable[[#This Row],[Customer ID]]), "New", "Repeat")</f>
        <v>Repeat</v>
      </c>
      <c r="H2838" t="s">
        <v>37</v>
      </c>
      <c r="I2838" t="str">
        <f>INDEX(State!B:B,MATCH(OrdersTable[[#This Row],[State]],State!A:A,0))</f>
        <v>GJ</v>
      </c>
      <c r="J2838" t="str">
        <f>INDEX(State!C:C,MATCH(OrdersTable[[#This Row],[State Code]],State!B:B,0))</f>
        <v>West</v>
      </c>
      <c r="K2838" t="s">
        <v>38</v>
      </c>
      <c r="L2838" t="s">
        <v>65</v>
      </c>
      <c r="M2838" t="s">
        <v>51</v>
      </c>
      <c r="N2838" t="str">
        <f>INDEX(Products!B:B,MATCH(OrdersTable[[#This Row],[Product ID]],Products!A:A,0))</f>
        <v>Anti-Dandruff Conditioner</v>
      </c>
      <c r="O2838" t="str">
        <f>INDEX(Products!C:C,MATCH(OrdersTable[[#This Row],[Product ID]],Products!A:A,0))</f>
        <v>Haircare</v>
      </c>
      <c r="P2838">
        <v>1</v>
      </c>
      <c r="Q2838" s="5">
        <v>399</v>
      </c>
      <c r="R2838" s="74">
        <v>0.35</v>
      </c>
      <c r="S2838" s="75">
        <f>OrdersTable[[#This Row],[Quantity]]*OrdersTable[[#This Row],[Unit Price]]</f>
        <v>399</v>
      </c>
      <c r="T2838" s="5">
        <f>OrdersTable[[#This Row],[Gross Sale]]*OrdersTable[[#This Row],[Discount_Clean2]]</f>
        <v>139.64999999999998</v>
      </c>
      <c r="U2838" s="5">
        <f>OrdersTable[[#This Row],[Gross Sale]]-OrdersTable[[#This Row],[Discount Amount]]</f>
        <v>259.35000000000002</v>
      </c>
      <c r="V2838" s="77">
        <f>INDEX(Products!E:E,MATCH(OrdersTable[[#This Row],[Product ID]],Products!A:A,0))</f>
        <v>136</v>
      </c>
      <c r="W2838" s="77">
        <f>OrdersTable[[#This Row],[Quantity]]*OrdersTable[[#This Row],[Unit Cost]]</f>
        <v>136</v>
      </c>
      <c r="X2838" s="77">
        <f>'Dropdown Lists'!$I$2*(1+OrdersTable[[#This Row],[Returned]])</f>
        <v>60</v>
      </c>
      <c r="Y2838" s="76">
        <f>OrdersTable[[#This Row],[Net Revenue]]-OrdersTable[[#This Row],[COGS]]-OrdersTable[[#This Row],[Shipping Cost]]</f>
        <v>63.350000000000023</v>
      </c>
      <c r="Z2838" s="78">
        <f>IFERROR(OrdersTable[[#This Row],[Profit]]/OrdersTable[[#This Row],[Net Revenue]],0)</f>
        <v>0.24426450742240222</v>
      </c>
      <c r="AA2838" t="s">
        <v>3495</v>
      </c>
      <c r="AB2838" s="79">
        <v>45765</v>
      </c>
      <c r="AC2838">
        <f>OrdersTable[[#This Row],[Delivery Date]]-OrdersTable[[#This Row],[Order Date]]</f>
        <v>3</v>
      </c>
      <c r="AD2838" t="str">
        <f>IF(OrdersTable[[#This Row],[Delivery Days]]&lt;=2, "Express (≤2d)", IF(OrdersTable[[#This Row],[Delivery Days]]&lt;=4, "Standard (3-4d)", "Delayed (5d+)"))</f>
        <v>Standard (3-4d)</v>
      </c>
      <c r="AF2838">
        <v>0</v>
      </c>
    </row>
    <row r="2839" spans="1:32" ht="15" x14ac:dyDescent="0.35">
      <c r="A2839" t="s">
        <v>3617</v>
      </c>
      <c r="B2839" s="1">
        <v>45762</v>
      </c>
      <c r="C2839">
        <f>YEAR(OrdersTable[[#This Row],[Order Date]])</f>
        <v>2025</v>
      </c>
      <c r="D2839" s="2">
        <f>DATE(YEAR(OrdersTable[[#This Row],[Order Date]]),MONTH(OrdersTable[[#This Row],[Order Date]]),1)</f>
        <v>45748</v>
      </c>
      <c r="E2839">
        <f>MONTH(OrdersTable[[#This Row],[Order Date]])</f>
        <v>4</v>
      </c>
      <c r="F2839" t="s">
        <v>823</v>
      </c>
      <c r="G2839" t="str">
        <f>IF(OrdersTable[[#This Row],[Order Date]]=_xlfn.MINIFS(Order_Date, Customer_ID, OrdersTable[[#This Row],[Customer ID]]), "New", "Repeat")</f>
        <v>Repeat</v>
      </c>
      <c r="H2839" t="s">
        <v>37</v>
      </c>
      <c r="I2839" t="str">
        <f>INDEX(State!B:B,MATCH(OrdersTable[[#This Row],[State]],State!A:A,0))</f>
        <v>GJ</v>
      </c>
      <c r="J2839" t="str">
        <f>INDEX(State!C:C,MATCH(OrdersTable[[#This Row],[State Code]],State!B:B,0))</f>
        <v>West</v>
      </c>
      <c r="K2839" t="s">
        <v>38</v>
      </c>
      <c r="L2839" t="s">
        <v>39</v>
      </c>
      <c r="M2839" t="s">
        <v>87</v>
      </c>
      <c r="N2839" t="str">
        <f>INDEX(Products!B:B,MATCH(OrdersTable[[#This Row],[Product ID]],Products!A:A,0))</f>
        <v>Linen Kurta</v>
      </c>
      <c r="O2839" t="str">
        <f>INDEX(Products!C:C,MATCH(OrdersTable[[#This Row],[Product ID]],Products!A:A,0))</f>
        <v>Apparel</v>
      </c>
      <c r="P2839">
        <v>1</v>
      </c>
      <c r="Q2839" s="5">
        <v>1499</v>
      </c>
      <c r="R2839" s="74">
        <v>0.3</v>
      </c>
      <c r="S2839" s="75">
        <f>OrdersTable[[#This Row],[Quantity]]*OrdersTable[[#This Row],[Unit Price]]</f>
        <v>1499</v>
      </c>
      <c r="T2839" s="5">
        <f>OrdersTable[[#This Row],[Gross Sale]]*OrdersTable[[#This Row],[Discount_Clean2]]</f>
        <v>449.7</v>
      </c>
      <c r="U2839" s="5">
        <f>OrdersTable[[#This Row],[Gross Sale]]-OrdersTable[[#This Row],[Discount Amount]]</f>
        <v>1049.3</v>
      </c>
      <c r="V2839" s="77">
        <f>INDEX(Products!E:E,MATCH(OrdersTable[[#This Row],[Product ID]],Products!A:A,0))</f>
        <v>630</v>
      </c>
      <c r="W2839" s="77">
        <f>OrdersTable[[#This Row],[Quantity]]*OrdersTable[[#This Row],[Unit Cost]]</f>
        <v>630</v>
      </c>
      <c r="X2839" s="77">
        <f>'Dropdown Lists'!$I$2*(1+OrdersTable[[#This Row],[Returned]])</f>
        <v>60</v>
      </c>
      <c r="Y2839" s="76">
        <f>OrdersTable[[#This Row],[Net Revenue]]-OrdersTable[[#This Row],[COGS]]-OrdersTable[[#This Row],[Shipping Cost]]</f>
        <v>359.29999999999995</v>
      </c>
      <c r="Z2839" s="78">
        <f>IFERROR(OrdersTable[[#This Row],[Profit]]/OrdersTable[[#This Row],[Net Revenue]],0)</f>
        <v>0.34241875536071664</v>
      </c>
      <c r="AA2839" t="s">
        <v>3495</v>
      </c>
      <c r="AB2839" s="79">
        <v>45764</v>
      </c>
      <c r="AC2839">
        <f>OrdersTable[[#This Row],[Delivery Date]]-OrdersTable[[#This Row],[Order Date]]</f>
        <v>2</v>
      </c>
      <c r="AD2839" t="str">
        <f>IF(OrdersTable[[#This Row],[Delivery Days]]&lt;=2, "Express (≤2d)", IF(OrdersTable[[#This Row],[Delivery Days]]&lt;=4, "Standard (3-4d)", "Delayed (5d+)"))</f>
        <v>Express (≤2d)</v>
      </c>
      <c r="AE2839">
        <v>4</v>
      </c>
      <c r="AF2839">
        <v>0</v>
      </c>
    </row>
    <row r="2840" spans="1:32" ht="15" x14ac:dyDescent="0.35">
      <c r="A2840" t="s">
        <v>3052</v>
      </c>
      <c r="B2840" s="1">
        <v>45762</v>
      </c>
      <c r="C2840">
        <f>YEAR(OrdersTable[[#This Row],[Order Date]])</f>
        <v>2025</v>
      </c>
      <c r="D2840" s="2">
        <f>DATE(YEAR(OrdersTable[[#This Row],[Order Date]]),MONTH(OrdersTable[[#This Row],[Order Date]]),1)</f>
        <v>45748</v>
      </c>
      <c r="E2840">
        <f>MONTH(OrdersTable[[#This Row],[Order Date]])</f>
        <v>4</v>
      </c>
      <c r="F2840" t="s">
        <v>3053</v>
      </c>
      <c r="G2840" t="str">
        <f>IF(OrdersTable[[#This Row],[Order Date]]=_xlfn.MINIFS(Order_Date, Customer_ID, OrdersTable[[#This Row],[Customer ID]]), "New", "Repeat")</f>
        <v>Repeat</v>
      </c>
      <c r="H2840" t="s">
        <v>37</v>
      </c>
      <c r="I2840" t="str">
        <f>INDEX(State!B:B,MATCH(OrdersTable[[#This Row],[State]],State!A:A,0))</f>
        <v>GJ</v>
      </c>
      <c r="J2840" t="str">
        <f>INDEX(State!C:C,MATCH(OrdersTable[[#This Row],[State Code]],State!B:B,0))</f>
        <v>West</v>
      </c>
      <c r="K2840" t="s">
        <v>247</v>
      </c>
      <c r="L2840" t="s">
        <v>65</v>
      </c>
      <c r="M2840" t="s">
        <v>61</v>
      </c>
      <c r="N2840" t="str">
        <f>INDEX(Products!B:B,MATCH(OrdersTable[[#This Row],[Product ID]],Products!A:A,0))</f>
        <v>Multivitamin Gummies</v>
      </c>
      <c r="O2840" t="str">
        <f>INDEX(Products!C:C,MATCH(OrdersTable[[#This Row],[Product ID]],Products!A:A,0))</f>
        <v>Wellness</v>
      </c>
      <c r="P2840">
        <v>1</v>
      </c>
      <c r="Q2840" s="5">
        <v>699</v>
      </c>
      <c r="R2840" s="74">
        <v>0.15</v>
      </c>
      <c r="S2840" s="75">
        <f>OrdersTable[[#This Row],[Quantity]]*OrdersTable[[#This Row],[Unit Price]]</f>
        <v>699</v>
      </c>
      <c r="T2840" s="5">
        <f>OrdersTable[[#This Row],[Gross Sale]]*OrdersTable[[#This Row],[Discount_Clean2]]</f>
        <v>104.85</v>
      </c>
      <c r="U2840" s="5">
        <f>OrdersTable[[#This Row],[Gross Sale]]-OrdersTable[[#This Row],[Discount Amount]]</f>
        <v>594.15</v>
      </c>
      <c r="V2840" s="77">
        <f>INDEX(Products!E:E,MATCH(OrdersTable[[#This Row],[Product ID]],Products!A:A,0))</f>
        <v>238</v>
      </c>
      <c r="W2840" s="77">
        <f>OrdersTable[[#This Row],[Quantity]]*OrdersTable[[#This Row],[Unit Cost]]</f>
        <v>238</v>
      </c>
      <c r="X2840" s="77">
        <f>'Dropdown Lists'!$I$2*(1+OrdersTable[[#This Row],[Returned]])</f>
        <v>60</v>
      </c>
      <c r="Y2840" s="76">
        <f>OrdersTable[[#This Row],[Net Revenue]]-OrdersTable[[#This Row],[COGS]]-OrdersTable[[#This Row],[Shipping Cost]]</f>
        <v>296.14999999999998</v>
      </c>
      <c r="Z2840" s="78">
        <f>IFERROR(OrdersTable[[#This Row],[Profit]]/OrdersTable[[#This Row],[Net Revenue]],0)</f>
        <v>0.49844315408566858</v>
      </c>
      <c r="AA2840" t="s">
        <v>2522</v>
      </c>
      <c r="AB2840" s="79">
        <v>45764</v>
      </c>
      <c r="AC2840">
        <f>OrdersTable[[#This Row],[Delivery Date]]-OrdersTable[[#This Row],[Order Date]]</f>
        <v>2</v>
      </c>
      <c r="AD2840" t="str">
        <f>IF(OrdersTable[[#This Row],[Delivery Days]]&lt;=2, "Express (≤2d)", IF(OrdersTable[[#This Row],[Delivery Days]]&lt;=4, "Standard (3-4d)", "Delayed (5d+)"))</f>
        <v>Express (≤2d)</v>
      </c>
      <c r="AF2840">
        <v>0</v>
      </c>
    </row>
    <row r="2841" spans="1:32" ht="15" x14ac:dyDescent="0.35">
      <c r="A2841" t="s">
        <v>2386</v>
      </c>
      <c r="B2841" s="1">
        <v>45762</v>
      </c>
      <c r="C2841">
        <f>YEAR(OrdersTable[[#This Row],[Order Date]])</f>
        <v>2025</v>
      </c>
      <c r="D2841" s="2">
        <f>DATE(YEAR(OrdersTable[[#This Row],[Order Date]]),MONTH(OrdersTable[[#This Row],[Order Date]]),1)</f>
        <v>45748</v>
      </c>
      <c r="E2841">
        <f>MONTH(OrdersTable[[#This Row],[Order Date]])</f>
        <v>4</v>
      </c>
      <c r="F2841" t="s">
        <v>2387</v>
      </c>
      <c r="G2841" t="str">
        <f>IF(OrdersTable[[#This Row],[Order Date]]=_xlfn.MINIFS(Order_Date, Customer_ID, OrdersTable[[#This Row],[Customer ID]]), "New", "Repeat")</f>
        <v>New</v>
      </c>
      <c r="H2841" t="s">
        <v>43</v>
      </c>
      <c r="I2841" t="str">
        <f>INDEX(State!B:B,MATCH(OrdersTable[[#This Row],[State]],State!A:A,0))</f>
        <v>MP</v>
      </c>
      <c r="J2841" t="str">
        <f>INDEX(State!C:C,MATCH(OrdersTable[[#This Row],[State Code]],State!B:B,0))</f>
        <v>West</v>
      </c>
      <c r="K2841" t="s">
        <v>44</v>
      </c>
      <c r="L2841" t="s">
        <v>16</v>
      </c>
      <c r="M2841" t="s">
        <v>87</v>
      </c>
      <c r="N2841" t="str">
        <f>INDEX(Products!B:B,MATCH(OrdersTable[[#This Row],[Product ID]],Products!A:A,0))</f>
        <v>Linen Kurta</v>
      </c>
      <c r="O2841" t="str">
        <f>INDEX(Products!C:C,MATCH(OrdersTable[[#This Row],[Product ID]],Products!A:A,0))</f>
        <v>Apparel</v>
      </c>
      <c r="P2841">
        <v>1</v>
      </c>
      <c r="Q2841" s="5">
        <v>1499</v>
      </c>
      <c r="R2841" s="74">
        <v>0.25</v>
      </c>
      <c r="S2841" s="75">
        <f>OrdersTable[[#This Row],[Quantity]]*OrdersTable[[#This Row],[Unit Price]]</f>
        <v>1499</v>
      </c>
      <c r="T2841" s="5">
        <f>OrdersTable[[#This Row],[Gross Sale]]*OrdersTable[[#This Row],[Discount_Clean2]]</f>
        <v>374.75</v>
      </c>
      <c r="U2841" s="5">
        <f>OrdersTable[[#This Row],[Gross Sale]]-OrdersTable[[#This Row],[Discount Amount]]</f>
        <v>1124.25</v>
      </c>
      <c r="V2841" s="77">
        <f>INDEX(Products!E:E,MATCH(OrdersTable[[#This Row],[Product ID]],Products!A:A,0))</f>
        <v>630</v>
      </c>
      <c r="W2841" s="77">
        <f>OrdersTable[[#This Row],[Quantity]]*OrdersTable[[#This Row],[Unit Cost]]</f>
        <v>630</v>
      </c>
      <c r="X2841" s="77">
        <f>'Dropdown Lists'!$I$2*(1+OrdersTable[[#This Row],[Returned]])</f>
        <v>60</v>
      </c>
      <c r="Y2841" s="76">
        <f>OrdersTable[[#This Row],[Net Revenue]]-OrdersTable[[#This Row],[COGS]]-OrdersTable[[#This Row],[Shipping Cost]]</f>
        <v>434.25</v>
      </c>
      <c r="Z2841" s="78">
        <f>IFERROR(OrdersTable[[#This Row],[Profit]]/OrdersTable[[#This Row],[Net Revenue]],0)</f>
        <v>0.38625750500333556</v>
      </c>
      <c r="AA2841" t="s">
        <v>18</v>
      </c>
      <c r="AB2841" s="79">
        <v>45764</v>
      </c>
      <c r="AC2841">
        <f>OrdersTable[[#This Row],[Delivery Date]]-OrdersTable[[#This Row],[Order Date]]</f>
        <v>2</v>
      </c>
      <c r="AD2841" t="str">
        <f>IF(OrdersTable[[#This Row],[Delivery Days]]&lt;=2, "Express (≤2d)", IF(OrdersTable[[#This Row],[Delivery Days]]&lt;=4, "Standard (3-4d)", "Delayed (5d+)"))</f>
        <v>Express (≤2d)</v>
      </c>
      <c r="AE2841">
        <v>5</v>
      </c>
      <c r="AF2841">
        <v>0</v>
      </c>
    </row>
    <row r="2842" spans="1:32" ht="15" x14ac:dyDescent="0.35">
      <c r="A2842" t="s">
        <v>6897</v>
      </c>
      <c r="B2842" s="1">
        <v>45762</v>
      </c>
      <c r="C2842">
        <f>YEAR(OrdersTable[[#This Row],[Order Date]])</f>
        <v>2025</v>
      </c>
      <c r="D2842" s="2">
        <f>DATE(YEAR(OrdersTable[[#This Row],[Order Date]]),MONTH(OrdersTable[[#This Row],[Order Date]]),1)</f>
        <v>45748</v>
      </c>
      <c r="E2842">
        <f>MONTH(OrdersTable[[#This Row],[Order Date]])</f>
        <v>4</v>
      </c>
      <c r="F2842" t="s">
        <v>3948</v>
      </c>
      <c r="G2842" t="str">
        <f>IF(OrdersTable[[#This Row],[Order Date]]=_xlfn.MINIFS(Order_Date, Customer_ID, OrdersTable[[#This Row],[Customer ID]]), "New", "Repeat")</f>
        <v>Repeat</v>
      </c>
      <c r="H2842" t="s">
        <v>43</v>
      </c>
      <c r="I2842" t="str">
        <f>INDEX(State!B:B,MATCH(OrdersTable[[#This Row],[State]],State!A:A,0))</f>
        <v>MP</v>
      </c>
      <c r="J2842" t="str">
        <f>INDEX(State!C:C,MATCH(OrdersTable[[#This Row],[State Code]],State!B:B,0))</f>
        <v>West</v>
      </c>
      <c r="K2842" t="s">
        <v>250</v>
      </c>
      <c r="L2842" t="s">
        <v>16</v>
      </c>
      <c r="M2842" t="s">
        <v>205</v>
      </c>
      <c r="N2842" t="str">
        <f>INDEX(Products!B:B,MATCH(OrdersTable[[#This Row],[Product ID]],Products!A:A,0))</f>
        <v>Running Shoes</v>
      </c>
      <c r="O2842" t="str">
        <f>INDEX(Products!C:C,MATCH(OrdersTable[[#This Row],[Product ID]],Products!A:A,0))</f>
        <v>Footwear</v>
      </c>
      <c r="P2842">
        <v>3</v>
      </c>
      <c r="Q2842" s="5">
        <v>2999</v>
      </c>
      <c r="R2842" s="74">
        <v>0.2</v>
      </c>
      <c r="S2842" s="75">
        <f>OrdersTable[[#This Row],[Quantity]]*OrdersTable[[#This Row],[Unit Price]]</f>
        <v>8997</v>
      </c>
      <c r="T2842" s="5">
        <f>OrdersTable[[#This Row],[Gross Sale]]*OrdersTable[[#This Row],[Discount_Clean2]]</f>
        <v>1799.4</v>
      </c>
      <c r="U2842" s="5">
        <f>OrdersTable[[#This Row],[Gross Sale]]-OrdersTable[[#This Row],[Discount Amount]]</f>
        <v>7197.6</v>
      </c>
      <c r="V2842" s="77">
        <f>INDEX(Products!E:E,MATCH(OrdersTable[[#This Row],[Product ID]],Products!A:A,0))</f>
        <v>1440</v>
      </c>
      <c r="W2842" s="77">
        <f>OrdersTable[[#This Row],[Quantity]]*OrdersTable[[#This Row],[Unit Cost]]</f>
        <v>4320</v>
      </c>
      <c r="X2842" s="77">
        <f>'Dropdown Lists'!$I$2*(1+OrdersTable[[#This Row],[Returned]])</f>
        <v>60</v>
      </c>
      <c r="Y2842" s="76">
        <f>OrdersTable[[#This Row],[Net Revenue]]-OrdersTable[[#This Row],[COGS]]-OrdersTable[[#This Row],[Shipping Cost]]</f>
        <v>2817.6000000000004</v>
      </c>
      <c r="Z2842" s="78">
        <f>IFERROR(OrdersTable[[#This Row],[Profit]]/OrdersTable[[#This Row],[Net Revenue]],0)</f>
        <v>0.39146382127375795</v>
      </c>
      <c r="AA2842" t="s">
        <v>4074</v>
      </c>
      <c r="AB2842" s="79">
        <v>45765</v>
      </c>
      <c r="AC2842">
        <f>OrdersTable[[#This Row],[Delivery Date]]-OrdersTable[[#This Row],[Order Date]]</f>
        <v>3</v>
      </c>
      <c r="AD2842" t="str">
        <f>IF(OrdersTable[[#This Row],[Delivery Days]]&lt;=2, "Express (≤2d)", IF(OrdersTable[[#This Row],[Delivery Days]]&lt;=4, "Standard (3-4d)", "Delayed (5d+)"))</f>
        <v>Standard (3-4d)</v>
      </c>
      <c r="AF2842">
        <v>0</v>
      </c>
    </row>
    <row r="2843" spans="1:32" ht="15" x14ac:dyDescent="0.35">
      <c r="A2843" t="s">
        <v>7003</v>
      </c>
      <c r="B2843" s="1">
        <v>45762</v>
      </c>
      <c r="C2843">
        <f>YEAR(OrdersTable[[#This Row],[Order Date]])</f>
        <v>2025</v>
      </c>
      <c r="D2843" s="2">
        <f>DATE(YEAR(OrdersTable[[#This Row],[Order Date]]),MONTH(OrdersTable[[#This Row],[Order Date]]),1)</f>
        <v>45748</v>
      </c>
      <c r="E2843">
        <f>MONTH(OrdersTable[[#This Row],[Order Date]])</f>
        <v>4</v>
      </c>
      <c r="F2843" t="s">
        <v>1580</v>
      </c>
      <c r="G2843" t="str">
        <f>IF(OrdersTable[[#This Row],[Order Date]]=_xlfn.MINIFS(Order_Date, Customer_ID, OrdersTable[[#This Row],[Customer ID]]), "New", "Repeat")</f>
        <v>Repeat</v>
      </c>
      <c r="H2843" t="s">
        <v>95</v>
      </c>
      <c r="I2843" t="str">
        <f>INDEX(State!B:B,MATCH(OrdersTable[[#This Row],[State]],State!A:A,0))</f>
        <v>TG</v>
      </c>
      <c r="J2843" t="str">
        <f>INDEX(State!C:C,MATCH(OrdersTable[[#This Row],[State Code]],State!B:B,0))</f>
        <v>South</v>
      </c>
      <c r="K2843" t="s">
        <v>96</v>
      </c>
      <c r="L2843" t="s">
        <v>65</v>
      </c>
      <c r="M2843" t="s">
        <v>24</v>
      </c>
      <c r="N2843" t="str">
        <f>INDEX(Products!B:B,MATCH(OrdersTable[[#This Row],[Product ID]],Products!A:A,0))</f>
        <v>Scented Candle Set</v>
      </c>
      <c r="O2843" t="str">
        <f>INDEX(Products!C:C,MATCH(OrdersTable[[#This Row],[Product ID]],Products!A:A,0))</f>
        <v>Home &amp; Kitchen</v>
      </c>
      <c r="P2843">
        <v>4</v>
      </c>
      <c r="Q2843" s="5">
        <v>699</v>
      </c>
      <c r="R2843" s="74">
        <v>0.3</v>
      </c>
      <c r="S2843" s="75">
        <f>OrdersTable[[#This Row],[Quantity]]*OrdersTable[[#This Row],[Unit Price]]</f>
        <v>2796</v>
      </c>
      <c r="T2843" s="5">
        <f>OrdersTable[[#This Row],[Gross Sale]]*OrdersTable[[#This Row],[Discount_Clean2]]</f>
        <v>838.8</v>
      </c>
      <c r="U2843" s="5">
        <f>OrdersTable[[#This Row],[Gross Sale]]-OrdersTable[[#This Row],[Discount Amount]]</f>
        <v>1957.2</v>
      </c>
      <c r="V2843" s="77">
        <f>INDEX(Products!E:E,MATCH(OrdersTable[[#This Row],[Product ID]],Products!A:A,0))</f>
        <v>245</v>
      </c>
      <c r="W2843" s="77">
        <f>OrdersTable[[#This Row],[Quantity]]*OrdersTable[[#This Row],[Unit Cost]]</f>
        <v>980</v>
      </c>
      <c r="X2843" s="77">
        <f>'Dropdown Lists'!$I$2*(1+OrdersTable[[#This Row],[Returned]])</f>
        <v>60</v>
      </c>
      <c r="Y2843" s="76">
        <f>OrdersTable[[#This Row],[Net Revenue]]-OrdersTable[[#This Row],[COGS]]-OrdersTable[[#This Row],[Shipping Cost]]</f>
        <v>917.2</v>
      </c>
      <c r="Z2843" s="78">
        <f>IFERROR(OrdersTable[[#This Row],[Profit]]/OrdersTable[[#This Row],[Net Revenue]],0)</f>
        <v>0.46862865317800939</v>
      </c>
      <c r="AA2843" t="s">
        <v>2522</v>
      </c>
      <c r="AB2843" s="79">
        <v>45764</v>
      </c>
      <c r="AC2843">
        <f>OrdersTable[[#This Row],[Delivery Date]]-OrdersTable[[#This Row],[Order Date]]</f>
        <v>2</v>
      </c>
      <c r="AD2843" t="str">
        <f>IF(OrdersTable[[#This Row],[Delivery Days]]&lt;=2, "Express (≤2d)", IF(OrdersTable[[#This Row],[Delivery Days]]&lt;=4, "Standard (3-4d)", "Delayed (5d+)"))</f>
        <v>Express (≤2d)</v>
      </c>
      <c r="AF2843">
        <v>0</v>
      </c>
    </row>
    <row r="2844" spans="1:32" ht="15" x14ac:dyDescent="0.35">
      <c r="A2844" t="s">
        <v>5518</v>
      </c>
      <c r="B2844" s="1">
        <v>45762</v>
      </c>
      <c r="C2844">
        <f>YEAR(OrdersTable[[#This Row],[Order Date]])</f>
        <v>2025</v>
      </c>
      <c r="D2844" s="2">
        <f>DATE(YEAR(OrdersTable[[#This Row],[Order Date]]),MONTH(OrdersTable[[#This Row],[Order Date]]),1)</f>
        <v>45748</v>
      </c>
      <c r="E2844">
        <f>MONTH(OrdersTable[[#This Row],[Order Date]])</f>
        <v>4</v>
      </c>
      <c r="F2844" t="s">
        <v>1077</v>
      </c>
      <c r="G2844" t="str">
        <f>IF(OrdersTable[[#This Row],[Order Date]]=_xlfn.MINIFS(Order_Date, Customer_ID, OrdersTable[[#This Row],[Customer ID]]), "New", "Repeat")</f>
        <v>Repeat</v>
      </c>
      <c r="H2844" t="s">
        <v>59</v>
      </c>
      <c r="I2844" t="str">
        <f>INDEX(State!B:B,MATCH(OrdersTable[[#This Row],[State]],State!A:A,0))</f>
        <v>TN</v>
      </c>
      <c r="J2844" t="str">
        <f>INDEX(State!C:C,MATCH(OrdersTable[[#This Row],[State Code]],State!B:B,0))</f>
        <v>South</v>
      </c>
      <c r="K2844" t="s">
        <v>60</v>
      </c>
      <c r="L2844" t="s">
        <v>16</v>
      </c>
      <c r="M2844" t="s">
        <v>176</v>
      </c>
      <c r="N2844" t="str">
        <f>INDEX(Products!B:B,MATCH(OrdersTable[[#This Row],[Product ID]],Products!A:A,0))</f>
        <v>Denim Jacket</v>
      </c>
      <c r="O2844" t="str">
        <f>INDEX(Products!C:C,MATCH(OrdersTable[[#This Row],[Product ID]],Products!A:A,0))</f>
        <v>Apparel</v>
      </c>
      <c r="P2844">
        <v>2</v>
      </c>
      <c r="Q2844" s="5">
        <v>2499</v>
      </c>
      <c r="R2844" s="74">
        <v>0.05</v>
      </c>
      <c r="S2844" s="75">
        <f>OrdersTable[[#This Row],[Quantity]]*OrdersTable[[#This Row],[Unit Price]]</f>
        <v>4998</v>
      </c>
      <c r="T2844" s="5">
        <f>OrdersTable[[#This Row],[Gross Sale]]*OrdersTable[[#This Row],[Discount_Clean2]]</f>
        <v>249.9</v>
      </c>
      <c r="U2844" s="5">
        <f>OrdersTable[[#This Row],[Gross Sale]]-OrdersTable[[#This Row],[Discount Amount]]</f>
        <v>4748.1000000000004</v>
      </c>
      <c r="V2844" s="77">
        <f>INDEX(Products!E:E,MATCH(OrdersTable[[#This Row],[Product ID]],Products!A:A,0))</f>
        <v>1125</v>
      </c>
      <c r="W2844" s="77">
        <f>OrdersTable[[#This Row],[Quantity]]*OrdersTable[[#This Row],[Unit Cost]]</f>
        <v>2250</v>
      </c>
      <c r="X2844" s="77">
        <f>'Dropdown Lists'!$I$2*(1+OrdersTable[[#This Row],[Returned]])</f>
        <v>60</v>
      </c>
      <c r="Y2844" s="76">
        <f>OrdersTable[[#This Row],[Net Revenue]]-OrdersTable[[#This Row],[COGS]]-OrdersTable[[#This Row],[Shipping Cost]]</f>
        <v>2438.1000000000004</v>
      </c>
      <c r="Z2844" s="78">
        <f>IFERROR(OrdersTable[[#This Row],[Profit]]/OrdersTable[[#This Row],[Net Revenue]],0)</f>
        <v>0.51348960636886343</v>
      </c>
      <c r="AA2844" t="s">
        <v>2522</v>
      </c>
      <c r="AB2844" s="79">
        <v>45766</v>
      </c>
      <c r="AC2844">
        <f>OrdersTable[[#This Row],[Delivery Date]]-OrdersTable[[#This Row],[Order Date]]</f>
        <v>4</v>
      </c>
      <c r="AD2844" t="str">
        <f>IF(OrdersTable[[#This Row],[Delivery Days]]&lt;=2, "Express (≤2d)", IF(OrdersTable[[#This Row],[Delivery Days]]&lt;=4, "Standard (3-4d)", "Delayed (5d+)"))</f>
        <v>Standard (3-4d)</v>
      </c>
      <c r="AE2844">
        <v>4</v>
      </c>
      <c r="AF2844">
        <v>0</v>
      </c>
    </row>
    <row r="2845" spans="1:32" ht="15" x14ac:dyDescent="0.35">
      <c r="A2845" t="s">
        <v>6161</v>
      </c>
      <c r="B2845" s="1">
        <v>45763</v>
      </c>
      <c r="C2845">
        <f>YEAR(OrdersTable[[#This Row],[Order Date]])</f>
        <v>2025</v>
      </c>
      <c r="D2845" s="2">
        <f>DATE(YEAR(OrdersTable[[#This Row],[Order Date]]),MONTH(OrdersTable[[#This Row],[Order Date]]),1)</f>
        <v>45748</v>
      </c>
      <c r="E2845">
        <f>MONTH(OrdersTable[[#This Row],[Order Date]])</f>
        <v>4</v>
      </c>
      <c r="F2845" t="s">
        <v>1081</v>
      </c>
      <c r="G2845" t="str">
        <f>IF(OrdersTable[[#This Row],[Order Date]]=_xlfn.MINIFS(Order_Date, Customer_ID, OrdersTable[[#This Row],[Customer ID]]), "New", "Repeat")</f>
        <v>Repeat</v>
      </c>
      <c r="H2845" t="s">
        <v>21</v>
      </c>
      <c r="I2845" t="str">
        <f>INDEX(State!B:B,MATCH(OrdersTable[[#This Row],[State]],State!A:A,0))</f>
        <v>PB</v>
      </c>
      <c r="J2845" t="str">
        <f>INDEX(State!C:C,MATCH(OrdersTable[[#This Row],[State Code]],State!B:B,0))</f>
        <v>North</v>
      </c>
      <c r="K2845" t="s">
        <v>260</v>
      </c>
      <c r="L2845" t="s">
        <v>23</v>
      </c>
      <c r="M2845" t="s">
        <v>56</v>
      </c>
      <c r="N2845" t="str">
        <f>INDEX(Products!B:B,MATCH(OrdersTable[[#This Row],[Product ID]],Products!A:A,0))</f>
        <v>Vitamin C Face Serum</v>
      </c>
      <c r="O2845" t="str">
        <f>INDEX(Products!C:C,MATCH(OrdersTable[[#This Row],[Product ID]],Products!A:A,0))</f>
        <v>Skincare</v>
      </c>
      <c r="P2845">
        <v>2</v>
      </c>
      <c r="Q2845" s="5">
        <v>599</v>
      </c>
      <c r="R2845" s="74">
        <v>0.1</v>
      </c>
      <c r="S2845" s="75">
        <f>OrdersTable[[#This Row],[Quantity]]*OrdersTable[[#This Row],[Unit Price]]</f>
        <v>1198</v>
      </c>
      <c r="T2845" s="5">
        <f>OrdersTable[[#This Row],[Gross Sale]]*OrdersTable[[#This Row],[Discount_Clean2]]</f>
        <v>119.80000000000001</v>
      </c>
      <c r="U2845" s="5">
        <f>OrdersTable[[#This Row],[Gross Sale]]-OrdersTable[[#This Row],[Discount Amount]]</f>
        <v>1078.2</v>
      </c>
      <c r="V2845" s="77">
        <f>INDEX(Products!E:E,MATCH(OrdersTable[[#This Row],[Product ID]],Products!A:A,0))</f>
        <v>180</v>
      </c>
      <c r="W2845" s="77">
        <f>OrdersTable[[#This Row],[Quantity]]*OrdersTable[[#This Row],[Unit Cost]]</f>
        <v>360</v>
      </c>
      <c r="X2845" s="77">
        <f>'Dropdown Lists'!$I$2*(1+OrdersTable[[#This Row],[Returned]])</f>
        <v>60</v>
      </c>
      <c r="Y2845" s="76">
        <f>OrdersTable[[#This Row],[Net Revenue]]-OrdersTable[[#This Row],[COGS]]-OrdersTable[[#This Row],[Shipping Cost]]</f>
        <v>658.2</v>
      </c>
      <c r="Z2845" s="78">
        <f>IFERROR(OrdersTable[[#This Row],[Profit]]/OrdersTable[[#This Row],[Net Revenue]],0)</f>
        <v>0.6104618809126322</v>
      </c>
      <c r="AA2845" t="s">
        <v>18</v>
      </c>
      <c r="AB2845" s="79">
        <v>45765</v>
      </c>
      <c r="AC2845">
        <f>OrdersTable[[#This Row],[Delivery Date]]-OrdersTable[[#This Row],[Order Date]]</f>
        <v>2</v>
      </c>
      <c r="AD2845" t="str">
        <f>IF(OrdersTable[[#This Row],[Delivery Days]]&lt;=2, "Express (≤2d)", IF(OrdersTable[[#This Row],[Delivery Days]]&lt;=4, "Standard (3-4d)", "Delayed (5d+)"))</f>
        <v>Express (≤2d)</v>
      </c>
      <c r="AE2845">
        <v>4</v>
      </c>
      <c r="AF2845">
        <v>0</v>
      </c>
    </row>
    <row r="2846" spans="1:32" ht="15" x14ac:dyDescent="0.35">
      <c r="A2846" t="s">
        <v>4838</v>
      </c>
      <c r="B2846" s="1">
        <v>45763</v>
      </c>
      <c r="C2846">
        <f>YEAR(OrdersTable[[#This Row],[Order Date]])</f>
        <v>2025</v>
      </c>
      <c r="D2846" s="2">
        <f>DATE(YEAR(OrdersTable[[#This Row],[Order Date]]),MONTH(OrdersTable[[#This Row],[Order Date]]),1)</f>
        <v>45748</v>
      </c>
      <c r="E2846">
        <f>MONTH(OrdersTable[[#This Row],[Order Date]])</f>
        <v>4</v>
      </c>
      <c r="F2846" t="s">
        <v>4132</v>
      </c>
      <c r="G2846" t="str">
        <f>IF(OrdersTable[[#This Row],[Order Date]]=_xlfn.MINIFS(Order_Date, Customer_ID, OrdersTable[[#This Row],[Customer ID]]), "New", "Repeat")</f>
        <v>Repeat</v>
      </c>
      <c r="H2846" t="s">
        <v>184</v>
      </c>
      <c r="I2846" t="str">
        <f>INDEX(State!B:B,MATCH(OrdersTable[[#This Row],[State]],State!A:A,0))</f>
        <v>UK</v>
      </c>
      <c r="J2846" t="str">
        <f>INDEX(State!C:C,MATCH(OrdersTable[[#This Row],[State Code]],State!B:B,0))</f>
        <v>North</v>
      </c>
      <c r="K2846" t="s">
        <v>185</v>
      </c>
      <c r="L2846" t="s">
        <v>50</v>
      </c>
      <c r="M2846" t="s">
        <v>51</v>
      </c>
      <c r="N2846" t="str">
        <f>INDEX(Products!B:B,MATCH(OrdersTable[[#This Row],[Product ID]],Products!A:A,0))</f>
        <v>Anti-Dandruff Conditioner</v>
      </c>
      <c r="O2846" t="str">
        <f>INDEX(Products!C:C,MATCH(OrdersTable[[#This Row],[Product ID]],Products!A:A,0))</f>
        <v>Haircare</v>
      </c>
      <c r="P2846">
        <v>2</v>
      </c>
      <c r="Q2846" s="5">
        <v>399</v>
      </c>
      <c r="R2846" s="74">
        <v>0.3</v>
      </c>
      <c r="S2846" s="75">
        <f>OrdersTable[[#This Row],[Quantity]]*OrdersTable[[#This Row],[Unit Price]]</f>
        <v>798</v>
      </c>
      <c r="T2846" s="5">
        <f>OrdersTable[[#This Row],[Gross Sale]]*OrdersTable[[#This Row],[Discount_Clean2]]</f>
        <v>239.39999999999998</v>
      </c>
      <c r="U2846" s="5">
        <f>OrdersTable[[#This Row],[Gross Sale]]-OrdersTable[[#This Row],[Discount Amount]]</f>
        <v>558.6</v>
      </c>
      <c r="V2846" s="77">
        <f>INDEX(Products!E:E,MATCH(OrdersTable[[#This Row],[Product ID]],Products!A:A,0))</f>
        <v>136</v>
      </c>
      <c r="W2846" s="77">
        <f>OrdersTable[[#This Row],[Quantity]]*OrdersTable[[#This Row],[Unit Cost]]</f>
        <v>272</v>
      </c>
      <c r="X2846" s="77">
        <f>'Dropdown Lists'!$I$2*(1+OrdersTable[[#This Row],[Returned]])</f>
        <v>60</v>
      </c>
      <c r="Y2846" s="76">
        <f>OrdersTable[[#This Row],[Net Revenue]]-OrdersTable[[#This Row],[COGS]]-OrdersTable[[#This Row],[Shipping Cost]]</f>
        <v>226.60000000000002</v>
      </c>
      <c r="Z2846" s="78">
        <f>IFERROR(OrdersTable[[#This Row],[Profit]]/OrdersTable[[#This Row],[Net Revenue]],0)</f>
        <v>0.40565699964196206</v>
      </c>
      <c r="AA2846" t="s">
        <v>4450</v>
      </c>
      <c r="AB2846" s="79">
        <v>45768</v>
      </c>
      <c r="AC2846">
        <f>OrdersTable[[#This Row],[Delivery Date]]-OrdersTable[[#This Row],[Order Date]]</f>
        <v>5</v>
      </c>
      <c r="AD2846" t="str">
        <f>IF(OrdersTable[[#This Row],[Delivery Days]]&lt;=2, "Express (≤2d)", IF(OrdersTable[[#This Row],[Delivery Days]]&lt;=4, "Standard (3-4d)", "Delayed (5d+)"))</f>
        <v>Delayed (5d+)</v>
      </c>
      <c r="AE2846">
        <v>4</v>
      </c>
      <c r="AF2846">
        <v>0</v>
      </c>
    </row>
    <row r="2847" spans="1:32" ht="15" x14ac:dyDescent="0.35">
      <c r="A2847" t="s">
        <v>6714</v>
      </c>
      <c r="B2847" s="1">
        <v>45763</v>
      </c>
      <c r="C2847">
        <f>YEAR(OrdersTable[[#This Row],[Order Date]])</f>
        <v>2025</v>
      </c>
      <c r="D2847" s="2">
        <f>DATE(YEAR(OrdersTable[[#This Row],[Order Date]]),MONTH(OrdersTable[[#This Row],[Order Date]]),1)</f>
        <v>45748</v>
      </c>
      <c r="E2847">
        <f>MONTH(OrdersTable[[#This Row],[Order Date]])</f>
        <v>4</v>
      </c>
      <c r="F2847" t="s">
        <v>1490</v>
      </c>
      <c r="G2847" t="str">
        <f>IF(OrdersTable[[#This Row],[Order Date]]=_xlfn.MINIFS(Order_Date, Customer_ID, OrdersTable[[#This Row],[Customer ID]]), "New", "Repeat")</f>
        <v>Repeat</v>
      </c>
      <c r="H2847" t="s">
        <v>54</v>
      </c>
      <c r="I2847" t="str">
        <f>INDEX(State!B:B,MATCH(OrdersTable[[#This Row],[State]],State!A:A,0))</f>
        <v>RJ</v>
      </c>
      <c r="J2847" t="str">
        <f>INDEX(State!C:C,MATCH(OrdersTable[[#This Row],[State Code]],State!B:B,0))</f>
        <v>North</v>
      </c>
      <c r="K2847" t="s">
        <v>227</v>
      </c>
      <c r="L2847" t="s">
        <v>50</v>
      </c>
      <c r="M2847" t="s">
        <v>106</v>
      </c>
      <c r="N2847" t="str">
        <f>INDEX(Products!B:B,MATCH(OrdersTable[[#This Row],[Product ID]],Products!A:A,0))</f>
        <v>Keratin Hair Mask</v>
      </c>
      <c r="O2847" t="str">
        <f>INDEX(Products!C:C,MATCH(OrdersTable[[#This Row],[Product ID]],Products!A:A,0))</f>
        <v>Haircare</v>
      </c>
      <c r="P2847">
        <v>3</v>
      </c>
      <c r="Q2847" s="5">
        <v>549</v>
      </c>
      <c r="R2847" s="74">
        <v>0.25</v>
      </c>
      <c r="S2847" s="75">
        <f>OrdersTable[[#This Row],[Quantity]]*OrdersTable[[#This Row],[Unit Price]]</f>
        <v>1647</v>
      </c>
      <c r="T2847" s="5">
        <f>OrdersTable[[#This Row],[Gross Sale]]*OrdersTable[[#This Row],[Discount_Clean2]]</f>
        <v>411.75</v>
      </c>
      <c r="U2847" s="5">
        <f>OrdersTable[[#This Row],[Gross Sale]]-OrdersTable[[#This Row],[Discount Amount]]</f>
        <v>1235.25</v>
      </c>
      <c r="V2847" s="77">
        <f>INDEX(Products!E:E,MATCH(OrdersTable[[#This Row],[Product ID]],Products!A:A,0))</f>
        <v>170</v>
      </c>
      <c r="W2847" s="77">
        <f>OrdersTable[[#This Row],[Quantity]]*OrdersTable[[#This Row],[Unit Cost]]</f>
        <v>510</v>
      </c>
      <c r="X2847" s="77">
        <f>'Dropdown Lists'!$I$2*(1+OrdersTable[[#This Row],[Returned]])</f>
        <v>60</v>
      </c>
      <c r="Y2847" s="76">
        <f>OrdersTable[[#This Row],[Net Revenue]]-OrdersTable[[#This Row],[COGS]]-OrdersTable[[#This Row],[Shipping Cost]]</f>
        <v>665.25</v>
      </c>
      <c r="Z2847" s="78">
        <f>IFERROR(OrdersTable[[#This Row],[Profit]]/OrdersTable[[#This Row],[Net Revenue]],0)</f>
        <v>0.53855494839101392</v>
      </c>
      <c r="AA2847" t="s">
        <v>2522</v>
      </c>
      <c r="AB2847" s="79">
        <v>45767</v>
      </c>
      <c r="AC2847">
        <f>OrdersTable[[#This Row],[Delivery Date]]-OrdersTable[[#This Row],[Order Date]]</f>
        <v>4</v>
      </c>
      <c r="AD2847" t="str">
        <f>IF(OrdersTable[[#This Row],[Delivery Days]]&lt;=2, "Express (≤2d)", IF(OrdersTable[[#This Row],[Delivery Days]]&lt;=4, "Standard (3-4d)", "Delayed (5d+)"))</f>
        <v>Standard (3-4d)</v>
      </c>
      <c r="AE2847">
        <v>3</v>
      </c>
      <c r="AF2847">
        <v>0</v>
      </c>
    </row>
    <row r="2848" spans="1:32" ht="15" x14ac:dyDescent="0.35">
      <c r="A2848" t="s">
        <v>4995</v>
      </c>
      <c r="B2848" s="1">
        <v>45763</v>
      </c>
      <c r="C2848">
        <f>YEAR(OrdersTable[[#This Row],[Order Date]])</f>
        <v>2025</v>
      </c>
      <c r="D2848" s="2">
        <f>DATE(YEAR(OrdersTable[[#This Row],[Order Date]]),MONTH(OrdersTable[[#This Row],[Order Date]]),1)</f>
        <v>45748</v>
      </c>
      <c r="E2848">
        <f>MONTH(OrdersTable[[#This Row],[Order Date]])</f>
        <v>4</v>
      </c>
      <c r="F2848" t="s">
        <v>806</v>
      </c>
      <c r="G2848" t="str">
        <f>IF(OrdersTable[[#This Row],[Order Date]]=_xlfn.MINIFS(Order_Date, Customer_ID, OrdersTable[[#This Row],[Customer ID]]), "New", "Repeat")</f>
        <v>Repeat</v>
      </c>
      <c r="H2848" t="s">
        <v>128</v>
      </c>
      <c r="I2848" t="str">
        <f>INDEX(State!B:B,MATCH(OrdersTable[[#This Row],[State]],State!A:A,0))</f>
        <v>DL</v>
      </c>
      <c r="J2848" t="str">
        <f>INDEX(State!C:C,MATCH(OrdersTable[[#This Row],[State Code]],State!B:B,0))</f>
        <v>North</v>
      </c>
      <c r="K2848" t="s">
        <v>129</v>
      </c>
      <c r="L2848" t="s">
        <v>65</v>
      </c>
      <c r="M2848" t="s">
        <v>45</v>
      </c>
      <c r="N2848" t="str">
        <f>INDEX(Products!B:B,MATCH(OrdersTable[[#This Row],[Product ID]],Products!A:A,0))</f>
        <v>Argan Shampoo</v>
      </c>
      <c r="O2848" t="str">
        <f>INDEX(Products!C:C,MATCH(OrdersTable[[#This Row],[Product ID]],Products!A:A,0))</f>
        <v>Haircare</v>
      </c>
      <c r="P2848">
        <v>2</v>
      </c>
      <c r="Q2848" s="5">
        <v>449</v>
      </c>
      <c r="R2848" s="74">
        <v>0.1</v>
      </c>
      <c r="S2848" s="75">
        <f>OrdersTable[[#This Row],[Quantity]]*OrdersTable[[#This Row],[Unit Price]]</f>
        <v>898</v>
      </c>
      <c r="T2848" s="5">
        <f>OrdersTable[[#This Row],[Gross Sale]]*OrdersTable[[#This Row],[Discount_Clean2]]</f>
        <v>89.800000000000011</v>
      </c>
      <c r="U2848" s="5">
        <f>OrdersTable[[#This Row],[Gross Sale]]-OrdersTable[[#This Row],[Discount Amount]]</f>
        <v>808.2</v>
      </c>
      <c r="V2848" s="77">
        <f>INDEX(Products!E:E,MATCH(OrdersTable[[#This Row],[Product ID]],Products!A:A,0))</f>
        <v>148</v>
      </c>
      <c r="W2848" s="77">
        <f>OrdersTable[[#This Row],[Quantity]]*OrdersTable[[#This Row],[Unit Cost]]</f>
        <v>296</v>
      </c>
      <c r="X2848" s="77">
        <f>'Dropdown Lists'!$I$2*(1+OrdersTable[[#This Row],[Returned]])</f>
        <v>60</v>
      </c>
      <c r="Y2848" s="76">
        <f>OrdersTable[[#This Row],[Net Revenue]]-OrdersTable[[#This Row],[COGS]]-OrdersTable[[#This Row],[Shipping Cost]]</f>
        <v>452.20000000000005</v>
      </c>
      <c r="Z2848" s="78">
        <f>IFERROR(OrdersTable[[#This Row],[Profit]]/OrdersTable[[#This Row],[Net Revenue]],0)</f>
        <v>0.5595149715416976</v>
      </c>
      <c r="AA2848" t="s">
        <v>4074</v>
      </c>
      <c r="AB2848" s="79">
        <v>45764</v>
      </c>
      <c r="AC2848">
        <f>OrdersTable[[#This Row],[Delivery Date]]-OrdersTable[[#This Row],[Order Date]]</f>
        <v>1</v>
      </c>
      <c r="AD2848" t="str">
        <f>IF(OrdersTable[[#This Row],[Delivery Days]]&lt;=2, "Express (≤2d)", IF(OrdersTable[[#This Row],[Delivery Days]]&lt;=4, "Standard (3-4d)", "Delayed (5d+)"))</f>
        <v>Express (≤2d)</v>
      </c>
      <c r="AE2848">
        <v>4</v>
      </c>
      <c r="AF2848">
        <v>0</v>
      </c>
    </row>
    <row r="2849" spans="1:32" ht="15" x14ac:dyDescent="0.35">
      <c r="A2849" t="s">
        <v>1736</v>
      </c>
      <c r="B2849" s="1">
        <v>45763</v>
      </c>
      <c r="C2849">
        <f>YEAR(OrdersTable[[#This Row],[Order Date]])</f>
        <v>2025</v>
      </c>
      <c r="D2849" s="2">
        <f>DATE(YEAR(OrdersTable[[#This Row],[Order Date]]),MONTH(OrdersTable[[#This Row],[Order Date]]),1)</f>
        <v>45748</v>
      </c>
      <c r="E2849">
        <f>MONTH(OrdersTable[[#This Row],[Order Date]])</f>
        <v>4</v>
      </c>
      <c r="F2849" t="s">
        <v>1737</v>
      </c>
      <c r="G2849" t="str">
        <f>IF(OrdersTable[[#This Row],[Order Date]]=_xlfn.MINIFS(Order_Date, Customer_ID, OrdersTable[[#This Row],[Customer ID]]), "New", "Repeat")</f>
        <v>New</v>
      </c>
      <c r="H2849" t="s">
        <v>128</v>
      </c>
      <c r="I2849" t="str">
        <f>INDEX(State!B:B,MATCH(OrdersTable[[#This Row],[State]],State!A:A,0))</f>
        <v>DL</v>
      </c>
      <c r="J2849" t="str">
        <f>INDEX(State!C:C,MATCH(OrdersTable[[#This Row],[State Code]],State!B:B,0))</f>
        <v>North</v>
      </c>
      <c r="K2849" t="s">
        <v>129</v>
      </c>
      <c r="L2849" t="s">
        <v>65</v>
      </c>
      <c r="M2849" t="s">
        <v>40</v>
      </c>
      <c r="N2849" t="str">
        <f>INDEX(Products!B:B,MATCH(OrdersTable[[#This Row],[Product ID]],Products!A:A,0))</f>
        <v>Ashwagandha Capsules</v>
      </c>
      <c r="O2849" t="str">
        <f>INDEX(Products!C:C,MATCH(OrdersTable[[#This Row],[Product ID]],Products!A:A,0))</f>
        <v>Wellness</v>
      </c>
      <c r="P2849">
        <v>1</v>
      </c>
      <c r="Q2849" s="5">
        <v>499</v>
      </c>
      <c r="R2849" s="74">
        <v>0</v>
      </c>
      <c r="S2849" s="75">
        <f>OrdersTable[[#This Row],[Quantity]]*OrdersTable[[#This Row],[Unit Price]]</f>
        <v>499</v>
      </c>
      <c r="T2849" s="5">
        <f>OrdersTable[[#This Row],[Gross Sale]]*OrdersTable[[#This Row],[Discount_Clean2]]</f>
        <v>0</v>
      </c>
      <c r="U2849" s="5">
        <f>OrdersTable[[#This Row],[Gross Sale]]-OrdersTable[[#This Row],[Discount Amount]]</f>
        <v>499</v>
      </c>
      <c r="V2849" s="77">
        <f>INDEX(Products!E:E,MATCH(OrdersTable[[#This Row],[Product ID]],Products!A:A,0))</f>
        <v>150</v>
      </c>
      <c r="W2849" s="77">
        <f>OrdersTable[[#This Row],[Quantity]]*OrdersTable[[#This Row],[Unit Cost]]</f>
        <v>150</v>
      </c>
      <c r="X2849" s="77">
        <f>'Dropdown Lists'!$I$2*(1+OrdersTable[[#This Row],[Returned]])</f>
        <v>60</v>
      </c>
      <c r="Y2849" s="76">
        <f>OrdersTable[[#This Row],[Net Revenue]]-OrdersTable[[#This Row],[COGS]]-OrdersTable[[#This Row],[Shipping Cost]]</f>
        <v>289</v>
      </c>
      <c r="Z2849" s="78">
        <f>IFERROR(OrdersTable[[#This Row],[Profit]]/OrdersTable[[#This Row],[Net Revenue]],0)</f>
        <v>0.57915831663326656</v>
      </c>
      <c r="AA2849" t="s">
        <v>18</v>
      </c>
      <c r="AB2849" s="79">
        <v>45764</v>
      </c>
      <c r="AC2849">
        <f>OrdersTable[[#This Row],[Delivery Date]]-OrdersTable[[#This Row],[Order Date]]</f>
        <v>1</v>
      </c>
      <c r="AD2849" t="str">
        <f>IF(OrdersTable[[#This Row],[Delivery Days]]&lt;=2, "Express (≤2d)", IF(OrdersTable[[#This Row],[Delivery Days]]&lt;=4, "Standard (3-4d)", "Delayed (5d+)"))</f>
        <v>Express (≤2d)</v>
      </c>
      <c r="AF2849">
        <v>0</v>
      </c>
    </row>
    <row r="2850" spans="1:32" ht="15" x14ac:dyDescent="0.35">
      <c r="A2850" t="s">
        <v>1274</v>
      </c>
      <c r="B2850" s="1">
        <v>45763</v>
      </c>
      <c r="C2850">
        <f>YEAR(OrdersTable[[#This Row],[Order Date]])</f>
        <v>2025</v>
      </c>
      <c r="D2850" s="2">
        <f>DATE(YEAR(OrdersTable[[#This Row],[Order Date]]),MONTH(OrdersTable[[#This Row],[Order Date]]),1)</f>
        <v>45748</v>
      </c>
      <c r="E2850">
        <f>MONTH(OrdersTable[[#This Row],[Order Date]])</f>
        <v>4</v>
      </c>
      <c r="F2850" t="s">
        <v>1275</v>
      </c>
      <c r="G2850" t="str">
        <f>IF(OrdersTable[[#This Row],[Order Date]]=_xlfn.MINIFS(Order_Date, Customer_ID, OrdersTable[[#This Row],[Customer ID]]), "New", "Repeat")</f>
        <v>Repeat</v>
      </c>
      <c r="H2850" t="s">
        <v>37</v>
      </c>
      <c r="I2850" t="str">
        <f>INDEX(State!B:B,MATCH(OrdersTable[[#This Row],[State]],State!A:A,0))</f>
        <v>GJ</v>
      </c>
      <c r="J2850" t="str">
        <f>INDEX(State!C:C,MATCH(OrdersTable[[#This Row],[State Code]],State!B:B,0))</f>
        <v>West</v>
      </c>
      <c r="K2850" t="s">
        <v>38</v>
      </c>
      <c r="L2850" t="s">
        <v>16</v>
      </c>
      <c r="M2850" t="s">
        <v>34</v>
      </c>
      <c r="N2850" t="str">
        <f>INDEX(Products!B:B,MATCH(OrdersTable[[#This Row],[Product ID]],Products!A:A,0))</f>
        <v>Flip Flops</v>
      </c>
      <c r="O2850" t="str">
        <f>INDEX(Products!C:C,MATCH(OrdersTable[[#This Row],[Product ID]],Products!A:A,0))</f>
        <v>Footwear</v>
      </c>
      <c r="P2850">
        <v>1</v>
      </c>
      <c r="Q2850" s="5">
        <v>399</v>
      </c>
      <c r="R2850" s="74">
        <v>0.15</v>
      </c>
      <c r="S2850" s="75">
        <f>OrdersTable[[#This Row],[Quantity]]*OrdersTable[[#This Row],[Unit Price]]</f>
        <v>399</v>
      </c>
      <c r="T2850" s="5">
        <f>OrdersTable[[#This Row],[Gross Sale]]*OrdersTable[[#This Row],[Discount_Clean2]]</f>
        <v>59.849999999999994</v>
      </c>
      <c r="U2850" s="5">
        <f>OrdersTable[[#This Row],[Gross Sale]]-OrdersTable[[#This Row],[Discount Amount]]</f>
        <v>339.15</v>
      </c>
      <c r="V2850" s="77">
        <f>INDEX(Products!E:E,MATCH(OrdersTable[[#This Row],[Product ID]],Products!A:A,0))</f>
        <v>152</v>
      </c>
      <c r="W2850" s="77">
        <f>OrdersTable[[#This Row],[Quantity]]*OrdersTable[[#This Row],[Unit Cost]]</f>
        <v>152</v>
      </c>
      <c r="X2850" s="77">
        <f>'Dropdown Lists'!$I$2*(1+OrdersTable[[#This Row],[Returned]])</f>
        <v>60</v>
      </c>
      <c r="Y2850" s="76">
        <f>OrdersTable[[#This Row],[Net Revenue]]-OrdersTable[[#This Row],[COGS]]-OrdersTable[[#This Row],[Shipping Cost]]</f>
        <v>127.14999999999998</v>
      </c>
      <c r="Z2850" s="78">
        <f>IFERROR(OrdersTable[[#This Row],[Profit]]/OrdersTable[[#This Row],[Net Revenue]],0)</f>
        <v>0.37490785787999409</v>
      </c>
      <c r="AA2850" t="s">
        <v>18</v>
      </c>
      <c r="AB2850" s="79">
        <v>45766</v>
      </c>
      <c r="AC2850">
        <f>OrdersTable[[#This Row],[Delivery Date]]-OrdersTable[[#This Row],[Order Date]]</f>
        <v>3</v>
      </c>
      <c r="AD2850" t="str">
        <f>IF(OrdersTable[[#This Row],[Delivery Days]]&lt;=2, "Express (≤2d)", IF(OrdersTable[[#This Row],[Delivery Days]]&lt;=4, "Standard (3-4d)", "Delayed (5d+)"))</f>
        <v>Standard (3-4d)</v>
      </c>
      <c r="AF2850">
        <v>0</v>
      </c>
    </row>
    <row r="2851" spans="1:32" ht="15" x14ac:dyDescent="0.35">
      <c r="A2851" t="s">
        <v>1554</v>
      </c>
      <c r="B2851" s="1">
        <v>45763</v>
      </c>
      <c r="C2851">
        <f>YEAR(OrdersTable[[#This Row],[Order Date]])</f>
        <v>2025</v>
      </c>
      <c r="D2851" s="2">
        <f>DATE(YEAR(OrdersTable[[#This Row],[Order Date]]),MONTH(OrdersTable[[#This Row],[Order Date]]),1)</f>
        <v>45748</v>
      </c>
      <c r="E2851">
        <f>MONTH(OrdersTable[[#This Row],[Order Date]])</f>
        <v>4</v>
      </c>
      <c r="F2851" t="s">
        <v>1555</v>
      </c>
      <c r="G2851" t="str">
        <f>IF(OrdersTable[[#This Row],[Order Date]]=_xlfn.MINIFS(Order_Date, Customer_ID, OrdersTable[[#This Row],[Customer ID]]), "New", "Repeat")</f>
        <v>New</v>
      </c>
      <c r="H2851" t="s">
        <v>37</v>
      </c>
      <c r="I2851" t="str">
        <f>INDEX(State!B:B,MATCH(OrdersTable[[#This Row],[State]],State!A:A,0))</f>
        <v>GJ</v>
      </c>
      <c r="J2851" t="str">
        <f>INDEX(State!C:C,MATCH(OrdersTable[[#This Row],[State Code]],State!B:B,0))</f>
        <v>West</v>
      </c>
      <c r="K2851" t="s">
        <v>247</v>
      </c>
      <c r="L2851" t="s">
        <v>39</v>
      </c>
      <c r="M2851" t="s">
        <v>255</v>
      </c>
      <c r="N2851" t="str">
        <f>INDEX(Products!B:B,MATCH(OrdersTable[[#This Row],[Product ID]],Products!A:A,0))</f>
        <v>Cotton Oversized T-Shirt</v>
      </c>
      <c r="O2851" t="str">
        <f>INDEX(Products!C:C,MATCH(OrdersTable[[#This Row],[Product ID]],Products!A:A,0))</f>
        <v>Apparel</v>
      </c>
      <c r="P2851">
        <v>1</v>
      </c>
      <c r="Q2851" s="5">
        <v>799</v>
      </c>
      <c r="R2851" s="74">
        <v>0</v>
      </c>
      <c r="S2851" s="75">
        <f>OrdersTable[[#This Row],[Quantity]]*OrdersTable[[#This Row],[Unit Price]]</f>
        <v>799</v>
      </c>
      <c r="T2851" s="5">
        <f>OrdersTable[[#This Row],[Gross Sale]]*OrdersTable[[#This Row],[Discount_Clean2]]</f>
        <v>0</v>
      </c>
      <c r="U2851" s="5">
        <f>OrdersTable[[#This Row],[Gross Sale]]-OrdersTable[[#This Row],[Discount Amount]]</f>
        <v>799</v>
      </c>
      <c r="V2851" s="77">
        <f>INDEX(Products!E:E,MATCH(OrdersTable[[#This Row],[Product ID]],Products!A:A,0))</f>
        <v>320</v>
      </c>
      <c r="W2851" s="77">
        <f>OrdersTable[[#This Row],[Quantity]]*OrdersTable[[#This Row],[Unit Cost]]</f>
        <v>320</v>
      </c>
      <c r="X2851" s="77">
        <f>'Dropdown Lists'!$I$2*(1+OrdersTable[[#This Row],[Returned]])</f>
        <v>120</v>
      </c>
      <c r="Y2851" s="76">
        <f>OrdersTable[[#This Row],[Net Revenue]]-OrdersTable[[#This Row],[COGS]]-OrdersTable[[#This Row],[Shipping Cost]]</f>
        <v>359</v>
      </c>
      <c r="Z2851" s="78">
        <f>IFERROR(OrdersTable[[#This Row],[Profit]]/OrdersTable[[#This Row],[Net Revenue]],0)</f>
        <v>0.44931163954943681</v>
      </c>
      <c r="AA2851" t="s">
        <v>18</v>
      </c>
      <c r="AB2851" s="79">
        <v>45764</v>
      </c>
      <c r="AC2851">
        <f>OrdersTable[[#This Row],[Delivery Date]]-OrdersTable[[#This Row],[Order Date]]</f>
        <v>1</v>
      </c>
      <c r="AD2851" t="str">
        <f>IF(OrdersTable[[#This Row],[Delivery Days]]&lt;=2, "Express (≤2d)", IF(OrdersTable[[#This Row],[Delivery Days]]&lt;=4, "Standard (3-4d)", "Delayed (5d+)"))</f>
        <v>Express (≤2d)</v>
      </c>
      <c r="AF2851">
        <v>1</v>
      </c>
    </row>
    <row r="2852" spans="1:32" ht="15" x14ac:dyDescent="0.35">
      <c r="A2852" t="s">
        <v>6162</v>
      </c>
      <c r="B2852" s="1">
        <v>45763</v>
      </c>
      <c r="C2852">
        <f>YEAR(OrdersTable[[#This Row],[Order Date]])</f>
        <v>2025</v>
      </c>
      <c r="D2852" s="2">
        <f>DATE(YEAR(OrdersTable[[#This Row],[Order Date]]),MONTH(OrdersTable[[#This Row],[Order Date]]),1)</f>
        <v>45748</v>
      </c>
      <c r="E2852">
        <f>MONTH(OrdersTable[[#This Row],[Order Date]])</f>
        <v>4</v>
      </c>
      <c r="F2852" t="s">
        <v>1332</v>
      </c>
      <c r="G2852" t="str">
        <f>IF(OrdersTable[[#This Row],[Order Date]]=_xlfn.MINIFS(Order_Date, Customer_ID, OrdersTable[[#This Row],[Customer ID]]), "New", "Repeat")</f>
        <v>Repeat</v>
      </c>
      <c r="H2852" t="s">
        <v>482</v>
      </c>
      <c r="I2852" t="str">
        <f>INDEX(State!B:B,MATCH(OrdersTable[[#This Row],[State]],State!A:A,0))</f>
        <v>CG</v>
      </c>
      <c r="J2852" t="str">
        <f>INDEX(State!C:C,MATCH(OrdersTable[[#This Row],[State Code]],State!B:B,0))</f>
        <v>East</v>
      </c>
      <c r="K2852" t="s">
        <v>483</v>
      </c>
      <c r="L2852" t="s">
        <v>39</v>
      </c>
      <c r="M2852" t="s">
        <v>176</v>
      </c>
      <c r="N2852" t="str">
        <f>INDEX(Products!B:B,MATCH(OrdersTable[[#This Row],[Product ID]],Products!A:A,0))</f>
        <v>Denim Jacket</v>
      </c>
      <c r="O2852" t="str">
        <f>INDEX(Products!C:C,MATCH(OrdersTable[[#This Row],[Product ID]],Products!A:A,0))</f>
        <v>Apparel</v>
      </c>
      <c r="P2852">
        <v>2</v>
      </c>
      <c r="Q2852" s="5">
        <v>2499</v>
      </c>
      <c r="R2852" s="74">
        <v>0.05</v>
      </c>
      <c r="S2852" s="75">
        <f>OrdersTable[[#This Row],[Quantity]]*OrdersTable[[#This Row],[Unit Price]]</f>
        <v>4998</v>
      </c>
      <c r="T2852" s="5">
        <f>OrdersTable[[#This Row],[Gross Sale]]*OrdersTable[[#This Row],[Discount_Clean2]]</f>
        <v>249.9</v>
      </c>
      <c r="U2852" s="5">
        <f>OrdersTable[[#This Row],[Gross Sale]]-OrdersTable[[#This Row],[Discount Amount]]</f>
        <v>4748.1000000000004</v>
      </c>
      <c r="V2852" s="77">
        <f>INDEX(Products!E:E,MATCH(OrdersTable[[#This Row],[Product ID]],Products!A:A,0))</f>
        <v>1125</v>
      </c>
      <c r="W2852" s="77">
        <f>OrdersTable[[#This Row],[Quantity]]*OrdersTable[[#This Row],[Unit Cost]]</f>
        <v>2250</v>
      </c>
      <c r="X2852" s="77">
        <f>'Dropdown Lists'!$I$2*(1+OrdersTable[[#This Row],[Returned]])</f>
        <v>60</v>
      </c>
      <c r="Y2852" s="76">
        <f>OrdersTable[[#This Row],[Net Revenue]]-OrdersTable[[#This Row],[COGS]]-OrdersTable[[#This Row],[Shipping Cost]]</f>
        <v>2438.1000000000004</v>
      </c>
      <c r="Z2852" s="78">
        <f>IFERROR(OrdersTable[[#This Row],[Profit]]/OrdersTable[[#This Row],[Net Revenue]],0)</f>
        <v>0.51348960636886343</v>
      </c>
      <c r="AA2852" t="s">
        <v>18</v>
      </c>
      <c r="AB2852" s="79">
        <v>45767</v>
      </c>
      <c r="AC2852">
        <f>OrdersTable[[#This Row],[Delivery Date]]-OrdersTable[[#This Row],[Order Date]]</f>
        <v>4</v>
      </c>
      <c r="AD2852" t="str">
        <f>IF(OrdersTable[[#This Row],[Delivery Days]]&lt;=2, "Express (≤2d)", IF(OrdersTable[[#This Row],[Delivery Days]]&lt;=4, "Standard (3-4d)", "Delayed (5d+)"))</f>
        <v>Standard (3-4d)</v>
      </c>
      <c r="AE2852">
        <v>4</v>
      </c>
      <c r="AF2852">
        <v>0</v>
      </c>
    </row>
    <row r="2853" spans="1:32" ht="15" x14ac:dyDescent="0.35">
      <c r="A2853" t="s">
        <v>4996</v>
      </c>
      <c r="B2853" s="1">
        <v>45763</v>
      </c>
      <c r="C2853">
        <f>YEAR(OrdersTable[[#This Row],[Order Date]])</f>
        <v>2025</v>
      </c>
      <c r="D2853" s="2">
        <f>DATE(YEAR(OrdersTable[[#This Row],[Order Date]]),MONTH(OrdersTable[[#This Row],[Order Date]]),1)</f>
        <v>45748</v>
      </c>
      <c r="E2853">
        <f>MONTH(OrdersTable[[#This Row],[Order Date]])</f>
        <v>4</v>
      </c>
      <c r="F2853" t="s">
        <v>1121</v>
      </c>
      <c r="G2853" t="str">
        <f>IF(OrdersTable[[#This Row],[Order Date]]=_xlfn.MINIFS(Order_Date, Customer_ID, OrdersTable[[#This Row],[Customer ID]]), "New", "Repeat")</f>
        <v>Repeat</v>
      </c>
      <c r="H2853" t="s">
        <v>27</v>
      </c>
      <c r="I2853" t="str">
        <f>INDEX(State!B:B,MATCH(OrdersTable[[#This Row],[State]],State!A:A,0))</f>
        <v>WB</v>
      </c>
      <c r="J2853" t="str">
        <f>INDEX(State!C:C,MATCH(OrdersTable[[#This Row],[State Code]],State!B:B,0))</f>
        <v>East</v>
      </c>
      <c r="K2853" t="s">
        <v>28</v>
      </c>
      <c r="L2853" t="s">
        <v>50</v>
      </c>
      <c r="M2853" t="s">
        <v>45</v>
      </c>
      <c r="N2853" t="str">
        <f>INDEX(Products!B:B,MATCH(OrdersTable[[#This Row],[Product ID]],Products!A:A,0))</f>
        <v>Argan Shampoo</v>
      </c>
      <c r="O2853" t="str">
        <f>INDEX(Products!C:C,MATCH(OrdersTable[[#This Row],[Product ID]],Products!A:A,0))</f>
        <v>Haircare</v>
      </c>
      <c r="P2853">
        <v>2</v>
      </c>
      <c r="Q2853" s="5">
        <v>449</v>
      </c>
      <c r="R2853" s="74">
        <v>0.1</v>
      </c>
      <c r="S2853" s="75">
        <f>OrdersTable[[#This Row],[Quantity]]*OrdersTable[[#This Row],[Unit Price]]</f>
        <v>898</v>
      </c>
      <c r="T2853" s="5">
        <f>OrdersTable[[#This Row],[Gross Sale]]*OrdersTable[[#This Row],[Discount_Clean2]]</f>
        <v>89.800000000000011</v>
      </c>
      <c r="U2853" s="5">
        <f>OrdersTable[[#This Row],[Gross Sale]]-OrdersTable[[#This Row],[Discount Amount]]</f>
        <v>808.2</v>
      </c>
      <c r="V2853" s="77">
        <f>INDEX(Products!E:E,MATCH(OrdersTable[[#This Row],[Product ID]],Products!A:A,0))</f>
        <v>148</v>
      </c>
      <c r="W2853" s="77">
        <f>OrdersTable[[#This Row],[Quantity]]*OrdersTable[[#This Row],[Unit Cost]]</f>
        <v>296</v>
      </c>
      <c r="X2853" s="77">
        <f>'Dropdown Lists'!$I$2*(1+OrdersTable[[#This Row],[Returned]])</f>
        <v>60</v>
      </c>
      <c r="Y2853" s="76">
        <f>OrdersTable[[#This Row],[Net Revenue]]-OrdersTable[[#This Row],[COGS]]-OrdersTable[[#This Row],[Shipping Cost]]</f>
        <v>452.20000000000005</v>
      </c>
      <c r="Z2853" s="78">
        <f>IFERROR(OrdersTable[[#This Row],[Profit]]/OrdersTable[[#This Row],[Net Revenue]],0)</f>
        <v>0.5595149715416976</v>
      </c>
      <c r="AA2853" t="s">
        <v>4074</v>
      </c>
      <c r="AB2853" s="79">
        <v>45766</v>
      </c>
      <c r="AC2853">
        <f>OrdersTable[[#This Row],[Delivery Date]]-OrdersTable[[#This Row],[Order Date]]</f>
        <v>3</v>
      </c>
      <c r="AD2853" t="str">
        <f>IF(OrdersTable[[#This Row],[Delivery Days]]&lt;=2, "Express (≤2d)", IF(OrdersTable[[#This Row],[Delivery Days]]&lt;=4, "Standard (3-4d)", "Delayed (5d+)"))</f>
        <v>Standard (3-4d)</v>
      </c>
      <c r="AE2853">
        <v>4</v>
      </c>
      <c r="AF2853">
        <v>0</v>
      </c>
    </row>
    <row r="2854" spans="1:32" ht="15" x14ac:dyDescent="0.35">
      <c r="A2854" t="s">
        <v>3444</v>
      </c>
      <c r="B2854" s="1">
        <v>45763</v>
      </c>
      <c r="C2854">
        <f>YEAR(OrdersTable[[#This Row],[Order Date]])</f>
        <v>2025</v>
      </c>
      <c r="D2854" s="2">
        <f>DATE(YEAR(OrdersTable[[#This Row],[Order Date]]),MONTH(OrdersTable[[#This Row],[Order Date]]),1)</f>
        <v>45748</v>
      </c>
      <c r="E2854">
        <f>MONTH(OrdersTable[[#This Row],[Order Date]])</f>
        <v>4</v>
      </c>
      <c r="F2854" t="s">
        <v>3445</v>
      </c>
      <c r="G2854" t="str">
        <f>IF(OrdersTable[[#This Row],[Order Date]]=_xlfn.MINIFS(Order_Date, Customer_ID, OrdersTable[[#This Row],[Customer ID]]), "New", "Repeat")</f>
        <v>New</v>
      </c>
      <c r="H2854" t="s">
        <v>90</v>
      </c>
      <c r="I2854" t="str">
        <f>INDEX(State!B:B,MATCH(OrdersTable[[#This Row],[State]],State!A:A,0))</f>
        <v>GA</v>
      </c>
      <c r="J2854" t="str">
        <f>INDEX(State!C:C,MATCH(OrdersTable[[#This Row],[State Code]],State!B:B,0))</f>
        <v>West</v>
      </c>
      <c r="K2854" t="s">
        <v>91</v>
      </c>
      <c r="L2854" t="s">
        <v>65</v>
      </c>
      <c r="M2854" t="s">
        <v>423</v>
      </c>
      <c r="N2854" t="str">
        <f>INDEX(Products!B:B,MATCH(OrdersTable[[#This Row],[Product ID]],Products!A:A,0))</f>
        <v>Power Bank 20000mAh</v>
      </c>
      <c r="O2854" t="str">
        <f>INDEX(Products!C:C,MATCH(OrdersTable[[#This Row],[Product ID]],Products!A:A,0))</f>
        <v>Electronics</v>
      </c>
      <c r="P2854">
        <v>1</v>
      </c>
      <c r="Q2854" s="5">
        <v>1799</v>
      </c>
      <c r="R2854" s="74">
        <v>0.3</v>
      </c>
      <c r="S2854" s="75">
        <f>OrdersTable[[#This Row],[Quantity]]*OrdersTable[[#This Row],[Unit Price]]</f>
        <v>1799</v>
      </c>
      <c r="T2854" s="5">
        <f>OrdersTable[[#This Row],[Gross Sale]]*OrdersTable[[#This Row],[Discount_Clean2]]</f>
        <v>539.69999999999993</v>
      </c>
      <c r="U2854" s="5">
        <f>OrdersTable[[#This Row],[Gross Sale]]-OrdersTable[[#This Row],[Discount Amount]]</f>
        <v>1259.3000000000002</v>
      </c>
      <c r="V2854" s="77">
        <f>INDEX(Products!E:E,MATCH(OrdersTable[[#This Row],[Product ID]],Products!A:A,0))</f>
        <v>1079</v>
      </c>
      <c r="W2854" s="77">
        <f>OrdersTable[[#This Row],[Quantity]]*OrdersTable[[#This Row],[Unit Cost]]</f>
        <v>1079</v>
      </c>
      <c r="X2854" s="77">
        <f>'Dropdown Lists'!$I$2*(1+OrdersTable[[#This Row],[Returned]])</f>
        <v>60</v>
      </c>
      <c r="Y2854" s="76">
        <f>OrdersTable[[#This Row],[Net Revenue]]-OrdersTable[[#This Row],[COGS]]-OrdersTable[[#This Row],[Shipping Cost]]</f>
        <v>120.30000000000018</v>
      </c>
      <c r="Z2854" s="78">
        <f>IFERROR(OrdersTable[[#This Row],[Profit]]/OrdersTable[[#This Row],[Net Revenue]],0)</f>
        <v>9.5529262288573141E-2</v>
      </c>
      <c r="AA2854" t="s">
        <v>2522</v>
      </c>
      <c r="AB2854" s="79">
        <v>45766</v>
      </c>
      <c r="AC2854">
        <f>OrdersTable[[#This Row],[Delivery Date]]-OrdersTable[[#This Row],[Order Date]]</f>
        <v>3</v>
      </c>
      <c r="AD2854" t="str">
        <f>IF(OrdersTable[[#This Row],[Delivery Days]]&lt;=2, "Express (≤2d)", IF(OrdersTable[[#This Row],[Delivery Days]]&lt;=4, "Standard (3-4d)", "Delayed (5d+)"))</f>
        <v>Standard (3-4d)</v>
      </c>
      <c r="AE2854">
        <v>4</v>
      </c>
      <c r="AF2854">
        <v>0</v>
      </c>
    </row>
    <row r="2855" spans="1:32" ht="15" x14ac:dyDescent="0.35">
      <c r="A2855" t="s">
        <v>4698</v>
      </c>
      <c r="B2855" s="1">
        <v>45764</v>
      </c>
      <c r="C2855">
        <f>YEAR(OrdersTable[[#This Row],[Order Date]])</f>
        <v>2025</v>
      </c>
      <c r="D2855" s="2">
        <f>DATE(YEAR(OrdersTable[[#This Row],[Order Date]]),MONTH(OrdersTable[[#This Row],[Order Date]]),1)</f>
        <v>45748</v>
      </c>
      <c r="E2855">
        <f>MONTH(OrdersTable[[#This Row],[Order Date]])</f>
        <v>4</v>
      </c>
      <c r="F2855" t="s">
        <v>217</v>
      </c>
      <c r="G2855" t="str">
        <f>IF(OrdersTable[[#This Row],[Order Date]]=_xlfn.MINIFS(Order_Date, Customer_ID, OrdersTable[[#This Row],[Customer ID]]), "New", "Repeat")</f>
        <v>Repeat</v>
      </c>
      <c r="H2855" t="s">
        <v>71</v>
      </c>
      <c r="I2855" t="str">
        <f>INDEX(State!B:B,MATCH(OrdersTable[[#This Row],[State]],State!A:A,0))</f>
        <v>MH</v>
      </c>
      <c r="J2855" t="str">
        <f>INDEX(State!C:C,MATCH(OrdersTable[[#This Row],[State Code]],State!B:B,0))</f>
        <v>West</v>
      </c>
      <c r="K2855" t="s">
        <v>102</v>
      </c>
      <c r="L2855" t="s">
        <v>50</v>
      </c>
      <c r="M2855" t="s">
        <v>66</v>
      </c>
      <c r="N2855" t="str">
        <f>INDEX(Products!B:B,MATCH(OrdersTable[[#This Row],[Product ID]],Products!A:A,0))</f>
        <v>Sunscreen SPF 50</v>
      </c>
      <c r="O2855" t="str">
        <f>INDEX(Products!C:C,MATCH(OrdersTable[[#This Row],[Product ID]],Products!A:A,0))</f>
        <v>Skincare</v>
      </c>
      <c r="P2855">
        <v>1</v>
      </c>
      <c r="Q2855" s="5">
        <v>449</v>
      </c>
      <c r="R2855" s="74">
        <v>0.1</v>
      </c>
      <c r="S2855" s="75">
        <f>OrdersTable[[#This Row],[Quantity]]*OrdersTable[[#This Row],[Unit Price]]</f>
        <v>449</v>
      </c>
      <c r="T2855" s="5">
        <f>OrdersTable[[#This Row],[Gross Sale]]*OrdersTable[[#This Row],[Discount_Clean2]]</f>
        <v>44.900000000000006</v>
      </c>
      <c r="U2855" s="5">
        <f>OrdersTable[[#This Row],[Gross Sale]]-OrdersTable[[#This Row],[Discount Amount]]</f>
        <v>404.1</v>
      </c>
      <c r="V2855" s="77">
        <f>INDEX(Products!E:E,MATCH(OrdersTable[[#This Row],[Product ID]],Products!A:A,0))</f>
        <v>144</v>
      </c>
      <c r="W2855" s="77">
        <f>OrdersTable[[#This Row],[Quantity]]*OrdersTable[[#This Row],[Unit Cost]]</f>
        <v>144</v>
      </c>
      <c r="X2855" s="77">
        <f>'Dropdown Lists'!$I$2*(1+OrdersTable[[#This Row],[Returned]])</f>
        <v>60</v>
      </c>
      <c r="Y2855" s="76">
        <f>OrdersTable[[#This Row],[Net Revenue]]-OrdersTable[[#This Row],[COGS]]-OrdersTable[[#This Row],[Shipping Cost]]</f>
        <v>200.10000000000002</v>
      </c>
      <c r="Z2855" s="78">
        <f>IFERROR(OrdersTable[[#This Row],[Profit]]/OrdersTable[[#This Row],[Net Revenue]],0)</f>
        <v>0.4951744617668894</v>
      </c>
      <c r="AA2855" t="s">
        <v>4450</v>
      </c>
      <c r="AB2855" s="79">
        <v>45765</v>
      </c>
      <c r="AC2855">
        <f>OrdersTable[[#This Row],[Delivery Date]]-OrdersTable[[#This Row],[Order Date]]</f>
        <v>1</v>
      </c>
      <c r="AD2855" t="str">
        <f>IF(OrdersTable[[#This Row],[Delivery Days]]&lt;=2, "Express (≤2d)", IF(OrdersTable[[#This Row],[Delivery Days]]&lt;=4, "Standard (3-4d)", "Delayed (5d+)"))</f>
        <v>Express (≤2d)</v>
      </c>
      <c r="AE2855">
        <v>5</v>
      </c>
      <c r="AF2855">
        <v>0</v>
      </c>
    </row>
    <row r="2856" spans="1:32" ht="15" x14ac:dyDescent="0.35">
      <c r="A2856" t="s">
        <v>4140</v>
      </c>
      <c r="B2856" s="1">
        <v>45764</v>
      </c>
      <c r="C2856">
        <f>YEAR(OrdersTable[[#This Row],[Order Date]])</f>
        <v>2025</v>
      </c>
      <c r="D2856" s="2">
        <f>DATE(YEAR(OrdersTable[[#This Row],[Order Date]]),MONTH(OrdersTable[[#This Row],[Order Date]]),1)</f>
        <v>45748</v>
      </c>
      <c r="E2856">
        <f>MONTH(OrdersTable[[#This Row],[Order Date]])</f>
        <v>4</v>
      </c>
      <c r="F2856" t="s">
        <v>4141</v>
      </c>
      <c r="G2856" t="str">
        <f>IF(OrdersTable[[#This Row],[Order Date]]=_xlfn.MINIFS(Order_Date, Customer_ID, OrdersTable[[#This Row],[Customer ID]]), "New", "Repeat")</f>
        <v>New</v>
      </c>
      <c r="H2856" t="s">
        <v>71</v>
      </c>
      <c r="I2856" t="str">
        <f>INDEX(State!B:B,MATCH(OrdersTable[[#This Row],[State]],State!A:A,0))</f>
        <v>MH</v>
      </c>
      <c r="J2856" t="str">
        <f>INDEX(State!C:C,MATCH(OrdersTable[[#This Row],[State Code]],State!B:B,0))</f>
        <v>West</v>
      </c>
      <c r="K2856" t="s">
        <v>72</v>
      </c>
      <c r="L2856" t="s">
        <v>16</v>
      </c>
      <c r="M2856" t="s">
        <v>576</v>
      </c>
      <c r="N2856" t="str">
        <f>INDEX(Products!B:B,MATCH(OrdersTable[[#This Row],[Product ID]],Products!A:A,0))</f>
        <v>Printed Saree</v>
      </c>
      <c r="O2856" t="str">
        <f>INDEX(Products!C:C,MATCH(OrdersTable[[#This Row],[Product ID]],Products!A:A,0))</f>
        <v>Apparel</v>
      </c>
      <c r="P2856">
        <v>1</v>
      </c>
      <c r="Q2856" s="5">
        <v>1999</v>
      </c>
      <c r="R2856" s="74">
        <v>0.05</v>
      </c>
      <c r="S2856" s="75">
        <f>OrdersTable[[#This Row],[Quantity]]*OrdersTable[[#This Row],[Unit Price]]</f>
        <v>1999</v>
      </c>
      <c r="T2856" s="5">
        <f>OrdersTable[[#This Row],[Gross Sale]]*OrdersTable[[#This Row],[Discount_Clean2]]</f>
        <v>99.95</v>
      </c>
      <c r="U2856" s="5">
        <f>OrdersTable[[#This Row],[Gross Sale]]-OrdersTable[[#This Row],[Discount Amount]]</f>
        <v>1899.05</v>
      </c>
      <c r="V2856" s="77">
        <f>INDEX(Products!E:E,MATCH(OrdersTable[[#This Row],[Product ID]],Products!A:A,0))</f>
        <v>880</v>
      </c>
      <c r="W2856" s="77">
        <f>OrdersTable[[#This Row],[Quantity]]*OrdersTable[[#This Row],[Unit Cost]]</f>
        <v>880</v>
      </c>
      <c r="X2856" s="77">
        <f>'Dropdown Lists'!$I$2*(1+OrdersTable[[#This Row],[Returned]])</f>
        <v>60</v>
      </c>
      <c r="Y2856" s="76">
        <f>OrdersTable[[#This Row],[Net Revenue]]-OrdersTable[[#This Row],[COGS]]-OrdersTable[[#This Row],[Shipping Cost]]</f>
        <v>959.05</v>
      </c>
      <c r="Z2856" s="78">
        <f>IFERROR(OrdersTable[[#This Row],[Profit]]/OrdersTable[[#This Row],[Net Revenue]],0)</f>
        <v>0.50501566572760059</v>
      </c>
      <c r="AA2856" t="s">
        <v>4074</v>
      </c>
      <c r="AB2856" s="79">
        <v>45765</v>
      </c>
      <c r="AC2856">
        <f>OrdersTable[[#This Row],[Delivery Date]]-OrdersTable[[#This Row],[Order Date]]</f>
        <v>1</v>
      </c>
      <c r="AD2856" t="str">
        <f>IF(OrdersTable[[#This Row],[Delivery Days]]&lt;=2, "Express (≤2d)", IF(OrdersTable[[#This Row],[Delivery Days]]&lt;=4, "Standard (3-4d)", "Delayed (5d+)"))</f>
        <v>Express (≤2d)</v>
      </c>
      <c r="AE2856">
        <v>5</v>
      </c>
      <c r="AF2856">
        <v>0</v>
      </c>
    </row>
    <row r="2857" spans="1:32" ht="15" x14ac:dyDescent="0.35">
      <c r="A2857" t="s">
        <v>3054</v>
      </c>
      <c r="B2857" s="1">
        <v>45764</v>
      </c>
      <c r="C2857">
        <f>YEAR(OrdersTable[[#This Row],[Order Date]])</f>
        <v>2025</v>
      </c>
      <c r="D2857" s="2">
        <f>DATE(YEAR(OrdersTable[[#This Row],[Order Date]]),MONTH(OrdersTable[[#This Row],[Order Date]]),1)</f>
        <v>45748</v>
      </c>
      <c r="E2857">
        <f>MONTH(OrdersTable[[#This Row],[Order Date]])</f>
        <v>4</v>
      </c>
      <c r="F2857" t="s">
        <v>1014</v>
      </c>
      <c r="G2857" t="str">
        <f>IF(OrdersTable[[#This Row],[Order Date]]=_xlfn.MINIFS(Order_Date, Customer_ID, OrdersTable[[#This Row],[Customer ID]]), "New", "Repeat")</f>
        <v>Repeat</v>
      </c>
      <c r="H2857" t="s">
        <v>95</v>
      </c>
      <c r="I2857" t="str">
        <f>INDEX(State!B:B,MATCH(OrdersTable[[#This Row],[State]],State!A:A,0))</f>
        <v>TG</v>
      </c>
      <c r="J2857" t="str">
        <f>INDEX(State!C:C,MATCH(OrdersTable[[#This Row],[State Code]],State!B:B,0))</f>
        <v>South</v>
      </c>
      <c r="K2857" t="s">
        <v>96</v>
      </c>
      <c r="L2857" t="s">
        <v>65</v>
      </c>
      <c r="M2857" t="s">
        <v>152</v>
      </c>
      <c r="N2857" t="str">
        <f>INDEX(Products!B:B,MATCH(OrdersTable[[#This Row],[Product ID]],Products!A:A,0))</f>
        <v>Green Tea (100 bags)</v>
      </c>
      <c r="O2857" t="str">
        <f>INDEX(Products!C:C,MATCH(OrdersTable[[#This Row],[Product ID]],Products!A:A,0))</f>
        <v>Wellness</v>
      </c>
      <c r="P2857">
        <v>1</v>
      </c>
      <c r="Q2857" s="5">
        <v>399</v>
      </c>
      <c r="R2857" s="74">
        <v>0.3</v>
      </c>
      <c r="S2857" s="75">
        <f>OrdersTable[[#This Row],[Quantity]]*OrdersTable[[#This Row],[Unit Price]]</f>
        <v>399</v>
      </c>
      <c r="T2857" s="5">
        <f>OrdersTable[[#This Row],[Gross Sale]]*OrdersTable[[#This Row],[Discount_Clean2]]</f>
        <v>119.69999999999999</v>
      </c>
      <c r="U2857" s="5">
        <f>OrdersTable[[#This Row],[Gross Sale]]-OrdersTable[[#This Row],[Discount Amount]]</f>
        <v>279.3</v>
      </c>
      <c r="V2857" s="77">
        <f>INDEX(Products!E:E,MATCH(OrdersTable[[#This Row],[Product ID]],Products!A:A,0))</f>
        <v>128</v>
      </c>
      <c r="W2857" s="77">
        <f>OrdersTable[[#This Row],[Quantity]]*OrdersTable[[#This Row],[Unit Cost]]</f>
        <v>128</v>
      </c>
      <c r="X2857" s="77">
        <f>'Dropdown Lists'!$I$2*(1+OrdersTable[[#This Row],[Returned]])</f>
        <v>60</v>
      </c>
      <c r="Y2857" s="76">
        <f>OrdersTable[[#This Row],[Net Revenue]]-OrdersTable[[#This Row],[COGS]]-OrdersTable[[#This Row],[Shipping Cost]]</f>
        <v>91.300000000000011</v>
      </c>
      <c r="Z2857" s="78">
        <f>IFERROR(OrdersTable[[#This Row],[Profit]]/OrdersTable[[#This Row],[Net Revenue]],0)</f>
        <v>0.32688865019692093</v>
      </c>
      <c r="AA2857" t="s">
        <v>2522</v>
      </c>
      <c r="AB2857" s="79">
        <v>45767</v>
      </c>
      <c r="AC2857">
        <f>OrdersTable[[#This Row],[Delivery Date]]-OrdersTable[[#This Row],[Order Date]]</f>
        <v>3</v>
      </c>
      <c r="AD2857" t="str">
        <f>IF(OrdersTable[[#This Row],[Delivery Days]]&lt;=2, "Express (≤2d)", IF(OrdersTable[[#This Row],[Delivery Days]]&lt;=4, "Standard (3-4d)", "Delayed (5d+)"))</f>
        <v>Standard (3-4d)</v>
      </c>
      <c r="AF2857">
        <v>0</v>
      </c>
    </row>
    <row r="2858" spans="1:32" ht="15" x14ac:dyDescent="0.35">
      <c r="A2858" t="s">
        <v>3274</v>
      </c>
      <c r="B2858" s="1">
        <v>45764</v>
      </c>
      <c r="C2858">
        <f>YEAR(OrdersTable[[#This Row],[Order Date]])</f>
        <v>2025</v>
      </c>
      <c r="D2858" s="2">
        <f>DATE(YEAR(OrdersTable[[#This Row],[Order Date]]),MONTH(OrdersTable[[#This Row],[Order Date]]),1)</f>
        <v>45748</v>
      </c>
      <c r="E2858">
        <f>MONTH(OrdersTable[[#This Row],[Order Date]])</f>
        <v>4</v>
      </c>
      <c r="F2858" t="s">
        <v>1861</v>
      </c>
      <c r="G2858" t="str">
        <f>IF(OrdersTable[[#This Row],[Order Date]]=_xlfn.MINIFS(Order_Date, Customer_ID, OrdersTable[[#This Row],[Customer ID]]), "New", "Repeat")</f>
        <v>Repeat</v>
      </c>
      <c r="H2858" t="s">
        <v>95</v>
      </c>
      <c r="I2858" t="str">
        <f>INDEX(State!B:B,MATCH(OrdersTable[[#This Row],[State]],State!A:A,0))</f>
        <v>TG</v>
      </c>
      <c r="J2858" t="str">
        <f>INDEX(State!C:C,MATCH(OrdersTable[[#This Row],[State Code]],State!B:B,0))</f>
        <v>South</v>
      </c>
      <c r="K2858" t="s">
        <v>96</v>
      </c>
      <c r="L2858" t="s">
        <v>16</v>
      </c>
      <c r="M2858" t="s">
        <v>255</v>
      </c>
      <c r="N2858" t="str">
        <f>INDEX(Products!B:B,MATCH(OrdersTable[[#This Row],[Product ID]],Products!A:A,0))</f>
        <v>Cotton Oversized T-Shirt</v>
      </c>
      <c r="O2858" t="str">
        <f>INDEX(Products!C:C,MATCH(OrdersTable[[#This Row],[Product ID]],Products!A:A,0))</f>
        <v>Apparel</v>
      </c>
      <c r="P2858">
        <v>1</v>
      </c>
      <c r="Q2858" s="5">
        <v>799</v>
      </c>
      <c r="R2858" s="74">
        <v>0</v>
      </c>
      <c r="S2858" s="75">
        <f>OrdersTable[[#This Row],[Quantity]]*OrdersTable[[#This Row],[Unit Price]]</f>
        <v>799</v>
      </c>
      <c r="T2858" s="5">
        <f>OrdersTable[[#This Row],[Gross Sale]]*OrdersTable[[#This Row],[Discount_Clean2]]</f>
        <v>0</v>
      </c>
      <c r="U2858" s="5">
        <f>OrdersTable[[#This Row],[Gross Sale]]-OrdersTable[[#This Row],[Discount Amount]]</f>
        <v>799</v>
      </c>
      <c r="V2858" s="77">
        <f>INDEX(Products!E:E,MATCH(OrdersTable[[#This Row],[Product ID]],Products!A:A,0))</f>
        <v>320</v>
      </c>
      <c r="W2858" s="77">
        <f>OrdersTable[[#This Row],[Quantity]]*OrdersTable[[#This Row],[Unit Cost]]</f>
        <v>320</v>
      </c>
      <c r="X2858" s="77">
        <f>'Dropdown Lists'!$I$2*(1+OrdersTable[[#This Row],[Returned]])</f>
        <v>60</v>
      </c>
      <c r="Y2858" s="76">
        <f>OrdersTable[[#This Row],[Net Revenue]]-OrdersTable[[#This Row],[COGS]]-OrdersTable[[#This Row],[Shipping Cost]]</f>
        <v>419</v>
      </c>
      <c r="Z2858" s="78">
        <f>IFERROR(OrdersTable[[#This Row],[Profit]]/OrdersTable[[#This Row],[Net Revenue]],0)</f>
        <v>0.52440550688360454</v>
      </c>
      <c r="AA2858" t="s">
        <v>2522</v>
      </c>
      <c r="AB2858" s="79">
        <v>45766</v>
      </c>
      <c r="AC2858">
        <f>OrdersTable[[#This Row],[Delivery Date]]-OrdersTable[[#This Row],[Order Date]]</f>
        <v>2</v>
      </c>
      <c r="AD2858" t="str">
        <f>IF(OrdersTable[[#This Row],[Delivery Days]]&lt;=2, "Express (≤2d)", IF(OrdersTable[[#This Row],[Delivery Days]]&lt;=4, "Standard (3-4d)", "Delayed (5d+)"))</f>
        <v>Express (≤2d)</v>
      </c>
      <c r="AE2858">
        <v>4</v>
      </c>
      <c r="AF2858">
        <v>0</v>
      </c>
    </row>
    <row r="2859" spans="1:32" ht="15" x14ac:dyDescent="0.35">
      <c r="A2859" t="s">
        <v>1084</v>
      </c>
      <c r="B2859" s="1">
        <v>45764</v>
      </c>
      <c r="C2859">
        <f>YEAR(OrdersTable[[#This Row],[Order Date]])</f>
        <v>2025</v>
      </c>
      <c r="D2859" s="2">
        <f>DATE(YEAR(OrdersTable[[#This Row],[Order Date]]),MONTH(OrdersTable[[#This Row],[Order Date]]),1)</f>
        <v>45748</v>
      </c>
      <c r="E2859">
        <f>MONTH(OrdersTable[[#This Row],[Order Date]])</f>
        <v>4</v>
      </c>
      <c r="F2859" t="s">
        <v>1085</v>
      </c>
      <c r="G2859" t="str">
        <f>IF(OrdersTable[[#This Row],[Order Date]]=_xlfn.MINIFS(Order_Date, Customer_ID, OrdersTable[[#This Row],[Customer ID]]), "New", "Repeat")</f>
        <v>Repeat</v>
      </c>
      <c r="H2859" t="s">
        <v>167</v>
      </c>
      <c r="I2859" t="str">
        <f>INDEX(State!B:B,MATCH(OrdersTable[[#This Row],[State]],State!A:A,0))</f>
        <v>KA</v>
      </c>
      <c r="J2859" t="str">
        <f>INDEX(State!C:C,MATCH(OrdersTable[[#This Row],[State Code]],State!B:B,0))</f>
        <v>South</v>
      </c>
      <c r="K2859" t="s">
        <v>190</v>
      </c>
      <c r="L2859" t="s">
        <v>65</v>
      </c>
      <c r="M2859" t="s">
        <v>576</v>
      </c>
      <c r="N2859" t="str">
        <f>INDEX(Products!B:B,MATCH(OrdersTable[[#This Row],[Product ID]],Products!A:A,0))</f>
        <v>Printed Saree</v>
      </c>
      <c r="O2859" t="str">
        <f>INDEX(Products!C:C,MATCH(OrdersTable[[#This Row],[Product ID]],Products!A:A,0))</f>
        <v>Apparel</v>
      </c>
      <c r="P2859">
        <v>1</v>
      </c>
      <c r="Q2859" s="5">
        <v>1999</v>
      </c>
      <c r="R2859" s="74">
        <v>0.1</v>
      </c>
      <c r="S2859" s="75">
        <f>OrdersTable[[#This Row],[Quantity]]*OrdersTable[[#This Row],[Unit Price]]</f>
        <v>1999</v>
      </c>
      <c r="T2859" s="5">
        <f>OrdersTable[[#This Row],[Gross Sale]]*OrdersTable[[#This Row],[Discount_Clean2]]</f>
        <v>199.9</v>
      </c>
      <c r="U2859" s="5">
        <f>OrdersTable[[#This Row],[Gross Sale]]-OrdersTable[[#This Row],[Discount Amount]]</f>
        <v>1799.1</v>
      </c>
      <c r="V2859" s="77">
        <f>INDEX(Products!E:E,MATCH(OrdersTable[[#This Row],[Product ID]],Products!A:A,0))</f>
        <v>880</v>
      </c>
      <c r="W2859" s="77">
        <f>OrdersTable[[#This Row],[Quantity]]*OrdersTable[[#This Row],[Unit Cost]]</f>
        <v>880</v>
      </c>
      <c r="X2859" s="77">
        <f>'Dropdown Lists'!$I$2*(1+OrdersTable[[#This Row],[Returned]])</f>
        <v>120</v>
      </c>
      <c r="Y2859" s="76">
        <f>OrdersTable[[#This Row],[Net Revenue]]-OrdersTable[[#This Row],[COGS]]-OrdersTable[[#This Row],[Shipping Cost]]</f>
        <v>799.09999999999991</v>
      </c>
      <c r="Z2859" s="78">
        <f>IFERROR(OrdersTable[[#This Row],[Profit]]/OrdersTable[[#This Row],[Net Revenue]],0)</f>
        <v>0.44416652770829856</v>
      </c>
      <c r="AA2859" t="s">
        <v>18</v>
      </c>
      <c r="AB2859" s="79">
        <v>45767</v>
      </c>
      <c r="AC2859">
        <f>OrdersTable[[#This Row],[Delivery Date]]-OrdersTable[[#This Row],[Order Date]]</f>
        <v>3</v>
      </c>
      <c r="AD2859" t="str">
        <f>IF(OrdersTable[[#This Row],[Delivery Days]]&lt;=2, "Express (≤2d)", IF(OrdersTable[[#This Row],[Delivery Days]]&lt;=4, "Standard (3-4d)", "Delayed (5d+)"))</f>
        <v>Standard (3-4d)</v>
      </c>
      <c r="AE2859">
        <v>4</v>
      </c>
      <c r="AF2859">
        <v>1</v>
      </c>
    </row>
    <row r="2860" spans="1:32" ht="15" x14ac:dyDescent="0.35">
      <c r="A2860" t="s">
        <v>4699</v>
      </c>
      <c r="B2860" s="1">
        <v>45765</v>
      </c>
      <c r="C2860">
        <f>YEAR(OrdersTable[[#This Row],[Order Date]])</f>
        <v>2025</v>
      </c>
      <c r="D2860" s="2">
        <f>DATE(YEAR(OrdersTable[[#This Row],[Order Date]]),MONTH(OrdersTable[[#This Row],[Order Date]]),1)</f>
        <v>45748</v>
      </c>
      <c r="E2860">
        <f>MONTH(OrdersTable[[#This Row],[Order Date]])</f>
        <v>4</v>
      </c>
      <c r="F2860" t="s">
        <v>4095</v>
      </c>
      <c r="G2860" t="str">
        <f>IF(OrdersTable[[#This Row],[Order Date]]=_xlfn.MINIFS(Order_Date, Customer_ID, OrdersTable[[#This Row],[Customer ID]]), "New", "Repeat")</f>
        <v>Repeat</v>
      </c>
      <c r="H2860" t="s">
        <v>76</v>
      </c>
      <c r="I2860" t="str">
        <f>INDEX(State!B:B,MATCH(OrdersTable[[#This Row],[State]],State!A:A,0))</f>
        <v>UP</v>
      </c>
      <c r="J2860" t="str">
        <f>INDEX(State!C:C,MATCH(OrdersTable[[#This Row],[State Code]],State!B:B,0))</f>
        <v>North</v>
      </c>
      <c r="K2860" t="s">
        <v>77</v>
      </c>
      <c r="L2860" t="s">
        <v>65</v>
      </c>
      <c r="M2860" t="s">
        <v>84</v>
      </c>
      <c r="N2860" t="str">
        <f>INDEX(Products!B:B,MATCH(OrdersTable[[#This Row],[Product ID]],Products!A:A,0))</f>
        <v>Cotton Bedsheet</v>
      </c>
      <c r="O2860" t="str">
        <f>INDEX(Products!C:C,MATCH(OrdersTable[[#This Row],[Product ID]],Products!A:A,0))</f>
        <v>Home &amp; Kitchen</v>
      </c>
      <c r="P2860">
        <v>1</v>
      </c>
      <c r="Q2860" s="5">
        <v>1299</v>
      </c>
      <c r="R2860" s="74">
        <v>0.1</v>
      </c>
      <c r="S2860" s="75">
        <f>OrdersTable[[#This Row],[Quantity]]*OrdersTable[[#This Row],[Unit Price]]</f>
        <v>1299</v>
      </c>
      <c r="T2860" s="5">
        <f>OrdersTable[[#This Row],[Gross Sale]]*OrdersTable[[#This Row],[Discount_Clean2]]</f>
        <v>129.9</v>
      </c>
      <c r="U2860" s="5">
        <f>OrdersTable[[#This Row],[Gross Sale]]-OrdersTable[[#This Row],[Discount Amount]]</f>
        <v>1169.0999999999999</v>
      </c>
      <c r="V2860" s="77">
        <f>INDEX(Products!E:E,MATCH(OrdersTable[[#This Row],[Product ID]],Products!A:A,0))</f>
        <v>585</v>
      </c>
      <c r="W2860" s="77">
        <f>OrdersTable[[#This Row],[Quantity]]*OrdersTable[[#This Row],[Unit Cost]]</f>
        <v>585</v>
      </c>
      <c r="X2860" s="77">
        <f>'Dropdown Lists'!$I$2*(1+OrdersTable[[#This Row],[Returned]])</f>
        <v>60</v>
      </c>
      <c r="Y2860" s="76">
        <f>OrdersTable[[#This Row],[Net Revenue]]-OrdersTable[[#This Row],[COGS]]-OrdersTable[[#This Row],[Shipping Cost]]</f>
        <v>524.09999999999991</v>
      </c>
      <c r="Z2860" s="78">
        <f>IFERROR(OrdersTable[[#This Row],[Profit]]/OrdersTable[[#This Row],[Net Revenue]],0)</f>
        <v>0.44829355914806257</v>
      </c>
      <c r="AA2860" t="s">
        <v>4450</v>
      </c>
      <c r="AB2860" s="79">
        <v>45769</v>
      </c>
      <c r="AC2860">
        <f>OrdersTable[[#This Row],[Delivery Date]]-OrdersTable[[#This Row],[Order Date]]</f>
        <v>4</v>
      </c>
      <c r="AD2860" t="str">
        <f>IF(OrdersTable[[#This Row],[Delivery Days]]&lt;=2, "Express (≤2d)", IF(OrdersTable[[#This Row],[Delivery Days]]&lt;=4, "Standard (3-4d)", "Delayed (5d+)"))</f>
        <v>Standard (3-4d)</v>
      </c>
      <c r="AE2860">
        <v>3</v>
      </c>
      <c r="AF2860">
        <v>0</v>
      </c>
    </row>
    <row r="2861" spans="1:32" ht="15" x14ac:dyDescent="0.35">
      <c r="A2861" t="s">
        <v>5409</v>
      </c>
      <c r="B2861" s="1">
        <v>45765</v>
      </c>
      <c r="C2861">
        <f>YEAR(OrdersTable[[#This Row],[Order Date]])</f>
        <v>2025</v>
      </c>
      <c r="D2861" s="2">
        <f>DATE(YEAR(OrdersTable[[#This Row],[Order Date]]),MONTH(OrdersTable[[#This Row],[Order Date]]),1)</f>
        <v>45748</v>
      </c>
      <c r="E2861">
        <f>MONTH(OrdersTable[[#This Row],[Order Date]])</f>
        <v>4</v>
      </c>
      <c r="F2861" t="s">
        <v>4070</v>
      </c>
      <c r="G2861" t="str">
        <f>IF(OrdersTable[[#This Row],[Order Date]]=_xlfn.MINIFS(Order_Date, Customer_ID, OrdersTable[[#This Row],[Customer ID]]), "New", "Repeat")</f>
        <v>Repeat</v>
      </c>
      <c r="H2861" t="s">
        <v>76</v>
      </c>
      <c r="I2861" t="str">
        <f>INDEX(State!B:B,MATCH(OrdersTable[[#This Row],[State]],State!A:A,0))</f>
        <v>UP</v>
      </c>
      <c r="J2861" t="str">
        <f>INDEX(State!C:C,MATCH(OrdersTable[[#This Row],[State Code]],State!B:B,0))</f>
        <v>North</v>
      </c>
      <c r="K2861" t="s">
        <v>77</v>
      </c>
      <c r="L2861" t="s">
        <v>50</v>
      </c>
      <c r="M2861" t="s">
        <v>109</v>
      </c>
      <c r="N2861" t="str">
        <f>INDEX(Products!B:B,MATCH(OrdersTable[[#This Row],[Product ID]],Products!A:A,0))</f>
        <v>Onion Hair Oil</v>
      </c>
      <c r="O2861" t="str">
        <f>INDEX(Products!C:C,MATCH(OrdersTable[[#This Row],[Product ID]],Products!A:A,0))</f>
        <v>Haircare</v>
      </c>
      <c r="P2861">
        <v>2</v>
      </c>
      <c r="Q2861" s="5">
        <v>349</v>
      </c>
      <c r="R2861" s="74">
        <v>0.35</v>
      </c>
      <c r="S2861" s="75">
        <f>OrdersTable[[#This Row],[Quantity]]*OrdersTable[[#This Row],[Unit Price]]</f>
        <v>698</v>
      </c>
      <c r="T2861" s="5">
        <f>OrdersTable[[#This Row],[Gross Sale]]*OrdersTable[[#This Row],[Discount_Clean2]]</f>
        <v>244.29999999999998</v>
      </c>
      <c r="U2861" s="5">
        <f>OrdersTable[[#This Row],[Gross Sale]]-OrdersTable[[#This Row],[Discount Amount]]</f>
        <v>453.70000000000005</v>
      </c>
      <c r="V2861" s="77">
        <f>INDEX(Products!E:E,MATCH(OrdersTable[[#This Row],[Product ID]],Products!A:A,0))</f>
        <v>105</v>
      </c>
      <c r="W2861" s="77">
        <f>OrdersTable[[#This Row],[Quantity]]*OrdersTable[[#This Row],[Unit Cost]]</f>
        <v>210</v>
      </c>
      <c r="X2861" s="77">
        <f>'Dropdown Lists'!$I$2*(1+OrdersTable[[#This Row],[Returned]])</f>
        <v>60</v>
      </c>
      <c r="Y2861" s="76">
        <f>OrdersTable[[#This Row],[Net Revenue]]-OrdersTable[[#This Row],[COGS]]-OrdersTable[[#This Row],[Shipping Cost]]</f>
        <v>183.70000000000005</v>
      </c>
      <c r="Z2861" s="78">
        <f>IFERROR(OrdersTable[[#This Row],[Profit]]/OrdersTable[[#This Row],[Net Revenue]],0)</f>
        <v>0.40489310116817284</v>
      </c>
      <c r="AA2861" t="s">
        <v>2522</v>
      </c>
      <c r="AB2861" s="79">
        <v>45770</v>
      </c>
      <c r="AC2861">
        <f>OrdersTable[[#This Row],[Delivery Date]]-OrdersTable[[#This Row],[Order Date]]</f>
        <v>5</v>
      </c>
      <c r="AD2861" t="str">
        <f>IF(OrdersTable[[#This Row],[Delivery Days]]&lt;=2, "Express (≤2d)", IF(OrdersTable[[#This Row],[Delivery Days]]&lt;=4, "Standard (3-4d)", "Delayed (5d+)"))</f>
        <v>Delayed (5d+)</v>
      </c>
      <c r="AE2861">
        <v>3</v>
      </c>
      <c r="AF2861">
        <v>0</v>
      </c>
    </row>
    <row r="2862" spans="1:32" ht="15" x14ac:dyDescent="0.35">
      <c r="A2862" t="s">
        <v>5519</v>
      </c>
      <c r="B2862" s="1">
        <v>45765</v>
      </c>
      <c r="C2862">
        <f>YEAR(OrdersTable[[#This Row],[Order Date]])</f>
        <v>2025</v>
      </c>
      <c r="D2862" s="2">
        <f>DATE(YEAR(OrdersTable[[#This Row],[Order Date]]),MONTH(OrdersTable[[#This Row],[Order Date]]),1)</f>
        <v>45748</v>
      </c>
      <c r="E2862">
        <f>MONTH(OrdersTable[[#This Row],[Order Date]])</f>
        <v>4</v>
      </c>
      <c r="F2862" t="s">
        <v>1839</v>
      </c>
      <c r="G2862" t="str">
        <f>IF(OrdersTable[[#This Row],[Order Date]]=_xlfn.MINIFS(Order_Date, Customer_ID, OrdersTable[[#This Row],[Customer ID]]), "New", "Repeat")</f>
        <v>Repeat</v>
      </c>
      <c r="H2862" t="s">
        <v>76</v>
      </c>
      <c r="I2862" t="str">
        <f>INDEX(State!B:B,MATCH(OrdersTable[[#This Row],[State]],State!A:A,0))</f>
        <v>UP</v>
      </c>
      <c r="J2862" t="str">
        <f>INDEX(State!C:C,MATCH(OrdersTable[[#This Row],[State Code]],State!B:B,0))</f>
        <v>North</v>
      </c>
      <c r="K2862" t="s">
        <v>77</v>
      </c>
      <c r="L2862" t="s">
        <v>65</v>
      </c>
      <c r="M2862" t="s">
        <v>45</v>
      </c>
      <c r="N2862" t="str">
        <f>INDEX(Products!B:B,MATCH(OrdersTable[[#This Row],[Product ID]],Products!A:A,0))</f>
        <v>Argan Shampoo</v>
      </c>
      <c r="O2862" t="str">
        <f>INDEX(Products!C:C,MATCH(OrdersTable[[#This Row],[Product ID]],Products!A:A,0))</f>
        <v>Haircare</v>
      </c>
      <c r="P2862">
        <v>2</v>
      </c>
      <c r="Q2862" s="5">
        <v>449</v>
      </c>
      <c r="R2862" s="74">
        <v>0</v>
      </c>
      <c r="S2862" s="75">
        <f>OrdersTable[[#This Row],[Quantity]]*OrdersTable[[#This Row],[Unit Price]]</f>
        <v>898</v>
      </c>
      <c r="T2862" s="5">
        <f>OrdersTable[[#This Row],[Gross Sale]]*OrdersTable[[#This Row],[Discount_Clean2]]</f>
        <v>0</v>
      </c>
      <c r="U2862" s="5">
        <f>OrdersTable[[#This Row],[Gross Sale]]-OrdersTable[[#This Row],[Discount Amount]]</f>
        <v>898</v>
      </c>
      <c r="V2862" s="77">
        <f>INDEX(Products!E:E,MATCH(OrdersTable[[#This Row],[Product ID]],Products!A:A,0))</f>
        <v>148</v>
      </c>
      <c r="W2862" s="77">
        <f>OrdersTable[[#This Row],[Quantity]]*OrdersTable[[#This Row],[Unit Cost]]</f>
        <v>296</v>
      </c>
      <c r="X2862" s="77">
        <f>'Dropdown Lists'!$I$2*(1+OrdersTable[[#This Row],[Returned]])</f>
        <v>60</v>
      </c>
      <c r="Y2862" s="76">
        <f>OrdersTable[[#This Row],[Net Revenue]]-OrdersTable[[#This Row],[COGS]]-OrdersTable[[#This Row],[Shipping Cost]]</f>
        <v>542</v>
      </c>
      <c r="Z2862" s="78">
        <f>IFERROR(OrdersTable[[#This Row],[Profit]]/OrdersTable[[#This Row],[Net Revenue]],0)</f>
        <v>0.60356347438752789</v>
      </c>
      <c r="AA2862" t="s">
        <v>2522</v>
      </c>
      <c r="AB2862" s="79">
        <v>45768</v>
      </c>
      <c r="AC2862">
        <f>OrdersTable[[#This Row],[Delivery Date]]-OrdersTable[[#This Row],[Order Date]]</f>
        <v>3</v>
      </c>
      <c r="AD2862" t="str">
        <f>IF(OrdersTable[[#This Row],[Delivery Days]]&lt;=2, "Express (≤2d)", IF(OrdersTable[[#This Row],[Delivery Days]]&lt;=4, "Standard (3-4d)", "Delayed (5d+)"))</f>
        <v>Standard (3-4d)</v>
      </c>
      <c r="AE2862">
        <v>4</v>
      </c>
      <c r="AF2862">
        <v>0</v>
      </c>
    </row>
    <row r="2863" spans="1:32" ht="15" x14ac:dyDescent="0.35">
      <c r="A2863" t="s">
        <v>979</v>
      </c>
      <c r="B2863" s="1">
        <v>45765</v>
      </c>
      <c r="C2863">
        <f>YEAR(OrdersTable[[#This Row],[Order Date]])</f>
        <v>2025</v>
      </c>
      <c r="D2863" s="2">
        <f>DATE(YEAR(OrdersTable[[#This Row],[Order Date]]),MONTH(OrdersTable[[#This Row],[Order Date]]),1)</f>
        <v>45748</v>
      </c>
      <c r="E2863">
        <f>MONTH(OrdersTable[[#This Row],[Order Date]])</f>
        <v>4</v>
      </c>
      <c r="F2863" t="s">
        <v>980</v>
      </c>
      <c r="G2863" t="str">
        <f>IF(OrdersTable[[#This Row],[Order Date]]=_xlfn.MINIFS(Order_Date, Customer_ID, OrdersTable[[#This Row],[Customer ID]]), "New", "Repeat")</f>
        <v>Repeat</v>
      </c>
      <c r="H2863" t="s">
        <v>76</v>
      </c>
      <c r="I2863" t="str">
        <f>INDEX(State!B:B,MATCH(OrdersTable[[#This Row],[State]],State!A:A,0))</f>
        <v>UP</v>
      </c>
      <c r="J2863" t="str">
        <f>INDEX(State!C:C,MATCH(OrdersTable[[#This Row],[State Code]],State!B:B,0))</f>
        <v>North</v>
      </c>
      <c r="K2863" t="s">
        <v>118</v>
      </c>
      <c r="L2863" t="s">
        <v>50</v>
      </c>
      <c r="M2863" t="s">
        <v>61</v>
      </c>
      <c r="N2863" t="str">
        <f>INDEX(Products!B:B,MATCH(OrdersTable[[#This Row],[Product ID]],Products!A:A,0))</f>
        <v>Multivitamin Gummies</v>
      </c>
      <c r="O2863" t="str">
        <f>INDEX(Products!C:C,MATCH(OrdersTable[[#This Row],[Product ID]],Products!A:A,0))</f>
        <v>Wellness</v>
      </c>
      <c r="P2863">
        <v>1</v>
      </c>
      <c r="Q2863" s="5">
        <v>699</v>
      </c>
      <c r="R2863" s="74">
        <v>0.15</v>
      </c>
      <c r="S2863" s="75">
        <f>OrdersTable[[#This Row],[Quantity]]*OrdersTable[[#This Row],[Unit Price]]</f>
        <v>699</v>
      </c>
      <c r="T2863" s="5">
        <f>OrdersTable[[#This Row],[Gross Sale]]*OrdersTable[[#This Row],[Discount_Clean2]]</f>
        <v>104.85</v>
      </c>
      <c r="U2863" s="5">
        <f>OrdersTable[[#This Row],[Gross Sale]]-OrdersTable[[#This Row],[Discount Amount]]</f>
        <v>594.15</v>
      </c>
      <c r="V2863" s="77">
        <f>INDEX(Products!E:E,MATCH(OrdersTable[[#This Row],[Product ID]],Products!A:A,0))</f>
        <v>238</v>
      </c>
      <c r="W2863" s="77">
        <f>OrdersTable[[#This Row],[Quantity]]*OrdersTable[[#This Row],[Unit Cost]]</f>
        <v>238</v>
      </c>
      <c r="X2863" s="77">
        <f>'Dropdown Lists'!$I$2*(1+OrdersTable[[#This Row],[Returned]])</f>
        <v>60</v>
      </c>
      <c r="Y2863" s="76">
        <f>OrdersTable[[#This Row],[Net Revenue]]-OrdersTable[[#This Row],[COGS]]-OrdersTable[[#This Row],[Shipping Cost]]</f>
        <v>296.14999999999998</v>
      </c>
      <c r="Z2863" s="78">
        <f>IFERROR(OrdersTable[[#This Row],[Profit]]/OrdersTable[[#This Row],[Net Revenue]],0)</f>
        <v>0.49844315408566858</v>
      </c>
      <c r="AA2863" t="s">
        <v>18</v>
      </c>
      <c r="AB2863" s="79">
        <v>45769</v>
      </c>
      <c r="AC2863">
        <f>OrdersTable[[#This Row],[Delivery Date]]-OrdersTable[[#This Row],[Order Date]]</f>
        <v>4</v>
      </c>
      <c r="AD2863" t="str">
        <f>IF(OrdersTable[[#This Row],[Delivery Days]]&lt;=2, "Express (≤2d)", IF(OrdersTable[[#This Row],[Delivery Days]]&lt;=4, "Standard (3-4d)", "Delayed (5d+)"))</f>
        <v>Standard (3-4d)</v>
      </c>
      <c r="AE2863">
        <v>4</v>
      </c>
      <c r="AF2863">
        <v>0</v>
      </c>
    </row>
    <row r="2864" spans="1:32" ht="15" x14ac:dyDescent="0.35">
      <c r="A2864" t="s">
        <v>2799</v>
      </c>
      <c r="B2864" s="1">
        <v>45765</v>
      </c>
      <c r="C2864">
        <f>YEAR(OrdersTable[[#This Row],[Order Date]])</f>
        <v>2025</v>
      </c>
      <c r="D2864" s="2">
        <f>DATE(YEAR(OrdersTable[[#This Row],[Order Date]]),MONTH(OrdersTable[[#This Row],[Order Date]]),1)</f>
        <v>45748</v>
      </c>
      <c r="E2864">
        <f>MONTH(OrdersTable[[#This Row],[Order Date]])</f>
        <v>4</v>
      </c>
      <c r="F2864" t="s">
        <v>2800</v>
      </c>
      <c r="G2864" t="str">
        <f>IF(OrdersTable[[#This Row],[Order Date]]=_xlfn.MINIFS(Order_Date, Customer_ID, OrdersTable[[#This Row],[Customer ID]]), "New", "Repeat")</f>
        <v>Repeat</v>
      </c>
      <c r="H2864" t="s">
        <v>76</v>
      </c>
      <c r="I2864" t="str">
        <f>INDEX(State!B:B,MATCH(OrdersTable[[#This Row],[State]],State!A:A,0))</f>
        <v>UP</v>
      </c>
      <c r="J2864" t="str">
        <f>INDEX(State!C:C,MATCH(OrdersTable[[#This Row],[State Code]],State!B:B,0))</f>
        <v>North</v>
      </c>
      <c r="K2864" t="s">
        <v>105</v>
      </c>
      <c r="L2864" t="s">
        <v>23</v>
      </c>
      <c r="M2864" t="s">
        <v>148</v>
      </c>
      <c r="N2864" t="str">
        <f>INDEX(Products!B:B,MATCH(OrdersTable[[#This Row],[Product ID]],Products!A:A,0))</f>
        <v>Smartwatch Strap</v>
      </c>
      <c r="O2864" t="str">
        <f>INDEX(Products!C:C,MATCH(OrdersTable[[#This Row],[Product ID]],Products!A:A,0))</f>
        <v>Electronics</v>
      </c>
      <c r="P2864">
        <v>1</v>
      </c>
      <c r="Q2864" s="5">
        <v>499</v>
      </c>
      <c r="R2864" s="74">
        <v>0.05</v>
      </c>
      <c r="S2864" s="75">
        <f>OrdersTable[[#This Row],[Quantity]]*OrdersTable[[#This Row],[Unit Price]]</f>
        <v>499</v>
      </c>
      <c r="T2864" s="5">
        <f>OrdersTable[[#This Row],[Gross Sale]]*OrdersTable[[#This Row],[Discount_Clean2]]</f>
        <v>24.950000000000003</v>
      </c>
      <c r="U2864" s="5">
        <f>OrdersTable[[#This Row],[Gross Sale]]-OrdersTable[[#This Row],[Discount Amount]]</f>
        <v>474.05</v>
      </c>
      <c r="V2864" s="77">
        <f>INDEX(Products!E:E,MATCH(OrdersTable[[#This Row],[Product ID]],Products!A:A,0))</f>
        <v>200</v>
      </c>
      <c r="W2864" s="77">
        <f>OrdersTable[[#This Row],[Quantity]]*OrdersTable[[#This Row],[Unit Cost]]</f>
        <v>200</v>
      </c>
      <c r="X2864" s="77">
        <f>'Dropdown Lists'!$I$2*(1+OrdersTable[[#This Row],[Returned]])</f>
        <v>60</v>
      </c>
      <c r="Y2864" s="76">
        <f>OrdersTable[[#This Row],[Net Revenue]]-OrdersTable[[#This Row],[COGS]]-OrdersTable[[#This Row],[Shipping Cost]]</f>
        <v>214.05</v>
      </c>
      <c r="Z2864" s="78">
        <f>IFERROR(OrdersTable[[#This Row],[Profit]]/OrdersTable[[#This Row],[Net Revenue]],0)</f>
        <v>0.45153464824385614</v>
      </c>
      <c r="AA2864" t="s">
        <v>2522</v>
      </c>
      <c r="AB2864" s="79">
        <v>45768</v>
      </c>
      <c r="AC2864">
        <f>OrdersTable[[#This Row],[Delivery Date]]-OrdersTable[[#This Row],[Order Date]]</f>
        <v>3</v>
      </c>
      <c r="AD2864" t="str">
        <f>IF(OrdersTable[[#This Row],[Delivery Days]]&lt;=2, "Express (≤2d)", IF(OrdersTable[[#This Row],[Delivery Days]]&lt;=4, "Standard (3-4d)", "Delayed (5d+)"))</f>
        <v>Standard (3-4d)</v>
      </c>
      <c r="AE2864">
        <v>3</v>
      </c>
      <c r="AF2864">
        <v>0</v>
      </c>
    </row>
    <row r="2865" spans="1:32" ht="15" x14ac:dyDescent="0.35">
      <c r="A2865" t="s">
        <v>5186</v>
      </c>
      <c r="B2865" s="1">
        <v>45765</v>
      </c>
      <c r="C2865">
        <f>YEAR(OrdersTable[[#This Row],[Order Date]])</f>
        <v>2025</v>
      </c>
      <c r="D2865" s="2">
        <f>DATE(YEAR(OrdersTable[[#This Row],[Order Date]]),MONTH(OrdersTable[[#This Row],[Order Date]]),1)</f>
        <v>45748</v>
      </c>
      <c r="E2865">
        <f>MONTH(OrdersTable[[#This Row],[Order Date]])</f>
        <v>4</v>
      </c>
      <c r="F2865" t="s">
        <v>3722</v>
      </c>
      <c r="G2865" t="str">
        <f>IF(OrdersTable[[#This Row],[Order Date]]=_xlfn.MINIFS(Order_Date, Customer_ID, OrdersTable[[#This Row],[Customer ID]]), "New", "Repeat")</f>
        <v>Repeat</v>
      </c>
      <c r="H2865" t="s">
        <v>37</v>
      </c>
      <c r="I2865" t="str">
        <f>INDEX(State!B:B,MATCH(OrdersTable[[#This Row],[State]],State!A:A,0))</f>
        <v>GJ</v>
      </c>
      <c r="J2865" t="str">
        <f>INDEX(State!C:C,MATCH(OrdersTable[[#This Row],[State Code]],State!B:B,0))</f>
        <v>West</v>
      </c>
      <c r="K2865" t="s">
        <v>247</v>
      </c>
      <c r="L2865" t="s">
        <v>39</v>
      </c>
      <c r="M2865" t="s">
        <v>152</v>
      </c>
      <c r="N2865" t="str">
        <f>INDEX(Products!B:B,MATCH(OrdersTable[[#This Row],[Product ID]],Products!A:A,0))</f>
        <v>Green Tea (100 bags)</v>
      </c>
      <c r="O2865" t="str">
        <f>INDEX(Products!C:C,MATCH(OrdersTable[[#This Row],[Product ID]],Products!A:A,0))</f>
        <v>Wellness</v>
      </c>
      <c r="P2865">
        <v>2</v>
      </c>
      <c r="Q2865" s="5">
        <v>399</v>
      </c>
      <c r="R2865" s="74">
        <v>0.35</v>
      </c>
      <c r="S2865" s="75">
        <f>OrdersTable[[#This Row],[Quantity]]*OrdersTable[[#This Row],[Unit Price]]</f>
        <v>798</v>
      </c>
      <c r="T2865" s="5">
        <f>OrdersTable[[#This Row],[Gross Sale]]*OrdersTable[[#This Row],[Discount_Clean2]]</f>
        <v>279.29999999999995</v>
      </c>
      <c r="U2865" s="5">
        <f>OrdersTable[[#This Row],[Gross Sale]]-OrdersTable[[#This Row],[Discount Amount]]</f>
        <v>518.70000000000005</v>
      </c>
      <c r="V2865" s="77">
        <f>INDEX(Products!E:E,MATCH(OrdersTable[[#This Row],[Product ID]],Products!A:A,0))</f>
        <v>128</v>
      </c>
      <c r="W2865" s="77">
        <f>OrdersTable[[#This Row],[Quantity]]*OrdersTable[[#This Row],[Unit Cost]]</f>
        <v>256</v>
      </c>
      <c r="X2865" s="77">
        <f>'Dropdown Lists'!$I$2*(1+OrdersTable[[#This Row],[Returned]])</f>
        <v>60</v>
      </c>
      <c r="Y2865" s="76">
        <f>OrdersTable[[#This Row],[Net Revenue]]-OrdersTable[[#This Row],[COGS]]-OrdersTable[[#This Row],[Shipping Cost]]</f>
        <v>202.70000000000005</v>
      </c>
      <c r="Z2865" s="78">
        <f>IFERROR(OrdersTable[[#This Row],[Profit]]/OrdersTable[[#This Row],[Net Revenue]],0)</f>
        <v>0.39078465394254874</v>
      </c>
      <c r="AA2865" t="s">
        <v>3495</v>
      </c>
      <c r="AB2865" s="79">
        <v>45769</v>
      </c>
      <c r="AC2865">
        <f>OrdersTable[[#This Row],[Delivery Date]]-OrdersTable[[#This Row],[Order Date]]</f>
        <v>4</v>
      </c>
      <c r="AD2865" t="str">
        <f>IF(OrdersTable[[#This Row],[Delivery Days]]&lt;=2, "Express (≤2d)", IF(OrdersTable[[#This Row],[Delivery Days]]&lt;=4, "Standard (3-4d)", "Delayed (5d+)"))</f>
        <v>Standard (3-4d)</v>
      </c>
      <c r="AE2865">
        <v>3</v>
      </c>
      <c r="AF2865">
        <v>0</v>
      </c>
    </row>
    <row r="2866" spans="1:32" ht="15" x14ac:dyDescent="0.35">
      <c r="A2866" t="s">
        <v>3055</v>
      </c>
      <c r="B2866" s="1">
        <v>45765</v>
      </c>
      <c r="C2866">
        <f>YEAR(OrdersTable[[#This Row],[Order Date]])</f>
        <v>2025</v>
      </c>
      <c r="D2866" s="2">
        <f>DATE(YEAR(OrdersTable[[#This Row],[Order Date]]),MONTH(OrdersTable[[#This Row],[Order Date]]),1)</f>
        <v>45748</v>
      </c>
      <c r="E2866">
        <f>MONTH(OrdersTable[[#This Row],[Order Date]])</f>
        <v>4</v>
      </c>
      <c r="F2866" t="s">
        <v>1988</v>
      </c>
      <c r="G2866" t="str">
        <f>IF(OrdersTable[[#This Row],[Order Date]]=_xlfn.MINIFS(Order_Date, Customer_ID, OrdersTable[[#This Row],[Customer ID]]), "New", "Repeat")</f>
        <v>Repeat</v>
      </c>
      <c r="H2866" t="s">
        <v>27</v>
      </c>
      <c r="I2866" t="str">
        <f>INDEX(State!B:B,MATCH(OrdersTable[[#This Row],[State]],State!A:A,0))</f>
        <v>WB</v>
      </c>
      <c r="J2866" t="str">
        <f>INDEX(State!C:C,MATCH(OrdersTable[[#This Row],[State Code]],State!B:B,0))</f>
        <v>East</v>
      </c>
      <c r="K2866" t="s">
        <v>28</v>
      </c>
      <c r="L2866" t="s">
        <v>23</v>
      </c>
      <c r="M2866" t="s">
        <v>34</v>
      </c>
      <c r="N2866" t="str">
        <f>INDEX(Products!B:B,MATCH(OrdersTable[[#This Row],[Product ID]],Products!A:A,0))</f>
        <v>Flip Flops</v>
      </c>
      <c r="O2866" t="str">
        <f>INDEX(Products!C:C,MATCH(OrdersTable[[#This Row],[Product ID]],Products!A:A,0))</f>
        <v>Footwear</v>
      </c>
      <c r="P2866">
        <v>1</v>
      </c>
      <c r="Q2866" s="5">
        <v>399</v>
      </c>
      <c r="R2866" s="74">
        <v>0.1</v>
      </c>
      <c r="S2866" s="75">
        <f>OrdersTable[[#This Row],[Quantity]]*OrdersTable[[#This Row],[Unit Price]]</f>
        <v>399</v>
      </c>
      <c r="T2866" s="5">
        <f>OrdersTable[[#This Row],[Gross Sale]]*OrdersTable[[#This Row],[Discount_Clean2]]</f>
        <v>39.900000000000006</v>
      </c>
      <c r="U2866" s="5">
        <f>OrdersTable[[#This Row],[Gross Sale]]-OrdersTable[[#This Row],[Discount Amount]]</f>
        <v>359.1</v>
      </c>
      <c r="V2866" s="77">
        <f>INDEX(Products!E:E,MATCH(OrdersTable[[#This Row],[Product ID]],Products!A:A,0))</f>
        <v>152</v>
      </c>
      <c r="W2866" s="77">
        <f>OrdersTable[[#This Row],[Quantity]]*OrdersTable[[#This Row],[Unit Cost]]</f>
        <v>152</v>
      </c>
      <c r="X2866" s="77">
        <f>'Dropdown Lists'!$I$2*(1+OrdersTable[[#This Row],[Returned]])</f>
        <v>60</v>
      </c>
      <c r="Y2866" s="76">
        <f>OrdersTable[[#This Row],[Net Revenue]]-OrdersTable[[#This Row],[COGS]]-OrdersTable[[#This Row],[Shipping Cost]]</f>
        <v>147.10000000000002</v>
      </c>
      <c r="Z2866" s="78">
        <f>IFERROR(OrdersTable[[#This Row],[Profit]]/OrdersTable[[#This Row],[Net Revenue]],0)</f>
        <v>0.40963519910888335</v>
      </c>
      <c r="AA2866" t="s">
        <v>2522</v>
      </c>
      <c r="AB2866" s="79">
        <v>45766</v>
      </c>
      <c r="AC2866">
        <f>OrdersTable[[#This Row],[Delivery Date]]-OrdersTable[[#This Row],[Order Date]]</f>
        <v>1</v>
      </c>
      <c r="AD2866" t="str">
        <f>IF(OrdersTable[[#This Row],[Delivery Days]]&lt;=2, "Express (≤2d)", IF(OrdersTable[[#This Row],[Delivery Days]]&lt;=4, "Standard (3-4d)", "Delayed (5d+)"))</f>
        <v>Express (≤2d)</v>
      </c>
      <c r="AF2866">
        <v>0</v>
      </c>
    </row>
    <row r="2867" spans="1:32" ht="15" x14ac:dyDescent="0.35">
      <c r="A2867" t="s">
        <v>3618</v>
      </c>
      <c r="B2867" s="1">
        <v>45765</v>
      </c>
      <c r="C2867">
        <f>YEAR(OrdersTable[[#This Row],[Order Date]])</f>
        <v>2025</v>
      </c>
      <c r="D2867" s="2">
        <f>DATE(YEAR(OrdersTable[[#This Row],[Order Date]]),MONTH(OrdersTable[[#This Row],[Order Date]]),1)</f>
        <v>45748</v>
      </c>
      <c r="E2867">
        <f>MONTH(OrdersTable[[#This Row],[Order Date]])</f>
        <v>4</v>
      </c>
      <c r="F2867" t="s">
        <v>1009</v>
      </c>
      <c r="G2867" t="str">
        <f>IF(OrdersTable[[#This Row],[Order Date]]=_xlfn.MINIFS(Order_Date, Customer_ID, OrdersTable[[#This Row],[Customer ID]]), "New", "Repeat")</f>
        <v>New</v>
      </c>
      <c r="H2867" t="s">
        <v>14</v>
      </c>
      <c r="I2867" t="str">
        <f>INDEX(State!B:B,MATCH(OrdersTable[[#This Row],[State]],State!A:A,0))</f>
        <v>OD</v>
      </c>
      <c r="J2867" t="str">
        <f>INDEX(State!C:C,MATCH(OrdersTable[[#This Row],[State Code]],State!B:B,0))</f>
        <v>East</v>
      </c>
      <c r="K2867" t="s">
        <v>15</v>
      </c>
      <c r="L2867" t="s">
        <v>16</v>
      </c>
      <c r="M2867" t="s">
        <v>17</v>
      </c>
      <c r="N2867" t="str">
        <f>INDEX(Products!B:B,MATCH(OrdersTable[[#This Row],[Product ID]],Products!A:A,0))</f>
        <v>Casual Sneakers</v>
      </c>
      <c r="O2867" t="str">
        <f>INDEX(Products!C:C,MATCH(OrdersTable[[#This Row],[Product ID]],Products!A:A,0))</f>
        <v>Footwear</v>
      </c>
      <c r="P2867">
        <v>1</v>
      </c>
      <c r="Q2867" s="5">
        <v>2199</v>
      </c>
      <c r="R2867" s="74">
        <v>0.2</v>
      </c>
      <c r="S2867" s="75">
        <f>OrdersTable[[#This Row],[Quantity]]*OrdersTable[[#This Row],[Unit Price]]</f>
        <v>2199</v>
      </c>
      <c r="T2867" s="5">
        <f>OrdersTable[[#This Row],[Gross Sale]]*OrdersTable[[#This Row],[Discount_Clean2]]</f>
        <v>439.8</v>
      </c>
      <c r="U2867" s="5">
        <f>OrdersTable[[#This Row],[Gross Sale]]-OrdersTable[[#This Row],[Discount Amount]]</f>
        <v>1759.2</v>
      </c>
      <c r="V2867" s="77">
        <f>INDEX(Products!E:E,MATCH(OrdersTable[[#This Row],[Product ID]],Products!A:A,0))</f>
        <v>1034</v>
      </c>
      <c r="W2867" s="77">
        <f>OrdersTable[[#This Row],[Quantity]]*OrdersTable[[#This Row],[Unit Cost]]</f>
        <v>1034</v>
      </c>
      <c r="X2867" s="77">
        <f>'Dropdown Lists'!$I$2*(1+OrdersTable[[#This Row],[Returned]])</f>
        <v>60</v>
      </c>
      <c r="Y2867" s="76">
        <f>OrdersTable[[#This Row],[Net Revenue]]-OrdersTable[[#This Row],[COGS]]-OrdersTable[[#This Row],[Shipping Cost]]</f>
        <v>665.2</v>
      </c>
      <c r="Z2867" s="78">
        <f>IFERROR(OrdersTable[[#This Row],[Profit]]/OrdersTable[[#This Row],[Net Revenue]],0)</f>
        <v>0.37812642110050027</v>
      </c>
      <c r="AA2867" t="s">
        <v>3495</v>
      </c>
      <c r="AB2867" s="79">
        <v>45769</v>
      </c>
      <c r="AC2867">
        <f>OrdersTable[[#This Row],[Delivery Date]]-OrdersTable[[#This Row],[Order Date]]</f>
        <v>4</v>
      </c>
      <c r="AD2867" t="str">
        <f>IF(OrdersTable[[#This Row],[Delivery Days]]&lt;=2, "Express (≤2d)", IF(OrdersTable[[#This Row],[Delivery Days]]&lt;=4, "Standard (3-4d)", "Delayed (5d+)"))</f>
        <v>Standard (3-4d)</v>
      </c>
      <c r="AE2867">
        <v>4</v>
      </c>
      <c r="AF2867">
        <v>0</v>
      </c>
    </row>
    <row r="2868" spans="1:32" ht="15" x14ac:dyDescent="0.35">
      <c r="A2868" t="s">
        <v>981</v>
      </c>
      <c r="B2868" s="1">
        <v>45765</v>
      </c>
      <c r="C2868">
        <f>YEAR(OrdersTable[[#This Row],[Order Date]])</f>
        <v>2025</v>
      </c>
      <c r="D2868" s="2">
        <f>DATE(YEAR(OrdersTable[[#This Row],[Order Date]]),MONTH(OrdersTable[[#This Row],[Order Date]]),1)</f>
        <v>45748</v>
      </c>
      <c r="E2868">
        <f>MONTH(OrdersTable[[#This Row],[Order Date]])</f>
        <v>4</v>
      </c>
      <c r="F2868" t="s">
        <v>982</v>
      </c>
      <c r="G2868" t="str">
        <f>IF(OrdersTable[[#This Row],[Order Date]]=_xlfn.MINIFS(Order_Date, Customer_ID, OrdersTable[[#This Row],[Customer ID]]), "New", "Repeat")</f>
        <v>Repeat</v>
      </c>
      <c r="H2868" t="s">
        <v>167</v>
      </c>
      <c r="I2868" t="str">
        <f>INDEX(State!B:B,MATCH(OrdersTable[[#This Row],[State]],State!A:A,0))</f>
        <v>KA</v>
      </c>
      <c r="J2868" t="str">
        <f>INDEX(State!C:C,MATCH(OrdersTable[[#This Row],[State Code]],State!B:B,0))</f>
        <v>South</v>
      </c>
      <c r="K2868" t="s">
        <v>190</v>
      </c>
      <c r="L2868" t="s">
        <v>39</v>
      </c>
      <c r="M2868" t="s">
        <v>78</v>
      </c>
      <c r="N2868" t="str">
        <f>INDEX(Products!B:B,MATCH(OrdersTable[[#This Row],[Product ID]],Products!A:A,0))</f>
        <v>Retinol Night Cream</v>
      </c>
      <c r="O2868" t="str">
        <f>INDEX(Products!C:C,MATCH(OrdersTable[[#This Row],[Product ID]],Products!A:A,0))</f>
        <v>Skincare</v>
      </c>
      <c r="P2868">
        <v>1</v>
      </c>
      <c r="Q2868" s="5">
        <v>799</v>
      </c>
      <c r="R2868" s="74">
        <v>0.1</v>
      </c>
      <c r="S2868" s="75">
        <f>OrdersTable[[#This Row],[Quantity]]*OrdersTable[[#This Row],[Unit Price]]</f>
        <v>799</v>
      </c>
      <c r="T2868" s="5">
        <f>OrdersTable[[#This Row],[Gross Sale]]*OrdersTable[[#This Row],[Discount_Clean2]]</f>
        <v>79.900000000000006</v>
      </c>
      <c r="U2868" s="5">
        <f>OrdersTable[[#This Row],[Gross Sale]]-OrdersTable[[#This Row],[Discount Amount]]</f>
        <v>719.1</v>
      </c>
      <c r="V2868" s="77">
        <f>INDEX(Products!E:E,MATCH(OrdersTable[[#This Row],[Product ID]],Products!A:A,0))</f>
        <v>216</v>
      </c>
      <c r="W2868" s="77">
        <f>OrdersTable[[#This Row],[Quantity]]*OrdersTable[[#This Row],[Unit Cost]]</f>
        <v>216</v>
      </c>
      <c r="X2868" s="77">
        <f>'Dropdown Lists'!$I$2*(1+OrdersTable[[#This Row],[Returned]])</f>
        <v>60</v>
      </c>
      <c r="Y2868" s="76">
        <f>OrdersTable[[#This Row],[Net Revenue]]-OrdersTable[[#This Row],[COGS]]-OrdersTable[[#This Row],[Shipping Cost]]</f>
        <v>443.1</v>
      </c>
      <c r="Z2868" s="78">
        <f>IFERROR(OrdersTable[[#This Row],[Profit]]/OrdersTable[[#This Row],[Net Revenue]],0)</f>
        <v>0.61618690029203171</v>
      </c>
      <c r="AA2868" t="s">
        <v>18</v>
      </c>
      <c r="AB2868" s="79">
        <v>45767</v>
      </c>
      <c r="AC2868">
        <f>OrdersTable[[#This Row],[Delivery Date]]-OrdersTable[[#This Row],[Order Date]]</f>
        <v>2</v>
      </c>
      <c r="AD2868" t="str">
        <f>IF(OrdersTable[[#This Row],[Delivery Days]]&lt;=2, "Express (≤2d)", IF(OrdersTable[[#This Row],[Delivery Days]]&lt;=4, "Standard (3-4d)", "Delayed (5d+)"))</f>
        <v>Express (≤2d)</v>
      </c>
      <c r="AE2868">
        <v>4</v>
      </c>
      <c r="AF2868">
        <v>0</v>
      </c>
    </row>
    <row r="2869" spans="1:32" ht="15" x14ac:dyDescent="0.35">
      <c r="A2869" t="s">
        <v>300</v>
      </c>
      <c r="B2869" s="1">
        <v>45765</v>
      </c>
      <c r="C2869">
        <f>YEAR(OrdersTable[[#This Row],[Order Date]])</f>
        <v>2025</v>
      </c>
      <c r="D2869" s="2">
        <f>DATE(YEAR(OrdersTable[[#This Row],[Order Date]]),MONTH(OrdersTable[[#This Row],[Order Date]]),1)</f>
        <v>45748</v>
      </c>
      <c r="E2869">
        <f>MONTH(OrdersTable[[#This Row],[Order Date]])</f>
        <v>4</v>
      </c>
      <c r="F2869" t="s">
        <v>301</v>
      </c>
      <c r="G2869" t="str">
        <f>IF(OrdersTable[[#This Row],[Order Date]]=_xlfn.MINIFS(Order_Date, Customer_ID, OrdersTable[[#This Row],[Customer ID]]), "New", "Repeat")</f>
        <v>Repeat</v>
      </c>
      <c r="H2869" t="s">
        <v>167</v>
      </c>
      <c r="I2869" t="str">
        <f>INDEX(State!B:B,MATCH(OrdersTable[[#This Row],[State]],State!A:A,0))</f>
        <v>KA</v>
      </c>
      <c r="J2869" t="str">
        <f>INDEX(State!C:C,MATCH(OrdersTable[[#This Row],[State Code]],State!B:B,0))</f>
        <v>South</v>
      </c>
      <c r="K2869" t="s">
        <v>168</v>
      </c>
      <c r="L2869" t="s">
        <v>23</v>
      </c>
      <c r="M2869" t="s">
        <v>148</v>
      </c>
      <c r="N2869" t="str">
        <f>INDEX(Products!B:B,MATCH(OrdersTable[[#This Row],[Product ID]],Products!A:A,0))</f>
        <v>Smartwatch Strap</v>
      </c>
      <c r="O2869" t="str">
        <f>INDEX(Products!C:C,MATCH(OrdersTable[[#This Row],[Product ID]],Products!A:A,0))</f>
        <v>Electronics</v>
      </c>
      <c r="P2869">
        <v>1</v>
      </c>
      <c r="Q2869" s="5">
        <v>499</v>
      </c>
      <c r="R2869" s="74">
        <v>0.1</v>
      </c>
      <c r="S2869" s="75">
        <f>OrdersTable[[#This Row],[Quantity]]*OrdersTable[[#This Row],[Unit Price]]</f>
        <v>499</v>
      </c>
      <c r="T2869" s="5">
        <f>OrdersTable[[#This Row],[Gross Sale]]*OrdersTable[[#This Row],[Discount_Clean2]]</f>
        <v>49.900000000000006</v>
      </c>
      <c r="U2869" s="5">
        <f>OrdersTable[[#This Row],[Gross Sale]]-OrdersTable[[#This Row],[Discount Amount]]</f>
        <v>449.1</v>
      </c>
      <c r="V2869" s="77">
        <f>INDEX(Products!E:E,MATCH(OrdersTable[[#This Row],[Product ID]],Products!A:A,0))</f>
        <v>200</v>
      </c>
      <c r="W2869" s="77">
        <f>OrdersTable[[#This Row],[Quantity]]*OrdersTable[[#This Row],[Unit Cost]]</f>
        <v>200</v>
      </c>
      <c r="X2869" s="77">
        <f>'Dropdown Lists'!$I$2*(1+OrdersTable[[#This Row],[Returned]])</f>
        <v>60</v>
      </c>
      <c r="Y2869" s="76">
        <f>OrdersTable[[#This Row],[Net Revenue]]-OrdersTable[[#This Row],[COGS]]-OrdersTable[[#This Row],[Shipping Cost]]</f>
        <v>189.10000000000002</v>
      </c>
      <c r="Z2869" s="78">
        <f>IFERROR(OrdersTable[[#This Row],[Profit]]/OrdersTable[[#This Row],[Net Revenue]],0)</f>
        <v>0.42106435092407041</v>
      </c>
      <c r="AA2869" t="s">
        <v>18</v>
      </c>
      <c r="AB2869" s="79">
        <v>45768</v>
      </c>
      <c r="AC2869">
        <f>OrdersTable[[#This Row],[Delivery Date]]-OrdersTable[[#This Row],[Order Date]]</f>
        <v>3</v>
      </c>
      <c r="AD2869" t="str">
        <f>IF(OrdersTable[[#This Row],[Delivery Days]]&lt;=2, "Express (≤2d)", IF(OrdersTable[[#This Row],[Delivery Days]]&lt;=4, "Standard (3-4d)", "Delayed (5d+)"))</f>
        <v>Standard (3-4d)</v>
      </c>
      <c r="AE2869">
        <v>4</v>
      </c>
      <c r="AF2869">
        <v>0</v>
      </c>
    </row>
    <row r="2870" spans="1:32" ht="15" x14ac:dyDescent="0.35">
      <c r="A2870" t="s">
        <v>6360</v>
      </c>
      <c r="B2870" s="1">
        <v>45765</v>
      </c>
      <c r="C2870">
        <f>YEAR(OrdersTable[[#This Row],[Order Date]])</f>
        <v>2025</v>
      </c>
      <c r="D2870" s="2">
        <f>DATE(YEAR(OrdersTable[[#This Row],[Order Date]]),MONTH(OrdersTable[[#This Row],[Order Date]]),1)</f>
        <v>45748</v>
      </c>
      <c r="E2870">
        <f>MONTH(OrdersTable[[#This Row],[Order Date]])</f>
        <v>4</v>
      </c>
      <c r="F2870" t="s">
        <v>1673</v>
      </c>
      <c r="G2870" t="str">
        <f>IF(OrdersTable[[#This Row],[Order Date]]=_xlfn.MINIFS(Order_Date, Customer_ID, OrdersTable[[#This Row],[Customer ID]]), "New", "Repeat")</f>
        <v>Repeat</v>
      </c>
      <c r="H2870" t="s">
        <v>275</v>
      </c>
      <c r="I2870" t="str">
        <f>INDEX(State!B:B,MATCH(OrdersTable[[#This Row],[State]],State!A:A,0))</f>
        <v>AP</v>
      </c>
      <c r="J2870" t="str">
        <f>INDEX(State!C:C,MATCH(OrdersTable[[#This Row],[State Code]],State!B:B,0))</f>
        <v>South</v>
      </c>
      <c r="K2870" t="s">
        <v>491</v>
      </c>
      <c r="L2870" t="s">
        <v>50</v>
      </c>
      <c r="M2870" t="s">
        <v>152</v>
      </c>
      <c r="N2870" t="str">
        <f>INDEX(Products!B:B,MATCH(OrdersTable[[#This Row],[Product ID]],Products!A:A,0))</f>
        <v>Green Tea (100 bags)</v>
      </c>
      <c r="O2870" t="str">
        <f>INDEX(Products!C:C,MATCH(OrdersTable[[#This Row],[Product ID]],Products!A:A,0))</f>
        <v>Wellness</v>
      </c>
      <c r="P2870">
        <v>2</v>
      </c>
      <c r="Q2870" s="5">
        <v>399</v>
      </c>
      <c r="R2870" s="74">
        <v>0.3</v>
      </c>
      <c r="S2870" s="75">
        <f>OrdersTable[[#This Row],[Quantity]]*OrdersTable[[#This Row],[Unit Price]]</f>
        <v>798</v>
      </c>
      <c r="T2870" s="5">
        <f>OrdersTable[[#This Row],[Gross Sale]]*OrdersTable[[#This Row],[Discount_Clean2]]</f>
        <v>239.39999999999998</v>
      </c>
      <c r="U2870" s="5">
        <f>OrdersTable[[#This Row],[Gross Sale]]-OrdersTable[[#This Row],[Discount Amount]]</f>
        <v>558.6</v>
      </c>
      <c r="V2870" s="77">
        <f>INDEX(Products!E:E,MATCH(OrdersTable[[#This Row],[Product ID]],Products!A:A,0))</f>
        <v>128</v>
      </c>
      <c r="W2870" s="77">
        <f>OrdersTable[[#This Row],[Quantity]]*OrdersTable[[#This Row],[Unit Cost]]</f>
        <v>256</v>
      </c>
      <c r="X2870" s="77">
        <f>'Dropdown Lists'!$I$2*(1+OrdersTable[[#This Row],[Returned]])</f>
        <v>60</v>
      </c>
      <c r="Y2870" s="76">
        <f>OrdersTable[[#This Row],[Net Revenue]]-OrdersTable[[#This Row],[COGS]]-OrdersTable[[#This Row],[Shipping Cost]]</f>
        <v>242.60000000000002</v>
      </c>
      <c r="Z2870" s="78">
        <f>IFERROR(OrdersTable[[#This Row],[Profit]]/OrdersTable[[#This Row],[Net Revenue]],0)</f>
        <v>0.43430003580379523</v>
      </c>
      <c r="AA2870" t="s">
        <v>18</v>
      </c>
      <c r="AB2870" s="79">
        <v>45770</v>
      </c>
      <c r="AC2870">
        <f>OrdersTable[[#This Row],[Delivery Date]]-OrdersTable[[#This Row],[Order Date]]</f>
        <v>5</v>
      </c>
      <c r="AD2870" t="str">
        <f>IF(OrdersTable[[#This Row],[Delivery Days]]&lt;=2, "Express (≤2d)", IF(OrdersTable[[#This Row],[Delivery Days]]&lt;=4, "Standard (3-4d)", "Delayed (5d+)"))</f>
        <v>Delayed (5d+)</v>
      </c>
      <c r="AF2870">
        <v>0</v>
      </c>
    </row>
    <row r="2871" spans="1:32" ht="15" x14ac:dyDescent="0.35">
      <c r="A2871" t="s">
        <v>4142</v>
      </c>
      <c r="B2871" s="1">
        <v>45765</v>
      </c>
      <c r="C2871">
        <f>YEAR(OrdersTable[[#This Row],[Order Date]])</f>
        <v>2025</v>
      </c>
      <c r="D2871" s="2">
        <f>DATE(YEAR(OrdersTable[[#This Row],[Order Date]]),MONTH(OrdersTable[[#This Row],[Order Date]]),1)</f>
        <v>45748</v>
      </c>
      <c r="E2871">
        <f>MONTH(OrdersTable[[#This Row],[Order Date]])</f>
        <v>4</v>
      </c>
      <c r="F2871" t="s">
        <v>4143</v>
      </c>
      <c r="G2871" t="str">
        <f>IF(OrdersTable[[#This Row],[Order Date]]=_xlfn.MINIFS(Order_Date, Customer_ID, OrdersTable[[#This Row],[Customer ID]]), "New", "Repeat")</f>
        <v>New</v>
      </c>
      <c r="H2871" t="s">
        <v>275</v>
      </c>
      <c r="I2871" t="str">
        <f>INDEX(State!B:B,MATCH(OrdersTable[[#This Row],[State]],State!A:A,0))</f>
        <v>AP</v>
      </c>
      <c r="J2871" t="str">
        <f>INDEX(State!C:C,MATCH(OrdersTable[[#This Row],[State Code]],State!B:B,0))</f>
        <v>South</v>
      </c>
      <c r="K2871" t="s">
        <v>491</v>
      </c>
      <c r="L2871" t="s">
        <v>23</v>
      </c>
      <c r="M2871" t="s">
        <v>125</v>
      </c>
      <c r="N2871" t="str">
        <f>INDEX(Products!B:B,MATCH(OrdersTable[[#This Row],[Product ID]],Products!A:A,0))</f>
        <v>Copper Water Bottle</v>
      </c>
      <c r="O2871" t="str">
        <f>INDEX(Products!C:C,MATCH(OrdersTable[[#This Row],[Product ID]],Products!A:A,0))</f>
        <v>Home &amp; Kitchen</v>
      </c>
      <c r="P2871">
        <v>1</v>
      </c>
      <c r="Q2871" s="5">
        <v>899</v>
      </c>
      <c r="R2871" s="74">
        <v>0</v>
      </c>
      <c r="S2871" s="75">
        <f>OrdersTable[[#This Row],[Quantity]]*OrdersTable[[#This Row],[Unit Price]]</f>
        <v>899</v>
      </c>
      <c r="T2871" s="5">
        <f>OrdersTable[[#This Row],[Gross Sale]]*OrdersTable[[#This Row],[Discount_Clean2]]</f>
        <v>0</v>
      </c>
      <c r="U2871" s="5">
        <f>OrdersTable[[#This Row],[Gross Sale]]-OrdersTable[[#This Row],[Discount Amount]]</f>
        <v>899</v>
      </c>
      <c r="V2871" s="77">
        <f>INDEX(Products!E:E,MATCH(OrdersTable[[#This Row],[Product ID]],Products!A:A,0))</f>
        <v>378</v>
      </c>
      <c r="W2871" s="77">
        <f>OrdersTable[[#This Row],[Quantity]]*OrdersTable[[#This Row],[Unit Cost]]</f>
        <v>378</v>
      </c>
      <c r="X2871" s="77">
        <f>'Dropdown Lists'!$I$2*(1+OrdersTable[[#This Row],[Returned]])</f>
        <v>60</v>
      </c>
      <c r="Y2871" s="76">
        <f>OrdersTable[[#This Row],[Net Revenue]]-OrdersTable[[#This Row],[COGS]]-OrdersTable[[#This Row],[Shipping Cost]]</f>
        <v>461</v>
      </c>
      <c r="Z2871" s="78">
        <f>IFERROR(OrdersTable[[#This Row],[Profit]]/OrdersTable[[#This Row],[Net Revenue]],0)</f>
        <v>0.51279199110122353</v>
      </c>
      <c r="AA2871" t="s">
        <v>4074</v>
      </c>
      <c r="AB2871" s="79">
        <v>45766</v>
      </c>
      <c r="AC2871">
        <f>OrdersTable[[#This Row],[Delivery Date]]-OrdersTable[[#This Row],[Order Date]]</f>
        <v>1</v>
      </c>
      <c r="AD2871" t="str">
        <f>IF(OrdersTable[[#This Row],[Delivery Days]]&lt;=2, "Express (≤2d)", IF(OrdersTable[[#This Row],[Delivery Days]]&lt;=4, "Standard (3-4d)", "Delayed (5d+)"))</f>
        <v>Express (≤2d)</v>
      </c>
      <c r="AE2871">
        <v>5</v>
      </c>
      <c r="AF2871">
        <v>0</v>
      </c>
    </row>
    <row r="2872" spans="1:32" ht="15" x14ac:dyDescent="0.35">
      <c r="A2872" t="s">
        <v>5710</v>
      </c>
      <c r="B2872" s="1">
        <v>45765</v>
      </c>
      <c r="C2872">
        <f>YEAR(OrdersTable[[#This Row],[Order Date]])</f>
        <v>2025</v>
      </c>
      <c r="D2872" s="2">
        <f>DATE(YEAR(OrdersTable[[#This Row],[Order Date]]),MONTH(OrdersTable[[#This Row],[Order Date]]),1)</f>
        <v>45748</v>
      </c>
      <c r="E2872">
        <f>MONTH(OrdersTable[[#This Row],[Order Date]])</f>
        <v>4</v>
      </c>
      <c r="F2872" t="s">
        <v>3541</v>
      </c>
      <c r="G2872" t="str">
        <f>IF(OrdersTable[[#This Row],[Order Date]]=_xlfn.MINIFS(Order_Date, Customer_ID, OrdersTable[[#This Row],[Customer ID]]), "New", "Repeat")</f>
        <v>Repeat</v>
      </c>
      <c r="H2872" t="s">
        <v>316</v>
      </c>
      <c r="I2872" t="str">
        <f>INDEX(State!B:B,MATCH(OrdersTable[[#This Row],[State]],State!A:A,0))</f>
        <v>KL</v>
      </c>
      <c r="J2872" t="str">
        <f>INDEX(State!C:C,MATCH(OrdersTable[[#This Row],[State Code]],State!B:B,0))</f>
        <v>South</v>
      </c>
      <c r="K2872" t="s">
        <v>317</v>
      </c>
      <c r="L2872" t="s">
        <v>39</v>
      </c>
      <c r="M2872" t="s">
        <v>73</v>
      </c>
      <c r="N2872" t="str">
        <f>INDEX(Products!B:B,MATCH(OrdersTable[[#This Row],[Product ID]],Products!A:A,0))</f>
        <v>Hydrating Face Wash</v>
      </c>
      <c r="O2872" t="str">
        <f>INDEX(Products!C:C,MATCH(OrdersTable[[#This Row],[Product ID]],Products!A:A,0))</f>
        <v>Skincare</v>
      </c>
      <c r="P2872">
        <v>2</v>
      </c>
      <c r="Q2872" s="5">
        <v>299</v>
      </c>
      <c r="R2872" s="74">
        <v>0</v>
      </c>
      <c r="S2872" s="75">
        <f>OrdersTable[[#This Row],[Quantity]]*OrdersTable[[#This Row],[Unit Price]]</f>
        <v>598</v>
      </c>
      <c r="T2872" s="5">
        <f>OrdersTable[[#This Row],[Gross Sale]]*OrdersTable[[#This Row],[Discount_Clean2]]</f>
        <v>0</v>
      </c>
      <c r="U2872" s="5">
        <f>OrdersTable[[#This Row],[Gross Sale]]-OrdersTable[[#This Row],[Discount Amount]]</f>
        <v>598</v>
      </c>
      <c r="V2872" s="77">
        <f>INDEX(Products!E:E,MATCH(OrdersTable[[#This Row],[Product ID]],Products!A:A,0))</f>
        <v>90</v>
      </c>
      <c r="W2872" s="77">
        <f>OrdersTable[[#This Row],[Quantity]]*OrdersTable[[#This Row],[Unit Cost]]</f>
        <v>180</v>
      </c>
      <c r="X2872" s="77">
        <f>'Dropdown Lists'!$I$2*(1+OrdersTable[[#This Row],[Returned]])</f>
        <v>60</v>
      </c>
      <c r="Y2872" s="76">
        <f>OrdersTable[[#This Row],[Net Revenue]]-OrdersTable[[#This Row],[COGS]]-OrdersTable[[#This Row],[Shipping Cost]]</f>
        <v>358</v>
      </c>
      <c r="Z2872" s="78">
        <f>IFERROR(OrdersTable[[#This Row],[Profit]]/OrdersTable[[#This Row],[Net Revenue]],0)</f>
        <v>0.59866220735785958</v>
      </c>
      <c r="AA2872" t="s">
        <v>18</v>
      </c>
      <c r="AB2872" s="79">
        <v>45768</v>
      </c>
      <c r="AC2872">
        <f>OrdersTable[[#This Row],[Delivery Date]]-OrdersTable[[#This Row],[Order Date]]</f>
        <v>3</v>
      </c>
      <c r="AD2872" t="str">
        <f>IF(OrdersTable[[#This Row],[Delivery Days]]&lt;=2, "Express (≤2d)", IF(OrdersTable[[#This Row],[Delivery Days]]&lt;=4, "Standard (3-4d)", "Delayed (5d+)"))</f>
        <v>Standard (3-4d)</v>
      </c>
      <c r="AE2872">
        <v>3</v>
      </c>
      <c r="AF2872">
        <v>0</v>
      </c>
    </row>
    <row r="2873" spans="1:32" ht="15" x14ac:dyDescent="0.35">
      <c r="A2873" t="s">
        <v>3769</v>
      </c>
      <c r="B2873" s="1">
        <v>45765</v>
      </c>
      <c r="C2873">
        <f>YEAR(OrdersTable[[#This Row],[Order Date]])</f>
        <v>2025</v>
      </c>
      <c r="D2873" s="2">
        <f>DATE(YEAR(OrdersTable[[#This Row],[Order Date]]),MONTH(OrdersTable[[#This Row],[Order Date]]),1)</f>
        <v>45748</v>
      </c>
      <c r="E2873">
        <f>MONTH(OrdersTable[[#This Row],[Order Date]])</f>
        <v>4</v>
      </c>
      <c r="F2873" t="s">
        <v>3770</v>
      </c>
      <c r="G2873" t="str">
        <f>IF(OrdersTable[[#This Row],[Order Date]]=_xlfn.MINIFS(Order_Date, Customer_ID, OrdersTable[[#This Row],[Customer ID]]), "New", "Repeat")</f>
        <v>New</v>
      </c>
      <c r="H2873" t="s">
        <v>59</v>
      </c>
      <c r="I2873" t="str">
        <f>INDEX(State!B:B,MATCH(OrdersTable[[#This Row],[State]],State!A:A,0))</f>
        <v>TN</v>
      </c>
      <c r="J2873" t="str">
        <f>INDEX(State!C:C,MATCH(OrdersTable[[#This Row],[State Code]],State!B:B,0))</f>
        <v>South</v>
      </c>
      <c r="K2873" t="s">
        <v>64</v>
      </c>
      <c r="L2873" t="s">
        <v>65</v>
      </c>
      <c r="M2873" t="s">
        <v>29</v>
      </c>
      <c r="N2873" t="str">
        <f>INDEX(Products!B:B,MATCH(OrdersTable[[#This Row],[Product ID]],Products!A:A,0))</f>
        <v>Joggers</v>
      </c>
      <c r="O2873" t="str">
        <f>INDEX(Products!C:C,MATCH(OrdersTable[[#This Row],[Product ID]],Products!A:A,0))</f>
        <v>Apparel</v>
      </c>
      <c r="P2873">
        <v>1</v>
      </c>
      <c r="Q2873" s="5">
        <v>1199</v>
      </c>
      <c r="R2873" s="74">
        <v>0.1</v>
      </c>
      <c r="S2873" s="75">
        <f>OrdersTable[[#This Row],[Quantity]]*OrdersTable[[#This Row],[Unit Price]]</f>
        <v>1199</v>
      </c>
      <c r="T2873" s="5">
        <f>OrdersTable[[#This Row],[Gross Sale]]*OrdersTable[[#This Row],[Discount_Clean2]]</f>
        <v>119.9</v>
      </c>
      <c r="U2873" s="5">
        <f>OrdersTable[[#This Row],[Gross Sale]]-OrdersTable[[#This Row],[Discount Amount]]</f>
        <v>1079.0999999999999</v>
      </c>
      <c r="V2873" s="77">
        <f>INDEX(Products!E:E,MATCH(OrdersTable[[#This Row],[Product ID]],Products!A:A,0))</f>
        <v>492</v>
      </c>
      <c r="W2873" s="77">
        <f>OrdersTable[[#This Row],[Quantity]]*OrdersTable[[#This Row],[Unit Cost]]</f>
        <v>492</v>
      </c>
      <c r="X2873" s="77">
        <f>'Dropdown Lists'!$I$2*(1+OrdersTable[[#This Row],[Returned]])</f>
        <v>60</v>
      </c>
      <c r="Y2873" s="76">
        <f>OrdersTable[[#This Row],[Net Revenue]]-OrdersTable[[#This Row],[COGS]]-OrdersTable[[#This Row],[Shipping Cost]]</f>
        <v>527.09999999999991</v>
      </c>
      <c r="Z2873" s="78">
        <f>IFERROR(OrdersTable[[#This Row],[Profit]]/OrdersTable[[#This Row],[Net Revenue]],0)</f>
        <v>0.48846260772866273</v>
      </c>
      <c r="AA2873" t="s">
        <v>3495</v>
      </c>
      <c r="AB2873" s="79">
        <v>45767</v>
      </c>
      <c r="AC2873">
        <f>OrdersTable[[#This Row],[Delivery Date]]-OrdersTable[[#This Row],[Order Date]]</f>
        <v>2</v>
      </c>
      <c r="AD2873" t="str">
        <f>IF(OrdersTable[[#This Row],[Delivery Days]]&lt;=2, "Express (≤2d)", IF(OrdersTable[[#This Row],[Delivery Days]]&lt;=4, "Standard (3-4d)", "Delayed (5d+)"))</f>
        <v>Express (≤2d)</v>
      </c>
      <c r="AF2873">
        <v>0</v>
      </c>
    </row>
    <row r="2874" spans="1:32" ht="15" x14ac:dyDescent="0.35">
      <c r="A2874" t="s">
        <v>2801</v>
      </c>
      <c r="B2874" s="1">
        <v>45765</v>
      </c>
      <c r="C2874">
        <f>YEAR(OrdersTable[[#This Row],[Order Date]])</f>
        <v>2025</v>
      </c>
      <c r="D2874" s="2">
        <f>DATE(YEAR(OrdersTable[[#This Row],[Order Date]]),MONTH(OrdersTable[[#This Row],[Order Date]]),1)</f>
        <v>45748</v>
      </c>
      <c r="E2874">
        <f>MONTH(OrdersTable[[#This Row],[Order Date]])</f>
        <v>4</v>
      </c>
      <c r="F2874" t="s">
        <v>553</v>
      </c>
      <c r="G2874" t="str">
        <f>IF(OrdersTable[[#This Row],[Order Date]]=_xlfn.MINIFS(Order_Date, Customer_ID, OrdersTable[[#This Row],[Customer ID]]), "New", "Repeat")</f>
        <v>Repeat</v>
      </c>
      <c r="H2874" t="s">
        <v>59</v>
      </c>
      <c r="I2874" t="str">
        <f>INDEX(State!B:B,MATCH(OrdersTable[[#This Row],[State]],State!A:A,0))</f>
        <v>TN</v>
      </c>
      <c r="J2874" t="str">
        <f>INDEX(State!C:C,MATCH(OrdersTable[[#This Row],[State Code]],State!B:B,0))</f>
        <v>South</v>
      </c>
      <c r="K2874" t="s">
        <v>64</v>
      </c>
      <c r="L2874" t="s">
        <v>23</v>
      </c>
      <c r="M2874" t="s">
        <v>66</v>
      </c>
      <c r="N2874" t="str">
        <f>INDEX(Products!B:B,MATCH(OrdersTable[[#This Row],[Product ID]],Products!A:A,0))</f>
        <v>Sunscreen SPF 50</v>
      </c>
      <c r="O2874" t="str">
        <f>INDEX(Products!C:C,MATCH(OrdersTable[[#This Row],[Product ID]],Products!A:A,0))</f>
        <v>Skincare</v>
      </c>
      <c r="P2874">
        <v>1</v>
      </c>
      <c r="Q2874" s="5">
        <v>449</v>
      </c>
      <c r="R2874" s="74">
        <v>0</v>
      </c>
      <c r="S2874" s="75">
        <f>OrdersTable[[#This Row],[Quantity]]*OrdersTable[[#This Row],[Unit Price]]</f>
        <v>449</v>
      </c>
      <c r="T2874" s="5">
        <f>OrdersTable[[#This Row],[Gross Sale]]*OrdersTable[[#This Row],[Discount_Clean2]]</f>
        <v>0</v>
      </c>
      <c r="U2874" s="5">
        <f>OrdersTable[[#This Row],[Gross Sale]]-OrdersTable[[#This Row],[Discount Amount]]</f>
        <v>449</v>
      </c>
      <c r="V2874" s="77">
        <f>INDEX(Products!E:E,MATCH(OrdersTable[[#This Row],[Product ID]],Products!A:A,0))</f>
        <v>144</v>
      </c>
      <c r="W2874" s="77">
        <f>OrdersTable[[#This Row],[Quantity]]*OrdersTable[[#This Row],[Unit Cost]]</f>
        <v>144</v>
      </c>
      <c r="X2874" s="77">
        <f>'Dropdown Lists'!$I$2*(1+OrdersTable[[#This Row],[Returned]])</f>
        <v>60</v>
      </c>
      <c r="Y2874" s="76">
        <f>OrdersTable[[#This Row],[Net Revenue]]-OrdersTable[[#This Row],[COGS]]-OrdersTable[[#This Row],[Shipping Cost]]</f>
        <v>245</v>
      </c>
      <c r="Z2874" s="78">
        <f>IFERROR(OrdersTable[[#This Row],[Profit]]/OrdersTable[[#This Row],[Net Revenue]],0)</f>
        <v>0.54565701559020041</v>
      </c>
      <c r="AA2874" t="s">
        <v>2522</v>
      </c>
      <c r="AB2874" s="79">
        <v>45769</v>
      </c>
      <c r="AC2874">
        <f>OrdersTable[[#This Row],[Delivery Date]]-OrdersTable[[#This Row],[Order Date]]</f>
        <v>4</v>
      </c>
      <c r="AD2874" t="str">
        <f>IF(OrdersTable[[#This Row],[Delivery Days]]&lt;=2, "Express (≤2d)", IF(OrdersTable[[#This Row],[Delivery Days]]&lt;=4, "Standard (3-4d)", "Delayed (5d+)"))</f>
        <v>Standard (3-4d)</v>
      </c>
      <c r="AE2874">
        <v>3</v>
      </c>
      <c r="AF2874">
        <v>0</v>
      </c>
    </row>
    <row r="2875" spans="1:32" ht="15" x14ac:dyDescent="0.35">
      <c r="A2875" t="s">
        <v>6795</v>
      </c>
      <c r="B2875" s="1">
        <v>45766</v>
      </c>
      <c r="C2875">
        <f>YEAR(OrdersTable[[#This Row],[Order Date]])</f>
        <v>2025</v>
      </c>
      <c r="D2875" s="2">
        <f>DATE(YEAR(OrdersTable[[#This Row],[Order Date]]),MONTH(OrdersTable[[#This Row],[Order Date]]),1)</f>
        <v>45748</v>
      </c>
      <c r="E2875">
        <f>MONTH(OrdersTable[[#This Row],[Order Date]])</f>
        <v>4</v>
      </c>
      <c r="F2875" t="s">
        <v>575</v>
      </c>
      <c r="G2875" t="str">
        <f>IF(OrdersTable[[#This Row],[Order Date]]=_xlfn.MINIFS(Order_Date, Customer_ID, OrdersTable[[#This Row],[Customer ID]]), "New", "Repeat")</f>
        <v>Repeat</v>
      </c>
      <c r="H2875" t="s">
        <v>128</v>
      </c>
      <c r="I2875" t="str">
        <f>INDEX(State!B:B,MATCH(OrdersTable[[#This Row],[State]],State!A:A,0))</f>
        <v>DL</v>
      </c>
      <c r="J2875" t="str">
        <f>INDEX(State!C:C,MATCH(OrdersTable[[#This Row],[State Code]],State!B:B,0))</f>
        <v>North</v>
      </c>
      <c r="K2875" t="s">
        <v>129</v>
      </c>
      <c r="L2875" t="s">
        <v>65</v>
      </c>
      <c r="M2875" t="s">
        <v>78</v>
      </c>
      <c r="N2875" t="str">
        <f>INDEX(Products!B:B,MATCH(OrdersTable[[#This Row],[Product ID]],Products!A:A,0))</f>
        <v>Retinol Night Cream</v>
      </c>
      <c r="O2875" t="str">
        <f>INDEX(Products!C:C,MATCH(OrdersTable[[#This Row],[Product ID]],Products!A:A,0))</f>
        <v>Skincare</v>
      </c>
      <c r="P2875">
        <v>3</v>
      </c>
      <c r="Q2875" s="5">
        <v>799</v>
      </c>
      <c r="R2875" s="74">
        <v>0</v>
      </c>
      <c r="S2875" s="75">
        <f>OrdersTable[[#This Row],[Quantity]]*OrdersTable[[#This Row],[Unit Price]]</f>
        <v>2397</v>
      </c>
      <c r="T2875" s="5">
        <f>OrdersTable[[#This Row],[Gross Sale]]*OrdersTable[[#This Row],[Discount_Clean2]]</f>
        <v>0</v>
      </c>
      <c r="U2875" s="5">
        <f>OrdersTable[[#This Row],[Gross Sale]]-OrdersTable[[#This Row],[Discount Amount]]</f>
        <v>2397</v>
      </c>
      <c r="V2875" s="77">
        <f>INDEX(Products!E:E,MATCH(OrdersTable[[#This Row],[Product ID]],Products!A:A,0))</f>
        <v>216</v>
      </c>
      <c r="W2875" s="77">
        <f>OrdersTable[[#This Row],[Quantity]]*OrdersTable[[#This Row],[Unit Cost]]</f>
        <v>648</v>
      </c>
      <c r="X2875" s="77">
        <f>'Dropdown Lists'!$I$2*(1+OrdersTable[[#This Row],[Returned]])</f>
        <v>60</v>
      </c>
      <c r="Y2875" s="76">
        <f>OrdersTable[[#This Row],[Net Revenue]]-OrdersTable[[#This Row],[COGS]]-OrdersTable[[#This Row],[Shipping Cost]]</f>
        <v>1689</v>
      </c>
      <c r="Z2875" s="78">
        <f>IFERROR(OrdersTable[[#This Row],[Profit]]/OrdersTable[[#This Row],[Net Revenue]],0)</f>
        <v>0.70463078848560701</v>
      </c>
      <c r="AA2875" t="s">
        <v>3495</v>
      </c>
      <c r="AB2875" s="79">
        <v>45767</v>
      </c>
      <c r="AC2875">
        <f>OrdersTable[[#This Row],[Delivery Date]]-OrdersTable[[#This Row],[Order Date]]</f>
        <v>1</v>
      </c>
      <c r="AD2875" t="str">
        <f>IF(OrdersTable[[#This Row],[Delivery Days]]&lt;=2, "Express (≤2d)", IF(OrdersTable[[#This Row],[Delivery Days]]&lt;=4, "Standard (3-4d)", "Delayed (5d+)"))</f>
        <v>Express (≤2d)</v>
      </c>
      <c r="AE2875">
        <v>5</v>
      </c>
      <c r="AF2875">
        <v>0</v>
      </c>
    </row>
    <row r="2876" spans="1:32" ht="15" x14ac:dyDescent="0.35">
      <c r="A2876" t="s">
        <v>302</v>
      </c>
      <c r="B2876" s="1">
        <v>45766</v>
      </c>
      <c r="C2876">
        <f>YEAR(OrdersTable[[#This Row],[Order Date]])</f>
        <v>2025</v>
      </c>
      <c r="D2876" s="2">
        <f>DATE(YEAR(OrdersTable[[#This Row],[Order Date]]),MONTH(OrdersTable[[#This Row],[Order Date]]),1)</f>
        <v>45748</v>
      </c>
      <c r="E2876">
        <f>MONTH(OrdersTable[[#This Row],[Order Date]])</f>
        <v>4</v>
      </c>
      <c r="F2876" t="s">
        <v>303</v>
      </c>
      <c r="G2876" t="str">
        <f>IF(OrdersTable[[#This Row],[Order Date]]=_xlfn.MINIFS(Order_Date, Customer_ID, OrdersTable[[#This Row],[Customer ID]]), "New", "Repeat")</f>
        <v>New</v>
      </c>
      <c r="H2876" t="s">
        <v>76</v>
      </c>
      <c r="I2876" t="str">
        <f>INDEX(State!B:B,MATCH(OrdersTable[[#This Row],[State]],State!A:A,0))</f>
        <v>UP</v>
      </c>
      <c r="J2876" t="str">
        <f>INDEX(State!C:C,MATCH(OrdersTable[[#This Row],[State Code]],State!B:B,0))</f>
        <v>North</v>
      </c>
      <c r="K2876" t="s">
        <v>77</v>
      </c>
      <c r="L2876" t="s">
        <v>23</v>
      </c>
      <c r="M2876" t="s">
        <v>73</v>
      </c>
      <c r="N2876" t="str">
        <f>INDEX(Products!B:B,MATCH(OrdersTable[[#This Row],[Product ID]],Products!A:A,0))</f>
        <v>Hydrating Face Wash</v>
      </c>
      <c r="O2876" t="str">
        <f>INDEX(Products!C:C,MATCH(OrdersTable[[#This Row],[Product ID]],Products!A:A,0))</f>
        <v>Skincare</v>
      </c>
      <c r="P2876">
        <v>1</v>
      </c>
      <c r="Q2876" s="5">
        <v>299</v>
      </c>
      <c r="R2876" s="74">
        <v>0</v>
      </c>
      <c r="S2876" s="75">
        <f>OrdersTable[[#This Row],[Quantity]]*OrdersTable[[#This Row],[Unit Price]]</f>
        <v>299</v>
      </c>
      <c r="T2876" s="5">
        <f>OrdersTable[[#This Row],[Gross Sale]]*OrdersTable[[#This Row],[Discount_Clean2]]</f>
        <v>0</v>
      </c>
      <c r="U2876" s="5">
        <f>OrdersTable[[#This Row],[Gross Sale]]-OrdersTable[[#This Row],[Discount Amount]]</f>
        <v>299</v>
      </c>
      <c r="V2876" s="77">
        <f>INDEX(Products!E:E,MATCH(OrdersTable[[#This Row],[Product ID]],Products!A:A,0))</f>
        <v>90</v>
      </c>
      <c r="W2876" s="77">
        <f>OrdersTable[[#This Row],[Quantity]]*OrdersTable[[#This Row],[Unit Cost]]</f>
        <v>90</v>
      </c>
      <c r="X2876" s="77">
        <f>'Dropdown Lists'!$I$2*(1+OrdersTable[[#This Row],[Returned]])</f>
        <v>60</v>
      </c>
      <c r="Y2876" s="76">
        <f>OrdersTable[[#This Row],[Net Revenue]]-OrdersTable[[#This Row],[COGS]]-OrdersTable[[#This Row],[Shipping Cost]]</f>
        <v>149</v>
      </c>
      <c r="Z2876" s="78">
        <f>IFERROR(OrdersTable[[#This Row],[Profit]]/OrdersTable[[#This Row],[Net Revenue]],0)</f>
        <v>0.49832775919732442</v>
      </c>
      <c r="AA2876" t="s">
        <v>18</v>
      </c>
      <c r="AB2876" s="79">
        <v>45771</v>
      </c>
      <c r="AC2876">
        <f>OrdersTable[[#This Row],[Delivery Date]]-OrdersTable[[#This Row],[Order Date]]</f>
        <v>5</v>
      </c>
      <c r="AD2876" t="str">
        <f>IF(OrdersTable[[#This Row],[Delivery Days]]&lt;=2, "Express (≤2d)", IF(OrdersTable[[#This Row],[Delivery Days]]&lt;=4, "Standard (3-4d)", "Delayed (5d+)"))</f>
        <v>Delayed (5d+)</v>
      </c>
      <c r="AE2876">
        <v>4</v>
      </c>
      <c r="AF2876">
        <v>0</v>
      </c>
    </row>
    <row r="2877" spans="1:32" ht="15" x14ac:dyDescent="0.35">
      <c r="A2877" t="s">
        <v>2388</v>
      </c>
      <c r="B2877" s="1">
        <v>45766</v>
      </c>
      <c r="C2877">
        <f>YEAR(OrdersTable[[#This Row],[Order Date]])</f>
        <v>2025</v>
      </c>
      <c r="D2877" s="2">
        <f>DATE(YEAR(OrdersTable[[#This Row],[Order Date]]),MONTH(OrdersTable[[#This Row],[Order Date]]),1)</f>
        <v>45748</v>
      </c>
      <c r="E2877">
        <f>MONTH(OrdersTable[[#This Row],[Order Date]])</f>
        <v>4</v>
      </c>
      <c r="F2877" t="s">
        <v>1166</v>
      </c>
      <c r="G2877" t="str">
        <f>IF(OrdersTable[[#This Row],[Order Date]]=_xlfn.MINIFS(Order_Date, Customer_ID, OrdersTable[[#This Row],[Customer ID]]), "New", "Repeat")</f>
        <v>Repeat</v>
      </c>
      <c r="H2877" t="s">
        <v>167</v>
      </c>
      <c r="I2877" t="str">
        <f>INDEX(State!B:B,MATCH(OrdersTable[[#This Row],[State]],State!A:A,0))</f>
        <v>KA</v>
      </c>
      <c r="J2877" t="str">
        <f>INDEX(State!C:C,MATCH(OrdersTable[[#This Row],[State Code]],State!B:B,0))</f>
        <v>South</v>
      </c>
      <c r="K2877" t="s">
        <v>190</v>
      </c>
      <c r="L2877" t="s">
        <v>16</v>
      </c>
      <c r="M2877" t="s">
        <v>87</v>
      </c>
      <c r="N2877" t="str">
        <f>INDEX(Products!B:B,MATCH(OrdersTable[[#This Row],[Product ID]],Products!A:A,0))</f>
        <v>Linen Kurta</v>
      </c>
      <c r="O2877" t="str">
        <f>INDEX(Products!C:C,MATCH(OrdersTable[[#This Row],[Product ID]],Products!A:A,0))</f>
        <v>Apparel</v>
      </c>
      <c r="P2877">
        <v>1</v>
      </c>
      <c r="Q2877" s="5">
        <v>1499</v>
      </c>
      <c r="R2877" s="74">
        <v>0.3</v>
      </c>
      <c r="S2877" s="75">
        <f>OrdersTable[[#This Row],[Quantity]]*OrdersTable[[#This Row],[Unit Price]]</f>
        <v>1499</v>
      </c>
      <c r="T2877" s="5">
        <f>OrdersTable[[#This Row],[Gross Sale]]*OrdersTable[[#This Row],[Discount_Clean2]]</f>
        <v>449.7</v>
      </c>
      <c r="U2877" s="5">
        <f>OrdersTable[[#This Row],[Gross Sale]]-OrdersTable[[#This Row],[Discount Amount]]</f>
        <v>1049.3</v>
      </c>
      <c r="V2877" s="77">
        <f>INDEX(Products!E:E,MATCH(OrdersTable[[#This Row],[Product ID]],Products!A:A,0))</f>
        <v>630</v>
      </c>
      <c r="W2877" s="77">
        <f>OrdersTable[[#This Row],[Quantity]]*OrdersTable[[#This Row],[Unit Cost]]</f>
        <v>630</v>
      </c>
      <c r="X2877" s="77">
        <f>'Dropdown Lists'!$I$2*(1+OrdersTable[[#This Row],[Returned]])</f>
        <v>60</v>
      </c>
      <c r="Y2877" s="76">
        <f>OrdersTable[[#This Row],[Net Revenue]]-OrdersTable[[#This Row],[COGS]]-OrdersTable[[#This Row],[Shipping Cost]]</f>
        <v>359.29999999999995</v>
      </c>
      <c r="Z2877" s="78">
        <f>IFERROR(OrdersTable[[#This Row],[Profit]]/OrdersTable[[#This Row],[Net Revenue]],0)</f>
        <v>0.34241875536071664</v>
      </c>
      <c r="AA2877" t="s">
        <v>18</v>
      </c>
      <c r="AB2877" s="79">
        <v>45767</v>
      </c>
      <c r="AC2877">
        <f>OrdersTable[[#This Row],[Delivery Date]]-OrdersTable[[#This Row],[Order Date]]</f>
        <v>1</v>
      </c>
      <c r="AD2877" t="str">
        <f>IF(OrdersTable[[#This Row],[Delivery Days]]&lt;=2, "Express (≤2d)", IF(OrdersTable[[#This Row],[Delivery Days]]&lt;=4, "Standard (3-4d)", "Delayed (5d+)"))</f>
        <v>Express (≤2d)</v>
      </c>
      <c r="AE2877">
        <v>5</v>
      </c>
      <c r="AF2877">
        <v>0</v>
      </c>
    </row>
    <row r="2878" spans="1:32" ht="15" x14ac:dyDescent="0.35">
      <c r="A2878" t="s">
        <v>7155</v>
      </c>
      <c r="B2878" s="1">
        <v>45766</v>
      </c>
      <c r="C2878">
        <f>YEAR(OrdersTable[[#This Row],[Order Date]])</f>
        <v>2025</v>
      </c>
      <c r="D2878" s="2">
        <f>DATE(YEAR(OrdersTable[[#This Row],[Order Date]]),MONTH(OrdersTable[[#This Row],[Order Date]]),1)</f>
        <v>45748</v>
      </c>
      <c r="E2878">
        <f>MONTH(OrdersTable[[#This Row],[Order Date]])</f>
        <v>4</v>
      </c>
      <c r="F2878" t="s">
        <v>2359</v>
      </c>
      <c r="G2878" t="str">
        <f>IF(OrdersTable[[#This Row],[Order Date]]=_xlfn.MINIFS(Order_Date, Customer_ID, OrdersTable[[#This Row],[Customer ID]]), "New", "Repeat")</f>
        <v>Repeat</v>
      </c>
      <c r="H2878" t="s">
        <v>275</v>
      </c>
      <c r="I2878" t="str">
        <f>INDEX(State!B:B,MATCH(OrdersTable[[#This Row],[State]],State!A:A,0))</f>
        <v>AP</v>
      </c>
      <c r="J2878" t="str">
        <f>INDEX(State!C:C,MATCH(OrdersTable[[#This Row],[State Code]],State!B:B,0))</f>
        <v>South</v>
      </c>
      <c r="K2878" t="s">
        <v>491</v>
      </c>
      <c r="L2878" t="s">
        <v>16</v>
      </c>
      <c r="M2878" t="s">
        <v>87</v>
      </c>
      <c r="N2878" t="str">
        <f>INDEX(Products!B:B,MATCH(OrdersTable[[#This Row],[Product ID]],Products!A:A,0))</f>
        <v>Linen Kurta</v>
      </c>
      <c r="O2878" t="str">
        <f>INDEX(Products!C:C,MATCH(OrdersTable[[#This Row],[Product ID]],Products!A:A,0))</f>
        <v>Apparel</v>
      </c>
      <c r="P2878">
        <v>5</v>
      </c>
      <c r="Q2878" s="5">
        <v>1499</v>
      </c>
      <c r="R2878" s="74">
        <v>0.3</v>
      </c>
      <c r="S2878" s="75">
        <f>OrdersTable[[#This Row],[Quantity]]*OrdersTable[[#This Row],[Unit Price]]</f>
        <v>7495</v>
      </c>
      <c r="T2878" s="5">
        <f>OrdersTable[[#This Row],[Gross Sale]]*OrdersTable[[#This Row],[Discount_Clean2]]</f>
        <v>2248.5</v>
      </c>
      <c r="U2878" s="5">
        <f>OrdersTable[[#This Row],[Gross Sale]]-OrdersTable[[#This Row],[Discount Amount]]</f>
        <v>5246.5</v>
      </c>
      <c r="V2878" s="77">
        <f>INDEX(Products!E:E,MATCH(OrdersTable[[#This Row],[Product ID]],Products!A:A,0))</f>
        <v>630</v>
      </c>
      <c r="W2878" s="77">
        <f>OrdersTable[[#This Row],[Quantity]]*OrdersTable[[#This Row],[Unit Cost]]</f>
        <v>3150</v>
      </c>
      <c r="X2878" s="77">
        <f>'Dropdown Lists'!$I$2*(1+OrdersTable[[#This Row],[Returned]])</f>
        <v>60</v>
      </c>
      <c r="Y2878" s="76">
        <f>OrdersTable[[#This Row],[Net Revenue]]-OrdersTable[[#This Row],[COGS]]-OrdersTable[[#This Row],[Shipping Cost]]</f>
        <v>2036.5</v>
      </c>
      <c r="Z2878" s="78">
        <f>IFERROR(OrdersTable[[#This Row],[Profit]]/OrdersTable[[#This Row],[Net Revenue]],0)</f>
        <v>0.38816353759649291</v>
      </c>
      <c r="AA2878" t="s">
        <v>3495</v>
      </c>
      <c r="AB2878" s="79">
        <v>45769</v>
      </c>
      <c r="AC2878">
        <f>OrdersTable[[#This Row],[Delivery Date]]-OrdersTable[[#This Row],[Order Date]]</f>
        <v>3</v>
      </c>
      <c r="AD2878" t="str">
        <f>IF(OrdersTable[[#This Row],[Delivery Days]]&lt;=2, "Express (≤2d)", IF(OrdersTable[[#This Row],[Delivery Days]]&lt;=4, "Standard (3-4d)", "Delayed (5d+)"))</f>
        <v>Standard (3-4d)</v>
      </c>
      <c r="AE2878">
        <v>3</v>
      </c>
      <c r="AF2878">
        <v>0</v>
      </c>
    </row>
    <row r="2879" spans="1:32" ht="15" x14ac:dyDescent="0.35">
      <c r="A2879" t="s">
        <v>2389</v>
      </c>
      <c r="B2879" s="1">
        <v>45767</v>
      </c>
      <c r="C2879">
        <f>YEAR(OrdersTable[[#This Row],[Order Date]])</f>
        <v>2025</v>
      </c>
      <c r="D2879" s="2">
        <f>DATE(YEAR(OrdersTable[[#This Row],[Order Date]]),MONTH(OrdersTable[[#This Row],[Order Date]]),1)</f>
        <v>45748</v>
      </c>
      <c r="E2879">
        <f>MONTH(OrdersTable[[#This Row],[Order Date]])</f>
        <v>4</v>
      </c>
      <c r="F2879" t="s">
        <v>1488</v>
      </c>
      <c r="G2879" t="str">
        <f>IF(OrdersTable[[#This Row],[Order Date]]=_xlfn.MINIFS(Order_Date, Customer_ID, OrdersTable[[#This Row],[Customer ID]]), "New", "Repeat")</f>
        <v>Repeat</v>
      </c>
      <c r="H2879" t="s">
        <v>128</v>
      </c>
      <c r="I2879" t="str">
        <f>INDEX(State!B:B,MATCH(OrdersTable[[#This Row],[State]],State!A:A,0))</f>
        <v>DL</v>
      </c>
      <c r="J2879" t="str">
        <f>INDEX(State!C:C,MATCH(OrdersTable[[#This Row],[State Code]],State!B:B,0))</f>
        <v>North</v>
      </c>
      <c r="K2879" t="s">
        <v>129</v>
      </c>
      <c r="L2879" t="s">
        <v>23</v>
      </c>
      <c r="M2879" t="s">
        <v>255</v>
      </c>
      <c r="N2879" t="str">
        <f>INDEX(Products!B:B,MATCH(OrdersTable[[#This Row],[Product ID]],Products!A:A,0))</f>
        <v>Cotton Oversized T-Shirt</v>
      </c>
      <c r="O2879" t="str">
        <f>INDEX(Products!C:C,MATCH(OrdersTable[[#This Row],[Product ID]],Products!A:A,0))</f>
        <v>Apparel</v>
      </c>
      <c r="P2879">
        <v>1</v>
      </c>
      <c r="Q2879" s="5">
        <v>799</v>
      </c>
      <c r="R2879" s="74">
        <v>0</v>
      </c>
      <c r="S2879" s="75">
        <f>OrdersTable[[#This Row],[Quantity]]*OrdersTable[[#This Row],[Unit Price]]</f>
        <v>799</v>
      </c>
      <c r="T2879" s="5">
        <f>OrdersTable[[#This Row],[Gross Sale]]*OrdersTable[[#This Row],[Discount_Clean2]]</f>
        <v>0</v>
      </c>
      <c r="U2879" s="5">
        <f>OrdersTable[[#This Row],[Gross Sale]]-OrdersTable[[#This Row],[Discount Amount]]</f>
        <v>799</v>
      </c>
      <c r="V2879" s="77">
        <f>INDEX(Products!E:E,MATCH(OrdersTable[[#This Row],[Product ID]],Products!A:A,0))</f>
        <v>320</v>
      </c>
      <c r="W2879" s="77">
        <f>OrdersTable[[#This Row],[Quantity]]*OrdersTable[[#This Row],[Unit Cost]]</f>
        <v>320</v>
      </c>
      <c r="X2879" s="77">
        <f>'Dropdown Lists'!$I$2*(1+OrdersTable[[#This Row],[Returned]])</f>
        <v>60</v>
      </c>
      <c r="Y2879" s="76">
        <f>OrdersTable[[#This Row],[Net Revenue]]-OrdersTable[[#This Row],[COGS]]-OrdersTable[[#This Row],[Shipping Cost]]</f>
        <v>419</v>
      </c>
      <c r="Z2879" s="78">
        <f>IFERROR(OrdersTable[[#This Row],[Profit]]/OrdersTable[[#This Row],[Net Revenue]],0)</f>
        <v>0.52440550688360454</v>
      </c>
      <c r="AA2879" t="s">
        <v>18</v>
      </c>
      <c r="AB2879" s="79">
        <v>45768</v>
      </c>
      <c r="AC2879">
        <f>OrdersTable[[#This Row],[Delivery Date]]-OrdersTable[[#This Row],[Order Date]]</f>
        <v>1</v>
      </c>
      <c r="AD2879" t="str">
        <f>IF(OrdersTable[[#This Row],[Delivery Days]]&lt;=2, "Express (≤2d)", IF(OrdersTable[[#This Row],[Delivery Days]]&lt;=4, "Standard (3-4d)", "Delayed (5d+)"))</f>
        <v>Express (≤2d)</v>
      </c>
      <c r="AE2879">
        <v>5</v>
      </c>
      <c r="AF2879">
        <v>0</v>
      </c>
    </row>
    <row r="2880" spans="1:32" ht="15" x14ac:dyDescent="0.35">
      <c r="A2880" t="s">
        <v>3771</v>
      </c>
      <c r="B2880" s="1">
        <v>45767</v>
      </c>
      <c r="C2880">
        <f>YEAR(OrdersTable[[#This Row],[Order Date]])</f>
        <v>2025</v>
      </c>
      <c r="D2880" s="2">
        <f>DATE(YEAR(OrdersTable[[#This Row],[Order Date]]),MONTH(OrdersTable[[#This Row],[Order Date]]),1)</f>
        <v>45748</v>
      </c>
      <c r="E2880">
        <f>MONTH(OrdersTable[[#This Row],[Order Date]])</f>
        <v>4</v>
      </c>
      <c r="F2880" t="s">
        <v>1216</v>
      </c>
      <c r="G2880" t="str">
        <f>IF(OrdersTable[[#This Row],[Order Date]]=_xlfn.MINIFS(Order_Date, Customer_ID, OrdersTable[[#This Row],[Customer ID]]), "New", "Repeat")</f>
        <v>Repeat</v>
      </c>
      <c r="H2880" t="s">
        <v>76</v>
      </c>
      <c r="I2880" t="str">
        <f>INDEX(State!B:B,MATCH(OrdersTable[[#This Row],[State]],State!A:A,0))</f>
        <v>UP</v>
      </c>
      <c r="J2880" t="str">
        <f>INDEX(State!C:C,MATCH(OrdersTable[[#This Row],[State Code]],State!B:B,0))</f>
        <v>North</v>
      </c>
      <c r="K2880" t="s">
        <v>105</v>
      </c>
      <c r="L2880" t="s">
        <v>39</v>
      </c>
      <c r="M2880" t="s">
        <v>24</v>
      </c>
      <c r="N2880" t="str">
        <f>INDEX(Products!B:B,MATCH(OrdersTable[[#This Row],[Product ID]],Products!A:A,0))</f>
        <v>Scented Candle Set</v>
      </c>
      <c r="O2880" t="str">
        <f>INDEX(Products!C:C,MATCH(OrdersTable[[#This Row],[Product ID]],Products!A:A,0))</f>
        <v>Home &amp; Kitchen</v>
      </c>
      <c r="P2880">
        <v>1</v>
      </c>
      <c r="Q2880" s="5">
        <v>699</v>
      </c>
      <c r="R2880" s="74">
        <v>0.25</v>
      </c>
      <c r="S2880" s="75">
        <f>OrdersTable[[#This Row],[Quantity]]*OrdersTable[[#This Row],[Unit Price]]</f>
        <v>699</v>
      </c>
      <c r="T2880" s="5">
        <f>OrdersTable[[#This Row],[Gross Sale]]*OrdersTable[[#This Row],[Discount_Clean2]]</f>
        <v>174.75</v>
      </c>
      <c r="U2880" s="5">
        <f>OrdersTable[[#This Row],[Gross Sale]]-OrdersTable[[#This Row],[Discount Amount]]</f>
        <v>524.25</v>
      </c>
      <c r="V2880" s="77">
        <f>INDEX(Products!E:E,MATCH(OrdersTable[[#This Row],[Product ID]],Products!A:A,0))</f>
        <v>245</v>
      </c>
      <c r="W2880" s="77">
        <f>OrdersTable[[#This Row],[Quantity]]*OrdersTable[[#This Row],[Unit Cost]]</f>
        <v>245</v>
      </c>
      <c r="X2880" s="77">
        <f>'Dropdown Lists'!$I$2*(1+OrdersTable[[#This Row],[Returned]])</f>
        <v>60</v>
      </c>
      <c r="Y2880" s="76">
        <f>OrdersTable[[#This Row],[Net Revenue]]-OrdersTable[[#This Row],[COGS]]-OrdersTable[[#This Row],[Shipping Cost]]</f>
        <v>219.25</v>
      </c>
      <c r="Z2880" s="78">
        <f>IFERROR(OrdersTable[[#This Row],[Profit]]/OrdersTable[[#This Row],[Net Revenue]],0)</f>
        <v>0.41821649976156416</v>
      </c>
      <c r="AA2880" t="s">
        <v>3495</v>
      </c>
      <c r="AB2880" s="79">
        <v>45770</v>
      </c>
      <c r="AC2880">
        <f>OrdersTable[[#This Row],[Delivery Date]]-OrdersTable[[#This Row],[Order Date]]</f>
        <v>3</v>
      </c>
      <c r="AD2880" t="str">
        <f>IF(OrdersTable[[#This Row],[Delivery Days]]&lt;=2, "Express (≤2d)", IF(OrdersTable[[#This Row],[Delivery Days]]&lt;=4, "Standard (3-4d)", "Delayed (5d+)"))</f>
        <v>Standard (3-4d)</v>
      </c>
      <c r="AF2880">
        <v>0</v>
      </c>
    </row>
    <row r="2881" spans="1:32" ht="15" x14ac:dyDescent="0.35">
      <c r="A2881" t="s">
        <v>2802</v>
      </c>
      <c r="B2881" s="1">
        <v>45767</v>
      </c>
      <c r="C2881">
        <f>YEAR(OrdersTable[[#This Row],[Order Date]])</f>
        <v>2025</v>
      </c>
      <c r="D2881" s="2">
        <f>DATE(YEAR(OrdersTable[[#This Row],[Order Date]]),MONTH(OrdersTable[[#This Row],[Order Date]]),1)</f>
        <v>45748</v>
      </c>
      <c r="E2881">
        <f>MONTH(OrdersTable[[#This Row],[Order Date]])</f>
        <v>4</v>
      </c>
      <c r="F2881" t="s">
        <v>2803</v>
      </c>
      <c r="G2881" t="str">
        <f>IF(OrdersTable[[#This Row],[Order Date]]=_xlfn.MINIFS(Order_Date, Customer_ID, OrdersTable[[#This Row],[Customer ID]]), "New", "Repeat")</f>
        <v>Repeat</v>
      </c>
      <c r="H2881" t="s">
        <v>37</v>
      </c>
      <c r="I2881" t="str">
        <f>INDEX(State!B:B,MATCH(OrdersTable[[#This Row],[State]],State!A:A,0))</f>
        <v>GJ</v>
      </c>
      <c r="J2881" t="str">
        <f>INDEX(State!C:C,MATCH(OrdersTable[[#This Row],[State Code]],State!B:B,0))</f>
        <v>West</v>
      </c>
      <c r="K2881" t="s">
        <v>38</v>
      </c>
      <c r="L2881" t="s">
        <v>23</v>
      </c>
      <c r="M2881" t="s">
        <v>34</v>
      </c>
      <c r="N2881" t="str">
        <f>INDEX(Products!B:B,MATCH(OrdersTable[[#This Row],[Product ID]],Products!A:A,0))</f>
        <v>Flip Flops</v>
      </c>
      <c r="O2881" t="str">
        <f>INDEX(Products!C:C,MATCH(OrdersTable[[#This Row],[Product ID]],Products!A:A,0))</f>
        <v>Footwear</v>
      </c>
      <c r="P2881">
        <v>1</v>
      </c>
      <c r="Q2881" s="5">
        <v>399</v>
      </c>
      <c r="R2881" s="74">
        <v>0.05</v>
      </c>
      <c r="S2881" s="75">
        <f>OrdersTable[[#This Row],[Quantity]]*OrdersTable[[#This Row],[Unit Price]]</f>
        <v>399</v>
      </c>
      <c r="T2881" s="5">
        <f>OrdersTable[[#This Row],[Gross Sale]]*OrdersTable[[#This Row],[Discount_Clean2]]</f>
        <v>19.950000000000003</v>
      </c>
      <c r="U2881" s="5">
        <f>OrdersTable[[#This Row],[Gross Sale]]-OrdersTable[[#This Row],[Discount Amount]]</f>
        <v>379.05</v>
      </c>
      <c r="V2881" s="77">
        <f>INDEX(Products!E:E,MATCH(OrdersTable[[#This Row],[Product ID]],Products!A:A,0))</f>
        <v>152</v>
      </c>
      <c r="W2881" s="77">
        <f>OrdersTable[[#This Row],[Quantity]]*OrdersTable[[#This Row],[Unit Cost]]</f>
        <v>152</v>
      </c>
      <c r="X2881" s="77">
        <f>'Dropdown Lists'!$I$2*(1+OrdersTable[[#This Row],[Returned]])</f>
        <v>120</v>
      </c>
      <c r="Y2881" s="76">
        <f>OrdersTable[[#This Row],[Net Revenue]]-OrdersTable[[#This Row],[COGS]]-OrdersTable[[#This Row],[Shipping Cost]]</f>
        <v>107.05000000000001</v>
      </c>
      <c r="Z2881" s="78">
        <f>IFERROR(OrdersTable[[#This Row],[Profit]]/OrdersTable[[#This Row],[Net Revenue]],0)</f>
        <v>0.2824165677351273</v>
      </c>
      <c r="AA2881" t="s">
        <v>2522</v>
      </c>
      <c r="AB2881" s="79">
        <v>45770</v>
      </c>
      <c r="AC2881">
        <f>OrdersTable[[#This Row],[Delivery Date]]-OrdersTable[[#This Row],[Order Date]]</f>
        <v>3</v>
      </c>
      <c r="AD2881" t="str">
        <f>IF(OrdersTable[[#This Row],[Delivery Days]]&lt;=2, "Express (≤2d)", IF(OrdersTable[[#This Row],[Delivery Days]]&lt;=4, "Standard (3-4d)", "Delayed (5d+)"))</f>
        <v>Standard (3-4d)</v>
      </c>
      <c r="AE2881">
        <v>3</v>
      </c>
      <c r="AF2881">
        <v>1</v>
      </c>
    </row>
    <row r="2882" spans="1:32" ht="15" x14ac:dyDescent="0.35">
      <c r="A2882" t="s">
        <v>5520</v>
      </c>
      <c r="B2882" s="1">
        <v>45767</v>
      </c>
      <c r="C2882">
        <f>YEAR(OrdersTable[[#This Row],[Order Date]])</f>
        <v>2025</v>
      </c>
      <c r="D2882" s="2">
        <f>DATE(YEAR(OrdersTable[[#This Row],[Order Date]]),MONTH(OrdersTable[[#This Row],[Order Date]]),1)</f>
        <v>45748</v>
      </c>
      <c r="E2882">
        <f>MONTH(OrdersTable[[#This Row],[Order Date]])</f>
        <v>4</v>
      </c>
      <c r="F2882" t="s">
        <v>392</v>
      </c>
      <c r="G2882" t="str">
        <f>IF(OrdersTable[[#This Row],[Order Date]]=_xlfn.MINIFS(Order_Date, Customer_ID, OrdersTable[[#This Row],[Customer ID]]), "New", "Repeat")</f>
        <v>Repeat</v>
      </c>
      <c r="H2882" t="s">
        <v>43</v>
      </c>
      <c r="I2882" t="str">
        <f>INDEX(State!B:B,MATCH(OrdersTable[[#This Row],[State]],State!A:A,0))</f>
        <v>MP</v>
      </c>
      <c r="J2882" t="str">
        <f>INDEX(State!C:C,MATCH(OrdersTable[[#This Row],[State Code]],State!B:B,0))</f>
        <v>West</v>
      </c>
      <c r="K2882" t="s">
        <v>250</v>
      </c>
      <c r="L2882" t="s">
        <v>39</v>
      </c>
      <c r="M2882" t="s">
        <v>255</v>
      </c>
      <c r="N2882" t="str">
        <f>INDEX(Products!B:B,MATCH(OrdersTable[[#This Row],[Product ID]],Products!A:A,0))</f>
        <v>Cotton Oversized T-Shirt</v>
      </c>
      <c r="O2882" t="str">
        <f>INDEX(Products!C:C,MATCH(OrdersTable[[#This Row],[Product ID]],Products!A:A,0))</f>
        <v>Apparel</v>
      </c>
      <c r="P2882">
        <v>2</v>
      </c>
      <c r="Q2882" s="5">
        <v>799</v>
      </c>
      <c r="R2882" s="74">
        <v>0</v>
      </c>
      <c r="S2882" s="75">
        <f>OrdersTable[[#This Row],[Quantity]]*OrdersTable[[#This Row],[Unit Price]]</f>
        <v>1598</v>
      </c>
      <c r="T2882" s="5">
        <f>OrdersTable[[#This Row],[Gross Sale]]*OrdersTable[[#This Row],[Discount_Clean2]]</f>
        <v>0</v>
      </c>
      <c r="U2882" s="5">
        <f>OrdersTable[[#This Row],[Gross Sale]]-OrdersTable[[#This Row],[Discount Amount]]</f>
        <v>1598</v>
      </c>
      <c r="V2882" s="77">
        <f>INDEX(Products!E:E,MATCH(OrdersTable[[#This Row],[Product ID]],Products!A:A,0))</f>
        <v>320</v>
      </c>
      <c r="W2882" s="77">
        <f>OrdersTable[[#This Row],[Quantity]]*OrdersTable[[#This Row],[Unit Cost]]</f>
        <v>640</v>
      </c>
      <c r="X2882" s="77">
        <f>'Dropdown Lists'!$I$2*(1+OrdersTable[[#This Row],[Returned]])</f>
        <v>60</v>
      </c>
      <c r="Y2882" s="76">
        <f>OrdersTable[[#This Row],[Net Revenue]]-OrdersTable[[#This Row],[COGS]]-OrdersTable[[#This Row],[Shipping Cost]]</f>
        <v>898</v>
      </c>
      <c r="Z2882" s="78">
        <f>IFERROR(OrdersTable[[#This Row],[Profit]]/OrdersTable[[#This Row],[Net Revenue]],0)</f>
        <v>0.56195244055068838</v>
      </c>
      <c r="AA2882" t="s">
        <v>2522</v>
      </c>
      <c r="AB2882" s="79">
        <v>45772</v>
      </c>
      <c r="AC2882">
        <f>OrdersTable[[#This Row],[Delivery Date]]-OrdersTable[[#This Row],[Order Date]]</f>
        <v>5</v>
      </c>
      <c r="AD2882" t="str">
        <f>IF(OrdersTable[[#This Row],[Delivery Days]]&lt;=2, "Express (≤2d)", IF(OrdersTable[[#This Row],[Delivery Days]]&lt;=4, "Standard (3-4d)", "Delayed (5d+)"))</f>
        <v>Delayed (5d+)</v>
      </c>
      <c r="AE2882">
        <v>4</v>
      </c>
      <c r="AF2882">
        <v>0</v>
      </c>
    </row>
    <row r="2883" spans="1:32" ht="15" x14ac:dyDescent="0.35">
      <c r="A2883" t="s">
        <v>6361</v>
      </c>
      <c r="B2883" s="1">
        <v>45767</v>
      </c>
      <c r="C2883">
        <f>YEAR(OrdersTable[[#This Row],[Order Date]])</f>
        <v>2025</v>
      </c>
      <c r="D2883" s="2">
        <f>DATE(YEAR(OrdersTable[[#This Row],[Order Date]]),MONTH(OrdersTable[[#This Row],[Order Date]]),1)</f>
        <v>45748</v>
      </c>
      <c r="E2883">
        <f>MONTH(OrdersTable[[#This Row],[Order Date]])</f>
        <v>4</v>
      </c>
      <c r="F2883" t="s">
        <v>268</v>
      </c>
      <c r="G2883" t="str">
        <f>IF(OrdersTable[[#This Row],[Order Date]]=_xlfn.MINIFS(Order_Date, Customer_ID, OrdersTable[[#This Row],[Customer ID]]), "New", "Repeat")</f>
        <v>Repeat</v>
      </c>
      <c r="H2883" t="s">
        <v>123</v>
      </c>
      <c r="I2883" t="str">
        <f>INDEX(State!B:B,MATCH(OrdersTable[[#This Row],[State]],State!A:A,0))</f>
        <v>JH</v>
      </c>
      <c r="J2883" t="str">
        <f>INDEX(State!C:C,MATCH(OrdersTable[[#This Row],[State Code]],State!B:B,0))</f>
        <v>East</v>
      </c>
      <c r="K2883" t="s">
        <v>124</v>
      </c>
      <c r="L2883" t="s">
        <v>65</v>
      </c>
      <c r="M2883" t="s">
        <v>51</v>
      </c>
      <c r="N2883" t="str">
        <f>INDEX(Products!B:B,MATCH(OrdersTable[[#This Row],[Product ID]],Products!A:A,0))</f>
        <v>Anti-Dandruff Conditioner</v>
      </c>
      <c r="O2883" t="str">
        <f>INDEX(Products!C:C,MATCH(OrdersTable[[#This Row],[Product ID]],Products!A:A,0))</f>
        <v>Haircare</v>
      </c>
      <c r="P2883">
        <v>2</v>
      </c>
      <c r="Q2883" s="5">
        <v>399</v>
      </c>
      <c r="R2883" s="74">
        <v>0.4</v>
      </c>
      <c r="S2883" s="75">
        <f>OrdersTable[[#This Row],[Quantity]]*OrdersTable[[#This Row],[Unit Price]]</f>
        <v>798</v>
      </c>
      <c r="T2883" s="5">
        <f>OrdersTable[[#This Row],[Gross Sale]]*OrdersTable[[#This Row],[Discount_Clean2]]</f>
        <v>319.20000000000005</v>
      </c>
      <c r="U2883" s="5">
        <f>OrdersTable[[#This Row],[Gross Sale]]-OrdersTable[[#This Row],[Discount Amount]]</f>
        <v>478.79999999999995</v>
      </c>
      <c r="V2883" s="77">
        <f>INDEX(Products!E:E,MATCH(OrdersTable[[#This Row],[Product ID]],Products!A:A,0))</f>
        <v>136</v>
      </c>
      <c r="W2883" s="77">
        <f>OrdersTable[[#This Row],[Quantity]]*OrdersTable[[#This Row],[Unit Cost]]</f>
        <v>272</v>
      </c>
      <c r="X2883" s="77">
        <f>'Dropdown Lists'!$I$2*(1+OrdersTable[[#This Row],[Returned]])</f>
        <v>60</v>
      </c>
      <c r="Y2883" s="76">
        <f>OrdersTable[[#This Row],[Net Revenue]]-OrdersTable[[#This Row],[COGS]]-OrdersTable[[#This Row],[Shipping Cost]]</f>
        <v>146.79999999999995</v>
      </c>
      <c r="Z2883" s="78">
        <f>IFERROR(OrdersTable[[#This Row],[Profit]]/OrdersTable[[#This Row],[Net Revenue]],0)</f>
        <v>0.30659983291562232</v>
      </c>
      <c r="AA2883" t="s">
        <v>18</v>
      </c>
      <c r="AB2883" s="79">
        <v>45771</v>
      </c>
      <c r="AC2883">
        <f>OrdersTable[[#This Row],[Delivery Date]]-OrdersTable[[#This Row],[Order Date]]</f>
        <v>4</v>
      </c>
      <c r="AD2883" t="str">
        <f>IF(OrdersTable[[#This Row],[Delivery Days]]&lt;=2, "Express (≤2d)", IF(OrdersTable[[#This Row],[Delivery Days]]&lt;=4, "Standard (3-4d)", "Delayed (5d+)"))</f>
        <v>Standard (3-4d)</v>
      </c>
      <c r="AE2883">
        <v>3</v>
      </c>
      <c r="AF2883">
        <v>0</v>
      </c>
    </row>
    <row r="2884" spans="1:32" ht="15" x14ac:dyDescent="0.35">
      <c r="A2884" t="s">
        <v>5942</v>
      </c>
      <c r="B2884" s="1">
        <v>45767</v>
      </c>
      <c r="C2884">
        <f>YEAR(OrdersTable[[#This Row],[Order Date]])</f>
        <v>2025</v>
      </c>
      <c r="D2884" s="2">
        <f>DATE(YEAR(OrdersTable[[#This Row],[Order Date]]),MONTH(OrdersTable[[#This Row],[Order Date]]),1)</f>
        <v>45748</v>
      </c>
      <c r="E2884">
        <f>MONTH(OrdersTable[[#This Row],[Order Date]])</f>
        <v>4</v>
      </c>
      <c r="F2884" t="s">
        <v>5943</v>
      </c>
      <c r="G2884" t="str">
        <f>IF(OrdersTable[[#This Row],[Order Date]]=_xlfn.MINIFS(Order_Date, Customer_ID, OrdersTable[[#This Row],[Customer ID]]), "New", "Repeat")</f>
        <v>New</v>
      </c>
      <c r="H2884" t="s">
        <v>71</v>
      </c>
      <c r="I2884" t="str">
        <f>INDEX(State!B:B,MATCH(OrdersTable[[#This Row],[State]],State!A:A,0))</f>
        <v>MH</v>
      </c>
      <c r="J2884" t="str">
        <f>INDEX(State!C:C,MATCH(OrdersTable[[#This Row],[State Code]],State!B:B,0))</f>
        <v>West</v>
      </c>
      <c r="K2884" t="s">
        <v>81</v>
      </c>
      <c r="L2884" t="s">
        <v>65</v>
      </c>
      <c r="M2884" t="s">
        <v>109</v>
      </c>
      <c r="N2884" t="str">
        <f>INDEX(Products!B:B,MATCH(OrdersTable[[#This Row],[Product ID]],Products!A:A,0))</f>
        <v>Onion Hair Oil</v>
      </c>
      <c r="O2884" t="str">
        <f>INDEX(Products!C:C,MATCH(OrdersTable[[#This Row],[Product ID]],Products!A:A,0))</f>
        <v>Haircare</v>
      </c>
      <c r="P2884">
        <v>2</v>
      </c>
      <c r="Q2884" s="5">
        <v>349</v>
      </c>
      <c r="R2884" s="74">
        <v>0.3</v>
      </c>
      <c r="S2884" s="75">
        <f>OrdersTable[[#This Row],[Quantity]]*OrdersTable[[#This Row],[Unit Price]]</f>
        <v>698</v>
      </c>
      <c r="T2884" s="5">
        <f>OrdersTable[[#This Row],[Gross Sale]]*OrdersTable[[#This Row],[Discount_Clean2]]</f>
        <v>209.4</v>
      </c>
      <c r="U2884" s="5">
        <f>OrdersTable[[#This Row],[Gross Sale]]-OrdersTable[[#This Row],[Discount Amount]]</f>
        <v>488.6</v>
      </c>
      <c r="V2884" s="77">
        <f>INDEX(Products!E:E,MATCH(OrdersTable[[#This Row],[Product ID]],Products!A:A,0))</f>
        <v>105</v>
      </c>
      <c r="W2884" s="77">
        <f>OrdersTable[[#This Row],[Quantity]]*OrdersTable[[#This Row],[Unit Cost]]</f>
        <v>210</v>
      </c>
      <c r="X2884" s="77">
        <f>'Dropdown Lists'!$I$2*(1+OrdersTable[[#This Row],[Returned]])</f>
        <v>60</v>
      </c>
      <c r="Y2884" s="76">
        <f>OrdersTable[[#This Row],[Net Revenue]]-OrdersTable[[#This Row],[COGS]]-OrdersTable[[#This Row],[Shipping Cost]]</f>
        <v>218.60000000000002</v>
      </c>
      <c r="Z2884" s="78">
        <f>IFERROR(OrdersTable[[#This Row],[Profit]]/OrdersTable[[#This Row],[Net Revenue]],0)</f>
        <v>0.44740073679901765</v>
      </c>
      <c r="AA2884" t="s">
        <v>18</v>
      </c>
      <c r="AB2884" s="79">
        <v>45769</v>
      </c>
      <c r="AC2884">
        <f>OrdersTable[[#This Row],[Delivery Date]]-OrdersTable[[#This Row],[Order Date]]</f>
        <v>2</v>
      </c>
      <c r="AD2884" t="str">
        <f>IF(OrdersTable[[#This Row],[Delivery Days]]&lt;=2, "Express (≤2d)", IF(OrdersTable[[#This Row],[Delivery Days]]&lt;=4, "Standard (3-4d)", "Delayed (5d+)"))</f>
        <v>Express (≤2d)</v>
      </c>
      <c r="AF2884">
        <v>0</v>
      </c>
    </row>
    <row r="2885" spans="1:32" ht="15" x14ac:dyDescent="0.35">
      <c r="A2885" t="s">
        <v>4700</v>
      </c>
      <c r="B2885" s="1">
        <v>45767</v>
      </c>
      <c r="C2885">
        <f>YEAR(OrdersTable[[#This Row],[Order Date]])</f>
        <v>2025</v>
      </c>
      <c r="D2885" s="2">
        <f>DATE(YEAR(OrdersTable[[#This Row],[Order Date]]),MONTH(OrdersTable[[#This Row],[Order Date]]),1)</f>
        <v>45748</v>
      </c>
      <c r="E2885">
        <f>MONTH(OrdersTable[[#This Row],[Order Date]])</f>
        <v>4</v>
      </c>
      <c r="F2885" t="s">
        <v>1662</v>
      </c>
      <c r="G2885" t="str">
        <f>IF(OrdersTable[[#This Row],[Order Date]]=_xlfn.MINIFS(Order_Date, Customer_ID, OrdersTable[[#This Row],[Customer ID]]), "New", "Repeat")</f>
        <v>Repeat</v>
      </c>
      <c r="H2885" t="s">
        <v>95</v>
      </c>
      <c r="I2885" t="str">
        <f>INDEX(State!B:B,MATCH(OrdersTable[[#This Row],[State]],State!A:A,0))</f>
        <v>TG</v>
      </c>
      <c r="J2885" t="str">
        <f>INDEX(State!C:C,MATCH(OrdersTable[[#This Row],[State Code]],State!B:B,0))</f>
        <v>South</v>
      </c>
      <c r="K2885" t="s">
        <v>96</v>
      </c>
      <c r="L2885" t="s">
        <v>23</v>
      </c>
      <c r="M2885" t="s">
        <v>40</v>
      </c>
      <c r="N2885" t="str">
        <f>INDEX(Products!B:B,MATCH(OrdersTable[[#This Row],[Product ID]],Products!A:A,0))</f>
        <v>Ashwagandha Capsules</v>
      </c>
      <c r="O2885" t="str">
        <f>INDEX(Products!C:C,MATCH(OrdersTable[[#This Row],[Product ID]],Products!A:A,0))</f>
        <v>Wellness</v>
      </c>
      <c r="P2885">
        <v>1</v>
      </c>
      <c r="Q2885" s="5">
        <v>499</v>
      </c>
      <c r="R2885" s="74">
        <v>0.1</v>
      </c>
      <c r="S2885" s="75">
        <f>OrdersTable[[#This Row],[Quantity]]*OrdersTable[[#This Row],[Unit Price]]</f>
        <v>499</v>
      </c>
      <c r="T2885" s="5">
        <f>OrdersTable[[#This Row],[Gross Sale]]*OrdersTable[[#This Row],[Discount_Clean2]]</f>
        <v>49.900000000000006</v>
      </c>
      <c r="U2885" s="5">
        <f>OrdersTable[[#This Row],[Gross Sale]]-OrdersTable[[#This Row],[Discount Amount]]</f>
        <v>449.1</v>
      </c>
      <c r="V2885" s="77">
        <f>INDEX(Products!E:E,MATCH(OrdersTable[[#This Row],[Product ID]],Products!A:A,0))</f>
        <v>150</v>
      </c>
      <c r="W2885" s="77">
        <f>OrdersTable[[#This Row],[Quantity]]*OrdersTable[[#This Row],[Unit Cost]]</f>
        <v>150</v>
      </c>
      <c r="X2885" s="77">
        <f>'Dropdown Lists'!$I$2*(1+OrdersTable[[#This Row],[Returned]])</f>
        <v>60</v>
      </c>
      <c r="Y2885" s="76">
        <f>OrdersTable[[#This Row],[Net Revenue]]-OrdersTable[[#This Row],[COGS]]-OrdersTable[[#This Row],[Shipping Cost]]</f>
        <v>239.10000000000002</v>
      </c>
      <c r="Z2885" s="78">
        <f>IFERROR(OrdersTable[[#This Row],[Profit]]/OrdersTable[[#This Row],[Net Revenue]],0)</f>
        <v>0.53239812959251842</v>
      </c>
      <c r="AA2885" t="s">
        <v>4450</v>
      </c>
      <c r="AB2885" s="79">
        <v>45770</v>
      </c>
      <c r="AC2885">
        <f>OrdersTable[[#This Row],[Delivery Date]]-OrdersTable[[#This Row],[Order Date]]</f>
        <v>3</v>
      </c>
      <c r="AD2885" t="str">
        <f>IF(OrdersTable[[#This Row],[Delivery Days]]&lt;=2, "Express (≤2d)", IF(OrdersTable[[#This Row],[Delivery Days]]&lt;=4, "Standard (3-4d)", "Delayed (5d+)"))</f>
        <v>Standard (3-4d)</v>
      </c>
      <c r="AE2885">
        <v>5</v>
      </c>
      <c r="AF2885">
        <v>0</v>
      </c>
    </row>
    <row r="2886" spans="1:32" ht="15" x14ac:dyDescent="0.35">
      <c r="A2886" t="s">
        <v>3619</v>
      </c>
      <c r="B2886" s="1">
        <v>45767</v>
      </c>
      <c r="C2886">
        <f>YEAR(OrdersTable[[#This Row],[Order Date]])</f>
        <v>2025</v>
      </c>
      <c r="D2886" s="2">
        <f>DATE(YEAR(OrdersTable[[#This Row],[Order Date]]),MONTH(OrdersTable[[#This Row],[Order Date]]),1)</f>
        <v>45748</v>
      </c>
      <c r="E2886">
        <f>MONTH(OrdersTable[[#This Row],[Order Date]])</f>
        <v>4</v>
      </c>
      <c r="F2886" t="s">
        <v>564</v>
      </c>
      <c r="G2886" t="str">
        <f>IF(OrdersTable[[#This Row],[Order Date]]=_xlfn.MINIFS(Order_Date, Customer_ID, OrdersTable[[#This Row],[Customer ID]]), "New", "Repeat")</f>
        <v>Repeat</v>
      </c>
      <c r="H2886" t="s">
        <v>167</v>
      </c>
      <c r="I2886" t="str">
        <f>INDEX(State!B:B,MATCH(OrdersTable[[#This Row],[State]],State!A:A,0))</f>
        <v>KA</v>
      </c>
      <c r="J2886" t="str">
        <f>INDEX(State!C:C,MATCH(OrdersTable[[#This Row],[State Code]],State!B:B,0))</f>
        <v>South</v>
      </c>
      <c r="K2886" t="s">
        <v>190</v>
      </c>
      <c r="L2886" t="s">
        <v>16</v>
      </c>
      <c r="M2886" t="s">
        <v>92</v>
      </c>
      <c r="N2886" t="str">
        <f>INDEX(Products!B:B,MATCH(OrdersTable[[#This Row],[Product ID]],Products!A:A,0))</f>
        <v>Kolhapuri Sandals</v>
      </c>
      <c r="O2886" t="str">
        <f>INDEX(Products!C:C,MATCH(OrdersTable[[#This Row],[Product ID]],Products!A:A,0))</f>
        <v>Footwear</v>
      </c>
      <c r="P2886">
        <v>1</v>
      </c>
      <c r="Q2886" s="5">
        <v>999</v>
      </c>
      <c r="R2886" s="74">
        <v>0.05</v>
      </c>
      <c r="S2886" s="75">
        <f>OrdersTable[[#This Row],[Quantity]]*OrdersTable[[#This Row],[Unit Price]]</f>
        <v>999</v>
      </c>
      <c r="T2886" s="5">
        <f>OrdersTable[[#This Row],[Gross Sale]]*OrdersTable[[#This Row],[Discount_Clean2]]</f>
        <v>49.95</v>
      </c>
      <c r="U2886" s="5">
        <f>OrdersTable[[#This Row],[Gross Sale]]-OrdersTable[[#This Row],[Discount Amount]]</f>
        <v>949.05</v>
      </c>
      <c r="V2886" s="77">
        <f>INDEX(Products!E:E,MATCH(OrdersTable[[#This Row],[Product ID]],Products!A:A,0))</f>
        <v>400</v>
      </c>
      <c r="W2886" s="77">
        <f>OrdersTable[[#This Row],[Quantity]]*OrdersTable[[#This Row],[Unit Cost]]</f>
        <v>400</v>
      </c>
      <c r="X2886" s="77">
        <f>'Dropdown Lists'!$I$2*(1+OrdersTable[[#This Row],[Returned]])</f>
        <v>120</v>
      </c>
      <c r="Y2886" s="76">
        <f>OrdersTable[[#This Row],[Net Revenue]]-OrdersTable[[#This Row],[COGS]]-OrdersTable[[#This Row],[Shipping Cost]]</f>
        <v>429.04999999999995</v>
      </c>
      <c r="Z2886" s="78">
        <f>IFERROR(OrdersTable[[#This Row],[Profit]]/OrdersTable[[#This Row],[Net Revenue]],0)</f>
        <v>0.4520836626099784</v>
      </c>
      <c r="AA2886" t="s">
        <v>3495</v>
      </c>
      <c r="AB2886" s="79">
        <v>45769</v>
      </c>
      <c r="AC2886">
        <f>OrdersTable[[#This Row],[Delivery Date]]-OrdersTable[[#This Row],[Order Date]]</f>
        <v>2</v>
      </c>
      <c r="AD2886" t="str">
        <f>IF(OrdersTable[[#This Row],[Delivery Days]]&lt;=2, "Express (≤2d)", IF(OrdersTable[[#This Row],[Delivery Days]]&lt;=4, "Standard (3-4d)", "Delayed (5d+)"))</f>
        <v>Express (≤2d)</v>
      </c>
      <c r="AE2886">
        <v>4</v>
      </c>
      <c r="AF2886">
        <v>1</v>
      </c>
    </row>
    <row r="2887" spans="1:32" ht="15" x14ac:dyDescent="0.35">
      <c r="A2887" t="s">
        <v>3905</v>
      </c>
      <c r="B2887" s="1">
        <v>45768</v>
      </c>
      <c r="C2887">
        <f>YEAR(OrdersTable[[#This Row],[Order Date]])</f>
        <v>2025</v>
      </c>
      <c r="D2887" s="2">
        <f>DATE(YEAR(OrdersTable[[#This Row],[Order Date]]),MONTH(OrdersTable[[#This Row],[Order Date]]),1)</f>
        <v>45748</v>
      </c>
      <c r="E2887">
        <f>MONTH(OrdersTable[[#This Row],[Order Date]])</f>
        <v>4</v>
      </c>
      <c r="F2887" t="s">
        <v>1412</v>
      </c>
      <c r="G2887" t="str">
        <f>IF(OrdersTable[[#This Row],[Order Date]]=_xlfn.MINIFS(Order_Date, Customer_ID, OrdersTable[[#This Row],[Customer ID]]), "New", "Repeat")</f>
        <v>Repeat</v>
      </c>
      <c r="H2887" t="s">
        <v>184</v>
      </c>
      <c r="I2887" t="str">
        <f>INDEX(State!B:B,MATCH(OrdersTable[[#This Row],[State]],State!A:A,0))</f>
        <v>UK</v>
      </c>
      <c r="J2887" t="str">
        <f>INDEX(State!C:C,MATCH(OrdersTable[[#This Row],[State Code]],State!B:B,0))</f>
        <v>North</v>
      </c>
      <c r="K2887" t="s">
        <v>185</v>
      </c>
      <c r="L2887" t="s">
        <v>65</v>
      </c>
      <c r="M2887" t="s">
        <v>148</v>
      </c>
      <c r="N2887" t="str">
        <f>INDEX(Products!B:B,MATCH(OrdersTable[[#This Row],[Product ID]],Products!A:A,0))</f>
        <v>Smartwatch Strap</v>
      </c>
      <c r="O2887" t="str">
        <f>INDEX(Products!C:C,MATCH(OrdersTable[[#This Row],[Product ID]],Products!A:A,0))</f>
        <v>Electronics</v>
      </c>
      <c r="P2887">
        <v>1</v>
      </c>
      <c r="Q2887" s="5">
        <v>499</v>
      </c>
      <c r="R2887" s="74">
        <v>0.2</v>
      </c>
      <c r="S2887" s="75">
        <f>OrdersTable[[#This Row],[Quantity]]*OrdersTable[[#This Row],[Unit Price]]</f>
        <v>499</v>
      </c>
      <c r="T2887" s="5">
        <f>OrdersTable[[#This Row],[Gross Sale]]*OrdersTable[[#This Row],[Discount_Clean2]]</f>
        <v>99.800000000000011</v>
      </c>
      <c r="U2887" s="5">
        <f>OrdersTable[[#This Row],[Gross Sale]]-OrdersTable[[#This Row],[Discount Amount]]</f>
        <v>399.2</v>
      </c>
      <c r="V2887" s="77">
        <f>INDEX(Products!E:E,MATCH(OrdersTable[[#This Row],[Product ID]],Products!A:A,0))</f>
        <v>200</v>
      </c>
      <c r="W2887" s="77">
        <f>OrdersTable[[#This Row],[Quantity]]*OrdersTable[[#This Row],[Unit Cost]]</f>
        <v>200</v>
      </c>
      <c r="X2887" s="77">
        <f>'Dropdown Lists'!$I$2*(1+OrdersTable[[#This Row],[Returned]])</f>
        <v>60</v>
      </c>
      <c r="Y2887" s="76">
        <f>OrdersTable[[#This Row],[Net Revenue]]-OrdersTable[[#This Row],[COGS]]-OrdersTable[[#This Row],[Shipping Cost]]</f>
        <v>139.19999999999999</v>
      </c>
      <c r="Z2887" s="78">
        <f>IFERROR(OrdersTable[[#This Row],[Profit]]/OrdersTable[[#This Row],[Net Revenue]],0)</f>
        <v>0.34869739478957912</v>
      </c>
      <c r="AA2887" t="s">
        <v>3495</v>
      </c>
      <c r="AB2887" s="79">
        <v>45772</v>
      </c>
      <c r="AC2887">
        <f>OrdersTable[[#This Row],[Delivery Date]]-OrdersTable[[#This Row],[Order Date]]</f>
        <v>4</v>
      </c>
      <c r="AD2887" t="str">
        <f>IF(OrdersTable[[#This Row],[Delivery Days]]&lt;=2, "Express (≤2d)", IF(OrdersTable[[#This Row],[Delivery Days]]&lt;=4, "Standard (3-4d)", "Delayed (5d+)"))</f>
        <v>Standard (3-4d)</v>
      </c>
      <c r="AE2887">
        <v>3</v>
      </c>
      <c r="AF2887">
        <v>0</v>
      </c>
    </row>
    <row r="2888" spans="1:32" ht="15" x14ac:dyDescent="0.35">
      <c r="A2888" t="s">
        <v>2390</v>
      </c>
      <c r="B2888" s="1">
        <v>45768</v>
      </c>
      <c r="C2888">
        <f>YEAR(OrdersTable[[#This Row],[Order Date]])</f>
        <v>2025</v>
      </c>
      <c r="D2888" s="2">
        <f>DATE(YEAR(OrdersTable[[#This Row],[Order Date]]),MONTH(OrdersTable[[#This Row],[Order Date]]),1)</f>
        <v>45748</v>
      </c>
      <c r="E2888">
        <f>MONTH(OrdersTable[[#This Row],[Order Date]])</f>
        <v>4</v>
      </c>
      <c r="F2888" t="s">
        <v>1445</v>
      </c>
      <c r="G2888" t="str">
        <f>IF(OrdersTable[[#This Row],[Order Date]]=_xlfn.MINIFS(Order_Date, Customer_ID, OrdersTable[[#This Row],[Customer ID]]), "New", "Repeat")</f>
        <v>New</v>
      </c>
      <c r="H2888" t="s">
        <v>76</v>
      </c>
      <c r="I2888" t="str">
        <f>INDEX(State!B:B,MATCH(OrdersTable[[#This Row],[State]],State!A:A,0))</f>
        <v>UP</v>
      </c>
      <c r="J2888" t="str">
        <f>INDEX(State!C:C,MATCH(OrdersTable[[#This Row],[State Code]],State!B:B,0))</f>
        <v>North</v>
      </c>
      <c r="K2888" t="s">
        <v>118</v>
      </c>
      <c r="L2888" t="s">
        <v>23</v>
      </c>
      <c r="M2888" t="s">
        <v>565</v>
      </c>
      <c r="N2888" t="str">
        <f>INDEX(Products!B:B,MATCH(OrdersTable[[#This Row],[Product ID]],Products!A:A,0))</f>
        <v>Ceramic Dinner Set</v>
      </c>
      <c r="O2888" t="str">
        <f>INDEX(Products!C:C,MATCH(OrdersTable[[#This Row],[Product ID]],Products!A:A,0))</f>
        <v>Home &amp; Kitchen</v>
      </c>
      <c r="P2888">
        <v>1</v>
      </c>
      <c r="Q2888" s="5">
        <v>2499</v>
      </c>
      <c r="R2888" s="74">
        <v>0.25</v>
      </c>
      <c r="S2888" s="75">
        <f>OrdersTable[[#This Row],[Quantity]]*OrdersTable[[#This Row],[Unit Price]]</f>
        <v>2499</v>
      </c>
      <c r="T2888" s="5">
        <f>OrdersTable[[#This Row],[Gross Sale]]*OrdersTable[[#This Row],[Discount_Clean2]]</f>
        <v>624.75</v>
      </c>
      <c r="U2888" s="5">
        <f>OrdersTable[[#This Row],[Gross Sale]]-OrdersTable[[#This Row],[Discount Amount]]</f>
        <v>1874.25</v>
      </c>
      <c r="V2888" s="77">
        <f>INDEX(Products!E:E,MATCH(OrdersTable[[#This Row],[Product ID]],Products!A:A,0))</f>
        <v>1250</v>
      </c>
      <c r="W2888" s="77">
        <f>OrdersTable[[#This Row],[Quantity]]*OrdersTable[[#This Row],[Unit Cost]]</f>
        <v>1250</v>
      </c>
      <c r="X2888" s="77">
        <f>'Dropdown Lists'!$I$2*(1+OrdersTable[[#This Row],[Returned]])</f>
        <v>60</v>
      </c>
      <c r="Y2888" s="76">
        <f>OrdersTable[[#This Row],[Net Revenue]]-OrdersTable[[#This Row],[COGS]]-OrdersTable[[#This Row],[Shipping Cost]]</f>
        <v>564.25</v>
      </c>
      <c r="Z2888" s="78">
        <f>IFERROR(OrdersTable[[#This Row],[Profit]]/OrdersTable[[#This Row],[Net Revenue]],0)</f>
        <v>0.30105375483526742</v>
      </c>
      <c r="AA2888" t="s">
        <v>18</v>
      </c>
      <c r="AB2888" s="79">
        <v>45771</v>
      </c>
      <c r="AC2888">
        <f>OrdersTable[[#This Row],[Delivery Date]]-OrdersTable[[#This Row],[Order Date]]</f>
        <v>3</v>
      </c>
      <c r="AD2888" t="str">
        <f>IF(OrdersTable[[#This Row],[Delivery Days]]&lt;=2, "Express (≤2d)", IF(OrdersTable[[#This Row],[Delivery Days]]&lt;=4, "Standard (3-4d)", "Delayed (5d+)"))</f>
        <v>Standard (3-4d)</v>
      </c>
      <c r="AE2888">
        <v>5</v>
      </c>
      <c r="AF2888">
        <v>0</v>
      </c>
    </row>
    <row r="2889" spans="1:32" ht="15" x14ac:dyDescent="0.35">
      <c r="A2889" t="s">
        <v>2391</v>
      </c>
      <c r="B2889" s="1">
        <v>45768</v>
      </c>
      <c r="C2889">
        <f>YEAR(OrdersTable[[#This Row],[Order Date]])</f>
        <v>2025</v>
      </c>
      <c r="D2889" s="2">
        <f>DATE(YEAR(OrdersTable[[#This Row],[Order Date]]),MONTH(OrdersTable[[#This Row],[Order Date]]),1)</f>
        <v>45748</v>
      </c>
      <c r="E2889">
        <f>MONTH(OrdersTable[[#This Row],[Order Date]])</f>
        <v>4</v>
      </c>
      <c r="F2889" t="s">
        <v>2357</v>
      </c>
      <c r="G2889" t="str">
        <f>IF(OrdersTable[[#This Row],[Order Date]]=_xlfn.MINIFS(Order_Date, Customer_ID, OrdersTable[[#This Row],[Customer ID]]), "New", "Repeat")</f>
        <v>Repeat</v>
      </c>
      <c r="H2889" t="s">
        <v>37</v>
      </c>
      <c r="I2889" t="str">
        <f>INDEX(State!B:B,MATCH(OrdersTable[[#This Row],[State]],State!A:A,0))</f>
        <v>GJ</v>
      </c>
      <c r="J2889" t="str">
        <f>INDEX(State!C:C,MATCH(OrdersTable[[#This Row],[State Code]],State!B:B,0))</f>
        <v>West</v>
      </c>
      <c r="K2889" t="s">
        <v>38</v>
      </c>
      <c r="L2889" t="s">
        <v>65</v>
      </c>
      <c r="M2889" t="s">
        <v>45</v>
      </c>
      <c r="N2889" t="str">
        <f>INDEX(Products!B:B,MATCH(OrdersTable[[#This Row],[Product ID]],Products!A:A,0))</f>
        <v>Argan Shampoo</v>
      </c>
      <c r="O2889" t="str">
        <f>INDEX(Products!C:C,MATCH(OrdersTable[[#This Row],[Product ID]],Products!A:A,0))</f>
        <v>Haircare</v>
      </c>
      <c r="P2889">
        <v>1</v>
      </c>
      <c r="Q2889" s="5">
        <v>449</v>
      </c>
      <c r="R2889" s="74">
        <v>0.05</v>
      </c>
      <c r="S2889" s="75">
        <f>OrdersTable[[#This Row],[Quantity]]*OrdersTable[[#This Row],[Unit Price]]</f>
        <v>449</v>
      </c>
      <c r="T2889" s="5">
        <f>OrdersTable[[#This Row],[Gross Sale]]*OrdersTable[[#This Row],[Discount_Clean2]]</f>
        <v>22.450000000000003</v>
      </c>
      <c r="U2889" s="5">
        <f>OrdersTable[[#This Row],[Gross Sale]]-OrdersTable[[#This Row],[Discount Amount]]</f>
        <v>426.55</v>
      </c>
      <c r="V2889" s="77">
        <f>INDEX(Products!E:E,MATCH(OrdersTable[[#This Row],[Product ID]],Products!A:A,0))</f>
        <v>148</v>
      </c>
      <c r="W2889" s="77">
        <f>OrdersTable[[#This Row],[Quantity]]*OrdersTable[[#This Row],[Unit Cost]]</f>
        <v>148</v>
      </c>
      <c r="X2889" s="77">
        <f>'Dropdown Lists'!$I$2*(1+OrdersTable[[#This Row],[Returned]])</f>
        <v>60</v>
      </c>
      <c r="Y2889" s="76">
        <f>OrdersTable[[#This Row],[Net Revenue]]-OrdersTable[[#This Row],[COGS]]-OrdersTable[[#This Row],[Shipping Cost]]</f>
        <v>218.55</v>
      </c>
      <c r="Z2889" s="78">
        <f>IFERROR(OrdersTable[[#This Row],[Profit]]/OrdersTable[[#This Row],[Net Revenue]],0)</f>
        <v>0.51236666275934828</v>
      </c>
      <c r="AA2889" t="s">
        <v>18</v>
      </c>
      <c r="AB2889" s="79">
        <v>45772</v>
      </c>
      <c r="AC2889">
        <f>OrdersTable[[#This Row],[Delivery Date]]-OrdersTable[[#This Row],[Order Date]]</f>
        <v>4</v>
      </c>
      <c r="AD2889" t="str">
        <f>IF(OrdersTable[[#This Row],[Delivery Days]]&lt;=2, "Express (≤2d)", IF(OrdersTable[[#This Row],[Delivery Days]]&lt;=4, "Standard (3-4d)", "Delayed (5d+)"))</f>
        <v>Standard (3-4d)</v>
      </c>
      <c r="AE2889">
        <v>5</v>
      </c>
      <c r="AF2889">
        <v>0</v>
      </c>
    </row>
    <row r="2890" spans="1:32" ht="15" x14ac:dyDescent="0.35">
      <c r="A2890" t="s">
        <v>1738</v>
      </c>
      <c r="B2890" s="1">
        <v>45768</v>
      </c>
      <c r="C2890">
        <f>YEAR(OrdersTable[[#This Row],[Order Date]])</f>
        <v>2025</v>
      </c>
      <c r="D2890" s="2">
        <f>DATE(YEAR(OrdersTable[[#This Row],[Order Date]]),MONTH(OrdersTable[[#This Row],[Order Date]]),1)</f>
        <v>45748</v>
      </c>
      <c r="E2890">
        <f>MONTH(OrdersTable[[#This Row],[Order Date]])</f>
        <v>4</v>
      </c>
      <c r="F2890" t="s">
        <v>1739</v>
      </c>
      <c r="G2890" t="str">
        <f>IF(OrdersTable[[#This Row],[Order Date]]=_xlfn.MINIFS(Order_Date, Customer_ID, OrdersTable[[#This Row],[Customer ID]]), "New", "Repeat")</f>
        <v>Repeat</v>
      </c>
      <c r="H2890" t="s">
        <v>27</v>
      </c>
      <c r="I2890" t="str">
        <f>INDEX(State!B:B,MATCH(OrdersTable[[#This Row],[State]],State!A:A,0))</f>
        <v>WB</v>
      </c>
      <c r="J2890" t="str">
        <f>INDEX(State!C:C,MATCH(OrdersTable[[#This Row],[State Code]],State!B:B,0))</f>
        <v>East</v>
      </c>
      <c r="K2890" t="s">
        <v>28</v>
      </c>
      <c r="L2890" t="s">
        <v>65</v>
      </c>
      <c r="M2890" t="s">
        <v>45</v>
      </c>
      <c r="N2890" t="str">
        <f>INDEX(Products!B:B,MATCH(OrdersTable[[#This Row],[Product ID]],Products!A:A,0))</f>
        <v>Argan Shampoo</v>
      </c>
      <c r="O2890" t="str">
        <f>INDEX(Products!C:C,MATCH(OrdersTable[[#This Row],[Product ID]],Products!A:A,0))</f>
        <v>Haircare</v>
      </c>
      <c r="P2890">
        <v>1</v>
      </c>
      <c r="Q2890" s="5">
        <v>449</v>
      </c>
      <c r="R2890" s="74">
        <v>0.15</v>
      </c>
      <c r="S2890" s="75">
        <f>OrdersTable[[#This Row],[Quantity]]*OrdersTable[[#This Row],[Unit Price]]</f>
        <v>449</v>
      </c>
      <c r="T2890" s="5">
        <f>OrdersTable[[#This Row],[Gross Sale]]*OrdersTable[[#This Row],[Discount_Clean2]]</f>
        <v>67.349999999999994</v>
      </c>
      <c r="U2890" s="5">
        <f>OrdersTable[[#This Row],[Gross Sale]]-OrdersTable[[#This Row],[Discount Amount]]</f>
        <v>381.65</v>
      </c>
      <c r="V2890" s="77">
        <f>INDEX(Products!E:E,MATCH(OrdersTable[[#This Row],[Product ID]],Products!A:A,0))</f>
        <v>148</v>
      </c>
      <c r="W2890" s="77">
        <f>OrdersTable[[#This Row],[Quantity]]*OrdersTable[[#This Row],[Unit Cost]]</f>
        <v>148</v>
      </c>
      <c r="X2890" s="77">
        <f>'Dropdown Lists'!$I$2*(1+OrdersTable[[#This Row],[Returned]])</f>
        <v>60</v>
      </c>
      <c r="Y2890" s="76">
        <f>OrdersTable[[#This Row],[Net Revenue]]-OrdersTable[[#This Row],[COGS]]-OrdersTable[[#This Row],[Shipping Cost]]</f>
        <v>173.64999999999998</v>
      </c>
      <c r="Z2890" s="78">
        <f>IFERROR(OrdersTable[[#This Row],[Profit]]/OrdersTable[[#This Row],[Net Revenue]],0)</f>
        <v>0.45499803484868334</v>
      </c>
      <c r="AA2890" t="s">
        <v>18</v>
      </c>
      <c r="AB2890" s="79">
        <v>45769</v>
      </c>
      <c r="AC2890">
        <f>OrdersTable[[#This Row],[Delivery Date]]-OrdersTable[[#This Row],[Order Date]]</f>
        <v>1</v>
      </c>
      <c r="AD2890" t="str">
        <f>IF(OrdersTable[[#This Row],[Delivery Days]]&lt;=2, "Express (≤2d)", IF(OrdersTable[[#This Row],[Delivery Days]]&lt;=4, "Standard (3-4d)", "Delayed (5d+)"))</f>
        <v>Express (≤2d)</v>
      </c>
      <c r="AF2890">
        <v>0</v>
      </c>
    </row>
    <row r="2891" spans="1:32" ht="15" x14ac:dyDescent="0.35">
      <c r="A2891" t="s">
        <v>2392</v>
      </c>
      <c r="B2891" s="1">
        <v>45768</v>
      </c>
      <c r="C2891">
        <f>YEAR(OrdersTable[[#This Row],[Order Date]])</f>
        <v>2025</v>
      </c>
      <c r="D2891" s="2">
        <f>DATE(YEAR(OrdersTable[[#This Row],[Order Date]]),MONTH(OrdersTable[[#This Row],[Order Date]]),1)</f>
        <v>45748</v>
      </c>
      <c r="E2891">
        <f>MONTH(OrdersTable[[#This Row],[Order Date]])</f>
        <v>4</v>
      </c>
      <c r="F2891" t="s">
        <v>1684</v>
      </c>
      <c r="G2891" t="str">
        <f>IF(OrdersTable[[#This Row],[Order Date]]=_xlfn.MINIFS(Order_Date, Customer_ID, OrdersTable[[#This Row],[Customer ID]]), "New", "Repeat")</f>
        <v>Repeat</v>
      </c>
      <c r="H2891" t="s">
        <v>167</v>
      </c>
      <c r="I2891" t="str">
        <f>INDEX(State!B:B,MATCH(OrdersTable[[#This Row],[State]],State!A:A,0))</f>
        <v>KA</v>
      </c>
      <c r="J2891" t="str">
        <f>INDEX(State!C:C,MATCH(OrdersTable[[#This Row],[State Code]],State!B:B,0))</f>
        <v>South</v>
      </c>
      <c r="K2891" t="s">
        <v>168</v>
      </c>
      <c r="L2891" t="s">
        <v>39</v>
      </c>
      <c r="M2891" t="s">
        <v>61</v>
      </c>
      <c r="N2891" t="str">
        <f>INDEX(Products!B:B,MATCH(OrdersTable[[#This Row],[Product ID]],Products!A:A,0))</f>
        <v>Multivitamin Gummies</v>
      </c>
      <c r="O2891" t="str">
        <f>INDEX(Products!C:C,MATCH(OrdersTable[[#This Row],[Product ID]],Products!A:A,0))</f>
        <v>Wellness</v>
      </c>
      <c r="P2891">
        <v>1</v>
      </c>
      <c r="Q2891" s="5">
        <v>699</v>
      </c>
      <c r="R2891" s="74">
        <v>0.25</v>
      </c>
      <c r="S2891" s="75">
        <f>OrdersTable[[#This Row],[Quantity]]*OrdersTable[[#This Row],[Unit Price]]</f>
        <v>699</v>
      </c>
      <c r="T2891" s="5">
        <f>OrdersTable[[#This Row],[Gross Sale]]*OrdersTable[[#This Row],[Discount_Clean2]]</f>
        <v>174.75</v>
      </c>
      <c r="U2891" s="5">
        <f>OrdersTable[[#This Row],[Gross Sale]]-OrdersTable[[#This Row],[Discount Amount]]</f>
        <v>524.25</v>
      </c>
      <c r="V2891" s="77">
        <f>INDEX(Products!E:E,MATCH(OrdersTable[[#This Row],[Product ID]],Products!A:A,0))</f>
        <v>238</v>
      </c>
      <c r="W2891" s="77">
        <f>OrdersTable[[#This Row],[Quantity]]*OrdersTable[[#This Row],[Unit Cost]]</f>
        <v>238</v>
      </c>
      <c r="X2891" s="77">
        <f>'Dropdown Lists'!$I$2*(1+OrdersTable[[#This Row],[Returned]])</f>
        <v>60</v>
      </c>
      <c r="Y2891" s="76">
        <f>OrdersTable[[#This Row],[Net Revenue]]-OrdersTable[[#This Row],[COGS]]-OrdersTable[[#This Row],[Shipping Cost]]</f>
        <v>226.25</v>
      </c>
      <c r="Z2891" s="78">
        <f>IFERROR(OrdersTable[[#This Row],[Profit]]/OrdersTable[[#This Row],[Net Revenue]],0)</f>
        <v>0.43156890796375774</v>
      </c>
      <c r="AA2891" t="s">
        <v>18</v>
      </c>
      <c r="AB2891" s="79">
        <v>45772</v>
      </c>
      <c r="AC2891">
        <f>OrdersTable[[#This Row],[Delivery Date]]-OrdersTable[[#This Row],[Order Date]]</f>
        <v>4</v>
      </c>
      <c r="AD2891" t="str">
        <f>IF(OrdersTable[[#This Row],[Delivery Days]]&lt;=2, "Express (≤2d)", IF(OrdersTable[[#This Row],[Delivery Days]]&lt;=4, "Standard (3-4d)", "Delayed (5d+)"))</f>
        <v>Standard (3-4d)</v>
      </c>
      <c r="AE2891">
        <v>5</v>
      </c>
      <c r="AF2891">
        <v>0</v>
      </c>
    </row>
    <row r="2892" spans="1:32" ht="15" x14ac:dyDescent="0.35">
      <c r="A2892" t="s">
        <v>6898</v>
      </c>
      <c r="B2892" s="1">
        <v>45768</v>
      </c>
      <c r="C2892">
        <f>YEAR(OrdersTable[[#This Row],[Order Date]])</f>
        <v>2025</v>
      </c>
      <c r="D2892" s="2">
        <f>DATE(YEAR(OrdersTable[[#This Row],[Order Date]]),MONTH(OrdersTable[[#This Row],[Order Date]]),1)</f>
        <v>45748</v>
      </c>
      <c r="E2892">
        <f>MONTH(OrdersTable[[#This Row],[Order Date]])</f>
        <v>4</v>
      </c>
      <c r="F2892" t="s">
        <v>3343</v>
      </c>
      <c r="G2892" t="str">
        <f>IF(OrdersTable[[#This Row],[Order Date]]=_xlfn.MINIFS(Order_Date, Customer_ID, OrdersTable[[#This Row],[Customer ID]]), "New", "Repeat")</f>
        <v>Repeat</v>
      </c>
      <c r="H2892" t="s">
        <v>167</v>
      </c>
      <c r="I2892" t="str">
        <f>INDEX(State!B:B,MATCH(OrdersTable[[#This Row],[State]],State!A:A,0))</f>
        <v>KA</v>
      </c>
      <c r="J2892" t="str">
        <f>INDEX(State!C:C,MATCH(OrdersTable[[#This Row],[State Code]],State!B:B,0))</f>
        <v>South</v>
      </c>
      <c r="K2892" t="s">
        <v>190</v>
      </c>
      <c r="L2892" t="s">
        <v>65</v>
      </c>
      <c r="M2892" t="s">
        <v>160</v>
      </c>
      <c r="N2892" t="str">
        <f>INDEX(Products!B:B,MATCH(OrdersTable[[#This Row],[Product ID]],Products!A:A,0))</f>
        <v>Niacinamide Toner</v>
      </c>
      <c r="O2892" t="str">
        <f>INDEX(Products!C:C,MATCH(OrdersTable[[#This Row],[Product ID]],Products!A:A,0))</f>
        <v>Skincare</v>
      </c>
      <c r="P2892">
        <v>3</v>
      </c>
      <c r="Q2892" s="5">
        <v>399</v>
      </c>
      <c r="R2892" s="74">
        <v>0.15</v>
      </c>
      <c r="S2892" s="75">
        <f>OrdersTable[[#This Row],[Quantity]]*OrdersTable[[#This Row],[Unit Price]]</f>
        <v>1197</v>
      </c>
      <c r="T2892" s="5">
        <f>OrdersTable[[#This Row],[Gross Sale]]*OrdersTable[[#This Row],[Discount_Clean2]]</f>
        <v>179.54999999999998</v>
      </c>
      <c r="U2892" s="5">
        <f>OrdersTable[[#This Row],[Gross Sale]]-OrdersTable[[#This Row],[Discount Amount]]</f>
        <v>1017.45</v>
      </c>
      <c r="V2892" s="77">
        <f>INDEX(Products!E:E,MATCH(OrdersTable[[#This Row],[Product ID]],Products!A:A,0))</f>
        <v>112</v>
      </c>
      <c r="W2892" s="77">
        <f>OrdersTable[[#This Row],[Quantity]]*OrdersTable[[#This Row],[Unit Cost]]</f>
        <v>336</v>
      </c>
      <c r="X2892" s="77">
        <f>'Dropdown Lists'!$I$2*(1+OrdersTable[[#This Row],[Returned]])</f>
        <v>60</v>
      </c>
      <c r="Y2892" s="76">
        <f>OrdersTable[[#This Row],[Net Revenue]]-OrdersTable[[#This Row],[COGS]]-OrdersTable[[#This Row],[Shipping Cost]]</f>
        <v>621.45000000000005</v>
      </c>
      <c r="Z2892" s="78">
        <f>IFERROR(OrdersTable[[#This Row],[Profit]]/OrdersTable[[#This Row],[Net Revenue]],0)</f>
        <v>0.61079168509509063</v>
      </c>
      <c r="AA2892" t="s">
        <v>4074</v>
      </c>
      <c r="AB2892" s="79">
        <v>45769</v>
      </c>
      <c r="AC2892">
        <f>OrdersTable[[#This Row],[Delivery Date]]-OrdersTable[[#This Row],[Order Date]]</f>
        <v>1</v>
      </c>
      <c r="AD2892" t="str">
        <f>IF(OrdersTable[[#This Row],[Delivery Days]]&lt;=2, "Express (≤2d)", IF(OrdersTable[[#This Row],[Delivery Days]]&lt;=4, "Standard (3-4d)", "Delayed (5d+)"))</f>
        <v>Express (≤2d)</v>
      </c>
      <c r="AE2892">
        <v>4</v>
      </c>
      <c r="AF2892">
        <v>0</v>
      </c>
    </row>
    <row r="2893" spans="1:32" ht="15" x14ac:dyDescent="0.35">
      <c r="A2893" t="s">
        <v>2804</v>
      </c>
      <c r="B2893" s="1">
        <v>45768</v>
      </c>
      <c r="C2893">
        <f>YEAR(OrdersTable[[#This Row],[Order Date]])</f>
        <v>2025</v>
      </c>
      <c r="D2893" s="2">
        <f>DATE(YEAR(OrdersTable[[#This Row],[Order Date]]),MONTH(OrdersTable[[#This Row],[Order Date]]),1)</f>
        <v>45748</v>
      </c>
      <c r="E2893">
        <f>MONTH(OrdersTable[[#This Row],[Order Date]])</f>
        <v>4</v>
      </c>
      <c r="F2893" t="s">
        <v>825</v>
      </c>
      <c r="G2893" t="str">
        <f>IF(OrdersTable[[#This Row],[Order Date]]=_xlfn.MINIFS(Order_Date, Customer_ID, OrdersTable[[#This Row],[Customer ID]]), "New", "Repeat")</f>
        <v>New</v>
      </c>
      <c r="H2893" t="s">
        <v>275</v>
      </c>
      <c r="I2893" t="str">
        <f>INDEX(State!B:B,MATCH(OrdersTable[[#This Row],[State]],State!A:A,0))</f>
        <v>AP</v>
      </c>
      <c r="J2893" t="str">
        <f>INDEX(State!C:C,MATCH(OrdersTable[[#This Row],[State Code]],State!B:B,0))</f>
        <v>South</v>
      </c>
      <c r="K2893" t="s">
        <v>276</v>
      </c>
      <c r="L2893" t="s">
        <v>16</v>
      </c>
      <c r="M2893" t="s">
        <v>255</v>
      </c>
      <c r="N2893" t="str">
        <f>INDEX(Products!B:B,MATCH(OrdersTable[[#This Row],[Product ID]],Products!A:A,0))</f>
        <v>Cotton Oversized T-Shirt</v>
      </c>
      <c r="O2893" t="str">
        <f>INDEX(Products!C:C,MATCH(OrdersTable[[#This Row],[Product ID]],Products!A:A,0))</f>
        <v>Apparel</v>
      </c>
      <c r="P2893">
        <v>1</v>
      </c>
      <c r="Q2893" s="5">
        <v>799</v>
      </c>
      <c r="R2893" s="74">
        <v>0</v>
      </c>
      <c r="S2893" s="75">
        <f>OrdersTable[[#This Row],[Quantity]]*OrdersTable[[#This Row],[Unit Price]]</f>
        <v>799</v>
      </c>
      <c r="T2893" s="5">
        <f>OrdersTable[[#This Row],[Gross Sale]]*OrdersTable[[#This Row],[Discount_Clean2]]</f>
        <v>0</v>
      </c>
      <c r="U2893" s="5">
        <f>OrdersTable[[#This Row],[Gross Sale]]-OrdersTable[[#This Row],[Discount Amount]]</f>
        <v>799</v>
      </c>
      <c r="V2893" s="77">
        <f>INDEX(Products!E:E,MATCH(OrdersTable[[#This Row],[Product ID]],Products!A:A,0))</f>
        <v>320</v>
      </c>
      <c r="W2893" s="77">
        <f>OrdersTable[[#This Row],[Quantity]]*OrdersTable[[#This Row],[Unit Cost]]</f>
        <v>320</v>
      </c>
      <c r="X2893" s="77">
        <f>'Dropdown Lists'!$I$2*(1+OrdersTable[[#This Row],[Returned]])</f>
        <v>120</v>
      </c>
      <c r="Y2893" s="76">
        <f>OrdersTable[[#This Row],[Net Revenue]]-OrdersTable[[#This Row],[COGS]]-OrdersTable[[#This Row],[Shipping Cost]]</f>
        <v>359</v>
      </c>
      <c r="Z2893" s="78">
        <f>IFERROR(OrdersTable[[#This Row],[Profit]]/OrdersTable[[#This Row],[Net Revenue]],0)</f>
        <v>0.44931163954943681</v>
      </c>
      <c r="AA2893" t="s">
        <v>2522</v>
      </c>
      <c r="AB2893" s="79">
        <v>45771</v>
      </c>
      <c r="AC2893">
        <f>OrdersTable[[#This Row],[Delivery Date]]-OrdersTable[[#This Row],[Order Date]]</f>
        <v>3</v>
      </c>
      <c r="AD2893" t="str">
        <f>IF(OrdersTable[[#This Row],[Delivery Days]]&lt;=2, "Express (≤2d)", IF(OrdersTable[[#This Row],[Delivery Days]]&lt;=4, "Standard (3-4d)", "Delayed (5d+)"))</f>
        <v>Standard (3-4d)</v>
      </c>
      <c r="AE2893">
        <v>3</v>
      </c>
      <c r="AF2893">
        <v>1</v>
      </c>
    </row>
    <row r="2894" spans="1:32" ht="15" x14ac:dyDescent="0.35">
      <c r="A2894" t="s">
        <v>1409</v>
      </c>
      <c r="B2894" s="1">
        <v>45769</v>
      </c>
      <c r="C2894">
        <f>YEAR(OrdersTable[[#This Row],[Order Date]])</f>
        <v>2025</v>
      </c>
      <c r="D2894" s="2">
        <f>DATE(YEAR(OrdersTable[[#This Row],[Order Date]]),MONTH(OrdersTable[[#This Row],[Order Date]]),1)</f>
        <v>45748</v>
      </c>
      <c r="E2894">
        <f>MONTH(OrdersTable[[#This Row],[Order Date]])</f>
        <v>4</v>
      </c>
      <c r="F2894" t="s">
        <v>1410</v>
      </c>
      <c r="G2894" t="str">
        <f>IF(OrdersTable[[#This Row],[Order Date]]=_xlfn.MINIFS(Order_Date, Customer_ID, OrdersTable[[#This Row],[Customer ID]]), "New", "Repeat")</f>
        <v>New</v>
      </c>
      <c r="H2894" t="s">
        <v>21</v>
      </c>
      <c r="I2894" t="str">
        <f>INDEX(State!B:B,MATCH(OrdersTable[[#This Row],[State]],State!A:A,0))</f>
        <v>PB</v>
      </c>
      <c r="J2894" t="str">
        <f>INDEX(State!C:C,MATCH(OrdersTable[[#This Row],[State Code]],State!B:B,0))</f>
        <v>North</v>
      </c>
      <c r="K2894" t="s">
        <v>260</v>
      </c>
      <c r="L2894" t="s">
        <v>23</v>
      </c>
      <c r="M2894" t="s">
        <v>125</v>
      </c>
      <c r="N2894" t="str">
        <f>INDEX(Products!B:B,MATCH(OrdersTable[[#This Row],[Product ID]],Products!A:A,0))</f>
        <v>Copper Water Bottle</v>
      </c>
      <c r="O2894" t="str">
        <f>INDEX(Products!C:C,MATCH(OrdersTable[[#This Row],[Product ID]],Products!A:A,0))</f>
        <v>Home &amp; Kitchen</v>
      </c>
      <c r="P2894">
        <v>1</v>
      </c>
      <c r="Q2894" s="5">
        <v>899</v>
      </c>
      <c r="R2894" s="74">
        <v>0.05</v>
      </c>
      <c r="S2894" s="75">
        <f>OrdersTable[[#This Row],[Quantity]]*OrdersTable[[#This Row],[Unit Price]]</f>
        <v>899</v>
      </c>
      <c r="T2894" s="5">
        <f>OrdersTable[[#This Row],[Gross Sale]]*OrdersTable[[#This Row],[Discount_Clean2]]</f>
        <v>44.95</v>
      </c>
      <c r="U2894" s="5">
        <f>OrdersTable[[#This Row],[Gross Sale]]-OrdersTable[[#This Row],[Discount Amount]]</f>
        <v>854.05</v>
      </c>
      <c r="V2894" s="77">
        <f>INDEX(Products!E:E,MATCH(OrdersTable[[#This Row],[Product ID]],Products!A:A,0))</f>
        <v>378</v>
      </c>
      <c r="W2894" s="77">
        <f>OrdersTable[[#This Row],[Quantity]]*OrdersTable[[#This Row],[Unit Cost]]</f>
        <v>378</v>
      </c>
      <c r="X2894" s="77">
        <f>'Dropdown Lists'!$I$2*(1+OrdersTable[[#This Row],[Returned]])</f>
        <v>120</v>
      </c>
      <c r="Y2894" s="76">
        <f>OrdersTable[[#This Row],[Net Revenue]]-OrdersTable[[#This Row],[COGS]]-OrdersTable[[#This Row],[Shipping Cost]]</f>
        <v>356.04999999999995</v>
      </c>
      <c r="Z2894" s="78">
        <f>IFERROR(OrdersTable[[#This Row],[Profit]]/OrdersTable[[#This Row],[Net Revenue]],0)</f>
        <v>0.41689596627832093</v>
      </c>
      <c r="AA2894" t="s">
        <v>18</v>
      </c>
      <c r="AB2894" s="79">
        <v>45773</v>
      </c>
      <c r="AC2894">
        <f>OrdersTable[[#This Row],[Delivery Date]]-OrdersTable[[#This Row],[Order Date]]</f>
        <v>4</v>
      </c>
      <c r="AD2894" t="str">
        <f>IF(OrdersTable[[#This Row],[Delivery Days]]&lt;=2, "Express (≤2d)", IF(OrdersTable[[#This Row],[Delivery Days]]&lt;=4, "Standard (3-4d)", "Delayed (5d+)"))</f>
        <v>Standard (3-4d)</v>
      </c>
      <c r="AF2894">
        <v>1</v>
      </c>
    </row>
    <row r="2895" spans="1:32" ht="15" x14ac:dyDescent="0.35">
      <c r="A2895" t="s">
        <v>3620</v>
      </c>
      <c r="B2895" s="1">
        <v>45769</v>
      </c>
      <c r="C2895">
        <f>YEAR(OrdersTable[[#This Row],[Order Date]])</f>
        <v>2025</v>
      </c>
      <c r="D2895" s="2">
        <f>DATE(YEAR(OrdersTable[[#This Row],[Order Date]]),MONTH(OrdersTable[[#This Row],[Order Date]]),1)</f>
        <v>45748</v>
      </c>
      <c r="E2895">
        <f>MONTH(OrdersTable[[#This Row],[Order Date]])</f>
        <v>4</v>
      </c>
      <c r="F2895" t="s">
        <v>525</v>
      </c>
      <c r="G2895" t="str">
        <f>IF(OrdersTable[[#This Row],[Order Date]]=_xlfn.MINIFS(Order_Date, Customer_ID, OrdersTable[[#This Row],[Customer ID]]), "New", "Repeat")</f>
        <v>Repeat</v>
      </c>
      <c r="H2895" t="s">
        <v>54</v>
      </c>
      <c r="I2895" t="str">
        <f>INDEX(State!B:B,MATCH(OrdersTable[[#This Row],[State]],State!A:A,0))</f>
        <v>RJ</v>
      </c>
      <c r="J2895" t="str">
        <f>INDEX(State!C:C,MATCH(OrdersTable[[#This Row],[State Code]],State!B:B,0))</f>
        <v>North</v>
      </c>
      <c r="K2895" t="s">
        <v>55</v>
      </c>
      <c r="L2895" t="s">
        <v>65</v>
      </c>
      <c r="M2895" t="s">
        <v>160</v>
      </c>
      <c r="N2895" t="str">
        <f>INDEX(Products!B:B,MATCH(OrdersTable[[#This Row],[Product ID]],Products!A:A,0))</f>
        <v>Niacinamide Toner</v>
      </c>
      <c r="O2895" t="str">
        <f>INDEX(Products!C:C,MATCH(OrdersTable[[#This Row],[Product ID]],Products!A:A,0))</f>
        <v>Skincare</v>
      </c>
      <c r="P2895">
        <v>1</v>
      </c>
      <c r="Q2895" s="5">
        <v>399</v>
      </c>
      <c r="R2895" s="74">
        <v>0.2</v>
      </c>
      <c r="S2895" s="75">
        <f>OrdersTable[[#This Row],[Quantity]]*OrdersTable[[#This Row],[Unit Price]]</f>
        <v>399</v>
      </c>
      <c r="T2895" s="5">
        <f>OrdersTable[[#This Row],[Gross Sale]]*OrdersTable[[#This Row],[Discount_Clean2]]</f>
        <v>79.800000000000011</v>
      </c>
      <c r="U2895" s="5">
        <f>OrdersTable[[#This Row],[Gross Sale]]-OrdersTable[[#This Row],[Discount Amount]]</f>
        <v>319.2</v>
      </c>
      <c r="V2895" s="77">
        <f>INDEX(Products!E:E,MATCH(OrdersTable[[#This Row],[Product ID]],Products!A:A,0))</f>
        <v>112</v>
      </c>
      <c r="W2895" s="77">
        <f>OrdersTable[[#This Row],[Quantity]]*OrdersTable[[#This Row],[Unit Cost]]</f>
        <v>112</v>
      </c>
      <c r="X2895" s="77">
        <f>'Dropdown Lists'!$I$2*(1+OrdersTable[[#This Row],[Returned]])</f>
        <v>120</v>
      </c>
      <c r="Y2895" s="76">
        <f>OrdersTable[[#This Row],[Net Revenue]]-OrdersTable[[#This Row],[COGS]]-OrdersTable[[#This Row],[Shipping Cost]]</f>
        <v>87.199999999999989</v>
      </c>
      <c r="Z2895" s="78">
        <f>IFERROR(OrdersTable[[#This Row],[Profit]]/OrdersTable[[#This Row],[Net Revenue]],0)</f>
        <v>0.27318295739348369</v>
      </c>
      <c r="AA2895" t="s">
        <v>3495</v>
      </c>
      <c r="AB2895" s="79">
        <v>45774</v>
      </c>
      <c r="AC2895">
        <f>OrdersTable[[#This Row],[Delivery Date]]-OrdersTable[[#This Row],[Order Date]]</f>
        <v>5</v>
      </c>
      <c r="AD2895" t="str">
        <f>IF(OrdersTable[[#This Row],[Delivery Days]]&lt;=2, "Express (≤2d)", IF(OrdersTable[[#This Row],[Delivery Days]]&lt;=4, "Standard (3-4d)", "Delayed (5d+)"))</f>
        <v>Delayed (5d+)</v>
      </c>
      <c r="AE2895">
        <v>4</v>
      </c>
      <c r="AF2895">
        <v>1</v>
      </c>
    </row>
    <row r="2896" spans="1:32" ht="15" x14ac:dyDescent="0.35">
      <c r="A2896" t="s">
        <v>304</v>
      </c>
      <c r="B2896" s="1">
        <v>45769</v>
      </c>
      <c r="C2896">
        <f>YEAR(OrdersTable[[#This Row],[Order Date]])</f>
        <v>2025</v>
      </c>
      <c r="D2896" s="2">
        <f>DATE(YEAR(OrdersTable[[#This Row],[Order Date]]),MONTH(OrdersTable[[#This Row],[Order Date]]),1)</f>
        <v>45748</v>
      </c>
      <c r="E2896">
        <f>MONTH(OrdersTable[[#This Row],[Order Date]])</f>
        <v>4</v>
      </c>
      <c r="F2896" t="s">
        <v>305</v>
      </c>
      <c r="G2896" t="str">
        <f>IF(OrdersTable[[#This Row],[Order Date]]=_xlfn.MINIFS(Order_Date, Customer_ID, OrdersTable[[#This Row],[Customer ID]]), "New", "Repeat")</f>
        <v>New</v>
      </c>
      <c r="H2896" t="s">
        <v>54</v>
      </c>
      <c r="I2896" t="str">
        <f>INDEX(State!B:B,MATCH(OrdersTable[[#This Row],[State]],State!A:A,0))</f>
        <v>RJ</v>
      </c>
      <c r="J2896" t="str">
        <f>INDEX(State!C:C,MATCH(OrdersTable[[#This Row],[State Code]],State!B:B,0))</f>
        <v>North</v>
      </c>
      <c r="K2896" t="s">
        <v>227</v>
      </c>
      <c r="L2896" t="s">
        <v>50</v>
      </c>
      <c r="M2896" t="s">
        <v>56</v>
      </c>
      <c r="N2896" t="str">
        <f>INDEX(Products!B:B,MATCH(OrdersTable[[#This Row],[Product ID]],Products!A:A,0))</f>
        <v>Vitamin C Face Serum</v>
      </c>
      <c r="O2896" t="str">
        <f>INDEX(Products!C:C,MATCH(OrdersTable[[#This Row],[Product ID]],Products!A:A,0))</f>
        <v>Skincare</v>
      </c>
      <c r="P2896">
        <v>1</v>
      </c>
      <c r="Q2896" s="5">
        <v>599</v>
      </c>
      <c r="R2896" s="74">
        <v>0.25</v>
      </c>
      <c r="S2896" s="75">
        <f>OrdersTable[[#This Row],[Quantity]]*OrdersTable[[#This Row],[Unit Price]]</f>
        <v>599</v>
      </c>
      <c r="T2896" s="5">
        <f>OrdersTable[[#This Row],[Gross Sale]]*OrdersTable[[#This Row],[Discount_Clean2]]</f>
        <v>149.75</v>
      </c>
      <c r="U2896" s="5">
        <f>OrdersTable[[#This Row],[Gross Sale]]-OrdersTable[[#This Row],[Discount Amount]]</f>
        <v>449.25</v>
      </c>
      <c r="V2896" s="77">
        <f>INDEX(Products!E:E,MATCH(OrdersTable[[#This Row],[Product ID]],Products!A:A,0))</f>
        <v>180</v>
      </c>
      <c r="W2896" s="77">
        <f>OrdersTable[[#This Row],[Quantity]]*OrdersTable[[#This Row],[Unit Cost]]</f>
        <v>180</v>
      </c>
      <c r="X2896" s="77">
        <f>'Dropdown Lists'!$I$2*(1+OrdersTable[[#This Row],[Returned]])</f>
        <v>60</v>
      </c>
      <c r="Y2896" s="76">
        <f>OrdersTable[[#This Row],[Net Revenue]]-OrdersTable[[#This Row],[COGS]]-OrdersTable[[#This Row],[Shipping Cost]]</f>
        <v>209.25</v>
      </c>
      <c r="Z2896" s="78">
        <f>IFERROR(OrdersTable[[#This Row],[Profit]]/OrdersTable[[#This Row],[Net Revenue]],0)</f>
        <v>0.46577629382303842</v>
      </c>
      <c r="AA2896" t="s">
        <v>18</v>
      </c>
      <c r="AB2896" s="79">
        <v>45772</v>
      </c>
      <c r="AC2896">
        <f>OrdersTable[[#This Row],[Delivery Date]]-OrdersTable[[#This Row],[Order Date]]</f>
        <v>3</v>
      </c>
      <c r="AD2896" t="str">
        <f>IF(OrdersTable[[#This Row],[Delivery Days]]&lt;=2, "Express (≤2d)", IF(OrdersTable[[#This Row],[Delivery Days]]&lt;=4, "Standard (3-4d)", "Delayed (5d+)"))</f>
        <v>Standard (3-4d)</v>
      </c>
      <c r="AE2896">
        <v>4</v>
      </c>
      <c r="AF2896">
        <v>0</v>
      </c>
    </row>
    <row r="2897" spans="1:32" ht="15" x14ac:dyDescent="0.35">
      <c r="A2897" t="s">
        <v>822</v>
      </c>
      <c r="B2897" s="1">
        <v>45769</v>
      </c>
      <c r="C2897">
        <f>YEAR(OrdersTable[[#This Row],[Order Date]])</f>
        <v>2025</v>
      </c>
      <c r="D2897" s="2">
        <f>DATE(YEAR(OrdersTable[[#This Row],[Order Date]]),MONTH(OrdersTable[[#This Row],[Order Date]]),1)</f>
        <v>45748</v>
      </c>
      <c r="E2897">
        <f>MONTH(OrdersTable[[#This Row],[Order Date]])</f>
        <v>4</v>
      </c>
      <c r="F2897" t="s">
        <v>823</v>
      </c>
      <c r="G2897" t="str">
        <f>IF(OrdersTable[[#This Row],[Order Date]]=_xlfn.MINIFS(Order_Date, Customer_ID, OrdersTable[[#This Row],[Customer ID]]), "New", "Repeat")</f>
        <v>Repeat</v>
      </c>
      <c r="H2897" t="s">
        <v>76</v>
      </c>
      <c r="I2897" t="str">
        <f>INDEX(State!B:B,MATCH(OrdersTable[[#This Row],[State]],State!A:A,0))</f>
        <v>UP</v>
      </c>
      <c r="J2897" t="str">
        <f>INDEX(State!C:C,MATCH(OrdersTable[[#This Row],[State Code]],State!B:B,0))</f>
        <v>North</v>
      </c>
      <c r="K2897" t="s">
        <v>77</v>
      </c>
      <c r="L2897" t="s">
        <v>16</v>
      </c>
      <c r="M2897" t="s">
        <v>255</v>
      </c>
      <c r="N2897" t="str">
        <f>INDEX(Products!B:B,MATCH(OrdersTable[[#This Row],[Product ID]],Products!A:A,0))</f>
        <v>Cotton Oversized T-Shirt</v>
      </c>
      <c r="O2897" t="str">
        <f>INDEX(Products!C:C,MATCH(OrdersTable[[#This Row],[Product ID]],Products!A:A,0))</f>
        <v>Apparel</v>
      </c>
      <c r="P2897">
        <v>1</v>
      </c>
      <c r="Q2897" s="5">
        <v>799</v>
      </c>
      <c r="R2897" s="74">
        <v>0</v>
      </c>
      <c r="S2897" s="75">
        <f>OrdersTable[[#This Row],[Quantity]]*OrdersTable[[#This Row],[Unit Price]]</f>
        <v>799</v>
      </c>
      <c r="T2897" s="5">
        <f>OrdersTable[[#This Row],[Gross Sale]]*OrdersTable[[#This Row],[Discount_Clean2]]</f>
        <v>0</v>
      </c>
      <c r="U2897" s="5">
        <f>OrdersTable[[#This Row],[Gross Sale]]-OrdersTable[[#This Row],[Discount Amount]]</f>
        <v>799</v>
      </c>
      <c r="V2897" s="77">
        <f>INDEX(Products!E:E,MATCH(OrdersTable[[#This Row],[Product ID]],Products!A:A,0))</f>
        <v>320</v>
      </c>
      <c r="W2897" s="77">
        <f>OrdersTable[[#This Row],[Quantity]]*OrdersTable[[#This Row],[Unit Cost]]</f>
        <v>320</v>
      </c>
      <c r="X2897" s="77">
        <f>'Dropdown Lists'!$I$2*(1+OrdersTable[[#This Row],[Returned]])</f>
        <v>60</v>
      </c>
      <c r="Y2897" s="76">
        <f>OrdersTable[[#This Row],[Net Revenue]]-OrdersTable[[#This Row],[COGS]]-OrdersTable[[#This Row],[Shipping Cost]]</f>
        <v>419</v>
      </c>
      <c r="Z2897" s="78">
        <f>IFERROR(OrdersTable[[#This Row],[Profit]]/OrdersTable[[#This Row],[Net Revenue]],0)</f>
        <v>0.52440550688360454</v>
      </c>
      <c r="AA2897" t="s">
        <v>18</v>
      </c>
      <c r="AB2897" s="79">
        <v>45772</v>
      </c>
      <c r="AC2897">
        <f>OrdersTable[[#This Row],[Delivery Date]]-OrdersTable[[#This Row],[Order Date]]</f>
        <v>3</v>
      </c>
      <c r="AD2897" t="str">
        <f>IF(OrdersTable[[#This Row],[Delivery Days]]&lt;=2, "Express (≤2d)", IF(OrdersTable[[#This Row],[Delivery Days]]&lt;=4, "Standard (3-4d)", "Delayed (5d+)"))</f>
        <v>Standard (3-4d)</v>
      </c>
      <c r="AE2897">
        <v>4</v>
      </c>
      <c r="AF2897">
        <v>0</v>
      </c>
    </row>
    <row r="2898" spans="1:32" ht="15" x14ac:dyDescent="0.35">
      <c r="A2898" t="s">
        <v>3621</v>
      </c>
      <c r="B2898" s="1">
        <v>45769</v>
      </c>
      <c r="C2898">
        <f>YEAR(OrdersTable[[#This Row],[Order Date]])</f>
        <v>2025</v>
      </c>
      <c r="D2898" s="2">
        <f>DATE(YEAR(OrdersTable[[#This Row],[Order Date]]),MONTH(OrdersTable[[#This Row],[Order Date]]),1)</f>
        <v>45748</v>
      </c>
      <c r="E2898">
        <f>MONTH(OrdersTable[[#This Row],[Order Date]])</f>
        <v>4</v>
      </c>
      <c r="F2898" t="s">
        <v>3622</v>
      </c>
      <c r="G2898" t="str">
        <f>IF(OrdersTable[[#This Row],[Order Date]]=_xlfn.MINIFS(Order_Date, Customer_ID, OrdersTable[[#This Row],[Customer ID]]), "New", "Repeat")</f>
        <v>New</v>
      </c>
      <c r="H2898" t="s">
        <v>32</v>
      </c>
      <c r="I2898" t="str">
        <f>INDEX(State!B:B,MATCH(OrdersTable[[#This Row],[State]],State!A:A,0))</f>
        <v>BR</v>
      </c>
      <c r="J2898" t="str">
        <f>INDEX(State!C:C,MATCH(OrdersTable[[#This Row],[State Code]],State!B:B,0))</f>
        <v>East</v>
      </c>
      <c r="K2898" t="s">
        <v>33</v>
      </c>
      <c r="L2898" t="s">
        <v>23</v>
      </c>
      <c r="M2898" t="s">
        <v>56</v>
      </c>
      <c r="N2898" t="str">
        <f>INDEX(Products!B:B,MATCH(OrdersTable[[#This Row],[Product ID]],Products!A:A,0))</f>
        <v>Vitamin C Face Serum</v>
      </c>
      <c r="O2898" t="str">
        <f>INDEX(Products!C:C,MATCH(OrdersTable[[#This Row],[Product ID]],Products!A:A,0))</f>
        <v>Skincare</v>
      </c>
      <c r="P2898">
        <v>1</v>
      </c>
      <c r="Q2898" s="5">
        <v>599</v>
      </c>
      <c r="R2898" s="74">
        <v>0.1</v>
      </c>
      <c r="S2898" s="75">
        <f>OrdersTable[[#This Row],[Quantity]]*OrdersTable[[#This Row],[Unit Price]]</f>
        <v>599</v>
      </c>
      <c r="T2898" s="5">
        <f>OrdersTable[[#This Row],[Gross Sale]]*OrdersTable[[#This Row],[Discount_Clean2]]</f>
        <v>59.900000000000006</v>
      </c>
      <c r="U2898" s="5">
        <f>OrdersTable[[#This Row],[Gross Sale]]-OrdersTable[[#This Row],[Discount Amount]]</f>
        <v>539.1</v>
      </c>
      <c r="V2898" s="77">
        <f>INDEX(Products!E:E,MATCH(OrdersTable[[#This Row],[Product ID]],Products!A:A,0))</f>
        <v>180</v>
      </c>
      <c r="W2898" s="77">
        <f>OrdersTable[[#This Row],[Quantity]]*OrdersTable[[#This Row],[Unit Cost]]</f>
        <v>180</v>
      </c>
      <c r="X2898" s="77">
        <f>'Dropdown Lists'!$I$2*(1+OrdersTable[[#This Row],[Returned]])</f>
        <v>60</v>
      </c>
      <c r="Y2898" s="76">
        <f>OrdersTable[[#This Row],[Net Revenue]]-OrdersTable[[#This Row],[COGS]]-OrdersTable[[#This Row],[Shipping Cost]]</f>
        <v>299.10000000000002</v>
      </c>
      <c r="Z2898" s="78">
        <f>IFERROR(OrdersTable[[#This Row],[Profit]]/OrdersTable[[#This Row],[Net Revenue]],0)</f>
        <v>0.5548135781858653</v>
      </c>
      <c r="AA2898" t="s">
        <v>3495</v>
      </c>
      <c r="AB2898" s="79">
        <v>45774</v>
      </c>
      <c r="AC2898">
        <f>OrdersTable[[#This Row],[Delivery Date]]-OrdersTable[[#This Row],[Order Date]]</f>
        <v>5</v>
      </c>
      <c r="AD2898" t="str">
        <f>IF(OrdersTable[[#This Row],[Delivery Days]]&lt;=2, "Express (≤2d)", IF(OrdersTable[[#This Row],[Delivery Days]]&lt;=4, "Standard (3-4d)", "Delayed (5d+)"))</f>
        <v>Delayed (5d+)</v>
      </c>
      <c r="AE2898">
        <v>4</v>
      </c>
      <c r="AF2898">
        <v>0</v>
      </c>
    </row>
    <row r="2899" spans="1:32" ht="15" x14ac:dyDescent="0.35">
      <c r="A2899" t="s">
        <v>2805</v>
      </c>
      <c r="B2899" s="1">
        <v>45769</v>
      </c>
      <c r="C2899">
        <f>YEAR(OrdersTable[[#This Row],[Order Date]])</f>
        <v>2025</v>
      </c>
      <c r="D2899" s="2">
        <f>DATE(YEAR(OrdersTable[[#This Row],[Order Date]]),MONTH(OrdersTable[[#This Row],[Order Date]]),1)</f>
        <v>45748</v>
      </c>
      <c r="E2899">
        <f>MONTH(OrdersTable[[#This Row],[Order Date]])</f>
        <v>4</v>
      </c>
      <c r="F2899" t="s">
        <v>232</v>
      </c>
      <c r="G2899" t="str">
        <f>IF(OrdersTable[[#This Row],[Order Date]]=_xlfn.MINIFS(Order_Date, Customer_ID, OrdersTable[[#This Row],[Customer ID]]), "New", "Repeat")</f>
        <v>Repeat</v>
      </c>
      <c r="H2899" t="s">
        <v>43</v>
      </c>
      <c r="I2899" t="str">
        <f>INDEX(State!B:B,MATCH(OrdersTable[[#This Row],[State]],State!A:A,0))</f>
        <v>MP</v>
      </c>
      <c r="J2899" t="str">
        <f>INDEX(State!C:C,MATCH(OrdersTable[[#This Row],[State Code]],State!B:B,0))</f>
        <v>West</v>
      </c>
      <c r="K2899" t="s">
        <v>44</v>
      </c>
      <c r="L2899" t="s">
        <v>23</v>
      </c>
      <c r="M2899" t="s">
        <v>87</v>
      </c>
      <c r="N2899" t="str">
        <f>INDEX(Products!B:B,MATCH(OrdersTable[[#This Row],[Product ID]],Products!A:A,0))</f>
        <v>Linen Kurta</v>
      </c>
      <c r="O2899" t="str">
        <f>INDEX(Products!C:C,MATCH(OrdersTable[[#This Row],[Product ID]],Products!A:A,0))</f>
        <v>Apparel</v>
      </c>
      <c r="P2899">
        <v>1</v>
      </c>
      <c r="Q2899" s="5">
        <v>1499</v>
      </c>
      <c r="R2899" s="74">
        <v>0.25</v>
      </c>
      <c r="S2899" s="75">
        <f>OrdersTable[[#This Row],[Quantity]]*OrdersTable[[#This Row],[Unit Price]]</f>
        <v>1499</v>
      </c>
      <c r="T2899" s="5">
        <f>OrdersTable[[#This Row],[Gross Sale]]*OrdersTable[[#This Row],[Discount_Clean2]]</f>
        <v>374.75</v>
      </c>
      <c r="U2899" s="5">
        <f>OrdersTable[[#This Row],[Gross Sale]]-OrdersTable[[#This Row],[Discount Amount]]</f>
        <v>1124.25</v>
      </c>
      <c r="V2899" s="77">
        <f>INDEX(Products!E:E,MATCH(OrdersTable[[#This Row],[Product ID]],Products!A:A,0))</f>
        <v>630</v>
      </c>
      <c r="W2899" s="77">
        <f>OrdersTable[[#This Row],[Quantity]]*OrdersTable[[#This Row],[Unit Cost]]</f>
        <v>630</v>
      </c>
      <c r="X2899" s="77">
        <f>'Dropdown Lists'!$I$2*(1+OrdersTable[[#This Row],[Returned]])</f>
        <v>60</v>
      </c>
      <c r="Y2899" s="76">
        <f>OrdersTable[[#This Row],[Net Revenue]]-OrdersTable[[#This Row],[COGS]]-OrdersTable[[#This Row],[Shipping Cost]]</f>
        <v>434.25</v>
      </c>
      <c r="Z2899" s="78">
        <f>IFERROR(OrdersTable[[#This Row],[Profit]]/OrdersTable[[#This Row],[Net Revenue]],0)</f>
        <v>0.38625750500333556</v>
      </c>
      <c r="AA2899" t="s">
        <v>2522</v>
      </c>
      <c r="AB2899" s="79">
        <v>45772</v>
      </c>
      <c r="AC2899">
        <f>OrdersTable[[#This Row],[Delivery Date]]-OrdersTable[[#This Row],[Order Date]]</f>
        <v>3</v>
      </c>
      <c r="AD2899" t="str">
        <f>IF(OrdersTable[[#This Row],[Delivery Days]]&lt;=2, "Express (≤2d)", IF(OrdersTable[[#This Row],[Delivery Days]]&lt;=4, "Standard (3-4d)", "Delayed (5d+)"))</f>
        <v>Standard (3-4d)</v>
      </c>
      <c r="AE2899">
        <v>3</v>
      </c>
      <c r="AF2899">
        <v>0</v>
      </c>
    </row>
    <row r="2900" spans="1:32" ht="15" x14ac:dyDescent="0.35">
      <c r="A2900" t="s">
        <v>4278</v>
      </c>
      <c r="B2900" s="1">
        <v>45769</v>
      </c>
      <c r="C2900">
        <f>YEAR(OrdersTable[[#This Row],[Order Date]])</f>
        <v>2025</v>
      </c>
      <c r="D2900" s="2">
        <f>DATE(YEAR(OrdersTable[[#This Row],[Order Date]]),MONTH(OrdersTable[[#This Row],[Order Date]]),1)</f>
        <v>45748</v>
      </c>
      <c r="E2900">
        <f>MONTH(OrdersTable[[#This Row],[Order Date]])</f>
        <v>4</v>
      </c>
      <c r="F2900" t="s">
        <v>4279</v>
      </c>
      <c r="G2900" t="str">
        <f>IF(OrdersTable[[#This Row],[Order Date]]=_xlfn.MINIFS(Order_Date, Customer_ID, OrdersTable[[#This Row],[Customer ID]]), "New", "Repeat")</f>
        <v>New</v>
      </c>
      <c r="H2900" t="s">
        <v>95</v>
      </c>
      <c r="I2900" t="str">
        <f>INDEX(State!B:B,MATCH(OrdersTable[[#This Row],[State]],State!A:A,0))</f>
        <v>TG</v>
      </c>
      <c r="J2900" t="str">
        <f>INDEX(State!C:C,MATCH(OrdersTable[[#This Row],[State Code]],State!B:B,0))</f>
        <v>South</v>
      </c>
      <c r="K2900" t="s">
        <v>96</v>
      </c>
      <c r="L2900" t="s">
        <v>39</v>
      </c>
      <c r="M2900" t="s">
        <v>179</v>
      </c>
      <c r="N2900" t="str">
        <f>INDEX(Products!B:B,MATCH(OrdersTable[[#This Row],[Product ID]],Products!A:A,0))</f>
        <v>Whey Protein 1kg</v>
      </c>
      <c r="O2900" t="str">
        <f>INDEX(Products!C:C,MATCH(OrdersTable[[#This Row],[Product ID]],Products!A:A,0))</f>
        <v>Wellness</v>
      </c>
      <c r="P2900">
        <v>1</v>
      </c>
      <c r="Q2900" s="5">
        <v>2299</v>
      </c>
      <c r="R2900" s="74">
        <v>0.25</v>
      </c>
      <c r="S2900" s="75">
        <f>OrdersTable[[#This Row],[Quantity]]*OrdersTable[[#This Row],[Unit Price]]</f>
        <v>2299</v>
      </c>
      <c r="T2900" s="5">
        <f>OrdersTable[[#This Row],[Gross Sale]]*OrdersTable[[#This Row],[Discount_Clean2]]</f>
        <v>574.75</v>
      </c>
      <c r="U2900" s="5">
        <f>OrdersTable[[#This Row],[Gross Sale]]-OrdersTable[[#This Row],[Discount Amount]]</f>
        <v>1724.25</v>
      </c>
      <c r="V2900" s="77">
        <f>INDEX(Products!E:E,MATCH(OrdersTable[[#This Row],[Product ID]],Products!A:A,0))</f>
        <v>1333</v>
      </c>
      <c r="W2900" s="77">
        <f>OrdersTable[[#This Row],[Quantity]]*OrdersTable[[#This Row],[Unit Cost]]</f>
        <v>1333</v>
      </c>
      <c r="X2900" s="77">
        <f>'Dropdown Lists'!$I$2*(1+OrdersTable[[#This Row],[Returned]])</f>
        <v>60</v>
      </c>
      <c r="Y2900" s="76">
        <f>OrdersTable[[#This Row],[Net Revenue]]-OrdersTable[[#This Row],[COGS]]-OrdersTable[[#This Row],[Shipping Cost]]</f>
        <v>331.25</v>
      </c>
      <c r="Z2900" s="78">
        <f>IFERROR(OrdersTable[[#This Row],[Profit]]/OrdersTable[[#This Row],[Net Revenue]],0)</f>
        <v>0.19211251268667537</v>
      </c>
      <c r="AA2900" t="s">
        <v>4074</v>
      </c>
      <c r="AB2900" s="79">
        <v>45770</v>
      </c>
      <c r="AC2900">
        <f>OrdersTable[[#This Row],[Delivery Date]]-OrdersTable[[#This Row],[Order Date]]</f>
        <v>1</v>
      </c>
      <c r="AD2900" t="str">
        <f>IF(OrdersTable[[#This Row],[Delivery Days]]&lt;=2, "Express (≤2d)", IF(OrdersTable[[#This Row],[Delivery Days]]&lt;=4, "Standard (3-4d)", "Delayed (5d+)"))</f>
        <v>Express (≤2d)</v>
      </c>
      <c r="AF2900">
        <v>0</v>
      </c>
    </row>
    <row r="2901" spans="1:32" ht="15" x14ac:dyDescent="0.35">
      <c r="A2901" t="s">
        <v>3772</v>
      </c>
      <c r="B2901" s="1">
        <v>45769</v>
      </c>
      <c r="C2901">
        <f>YEAR(OrdersTable[[#This Row],[Order Date]])</f>
        <v>2025</v>
      </c>
      <c r="D2901" s="2">
        <f>DATE(YEAR(OrdersTable[[#This Row],[Order Date]]),MONTH(OrdersTable[[#This Row],[Order Date]]),1)</f>
        <v>45748</v>
      </c>
      <c r="E2901">
        <f>MONTH(OrdersTable[[#This Row],[Order Date]])</f>
        <v>4</v>
      </c>
      <c r="F2901" t="s">
        <v>303</v>
      </c>
      <c r="G2901" t="str">
        <f>IF(OrdersTable[[#This Row],[Order Date]]=_xlfn.MINIFS(Order_Date, Customer_ID, OrdersTable[[#This Row],[Customer ID]]), "New", "Repeat")</f>
        <v>Repeat</v>
      </c>
      <c r="H2901" t="s">
        <v>167</v>
      </c>
      <c r="I2901" t="str">
        <f>INDEX(State!B:B,MATCH(OrdersTable[[#This Row],[State]],State!A:A,0))</f>
        <v>KA</v>
      </c>
      <c r="J2901" t="str">
        <f>INDEX(State!C:C,MATCH(OrdersTable[[#This Row],[State Code]],State!B:B,0))</f>
        <v>South</v>
      </c>
      <c r="K2901" t="s">
        <v>190</v>
      </c>
      <c r="L2901" t="s">
        <v>65</v>
      </c>
      <c r="M2901" t="s">
        <v>148</v>
      </c>
      <c r="N2901" t="str">
        <f>INDEX(Products!B:B,MATCH(OrdersTable[[#This Row],[Product ID]],Products!A:A,0))</f>
        <v>Smartwatch Strap</v>
      </c>
      <c r="O2901" t="str">
        <f>INDEX(Products!C:C,MATCH(OrdersTable[[#This Row],[Product ID]],Products!A:A,0))</f>
        <v>Electronics</v>
      </c>
      <c r="P2901">
        <v>1</v>
      </c>
      <c r="Q2901" s="5">
        <v>499</v>
      </c>
      <c r="R2901" s="74">
        <v>0.1</v>
      </c>
      <c r="S2901" s="75">
        <f>OrdersTable[[#This Row],[Quantity]]*OrdersTable[[#This Row],[Unit Price]]</f>
        <v>499</v>
      </c>
      <c r="T2901" s="5">
        <f>OrdersTable[[#This Row],[Gross Sale]]*OrdersTable[[#This Row],[Discount_Clean2]]</f>
        <v>49.900000000000006</v>
      </c>
      <c r="U2901" s="5">
        <f>OrdersTable[[#This Row],[Gross Sale]]-OrdersTable[[#This Row],[Discount Amount]]</f>
        <v>449.1</v>
      </c>
      <c r="V2901" s="77">
        <f>INDEX(Products!E:E,MATCH(OrdersTable[[#This Row],[Product ID]],Products!A:A,0))</f>
        <v>200</v>
      </c>
      <c r="W2901" s="77">
        <f>OrdersTable[[#This Row],[Quantity]]*OrdersTable[[#This Row],[Unit Cost]]</f>
        <v>200</v>
      </c>
      <c r="X2901" s="77">
        <f>'Dropdown Lists'!$I$2*(1+OrdersTable[[#This Row],[Returned]])</f>
        <v>60</v>
      </c>
      <c r="Y2901" s="76">
        <f>OrdersTable[[#This Row],[Net Revenue]]-OrdersTable[[#This Row],[COGS]]-OrdersTable[[#This Row],[Shipping Cost]]</f>
        <v>189.10000000000002</v>
      </c>
      <c r="Z2901" s="78">
        <f>IFERROR(OrdersTable[[#This Row],[Profit]]/OrdersTable[[#This Row],[Net Revenue]],0)</f>
        <v>0.42106435092407041</v>
      </c>
      <c r="AA2901" t="s">
        <v>3495</v>
      </c>
      <c r="AB2901" s="79">
        <v>45771</v>
      </c>
      <c r="AC2901">
        <f>OrdersTable[[#This Row],[Delivery Date]]-OrdersTable[[#This Row],[Order Date]]</f>
        <v>2</v>
      </c>
      <c r="AD2901" t="str">
        <f>IF(OrdersTable[[#This Row],[Delivery Days]]&lt;=2, "Express (≤2d)", IF(OrdersTable[[#This Row],[Delivery Days]]&lt;=4, "Standard (3-4d)", "Delayed (5d+)"))</f>
        <v>Express (≤2d)</v>
      </c>
      <c r="AF2901">
        <v>0</v>
      </c>
    </row>
    <row r="2902" spans="1:32" ht="15" x14ac:dyDescent="0.35">
      <c r="A2902" t="s">
        <v>3275</v>
      </c>
      <c r="B2902" s="1">
        <v>45769</v>
      </c>
      <c r="C2902">
        <f>YEAR(OrdersTable[[#This Row],[Order Date]])</f>
        <v>2025</v>
      </c>
      <c r="D2902" s="2">
        <f>DATE(YEAR(OrdersTable[[#This Row],[Order Date]]),MONTH(OrdersTable[[#This Row],[Order Date]]),1)</f>
        <v>45748</v>
      </c>
      <c r="E2902">
        <f>MONTH(OrdersTable[[#This Row],[Order Date]])</f>
        <v>4</v>
      </c>
      <c r="F2902" t="s">
        <v>3276</v>
      </c>
      <c r="G2902" t="str">
        <f>IF(OrdersTable[[#This Row],[Order Date]]=_xlfn.MINIFS(Order_Date, Customer_ID, OrdersTable[[#This Row],[Customer ID]]), "New", "Repeat")</f>
        <v>Repeat</v>
      </c>
      <c r="H2902" t="s">
        <v>167</v>
      </c>
      <c r="I2902" t="str">
        <f>INDEX(State!B:B,MATCH(OrdersTable[[#This Row],[State]],State!A:A,0))</f>
        <v>KA</v>
      </c>
      <c r="J2902" t="str">
        <f>INDEX(State!C:C,MATCH(OrdersTable[[#This Row],[State Code]],State!B:B,0))</f>
        <v>South</v>
      </c>
      <c r="K2902" t="s">
        <v>168</v>
      </c>
      <c r="L2902" t="s">
        <v>23</v>
      </c>
      <c r="M2902" t="s">
        <v>73</v>
      </c>
      <c r="N2902" t="str">
        <f>INDEX(Products!B:B,MATCH(OrdersTable[[#This Row],[Product ID]],Products!A:A,0))</f>
        <v>Hydrating Face Wash</v>
      </c>
      <c r="O2902" t="str">
        <f>INDEX(Products!C:C,MATCH(OrdersTable[[#This Row],[Product ID]],Products!A:A,0))</f>
        <v>Skincare</v>
      </c>
      <c r="P2902">
        <v>1</v>
      </c>
      <c r="Q2902" s="5">
        <v>299</v>
      </c>
      <c r="R2902" s="74">
        <v>0</v>
      </c>
      <c r="S2902" s="75">
        <f>OrdersTable[[#This Row],[Quantity]]*OrdersTable[[#This Row],[Unit Price]]</f>
        <v>299</v>
      </c>
      <c r="T2902" s="5">
        <f>OrdersTable[[#This Row],[Gross Sale]]*OrdersTable[[#This Row],[Discount_Clean2]]</f>
        <v>0</v>
      </c>
      <c r="U2902" s="5">
        <f>OrdersTable[[#This Row],[Gross Sale]]-OrdersTable[[#This Row],[Discount Amount]]</f>
        <v>299</v>
      </c>
      <c r="V2902" s="77">
        <f>INDEX(Products!E:E,MATCH(OrdersTable[[#This Row],[Product ID]],Products!A:A,0))</f>
        <v>90</v>
      </c>
      <c r="W2902" s="77">
        <f>OrdersTable[[#This Row],[Quantity]]*OrdersTable[[#This Row],[Unit Cost]]</f>
        <v>90</v>
      </c>
      <c r="X2902" s="77">
        <f>'Dropdown Lists'!$I$2*(1+OrdersTable[[#This Row],[Returned]])</f>
        <v>60</v>
      </c>
      <c r="Y2902" s="76">
        <f>OrdersTable[[#This Row],[Net Revenue]]-OrdersTable[[#This Row],[COGS]]-OrdersTable[[#This Row],[Shipping Cost]]</f>
        <v>149</v>
      </c>
      <c r="Z2902" s="78">
        <f>IFERROR(OrdersTable[[#This Row],[Profit]]/OrdersTable[[#This Row],[Net Revenue]],0)</f>
        <v>0.49832775919732442</v>
      </c>
      <c r="AA2902" t="s">
        <v>2522</v>
      </c>
      <c r="AB2902" s="79">
        <v>45771</v>
      </c>
      <c r="AC2902">
        <f>OrdersTable[[#This Row],[Delivery Date]]-OrdersTable[[#This Row],[Order Date]]</f>
        <v>2</v>
      </c>
      <c r="AD2902" t="str">
        <f>IF(OrdersTable[[#This Row],[Delivery Days]]&lt;=2, "Express (≤2d)", IF(OrdersTable[[#This Row],[Delivery Days]]&lt;=4, "Standard (3-4d)", "Delayed (5d+)"))</f>
        <v>Express (≤2d)</v>
      </c>
      <c r="AE2902">
        <v>4</v>
      </c>
      <c r="AF2902">
        <v>0</v>
      </c>
    </row>
    <row r="2903" spans="1:32" ht="15" x14ac:dyDescent="0.35">
      <c r="A2903" t="s">
        <v>6362</v>
      </c>
      <c r="B2903" s="1">
        <v>45769</v>
      </c>
      <c r="C2903">
        <f>YEAR(OrdersTable[[#This Row],[Order Date]])</f>
        <v>2025</v>
      </c>
      <c r="D2903" s="2">
        <f>DATE(YEAR(OrdersTable[[#This Row],[Order Date]]),MONTH(OrdersTable[[#This Row],[Order Date]]),1)</f>
        <v>45748</v>
      </c>
      <c r="E2903">
        <f>MONTH(OrdersTable[[#This Row],[Order Date]])</f>
        <v>4</v>
      </c>
      <c r="F2903" t="s">
        <v>6363</v>
      </c>
      <c r="G2903" t="str">
        <f>IF(OrdersTable[[#This Row],[Order Date]]=_xlfn.MINIFS(Order_Date, Customer_ID, OrdersTable[[#This Row],[Customer ID]]), "New", "Repeat")</f>
        <v>New</v>
      </c>
      <c r="H2903" t="s">
        <v>59</v>
      </c>
      <c r="I2903" t="str">
        <f>INDEX(State!B:B,MATCH(OrdersTable[[#This Row],[State]],State!A:A,0))</f>
        <v>TN</v>
      </c>
      <c r="J2903" t="str">
        <f>INDEX(State!C:C,MATCH(OrdersTable[[#This Row],[State Code]],State!B:B,0))</f>
        <v>South</v>
      </c>
      <c r="K2903" t="s">
        <v>64</v>
      </c>
      <c r="L2903" t="s">
        <v>16</v>
      </c>
      <c r="M2903" t="s">
        <v>34</v>
      </c>
      <c r="N2903" t="str">
        <f>INDEX(Products!B:B,MATCH(OrdersTable[[#This Row],[Product ID]],Products!A:A,0))</f>
        <v>Flip Flops</v>
      </c>
      <c r="O2903" t="str">
        <f>INDEX(Products!C:C,MATCH(OrdersTable[[#This Row],[Product ID]],Products!A:A,0))</f>
        <v>Footwear</v>
      </c>
      <c r="P2903">
        <v>2</v>
      </c>
      <c r="Q2903" s="5">
        <v>399</v>
      </c>
      <c r="R2903" s="74">
        <v>0.2</v>
      </c>
      <c r="S2903" s="75">
        <f>OrdersTable[[#This Row],[Quantity]]*OrdersTable[[#This Row],[Unit Price]]</f>
        <v>798</v>
      </c>
      <c r="T2903" s="5">
        <f>OrdersTable[[#This Row],[Gross Sale]]*OrdersTable[[#This Row],[Discount_Clean2]]</f>
        <v>159.60000000000002</v>
      </c>
      <c r="U2903" s="5">
        <f>OrdersTable[[#This Row],[Gross Sale]]-OrdersTable[[#This Row],[Discount Amount]]</f>
        <v>638.4</v>
      </c>
      <c r="V2903" s="77">
        <f>INDEX(Products!E:E,MATCH(OrdersTable[[#This Row],[Product ID]],Products!A:A,0))</f>
        <v>152</v>
      </c>
      <c r="W2903" s="77">
        <f>OrdersTable[[#This Row],[Quantity]]*OrdersTable[[#This Row],[Unit Cost]]</f>
        <v>304</v>
      </c>
      <c r="X2903" s="77">
        <f>'Dropdown Lists'!$I$2*(1+OrdersTable[[#This Row],[Returned]])</f>
        <v>60</v>
      </c>
      <c r="Y2903" s="76">
        <f>OrdersTable[[#This Row],[Net Revenue]]-OrdersTable[[#This Row],[COGS]]-OrdersTable[[#This Row],[Shipping Cost]]</f>
        <v>274.39999999999998</v>
      </c>
      <c r="Z2903" s="78">
        <f>IFERROR(OrdersTable[[#This Row],[Profit]]/OrdersTable[[#This Row],[Net Revenue]],0)</f>
        <v>0.42982456140350878</v>
      </c>
      <c r="AA2903" t="s">
        <v>18</v>
      </c>
      <c r="AB2903" s="79">
        <v>45772</v>
      </c>
      <c r="AC2903">
        <f>OrdersTable[[#This Row],[Delivery Date]]-OrdersTable[[#This Row],[Order Date]]</f>
        <v>3</v>
      </c>
      <c r="AD2903" t="str">
        <f>IF(OrdersTable[[#This Row],[Delivery Days]]&lt;=2, "Express (≤2d)", IF(OrdersTable[[#This Row],[Delivery Days]]&lt;=4, "Standard (3-4d)", "Delayed (5d+)"))</f>
        <v>Standard (3-4d)</v>
      </c>
      <c r="AE2903">
        <v>5</v>
      </c>
      <c r="AF2903">
        <v>0</v>
      </c>
    </row>
    <row r="2904" spans="1:32" ht="15" x14ac:dyDescent="0.35">
      <c r="A2904" t="s">
        <v>7004</v>
      </c>
      <c r="B2904" s="1">
        <v>45770</v>
      </c>
      <c r="C2904">
        <f>YEAR(OrdersTable[[#This Row],[Order Date]])</f>
        <v>2025</v>
      </c>
      <c r="D2904" s="2">
        <f>DATE(YEAR(OrdersTable[[#This Row],[Order Date]]),MONTH(OrdersTable[[#This Row],[Order Date]]),1)</f>
        <v>45748</v>
      </c>
      <c r="E2904">
        <f>MONTH(OrdersTable[[#This Row],[Order Date]])</f>
        <v>4</v>
      </c>
      <c r="F2904" t="s">
        <v>346</v>
      </c>
      <c r="G2904" t="str">
        <f>IF(OrdersTable[[#This Row],[Order Date]]=_xlfn.MINIFS(Order_Date, Customer_ID, OrdersTable[[#This Row],[Customer ID]]), "New", "Repeat")</f>
        <v>Repeat</v>
      </c>
      <c r="H2904" t="s">
        <v>184</v>
      </c>
      <c r="I2904" t="str">
        <f>INDEX(State!B:B,MATCH(OrdersTable[[#This Row],[State]],State!A:A,0))</f>
        <v>UK</v>
      </c>
      <c r="J2904" t="str">
        <f>INDEX(State!C:C,MATCH(OrdersTable[[#This Row],[State Code]],State!B:B,0))</f>
        <v>North</v>
      </c>
      <c r="K2904" t="s">
        <v>185</v>
      </c>
      <c r="L2904" t="s">
        <v>65</v>
      </c>
      <c r="M2904" t="s">
        <v>51</v>
      </c>
      <c r="N2904" t="str">
        <f>INDEX(Products!B:B,MATCH(OrdersTable[[#This Row],[Product ID]],Products!A:A,0))</f>
        <v>Anti-Dandruff Conditioner</v>
      </c>
      <c r="O2904" t="str">
        <f>INDEX(Products!C:C,MATCH(OrdersTable[[#This Row],[Product ID]],Products!A:A,0))</f>
        <v>Haircare</v>
      </c>
      <c r="P2904">
        <v>4</v>
      </c>
      <c r="Q2904" s="5">
        <v>399</v>
      </c>
      <c r="R2904" s="74">
        <v>0.35</v>
      </c>
      <c r="S2904" s="75">
        <f>OrdersTable[[#This Row],[Quantity]]*OrdersTable[[#This Row],[Unit Price]]</f>
        <v>1596</v>
      </c>
      <c r="T2904" s="5">
        <f>OrdersTable[[#This Row],[Gross Sale]]*OrdersTable[[#This Row],[Discount_Clean2]]</f>
        <v>558.59999999999991</v>
      </c>
      <c r="U2904" s="5">
        <f>OrdersTable[[#This Row],[Gross Sale]]-OrdersTable[[#This Row],[Discount Amount]]</f>
        <v>1037.4000000000001</v>
      </c>
      <c r="V2904" s="77">
        <f>INDEX(Products!E:E,MATCH(OrdersTable[[#This Row],[Product ID]],Products!A:A,0))</f>
        <v>136</v>
      </c>
      <c r="W2904" s="77">
        <f>OrdersTable[[#This Row],[Quantity]]*OrdersTable[[#This Row],[Unit Cost]]</f>
        <v>544</v>
      </c>
      <c r="X2904" s="77">
        <f>'Dropdown Lists'!$I$2*(1+OrdersTable[[#This Row],[Returned]])</f>
        <v>60</v>
      </c>
      <c r="Y2904" s="76">
        <f>OrdersTable[[#This Row],[Net Revenue]]-OrdersTable[[#This Row],[COGS]]-OrdersTable[[#This Row],[Shipping Cost]]</f>
        <v>433.40000000000009</v>
      </c>
      <c r="Z2904" s="78">
        <f>IFERROR(OrdersTable[[#This Row],[Profit]]/OrdersTable[[#This Row],[Net Revenue]],0)</f>
        <v>0.4177752072488915</v>
      </c>
      <c r="AA2904" t="s">
        <v>2522</v>
      </c>
      <c r="AB2904" s="79">
        <v>45773</v>
      </c>
      <c r="AC2904">
        <f>OrdersTable[[#This Row],[Delivery Date]]-OrdersTable[[#This Row],[Order Date]]</f>
        <v>3</v>
      </c>
      <c r="AD2904" t="str">
        <f>IF(OrdersTable[[#This Row],[Delivery Days]]&lt;=2, "Express (≤2d)", IF(OrdersTable[[#This Row],[Delivery Days]]&lt;=4, "Standard (3-4d)", "Delayed (5d+)"))</f>
        <v>Standard (3-4d)</v>
      </c>
      <c r="AE2904">
        <v>3</v>
      </c>
      <c r="AF2904">
        <v>0</v>
      </c>
    </row>
    <row r="2905" spans="1:32" ht="15" x14ac:dyDescent="0.35">
      <c r="A2905" t="s">
        <v>1981</v>
      </c>
      <c r="B2905" s="1">
        <v>45770</v>
      </c>
      <c r="C2905">
        <f>YEAR(OrdersTable[[#This Row],[Order Date]])</f>
        <v>2025</v>
      </c>
      <c r="D2905" s="2">
        <f>DATE(YEAR(OrdersTable[[#This Row],[Order Date]]),MONTH(OrdersTable[[#This Row],[Order Date]]),1)</f>
        <v>45748</v>
      </c>
      <c r="E2905">
        <f>MONTH(OrdersTable[[#This Row],[Order Date]])</f>
        <v>4</v>
      </c>
      <c r="F2905" t="s">
        <v>493</v>
      </c>
      <c r="G2905" t="str">
        <f>IF(OrdersTable[[#This Row],[Order Date]]=_xlfn.MINIFS(Order_Date, Customer_ID, OrdersTable[[#This Row],[Customer ID]]), "New", "Repeat")</f>
        <v>Repeat</v>
      </c>
      <c r="H2905" t="s">
        <v>54</v>
      </c>
      <c r="I2905" t="str">
        <f>INDEX(State!B:B,MATCH(OrdersTable[[#This Row],[State]],State!A:A,0))</f>
        <v>RJ</v>
      </c>
      <c r="J2905" t="str">
        <f>INDEX(State!C:C,MATCH(OrdersTable[[#This Row],[State Code]],State!B:B,0))</f>
        <v>North</v>
      </c>
      <c r="K2905" t="s">
        <v>227</v>
      </c>
      <c r="L2905" t="s">
        <v>50</v>
      </c>
      <c r="M2905" t="s">
        <v>56</v>
      </c>
      <c r="N2905" t="str">
        <f>INDEX(Products!B:B,MATCH(OrdersTable[[#This Row],[Product ID]],Products!A:A,0))</f>
        <v>Vitamin C Face Serum</v>
      </c>
      <c r="O2905" t="str">
        <f>INDEX(Products!C:C,MATCH(OrdersTable[[#This Row],[Product ID]],Products!A:A,0))</f>
        <v>Skincare</v>
      </c>
      <c r="P2905">
        <v>1</v>
      </c>
      <c r="Q2905" s="5">
        <v>599</v>
      </c>
      <c r="R2905" s="74">
        <v>0.1</v>
      </c>
      <c r="S2905" s="75">
        <f>OrdersTable[[#This Row],[Quantity]]*OrdersTable[[#This Row],[Unit Price]]</f>
        <v>599</v>
      </c>
      <c r="T2905" s="5">
        <f>OrdersTable[[#This Row],[Gross Sale]]*OrdersTable[[#This Row],[Discount_Clean2]]</f>
        <v>59.900000000000006</v>
      </c>
      <c r="U2905" s="5">
        <f>OrdersTable[[#This Row],[Gross Sale]]-OrdersTable[[#This Row],[Discount Amount]]</f>
        <v>539.1</v>
      </c>
      <c r="V2905" s="77">
        <f>INDEX(Products!E:E,MATCH(OrdersTable[[#This Row],[Product ID]],Products!A:A,0))</f>
        <v>180</v>
      </c>
      <c r="W2905" s="77">
        <f>OrdersTable[[#This Row],[Quantity]]*OrdersTable[[#This Row],[Unit Cost]]</f>
        <v>180</v>
      </c>
      <c r="X2905" s="77">
        <f>'Dropdown Lists'!$I$2*(1+OrdersTable[[#This Row],[Returned]])</f>
        <v>60</v>
      </c>
      <c r="Y2905" s="76">
        <f>OrdersTable[[#This Row],[Net Revenue]]-OrdersTable[[#This Row],[COGS]]-OrdersTable[[#This Row],[Shipping Cost]]</f>
        <v>299.10000000000002</v>
      </c>
      <c r="Z2905" s="78">
        <f>IFERROR(OrdersTable[[#This Row],[Profit]]/OrdersTable[[#This Row],[Net Revenue]],0)</f>
        <v>0.5548135781858653</v>
      </c>
      <c r="AA2905" t="s">
        <v>18</v>
      </c>
      <c r="AB2905" s="79">
        <v>45775</v>
      </c>
      <c r="AC2905">
        <f>OrdersTable[[#This Row],[Delivery Date]]-OrdersTable[[#This Row],[Order Date]]</f>
        <v>5</v>
      </c>
      <c r="AD2905" t="str">
        <f>IF(OrdersTable[[#This Row],[Delivery Days]]&lt;=2, "Express (≤2d)", IF(OrdersTable[[#This Row],[Delivery Days]]&lt;=4, "Standard (3-4d)", "Delayed (5d+)"))</f>
        <v>Delayed (5d+)</v>
      </c>
      <c r="AE2905">
        <v>3</v>
      </c>
      <c r="AF2905">
        <v>0</v>
      </c>
    </row>
    <row r="2906" spans="1:32" ht="15" x14ac:dyDescent="0.35">
      <c r="A2906" t="s">
        <v>4025</v>
      </c>
      <c r="B2906" s="1">
        <v>45770</v>
      </c>
      <c r="C2906">
        <f>YEAR(OrdersTable[[#This Row],[Order Date]])</f>
        <v>2025</v>
      </c>
      <c r="D2906" s="2">
        <f>DATE(YEAR(OrdersTable[[#This Row],[Order Date]]),MONTH(OrdersTable[[#This Row],[Order Date]]),1)</f>
        <v>45748</v>
      </c>
      <c r="E2906">
        <f>MONTH(OrdersTable[[#This Row],[Order Date]])</f>
        <v>4</v>
      </c>
      <c r="F2906" t="s">
        <v>4026</v>
      </c>
      <c r="G2906" t="str">
        <f>IF(OrdersTable[[#This Row],[Order Date]]=_xlfn.MINIFS(Order_Date, Customer_ID, OrdersTable[[#This Row],[Customer ID]]), "New", "Repeat")</f>
        <v>New</v>
      </c>
      <c r="H2906" t="s">
        <v>128</v>
      </c>
      <c r="I2906" t="str">
        <f>INDEX(State!B:B,MATCH(OrdersTable[[#This Row],[State]],State!A:A,0))</f>
        <v>DL</v>
      </c>
      <c r="J2906" t="str">
        <f>INDEX(State!C:C,MATCH(OrdersTable[[#This Row],[State Code]],State!B:B,0))</f>
        <v>North</v>
      </c>
      <c r="K2906" t="s">
        <v>129</v>
      </c>
      <c r="L2906" t="s">
        <v>39</v>
      </c>
      <c r="M2906" t="s">
        <v>179</v>
      </c>
      <c r="N2906" t="str">
        <f>INDEX(Products!B:B,MATCH(OrdersTable[[#This Row],[Product ID]],Products!A:A,0))</f>
        <v>Whey Protein 1kg</v>
      </c>
      <c r="O2906" t="str">
        <f>INDEX(Products!C:C,MATCH(OrdersTable[[#This Row],[Product ID]],Products!A:A,0))</f>
        <v>Wellness</v>
      </c>
      <c r="P2906">
        <v>1</v>
      </c>
      <c r="Q2906" s="5">
        <v>2299</v>
      </c>
      <c r="R2906" s="74">
        <v>0.25</v>
      </c>
      <c r="S2906" s="75">
        <f>OrdersTable[[#This Row],[Quantity]]*OrdersTable[[#This Row],[Unit Price]]</f>
        <v>2299</v>
      </c>
      <c r="T2906" s="5">
        <f>OrdersTable[[#This Row],[Gross Sale]]*OrdersTable[[#This Row],[Discount_Clean2]]</f>
        <v>574.75</v>
      </c>
      <c r="U2906" s="5">
        <f>OrdersTable[[#This Row],[Gross Sale]]-OrdersTable[[#This Row],[Discount Amount]]</f>
        <v>1724.25</v>
      </c>
      <c r="V2906" s="77">
        <f>INDEX(Products!E:E,MATCH(OrdersTable[[#This Row],[Product ID]],Products!A:A,0))</f>
        <v>1333</v>
      </c>
      <c r="W2906" s="77">
        <f>OrdersTable[[#This Row],[Quantity]]*OrdersTable[[#This Row],[Unit Cost]]</f>
        <v>1333</v>
      </c>
      <c r="X2906" s="77">
        <f>'Dropdown Lists'!$I$2*(1+OrdersTable[[#This Row],[Returned]])</f>
        <v>120</v>
      </c>
      <c r="Y2906" s="76">
        <f>OrdersTable[[#This Row],[Net Revenue]]-OrdersTable[[#This Row],[COGS]]-OrdersTable[[#This Row],[Shipping Cost]]</f>
        <v>271.25</v>
      </c>
      <c r="Z2906" s="78">
        <f>IFERROR(OrdersTable[[#This Row],[Profit]]/OrdersTable[[#This Row],[Net Revenue]],0)</f>
        <v>0.15731477453965492</v>
      </c>
      <c r="AA2906" t="s">
        <v>3495</v>
      </c>
      <c r="AB2906" s="79">
        <v>45774</v>
      </c>
      <c r="AC2906">
        <f>OrdersTable[[#This Row],[Delivery Date]]-OrdersTable[[#This Row],[Order Date]]</f>
        <v>4</v>
      </c>
      <c r="AD2906" t="str">
        <f>IF(OrdersTable[[#This Row],[Delivery Days]]&lt;=2, "Express (≤2d)", IF(OrdersTable[[#This Row],[Delivery Days]]&lt;=4, "Standard (3-4d)", "Delayed (5d+)"))</f>
        <v>Standard (3-4d)</v>
      </c>
      <c r="AE2906">
        <v>5</v>
      </c>
      <c r="AF2906">
        <v>1</v>
      </c>
    </row>
    <row r="2907" spans="1:32" ht="15" x14ac:dyDescent="0.35">
      <c r="A2907" t="s">
        <v>5944</v>
      </c>
      <c r="B2907" s="1">
        <v>45770</v>
      </c>
      <c r="C2907">
        <f>YEAR(OrdersTable[[#This Row],[Order Date]])</f>
        <v>2025</v>
      </c>
      <c r="D2907" s="2">
        <f>DATE(YEAR(OrdersTable[[#This Row],[Order Date]]),MONTH(OrdersTable[[#This Row],[Order Date]]),1)</f>
        <v>45748</v>
      </c>
      <c r="E2907">
        <f>MONTH(OrdersTable[[#This Row],[Order Date]])</f>
        <v>4</v>
      </c>
      <c r="F2907" t="s">
        <v>198</v>
      </c>
      <c r="G2907" t="str">
        <f>IF(OrdersTable[[#This Row],[Order Date]]=_xlfn.MINIFS(Order_Date, Customer_ID, OrdersTable[[#This Row],[Customer ID]]), "New", "Repeat")</f>
        <v>Repeat</v>
      </c>
      <c r="H2907" t="s">
        <v>76</v>
      </c>
      <c r="I2907" t="str">
        <f>INDEX(State!B:B,MATCH(OrdersTable[[#This Row],[State]],State!A:A,0))</f>
        <v>UP</v>
      </c>
      <c r="J2907" t="str">
        <f>INDEX(State!C:C,MATCH(OrdersTable[[#This Row],[State Code]],State!B:B,0))</f>
        <v>North</v>
      </c>
      <c r="K2907" t="s">
        <v>105</v>
      </c>
      <c r="L2907" t="s">
        <v>65</v>
      </c>
      <c r="M2907" t="s">
        <v>148</v>
      </c>
      <c r="N2907" t="str">
        <f>INDEX(Products!B:B,MATCH(OrdersTable[[#This Row],[Product ID]],Products!A:A,0))</f>
        <v>Smartwatch Strap</v>
      </c>
      <c r="O2907" t="str">
        <f>INDEX(Products!C:C,MATCH(OrdersTable[[#This Row],[Product ID]],Products!A:A,0))</f>
        <v>Electronics</v>
      </c>
      <c r="P2907">
        <v>2</v>
      </c>
      <c r="Q2907" s="5">
        <v>499</v>
      </c>
      <c r="R2907" s="74">
        <v>0.2</v>
      </c>
      <c r="S2907" s="75">
        <f>OrdersTable[[#This Row],[Quantity]]*OrdersTable[[#This Row],[Unit Price]]</f>
        <v>998</v>
      </c>
      <c r="T2907" s="5">
        <f>OrdersTable[[#This Row],[Gross Sale]]*OrdersTable[[#This Row],[Discount_Clean2]]</f>
        <v>199.60000000000002</v>
      </c>
      <c r="U2907" s="5">
        <f>OrdersTable[[#This Row],[Gross Sale]]-OrdersTable[[#This Row],[Discount Amount]]</f>
        <v>798.4</v>
      </c>
      <c r="V2907" s="77">
        <f>INDEX(Products!E:E,MATCH(OrdersTable[[#This Row],[Product ID]],Products!A:A,0))</f>
        <v>200</v>
      </c>
      <c r="W2907" s="77">
        <f>OrdersTable[[#This Row],[Quantity]]*OrdersTable[[#This Row],[Unit Cost]]</f>
        <v>400</v>
      </c>
      <c r="X2907" s="77">
        <f>'Dropdown Lists'!$I$2*(1+OrdersTable[[#This Row],[Returned]])</f>
        <v>60</v>
      </c>
      <c r="Y2907" s="76">
        <f>OrdersTable[[#This Row],[Net Revenue]]-OrdersTable[[#This Row],[COGS]]-OrdersTable[[#This Row],[Shipping Cost]]</f>
        <v>338.4</v>
      </c>
      <c r="Z2907" s="78">
        <f>IFERROR(OrdersTable[[#This Row],[Profit]]/OrdersTable[[#This Row],[Net Revenue]],0)</f>
        <v>0.42384769539078154</v>
      </c>
      <c r="AA2907" t="s">
        <v>18</v>
      </c>
      <c r="AB2907" s="79">
        <v>45773</v>
      </c>
      <c r="AC2907">
        <f>OrdersTable[[#This Row],[Delivery Date]]-OrdersTable[[#This Row],[Order Date]]</f>
        <v>3</v>
      </c>
      <c r="AD2907" t="str">
        <f>IF(OrdersTable[[#This Row],[Delivery Days]]&lt;=2, "Express (≤2d)", IF(OrdersTable[[#This Row],[Delivery Days]]&lt;=4, "Standard (3-4d)", "Delayed (5d+)"))</f>
        <v>Standard (3-4d)</v>
      </c>
      <c r="AF2907">
        <v>0</v>
      </c>
    </row>
    <row r="2908" spans="1:32" ht="15" x14ac:dyDescent="0.35">
      <c r="A2908" t="s">
        <v>3056</v>
      </c>
      <c r="B2908" s="1">
        <v>45770</v>
      </c>
      <c r="C2908">
        <f>YEAR(OrdersTable[[#This Row],[Order Date]])</f>
        <v>2025</v>
      </c>
      <c r="D2908" s="2">
        <f>DATE(YEAR(OrdersTable[[#This Row],[Order Date]]),MONTH(OrdersTable[[#This Row],[Order Date]]),1)</f>
        <v>45748</v>
      </c>
      <c r="E2908">
        <f>MONTH(OrdersTable[[#This Row],[Order Date]])</f>
        <v>4</v>
      </c>
      <c r="F2908" t="s">
        <v>3057</v>
      </c>
      <c r="G2908" t="str">
        <f>IF(OrdersTable[[#This Row],[Order Date]]=_xlfn.MINIFS(Order_Date, Customer_ID, OrdersTable[[#This Row],[Customer ID]]), "New", "Repeat")</f>
        <v>Repeat</v>
      </c>
      <c r="H2908" t="s">
        <v>32</v>
      </c>
      <c r="I2908" t="str">
        <f>INDEX(State!B:B,MATCH(OrdersTable[[#This Row],[State]],State!A:A,0))</f>
        <v>BR</v>
      </c>
      <c r="J2908" t="str">
        <f>INDEX(State!C:C,MATCH(OrdersTable[[#This Row],[State Code]],State!B:B,0))</f>
        <v>East</v>
      </c>
      <c r="K2908" t="s">
        <v>33</v>
      </c>
      <c r="L2908" t="s">
        <v>16</v>
      </c>
      <c r="M2908" t="s">
        <v>34</v>
      </c>
      <c r="N2908" t="str">
        <f>INDEX(Products!B:B,MATCH(OrdersTable[[#This Row],[Product ID]],Products!A:A,0))</f>
        <v>Flip Flops</v>
      </c>
      <c r="O2908" t="str">
        <f>INDEX(Products!C:C,MATCH(OrdersTable[[#This Row],[Product ID]],Products!A:A,0))</f>
        <v>Footwear</v>
      </c>
      <c r="P2908">
        <v>1</v>
      </c>
      <c r="Q2908" s="5">
        <v>399</v>
      </c>
      <c r="R2908" s="74">
        <v>0.1</v>
      </c>
      <c r="S2908" s="75">
        <f>OrdersTable[[#This Row],[Quantity]]*OrdersTable[[#This Row],[Unit Price]]</f>
        <v>399</v>
      </c>
      <c r="T2908" s="5">
        <f>OrdersTable[[#This Row],[Gross Sale]]*OrdersTable[[#This Row],[Discount_Clean2]]</f>
        <v>39.900000000000006</v>
      </c>
      <c r="U2908" s="5">
        <f>OrdersTable[[#This Row],[Gross Sale]]-OrdersTable[[#This Row],[Discount Amount]]</f>
        <v>359.1</v>
      </c>
      <c r="V2908" s="77">
        <f>INDEX(Products!E:E,MATCH(OrdersTable[[#This Row],[Product ID]],Products!A:A,0))</f>
        <v>152</v>
      </c>
      <c r="W2908" s="77">
        <f>OrdersTable[[#This Row],[Quantity]]*OrdersTable[[#This Row],[Unit Cost]]</f>
        <v>152</v>
      </c>
      <c r="X2908" s="77">
        <f>'Dropdown Lists'!$I$2*(1+OrdersTable[[#This Row],[Returned]])</f>
        <v>60</v>
      </c>
      <c r="Y2908" s="76">
        <f>OrdersTable[[#This Row],[Net Revenue]]-OrdersTable[[#This Row],[COGS]]-OrdersTable[[#This Row],[Shipping Cost]]</f>
        <v>147.10000000000002</v>
      </c>
      <c r="Z2908" s="78">
        <f>IFERROR(OrdersTable[[#This Row],[Profit]]/OrdersTable[[#This Row],[Net Revenue]],0)</f>
        <v>0.40963519910888335</v>
      </c>
      <c r="AA2908" t="s">
        <v>2522</v>
      </c>
      <c r="AB2908" s="79">
        <v>45776</v>
      </c>
      <c r="AC2908">
        <f>OrdersTable[[#This Row],[Delivery Date]]-OrdersTable[[#This Row],[Order Date]]</f>
        <v>6</v>
      </c>
      <c r="AD2908" t="str">
        <f>IF(OrdersTable[[#This Row],[Delivery Days]]&lt;=2, "Express (≤2d)", IF(OrdersTable[[#This Row],[Delivery Days]]&lt;=4, "Standard (3-4d)", "Delayed (5d+)"))</f>
        <v>Delayed (5d+)</v>
      </c>
      <c r="AF2908">
        <v>0</v>
      </c>
    </row>
    <row r="2909" spans="1:32" ht="15" x14ac:dyDescent="0.35">
      <c r="A2909" t="s">
        <v>1982</v>
      </c>
      <c r="B2909" s="1">
        <v>45770</v>
      </c>
      <c r="C2909">
        <f>YEAR(OrdersTable[[#This Row],[Order Date]])</f>
        <v>2025</v>
      </c>
      <c r="D2909" s="2">
        <f>DATE(YEAR(OrdersTable[[#This Row],[Order Date]]),MONTH(OrdersTable[[#This Row],[Order Date]]),1)</f>
        <v>45748</v>
      </c>
      <c r="E2909">
        <f>MONTH(OrdersTable[[#This Row],[Order Date]])</f>
        <v>4</v>
      </c>
      <c r="F2909" t="s">
        <v>63</v>
      </c>
      <c r="G2909" t="str">
        <f>IF(OrdersTable[[#This Row],[Order Date]]=_xlfn.MINIFS(Order_Date, Customer_ID, OrdersTable[[#This Row],[Customer ID]]), "New", "Repeat")</f>
        <v>Repeat</v>
      </c>
      <c r="H2909" t="s">
        <v>43</v>
      </c>
      <c r="I2909" t="str">
        <f>INDEX(State!B:B,MATCH(OrdersTable[[#This Row],[State]],State!A:A,0))</f>
        <v>MP</v>
      </c>
      <c r="J2909" t="str">
        <f>INDEX(State!C:C,MATCH(OrdersTable[[#This Row],[State Code]],State!B:B,0))</f>
        <v>West</v>
      </c>
      <c r="K2909" t="s">
        <v>44</v>
      </c>
      <c r="L2909" t="s">
        <v>39</v>
      </c>
      <c r="M2909" t="s">
        <v>160</v>
      </c>
      <c r="N2909" t="str">
        <f>INDEX(Products!B:B,MATCH(OrdersTable[[#This Row],[Product ID]],Products!A:A,0))</f>
        <v>Niacinamide Toner</v>
      </c>
      <c r="O2909" t="str">
        <f>INDEX(Products!C:C,MATCH(OrdersTable[[#This Row],[Product ID]],Products!A:A,0))</f>
        <v>Skincare</v>
      </c>
      <c r="P2909">
        <v>1</v>
      </c>
      <c r="Q2909" s="5">
        <v>399</v>
      </c>
      <c r="R2909" s="74">
        <v>0.2</v>
      </c>
      <c r="S2909" s="75">
        <f>OrdersTable[[#This Row],[Quantity]]*OrdersTable[[#This Row],[Unit Price]]</f>
        <v>399</v>
      </c>
      <c r="T2909" s="5">
        <f>OrdersTable[[#This Row],[Gross Sale]]*OrdersTable[[#This Row],[Discount_Clean2]]</f>
        <v>79.800000000000011</v>
      </c>
      <c r="U2909" s="5">
        <f>OrdersTable[[#This Row],[Gross Sale]]-OrdersTable[[#This Row],[Discount Amount]]</f>
        <v>319.2</v>
      </c>
      <c r="V2909" s="77">
        <f>INDEX(Products!E:E,MATCH(OrdersTable[[#This Row],[Product ID]],Products!A:A,0))</f>
        <v>112</v>
      </c>
      <c r="W2909" s="77">
        <f>OrdersTable[[#This Row],[Quantity]]*OrdersTable[[#This Row],[Unit Cost]]</f>
        <v>112</v>
      </c>
      <c r="X2909" s="77">
        <f>'Dropdown Lists'!$I$2*(1+OrdersTable[[#This Row],[Returned]])</f>
        <v>120</v>
      </c>
      <c r="Y2909" s="76">
        <f>OrdersTable[[#This Row],[Net Revenue]]-OrdersTable[[#This Row],[COGS]]-OrdersTable[[#This Row],[Shipping Cost]]</f>
        <v>87.199999999999989</v>
      </c>
      <c r="Z2909" s="78">
        <f>IFERROR(OrdersTable[[#This Row],[Profit]]/OrdersTable[[#This Row],[Net Revenue]],0)</f>
        <v>0.27318295739348369</v>
      </c>
      <c r="AA2909" t="s">
        <v>18</v>
      </c>
      <c r="AB2909" s="79">
        <v>45776</v>
      </c>
      <c r="AC2909">
        <f>OrdersTable[[#This Row],[Delivery Date]]-OrdersTable[[#This Row],[Order Date]]</f>
        <v>6</v>
      </c>
      <c r="AD2909" t="str">
        <f>IF(OrdersTable[[#This Row],[Delivery Days]]&lt;=2, "Express (≤2d)", IF(OrdersTable[[#This Row],[Delivery Days]]&lt;=4, "Standard (3-4d)", "Delayed (5d+)"))</f>
        <v>Delayed (5d+)</v>
      </c>
      <c r="AE2909">
        <v>3</v>
      </c>
      <c r="AF2909">
        <v>1</v>
      </c>
    </row>
    <row r="2910" spans="1:32" ht="15" x14ac:dyDescent="0.35">
      <c r="A2910" t="s">
        <v>3906</v>
      </c>
      <c r="B2910" s="1">
        <v>45770</v>
      </c>
      <c r="C2910">
        <f>YEAR(OrdersTable[[#This Row],[Order Date]])</f>
        <v>2025</v>
      </c>
      <c r="D2910" s="2">
        <f>DATE(YEAR(OrdersTable[[#This Row],[Order Date]]),MONTH(OrdersTable[[#This Row],[Order Date]]),1)</f>
        <v>45748</v>
      </c>
      <c r="E2910">
        <f>MONTH(OrdersTable[[#This Row],[Order Date]])</f>
        <v>4</v>
      </c>
      <c r="F2910" t="s">
        <v>3739</v>
      </c>
      <c r="G2910" t="str">
        <f>IF(OrdersTable[[#This Row],[Order Date]]=_xlfn.MINIFS(Order_Date, Customer_ID, OrdersTable[[#This Row],[Customer ID]]), "New", "Repeat")</f>
        <v>Repeat</v>
      </c>
      <c r="H2910" t="s">
        <v>27</v>
      </c>
      <c r="I2910" t="str">
        <f>INDEX(State!B:B,MATCH(OrdersTable[[#This Row],[State]],State!A:A,0))</f>
        <v>WB</v>
      </c>
      <c r="J2910" t="str">
        <f>INDEX(State!C:C,MATCH(OrdersTable[[#This Row],[State Code]],State!B:B,0))</f>
        <v>East</v>
      </c>
      <c r="K2910" t="s">
        <v>28</v>
      </c>
      <c r="L2910" t="s">
        <v>65</v>
      </c>
      <c r="M2910" t="s">
        <v>45</v>
      </c>
      <c r="N2910" t="str">
        <f>INDEX(Products!B:B,MATCH(OrdersTable[[#This Row],[Product ID]],Products!A:A,0))</f>
        <v>Argan Shampoo</v>
      </c>
      <c r="O2910" t="str">
        <f>INDEX(Products!C:C,MATCH(OrdersTable[[#This Row],[Product ID]],Products!A:A,0))</f>
        <v>Haircare</v>
      </c>
      <c r="P2910">
        <v>1</v>
      </c>
      <c r="Q2910" s="5">
        <v>449</v>
      </c>
      <c r="R2910" s="74">
        <v>0.15</v>
      </c>
      <c r="S2910" s="75">
        <f>OrdersTable[[#This Row],[Quantity]]*OrdersTable[[#This Row],[Unit Price]]</f>
        <v>449</v>
      </c>
      <c r="T2910" s="5">
        <f>OrdersTable[[#This Row],[Gross Sale]]*OrdersTable[[#This Row],[Discount_Clean2]]</f>
        <v>67.349999999999994</v>
      </c>
      <c r="U2910" s="5">
        <f>OrdersTable[[#This Row],[Gross Sale]]-OrdersTable[[#This Row],[Discount Amount]]</f>
        <v>381.65</v>
      </c>
      <c r="V2910" s="77">
        <f>INDEX(Products!E:E,MATCH(OrdersTable[[#This Row],[Product ID]],Products!A:A,0))</f>
        <v>148</v>
      </c>
      <c r="W2910" s="77">
        <f>OrdersTable[[#This Row],[Quantity]]*OrdersTable[[#This Row],[Unit Cost]]</f>
        <v>148</v>
      </c>
      <c r="X2910" s="77">
        <f>'Dropdown Lists'!$I$2*(1+OrdersTable[[#This Row],[Returned]])</f>
        <v>60</v>
      </c>
      <c r="Y2910" s="76">
        <f>OrdersTable[[#This Row],[Net Revenue]]-OrdersTable[[#This Row],[COGS]]-OrdersTable[[#This Row],[Shipping Cost]]</f>
        <v>173.64999999999998</v>
      </c>
      <c r="Z2910" s="78">
        <f>IFERROR(OrdersTable[[#This Row],[Profit]]/OrdersTable[[#This Row],[Net Revenue]],0)</f>
        <v>0.45499803484868334</v>
      </c>
      <c r="AA2910" t="s">
        <v>3495</v>
      </c>
      <c r="AB2910" s="79">
        <v>45775</v>
      </c>
      <c r="AC2910">
        <f>OrdersTable[[#This Row],[Delivery Date]]-OrdersTable[[#This Row],[Order Date]]</f>
        <v>5</v>
      </c>
      <c r="AD2910" t="str">
        <f>IF(OrdersTable[[#This Row],[Delivery Days]]&lt;=2, "Express (≤2d)", IF(OrdersTable[[#This Row],[Delivery Days]]&lt;=4, "Standard (3-4d)", "Delayed (5d+)"))</f>
        <v>Delayed (5d+)</v>
      </c>
      <c r="AE2910">
        <v>3</v>
      </c>
      <c r="AF2910">
        <v>0</v>
      </c>
    </row>
    <row r="2911" spans="1:32" ht="15" x14ac:dyDescent="0.35">
      <c r="A2911" t="s">
        <v>5187</v>
      </c>
      <c r="B2911" s="1">
        <v>45770</v>
      </c>
      <c r="C2911">
        <f>YEAR(OrdersTable[[#This Row],[Order Date]])</f>
        <v>2025</v>
      </c>
      <c r="D2911" s="2">
        <f>DATE(YEAR(OrdersTable[[#This Row],[Order Date]]),MONTH(OrdersTable[[#This Row],[Order Date]]),1)</f>
        <v>45748</v>
      </c>
      <c r="E2911">
        <f>MONTH(OrdersTable[[#This Row],[Order Date]])</f>
        <v>4</v>
      </c>
      <c r="F2911" t="s">
        <v>5188</v>
      </c>
      <c r="G2911" t="str">
        <f>IF(OrdersTable[[#This Row],[Order Date]]=_xlfn.MINIFS(Order_Date, Customer_ID, OrdersTable[[#This Row],[Customer ID]]), "New", "Repeat")</f>
        <v>New</v>
      </c>
      <c r="H2911" t="s">
        <v>27</v>
      </c>
      <c r="I2911" t="str">
        <f>INDEX(State!B:B,MATCH(OrdersTable[[#This Row],[State]],State!A:A,0))</f>
        <v>WB</v>
      </c>
      <c r="J2911" t="str">
        <f>INDEX(State!C:C,MATCH(OrdersTable[[#This Row],[State Code]],State!B:B,0))</f>
        <v>East</v>
      </c>
      <c r="K2911" t="s">
        <v>28</v>
      </c>
      <c r="L2911" t="s">
        <v>65</v>
      </c>
      <c r="M2911" t="s">
        <v>125</v>
      </c>
      <c r="N2911" t="str">
        <f>INDEX(Products!B:B,MATCH(OrdersTable[[#This Row],[Product ID]],Products!A:A,0))</f>
        <v>Copper Water Bottle</v>
      </c>
      <c r="O2911" t="str">
        <f>INDEX(Products!C:C,MATCH(OrdersTable[[#This Row],[Product ID]],Products!A:A,0))</f>
        <v>Home &amp; Kitchen</v>
      </c>
      <c r="P2911">
        <v>2</v>
      </c>
      <c r="Q2911" s="5">
        <v>899</v>
      </c>
      <c r="R2911" s="74">
        <v>0.05</v>
      </c>
      <c r="S2911" s="75">
        <f>OrdersTable[[#This Row],[Quantity]]*OrdersTable[[#This Row],[Unit Price]]</f>
        <v>1798</v>
      </c>
      <c r="T2911" s="5">
        <f>OrdersTable[[#This Row],[Gross Sale]]*OrdersTable[[#This Row],[Discount_Clean2]]</f>
        <v>89.9</v>
      </c>
      <c r="U2911" s="5">
        <f>OrdersTable[[#This Row],[Gross Sale]]-OrdersTable[[#This Row],[Discount Amount]]</f>
        <v>1708.1</v>
      </c>
      <c r="V2911" s="77">
        <f>INDEX(Products!E:E,MATCH(OrdersTable[[#This Row],[Product ID]],Products!A:A,0))</f>
        <v>378</v>
      </c>
      <c r="W2911" s="77">
        <f>OrdersTable[[#This Row],[Quantity]]*OrdersTable[[#This Row],[Unit Cost]]</f>
        <v>756</v>
      </c>
      <c r="X2911" s="77">
        <f>'Dropdown Lists'!$I$2*(1+OrdersTable[[#This Row],[Returned]])</f>
        <v>60</v>
      </c>
      <c r="Y2911" s="76">
        <f>OrdersTable[[#This Row],[Net Revenue]]-OrdersTable[[#This Row],[COGS]]-OrdersTable[[#This Row],[Shipping Cost]]</f>
        <v>892.09999999999991</v>
      </c>
      <c r="Z2911" s="78">
        <f>IFERROR(OrdersTable[[#This Row],[Profit]]/OrdersTable[[#This Row],[Net Revenue]],0)</f>
        <v>0.52227621333645569</v>
      </c>
      <c r="AA2911" t="s">
        <v>3495</v>
      </c>
      <c r="AB2911" s="79">
        <v>45773</v>
      </c>
      <c r="AC2911">
        <f>OrdersTable[[#This Row],[Delivery Date]]-OrdersTable[[#This Row],[Order Date]]</f>
        <v>3</v>
      </c>
      <c r="AD2911" t="str">
        <f>IF(OrdersTable[[#This Row],[Delivery Days]]&lt;=2, "Express (≤2d)", IF(OrdersTable[[#This Row],[Delivery Days]]&lt;=4, "Standard (3-4d)", "Delayed (5d+)"))</f>
        <v>Standard (3-4d)</v>
      </c>
      <c r="AF2911">
        <v>0</v>
      </c>
    </row>
    <row r="2912" spans="1:32" ht="15" x14ac:dyDescent="0.35">
      <c r="A2912" t="s">
        <v>2393</v>
      </c>
      <c r="B2912" s="1">
        <v>45770</v>
      </c>
      <c r="C2912">
        <f>YEAR(OrdersTable[[#This Row],[Order Date]])</f>
        <v>2025</v>
      </c>
      <c r="D2912" s="2">
        <f>DATE(YEAR(OrdersTable[[#This Row],[Order Date]]),MONTH(OrdersTable[[#This Row],[Order Date]]),1)</f>
        <v>45748</v>
      </c>
      <c r="E2912">
        <f>MONTH(OrdersTable[[#This Row],[Order Date]])</f>
        <v>4</v>
      </c>
      <c r="F2912" t="s">
        <v>2394</v>
      </c>
      <c r="G2912" t="str">
        <f>IF(OrdersTable[[#This Row],[Order Date]]=_xlfn.MINIFS(Order_Date, Customer_ID, OrdersTable[[#This Row],[Customer ID]]), "New", "Repeat")</f>
        <v>New</v>
      </c>
      <c r="H2912" t="s">
        <v>90</v>
      </c>
      <c r="I2912" t="str">
        <f>INDEX(State!B:B,MATCH(OrdersTable[[#This Row],[State]],State!A:A,0))</f>
        <v>GA</v>
      </c>
      <c r="J2912" t="str">
        <f>INDEX(State!C:C,MATCH(OrdersTable[[#This Row],[State Code]],State!B:B,0))</f>
        <v>West</v>
      </c>
      <c r="K2912" t="s">
        <v>91</v>
      </c>
      <c r="L2912" t="s">
        <v>16</v>
      </c>
      <c r="M2912" t="s">
        <v>255</v>
      </c>
      <c r="N2912" t="str">
        <f>INDEX(Products!B:B,MATCH(OrdersTable[[#This Row],[Product ID]],Products!A:A,0))</f>
        <v>Cotton Oversized T-Shirt</v>
      </c>
      <c r="O2912" t="str">
        <f>INDEX(Products!C:C,MATCH(OrdersTable[[#This Row],[Product ID]],Products!A:A,0))</f>
        <v>Apparel</v>
      </c>
      <c r="P2912">
        <v>1</v>
      </c>
      <c r="Q2912" s="5">
        <v>799</v>
      </c>
      <c r="R2912" s="74">
        <v>0</v>
      </c>
      <c r="S2912" s="75">
        <f>OrdersTable[[#This Row],[Quantity]]*OrdersTable[[#This Row],[Unit Price]]</f>
        <v>799</v>
      </c>
      <c r="T2912" s="5">
        <f>OrdersTable[[#This Row],[Gross Sale]]*OrdersTable[[#This Row],[Discount_Clean2]]</f>
        <v>0</v>
      </c>
      <c r="U2912" s="5">
        <f>OrdersTable[[#This Row],[Gross Sale]]-OrdersTable[[#This Row],[Discount Amount]]</f>
        <v>799</v>
      </c>
      <c r="V2912" s="77">
        <f>INDEX(Products!E:E,MATCH(OrdersTable[[#This Row],[Product ID]],Products!A:A,0))</f>
        <v>320</v>
      </c>
      <c r="W2912" s="77">
        <f>OrdersTable[[#This Row],[Quantity]]*OrdersTable[[#This Row],[Unit Cost]]</f>
        <v>320</v>
      </c>
      <c r="X2912" s="77">
        <f>'Dropdown Lists'!$I$2*(1+OrdersTable[[#This Row],[Returned]])</f>
        <v>60</v>
      </c>
      <c r="Y2912" s="76">
        <f>OrdersTable[[#This Row],[Net Revenue]]-OrdersTable[[#This Row],[COGS]]-OrdersTable[[#This Row],[Shipping Cost]]</f>
        <v>419</v>
      </c>
      <c r="Z2912" s="78">
        <f>IFERROR(OrdersTable[[#This Row],[Profit]]/OrdersTable[[#This Row],[Net Revenue]],0)</f>
        <v>0.52440550688360454</v>
      </c>
      <c r="AA2912" t="s">
        <v>18</v>
      </c>
      <c r="AB2912" s="79">
        <v>45772</v>
      </c>
      <c r="AC2912">
        <f>OrdersTable[[#This Row],[Delivery Date]]-OrdersTable[[#This Row],[Order Date]]</f>
        <v>2</v>
      </c>
      <c r="AD2912" t="str">
        <f>IF(OrdersTable[[#This Row],[Delivery Days]]&lt;=2, "Express (≤2d)", IF(OrdersTable[[#This Row],[Delivery Days]]&lt;=4, "Standard (3-4d)", "Delayed (5d+)"))</f>
        <v>Express (≤2d)</v>
      </c>
      <c r="AE2912">
        <v>5</v>
      </c>
      <c r="AF2912">
        <v>0</v>
      </c>
    </row>
    <row r="2913" spans="1:32" ht="15" x14ac:dyDescent="0.35">
      <c r="A2913" t="s">
        <v>5410</v>
      </c>
      <c r="B2913" s="1">
        <v>45770</v>
      </c>
      <c r="C2913">
        <f>YEAR(OrdersTable[[#This Row],[Order Date]])</f>
        <v>2025</v>
      </c>
      <c r="D2913" s="2">
        <f>DATE(YEAR(OrdersTable[[#This Row],[Order Date]]),MONTH(OrdersTable[[#This Row],[Order Date]]),1)</f>
        <v>45748</v>
      </c>
      <c r="E2913">
        <f>MONTH(OrdersTable[[#This Row],[Order Date]])</f>
        <v>4</v>
      </c>
      <c r="F2913" t="s">
        <v>3545</v>
      </c>
      <c r="G2913" t="str">
        <f>IF(OrdersTable[[#This Row],[Order Date]]=_xlfn.MINIFS(Order_Date, Customer_ID, OrdersTable[[#This Row],[Customer ID]]), "New", "Repeat")</f>
        <v>Repeat</v>
      </c>
      <c r="H2913" t="s">
        <v>167</v>
      </c>
      <c r="I2913" t="str">
        <f>INDEX(State!B:B,MATCH(OrdersTable[[#This Row],[State]],State!A:A,0))</f>
        <v>KA</v>
      </c>
      <c r="J2913" t="str">
        <f>INDEX(State!C:C,MATCH(OrdersTable[[#This Row],[State Code]],State!B:B,0))</f>
        <v>South</v>
      </c>
      <c r="K2913" t="s">
        <v>190</v>
      </c>
      <c r="L2913" t="s">
        <v>50</v>
      </c>
      <c r="M2913" t="s">
        <v>179</v>
      </c>
      <c r="N2913" t="str">
        <f>INDEX(Products!B:B,MATCH(OrdersTable[[#This Row],[Product ID]],Products!A:A,0))</f>
        <v>Whey Protein 1kg</v>
      </c>
      <c r="O2913" t="str">
        <f>INDEX(Products!C:C,MATCH(OrdersTable[[#This Row],[Product ID]],Products!A:A,0))</f>
        <v>Wellness</v>
      </c>
      <c r="P2913">
        <v>2</v>
      </c>
      <c r="Q2913" s="5">
        <v>2299</v>
      </c>
      <c r="R2913" s="74">
        <v>0.35</v>
      </c>
      <c r="S2913" s="75">
        <f>OrdersTable[[#This Row],[Quantity]]*OrdersTable[[#This Row],[Unit Price]]</f>
        <v>4598</v>
      </c>
      <c r="T2913" s="5">
        <f>OrdersTable[[#This Row],[Gross Sale]]*OrdersTable[[#This Row],[Discount_Clean2]]</f>
        <v>1609.3</v>
      </c>
      <c r="U2913" s="5">
        <f>OrdersTable[[#This Row],[Gross Sale]]-OrdersTable[[#This Row],[Discount Amount]]</f>
        <v>2988.7</v>
      </c>
      <c r="V2913" s="77">
        <f>INDEX(Products!E:E,MATCH(OrdersTable[[#This Row],[Product ID]],Products!A:A,0))</f>
        <v>1333</v>
      </c>
      <c r="W2913" s="77">
        <f>OrdersTable[[#This Row],[Quantity]]*OrdersTable[[#This Row],[Unit Cost]]</f>
        <v>2666</v>
      </c>
      <c r="X2913" s="77">
        <f>'Dropdown Lists'!$I$2*(1+OrdersTable[[#This Row],[Returned]])</f>
        <v>60</v>
      </c>
      <c r="Y2913" s="76">
        <f>OrdersTable[[#This Row],[Net Revenue]]-OrdersTable[[#This Row],[COGS]]-OrdersTable[[#This Row],[Shipping Cost]]</f>
        <v>262.69999999999982</v>
      </c>
      <c r="Z2913" s="78">
        <f>IFERROR(OrdersTable[[#This Row],[Profit]]/OrdersTable[[#This Row],[Net Revenue]],0)</f>
        <v>8.7897748184829469E-2</v>
      </c>
      <c r="AA2913" t="s">
        <v>2522</v>
      </c>
      <c r="AB2913" s="79">
        <v>45773</v>
      </c>
      <c r="AC2913">
        <f>OrdersTable[[#This Row],[Delivery Date]]-OrdersTable[[#This Row],[Order Date]]</f>
        <v>3</v>
      </c>
      <c r="AD2913" t="str">
        <f>IF(OrdersTable[[#This Row],[Delivery Days]]&lt;=2, "Express (≤2d)", IF(OrdersTable[[#This Row],[Delivery Days]]&lt;=4, "Standard (3-4d)", "Delayed (5d+)"))</f>
        <v>Standard (3-4d)</v>
      </c>
      <c r="AE2913">
        <v>5</v>
      </c>
      <c r="AF2913">
        <v>0</v>
      </c>
    </row>
    <row r="2914" spans="1:32" ht="15" x14ac:dyDescent="0.35">
      <c r="A2914" t="s">
        <v>5945</v>
      </c>
      <c r="B2914" s="1">
        <v>45770</v>
      </c>
      <c r="C2914">
        <f>YEAR(OrdersTable[[#This Row],[Order Date]])</f>
        <v>2025</v>
      </c>
      <c r="D2914" s="2">
        <f>DATE(YEAR(OrdersTable[[#This Row],[Order Date]]),MONTH(OrdersTable[[#This Row],[Order Date]]),1)</f>
        <v>45748</v>
      </c>
      <c r="E2914">
        <f>MONTH(OrdersTable[[#This Row],[Order Date]])</f>
        <v>4</v>
      </c>
      <c r="F2914" t="s">
        <v>5055</v>
      </c>
      <c r="G2914" t="str">
        <f>IF(OrdersTable[[#This Row],[Order Date]]=_xlfn.MINIFS(Order_Date, Customer_ID, OrdersTable[[#This Row],[Customer ID]]), "New", "Repeat")</f>
        <v>Repeat</v>
      </c>
      <c r="H2914" t="s">
        <v>167</v>
      </c>
      <c r="I2914" t="str">
        <f>INDEX(State!B:B,MATCH(OrdersTable[[#This Row],[State]],State!A:A,0))</f>
        <v>KA</v>
      </c>
      <c r="J2914" t="str">
        <f>INDEX(State!C:C,MATCH(OrdersTable[[#This Row],[State Code]],State!B:B,0))</f>
        <v>South</v>
      </c>
      <c r="K2914" t="s">
        <v>168</v>
      </c>
      <c r="L2914" t="s">
        <v>23</v>
      </c>
      <c r="M2914" t="s">
        <v>87</v>
      </c>
      <c r="N2914" t="str">
        <f>INDEX(Products!B:B,MATCH(OrdersTable[[#This Row],[Product ID]],Products!A:A,0))</f>
        <v>Linen Kurta</v>
      </c>
      <c r="O2914" t="str">
        <f>INDEX(Products!C:C,MATCH(OrdersTable[[#This Row],[Product ID]],Products!A:A,0))</f>
        <v>Apparel</v>
      </c>
      <c r="P2914">
        <v>2</v>
      </c>
      <c r="Q2914" s="5">
        <v>1499</v>
      </c>
      <c r="R2914" s="74">
        <v>0.25</v>
      </c>
      <c r="S2914" s="75">
        <f>OrdersTable[[#This Row],[Quantity]]*OrdersTable[[#This Row],[Unit Price]]</f>
        <v>2998</v>
      </c>
      <c r="T2914" s="5">
        <f>OrdersTable[[#This Row],[Gross Sale]]*OrdersTable[[#This Row],[Discount_Clean2]]</f>
        <v>749.5</v>
      </c>
      <c r="U2914" s="5">
        <f>OrdersTable[[#This Row],[Gross Sale]]-OrdersTable[[#This Row],[Discount Amount]]</f>
        <v>2248.5</v>
      </c>
      <c r="V2914" s="77">
        <f>INDEX(Products!E:E,MATCH(OrdersTable[[#This Row],[Product ID]],Products!A:A,0))</f>
        <v>630</v>
      </c>
      <c r="W2914" s="77">
        <f>OrdersTable[[#This Row],[Quantity]]*OrdersTable[[#This Row],[Unit Cost]]</f>
        <v>1260</v>
      </c>
      <c r="X2914" s="77">
        <f>'Dropdown Lists'!$I$2*(1+OrdersTable[[#This Row],[Returned]])</f>
        <v>60</v>
      </c>
      <c r="Y2914" s="76">
        <f>OrdersTable[[#This Row],[Net Revenue]]-OrdersTable[[#This Row],[COGS]]-OrdersTable[[#This Row],[Shipping Cost]]</f>
        <v>928.5</v>
      </c>
      <c r="Z2914" s="78">
        <f>IFERROR(OrdersTable[[#This Row],[Profit]]/OrdersTable[[#This Row],[Net Revenue]],0)</f>
        <v>0.41294196130753835</v>
      </c>
      <c r="AA2914" t="s">
        <v>18</v>
      </c>
      <c r="AB2914" s="79">
        <v>45772</v>
      </c>
      <c r="AC2914">
        <f>OrdersTable[[#This Row],[Delivery Date]]-OrdersTable[[#This Row],[Order Date]]</f>
        <v>2</v>
      </c>
      <c r="AD2914" t="str">
        <f>IF(OrdersTable[[#This Row],[Delivery Days]]&lt;=2, "Express (≤2d)", IF(OrdersTable[[#This Row],[Delivery Days]]&lt;=4, "Standard (3-4d)", "Delayed (5d+)"))</f>
        <v>Express (≤2d)</v>
      </c>
      <c r="AF2914">
        <v>0</v>
      </c>
    </row>
    <row r="2915" spans="1:32" ht="15" x14ac:dyDescent="0.35">
      <c r="A2915" t="s">
        <v>6899</v>
      </c>
      <c r="B2915" s="1">
        <v>45770</v>
      </c>
      <c r="C2915">
        <f>YEAR(OrdersTable[[#This Row],[Order Date]])</f>
        <v>2025</v>
      </c>
      <c r="D2915" s="2">
        <f>DATE(YEAR(OrdersTable[[#This Row],[Order Date]]),MONTH(OrdersTable[[#This Row],[Order Date]]),1)</f>
        <v>45748</v>
      </c>
      <c r="E2915">
        <f>MONTH(OrdersTable[[#This Row],[Order Date]])</f>
        <v>4</v>
      </c>
      <c r="F2915" t="s">
        <v>4083</v>
      </c>
      <c r="G2915" t="str">
        <f>IF(OrdersTable[[#This Row],[Order Date]]=_xlfn.MINIFS(Order_Date, Customer_ID, OrdersTable[[#This Row],[Customer ID]]), "New", "Repeat")</f>
        <v>Repeat</v>
      </c>
      <c r="H2915" t="s">
        <v>275</v>
      </c>
      <c r="I2915" t="str">
        <f>INDEX(State!B:B,MATCH(OrdersTable[[#This Row],[State]],State!A:A,0))</f>
        <v>AP</v>
      </c>
      <c r="J2915" t="str">
        <f>INDEX(State!C:C,MATCH(OrdersTable[[#This Row],[State Code]],State!B:B,0))</f>
        <v>South</v>
      </c>
      <c r="K2915" t="s">
        <v>276</v>
      </c>
      <c r="L2915" t="s">
        <v>65</v>
      </c>
      <c r="M2915" t="s">
        <v>56</v>
      </c>
      <c r="N2915" t="str">
        <f>INDEX(Products!B:B,MATCH(OrdersTable[[#This Row],[Product ID]],Products!A:A,0))</f>
        <v>Vitamin C Face Serum</v>
      </c>
      <c r="O2915" t="str">
        <f>INDEX(Products!C:C,MATCH(OrdersTable[[#This Row],[Product ID]],Products!A:A,0))</f>
        <v>Skincare</v>
      </c>
      <c r="P2915">
        <v>3</v>
      </c>
      <c r="Q2915" s="5">
        <v>599</v>
      </c>
      <c r="R2915" s="74">
        <v>0.15</v>
      </c>
      <c r="S2915" s="75">
        <f>OrdersTable[[#This Row],[Quantity]]*OrdersTable[[#This Row],[Unit Price]]</f>
        <v>1797</v>
      </c>
      <c r="T2915" s="5">
        <f>OrdersTable[[#This Row],[Gross Sale]]*OrdersTable[[#This Row],[Discount_Clean2]]</f>
        <v>269.55</v>
      </c>
      <c r="U2915" s="5">
        <f>OrdersTable[[#This Row],[Gross Sale]]-OrdersTable[[#This Row],[Discount Amount]]</f>
        <v>1527.45</v>
      </c>
      <c r="V2915" s="77">
        <f>INDEX(Products!E:E,MATCH(OrdersTable[[#This Row],[Product ID]],Products!A:A,0))</f>
        <v>180</v>
      </c>
      <c r="W2915" s="77">
        <f>OrdersTable[[#This Row],[Quantity]]*OrdersTable[[#This Row],[Unit Cost]]</f>
        <v>540</v>
      </c>
      <c r="X2915" s="77">
        <f>'Dropdown Lists'!$I$2*(1+OrdersTable[[#This Row],[Returned]])</f>
        <v>60</v>
      </c>
      <c r="Y2915" s="76">
        <f>OrdersTable[[#This Row],[Net Revenue]]-OrdersTable[[#This Row],[COGS]]-OrdersTable[[#This Row],[Shipping Cost]]</f>
        <v>927.45</v>
      </c>
      <c r="Z2915" s="78">
        <f>IFERROR(OrdersTable[[#This Row],[Profit]]/OrdersTable[[#This Row],[Net Revenue]],0)</f>
        <v>0.60718845134046939</v>
      </c>
      <c r="AA2915" t="s">
        <v>4450</v>
      </c>
      <c r="AB2915" s="79">
        <v>45775</v>
      </c>
      <c r="AC2915">
        <f>OrdersTable[[#This Row],[Delivery Date]]-OrdersTable[[#This Row],[Order Date]]</f>
        <v>5</v>
      </c>
      <c r="AD2915" t="str">
        <f>IF(OrdersTable[[#This Row],[Delivery Days]]&lt;=2, "Express (≤2d)", IF(OrdersTable[[#This Row],[Delivery Days]]&lt;=4, "Standard (3-4d)", "Delayed (5d+)"))</f>
        <v>Delayed (5d+)</v>
      </c>
      <c r="AE2915">
        <v>3</v>
      </c>
      <c r="AF2915">
        <v>0</v>
      </c>
    </row>
    <row r="2916" spans="1:32" ht="15" x14ac:dyDescent="0.35">
      <c r="A2916" t="s">
        <v>3907</v>
      </c>
      <c r="B2916" s="1">
        <v>45770</v>
      </c>
      <c r="C2916">
        <f>YEAR(OrdersTable[[#This Row],[Order Date]])</f>
        <v>2025</v>
      </c>
      <c r="D2916" s="2">
        <f>DATE(YEAR(OrdersTable[[#This Row],[Order Date]]),MONTH(OrdersTable[[#This Row],[Order Date]]),1)</f>
        <v>45748</v>
      </c>
      <c r="E2916">
        <f>MONTH(OrdersTable[[#This Row],[Order Date]])</f>
        <v>4</v>
      </c>
      <c r="F2916" t="s">
        <v>2231</v>
      </c>
      <c r="G2916" t="str">
        <f>IF(OrdersTable[[#This Row],[Order Date]]=_xlfn.MINIFS(Order_Date, Customer_ID, OrdersTable[[#This Row],[Customer ID]]), "New", "Repeat")</f>
        <v>Repeat</v>
      </c>
      <c r="H2916" t="s">
        <v>316</v>
      </c>
      <c r="I2916" t="str">
        <f>INDEX(State!B:B,MATCH(OrdersTable[[#This Row],[State]],State!A:A,0))</f>
        <v>KL</v>
      </c>
      <c r="J2916" t="str">
        <f>INDEX(State!C:C,MATCH(OrdersTable[[#This Row],[State Code]],State!B:B,0))</f>
        <v>South</v>
      </c>
      <c r="K2916" t="s">
        <v>317</v>
      </c>
      <c r="L2916" t="s">
        <v>16</v>
      </c>
      <c r="M2916" t="s">
        <v>34</v>
      </c>
      <c r="N2916" t="str">
        <f>INDEX(Products!B:B,MATCH(OrdersTable[[#This Row],[Product ID]],Products!A:A,0))</f>
        <v>Flip Flops</v>
      </c>
      <c r="O2916" t="str">
        <f>INDEX(Products!C:C,MATCH(OrdersTable[[#This Row],[Product ID]],Products!A:A,0))</f>
        <v>Footwear</v>
      </c>
      <c r="P2916">
        <v>1</v>
      </c>
      <c r="Q2916" s="5">
        <v>399</v>
      </c>
      <c r="R2916" s="74">
        <v>0.1</v>
      </c>
      <c r="S2916" s="75">
        <f>OrdersTable[[#This Row],[Quantity]]*OrdersTable[[#This Row],[Unit Price]]</f>
        <v>399</v>
      </c>
      <c r="T2916" s="5">
        <f>OrdersTable[[#This Row],[Gross Sale]]*OrdersTable[[#This Row],[Discount_Clean2]]</f>
        <v>39.900000000000006</v>
      </c>
      <c r="U2916" s="5">
        <f>OrdersTable[[#This Row],[Gross Sale]]-OrdersTable[[#This Row],[Discount Amount]]</f>
        <v>359.1</v>
      </c>
      <c r="V2916" s="77">
        <f>INDEX(Products!E:E,MATCH(OrdersTable[[#This Row],[Product ID]],Products!A:A,0))</f>
        <v>152</v>
      </c>
      <c r="W2916" s="77">
        <f>OrdersTable[[#This Row],[Quantity]]*OrdersTable[[#This Row],[Unit Cost]]</f>
        <v>152</v>
      </c>
      <c r="X2916" s="77">
        <f>'Dropdown Lists'!$I$2*(1+OrdersTable[[#This Row],[Returned]])</f>
        <v>60</v>
      </c>
      <c r="Y2916" s="76">
        <f>OrdersTable[[#This Row],[Net Revenue]]-OrdersTable[[#This Row],[COGS]]-OrdersTable[[#This Row],[Shipping Cost]]</f>
        <v>147.10000000000002</v>
      </c>
      <c r="Z2916" s="78">
        <f>IFERROR(OrdersTable[[#This Row],[Profit]]/OrdersTable[[#This Row],[Net Revenue]],0)</f>
        <v>0.40963519910888335</v>
      </c>
      <c r="AA2916" t="s">
        <v>3495</v>
      </c>
      <c r="AB2916" s="79">
        <v>45773</v>
      </c>
      <c r="AC2916">
        <f>OrdersTable[[#This Row],[Delivery Date]]-OrdersTable[[#This Row],[Order Date]]</f>
        <v>3</v>
      </c>
      <c r="AD2916" t="str">
        <f>IF(OrdersTable[[#This Row],[Delivery Days]]&lt;=2, "Express (≤2d)", IF(OrdersTable[[#This Row],[Delivery Days]]&lt;=4, "Standard (3-4d)", "Delayed (5d+)"))</f>
        <v>Standard (3-4d)</v>
      </c>
      <c r="AE2916">
        <v>3</v>
      </c>
      <c r="AF2916">
        <v>0</v>
      </c>
    </row>
    <row r="2917" spans="1:32" ht="15" x14ac:dyDescent="0.35">
      <c r="A2917" t="s">
        <v>6796</v>
      </c>
      <c r="B2917" s="1">
        <v>45770</v>
      </c>
      <c r="C2917">
        <f>YEAR(OrdersTable[[#This Row],[Order Date]])</f>
        <v>2025</v>
      </c>
      <c r="D2917" s="2">
        <f>DATE(YEAR(OrdersTable[[#This Row],[Order Date]]),MONTH(OrdersTable[[#This Row],[Order Date]]),1)</f>
        <v>45748</v>
      </c>
      <c r="E2917">
        <f>MONTH(OrdersTable[[#This Row],[Order Date]])</f>
        <v>4</v>
      </c>
      <c r="F2917" t="s">
        <v>1271</v>
      </c>
      <c r="G2917" t="str">
        <f>IF(OrdersTable[[#This Row],[Order Date]]=_xlfn.MINIFS(Order_Date, Customer_ID, OrdersTable[[#This Row],[Customer ID]]), "New", "Repeat")</f>
        <v>Repeat</v>
      </c>
      <c r="H2917" t="s">
        <v>316</v>
      </c>
      <c r="I2917" t="str">
        <f>INDEX(State!B:B,MATCH(OrdersTable[[#This Row],[State]],State!A:A,0))</f>
        <v>KL</v>
      </c>
      <c r="J2917" t="str">
        <f>INDEX(State!C:C,MATCH(OrdersTable[[#This Row],[State Code]],State!B:B,0))</f>
        <v>South</v>
      </c>
      <c r="K2917" t="s">
        <v>317</v>
      </c>
      <c r="L2917" t="s">
        <v>65</v>
      </c>
      <c r="M2917" t="s">
        <v>56</v>
      </c>
      <c r="N2917" t="str">
        <f>INDEX(Products!B:B,MATCH(OrdersTable[[#This Row],[Product ID]],Products!A:A,0))</f>
        <v>Vitamin C Face Serum</v>
      </c>
      <c r="O2917" t="str">
        <f>INDEX(Products!C:C,MATCH(OrdersTable[[#This Row],[Product ID]],Products!A:A,0))</f>
        <v>Skincare</v>
      </c>
      <c r="P2917">
        <v>3</v>
      </c>
      <c r="Q2917" s="5">
        <v>599</v>
      </c>
      <c r="R2917" s="74">
        <v>0.1</v>
      </c>
      <c r="S2917" s="75">
        <f>OrdersTable[[#This Row],[Quantity]]*OrdersTable[[#This Row],[Unit Price]]</f>
        <v>1797</v>
      </c>
      <c r="T2917" s="5">
        <f>OrdersTable[[#This Row],[Gross Sale]]*OrdersTable[[#This Row],[Discount_Clean2]]</f>
        <v>179.70000000000002</v>
      </c>
      <c r="U2917" s="5">
        <f>OrdersTable[[#This Row],[Gross Sale]]-OrdersTable[[#This Row],[Discount Amount]]</f>
        <v>1617.3</v>
      </c>
      <c r="V2917" s="77">
        <f>INDEX(Products!E:E,MATCH(OrdersTable[[#This Row],[Product ID]],Products!A:A,0))</f>
        <v>180</v>
      </c>
      <c r="W2917" s="77">
        <f>OrdersTable[[#This Row],[Quantity]]*OrdersTable[[#This Row],[Unit Cost]]</f>
        <v>540</v>
      </c>
      <c r="X2917" s="77">
        <f>'Dropdown Lists'!$I$2*(1+OrdersTable[[#This Row],[Returned]])</f>
        <v>60</v>
      </c>
      <c r="Y2917" s="76">
        <f>OrdersTable[[#This Row],[Net Revenue]]-OrdersTable[[#This Row],[COGS]]-OrdersTable[[#This Row],[Shipping Cost]]</f>
        <v>1017.3</v>
      </c>
      <c r="Z2917" s="78">
        <f>IFERROR(OrdersTable[[#This Row],[Profit]]/OrdersTable[[#This Row],[Net Revenue]],0)</f>
        <v>0.62901131515488773</v>
      </c>
      <c r="AA2917" t="s">
        <v>3495</v>
      </c>
      <c r="AB2917" s="79">
        <v>45773</v>
      </c>
      <c r="AC2917">
        <f>OrdersTable[[#This Row],[Delivery Date]]-OrdersTable[[#This Row],[Order Date]]</f>
        <v>3</v>
      </c>
      <c r="AD2917" t="str">
        <f>IF(OrdersTable[[#This Row],[Delivery Days]]&lt;=2, "Express (≤2d)", IF(OrdersTable[[#This Row],[Delivery Days]]&lt;=4, "Standard (3-4d)", "Delayed (5d+)"))</f>
        <v>Standard (3-4d)</v>
      </c>
      <c r="AE2917">
        <v>4</v>
      </c>
      <c r="AF2917">
        <v>0</v>
      </c>
    </row>
    <row r="2918" spans="1:32" ht="15" x14ac:dyDescent="0.35">
      <c r="A2918" t="s">
        <v>1086</v>
      </c>
      <c r="B2918" s="1">
        <v>45771</v>
      </c>
      <c r="C2918">
        <f>YEAR(OrdersTable[[#This Row],[Order Date]])</f>
        <v>2025</v>
      </c>
      <c r="D2918" s="2">
        <f>DATE(YEAR(OrdersTable[[#This Row],[Order Date]]),MONTH(OrdersTable[[#This Row],[Order Date]]),1)</f>
        <v>45748</v>
      </c>
      <c r="E2918">
        <f>MONTH(OrdersTable[[#This Row],[Order Date]])</f>
        <v>4</v>
      </c>
      <c r="F2918" t="s">
        <v>1087</v>
      </c>
      <c r="G2918" t="str">
        <f>IF(OrdersTable[[#This Row],[Order Date]]=_xlfn.MINIFS(Order_Date, Customer_ID, OrdersTable[[#This Row],[Customer ID]]), "New", "Repeat")</f>
        <v>Repeat</v>
      </c>
      <c r="H2918" t="s">
        <v>21</v>
      </c>
      <c r="I2918" t="str">
        <f>INDEX(State!B:B,MATCH(OrdersTable[[#This Row],[State]],State!A:A,0))</f>
        <v>PB</v>
      </c>
      <c r="J2918" t="str">
        <f>INDEX(State!C:C,MATCH(OrdersTable[[#This Row],[State Code]],State!B:B,0))</f>
        <v>North</v>
      </c>
      <c r="K2918" t="s">
        <v>260</v>
      </c>
      <c r="L2918" t="s">
        <v>23</v>
      </c>
      <c r="M2918" t="s">
        <v>255</v>
      </c>
      <c r="N2918" t="str">
        <f>INDEX(Products!B:B,MATCH(OrdersTable[[#This Row],[Product ID]],Products!A:A,0))</f>
        <v>Cotton Oversized T-Shirt</v>
      </c>
      <c r="O2918" t="str">
        <f>INDEX(Products!C:C,MATCH(OrdersTable[[#This Row],[Product ID]],Products!A:A,0))</f>
        <v>Apparel</v>
      </c>
      <c r="P2918">
        <v>1</v>
      </c>
      <c r="Q2918" s="5">
        <v>799</v>
      </c>
      <c r="R2918" s="74">
        <v>0.1</v>
      </c>
      <c r="S2918" s="75">
        <f>OrdersTable[[#This Row],[Quantity]]*OrdersTable[[#This Row],[Unit Price]]</f>
        <v>799</v>
      </c>
      <c r="T2918" s="5">
        <f>OrdersTable[[#This Row],[Gross Sale]]*OrdersTable[[#This Row],[Discount_Clean2]]</f>
        <v>79.900000000000006</v>
      </c>
      <c r="U2918" s="5">
        <f>OrdersTable[[#This Row],[Gross Sale]]-OrdersTable[[#This Row],[Discount Amount]]</f>
        <v>719.1</v>
      </c>
      <c r="V2918" s="77">
        <f>INDEX(Products!E:E,MATCH(OrdersTable[[#This Row],[Product ID]],Products!A:A,0))</f>
        <v>320</v>
      </c>
      <c r="W2918" s="77">
        <f>OrdersTable[[#This Row],[Quantity]]*OrdersTable[[#This Row],[Unit Cost]]</f>
        <v>320</v>
      </c>
      <c r="X2918" s="77">
        <f>'Dropdown Lists'!$I$2*(1+OrdersTable[[#This Row],[Returned]])</f>
        <v>120</v>
      </c>
      <c r="Y2918" s="76">
        <f>OrdersTable[[#This Row],[Net Revenue]]-OrdersTable[[#This Row],[COGS]]-OrdersTable[[#This Row],[Shipping Cost]]</f>
        <v>279.10000000000002</v>
      </c>
      <c r="Z2918" s="78">
        <f>IFERROR(OrdersTable[[#This Row],[Profit]]/OrdersTable[[#This Row],[Net Revenue]],0)</f>
        <v>0.38812404394381866</v>
      </c>
      <c r="AA2918" t="s">
        <v>18</v>
      </c>
      <c r="AB2918" s="79">
        <v>45774</v>
      </c>
      <c r="AC2918">
        <f>OrdersTable[[#This Row],[Delivery Date]]-OrdersTable[[#This Row],[Order Date]]</f>
        <v>3</v>
      </c>
      <c r="AD2918" t="str">
        <f>IF(OrdersTable[[#This Row],[Delivery Days]]&lt;=2, "Express (≤2d)", IF(OrdersTable[[#This Row],[Delivery Days]]&lt;=4, "Standard (3-4d)", "Delayed (5d+)"))</f>
        <v>Standard (3-4d)</v>
      </c>
      <c r="AE2918">
        <v>4</v>
      </c>
      <c r="AF2918">
        <v>1</v>
      </c>
    </row>
    <row r="2919" spans="1:32" ht="15" x14ac:dyDescent="0.35">
      <c r="A2919" t="s">
        <v>2613</v>
      </c>
      <c r="B2919" s="1">
        <v>45771</v>
      </c>
      <c r="C2919">
        <f>YEAR(OrdersTable[[#This Row],[Order Date]])</f>
        <v>2025</v>
      </c>
      <c r="D2919" s="2">
        <f>DATE(YEAR(OrdersTable[[#This Row],[Order Date]]),MONTH(OrdersTable[[#This Row],[Order Date]]),1)</f>
        <v>45748</v>
      </c>
      <c r="E2919">
        <f>MONTH(OrdersTable[[#This Row],[Order Date]])</f>
        <v>4</v>
      </c>
      <c r="F2919" t="s">
        <v>2614</v>
      </c>
      <c r="G2919" t="str">
        <f>IF(OrdersTable[[#This Row],[Order Date]]=_xlfn.MINIFS(Order_Date, Customer_ID, OrdersTable[[#This Row],[Customer ID]]), "New", "Repeat")</f>
        <v>Repeat</v>
      </c>
      <c r="H2919" t="s">
        <v>54</v>
      </c>
      <c r="I2919" t="str">
        <f>INDEX(State!B:B,MATCH(OrdersTable[[#This Row],[State]],State!A:A,0))</f>
        <v>RJ</v>
      </c>
      <c r="J2919" t="str">
        <f>INDEX(State!C:C,MATCH(OrdersTable[[#This Row],[State Code]],State!B:B,0))</f>
        <v>North</v>
      </c>
      <c r="K2919" t="s">
        <v>55</v>
      </c>
      <c r="L2919" t="s">
        <v>65</v>
      </c>
      <c r="M2919" t="s">
        <v>423</v>
      </c>
      <c r="N2919" t="str">
        <f>INDEX(Products!B:B,MATCH(OrdersTable[[#This Row],[Product ID]],Products!A:A,0))</f>
        <v>Power Bank 20000mAh</v>
      </c>
      <c r="O2919" t="str">
        <f>INDEX(Products!C:C,MATCH(OrdersTable[[#This Row],[Product ID]],Products!A:A,0))</f>
        <v>Electronics</v>
      </c>
      <c r="P2919">
        <v>1</v>
      </c>
      <c r="Q2919" s="5">
        <v>1799</v>
      </c>
      <c r="R2919" s="74">
        <v>0.45</v>
      </c>
      <c r="S2919" s="75">
        <f>OrdersTable[[#This Row],[Quantity]]*OrdersTable[[#This Row],[Unit Price]]</f>
        <v>1799</v>
      </c>
      <c r="T2919" s="5">
        <f>OrdersTable[[#This Row],[Gross Sale]]*OrdersTable[[#This Row],[Discount_Clean2]]</f>
        <v>809.55000000000007</v>
      </c>
      <c r="U2919" s="5">
        <f>OrdersTable[[#This Row],[Gross Sale]]-OrdersTable[[#This Row],[Discount Amount]]</f>
        <v>989.44999999999993</v>
      </c>
      <c r="V2919" s="77">
        <f>INDEX(Products!E:E,MATCH(OrdersTable[[#This Row],[Product ID]],Products!A:A,0))</f>
        <v>1079</v>
      </c>
      <c r="W2919" s="77">
        <f>OrdersTable[[#This Row],[Quantity]]*OrdersTable[[#This Row],[Unit Cost]]</f>
        <v>1079</v>
      </c>
      <c r="X2919" s="77">
        <f>'Dropdown Lists'!$I$2*(1+OrdersTable[[#This Row],[Returned]])</f>
        <v>60</v>
      </c>
      <c r="Y2919" s="76">
        <f>OrdersTable[[#This Row],[Net Revenue]]-OrdersTable[[#This Row],[COGS]]-OrdersTable[[#This Row],[Shipping Cost]]</f>
        <v>-149.55000000000007</v>
      </c>
      <c r="Z2919" s="78">
        <f>IFERROR(OrdersTable[[#This Row],[Profit]]/OrdersTable[[#This Row],[Net Revenue]],0)</f>
        <v>-0.15114457526908898</v>
      </c>
      <c r="AA2919" t="s">
        <v>2522</v>
      </c>
      <c r="AB2919" s="79">
        <v>45773</v>
      </c>
      <c r="AC2919">
        <f>OrdersTable[[#This Row],[Delivery Date]]-OrdersTable[[#This Row],[Order Date]]</f>
        <v>2</v>
      </c>
      <c r="AD2919" t="str">
        <f>IF(OrdersTable[[#This Row],[Delivery Days]]&lt;=2, "Express (≤2d)", IF(OrdersTable[[#This Row],[Delivery Days]]&lt;=4, "Standard (3-4d)", "Delayed (5d+)"))</f>
        <v>Express (≤2d)</v>
      </c>
      <c r="AE2919">
        <v>5</v>
      </c>
      <c r="AF2919">
        <v>0</v>
      </c>
    </row>
    <row r="2920" spans="1:32" ht="15" x14ac:dyDescent="0.35">
      <c r="A2920" t="s">
        <v>3446</v>
      </c>
      <c r="B2920" s="1">
        <v>45771</v>
      </c>
      <c r="C2920">
        <f>YEAR(OrdersTable[[#This Row],[Order Date]])</f>
        <v>2025</v>
      </c>
      <c r="D2920" s="2">
        <f>DATE(YEAR(OrdersTable[[#This Row],[Order Date]]),MONTH(OrdersTable[[#This Row],[Order Date]]),1)</f>
        <v>45748</v>
      </c>
      <c r="E2920">
        <f>MONTH(OrdersTable[[#This Row],[Order Date]])</f>
        <v>4</v>
      </c>
      <c r="F2920" t="s">
        <v>1739</v>
      </c>
      <c r="G2920" t="str">
        <f>IF(OrdersTable[[#This Row],[Order Date]]=_xlfn.MINIFS(Order_Date, Customer_ID, OrdersTable[[#This Row],[Customer ID]]), "New", "Repeat")</f>
        <v>Repeat</v>
      </c>
      <c r="H2920" t="s">
        <v>32</v>
      </c>
      <c r="I2920" t="str">
        <f>INDEX(State!B:B,MATCH(OrdersTable[[#This Row],[State]],State!A:A,0))</f>
        <v>BR</v>
      </c>
      <c r="J2920" t="str">
        <f>INDEX(State!C:C,MATCH(OrdersTable[[#This Row],[State Code]],State!B:B,0))</f>
        <v>East</v>
      </c>
      <c r="K2920" t="s">
        <v>33</v>
      </c>
      <c r="L2920" t="s">
        <v>65</v>
      </c>
      <c r="M2920" t="s">
        <v>56</v>
      </c>
      <c r="N2920" t="str">
        <f>INDEX(Products!B:B,MATCH(OrdersTable[[#This Row],[Product ID]],Products!A:A,0))</f>
        <v>Vitamin C Face Serum</v>
      </c>
      <c r="O2920" t="str">
        <f>INDEX(Products!C:C,MATCH(OrdersTable[[#This Row],[Product ID]],Products!A:A,0))</f>
        <v>Skincare</v>
      </c>
      <c r="P2920">
        <v>1</v>
      </c>
      <c r="Q2920" s="5">
        <v>599</v>
      </c>
      <c r="R2920" s="74">
        <v>0.15</v>
      </c>
      <c r="S2920" s="75">
        <f>OrdersTable[[#This Row],[Quantity]]*OrdersTable[[#This Row],[Unit Price]]</f>
        <v>599</v>
      </c>
      <c r="T2920" s="5">
        <f>OrdersTable[[#This Row],[Gross Sale]]*OrdersTable[[#This Row],[Discount_Clean2]]</f>
        <v>89.85</v>
      </c>
      <c r="U2920" s="5">
        <f>OrdersTable[[#This Row],[Gross Sale]]-OrdersTable[[#This Row],[Discount Amount]]</f>
        <v>509.15</v>
      </c>
      <c r="V2920" s="77">
        <f>INDEX(Products!E:E,MATCH(OrdersTable[[#This Row],[Product ID]],Products!A:A,0))</f>
        <v>180</v>
      </c>
      <c r="W2920" s="77">
        <f>OrdersTable[[#This Row],[Quantity]]*OrdersTable[[#This Row],[Unit Cost]]</f>
        <v>180</v>
      </c>
      <c r="X2920" s="77">
        <f>'Dropdown Lists'!$I$2*(1+OrdersTable[[#This Row],[Returned]])</f>
        <v>120</v>
      </c>
      <c r="Y2920" s="76">
        <f>OrdersTable[[#This Row],[Net Revenue]]-OrdersTable[[#This Row],[COGS]]-OrdersTable[[#This Row],[Shipping Cost]]</f>
        <v>209.14999999999998</v>
      </c>
      <c r="Z2920" s="78">
        <f>IFERROR(OrdersTable[[#This Row],[Profit]]/OrdersTable[[#This Row],[Net Revenue]],0)</f>
        <v>0.41078267701070409</v>
      </c>
      <c r="AA2920" t="s">
        <v>2522</v>
      </c>
      <c r="AB2920" s="79">
        <v>45776</v>
      </c>
      <c r="AC2920">
        <f>OrdersTable[[#This Row],[Delivery Date]]-OrdersTable[[#This Row],[Order Date]]</f>
        <v>5</v>
      </c>
      <c r="AD2920" t="str">
        <f>IF(OrdersTable[[#This Row],[Delivery Days]]&lt;=2, "Express (≤2d)", IF(OrdersTable[[#This Row],[Delivery Days]]&lt;=4, "Standard (3-4d)", "Delayed (5d+)"))</f>
        <v>Delayed (5d+)</v>
      </c>
      <c r="AE2920">
        <v>4</v>
      </c>
      <c r="AF2920">
        <v>1</v>
      </c>
    </row>
    <row r="2921" spans="1:32" ht="15" x14ac:dyDescent="0.35">
      <c r="A2921" t="s">
        <v>4144</v>
      </c>
      <c r="B2921" s="1">
        <v>45771</v>
      </c>
      <c r="C2921">
        <f>YEAR(OrdersTable[[#This Row],[Order Date]])</f>
        <v>2025</v>
      </c>
      <c r="D2921" s="2">
        <f>DATE(YEAR(OrdersTable[[#This Row],[Order Date]]),MONTH(OrdersTable[[#This Row],[Order Date]]),1)</f>
        <v>45748</v>
      </c>
      <c r="E2921">
        <f>MONTH(OrdersTable[[#This Row],[Order Date]])</f>
        <v>4</v>
      </c>
      <c r="F2921" t="s">
        <v>4145</v>
      </c>
      <c r="G2921" t="str">
        <f>IF(OrdersTable[[#This Row],[Order Date]]=_xlfn.MINIFS(Order_Date, Customer_ID, OrdersTable[[#This Row],[Customer ID]]), "New", "Repeat")</f>
        <v>Repeat</v>
      </c>
      <c r="H2921" t="s">
        <v>482</v>
      </c>
      <c r="I2921" t="str">
        <f>INDEX(State!B:B,MATCH(OrdersTable[[#This Row],[State]],State!A:A,0))</f>
        <v>CG</v>
      </c>
      <c r="J2921" t="str">
        <f>INDEX(State!C:C,MATCH(OrdersTable[[#This Row],[State Code]],State!B:B,0))</f>
        <v>East</v>
      </c>
      <c r="K2921" t="s">
        <v>483</v>
      </c>
      <c r="L2921" t="s">
        <v>23</v>
      </c>
      <c r="M2921" t="s">
        <v>565</v>
      </c>
      <c r="N2921" t="str">
        <f>INDEX(Products!B:B,MATCH(OrdersTable[[#This Row],[Product ID]],Products!A:A,0))</f>
        <v>Ceramic Dinner Set</v>
      </c>
      <c r="O2921" t="str">
        <f>INDEX(Products!C:C,MATCH(OrdersTable[[#This Row],[Product ID]],Products!A:A,0))</f>
        <v>Home &amp; Kitchen</v>
      </c>
      <c r="P2921">
        <v>1</v>
      </c>
      <c r="Q2921" s="5">
        <v>2499</v>
      </c>
      <c r="R2921" s="74">
        <v>0.4</v>
      </c>
      <c r="S2921" s="75">
        <f>OrdersTable[[#This Row],[Quantity]]*OrdersTable[[#This Row],[Unit Price]]</f>
        <v>2499</v>
      </c>
      <c r="T2921" s="5">
        <f>OrdersTable[[#This Row],[Gross Sale]]*OrdersTable[[#This Row],[Discount_Clean2]]</f>
        <v>999.6</v>
      </c>
      <c r="U2921" s="5">
        <f>OrdersTable[[#This Row],[Gross Sale]]-OrdersTable[[#This Row],[Discount Amount]]</f>
        <v>1499.4</v>
      </c>
      <c r="V2921" s="77">
        <f>INDEX(Products!E:E,MATCH(OrdersTable[[#This Row],[Product ID]],Products!A:A,0))</f>
        <v>1250</v>
      </c>
      <c r="W2921" s="77">
        <f>OrdersTable[[#This Row],[Quantity]]*OrdersTable[[#This Row],[Unit Cost]]</f>
        <v>1250</v>
      </c>
      <c r="X2921" s="77">
        <f>'Dropdown Lists'!$I$2*(1+OrdersTable[[#This Row],[Returned]])</f>
        <v>60</v>
      </c>
      <c r="Y2921" s="76">
        <f>OrdersTable[[#This Row],[Net Revenue]]-OrdersTable[[#This Row],[COGS]]-OrdersTable[[#This Row],[Shipping Cost]]</f>
        <v>189.40000000000009</v>
      </c>
      <c r="Z2921" s="78">
        <f>IFERROR(OrdersTable[[#This Row],[Profit]]/OrdersTable[[#This Row],[Net Revenue]],0)</f>
        <v>0.12631719354408436</v>
      </c>
      <c r="AA2921" t="s">
        <v>4074</v>
      </c>
      <c r="AB2921" s="79">
        <v>45776</v>
      </c>
      <c r="AC2921">
        <f>OrdersTable[[#This Row],[Delivery Date]]-OrdersTable[[#This Row],[Order Date]]</f>
        <v>5</v>
      </c>
      <c r="AD2921" t="str">
        <f>IF(OrdersTable[[#This Row],[Delivery Days]]&lt;=2, "Express (≤2d)", IF(OrdersTable[[#This Row],[Delivery Days]]&lt;=4, "Standard (3-4d)", "Delayed (5d+)"))</f>
        <v>Delayed (5d+)</v>
      </c>
      <c r="AE2921">
        <v>3</v>
      </c>
      <c r="AF2921">
        <v>0</v>
      </c>
    </row>
    <row r="2922" spans="1:32" ht="15" x14ac:dyDescent="0.35">
      <c r="A2922" t="s">
        <v>3277</v>
      </c>
      <c r="B2922" s="1">
        <v>45771</v>
      </c>
      <c r="C2922">
        <f>YEAR(OrdersTable[[#This Row],[Order Date]])</f>
        <v>2025</v>
      </c>
      <c r="D2922" s="2">
        <f>DATE(YEAR(OrdersTable[[#This Row],[Order Date]]),MONTH(OrdersTable[[#This Row],[Order Date]]),1)</f>
        <v>45748</v>
      </c>
      <c r="E2922">
        <f>MONTH(OrdersTable[[#This Row],[Order Date]])</f>
        <v>4</v>
      </c>
      <c r="F2922" t="s">
        <v>3278</v>
      </c>
      <c r="G2922" t="str">
        <f>IF(OrdersTable[[#This Row],[Order Date]]=_xlfn.MINIFS(Order_Date, Customer_ID, OrdersTable[[#This Row],[Customer ID]]), "New", "Repeat")</f>
        <v>New</v>
      </c>
      <c r="H2922" t="s">
        <v>123</v>
      </c>
      <c r="I2922" t="str">
        <f>INDEX(State!B:B,MATCH(OrdersTable[[#This Row],[State]],State!A:A,0))</f>
        <v>JH</v>
      </c>
      <c r="J2922" t="str">
        <f>INDEX(State!C:C,MATCH(OrdersTable[[#This Row],[State Code]],State!B:B,0))</f>
        <v>East</v>
      </c>
      <c r="K2922" t="s">
        <v>124</v>
      </c>
      <c r="L2922" t="s">
        <v>16</v>
      </c>
      <c r="M2922" t="s">
        <v>255</v>
      </c>
      <c r="N2922" t="str">
        <f>INDEX(Products!B:B,MATCH(OrdersTable[[#This Row],[Product ID]],Products!A:A,0))</f>
        <v>Cotton Oversized T-Shirt</v>
      </c>
      <c r="O2922" t="str">
        <f>INDEX(Products!C:C,MATCH(OrdersTable[[#This Row],[Product ID]],Products!A:A,0))</f>
        <v>Apparel</v>
      </c>
      <c r="P2922">
        <v>1</v>
      </c>
      <c r="Q2922" s="5">
        <v>799</v>
      </c>
      <c r="R2922" s="74">
        <v>0</v>
      </c>
      <c r="S2922" s="75">
        <f>OrdersTable[[#This Row],[Quantity]]*OrdersTable[[#This Row],[Unit Price]]</f>
        <v>799</v>
      </c>
      <c r="T2922" s="5">
        <f>OrdersTable[[#This Row],[Gross Sale]]*OrdersTable[[#This Row],[Discount_Clean2]]</f>
        <v>0</v>
      </c>
      <c r="U2922" s="5">
        <f>OrdersTable[[#This Row],[Gross Sale]]-OrdersTable[[#This Row],[Discount Amount]]</f>
        <v>799</v>
      </c>
      <c r="V2922" s="77">
        <f>INDEX(Products!E:E,MATCH(OrdersTable[[#This Row],[Product ID]],Products!A:A,0))</f>
        <v>320</v>
      </c>
      <c r="W2922" s="77">
        <f>OrdersTable[[#This Row],[Quantity]]*OrdersTable[[#This Row],[Unit Cost]]</f>
        <v>320</v>
      </c>
      <c r="X2922" s="77">
        <f>'Dropdown Lists'!$I$2*(1+OrdersTable[[#This Row],[Returned]])</f>
        <v>60</v>
      </c>
      <c r="Y2922" s="76">
        <f>OrdersTable[[#This Row],[Net Revenue]]-OrdersTable[[#This Row],[COGS]]-OrdersTable[[#This Row],[Shipping Cost]]</f>
        <v>419</v>
      </c>
      <c r="Z2922" s="78">
        <f>IFERROR(OrdersTable[[#This Row],[Profit]]/OrdersTable[[#This Row],[Net Revenue]],0)</f>
        <v>0.52440550688360454</v>
      </c>
      <c r="AA2922" t="s">
        <v>2522</v>
      </c>
      <c r="AB2922" s="79">
        <v>45773</v>
      </c>
      <c r="AC2922">
        <f>OrdersTable[[#This Row],[Delivery Date]]-OrdersTable[[#This Row],[Order Date]]</f>
        <v>2</v>
      </c>
      <c r="AD2922" t="str">
        <f>IF(OrdersTable[[#This Row],[Delivery Days]]&lt;=2, "Express (≤2d)", IF(OrdersTable[[#This Row],[Delivery Days]]&lt;=4, "Standard (3-4d)", "Delayed (5d+)"))</f>
        <v>Express (≤2d)</v>
      </c>
      <c r="AE2922">
        <v>4</v>
      </c>
      <c r="AF2922">
        <v>0</v>
      </c>
    </row>
    <row r="2923" spans="1:32" ht="15" x14ac:dyDescent="0.35">
      <c r="A2923" t="s">
        <v>5411</v>
      </c>
      <c r="B2923" s="1">
        <v>45771</v>
      </c>
      <c r="C2923">
        <f>YEAR(OrdersTable[[#This Row],[Order Date]])</f>
        <v>2025</v>
      </c>
      <c r="D2923" s="2">
        <f>DATE(YEAR(OrdersTable[[#This Row],[Order Date]]),MONTH(OrdersTable[[#This Row],[Order Date]]),1)</f>
        <v>45748</v>
      </c>
      <c r="E2923">
        <f>MONTH(OrdersTable[[#This Row],[Order Date]])</f>
        <v>4</v>
      </c>
      <c r="F2923" t="s">
        <v>5412</v>
      </c>
      <c r="G2923" t="str">
        <f>IF(OrdersTable[[#This Row],[Order Date]]=_xlfn.MINIFS(Order_Date, Customer_ID, OrdersTable[[#This Row],[Customer ID]]), "New", "Repeat")</f>
        <v>New</v>
      </c>
      <c r="H2923" t="s">
        <v>90</v>
      </c>
      <c r="I2923" t="str">
        <f>INDEX(State!B:B,MATCH(OrdersTable[[#This Row],[State]],State!A:A,0))</f>
        <v>GA</v>
      </c>
      <c r="J2923" t="str">
        <f>INDEX(State!C:C,MATCH(OrdersTable[[#This Row],[State Code]],State!B:B,0))</f>
        <v>West</v>
      </c>
      <c r="K2923" t="s">
        <v>91</v>
      </c>
      <c r="L2923" t="s">
        <v>65</v>
      </c>
      <c r="M2923" t="s">
        <v>109</v>
      </c>
      <c r="N2923" t="str">
        <f>INDEX(Products!B:B,MATCH(OrdersTable[[#This Row],[Product ID]],Products!A:A,0))</f>
        <v>Onion Hair Oil</v>
      </c>
      <c r="O2923" t="str">
        <f>INDEX(Products!C:C,MATCH(OrdersTable[[#This Row],[Product ID]],Products!A:A,0))</f>
        <v>Haircare</v>
      </c>
      <c r="P2923">
        <v>2</v>
      </c>
      <c r="Q2923" s="5">
        <v>349</v>
      </c>
      <c r="R2923" s="74">
        <v>0.35</v>
      </c>
      <c r="S2923" s="75">
        <f>OrdersTable[[#This Row],[Quantity]]*OrdersTable[[#This Row],[Unit Price]]</f>
        <v>698</v>
      </c>
      <c r="T2923" s="5">
        <f>OrdersTable[[#This Row],[Gross Sale]]*OrdersTable[[#This Row],[Discount_Clean2]]</f>
        <v>244.29999999999998</v>
      </c>
      <c r="U2923" s="5">
        <f>OrdersTable[[#This Row],[Gross Sale]]-OrdersTable[[#This Row],[Discount Amount]]</f>
        <v>453.70000000000005</v>
      </c>
      <c r="V2923" s="77">
        <f>INDEX(Products!E:E,MATCH(OrdersTable[[#This Row],[Product ID]],Products!A:A,0))</f>
        <v>105</v>
      </c>
      <c r="W2923" s="77">
        <f>OrdersTable[[#This Row],[Quantity]]*OrdersTable[[#This Row],[Unit Cost]]</f>
        <v>210</v>
      </c>
      <c r="X2923" s="77">
        <f>'Dropdown Lists'!$I$2*(1+OrdersTable[[#This Row],[Returned]])</f>
        <v>60</v>
      </c>
      <c r="Y2923" s="76">
        <f>OrdersTable[[#This Row],[Net Revenue]]-OrdersTable[[#This Row],[COGS]]-OrdersTable[[#This Row],[Shipping Cost]]</f>
        <v>183.70000000000005</v>
      </c>
      <c r="Z2923" s="78">
        <f>IFERROR(OrdersTable[[#This Row],[Profit]]/OrdersTable[[#This Row],[Net Revenue]],0)</f>
        <v>0.40489310116817284</v>
      </c>
      <c r="AA2923" t="s">
        <v>2522</v>
      </c>
      <c r="AB2923" s="79">
        <v>45773</v>
      </c>
      <c r="AC2923">
        <f>OrdersTable[[#This Row],[Delivery Date]]-OrdersTable[[#This Row],[Order Date]]</f>
        <v>2</v>
      </c>
      <c r="AD2923" t="str">
        <f>IF(OrdersTable[[#This Row],[Delivery Days]]&lt;=2, "Express (≤2d)", IF(OrdersTable[[#This Row],[Delivery Days]]&lt;=4, "Standard (3-4d)", "Delayed (5d+)"))</f>
        <v>Express (≤2d)</v>
      </c>
      <c r="AE2923">
        <v>5</v>
      </c>
      <c r="AF2923">
        <v>0</v>
      </c>
    </row>
    <row r="2924" spans="1:32" ht="15" x14ac:dyDescent="0.35">
      <c r="A2924" t="s">
        <v>6580</v>
      </c>
      <c r="B2924" s="1">
        <v>45771</v>
      </c>
      <c r="C2924">
        <f>YEAR(OrdersTable[[#This Row],[Order Date]])</f>
        <v>2025</v>
      </c>
      <c r="D2924" s="2">
        <f>DATE(YEAR(OrdersTable[[#This Row],[Order Date]]),MONTH(OrdersTable[[#This Row],[Order Date]]),1)</f>
        <v>45748</v>
      </c>
      <c r="E2924">
        <f>MONTH(OrdersTable[[#This Row],[Order Date]])</f>
        <v>4</v>
      </c>
      <c r="F2924" t="s">
        <v>6303</v>
      </c>
      <c r="G2924" t="str">
        <f>IF(OrdersTable[[#This Row],[Order Date]]=_xlfn.MINIFS(Order_Date, Customer_ID, OrdersTable[[#This Row],[Customer ID]]), "New", "Repeat")</f>
        <v>Repeat</v>
      </c>
      <c r="H2924" t="s">
        <v>275</v>
      </c>
      <c r="I2924" t="str">
        <f>INDEX(State!B:B,MATCH(OrdersTable[[#This Row],[State]],State!A:A,0))</f>
        <v>AP</v>
      </c>
      <c r="J2924" t="str">
        <f>INDEX(State!C:C,MATCH(OrdersTable[[#This Row],[State Code]],State!B:B,0))</f>
        <v>South</v>
      </c>
      <c r="K2924" t="s">
        <v>491</v>
      </c>
      <c r="L2924" t="s">
        <v>23</v>
      </c>
      <c r="M2924" t="s">
        <v>106</v>
      </c>
      <c r="N2924" t="str">
        <f>INDEX(Products!B:B,MATCH(OrdersTable[[#This Row],[Product ID]],Products!A:A,0))</f>
        <v>Keratin Hair Mask</v>
      </c>
      <c r="O2924" t="str">
        <f>INDEX(Products!C:C,MATCH(OrdersTable[[#This Row],[Product ID]],Products!A:A,0))</f>
        <v>Haircare</v>
      </c>
      <c r="P2924">
        <v>3</v>
      </c>
      <c r="Q2924" s="5">
        <v>549</v>
      </c>
      <c r="R2924" s="74">
        <v>0.1</v>
      </c>
      <c r="S2924" s="75">
        <f>OrdersTable[[#This Row],[Quantity]]*OrdersTable[[#This Row],[Unit Price]]</f>
        <v>1647</v>
      </c>
      <c r="T2924" s="5">
        <f>OrdersTable[[#This Row],[Gross Sale]]*OrdersTable[[#This Row],[Discount_Clean2]]</f>
        <v>164.70000000000002</v>
      </c>
      <c r="U2924" s="5">
        <f>OrdersTable[[#This Row],[Gross Sale]]-OrdersTable[[#This Row],[Discount Amount]]</f>
        <v>1482.3</v>
      </c>
      <c r="V2924" s="77">
        <f>INDEX(Products!E:E,MATCH(OrdersTable[[#This Row],[Product ID]],Products!A:A,0))</f>
        <v>170</v>
      </c>
      <c r="W2924" s="77">
        <f>OrdersTable[[#This Row],[Quantity]]*OrdersTable[[#This Row],[Unit Cost]]</f>
        <v>510</v>
      </c>
      <c r="X2924" s="77">
        <f>'Dropdown Lists'!$I$2*(1+OrdersTable[[#This Row],[Returned]])</f>
        <v>60</v>
      </c>
      <c r="Y2924" s="76">
        <f>OrdersTable[[#This Row],[Net Revenue]]-OrdersTable[[#This Row],[COGS]]-OrdersTable[[#This Row],[Shipping Cost]]</f>
        <v>912.3</v>
      </c>
      <c r="Z2924" s="78">
        <f>IFERROR(OrdersTable[[#This Row],[Profit]]/OrdersTable[[#This Row],[Net Revenue]],0)</f>
        <v>0.61546245699251168</v>
      </c>
      <c r="AA2924" t="s">
        <v>18</v>
      </c>
      <c r="AB2924" s="79">
        <v>45774</v>
      </c>
      <c r="AC2924">
        <f>OrdersTable[[#This Row],[Delivery Date]]-OrdersTable[[#This Row],[Order Date]]</f>
        <v>3</v>
      </c>
      <c r="AD2924" t="str">
        <f>IF(OrdersTable[[#This Row],[Delivery Days]]&lt;=2, "Express (≤2d)", IF(OrdersTable[[#This Row],[Delivery Days]]&lt;=4, "Standard (3-4d)", "Delayed (5d+)"))</f>
        <v>Standard (3-4d)</v>
      </c>
      <c r="AF2924">
        <v>0</v>
      </c>
    </row>
    <row r="2925" spans="1:32" ht="15" x14ac:dyDescent="0.35">
      <c r="A2925" t="s">
        <v>6581</v>
      </c>
      <c r="B2925" s="1">
        <v>45772</v>
      </c>
      <c r="C2925">
        <f>YEAR(OrdersTable[[#This Row],[Order Date]])</f>
        <v>2025</v>
      </c>
      <c r="D2925" s="2">
        <f>DATE(YEAR(OrdersTable[[#This Row],[Order Date]]),MONTH(OrdersTable[[#This Row],[Order Date]]),1)</f>
        <v>45748</v>
      </c>
      <c r="E2925">
        <f>MONTH(OrdersTable[[#This Row],[Order Date]])</f>
        <v>4</v>
      </c>
      <c r="F2925" t="s">
        <v>2546</v>
      </c>
      <c r="G2925" t="str">
        <f>IF(OrdersTable[[#This Row],[Order Date]]=_xlfn.MINIFS(Order_Date, Customer_ID, OrdersTable[[#This Row],[Customer ID]]), "New", "Repeat")</f>
        <v>Repeat</v>
      </c>
      <c r="H2925" t="s">
        <v>54</v>
      </c>
      <c r="I2925" t="str">
        <f>INDEX(State!B:B,MATCH(OrdersTable[[#This Row],[State]],State!A:A,0))</f>
        <v>RJ</v>
      </c>
      <c r="J2925" t="str">
        <f>INDEX(State!C:C,MATCH(OrdersTable[[#This Row],[State Code]],State!B:B,0))</f>
        <v>North</v>
      </c>
      <c r="K2925" t="s">
        <v>55</v>
      </c>
      <c r="L2925" t="s">
        <v>39</v>
      </c>
      <c r="M2925" t="s">
        <v>51</v>
      </c>
      <c r="N2925" t="str">
        <f>INDEX(Products!B:B,MATCH(OrdersTable[[#This Row],[Product ID]],Products!A:A,0))</f>
        <v>Anti-Dandruff Conditioner</v>
      </c>
      <c r="O2925" t="str">
        <f>INDEX(Products!C:C,MATCH(OrdersTable[[#This Row],[Product ID]],Products!A:A,0))</f>
        <v>Haircare</v>
      </c>
      <c r="P2925">
        <v>3</v>
      </c>
      <c r="Q2925" s="5">
        <v>399</v>
      </c>
      <c r="R2925" s="74">
        <v>0.4</v>
      </c>
      <c r="S2925" s="75">
        <f>OrdersTable[[#This Row],[Quantity]]*OrdersTable[[#This Row],[Unit Price]]</f>
        <v>1197</v>
      </c>
      <c r="T2925" s="5">
        <f>OrdersTable[[#This Row],[Gross Sale]]*OrdersTable[[#This Row],[Discount_Clean2]]</f>
        <v>478.8</v>
      </c>
      <c r="U2925" s="5">
        <f>OrdersTable[[#This Row],[Gross Sale]]-OrdersTable[[#This Row],[Discount Amount]]</f>
        <v>718.2</v>
      </c>
      <c r="V2925" s="77">
        <f>INDEX(Products!E:E,MATCH(OrdersTable[[#This Row],[Product ID]],Products!A:A,0))</f>
        <v>136</v>
      </c>
      <c r="W2925" s="77">
        <f>OrdersTable[[#This Row],[Quantity]]*OrdersTable[[#This Row],[Unit Cost]]</f>
        <v>408</v>
      </c>
      <c r="X2925" s="77">
        <f>'Dropdown Lists'!$I$2*(1+OrdersTable[[#This Row],[Returned]])</f>
        <v>60</v>
      </c>
      <c r="Y2925" s="76">
        <f>OrdersTable[[#This Row],[Net Revenue]]-OrdersTable[[#This Row],[COGS]]-OrdersTable[[#This Row],[Shipping Cost]]</f>
        <v>250.20000000000005</v>
      </c>
      <c r="Z2925" s="78">
        <f>IFERROR(OrdersTable[[#This Row],[Profit]]/OrdersTable[[#This Row],[Net Revenue]],0)</f>
        <v>0.34837092731829578</v>
      </c>
      <c r="AA2925" t="s">
        <v>18</v>
      </c>
      <c r="AB2925" s="79">
        <v>45777</v>
      </c>
      <c r="AC2925">
        <f>OrdersTable[[#This Row],[Delivery Date]]-OrdersTable[[#This Row],[Order Date]]</f>
        <v>5</v>
      </c>
      <c r="AD2925" t="str">
        <f>IF(OrdersTable[[#This Row],[Delivery Days]]&lt;=2, "Express (≤2d)", IF(OrdersTable[[#This Row],[Delivery Days]]&lt;=4, "Standard (3-4d)", "Delayed (5d+)"))</f>
        <v>Delayed (5d+)</v>
      </c>
      <c r="AE2925">
        <v>4</v>
      </c>
      <c r="AF2925">
        <v>0</v>
      </c>
    </row>
    <row r="2926" spans="1:32" ht="15" x14ac:dyDescent="0.35">
      <c r="A2926" t="s">
        <v>6364</v>
      </c>
      <c r="B2926" s="1">
        <v>45772</v>
      </c>
      <c r="C2926">
        <f>YEAR(OrdersTable[[#This Row],[Order Date]])</f>
        <v>2025</v>
      </c>
      <c r="D2926" s="2">
        <f>DATE(YEAR(OrdersTable[[#This Row],[Order Date]]),MONTH(OrdersTable[[#This Row],[Order Date]]),1)</f>
        <v>45748</v>
      </c>
      <c r="E2926">
        <f>MONTH(OrdersTable[[#This Row],[Order Date]])</f>
        <v>4</v>
      </c>
      <c r="F2926" t="s">
        <v>6365</v>
      </c>
      <c r="G2926" t="str">
        <f>IF(OrdersTable[[#This Row],[Order Date]]=_xlfn.MINIFS(Order_Date, Customer_ID, OrdersTable[[#This Row],[Customer ID]]), "New", "Repeat")</f>
        <v>New</v>
      </c>
      <c r="H2926" t="s">
        <v>76</v>
      </c>
      <c r="I2926" t="str">
        <f>INDEX(State!B:B,MATCH(OrdersTable[[#This Row],[State]],State!A:A,0))</f>
        <v>UP</v>
      </c>
      <c r="J2926" t="str">
        <f>INDEX(State!C:C,MATCH(OrdersTable[[#This Row],[State Code]],State!B:B,0))</f>
        <v>North</v>
      </c>
      <c r="K2926" t="s">
        <v>105</v>
      </c>
      <c r="L2926" t="s">
        <v>50</v>
      </c>
      <c r="M2926" t="s">
        <v>160</v>
      </c>
      <c r="N2926" t="str">
        <f>INDEX(Products!B:B,MATCH(OrdersTable[[#This Row],[Product ID]],Products!A:A,0))</f>
        <v>Niacinamide Toner</v>
      </c>
      <c r="O2926" t="str">
        <f>INDEX(Products!C:C,MATCH(OrdersTable[[#This Row],[Product ID]],Products!A:A,0))</f>
        <v>Skincare</v>
      </c>
      <c r="P2926">
        <v>2</v>
      </c>
      <c r="Q2926" s="5">
        <v>399</v>
      </c>
      <c r="R2926" s="74">
        <v>0.2</v>
      </c>
      <c r="S2926" s="75">
        <f>OrdersTable[[#This Row],[Quantity]]*OrdersTable[[#This Row],[Unit Price]]</f>
        <v>798</v>
      </c>
      <c r="T2926" s="5">
        <f>OrdersTable[[#This Row],[Gross Sale]]*OrdersTable[[#This Row],[Discount_Clean2]]</f>
        <v>159.60000000000002</v>
      </c>
      <c r="U2926" s="5">
        <f>OrdersTable[[#This Row],[Gross Sale]]-OrdersTable[[#This Row],[Discount Amount]]</f>
        <v>638.4</v>
      </c>
      <c r="V2926" s="77">
        <f>INDEX(Products!E:E,MATCH(OrdersTable[[#This Row],[Product ID]],Products!A:A,0))</f>
        <v>112</v>
      </c>
      <c r="W2926" s="77">
        <f>OrdersTable[[#This Row],[Quantity]]*OrdersTable[[#This Row],[Unit Cost]]</f>
        <v>224</v>
      </c>
      <c r="X2926" s="77">
        <f>'Dropdown Lists'!$I$2*(1+OrdersTable[[#This Row],[Returned]])</f>
        <v>60</v>
      </c>
      <c r="Y2926" s="76">
        <f>OrdersTable[[#This Row],[Net Revenue]]-OrdersTable[[#This Row],[COGS]]-OrdersTable[[#This Row],[Shipping Cost]]</f>
        <v>354.4</v>
      </c>
      <c r="Z2926" s="78">
        <f>IFERROR(OrdersTable[[#This Row],[Profit]]/OrdersTable[[#This Row],[Net Revenue]],0)</f>
        <v>0.55513784461152882</v>
      </c>
      <c r="AA2926" t="s">
        <v>18</v>
      </c>
      <c r="AB2926" s="79">
        <v>45777</v>
      </c>
      <c r="AC2926">
        <f>OrdersTable[[#This Row],[Delivery Date]]-OrdersTable[[#This Row],[Order Date]]</f>
        <v>5</v>
      </c>
      <c r="AD2926" t="str">
        <f>IF(OrdersTable[[#This Row],[Delivery Days]]&lt;=2, "Express (≤2d)", IF(OrdersTable[[#This Row],[Delivery Days]]&lt;=4, "Standard (3-4d)", "Delayed (5d+)"))</f>
        <v>Delayed (5d+)</v>
      </c>
      <c r="AE2926">
        <v>4</v>
      </c>
      <c r="AF2926">
        <v>0</v>
      </c>
    </row>
    <row r="2927" spans="1:32" ht="15" x14ac:dyDescent="0.35">
      <c r="A2927" t="s">
        <v>2615</v>
      </c>
      <c r="B2927" s="1">
        <v>45772</v>
      </c>
      <c r="C2927">
        <f>YEAR(OrdersTable[[#This Row],[Order Date]])</f>
        <v>2025</v>
      </c>
      <c r="D2927" s="2">
        <f>DATE(YEAR(OrdersTable[[#This Row],[Order Date]]),MONTH(OrdersTable[[#This Row],[Order Date]]),1)</f>
        <v>45748</v>
      </c>
      <c r="E2927">
        <f>MONTH(OrdersTable[[#This Row],[Order Date]])</f>
        <v>4</v>
      </c>
      <c r="F2927" t="s">
        <v>1046</v>
      </c>
      <c r="G2927" t="str">
        <f>IF(OrdersTable[[#This Row],[Order Date]]=_xlfn.MINIFS(Order_Date, Customer_ID, OrdersTable[[#This Row],[Customer ID]]), "New", "Repeat")</f>
        <v>Repeat</v>
      </c>
      <c r="H2927" t="s">
        <v>37</v>
      </c>
      <c r="I2927" t="str">
        <f>INDEX(State!B:B,MATCH(OrdersTable[[#This Row],[State]],State!A:A,0))</f>
        <v>GJ</v>
      </c>
      <c r="J2927" t="str">
        <f>INDEX(State!C:C,MATCH(OrdersTable[[#This Row],[State Code]],State!B:B,0))</f>
        <v>West</v>
      </c>
      <c r="K2927" t="s">
        <v>38</v>
      </c>
      <c r="L2927" t="s">
        <v>23</v>
      </c>
      <c r="M2927" t="s">
        <v>78</v>
      </c>
      <c r="N2927" t="str">
        <f>INDEX(Products!B:B,MATCH(OrdersTable[[#This Row],[Product ID]],Products!A:A,0))</f>
        <v>Retinol Night Cream</v>
      </c>
      <c r="O2927" t="str">
        <f>INDEX(Products!C:C,MATCH(OrdersTable[[#This Row],[Product ID]],Products!A:A,0))</f>
        <v>Skincare</v>
      </c>
      <c r="P2927">
        <v>1</v>
      </c>
      <c r="Q2927" s="5">
        <v>799</v>
      </c>
      <c r="R2927" s="74">
        <v>0</v>
      </c>
      <c r="S2927" s="75">
        <f>OrdersTable[[#This Row],[Quantity]]*OrdersTable[[#This Row],[Unit Price]]</f>
        <v>799</v>
      </c>
      <c r="T2927" s="5">
        <f>OrdersTable[[#This Row],[Gross Sale]]*OrdersTable[[#This Row],[Discount_Clean2]]</f>
        <v>0</v>
      </c>
      <c r="U2927" s="5">
        <f>OrdersTable[[#This Row],[Gross Sale]]-OrdersTable[[#This Row],[Discount Amount]]</f>
        <v>799</v>
      </c>
      <c r="V2927" s="77">
        <f>INDEX(Products!E:E,MATCH(OrdersTable[[#This Row],[Product ID]],Products!A:A,0))</f>
        <v>216</v>
      </c>
      <c r="W2927" s="77">
        <f>OrdersTable[[#This Row],[Quantity]]*OrdersTable[[#This Row],[Unit Cost]]</f>
        <v>216</v>
      </c>
      <c r="X2927" s="77">
        <f>'Dropdown Lists'!$I$2*(1+OrdersTable[[#This Row],[Returned]])</f>
        <v>120</v>
      </c>
      <c r="Y2927" s="76">
        <f>OrdersTable[[#This Row],[Net Revenue]]-OrdersTable[[#This Row],[COGS]]-OrdersTable[[#This Row],[Shipping Cost]]</f>
        <v>463</v>
      </c>
      <c r="Z2927" s="78">
        <f>IFERROR(OrdersTable[[#This Row],[Profit]]/OrdersTable[[#This Row],[Net Revenue]],0)</f>
        <v>0.57947434292866085</v>
      </c>
      <c r="AA2927" t="s">
        <v>2522</v>
      </c>
      <c r="AB2927" s="79">
        <v>45777</v>
      </c>
      <c r="AC2927">
        <f>OrdersTable[[#This Row],[Delivery Date]]-OrdersTable[[#This Row],[Order Date]]</f>
        <v>5</v>
      </c>
      <c r="AD2927" t="str">
        <f>IF(OrdersTable[[#This Row],[Delivery Days]]&lt;=2, "Express (≤2d)", IF(OrdersTable[[#This Row],[Delivery Days]]&lt;=4, "Standard (3-4d)", "Delayed (5d+)"))</f>
        <v>Delayed (5d+)</v>
      </c>
      <c r="AE2927">
        <v>5</v>
      </c>
      <c r="AF2927">
        <v>1</v>
      </c>
    </row>
    <row r="2928" spans="1:32" ht="15" x14ac:dyDescent="0.35">
      <c r="A2928" t="s">
        <v>2616</v>
      </c>
      <c r="B2928" s="1">
        <v>45772</v>
      </c>
      <c r="C2928">
        <f>YEAR(OrdersTable[[#This Row],[Order Date]])</f>
        <v>2025</v>
      </c>
      <c r="D2928" s="2">
        <f>DATE(YEAR(OrdersTable[[#This Row],[Order Date]]),MONTH(OrdersTable[[#This Row],[Order Date]]),1)</f>
        <v>45748</v>
      </c>
      <c r="E2928">
        <f>MONTH(OrdersTable[[#This Row],[Order Date]])</f>
        <v>4</v>
      </c>
      <c r="F2928" t="s">
        <v>2617</v>
      </c>
      <c r="G2928" t="str">
        <f>IF(OrdersTable[[#This Row],[Order Date]]=_xlfn.MINIFS(Order_Date, Customer_ID, OrdersTable[[#This Row],[Customer ID]]), "New", "Repeat")</f>
        <v>Repeat</v>
      </c>
      <c r="H2928" t="s">
        <v>14</v>
      </c>
      <c r="I2928" t="str">
        <f>INDEX(State!B:B,MATCH(OrdersTable[[#This Row],[State]],State!A:A,0))</f>
        <v>OD</v>
      </c>
      <c r="J2928" t="str">
        <f>INDEX(State!C:C,MATCH(OrdersTable[[#This Row],[State Code]],State!B:B,0))</f>
        <v>East</v>
      </c>
      <c r="K2928" t="s">
        <v>15</v>
      </c>
      <c r="L2928" t="s">
        <v>23</v>
      </c>
      <c r="M2928" t="s">
        <v>56</v>
      </c>
      <c r="N2928" t="str">
        <f>INDEX(Products!B:B,MATCH(OrdersTable[[#This Row],[Product ID]],Products!A:A,0))</f>
        <v>Vitamin C Face Serum</v>
      </c>
      <c r="O2928" t="str">
        <f>INDEX(Products!C:C,MATCH(OrdersTable[[#This Row],[Product ID]],Products!A:A,0))</f>
        <v>Skincare</v>
      </c>
      <c r="P2928">
        <v>1</v>
      </c>
      <c r="Q2928" s="5">
        <v>599</v>
      </c>
      <c r="R2928" s="74">
        <v>0.15</v>
      </c>
      <c r="S2928" s="75">
        <f>OrdersTable[[#This Row],[Quantity]]*OrdersTable[[#This Row],[Unit Price]]</f>
        <v>599</v>
      </c>
      <c r="T2928" s="5">
        <f>OrdersTable[[#This Row],[Gross Sale]]*OrdersTable[[#This Row],[Discount_Clean2]]</f>
        <v>89.85</v>
      </c>
      <c r="U2928" s="5">
        <f>OrdersTable[[#This Row],[Gross Sale]]-OrdersTable[[#This Row],[Discount Amount]]</f>
        <v>509.15</v>
      </c>
      <c r="V2928" s="77">
        <f>INDEX(Products!E:E,MATCH(OrdersTable[[#This Row],[Product ID]],Products!A:A,0))</f>
        <v>180</v>
      </c>
      <c r="W2928" s="77">
        <f>OrdersTable[[#This Row],[Quantity]]*OrdersTable[[#This Row],[Unit Cost]]</f>
        <v>180</v>
      </c>
      <c r="X2928" s="77">
        <f>'Dropdown Lists'!$I$2*(1+OrdersTable[[#This Row],[Returned]])</f>
        <v>60</v>
      </c>
      <c r="Y2928" s="76">
        <f>OrdersTable[[#This Row],[Net Revenue]]-OrdersTable[[#This Row],[COGS]]-OrdersTable[[#This Row],[Shipping Cost]]</f>
        <v>269.14999999999998</v>
      </c>
      <c r="Z2928" s="78">
        <f>IFERROR(OrdersTable[[#This Row],[Profit]]/OrdersTable[[#This Row],[Net Revenue]],0)</f>
        <v>0.52862614160856325</v>
      </c>
      <c r="AA2928" t="s">
        <v>2522</v>
      </c>
      <c r="AB2928" s="79">
        <v>45778</v>
      </c>
      <c r="AC2928">
        <f>OrdersTable[[#This Row],[Delivery Date]]-OrdersTable[[#This Row],[Order Date]]</f>
        <v>6</v>
      </c>
      <c r="AD2928" t="str">
        <f>IF(OrdersTable[[#This Row],[Delivery Days]]&lt;=2, "Express (≤2d)", IF(OrdersTable[[#This Row],[Delivery Days]]&lt;=4, "Standard (3-4d)", "Delayed (5d+)"))</f>
        <v>Delayed (5d+)</v>
      </c>
      <c r="AE2928">
        <v>5</v>
      </c>
      <c r="AF2928">
        <v>0</v>
      </c>
    </row>
    <row r="2929" spans="1:32" ht="15" x14ac:dyDescent="0.35">
      <c r="A2929" t="s">
        <v>6582</v>
      </c>
      <c r="B2929" s="1">
        <v>45772</v>
      </c>
      <c r="C2929">
        <f>YEAR(OrdersTable[[#This Row],[Order Date]])</f>
        <v>2025</v>
      </c>
      <c r="D2929" s="2">
        <f>DATE(YEAR(OrdersTable[[#This Row],[Order Date]]),MONTH(OrdersTable[[#This Row],[Order Date]]),1)</f>
        <v>45748</v>
      </c>
      <c r="E2929">
        <f>MONTH(OrdersTable[[#This Row],[Order Date]])</f>
        <v>4</v>
      </c>
      <c r="F2929" t="s">
        <v>3080</v>
      </c>
      <c r="G2929" t="str">
        <f>IF(OrdersTable[[#This Row],[Order Date]]=_xlfn.MINIFS(Order_Date, Customer_ID, OrdersTable[[#This Row],[Customer ID]]), "New", "Repeat")</f>
        <v>New</v>
      </c>
      <c r="H2929" t="s">
        <v>275</v>
      </c>
      <c r="I2929" t="str">
        <f>INDEX(State!B:B,MATCH(OrdersTable[[#This Row],[State]],State!A:A,0))</f>
        <v>AP</v>
      </c>
      <c r="J2929" t="str">
        <f>INDEX(State!C:C,MATCH(OrdersTable[[#This Row],[State Code]],State!B:B,0))</f>
        <v>South</v>
      </c>
      <c r="K2929" t="s">
        <v>276</v>
      </c>
      <c r="L2929" t="s">
        <v>16</v>
      </c>
      <c r="M2929" t="s">
        <v>92</v>
      </c>
      <c r="N2929" t="str">
        <f>INDEX(Products!B:B,MATCH(OrdersTable[[#This Row],[Product ID]],Products!A:A,0))</f>
        <v>Kolhapuri Sandals</v>
      </c>
      <c r="O2929" t="str">
        <f>INDEX(Products!C:C,MATCH(OrdersTable[[#This Row],[Product ID]],Products!A:A,0))</f>
        <v>Footwear</v>
      </c>
      <c r="P2929">
        <v>3</v>
      </c>
      <c r="Q2929" s="5">
        <v>999</v>
      </c>
      <c r="R2929" s="74">
        <v>0</v>
      </c>
      <c r="S2929" s="75">
        <f>OrdersTable[[#This Row],[Quantity]]*OrdersTable[[#This Row],[Unit Price]]</f>
        <v>2997</v>
      </c>
      <c r="T2929" s="5">
        <f>OrdersTable[[#This Row],[Gross Sale]]*OrdersTable[[#This Row],[Discount_Clean2]]</f>
        <v>0</v>
      </c>
      <c r="U2929" s="5">
        <f>OrdersTable[[#This Row],[Gross Sale]]-OrdersTable[[#This Row],[Discount Amount]]</f>
        <v>2997</v>
      </c>
      <c r="V2929" s="77">
        <f>INDEX(Products!E:E,MATCH(OrdersTable[[#This Row],[Product ID]],Products!A:A,0))</f>
        <v>400</v>
      </c>
      <c r="W2929" s="77">
        <f>OrdersTable[[#This Row],[Quantity]]*OrdersTable[[#This Row],[Unit Cost]]</f>
        <v>1200</v>
      </c>
      <c r="X2929" s="77">
        <f>'Dropdown Lists'!$I$2*(1+OrdersTable[[#This Row],[Returned]])</f>
        <v>60</v>
      </c>
      <c r="Y2929" s="76">
        <f>OrdersTable[[#This Row],[Net Revenue]]-OrdersTable[[#This Row],[COGS]]-OrdersTable[[#This Row],[Shipping Cost]]</f>
        <v>1737</v>
      </c>
      <c r="Z2929" s="78">
        <f>IFERROR(OrdersTable[[#This Row],[Profit]]/OrdersTable[[#This Row],[Net Revenue]],0)</f>
        <v>0.57957957957957962</v>
      </c>
      <c r="AA2929" t="s">
        <v>18</v>
      </c>
      <c r="AB2929" s="79">
        <v>45775</v>
      </c>
      <c r="AC2929">
        <f>OrdersTable[[#This Row],[Delivery Date]]-OrdersTable[[#This Row],[Order Date]]</f>
        <v>3</v>
      </c>
      <c r="AD2929" t="str">
        <f>IF(OrdersTable[[#This Row],[Delivery Days]]&lt;=2, "Express (≤2d)", IF(OrdersTable[[#This Row],[Delivery Days]]&lt;=4, "Standard (3-4d)", "Delayed (5d+)"))</f>
        <v>Standard (3-4d)</v>
      </c>
      <c r="AE2929">
        <v>4</v>
      </c>
      <c r="AF2929">
        <v>0</v>
      </c>
    </row>
    <row r="2930" spans="1:32" ht="15" x14ac:dyDescent="0.35">
      <c r="A2930" t="s">
        <v>2806</v>
      </c>
      <c r="B2930" s="1">
        <v>45773</v>
      </c>
      <c r="C2930">
        <f>YEAR(OrdersTable[[#This Row],[Order Date]])</f>
        <v>2025</v>
      </c>
      <c r="D2930" s="2">
        <f>DATE(YEAR(OrdersTable[[#This Row],[Order Date]]),MONTH(OrdersTable[[#This Row],[Order Date]]),1)</f>
        <v>45748</v>
      </c>
      <c r="E2930">
        <f>MONTH(OrdersTable[[#This Row],[Order Date]])</f>
        <v>4</v>
      </c>
      <c r="F2930" t="s">
        <v>1208</v>
      </c>
      <c r="G2930" t="str">
        <f>IF(OrdersTable[[#This Row],[Order Date]]=_xlfn.MINIFS(Order_Date, Customer_ID, OrdersTable[[#This Row],[Customer ID]]), "New", "Repeat")</f>
        <v>New</v>
      </c>
      <c r="H2930" t="s">
        <v>21</v>
      </c>
      <c r="I2930" t="str">
        <f>INDEX(State!B:B,MATCH(OrdersTable[[#This Row],[State]],State!A:A,0))</f>
        <v>PB</v>
      </c>
      <c r="J2930" t="str">
        <f>INDEX(State!C:C,MATCH(OrdersTable[[#This Row],[State Code]],State!B:B,0))</f>
        <v>North</v>
      </c>
      <c r="K2930" t="s">
        <v>260</v>
      </c>
      <c r="L2930" t="s">
        <v>23</v>
      </c>
      <c r="M2930" t="s">
        <v>17</v>
      </c>
      <c r="N2930" t="str">
        <f>INDEX(Products!B:B,MATCH(OrdersTable[[#This Row],[Product ID]],Products!A:A,0))</f>
        <v>Casual Sneakers</v>
      </c>
      <c r="O2930" t="str">
        <f>INDEX(Products!C:C,MATCH(OrdersTable[[#This Row],[Product ID]],Products!A:A,0))</f>
        <v>Footwear</v>
      </c>
      <c r="P2930">
        <v>1</v>
      </c>
      <c r="Q2930" s="5">
        <v>2199</v>
      </c>
      <c r="R2930" s="74">
        <v>0.25</v>
      </c>
      <c r="S2930" s="75">
        <f>OrdersTable[[#This Row],[Quantity]]*OrdersTable[[#This Row],[Unit Price]]</f>
        <v>2199</v>
      </c>
      <c r="T2930" s="5">
        <f>OrdersTable[[#This Row],[Gross Sale]]*OrdersTable[[#This Row],[Discount_Clean2]]</f>
        <v>549.75</v>
      </c>
      <c r="U2930" s="5">
        <f>OrdersTable[[#This Row],[Gross Sale]]-OrdersTable[[#This Row],[Discount Amount]]</f>
        <v>1649.25</v>
      </c>
      <c r="V2930" s="77">
        <f>INDEX(Products!E:E,MATCH(OrdersTable[[#This Row],[Product ID]],Products!A:A,0))</f>
        <v>1034</v>
      </c>
      <c r="W2930" s="77">
        <f>OrdersTable[[#This Row],[Quantity]]*OrdersTable[[#This Row],[Unit Cost]]</f>
        <v>1034</v>
      </c>
      <c r="X2930" s="77">
        <f>'Dropdown Lists'!$I$2*(1+OrdersTable[[#This Row],[Returned]])</f>
        <v>60</v>
      </c>
      <c r="Y2930" s="76">
        <f>OrdersTable[[#This Row],[Net Revenue]]-OrdersTable[[#This Row],[COGS]]-OrdersTable[[#This Row],[Shipping Cost]]</f>
        <v>555.25</v>
      </c>
      <c r="Z2930" s="78">
        <f>IFERROR(OrdersTable[[#This Row],[Profit]]/OrdersTable[[#This Row],[Net Revenue]],0)</f>
        <v>0.33666818250720026</v>
      </c>
      <c r="AA2930" t="s">
        <v>2522</v>
      </c>
      <c r="AB2930" s="79">
        <v>45777</v>
      </c>
      <c r="AC2930">
        <f>OrdersTable[[#This Row],[Delivery Date]]-OrdersTable[[#This Row],[Order Date]]</f>
        <v>4</v>
      </c>
      <c r="AD2930" t="str">
        <f>IF(OrdersTable[[#This Row],[Delivery Days]]&lt;=2, "Express (≤2d)", IF(OrdersTable[[#This Row],[Delivery Days]]&lt;=4, "Standard (3-4d)", "Delayed (5d+)"))</f>
        <v>Standard (3-4d)</v>
      </c>
      <c r="AE2930">
        <v>3</v>
      </c>
      <c r="AF2930">
        <v>0</v>
      </c>
    </row>
    <row r="2931" spans="1:32" ht="15" x14ac:dyDescent="0.35">
      <c r="A2931" t="s">
        <v>2508</v>
      </c>
      <c r="B2931" s="1">
        <v>45773</v>
      </c>
      <c r="C2931">
        <f>YEAR(OrdersTable[[#This Row],[Order Date]])</f>
        <v>2025</v>
      </c>
      <c r="D2931" s="2">
        <f>DATE(YEAR(OrdersTable[[#This Row],[Order Date]]),MONTH(OrdersTable[[#This Row],[Order Date]]),1)</f>
        <v>45748</v>
      </c>
      <c r="E2931">
        <f>MONTH(OrdersTable[[#This Row],[Order Date]])</f>
        <v>4</v>
      </c>
      <c r="F2931" t="s">
        <v>2509</v>
      </c>
      <c r="G2931" t="str">
        <f>IF(OrdersTable[[#This Row],[Order Date]]=_xlfn.MINIFS(Order_Date, Customer_ID, OrdersTable[[#This Row],[Customer ID]]), "New", "Repeat")</f>
        <v>Repeat</v>
      </c>
      <c r="H2931" t="s">
        <v>184</v>
      </c>
      <c r="I2931" t="str">
        <f>INDEX(State!B:B,MATCH(OrdersTable[[#This Row],[State]],State!A:A,0))</f>
        <v>UK</v>
      </c>
      <c r="J2931" t="str">
        <f>INDEX(State!C:C,MATCH(OrdersTable[[#This Row],[State Code]],State!B:B,0))</f>
        <v>North</v>
      </c>
      <c r="K2931" t="s">
        <v>185</v>
      </c>
      <c r="L2931" t="s">
        <v>65</v>
      </c>
      <c r="M2931" t="s">
        <v>56</v>
      </c>
      <c r="N2931" t="str">
        <f>INDEX(Products!B:B,MATCH(OrdersTable[[#This Row],[Product ID]],Products!A:A,0))</f>
        <v>Vitamin C Face Serum</v>
      </c>
      <c r="O2931" t="str">
        <f>INDEX(Products!C:C,MATCH(OrdersTable[[#This Row],[Product ID]],Products!A:A,0))</f>
        <v>Skincare</v>
      </c>
      <c r="P2931">
        <v>1</v>
      </c>
      <c r="Q2931" s="5">
        <v>599</v>
      </c>
      <c r="R2931" s="74">
        <v>0.15</v>
      </c>
      <c r="S2931" s="75">
        <f>OrdersTable[[#This Row],[Quantity]]*OrdersTable[[#This Row],[Unit Price]]</f>
        <v>599</v>
      </c>
      <c r="T2931" s="5">
        <f>OrdersTable[[#This Row],[Gross Sale]]*OrdersTable[[#This Row],[Discount_Clean2]]</f>
        <v>89.85</v>
      </c>
      <c r="U2931" s="5">
        <f>OrdersTable[[#This Row],[Gross Sale]]-OrdersTable[[#This Row],[Discount Amount]]</f>
        <v>509.15</v>
      </c>
      <c r="V2931" s="77">
        <f>INDEX(Products!E:E,MATCH(OrdersTable[[#This Row],[Product ID]],Products!A:A,0))</f>
        <v>180</v>
      </c>
      <c r="W2931" s="77">
        <f>OrdersTable[[#This Row],[Quantity]]*OrdersTable[[#This Row],[Unit Cost]]</f>
        <v>180</v>
      </c>
      <c r="X2931" s="77">
        <f>'Dropdown Lists'!$I$2*(1+OrdersTable[[#This Row],[Returned]])</f>
        <v>60</v>
      </c>
      <c r="Y2931" s="76">
        <f>OrdersTable[[#This Row],[Net Revenue]]-OrdersTable[[#This Row],[COGS]]-OrdersTable[[#This Row],[Shipping Cost]]</f>
        <v>269.14999999999998</v>
      </c>
      <c r="Z2931" s="78">
        <f>IFERROR(OrdersTable[[#This Row],[Profit]]/OrdersTable[[#This Row],[Net Revenue]],0)</f>
        <v>0.52862614160856325</v>
      </c>
      <c r="AA2931" t="s">
        <v>18</v>
      </c>
      <c r="AB2931" s="79">
        <v>45777</v>
      </c>
      <c r="AC2931">
        <f>OrdersTable[[#This Row],[Delivery Date]]-OrdersTable[[#This Row],[Order Date]]</f>
        <v>4</v>
      </c>
      <c r="AD2931" t="str">
        <f>IF(OrdersTable[[#This Row],[Delivery Days]]&lt;=2, "Express (≤2d)", IF(OrdersTable[[#This Row],[Delivery Days]]&lt;=4, "Standard (3-4d)", "Delayed (5d+)"))</f>
        <v>Standard (3-4d)</v>
      </c>
      <c r="AE2931">
        <v>2</v>
      </c>
      <c r="AF2931">
        <v>0</v>
      </c>
    </row>
    <row r="2932" spans="1:32" ht="15" x14ac:dyDescent="0.35">
      <c r="A2932" t="s">
        <v>6797</v>
      </c>
      <c r="B2932" s="1">
        <v>45773</v>
      </c>
      <c r="C2932">
        <f>YEAR(OrdersTable[[#This Row],[Order Date]])</f>
        <v>2025</v>
      </c>
      <c r="D2932" s="2">
        <f>DATE(YEAR(OrdersTable[[#This Row],[Order Date]]),MONTH(OrdersTable[[#This Row],[Order Date]]),1)</f>
        <v>45748</v>
      </c>
      <c r="E2932">
        <f>MONTH(OrdersTable[[#This Row],[Order Date]])</f>
        <v>4</v>
      </c>
      <c r="F2932" t="s">
        <v>222</v>
      </c>
      <c r="G2932" t="str">
        <f>IF(OrdersTable[[#This Row],[Order Date]]=_xlfn.MINIFS(Order_Date, Customer_ID, OrdersTable[[#This Row],[Customer ID]]), "New", "Repeat")</f>
        <v>Repeat</v>
      </c>
      <c r="H2932" t="s">
        <v>76</v>
      </c>
      <c r="I2932" t="str">
        <f>INDEX(State!B:B,MATCH(OrdersTable[[#This Row],[State]],State!A:A,0))</f>
        <v>UP</v>
      </c>
      <c r="J2932" t="str">
        <f>INDEX(State!C:C,MATCH(OrdersTable[[#This Row],[State Code]],State!B:B,0))</f>
        <v>North</v>
      </c>
      <c r="K2932" t="s">
        <v>105</v>
      </c>
      <c r="L2932" t="s">
        <v>65</v>
      </c>
      <c r="M2932" t="s">
        <v>152</v>
      </c>
      <c r="N2932" t="str">
        <f>INDEX(Products!B:B,MATCH(OrdersTable[[#This Row],[Product ID]],Products!A:A,0))</f>
        <v>Green Tea (100 bags)</v>
      </c>
      <c r="O2932" t="str">
        <f>INDEX(Products!C:C,MATCH(OrdersTable[[#This Row],[Product ID]],Products!A:A,0))</f>
        <v>Wellness</v>
      </c>
      <c r="P2932">
        <v>3</v>
      </c>
      <c r="Q2932" s="5">
        <v>399</v>
      </c>
      <c r="R2932" s="74">
        <v>0.3</v>
      </c>
      <c r="S2932" s="75">
        <f>OrdersTable[[#This Row],[Quantity]]*OrdersTable[[#This Row],[Unit Price]]</f>
        <v>1197</v>
      </c>
      <c r="T2932" s="5">
        <f>OrdersTable[[#This Row],[Gross Sale]]*OrdersTable[[#This Row],[Discount_Clean2]]</f>
        <v>359.09999999999997</v>
      </c>
      <c r="U2932" s="5">
        <f>OrdersTable[[#This Row],[Gross Sale]]-OrdersTable[[#This Row],[Discount Amount]]</f>
        <v>837.90000000000009</v>
      </c>
      <c r="V2932" s="77">
        <f>INDEX(Products!E:E,MATCH(OrdersTable[[#This Row],[Product ID]],Products!A:A,0))</f>
        <v>128</v>
      </c>
      <c r="W2932" s="77">
        <f>OrdersTable[[#This Row],[Quantity]]*OrdersTable[[#This Row],[Unit Cost]]</f>
        <v>384</v>
      </c>
      <c r="X2932" s="77">
        <f>'Dropdown Lists'!$I$2*(1+OrdersTable[[#This Row],[Returned]])</f>
        <v>60</v>
      </c>
      <c r="Y2932" s="76">
        <f>OrdersTable[[#This Row],[Net Revenue]]-OrdersTable[[#This Row],[COGS]]-OrdersTable[[#This Row],[Shipping Cost]]</f>
        <v>393.90000000000009</v>
      </c>
      <c r="Z2932" s="78">
        <f>IFERROR(OrdersTable[[#This Row],[Profit]]/OrdersTable[[#This Row],[Net Revenue]],0)</f>
        <v>0.47010383100608671</v>
      </c>
      <c r="AA2932" t="s">
        <v>3495</v>
      </c>
      <c r="AB2932" s="79">
        <v>45777</v>
      </c>
      <c r="AC2932">
        <f>OrdersTable[[#This Row],[Delivery Date]]-OrdersTable[[#This Row],[Order Date]]</f>
        <v>4</v>
      </c>
      <c r="AD2932" t="str">
        <f>IF(OrdersTable[[#This Row],[Delivery Days]]&lt;=2, "Express (≤2d)", IF(OrdersTable[[#This Row],[Delivery Days]]&lt;=4, "Standard (3-4d)", "Delayed (5d+)"))</f>
        <v>Standard (3-4d)</v>
      </c>
      <c r="AE2932">
        <v>4</v>
      </c>
      <c r="AF2932">
        <v>0</v>
      </c>
    </row>
    <row r="2933" spans="1:32" ht="15" x14ac:dyDescent="0.35">
      <c r="A2933" t="s">
        <v>2395</v>
      </c>
      <c r="B2933" s="1">
        <v>45773</v>
      </c>
      <c r="C2933">
        <f>YEAR(OrdersTable[[#This Row],[Order Date]])</f>
        <v>2025</v>
      </c>
      <c r="D2933" s="2">
        <f>DATE(YEAR(OrdersTable[[#This Row],[Order Date]]),MONTH(OrdersTable[[#This Row],[Order Date]]),1)</f>
        <v>45748</v>
      </c>
      <c r="E2933">
        <f>MONTH(OrdersTable[[#This Row],[Order Date]])</f>
        <v>4</v>
      </c>
      <c r="F2933" t="s">
        <v>2313</v>
      </c>
      <c r="G2933" t="str">
        <f>IF(OrdersTable[[#This Row],[Order Date]]=_xlfn.MINIFS(Order_Date, Customer_ID, OrdersTable[[#This Row],[Customer ID]]), "New", "Repeat")</f>
        <v>Repeat</v>
      </c>
      <c r="H2933" t="s">
        <v>76</v>
      </c>
      <c r="I2933" t="str">
        <f>INDEX(State!B:B,MATCH(OrdersTable[[#This Row],[State]],State!A:A,0))</f>
        <v>UP</v>
      </c>
      <c r="J2933" t="str">
        <f>INDEX(State!C:C,MATCH(OrdersTable[[#This Row],[State Code]],State!B:B,0))</f>
        <v>North</v>
      </c>
      <c r="K2933" t="s">
        <v>105</v>
      </c>
      <c r="L2933" t="s">
        <v>39</v>
      </c>
      <c r="M2933" t="s">
        <v>205</v>
      </c>
      <c r="N2933" t="str">
        <f>INDEX(Products!B:B,MATCH(OrdersTable[[#This Row],[Product ID]],Products!A:A,0))</f>
        <v>Running Shoes</v>
      </c>
      <c r="O2933" t="str">
        <f>INDEX(Products!C:C,MATCH(OrdersTable[[#This Row],[Product ID]],Products!A:A,0))</f>
        <v>Footwear</v>
      </c>
      <c r="P2933">
        <v>1</v>
      </c>
      <c r="Q2933" s="5">
        <v>2999</v>
      </c>
      <c r="R2933" s="74">
        <v>0.25</v>
      </c>
      <c r="S2933" s="75">
        <f>OrdersTable[[#This Row],[Quantity]]*OrdersTable[[#This Row],[Unit Price]]</f>
        <v>2999</v>
      </c>
      <c r="T2933" s="5">
        <f>OrdersTable[[#This Row],[Gross Sale]]*OrdersTable[[#This Row],[Discount_Clean2]]</f>
        <v>749.75</v>
      </c>
      <c r="U2933" s="5">
        <f>OrdersTable[[#This Row],[Gross Sale]]-OrdersTable[[#This Row],[Discount Amount]]</f>
        <v>2249.25</v>
      </c>
      <c r="V2933" s="77">
        <f>INDEX(Products!E:E,MATCH(OrdersTable[[#This Row],[Product ID]],Products!A:A,0))</f>
        <v>1440</v>
      </c>
      <c r="W2933" s="77">
        <f>OrdersTable[[#This Row],[Quantity]]*OrdersTable[[#This Row],[Unit Cost]]</f>
        <v>1440</v>
      </c>
      <c r="X2933" s="77">
        <f>'Dropdown Lists'!$I$2*(1+OrdersTable[[#This Row],[Returned]])</f>
        <v>60</v>
      </c>
      <c r="Y2933" s="76">
        <f>OrdersTable[[#This Row],[Net Revenue]]-OrdersTable[[#This Row],[COGS]]-OrdersTable[[#This Row],[Shipping Cost]]</f>
        <v>749.25</v>
      </c>
      <c r="Z2933" s="78">
        <f>IFERROR(OrdersTable[[#This Row],[Profit]]/OrdersTable[[#This Row],[Net Revenue]],0)</f>
        <v>0.33311103701233746</v>
      </c>
      <c r="AA2933" t="s">
        <v>18</v>
      </c>
      <c r="AB2933" s="79">
        <v>45777</v>
      </c>
      <c r="AC2933">
        <f>OrdersTable[[#This Row],[Delivery Date]]-OrdersTable[[#This Row],[Order Date]]</f>
        <v>4</v>
      </c>
      <c r="AD2933" t="str">
        <f>IF(OrdersTable[[#This Row],[Delivery Days]]&lt;=2, "Express (≤2d)", IF(OrdersTable[[#This Row],[Delivery Days]]&lt;=4, "Standard (3-4d)", "Delayed (5d+)"))</f>
        <v>Standard (3-4d)</v>
      </c>
      <c r="AE2933">
        <v>5</v>
      </c>
      <c r="AF2933">
        <v>0</v>
      </c>
    </row>
    <row r="2934" spans="1:32" ht="15" x14ac:dyDescent="0.35">
      <c r="A2934" t="s">
        <v>6366</v>
      </c>
      <c r="B2934" s="1">
        <v>45773</v>
      </c>
      <c r="C2934">
        <f>YEAR(OrdersTable[[#This Row],[Order Date]])</f>
        <v>2025</v>
      </c>
      <c r="D2934" s="2">
        <f>DATE(YEAR(OrdersTable[[#This Row],[Order Date]]),MONTH(OrdersTable[[#This Row],[Order Date]]),1)</f>
        <v>45748</v>
      </c>
      <c r="E2934">
        <f>MONTH(OrdersTable[[#This Row],[Order Date]])</f>
        <v>4</v>
      </c>
      <c r="F2934" t="s">
        <v>5031</v>
      </c>
      <c r="G2934" t="str">
        <f>IF(OrdersTable[[#This Row],[Order Date]]=_xlfn.MINIFS(Order_Date, Customer_ID, OrdersTable[[#This Row],[Customer ID]]), "New", "Repeat")</f>
        <v>Repeat</v>
      </c>
      <c r="H2934" t="s">
        <v>76</v>
      </c>
      <c r="I2934" t="str">
        <f>INDEX(State!B:B,MATCH(OrdersTable[[#This Row],[State]],State!A:A,0))</f>
        <v>UP</v>
      </c>
      <c r="J2934" t="str">
        <f>INDEX(State!C:C,MATCH(OrdersTable[[#This Row],[State Code]],State!B:B,0))</f>
        <v>North</v>
      </c>
      <c r="K2934" t="s">
        <v>105</v>
      </c>
      <c r="L2934" t="s">
        <v>16</v>
      </c>
      <c r="M2934" t="s">
        <v>34</v>
      </c>
      <c r="N2934" t="str">
        <f>INDEX(Products!B:B,MATCH(OrdersTable[[#This Row],[Product ID]],Products!A:A,0))</f>
        <v>Flip Flops</v>
      </c>
      <c r="O2934" t="str">
        <f>INDEX(Products!C:C,MATCH(OrdersTable[[#This Row],[Product ID]],Products!A:A,0))</f>
        <v>Footwear</v>
      </c>
      <c r="P2934">
        <v>2</v>
      </c>
      <c r="Q2934" s="5">
        <v>399</v>
      </c>
      <c r="R2934" s="74">
        <v>0.2</v>
      </c>
      <c r="S2934" s="75">
        <f>OrdersTable[[#This Row],[Quantity]]*OrdersTable[[#This Row],[Unit Price]]</f>
        <v>798</v>
      </c>
      <c r="T2934" s="5">
        <f>OrdersTable[[#This Row],[Gross Sale]]*OrdersTable[[#This Row],[Discount_Clean2]]</f>
        <v>159.60000000000002</v>
      </c>
      <c r="U2934" s="5">
        <f>OrdersTable[[#This Row],[Gross Sale]]-OrdersTable[[#This Row],[Discount Amount]]</f>
        <v>638.4</v>
      </c>
      <c r="V2934" s="77">
        <f>INDEX(Products!E:E,MATCH(OrdersTable[[#This Row],[Product ID]],Products!A:A,0))</f>
        <v>152</v>
      </c>
      <c r="W2934" s="77">
        <f>OrdersTable[[#This Row],[Quantity]]*OrdersTable[[#This Row],[Unit Cost]]</f>
        <v>304</v>
      </c>
      <c r="X2934" s="77">
        <f>'Dropdown Lists'!$I$2*(1+OrdersTable[[#This Row],[Returned]])</f>
        <v>60</v>
      </c>
      <c r="Y2934" s="76">
        <f>OrdersTable[[#This Row],[Net Revenue]]-OrdersTable[[#This Row],[COGS]]-OrdersTable[[#This Row],[Shipping Cost]]</f>
        <v>274.39999999999998</v>
      </c>
      <c r="Z2934" s="78">
        <f>IFERROR(OrdersTable[[#This Row],[Profit]]/OrdersTable[[#This Row],[Net Revenue]],0)</f>
        <v>0.42982456140350878</v>
      </c>
      <c r="AA2934" t="s">
        <v>18</v>
      </c>
      <c r="AB2934" s="79">
        <v>45775</v>
      </c>
      <c r="AC2934">
        <f>OrdersTable[[#This Row],[Delivery Date]]-OrdersTable[[#This Row],[Order Date]]</f>
        <v>2</v>
      </c>
      <c r="AD2934" t="str">
        <f>IF(OrdersTable[[#This Row],[Delivery Days]]&lt;=2, "Express (≤2d)", IF(OrdersTable[[#This Row],[Delivery Days]]&lt;=4, "Standard (3-4d)", "Delayed (5d+)"))</f>
        <v>Express (≤2d)</v>
      </c>
      <c r="AE2934">
        <v>4</v>
      </c>
      <c r="AF2934">
        <v>0</v>
      </c>
    </row>
    <row r="2935" spans="1:32" ht="15" x14ac:dyDescent="0.35">
      <c r="A2935" t="s">
        <v>3447</v>
      </c>
      <c r="B2935" s="1">
        <v>45773</v>
      </c>
      <c r="C2935">
        <f>YEAR(OrdersTable[[#This Row],[Order Date]])</f>
        <v>2025</v>
      </c>
      <c r="D2935" s="2">
        <f>DATE(YEAR(OrdersTable[[#This Row],[Order Date]]),MONTH(OrdersTable[[#This Row],[Order Date]]),1)</f>
        <v>45748</v>
      </c>
      <c r="E2935">
        <f>MONTH(OrdersTable[[#This Row],[Order Date]])</f>
        <v>4</v>
      </c>
      <c r="F2935" t="s">
        <v>957</v>
      </c>
      <c r="G2935" t="str">
        <f>IF(OrdersTable[[#This Row],[Order Date]]=_xlfn.MINIFS(Order_Date, Customer_ID, OrdersTable[[#This Row],[Customer ID]]), "New", "Repeat")</f>
        <v>Repeat</v>
      </c>
      <c r="H2935" t="s">
        <v>76</v>
      </c>
      <c r="I2935" t="str">
        <f>INDEX(State!B:B,MATCH(OrdersTable[[#This Row],[State]],State!A:A,0))</f>
        <v>UP</v>
      </c>
      <c r="J2935" t="str">
        <f>INDEX(State!C:C,MATCH(OrdersTable[[#This Row],[State Code]],State!B:B,0))</f>
        <v>North</v>
      </c>
      <c r="K2935" t="s">
        <v>77</v>
      </c>
      <c r="L2935" t="s">
        <v>65</v>
      </c>
      <c r="M2935" t="s">
        <v>84</v>
      </c>
      <c r="N2935" t="str">
        <f>INDEX(Products!B:B,MATCH(OrdersTable[[#This Row],[Product ID]],Products!A:A,0))</f>
        <v>Cotton Bedsheet</v>
      </c>
      <c r="O2935" t="str">
        <f>INDEX(Products!C:C,MATCH(OrdersTable[[#This Row],[Product ID]],Products!A:A,0))</f>
        <v>Home &amp; Kitchen</v>
      </c>
      <c r="P2935">
        <v>1</v>
      </c>
      <c r="Q2935" s="5">
        <v>1299</v>
      </c>
      <c r="R2935" s="74">
        <v>0</v>
      </c>
      <c r="S2935" s="75">
        <f>OrdersTable[[#This Row],[Quantity]]*OrdersTable[[#This Row],[Unit Price]]</f>
        <v>1299</v>
      </c>
      <c r="T2935" s="5">
        <f>OrdersTable[[#This Row],[Gross Sale]]*OrdersTable[[#This Row],[Discount_Clean2]]</f>
        <v>0</v>
      </c>
      <c r="U2935" s="5">
        <f>OrdersTable[[#This Row],[Gross Sale]]-OrdersTable[[#This Row],[Discount Amount]]</f>
        <v>1299</v>
      </c>
      <c r="V2935" s="77">
        <f>INDEX(Products!E:E,MATCH(OrdersTable[[#This Row],[Product ID]],Products!A:A,0))</f>
        <v>585</v>
      </c>
      <c r="W2935" s="77">
        <f>OrdersTable[[#This Row],[Quantity]]*OrdersTable[[#This Row],[Unit Cost]]</f>
        <v>585</v>
      </c>
      <c r="X2935" s="77">
        <f>'Dropdown Lists'!$I$2*(1+OrdersTable[[#This Row],[Returned]])</f>
        <v>120</v>
      </c>
      <c r="Y2935" s="76">
        <f>OrdersTable[[#This Row],[Net Revenue]]-OrdersTable[[#This Row],[COGS]]-OrdersTable[[#This Row],[Shipping Cost]]</f>
        <v>594</v>
      </c>
      <c r="Z2935" s="78">
        <f>IFERROR(OrdersTable[[#This Row],[Profit]]/OrdersTable[[#This Row],[Net Revenue]],0)</f>
        <v>0.45727482678983833</v>
      </c>
      <c r="AA2935" t="s">
        <v>2522</v>
      </c>
      <c r="AB2935" s="79">
        <v>45777</v>
      </c>
      <c r="AC2935">
        <f>OrdersTable[[#This Row],[Delivery Date]]-OrdersTable[[#This Row],[Order Date]]</f>
        <v>4</v>
      </c>
      <c r="AD2935" t="str">
        <f>IF(OrdersTable[[#This Row],[Delivery Days]]&lt;=2, "Express (≤2d)", IF(OrdersTable[[#This Row],[Delivery Days]]&lt;=4, "Standard (3-4d)", "Delayed (5d+)"))</f>
        <v>Standard (3-4d)</v>
      </c>
      <c r="AE2935">
        <v>4</v>
      </c>
      <c r="AF2935">
        <v>1</v>
      </c>
    </row>
    <row r="2936" spans="1:32" ht="15" x14ac:dyDescent="0.35">
      <c r="A2936" t="s">
        <v>4518</v>
      </c>
      <c r="B2936" s="1">
        <v>45773</v>
      </c>
      <c r="C2936">
        <f>YEAR(OrdersTable[[#This Row],[Order Date]])</f>
        <v>2025</v>
      </c>
      <c r="D2936" s="2">
        <f>DATE(YEAR(OrdersTable[[#This Row],[Order Date]]),MONTH(OrdersTable[[#This Row],[Order Date]]),1)</f>
        <v>45748</v>
      </c>
      <c r="E2936">
        <f>MONTH(OrdersTable[[#This Row],[Order Date]])</f>
        <v>4</v>
      </c>
      <c r="F2936" t="s">
        <v>4519</v>
      </c>
      <c r="G2936" t="str">
        <f>IF(OrdersTable[[#This Row],[Order Date]]=_xlfn.MINIFS(Order_Date, Customer_ID, OrdersTable[[#This Row],[Customer ID]]), "New", "Repeat")</f>
        <v>New</v>
      </c>
      <c r="H2936" t="s">
        <v>37</v>
      </c>
      <c r="I2936" t="str">
        <f>INDEX(State!B:B,MATCH(OrdersTable[[#This Row],[State]],State!A:A,0))</f>
        <v>GJ</v>
      </c>
      <c r="J2936" t="str">
        <f>INDEX(State!C:C,MATCH(OrdersTable[[#This Row],[State Code]],State!B:B,0))</f>
        <v>West</v>
      </c>
      <c r="K2936" t="s">
        <v>38</v>
      </c>
      <c r="L2936" t="s">
        <v>39</v>
      </c>
      <c r="M2936" t="s">
        <v>66</v>
      </c>
      <c r="N2936" t="str">
        <f>INDEX(Products!B:B,MATCH(OrdersTable[[#This Row],[Product ID]],Products!A:A,0))</f>
        <v>Sunscreen SPF 50</v>
      </c>
      <c r="O2936" t="str">
        <f>INDEX(Products!C:C,MATCH(OrdersTable[[#This Row],[Product ID]],Products!A:A,0))</f>
        <v>Skincare</v>
      </c>
      <c r="P2936">
        <v>1</v>
      </c>
      <c r="Q2936" s="5">
        <v>449</v>
      </c>
      <c r="R2936" s="74">
        <v>0</v>
      </c>
      <c r="S2936" s="75">
        <f>OrdersTable[[#This Row],[Quantity]]*OrdersTable[[#This Row],[Unit Price]]</f>
        <v>449</v>
      </c>
      <c r="T2936" s="5">
        <f>OrdersTable[[#This Row],[Gross Sale]]*OrdersTable[[#This Row],[Discount_Clean2]]</f>
        <v>0</v>
      </c>
      <c r="U2936" s="5">
        <f>OrdersTable[[#This Row],[Gross Sale]]-OrdersTable[[#This Row],[Discount Amount]]</f>
        <v>449</v>
      </c>
      <c r="V2936" s="77">
        <f>INDEX(Products!E:E,MATCH(OrdersTable[[#This Row],[Product ID]],Products!A:A,0))</f>
        <v>144</v>
      </c>
      <c r="W2936" s="77">
        <f>OrdersTable[[#This Row],[Quantity]]*OrdersTable[[#This Row],[Unit Cost]]</f>
        <v>144</v>
      </c>
      <c r="X2936" s="77">
        <f>'Dropdown Lists'!$I$2*(1+OrdersTable[[#This Row],[Returned]])</f>
        <v>60</v>
      </c>
      <c r="Y2936" s="76">
        <f>OrdersTable[[#This Row],[Net Revenue]]-OrdersTable[[#This Row],[COGS]]-OrdersTable[[#This Row],[Shipping Cost]]</f>
        <v>245</v>
      </c>
      <c r="Z2936" s="78">
        <f>IFERROR(OrdersTable[[#This Row],[Profit]]/OrdersTable[[#This Row],[Net Revenue]],0)</f>
        <v>0.54565701559020041</v>
      </c>
      <c r="AA2936" t="s">
        <v>4450</v>
      </c>
      <c r="AB2936" s="79">
        <v>45774</v>
      </c>
      <c r="AC2936">
        <f>OrdersTable[[#This Row],[Delivery Date]]-OrdersTable[[#This Row],[Order Date]]</f>
        <v>1</v>
      </c>
      <c r="AD2936" t="str">
        <f>IF(OrdersTable[[#This Row],[Delivery Days]]&lt;=2, "Express (≤2d)", IF(OrdersTable[[#This Row],[Delivery Days]]&lt;=4, "Standard (3-4d)", "Delayed (5d+)"))</f>
        <v>Express (≤2d)</v>
      </c>
      <c r="AE2936">
        <v>4</v>
      </c>
      <c r="AF2936">
        <v>0</v>
      </c>
    </row>
    <row r="2937" spans="1:32" ht="15" x14ac:dyDescent="0.35">
      <c r="A2937" t="s">
        <v>2396</v>
      </c>
      <c r="B2937" s="1">
        <v>45773</v>
      </c>
      <c r="C2937">
        <f>YEAR(OrdersTable[[#This Row],[Order Date]])</f>
        <v>2025</v>
      </c>
      <c r="D2937" s="2">
        <f>DATE(YEAR(OrdersTable[[#This Row],[Order Date]]),MONTH(OrdersTable[[#This Row],[Order Date]]),1)</f>
        <v>45748</v>
      </c>
      <c r="E2937">
        <f>MONTH(OrdersTable[[#This Row],[Order Date]])</f>
        <v>4</v>
      </c>
      <c r="F2937" t="s">
        <v>767</v>
      </c>
      <c r="G2937" t="str">
        <f>IF(OrdersTable[[#This Row],[Order Date]]=_xlfn.MINIFS(Order_Date, Customer_ID, OrdersTable[[#This Row],[Customer ID]]), "New", "Repeat")</f>
        <v>Repeat</v>
      </c>
      <c r="H2937" t="s">
        <v>71</v>
      </c>
      <c r="I2937" t="str">
        <f>INDEX(State!B:B,MATCH(OrdersTable[[#This Row],[State]],State!A:A,0))</f>
        <v>MH</v>
      </c>
      <c r="J2937" t="str">
        <f>INDEX(State!C:C,MATCH(OrdersTable[[#This Row],[State Code]],State!B:B,0))</f>
        <v>West</v>
      </c>
      <c r="K2937" t="s">
        <v>102</v>
      </c>
      <c r="L2937" t="s">
        <v>65</v>
      </c>
      <c r="M2937" t="s">
        <v>73</v>
      </c>
      <c r="N2937" t="str">
        <f>INDEX(Products!B:B,MATCH(OrdersTable[[#This Row],[Product ID]],Products!A:A,0))</f>
        <v>Hydrating Face Wash</v>
      </c>
      <c r="O2937" t="str">
        <f>INDEX(Products!C:C,MATCH(OrdersTable[[#This Row],[Product ID]],Products!A:A,0))</f>
        <v>Skincare</v>
      </c>
      <c r="P2937">
        <v>1</v>
      </c>
      <c r="Q2937" s="5">
        <v>299</v>
      </c>
      <c r="R2937" s="74">
        <v>0</v>
      </c>
      <c r="S2937" s="75">
        <f>OrdersTable[[#This Row],[Quantity]]*OrdersTable[[#This Row],[Unit Price]]</f>
        <v>299</v>
      </c>
      <c r="T2937" s="5">
        <f>OrdersTable[[#This Row],[Gross Sale]]*OrdersTable[[#This Row],[Discount_Clean2]]</f>
        <v>0</v>
      </c>
      <c r="U2937" s="5">
        <f>OrdersTable[[#This Row],[Gross Sale]]-OrdersTable[[#This Row],[Discount Amount]]</f>
        <v>299</v>
      </c>
      <c r="V2937" s="77">
        <f>INDEX(Products!E:E,MATCH(OrdersTable[[#This Row],[Product ID]],Products!A:A,0))</f>
        <v>90</v>
      </c>
      <c r="W2937" s="77">
        <f>OrdersTable[[#This Row],[Quantity]]*OrdersTable[[#This Row],[Unit Cost]]</f>
        <v>90</v>
      </c>
      <c r="X2937" s="77">
        <f>'Dropdown Lists'!$I$2*(1+OrdersTable[[#This Row],[Returned]])</f>
        <v>60</v>
      </c>
      <c r="Y2937" s="76">
        <f>OrdersTable[[#This Row],[Net Revenue]]-OrdersTable[[#This Row],[COGS]]-OrdersTable[[#This Row],[Shipping Cost]]</f>
        <v>149</v>
      </c>
      <c r="Z2937" s="78">
        <f>IFERROR(OrdersTable[[#This Row],[Profit]]/OrdersTable[[#This Row],[Net Revenue]],0)</f>
        <v>0.49832775919732442</v>
      </c>
      <c r="AA2937" t="s">
        <v>18</v>
      </c>
      <c r="AB2937" s="79">
        <v>45776</v>
      </c>
      <c r="AC2937">
        <f>OrdersTable[[#This Row],[Delivery Date]]-OrdersTable[[#This Row],[Order Date]]</f>
        <v>3</v>
      </c>
      <c r="AD2937" t="str">
        <f>IF(OrdersTable[[#This Row],[Delivery Days]]&lt;=2, "Express (≤2d)", IF(OrdersTable[[#This Row],[Delivery Days]]&lt;=4, "Standard (3-4d)", "Delayed (5d+)"))</f>
        <v>Standard (3-4d)</v>
      </c>
      <c r="AE2937">
        <v>5</v>
      </c>
      <c r="AF2937">
        <v>0</v>
      </c>
    </row>
    <row r="2938" spans="1:32" ht="15" x14ac:dyDescent="0.35">
      <c r="A2938" t="s">
        <v>5189</v>
      </c>
      <c r="B2938" s="1">
        <v>45773</v>
      </c>
      <c r="C2938">
        <f>YEAR(OrdersTable[[#This Row],[Order Date]])</f>
        <v>2025</v>
      </c>
      <c r="D2938" s="2">
        <f>DATE(YEAR(OrdersTable[[#This Row],[Order Date]]),MONTH(OrdersTable[[#This Row],[Order Date]]),1)</f>
        <v>45748</v>
      </c>
      <c r="E2938">
        <f>MONTH(OrdersTable[[#This Row],[Order Date]])</f>
        <v>4</v>
      </c>
      <c r="F2938" t="s">
        <v>5190</v>
      </c>
      <c r="G2938" t="str">
        <f>IF(OrdersTable[[#This Row],[Order Date]]=_xlfn.MINIFS(Order_Date, Customer_ID, OrdersTable[[#This Row],[Customer ID]]), "New", "Repeat")</f>
        <v>Repeat</v>
      </c>
      <c r="H2938" t="s">
        <v>95</v>
      </c>
      <c r="I2938" t="str">
        <f>INDEX(State!B:B,MATCH(OrdersTable[[#This Row],[State]],State!A:A,0))</f>
        <v>TG</v>
      </c>
      <c r="J2938" t="str">
        <f>INDEX(State!C:C,MATCH(OrdersTable[[#This Row],[State Code]],State!B:B,0))</f>
        <v>South</v>
      </c>
      <c r="K2938" t="s">
        <v>96</v>
      </c>
      <c r="L2938" t="s">
        <v>39</v>
      </c>
      <c r="M2938" t="s">
        <v>152</v>
      </c>
      <c r="N2938" t="str">
        <f>INDEX(Products!B:B,MATCH(OrdersTable[[#This Row],[Product ID]],Products!A:A,0))</f>
        <v>Green Tea (100 bags)</v>
      </c>
      <c r="O2938" t="str">
        <f>INDEX(Products!C:C,MATCH(OrdersTable[[#This Row],[Product ID]],Products!A:A,0))</f>
        <v>Wellness</v>
      </c>
      <c r="P2938">
        <v>2</v>
      </c>
      <c r="Q2938" s="5">
        <v>399</v>
      </c>
      <c r="R2938" s="74">
        <v>0.25</v>
      </c>
      <c r="S2938" s="75">
        <f>OrdersTable[[#This Row],[Quantity]]*OrdersTable[[#This Row],[Unit Price]]</f>
        <v>798</v>
      </c>
      <c r="T2938" s="5">
        <f>OrdersTable[[#This Row],[Gross Sale]]*OrdersTable[[#This Row],[Discount_Clean2]]</f>
        <v>199.5</v>
      </c>
      <c r="U2938" s="5">
        <f>OrdersTable[[#This Row],[Gross Sale]]-OrdersTable[[#This Row],[Discount Amount]]</f>
        <v>598.5</v>
      </c>
      <c r="V2938" s="77">
        <f>INDEX(Products!E:E,MATCH(OrdersTable[[#This Row],[Product ID]],Products!A:A,0))</f>
        <v>128</v>
      </c>
      <c r="W2938" s="77">
        <f>OrdersTable[[#This Row],[Quantity]]*OrdersTable[[#This Row],[Unit Cost]]</f>
        <v>256</v>
      </c>
      <c r="X2938" s="77">
        <f>'Dropdown Lists'!$I$2*(1+OrdersTable[[#This Row],[Returned]])</f>
        <v>60</v>
      </c>
      <c r="Y2938" s="76">
        <f>OrdersTable[[#This Row],[Net Revenue]]-OrdersTable[[#This Row],[COGS]]-OrdersTable[[#This Row],[Shipping Cost]]</f>
        <v>282.5</v>
      </c>
      <c r="Z2938" s="78">
        <f>IFERROR(OrdersTable[[#This Row],[Profit]]/OrdersTable[[#This Row],[Net Revenue]],0)</f>
        <v>0.47201336675020883</v>
      </c>
      <c r="AA2938" t="s">
        <v>3495</v>
      </c>
      <c r="AB2938" s="79">
        <v>45775</v>
      </c>
      <c r="AC2938">
        <f>OrdersTable[[#This Row],[Delivery Date]]-OrdersTable[[#This Row],[Order Date]]</f>
        <v>2</v>
      </c>
      <c r="AD2938" t="str">
        <f>IF(OrdersTable[[#This Row],[Delivery Days]]&lt;=2, "Express (≤2d)", IF(OrdersTable[[#This Row],[Delivery Days]]&lt;=4, "Standard (3-4d)", "Delayed (5d+)"))</f>
        <v>Express (≤2d)</v>
      </c>
      <c r="AF2938">
        <v>0</v>
      </c>
    </row>
    <row r="2939" spans="1:32" ht="15" x14ac:dyDescent="0.35">
      <c r="A2939" t="s">
        <v>6798</v>
      </c>
      <c r="B2939" s="1">
        <v>45773</v>
      </c>
      <c r="C2939">
        <f>YEAR(OrdersTable[[#This Row],[Order Date]])</f>
        <v>2025</v>
      </c>
      <c r="D2939" s="2">
        <f>DATE(YEAR(OrdersTable[[#This Row],[Order Date]]),MONTH(OrdersTable[[#This Row],[Order Date]]),1)</f>
        <v>45748</v>
      </c>
      <c r="E2939">
        <f>MONTH(OrdersTable[[#This Row],[Order Date]])</f>
        <v>4</v>
      </c>
      <c r="F2939" t="s">
        <v>3485</v>
      </c>
      <c r="G2939" t="str">
        <f>IF(OrdersTable[[#This Row],[Order Date]]=_xlfn.MINIFS(Order_Date, Customer_ID, OrdersTable[[#This Row],[Customer ID]]), "New", "Repeat")</f>
        <v>Repeat</v>
      </c>
      <c r="H2939" t="s">
        <v>167</v>
      </c>
      <c r="I2939" t="str">
        <f>INDEX(State!B:B,MATCH(OrdersTable[[#This Row],[State]],State!A:A,0))</f>
        <v>KA</v>
      </c>
      <c r="J2939" t="str">
        <f>INDEX(State!C:C,MATCH(OrdersTable[[#This Row],[State Code]],State!B:B,0))</f>
        <v>South</v>
      </c>
      <c r="K2939" t="s">
        <v>190</v>
      </c>
      <c r="L2939" t="s">
        <v>50</v>
      </c>
      <c r="M2939" t="s">
        <v>179</v>
      </c>
      <c r="N2939" t="str">
        <f>INDEX(Products!B:B,MATCH(OrdersTable[[#This Row],[Product ID]],Products!A:A,0))</f>
        <v>Whey Protein 1kg</v>
      </c>
      <c r="O2939" t="str">
        <f>INDEX(Products!C:C,MATCH(OrdersTable[[#This Row],[Product ID]],Products!A:A,0))</f>
        <v>Wellness</v>
      </c>
      <c r="P2939">
        <v>3</v>
      </c>
      <c r="Q2939" s="5">
        <v>2299</v>
      </c>
      <c r="R2939" s="74">
        <v>0.45</v>
      </c>
      <c r="S2939" s="75">
        <f>OrdersTable[[#This Row],[Quantity]]*OrdersTable[[#This Row],[Unit Price]]</f>
        <v>6897</v>
      </c>
      <c r="T2939" s="5">
        <f>OrdersTable[[#This Row],[Gross Sale]]*OrdersTable[[#This Row],[Discount_Clean2]]</f>
        <v>3103.65</v>
      </c>
      <c r="U2939" s="5">
        <f>OrdersTable[[#This Row],[Gross Sale]]-OrdersTable[[#This Row],[Discount Amount]]</f>
        <v>3793.35</v>
      </c>
      <c r="V2939" s="77">
        <f>INDEX(Products!E:E,MATCH(OrdersTable[[#This Row],[Product ID]],Products!A:A,0))</f>
        <v>1333</v>
      </c>
      <c r="W2939" s="77">
        <f>OrdersTable[[#This Row],[Quantity]]*OrdersTable[[#This Row],[Unit Cost]]</f>
        <v>3999</v>
      </c>
      <c r="X2939" s="77">
        <f>'Dropdown Lists'!$I$2*(1+OrdersTable[[#This Row],[Returned]])</f>
        <v>60</v>
      </c>
      <c r="Y2939" s="76">
        <f>OrdersTable[[#This Row],[Net Revenue]]-OrdersTable[[#This Row],[COGS]]-OrdersTable[[#This Row],[Shipping Cost]]</f>
        <v>-265.65000000000009</v>
      </c>
      <c r="Z2939" s="78">
        <f>IFERROR(OrdersTable[[#This Row],[Profit]]/OrdersTable[[#This Row],[Net Revenue]],0)</f>
        <v>-7.0030448020878669E-2</v>
      </c>
      <c r="AA2939" t="s">
        <v>3495</v>
      </c>
      <c r="AB2939" s="79">
        <v>45775</v>
      </c>
      <c r="AC2939">
        <f>OrdersTable[[#This Row],[Delivery Date]]-OrdersTable[[#This Row],[Order Date]]</f>
        <v>2</v>
      </c>
      <c r="AD2939" t="str">
        <f>IF(OrdersTable[[#This Row],[Delivery Days]]&lt;=2, "Express (≤2d)", IF(OrdersTable[[#This Row],[Delivery Days]]&lt;=4, "Standard (3-4d)", "Delayed (5d+)"))</f>
        <v>Express (≤2d)</v>
      </c>
      <c r="AE2939">
        <v>4</v>
      </c>
      <c r="AF2939">
        <v>0</v>
      </c>
    </row>
    <row r="2940" spans="1:32" ht="15" x14ac:dyDescent="0.35">
      <c r="A2940" t="s">
        <v>4701</v>
      </c>
      <c r="B2940" s="1">
        <v>45773</v>
      </c>
      <c r="C2940">
        <f>YEAR(OrdersTable[[#This Row],[Order Date]])</f>
        <v>2025</v>
      </c>
      <c r="D2940" s="2">
        <f>DATE(YEAR(OrdersTable[[#This Row],[Order Date]]),MONTH(OrdersTable[[#This Row],[Order Date]]),1)</f>
        <v>45748</v>
      </c>
      <c r="E2940">
        <f>MONTH(OrdersTable[[#This Row],[Order Date]])</f>
        <v>4</v>
      </c>
      <c r="F2940" t="s">
        <v>4692</v>
      </c>
      <c r="G2940" t="str">
        <f>IF(OrdersTable[[#This Row],[Order Date]]=_xlfn.MINIFS(Order_Date, Customer_ID, OrdersTable[[#This Row],[Customer ID]]), "New", "Repeat")</f>
        <v>Repeat</v>
      </c>
      <c r="H2940" t="s">
        <v>275</v>
      </c>
      <c r="I2940" t="str">
        <f>INDEX(State!B:B,MATCH(OrdersTable[[#This Row],[State]],State!A:A,0))</f>
        <v>AP</v>
      </c>
      <c r="J2940" t="str">
        <f>INDEX(State!C:C,MATCH(OrdersTable[[#This Row],[State Code]],State!B:B,0))</f>
        <v>South</v>
      </c>
      <c r="K2940" t="s">
        <v>491</v>
      </c>
      <c r="L2940" t="s">
        <v>23</v>
      </c>
      <c r="M2940" t="s">
        <v>34</v>
      </c>
      <c r="N2940" t="str">
        <f>INDEX(Products!B:B,MATCH(OrdersTable[[#This Row],[Product ID]],Products!A:A,0))</f>
        <v>Flip Flops</v>
      </c>
      <c r="O2940" t="str">
        <f>INDEX(Products!C:C,MATCH(OrdersTable[[#This Row],[Product ID]],Products!A:A,0))</f>
        <v>Footwear</v>
      </c>
      <c r="P2940">
        <v>1</v>
      </c>
      <c r="Q2940" s="5">
        <v>399</v>
      </c>
      <c r="R2940" s="74">
        <v>0.1</v>
      </c>
      <c r="S2940" s="75">
        <f>OrdersTable[[#This Row],[Quantity]]*OrdersTable[[#This Row],[Unit Price]]</f>
        <v>399</v>
      </c>
      <c r="T2940" s="5">
        <f>OrdersTable[[#This Row],[Gross Sale]]*OrdersTable[[#This Row],[Discount_Clean2]]</f>
        <v>39.900000000000006</v>
      </c>
      <c r="U2940" s="5">
        <f>OrdersTable[[#This Row],[Gross Sale]]-OrdersTable[[#This Row],[Discount Amount]]</f>
        <v>359.1</v>
      </c>
      <c r="V2940" s="77">
        <f>INDEX(Products!E:E,MATCH(OrdersTable[[#This Row],[Product ID]],Products!A:A,0))</f>
        <v>152</v>
      </c>
      <c r="W2940" s="77">
        <f>OrdersTable[[#This Row],[Quantity]]*OrdersTable[[#This Row],[Unit Cost]]</f>
        <v>152</v>
      </c>
      <c r="X2940" s="77">
        <f>'Dropdown Lists'!$I$2*(1+OrdersTable[[#This Row],[Returned]])</f>
        <v>120</v>
      </c>
      <c r="Y2940" s="76">
        <f>OrdersTable[[#This Row],[Net Revenue]]-OrdersTable[[#This Row],[COGS]]-OrdersTable[[#This Row],[Shipping Cost]]</f>
        <v>87.100000000000023</v>
      </c>
      <c r="Z2940" s="78">
        <f>IFERROR(OrdersTable[[#This Row],[Profit]]/OrdersTable[[#This Row],[Net Revenue]],0)</f>
        <v>0.24255082149818996</v>
      </c>
      <c r="AA2940" t="s">
        <v>4450</v>
      </c>
      <c r="AB2940" s="79">
        <v>45777</v>
      </c>
      <c r="AC2940">
        <f>OrdersTable[[#This Row],[Delivery Date]]-OrdersTable[[#This Row],[Order Date]]</f>
        <v>4</v>
      </c>
      <c r="AD2940" t="str">
        <f>IF(OrdersTable[[#This Row],[Delivery Days]]&lt;=2, "Express (≤2d)", IF(OrdersTable[[#This Row],[Delivery Days]]&lt;=4, "Standard (3-4d)", "Delayed (5d+)"))</f>
        <v>Standard (3-4d)</v>
      </c>
      <c r="AE2940">
        <v>3</v>
      </c>
      <c r="AF2940">
        <v>1</v>
      </c>
    </row>
    <row r="2941" spans="1:32" ht="15" x14ac:dyDescent="0.35">
      <c r="A2941" t="s">
        <v>4146</v>
      </c>
      <c r="B2941" s="1">
        <v>45774</v>
      </c>
      <c r="C2941">
        <f>YEAR(OrdersTable[[#This Row],[Order Date]])</f>
        <v>2025</v>
      </c>
      <c r="D2941" s="2">
        <f>DATE(YEAR(OrdersTable[[#This Row],[Order Date]]),MONTH(OrdersTable[[#This Row],[Order Date]]),1)</f>
        <v>45748</v>
      </c>
      <c r="E2941">
        <f>MONTH(OrdersTable[[#This Row],[Order Date]])</f>
        <v>4</v>
      </c>
      <c r="F2941" t="s">
        <v>47</v>
      </c>
      <c r="G2941" t="str">
        <f>IF(OrdersTable[[#This Row],[Order Date]]=_xlfn.MINIFS(Order_Date, Customer_ID, OrdersTable[[#This Row],[Customer ID]]), "New", "Repeat")</f>
        <v>Repeat</v>
      </c>
      <c r="H2941" t="s">
        <v>54</v>
      </c>
      <c r="I2941" t="str">
        <f>INDEX(State!B:B,MATCH(OrdersTable[[#This Row],[State]],State!A:A,0))</f>
        <v>RJ</v>
      </c>
      <c r="J2941" t="str">
        <f>INDEX(State!C:C,MATCH(OrdersTable[[#This Row],[State Code]],State!B:B,0))</f>
        <v>North</v>
      </c>
      <c r="K2941" t="s">
        <v>55</v>
      </c>
      <c r="L2941" t="s">
        <v>16</v>
      </c>
      <c r="M2941" t="s">
        <v>29</v>
      </c>
      <c r="N2941" t="str">
        <f>INDEX(Products!B:B,MATCH(OrdersTable[[#This Row],[Product ID]],Products!A:A,0))</f>
        <v>Joggers</v>
      </c>
      <c r="O2941" t="str">
        <f>INDEX(Products!C:C,MATCH(OrdersTable[[#This Row],[Product ID]],Products!A:A,0))</f>
        <v>Apparel</v>
      </c>
      <c r="P2941">
        <v>1</v>
      </c>
      <c r="Q2941" s="5">
        <v>1199</v>
      </c>
      <c r="R2941" s="74">
        <v>0.1</v>
      </c>
      <c r="S2941" s="75">
        <f>OrdersTable[[#This Row],[Quantity]]*OrdersTable[[#This Row],[Unit Price]]</f>
        <v>1199</v>
      </c>
      <c r="T2941" s="5">
        <f>OrdersTable[[#This Row],[Gross Sale]]*OrdersTable[[#This Row],[Discount_Clean2]]</f>
        <v>119.9</v>
      </c>
      <c r="U2941" s="5">
        <f>OrdersTable[[#This Row],[Gross Sale]]-OrdersTable[[#This Row],[Discount Amount]]</f>
        <v>1079.0999999999999</v>
      </c>
      <c r="V2941" s="77">
        <f>INDEX(Products!E:E,MATCH(OrdersTable[[#This Row],[Product ID]],Products!A:A,0))</f>
        <v>492</v>
      </c>
      <c r="W2941" s="77">
        <f>OrdersTable[[#This Row],[Quantity]]*OrdersTable[[#This Row],[Unit Cost]]</f>
        <v>492</v>
      </c>
      <c r="X2941" s="77">
        <f>'Dropdown Lists'!$I$2*(1+OrdersTable[[#This Row],[Returned]])</f>
        <v>120</v>
      </c>
      <c r="Y2941" s="76">
        <f>OrdersTable[[#This Row],[Net Revenue]]-OrdersTable[[#This Row],[COGS]]-OrdersTable[[#This Row],[Shipping Cost]]</f>
        <v>467.09999999999991</v>
      </c>
      <c r="Z2941" s="78">
        <f>IFERROR(OrdersTable[[#This Row],[Profit]]/OrdersTable[[#This Row],[Net Revenue]],0)</f>
        <v>0.43286071726438696</v>
      </c>
      <c r="AA2941" t="s">
        <v>4074</v>
      </c>
      <c r="AB2941" s="79">
        <v>45779</v>
      </c>
      <c r="AC2941">
        <f>OrdersTable[[#This Row],[Delivery Date]]-OrdersTable[[#This Row],[Order Date]]</f>
        <v>5</v>
      </c>
      <c r="AD2941" t="str">
        <f>IF(OrdersTable[[#This Row],[Delivery Days]]&lt;=2, "Express (≤2d)", IF(OrdersTable[[#This Row],[Delivery Days]]&lt;=4, "Standard (3-4d)", "Delayed (5d+)"))</f>
        <v>Delayed (5d+)</v>
      </c>
      <c r="AE2941">
        <v>2</v>
      </c>
      <c r="AF2941">
        <v>1</v>
      </c>
    </row>
    <row r="2942" spans="1:32" ht="15" x14ac:dyDescent="0.35">
      <c r="A2942" t="s">
        <v>3623</v>
      </c>
      <c r="B2942" s="1">
        <v>45774</v>
      </c>
      <c r="C2942">
        <f>YEAR(OrdersTable[[#This Row],[Order Date]])</f>
        <v>2025</v>
      </c>
      <c r="D2942" s="2">
        <f>DATE(YEAR(OrdersTable[[#This Row],[Order Date]]),MONTH(OrdersTable[[#This Row],[Order Date]]),1)</f>
        <v>45748</v>
      </c>
      <c r="E2942">
        <f>MONTH(OrdersTable[[#This Row],[Order Date]])</f>
        <v>4</v>
      </c>
      <c r="F2942" t="s">
        <v>3624</v>
      </c>
      <c r="G2942" t="str">
        <f>IF(OrdersTable[[#This Row],[Order Date]]=_xlfn.MINIFS(Order_Date, Customer_ID, OrdersTable[[#This Row],[Customer ID]]), "New", "Repeat")</f>
        <v>Repeat</v>
      </c>
      <c r="H2942" t="s">
        <v>128</v>
      </c>
      <c r="I2942" t="str">
        <f>INDEX(State!B:B,MATCH(OrdersTable[[#This Row],[State]],State!A:A,0))</f>
        <v>DL</v>
      </c>
      <c r="J2942" t="str">
        <f>INDEX(State!C:C,MATCH(OrdersTable[[#This Row],[State Code]],State!B:B,0))</f>
        <v>North</v>
      </c>
      <c r="K2942" t="s">
        <v>129</v>
      </c>
      <c r="L2942" t="s">
        <v>23</v>
      </c>
      <c r="M2942" t="s">
        <v>125</v>
      </c>
      <c r="N2942" t="str">
        <f>INDEX(Products!B:B,MATCH(OrdersTable[[#This Row],[Product ID]],Products!A:A,0))</f>
        <v>Copper Water Bottle</v>
      </c>
      <c r="O2942" t="str">
        <f>INDEX(Products!C:C,MATCH(OrdersTable[[#This Row],[Product ID]],Products!A:A,0))</f>
        <v>Home &amp; Kitchen</v>
      </c>
      <c r="P2942">
        <v>1</v>
      </c>
      <c r="Q2942" s="5">
        <v>899</v>
      </c>
      <c r="R2942" s="74">
        <v>0</v>
      </c>
      <c r="S2942" s="75">
        <f>OrdersTable[[#This Row],[Quantity]]*OrdersTable[[#This Row],[Unit Price]]</f>
        <v>899</v>
      </c>
      <c r="T2942" s="5">
        <f>OrdersTable[[#This Row],[Gross Sale]]*OrdersTable[[#This Row],[Discount_Clean2]]</f>
        <v>0</v>
      </c>
      <c r="U2942" s="5">
        <f>OrdersTable[[#This Row],[Gross Sale]]-OrdersTable[[#This Row],[Discount Amount]]</f>
        <v>899</v>
      </c>
      <c r="V2942" s="77">
        <f>INDEX(Products!E:E,MATCH(OrdersTable[[#This Row],[Product ID]],Products!A:A,0))</f>
        <v>378</v>
      </c>
      <c r="W2942" s="77">
        <f>OrdersTable[[#This Row],[Quantity]]*OrdersTable[[#This Row],[Unit Cost]]</f>
        <v>378</v>
      </c>
      <c r="X2942" s="77">
        <f>'Dropdown Lists'!$I$2*(1+OrdersTable[[#This Row],[Returned]])</f>
        <v>60</v>
      </c>
      <c r="Y2942" s="76">
        <f>OrdersTable[[#This Row],[Net Revenue]]-OrdersTable[[#This Row],[COGS]]-OrdersTable[[#This Row],[Shipping Cost]]</f>
        <v>461</v>
      </c>
      <c r="Z2942" s="78">
        <f>IFERROR(OrdersTable[[#This Row],[Profit]]/OrdersTable[[#This Row],[Net Revenue]],0)</f>
        <v>0.51279199110122353</v>
      </c>
      <c r="AA2942" t="s">
        <v>3495</v>
      </c>
      <c r="AB2942" s="79">
        <v>45775</v>
      </c>
      <c r="AC2942">
        <f>OrdersTable[[#This Row],[Delivery Date]]-OrdersTable[[#This Row],[Order Date]]</f>
        <v>1</v>
      </c>
      <c r="AD2942" t="str">
        <f>IF(OrdersTable[[#This Row],[Delivery Days]]&lt;=2, "Express (≤2d)", IF(OrdersTable[[#This Row],[Delivery Days]]&lt;=4, "Standard (3-4d)", "Delayed (5d+)"))</f>
        <v>Express (≤2d)</v>
      </c>
      <c r="AE2942">
        <v>4</v>
      </c>
      <c r="AF2942">
        <v>0</v>
      </c>
    </row>
    <row r="2943" spans="1:32" ht="15" x14ac:dyDescent="0.35">
      <c r="A2943" t="s">
        <v>6900</v>
      </c>
      <c r="B2943" s="1">
        <v>45774</v>
      </c>
      <c r="C2943">
        <f>YEAR(OrdersTable[[#This Row],[Order Date]])</f>
        <v>2025</v>
      </c>
      <c r="D2943" s="2">
        <f>DATE(YEAR(OrdersTable[[#This Row],[Order Date]]),MONTH(OrdersTable[[#This Row],[Order Date]]),1)</f>
        <v>45748</v>
      </c>
      <c r="E2943">
        <f>MONTH(OrdersTable[[#This Row],[Order Date]])</f>
        <v>4</v>
      </c>
      <c r="F2943" t="s">
        <v>776</v>
      </c>
      <c r="G2943" t="str">
        <f>IF(OrdersTable[[#This Row],[Order Date]]=_xlfn.MINIFS(Order_Date, Customer_ID, OrdersTable[[#This Row],[Customer ID]]), "New", "Repeat")</f>
        <v>Repeat</v>
      </c>
      <c r="H2943" t="s">
        <v>128</v>
      </c>
      <c r="I2943" t="str">
        <f>INDEX(State!B:B,MATCH(OrdersTable[[#This Row],[State]],State!A:A,0))</f>
        <v>DL</v>
      </c>
      <c r="J2943" t="str">
        <f>INDEX(State!C:C,MATCH(OrdersTable[[#This Row],[State Code]],State!B:B,0))</f>
        <v>North</v>
      </c>
      <c r="K2943" t="s">
        <v>129</v>
      </c>
      <c r="L2943" t="s">
        <v>16</v>
      </c>
      <c r="M2943" t="s">
        <v>255</v>
      </c>
      <c r="N2943" t="str">
        <f>INDEX(Products!B:B,MATCH(OrdersTable[[#This Row],[Product ID]],Products!A:A,0))</f>
        <v>Cotton Oversized T-Shirt</v>
      </c>
      <c r="O2943" t="str">
        <f>INDEX(Products!C:C,MATCH(OrdersTable[[#This Row],[Product ID]],Products!A:A,0))</f>
        <v>Apparel</v>
      </c>
      <c r="P2943">
        <v>3</v>
      </c>
      <c r="Q2943" s="5">
        <v>799</v>
      </c>
      <c r="R2943" s="74">
        <v>0</v>
      </c>
      <c r="S2943" s="75">
        <f>OrdersTable[[#This Row],[Quantity]]*OrdersTable[[#This Row],[Unit Price]]</f>
        <v>2397</v>
      </c>
      <c r="T2943" s="5">
        <f>OrdersTable[[#This Row],[Gross Sale]]*OrdersTable[[#This Row],[Discount_Clean2]]</f>
        <v>0</v>
      </c>
      <c r="U2943" s="5">
        <f>OrdersTable[[#This Row],[Gross Sale]]-OrdersTable[[#This Row],[Discount Amount]]</f>
        <v>2397</v>
      </c>
      <c r="V2943" s="77">
        <f>INDEX(Products!E:E,MATCH(OrdersTable[[#This Row],[Product ID]],Products!A:A,0))</f>
        <v>320</v>
      </c>
      <c r="W2943" s="77">
        <f>OrdersTable[[#This Row],[Quantity]]*OrdersTable[[#This Row],[Unit Cost]]</f>
        <v>960</v>
      </c>
      <c r="X2943" s="77">
        <f>'Dropdown Lists'!$I$2*(1+OrdersTable[[#This Row],[Returned]])</f>
        <v>60</v>
      </c>
      <c r="Y2943" s="76">
        <f>OrdersTable[[#This Row],[Net Revenue]]-OrdersTable[[#This Row],[COGS]]-OrdersTable[[#This Row],[Shipping Cost]]</f>
        <v>1377</v>
      </c>
      <c r="Z2943" s="78">
        <f>IFERROR(OrdersTable[[#This Row],[Profit]]/OrdersTable[[#This Row],[Net Revenue]],0)</f>
        <v>0.57446808510638303</v>
      </c>
      <c r="AA2943" t="s">
        <v>4074</v>
      </c>
      <c r="AB2943" s="79">
        <v>45776</v>
      </c>
      <c r="AC2943">
        <f>OrdersTable[[#This Row],[Delivery Date]]-OrdersTable[[#This Row],[Order Date]]</f>
        <v>2</v>
      </c>
      <c r="AD2943" t="str">
        <f>IF(OrdersTable[[#This Row],[Delivery Days]]&lt;=2, "Express (≤2d)", IF(OrdersTable[[#This Row],[Delivery Days]]&lt;=4, "Standard (3-4d)", "Delayed (5d+)"))</f>
        <v>Express (≤2d)</v>
      </c>
      <c r="AE2943">
        <v>5</v>
      </c>
      <c r="AF2943">
        <v>0</v>
      </c>
    </row>
    <row r="2944" spans="1:32" ht="15" x14ac:dyDescent="0.35">
      <c r="A2944" t="s">
        <v>6163</v>
      </c>
      <c r="B2944" s="1">
        <v>45774</v>
      </c>
      <c r="C2944">
        <f>YEAR(OrdersTable[[#This Row],[Order Date]])</f>
        <v>2025</v>
      </c>
      <c r="D2944" s="2">
        <f>DATE(YEAR(OrdersTable[[#This Row],[Order Date]]),MONTH(OrdersTable[[#This Row],[Order Date]]),1)</f>
        <v>45748</v>
      </c>
      <c r="E2944">
        <f>MONTH(OrdersTable[[#This Row],[Order Date]])</f>
        <v>4</v>
      </c>
      <c r="F2944" t="s">
        <v>6164</v>
      </c>
      <c r="G2944" t="str">
        <f>IF(OrdersTable[[#This Row],[Order Date]]=_xlfn.MINIFS(Order_Date, Customer_ID, OrdersTable[[#This Row],[Customer ID]]), "New", "Repeat")</f>
        <v>New</v>
      </c>
      <c r="H2944" t="s">
        <v>76</v>
      </c>
      <c r="I2944" t="str">
        <f>INDEX(State!B:B,MATCH(OrdersTable[[#This Row],[State]],State!A:A,0))</f>
        <v>UP</v>
      </c>
      <c r="J2944" t="str">
        <f>INDEX(State!C:C,MATCH(OrdersTable[[#This Row],[State Code]],State!B:B,0))</f>
        <v>North</v>
      </c>
      <c r="K2944" t="s">
        <v>105</v>
      </c>
      <c r="L2944" t="s">
        <v>50</v>
      </c>
      <c r="M2944" t="s">
        <v>109</v>
      </c>
      <c r="N2944" t="str">
        <f>INDEX(Products!B:B,MATCH(OrdersTable[[#This Row],[Product ID]],Products!A:A,0))</f>
        <v>Onion Hair Oil</v>
      </c>
      <c r="O2944" t="str">
        <f>INDEX(Products!C:C,MATCH(OrdersTable[[#This Row],[Product ID]],Products!A:A,0))</f>
        <v>Haircare</v>
      </c>
      <c r="P2944">
        <v>2</v>
      </c>
      <c r="Q2944" s="5">
        <v>349</v>
      </c>
      <c r="R2944" s="74">
        <v>0.3</v>
      </c>
      <c r="S2944" s="75">
        <f>OrdersTable[[#This Row],[Quantity]]*OrdersTable[[#This Row],[Unit Price]]</f>
        <v>698</v>
      </c>
      <c r="T2944" s="5">
        <f>OrdersTable[[#This Row],[Gross Sale]]*OrdersTable[[#This Row],[Discount_Clean2]]</f>
        <v>209.4</v>
      </c>
      <c r="U2944" s="5">
        <f>OrdersTable[[#This Row],[Gross Sale]]-OrdersTable[[#This Row],[Discount Amount]]</f>
        <v>488.6</v>
      </c>
      <c r="V2944" s="77">
        <f>INDEX(Products!E:E,MATCH(OrdersTable[[#This Row],[Product ID]],Products!A:A,0))</f>
        <v>105</v>
      </c>
      <c r="W2944" s="77">
        <f>OrdersTable[[#This Row],[Quantity]]*OrdersTable[[#This Row],[Unit Cost]]</f>
        <v>210</v>
      </c>
      <c r="X2944" s="77">
        <f>'Dropdown Lists'!$I$2*(1+OrdersTable[[#This Row],[Returned]])</f>
        <v>60</v>
      </c>
      <c r="Y2944" s="76">
        <f>OrdersTable[[#This Row],[Net Revenue]]-OrdersTable[[#This Row],[COGS]]-OrdersTable[[#This Row],[Shipping Cost]]</f>
        <v>218.60000000000002</v>
      </c>
      <c r="Z2944" s="78">
        <f>IFERROR(OrdersTable[[#This Row],[Profit]]/OrdersTable[[#This Row],[Net Revenue]],0)</f>
        <v>0.44740073679901765</v>
      </c>
      <c r="AA2944" t="s">
        <v>18</v>
      </c>
      <c r="AB2944" s="79">
        <v>45779</v>
      </c>
      <c r="AC2944">
        <f>OrdersTable[[#This Row],[Delivery Date]]-OrdersTable[[#This Row],[Order Date]]</f>
        <v>5</v>
      </c>
      <c r="AD2944" t="str">
        <f>IF(OrdersTable[[#This Row],[Delivery Days]]&lt;=2, "Express (≤2d)", IF(OrdersTable[[#This Row],[Delivery Days]]&lt;=4, "Standard (3-4d)", "Delayed (5d+)"))</f>
        <v>Delayed (5d+)</v>
      </c>
      <c r="AE2944">
        <v>4</v>
      </c>
      <c r="AF2944">
        <v>0</v>
      </c>
    </row>
    <row r="2945" spans="1:32" ht="15" x14ac:dyDescent="0.35">
      <c r="A2945" t="s">
        <v>306</v>
      </c>
      <c r="B2945" s="1">
        <v>45774</v>
      </c>
      <c r="C2945">
        <f>YEAR(OrdersTable[[#This Row],[Order Date]])</f>
        <v>2025</v>
      </c>
      <c r="D2945" s="2">
        <f>DATE(YEAR(OrdersTable[[#This Row],[Order Date]]),MONTH(OrdersTable[[#This Row],[Order Date]]),1)</f>
        <v>45748</v>
      </c>
      <c r="E2945">
        <f>MONTH(OrdersTable[[#This Row],[Order Date]])</f>
        <v>4</v>
      </c>
      <c r="F2945" t="s">
        <v>307</v>
      </c>
      <c r="G2945" t="str">
        <f>IF(OrdersTable[[#This Row],[Order Date]]=_xlfn.MINIFS(Order_Date, Customer_ID, OrdersTable[[#This Row],[Customer ID]]), "New", "Repeat")</f>
        <v>Repeat</v>
      </c>
      <c r="H2945" t="s">
        <v>76</v>
      </c>
      <c r="I2945" t="str">
        <f>INDEX(State!B:B,MATCH(OrdersTable[[#This Row],[State]],State!A:A,0))</f>
        <v>UP</v>
      </c>
      <c r="J2945" t="str">
        <f>INDEX(State!C:C,MATCH(OrdersTable[[#This Row],[State Code]],State!B:B,0))</f>
        <v>North</v>
      </c>
      <c r="K2945" t="s">
        <v>77</v>
      </c>
      <c r="L2945" t="s">
        <v>39</v>
      </c>
      <c r="M2945" t="s">
        <v>34</v>
      </c>
      <c r="N2945" t="str">
        <f>INDEX(Products!B:B,MATCH(OrdersTable[[#This Row],[Product ID]],Products!A:A,0))</f>
        <v>Flip Flops</v>
      </c>
      <c r="O2945" t="str">
        <f>INDEX(Products!C:C,MATCH(OrdersTable[[#This Row],[Product ID]],Products!A:A,0))</f>
        <v>Footwear</v>
      </c>
      <c r="P2945">
        <v>1</v>
      </c>
      <c r="Q2945" s="5">
        <v>399</v>
      </c>
      <c r="R2945" s="74">
        <v>0.15</v>
      </c>
      <c r="S2945" s="75">
        <f>OrdersTable[[#This Row],[Quantity]]*OrdersTable[[#This Row],[Unit Price]]</f>
        <v>399</v>
      </c>
      <c r="T2945" s="5">
        <f>OrdersTable[[#This Row],[Gross Sale]]*OrdersTable[[#This Row],[Discount_Clean2]]</f>
        <v>59.849999999999994</v>
      </c>
      <c r="U2945" s="5">
        <f>OrdersTable[[#This Row],[Gross Sale]]-OrdersTable[[#This Row],[Discount Amount]]</f>
        <v>339.15</v>
      </c>
      <c r="V2945" s="77">
        <f>INDEX(Products!E:E,MATCH(OrdersTable[[#This Row],[Product ID]],Products!A:A,0))</f>
        <v>152</v>
      </c>
      <c r="W2945" s="77">
        <f>OrdersTable[[#This Row],[Quantity]]*OrdersTable[[#This Row],[Unit Cost]]</f>
        <v>152</v>
      </c>
      <c r="X2945" s="77">
        <f>'Dropdown Lists'!$I$2*(1+OrdersTable[[#This Row],[Returned]])</f>
        <v>60</v>
      </c>
      <c r="Y2945" s="76">
        <f>OrdersTable[[#This Row],[Net Revenue]]-OrdersTable[[#This Row],[COGS]]-OrdersTable[[#This Row],[Shipping Cost]]</f>
        <v>127.14999999999998</v>
      </c>
      <c r="Z2945" s="78">
        <f>IFERROR(OrdersTable[[#This Row],[Profit]]/OrdersTable[[#This Row],[Net Revenue]],0)</f>
        <v>0.37490785787999409</v>
      </c>
      <c r="AA2945" t="s">
        <v>18</v>
      </c>
      <c r="AB2945" s="79">
        <v>45778</v>
      </c>
      <c r="AC2945">
        <f>OrdersTable[[#This Row],[Delivery Date]]-OrdersTable[[#This Row],[Order Date]]</f>
        <v>4</v>
      </c>
      <c r="AD2945" t="str">
        <f>IF(OrdersTable[[#This Row],[Delivery Days]]&lt;=2, "Express (≤2d)", IF(OrdersTable[[#This Row],[Delivery Days]]&lt;=4, "Standard (3-4d)", "Delayed (5d+)"))</f>
        <v>Standard (3-4d)</v>
      </c>
      <c r="AE2945">
        <v>4</v>
      </c>
      <c r="AF2945">
        <v>0</v>
      </c>
    </row>
    <row r="2946" spans="1:32" ht="15" x14ac:dyDescent="0.35">
      <c r="A2946" t="s">
        <v>3773</v>
      </c>
      <c r="B2946" s="1">
        <v>45774</v>
      </c>
      <c r="C2946">
        <f>YEAR(OrdersTable[[#This Row],[Order Date]])</f>
        <v>2025</v>
      </c>
      <c r="D2946" s="2">
        <f>DATE(YEAR(OrdersTable[[#This Row],[Order Date]]),MONTH(OrdersTable[[#This Row],[Order Date]]),1)</f>
        <v>45748</v>
      </c>
      <c r="E2946">
        <f>MONTH(OrdersTable[[#This Row],[Order Date]])</f>
        <v>4</v>
      </c>
      <c r="F2946" t="s">
        <v>3774</v>
      </c>
      <c r="G2946" t="str">
        <f>IF(OrdersTable[[#This Row],[Order Date]]=_xlfn.MINIFS(Order_Date, Customer_ID, OrdersTable[[#This Row],[Customer ID]]), "New", "Repeat")</f>
        <v>New</v>
      </c>
      <c r="H2946" t="s">
        <v>76</v>
      </c>
      <c r="I2946" t="str">
        <f>INDEX(State!B:B,MATCH(OrdersTable[[#This Row],[State]],State!A:A,0))</f>
        <v>UP</v>
      </c>
      <c r="J2946" t="str">
        <f>INDEX(State!C:C,MATCH(OrdersTable[[#This Row],[State Code]],State!B:B,0))</f>
        <v>North</v>
      </c>
      <c r="K2946" t="s">
        <v>118</v>
      </c>
      <c r="L2946" t="s">
        <v>23</v>
      </c>
      <c r="M2946" t="s">
        <v>125</v>
      </c>
      <c r="N2946" t="str">
        <f>INDEX(Products!B:B,MATCH(OrdersTable[[#This Row],[Product ID]],Products!A:A,0))</f>
        <v>Copper Water Bottle</v>
      </c>
      <c r="O2946" t="str">
        <f>INDEX(Products!C:C,MATCH(OrdersTable[[#This Row],[Product ID]],Products!A:A,0))</f>
        <v>Home &amp; Kitchen</v>
      </c>
      <c r="P2946">
        <v>1</v>
      </c>
      <c r="Q2946" s="5">
        <v>899</v>
      </c>
      <c r="R2946" s="74">
        <v>0.05</v>
      </c>
      <c r="S2946" s="75">
        <f>OrdersTable[[#This Row],[Quantity]]*OrdersTable[[#This Row],[Unit Price]]</f>
        <v>899</v>
      </c>
      <c r="T2946" s="5">
        <f>OrdersTable[[#This Row],[Gross Sale]]*OrdersTable[[#This Row],[Discount_Clean2]]</f>
        <v>44.95</v>
      </c>
      <c r="U2946" s="5">
        <f>OrdersTable[[#This Row],[Gross Sale]]-OrdersTable[[#This Row],[Discount Amount]]</f>
        <v>854.05</v>
      </c>
      <c r="V2946" s="77">
        <f>INDEX(Products!E:E,MATCH(OrdersTable[[#This Row],[Product ID]],Products!A:A,0))</f>
        <v>378</v>
      </c>
      <c r="W2946" s="77">
        <f>OrdersTable[[#This Row],[Quantity]]*OrdersTable[[#This Row],[Unit Cost]]</f>
        <v>378</v>
      </c>
      <c r="X2946" s="77">
        <f>'Dropdown Lists'!$I$2*(1+OrdersTable[[#This Row],[Returned]])</f>
        <v>60</v>
      </c>
      <c r="Y2946" s="76">
        <f>OrdersTable[[#This Row],[Net Revenue]]-OrdersTable[[#This Row],[COGS]]-OrdersTable[[#This Row],[Shipping Cost]]</f>
        <v>416.04999999999995</v>
      </c>
      <c r="Z2946" s="78">
        <f>IFERROR(OrdersTable[[#This Row],[Profit]]/OrdersTable[[#This Row],[Net Revenue]],0)</f>
        <v>0.48714946431707745</v>
      </c>
      <c r="AA2946" t="s">
        <v>3495</v>
      </c>
      <c r="AB2946" s="79">
        <v>45775</v>
      </c>
      <c r="AC2946">
        <f>OrdersTable[[#This Row],[Delivery Date]]-OrdersTable[[#This Row],[Order Date]]</f>
        <v>1</v>
      </c>
      <c r="AD2946" t="str">
        <f>IF(OrdersTable[[#This Row],[Delivery Days]]&lt;=2, "Express (≤2d)", IF(OrdersTable[[#This Row],[Delivery Days]]&lt;=4, "Standard (3-4d)", "Delayed (5d+)"))</f>
        <v>Express (≤2d)</v>
      </c>
      <c r="AF2946">
        <v>0</v>
      </c>
    </row>
    <row r="2947" spans="1:32" ht="15" x14ac:dyDescent="0.35">
      <c r="A2947" t="s">
        <v>2144</v>
      </c>
      <c r="B2947" s="1">
        <v>45774</v>
      </c>
      <c r="C2947">
        <f>YEAR(OrdersTable[[#This Row],[Order Date]])</f>
        <v>2025</v>
      </c>
      <c r="D2947" s="2">
        <f>DATE(YEAR(OrdersTable[[#This Row],[Order Date]]),MONTH(OrdersTable[[#This Row],[Order Date]]),1)</f>
        <v>45748</v>
      </c>
      <c r="E2947">
        <f>MONTH(OrdersTable[[#This Row],[Order Date]])</f>
        <v>4</v>
      </c>
      <c r="F2947" t="s">
        <v>1181</v>
      </c>
      <c r="G2947" t="str">
        <f>IF(OrdersTable[[#This Row],[Order Date]]=_xlfn.MINIFS(Order_Date, Customer_ID, OrdersTable[[#This Row],[Customer ID]]), "New", "Repeat")</f>
        <v>New</v>
      </c>
      <c r="H2947" t="s">
        <v>132</v>
      </c>
      <c r="I2947" t="str">
        <f>INDEX(State!B:B,MATCH(OrdersTable[[#This Row],[State]],State!A:A,0))</f>
        <v>AS</v>
      </c>
      <c r="J2947" t="str">
        <f>INDEX(State!C:C,MATCH(OrdersTable[[#This Row],[State Code]],State!B:B,0))</f>
        <v>East</v>
      </c>
      <c r="K2947" t="s">
        <v>133</v>
      </c>
      <c r="L2947" t="s">
        <v>65</v>
      </c>
      <c r="M2947" t="s">
        <v>66</v>
      </c>
      <c r="N2947" t="str">
        <f>INDEX(Products!B:B,MATCH(OrdersTable[[#This Row],[Product ID]],Products!A:A,0))</f>
        <v>Sunscreen SPF 50</v>
      </c>
      <c r="O2947" t="str">
        <f>INDEX(Products!C:C,MATCH(OrdersTable[[#This Row],[Product ID]],Products!A:A,0))</f>
        <v>Skincare</v>
      </c>
      <c r="P2947">
        <v>1</v>
      </c>
      <c r="Q2947" s="5">
        <v>449</v>
      </c>
      <c r="R2947" s="74">
        <v>0.05</v>
      </c>
      <c r="S2947" s="75">
        <f>OrdersTable[[#This Row],[Quantity]]*OrdersTable[[#This Row],[Unit Price]]</f>
        <v>449</v>
      </c>
      <c r="T2947" s="5">
        <f>OrdersTable[[#This Row],[Gross Sale]]*OrdersTable[[#This Row],[Discount_Clean2]]</f>
        <v>22.450000000000003</v>
      </c>
      <c r="U2947" s="5">
        <f>OrdersTable[[#This Row],[Gross Sale]]-OrdersTable[[#This Row],[Discount Amount]]</f>
        <v>426.55</v>
      </c>
      <c r="V2947" s="77">
        <f>INDEX(Products!E:E,MATCH(OrdersTable[[#This Row],[Product ID]],Products!A:A,0))</f>
        <v>144</v>
      </c>
      <c r="W2947" s="77">
        <f>OrdersTable[[#This Row],[Quantity]]*OrdersTable[[#This Row],[Unit Cost]]</f>
        <v>144</v>
      </c>
      <c r="X2947" s="77">
        <f>'Dropdown Lists'!$I$2*(1+OrdersTable[[#This Row],[Returned]])</f>
        <v>60</v>
      </c>
      <c r="Y2947" s="76">
        <f>OrdersTable[[#This Row],[Net Revenue]]-OrdersTable[[#This Row],[COGS]]-OrdersTable[[#This Row],[Shipping Cost]]</f>
        <v>222.55</v>
      </c>
      <c r="Z2947" s="78">
        <f>IFERROR(OrdersTable[[#This Row],[Profit]]/OrdersTable[[#This Row],[Net Revenue]],0)</f>
        <v>0.52174422693705313</v>
      </c>
      <c r="AA2947" t="s">
        <v>18</v>
      </c>
      <c r="AB2947" s="79">
        <v>45779</v>
      </c>
      <c r="AC2947">
        <f>OrdersTable[[#This Row],[Delivery Date]]-OrdersTable[[#This Row],[Order Date]]</f>
        <v>5</v>
      </c>
      <c r="AD2947" t="str">
        <f>IF(OrdersTable[[#This Row],[Delivery Days]]&lt;=2, "Express (≤2d)", IF(OrdersTable[[#This Row],[Delivery Days]]&lt;=4, "Standard (3-4d)", "Delayed (5d+)"))</f>
        <v>Delayed (5d+)</v>
      </c>
      <c r="AE2947">
        <v>3</v>
      </c>
      <c r="AF2947">
        <v>0</v>
      </c>
    </row>
    <row r="2948" spans="1:32" ht="15" x14ac:dyDescent="0.35">
      <c r="A2948" t="s">
        <v>610</v>
      </c>
      <c r="B2948" s="1">
        <v>45774</v>
      </c>
      <c r="C2948">
        <f>YEAR(OrdersTable[[#This Row],[Order Date]])</f>
        <v>2025</v>
      </c>
      <c r="D2948" s="2">
        <f>DATE(YEAR(OrdersTable[[#This Row],[Order Date]]),MONTH(OrdersTable[[#This Row],[Order Date]]),1)</f>
        <v>45748</v>
      </c>
      <c r="E2948">
        <f>MONTH(OrdersTable[[#This Row],[Order Date]])</f>
        <v>4</v>
      </c>
      <c r="F2948" t="s">
        <v>611</v>
      </c>
      <c r="G2948" t="str">
        <f>IF(OrdersTable[[#This Row],[Order Date]]=_xlfn.MINIFS(Order_Date, Customer_ID, OrdersTable[[#This Row],[Customer ID]]), "New", "Repeat")</f>
        <v>Repeat</v>
      </c>
      <c r="H2948" t="s">
        <v>71</v>
      </c>
      <c r="I2948" t="str">
        <f>INDEX(State!B:B,MATCH(OrdersTable[[#This Row],[State]],State!A:A,0))</f>
        <v>MH</v>
      </c>
      <c r="J2948" t="str">
        <f>INDEX(State!C:C,MATCH(OrdersTable[[#This Row],[State Code]],State!B:B,0))</f>
        <v>West</v>
      </c>
      <c r="K2948" t="s">
        <v>102</v>
      </c>
      <c r="L2948" t="s">
        <v>16</v>
      </c>
      <c r="M2948" t="s">
        <v>34</v>
      </c>
      <c r="N2948" t="str">
        <f>INDEX(Products!B:B,MATCH(OrdersTable[[#This Row],[Product ID]],Products!A:A,0))</f>
        <v>Flip Flops</v>
      </c>
      <c r="O2948" t="str">
        <f>INDEX(Products!C:C,MATCH(OrdersTable[[#This Row],[Product ID]],Products!A:A,0))</f>
        <v>Footwear</v>
      </c>
      <c r="P2948">
        <v>1</v>
      </c>
      <c r="Q2948" s="5">
        <v>399</v>
      </c>
      <c r="R2948" s="74">
        <v>0.05</v>
      </c>
      <c r="S2948" s="75">
        <f>OrdersTable[[#This Row],[Quantity]]*OrdersTable[[#This Row],[Unit Price]]</f>
        <v>399</v>
      </c>
      <c r="T2948" s="5">
        <f>OrdersTable[[#This Row],[Gross Sale]]*OrdersTable[[#This Row],[Discount_Clean2]]</f>
        <v>19.950000000000003</v>
      </c>
      <c r="U2948" s="5">
        <f>OrdersTable[[#This Row],[Gross Sale]]-OrdersTable[[#This Row],[Discount Amount]]</f>
        <v>379.05</v>
      </c>
      <c r="V2948" s="77">
        <f>INDEX(Products!E:E,MATCH(OrdersTable[[#This Row],[Product ID]],Products!A:A,0))</f>
        <v>152</v>
      </c>
      <c r="W2948" s="77">
        <f>OrdersTable[[#This Row],[Quantity]]*OrdersTable[[#This Row],[Unit Cost]]</f>
        <v>152</v>
      </c>
      <c r="X2948" s="77">
        <f>'Dropdown Lists'!$I$2*(1+OrdersTable[[#This Row],[Returned]])</f>
        <v>60</v>
      </c>
      <c r="Y2948" s="76">
        <f>OrdersTable[[#This Row],[Net Revenue]]-OrdersTable[[#This Row],[COGS]]-OrdersTable[[#This Row],[Shipping Cost]]</f>
        <v>167.05</v>
      </c>
      <c r="Z2948" s="78">
        <f>IFERROR(OrdersTable[[#This Row],[Profit]]/OrdersTable[[#This Row],[Net Revenue]],0)</f>
        <v>0.44070703073473161</v>
      </c>
      <c r="AA2948" t="s">
        <v>18</v>
      </c>
      <c r="AB2948" s="79">
        <v>45777</v>
      </c>
      <c r="AC2948">
        <f>OrdersTable[[#This Row],[Delivery Date]]-OrdersTable[[#This Row],[Order Date]]</f>
        <v>3</v>
      </c>
      <c r="AD2948" t="str">
        <f>IF(OrdersTable[[#This Row],[Delivery Days]]&lt;=2, "Express (≤2d)", IF(OrdersTable[[#This Row],[Delivery Days]]&lt;=4, "Standard (3-4d)", "Delayed (5d+)"))</f>
        <v>Standard (3-4d)</v>
      </c>
      <c r="AE2948">
        <v>4</v>
      </c>
      <c r="AF2948">
        <v>0</v>
      </c>
    </row>
    <row r="2949" spans="1:32" ht="15" x14ac:dyDescent="0.35">
      <c r="A2949" t="s">
        <v>7005</v>
      </c>
      <c r="B2949" s="1">
        <v>45774</v>
      </c>
      <c r="C2949">
        <f>YEAR(OrdersTable[[#This Row],[Order Date]])</f>
        <v>2025</v>
      </c>
      <c r="D2949" s="2">
        <f>DATE(YEAR(OrdersTable[[#This Row],[Order Date]]),MONTH(OrdersTable[[#This Row],[Order Date]]),1)</f>
        <v>45748</v>
      </c>
      <c r="E2949">
        <f>MONTH(OrdersTable[[#This Row],[Order Date]])</f>
        <v>4</v>
      </c>
      <c r="F2949" t="s">
        <v>2591</v>
      </c>
      <c r="G2949" t="str">
        <f>IF(OrdersTable[[#This Row],[Order Date]]=_xlfn.MINIFS(Order_Date, Customer_ID, OrdersTable[[#This Row],[Customer ID]]), "New", "Repeat")</f>
        <v>Repeat</v>
      </c>
      <c r="H2949" t="s">
        <v>95</v>
      </c>
      <c r="I2949" t="str">
        <f>INDEX(State!B:B,MATCH(OrdersTable[[#This Row],[State]],State!A:A,0))</f>
        <v>TG</v>
      </c>
      <c r="J2949" t="str">
        <f>INDEX(State!C:C,MATCH(OrdersTable[[#This Row],[State Code]],State!B:B,0))</f>
        <v>South</v>
      </c>
      <c r="K2949" t="s">
        <v>96</v>
      </c>
      <c r="L2949" t="s">
        <v>65</v>
      </c>
      <c r="M2949" t="s">
        <v>29</v>
      </c>
      <c r="N2949" t="str">
        <f>INDEX(Products!B:B,MATCH(OrdersTable[[#This Row],[Product ID]],Products!A:A,0))</f>
        <v>Joggers</v>
      </c>
      <c r="O2949" t="str">
        <f>INDEX(Products!C:C,MATCH(OrdersTable[[#This Row],[Product ID]],Products!A:A,0))</f>
        <v>Apparel</v>
      </c>
      <c r="P2949">
        <v>4</v>
      </c>
      <c r="Q2949" s="5">
        <v>1199</v>
      </c>
      <c r="R2949" s="74">
        <v>0.15</v>
      </c>
      <c r="S2949" s="75">
        <f>OrdersTable[[#This Row],[Quantity]]*OrdersTable[[#This Row],[Unit Price]]</f>
        <v>4796</v>
      </c>
      <c r="T2949" s="5">
        <f>OrdersTable[[#This Row],[Gross Sale]]*OrdersTable[[#This Row],[Discount_Clean2]]</f>
        <v>719.4</v>
      </c>
      <c r="U2949" s="5">
        <f>OrdersTable[[#This Row],[Gross Sale]]-OrdersTable[[#This Row],[Discount Amount]]</f>
        <v>4076.6</v>
      </c>
      <c r="V2949" s="77">
        <f>INDEX(Products!E:E,MATCH(OrdersTable[[#This Row],[Product ID]],Products!A:A,0))</f>
        <v>492</v>
      </c>
      <c r="W2949" s="77">
        <f>OrdersTable[[#This Row],[Quantity]]*OrdersTable[[#This Row],[Unit Cost]]</f>
        <v>1968</v>
      </c>
      <c r="X2949" s="77">
        <f>'Dropdown Lists'!$I$2*(1+OrdersTable[[#This Row],[Returned]])</f>
        <v>60</v>
      </c>
      <c r="Y2949" s="76">
        <f>OrdersTable[[#This Row],[Net Revenue]]-OrdersTable[[#This Row],[COGS]]-OrdersTable[[#This Row],[Shipping Cost]]</f>
        <v>2048.6</v>
      </c>
      <c r="Z2949" s="78">
        <f>IFERROR(OrdersTable[[#This Row],[Profit]]/OrdersTable[[#This Row],[Net Revenue]],0)</f>
        <v>0.50252661531668541</v>
      </c>
      <c r="AA2949" t="s">
        <v>4450</v>
      </c>
      <c r="AB2949" s="79">
        <v>45777</v>
      </c>
      <c r="AC2949">
        <f>OrdersTable[[#This Row],[Delivery Date]]-OrdersTable[[#This Row],[Order Date]]</f>
        <v>3</v>
      </c>
      <c r="AD2949" t="str">
        <f>IF(OrdersTable[[#This Row],[Delivery Days]]&lt;=2, "Express (≤2d)", IF(OrdersTable[[#This Row],[Delivery Days]]&lt;=4, "Standard (3-4d)", "Delayed (5d+)"))</f>
        <v>Standard (3-4d)</v>
      </c>
      <c r="AE2949">
        <v>4</v>
      </c>
      <c r="AF2949">
        <v>0</v>
      </c>
    </row>
    <row r="2950" spans="1:32" ht="15" x14ac:dyDescent="0.35">
      <c r="A2950" t="s">
        <v>983</v>
      </c>
      <c r="B2950" s="1">
        <v>45774</v>
      </c>
      <c r="C2950">
        <f>YEAR(OrdersTable[[#This Row],[Order Date]])</f>
        <v>2025</v>
      </c>
      <c r="D2950" s="2">
        <f>DATE(YEAR(OrdersTable[[#This Row],[Order Date]]),MONTH(OrdersTable[[#This Row],[Order Date]]),1)</f>
        <v>45748</v>
      </c>
      <c r="E2950">
        <f>MONTH(OrdersTable[[#This Row],[Order Date]])</f>
        <v>4</v>
      </c>
      <c r="F2950" t="s">
        <v>984</v>
      </c>
      <c r="G2950" t="str">
        <f>IF(OrdersTable[[#This Row],[Order Date]]=_xlfn.MINIFS(Order_Date, Customer_ID, OrdersTable[[#This Row],[Customer ID]]), "New", "Repeat")</f>
        <v>Repeat</v>
      </c>
      <c r="H2950" t="s">
        <v>275</v>
      </c>
      <c r="I2950" t="str">
        <f>INDEX(State!B:B,MATCH(OrdersTable[[#This Row],[State]],State!A:A,0))</f>
        <v>AP</v>
      </c>
      <c r="J2950" t="str">
        <f>INDEX(State!C:C,MATCH(OrdersTable[[#This Row],[State Code]],State!B:B,0))</f>
        <v>South</v>
      </c>
      <c r="K2950" t="s">
        <v>276</v>
      </c>
      <c r="L2950" t="s">
        <v>23</v>
      </c>
      <c r="M2950" t="s">
        <v>125</v>
      </c>
      <c r="N2950" t="str">
        <f>INDEX(Products!B:B,MATCH(OrdersTable[[#This Row],[Product ID]],Products!A:A,0))</f>
        <v>Copper Water Bottle</v>
      </c>
      <c r="O2950" t="str">
        <f>INDEX(Products!C:C,MATCH(OrdersTable[[#This Row],[Product ID]],Products!A:A,0))</f>
        <v>Home &amp; Kitchen</v>
      </c>
      <c r="P2950">
        <v>1</v>
      </c>
      <c r="Q2950" s="5">
        <v>899</v>
      </c>
      <c r="R2950" s="74">
        <v>0.05</v>
      </c>
      <c r="S2950" s="75">
        <f>OrdersTable[[#This Row],[Quantity]]*OrdersTable[[#This Row],[Unit Price]]</f>
        <v>899</v>
      </c>
      <c r="T2950" s="5">
        <f>OrdersTable[[#This Row],[Gross Sale]]*OrdersTable[[#This Row],[Discount_Clean2]]</f>
        <v>44.95</v>
      </c>
      <c r="U2950" s="5">
        <f>OrdersTable[[#This Row],[Gross Sale]]-OrdersTable[[#This Row],[Discount Amount]]</f>
        <v>854.05</v>
      </c>
      <c r="V2950" s="77">
        <f>INDEX(Products!E:E,MATCH(OrdersTable[[#This Row],[Product ID]],Products!A:A,0))</f>
        <v>378</v>
      </c>
      <c r="W2950" s="77">
        <f>OrdersTable[[#This Row],[Quantity]]*OrdersTable[[#This Row],[Unit Cost]]</f>
        <v>378</v>
      </c>
      <c r="X2950" s="77">
        <f>'Dropdown Lists'!$I$2*(1+OrdersTable[[#This Row],[Returned]])</f>
        <v>60</v>
      </c>
      <c r="Y2950" s="76">
        <f>OrdersTable[[#This Row],[Net Revenue]]-OrdersTable[[#This Row],[COGS]]-OrdersTable[[#This Row],[Shipping Cost]]</f>
        <v>416.04999999999995</v>
      </c>
      <c r="Z2950" s="78">
        <f>IFERROR(OrdersTable[[#This Row],[Profit]]/OrdersTable[[#This Row],[Net Revenue]],0)</f>
        <v>0.48714946431707745</v>
      </c>
      <c r="AA2950" t="s">
        <v>18</v>
      </c>
      <c r="AB2950" s="79">
        <v>45779</v>
      </c>
      <c r="AC2950">
        <f>OrdersTable[[#This Row],[Delivery Date]]-OrdersTable[[#This Row],[Order Date]]</f>
        <v>5</v>
      </c>
      <c r="AD2950" t="str">
        <f>IF(OrdersTable[[#This Row],[Delivery Days]]&lt;=2, "Express (≤2d)", IF(OrdersTable[[#This Row],[Delivery Days]]&lt;=4, "Standard (3-4d)", "Delayed (5d+)"))</f>
        <v>Delayed (5d+)</v>
      </c>
      <c r="AE2950">
        <v>4</v>
      </c>
      <c r="AF2950">
        <v>0</v>
      </c>
    </row>
    <row r="2951" spans="1:32" ht="15" x14ac:dyDescent="0.35">
      <c r="A2951" t="s">
        <v>3279</v>
      </c>
      <c r="B2951" s="1">
        <v>45775</v>
      </c>
      <c r="C2951">
        <f>YEAR(OrdersTable[[#This Row],[Order Date]])</f>
        <v>2025</v>
      </c>
      <c r="D2951" s="2">
        <f>DATE(YEAR(OrdersTable[[#This Row],[Order Date]]),MONTH(OrdersTable[[#This Row],[Order Date]]),1)</f>
        <v>45748</v>
      </c>
      <c r="E2951">
        <f>MONTH(OrdersTable[[#This Row],[Order Date]])</f>
        <v>4</v>
      </c>
      <c r="F2951" t="s">
        <v>3280</v>
      </c>
      <c r="G2951" t="str">
        <f>IF(OrdersTable[[#This Row],[Order Date]]=_xlfn.MINIFS(Order_Date, Customer_ID, OrdersTable[[#This Row],[Customer ID]]), "New", "Repeat")</f>
        <v>New</v>
      </c>
      <c r="H2951" t="s">
        <v>48</v>
      </c>
      <c r="I2951" t="str">
        <f>INDEX(State!B:B,MATCH(OrdersTable[[#This Row],[State]],State!A:A,0))</f>
        <v>HR</v>
      </c>
      <c r="J2951" t="str">
        <f>INDEX(State!C:C,MATCH(OrdersTable[[#This Row],[State Code]],State!B:B,0))</f>
        <v>North</v>
      </c>
      <c r="K2951" t="s">
        <v>49</v>
      </c>
      <c r="L2951" t="s">
        <v>39</v>
      </c>
      <c r="M2951" t="s">
        <v>34</v>
      </c>
      <c r="N2951" t="str">
        <f>INDEX(Products!B:B,MATCH(OrdersTable[[#This Row],[Product ID]],Products!A:A,0))</f>
        <v>Flip Flops</v>
      </c>
      <c r="O2951" t="str">
        <f>INDEX(Products!C:C,MATCH(OrdersTable[[#This Row],[Product ID]],Products!A:A,0))</f>
        <v>Footwear</v>
      </c>
      <c r="P2951">
        <v>1</v>
      </c>
      <c r="Q2951" s="5">
        <v>399</v>
      </c>
      <c r="R2951" s="74">
        <v>0.1</v>
      </c>
      <c r="S2951" s="75">
        <f>OrdersTable[[#This Row],[Quantity]]*OrdersTable[[#This Row],[Unit Price]]</f>
        <v>399</v>
      </c>
      <c r="T2951" s="5">
        <f>OrdersTable[[#This Row],[Gross Sale]]*OrdersTable[[#This Row],[Discount_Clean2]]</f>
        <v>39.900000000000006</v>
      </c>
      <c r="U2951" s="5">
        <f>OrdersTable[[#This Row],[Gross Sale]]-OrdersTable[[#This Row],[Discount Amount]]</f>
        <v>359.1</v>
      </c>
      <c r="V2951" s="77">
        <f>INDEX(Products!E:E,MATCH(OrdersTable[[#This Row],[Product ID]],Products!A:A,0))</f>
        <v>152</v>
      </c>
      <c r="W2951" s="77">
        <f>OrdersTable[[#This Row],[Quantity]]*OrdersTable[[#This Row],[Unit Cost]]</f>
        <v>152</v>
      </c>
      <c r="X2951" s="77">
        <f>'Dropdown Lists'!$I$2*(1+OrdersTable[[#This Row],[Returned]])</f>
        <v>60</v>
      </c>
      <c r="Y2951" s="76">
        <f>OrdersTable[[#This Row],[Net Revenue]]-OrdersTable[[#This Row],[COGS]]-OrdersTable[[#This Row],[Shipping Cost]]</f>
        <v>147.10000000000002</v>
      </c>
      <c r="Z2951" s="78">
        <f>IFERROR(OrdersTable[[#This Row],[Profit]]/OrdersTable[[#This Row],[Net Revenue]],0)</f>
        <v>0.40963519910888335</v>
      </c>
      <c r="AA2951" t="s">
        <v>2522</v>
      </c>
      <c r="AB2951" s="79">
        <v>45778</v>
      </c>
      <c r="AC2951">
        <f>OrdersTable[[#This Row],[Delivery Date]]-OrdersTable[[#This Row],[Order Date]]</f>
        <v>3</v>
      </c>
      <c r="AD2951" t="str">
        <f>IF(OrdersTable[[#This Row],[Delivery Days]]&lt;=2, "Express (≤2d)", IF(OrdersTable[[#This Row],[Delivery Days]]&lt;=4, "Standard (3-4d)", "Delayed (5d+)"))</f>
        <v>Standard (3-4d)</v>
      </c>
      <c r="AE2951">
        <v>4</v>
      </c>
      <c r="AF2951">
        <v>0</v>
      </c>
    </row>
    <row r="2952" spans="1:32" ht="15" x14ac:dyDescent="0.35">
      <c r="A2952" t="s">
        <v>2397</v>
      </c>
      <c r="B2952" s="1">
        <v>45775</v>
      </c>
      <c r="C2952">
        <f>YEAR(OrdersTable[[#This Row],[Order Date]])</f>
        <v>2025</v>
      </c>
      <c r="D2952" s="2">
        <f>DATE(YEAR(OrdersTable[[#This Row],[Order Date]]),MONTH(OrdersTable[[#This Row],[Order Date]]),1)</f>
        <v>45748</v>
      </c>
      <c r="E2952">
        <f>MONTH(OrdersTable[[#This Row],[Order Date]])</f>
        <v>4</v>
      </c>
      <c r="F2952" t="s">
        <v>1923</v>
      </c>
      <c r="G2952" t="str">
        <f>IF(OrdersTable[[#This Row],[Order Date]]=_xlfn.MINIFS(Order_Date, Customer_ID, OrdersTable[[#This Row],[Customer ID]]), "New", "Repeat")</f>
        <v>Repeat</v>
      </c>
      <c r="H2952" t="s">
        <v>128</v>
      </c>
      <c r="I2952" t="str">
        <f>INDEX(State!B:B,MATCH(OrdersTable[[#This Row],[State]],State!A:A,0))</f>
        <v>DL</v>
      </c>
      <c r="J2952" t="str">
        <f>INDEX(State!C:C,MATCH(OrdersTable[[#This Row],[State Code]],State!B:B,0))</f>
        <v>North</v>
      </c>
      <c r="K2952" t="s">
        <v>129</v>
      </c>
      <c r="L2952" t="s">
        <v>65</v>
      </c>
      <c r="M2952" t="s">
        <v>73</v>
      </c>
      <c r="N2952" t="str">
        <f>INDEX(Products!B:B,MATCH(OrdersTable[[#This Row],[Product ID]],Products!A:A,0))</f>
        <v>Hydrating Face Wash</v>
      </c>
      <c r="O2952" t="str">
        <f>INDEX(Products!C:C,MATCH(OrdersTable[[#This Row],[Product ID]],Products!A:A,0))</f>
        <v>Skincare</v>
      </c>
      <c r="P2952">
        <v>1</v>
      </c>
      <c r="Q2952" s="5">
        <v>299</v>
      </c>
      <c r="R2952" s="74">
        <v>0</v>
      </c>
      <c r="S2952" s="75">
        <f>OrdersTable[[#This Row],[Quantity]]*OrdersTable[[#This Row],[Unit Price]]</f>
        <v>299</v>
      </c>
      <c r="T2952" s="5">
        <f>OrdersTable[[#This Row],[Gross Sale]]*OrdersTable[[#This Row],[Discount_Clean2]]</f>
        <v>0</v>
      </c>
      <c r="U2952" s="5">
        <f>OrdersTable[[#This Row],[Gross Sale]]-OrdersTable[[#This Row],[Discount Amount]]</f>
        <v>299</v>
      </c>
      <c r="V2952" s="77">
        <f>INDEX(Products!E:E,MATCH(OrdersTable[[#This Row],[Product ID]],Products!A:A,0))</f>
        <v>90</v>
      </c>
      <c r="W2952" s="77">
        <f>OrdersTable[[#This Row],[Quantity]]*OrdersTable[[#This Row],[Unit Cost]]</f>
        <v>90</v>
      </c>
      <c r="X2952" s="77">
        <f>'Dropdown Lists'!$I$2*(1+OrdersTable[[#This Row],[Returned]])</f>
        <v>60</v>
      </c>
      <c r="Y2952" s="76">
        <f>OrdersTable[[#This Row],[Net Revenue]]-OrdersTable[[#This Row],[COGS]]-OrdersTable[[#This Row],[Shipping Cost]]</f>
        <v>149</v>
      </c>
      <c r="Z2952" s="78">
        <f>IFERROR(OrdersTable[[#This Row],[Profit]]/OrdersTable[[#This Row],[Net Revenue]],0)</f>
        <v>0.49832775919732442</v>
      </c>
      <c r="AA2952" t="s">
        <v>18</v>
      </c>
      <c r="AB2952" s="79">
        <v>45776</v>
      </c>
      <c r="AC2952">
        <f>OrdersTable[[#This Row],[Delivery Date]]-OrdersTable[[#This Row],[Order Date]]</f>
        <v>1</v>
      </c>
      <c r="AD2952" t="str">
        <f>IF(OrdersTable[[#This Row],[Delivery Days]]&lt;=2, "Express (≤2d)", IF(OrdersTable[[#This Row],[Delivery Days]]&lt;=4, "Standard (3-4d)", "Delayed (5d+)"))</f>
        <v>Express (≤2d)</v>
      </c>
      <c r="AE2952">
        <v>5</v>
      </c>
      <c r="AF2952">
        <v>0</v>
      </c>
    </row>
    <row r="2953" spans="1:32" ht="15" x14ac:dyDescent="0.35">
      <c r="A2953" t="s">
        <v>6715</v>
      </c>
      <c r="B2953" s="1">
        <v>45775</v>
      </c>
      <c r="C2953">
        <f>YEAR(OrdersTable[[#This Row],[Order Date]])</f>
        <v>2025</v>
      </c>
      <c r="D2953" s="2">
        <f>DATE(YEAR(OrdersTable[[#This Row],[Order Date]]),MONTH(OrdersTable[[#This Row],[Order Date]]),1)</f>
        <v>45748</v>
      </c>
      <c r="E2953">
        <f>MONTH(OrdersTable[[#This Row],[Order Date]])</f>
        <v>4</v>
      </c>
      <c r="F2953" t="s">
        <v>4650</v>
      </c>
      <c r="G2953" t="str">
        <f>IF(OrdersTable[[#This Row],[Order Date]]=_xlfn.MINIFS(Order_Date, Customer_ID, OrdersTable[[#This Row],[Customer ID]]), "New", "Repeat")</f>
        <v>Repeat</v>
      </c>
      <c r="H2953" t="s">
        <v>37</v>
      </c>
      <c r="I2953" t="str">
        <f>INDEX(State!B:B,MATCH(OrdersTable[[#This Row],[State]],State!A:A,0))</f>
        <v>GJ</v>
      </c>
      <c r="J2953" t="str">
        <f>INDEX(State!C:C,MATCH(OrdersTable[[#This Row],[State Code]],State!B:B,0))</f>
        <v>West</v>
      </c>
      <c r="K2953" t="s">
        <v>247</v>
      </c>
      <c r="L2953" t="s">
        <v>23</v>
      </c>
      <c r="M2953" t="s">
        <v>73</v>
      </c>
      <c r="N2953" t="str">
        <f>INDEX(Products!B:B,MATCH(OrdersTable[[#This Row],[Product ID]],Products!A:A,0))</f>
        <v>Hydrating Face Wash</v>
      </c>
      <c r="O2953" t="str">
        <f>INDEX(Products!C:C,MATCH(OrdersTable[[#This Row],[Product ID]],Products!A:A,0))</f>
        <v>Skincare</v>
      </c>
      <c r="P2953">
        <v>3</v>
      </c>
      <c r="Q2953" s="5">
        <v>299</v>
      </c>
      <c r="R2953" s="74">
        <v>0.1</v>
      </c>
      <c r="S2953" s="75">
        <f>OrdersTable[[#This Row],[Quantity]]*OrdersTable[[#This Row],[Unit Price]]</f>
        <v>897</v>
      </c>
      <c r="T2953" s="5">
        <f>OrdersTable[[#This Row],[Gross Sale]]*OrdersTable[[#This Row],[Discount_Clean2]]</f>
        <v>89.7</v>
      </c>
      <c r="U2953" s="5">
        <f>OrdersTable[[#This Row],[Gross Sale]]-OrdersTable[[#This Row],[Discount Amount]]</f>
        <v>807.3</v>
      </c>
      <c r="V2953" s="77">
        <f>INDEX(Products!E:E,MATCH(OrdersTable[[#This Row],[Product ID]],Products!A:A,0))</f>
        <v>90</v>
      </c>
      <c r="W2953" s="77">
        <f>OrdersTable[[#This Row],[Quantity]]*OrdersTable[[#This Row],[Unit Cost]]</f>
        <v>270</v>
      </c>
      <c r="X2953" s="77">
        <f>'Dropdown Lists'!$I$2*(1+OrdersTable[[#This Row],[Returned]])</f>
        <v>60</v>
      </c>
      <c r="Y2953" s="76">
        <f>OrdersTable[[#This Row],[Net Revenue]]-OrdersTable[[#This Row],[COGS]]-OrdersTable[[#This Row],[Shipping Cost]]</f>
        <v>477.29999999999995</v>
      </c>
      <c r="Z2953" s="78">
        <f>IFERROR(OrdersTable[[#This Row],[Profit]]/OrdersTable[[#This Row],[Net Revenue]],0)</f>
        <v>0.59123002601263464</v>
      </c>
      <c r="AA2953" t="s">
        <v>2522</v>
      </c>
      <c r="AB2953" s="79">
        <v>45778</v>
      </c>
      <c r="AC2953">
        <f>OrdersTable[[#This Row],[Delivery Date]]-OrdersTable[[#This Row],[Order Date]]</f>
        <v>3</v>
      </c>
      <c r="AD2953" t="str">
        <f>IF(OrdersTable[[#This Row],[Delivery Days]]&lt;=2, "Express (≤2d)", IF(OrdersTable[[#This Row],[Delivery Days]]&lt;=4, "Standard (3-4d)", "Delayed (5d+)"))</f>
        <v>Standard (3-4d)</v>
      </c>
      <c r="AE2953">
        <v>4</v>
      </c>
      <c r="AF2953">
        <v>0</v>
      </c>
    </row>
    <row r="2954" spans="1:32" ht="15" x14ac:dyDescent="0.35">
      <c r="A2954" t="s">
        <v>3775</v>
      </c>
      <c r="B2954" s="1">
        <v>45775</v>
      </c>
      <c r="C2954">
        <f>YEAR(OrdersTable[[#This Row],[Order Date]])</f>
        <v>2025</v>
      </c>
      <c r="D2954" s="2">
        <f>DATE(YEAR(OrdersTable[[#This Row],[Order Date]]),MONTH(OrdersTable[[#This Row],[Order Date]]),1)</f>
        <v>45748</v>
      </c>
      <c r="E2954">
        <f>MONTH(OrdersTable[[#This Row],[Order Date]])</f>
        <v>4</v>
      </c>
      <c r="F2954" t="s">
        <v>3677</v>
      </c>
      <c r="G2954" t="str">
        <f>IF(OrdersTable[[#This Row],[Order Date]]=_xlfn.MINIFS(Order_Date, Customer_ID, OrdersTable[[#This Row],[Customer ID]]), "New", "Repeat")</f>
        <v>New</v>
      </c>
      <c r="H2954" t="s">
        <v>37</v>
      </c>
      <c r="I2954" t="str">
        <f>INDEX(State!B:B,MATCH(OrdersTable[[#This Row],[State]],State!A:A,0))</f>
        <v>GJ</v>
      </c>
      <c r="J2954" t="str">
        <f>INDEX(State!C:C,MATCH(OrdersTable[[#This Row],[State Code]],State!B:B,0))</f>
        <v>West</v>
      </c>
      <c r="K2954" t="s">
        <v>247</v>
      </c>
      <c r="L2954" t="s">
        <v>23</v>
      </c>
      <c r="M2954" t="s">
        <v>45</v>
      </c>
      <c r="N2954" t="str">
        <f>INDEX(Products!B:B,MATCH(OrdersTable[[#This Row],[Product ID]],Products!A:A,0))</f>
        <v>Argan Shampoo</v>
      </c>
      <c r="O2954" t="str">
        <f>INDEX(Products!C:C,MATCH(OrdersTable[[#This Row],[Product ID]],Products!A:A,0))</f>
        <v>Haircare</v>
      </c>
      <c r="P2954">
        <v>1</v>
      </c>
      <c r="Q2954" s="5">
        <v>449</v>
      </c>
      <c r="R2954" s="74">
        <v>0.1</v>
      </c>
      <c r="S2954" s="75">
        <f>OrdersTable[[#This Row],[Quantity]]*OrdersTable[[#This Row],[Unit Price]]</f>
        <v>449</v>
      </c>
      <c r="T2954" s="5">
        <f>OrdersTable[[#This Row],[Gross Sale]]*OrdersTable[[#This Row],[Discount_Clean2]]</f>
        <v>44.900000000000006</v>
      </c>
      <c r="U2954" s="5">
        <f>OrdersTable[[#This Row],[Gross Sale]]-OrdersTable[[#This Row],[Discount Amount]]</f>
        <v>404.1</v>
      </c>
      <c r="V2954" s="77">
        <f>INDEX(Products!E:E,MATCH(OrdersTable[[#This Row],[Product ID]],Products!A:A,0))</f>
        <v>148</v>
      </c>
      <c r="W2954" s="77">
        <f>OrdersTable[[#This Row],[Quantity]]*OrdersTable[[#This Row],[Unit Cost]]</f>
        <v>148</v>
      </c>
      <c r="X2954" s="77">
        <f>'Dropdown Lists'!$I$2*(1+OrdersTable[[#This Row],[Returned]])</f>
        <v>60</v>
      </c>
      <c r="Y2954" s="76">
        <f>OrdersTable[[#This Row],[Net Revenue]]-OrdersTable[[#This Row],[COGS]]-OrdersTable[[#This Row],[Shipping Cost]]</f>
        <v>196.10000000000002</v>
      </c>
      <c r="Z2954" s="78">
        <f>IFERROR(OrdersTable[[#This Row],[Profit]]/OrdersTable[[#This Row],[Net Revenue]],0)</f>
        <v>0.48527592180153428</v>
      </c>
      <c r="AA2954" t="s">
        <v>3495</v>
      </c>
      <c r="AB2954" s="79">
        <v>45779</v>
      </c>
      <c r="AC2954">
        <f>OrdersTable[[#This Row],[Delivery Date]]-OrdersTable[[#This Row],[Order Date]]</f>
        <v>4</v>
      </c>
      <c r="AD2954" t="str">
        <f>IF(OrdersTable[[#This Row],[Delivery Days]]&lt;=2, "Express (≤2d)", IF(OrdersTable[[#This Row],[Delivery Days]]&lt;=4, "Standard (3-4d)", "Delayed (5d+)"))</f>
        <v>Standard (3-4d)</v>
      </c>
      <c r="AF2954">
        <v>0</v>
      </c>
    </row>
    <row r="2955" spans="1:32" ht="15" x14ac:dyDescent="0.35">
      <c r="A2955" t="s">
        <v>308</v>
      </c>
      <c r="B2955" s="1">
        <v>45775</v>
      </c>
      <c r="C2955">
        <f>YEAR(OrdersTable[[#This Row],[Order Date]])</f>
        <v>2025</v>
      </c>
      <c r="D2955" s="2">
        <f>DATE(YEAR(OrdersTable[[#This Row],[Order Date]]),MONTH(OrdersTable[[#This Row],[Order Date]]),1)</f>
        <v>45748</v>
      </c>
      <c r="E2955">
        <f>MONTH(OrdersTable[[#This Row],[Order Date]])</f>
        <v>4</v>
      </c>
      <c r="F2955" t="s">
        <v>309</v>
      </c>
      <c r="G2955" t="str">
        <f>IF(OrdersTable[[#This Row],[Order Date]]=_xlfn.MINIFS(Order_Date, Customer_ID, OrdersTable[[#This Row],[Customer ID]]), "New", "Repeat")</f>
        <v>Repeat</v>
      </c>
      <c r="H2955" t="s">
        <v>71</v>
      </c>
      <c r="I2955" t="str">
        <f>INDEX(State!B:B,MATCH(OrdersTable[[#This Row],[State]],State!A:A,0))</f>
        <v>MH</v>
      </c>
      <c r="J2955" t="str">
        <f>INDEX(State!C:C,MATCH(OrdersTable[[#This Row],[State Code]],State!B:B,0))</f>
        <v>West</v>
      </c>
      <c r="K2955" t="s">
        <v>81</v>
      </c>
      <c r="L2955" t="s">
        <v>23</v>
      </c>
      <c r="M2955" t="s">
        <v>56</v>
      </c>
      <c r="N2955" t="str">
        <f>INDEX(Products!B:B,MATCH(OrdersTable[[#This Row],[Product ID]],Products!A:A,0))</f>
        <v>Vitamin C Face Serum</v>
      </c>
      <c r="O2955" t="str">
        <f>INDEX(Products!C:C,MATCH(OrdersTable[[#This Row],[Product ID]],Products!A:A,0))</f>
        <v>Skincare</v>
      </c>
      <c r="P2955">
        <v>1</v>
      </c>
      <c r="Q2955" s="5">
        <v>599</v>
      </c>
      <c r="R2955" s="74">
        <v>0.25</v>
      </c>
      <c r="S2955" s="75">
        <f>OrdersTable[[#This Row],[Quantity]]*OrdersTable[[#This Row],[Unit Price]]</f>
        <v>599</v>
      </c>
      <c r="T2955" s="5">
        <f>OrdersTable[[#This Row],[Gross Sale]]*OrdersTable[[#This Row],[Discount_Clean2]]</f>
        <v>149.75</v>
      </c>
      <c r="U2955" s="5">
        <f>OrdersTable[[#This Row],[Gross Sale]]-OrdersTable[[#This Row],[Discount Amount]]</f>
        <v>449.25</v>
      </c>
      <c r="V2955" s="77">
        <f>INDEX(Products!E:E,MATCH(OrdersTable[[#This Row],[Product ID]],Products!A:A,0))</f>
        <v>180</v>
      </c>
      <c r="W2955" s="77">
        <f>OrdersTable[[#This Row],[Quantity]]*OrdersTable[[#This Row],[Unit Cost]]</f>
        <v>180</v>
      </c>
      <c r="X2955" s="77">
        <f>'Dropdown Lists'!$I$2*(1+OrdersTable[[#This Row],[Returned]])</f>
        <v>60</v>
      </c>
      <c r="Y2955" s="76">
        <f>OrdersTable[[#This Row],[Net Revenue]]-OrdersTable[[#This Row],[COGS]]-OrdersTable[[#This Row],[Shipping Cost]]</f>
        <v>209.25</v>
      </c>
      <c r="Z2955" s="78">
        <f>IFERROR(OrdersTable[[#This Row],[Profit]]/OrdersTable[[#This Row],[Net Revenue]],0)</f>
        <v>0.46577629382303842</v>
      </c>
      <c r="AA2955" t="s">
        <v>18</v>
      </c>
      <c r="AB2955" s="79">
        <v>45777</v>
      </c>
      <c r="AC2955">
        <f>OrdersTable[[#This Row],[Delivery Date]]-OrdersTable[[#This Row],[Order Date]]</f>
        <v>2</v>
      </c>
      <c r="AD2955" t="str">
        <f>IF(OrdersTable[[#This Row],[Delivery Days]]&lt;=2, "Express (≤2d)", IF(OrdersTable[[#This Row],[Delivery Days]]&lt;=4, "Standard (3-4d)", "Delayed (5d+)"))</f>
        <v>Express (≤2d)</v>
      </c>
      <c r="AE2955">
        <v>4</v>
      </c>
      <c r="AF2955">
        <v>0</v>
      </c>
    </row>
    <row r="2956" spans="1:32" ht="15" x14ac:dyDescent="0.35">
      <c r="A2956" t="s">
        <v>3625</v>
      </c>
      <c r="B2956" s="1">
        <v>45775</v>
      </c>
      <c r="C2956">
        <f>YEAR(OrdersTable[[#This Row],[Order Date]])</f>
        <v>2025</v>
      </c>
      <c r="D2956" s="2">
        <f>DATE(YEAR(OrdersTable[[#This Row],[Order Date]]),MONTH(OrdersTable[[#This Row],[Order Date]]),1)</f>
        <v>45748</v>
      </c>
      <c r="E2956">
        <f>MONTH(OrdersTable[[#This Row],[Order Date]])</f>
        <v>4</v>
      </c>
      <c r="F2956" t="s">
        <v>3626</v>
      </c>
      <c r="G2956" t="str">
        <f>IF(OrdersTable[[#This Row],[Order Date]]=_xlfn.MINIFS(Order_Date, Customer_ID, OrdersTable[[#This Row],[Customer ID]]), "New", "Repeat")</f>
        <v>New</v>
      </c>
      <c r="H2956" t="s">
        <v>95</v>
      </c>
      <c r="I2956" t="str">
        <f>INDEX(State!B:B,MATCH(OrdersTable[[#This Row],[State]],State!A:A,0))</f>
        <v>TG</v>
      </c>
      <c r="J2956" t="str">
        <f>INDEX(State!C:C,MATCH(OrdersTable[[#This Row],[State Code]],State!B:B,0))</f>
        <v>South</v>
      </c>
      <c r="K2956" t="s">
        <v>96</v>
      </c>
      <c r="L2956" t="s">
        <v>23</v>
      </c>
      <c r="M2956" t="s">
        <v>73</v>
      </c>
      <c r="N2956" t="str">
        <f>INDEX(Products!B:B,MATCH(OrdersTable[[#This Row],[Product ID]],Products!A:A,0))</f>
        <v>Hydrating Face Wash</v>
      </c>
      <c r="O2956" t="str">
        <f>INDEX(Products!C:C,MATCH(OrdersTable[[#This Row],[Product ID]],Products!A:A,0))</f>
        <v>Skincare</v>
      </c>
      <c r="P2956">
        <v>1</v>
      </c>
      <c r="Q2956" s="5">
        <v>299</v>
      </c>
      <c r="R2956" s="74">
        <v>0.05</v>
      </c>
      <c r="S2956" s="75">
        <f>OrdersTable[[#This Row],[Quantity]]*OrdersTable[[#This Row],[Unit Price]]</f>
        <v>299</v>
      </c>
      <c r="T2956" s="5">
        <f>OrdersTable[[#This Row],[Gross Sale]]*OrdersTable[[#This Row],[Discount_Clean2]]</f>
        <v>14.950000000000001</v>
      </c>
      <c r="U2956" s="5">
        <f>OrdersTable[[#This Row],[Gross Sale]]-OrdersTable[[#This Row],[Discount Amount]]</f>
        <v>284.05</v>
      </c>
      <c r="V2956" s="77">
        <f>INDEX(Products!E:E,MATCH(OrdersTable[[#This Row],[Product ID]],Products!A:A,0))</f>
        <v>90</v>
      </c>
      <c r="W2956" s="77">
        <f>OrdersTable[[#This Row],[Quantity]]*OrdersTable[[#This Row],[Unit Cost]]</f>
        <v>90</v>
      </c>
      <c r="X2956" s="77">
        <f>'Dropdown Lists'!$I$2*(1+OrdersTable[[#This Row],[Returned]])</f>
        <v>60</v>
      </c>
      <c r="Y2956" s="76">
        <f>OrdersTable[[#This Row],[Net Revenue]]-OrdersTable[[#This Row],[COGS]]-OrdersTable[[#This Row],[Shipping Cost]]</f>
        <v>134.05000000000001</v>
      </c>
      <c r="Z2956" s="78">
        <f>IFERROR(OrdersTable[[#This Row],[Profit]]/OrdersTable[[#This Row],[Net Revenue]],0)</f>
        <v>0.47192395704981521</v>
      </c>
      <c r="AA2956" t="s">
        <v>3495</v>
      </c>
      <c r="AB2956" s="79">
        <v>45779</v>
      </c>
      <c r="AC2956">
        <f>OrdersTable[[#This Row],[Delivery Date]]-OrdersTable[[#This Row],[Order Date]]</f>
        <v>4</v>
      </c>
      <c r="AD2956" t="str">
        <f>IF(OrdersTable[[#This Row],[Delivery Days]]&lt;=2, "Express (≤2d)", IF(OrdersTable[[#This Row],[Delivery Days]]&lt;=4, "Standard (3-4d)", "Delayed (5d+)"))</f>
        <v>Standard (3-4d)</v>
      </c>
      <c r="AE2956">
        <v>4</v>
      </c>
      <c r="AF2956">
        <v>0</v>
      </c>
    </row>
    <row r="2957" spans="1:32" ht="15" x14ac:dyDescent="0.35">
      <c r="A2957" t="s">
        <v>6583</v>
      </c>
      <c r="B2957" s="1">
        <v>45775</v>
      </c>
      <c r="C2957">
        <f>YEAR(OrdersTable[[#This Row],[Order Date]])</f>
        <v>2025</v>
      </c>
      <c r="D2957" s="2">
        <f>DATE(YEAR(OrdersTable[[#This Row],[Order Date]]),MONTH(OrdersTable[[#This Row],[Order Date]]),1)</f>
        <v>45748</v>
      </c>
      <c r="E2957">
        <f>MONTH(OrdersTable[[#This Row],[Order Date]])</f>
        <v>4</v>
      </c>
      <c r="F2957" t="s">
        <v>3518</v>
      </c>
      <c r="G2957" t="str">
        <f>IF(OrdersTable[[#This Row],[Order Date]]=_xlfn.MINIFS(Order_Date, Customer_ID, OrdersTable[[#This Row],[Customer ID]]), "New", "Repeat")</f>
        <v>Repeat</v>
      </c>
      <c r="H2957" t="s">
        <v>167</v>
      </c>
      <c r="I2957" t="str">
        <f>INDEX(State!B:B,MATCH(OrdersTable[[#This Row],[State]],State!A:A,0))</f>
        <v>KA</v>
      </c>
      <c r="J2957" t="str">
        <f>INDEX(State!C:C,MATCH(OrdersTable[[#This Row],[State Code]],State!B:B,0))</f>
        <v>South</v>
      </c>
      <c r="K2957" t="s">
        <v>190</v>
      </c>
      <c r="L2957" t="s">
        <v>65</v>
      </c>
      <c r="M2957" t="s">
        <v>73</v>
      </c>
      <c r="N2957" t="str">
        <f>INDEX(Products!B:B,MATCH(OrdersTable[[#This Row],[Product ID]],Products!A:A,0))</f>
        <v>Hydrating Face Wash</v>
      </c>
      <c r="O2957" t="str">
        <f>INDEX(Products!C:C,MATCH(OrdersTable[[#This Row],[Product ID]],Products!A:A,0))</f>
        <v>Skincare</v>
      </c>
      <c r="P2957">
        <v>3</v>
      </c>
      <c r="Q2957" s="5">
        <v>299</v>
      </c>
      <c r="R2957" s="74">
        <v>0.1</v>
      </c>
      <c r="S2957" s="75">
        <f>OrdersTable[[#This Row],[Quantity]]*OrdersTable[[#This Row],[Unit Price]]</f>
        <v>897</v>
      </c>
      <c r="T2957" s="5">
        <f>OrdersTable[[#This Row],[Gross Sale]]*OrdersTable[[#This Row],[Discount_Clean2]]</f>
        <v>89.7</v>
      </c>
      <c r="U2957" s="5">
        <f>OrdersTable[[#This Row],[Gross Sale]]-OrdersTable[[#This Row],[Discount Amount]]</f>
        <v>807.3</v>
      </c>
      <c r="V2957" s="77">
        <f>INDEX(Products!E:E,MATCH(OrdersTable[[#This Row],[Product ID]],Products!A:A,0))</f>
        <v>90</v>
      </c>
      <c r="W2957" s="77">
        <f>OrdersTable[[#This Row],[Quantity]]*OrdersTable[[#This Row],[Unit Cost]]</f>
        <v>270</v>
      </c>
      <c r="X2957" s="77">
        <f>'Dropdown Lists'!$I$2*(1+OrdersTable[[#This Row],[Returned]])</f>
        <v>60</v>
      </c>
      <c r="Y2957" s="76">
        <f>OrdersTable[[#This Row],[Net Revenue]]-OrdersTable[[#This Row],[COGS]]-OrdersTable[[#This Row],[Shipping Cost]]</f>
        <v>477.29999999999995</v>
      </c>
      <c r="Z2957" s="78">
        <f>IFERROR(OrdersTable[[#This Row],[Profit]]/OrdersTable[[#This Row],[Net Revenue]],0)</f>
        <v>0.59123002601263464</v>
      </c>
      <c r="AA2957" t="s">
        <v>18</v>
      </c>
      <c r="AB2957" s="79">
        <v>45776</v>
      </c>
      <c r="AC2957">
        <f>OrdersTable[[#This Row],[Delivery Date]]-OrdersTable[[#This Row],[Order Date]]</f>
        <v>1</v>
      </c>
      <c r="AD2957" t="str">
        <f>IF(OrdersTable[[#This Row],[Delivery Days]]&lt;=2, "Express (≤2d)", IF(OrdersTable[[#This Row],[Delivery Days]]&lt;=4, "Standard (3-4d)", "Delayed (5d+)"))</f>
        <v>Express (≤2d)</v>
      </c>
      <c r="AE2957">
        <v>5</v>
      </c>
      <c r="AF2957">
        <v>0</v>
      </c>
    </row>
    <row r="2958" spans="1:32" ht="15" x14ac:dyDescent="0.35">
      <c r="A2958" t="s">
        <v>6584</v>
      </c>
      <c r="B2958" s="1">
        <v>45775</v>
      </c>
      <c r="C2958">
        <f>YEAR(OrdersTable[[#This Row],[Order Date]])</f>
        <v>2025</v>
      </c>
      <c r="D2958" s="2">
        <f>DATE(YEAR(OrdersTable[[#This Row],[Order Date]]),MONTH(OrdersTable[[#This Row],[Order Date]]),1)</f>
        <v>45748</v>
      </c>
      <c r="E2958">
        <f>MONTH(OrdersTable[[#This Row],[Order Date]])</f>
        <v>4</v>
      </c>
      <c r="F2958" t="s">
        <v>270</v>
      </c>
      <c r="G2958" t="str">
        <f>IF(OrdersTable[[#This Row],[Order Date]]=_xlfn.MINIFS(Order_Date, Customer_ID, OrdersTable[[#This Row],[Customer ID]]), "New", "Repeat")</f>
        <v>Repeat</v>
      </c>
      <c r="H2958" t="s">
        <v>316</v>
      </c>
      <c r="I2958" t="str">
        <f>INDEX(State!B:B,MATCH(OrdersTable[[#This Row],[State]],State!A:A,0))</f>
        <v>KL</v>
      </c>
      <c r="J2958" t="str">
        <f>INDEX(State!C:C,MATCH(OrdersTable[[#This Row],[State Code]],State!B:B,0))</f>
        <v>South</v>
      </c>
      <c r="K2958" t="s">
        <v>338</v>
      </c>
      <c r="L2958" t="s">
        <v>39</v>
      </c>
      <c r="M2958" t="s">
        <v>125</v>
      </c>
      <c r="N2958" t="str">
        <f>INDEX(Products!B:B,MATCH(OrdersTable[[#This Row],[Product ID]],Products!A:A,0))</f>
        <v>Copper Water Bottle</v>
      </c>
      <c r="O2958" t="str">
        <f>INDEX(Products!C:C,MATCH(OrdersTable[[#This Row],[Product ID]],Products!A:A,0))</f>
        <v>Home &amp; Kitchen</v>
      </c>
      <c r="P2958">
        <v>3</v>
      </c>
      <c r="Q2958" s="5">
        <v>899</v>
      </c>
      <c r="R2958" s="74">
        <v>0.1</v>
      </c>
      <c r="S2958" s="75">
        <f>OrdersTable[[#This Row],[Quantity]]*OrdersTable[[#This Row],[Unit Price]]</f>
        <v>2697</v>
      </c>
      <c r="T2958" s="5">
        <f>OrdersTable[[#This Row],[Gross Sale]]*OrdersTable[[#This Row],[Discount_Clean2]]</f>
        <v>269.7</v>
      </c>
      <c r="U2958" s="5">
        <f>OrdersTable[[#This Row],[Gross Sale]]-OrdersTable[[#This Row],[Discount Amount]]</f>
        <v>2427.3000000000002</v>
      </c>
      <c r="V2958" s="77">
        <f>INDEX(Products!E:E,MATCH(OrdersTable[[#This Row],[Product ID]],Products!A:A,0))</f>
        <v>378</v>
      </c>
      <c r="W2958" s="77">
        <f>OrdersTable[[#This Row],[Quantity]]*OrdersTable[[#This Row],[Unit Cost]]</f>
        <v>1134</v>
      </c>
      <c r="X2958" s="77">
        <f>'Dropdown Lists'!$I$2*(1+OrdersTable[[#This Row],[Returned]])</f>
        <v>60</v>
      </c>
      <c r="Y2958" s="76">
        <f>OrdersTable[[#This Row],[Net Revenue]]-OrdersTable[[#This Row],[COGS]]-OrdersTable[[#This Row],[Shipping Cost]]</f>
        <v>1233.3000000000002</v>
      </c>
      <c r="Z2958" s="78">
        <f>IFERROR(OrdersTable[[#This Row],[Profit]]/OrdersTable[[#This Row],[Net Revenue]],0)</f>
        <v>0.50809541465826236</v>
      </c>
      <c r="AA2958" t="s">
        <v>18</v>
      </c>
      <c r="AB2958" s="79">
        <v>45778</v>
      </c>
      <c r="AC2958">
        <f>OrdersTable[[#This Row],[Delivery Date]]-OrdersTable[[#This Row],[Order Date]]</f>
        <v>3</v>
      </c>
      <c r="AD2958" t="str">
        <f>IF(OrdersTable[[#This Row],[Delivery Days]]&lt;=2, "Express (≤2d)", IF(OrdersTable[[#This Row],[Delivery Days]]&lt;=4, "Standard (3-4d)", "Delayed (5d+)"))</f>
        <v>Standard (3-4d)</v>
      </c>
      <c r="AE2958">
        <v>3</v>
      </c>
      <c r="AF2958">
        <v>0</v>
      </c>
    </row>
    <row r="2959" spans="1:32" ht="15" x14ac:dyDescent="0.35">
      <c r="A2959" t="s">
        <v>1411</v>
      </c>
      <c r="B2959" s="1">
        <v>45775</v>
      </c>
      <c r="C2959">
        <f>YEAR(OrdersTable[[#This Row],[Order Date]])</f>
        <v>2025</v>
      </c>
      <c r="D2959" s="2">
        <f>DATE(YEAR(OrdersTable[[#This Row],[Order Date]]),MONTH(OrdersTable[[#This Row],[Order Date]]),1)</f>
        <v>45748</v>
      </c>
      <c r="E2959">
        <f>MONTH(OrdersTable[[#This Row],[Order Date]])</f>
        <v>4</v>
      </c>
      <c r="F2959" t="s">
        <v>1412</v>
      </c>
      <c r="G2959" t="str">
        <f>IF(OrdersTable[[#This Row],[Order Date]]=_xlfn.MINIFS(Order_Date, Customer_ID, OrdersTable[[#This Row],[Customer ID]]), "New", "Repeat")</f>
        <v>Repeat</v>
      </c>
      <c r="H2959" t="s">
        <v>59</v>
      </c>
      <c r="I2959" t="str">
        <f>INDEX(State!B:B,MATCH(OrdersTable[[#This Row],[State]],State!A:A,0))</f>
        <v>TN</v>
      </c>
      <c r="J2959" t="str">
        <f>INDEX(State!C:C,MATCH(OrdersTable[[#This Row],[State Code]],State!B:B,0))</f>
        <v>South</v>
      </c>
      <c r="K2959" t="s">
        <v>64</v>
      </c>
      <c r="L2959" t="s">
        <v>23</v>
      </c>
      <c r="M2959" t="s">
        <v>109</v>
      </c>
      <c r="N2959" t="str">
        <f>INDEX(Products!B:B,MATCH(OrdersTable[[#This Row],[Product ID]],Products!A:A,0))</f>
        <v>Onion Hair Oil</v>
      </c>
      <c r="O2959" t="str">
        <f>INDEX(Products!C:C,MATCH(OrdersTable[[#This Row],[Product ID]],Products!A:A,0))</f>
        <v>Haircare</v>
      </c>
      <c r="P2959">
        <v>1</v>
      </c>
      <c r="Q2959" s="5">
        <v>349</v>
      </c>
      <c r="R2959" s="74">
        <v>0.35</v>
      </c>
      <c r="S2959" s="75">
        <f>OrdersTable[[#This Row],[Quantity]]*OrdersTable[[#This Row],[Unit Price]]</f>
        <v>349</v>
      </c>
      <c r="T2959" s="5">
        <f>OrdersTable[[#This Row],[Gross Sale]]*OrdersTable[[#This Row],[Discount_Clean2]]</f>
        <v>122.14999999999999</v>
      </c>
      <c r="U2959" s="5">
        <f>OrdersTable[[#This Row],[Gross Sale]]-OrdersTable[[#This Row],[Discount Amount]]</f>
        <v>226.85000000000002</v>
      </c>
      <c r="V2959" s="77">
        <f>INDEX(Products!E:E,MATCH(OrdersTable[[#This Row],[Product ID]],Products!A:A,0))</f>
        <v>105</v>
      </c>
      <c r="W2959" s="77">
        <f>OrdersTable[[#This Row],[Quantity]]*OrdersTable[[#This Row],[Unit Cost]]</f>
        <v>105</v>
      </c>
      <c r="X2959" s="77">
        <f>'Dropdown Lists'!$I$2*(1+OrdersTable[[#This Row],[Returned]])</f>
        <v>60</v>
      </c>
      <c r="Y2959" s="76">
        <f>OrdersTable[[#This Row],[Net Revenue]]-OrdersTable[[#This Row],[COGS]]-OrdersTable[[#This Row],[Shipping Cost]]</f>
        <v>61.850000000000023</v>
      </c>
      <c r="Z2959" s="78">
        <f>IFERROR(OrdersTable[[#This Row],[Profit]]/OrdersTable[[#This Row],[Net Revenue]],0)</f>
        <v>0.27264712364998905</v>
      </c>
      <c r="AA2959" t="s">
        <v>18</v>
      </c>
      <c r="AB2959" s="79">
        <v>45778</v>
      </c>
      <c r="AC2959">
        <f>OrdersTable[[#This Row],[Delivery Date]]-OrdersTable[[#This Row],[Order Date]]</f>
        <v>3</v>
      </c>
      <c r="AD2959" t="str">
        <f>IF(OrdersTable[[#This Row],[Delivery Days]]&lt;=2, "Express (≤2d)", IF(OrdersTable[[#This Row],[Delivery Days]]&lt;=4, "Standard (3-4d)", "Delayed (5d+)"))</f>
        <v>Standard (3-4d)</v>
      </c>
      <c r="AF2959">
        <v>0</v>
      </c>
    </row>
    <row r="2960" spans="1:32" ht="15" x14ac:dyDescent="0.35">
      <c r="A2960" t="s">
        <v>3627</v>
      </c>
      <c r="B2960" s="1">
        <v>45776</v>
      </c>
      <c r="C2960">
        <f>YEAR(OrdersTable[[#This Row],[Order Date]])</f>
        <v>2025</v>
      </c>
      <c r="D2960" s="2">
        <f>DATE(YEAR(OrdersTable[[#This Row],[Order Date]]),MONTH(OrdersTable[[#This Row],[Order Date]]),1)</f>
        <v>45748</v>
      </c>
      <c r="E2960">
        <f>MONTH(OrdersTable[[#This Row],[Order Date]])</f>
        <v>4</v>
      </c>
      <c r="F2960" t="s">
        <v>3628</v>
      </c>
      <c r="G2960" t="str">
        <f>IF(OrdersTable[[#This Row],[Order Date]]=_xlfn.MINIFS(Order_Date, Customer_ID, OrdersTable[[#This Row],[Customer ID]]), "New", "Repeat")</f>
        <v>New</v>
      </c>
      <c r="H2960" t="s">
        <v>54</v>
      </c>
      <c r="I2960" t="str">
        <f>INDEX(State!B:B,MATCH(OrdersTable[[#This Row],[State]],State!A:A,0))</f>
        <v>RJ</v>
      </c>
      <c r="J2960" t="str">
        <f>INDEX(State!C:C,MATCH(OrdersTable[[#This Row],[State Code]],State!B:B,0))</f>
        <v>North</v>
      </c>
      <c r="K2960" t="s">
        <v>227</v>
      </c>
      <c r="L2960" t="s">
        <v>23</v>
      </c>
      <c r="M2960" t="s">
        <v>56</v>
      </c>
      <c r="N2960" t="str">
        <f>INDEX(Products!B:B,MATCH(OrdersTable[[#This Row],[Product ID]],Products!A:A,0))</f>
        <v>Vitamin C Face Serum</v>
      </c>
      <c r="O2960" t="str">
        <f>INDEX(Products!C:C,MATCH(OrdersTable[[#This Row],[Product ID]],Products!A:A,0))</f>
        <v>Skincare</v>
      </c>
      <c r="P2960">
        <v>1</v>
      </c>
      <c r="Q2960" s="5">
        <v>599</v>
      </c>
      <c r="R2960" s="74">
        <v>0.2</v>
      </c>
      <c r="S2960" s="75">
        <f>OrdersTable[[#This Row],[Quantity]]*OrdersTable[[#This Row],[Unit Price]]</f>
        <v>599</v>
      </c>
      <c r="T2960" s="5">
        <f>OrdersTable[[#This Row],[Gross Sale]]*OrdersTable[[#This Row],[Discount_Clean2]]</f>
        <v>119.80000000000001</v>
      </c>
      <c r="U2960" s="5">
        <f>OrdersTable[[#This Row],[Gross Sale]]-OrdersTable[[#This Row],[Discount Amount]]</f>
        <v>479.2</v>
      </c>
      <c r="V2960" s="77">
        <f>INDEX(Products!E:E,MATCH(OrdersTable[[#This Row],[Product ID]],Products!A:A,0))</f>
        <v>180</v>
      </c>
      <c r="W2960" s="77">
        <f>OrdersTable[[#This Row],[Quantity]]*OrdersTable[[#This Row],[Unit Cost]]</f>
        <v>180</v>
      </c>
      <c r="X2960" s="77">
        <f>'Dropdown Lists'!$I$2*(1+OrdersTable[[#This Row],[Returned]])</f>
        <v>60</v>
      </c>
      <c r="Y2960" s="76">
        <f>OrdersTable[[#This Row],[Net Revenue]]-OrdersTable[[#This Row],[COGS]]-OrdersTable[[#This Row],[Shipping Cost]]</f>
        <v>239.2</v>
      </c>
      <c r="Z2960" s="78">
        <f>IFERROR(OrdersTable[[#This Row],[Profit]]/OrdersTable[[#This Row],[Net Revenue]],0)</f>
        <v>0.4991652754590985</v>
      </c>
      <c r="AA2960" t="s">
        <v>3495</v>
      </c>
      <c r="AB2960" s="79">
        <v>45778</v>
      </c>
      <c r="AC2960">
        <f>OrdersTable[[#This Row],[Delivery Date]]-OrdersTable[[#This Row],[Order Date]]</f>
        <v>2</v>
      </c>
      <c r="AD2960" t="str">
        <f>IF(OrdersTable[[#This Row],[Delivery Days]]&lt;=2, "Express (≤2d)", IF(OrdersTable[[#This Row],[Delivery Days]]&lt;=4, "Standard (3-4d)", "Delayed (5d+)"))</f>
        <v>Express (≤2d)</v>
      </c>
      <c r="AE2960">
        <v>4</v>
      </c>
      <c r="AF2960">
        <v>0</v>
      </c>
    </row>
    <row r="2961" spans="1:32" ht="15" x14ac:dyDescent="0.35">
      <c r="A2961" t="s">
        <v>1740</v>
      </c>
      <c r="B2961" s="1">
        <v>45776</v>
      </c>
      <c r="C2961">
        <f>YEAR(OrdersTable[[#This Row],[Order Date]])</f>
        <v>2025</v>
      </c>
      <c r="D2961" s="2">
        <f>DATE(YEAR(OrdersTable[[#This Row],[Order Date]]),MONTH(OrdersTable[[#This Row],[Order Date]]),1)</f>
        <v>45748</v>
      </c>
      <c r="E2961">
        <f>MONTH(OrdersTable[[#This Row],[Order Date]])</f>
        <v>4</v>
      </c>
      <c r="F2961" t="s">
        <v>652</v>
      </c>
      <c r="G2961" t="str">
        <f>IF(OrdersTable[[#This Row],[Order Date]]=_xlfn.MINIFS(Order_Date, Customer_ID, OrdersTable[[#This Row],[Customer ID]]), "New", "Repeat")</f>
        <v>Repeat</v>
      </c>
      <c r="H2961" t="s">
        <v>128</v>
      </c>
      <c r="I2961" t="str">
        <f>INDEX(State!B:B,MATCH(OrdersTable[[#This Row],[State]],State!A:A,0))</f>
        <v>DL</v>
      </c>
      <c r="J2961" t="str">
        <f>INDEX(State!C:C,MATCH(OrdersTable[[#This Row],[State Code]],State!B:B,0))</f>
        <v>North</v>
      </c>
      <c r="K2961" t="s">
        <v>129</v>
      </c>
      <c r="L2961" t="s">
        <v>65</v>
      </c>
      <c r="M2961" t="s">
        <v>106</v>
      </c>
      <c r="N2961" t="str">
        <f>INDEX(Products!B:B,MATCH(OrdersTable[[#This Row],[Product ID]],Products!A:A,0))</f>
        <v>Keratin Hair Mask</v>
      </c>
      <c r="O2961" t="str">
        <f>INDEX(Products!C:C,MATCH(OrdersTable[[#This Row],[Product ID]],Products!A:A,0))</f>
        <v>Haircare</v>
      </c>
      <c r="P2961">
        <v>1</v>
      </c>
      <c r="Q2961" s="5">
        <v>549</v>
      </c>
      <c r="R2961" s="74">
        <v>0.2</v>
      </c>
      <c r="S2961" s="75">
        <f>OrdersTable[[#This Row],[Quantity]]*OrdersTable[[#This Row],[Unit Price]]</f>
        <v>549</v>
      </c>
      <c r="T2961" s="5">
        <f>OrdersTable[[#This Row],[Gross Sale]]*OrdersTable[[#This Row],[Discount_Clean2]]</f>
        <v>109.80000000000001</v>
      </c>
      <c r="U2961" s="5">
        <f>OrdersTable[[#This Row],[Gross Sale]]-OrdersTable[[#This Row],[Discount Amount]]</f>
        <v>439.2</v>
      </c>
      <c r="V2961" s="77">
        <f>INDEX(Products!E:E,MATCH(OrdersTable[[#This Row],[Product ID]],Products!A:A,0))</f>
        <v>170</v>
      </c>
      <c r="W2961" s="77">
        <f>OrdersTable[[#This Row],[Quantity]]*OrdersTable[[#This Row],[Unit Cost]]</f>
        <v>170</v>
      </c>
      <c r="X2961" s="77">
        <f>'Dropdown Lists'!$I$2*(1+OrdersTable[[#This Row],[Returned]])</f>
        <v>60</v>
      </c>
      <c r="Y2961" s="76">
        <f>OrdersTable[[#This Row],[Net Revenue]]-OrdersTable[[#This Row],[COGS]]-OrdersTable[[#This Row],[Shipping Cost]]</f>
        <v>209.2</v>
      </c>
      <c r="Z2961" s="78">
        <f>IFERROR(OrdersTable[[#This Row],[Profit]]/OrdersTable[[#This Row],[Net Revenue]],0)</f>
        <v>0.47632058287795992</v>
      </c>
      <c r="AA2961" t="s">
        <v>18</v>
      </c>
      <c r="AB2961" s="79">
        <v>45779</v>
      </c>
      <c r="AC2961">
        <f>OrdersTable[[#This Row],[Delivery Date]]-OrdersTable[[#This Row],[Order Date]]</f>
        <v>3</v>
      </c>
      <c r="AD2961" t="str">
        <f>IF(OrdersTable[[#This Row],[Delivery Days]]&lt;=2, "Express (≤2d)", IF(OrdersTable[[#This Row],[Delivery Days]]&lt;=4, "Standard (3-4d)", "Delayed (5d+)"))</f>
        <v>Standard (3-4d)</v>
      </c>
      <c r="AF2961">
        <v>0</v>
      </c>
    </row>
    <row r="2962" spans="1:32" ht="15" x14ac:dyDescent="0.35">
      <c r="A2962" t="s">
        <v>1413</v>
      </c>
      <c r="B2962" s="1">
        <v>45776</v>
      </c>
      <c r="C2962">
        <f>YEAR(OrdersTable[[#This Row],[Order Date]])</f>
        <v>2025</v>
      </c>
      <c r="D2962" s="2">
        <f>DATE(YEAR(OrdersTable[[#This Row],[Order Date]]),MONTH(OrdersTable[[#This Row],[Order Date]]),1)</f>
        <v>45748</v>
      </c>
      <c r="E2962">
        <f>MONTH(OrdersTable[[#This Row],[Order Date]])</f>
        <v>4</v>
      </c>
      <c r="F2962" t="s">
        <v>1414</v>
      </c>
      <c r="G2962" t="str">
        <f>IF(OrdersTable[[#This Row],[Order Date]]=_xlfn.MINIFS(Order_Date, Customer_ID, OrdersTable[[#This Row],[Customer ID]]), "New", "Repeat")</f>
        <v>Repeat</v>
      </c>
      <c r="H2962" t="s">
        <v>43</v>
      </c>
      <c r="I2962" t="str">
        <f>INDEX(State!B:B,MATCH(OrdersTable[[#This Row],[State]],State!A:A,0))</f>
        <v>MP</v>
      </c>
      <c r="J2962" t="str">
        <f>INDEX(State!C:C,MATCH(OrdersTable[[#This Row],[State Code]],State!B:B,0))</f>
        <v>West</v>
      </c>
      <c r="K2962" t="s">
        <v>44</v>
      </c>
      <c r="L2962" t="s">
        <v>23</v>
      </c>
      <c r="M2962" t="s">
        <v>34</v>
      </c>
      <c r="N2962" t="str">
        <f>INDEX(Products!B:B,MATCH(OrdersTable[[#This Row],[Product ID]],Products!A:A,0))</f>
        <v>Flip Flops</v>
      </c>
      <c r="O2962" t="str">
        <f>INDEX(Products!C:C,MATCH(OrdersTable[[#This Row],[Product ID]],Products!A:A,0))</f>
        <v>Footwear</v>
      </c>
      <c r="P2962">
        <v>1</v>
      </c>
      <c r="Q2962" s="5">
        <v>399</v>
      </c>
      <c r="R2962" s="74">
        <v>0.05</v>
      </c>
      <c r="S2962" s="75">
        <f>OrdersTable[[#This Row],[Quantity]]*OrdersTable[[#This Row],[Unit Price]]</f>
        <v>399</v>
      </c>
      <c r="T2962" s="5">
        <f>OrdersTable[[#This Row],[Gross Sale]]*OrdersTable[[#This Row],[Discount_Clean2]]</f>
        <v>19.950000000000003</v>
      </c>
      <c r="U2962" s="5">
        <f>OrdersTable[[#This Row],[Gross Sale]]-OrdersTable[[#This Row],[Discount Amount]]</f>
        <v>379.05</v>
      </c>
      <c r="V2962" s="77">
        <f>INDEX(Products!E:E,MATCH(OrdersTable[[#This Row],[Product ID]],Products!A:A,0))</f>
        <v>152</v>
      </c>
      <c r="W2962" s="77">
        <f>OrdersTable[[#This Row],[Quantity]]*OrdersTable[[#This Row],[Unit Cost]]</f>
        <v>152</v>
      </c>
      <c r="X2962" s="77">
        <f>'Dropdown Lists'!$I$2*(1+OrdersTable[[#This Row],[Returned]])</f>
        <v>60</v>
      </c>
      <c r="Y2962" s="76">
        <f>OrdersTable[[#This Row],[Net Revenue]]-OrdersTable[[#This Row],[COGS]]-OrdersTable[[#This Row],[Shipping Cost]]</f>
        <v>167.05</v>
      </c>
      <c r="Z2962" s="78">
        <f>IFERROR(OrdersTable[[#This Row],[Profit]]/OrdersTable[[#This Row],[Net Revenue]],0)</f>
        <v>0.44070703073473161</v>
      </c>
      <c r="AA2962" t="s">
        <v>18</v>
      </c>
      <c r="AB2962" s="79">
        <v>45778</v>
      </c>
      <c r="AC2962">
        <f>OrdersTable[[#This Row],[Delivery Date]]-OrdersTable[[#This Row],[Order Date]]</f>
        <v>2</v>
      </c>
      <c r="AD2962" t="str">
        <f>IF(OrdersTable[[#This Row],[Delivery Days]]&lt;=2, "Express (≤2d)", IF(OrdersTable[[#This Row],[Delivery Days]]&lt;=4, "Standard (3-4d)", "Delayed (5d+)"))</f>
        <v>Express (≤2d)</v>
      </c>
      <c r="AF2962">
        <v>0</v>
      </c>
    </row>
    <row r="2963" spans="1:32" ht="15" x14ac:dyDescent="0.35">
      <c r="A2963" t="s">
        <v>5191</v>
      </c>
      <c r="B2963" s="1">
        <v>45776</v>
      </c>
      <c r="C2963">
        <f>YEAR(OrdersTable[[#This Row],[Order Date]])</f>
        <v>2025</v>
      </c>
      <c r="D2963" s="2">
        <f>DATE(YEAR(OrdersTable[[#This Row],[Order Date]]),MONTH(OrdersTable[[#This Row],[Order Date]]),1)</f>
        <v>45748</v>
      </c>
      <c r="E2963">
        <f>MONTH(OrdersTable[[#This Row],[Order Date]])</f>
        <v>4</v>
      </c>
      <c r="F2963" t="s">
        <v>5192</v>
      </c>
      <c r="G2963" t="str">
        <f>IF(OrdersTable[[#This Row],[Order Date]]=_xlfn.MINIFS(Order_Date, Customer_ID, OrdersTable[[#This Row],[Customer ID]]), "New", "Repeat")</f>
        <v>New</v>
      </c>
      <c r="H2963" t="s">
        <v>27</v>
      </c>
      <c r="I2963" t="str">
        <f>INDEX(State!B:B,MATCH(OrdersTable[[#This Row],[State]],State!A:A,0))</f>
        <v>WB</v>
      </c>
      <c r="J2963" t="str">
        <f>INDEX(State!C:C,MATCH(OrdersTable[[#This Row],[State Code]],State!B:B,0))</f>
        <v>East</v>
      </c>
      <c r="K2963" t="s">
        <v>28</v>
      </c>
      <c r="L2963" t="s">
        <v>65</v>
      </c>
      <c r="M2963" t="s">
        <v>87</v>
      </c>
      <c r="N2963" t="str">
        <f>INDEX(Products!B:B,MATCH(OrdersTable[[#This Row],[Product ID]],Products!A:A,0))</f>
        <v>Linen Kurta</v>
      </c>
      <c r="O2963" t="str">
        <f>INDEX(Products!C:C,MATCH(OrdersTable[[#This Row],[Product ID]],Products!A:A,0))</f>
        <v>Apparel</v>
      </c>
      <c r="P2963">
        <v>2</v>
      </c>
      <c r="Q2963" s="5">
        <v>1499</v>
      </c>
      <c r="R2963" s="74">
        <v>0.35</v>
      </c>
      <c r="S2963" s="75">
        <f>OrdersTable[[#This Row],[Quantity]]*OrdersTable[[#This Row],[Unit Price]]</f>
        <v>2998</v>
      </c>
      <c r="T2963" s="5">
        <f>OrdersTable[[#This Row],[Gross Sale]]*OrdersTable[[#This Row],[Discount_Clean2]]</f>
        <v>1049.3</v>
      </c>
      <c r="U2963" s="5">
        <f>OrdersTable[[#This Row],[Gross Sale]]-OrdersTable[[#This Row],[Discount Amount]]</f>
        <v>1948.7</v>
      </c>
      <c r="V2963" s="77">
        <f>INDEX(Products!E:E,MATCH(OrdersTable[[#This Row],[Product ID]],Products!A:A,0))</f>
        <v>630</v>
      </c>
      <c r="W2963" s="77">
        <f>OrdersTable[[#This Row],[Quantity]]*OrdersTable[[#This Row],[Unit Cost]]</f>
        <v>1260</v>
      </c>
      <c r="X2963" s="77">
        <f>'Dropdown Lists'!$I$2*(1+OrdersTable[[#This Row],[Returned]])</f>
        <v>120</v>
      </c>
      <c r="Y2963" s="76">
        <f>OrdersTable[[#This Row],[Net Revenue]]-OrdersTable[[#This Row],[COGS]]-OrdersTable[[#This Row],[Shipping Cost]]</f>
        <v>568.70000000000005</v>
      </c>
      <c r="Z2963" s="78">
        <f>IFERROR(OrdersTable[[#This Row],[Profit]]/OrdersTable[[#This Row],[Net Revenue]],0)</f>
        <v>0.29183558269615645</v>
      </c>
      <c r="AA2963" t="s">
        <v>3495</v>
      </c>
      <c r="AB2963" s="79">
        <v>45781</v>
      </c>
      <c r="AC2963">
        <f>OrdersTable[[#This Row],[Delivery Date]]-OrdersTable[[#This Row],[Order Date]]</f>
        <v>5</v>
      </c>
      <c r="AD2963" t="str">
        <f>IF(OrdersTable[[#This Row],[Delivery Days]]&lt;=2, "Express (≤2d)", IF(OrdersTable[[#This Row],[Delivery Days]]&lt;=4, "Standard (3-4d)", "Delayed (5d+)"))</f>
        <v>Delayed (5d+)</v>
      </c>
      <c r="AE2963">
        <v>4</v>
      </c>
      <c r="AF2963">
        <v>1</v>
      </c>
    </row>
    <row r="2964" spans="1:32" ht="15" x14ac:dyDescent="0.35">
      <c r="A2964" t="s">
        <v>1088</v>
      </c>
      <c r="B2964" s="1">
        <v>45776</v>
      </c>
      <c r="C2964">
        <f>YEAR(OrdersTable[[#This Row],[Order Date]])</f>
        <v>2025</v>
      </c>
      <c r="D2964" s="2">
        <f>DATE(YEAR(OrdersTable[[#This Row],[Order Date]]),MONTH(OrdersTable[[#This Row],[Order Date]]),1)</f>
        <v>45748</v>
      </c>
      <c r="E2964">
        <f>MONTH(OrdersTable[[#This Row],[Order Date]])</f>
        <v>4</v>
      </c>
      <c r="F2964" t="s">
        <v>1089</v>
      </c>
      <c r="G2964" t="str">
        <f>IF(OrdersTable[[#This Row],[Order Date]]=_xlfn.MINIFS(Order_Date, Customer_ID, OrdersTable[[#This Row],[Customer ID]]), "New", "Repeat")</f>
        <v>Repeat</v>
      </c>
      <c r="H2964" t="s">
        <v>90</v>
      </c>
      <c r="I2964" t="str">
        <f>INDEX(State!B:B,MATCH(OrdersTable[[#This Row],[State]],State!A:A,0))</f>
        <v>GA</v>
      </c>
      <c r="J2964" t="str">
        <f>INDEX(State!C:C,MATCH(OrdersTable[[#This Row],[State Code]],State!B:B,0))</f>
        <v>West</v>
      </c>
      <c r="K2964" t="s">
        <v>91</v>
      </c>
      <c r="L2964" t="s">
        <v>65</v>
      </c>
      <c r="M2964" t="s">
        <v>179</v>
      </c>
      <c r="N2964" t="str">
        <f>INDEX(Products!B:B,MATCH(OrdersTable[[#This Row],[Product ID]],Products!A:A,0))</f>
        <v>Whey Protein 1kg</v>
      </c>
      <c r="O2964" t="str">
        <f>INDEX(Products!C:C,MATCH(OrdersTable[[#This Row],[Product ID]],Products!A:A,0))</f>
        <v>Wellness</v>
      </c>
      <c r="P2964">
        <v>1</v>
      </c>
      <c r="Q2964" s="5">
        <v>2299</v>
      </c>
      <c r="R2964" s="74">
        <v>0.3</v>
      </c>
      <c r="S2964" s="75">
        <f>OrdersTable[[#This Row],[Quantity]]*OrdersTable[[#This Row],[Unit Price]]</f>
        <v>2299</v>
      </c>
      <c r="T2964" s="5">
        <f>OrdersTable[[#This Row],[Gross Sale]]*OrdersTable[[#This Row],[Discount_Clean2]]</f>
        <v>689.69999999999993</v>
      </c>
      <c r="U2964" s="5">
        <f>OrdersTable[[#This Row],[Gross Sale]]-OrdersTable[[#This Row],[Discount Amount]]</f>
        <v>1609.3000000000002</v>
      </c>
      <c r="V2964" s="77">
        <f>INDEX(Products!E:E,MATCH(OrdersTable[[#This Row],[Product ID]],Products!A:A,0))</f>
        <v>1333</v>
      </c>
      <c r="W2964" s="77">
        <f>OrdersTable[[#This Row],[Quantity]]*OrdersTable[[#This Row],[Unit Cost]]</f>
        <v>1333</v>
      </c>
      <c r="X2964" s="77">
        <f>'Dropdown Lists'!$I$2*(1+OrdersTable[[#This Row],[Returned]])</f>
        <v>120</v>
      </c>
      <c r="Y2964" s="76">
        <f>OrdersTable[[#This Row],[Net Revenue]]-OrdersTable[[#This Row],[COGS]]-OrdersTable[[#This Row],[Shipping Cost]]</f>
        <v>156.30000000000018</v>
      </c>
      <c r="Z2964" s="78">
        <f>IFERROR(OrdersTable[[#This Row],[Profit]]/OrdersTable[[#This Row],[Net Revenue]],0)</f>
        <v>9.7122972721058951E-2</v>
      </c>
      <c r="AA2964" t="s">
        <v>18</v>
      </c>
      <c r="AB2964" s="79">
        <v>45780</v>
      </c>
      <c r="AC2964">
        <f>OrdersTable[[#This Row],[Delivery Date]]-OrdersTable[[#This Row],[Order Date]]</f>
        <v>4</v>
      </c>
      <c r="AD2964" t="str">
        <f>IF(OrdersTable[[#This Row],[Delivery Days]]&lt;=2, "Express (≤2d)", IF(OrdersTable[[#This Row],[Delivery Days]]&lt;=4, "Standard (3-4d)", "Delayed (5d+)"))</f>
        <v>Standard (3-4d)</v>
      </c>
      <c r="AE2964">
        <v>4</v>
      </c>
      <c r="AF2964">
        <v>1</v>
      </c>
    </row>
    <row r="2965" spans="1:32" ht="15" x14ac:dyDescent="0.35">
      <c r="A2965" t="s">
        <v>1276</v>
      </c>
      <c r="B2965" s="1">
        <v>45776</v>
      </c>
      <c r="C2965">
        <f>YEAR(OrdersTable[[#This Row],[Order Date]])</f>
        <v>2025</v>
      </c>
      <c r="D2965" s="2">
        <f>DATE(YEAR(OrdersTable[[#This Row],[Order Date]]),MONTH(OrdersTable[[#This Row],[Order Date]]),1)</f>
        <v>45748</v>
      </c>
      <c r="E2965">
        <f>MONTH(OrdersTable[[#This Row],[Order Date]])</f>
        <v>4</v>
      </c>
      <c r="F2965" t="s">
        <v>1277</v>
      </c>
      <c r="G2965" t="str">
        <f>IF(OrdersTable[[#This Row],[Order Date]]=_xlfn.MINIFS(Order_Date, Customer_ID, OrdersTable[[#This Row],[Customer ID]]), "New", "Repeat")</f>
        <v>Repeat</v>
      </c>
      <c r="H2965" t="s">
        <v>167</v>
      </c>
      <c r="I2965" t="str">
        <f>INDEX(State!B:B,MATCH(OrdersTable[[#This Row],[State]],State!A:A,0))</f>
        <v>KA</v>
      </c>
      <c r="J2965" t="str">
        <f>INDEX(State!C:C,MATCH(OrdersTable[[#This Row],[State Code]],State!B:B,0))</f>
        <v>South</v>
      </c>
      <c r="K2965" t="s">
        <v>190</v>
      </c>
      <c r="L2965" t="s">
        <v>16</v>
      </c>
      <c r="M2965" t="s">
        <v>92</v>
      </c>
      <c r="N2965" t="str">
        <f>INDEX(Products!B:B,MATCH(OrdersTable[[#This Row],[Product ID]],Products!A:A,0))</f>
        <v>Kolhapuri Sandals</v>
      </c>
      <c r="O2965" t="str">
        <f>INDEX(Products!C:C,MATCH(OrdersTable[[#This Row],[Product ID]],Products!A:A,0))</f>
        <v>Footwear</v>
      </c>
      <c r="P2965">
        <v>1</v>
      </c>
      <c r="Q2965" s="5">
        <v>999</v>
      </c>
      <c r="R2965" s="74">
        <v>0.05</v>
      </c>
      <c r="S2965" s="75">
        <f>OrdersTable[[#This Row],[Quantity]]*OrdersTable[[#This Row],[Unit Price]]</f>
        <v>999</v>
      </c>
      <c r="T2965" s="5">
        <f>OrdersTable[[#This Row],[Gross Sale]]*OrdersTable[[#This Row],[Discount_Clean2]]</f>
        <v>49.95</v>
      </c>
      <c r="U2965" s="5">
        <f>OrdersTable[[#This Row],[Gross Sale]]-OrdersTable[[#This Row],[Discount Amount]]</f>
        <v>949.05</v>
      </c>
      <c r="V2965" s="77">
        <f>INDEX(Products!E:E,MATCH(OrdersTable[[#This Row],[Product ID]],Products!A:A,0))</f>
        <v>400</v>
      </c>
      <c r="W2965" s="77">
        <f>OrdersTable[[#This Row],[Quantity]]*OrdersTable[[#This Row],[Unit Cost]]</f>
        <v>400</v>
      </c>
      <c r="X2965" s="77">
        <f>'Dropdown Lists'!$I$2*(1+OrdersTable[[#This Row],[Returned]])</f>
        <v>60</v>
      </c>
      <c r="Y2965" s="76">
        <f>OrdersTable[[#This Row],[Net Revenue]]-OrdersTable[[#This Row],[COGS]]-OrdersTable[[#This Row],[Shipping Cost]]</f>
        <v>489.04999999999995</v>
      </c>
      <c r="Z2965" s="78">
        <f>IFERROR(OrdersTable[[#This Row],[Profit]]/OrdersTable[[#This Row],[Net Revenue]],0)</f>
        <v>0.5153047784626732</v>
      </c>
      <c r="AA2965" t="s">
        <v>18</v>
      </c>
      <c r="AB2965" s="79">
        <v>45777</v>
      </c>
      <c r="AC2965">
        <f>OrdersTable[[#This Row],[Delivery Date]]-OrdersTable[[#This Row],[Order Date]]</f>
        <v>1</v>
      </c>
      <c r="AD2965" t="str">
        <f>IF(OrdersTable[[#This Row],[Delivery Days]]&lt;=2, "Express (≤2d)", IF(OrdersTable[[#This Row],[Delivery Days]]&lt;=4, "Standard (3-4d)", "Delayed (5d+)"))</f>
        <v>Express (≤2d)</v>
      </c>
      <c r="AF2965">
        <v>0</v>
      </c>
    </row>
    <row r="2966" spans="1:32" ht="15" x14ac:dyDescent="0.35">
      <c r="A2966" t="s">
        <v>6585</v>
      </c>
      <c r="B2966" s="1">
        <v>45776</v>
      </c>
      <c r="C2966">
        <f>YEAR(OrdersTable[[#This Row],[Order Date]])</f>
        <v>2025</v>
      </c>
      <c r="D2966" s="2">
        <f>DATE(YEAR(OrdersTable[[#This Row],[Order Date]]),MONTH(OrdersTable[[#This Row],[Order Date]]),1)</f>
        <v>45748</v>
      </c>
      <c r="E2966">
        <f>MONTH(OrdersTable[[#This Row],[Order Date]])</f>
        <v>4</v>
      </c>
      <c r="F2966" t="s">
        <v>323</v>
      </c>
      <c r="G2966" t="str">
        <f>IF(OrdersTable[[#This Row],[Order Date]]=_xlfn.MINIFS(Order_Date, Customer_ID, OrdersTable[[#This Row],[Customer ID]]), "New", "Repeat")</f>
        <v>Repeat</v>
      </c>
      <c r="H2966" t="s">
        <v>275</v>
      </c>
      <c r="I2966" t="str">
        <f>INDEX(State!B:B,MATCH(OrdersTable[[#This Row],[State]],State!A:A,0))</f>
        <v>AP</v>
      </c>
      <c r="J2966" t="str">
        <f>INDEX(State!C:C,MATCH(OrdersTable[[#This Row],[State Code]],State!B:B,0))</f>
        <v>South</v>
      </c>
      <c r="K2966" t="s">
        <v>276</v>
      </c>
      <c r="L2966" t="s">
        <v>39</v>
      </c>
      <c r="M2966" t="s">
        <v>73</v>
      </c>
      <c r="N2966" t="str">
        <f>INDEX(Products!B:B,MATCH(OrdersTable[[#This Row],[Product ID]],Products!A:A,0))</f>
        <v>Hydrating Face Wash</v>
      </c>
      <c r="O2966" t="str">
        <f>INDEX(Products!C:C,MATCH(OrdersTable[[#This Row],[Product ID]],Products!A:A,0))</f>
        <v>Skincare</v>
      </c>
      <c r="P2966">
        <v>3</v>
      </c>
      <c r="Q2966" s="5">
        <v>299</v>
      </c>
      <c r="R2966" s="74">
        <v>0.05</v>
      </c>
      <c r="S2966" s="75">
        <f>OrdersTable[[#This Row],[Quantity]]*OrdersTable[[#This Row],[Unit Price]]</f>
        <v>897</v>
      </c>
      <c r="T2966" s="5">
        <f>OrdersTable[[#This Row],[Gross Sale]]*OrdersTable[[#This Row],[Discount_Clean2]]</f>
        <v>44.85</v>
      </c>
      <c r="U2966" s="5">
        <f>OrdersTable[[#This Row],[Gross Sale]]-OrdersTable[[#This Row],[Discount Amount]]</f>
        <v>852.15</v>
      </c>
      <c r="V2966" s="77">
        <f>INDEX(Products!E:E,MATCH(OrdersTable[[#This Row],[Product ID]],Products!A:A,0))</f>
        <v>90</v>
      </c>
      <c r="W2966" s="77">
        <f>OrdersTable[[#This Row],[Quantity]]*OrdersTable[[#This Row],[Unit Cost]]</f>
        <v>270</v>
      </c>
      <c r="X2966" s="77">
        <f>'Dropdown Lists'!$I$2*(1+OrdersTable[[#This Row],[Returned]])</f>
        <v>60</v>
      </c>
      <c r="Y2966" s="76">
        <f>OrdersTable[[#This Row],[Net Revenue]]-OrdersTable[[#This Row],[COGS]]-OrdersTable[[#This Row],[Shipping Cost]]</f>
        <v>522.15</v>
      </c>
      <c r="Z2966" s="78">
        <f>IFERROR(OrdersTable[[#This Row],[Profit]]/OrdersTable[[#This Row],[Net Revenue]],0)</f>
        <v>0.61274423516986443</v>
      </c>
      <c r="AA2966" t="s">
        <v>18</v>
      </c>
      <c r="AB2966" s="79">
        <v>45781</v>
      </c>
      <c r="AC2966">
        <f>OrdersTable[[#This Row],[Delivery Date]]-OrdersTable[[#This Row],[Order Date]]</f>
        <v>5</v>
      </c>
      <c r="AD2966" t="str">
        <f>IF(OrdersTable[[#This Row],[Delivery Days]]&lt;=2, "Express (≤2d)", IF(OrdersTable[[#This Row],[Delivery Days]]&lt;=4, "Standard (3-4d)", "Delayed (5d+)"))</f>
        <v>Delayed (5d+)</v>
      </c>
      <c r="AE2966">
        <v>3</v>
      </c>
      <c r="AF2966">
        <v>0</v>
      </c>
    </row>
    <row r="2967" spans="1:32" ht="15" x14ac:dyDescent="0.35">
      <c r="A2967" t="s">
        <v>1556</v>
      </c>
      <c r="B2967" s="1">
        <v>45776</v>
      </c>
      <c r="C2967">
        <f>YEAR(OrdersTable[[#This Row],[Order Date]])</f>
        <v>2025</v>
      </c>
      <c r="D2967" s="2">
        <f>DATE(YEAR(OrdersTable[[#This Row],[Order Date]]),MONTH(OrdersTable[[#This Row],[Order Date]]),1)</f>
        <v>45748</v>
      </c>
      <c r="E2967">
        <f>MONTH(OrdersTable[[#This Row],[Order Date]])</f>
        <v>4</v>
      </c>
      <c r="F2967" t="s">
        <v>1557</v>
      </c>
      <c r="G2967" t="str">
        <f>IF(OrdersTable[[#This Row],[Order Date]]=_xlfn.MINIFS(Order_Date, Customer_ID, OrdersTable[[#This Row],[Customer ID]]), "New", "Repeat")</f>
        <v>Repeat</v>
      </c>
      <c r="H2967" t="s">
        <v>59</v>
      </c>
      <c r="I2967" t="str">
        <f>INDEX(State!B:B,MATCH(OrdersTable[[#This Row],[State]],State!A:A,0))</f>
        <v>TN</v>
      </c>
      <c r="J2967" t="str">
        <f>INDEX(State!C:C,MATCH(OrdersTable[[#This Row],[State Code]],State!B:B,0))</f>
        <v>South</v>
      </c>
      <c r="K2967" t="s">
        <v>60</v>
      </c>
      <c r="L2967" t="s">
        <v>39</v>
      </c>
      <c r="M2967" t="s">
        <v>34</v>
      </c>
      <c r="N2967" t="str">
        <f>INDEX(Products!B:B,MATCH(OrdersTable[[#This Row],[Product ID]],Products!A:A,0))</f>
        <v>Flip Flops</v>
      </c>
      <c r="O2967" t="str">
        <f>INDEX(Products!C:C,MATCH(OrdersTable[[#This Row],[Product ID]],Products!A:A,0))</f>
        <v>Footwear</v>
      </c>
      <c r="P2967">
        <v>1</v>
      </c>
      <c r="Q2967" s="5">
        <v>399</v>
      </c>
      <c r="R2967" s="74">
        <v>0.15</v>
      </c>
      <c r="S2967" s="75">
        <f>OrdersTable[[#This Row],[Quantity]]*OrdersTable[[#This Row],[Unit Price]]</f>
        <v>399</v>
      </c>
      <c r="T2967" s="5">
        <f>OrdersTable[[#This Row],[Gross Sale]]*OrdersTable[[#This Row],[Discount_Clean2]]</f>
        <v>59.849999999999994</v>
      </c>
      <c r="U2967" s="5">
        <f>OrdersTable[[#This Row],[Gross Sale]]-OrdersTable[[#This Row],[Discount Amount]]</f>
        <v>339.15</v>
      </c>
      <c r="V2967" s="77">
        <f>INDEX(Products!E:E,MATCH(OrdersTable[[#This Row],[Product ID]],Products!A:A,0))</f>
        <v>152</v>
      </c>
      <c r="W2967" s="77">
        <f>OrdersTable[[#This Row],[Quantity]]*OrdersTable[[#This Row],[Unit Cost]]</f>
        <v>152</v>
      </c>
      <c r="X2967" s="77">
        <f>'Dropdown Lists'!$I$2*(1+OrdersTable[[#This Row],[Returned]])</f>
        <v>60</v>
      </c>
      <c r="Y2967" s="76">
        <f>OrdersTable[[#This Row],[Net Revenue]]-OrdersTable[[#This Row],[COGS]]-OrdersTable[[#This Row],[Shipping Cost]]</f>
        <v>127.14999999999998</v>
      </c>
      <c r="Z2967" s="78">
        <f>IFERROR(OrdersTable[[#This Row],[Profit]]/OrdersTable[[#This Row],[Net Revenue]],0)</f>
        <v>0.37490785787999409</v>
      </c>
      <c r="AA2967" t="s">
        <v>18</v>
      </c>
      <c r="AB2967" s="79">
        <v>45778</v>
      </c>
      <c r="AC2967">
        <f>OrdersTable[[#This Row],[Delivery Date]]-OrdersTable[[#This Row],[Order Date]]</f>
        <v>2</v>
      </c>
      <c r="AD2967" t="str">
        <f>IF(OrdersTable[[#This Row],[Delivery Days]]&lt;=2, "Express (≤2d)", IF(OrdersTable[[#This Row],[Delivery Days]]&lt;=4, "Standard (3-4d)", "Delayed (5d+)"))</f>
        <v>Express (≤2d)</v>
      </c>
      <c r="AF2967">
        <v>0</v>
      </c>
    </row>
    <row r="2968" spans="1:32" ht="15" x14ac:dyDescent="0.35">
      <c r="A2968" t="s">
        <v>1415</v>
      </c>
      <c r="B2968" s="1">
        <v>45777</v>
      </c>
      <c r="C2968">
        <f>YEAR(OrdersTable[[#This Row],[Order Date]])</f>
        <v>2025</v>
      </c>
      <c r="D2968" s="2">
        <f>DATE(YEAR(OrdersTable[[#This Row],[Order Date]]),MONTH(OrdersTable[[#This Row],[Order Date]]),1)</f>
        <v>45748</v>
      </c>
      <c r="E2968">
        <f>MONTH(OrdersTable[[#This Row],[Order Date]])</f>
        <v>4</v>
      </c>
      <c r="F2968" t="s">
        <v>1416</v>
      </c>
      <c r="G2968" t="str">
        <f>IF(OrdersTable[[#This Row],[Order Date]]=_xlfn.MINIFS(Order_Date, Customer_ID, OrdersTable[[#This Row],[Customer ID]]), "New", "Repeat")</f>
        <v>Repeat</v>
      </c>
      <c r="H2968" t="s">
        <v>184</v>
      </c>
      <c r="I2968" t="str">
        <f>INDEX(State!B:B,MATCH(OrdersTable[[#This Row],[State]],State!A:A,0))</f>
        <v>UK</v>
      </c>
      <c r="J2968" t="str">
        <f>INDEX(State!C:C,MATCH(OrdersTable[[#This Row],[State Code]],State!B:B,0))</f>
        <v>North</v>
      </c>
      <c r="K2968" t="s">
        <v>185</v>
      </c>
      <c r="L2968" t="s">
        <v>23</v>
      </c>
      <c r="M2968" t="s">
        <v>61</v>
      </c>
      <c r="N2968" t="str">
        <f>INDEX(Products!B:B,MATCH(OrdersTable[[#This Row],[Product ID]],Products!A:A,0))</f>
        <v>Multivitamin Gummies</v>
      </c>
      <c r="O2968" t="str">
        <f>INDEX(Products!C:C,MATCH(OrdersTable[[#This Row],[Product ID]],Products!A:A,0))</f>
        <v>Wellness</v>
      </c>
      <c r="P2968">
        <v>1</v>
      </c>
      <c r="Q2968" s="5">
        <v>699</v>
      </c>
      <c r="R2968" s="74">
        <v>0.3</v>
      </c>
      <c r="S2968" s="75">
        <f>OrdersTable[[#This Row],[Quantity]]*OrdersTable[[#This Row],[Unit Price]]</f>
        <v>699</v>
      </c>
      <c r="T2968" s="5">
        <f>OrdersTable[[#This Row],[Gross Sale]]*OrdersTable[[#This Row],[Discount_Clean2]]</f>
        <v>209.7</v>
      </c>
      <c r="U2968" s="5">
        <f>OrdersTable[[#This Row],[Gross Sale]]-OrdersTable[[#This Row],[Discount Amount]]</f>
        <v>489.3</v>
      </c>
      <c r="V2968" s="77">
        <f>INDEX(Products!E:E,MATCH(OrdersTable[[#This Row],[Product ID]],Products!A:A,0))</f>
        <v>238</v>
      </c>
      <c r="W2968" s="77">
        <f>OrdersTable[[#This Row],[Quantity]]*OrdersTable[[#This Row],[Unit Cost]]</f>
        <v>238</v>
      </c>
      <c r="X2968" s="77">
        <f>'Dropdown Lists'!$I$2*(1+OrdersTable[[#This Row],[Returned]])</f>
        <v>60</v>
      </c>
      <c r="Y2968" s="76">
        <f>OrdersTable[[#This Row],[Net Revenue]]-OrdersTable[[#This Row],[COGS]]-OrdersTable[[#This Row],[Shipping Cost]]</f>
        <v>191.3</v>
      </c>
      <c r="Z2968" s="78">
        <f>IFERROR(OrdersTable[[#This Row],[Profit]]/OrdersTable[[#This Row],[Net Revenue]],0)</f>
        <v>0.39096668710402616</v>
      </c>
      <c r="AA2968" t="s">
        <v>18</v>
      </c>
      <c r="AB2968" s="79">
        <v>45779</v>
      </c>
      <c r="AC2968">
        <f>OrdersTable[[#This Row],[Delivery Date]]-OrdersTable[[#This Row],[Order Date]]</f>
        <v>2</v>
      </c>
      <c r="AD2968" t="str">
        <f>IF(OrdersTable[[#This Row],[Delivery Days]]&lt;=2, "Express (≤2d)", IF(OrdersTable[[#This Row],[Delivery Days]]&lt;=4, "Standard (3-4d)", "Delayed (5d+)"))</f>
        <v>Express (≤2d)</v>
      </c>
      <c r="AF2968">
        <v>0</v>
      </c>
    </row>
    <row r="2969" spans="1:32" ht="15" x14ac:dyDescent="0.35">
      <c r="A2969" t="s">
        <v>6716</v>
      </c>
      <c r="B2969" s="1">
        <v>45777</v>
      </c>
      <c r="C2969">
        <f>YEAR(OrdersTable[[#This Row],[Order Date]])</f>
        <v>2025</v>
      </c>
      <c r="D2969" s="2">
        <f>DATE(YEAR(OrdersTable[[#This Row],[Order Date]]),MONTH(OrdersTable[[#This Row],[Order Date]]),1)</f>
        <v>45748</v>
      </c>
      <c r="E2969">
        <f>MONTH(OrdersTable[[#This Row],[Order Date]])</f>
        <v>4</v>
      </c>
      <c r="F2969" t="s">
        <v>4631</v>
      </c>
      <c r="G2969" t="str">
        <f>IF(OrdersTable[[#This Row],[Order Date]]=_xlfn.MINIFS(Order_Date, Customer_ID, OrdersTable[[#This Row],[Customer ID]]), "New", "Repeat")</f>
        <v>Repeat</v>
      </c>
      <c r="H2969" t="s">
        <v>54</v>
      </c>
      <c r="I2969" t="str">
        <f>INDEX(State!B:B,MATCH(OrdersTable[[#This Row],[State]],State!A:A,0))</f>
        <v>RJ</v>
      </c>
      <c r="J2969" t="str">
        <f>INDEX(State!C:C,MATCH(OrdersTable[[#This Row],[State Code]],State!B:B,0))</f>
        <v>North</v>
      </c>
      <c r="K2969" t="s">
        <v>227</v>
      </c>
      <c r="L2969" t="s">
        <v>39</v>
      </c>
      <c r="M2969" t="s">
        <v>29</v>
      </c>
      <c r="N2969" t="str">
        <f>INDEX(Products!B:B,MATCH(OrdersTable[[#This Row],[Product ID]],Products!A:A,0))</f>
        <v>Joggers</v>
      </c>
      <c r="O2969" t="str">
        <f>INDEX(Products!C:C,MATCH(OrdersTable[[#This Row],[Product ID]],Products!A:A,0))</f>
        <v>Apparel</v>
      </c>
      <c r="P2969">
        <v>3</v>
      </c>
      <c r="Q2969" s="5">
        <v>1199</v>
      </c>
      <c r="R2969" s="74">
        <v>0.1</v>
      </c>
      <c r="S2969" s="75">
        <f>OrdersTable[[#This Row],[Quantity]]*OrdersTable[[#This Row],[Unit Price]]</f>
        <v>3597</v>
      </c>
      <c r="T2969" s="5">
        <f>OrdersTable[[#This Row],[Gross Sale]]*OrdersTable[[#This Row],[Discount_Clean2]]</f>
        <v>359.70000000000005</v>
      </c>
      <c r="U2969" s="5">
        <f>OrdersTable[[#This Row],[Gross Sale]]-OrdersTable[[#This Row],[Discount Amount]]</f>
        <v>3237.3</v>
      </c>
      <c r="V2969" s="77">
        <f>INDEX(Products!E:E,MATCH(OrdersTable[[#This Row],[Product ID]],Products!A:A,0))</f>
        <v>492</v>
      </c>
      <c r="W2969" s="77">
        <f>OrdersTable[[#This Row],[Quantity]]*OrdersTable[[#This Row],[Unit Cost]]</f>
        <v>1476</v>
      </c>
      <c r="X2969" s="77">
        <f>'Dropdown Lists'!$I$2*(1+OrdersTable[[#This Row],[Returned]])</f>
        <v>120</v>
      </c>
      <c r="Y2969" s="76">
        <f>OrdersTable[[#This Row],[Net Revenue]]-OrdersTable[[#This Row],[COGS]]-OrdersTable[[#This Row],[Shipping Cost]]</f>
        <v>1641.3000000000002</v>
      </c>
      <c r="Z2969" s="78">
        <f>IFERROR(OrdersTable[[#This Row],[Profit]]/OrdersTable[[#This Row],[Net Revenue]],0)</f>
        <v>0.50699657121675468</v>
      </c>
      <c r="AA2969" t="s">
        <v>2522</v>
      </c>
      <c r="AB2969" s="79">
        <v>45783</v>
      </c>
      <c r="AC2969">
        <f>OrdersTable[[#This Row],[Delivery Date]]-OrdersTable[[#This Row],[Order Date]]</f>
        <v>6</v>
      </c>
      <c r="AD2969" t="str">
        <f>IF(OrdersTable[[#This Row],[Delivery Days]]&lt;=2, "Express (≤2d)", IF(OrdersTable[[#This Row],[Delivery Days]]&lt;=4, "Standard (3-4d)", "Delayed (5d+)"))</f>
        <v>Delayed (5d+)</v>
      </c>
      <c r="AE2969">
        <v>3</v>
      </c>
      <c r="AF2969">
        <v>1</v>
      </c>
    </row>
    <row r="2970" spans="1:32" ht="15" x14ac:dyDescent="0.35">
      <c r="A2970" t="s">
        <v>4408</v>
      </c>
      <c r="B2970" s="1">
        <v>45777</v>
      </c>
      <c r="C2970">
        <f>YEAR(OrdersTable[[#This Row],[Order Date]])</f>
        <v>2025</v>
      </c>
      <c r="D2970" s="2">
        <f>DATE(YEAR(OrdersTable[[#This Row],[Order Date]]),MONTH(OrdersTable[[#This Row],[Order Date]]),1)</f>
        <v>45748</v>
      </c>
      <c r="E2970">
        <f>MONTH(OrdersTable[[#This Row],[Order Date]])</f>
        <v>4</v>
      </c>
      <c r="F2970" t="s">
        <v>3200</v>
      </c>
      <c r="G2970" t="str">
        <f>IF(OrdersTable[[#This Row],[Order Date]]=_xlfn.MINIFS(Order_Date, Customer_ID, OrdersTable[[#This Row],[Customer ID]]), "New", "Repeat")</f>
        <v>Repeat</v>
      </c>
      <c r="H2970" t="s">
        <v>54</v>
      </c>
      <c r="I2970" t="str">
        <f>INDEX(State!B:B,MATCH(OrdersTable[[#This Row],[State]],State!A:A,0))</f>
        <v>RJ</v>
      </c>
      <c r="J2970" t="str">
        <f>INDEX(State!C:C,MATCH(OrdersTable[[#This Row],[State Code]],State!B:B,0))</f>
        <v>North</v>
      </c>
      <c r="K2970" t="s">
        <v>227</v>
      </c>
      <c r="L2970" t="s">
        <v>16</v>
      </c>
      <c r="M2970" t="s">
        <v>87</v>
      </c>
      <c r="N2970" t="str">
        <f>INDEX(Products!B:B,MATCH(OrdersTable[[#This Row],[Product ID]],Products!A:A,0))</f>
        <v>Linen Kurta</v>
      </c>
      <c r="O2970" t="str">
        <f>INDEX(Products!C:C,MATCH(OrdersTable[[#This Row],[Product ID]],Products!A:A,0))</f>
        <v>Apparel</v>
      </c>
      <c r="P2970">
        <v>1</v>
      </c>
      <c r="Q2970" s="5">
        <v>1499</v>
      </c>
      <c r="R2970" s="74">
        <v>0.3</v>
      </c>
      <c r="S2970" s="75">
        <f>OrdersTable[[#This Row],[Quantity]]*OrdersTable[[#This Row],[Unit Price]]</f>
        <v>1499</v>
      </c>
      <c r="T2970" s="5">
        <f>OrdersTable[[#This Row],[Gross Sale]]*OrdersTable[[#This Row],[Discount_Clean2]]</f>
        <v>449.7</v>
      </c>
      <c r="U2970" s="5">
        <f>OrdersTable[[#This Row],[Gross Sale]]-OrdersTable[[#This Row],[Discount Amount]]</f>
        <v>1049.3</v>
      </c>
      <c r="V2970" s="77">
        <f>INDEX(Products!E:E,MATCH(OrdersTable[[#This Row],[Product ID]],Products!A:A,0))</f>
        <v>630</v>
      </c>
      <c r="W2970" s="77">
        <f>OrdersTable[[#This Row],[Quantity]]*OrdersTable[[#This Row],[Unit Cost]]</f>
        <v>630</v>
      </c>
      <c r="X2970" s="77">
        <f>'Dropdown Lists'!$I$2*(1+OrdersTable[[#This Row],[Returned]])</f>
        <v>60</v>
      </c>
      <c r="Y2970" s="76">
        <f>OrdersTable[[#This Row],[Net Revenue]]-OrdersTable[[#This Row],[COGS]]-OrdersTable[[#This Row],[Shipping Cost]]</f>
        <v>359.29999999999995</v>
      </c>
      <c r="Z2970" s="78">
        <f>IFERROR(OrdersTable[[#This Row],[Profit]]/OrdersTable[[#This Row],[Net Revenue]],0)</f>
        <v>0.34241875536071664</v>
      </c>
      <c r="AA2970" t="s">
        <v>4074</v>
      </c>
      <c r="AB2970" s="79">
        <v>45782</v>
      </c>
      <c r="AC2970">
        <f>OrdersTable[[#This Row],[Delivery Date]]-OrdersTable[[#This Row],[Order Date]]</f>
        <v>5</v>
      </c>
      <c r="AD2970" t="str">
        <f>IF(OrdersTable[[#This Row],[Delivery Days]]&lt;=2, "Express (≤2d)", IF(OrdersTable[[#This Row],[Delivery Days]]&lt;=4, "Standard (3-4d)", "Delayed (5d+)"))</f>
        <v>Delayed (5d+)</v>
      </c>
      <c r="AE2970">
        <v>4</v>
      </c>
      <c r="AF2970">
        <v>0</v>
      </c>
    </row>
    <row r="2971" spans="1:32" ht="15" x14ac:dyDescent="0.35">
      <c r="A2971" t="s">
        <v>6717</v>
      </c>
      <c r="B2971" s="1">
        <v>45777</v>
      </c>
      <c r="C2971">
        <f>YEAR(OrdersTable[[#This Row],[Order Date]])</f>
        <v>2025</v>
      </c>
      <c r="D2971" s="2">
        <f>DATE(YEAR(OrdersTable[[#This Row],[Order Date]]),MONTH(OrdersTable[[#This Row],[Order Date]]),1)</f>
        <v>45748</v>
      </c>
      <c r="E2971">
        <f>MONTH(OrdersTable[[#This Row],[Order Date]])</f>
        <v>4</v>
      </c>
      <c r="F2971" t="s">
        <v>6718</v>
      </c>
      <c r="G2971" t="str">
        <f>IF(OrdersTable[[#This Row],[Order Date]]=_xlfn.MINIFS(Order_Date, Customer_ID, OrdersTable[[#This Row],[Customer ID]]), "New", "Repeat")</f>
        <v>New</v>
      </c>
      <c r="H2971" t="s">
        <v>54</v>
      </c>
      <c r="I2971" t="str">
        <f>INDEX(State!B:B,MATCH(OrdersTable[[#This Row],[State]],State!A:A,0))</f>
        <v>RJ</v>
      </c>
      <c r="J2971" t="str">
        <f>INDEX(State!C:C,MATCH(OrdersTable[[#This Row],[State Code]],State!B:B,0))</f>
        <v>North</v>
      </c>
      <c r="K2971" t="s">
        <v>227</v>
      </c>
      <c r="L2971" t="s">
        <v>50</v>
      </c>
      <c r="M2971" t="s">
        <v>51</v>
      </c>
      <c r="N2971" t="str">
        <f>INDEX(Products!B:B,MATCH(OrdersTable[[#This Row],[Product ID]],Products!A:A,0))</f>
        <v>Anti-Dandruff Conditioner</v>
      </c>
      <c r="O2971" t="str">
        <f>INDEX(Products!C:C,MATCH(OrdersTable[[#This Row],[Product ID]],Products!A:A,0))</f>
        <v>Haircare</v>
      </c>
      <c r="P2971">
        <v>3</v>
      </c>
      <c r="Q2971" s="5">
        <v>399</v>
      </c>
      <c r="R2971" s="74">
        <v>0.4</v>
      </c>
      <c r="S2971" s="75">
        <f>OrdersTable[[#This Row],[Quantity]]*OrdersTable[[#This Row],[Unit Price]]</f>
        <v>1197</v>
      </c>
      <c r="T2971" s="5">
        <f>OrdersTable[[#This Row],[Gross Sale]]*OrdersTable[[#This Row],[Discount_Clean2]]</f>
        <v>478.8</v>
      </c>
      <c r="U2971" s="5">
        <f>OrdersTable[[#This Row],[Gross Sale]]-OrdersTable[[#This Row],[Discount Amount]]</f>
        <v>718.2</v>
      </c>
      <c r="V2971" s="77">
        <f>INDEX(Products!E:E,MATCH(OrdersTable[[#This Row],[Product ID]],Products!A:A,0))</f>
        <v>136</v>
      </c>
      <c r="W2971" s="77">
        <f>OrdersTable[[#This Row],[Quantity]]*OrdersTable[[#This Row],[Unit Cost]]</f>
        <v>408</v>
      </c>
      <c r="X2971" s="77">
        <f>'Dropdown Lists'!$I$2*(1+OrdersTable[[#This Row],[Returned]])</f>
        <v>60</v>
      </c>
      <c r="Y2971" s="76">
        <f>OrdersTable[[#This Row],[Net Revenue]]-OrdersTable[[#This Row],[COGS]]-OrdersTable[[#This Row],[Shipping Cost]]</f>
        <v>250.20000000000005</v>
      </c>
      <c r="Z2971" s="78">
        <f>IFERROR(OrdersTable[[#This Row],[Profit]]/OrdersTable[[#This Row],[Net Revenue]],0)</f>
        <v>0.34837092731829578</v>
      </c>
      <c r="AA2971" t="s">
        <v>2522</v>
      </c>
      <c r="AB2971" s="79">
        <v>45781</v>
      </c>
      <c r="AC2971">
        <f>OrdersTable[[#This Row],[Delivery Date]]-OrdersTable[[#This Row],[Order Date]]</f>
        <v>4</v>
      </c>
      <c r="AD2971" t="str">
        <f>IF(OrdersTable[[#This Row],[Delivery Days]]&lt;=2, "Express (≤2d)", IF(OrdersTable[[#This Row],[Delivery Days]]&lt;=4, "Standard (3-4d)", "Delayed (5d+)"))</f>
        <v>Standard (3-4d)</v>
      </c>
      <c r="AF2971">
        <v>0</v>
      </c>
    </row>
    <row r="2972" spans="1:32" ht="15" x14ac:dyDescent="0.35">
      <c r="A2972" t="s">
        <v>1741</v>
      </c>
      <c r="B2972" s="1">
        <v>45777</v>
      </c>
      <c r="C2972">
        <f>YEAR(OrdersTable[[#This Row],[Order Date]])</f>
        <v>2025</v>
      </c>
      <c r="D2972" s="2">
        <f>DATE(YEAR(OrdersTable[[#This Row],[Order Date]]),MONTH(OrdersTable[[#This Row],[Order Date]]),1)</f>
        <v>45748</v>
      </c>
      <c r="E2972">
        <f>MONTH(OrdersTable[[#This Row],[Order Date]])</f>
        <v>4</v>
      </c>
      <c r="F2972" t="s">
        <v>1742</v>
      </c>
      <c r="G2972" t="str">
        <f>IF(OrdersTable[[#This Row],[Order Date]]=_xlfn.MINIFS(Order_Date, Customer_ID, OrdersTable[[#This Row],[Customer ID]]), "New", "Repeat")</f>
        <v>New</v>
      </c>
      <c r="H2972" t="s">
        <v>128</v>
      </c>
      <c r="I2972" t="str">
        <f>INDEX(State!B:B,MATCH(OrdersTable[[#This Row],[State]],State!A:A,0))</f>
        <v>DL</v>
      </c>
      <c r="J2972" t="str">
        <f>INDEX(State!C:C,MATCH(OrdersTable[[#This Row],[State Code]],State!B:B,0))</f>
        <v>North</v>
      </c>
      <c r="K2972" t="s">
        <v>129</v>
      </c>
      <c r="L2972" t="s">
        <v>65</v>
      </c>
      <c r="M2972" t="s">
        <v>255</v>
      </c>
      <c r="N2972" t="str">
        <f>INDEX(Products!B:B,MATCH(OrdersTable[[#This Row],[Product ID]],Products!A:A,0))</f>
        <v>Cotton Oversized T-Shirt</v>
      </c>
      <c r="O2972" t="str">
        <f>INDEX(Products!C:C,MATCH(OrdersTable[[#This Row],[Product ID]],Products!A:A,0))</f>
        <v>Apparel</v>
      </c>
      <c r="P2972">
        <v>1</v>
      </c>
      <c r="Q2972" s="5">
        <v>799</v>
      </c>
      <c r="R2972" s="74">
        <v>0.05</v>
      </c>
      <c r="S2972" s="75">
        <f>OrdersTable[[#This Row],[Quantity]]*OrdersTable[[#This Row],[Unit Price]]</f>
        <v>799</v>
      </c>
      <c r="T2972" s="5">
        <f>OrdersTable[[#This Row],[Gross Sale]]*OrdersTable[[#This Row],[Discount_Clean2]]</f>
        <v>39.950000000000003</v>
      </c>
      <c r="U2972" s="5">
        <f>OrdersTable[[#This Row],[Gross Sale]]-OrdersTable[[#This Row],[Discount Amount]]</f>
        <v>759.05</v>
      </c>
      <c r="V2972" s="77">
        <f>INDEX(Products!E:E,MATCH(OrdersTable[[#This Row],[Product ID]],Products!A:A,0))</f>
        <v>320</v>
      </c>
      <c r="W2972" s="77">
        <f>OrdersTable[[#This Row],[Quantity]]*OrdersTable[[#This Row],[Unit Cost]]</f>
        <v>320</v>
      </c>
      <c r="X2972" s="77">
        <f>'Dropdown Lists'!$I$2*(1+OrdersTable[[#This Row],[Returned]])</f>
        <v>60</v>
      </c>
      <c r="Y2972" s="76">
        <f>OrdersTable[[#This Row],[Net Revenue]]-OrdersTable[[#This Row],[COGS]]-OrdersTable[[#This Row],[Shipping Cost]]</f>
        <v>379.04999999999995</v>
      </c>
      <c r="Z2972" s="78">
        <f>IFERROR(OrdersTable[[#This Row],[Profit]]/OrdersTable[[#This Row],[Net Revenue]],0)</f>
        <v>0.49937421777221525</v>
      </c>
      <c r="AA2972" t="s">
        <v>18</v>
      </c>
      <c r="AB2972" s="79">
        <v>45779</v>
      </c>
      <c r="AC2972">
        <f>OrdersTable[[#This Row],[Delivery Date]]-OrdersTable[[#This Row],[Order Date]]</f>
        <v>2</v>
      </c>
      <c r="AD2972" t="str">
        <f>IF(OrdersTable[[#This Row],[Delivery Days]]&lt;=2, "Express (≤2d)", IF(OrdersTable[[#This Row],[Delivery Days]]&lt;=4, "Standard (3-4d)", "Delayed (5d+)"))</f>
        <v>Express (≤2d)</v>
      </c>
      <c r="AF2972">
        <v>0</v>
      </c>
    </row>
    <row r="2973" spans="1:32" ht="15" x14ac:dyDescent="0.35">
      <c r="A2973" t="s">
        <v>5413</v>
      </c>
      <c r="B2973" s="1">
        <v>45777</v>
      </c>
      <c r="C2973">
        <f>YEAR(OrdersTable[[#This Row],[Order Date]])</f>
        <v>2025</v>
      </c>
      <c r="D2973" s="2">
        <f>DATE(YEAR(OrdersTable[[#This Row],[Order Date]]),MONTH(OrdersTable[[#This Row],[Order Date]]),1)</f>
        <v>45748</v>
      </c>
      <c r="E2973">
        <f>MONTH(OrdersTable[[#This Row],[Order Date]])</f>
        <v>4</v>
      </c>
      <c r="F2973" t="s">
        <v>5414</v>
      </c>
      <c r="G2973" t="str">
        <f>IF(OrdersTable[[#This Row],[Order Date]]=_xlfn.MINIFS(Order_Date, Customer_ID, OrdersTable[[#This Row],[Customer ID]]), "New", "Repeat")</f>
        <v>New</v>
      </c>
      <c r="H2973" t="s">
        <v>76</v>
      </c>
      <c r="I2973" t="str">
        <f>INDEX(State!B:B,MATCH(OrdersTable[[#This Row],[State]],State!A:A,0))</f>
        <v>UP</v>
      </c>
      <c r="J2973" t="str">
        <f>INDEX(State!C:C,MATCH(OrdersTable[[#This Row],[State Code]],State!B:B,0))</f>
        <v>North</v>
      </c>
      <c r="K2973" t="s">
        <v>105</v>
      </c>
      <c r="L2973" t="s">
        <v>65</v>
      </c>
      <c r="M2973" t="s">
        <v>255</v>
      </c>
      <c r="N2973" t="str">
        <f>INDEX(Products!B:B,MATCH(OrdersTable[[#This Row],[Product ID]],Products!A:A,0))</f>
        <v>Cotton Oversized T-Shirt</v>
      </c>
      <c r="O2973" t="str">
        <f>INDEX(Products!C:C,MATCH(OrdersTable[[#This Row],[Product ID]],Products!A:A,0))</f>
        <v>Apparel</v>
      </c>
      <c r="P2973">
        <v>2</v>
      </c>
      <c r="Q2973" s="5">
        <v>799</v>
      </c>
      <c r="R2973" s="74">
        <v>0</v>
      </c>
      <c r="S2973" s="75">
        <f>OrdersTable[[#This Row],[Quantity]]*OrdersTable[[#This Row],[Unit Price]]</f>
        <v>1598</v>
      </c>
      <c r="T2973" s="5">
        <f>OrdersTable[[#This Row],[Gross Sale]]*OrdersTable[[#This Row],[Discount_Clean2]]</f>
        <v>0</v>
      </c>
      <c r="U2973" s="5">
        <f>OrdersTable[[#This Row],[Gross Sale]]-OrdersTable[[#This Row],[Discount Amount]]</f>
        <v>1598</v>
      </c>
      <c r="V2973" s="77">
        <f>INDEX(Products!E:E,MATCH(OrdersTable[[#This Row],[Product ID]],Products!A:A,0))</f>
        <v>320</v>
      </c>
      <c r="W2973" s="77">
        <f>OrdersTable[[#This Row],[Quantity]]*OrdersTable[[#This Row],[Unit Cost]]</f>
        <v>640</v>
      </c>
      <c r="X2973" s="77">
        <f>'Dropdown Lists'!$I$2*(1+OrdersTable[[#This Row],[Returned]])</f>
        <v>60</v>
      </c>
      <c r="Y2973" s="76">
        <f>OrdersTable[[#This Row],[Net Revenue]]-OrdersTable[[#This Row],[COGS]]-OrdersTable[[#This Row],[Shipping Cost]]</f>
        <v>898</v>
      </c>
      <c r="Z2973" s="78">
        <f>IFERROR(OrdersTable[[#This Row],[Profit]]/OrdersTable[[#This Row],[Net Revenue]],0)</f>
        <v>0.56195244055068838</v>
      </c>
      <c r="AA2973" t="s">
        <v>2522</v>
      </c>
      <c r="AB2973" s="79">
        <v>45781</v>
      </c>
      <c r="AC2973">
        <f>OrdersTable[[#This Row],[Delivery Date]]-OrdersTable[[#This Row],[Order Date]]</f>
        <v>4</v>
      </c>
      <c r="AD2973" t="str">
        <f>IF(OrdersTable[[#This Row],[Delivery Days]]&lt;=2, "Express (≤2d)", IF(OrdersTable[[#This Row],[Delivery Days]]&lt;=4, "Standard (3-4d)", "Delayed (5d+)"))</f>
        <v>Standard (3-4d)</v>
      </c>
      <c r="AF2973">
        <v>0</v>
      </c>
    </row>
    <row r="2974" spans="1:32" ht="15" x14ac:dyDescent="0.35">
      <c r="A2974" t="s">
        <v>612</v>
      </c>
      <c r="B2974" s="1">
        <v>45777</v>
      </c>
      <c r="C2974">
        <f>YEAR(OrdersTable[[#This Row],[Order Date]])</f>
        <v>2025</v>
      </c>
      <c r="D2974" s="2">
        <f>DATE(YEAR(OrdersTable[[#This Row],[Order Date]]),MONTH(OrdersTable[[#This Row],[Order Date]]),1)</f>
        <v>45748</v>
      </c>
      <c r="E2974">
        <f>MONTH(OrdersTable[[#This Row],[Order Date]])</f>
        <v>4</v>
      </c>
      <c r="F2974" t="s">
        <v>613</v>
      </c>
      <c r="G2974" t="str">
        <f>IF(OrdersTable[[#This Row],[Order Date]]=_xlfn.MINIFS(Order_Date, Customer_ID, OrdersTable[[#This Row],[Customer ID]]), "New", "Repeat")</f>
        <v>Repeat</v>
      </c>
      <c r="H2974" t="s">
        <v>76</v>
      </c>
      <c r="I2974" t="str">
        <f>INDEX(State!B:B,MATCH(OrdersTable[[#This Row],[State]],State!A:A,0))</f>
        <v>UP</v>
      </c>
      <c r="J2974" t="str">
        <f>INDEX(State!C:C,MATCH(OrdersTable[[#This Row],[State Code]],State!B:B,0))</f>
        <v>North</v>
      </c>
      <c r="K2974" t="s">
        <v>118</v>
      </c>
      <c r="L2974" t="s">
        <v>65</v>
      </c>
      <c r="M2974" t="s">
        <v>66</v>
      </c>
      <c r="N2974" t="str">
        <f>INDEX(Products!B:B,MATCH(OrdersTable[[#This Row],[Product ID]],Products!A:A,0))</f>
        <v>Sunscreen SPF 50</v>
      </c>
      <c r="O2974" t="str">
        <f>INDEX(Products!C:C,MATCH(OrdersTable[[#This Row],[Product ID]],Products!A:A,0))</f>
        <v>Skincare</v>
      </c>
      <c r="P2974">
        <v>1</v>
      </c>
      <c r="Q2974" s="5">
        <v>449</v>
      </c>
      <c r="R2974" s="74">
        <v>0.1</v>
      </c>
      <c r="S2974" s="75">
        <f>OrdersTable[[#This Row],[Quantity]]*OrdersTable[[#This Row],[Unit Price]]</f>
        <v>449</v>
      </c>
      <c r="T2974" s="5">
        <f>OrdersTable[[#This Row],[Gross Sale]]*OrdersTable[[#This Row],[Discount_Clean2]]</f>
        <v>44.900000000000006</v>
      </c>
      <c r="U2974" s="5">
        <f>OrdersTable[[#This Row],[Gross Sale]]-OrdersTable[[#This Row],[Discount Amount]]</f>
        <v>404.1</v>
      </c>
      <c r="V2974" s="77">
        <f>INDEX(Products!E:E,MATCH(OrdersTable[[#This Row],[Product ID]],Products!A:A,0))</f>
        <v>144</v>
      </c>
      <c r="W2974" s="77">
        <f>OrdersTable[[#This Row],[Quantity]]*OrdersTable[[#This Row],[Unit Cost]]</f>
        <v>144</v>
      </c>
      <c r="X2974" s="77">
        <f>'Dropdown Lists'!$I$2*(1+OrdersTable[[#This Row],[Returned]])</f>
        <v>60</v>
      </c>
      <c r="Y2974" s="76">
        <f>OrdersTable[[#This Row],[Net Revenue]]-OrdersTable[[#This Row],[COGS]]-OrdersTable[[#This Row],[Shipping Cost]]</f>
        <v>200.10000000000002</v>
      </c>
      <c r="Z2974" s="78">
        <f>IFERROR(OrdersTable[[#This Row],[Profit]]/OrdersTable[[#This Row],[Net Revenue]],0)</f>
        <v>0.4951744617668894</v>
      </c>
      <c r="AA2974" t="s">
        <v>18</v>
      </c>
      <c r="AB2974" s="79">
        <v>45780</v>
      </c>
      <c r="AC2974">
        <f>OrdersTable[[#This Row],[Delivery Date]]-OrdersTable[[#This Row],[Order Date]]</f>
        <v>3</v>
      </c>
      <c r="AD2974" t="str">
        <f>IF(OrdersTable[[#This Row],[Delivery Days]]&lt;=2, "Express (≤2d)", IF(OrdersTable[[#This Row],[Delivery Days]]&lt;=4, "Standard (3-4d)", "Delayed (5d+)"))</f>
        <v>Standard (3-4d)</v>
      </c>
      <c r="AE2974">
        <v>4</v>
      </c>
      <c r="AF2974">
        <v>0</v>
      </c>
    </row>
    <row r="2975" spans="1:32" ht="15" x14ac:dyDescent="0.35">
      <c r="A2975" t="s">
        <v>5946</v>
      </c>
      <c r="B2975" s="1">
        <v>45777</v>
      </c>
      <c r="C2975">
        <f>YEAR(OrdersTable[[#This Row],[Order Date]])</f>
        <v>2025</v>
      </c>
      <c r="D2975" s="2">
        <f>DATE(YEAR(OrdersTable[[#This Row],[Order Date]]),MONTH(OrdersTable[[#This Row],[Order Date]]),1)</f>
        <v>45748</v>
      </c>
      <c r="E2975">
        <f>MONTH(OrdersTable[[#This Row],[Order Date]])</f>
        <v>4</v>
      </c>
      <c r="F2975" t="s">
        <v>1054</v>
      </c>
      <c r="G2975" t="str">
        <f>IF(OrdersTable[[#This Row],[Order Date]]=_xlfn.MINIFS(Order_Date, Customer_ID, OrdersTable[[#This Row],[Customer ID]]), "New", "Repeat")</f>
        <v>Repeat</v>
      </c>
      <c r="H2975" t="s">
        <v>76</v>
      </c>
      <c r="I2975" t="str">
        <f>INDEX(State!B:B,MATCH(OrdersTable[[#This Row],[State]],State!A:A,0))</f>
        <v>UP</v>
      </c>
      <c r="J2975" t="str">
        <f>INDEX(State!C:C,MATCH(OrdersTable[[#This Row],[State Code]],State!B:B,0))</f>
        <v>North</v>
      </c>
      <c r="K2975" t="s">
        <v>77</v>
      </c>
      <c r="L2975" t="s">
        <v>39</v>
      </c>
      <c r="M2975" t="s">
        <v>109</v>
      </c>
      <c r="N2975" t="str">
        <f>INDEX(Products!B:B,MATCH(OrdersTable[[#This Row],[Product ID]],Products!A:A,0))</f>
        <v>Onion Hair Oil</v>
      </c>
      <c r="O2975" t="str">
        <f>INDEX(Products!C:C,MATCH(OrdersTable[[#This Row],[Product ID]],Products!A:A,0))</f>
        <v>Haircare</v>
      </c>
      <c r="P2975">
        <v>2</v>
      </c>
      <c r="Q2975" s="5">
        <v>349</v>
      </c>
      <c r="R2975" s="74">
        <v>0.3</v>
      </c>
      <c r="S2975" s="75">
        <f>OrdersTable[[#This Row],[Quantity]]*OrdersTable[[#This Row],[Unit Price]]</f>
        <v>698</v>
      </c>
      <c r="T2975" s="5">
        <f>OrdersTable[[#This Row],[Gross Sale]]*OrdersTable[[#This Row],[Discount_Clean2]]</f>
        <v>209.4</v>
      </c>
      <c r="U2975" s="5">
        <f>OrdersTable[[#This Row],[Gross Sale]]-OrdersTable[[#This Row],[Discount Amount]]</f>
        <v>488.6</v>
      </c>
      <c r="V2975" s="77">
        <f>INDEX(Products!E:E,MATCH(OrdersTable[[#This Row],[Product ID]],Products!A:A,0))</f>
        <v>105</v>
      </c>
      <c r="W2975" s="77">
        <f>OrdersTable[[#This Row],[Quantity]]*OrdersTable[[#This Row],[Unit Cost]]</f>
        <v>210</v>
      </c>
      <c r="X2975" s="77">
        <f>'Dropdown Lists'!$I$2*(1+OrdersTable[[#This Row],[Returned]])</f>
        <v>60</v>
      </c>
      <c r="Y2975" s="76">
        <f>OrdersTable[[#This Row],[Net Revenue]]-OrdersTable[[#This Row],[COGS]]-OrdersTable[[#This Row],[Shipping Cost]]</f>
        <v>218.60000000000002</v>
      </c>
      <c r="Z2975" s="78">
        <f>IFERROR(OrdersTable[[#This Row],[Profit]]/OrdersTable[[#This Row],[Net Revenue]],0)</f>
        <v>0.44740073679901765</v>
      </c>
      <c r="AA2975" t="s">
        <v>18</v>
      </c>
      <c r="AB2975" s="79">
        <v>45781</v>
      </c>
      <c r="AC2975">
        <f>OrdersTable[[#This Row],[Delivery Date]]-OrdersTable[[#This Row],[Order Date]]</f>
        <v>4</v>
      </c>
      <c r="AD2975" t="str">
        <f>IF(OrdersTable[[#This Row],[Delivery Days]]&lt;=2, "Express (≤2d)", IF(OrdersTable[[#This Row],[Delivery Days]]&lt;=4, "Standard (3-4d)", "Delayed (5d+)"))</f>
        <v>Standard (3-4d)</v>
      </c>
      <c r="AF2975">
        <v>0</v>
      </c>
    </row>
    <row r="2976" spans="1:32" ht="15" x14ac:dyDescent="0.35">
      <c r="A2976" t="s">
        <v>3776</v>
      </c>
      <c r="B2976" s="1">
        <v>45777</v>
      </c>
      <c r="C2976">
        <f>YEAR(OrdersTable[[#This Row],[Order Date]])</f>
        <v>2025</v>
      </c>
      <c r="D2976" s="2">
        <f>DATE(YEAR(OrdersTable[[#This Row],[Order Date]]),MONTH(OrdersTable[[#This Row],[Order Date]]),1)</f>
        <v>45748</v>
      </c>
      <c r="E2976">
        <f>MONTH(OrdersTable[[#This Row],[Order Date]])</f>
        <v>4</v>
      </c>
      <c r="F2976" t="s">
        <v>772</v>
      </c>
      <c r="G2976" t="str">
        <f>IF(OrdersTable[[#This Row],[Order Date]]=_xlfn.MINIFS(Order_Date, Customer_ID, OrdersTable[[#This Row],[Customer ID]]), "New", "Repeat")</f>
        <v>Repeat</v>
      </c>
      <c r="H2976" t="s">
        <v>32</v>
      </c>
      <c r="I2976" t="str">
        <f>INDEX(State!B:B,MATCH(OrdersTable[[#This Row],[State]],State!A:A,0))</f>
        <v>BR</v>
      </c>
      <c r="J2976" t="str">
        <f>INDEX(State!C:C,MATCH(OrdersTable[[#This Row],[State Code]],State!B:B,0))</f>
        <v>East</v>
      </c>
      <c r="K2976" t="s">
        <v>33</v>
      </c>
      <c r="L2976" t="s">
        <v>39</v>
      </c>
      <c r="M2976" t="s">
        <v>56</v>
      </c>
      <c r="N2976" t="str">
        <f>INDEX(Products!B:B,MATCH(OrdersTable[[#This Row],[Product ID]],Products!A:A,0))</f>
        <v>Vitamin C Face Serum</v>
      </c>
      <c r="O2976" t="str">
        <f>INDEX(Products!C:C,MATCH(OrdersTable[[#This Row],[Product ID]],Products!A:A,0))</f>
        <v>Skincare</v>
      </c>
      <c r="P2976">
        <v>1</v>
      </c>
      <c r="Q2976" s="5">
        <v>599</v>
      </c>
      <c r="R2976" s="74">
        <v>0.05</v>
      </c>
      <c r="S2976" s="75">
        <f>OrdersTable[[#This Row],[Quantity]]*OrdersTable[[#This Row],[Unit Price]]</f>
        <v>599</v>
      </c>
      <c r="T2976" s="5">
        <f>OrdersTable[[#This Row],[Gross Sale]]*OrdersTable[[#This Row],[Discount_Clean2]]</f>
        <v>29.950000000000003</v>
      </c>
      <c r="U2976" s="5">
        <f>OrdersTable[[#This Row],[Gross Sale]]-OrdersTable[[#This Row],[Discount Amount]]</f>
        <v>569.04999999999995</v>
      </c>
      <c r="V2976" s="77">
        <f>INDEX(Products!E:E,MATCH(OrdersTable[[#This Row],[Product ID]],Products!A:A,0))</f>
        <v>180</v>
      </c>
      <c r="W2976" s="77">
        <f>OrdersTable[[#This Row],[Quantity]]*OrdersTable[[#This Row],[Unit Cost]]</f>
        <v>180</v>
      </c>
      <c r="X2976" s="77">
        <f>'Dropdown Lists'!$I$2*(1+OrdersTable[[#This Row],[Returned]])</f>
        <v>60</v>
      </c>
      <c r="Y2976" s="76">
        <f>OrdersTable[[#This Row],[Net Revenue]]-OrdersTable[[#This Row],[COGS]]-OrdersTable[[#This Row],[Shipping Cost]]</f>
        <v>329.04999999999995</v>
      </c>
      <c r="Z2976" s="78">
        <f>IFERROR(OrdersTable[[#This Row],[Profit]]/OrdersTable[[#This Row],[Net Revenue]],0)</f>
        <v>0.57824444249187235</v>
      </c>
      <c r="AA2976" t="s">
        <v>3495</v>
      </c>
      <c r="AB2976" s="79">
        <v>45782</v>
      </c>
      <c r="AC2976">
        <f>OrdersTable[[#This Row],[Delivery Date]]-OrdersTable[[#This Row],[Order Date]]</f>
        <v>5</v>
      </c>
      <c r="AD2976" t="str">
        <f>IF(OrdersTable[[#This Row],[Delivery Days]]&lt;=2, "Express (≤2d)", IF(OrdersTable[[#This Row],[Delivery Days]]&lt;=4, "Standard (3-4d)", "Delayed (5d+)"))</f>
        <v>Delayed (5d+)</v>
      </c>
      <c r="AF2976">
        <v>0</v>
      </c>
    </row>
    <row r="2977" spans="1:32" ht="15" x14ac:dyDescent="0.35">
      <c r="A2977" t="s">
        <v>1170</v>
      </c>
      <c r="B2977" s="1">
        <v>45777</v>
      </c>
      <c r="C2977">
        <f>YEAR(OrdersTable[[#This Row],[Order Date]])</f>
        <v>2025</v>
      </c>
      <c r="D2977" s="2">
        <f>DATE(YEAR(OrdersTable[[#This Row],[Order Date]]),MONTH(OrdersTable[[#This Row],[Order Date]]),1)</f>
        <v>45748</v>
      </c>
      <c r="E2977">
        <f>MONTH(OrdersTable[[#This Row],[Order Date]])</f>
        <v>4</v>
      </c>
      <c r="F2977" t="s">
        <v>1171</v>
      </c>
      <c r="G2977" t="str">
        <f>IF(OrdersTable[[#This Row],[Order Date]]=_xlfn.MINIFS(Order_Date, Customer_ID, OrdersTable[[#This Row],[Customer ID]]), "New", "Repeat")</f>
        <v>Repeat</v>
      </c>
      <c r="H2977" t="s">
        <v>71</v>
      </c>
      <c r="I2977" t="str">
        <f>INDEX(State!B:B,MATCH(OrdersTable[[#This Row],[State]],State!A:A,0))</f>
        <v>MH</v>
      </c>
      <c r="J2977" t="str">
        <f>INDEX(State!C:C,MATCH(OrdersTable[[#This Row],[State Code]],State!B:B,0))</f>
        <v>West</v>
      </c>
      <c r="K2977" t="s">
        <v>102</v>
      </c>
      <c r="L2977" t="s">
        <v>50</v>
      </c>
      <c r="M2977" t="s">
        <v>109</v>
      </c>
      <c r="N2977" t="str">
        <f>INDEX(Products!B:B,MATCH(OrdersTable[[#This Row],[Product ID]],Products!A:A,0))</f>
        <v>Onion Hair Oil</v>
      </c>
      <c r="O2977" t="str">
        <f>INDEX(Products!C:C,MATCH(OrdersTable[[#This Row],[Product ID]],Products!A:A,0))</f>
        <v>Haircare</v>
      </c>
      <c r="P2977">
        <v>1</v>
      </c>
      <c r="Q2977" s="5">
        <v>349</v>
      </c>
      <c r="R2977" s="74">
        <v>0.25</v>
      </c>
      <c r="S2977" s="75">
        <f>OrdersTable[[#This Row],[Quantity]]*OrdersTable[[#This Row],[Unit Price]]</f>
        <v>349</v>
      </c>
      <c r="T2977" s="5">
        <f>OrdersTable[[#This Row],[Gross Sale]]*OrdersTable[[#This Row],[Discount_Clean2]]</f>
        <v>87.25</v>
      </c>
      <c r="U2977" s="5">
        <f>OrdersTable[[#This Row],[Gross Sale]]-OrdersTable[[#This Row],[Discount Amount]]</f>
        <v>261.75</v>
      </c>
      <c r="V2977" s="77">
        <f>INDEX(Products!E:E,MATCH(OrdersTable[[#This Row],[Product ID]],Products!A:A,0))</f>
        <v>105</v>
      </c>
      <c r="W2977" s="77">
        <f>OrdersTable[[#This Row],[Quantity]]*OrdersTable[[#This Row],[Unit Cost]]</f>
        <v>105</v>
      </c>
      <c r="X2977" s="77">
        <f>'Dropdown Lists'!$I$2*(1+OrdersTable[[#This Row],[Returned]])</f>
        <v>60</v>
      </c>
      <c r="Y2977" s="76">
        <f>OrdersTable[[#This Row],[Net Revenue]]-OrdersTable[[#This Row],[COGS]]-OrdersTable[[#This Row],[Shipping Cost]]</f>
        <v>96.75</v>
      </c>
      <c r="Z2977" s="78">
        <f>IFERROR(OrdersTable[[#This Row],[Profit]]/OrdersTable[[#This Row],[Net Revenue]],0)</f>
        <v>0.36962750716332377</v>
      </c>
      <c r="AA2977" t="s">
        <v>18</v>
      </c>
      <c r="AB2977" s="79">
        <v>45778</v>
      </c>
      <c r="AC2977">
        <f>OrdersTable[[#This Row],[Delivery Date]]-OrdersTable[[#This Row],[Order Date]]</f>
        <v>1</v>
      </c>
      <c r="AD2977" t="str">
        <f>IF(OrdersTable[[#This Row],[Delivery Days]]&lt;=2, "Express (≤2d)", IF(OrdersTable[[#This Row],[Delivery Days]]&lt;=4, "Standard (3-4d)", "Delayed (5d+)"))</f>
        <v>Express (≤2d)</v>
      </c>
      <c r="AF2977">
        <v>0</v>
      </c>
    </row>
    <row r="2978" spans="1:32" ht="15" x14ac:dyDescent="0.35">
      <c r="A2978" t="s">
        <v>7006</v>
      </c>
      <c r="B2978" s="1">
        <v>45777</v>
      </c>
      <c r="C2978">
        <f>YEAR(OrdersTable[[#This Row],[Order Date]])</f>
        <v>2025</v>
      </c>
      <c r="D2978" s="2">
        <f>DATE(YEAR(OrdersTable[[#This Row],[Order Date]]),MONTH(OrdersTable[[#This Row],[Order Date]]),1)</f>
        <v>45748</v>
      </c>
      <c r="E2978">
        <f>MONTH(OrdersTable[[#This Row],[Order Date]])</f>
        <v>4</v>
      </c>
      <c r="F2978" t="s">
        <v>164</v>
      </c>
      <c r="G2978" t="str">
        <f>IF(OrdersTable[[#This Row],[Order Date]]=_xlfn.MINIFS(Order_Date, Customer_ID, OrdersTable[[#This Row],[Customer ID]]), "New", "Repeat")</f>
        <v>Repeat</v>
      </c>
      <c r="H2978" t="s">
        <v>316</v>
      </c>
      <c r="I2978" t="str">
        <f>INDEX(State!B:B,MATCH(OrdersTable[[#This Row],[State]],State!A:A,0))</f>
        <v>KL</v>
      </c>
      <c r="J2978" t="str">
        <f>INDEX(State!C:C,MATCH(OrdersTable[[#This Row],[State Code]],State!B:B,0))</f>
        <v>South</v>
      </c>
      <c r="K2978" t="s">
        <v>317</v>
      </c>
      <c r="L2978" t="s">
        <v>39</v>
      </c>
      <c r="M2978" t="s">
        <v>160</v>
      </c>
      <c r="N2978" t="str">
        <f>INDEX(Products!B:B,MATCH(OrdersTable[[#This Row],[Product ID]],Products!A:A,0))</f>
        <v>Niacinamide Toner</v>
      </c>
      <c r="O2978" t="str">
        <f>INDEX(Products!C:C,MATCH(OrdersTable[[#This Row],[Product ID]],Products!A:A,0))</f>
        <v>Skincare</v>
      </c>
      <c r="P2978">
        <v>4</v>
      </c>
      <c r="Q2978" s="5">
        <v>399</v>
      </c>
      <c r="R2978" s="74">
        <v>0.15</v>
      </c>
      <c r="S2978" s="75">
        <f>OrdersTable[[#This Row],[Quantity]]*OrdersTable[[#This Row],[Unit Price]]</f>
        <v>1596</v>
      </c>
      <c r="T2978" s="5">
        <f>OrdersTable[[#This Row],[Gross Sale]]*OrdersTable[[#This Row],[Discount_Clean2]]</f>
        <v>239.39999999999998</v>
      </c>
      <c r="U2978" s="5">
        <f>OrdersTable[[#This Row],[Gross Sale]]-OrdersTable[[#This Row],[Discount Amount]]</f>
        <v>1356.6</v>
      </c>
      <c r="V2978" s="77">
        <f>INDEX(Products!E:E,MATCH(OrdersTable[[#This Row],[Product ID]],Products!A:A,0))</f>
        <v>112</v>
      </c>
      <c r="W2978" s="77">
        <f>OrdersTable[[#This Row],[Quantity]]*OrdersTable[[#This Row],[Unit Cost]]</f>
        <v>448</v>
      </c>
      <c r="X2978" s="77">
        <f>'Dropdown Lists'!$I$2*(1+OrdersTable[[#This Row],[Returned]])</f>
        <v>60</v>
      </c>
      <c r="Y2978" s="76">
        <f>OrdersTable[[#This Row],[Net Revenue]]-OrdersTable[[#This Row],[COGS]]-OrdersTable[[#This Row],[Shipping Cost]]</f>
        <v>848.59999999999991</v>
      </c>
      <c r="Z2978" s="78">
        <f>IFERROR(OrdersTable[[#This Row],[Profit]]/OrdersTable[[#This Row],[Net Revenue]],0)</f>
        <v>0.62553442429603423</v>
      </c>
      <c r="AA2978" t="s">
        <v>3495</v>
      </c>
      <c r="AB2978" s="79">
        <v>45782</v>
      </c>
      <c r="AC2978">
        <f>OrdersTable[[#This Row],[Delivery Date]]-OrdersTable[[#This Row],[Order Date]]</f>
        <v>5</v>
      </c>
      <c r="AD2978" t="str">
        <f>IF(OrdersTable[[#This Row],[Delivery Days]]&lt;=2, "Express (≤2d)", IF(OrdersTable[[#This Row],[Delivery Days]]&lt;=4, "Standard (3-4d)", "Delayed (5d+)"))</f>
        <v>Delayed (5d+)</v>
      </c>
      <c r="AF2978">
        <v>0</v>
      </c>
    </row>
    <row r="2979" spans="1:32" ht="15" x14ac:dyDescent="0.35">
      <c r="A2979" t="s">
        <v>4702</v>
      </c>
      <c r="B2979" s="1">
        <v>45778</v>
      </c>
      <c r="C2979">
        <f>YEAR(OrdersTable[[#This Row],[Order Date]])</f>
        <v>2025</v>
      </c>
      <c r="D2979" s="2">
        <f>DATE(YEAR(OrdersTable[[#This Row],[Order Date]]),MONTH(OrdersTable[[#This Row],[Order Date]]),1)</f>
        <v>45778</v>
      </c>
      <c r="E2979">
        <f>MONTH(OrdersTable[[#This Row],[Order Date]])</f>
        <v>5</v>
      </c>
      <c r="F2979" t="s">
        <v>3260</v>
      </c>
      <c r="G2979" t="str">
        <f>IF(OrdersTable[[#This Row],[Order Date]]=_xlfn.MINIFS(Order_Date, Customer_ID, OrdersTable[[#This Row],[Customer ID]]), "New", "Repeat")</f>
        <v>Repeat</v>
      </c>
      <c r="H2979" t="s">
        <v>210</v>
      </c>
      <c r="I2979" t="str">
        <f>INDEX(State!B:B,MATCH(OrdersTable[[#This Row],[State]],State!A:A,0))</f>
        <v>JK</v>
      </c>
      <c r="J2979" t="str">
        <f>INDEX(State!C:C,MATCH(OrdersTable[[#This Row],[State Code]],State!B:B,0))</f>
        <v>North</v>
      </c>
      <c r="K2979" t="s">
        <v>211</v>
      </c>
      <c r="L2979" t="s">
        <v>65</v>
      </c>
      <c r="M2979" t="s">
        <v>61</v>
      </c>
      <c r="N2979" t="str">
        <f>INDEX(Products!B:B,MATCH(OrdersTable[[#This Row],[Product ID]],Products!A:A,0))</f>
        <v>Multivitamin Gummies</v>
      </c>
      <c r="O2979" t="str">
        <f>INDEX(Products!C:C,MATCH(OrdersTable[[#This Row],[Product ID]],Products!A:A,0))</f>
        <v>Wellness</v>
      </c>
      <c r="P2979">
        <v>1</v>
      </c>
      <c r="Q2979" s="5">
        <v>699</v>
      </c>
      <c r="R2979" s="74">
        <v>0.3</v>
      </c>
      <c r="S2979" s="75">
        <f>OrdersTable[[#This Row],[Quantity]]*OrdersTable[[#This Row],[Unit Price]]</f>
        <v>699</v>
      </c>
      <c r="T2979" s="5">
        <f>OrdersTable[[#This Row],[Gross Sale]]*OrdersTable[[#This Row],[Discount_Clean2]]</f>
        <v>209.7</v>
      </c>
      <c r="U2979" s="5">
        <f>OrdersTable[[#This Row],[Gross Sale]]-OrdersTable[[#This Row],[Discount Amount]]</f>
        <v>489.3</v>
      </c>
      <c r="V2979" s="77">
        <f>INDEX(Products!E:E,MATCH(OrdersTable[[#This Row],[Product ID]],Products!A:A,0))</f>
        <v>238</v>
      </c>
      <c r="W2979" s="77">
        <f>OrdersTable[[#This Row],[Quantity]]*OrdersTable[[#This Row],[Unit Cost]]</f>
        <v>238</v>
      </c>
      <c r="X2979" s="77">
        <f>'Dropdown Lists'!$I$2*(1+OrdersTable[[#This Row],[Returned]])</f>
        <v>60</v>
      </c>
      <c r="Y2979" s="76">
        <f>OrdersTable[[#This Row],[Net Revenue]]-OrdersTable[[#This Row],[COGS]]-OrdersTable[[#This Row],[Shipping Cost]]</f>
        <v>191.3</v>
      </c>
      <c r="Z2979" s="78">
        <f>IFERROR(OrdersTable[[#This Row],[Profit]]/OrdersTable[[#This Row],[Net Revenue]],0)</f>
        <v>0.39096668710402616</v>
      </c>
      <c r="AA2979" t="s">
        <v>4450</v>
      </c>
      <c r="AB2979" s="79">
        <v>45783</v>
      </c>
      <c r="AC2979">
        <f>OrdersTable[[#This Row],[Delivery Date]]-OrdersTable[[#This Row],[Order Date]]</f>
        <v>5</v>
      </c>
      <c r="AD2979" t="str">
        <f>IF(OrdersTable[[#This Row],[Delivery Days]]&lt;=2, "Express (≤2d)", IF(OrdersTable[[#This Row],[Delivery Days]]&lt;=4, "Standard (3-4d)", "Delayed (5d+)"))</f>
        <v>Delayed (5d+)</v>
      </c>
      <c r="AE2979">
        <v>3</v>
      </c>
      <c r="AF2979">
        <v>0</v>
      </c>
    </row>
    <row r="2980" spans="1:32" ht="15" x14ac:dyDescent="0.35">
      <c r="A2980" t="s">
        <v>2145</v>
      </c>
      <c r="B2980" s="1">
        <v>45778</v>
      </c>
      <c r="C2980">
        <f>YEAR(OrdersTable[[#This Row],[Order Date]])</f>
        <v>2025</v>
      </c>
      <c r="D2980" s="2">
        <f>DATE(YEAR(OrdersTable[[#This Row],[Order Date]]),MONTH(OrdersTable[[#This Row],[Order Date]]),1)</f>
        <v>45778</v>
      </c>
      <c r="E2980">
        <f>MONTH(OrdersTable[[#This Row],[Order Date]])</f>
        <v>5</v>
      </c>
      <c r="F2980" t="s">
        <v>2146</v>
      </c>
      <c r="G2980" t="str">
        <f>IF(OrdersTable[[#This Row],[Order Date]]=_xlfn.MINIFS(Order_Date, Customer_ID, OrdersTable[[#This Row],[Customer ID]]), "New", "Repeat")</f>
        <v>New</v>
      </c>
      <c r="H2980" t="s">
        <v>21</v>
      </c>
      <c r="I2980" t="str">
        <f>INDEX(State!B:B,MATCH(OrdersTable[[#This Row],[State]],State!A:A,0))</f>
        <v>PB</v>
      </c>
      <c r="J2980" t="str">
        <f>INDEX(State!C:C,MATCH(OrdersTable[[#This Row],[State Code]],State!B:B,0))</f>
        <v>North</v>
      </c>
      <c r="K2980" t="s">
        <v>260</v>
      </c>
      <c r="L2980" t="s">
        <v>39</v>
      </c>
      <c r="M2980" t="s">
        <v>40</v>
      </c>
      <c r="N2980" t="str">
        <f>INDEX(Products!B:B,MATCH(OrdersTable[[#This Row],[Product ID]],Products!A:A,0))</f>
        <v>Ashwagandha Capsules</v>
      </c>
      <c r="O2980" t="str">
        <f>INDEX(Products!C:C,MATCH(OrdersTable[[#This Row],[Product ID]],Products!A:A,0))</f>
        <v>Wellness</v>
      </c>
      <c r="P2980">
        <v>1</v>
      </c>
      <c r="Q2980" s="5">
        <v>499</v>
      </c>
      <c r="R2980" s="74">
        <v>0.05</v>
      </c>
      <c r="S2980" s="75">
        <f>OrdersTable[[#This Row],[Quantity]]*OrdersTable[[#This Row],[Unit Price]]</f>
        <v>499</v>
      </c>
      <c r="T2980" s="5">
        <f>OrdersTable[[#This Row],[Gross Sale]]*OrdersTable[[#This Row],[Discount_Clean2]]</f>
        <v>24.950000000000003</v>
      </c>
      <c r="U2980" s="5">
        <f>OrdersTable[[#This Row],[Gross Sale]]-OrdersTable[[#This Row],[Discount Amount]]</f>
        <v>474.05</v>
      </c>
      <c r="V2980" s="77">
        <f>INDEX(Products!E:E,MATCH(OrdersTable[[#This Row],[Product ID]],Products!A:A,0))</f>
        <v>150</v>
      </c>
      <c r="W2980" s="77">
        <f>OrdersTable[[#This Row],[Quantity]]*OrdersTable[[#This Row],[Unit Cost]]</f>
        <v>150</v>
      </c>
      <c r="X2980" s="77">
        <f>'Dropdown Lists'!$I$2*(1+OrdersTable[[#This Row],[Returned]])</f>
        <v>60</v>
      </c>
      <c r="Y2980" s="76">
        <f>OrdersTable[[#This Row],[Net Revenue]]-OrdersTable[[#This Row],[COGS]]-OrdersTable[[#This Row],[Shipping Cost]]</f>
        <v>264.05</v>
      </c>
      <c r="Z2980" s="78">
        <f>IFERROR(OrdersTable[[#This Row],[Profit]]/OrdersTable[[#This Row],[Net Revenue]],0)</f>
        <v>0.55700875435080688</v>
      </c>
      <c r="AA2980" t="s">
        <v>18</v>
      </c>
      <c r="AB2980" s="79">
        <v>45783</v>
      </c>
      <c r="AC2980">
        <f>OrdersTable[[#This Row],[Delivery Date]]-OrdersTable[[#This Row],[Order Date]]</f>
        <v>5</v>
      </c>
      <c r="AD2980" t="str">
        <f>IF(OrdersTable[[#This Row],[Delivery Days]]&lt;=2, "Express (≤2d)", IF(OrdersTable[[#This Row],[Delivery Days]]&lt;=4, "Standard (3-4d)", "Delayed (5d+)"))</f>
        <v>Delayed (5d+)</v>
      </c>
      <c r="AE2980">
        <v>3</v>
      </c>
      <c r="AF2980">
        <v>0</v>
      </c>
    </row>
    <row r="2981" spans="1:32" ht="15" x14ac:dyDescent="0.35">
      <c r="A2981" t="s">
        <v>5813</v>
      </c>
      <c r="B2981" s="1">
        <v>45778</v>
      </c>
      <c r="C2981">
        <f>YEAR(OrdersTable[[#This Row],[Order Date]])</f>
        <v>2025</v>
      </c>
      <c r="D2981" s="2">
        <f>DATE(YEAR(OrdersTable[[#This Row],[Order Date]]),MONTH(OrdersTable[[#This Row],[Order Date]]),1)</f>
        <v>45778</v>
      </c>
      <c r="E2981">
        <f>MONTH(OrdersTable[[#This Row],[Order Date]])</f>
        <v>5</v>
      </c>
      <c r="F2981" t="s">
        <v>1166</v>
      </c>
      <c r="G2981" t="str">
        <f>IF(OrdersTable[[#This Row],[Order Date]]=_xlfn.MINIFS(Order_Date, Customer_ID, OrdersTable[[#This Row],[Customer ID]]), "New", "Repeat")</f>
        <v>Repeat</v>
      </c>
      <c r="H2981" t="s">
        <v>48</v>
      </c>
      <c r="I2981" t="str">
        <f>INDEX(State!B:B,MATCH(OrdersTable[[#This Row],[State]],State!A:A,0))</f>
        <v>HR</v>
      </c>
      <c r="J2981" t="str">
        <f>INDEX(State!C:C,MATCH(OrdersTable[[#This Row],[State Code]],State!B:B,0))</f>
        <v>North</v>
      </c>
      <c r="K2981" t="s">
        <v>151</v>
      </c>
      <c r="L2981" t="s">
        <v>39</v>
      </c>
      <c r="M2981" t="s">
        <v>61</v>
      </c>
      <c r="N2981" t="str">
        <f>INDEX(Products!B:B,MATCH(OrdersTable[[#This Row],[Product ID]],Products!A:A,0))</f>
        <v>Multivitamin Gummies</v>
      </c>
      <c r="O2981" t="str">
        <f>INDEX(Products!C:C,MATCH(OrdersTable[[#This Row],[Product ID]],Products!A:A,0))</f>
        <v>Wellness</v>
      </c>
      <c r="P2981">
        <v>2</v>
      </c>
      <c r="Q2981" s="5">
        <v>699</v>
      </c>
      <c r="R2981" s="74">
        <v>0.2</v>
      </c>
      <c r="S2981" s="75">
        <f>OrdersTable[[#This Row],[Quantity]]*OrdersTable[[#This Row],[Unit Price]]</f>
        <v>1398</v>
      </c>
      <c r="T2981" s="5">
        <f>OrdersTable[[#This Row],[Gross Sale]]*OrdersTable[[#This Row],[Discount_Clean2]]</f>
        <v>279.60000000000002</v>
      </c>
      <c r="U2981" s="5">
        <f>OrdersTable[[#This Row],[Gross Sale]]-OrdersTable[[#This Row],[Discount Amount]]</f>
        <v>1118.4000000000001</v>
      </c>
      <c r="V2981" s="77">
        <f>INDEX(Products!E:E,MATCH(OrdersTable[[#This Row],[Product ID]],Products!A:A,0))</f>
        <v>238</v>
      </c>
      <c r="W2981" s="77">
        <f>OrdersTable[[#This Row],[Quantity]]*OrdersTable[[#This Row],[Unit Cost]]</f>
        <v>476</v>
      </c>
      <c r="X2981" s="77">
        <f>'Dropdown Lists'!$I$2*(1+OrdersTable[[#This Row],[Returned]])</f>
        <v>60</v>
      </c>
      <c r="Y2981" s="76">
        <f>OrdersTable[[#This Row],[Net Revenue]]-OrdersTable[[#This Row],[COGS]]-OrdersTable[[#This Row],[Shipping Cost]]</f>
        <v>582.40000000000009</v>
      </c>
      <c r="Z2981" s="78">
        <f>IFERROR(OrdersTable[[#This Row],[Profit]]/OrdersTable[[#This Row],[Net Revenue]],0)</f>
        <v>0.5207439198855508</v>
      </c>
      <c r="AA2981" t="s">
        <v>18</v>
      </c>
      <c r="AB2981" s="79">
        <v>45780</v>
      </c>
      <c r="AC2981">
        <f>OrdersTable[[#This Row],[Delivery Date]]-OrdersTable[[#This Row],[Order Date]]</f>
        <v>2</v>
      </c>
      <c r="AD2981" t="str">
        <f>IF(OrdersTable[[#This Row],[Delivery Days]]&lt;=2, "Express (≤2d)", IF(OrdersTable[[#This Row],[Delivery Days]]&lt;=4, "Standard (3-4d)", "Delayed (5d+)"))</f>
        <v>Express (≤2d)</v>
      </c>
      <c r="AE2981">
        <v>5</v>
      </c>
      <c r="AF2981">
        <v>0</v>
      </c>
    </row>
    <row r="2982" spans="1:32" ht="15" x14ac:dyDescent="0.35">
      <c r="A2982" t="s">
        <v>4520</v>
      </c>
      <c r="B2982" s="1">
        <v>45778</v>
      </c>
      <c r="C2982">
        <f>YEAR(OrdersTable[[#This Row],[Order Date]])</f>
        <v>2025</v>
      </c>
      <c r="D2982" s="2">
        <f>DATE(YEAR(OrdersTable[[#This Row],[Order Date]]),MONTH(OrdersTable[[#This Row],[Order Date]]),1)</f>
        <v>45778</v>
      </c>
      <c r="E2982">
        <f>MONTH(OrdersTable[[#This Row],[Order Date]])</f>
        <v>5</v>
      </c>
      <c r="F2982" t="s">
        <v>213</v>
      </c>
      <c r="G2982" t="str">
        <f>IF(OrdersTable[[#This Row],[Order Date]]=_xlfn.MINIFS(Order_Date, Customer_ID, OrdersTable[[#This Row],[Customer ID]]), "New", "Repeat")</f>
        <v>Repeat</v>
      </c>
      <c r="H2982" t="s">
        <v>76</v>
      </c>
      <c r="I2982" t="str">
        <f>INDEX(State!B:B,MATCH(OrdersTable[[#This Row],[State]],State!A:A,0))</f>
        <v>UP</v>
      </c>
      <c r="J2982" t="str">
        <f>INDEX(State!C:C,MATCH(OrdersTable[[#This Row],[State Code]],State!B:B,0))</f>
        <v>North</v>
      </c>
      <c r="K2982" t="s">
        <v>118</v>
      </c>
      <c r="L2982" t="s">
        <v>65</v>
      </c>
      <c r="M2982" t="s">
        <v>173</v>
      </c>
      <c r="N2982" t="str">
        <f>INDEX(Products!B:B,MATCH(OrdersTable[[#This Row],[Product ID]],Products!A:A,0))</f>
        <v>Wireless Earbuds</v>
      </c>
      <c r="O2982" t="str">
        <f>INDEX(Products!C:C,MATCH(OrdersTable[[#This Row],[Product ID]],Products!A:A,0))</f>
        <v>Electronics</v>
      </c>
      <c r="P2982">
        <v>1</v>
      </c>
      <c r="Q2982" s="5">
        <v>1999</v>
      </c>
      <c r="R2982" s="74">
        <v>0.4</v>
      </c>
      <c r="S2982" s="75">
        <f>OrdersTable[[#This Row],[Quantity]]*OrdersTable[[#This Row],[Unit Price]]</f>
        <v>1999</v>
      </c>
      <c r="T2982" s="5">
        <f>OrdersTable[[#This Row],[Gross Sale]]*OrdersTable[[#This Row],[Discount_Clean2]]</f>
        <v>799.6</v>
      </c>
      <c r="U2982" s="5">
        <f>OrdersTable[[#This Row],[Gross Sale]]-OrdersTable[[#This Row],[Discount Amount]]</f>
        <v>1199.4000000000001</v>
      </c>
      <c r="V2982" s="77">
        <f>INDEX(Products!E:E,MATCH(OrdersTable[[#This Row],[Product ID]],Products!A:A,0))</f>
        <v>1239</v>
      </c>
      <c r="W2982" s="77">
        <f>OrdersTable[[#This Row],[Quantity]]*OrdersTable[[#This Row],[Unit Cost]]</f>
        <v>1239</v>
      </c>
      <c r="X2982" s="77">
        <f>'Dropdown Lists'!$I$2*(1+OrdersTable[[#This Row],[Returned]])</f>
        <v>60</v>
      </c>
      <c r="Y2982" s="76">
        <f>OrdersTable[[#This Row],[Net Revenue]]-OrdersTable[[#This Row],[COGS]]-OrdersTable[[#This Row],[Shipping Cost]]</f>
        <v>-99.599999999999909</v>
      </c>
      <c r="Z2982" s="78">
        <f>IFERROR(OrdersTable[[#This Row],[Profit]]/OrdersTable[[#This Row],[Net Revenue]],0)</f>
        <v>-8.3041520760380114E-2</v>
      </c>
      <c r="AA2982" t="s">
        <v>4450</v>
      </c>
      <c r="AB2982" s="79">
        <v>45782</v>
      </c>
      <c r="AC2982">
        <f>OrdersTable[[#This Row],[Delivery Date]]-OrdersTable[[#This Row],[Order Date]]</f>
        <v>4</v>
      </c>
      <c r="AD2982" t="str">
        <f>IF(OrdersTable[[#This Row],[Delivery Days]]&lt;=2, "Express (≤2d)", IF(OrdersTable[[#This Row],[Delivery Days]]&lt;=4, "Standard (3-4d)", "Delayed (5d+)"))</f>
        <v>Standard (3-4d)</v>
      </c>
      <c r="AE2982">
        <v>4</v>
      </c>
      <c r="AF2982">
        <v>0</v>
      </c>
    </row>
    <row r="2983" spans="1:32" ht="15" x14ac:dyDescent="0.35">
      <c r="A2983" t="s">
        <v>1983</v>
      </c>
      <c r="B2983" s="1">
        <v>45778</v>
      </c>
      <c r="C2983">
        <f>YEAR(OrdersTable[[#This Row],[Order Date]])</f>
        <v>2025</v>
      </c>
      <c r="D2983" s="2">
        <f>DATE(YEAR(OrdersTable[[#This Row],[Order Date]]),MONTH(OrdersTable[[#This Row],[Order Date]]),1)</f>
        <v>45778</v>
      </c>
      <c r="E2983">
        <f>MONTH(OrdersTable[[#This Row],[Order Date]])</f>
        <v>5</v>
      </c>
      <c r="F2983" t="s">
        <v>1984</v>
      </c>
      <c r="G2983" t="str">
        <f>IF(OrdersTable[[#This Row],[Order Date]]=_xlfn.MINIFS(Order_Date, Customer_ID, OrdersTable[[#This Row],[Customer ID]]), "New", "Repeat")</f>
        <v>Repeat</v>
      </c>
      <c r="H2983" t="s">
        <v>132</v>
      </c>
      <c r="I2983" t="str">
        <f>INDEX(State!B:B,MATCH(OrdersTable[[#This Row],[State]],State!A:A,0))</f>
        <v>AS</v>
      </c>
      <c r="J2983" t="str">
        <f>INDEX(State!C:C,MATCH(OrdersTable[[#This Row],[State Code]],State!B:B,0))</f>
        <v>East</v>
      </c>
      <c r="K2983" t="s">
        <v>133</v>
      </c>
      <c r="L2983" t="s">
        <v>16</v>
      </c>
      <c r="M2983" t="s">
        <v>34</v>
      </c>
      <c r="N2983" t="str">
        <f>INDEX(Products!B:B,MATCH(OrdersTable[[#This Row],[Product ID]],Products!A:A,0))</f>
        <v>Flip Flops</v>
      </c>
      <c r="O2983" t="str">
        <f>INDEX(Products!C:C,MATCH(OrdersTable[[#This Row],[Product ID]],Products!A:A,0))</f>
        <v>Footwear</v>
      </c>
      <c r="P2983">
        <v>1</v>
      </c>
      <c r="Q2983" s="5">
        <v>399</v>
      </c>
      <c r="R2983" s="74">
        <v>0.1</v>
      </c>
      <c r="S2983" s="75">
        <f>OrdersTable[[#This Row],[Quantity]]*OrdersTable[[#This Row],[Unit Price]]</f>
        <v>399</v>
      </c>
      <c r="T2983" s="5">
        <f>OrdersTable[[#This Row],[Gross Sale]]*OrdersTable[[#This Row],[Discount_Clean2]]</f>
        <v>39.900000000000006</v>
      </c>
      <c r="U2983" s="5">
        <f>OrdersTable[[#This Row],[Gross Sale]]-OrdersTable[[#This Row],[Discount Amount]]</f>
        <v>359.1</v>
      </c>
      <c r="V2983" s="77">
        <f>INDEX(Products!E:E,MATCH(OrdersTable[[#This Row],[Product ID]],Products!A:A,0))</f>
        <v>152</v>
      </c>
      <c r="W2983" s="77">
        <f>OrdersTable[[#This Row],[Quantity]]*OrdersTable[[#This Row],[Unit Cost]]</f>
        <v>152</v>
      </c>
      <c r="X2983" s="77">
        <f>'Dropdown Lists'!$I$2*(1+OrdersTable[[#This Row],[Returned]])</f>
        <v>120</v>
      </c>
      <c r="Y2983" s="76">
        <f>OrdersTable[[#This Row],[Net Revenue]]-OrdersTable[[#This Row],[COGS]]-OrdersTable[[#This Row],[Shipping Cost]]</f>
        <v>87.100000000000023</v>
      </c>
      <c r="Z2983" s="78">
        <f>IFERROR(OrdersTable[[#This Row],[Profit]]/OrdersTable[[#This Row],[Net Revenue]],0)</f>
        <v>0.24255082149818996</v>
      </c>
      <c r="AA2983" t="s">
        <v>18</v>
      </c>
      <c r="AB2983" s="79">
        <v>45786</v>
      </c>
      <c r="AC2983">
        <f>OrdersTable[[#This Row],[Delivery Date]]-OrdersTable[[#This Row],[Order Date]]</f>
        <v>8</v>
      </c>
      <c r="AD2983" t="str">
        <f>IF(OrdersTable[[#This Row],[Delivery Days]]&lt;=2, "Express (≤2d)", IF(OrdersTable[[#This Row],[Delivery Days]]&lt;=4, "Standard (3-4d)", "Delayed (5d+)"))</f>
        <v>Delayed (5d+)</v>
      </c>
      <c r="AE2983">
        <v>3</v>
      </c>
      <c r="AF2983">
        <v>1</v>
      </c>
    </row>
    <row r="2984" spans="1:32" ht="15" x14ac:dyDescent="0.35">
      <c r="A2984" t="s">
        <v>2147</v>
      </c>
      <c r="B2984" s="1">
        <v>45778</v>
      </c>
      <c r="C2984">
        <f>YEAR(OrdersTable[[#This Row],[Order Date]])</f>
        <v>2025</v>
      </c>
      <c r="D2984" s="2">
        <f>DATE(YEAR(OrdersTable[[#This Row],[Order Date]]),MONTH(OrdersTable[[#This Row],[Order Date]]),1)</f>
        <v>45778</v>
      </c>
      <c r="E2984">
        <f>MONTH(OrdersTable[[#This Row],[Order Date]])</f>
        <v>5</v>
      </c>
      <c r="F2984" t="s">
        <v>2148</v>
      </c>
      <c r="G2984" t="str">
        <f>IF(OrdersTable[[#This Row],[Order Date]]=_xlfn.MINIFS(Order_Date, Customer_ID, OrdersTable[[#This Row],[Customer ID]]), "New", "Repeat")</f>
        <v>Repeat</v>
      </c>
      <c r="H2984" t="s">
        <v>27</v>
      </c>
      <c r="I2984" t="str">
        <f>INDEX(State!B:B,MATCH(OrdersTable[[#This Row],[State]],State!A:A,0))</f>
        <v>WB</v>
      </c>
      <c r="J2984" t="str">
        <f>INDEX(State!C:C,MATCH(OrdersTable[[#This Row],[State Code]],State!B:B,0))</f>
        <v>East</v>
      </c>
      <c r="K2984" t="s">
        <v>28</v>
      </c>
      <c r="L2984" t="s">
        <v>16</v>
      </c>
      <c r="M2984" t="s">
        <v>34</v>
      </c>
      <c r="N2984" t="str">
        <f>INDEX(Products!B:B,MATCH(OrdersTable[[#This Row],[Product ID]],Products!A:A,0))</f>
        <v>Flip Flops</v>
      </c>
      <c r="O2984" t="str">
        <f>INDEX(Products!C:C,MATCH(OrdersTable[[#This Row],[Product ID]],Products!A:A,0))</f>
        <v>Footwear</v>
      </c>
      <c r="P2984">
        <v>1</v>
      </c>
      <c r="Q2984" s="5">
        <v>399</v>
      </c>
      <c r="R2984" s="74">
        <v>0.05</v>
      </c>
      <c r="S2984" s="75">
        <f>OrdersTable[[#This Row],[Quantity]]*OrdersTable[[#This Row],[Unit Price]]</f>
        <v>399</v>
      </c>
      <c r="T2984" s="5">
        <f>OrdersTable[[#This Row],[Gross Sale]]*OrdersTable[[#This Row],[Discount_Clean2]]</f>
        <v>19.950000000000003</v>
      </c>
      <c r="U2984" s="5">
        <f>OrdersTable[[#This Row],[Gross Sale]]-OrdersTable[[#This Row],[Discount Amount]]</f>
        <v>379.05</v>
      </c>
      <c r="V2984" s="77">
        <f>INDEX(Products!E:E,MATCH(OrdersTable[[#This Row],[Product ID]],Products!A:A,0))</f>
        <v>152</v>
      </c>
      <c r="W2984" s="77">
        <f>OrdersTable[[#This Row],[Quantity]]*OrdersTable[[#This Row],[Unit Cost]]</f>
        <v>152</v>
      </c>
      <c r="X2984" s="77">
        <f>'Dropdown Lists'!$I$2*(1+OrdersTable[[#This Row],[Returned]])</f>
        <v>60</v>
      </c>
      <c r="Y2984" s="76">
        <f>OrdersTable[[#This Row],[Net Revenue]]-OrdersTable[[#This Row],[COGS]]-OrdersTable[[#This Row],[Shipping Cost]]</f>
        <v>167.05</v>
      </c>
      <c r="Z2984" s="78">
        <f>IFERROR(OrdersTable[[#This Row],[Profit]]/OrdersTable[[#This Row],[Net Revenue]],0)</f>
        <v>0.44070703073473161</v>
      </c>
      <c r="AA2984" t="s">
        <v>18</v>
      </c>
      <c r="AB2984" s="79">
        <v>45784</v>
      </c>
      <c r="AC2984">
        <f>OrdersTable[[#This Row],[Delivery Date]]-OrdersTable[[#This Row],[Order Date]]</f>
        <v>6</v>
      </c>
      <c r="AD2984" t="str">
        <f>IF(OrdersTable[[#This Row],[Delivery Days]]&lt;=2, "Express (≤2d)", IF(OrdersTable[[#This Row],[Delivery Days]]&lt;=4, "Standard (3-4d)", "Delayed (5d+)"))</f>
        <v>Delayed (5d+)</v>
      </c>
      <c r="AE2984">
        <v>3</v>
      </c>
      <c r="AF2984">
        <v>0</v>
      </c>
    </row>
    <row r="2985" spans="1:32" ht="15" x14ac:dyDescent="0.35">
      <c r="A2985" t="s">
        <v>5193</v>
      </c>
      <c r="B2985" s="1">
        <v>45778</v>
      </c>
      <c r="C2985">
        <f>YEAR(OrdersTable[[#This Row],[Order Date]])</f>
        <v>2025</v>
      </c>
      <c r="D2985" s="2">
        <f>DATE(YEAR(OrdersTable[[#This Row],[Order Date]]),MONTH(OrdersTable[[#This Row],[Order Date]]),1)</f>
        <v>45778</v>
      </c>
      <c r="E2985">
        <f>MONTH(OrdersTable[[#This Row],[Order Date]])</f>
        <v>5</v>
      </c>
      <c r="F2985" t="s">
        <v>1686</v>
      </c>
      <c r="G2985" t="str">
        <f>IF(OrdersTable[[#This Row],[Order Date]]=_xlfn.MINIFS(Order_Date, Customer_ID, OrdersTable[[#This Row],[Customer ID]]), "New", "Repeat")</f>
        <v>Repeat</v>
      </c>
      <c r="H2985" t="s">
        <v>90</v>
      </c>
      <c r="I2985" t="str">
        <f>INDEX(State!B:B,MATCH(OrdersTable[[#This Row],[State]],State!A:A,0))</f>
        <v>GA</v>
      </c>
      <c r="J2985" t="str">
        <f>INDEX(State!C:C,MATCH(OrdersTable[[#This Row],[State Code]],State!B:B,0))</f>
        <v>West</v>
      </c>
      <c r="K2985" t="s">
        <v>91</v>
      </c>
      <c r="L2985" t="s">
        <v>39</v>
      </c>
      <c r="M2985" t="s">
        <v>51</v>
      </c>
      <c r="N2985" t="str">
        <f>INDEX(Products!B:B,MATCH(OrdersTable[[#This Row],[Product ID]],Products!A:A,0))</f>
        <v>Anti-Dandruff Conditioner</v>
      </c>
      <c r="O2985" t="str">
        <f>INDEX(Products!C:C,MATCH(OrdersTable[[#This Row],[Product ID]],Products!A:A,0))</f>
        <v>Haircare</v>
      </c>
      <c r="P2985">
        <v>2</v>
      </c>
      <c r="Q2985" s="5">
        <v>399</v>
      </c>
      <c r="R2985" s="74">
        <v>0.3</v>
      </c>
      <c r="S2985" s="75">
        <f>OrdersTable[[#This Row],[Quantity]]*OrdersTable[[#This Row],[Unit Price]]</f>
        <v>798</v>
      </c>
      <c r="T2985" s="5">
        <f>OrdersTable[[#This Row],[Gross Sale]]*OrdersTable[[#This Row],[Discount_Clean2]]</f>
        <v>239.39999999999998</v>
      </c>
      <c r="U2985" s="5">
        <f>OrdersTable[[#This Row],[Gross Sale]]-OrdersTable[[#This Row],[Discount Amount]]</f>
        <v>558.6</v>
      </c>
      <c r="V2985" s="77">
        <f>INDEX(Products!E:E,MATCH(OrdersTable[[#This Row],[Product ID]],Products!A:A,0))</f>
        <v>136</v>
      </c>
      <c r="W2985" s="77">
        <f>OrdersTable[[#This Row],[Quantity]]*OrdersTable[[#This Row],[Unit Cost]]</f>
        <v>272</v>
      </c>
      <c r="X2985" s="77">
        <f>'Dropdown Lists'!$I$2*(1+OrdersTable[[#This Row],[Returned]])</f>
        <v>60</v>
      </c>
      <c r="Y2985" s="76">
        <f>OrdersTable[[#This Row],[Net Revenue]]-OrdersTable[[#This Row],[COGS]]-OrdersTable[[#This Row],[Shipping Cost]]</f>
        <v>226.60000000000002</v>
      </c>
      <c r="Z2985" s="78">
        <f>IFERROR(OrdersTable[[#This Row],[Profit]]/OrdersTable[[#This Row],[Net Revenue]],0)</f>
        <v>0.40565699964196206</v>
      </c>
      <c r="AA2985" t="s">
        <v>3495</v>
      </c>
      <c r="AB2985" s="79">
        <v>45782</v>
      </c>
      <c r="AC2985">
        <f>OrdersTable[[#This Row],[Delivery Date]]-OrdersTable[[#This Row],[Order Date]]</f>
        <v>4</v>
      </c>
      <c r="AD2985" t="str">
        <f>IF(OrdersTable[[#This Row],[Delivery Days]]&lt;=2, "Express (≤2d)", IF(OrdersTable[[#This Row],[Delivery Days]]&lt;=4, "Standard (3-4d)", "Delayed (5d+)"))</f>
        <v>Standard (3-4d)</v>
      </c>
      <c r="AE2985">
        <v>4</v>
      </c>
      <c r="AF2985">
        <v>0</v>
      </c>
    </row>
    <row r="2986" spans="1:32" ht="15" x14ac:dyDescent="0.35">
      <c r="A2986" t="s">
        <v>2149</v>
      </c>
      <c r="B2986" s="1">
        <v>45778</v>
      </c>
      <c r="C2986">
        <f>YEAR(OrdersTable[[#This Row],[Order Date]])</f>
        <v>2025</v>
      </c>
      <c r="D2986" s="2">
        <f>DATE(YEAR(OrdersTable[[#This Row],[Order Date]]),MONTH(OrdersTable[[#This Row],[Order Date]]),1)</f>
        <v>45778</v>
      </c>
      <c r="E2986">
        <f>MONTH(OrdersTable[[#This Row],[Order Date]])</f>
        <v>5</v>
      </c>
      <c r="F2986" t="s">
        <v>2150</v>
      </c>
      <c r="G2986" t="str">
        <f>IF(OrdersTable[[#This Row],[Order Date]]=_xlfn.MINIFS(Order_Date, Customer_ID, OrdersTable[[#This Row],[Customer ID]]), "New", "Repeat")</f>
        <v>New</v>
      </c>
      <c r="H2986" t="s">
        <v>167</v>
      </c>
      <c r="I2986" t="str">
        <f>INDEX(State!B:B,MATCH(OrdersTable[[#This Row],[State]],State!A:A,0))</f>
        <v>KA</v>
      </c>
      <c r="J2986" t="str">
        <f>INDEX(State!C:C,MATCH(OrdersTable[[#This Row],[State Code]],State!B:B,0))</f>
        <v>South</v>
      </c>
      <c r="K2986" t="s">
        <v>190</v>
      </c>
      <c r="L2986" t="s">
        <v>39</v>
      </c>
      <c r="M2986" t="s">
        <v>160</v>
      </c>
      <c r="N2986" t="str">
        <f>INDEX(Products!B:B,MATCH(OrdersTable[[#This Row],[Product ID]],Products!A:A,0))</f>
        <v>Niacinamide Toner</v>
      </c>
      <c r="O2986" t="str">
        <f>INDEX(Products!C:C,MATCH(OrdersTable[[#This Row],[Product ID]],Products!A:A,0))</f>
        <v>Skincare</v>
      </c>
      <c r="P2986">
        <v>1</v>
      </c>
      <c r="Q2986" s="5">
        <v>399</v>
      </c>
      <c r="R2986" s="74">
        <v>0.2</v>
      </c>
      <c r="S2986" s="75">
        <f>OrdersTable[[#This Row],[Quantity]]*OrdersTable[[#This Row],[Unit Price]]</f>
        <v>399</v>
      </c>
      <c r="T2986" s="5">
        <f>OrdersTable[[#This Row],[Gross Sale]]*OrdersTable[[#This Row],[Discount_Clean2]]</f>
        <v>79.800000000000011</v>
      </c>
      <c r="U2986" s="5">
        <f>OrdersTable[[#This Row],[Gross Sale]]-OrdersTable[[#This Row],[Discount Amount]]</f>
        <v>319.2</v>
      </c>
      <c r="V2986" s="77">
        <f>INDEX(Products!E:E,MATCH(OrdersTable[[#This Row],[Product ID]],Products!A:A,0))</f>
        <v>112</v>
      </c>
      <c r="W2986" s="77">
        <f>OrdersTable[[#This Row],[Quantity]]*OrdersTable[[#This Row],[Unit Cost]]</f>
        <v>112</v>
      </c>
      <c r="X2986" s="77">
        <f>'Dropdown Lists'!$I$2*(1+OrdersTable[[#This Row],[Returned]])</f>
        <v>60</v>
      </c>
      <c r="Y2986" s="76">
        <f>OrdersTable[[#This Row],[Net Revenue]]-OrdersTable[[#This Row],[COGS]]-OrdersTable[[#This Row],[Shipping Cost]]</f>
        <v>147.19999999999999</v>
      </c>
      <c r="Z2986" s="78">
        <f>IFERROR(OrdersTable[[#This Row],[Profit]]/OrdersTable[[#This Row],[Net Revenue]],0)</f>
        <v>0.46115288220551376</v>
      </c>
      <c r="AA2986" t="s">
        <v>18</v>
      </c>
      <c r="AB2986" s="79">
        <v>45780</v>
      </c>
      <c r="AC2986">
        <f>OrdersTable[[#This Row],[Delivery Date]]-OrdersTable[[#This Row],[Order Date]]</f>
        <v>2</v>
      </c>
      <c r="AD2986" t="str">
        <f>IF(OrdersTable[[#This Row],[Delivery Days]]&lt;=2, "Express (≤2d)", IF(OrdersTable[[#This Row],[Delivery Days]]&lt;=4, "Standard (3-4d)", "Delayed (5d+)"))</f>
        <v>Express (≤2d)</v>
      </c>
      <c r="AE2986">
        <v>3</v>
      </c>
      <c r="AF2986">
        <v>0</v>
      </c>
    </row>
    <row r="2987" spans="1:32" ht="15" x14ac:dyDescent="0.35">
      <c r="A2987" t="s">
        <v>1985</v>
      </c>
      <c r="B2987" s="1">
        <v>45779</v>
      </c>
      <c r="C2987">
        <f>YEAR(OrdersTable[[#This Row],[Order Date]])</f>
        <v>2025</v>
      </c>
      <c r="D2987" s="2">
        <f>DATE(YEAR(OrdersTable[[#This Row],[Order Date]]),MONTH(OrdersTable[[#This Row],[Order Date]]),1)</f>
        <v>45778</v>
      </c>
      <c r="E2987">
        <f>MONTH(OrdersTable[[#This Row],[Order Date]])</f>
        <v>5</v>
      </c>
      <c r="F2987" t="s">
        <v>1986</v>
      </c>
      <c r="G2987" t="str">
        <f>IF(OrdersTable[[#This Row],[Order Date]]=_xlfn.MINIFS(Order_Date, Customer_ID, OrdersTable[[#This Row],[Customer ID]]), "New", "Repeat")</f>
        <v>New</v>
      </c>
      <c r="H2987" t="s">
        <v>32</v>
      </c>
      <c r="I2987" t="str">
        <f>INDEX(State!B:B,MATCH(OrdersTable[[#This Row],[State]],State!A:A,0))</f>
        <v>BR</v>
      </c>
      <c r="J2987" t="str">
        <f>INDEX(State!C:C,MATCH(OrdersTable[[#This Row],[State Code]],State!B:B,0))</f>
        <v>East</v>
      </c>
      <c r="K2987" t="s">
        <v>33</v>
      </c>
      <c r="L2987" t="s">
        <v>39</v>
      </c>
      <c r="M2987" t="s">
        <v>148</v>
      </c>
      <c r="N2987" t="str">
        <f>INDEX(Products!B:B,MATCH(OrdersTable[[#This Row],[Product ID]],Products!A:A,0))</f>
        <v>Smartwatch Strap</v>
      </c>
      <c r="O2987" t="str">
        <f>INDEX(Products!C:C,MATCH(OrdersTable[[#This Row],[Product ID]],Products!A:A,0))</f>
        <v>Electronics</v>
      </c>
      <c r="P2987">
        <v>1</v>
      </c>
      <c r="Q2987" s="5">
        <v>499</v>
      </c>
      <c r="R2987" s="74">
        <v>0.05</v>
      </c>
      <c r="S2987" s="75">
        <f>OrdersTable[[#This Row],[Quantity]]*OrdersTable[[#This Row],[Unit Price]]</f>
        <v>499</v>
      </c>
      <c r="T2987" s="5">
        <f>OrdersTable[[#This Row],[Gross Sale]]*OrdersTable[[#This Row],[Discount_Clean2]]</f>
        <v>24.950000000000003</v>
      </c>
      <c r="U2987" s="5">
        <f>OrdersTable[[#This Row],[Gross Sale]]-OrdersTable[[#This Row],[Discount Amount]]</f>
        <v>474.05</v>
      </c>
      <c r="V2987" s="77">
        <f>INDEX(Products!E:E,MATCH(OrdersTable[[#This Row],[Product ID]],Products!A:A,0))</f>
        <v>200</v>
      </c>
      <c r="W2987" s="77">
        <f>OrdersTable[[#This Row],[Quantity]]*OrdersTable[[#This Row],[Unit Cost]]</f>
        <v>200</v>
      </c>
      <c r="X2987" s="77">
        <f>'Dropdown Lists'!$I$2*(1+OrdersTable[[#This Row],[Returned]])</f>
        <v>60</v>
      </c>
      <c r="Y2987" s="76">
        <f>OrdersTable[[#This Row],[Net Revenue]]-OrdersTable[[#This Row],[COGS]]-OrdersTable[[#This Row],[Shipping Cost]]</f>
        <v>214.05</v>
      </c>
      <c r="Z2987" s="78">
        <f>IFERROR(OrdersTable[[#This Row],[Profit]]/OrdersTable[[#This Row],[Net Revenue]],0)</f>
        <v>0.45153464824385614</v>
      </c>
      <c r="AA2987" t="s">
        <v>18</v>
      </c>
      <c r="AB2987" s="79">
        <v>45786</v>
      </c>
      <c r="AC2987">
        <f>OrdersTable[[#This Row],[Delivery Date]]-OrdersTable[[#This Row],[Order Date]]</f>
        <v>7</v>
      </c>
      <c r="AD2987" t="str">
        <f>IF(OrdersTable[[#This Row],[Delivery Days]]&lt;=2, "Express (≤2d)", IF(OrdersTable[[#This Row],[Delivery Days]]&lt;=4, "Standard (3-4d)", "Delayed (5d+)"))</f>
        <v>Delayed (5d+)</v>
      </c>
      <c r="AE2987">
        <v>3</v>
      </c>
      <c r="AF2987">
        <v>0</v>
      </c>
    </row>
    <row r="2988" spans="1:32" ht="15" x14ac:dyDescent="0.35">
      <c r="A2988" t="s">
        <v>4065</v>
      </c>
      <c r="B2988" s="1">
        <v>45779</v>
      </c>
      <c r="C2988">
        <f>YEAR(OrdersTable[[#This Row],[Order Date]])</f>
        <v>2025</v>
      </c>
      <c r="D2988" s="2">
        <f>DATE(YEAR(OrdersTable[[#This Row],[Order Date]]),MONTH(OrdersTable[[#This Row],[Order Date]]),1)</f>
        <v>45778</v>
      </c>
      <c r="E2988">
        <f>MONTH(OrdersTable[[#This Row],[Order Date]])</f>
        <v>5</v>
      </c>
      <c r="F2988" t="s">
        <v>2173</v>
      </c>
      <c r="G2988" t="str">
        <f>IF(OrdersTable[[#This Row],[Order Date]]=_xlfn.MINIFS(Order_Date, Customer_ID, OrdersTable[[#This Row],[Customer ID]]), "New", "Repeat")</f>
        <v>New</v>
      </c>
      <c r="H2988" t="s">
        <v>132</v>
      </c>
      <c r="I2988" t="str">
        <f>INDEX(State!B:B,MATCH(OrdersTable[[#This Row],[State]],State!A:A,0))</f>
        <v>AS</v>
      </c>
      <c r="J2988" t="str">
        <f>INDEX(State!C:C,MATCH(OrdersTable[[#This Row],[State Code]],State!B:B,0))</f>
        <v>East</v>
      </c>
      <c r="K2988" t="s">
        <v>133</v>
      </c>
      <c r="L2988" t="s">
        <v>39</v>
      </c>
      <c r="M2988" t="s">
        <v>45</v>
      </c>
      <c r="N2988" t="str">
        <f>INDEX(Products!B:B,MATCH(OrdersTable[[#This Row],[Product ID]],Products!A:A,0))</f>
        <v>Argan Shampoo</v>
      </c>
      <c r="O2988" t="str">
        <f>INDEX(Products!C:C,MATCH(OrdersTable[[#This Row],[Product ID]],Products!A:A,0))</f>
        <v>Haircare</v>
      </c>
      <c r="P2988">
        <v>1</v>
      </c>
      <c r="Q2988" s="5">
        <v>449</v>
      </c>
      <c r="R2988" s="74">
        <v>0.1</v>
      </c>
      <c r="S2988" s="75">
        <f>OrdersTable[[#This Row],[Quantity]]*OrdersTable[[#This Row],[Unit Price]]</f>
        <v>449</v>
      </c>
      <c r="T2988" s="5">
        <f>OrdersTable[[#This Row],[Gross Sale]]*OrdersTable[[#This Row],[Discount_Clean2]]</f>
        <v>44.900000000000006</v>
      </c>
      <c r="U2988" s="5">
        <f>OrdersTable[[#This Row],[Gross Sale]]-OrdersTable[[#This Row],[Discount Amount]]</f>
        <v>404.1</v>
      </c>
      <c r="V2988" s="77">
        <f>INDEX(Products!E:E,MATCH(OrdersTable[[#This Row],[Product ID]],Products!A:A,0))</f>
        <v>148</v>
      </c>
      <c r="W2988" s="77">
        <f>OrdersTable[[#This Row],[Quantity]]*OrdersTable[[#This Row],[Unit Cost]]</f>
        <v>148</v>
      </c>
      <c r="X2988" s="77">
        <f>'Dropdown Lists'!$I$2*(1+OrdersTable[[#This Row],[Returned]])</f>
        <v>60</v>
      </c>
      <c r="Y2988" s="76">
        <f>OrdersTable[[#This Row],[Net Revenue]]-OrdersTable[[#This Row],[COGS]]-OrdersTable[[#This Row],[Shipping Cost]]</f>
        <v>196.10000000000002</v>
      </c>
      <c r="Z2988" s="78">
        <f>IFERROR(OrdersTable[[#This Row],[Profit]]/OrdersTable[[#This Row],[Net Revenue]],0)</f>
        <v>0.48527592180153428</v>
      </c>
      <c r="AA2988" t="s">
        <v>3495</v>
      </c>
      <c r="AB2988" s="79">
        <v>45787</v>
      </c>
      <c r="AC2988">
        <f>OrdersTable[[#This Row],[Delivery Date]]-OrdersTable[[#This Row],[Order Date]]</f>
        <v>8</v>
      </c>
      <c r="AD2988" t="str">
        <f>IF(OrdersTable[[#This Row],[Delivery Days]]&lt;=2, "Express (≤2d)", IF(OrdersTable[[#This Row],[Delivery Days]]&lt;=4, "Standard (3-4d)", "Delayed (5d+)"))</f>
        <v>Delayed (5d+)</v>
      </c>
      <c r="AE2988">
        <v>2</v>
      </c>
      <c r="AF2988">
        <v>0</v>
      </c>
    </row>
    <row r="2989" spans="1:32" ht="15" x14ac:dyDescent="0.35">
      <c r="A2989" t="s">
        <v>2151</v>
      </c>
      <c r="B2989" s="1">
        <v>45779</v>
      </c>
      <c r="C2989">
        <f>YEAR(OrdersTable[[#This Row],[Order Date]])</f>
        <v>2025</v>
      </c>
      <c r="D2989" s="2">
        <f>DATE(YEAR(OrdersTable[[#This Row],[Order Date]]),MONTH(OrdersTable[[#This Row],[Order Date]]),1)</f>
        <v>45778</v>
      </c>
      <c r="E2989">
        <f>MONTH(OrdersTable[[#This Row],[Order Date]])</f>
        <v>5</v>
      </c>
      <c r="F2989" t="s">
        <v>2152</v>
      </c>
      <c r="G2989" t="str">
        <f>IF(OrdersTable[[#This Row],[Order Date]]=_xlfn.MINIFS(Order_Date, Customer_ID, OrdersTable[[#This Row],[Customer ID]]), "New", "Repeat")</f>
        <v>New</v>
      </c>
      <c r="H2989" t="s">
        <v>37</v>
      </c>
      <c r="I2989" t="str">
        <f>INDEX(State!B:B,MATCH(OrdersTable[[#This Row],[State]],State!A:A,0))</f>
        <v>GJ</v>
      </c>
      <c r="J2989" t="str">
        <f>INDEX(State!C:C,MATCH(OrdersTable[[#This Row],[State Code]],State!B:B,0))</f>
        <v>West</v>
      </c>
      <c r="K2989" t="s">
        <v>38</v>
      </c>
      <c r="L2989" t="s">
        <v>23</v>
      </c>
      <c r="M2989" t="s">
        <v>78</v>
      </c>
      <c r="N2989" t="str">
        <f>INDEX(Products!B:B,MATCH(OrdersTable[[#This Row],[Product ID]],Products!A:A,0))</f>
        <v>Retinol Night Cream</v>
      </c>
      <c r="O2989" t="str">
        <f>INDEX(Products!C:C,MATCH(OrdersTable[[#This Row],[Product ID]],Products!A:A,0))</f>
        <v>Skincare</v>
      </c>
      <c r="P2989">
        <v>1</v>
      </c>
      <c r="Q2989" s="5">
        <v>799</v>
      </c>
      <c r="R2989" s="74">
        <v>0.05</v>
      </c>
      <c r="S2989" s="75">
        <f>OrdersTable[[#This Row],[Quantity]]*OrdersTable[[#This Row],[Unit Price]]</f>
        <v>799</v>
      </c>
      <c r="T2989" s="5">
        <f>OrdersTable[[#This Row],[Gross Sale]]*OrdersTable[[#This Row],[Discount_Clean2]]</f>
        <v>39.950000000000003</v>
      </c>
      <c r="U2989" s="5">
        <f>OrdersTable[[#This Row],[Gross Sale]]-OrdersTable[[#This Row],[Discount Amount]]</f>
        <v>759.05</v>
      </c>
      <c r="V2989" s="77">
        <f>INDEX(Products!E:E,MATCH(OrdersTable[[#This Row],[Product ID]],Products!A:A,0))</f>
        <v>216</v>
      </c>
      <c r="W2989" s="77">
        <f>OrdersTable[[#This Row],[Quantity]]*OrdersTable[[#This Row],[Unit Cost]]</f>
        <v>216</v>
      </c>
      <c r="X2989" s="77">
        <f>'Dropdown Lists'!$I$2*(1+OrdersTable[[#This Row],[Returned]])</f>
        <v>60</v>
      </c>
      <c r="Y2989" s="76">
        <f>OrdersTable[[#This Row],[Net Revenue]]-OrdersTable[[#This Row],[COGS]]-OrdersTable[[#This Row],[Shipping Cost]]</f>
        <v>483.04999999999995</v>
      </c>
      <c r="Z2989" s="78">
        <f>IFERROR(OrdersTable[[#This Row],[Profit]]/OrdersTable[[#This Row],[Net Revenue]],0)</f>
        <v>0.63638758975034582</v>
      </c>
      <c r="AA2989" t="s">
        <v>18</v>
      </c>
      <c r="AB2989" s="79">
        <v>45781</v>
      </c>
      <c r="AC2989">
        <f>OrdersTable[[#This Row],[Delivery Date]]-OrdersTable[[#This Row],[Order Date]]</f>
        <v>2</v>
      </c>
      <c r="AD2989" t="str">
        <f>IF(OrdersTable[[#This Row],[Delivery Days]]&lt;=2, "Express (≤2d)", IF(OrdersTable[[#This Row],[Delivery Days]]&lt;=4, "Standard (3-4d)", "Delayed (5d+)"))</f>
        <v>Express (≤2d)</v>
      </c>
      <c r="AE2989">
        <v>3</v>
      </c>
      <c r="AF2989">
        <v>0</v>
      </c>
    </row>
    <row r="2990" spans="1:32" ht="15" x14ac:dyDescent="0.35">
      <c r="A2990" t="s">
        <v>1987</v>
      </c>
      <c r="B2990" s="1">
        <v>45779</v>
      </c>
      <c r="C2990">
        <f>YEAR(OrdersTable[[#This Row],[Order Date]])</f>
        <v>2025</v>
      </c>
      <c r="D2990" s="2">
        <f>DATE(YEAR(OrdersTable[[#This Row],[Order Date]]),MONTH(OrdersTable[[#This Row],[Order Date]]),1)</f>
        <v>45778</v>
      </c>
      <c r="E2990">
        <f>MONTH(OrdersTable[[#This Row],[Order Date]])</f>
        <v>5</v>
      </c>
      <c r="F2990" t="s">
        <v>1988</v>
      </c>
      <c r="G2990" t="str">
        <f>IF(OrdersTable[[#This Row],[Order Date]]=_xlfn.MINIFS(Order_Date, Customer_ID, OrdersTable[[#This Row],[Customer ID]]), "New", "Repeat")</f>
        <v>Repeat</v>
      </c>
      <c r="H2990" t="s">
        <v>123</v>
      </c>
      <c r="I2990" t="str">
        <f>INDEX(State!B:B,MATCH(OrdersTable[[#This Row],[State]],State!A:A,0))</f>
        <v>JH</v>
      </c>
      <c r="J2990" t="str">
        <f>INDEX(State!C:C,MATCH(OrdersTable[[#This Row],[State Code]],State!B:B,0))</f>
        <v>East</v>
      </c>
      <c r="K2990" t="s">
        <v>124</v>
      </c>
      <c r="L2990" t="s">
        <v>16</v>
      </c>
      <c r="M2990" t="s">
        <v>34</v>
      </c>
      <c r="N2990" t="str">
        <f>INDEX(Products!B:B,MATCH(OrdersTable[[#This Row],[Product ID]],Products!A:A,0))</f>
        <v>Flip Flops</v>
      </c>
      <c r="O2990" t="str">
        <f>INDEX(Products!C:C,MATCH(OrdersTable[[#This Row],[Product ID]],Products!A:A,0))</f>
        <v>Footwear</v>
      </c>
      <c r="P2990">
        <v>1</v>
      </c>
      <c r="Q2990" s="5">
        <v>399</v>
      </c>
      <c r="R2990" s="74">
        <v>0.2</v>
      </c>
      <c r="S2990" s="75">
        <f>OrdersTable[[#This Row],[Quantity]]*OrdersTable[[#This Row],[Unit Price]]</f>
        <v>399</v>
      </c>
      <c r="T2990" s="5">
        <f>OrdersTable[[#This Row],[Gross Sale]]*OrdersTable[[#This Row],[Discount_Clean2]]</f>
        <v>79.800000000000011</v>
      </c>
      <c r="U2990" s="5">
        <f>OrdersTable[[#This Row],[Gross Sale]]-OrdersTable[[#This Row],[Discount Amount]]</f>
        <v>319.2</v>
      </c>
      <c r="V2990" s="77">
        <f>INDEX(Products!E:E,MATCH(OrdersTable[[#This Row],[Product ID]],Products!A:A,0))</f>
        <v>152</v>
      </c>
      <c r="W2990" s="77">
        <f>OrdersTable[[#This Row],[Quantity]]*OrdersTable[[#This Row],[Unit Cost]]</f>
        <v>152</v>
      </c>
      <c r="X2990" s="77">
        <f>'Dropdown Lists'!$I$2*(1+OrdersTable[[#This Row],[Returned]])</f>
        <v>60</v>
      </c>
      <c r="Y2990" s="76">
        <f>OrdersTable[[#This Row],[Net Revenue]]-OrdersTable[[#This Row],[COGS]]-OrdersTable[[#This Row],[Shipping Cost]]</f>
        <v>107.19999999999999</v>
      </c>
      <c r="Z2990" s="78">
        <f>IFERROR(OrdersTable[[#This Row],[Profit]]/OrdersTable[[#This Row],[Net Revenue]],0)</f>
        <v>0.33583959899749372</v>
      </c>
      <c r="AA2990" t="s">
        <v>18</v>
      </c>
      <c r="AB2990" s="79">
        <v>45783</v>
      </c>
      <c r="AC2990">
        <f>OrdersTable[[#This Row],[Delivery Date]]-OrdersTable[[#This Row],[Order Date]]</f>
        <v>4</v>
      </c>
      <c r="AD2990" t="str">
        <f>IF(OrdersTable[[#This Row],[Delivery Days]]&lt;=2, "Express (≤2d)", IF(OrdersTable[[#This Row],[Delivery Days]]&lt;=4, "Standard (3-4d)", "Delayed (5d+)"))</f>
        <v>Standard (3-4d)</v>
      </c>
      <c r="AE2990">
        <v>3</v>
      </c>
      <c r="AF2990">
        <v>0</v>
      </c>
    </row>
    <row r="2991" spans="1:32" ht="15" x14ac:dyDescent="0.35">
      <c r="A2991" t="s">
        <v>4521</v>
      </c>
      <c r="B2991" s="1">
        <v>45779</v>
      </c>
      <c r="C2991">
        <f>YEAR(OrdersTable[[#This Row],[Order Date]])</f>
        <v>2025</v>
      </c>
      <c r="D2991" s="2">
        <f>DATE(YEAR(OrdersTable[[#This Row],[Order Date]]),MONTH(OrdersTable[[#This Row],[Order Date]]),1)</f>
        <v>45778</v>
      </c>
      <c r="E2991">
        <f>MONTH(OrdersTable[[#This Row],[Order Date]])</f>
        <v>5</v>
      </c>
      <c r="F2991" t="s">
        <v>1891</v>
      </c>
      <c r="G2991" t="str">
        <f>IF(OrdersTable[[#This Row],[Order Date]]=_xlfn.MINIFS(Order_Date, Customer_ID, OrdersTable[[#This Row],[Customer ID]]), "New", "Repeat")</f>
        <v>Repeat</v>
      </c>
      <c r="H2991" t="s">
        <v>275</v>
      </c>
      <c r="I2991" t="str">
        <f>INDEX(State!B:B,MATCH(OrdersTable[[#This Row],[State]],State!A:A,0))</f>
        <v>AP</v>
      </c>
      <c r="J2991" t="str">
        <f>INDEX(State!C:C,MATCH(OrdersTable[[#This Row],[State Code]],State!B:B,0))</f>
        <v>South</v>
      </c>
      <c r="K2991" t="s">
        <v>276</v>
      </c>
      <c r="L2991" t="s">
        <v>65</v>
      </c>
      <c r="M2991" t="s">
        <v>205</v>
      </c>
      <c r="N2991" t="str">
        <f>INDEX(Products!B:B,MATCH(OrdersTable[[#This Row],[Product ID]],Products!A:A,0))</f>
        <v>Running Shoes</v>
      </c>
      <c r="O2991" t="str">
        <f>INDEX(Products!C:C,MATCH(OrdersTable[[#This Row],[Product ID]],Products!A:A,0))</f>
        <v>Footwear</v>
      </c>
      <c r="P2991">
        <v>1</v>
      </c>
      <c r="Q2991" s="5">
        <v>2999</v>
      </c>
      <c r="R2991" s="74">
        <v>0.2</v>
      </c>
      <c r="S2991" s="75">
        <f>OrdersTable[[#This Row],[Quantity]]*OrdersTable[[#This Row],[Unit Price]]</f>
        <v>2999</v>
      </c>
      <c r="T2991" s="5">
        <f>OrdersTable[[#This Row],[Gross Sale]]*OrdersTable[[#This Row],[Discount_Clean2]]</f>
        <v>599.80000000000007</v>
      </c>
      <c r="U2991" s="5">
        <f>OrdersTable[[#This Row],[Gross Sale]]-OrdersTable[[#This Row],[Discount Amount]]</f>
        <v>2399.1999999999998</v>
      </c>
      <c r="V2991" s="77">
        <f>INDEX(Products!E:E,MATCH(OrdersTable[[#This Row],[Product ID]],Products!A:A,0))</f>
        <v>1440</v>
      </c>
      <c r="W2991" s="77">
        <f>OrdersTable[[#This Row],[Quantity]]*OrdersTable[[#This Row],[Unit Cost]]</f>
        <v>1440</v>
      </c>
      <c r="X2991" s="77">
        <f>'Dropdown Lists'!$I$2*(1+OrdersTable[[#This Row],[Returned]])</f>
        <v>60</v>
      </c>
      <c r="Y2991" s="76">
        <f>OrdersTable[[#This Row],[Net Revenue]]-OrdersTable[[#This Row],[COGS]]-OrdersTable[[#This Row],[Shipping Cost]]</f>
        <v>899.19999999999982</v>
      </c>
      <c r="Z2991" s="78">
        <f>IFERROR(OrdersTable[[#This Row],[Profit]]/OrdersTable[[#This Row],[Net Revenue]],0)</f>
        <v>0.3747915971990663</v>
      </c>
      <c r="AA2991" t="s">
        <v>4450</v>
      </c>
      <c r="AB2991" s="79">
        <v>45783</v>
      </c>
      <c r="AC2991">
        <f>OrdersTable[[#This Row],[Delivery Date]]-OrdersTable[[#This Row],[Order Date]]</f>
        <v>4</v>
      </c>
      <c r="AD2991" t="str">
        <f>IF(OrdersTable[[#This Row],[Delivery Days]]&lt;=2, "Express (≤2d)", IF(OrdersTable[[#This Row],[Delivery Days]]&lt;=4, "Standard (3-4d)", "Delayed (5d+)"))</f>
        <v>Standard (3-4d)</v>
      </c>
      <c r="AE2991">
        <v>4</v>
      </c>
      <c r="AF2991">
        <v>0</v>
      </c>
    </row>
    <row r="2992" spans="1:32" ht="15" x14ac:dyDescent="0.35">
      <c r="A2992" t="s">
        <v>985</v>
      </c>
      <c r="B2992" s="1">
        <v>45779</v>
      </c>
      <c r="C2992">
        <f>YEAR(OrdersTable[[#This Row],[Order Date]])</f>
        <v>2025</v>
      </c>
      <c r="D2992" s="2">
        <f>DATE(YEAR(OrdersTable[[#This Row],[Order Date]]),MONTH(OrdersTable[[#This Row],[Order Date]]),1)</f>
        <v>45778</v>
      </c>
      <c r="E2992">
        <f>MONTH(OrdersTable[[#This Row],[Order Date]])</f>
        <v>5</v>
      </c>
      <c r="F2992" t="s">
        <v>372</v>
      </c>
      <c r="G2992" t="str">
        <f>IF(OrdersTable[[#This Row],[Order Date]]=_xlfn.MINIFS(Order_Date, Customer_ID, OrdersTable[[#This Row],[Customer ID]]), "New", "Repeat")</f>
        <v>New</v>
      </c>
      <c r="H2992" t="s">
        <v>316</v>
      </c>
      <c r="I2992" t="str">
        <f>INDEX(State!B:B,MATCH(OrdersTable[[#This Row],[State]],State!A:A,0))</f>
        <v>KL</v>
      </c>
      <c r="J2992" t="str">
        <f>INDEX(State!C:C,MATCH(OrdersTable[[#This Row],[State Code]],State!B:B,0))</f>
        <v>South</v>
      </c>
      <c r="K2992" t="s">
        <v>317</v>
      </c>
      <c r="L2992" t="s">
        <v>65</v>
      </c>
      <c r="M2992" t="s">
        <v>87</v>
      </c>
      <c r="N2992" t="str">
        <f>INDEX(Products!B:B,MATCH(OrdersTable[[#This Row],[Product ID]],Products!A:A,0))</f>
        <v>Linen Kurta</v>
      </c>
      <c r="O2992" t="str">
        <f>INDEX(Products!C:C,MATCH(OrdersTable[[#This Row],[Product ID]],Products!A:A,0))</f>
        <v>Apparel</v>
      </c>
      <c r="P2992">
        <v>1</v>
      </c>
      <c r="Q2992" s="5">
        <v>1499</v>
      </c>
      <c r="R2992" s="74">
        <v>0.3</v>
      </c>
      <c r="S2992" s="75">
        <f>OrdersTable[[#This Row],[Quantity]]*OrdersTable[[#This Row],[Unit Price]]</f>
        <v>1499</v>
      </c>
      <c r="T2992" s="5">
        <f>OrdersTable[[#This Row],[Gross Sale]]*OrdersTable[[#This Row],[Discount_Clean2]]</f>
        <v>449.7</v>
      </c>
      <c r="U2992" s="5">
        <f>OrdersTable[[#This Row],[Gross Sale]]-OrdersTable[[#This Row],[Discount Amount]]</f>
        <v>1049.3</v>
      </c>
      <c r="V2992" s="77">
        <f>INDEX(Products!E:E,MATCH(OrdersTable[[#This Row],[Product ID]],Products!A:A,0))</f>
        <v>630</v>
      </c>
      <c r="W2992" s="77">
        <f>OrdersTable[[#This Row],[Quantity]]*OrdersTable[[#This Row],[Unit Cost]]</f>
        <v>630</v>
      </c>
      <c r="X2992" s="77">
        <f>'Dropdown Lists'!$I$2*(1+OrdersTable[[#This Row],[Returned]])</f>
        <v>60</v>
      </c>
      <c r="Y2992" s="76">
        <f>OrdersTable[[#This Row],[Net Revenue]]-OrdersTable[[#This Row],[COGS]]-OrdersTable[[#This Row],[Shipping Cost]]</f>
        <v>359.29999999999995</v>
      </c>
      <c r="Z2992" s="78">
        <f>IFERROR(OrdersTable[[#This Row],[Profit]]/OrdersTable[[#This Row],[Net Revenue]],0)</f>
        <v>0.34241875536071664</v>
      </c>
      <c r="AA2992" t="s">
        <v>18</v>
      </c>
      <c r="AB2992" s="79">
        <v>45782</v>
      </c>
      <c r="AC2992">
        <f>OrdersTable[[#This Row],[Delivery Date]]-OrdersTable[[#This Row],[Order Date]]</f>
        <v>3</v>
      </c>
      <c r="AD2992" t="str">
        <f>IF(OrdersTable[[#This Row],[Delivery Days]]&lt;=2, "Express (≤2d)", IF(OrdersTable[[#This Row],[Delivery Days]]&lt;=4, "Standard (3-4d)", "Delayed (5d+)"))</f>
        <v>Standard (3-4d)</v>
      </c>
      <c r="AE2992">
        <v>4</v>
      </c>
      <c r="AF2992">
        <v>0</v>
      </c>
    </row>
    <row r="2993" spans="1:32" ht="15" x14ac:dyDescent="0.35">
      <c r="A2993" t="s">
        <v>5650</v>
      </c>
      <c r="B2993" s="1">
        <v>45780</v>
      </c>
      <c r="C2993">
        <f>YEAR(OrdersTable[[#This Row],[Order Date]])</f>
        <v>2025</v>
      </c>
      <c r="D2993" s="2">
        <f>DATE(YEAR(OrdersTable[[#This Row],[Order Date]]),MONTH(OrdersTable[[#This Row],[Order Date]]),1)</f>
        <v>45778</v>
      </c>
      <c r="E2993">
        <f>MONTH(OrdersTable[[#This Row],[Order Date]])</f>
        <v>5</v>
      </c>
      <c r="F2993" t="s">
        <v>1027</v>
      </c>
      <c r="G2993" t="str">
        <f>IF(OrdersTable[[#This Row],[Order Date]]=_xlfn.MINIFS(Order_Date, Customer_ID, OrdersTable[[#This Row],[Customer ID]]), "New", "Repeat")</f>
        <v>New</v>
      </c>
      <c r="H2993" t="s">
        <v>158</v>
      </c>
      <c r="I2993" t="str">
        <f>INDEX(State!B:B,MATCH(OrdersTable[[#This Row],[State]],State!A:A,0))</f>
        <v>HP</v>
      </c>
      <c r="J2993" t="str">
        <f>INDEX(State!C:C,MATCH(OrdersTable[[#This Row],[State Code]],State!B:B,0))</f>
        <v>North</v>
      </c>
      <c r="K2993" t="s">
        <v>159</v>
      </c>
      <c r="L2993" t="s">
        <v>39</v>
      </c>
      <c r="M2993" t="s">
        <v>56</v>
      </c>
      <c r="N2993" t="str">
        <f>INDEX(Products!B:B,MATCH(OrdersTable[[#This Row],[Product ID]],Products!A:A,0))</f>
        <v>Vitamin C Face Serum</v>
      </c>
      <c r="O2993" t="str">
        <f>INDEX(Products!C:C,MATCH(OrdersTable[[#This Row],[Product ID]],Products!A:A,0))</f>
        <v>Skincare</v>
      </c>
      <c r="P2993">
        <v>2</v>
      </c>
      <c r="Q2993" s="5">
        <v>599</v>
      </c>
      <c r="R2993" s="74">
        <v>0.15</v>
      </c>
      <c r="S2993" s="75">
        <f>OrdersTable[[#This Row],[Quantity]]*OrdersTable[[#This Row],[Unit Price]]</f>
        <v>1198</v>
      </c>
      <c r="T2993" s="5">
        <f>OrdersTable[[#This Row],[Gross Sale]]*OrdersTable[[#This Row],[Discount_Clean2]]</f>
        <v>179.7</v>
      </c>
      <c r="U2993" s="5">
        <f>OrdersTable[[#This Row],[Gross Sale]]-OrdersTable[[#This Row],[Discount Amount]]</f>
        <v>1018.3</v>
      </c>
      <c r="V2993" s="77">
        <f>INDEX(Products!E:E,MATCH(OrdersTable[[#This Row],[Product ID]],Products!A:A,0))</f>
        <v>180</v>
      </c>
      <c r="W2993" s="77">
        <f>OrdersTable[[#This Row],[Quantity]]*OrdersTable[[#This Row],[Unit Cost]]</f>
        <v>360</v>
      </c>
      <c r="X2993" s="77">
        <f>'Dropdown Lists'!$I$2*(1+OrdersTable[[#This Row],[Returned]])</f>
        <v>120</v>
      </c>
      <c r="Y2993" s="76">
        <f>OrdersTable[[#This Row],[Net Revenue]]-OrdersTable[[#This Row],[COGS]]-OrdersTable[[#This Row],[Shipping Cost]]</f>
        <v>538.29999999999995</v>
      </c>
      <c r="Z2993" s="78">
        <f>IFERROR(OrdersTable[[#This Row],[Profit]]/OrdersTable[[#This Row],[Net Revenue]],0)</f>
        <v>0.52862614160856325</v>
      </c>
      <c r="AA2993" t="s">
        <v>18</v>
      </c>
      <c r="AB2993" s="79">
        <v>45786</v>
      </c>
      <c r="AC2993">
        <f>OrdersTable[[#This Row],[Delivery Date]]-OrdersTable[[#This Row],[Order Date]]</f>
        <v>6</v>
      </c>
      <c r="AD2993" t="str">
        <f>IF(OrdersTable[[#This Row],[Delivery Days]]&lt;=2, "Express (≤2d)", IF(OrdersTable[[#This Row],[Delivery Days]]&lt;=4, "Standard (3-4d)", "Delayed (5d+)"))</f>
        <v>Delayed (5d+)</v>
      </c>
      <c r="AE2993">
        <v>2</v>
      </c>
      <c r="AF2993">
        <v>1</v>
      </c>
    </row>
    <row r="2994" spans="1:32" ht="15" x14ac:dyDescent="0.35">
      <c r="A2994" t="s">
        <v>2618</v>
      </c>
      <c r="B2994" s="1">
        <v>45780</v>
      </c>
      <c r="C2994">
        <f>YEAR(OrdersTable[[#This Row],[Order Date]])</f>
        <v>2025</v>
      </c>
      <c r="D2994" s="2">
        <f>DATE(YEAR(OrdersTable[[#This Row],[Order Date]]),MONTH(OrdersTable[[#This Row],[Order Date]]),1)</f>
        <v>45778</v>
      </c>
      <c r="E2994">
        <f>MONTH(OrdersTable[[#This Row],[Order Date]])</f>
        <v>5</v>
      </c>
      <c r="F2994" t="s">
        <v>2619</v>
      </c>
      <c r="G2994" t="str">
        <f>IF(OrdersTable[[#This Row],[Order Date]]=_xlfn.MINIFS(Order_Date, Customer_ID, OrdersTable[[#This Row],[Customer ID]]), "New", "Repeat")</f>
        <v>New</v>
      </c>
      <c r="H2994" t="s">
        <v>54</v>
      </c>
      <c r="I2994" t="str">
        <f>INDEX(State!B:B,MATCH(OrdersTable[[#This Row],[State]],State!A:A,0))</f>
        <v>RJ</v>
      </c>
      <c r="J2994" t="str">
        <f>INDEX(State!C:C,MATCH(OrdersTable[[#This Row],[State Code]],State!B:B,0))</f>
        <v>North</v>
      </c>
      <c r="K2994" t="s">
        <v>227</v>
      </c>
      <c r="L2994" t="s">
        <v>50</v>
      </c>
      <c r="M2994" t="s">
        <v>179</v>
      </c>
      <c r="N2994" t="str">
        <f>INDEX(Products!B:B,MATCH(OrdersTable[[#This Row],[Product ID]],Products!A:A,0))</f>
        <v>Whey Protein 1kg</v>
      </c>
      <c r="O2994" t="str">
        <f>INDEX(Products!C:C,MATCH(OrdersTable[[#This Row],[Product ID]],Products!A:A,0))</f>
        <v>Wellness</v>
      </c>
      <c r="P2994">
        <v>1</v>
      </c>
      <c r="Q2994" s="5">
        <v>2299</v>
      </c>
      <c r="R2994" s="74">
        <v>0.4</v>
      </c>
      <c r="S2994" s="75">
        <f>OrdersTable[[#This Row],[Quantity]]*OrdersTable[[#This Row],[Unit Price]]</f>
        <v>2299</v>
      </c>
      <c r="T2994" s="5">
        <f>OrdersTable[[#This Row],[Gross Sale]]*OrdersTable[[#This Row],[Discount_Clean2]]</f>
        <v>919.6</v>
      </c>
      <c r="U2994" s="5">
        <f>OrdersTable[[#This Row],[Gross Sale]]-OrdersTable[[#This Row],[Discount Amount]]</f>
        <v>1379.4</v>
      </c>
      <c r="V2994" s="77">
        <f>INDEX(Products!E:E,MATCH(OrdersTable[[#This Row],[Product ID]],Products!A:A,0))</f>
        <v>1333</v>
      </c>
      <c r="W2994" s="77">
        <f>OrdersTable[[#This Row],[Quantity]]*OrdersTable[[#This Row],[Unit Cost]]</f>
        <v>1333</v>
      </c>
      <c r="X2994" s="77">
        <f>'Dropdown Lists'!$I$2*(1+OrdersTable[[#This Row],[Returned]])</f>
        <v>60</v>
      </c>
      <c r="Y2994" s="76">
        <f>OrdersTable[[#This Row],[Net Revenue]]-OrdersTable[[#This Row],[COGS]]-OrdersTable[[#This Row],[Shipping Cost]]</f>
        <v>-13.599999999999909</v>
      </c>
      <c r="Z2994" s="78">
        <f>IFERROR(OrdersTable[[#This Row],[Profit]]/OrdersTable[[#This Row],[Net Revenue]],0)</f>
        <v>-9.8593591416557252E-3</v>
      </c>
      <c r="AA2994" t="s">
        <v>2522</v>
      </c>
      <c r="AB2994" s="79">
        <v>45783</v>
      </c>
      <c r="AC2994">
        <f>OrdersTable[[#This Row],[Delivery Date]]-OrdersTable[[#This Row],[Order Date]]</f>
        <v>3</v>
      </c>
      <c r="AD2994" t="str">
        <f>IF(OrdersTable[[#This Row],[Delivery Days]]&lt;=2, "Express (≤2d)", IF(OrdersTable[[#This Row],[Delivery Days]]&lt;=4, "Standard (3-4d)", "Delayed (5d+)"))</f>
        <v>Standard (3-4d)</v>
      </c>
      <c r="AE2994">
        <v>5</v>
      </c>
      <c r="AF2994">
        <v>0</v>
      </c>
    </row>
    <row r="2995" spans="1:32" ht="15" x14ac:dyDescent="0.35">
      <c r="A2995" t="s">
        <v>4997</v>
      </c>
      <c r="B2995" s="1">
        <v>45780</v>
      </c>
      <c r="C2995">
        <f>YEAR(OrdersTable[[#This Row],[Order Date]])</f>
        <v>2025</v>
      </c>
      <c r="D2995" s="2">
        <f>DATE(YEAR(OrdersTable[[#This Row],[Order Date]]),MONTH(OrdersTable[[#This Row],[Order Date]]),1)</f>
        <v>45778</v>
      </c>
      <c r="E2995">
        <f>MONTH(OrdersTable[[#This Row],[Order Date]])</f>
        <v>5</v>
      </c>
      <c r="F2995" t="s">
        <v>2439</v>
      </c>
      <c r="G2995" t="str">
        <f>IF(OrdersTable[[#This Row],[Order Date]]=_xlfn.MINIFS(Order_Date, Customer_ID, OrdersTable[[#This Row],[Customer ID]]), "New", "Repeat")</f>
        <v>New</v>
      </c>
      <c r="H2995" t="s">
        <v>132</v>
      </c>
      <c r="I2995" t="str">
        <f>INDEX(State!B:B,MATCH(OrdersTable[[#This Row],[State]],State!A:A,0))</f>
        <v>AS</v>
      </c>
      <c r="J2995" t="str">
        <f>INDEX(State!C:C,MATCH(OrdersTable[[#This Row],[State Code]],State!B:B,0))</f>
        <v>East</v>
      </c>
      <c r="K2995" t="s">
        <v>133</v>
      </c>
      <c r="L2995" t="s">
        <v>50</v>
      </c>
      <c r="M2995" t="s">
        <v>78</v>
      </c>
      <c r="N2995" t="str">
        <f>INDEX(Products!B:B,MATCH(OrdersTable[[#This Row],[Product ID]],Products!A:A,0))</f>
        <v>Retinol Night Cream</v>
      </c>
      <c r="O2995" t="str">
        <f>INDEX(Products!C:C,MATCH(OrdersTable[[#This Row],[Product ID]],Products!A:A,0))</f>
        <v>Skincare</v>
      </c>
      <c r="P2995">
        <v>2</v>
      </c>
      <c r="Q2995" s="5">
        <v>799</v>
      </c>
      <c r="R2995" s="74">
        <v>0.15</v>
      </c>
      <c r="S2995" s="75">
        <f>OrdersTable[[#This Row],[Quantity]]*OrdersTable[[#This Row],[Unit Price]]</f>
        <v>1598</v>
      </c>
      <c r="T2995" s="5">
        <f>OrdersTable[[#This Row],[Gross Sale]]*OrdersTable[[#This Row],[Discount_Clean2]]</f>
        <v>239.7</v>
      </c>
      <c r="U2995" s="5">
        <f>OrdersTable[[#This Row],[Gross Sale]]-OrdersTable[[#This Row],[Discount Amount]]</f>
        <v>1358.3</v>
      </c>
      <c r="V2995" s="77">
        <f>INDEX(Products!E:E,MATCH(OrdersTable[[#This Row],[Product ID]],Products!A:A,0))</f>
        <v>216</v>
      </c>
      <c r="W2995" s="77">
        <f>OrdersTable[[#This Row],[Quantity]]*OrdersTable[[#This Row],[Unit Cost]]</f>
        <v>432</v>
      </c>
      <c r="X2995" s="77">
        <f>'Dropdown Lists'!$I$2*(1+OrdersTable[[#This Row],[Returned]])</f>
        <v>60</v>
      </c>
      <c r="Y2995" s="76">
        <f>OrdersTable[[#This Row],[Net Revenue]]-OrdersTable[[#This Row],[COGS]]-OrdersTable[[#This Row],[Shipping Cost]]</f>
        <v>866.3</v>
      </c>
      <c r="Z2995" s="78">
        <f>IFERROR(OrdersTable[[#This Row],[Profit]]/OrdersTable[[#This Row],[Net Revenue]],0)</f>
        <v>0.63778252227048515</v>
      </c>
      <c r="AA2995" t="s">
        <v>4074</v>
      </c>
      <c r="AB2995" s="79">
        <v>45787</v>
      </c>
      <c r="AC2995">
        <f>OrdersTable[[#This Row],[Delivery Date]]-OrdersTable[[#This Row],[Order Date]]</f>
        <v>7</v>
      </c>
      <c r="AD2995" t="str">
        <f>IF(OrdersTable[[#This Row],[Delivery Days]]&lt;=2, "Express (≤2d)", IF(OrdersTable[[#This Row],[Delivery Days]]&lt;=4, "Standard (3-4d)", "Delayed (5d+)"))</f>
        <v>Delayed (5d+)</v>
      </c>
      <c r="AF2995">
        <v>0</v>
      </c>
    </row>
    <row r="2996" spans="1:32" ht="15" x14ac:dyDescent="0.35">
      <c r="A2996" t="s">
        <v>2398</v>
      </c>
      <c r="B2996" s="1">
        <v>45780</v>
      </c>
      <c r="C2996">
        <f>YEAR(OrdersTable[[#This Row],[Order Date]])</f>
        <v>2025</v>
      </c>
      <c r="D2996" s="2">
        <f>DATE(YEAR(OrdersTable[[#This Row],[Order Date]]),MONTH(OrdersTable[[#This Row],[Order Date]]),1)</f>
        <v>45778</v>
      </c>
      <c r="E2996">
        <f>MONTH(OrdersTable[[#This Row],[Order Date]])</f>
        <v>5</v>
      </c>
      <c r="F2996" t="s">
        <v>2399</v>
      </c>
      <c r="G2996" t="str">
        <f>IF(OrdersTable[[#This Row],[Order Date]]=_xlfn.MINIFS(Order_Date, Customer_ID, OrdersTable[[#This Row],[Customer ID]]), "New", "Repeat")</f>
        <v>New</v>
      </c>
      <c r="H2996" t="s">
        <v>95</v>
      </c>
      <c r="I2996" t="str">
        <f>INDEX(State!B:B,MATCH(OrdersTable[[#This Row],[State]],State!A:A,0))</f>
        <v>TG</v>
      </c>
      <c r="J2996" t="str">
        <f>INDEX(State!C:C,MATCH(OrdersTable[[#This Row],[State Code]],State!B:B,0))</f>
        <v>South</v>
      </c>
      <c r="K2996" t="s">
        <v>96</v>
      </c>
      <c r="L2996" t="s">
        <v>16</v>
      </c>
      <c r="M2996" t="s">
        <v>176</v>
      </c>
      <c r="N2996" t="str">
        <f>INDEX(Products!B:B,MATCH(OrdersTable[[#This Row],[Product ID]],Products!A:A,0))</f>
        <v>Denim Jacket</v>
      </c>
      <c r="O2996" t="str">
        <f>INDEX(Products!C:C,MATCH(OrdersTable[[#This Row],[Product ID]],Products!A:A,0))</f>
        <v>Apparel</v>
      </c>
      <c r="P2996">
        <v>1</v>
      </c>
      <c r="Q2996" s="5">
        <v>2499</v>
      </c>
      <c r="R2996" s="74">
        <v>0.05</v>
      </c>
      <c r="S2996" s="75">
        <f>OrdersTable[[#This Row],[Quantity]]*OrdersTable[[#This Row],[Unit Price]]</f>
        <v>2499</v>
      </c>
      <c r="T2996" s="5">
        <f>OrdersTable[[#This Row],[Gross Sale]]*OrdersTable[[#This Row],[Discount_Clean2]]</f>
        <v>124.95</v>
      </c>
      <c r="U2996" s="5">
        <f>OrdersTable[[#This Row],[Gross Sale]]-OrdersTable[[#This Row],[Discount Amount]]</f>
        <v>2374.0500000000002</v>
      </c>
      <c r="V2996" s="77">
        <f>INDEX(Products!E:E,MATCH(OrdersTable[[#This Row],[Product ID]],Products!A:A,0))</f>
        <v>1125</v>
      </c>
      <c r="W2996" s="77">
        <f>OrdersTable[[#This Row],[Quantity]]*OrdersTable[[#This Row],[Unit Cost]]</f>
        <v>1125</v>
      </c>
      <c r="X2996" s="77">
        <f>'Dropdown Lists'!$I$2*(1+OrdersTable[[#This Row],[Returned]])</f>
        <v>60</v>
      </c>
      <c r="Y2996" s="76">
        <f>OrdersTable[[#This Row],[Net Revenue]]-OrdersTable[[#This Row],[COGS]]-OrdersTable[[#This Row],[Shipping Cost]]</f>
        <v>1189.0500000000002</v>
      </c>
      <c r="Z2996" s="78">
        <f>IFERROR(OrdersTable[[#This Row],[Profit]]/OrdersTable[[#This Row],[Net Revenue]],0)</f>
        <v>0.50085297276805463</v>
      </c>
      <c r="AA2996" t="s">
        <v>18</v>
      </c>
      <c r="AB2996" s="79">
        <v>45783</v>
      </c>
      <c r="AC2996">
        <f>OrdersTable[[#This Row],[Delivery Date]]-OrdersTable[[#This Row],[Order Date]]</f>
        <v>3</v>
      </c>
      <c r="AD2996" t="str">
        <f>IF(OrdersTable[[#This Row],[Delivery Days]]&lt;=2, "Express (≤2d)", IF(OrdersTable[[#This Row],[Delivery Days]]&lt;=4, "Standard (3-4d)", "Delayed (5d+)"))</f>
        <v>Standard (3-4d)</v>
      </c>
      <c r="AE2996">
        <v>5</v>
      </c>
      <c r="AF2996">
        <v>0</v>
      </c>
    </row>
    <row r="2997" spans="1:32" ht="15" x14ac:dyDescent="0.35">
      <c r="A2997" t="s">
        <v>986</v>
      </c>
      <c r="B2997" s="1">
        <v>45780</v>
      </c>
      <c r="C2997">
        <f>YEAR(OrdersTable[[#This Row],[Order Date]])</f>
        <v>2025</v>
      </c>
      <c r="D2997" s="2">
        <f>DATE(YEAR(OrdersTable[[#This Row],[Order Date]]),MONTH(OrdersTable[[#This Row],[Order Date]]),1)</f>
        <v>45778</v>
      </c>
      <c r="E2997">
        <f>MONTH(OrdersTable[[#This Row],[Order Date]])</f>
        <v>5</v>
      </c>
      <c r="F2997" t="s">
        <v>987</v>
      </c>
      <c r="G2997" t="str">
        <f>IF(OrdersTable[[#This Row],[Order Date]]=_xlfn.MINIFS(Order_Date, Customer_ID, OrdersTable[[#This Row],[Customer ID]]), "New", "Repeat")</f>
        <v>New</v>
      </c>
      <c r="H2997" t="s">
        <v>95</v>
      </c>
      <c r="I2997" t="str">
        <f>INDEX(State!B:B,MATCH(OrdersTable[[#This Row],[State]],State!A:A,0))</f>
        <v>TG</v>
      </c>
      <c r="J2997" t="str">
        <f>INDEX(State!C:C,MATCH(OrdersTable[[#This Row],[State Code]],State!B:B,0))</f>
        <v>South</v>
      </c>
      <c r="K2997" t="s">
        <v>96</v>
      </c>
      <c r="L2997" t="s">
        <v>39</v>
      </c>
      <c r="M2997" t="s">
        <v>228</v>
      </c>
      <c r="N2997" t="str">
        <f>INDEX(Products!B:B,MATCH(OrdersTable[[#This Row],[Product ID]],Products!A:A,0))</f>
        <v>Fast Charger 33W</v>
      </c>
      <c r="O2997" t="str">
        <f>INDEX(Products!C:C,MATCH(OrdersTable[[#This Row],[Product ID]],Products!A:A,0))</f>
        <v>Electronics</v>
      </c>
      <c r="P2997">
        <v>1</v>
      </c>
      <c r="Q2997" s="5">
        <v>899</v>
      </c>
      <c r="R2997" s="74">
        <v>0.05</v>
      </c>
      <c r="S2997" s="75">
        <f>OrdersTable[[#This Row],[Quantity]]*OrdersTable[[#This Row],[Unit Price]]</f>
        <v>899</v>
      </c>
      <c r="T2997" s="5">
        <f>OrdersTable[[#This Row],[Gross Sale]]*OrdersTable[[#This Row],[Discount_Clean2]]</f>
        <v>44.95</v>
      </c>
      <c r="U2997" s="5">
        <f>OrdersTable[[#This Row],[Gross Sale]]-OrdersTable[[#This Row],[Discount Amount]]</f>
        <v>854.05</v>
      </c>
      <c r="V2997" s="77">
        <f>INDEX(Products!E:E,MATCH(OrdersTable[[#This Row],[Product ID]],Products!A:A,0))</f>
        <v>494</v>
      </c>
      <c r="W2997" s="77">
        <f>OrdersTable[[#This Row],[Quantity]]*OrdersTable[[#This Row],[Unit Cost]]</f>
        <v>494</v>
      </c>
      <c r="X2997" s="77">
        <f>'Dropdown Lists'!$I$2*(1+OrdersTable[[#This Row],[Returned]])</f>
        <v>60</v>
      </c>
      <c r="Y2997" s="76">
        <f>OrdersTable[[#This Row],[Net Revenue]]-OrdersTable[[#This Row],[COGS]]-OrdersTable[[#This Row],[Shipping Cost]]</f>
        <v>300.04999999999995</v>
      </c>
      <c r="Z2997" s="78">
        <f>IFERROR(OrdersTable[[#This Row],[Profit]]/OrdersTable[[#This Row],[Net Revenue]],0)</f>
        <v>0.35132603477548152</v>
      </c>
      <c r="AA2997" t="s">
        <v>18</v>
      </c>
      <c r="AB2997" s="79">
        <v>45783</v>
      </c>
      <c r="AC2997">
        <f>OrdersTable[[#This Row],[Delivery Date]]-OrdersTable[[#This Row],[Order Date]]</f>
        <v>3</v>
      </c>
      <c r="AD2997" t="str">
        <f>IF(OrdersTable[[#This Row],[Delivery Days]]&lt;=2, "Express (≤2d)", IF(OrdersTable[[#This Row],[Delivery Days]]&lt;=4, "Standard (3-4d)", "Delayed (5d+)"))</f>
        <v>Standard (3-4d)</v>
      </c>
      <c r="AE2997">
        <v>4</v>
      </c>
      <c r="AF2997">
        <v>0</v>
      </c>
    </row>
    <row r="2998" spans="1:32" ht="15" x14ac:dyDescent="0.35">
      <c r="A2998" t="s">
        <v>310</v>
      </c>
      <c r="B2998" s="1">
        <v>45781</v>
      </c>
      <c r="C2998">
        <f>YEAR(OrdersTable[[#This Row],[Order Date]])</f>
        <v>2025</v>
      </c>
      <c r="D2998" s="2">
        <f>DATE(YEAR(OrdersTable[[#This Row],[Order Date]]),MONTH(OrdersTable[[#This Row],[Order Date]]),1)</f>
        <v>45778</v>
      </c>
      <c r="E2998">
        <f>MONTH(OrdersTable[[#This Row],[Order Date]])</f>
        <v>5</v>
      </c>
      <c r="F2998" t="s">
        <v>311</v>
      </c>
      <c r="G2998" t="str">
        <f>IF(OrdersTable[[#This Row],[Order Date]]=_xlfn.MINIFS(Order_Date, Customer_ID, OrdersTable[[#This Row],[Customer ID]]), "New", "Repeat")</f>
        <v>Repeat</v>
      </c>
      <c r="H2998" t="s">
        <v>158</v>
      </c>
      <c r="I2998" t="str">
        <f>INDEX(State!B:B,MATCH(OrdersTable[[#This Row],[State]],State!A:A,0))</f>
        <v>HP</v>
      </c>
      <c r="J2998" t="str">
        <f>INDEX(State!C:C,MATCH(OrdersTable[[#This Row],[State Code]],State!B:B,0))</f>
        <v>North</v>
      </c>
      <c r="K2998" t="s">
        <v>159</v>
      </c>
      <c r="L2998" t="s">
        <v>16</v>
      </c>
      <c r="M2998" t="s">
        <v>34</v>
      </c>
      <c r="N2998" t="str">
        <f>INDEX(Products!B:B,MATCH(OrdersTable[[#This Row],[Product ID]],Products!A:A,0))</f>
        <v>Flip Flops</v>
      </c>
      <c r="O2998" t="str">
        <f>INDEX(Products!C:C,MATCH(OrdersTable[[#This Row],[Product ID]],Products!A:A,0))</f>
        <v>Footwear</v>
      </c>
      <c r="P2998">
        <v>1</v>
      </c>
      <c r="Q2998" s="5">
        <v>399</v>
      </c>
      <c r="R2998" s="74">
        <v>0.2</v>
      </c>
      <c r="S2998" s="75">
        <f>OrdersTable[[#This Row],[Quantity]]*OrdersTable[[#This Row],[Unit Price]]</f>
        <v>399</v>
      </c>
      <c r="T2998" s="5">
        <f>OrdersTable[[#This Row],[Gross Sale]]*OrdersTable[[#This Row],[Discount_Clean2]]</f>
        <v>79.800000000000011</v>
      </c>
      <c r="U2998" s="5">
        <f>OrdersTable[[#This Row],[Gross Sale]]-OrdersTable[[#This Row],[Discount Amount]]</f>
        <v>319.2</v>
      </c>
      <c r="V2998" s="77">
        <f>INDEX(Products!E:E,MATCH(OrdersTable[[#This Row],[Product ID]],Products!A:A,0))</f>
        <v>152</v>
      </c>
      <c r="W2998" s="77">
        <f>OrdersTable[[#This Row],[Quantity]]*OrdersTable[[#This Row],[Unit Cost]]</f>
        <v>152</v>
      </c>
      <c r="X2998" s="77">
        <f>'Dropdown Lists'!$I$2*(1+OrdersTable[[#This Row],[Returned]])</f>
        <v>60</v>
      </c>
      <c r="Y2998" s="76">
        <f>OrdersTable[[#This Row],[Net Revenue]]-OrdersTable[[#This Row],[COGS]]-OrdersTable[[#This Row],[Shipping Cost]]</f>
        <v>107.19999999999999</v>
      </c>
      <c r="Z2998" s="78">
        <f>IFERROR(OrdersTable[[#This Row],[Profit]]/OrdersTable[[#This Row],[Net Revenue]],0)</f>
        <v>0.33583959899749372</v>
      </c>
      <c r="AA2998" t="s">
        <v>18</v>
      </c>
      <c r="AB2998" s="79">
        <v>45785</v>
      </c>
      <c r="AC2998">
        <f>OrdersTable[[#This Row],[Delivery Date]]-OrdersTable[[#This Row],[Order Date]]</f>
        <v>4</v>
      </c>
      <c r="AD2998" t="str">
        <f>IF(OrdersTable[[#This Row],[Delivery Days]]&lt;=2, "Express (≤2d)", IF(OrdersTable[[#This Row],[Delivery Days]]&lt;=4, "Standard (3-4d)", "Delayed (5d+)"))</f>
        <v>Standard (3-4d)</v>
      </c>
      <c r="AE2998">
        <v>4</v>
      </c>
      <c r="AF2998">
        <v>0</v>
      </c>
    </row>
    <row r="2999" spans="1:32" ht="15" x14ac:dyDescent="0.35">
      <c r="A2999" t="s">
        <v>2807</v>
      </c>
      <c r="B2999" s="1">
        <v>45781</v>
      </c>
      <c r="C2999">
        <f>YEAR(OrdersTable[[#This Row],[Order Date]])</f>
        <v>2025</v>
      </c>
      <c r="D2999" s="2">
        <f>DATE(YEAR(OrdersTable[[#This Row],[Order Date]]),MONTH(OrdersTable[[#This Row],[Order Date]]),1)</f>
        <v>45778</v>
      </c>
      <c r="E2999">
        <f>MONTH(OrdersTable[[#This Row],[Order Date]])</f>
        <v>5</v>
      </c>
      <c r="F2999" t="s">
        <v>508</v>
      </c>
      <c r="G2999" t="str">
        <f>IF(OrdersTable[[#This Row],[Order Date]]=_xlfn.MINIFS(Order_Date, Customer_ID, OrdersTable[[#This Row],[Customer ID]]), "New", "Repeat")</f>
        <v>Repeat</v>
      </c>
      <c r="H2999" t="s">
        <v>482</v>
      </c>
      <c r="I2999" t="str">
        <f>INDEX(State!B:B,MATCH(OrdersTable[[#This Row],[State]],State!A:A,0))</f>
        <v>CG</v>
      </c>
      <c r="J2999" t="str">
        <f>INDEX(State!C:C,MATCH(OrdersTable[[#This Row],[State Code]],State!B:B,0))</f>
        <v>East</v>
      </c>
      <c r="K2999" t="s">
        <v>483</v>
      </c>
      <c r="L2999" t="s">
        <v>23</v>
      </c>
      <c r="M2999" t="s">
        <v>109</v>
      </c>
      <c r="N2999" t="str">
        <f>INDEX(Products!B:B,MATCH(OrdersTable[[#This Row],[Product ID]],Products!A:A,0))</f>
        <v>Onion Hair Oil</v>
      </c>
      <c r="O2999" t="str">
        <f>INDEX(Products!C:C,MATCH(OrdersTable[[#This Row],[Product ID]],Products!A:A,0))</f>
        <v>Haircare</v>
      </c>
      <c r="P2999">
        <v>1</v>
      </c>
      <c r="Q2999" s="5">
        <v>349</v>
      </c>
      <c r="R2999" s="74">
        <v>0.25</v>
      </c>
      <c r="S2999" s="75">
        <f>OrdersTable[[#This Row],[Quantity]]*OrdersTable[[#This Row],[Unit Price]]</f>
        <v>349</v>
      </c>
      <c r="T2999" s="5">
        <f>OrdersTable[[#This Row],[Gross Sale]]*OrdersTable[[#This Row],[Discount_Clean2]]</f>
        <v>87.25</v>
      </c>
      <c r="U2999" s="5">
        <f>OrdersTable[[#This Row],[Gross Sale]]-OrdersTable[[#This Row],[Discount Amount]]</f>
        <v>261.75</v>
      </c>
      <c r="V2999" s="77">
        <f>INDEX(Products!E:E,MATCH(OrdersTable[[#This Row],[Product ID]],Products!A:A,0))</f>
        <v>105</v>
      </c>
      <c r="W2999" s="77">
        <f>OrdersTable[[#This Row],[Quantity]]*OrdersTable[[#This Row],[Unit Cost]]</f>
        <v>105</v>
      </c>
      <c r="X2999" s="77">
        <f>'Dropdown Lists'!$I$2*(1+OrdersTable[[#This Row],[Returned]])</f>
        <v>60</v>
      </c>
      <c r="Y2999" s="76">
        <f>OrdersTable[[#This Row],[Net Revenue]]-OrdersTable[[#This Row],[COGS]]-OrdersTable[[#This Row],[Shipping Cost]]</f>
        <v>96.75</v>
      </c>
      <c r="Z2999" s="78">
        <f>IFERROR(OrdersTable[[#This Row],[Profit]]/OrdersTable[[#This Row],[Net Revenue]],0)</f>
        <v>0.36962750716332377</v>
      </c>
      <c r="AA2999" t="s">
        <v>2522</v>
      </c>
      <c r="AB2999" s="79">
        <v>45787</v>
      </c>
      <c r="AC2999">
        <f>OrdersTable[[#This Row],[Delivery Date]]-OrdersTable[[#This Row],[Order Date]]</f>
        <v>6</v>
      </c>
      <c r="AD2999" t="str">
        <f>IF(OrdersTable[[#This Row],[Delivery Days]]&lt;=2, "Express (≤2d)", IF(OrdersTable[[#This Row],[Delivery Days]]&lt;=4, "Standard (3-4d)", "Delayed (5d+)"))</f>
        <v>Delayed (5d+)</v>
      </c>
      <c r="AE2999">
        <v>3</v>
      </c>
      <c r="AF2999">
        <v>0</v>
      </c>
    </row>
    <row r="3000" spans="1:32" ht="15" x14ac:dyDescent="0.35">
      <c r="A3000" t="s">
        <v>5612</v>
      </c>
      <c r="B3000" s="1">
        <v>45781</v>
      </c>
      <c r="C3000">
        <f>YEAR(OrdersTable[[#This Row],[Order Date]])</f>
        <v>2025</v>
      </c>
      <c r="D3000" s="2">
        <f>DATE(YEAR(OrdersTable[[#This Row],[Order Date]]),MONTH(OrdersTable[[#This Row],[Order Date]]),1)</f>
        <v>45778</v>
      </c>
      <c r="E3000">
        <f>MONTH(OrdersTable[[#This Row],[Order Date]])</f>
        <v>5</v>
      </c>
      <c r="F3000" t="s">
        <v>1139</v>
      </c>
      <c r="G3000" t="str">
        <f>IF(OrdersTable[[#This Row],[Order Date]]=_xlfn.MINIFS(Order_Date, Customer_ID, OrdersTable[[#This Row],[Customer ID]]), "New", "Repeat")</f>
        <v>Repeat</v>
      </c>
      <c r="H3000" t="s">
        <v>482</v>
      </c>
      <c r="I3000" t="str">
        <f>INDEX(State!B:B,MATCH(OrdersTable[[#This Row],[State]],State!A:A,0))</f>
        <v>CG</v>
      </c>
      <c r="J3000" t="str">
        <f>INDEX(State!C:C,MATCH(OrdersTable[[#This Row],[State Code]],State!B:B,0))</f>
        <v>East</v>
      </c>
      <c r="K3000" t="s">
        <v>483</v>
      </c>
      <c r="L3000" t="s">
        <v>50</v>
      </c>
      <c r="M3000" t="s">
        <v>160</v>
      </c>
      <c r="N3000" t="str">
        <f>INDEX(Products!B:B,MATCH(OrdersTable[[#This Row],[Product ID]],Products!A:A,0))</f>
        <v>Niacinamide Toner</v>
      </c>
      <c r="O3000" t="str">
        <f>INDEX(Products!C:C,MATCH(OrdersTable[[#This Row],[Product ID]],Products!A:A,0))</f>
        <v>Skincare</v>
      </c>
      <c r="P3000">
        <v>2</v>
      </c>
      <c r="Q3000" s="5">
        <v>399</v>
      </c>
      <c r="R3000" s="74">
        <v>0.15</v>
      </c>
      <c r="S3000" s="75">
        <f>OrdersTable[[#This Row],[Quantity]]*OrdersTable[[#This Row],[Unit Price]]</f>
        <v>798</v>
      </c>
      <c r="T3000" s="5">
        <f>OrdersTable[[#This Row],[Gross Sale]]*OrdersTable[[#This Row],[Discount_Clean2]]</f>
        <v>119.69999999999999</v>
      </c>
      <c r="U3000" s="5">
        <f>OrdersTable[[#This Row],[Gross Sale]]-OrdersTable[[#This Row],[Discount Amount]]</f>
        <v>678.3</v>
      </c>
      <c r="V3000" s="77">
        <f>INDEX(Products!E:E,MATCH(OrdersTable[[#This Row],[Product ID]],Products!A:A,0))</f>
        <v>112</v>
      </c>
      <c r="W3000" s="77">
        <f>OrdersTable[[#This Row],[Quantity]]*OrdersTable[[#This Row],[Unit Cost]]</f>
        <v>224</v>
      </c>
      <c r="X3000" s="77">
        <f>'Dropdown Lists'!$I$2*(1+OrdersTable[[#This Row],[Returned]])</f>
        <v>60</v>
      </c>
      <c r="Y3000" s="76">
        <f>OrdersTable[[#This Row],[Net Revenue]]-OrdersTable[[#This Row],[COGS]]-OrdersTable[[#This Row],[Shipping Cost]]</f>
        <v>394.29999999999995</v>
      </c>
      <c r="Z3000" s="78">
        <f>IFERROR(OrdersTable[[#This Row],[Profit]]/OrdersTable[[#This Row],[Net Revenue]],0)</f>
        <v>0.58130620669320354</v>
      </c>
      <c r="AA3000" t="s">
        <v>2522</v>
      </c>
      <c r="AB3000" s="79">
        <v>45787</v>
      </c>
      <c r="AC3000">
        <f>OrdersTable[[#This Row],[Delivery Date]]-OrdersTable[[#This Row],[Order Date]]</f>
        <v>6</v>
      </c>
      <c r="AD3000" t="str">
        <f>IF(OrdersTable[[#This Row],[Delivery Days]]&lt;=2, "Express (≤2d)", IF(OrdersTable[[#This Row],[Delivery Days]]&lt;=4, "Standard (3-4d)", "Delayed (5d+)"))</f>
        <v>Delayed (5d+)</v>
      </c>
      <c r="AE3000">
        <v>3</v>
      </c>
      <c r="AF3000">
        <v>0</v>
      </c>
    </row>
    <row r="3001" spans="1:32" ht="15" x14ac:dyDescent="0.35">
      <c r="A3001" t="s">
        <v>6165</v>
      </c>
      <c r="B3001" s="1">
        <v>45781</v>
      </c>
      <c r="C3001">
        <f>YEAR(OrdersTable[[#This Row],[Order Date]])</f>
        <v>2025</v>
      </c>
      <c r="D3001" s="2">
        <f>DATE(YEAR(OrdersTable[[#This Row],[Order Date]]),MONTH(OrdersTable[[#This Row],[Order Date]]),1)</f>
        <v>45778</v>
      </c>
      <c r="E3001">
        <f>MONTH(OrdersTable[[#This Row],[Order Date]])</f>
        <v>5</v>
      </c>
      <c r="F3001" t="s">
        <v>1291</v>
      </c>
      <c r="G3001" t="str">
        <f>IF(OrdersTable[[#This Row],[Order Date]]=_xlfn.MINIFS(Order_Date, Customer_ID, OrdersTable[[#This Row],[Customer ID]]), "New", "Repeat")</f>
        <v>New</v>
      </c>
      <c r="H3001" t="s">
        <v>482</v>
      </c>
      <c r="I3001" t="str">
        <f>INDEX(State!B:B,MATCH(OrdersTable[[#This Row],[State]],State!A:A,0))</f>
        <v>CG</v>
      </c>
      <c r="J3001" t="str">
        <f>INDEX(State!C:C,MATCH(OrdersTable[[#This Row],[State Code]],State!B:B,0))</f>
        <v>East</v>
      </c>
      <c r="K3001" t="s">
        <v>483</v>
      </c>
      <c r="L3001" t="s">
        <v>50</v>
      </c>
      <c r="M3001" t="s">
        <v>45</v>
      </c>
      <c r="N3001" t="str">
        <f>INDEX(Products!B:B,MATCH(OrdersTable[[#This Row],[Product ID]],Products!A:A,0))</f>
        <v>Argan Shampoo</v>
      </c>
      <c r="O3001" t="str">
        <f>INDEX(Products!C:C,MATCH(OrdersTable[[#This Row],[Product ID]],Products!A:A,0))</f>
        <v>Haircare</v>
      </c>
      <c r="P3001">
        <v>2</v>
      </c>
      <c r="Q3001" s="5">
        <v>449</v>
      </c>
      <c r="R3001" s="74">
        <v>0.15</v>
      </c>
      <c r="S3001" s="75">
        <f>OrdersTable[[#This Row],[Quantity]]*OrdersTable[[#This Row],[Unit Price]]</f>
        <v>898</v>
      </c>
      <c r="T3001" s="5">
        <f>OrdersTable[[#This Row],[Gross Sale]]*OrdersTable[[#This Row],[Discount_Clean2]]</f>
        <v>134.69999999999999</v>
      </c>
      <c r="U3001" s="5">
        <f>OrdersTable[[#This Row],[Gross Sale]]-OrdersTable[[#This Row],[Discount Amount]]</f>
        <v>763.3</v>
      </c>
      <c r="V3001" s="77">
        <f>INDEX(Products!E:E,MATCH(OrdersTable[[#This Row],[Product ID]],Products!A:A,0))</f>
        <v>148</v>
      </c>
      <c r="W3001" s="77">
        <f>OrdersTable[[#This Row],[Quantity]]*OrdersTable[[#This Row],[Unit Cost]]</f>
        <v>296</v>
      </c>
      <c r="X3001" s="77">
        <f>'Dropdown Lists'!$I$2*(1+OrdersTable[[#This Row],[Returned]])</f>
        <v>60</v>
      </c>
      <c r="Y3001" s="76">
        <f>OrdersTable[[#This Row],[Net Revenue]]-OrdersTable[[#This Row],[COGS]]-OrdersTable[[#This Row],[Shipping Cost]]</f>
        <v>407.29999999999995</v>
      </c>
      <c r="Z3001" s="78">
        <f>IFERROR(OrdersTable[[#This Row],[Profit]]/OrdersTable[[#This Row],[Net Revenue]],0)</f>
        <v>0.53360408751473865</v>
      </c>
      <c r="AA3001" t="s">
        <v>18</v>
      </c>
      <c r="AB3001" s="79">
        <v>45784</v>
      </c>
      <c r="AC3001">
        <f>OrdersTable[[#This Row],[Delivery Date]]-OrdersTable[[#This Row],[Order Date]]</f>
        <v>3</v>
      </c>
      <c r="AD3001" t="str">
        <f>IF(OrdersTable[[#This Row],[Delivery Days]]&lt;=2, "Express (≤2d)", IF(OrdersTable[[#This Row],[Delivery Days]]&lt;=4, "Standard (3-4d)", "Delayed (5d+)"))</f>
        <v>Standard (3-4d)</v>
      </c>
      <c r="AE3001">
        <v>4</v>
      </c>
      <c r="AF3001">
        <v>0</v>
      </c>
    </row>
    <row r="3002" spans="1:32" ht="15" x14ac:dyDescent="0.35">
      <c r="A3002" t="s">
        <v>7095</v>
      </c>
      <c r="B3002" s="1">
        <v>45781</v>
      </c>
      <c r="C3002">
        <f>YEAR(OrdersTable[[#This Row],[Order Date]])</f>
        <v>2025</v>
      </c>
      <c r="D3002" s="2">
        <f>DATE(YEAR(OrdersTable[[#This Row],[Order Date]]),MONTH(OrdersTable[[#This Row],[Order Date]]),1)</f>
        <v>45778</v>
      </c>
      <c r="E3002">
        <f>MONTH(OrdersTable[[#This Row],[Order Date]])</f>
        <v>5</v>
      </c>
      <c r="F3002" t="s">
        <v>1484</v>
      </c>
      <c r="G3002" t="str">
        <f>IF(OrdersTable[[#This Row],[Order Date]]=_xlfn.MINIFS(Order_Date, Customer_ID, OrdersTable[[#This Row],[Customer ID]]), "New", "Repeat")</f>
        <v>Repeat</v>
      </c>
      <c r="H3002" t="s">
        <v>59</v>
      </c>
      <c r="I3002" t="str">
        <f>INDEX(State!B:B,MATCH(OrdersTable[[#This Row],[State]],State!A:A,0))</f>
        <v>TN</v>
      </c>
      <c r="J3002" t="str">
        <f>INDEX(State!C:C,MATCH(OrdersTable[[#This Row],[State Code]],State!B:B,0))</f>
        <v>South</v>
      </c>
      <c r="K3002" t="s">
        <v>60</v>
      </c>
      <c r="L3002" t="s">
        <v>50</v>
      </c>
      <c r="M3002" t="s">
        <v>152</v>
      </c>
      <c r="N3002" t="str">
        <f>INDEX(Products!B:B,MATCH(OrdersTable[[#This Row],[Product ID]],Products!A:A,0))</f>
        <v>Green Tea (100 bags)</v>
      </c>
      <c r="O3002" t="str">
        <f>INDEX(Products!C:C,MATCH(OrdersTable[[#This Row],[Product ID]],Products!A:A,0))</f>
        <v>Wellness</v>
      </c>
      <c r="P3002">
        <v>4</v>
      </c>
      <c r="Q3002" s="5">
        <v>399</v>
      </c>
      <c r="R3002" s="74">
        <v>0.3</v>
      </c>
      <c r="S3002" s="75">
        <f>OrdersTable[[#This Row],[Quantity]]*OrdersTable[[#This Row],[Unit Price]]</f>
        <v>1596</v>
      </c>
      <c r="T3002" s="5">
        <f>OrdersTable[[#This Row],[Gross Sale]]*OrdersTable[[#This Row],[Discount_Clean2]]</f>
        <v>478.79999999999995</v>
      </c>
      <c r="U3002" s="5">
        <f>OrdersTable[[#This Row],[Gross Sale]]-OrdersTable[[#This Row],[Discount Amount]]</f>
        <v>1117.2</v>
      </c>
      <c r="V3002" s="77">
        <f>INDEX(Products!E:E,MATCH(OrdersTable[[#This Row],[Product ID]],Products!A:A,0))</f>
        <v>128</v>
      </c>
      <c r="W3002" s="77">
        <f>OrdersTable[[#This Row],[Quantity]]*OrdersTable[[#This Row],[Unit Cost]]</f>
        <v>512</v>
      </c>
      <c r="X3002" s="77">
        <f>'Dropdown Lists'!$I$2*(1+OrdersTable[[#This Row],[Returned]])</f>
        <v>60</v>
      </c>
      <c r="Y3002" s="76">
        <f>OrdersTable[[#This Row],[Net Revenue]]-OrdersTable[[#This Row],[COGS]]-OrdersTable[[#This Row],[Shipping Cost]]</f>
        <v>545.20000000000005</v>
      </c>
      <c r="Z3002" s="78">
        <f>IFERROR(OrdersTable[[#This Row],[Profit]]/OrdersTable[[#This Row],[Net Revenue]],0)</f>
        <v>0.4880057286072324</v>
      </c>
      <c r="AA3002" t="s">
        <v>18</v>
      </c>
      <c r="AB3002" s="79">
        <v>45784</v>
      </c>
      <c r="AC3002">
        <f>OrdersTable[[#This Row],[Delivery Date]]-OrdersTable[[#This Row],[Order Date]]</f>
        <v>3</v>
      </c>
      <c r="AD3002" t="str">
        <f>IF(OrdersTable[[#This Row],[Delivery Days]]&lt;=2, "Express (≤2d)", IF(OrdersTable[[#This Row],[Delivery Days]]&lt;=4, "Standard (3-4d)", "Delayed (5d+)"))</f>
        <v>Standard (3-4d)</v>
      </c>
      <c r="AE3002">
        <v>4</v>
      </c>
      <c r="AF3002">
        <v>0</v>
      </c>
    </row>
    <row r="3003" spans="1:32" ht="15" x14ac:dyDescent="0.35">
      <c r="A3003" t="s">
        <v>2400</v>
      </c>
      <c r="B3003" s="1">
        <v>45783</v>
      </c>
      <c r="C3003">
        <f>YEAR(OrdersTable[[#This Row],[Order Date]])</f>
        <v>2025</v>
      </c>
      <c r="D3003" s="2">
        <f>DATE(YEAR(OrdersTable[[#This Row],[Order Date]]),MONTH(OrdersTable[[#This Row],[Order Date]]),1)</f>
        <v>45778</v>
      </c>
      <c r="E3003">
        <f>MONTH(OrdersTable[[#This Row],[Order Date]])</f>
        <v>5</v>
      </c>
      <c r="F3003" t="s">
        <v>2401</v>
      </c>
      <c r="G3003" t="str">
        <f>IF(OrdersTable[[#This Row],[Order Date]]=_xlfn.MINIFS(Order_Date, Customer_ID, OrdersTable[[#This Row],[Customer ID]]), "New", "Repeat")</f>
        <v>Repeat</v>
      </c>
      <c r="H3003" t="s">
        <v>48</v>
      </c>
      <c r="I3003" t="str">
        <f>INDEX(State!B:B,MATCH(OrdersTable[[#This Row],[State]],State!A:A,0))</f>
        <v>HR</v>
      </c>
      <c r="J3003" t="str">
        <f>INDEX(State!C:C,MATCH(OrdersTable[[#This Row],[State Code]],State!B:B,0))</f>
        <v>North</v>
      </c>
      <c r="K3003" t="s">
        <v>49</v>
      </c>
      <c r="L3003" t="s">
        <v>16</v>
      </c>
      <c r="M3003" t="s">
        <v>92</v>
      </c>
      <c r="N3003" t="str">
        <f>INDEX(Products!B:B,MATCH(OrdersTable[[#This Row],[Product ID]],Products!A:A,0))</f>
        <v>Kolhapuri Sandals</v>
      </c>
      <c r="O3003" t="str">
        <f>INDEX(Products!C:C,MATCH(OrdersTable[[#This Row],[Product ID]],Products!A:A,0))</f>
        <v>Footwear</v>
      </c>
      <c r="P3003">
        <v>1</v>
      </c>
      <c r="Q3003" s="5">
        <v>999</v>
      </c>
      <c r="R3003" s="74">
        <v>0.1</v>
      </c>
      <c r="S3003" s="75">
        <f>OrdersTable[[#This Row],[Quantity]]*OrdersTable[[#This Row],[Unit Price]]</f>
        <v>999</v>
      </c>
      <c r="T3003" s="5">
        <f>OrdersTable[[#This Row],[Gross Sale]]*OrdersTable[[#This Row],[Discount_Clean2]]</f>
        <v>99.9</v>
      </c>
      <c r="U3003" s="5">
        <f>OrdersTable[[#This Row],[Gross Sale]]-OrdersTable[[#This Row],[Discount Amount]]</f>
        <v>899.1</v>
      </c>
      <c r="V3003" s="77">
        <f>INDEX(Products!E:E,MATCH(OrdersTable[[#This Row],[Product ID]],Products!A:A,0))</f>
        <v>400</v>
      </c>
      <c r="W3003" s="77">
        <f>OrdersTable[[#This Row],[Quantity]]*OrdersTable[[#This Row],[Unit Cost]]</f>
        <v>400</v>
      </c>
      <c r="X3003" s="77">
        <f>'Dropdown Lists'!$I$2*(1+OrdersTable[[#This Row],[Returned]])</f>
        <v>60</v>
      </c>
      <c r="Y3003" s="76">
        <f>OrdersTable[[#This Row],[Net Revenue]]-OrdersTable[[#This Row],[COGS]]-OrdersTable[[#This Row],[Shipping Cost]]</f>
        <v>439.1</v>
      </c>
      <c r="Z3003" s="78">
        <f>IFERROR(OrdersTable[[#This Row],[Profit]]/OrdersTable[[#This Row],[Net Revenue]],0)</f>
        <v>0.48837726615504395</v>
      </c>
      <c r="AA3003" t="s">
        <v>18</v>
      </c>
      <c r="AB3003" s="79">
        <v>45785</v>
      </c>
      <c r="AC3003">
        <f>OrdersTable[[#This Row],[Delivery Date]]-OrdersTable[[#This Row],[Order Date]]</f>
        <v>2</v>
      </c>
      <c r="AD3003" t="str">
        <f>IF(OrdersTable[[#This Row],[Delivery Days]]&lt;=2, "Express (≤2d)", IF(OrdersTable[[#This Row],[Delivery Days]]&lt;=4, "Standard (3-4d)", "Delayed (5d+)"))</f>
        <v>Express (≤2d)</v>
      </c>
      <c r="AE3003">
        <v>5</v>
      </c>
      <c r="AF3003">
        <v>0</v>
      </c>
    </row>
    <row r="3004" spans="1:32" ht="15" x14ac:dyDescent="0.35">
      <c r="A3004" t="s">
        <v>5194</v>
      </c>
      <c r="B3004" s="1">
        <v>45783</v>
      </c>
      <c r="C3004">
        <f>YEAR(OrdersTable[[#This Row],[Order Date]])</f>
        <v>2025</v>
      </c>
      <c r="D3004" s="2">
        <f>DATE(YEAR(OrdersTable[[#This Row],[Order Date]]),MONTH(OrdersTable[[#This Row],[Order Date]]),1)</f>
        <v>45778</v>
      </c>
      <c r="E3004">
        <f>MONTH(OrdersTable[[#This Row],[Order Date]])</f>
        <v>5</v>
      </c>
      <c r="F3004" t="s">
        <v>5195</v>
      </c>
      <c r="G3004" t="str">
        <f>IF(OrdersTable[[#This Row],[Order Date]]=_xlfn.MINIFS(Order_Date, Customer_ID, OrdersTable[[#This Row],[Customer ID]]), "New", "Repeat")</f>
        <v>New</v>
      </c>
      <c r="H3004" t="s">
        <v>128</v>
      </c>
      <c r="I3004" t="str">
        <f>INDEX(State!B:B,MATCH(OrdersTable[[#This Row],[State]],State!A:A,0))</f>
        <v>DL</v>
      </c>
      <c r="J3004" t="str">
        <f>INDEX(State!C:C,MATCH(OrdersTable[[#This Row],[State Code]],State!B:B,0))</f>
        <v>North</v>
      </c>
      <c r="K3004" t="s">
        <v>129</v>
      </c>
      <c r="L3004" t="s">
        <v>65</v>
      </c>
      <c r="M3004" t="s">
        <v>24</v>
      </c>
      <c r="N3004" t="str">
        <f>INDEX(Products!B:B,MATCH(OrdersTable[[#This Row],[Product ID]],Products!A:A,0))</f>
        <v>Scented Candle Set</v>
      </c>
      <c r="O3004" t="str">
        <f>INDEX(Products!C:C,MATCH(OrdersTable[[#This Row],[Product ID]],Products!A:A,0))</f>
        <v>Home &amp; Kitchen</v>
      </c>
      <c r="P3004">
        <v>2</v>
      </c>
      <c r="Q3004" s="5">
        <v>699</v>
      </c>
      <c r="R3004" s="74">
        <v>0.3</v>
      </c>
      <c r="S3004" s="75">
        <f>OrdersTable[[#This Row],[Quantity]]*OrdersTable[[#This Row],[Unit Price]]</f>
        <v>1398</v>
      </c>
      <c r="T3004" s="5">
        <f>OrdersTable[[#This Row],[Gross Sale]]*OrdersTable[[#This Row],[Discount_Clean2]]</f>
        <v>419.4</v>
      </c>
      <c r="U3004" s="5">
        <f>OrdersTable[[#This Row],[Gross Sale]]-OrdersTable[[#This Row],[Discount Amount]]</f>
        <v>978.6</v>
      </c>
      <c r="V3004" s="77">
        <f>INDEX(Products!E:E,MATCH(OrdersTable[[#This Row],[Product ID]],Products!A:A,0))</f>
        <v>245</v>
      </c>
      <c r="W3004" s="77">
        <f>OrdersTable[[#This Row],[Quantity]]*OrdersTable[[#This Row],[Unit Cost]]</f>
        <v>490</v>
      </c>
      <c r="X3004" s="77">
        <f>'Dropdown Lists'!$I$2*(1+OrdersTable[[#This Row],[Returned]])</f>
        <v>60</v>
      </c>
      <c r="Y3004" s="76">
        <f>OrdersTable[[#This Row],[Net Revenue]]-OrdersTable[[#This Row],[COGS]]-OrdersTable[[#This Row],[Shipping Cost]]</f>
        <v>428.6</v>
      </c>
      <c r="Z3004" s="78">
        <f>IFERROR(OrdersTable[[#This Row],[Profit]]/OrdersTable[[#This Row],[Net Revenue]],0)</f>
        <v>0.43797261393827919</v>
      </c>
      <c r="AA3004" t="s">
        <v>3495</v>
      </c>
      <c r="AB3004" s="79">
        <v>45785</v>
      </c>
      <c r="AC3004">
        <f>OrdersTable[[#This Row],[Delivery Date]]-OrdersTable[[#This Row],[Order Date]]</f>
        <v>2</v>
      </c>
      <c r="AD3004" t="str">
        <f>IF(OrdersTable[[#This Row],[Delivery Days]]&lt;=2, "Express (≤2d)", IF(OrdersTable[[#This Row],[Delivery Days]]&lt;=4, "Standard (3-4d)", "Delayed (5d+)"))</f>
        <v>Express (≤2d)</v>
      </c>
      <c r="AE3004">
        <v>5</v>
      </c>
      <c r="AF3004">
        <v>0</v>
      </c>
    </row>
    <row r="3005" spans="1:32" ht="15" x14ac:dyDescent="0.35">
      <c r="A3005" t="s">
        <v>3629</v>
      </c>
      <c r="B3005" s="1">
        <v>45783</v>
      </c>
      <c r="C3005">
        <f>YEAR(OrdersTable[[#This Row],[Order Date]])</f>
        <v>2025</v>
      </c>
      <c r="D3005" s="2">
        <f>DATE(YEAR(OrdersTable[[#This Row],[Order Date]]),MONTH(OrdersTable[[#This Row],[Order Date]]),1)</f>
        <v>45778</v>
      </c>
      <c r="E3005">
        <f>MONTH(OrdersTable[[#This Row],[Order Date]])</f>
        <v>5</v>
      </c>
      <c r="F3005" t="s">
        <v>3630</v>
      </c>
      <c r="G3005" t="str">
        <f>IF(OrdersTable[[#This Row],[Order Date]]=_xlfn.MINIFS(Order_Date, Customer_ID, OrdersTable[[#This Row],[Customer ID]]), "New", "Repeat")</f>
        <v>New</v>
      </c>
      <c r="H3005" t="s">
        <v>132</v>
      </c>
      <c r="I3005" t="str">
        <f>INDEX(State!B:B,MATCH(OrdersTable[[#This Row],[State]],State!A:A,0))</f>
        <v>AS</v>
      </c>
      <c r="J3005" t="str">
        <f>INDEX(State!C:C,MATCH(OrdersTable[[#This Row],[State Code]],State!B:B,0))</f>
        <v>East</v>
      </c>
      <c r="K3005" t="s">
        <v>133</v>
      </c>
      <c r="L3005" t="s">
        <v>16</v>
      </c>
      <c r="M3005" t="s">
        <v>92</v>
      </c>
      <c r="N3005" t="str">
        <f>INDEX(Products!B:B,MATCH(OrdersTable[[#This Row],[Product ID]],Products!A:A,0))</f>
        <v>Kolhapuri Sandals</v>
      </c>
      <c r="O3005" t="str">
        <f>INDEX(Products!C:C,MATCH(OrdersTable[[#This Row],[Product ID]],Products!A:A,0))</f>
        <v>Footwear</v>
      </c>
      <c r="P3005">
        <v>1</v>
      </c>
      <c r="Q3005" s="5">
        <v>999</v>
      </c>
      <c r="R3005" s="74">
        <v>0.05</v>
      </c>
      <c r="S3005" s="75">
        <f>OrdersTable[[#This Row],[Quantity]]*OrdersTable[[#This Row],[Unit Price]]</f>
        <v>999</v>
      </c>
      <c r="T3005" s="5">
        <f>OrdersTable[[#This Row],[Gross Sale]]*OrdersTable[[#This Row],[Discount_Clean2]]</f>
        <v>49.95</v>
      </c>
      <c r="U3005" s="5">
        <f>OrdersTable[[#This Row],[Gross Sale]]-OrdersTable[[#This Row],[Discount Amount]]</f>
        <v>949.05</v>
      </c>
      <c r="V3005" s="77">
        <f>INDEX(Products!E:E,MATCH(OrdersTable[[#This Row],[Product ID]],Products!A:A,0))</f>
        <v>400</v>
      </c>
      <c r="W3005" s="77">
        <f>OrdersTable[[#This Row],[Quantity]]*OrdersTable[[#This Row],[Unit Cost]]</f>
        <v>400</v>
      </c>
      <c r="X3005" s="77">
        <f>'Dropdown Lists'!$I$2*(1+OrdersTable[[#This Row],[Returned]])</f>
        <v>60</v>
      </c>
      <c r="Y3005" s="76">
        <f>OrdersTable[[#This Row],[Net Revenue]]-OrdersTable[[#This Row],[COGS]]-OrdersTable[[#This Row],[Shipping Cost]]</f>
        <v>489.04999999999995</v>
      </c>
      <c r="Z3005" s="78">
        <f>IFERROR(OrdersTable[[#This Row],[Profit]]/OrdersTable[[#This Row],[Net Revenue]],0)</f>
        <v>0.5153047784626732</v>
      </c>
      <c r="AA3005" t="s">
        <v>3495</v>
      </c>
      <c r="AB3005" s="79">
        <v>45789</v>
      </c>
      <c r="AC3005">
        <f>OrdersTable[[#This Row],[Delivery Date]]-OrdersTable[[#This Row],[Order Date]]</f>
        <v>6</v>
      </c>
      <c r="AD3005" t="str">
        <f>IF(OrdersTable[[#This Row],[Delivery Days]]&lt;=2, "Express (≤2d)", IF(OrdersTable[[#This Row],[Delivery Days]]&lt;=4, "Standard (3-4d)", "Delayed (5d+)"))</f>
        <v>Delayed (5d+)</v>
      </c>
      <c r="AE3005">
        <v>4</v>
      </c>
      <c r="AF3005">
        <v>0</v>
      </c>
    </row>
    <row r="3006" spans="1:32" ht="15" x14ac:dyDescent="0.35">
      <c r="A3006" t="s">
        <v>4522</v>
      </c>
      <c r="B3006" s="1">
        <v>45783</v>
      </c>
      <c r="C3006">
        <f>YEAR(OrdersTable[[#This Row],[Order Date]])</f>
        <v>2025</v>
      </c>
      <c r="D3006" s="2">
        <f>DATE(YEAR(OrdersTable[[#This Row],[Order Date]]),MONTH(OrdersTable[[#This Row],[Order Date]]),1)</f>
        <v>45778</v>
      </c>
      <c r="E3006">
        <f>MONTH(OrdersTable[[#This Row],[Order Date]])</f>
        <v>5</v>
      </c>
      <c r="F3006" t="s">
        <v>2439</v>
      </c>
      <c r="G3006" t="str">
        <f>IF(OrdersTable[[#This Row],[Order Date]]=_xlfn.MINIFS(Order_Date, Customer_ID, OrdersTable[[#This Row],[Customer ID]]), "New", "Repeat")</f>
        <v>Repeat</v>
      </c>
      <c r="H3006" t="s">
        <v>275</v>
      </c>
      <c r="I3006" t="str">
        <f>INDEX(State!B:B,MATCH(OrdersTable[[#This Row],[State]],State!A:A,0))</f>
        <v>AP</v>
      </c>
      <c r="J3006" t="str">
        <f>INDEX(State!C:C,MATCH(OrdersTable[[#This Row],[State Code]],State!B:B,0))</f>
        <v>South</v>
      </c>
      <c r="K3006" t="s">
        <v>491</v>
      </c>
      <c r="L3006" t="s">
        <v>65</v>
      </c>
      <c r="M3006" t="s">
        <v>56</v>
      </c>
      <c r="N3006" t="str">
        <f>INDEX(Products!B:B,MATCH(OrdersTable[[#This Row],[Product ID]],Products!A:A,0))</f>
        <v>Vitamin C Face Serum</v>
      </c>
      <c r="O3006" t="str">
        <f>INDEX(Products!C:C,MATCH(OrdersTable[[#This Row],[Product ID]],Products!A:A,0))</f>
        <v>Skincare</v>
      </c>
      <c r="P3006">
        <v>1</v>
      </c>
      <c r="Q3006" s="5">
        <v>599</v>
      </c>
      <c r="R3006" s="74">
        <v>0.15</v>
      </c>
      <c r="S3006" s="75">
        <f>OrdersTable[[#This Row],[Quantity]]*OrdersTable[[#This Row],[Unit Price]]</f>
        <v>599</v>
      </c>
      <c r="T3006" s="5">
        <f>OrdersTable[[#This Row],[Gross Sale]]*OrdersTable[[#This Row],[Discount_Clean2]]</f>
        <v>89.85</v>
      </c>
      <c r="U3006" s="5">
        <f>OrdersTable[[#This Row],[Gross Sale]]-OrdersTable[[#This Row],[Discount Amount]]</f>
        <v>509.15</v>
      </c>
      <c r="V3006" s="77">
        <f>INDEX(Products!E:E,MATCH(OrdersTable[[#This Row],[Product ID]],Products!A:A,0))</f>
        <v>180</v>
      </c>
      <c r="W3006" s="77">
        <f>OrdersTable[[#This Row],[Quantity]]*OrdersTable[[#This Row],[Unit Cost]]</f>
        <v>180</v>
      </c>
      <c r="X3006" s="77">
        <f>'Dropdown Lists'!$I$2*(1+OrdersTable[[#This Row],[Returned]])</f>
        <v>120</v>
      </c>
      <c r="Y3006" s="76">
        <f>OrdersTable[[#This Row],[Net Revenue]]-OrdersTable[[#This Row],[COGS]]-OrdersTable[[#This Row],[Shipping Cost]]</f>
        <v>209.14999999999998</v>
      </c>
      <c r="Z3006" s="78">
        <f>IFERROR(OrdersTable[[#This Row],[Profit]]/OrdersTable[[#This Row],[Net Revenue]],0)</f>
        <v>0.41078267701070409</v>
      </c>
      <c r="AA3006" t="s">
        <v>4450</v>
      </c>
      <c r="AB3006" s="79">
        <v>45786</v>
      </c>
      <c r="AC3006">
        <f>OrdersTable[[#This Row],[Delivery Date]]-OrdersTable[[#This Row],[Order Date]]</f>
        <v>3</v>
      </c>
      <c r="AD3006" t="str">
        <f>IF(OrdersTable[[#This Row],[Delivery Days]]&lt;=2, "Express (≤2d)", IF(OrdersTable[[#This Row],[Delivery Days]]&lt;=4, "Standard (3-4d)", "Delayed (5d+)"))</f>
        <v>Standard (3-4d)</v>
      </c>
      <c r="AE3006">
        <v>4</v>
      </c>
      <c r="AF3006">
        <v>1</v>
      </c>
    </row>
    <row r="3007" spans="1:32" ht="15" x14ac:dyDescent="0.35">
      <c r="A3007" t="s">
        <v>5196</v>
      </c>
      <c r="B3007" s="1">
        <v>45783</v>
      </c>
      <c r="C3007">
        <f>YEAR(OrdersTable[[#This Row],[Order Date]])</f>
        <v>2025</v>
      </c>
      <c r="D3007" s="2">
        <f>DATE(YEAR(OrdersTable[[#This Row],[Order Date]]),MONTH(OrdersTable[[#This Row],[Order Date]]),1)</f>
        <v>45778</v>
      </c>
      <c r="E3007">
        <f>MONTH(OrdersTable[[#This Row],[Order Date]])</f>
        <v>5</v>
      </c>
      <c r="F3007" t="s">
        <v>684</v>
      </c>
      <c r="G3007" t="str">
        <f>IF(OrdersTable[[#This Row],[Order Date]]=_xlfn.MINIFS(Order_Date, Customer_ID, OrdersTable[[#This Row],[Customer ID]]), "New", "Repeat")</f>
        <v>New</v>
      </c>
      <c r="H3007" t="s">
        <v>59</v>
      </c>
      <c r="I3007" t="str">
        <f>INDEX(State!B:B,MATCH(OrdersTable[[#This Row],[State]],State!A:A,0))</f>
        <v>TN</v>
      </c>
      <c r="J3007" t="str">
        <f>INDEX(State!C:C,MATCH(OrdersTable[[#This Row],[State Code]],State!B:B,0))</f>
        <v>South</v>
      </c>
      <c r="K3007" t="s">
        <v>60</v>
      </c>
      <c r="L3007" t="s">
        <v>16</v>
      </c>
      <c r="M3007" t="s">
        <v>205</v>
      </c>
      <c r="N3007" t="str">
        <f>INDEX(Products!B:B,MATCH(OrdersTable[[#This Row],[Product ID]],Products!A:A,0))</f>
        <v>Running Shoes</v>
      </c>
      <c r="O3007" t="str">
        <f>INDEX(Products!C:C,MATCH(OrdersTable[[#This Row],[Product ID]],Products!A:A,0))</f>
        <v>Footwear</v>
      </c>
      <c r="P3007">
        <v>2</v>
      </c>
      <c r="Q3007" s="5">
        <v>2999</v>
      </c>
      <c r="R3007" s="74">
        <v>0.15</v>
      </c>
      <c r="S3007" s="75">
        <f>OrdersTable[[#This Row],[Quantity]]*OrdersTable[[#This Row],[Unit Price]]</f>
        <v>5998</v>
      </c>
      <c r="T3007" s="5">
        <f>OrdersTable[[#This Row],[Gross Sale]]*OrdersTable[[#This Row],[Discount_Clean2]]</f>
        <v>899.69999999999993</v>
      </c>
      <c r="U3007" s="5">
        <f>OrdersTable[[#This Row],[Gross Sale]]-OrdersTable[[#This Row],[Discount Amount]]</f>
        <v>5098.3</v>
      </c>
      <c r="V3007" s="77">
        <f>INDEX(Products!E:E,MATCH(OrdersTable[[#This Row],[Product ID]],Products!A:A,0))</f>
        <v>1440</v>
      </c>
      <c r="W3007" s="77">
        <f>OrdersTable[[#This Row],[Quantity]]*OrdersTable[[#This Row],[Unit Cost]]</f>
        <v>2880</v>
      </c>
      <c r="X3007" s="77">
        <f>'Dropdown Lists'!$I$2*(1+OrdersTable[[#This Row],[Returned]])</f>
        <v>60</v>
      </c>
      <c r="Y3007" s="76">
        <f>OrdersTable[[#This Row],[Net Revenue]]-OrdersTable[[#This Row],[COGS]]-OrdersTable[[#This Row],[Shipping Cost]]</f>
        <v>2158.3000000000002</v>
      </c>
      <c r="Z3007" s="78">
        <f>IFERROR(OrdersTable[[#This Row],[Profit]]/OrdersTable[[#This Row],[Net Revenue]],0)</f>
        <v>0.42333719082831534</v>
      </c>
      <c r="AA3007" t="s">
        <v>3495</v>
      </c>
      <c r="AB3007" s="79">
        <v>45785</v>
      </c>
      <c r="AC3007">
        <f>OrdersTable[[#This Row],[Delivery Date]]-OrdersTable[[#This Row],[Order Date]]</f>
        <v>2</v>
      </c>
      <c r="AD3007" t="str">
        <f>IF(OrdersTable[[#This Row],[Delivery Days]]&lt;=2, "Express (≤2d)", IF(OrdersTable[[#This Row],[Delivery Days]]&lt;=4, "Standard (3-4d)", "Delayed (5d+)"))</f>
        <v>Express (≤2d)</v>
      </c>
      <c r="AE3007">
        <v>4</v>
      </c>
      <c r="AF3007">
        <v>0</v>
      </c>
    </row>
    <row r="3008" spans="1:32" ht="15" x14ac:dyDescent="0.35">
      <c r="A3008" t="s">
        <v>3058</v>
      </c>
      <c r="B3008" s="1">
        <v>45784</v>
      </c>
      <c r="C3008">
        <f>YEAR(OrdersTable[[#This Row],[Order Date]])</f>
        <v>2025</v>
      </c>
      <c r="D3008" s="2">
        <f>DATE(YEAR(OrdersTable[[#This Row],[Order Date]]),MONTH(OrdersTable[[#This Row],[Order Date]]),1)</f>
        <v>45778</v>
      </c>
      <c r="E3008">
        <f>MONTH(OrdersTable[[#This Row],[Order Date]])</f>
        <v>5</v>
      </c>
      <c r="F3008" t="s">
        <v>2437</v>
      </c>
      <c r="G3008" t="str">
        <f>IF(OrdersTable[[#This Row],[Order Date]]=_xlfn.MINIFS(Order_Date, Customer_ID, OrdersTable[[#This Row],[Customer ID]]), "New", "Repeat")</f>
        <v>Repeat</v>
      </c>
      <c r="H3008" t="s">
        <v>21</v>
      </c>
      <c r="I3008" t="str">
        <f>INDEX(State!B:B,MATCH(OrdersTable[[#This Row],[State]],State!A:A,0))</f>
        <v>PB</v>
      </c>
      <c r="J3008" t="str">
        <f>INDEX(State!C:C,MATCH(OrdersTable[[#This Row],[State Code]],State!B:B,0))</f>
        <v>North</v>
      </c>
      <c r="K3008" t="s">
        <v>260</v>
      </c>
      <c r="L3008" t="s">
        <v>16</v>
      </c>
      <c r="M3008" t="s">
        <v>255</v>
      </c>
      <c r="N3008" t="str">
        <f>INDEX(Products!B:B,MATCH(OrdersTable[[#This Row],[Product ID]],Products!A:A,0))</f>
        <v>Cotton Oversized T-Shirt</v>
      </c>
      <c r="O3008" t="str">
        <f>INDEX(Products!C:C,MATCH(OrdersTable[[#This Row],[Product ID]],Products!A:A,0))</f>
        <v>Apparel</v>
      </c>
      <c r="P3008">
        <v>1</v>
      </c>
      <c r="Q3008" s="5">
        <v>799</v>
      </c>
      <c r="R3008" s="74">
        <v>0</v>
      </c>
      <c r="S3008" s="75">
        <f>OrdersTable[[#This Row],[Quantity]]*OrdersTable[[#This Row],[Unit Price]]</f>
        <v>799</v>
      </c>
      <c r="T3008" s="5">
        <f>OrdersTable[[#This Row],[Gross Sale]]*OrdersTable[[#This Row],[Discount_Clean2]]</f>
        <v>0</v>
      </c>
      <c r="U3008" s="5">
        <f>OrdersTable[[#This Row],[Gross Sale]]-OrdersTable[[#This Row],[Discount Amount]]</f>
        <v>799</v>
      </c>
      <c r="V3008" s="77">
        <f>INDEX(Products!E:E,MATCH(OrdersTable[[#This Row],[Product ID]],Products!A:A,0))</f>
        <v>320</v>
      </c>
      <c r="W3008" s="77">
        <f>OrdersTable[[#This Row],[Quantity]]*OrdersTable[[#This Row],[Unit Cost]]</f>
        <v>320</v>
      </c>
      <c r="X3008" s="77">
        <f>'Dropdown Lists'!$I$2*(1+OrdersTable[[#This Row],[Returned]])</f>
        <v>60</v>
      </c>
      <c r="Y3008" s="76">
        <f>OrdersTable[[#This Row],[Net Revenue]]-OrdersTable[[#This Row],[COGS]]-OrdersTable[[#This Row],[Shipping Cost]]</f>
        <v>419</v>
      </c>
      <c r="Z3008" s="78">
        <f>IFERROR(OrdersTable[[#This Row],[Profit]]/OrdersTable[[#This Row],[Net Revenue]],0)</f>
        <v>0.52440550688360454</v>
      </c>
      <c r="AA3008" t="s">
        <v>2522</v>
      </c>
      <c r="AB3008" s="79">
        <v>45787</v>
      </c>
      <c r="AC3008">
        <f>OrdersTable[[#This Row],[Delivery Date]]-OrdersTable[[#This Row],[Order Date]]</f>
        <v>3</v>
      </c>
      <c r="AD3008" t="str">
        <f>IF(OrdersTable[[#This Row],[Delivery Days]]&lt;=2, "Express (≤2d)", IF(OrdersTable[[#This Row],[Delivery Days]]&lt;=4, "Standard (3-4d)", "Delayed (5d+)"))</f>
        <v>Standard (3-4d)</v>
      </c>
      <c r="AF3008">
        <v>0</v>
      </c>
    </row>
    <row r="3009" spans="1:32" ht="15" x14ac:dyDescent="0.35">
      <c r="A3009" t="s">
        <v>6719</v>
      </c>
      <c r="B3009" s="1">
        <v>45784</v>
      </c>
      <c r="C3009">
        <f>YEAR(OrdersTable[[#This Row],[Order Date]])</f>
        <v>2025</v>
      </c>
      <c r="D3009" s="2">
        <f>DATE(YEAR(OrdersTable[[#This Row],[Order Date]]),MONTH(OrdersTable[[#This Row],[Order Date]]),1)</f>
        <v>45778</v>
      </c>
      <c r="E3009">
        <f>MONTH(OrdersTable[[#This Row],[Order Date]])</f>
        <v>5</v>
      </c>
      <c r="F3009" t="s">
        <v>905</v>
      </c>
      <c r="G3009" t="str">
        <f>IF(OrdersTable[[#This Row],[Order Date]]=_xlfn.MINIFS(Order_Date, Customer_ID, OrdersTable[[#This Row],[Customer ID]]), "New", "Repeat")</f>
        <v>Repeat</v>
      </c>
      <c r="H3009" t="s">
        <v>158</v>
      </c>
      <c r="I3009" t="str">
        <f>INDEX(State!B:B,MATCH(OrdersTable[[#This Row],[State]],State!A:A,0))</f>
        <v>HP</v>
      </c>
      <c r="J3009" t="str">
        <f>INDEX(State!C:C,MATCH(OrdersTable[[#This Row],[State Code]],State!B:B,0))</f>
        <v>North</v>
      </c>
      <c r="K3009" t="s">
        <v>159</v>
      </c>
      <c r="L3009" t="s">
        <v>16</v>
      </c>
      <c r="M3009" t="s">
        <v>29</v>
      </c>
      <c r="N3009" t="str">
        <f>INDEX(Products!B:B,MATCH(OrdersTable[[#This Row],[Product ID]],Products!A:A,0))</f>
        <v>Joggers</v>
      </c>
      <c r="O3009" t="str">
        <f>INDEX(Products!C:C,MATCH(OrdersTable[[#This Row],[Product ID]],Products!A:A,0))</f>
        <v>Apparel</v>
      </c>
      <c r="P3009">
        <v>3</v>
      </c>
      <c r="Q3009" s="5">
        <v>1199</v>
      </c>
      <c r="R3009" s="74">
        <v>0.1</v>
      </c>
      <c r="S3009" s="75">
        <f>OrdersTable[[#This Row],[Quantity]]*OrdersTable[[#This Row],[Unit Price]]</f>
        <v>3597</v>
      </c>
      <c r="T3009" s="5">
        <f>OrdersTable[[#This Row],[Gross Sale]]*OrdersTable[[#This Row],[Discount_Clean2]]</f>
        <v>359.70000000000005</v>
      </c>
      <c r="U3009" s="5">
        <f>OrdersTable[[#This Row],[Gross Sale]]-OrdersTable[[#This Row],[Discount Amount]]</f>
        <v>3237.3</v>
      </c>
      <c r="V3009" s="77">
        <f>INDEX(Products!E:E,MATCH(OrdersTable[[#This Row],[Product ID]],Products!A:A,0))</f>
        <v>492</v>
      </c>
      <c r="W3009" s="77">
        <f>OrdersTable[[#This Row],[Quantity]]*OrdersTable[[#This Row],[Unit Cost]]</f>
        <v>1476</v>
      </c>
      <c r="X3009" s="77">
        <f>'Dropdown Lists'!$I$2*(1+OrdersTable[[#This Row],[Returned]])</f>
        <v>60</v>
      </c>
      <c r="Y3009" s="76">
        <f>OrdersTable[[#This Row],[Net Revenue]]-OrdersTable[[#This Row],[COGS]]-OrdersTable[[#This Row],[Shipping Cost]]</f>
        <v>1701.3000000000002</v>
      </c>
      <c r="Z3009" s="78">
        <f>IFERROR(OrdersTable[[#This Row],[Profit]]/OrdersTable[[#This Row],[Net Revenue]],0)</f>
        <v>0.52553053470484667</v>
      </c>
      <c r="AA3009" t="s">
        <v>2522</v>
      </c>
      <c r="AB3009" s="79">
        <v>45787</v>
      </c>
      <c r="AC3009">
        <f>OrdersTable[[#This Row],[Delivery Date]]-OrdersTable[[#This Row],[Order Date]]</f>
        <v>3</v>
      </c>
      <c r="AD3009" t="str">
        <f>IF(OrdersTable[[#This Row],[Delivery Days]]&lt;=2, "Express (≤2d)", IF(OrdersTable[[#This Row],[Delivery Days]]&lt;=4, "Standard (3-4d)", "Delayed (5d+)"))</f>
        <v>Standard (3-4d)</v>
      </c>
      <c r="AF3009">
        <v>0</v>
      </c>
    </row>
    <row r="3010" spans="1:32" ht="15" x14ac:dyDescent="0.35">
      <c r="A3010" t="s">
        <v>6586</v>
      </c>
      <c r="B3010" s="1">
        <v>45784</v>
      </c>
      <c r="C3010">
        <f>YEAR(OrdersTable[[#This Row],[Order Date]])</f>
        <v>2025</v>
      </c>
      <c r="D3010" s="2">
        <f>DATE(YEAR(OrdersTable[[#This Row],[Order Date]]),MONTH(OrdersTable[[#This Row],[Order Date]]),1)</f>
        <v>45778</v>
      </c>
      <c r="E3010">
        <f>MONTH(OrdersTable[[#This Row],[Order Date]])</f>
        <v>5</v>
      </c>
      <c r="F3010" t="s">
        <v>6587</v>
      </c>
      <c r="G3010" t="str">
        <f>IF(OrdersTable[[#This Row],[Order Date]]=_xlfn.MINIFS(Order_Date, Customer_ID, OrdersTable[[#This Row],[Customer ID]]), "New", "Repeat")</f>
        <v>New</v>
      </c>
      <c r="H3010" t="s">
        <v>48</v>
      </c>
      <c r="I3010" t="str">
        <f>INDEX(State!B:B,MATCH(OrdersTable[[#This Row],[State]],State!A:A,0))</f>
        <v>HR</v>
      </c>
      <c r="J3010" t="str">
        <f>INDEX(State!C:C,MATCH(OrdersTable[[#This Row],[State Code]],State!B:B,0))</f>
        <v>North</v>
      </c>
      <c r="K3010" t="s">
        <v>151</v>
      </c>
      <c r="L3010" t="s">
        <v>16</v>
      </c>
      <c r="M3010" t="s">
        <v>29</v>
      </c>
      <c r="N3010" t="str">
        <f>INDEX(Products!B:B,MATCH(OrdersTable[[#This Row],[Product ID]],Products!A:A,0))</f>
        <v>Joggers</v>
      </c>
      <c r="O3010" t="str">
        <f>INDEX(Products!C:C,MATCH(OrdersTable[[#This Row],[Product ID]],Products!A:A,0))</f>
        <v>Apparel</v>
      </c>
      <c r="P3010">
        <v>3</v>
      </c>
      <c r="Q3010" s="5">
        <v>1199</v>
      </c>
      <c r="R3010" s="74">
        <v>0.1</v>
      </c>
      <c r="S3010" s="75">
        <f>OrdersTable[[#This Row],[Quantity]]*OrdersTable[[#This Row],[Unit Price]]</f>
        <v>3597</v>
      </c>
      <c r="T3010" s="5">
        <f>OrdersTable[[#This Row],[Gross Sale]]*OrdersTable[[#This Row],[Discount_Clean2]]</f>
        <v>359.70000000000005</v>
      </c>
      <c r="U3010" s="5">
        <f>OrdersTable[[#This Row],[Gross Sale]]-OrdersTable[[#This Row],[Discount Amount]]</f>
        <v>3237.3</v>
      </c>
      <c r="V3010" s="77">
        <f>INDEX(Products!E:E,MATCH(OrdersTable[[#This Row],[Product ID]],Products!A:A,0))</f>
        <v>492</v>
      </c>
      <c r="W3010" s="77">
        <f>OrdersTable[[#This Row],[Quantity]]*OrdersTable[[#This Row],[Unit Cost]]</f>
        <v>1476</v>
      </c>
      <c r="X3010" s="77">
        <f>'Dropdown Lists'!$I$2*(1+OrdersTable[[#This Row],[Returned]])</f>
        <v>60</v>
      </c>
      <c r="Y3010" s="76">
        <f>OrdersTable[[#This Row],[Net Revenue]]-OrdersTable[[#This Row],[COGS]]-OrdersTable[[#This Row],[Shipping Cost]]</f>
        <v>1701.3000000000002</v>
      </c>
      <c r="Z3010" s="78">
        <f>IFERROR(OrdersTable[[#This Row],[Profit]]/OrdersTable[[#This Row],[Net Revenue]],0)</f>
        <v>0.52553053470484667</v>
      </c>
      <c r="AA3010" t="s">
        <v>18</v>
      </c>
      <c r="AB3010" s="79">
        <v>45786</v>
      </c>
      <c r="AC3010">
        <f>OrdersTable[[#This Row],[Delivery Date]]-OrdersTable[[#This Row],[Order Date]]</f>
        <v>2</v>
      </c>
      <c r="AD3010" t="str">
        <f>IF(OrdersTable[[#This Row],[Delivery Days]]&lt;=2, "Express (≤2d)", IF(OrdersTable[[#This Row],[Delivery Days]]&lt;=4, "Standard (3-4d)", "Delayed (5d+)"))</f>
        <v>Express (≤2d)</v>
      </c>
      <c r="AE3010">
        <v>4</v>
      </c>
      <c r="AF3010">
        <v>0</v>
      </c>
    </row>
    <row r="3011" spans="1:32" ht="15" x14ac:dyDescent="0.35">
      <c r="A3011" t="s">
        <v>6799</v>
      </c>
      <c r="B3011" s="1">
        <v>45784</v>
      </c>
      <c r="C3011">
        <f>YEAR(OrdersTable[[#This Row],[Order Date]])</f>
        <v>2025</v>
      </c>
      <c r="D3011" s="2">
        <f>DATE(YEAR(OrdersTable[[#This Row],[Order Date]]),MONTH(OrdersTable[[#This Row],[Order Date]]),1)</f>
        <v>45778</v>
      </c>
      <c r="E3011">
        <f>MONTH(OrdersTable[[#This Row],[Order Date]])</f>
        <v>5</v>
      </c>
      <c r="F3011" t="s">
        <v>1971</v>
      </c>
      <c r="G3011" t="str">
        <f>IF(OrdersTable[[#This Row],[Order Date]]=_xlfn.MINIFS(Order_Date, Customer_ID, OrdersTable[[#This Row],[Customer ID]]), "New", "Repeat")</f>
        <v>Repeat</v>
      </c>
      <c r="H3011" t="s">
        <v>132</v>
      </c>
      <c r="I3011" t="str">
        <f>INDEX(State!B:B,MATCH(OrdersTable[[#This Row],[State]],State!A:A,0))</f>
        <v>AS</v>
      </c>
      <c r="J3011" t="str">
        <f>INDEX(State!C:C,MATCH(OrdersTable[[#This Row],[State Code]],State!B:B,0))</f>
        <v>East</v>
      </c>
      <c r="K3011" t="s">
        <v>133</v>
      </c>
      <c r="L3011" t="s">
        <v>50</v>
      </c>
      <c r="M3011" t="s">
        <v>106</v>
      </c>
      <c r="N3011" t="str">
        <f>INDEX(Products!B:B,MATCH(OrdersTable[[#This Row],[Product ID]],Products!A:A,0))</f>
        <v>Keratin Hair Mask</v>
      </c>
      <c r="O3011" t="str">
        <f>INDEX(Products!C:C,MATCH(OrdersTable[[#This Row],[Product ID]],Products!A:A,0))</f>
        <v>Haircare</v>
      </c>
      <c r="P3011">
        <v>3</v>
      </c>
      <c r="Q3011" s="5">
        <v>549</v>
      </c>
      <c r="R3011" s="74">
        <v>0.15</v>
      </c>
      <c r="S3011" s="75">
        <f>OrdersTable[[#This Row],[Quantity]]*OrdersTable[[#This Row],[Unit Price]]</f>
        <v>1647</v>
      </c>
      <c r="T3011" s="5">
        <f>OrdersTable[[#This Row],[Gross Sale]]*OrdersTable[[#This Row],[Discount_Clean2]]</f>
        <v>247.04999999999998</v>
      </c>
      <c r="U3011" s="5">
        <f>OrdersTable[[#This Row],[Gross Sale]]-OrdersTable[[#This Row],[Discount Amount]]</f>
        <v>1399.95</v>
      </c>
      <c r="V3011" s="77">
        <f>INDEX(Products!E:E,MATCH(OrdersTable[[#This Row],[Product ID]],Products!A:A,0))</f>
        <v>170</v>
      </c>
      <c r="W3011" s="77">
        <f>OrdersTable[[#This Row],[Quantity]]*OrdersTable[[#This Row],[Unit Cost]]</f>
        <v>510</v>
      </c>
      <c r="X3011" s="77">
        <f>'Dropdown Lists'!$I$2*(1+OrdersTable[[#This Row],[Returned]])</f>
        <v>60</v>
      </c>
      <c r="Y3011" s="76">
        <f>OrdersTable[[#This Row],[Net Revenue]]-OrdersTable[[#This Row],[COGS]]-OrdersTable[[#This Row],[Shipping Cost]]</f>
        <v>829.95</v>
      </c>
      <c r="Z3011" s="78">
        <f>IFERROR(OrdersTable[[#This Row],[Profit]]/OrdersTable[[#This Row],[Net Revenue]],0)</f>
        <v>0.59284260152148294</v>
      </c>
      <c r="AA3011" t="s">
        <v>3495</v>
      </c>
      <c r="AB3011" s="79">
        <v>45791</v>
      </c>
      <c r="AC3011">
        <f>OrdersTable[[#This Row],[Delivery Date]]-OrdersTable[[#This Row],[Order Date]]</f>
        <v>7</v>
      </c>
      <c r="AD3011" t="str">
        <f>IF(OrdersTable[[#This Row],[Delivery Days]]&lt;=2, "Express (≤2d)", IF(OrdersTable[[#This Row],[Delivery Days]]&lt;=4, "Standard (3-4d)", "Delayed (5d+)"))</f>
        <v>Delayed (5d+)</v>
      </c>
      <c r="AE3011">
        <v>4</v>
      </c>
      <c r="AF3011">
        <v>0</v>
      </c>
    </row>
    <row r="3012" spans="1:32" ht="15" x14ac:dyDescent="0.35">
      <c r="A3012" t="s">
        <v>3059</v>
      </c>
      <c r="B3012" s="1">
        <v>45784</v>
      </c>
      <c r="C3012">
        <f>YEAR(OrdersTable[[#This Row],[Order Date]])</f>
        <v>2025</v>
      </c>
      <c r="D3012" s="2">
        <f>DATE(YEAR(OrdersTable[[#This Row],[Order Date]]),MONTH(OrdersTable[[#This Row],[Order Date]]),1)</f>
        <v>45778</v>
      </c>
      <c r="E3012">
        <f>MONTH(OrdersTable[[#This Row],[Order Date]])</f>
        <v>5</v>
      </c>
      <c r="F3012" t="s">
        <v>1669</v>
      </c>
      <c r="G3012" t="str">
        <f>IF(OrdersTable[[#This Row],[Order Date]]=_xlfn.MINIFS(Order_Date, Customer_ID, OrdersTable[[#This Row],[Customer ID]]), "New", "Repeat")</f>
        <v>Repeat</v>
      </c>
      <c r="H3012" t="s">
        <v>123</v>
      </c>
      <c r="I3012" t="str">
        <f>INDEX(State!B:B,MATCH(OrdersTable[[#This Row],[State]],State!A:A,0))</f>
        <v>JH</v>
      </c>
      <c r="J3012" t="str">
        <f>INDEX(State!C:C,MATCH(OrdersTable[[#This Row],[State Code]],State!B:B,0))</f>
        <v>East</v>
      </c>
      <c r="K3012" t="s">
        <v>124</v>
      </c>
      <c r="L3012" t="s">
        <v>65</v>
      </c>
      <c r="M3012" t="s">
        <v>84</v>
      </c>
      <c r="N3012" t="str">
        <f>INDEX(Products!B:B,MATCH(OrdersTable[[#This Row],[Product ID]],Products!A:A,0))</f>
        <v>Cotton Bedsheet</v>
      </c>
      <c r="O3012" t="str">
        <f>INDEX(Products!C:C,MATCH(OrdersTable[[#This Row],[Product ID]],Products!A:A,0))</f>
        <v>Home &amp; Kitchen</v>
      </c>
      <c r="P3012">
        <v>1</v>
      </c>
      <c r="Q3012" s="5">
        <v>1299</v>
      </c>
      <c r="R3012" s="74">
        <v>0.05</v>
      </c>
      <c r="S3012" s="75">
        <f>OrdersTable[[#This Row],[Quantity]]*OrdersTable[[#This Row],[Unit Price]]</f>
        <v>1299</v>
      </c>
      <c r="T3012" s="5">
        <f>OrdersTable[[#This Row],[Gross Sale]]*OrdersTable[[#This Row],[Discount_Clean2]]</f>
        <v>64.95</v>
      </c>
      <c r="U3012" s="5">
        <f>OrdersTable[[#This Row],[Gross Sale]]-OrdersTable[[#This Row],[Discount Amount]]</f>
        <v>1234.05</v>
      </c>
      <c r="V3012" s="77">
        <f>INDEX(Products!E:E,MATCH(OrdersTable[[#This Row],[Product ID]],Products!A:A,0))</f>
        <v>585</v>
      </c>
      <c r="W3012" s="77">
        <f>OrdersTable[[#This Row],[Quantity]]*OrdersTable[[#This Row],[Unit Cost]]</f>
        <v>585</v>
      </c>
      <c r="X3012" s="77">
        <f>'Dropdown Lists'!$I$2*(1+OrdersTable[[#This Row],[Returned]])</f>
        <v>60</v>
      </c>
      <c r="Y3012" s="76">
        <f>OrdersTable[[#This Row],[Net Revenue]]-OrdersTable[[#This Row],[COGS]]-OrdersTable[[#This Row],[Shipping Cost]]</f>
        <v>589.04999999999995</v>
      </c>
      <c r="Z3012" s="78">
        <f>IFERROR(OrdersTable[[#This Row],[Profit]]/OrdersTable[[#This Row],[Net Revenue]],0)</f>
        <v>0.47733074024553296</v>
      </c>
      <c r="AA3012" t="s">
        <v>2522</v>
      </c>
      <c r="AB3012" s="79">
        <v>45789</v>
      </c>
      <c r="AC3012">
        <f>OrdersTable[[#This Row],[Delivery Date]]-OrdersTable[[#This Row],[Order Date]]</f>
        <v>5</v>
      </c>
      <c r="AD3012" t="str">
        <f>IF(OrdersTable[[#This Row],[Delivery Days]]&lt;=2, "Express (≤2d)", IF(OrdersTable[[#This Row],[Delivery Days]]&lt;=4, "Standard (3-4d)", "Delayed (5d+)"))</f>
        <v>Delayed (5d+)</v>
      </c>
      <c r="AF3012">
        <v>0</v>
      </c>
    </row>
    <row r="3013" spans="1:32" ht="15" x14ac:dyDescent="0.35">
      <c r="A3013" t="s">
        <v>1558</v>
      </c>
      <c r="B3013" s="1">
        <v>45784</v>
      </c>
      <c r="C3013">
        <f>YEAR(OrdersTable[[#This Row],[Order Date]])</f>
        <v>2025</v>
      </c>
      <c r="D3013" s="2">
        <f>DATE(YEAR(OrdersTable[[#This Row],[Order Date]]),MONTH(OrdersTable[[#This Row],[Order Date]]),1)</f>
        <v>45778</v>
      </c>
      <c r="E3013">
        <f>MONTH(OrdersTable[[#This Row],[Order Date]])</f>
        <v>5</v>
      </c>
      <c r="F3013" t="s">
        <v>1071</v>
      </c>
      <c r="G3013" t="str">
        <f>IF(OrdersTable[[#This Row],[Order Date]]=_xlfn.MINIFS(Order_Date, Customer_ID, OrdersTable[[#This Row],[Customer ID]]), "New", "Repeat")</f>
        <v>Repeat</v>
      </c>
      <c r="H3013" t="s">
        <v>27</v>
      </c>
      <c r="I3013" t="str">
        <f>INDEX(State!B:B,MATCH(OrdersTable[[#This Row],[State]],State!A:A,0))</f>
        <v>WB</v>
      </c>
      <c r="J3013" t="str">
        <f>INDEX(State!C:C,MATCH(OrdersTable[[#This Row],[State Code]],State!B:B,0))</f>
        <v>East</v>
      </c>
      <c r="K3013" t="s">
        <v>28</v>
      </c>
      <c r="L3013" t="s">
        <v>39</v>
      </c>
      <c r="M3013" t="s">
        <v>34</v>
      </c>
      <c r="N3013" t="str">
        <f>INDEX(Products!B:B,MATCH(OrdersTable[[#This Row],[Product ID]],Products!A:A,0))</f>
        <v>Flip Flops</v>
      </c>
      <c r="O3013" t="str">
        <f>INDEX(Products!C:C,MATCH(OrdersTable[[#This Row],[Product ID]],Products!A:A,0))</f>
        <v>Footwear</v>
      </c>
      <c r="P3013">
        <v>1</v>
      </c>
      <c r="Q3013" s="5">
        <v>399</v>
      </c>
      <c r="R3013" s="74">
        <v>0.05</v>
      </c>
      <c r="S3013" s="75">
        <f>OrdersTable[[#This Row],[Quantity]]*OrdersTable[[#This Row],[Unit Price]]</f>
        <v>399</v>
      </c>
      <c r="T3013" s="5">
        <f>OrdersTable[[#This Row],[Gross Sale]]*OrdersTable[[#This Row],[Discount_Clean2]]</f>
        <v>19.950000000000003</v>
      </c>
      <c r="U3013" s="5">
        <f>OrdersTable[[#This Row],[Gross Sale]]-OrdersTable[[#This Row],[Discount Amount]]</f>
        <v>379.05</v>
      </c>
      <c r="V3013" s="77">
        <f>INDEX(Products!E:E,MATCH(OrdersTable[[#This Row],[Product ID]],Products!A:A,0))</f>
        <v>152</v>
      </c>
      <c r="W3013" s="77">
        <f>OrdersTable[[#This Row],[Quantity]]*OrdersTable[[#This Row],[Unit Cost]]</f>
        <v>152</v>
      </c>
      <c r="X3013" s="77">
        <f>'Dropdown Lists'!$I$2*(1+OrdersTable[[#This Row],[Returned]])</f>
        <v>60</v>
      </c>
      <c r="Y3013" s="76">
        <f>OrdersTable[[#This Row],[Net Revenue]]-OrdersTable[[#This Row],[COGS]]-OrdersTable[[#This Row],[Shipping Cost]]</f>
        <v>167.05</v>
      </c>
      <c r="Z3013" s="78">
        <f>IFERROR(OrdersTable[[#This Row],[Profit]]/OrdersTable[[#This Row],[Net Revenue]],0)</f>
        <v>0.44070703073473161</v>
      </c>
      <c r="AA3013" t="s">
        <v>18</v>
      </c>
      <c r="AB3013" s="79">
        <v>45788</v>
      </c>
      <c r="AC3013">
        <f>OrdersTable[[#This Row],[Delivery Date]]-OrdersTable[[#This Row],[Order Date]]</f>
        <v>4</v>
      </c>
      <c r="AD3013" t="str">
        <f>IF(OrdersTable[[#This Row],[Delivery Days]]&lt;=2, "Express (≤2d)", IF(OrdersTable[[#This Row],[Delivery Days]]&lt;=4, "Standard (3-4d)", "Delayed (5d+)"))</f>
        <v>Standard (3-4d)</v>
      </c>
      <c r="AF3013">
        <v>0</v>
      </c>
    </row>
    <row r="3014" spans="1:32" ht="15" x14ac:dyDescent="0.35">
      <c r="A3014" t="s">
        <v>6901</v>
      </c>
      <c r="B3014" s="1">
        <v>45784</v>
      </c>
      <c r="C3014">
        <f>YEAR(OrdersTable[[#This Row],[Order Date]])</f>
        <v>2025</v>
      </c>
      <c r="D3014" s="2">
        <f>DATE(YEAR(OrdersTable[[#This Row],[Order Date]]),MONTH(OrdersTable[[#This Row],[Order Date]]),1)</f>
        <v>45778</v>
      </c>
      <c r="E3014">
        <f>MONTH(OrdersTable[[#This Row],[Order Date]])</f>
        <v>5</v>
      </c>
      <c r="F3014" t="s">
        <v>2591</v>
      </c>
      <c r="G3014" t="str">
        <f>IF(OrdersTable[[#This Row],[Order Date]]=_xlfn.MINIFS(Order_Date, Customer_ID, OrdersTable[[#This Row],[Customer ID]]), "New", "Repeat")</f>
        <v>Repeat</v>
      </c>
      <c r="H3014" t="s">
        <v>167</v>
      </c>
      <c r="I3014" t="str">
        <f>INDEX(State!B:B,MATCH(OrdersTable[[#This Row],[State]],State!A:A,0))</f>
        <v>KA</v>
      </c>
      <c r="J3014" t="str">
        <f>INDEX(State!C:C,MATCH(OrdersTable[[#This Row],[State Code]],State!B:B,0))</f>
        <v>South</v>
      </c>
      <c r="K3014" t="s">
        <v>190</v>
      </c>
      <c r="L3014" t="s">
        <v>39</v>
      </c>
      <c r="M3014" t="s">
        <v>160</v>
      </c>
      <c r="N3014" t="str">
        <f>INDEX(Products!B:B,MATCH(OrdersTable[[#This Row],[Product ID]],Products!A:A,0))</f>
        <v>Niacinamide Toner</v>
      </c>
      <c r="O3014" t="str">
        <f>INDEX(Products!C:C,MATCH(OrdersTable[[#This Row],[Product ID]],Products!A:A,0))</f>
        <v>Skincare</v>
      </c>
      <c r="P3014">
        <v>3</v>
      </c>
      <c r="Q3014" s="5">
        <v>399</v>
      </c>
      <c r="R3014" s="74">
        <v>0.25</v>
      </c>
      <c r="S3014" s="75">
        <f>OrdersTable[[#This Row],[Quantity]]*OrdersTable[[#This Row],[Unit Price]]</f>
        <v>1197</v>
      </c>
      <c r="T3014" s="5">
        <f>OrdersTable[[#This Row],[Gross Sale]]*OrdersTable[[#This Row],[Discount_Clean2]]</f>
        <v>299.25</v>
      </c>
      <c r="U3014" s="5">
        <f>OrdersTable[[#This Row],[Gross Sale]]-OrdersTable[[#This Row],[Discount Amount]]</f>
        <v>897.75</v>
      </c>
      <c r="V3014" s="77">
        <f>INDEX(Products!E:E,MATCH(OrdersTable[[#This Row],[Product ID]],Products!A:A,0))</f>
        <v>112</v>
      </c>
      <c r="W3014" s="77">
        <f>OrdersTable[[#This Row],[Quantity]]*OrdersTable[[#This Row],[Unit Cost]]</f>
        <v>336</v>
      </c>
      <c r="X3014" s="77">
        <f>'Dropdown Lists'!$I$2*(1+OrdersTable[[#This Row],[Returned]])</f>
        <v>60</v>
      </c>
      <c r="Y3014" s="76">
        <f>OrdersTable[[#This Row],[Net Revenue]]-OrdersTable[[#This Row],[COGS]]-OrdersTable[[#This Row],[Shipping Cost]]</f>
        <v>501.75</v>
      </c>
      <c r="Z3014" s="78">
        <f>IFERROR(OrdersTable[[#This Row],[Profit]]/OrdersTable[[#This Row],[Net Revenue]],0)</f>
        <v>0.55889724310776945</v>
      </c>
      <c r="AA3014" t="s">
        <v>4450</v>
      </c>
      <c r="AB3014" s="79">
        <v>45788</v>
      </c>
      <c r="AC3014">
        <f>OrdersTable[[#This Row],[Delivery Date]]-OrdersTable[[#This Row],[Order Date]]</f>
        <v>4</v>
      </c>
      <c r="AD3014" t="str">
        <f>IF(OrdersTable[[#This Row],[Delivery Days]]&lt;=2, "Express (≤2d)", IF(OrdersTable[[#This Row],[Delivery Days]]&lt;=4, "Standard (3-4d)", "Delayed (5d+)"))</f>
        <v>Standard (3-4d)</v>
      </c>
      <c r="AE3014">
        <v>3</v>
      </c>
      <c r="AF3014">
        <v>0</v>
      </c>
    </row>
    <row r="3015" spans="1:32" ht="15" x14ac:dyDescent="0.35">
      <c r="A3015" t="s">
        <v>1743</v>
      </c>
      <c r="B3015" s="1">
        <v>45784</v>
      </c>
      <c r="C3015">
        <f>YEAR(OrdersTable[[#This Row],[Order Date]])</f>
        <v>2025</v>
      </c>
      <c r="D3015" s="2">
        <f>DATE(YEAR(OrdersTable[[#This Row],[Order Date]]),MONTH(OrdersTable[[#This Row],[Order Date]]),1)</f>
        <v>45778</v>
      </c>
      <c r="E3015">
        <f>MONTH(OrdersTable[[#This Row],[Order Date]])</f>
        <v>5</v>
      </c>
      <c r="F3015" t="s">
        <v>1744</v>
      </c>
      <c r="G3015" t="str">
        <f>IF(OrdersTable[[#This Row],[Order Date]]=_xlfn.MINIFS(Order_Date, Customer_ID, OrdersTable[[#This Row],[Customer ID]]), "New", "Repeat")</f>
        <v>Repeat</v>
      </c>
      <c r="H3015" t="s">
        <v>275</v>
      </c>
      <c r="I3015" t="str">
        <f>INDEX(State!B:B,MATCH(OrdersTable[[#This Row],[State]],State!A:A,0))</f>
        <v>AP</v>
      </c>
      <c r="J3015" t="str">
        <f>INDEX(State!C:C,MATCH(OrdersTable[[#This Row],[State Code]],State!B:B,0))</f>
        <v>South</v>
      </c>
      <c r="K3015" t="s">
        <v>276</v>
      </c>
      <c r="L3015" t="s">
        <v>65</v>
      </c>
      <c r="M3015" t="s">
        <v>56</v>
      </c>
      <c r="N3015" t="str">
        <f>INDEX(Products!B:B,MATCH(OrdersTable[[#This Row],[Product ID]],Products!A:A,0))</f>
        <v>Vitamin C Face Serum</v>
      </c>
      <c r="O3015" t="str">
        <f>INDEX(Products!C:C,MATCH(OrdersTable[[#This Row],[Product ID]],Products!A:A,0))</f>
        <v>Skincare</v>
      </c>
      <c r="P3015">
        <v>1</v>
      </c>
      <c r="Q3015" s="5">
        <v>599</v>
      </c>
      <c r="R3015" s="74">
        <v>0.2</v>
      </c>
      <c r="S3015" s="75">
        <f>OrdersTable[[#This Row],[Quantity]]*OrdersTable[[#This Row],[Unit Price]]</f>
        <v>599</v>
      </c>
      <c r="T3015" s="5">
        <f>OrdersTable[[#This Row],[Gross Sale]]*OrdersTable[[#This Row],[Discount_Clean2]]</f>
        <v>119.80000000000001</v>
      </c>
      <c r="U3015" s="5">
        <f>OrdersTable[[#This Row],[Gross Sale]]-OrdersTable[[#This Row],[Discount Amount]]</f>
        <v>479.2</v>
      </c>
      <c r="V3015" s="77">
        <f>INDEX(Products!E:E,MATCH(OrdersTable[[#This Row],[Product ID]],Products!A:A,0))</f>
        <v>180</v>
      </c>
      <c r="W3015" s="77">
        <f>OrdersTable[[#This Row],[Quantity]]*OrdersTable[[#This Row],[Unit Cost]]</f>
        <v>180</v>
      </c>
      <c r="X3015" s="77">
        <f>'Dropdown Lists'!$I$2*(1+OrdersTable[[#This Row],[Returned]])</f>
        <v>60</v>
      </c>
      <c r="Y3015" s="76">
        <f>OrdersTable[[#This Row],[Net Revenue]]-OrdersTable[[#This Row],[COGS]]-OrdersTable[[#This Row],[Shipping Cost]]</f>
        <v>239.2</v>
      </c>
      <c r="Z3015" s="78">
        <f>IFERROR(OrdersTable[[#This Row],[Profit]]/OrdersTable[[#This Row],[Net Revenue]],0)</f>
        <v>0.4991652754590985</v>
      </c>
      <c r="AA3015" t="s">
        <v>18</v>
      </c>
      <c r="AB3015" s="79">
        <v>45788</v>
      </c>
      <c r="AC3015">
        <f>OrdersTable[[#This Row],[Delivery Date]]-OrdersTable[[#This Row],[Order Date]]</f>
        <v>4</v>
      </c>
      <c r="AD3015" t="str">
        <f>IF(OrdersTable[[#This Row],[Delivery Days]]&lt;=2, "Express (≤2d)", IF(OrdersTable[[#This Row],[Delivery Days]]&lt;=4, "Standard (3-4d)", "Delayed (5d+)"))</f>
        <v>Standard (3-4d)</v>
      </c>
      <c r="AF3015">
        <v>0</v>
      </c>
    </row>
    <row r="3016" spans="1:32" ht="15" x14ac:dyDescent="0.35">
      <c r="A3016" t="s">
        <v>2402</v>
      </c>
      <c r="B3016" s="1">
        <v>45785</v>
      </c>
      <c r="C3016">
        <f>YEAR(OrdersTable[[#This Row],[Order Date]])</f>
        <v>2025</v>
      </c>
      <c r="D3016" s="2">
        <f>DATE(YEAR(OrdersTable[[#This Row],[Order Date]]),MONTH(OrdersTable[[#This Row],[Order Date]]),1)</f>
        <v>45778</v>
      </c>
      <c r="E3016">
        <f>MONTH(OrdersTable[[#This Row],[Order Date]])</f>
        <v>5</v>
      </c>
      <c r="F3016" t="s">
        <v>2403</v>
      </c>
      <c r="G3016" t="str">
        <f>IF(OrdersTable[[#This Row],[Order Date]]=_xlfn.MINIFS(Order_Date, Customer_ID, OrdersTable[[#This Row],[Customer ID]]), "New", "Repeat")</f>
        <v>New</v>
      </c>
      <c r="H3016" t="s">
        <v>54</v>
      </c>
      <c r="I3016" t="str">
        <f>INDEX(State!B:B,MATCH(OrdersTable[[#This Row],[State]],State!A:A,0))</f>
        <v>RJ</v>
      </c>
      <c r="J3016" t="str">
        <f>INDEX(State!C:C,MATCH(OrdersTable[[#This Row],[State Code]],State!B:B,0))</f>
        <v>North</v>
      </c>
      <c r="K3016" t="s">
        <v>55</v>
      </c>
      <c r="L3016" t="s">
        <v>23</v>
      </c>
      <c r="M3016" t="s">
        <v>40</v>
      </c>
      <c r="N3016" t="str">
        <f>INDEX(Products!B:B,MATCH(OrdersTable[[#This Row],[Product ID]],Products!A:A,0))</f>
        <v>Ashwagandha Capsules</v>
      </c>
      <c r="O3016" t="str">
        <f>INDEX(Products!C:C,MATCH(OrdersTable[[#This Row],[Product ID]],Products!A:A,0))</f>
        <v>Wellness</v>
      </c>
      <c r="P3016">
        <v>1</v>
      </c>
      <c r="Q3016" s="5">
        <v>499</v>
      </c>
      <c r="R3016" s="74">
        <v>0.1</v>
      </c>
      <c r="S3016" s="75">
        <f>OrdersTable[[#This Row],[Quantity]]*OrdersTable[[#This Row],[Unit Price]]</f>
        <v>499</v>
      </c>
      <c r="T3016" s="5">
        <f>OrdersTable[[#This Row],[Gross Sale]]*OrdersTable[[#This Row],[Discount_Clean2]]</f>
        <v>49.900000000000006</v>
      </c>
      <c r="U3016" s="5">
        <f>OrdersTable[[#This Row],[Gross Sale]]-OrdersTable[[#This Row],[Discount Amount]]</f>
        <v>449.1</v>
      </c>
      <c r="V3016" s="77">
        <f>INDEX(Products!E:E,MATCH(OrdersTable[[#This Row],[Product ID]],Products!A:A,0))</f>
        <v>150</v>
      </c>
      <c r="W3016" s="77">
        <f>OrdersTable[[#This Row],[Quantity]]*OrdersTable[[#This Row],[Unit Cost]]</f>
        <v>150</v>
      </c>
      <c r="X3016" s="77">
        <f>'Dropdown Lists'!$I$2*(1+OrdersTable[[#This Row],[Returned]])</f>
        <v>60</v>
      </c>
      <c r="Y3016" s="76">
        <f>OrdersTable[[#This Row],[Net Revenue]]-OrdersTable[[#This Row],[COGS]]-OrdersTable[[#This Row],[Shipping Cost]]</f>
        <v>239.10000000000002</v>
      </c>
      <c r="Z3016" s="78">
        <f>IFERROR(OrdersTable[[#This Row],[Profit]]/OrdersTable[[#This Row],[Net Revenue]],0)</f>
        <v>0.53239812959251842</v>
      </c>
      <c r="AA3016" t="s">
        <v>18</v>
      </c>
      <c r="AB3016" s="79">
        <v>45787</v>
      </c>
      <c r="AC3016">
        <f>OrdersTable[[#This Row],[Delivery Date]]-OrdersTable[[#This Row],[Order Date]]</f>
        <v>2</v>
      </c>
      <c r="AD3016" t="str">
        <f>IF(OrdersTable[[#This Row],[Delivery Days]]&lt;=2, "Express (≤2d)", IF(OrdersTable[[#This Row],[Delivery Days]]&lt;=4, "Standard (3-4d)", "Delayed (5d+)"))</f>
        <v>Express (≤2d)</v>
      </c>
      <c r="AE3016">
        <v>5</v>
      </c>
      <c r="AF3016">
        <v>0</v>
      </c>
    </row>
    <row r="3017" spans="1:32" ht="15" x14ac:dyDescent="0.35">
      <c r="A3017" t="s">
        <v>2404</v>
      </c>
      <c r="B3017" s="1">
        <v>45785</v>
      </c>
      <c r="C3017">
        <f>YEAR(OrdersTable[[#This Row],[Order Date]])</f>
        <v>2025</v>
      </c>
      <c r="D3017" s="2">
        <f>DATE(YEAR(OrdersTable[[#This Row],[Order Date]]),MONTH(OrdersTable[[#This Row],[Order Date]]),1)</f>
        <v>45778</v>
      </c>
      <c r="E3017">
        <f>MONTH(OrdersTable[[#This Row],[Order Date]])</f>
        <v>5</v>
      </c>
      <c r="F3017" t="s">
        <v>117</v>
      </c>
      <c r="G3017" t="str">
        <f>IF(OrdersTable[[#This Row],[Order Date]]=_xlfn.MINIFS(Order_Date, Customer_ID, OrdersTable[[#This Row],[Customer ID]]), "New", "Repeat")</f>
        <v>Repeat</v>
      </c>
      <c r="H3017" t="s">
        <v>128</v>
      </c>
      <c r="I3017" t="str">
        <f>INDEX(State!B:B,MATCH(OrdersTable[[#This Row],[State]],State!A:A,0))</f>
        <v>DL</v>
      </c>
      <c r="J3017" t="str">
        <f>INDEX(State!C:C,MATCH(OrdersTable[[#This Row],[State Code]],State!B:B,0))</f>
        <v>North</v>
      </c>
      <c r="K3017" t="s">
        <v>129</v>
      </c>
      <c r="L3017" t="s">
        <v>39</v>
      </c>
      <c r="M3017" t="s">
        <v>34</v>
      </c>
      <c r="N3017" t="str">
        <f>INDEX(Products!B:B,MATCH(OrdersTable[[#This Row],[Product ID]],Products!A:A,0))</f>
        <v>Flip Flops</v>
      </c>
      <c r="O3017" t="str">
        <f>INDEX(Products!C:C,MATCH(OrdersTable[[#This Row],[Product ID]],Products!A:A,0))</f>
        <v>Footwear</v>
      </c>
      <c r="P3017">
        <v>1</v>
      </c>
      <c r="Q3017" s="5">
        <v>399</v>
      </c>
      <c r="R3017" s="74">
        <v>0</v>
      </c>
      <c r="S3017" s="75">
        <f>OrdersTable[[#This Row],[Quantity]]*OrdersTable[[#This Row],[Unit Price]]</f>
        <v>399</v>
      </c>
      <c r="T3017" s="5">
        <f>OrdersTable[[#This Row],[Gross Sale]]*OrdersTable[[#This Row],[Discount_Clean2]]</f>
        <v>0</v>
      </c>
      <c r="U3017" s="5">
        <f>OrdersTable[[#This Row],[Gross Sale]]-OrdersTable[[#This Row],[Discount Amount]]</f>
        <v>399</v>
      </c>
      <c r="V3017" s="77">
        <f>INDEX(Products!E:E,MATCH(OrdersTable[[#This Row],[Product ID]],Products!A:A,0))</f>
        <v>152</v>
      </c>
      <c r="W3017" s="77">
        <f>OrdersTable[[#This Row],[Quantity]]*OrdersTable[[#This Row],[Unit Cost]]</f>
        <v>152</v>
      </c>
      <c r="X3017" s="77">
        <f>'Dropdown Lists'!$I$2*(1+OrdersTable[[#This Row],[Returned]])</f>
        <v>60</v>
      </c>
      <c r="Y3017" s="76">
        <f>OrdersTable[[#This Row],[Net Revenue]]-OrdersTable[[#This Row],[COGS]]-OrdersTable[[#This Row],[Shipping Cost]]</f>
        <v>187</v>
      </c>
      <c r="Z3017" s="78">
        <f>IFERROR(OrdersTable[[#This Row],[Profit]]/OrdersTable[[#This Row],[Net Revenue]],0)</f>
        <v>0.46867167919799496</v>
      </c>
      <c r="AA3017" t="s">
        <v>18</v>
      </c>
      <c r="AB3017" s="79">
        <v>45788</v>
      </c>
      <c r="AC3017">
        <f>OrdersTable[[#This Row],[Delivery Date]]-OrdersTable[[#This Row],[Order Date]]</f>
        <v>3</v>
      </c>
      <c r="AD3017" t="str">
        <f>IF(OrdersTable[[#This Row],[Delivery Days]]&lt;=2, "Express (≤2d)", IF(OrdersTable[[#This Row],[Delivery Days]]&lt;=4, "Standard (3-4d)", "Delayed (5d+)"))</f>
        <v>Standard (3-4d)</v>
      </c>
      <c r="AE3017">
        <v>5</v>
      </c>
      <c r="AF3017">
        <v>0</v>
      </c>
    </row>
    <row r="3018" spans="1:32" ht="15" x14ac:dyDescent="0.35">
      <c r="A3018" t="s">
        <v>5613</v>
      </c>
      <c r="B3018" s="1">
        <v>45785</v>
      </c>
      <c r="C3018">
        <f>YEAR(OrdersTable[[#This Row],[Order Date]])</f>
        <v>2025</v>
      </c>
      <c r="D3018" s="2">
        <f>DATE(YEAR(OrdersTable[[#This Row],[Order Date]]),MONTH(OrdersTable[[#This Row],[Order Date]]),1)</f>
        <v>45778</v>
      </c>
      <c r="E3018">
        <f>MONTH(OrdersTable[[#This Row],[Order Date]])</f>
        <v>5</v>
      </c>
      <c r="F3018" t="s">
        <v>1995</v>
      </c>
      <c r="G3018" t="str">
        <f>IF(OrdersTable[[#This Row],[Order Date]]=_xlfn.MINIFS(Order_Date, Customer_ID, OrdersTable[[#This Row],[Customer ID]]), "New", "Repeat")</f>
        <v>New</v>
      </c>
      <c r="H3018" t="s">
        <v>37</v>
      </c>
      <c r="I3018" t="str">
        <f>INDEX(State!B:B,MATCH(OrdersTable[[#This Row],[State]],State!A:A,0))</f>
        <v>GJ</v>
      </c>
      <c r="J3018" t="str">
        <f>INDEX(State!C:C,MATCH(OrdersTable[[#This Row],[State Code]],State!B:B,0))</f>
        <v>West</v>
      </c>
      <c r="K3018" t="s">
        <v>247</v>
      </c>
      <c r="L3018" t="s">
        <v>39</v>
      </c>
      <c r="M3018" t="s">
        <v>34</v>
      </c>
      <c r="N3018" t="str">
        <f>INDEX(Products!B:B,MATCH(OrdersTable[[#This Row],[Product ID]],Products!A:A,0))</f>
        <v>Flip Flops</v>
      </c>
      <c r="O3018" t="str">
        <f>INDEX(Products!C:C,MATCH(OrdersTable[[#This Row],[Product ID]],Products!A:A,0))</f>
        <v>Footwear</v>
      </c>
      <c r="P3018">
        <v>2</v>
      </c>
      <c r="Q3018" s="5">
        <v>399</v>
      </c>
      <c r="R3018" s="74">
        <v>0.15</v>
      </c>
      <c r="S3018" s="75">
        <f>OrdersTable[[#This Row],[Quantity]]*OrdersTable[[#This Row],[Unit Price]]</f>
        <v>798</v>
      </c>
      <c r="T3018" s="5">
        <f>OrdersTable[[#This Row],[Gross Sale]]*OrdersTable[[#This Row],[Discount_Clean2]]</f>
        <v>119.69999999999999</v>
      </c>
      <c r="U3018" s="5">
        <f>OrdersTable[[#This Row],[Gross Sale]]-OrdersTable[[#This Row],[Discount Amount]]</f>
        <v>678.3</v>
      </c>
      <c r="V3018" s="77">
        <f>INDEX(Products!E:E,MATCH(OrdersTable[[#This Row],[Product ID]],Products!A:A,0))</f>
        <v>152</v>
      </c>
      <c r="W3018" s="77">
        <f>OrdersTable[[#This Row],[Quantity]]*OrdersTable[[#This Row],[Unit Cost]]</f>
        <v>304</v>
      </c>
      <c r="X3018" s="77">
        <f>'Dropdown Lists'!$I$2*(1+OrdersTable[[#This Row],[Returned]])</f>
        <v>60</v>
      </c>
      <c r="Y3018" s="76">
        <f>OrdersTable[[#This Row],[Net Revenue]]-OrdersTable[[#This Row],[COGS]]-OrdersTable[[#This Row],[Shipping Cost]]</f>
        <v>314.29999999999995</v>
      </c>
      <c r="Z3018" s="78">
        <f>IFERROR(OrdersTable[[#This Row],[Profit]]/OrdersTable[[#This Row],[Net Revenue]],0)</f>
        <v>0.4633642930856553</v>
      </c>
      <c r="AA3018" t="s">
        <v>2522</v>
      </c>
      <c r="AB3018" s="79">
        <v>45791</v>
      </c>
      <c r="AC3018">
        <f>OrdersTable[[#This Row],[Delivery Date]]-OrdersTable[[#This Row],[Order Date]]</f>
        <v>6</v>
      </c>
      <c r="AD3018" t="str">
        <f>IF(OrdersTable[[#This Row],[Delivery Days]]&lt;=2, "Express (≤2d)", IF(OrdersTable[[#This Row],[Delivery Days]]&lt;=4, "Standard (3-4d)", "Delayed (5d+)"))</f>
        <v>Delayed (5d+)</v>
      </c>
      <c r="AE3018">
        <v>4</v>
      </c>
      <c r="AF3018">
        <v>0</v>
      </c>
    </row>
    <row r="3019" spans="1:32" ht="15" x14ac:dyDescent="0.35">
      <c r="A3019" t="s">
        <v>1172</v>
      </c>
      <c r="B3019" s="1">
        <v>45785</v>
      </c>
      <c r="C3019">
        <f>YEAR(OrdersTable[[#This Row],[Order Date]])</f>
        <v>2025</v>
      </c>
      <c r="D3019" s="2">
        <f>DATE(YEAR(OrdersTable[[#This Row],[Order Date]]),MONTH(OrdersTable[[#This Row],[Order Date]]),1)</f>
        <v>45778</v>
      </c>
      <c r="E3019">
        <f>MONTH(OrdersTable[[#This Row],[Order Date]])</f>
        <v>5</v>
      </c>
      <c r="F3019" t="s">
        <v>1085</v>
      </c>
      <c r="G3019" t="str">
        <f>IF(OrdersTable[[#This Row],[Order Date]]=_xlfn.MINIFS(Order_Date, Customer_ID, OrdersTable[[#This Row],[Customer ID]]), "New", "Repeat")</f>
        <v>Repeat</v>
      </c>
      <c r="H3019" t="s">
        <v>43</v>
      </c>
      <c r="I3019" t="str">
        <f>INDEX(State!B:B,MATCH(OrdersTable[[#This Row],[State]],State!A:A,0))</f>
        <v>MP</v>
      </c>
      <c r="J3019" t="str">
        <f>INDEX(State!C:C,MATCH(OrdersTable[[#This Row],[State Code]],State!B:B,0))</f>
        <v>West</v>
      </c>
      <c r="K3019" t="s">
        <v>250</v>
      </c>
      <c r="L3019" t="s">
        <v>50</v>
      </c>
      <c r="M3019" t="s">
        <v>109</v>
      </c>
      <c r="N3019" t="str">
        <f>INDEX(Products!B:B,MATCH(OrdersTable[[#This Row],[Product ID]],Products!A:A,0))</f>
        <v>Onion Hair Oil</v>
      </c>
      <c r="O3019" t="str">
        <f>INDEX(Products!C:C,MATCH(OrdersTable[[#This Row],[Product ID]],Products!A:A,0))</f>
        <v>Haircare</v>
      </c>
      <c r="P3019">
        <v>1</v>
      </c>
      <c r="Q3019" s="5">
        <v>349</v>
      </c>
      <c r="R3019" s="74">
        <v>0.25</v>
      </c>
      <c r="S3019" s="75">
        <f>OrdersTable[[#This Row],[Quantity]]*OrdersTable[[#This Row],[Unit Price]]</f>
        <v>349</v>
      </c>
      <c r="T3019" s="5">
        <f>OrdersTable[[#This Row],[Gross Sale]]*OrdersTable[[#This Row],[Discount_Clean2]]</f>
        <v>87.25</v>
      </c>
      <c r="U3019" s="5">
        <f>OrdersTable[[#This Row],[Gross Sale]]-OrdersTable[[#This Row],[Discount Amount]]</f>
        <v>261.75</v>
      </c>
      <c r="V3019" s="77">
        <f>INDEX(Products!E:E,MATCH(OrdersTable[[#This Row],[Product ID]],Products!A:A,0))</f>
        <v>105</v>
      </c>
      <c r="W3019" s="77">
        <f>OrdersTable[[#This Row],[Quantity]]*OrdersTable[[#This Row],[Unit Cost]]</f>
        <v>105</v>
      </c>
      <c r="X3019" s="77">
        <f>'Dropdown Lists'!$I$2*(1+OrdersTable[[#This Row],[Returned]])</f>
        <v>60</v>
      </c>
      <c r="Y3019" s="76">
        <f>OrdersTable[[#This Row],[Net Revenue]]-OrdersTable[[#This Row],[COGS]]-OrdersTable[[#This Row],[Shipping Cost]]</f>
        <v>96.75</v>
      </c>
      <c r="Z3019" s="78">
        <f>IFERROR(OrdersTable[[#This Row],[Profit]]/OrdersTable[[#This Row],[Net Revenue]],0)</f>
        <v>0.36962750716332377</v>
      </c>
      <c r="AA3019" t="s">
        <v>18</v>
      </c>
      <c r="AB3019" s="79">
        <v>45792</v>
      </c>
      <c r="AC3019">
        <f>OrdersTable[[#This Row],[Delivery Date]]-OrdersTable[[#This Row],[Order Date]]</f>
        <v>7</v>
      </c>
      <c r="AD3019" t="str">
        <f>IF(OrdersTable[[#This Row],[Delivery Days]]&lt;=2, "Express (≤2d)", IF(OrdersTable[[#This Row],[Delivery Days]]&lt;=4, "Standard (3-4d)", "Delayed (5d+)"))</f>
        <v>Delayed (5d+)</v>
      </c>
      <c r="AF3019">
        <v>0</v>
      </c>
    </row>
    <row r="3020" spans="1:32" ht="15" x14ac:dyDescent="0.35">
      <c r="A3020" t="s">
        <v>4147</v>
      </c>
      <c r="B3020" s="1">
        <v>45785</v>
      </c>
      <c r="C3020">
        <f>YEAR(OrdersTable[[#This Row],[Order Date]])</f>
        <v>2025</v>
      </c>
      <c r="D3020" s="2">
        <f>DATE(YEAR(OrdersTable[[#This Row],[Order Date]]),MONTH(OrdersTable[[#This Row],[Order Date]]),1)</f>
        <v>45778</v>
      </c>
      <c r="E3020">
        <f>MONTH(OrdersTable[[#This Row],[Order Date]])</f>
        <v>5</v>
      </c>
      <c r="F3020" t="s">
        <v>4148</v>
      </c>
      <c r="G3020" t="str">
        <f>IF(OrdersTable[[#This Row],[Order Date]]=_xlfn.MINIFS(Order_Date, Customer_ID, OrdersTable[[#This Row],[Customer ID]]), "New", "Repeat")</f>
        <v>New</v>
      </c>
      <c r="H3020" t="s">
        <v>27</v>
      </c>
      <c r="I3020" t="str">
        <f>INDEX(State!B:B,MATCH(OrdersTable[[#This Row],[State]],State!A:A,0))</f>
        <v>WB</v>
      </c>
      <c r="J3020" t="str">
        <f>INDEX(State!C:C,MATCH(OrdersTable[[#This Row],[State Code]],State!B:B,0))</f>
        <v>East</v>
      </c>
      <c r="K3020" t="s">
        <v>28</v>
      </c>
      <c r="L3020" t="s">
        <v>23</v>
      </c>
      <c r="M3020" t="s">
        <v>148</v>
      </c>
      <c r="N3020" t="str">
        <f>INDEX(Products!B:B,MATCH(OrdersTable[[#This Row],[Product ID]],Products!A:A,0))</f>
        <v>Smartwatch Strap</v>
      </c>
      <c r="O3020" t="str">
        <f>INDEX(Products!C:C,MATCH(OrdersTable[[#This Row],[Product ID]],Products!A:A,0))</f>
        <v>Electronics</v>
      </c>
      <c r="P3020">
        <v>1</v>
      </c>
      <c r="Q3020" s="5">
        <v>499</v>
      </c>
      <c r="R3020" s="74">
        <v>0.1</v>
      </c>
      <c r="S3020" s="75">
        <f>OrdersTable[[#This Row],[Quantity]]*OrdersTable[[#This Row],[Unit Price]]</f>
        <v>499</v>
      </c>
      <c r="T3020" s="5">
        <f>OrdersTable[[#This Row],[Gross Sale]]*OrdersTable[[#This Row],[Discount_Clean2]]</f>
        <v>49.900000000000006</v>
      </c>
      <c r="U3020" s="5">
        <f>OrdersTable[[#This Row],[Gross Sale]]-OrdersTable[[#This Row],[Discount Amount]]</f>
        <v>449.1</v>
      </c>
      <c r="V3020" s="77">
        <f>INDEX(Products!E:E,MATCH(OrdersTable[[#This Row],[Product ID]],Products!A:A,0))</f>
        <v>200</v>
      </c>
      <c r="W3020" s="77">
        <f>OrdersTable[[#This Row],[Quantity]]*OrdersTable[[#This Row],[Unit Cost]]</f>
        <v>200</v>
      </c>
      <c r="X3020" s="77">
        <f>'Dropdown Lists'!$I$2*(1+OrdersTable[[#This Row],[Returned]])</f>
        <v>60</v>
      </c>
      <c r="Y3020" s="76">
        <f>OrdersTable[[#This Row],[Net Revenue]]-OrdersTable[[#This Row],[COGS]]-OrdersTable[[#This Row],[Shipping Cost]]</f>
        <v>189.10000000000002</v>
      </c>
      <c r="Z3020" s="78">
        <f>IFERROR(OrdersTable[[#This Row],[Profit]]/OrdersTable[[#This Row],[Net Revenue]],0)</f>
        <v>0.42106435092407041</v>
      </c>
      <c r="AA3020" t="s">
        <v>4074</v>
      </c>
      <c r="AB3020" s="79">
        <v>45786</v>
      </c>
      <c r="AC3020">
        <f>OrdersTable[[#This Row],[Delivery Date]]-OrdersTable[[#This Row],[Order Date]]</f>
        <v>1</v>
      </c>
      <c r="AD3020" t="str">
        <f>IF(OrdersTable[[#This Row],[Delivery Days]]&lt;=2, "Express (≤2d)", IF(OrdersTable[[#This Row],[Delivery Days]]&lt;=4, "Standard (3-4d)", "Delayed (5d+)"))</f>
        <v>Express (≤2d)</v>
      </c>
      <c r="AE3020">
        <v>5</v>
      </c>
      <c r="AF3020">
        <v>0</v>
      </c>
    </row>
    <row r="3021" spans="1:32" ht="15" x14ac:dyDescent="0.35">
      <c r="A3021" t="s">
        <v>2808</v>
      </c>
      <c r="B3021" s="1">
        <v>45785</v>
      </c>
      <c r="C3021">
        <f>YEAR(OrdersTable[[#This Row],[Order Date]])</f>
        <v>2025</v>
      </c>
      <c r="D3021" s="2">
        <f>DATE(YEAR(OrdersTable[[#This Row],[Order Date]]),MONTH(OrdersTable[[#This Row],[Order Date]]),1)</f>
        <v>45778</v>
      </c>
      <c r="E3021">
        <f>MONTH(OrdersTable[[#This Row],[Order Date]])</f>
        <v>5</v>
      </c>
      <c r="F3021" t="s">
        <v>639</v>
      </c>
      <c r="G3021" t="str">
        <f>IF(OrdersTable[[#This Row],[Order Date]]=_xlfn.MINIFS(Order_Date, Customer_ID, OrdersTable[[#This Row],[Customer ID]]), "New", "Repeat")</f>
        <v>Repeat</v>
      </c>
      <c r="H3021" t="s">
        <v>167</v>
      </c>
      <c r="I3021" t="str">
        <f>INDEX(State!B:B,MATCH(OrdersTable[[#This Row],[State]],State!A:A,0))</f>
        <v>KA</v>
      </c>
      <c r="J3021" t="str">
        <f>INDEX(State!C:C,MATCH(OrdersTable[[#This Row],[State Code]],State!B:B,0))</f>
        <v>South</v>
      </c>
      <c r="K3021" t="s">
        <v>168</v>
      </c>
      <c r="L3021" t="s">
        <v>50</v>
      </c>
      <c r="M3021" t="s">
        <v>66</v>
      </c>
      <c r="N3021" t="str">
        <f>INDEX(Products!B:B,MATCH(OrdersTable[[#This Row],[Product ID]],Products!A:A,0))</f>
        <v>Sunscreen SPF 50</v>
      </c>
      <c r="O3021" t="str">
        <f>INDEX(Products!C:C,MATCH(OrdersTable[[#This Row],[Product ID]],Products!A:A,0))</f>
        <v>Skincare</v>
      </c>
      <c r="P3021">
        <v>1</v>
      </c>
      <c r="Q3021" s="5">
        <v>449</v>
      </c>
      <c r="R3021" s="74">
        <v>0.05</v>
      </c>
      <c r="S3021" s="75">
        <f>OrdersTable[[#This Row],[Quantity]]*OrdersTable[[#This Row],[Unit Price]]</f>
        <v>449</v>
      </c>
      <c r="T3021" s="5">
        <f>OrdersTable[[#This Row],[Gross Sale]]*OrdersTable[[#This Row],[Discount_Clean2]]</f>
        <v>22.450000000000003</v>
      </c>
      <c r="U3021" s="5">
        <f>OrdersTable[[#This Row],[Gross Sale]]-OrdersTable[[#This Row],[Discount Amount]]</f>
        <v>426.55</v>
      </c>
      <c r="V3021" s="77">
        <f>INDEX(Products!E:E,MATCH(OrdersTable[[#This Row],[Product ID]],Products!A:A,0))</f>
        <v>144</v>
      </c>
      <c r="W3021" s="77">
        <f>OrdersTable[[#This Row],[Quantity]]*OrdersTable[[#This Row],[Unit Cost]]</f>
        <v>144</v>
      </c>
      <c r="X3021" s="77">
        <f>'Dropdown Lists'!$I$2*(1+OrdersTable[[#This Row],[Returned]])</f>
        <v>60</v>
      </c>
      <c r="Y3021" s="76">
        <f>OrdersTable[[#This Row],[Net Revenue]]-OrdersTable[[#This Row],[COGS]]-OrdersTable[[#This Row],[Shipping Cost]]</f>
        <v>222.55</v>
      </c>
      <c r="Z3021" s="78">
        <f>IFERROR(OrdersTable[[#This Row],[Profit]]/OrdersTable[[#This Row],[Net Revenue]],0)</f>
        <v>0.52174422693705313</v>
      </c>
      <c r="AA3021" t="s">
        <v>2522</v>
      </c>
      <c r="AB3021" s="79">
        <v>45786</v>
      </c>
      <c r="AC3021">
        <f>OrdersTable[[#This Row],[Delivery Date]]-OrdersTable[[#This Row],[Order Date]]</f>
        <v>1</v>
      </c>
      <c r="AD3021" t="str">
        <f>IF(OrdersTable[[#This Row],[Delivery Days]]&lt;=2, "Express (≤2d)", IF(OrdersTable[[#This Row],[Delivery Days]]&lt;=4, "Standard (3-4d)", "Delayed (5d+)"))</f>
        <v>Express (≤2d)</v>
      </c>
      <c r="AE3021">
        <v>3</v>
      </c>
      <c r="AF3021">
        <v>0</v>
      </c>
    </row>
    <row r="3022" spans="1:32" ht="15" x14ac:dyDescent="0.35">
      <c r="A3022" t="s">
        <v>7096</v>
      </c>
      <c r="B3022" s="1">
        <v>45785</v>
      </c>
      <c r="C3022">
        <f>YEAR(OrdersTable[[#This Row],[Order Date]])</f>
        <v>2025</v>
      </c>
      <c r="D3022" s="2">
        <f>DATE(YEAR(OrdersTable[[#This Row],[Order Date]]),MONTH(OrdersTable[[#This Row],[Order Date]]),1)</f>
        <v>45778</v>
      </c>
      <c r="E3022">
        <f>MONTH(OrdersTable[[#This Row],[Order Date]])</f>
        <v>5</v>
      </c>
      <c r="F3022" t="s">
        <v>2199</v>
      </c>
      <c r="G3022" t="str">
        <f>IF(OrdersTable[[#This Row],[Order Date]]=_xlfn.MINIFS(Order_Date, Customer_ID, OrdersTable[[#This Row],[Customer ID]]), "New", "Repeat")</f>
        <v>Repeat</v>
      </c>
      <c r="H3022" t="s">
        <v>275</v>
      </c>
      <c r="I3022" t="str">
        <f>INDEX(State!B:B,MATCH(OrdersTable[[#This Row],[State]],State!A:A,0))</f>
        <v>AP</v>
      </c>
      <c r="J3022" t="str">
        <f>INDEX(State!C:C,MATCH(OrdersTable[[#This Row],[State Code]],State!B:B,0))</f>
        <v>South</v>
      </c>
      <c r="K3022" t="s">
        <v>491</v>
      </c>
      <c r="L3022" t="s">
        <v>65</v>
      </c>
      <c r="M3022" t="s">
        <v>24</v>
      </c>
      <c r="N3022" t="str">
        <f>INDEX(Products!B:B,MATCH(OrdersTable[[#This Row],[Product ID]],Products!A:A,0))</f>
        <v>Scented Candle Set</v>
      </c>
      <c r="O3022" t="str">
        <f>INDEX(Products!C:C,MATCH(OrdersTable[[#This Row],[Product ID]],Products!A:A,0))</f>
        <v>Home &amp; Kitchen</v>
      </c>
      <c r="P3022">
        <v>4</v>
      </c>
      <c r="Q3022" s="5">
        <v>699</v>
      </c>
      <c r="R3022" s="74">
        <v>0.3</v>
      </c>
      <c r="S3022" s="75">
        <f>OrdersTable[[#This Row],[Quantity]]*OrdersTable[[#This Row],[Unit Price]]</f>
        <v>2796</v>
      </c>
      <c r="T3022" s="5">
        <f>OrdersTable[[#This Row],[Gross Sale]]*OrdersTable[[#This Row],[Discount_Clean2]]</f>
        <v>838.8</v>
      </c>
      <c r="U3022" s="5">
        <f>OrdersTable[[#This Row],[Gross Sale]]-OrdersTable[[#This Row],[Discount Amount]]</f>
        <v>1957.2</v>
      </c>
      <c r="V3022" s="77">
        <f>INDEX(Products!E:E,MATCH(OrdersTable[[#This Row],[Product ID]],Products!A:A,0))</f>
        <v>245</v>
      </c>
      <c r="W3022" s="77">
        <f>OrdersTable[[#This Row],[Quantity]]*OrdersTable[[#This Row],[Unit Cost]]</f>
        <v>980</v>
      </c>
      <c r="X3022" s="77">
        <f>'Dropdown Lists'!$I$2*(1+OrdersTable[[#This Row],[Returned]])</f>
        <v>60</v>
      </c>
      <c r="Y3022" s="76">
        <f>OrdersTable[[#This Row],[Net Revenue]]-OrdersTable[[#This Row],[COGS]]-OrdersTable[[#This Row],[Shipping Cost]]</f>
        <v>917.2</v>
      </c>
      <c r="Z3022" s="78">
        <f>IFERROR(OrdersTable[[#This Row],[Profit]]/OrdersTable[[#This Row],[Net Revenue]],0)</f>
        <v>0.46862865317800939</v>
      </c>
      <c r="AA3022" t="s">
        <v>18</v>
      </c>
      <c r="AB3022" s="79">
        <v>45788</v>
      </c>
      <c r="AC3022">
        <f>OrdersTable[[#This Row],[Delivery Date]]-OrdersTable[[#This Row],[Order Date]]</f>
        <v>3</v>
      </c>
      <c r="AD3022" t="str">
        <f>IF(OrdersTable[[#This Row],[Delivery Days]]&lt;=2, "Express (≤2d)", IF(OrdersTable[[#This Row],[Delivery Days]]&lt;=4, "Standard (3-4d)", "Delayed (5d+)"))</f>
        <v>Standard (3-4d)</v>
      </c>
      <c r="AE3022">
        <v>4</v>
      </c>
      <c r="AF3022">
        <v>0</v>
      </c>
    </row>
    <row r="3023" spans="1:32" ht="15" x14ac:dyDescent="0.35">
      <c r="A3023" t="s">
        <v>1173</v>
      </c>
      <c r="B3023" s="1">
        <v>45786</v>
      </c>
      <c r="C3023">
        <f>YEAR(OrdersTable[[#This Row],[Order Date]])</f>
        <v>2025</v>
      </c>
      <c r="D3023" s="2">
        <f>DATE(YEAR(OrdersTable[[#This Row],[Order Date]]),MONTH(OrdersTable[[#This Row],[Order Date]]),1)</f>
        <v>45778</v>
      </c>
      <c r="E3023">
        <f>MONTH(OrdersTable[[#This Row],[Order Date]])</f>
        <v>5</v>
      </c>
      <c r="F3023" t="s">
        <v>1174</v>
      </c>
      <c r="G3023" t="str">
        <f>IF(OrdersTable[[#This Row],[Order Date]]=_xlfn.MINIFS(Order_Date, Customer_ID, OrdersTable[[#This Row],[Customer ID]]), "New", "Repeat")</f>
        <v>New</v>
      </c>
      <c r="H3023" t="s">
        <v>54</v>
      </c>
      <c r="I3023" t="str">
        <f>INDEX(State!B:B,MATCH(OrdersTable[[#This Row],[State]],State!A:A,0))</f>
        <v>RJ</v>
      </c>
      <c r="J3023" t="str">
        <f>INDEX(State!C:C,MATCH(OrdersTable[[#This Row],[State Code]],State!B:B,0))</f>
        <v>North</v>
      </c>
      <c r="K3023" t="s">
        <v>55</v>
      </c>
      <c r="L3023" t="s">
        <v>50</v>
      </c>
      <c r="M3023" t="s">
        <v>66</v>
      </c>
      <c r="N3023" t="str">
        <f>INDEX(Products!B:B,MATCH(OrdersTable[[#This Row],[Product ID]],Products!A:A,0))</f>
        <v>Sunscreen SPF 50</v>
      </c>
      <c r="O3023" t="str">
        <f>INDEX(Products!C:C,MATCH(OrdersTable[[#This Row],[Product ID]],Products!A:A,0))</f>
        <v>Skincare</v>
      </c>
      <c r="P3023">
        <v>1</v>
      </c>
      <c r="Q3023" s="5">
        <v>449</v>
      </c>
      <c r="R3023" s="74">
        <v>0.15</v>
      </c>
      <c r="S3023" s="75">
        <f>OrdersTable[[#This Row],[Quantity]]*OrdersTable[[#This Row],[Unit Price]]</f>
        <v>449</v>
      </c>
      <c r="T3023" s="5">
        <f>OrdersTable[[#This Row],[Gross Sale]]*OrdersTable[[#This Row],[Discount_Clean2]]</f>
        <v>67.349999999999994</v>
      </c>
      <c r="U3023" s="5">
        <f>OrdersTable[[#This Row],[Gross Sale]]-OrdersTable[[#This Row],[Discount Amount]]</f>
        <v>381.65</v>
      </c>
      <c r="V3023" s="77">
        <f>INDEX(Products!E:E,MATCH(OrdersTable[[#This Row],[Product ID]],Products!A:A,0))</f>
        <v>144</v>
      </c>
      <c r="W3023" s="77">
        <f>OrdersTable[[#This Row],[Quantity]]*OrdersTable[[#This Row],[Unit Cost]]</f>
        <v>144</v>
      </c>
      <c r="X3023" s="77">
        <f>'Dropdown Lists'!$I$2*(1+OrdersTable[[#This Row],[Returned]])</f>
        <v>60</v>
      </c>
      <c r="Y3023" s="76">
        <f>OrdersTable[[#This Row],[Net Revenue]]-OrdersTable[[#This Row],[COGS]]-OrdersTable[[#This Row],[Shipping Cost]]</f>
        <v>177.64999999999998</v>
      </c>
      <c r="Z3023" s="78">
        <f>IFERROR(OrdersTable[[#This Row],[Profit]]/OrdersTable[[#This Row],[Net Revenue]],0)</f>
        <v>0.465478841870824</v>
      </c>
      <c r="AA3023" t="s">
        <v>18</v>
      </c>
      <c r="AB3023" s="79">
        <v>45788</v>
      </c>
      <c r="AC3023">
        <f>OrdersTable[[#This Row],[Delivery Date]]-OrdersTable[[#This Row],[Order Date]]</f>
        <v>2</v>
      </c>
      <c r="AD3023" t="str">
        <f>IF(OrdersTable[[#This Row],[Delivery Days]]&lt;=2, "Express (≤2d)", IF(OrdersTable[[#This Row],[Delivery Days]]&lt;=4, "Standard (3-4d)", "Delayed (5d+)"))</f>
        <v>Express (≤2d)</v>
      </c>
      <c r="AF3023">
        <v>0</v>
      </c>
    </row>
    <row r="3024" spans="1:32" ht="15" x14ac:dyDescent="0.35">
      <c r="A3024" t="s">
        <v>5614</v>
      </c>
      <c r="B3024" s="1">
        <v>45786</v>
      </c>
      <c r="C3024">
        <f>YEAR(OrdersTable[[#This Row],[Order Date]])</f>
        <v>2025</v>
      </c>
      <c r="D3024" s="2">
        <f>DATE(YEAR(OrdersTable[[#This Row],[Order Date]]),MONTH(OrdersTable[[#This Row],[Order Date]]),1)</f>
        <v>45778</v>
      </c>
      <c r="E3024">
        <f>MONTH(OrdersTable[[#This Row],[Order Date]])</f>
        <v>5</v>
      </c>
      <c r="F3024" t="s">
        <v>3688</v>
      </c>
      <c r="G3024" t="str">
        <f>IF(OrdersTable[[#This Row],[Order Date]]=_xlfn.MINIFS(Order_Date, Customer_ID, OrdersTable[[#This Row],[Customer ID]]), "New", "Repeat")</f>
        <v>Repeat</v>
      </c>
      <c r="H3024" t="s">
        <v>48</v>
      </c>
      <c r="I3024" t="str">
        <f>INDEX(State!B:B,MATCH(OrdersTable[[#This Row],[State]],State!A:A,0))</f>
        <v>HR</v>
      </c>
      <c r="J3024" t="str">
        <f>INDEX(State!C:C,MATCH(OrdersTable[[#This Row],[State Code]],State!B:B,0))</f>
        <v>North</v>
      </c>
      <c r="K3024" t="s">
        <v>151</v>
      </c>
      <c r="L3024" t="s">
        <v>39</v>
      </c>
      <c r="M3024" t="s">
        <v>160</v>
      </c>
      <c r="N3024" t="str">
        <f>INDEX(Products!B:B,MATCH(OrdersTable[[#This Row],[Product ID]],Products!A:A,0))</f>
        <v>Niacinamide Toner</v>
      </c>
      <c r="O3024" t="str">
        <f>INDEX(Products!C:C,MATCH(OrdersTable[[#This Row],[Product ID]],Products!A:A,0))</f>
        <v>Skincare</v>
      </c>
      <c r="P3024">
        <v>2</v>
      </c>
      <c r="Q3024" s="5">
        <v>399</v>
      </c>
      <c r="R3024" s="74">
        <v>0.25</v>
      </c>
      <c r="S3024" s="75">
        <f>OrdersTable[[#This Row],[Quantity]]*OrdersTable[[#This Row],[Unit Price]]</f>
        <v>798</v>
      </c>
      <c r="T3024" s="5">
        <f>OrdersTable[[#This Row],[Gross Sale]]*OrdersTable[[#This Row],[Discount_Clean2]]</f>
        <v>199.5</v>
      </c>
      <c r="U3024" s="5">
        <f>OrdersTable[[#This Row],[Gross Sale]]-OrdersTable[[#This Row],[Discount Amount]]</f>
        <v>598.5</v>
      </c>
      <c r="V3024" s="77">
        <f>INDEX(Products!E:E,MATCH(OrdersTable[[#This Row],[Product ID]],Products!A:A,0))</f>
        <v>112</v>
      </c>
      <c r="W3024" s="77">
        <f>OrdersTable[[#This Row],[Quantity]]*OrdersTable[[#This Row],[Unit Cost]]</f>
        <v>224</v>
      </c>
      <c r="X3024" s="77">
        <f>'Dropdown Lists'!$I$2*(1+OrdersTable[[#This Row],[Returned]])</f>
        <v>60</v>
      </c>
      <c r="Y3024" s="76">
        <f>OrdersTable[[#This Row],[Net Revenue]]-OrdersTable[[#This Row],[COGS]]-OrdersTable[[#This Row],[Shipping Cost]]</f>
        <v>314.5</v>
      </c>
      <c r="Z3024" s="78">
        <f>IFERROR(OrdersTable[[#This Row],[Profit]]/OrdersTable[[#This Row],[Net Revenue]],0)</f>
        <v>0.52548036758563077</v>
      </c>
      <c r="AA3024" t="s">
        <v>2522</v>
      </c>
      <c r="AB3024" s="79">
        <v>45789</v>
      </c>
      <c r="AC3024">
        <f>OrdersTable[[#This Row],[Delivery Date]]-OrdersTable[[#This Row],[Order Date]]</f>
        <v>3</v>
      </c>
      <c r="AD3024" t="str">
        <f>IF(OrdersTable[[#This Row],[Delivery Days]]&lt;=2, "Express (≤2d)", IF(OrdersTable[[#This Row],[Delivery Days]]&lt;=4, "Standard (3-4d)", "Delayed (5d+)"))</f>
        <v>Standard (3-4d)</v>
      </c>
      <c r="AF3024">
        <v>0</v>
      </c>
    </row>
    <row r="3025" spans="1:32" ht="15" x14ac:dyDescent="0.35">
      <c r="A3025" t="s">
        <v>312</v>
      </c>
      <c r="B3025" s="1">
        <v>45786</v>
      </c>
      <c r="C3025">
        <f>YEAR(OrdersTable[[#This Row],[Order Date]])</f>
        <v>2025</v>
      </c>
      <c r="D3025" s="2">
        <f>DATE(YEAR(OrdersTable[[#This Row],[Order Date]]),MONTH(OrdersTable[[#This Row],[Order Date]]),1)</f>
        <v>45778</v>
      </c>
      <c r="E3025">
        <f>MONTH(OrdersTable[[#This Row],[Order Date]])</f>
        <v>5</v>
      </c>
      <c r="F3025" t="s">
        <v>313</v>
      </c>
      <c r="G3025" t="str">
        <f>IF(OrdersTable[[#This Row],[Order Date]]=_xlfn.MINIFS(Order_Date, Customer_ID, OrdersTable[[#This Row],[Customer ID]]), "New", "Repeat")</f>
        <v>Repeat</v>
      </c>
      <c r="H3025" t="s">
        <v>128</v>
      </c>
      <c r="I3025" t="str">
        <f>INDEX(State!B:B,MATCH(OrdersTable[[#This Row],[State]],State!A:A,0))</f>
        <v>DL</v>
      </c>
      <c r="J3025" t="str">
        <f>INDEX(State!C:C,MATCH(OrdersTable[[#This Row],[State Code]],State!B:B,0))</f>
        <v>North</v>
      </c>
      <c r="K3025" t="s">
        <v>129</v>
      </c>
      <c r="L3025" t="s">
        <v>39</v>
      </c>
      <c r="M3025" t="s">
        <v>34</v>
      </c>
      <c r="N3025" t="str">
        <f>INDEX(Products!B:B,MATCH(OrdersTable[[#This Row],[Product ID]],Products!A:A,0))</f>
        <v>Flip Flops</v>
      </c>
      <c r="O3025" t="str">
        <f>INDEX(Products!C:C,MATCH(OrdersTable[[#This Row],[Product ID]],Products!A:A,0))</f>
        <v>Footwear</v>
      </c>
      <c r="P3025">
        <v>1</v>
      </c>
      <c r="Q3025" s="5">
        <v>399</v>
      </c>
      <c r="R3025" s="74">
        <v>0.05</v>
      </c>
      <c r="S3025" s="75">
        <f>OrdersTable[[#This Row],[Quantity]]*OrdersTable[[#This Row],[Unit Price]]</f>
        <v>399</v>
      </c>
      <c r="T3025" s="5">
        <f>OrdersTable[[#This Row],[Gross Sale]]*OrdersTable[[#This Row],[Discount_Clean2]]</f>
        <v>19.950000000000003</v>
      </c>
      <c r="U3025" s="5">
        <f>OrdersTable[[#This Row],[Gross Sale]]-OrdersTable[[#This Row],[Discount Amount]]</f>
        <v>379.05</v>
      </c>
      <c r="V3025" s="77">
        <f>INDEX(Products!E:E,MATCH(OrdersTable[[#This Row],[Product ID]],Products!A:A,0))</f>
        <v>152</v>
      </c>
      <c r="W3025" s="77">
        <f>OrdersTable[[#This Row],[Quantity]]*OrdersTable[[#This Row],[Unit Cost]]</f>
        <v>152</v>
      </c>
      <c r="X3025" s="77">
        <f>'Dropdown Lists'!$I$2*(1+OrdersTable[[#This Row],[Returned]])</f>
        <v>60</v>
      </c>
      <c r="Y3025" s="76">
        <f>OrdersTable[[#This Row],[Net Revenue]]-OrdersTable[[#This Row],[COGS]]-OrdersTable[[#This Row],[Shipping Cost]]</f>
        <v>167.05</v>
      </c>
      <c r="Z3025" s="78">
        <f>IFERROR(OrdersTable[[#This Row],[Profit]]/OrdersTable[[#This Row],[Net Revenue]],0)</f>
        <v>0.44070703073473161</v>
      </c>
      <c r="AA3025" t="s">
        <v>18</v>
      </c>
      <c r="AB3025" s="79">
        <v>45788</v>
      </c>
      <c r="AC3025">
        <f>OrdersTable[[#This Row],[Delivery Date]]-OrdersTable[[#This Row],[Order Date]]</f>
        <v>2</v>
      </c>
      <c r="AD3025" t="str">
        <f>IF(OrdersTable[[#This Row],[Delivery Days]]&lt;=2, "Express (≤2d)", IF(OrdersTable[[#This Row],[Delivery Days]]&lt;=4, "Standard (3-4d)", "Delayed (5d+)"))</f>
        <v>Express (≤2d)</v>
      </c>
      <c r="AE3025">
        <v>4</v>
      </c>
      <c r="AF3025">
        <v>0</v>
      </c>
    </row>
    <row r="3026" spans="1:32" ht="15" x14ac:dyDescent="0.35">
      <c r="A3026" t="s">
        <v>3448</v>
      </c>
      <c r="B3026" s="1">
        <v>45786</v>
      </c>
      <c r="C3026">
        <f>YEAR(OrdersTable[[#This Row],[Order Date]])</f>
        <v>2025</v>
      </c>
      <c r="D3026" s="2">
        <f>DATE(YEAR(OrdersTable[[#This Row],[Order Date]]),MONTH(OrdersTable[[#This Row],[Order Date]]),1)</f>
        <v>45778</v>
      </c>
      <c r="E3026">
        <f>MONTH(OrdersTable[[#This Row],[Order Date]])</f>
        <v>5</v>
      </c>
      <c r="F3026" t="s">
        <v>2058</v>
      </c>
      <c r="G3026" t="str">
        <f>IF(OrdersTable[[#This Row],[Order Date]]=_xlfn.MINIFS(Order_Date, Customer_ID, OrdersTable[[#This Row],[Customer ID]]), "New", "Repeat")</f>
        <v>Repeat</v>
      </c>
      <c r="H3026" t="s">
        <v>32</v>
      </c>
      <c r="I3026" t="str">
        <f>INDEX(State!B:B,MATCH(OrdersTable[[#This Row],[State]],State!A:A,0))</f>
        <v>BR</v>
      </c>
      <c r="J3026" t="str">
        <f>INDEX(State!C:C,MATCH(OrdersTable[[#This Row],[State Code]],State!B:B,0))</f>
        <v>East</v>
      </c>
      <c r="K3026" t="s">
        <v>33</v>
      </c>
      <c r="L3026" t="s">
        <v>65</v>
      </c>
      <c r="M3026" t="s">
        <v>73</v>
      </c>
      <c r="N3026" t="str">
        <f>INDEX(Products!B:B,MATCH(OrdersTable[[#This Row],[Product ID]],Products!A:A,0))</f>
        <v>Hydrating Face Wash</v>
      </c>
      <c r="O3026" t="str">
        <f>INDEX(Products!C:C,MATCH(OrdersTable[[#This Row],[Product ID]],Products!A:A,0))</f>
        <v>Skincare</v>
      </c>
      <c r="P3026">
        <v>1</v>
      </c>
      <c r="Q3026" s="5">
        <v>299</v>
      </c>
      <c r="R3026" s="74">
        <v>0.1</v>
      </c>
      <c r="S3026" s="75">
        <f>OrdersTable[[#This Row],[Quantity]]*OrdersTable[[#This Row],[Unit Price]]</f>
        <v>299</v>
      </c>
      <c r="T3026" s="5">
        <f>OrdersTable[[#This Row],[Gross Sale]]*OrdersTable[[#This Row],[Discount_Clean2]]</f>
        <v>29.900000000000002</v>
      </c>
      <c r="U3026" s="5">
        <f>OrdersTable[[#This Row],[Gross Sale]]-OrdersTable[[#This Row],[Discount Amount]]</f>
        <v>269.10000000000002</v>
      </c>
      <c r="V3026" s="77">
        <f>INDEX(Products!E:E,MATCH(OrdersTable[[#This Row],[Product ID]],Products!A:A,0))</f>
        <v>90</v>
      </c>
      <c r="W3026" s="77">
        <f>OrdersTable[[#This Row],[Quantity]]*OrdersTable[[#This Row],[Unit Cost]]</f>
        <v>90</v>
      </c>
      <c r="X3026" s="77">
        <f>'Dropdown Lists'!$I$2*(1+OrdersTable[[#This Row],[Returned]])</f>
        <v>60</v>
      </c>
      <c r="Y3026" s="76">
        <f>OrdersTable[[#This Row],[Net Revenue]]-OrdersTable[[#This Row],[COGS]]-OrdersTable[[#This Row],[Shipping Cost]]</f>
        <v>119.10000000000002</v>
      </c>
      <c r="Z3026" s="78">
        <f>IFERROR(OrdersTable[[#This Row],[Profit]]/OrdersTable[[#This Row],[Net Revenue]],0)</f>
        <v>0.4425863991081383</v>
      </c>
      <c r="AA3026" t="s">
        <v>2522</v>
      </c>
      <c r="AB3026" s="79">
        <v>45791</v>
      </c>
      <c r="AC3026">
        <f>OrdersTable[[#This Row],[Delivery Date]]-OrdersTable[[#This Row],[Order Date]]</f>
        <v>5</v>
      </c>
      <c r="AD3026" t="str">
        <f>IF(OrdersTable[[#This Row],[Delivery Days]]&lt;=2, "Express (≤2d)", IF(OrdersTable[[#This Row],[Delivery Days]]&lt;=4, "Standard (3-4d)", "Delayed (5d+)"))</f>
        <v>Delayed (5d+)</v>
      </c>
      <c r="AE3026">
        <v>4</v>
      </c>
      <c r="AF3026">
        <v>0</v>
      </c>
    </row>
    <row r="3027" spans="1:32" ht="15" x14ac:dyDescent="0.35">
      <c r="A3027" t="s">
        <v>4027</v>
      </c>
      <c r="B3027" s="1">
        <v>45786</v>
      </c>
      <c r="C3027">
        <f>YEAR(OrdersTable[[#This Row],[Order Date]])</f>
        <v>2025</v>
      </c>
      <c r="D3027" s="2">
        <f>DATE(YEAR(OrdersTable[[#This Row],[Order Date]]),MONTH(OrdersTable[[#This Row],[Order Date]]),1)</f>
        <v>45778</v>
      </c>
      <c r="E3027">
        <f>MONTH(OrdersTable[[#This Row],[Order Date]])</f>
        <v>5</v>
      </c>
      <c r="F3027" t="s">
        <v>1095</v>
      </c>
      <c r="G3027" t="str">
        <f>IF(OrdersTable[[#This Row],[Order Date]]=_xlfn.MINIFS(Order_Date, Customer_ID, OrdersTable[[#This Row],[Customer ID]]), "New", "Repeat")</f>
        <v>Repeat</v>
      </c>
      <c r="H3027" t="s">
        <v>95</v>
      </c>
      <c r="I3027" t="str">
        <f>INDEX(State!B:B,MATCH(OrdersTable[[#This Row],[State]],State!A:A,0))</f>
        <v>TG</v>
      </c>
      <c r="J3027" t="str">
        <f>INDEX(State!C:C,MATCH(OrdersTable[[#This Row],[State Code]],State!B:B,0))</f>
        <v>South</v>
      </c>
      <c r="K3027" t="s">
        <v>96</v>
      </c>
      <c r="L3027" t="s">
        <v>65</v>
      </c>
      <c r="M3027" t="s">
        <v>179</v>
      </c>
      <c r="N3027" t="str">
        <f>INDEX(Products!B:B,MATCH(OrdersTable[[#This Row],[Product ID]],Products!A:A,0))</f>
        <v>Whey Protein 1kg</v>
      </c>
      <c r="O3027" t="str">
        <f>INDEX(Products!C:C,MATCH(OrdersTable[[#This Row],[Product ID]],Products!A:A,0))</f>
        <v>Wellness</v>
      </c>
      <c r="P3027">
        <v>1</v>
      </c>
      <c r="Q3027" s="5">
        <v>2299</v>
      </c>
      <c r="R3027" s="74">
        <v>0.45</v>
      </c>
      <c r="S3027" s="75">
        <f>OrdersTable[[#This Row],[Quantity]]*OrdersTable[[#This Row],[Unit Price]]</f>
        <v>2299</v>
      </c>
      <c r="T3027" s="5">
        <f>OrdersTable[[#This Row],[Gross Sale]]*OrdersTable[[#This Row],[Discount_Clean2]]</f>
        <v>1034.55</v>
      </c>
      <c r="U3027" s="5">
        <f>OrdersTable[[#This Row],[Gross Sale]]-OrdersTable[[#This Row],[Discount Amount]]</f>
        <v>1264.45</v>
      </c>
      <c r="V3027" s="77">
        <f>INDEX(Products!E:E,MATCH(OrdersTable[[#This Row],[Product ID]],Products!A:A,0))</f>
        <v>1333</v>
      </c>
      <c r="W3027" s="77">
        <f>OrdersTable[[#This Row],[Quantity]]*OrdersTable[[#This Row],[Unit Cost]]</f>
        <v>1333</v>
      </c>
      <c r="X3027" s="77">
        <f>'Dropdown Lists'!$I$2*(1+OrdersTable[[#This Row],[Returned]])</f>
        <v>120</v>
      </c>
      <c r="Y3027" s="76">
        <f>OrdersTable[[#This Row],[Net Revenue]]-OrdersTable[[#This Row],[COGS]]-OrdersTable[[#This Row],[Shipping Cost]]</f>
        <v>-188.54999999999995</v>
      </c>
      <c r="Z3027" s="78">
        <f>IFERROR(OrdersTable[[#This Row],[Profit]]/OrdersTable[[#This Row],[Net Revenue]],0)</f>
        <v>-0.14911621653683416</v>
      </c>
      <c r="AA3027" t="s">
        <v>3495</v>
      </c>
      <c r="AB3027" s="79">
        <v>45789</v>
      </c>
      <c r="AC3027">
        <f>OrdersTable[[#This Row],[Delivery Date]]-OrdersTable[[#This Row],[Order Date]]</f>
        <v>3</v>
      </c>
      <c r="AD3027" t="str">
        <f>IF(OrdersTable[[#This Row],[Delivery Days]]&lt;=2, "Express (≤2d)", IF(OrdersTable[[#This Row],[Delivery Days]]&lt;=4, "Standard (3-4d)", "Delayed (5d+)"))</f>
        <v>Standard (3-4d)</v>
      </c>
      <c r="AE3027">
        <v>5</v>
      </c>
      <c r="AF3027">
        <v>1</v>
      </c>
    </row>
    <row r="3028" spans="1:32" ht="15" x14ac:dyDescent="0.35">
      <c r="A3028" t="s">
        <v>3060</v>
      </c>
      <c r="B3028" s="1">
        <v>45786</v>
      </c>
      <c r="C3028">
        <f>YEAR(OrdersTable[[#This Row],[Order Date]])</f>
        <v>2025</v>
      </c>
      <c r="D3028" s="2">
        <f>DATE(YEAR(OrdersTable[[#This Row],[Order Date]]),MONTH(OrdersTable[[#This Row],[Order Date]]),1)</f>
        <v>45778</v>
      </c>
      <c r="E3028">
        <f>MONTH(OrdersTable[[#This Row],[Order Date]])</f>
        <v>5</v>
      </c>
      <c r="F3028" t="s">
        <v>1372</v>
      </c>
      <c r="G3028" t="str">
        <f>IF(OrdersTable[[#This Row],[Order Date]]=_xlfn.MINIFS(Order_Date, Customer_ID, OrdersTable[[#This Row],[Customer ID]]), "New", "Repeat")</f>
        <v>Repeat</v>
      </c>
      <c r="H3028" t="s">
        <v>95</v>
      </c>
      <c r="I3028" t="str">
        <f>INDEX(State!B:B,MATCH(OrdersTable[[#This Row],[State]],State!A:A,0))</f>
        <v>TG</v>
      </c>
      <c r="J3028" t="str">
        <f>INDEX(State!C:C,MATCH(OrdersTable[[#This Row],[State Code]],State!B:B,0))</f>
        <v>South</v>
      </c>
      <c r="K3028" t="s">
        <v>96</v>
      </c>
      <c r="L3028" t="s">
        <v>23</v>
      </c>
      <c r="M3028" t="s">
        <v>66</v>
      </c>
      <c r="N3028" t="str">
        <f>INDEX(Products!B:B,MATCH(OrdersTable[[#This Row],[Product ID]],Products!A:A,0))</f>
        <v>Sunscreen SPF 50</v>
      </c>
      <c r="O3028" t="str">
        <f>INDEX(Products!C:C,MATCH(OrdersTable[[#This Row],[Product ID]],Products!A:A,0))</f>
        <v>Skincare</v>
      </c>
      <c r="P3028">
        <v>1</v>
      </c>
      <c r="Q3028" s="5">
        <v>449</v>
      </c>
      <c r="R3028" s="74">
        <v>0</v>
      </c>
      <c r="S3028" s="75">
        <f>OrdersTable[[#This Row],[Quantity]]*OrdersTable[[#This Row],[Unit Price]]</f>
        <v>449</v>
      </c>
      <c r="T3028" s="5">
        <f>OrdersTable[[#This Row],[Gross Sale]]*OrdersTable[[#This Row],[Discount_Clean2]]</f>
        <v>0</v>
      </c>
      <c r="U3028" s="5">
        <f>OrdersTable[[#This Row],[Gross Sale]]-OrdersTable[[#This Row],[Discount Amount]]</f>
        <v>449</v>
      </c>
      <c r="V3028" s="77">
        <f>INDEX(Products!E:E,MATCH(OrdersTable[[#This Row],[Product ID]],Products!A:A,0))</f>
        <v>144</v>
      </c>
      <c r="W3028" s="77">
        <f>OrdersTable[[#This Row],[Quantity]]*OrdersTable[[#This Row],[Unit Cost]]</f>
        <v>144</v>
      </c>
      <c r="X3028" s="77">
        <f>'Dropdown Lists'!$I$2*(1+OrdersTable[[#This Row],[Returned]])</f>
        <v>60</v>
      </c>
      <c r="Y3028" s="76">
        <f>OrdersTable[[#This Row],[Net Revenue]]-OrdersTable[[#This Row],[COGS]]-OrdersTable[[#This Row],[Shipping Cost]]</f>
        <v>245</v>
      </c>
      <c r="Z3028" s="78">
        <f>IFERROR(OrdersTable[[#This Row],[Profit]]/OrdersTable[[#This Row],[Net Revenue]],0)</f>
        <v>0.54565701559020041</v>
      </c>
      <c r="AA3028" t="s">
        <v>2522</v>
      </c>
      <c r="AB3028" s="79">
        <v>45789</v>
      </c>
      <c r="AC3028">
        <f>OrdersTable[[#This Row],[Delivery Date]]-OrdersTable[[#This Row],[Order Date]]</f>
        <v>3</v>
      </c>
      <c r="AD3028" t="str">
        <f>IF(OrdersTable[[#This Row],[Delivery Days]]&lt;=2, "Express (≤2d)", IF(OrdersTable[[#This Row],[Delivery Days]]&lt;=4, "Standard (3-4d)", "Delayed (5d+)"))</f>
        <v>Standard (3-4d)</v>
      </c>
      <c r="AF3028">
        <v>0</v>
      </c>
    </row>
    <row r="3029" spans="1:32" ht="15" x14ac:dyDescent="0.35">
      <c r="A3029" t="s">
        <v>4998</v>
      </c>
      <c r="B3029" s="1">
        <v>45787</v>
      </c>
      <c r="C3029">
        <f>YEAR(OrdersTable[[#This Row],[Order Date]])</f>
        <v>2025</v>
      </c>
      <c r="D3029" s="2">
        <f>DATE(YEAR(OrdersTable[[#This Row],[Order Date]]),MONTH(OrdersTable[[#This Row],[Order Date]]),1)</f>
        <v>45778</v>
      </c>
      <c r="E3029">
        <f>MONTH(OrdersTable[[#This Row],[Order Date]])</f>
        <v>5</v>
      </c>
      <c r="F3029" t="s">
        <v>207</v>
      </c>
      <c r="G3029" t="str">
        <f>IF(OrdersTable[[#This Row],[Order Date]]=_xlfn.MINIFS(Order_Date, Customer_ID, OrdersTable[[#This Row],[Customer ID]]), "New", "Repeat")</f>
        <v>Repeat</v>
      </c>
      <c r="H3029" t="s">
        <v>128</v>
      </c>
      <c r="I3029" t="str">
        <f>INDEX(State!B:B,MATCH(OrdersTable[[#This Row],[State]],State!A:A,0))</f>
        <v>DL</v>
      </c>
      <c r="J3029" t="str">
        <f>INDEX(State!C:C,MATCH(OrdersTable[[#This Row],[State Code]],State!B:B,0))</f>
        <v>North</v>
      </c>
      <c r="K3029" t="s">
        <v>129</v>
      </c>
      <c r="L3029" t="s">
        <v>23</v>
      </c>
      <c r="M3029" t="s">
        <v>87</v>
      </c>
      <c r="N3029" t="str">
        <f>INDEX(Products!B:B,MATCH(OrdersTable[[#This Row],[Product ID]],Products!A:A,0))</f>
        <v>Linen Kurta</v>
      </c>
      <c r="O3029" t="str">
        <f>INDEX(Products!C:C,MATCH(OrdersTable[[#This Row],[Product ID]],Products!A:A,0))</f>
        <v>Apparel</v>
      </c>
      <c r="P3029">
        <v>2</v>
      </c>
      <c r="Q3029" s="5">
        <v>1499</v>
      </c>
      <c r="R3029" s="74">
        <v>0.4</v>
      </c>
      <c r="S3029" s="75">
        <f>OrdersTable[[#This Row],[Quantity]]*OrdersTable[[#This Row],[Unit Price]]</f>
        <v>2998</v>
      </c>
      <c r="T3029" s="5">
        <f>OrdersTable[[#This Row],[Gross Sale]]*OrdersTable[[#This Row],[Discount_Clean2]]</f>
        <v>1199.2</v>
      </c>
      <c r="U3029" s="5">
        <f>OrdersTable[[#This Row],[Gross Sale]]-OrdersTable[[#This Row],[Discount Amount]]</f>
        <v>1798.8</v>
      </c>
      <c r="V3029" s="77">
        <f>INDEX(Products!E:E,MATCH(OrdersTable[[#This Row],[Product ID]],Products!A:A,0))</f>
        <v>630</v>
      </c>
      <c r="W3029" s="77">
        <f>OrdersTable[[#This Row],[Quantity]]*OrdersTable[[#This Row],[Unit Cost]]</f>
        <v>1260</v>
      </c>
      <c r="X3029" s="77">
        <f>'Dropdown Lists'!$I$2*(1+OrdersTable[[#This Row],[Returned]])</f>
        <v>60</v>
      </c>
      <c r="Y3029" s="76">
        <f>OrdersTable[[#This Row],[Net Revenue]]-OrdersTable[[#This Row],[COGS]]-OrdersTable[[#This Row],[Shipping Cost]]</f>
        <v>478.79999999999995</v>
      </c>
      <c r="Z3029" s="78">
        <f>IFERROR(OrdersTable[[#This Row],[Profit]]/OrdersTable[[#This Row],[Net Revenue]],0)</f>
        <v>0.26617745163442291</v>
      </c>
      <c r="AA3029" t="s">
        <v>4074</v>
      </c>
      <c r="AB3029" s="79">
        <v>45788</v>
      </c>
      <c r="AC3029">
        <f>OrdersTable[[#This Row],[Delivery Date]]-OrdersTable[[#This Row],[Order Date]]</f>
        <v>1</v>
      </c>
      <c r="AD3029" t="str">
        <f>IF(OrdersTable[[#This Row],[Delivery Days]]&lt;=2, "Express (≤2d)", IF(OrdersTable[[#This Row],[Delivery Days]]&lt;=4, "Standard (3-4d)", "Delayed (5d+)"))</f>
        <v>Express (≤2d)</v>
      </c>
      <c r="AE3029">
        <v>4</v>
      </c>
      <c r="AF3029">
        <v>0</v>
      </c>
    </row>
    <row r="3030" spans="1:32" ht="15" x14ac:dyDescent="0.35">
      <c r="A3030" t="s">
        <v>6166</v>
      </c>
      <c r="B3030" s="1">
        <v>45787</v>
      </c>
      <c r="C3030">
        <f>YEAR(OrdersTable[[#This Row],[Order Date]])</f>
        <v>2025</v>
      </c>
      <c r="D3030" s="2">
        <f>DATE(YEAR(OrdersTable[[#This Row],[Order Date]]),MONTH(OrdersTable[[#This Row],[Order Date]]),1)</f>
        <v>45778</v>
      </c>
      <c r="E3030">
        <f>MONTH(OrdersTable[[#This Row],[Order Date]])</f>
        <v>5</v>
      </c>
      <c r="F3030" t="s">
        <v>1615</v>
      </c>
      <c r="G3030" t="str">
        <f>IF(OrdersTable[[#This Row],[Order Date]]=_xlfn.MINIFS(Order_Date, Customer_ID, OrdersTable[[#This Row],[Customer ID]]), "New", "Repeat")</f>
        <v>Repeat</v>
      </c>
      <c r="H3030" t="s">
        <v>128</v>
      </c>
      <c r="I3030" t="str">
        <f>INDEX(State!B:B,MATCH(OrdersTable[[#This Row],[State]],State!A:A,0))</f>
        <v>DL</v>
      </c>
      <c r="J3030" t="str">
        <f>INDEX(State!C:C,MATCH(OrdersTable[[#This Row],[State Code]],State!B:B,0))</f>
        <v>North</v>
      </c>
      <c r="K3030" t="s">
        <v>129</v>
      </c>
      <c r="L3030" t="s">
        <v>65</v>
      </c>
      <c r="M3030" t="s">
        <v>125</v>
      </c>
      <c r="N3030" t="str">
        <f>INDEX(Products!B:B,MATCH(OrdersTable[[#This Row],[Product ID]],Products!A:A,0))</f>
        <v>Copper Water Bottle</v>
      </c>
      <c r="O3030" t="str">
        <f>INDEX(Products!C:C,MATCH(OrdersTable[[#This Row],[Product ID]],Products!A:A,0))</f>
        <v>Home &amp; Kitchen</v>
      </c>
      <c r="P3030">
        <v>2</v>
      </c>
      <c r="Q3030" s="5">
        <v>899</v>
      </c>
      <c r="R3030" s="74">
        <v>0.05</v>
      </c>
      <c r="S3030" s="75">
        <f>OrdersTable[[#This Row],[Quantity]]*OrdersTable[[#This Row],[Unit Price]]</f>
        <v>1798</v>
      </c>
      <c r="T3030" s="5">
        <f>OrdersTable[[#This Row],[Gross Sale]]*OrdersTable[[#This Row],[Discount_Clean2]]</f>
        <v>89.9</v>
      </c>
      <c r="U3030" s="5">
        <f>OrdersTable[[#This Row],[Gross Sale]]-OrdersTable[[#This Row],[Discount Amount]]</f>
        <v>1708.1</v>
      </c>
      <c r="V3030" s="77">
        <f>INDEX(Products!E:E,MATCH(OrdersTable[[#This Row],[Product ID]],Products!A:A,0))</f>
        <v>378</v>
      </c>
      <c r="W3030" s="77">
        <f>OrdersTable[[#This Row],[Quantity]]*OrdersTable[[#This Row],[Unit Cost]]</f>
        <v>756</v>
      </c>
      <c r="X3030" s="77">
        <f>'Dropdown Lists'!$I$2*(1+OrdersTable[[#This Row],[Returned]])</f>
        <v>60</v>
      </c>
      <c r="Y3030" s="76">
        <f>OrdersTable[[#This Row],[Net Revenue]]-OrdersTable[[#This Row],[COGS]]-OrdersTable[[#This Row],[Shipping Cost]]</f>
        <v>892.09999999999991</v>
      </c>
      <c r="Z3030" s="78">
        <f>IFERROR(OrdersTable[[#This Row],[Profit]]/OrdersTable[[#This Row],[Net Revenue]],0)</f>
        <v>0.52227621333645569</v>
      </c>
      <c r="AA3030" t="s">
        <v>18</v>
      </c>
      <c r="AB3030" s="79">
        <v>45788</v>
      </c>
      <c r="AC3030">
        <f>OrdersTable[[#This Row],[Delivery Date]]-OrdersTable[[#This Row],[Order Date]]</f>
        <v>1</v>
      </c>
      <c r="AD3030" t="str">
        <f>IF(OrdersTable[[#This Row],[Delivery Days]]&lt;=2, "Express (≤2d)", IF(OrdersTable[[#This Row],[Delivery Days]]&lt;=4, "Standard (3-4d)", "Delayed (5d+)"))</f>
        <v>Express (≤2d)</v>
      </c>
      <c r="AE3030">
        <v>4</v>
      </c>
      <c r="AF3030">
        <v>0</v>
      </c>
    </row>
    <row r="3031" spans="1:32" ht="15" x14ac:dyDescent="0.35">
      <c r="A3031" t="s">
        <v>1745</v>
      </c>
      <c r="B3031" s="1">
        <v>45787</v>
      </c>
      <c r="C3031">
        <f>YEAR(OrdersTable[[#This Row],[Order Date]])</f>
        <v>2025</v>
      </c>
      <c r="D3031" s="2">
        <f>DATE(YEAR(OrdersTable[[#This Row],[Order Date]]),MONTH(OrdersTable[[#This Row],[Order Date]]),1)</f>
        <v>45778</v>
      </c>
      <c r="E3031">
        <f>MONTH(OrdersTable[[#This Row],[Order Date]])</f>
        <v>5</v>
      </c>
      <c r="F3031" t="s">
        <v>631</v>
      </c>
      <c r="G3031" t="str">
        <f>IF(OrdersTable[[#This Row],[Order Date]]=_xlfn.MINIFS(Order_Date, Customer_ID, OrdersTable[[#This Row],[Customer ID]]), "New", "Repeat")</f>
        <v>Repeat</v>
      </c>
      <c r="H3031" t="s">
        <v>37</v>
      </c>
      <c r="I3031" t="str">
        <f>INDEX(State!B:B,MATCH(OrdersTable[[#This Row],[State]],State!A:A,0))</f>
        <v>GJ</v>
      </c>
      <c r="J3031" t="str">
        <f>INDEX(State!C:C,MATCH(OrdersTable[[#This Row],[State Code]],State!B:B,0))</f>
        <v>West</v>
      </c>
      <c r="K3031" t="s">
        <v>38</v>
      </c>
      <c r="L3031" t="s">
        <v>65</v>
      </c>
      <c r="M3031" t="s">
        <v>176</v>
      </c>
      <c r="N3031" t="str">
        <f>INDEX(Products!B:B,MATCH(OrdersTable[[#This Row],[Product ID]],Products!A:A,0))</f>
        <v>Denim Jacket</v>
      </c>
      <c r="O3031" t="str">
        <f>INDEX(Products!C:C,MATCH(OrdersTable[[#This Row],[Product ID]],Products!A:A,0))</f>
        <v>Apparel</v>
      </c>
      <c r="P3031">
        <v>1</v>
      </c>
      <c r="Q3031" s="5">
        <v>2499</v>
      </c>
      <c r="R3031" s="74">
        <v>0.05</v>
      </c>
      <c r="S3031" s="75">
        <f>OrdersTable[[#This Row],[Quantity]]*OrdersTable[[#This Row],[Unit Price]]</f>
        <v>2499</v>
      </c>
      <c r="T3031" s="5">
        <f>OrdersTable[[#This Row],[Gross Sale]]*OrdersTable[[#This Row],[Discount_Clean2]]</f>
        <v>124.95</v>
      </c>
      <c r="U3031" s="5">
        <f>OrdersTable[[#This Row],[Gross Sale]]-OrdersTable[[#This Row],[Discount Amount]]</f>
        <v>2374.0500000000002</v>
      </c>
      <c r="V3031" s="77">
        <f>INDEX(Products!E:E,MATCH(OrdersTable[[#This Row],[Product ID]],Products!A:A,0))</f>
        <v>1125</v>
      </c>
      <c r="W3031" s="77">
        <f>OrdersTable[[#This Row],[Quantity]]*OrdersTable[[#This Row],[Unit Cost]]</f>
        <v>1125</v>
      </c>
      <c r="X3031" s="77">
        <f>'Dropdown Lists'!$I$2*(1+OrdersTable[[#This Row],[Returned]])</f>
        <v>60</v>
      </c>
      <c r="Y3031" s="76">
        <f>OrdersTable[[#This Row],[Net Revenue]]-OrdersTable[[#This Row],[COGS]]-OrdersTable[[#This Row],[Shipping Cost]]</f>
        <v>1189.0500000000002</v>
      </c>
      <c r="Z3031" s="78">
        <f>IFERROR(OrdersTable[[#This Row],[Profit]]/OrdersTable[[#This Row],[Net Revenue]],0)</f>
        <v>0.50085297276805463</v>
      </c>
      <c r="AA3031" t="s">
        <v>18</v>
      </c>
      <c r="AB3031" s="79">
        <v>45789</v>
      </c>
      <c r="AC3031">
        <f>OrdersTable[[#This Row],[Delivery Date]]-OrdersTable[[#This Row],[Order Date]]</f>
        <v>2</v>
      </c>
      <c r="AD3031" t="str">
        <f>IF(OrdersTable[[#This Row],[Delivery Days]]&lt;=2, "Express (≤2d)", IF(OrdersTable[[#This Row],[Delivery Days]]&lt;=4, "Standard (3-4d)", "Delayed (5d+)"))</f>
        <v>Express (≤2d)</v>
      </c>
      <c r="AF3031">
        <v>0</v>
      </c>
    </row>
    <row r="3032" spans="1:32" ht="15" x14ac:dyDescent="0.35">
      <c r="A3032" t="s">
        <v>4280</v>
      </c>
      <c r="B3032" s="1">
        <v>45787</v>
      </c>
      <c r="C3032">
        <f>YEAR(OrdersTable[[#This Row],[Order Date]])</f>
        <v>2025</v>
      </c>
      <c r="D3032" s="2">
        <f>DATE(YEAR(OrdersTable[[#This Row],[Order Date]]),MONTH(OrdersTable[[#This Row],[Order Date]]),1)</f>
        <v>45778</v>
      </c>
      <c r="E3032">
        <f>MONTH(OrdersTable[[#This Row],[Order Date]])</f>
        <v>5</v>
      </c>
      <c r="F3032" t="s">
        <v>1557</v>
      </c>
      <c r="G3032" t="str">
        <f>IF(OrdersTable[[#This Row],[Order Date]]=_xlfn.MINIFS(Order_Date, Customer_ID, OrdersTable[[#This Row],[Customer ID]]), "New", "Repeat")</f>
        <v>Repeat</v>
      </c>
      <c r="H3032" t="s">
        <v>95</v>
      </c>
      <c r="I3032" t="str">
        <f>INDEX(State!B:B,MATCH(OrdersTable[[#This Row],[State]],State!A:A,0))</f>
        <v>TG</v>
      </c>
      <c r="J3032" t="str">
        <f>INDEX(State!C:C,MATCH(OrdersTable[[#This Row],[State Code]],State!B:B,0))</f>
        <v>South</v>
      </c>
      <c r="K3032" t="s">
        <v>96</v>
      </c>
      <c r="L3032" t="s">
        <v>23</v>
      </c>
      <c r="M3032" t="s">
        <v>565</v>
      </c>
      <c r="N3032" t="str">
        <f>INDEX(Products!B:B,MATCH(OrdersTable[[#This Row],[Product ID]],Products!A:A,0))</f>
        <v>Ceramic Dinner Set</v>
      </c>
      <c r="O3032" t="str">
        <f>INDEX(Products!C:C,MATCH(OrdersTable[[#This Row],[Product ID]],Products!A:A,0))</f>
        <v>Home &amp; Kitchen</v>
      </c>
      <c r="P3032">
        <v>1</v>
      </c>
      <c r="Q3032" s="5">
        <v>2499</v>
      </c>
      <c r="R3032" s="74">
        <v>0.35</v>
      </c>
      <c r="S3032" s="75">
        <f>OrdersTable[[#This Row],[Quantity]]*OrdersTable[[#This Row],[Unit Price]]</f>
        <v>2499</v>
      </c>
      <c r="T3032" s="5">
        <f>OrdersTable[[#This Row],[Gross Sale]]*OrdersTable[[#This Row],[Discount_Clean2]]</f>
        <v>874.65</v>
      </c>
      <c r="U3032" s="5">
        <f>OrdersTable[[#This Row],[Gross Sale]]-OrdersTable[[#This Row],[Discount Amount]]</f>
        <v>1624.35</v>
      </c>
      <c r="V3032" s="77">
        <f>INDEX(Products!E:E,MATCH(OrdersTable[[#This Row],[Product ID]],Products!A:A,0))</f>
        <v>1250</v>
      </c>
      <c r="W3032" s="77">
        <f>OrdersTable[[#This Row],[Quantity]]*OrdersTable[[#This Row],[Unit Cost]]</f>
        <v>1250</v>
      </c>
      <c r="X3032" s="77">
        <f>'Dropdown Lists'!$I$2*(1+OrdersTable[[#This Row],[Returned]])</f>
        <v>60</v>
      </c>
      <c r="Y3032" s="76">
        <f>OrdersTable[[#This Row],[Net Revenue]]-OrdersTable[[#This Row],[COGS]]-OrdersTable[[#This Row],[Shipping Cost]]</f>
        <v>314.34999999999991</v>
      </c>
      <c r="Z3032" s="78">
        <f>IFERROR(OrdersTable[[#This Row],[Profit]]/OrdersTable[[#This Row],[Net Revenue]],0)</f>
        <v>0.19352356327146239</v>
      </c>
      <c r="AA3032" t="s">
        <v>4074</v>
      </c>
      <c r="AB3032" s="79">
        <v>45789</v>
      </c>
      <c r="AC3032">
        <f>OrdersTable[[#This Row],[Delivery Date]]-OrdersTable[[#This Row],[Order Date]]</f>
        <v>2</v>
      </c>
      <c r="AD3032" t="str">
        <f>IF(OrdersTable[[#This Row],[Delivery Days]]&lt;=2, "Express (≤2d)", IF(OrdersTable[[#This Row],[Delivery Days]]&lt;=4, "Standard (3-4d)", "Delayed (5d+)"))</f>
        <v>Express (≤2d)</v>
      </c>
      <c r="AF3032">
        <v>0</v>
      </c>
    </row>
    <row r="3033" spans="1:32" ht="15" x14ac:dyDescent="0.35">
      <c r="A3033" t="s">
        <v>7007</v>
      </c>
      <c r="B3033" s="1">
        <v>45787</v>
      </c>
      <c r="C3033">
        <f>YEAR(OrdersTable[[#This Row],[Order Date]])</f>
        <v>2025</v>
      </c>
      <c r="D3033" s="2">
        <f>DATE(YEAR(OrdersTable[[#This Row],[Order Date]]),MONTH(OrdersTable[[#This Row],[Order Date]]),1)</f>
        <v>45778</v>
      </c>
      <c r="E3033">
        <f>MONTH(OrdersTable[[#This Row],[Order Date]])</f>
        <v>5</v>
      </c>
      <c r="F3033" t="s">
        <v>7008</v>
      </c>
      <c r="G3033" t="str">
        <f>IF(OrdersTable[[#This Row],[Order Date]]=_xlfn.MINIFS(Order_Date, Customer_ID, OrdersTable[[#This Row],[Customer ID]]), "New", "Repeat")</f>
        <v>New</v>
      </c>
      <c r="H3033" t="s">
        <v>95</v>
      </c>
      <c r="I3033" t="str">
        <f>INDEX(State!B:B,MATCH(OrdersTable[[#This Row],[State]],State!A:A,0))</f>
        <v>TG</v>
      </c>
      <c r="J3033" t="str">
        <f>INDEX(State!C:C,MATCH(OrdersTable[[#This Row],[State Code]],State!B:B,0))</f>
        <v>South</v>
      </c>
      <c r="K3033" t="s">
        <v>96</v>
      </c>
      <c r="L3033" t="s">
        <v>65</v>
      </c>
      <c r="M3033" t="s">
        <v>152</v>
      </c>
      <c r="N3033" t="str">
        <f>INDEX(Products!B:B,MATCH(OrdersTable[[#This Row],[Product ID]],Products!A:A,0))</f>
        <v>Green Tea (100 bags)</v>
      </c>
      <c r="O3033" t="str">
        <f>INDEX(Products!C:C,MATCH(OrdersTable[[#This Row],[Product ID]],Products!A:A,0))</f>
        <v>Wellness</v>
      </c>
      <c r="P3033">
        <v>4</v>
      </c>
      <c r="Q3033" s="5">
        <v>399</v>
      </c>
      <c r="R3033" s="74">
        <v>0.4</v>
      </c>
      <c r="S3033" s="75">
        <f>OrdersTable[[#This Row],[Quantity]]*OrdersTable[[#This Row],[Unit Price]]</f>
        <v>1596</v>
      </c>
      <c r="T3033" s="5">
        <f>OrdersTable[[#This Row],[Gross Sale]]*OrdersTable[[#This Row],[Discount_Clean2]]</f>
        <v>638.40000000000009</v>
      </c>
      <c r="U3033" s="5">
        <f>OrdersTable[[#This Row],[Gross Sale]]-OrdersTable[[#This Row],[Discount Amount]]</f>
        <v>957.59999999999991</v>
      </c>
      <c r="V3033" s="77">
        <f>INDEX(Products!E:E,MATCH(OrdersTable[[#This Row],[Product ID]],Products!A:A,0))</f>
        <v>128</v>
      </c>
      <c r="W3033" s="77">
        <f>OrdersTable[[#This Row],[Quantity]]*OrdersTable[[#This Row],[Unit Cost]]</f>
        <v>512</v>
      </c>
      <c r="X3033" s="77">
        <f>'Dropdown Lists'!$I$2*(1+OrdersTable[[#This Row],[Returned]])</f>
        <v>60</v>
      </c>
      <c r="Y3033" s="76">
        <f>OrdersTable[[#This Row],[Net Revenue]]-OrdersTable[[#This Row],[COGS]]-OrdersTable[[#This Row],[Shipping Cost]]</f>
        <v>385.59999999999991</v>
      </c>
      <c r="Z3033" s="78">
        <f>IFERROR(OrdersTable[[#This Row],[Profit]]/OrdersTable[[#This Row],[Net Revenue]],0)</f>
        <v>0.40267335004177102</v>
      </c>
      <c r="AA3033" t="s">
        <v>2522</v>
      </c>
      <c r="AB3033" s="79">
        <v>45791</v>
      </c>
      <c r="AC3033">
        <f>OrdersTable[[#This Row],[Delivery Date]]-OrdersTable[[#This Row],[Order Date]]</f>
        <v>4</v>
      </c>
      <c r="AD3033" t="str">
        <f>IF(OrdersTable[[#This Row],[Delivery Days]]&lt;=2, "Express (≤2d)", IF(OrdersTable[[#This Row],[Delivery Days]]&lt;=4, "Standard (3-4d)", "Delayed (5d+)"))</f>
        <v>Standard (3-4d)</v>
      </c>
      <c r="AE3033">
        <v>3</v>
      </c>
      <c r="AF3033">
        <v>0</v>
      </c>
    </row>
    <row r="3034" spans="1:32" ht="15" x14ac:dyDescent="0.35">
      <c r="A3034" t="s">
        <v>4281</v>
      </c>
      <c r="B3034" s="1">
        <v>45787</v>
      </c>
      <c r="C3034">
        <f>YEAR(OrdersTable[[#This Row],[Order Date]])</f>
        <v>2025</v>
      </c>
      <c r="D3034" s="2">
        <f>DATE(YEAR(OrdersTable[[#This Row],[Order Date]]),MONTH(OrdersTable[[#This Row],[Order Date]]),1)</f>
        <v>45778</v>
      </c>
      <c r="E3034">
        <f>MONTH(OrdersTable[[#This Row],[Order Date]])</f>
        <v>5</v>
      </c>
      <c r="F3034" t="s">
        <v>4240</v>
      </c>
      <c r="G3034" t="str">
        <f>IF(OrdersTable[[#This Row],[Order Date]]=_xlfn.MINIFS(Order_Date, Customer_ID, OrdersTable[[#This Row],[Customer ID]]), "New", "Repeat")</f>
        <v>Repeat</v>
      </c>
      <c r="H3034" t="s">
        <v>90</v>
      </c>
      <c r="I3034" t="str">
        <f>INDEX(State!B:B,MATCH(OrdersTable[[#This Row],[State]],State!A:A,0))</f>
        <v>GA</v>
      </c>
      <c r="J3034" t="str">
        <f>INDEX(State!C:C,MATCH(OrdersTable[[#This Row],[State Code]],State!B:B,0))</f>
        <v>West</v>
      </c>
      <c r="K3034" t="s">
        <v>91</v>
      </c>
      <c r="L3034" t="s">
        <v>39</v>
      </c>
      <c r="M3034" t="s">
        <v>228</v>
      </c>
      <c r="N3034" t="str">
        <f>INDEX(Products!B:B,MATCH(OrdersTable[[#This Row],[Product ID]],Products!A:A,0))</f>
        <v>Fast Charger 33W</v>
      </c>
      <c r="O3034" t="str">
        <f>INDEX(Products!C:C,MATCH(OrdersTable[[#This Row],[Product ID]],Products!A:A,0))</f>
        <v>Electronics</v>
      </c>
      <c r="P3034">
        <v>1</v>
      </c>
      <c r="Q3034" s="5">
        <v>899</v>
      </c>
      <c r="R3034" s="74">
        <v>0.05</v>
      </c>
      <c r="S3034" s="75">
        <f>OrdersTable[[#This Row],[Quantity]]*OrdersTable[[#This Row],[Unit Price]]</f>
        <v>899</v>
      </c>
      <c r="T3034" s="5">
        <f>OrdersTable[[#This Row],[Gross Sale]]*OrdersTable[[#This Row],[Discount_Clean2]]</f>
        <v>44.95</v>
      </c>
      <c r="U3034" s="5">
        <f>OrdersTable[[#This Row],[Gross Sale]]-OrdersTable[[#This Row],[Discount Amount]]</f>
        <v>854.05</v>
      </c>
      <c r="V3034" s="77">
        <f>INDEX(Products!E:E,MATCH(OrdersTable[[#This Row],[Product ID]],Products!A:A,0))</f>
        <v>494</v>
      </c>
      <c r="W3034" s="77">
        <f>OrdersTable[[#This Row],[Quantity]]*OrdersTable[[#This Row],[Unit Cost]]</f>
        <v>494</v>
      </c>
      <c r="X3034" s="77">
        <f>'Dropdown Lists'!$I$2*(1+OrdersTable[[#This Row],[Returned]])</f>
        <v>60</v>
      </c>
      <c r="Y3034" s="76">
        <f>OrdersTable[[#This Row],[Net Revenue]]-OrdersTable[[#This Row],[COGS]]-OrdersTable[[#This Row],[Shipping Cost]]</f>
        <v>300.04999999999995</v>
      </c>
      <c r="Z3034" s="78">
        <f>IFERROR(OrdersTable[[#This Row],[Profit]]/OrdersTable[[#This Row],[Net Revenue]],0)</f>
        <v>0.35132603477548152</v>
      </c>
      <c r="AA3034" t="s">
        <v>4074</v>
      </c>
      <c r="AB3034" s="79">
        <v>45793</v>
      </c>
      <c r="AC3034">
        <f>OrdersTable[[#This Row],[Delivery Date]]-OrdersTable[[#This Row],[Order Date]]</f>
        <v>6</v>
      </c>
      <c r="AD3034" t="str">
        <f>IF(OrdersTable[[#This Row],[Delivery Days]]&lt;=2, "Express (≤2d)", IF(OrdersTable[[#This Row],[Delivery Days]]&lt;=4, "Standard (3-4d)", "Delayed (5d+)"))</f>
        <v>Delayed (5d+)</v>
      </c>
      <c r="AF3034">
        <v>0</v>
      </c>
    </row>
    <row r="3035" spans="1:32" ht="15" x14ac:dyDescent="0.35">
      <c r="A3035" t="s">
        <v>5415</v>
      </c>
      <c r="B3035" s="1">
        <v>45787</v>
      </c>
      <c r="C3035">
        <f>YEAR(OrdersTable[[#This Row],[Order Date]])</f>
        <v>2025</v>
      </c>
      <c r="D3035" s="2">
        <f>DATE(YEAR(OrdersTable[[#This Row],[Order Date]]),MONTH(OrdersTable[[#This Row],[Order Date]]),1)</f>
        <v>45778</v>
      </c>
      <c r="E3035">
        <f>MONTH(OrdersTable[[#This Row],[Order Date]])</f>
        <v>5</v>
      </c>
      <c r="F3035" t="s">
        <v>5192</v>
      </c>
      <c r="G3035" t="str">
        <f>IF(OrdersTable[[#This Row],[Order Date]]=_xlfn.MINIFS(Order_Date, Customer_ID, OrdersTable[[#This Row],[Customer ID]]), "New", "Repeat")</f>
        <v>Repeat</v>
      </c>
      <c r="H3035" t="s">
        <v>167</v>
      </c>
      <c r="I3035" t="str">
        <f>INDEX(State!B:B,MATCH(OrdersTable[[#This Row],[State]],State!A:A,0))</f>
        <v>KA</v>
      </c>
      <c r="J3035" t="str">
        <f>INDEX(State!C:C,MATCH(OrdersTable[[#This Row],[State Code]],State!B:B,0))</f>
        <v>South</v>
      </c>
      <c r="K3035" t="s">
        <v>168</v>
      </c>
      <c r="L3035" t="s">
        <v>16</v>
      </c>
      <c r="M3035" t="s">
        <v>87</v>
      </c>
      <c r="N3035" t="str">
        <f>INDEX(Products!B:B,MATCH(OrdersTable[[#This Row],[Product ID]],Products!A:A,0))</f>
        <v>Linen Kurta</v>
      </c>
      <c r="O3035" t="str">
        <f>INDEX(Products!C:C,MATCH(OrdersTable[[#This Row],[Product ID]],Products!A:A,0))</f>
        <v>Apparel</v>
      </c>
      <c r="P3035">
        <v>2</v>
      </c>
      <c r="Q3035" s="5">
        <v>1499</v>
      </c>
      <c r="R3035" s="74">
        <v>0.35</v>
      </c>
      <c r="S3035" s="75">
        <f>OrdersTable[[#This Row],[Quantity]]*OrdersTable[[#This Row],[Unit Price]]</f>
        <v>2998</v>
      </c>
      <c r="T3035" s="5">
        <f>OrdersTable[[#This Row],[Gross Sale]]*OrdersTable[[#This Row],[Discount_Clean2]]</f>
        <v>1049.3</v>
      </c>
      <c r="U3035" s="5">
        <f>OrdersTable[[#This Row],[Gross Sale]]-OrdersTable[[#This Row],[Discount Amount]]</f>
        <v>1948.7</v>
      </c>
      <c r="V3035" s="77">
        <f>INDEX(Products!E:E,MATCH(OrdersTable[[#This Row],[Product ID]],Products!A:A,0))</f>
        <v>630</v>
      </c>
      <c r="W3035" s="77">
        <f>OrdersTable[[#This Row],[Quantity]]*OrdersTable[[#This Row],[Unit Cost]]</f>
        <v>1260</v>
      </c>
      <c r="X3035" s="77">
        <f>'Dropdown Lists'!$I$2*(1+OrdersTable[[#This Row],[Returned]])</f>
        <v>60</v>
      </c>
      <c r="Y3035" s="76">
        <f>OrdersTable[[#This Row],[Net Revenue]]-OrdersTable[[#This Row],[COGS]]-OrdersTable[[#This Row],[Shipping Cost]]</f>
        <v>628.70000000000005</v>
      </c>
      <c r="Z3035" s="78">
        <f>IFERROR(OrdersTable[[#This Row],[Profit]]/OrdersTable[[#This Row],[Net Revenue]],0)</f>
        <v>0.32262533997023657</v>
      </c>
      <c r="AA3035" t="s">
        <v>2522</v>
      </c>
      <c r="AB3035" s="79">
        <v>45788</v>
      </c>
      <c r="AC3035">
        <f>OrdersTable[[#This Row],[Delivery Date]]-OrdersTable[[#This Row],[Order Date]]</f>
        <v>1</v>
      </c>
      <c r="AD3035" t="str">
        <f>IF(OrdersTable[[#This Row],[Delivery Days]]&lt;=2, "Express (≤2d)", IF(OrdersTable[[#This Row],[Delivery Days]]&lt;=4, "Standard (3-4d)", "Delayed (5d+)"))</f>
        <v>Express (≤2d)</v>
      </c>
      <c r="AF3035">
        <v>0</v>
      </c>
    </row>
    <row r="3036" spans="1:32" ht="15" x14ac:dyDescent="0.35">
      <c r="A3036" t="s">
        <v>1559</v>
      </c>
      <c r="B3036" s="1">
        <v>45787</v>
      </c>
      <c r="C3036">
        <f>YEAR(OrdersTable[[#This Row],[Order Date]])</f>
        <v>2025</v>
      </c>
      <c r="D3036" s="2">
        <f>DATE(YEAR(OrdersTable[[#This Row],[Order Date]]),MONTH(OrdersTable[[#This Row],[Order Date]]),1)</f>
        <v>45778</v>
      </c>
      <c r="E3036">
        <f>MONTH(OrdersTable[[#This Row],[Order Date]])</f>
        <v>5</v>
      </c>
      <c r="F3036" t="s">
        <v>1560</v>
      </c>
      <c r="G3036" t="str">
        <f>IF(OrdersTable[[#This Row],[Order Date]]=_xlfn.MINIFS(Order_Date, Customer_ID, OrdersTable[[#This Row],[Customer ID]]), "New", "Repeat")</f>
        <v>Repeat</v>
      </c>
      <c r="H3036" t="s">
        <v>59</v>
      </c>
      <c r="I3036" t="str">
        <f>INDEX(State!B:B,MATCH(OrdersTable[[#This Row],[State]],State!A:A,0))</f>
        <v>TN</v>
      </c>
      <c r="J3036" t="str">
        <f>INDEX(State!C:C,MATCH(OrdersTable[[#This Row],[State Code]],State!B:B,0))</f>
        <v>South</v>
      </c>
      <c r="K3036" t="s">
        <v>64</v>
      </c>
      <c r="L3036" t="s">
        <v>39</v>
      </c>
      <c r="M3036" t="s">
        <v>84</v>
      </c>
      <c r="N3036" t="str">
        <f>INDEX(Products!B:B,MATCH(OrdersTable[[#This Row],[Product ID]],Products!A:A,0))</f>
        <v>Cotton Bedsheet</v>
      </c>
      <c r="O3036" t="str">
        <f>INDEX(Products!C:C,MATCH(OrdersTable[[#This Row],[Product ID]],Products!A:A,0))</f>
        <v>Home &amp; Kitchen</v>
      </c>
      <c r="P3036">
        <v>1</v>
      </c>
      <c r="Q3036" s="5">
        <v>1299</v>
      </c>
      <c r="R3036" s="74">
        <v>0.05</v>
      </c>
      <c r="S3036" s="75">
        <f>OrdersTable[[#This Row],[Quantity]]*OrdersTable[[#This Row],[Unit Price]]</f>
        <v>1299</v>
      </c>
      <c r="T3036" s="5">
        <f>OrdersTable[[#This Row],[Gross Sale]]*OrdersTable[[#This Row],[Discount_Clean2]]</f>
        <v>64.95</v>
      </c>
      <c r="U3036" s="5">
        <f>OrdersTable[[#This Row],[Gross Sale]]-OrdersTable[[#This Row],[Discount Amount]]</f>
        <v>1234.05</v>
      </c>
      <c r="V3036" s="77">
        <f>INDEX(Products!E:E,MATCH(OrdersTable[[#This Row],[Product ID]],Products!A:A,0))</f>
        <v>585</v>
      </c>
      <c r="W3036" s="77">
        <f>OrdersTable[[#This Row],[Quantity]]*OrdersTable[[#This Row],[Unit Cost]]</f>
        <v>585</v>
      </c>
      <c r="X3036" s="77">
        <f>'Dropdown Lists'!$I$2*(1+OrdersTable[[#This Row],[Returned]])</f>
        <v>60</v>
      </c>
      <c r="Y3036" s="76">
        <f>OrdersTable[[#This Row],[Net Revenue]]-OrdersTable[[#This Row],[COGS]]-OrdersTable[[#This Row],[Shipping Cost]]</f>
        <v>589.04999999999995</v>
      </c>
      <c r="Z3036" s="78">
        <f>IFERROR(OrdersTable[[#This Row],[Profit]]/OrdersTable[[#This Row],[Net Revenue]],0)</f>
        <v>0.47733074024553296</v>
      </c>
      <c r="AA3036" t="s">
        <v>18</v>
      </c>
      <c r="AB3036" s="79">
        <v>45790</v>
      </c>
      <c r="AC3036">
        <f>OrdersTable[[#This Row],[Delivery Date]]-OrdersTable[[#This Row],[Order Date]]</f>
        <v>3</v>
      </c>
      <c r="AD3036" t="str">
        <f>IF(OrdersTable[[#This Row],[Delivery Days]]&lt;=2, "Express (≤2d)", IF(OrdersTable[[#This Row],[Delivery Days]]&lt;=4, "Standard (3-4d)", "Delayed (5d+)"))</f>
        <v>Standard (3-4d)</v>
      </c>
      <c r="AF3036">
        <v>0</v>
      </c>
    </row>
    <row r="3037" spans="1:32" ht="15" x14ac:dyDescent="0.35">
      <c r="A3037" t="s">
        <v>5711</v>
      </c>
      <c r="B3037" s="1">
        <v>45788</v>
      </c>
      <c r="C3037">
        <f>YEAR(OrdersTable[[#This Row],[Order Date]])</f>
        <v>2025</v>
      </c>
      <c r="D3037" s="2">
        <f>DATE(YEAR(OrdersTable[[#This Row],[Order Date]]),MONTH(OrdersTable[[#This Row],[Order Date]]),1)</f>
        <v>45778</v>
      </c>
      <c r="E3037">
        <f>MONTH(OrdersTable[[#This Row],[Order Date]])</f>
        <v>5</v>
      </c>
      <c r="F3037" t="s">
        <v>2094</v>
      </c>
      <c r="G3037" t="str">
        <f>IF(OrdersTable[[#This Row],[Order Date]]=_xlfn.MINIFS(Order_Date, Customer_ID, OrdersTable[[#This Row],[Customer ID]]), "New", "Repeat")</f>
        <v>Repeat</v>
      </c>
      <c r="H3037" t="s">
        <v>54</v>
      </c>
      <c r="I3037" t="str">
        <f>INDEX(State!B:B,MATCH(OrdersTable[[#This Row],[State]],State!A:A,0))</f>
        <v>RJ</v>
      </c>
      <c r="J3037" t="str">
        <f>INDEX(State!C:C,MATCH(OrdersTable[[#This Row],[State Code]],State!B:B,0))</f>
        <v>North</v>
      </c>
      <c r="K3037" t="s">
        <v>227</v>
      </c>
      <c r="L3037" t="s">
        <v>65</v>
      </c>
      <c r="M3037" t="s">
        <v>565</v>
      </c>
      <c r="N3037" t="str">
        <f>INDEX(Products!B:B,MATCH(OrdersTable[[#This Row],[Product ID]],Products!A:A,0))</f>
        <v>Ceramic Dinner Set</v>
      </c>
      <c r="O3037" t="str">
        <f>INDEX(Products!C:C,MATCH(OrdersTable[[#This Row],[Product ID]],Products!A:A,0))</f>
        <v>Home &amp; Kitchen</v>
      </c>
      <c r="P3037">
        <v>2</v>
      </c>
      <c r="Q3037" s="5">
        <v>2499</v>
      </c>
      <c r="R3037" s="74">
        <v>0.3</v>
      </c>
      <c r="S3037" s="75">
        <f>OrdersTable[[#This Row],[Quantity]]*OrdersTable[[#This Row],[Unit Price]]</f>
        <v>4998</v>
      </c>
      <c r="T3037" s="5">
        <f>OrdersTable[[#This Row],[Gross Sale]]*OrdersTable[[#This Row],[Discount_Clean2]]</f>
        <v>1499.3999999999999</v>
      </c>
      <c r="U3037" s="5">
        <f>OrdersTable[[#This Row],[Gross Sale]]-OrdersTable[[#This Row],[Discount Amount]]</f>
        <v>3498.6000000000004</v>
      </c>
      <c r="V3037" s="77">
        <f>INDEX(Products!E:E,MATCH(OrdersTable[[#This Row],[Product ID]],Products!A:A,0))</f>
        <v>1250</v>
      </c>
      <c r="W3037" s="77">
        <f>OrdersTable[[#This Row],[Quantity]]*OrdersTable[[#This Row],[Unit Cost]]</f>
        <v>2500</v>
      </c>
      <c r="X3037" s="77">
        <f>'Dropdown Lists'!$I$2*(1+OrdersTable[[#This Row],[Returned]])</f>
        <v>60</v>
      </c>
      <c r="Y3037" s="76">
        <f>OrdersTable[[#This Row],[Net Revenue]]-OrdersTable[[#This Row],[COGS]]-OrdersTable[[#This Row],[Shipping Cost]]</f>
        <v>938.60000000000036</v>
      </c>
      <c r="Z3037" s="78">
        <f>IFERROR(OrdersTable[[#This Row],[Profit]]/OrdersTable[[#This Row],[Net Revenue]],0)</f>
        <v>0.26827874006745561</v>
      </c>
      <c r="AA3037" t="s">
        <v>18</v>
      </c>
      <c r="AB3037" s="79">
        <v>45792</v>
      </c>
      <c r="AC3037">
        <f>OrdersTable[[#This Row],[Delivery Date]]-OrdersTable[[#This Row],[Order Date]]</f>
        <v>4</v>
      </c>
      <c r="AD3037" t="str">
        <f>IF(OrdersTable[[#This Row],[Delivery Days]]&lt;=2, "Express (≤2d)", IF(OrdersTable[[#This Row],[Delivery Days]]&lt;=4, "Standard (3-4d)", "Delayed (5d+)"))</f>
        <v>Standard (3-4d)</v>
      </c>
      <c r="AE3037">
        <v>3</v>
      </c>
      <c r="AF3037">
        <v>0</v>
      </c>
    </row>
    <row r="3038" spans="1:32" ht="15" x14ac:dyDescent="0.35">
      <c r="A3038" t="s">
        <v>3281</v>
      </c>
      <c r="B3038" s="1">
        <v>45788</v>
      </c>
      <c r="C3038">
        <f>YEAR(OrdersTable[[#This Row],[Order Date]])</f>
        <v>2025</v>
      </c>
      <c r="D3038" s="2">
        <f>DATE(YEAR(OrdersTable[[#This Row],[Order Date]]),MONTH(OrdersTable[[#This Row],[Order Date]]),1)</f>
        <v>45778</v>
      </c>
      <c r="E3038">
        <f>MONTH(OrdersTable[[#This Row],[Order Date]])</f>
        <v>5</v>
      </c>
      <c r="F3038" t="s">
        <v>2826</v>
      </c>
      <c r="G3038" t="str">
        <f>IF(OrdersTable[[#This Row],[Order Date]]=_xlfn.MINIFS(Order_Date, Customer_ID, OrdersTable[[#This Row],[Customer ID]]), "New", "Repeat")</f>
        <v>New</v>
      </c>
      <c r="H3038" t="s">
        <v>128</v>
      </c>
      <c r="I3038" t="str">
        <f>INDEX(State!B:B,MATCH(OrdersTable[[#This Row],[State]],State!A:A,0))</f>
        <v>DL</v>
      </c>
      <c r="J3038" t="str">
        <f>INDEX(State!C:C,MATCH(OrdersTable[[#This Row],[State Code]],State!B:B,0))</f>
        <v>North</v>
      </c>
      <c r="K3038" t="s">
        <v>129</v>
      </c>
      <c r="L3038" t="s">
        <v>23</v>
      </c>
      <c r="M3038" t="s">
        <v>29</v>
      </c>
      <c r="N3038" t="str">
        <f>INDEX(Products!B:B,MATCH(OrdersTable[[#This Row],[Product ID]],Products!A:A,0))</f>
        <v>Joggers</v>
      </c>
      <c r="O3038" t="str">
        <f>INDEX(Products!C:C,MATCH(OrdersTable[[#This Row],[Product ID]],Products!A:A,0))</f>
        <v>Apparel</v>
      </c>
      <c r="P3038">
        <v>1</v>
      </c>
      <c r="Q3038" s="5">
        <v>1199</v>
      </c>
      <c r="R3038" s="74">
        <v>0.15</v>
      </c>
      <c r="S3038" s="75">
        <f>OrdersTable[[#This Row],[Quantity]]*OrdersTable[[#This Row],[Unit Price]]</f>
        <v>1199</v>
      </c>
      <c r="T3038" s="5">
        <f>OrdersTable[[#This Row],[Gross Sale]]*OrdersTable[[#This Row],[Discount_Clean2]]</f>
        <v>179.85</v>
      </c>
      <c r="U3038" s="5">
        <f>OrdersTable[[#This Row],[Gross Sale]]-OrdersTable[[#This Row],[Discount Amount]]</f>
        <v>1019.15</v>
      </c>
      <c r="V3038" s="77">
        <f>INDEX(Products!E:E,MATCH(OrdersTable[[#This Row],[Product ID]],Products!A:A,0))</f>
        <v>492</v>
      </c>
      <c r="W3038" s="77">
        <f>OrdersTable[[#This Row],[Quantity]]*OrdersTable[[#This Row],[Unit Cost]]</f>
        <v>492</v>
      </c>
      <c r="X3038" s="77">
        <f>'Dropdown Lists'!$I$2*(1+OrdersTable[[#This Row],[Returned]])</f>
        <v>60</v>
      </c>
      <c r="Y3038" s="76">
        <f>OrdersTable[[#This Row],[Net Revenue]]-OrdersTable[[#This Row],[COGS]]-OrdersTable[[#This Row],[Shipping Cost]]</f>
        <v>467.15</v>
      </c>
      <c r="Z3038" s="78">
        <f>IFERROR(OrdersTable[[#This Row],[Profit]]/OrdersTable[[#This Row],[Net Revenue]],0)</f>
        <v>0.45837217288917231</v>
      </c>
      <c r="AA3038" t="s">
        <v>2522</v>
      </c>
      <c r="AB3038" s="79">
        <v>45789</v>
      </c>
      <c r="AC3038">
        <f>OrdersTable[[#This Row],[Delivery Date]]-OrdersTable[[#This Row],[Order Date]]</f>
        <v>1</v>
      </c>
      <c r="AD3038" t="str">
        <f>IF(OrdersTable[[#This Row],[Delivery Days]]&lt;=2, "Express (≤2d)", IF(OrdersTable[[#This Row],[Delivery Days]]&lt;=4, "Standard (3-4d)", "Delayed (5d+)"))</f>
        <v>Express (≤2d)</v>
      </c>
      <c r="AE3038">
        <v>4</v>
      </c>
      <c r="AF3038">
        <v>0</v>
      </c>
    </row>
    <row r="3039" spans="1:32" ht="15" x14ac:dyDescent="0.35">
      <c r="A3039" t="s">
        <v>4608</v>
      </c>
      <c r="B3039" s="1">
        <v>45788</v>
      </c>
      <c r="C3039">
        <f>YEAR(OrdersTable[[#This Row],[Order Date]])</f>
        <v>2025</v>
      </c>
      <c r="D3039" s="2">
        <f>DATE(YEAR(OrdersTable[[#This Row],[Order Date]]),MONTH(OrdersTable[[#This Row],[Order Date]]),1)</f>
        <v>45778</v>
      </c>
      <c r="E3039">
        <f>MONTH(OrdersTable[[#This Row],[Order Date]])</f>
        <v>5</v>
      </c>
      <c r="F3039" t="s">
        <v>1535</v>
      </c>
      <c r="G3039" t="str">
        <f>IF(OrdersTable[[#This Row],[Order Date]]=_xlfn.MINIFS(Order_Date, Customer_ID, OrdersTable[[#This Row],[Customer ID]]), "New", "Repeat")</f>
        <v>Repeat</v>
      </c>
      <c r="H3039" t="s">
        <v>76</v>
      </c>
      <c r="I3039" t="str">
        <f>INDEX(State!B:B,MATCH(OrdersTable[[#This Row],[State]],State!A:A,0))</f>
        <v>UP</v>
      </c>
      <c r="J3039" t="str">
        <f>INDEX(State!C:C,MATCH(OrdersTable[[#This Row],[State Code]],State!B:B,0))</f>
        <v>North</v>
      </c>
      <c r="K3039" t="s">
        <v>118</v>
      </c>
      <c r="L3039" t="s">
        <v>65</v>
      </c>
      <c r="M3039" t="s">
        <v>228</v>
      </c>
      <c r="N3039" t="str">
        <f>INDEX(Products!B:B,MATCH(OrdersTable[[#This Row],[Product ID]],Products!A:A,0))</f>
        <v>Fast Charger 33W</v>
      </c>
      <c r="O3039" t="str">
        <f>INDEX(Products!C:C,MATCH(OrdersTable[[#This Row],[Product ID]],Products!A:A,0))</f>
        <v>Electronics</v>
      </c>
      <c r="P3039">
        <v>1</v>
      </c>
      <c r="Q3039" s="5">
        <v>899</v>
      </c>
      <c r="R3039" s="74">
        <v>0.05</v>
      </c>
      <c r="S3039" s="75">
        <f>OrdersTable[[#This Row],[Quantity]]*OrdersTable[[#This Row],[Unit Price]]</f>
        <v>899</v>
      </c>
      <c r="T3039" s="5">
        <f>OrdersTable[[#This Row],[Gross Sale]]*OrdersTable[[#This Row],[Discount_Clean2]]</f>
        <v>44.95</v>
      </c>
      <c r="U3039" s="5">
        <f>OrdersTable[[#This Row],[Gross Sale]]-OrdersTable[[#This Row],[Discount Amount]]</f>
        <v>854.05</v>
      </c>
      <c r="V3039" s="77">
        <f>INDEX(Products!E:E,MATCH(OrdersTable[[#This Row],[Product ID]],Products!A:A,0))</f>
        <v>494</v>
      </c>
      <c r="W3039" s="77">
        <f>OrdersTable[[#This Row],[Quantity]]*OrdersTable[[#This Row],[Unit Cost]]</f>
        <v>494</v>
      </c>
      <c r="X3039" s="77">
        <f>'Dropdown Lists'!$I$2*(1+OrdersTable[[#This Row],[Returned]])</f>
        <v>60</v>
      </c>
      <c r="Y3039" s="76">
        <f>OrdersTable[[#This Row],[Net Revenue]]-OrdersTable[[#This Row],[COGS]]-OrdersTable[[#This Row],[Shipping Cost]]</f>
        <v>300.04999999999995</v>
      </c>
      <c r="Z3039" s="78">
        <f>IFERROR(OrdersTable[[#This Row],[Profit]]/OrdersTable[[#This Row],[Net Revenue]],0)</f>
        <v>0.35132603477548152</v>
      </c>
      <c r="AA3039" t="s">
        <v>4450</v>
      </c>
      <c r="AB3039" s="79">
        <v>45793</v>
      </c>
      <c r="AC3039">
        <f>OrdersTable[[#This Row],[Delivery Date]]-OrdersTable[[#This Row],[Order Date]]</f>
        <v>5</v>
      </c>
      <c r="AD3039" t="str">
        <f>IF(OrdersTable[[#This Row],[Delivery Days]]&lt;=2, "Express (≤2d)", IF(OrdersTable[[#This Row],[Delivery Days]]&lt;=4, "Standard (3-4d)", "Delayed (5d+)"))</f>
        <v>Delayed (5d+)</v>
      </c>
      <c r="AF3039">
        <v>0</v>
      </c>
    </row>
    <row r="3040" spans="1:32" ht="15" x14ac:dyDescent="0.35">
      <c r="A3040" t="s">
        <v>2405</v>
      </c>
      <c r="B3040" s="1">
        <v>45788</v>
      </c>
      <c r="C3040">
        <f>YEAR(OrdersTable[[#This Row],[Order Date]])</f>
        <v>2025</v>
      </c>
      <c r="D3040" s="2">
        <f>DATE(YEAR(OrdersTable[[#This Row],[Order Date]]),MONTH(OrdersTable[[#This Row],[Order Date]]),1)</f>
        <v>45778</v>
      </c>
      <c r="E3040">
        <f>MONTH(OrdersTable[[#This Row],[Order Date]])</f>
        <v>5</v>
      </c>
      <c r="F3040" t="s">
        <v>2406</v>
      </c>
      <c r="G3040" t="str">
        <f>IF(OrdersTable[[#This Row],[Order Date]]=_xlfn.MINIFS(Order_Date, Customer_ID, OrdersTable[[#This Row],[Customer ID]]), "New", "Repeat")</f>
        <v>Repeat</v>
      </c>
      <c r="H3040" t="s">
        <v>167</v>
      </c>
      <c r="I3040" t="str">
        <f>INDEX(State!B:B,MATCH(OrdersTable[[#This Row],[State]],State!A:A,0))</f>
        <v>KA</v>
      </c>
      <c r="J3040" t="str">
        <f>INDEX(State!C:C,MATCH(OrdersTable[[#This Row],[State Code]],State!B:B,0))</f>
        <v>South</v>
      </c>
      <c r="K3040" t="s">
        <v>168</v>
      </c>
      <c r="L3040" t="s">
        <v>65</v>
      </c>
      <c r="M3040" t="s">
        <v>78</v>
      </c>
      <c r="N3040" t="str">
        <f>INDEX(Products!B:B,MATCH(OrdersTable[[#This Row],[Product ID]],Products!A:A,0))</f>
        <v>Retinol Night Cream</v>
      </c>
      <c r="O3040" t="str">
        <f>INDEX(Products!C:C,MATCH(OrdersTable[[#This Row],[Product ID]],Products!A:A,0))</f>
        <v>Skincare</v>
      </c>
      <c r="P3040">
        <v>1</v>
      </c>
      <c r="Q3040" s="5">
        <v>799</v>
      </c>
      <c r="R3040" s="74">
        <v>0.05</v>
      </c>
      <c r="S3040" s="75">
        <f>OrdersTable[[#This Row],[Quantity]]*OrdersTable[[#This Row],[Unit Price]]</f>
        <v>799</v>
      </c>
      <c r="T3040" s="5">
        <f>OrdersTable[[#This Row],[Gross Sale]]*OrdersTable[[#This Row],[Discount_Clean2]]</f>
        <v>39.950000000000003</v>
      </c>
      <c r="U3040" s="5">
        <f>OrdersTable[[#This Row],[Gross Sale]]-OrdersTable[[#This Row],[Discount Amount]]</f>
        <v>759.05</v>
      </c>
      <c r="V3040" s="77">
        <f>INDEX(Products!E:E,MATCH(OrdersTable[[#This Row],[Product ID]],Products!A:A,0))</f>
        <v>216</v>
      </c>
      <c r="W3040" s="77">
        <f>OrdersTable[[#This Row],[Quantity]]*OrdersTable[[#This Row],[Unit Cost]]</f>
        <v>216</v>
      </c>
      <c r="X3040" s="77">
        <f>'Dropdown Lists'!$I$2*(1+OrdersTable[[#This Row],[Returned]])</f>
        <v>60</v>
      </c>
      <c r="Y3040" s="76">
        <f>OrdersTable[[#This Row],[Net Revenue]]-OrdersTable[[#This Row],[COGS]]-OrdersTable[[#This Row],[Shipping Cost]]</f>
        <v>483.04999999999995</v>
      </c>
      <c r="Z3040" s="78">
        <f>IFERROR(OrdersTable[[#This Row],[Profit]]/OrdersTable[[#This Row],[Net Revenue]],0)</f>
        <v>0.63638758975034582</v>
      </c>
      <c r="AA3040" t="s">
        <v>18</v>
      </c>
      <c r="AB3040" s="79">
        <v>45789</v>
      </c>
      <c r="AC3040">
        <f>OrdersTable[[#This Row],[Delivery Date]]-OrdersTable[[#This Row],[Order Date]]</f>
        <v>1</v>
      </c>
      <c r="AD3040" t="str">
        <f>IF(OrdersTable[[#This Row],[Delivery Days]]&lt;=2, "Express (≤2d)", IF(OrdersTable[[#This Row],[Delivery Days]]&lt;=4, "Standard (3-4d)", "Delayed (5d+)"))</f>
        <v>Express (≤2d)</v>
      </c>
      <c r="AE3040">
        <v>5</v>
      </c>
      <c r="AF3040">
        <v>0</v>
      </c>
    </row>
    <row r="3041" spans="1:32" ht="15" x14ac:dyDescent="0.35">
      <c r="A3041" t="s">
        <v>2620</v>
      </c>
      <c r="B3041" s="1">
        <v>45789</v>
      </c>
      <c r="C3041">
        <f>YEAR(OrdersTable[[#This Row],[Order Date]])</f>
        <v>2025</v>
      </c>
      <c r="D3041" s="2">
        <f>DATE(YEAR(OrdersTable[[#This Row],[Order Date]]),MONTH(OrdersTable[[#This Row],[Order Date]]),1)</f>
        <v>45778</v>
      </c>
      <c r="E3041">
        <f>MONTH(OrdersTable[[#This Row],[Order Date]])</f>
        <v>5</v>
      </c>
      <c r="F3041" t="s">
        <v>2621</v>
      </c>
      <c r="G3041" t="str">
        <f>IF(OrdersTable[[#This Row],[Order Date]]=_xlfn.MINIFS(Order_Date, Customer_ID, OrdersTable[[#This Row],[Customer ID]]), "New", "Repeat")</f>
        <v>Repeat</v>
      </c>
      <c r="H3041" t="s">
        <v>128</v>
      </c>
      <c r="I3041" t="str">
        <f>INDEX(State!B:B,MATCH(OrdersTable[[#This Row],[State]],State!A:A,0))</f>
        <v>DL</v>
      </c>
      <c r="J3041" t="str">
        <f>INDEX(State!C:C,MATCH(OrdersTable[[#This Row],[State Code]],State!B:B,0))</f>
        <v>North</v>
      </c>
      <c r="K3041" t="s">
        <v>129</v>
      </c>
      <c r="L3041" t="s">
        <v>65</v>
      </c>
      <c r="M3041" t="s">
        <v>228</v>
      </c>
      <c r="N3041" t="str">
        <f>INDEX(Products!B:B,MATCH(OrdersTable[[#This Row],[Product ID]],Products!A:A,0))</f>
        <v>Fast Charger 33W</v>
      </c>
      <c r="O3041" t="str">
        <f>INDEX(Products!C:C,MATCH(OrdersTable[[#This Row],[Product ID]],Products!A:A,0))</f>
        <v>Electronics</v>
      </c>
      <c r="P3041">
        <v>1</v>
      </c>
      <c r="Q3041" s="5">
        <v>899</v>
      </c>
      <c r="R3041" s="74">
        <v>0.15</v>
      </c>
      <c r="S3041" s="75">
        <f>OrdersTable[[#This Row],[Quantity]]*OrdersTable[[#This Row],[Unit Price]]</f>
        <v>899</v>
      </c>
      <c r="T3041" s="5">
        <f>OrdersTable[[#This Row],[Gross Sale]]*OrdersTable[[#This Row],[Discount_Clean2]]</f>
        <v>134.85</v>
      </c>
      <c r="U3041" s="5">
        <f>OrdersTable[[#This Row],[Gross Sale]]-OrdersTable[[#This Row],[Discount Amount]]</f>
        <v>764.15</v>
      </c>
      <c r="V3041" s="77">
        <f>INDEX(Products!E:E,MATCH(OrdersTable[[#This Row],[Product ID]],Products!A:A,0))</f>
        <v>494</v>
      </c>
      <c r="W3041" s="77">
        <f>OrdersTable[[#This Row],[Quantity]]*OrdersTable[[#This Row],[Unit Cost]]</f>
        <v>494</v>
      </c>
      <c r="X3041" s="77">
        <f>'Dropdown Lists'!$I$2*(1+OrdersTable[[#This Row],[Returned]])</f>
        <v>60</v>
      </c>
      <c r="Y3041" s="76">
        <f>OrdersTable[[#This Row],[Net Revenue]]-OrdersTable[[#This Row],[COGS]]-OrdersTable[[#This Row],[Shipping Cost]]</f>
        <v>210.14999999999998</v>
      </c>
      <c r="Z3041" s="78">
        <f>IFERROR(OrdersTable[[#This Row],[Profit]]/OrdersTable[[#This Row],[Net Revenue]],0)</f>
        <v>0.27501145063142052</v>
      </c>
      <c r="AA3041" t="s">
        <v>2522</v>
      </c>
      <c r="AB3041" s="79">
        <v>45791</v>
      </c>
      <c r="AC3041">
        <f>OrdersTable[[#This Row],[Delivery Date]]-OrdersTable[[#This Row],[Order Date]]</f>
        <v>2</v>
      </c>
      <c r="AD3041" t="str">
        <f>IF(OrdersTable[[#This Row],[Delivery Days]]&lt;=2, "Express (≤2d)", IF(OrdersTable[[#This Row],[Delivery Days]]&lt;=4, "Standard (3-4d)", "Delayed (5d+)"))</f>
        <v>Express (≤2d)</v>
      </c>
      <c r="AE3041">
        <v>5</v>
      </c>
      <c r="AF3041">
        <v>0</v>
      </c>
    </row>
    <row r="3042" spans="1:32" ht="15" x14ac:dyDescent="0.35">
      <c r="A3042" t="s">
        <v>5947</v>
      </c>
      <c r="B3042" s="1">
        <v>45789</v>
      </c>
      <c r="C3042">
        <f>YEAR(OrdersTable[[#This Row],[Order Date]])</f>
        <v>2025</v>
      </c>
      <c r="D3042" s="2">
        <f>DATE(YEAR(OrdersTable[[#This Row],[Order Date]]),MONTH(OrdersTable[[#This Row],[Order Date]]),1)</f>
        <v>45778</v>
      </c>
      <c r="E3042">
        <f>MONTH(OrdersTable[[#This Row],[Order Date]])</f>
        <v>5</v>
      </c>
      <c r="F3042" t="s">
        <v>386</v>
      </c>
      <c r="G3042" t="str">
        <f>IF(OrdersTable[[#This Row],[Order Date]]=_xlfn.MINIFS(Order_Date, Customer_ID, OrdersTable[[#This Row],[Customer ID]]), "New", "Repeat")</f>
        <v>Repeat</v>
      </c>
      <c r="H3042" t="s">
        <v>482</v>
      </c>
      <c r="I3042" t="str">
        <f>INDEX(State!B:B,MATCH(OrdersTable[[#This Row],[State]],State!A:A,0))</f>
        <v>CG</v>
      </c>
      <c r="J3042" t="str">
        <f>INDEX(State!C:C,MATCH(OrdersTable[[#This Row],[State Code]],State!B:B,0))</f>
        <v>East</v>
      </c>
      <c r="K3042" t="s">
        <v>483</v>
      </c>
      <c r="L3042" t="s">
        <v>23</v>
      </c>
      <c r="M3042" t="s">
        <v>24</v>
      </c>
      <c r="N3042" t="str">
        <f>INDEX(Products!B:B,MATCH(OrdersTable[[#This Row],[Product ID]],Products!A:A,0))</f>
        <v>Scented Candle Set</v>
      </c>
      <c r="O3042" t="str">
        <f>INDEX(Products!C:C,MATCH(OrdersTable[[#This Row],[Product ID]],Products!A:A,0))</f>
        <v>Home &amp; Kitchen</v>
      </c>
      <c r="P3042">
        <v>2</v>
      </c>
      <c r="Q3042" s="5">
        <v>699</v>
      </c>
      <c r="R3042" s="74">
        <v>0.2</v>
      </c>
      <c r="S3042" s="75">
        <f>OrdersTable[[#This Row],[Quantity]]*OrdersTable[[#This Row],[Unit Price]]</f>
        <v>1398</v>
      </c>
      <c r="T3042" s="5">
        <f>OrdersTable[[#This Row],[Gross Sale]]*OrdersTable[[#This Row],[Discount_Clean2]]</f>
        <v>279.60000000000002</v>
      </c>
      <c r="U3042" s="5">
        <f>OrdersTable[[#This Row],[Gross Sale]]-OrdersTable[[#This Row],[Discount Amount]]</f>
        <v>1118.4000000000001</v>
      </c>
      <c r="V3042" s="77">
        <f>INDEX(Products!E:E,MATCH(OrdersTable[[#This Row],[Product ID]],Products!A:A,0))</f>
        <v>245</v>
      </c>
      <c r="W3042" s="77">
        <f>OrdersTable[[#This Row],[Quantity]]*OrdersTable[[#This Row],[Unit Cost]]</f>
        <v>490</v>
      </c>
      <c r="X3042" s="77">
        <f>'Dropdown Lists'!$I$2*(1+OrdersTable[[#This Row],[Returned]])</f>
        <v>60</v>
      </c>
      <c r="Y3042" s="76">
        <f>OrdersTable[[#This Row],[Net Revenue]]-OrdersTable[[#This Row],[COGS]]-OrdersTable[[#This Row],[Shipping Cost]]</f>
        <v>568.40000000000009</v>
      </c>
      <c r="Z3042" s="78">
        <f>IFERROR(OrdersTable[[#This Row],[Profit]]/OrdersTable[[#This Row],[Net Revenue]],0)</f>
        <v>0.50822603719599435</v>
      </c>
      <c r="AA3042" t="s">
        <v>18</v>
      </c>
      <c r="AB3042" s="79">
        <v>45792</v>
      </c>
      <c r="AC3042">
        <f>OrdersTable[[#This Row],[Delivery Date]]-OrdersTable[[#This Row],[Order Date]]</f>
        <v>3</v>
      </c>
      <c r="AD3042" t="str">
        <f>IF(OrdersTable[[#This Row],[Delivery Days]]&lt;=2, "Express (≤2d)", IF(OrdersTable[[#This Row],[Delivery Days]]&lt;=4, "Standard (3-4d)", "Delayed (5d+)"))</f>
        <v>Standard (3-4d)</v>
      </c>
      <c r="AF3042">
        <v>0</v>
      </c>
    </row>
    <row r="3043" spans="1:32" ht="15" x14ac:dyDescent="0.35">
      <c r="A3043" t="s">
        <v>2407</v>
      </c>
      <c r="B3043" s="1">
        <v>45789</v>
      </c>
      <c r="C3043">
        <f>YEAR(OrdersTable[[#This Row],[Order Date]])</f>
        <v>2025</v>
      </c>
      <c r="D3043" s="2">
        <f>DATE(YEAR(OrdersTable[[#This Row],[Order Date]]),MONTH(OrdersTable[[#This Row],[Order Date]]),1)</f>
        <v>45778</v>
      </c>
      <c r="E3043">
        <f>MONTH(OrdersTable[[#This Row],[Order Date]])</f>
        <v>5</v>
      </c>
      <c r="F3043" t="s">
        <v>2408</v>
      </c>
      <c r="G3043" t="str">
        <f>IF(OrdersTable[[#This Row],[Order Date]]=_xlfn.MINIFS(Order_Date, Customer_ID, OrdersTable[[#This Row],[Customer ID]]), "New", "Repeat")</f>
        <v>New</v>
      </c>
      <c r="H3043" t="s">
        <v>167</v>
      </c>
      <c r="I3043" t="str">
        <f>INDEX(State!B:B,MATCH(OrdersTable[[#This Row],[State]],State!A:A,0))</f>
        <v>KA</v>
      </c>
      <c r="J3043" t="str">
        <f>INDEX(State!C:C,MATCH(OrdersTable[[#This Row],[State Code]],State!B:B,0))</f>
        <v>South</v>
      </c>
      <c r="K3043" t="s">
        <v>190</v>
      </c>
      <c r="L3043" t="s">
        <v>39</v>
      </c>
      <c r="M3043" t="s">
        <v>45</v>
      </c>
      <c r="N3043" t="str">
        <f>INDEX(Products!B:B,MATCH(OrdersTable[[#This Row],[Product ID]],Products!A:A,0))</f>
        <v>Argan Shampoo</v>
      </c>
      <c r="O3043" t="str">
        <f>INDEX(Products!C:C,MATCH(OrdersTable[[#This Row],[Product ID]],Products!A:A,0))</f>
        <v>Haircare</v>
      </c>
      <c r="P3043">
        <v>1</v>
      </c>
      <c r="Q3043" s="5">
        <v>449</v>
      </c>
      <c r="R3043" s="74">
        <v>0.1</v>
      </c>
      <c r="S3043" s="75">
        <f>OrdersTable[[#This Row],[Quantity]]*OrdersTable[[#This Row],[Unit Price]]</f>
        <v>449</v>
      </c>
      <c r="T3043" s="5">
        <f>OrdersTable[[#This Row],[Gross Sale]]*OrdersTable[[#This Row],[Discount_Clean2]]</f>
        <v>44.900000000000006</v>
      </c>
      <c r="U3043" s="5">
        <f>OrdersTable[[#This Row],[Gross Sale]]-OrdersTable[[#This Row],[Discount Amount]]</f>
        <v>404.1</v>
      </c>
      <c r="V3043" s="77">
        <f>INDEX(Products!E:E,MATCH(OrdersTable[[#This Row],[Product ID]],Products!A:A,0))</f>
        <v>148</v>
      </c>
      <c r="W3043" s="77">
        <f>OrdersTable[[#This Row],[Quantity]]*OrdersTable[[#This Row],[Unit Cost]]</f>
        <v>148</v>
      </c>
      <c r="X3043" s="77">
        <f>'Dropdown Lists'!$I$2*(1+OrdersTable[[#This Row],[Returned]])</f>
        <v>60</v>
      </c>
      <c r="Y3043" s="76">
        <f>OrdersTable[[#This Row],[Net Revenue]]-OrdersTable[[#This Row],[COGS]]-OrdersTable[[#This Row],[Shipping Cost]]</f>
        <v>196.10000000000002</v>
      </c>
      <c r="Z3043" s="78">
        <f>IFERROR(OrdersTable[[#This Row],[Profit]]/OrdersTable[[#This Row],[Net Revenue]],0)</f>
        <v>0.48527592180153428</v>
      </c>
      <c r="AA3043" t="s">
        <v>18</v>
      </c>
      <c r="AB3043" s="79">
        <v>45793</v>
      </c>
      <c r="AC3043">
        <f>OrdersTable[[#This Row],[Delivery Date]]-OrdersTable[[#This Row],[Order Date]]</f>
        <v>4</v>
      </c>
      <c r="AD3043" t="str">
        <f>IF(OrdersTable[[#This Row],[Delivery Days]]&lt;=2, "Express (≤2d)", IF(OrdersTable[[#This Row],[Delivery Days]]&lt;=4, "Standard (3-4d)", "Delayed (5d+)"))</f>
        <v>Standard (3-4d)</v>
      </c>
      <c r="AE3043">
        <v>5</v>
      </c>
      <c r="AF3043">
        <v>0</v>
      </c>
    </row>
    <row r="3044" spans="1:32" ht="15" x14ac:dyDescent="0.35">
      <c r="A3044" t="s">
        <v>4149</v>
      </c>
      <c r="B3044" s="1">
        <v>45789</v>
      </c>
      <c r="C3044">
        <f>YEAR(OrdersTable[[#This Row],[Order Date]])</f>
        <v>2025</v>
      </c>
      <c r="D3044" s="2">
        <f>DATE(YEAR(OrdersTable[[#This Row],[Order Date]]),MONTH(OrdersTable[[#This Row],[Order Date]]),1)</f>
        <v>45778</v>
      </c>
      <c r="E3044">
        <f>MONTH(OrdersTable[[#This Row],[Order Date]])</f>
        <v>5</v>
      </c>
      <c r="F3044" t="s">
        <v>3244</v>
      </c>
      <c r="G3044" t="str">
        <f>IF(OrdersTable[[#This Row],[Order Date]]=_xlfn.MINIFS(Order_Date, Customer_ID, OrdersTable[[#This Row],[Customer ID]]), "New", "Repeat")</f>
        <v>Repeat</v>
      </c>
      <c r="H3044" t="s">
        <v>316</v>
      </c>
      <c r="I3044" t="str">
        <f>INDEX(State!B:B,MATCH(OrdersTable[[#This Row],[State]],State!A:A,0))</f>
        <v>KL</v>
      </c>
      <c r="J3044" t="str">
        <f>INDEX(State!C:C,MATCH(OrdersTable[[#This Row],[State Code]],State!B:B,0))</f>
        <v>South</v>
      </c>
      <c r="K3044" t="s">
        <v>338</v>
      </c>
      <c r="L3044" t="s">
        <v>65</v>
      </c>
      <c r="M3044" t="s">
        <v>73</v>
      </c>
      <c r="N3044" t="str">
        <f>INDEX(Products!B:B,MATCH(OrdersTable[[#This Row],[Product ID]],Products!A:A,0))</f>
        <v>Hydrating Face Wash</v>
      </c>
      <c r="O3044" t="str">
        <f>INDEX(Products!C:C,MATCH(OrdersTable[[#This Row],[Product ID]],Products!A:A,0))</f>
        <v>Skincare</v>
      </c>
      <c r="P3044">
        <v>1</v>
      </c>
      <c r="Q3044" s="5">
        <v>299</v>
      </c>
      <c r="R3044" s="74">
        <v>0</v>
      </c>
      <c r="S3044" s="75">
        <f>OrdersTable[[#This Row],[Quantity]]*OrdersTable[[#This Row],[Unit Price]]</f>
        <v>299</v>
      </c>
      <c r="T3044" s="5">
        <f>OrdersTable[[#This Row],[Gross Sale]]*OrdersTable[[#This Row],[Discount_Clean2]]</f>
        <v>0</v>
      </c>
      <c r="U3044" s="5">
        <f>OrdersTable[[#This Row],[Gross Sale]]-OrdersTable[[#This Row],[Discount Amount]]</f>
        <v>299</v>
      </c>
      <c r="V3044" s="77">
        <f>INDEX(Products!E:E,MATCH(OrdersTable[[#This Row],[Product ID]],Products!A:A,0))</f>
        <v>90</v>
      </c>
      <c r="W3044" s="77">
        <f>OrdersTable[[#This Row],[Quantity]]*OrdersTable[[#This Row],[Unit Cost]]</f>
        <v>90</v>
      </c>
      <c r="X3044" s="77">
        <f>'Dropdown Lists'!$I$2*(1+OrdersTable[[#This Row],[Returned]])</f>
        <v>60</v>
      </c>
      <c r="Y3044" s="76">
        <f>OrdersTable[[#This Row],[Net Revenue]]-OrdersTable[[#This Row],[COGS]]-OrdersTable[[#This Row],[Shipping Cost]]</f>
        <v>149</v>
      </c>
      <c r="Z3044" s="78">
        <f>IFERROR(OrdersTable[[#This Row],[Profit]]/OrdersTable[[#This Row],[Net Revenue]],0)</f>
        <v>0.49832775919732442</v>
      </c>
      <c r="AA3044" t="s">
        <v>4074</v>
      </c>
      <c r="AB3044" s="79">
        <v>45793</v>
      </c>
      <c r="AC3044">
        <f>OrdersTable[[#This Row],[Delivery Date]]-OrdersTable[[#This Row],[Order Date]]</f>
        <v>4</v>
      </c>
      <c r="AD3044" t="str">
        <f>IF(OrdersTable[[#This Row],[Delivery Days]]&lt;=2, "Express (≤2d)", IF(OrdersTable[[#This Row],[Delivery Days]]&lt;=4, "Standard (3-4d)", "Delayed (5d+)"))</f>
        <v>Standard (3-4d)</v>
      </c>
      <c r="AE3044">
        <v>5</v>
      </c>
      <c r="AF3044">
        <v>0</v>
      </c>
    </row>
    <row r="3045" spans="1:32" ht="15" x14ac:dyDescent="0.35">
      <c r="A3045" t="s">
        <v>1278</v>
      </c>
      <c r="B3045" s="1">
        <v>45790</v>
      </c>
      <c r="C3045">
        <f>YEAR(OrdersTable[[#This Row],[Order Date]])</f>
        <v>2025</v>
      </c>
      <c r="D3045" s="2">
        <f>DATE(YEAR(OrdersTable[[#This Row],[Order Date]]),MONTH(OrdersTable[[#This Row],[Order Date]]),1)</f>
        <v>45778</v>
      </c>
      <c r="E3045">
        <f>MONTH(OrdersTable[[#This Row],[Order Date]])</f>
        <v>5</v>
      </c>
      <c r="F3045" t="s">
        <v>1279</v>
      </c>
      <c r="G3045" t="str">
        <f>IF(OrdersTable[[#This Row],[Order Date]]=_xlfn.MINIFS(Order_Date, Customer_ID, OrdersTable[[#This Row],[Customer ID]]), "New", "Repeat")</f>
        <v>Repeat</v>
      </c>
      <c r="H3045" t="s">
        <v>76</v>
      </c>
      <c r="I3045" t="str">
        <f>INDEX(State!B:B,MATCH(OrdersTable[[#This Row],[State]],State!A:A,0))</f>
        <v>UP</v>
      </c>
      <c r="J3045" t="str">
        <f>INDEX(State!C:C,MATCH(OrdersTable[[#This Row],[State Code]],State!B:B,0))</f>
        <v>North</v>
      </c>
      <c r="K3045" t="s">
        <v>77</v>
      </c>
      <c r="L3045" t="s">
        <v>16</v>
      </c>
      <c r="M3045" t="s">
        <v>255</v>
      </c>
      <c r="N3045" t="str">
        <f>INDEX(Products!B:B,MATCH(OrdersTable[[#This Row],[Product ID]],Products!A:A,0))</f>
        <v>Cotton Oversized T-Shirt</v>
      </c>
      <c r="O3045" t="str">
        <f>INDEX(Products!C:C,MATCH(OrdersTable[[#This Row],[Product ID]],Products!A:A,0))</f>
        <v>Apparel</v>
      </c>
      <c r="P3045">
        <v>1</v>
      </c>
      <c r="Q3045" s="5">
        <v>799</v>
      </c>
      <c r="R3045" s="74">
        <v>0.1</v>
      </c>
      <c r="S3045" s="75">
        <f>OrdersTable[[#This Row],[Quantity]]*OrdersTable[[#This Row],[Unit Price]]</f>
        <v>799</v>
      </c>
      <c r="T3045" s="5">
        <f>OrdersTable[[#This Row],[Gross Sale]]*OrdersTable[[#This Row],[Discount_Clean2]]</f>
        <v>79.900000000000006</v>
      </c>
      <c r="U3045" s="5">
        <f>OrdersTable[[#This Row],[Gross Sale]]-OrdersTable[[#This Row],[Discount Amount]]</f>
        <v>719.1</v>
      </c>
      <c r="V3045" s="77">
        <f>INDEX(Products!E:E,MATCH(OrdersTable[[#This Row],[Product ID]],Products!A:A,0))</f>
        <v>320</v>
      </c>
      <c r="W3045" s="77">
        <f>OrdersTable[[#This Row],[Quantity]]*OrdersTable[[#This Row],[Unit Cost]]</f>
        <v>320</v>
      </c>
      <c r="X3045" s="77">
        <f>'Dropdown Lists'!$I$2*(1+OrdersTable[[#This Row],[Returned]])</f>
        <v>60</v>
      </c>
      <c r="Y3045" s="76">
        <f>OrdersTable[[#This Row],[Net Revenue]]-OrdersTable[[#This Row],[COGS]]-OrdersTable[[#This Row],[Shipping Cost]]</f>
        <v>339.1</v>
      </c>
      <c r="Z3045" s="78">
        <f>IFERROR(OrdersTable[[#This Row],[Profit]]/OrdersTable[[#This Row],[Net Revenue]],0)</f>
        <v>0.47156167431511614</v>
      </c>
      <c r="AA3045" t="s">
        <v>18</v>
      </c>
      <c r="AB3045" s="79">
        <v>45792</v>
      </c>
      <c r="AC3045">
        <f>OrdersTable[[#This Row],[Delivery Date]]-OrdersTable[[#This Row],[Order Date]]</f>
        <v>2</v>
      </c>
      <c r="AD3045" t="str">
        <f>IF(OrdersTable[[#This Row],[Delivery Days]]&lt;=2, "Express (≤2d)", IF(OrdersTable[[#This Row],[Delivery Days]]&lt;=4, "Standard (3-4d)", "Delayed (5d+)"))</f>
        <v>Express (≤2d)</v>
      </c>
      <c r="AF3045">
        <v>0</v>
      </c>
    </row>
    <row r="3046" spans="1:32" ht="15" x14ac:dyDescent="0.35">
      <c r="A3046" t="s">
        <v>6167</v>
      </c>
      <c r="B3046" s="1">
        <v>45790</v>
      </c>
      <c r="C3046">
        <f>YEAR(OrdersTable[[#This Row],[Order Date]])</f>
        <v>2025</v>
      </c>
      <c r="D3046" s="2">
        <f>DATE(YEAR(OrdersTable[[#This Row],[Order Date]]),MONTH(OrdersTable[[#This Row],[Order Date]]),1)</f>
        <v>45778</v>
      </c>
      <c r="E3046">
        <f>MONTH(OrdersTable[[#This Row],[Order Date]])</f>
        <v>5</v>
      </c>
      <c r="F3046" t="s">
        <v>6168</v>
      </c>
      <c r="G3046" t="str">
        <f>IF(OrdersTable[[#This Row],[Order Date]]=_xlfn.MINIFS(Order_Date, Customer_ID, OrdersTable[[#This Row],[Customer ID]]), "New", "Repeat")</f>
        <v>New</v>
      </c>
      <c r="H3046" t="s">
        <v>123</v>
      </c>
      <c r="I3046" t="str">
        <f>INDEX(State!B:B,MATCH(OrdersTable[[#This Row],[State]],State!A:A,0))</f>
        <v>JH</v>
      </c>
      <c r="J3046" t="str">
        <f>INDEX(State!C:C,MATCH(OrdersTable[[#This Row],[State Code]],State!B:B,0))</f>
        <v>East</v>
      </c>
      <c r="K3046" t="s">
        <v>124</v>
      </c>
      <c r="L3046" t="s">
        <v>23</v>
      </c>
      <c r="M3046" t="s">
        <v>179</v>
      </c>
      <c r="N3046" t="str">
        <f>INDEX(Products!B:B,MATCH(OrdersTable[[#This Row],[Product ID]],Products!A:A,0))</f>
        <v>Whey Protein 1kg</v>
      </c>
      <c r="O3046" t="str">
        <f>INDEX(Products!C:C,MATCH(OrdersTable[[#This Row],[Product ID]],Products!A:A,0))</f>
        <v>Wellness</v>
      </c>
      <c r="P3046">
        <v>2</v>
      </c>
      <c r="Q3046" s="5">
        <v>2299</v>
      </c>
      <c r="R3046" s="74">
        <v>0.35</v>
      </c>
      <c r="S3046" s="75">
        <f>OrdersTable[[#This Row],[Quantity]]*OrdersTable[[#This Row],[Unit Price]]</f>
        <v>4598</v>
      </c>
      <c r="T3046" s="5">
        <f>OrdersTable[[#This Row],[Gross Sale]]*OrdersTable[[#This Row],[Discount_Clean2]]</f>
        <v>1609.3</v>
      </c>
      <c r="U3046" s="5">
        <f>OrdersTable[[#This Row],[Gross Sale]]-OrdersTable[[#This Row],[Discount Amount]]</f>
        <v>2988.7</v>
      </c>
      <c r="V3046" s="77">
        <f>INDEX(Products!E:E,MATCH(OrdersTable[[#This Row],[Product ID]],Products!A:A,0))</f>
        <v>1333</v>
      </c>
      <c r="W3046" s="77">
        <f>OrdersTable[[#This Row],[Quantity]]*OrdersTable[[#This Row],[Unit Cost]]</f>
        <v>2666</v>
      </c>
      <c r="X3046" s="77">
        <f>'Dropdown Lists'!$I$2*(1+OrdersTable[[#This Row],[Returned]])</f>
        <v>60</v>
      </c>
      <c r="Y3046" s="76">
        <f>OrdersTable[[#This Row],[Net Revenue]]-OrdersTable[[#This Row],[COGS]]-OrdersTable[[#This Row],[Shipping Cost]]</f>
        <v>262.69999999999982</v>
      </c>
      <c r="Z3046" s="78">
        <f>IFERROR(OrdersTable[[#This Row],[Profit]]/OrdersTable[[#This Row],[Net Revenue]],0)</f>
        <v>8.7897748184829469E-2</v>
      </c>
      <c r="AA3046" t="s">
        <v>18</v>
      </c>
      <c r="AB3046" s="79">
        <v>45794</v>
      </c>
      <c r="AC3046">
        <f>OrdersTable[[#This Row],[Delivery Date]]-OrdersTable[[#This Row],[Order Date]]</f>
        <v>4</v>
      </c>
      <c r="AD3046" t="str">
        <f>IF(OrdersTable[[#This Row],[Delivery Days]]&lt;=2, "Express (≤2d)", IF(OrdersTable[[#This Row],[Delivery Days]]&lt;=4, "Standard (3-4d)", "Delayed (5d+)"))</f>
        <v>Standard (3-4d)</v>
      </c>
      <c r="AE3046">
        <v>4</v>
      </c>
      <c r="AF3046">
        <v>0</v>
      </c>
    </row>
    <row r="3047" spans="1:32" ht="15" x14ac:dyDescent="0.35">
      <c r="A3047" t="s">
        <v>1417</v>
      </c>
      <c r="B3047" s="1">
        <v>45791</v>
      </c>
      <c r="C3047">
        <f>YEAR(OrdersTable[[#This Row],[Order Date]])</f>
        <v>2025</v>
      </c>
      <c r="D3047" s="2">
        <f>DATE(YEAR(OrdersTable[[#This Row],[Order Date]]),MONTH(OrdersTable[[#This Row],[Order Date]]),1)</f>
        <v>45778</v>
      </c>
      <c r="E3047">
        <f>MONTH(OrdersTable[[#This Row],[Order Date]])</f>
        <v>5</v>
      </c>
      <c r="F3047" t="s">
        <v>1418</v>
      </c>
      <c r="G3047" t="str">
        <f>IF(OrdersTable[[#This Row],[Order Date]]=_xlfn.MINIFS(Order_Date, Customer_ID, OrdersTable[[#This Row],[Customer ID]]), "New", "Repeat")</f>
        <v>New</v>
      </c>
      <c r="H3047" t="s">
        <v>54</v>
      </c>
      <c r="I3047" t="str">
        <f>INDEX(State!B:B,MATCH(OrdersTable[[#This Row],[State]],State!A:A,0))</f>
        <v>RJ</v>
      </c>
      <c r="J3047" t="str">
        <f>INDEX(State!C:C,MATCH(OrdersTable[[#This Row],[State Code]],State!B:B,0))</f>
        <v>North</v>
      </c>
      <c r="K3047" t="s">
        <v>227</v>
      </c>
      <c r="L3047" t="s">
        <v>23</v>
      </c>
      <c r="M3047" t="s">
        <v>45</v>
      </c>
      <c r="N3047" t="str">
        <f>INDEX(Products!B:B,MATCH(OrdersTable[[#This Row],[Product ID]],Products!A:A,0))</f>
        <v>Argan Shampoo</v>
      </c>
      <c r="O3047" t="str">
        <f>INDEX(Products!C:C,MATCH(OrdersTable[[#This Row],[Product ID]],Products!A:A,0))</f>
        <v>Haircare</v>
      </c>
      <c r="P3047">
        <v>1</v>
      </c>
      <c r="Q3047" s="5">
        <v>449</v>
      </c>
      <c r="R3047" s="74">
        <v>0.1</v>
      </c>
      <c r="S3047" s="75">
        <f>OrdersTable[[#This Row],[Quantity]]*OrdersTable[[#This Row],[Unit Price]]</f>
        <v>449</v>
      </c>
      <c r="T3047" s="5">
        <f>OrdersTable[[#This Row],[Gross Sale]]*OrdersTable[[#This Row],[Discount_Clean2]]</f>
        <v>44.900000000000006</v>
      </c>
      <c r="U3047" s="5">
        <f>OrdersTable[[#This Row],[Gross Sale]]-OrdersTable[[#This Row],[Discount Amount]]</f>
        <v>404.1</v>
      </c>
      <c r="V3047" s="77">
        <f>INDEX(Products!E:E,MATCH(OrdersTable[[#This Row],[Product ID]],Products!A:A,0))</f>
        <v>148</v>
      </c>
      <c r="W3047" s="77">
        <f>OrdersTable[[#This Row],[Quantity]]*OrdersTable[[#This Row],[Unit Cost]]</f>
        <v>148</v>
      </c>
      <c r="X3047" s="77">
        <f>'Dropdown Lists'!$I$2*(1+OrdersTable[[#This Row],[Returned]])</f>
        <v>60</v>
      </c>
      <c r="Y3047" s="76">
        <f>OrdersTable[[#This Row],[Net Revenue]]-OrdersTable[[#This Row],[COGS]]-OrdersTable[[#This Row],[Shipping Cost]]</f>
        <v>196.10000000000002</v>
      </c>
      <c r="Z3047" s="78">
        <f>IFERROR(OrdersTable[[#This Row],[Profit]]/OrdersTable[[#This Row],[Net Revenue]],0)</f>
        <v>0.48527592180153428</v>
      </c>
      <c r="AA3047" t="s">
        <v>18</v>
      </c>
      <c r="AB3047" s="79">
        <v>45795</v>
      </c>
      <c r="AC3047">
        <f>OrdersTable[[#This Row],[Delivery Date]]-OrdersTable[[#This Row],[Order Date]]</f>
        <v>4</v>
      </c>
      <c r="AD3047" t="str">
        <f>IF(OrdersTable[[#This Row],[Delivery Days]]&lt;=2, "Express (≤2d)", IF(OrdersTable[[#This Row],[Delivery Days]]&lt;=4, "Standard (3-4d)", "Delayed (5d+)"))</f>
        <v>Standard (3-4d)</v>
      </c>
      <c r="AF3047">
        <v>0</v>
      </c>
    </row>
    <row r="3048" spans="1:32" ht="15" x14ac:dyDescent="0.35">
      <c r="A3048" t="s">
        <v>1989</v>
      </c>
      <c r="B3048" s="1">
        <v>45791</v>
      </c>
      <c r="C3048">
        <f>YEAR(OrdersTable[[#This Row],[Order Date]])</f>
        <v>2025</v>
      </c>
      <c r="D3048" s="2">
        <f>DATE(YEAR(OrdersTable[[#This Row],[Order Date]]),MONTH(OrdersTable[[#This Row],[Order Date]]),1)</f>
        <v>45778</v>
      </c>
      <c r="E3048">
        <f>MONTH(OrdersTable[[#This Row],[Order Date]])</f>
        <v>5</v>
      </c>
      <c r="F3048" t="s">
        <v>1990</v>
      </c>
      <c r="G3048" t="str">
        <f>IF(OrdersTable[[#This Row],[Order Date]]=_xlfn.MINIFS(Order_Date, Customer_ID, OrdersTable[[#This Row],[Customer ID]]), "New", "Repeat")</f>
        <v>New</v>
      </c>
      <c r="H3048" t="s">
        <v>54</v>
      </c>
      <c r="I3048" t="str">
        <f>INDEX(State!B:B,MATCH(OrdersTable[[#This Row],[State]],State!A:A,0))</f>
        <v>RJ</v>
      </c>
      <c r="J3048" t="str">
        <f>INDEX(State!C:C,MATCH(OrdersTable[[#This Row],[State Code]],State!B:B,0))</f>
        <v>North</v>
      </c>
      <c r="K3048" t="s">
        <v>55</v>
      </c>
      <c r="L3048" t="s">
        <v>65</v>
      </c>
      <c r="M3048" t="s">
        <v>34</v>
      </c>
      <c r="N3048" t="str">
        <f>INDEX(Products!B:B,MATCH(OrdersTable[[#This Row],[Product ID]],Products!A:A,0))</f>
        <v>Flip Flops</v>
      </c>
      <c r="O3048" t="str">
        <f>INDEX(Products!C:C,MATCH(OrdersTable[[#This Row],[Product ID]],Products!A:A,0))</f>
        <v>Footwear</v>
      </c>
      <c r="P3048">
        <v>1</v>
      </c>
      <c r="Q3048" s="5">
        <v>399</v>
      </c>
      <c r="R3048" s="74">
        <v>0.05</v>
      </c>
      <c r="S3048" s="75">
        <f>OrdersTable[[#This Row],[Quantity]]*OrdersTable[[#This Row],[Unit Price]]</f>
        <v>399</v>
      </c>
      <c r="T3048" s="5">
        <f>OrdersTable[[#This Row],[Gross Sale]]*OrdersTable[[#This Row],[Discount_Clean2]]</f>
        <v>19.950000000000003</v>
      </c>
      <c r="U3048" s="5">
        <f>OrdersTable[[#This Row],[Gross Sale]]-OrdersTable[[#This Row],[Discount Amount]]</f>
        <v>379.05</v>
      </c>
      <c r="V3048" s="77">
        <f>INDEX(Products!E:E,MATCH(OrdersTable[[#This Row],[Product ID]],Products!A:A,0))</f>
        <v>152</v>
      </c>
      <c r="W3048" s="77">
        <f>OrdersTable[[#This Row],[Quantity]]*OrdersTable[[#This Row],[Unit Cost]]</f>
        <v>152</v>
      </c>
      <c r="X3048" s="77">
        <f>'Dropdown Lists'!$I$2*(1+OrdersTable[[#This Row],[Returned]])</f>
        <v>60</v>
      </c>
      <c r="Y3048" s="76">
        <f>OrdersTable[[#This Row],[Net Revenue]]-OrdersTable[[#This Row],[COGS]]-OrdersTable[[#This Row],[Shipping Cost]]</f>
        <v>167.05</v>
      </c>
      <c r="Z3048" s="78">
        <f>IFERROR(OrdersTable[[#This Row],[Profit]]/OrdersTable[[#This Row],[Net Revenue]],0)</f>
        <v>0.44070703073473161</v>
      </c>
      <c r="AA3048" t="s">
        <v>18</v>
      </c>
      <c r="AB3048" s="79">
        <v>45793</v>
      </c>
      <c r="AC3048">
        <f>OrdersTable[[#This Row],[Delivery Date]]-OrdersTable[[#This Row],[Order Date]]</f>
        <v>2</v>
      </c>
      <c r="AD3048" t="str">
        <f>IF(OrdersTable[[#This Row],[Delivery Days]]&lt;=2, "Express (≤2d)", IF(OrdersTable[[#This Row],[Delivery Days]]&lt;=4, "Standard (3-4d)", "Delayed (5d+)"))</f>
        <v>Express (≤2d)</v>
      </c>
      <c r="AE3048">
        <v>3</v>
      </c>
      <c r="AF3048">
        <v>0</v>
      </c>
    </row>
    <row r="3049" spans="1:32" ht="15" x14ac:dyDescent="0.35">
      <c r="A3049" t="s">
        <v>3777</v>
      </c>
      <c r="B3049" s="1">
        <v>45791</v>
      </c>
      <c r="C3049">
        <f>YEAR(OrdersTable[[#This Row],[Order Date]])</f>
        <v>2025</v>
      </c>
      <c r="D3049" s="2">
        <f>DATE(YEAR(OrdersTable[[#This Row],[Order Date]]),MONTH(OrdersTable[[#This Row],[Order Date]]),1)</f>
        <v>45778</v>
      </c>
      <c r="E3049">
        <f>MONTH(OrdersTable[[#This Row],[Order Date]])</f>
        <v>5</v>
      </c>
      <c r="F3049" t="s">
        <v>3778</v>
      </c>
      <c r="G3049" t="str">
        <f>IF(OrdersTable[[#This Row],[Order Date]]=_xlfn.MINIFS(Order_Date, Customer_ID, OrdersTable[[#This Row],[Customer ID]]), "New", "Repeat")</f>
        <v>Repeat</v>
      </c>
      <c r="H3049" t="s">
        <v>128</v>
      </c>
      <c r="I3049" t="str">
        <f>INDEX(State!B:B,MATCH(OrdersTable[[#This Row],[State]],State!A:A,0))</f>
        <v>DL</v>
      </c>
      <c r="J3049" t="str">
        <f>INDEX(State!C:C,MATCH(OrdersTable[[#This Row],[State Code]],State!B:B,0))</f>
        <v>North</v>
      </c>
      <c r="K3049" t="s">
        <v>129</v>
      </c>
      <c r="L3049" t="s">
        <v>16</v>
      </c>
      <c r="M3049" t="s">
        <v>92</v>
      </c>
      <c r="N3049" t="str">
        <f>INDEX(Products!B:B,MATCH(OrdersTable[[#This Row],[Product ID]],Products!A:A,0))</f>
        <v>Kolhapuri Sandals</v>
      </c>
      <c r="O3049" t="str">
        <f>INDEX(Products!C:C,MATCH(OrdersTable[[#This Row],[Product ID]],Products!A:A,0))</f>
        <v>Footwear</v>
      </c>
      <c r="P3049">
        <v>1</v>
      </c>
      <c r="Q3049" s="5">
        <v>999</v>
      </c>
      <c r="R3049" s="74">
        <v>0</v>
      </c>
      <c r="S3049" s="75">
        <f>OrdersTable[[#This Row],[Quantity]]*OrdersTable[[#This Row],[Unit Price]]</f>
        <v>999</v>
      </c>
      <c r="T3049" s="5">
        <f>OrdersTable[[#This Row],[Gross Sale]]*OrdersTable[[#This Row],[Discount_Clean2]]</f>
        <v>0</v>
      </c>
      <c r="U3049" s="5">
        <f>OrdersTable[[#This Row],[Gross Sale]]-OrdersTable[[#This Row],[Discount Amount]]</f>
        <v>999</v>
      </c>
      <c r="V3049" s="77">
        <f>INDEX(Products!E:E,MATCH(OrdersTable[[#This Row],[Product ID]],Products!A:A,0))</f>
        <v>400</v>
      </c>
      <c r="W3049" s="77">
        <f>OrdersTable[[#This Row],[Quantity]]*OrdersTable[[#This Row],[Unit Cost]]</f>
        <v>400</v>
      </c>
      <c r="X3049" s="77">
        <f>'Dropdown Lists'!$I$2*(1+OrdersTable[[#This Row],[Returned]])</f>
        <v>60</v>
      </c>
      <c r="Y3049" s="76">
        <f>OrdersTable[[#This Row],[Net Revenue]]-OrdersTable[[#This Row],[COGS]]-OrdersTable[[#This Row],[Shipping Cost]]</f>
        <v>539</v>
      </c>
      <c r="Z3049" s="78">
        <f>IFERROR(OrdersTable[[#This Row],[Profit]]/OrdersTable[[#This Row],[Net Revenue]],0)</f>
        <v>0.53953953953953959</v>
      </c>
      <c r="AA3049" t="s">
        <v>3495</v>
      </c>
      <c r="AB3049" s="79">
        <v>45792</v>
      </c>
      <c r="AC3049">
        <f>OrdersTable[[#This Row],[Delivery Date]]-OrdersTable[[#This Row],[Order Date]]</f>
        <v>1</v>
      </c>
      <c r="AD3049" t="str">
        <f>IF(OrdersTable[[#This Row],[Delivery Days]]&lt;=2, "Express (≤2d)", IF(OrdersTable[[#This Row],[Delivery Days]]&lt;=4, "Standard (3-4d)", "Delayed (5d+)"))</f>
        <v>Express (≤2d)</v>
      </c>
      <c r="AF3049">
        <v>0</v>
      </c>
    </row>
    <row r="3050" spans="1:32" ht="15" x14ac:dyDescent="0.35">
      <c r="A3050" t="s">
        <v>5521</v>
      </c>
      <c r="B3050" s="1">
        <v>45791</v>
      </c>
      <c r="C3050">
        <f>YEAR(OrdersTable[[#This Row],[Order Date]])</f>
        <v>2025</v>
      </c>
      <c r="D3050" s="2">
        <f>DATE(YEAR(OrdersTable[[#This Row],[Order Date]]),MONTH(OrdersTable[[#This Row],[Order Date]]),1)</f>
        <v>45778</v>
      </c>
      <c r="E3050">
        <f>MONTH(OrdersTable[[#This Row],[Order Date]])</f>
        <v>5</v>
      </c>
      <c r="F3050" t="s">
        <v>2332</v>
      </c>
      <c r="G3050" t="str">
        <f>IF(OrdersTable[[#This Row],[Order Date]]=_xlfn.MINIFS(Order_Date, Customer_ID, OrdersTable[[#This Row],[Customer ID]]), "New", "Repeat")</f>
        <v>Repeat</v>
      </c>
      <c r="H3050" t="s">
        <v>128</v>
      </c>
      <c r="I3050" t="str">
        <f>INDEX(State!B:B,MATCH(OrdersTable[[#This Row],[State]],State!A:A,0))</f>
        <v>DL</v>
      </c>
      <c r="J3050" t="str">
        <f>INDEX(State!C:C,MATCH(OrdersTable[[#This Row],[State Code]],State!B:B,0))</f>
        <v>North</v>
      </c>
      <c r="K3050" t="s">
        <v>129</v>
      </c>
      <c r="L3050" t="s">
        <v>65</v>
      </c>
      <c r="M3050" t="s">
        <v>84</v>
      </c>
      <c r="N3050" t="str">
        <f>INDEX(Products!B:B,MATCH(OrdersTable[[#This Row],[Product ID]],Products!A:A,0))</f>
        <v>Cotton Bedsheet</v>
      </c>
      <c r="O3050" t="str">
        <f>INDEX(Products!C:C,MATCH(OrdersTable[[#This Row],[Product ID]],Products!A:A,0))</f>
        <v>Home &amp; Kitchen</v>
      </c>
      <c r="P3050">
        <v>2</v>
      </c>
      <c r="Q3050" s="5">
        <v>1299</v>
      </c>
      <c r="R3050" s="74">
        <v>0.05</v>
      </c>
      <c r="S3050" s="75">
        <f>OrdersTable[[#This Row],[Quantity]]*OrdersTable[[#This Row],[Unit Price]]</f>
        <v>2598</v>
      </c>
      <c r="T3050" s="5">
        <f>OrdersTable[[#This Row],[Gross Sale]]*OrdersTable[[#This Row],[Discount_Clean2]]</f>
        <v>129.9</v>
      </c>
      <c r="U3050" s="5">
        <f>OrdersTable[[#This Row],[Gross Sale]]-OrdersTable[[#This Row],[Discount Amount]]</f>
        <v>2468.1</v>
      </c>
      <c r="V3050" s="77">
        <f>INDEX(Products!E:E,MATCH(OrdersTable[[#This Row],[Product ID]],Products!A:A,0))</f>
        <v>585</v>
      </c>
      <c r="W3050" s="77">
        <f>OrdersTable[[#This Row],[Quantity]]*OrdersTable[[#This Row],[Unit Cost]]</f>
        <v>1170</v>
      </c>
      <c r="X3050" s="77">
        <f>'Dropdown Lists'!$I$2*(1+OrdersTable[[#This Row],[Returned]])</f>
        <v>60</v>
      </c>
      <c r="Y3050" s="76">
        <f>OrdersTable[[#This Row],[Net Revenue]]-OrdersTable[[#This Row],[COGS]]-OrdersTable[[#This Row],[Shipping Cost]]</f>
        <v>1238.0999999999999</v>
      </c>
      <c r="Z3050" s="78">
        <f>IFERROR(OrdersTable[[#This Row],[Profit]]/OrdersTable[[#This Row],[Net Revenue]],0)</f>
        <v>0.50164093837364776</v>
      </c>
      <c r="AA3050" t="s">
        <v>2522</v>
      </c>
      <c r="AB3050" s="79">
        <v>45793</v>
      </c>
      <c r="AC3050">
        <f>OrdersTable[[#This Row],[Delivery Date]]-OrdersTable[[#This Row],[Order Date]]</f>
        <v>2</v>
      </c>
      <c r="AD3050" t="str">
        <f>IF(OrdersTable[[#This Row],[Delivery Days]]&lt;=2, "Express (≤2d)", IF(OrdersTable[[#This Row],[Delivery Days]]&lt;=4, "Standard (3-4d)", "Delayed (5d+)"))</f>
        <v>Express (≤2d)</v>
      </c>
      <c r="AE3050">
        <v>4</v>
      </c>
      <c r="AF3050">
        <v>0</v>
      </c>
    </row>
    <row r="3051" spans="1:32" ht="15" x14ac:dyDescent="0.35">
      <c r="A3051" t="s">
        <v>1746</v>
      </c>
      <c r="B3051" s="1">
        <v>45791</v>
      </c>
      <c r="C3051">
        <f>YEAR(OrdersTable[[#This Row],[Order Date]])</f>
        <v>2025</v>
      </c>
      <c r="D3051" s="2">
        <f>DATE(YEAR(OrdersTable[[#This Row],[Order Date]]),MONTH(OrdersTable[[#This Row],[Order Date]]),1)</f>
        <v>45778</v>
      </c>
      <c r="E3051">
        <f>MONTH(OrdersTable[[#This Row],[Order Date]])</f>
        <v>5</v>
      </c>
      <c r="F3051" t="s">
        <v>1747</v>
      </c>
      <c r="G3051" t="str">
        <f>IF(OrdersTable[[#This Row],[Order Date]]=_xlfn.MINIFS(Order_Date, Customer_ID, OrdersTable[[#This Row],[Customer ID]]), "New", "Repeat")</f>
        <v>Repeat</v>
      </c>
      <c r="H3051" t="s">
        <v>32</v>
      </c>
      <c r="I3051" t="str">
        <f>INDEX(State!B:B,MATCH(OrdersTable[[#This Row],[State]],State!A:A,0))</f>
        <v>BR</v>
      </c>
      <c r="J3051" t="str">
        <f>INDEX(State!C:C,MATCH(OrdersTable[[#This Row],[State Code]],State!B:B,0))</f>
        <v>East</v>
      </c>
      <c r="K3051" t="s">
        <v>33</v>
      </c>
      <c r="L3051" t="s">
        <v>65</v>
      </c>
      <c r="M3051" t="s">
        <v>173</v>
      </c>
      <c r="N3051" t="str">
        <f>INDEX(Products!B:B,MATCH(OrdersTable[[#This Row],[Product ID]],Products!A:A,0))</f>
        <v>Wireless Earbuds</v>
      </c>
      <c r="O3051" t="str">
        <f>INDEX(Products!C:C,MATCH(OrdersTable[[#This Row],[Product ID]],Products!A:A,0))</f>
        <v>Electronics</v>
      </c>
      <c r="P3051">
        <v>1</v>
      </c>
      <c r="Q3051" s="5">
        <v>1999</v>
      </c>
      <c r="R3051" s="74">
        <v>0.4</v>
      </c>
      <c r="S3051" s="75">
        <f>OrdersTable[[#This Row],[Quantity]]*OrdersTable[[#This Row],[Unit Price]]</f>
        <v>1999</v>
      </c>
      <c r="T3051" s="5">
        <f>OrdersTable[[#This Row],[Gross Sale]]*OrdersTable[[#This Row],[Discount_Clean2]]</f>
        <v>799.6</v>
      </c>
      <c r="U3051" s="5">
        <f>OrdersTable[[#This Row],[Gross Sale]]-OrdersTable[[#This Row],[Discount Amount]]</f>
        <v>1199.4000000000001</v>
      </c>
      <c r="V3051" s="77">
        <f>INDEX(Products!E:E,MATCH(OrdersTable[[#This Row],[Product ID]],Products!A:A,0))</f>
        <v>1239</v>
      </c>
      <c r="W3051" s="77">
        <f>OrdersTable[[#This Row],[Quantity]]*OrdersTable[[#This Row],[Unit Cost]]</f>
        <v>1239</v>
      </c>
      <c r="X3051" s="77">
        <f>'Dropdown Lists'!$I$2*(1+OrdersTable[[#This Row],[Returned]])</f>
        <v>60</v>
      </c>
      <c r="Y3051" s="76">
        <f>OrdersTable[[#This Row],[Net Revenue]]-OrdersTable[[#This Row],[COGS]]-OrdersTable[[#This Row],[Shipping Cost]]</f>
        <v>-99.599999999999909</v>
      </c>
      <c r="Z3051" s="78">
        <f>IFERROR(OrdersTable[[#This Row],[Profit]]/OrdersTable[[#This Row],[Net Revenue]],0)</f>
        <v>-8.3041520760380114E-2</v>
      </c>
      <c r="AA3051" t="s">
        <v>18</v>
      </c>
      <c r="AB3051" s="79">
        <v>45795</v>
      </c>
      <c r="AC3051">
        <f>OrdersTable[[#This Row],[Delivery Date]]-OrdersTable[[#This Row],[Order Date]]</f>
        <v>4</v>
      </c>
      <c r="AD3051" t="str">
        <f>IF(OrdersTable[[#This Row],[Delivery Days]]&lt;=2, "Express (≤2d)", IF(OrdersTable[[#This Row],[Delivery Days]]&lt;=4, "Standard (3-4d)", "Delayed (5d+)"))</f>
        <v>Standard (3-4d)</v>
      </c>
      <c r="AF3051">
        <v>0</v>
      </c>
    </row>
    <row r="3052" spans="1:32" ht="15" x14ac:dyDescent="0.35">
      <c r="A3052" t="s">
        <v>6588</v>
      </c>
      <c r="B3052" s="1">
        <v>45791</v>
      </c>
      <c r="C3052">
        <f>YEAR(OrdersTable[[#This Row],[Order Date]])</f>
        <v>2025</v>
      </c>
      <c r="D3052" s="2">
        <f>DATE(YEAR(OrdersTable[[#This Row],[Order Date]]),MONTH(OrdersTable[[#This Row],[Order Date]]),1)</f>
        <v>45778</v>
      </c>
      <c r="E3052">
        <f>MONTH(OrdersTable[[#This Row],[Order Date]])</f>
        <v>5</v>
      </c>
      <c r="F3052" t="s">
        <v>2775</v>
      </c>
      <c r="G3052" t="str">
        <f>IF(OrdersTable[[#This Row],[Order Date]]=_xlfn.MINIFS(Order_Date, Customer_ID, OrdersTable[[#This Row],[Customer ID]]), "New", "Repeat")</f>
        <v>Repeat</v>
      </c>
      <c r="H3052" t="s">
        <v>59</v>
      </c>
      <c r="I3052" t="str">
        <f>INDEX(State!B:B,MATCH(OrdersTable[[#This Row],[State]],State!A:A,0))</f>
        <v>TN</v>
      </c>
      <c r="J3052" t="str">
        <f>INDEX(State!C:C,MATCH(OrdersTable[[#This Row],[State Code]],State!B:B,0))</f>
        <v>South</v>
      </c>
      <c r="K3052" t="s">
        <v>60</v>
      </c>
      <c r="L3052" t="s">
        <v>39</v>
      </c>
      <c r="M3052" t="s">
        <v>51</v>
      </c>
      <c r="N3052" t="str">
        <f>INDEX(Products!B:B,MATCH(OrdersTable[[#This Row],[Product ID]],Products!A:A,0))</f>
        <v>Anti-Dandruff Conditioner</v>
      </c>
      <c r="O3052" t="str">
        <f>INDEX(Products!C:C,MATCH(OrdersTable[[#This Row],[Product ID]],Products!A:A,0))</f>
        <v>Haircare</v>
      </c>
      <c r="P3052">
        <v>3</v>
      </c>
      <c r="Q3052" s="5">
        <v>399</v>
      </c>
      <c r="R3052" s="74">
        <v>0.4</v>
      </c>
      <c r="S3052" s="75">
        <f>OrdersTable[[#This Row],[Quantity]]*OrdersTable[[#This Row],[Unit Price]]</f>
        <v>1197</v>
      </c>
      <c r="T3052" s="5">
        <f>OrdersTable[[#This Row],[Gross Sale]]*OrdersTable[[#This Row],[Discount_Clean2]]</f>
        <v>478.8</v>
      </c>
      <c r="U3052" s="5">
        <f>OrdersTable[[#This Row],[Gross Sale]]-OrdersTable[[#This Row],[Discount Amount]]</f>
        <v>718.2</v>
      </c>
      <c r="V3052" s="77">
        <f>INDEX(Products!E:E,MATCH(OrdersTable[[#This Row],[Product ID]],Products!A:A,0))</f>
        <v>136</v>
      </c>
      <c r="W3052" s="77">
        <f>OrdersTable[[#This Row],[Quantity]]*OrdersTable[[#This Row],[Unit Cost]]</f>
        <v>408</v>
      </c>
      <c r="X3052" s="77">
        <f>'Dropdown Lists'!$I$2*(1+OrdersTable[[#This Row],[Returned]])</f>
        <v>60</v>
      </c>
      <c r="Y3052" s="76">
        <f>OrdersTable[[#This Row],[Net Revenue]]-OrdersTable[[#This Row],[COGS]]-OrdersTable[[#This Row],[Shipping Cost]]</f>
        <v>250.20000000000005</v>
      </c>
      <c r="Z3052" s="78">
        <f>IFERROR(OrdersTable[[#This Row],[Profit]]/OrdersTable[[#This Row],[Net Revenue]],0)</f>
        <v>0.34837092731829578</v>
      </c>
      <c r="AA3052" t="s">
        <v>18</v>
      </c>
      <c r="AB3052" s="79">
        <v>45793</v>
      </c>
      <c r="AC3052">
        <f>OrdersTable[[#This Row],[Delivery Date]]-OrdersTable[[#This Row],[Order Date]]</f>
        <v>2</v>
      </c>
      <c r="AD3052" t="str">
        <f>IF(OrdersTable[[#This Row],[Delivery Days]]&lt;=2, "Express (≤2d)", IF(OrdersTable[[#This Row],[Delivery Days]]&lt;=4, "Standard (3-4d)", "Delayed (5d+)"))</f>
        <v>Express (≤2d)</v>
      </c>
      <c r="AE3052">
        <v>4</v>
      </c>
      <c r="AF3052">
        <v>0</v>
      </c>
    </row>
    <row r="3053" spans="1:32" ht="15" x14ac:dyDescent="0.35">
      <c r="A3053" t="s">
        <v>6169</v>
      </c>
      <c r="B3053" s="1">
        <v>45792</v>
      </c>
      <c r="C3053">
        <f>YEAR(OrdersTable[[#This Row],[Order Date]])</f>
        <v>2025</v>
      </c>
      <c r="D3053" s="2">
        <f>DATE(YEAR(OrdersTable[[#This Row],[Order Date]]),MONTH(OrdersTable[[#This Row],[Order Date]]),1)</f>
        <v>45778</v>
      </c>
      <c r="E3053">
        <f>MONTH(OrdersTable[[#This Row],[Order Date]])</f>
        <v>5</v>
      </c>
      <c r="F3053" t="s">
        <v>5210</v>
      </c>
      <c r="G3053" t="str">
        <f>IF(OrdersTable[[#This Row],[Order Date]]=_xlfn.MINIFS(Order_Date, Customer_ID, OrdersTable[[#This Row],[Customer ID]]), "New", "Repeat")</f>
        <v>New</v>
      </c>
      <c r="H3053" t="s">
        <v>158</v>
      </c>
      <c r="I3053" t="str">
        <f>INDEX(State!B:B,MATCH(OrdersTable[[#This Row],[State]],State!A:A,0))</f>
        <v>HP</v>
      </c>
      <c r="J3053" t="str">
        <f>INDEX(State!C:C,MATCH(OrdersTable[[#This Row],[State Code]],State!B:B,0))</f>
        <v>North</v>
      </c>
      <c r="K3053" t="s">
        <v>159</v>
      </c>
      <c r="L3053" t="s">
        <v>50</v>
      </c>
      <c r="M3053" t="s">
        <v>40</v>
      </c>
      <c r="N3053" t="str">
        <f>INDEX(Products!B:B,MATCH(OrdersTable[[#This Row],[Product ID]],Products!A:A,0))</f>
        <v>Ashwagandha Capsules</v>
      </c>
      <c r="O3053" t="str">
        <f>INDEX(Products!C:C,MATCH(OrdersTable[[#This Row],[Product ID]],Products!A:A,0))</f>
        <v>Wellness</v>
      </c>
      <c r="P3053">
        <v>2</v>
      </c>
      <c r="Q3053" s="5">
        <v>499</v>
      </c>
      <c r="R3053" s="74">
        <v>0</v>
      </c>
      <c r="S3053" s="75">
        <f>OrdersTable[[#This Row],[Quantity]]*OrdersTable[[#This Row],[Unit Price]]</f>
        <v>998</v>
      </c>
      <c r="T3053" s="5">
        <f>OrdersTable[[#This Row],[Gross Sale]]*OrdersTable[[#This Row],[Discount_Clean2]]</f>
        <v>0</v>
      </c>
      <c r="U3053" s="5">
        <f>OrdersTable[[#This Row],[Gross Sale]]-OrdersTable[[#This Row],[Discount Amount]]</f>
        <v>998</v>
      </c>
      <c r="V3053" s="77">
        <f>INDEX(Products!E:E,MATCH(OrdersTable[[#This Row],[Product ID]],Products!A:A,0))</f>
        <v>150</v>
      </c>
      <c r="W3053" s="77">
        <f>OrdersTable[[#This Row],[Quantity]]*OrdersTable[[#This Row],[Unit Cost]]</f>
        <v>300</v>
      </c>
      <c r="X3053" s="77">
        <f>'Dropdown Lists'!$I$2*(1+OrdersTable[[#This Row],[Returned]])</f>
        <v>60</v>
      </c>
      <c r="Y3053" s="76">
        <f>OrdersTable[[#This Row],[Net Revenue]]-OrdersTable[[#This Row],[COGS]]-OrdersTable[[#This Row],[Shipping Cost]]</f>
        <v>638</v>
      </c>
      <c r="Z3053" s="78">
        <f>IFERROR(OrdersTable[[#This Row],[Profit]]/OrdersTable[[#This Row],[Net Revenue]],0)</f>
        <v>0.63927855711422843</v>
      </c>
      <c r="AA3053" t="s">
        <v>18</v>
      </c>
      <c r="AB3053" s="79">
        <v>45797</v>
      </c>
      <c r="AC3053">
        <f>OrdersTable[[#This Row],[Delivery Date]]-OrdersTable[[#This Row],[Order Date]]</f>
        <v>5</v>
      </c>
      <c r="AD3053" t="str">
        <f>IF(OrdersTable[[#This Row],[Delivery Days]]&lt;=2, "Express (≤2d)", IF(OrdersTable[[#This Row],[Delivery Days]]&lt;=4, "Standard (3-4d)", "Delayed (5d+)"))</f>
        <v>Delayed (5d+)</v>
      </c>
      <c r="AE3053">
        <v>4</v>
      </c>
      <c r="AF3053">
        <v>0</v>
      </c>
    </row>
    <row r="3054" spans="1:32" ht="15" x14ac:dyDescent="0.35">
      <c r="A3054" t="s">
        <v>3631</v>
      </c>
      <c r="B3054" s="1">
        <v>45792</v>
      </c>
      <c r="C3054">
        <f>YEAR(OrdersTable[[#This Row],[Order Date]])</f>
        <v>2025</v>
      </c>
      <c r="D3054" s="2">
        <f>DATE(YEAR(OrdersTable[[#This Row],[Order Date]]),MONTH(OrdersTable[[#This Row],[Order Date]]),1)</f>
        <v>45778</v>
      </c>
      <c r="E3054">
        <f>MONTH(OrdersTable[[#This Row],[Order Date]])</f>
        <v>5</v>
      </c>
      <c r="F3054" t="s">
        <v>1287</v>
      </c>
      <c r="G3054" t="str">
        <f>IF(OrdersTable[[#This Row],[Order Date]]=_xlfn.MINIFS(Order_Date, Customer_ID, OrdersTable[[#This Row],[Customer ID]]), "New", "Repeat")</f>
        <v>Repeat</v>
      </c>
      <c r="H3054" t="s">
        <v>184</v>
      </c>
      <c r="I3054" t="str">
        <f>INDEX(State!B:B,MATCH(OrdersTable[[#This Row],[State]],State!A:A,0))</f>
        <v>UK</v>
      </c>
      <c r="J3054" t="str">
        <f>INDEX(State!C:C,MATCH(OrdersTable[[#This Row],[State Code]],State!B:B,0))</f>
        <v>North</v>
      </c>
      <c r="K3054" t="s">
        <v>185</v>
      </c>
      <c r="L3054" t="s">
        <v>65</v>
      </c>
      <c r="M3054" t="s">
        <v>160</v>
      </c>
      <c r="N3054" t="str">
        <f>INDEX(Products!B:B,MATCH(OrdersTable[[#This Row],[Product ID]],Products!A:A,0))</f>
        <v>Niacinamide Toner</v>
      </c>
      <c r="O3054" t="str">
        <f>INDEX(Products!C:C,MATCH(OrdersTable[[#This Row],[Product ID]],Products!A:A,0))</f>
        <v>Skincare</v>
      </c>
      <c r="P3054">
        <v>1</v>
      </c>
      <c r="Q3054" s="5">
        <v>399</v>
      </c>
      <c r="R3054" s="74">
        <v>0.15</v>
      </c>
      <c r="S3054" s="75">
        <f>OrdersTable[[#This Row],[Quantity]]*OrdersTable[[#This Row],[Unit Price]]</f>
        <v>399</v>
      </c>
      <c r="T3054" s="5">
        <f>OrdersTable[[#This Row],[Gross Sale]]*OrdersTable[[#This Row],[Discount_Clean2]]</f>
        <v>59.849999999999994</v>
      </c>
      <c r="U3054" s="5">
        <f>OrdersTable[[#This Row],[Gross Sale]]-OrdersTable[[#This Row],[Discount Amount]]</f>
        <v>339.15</v>
      </c>
      <c r="V3054" s="77">
        <f>INDEX(Products!E:E,MATCH(OrdersTable[[#This Row],[Product ID]],Products!A:A,0))</f>
        <v>112</v>
      </c>
      <c r="W3054" s="77">
        <f>OrdersTable[[#This Row],[Quantity]]*OrdersTable[[#This Row],[Unit Cost]]</f>
        <v>112</v>
      </c>
      <c r="X3054" s="77">
        <f>'Dropdown Lists'!$I$2*(1+OrdersTable[[#This Row],[Returned]])</f>
        <v>60</v>
      </c>
      <c r="Y3054" s="76">
        <f>OrdersTable[[#This Row],[Net Revenue]]-OrdersTable[[#This Row],[COGS]]-OrdersTable[[#This Row],[Shipping Cost]]</f>
        <v>167.14999999999998</v>
      </c>
      <c r="Z3054" s="78">
        <f>IFERROR(OrdersTable[[#This Row],[Profit]]/OrdersTable[[#This Row],[Net Revenue]],0)</f>
        <v>0.49284977148754233</v>
      </c>
      <c r="AA3054" t="s">
        <v>3495</v>
      </c>
      <c r="AB3054" s="79">
        <v>45796</v>
      </c>
      <c r="AC3054">
        <f>OrdersTable[[#This Row],[Delivery Date]]-OrdersTable[[#This Row],[Order Date]]</f>
        <v>4</v>
      </c>
      <c r="AD3054" t="str">
        <f>IF(OrdersTable[[#This Row],[Delivery Days]]&lt;=2, "Express (≤2d)", IF(OrdersTable[[#This Row],[Delivery Days]]&lt;=4, "Standard (3-4d)", "Delayed (5d+)"))</f>
        <v>Standard (3-4d)</v>
      </c>
      <c r="AE3054">
        <v>4</v>
      </c>
      <c r="AF3054">
        <v>0</v>
      </c>
    </row>
    <row r="3055" spans="1:32" ht="15" x14ac:dyDescent="0.35">
      <c r="A3055" t="s">
        <v>1561</v>
      </c>
      <c r="B3055" s="1">
        <v>45792</v>
      </c>
      <c r="C3055">
        <f>YEAR(OrdersTable[[#This Row],[Order Date]])</f>
        <v>2025</v>
      </c>
      <c r="D3055" s="2">
        <f>DATE(YEAR(OrdersTable[[#This Row],[Order Date]]),MONTH(OrdersTable[[#This Row],[Order Date]]),1)</f>
        <v>45778</v>
      </c>
      <c r="E3055">
        <f>MONTH(OrdersTable[[#This Row],[Order Date]])</f>
        <v>5</v>
      </c>
      <c r="F3055" t="s">
        <v>666</v>
      </c>
      <c r="G3055" t="str">
        <f>IF(OrdersTable[[#This Row],[Order Date]]=_xlfn.MINIFS(Order_Date, Customer_ID, OrdersTable[[#This Row],[Customer ID]]), "New", "Repeat")</f>
        <v>Repeat</v>
      </c>
      <c r="H3055" t="s">
        <v>32</v>
      </c>
      <c r="I3055" t="str">
        <f>INDEX(State!B:B,MATCH(OrdersTable[[#This Row],[State]],State!A:A,0))</f>
        <v>BR</v>
      </c>
      <c r="J3055" t="str">
        <f>INDEX(State!C:C,MATCH(OrdersTable[[#This Row],[State Code]],State!B:B,0))</f>
        <v>East</v>
      </c>
      <c r="K3055" t="s">
        <v>33</v>
      </c>
      <c r="L3055" t="s">
        <v>39</v>
      </c>
      <c r="M3055" t="s">
        <v>56</v>
      </c>
      <c r="N3055" t="str">
        <f>INDEX(Products!B:B,MATCH(OrdersTable[[#This Row],[Product ID]],Products!A:A,0))</f>
        <v>Vitamin C Face Serum</v>
      </c>
      <c r="O3055" t="str">
        <f>INDEX(Products!C:C,MATCH(OrdersTable[[#This Row],[Product ID]],Products!A:A,0))</f>
        <v>Skincare</v>
      </c>
      <c r="P3055">
        <v>1</v>
      </c>
      <c r="Q3055" s="5">
        <v>599</v>
      </c>
      <c r="R3055" s="74">
        <v>0.2</v>
      </c>
      <c r="S3055" s="75">
        <f>OrdersTable[[#This Row],[Quantity]]*OrdersTable[[#This Row],[Unit Price]]</f>
        <v>599</v>
      </c>
      <c r="T3055" s="5">
        <f>OrdersTable[[#This Row],[Gross Sale]]*OrdersTable[[#This Row],[Discount_Clean2]]</f>
        <v>119.80000000000001</v>
      </c>
      <c r="U3055" s="5">
        <f>OrdersTable[[#This Row],[Gross Sale]]-OrdersTable[[#This Row],[Discount Amount]]</f>
        <v>479.2</v>
      </c>
      <c r="V3055" s="77">
        <f>INDEX(Products!E:E,MATCH(OrdersTable[[#This Row],[Product ID]],Products!A:A,0))</f>
        <v>180</v>
      </c>
      <c r="W3055" s="77">
        <f>OrdersTable[[#This Row],[Quantity]]*OrdersTable[[#This Row],[Unit Cost]]</f>
        <v>180</v>
      </c>
      <c r="X3055" s="77">
        <f>'Dropdown Lists'!$I$2*(1+OrdersTable[[#This Row],[Returned]])</f>
        <v>60</v>
      </c>
      <c r="Y3055" s="76">
        <f>OrdersTable[[#This Row],[Net Revenue]]-OrdersTable[[#This Row],[COGS]]-OrdersTable[[#This Row],[Shipping Cost]]</f>
        <v>239.2</v>
      </c>
      <c r="Z3055" s="78">
        <f>IFERROR(OrdersTable[[#This Row],[Profit]]/OrdersTable[[#This Row],[Net Revenue]],0)</f>
        <v>0.4991652754590985</v>
      </c>
      <c r="AA3055" t="s">
        <v>18</v>
      </c>
      <c r="AB3055" s="79">
        <v>45796</v>
      </c>
      <c r="AC3055">
        <f>OrdersTable[[#This Row],[Delivery Date]]-OrdersTable[[#This Row],[Order Date]]</f>
        <v>4</v>
      </c>
      <c r="AD3055" t="str">
        <f>IF(OrdersTable[[#This Row],[Delivery Days]]&lt;=2, "Express (≤2d)", IF(OrdersTable[[#This Row],[Delivery Days]]&lt;=4, "Standard (3-4d)", "Delayed (5d+)"))</f>
        <v>Standard (3-4d)</v>
      </c>
      <c r="AF3055">
        <v>0</v>
      </c>
    </row>
    <row r="3056" spans="1:32" ht="15" x14ac:dyDescent="0.35">
      <c r="A3056" t="s">
        <v>3061</v>
      </c>
      <c r="B3056" s="1">
        <v>45792</v>
      </c>
      <c r="C3056">
        <f>YEAR(OrdersTable[[#This Row],[Order Date]])</f>
        <v>2025</v>
      </c>
      <c r="D3056" s="2">
        <f>DATE(YEAR(OrdersTable[[#This Row],[Order Date]]),MONTH(OrdersTable[[#This Row],[Order Date]]),1)</f>
        <v>45778</v>
      </c>
      <c r="E3056">
        <f>MONTH(OrdersTable[[#This Row],[Order Date]])</f>
        <v>5</v>
      </c>
      <c r="F3056" t="s">
        <v>1200</v>
      </c>
      <c r="G3056" t="str">
        <f>IF(OrdersTable[[#This Row],[Order Date]]=_xlfn.MINIFS(Order_Date, Customer_ID, OrdersTable[[#This Row],[Customer ID]]), "New", "Repeat")</f>
        <v>Repeat</v>
      </c>
      <c r="H3056" t="s">
        <v>14</v>
      </c>
      <c r="I3056" t="str">
        <f>INDEX(State!B:B,MATCH(OrdersTable[[#This Row],[State]],State!A:A,0))</f>
        <v>OD</v>
      </c>
      <c r="J3056" t="str">
        <f>INDEX(State!C:C,MATCH(OrdersTable[[#This Row],[State Code]],State!B:B,0))</f>
        <v>East</v>
      </c>
      <c r="K3056" t="s">
        <v>15</v>
      </c>
      <c r="L3056" t="s">
        <v>50</v>
      </c>
      <c r="M3056" t="s">
        <v>66</v>
      </c>
      <c r="N3056" t="str">
        <f>INDEX(Products!B:B,MATCH(OrdersTable[[#This Row],[Product ID]],Products!A:A,0))</f>
        <v>Sunscreen SPF 50</v>
      </c>
      <c r="O3056" t="str">
        <f>INDEX(Products!C:C,MATCH(OrdersTable[[#This Row],[Product ID]],Products!A:A,0))</f>
        <v>Skincare</v>
      </c>
      <c r="P3056">
        <v>1</v>
      </c>
      <c r="Q3056" s="5">
        <v>449</v>
      </c>
      <c r="R3056" s="74">
        <v>0.15</v>
      </c>
      <c r="S3056" s="75">
        <f>OrdersTable[[#This Row],[Quantity]]*OrdersTable[[#This Row],[Unit Price]]</f>
        <v>449</v>
      </c>
      <c r="T3056" s="5">
        <f>OrdersTable[[#This Row],[Gross Sale]]*OrdersTable[[#This Row],[Discount_Clean2]]</f>
        <v>67.349999999999994</v>
      </c>
      <c r="U3056" s="5">
        <f>OrdersTable[[#This Row],[Gross Sale]]-OrdersTable[[#This Row],[Discount Amount]]</f>
        <v>381.65</v>
      </c>
      <c r="V3056" s="77">
        <f>INDEX(Products!E:E,MATCH(OrdersTable[[#This Row],[Product ID]],Products!A:A,0))</f>
        <v>144</v>
      </c>
      <c r="W3056" s="77">
        <f>OrdersTable[[#This Row],[Quantity]]*OrdersTable[[#This Row],[Unit Cost]]</f>
        <v>144</v>
      </c>
      <c r="X3056" s="77">
        <f>'Dropdown Lists'!$I$2*(1+OrdersTable[[#This Row],[Returned]])</f>
        <v>60</v>
      </c>
      <c r="Y3056" s="76">
        <f>OrdersTable[[#This Row],[Net Revenue]]-OrdersTable[[#This Row],[COGS]]-OrdersTable[[#This Row],[Shipping Cost]]</f>
        <v>177.64999999999998</v>
      </c>
      <c r="Z3056" s="78">
        <f>IFERROR(OrdersTable[[#This Row],[Profit]]/OrdersTable[[#This Row],[Net Revenue]],0)</f>
        <v>0.465478841870824</v>
      </c>
      <c r="AA3056" t="s">
        <v>2522</v>
      </c>
      <c r="AB3056" s="79">
        <v>45796</v>
      </c>
      <c r="AC3056">
        <f>OrdersTable[[#This Row],[Delivery Date]]-OrdersTable[[#This Row],[Order Date]]</f>
        <v>4</v>
      </c>
      <c r="AD3056" t="str">
        <f>IF(OrdersTable[[#This Row],[Delivery Days]]&lt;=2, "Express (≤2d)", IF(OrdersTable[[#This Row],[Delivery Days]]&lt;=4, "Standard (3-4d)", "Delayed (5d+)"))</f>
        <v>Standard (3-4d)</v>
      </c>
      <c r="AF3056">
        <v>0</v>
      </c>
    </row>
    <row r="3057" spans="1:32" ht="15" x14ac:dyDescent="0.35">
      <c r="A3057" t="s">
        <v>314</v>
      </c>
      <c r="B3057" s="1">
        <v>45792</v>
      </c>
      <c r="C3057">
        <f>YEAR(OrdersTable[[#This Row],[Order Date]])</f>
        <v>2025</v>
      </c>
      <c r="D3057" s="2">
        <f>DATE(YEAR(OrdersTable[[#This Row],[Order Date]]),MONTH(OrdersTable[[#This Row],[Order Date]]),1)</f>
        <v>45778</v>
      </c>
      <c r="E3057">
        <f>MONTH(OrdersTable[[#This Row],[Order Date]])</f>
        <v>5</v>
      </c>
      <c r="F3057" t="s">
        <v>315</v>
      </c>
      <c r="G3057" t="str">
        <f>IF(OrdersTable[[#This Row],[Order Date]]=_xlfn.MINIFS(Order_Date, Customer_ID, OrdersTable[[#This Row],[Customer ID]]), "New", "Repeat")</f>
        <v>Repeat</v>
      </c>
      <c r="H3057" t="s">
        <v>316</v>
      </c>
      <c r="I3057" t="str">
        <f>INDEX(State!B:B,MATCH(OrdersTable[[#This Row],[State]],State!A:A,0))</f>
        <v>KL</v>
      </c>
      <c r="J3057" t="str">
        <f>INDEX(State!C:C,MATCH(OrdersTable[[#This Row],[State Code]],State!B:B,0))</f>
        <v>South</v>
      </c>
      <c r="K3057" t="s">
        <v>317</v>
      </c>
      <c r="L3057" t="s">
        <v>65</v>
      </c>
      <c r="M3057" t="s">
        <v>205</v>
      </c>
      <c r="N3057" t="str">
        <f>INDEX(Products!B:B,MATCH(OrdersTable[[#This Row],[Product ID]],Products!A:A,0))</f>
        <v>Running Shoes</v>
      </c>
      <c r="O3057" t="str">
        <f>INDEX(Products!C:C,MATCH(OrdersTable[[#This Row],[Product ID]],Products!A:A,0))</f>
        <v>Footwear</v>
      </c>
      <c r="P3057">
        <v>1</v>
      </c>
      <c r="Q3057" s="5">
        <v>2999</v>
      </c>
      <c r="R3057" s="74">
        <v>0.3</v>
      </c>
      <c r="S3057" s="75">
        <f>OrdersTable[[#This Row],[Quantity]]*OrdersTable[[#This Row],[Unit Price]]</f>
        <v>2999</v>
      </c>
      <c r="T3057" s="5">
        <f>OrdersTable[[#This Row],[Gross Sale]]*OrdersTable[[#This Row],[Discount_Clean2]]</f>
        <v>899.69999999999993</v>
      </c>
      <c r="U3057" s="5">
        <f>OrdersTable[[#This Row],[Gross Sale]]-OrdersTable[[#This Row],[Discount Amount]]</f>
        <v>2099.3000000000002</v>
      </c>
      <c r="V3057" s="77">
        <f>INDEX(Products!E:E,MATCH(OrdersTable[[#This Row],[Product ID]],Products!A:A,0))</f>
        <v>1440</v>
      </c>
      <c r="W3057" s="77">
        <f>OrdersTable[[#This Row],[Quantity]]*OrdersTable[[#This Row],[Unit Cost]]</f>
        <v>1440</v>
      </c>
      <c r="X3057" s="77">
        <f>'Dropdown Lists'!$I$2*(1+OrdersTable[[#This Row],[Returned]])</f>
        <v>60</v>
      </c>
      <c r="Y3057" s="76">
        <f>OrdersTable[[#This Row],[Net Revenue]]-OrdersTable[[#This Row],[COGS]]-OrdersTable[[#This Row],[Shipping Cost]]</f>
        <v>599.30000000000018</v>
      </c>
      <c r="Z3057" s="78">
        <f>IFERROR(OrdersTable[[#This Row],[Profit]]/OrdersTable[[#This Row],[Net Revenue]],0)</f>
        <v>0.28547611108464732</v>
      </c>
      <c r="AA3057" t="s">
        <v>18</v>
      </c>
      <c r="AB3057" s="79">
        <v>45795</v>
      </c>
      <c r="AC3057">
        <f>OrdersTable[[#This Row],[Delivery Date]]-OrdersTable[[#This Row],[Order Date]]</f>
        <v>3</v>
      </c>
      <c r="AD3057" t="str">
        <f>IF(OrdersTable[[#This Row],[Delivery Days]]&lt;=2, "Express (≤2d)", IF(OrdersTable[[#This Row],[Delivery Days]]&lt;=4, "Standard (3-4d)", "Delayed (5d+)"))</f>
        <v>Standard (3-4d)</v>
      </c>
      <c r="AE3057">
        <v>4</v>
      </c>
      <c r="AF3057">
        <v>0</v>
      </c>
    </row>
    <row r="3058" spans="1:32" ht="15" x14ac:dyDescent="0.35">
      <c r="A3058" t="s">
        <v>2510</v>
      </c>
      <c r="B3058" s="1">
        <v>45793</v>
      </c>
      <c r="C3058">
        <f>YEAR(OrdersTable[[#This Row],[Order Date]])</f>
        <v>2025</v>
      </c>
      <c r="D3058" s="2">
        <f>DATE(YEAR(OrdersTable[[#This Row],[Order Date]]),MONTH(OrdersTable[[#This Row],[Order Date]]),1)</f>
        <v>45778</v>
      </c>
      <c r="E3058">
        <f>MONTH(OrdersTable[[#This Row],[Order Date]])</f>
        <v>5</v>
      </c>
      <c r="F3058" t="s">
        <v>2511</v>
      </c>
      <c r="G3058" t="str">
        <f>IF(OrdersTable[[#This Row],[Order Date]]=_xlfn.MINIFS(Order_Date, Customer_ID, OrdersTable[[#This Row],[Customer ID]]), "New", "Repeat")</f>
        <v>Repeat</v>
      </c>
      <c r="H3058" t="s">
        <v>210</v>
      </c>
      <c r="I3058" t="str">
        <f>INDEX(State!B:B,MATCH(OrdersTable[[#This Row],[State]],State!A:A,0))</f>
        <v>JK</v>
      </c>
      <c r="J3058" t="str">
        <f>INDEX(State!C:C,MATCH(OrdersTable[[#This Row],[State Code]],State!B:B,0))</f>
        <v>North</v>
      </c>
      <c r="K3058" t="s">
        <v>211</v>
      </c>
      <c r="L3058" t="s">
        <v>65</v>
      </c>
      <c r="M3058" t="s">
        <v>565</v>
      </c>
      <c r="N3058" t="str">
        <f>INDEX(Products!B:B,MATCH(OrdersTable[[#This Row],[Product ID]],Products!A:A,0))</f>
        <v>Ceramic Dinner Set</v>
      </c>
      <c r="O3058" t="str">
        <f>INDEX(Products!C:C,MATCH(OrdersTable[[#This Row],[Product ID]],Products!A:A,0))</f>
        <v>Home &amp; Kitchen</v>
      </c>
      <c r="P3058">
        <v>1</v>
      </c>
      <c r="Q3058" s="5">
        <v>2499</v>
      </c>
      <c r="R3058" s="74">
        <v>0.3</v>
      </c>
      <c r="S3058" s="75">
        <f>OrdersTable[[#This Row],[Quantity]]*OrdersTable[[#This Row],[Unit Price]]</f>
        <v>2499</v>
      </c>
      <c r="T3058" s="5">
        <f>OrdersTable[[#This Row],[Gross Sale]]*OrdersTable[[#This Row],[Discount_Clean2]]</f>
        <v>749.69999999999993</v>
      </c>
      <c r="U3058" s="5">
        <f>OrdersTable[[#This Row],[Gross Sale]]-OrdersTable[[#This Row],[Discount Amount]]</f>
        <v>1749.3000000000002</v>
      </c>
      <c r="V3058" s="77">
        <f>INDEX(Products!E:E,MATCH(OrdersTable[[#This Row],[Product ID]],Products!A:A,0))</f>
        <v>1250</v>
      </c>
      <c r="W3058" s="77">
        <f>OrdersTable[[#This Row],[Quantity]]*OrdersTable[[#This Row],[Unit Cost]]</f>
        <v>1250</v>
      </c>
      <c r="X3058" s="77">
        <f>'Dropdown Lists'!$I$2*(1+OrdersTable[[#This Row],[Returned]])</f>
        <v>60</v>
      </c>
      <c r="Y3058" s="76">
        <f>OrdersTable[[#This Row],[Net Revenue]]-OrdersTable[[#This Row],[COGS]]-OrdersTable[[#This Row],[Shipping Cost]]</f>
        <v>439.30000000000018</v>
      </c>
      <c r="Z3058" s="78">
        <f>IFERROR(OrdersTable[[#This Row],[Profit]]/OrdersTable[[#This Row],[Net Revenue]],0)</f>
        <v>0.25112902303778661</v>
      </c>
      <c r="AA3058" t="s">
        <v>18</v>
      </c>
      <c r="AB3058" s="79">
        <v>45799</v>
      </c>
      <c r="AC3058">
        <f>OrdersTable[[#This Row],[Delivery Date]]-OrdersTable[[#This Row],[Order Date]]</f>
        <v>6</v>
      </c>
      <c r="AD3058" t="str">
        <f>IF(OrdersTable[[#This Row],[Delivery Days]]&lt;=2, "Express (≤2d)", IF(OrdersTable[[#This Row],[Delivery Days]]&lt;=4, "Standard (3-4d)", "Delayed (5d+)"))</f>
        <v>Delayed (5d+)</v>
      </c>
      <c r="AE3058">
        <v>2</v>
      </c>
      <c r="AF3058">
        <v>0</v>
      </c>
    </row>
    <row r="3059" spans="1:32" ht="15" x14ac:dyDescent="0.35">
      <c r="A3059" t="s">
        <v>2409</v>
      </c>
      <c r="B3059" s="1">
        <v>45793</v>
      </c>
      <c r="C3059">
        <f>YEAR(OrdersTable[[#This Row],[Order Date]])</f>
        <v>2025</v>
      </c>
      <c r="D3059" s="2">
        <f>DATE(YEAR(OrdersTable[[#This Row],[Order Date]]),MONTH(OrdersTable[[#This Row],[Order Date]]),1)</f>
        <v>45778</v>
      </c>
      <c r="E3059">
        <f>MONTH(OrdersTable[[#This Row],[Order Date]])</f>
        <v>5</v>
      </c>
      <c r="F3059" t="s">
        <v>1624</v>
      </c>
      <c r="G3059" t="str">
        <f>IF(OrdersTable[[#This Row],[Order Date]]=_xlfn.MINIFS(Order_Date, Customer_ID, OrdersTable[[#This Row],[Customer ID]]), "New", "Repeat")</f>
        <v>Repeat</v>
      </c>
      <c r="H3059" t="s">
        <v>21</v>
      </c>
      <c r="I3059" t="str">
        <f>INDEX(State!B:B,MATCH(OrdersTable[[#This Row],[State]],State!A:A,0))</f>
        <v>PB</v>
      </c>
      <c r="J3059" t="str">
        <f>INDEX(State!C:C,MATCH(OrdersTable[[#This Row],[State Code]],State!B:B,0))</f>
        <v>North</v>
      </c>
      <c r="K3059" t="s">
        <v>260</v>
      </c>
      <c r="L3059" t="s">
        <v>16</v>
      </c>
      <c r="M3059" t="s">
        <v>205</v>
      </c>
      <c r="N3059" t="str">
        <f>INDEX(Products!B:B,MATCH(OrdersTable[[#This Row],[Product ID]],Products!A:A,0))</f>
        <v>Running Shoes</v>
      </c>
      <c r="O3059" t="str">
        <f>INDEX(Products!C:C,MATCH(OrdersTable[[#This Row],[Product ID]],Products!A:A,0))</f>
        <v>Footwear</v>
      </c>
      <c r="P3059">
        <v>1</v>
      </c>
      <c r="Q3059" s="5">
        <v>2999</v>
      </c>
      <c r="R3059" s="74">
        <v>0.15</v>
      </c>
      <c r="S3059" s="75">
        <f>OrdersTable[[#This Row],[Quantity]]*OrdersTable[[#This Row],[Unit Price]]</f>
        <v>2999</v>
      </c>
      <c r="T3059" s="5">
        <f>OrdersTable[[#This Row],[Gross Sale]]*OrdersTable[[#This Row],[Discount_Clean2]]</f>
        <v>449.84999999999997</v>
      </c>
      <c r="U3059" s="5">
        <f>OrdersTable[[#This Row],[Gross Sale]]-OrdersTable[[#This Row],[Discount Amount]]</f>
        <v>2549.15</v>
      </c>
      <c r="V3059" s="77">
        <f>INDEX(Products!E:E,MATCH(OrdersTable[[#This Row],[Product ID]],Products!A:A,0))</f>
        <v>1440</v>
      </c>
      <c r="W3059" s="77">
        <f>OrdersTable[[#This Row],[Quantity]]*OrdersTable[[#This Row],[Unit Cost]]</f>
        <v>1440</v>
      </c>
      <c r="X3059" s="77">
        <f>'Dropdown Lists'!$I$2*(1+OrdersTable[[#This Row],[Returned]])</f>
        <v>60</v>
      </c>
      <c r="Y3059" s="76">
        <f>OrdersTable[[#This Row],[Net Revenue]]-OrdersTable[[#This Row],[COGS]]-OrdersTable[[#This Row],[Shipping Cost]]</f>
        <v>1049.1500000000001</v>
      </c>
      <c r="Z3059" s="78">
        <f>IFERROR(OrdersTable[[#This Row],[Profit]]/OrdersTable[[#This Row],[Net Revenue]],0)</f>
        <v>0.41156856206970954</v>
      </c>
      <c r="AA3059" t="s">
        <v>18</v>
      </c>
      <c r="AB3059" s="79">
        <v>45795</v>
      </c>
      <c r="AC3059">
        <f>OrdersTable[[#This Row],[Delivery Date]]-OrdersTable[[#This Row],[Order Date]]</f>
        <v>2</v>
      </c>
      <c r="AD3059" t="str">
        <f>IF(OrdersTable[[#This Row],[Delivery Days]]&lt;=2, "Express (≤2d)", IF(OrdersTable[[#This Row],[Delivery Days]]&lt;=4, "Standard (3-4d)", "Delayed (5d+)"))</f>
        <v>Express (≤2d)</v>
      </c>
      <c r="AE3059">
        <v>5</v>
      </c>
      <c r="AF3059">
        <v>0</v>
      </c>
    </row>
    <row r="3060" spans="1:32" ht="15" x14ac:dyDescent="0.35">
      <c r="A3060" t="s">
        <v>3282</v>
      </c>
      <c r="B3060" s="1">
        <v>45793</v>
      </c>
      <c r="C3060">
        <f>YEAR(OrdersTable[[#This Row],[Order Date]])</f>
        <v>2025</v>
      </c>
      <c r="D3060" s="2">
        <f>DATE(YEAR(OrdersTable[[#This Row],[Order Date]]),MONTH(OrdersTable[[#This Row],[Order Date]]),1)</f>
        <v>45778</v>
      </c>
      <c r="E3060">
        <f>MONTH(OrdersTable[[#This Row],[Order Date]])</f>
        <v>5</v>
      </c>
      <c r="F3060" t="s">
        <v>3283</v>
      </c>
      <c r="G3060" t="str">
        <f>IF(OrdersTable[[#This Row],[Order Date]]=_xlfn.MINIFS(Order_Date, Customer_ID, OrdersTable[[#This Row],[Customer ID]]), "New", "Repeat")</f>
        <v>New</v>
      </c>
      <c r="H3060" t="s">
        <v>54</v>
      </c>
      <c r="I3060" t="str">
        <f>INDEX(State!B:B,MATCH(OrdersTable[[#This Row],[State]],State!A:A,0))</f>
        <v>RJ</v>
      </c>
      <c r="J3060" t="str">
        <f>INDEX(State!C:C,MATCH(OrdersTable[[#This Row],[State Code]],State!B:B,0))</f>
        <v>North</v>
      </c>
      <c r="K3060" t="s">
        <v>227</v>
      </c>
      <c r="L3060" t="s">
        <v>16</v>
      </c>
      <c r="M3060" t="s">
        <v>255</v>
      </c>
      <c r="N3060" t="str">
        <f>INDEX(Products!B:B,MATCH(OrdersTable[[#This Row],[Product ID]],Products!A:A,0))</f>
        <v>Cotton Oversized T-Shirt</v>
      </c>
      <c r="O3060" t="str">
        <f>INDEX(Products!C:C,MATCH(OrdersTable[[#This Row],[Product ID]],Products!A:A,0))</f>
        <v>Apparel</v>
      </c>
      <c r="P3060">
        <v>1</v>
      </c>
      <c r="Q3060" s="5">
        <v>799</v>
      </c>
      <c r="R3060" s="74">
        <v>0</v>
      </c>
      <c r="S3060" s="75">
        <f>OrdersTable[[#This Row],[Quantity]]*OrdersTable[[#This Row],[Unit Price]]</f>
        <v>799</v>
      </c>
      <c r="T3060" s="5">
        <f>OrdersTable[[#This Row],[Gross Sale]]*OrdersTable[[#This Row],[Discount_Clean2]]</f>
        <v>0</v>
      </c>
      <c r="U3060" s="5">
        <f>OrdersTable[[#This Row],[Gross Sale]]-OrdersTable[[#This Row],[Discount Amount]]</f>
        <v>799</v>
      </c>
      <c r="V3060" s="77">
        <f>INDEX(Products!E:E,MATCH(OrdersTable[[#This Row],[Product ID]],Products!A:A,0))</f>
        <v>320</v>
      </c>
      <c r="W3060" s="77">
        <f>OrdersTable[[#This Row],[Quantity]]*OrdersTable[[#This Row],[Unit Cost]]</f>
        <v>320</v>
      </c>
      <c r="X3060" s="77">
        <f>'Dropdown Lists'!$I$2*(1+OrdersTable[[#This Row],[Returned]])</f>
        <v>60</v>
      </c>
      <c r="Y3060" s="76">
        <f>OrdersTable[[#This Row],[Net Revenue]]-OrdersTable[[#This Row],[COGS]]-OrdersTable[[#This Row],[Shipping Cost]]</f>
        <v>419</v>
      </c>
      <c r="Z3060" s="78">
        <f>IFERROR(OrdersTable[[#This Row],[Profit]]/OrdersTable[[#This Row],[Net Revenue]],0)</f>
        <v>0.52440550688360454</v>
      </c>
      <c r="AA3060" t="s">
        <v>2522</v>
      </c>
      <c r="AB3060" s="79">
        <v>45796</v>
      </c>
      <c r="AC3060">
        <f>OrdersTable[[#This Row],[Delivery Date]]-OrdersTable[[#This Row],[Order Date]]</f>
        <v>3</v>
      </c>
      <c r="AD3060" t="str">
        <f>IF(OrdersTable[[#This Row],[Delivery Days]]&lt;=2, "Express (≤2d)", IF(OrdersTable[[#This Row],[Delivery Days]]&lt;=4, "Standard (3-4d)", "Delayed (5d+)"))</f>
        <v>Standard (3-4d)</v>
      </c>
      <c r="AE3060">
        <v>4</v>
      </c>
      <c r="AF3060">
        <v>0</v>
      </c>
    </row>
    <row r="3061" spans="1:32" ht="15" x14ac:dyDescent="0.35">
      <c r="A3061" t="s">
        <v>988</v>
      </c>
      <c r="B3061" s="1">
        <v>45793</v>
      </c>
      <c r="C3061">
        <f>YEAR(OrdersTable[[#This Row],[Order Date]])</f>
        <v>2025</v>
      </c>
      <c r="D3061" s="2">
        <f>DATE(YEAR(OrdersTable[[#This Row],[Order Date]]),MONTH(OrdersTable[[#This Row],[Order Date]]),1)</f>
        <v>45778</v>
      </c>
      <c r="E3061">
        <f>MONTH(OrdersTable[[#This Row],[Order Date]])</f>
        <v>5</v>
      </c>
      <c r="F3061" t="s">
        <v>230</v>
      </c>
      <c r="G3061" t="str">
        <f>IF(OrdersTable[[#This Row],[Order Date]]=_xlfn.MINIFS(Order_Date, Customer_ID, OrdersTable[[#This Row],[Customer ID]]), "New", "Repeat")</f>
        <v>Repeat</v>
      </c>
      <c r="H3061" t="s">
        <v>76</v>
      </c>
      <c r="I3061" t="str">
        <f>INDEX(State!B:B,MATCH(OrdersTable[[#This Row],[State]],State!A:A,0))</f>
        <v>UP</v>
      </c>
      <c r="J3061" t="str">
        <f>INDEX(State!C:C,MATCH(OrdersTable[[#This Row],[State Code]],State!B:B,0))</f>
        <v>North</v>
      </c>
      <c r="K3061" t="s">
        <v>118</v>
      </c>
      <c r="L3061" t="s">
        <v>50</v>
      </c>
      <c r="M3061" t="s">
        <v>61</v>
      </c>
      <c r="N3061" t="str">
        <f>INDEX(Products!B:B,MATCH(OrdersTable[[#This Row],[Product ID]],Products!A:A,0))</f>
        <v>Multivitamin Gummies</v>
      </c>
      <c r="O3061" t="str">
        <f>INDEX(Products!C:C,MATCH(OrdersTable[[#This Row],[Product ID]],Products!A:A,0))</f>
        <v>Wellness</v>
      </c>
      <c r="P3061">
        <v>1</v>
      </c>
      <c r="Q3061" s="5">
        <v>699</v>
      </c>
      <c r="R3061" s="74">
        <v>0.2</v>
      </c>
      <c r="S3061" s="75">
        <f>OrdersTable[[#This Row],[Quantity]]*OrdersTable[[#This Row],[Unit Price]]</f>
        <v>699</v>
      </c>
      <c r="T3061" s="5">
        <f>OrdersTable[[#This Row],[Gross Sale]]*OrdersTable[[#This Row],[Discount_Clean2]]</f>
        <v>139.80000000000001</v>
      </c>
      <c r="U3061" s="5">
        <f>OrdersTable[[#This Row],[Gross Sale]]-OrdersTable[[#This Row],[Discount Amount]]</f>
        <v>559.20000000000005</v>
      </c>
      <c r="V3061" s="77">
        <f>INDEX(Products!E:E,MATCH(OrdersTable[[#This Row],[Product ID]],Products!A:A,0))</f>
        <v>238</v>
      </c>
      <c r="W3061" s="77">
        <f>OrdersTable[[#This Row],[Quantity]]*OrdersTable[[#This Row],[Unit Cost]]</f>
        <v>238</v>
      </c>
      <c r="X3061" s="77">
        <f>'Dropdown Lists'!$I$2*(1+OrdersTable[[#This Row],[Returned]])</f>
        <v>60</v>
      </c>
      <c r="Y3061" s="76">
        <f>OrdersTable[[#This Row],[Net Revenue]]-OrdersTable[[#This Row],[COGS]]-OrdersTable[[#This Row],[Shipping Cost]]</f>
        <v>261.20000000000005</v>
      </c>
      <c r="Z3061" s="78">
        <f>IFERROR(OrdersTable[[#This Row],[Profit]]/OrdersTable[[#This Row],[Net Revenue]],0)</f>
        <v>0.46709585121602293</v>
      </c>
      <c r="AA3061" t="s">
        <v>18</v>
      </c>
      <c r="AB3061" s="79">
        <v>45796</v>
      </c>
      <c r="AC3061">
        <f>OrdersTable[[#This Row],[Delivery Date]]-OrdersTable[[#This Row],[Order Date]]</f>
        <v>3</v>
      </c>
      <c r="AD3061" t="str">
        <f>IF(OrdersTable[[#This Row],[Delivery Days]]&lt;=2, "Express (≤2d)", IF(OrdersTable[[#This Row],[Delivery Days]]&lt;=4, "Standard (3-4d)", "Delayed (5d+)"))</f>
        <v>Standard (3-4d)</v>
      </c>
      <c r="AE3061">
        <v>4</v>
      </c>
      <c r="AF3061">
        <v>0</v>
      </c>
    </row>
    <row r="3062" spans="1:32" ht="15" x14ac:dyDescent="0.35">
      <c r="A3062" t="s">
        <v>4703</v>
      </c>
      <c r="B3062" s="1">
        <v>45793</v>
      </c>
      <c r="C3062">
        <f>YEAR(OrdersTable[[#This Row],[Order Date]])</f>
        <v>2025</v>
      </c>
      <c r="D3062" s="2">
        <f>DATE(YEAR(OrdersTable[[#This Row],[Order Date]]),MONTH(OrdersTable[[#This Row],[Order Date]]),1)</f>
        <v>45778</v>
      </c>
      <c r="E3062">
        <f>MONTH(OrdersTable[[#This Row],[Order Date]])</f>
        <v>5</v>
      </c>
      <c r="F3062" t="s">
        <v>1186</v>
      </c>
      <c r="G3062" t="str">
        <f>IF(OrdersTable[[#This Row],[Order Date]]=_xlfn.MINIFS(Order_Date, Customer_ID, OrdersTable[[#This Row],[Customer ID]]), "New", "Repeat")</f>
        <v>Repeat</v>
      </c>
      <c r="H3062" t="s">
        <v>76</v>
      </c>
      <c r="I3062" t="str">
        <f>INDEX(State!B:B,MATCH(OrdersTable[[#This Row],[State]],State!A:A,0))</f>
        <v>UP</v>
      </c>
      <c r="J3062" t="str">
        <f>INDEX(State!C:C,MATCH(OrdersTable[[#This Row],[State Code]],State!B:B,0))</f>
        <v>North</v>
      </c>
      <c r="K3062" t="s">
        <v>77</v>
      </c>
      <c r="L3062" t="s">
        <v>23</v>
      </c>
      <c r="M3062" t="s">
        <v>106</v>
      </c>
      <c r="N3062" t="str">
        <f>INDEX(Products!B:B,MATCH(OrdersTable[[#This Row],[Product ID]],Products!A:A,0))</f>
        <v>Keratin Hair Mask</v>
      </c>
      <c r="O3062" t="str">
        <f>INDEX(Products!C:C,MATCH(OrdersTable[[#This Row],[Product ID]],Products!A:A,0))</f>
        <v>Haircare</v>
      </c>
      <c r="P3062">
        <v>1</v>
      </c>
      <c r="Q3062" s="5">
        <v>549</v>
      </c>
      <c r="R3062" s="74">
        <v>0.1</v>
      </c>
      <c r="S3062" s="75">
        <f>OrdersTable[[#This Row],[Quantity]]*OrdersTable[[#This Row],[Unit Price]]</f>
        <v>549</v>
      </c>
      <c r="T3062" s="5">
        <f>OrdersTable[[#This Row],[Gross Sale]]*OrdersTable[[#This Row],[Discount_Clean2]]</f>
        <v>54.900000000000006</v>
      </c>
      <c r="U3062" s="5">
        <f>OrdersTable[[#This Row],[Gross Sale]]-OrdersTable[[#This Row],[Discount Amount]]</f>
        <v>494.1</v>
      </c>
      <c r="V3062" s="77">
        <f>INDEX(Products!E:E,MATCH(OrdersTable[[#This Row],[Product ID]],Products!A:A,0))</f>
        <v>170</v>
      </c>
      <c r="W3062" s="77">
        <f>OrdersTable[[#This Row],[Quantity]]*OrdersTable[[#This Row],[Unit Cost]]</f>
        <v>170</v>
      </c>
      <c r="X3062" s="77">
        <f>'Dropdown Lists'!$I$2*(1+OrdersTable[[#This Row],[Returned]])</f>
        <v>60</v>
      </c>
      <c r="Y3062" s="76">
        <f>OrdersTable[[#This Row],[Net Revenue]]-OrdersTable[[#This Row],[COGS]]-OrdersTable[[#This Row],[Shipping Cost]]</f>
        <v>264.10000000000002</v>
      </c>
      <c r="Z3062" s="78">
        <f>IFERROR(OrdersTable[[#This Row],[Profit]]/OrdersTable[[#This Row],[Net Revenue]],0)</f>
        <v>0.53450718478040882</v>
      </c>
      <c r="AA3062" t="s">
        <v>4450</v>
      </c>
      <c r="AB3062" s="79">
        <v>45797</v>
      </c>
      <c r="AC3062">
        <f>OrdersTable[[#This Row],[Delivery Date]]-OrdersTable[[#This Row],[Order Date]]</f>
        <v>4</v>
      </c>
      <c r="AD3062" t="str">
        <f>IF(OrdersTable[[#This Row],[Delivery Days]]&lt;=2, "Express (≤2d)", IF(OrdersTable[[#This Row],[Delivery Days]]&lt;=4, "Standard (3-4d)", "Delayed (5d+)"))</f>
        <v>Standard (3-4d)</v>
      </c>
      <c r="AE3062">
        <v>3</v>
      </c>
      <c r="AF3062">
        <v>0</v>
      </c>
    </row>
    <row r="3063" spans="1:32" ht="15" x14ac:dyDescent="0.35">
      <c r="A3063" t="s">
        <v>1090</v>
      </c>
      <c r="B3063" s="1">
        <v>45793</v>
      </c>
      <c r="C3063">
        <f>YEAR(OrdersTable[[#This Row],[Order Date]])</f>
        <v>2025</v>
      </c>
      <c r="D3063" s="2">
        <f>DATE(YEAR(OrdersTable[[#This Row],[Order Date]]),MONTH(OrdersTable[[#This Row],[Order Date]]),1)</f>
        <v>45778</v>
      </c>
      <c r="E3063">
        <f>MONTH(OrdersTable[[#This Row],[Order Date]])</f>
        <v>5</v>
      </c>
      <c r="F3063" t="s">
        <v>1091</v>
      </c>
      <c r="G3063" t="str">
        <f>IF(OrdersTable[[#This Row],[Order Date]]=_xlfn.MINIFS(Order_Date, Customer_ID, OrdersTable[[#This Row],[Customer ID]]), "New", "Repeat")</f>
        <v>New</v>
      </c>
      <c r="H3063" t="s">
        <v>37</v>
      </c>
      <c r="I3063" t="str">
        <f>INDEX(State!B:B,MATCH(OrdersTable[[#This Row],[State]],State!A:A,0))</f>
        <v>GJ</v>
      </c>
      <c r="J3063" t="str">
        <f>INDEX(State!C:C,MATCH(OrdersTable[[#This Row],[State Code]],State!B:B,0))</f>
        <v>West</v>
      </c>
      <c r="K3063" t="s">
        <v>38</v>
      </c>
      <c r="L3063" t="s">
        <v>65</v>
      </c>
      <c r="M3063" t="s">
        <v>255</v>
      </c>
      <c r="N3063" t="str">
        <f>INDEX(Products!B:B,MATCH(OrdersTable[[#This Row],[Product ID]],Products!A:A,0))</f>
        <v>Cotton Oversized T-Shirt</v>
      </c>
      <c r="O3063" t="str">
        <f>INDEX(Products!C:C,MATCH(OrdersTable[[#This Row],[Product ID]],Products!A:A,0))</f>
        <v>Apparel</v>
      </c>
      <c r="P3063">
        <v>1</v>
      </c>
      <c r="Q3063" s="5">
        <v>799</v>
      </c>
      <c r="R3063" s="74">
        <v>0</v>
      </c>
      <c r="S3063" s="75">
        <f>OrdersTable[[#This Row],[Quantity]]*OrdersTable[[#This Row],[Unit Price]]</f>
        <v>799</v>
      </c>
      <c r="T3063" s="5">
        <f>OrdersTable[[#This Row],[Gross Sale]]*OrdersTable[[#This Row],[Discount_Clean2]]</f>
        <v>0</v>
      </c>
      <c r="U3063" s="5">
        <f>OrdersTable[[#This Row],[Gross Sale]]-OrdersTable[[#This Row],[Discount Amount]]</f>
        <v>799</v>
      </c>
      <c r="V3063" s="77">
        <f>INDEX(Products!E:E,MATCH(OrdersTable[[#This Row],[Product ID]],Products!A:A,0))</f>
        <v>320</v>
      </c>
      <c r="W3063" s="77">
        <f>OrdersTable[[#This Row],[Quantity]]*OrdersTable[[#This Row],[Unit Cost]]</f>
        <v>320</v>
      </c>
      <c r="X3063" s="77">
        <f>'Dropdown Lists'!$I$2*(1+OrdersTable[[#This Row],[Returned]])</f>
        <v>120</v>
      </c>
      <c r="Y3063" s="76">
        <f>OrdersTable[[#This Row],[Net Revenue]]-OrdersTable[[#This Row],[COGS]]-OrdersTable[[#This Row],[Shipping Cost]]</f>
        <v>359</v>
      </c>
      <c r="Z3063" s="78">
        <f>IFERROR(OrdersTable[[#This Row],[Profit]]/OrdersTable[[#This Row],[Net Revenue]],0)</f>
        <v>0.44931163954943681</v>
      </c>
      <c r="AA3063" t="s">
        <v>18</v>
      </c>
      <c r="AB3063" s="79">
        <v>45795</v>
      </c>
      <c r="AC3063">
        <f>OrdersTable[[#This Row],[Delivery Date]]-OrdersTable[[#This Row],[Order Date]]</f>
        <v>2</v>
      </c>
      <c r="AD3063" t="str">
        <f>IF(OrdersTable[[#This Row],[Delivery Days]]&lt;=2, "Express (≤2d)", IF(OrdersTable[[#This Row],[Delivery Days]]&lt;=4, "Standard (3-4d)", "Delayed (5d+)"))</f>
        <v>Express (≤2d)</v>
      </c>
      <c r="AE3063">
        <v>4</v>
      </c>
      <c r="AF3063">
        <v>1</v>
      </c>
    </row>
    <row r="3064" spans="1:32" ht="15" x14ac:dyDescent="0.35">
      <c r="A3064" t="s">
        <v>989</v>
      </c>
      <c r="B3064" s="1">
        <v>45793</v>
      </c>
      <c r="C3064">
        <f>YEAR(OrdersTable[[#This Row],[Order Date]])</f>
        <v>2025</v>
      </c>
      <c r="D3064" s="2">
        <f>DATE(YEAR(OrdersTable[[#This Row],[Order Date]]),MONTH(OrdersTable[[#This Row],[Order Date]]),1)</f>
        <v>45778</v>
      </c>
      <c r="E3064">
        <f>MONTH(OrdersTable[[#This Row],[Order Date]])</f>
        <v>5</v>
      </c>
      <c r="F3064" t="s">
        <v>280</v>
      </c>
      <c r="G3064" t="str">
        <f>IF(OrdersTable[[#This Row],[Order Date]]=_xlfn.MINIFS(Order_Date, Customer_ID, OrdersTable[[#This Row],[Customer ID]]), "New", "Repeat")</f>
        <v>Repeat</v>
      </c>
      <c r="H3064" t="s">
        <v>95</v>
      </c>
      <c r="I3064" t="str">
        <f>INDEX(State!B:B,MATCH(OrdersTable[[#This Row],[State]],State!A:A,0))</f>
        <v>TG</v>
      </c>
      <c r="J3064" t="str">
        <f>INDEX(State!C:C,MATCH(OrdersTable[[#This Row],[State Code]],State!B:B,0))</f>
        <v>South</v>
      </c>
      <c r="K3064" t="s">
        <v>96</v>
      </c>
      <c r="L3064" t="s">
        <v>50</v>
      </c>
      <c r="M3064" t="s">
        <v>40</v>
      </c>
      <c r="N3064" t="str">
        <f>INDEX(Products!B:B,MATCH(OrdersTable[[#This Row],[Product ID]],Products!A:A,0))</f>
        <v>Ashwagandha Capsules</v>
      </c>
      <c r="O3064" t="str">
        <f>INDEX(Products!C:C,MATCH(OrdersTable[[#This Row],[Product ID]],Products!A:A,0))</f>
        <v>Wellness</v>
      </c>
      <c r="P3064">
        <v>1</v>
      </c>
      <c r="Q3064" s="5">
        <v>499</v>
      </c>
      <c r="R3064" s="74">
        <v>0</v>
      </c>
      <c r="S3064" s="75">
        <f>OrdersTable[[#This Row],[Quantity]]*OrdersTable[[#This Row],[Unit Price]]</f>
        <v>499</v>
      </c>
      <c r="T3064" s="5">
        <f>OrdersTable[[#This Row],[Gross Sale]]*OrdersTable[[#This Row],[Discount_Clean2]]</f>
        <v>0</v>
      </c>
      <c r="U3064" s="5">
        <f>OrdersTable[[#This Row],[Gross Sale]]-OrdersTable[[#This Row],[Discount Amount]]</f>
        <v>499</v>
      </c>
      <c r="V3064" s="77">
        <f>INDEX(Products!E:E,MATCH(OrdersTable[[#This Row],[Product ID]],Products!A:A,0))</f>
        <v>150</v>
      </c>
      <c r="W3064" s="77">
        <f>OrdersTable[[#This Row],[Quantity]]*OrdersTable[[#This Row],[Unit Cost]]</f>
        <v>150</v>
      </c>
      <c r="X3064" s="77">
        <f>'Dropdown Lists'!$I$2*(1+OrdersTable[[#This Row],[Returned]])</f>
        <v>60</v>
      </c>
      <c r="Y3064" s="76">
        <f>OrdersTable[[#This Row],[Net Revenue]]-OrdersTable[[#This Row],[COGS]]-OrdersTable[[#This Row],[Shipping Cost]]</f>
        <v>289</v>
      </c>
      <c r="Z3064" s="78">
        <f>IFERROR(OrdersTable[[#This Row],[Profit]]/OrdersTable[[#This Row],[Net Revenue]],0)</f>
        <v>0.57915831663326656</v>
      </c>
      <c r="AA3064" t="s">
        <v>18</v>
      </c>
      <c r="AB3064" s="79">
        <v>45797</v>
      </c>
      <c r="AC3064">
        <f>OrdersTable[[#This Row],[Delivery Date]]-OrdersTable[[#This Row],[Order Date]]</f>
        <v>4</v>
      </c>
      <c r="AD3064" t="str">
        <f>IF(OrdersTable[[#This Row],[Delivery Days]]&lt;=2, "Express (≤2d)", IF(OrdersTable[[#This Row],[Delivery Days]]&lt;=4, "Standard (3-4d)", "Delayed (5d+)"))</f>
        <v>Standard (3-4d)</v>
      </c>
      <c r="AE3064">
        <v>4</v>
      </c>
      <c r="AF3064">
        <v>0</v>
      </c>
    </row>
    <row r="3065" spans="1:32" ht="15" x14ac:dyDescent="0.35">
      <c r="A3065" t="s">
        <v>4839</v>
      </c>
      <c r="B3065" s="1">
        <v>45793</v>
      </c>
      <c r="C3065">
        <f>YEAR(OrdersTable[[#This Row],[Order Date]])</f>
        <v>2025</v>
      </c>
      <c r="D3065" s="2">
        <f>DATE(YEAR(OrdersTable[[#This Row],[Order Date]]),MONTH(OrdersTable[[#This Row],[Order Date]]),1)</f>
        <v>45778</v>
      </c>
      <c r="E3065">
        <f>MONTH(OrdersTable[[#This Row],[Order Date]])</f>
        <v>5</v>
      </c>
      <c r="F3065" t="s">
        <v>1365</v>
      </c>
      <c r="G3065" t="str">
        <f>IF(OrdersTable[[#This Row],[Order Date]]=_xlfn.MINIFS(Order_Date, Customer_ID, OrdersTable[[#This Row],[Customer ID]]), "New", "Repeat")</f>
        <v>Repeat</v>
      </c>
      <c r="H3065" t="s">
        <v>275</v>
      </c>
      <c r="I3065" t="str">
        <f>INDEX(State!B:B,MATCH(OrdersTable[[#This Row],[State]],State!A:A,0))</f>
        <v>AP</v>
      </c>
      <c r="J3065" t="str">
        <f>INDEX(State!C:C,MATCH(OrdersTable[[#This Row],[State Code]],State!B:B,0))</f>
        <v>South</v>
      </c>
      <c r="K3065" t="s">
        <v>276</v>
      </c>
      <c r="L3065" t="s">
        <v>16</v>
      </c>
      <c r="M3065" t="s">
        <v>87</v>
      </c>
      <c r="N3065" t="str">
        <f>INDEX(Products!B:B,MATCH(OrdersTable[[#This Row],[Product ID]],Products!A:A,0))</f>
        <v>Linen Kurta</v>
      </c>
      <c r="O3065" t="str">
        <f>INDEX(Products!C:C,MATCH(OrdersTable[[#This Row],[Product ID]],Products!A:A,0))</f>
        <v>Apparel</v>
      </c>
      <c r="P3065">
        <v>2</v>
      </c>
      <c r="Q3065" s="5">
        <v>1499</v>
      </c>
      <c r="R3065" s="74">
        <v>0.25</v>
      </c>
      <c r="S3065" s="75">
        <f>OrdersTable[[#This Row],[Quantity]]*OrdersTable[[#This Row],[Unit Price]]</f>
        <v>2998</v>
      </c>
      <c r="T3065" s="5">
        <f>OrdersTable[[#This Row],[Gross Sale]]*OrdersTable[[#This Row],[Discount_Clean2]]</f>
        <v>749.5</v>
      </c>
      <c r="U3065" s="5">
        <f>OrdersTable[[#This Row],[Gross Sale]]-OrdersTable[[#This Row],[Discount Amount]]</f>
        <v>2248.5</v>
      </c>
      <c r="V3065" s="77">
        <f>INDEX(Products!E:E,MATCH(OrdersTable[[#This Row],[Product ID]],Products!A:A,0))</f>
        <v>630</v>
      </c>
      <c r="W3065" s="77">
        <f>OrdersTable[[#This Row],[Quantity]]*OrdersTable[[#This Row],[Unit Cost]]</f>
        <v>1260</v>
      </c>
      <c r="X3065" s="77">
        <f>'Dropdown Lists'!$I$2*(1+OrdersTable[[#This Row],[Returned]])</f>
        <v>60</v>
      </c>
      <c r="Y3065" s="76">
        <f>OrdersTable[[#This Row],[Net Revenue]]-OrdersTable[[#This Row],[COGS]]-OrdersTable[[#This Row],[Shipping Cost]]</f>
        <v>928.5</v>
      </c>
      <c r="Z3065" s="78">
        <f>IFERROR(OrdersTable[[#This Row],[Profit]]/OrdersTable[[#This Row],[Net Revenue]],0)</f>
        <v>0.41294196130753835</v>
      </c>
      <c r="AA3065" t="s">
        <v>4450</v>
      </c>
      <c r="AB3065" s="79">
        <v>45799</v>
      </c>
      <c r="AC3065">
        <f>OrdersTable[[#This Row],[Delivery Date]]-OrdersTable[[#This Row],[Order Date]]</f>
        <v>6</v>
      </c>
      <c r="AD3065" t="str">
        <f>IF(OrdersTable[[#This Row],[Delivery Days]]&lt;=2, "Express (≤2d)", IF(OrdersTable[[#This Row],[Delivery Days]]&lt;=4, "Standard (3-4d)", "Delayed (5d+)"))</f>
        <v>Delayed (5d+)</v>
      </c>
      <c r="AE3065">
        <v>4</v>
      </c>
      <c r="AF3065">
        <v>0</v>
      </c>
    </row>
    <row r="3066" spans="1:32" ht="15" x14ac:dyDescent="0.35">
      <c r="A3066" t="s">
        <v>5416</v>
      </c>
      <c r="B3066" s="1">
        <v>45793</v>
      </c>
      <c r="C3066">
        <f>YEAR(OrdersTable[[#This Row],[Order Date]])</f>
        <v>2025</v>
      </c>
      <c r="D3066" s="2">
        <f>DATE(YEAR(OrdersTable[[#This Row],[Order Date]]),MONTH(OrdersTable[[#This Row],[Order Date]]),1)</f>
        <v>45778</v>
      </c>
      <c r="E3066">
        <f>MONTH(OrdersTable[[#This Row],[Order Date]])</f>
        <v>5</v>
      </c>
      <c r="F3066" t="s">
        <v>729</v>
      </c>
      <c r="G3066" t="str">
        <f>IF(OrdersTable[[#This Row],[Order Date]]=_xlfn.MINIFS(Order_Date, Customer_ID, OrdersTable[[#This Row],[Customer ID]]), "New", "Repeat")</f>
        <v>Repeat</v>
      </c>
      <c r="H3066" t="s">
        <v>275</v>
      </c>
      <c r="I3066" t="str">
        <f>INDEX(State!B:B,MATCH(OrdersTable[[#This Row],[State]],State!A:A,0))</f>
        <v>AP</v>
      </c>
      <c r="J3066" t="str">
        <f>INDEX(State!C:C,MATCH(OrdersTable[[#This Row],[State Code]],State!B:B,0))</f>
        <v>South</v>
      </c>
      <c r="K3066" t="s">
        <v>491</v>
      </c>
      <c r="L3066" t="s">
        <v>23</v>
      </c>
      <c r="M3066" t="s">
        <v>109</v>
      </c>
      <c r="N3066" t="str">
        <f>INDEX(Products!B:B,MATCH(OrdersTable[[#This Row],[Product ID]],Products!A:A,0))</f>
        <v>Onion Hair Oil</v>
      </c>
      <c r="O3066" t="str">
        <f>INDEX(Products!C:C,MATCH(OrdersTable[[#This Row],[Product ID]],Products!A:A,0))</f>
        <v>Haircare</v>
      </c>
      <c r="P3066">
        <v>2</v>
      </c>
      <c r="Q3066" s="5">
        <v>349</v>
      </c>
      <c r="R3066" s="74">
        <v>0.25</v>
      </c>
      <c r="S3066" s="75">
        <f>OrdersTable[[#This Row],[Quantity]]*OrdersTable[[#This Row],[Unit Price]]</f>
        <v>698</v>
      </c>
      <c r="T3066" s="5">
        <f>OrdersTable[[#This Row],[Gross Sale]]*OrdersTable[[#This Row],[Discount_Clean2]]</f>
        <v>174.5</v>
      </c>
      <c r="U3066" s="5">
        <f>OrdersTable[[#This Row],[Gross Sale]]-OrdersTable[[#This Row],[Discount Amount]]</f>
        <v>523.5</v>
      </c>
      <c r="V3066" s="77">
        <f>INDEX(Products!E:E,MATCH(OrdersTable[[#This Row],[Product ID]],Products!A:A,0))</f>
        <v>105</v>
      </c>
      <c r="W3066" s="77">
        <f>OrdersTable[[#This Row],[Quantity]]*OrdersTable[[#This Row],[Unit Cost]]</f>
        <v>210</v>
      </c>
      <c r="X3066" s="77">
        <f>'Dropdown Lists'!$I$2*(1+OrdersTable[[#This Row],[Returned]])</f>
        <v>60</v>
      </c>
      <c r="Y3066" s="76">
        <f>OrdersTable[[#This Row],[Net Revenue]]-OrdersTable[[#This Row],[COGS]]-OrdersTable[[#This Row],[Shipping Cost]]</f>
        <v>253.5</v>
      </c>
      <c r="Z3066" s="78">
        <f>IFERROR(OrdersTable[[#This Row],[Profit]]/OrdersTable[[#This Row],[Net Revenue]],0)</f>
        <v>0.48424068767908307</v>
      </c>
      <c r="AA3066" t="s">
        <v>2522</v>
      </c>
      <c r="AB3066" s="79">
        <v>45798</v>
      </c>
      <c r="AC3066">
        <f>OrdersTable[[#This Row],[Delivery Date]]-OrdersTable[[#This Row],[Order Date]]</f>
        <v>5</v>
      </c>
      <c r="AD3066" t="str">
        <f>IF(OrdersTable[[#This Row],[Delivery Days]]&lt;=2, "Express (≤2d)", IF(OrdersTable[[#This Row],[Delivery Days]]&lt;=4, "Standard (3-4d)", "Delayed (5d+)"))</f>
        <v>Delayed (5d+)</v>
      </c>
      <c r="AE3066">
        <v>3</v>
      </c>
      <c r="AF3066">
        <v>0</v>
      </c>
    </row>
    <row r="3067" spans="1:32" ht="15" x14ac:dyDescent="0.35">
      <c r="A3067" t="s">
        <v>7009</v>
      </c>
      <c r="B3067" s="1">
        <v>45794</v>
      </c>
      <c r="C3067">
        <f>YEAR(OrdersTable[[#This Row],[Order Date]])</f>
        <v>2025</v>
      </c>
      <c r="D3067" s="2">
        <f>DATE(YEAR(OrdersTable[[#This Row],[Order Date]]),MONTH(OrdersTable[[#This Row],[Order Date]]),1)</f>
        <v>45778</v>
      </c>
      <c r="E3067">
        <f>MONTH(OrdersTable[[#This Row],[Order Date]])</f>
        <v>5</v>
      </c>
      <c r="F3067" t="s">
        <v>2423</v>
      </c>
      <c r="G3067" t="str">
        <f>IF(OrdersTable[[#This Row],[Order Date]]=_xlfn.MINIFS(Order_Date, Customer_ID, OrdersTable[[#This Row],[Customer ID]]), "New", "Repeat")</f>
        <v>Repeat</v>
      </c>
      <c r="H3067" t="s">
        <v>48</v>
      </c>
      <c r="I3067" t="str">
        <f>INDEX(State!B:B,MATCH(OrdersTable[[#This Row],[State]],State!A:A,0))</f>
        <v>HR</v>
      </c>
      <c r="J3067" t="str">
        <f>INDEX(State!C:C,MATCH(OrdersTable[[#This Row],[State Code]],State!B:B,0))</f>
        <v>North</v>
      </c>
      <c r="K3067" t="s">
        <v>151</v>
      </c>
      <c r="L3067" t="s">
        <v>16</v>
      </c>
      <c r="M3067" t="s">
        <v>92</v>
      </c>
      <c r="N3067" t="str">
        <f>INDEX(Products!B:B,MATCH(OrdersTable[[#This Row],[Product ID]],Products!A:A,0))</f>
        <v>Kolhapuri Sandals</v>
      </c>
      <c r="O3067" t="str">
        <f>INDEX(Products!C:C,MATCH(OrdersTable[[#This Row],[Product ID]],Products!A:A,0))</f>
        <v>Footwear</v>
      </c>
      <c r="P3067">
        <v>4</v>
      </c>
      <c r="Q3067" s="5">
        <v>999</v>
      </c>
      <c r="R3067" s="74">
        <v>0.05</v>
      </c>
      <c r="S3067" s="75">
        <f>OrdersTable[[#This Row],[Quantity]]*OrdersTable[[#This Row],[Unit Price]]</f>
        <v>3996</v>
      </c>
      <c r="T3067" s="5">
        <f>OrdersTable[[#This Row],[Gross Sale]]*OrdersTable[[#This Row],[Discount_Clean2]]</f>
        <v>199.8</v>
      </c>
      <c r="U3067" s="5">
        <f>OrdersTable[[#This Row],[Gross Sale]]-OrdersTable[[#This Row],[Discount Amount]]</f>
        <v>3796.2</v>
      </c>
      <c r="V3067" s="77">
        <f>INDEX(Products!E:E,MATCH(OrdersTable[[#This Row],[Product ID]],Products!A:A,0))</f>
        <v>400</v>
      </c>
      <c r="W3067" s="77">
        <f>OrdersTable[[#This Row],[Quantity]]*OrdersTable[[#This Row],[Unit Cost]]</f>
        <v>1600</v>
      </c>
      <c r="X3067" s="77">
        <f>'Dropdown Lists'!$I$2*(1+OrdersTable[[#This Row],[Returned]])</f>
        <v>60</v>
      </c>
      <c r="Y3067" s="76">
        <f>OrdersTable[[#This Row],[Net Revenue]]-OrdersTable[[#This Row],[COGS]]-OrdersTable[[#This Row],[Shipping Cost]]</f>
        <v>2136.1999999999998</v>
      </c>
      <c r="Z3067" s="78">
        <f>IFERROR(OrdersTable[[#This Row],[Profit]]/OrdersTable[[#This Row],[Net Revenue]],0)</f>
        <v>0.56272061535219431</v>
      </c>
      <c r="AA3067" t="s">
        <v>4074</v>
      </c>
      <c r="AB3067" s="79">
        <v>45796</v>
      </c>
      <c r="AC3067">
        <f>OrdersTable[[#This Row],[Delivery Date]]-OrdersTable[[#This Row],[Order Date]]</f>
        <v>2</v>
      </c>
      <c r="AD3067" t="str">
        <f>IF(OrdersTable[[#This Row],[Delivery Days]]&lt;=2, "Express (≤2d)", IF(OrdersTable[[#This Row],[Delivery Days]]&lt;=4, "Standard (3-4d)", "Delayed (5d+)"))</f>
        <v>Express (≤2d)</v>
      </c>
      <c r="AF3067">
        <v>0</v>
      </c>
    </row>
    <row r="3068" spans="1:32" ht="15" x14ac:dyDescent="0.35">
      <c r="A3068" t="s">
        <v>1419</v>
      </c>
      <c r="B3068" s="1">
        <v>45794</v>
      </c>
      <c r="C3068">
        <f>YEAR(OrdersTable[[#This Row],[Order Date]])</f>
        <v>2025</v>
      </c>
      <c r="D3068" s="2">
        <f>DATE(YEAR(OrdersTable[[#This Row],[Order Date]]),MONTH(OrdersTable[[#This Row],[Order Date]]),1)</f>
        <v>45778</v>
      </c>
      <c r="E3068">
        <f>MONTH(OrdersTable[[#This Row],[Order Date]])</f>
        <v>5</v>
      </c>
      <c r="F3068" t="s">
        <v>1420</v>
      </c>
      <c r="G3068" t="str">
        <f>IF(OrdersTable[[#This Row],[Order Date]]=_xlfn.MINIFS(Order_Date, Customer_ID, OrdersTable[[#This Row],[Customer ID]]), "New", "Repeat")</f>
        <v>New</v>
      </c>
      <c r="H3068" t="s">
        <v>76</v>
      </c>
      <c r="I3068" t="str">
        <f>INDEX(State!B:B,MATCH(OrdersTable[[#This Row],[State]],State!A:A,0))</f>
        <v>UP</v>
      </c>
      <c r="J3068" t="str">
        <f>INDEX(State!C:C,MATCH(OrdersTable[[#This Row],[State Code]],State!B:B,0))</f>
        <v>North</v>
      </c>
      <c r="K3068" t="s">
        <v>77</v>
      </c>
      <c r="L3068" t="s">
        <v>23</v>
      </c>
      <c r="M3068" t="s">
        <v>576</v>
      </c>
      <c r="N3068" t="str">
        <f>INDEX(Products!B:B,MATCH(OrdersTable[[#This Row],[Product ID]],Products!A:A,0))</f>
        <v>Printed Saree</v>
      </c>
      <c r="O3068" t="str">
        <f>INDEX(Products!C:C,MATCH(OrdersTable[[#This Row],[Product ID]],Products!A:A,0))</f>
        <v>Apparel</v>
      </c>
      <c r="P3068">
        <v>1</v>
      </c>
      <c r="Q3068" s="5">
        <v>1999</v>
      </c>
      <c r="R3068" s="74">
        <v>0.15</v>
      </c>
      <c r="S3068" s="75">
        <f>OrdersTable[[#This Row],[Quantity]]*OrdersTable[[#This Row],[Unit Price]]</f>
        <v>1999</v>
      </c>
      <c r="T3068" s="5">
        <f>OrdersTable[[#This Row],[Gross Sale]]*OrdersTable[[#This Row],[Discount_Clean2]]</f>
        <v>299.84999999999997</v>
      </c>
      <c r="U3068" s="5">
        <f>OrdersTable[[#This Row],[Gross Sale]]-OrdersTable[[#This Row],[Discount Amount]]</f>
        <v>1699.15</v>
      </c>
      <c r="V3068" s="77">
        <f>INDEX(Products!E:E,MATCH(OrdersTable[[#This Row],[Product ID]],Products!A:A,0))</f>
        <v>880</v>
      </c>
      <c r="W3068" s="77">
        <f>OrdersTable[[#This Row],[Quantity]]*OrdersTable[[#This Row],[Unit Cost]]</f>
        <v>880</v>
      </c>
      <c r="X3068" s="77">
        <f>'Dropdown Lists'!$I$2*(1+OrdersTable[[#This Row],[Returned]])</f>
        <v>60</v>
      </c>
      <c r="Y3068" s="76">
        <f>OrdersTable[[#This Row],[Net Revenue]]-OrdersTable[[#This Row],[COGS]]-OrdersTable[[#This Row],[Shipping Cost]]</f>
        <v>759.15000000000009</v>
      </c>
      <c r="Z3068" s="78">
        <f>IFERROR(OrdersTable[[#This Row],[Profit]]/OrdersTable[[#This Row],[Net Revenue]],0)</f>
        <v>0.44678221463673018</v>
      </c>
      <c r="AA3068" t="s">
        <v>18</v>
      </c>
      <c r="AB3068" s="79">
        <v>45797</v>
      </c>
      <c r="AC3068">
        <f>OrdersTable[[#This Row],[Delivery Date]]-OrdersTable[[#This Row],[Order Date]]</f>
        <v>3</v>
      </c>
      <c r="AD3068" t="str">
        <f>IF(OrdersTable[[#This Row],[Delivery Days]]&lt;=2, "Express (≤2d)", IF(OrdersTable[[#This Row],[Delivery Days]]&lt;=4, "Standard (3-4d)", "Delayed (5d+)"))</f>
        <v>Standard (3-4d)</v>
      </c>
      <c r="AF3068">
        <v>0</v>
      </c>
    </row>
    <row r="3069" spans="1:32" ht="15" x14ac:dyDescent="0.35">
      <c r="A3069" t="s">
        <v>4999</v>
      </c>
      <c r="B3069" s="1">
        <v>45794</v>
      </c>
      <c r="C3069">
        <f>YEAR(OrdersTable[[#This Row],[Order Date]])</f>
        <v>2025</v>
      </c>
      <c r="D3069" s="2">
        <f>DATE(YEAR(OrdersTable[[#This Row],[Order Date]]),MONTH(OrdersTable[[#This Row],[Order Date]]),1)</f>
        <v>45778</v>
      </c>
      <c r="E3069">
        <f>MONTH(OrdersTable[[#This Row],[Order Date]])</f>
        <v>5</v>
      </c>
      <c r="F3069" t="s">
        <v>3236</v>
      </c>
      <c r="G3069" t="str">
        <f>IF(OrdersTable[[#This Row],[Order Date]]=_xlfn.MINIFS(Order_Date, Customer_ID, OrdersTable[[#This Row],[Customer ID]]), "New", "Repeat")</f>
        <v>Repeat</v>
      </c>
      <c r="H3069" t="s">
        <v>37</v>
      </c>
      <c r="I3069" t="str">
        <f>INDEX(State!B:B,MATCH(OrdersTable[[#This Row],[State]],State!A:A,0))</f>
        <v>GJ</v>
      </c>
      <c r="J3069" t="str">
        <f>INDEX(State!C:C,MATCH(OrdersTable[[#This Row],[State Code]],State!B:B,0))</f>
        <v>West</v>
      </c>
      <c r="K3069" t="s">
        <v>38</v>
      </c>
      <c r="L3069" t="s">
        <v>23</v>
      </c>
      <c r="M3069" t="s">
        <v>423</v>
      </c>
      <c r="N3069" t="str">
        <f>INDEX(Products!B:B,MATCH(OrdersTable[[#This Row],[Product ID]],Products!A:A,0))</f>
        <v>Power Bank 20000mAh</v>
      </c>
      <c r="O3069" t="str">
        <f>INDEX(Products!C:C,MATCH(OrdersTable[[#This Row],[Product ID]],Products!A:A,0))</f>
        <v>Electronics</v>
      </c>
      <c r="P3069">
        <v>2</v>
      </c>
      <c r="Q3069" s="5">
        <v>1799</v>
      </c>
      <c r="R3069" s="74">
        <v>0.45</v>
      </c>
      <c r="S3069" s="75">
        <f>OrdersTable[[#This Row],[Quantity]]*OrdersTable[[#This Row],[Unit Price]]</f>
        <v>3598</v>
      </c>
      <c r="T3069" s="5">
        <f>OrdersTable[[#This Row],[Gross Sale]]*OrdersTable[[#This Row],[Discount_Clean2]]</f>
        <v>1619.1000000000001</v>
      </c>
      <c r="U3069" s="5">
        <f>OrdersTable[[#This Row],[Gross Sale]]-OrdersTable[[#This Row],[Discount Amount]]</f>
        <v>1978.8999999999999</v>
      </c>
      <c r="V3069" s="77">
        <f>INDEX(Products!E:E,MATCH(OrdersTable[[#This Row],[Product ID]],Products!A:A,0))</f>
        <v>1079</v>
      </c>
      <c r="W3069" s="77">
        <f>OrdersTable[[#This Row],[Quantity]]*OrdersTable[[#This Row],[Unit Cost]]</f>
        <v>2158</v>
      </c>
      <c r="X3069" s="77">
        <f>'Dropdown Lists'!$I$2*(1+OrdersTable[[#This Row],[Returned]])</f>
        <v>60</v>
      </c>
      <c r="Y3069" s="76">
        <f>OrdersTable[[#This Row],[Net Revenue]]-OrdersTable[[#This Row],[COGS]]-OrdersTable[[#This Row],[Shipping Cost]]</f>
        <v>-239.10000000000014</v>
      </c>
      <c r="Z3069" s="78">
        <f>IFERROR(OrdersTable[[#This Row],[Profit]]/OrdersTable[[#This Row],[Net Revenue]],0)</f>
        <v>-0.12082470059123764</v>
      </c>
      <c r="AA3069" t="s">
        <v>4074</v>
      </c>
      <c r="AB3069" s="79">
        <v>45796</v>
      </c>
      <c r="AC3069">
        <f>OrdersTable[[#This Row],[Delivery Date]]-OrdersTable[[#This Row],[Order Date]]</f>
        <v>2</v>
      </c>
      <c r="AD3069" t="str">
        <f>IF(OrdersTable[[#This Row],[Delivery Days]]&lt;=2, "Express (≤2d)", IF(OrdersTable[[#This Row],[Delivery Days]]&lt;=4, "Standard (3-4d)", "Delayed (5d+)"))</f>
        <v>Express (≤2d)</v>
      </c>
      <c r="AE3069">
        <v>4</v>
      </c>
      <c r="AF3069">
        <v>0</v>
      </c>
    </row>
    <row r="3070" spans="1:32" ht="15" x14ac:dyDescent="0.35">
      <c r="A3070" t="s">
        <v>4282</v>
      </c>
      <c r="B3070" s="1">
        <v>45794</v>
      </c>
      <c r="C3070">
        <f>YEAR(OrdersTable[[#This Row],[Order Date]])</f>
        <v>2025</v>
      </c>
      <c r="D3070" s="2">
        <f>DATE(YEAR(OrdersTable[[#This Row],[Order Date]]),MONTH(OrdersTable[[#This Row],[Order Date]]),1)</f>
        <v>45778</v>
      </c>
      <c r="E3070">
        <f>MONTH(OrdersTable[[#This Row],[Order Date]])</f>
        <v>5</v>
      </c>
      <c r="F3070" t="s">
        <v>1279</v>
      </c>
      <c r="G3070" t="str">
        <f>IF(OrdersTable[[#This Row],[Order Date]]=_xlfn.MINIFS(Order_Date, Customer_ID, OrdersTable[[#This Row],[Customer ID]]), "New", "Repeat")</f>
        <v>Repeat</v>
      </c>
      <c r="H3070" t="s">
        <v>71</v>
      </c>
      <c r="I3070" t="str">
        <f>INDEX(State!B:B,MATCH(OrdersTable[[#This Row],[State]],State!A:A,0))</f>
        <v>MH</v>
      </c>
      <c r="J3070" t="str">
        <f>INDEX(State!C:C,MATCH(OrdersTable[[#This Row],[State Code]],State!B:B,0))</f>
        <v>West</v>
      </c>
      <c r="K3070" t="s">
        <v>102</v>
      </c>
      <c r="L3070" t="s">
        <v>50</v>
      </c>
      <c r="M3070" t="s">
        <v>45</v>
      </c>
      <c r="N3070" t="str">
        <f>INDEX(Products!B:B,MATCH(OrdersTable[[#This Row],[Product ID]],Products!A:A,0))</f>
        <v>Argan Shampoo</v>
      </c>
      <c r="O3070" t="str">
        <f>INDEX(Products!C:C,MATCH(OrdersTable[[#This Row],[Product ID]],Products!A:A,0))</f>
        <v>Haircare</v>
      </c>
      <c r="P3070">
        <v>1</v>
      </c>
      <c r="Q3070" s="5">
        <v>449</v>
      </c>
      <c r="R3070" s="74">
        <v>0.15</v>
      </c>
      <c r="S3070" s="75">
        <f>OrdersTable[[#This Row],[Quantity]]*OrdersTable[[#This Row],[Unit Price]]</f>
        <v>449</v>
      </c>
      <c r="T3070" s="5">
        <f>OrdersTable[[#This Row],[Gross Sale]]*OrdersTable[[#This Row],[Discount_Clean2]]</f>
        <v>67.349999999999994</v>
      </c>
      <c r="U3070" s="5">
        <f>OrdersTable[[#This Row],[Gross Sale]]-OrdersTable[[#This Row],[Discount Amount]]</f>
        <v>381.65</v>
      </c>
      <c r="V3070" s="77">
        <f>INDEX(Products!E:E,MATCH(OrdersTable[[#This Row],[Product ID]],Products!A:A,0))</f>
        <v>148</v>
      </c>
      <c r="W3070" s="77">
        <f>OrdersTable[[#This Row],[Quantity]]*OrdersTable[[#This Row],[Unit Cost]]</f>
        <v>148</v>
      </c>
      <c r="X3070" s="77">
        <f>'Dropdown Lists'!$I$2*(1+OrdersTable[[#This Row],[Returned]])</f>
        <v>60</v>
      </c>
      <c r="Y3070" s="76">
        <f>OrdersTable[[#This Row],[Net Revenue]]-OrdersTable[[#This Row],[COGS]]-OrdersTable[[#This Row],[Shipping Cost]]</f>
        <v>173.64999999999998</v>
      </c>
      <c r="Z3070" s="78">
        <f>IFERROR(OrdersTable[[#This Row],[Profit]]/OrdersTable[[#This Row],[Net Revenue]],0)</f>
        <v>0.45499803484868334</v>
      </c>
      <c r="AA3070" t="s">
        <v>4074</v>
      </c>
      <c r="AB3070" s="79">
        <v>45795</v>
      </c>
      <c r="AC3070">
        <f>OrdersTable[[#This Row],[Delivery Date]]-OrdersTable[[#This Row],[Order Date]]</f>
        <v>1</v>
      </c>
      <c r="AD3070" t="str">
        <f>IF(OrdersTable[[#This Row],[Delivery Days]]&lt;=2, "Express (≤2d)", IF(OrdersTable[[#This Row],[Delivery Days]]&lt;=4, "Standard (3-4d)", "Delayed (5d+)"))</f>
        <v>Express (≤2d)</v>
      </c>
      <c r="AF3070">
        <v>0</v>
      </c>
    </row>
    <row r="3071" spans="1:32" ht="15" x14ac:dyDescent="0.35">
      <c r="A3071" t="s">
        <v>1991</v>
      </c>
      <c r="B3071" s="1">
        <v>45794</v>
      </c>
      <c r="C3071">
        <f>YEAR(OrdersTable[[#This Row],[Order Date]])</f>
        <v>2025</v>
      </c>
      <c r="D3071" s="2">
        <f>DATE(YEAR(OrdersTable[[#This Row],[Order Date]]),MONTH(OrdersTable[[#This Row],[Order Date]]),1)</f>
        <v>45778</v>
      </c>
      <c r="E3071">
        <f>MONTH(OrdersTable[[#This Row],[Order Date]])</f>
        <v>5</v>
      </c>
      <c r="F3071" t="s">
        <v>858</v>
      </c>
      <c r="G3071" t="str">
        <f>IF(OrdersTable[[#This Row],[Order Date]]=_xlfn.MINIFS(Order_Date, Customer_ID, OrdersTable[[#This Row],[Customer ID]]), "New", "Repeat")</f>
        <v>New</v>
      </c>
      <c r="H3071" t="s">
        <v>95</v>
      </c>
      <c r="I3071" t="str">
        <f>INDEX(State!B:B,MATCH(OrdersTable[[#This Row],[State]],State!A:A,0))</f>
        <v>TG</v>
      </c>
      <c r="J3071" t="str">
        <f>INDEX(State!C:C,MATCH(OrdersTable[[#This Row],[State Code]],State!B:B,0))</f>
        <v>South</v>
      </c>
      <c r="K3071" t="s">
        <v>96</v>
      </c>
      <c r="L3071" t="s">
        <v>50</v>
      </c>
      <c r="M3071" t="s">
        <v>73</v>
      </c>
      <c r="N3071" t="str">
        <f>INDEX(Products!B:B,MATCH(OrdersTable[[#This Row],[Product ID]],Products!A:A,0))</f>
        <v>Hydrating Face Wash</v>
      </c>
      <c r="O3071" t="str">
        <f>INDEX(Products!C:C,MATCH(OrdersTable[[#This Row],[Product ID]],Products!A:A,0))</f>
        <v>Skincare</v>
      </c>
      <c r="P3071">
        <v>1</v>
      </c>
      <c r="Q3071" s="5">
        <v>299</v>
      </c>
      <c r="R3071" s="74">
        <v>0</v>
      </c>
      <c r="S3071" s="75">
        <f>OrdersTable[[#This Row],[Quantity]]*OrdersTable[[#This Row],[Unit Price]]</f>
        <v>299</v>
      </c>
      <c r="T3071" s="5">
        <f>OrdersTable[[#This Row],[Gross Sale]]*OrdersTable[[#This Row],[Discount_Clean2]]</f>
        <v>0</v>
      </c>
      <c r="U3071" s="5">
        <f>OrdersTable[[#This Row],[Gross Sale]]-OrdersTable[[#This Row],[Discount Amount]]</f>
        <v>299</v>
      </c>
      <c r="V3071" s="77">
        <f>INDEX(Products!E:E,MATCH(OrdersTable[[#This Row],[Product ID]],Products!A:A,0))</f>
        <v>90</v>
      </c>
      <c r="W3071" s="77">
        <f>OrdersTable[[#This Row],[Quantity]]*OrdersTable[[#This Row],[Unit Cost]]</f>
        <v>90</v>
      </c>
      <c r="X3071" s="77">
        <f>'Dropdown Lists'!$I$2*(1+OrdersTable[[#This Row],[Returned]])</f>
        <v>120</v>
      </c>
      <c r="Y3071" s="76">
        <f>OrdersTable[[#This Row],[Net Revenue]]-OrdersTable[[#This Row],[COGS]]-OrdersTable[[#This Row],[Shipping Cost]]</f>
        <v>89</v>
      </c>
      <c r="Z3071" s="78">
        <f>IFERROR(OrdersTable[[#This Row],[Profit]]/OrdersTable[[#This Row],[Net Revenue]],0)</f>
        <v>0.2976588628762542</v>
      </c>
      <c r="AA3071" t="s">
        <v>18</v>
      </c>
      <c r="AB3071" s="79">
        <v>45797</v>
      </c>
      <c r="AC3071">
        <f>OrdersTable[[#This Row],[Delivery Date]]-OrdersTable[[#This Row],[Order Date]]</f>
        <v>3</v>
      </c>
      <c r="AD3071" t="str">
        <f>IF(OrdersTable[[#This Row],[Delivery Days]]&lt;=2, "Express (≤2d)", IF(OrdersTable[[#This Row],[Delivery Days]]&lt;=4, "Standard (3-4d)", "Delayed (5d+)"))</f>
        <v>Standard (3-4d)</v>
      </c>
      <c r="AE3071">
        <v>3</v>
      </c>
      <c r="AF3071">
        <v>1</v>
      </c>
    </row>
    <row r="3072" spans="1:32" ht="15" x14ac:dyDescent="0.35">
      <c r="A3072" t="s">
        <v>614</v>
      </c>
      <c r="B3072" s="1">
        <v>45794</v>
      </c>
      <c r="C3072">
        <f>YEAR(OrdersTable[[#This Row],[Order Date]])</f>
        <v>2025</v>
      </c>
      <c r="D3072" s="2">
        <f>DATE(YEAR(OrdersTable[[#This Row],[Order Date]]),MONTH(OrdersTable[[#This Row],[Order Date]]),1)</f>
        <v>45778</v>
      </c>
      <c r="E3072">
        <f>MONTH(OrdersTable[[#This Row],[Order Date]])</f>
        <v>5</v>
      </c>
      <c r="F3072" t="s">
        <v>615</v>
      </c>
      <c r="G3072" t="str">
        <f>IF(OrdersTable[[#This Row],[Order Date]]=_xlfn.MINIFS(Order_Date, Customer_ID, OrdersTable[[#This Row],[Customer ID]]), "New", "Repeat")</f>
        <v>Repeat</v>
      </c>
      <c r="H3072" t="s">
        <v>95</v>
      </c>
      <c r="I3072" t="str">
        <f>INDEX(State!B:B,MATCH(OrdersTable[[#This Row],[State]],State!A:A,0))</f>
        <v>TG</v>
      </c>
      <c r="J3072" t="str">
        <f>INDEX(State!C:C,MATCH(OrdersTable[[#This Row],[State Code]],State!B:B,0))</f>
        <v>South</v>
      </c>
      <c r="K3072" t="s">
        <v>96</v>
      </c>
      <c r="L3072" t="s">
        <v>39</v>
      </c>
      <c r="M3072" t="s">
        <v>73</v>
      </c>
      <c r="N3072" t="str">
        <f>INDEX(Products!B:B,MATCH(OrdersTable[[#This Row],[Product ID]],Products!A:A,0))</f>
        <v>Hydrating Face Wash</v>
      </c>
      <c r="O3072" t="str">
        <f>INDEX(Products!C:C,MATCH(OrdersTable[[#This Row],[Product ID]],Products!A:A,0))</f>
        <v>Skincare</v>
      </c>
      <c r="P3072">
        <v>1</v>
      </c>
      <c r="Q3072" s="5">
        <v>299</v>
      </c>
      <c r="R3072" s="74">
        <v>0</v>
      </c>
      <c r="S3072" s="75">
        <f>OrdersTable[[#This Row],[Quantity]]*OrdersTable[[#This Row],[Unit Price]]</f>
        <v>299</v>
      </c>
      <c r="T3072" s="5">
        <f>OrdersTable[[#This Row],[Gross Sale]]*OrdersTable[[#This Row],[Discount_Clean2]]</f>
        <v>0</v>
      </c>
      <c r="U3072" s="5">
        <f>OrdersTable[[#This Row],[Gross Sale]]-OrdersTable[[#This Row],[Discount Amount]]</f>
        <v>299</v>
      </c>
      <c r="V3072" s="77">
        <f>INDEX(Products!E:E,MATCH(OrdersTable[[#This Row],[Product ID]],Products!A:A,0))</f>
        <v>90</v>
      </c>
      <c r="W3072" s="77">
        <f>OrdersTable[[#This Row],[Quantity]]*OrdersTable[[#This Row],[Unit Cost]]</f>
        <v>90</v>
      </c>
      <c r="X3072" s="77">
        <f>'Dropdown Lists'!$I$2*(1+OrdersTable[[#This Row],[Returned]])</f>
        <v>60</v>
      </c>
      <c r="Y3072" s="76">
        <f>OrdersTable[[#This Row],[Net Revenue]]-OrdersTable[[#This Row],[COGS]]-OrdersTable[[#This Row],[Shipping Cost]]</f>
        <v>149</v>
      </c>
      <c r="Z3072" s="78">
        <f>IFERROR(OrdersTable[[#This Row],[Profit]]/OrdersTable[[#This Row],[Net Revenue]],0)</f>
        <v>0.49832775919732442</v>
      </c>
      <c r="AA3072" t="s">
        <v>18</v>
      </c>
      <c r="AB3072" s="79">
        <v>45799</v>
      </c>
      <c r="AC3072">
        <f>OrdersTable[[#This Row],[Delivery Date]]-OrdersTable[[#This Row],[Order Date]]</f>
        <v>5</v>
      </c>
      <c r="AD3072" t="str">
        <f>IF(OrdersTable[[#This Row],[Delivery Days]]&lt;=2, "Express (≤2d)", IF(OrdersTable[[#This Row],[Delivery Days]]&lt;=4, "Standard (3-4d)", "Delayed (5d+)"))</f>
        <v>Delayed (5d+)</v>
      </c>
      <c r="AE3072">
        <v>4</v>
      </c>
      <c r="AF3072">
        <v>0</v>
      </c>
    </row>
    <row r="3073" spans="1:32" ht="15" x14ac:dyDescent="0.35">
      <c r="A3073" t="s">
        <v>4150</v>
      </c>
      <c r="B3073" s="1">
        <v>45794</v>
      </c>
      <c r="C3073">
        <f>YEAR(OrdersTable[[#This Row],[Order Date]])</f>
        <v>2025</v>
      </c>
      <c r="D3073" s="2">
        <f>DATE(YEAR(OrdersTable[[#This Row],[Order Date]]),MONTH(OrdersTable[[#This Row],[Order Date]]),1)</f>
        <v>45778</v>
      </c>
      <c r="E3073">
        <f>MONTH(OrdersTable[[#This Row],[Order Date]])</f>
        <v>5</v>
      </c>
      <c r="F3073" t="s">
        <v>4151</v>
      </c>
      <c r="G3073" t="str">
        <f>IF(OrdersTable[[#This Row],[Order Date]]=_xlfn.MINIFS(Order_Date, Customer_ID, OrdersTable[[#This Row],[Customer ID]]), "New", "Repeat")</f>
        <v>Repeat</v>
      </c>
      <c r="H3073" t="s">
        <v>167</v>
      </c>
      <c r="I3073" t="str">
        <f>INDEX(State!B:B,MATCH(OrdersTable[[#This Row],[State]],State!A:A,0))</f>
        <v>KA</v>
      </c>
      <c r="J3073" t="str">
        <f>INDEX(State!C:C,MATCH(OrdersTable[[#This Row],[State Code]],State!B:B,0))</f>
        <v>South</v>
      </c>
      <c r="K3073" t="s">
        <v>190</v>
      </c>
      <c r="L3073" t="s">
        <v>39</v>
      </c>
      <c r="M3073" t="s">
        <v>78</v>
      </c>
      <c r="N3073" t="str">
        <f>INDEX(Products!B:B,MATCH(OrdersTable[[#This Row],[Product ID]],Products!A:A,0))</f>
        <v>Retinol Night Cream</v>
      </c>
      <c r="O3073" t="str">
        <f>INDEX(Products!C:C,MATCH(OrdersTable[[#This Row],[Product ID]],Products!A:A,0))</f>
        <v>Skincare</v>
      </c>
      <c r="P3073">
        <v>1</v>
      </c>
      <c r="Q3073" s="5">
        <v>799</v>
      </c>
      <c r="R3073" s="74">
        <v>0.05</v>
      </c>
      <c r="S3073" s="75">
        <f>OrdersTable[[#This Row],[Quantity]]*OrdersTable[[#This Row],[Unit Price]]</f>
        <v>799</v>
      </c>
      <c r="T3073" s="5">
        <f>OrdersTable[[#This Row],[Gross Sale]]*OrdersTable[[#This Row],[Discount_Clean2]]</f>
        <v>39.950000000000003</v>
      </c>
      <c r="U3073" s="5">
        <f>OrdersTable[[#This Row],[Gross Sale]]-OrdersTable[[#This Row],[Discount Amount]]</f>
        <v>759.05</v>
      </c>
      <c r="V3073" s="77">
        <f>INDEX(Products!E:E,MATCH(OrdersTable[[#This Row],[Product ID]],Products!A:A,0))</f>
        <v>216</v>
      </c>
      <c r="W3073" s="77">
        <f>OrdersTable[[#This Row],[Quantity]]*OrdersTable[[#This Row],[Unit Cost]]</f>
        <v>216</v>
      </c>
      <c r="X3073" s="77">
        <f>'Dropdown Lists'!$I$2*(1+OrdersTable[[#This Row],[Returned]])</f>
        <v>60</v>
      </c>
      <c r="Y3073" s="76">
        <f>OrdersTable[[#This Row],[Net Revenue]]-OrdersTable[[#This Row],[COGS]]-OrdersTable[[#This Row],[Shipping Cost]]</f>
        <v>483.04999999999995</v>
      </c>
      <c r="Z3073" s="78">
        <f>IFERROR(OrdersTable[[#This Row],[Profit]]/OrdersTable[[#This Row],[Net Revenue]],0)</f>
        <v>0.63638758975034582</v>
      </c>
      <c r="AA3073" t="s">
        <v>4074</v>
      </c>
      <c r="AB3073" s="79">
        <v>45798</v>
      </c>
      <c r="AC3073">
        <f>OrdersTable[[#This Row],[Delivery Date]]-OrdersTable[[#This Row],[Order Date]]</f>
        <v>4</v>
      </c>
      <c r="AD3073" t="str">
        <f>IF(OrdersTable[[#This Row],[Delivery Days]]&lt;=2, "Express (≤2d)", IF(OrdersTable[[#This Row],[Delivery Days]]&lt;=4, "Standard (3-4d)", "Delayed (5d+)"))</f>
        <v>Standard (3-4d)</v>
      </c>
      <c r="AE3073">
        <v>3</v>
      </c>
      <c r="AF3073">
        <v>0</v>
      </c>
    </row>
    <row r="3074" spans="1:32" ht="15" x14ac:dyDescent="0.35">
      <c r="A3074" t="s">
        <v>3284</v>
      </c>
      <c r="B3074" s="1">
        <v>45794</v>
      </c>
      <c r="C3074">
        <f>YEAR(OrdersTable[[#This Row],[Order Date]])</f>
        <v>2025</v>
      </c>
      <c r="D3074" s="2">
        <f>DATE(YEAR(OrdersTable[[#This Row],[Order Date]]),MONTH(OrdersTable[[#This Row],[Order Date]]),1)</f>
        <v>45778</v>
      </c>
      <c r="E3074">
        <f>MONTH(OrdersTable[[#This Row],[Order Date]])</f>
        <v>5</v>
      </c>
      <c r="F3074" t="s">
        <v>3285</v>
      </c>
      <c r="G3074" t="str">
        <f>IF(OrdersTable[[#This Row],[Order Date]]=_xlfn.MINIFS(Order_Date, Customer_ID, OrdersTable[[#This Row],[Customer ID]]), "New", "Repeat")</f>
        <v>New</v>
      </c>
      <c r="H3074" t="s">
        <v>275</v>
      </c>
      <c r="I3074" t="str">
        <f>INDEX(State!B:B,MATCH(OrdersTable[[#This Row],[State]],State!A:A,0))</f>
        <v>AP</v>
      </c>
      <c r="J3074" t="str">
        <f>INDEX(State!C:C,MATCH(OrdersTable[[#This Row],[State Code]],State!B:B,0))</f>
        <v>South</v>
      </c>
      <c r="K3074" t="s">
        <v>491</v>
      </c>
      <c r="L3074" t="s">
        <v>23</v>
      </c>
      <c r="M3074" t="s">
        <v>84</v>
      </c>
      <c r="N3074" t="str">
        <f>INDEX(Products!B:B,MATCH(OrdersTable[[#This Row],[Product ID]],Products!A:A,0))</f>
        <v>Cotton Bedsheet</v>
      </c>
      <c r="O3074" t="str">
        <f>INDEX(Products!C:C,MATCH(OrdersTable[[#This Row],[Product ID]],Products!A:A,0))</f>
        <v>Home &amp; Kitchen</v>
      </c>
      <c r="P3074">
        <v>1</v>
      </c>
      <c r="Q3074" s="5">
        <v>1299</v>
      </c>
      <c r="R3074" s="74">
        <v>0</v>
      </c>
      <c r="S3074" s="75">
        <f>OrdersTable[[#This Row],[Quantity]]*OrdersTable[[#This Row],[Unit Price]]</f>
        <v>1299</v>
      </c>
      <c r="T3074" s="5">
        <f>OrdersTable[[#This Row],[Gross Sale]]*OrdersTable[[#This Row],[Discount_Clean2]]</f>
        <v>0</v>
      </c>
      <c r="U3074" s="5">
        <f>OrdersTable[[#This Row],[Gross Sale]]-OrdersTable[[#This Row],[Discount Amount]]</f>
        <v>1299</v>
      </c>
      <c r="V3074" s="77">
        <f>INDEX(Products!E:E,MATCH(OrdersTable[[#This Row],[Product ID]],Products!A:A,0))</f>
        <v>585</v>
      </c>
      <c r="W3074" s="77">
        <f>OrdersTable[[#This Row],[Quantity]]*OrdersTable[[#This Row],[Unit Cost]]</f>
        <v>585</v>
      </c>
      <c r="X3074" s="77">
        <f>'Dropdown Lists'!$I$2*(1+OrdersTable[[#This Row],[Returned]])</f>
        <v>60</v>
      </c>
      <c r="Y3074" s="76">
        <f>OrdersTable[[#This Row],[Net Revenue]]-OrdersTable[[#This Row],[COGS]]-OrdersTable[[#This Row],[Shipping Cost]]</f>
        <v>654</v>
      </c>
      <c r="Z3074" s="78">
        <f>IFERROR(OrdersTable[[#This Row],[Profit]]/OrdersTable[[#This Row],[Net Revenue]],0)</f>
        <v>0.50346420323325636</v>
      </c>
      <c r="AA3074" t="s">
        <v>2522</v>
      </c>
      <c r="AB3074" s="79">
        <v>45797</v>
      </c>
      <c r="AC3074">
        <f>OrdersTable[[#This Row],[Delivery Date]]-OrdersTable[[#This Row],[Order Date]]</f>
        <v>3</v>
      </c>
      <c r="AD3074" t="str">
        <f>IF(OrdersTable[[#This Row],[Delivery Days]]&lt;=2, "Express (≤2d)", IF(OrdersTable[[#This Row],[Delivery Days]]&lt;=4, "Standard (3-4d)", "Delayed (5d+)"))</f>
        <v>Standard (3-4d)</v>
      </c>
      <c r="AE3074">
        <v>4</v>
      </c>
      <c r="AF3074">
        <v>0</v>
      </c>
    </row>
    <row r="3075" spans="1:32" ht="15" x14ac:dyDescent="0.35">
      <c r="A3075" t="s">
        <v>990</v>
      </c>
      <c r="B3075" s="1">
        <v>45794</v>
      </c>
      <c r="C3075">
        <f>YEAR(OrdersTable[[#This Row],[Order Date]])</f>
        <v>2025</v>
      </c>
      <c r="D3075" s="2">
        <f>DATE(YEAR(OrdersTable[[#This Row],[Order Date]]),MONTH(OrdersTable[[#This Row],[Order Date]]),1)</f>
        <v>45778</v>
      </c>
      <c r="E3075">
        <f>MONTH(OrdersTable[[#This Row],[Order Date]])</f>
        <v>5</v>
      </c>
      <c r="F3075" t="s">
        <v>991</v>
      </c>
      <c r="G3075" t="str">
        <f>IF(OrdersTable[[#This Row],[Order Date]]=_xlfn.MINIFS(Order_Date, Customer_ID, OrdersTable[[#This Row],[Customer ID]]), "New", "Repeat")</f>
        <v>Repeat</v>
      </c>
      <c r="H3075" t="s">
        <v>275</v>
      </c>
      <c r="I3075" t="str">
        <f>INDEX(State!B:B,MATCH(OrdersTable[[#This Row],[State]],State!A:A,0))</f>
        <v>AP</v>
      </c>
      <c r="J3075" t="str">
        <f>INDEX(State!C:C,MATCH(OrdersTable[[#This Row],[State Code]],State!B:B,0))</f>
        <v>South</v>
      </c>
      <c r="K3075" t="s">
        <v>491</v>
      </c>
      <c r="L3075" t="s">
        <v>23</v>
      </c>
      <c r="M3075" t="s">
        <v>176</v>
      </c>
      <c r="N3075" t="str">
        <f>INDEX(Products!B:B,MATCH(OrdersTable[[#This Row],[Product ID]],Products!A:A,0))</f>
        <v>Denim Jacket</v>
      </c>
      <c r="O3075" t="str">
        <f>INDEX(Products!C:C,MATCH(OrdersTable[[#This Row],[Product ID]],Products!A:A,0))</f>
        <v>Apparel</v>
      </c>
      <c r="P3075">
        <v>1</v>
      </c>
      <c r="Q3075" s="5">
        <v>2499</v>
      </c>
      <c r="R3075" s="74">
        <v>0.1</v>
      </c>
      <c r="S3075" s="75">
        <f>OrdersTable[[#This Row],[Quantity]]*OrdersTable[[#This Row],[Unit Price]]</f>
        <v>2499</v>
      </c>
      <c r="T3075" s="5">
        <f>OrdersTable[[#This Row],[Gross Sale]]*OrdersTable[[#This Row],[Discount_Clean2]]</f>
        <v>249.9</v>
      </c>
      <c r="U3075" s="5">
        <f>OrdersTable[[#This Row],[Gross Sale]]-OrdersTable[[#This Row],[Discount Amount]]</f>
        <v>2249.1</v>
      </c>
      <c r="V3075" s="77">
        <f>INDEX(Products!E:E,MATCH(OrdersTable[[#This Row],[Product ID]],Products!A:A,0))</f>
        <v>1125</v>
      </c>
      <c r="W3075" s="77">
        <f>OrdersTable[[#This Row],[Quantity]]*OrdersTable[[#This Row],[Unit Cost]]</f>
        <v>1125</v>
      </c>
      <c r="X3075" s="77">
        <f>'Dropdown Lists'!$I$2*(1+OrdersTable[[#This Row],[Returned]])</f>
        <v>60</v>
      </c>
      <c r="Y3075" s="76">
        <f>OrdersTable[[#This Row],[Net Revenue]]-OrdersTable[[#This Row],[COGS]]-OrdersTable[[#This Row],[Shipping Cost]]</f>
        <v>1064.0999999999999</v>
      </c>
      <c r="Z3075" s="78">
        <f>IFERROR(OrdersTable[[#This Row],[Profit]]/OrdersTable[[#This Row],[Net Revenue]],0)</f>
        <v>0.4731225823662798</v>
      </c>
      <c r="AA3075" t="s">
        <v>18</v>
      </c>
      <c r="AB3075" s="79">
        <v>45796</v>
      </c>
      <c r="AC3075">
        <f>OrdersTable[[#This Row],[Delivery Date]]-OrdersTable[[#This Row],[Order Date]]</f>
        <v>2</v>
      </c>
      <c r="AD3075" t="str">
        <f>IF(OrdersTable[[#This Row],[Delivery Days]]&lt;=2, "Express (≤2d)", IF(OrdersTable[[#This Row],[Delivery Days]]&lt;=4, "Standard (3-4d)", "Delayed (5d+)"))</f>
        <v>Express (≤2d)</v>
      </c>
      <c r="AE3075">
        <v>4</v>
      </c>
      <c r="AF3075">
        <v>0</v>
      </c>
    </row>
    <row r="3076" spans="1:32" ht="15" x14ac:dyDescent="0.35">
      <c r="A3076" t="s">
        <v>3632</v>
      </c>
      <c r="B3076" s="1">
        <v>45795</v>
      </c>
      <c r="C3076">
        <f>YEAR(OrdersTable[[#This Row],[Order Date]])</f>
        <v>2025</v>
      </c>
      <c r="D3076" s="2">
        <f>DATE(YEAR(OrdersTable[[#This Row],[Order Date]]),MONTH(OrdersTable[[#This Row],[Order Date]]),1)</f>
        <v>45778</v>
      </c>
      <c r="E3076">
        <f>MONTH(OrdersTable[[#This Row],[Order Date]])</f>
        <v>5</v>
      </c>
      <c r="F3076" t="s">
        <v>1196</v>
      </c>
      <c r="G3076" t="str">
        <f>IF(OrdersTable[[#This Row],[Order Date]]=_xlfn.MINIFS(Order_Date, Customer_ID, OrdersTable[[#This Row],[Customer ID]]), "New", "Repeat")</f>
        <v>Repeat</v>
      </c>
      <c r="H3076" t="s">
        <v>128</v>
      </c>
      <c r="I3076" t="str">
        <f>INDEX(State!B:B,MATCH(OrdersTable[[#This Row],[State]],State!A:A,0))</f>
        <v>DL</v>
      </c>
      <c r="J3076" t="str">
        <f>INDEX(State!C:C,MATCH(OrdersTable[[#This Row],[State Code]],State!B:B,0))</f>
        <v>North</v>
      </c>
      <c r="K3076" t="s">
        <v>129</v>
      </c>
      <c r="L3076" t="s">
        <v>65</v>
      </c>
      <c r="M3076" t="s">
        <v>73</v>
      </c>
      <c r="N3076" t="str">
        <f>INDEX(Products!B:B,MATCH(OrdersTable[[#This Row],[Product ID]],Products!A:A,0))</f>
        <v>Hydrating Face Wash</v>
      </c>
      <c r="O3076" t="str">
        <f>INDEX(Products!C:C,MATCH(OrdersTable[[#This Row],[Product ID]],Products!A:A,0))</f>
        <v>Skincare</v>
      </c>
      <c r="P3076">
        <v>1</v>
      </c>
      <c r="Q3076" s="5">
        <v>299</v>
      </c>
      <c r="R3076" s="74">
        <v>0.05</v>
      </c>
      <c r="S3076" s="75">
        <f>OrdersTable[[#This Row],[Quantity]]*OrdersTable[[#This Row],[Unit Price]]</f>
        <v>299</v>
      </c>
      <c r="T3076" s="5">
        <f>OrdersTable[[#This Row],[Gross Sale]]*OrdersTable[[#This Row],[Discount_Clean2]]</f>
        <v>14.950000000000001</v>
      </c>
      <c r="U3076" s="5">
        <f>OrdersTable[[#This Row],[Gross Sale]]-OrdersTable[[#This Row],[Discount Amount]]</f>
        <v>284.05</v>
      </c>
      <c r="V3076" s="77">
        <f>INDEX(Products!E:E,MATCH(OrdersTable[[#This Row],[Product ID]],Products!A:A,0))</f>
        <v>90</v>
      </c>
      <c r="W3076" s="77">
        <f>OrdersTable[[#This Row],[Quantity]]*OrdersTable[[#This Row],[Unit Cost]]</f>
        <v>90</v>
      </c>
      <c r="X3076" s="77">
        <f>'Dropdown Lists'!$I$2*(1+OrdersTable[[#This Row],[Returned]])</f>
        <v>60</v>
      </c>
      <c r="Y3076" s="76">
        <f>OrdersTable[[#This Row],[Net Revenue]]-OrdersTable[[#This Row],[COGS]]-OrdersTable[[#This Row],[Shipping Cost]]</f>
        <v>134.05000000000001</v>
      </c>
      <c r="Z3076" s="78">
        <f>IFERROR(OrdersTable[[#This Row],[Profit]]/OrdersTable[[#This Row],[Net Revenue]],0)</f>
        <v>0.47192395704981521</v>
      </c>
      <c r="AA3076" t="s">
        <v>3495</v>
      </c>
      <c r="AB3076" s="79">
        <v>45797</v>
      </c>
      <c r="AC3076">
        <f>OrdersTable[[#This Row],[Delivery Date]]-OrdersTable[[#This Row],[Order Date]]</f>
        <v>2</v>
      </c>
      <c r="AD3076" t="str">
        <f>IF(OrdersTable[[#This Row],[Delivery Days]]&lt;=2, "Express (≤2d)", IF(OrdersTable[[#This Row],[Delivery Days]]&lt;=4, "Standard (3-4d)", "Delayed (5d+)"))</f>
        <v>Express (≤2d)</v>
      </c>
      <c r="AE3076">
        <v>4</v>
      </c>
      <c r="AF3076">
        <v>0</v>
      </c>
    </row>
    <row r="3077" spans="1:32" ht="15" x14ac:dyDescent="0.35">
      <c r="A3077" t="s">
        <v>7097</v>
      </c>
      <c r="B3077" s="1">
        <v>45796</v>
      </c>
      <c r="C3077">
        <f>YEAR(OrdersTable[[#This Row],[Order Date]])</f>
        <v>2025</v>
      </c>
      <c r="D3077" s="2">
        <f>DATE(YEAR(OrdersTable[[#This Row],[Order Date]]),MONTH(OrdersTable[[#This Row],[Order Date]]),1)</f>
        <v>45778</v>
      </c>
      <c r="E3077">
        <f>MONTH(OrdersTable[[#This Row],[Order Date]])</f>
        <v>5</v>
      </c>
      <c r="F3077" t="s">
        <v>2283</v>
      </c>
      <c r="G3077" t="str">
        <f>IF(OrdersTable[[#This Row],[Order Date]]=_xlfn.MINIFS(Order_Date, Customer_ID, OrdersTable[[#This Row],[Customer ID]]), "New", "Repeat")</f>
        <v>Repeat</v>
      </c>
      <c r="H3077" t="s">
        <v>123</v>
      </c>
      <c r="I3077" t="str">
        <f>INDEX(State!B:B,MATCH(OrdersTable[[#This Row],[State]],State!A:A,0))</f>
        <v>JH</v>
      </c>
      <c r="J3077" t="str">
        <f>INDEX(State!C:C,MATCH(OrdersTable[[#This Row],[State Code]],State!B:B,0))</f>
        <v>East</v>
      </c>
      <c r="K3077" t="s">
        <v>124</v>
      </c>
      <c r="L3077" t="s">
        <v>23</v>
      </c>
      <c r="M3077" t="s">
        <v>66</v>
      </c>
      <c r="N3077" t="str">
        <f>INDEX(Products!B:B,MATCH(OrdersTable[[#This Row],[Product ID]],Products!A:A,0))</f>
        <v>Sunscreen SPF 50</v>
      </c>
      <c r="O3077" t="str">
        <f>INDEX(Products!C:C,MATCH(OrdersTable[[#This Row],[Product ID]],Products!A:A,0))</f>
        <v>Skincare</v>
      </c>
      <c r="P3077">
        <v>4</v>
      </c>
      <c r="Q3077" s="5">
        <v>449</v>
      </c>
      <c r="R3077" s="74">
        <v>0</v>
      </c>
      <c r="S3077" s="75">
        <f>OrdersTable[[#This Row],[Quantity]]*OrdersTable[[#This Row],[Unit Price]]</f>
        <v>1796</v>
      </c>
      <c r="T3077" s="5">
        <f>OrdersTable[[#This Row],[Gross Sale]]*OrdersTable[[#This Row],[Discount_Clean2]]</f>
        <v>0</v>
      </c>
      <c r="U3077" s="5">
        <f>OrdersTable[[#This Row],[Gross Sale]]-OrdersTable[[#This Row],[Discount Amount]]</f>
        <v>1796</v>
      </c>
      <c r="V3077" s="77">
        <f>INDEX(Products!E:E,MATCH(OrdersTable[[#This Row],[Product ID]],Products!A:A,0))</f>
        <v>144</v>
      </c>
      <c r="W3077" s="77">
        <f>OrdersTable[[#This Row],[Quantity]]*OrdersTable[[#This Row],[Unit Cost]]</f>
        <v>576</v>
      </c>
      <c r="X3077" s="77">
        <f>'Dropdown Lists'!$I$2*(1+OrdersTable[[#This Row],[Returned]])</f>
        <v>60</v>
      </c>
      <c r="Y3077" s="76">
        <f>OrdersTable[[#This Row],[Net Revenue]]-OrdersTable[[#This Row],[COGS]]-OrdersTable[[#This Row],[Shipping Cost]]</f>
        <v>1160</v>
      </c>
      <c r="Z3077" s="78">
        <f>IFERROR(OrdersTable[[#This Row],[Profit]]/OrdersTable[[#This Row],[Net Revenue]],0)</f>
        <v>0.6458797327394209</v>
      </c>
      <c r="AA3077" t="s">
        <v>18</v>
      </c>
      <c r="AB3077" s="79">
        <v>45802</v>
      </c>
      <c r="AC3077">
        <f>OrdersTable[[#This Row],[Delivery Date]]-OrdersTable[[#This Row],[Order Date]]</f>
        <v>6</v>
      </c>
      <c r="AD3077" t="str">
        <f>IF(OrdersTable[[#This Row],[Delivery Days]]&lt;=2, "Express (≤2d)", IF(OrdersTable[[#This Row],[Delivery Days]]&lt;=4, "Standard (3-4d)", "Delayed (5d+)"))</f>
        <v>Delayed (5d+)</v>
      </c>
      <c r="AE3077">
        <v>3</v>
      </c>
      <c r="AF3077">
        <v>0</v>
      </c>
    </row>
    <row r="3078" spans="1:32" ht="15" x14ac:dyDescent="0.35">
      <c r="A3078" t="s">
        <v>2809</v>
      </c>
      <c r="B3078" s="1">
        <v>45796</v>
      </c>
      <c r="C3078">
        <f>YEAR(OrdersTable[[#This Row],[Order Date]])</f>
        <v>2025</v>
      </c>
      <c r="D3078" s="2">
        <f>DATE(YEAR(OrdersTable[[#This Row],[Order Date]]),MONTH(OrdersTable[[#This Row],[Order Date]]),1)</f>
        <v>45778</v>
      </c>
      <c r="E3078">
        <f>MONTH(OrdersTable[[#This Row],[Order Date]])</f>
        <v>5</v>
      </c>
      <c r="F3078" t="s">
        <v>1649</v>
      </c>
      <c r="G3078" t="str">
        <f>IF(OrdersTable[[#This Row],[Order Date]]=_xlfn.MINIFS(Order_Date, Customer_ID, OrdersTable[[#This Row],[Customer ID]]), "New", "Repeat")</f>
        <v>Repeat</v>
      </c>
      <c r="H3078" t="s">
        <v>275</v>
      </c>
      <c r="I3078" t="str">
        <f>INDEX(State!B:B,MATCH(OrdersTable[[#This Row],[State]],State!A:A,0))</f>
        <v>AP</v>
      </c>
      <c r="J3078" t="str">
        <f>INDEX(State!C:C,MATCH(OrdersTable[[#This Row],[State Code]],State!B:B,0))</f>
        <v>South</v>
      </c>
      <c r="K3078" t="s">
        <v>491</v>
      </c>
      <c r="L3078" t="s">
        <v>16</v>
      </c>
      <c r="M3078" t="s">
        <v>255</v>
      </c>
      <c r="N3078" t="str">
        <f>INDEX(Products!B:B,MATCH(OrdersTable[[#This Row],[Product ID]],Products!A:A,0))</f>
        <v>Cotton Oversized T-Shirt</v>
      </c>
      <c r="O3078" t="str">
        <f>INDEX(Products!C:C,MATCH(OrdersTable[[#This Row],[Product ID]],Products!A:A,0))</f>
        <v>Apparel</v>
      </c>
      <c r="P3078">
        <v>1</v>
      </c>
      <c r="Q3078" s="5">
        <v>799</v>
      </c>
      <c r="R3078" s="74">
        <v>0</v>
      </c>
      <c r="S3078" s="75">
        <f>OrdersTable[[#This Row],[Quantity]]*OrdersTable[[#This Row],[Unit Price]]</f>
        <v>799</v>
      </c>
      <c r="T3078" s="5">
        <f>OrdersTable[[#This Row],[Gross Sale]]*OrdersTable[[#This Row],[Discount_Clean2]]</f>
        <v>0</v>
      </c>
      <c r="U3078" s="5">
        <f>OrdersTable[[#This Row],[Gross Sale]]-OrdersTable[[#This Row],[Discount Amount]]</f>
        <v>799</v>
      </c>
      <c r="V3078" s="77">
        <f>INDEX(Products!E:E,MATCH(OrdersTable[[#This Row],[Product ID]],Products!A:A,0))</f>
        <v>320</v>
      </c>
      <c r="W3078" s="77">
        <f>OrdersTable[[#This Row],[Quantity]]*OrdersTable[[#This Row],[Unit Cost]]</f>
        <v>320</v>
      </c>
      <c r="X3078" s="77">
        <f>'Dropdown Lists'!$I$2*(1+OrdersTable[[#This Row],[Returned]])</f>
        <v>60</v>
      </c>
      <c r="Y3078" s="76">
        <f>OrdersTable[[#This Row],[Net Revenue]]-OrdersTable[[#This Row],[COGS]]-OrdersTable[[#This Row],[Shipping Cost]]</f>
        <v>419</v>
      </c>
      <c r="Z3078" s="78">
        <f>IFERROR(OrdersTable[[#This Row],[Profit]]/OrdersTable[[#This Row],[Net Revenue]],0)</f>
        <v>0.52440550688360454</v>
      </c>
      <c r="AA3078" t="s">
        <v>2522</v>
      </c>
      <c r="AB3078" s="79">
        <v>45798</v>
      </c>
      <c r="AC3078">
        <f>OrdersTable[[#This Row],[Delivery Date]]-OrdersTable[[#This Row],[Order Date]]</f>
        <v>2</v>
      </c>
      <c r="AD3078" t="str">
        <f>IF(OrdersTable[[#This Row],[Delivery Days]]&lt;=2, "Express (≤2d)", IF(OrdersTable[[#This Row],[Delivery Days]]&lt;=4, "Standard (3-4d)", "Delayed (5d+)"))</f>
        <v>Express (≤2d)</v>
      </c>
      <c r="AE3078">
        <v>3</v>
      </c>
      <c r="AF3078">
        <v>0</v>
      </c>
    </row>
    <row r="3079" spans="1:32" ht="15" x14ac:dyDescent="0.35">
      <c r="A3079" t="s">
        <v>7098</v>
      </c>
      <c r="B3079" s="1">
        <v>45797</v>
      </c>
      <c r="C3079">
        <f>YEAR(OrdersTable[[#This Row],[Order Date]])</f>
        <v>2025</v>
      </c>
      <c r="D3079" s="2">
        <f>DATE(YEAR(OrdersTable[[#This Row],[Order Date]]),MONTH(OrdersTable[[#This Row],[Order Date]]),1)</f>
        <v>45778</v>
      </c>
      <c r="E3079">
        <f>MONTH(OrdersTable[[#This Row],[Order Date]])</f>
        <v>5</v>
      </c>
      <c r="F3079" t="s">
        <v>2124</v>
      </c>
      <c r="G3079" t="str">
        <f>IF(OrdersTable[[#This Row],[Order Date]]=_xlfn.MINIFS(Order_Date, Customer_ID, OrdersTable[[#This Row],[Customer ID]]), "New", "Repeat")</f>
        <v>Repeat</v>
      </c>
      <c r="H3079" t="s">
        <v>76</v>
      </c>
      <c r="I3079" t="str">
        <f>INDEX(State!B:B,MATCH(OrdersTable[[#This Row],[State]],State!A:A,0))</f>
        <v>UP</v>
      </c>
      <c r="J3079" t="str">
        <f>INDEX(State!C:C,MATCH(OrdersTable[[#This Row],[State Code]],State!B:B,0))</f>
        <v>North</v>
      </c>
      <c r="K3079" t="s">
        <v>118</v>
      </c>
      <c r="L3079" t="s">
        <v>65</v>
      </c>
      <c r="M3079" t="s">
        <v>109</v>
      </c>
      <c r="N3079" t="str">
        <f>INDEX(Products!B:B,MATCH(OrdersTable[[#This Row],[Product ID]],Products!A:A,0))</f>
        <v>Onion Hair Oil</v>
      </c>
      <c r="O3079" t="str">
        <f>INDEX(Products!C:C,MATCH(OrdersTable[[#This Row],[Product ID]],Products!A:A,0))</f>
        <v>Haircare</v>
      </c>
      <c r="P3079">
        <v>4</v>
      </c>
      <c r="Q3079" s="5">
        <v>349</v>
      </c>
      <c r="R3079" s="74">
        <v>0.3</v>
      </c>
      <c r="S3079" s="75">
        <f>OrdersTable[[#This Row],[Quantity]]*OrdersTable[[#This Row],[Unit Price]]</f>
        <v>1396</v>
      </c>
      <c r="T3079" s="5">
        <f>OrdersTable[[#This Row],[Gross Sale]]*OrdersTable[[#This Row],[Discount_Clean2]]</f>
        <v>418.8</v>
      </c>
      <c r="U3079" s="5">
        <f>OrdersTable[[#This Row],[Gross Sale]]-OrdersTable[[#This Row],[Discount Amount]]</f>
        <v>977.2</v>
      </c>
      <c r="V3079" s="77">
        <f>INDEX(Products!E:E,MATCH(OrdersTable[[#This Row],[Product ID]],Products!A:A,0))</f>
        <v>105</v>
      </c>
      <c r="W3079" s="77">
        <f>OrdersTable[[#This Row],[Quantity]]*OrdersTable[[#This Row],[Unit Cost]]</f>
        <v>420</v>
      </c>
      <c r="X3079" s="77">
        <f>'Dropdown Lists'!$I$2*(1+OrdersTable[[#This Row],[Returned]])</f>
        <v>60</v>
      </c>
      <c r="Y3079" s="76">
        <f>OrdersTable[[#This Row],[Net Revenue]]-OrdersTable[[#This Row],[COGS]]-OrdersTable[[#This Row],[Shipping Cost]]</f>
        <v>497.20000000000005</v>
      </c>
      <c r="Z3079" s="78">
        <f>IFERROR(OrdersTable[[#This Row],[Profit]]/OrdersTable[[#This Row],[Net Revenue]],0)</f>
        <v>0.50880065493246007</v>
      </c>
      <c r="AA3079" t="s">
        <v>18</v>
      </c>
      <c r="AB3079" s="79">
        <v>45800</v>
      </c>
      <c r="AC3079">
        <f>OrdersTable[[#This Row],[Delivery Date]]-OrdersTable[[#This Row],[Order Date]]</f>
        <v>3</v>
      </c>
      <c r="AD3079" t="str">
        <f>IF(OrdersTable[[#This Row],[Delivery Days]]&lt;=2, "Express (≤2d)", IF(OrdersTable[[#This Row],[Delivery Days]]&lt;=4, "Standard (3-4d)", "Delayed (5d+)"))</f>
        <v>Standard (3-4d)</v>
      </c>
      <c r="AE3079">
        <v>5</v>
      </c>
      <c r="AF3079">
        <v>0</v>
      </c>
    </row>
    <row r="3080" spans="1:32" ht="15" x14ac:dyDescent="0.35">
      <c r="A3080" t="s">
        <v>1748</v>
      </c>
      <c r="B3080" s="1">
        <v>45797</v>
      </c>
      <c r="C3080">
        <f>YEAR(OrdersTable[[#This Row],[Order Date]])</f>
        <v>2025</v>
      </c>
      <c r="D3080" s="2">
        <f>DATE(YEAR(OrdersTable[[#This Row],[Order Date]]),MONTH(OrdersTable[[#This Row],[Order Date]]),1)</f>
        <v>45778</v>
      </c>
      <c r="E3080">
        <f>MONTH(OrdersTable[[#This Row],[Order Date]])</f>
        <v>5</v>
      </c>
      <c r="F3080" t="s">
        <v>864</v>
      </c>
      <c r="G3080" t="str">
        <f>IF(OrdersTable[[#This Row],[Order Date]]=_xlfn.MINIFS(Order_Date, Customer_ID, OrdersTable[[#This Row],[Customer ID]]), "New", "Repeat")</f>
        <v>Repeat</v>
      </c>
      <c r="H3080" t="s">
        <v>71</v>
      </c>
      <c r="I3080" t="str">
        <f>INDEX(State!B:B,MATCH(OrdersTable[[#This Row],[State]],State!A:A,0))</f>
        <v>MH</v>
      </c>
      <c r="J3080" t="str">
        <f>INDEX(State!C:C,MATCH(OrdersTable[[#This Row],[State Code]],State!B:B,0))</f>
        <v>West</v>
      </c>
      <c r="K3080" t="s">
        <v>81</v>
      </c>
      <c r="L3080" t="s">
        <v>65</v>
      </c>
      <c r="M3080" t="s">
        <v>73</v>
      </c>
      <c r="N3080" t="str">
        <f>INDEX(Products!B:B,MATCH(OrdersTable[[#This Row],[Product ID]],Products!A:A,0))</f>
        <v>Hydrating Face Wash</v>
      </c>
      <c r="O3080" t="str">
        <f>INDEX(Products!C:C,MATCH(OrdersTable[[#This Row],[Product ID]],Products!A:A,0))</f>
        <v>Skincare</v>
      </c>
      <c r="P3080">
        <v>1</v>
      </c>
      <c r="Q3080" s="5">
        <v>299</v>
      </c>
      <c r="R3080" s="74">
        <v>0</v>
      </c>
      <c r="S3080" s="75">
        <f>OrdersTable[[#This Row],[Quantity]]*OrdersTable[[#This Row],[Unit Price]]</f>
        <v>299</v>
      </c>
      <c r="T3080" s="5">
        <f>OrdersTable[[#This Row],[Gross Sale]]*OrdersTable[[#This Row],[Discount_Clean2]]</f>
        <v>0</v>
      </c>
      <c r="U3080" s="5">
        <f>OrdersTable[[#This Row],[Gross Sale]]-OrdersTable[[#This Row],[Discount Amount]]</f>
        <v>299</v>
      </c>
      <c r="V3080" s="77">
        <f>INDEX(Products!E:E,MATCH(OrdersTable[[#This Row],[Product ID]],Products!A:A,0))</f>
        <v>90</v>
      </c>
      <c r="W3080" s="77">
        <f>OrdersTable[[#This Row],[Quantity]]*OrdersTable[[#This Row],[Unit Cost]]</f>
        <v>90</v>
      </c>
      <c r="X3080" s="77">
        <f>'Dropdown Lists'!$I$2*(1+OrdersTable[[#This Row],[Returned]])</f>
        <v>60</v>
      </c>
      <c r="Y3080" s="76">
        <f>OrdersTable[[#This Row],[Net Revenue]]-OrdersTable[[#This Row],[COGS]]-OrdersTable[[#This Row],[Shipping Cost]]</f>
        <v>149</v>
      </c>
      <c r="Z3080" s="78">
        <f>IFERROR(OrdersTable[[#This Row],[Profit]]/OrdersTable[[#This Row],[Net Revenue]],0)</f>
        <v>0.49832775919732442</v>
      </c>
      <c r="AA3080" t="s">
        <v>18</v>
      </c>
      <c r="AB3080" s="79">
        <v>45799</v>
      </c>
      <c r="AC3080">
        <f>OrdersTable[[#This Row],[Delivery Date]]-OrdersTable[[#This Row],[Order Date]]</f>
        <v>2</v>
      </c>
      <c r="AD3080" t="str">
        <f>IF(OrdersTable[[#This Row],[Delivery Days]]&lt;=2, "Express (≤2d)", IF(OrdersTable[[#This Row],[Delivery Days]]&lt;=4, "Standard (3-4d)", "Delayed (5d+)"))</f>
        <v>Express (≤2d)</v>
      </c>
      <c r="AF3080">
        <v>0</v>
      </c>
    </row>
    <row r="3081" spans="1:32" ht="15" x14ac:dyDescent="0.35">
      <c r="A3081" t="s">
        <v>4028</v>
      </c>
      <c r="B3081" s="1">
        <v>45797</v>
      </c>
      <c r="C3081">
        <f>YEAR(OrdersTable[[#This Row],[Order Date]])</f>
        <v>2025</v>
      </c>
      <c r="D3081" s="2">
        <f>DATE(YEAR(OrdersTable[[#This Row],[Order Date]]),MONTH(OrdersTable[[#This Row],[Order Date]]),1)</f>
        <v>45778</v>
      </c>
      <c r="E3081">
        <f>MONTH(OrdersTable[[#This Row],[Order Date]])</f>
        <v>5</v>
      </c>
      <c r="F3081" t="s">
        <v>4029</v>
      </c>
      <c r="G3081" t="str">
        <f>IF(OrdersTable[[#This Row],[Order Date]]=_xlfn.MINIFS(Order_Date, Customer_ID, OrdersTable[[#This Row],[Customer ID]]), "New", "Repeat")</f>
        <v>New</v>
      </c>
      <c r="H3081" t="s">
        <v>95</v>
      </c>
      <c r="I3081" t="str">
        <f>INDEX(State!B:B,MATCH(OrdersTable[[#This Row],[State]],State!A:A,0))</f>
        <v>TG</v>
      </c>
      <c r="J3081" t="str">
        <f>INDEX(State!C:C,MATCH(OrdersTable[[#This Row],[State Code]],State!B:B,0))</f>
        <v>South</v>
      </c>
      <c r="K3081" t="s">
        <v>96</v>
      </c>
      <c r="L3081" t="s">
        <v>23</v>
      </c>
      <c r="M3081" t="s">
        <v>92</v>
      </c>
      <c r="N3081" t="str">
        <f>INDEX(Products!B:B,MATCH(OrdersTable[[#This Row],[Product ID]],Products!A:A,0))</f>
        <v>Kolhapuri Sandals</v>
      </c>
      <c r="O3081" t="str">
        <f>INDEX(Products!C:C,MATCH(OrdersTable[[#This Row],[Product ID]],Products!A:A,0))</f>
        <v>Footwear</v>
      </c>
      <c r="P3081">
        <v>1</v>
      </c>
      <c r="Q3081" s="5">
        <v>999</v>
      </c>
      <c r="R3081" s="74">
        <v>0</v>
      </c>
      <c r="S3081" s="75">
        <f>OrdersTable[[#This Row],[Quantity]]*OrdersTable[[#This Row],[Unit Price]]</f>
        <v>999</v>
      </c>
      <c r="T3081" s="5">
        <f>OrdersTable[[#This Row],[Gross Sale]]*OrdersTable[[#This Row],[Discount_Clean2]]</f>
        <v>0</v>
      </c>
      <c r="U3081" s="5">
        <f>OrdersTable[[#This Row],[Gross Sale]]-OrdersTable[[#This Row],[Discount Amount]]</f>
        <v>999</v>
      </c>
      <c r="V3081" s="77">
        <f>INDEX(Products!E:E,MATCH(OrdersTable[[#This Row],[Product ID]],Products!A:A,0))</f>
        <v>400</v>
      </c>
      <c r="W3081" s="77">
        <f>OrdersTable[[#This Row],[Quantity]]*OrdersTable[[#This Row],[Unit Cost]]</f>
        <v>400</v>
      </c>
      <c r="X3081" s="77">
        <f>'Dropdown Lists'!$I$2*(1+OrdersTable[[#This Row],[Returned]])</f>
        <v>60</v>
      </c>
      <c r="Y3081" s="76">
        <f>OrdersTable[[#This Row],[Net Revenue]]-OrdersTable[[#This Row],[COGS]]-OrdersTable[[#This Row],[Shipping Cost]]</f>
        <v>539</v>
      </c>
      <c r="Z3081" s="78">
        <f>IFERROR(OrdersTable[[#This Row],[Profit]]/OrdersTable[[#This Row],[Net Revenue]],0)</f>
        <v>0.53953953953953959</v>
      </c>
      <c r="AA3081" t="s">
        <v>3495</v>
      </c>
      <c r="AB3081" s="79">
        <v>45799</v>
      </c>
      <c r="AC3081">
        <f>OrdersTable[[#This Row],[Delivery Date]]-OrdersTable[[#This Row],[Order Date]]</f>
        <v>2</v>
      </c>
      <c r="AD3081" t="str">
        <f>IF(OrdersTable[[#This Row],[Delivery Days]]&lt;=2, "Express (≤2d)", IF(OrdersTable[[#This Row],[Delivery Days]]&lt;=4, "Standard (3-4d)", "Delayed (5d+)"))</f>
        <v>Express (≤2d)</v>
      </c>
      <c r="AE3081">
        <v>5</v>
      </c>
      <c r="AF3081">
        <v>0</v>
      </c>
    </row>
    <row r="3082" spans="1:32" ht="15" x14ac:dyDescent="0.35">
      <c r="A3082" t="s">
        <v>4030</v>
      </c>
      <c r="B3082" s="1">
        <v>45797</v>
      </c>
      <c r="C3082">
        <f>YEAR(OrdersTable[[#This Row],[Order Date]])</f>
        <v>2025</v>
      </c>
      <c r="D3082" s="2">
        <f>DATE(YEAR(OrdersTable[[#This Row],[Order Date]]),MONTH(OrdersTable[[#This Row],[Order Date]]),1)</f>
        <v>45778</v>
      </c>
      <c r="E3082">
        <f>MONTH(OrdersTable[[#This Row],[Order Date]])</f>
        <v>5</v>
      </c>
      <c r="F3082" t="s">
        <v>4031</v>
      </c>
      <c r="G3082" t="str">
        <f>IF(OrdersTable[[#This Row],[Order Date]]=_xlfn.MINIFS(Order_Date, Customer_ID, OrdersTable[[#This Row],[Customer ID]]), "New", "Repeat")</f>
        <v>New</v>
      </c>
      <c r="H3082" t="s">
        <v>167</v>
      </c>
      <c r="I3082" t="str">
        <f>INDEX(State!B:B,MATCH(OrdersTable[[#This Row],[State]],State!A:A,0))</f>
        <v>KA</v>
      </c>
      <c r="J3082" t="str">
        <f>INDEX(State!C:C,MATCH(OrdersTable[[#This Row],[State Code]],State!B:B,0))</f>
        <v>South</v>
      </c>
      <c r="K3082" t="s">
        <v>190</v>
      </c>
      <c r="L3082" t="s">
        <v>16</v>
      </c>
      <c r="M3082" t="s">
        <v>29</v>
      </c>
      <c r="N3082" t="str">
        <f>INDEX(Products!B:B,MATCH(OrdersTable[[#This Row],[Product ID]],Products!A:A,0))</f>
        <v>Joggers</v>
      </c>
      <c r="O3082" t="str">
        <f>INDEX(Products!C:C,MATCH(OrdersTable[[#This Row],[Product ID]],Products!A:A,0))</f>
        <v>Apparel</v>
      </c>
      <c r="P3082">
        <v>1</v>
      </c>
      <c r="Q3082" s="5">
        <v>1199</v>
      </c>
      <c r="R3082" s="74">
        <v>0.05</v>
      </c>
      <c r="S3082" s="75">
        <f>OrdersTable[[#This Row],[Quantity]]*OrdersTable[[#This Row],[Unit Price]]</f>
        <v>1199</v>
      </c>
      <c r="T3082" s="5">
        <f>OrdersTable[[#This Row],[Gross Sale]]*OrdersTable[[#This Row],[Discount_Clean2]]</f>
        <v>59.95</v>
      </c>
      <c r="U3082" s="5">
        <f>OrdersTable[[#This Row],[Gross Sale]]-OrdersTable[[#This Row],[Discount Amount]]</f>
        <v>1139.05</v>
      </c>
      <c r="V3082" s="77">
        <f>INDEX(Products!E:E,MATCH(OrdersTable[[#This Row],[Product ID]],Products!A:A,0))</f>
        <v>492</v>
      </c>
      <c r="W3082" s="77">
        <f>OrdersTable[[#This Row],[Quantity]]*OrdersTable[[#This Row],[Unit Cost]]</f>
        <v>492</v>
      </c>
      <c r="X3082" s="77">
        <f>'Dropdown Lists'!$I$2*(1+OrdersTable[[#This Row],[Returned]])</f>
        <v>60</v>
      </c>
      <c r="Y3082" s="76">
        <f>OrdersTable[[#This Row],[Net Revenue]]-OrdersTable[[#This Row],[COGS]]-OrdersTable[[#This Row],[Shipping Cost]]</f>
        <v>587.04999999999995</v>
      </c>
      <c r="Z3082" s="78">
        <f>IFERROR(OrdersTable[[#This Row],[Profit]]/OrdersTable[[#This Row],[Net Revenue]],0)</f>
        <v>0.51538562837452262</v>
      </c>
      <c r="AA3082" t="s">
        <v>3495</v>
      </c>
      <c r="AB3082" s="79">
        <v>45800</v>
      </c>
      <c r="AC3082">
        <f>OrdersTable[[#This Row],[Delivery Date]]-OrdersTable[[#This Row],[Order Date]]</f>
        <v>3</v>
      </c>
      <c r="AD3082" t="str">
        <f>IF(OrdersTable[[#This Row],[Delivery Days]]&lt;=2, "Express (≤2d)", IF(OrdersTable[[#This Row],[Delivery Days]]&lt;=4, "Standard (3-4d)", "Delayed (5d+)"))</f>
        <v>Standard (3-4d)</v>
      </c>
      <c r="AE3082">
        <v>5</v>
      </c>
      <c r="AF3082">
        <v>0</v>
      </c>
    </row>
    <row r="3083" spans="1:32" ht="15" x14ac:dyDescent="0.35">
      <c r="A3083" t="s">
        <v>3286</v>
      </c>
      <c r="B3083" s="1">
        <v>45797</v>
      </c>
      <c r="C3083">
        <f>YEAR(OrdersTable[[#This Row],[Order Date]])</f>
        <v>2025</v>
      </c>
      <c r="D3083" s="2">
        <f>DATE(YEAR(OrdersTable[[#This Row],[Order Date]]),MONTH(OrdersTable[[#This Row],[Order Date]]),1)</f>
        <v>45778</v>
      </c>
      <c r="E3083">
        <f>MONTH(OrdersTable[[#This Row],[Order Date]])</f>
        <v>5</v>
      </c>
      <c r="F3083" t="s">
        <v>3154</v>
      </c>
      <c r="G3083" t="str">
        <f>IF(OrdersTable[[#This Row],[Order Date]]=_xlfn.MINIFS(Order_Date, Customer_ID, OrdersTable[[#This Row],[Customer ID]]), "New", "Repeat")</f>
        <v>Repeat</v>
      </c>
      <c r="H3083" t="s">
        <v>275</v>
      </c>
      <c r="I3083" t="str">
        <f>INDEX(State!B:B,MATCH(OrdersTable[[#This Row],[State]],State!A:A,0))</f>
        <v>AP</v>
      </c>
      <c r="J3083" t="str">
        <f>INDEX(State!C:C,MATCH(OrdersTable[[#This Row],[State Code]],State!B:B,0))</f>
        <v>South</v>
      </c>
      <c r="K3083" t="s">
        <v>491</v>
      </c>
      <c r="L3083" t="s">
        <v>16</v>
      </c>
      <c r="M3083" t="s">
        <v>29</v>
      </c>
      <c r="N3083" t="str">
        <f>INDEX(Products!B:B,MATCH(OrdersTable[[#This Row],[Product ID]],Products!A:A,0))</f>
        <v>Joggers</v>
      </c>
      <c r="O3083" t="str">
        <f>INDEX(Products!C:C,MATCH(OrdersTable[[#This Row],[Product ID]],Products!A:A,0))</f>
        <v>Apparel</v>
      </c>
      <c r="P3083">
        <v>1</v>
      </c>
      <c r="Q3083" s="5">
        <v>1199</v>
      </c>
      <c r="R3083" s="74">
        <v>0.1</v>
      </c>
      <c r="S3083" s="75">
        <f>OrdersTable[[#This Row],[Quantity]]*OrdersTable[[#This Row],[Unit Price]]</f>
        <v>1199</v>
      </c>
      <c r="T3083" s="5">
        <f>OrdersTable[[#This Row],[Gross Sale]]*OrdersTable[[#This Row],[Discount_Clean2]]</f>
        <v>119.9</v>
      </c>
      <c r="U3083" s="5">
        <f>OrdersTable[[#This Row],[Gross Sale]]-OrdersTable[[#This Row],[Discount Amount]]</f>
        <v>1079.0999999999999</v>
      </c>
      <c r="V3083" s="77">
        <f>INDEX(Products!E:E,MATCH(OrdersTable[[#This Row],[Product ID]],Products!A:A,0))</f>
        <v>492</v>
      </c>
      <c r="W3083" s="77">
        <f>OrdersTable[[#This Row],[Quantity]]*OrdersTable[[#This Row],[Unit Cost]]</f>
        <v>492</v>
      </c>
      <c r="X3083" s="77">
        <f>'Dropdown Lists'!$I$2*(1+OrdersTable[[#This Row],[Returned]])</f>
        <v>60</v>
      </c>
      <c r="Y3083" s="76">
        <f>OrdersTable[[#This Row],[Net Revenue]]-OrdersTable[[#This Row],[COGS]]-OrdersTable[[#This Row],[Shipping Cost]]</f>
        <v>527.09999999999991</v>
      </c>
      <c r="Z3083" s="78">
        <f>IFERROR(OrdersTable[[#This Row],[Profit]]/OrdersTable[[#This Row],[Net Revenue]],0)</f>
        <v>0.48846260772866273</v>
      </c>
      <c r="AA3083" t="s">
        <v>2522</v>
      </c>
      <c r="AB3083" s="79">
        <v>45800</v>
      </c>
      <c r="AC3083">
        <f>OrdersTable[[#This Row],[Delivery Date]]-OrdersTable[[#This Row],[Order Date]]</f>
        <v>3</v>
      </c>
      <c r="AD3083" t="str">
        <f>IF(OrdersTable[[#This Row],[Delivery Days]]&lt;=2, "Express (≤2d)", IF(OrdersTable[[#This Row],[Delivery Days]]&lt;=4, "Standard (3-4d)", "Delayed (5d+)"))</f>
        <v>Standard (3-4d)</v>
      </c>
      <c r="AE3083">
        <v>4</v>
      </c>
      <c r="AF3083">
        <v>0</v>
      </c>
    </row>
    <row r="3084" spans="1:32" ht="15" x14ac:dyDescent="0.35">
      <c r="A3084" t="s">
        <v>5417</v>
      </c>
      <c r="B3084" s="1">
        <v>45798</v>
      </c>
      <c r="C3084">
        <f>YEAR(OrdersTable[[#This Row],[Order Date]])</f>
        <v>2025</v>
      </c>
      <c r="D3084" s="2">
        <f>DATE(YEAR(OrdersTable[[#This Row],[Order Date]]),MONTH(OrdersTable[[#This Row],[Order Date]]),1)</f>
        <v>45778</v>
      </c>
      <c r="E3084">
        <f>MONTH(OrdersTable[[#This Row],[Order Date]])</f>
        <v>5</v>
      </c>
      <c r="F3084" t="s">
        <v>2129</v>
      </c>
      <c r="G3084" t="str">
        <f>IF(OrdersTable[[#This Row],[Order Date]]=_xlfn.MINIFS(Order_Date, Customer_ID, OrdersTable[[#This Row],[Customer ID]]), "New", "Repeat")</f>
        <v>Repeat</v>
      </c>
      <c r="H3084" t="s">
        <v>54</v>
      </c>
      <c r="I3084" t="str">
        <f>INDEX(State!B:B,MATCH(OrdersTable[[#This Row],[State]],State!A:A,0))</f>
        <v>RJ</v>
      </c>
      <c r="J3084" t="str">
        <f>INDEX(State!C:C,MATCH(OrdersTable[[#This Row],[State Code]],State!B:B,0))</f>
        <v>North</v>
      </c>
      <c r="K3084" t="s">
        <v>55</v>
      </c>
      <c r="L3084" t="s">
        <v>16</v>
      </c>
      <c r="M3084" t="s">
        <v>87</v>
      </c>
      <c r="N3084" t="str">
        <f>INDEX(Products!B:B,MATCH(OrdersTable[[#This Row],[Product ID]],Products!A:A,0))</f>
        <v>Linen Kurta</v>
      </c>
      <c r="O3084" t="str">
        <f>INDEX(Products!C:C,MATCH(OrdersTable[[#This Row],[Product ID]],Products!A:A,0))</f>
        <v>Apparel</v>
      </c>
      <c r="P3084">
        <v>2</v>
      </c>
      <c r="Q3084" s="5">
        <v>1499</v>
      </c>
      <c r="R3084" s="74">
        <v>0.3</v>
      </c>
      <c r="S3084" s="75">
        <f>OrdersTable[[#This Row],[Quantity]]*OrdersTable[[#This Row],[Unit Price]]</f>
        <v>2998</v>
      </c>
      <c r="T3084" s="5">
        <f>OrdersTable[[#This Row],[Gross Sale]]*OrdersTable[[#This Row],[Discount_Clean2]]</f>
        <v>899.4</v>
      </c>
      <c r="U3084" s="5">
        <f>OrdersTable[[#This Row],[Gross Sale]]-OrdersTable[[#This Row],[Discount Amount]]</f>
        <v>2098.6</v>
      </c>
      <c r="V3084" s="77">
        <f>INDEX(Products!E:E,MATCH(OrdersTable[[#This Row],[Product ID]],Products!A:A,0))</f>
        <v>630</v>
      </c>
      <c r="W3084" s="77">
        <f>OrdersTable[[#This Row],[Quantity]]*OrdersTable[[#This Row],[Unit Cost]]</f>
        <v>1260</v>
      </c>
      <c r="X3084" s="77">
        <f>'Dropdown Lists'!$I$2*(1+OrdersTable[[#This Row],[Returned]])</f>
        <v>60</v>
      </c>
      <c r="Y3084" s="76">
        <f>OrdersTable[[#This Row],[Net Revenue]]-OrdersTable[[#This Row],[COGS]]-OrdersTable[[#This Row],[Shipping Cost]]</f>
        <v>778.59999999999991</v>
      </c>
      <c r="Z3084" s="78">
        <f>IFERROR(OrdersTable[[#This Row],[Profit]]/OrdersTable[[#This Row],[Net Revenue]],0)</f>
        <v>0.3710092442580768</v>
      </c>
      <c r="AA3084" t="s">
        <v>2522</v>
      </c>
      <c r="AB3084" s="79">
        <v>45803</v>
      </c>
      <c r="AC3084">
        <f>OrdersTable[[#This Row],[Delivery Date]]-OrdersTable[[#This Row],[Order Date]]</f>
        <v>5</v>
      </c>
      <c r="AD3084" t="str">
        <f>IF(OrdersTable[[#This Row],[Delivery Days]]&lt;=2, "Express (≤2d)", IF(OrdersTable[[#This Row],[Delivery Days]]&lt;=4, "Standard (3-4d)", "Delayed (5d+)"))</f>
        <v>Delayed (5d+)</v>
      </c>
      <c r="AE3084">
        <v>3</v>
      </c>
      <c r="AF3084">
        <v>0</v>
      </c>
    </row>
    <row r="3085" spans="1:32" ht="15" x14ac:dyDescent="0.35">
      <c r="A3085" t="s">
        <v>3287</v>
      </c>
      <c r="B3085" s="1">
        <v>45798</v>
      </c>
      <c r="C3085">
        <f>YEAR(OrdersTable[[#This Row],[Order Date]])</f>
        <v>2025</v>
      </c>
      <c r="D3085" s="2">
        <f>DATE(YEAR(OrdersTable[[#This Row],[Order Date]]),MONTH(OrdersTable[[#This Row],[Order Date]]),1)</f>
        <v>45778</v>
      </c>
      <c r="E3085">
        <f>MONTH(OrdersTable[[#This Row],[Order Date]])</f>
        <v>5</v>
      </c>
      <c r="F3085" t="s">
        <v>2678</v>
      </c>
      <c r="G3085" t="str">
        <f>IF(OrdersTable[[#This Row],[Order Date]]=_xlfn.MINIFS(Order_Date, Customer_ID, OrdersTable[[#This Row],[Customer ID]]), "New", "Repeat")</f>
        <v>New</v>
      </c>
      <c r="H3085" t="s">
        <v>43</v>
      </c>
      <c r="I3085" t="str">
        <f>INDEX(State!B:B,MATCH(OrdersTable[[#This Row],[State]],State!A:A,0))</f>
        <v>MP</v>
      </c>
      <c r="J3085" t="str">
        <f>INDEX(State!C:C,MATCH(OrdersTable[[#This Row],[State Code]],State!B:B,0))</f>
        <v>West</v>
      </c>
      <c r="K3085" t="s">
        <v>44</v>
      </c>
      <c r="L3085" t="s">
        <v>50</v>
      </c>
      <c r="M3085" t="s">
        <v>106</v>
      </c>
      <c r="N3085" t="str">
        <f>INDEX(Products!B:B,MATCH(OrdersTable[[#This Row],[Product ID]],Products!A:A,0))</f>
        <v>Keratin Hair Mask</v>
      </c>
      <c r="O3085" t="str">
        <f>INDEX(Products!C:C,MATCH(OrdersTable[[#This Row],[Product ID]],Products!A:A,0))</f>
        <v>Haircare</v>
      </c>
      <c r="P3085">
        <v>1</v>
      </c>
      <c r="Q3085" s="5">
        <v>549</v>
      </c>
      <c r="R3085" s="74">
        <v>0.15</v>
      </c>
      <c r="S3085" s="75">
        <f>OrdersTable[[#This Row],[Quantity]]*OrdersTable[[#This Row],[Unit Price]]</f>
        <v>549</v>
      </c>
      <c r="T3085" s="5">
        <f>OrdersTable[[#This Row],[Gross Sale]]*OrdersTable[[#This Row],[Discount_Clean2]]</f>
        <v>82.35</v>
      </c>
      <c r="U3085" s="5">
        <f>OrdersTable[[#This Row],[Gross Sale]]-OrdersTable[[#This Row],[Discount Amount]]</f>
        <v>466.65</v>
      </c>
      <c r="V3085" s="77">
        <f>INDEX(Products!E:E,MATCH(OrdersTable[[#This Row],[Product ID]],Products!A:A,0))</f>
        <v>170</v>
      </c>
      <c r="W3085" s="77">
        <f>OrdersTable[[#This Row],[Quantity]]*OrdersTable[[#This Row],[Unit Cost]]</f>
        <v>170</v>
      </c>
      <c r="X3085" s="77">
        <f>'Dropdown Lists'!$I$2*(1+OrdersTable[[#This Row],[Returned]])</f>
        <v>60</v>
      </c>
      <c r="Y3085" s="76">
        <f>OrdersTable[[#This Row],[Net Revenue]]-OrdersTable[[#This Row],[COGS]]-OrdersTable[[#This Row],[Shipping Cost]]</f>
        <v>236.64999999999998</v>
      </c>
      <c r="Z3085" s="78">
        <f>IFERROR(OrdersTable[[#This Row],[Profit]]/OrdersTable[[#This Row],[Net Revenue]],0)</f>
        <v>0.50712525447337398</v>
      </c>
      <c r="AA3085" t="s">
        <v>2522</v>
      </c>
      <c r="AB3085" s="79">
        <v>45801</v>
      </c>
      <c r="AC3085">
        <f>OrdersTable[[#This Row],[Delivery Date]]-OrdersTable[[#This Row],[Order Date]]</f>
        <v>3</v>
      </c>
      <c r="AD3085" t="str">
        <f>IF(OrdersTable[[#This Row],[Delivery Days]]&lt;=2, "Express (≤2d)", IF(OrdersTable[[#This Row],[Delivery Days]]&lt;=4, "Standard (3-4d)", "Delayed (5d+)"))</f>
        <v>Standard (3-4d)</v>
      </c>
      <c r="AE3085">
        <v>4</v>
      </c>
      <c r="AF3085">
        <v>0</v>
      </c>
    </row>
    <row r="3086" spans="1:32" ht="15" x14ac:dyDescent="0.35">
      <c r="A3086" t="s">
        <v>3288</v>
      </c>
      <c r="B3086" s="1">
        <v>45798</v>
      </c>
      <c r="C3086">
        <f>YEAR(OrdersTable[[#This Row],[Order Date]])</f>
        <v>2025</v>
      </c>
      <c r="D3086" s="2">
        <f>DATE(YEAR(OrdersTable[[#This Row],[Order Date]]),MONTH(OrdersTable[[#This Row],[Order Date]]),1)</f>
        <v>45778</v>
      </c>
      <c r="E3086">
        <f>MONTH(OrdersTable[[#This Row],[Order Date]])</f>
        <v>5</v>
      </c>
      <c r="F3086" t="s">
        <v>889</v>
      </c>
      <c r="G3086" t="str">
        <f>IF(OrdersTable[[#This Row],[Order Date]]=_xlfn.MINIFS(Order_Date, Customer_ID, OrdersTable[[#This Row],[Customer ID]]), "New", "Repeat")</f>
        <v>Repeat</v>
      </c>
      <c r="H3086" t="s">
        <v>482</v>
      </c>
      <c r="I3086" t="str">
        <f>INDEX(State!B:B,MATCH(OrdersTable[[#This Row],[State]],State!A:A,0))</f>
        <v>CG</v>
      </c>
      <c r="J3086" t="str">
        <f>INDEX(State!C:C,MATCH(OrdersTable[[#This Row],[State Code]],State!B:B,0))</f>
        <v>East</v>
      </c>
      <c r="K3086" t="s">
        <v>483</v>
      </c>
      <c r="L3086" t="s">
        <v>50</v>
      </c>
      <c r="M3086" t="s">
        <v>40</v>
      </c>
      <c r="N3086" t="str">
        <f>INDEX(Products!B:B,MATCH(OrdersTable[[#This Row],[Product ID]],Products!A:A,0))</f>
        <v>Ashwagandha Capsules</v>
      </c>
      <c r="O3086" t="str">
        <f>INDEX(Products!C:C,MATCH(OrdersTable[[#This Row],[Product ID]],Products!A:A,0))</f>
        <v>Wellness</v>
      </c>
      <c r="P3086">
        <v>1</v>
      </c>
      <c r="Q3086" s="5">
        <v>499</v>
      </c>
      <c r="R3086" s="74">
        <v>0.1</v>
      </c>
      <c r="S3086" s="75">
        <f>OrdersTable[[#This Row],[Quantity]]*OrdersTable[[#This Row],[Unit Price]]</f>
        <v>499</v>
      </c>
      <c r="T3086" s="5">
        <f>OrdersTable[[#This Row],[Gross Sale]]*OrdersTable[[#This Row],[Discount_Clean2]]</f>
        <v>49.900000000000006</v>
      </c>
      <c r="U3086" s="5">
        <f>OrdersTable[[#This Row],[Gross Sale]]-OrdersTable[[#This Row],[Discount Amount]]</f>
        <v>449.1</v>
      </c>
      <c r="V3086" s="77">
        <f>INDEX(Products!E:E,MATCH(OrdersTable[[#This Row],[Product ID]],Products!A:A,0))</f>
        <v>150</v>
      </c>
      <c r="W3086" s="77">
        <f>OrdersTable[[#This Row],[Quantity]]*OrdersTable[[#This Row],[Unit Cost]]</f>
        <v>150</v>
      </c>
      <c r="X3086" s="77">
        <f>'Dropdown Lists'!$I$2*(1+OrdersTable[[#This Row],[Returned]])</f>
        <v>60</v>
      </c>
      <c r="Y3086" s="76">
        <f>OrdersTable[[#This Row],[Net Revenue]]-OrdersTable[[#This Row],[COGS]]-OrdersTable[[#This Row],[Shipping Cost]]</f>
        <v>239.10000000000002</v>
      </c>
      <c r="Z3086" s="78">
        <f>IFERROR(OrdersTable[[#This Row],[Profit]]/OrdersTable[[#This Row],[Net Revenue]],0)</f>
        <v>0.53239812959251842</v>
      </c>
      <c r="AA3086" t="s">
        <v>2522</v>
      </c>
      <c r="AB3086" s="79">
        <v>45802</v>
      </c>
      <c r="AC3086">
        <f>OrdersTable[[#This Row],[Delivery Date]]-OrdersTable[[#This Row],[Order Date]]</f>
        <v>4</v>
      </c>
      <c r="AD3086" t="str">
        <f>IF(OrdersTable[[#This Row],[Delivery Days]]&lt;=2, "Express (≤2d)", IF(OrdersTable[[#This Row],[Delivery Days]]&lt;=4, "Standard (3-4d)", "Delayed (5d+)"))</f>
        <v>Standard (3-4d)</v>
      </c>
      <c r="AE3086">
        <v>4</v>
      </c>
      <c r="AF3086">
        <v>0</v>
      </c>
    </row>
    <row r="3087" spans="1:32" ht="15" x14ac:dyDescent="0.35">
      <c r="A3087" t="s">
        <v>4609</v>
      </c>
      <c r="B3087" s="1">
        <v>45798</v>
      </c>
      <c r="C3087">
        <f>YEAR(OrdersTable[[#This Row],[Order Date]])</f>
        <v>2025</v>
      </c>
      <c r="D3087" s="2">
        <f>DATE(YEAR(OrdersTable[[#This Row],[Order Date]]),MONTH(OrdersTable[[#This Row],[Order Date]]),1)</f>
        <v>45778</v>
      </c>
      <c r="E3087">
        <f>MONTH(OrdersTable[[#This Row],[Order Date]])</f>
        <v>5</v>
      </c>
      <c r="F3087" t="s">
        <v>1760</v>
      </c>
      <c r="G3087" t="str">
        <f>IF(OrdersTable[[#This Row],[Order Date]]=_xlfn.MINIFS(Order_Date, Customer_ID, OrdersTable[[#This Row],[Customer ID]]), "New", "Repeat")</f>
        <v>Repeat</v>
      </c>
      <c r="H3087" t="s">
        <v>123</v>
      </c>
      <c r="I3087" t="str">
        <f>INDEX(State!B:B,MATCH(OrdersTable[[#This Row],[State]],State!A:A,0))</f>
        <v>JH</v>
      </c>
      <c r="J3087" t="str">
        <f>INDEX(State!C:C,MATCH(OrdersTable[[#This Row],[State Code]],State!B:B,0))</f>
        <v>East</v>
      </c>
      <c r="K3087" t="s">
        <v>124</v>
      </c>
      <c r="L3087" t="s">
        <v>23</v>
      </c>
      <c r="M3087" t="s">
        <v>61</v>
      </c>
      <c r="N3087" t="str">
        <f>INDEX(Products!B:B,MATCH(OrdersTable[[#This Row],[Product ID]],Products!A:A,0))</f>
        <v>Multivitamin Gummies</v>
      </c>
      <c r="O3087" t="str">
        <f>INDEX(Products!C:C,MATCH(OrdersTable[[#This Row],[Product ID]],Products!A:A,0))</f>
        <v>Wellness</v>
      </c>
      <c r="P3087">
        <v>1</v>
      </c>
      <c r="Q3087" s="5">
        <v>699</v>
      </c>
      <c r="R3087" s="74">
        <v>0.25</v>
      </c>
      <c r="S3087" s="75">
        <f>OrdersTable[[#This Row],[Quantity]]*OrdersTable[[#This Row],[Unit Price]]</f>
        <v>699</v>
      </c>
      <c r="T3087" s="5">
        <f>OrdersTable[[#This Row],[Gross Sale]]*OrdersTable[[#This Row],[Discount_Clean2]]</f>
        <v>174.75</v>
      </c>
      <c r="U3087" s="5">
        <f>OrdersTable[[#This Row],[Gross Sale]]-OrdersTable[[#This Row],[Discount Amount]]</f>
        <v>524.25</v>
      </c>
      <c r="V3087" s="77">
        <f>INDEX(Products!E:E,MATCH(OrdersTable[[#This Row],[Product ID]],Products!A:A,0))</f>
        <v>238</v>
      </c>
      <c r="W3087" s="77">
        <f>OrdersTable[[#This Row],[Quantity]]*OrdersTable[[#This Row],[Unit Cost]]</f>
        <v>238</v>
      </c>
      <c r="X3087" s="77">
        <f>'Dropdown Lists'!$I$2*(1+OrdersTable[[#This Row],[Returned]])</f>
        <v>60</v>
      </c>
      <c r="Y3087" s="76">
        <f>OrdersTable[[#This Row],[Net Revenue]]-OrdersTable[[#This Row],[COGS]]-OrdersTable[[#This Row],[Shipping Cost]]</f>
        <v>226.25</v>
      </c>
      <c r="Z3087" s="78">
        <f>IFERROR(OrdersTable[[#This Row],[Profit]]/OrdersTable[[#This Row],[Net Revenue]],0)</f>
        <v>0.43156890796375774</v>
      </c>
      <c r="AA3087" t="s">
        <v>4450</v>
      </c>
      <c r="AB3087" s="79">
        <v>45801</v>
      </c>
      <c r="AC3087">
        <f>OrdersTable[[#This Row],[Delivery Date]]-OrdersTable[[#This Row],[Order Date]]</f>
        <v>3</v>
      </c>
      <c r="AD3087" t="str">
        <f>IF(OrdersTable[[#This Row],[Delivery Days]]&lt;=2, "Express (≤2d)", IF(OrdersTable[[#This Row],[Delivery Days]]&lt;=4, "Standard (3-4d)", "Delayed (5d+)"))</f>
        <v>Standard (3-4d)</v>
      </c>
      <c r="AF3087">
        <v>0</v>
      </c>
    </row>
    <row r="3088" spans="1:32" ht="15" x14ac:dyDescent="0.35">
      <c r="A3088" t="s">
        <v>6589</v>
      </c>
      <c r="B3088" s="1">
        <v>45798</v>
      </c>
      <c r="C3088">
        <f>YEAR(OrdersTable[[#This Row],[Order Date]])</f>
        <v>2025</v>
      </c>
      <c r="D3088" s="2">
        <f>DATE(YEAR(OrdersTable[[#This Row],[Order Date]]),MONTH(OrdersTable[[#This Row],[Order Date]]),1)</f>
        <v>45778</v>
      </c>
      <c r="E3088">
        <f>MONTH(OrdersTable[[#This Row],[Order Date]])</f>
        <v>5</v>
      </c>
      <c r="F3088" t="s">
        <v>1359</v>
      </c>
      <c r="G3088" t="str">
        <f>IF(OrdersTable[[#This Row],[Order Date]]=_xlfn.MINIFS(Order_Date, Customer_ID, OrdersTable[[#This Row],[Customer ID]]), "New", "Repeat")</f>
        <v>Repeat</v>
      </c>
      <c r="H3088" t="s">
        <v>27</v>
      </c>
      <c r="I3088" t="str">
        <f>INDEX(State!B:B,MATCH(OrdersTable[[#This Row],[State]],State!A:A,0))</f>
        <v>WB</v>
      </c>
      <c r="J3088" t="str">
        <f>INDEX(State!C:C,MATCH(OrdersTable[[#This Row],[State Code]],State!B:B,0))</f>
        <v>East</v>
      </c>
      <c r="K3088" t="s">
        <v>28</v>
      </c>
      <c r="L3088" t="s">
        <v>65</v>
      </c>
      <c r="M3088" t="s">
        <v>109</v>
      </c>
      <c r="N3088" t="str">
        <f>INDEX(Products!B:B,MATCH(OrdersTable[[#This Row],[Product ID]],Products!A:A,0))</f>
        <v>Onion Hair Oil</v>
      </c>
      <c r="O3088" t="str">
        <f>INDEX(Products!C:C,MATCH(OrdersTable[[#This Row],[Product ID]],Products!A:A,0))</f>
        <v>Haircare</v>
      </c>
      <c r="P3088">
        <v>3</v>
      </c>
      <c r="Q3088" s="5">
        <v>349</v>
      </c>
      <c r="R3088" s="74">
        <v>0.3</v>
      </c>
      <c r="S3088" s="75">
        <f>OrdersTable[[#This Row],[Quantity]]*OrdersTable[[#This Row],[Unit Price]]</f>
        <v>1047</v>
      </c>
      <c r="T3088" s="5">
        <f>OrdersTable[[#This Row],[Gross Sale]]*OrdersTable[[#This Row],[Discount_Clean2]]</f>
        <v>314.09999999999997</v>
      </c>
      <c r="U3088" s="5">
        <f>OrdersTable[[#This Row],[Gross Sale]]-OrdersTable[[#This Row],[Discount Amount]]</f>
        <v>732.90000000000009</v>
      </c>
      <c r="V3088" s="77">
        <f>INDEX(Products!E:E,MATCH(OrdersTable[[#This Row],[Product ID]],Products!A:A,0))</f>
        <v>105</v>
      </c>
      <c r="W3088" s="77">
        <f>OrdersTable[[#This Row],[Quantity]]*OrdersTable[[#This Row],[Unit Cost]]</f>
        <v>315</v>
      </c>
      <c r="X3088" s="77">
        <f>'Dropdown Lists'!$I$2*(1+OrdersTable[[#This Row],[Returned]])</f>
        <v>120</v>
      </c>
      <c r="Y3088" s="76">
        <f>OrdersTable[[#This Row],[Net Revenue]]-OrdersTable[[#This Row],[COGS]]-OrdersTable[[#This Row],[Shipping Cost]]</f>
        <v>297.90000000000009</v>
      </c>
      <c r="Z3088" s="78">
        <f>IFERROR(OrdersTable[[#This Row],[Profit]]/OrdersTable[[#This Row],[Net Revenue]],0)</f>
        <v>0.40646745804338935</v>
      </c>
      <c r="AA3088" t="s">
        <v>18</v>
      </c>
      <c r="AB3088" s="79">
        <v>45803</v>
      </c>
      <c r="AC3088">
        <f>OrdersTable[[#This Row],[Delivery Date]]-OrdersTable[[#This Row],[Order Date]]</f>
        <v>5</v>
      </c>
      <c r="AD3088" t="str">
        <f>IF(OrdersTable[[#This Row],[Delivery Days]]&lt;=2, "Express (≤2d)", IF(OrdersTable[[#This Row],[Delivery Days]]&lt;=4, "Standard (3-4d)", "Delayed (5d+)"))</f>
        <v>Delayed (5d+)</v>
      </c>
      <c r="AE3088">
        <v>3</v>
      </c>
      <c r="AF3088">
        <v>1</v>
      </c>
    </row>
    <row r="3089" spans="1:32" ht="15" x14ac:dyDescent="0.35">
      <c r="A3089" t="s">
        <v>318</v>
      </c>
      <c r="B3089" s="1">
        <v>45798</v>
      </c>
      <c r="C3089">
        <f>YEAR(OrdersTable[[#This Row],[Order Date]])</f>
        <v>2025</v>
      </c>
      <c r="D3089" s="2">
        <f>DATE(YEAR(OrdersTable[[#This Row],[Order Date]]),MONTH(OrdersTable[[#This Row],[Order Date]]),1)</f>
        <v>45778</v>
      </c>
      <c r="E3089">
        <f>MONTH(OrdersTable[[#This Row],[Order Date]])</f>
        <v>5</v>
      </c>
      <c r="F3089" t="s">
        <v>319</v>
      </c>
      <c r="G3089" t="str">
        <f>IF(OrdersTable[[#This Row],[Order Date]]=_xlfn.MINIFS(Order_Date, Customer_ID, OrdersTable[[#This Row],[Customer ID]]), "New", "Repeat")</f>
        <v>New</v>
      </c>
      <c r="H3089" t="s">
        <v>14</v>
      </c>
      <c r="I3089" t="str">
        <f>INDEX(State!B:B,MATCH(OrdersTable[[#This Row],[State]],State!A:A,0))</f>
        <v>OD</v>
      </c>
      <c r="J3089" t="str">
        <f>INDEX(State!C:C,MATCH(OrdersTable[[#This Row],[State Code]],State!B:B,0))</f>
        <v>East</v>
      </c>
      <c r="K3089" t="s">
        <v>15</v>
      </c>
      <c r="L3089" t="s">
        <v>65</v>
      </c>
      <c r="M3089" t="s">
        <v>40</v>
      </c>
      <c r="N3089" t="str">
        <f>INDEX(Products!B:B,MATCH(OrdersTable[[#This Row],[Product ID]],Products!A:A,0))</f>
        <v>Ashwagandha Capsules</v>
      </c>
      <c r="O3089" t="str">
        <f>INDEX(Products!C:C,MATCH(OrdersTable[[#This Row],[Product ID]],Products!A:A,0))</f>
        <v>Wellness</v>
      </c>
      <c r="P3089">
        <v>1</v>
      </c>
      <c r="Q3089" s="5">
        <v>499</v>
      </c>
      <c r="R3089" s="74">
        <v>0.1</v>
      </c>
      <c r="S3089" s="75">
        <f>OrdersTable[[#This Row],[Quantity]]*OrdersTable[[#This Row],[Unit Price]]</f>
        <v>499</v>
      </c>
      <c r="T3089" s="5">
        <f>OrdersTable[[#This Row],[Gross Sale]]*OrdersTable[[#This Row],[Discount_Clean2]]</f>
        <v>49.900000000000006</v>
      </c>
      <c r="U3089" s="5">
        <f>OrdersTable[[#This Row],[Gross Sale]]-OrdersTable[[#This Row],[Discount Amount]]</f>
        <v>449.1</v>
      </c>
      <c r="V3089" s="77">
        <f>INDEX(Products!E:E,MATCH(OrdersTable[[#This Row],[Product ID]],Products!A:A,0))</f>
        <v>150</v>
      </c>
      <c r="W3089" s="77">
        <f>OrdersTable[[#This Row],[Quantity]]*OrdersTable[[#This Row],[Unit Cost]]</f>
        <v>150</v>
      </c>
      <c r="X3089" s="77">
        <f>'Dropdown Lists'!$I$2*(1+OrdersTable[[#This Row],[Returned]])</f>
        <v>60</v>
      </c>
      <c r="Y3089" s="76">
        <f>OrdersTable[[#This Row],[Net Revenue]]-OrdersTable[[#This Row],[COGS]]-OrdersTable[[#This Row],[Shipping Cost]]</f>
        <v>239.10000000000002</v>
      </c>
      <c r="Z3089" s="78">
        <f>IFERROR(OrdersTable[[#This Row],[Profit]]/OrdersTable[[#This Row],[Net Revenue]],0)</f>
        <v>0.53239812959251842</v>
      </c>
      <c r="AA3089" t="s">
        <v>18</v>
      </c>
      <c r="AB3089" s="79">
        <v>45801</v>
      </c>
      <c r="AC3089">
        <f>OrdersTable[[#This Row],[Delivery Date]]-OrdersTable[[#This Row],[Order Date]]</f>
        <v>3</v>
      </c>
      <c r="AD3089" t="str">
        <f>IF(OrdersTable[[#This Row],[Delivery Days]]&lt;=2, "Express (≤2d)", IF(OrdersTable[[#This Row],[Delivery Days]]&lt;=4, "Standard (3-4d)", "Delayed (5d+)"))</f>
        <v>Standard (3-4d)</v>
      </c>
      <c r="AE3089">
        <v>4</v>
      </c>
      <c r="AF3089">
        <v>0</v>
      </c>
    </row>
    <row r="3090" spans="1:32" ht="15" x14ac:dyDescent="0.35">
      <c r="A3090" t="s">
        <v>5615</v>
      </c>
      <c r="B3090" s="1">
        <v>45799</v>
      </c>
      <c r="C3090">
        <f>YEAR(OrdersTable[[#This Row],[Order Date]])</f>
        <v>2025</v>
      </c>
      <c r="D3090" s="2">
        <f>DATE(YEAR(OrdersTable[[#This Row],[Order Date]]),MONTH(OrdersTable[[#This Row],[Order Date]]),1)</f>
        <v>45778</v>
      </c>
      <c r="E3090">
        <f>MONTH(OrdersTable[[#This Row],[Order Date]])</f>
        <v>5</v>
      </c>
      <c r="F3090" t="s">
        <v>1037</v>
      </c>
      <c r="G3090" t="str">
        <f>IF(OrdersTable[[#This Row],[Order Date]]=_xlfn.MINIFS(Order_Date, Customer_ID, OrdersTable[[#This Row],[Customer ID]]), "New", "Repeat")</f>
        <v>Repeat</v>
      </c>
      <c r="H3090" t="s">
        <v>54</v>
      </c>
      <c r="I3090" t="str">
        <f>INDEX(State!B:B,MATCH(OrdersTable[[#This Row],[State]],State!A:A,0))</f>
        <v>RJ</v>
      </c>
      <c r="J3090" t="str">
        <f>INDEX(State!C:C,MATCH(OrdersTable[[#This Row],[State Code]],State!B:B,0))</f>
        <v>North</v>
      </c>
      <c r="K3090" t="s">
        <v>55</v>
      </c>
      <c r="L3090" t="s">
        <v>50</v>
      </c>
      <c r="M3090" t="s">
        <v>51</v>
      </c>
      <c r="N3090" t="str">
        <f>INDEX(Products!B:B,MATCH(OrdersTable[[#This Row],[Product ID]],Products!A:A,0))</f>
        <v>Anti-Dandruff Conditioner</v>
      </c>
      <c r="O3090" t="str">
        <f>INDEX(Products!C:C,MATCH(OrdersTable[[#This Row],[Product ID]],Products!A:A,0))</f>
        <v>Haircare</v>
      </c>
      <c r="P3090">
        <v>2</v>
      </c>
      <c r="Q3090" s="5">
        <v>399</v>
      </c>
      <c r="R3090" s="74">
        <v>0.3</v>
      </c>
      <c r="S3090" s="75">
        <f>OrdersTable[[#This Row],[Quantity]]*OrdersTable[[#This Row],[Unit Price]]</f>
        <v>798</v>
      </c>
      <c r="T3090" s="5">
        <f>OrdersTable[[#This Row],[Gross Sale]]*OrdersTable[[#This Row],[Discount_Clean2]]</f>
        <v>239.39999999999998</v>
      </c>
      <c r="U3090" s="5">
        <f>OrdersTable[[#This Row],[Gross Sale]]-OrdersTable[[#This Row],[Discount Amount]]</f>
        <v>558.6</v>
      </c>
      <c r="V3090" s="77">
        <f>INDEX(Products!E:E,MATCH(OrdersTable[[#This Row],[Product ID]],Products!A:A,0))</f>
        <v>136</v>
      </c>
      <c r="W3090" s="77">
        <f>OrdersTable[[#This Row],[Quantity]]*OrdersTable[[#This Row],[Unit Cost]]</f>
        <v>272</v>
      </c>
      <c r="X3090" s="77">
        <f>'Dropdown Lists'!$I$2*(1+OrdersTable[[#This Row],[Returned]])</f>
        <v>120</v>
      </c>
      <c r="Y3090" s="76">
        <f>OrdersTable[[#This Row],[Net Revenue]]-OrdersTable[[#This Row],[COGS]]-OrdersTable[[#This Row],[Shipping Cost]]</f>
        <v>166.60000000000002</v>
      </c>
      <c r="Z3090" s="78">
        <f>IFERROR(OrdersTable[[#This Row],[Profit]]/OrdersTable[[#This Row],[Net Revenue]],0)</f>
        <v>0.29824561403508776</v>
      </c>
      <c r="AA3090" t="s">
        <v>2522</v>
      </c>
      <c r="AB3090" s="79">
        <v>45803</v>
      </c>
      <c r="AC3090">
        <f>OrdersTable[[#This Row],[Delivery Date]]-OrdersTable[[#This Row],[Order Date]]</f>
        <v>4</v>
      </c>
      <c r="AD3090" t="str">
        <f>IF(OrdersTable[[#This Row],[Delivery Days]]&lt;=2, "Express (≤2d)", IF(OrdersTable[[#This Row],[Delivery Days]]&lt;=4, "Standard (3-4d)", "Delayed (5d+)"))</f>
        <v>Standard (3-4d)</v>
      </c>
      <c r="AE3090">
        <v>4</v>
      </c>
      <c r="AF3090">
        <v>1</v>
      </c>
    </row>
    <row r="3091" spans="1:32" ht="15" x14ac:dyDescent="0.35">
      <c r="A3091" t="s">
        <v>6800</v>
      </c>
      <c r="B3091" s="1">
        <v>45799</v>
      </c>
      <c r="C3091">
        <f>YEAR(OrdersTable[[#This Row],[Order Date]])</f>
        <v>2025</v>
      </c>
      <c r="D3091" s="2">
        <f>DATE(YEAR(OrdersTable[[#This Row],[Order Date]]),MONTH(OrdersTable[[#This Row],[Order Date]]),1)</f>
        <v>45778</v>
      </c>
      <c r="E3091">
        <f>MONTH(OrdersTable[[#This Row],[Order Date]])</f>
        <v>5</v>
      </c>
      <c r="F3091" t="s">
        <v>1190</v>
      </c>
      <c r="G3091" t="str">
        <f>IF(OrdersTable[[#This Row],[Order Date]]=_xlfn.MINIFS(Order_Date, Customer_ID, OrdersTable[[#This Row],[Customer ID]]), "New", "Repeat")</f>
        <v>New</v>
      </c>
      <c r="H3091" t="s">
        <v>132</v>
      </c>
      <c r="I3091" t="str">
        <f>INDEX(State!B:B,MATCH(OrdersTable[[#This Row],[State]],State!A:A,0))</f>
        <v>AS</v>
      </c>
      <c r="J3091" t="str">
        <f>INDEX(State!C:C,MATCH(OrdersTable[[#This Row],[State Code]],State!B:B,0))</f>
        <v>East</v>
      </c>
      <c r="K3091" t="s">
        <v>133</v>
      </c>
      <c r="L3091" t="s">
        <v>50</v>
      </c>
      <c r="M3091" t="s">
        <v>160</v>
      </c>
      <c r="N3091" t="str">
        <f>INDEX(Products!B:B,MATCH(OrdersTable[[#This Row],[Product ID]],Products!A:A,0))</f>
        <v>Niacinamide Toner</v>
      </c>
      <c r="O3091" t="str">
        <f>INDEX(Products!C:C,MATCH(OrdersTable[[#This Row],[Product ID]],Products!A:A,0))</f>
        <v>Skincare</v>
      </c>
      <c r="P3091">
        <v>3</v>
      </c>
      <c r="Q3091" s="5">
        <v>399</v>
      </c>
      <c r="R3091" s="74">
        <v>0.15</v>
      </c>
      <c r="S3091" s="75">
        <f>OrdersTable[[#This Row],[Quantity]]*OrdersTable[[#This Row],[Unit Price]]</f>
        <v>1197</v>
      </c>
      <c r="T3091" s="5">
        <f>OrdersTable[[#This Row],[Gross Sale]]*OrdersTable[[#This Row],[Discount_Clean2]]</f>
        <v>179.54999999999998</v>
      </c>
      <c r="U3091" s="5">
        <f>OrdersTable[[#This Row],[Gross Sale]]-OrdersTable[[#This Row],[Discount Amount]]</f>
        <v>1017.45</v>
      </c>
      <c r="V3091" s="77">
        <f>INDEX(Products!E:E,MATCH(OrdersTable[[#This Row],[Product ID]],Products!A:A,0))</f>
        <v>112</v>
      </c>
      <c r="W3091" s="77">
        <f>OrdersTable[[#This Row],[Quantity]]*OrdersTable[[#This Row],[Unit Cost]]</f>
        <v>336</v>
      </c>
      <c r="X3091" s="77">
        <f>'Dropdown Lists'!$I$2*(1+OrdersTable[[#This Row],[Returned]])</f>
        <v>60</v>
      </c>
      <c r="Y3091" s="76">
        <f>OrdersTable[[#This Row],[Net Revenue]]-OrdersTable[[#This Row],[COGS]]-OrdersTable[[#This Row],[Shipping Cost]]</f>
        <v>621.45000000000005</v>
      </c>
      <c r="Z3091" s="78">
        <f>IFERROR(OrdersTable[[#This Row],[Profit]]/OrdersTable[[#This Row],[Net Revenue]],0)</f>
        <v>0.61079168509509063</v>
      </c>
      <c r="AA3091" t="s">
        <v>3495</v>
      </c>
      <c r="AB3091" s="79">
        <v>45805</v>
      </c>
      <c r="AC3091">
        <f>OrdersTable[[#This Row],[Delivery Date]]-OrdersTable[[#This Row],[Order Date]]</f>
        <v>6</v>
      </c>
      <c r="AD3091" t="str">
        <f>IF(OrdersTable[[#This Row],[Delivery Days]]&lt;=2, "Express (≤2d)", IF(OrdersTable[[#This Row],[Delivery Days]]&lt;=4, "Standard (3-4d)", "Delayed (5d+)"))</f>
        <v>Delayed (5d+)</v>
      </c>
      <c r="AE3091">
        <v>2</v>
      </c>
      <c r="AF3091">
        <v>0</v>
      </c>
    </row>
    <row r="3092" spans="1:32" ht="15" x14ac:dyDescent="0.35">
      <c r="A3092" t="s">
        <v>6367</v>
      </c>
      <c r="B3092" s="1">
        <v>45799</v>
      </c>
      <c r="C3092">
        <f>YEAR(OrdersTable[[#This Row],[Order Date]])</f>
        <v>2025</v>
      </c>
      <c r="D3092" s="2">
        <f>DATE(YEAR(OrdersTable[[#This Row],[Order Date]]),MONTH(OrdersTable[[#This Row],[Order Date]]),1)</f>
        <v>45778</v>
      </c>
      <c r="E3092">
        <f>MONTH(OrdersTable[[#This Row],[Order Date]])</f>
        <v>5</v>
      </c>
      <c r="F3092" t="s">
        <v>309</v>
      </c>
      <c r="G3092" t="str">
        <f>IF(OrdersTable[[#This Row],[Order Date]]=_xlfn.MINIFS(Order_Date, Customer_ID, OrdersTable[[#This Row],[Customer ID]]), "New", "Repeat")</f>
        <v>Repeat</v>
      </c>
      <c r="H3092" t="s">
        <v>37</v>
      </c>
      <c r="I3092" t="str">
        <f>INDEX(State!B:B,MATCH(OrdersTable[[#This Row],[State]],State!A:A,0))</f>
        <v>GJ</v>
      </c>
      <c r="J3092" t="str">
        <f>INDEX(State!C:C,MATCH(OrdersTable[[#This Row],[State Code]],State!B:B,0))</f>
        <v>West</v>
      </c>
      <c r="K3092" t="s">
        <v>38</v>
      </c>
      <c r="L3092" t="s">
        <v>50</v>
      </c>
      <c r="M3092" t="s">
        <v>51</v>
      </c>
      <c r="N3092" t="str">
        <f>INDEX(Products!B:B,MATCH(OrdersTable[[#This Row],[Product ID]],Products!A:A,0))</f>
        <v>Anti-Dandruff Conditioner</v>
      </c>
      <c r="O3092" t="str">
        <f>INDEX(Products!C:C,MATCH(OrdersTable[[#This Row],[Product ID]],Products!A:A,0))</f>
        <v>Haircare</v>
      </c>
      <c r="P3092">
        <v>2</v>
      </c>
      <c r="Q3092" s="5">
        <v>399</v>
      </c>
      <c r="R3092" s="74">
        <v>0.35</v>
      </c>
      <c r="S3092" s="75">
        <f>OrdersTable[[#This Row],[Quantity]]*OrdersTable[[#This Row],[Unit Price]]</f>
        <v>798</v>
      </c>
      <c r="T3092" s="5">
        <f>OrdersTable[[#This Row],[Gross Sale]]*OrdersTable[[#This Row],[Discount_Clean2]]</f>
        <v>279.29999999999995</v>
      </c>
      <c r="U3092" s="5">
        <f>OrdersTable[[#This Row],[Gross Sale]]-OrdersTable[[#This Row],[Discount Amount]]</f>
        <v>518.70000000000005</v>
      </c>
      <c r="V3092" s="77">
        <f>INDEX(Products!E:E,MATCH(OrdersTable[[#This Row],[Product ID]],Products!A:A,0))</f>
        <v>136</v>
      </c>
      <c r="W3092" s="77">
        <f>OrdersTable[[#This Row],[Quantity]]*OrdersTable[[#This Row],[Unit Cost]]</f>
        <v>272</v>
      </c>
      <c r="X3092" s="77">
        <f>'Dropdown Lists'!$I$2*(1+OrdersTable[[#This Row],[Returned]])</f>
        <v>60</v>
      </c>
      <c r="Y3092" s="76">
        <f>OrdersTable[[#This Row],[Net Revenue]]-OrdersTable[[#This Row],[COGS]]-OrdersTable[[#This Row],[Shipping Cost]]</f>
        <v>186.70000000000005</v>
      </c>
      <c r="Z3092" s="78">
        <f>IFERROR(OrdersTable[[#This Row],[Profit]]/OrdersTable[[#This Row],[Net Revenue]],0)</f>
        <v>0.35993830730672843</v>
      </c>
      <c r="AA3092" t="s">
        <v>18</v>
      </c>
      <c r="AB3092" s="79">
        <v>45803</v>
      </c>
      <c r="AC3092">
        <f>OrdersTable[[#This Row],[Delivery Date]]-OrdersTable[[#This Row],[Order Date]]</f>
        <v>4</v>
      </c>
      <c r="AD3092" t="str">
        <f>IF(OrdersTable[[#This Row],[Delivery Days]]&lt;=2, "Express (≤2d)", IF(OrdersTable[[#This Row],[Delivery Days]]&lt;=4, "Standard (3-4d)", "Delayed (5d+)"))</f>
        <v>Standard (3-4d)</v>
      </c>
      <c r="AE3092">
        <v>5</v>
      </c>
      <c r="AF3092">
        <v>0</v>
      </c>
    </row>
    <row r="3093" spans="1:32" ht="15" x14ac:dyDescent="0.35">
      <c r="A3093" t="s">
        <v>4409</v>
      </c>
      <c r="B3093" s="1">
        <v>45799</v>
      </c>
      <c r="C3093">
        <f>YEAR(OrdersTable[[#This Row],[Order Date]])</f>
        <v>2025</v>
      </c>
      <c r="D3093" s="2">
        <f>DATE(YEAR(OrdersTable[[#This Row],[Order Date]]),MONTH(OrdersTable[[#This Row],[Order Date]]),1)</f>
        <v>45778</v>
      </c>
      <c r="E3093">
        <f>MONTH(OrdersTable[[#This Row],[Order Date]])</f>
        <v>5</v>
      </c>
      <c r="F3093" t="s">
        <v>4410</v>
      </c>
      <c r="G3093" t="str">
        <f>IF(OrdersTable[[#This Row],[Order Date]]=_xlfn.MINIFS(Order_Date, Customer_ID, OrdersTable[[#This Row],[Customer ID]]), "New", "Repeat")</f>
        <v>Repeat</v>
      </c>
      <c r="H3093" t="s">
        <v>59</v>
      </c>
      <c r="I3093" t="str">
        <f>INDEX(State!B:B,MATCH(OrdersTable[[#This Row],[State]],State!A:A,0))</f>
        <v>TN</v>
      </c>
      <c r="J3093" t="str">
        <f>INDEX(State!C:C,MATCH(OrdersTable[[#This Row],[State Code]],State!B:B,0))</f>
        <v>South</v>
      </c>
      <c r="K3093" t="s">
        <v>64</v>
      </c>
      <c r="L3093" t="s">
        <v>65</v>
      </c>
      <c r="M3093" t="s">
        <v>40</v>
      </c>
      <c r="N3093" t="str">
        <f>INDEX(Products!B:B,MATCH(OrdersTable[[#This Row],[Product ID]],Products!A:A,0))</f>
        <v>Ashwagandha Capsules</v>
      </c>
      <c r="O3093" t="str">
        <f>INDEX(Products!C:C,MATCH(OrdersTable[[#This Row],[Product ID]],Products!A:A,0))</f>
        <v>Wellness</v>
      </c>
      <c r="P3093">
        <v>1</v>
      </c>
      <c r="Q3093" s="5">
        <v>499</v>
      </c>
      <c r="R3093" s="74">
        <v>0.05</v>
      </c>
      <c r="S3093" s="75">
        <f>OrdersTable[[#This Row],[Quantity]]*OrdersTable[[#This Row],[Unit Price]]</f>
        <v>499</v>
      </c>
      <c r="T3093" s="5">
        <f>OrdersTable[[#This Row],[Gross Sale]]*OrdersTable[[#This Row],[Discount_Clean2]]</f>
        <v>24.950000000000003</v>
      </c>
      <c r="U3093" s="5">
        <f>OrdersTable[[#This Row],[Gross Sale]]-OrdersTable[[#This Row],[Discount Amount]]</f>
        <v>474.05</v>
      </c>
      <c r="V3093" s="77">
        <f>INDEX(Products!E:E,MATCH(OrdersTable[[#This Row],[Product ID]],Products!A:A,0))</f>
        <v>150</v>
      </c>
      <c r="W3093" s="77">
        <f>OrdersTable[[#This Row],[Quantity]]*OrdersTable[[#This Row],[Unit Cost]]</f>
        <v>150</v>
      </c>
      <c r="X3093" s="77">
        <f>'Dropdown Lists'!$I$2*(1+OrdersTable[[#This Row],[Returned]])</f>
        <v>60</v>
      </c>
      <c r="Y3093" s="76">
        <f>OrdersTable[[#This Row],[Net Revenue]]-OrdersTable[[#This Row],[COGS]]-OrdersTable[[#This Row],[Shipping Cost]]</f>
        <v>264.05</v>
      </c>
      <c r="Z3093" s="78">
        <f>IFERROR(OrdersTable[[#This Row],[Profit]]/OrdersTable[[#This Row],[Net Revenue]],0)</f>
        <v>0.55700875435080688</v>
      </c>
      <c r="AA3093" t="s">
        <v>4074</v>
      </c>
      <c r="AB3093" s="79">
        <v>45802</v>
      </c>
      <c r="AC3093">
        <f>OrdersTable[[#This Row],[Delivery Date]]-OrdersTable[[#This Row],[Order Date]]</f>
        <v>3</v>
      </c>
      <c r="AD3093" t="str">
        <f>IF(OrdersTable[[#This Row],[Delivery Days]]&lt;=2, "Express (≤2d)", IF(OrdersTable[[#This Row],[Delivery Days]]&lt;=4, "Standard (3-4d)", "Delayed (5d+)"))</f>
        <v>Standard (3-4d)</v>
      </c>
      <c r="AE3093">
        <v>4</v>
      </c>
      <c r="AF3093">
        <v>0</v>
      </c>
    </row>
    <row r="3094" spans="1:32" ht="15" x14ac:dyDescent="0.35">
      <c r="A3094" t="s">
        <v>824</v>
      </c>
      <c r="B3094" s="1">
        <v>45800</v>
      </c>
      <c r="C3094">
        <f>YEAR(OrdersTable[[#This Row],[Order Date]])</f>
        <v>2025</v>
      </c>
      <c r="D3094" s="2">
        <f>DATE(YEAR(OrdersTable[[#This Row],[Order Date]]),MONTH(OrdersTable[[#This Row],[Order Date]]),1)</f>
        <v>45778</v>
      </c>
      <c r="E3094">
        <f>MONTH(OrdersTable[[#This Row],[Order Date]])</f>
        <v>5</v>
      </c>
      <c r="F3094" t="s">
        <v>825</v>
      </c>
      <c r="G3094" t="str">
        <f>IF(OrdersTable[[#This Row],[Order Date]]=_xlfn.MINIFS(Order_Date, Customer_ID, OrdersTable[[#This Row],[Customer ID]]), "New", "Repeat")</f>
        <v>Repeat</v>
      </c>
      <c r="H3094" t="s">
        <v>48</v>
      </c>
      <c r="I3094" t="str">
        <f>INDEX(State!B:B,MATCH(OrdersTable[[#This Row],[State]],State!A:A,0))</f>
        <v>HR</v>
      </c>
      <c r="J3094" t="str">
        <f>INDEX(State!C:C,MATCH(OrdersTable[[#This Row],[State Code]],State!B:B,0))</f>
        <v>North</v>
      </c>
      <c r="K3094" t="s">
        <v>49</v>
      </c>
      <c r="L3094" t="s">
        <v>50</v>
      </c>
      <c r="M3094" t="s">
        <v>109</v>
      </c>
      <c r="N3094" t="str">
        <f>INDEX(Products!B:B,MATCH(OrdersTable[[#This Row],[Product ID]],Products!A:A,0))</f>
        <v>Onion Hair Oil</v>
      </c>
      <c r="O3094" t="str">
        <f>INDEX(Products!C:C,MATCH(OrdersTable[[#This Row],[Product ID]],Products!A:A,0))</f>
        <v>Haircare</v>
      </c>
      <c r="P3094">
        <v>1</v>
      </c>
      <c r="Q3094" s="5">
        <v>349</v>
      </c>
      <c r="R3094" s="74">
        <v>0.4</v>
      </c>
      <c r="S3094" s="75">
        <f>OrdersTable[[#This Row],[Quantity]]*OrdersTable[[#This Row],[Unit Price]]</f>
        <v>349</v>
      </c>
      <c r="T3094" s="5">
        <f>OrdersTable[[#This Row],[Gross Sale]]*OrdersTable[[#This Row],[Discount_Clean2]]</f>
        <v>139.6</v>
      </c>
      <c r="U3094" s="5">
        <f>OrdersTable[[#This Row],[Gross Sale]]-OrdersTable[[#This Row],[Discount Amount]]</f>
        <v>209.4</v>
      </c>
      <c r="V3094" s="77">
        <f>INDEX(Products!E:E,MATCH(OrdersTable[[#This Row],[Product ID]],Products!A:A,0))</f>
        <v>105</v>
      </c>
      <c r="W3094" s="77">
        <f>OrdersTable[[#This Row],[Quantity]]*OrdersTable[[#This Row],[Unit Cost]]</f>
        <v>105</v>
      </c>
      <c r="X3094" s="77">
        <f>'Dropdown Lists'!$I$2*(1+OrdersTable[[#This Row],[Returned]])</f>
        <v>60</v>
      </c>
      <c r="Y3094" s="76">
        <f>OrdersTable[[#This Row],[Net Revenue]]-OrdersTable[[#This Row],[COGS]]-OrdersTable[[#This Row],[Shipping Cost]]</f>
        <v>44.400000000000006</v>
      </c>
      <c r="Z3094" s="78">
        <f>IFERROR(OrdersTable[[#This Row],[Profit]]/OrdersTable[[#This Row],[Net Revenue]],0)</f>
        <v>0.21203438395415475</v>
      </c>
      <c r="AA3094" t="s">
        <v>18</v>
      </c>
      <c r="AB3094" s="79">
        <v>45803</v>
      </c>
      <c r="AC3094">
        <f>OrdersTable[[#This Row],[Delivery Date]]-OrdersTable[[#This Row],[Order Date]]</f>
        <v>3</v>
      </c>
      <c r="AD3094" t="str">
        <f>IF(OrdersTable[[#This Row],[Delivery Days]]&lt;=2, "Express (≤2d)", IF(OrdersTable[[#This Row],[Delivery Days]]&lt;=4, "Standard (3-4d)", "Delayed (5d+)"))</f>
        <v>Standard (3-4d)</v>
      </c>
      <c r="AE3094">
        <v>4</v>
      </c>
      <c r="AF3094">
        <v>0</v>
      </c>
    </row>
    <row r="3095" spans="1:32" ht="15" x14ac:dyDescent="0.35">
      <c r="A3095" t="s">
        <v>3633</v>
      </c>
      <c r="B3095" s="1">
        <v>45800</v>
      </c>
      <c r="C3095">
        <f>YEAR(OrdersTable[[#This Row],[Order Date]])</f>
        <v>2025</v>
      </c>
      <c r="D3095" s="2">
        <f>DATE(YEAR(OrdersTable[[#This Row],[Order Date]]),MONTH(OrdersTable[[#This Row],[Order Date]]),1)</f>
        <v>45778</v>
      </c>
      <c r="E3095">
        <f>MONTH(OrdersTable[[#This Row],[Order Date]])</f>
        <v>5</v>
      </c>
      <c r="F3095" t="s">
        <v>1804</v>
      </c>
      <c r="G3095" t="str">
        <f>IF(OrdersTable[[#This Row],[Order Date]]=_xlfn.MINIFS(Order_Date, Customer_ID, OrdersTable[[#This Row],[Customer ID]]), "New", "Repeat")</f>
        <v>Repeat</v>
      </c>
      <c r="H3095" t="s">
        <v>43</v>
      </c>
      <c r="I3095" t="str">
        <f>INDEX(State!B:B,MATCH(OrdersTable[[#This Row],[State]],State!A:A,0))</f>
        <v>MP</v>
      </c>
      <c r="J3095" t="str">
        <f>INDEX(State!C:C,MATCH(OrdersTable[[#This Row],[State Code]],State!B:B,0))</f>
        <v>West</v>
      </c>
      <c r="K3095" t="s">
        <v>44</v>
      </c>
      <c r="L3095" t="s">
        <v>16</v>
      </c>
      <c r="M3095" t="s">
        <v>87</v>
      </c>
      <c r="N3095" t="str">
        <f>INDEX(Products!B:B,MATCH(OrdersTable[[#This Row],[Product ID]],Products!A:A,0))</f>
        <v>Linen Kurta</v>
      </c>
      <c r="O3095" t="str">
        <f>INDEX(Products!C:C,MATCH(OrdersTable[[#This Row],[Product ID]],Products!A:A,0))</f>
        <v>Apparel</v>
      </c>
      <c r="P3095">
        <v>1</v>
      </c>
      <c r="Q3095" s="5">
        <v>1499</v>
      </c>
      <c r="R3095" s="74">
        <v>0.25</v>
      </c>
      <c r="S3095" s="75">
        <f>OrdersTable[[#This Row],[Quantity]]*OrdersTable[[#This Row],[Unit Price]]</f>
        <v>1499</v>
      </c>
      <c r="T3095" s="5">
        <f>OrdersTable[[#This Row],[Gross Sale]]*OrdersTable[[#This Row],[Discount_Clean2]]</f>
        <v>374.75</v>
      </c>
      <c r="U3095" s="5">
        <f>OrdersTable[[#This Row],[Gross Sale]]-OrdersTable[[#This Row],[Discount Amount]]</f>
        <v>1124.25</v>
      </c>
      <c r="V3095" s="77">
        <f>INDEX(Products!E:E,MATCH(OrdersTable[[#This Row],[Product ID]],Products!A:A,0))</f>
        <v>630</v>
      </c>
      <c r="W3095" s="77">
        <f>OrdersTable[[#This Row],[Quantity]]*OrdersTable[[#This Row],[Unit Cost]]</f>
        <v>630</v>
      </c>
      <c r="X3095" s="77">
        <f>'Dropdown Lists'!$I$2*(1+OrdersTable[[#This Row],[Returned]])</f>
        <v>60</v>
      </c>
      <c r="Y3095" s="76">
        <f>OrdersTable[[#This Row],[Net Revenue]]-OrdersTable[[#This Row],[COGS]]-OrdersTable[[#This Row],[Shipping Cost]]</f>
        <v>434.25</v>
      </c>
      <c r="Z3095" s="78">
        <f>IFERROR(OrdersTable[[#This Row],[Profit]]/OrdersTable[[#This Row],[Net Revenue]],0)</f>
        <v>0.38625750500333556</v>
      </c>
      <c r="AA3095" t="s">
        <v>3495</v>
      </c>
      <c r="AB3095" s="79">
        <v>45804</v>
      </c>
      <c r="AC3095">
        <f>OrdersTable[[#This Row],[Delivery Date]]-OrdersTable[[#This Row],[Order Date]]</f>
        <v>4</v>
      </c>
      <c r="AD3095" t="str">
        <f>IF(OrdersTable[[#This Row],[Delivery Days]]&lt;=2, "Express (≤2d)", IF(OrdersTable[[#This Row],[Delivery Days]]&lt;=4, "Standard (3-4d)", "Delayed (5d+)"))</f>
        <v>Standard (3-4d)</v>
      </c>
      <c r="AE3095">
        <v>4</v>
      </c>
      <c r="AF3095">
        <v>0</v>
      </c>
    </row>
    <row r="3096" spans="1:32" ht="15" x14ac:dyDescent="0.35">
      <c r="A3096" t="s">
        <v>2622</v>
      </c>
      <c r="B3096" s="1">
        <v>45800</v>
      </c>
      <c r="C3096">
        <f>YEAR(OrdersTable[[#This Row],[Order Date]])</f>
        <v>2025</v>
      </c>
      <c r="D3096" s="2">
        <f>DATE(YEAR(OrdersTable[[#This Row],[Order Date]]),MONTH(OrdersTable[[#This Row],[Order Date]]),1)</f>
        <v>45778</v>
      </c>
      <c r="E3096">
        <f>MONTH(OrdersTable[[#This Row],[Order Date]])</f>
        <v>5</v>
      </c>
      <c r="F3096" t="s">
        <v>2623</v>
      </c>
      <c r="G3096" t="str">
        <f>IF(OrdersTable[[#This Row],[Order Date]]=_xlfn.MINIFS(Order_Date, Customer_ID, OrdersTable[[#This Row],[Customer ID]]), "New", "Repeat")</f>
        <v>Repeat</v>
      </c>
      <c r="H3096" t="s">
        <v>95</v>
      </c>
      <c r="I3096" t="str">
        <f>INDEX(State!B:B,MATCH(OrdersTable[[#This Row],[State]],State!A:A,0))</f>
        <v>TG</v>
      </c>
      <c r="J3096" t="str">
        <f>INDEX(State!C:C,MATCH(OrdersTable[[#This Row],[State Code]],State!B:B,0))</f>
        <v>South</v>
      </c>
      <c r="K3096" t="s">
        <v>96</v>
      </c>
      <c r="L3096" t="s">
        <v>39</v>
      </c>
      <c r="M3096" t="s">
        <v>61</v>
      </c>
      <c r="N3096" t="str">
        <f>INDEX(Products!B:B,MATCH(OrdersTable[[#This Row],[Product ID]],Products!A:A,0))</f>
        <v>Multivitamin Gummies</v>
      </c>
      <c r="O3096" t="str">
        <f>INDEX(Products!C:C,MATCH(OrdersTable[[#This Row],[Product ID]],Products!A:A,0))</f>
        <v>Wellness</v>
      </c>
      <c r="P3096">
        <v>1</v>
      </c>
      <c r="Q3096" s="5">
        <v>699</v>
      </c>
      <c r="R3096" s="74">
        <v>0.1</v>
      </c>
      <c r="S3096" s="75">
        <f>OrdersTable[[#This Row],[Quantity]]*OrdersTable[[#This Row],[Unit Price]]</f>
        <v>699</v>
      </c>
      <c r="T3096" s="5">
        <f>OrdersTable[[#This Row],[Gross Sale]]*OrdersTable[[#This Row],[Discount_Clean2]]</f>
        <v>69.900000000000006</v>
      </c>
      <c r="U3096" s="5">
        <f>OrdersTable[[#This Row],[Gross Sale]]-OrdersTable[[#This Row],[Discount Amount]]</f>
        <v>629.1</v>
      </c>
      <c r="V3096" s="77">
        <f>INDEX(Products!E:E,MATCH(OrdersTable[[#This Row],[Product ID]],Products!A:A,0))</f>
        <v>238</v>
      </c>
      <c r="W3096" s="77">
        <f>OrdersTable[[#This Row],[Quantity]]*OrdersTable[[#This Row],[Unit Cost]]</f>
        <v>238</v>
      </c>
      <c r="X3096" s="77">
        <f>'Dropdown Lists'!$I$2*(1+OrdersTable[[#This Row],[Returned]])</f>
        <v>60</v>
      </c>
      <c r="Y3096" s="76">
        <f>OrdersTable[[#This Row],[Net Revenue]]-OrdersTable[[#This Row],[COGS]]-OrdersTable[[#This Row],[Shipping Cost]]</f>
        <v>331.1</v>
      </c>
      <c r="Z3096" s="78">
        <f>IFERROR(OrdersTable[[#This Row],[Profit]]/OrdersTable[[#This Row],[Net Revenue]],0)</f>
        <v>0.52630742330313152</v>
      </c>
      <c r="AA3096" t="s">
        <v>2522</v>
      </c>
      <c r="AB3096" s="79">
        <v>45802</v>
      </c>
      <c r="AC3096">
        <f>OrdersTable[[#This Row],[Delivery Date]]-OrdersTable[[#This Row],[Order Date]]</f>
        <v>2</v>
      </c>
      <c r="AD3096" t="str">
        <f>IF(OrdersTable[[#This Row],[Delivery Days]]&lt;=2, "Express (≤2d)", IF(OrdersTable[[#This Row],[Delivery Days]]&lt;=4, "Standard (3-4d)", "Delayed (5d+)"))</f>
        <v>Express (≤2d)</v>
      </c>
      <c r="AE3096">
        <v>5</v>
      </c>
      <c r="AF3096">
        <v>0</v>
      </c>
    </row>
    <row r="3097" spans="1:32" ht="15" x14ac:dyDescent="0.35">
      <c r="A3097" t="s">
        <v>5418</v>
      </c>
      <c r="B3097" s="1">
        <v>45801</v>
      </c>
      <c r="C3097">
        <f>YEAR(OrdersTable[[#This Row],[Order Date]])</f>
        <v>2025</v>
      </c>
      <c r="D3097" s="2">
        <f>DATE(YEAR(OrdersTable[[#This Row],[Order Date]]),MONTH(OrdersTable[[#This Row],[Order Date]]),1)</f>
        <v>45778</v>
      </c>
      <c r="E3097">
        <f>MONTH(OrdersTable[[#This Row],[Order Date]])</f>
        <v>5</v>
      </c>
      <c r="F3097" t="s">
        <v>5419</v>
      </c>
      <c r="G3097" t="str">
        <f>IF(OrdersTable[[#This Row],[Order Date]]=_xlfn.MINIFS(Order_Date, Customer_ID, OrdersTable[[#This Row],[Customer ID]]), "New", "Repeat")</f>
        <v>New</v>
      </c>
      <c r="H3097" t="s">
        <v>21</v>
      </c>
      <c r="I3097" t="str">
        <f>INDEX(State!B:B,MATCH(OrdersTable[[#This Row],[State]],State!A:A,0))</f>
        <v>PB</v>
      </c>
      <c r="J3097" t="str">
        <f>INDEX(State!C:C,MATCH(OrdersTable[[#This Row],[State Code]],State!B:B,0))</f>
        <v>North</v>
      </c>
      <c r="K3097" t="s">
        <v>260</v>
      </c>
      <c r="L3097" t="s">
        <v>16</v>
      </c>
      <c r="M3097" t="s">
        <v>29</v>
      </c>
      <c r="N3097" t="str">
        <f>INDEX(Products!B:B,MATCH(OrdersTable[[#This Row],[Product ID]],Products!A:A,0))</f>
        <v>Joggers</v>
      </c>
      <c r="O3097" t="str">
        <f>INDEX(Products!C:C,MATCH(OrdersTable[[#This Row],[Product ID]],Products!A:A,0))</f>
        <v>Apparel</v>
      </c>
      <c r="P3097">
        <v>2</v>
      </c>
      <c r="Q3097" s="5">
        <v>1199</v>
      </c>
      <c r="R3097" s="74">
        <v>0.2</v>
      </c>
      <c r="S3097" s="75">
        <f>OrdersTable[[#This Row],[Quantity]]*OrdersTable[[#This Row],[Unit Price]]</f>
        <v>2398</v>
      </c>
      <c r="T3097" s="5">
        <f>OrdersTable[[#This Row],[Gross Sale]]*OrdersTable[[#This Row],[Discount_Clean2]]</f>
        <v>479.6</v>
      </c>
      <c r="U3097" s="5">
        <f>OrdersTable[[#This Row],[Gross Sale]]-OrdersTable[[#This Row],[Discount Amount]]</f>
        <v>1918.4</v>
      </c>
      <c r="V3097" s="77">
        <f>INDEX(Products!E:E,MATCH(OrdersTable[[#This Row],[Product ID]],Products!A:A,0))</f>
        <v>492</v>
      </c>
      <c r="W3097" s="77">
        <f>OrdersTable[[#This Row],[Quantity]]*OrdersTable[[#This Row],[Unit Cost]]</f>
        <v>984</v>
      </c>
      <c r="X3097" s="77">
        <f>'Dropdown Lists'!$I$2*(1+OrdersTable[[#This Row],[Returned]])</f>
        <v>60</v>
      </c>
      <c r="Y3097" s="76">
        <f>OrdersTable[[#This Row],[Net Revenue]]-OrdersTable[[#This Row],[COGS]]-OrdersTable[[#This Row],[Shipping Cost]]</f>
        <v>874.40000000000009</v>
      </c>
      <c r="Z3097" s="78">
        <f>IFERROR(OrdersTable[[#This Row],[Profit]]/OrdersTable[[#This Row],[Net Revenue]],0)</f>
        <v>0.45579649708090075</v>
      </c>
      <c r="AA3097" t="s">
        <v>2522</v>
      </c>
      <c r="AB3097" s="79">
        <v>45803</v>
      </c>
      <c r="AC3097">
        <f>OrdersTable[[#This Row],[Delivery Date]]-OrdersTable[[#This Row],[Order Date]]</f>
        <v>2</v>
      </c>
      <c r="AD3097" t="str">
        <f>IF(OrdersTable[[#This Row],[Delivery Days]]&lt;=2, "Express (≤2d)", IF(OrdersTable[[#This Row],[Delivery Days]]&lt;=4, "Standard (3-4d)", "Delayed (5d+)"))</f>
        <v>Express (≤2d)</v>
      </c>
      <c r="AE3097">
        <v>5</v>
      </c>
      <c r="AF3097">
        <v>0</v>
      </c>
    </row>
    <row r="3098" spans="1:32" ht="15" x14ac:dyDescent="0.35">
      <c r="A3098" t="s">
        <v>6170</v>
      </c>
      <c r="B3098" s="1">
        <v>45801</v>
      </c>
      <c r="C3098">
        <f>YEAR(OrdersTable[[#This Row],[Order Date]])</f>
        <v>2025</v>
      </c>
      <c r="D3098" s="2">
        <f>DATE(YEAR(OrdersTable[[#This Row],[Order Date]]),MONTH(OrdersTable[[#This Row],[Order Date]]),1)</f>
        <v>45778</v>
      </c>
      <c r="E3098">
        <f>MONTH(OrdersTable[[#This Row],[Order Date]])</f>
        <v>5</v>
      </c>
      <c r="F3098" t="s">
        <v>864</v>
      </c>
      <c r="G3098" t="str">
        <f>IF(OrdersTable[[#This Row],[Order Date]]=_xlfn.MINIFS(Order_Date, Customer_ID, OrdersTable[[#This Row],[Customer ID]]), "New", "Repeat")</f>
        <v>Repeat</v>
      </c>
      <c r="H3098" t="s">
        <v>54</v>
      </c>
      <c r="I3098" t="str">
        <f>INDEX(State!B:B,MATCH(OrdersTable[[#This Row],[State]],State!A:A,0))</f>
        <v>RJ</v>
      </c>
      <c r="J3098" t="str">
        <f>INDEX(State!C:C,MATCH(OrdersTable[[#This Row],[State Code]],State!B:B,0))</f>
        <v>North</v>
      </c>
      <c r="K3098" t="s">
        <v>55</v>
      </c>
      <c r="L3098" t="s">
        <v>23</v>
      </c>
      <c r="M3098" t="s">
        <v>84</v>
      </c>
      <c r="N3098" t="str">
        <f>INDEX(Products!B:B,MATCH(OrdersTable[[#This Row],[Product ID]],Products!A:A,0))</f>
        <v>Cotton Bedsheet</v>
      </c>
      <c r="O3098" t="str">
        <f>INDEX(Products!C:C,MATCH(OrdersTable[[#This Row],[Product ID]],Products!A:A,0))</f>
        <v>Home &amp; Kitchen</v>
      </c>
      <c r="P3098">
        <v>2</v>
      </c>
      <c r="Q3098" s="5">
        <v>1299</v>
      </c>
      <c r="R3098" s="74">
        <v>0</v>
      </c>
      <c r="S3098" s="75">
        <f>OrdersTable[[#This Row],[Quantity]]*OrdersTable[[#This Row],[Unit Price]]</f>
        <v>2598</v>
      </c>
      <c r="T3098" s="5">
        <f>OrdersTable[[#This Row],[Gross Sale]]*OrdersTable[[#This Row],[Discount_Clean2]]</f>
        <v>0</v>
      </c>
      <c r="U3098" s="5">
        <f>OrdersTable[[#This Row],[Gross Sale]]-OrdersTable[[#This Row],[Discount Amount]]</f>
        <v>2598</v>
      </c>
      <c r="V3098" s="77">
        <f>INDEX(Products!E:E,MATCH(OrdersTable[[#This Row],[Product ID]],Products!A:A,0))</f>
        <v>585</v>
      </c>
      <c r="W3098" s="77">
        <f>OrdersTable[[#This Row],[Quantity]]*OrdersTable[[#This Row],[Unit Cost]]</f>
        <v>1170</v>
      </c>
      <c r="X3098" s="77">
        <f>'Dropdown Lists'!$I$2*(1+OrdersTable[[#This Row],[Returned]])</f>
        <v>60</v>
      </c>
      <c r="Y3098" s="76">
        <f>OrdersTable[[#This Row],[Net Revenue]]-OrdersTable[[#This Row],[COGS]]-OrdersTable[[#This Row],[Shipping Cost]]</f>
        <v>1368</v>
      </c>
      <c r="Z3098" s="78">
        <f>IFERROR(OrdersTable[[#This Row],[Profit]]/OrdersTable[[#This Row],[Net Revenue]],0)</f>
        <v>0.52655889145496537</v>
      </c>
      <c r="AA3098" t="s">
        <v>18</v>
      </c>
      <c r="AB3098" s="79">
        <v>45805</v>
      </c>
      <c r="AC3098">
        <f>OrdersTable[[#This Row],[Delivery Date]]-OrdersTable[[#This Row],[Order Date]]</f>
        <v>4</v>
      </c>
      <c r="AD3098" t="str">
        <f>IF(OrdersTable[[#This Row],[Delivery Days]]&lt;=2, "Express (≤2d)", IF(OrdersTable[[#This Row],[Delivery Days]]&lt;=4, "Standard (3-4d)", "Delayed (5d+)"))</f>
        <v>Standard (3-4d)</v>
      </c>
      <c r="AE3098">
        <v>4</v>
      </c>
      <c r="AF3098">
        <v>0</v>
      </c>
    </row>
    <row r="3099" spans="1:32" ht="15" x14ac:dyDescent="0.35">
      <c r="A3099" t="s">
        <v>2410</v>
      </c>
      <c r="B3099" s="1">
        <v>45801</v>
      </c>
      <c r="C3099">
        <f>YEAR(OrdersTable[[#This Row],[Order Date]])</f>
        <v>2025</v>
      </c>
      <c r="D3099" s="2">
        <f>DATE(YEAR(OrdersTable[[#This Row],[Order Date]]),MONTH(OrdersTable[[#This Row],[Order Date]]),1)</f>
        <v>45778</v>
      </c>
      <c r="E3099">
        <f>MONTH(OrdersTable[[#This Row],[Order Date]])</f>
        <v>5</v>
      </c>
      <c r="F3099" t="s">
        <v>1649</v>
      </c>
      <c r="G3099" t="str">
        <f>IF(OrdersTable[[#This Row],[Order Date]]=_xlfn.MINIFS(Order_Date, Customer_ID, OrdersTable[[#This Row],[Customer ID]]), "New", "Repeat")</f>
        <v>Repeat</v>
      </c>
      <c r="H3099" t="s">
        <v>48</v>
      </c>
      <c r="I3099" t="str">
        <f>INDEX(State!B:B,MATCH(OrdersTable[[#This Row],[State]],State!A:A,0))</f>
        <v>HR</v>
      </c>
      <c r="J3099" t="str">
        <f>INDEX(State!C:C,MATCH(OrdersTable[[#This Row],[State Code]],State!B:B,0))</f>
        <v>North</v>
      </c>
      <c r="K3099" t="s">
        <v>151</v>
      </c>
      <c r="L3099" t="s">
        <v>65</v>
      </c>
      <c r="M3099" t="s">
        <v>61</v>
      </c>
      <c r="N3099" t="str">
        <f>INDEX(Products!B:B,MATCH(OrdersTable[[#This Row],[Product ID]],Products!A:A,0))</f>
        <v>Multivitamin Gummies</v>
      </c>
      <c r="O3099" t="str">
        <f>INDEX(Products!C:C,MATCH(OrdersTable[[#This Row],[Product ID]],Products!A:A,0))</f>
        <v>Wellness</v>
      </c>
      <c r="P3099">
        <v>1</v>
      </c>
      <c r="Q3099" s="5">
        <v>699</v>
      </c>
      <c r="R3099" s="74">
        <v>0.25</v>
      </c>
      <c r="S3099" s="75">
        <f>OrdersTable[[#This Row],[Quantity]]*OrdersTable[[#This Row],[Unit Price]]</f>
        <v>699</v>
      </c>
      <c r="T3099" s="5">
        <f>OrdersTable[[#This Row],[Gross Sale]]*OrdersTable[[#This Row],[Discount_Clean2]]</f>
        <v>174.75</v>
      </c>
      <c r="U3099" s="5">
        <f>OrdersTable[[#This Row],[Gross Sale]]-OrdersTable[[#This Row],[Discount Amount]]</f>
        <v>524.25</v>
      </c>
      <c r="V3099" s="77">
        <f>INDEX(Products!E:E,MATCH(OrdersTable[[#This Row],[Product ID]],Products!A:A,0))</f>
        <v>238</v>
      </c>
      <c r="W3099" s="77">
        <f>OrdersTable[[#This Row],[Quantity]]*OrdersTable[[#This Row],[Unit Cost]]</f>
        <v>238</v>
      </c>
      <c r="X3099" s="77">
        <f>'Dropdown Lists'!$I$2*(1+OrdersTable[[#This Row],[Returned]])</f>
        <v>120</v>
      </c>
      <c r="Y3099" s="76">
        <f>OrdersTable[[#This Row],[Net Revenue]]-OrdersTable[[#This Row],[COGS]]-OrdersTable[[#This Row],[Shipping Cost]]</f>
        <v>166.25</v>
      </c>
      <c r="Z3099" s="78">
        <f>IFERROR(OrdersTable[[#This Row],[Profit]]/OrdersTable[[#This Row],[Net Revenue]],0)</f>
        <v>0.31711969480209823</v>
      </c>
      <c r="AA3099" t="s">
        <v>18</v>
      </c>
      <c r="AB3099" s="79">
        <v>45803</v>
      </c>
      <c r="AC3099">
        <f>OrdersTable[[#This Row],[Delivery Date]]-OrdersTable[[#This Row],[Order Date]]</f>
        <v>2</v>
      </c>
      <c r="AD3099" t="str">
        <f>IF(OrdersTable[[#This Row],[Delivery Days]]&lt;=2, "Express (≤2d)", IF(OrdersTable[[#This Row],[Delivery Days]]&lt;=4, "Standard (3-4d)", "Delayed (5d+)"))</f>
        <v>Express (≤2d)</v>
      </c>
      <c r="AE3099">
        <v>5</v>
      </c>
      <c r="AF3099">
        <v>1</v>
      </c>
    </row>
    <row r="3100" spans="1:32" ht="15" x14ac:dyDescent="0.35">
      <c r="A3100" t="s">
        <v>5000</v>
      </c>
      <c r="B3100" s="1">
        <v>45801</v>
      </c>
      <c r="C3100">
        <f>YEAR(OrdersTable[[#This Row],[Order Date]])</f>
        <v>2025</v>
      </c>
      <c r="D3100" s="2">
        <f>DATE(YEAR(OrdersTable[[#This Row],[Order Date]]),MONTH(OrdersTable[[#This Row],[Order Date]]),1)</f>
        <v>45778</v>
      </c>
      <c r="E3100">
        <f>MONTH(OrdersTable[[#This Row],[Order Date]])</f>
        <v>5</v>
      </c>
      <c r="F3100" t="s">
        <v>3131</v>
      </c>
      <c r="G3100" t="str">
        <f>IF(OrdersTable[[#This Row],[Order Date]]=_xlfn.MINIFS(Order_Date, Customer_ID, OrdersTable[[#This Row],[Customer ID]]), "New", "Repeat")</f>
        <v>Repeat</v>
      </c>
      <c r="H3100" t="s">
        <v>128</v>
      </c>
      <c r="I3100" t="str">
        <f>INDEX(State!B:B,MATCH(OrdersTable[[#This Row],[State]],State!A:A,0))</f>
        <v>DL</v>
      </c>
      <c r="J3100" t="str">
        <f>INDEX(State!C:C,MATCH(OrdersTable[[#This Row],[State Code]],State!B:B,0))</f>
        <v>North</v>
      </c>
      <c r="K3100" t="s">
        <v>129</v>
      </c>
      <c r="L3100" t="s">
        <v>23</v>
      </c>
      <c r="M3100" t="s">
        <v>576</v>
      </c>
      <c r="N3100" t="str">
        <f>INDEX(Products!B:B,MATCH(OrdersTable[[#This Row],[Product ID]],Products!A:A,0))</f>
        <v>Printed Saree</v>
      </c>
      <c r="O3100" t="str">
        <f>INDEX(Products!C:C,MATCH(OrdersTable[[#This Row],[Product ID]],Products!A:A,0))</f>
        <v>Apparel</v>
      </c>
      <c r="P3100">
        <v>2</v>
      </c>
      <c r="Q3100" s="5">
        <v>1999</v>
      </c>
      <c r="R3100" s="74">
        <v>0</v>
      </c>
      <c r="S3100" s="75">
        <f>OrdersTable[[#This Row],[Quantity]]*OrdersTable[[#This Row],[Unit Price]]</f>
        <v>3998</v>
      </c>
      <c r="T3100" s="5">
        <f>OrdersTable[[#This Row],[Gross Sale]]*OrdersTable[[#This Row],[Discount_Clean2]]</f>
        <v>0</v>
      </c>
      <c r="U3100" s="5">
        <f>OrdersTable[[#This Row],[Gross Sale]]-OrdersTable[[#This Row],[Discount Amount]]</f>
        <v>3998</v>
      </c>
      <c r="V3100" s="77">
        <f>INDEX(Products!E:E,MATCH(OrdersTable[[#This Row],[Product ID]],Products!A:A,0))</f>
        <v>880</v>
      </c>
      <c r="W3100" s="77">
        <f>OrdersTable[[#This Row],[Quantity]]*OrdersTable[[#This Row],[Unit Cost]]</f>
        <v>1760</v>
      </c>
      <c r="X3100" s="77">
        <f>'Dropdown Lists'!$I$2*(1+OrdersTable[[#This Row],[Returned]])</f>
        <v>60</v>
      </c>
      <c r="Y3100" s="76">
        <f>OrdersTable[[#This Row],[Net Revenue]]-OrdersTable[[#This Row],[COGS]]-OrdersTable[[#This Row],[Shipping Cost]]</f>
        <v>2178</v>
      </c>
      <c r="Z3100" s="78">
        <f>IFERROR(OrdersTable[[#This Row],[Profit]]/OrdersTable[[#This Row],[Net Revenue]],0)</f>
        <v>0.54477238619309654</v>
      </c>
      <c r="AA3100" t="s">
        <v>4074</v>
      </c>
      <c r="AB3100" s="79">
        <v>45804</v>
      </c>
      <c r="AC3100">
        <f>OrdersTable[[#This Row],[Delivery Date]]-OrdersTable[[#This Row],[Order Date]]</f>
        <v>3</v>
      </c>
      <c r="AD3100" t="str">
        <f>IF(OrdersTable[[#This Row],[Delivery Days]]&lt;=2, "Express (≤2d)", IF(OrdersTable[[#This Row],[Delivery Days]]&lt;=4, "Standard (3-4d)", "Delayed (5d+)"))</f>
        <v>Standard (3-4d)</v>
      </c>
      <c r="AF3100">
        <v>0</v>
      </c>
    </row>
    <row r="3101" spans="1:32" ht="15" x14ac:dyDescent="0.35">
      <c r="A3101" t="s">
        <v>5814</v>
      </c>
      <c r="B3101" s="1">
        <v>45801</v>
      </c>
      <c r="C3101">
        <f>YEAR(OrdersTable[[#This Row],[Order Date]])</f>
        <v>2025</v>
      </c>
      <c r="D3101" s="2">
        <f>DATE(YEAR(OrdersTable[[#This Row],[Order Date]]),MONTH(OrdersTable[[#This Row],[Order Date]]),1)</f>
        <v>45778</v>
      </c>
      <c r="E3101">
        <f>MONTH(OrdersTable[[#This Row],[Order Date]])</f>
        <v>5</v>
      </c>
      <c r="F3101" t="s">
        <v>742</v>
      </c>
      <c r="G3101" t="str">
        <f>IF(OrdersTable[[#This Row],[Order Date]]=_xlfn.MINIFS(Order_Date, Customer_ID, OrdersTable[[#This Row],[Customer ID]]), "New", "Repeat")</f>
        <v>Repeat</v>
      </c>
      <c r="H3101" t="s">
        <v>32</v>
      </c>
      <c r="I3101" t="str">
        <f>INDEX(State!B:B,MATCH(OrdersTable[[#This Row],[State]],State!A:A,0))</f>
        <v>BR</v>
      </c>
      <c r="J3101" t="str">
        <f>INDEX(State!C:C,MATCH(OrdersTable[[#This Row],[State Code]],State!B:B,0))</f>
        <v>East</v>
      </c>
      <c r="K3101" t="s">
        <v>33</v>
      </c>
      <c r="L3101" t="s">
        <v>65</v>
      </c>
      <c r="M3101" t="s">
        <v>173</v>
      </c>
      <c r="N3101" t="str">
        <f>INDEX(Products!B:B,MATCH(OrdersTable[[#This Row],[Product ID]],Products!A:A,0))</f>
        <v>Wireless Earbuds</v>
      </c>
      <c r="O3101" t="str">
        <f>INDEX(Products!C:C,MATCH(OrdersTable[[#This Row],[Product ID]],Products!A:A,0))</f>
        <v>Electronics</v>
      </c>
      <c r="P3101">
        <v>2</v>
      </c>
      <c r="Q3101" s="5">
        <v>1999</v>
      </c>
      <c r="R3101" s="74">
        <v>0.45</v>
      </c>
      <c r="S3101" s="75">
        <f>OrdersTable[[#This Row],[Quantity]]*OrdersTable[[#This Row],[Unit Price]]</f>
        <v>3998</v>
      </c>
      <c r="T3101" s="5">
        <f>OrdersTable[[#This Row],[Gross Sale]]*OrdersTable[[#This Row],[Discount_Clean2]]</f>
        <v>1799.1000000000001</v>
      </c>
      <c r="U3101" s="5">
        <f>OrdersTable[[#This Row],[Gross Sale]]-OrdersTable[[#This Row],[Discount Amount]]</f>
        <v>2198.8999999999996</v>
      </c>
      <c r="V3101" s="77">
        <f>INDEX(Products!E:E,MATCH(OrdersTable[[#This Row],[Product ID]],Products!A:A,0))</f>
        <v>1239</v>
      </c>
      <c r="W3101" s="77">
        <f>OrdersTable[[#This Row],[Quantity]]*OrdersTable[[#This Row],[Unit Cost]]</f>
        <v>2478</v>
      </c>
      <c r="X3101" s="77">
        <f>'Dropdown Lists'!$I$2*(1+OrdersTable[[#This Row],[Returned]])</f>
        <v>60</v>
      </c>
      <c r="Y3101" s="76">
        <f>OrdersTable[[#This Row],[Net Revenue]]-OrdersTable[[#This Row],[COGS]]-OrdersTable[[#This Row],[Shipping Cost]]</f>
        <v>-339.10000000000036</v>
      </c>
      <c r="Z3101" s="78">
        <f>IFERROR(OrdersTable[[#This Row],[Profit]]/OrdersTable[[#This Row],[Net Revenue]],0)</f>
        <v>-0.15421347037154962</v>
      </c>
      <c r="AA3101" t="s">
        <v>18</v>
      </c>
      <c r="AB3101" s="79">
        <v>45806</v>
      </c>
      <c r="AC3101">
        <f>OrdersTable[[#This Row],[Delivery Date]]-OrdersTable[[#This Row],[Order Date]]</f>
        <v>5</v>
      </c>
      <c r="AD3101" t="str">
        <f>IF(OrdersTable[[#This Row],[Delivery Days]]&lt;=2, "Express (≤2d)", IF(OrdersTable[[#This Row],[Delivery Days]]&lt;=4, "Standard (3-4d)", "Delayed (5d+)"))</f>
        <v>Delayed (5d+)</v>
      </c>
      <c r="AE3101">
        <v>5</v>
      </c>
      <c r="AF3101">
        <v>0</v>
      </c>
    </row>
    <row r="3102" spans="1:32" ht="15" x14ac:dyDescent="0.35">
      <c r="A3102" t="s">
        <v>992</v>
      </c>
      <c r="B3102" s="1">
        <v>45801</v>
      </c>
      <c r="C3102">
        <f>YEAR(OrdersTable[[#This Row],[Order Date]])</f>
        <v>2025</v>
      </c>
      <c r="D3102" s="2">
        <f>DATE(YEAR(OrdersTable[[#This Row],[Order Date]]),MONTH(OrdersTable[[#This Row],[Order Date]]),1)</f>
        <v>45778</v>
      </c>
      <c r="E3102">
        <f>MONTH(OrdersTable[[#This Row],[Order Date]])</f>
        <v>5</v>
      </c>
      <c r="F3102" t="s">
        <v>993</v>
      </c>
      <c r="G3102" t="str">
        <f>IF(OrdersTable[[#This Row],[Order Date]]=_xlfn.MINIFS(Order_Date, Customer_ID, OrdersTable[[#This Row],[Customer ID]]), "New", "Repeat")</f>
        <v>New</v>
      </c>
      <c r="H3102" t="s">
        <v>32</v>
      </c>
      <c r="I3102" t="str">
        <f>INDEX(State!B:B,MATCH(OrdersTable[[#This Row],[State]],State!A:A,0))</f>
        <v>BR</v>
      </c>
      <c r="J3102" t="str">
        <f>INDEX(State!C:C,MATCH(OrdersTable[[#This Row],[State Code]],State!B:B,0))</f>
        <v>East</v>
      </c>
      <c r="K3102" t="s">
        <v>33</v>
      </c>
      <c r="L3102" t="s">
        <v>50</v>
      </c>
      <c r="M3102" t="s">
        <v>152</v>
      </c>
      <c r="N3102" t="str">
        <f>INDEX(Products!B:B,MATCH(OrdersTable[[#This Row],[Product ID]],Products!A:A,0))</f>
        <v>Green Tea (100 bags)</v>
      </c>
      <c r="O3102" t="str">
        <f>INDEX(Products!C:C,MATCH(OrdersTable[[#This Row],[Product ID]],Products!A:A,0))</f>
        <v>Wellness</v>
      </c>
      <c r="P3102">
        <v>1</v>
      </c>
      <c r="Q3102" s="5">
        <v>399</v>
      </c>
      <c r="R3102" s="74">
        <v>0.35</v>
      </c>
      <c r="S3102" s="75">
        <f>OrdersTable[[#This Row],[Quantity]]*OrdersTable[[#This Row],[Unit Price]]</f>
        <v>399</v>
      </c>
      <c r="T3102" s="5">
        <f>OrdersTable[[#This Row],[Gross Sale]]*OrdersTable[[#This Row],[Discount_Clean2]]</f>
        <v>139.64999999999998</v>
      </c>
      <c r="U3102" s="5">
        <f>OrdersTable[[#This Row],[Gross Sale]]-OrdersTable[[#This Row],[Discount Amount]]</f>
        <v>259.35000000000002</v>
      </c>
      <c r="V3102" s="77">
        <f>INDEX(Products!E:E,MATCH(OrdersTable[[#This Row],[Product ID]],Products!A:A,0))</f>
        <v>128</v>
      </c>
      <c r="W3102" s="77">
        <f>OrdersTable[[#This Row],[Quantity]]*OrdersTable[[#This Row],[Unit Cost]]</f>
        <v>128</v>
      </c>
      <c r="X3102" s="77">
        <f>'Dropdown Lists'!$I$2*(1+OrdersTable[[#This Row],[Returned]])</f>
        <v>60</v>
      </c>
      <c r="Y3102" s="76">
        <f>OrdersTable[[#This Row],[Net Revenue]]-OrdersTable[[#This Row],[COGS]]-OrdersTable[[#This Row],[Shipping Cost]]</f>
        <v>71.350000000000023</v>
      </c>
      <c r="Z3102" s="78">
        <f>IFERROR(OrdersTable[[#This Row],[Profit]]/OrdersTable[[#This Row],[Net Revenue]],0)</f>
        <v>0.27511085405822255</v>
      </c>
      <c r="AA3102" t="s">
        <v>18</v>
      </c>
      <c r="AB3102" s="79">
        <v>45806</v>
      </c>
      <c r="AC3102">
        <f>OrdersTable[[#This Row],[Delivery Date]]-OrdersTable[[#This Row],[Order Date]]</f>
        <v>5</v>
      </c>
      <c r="AD3102" t="str">
        <f>IF(OrdersTable[[#This Row],[Delivery Days]]&lt;=2, "Express (≤2d)", IF(OrdersTable[[#This Row],[Delivery Days]]&lt;=4, "Standard (3-4d)", "Delayed (5d+)"))</f>
        <v>Delayed (5d+)</v>
      </c>
      <c r="AE3102">
        <v>4</v>
      </c>
      <c r="AF3102">
        <v>0</v>
      </c>
    </row>
    <row r="3103" spans="1:32" ht="15" x14ac:dyDescent="0.35">
      <c r="A3103" t="s">
        <v>1562</v>
      </c>
      <c r="B3103" s="1">
        <v>45801</v>
      </c>
      <c r="C3103">
        <f>YEAR(OrdersTable[[#This Row],[Order Date]])</f>
        <v>2025</v>
      </c>
      <c r="D3103" s="2">
        <f>DATE(YEAR(OrdersTable[[#This Row],[Order Date]]),MONTH(OrdersTable[[#This Row],[Order Date]]),1)</f>
        <v>45778</v>
      </c>
      <c r="E3103">
        <f>MONTH(OrdersTable[[#This Row],[Order Date]])</f>
        <v>5</v>
      </c>
      <c r="F3103" t="s">
        <v>1563</v>
      </c>
      <c r="G3103" t="str">
        <f>IF(OrdersTable[[#This Row],[Order Date]]=_xlfn.MINIFS(Order_Date, Customer_ID, OrdersTable[[#This Row],[Customer ID]]), "New", "Repeat")</f>
        <v>New</v>
      </c>
      <c r="H3103" t="s">
        <v>71</v>
      </c>
      <c r="I3103" t="str">
        <f>INDEX(State!B:B,MATCH(OrdersTable[[#This Row],[State]],State!A:A,0))</f>
        <v>MH</v>
      </c>
      <c r="J3103" t="str">
        <f>INDEX(State!C:C,MATCH(OrdersTable[[#This Row],[State Code]],State!B:B,0))</f>
        <v>West</v>
      </c>
      <c r="K3103" t="s">
        <v>72</v>
      </c>
      <c r="L3103" t="s">
        <v>39</v>
      </c>
      <c r="M3103" t="s">
        <v>73</v>
      </c>
      <c r="N3103" t="str">
        <f>INDEX(Products!B:B,MATCH(OrdersTable[[#This Row],[Product ID]],Products!A:A,0))</f>
        <v>Hydrating Face Wash</v>
      </c>
      <c r="O3103" t="str">
        <f>INDEX(Products!C:C,MATCH(OrdersTable[[#This Row],[Product ID]],Products!A:A,0))</f>
        <v>Skincare</v>
      </c>
      <c r="P3103">
        <v>1</v>
      </c>
      <c r="Q3103" s="5">
        <v>299</v>
      </c>
      <c r="R3103" s="74">
        <v>0</v>
      </c>
      <c r="S3103" s="75">
        <f>OrdersTable[[#This Row],[Quantity]]*OrdersTable[[#This Row],[Unit Price]]</f>
        <v>299</v>
      </c>
      <c r="T3103" s="5">
        <f>OrdersTable[[#This Row],[Gross Sale]]*OrdersTable[[#This Row],[Discount_Clean2]]</f>
        <v>0</v>
      </c>
      <c r="U3103" s="5">
        <f>OrdersTable[[#This Row],[Gross Sale]]-OrdersTable[[#This Row],[Discount Amount]]</f>
        <v>299</v>
      </c>
      <c r="V3103" s="77">
        <f>INDEX(Products!E:E,MATCH(OrdersTable[[#This Row],[Product ID]],Products!A:A,0))</f>
        <v>90</v>
      </c>
      <c r="W3103" s="77">
        <f>OrdersTable[[#This Row],[Quantity]]*OrdersTable[[#This Row],[Unit Cost]]</f>
        <v>90</v>
      </c>
      <c r="X3103" s="77">
        <f>'Dropdown Lists'!$I$2*(1+OrdersTable[[#This Row],[Returned]])</f>
        <v>60</v>
      </c>
      <c r="Y3103" s="76">
        <f>OrdersTable[[#This Row],[Net Revenue]]-OrdersTable[[#This Row],[COGS]]-OrdersTable[[#This Row],[Shipping Cost]]</f>
        <v>149</v>
      </c>
      <c r="Z3103" s="78">
        <f>IFERROR(OrdersTable[[#This Row],[Profit]]/OrdersTable[[#This Row],[Net Revenue]],0)</f>
        <v>0.49832775919732442</v>
      </c>
      <c r="AA3103" t="s">
        <v>18</v>
      </c>
      <c r="AB3103" s="79">
        <v>45805</v>
      </c>
      <c r="AC3103">
        <f>OrdersTable[[#This Row],[Delivery Date]]-OrdersTable[[#This Row],[Order Date]]</f>
        <v>4</v>
      </c>
      <c r="AD3103" t="str">
        <f>IF(OrdersTable[[#This Row],[Delivery Days]]&lt;=2, "Express (≤2d)", IF(OrdersTable[[#This Row],[Delivery Days]]&lt;=4, "Standard (3-4d)", "Delayed (5d+)"))</f>
        <v>Standard (3-4d)</v>
      </c>
      <c r="AF3103">
        <v>0</v>
      </c>
    </row>
    <row r="3104" spans="1:32" ht="15" x14ac:dyDescent="0.35">
      <c r="A3104" t="s">
        <v>2624</v>
      </c>
      <c r="B3104" s="1">
        <v>45801</v>
      </c>
      <c r="C3104">
        <f>YEAR(OrdersTable[[#This Row],[Order Date]])</f>
        <v>2025</v>
      </c>
      <c r="D3104" s="2">
        <f>DATE(YEAR(OrdersTable[[#This Row],[Order Date]]),MONTH(OrdersTable[[#This Row],[Order Date]]),1)</f>
        <v>45778</v>
      </c>
      <c r="E3104">
        <f>MONTH(OrdersTable[[#This Row],[Order Date]])</f>
        <v>5</v>
      </c>
      <c r="F3104" t="s">
        <v>2625</v>
      </c>
      <c r="G3104" t="str">
        <f>IF(OrdersTable[[#This Row],[Order Date]]=_xlfn.MINIFS(Order_Date, Customer_ID, OrdersTable[[#This Row],[Customer ID]]), "New", "Repeat")</f>
        <v>Repeat</v>
      </c>
      <c r="H3104" t="s">
        <v>71</v>
      </c>
      <c r="I3104" t="str">
        <f>INDEX(State!B:B,MATCH(OrdersTable[[#This Row],[State]],State!A:A,0))</f>
        <v>MH</v>
      </c>
      <c r="J3104" t="str">
        <f>INDEX(State!C:C,MATCH(OrdersTable[[#This Row],[State Code]],State!B:B,0))</f>
        <v>West</v>
      </c>
      <c r="K3104" t="s">
        <v>72</v>
      </c>
      <c r="L3104" t="s">
        <v>65</v>
      </c>
      <c r="M3104" t="s">
        <v>29</v>
      </c>
      <c r="N3104" t="str">
        <f>INDEX(Products!B:B,MATCH(OrdersTable[[#This Row],[Product ID]],Products!A:A,0))</f>
        <v>Joggers</v>
      </c>
      <c r="O3104" t="str">
        <f>INDEX(Products!C:C,MATCH(OrdersTable[[#This Row],[Product ID]],Products!A:A,0))</f>
        <v>Apparel</v>
      </c>
      <c r="P3104">
        <v>1</v>
      </c>
      <c r="Q3104" s="5">
        <v>1199</v>
      </c>
      <c r="R3104" s="74">
        <v>0.2</v>
      </c>
      <c r="S3104" s="75">
        <f>OrdersTable[[#This Row],[Quantity]]*OrdersTable[[#This Row],[Unit Price]]</f>
        <v>1199</v>
      </c>
      <c r="T3104" s="5">
        <f>OrdersTable[[#This Row],[Gross Sale]]*OrdersTable[[#This Row],[Discount_Clean2]]</f>
        <v>239.8</v>
      </c>
      <c r="U3104" s="5">
        <f>OrdersTable[[#This Row],[Gross Sale]]-OrdersTable[[#This Row],[Discount Amount]]</f>
        <v>959.2</v>
      </c>
      <c r="V3104" s="77">
        <f>INDEX(Products!E:E,MATCH(OrdersTable[[#This Row],[Product ID]],Products!A:A,0))</f>
        <v>492</v>
      </c>
      <c r="W3104" s="77">
        <f>OrdersTable[[#This Row],[Quantity]]*OrdersTable[[#This Row],[Unit Cost]]</f>
        <v>492</v>
      </c>
      <c r="X3104" s="77">
        <f>'Dropdown Lists'!$I$2*(1+OrdersTable[[#This Row],[Returned]])</f>
        <v>60</v>
      </c>
      <c r="Y3104" s="76">
        <f>OrdersTable[[#This Row],[Net Revenue]]-OrdersTable[[#This Row],[COGS]]-OrdersTable[[#This Row],[Shipping Cost]]</f>
        <v>407.20000000000005</v>
      </c>
      <c r="Z3104" s="78">
        <f>IFERROR(OrdersTable[[#This Row],[Profit]]/OrdersTable[[#This Row],[Net Revenue]],0)</f>
        <v>0.42452043369474562</v>
      </c>
      <c r="AA3104" t="s">
        <v>2522</v>
      </c>
      <c r="AB3104" s="79">
        <v>45804</v>
      </c>
      <c r="AC3104">
        <f>OrdersTable[[#This Row],[Delivery Date]]-OrdersTable[[#This Row],[Order Date]]</f>
        <v>3</v>
      </c>
      <c r="AD3104" t="str">
        <f>IF(OrdersTable[[#This Row],[Delivery Days]]&lt;=2, "Express (≤2d)", IF(OrdersTable[[#This Row],[Delivery Days]]&lt;=4, "Standard (3-4d)", "Delayed (5d+)"))</f>
        <v>Standard (3-4d)</v>
      </c>
      <c r="AE3104">
        <v>5</v>
      </c>
      <c r="AF3104">
        <v>0</v>
      </c>
    </row>
    <row r="3105" spans="1:32" ht="15" x14ac:dyDescent="0.35">
      <c r="A3105" t="s">
        <v>616</v>
      </c>
      <c r="B3105" s="1">
        <v>45801</v>
      </c>
      <c r="C3105">
        <f>YEAR(OrdersTable[[#This Row],[Order Date]])</f>
        <v>2025</v>
      </c>
      <c r="D3105" s="2">
        <f>DATE(YEAR(OrdersTable[[#This Row],[Order Date]]),MONTH(OrdersTable[[#This Row],[Order Date]]),1)</f>
        <v>45778</v>
      </c>
      <c r="E3105">
        <f>MONTH(OrdersTable[[#This Row],[Order Date]])</f>
        <v>5</v>
      </c>
      <c r="F3105" t="s">
        <v>617</v>
      </c>
      <c r="G3105" t="str">
        <f>IF(OrdersTable[[#This Row],[Order Date]]=_xlfn.MINIFS(Order_Date, Customer_ID, OrdersTable[[#This Row],[Customer ID]]), "New", "Repeat")</f>
        <v>Repeat</v>
      </c>
      <c r="H3105" t="s">
        <v>59</v>
      </c>
      <c r="I3105" t="str">
        <f>INDEX(State!B:B,MATCH(OrdersTable[[#This Row],[State]],State!A:A,0))</f>
        <v>TN</v>
      </c>
      <c r="J3105" t="str">
        <f>INDEX(State!C:C,MATCH(OrdersTable[[#This Row],[State Code]],State!B:B,0))</f>
        <v>South</v>
      </c>
      <c r="K3105" t="s">
        <v>64</v>
      </c>
      <c r="L3105" t="s">
        <v>23</v>
      </c>
      <c r="M3105" t="s">
        <v>73</v>
      </c>
      <c r="N3105" t="str">
        <f>INDEX(Products!B:B,MATCH(OrdersTable[[#This Row],[Product ID]],Products!A:A,0))</f>
        <v>Hydrating Face Wash</v>
      </c>
      <c r="O3105" t="str">
        <f>INDEX(Products!C:C,MATCH(OrdersTable[[#This Row],[Product ID]],Products!A:A,0))</f>
        <v>Skincare</v>
      </c>
      <c r="P3105">
        <v>1</v>
      </c>
      <c r="Q3105" s="5">
        <v>299</v>
      </c>
      <c r="R3105" s="74">
        <v>0.1</v>
      </c>
      <c r="S3105" s="75">
        <f>OrdersTable[[#This Row],[Quantity]]*OrdersTable[[#This Row],[Unit Price]]</f>
        <v>299</v>
      </c>
      <c r="T3105" s="5">
        <f>OrdersTable[[#This Row],[Gross Sale]]*OrdersTable[[#This Row],[Discount_Clean2]]</f>
        <v>29.900000000000002</v>
      </c>
      <c r="U3105" s="5">
        <f>OrdersTable[[#This Row],[Gross Sale]]-OrdersTable[[#This Row],[Discount Amount]]</f>
        <v>269.10000000000002</v>
      </c>
      <c r="V3105" s="77">
        <f>INDEX(Products!E:E,MATCH(OrdersTable[[#This Row],[Product ID]],Products!A:A,0))</f>
        <v>90</v>
      </c>
      <c r="W3105" s="77">
        <f>OrdersTable[[#This Row],[Quantity]]*OrdersTable[[#This Row],[Unit Cost]]</f>
        <v>90</v>
      </c>
      <c r="X3105" s="77">
        <f>'Dropdown Lists'!$I$2*(1+OrdersTable[[#This Row],[Returned]])</f>
        <v>60</v>
      </c>
      <c r="Y3105" s="76">
        <f>OrdersTable[[#This Row],[Net Revenue]]-OrdersTable[[#This Row],[COGS]]-OrdersTable[[#This Row],[Shipping Cost]]</f>
        <v>119.10000000000002</v>
      </c>
      <c r="Z3105" s="78">
        <f>IFERROR(OrdersTable[[#This Row],[Profit]]/OrdersTable[[#This Row],[Net Revenue]],0)</f>
        <v>0.4425863991081383</v>
      </c>
      <c r="AA3105" t="s">
        <v>18</v>
      </c>
      <c r="AB3105" s="79">
        <v>45802</v>
      </c>
      <c r="AC3105">
        <f>OrdersTable[[#This Row],[Delivery Date]]-OrdersTable[[#This Row],[Order Date]]</f>
        <v>1</v>
      </c>
      <c r="AD3105" t="str">
        <f>IF(OrdersTable[[#This Row],[Delivery Days]]&lt;=2, "Express (≤2d)", IF(OrdersTable[[#This Row],[Delivery Days]]&lt;=4, "Standard (3-4d)", "Delayed (5d+)"))</f>
        <v>Express (≤2d)</v>
      </c>
      <c r="AE3105">
        <v>4</v>
      </c>
      <c r="AF3105">
        <v>0</v>
      </c>
    </row>
    <row r="3106" spans="1:32" ht="15" x14ac:dyDescent="0.35">
      <c r="A3106" t="s">
        <v>320</v>
      </c>
      <c r="B3106" s="1">
        <v>45802</v>
      </c>
      <c r="C3106">
        <f>YEAR(OrdersTable[[#This Row],[Order Date]])</f>
        <v>2025</v>
      </c>
      <c r="D3106" s="2">
        <f>DATE(YEAR(OrdersTable[[#This Row],[Order Date]]),MONTH(OrdersTable[[#This Row],[Order Date]]),1)</f>
        <v>45778</v>
      </c>
      <c r="E3106">
        <f>MONTH(OrdersTable[[#This Row],[Order Date]])</f>
        <v>5</v>
      </c>
      <c r="F3106" t="s">
        <v>321</v>
      </c>
      <c r="G3106" t="str">
        <f>IF(OrdersTable[[#This Row],[Order Date]]=_xlfn.MINIFS(Order_Date, Customer_ID, OrdersTable[[#This Row],[Customer ID]]), "New", "Repeat")</f>
        <v>Repeat</v>
      </c>
      <c r="H3106" t="s">
        <v>184</v>
      </c>
      <c r="I3106" t="str">
        <f>INDEX(State!B:B,MATCH(OrdersTable[[#This Row],[State]],State!A:A,0))</f>
        <v>UK</v>
      </c>
      <c r="J3106" t="str">
        <f>INDEX(State!C:C,MATCH(OrdersTable[[#This Row],[State Code]],State!B:B,0))</f>
        <v>North</v>
      </c>
      <c r="K3106" t="s">
        <v>185</v>
      </c>
      <c r="L3106" t="s">
        <v>65</v>
      </c>
      <c r="M3106" t="s">
        <v>29</v>
      </c>
      <c r="N3106" t="str">
        <f>INDEX(Products!B:B,MATCH(OrdersTable[[#This Row],[Product ID]],Products!A:A,0))</f>
        <v>Joggers</v>
      </c>
      <c r="O3106" t="str">
        <f>INDEX(Products!C:C,MATCH(OrdersTable[[#This Row],[Product ID]],Products!A:A,0))</f>
        <v>Apparel</v>
      </c>
      <c r="P3106">
        <v>1</v>
      </c>
      <c r="Q3106" s="5">
        <v>1199</v>
      </c>
      <c r="R3106" s="74">
        <v>0.05</v>
      </c>
      <c r="S3106" s="75">
        <f>OrdersTable[[#This Row],[Quantity]]*OrdersTable[[#This Row],[Unit Price]]</f>
        <v>1199</v>
      </c>
      <c r="T3106" s="5">
        <f>OrdersTable[[#This Row],[Gross Sale]]*OrdersTable[[#This Row],[Discount_Clean2]]</f>
        <v>59.95</v>
      </c>
      <c r="U3106" s="5">
        <f>OrdersTable[[#This Row],[Gross Sale]]-OrdersTable[[#This Row],[Discount Amount]]</f>
        <v>1139.05</v>
      </c>
      <c r="V3106" s="77">
        <f>INDEX(Products!E:E,MATCH(OrdersTable[[#This Row],[Product ID]],Products!A:A,0))</f>
        <v>492</v>
      </c>
      <c r="W3106" s="77">
        <f>OrdersTable[[#This Row],[Quantity]]*OrdersTable[[#This Row],[Unit Cost]]</f>
        <v>492</v>
      </c>
      <c r="X3106" s="77">
        <f>'Dropdown Lists'!$I$2*(1+OrdersTable[[#This Row],[Returned]])</f>
        <v>60</v>
      </c>
      <c r="Y3106" s="76">
        <f>OrdersTable[[#This Row],[Net Revenue]]-OrdersTable[[#This Row],[COGS]]-OrdersTable[[#This Row],[Shipping Cost]]</f>
        <v>587.04999999999995</v>
      </c>
      <c r="Z3106" s="78">
        <f>IFERROR(OrdersTable[[#This Row],[Profit]]/OrdersTable[[#This Row],[Net Revenue]],0)</f>
        <v>0.51538562837452262</v>
      </c>
      <c r="AA3106" t="s">
        <v>18</v>
      </c>
      <c r="AB3106" s="79">
        <v>45807</v>
      </c>
      <c r="AC3106">
        <f>OrdersTable[[#This Row],[Delivery Date]]-OrdersTable[[#This Row],[Order Date]]</f>
        <v>5</v>
      </c>
      <c r="AD3106" t="str">
        <f>IF(OrdersTable[[#This Row],[Delivery Days]]&lt;=2, "Express (≤2d)", IF(OrdersTable[[#This Row],[Delivery Days]]&lt;=4, "Standard (3-4d)", "Delayed (5d+)"))</f>
        <v>Delayed (5d+)</v>
      </c>
      <c r="AE3106">
        <v>4</v>
      </c>
      <c r="AF3106">
        <v>0</v>
      </c>
    </row>
    <row r="3107" spans="1:32" ht="15" x14ac:dyDescent="0.35">
      <c r="A3107" t="s">
        <v>5815</v>
      </c>
      <c r="B3107" s="1">
        <v>45802</v>
      </c>
      <c r="C3107">
        <f>YEAR(OrdersTable[[#This Row],[Order Date]])</f>
        <v>2025</v>
      </c>
      <c r="D3107" s="2">
        <f>DATE(YEAR(OrdersTable[[#This Row],[Order Date]]),MONTH(OrdersTable[[#This Row],[Order Date]]),1)</f>
        <v>45778</v>
      </c>
      <c r="E3107">
        <f>MONTH(OrdersTable[[#This Row],[Order Date]])</f>
        <v>5</v>
      </c>
      <c r="F3107" t="s">
        <v>5816</v>
      </c>
      <c r="G3107" t="str">
        <f>IF(OrdersTable[[#This Row],[Order Date]]=_xlfn.MINIFS(Order_Date, Customer_ID, OrdersTable[[#This Row],[Customer ID]]), "New", "Repeat")</f>
        <v>New</v>
      </c>
      <c r="H3107" t="s">
        <v>128</v>
      </c>
      <c r="I3107" t="str">
        <f>INDEX(State!B:B,MATCH(OrdersTable[[#This Row],[State]],State!A:A,0))</f>
        <v>DL</v>
      </c>
      <c r="J3107" t="str">
        <f>INDEX(State!C:C,MATCH(OrdersTable[[#This Row],[State Code]],State!B:B,0))</f>
        <v>North</v>
      </c>
      <c r="K3107" t="s">
        <v>129</v>
      </c>
      <c r="L3107" t="s">
        <v>65</v>
      </c>
      <c r="M3107" t="s">
        <v>423</v>
      </c>
      <c r="N3107" t="str">
        <f>INDEX(Products!B:B,MATCH(OrdersTable[[#This Row],[Product ID]],Products!A:A,0))</f>
        <v>Power Bank 20000mAh</v>
      </c>
      <c r="O3107" t="str">
        <f>INDEX(Products!C:C,MATCH(OrdersTable[[#This Row],[Product ID]],Products!A:A,0))</f>
        <v>Electronics</v>
      </c>
      <c r="P3107">
        <v>2</v>
      </c>
      <c r="Q3107" s="5">
        <v>1799</v>
      </c>
      <c r="R3107" s="74">
        <v>0.4</v>
      </c>
      <c r="S3107" s="75">
        <f>OrdersTable[[#This Row],[Quantity]]*OrdersTable[[#This Row],[Unit Price]]</f>
        <v>3598</v>
      </c>
      <c r="T3107" s="5">
        <f>OrdersTable[[#This Row],[Gross Sale]]*OrdersTable[[#This Row],[Discount_Clean2]]</f>
        <v>1439.2</v>
      </c>
      <c r="U3107" s="5">
        <f>OrdersTable[[#This Row],[Gross Sale]]-OrdersTable[[#This Row],[Discount Amount]]</f>
        <v>2158.8000000000002</v>
      </c>
      <c r="V3107" s="77">
        <f>INDEX(Products!E:E,MATCH(OrdersTable[[#This Row],[Product ID]],Products!A:A,0))</f>
        <v>1079</v>
      </c>
      <c r="W3107" s="77">
        <f>OrdersTable[[#This Row],[Quantity]]*OrdersTable[[#This Row],[Unit Cost]]</f>
        <v>2158</v>
      </c>
      <c r="X3107" s="77">
        <f>'Dropdown Lists'!$I$2*(1+OrdersTable[[#This Row],[Returned]])</f>
        <v>120</v>
      </c>
      <c r="Y3107" s="76">
        <f>OrdersTable[[#This Row],[Net Revenue]]-OrdersTable[[#This Row],[COGS]]-OrdersTable[[#This Row],[Shipping Cost]]</f>
        <v>-119.19999999999982</v>
      </c>
      <c r="Z3107" s="78">
        <f>IFERROR(OrdersTable[[#This Row],[Profit]]/OrdersTable[[#This Row],[Net Revenue]],0)</f>
        <v>-5.5215860663331388E-2</v>
      </c>
      <c r="AA3107" t="s">
        <v>18</v>
      </c>
      <c r="AB3107" s="79">
        <v>45803</v>
      </c>
      <c r="AC3107">
        <f>OrdersTable[[#This Row],[Delivery Date]]-OrdersTable[[#This Row],[Order Date]]</f>
        <v>1</v>
      </c>
      <c r="AD3107" t="str">
        <f>IF(OrdersTable[[#This Row],[Delivery Days]]&lt;=2, "Express (≤2d)", IF(OrdersTable[[#This Row],[Delivery Days]]&lt;=4, "Standard (3-4d)", "Delayed (5d+)"))</f>
        <v>Express (≤2d)</v>
      </c>
      <c r="AE3107">
        <v>5</v>
      </c>
      <c r="AF3107">
        <v>1</v>
      </c>
    </row>
    <row r="3108" spans="1:32" ht="15" x14ac:dyDescent="0.35">
      <c r="A3108" t="s">
        <v>2626</v>
      </c>
      <c r="B3108" s="1">
        <v>45802</v>
      </c>
      <c r="C3108">
        <f>YEAR(OrdersTable[[#This Row],[Order Date]])</f>
        <v>2025</v>
      </c>
      <c r="D3108" s="2">
        <f>DATE(YEAR(OrdersTable[[#This Row],[Order Date]]),MONTH(OrdersTable[[#This Row],[Order Date]]),1)</f>
        <v>45778</v>
      </c>
      <c r="E3108">
        <f>MONTH(OrdersTable[[#This Row],[Order Date]])</f>
        <v>5</v>
      </c>
      <c r="F3108" t="s">
        <v>1990</v>
      </c>
      <c r="G3108" t="str">
        <f>IF(OrdersTable[[#This Row],[Order Date]]=_xlfn.MINIFS(Order_Date, Customer_ID, OrdersTable[[#This Row],[Customer ID]]), "New", "Repeat")</f>
        <v>Repeat</v>
      </c>
      <c r="H3108" t="s">
        <v>128</v>
      </c>
      <c r="I3108" t="str">
        <f>INDEX(State!B:B,MATCH(OrdersTable[[#This Row],[State]],State!A:A,0))</f>
        <v>DL</v>
      </c>
      <c r="J3108" t="str">
        <f>INDEX(State!C:C,MATCH(OrdersTable[[#This Row],[State Code]],State!B:B,0))</f>
        <v>North</v>
      </c>
      <c r="K3108" t="s">
        <v>129</v>
      </c>
      <c r="L3108" t="s">
        <v>65</v>
      </c>
      <c r="M3108" t="s">
        <v>152</v>
      </c>
      <c r="N3108" t="str">
        <f>INDEX(Products!B:B,MATCH(OrdersTable[[#This Row],[Product ID]],Products!A:A,0))</f>
        <v>Green Tea (100 bags)</v>
      </c>
      <c r="O3108" t="str">
        <f>INDEX(Products!C:C,MATCH(OrdersTable[[#This Row],[Product ID]],Products!A:A,0))</f>
        <v>Wellness</v>
      </c>
      <c r="P3108">
        <v>1</v>
      </c>
      <c r="Q3108" s="5">
        <v>399</v>
      </c>
      <c r="R3108" s="74">
        <v>0.45</v>
      </c>
      <c r="S3108" s="75">
        <f>OrdersTable[[#This Row],[Quantity]]*OrdersTable[[#This Row],[Unit Price]]</f>
        <v>399</v>
      </c>
      <c r="T3108" s="5">
        <f>OrdersTable[[#This Row],[Gross Sale]]*OrdersTable[[#This Row],[Discount_Clean2]]</f>
        <v>179.55</v>
      </c>
      <c r="U3108" s="5">
        <f>OrdersTable[[#This Row],[Gross Sale]]-OrdersTable[[#This Row],[Discount Amount]]</f>
        <v>219.45</v>
      </c>
      <c r="V3108" s="77">
        <f>INDEX(Products!E:E,MATCH(OrdersTable[[#This Row],[Product ID]],Products!A:A,0))</f>
        <v>128</v>
      </c>
      <c r="W3108" s="77">
        <f>OrdersTable[[#This Row],[Quantity]]*OrdersTable[[#This Row],[Unit Cost]]</f>
        <v>128</v>
      </c>
      <c r="X3108" s="77">
        <f>'Dropdown Lists'!$I$2*(1+OrdersTable[[#This Row],[Returned]])</f>
        <v>60</v>
      </c>
      <c r="Y3108" s="76">
        <f>OrdersTable[[#This Row],[Net Revenue]]-OrdersTable[[#This Row],[COGS]]-OrdersTable[[#This Row],[Shipping Cost]]</f>
        <v>31.449999999999989</v>
      </c>
      <c r="Z3108" s="78">
        <f>IFERROR(OrdersTable[[#This Row],[Profit]]/OrdersTable[[#This Row],[Net Revenue]],0)</f>
        <v>0.14331282752335381</v>
      </c>
      <c r="AA3108" t="s">
        <v>2522</v>
      </c>
      <c r="AB3108" s="79">
        <v>45804</v>
      </c>
      <c r="AC3108">
        <f>OrdersTable[[#This Row],[Delivery Date]]-OrdersTable[[#This Row],[Order Date]]</f>
        <v>2</v>
      </c>
      <c r="AD3108" t="str">
        <f>IF(OrdersTable[[#This Row],[Delivery Days]]&lt;=2, "Express (≤2d)", IF(OrdersTable[[#This Row],[Delivery Days]]&lt;=4, "Standard (3-4d)", "Delayed (5d+)"))</f>
        <v>Express (≤2d)</v>
      </c>
      <c r="AE3108">
        <v>5</v>
      </c>
      <c r="AF3108">
        <v>0</v>
      </c>
    </row>
    <row r="3109" spans="1:32" ht="15" x14ac:dyDescent="0.35">
      <c r="A3109" t="s">
        <v>7099</v>
      </c>
      <c r="B3109" s="1">
        <v>45802</v>
      </c>
      <c r="C3109">
        <f>YEAR(OrdersTable[[#This Row],[Order Date]])</f>
        <v>2025</v>
      </c>
      <c r="D3109" s="2">
        <f>DATE(YEAR(OrdersTable[[#This Row],[Order Date]]),MONTH(OrdersTable[[#This Row],[Order Date]]),1)</f>
        <v>45778</v>
      </c>
      <c r="E3109">
        <f>MONTH(OrdersTable[[#This Row],[Order Date]])</f>
        <v>5</v>
      </c>
      <c r="F3109" t="s">
        <v>1550</v>
      </c>
      <c r="G3109" t="str">
        <f>IF(OrdersTable[[#This Row],[Order Date]]=_xlfn.MINIFS(Order_Date, Customer_ID, OrdersTable[[#This Row],[Customer ID]]), "New", "Repeat")</f>
        <v>Repeat</v>
      </c>
      <c r="H3109" t="s">
        <v>128</v>
      </c>
      <c r="I3109" t="str">
        <f>INDEX(State!B:B,MATCH(OrdersTable[[#This Row],[State]],State!A:A,0))</f>
        <v>DL</v>
      </c>
      <c r="J3109" t="str">
        <f>INDEX(State!C:C,MATCH(OrdersTable[[#This Row],[State Code]],State!B:B,0))</f>
        <v>North</v>
      </c>
      <c r="K3109" t="s">
        <v>129</v>
      </c>
      <c r="L3109" t="s">
        <v>50</v>
      </c>
      <c r="M3109" t="s">
        <v>73</v>
      </c>
      <c r="N3109" t="str">
        <f>INDEX(Products!B:B,MATCH(OrdersTable[[#This Row],[Product ID]],Products!A:A,0))</f>
        <v>Hydrating Face Wash</v>
      </c>
      <c r="O3109" t="str">
        <f>INDEX(Products!C:C,MATCH(OrdersTable[[#This Row],[Product ID]],Products!A:A,0))</f>
        <v>Skincare</v>
      </c>
      <c r="P3109">
        <v>4</v>
      </c>
      <c r="Q3109" s="5">
        <v>299</v>
      </c>
      <c r="R3109" s="74">
        <v>0.05</v>
      </c>
      <c r="S3109" s="75">
        <f>OrdersTable[[#This Row],[Quantity]]*OrdersTable[[#This Row],[Unit Price]]</f>
        <v>1196</v>
      </c>
      <c r="T3109" s="5">
        <f>OrdersTable[[#This Row],[Gross Sale]]*OrdersTable[[#This Row],[Discount_Clean2]]</f>
        <v>59.800000000000004</v>
      </c>
      <c r="U3109" s="5">
        <f>OrdersTable[[#This Row],[Gross Sale]]-OrdersTable[[#This Row],[Discount Amount]]</f>
        <v>1136.2</v>
      </c>
      <c r="V3109" s="77">
        <f>INDEX(Products!E:E,MATCH(OrdersTable[[#This Row],[Product ID]],Products!A:A,0))</f>
        <v>90</v>
      </c>
      <c r="W3109" s="77">
        <f>OrdersTable[[#This Row],[Quantity]]*OrdersTable[[#This Row],[Unit Cost]]</f>
        <v>360</v>
      </c>
      <c r="X3109" s="77">
        <f>'Dropdown Lists'!$I$2*(1+OrdersTable[[#This Row],[Returned]])</f>
        <v>60</v>
      </c>
      <c r="Y3109" s="76">
        <f>OrdersTable[[#This Row],[Net Revenue]]-OrdersTable[[#This Row],[COGS]]-OrdersTable[[#This Row],[Shipping Cost]]</f>
        <v>716.2</v>
      </c>
      <c r="Z3109" s="78">
        <f>IFERROR(OrdersTable[[#This Row],[Profit]]/OrdersTable[[#This Row],[Net Revenue]],0)</f>
        <v>0.6303467699348706</v>
      </c>
      <c r="AA3109" t="s">
        <v>18</v>
      </c>
      <c r="AB3109" s="79">
        <v>45803</v>
      </c>
      <c r="AC3109">
        <f>OrdersTable[[#This Row],[Delivery Date]]-OrdersTable[[#This Row],[Order Date]]</f>
        <v>1</v>
      </c>
      <c r="AD3109" t="str">
        <f>IF(OrdersTable[[#This Row],[Delivery Days]]&lt;=2, "Express (≤2d)", IF(OrdersTable[[#This Row],[Delivery Days]]&lt;=4, "Standard (3-4d)", "Delayed (5d+)"))</f>
        <v>Express (≤2d)</v>
      </c>
      <c r="AE3109">
        <v>5</v>
      </c>
      <c r="AF3109">
        <v>0</v>
      </c>
    </row>
    <row r="3110" spans="1:32" ht="15" x14ac:dyDescent="0.35">
      <c r="A3110" t="s">
        <v>1280</v>
      </c>
      <c r="B3110" s="1">
        <v>45802</v>
      </c>
      <c r="C3110">
        <f>YEAR(OrdersTable[[#This Row],[Order Date]])</f>
        <v>2025</v>
      </c>
      <c r="D3110" s="2">
        <f>DATE(YEAR(OrdersTable[[#This Row],[Order Date]]),MONTH(OrdersTable[[#This Row],[Order Date]]),1)</f>
        <v>45778</v>
      </c>
      <c r="E3110">
        <f>MONTH(OrdersTable[[#This Row],[Order Date]])</f>
        <v>5</v>
      </c>
      <c r="F3110" t="s">
        <v>1281</v>
      </c>
      <c r="G3110" t="str">
        <f>IF(OrdersTable[[#This Row],[Order Date]]=_xlfn.MINIFS(Order_Date, Customer_ID, OrdersTable[[#This Row],[Customer ID]]), "New", "Repeat")</f>
        <v>Repeat</v>
      </c>
      <c r="H3110" t="s">
        <v>43</v>
      </c>
      <c r="I3110" t="str">
        <f>INDEX(State!B:B,MATCH(OrdersTable[[#This Row],[State]],State!A:A,0))</f>
        <v>MP</v>
      </c>
      <c r="J3110" t="str">
        <f>INDEX(State!C:C,MATCH(OrdersTable[[#This Row],[State Code]],State!B:B,0))</f>
        <v>West</v>
      </c>
      <c r="K3110" t="s">
        <v>250</v>
      </c>
      <c r="L3110" t="s">
        <v>16</v>
      </c>
      <c r="M3110" t="s">
        <v>576</v>
      </c>
      <c r="N3110" t="str">
        <f>INDEX(Products!B:B,MATCH(OrdersTable[[#This Row],[Product ID]],Products!A:A,0))</f>
        <v>Printed Saree</v>
      </c>
      <c r="O3110" t="str">
        <f>INDEX(Products!C:C,MATCH(OrdersTable[[#This Row],[Product ID]],Products!A:A,0))</f>
        <v>Apparel</v>
      </c>
      <c r="P3110">
        <v>1</v>
      </c>
      <c r="Q3110" s="5">
        <v>1999</v>
      </c>
      <c r="R3110" s="74">
        <v>0.05</v>
      </c>
      <c r="S3110" s="75">
        <f>OrdersTable[[#This Row],[Quantity]]*OrdersTable[[#This Row],[Unit Price]]</f>
        <v>1999</v>
      </c>
      <c r="T3110" s="5">
        <f>OrdersTable[[#This Row],[Gross Sale]]*OrdersTable[[#This Row],[Discount_Clean2]]</f>
        <v>99.95</v>
      </c>
      <c r="U3110" s="5">
        <f>OrdersTable[[#This Row],[Gross Sale]]-OrdersTable[[#This Row],[Discount Amount]]</f>
        <v>1899.05</v>
      </c>
      <c r="V3110" s="77">
        <f>INDEX(Products!E:E,MATCH(OrdersTable[[#This Row],[Product ID]],Products!A:A,0))</f>
        <v>880</v>
      </c>
      <c r="W3110" s="77">
        <f>OrdersTable[[#This Row],[Quantity]]*OrdersTable[[#This Row],[Unit Cost]]</f>
        <v>880</v>
      </c>
      <c r="X3110" s="77">
        <f>'Dropdown Lists'!$I$2*(1+OrdersTable[[#This Row],[Returned]])</f>
        <v>60</v>
      </c>
      <c r="Y3110" s="76">
        <f>OrdersTable[[#This Row],[Net Revenue]]-OrdersTable[[#This Row],[COGS]]-OrdersTable[[#This Row],[Shipping Cost]]</f>
        <v>959.05</v>
      </c>
      <c r="Z3110" s="78">
        <f>IFERROR(OrdersTable[[#This Row],[Profit]]/OrdersTable[[#This Row],[Net Revenue]],0)</f>
        <v>0.50501566572760059</v>
      </c>
      <c r="AA3110" t="s">
        <v>18</v>
      </c>
      <c r="AB3110" s="79">
        <v>45805</v>
      </c>
      <c r="AC3110">
        <f>OrdersTable[[#This Row],[Delivery Date]]-OrdersTable[[#This Row],[Order Date]]</f>
        <v>3</v>
      </c>
      <c r="AD3110" t="str">
        <f>IF(OrdersTable[[#This Row],[Delivery Days]]&lt;=2, "Express (≤2d)", IF(OrdersTable[[#This Row],[Delivery Days]]&lt;=4, "Standard (3-4d)", "Delayed (5d+)"))</f>
        <v>Standard (3-4d)</v>
      </c>
      <c r="AF3110">
        <v>0</v>
      </c>
    </row>
    <row r="3111" spans="1:32" ht="15" x14ac:dyDescent="0.35">
      <c r="A3111" t="s">
        <v>826</v>
      </c>
      <c r="B3111" s="1">
        <v>45802</v>
      </c>
      <c r="C3111">
        <f>YEAR(OrdersTable[[#This Row],[Order Date]])</f>
        <v>2025</v>
      </c>
      <c r="D3111" s="2">
        <f>DATE(YEAR(OrdersTable[[#This Row],[Order Date]]),MONTH(OrdersTable[[#This Row],[Order Date]]),1)</f>
        <v>45778</v>
      </c>
      <c r="E3111">
        <f>MONTH(OrdersTable[[#This Row],[Order Date]])</f>
        <v>5</v>
      </c>
      <c r="F3111" t="s">
        <v>827</v>
      </c>
      <c r="G3111" t="str">
        <f>IF(OrdersTable[[#This Row],[Order Date]]=_xlfn.MINIFS(Order_Date, Customer_ID, OrdersTable[[#This Row],[Customer ID]]), "New", "Repeat")</f>
        <v>Repeat</v>
      </c>
      <c r="H3111" t="s">
        <v>14</v>
      </c>
      <c r="I3111" t="str">
        <f>INDEX(State!B:B,MATCH(OrdersTable[[#This Row],[State]],State!A:A,0))</f>
        <v>OD</v>
      </c>
      <c r="J3111" t="str">
        <f>INDEX(State!C:C,MATCH(OrdersTable[[#This Row],[State Code]],State!B:B,0))</f>
        <v>East</v>
      </c>
      <c r="K3111" t="s">
        <v>15</v>
      </c>
      <c r="L3111" t="s">
        <v>65</v>
      </c>
      <c r="M3111" t="s">
        <v>125</v>
      </c>
      <c r="N3111" t="str">
        <f>INDEX(Products!B:B,MATCH(OrdersTable[[#This Row],[Product ID]],Products!A:A,0))</f>
        <v>Copper Water Bottle</v>
      </c>
      <c r="O3111" t="str">
        <f>INDEX(Products!C:C,MATCH(OrdersTable[[#This Row],[Product ID]],Products!A:A,0))</f>
        <v>Home &amp; Kitchen</v>
      </c>
      <c r="P3111">
        <v>1</v>
      </c>
      <c r="Q3111" s="5">
        <v>899</v>
      </c>
      <c r="R3111" s="74">
        <v>0.05</v>
      </c>
      <c r="S3111" s="75">
        <f>OrdersTable[[#This Row],[Quantity]]*OrdersTable[[#This Row],[Unit Price]]</f>
        <v>899</v>
      </c>
      <c r="T3111" s="5">
        <f>OrdersTable[[#This Row],[Gross Sale]]*OrdersTable[[#This Row],[Discount_Clean2]]</f>
        <v>44.95</v>
      </c>
      <c r="U3111" s="5">
        <f>OrdersTable[[#This Row],[Gross Sale]]-OrdersTable[[#This Row],[Discount Amount]]</f>
        <v>854.05</v>
      </c>
      <c r="V3111" s="77">
        <f>INDEX(Products!E:E,MATCH(OrdersTable[[#This Row],[Product ID]],Products!A:A,0))</f>
        <v>378</v>
      </c>
      <c r="W3111" s="77">
        <f>OrdersTable[[#This Row],[Quantity]]*OrdersTable[[#This Row],[Unit Cost]]</f>
        <v>378</v>
      </c>
      <c r="X3111" s="77">
        <f>'Dropdown Lists'!$I$2*(1+OrdersTable[[#This Row],[Returned]])</f>
        <v>60</v>
      </c>
      <c r="Y3111" s="76">
        <f>OrdersTable[[#This Row],[Net Revenue]]-OrdersTable[[#This Row],[COGS]]-OrdersTable[[#This Row],[Shipping Cost]]</f>
        <v>416.04999999999995</v>
      </c>
      <c r="Z3111" s="78">
        <f>IFERROR(OrdersTable[[#This Row],[Profit]]/OrdersTable[[#This Row],[Net Revenue]],0)</f>
        <v>0.48714946431707745</v>
      </c>
      <c r="AA3111" t="s">
        <v>18</v>
      </c>
      <c r="AB3111" s="79">
        <v>45805</v>
      </c>
      <c r="AC3111">
        <f>OrdersTable[[#This Row],[Delivery Date]]-OrdersTable[[#This Row],[Order Date]]</f>
        <v>3</v>
      </c>
      <c r="AD3111" t="str">
        <f>IF(OrdersTable[[#This Row],[Delivery Days]]&lt;=2, "Express (≤2d)", IF(OrdersTable[[#This Row],[Delivery Days]]&lt;=4, "Standard (3-4d)", "Delayed (5d+)"))</f>
        <v>Standard (3-4d)</v>
      </c>
      <c r="AE3111">
        <v>4</v>
      </c>
      <c r="AF3111">
        <v>0</v>
      </c>
    </row>
    <row r="3112" spans="1:32" ht="15" x14ac:dyDescent="0.35">
      <c r="A3112" t="s">
        <v>4152</v>
      </c>
      <c r="B3112" s="1">
        <v>45802</v>
      </c>
      <c r="C3112">
        <f>YEAR(OrdersTable[[#This Row],[Order Date]])</f>
        <v>2025</v>
      </c>
      <c r="D3112" s="2">
        <f>DATE(YEAR(OrdersTable[[#This Row],[Order Date]]),MONTH(OrdersTable[[#This Row],[Order Date]]),1)</f>
        <v>45778</v>
      </c>
      <c r="E3112">
        <f>MONTH(OrdersTable[[#This Row],[Order Date]])</f>
        <v>5</v>
      </c>
      <c r="F3112" t="s">
        <v>1555</v>
      </c>
      <c r="G3112" t="str">
        <f>IF(OrdersTable[[#This Row],[Order Date]]=_xlfn.MINIFS(Order_Date, Customer_ID, OrdersTable[[#This Row],[Customer ID]]), "New", "Repeat")</f>
        <v>Repeat</v>
      </c>
      <c r="H3112" t="s">
        <v>167</v>
      </c>
      <c r="I3112" t="str">
        <f>INDEX(State!B:B,MATCH(OrdersTable[[#This Row],[State]],State!A:A,0))</f>
        <v>KA</v>
      </c>
      <c r="J3112" t="str">
        <f>INDEX(State!C:C,MATCH(OrdersTable[[#This Row],[State Code]],State!B:B,0))</f>
        <v>South</v>
      </c>
      <c r="K3112" t="s">
        <v>190</v>
      </c>
      <c r="L3112" t="s">
        <v>23</v>
      </c>
      <c r="M3112" t="s">
        <v>45</v>
      </c>
      <c r="N3112" t="str">
        <f>INDEX(Products!B:B,MATCH(OrdersTable[[#This Row],[Product ID]],Products!A:A,0))</f>
        <v>Argan Shampoo</v>
      </c>
      <c r="O3112" t="str">
        <f>INDEX(Products!C:C,MATCH(OrdersTable[[#This Row],[Product ID]],Products!A:A,0))</f>
        <v>Haircare</v>
      </c>
      <c r="P3112">
        <v>1</v>
      </c>
      <c r="Q3112" s="5">
        <v>449</v>
      </c>
      <c r="R3112" s="74">
        <v>0.1</v>
      </c>
      <c r="S3112" s="75">
        <f>OrdersTable[[#This Row],[Quantity]]*OrdersTable[[#This Row],[Unit Price]]</f>
        <v>449</v>
      </c>
      <c r="T3112" s="5">
        <f>OrdersTable[[#This Row],[Gross Sale]]*OrdersTable[[#This Row],[Discount_Clean2]]</f>
        <v>44.900000000000006</v>
      </c>
      <c r="U3112" s="5">
        <f>OrdersTable[[#This Row],[Gross Sale]]-OrdersTable[[#This Row],[Discount Amount]]</f>
        <v>404.1</v>
      </c>
      <c r="V3112" s="77">
        <f>INDEX(Products!E:E,MATCH(OrdersTable[[#This Row],[Product ID]],Products!A:A,0))</f>
        <v>148</v>
      </c>
      <c r="W3112" s="77">
        <f>OrdersTable[[#This Row],[Quantity]]*OrdersTable[[#This Row],[Unit Cost]]</f>
        <v>148</v>
      </c>
      <c r="X3112" s="77">
        <f>'Dropdown Lists'!$I$2*(1+OrdersTable[[#This Row],[Returned]])</f>
        <v>60</v>
      </c>
      <c r="Y3112" s="76">
        <f>OrdersTable[[#This Row],[Net Revenue]]-OrdersTable[[#This Row],[COGS]]-OrdersTable[[#This Row],[Shipping Cost]]</f>
        <v>196.10000000000002</v>
      </c>
      <c r="Z3112" s="78">
        <f>IFERROR(OrdersTable[[#This Row],[Profit]]/OrdersTable[[#This Row],[Net Revenue]],0)</f>
        <v>0.48527592180153428</v>
      </c>
      <c r="AA3112" t="s">
        <v>4074</v>
      </c>
      <c r="AB3112" s="79">
        <v>45803</v>
      </c>
      <c r="AC3112">
        <f>OrdersTable[[#This Row],[Delivery Date]]-OrdersTable[[#This Row],[Order Date]]</f>
        <v>1</v>
      </c>
      <c r="AD3112" t="str">
        <f>IF(OrdersTable[[#This Row],[Delivery Days]]&lt;=2, "Express (≤2d)", IF(OrdersTable[[#This Row],[Delivery Days]]&lt;=4, "Standard (3-4d)", "Delayed (5d+)"))</f>
        <v>Express (≤2d)</v>
      </c>
      <c r="AE3112">
        <v>5</v>
      </c>
      <c r="AF3112">
        <v>0</v>
      </c>
    </row>
    <row r="3113" spans="1:32" ht="15" x14ac:dyDescent="0.35">
      <c r="A3113" t="s">
        <v>3634</v>
      </c>
      <c r="B3113" s="1">
        <v>45802</v>
      </c>
      <c r="C3113">
        <f>YEAR(OrdersTable[[#This Row],[Order Date]])</f>
        <v>2025</v>
      </c>
      <c r="D3113" s="2">
        <f>DATE(YEAR(OrdersTable[[#This Row],[Order Date]]),MONTH(OrdersTable[[#This Row],[Order Date]]),1)</f>
        <v>45778</v>
      </c>
      <c r="E3113">
        <f>MONTH(OrdersTable[[#This Row],[Order Date]])</f>
        <v>5</v>
      </c>
      <c r="F3113" t="s">
        <v>26</v>
      </c>
      <c r="G3113" t="str">
        <f>IF(OrdersTable[[#This Row],[Order Date]]=_xlfn.MINIFS(Order_Date, Customer_ID, OrdersTable[[#This Row],[Customer ID]]), "New", "Repeat")</f>
        <v>Repeat</v>
      </c>
      <c r="H3113" t="s">
        <v>59</v>
      </c>
      <c r="I3113" t="str">
        <f>INDEX(State!B:B,MATCH(OrdersTable[[#This Row],[State]],State!A:A,0))</f>
        <v>TN</v>
      </c>
      <c r="J3113" t="str">
        <f>INDEX(State!C:C,MATCH(OrdersTable[[#This Row],[State Code]],State!B:B,0))</f>
        <v>South</v>
      </c>
      <c r="K3113" t="s">
        <v>64</v>
      </c>
      <c r="L3113" t="s">
        <v>50</v>
      </c>
      <c r="M3113" t="s">
        <v>73</v>
      </c>
      <c r="N3113" t="str">
        <f>INDEX(Products!B:B,MATCH(OrdersTable[[#This Row],[Product ID]],Products!A:A,0))</f>
        <v>Hydrating Face Wash</v>
      </c>
      <c r="O3113" t="str">
        <f>INDEX(Products!C:C,MATCH(OrdersTable[[#This Row],[Product ID]],Products!A:A,0))</f>
        <v>Skincare</v>
      </c>
      <c r="P3113">
        <v>1</v>
      </c>
      <c r="Q3113" s="5">
        <v>299</v>
      </c>
      <c r="R3113" s="74">
        <v>0</v>
      </c>
      <c r="S3113" s="75">
        <f>OrdersTable[[#This Row],[Quantity]]*OrdersTable[[#This Row],[Unit Price]]</f>
        <v>299</v>
      </c>
      <c r="T3113" s="5">
        <f>OrdersTable[[#This Row],[Gross Sale]]*OrdersTable[[#This Row],[Discount_Clean2]]</f>
        <v>0</v>
      </c>
      <c r="U3113" s="5">
        <f>OrdersTable[[#This Row],[Gross Sale]]-OrdersTable[[#This Row],[Discount Amount]]</f>
        <v>299</v>
      </c>
      <c r="V3113" s="77">
        <f>INDEX(Products!E:E,MATCH(OrdersTable[[#This Row],[Product ID]],Products!A:A,0))</f>
        <v>90</v>
      </c>
      <c r="W3113" s="77">
        <f>OrdersTable[[#This Row],[Quantity]]*OrdersTable[[#This Row],[Unit Cost]]</f>
        <v>90</v>
      </c>
      <c r="X3113" s="77">
        <f>'Dropdown Lists'!$I$2*(1+OrdersTable[[#This Row],[Returned]])</f>
        <v>60</v>
      </c>
      <c r="Y3113" s="76">
        <f>OrdersTable[[#This Row],[Net Revenue]]-OrdersTable[[#This Row],[COGS]]-OrdersTable[[#This Row],[Shipping Cost]]</f>
        <v>149</v>
      </c>
      <c r="Z3113" s="78">
        <f>IFERROR(OrdersTable[[#This Row],[Profit]]/OrdersTable[[#This Row],[Net Revenue]],0)</f>
        <v>0.49832775919732442</v>
      </c>
      <c r="AA3113" t="s">
        <v>3495</v>
      </c>
      <c r="AB3113" s="79">
        <v>45803</v>
      </c>
      <c r="AC3113">
        <f>OrdersTable[[#This Row],[Delivery Date]]-OrdersTable[[#This Row],[Order Date]]</f>
        <v>1</v>
      </c>
      <c r="AD3113" t="str">
        <f>IF(OrdersTable[[#This Row],[Delivery Days]]&lt;=2, "Express (≤2d)", IF(OrdersTable[[#This Row],[Delivery Days]]&lt;=4, "Standard (3-4d)", "Delayed (5d+)"))</f>
        <v>Express (≤2d)</v>
      </c>
      <c r="AE3113">
        <v>4</v>
      </c>
      <c r="AF3113">
        <v>0</v>
      </c>
    </row>
    <row r="3114" spans="1:32" ht="15" x14ac:dyDescent="0.35">
      <c r="A3114" t="s">
        <v>5948</v>
      </c>
      <c r="B3114" s="1">
        <v>45803</v>
      </c>
      <c r="C3114">
        <f>YEAR(OrdersTable[[#This Row],[Order Date]])</f>
        <v>2025</v>
      </c>
      <c r="D3114" s="2">
        <f>DATE(YEAR(OrdersTable[[#This Row],[Order Date]]),MONTH(OrdersTable[[#This Row],[Order Date]]),1)</f>
        <v>45778</v>
      </c>
      <c r="E3114">
        <f>MONTH(OrdersTable[[#This Row],[Order Date]])</f>
        <v>5</v>
      </c>
      <c r="F3114" t="s">
        <v>1641</v>
      </c>
      <c r="G3114" t="str">
        <f>IF(OrdersTable[[#This Row],[Order Date]]=_xlfn.MINIFS(Order_Date, Customer_ID, OrdersTable[[#This Row],[Customer ID]]), "New", "Repeat")</f>
        <v>Repeat</v>
      </c>
      <c r="H3114" t="s">
        <v>54</v>
      </c>
      <c r="I3114" t="str">
        <f>INDEX(State!B:B,MATCH(OrdersTable[[#This Row],[State]],State!A:A,0))</f>
        <v>RJ</v>
      </c>
      <c r="J3114" t="str">
        <f>INDEX(State!C:C,MATCH(OrdersTable[[#This Row],[State Code]],State!B:B,0))</f>
        <v>North</v>
      </c>
      <c r="K3114" t="s">
        <v>55</v>
      </c>
      <c r="L3114" t="s">
        <v>23</v>
      </c>
      <c r="M3114" t="s">
        <v>148</v>
      </c>
      <c r="N3114" t="str">
        <f>INDEX(Products!B:B,MATCH(OrdersTable[[#This Row],[Product ID]],Products!A:A,0))</f>
        <v>Smartwatch Strap</v>
      </c>
      <c r="O3114" t="str">
        <f>INDEX(Products!C:C,MATCH(OrdersTable[[#This Row],[Product ID]],Products!A:A,0))</f>
        <v>Electronics</v>
      </c>
      <c r="P3114">
        <v>2</v>
      </c>
      <c r="Q3114" s="5">
        <v>499</v>
      </c>
      <c r="R3114" s="74">
        <v>0.05</v>
      </c>
      <c r="S3114" s="75">
        <f>OrdersTable[[#This Row],[Quantity]]*OrdersTable[[#This Row],[Unit Price]]</f>
        <v>998</v>
      </c>
      <c r="T3114" s="5">
        <f>OrdersTable[[#This Row],[Gross Sale]]*OrdersTable[[#This Row],[Discount_Clean2]]</f>
        <v>49.900000000000006</v>
      </c>
      <c r="U3114" s="5">
        <f>OrdersTable[[#This Row],[Gross Sale]]-OrdersTable[[#This Row],[Discount Amount]]</f>
        <v>948.1</v>
      </c>
      <c r="V3114" s="77">
        <f>INDEX(Products!E:E,MATCH(OrdersTable[[#This Row],[Product ID]],Products!A:A,0))</f>
        <v>200</v>
      </c>
      <c r="W3114" s="77">
        <f>OrdersTable[[#This Row],[Quantity]]*OrdersTable[[#This Row],[Unit Cost]]</f>
        <v>400</v>
      </c>
      <c r="X3114" s="77">
        <f>'Dropdown Lists'!$I$2*(1+OrdersTable[[#This Row],[Returned]])</f>
        <v>60</v>
      </c>
      <c r="Y3114" s="76">
        <f>OrdersTable[[#This Row],[Net Revenue]]-OrdersTable[[#This Row],[COGS]]-OrdersTable[[#This Row],[Shipping Cost]]</f>
        <v>488.1</v>
      </c>
      <c r="Z3114" s="78">
        <f>IFERROR(OrdersTable[[#This Row],[Profit]]/OrdersTable[[#This Row],[Net Revenue]],0)</f>
        <v>0.51481911190802654</v>
      </c>
      <c r="AA3114" t="s">
        <v>18</v>
      </c>
      <c r="AB3114" s="79">
        <v>45806</v>
      </c>
      <c r="AC3114">
        <f>OrdersTable[[#This Row],[Delivery Date]]-OrdersTable[[#This Row],[Order Date]]</f>
        <v>3</v>
      </c>
      <c r="AD3114" t="str">
        <f>IF(OrdersTable[[#This Row],[Delivery Days]]&lt;=2, "Express (≤2d)", IF(OrdersTable[[#This Row],[Delivery Days]]&lt;=4, "Standard (3-4d)", "Delayed (5d+)"))</f>
        <v>Standard (3-4d)</v>
      </c>
      <c r="AF3114">
        <v>0</v>
      </c>
    </row>
    <row r="3115" spans="1:32" ht="15" x14ac:dyDescent="0.35">
      <c r="A3115" t="s">
        <v>4066</v>
      </c>
      <c r="B3115" s="1">
        <v>45803</v>
      </c>
      <c r="C3115">
        <f>YEAR(OrdersTable[[#This Row],[Order Date]])</f>
        <v>2025</v>
      </c>
      <c r="D3115" s="2">
        <f>DATE(YEAR(OrdersTable[[#This Row],[Order Date]]),MONTH(OrdersTable[[#This Row],[Order Date]]),1)</f>
        <v>45778</v>
      </c>
      <c r="E3115">
        <f>MONTH(OrdersTable[[#This Row],[Order Date]])</f>
        <v>5</v>
      </c>
      <c r="F3115" t="s">
        <v>3520</v>
      </c>
      <c r="G3115" t="str">
        <f>IF(OrdersTable[[#This Row],[Order Date]]=_xlfn.MINIFS(Order_Date, Customer_ID, OrdersTable[[#This Row],[Customer ID]]), "New", "Repeat")</f>
        <v>Repeat</v>
      </c>
      <c r="H3115" t="s">
        <v>54</v>
      </c>
      <c r="I3115" t="str">
        <f>INDEX(State!B:B,MATCH(OrdersTable[[#This Row],[State]],State!A:A,0))</f>
        <v>RJ</v>
      </c>
      <c r="J3115" t="str">
        <f>INDEX(State!C:C,MATCH(OrdersTable[[#This Row],[State Code]],State!B:B,0))</f>
        <v>North</v>
      </c>
      <c r="K3115" t="s">
        <v>55</v>
      </c>
      <c r="L3115" t="s">
        <v>16</v>
      </c>
      <c r="M3115" t="s">
        <v>29</v>
      </c>
      <c r="N3115" t="str">
        <f>INDEX(Products!B:B,MATCH(OrdersTable[[#This Row],[Product ID]],Products!A:A,0))</f>
        <v>Joggers</v>
      </c>
      <c r="O3115" t="str">
        <f>INDEX(Products!C:C,MATCH(OrdersTable[[#This Row],[Product ID]],Products!A:A,0))</f>
        <v>Apparel</v>
      </c>
      <c r="P3115">
        <v>1</v>
      </c>
      <c r="Q3115" s="5">
        <v>1199</v>
      </c>
      <c r="R3115" s="74">
        <v>0.15</v>
      </c>
      <c r="S3115" s="75">
        <f>OrdersTable[[#This Row],[Quantity]]*OrdersTable[[#This Row],[Unit Price]]</f>
        <v>1199</v>
      </c>
      <c r="T3115" s="5">
        <f>OrdersTable[[#This Row],[Gross Sale]]*OrdersTable[[#This Row],[Discount_Clean2]]</f>
        <v>179.85</v>
      </c>
      <c r="U3115" s="5">
        <f>OrdersTable[[#This Row],[Gross Sale]]-OrdersTable[[#This Row],[Discount Amount]]</f>
        <v>1019.15</v>
      </c>
      <c r="V3115" s="77">
        <f>INDEX(Products!E:E,MATCH(OrdersTable[[#This Row],[Product ID]],Products!A:A,0))</f>
        <v>492</v>
      </c>
      <c r="W3115" s="77">
        <f>OrdersTable[[#This Row],[Quantity]]*OrdersTable[[#This Row],[Unit Cost]]</f>
        <v>492</v>
      </c>
      <c r="X3115" s="77">
        <f>'Dropdown Lists'!$I$2*(1+OrdersTable[[#This Row],[Returned]])</f>
        <v>60</v>
      </c>
      <c r="Y3115" s="76">
        <f>OrdersTable[[#This Row],[Net Revenue]]-OrdersTable[[#This Row],[COGS]]-OrdersTable[[#This Row],[Shipping Cost]]</f>
        <v>467.15</v>
      </c>
      <c r="Z3115" s="78">
        <f>IFERROR(OrdersTable[[#This Row],[Profit]]/OrdersTable[[#This Row],[Net Revenue]],0)</f>
        <v>0.45837217288917231</v>
      </c>
      <c r="AA3115" t="s">
        <v>3495</v>
      </c>
      <c r="AB3115" s="79">
        <v>45806</v>
      </c>
      <c r="AC3115">
        <f>OrdersTable[[#This Row],[Delivery Date]]-OrdersTable[[#This Row],[Order Date]]</f>
        <v>3</v>
      </c>
      <c r="AD3115" t="str">
        <f>IF(OrdersTable[[#This Row],[Delivery Days]]&lt;=2, "Express (≤2d)", IF(OrdersTable[[#This Row],[Delivery Days]]&lt;=4, "Standard (3-4d)", "Delayed (5d+)"))</f>
        <v>Standard (3-4d)</v>
      </c>
      <c r="AE3115">
        <v>2</v>
      </c>
      <c r="AF3115">
        <v>0</v>
      </c>
    </row>
    <row r="3116" spans="1:32" ht="15" x14ac:dyDescent="0.35">
      <c r="A3116" t="s">
        <v>5522</v>
      </c>
      <c r="B3116" s="1">
        <v>45803</v>
      </c>
      <c r="C3116">
        <f>YEAR(OrdersTable[[#This Row],[Order Date]])</f>
        <v>2025</v>
      </c>
      <c r="D3116" s="2">
        <f>DATE(YEAR(OrdersTable[[#This Row],[Order Date]]),MONTH(OrdersTable[[#This Row],[Order Date]]),1)</f>
        <v>45778</v>
      </c>
      <c r="E3116">
        <f>MONTH(OrdersTable[[#This Row],[Order Date]])</f>
        <v>5</v>
      </c>
      <c r="F3116" t="s">
        <v>5523</v>
      </c>
      <c r="G3116" t="str">
        <f>IF(OrdersTable[[#This Row],[Order Date]]=_xlfn.MINIFS(Order_Date, Customer_ID, OrdersTable[[#This Row],[Customer ID]]), "New", "Repeat")</f>
        <v>New</v>
      </c>
      <c r="H3116" t="s">
        <v>128</v>
      </c>
      <c r="I3116" t="str">
        <f>INDEX(State!B:B,MATCH(OrdersTable[[#This Row],[State]],State!A:A,0))</f>
        <v>DL</v>
      </c>
      <c r="J3116" t="str">
        <f>INDEX(State!C:C,MATCH(OrdersTable[[#This Row],[State Code]],State!B:B,0))</f>
        <v>North</v>
      </c>
      <c r="K3116" t="s">
        <v>129</v>
      </c>
      <c r="L3116" t="s">
        <v>16</v>
      </c>
      <c r="M3116" t="s">
        <v>92</v>
      </c>
      <c r="N3116" t="str">
        <f>INDEX(Products!B:B,MATCH(OrdersTable[[#This Row],[Product ID]],Products!A:A,0))</f>
        <v>Kolhapuri Sandals</v>
      </c>
      <c r="O3116" t="str">
        <f>INDEX(Products!C:C,MATCH(OrdersTable[[#This Row],[Product ID]],Products!A:A,0))</f>
        <v>Footwear</v>
      </c>
      <c r="P3116">
        <v>2</v>
      </c>
      <c r="Q3116" s="5">
        <v>999</v>
      </c>
      <c r="R3116" s="74">
        <v>0</v>
      </c>
      <c r="S3116" s="75">
        <f>OrdersTable[[#This Row],[Quantity]]*OrdersTable[[#This Row],[Unit Price]]</f>
        <v>1998</v>
      </c>
      <c r="T3116" s="5">
        <f>OrdersTable[[#This Row],[Gross Sale]]*OrdersTable[[#This Row],[Discount_Clean2]]</f>
        <v>0</v>
      </c>
      <c r="U3116" s="5">
        <f>OrdersTable[[#This Row],[Gross Sale]]-OrdersTable[[#This Row],[Discount Amount]]</f>
        <v>1998</v>
      </c>
      <c r="V3116" s="77">
        <f>INDEX(Products!E:E,MATCH(OrdersTable[[#This Row],[Product ID]],Products!A:A,0))</f>
        <v>400</v>
      </c>
      <c r="W3116" s="77">
        <f>OrdersTable[[#This Row],[Quantity]]*OrdersTable[[#This Row],[Unit Cost]]</f>
        <v>800</v>
      </c>
      <c r="X3116" s="77">
        <f>'Dropdown Lists'!$I$2*(1+OrdersTable[[#This Row],[Returned]])</f>
        <v>60</v>
      </c>
      <c r="Y3116" s="76">
        <f>OrdersTable[[#This Row],[Net Revenue]]-OrdersTable[[#This Row],[COGS]]-OrdersTable[[#This Row],[Shipping Cost]]</f>
        <v>1138</v>
      </c>
      <c r="Z3116" s="78">
        <f>IFERROR(OrdersTable[[#This Row],[Profit]]/OrdersTable[[#This Row],[Net Revenue]],0)</f>
        <v>0.56956956956956961</v>
      </c>
      <c r="AA3116" t="s">
        <v>2522</v>
      </c>
      <c r="AB3116" s="79">
        <v>45805</v>
      </c>
      <c r="AC3116">
        <f>OrdersTable[[#This Row],[Delivery Date]]-OrdersTable[[#This Row],[Order Date]]</f>
        <v>2</v>
      </c>
      <c r="AD3116" t="str">
        <f>IF(OrdersTable[[#This Row],[Delivery Days]]&lt;=2, "Express (≤2d)", IF(OrdersTable[[#This Row],[Delivery Days]]&lt;=4, "Standard (3-4d)", "Delayed (5d+)"))</f>
        <v>Express (≤2d)</v>
      </c>
      <c r="AE3116">
        <v>4</v>
      </c>
      <c r="AF3116">
        <v>0</v>
      </c>
    </row>
    <row r="3117" spans="1:32" ht="15" x14ac:dyDescent="0.35">
      <c r="A3117" t="s">
        <v>1092</v>
      </c>
      <c r="B3117" s="1">
        <v>45803</v>
      </c>
      <c r="C3117">
        <f>YEAR(OrdersTable[[#This Row],[Order Date]])</f>
        <v>2025</v>
      </c>
      <c r="D3117" s="2">
        <f>DATE(YEAR(OrdersTable[[#This Row],[Order Date]]),MONTH(OrdersTable[[#This Row],[Order Date]]),1)</f>
        <v>45778</v>
      </c>
      <c r="E3117">
        <f>MONTH(OrdersTable[[#This Row],[Order Date]])</f>
        <v>5</v>
      </c>
      <c r="F3117" t="s">
        <v>1093</v>
      </c>
      <c r="G3117" t="str">
        <f>IF(OrdersTable[[#This Row],[Order Date]]=_xlfn.MINIFS(Order_Date, Customer_ID, OrdersTable[[#This Row],[Customer ID]]), "New", "Repeat")</f>
        <v>Repeat</v>
      </c>
      <c r="H3117" t="s">
        <v>37</v>
      </c>
      <c r="I3117" t="str">
        <f>INDEX(State!B:B,MATCH(OrdersTable[[#This Row],[State]],State!A:A,0))</f>
        <v>GJ</v>
      </c>
      <c r="J3117" t="str">
        <f>INDEX(State!C:C,MATCH(OrdersTable[[#This Row],[State Code]],State!B:B,0))</f>
        <v>West</v>
      </c>
      <c r="K3117" t="s">
        <v>247</v>
      </c>
      <c r="L3117" t="s">
        <v>16</v>
      </c>
      <c r="M3117" t="s">
        <v>205</v>
      </c>
      <c r="N3117" t="str">
        <f>INDEX(Products!B:B,MATCH(OrdersTable[[#This Row],[Product ID]],Products!A:A,0))</f>
        <v>Running Shoes</v>
      </c>
      <c r="O3117" t="str">
        <f>INDEX(Products!C:C,MATCH(OrdersTable[[#This Row],[Product ID]],Products!A:A,0))</f>
        <v>Footwear</v>
      </c>
      <c r="P3117">
        <v>1</v>
      </c>
      <c r="Q3117" s="5">
        <v>2999</v>
      </c>
      <c r="R3117" s="74">
        <v>0.15</v>
      </c>
      <c r="S3117" s="75">
        <f>OrdersTable[[#This Row],[Quantity]]*OrdersTable[[#This Row],[Unit Price]]</f>
        <v>2999</v>
      </c>
      <c r="T3117" s="5">
        <f>OrdersTable[[#This Row],[Gross Sale]]*OrdersTable[[#This Row],[Discount_Clean2]]</f>
        <v>449.84999999999997</v>
      </c>
      <c r="U3117" s="5">
        <f>OrdersTable[[#This Row],[Gross Sale]]-OrdersTable[[#This Row],[Discount Amount]]</f>
        <v>2549.15</v>
      </c>
      <c r="V3117" s="77">
        <f>INDEX(Products!E:E,MATCH(OrdersTable[[#This Row],[Product ID]],Products!A:A,0))</f>
        <v>1440</v>
      </c>
      <c r="W3117" s="77">
        <f>OrdersTable[[#This Row],[Quantity]]*OrdersTable[[#This Row],[Unit Cost]]</f>
        <v>1440</v>
      </c>
      <c r="X3117" s="77">
        <f>'Dropdown Lists'!$I$2*(1+OrdersTable[[#This Row],[Returned]])</f>
        <v>120</v>
      </c>
      <c r="Y3117" s="76">
        <f>OrdersTable[[#This Row],[Net Revenue]]-OrdersTable[[#This Row],[COGS]]-OrdersTable[[#This Row],[Shipping Cost]]</f>
        <v>989.15000000000009</v>
      </c>
      <c r="Z3117" s="78">
        <f>IFERROR(OrdersTable[[#This Row],[Profit]]/OrdersTable[[#This Row],[Net Revenue]],0)</f>
        <v>0.3880313045524979</v>
      </c>
      <c r="AA3117" t="s">
        <v>18</v>
      </c>
      <c r="AB3117" s="79">
        <v>45808</v>
      </c>
      <c r="AC3117">
        <f>OrdersTable[[#This Row],[Delivery Date]]-OrdersTable[[#This Row],[Order Date]]</f>
        <v>5</v>
      </c>
      <c r="AD3117" t="str">
        <f>IF(OrdersTable[[#This Row],[Delivery Days]]&lt;=2, "Express (≤2d)", IF(OrdersTable[[#This Row],[Delivery Days]]&lt;=4, "Standard (3-4d)", "Delayed (5d+)"))</f>
        <v>Delayed (5d+)</v>
      </c>
      <c r="AE3117">
        <v>4</v>
      </c>
      <c r="AF3117">
        <v>1</v>
      </c>
    </row>
    <row r="3118" spans="1:32" ht="15" x14ac:dyDescent="0.35">
      <c r="A3118" t="s">
        <v>1282</v>
      </c>
      <c r="B3118" s="1">
        <v>45803</v>
      </c>
      <c r="C3118">
        <f>YEAR(OrdersTable[[#This Row],[Order Date]])</f>
        <v>2025</v>
      </c>
      <c r="D3118" s="2">
        <f>DATE(YEAR(OrdersTable[[#This Row],[Order Date]]),MONTH(OrdersTable[[#This Row],[Order Date]]),1)</f>
        <v>45778</v>
      </c>
      <c r="E3118">
        <f>MONTH(OrdersTable[[#This Row],[Order Date]])</f>
        <v>5</v>
      </c>
      <c r="F3118" t="s">
        <v>1283</v>
      </c>
      <c r="G3118" t="str">
        <f>IF(OrdersTable[[#This Row],[Order Date]]=_xlfn.MINIFS(Order_Date, Customer_ID, OrdersTable[[#This Row],[Customer ID]]), "New", "Repeat")</f>
        <v>New</v>
      </c>
      <c r="H3118" t="s">
        <v>14</v>
      </c>
      <c r="I3118" t="str">
        <f>INDEX(State!B:B,MATCH(OrdersTable[[#This Row],[State]],State!A:A,0))</f>
        <v>OD</v>
      </c>
      <c r="J3118" t="str">
        <f>INDEX(State!C:C,MATCH(OrdersTable[[#This Row],[State Code]],State!B:B,0))</f>
        <v>East</v>
      </c>
      <c r="K3118" t="s">
        <v>15</v>
      </c>
      <c r="L3118" t="s">
        <v>16</v>
      </c>
      <c r="M3118" t="s">
        <v>176</v>
      </c>
      <c r="N3118" t="str">
        <f>INDEX(Products!B:B,MATCH(OrdersTable[[#This Row],[Product ID]],Products!A:A,0))</f>
        <v>Denim Jacket</v>
      </c>
      <c r="O3118" t="str">
        <f>INDEX(Products!C:C,MATCH(OrdersTable[[#This Row],[Product ID]],Products!A:A,0))</f>
        <v>Apparel</v>
      </c>
      <c r="P3118">
        <v>1</v>
      </c>
      <c r="Q3118" s="5">
        <v>2499</v>
      </c>
      <c r="R3118" s="74">
        <v>0</v>
      </c>
      <c r="S3118" s="75">
        <f>OrdersTable[[#This Row],[Quantity]]*OrdersTable[[#This Row],[Unit Price]]</f>
        <v>2499</v>
      </c>
      <c r="T3118" s="5">
        <f>OrdersTable[[#This Row],[Gross Sale]]*OrdersTable[[#This Row],[Discount_Clean2]]</f>
        <v>0</v>
      </c>
      <c r="U3118" s="5">
        <f>OrdersTable[[#This Row],[Gross Sale]]-OrdersTable[[#This Row],[Discount Amount]]</f>
        <v>2499</v>
      </c>
      <c r="V3118" s="77">
        <f>INDEX(Products!E:E,MATCH(OrdersTable[[#This Row],[Product ID]],Products!A:A,0))</f>
        <v>1125</v>
      </c>
      <c r="W3118" s="77">
        <f>OrdersTable[[#This Row],[Quantity]]*OrdersTable[[#This Row],[Unit Cost]]</f>
        <v>1125</v>
      </c>
      <c r="X3118" s="77">
        <f>'Dropdown Lists'!$I$2*(1+OrdersTable[[#This Row],[Returned]])</f>
        <v>60</v>
      </c>
      <c r="Y3118" s="76">
        <f>OrdersTable[[#This Row],[Net Revenue]]-OrdersTable[[#This Row],[COGS]]-OrdersTable[[#This Row],[Shipping Cost]]</f>
        <v>1314</v>
      </c>
      <c r="Z3118" s="78">
        <f>IFERROR(OrdersTable[[#This Row],[Profit]]/OrdersTable[[#This Row],[Net Revenue]],0)</f>
        <v>0.5258103241296519</v>
      </c>
      <c r="AA3118" t="s">
        <v>18</v>
      </c>
      <c r="AB3118" s="79">
        <v>45807</v>
      </c>
      <c r="AC3118">
        <f>OrdersTable[[#This Row],[Delivery Date]]-OrdersTable[[#This Row],[Order Date]]</f>
        <v>4</v>
      </c>
      <c r="AD3118" t="str">
        <f>IF(OrdersTable[[#This Row],[Delivery Days]]&lt;=2, "Express (≤2d)", IF(OrdersTable[[#This Row],[Delivery Days]]&lt;=4, "Standard (3-4d)", "Delayed (5d+)"))</f>
        <v>Standard (3-4d)</v>
      </c>
      <c r="AF3118">
        <v>0</v>
      </c>
    </row>
    <row r="3119" spans="1:32" ht="15" x14ac:dyDescent="0.35">
      <c r="A3119" t="s">
        <v>994</v>
      </c>
      <c r="B3119" s="1">
        <v>45803</v>
      </c>
      <c r="C3119">
        <f>YEAR(OrdersTable[[#This Row],[Order Date]])</f>
        <v>2025</v>
      </c>
      <c r="D3119" s="2">
        <f>DATE(YEAR(OrdersTable[[#This Row],[Order Date]]),MONTH(OrdersTable[[#This Row],[Order Date]]),1)</f>
        <v>45778</v>
      </c>
      <c r="E3119">
        <f>MONTH(OrdersTable[[#This Row],[Order Date]])</f>
        <v>5</v>
      </c>
      <c r="F3119" t="s">
        <v>995</v>
      </c>
      <c r="G3119" t="str">
        <f>IF(OrdersTable[[#This Row],[Order Date]]=_xlfn.MINIFS(Order_Date, Customer_ID, OrdersTable[[#This Row],[Customer ID]]), "New", "Repeat")</f>
        <v>Repeat</v>
      </c>
      <c r="H3119" t="s">
        <v>167</v>
      </c>
      <c r="I3119" t="str">
        <f>INDEX(State!B:B,MATCH(OrdersTable[[#This Row],[State]],State!A:A,0))</f>
        <v>KA</v>
      </c>
      <c r="J3119" t="str">
        <f>INDEX(State!C:C,MATCH(OrdersTable[[#This Row],[State Code]],State!B:B,0))</f>
        <v>South</v>
      </c>
      <c r="K3119" t="s">
        <v>190</v>
      </c>
      <c r="L3119" t="s">
        <v>65</v>
      </c>
      <c r="M3119" t="s">
        <v>148</v>
      </c>
      <c r="N3119" t="str">
        <f>INDEX(Products!B:B,MATCH(OrdersTable[[#This Row],[Product ID]],Products!A:A,0))</f>
        <v>Smartwatch Strap</v>
      </c>
      <c r="O3119" t="str">
        <f>INDEX(Products!C:C,MATCH(OrdersTable[[#This Row],[Product ID]],Products!A:A,0))</f>
        <v>Electronics</v>
      </c>
      <c r="P3119">
        <v>1</v>
      </c>
      <c r="Q3119" s="5">
        <v>499</v>
      </c>
      <c r="R3119" s="74">
        <v>0.15</v>
      </c>
      <c r="S3119" s="75">
        <f>OrdersTable[[#This Row],[Quantity]]*OrdersTable[[#This Row],[Unit Price]]</f>
        <v>499</v>
      </c>
      <c r="T3119" s="5">
        <f>OrdersTable[[#This Row],[Gross Sale]]*OrdersTable[[#This Row],[Discount_Clean2]]</f>
        <v>74.849999999999994</v>
      </c>
      <c r="U3119" s="5">
        <f>OrdersTable[[#This Row],[Gross Sale]]-OrdersTable[[#This Row],[Discount Amount]]</f>
        <v>424.15</v>
      </c>
      <c r="V3119" s="77">
        <f>INDEX(Products!E:E,MATCH(OrdersTable[[#This Row],[Product ID]],Products!A:A,0))</f>
        <v>200</v>
      </c>
      <c r="W3119" s="77">
        <f>OrdersTable[[#This Row],[Quantity]]*OrdersTable[[#This Row],[Unit Cost]]</f>
        <v>200</v>
      </c>
      <c r="X3119" s="77">
        <f>'Dropdown Lists'!$I$2*(1+OrdersTable[[#This Row],[Returned]])</f>
        <v>60</v>
      </c>
      <c r="Y3119" s="76">
        <f>OrdersTable[[#This Row],[Net Revenue]]-OrdersTable[[#This Row],[COGS]]-OrdersTable[[#This Row],[Shipping Cost]]</f>
        <v>164.14999999999998</v>
      </c>
      <c r="Z3119" s="78">
        <f>IFERROR(OrdersTable[[#This Row],[Profit]]/OrdersTable[[#This Row],[Net Revenue]],0)</f>
        <v>0.38700931274313327</v>
      </c>
      <c r="AA3119" t="s">
        <v>18</v>
      </c>
      <c r="AB3119" s="79">
        <v>45806</v>
      </c>
      <c r="AC3119">
        <f>OrdersTable[[#This Row],[Delivery Date]]-OrdersTable[[#This Row],[Order Date]]</f>
        <v>3</v>
      </c>
      <c r="AD3119" t="str">
        <f>IF(OrdersTable[[#This Row],[Delivery Days]]&lt;=2, "Express (≤2d)", IF(OrdersTable[[#This Row],[Delivery Days]]&lt;=4, "Standard (3-4d)", "Delayed (5d+)"))</f>
        <v>Standard (3-4d)</v>
      </c>
      <c r="AE3119">
        <v>4</v>
      </c>
      <c r="AF3119">
        <v>0</v>
      </c>
    </row>
    <row r="3120" spans="1:32" ht="15" x14ac:dyDescent="0.35">
      <c r="A3120" t="s">
        <v>7010</v>
      </c>
      <c r="B3120" s="1">
        <v>45803</v>
      </c>
      <c r="C3120">
        <f>YEAR(OrdersTable[[#This Row],[Order Date]])</f>
        <v>2025</v>
      </c>
      <c r="D3120" s="2">
        <f>DATE(YEAR(OrdersTable[[#This Row],[Order Date]]),MONTH(OrdersTable[[#This Row],[Order Date]]),1)</f>
        <v>45778</v>
      </c>
      <c r="E3120">
        <f>MONTH(OrdersTable[[#This Row],[Order Date]])</f>
        <v>5</v>
      </c>
      <c r="F3120" t="s">
        <v>3979</v>
      </c>
      <c r="G3120" t="str">
        <f>IF(OrdersTable[[#This Row],[Order Date]]=_xlfn.MINIFS(Order_Date, Customer_ID, OrdersTable[[#This Row],[Customer ID]]), "New", "Repeat")</f>
        <v>Repeat</v>
      </c>
      <c r="H3120" t="s">
        <v>59</v>
      </c>
      <c r="I3120" t="str">
        <f>INDEX(State!B:B,MATCH(OrdersTable[[#This Row],[State]],State!A:A,0))</f>
        <v>TN</v>
      </c>
      <c r="J3120" t="str">
        <f>INDEX(State!C:C,MATCH(OrdersTable[[#This Row],[State Code]],State!B:B,0))</f>
        <v>South</v>
      </c>
      <c r="K3120" t="s">
        <v>60</v>
      </c>
      <c r="L3120" t="s">
        <v>16</v>
      </c>
      <c r="M3120" t="s">
        <v>34</v>
      </c>
      <c r="N3120" t="str">
        <f>INDEX(Products!B:B,MATCH(OrdersTable[[#This Row],[Product ID]],Products!A:A,0))</f>
        <v>Flip Flops</v>
      </c>
      <c r="O3120" t="str">
        <f>INDEX(Products!C:C,MATCH(OrdersTable[[#This Row],[Product ID]],Products!A:A,0))</f>
        <v>Footwear</v>
      </c>
      <c r="P3120">
        <v>4</v>
      </c>
      <c r="Q3120" s="5">
        <v>399</v>
      </c>
      <c r="R3120" s="74">
        <v>0.2</v>
      </c>
      <c r="S3120" s="75">
        <f>OrdersTable[[#This Row],[Quantity]]*OrdersTable[[#This Row],[Unit Price]]</f>
        <v>1596</v>
      </c>
      <c r="T3120" s="5">
        <f>OrdersTable[[#This Row],[Gross Sale]]*OrdersTable[[#This Row],[Discount_Clean2]]</f>
        <v>319.20000000000005</v>
      </c>
      <c r="U3120" s="5">
        <f>OrdersTable[[#This Row],[Gross Sale]]-OrdersTable[[#This Row],[Discount Amount]]</f>
        <v>1276.8</v>
      </c>
      <c r="V3120" s="77">
        <f>INDEX(Products!E:E,MATCH(OrdersTable[[#This Row],[Product ID]],Products!A:A,0))</f>
        <v>152</v>
      </c>
      <c r="W3120" s="77">
        <f>OrdersTable[[#This Row],[Quantity]]*OrdersTable[[#This Row],[Unit Cost]]</f>
        <v>608</v>
      </c>
      <c r="X3120" s="77">
        <f>'Dropdown Lists'!$I$2*(1+OrdersTable[[#This Row],[Returned]])</f>
        <v>60</v>
      </c>
      <c r="Y3120" s="76">
        <f>OrdersTable[[#This Row],[Net Revenue]]-OrdersTable[[#This Row],[COGS]]-OrdersTable[[#This Row],[Shipping Cost]]</f>
        <v>608.79999999999995</v>
      </c>
      <c r="Z3120" s="78">
        <f>IFERROR(OrdersTable[[#This Row],[Profit]]/OrdersTable[[#This Row],[Net Revenue]],0)</f>
        <v>0.47681704260651625</v>
      </c>
      <c r="AA3120" t="s">
        <v>2522</v>
      </c>
      <c r="AB3120" s="79">
        <v>45805</v>
      </c>
      <c r="AC3120">
        <f>OrdersTable[[#This Row],[Delivery Date]]-OrdersTable[[#This Row],[Order Date]]</f>
        <v>2</v>
      </c>
      <c r="AD3120" t="str">
        <f>IF(OrdersTable[[#This Row],[Delivery Days]]&lt;=2, "Express (≤2d)", IF(OrdersTable[[#This Row],[Delivery Days]]&lt;=4, "Standard (3-4d)", "Delayed (5d+)"))</f>
        <v>Express (≤2d)</v>
      </c>
      <c r="AE3120">
        <v>4</v>
      </c>
      <c r="AF3120">
        <v>0</v>
      </c>
    </row>
    <row r="3121" spans="1:32" ht="15" x14ac:dyDescent="0.35">
      <c r="A3121" t="s">
        <v>618</v>
      </c>
      <c r="B3121" s="1">
        <v>45804</v>
      </c>
      <c r="C3121">
        <f>YEAR(OrdersTable[[#This Row],[Order Date]])</f>
        <v>2025</v>
      </c>
      <c r="D3121" s="2">
        <f>DATE(YEAR(OrdersTable[[#This Row],[Order Date]]),MONTH(OrdersTable[[#This Row],[Order Date]]),1)</f>
        <v>45778</v>
      </c>
      <c r="E3121">
        <f>MONTH(OrdersTable[[#This Row],[Order Date]])</f>
        <v>5</v>
      </c>
      <c r="F3121" t="s">
        <v>619</v>
      </c>
      <c r="G3121" t="str">
        <f>IF(OrdersTable[[#This Row],[Order Date]]=_xlfn.MINIFS(Order_Date, Customer_ID, OrdersTable[[#This Row],[Customer ID]]), "New", "Repeat")</f>
        <v>New</v>
      </c>
      <c r="H3121" t="s">
        <v>76</v>
      </c>
      <c r="I3121" t="str">
        <f>INDEX(State!B:B,MATCH(OrdersTable[[#This Row],[State]],State!A:A,0))</f>
        <v>UP</v>
      </c>
      <c r="J3121" t="str">
        <f>INDEX(State!C:C,MATCH(OrdersTable[[#This Row],[State Code]],State!B:B,0))</f>
        <v>North</v>
      </c>
      <c r="K3121" t="s">
        <v>118</v>
      </c>
      <c r="L3121" t="s">
        <v>39</v>
      </c>
      <c r="M3121" t="s">
        <v>125</v>
      </c>
      <c r="N3121" t="str">
        <f>INDEX(Products!B:B,MATCH(OrdersTable[[#This Row],[Product ID]],Products!A:A,0))</f>
        <v>Copper Water Bottle</v>
      </c>
      <c r="O3121" t="str">
        <f>INDEX(Products!C:C,MATCH(OrdersTable[[#This Row],[Product ID]],Products!A:A,0))</f>
        <v>Home &amp; Kitchen</v>
      </c>
      <c r="P3121">
        <v>1</v>
      </c>
      <c r="Q3121" s="5">
        <v>899</v>
      </c>
      <c r="R3121" s="74">
        <v>0</v>
      </c>
      <c r="S3121" s="75">
        <f>OrdersTable[[#This Row],[Quantity]]*OrdersTable[[#This Row],[Unit Price]]</f>
        <v>899</v>
      </c>
      <c r="T3121" s="5">
        <f>OrdersTable[[#This Row],[Gross Sale]]*OrdersTable[[#This Row],[Discount_Clean2]]</f>
        <v>0</v>
      </c>
      <c r="U3121" s="5">
        <f>OrdersTable[[#This Row],[Gross Sale]]-OrdersTable[[#This Row],[Discount Amount]]</f>
        <v>899</v>
      </c>
      <c r="V3121" s="77">
        <f>INDEX(Products!E:E,MATCH(OrdersTable[[#This Row],[Product ID]],Products!A:A,0))</f>
        <v>378</v>
      </c>
      <c r="W3121" s="77">
        <f>OrdersTable[[#This Row],[Quantity]]*OrdersTable[[#This Row],[Unit Cost]]</f>
        <v>378</v>
      </c>
      <c r="X3121" s="77">
        <f>'Dropdown Lists'!$I$2*(1+OrdersTable[[#This Row],[Returned]])</f>
        <v>60</v>
      </c>
      <c r="Y3121" s="76">
        <f>OrdersTable[[#This Row],[Net Revenue]]-OrdersTable[[#This Row],[COGS]]-OrdersTable[[#This Row],[Shipping Cost]]</f>
        <v>461</v>
      </c>
      <c r="Z3121" s="78">
        <f>IFERROR(OrdersTable[[#This Row],[Profit]]/OrdersTable[[#This Row],[Net Revenue]],0)</f>
        <v>0.51279199110122353</v>
      </c>
      <c r="AA3121" t="s">
        <v>18</v>
      </c>
      <c r="AB3121" s="79">
        <v>45808</v>
      </c>
      <c r="AC3121">
        <f>OrdersTable[[#This Row],[Delivery Date]]-OrdersTable[[#This Row],[Order Date]]</f>
        <v>4</v>
      </c>
      <c r="AD3121" t="str">
        <f>IF(OrdersTable[[#This Row],[Delivery Days]]&lt;=2, "Express (≤2d)", IF(OrdersTable[[#This Row],[Delivery Days]]&lt;=4, "Standard (3-4d)", "Delayed (5d+)"))</f>
        <v>Standard (3-4d)</v>
      </c>
      <c r="AE3121">
        <v>4</v>
      </c>
      <c r="AF3121">
        <v>0</v>
      </c>
    </row>
    <row r="3122" spans="1:32" ht="15" x14ac:dyDescent="0.35">
      <c r="A3122" t="s">
        <v>1564</v>
      </c>
      <c r="B3122" s="1">
        <v>45804</v>
      </c>
      <c r="C3122">
        <f>YEAR(OrdersTable[[#This Row],[Order Date]])</f>
        <v>2025</v>
      </c>
      <c r="D3122" s="2">
        <f>DATE(YEAR(OrdersTable[[#This Row],[Order Date]]),MONTH(OrdersTable[[#This Row],[Order Date]]),1)</f>
        <v>45778</v>
      </c>
      <c r="E3122">
        <f>MONTH(OrdersTable[[#This Row],[Order Date]])</f>
        <v>5</v>
      </c>
      <c r="F3122" t="s">
        <v>1565</v>
      </c>
      <c r="G3122" t="str">
        <f>IF(OrdersTable[[#This Row],[Order Date]]=_xlfn.MINIFS(Order_Date, Customer_ID, OrdersTable[[#This Row],[Customer ID]]), "New", "Repeat")</f>
        <v>New</v>
      </c>
      <c r="H3122" t="s">
        <v>123</v>
      </c>
      <c r="I3122" t="str">
        <f>INDEX(State!B:B,MATCH(OrdersTable[[#This Row],[State]],State!A:A,0))</f>
        <v>JH</v>
      </c>
      <c r="J3122" t="str">
        <f>INDEX(State!C:C,MATCH(OrdersTable[[#This Row],[State Code]],State!B:B,0))</f>
        <v>East</v>
      </c>
      <c r="K3122" t="s">
        <v>124</v>
      </c>
      <c r="L3122" t="s">
        <v>39</v>
      </c>
      <c r="M3122" t="s">
        <v>61</v>
      </c>
      <c r="N3122" t="str">
        <f>INDEX(Products!B:B,MATCH(OrdersTable[[#This Row],[Product ID]],Products!A:A,0))</f>
        <v>Multivitamin Gummies</v>
      </c>
      <c r="O3122" t="str">
        <f>INDEX(Products!C:C,MATCH(OrdersTable[[#This Row],[Product ID]],Products!A:A,0))</f>
        <v>Wellness</v>
      </c>
      <c r="P3122">
        <v>1</v>
      </c>
      <c r="Q3122" s="5">
        <v>699</v>
      </c>
      <c r="R3122" s="74">
        <v>0.15</v>
      </c>
      <c r="S3122" s="75">
        <f>OrdersTable[[#This Row],[Quantity]]*OrdersTable[[#This Row],[Unit Price]]</f>
        <v>699</v>
      </c>
      <c r="T3122" s="5">
        <f>OrdersTable[[#This Row],[Gross Sale]]*OrdersTable[[#This Row],[Discount_Clean2]]</f>
        <v>104.85</v>
      </c>
      <c r="U3122" s="5">
        <f>OrdersTable[[#This Row],[Gross Sale]]-OrdersTable[[#This Row],[Discount Amount]]</f>
        <v>594.15</v>
      </c>
      <c r="V3122" s="77">
        <f>INDEX(Products!E:E,MATCH(OrdersTable[[#This Row],[Product ID]],Products!A:A,0))</f>
        <v>238</v>
      </c>
      <c r="W3122" s="77">
        <f>OrdersTable[[#This Row],[Quantity]]*OrdersTable[[#This Row],[Unit Cost]]</f>
        <v>238</v>
      </c>
      <c r="X3122" s="77">
        <f>'Dropdown Lists'!$I$2*(1+OrdersTable[[#This Row],[Returned]])</f>
        <v>60</v>
      </c>
      <c r="Y3122" s="76">
        <f>OrdersTable[[#This Row],[Net Revenue]]-OrdersTable[[#This Row],[COGS]]-OrdersTable[[#This Row],[Shipping Cost]]</f>
        <v>296.14999999999998</v>
      </c>
      <c r="Z3122" s="78">
        <f>IFERROR(OrdersTable[[#This Row],[Profit]]/OrdersTable[[#This Row],[Net Revenue]],0)</f>
        <v>0.49844315408566858</v>
      </c>
      <c r="AA3122" t="s">
        <v>18</v>
      </c>
      <c r="AB3122" s="79">
        <v>45809</v>
      </c>
      <c r="AC3122">
        <f>OrdersTable[[#This Row],[Delivery Date]]-OrdersTable[[#This Row],[Order Date]]</f>
        <v>5</v>
      </c>
      <c r="AD3122" t="str">
        <f>IF(OrdersTable[[#This Row],[Delivery Days]]&lt;=2, "Express (≤2d)", IF(OrdersTable[[#This Row],[Delivery Days]]&lt;=4, "Standard (3-4d)", "Delayed (5d+)"))</f>
        <v>Delayed (5d+)</v>
      </c>
      <c r="AF3122">
        <v>0</v>
      </c>
    </row>
    <row r="3123" spans="1:32" ht="15" x14ac:dyDescent="0.35">
      <c r="A3123" t="s">
        <v>2627</v>
      </c>
      <c r="B3123" s="1">
        <v>45804</v>
      </c>
      <c r="C3123">
        <f>YEAR(OrdersTable[[#This Row],[Order Date]])</f>
        <v>2025</v>
      </c>
      <c r="D3123" s="2">
        <f>DATE(YEAR(OrdersTable[[#This Row],[Order Date]]),MONTH(OrdersTable[[#This Row],[Order Date]]),1)</f>
        <v>45778</v>
      </c>
      <c r="E3123">
        <f>MONTH(OrdersTable[[#This Row],[Order Date]])</f>
        <v>5</v>
      </c>
      <c r="F3123" t="s">
        <v>2628</v>
      </c>
      <c r="G3123" t="str">
        <f>IF(OrdersTable[[#This Row],[Order Date]]=_xlfn.MINIFS(Order_Date, Customer_ID, OrdersTable[[#This Row],[Customer ID]]), "New", "Repeat")</f>
        <v>New</v>
      </c>
      <c r="H3123" t="s">
        <v>71</v>
      </c>
      <c r="I3123" t="str">
        <f>INDEX(State!B:B,MATCH(OrdersTable[[#This Row],[State]],State!A:A,0))</f>
        <v>MH</v>
      </c>
      <c r="J3123" t="str">
        <f>INDEX(State!C:C,MATCH(OrdersTable[[#This Row],[State Code]],State!B:B,0))</f>
        <v>West</v>
      </c>
      <c r="K3123" t="s">
        <v>102</v>
      </c>
      <c r="L3123" t="s">
        <v>65</v>
      </c>
      <c r="M3123" t="s">
        <v>148</v>
      </c>
      <c r="N3123" t="str">
        <f>INDEX(Products!B:B,MATCH(OrdersTable[[#This Row],[Product ID]],Products!A:A,0))</f>
        <v>Smartwatch Strap</v>
      </c>
      <c r="O3123" t="str">
        <f>INDEX(Products!C:C,MATCH(OrdersTable[[#This Row],[Product ID]],Products!A:A,0))</f>
        <v>Electronics</v>
      </c>
      <c r="P3123">
        <v>1</v>
      </c>
      <c r="Q3123" s="5">
        <v>499</v>
      </c>
      <c r="R3123" s="74">
        <v>0.15</v>
      </c>
      <c r="S3123" s="75">
        <f>OrdersTable[[#This Row],[Quantity]]*OrdersTable[[#This Row],[Unit Price]]</f>
        <v>499</v>
      </c>
      <c r="T3123" s="5">
        <f>OrdersTable[[#This Row],[Gross Sale]]*OrdersTable[[#This Row],[Discount_Clean2]]</f>
        <v>74.849999999999994</v>
      </c>
      <c r="U3123" s="5">
        <f>OrdersTable[[#This Row],[Gross Sale]]-OrdersTable[[#This Row],[Discount Amount]]</f>
        <v>424.15</v>
      </c>
      <c r="V3123" s="77">
        <f>INDEX(Products!E:E,MATCH(OrdersTable[[#This Row],[Product ID]],Products!A:A,0))</f>
        <v>200</v>
      </c>
      <c r="W3123" s="77">
        <f>OrdersTable[[#This Row],[Quantity]]*OrdersTable[[#This Row],[Unit Cost]]</f>
        <v>200</v>
      </c>
      <c r="X3123" s="77">
        <f>'Dropdown Lists'!$I$2*(1+OrdersTable[[#This Row],[Returned]])</f>
        <v>60</v>
      </c>
      <c r="Y3123" s="76">
        <f>OrdersTable[[#This Row],[Net Revenue]]-OrdersTable[[#This Row],[COGS]]-OrdersTable[[#This Row],[Shipping Cost]]</f>
        <v>164.14999999999998</v>
      </c>
      <c r="Z3123" s="78">
        <f>IFERROR(OrdersTable[[#This Row],[Profit]]/OrdersTable[[#This Row],[Net Revenue]],0)</f>
        <v>0.38700931274313327</v>
      </c>
      <c r="AA3123" t="s">
        <v>2522</v>
      </c>
      <c r="AB3123" s="79">
        <v>45806</v>
      </c>
      <c r="AC3123">
        <f>OrdersTable[[#This Row],[Delivery Date]]-OrdersTable[[#This Row],[Order Date]]</f>
        <v>2</v>
      </c>
      <c r="AD3123" t="str">
        <f>IF(OrdersTable[[#This Row],[Delivery Days]]&lt;=2, "Express (≤2d)", IF(OrdersTable[[#This Row],[Delivery Days]]&lt;=4, "Standard (3-4d)", "Delayed (5d+)"))</f>
        <v>Express (≤2d)</v>
      </c>
      <c r="AE3123">
        <v>5</v>
      </c>
      <c r="AF3123">
        <v>0</v>
      </c>
    </row>
    <row r="3124" spans="1:32" ht="15" x14ac:dyDescent="0.35">
      <c r="A3124" t="s">
        <v>620</v>
      </c>
      <c r="B3124" s="1">
        <v>45804</v>
      </c>
      <c r="C3124">
        <f>YEAR(OrdersTable[[#This Row],[Order Date]])</f>
        <v>2025</v>
      </c>
      <c r="D3124" s="2">
        <f>DATE(YEAR(OrdersTable[[#This Row],[Order Date]]),MONTH(OrdersTable[[#This Row],[Order Date]]),1)</f>
        <v>45778</v>
      </c>
      <c r="E3124">
        <f>MONTH(OrdersTable[[#This Row],[Order Date]])</f>
        <v>5</v>
      </c>
      <c r="F3124" t="s">
        <v>621</v>
      </c>
      <c r="G3124" t="str">
        <f>IF(OrdersTable[[#This Row],[Order Date]]=_xlfn.MINIFS(Order_Date, Customer_ID, OrdersTable[[#This Row],[Customer ID]]), "New", "Repeat")</f>
        <v>Repeat</v>
      </c>
      <c r="H3124" t="s">
        <v>167</v>
      </c>
      <c r="I3124" t="str">
        <f>INDEX(State!B:B,MATCH(OrdersTable[[#This Row],[State]],State!A:A,0))</f>
        <v>KA</v>
      </c>
      <c r="J3124" t="str">
        <f>INDEX(State!C:C,MATCH(OrdersTable[[#This Row],[State Code]],State!B:B,0))</f>
        <v>South</v>
      </c>
      <c r="K3124" t="s">
        <v>190</v>
      </c>
      <c r="L3124" t="s">
        <v>23</v>
      </c>
      <c r="M3124" t="s">
        <v>73</v>
      </c>
      <c r="N3124" t="str">
        <f>INDEX(Products!B:B,MATCH(OrdersTable[[#This Row],[Product ID]],Products!A:A,0))</f>
        <v>Hydrating Face Wash</v>
      </c>
      <c r="O3124" t="str">
        <f>INDEX(Products!C:C,MATCH(OrdersTable[[#This Row],[Product ID]],Products!A:A,0))</f>
        <v>Skincare</v>
      </c>
      <c r="P3124">
        <v>1</v>
      </c>
      <c r="Q3124" s="5">
        <v>299</v>
      </c>
      <c r="R3124" s="74">
        <v>0.05</v>
      </c>
      <c r="S3124" s="75">
        <f>OrdersTable[[#This Row],[Quantity]]*OrdersTable[[#This Row],[Unit Price]]</f>
        <v>299</v>
      </c>
      <c r="T3124" s="5">
        <f>OrdersTable[[#This Row],[Gross Sale]]*OrdersTable[[#This Row],[Discount_Clean2]]</f>
        <v>14.950000000000001</v>
      </c>
      <c r="U3124" s="5">
        <f>OrdersTable[[#This Row],[Gross Sale]]-OrdersTable[[#This Row],[Discount Amount]]</f>
        <v>284.05</v>
      </c>
      <c r="V3124" s="77">
        <f>INDEX(Products!E:E,MATCH(OrdersTable[[#This Row],[Product ID]],Products!A:A,0))</f>
        <v>90</v>
      </c>
      <c r="W3124" s="77">
        <f>OrdersTable[[#This Row],[Quantity]]*OrdersTable[[#This Row],[Unit Cost]]</f>
        <v>90</v>
      </c>
      <c r="X3124" s="77">
        <f>'Dropdown Lists'!$I$2*(1+OrdersTable[[#This Row],[Returned]])</f>
        <v>60</v>
      </c>
      <c r="Y3124" s="76">
        <f>OrdersTable[[#This Row],[Net Revenue]]-OrdersTable[[#This Row],[COGS]]-OrdersTable[[#This Row],[Shipping Cost]]</f>
        <v>134.05000000000001</v>
      </c>
      <c r="Z3124" s="78">
        <f>IFERROR(OrdersTable[[#This Row],[Profit]]/OrdersTable[[#This Row],[Net Revenue]],0)</f>
        <v>0.47192395704981521</v>
      </c>
      <c r="AA3124" t="s">
        <v>18</v>
      </c>
      <c r="AB3124" s="79">
        <v>45806</v>
      </c>
      <c r="AC3124">
        <f>OrdersTable[[#This Row],[Delivery Date]]-OrdersTable[[#This Row],[Order Date]]</f>
        <v>2</v>
      </c>
      <c r="AD3124" t="str">
        <f>IF(OrdersTable[[#This Row],[Delivery Days]]&lt;=2, "Express (≤2d)", IF(OrdersTable[[#This Row],[Delivery Days]]&lt;=4, "Standard (3-4d)", "Delayed (5d+)"))</f>
        <v>Express (≤2d)</v>
      </c>
      <c r="AE3124">
        <v>4</v>
      </c>
      <c r="AF3124">
        <v>0</v>
      </c>
    </row>
    <row r="3125" spans="1:32" ht="15" x14ac:dyDescent="0.35">
      <c r="A3125" t="s">
        <v>4610</v>
      </c>
      <c r="B3125" s="1">
        <v>45805</v>
      </c>
      <c r="C3125">
        <f>YEAR(OrdersTable[[#This Row],[Order Date]])</f>
        <v>2025</v>
      </c>
      <c r="D3125" s="2">
        <f>DATE(YEAR(OrdersTable[[#This Row],[Order Date]]),MONTH(OrdersTable[[#This Row],[Order Date]]),1)</f>
        <v>45778</v>
      </c>
      <c r="E3125">
        <f>MONTH(OrdersTable[[#This Row],[Order Date]])</f>
        <v>5</v>
      </c>
      <c r="F3125" t="s">
        <v>4611</v>
      </c>
      <c r="G3125" t="str">
        <f>IF(OrdersTable[[#This Row],[Order Date]]=_xlfn.MINIFS(Order_Date, Customer_ID, OrdersTable[[#This Row],[Customer ID]]), "New", "Repeat")</f>
        <v>New</v>
      </c>
      <c r="H3125" t="s">
        <v>54</v>
      </c>
      <c r="I3125" t="str">
        <f>INDEX(State!B:B,MATCH(OrdersTable[[#This Row],[State]],State!A:A,0))</f>
        <v>RJ</v>
      </c>
      <c r="J3125" t="str">
        <f>INDEX(State!C:C,MATCH(OrdersTable[[#This Row],[State Code]],State!B:B,0))</f>
        <v>North</v>
      </c>
      <c r="K3125" t="s">
        <v>227</v>
      </c>
      <c r="L3125" t="s">
        <v>50</v>
      </c>
      <c r="M3125" t="s">
        <v>40</v>
      </c>
      <c r="N3125" t="str">
        <f>INDEX(Products!B:B,MATCH(OrdersTable[[#This Row],[Product ID]],Products!A:A,0))</f>
        <v>Ashwagandha Capsules</v>
      </c>
      <c r="O3125" t="str">
        <f>INDEX(Products!C:C,MATCH(OrdersTable[[#This Row],[Product ID]],Products!A:A,0))</f>
        <v>Wellness</v>
      </c>
      <c r="P3125">
        <v>1</v>
      </c>
      <c r="Q3125" s="5">
        <v>499</v>
      </c>
      <c r="R3125" s="74">
        <v>0.1</v>
      </c>
      <c r="S3125" s="75">
        <f>OrdersTable[[#This Row],[Quantity]]*OrdersTable[[#This Row],[Unit Price]]</f>
        <v>499</v>
      </c>
      <c r="T3125" s="5">
        <f>OrdersTable[[#This Row],[Gross Sale]]*OrdersTable[[#This Row],[Discount_Clean2]]</f>
        <v>49.900000000000006</v>
      </c>
      <c r="U3125" s="5">
        <f>OrdersTable[[#This Row],[Gross Sale]]-OrdersTable[[#This Row],[Discount Amount]]</f>
        <v>449.1</v>
      </c>
      <c r="V3125" s="77">
        <f>INDEX(Products!E:E,MATCH(OrdersTable[[#This Row],[Product ID]],Products!A:A,0))</f>
        <v>150</v>
      </c>
      <c r="W3125" s="77">
        <f>OrdersTable[[#This Row],[Quantity]]*OrdersTable[[#This Row],[Unit Cost]]</f>
        <v>150</v>
      </c>
      <c r="X3125" s="77">
        <f>'Dropdown Lists'!$I$2*(1+OrdersTable[[#This Row],[Returned]])</f>
        <v>60</v>
      </c>
      <c r="Y3125" s="76">
        <f>OrdersTable[[#This Row],[Net Revenue]]-OrdersTable[[#This Row],[COGS]]-OrdersTable[[#This Row],[Shipping Cost]]</f>
        <v>239.10000000000002</v>
      </c>
      <c r="Z3125" s="78">
        <f>IFERROR(OrdersTable[[#This Row],[Profit]]/OrdersTable[[#This Row],[Net Revenue]],0)</f>
        <v>0.53239812959251842</v>
      </c>
      <c r="AA3125" t="s">
        <v>4450</v>
      </c>
      <c r="AB3125" s="79">
        <v>45808</v>
      </c>
      <c r="AC3125">
        <f>OrdersTable[[#This Row],[Delivery Date]]-OrdersTable[[#This Row],[Order Date]]</f>
        <v>3</v>
      </c>
      <c r="AD3125" t="str">
        <f>IF(OrdersTable[[#This Row],[Delivery Days]]&lt;=2, "Express (≤2d)", IF(OrdersTable[[#This Row],[Delivery Days]]&lt;=4, "Standard (3-4d)", "Delayed (5d+)"))</f>
        <v>Standard (3-4d)</v>
      </c>
      <c r="AF3125">
        <v>0</v>
      </c>
    </row>
    <row r="3126" spans="1:32" ht="15" x14ac:dyDescent="0.35">
      <c r="A3126" t="s">
        <v>2629</v>
      </c>
      <c r="B3126" s="1">
        <v>45805</v>
      </c>
      <c r="C3126">
        <f>YEAR(OrdersTable[[#This Row],[Order Date]])</f>
        <v>2025</v>
      </c>
      <c r="D3126" s="2">
        <f>DATE(YEAR(OrdersTable[[#This Row],[Order Date]]),MONTH(OrdersTable[[#This Row],[Order Date]]),1)</f>
        <v>45778</v>
      </c>
      <c r="E3126">
        <f>MONTH(OrdersTable[[#This Row],[Order Date]])</f>
        <v>5</v>
      </c>
      <c r="F3126" t="s">
        <v>2630</v>
      </c>
      <c r="G3126" t="str">
        <f>IF(OrdersTable[[#This Row],[Order Date]]=_xlfn.MINIFS(Order_Date, Customer_ID, OrdersTable[[#This Row],[Customer ID]]), "New", "Repeat")</f>
        <v>New</v>
      </c>
      <c r="H3126" t="s">
        <v>167</v>
      </c>
      <c r="I3126" t="str">
        <f>INDEX(State!B:B,MATCH(OrdersTable[[#This Row],[State]],State!A:A,0))</f>
        <v>KA</v>
      </c>
      <c r="J3126" t="str">
        <f>INDEX(State!C:C,MATCH(OrdersTable[[#This Row],[State Code]],State!B:B,0))</f>
        <v>South</v>
      </c>
      <c r="K3126" t="s">
        <v>190</v>
      </c>
      <c r="L3126" t="s">
        <v>39</v>
      </c>
      <c r="M3126" t="s">
        <v>84</v>
      </c>
      <c r="N3126" t="str">
        <f>INDEX(Products!B:B,MATCH(OrdersTable[[#This Row],[Product ID]],Products!A:A,0))</f>
        <v>Cotton Bedsheet</v>
      </c>
      <c r="O3126" t="str">
        <f>INDEX(Products!C:C,MATCH(OrdersTable[[#This Row],[Product ID]],Products!A:A,0))</f>
        <v>Home &amp; Kitchen</v>
      </c>
      <c r="P3126">
        <v>1</v>
      </c>
      <c r="Q3126" s="5">
        <v>1299</v>
      </c>
      <c r="R3126" s="74">
        <v>0.05</v>
      </c>
      <c r="S3126" s="75">
        <f>OrdersTable[[#This Row],[Quantity]]*OrdersTable[[#This Row],[Unit Price]]</f>
        <v>1299</v>
      </c>
      <c r="T3126" s="5">
        <f>OrdersTable[[#This Row],[Gross Sale]]*OrdersTable[[#This Row],[Discount_Clean2]]</f>
        <v>64.95</v>
      </c>
      <c r="U3126" s="5">
        <f>OrdersTable[[#This Row],[Gross Sale]]-OrdersTable[[#This Row],[Discount Amount]]</f>
        <v>1234.05</v>
      </c>
      <c r="V3126" s="77">
        <f>INDEX(Products!E:E,MATCH(OrdersTable[[#This Row],[Product ID]],Products!A:A,0))</f>
        <v>585</v>
      </c>
      <c r="W3126" s="77">
        <f>OrdersTable[[#This Row],[Quantity]]*OrdersTable[[#This Row],[Unit Cost]]</f>
        <v>585</v>
      </c>
      <c r="X3126" s="77">
        <f>'Dropdown Lists'!$I$2*(1+OrdersTable[[#This Row],[Returned]])</f>
        <v>60</v>
      </c>
      <c r="Y3126" s="76">
        <f>OrdersTable[[#This Row],[Net Revenue]]-OrdersTable[[#This Row],[COGS]]-OrdersTable[[#This Row],[Shipping Cost]]</f>
        <v>589.04999999999995</v>
      </c>
      <c r="Z3126" s="78">
        <f>IFERROR(OrdersTable[[#This Row],[Profit]]/OrdersTable[[#This Row],[Net Revenue]],0)</f>
        <v>0.47733074024553296</v>
      </c>
      <c r="AA3126" t="s">
        <v>2522</v>
      </c>
      <c r="AB3126" s="79">
        <v>45806</v>
      </c>
      <c r="AC3126">
        <f>OrdersTable[[#This Row],[Delivery Date]]-OrdersTable[[#This Row],[Order Date]]</f>
        <v>1</v>
      </c>
      <c r="AD3126" t="str">
        <f>IF(OrdersTable[[#This Row],[Delivery Days]]&lt;=2, "Express (≤2d)", IF(OrdersTable[[#This Row],[Delivery Days]]&lt;=4, "Standard (3-4d)", "Delayed (5d+)"))</f>
        <v>Express (≤2d)</v>
      </c>
      <c r="AE3126">
        <v>5</v>
      </c>
      <c r="AF3126">
        <v>0</v>
      </c>
    </row>
    <row r="3127" spans="1:32" ht="15" x14ac:dyDescent="0.35">
      <c r="A3127" t="s">
        <v>4032</v>
      </c>
      <c r="B3127" s="1">
        <v>45805</v>
      </c>
      <c r="C3127">
        <f>YEAR(OrdersTable[[#This Row],[Order Date]])</f>
        <v>2025</v>
      </c>
      <c r="D3127" s="2">
        <f>DATE(YEAR(OrdersTable[[#This Row],[Order Date]]),MONTH(OrdersTable[[#This Row],[Order Date]]),1)</f>
        <v>45778</v>
      </c>
      <c r="E3127">
        <f>MONTH(OrdersTable[[#This Row],[Order Date]])</f>
        <v>5</v>
      </c>
      <c r="F3127" t="s">
        <v>1297</v>
      </c>
      <c r="G3127" t="str">
        <f>IF(OrdersTable[[#This Row],[Order Date]]=_xlfn.MINIFS(Order_Date, Customer_ID, OrdersTable[[#This Row],[Customer ID]]), "New", "Repeat")</f>
        <v>Repeat</v>
      </c>
      <c r="H3127" t="s">
        <v>275</v>
      </c>
      <c r="I3127" t="str">
        <f>INDEX(State!B:B,MATCH(OrdersTable[[#This Row],[State]],State!A:A,0))</f>
        <v>AP</v>
      </c>
      <c r="J3127" t="str">
        <f>INDEX(State!C:C,MATCH(OrdersTable[[#This Row],[State Code]],State!B:B,0))</f>
        <v>South</v>
      </c>
      <c r="K3127" t="s">
        <v>276</v>
      </c>
      <c r="L3127" t="s">
        <v>23</v>
      </c>
      <c r="M3127" t="s">
        <v>66</v>
      </c>
      <c r="N3127" t="str">
        <f>INDEX(Products!B:B,MATCH(OrdersTable[[#This Row],[Product ID]],Products!A:A,0))</f>
        <v>Sunscreen SPF 50</v>
      </c>
      <c r="O3127" t="str">
        <f>INDEX(Products!C:C,MATCH(OrdersTable[[#This Row],[Product ID]],Products!A:A,0))</f>
        <v>Skincare</v>
      </c>
      <c r="P3127">
        <v>1</v>
      </c>
      <c r="Q3127" s="5">
        <v>449</v>
      </c>
      <c r="R3127" s="74">
        <v>0.05</v>
      </c>
      <c r="S3127" s="75">
        <f>OrdersTable[[#This Row],[Quantity]]*OrdersTable[[#This Row],[Unit Price]]</f>
        <v>449</v>
      </c>
      <c r="T3127" s="5">
        <f>OrdersTable[[#This Row],[Gross Sale]]*OrdersTable[[#This Row],[Discount_Clean2]]</f>
        <v>22.450000000000003</v>
      </c>
      <c r="U3127" s="5">
        <f>OrdersTable[[#This Row],[Gross Sale]]-OrdersTable[[#This Row],[Discount Amount]]</f>
        <v>426.55</v>
      </c>
      <c r="V3127" s="77">
        <f>INDEX(Products!E:E,MATCH(OrdersTable[[#This Row],[Product ID]],Products!A:A,0))</f>
        <v>144</v>
      </c>
      <c r="W3127" s="77">
        <f>OrdersTable[[#This Row],[Quantity]]*OrdersTable[[#This Row],[Unit Cost]]</f>
        <v>144</v>
      </c>
      <c r="X3127" s="77">
        <f>'Dropdown Lists'!$I$2*(1+OrdersTable[[#This Row],[Returned]])</f>
        <v>60</v>
      </c>
      <c r="Y3127" s="76">
        <f>OrdersTable[[#This Row],[Net Revenue]]-OrdersTable[[#This Row],[COGS]]-OrdersTable[[#This Row],[Shipping Cost]]</f>
        <v>222.55</v>
      </c>
      <c r="Z3127" s="78">
        <f>IFERROR(OrdersTable[[#This Row],[Profit]]/OrdersTable[[#This Row],[Net Revenue]],0)</f>
        <v>0.52174422693705313</v>
      </c>
      <c r="AA3127" t="s">
        <v>3495</v>
      </c>
      <c r="AB3127" s="79">
        <v>45807</v>
      </c>
      <c r="AC3127">
        <f>OrdersTable[[#This Row],[Delivery Date]]-OrdersTable[[#This Row],[Order Date]]</f>
        <v>2</v>
      </c>
      <c r="AD3127" t="str">
        <f>IF(OrdersTable[[#This Row],[Delivery Days]]&lt;=2, "Express (≤2d)", IF(OrdersTable[[#This Row],[Delivery Days]]&lt;=4, "Standard (3-4d)", "Delayed (5d+)"))</f>
        <v>Express (≤2d)</v>
      </c>
      <c r="AE3127">
        <v>5</v>
      </c>
      <c r="AF3127">
        <v>0</v>
      </c>
    </row>
    <row r="3128" spans="1:32" ht="15" x14ac:dyDescent="0.35">
      <c r="A3128" t="s">
        <v>3062</v>
      </c>
      <c r="B3128" s="1">
        <v>45805</v>
      </c>
      <c r="C3128">
        <f>YEAR(OrdersTable[[#This Row],[Order Date]])</f>
        <v>2025</v>
      </c>
      <c r="D3128" s="2">
        <f>DATE(YEAR(OrdersTable[[#This Row],[Order Date]]),MONTH(OrdersTable[[#This Row],[Order Date]]),1)</f>
        <v>45778</v>
      </c>
      <c r="E3128">
        <f>MONTH(OrdersTable[[#This Row],[Order Date]])</f>
        <v>5</v>
      </c>
      <c r="F3128" t="s">
        <v>3063</v>
      </c>
      <c r="G3128" t="str">
        <f>IF(OrdersTable[[#This Row],[Order Date]]=_xlfn.MINIFS(Order_Date, Customer_ID, OrdersTable[[#This Row],[Customer ID]]), "New", "Repeat")</f>
        <v>Repeat</v>
      </c>
      <c r="H3128" t="s">
        <v>316</v>
      </c>
      <c r="I3128" t="str">
        <f>INDEX(State!B:B,MATCH(OrdersTable[[#This Row],[State]],State!A:A,0))</f>
        <v>KL</v>
      </c>
      <c r="J3128" t="str">
        <f>INDEX(State!C:C,MATCH(OrdersTable[[#This Row],[State Code]],State!B:B,0))</f>
        <v>South</v>
      </c>
      <c r="K3128" t="s">
        <v>317</v>
      </c>
      <c r="L3128" t="s">
        <v>23</v>
      </c>
      <c r="M3128" t="s">
        <v>228</v>
      </c>
      <c r="N3128" t="str">
        <f>INDEX(Products!B:B,MATCH(OrdersTable[[#This Row],[Product ID]],Products!A:A,0))</f>
        <v>Fast Charger 33W</v>
      </c>
      <c r="O3128" t="str">
        <f>INDEX(Products!C:C,MATCH(OrdersTable[[#This Row],[Product ID]],Products!A:A,0))</f>
        <v>Electronics</v>
      </c>
      <c r="P3128">
        <v>1</v>
      </c>
      <c r="Q3128" s="5">
        <v>899</v>
      </c>
      <c r="R3128" s="74">
        <v>0.1</v>
      </c>
      <c r="S3128" s="75">
        <f>OrdersTable[[#This Row],[Quantity]]*OrdersTable[[#This Row],[Unit Price]]</f>
        <v>899</v>
      </c>
      <c r="T3128" s="5">
        <f>OrdersTable[[#This Row],[Gross Sale]]*OrdersTable[[#This Row],[Discount_Clean2]]</f>
        <v>89.9</v>
      </c>
      <c r="U3128" s="5">
        <f>OrdersTable[[#This Row],[Gross Sale]]-OrdersTable[[#This Row],[Discount Amount]]</f>
        <v>809.1</v>
      </c>
      <c r="V3128" s="77">
        <f>INDEX(Products!E:E,MATCH(OrdersTable[[#This Row],[Product ID]],Products!A:A,0))</f>
        <v>494</v>
      </c>
      <c r="W3128" s="77">
        <f>OrdersTable[[#This Row],[Quantity]]*OrdersTable[[#This Row],[Unit Cost]]</f>
        <v>494</v>
      </c>
      <c r="X3128" s="77">
        <f>'Dropdown Lists'!$I$2*(1+OrdersTable[[#This Row],[Returned]])</f>
        <v>60</v>
      </c>
      <c r="Y3128" s="76">
        <f>OrdersTable[[#This Row],[Net Revenue]]-OrdersTable[[#This Row],[COGS]]-OrdersTable[[#This Row],[Shipping Cost]]</f>
        <v>255.10000000000002</v>
      </c>
      <c r="Z3128" s="78">
        <f>IFERROR(OrdersTable[[#This Row],[Profit]]/OrdersTable[[#This Row],[Net Revenue]],0)</f>
        <v>0.31528859226300832</v>
      </c>
      <c r="AA3128" t="s">
        <v>2522</v>
      </c>
      <c r="AB3128" s="79">
        <v>45809</v>
      </c>
      <c r="AC3128">
        <f>OrdersTable[[#This Row],[Delivery Date]]-OrdersTable[[#This Row],[Order Date]]</f>
        <v>4</v>
      </c>
      <c r="AD3128" t="str">
        <f>IF(OrdersTable[[#This Row],[Delivery Days]]&lt;=2, "Express (≤2d)", IF(OrdersTable[[#This Row],[Delivery Days]]&lt;=4, "Standard (3-4d)", "Delayed (5d+)"))</f>
        <v>Standard (3-4d)</v>
      </c>
      <c r="AF3128">
        <v>0</v>
      </c>
    </row>
    <row r="3129" spans="1:32" ht="15" x14ac:dyDescent="0.35">
      <c r="A3129" t="s">
        <v>5817</v>
      </c>
      <c r="B3129" s="1">
        <v>45806</v>
      </c>
      <c r="C3129">
        <f>YEAR(OrdersTable[[#This Row],[Order Date]])</f>
        <v>2025</v>
      </c>
      <c r="D3129" s="2">
        <f>DATE(YEAR(OrdersTable[[#This Row],[Order Date]]),MONTH(OrdersTable[[#This Row],[Order Date]]),1)</f>
        <v>45778</v>
      </c>
      <c r="E3129">
        <f>MONTH(OrdersTable[[#This Row],[Order Date]])</f>
        <v>5</v>
      </c>
      <c r="F3129" t="s">
        <v>972</v>
      </c>
      <c r="G3129" t="str">
        <f>IF(OrdersTable[[#This Row],[Order Date]]=_xlfn.MINIFS(Order_Date, Customer_ID, OrdersTable[[#This Row],[Customer ID]]), "New", "Repeat")</f>
        <v>Repeat</v>
      </c>
      <c r="H3129" t="s">
        <v>43</v>
      </c>
      <c r="I3129" t="str">
        <f>INDEX(State!B:B,MATCH(OrdersTable[[#This Row],[State]],State!A:A,0))</f>
        <v>MP</v>
      </c>
      <c r="J3129" t="str">
        <f>INDEX(State!C:C,MATCH(OrdersTable[[#This Row],[State Code]],State!B:B,0))</f>
        <v>West</v>
      </c>
      <c r="K3129" t="s">
        <v>44</v>
      </c>
      <c r="L3129" t="s">
        <v>16</v>
      </c>
      <c r="M3129" t="s">
        <v>87</v>
      </c>
      <c r="N3129" t="str">
        <f>INDEX(Products!B:B,MATCH(OrdersTable[[#This Row],[Product ID]],Products!A:A,0))</f>
        <v>Linen Kurta</v>
      </c>
      <c r="O3129" t="str">
        <f>INDEX(Products!C:C,MATCH(OrdersTable[[#This Row],[Product ID]],Products!A:A,0))</f>
        <v>Apparel</v>
      </c>
      <c r="P3129">
        <v>2</v>
      </c>
      <c r="Q3129" s="5">
        <v>1499</v>
      </c>
      <c r="R3129" s="74">
        <v>0.3</v>
      </c>
      <c r="S3129" s="75">
        <f>OrdersTable[[#This Row],[Quantity]]*OrdersTable[[#This Row],[Unit Price]]</f>
        <v>2998</v>
      </c>
      <c r="T3129" s="5">
        <f>OrdersTable[[#This Row],[Gross Sale]]*OrdersTable[[#This Row],[Discount_Clean2]]</f>
        <v>899.4</v>
      </c>
      <c r="U3129" s="5">
        <f>OrdersTable[[#This Row],[Gross Sale]]-OrdersTable[[#This Row],[Discount Amount]]</f>
        <v>2098.6</v>
      </c>
      <c r="V3129" s="77">
        <f>INDEX(Products!E:E,MATCH(OrdersTable[[#This Row],[Product ID]],Products!A:A,0))</f>
        <v>630</v>
      </c>
      <c r="W3129" s="77">
        <f>OrdersTable[[#This Row],[Quantity]]*OrdersTable[[#This Row],[Unit Cost]]</f>
        <v>1260</v>
      </c>
      <c r="X3129" s="77">
        <f>'Dropdown Lists'!$I$2*(1+OrdersTable[[#This Row],[Returned]])</f>
        <v>60</v>
      </c>
      <c r="Y3129" s="76">
        <f>OrdersTable[[#This Row],[Net Revenue]]-OrdersTable[[#This Row],[COGS]]-OrdersTable[[#This Row],[Shipping Cost]]</f>
        <v>778.59999999999991</v>
      </c>
      <c r="Z3129" s="78">
        <f>IFERROR(OrdersTable[[#This Row],[Profit]]/OrdersTable[[#This Row],[Net Revenue]],0)</f>
        <v>0.3710092442580768</v>
      </c>
      <c r="AA3129" t="s">
        <v>18</v>
      </c>
      <c r="AB3129" s="79">
        <v>45810</v>
      </c>
      <c r="AC3129">
        <f>OrdersTable[[#This Row],[Delivery Date]]-OrdersTable[[#This Row],[Order Date]]</f>
        <v>4</v>
      </c>
      <c r="AD3129" t="str">
        <f>IF(OrdersTable[[#This Row],[Delivery Days]]&lt;=2, "Express (≤2d)", IF(OrdersTable[[#This Row],[Delivery Days]]&lt;=4, "Standard (3-4d)", "Delayed (5d+)"))</f>
        <v>Standard (3-4d)</v>
      </c>
      <c r="AE3129">
        <v>5</v>
      </c>
      <c r="AF3129">
        <v>0</v>
      </c>
    </row>
    <row r="3130" spans="1:32" ht="15" x14ac:dyDescent="0.35">
      <c r="A3130" t="s">
        <v>5949</v>
      </c>
      <c r="B3130" s="1">
        <v>45806</v>
      </c>
      <c r="C3130">
        <f>YEAR(OrdersTable[[#This Row],[Order Date]])</f>
        <v>2025</v>
      </c>
      <c r="D3130" s="2">
        <f>DATE(YEAR(OrdersTable[[#This Row],[Order Date]]),MONTH(OrdersTable[[#This Row],[Order Date]]),1)</f>
        <v>45778</v>
      </c>
      <c r="E3130">
        <f>MONTH(OrdersTable[[#This Row],[Order Date]])</f>
        <v>5</v>
      </c>
      <c r="F3130" t="s">
        <v>825</v>
      </c>
      <c r="G3130" t="str">
        <f>IF(OrdersTable[[#This Row],[Order Date]]=_xlfn.MINIFS(Order_Date, Customer_ID, OrdersTable[[#This Row],[Customer ID]]), "New", "Repeat")</f>
        <v>Repeat</v>
      </c>
      <c r="H3130" t="s">
        <v>123</v>
      </c>
      <c r="I3130" t="str">
        <f>INDEX(State!B:B,MATCH(OrdersTable[[#This Row],[State]],State!A:A,0))</f>
        <v>JH</v>
      </c>
      <c r="J3130" t="str">
        <f>INDEX(State!C:C,MATCH(OrdersTable[[#This Row],[State Code]],State!B:B,0))</f>
        <v>East</v>
      </c>
      <c r="K3130" t="s">
        <v>124</v>
      </c>
      <c r="L3130" t="s">
        <v>65</v>
      </c>
      <c r="M3130" t="s">
        <v>106</v>
      </c>
      <c r="N3130" t="str">
        <f>INDEX(Products!B:B,MATCH(OrdersTable[[#This Row],[Product ID]],Products!A:A,0))</f>
        <v>Keratin Hair Mask</v>
      </c>
      <c r="O3130" t="str">
        <f>INDEX(Products!C:C,MATCH(OrdersTable[[#This Row],[Product ID]],Products!A:A,0))</f>
        <v>Haircare</v>
      </c>
      <c r="P3130">
        <v>2</v>
      </c>
      <c r="Q3130" s="5">
        <v>549</v>
      </c>
      <c r="R3130" s="74">
        <v>0.25</v>
      </c>
      <c r="S3130" s="75">
        <f>OrdersTable[[#This Row],[Quantity]]*OrdersTable[[#This Row],[Unit Price]]</f>
        <v>1098</v>
      </c>
      <c r="T3130" s="5">
        <f>OrdersTable[[#This Row],[Gross Sale]]*OrdersTable[[#This Row],[Discount_Clean2]]</f>
        <v>274.5</v>
      </c>
      <c r="U3130" s="5">
        <f>OrdersTable[[#This Row],[Gross Sale]]-OrdersTable[[#This Row],[Discount Amount]]</f>
        <v>823.5</v>
      </c>
      <c r="V3130" s="77">
        <f>INDEX(Products!E:E,MATCH(OrdersTable[[#This Row],[Product ID]],Products!A:A,0))</f>
        <v>170</v>
      </c>
      <c r="W3130" s="77">
        <f>OrdersTable[[#This Row],[Quantity]]*OrdersTable[[#This Row],[Unit Cost]]</f>
        <v>340</v>
      </c>
      <c r="X3130" s="77">
        <f>'Dropdown Lists'!$I$2*(1+OrdersTable[[#This Row],[Returned]])</f>
        <v>60</v>
      </c>
      <c r="Y3130" s="76">
        <f>OrdersTable[[#This Row],[Net Revenue]]-OrdersTable[[#This Row],[COGS]]-OrdersTable[[#This Row],[Shipping Cost]]</f>
        <v>423.5</v>
      </c>
      <c r="Z3130" s="78">
        <f>IFERROR(OrdersTable[[#This Row],[Profit]]/OrdersTable[[#This Row],[Net Revenue]],0)</f>
        <v>0.51426836672738307</v>
      </c>
      <c r="AA3130" t="s">
        <v>18</v>
      </c>
      <c r="AB3130" s="79">
        <v>45810</v>
      </c>
      <c r="AC3130">
        <f>OrdersTable[[#This Row],[Delivery Date]]-OrdersTable[[#This Row],[Order Date]]</f>
        <v>4</v>
      </c>
      <c r="AD3130" t="str">
        <f>IF(OrdersTable[[#This Row],[Delivery Days]]&lt;=2, "Express (≤2d)", IF(OrdersTable[[#This Row],[Delivery Days]]&lt;=4, "Standard (3-4d)", "Delayed (5d+)"))</f>
        <v>Standard (3-4d)</v>
      </c>
      <c r="AF3130">
        <v>0</v>
      </c>
    </row>
    <row r="3131" spans="1:32" ht="15" x14ac:dyDescent="0.35">
      <c r="A3131" t="s">
        <v>5197</v>
      </c>
      <c r="B3131" s="1">
        <v>45807</v>
      </c>
      <c r="C3131">
        <f>YEAR(OrdersTable[[#This Row],[Order Date]])</f>
        <v>2025</v>
      </c>
      <c r="D3131" s="2">
        <f>DATE(YEAR(OrdersTable[[#This Row],[Order Date]]),MONTH(OrdersTable[[#This Row],[Order Date]]),1)</f>
        <v>45778</v>
      </c>
      <c r="E3131">
        <f>MONTH(OrdersTable[[#This Row],[Order Date]])</f>
        <v>5</v>
      </c>
      <c r="F3131" t="s">
        <v>1159</v>
      </c>
      <c r="G3131" t="str">
        <f>IF(OrdersTable[[#This Row],[Order Date]]=_xlfn.MINIFS(Order_Date, Customer_ID, OrdersTable[[#This Row],[Customer ID]]), "New", "Repeat")</f>
        <v>Repeat</v>
      </c>
      <c r="H3131" t="s">
        <v>76</v>
      </c>
      <c r="I3131" t="str">
        <f>INDEX(State!B:B,MATCH(OrdersTable[[#This Row],[State]],State!A:A,0))</f>
        <v>UP</v>
      </c>
      <c r="J3131" t="str">
        <f>INDEX(State!C:C,MATCH(OrdersTable[[#This Row],[State Code]],State!B:B,0))</f>
        <v>North</v>
      </c>
      <c r="K3131" t="s">
        <v>105</v>
      </c>
      <c r="L3131" t="s">
        <v>65</v>
      </c>
      <c r="M3131" t="s">
        <v>152</v>
      </c>
      <c r="N3131" t="str">
        <f>INDEX(Products!B:B,MATCH(OrdersTable[[#This Row],[Product ID]],Products!A:A,0))</f>
        <v>Green Tea (100 bags)</v>
      </c>
      <c r="O3131" t="str">
        <f>INDEX(Products!C:C,MATCH(OrdersTable[[#This Row],[Product ID]],Products!A:A,0))</f>
        <v>Wellness</v>
      </c>
      <c r="P3131">
        <v>2</v>
      </c>
      <c r="Q3131" s="5">
        <v>399</v>
      </c>
      <c r="R3131" s="74">
        <v>0.35</v>
      </c>
      <c r="S3131" s="75">
        <f>OrdersTable[[#This Row],[Quantity]]*OrdersTable[[#This Row],[Unit Price]]</f>
        <v>798</v>
      </c>
      <c r="T3131" s="5">
        <f>OrdersTable[[#This Row],[Gross Sale]]*OrdersTable[[#This Row],[Discount_Clean2]]</f>
        <v>279.29999999999995</v>
      </c>
      <c r="U3131" s="5">
        <f>OrdersTable[[#This Row],[Gross Sale]]-OrdersTable[[#This Row],[Discount Amount]]</f>
        <v>518.70000000000005</v>
      </c>
      <c r="V3131" s="77">
        <f>INDEX(Products!E:E,MATCH(OrdersTable[[#This Row],[Product ID]],Products!A:A,0))</f>
        <v>128</v>
      </c>
      <c r="W3131" s="77">
        <f>OrdersTable[[#This Row],[Quantity]]*OrdersTable[[#This Row],[Unit Cost]]</f>
        <v>256</v>
      </c>
      <c r="X3131" s="77">
        <f>'Dropdown Lists'!$I$2*(1+OrdersTable[[#This Row],[Returned]])</f>
        <v>60</v>
      </c>
      <c r="Y3131" s="76">
        <f>OrdersTable[[#This Row],[Net Revenue]]-OrdersTable[[#This Row],[COGS]]-OrdersTable[[#This Row],[Shipping Cost]]</f>
        <v>202.70000000000005</v>
      </c>
      <c r="Z3131" s="78">
        <f>IFERROR(OrdersTable[[#This Row],[Profit]]/OrdersTable[[#This Row],[Net Revenue]],0)</f>
        <v>0.39078465394254874</v>
      </c>
      <c r="AA3131" t="s">
        <v>3495</v>
      </c>
      <c r="AB3131" s="79">
        <v>45809</v>
      </c>
      <c r="AC3131">
        <f>OrdersTable[[#This Row],[Delivery Date]]-OrdersTable[[#This Row],[Order Date]]</f>
        <v>2</v>
      </c>
      <c r="AD3131" t="str">
        <f>IF(OrdersTable[[#This Row],[Delivery Days]]&lt;=2, "Express (≤2d)", IF(OrdersTable[[#This Row],[Delivery Days]]&lt;=4, "Standard (3-4d)", "Delayed (5d+)"))</f>
        <v>Express (≤2d)</v>
      </c>
      <c r="AE3131">
        <v>5</v>
      </c>
      <c r="AF3131">
        <v>0</v>
      </c>
    </row>
    <row r="3132" spans="1:32" ht="15" x14ac:dyDescent="0.35">
      <c r="A3132" t="s">
        <v>4704</v>
      </c>
      <c r="B3132" s="1">
        <v>45807</v>
      </c>
      <c r="C3132">
        <f>YEAR(OrdersTable[[#This Row],[Order Date]])</f>
        <v>2025</v>
      </c>
      <c r="D3132" s="2">
        <f>DATE(YEAR(OrdersTable[[#This Row],[Order Date]]),MONTH(OrdersTable[[#This Row],[Order Date]]),1)</f>
        <v>45778</v>
      </c>
      <c r="E3132">
        <f>MONTH(OrdersTable[[#This Row],[Order Date]])</f>
        <v>5</v>
      </c>
      <c r="F3132" t="s">
        <v>1210</v>
      </c>
      <c r="G3132" t="str">
        <f>IF(OrdersTable[[#This Row],[Order Date]]=_xlfn.MINIFS(Order_Date, Customer_ID, OrdersTable[[#This Row],[Customer ID]]), "New", "Repeat")</f>
        <v>New</v>
      </c>
      <c r="H3132" t="s">
        <v>32</v>
      </c>
      <c r="I3132" t="str">
        <f>INDEX(State!B:B,MATCH(OrdersTable[[#This Row],[State]],State!A:A,0))</f>
        <v>BR</v>
      </c>
      <c r="J3132" t="str">
        <f>INDEX(State!C:C,MATCH(OrdersTable[[#This Row],[State Code]],State!B:B,0))</f>
        <v>East</v>
      </c>
      <c r="K3132" t="s">
        <v>33</v>
      </c>
      <c r="L3132" t="s">
        <v>16</v>
      </c>
      <c r="M3132" t="s">
        <v>92</v>
      </c>
      <c r="N3132" t="str">
        <f>INDEX(Products!B:B,MATCH(OrdersTable[[#This Row],[Product ID]],Products!A:A,0))</f>
        <v>Kolhapuri Sandals</v>
      </c>
      <c r="O3132" t="str">
        <f>INDEX(Products!C:C,MATCH(OrdersTable[[#This Row],[Product ID]],Products!A:A,0))</f>
        <v>Footwear</v>
      </c>
      <c r="P3132">
        <v>1</v>
      </c>
      <c r="Q3132" s="5">
        <v>999</v>
      </c>
      <c r="R3132" s="74">
        <v>0.05</v>
      </c>
      <c r="S3132" s="75">
        <f>OrdersTable[[#This Row],[Quantity]]*OrdersTable[[#This Row],[Unit Price]]</f>
        <v>999</v>
      </c>
      <c r="T3132" s="5">
        <f>OrdersTable[[#This Row],[Gross Sale]]*OrdersTable[[#This Row],[Discount_Clean2]]</f>
        <v>49.95</v>
      </c>
      <c r="U3132" s="5">
        <f>OrdersTable[[#This Row],[Gross Sale]]-OrdersTable[[#This Row],[Discount Amount]]</f>
        <v>949.05</v>
      </c>
      <c r="V3132" s="77">
        <f>INDEX(Products!E:E,MATCH(OrdersTable[[#This Row],[Product ID]],Products!A:A,0))</f>
        <v>400</v>
      </c>
      <c r="W3132" s="77">
        <f>OrdersTable[[#This Row],[Quantity]]*OrdersTable[[#This Row],[Unit Cost]]</f>
        <v>400</v>
      </c>
      <c r="X3132" s="77">
        <f>'Dropdown Lists'!$I$2*(1+OrdersTable[[#This Row],[Returned]])</f>
        <v>60</v>
      </c>
      <c r="Y3132" s="76">
        <f>OrdersTable[[#This Row],[Net Revenue]]-OrdersTable[[#This Row],[COGS]]-OrdersTable[[#This Row],[Shipping Cost]]</f>
        <v>489.04999999999995</v>
      </c>
      <c r="Z3132" s="78">
        <f>IFERROR(OrdersTable[[#This Row],[Profit]]/OrdersTable[[#This Row],[Net Revenue]],0)</f>
        <v>0.5153047784626732</v>
      </c>
      <c r="AA3132" t="s">
        <v>4450</v>
      </c>
      <c r="AB3132" s="79">
        <v>45810</v>
      </c>
      <c r="AC3132">
        <f>OrdersTable[[#This Row],[Delivery Date]]-OrdersTable[[#This Row],[Order Date]]</f>
        <v>3</v>
      </c>
      <c r="AD3132" t="str">
        <f>IF(OrdersTable[[#This Row],[Delivery Days]]&lt;=2, "Express (≤2d)", IF(OrdersTable[[#This Row],[Delivery Days]]&lt;=4, "Standard (3-4d)", "Delayed (5d+)"))</f>
        <v>Standard (3-4d)</v>
      </c>
      <c r="AE3132">
        <v>5</v>
      </c>
      <c r="AF3132">
        <v>0</v>
      </c>
    </row>
    <row r="3133" spans="1:32" ht="15" x14ac:dyDescent="0.35">
      <c r="A3133" t="s">
        <v>996</v>
      </c>
      <c r="B3133" s="1">
        <v>45807</v>
      </c>
      <c r="C3133">
        <f>YEAR(OrdersTable[[#This Row],[Order Date]])</f>
        <v>2025</v>
      </c>
      <c r="D3133" s="2">
        <f>DATE(YEAR(OrdersTable[[#This Row],[Order Date]]),MONTH(OrdersTable[[#This Row],[Order Date]]),1)</f>
        <v>45778</v>
      </c>
      <c r="E3133">
        <f>MONTH(OrdersTable[[#This Row],[Order Date]])</f>
        <v>5</v>
      </c>
      <c r="F3133" t="s">
        <v>997</v>
      </c>
      <c r="G3133" t="str">
        <f>IF(OrdersTable[[#This Row],[Order Date]]=_xlfn.MINIFS(Order_Date, Customer_ID, OrdersTable[[#This Row],[Customer ID]]), "New", "Repeat")</f>
        <v>New</v>
      </c>
      <c r="H3133" t="s">
        <v>167</v>
      </c>
      <c r="I3133" t="str">
        <f>INDEX(State!B:B,MATCH(OrdersTable[[#This Row],[State]],State!A:A,0))</f>
        <v>KA</v>
      </c>
      <c r="J3133" t="str">
        <f>INDEX(State!C:C,MATCH(OrdersTable[[#This Row],[State Code]],State!B:B,0))</f>
        <v>South</v>
      </c>
      <c r="K3133" t="s">
        <v>190</v>
      </c>
      <c r="L3133" t="s">
        <v>16</v>
      </c>
      <c r="M3133" t="s">
        <v>34</v>
      </c>
      <c r="N3133" t="str">
        <f>INDEX(Products!B:B,MATCH(OrdersTable[[#This Row],[Product ID]],Products!A:A,0))</f>
        <v>Flip Flops</v>
      </c>
      <c r="O3133" t="str">
        <f>INDEX(Products!C:C,MATCH(OrdersTable[[#This Row],[Product ID]],Products!A:A,0))</f>
        <v>Footwear</v>
      </c>
      <c r="P3133">
        <v>1</v>
      </c>
      <c r="Q3133" s="5">
        <v>399</v>
      </c>
      <c r="R3133" s="74">
        <v>0.2</v>
      </c>
      <c r="S3133" s="75">
        <f>OrdersTable[[#This Row],[Quantity]]*OrdersTable[[#This Row],[Unit Price]]</f>
        <v>399</v>
      </c>
      <c r="T3133" s="5">
        <f>OrdersTable[[#This Row],[Gross Sale]]*OrdersTable[[#This Row],[Discount_Clean2]]</f>
        <v>79.800000000000011</v>
      </c>
      <c r="U3133" s="5">
        <f>OrdersTable[[#This Row],[Gross Sale]]-OrdersTable[[#This Row],[Discount Amount]]</f>
        <v>319.2</v>
      </c>
      <c r="V3133" s="77">
        <f>INDEX(Products!E:E,MATCH(OrdersTable[[#This Row],[Product ID]],Products!A:A,0))</f>
        <v>152</v>
      </c>
      <c r="W3133" s="77">
        <f>OrdersTable[[#This Row],[Quantity]]*OrdersTable[[#This Row],[Unit Cost]]</f>
        <v>152</v>
      </c>
      <c r="X3133" s="77">
        <f>'Dropdown Lists'!$I$2*(1+OrdersTable[[#This Row],[Returned]])</f>
        <v>60</v>
      </c>
      <c r="Y3133" s="76">
        <f>OrdersTable[[#This Row],[Net Revenue]]-OrdersTable[[#This Row],[COGS]]-OrdersTable[[#This Row],[Shipping Cost]]</f>
        <v>107.19999999999999</v>
      </c>
      <c r="Z3133" s="78">
        <f>IFERROR(OrdersTable[[#This Row],[Profit]]/OrdersTable[[#This Row],[Net Revenue]],0)</f>
        <v>0.33583959899749372</v>
      </c>
      <c r="AA3133" t="s">
        <v>18</v>
      </c>
      <c r="AB3133" s="79">
        <v>45808</v>
      </c>
      <c r="AC3133">
        <f>OrdersTable[[#This Row],[Delivery Date]]-OrdersTable[[#This Row],[Order Date]]</f>
        <v>1</v>
      </c>
      <c r="AD3133" t="str">
        <f>IF(OrdersTable[[#This Row],[Delivery Days]]&lt;=2, "Express (≤2d)", IF(OrdersTable[[#This Row],[Delivery Days]]&lt;=4, "Standard (3-4d)", "Delayed (5d+)"))</f>
        <v>Express (≤2d)</v>
      </c>
      <c r="AE3133">
        <v>4</v>
      </c>
      <c r="AF3133">
        <v>0</v>
      </c>
    </row>
    <row r="3134" spans="1:32" ht="15" x14ac:dyDescent="0.35">
      <c r="A3134" t="s">
        <v>4523</v>
      </c>
      <c r="B3134" s="1">
        <v>45807</v>
      </c>
      <c r="C3134">
        <f>YEAR(OrdersTable[[#This Row],[Order Date]])</f>
        <v>2025</v>
      </c>
      <c r="D3134" s="2">
        <f>DATE(YEAR(OrdersTable[[#This Row],[Order Date]]),MONTH(OrdersTable[[#This Row],[Order Date]]),1)</f>
        <v>45778</v>
      </c>
      <c r="E3134">
        <f>MONTH(OrdersTable[[#This Row],[Order Date]])</f>
        <v>5</v>
      </c>
      <c r="F3134" t="s">
        <v>4524</v>
      </c>
      <c r="G3134" t="str">
        <f>IF(OrdersTable[[#This Row],[Order Date]]=_xlfn.MINIFS(Order_Date, Customer_ID, OrdersTable[[#This Row],[Customer ID]]), "New", "Repeat")</f>
        <v>New</v>
      </c>
      <c r="H3134" t="s">
        <v>167</v>
      </c>
      <c r="I3134" t="str">
        <f>INDEX(State!B:B,MATCH(OrdersTable[[#This Row],[State]],State!A:A,0))</f>
        <v>KA</v>
      </c>
      <c r="J3134" t="str">
        <f>INDEX(State!C:C,MATCH(OrdersTable[[#This Row],[State Code]],State!B:B,0))</f>
        <v>South</v>
      </c>
      <c r="K3134" t="s">
        <v>168</v>
      </c>
      <c r="L3134" t="s">
        <v>65</v>
      </c>
      <c r="M3134" t="s">
        <v>92</v>
      </c>
      <c r="N3134" t="str">
        <f>INDEX(Products!B:B,MATCH(OrdersTable[[#This Row],[Product ID]],Products!A:A,0))</f>
        <v>Kolhapuri Sandals</v>
      </c>
      <c r="O3134" t="str">
        <f>INDEX(Products!C:C,MATCH(OrdersTable[[#This Row],[Product ID]],Products!A:A,0))</f>
        <v>Footwear</v>
      </c>
      <c r="P3134">
        <v>1</v>
      </c>
      <c r="Q3134" s="5">
        <v>999</v>
      </c>
      <c r="R3134" s="74">
        <v>0.05</v>
      </c>
      <c r="S3134" s="75">
        <f>OrdersTable[[#This Row],[Quantity]]*OrdersTable[[#This Row],[Unit Price]]</f>
        <v>999</v>
      </c>
      <c r="T3134" s="5">
        <f>OrdersTable[[#This Row],[Gross Sale]]*OrdersTable[[#This Row],[Discount_Clean2]]</f>
        <v>49.95</v>
      </c>
      <c r="U3134" s="5">
        <f>OrdersTable[[#This Row],[Gross Sale]]-OrdersTable[[#This Row],[Discount Amount]]</f>
        <v>949.05</v>
      </c>
      <c r="V3134" s="77">
        <f>INDEX(Products!E:E,MATCH(OrdersTable[[#This Row],[Product ID]],Products!A:A,0))</f>
        <v>400</v>
      </c>
      <c r="W3134" s="77">
        <f>OrdersTable[[#This Row],[Quantity]]*OrdersTable[[#This Row],[Unit Cost]]</f>
        <v>400</v>
      </c>
      <c r="X3134" s="77">
        <f>'Dropdown Lists'!$I$2*(1+OrdersTable[[#This Row],[Returned]])</f>
        <v>60</v>
      </c>
      <c r="Y3134" s="76">
        <f>OrdersTable[[#This Row],[Net Revenue]]-OrdersTable[[#This Row],[COGS]]-OrdersTable[[#This Row],[Shipping Cost]]</f>
        <v>489.04999999999995</v>
      </c>
      <c r="Z3134" s="78">
        <f>IFERROR(OrdersTable[[#This Row],[Profit]]/OrdersTable[[#This Row],[Net Revenue]],0)</f>
        <v>0.5153047784626732</v>
      </c>
      <c r="AA3134" t="s">
        <v>4450</v>
      </c>
      <c r="AB3134" s="79">
        <v>45809</v>
      </c>
      <c r="AC3134">
        <f>OrdersTable[[#This Row],[Delivery Date]]-OrdersTable[[#This Row],[Order Date]]</f>
        <v>2</v>
      </c>
      <c r="AD3134" t="str">
        <f>IF(OrdersTable[[#This Row],[Delivery Days]]&lt;=2, "Express (≤2d)", IF(OrdersTable[[#This Row],[Delivery Days]]&lt;=4, "Standard (3-4d)", "Delayed (5d+)"))</f>
        <v>Express (≤2d)</v>
      </c>
      <c r="AE3134">
        <v>4</v>
      </c>
      <c r="AF3134">
        <v>0</v>
      </c>
    </row>
    <row r="3135" spans="1:32" ht="15" x14ac:dyDescent="0.35">
      <c r="A3135" t="s">
        <v>2810</v>
      </c>
      <c r="B3135" s="1">
        <v>45808</v>
      </c>
      <c r="C3135">
        <f>YEAR(OrdersTable[[#This Row],[Order Date]])</f>
        <v>2025</v>
      </c>
      <c r="D3135" s="2">
        <f>DATE(YEAR(OrdersTable[[#This Row],[Order Date]]),MONTH(OrdersTable[[#This Row],[Order Date]]),1)</f>
        <v>45778</v>
      </c>
      <c r="E3135">
        <f>MONTH(OrdersTable[[#This Row],[Order Date]])</f>
        <v>5</v>
      </c>
      <c r="F3135" t="s">
        <v>2811</v>
      </c>
      <c r="G3135" t="str">
        <f>IF(OrdersTable[[#This Row],[Order Date]]=_xlfn.MINIFS(Order_Date, Customer_ID, OrdersTable[[#This Row],[Customer ID]]), "New", "Repeat")</f>
        <v>Repeat</v>
      </c>
      <c r="H3135" t="s">
        <v>48</v>
      </c>
      <c r="I3135" t="str">
        <f>INDEX(State!B:B,MATCH(OrdersTable[[#This Row],[State]],State!A:A,0))</f>
        <v>HR</v>
      </c>
      <c r="J3135" t="str">
        <f>INDEX(State!C:C,MATCH(OrdersTable[[#This Row],[State Code]],State!B:B,0))</f>
        <v>North</v>
      </c>
      <c r="K3135" t="s">
        <v>49</v>
      </c>
      <c r="L3135" t="s">
        <v>65</v>
      </c>
      <c r="M3135" t="s">
        <v>40</v>
      </c>
      <c r="N3135" t="str">
        <f>INDEX(Products!B:B,MATCH(OrdersTable[[#This Row],[Product ID]],Products!A:A,0))</f>
        <v>Ashwagandha Capsules</v>
      </c>
      <c r="O3135" t="str">
        <f>INDEX(Products!C:C,MATCH(OrdersTable[[#This Row],[Product ID]],Products!A:A,0))</f>
        <v>Wellness</v>
      </c>
      <c r="P3135">
        <v>1</v>
      </c>
      <c r="Q3135" s="5">
        <v>499</v>
      </c>
      <c r="R3135" s="74">
        <v>0.1</v>
      </c>
      <c r="S3135" s="75">
        <f>OrdersTable[[#This Row],[Quantity]]*OrdersTable[[#This Row],[Unit Price]]</f>
        <v>499</v>
      </c>
      <c r="T3135" s="5">
        <f>OrdersTable[[#This Row],[Gross Sale]]*OrdersTable[[#This Row],[Discount_Clean2]]</f>
        <v>49.900000000000006</v>
      </c>
      <c r="U3135" s="5">
        <f>OrdersTable[[#This Row],[Gross Sale]]-OrdersTable[[#This Row],[Discount Amount]]</f>
        <v>449.1</v>
      </c>
      <c r="V3135" s="77">
        <f>INDEX(Products!E:E,MATCH(OrdersTable[[#This Row],[Product ID]],Products!A:A,0))</f>
        <v>150</v>
      </c>
      <c r="W3135" s="77">
        <f>OrdersTable[[#This Row],[Quantity]]*OrdersTable[[#This Row],[Unit Cost]]</f>
        <v>150</v>
      </c>
      <c r="X3135" s="77">
        <f>'Dropdown Lists'!$I$2*(1+OrdersTable[[#This Row],[Returned]])</f>
        <v>120</v>
      </c>
      <c r="Y3135" s="76">
        <f>OrdersTable[[#This Row],[Net Revenue]]-OrdersTable[[#This Row],[COGS]]-OrdersTable[[#This Row],[Shipping Cost]]</f>
        <v>179.10000000000002</v>
      </c>
      <c r="Z3135" s="78">
        <f>IFERROR(OrdersTable[[#This Row],[Profit]]/OrdersTable[[#This Row],[Net Revenue]],0)</f>
        <v>0.39879759519038077</v>
      </c>
      <c r="AA3135" t="s">
        <v>2522</v>
      </c>
      <c r="AB3135" s="79">
        <v>45811</v>
      </c>
      <c r="AC3135">
        <f>OrdersTable[[#This Row],[Delivery Date]]-OrdersTable[[#This Row],[Order Date]]</f>
        <v>3</v>
      </c>
      <c r="AD3135" t="str">
        <f>IF(OrdersTable[[#This Row],[Delivery Days]]&lt;=2, "Express (≤2d)", IF(OrdersTable[[#This Row],[Delivery Days]]&lt;=4, "Standard (3-4d)", "Delayed (5d+)"))</f>
        <v>Standard (3-4d)</v>
      </c>
      <c r="AE3135">
        <v>3</v>
      </c>
      <c r="AF3135">
        <v>1</v>
      </c>
    </row>
    <row r="3136" spans="1:32" ht="15" x14ac:dyDescent="0.35">
      <c r="A3136" t="s">
        <v>322</v>
      </c>
      <c r="B3136" s="1">
        <v>45808</v>
      </c>
      <c r="C3136">
        <f>YEAR(OrdersTable[[#This Row],[Order Date]])</f>
        <v>2025</v>
      </c>
      <c r="D3136" s="2">
        <f>DATE(YEAR(OrdersTable[[#This Row],[Order Date]]),MONTH(OrdersTable[[#This Row],[Order Date]]),1)</f>
        <v>45778</v>
      </c>
      <c r="E3136">
        <f>MONTH(OrdersTable[[#This Row],[Order Date]])</f>
        <v>5</v>
      </c>
      <c r="F3136" t="s">
        <v>323</v>
      </c>
      <c r="G3136" t="str">
        <f>IF(OrdersTable[[#This Row],[Order Date]]=_xlfn.MINIFS(Order_Date, Customer_ID, OrdersTable[[#This Row],[Customer ID]]), "New", "Repeat")</f>
        <v>Repeat</v>
      </c>
      <c r="H3136" t="s">
        <v>43</v>
      </c>
      <c r="I3136" t="str">
        <f>INDEX(State!B:B,MATCH(OrdersTable[[#This Row],[State]],State!A:A,0))</f>
        <v>MP</v>
      </c>
      <c r="J3136" t="str">
        <f>INDEX(State!C:C,MATCH(OrdersTable[[#This Row],[State Code]],State!B:B,0))</f>
        <v>West</v>
      </c>
      <c r="K3136" t="s">
        <v>44</v>
      </c>
      <c r="L3136" t="s">
        <v>50</v>
      </c>
      <c r="M3136" t="s">
        <v>45</v>
      </c>
      <c r="N3136" t="str">
        <f>INDEX(Products!B:B,MATCH(OrdersTable[[#This Row],[Product ID]],Products!A:A,0))</f>
        <v>Argan Shampoo</v>
      </c>
      <c r="O3136" t="str">
        <f>INDEX(Products!C:C,MATCH(OrdersTable[[#This Row],[Product ID]],Products!A:A,0))</f>
        <v>Haircare</v>
      </c>
      <c r="P3136">
        <v>1</v>
      </c>
      <c r="Q3136" s="5">
        <v>449</v>
      </c>
      <c r="R3136" s="74">
        <v>0</v>
      </c>
      <c r="S3136" s="75">
        <f>OrdersTable[[#This Row],[Quantity]]*OrdersTable[[#This Row],[Unit Price]]</f>
        <v>449</v>
      </c>
      <c r="T3136" s="5">
        <f>OrdersTable[[#This Row],[Gross Sale]]*OrdersTable[[#This Row],[Discount_Clean2]]</f>
        <v>0</v>
      </c>
      <c r="U3136" s="5">
        <f>OrdersTable[[#This Row],[Gross Sale]]-OrdersTable[[#This Row],[Discount Amount]]</f>
        <v>449</v>
      </c>
      <c r="V3136" s="77">
        <f>INDEX(Products!E:E,MATCH(OrdersTable[[#This Row],[Product ID]],Products!A:A,0))</f>
        <v>148</v>
      </c>
      <c r="W3136" s="77">
        <f>OrdersTable[[#This Row],[Quantity]]*OrdersTable[[#This Row],[Unit Cost]]</f>
        <v>148</v>
      </c>
      <c r="X3136" s="77">
        <f>'Dropdown Lists'!$I$2*(1+OrdersTable[[#This Row],[Returned]])</f>
        <v>60</v>
      </c>
      <c r="Y3136" s="76">
        <f>OrdersTable[[#This Row],[Net Revenue]]-OrdersTable[[#This Row],[COGS]]-OrdersTable[[#This Row],[Shipping Cost]]</f>
        <v>241</v>
      </c>
      <c r="Z3136" s="78">
        <f>IFERROR(OrdersTable[[#This Row],[Profit]]/OrdersTable[[#This Row],[Net Revenue]],0)</f>
        <v>0.53674832962138086</v>
      </c>
      <c r="AA3136" t="s">
        <v>18</v>
      </c>
      <c r="AB3136" s="79">
        <v>45812</v>
      </c>
      <c r="AC3136">
        <f>OrdersTable[[#This Row],[Delivery Date]]-OrdersTable[[#This Row],[Order Date]]</f>
        <v>4</v>
      </c>
      <c r="AD3136" t="str">
        <f>IF(OrdersTable[[#This Row],[Delivery Days]]&lt;=2, "Express (≤2d)", IF(OrdersTable[[#This Row],[Delivery Days]]&lt;=4, "Standard (3-4d)", "Delayed (5d+)"))</f>
        <v>Standard (3-4d)</v>
      </c>
      <c r="AE3136">
        <v>4</v>
      </c>
      <c r="AF3136">
        <v>0</v>
      </c>
    </row>
    <row r="3137" spans="1:32" ht="15" x14ac:dyDescent="0.35">
      <c r="A3137" t="s">
        <v>6368</v>
      </c>
      <c r="B3137" s="1">
        <v>45808</v>
      </c>
      <c r="C3137">
        <f>YEAR(OrdersTable[[#This Row],[Order Date]])</f>
        <v>2025</v>
      </c>
      <c r="D3137" s="2">
        <f>DATE(YEAR(OrdersTable[[#This Row],[Order Date]]),MONTH(OrdersTable[[#This Row],[Order Date]]),1)</f>
        <v>45778</v>
      </c>
      <c r="E3137">
        <f>MONTH(OrdersTable[[#This Row],[Order Date]])</f>
        <v>5</v>
      </c>
      <c r="F3137" t="s">
        <v>6369</v>
      </c>
      <c r="G3137" t="str">
        <f>IF(OrdersTable[[#This Row],[Order Date]]=_xlfn.MINIFS(Order_Date, Customer_ID, OrdersTable[[#This Row],[Customer ID]]), "New", "Repeat")</f>
        <v>New</v>
      </c>
      <c r="H3137" t="s">
        <v>482</v>
      </c>
      <c r="I3137" t="str">
        <f>INDEX(State!B:B,MATCH(OrdersTable[[#This Row],[State]],State!A:A,0))</f>
        <v>CG</v>
      </c>
      <c r="J3137" t="str">
        <f>INDEX(State!C:C,MATCH(OrdersTable[[#This Row],[State Code]],State!B:B,0))</f>
        <v>East</v>
      </c>
      <c r="K3137" t="s">
        <v>483</v>
      </c>
      <c r="L3137" t="s">
        <v>50</v>
      </c>
      <c r="M3137" t="s">
        <v>160</v>
      </c>
      <c r="N3137" t="str">
        <f>INDEX(Products!B:B,MATCH(OrdersTable[[#This Row],[Product ID]],Products!A:A,0))</f>
        <v>Niacinamide Toner</v>
      </c>
      <c r="O3137" t="str">
        <f>INDEX(Products!C:C,MATCH(OrdersTable[[#This Row],[Product ID]],Products!A:A,0))</f>
        <v>Skincare</v>
      </c>
      <c r="P3137">
        <v>2</v>
      </c>
      <c r="Q3137" s="5">
        <v>399</v>
      </c>
      <c r="R3137" s="74">
        <v>0.3</v>
      </c>
      <c r="S3137" s="75">
        <f>OrdersTable[[#This Row],[Quantity]]*OrdersTable[[#This Row],[Unit Price]]</f>
        <v>798</v>
      </c>
      <c r="T3137" s="5">
        <f>OrdersTable[[#This Row],[Gross Sale]]*OrdersTable[[#This Row],[Discount_Clean2]]</f>
        <v>239.39999999999998</v>
      </c>
      <c r="U3137" s="5">
        <f>OrdersTable[[#This Row],[Gross Sale]]-OrdersTable[[#This Row],[Discount Amount]]</f>
        <v>558.6</v>
      </c>
      <c r="V3137" s="77">
        <f>INDEX(Products!E:E,MATCH(OrdersTable[[#This Row],[Product ID]],Products!A:A,0))</f>
        <v>112</v>
      </c>
      <c r="W3137" s="77">
        <f>OrdersTable[[#This Row],[Quantity]]*OrdersTable[[#This Row],[Unit Cost]]</f>
        <v>224</v>
      </c>
      <c r="X3137" s="77">
        <f>'Dropdown Lists'!$I$2*(1+OrdersTable[[#This Row],[Returned]])</f>
        <v>120</v>
      </c>
      <c r="Y3137" s="76">
        <f>OrdersTable[[#This Row],[Net Revenue]]-OrdersTable[[#This Row],[COGS]]-OrdersTable[[#This Row],[Shipping Cost]]</f>
        <v>214.60000000000002</v>
      </c>
      <c r="Z3137" s="78">
        <f>IFERROR(OrdersTable[[#This Row],[Profit]]/OrdersTable[[#This Row],[Net Revenue]],0)</f>
        <v>0.38417472252058721</v>
      </c>
      <c r="AA3137" t="s">
        <v>18</v>
      </c>
      <c r="AB3137" s="79">
        <v>45814</v>
      </c>
      <c r="AC3137">
        <f>OrdersTable[[#This Row],[Delivery Date]]-OrdersTable[[#This Row],[Order Date]]</f>
        <v>6</v>
      </c>
      <c r="AD3137" t="str">
        <f>IF(OrdersTable[[#This Row],[Delivery Days]]&lt;=2, "Express (≤2d)", IF(OrdersTable[[#This Row],[Delivery Days]]&lt;=4, "Standard (3-4d)", "Delayed (5d+)"))</f>
        <v>Delayed (5d+)</v>
      </c>
      <c r="AF3137">
        <v>1</v>
      </c>
    </row>
    <row r="3138" spans="1:32" ht="15" x14ac:dyDescent="0.35">
      <c r="A3138" t="s">
        <v>4411</v>
      </c>
      <c r="B3138" s="1">
        <v>45809</v>
      </c>
      <c r="C3138">
        <f>YEAR(OrdersTable[[#This Row],[Order Date]])</f>
        <v>2025</v>
      </c>
      <c r="D3138" s="2">
        <f>DATE(YEAR(OrdersTable[[#This Row],[Order Date]]),MONTH(OrdersTable[[#This Row],[Order Date]]),1)</f>
        <v>45809</v>
      </c>
      <c r="E3138">
        <f>MONTH(OrdersTable[[#This Row],[Order Date]])</f>
        <v>6</v>
      </c>
      <c r="F3138" t="s">
        <v>3002</v>
      </c>
      <c r="G3138" t="str">
        <f>IF(OrdersTable[[#This Row],[Order Date]]=_xlfn.MINIFS(Order_Date, Customer_ID, OrdersTable[[#This Row],[Customer ID]]), "New", "Repeat")</f>
        <v>Repeat</v>
      </c>
      <c r="H3138" t="s">
        <v>128</v>
      </c>
      <c r="I3138" t="str">
        <f>INDEX(State!B:B,MATCH(OrdersTable[[#This Row],[State]],State!A:A,0))</f>
        <v>DL</v>
      </c>
      <c r="J3138" t="str">
        <f>INDEX(State!C:C,MATCH(OrdersTable[[#This Row],[State Code]],State!B:B,0))</f>
        <v>North</v>
      </c>
      <c r="K3138" t="s">
        <v>129</v>
      </c>
      <c r="L3138" t="s">
        <v>16</v>
      </c>
      <c r="M3138" t="s">
        <v>576</v>
      </c>
      <c r="N3138" t="str">
        <f>INDEX(Products!B:B,MATCH(OrdersTable[[#This Row],[Product ID]],Products!A:A,0))</f>
        <v>Printed Saree</v>
      </c>
      <c r="O3138" t="str">
        <f>INDEX(Products!C:C,MATCH(OrdersTable[[#This Row],[Product ID]],Products!A:A,0))</f>
        <v>Apparel</v>
      </c>
      <c r="P3138">
        <v>1</v>
      </c>
      <c r="Q3138" s="5">
        <v>1999</v>
      </c>
      <c r="R3138" s="74">
        <v>0.05</v>
      </c>
      <c r="S3138" s="75">
        <f>OrdersTable[[#This Row],[Quantity]]*OrdersTable[[#This Row],[Unit Price]]</f>
        <v>1999</v>
      </c>
      <c r="T3138" s="5">
        <f>OrdersTable[[#This Row],[Gross Sale]]*OrdersTable[[#This Row],[Discount_Clean2]]</f>
        <v>99.95</v>
      </c>
      <c r="U3138" s="5">
        <f>OrdersTable[[#This Row],[Gross Sale]]-OrdersTable[[#This Row],[Discount Amount]]</f>
        <v>1899.05</v>
      </c>
      <c r="V3138" s="77">
        <f>INDEX(Products!E:E,MATCH(OrdersTable[[#This Row],[Product ID]],Products!A:A,0))</f>
        <v>880</v>
      </c>
      <c r="W3138" s="77">
        <f>OrdersTable[[#This Row],[Quantity]]*OrdersTable[[#This Row],[Unit Cost]]</f>
        <v>880</v>
      </c>
      <c r="X3138" s="77">
        <f>'Dropdown Lists'!$I$2*(1+OrdersTable[[#This Row],[Returned]])</f>
        <v>60</v>
      </c>
      <c r="Y3138" s="76">
        <f>OrdersTable[[#This Row],[Net Revenue]]-OrdersTable[[#This Row],[COGS]]-OrdersTable[[#This Row],[Shipping Cost]]</f>
        <v>959.05</v>
      </c>
      <c r="Z3138" s="78">
        <f>IFERROR(OrdersTable[[#This Row],[Profit]]/OrdersTable[[#This Row],[Net Revenue]],0)</f>
        <v>0.50501566572760059</v>
      </c>
      <c r="AA3138" t="s">
        <v>4074</v>
      </c>
      <c r="AB3138" s="79">
        <v>45812</v>
      </c>
      <c r="AC3138">
        <f>OrdersTable[[#This Row],[Delivery Date]]-OrdersTable[[#This Row],[Order Date]]</f>
        <v>3</v>
      </c>
      <c r="AD3138" t="str">
        <f>IF(OrdersTable[[#This Row],[Delivery Days]]&lt;=2, "Express (≤2d)", IF(OrdersTable[[#This Row],[Delivery Days]]&lt;=4, "Standard (3-4d)", "Delayed (5d+)"))</f>
        <v>Standard (3-4d)</v>
      </c>
      <c r="AE3138">
        <v>4</v>
      </c>
      <c r="AF3138">
        <v>0</v>
      </c>
    </row>
    <row r="3139" spans="1:32" ht="15" x14ac:dyDescent="0.35">
      <c r="A3139" t="s">
        <v>5818</v>
      </c>
      <c r="B3139" s="1">
        <v>45809</v>
      </c>
      <c r="C3139">
        <f>YEAR(OrdersTable[[#This Row],[Order Date]])</f>
        <v>2025</v>
      </c>
      <c r="D3139" s="2">
        <f>DATE(YEAR(OrdersTable[[#This Row],[Order Date]]),MONTH(OrdersTable[[#This Row],[Order Date]]),1)</f>
        <v>45809</v>
      </c>
      <c r="E3139">
        <f>MONTH(OrdersTable[[#This Row],[Order Date]])</f>
        <v>6</v>
      </c>
      <c r="F3139" t="s">
        <v>3983</v>
      </c>
      <c r="G3139" t="str">
        <f>IF(OrdersTable[[#This Row],[Order Date]]=_xlfn.MINIFS(Order_Date, Customer_ID, OrdersTable[[#This Row],[Customer ID]]), "New", "Repeat")</f>
        <v>Repeat</v>
      </c>
      <c r="H3139" t="s">
        <v>128</v>
      </c>
      <c r="I3139" t="str">
        <f>INDEX(State!B:B,MATCH(OrdersTable[[#This Row],[State]],State!A:A,0))</f>
        <v>DL</v>
      </c>
      <c r="J3139" t="str">
        <f>INDEX(State!C:C,MATCH(OrdersTable[[#This Row],[State Code]],State!B:B,0))</f>
        <v>North</v>
      </c>
      <c r="K3139" t="s">
        <v>129</v>
      </c>
      <c r="L3139" t="s">
        <v>65</v>
      </c>
      <c r="M3139" t="s">
        <v>84</v>
      </c>
      <c r="N3139" t="str">
        <f>INDEX(Products!B:B,MATCH(OrdersTable[[#This Row],[Product ID]],Products!A:A,0))</f>
        <v>Cotton Bedsheet</v>
      </c>
      <c r="O3139" t="str">
        <f>INDEX(Products!C:C,MATCH(OrdersTable[[#This Row],[Product ID]],Products!A:A,0))</f>
        <v>Home &amp; Kitchen</v>
      </c>
      <c r="P3139">
        <v>2</v>
      </c>
      <c r="Q3139" s="5">
        <v>1299</v>
      </c>
      <c r="R3139" s="74">
        <v>0.1</v>
      </c>
      <c r="S3139" s="75">
        <f>OrdersTable[[#This Row],[Quantity]]*OrdersTable[[#This Row],[Unit Price]]</f>
        <v>2598</v>
      </c>
      <c r="T3139" s="5">
        <f>OrdersTable[[#This Row],[Gross Sale]]*OrdersTable[[#This Row],[Discount_Clean2]]</f>
        <v>259.8</v>
      </c>
      <c r="U3139" s="5">
        <f>OrdersTable[[#This Row],[Gross Sale]]-OrdersTable[[#This Row],[Discount Amount]]</f>
        <v>2338.1999999999998</v>
      </c>
      <c r="V3139" s="77">
        <f>INDEX(Products!E:E,MATCH(OrdersTable[[#This Row],[Product ID]],Products!A:A,0))</f>
        <v>585</v>
      </c>
      <c r="W3139" s="77">
        <f>OrdersTable[[#This Row],[Quantity]]*OrdersTable[[#This Row],[Unit Cost]]</f>
        <v>1170</v>
      </c>
      <c r="X3139" s="77">
        <f>'Dropdown Lists'!$I$2*(1+OrdersTable[[#This Row],[Returned]])</f>
        <v>60</v>
      </c>
      <c r="Y3139" s="76">
        <f>OrdersTable[[#This Row],[Net Revenue]]-OrdersTable[[#This Row],[COGS]]-OrdersTable[[#This Row],[Shipping Cost]]</f>
        <v>1108.1999999999998</v>
      </c>
      <c r="Z3139" s="78">
        <f>IFERROR(OrdersTable[[#This Row],[Profit]]/OrdersTable[[#This Row],[Net Revenue]],0)</f>
        <v>0.47395432383885033</v>
      </c>
      <c r="AA3139" t="s">
        <v>18</v>
      </c>
      <c r="AB3139" s="79">
        <v>45810</v>
      </c>
      <c r="AC3139">
        <f>OrdersTable[[#This Row],[Delivery Date]]-OrdersTable[[#This Row],[Order Date]]</f>
        <v>1</v>
      </c>
      <c r="AD3139" t="str">
        <f>IF(OrdersTable[[#This Row],[Delivery Days]]&lt;=2, "Express (≤2d)", IF(OrdersTable[[#This Row],[Delivery Days]]&lt;=4, "Standard (3-4d)", "Delayed (5d+)"))</f>
        <v>Express (≤2d)</v>
      </c>
      <c r="AE3139">
        <v>5</v>
      </c>
      <c r="AF3139">
        <v>0</v>
      </c>
    </row>
    <row r="3140" spans="1:32" ht="15" x14ac:dyDescent="0.35">
      <c r="A3140" t="s">
        <v>622</v>
      </c>
      <c r="B3140" s="1">
        <v>45809</v>
      </c>
      <c r="C3140">
        <f>YEAR(OrdersTable[[#This Row],[Order Date]])</f>
        <v>2025</v>
      </c>
      <c r="D3140" s="2">
        <f>DATE(YEAR(OrdersTable[[#This Row],[Order Date]]),MONTH(OrdersTable[[#This Row],[Order Date]]),1)</f>
        <v>45809</v>
      </c>
      <c r="E3140">
        <f>MONTH(OrdersTable[[#This Row],[Order Date]])</f>
        <v>6</v>
      </c>
      <c r="F3140" t="s">
        <v>623</v>
      </c>
      <c r="G3140" t="str">
        <f>IF(OrdersTable[[#This Row],[Order Date]]=_xlfn.MINIFS(Order_Date, Customer_ID, OrdersTable[[#This Row],[Customer ID]]), "New", "Repeat")</f>
        <v>Repeat</v>
      </c>
      <c r="H3140" t="s">
        <v>37</v>
      </c>
      <c r="I3140" t="str">
        <f>INDEX(State!B:B,MATCH(OrdersTable[[#This Row],[State]],State!A:A,0))</f>
        <v>GJ</v>
      </c>
      <c r="J3140" t="str">
        <f>INDEX(State!C:C,MATCH(OrdersTable[[#This Row],[State Code]],State!B:B,0))</f>
        <v>West</v>
      </c>
      <c r="K3140" t="s">
        <v>247</v>
      </c>
      <c r="L3140" t="s">
        <v>65</v>
      </c>
      <c r="M3140" t="s">
        <v>56</v>
      </c>
      <c r="N3140" t="str">
        <f>INDEX(Products!B:B,MATCH(OrdersTable[[#This Row],[Product ID]],Products!A:A,0))</f>
        <v>Vitamin C Face Serum</v>
      </c>
      <c r="O3140" t="str">
        <f>INDEX(Products!C:C,MATCH(OrdersTable[[#This Row],[Product ID]],Products!A:A,0))</f>
        <v>Skincare</v>
      </c>
      <c r="P3140">
        <v>1</v>
      </c>
      <c r="Q3140" s="5">
        <v>599</v>
      </c>
      <c r="R3140" s="74">
        <v>0.25</v>
      </c>
      <c r="S3140" s="75">
        <f>OrdersTable[[#This Row],[Quantity]]*OrdersTable[[#This Row],[Unit Price]]</f>
        <v>599</v>
      </c>
      <c r="T3140" s="5">
        <f>OrdersTable[[#This Row],[Gross Sale]]*OrdersTable[[#This Row],[Discount_Clean2]]</f>
        <v>149.75</v>
      </c>
      <c r="U3140" s="5">
        <f>OrdersTable[[#This Row],[Gross Sale]]-OrdersTable[[#This Row],[Discount Amount]]</f>
        <v>449.25</v>
      </c>
      <c r="V3140" s="77">
        <f>INDEX(Products!E:E,MATCH(OrdersTable[[#This Row],[Product ID]],Products!A:A,0))</f>
        <v>180</v>
      </c>
      <c r="W3140" s="77">
        <f>OrdersTable[[#This Row],[Quantity]]*OrdersTable[[#This Row],[Unit Cost]]</f>
        <v>180</v>
      </c>
      <c r="X3140" s="77">
        <f>'Dropdown Lists'!$I$2*(1+OrdersTable[[#This Row],[Returned]])</f>
        <v>60</v>
      </c>
      <c r="Y3140" s="76">
        <f>OrdersTable[[#This Row],[Net Revenue]]-OrdersTable[[#This Row],[COGS]]-OrdersTable[[#This Row],[Shipping Cost]]</f>
        <v>209.25</v>
      </c>
      <c r="Z3140" s="78">
        <f>IFERROR(OrdersTable[[#This Row],[Profit]]/OrdersTable[[#This Row],[Net Revenue]],0)</f>
        <v>0.46577629382303842</v>
      </c>
      <c r="AA3140" t="s">
        <v>18</v>
      </c>
      <c r="AB3140" s="79">
        <v>45811</v>
      </c>
      <c r="AC3140">
        <f>OrdersTable[[#This Row],[Delivery Date]]-OrdersTable[[#This Row],[Order Date]]</f>
        <v>2</v>
      </c>
      <c r="AD3140" t="str">
        <f>IF(OrdersTable[[#This Row],[Delivery Days]]&lt;=2, "Express (≤2d)", IF(OrdersTable[[#This Row],[Delivery Days]]&lt;=4, "Standard (3-4d)", "Delayed (5d+)"))</f>
        <v>Express (≤2d)</v>
      </c>
      <c r="AE3140">
        <v>4</v>
      </c>
      <c r="AF3140">
        <v>0</v>
      </c>
    </row>
    <row r="3141" spans="1:32" ht="15" x14ac:dyDescent="0.35">
      <c r="A3141" t="s">
        <v>5819</v>
      </c>
      <c r="B3141" s="1">
        <v>45809</v>
      </c>
      <c r="C3141">
        <f>YEAR(OrdersTable[[#This Row],[Order Date]])</f>
        <v>2025</v>
      </c>
      <c r="D3141" s="2">
        <f>DATE(YEAR(OrdersTable[[#This Row],[Order Date]]),MONTH(OrdersTable[[#This Row],[Order Date]]),1)</f>
        <v>45809</v>
      </c>
      <c r="E3141">
        <f>MONTH(OrdersTable[[#This Row],[Order Date]])</f>
        <v>6</v>
      </c>
      <c r="F3141" t="s">
        <v>5421</v>
      </c>
      <c r="G3141" t="str">
        <f>IF(OrdersTable[[#This Row],[Order Date]]=_xlfn.MINIFS(Order_Date, Customer_ID, OrdersTable[[#This Row],[Customer ID]]), "New", "Repeat")</f>
        <v>New</v>
      </c>
      <c r="H3141" t="s">
        <v>37</v>
      </c>
      <c r="I3141" t="str">
        <f>INDEX(State!B:B,MATCH(OrdersTable[[#This Row],[State]],State!A:A,0))</f>
        <v>GJ</v>
      </c>
      <c r="J3141" t="str">
        <f>INDEX(State!C:C,MATCH(OrdersTable[[#This Row],[State Code]],State!B:B,0))</f>
        <v>West</v>
      </c>
      <c r="K3141" t="s">
        <v>247</v>
      </c>
      <c r="L3141" t="s">
        <v>23</v>
      </c>
      <c r="M3141" t="s">
        <v>125</v>
      </c>
      <c r="N3141" t="str">
        <f>INDEX(Products!B:B,MATCH(OrdersTable[[#This Row],[Product ID]],Products!A:A,0))</f>
        <v>Copper Water Bottle</v>
      </c>
      <c r="O3141" t="str">
        <f>INDEX(Products!C:C,MATCH(OrdersTable[[#This Row],[Product ID]],Products!A:A,0))</f>
        <v>Home &amp; Kitchen</v>
      </c>
      <c r="P3141">
        <v>2</v>
      </c>
      <c r="Q3141" s="5">
        <v>899</v>
      </c>
      <c r="R3141" s="74">
        <v>0</v>
      </c>
      <c r="S3141" s="75">
        <f>OrdersTable[[#This Row],[Quantity]]*OrdersTable[[#This Row],[Unit Price]]</f>
        <v>1798</v>
      </c>
      <c r="T3141" s="5">
        <f>OrdersTable[[#This Row],[Gross Sale]]*OrdersTable[[#This Row],[Discount_Clean2]]</f>
        <v>0</v>
      </c>
      <c r="U3141" s="5">
        <f>OrdersTable[[#This Row],[Gross Sale]]-OrdersTable[[#This Row],[Discount Amount]]</f>
        <v>1798</v>
      </c>
      <c r="V3141" s="77">
        <f>INDEX(Products!E:E,MATCH(OrdersTable[[#This Row],[Product ID]],Products!A:A,0))</f>
        <v>378</v>
      </c>
      <c r="W3141" s="77">
        <f>OrdersTable[[#This Row],[Quantity]]*OrdersTable[[#This Row],[Unit Cost]]</f>
        <v>756</v>
      </c>
      <c r="X3141" s="77">
        <f>'Dropdown Lists'!$I$2*(1+OrdersTable[[#This Row],[Returned]])</f>
        <v>60</v>
      </c>
      <c r="Y3141" s="76">
        <f>OrdersTable[[#This Row],[Net Revenue]]-OrdersTable[[#This Row],[COGS]]-OrdersTable[[#This Row],[Shipping Cost]]</f>
        <v>982</v>
      </c>
      <c r="Z3141" s="78">
        <f>IFERROR(OrdersTable[[#This Row],[Profit]]/OrdersTable[[#This Row],[Net Revenue]],0)</f>
        <v>0.5461624026696329</v>
      </c>
      <c r="AA3141" t="s">
        <v>18</v>
      </c>
      <c r="AB3141" s="79">
        <v>45812</v>
      </c>
      <c r="AC3141">
        <f>OrdersTable[[#This Row],[Delivery Date]]-OrdersTable[[#This Row],[Order Date]]</f>
        <v>3</v>
      </c>
      <c r="AD3141" t="str">
        <f>IF(OrdersTable[[#This Row],[Delivery Days]]&lt;=2, "Express (≤2d)", IF(OrdersTable[[#This Row],[Delivery Days]]&lt;=4, "Standard (3-4d)", "Delayed (5d+)"))</f>
        <v>Standard (3-4d)</v>
      </c>
      <c r="AE3141">
        <v>5</v>
      </c>
      <c r="AF3141">
        <v>0</v>
      </c>
    </row>
    <row r="3142" spans="1:32" ht="15" x14ac:dyDescent="0.35">
      <c r="A3142" t="s">
        <v>2411</v>
      </c>
      <c r="B3142" s="1">
        <v>45809</v>
      </c>
      <c r="C3142">
        <f>YEAR(OrdersTable[[#This Row],[Order Date]])</f>
        <v>2025</v>
      </c>
      <c r="D3142" s="2">
        <f>DATE(YEAR(OrdersTable[[#This Row],[Order Date]]),MONTH(OrdersTable[[#This Row],[Order Date]]),1)</f>
        <v>45809</v>
      </c>
      <c r="E3142">
        <f>MONTH(OrdersTable[[#This Row],[Order Date]])</f>
        <v>6</v>
      </c>
      <c r="F3142" t="s">
        <v>2412</v>
      </c>
      <c r="G3142" t="str">
        <f>IF(OrdersTable[[#This Row],[Order Date]]=_xlfn.MINIFS(Order_Date, Customer_ID, OrdersTable[[#This Row],[Customer ID]]), "New", "Repeat")</f>
        <v>New</v>
      </c>
      <c r="H3142" t="s">
        <v>95</v>
      </c>
      <c r="I3142" t="str">
        <f>INDEX(State!B:B,MATCH(OrdersTable[[#This Row],[State]],State!A:A,0))</f>
        <v>TG</v>
      </c>
      <c r="J3142" t="str">
        <f>INDEX(State!C:C,MATCH(OrdersTable[[#This Row],[State Code]],State!B:B,0))</f>
        <v>South</v>
      </c>
      <c r="K3142" t="s">
        <v>96</v>
      </c>
      <c r="L3142" t="s">
        <v>65</v>
      </c>
      <c r="M3142" t="s">
        <v>255</v>
      </c>
      <c r="N3142" t="str">
        <f>INDEX(Products!B:B,MATCH(OrdersTable[[#This Row],[Product ID]],Products!A:A,0))</f>
        <v>Cotton Oversized T-Shirt</v>
      </c>
      <c r="O3142" t="str">
        <f>INDEX(Products!C:C,MATCH(OrdersTable[[#This Row],[Product ID]],Products!A:A,0))</f>
        <v>Apparel</v>
      </c>
      <c r="P3142">
        <v>1</v>
      </c>
      <c r="Q3142" s="5">
        <v>799</v>
      </c>
      <c r="R3142" s="74">
        <v>0</v>
      </c>
      <c r="S3142" s="75">
        <f>OrdersTable[[#This Row],[Quantity]]*OrdersTable[[#This Row],[Unit Price]]</f>
        <v>799</v>
      </c>
      <c r="T3142" s="5">
        <f>OrdersTable[[#This Row],[Gross Sale]]*OrdersTable[[#This Row],[Discount_Clean2]]</f>
        <v>0</v>
      </c>
      <c r="U3142" s="5">
        <f>OrdersTable[[#This Row],[Gross Sale]]-OrdersTable[[#This Row],[Discount Amount]]</f>
        <v>799</v>
      </c>
      <c r="V3142" s="77">
        <f>INDEX(Products!E:E,MATCH(OrdersTable[[#This Row],[Product ID]],Products!A:A,0))</f>
        <v>320</v>
      </c>
      <c r="W3142" s="77">
        <f>OrdersTable[[#This Row],[Quantity]]*OrdersTable[[#This Row],[Unit Cost]]</f>
        <v>320</v>
      </c>
      <c r="X3142" s="77">
        <f>'Dropdown Lists'!$I$2*(1+OrdersTable[[#This Row],[Returned]])</f>
        <v>60</v>
      </c>
      <c r="Y3142" s="76">
        <f>OrdersTable[[#This Row],[Net Revenue]]-OrdersTable[[#This Row],[COGS]]-OrdersTable[[#This Row],[Shipping Cost]]</f>
        <v>419</v>
      </c>
      <c r="Z3142" s="78">
        <f>IFERROR(OrdersTable[[#This Row],[Profit]]/OrdersTable[[#This Row],[Net Revenue]],0)</f>
        <v>0.52440550688360454</v>
      </c>
      <c r="AA3142" t="s">
        <v>18</v>
      </c>
      <c r="AB3142" s="79">
        <v>45813</v>
      </c>
      <c r="AC3142">
        <f>OrdersTable[[#This Row],[Delivery Date]]-OrdersTable[[#This Row],[Order Date]]</f>
        <v>4</v>
      </c>
      <c r="AD3142" t="str">
        <f>IF(OrdersTable[[#This Row],[Delivery Days]]&lt;=2, "Express (≤2d)", IF(OrdersTable[[#This Row],[Delivery Days]]&lt;=4, "Standard (3-4d)", "Delayed (5d+)"))</f>
        <v>Standard (3-4d)</v>
      </c>
      <c r="AE3142">
        <v>5</v>
      </c>
      <c r="AF3142">
        <v>0</v>
      </c>
    </row>
    <row r="3143" spans="1:32" ht="15" x14ac:dyDescent="0.35">
      <c r="A3143" t="s">
        <v>6590</v>
      </c>
      <c r="B3143" s="1">
        <v>45809</v>
      </c>
      <c r="C3143">
        <f>YEAR(OrdersTable[[#This Row],[Order Date]])</f>
        <v>2025</v>
      </c>
      <c r="D3143" s="2">
        <f>DATE(YEAR(OrdersTable[[#This Row],[Order Date]]),MONTH(OrdersTable[[#This Row],[Order Date]]),1)</f>
        <v>45809</v>
      </c>
      <c r="E3143">
        <f>MONTH(OrdersTable[[#This Row],[Order Date]])</f>
        <v>6</v>
      </c>
      <c r="F3143" t="s">
        <v>6228</v>
      </c>
      <c r="G3143" t="str">
        <f>IF(OrdersTable[[#This Row],[Order Date]]=_xlfn.MINIFS(Order_Date, Customer_ID, OrdersTable[[#This Row],[Customer ID]]), "New", "Repeat")</f>
        <v>Repeat</v>
      </c>
      <c r="H3143" t="s">
        <v>316</v>
      </c>
      <c r="I3143" t="str">
        <f>INDEX(State!B:B,MATCH(OrdersTable[[#This Row],[State]],State!A:A,0))</f>
        <v>KL</v>
      </c>
      <c r="J3143" t="str">
        <f>INDEX(State!C:C,MATCH(OrdersTable[[#This Row],[State Code]],State!B:B,0))</f>
        <v>South</v>
      </c>
      <c r="K3143" t="s">
        <v>317</v>
      </c>
      <c r="L3143" t="s">
        <v>23</v>
      </c>
      <c r="M3143" t="s">
        <v>152</v>
      </c>
      <c r="N3143" t="str">
        <f>INDEX(Products!B:B,MATCH(OrdersTable[[#This Row],[Product ID]],Products!A:A,0))</f>
        <v>Green Tea (100 bags)</v>
      </c>
      <c r="O3143" t="str">
        <f>INDEX(Products!C:C,MATCH(OrdersTable[[#This Row],[Product ID]],Products!A:A,0))</f>
        <v>Wellness</v>
      </c>
      <c r="P3143">
        <v>3</v>
      </c>
      <c r="Q3143" s="5">
        <v>399</v>
      </c>
      <c r="R3143" s="74">
        <v>0.35</v>
      </c>
      <c r="S3143" s="75">
        <f>OrdersTable[[#This Row],[Quantity]]*OrdersTable[[#This Row],[Unit Price]]</f>
        <v>1197</v>
      </c>
      <c r="T3143" s="5">
        <f>OrdersTable[[#This Row],[Gross Sale]]*OrdersTable[[#This Row],[Discount_Clean2]]</f>
        <v>418.95</v>
      </c>
      <c r="U3143" s="5">
        <f>OrdersTable[[#This Row],[Gross Sale]]-OrdersTable[[#This Row],[Discount Amount]]</f>
        <v>778.05</v>
      </c>
      <c r="V3143" s="77">
        <f>INDEX(Products!E:E,MATCH(OrdersTable[[#This Row],[Product ID]],Products!A:A,0))</f>
        <v>128</v>
      </c>
      <c r="W3143" s="77">
        <f>OrdersTable[[#This Row],[Quantity]]*OrdersTable[[#This Row],[Unit Cost]]</f>
        <v>384</v>
      </c>
      <c r="X3143" s="77">
        <f>'Dropdown Lists'!$I$2*(1+OrdersTable[[#This Row],[Returned]])</f>
        <v>60</v>
      </c>
      <c r="Y3143" s="76">
        <f>OrdersTable[[#This Row],[Net Revenue]]-OrdersTable[[#This Row],[COGS]]-OrdersTable[[#This Row],[Shipping Cost]]</f>
        <v>334.04999999999995</v>
      </c>
      <c r="Z3143" s="78">
        <f>IFERROR(OrdersTable[[#This Row],[Profit]]/OrdersTable[[#This Row],[Net Revenue]],0)</f>
        <v>0.42934258723732405</v>
      </c>
      <c r="AA3143" t="s">
        <v>18</v>
      </c>
      <c r="AB3143" s="79">
        <v>45812</v>
      </c>
      <c r="AC3143">
        <f>OrdersTable[[#This Row],[Delivery Date]]-OrdersTable[[#This Row],[Order Date]]</f>
        <v>3</v>
      </c>
      <c r="AD3143" t="str">
        <f>IF(OrdersTable[[#This Row],[Delivery Days]]&lt;=2, "Express (≤2d)", IF(OrdersTable[[#This Row],[Delivery Days]]&lt;=4, "Standard (3-4d)", "Delayed (5d+)"))</f>
        <v>Standard (3-4d)</v>
      </c>
      <c r="AE3143">
        <v>5</v>
      </c>
      <c r="AF3143">
        <v>0</v>
      </c>
    </row>
    <row r="3144" spans="1:32" ht="15" x14ac:dyDescent="0.35">
      <c r="A3144" t="s">
        <v>5950</v>
      </c>
      <c r="B3144" s="1">
        <v>45810</v>
      </c>
      <c r="C3144">
        <f>YEAR(OrdersTable[[#This Row],[Order Date]])</f>
        <v>2025</v>
      </c>
      <c r="D3144" s="2">
        <f>DATE(YEAR(OrdersTable[[#This Row],[Order Date]]),MONTH(OrdersTable[[#This Row],[Order Date]]),1)</f>
        <v>45809</v>
      </c>
      <c r="E3144">
        <f>MONTH(OrdersTable[[#This Row],[Order Date]])</f>
        <v>6</v>
      </c>
      <c r="F3144" t="s">
        <v>342</v>
      </c>
      <c r="G3144" t="str">
        <f>IF(OrdersTable[[#This Row],[Order Date]]=_xlfn.MINIFS(Order_Date, Customer_ID, OrdersTable[[#This Row],[Customer ID]]), "New", "Repeat")</f>
        <v>Repeat</v>
      </c>
      <c r="H3144" t="s">
        <v>158</v>
      </c>
      <c r="I3144" t="str">
        <f>INDEX(State!B:B,MATCH(OrdersTable[[#This Row],[State]],State!A:A,0))</f>
        <v>HP</v>
      </c>
      <c r="J3144" t="str">
        <f>INDEX(State!C:C,MATCH(OrdersTable[[#This Row],[State Code]],State!B:B,0))</f>
        <v>North</v>
      </c>
      <c r="K3144" t="s">
        <v>159</v>
      </c>
      <c r="L3144" t="s">
        <v>16</v>
      </c>
      <c r="M3144" t="s">
        <v>576</v>
      </c>
      <c r="N3144" t="str">
        <f>INDEX(Products!B:B,MATCH(OrdersTable[[#This Row],[Product ID]],Products!A:A,0))</f>
        <v>Printed Saree</v>
      </c>
      <c r="O3144" t="str">
        <f>INDEX(Products!C:C,MATCH(OrdersTable[[#This Row],[Product ID]],Products!A:A,0))</f>
        <v>Apparel</v>
      </c>
      <c r="P3144">
        <v>2</v>
      </c>
      <c r="Q3144" s="5">
        <v>1999</v>
      </c>
      <c r="R3144" s="74">
        <v>0.05</v>
      </c>
      <c r="S3144" s="75">
        <f>OrdersTable[[#This Row],[Quantity]]*OrdersTable[[#This Row],[Unit Price]]</f>
        <v>3998</v>
      </c>
      <c r="T3144" s="5">
        <f>OrdersTable[[#This Row],[Gross Sale]]*OrdersTable[[#This Row],[Discount_Clean2]]</f>
        <v>199.9</v>
      </c>
      <c r="U3144" s="5">
        <f>OrdersTable[[#This Row],[Gross Sale]]-OrdersTable[[#This Row],[Discount Amount]]</f>
        <v>3798.1</v>
      </c>
      <c r="V3144" s="77">
        <f>INDEX(Products!E:E,MATCH(OrdersTable[[#This Row],[Product ID]],Products!A:A,0))</f>
        <v>880</v>
      </c>
      <c r="W3144" s="77">
        <f>OrdersTable[[#This Row],[Quantity]]*OrdersTable[[#This Row],[Unit Cost]]</f>
        <v>1760</v>
      </c>
      <c r="X3144" s="77">
        <f>'Dropdown Lists'!$I$2*(1+OrdersTable[[#This Row],[Returned]])</f>
        <v>60</v>
      </c>
      <c r="Y3144" s="76">
        <f>OrdersTable[[#This Row],[Net Revenue]]-OrdersTable[[#This Row],[COGS]]-OrdersTable[[#This Row],[Shipping Cost]]</f>
        <v>1978.1</v>
      </c>
      <c r="Z3144" s="78">
        <f>IFERROR(OrdersTable[[#This Row],[Profit]]/OrdersTable[[#This Row],[Net Revenue]],0)</f>
        <v>0.52081303809799639</v>
      </c>
      <c r="AA3144" t="s">
        <v>18</v>
      </c>
      <c r="AB3144" s="79">
        <v>45816</v>
      </c>
      <c r="AC3144">
        <f>OrdersTable[[#This Row],[Delivery Date]]-OrdersTable[[#This Row],[Order Date]]</f>
        <v>6</v>
      </c>
      <c r="AD3144" t="str">
        <f>IF(OrdersTable[[#This Row],[Delivery Days]]&lt;=2, "Express (≤2d)", IF(OrdersTable[[#This Row],[Delivery Days]]&lt;=4, "Standard (3-4d)", "Delayed (5d+)"))</f>
        <v>Delayed (5d+)</v>
      </c>
      <c r="AF3144">
        <v>0</v>
      </c>
    </row>
    <row r="3145" spans="1:32" ht="15" x14ac:dyDescent="0.35">
      <c r="A3145" t="s">
        <v>3064</v>
      </c>
      <c r="B3145" s="1">
        <v>45810</v>
      </c>
      <c r="C3145">
        <f>YEAR(OrdersTable[[#This Row],[Order Date]])</f>
        <v>2025</v>
      </c>
      <c r="D3145" s="2">
        <f>DATE(YEAR(OrdersTable[[#This Row],[Order Date]]),MONTH(OrdersTable[[#This Row],[Order Date]]),1)</f>
        <v>45809</v>
      </c>
      <c r="E3145">
        <f>MONTH(OrdersTable[[#This Row],[Order Date]])</f>
        <v>6</v>
      </c>
      <c r="F3145" t="s">
        <v>2738</v>
      </c>
      <c r="G3145" t="str">
        <f>IF(OrdersTable[[#This Row],[Order Date]]=_xlfn.MINIFS(Order_Date, Customer_ID, OrdersTable[[#This Row],[Customer ID]]), "New", "Repeat")</f>
        <v>Repeat</v>
      </c>
      <c r="H3145" t="s">
        <v>184</v>
      </c>
      <c r="I3145" t="str">
        <f>INDEX(State!B:B,MATCH(OrdersTable[[#This Row],[State]],State!A:A,0))</f>
        <v>UK</v>
      </c>
      <c r="J3145" t="str">
        <f>INDEX(State!C:C,MATCH(OrdersTable[[#This Row],[State Code]],State!B:B,0))</f>
        <v>North</v>
      </c>
      <c r="K3145" t="s">
        <v>185</v>
      </c>
      <c r="L3145" t="s">
        <v>16</v>
      </c>
      <c r="M3145" t="s">
        <v>87</v>
      </c>
      <c r="N3145" t="str">
        <f>INDEX(Products!B:B,MATCH(OrdersTable[[#This Row],[Product ID]],Products!A:A,0))</f>
        <v>Linen Kurta</v>
      </c>
      <c r="O3145" t="str">
        <f>INDEX(Products!C:C,MATCH(OrdersTable[[#This Row],[Product ID]],Products!A:A,0))</f>
        <v>Apparel</v>
      </c>
      <c r="P3145">
        <v>1</v>
      </c>
      <c r="Q3145" s="5">
        <v>1499</v>
      </c>
      <c r="R3145" s="74">
        <v>0.3</v>
      </c>
      <c r="S3145" s="75">
        <f>OrdersTable[[#This Row],[Quantity]]*OrdersTable[[#This Row],[Unit Price]]</f>
        <v>1499</v>
      </c>
      <c r="T3145" s="5">
        <f>OrdersTable[[#This Row],[Gross Sale]]*OrdersTable[[#This Row],[Discount_Clean2]]</f>
        <v>449.7</v>
      </c>
      <c r="U3145" s="5">
        <f>OrdersTable[[#This Row],[Gross Sale]]-OrdersTable[[#This Row],[Discount Amount]]</f>
        <v>1049.3</v>
      </c>
      <c r="V3145" s="77">
        <f>INDEX(Products!E:E,MATCH(OrdersTable[[#This Row],[Product ID]],Products!A:A,0))</f>
        <v>630</v>
      </c>
      <c r="W3145" s="77">
        <f>OrdersTable[[#This Row],[Quantity]]*OrdersTable[[#This Row],[Unit Cost]]</f>
        <v>630</v>
      </c>
      <c r="X3145" s="77">
        <f>'Dropdown Lists'!$I$2*(1+OrdersTable[[#This Row],[Returned]])</f>
        <v>60</v>
      </c>
      <c r="Y3145" s="76">
        <f>OrdersTable[[#This Row],[Net Revenue]]-OrdersTable[[#This Row],[COGS]]-OrdersTable[[#This Row],[Shipping Cost]]</f>
        <v>359.29999999999995</v>
      </c>
      <c r="Z3145" s="78">
        <f>IFERROR(OrdersTable[[#This Row],[Profit]]/OrdersTable[[#This Row],[Net Revenue]],0)</f>
        <v>0.34241875536071664</v>
      </c>
      <c r="AA3145" t="s">
        <v>2522</v>
      </c>
      <c r="AB3145" s="79">
        <v>45814</v>
      </c>
      <c r="AC3145">
        <f>OrdersTable[[#This Row],[Delivery Date]]-OrdersTable[[#This Row],[Order Date]]</f>
        <v>4</v>
      </c>
      <c r="AD3145" t="str">
        <f>IF(OrdersTable[[#This Row],[Delivery Days]]&lt;=2, "Express (≤2d)", IF(OrdersTable[[#This Row],[Delivery Days]]&lt;=4, "Standard (3-4d)", "Delayed (5d+)"))</f>
        <v>Standard (3-4d)</v>
      </c>
      <c r="AF3145">
        <v>0</v>
      </c>
    </row>
    <row r="3146" spans="1:32" ht="15" x14ac:dyDescent="0.35">
      <c r="A3146" t="s">
        <v>6591</v>
      </c>
      <c r="B3146" s="1">
        <v>45810</v>
      </c>
      <c r="C3146">
        <f>YEAR(OrdersTable[[#This Row],[Order Date]])</f>
        <v>2025</v>
      </c>
      <c r="D3146" s="2">
        <f>DATE(YEAR(OrdersTable[[#This Row],[Order Date]]),MONTH(OrdersTable[[#This Row],[Order Date]]),1)</f>
        <v>45809</v>
      </c>
      <c r="E3146">
        <f>MONTH(OrdersTable[[#This Row],[Order Date]])</f>
        <v>6</v>
      </c>
      <c r="F3146" t="s">
        <v>6592</v>
      </c>
      <c r="G3146" t="str">
        <f>IF(OrdersTable[[#This Row],[Order Date]]=_xlfn.MINIFS(Order_Date, Customer_ID, OrdersTable[[#This Row],[Customer ID]]), "New", "Repeat")</f>
        <v>New</v>
      </c>
      <c r="H3146" t="s">
        <v>54</v>
      </c>
      <c r="I3146" t="str">
        <f>INDEX(State!B:B,MATCH(OrdersTable[[#This Row],[State]],State!A:A,0))</f>
        <v>RJ</v>
      </c>
      <c r="J3146" t="str">
        <f>INDEX(State!C:C,MATCH(OrdersTable[[#This Row],[State Code]],State!B:B,0))</f>
        <v>North</v>
      </c>
      <c r="K3146" t="s">
        <v>227</v>
      </c>
      <c r="L3146" t="s">
        <v>23</v>
      </c>
      <c r="M3146" t="s">
        <v>179</v>
      </c>
      <c r="N3146" t="str">
        <f>INDEX(Products!B:B,MATCH(OrdersTable[[#This Row],[Product ID]],Products!A:A,0))</f>
        <v>Whey Protein 1kg</v>
      </c>
      <c r="O3146" t="str">
        <f>INDEX(Products!C:C,MATCH(OrdersTable[[#This Row],[Product ID]],Products!A:A,0))</f>
        <v>Wellness</v>
      </c>
      <c r="P3146">
        <v>3</v>
      </c>
      <c r="Q3146" s="5">
        <v>2299</v>
      </c>
      <c r="R3146" s="74">
        <v>0.4</v>
      </c>
      <c r="S3146" s="75">
        <f>OrdersTable[[#This Row],[Quantity]]*OrdersTable[[#This Row],[Unit Price]]</f>
        <v>6897</v>
      </c>
      <c r="T3146" s="5">
        <f>OrdersTable[[#This Row],[Gross Sale]]*OrdersTable[[#This Row],[Discount_Clean2]]</f>
        <v>2758.8</v>
      </c>
      <c r="U3146" s="5">
        <f>OrdersTable[[#This Row],[Gross Sale]]-OrdersTable[[#This Row],[Discount Amount]]</f>
        <v>4138.2</v>
      </c>
      <c r="V3146" s="77">
        <f>INDEX(Products!E:E,MATCH(OrdersTable[[#This Row],[Product ID]],Products!A:A,0))</f>
        <v>1333</v>
      </c>
      <c r="W3146" s="77">
        <f>OrdersTable[[#This Row],[Quantity]]*OrdersTable[[#This Row],[Unit Cost]]</f>
        <v>3999</v>
      </c>
      <c r="X3146" s="77">
        <f>'Dropdown Lists'!$I$2*(1+OrdersTable[[#This Row],[Returned]])</f>
        <v>60</v>
      </c>
      <c r="Y3146" s="76">
        <f>OrdersTable[[#This Row],[Net Revenue]]-OrdersTable[[#This Row],[COGS]]-OrdersTable[[#This Row],[Shipping Cost]]</f>
        <v>79.199999999999818</v>
      </c>
      <c r="Z3146" s="78">
        <f>IFERROR(OrdersTable[[#This Row],[Profit]]/OrdersTable[[#This Row],[Net Revenue]],0)</f>
        <v>1.9138755980861202E-2</v>
      </c>
      <c r="AA3146" t="s">
        <v>18</v>
      </c>
      <c r="AB3146" s="79">
        <v>45812</v>
      </c>
      <c r="AC3146">
        <f>OrdersTable[[#This Row],[Delivery Date]]-OrdersTable[[#This Row],[Order Date]]</f>
        <v>2</v>
      </c>
      <c r="AD3146" t="str">
        <f>IF(OrdersTable[[#This Row],[Delivery Days]]&lt;=2, "Express (≤2d)", IF(OrdersTable[[#This Row],[Delivery Days]]&lt;=4, "Standard (3-4d)", "Delayed (5d+)"))</f>
        <v>Express (≤2d)</v>
      </c>
      <c r="AE3146">
        <v>5</v>
      </c>
      <c r="AF3146">
        <v>0</v>
      </c>
    </row>
    <row r="3147" spans="1:32" ht="15" x14ac:dyDescent="0.35">
      <c r="A3147" t="s">
        <v>3065</v>
      </c>
      <c r="B3147" s="1">
        <v>45810</v>
      </c>
      <c r="C3147">
        <f>YEAR(OrdersTable[[#This Row],[Order Date]])</f>
        <v>2025</v>
      </c>
      <c r="D3147" s="2">
        <f>DATE(YEAR(OrdersTable[[#This Row],[Order Date]]),MONTH(OrdersTable[[#This Row],[Order Date]]),1)</f>
        <v>45809</v>
      </c>
      <c r="E3147">
        <f>MONTH(OrdersTable[[#This Row],[Order Date]])</f>
        <v>6</v>
      </c>
      <c r="F3147" t="s">
        <v>2719</v>
      </c>
      <c r="G3147" t="str">
        <f>IF(OrdersTable[[#This Row],[Order Date]]=_xlfn.MINIFS(Order_Date, Customer_ID, OrdersTable[[#This Row],[Customer ID]]), "New", "Repeat")</f>
        <v>Repeat</v>
      </c>
      <c r="H3147" t="s">
        <v>71</v>
      </c>
      <c r="I3147" t="str">
        <f>INDEX(State!B:B,MATCH(OrdersTable[[#This Row],[State]],State!A:A,0))</f>
        <v>MH</v>
      </c>
      <c r="J3147" t="str">
        <f>INDEX(State!C:C,MATCH(OrdersTable[[#This Row],[State Code]],State!B:B,0))</f>
        <v>West</v>
      </c>
      <c r="K3147" t="s">
        <v>72</v>
      </c>
      <c r="L3147" t="s">
        <v>65</v>
      </c>
      <c r="M3147" t="s">
        <v>56</v>
      </c>
      <c r="N3147" t="str">
        <f>INDEX(Products!B:B,MATCH(OrdersTable[[#This Row],[Product ID]],Products!A:A,0))</f>
        <v>Vitamin C Face Serum</v>
      </c>
      <c r="O3147" t="str">
        <f>INDEX(Products!C:C,MATCH(OrdersTable[[#This Row],[Product ID]],Products!A:A,0))</f>
        <v>Skincare</v>
      </c>
      <c r="P3147">
        <v>1</v>
      </c>
      <c r="Q3147" s="5">
        <v>599</v>
      </c>
      <c r="R3147" s="74">
        <v>0.15</v>
      </c>
      <c r="S3147" s="75">
        <f>OrdersTable[[#This Row],[Quantity]]*OrdersTable[[#This Row],[Unit Price]]</f>
        <v>599</v>
      </c>
      <c r="T3147" s="5">
        <f>OrdersTable[[#This Row],[Gross Sale]]*OrdersTable[[#This Row],[Discount_Clean2]]</f>
        <v>89.85</v>
      </c>
      <c r="U3147" s="5">
        <f>OrdersTable[[#This Row],[Gross Sale]]-OrdersTable[[#This Row],[Discount Amount]]</f>
        <v>509.15</v>
      </c>
      <c r="V3147" s="77">
        <f>INDEX(Products!E:E,MATCH(OrdersTable[[#This Row],[Product ID]],Products!A:A,0))</f>
        <v>180</v>
      </c>
      <c r="W3147" s="77">
        <f>OrdersTable[[#This Row],[Quantity]]*OrdersTable[[#This Row],[Unit Cost]]</f>
        <v>180</v>
      </c>
      <c r="X3147" s="77">
        <f>'Dropdown Lists'!$I$2*(1+OrdersTable[[#This Row],[Returned]])</f>
        <v>60</v>
      </c>
      <c r="Y3147" s="76">
        <f>OrdersTable[[#This Row],[Net Revenue]]-OrdersTable[[#This Row],[COGS]]-OrdersTable[[#This Row],[Shipping Cost]]</f>
        <v>269.14999999999998</v>
      </c>
      <c r="Z3147" s="78">
        <f>IFERROR(OrdersTable[[#This Row],[Profit]]/OrdersTable[[#This Row],[Net Revenue]],0)</f>
        <v>0.52862614160856325</v>
      </c>
      <c r="AA3147" t="s">
        <v>2522</v>
      </c>
      <c r="AB3147" s="79">
        <v>45813</v>
      </c>
      <c r="AC3147">
        <f>OrdersTable[[#This Row],[Delivery Date]]-OrdersTable[[#This Row],[Order Date]]</f>
        <v>3</v>
      </c>
      <c r="AD3147" t="str">
        <f>IF(OrdersTable[[#This Row],[Delivery Days]]&lt;=2, "Express (≤2d)", IF(OrdersTable[[#This Row],[Delivery Days]]&lt;=4, "Standard (3-4d)", "Delayed (5d+)"))</f>
        <v>Standard (3-4d)</v>
      </c>
      <c r="AF3147">
        <v>0</v>
      </c>
    </row>
    <row r="3148" spans="1:32" ht="15" x14ac:dyDescent="0.35">
      <c r="A3148" t="s">
        <v>6593</v>
      </c>
      <c r="B3148" s="1">
        <v>45810</v>
      </c>
      <c r="C3148">
        <f>YEAR(OrdersTable[[#This Row],[Order Date]])</f>
        <v>2025</v>
      </c>
      <c r="D3148" s="2">
        <f>DATE(YEAR(OrdersTable[[#This Row],[Order Date]]),MONTH(OrdersTable[[#This Row],[Order Date]]),1)</f>
        <v>45809</v>
      </c>
      <c r="E3148">
        <f>MONTH(OrdersTable[[#This Row],[Order Date]])</f>
        <v>6</v>
      </c>
      <c r="F3148" t="s">
        <v>891</v>
      </c>
      <c r="G3148" t="str">
        <f>IF(OrdersTable[[#This Row],[Order Date]]=_xlfn.MINIFS(Order_Date, Customer_ID, OrdersTable[[#This Row],[Customer ID]]), "New", "Repeat")</f>
        <v>Repeat</v>
      </c>
      <c r="H3148" t="s">
        <v>71</v>
      </c>
      <c r="I3148" t="str">
        <f>INDEX(State!B:B,MATCH(OrdersTable[[#This Row],[State]],State!A:A,0))</f>
        <v>MH</v>
      </c>
      <c r="J3148" t="str">
        <f>INDEX(State!C:C,MATCH(OrdersTable[[#This Row],[State Code]],State!B:B,0))</f>
        <v>West</v>
      </c>
      <c r="K3148" t="s">
        <v>102</v>
      </c>
      <c r="L3148" t="s">
        <v>65</v>
      </c>
      <c r="M3148" t="s">
        <v>205</v>
      </c>
      <c r="N3148" t="str">
        <f>INDEX(Products!B:B,MATCH(OrdersTable[[#This Row],[Product ID]],Products!A:A,0))</f>
        <v>Running Shoes</v>
      </c>
      <c r="O3148" t="str">
        <f>INDEX(Products!C:C,MATCH(OrdersTable[[#This Row],[Product ID]],Products!A:A,0))</f>
        <v>Footwear</v>
      </c>
      <c r="P3148">
        <v>3</v>
      </c>
      <c r="Q3148" s="5">
        <v>2999</v>
      </c>
      <c r="R3148" s="74">
        <v>0.25</v>
      </c>
      <c r="S3148" s="75">
        <f>OrdersTable[[#This Row],[Quantity]]*OrdersTable[[#This Row],[Unit Price]]</f>
        <v>8997</v>
      </c>
      <c r="T3148" s="5">
        <f>OrdersTable[[#This Row],[Gross Sale]]*OrdersTable[[#This Row],[Discount_Clean2]]</f>
        <v>2249.25</v>
      </c>
      <c r="U3148" s="5">
        <f>OrdersTable[[#This Row],[Gross Sale]]-OrdersTable[[#This Row],[Discount Amount]]</f>
        <v>6747.75</v>
      </c>
      <c r="V3148" s="77">
        <f>INDEX(Products!E:E,MATCH(OrdersTable[[#This Row],[Product ID]],Products!A:A,0))</f>
        <v>1440</v>
      </c>
      <c r="W3148" s="77">
        <f>OrdersTable[[#This Row],[Quantity]]*OrdersTable[[#This Row],[Unit Cost]]</f>
        <v>4320</v>
      </c>
      <c r="X3148" s="77">
        <f>'Dropdown Lists'!$I$2*(1+OrdersTable[[#This Row],[Returned]])</f>
        <v>120</v>
      </c>
      <c r="Y3148" s="76">
        <f>OrdersTable[[#This Row],[Net Revenue]]-OrdersTable[[#This Row],[COGS]]-OrdersTable[[#This Row],[Shipping Cost]]</f>
        <v>2307.75</v>
      </c>
      <c r="Z3148" s="78">
        <f>IFERROR(OrdersTable[[#This Row],[Profit]]/OrdersTable[[#This Row],[Net Revenue]],0)</f>
        <v>0.34200288985217292</v>
      </c>
      <c r="AA3148" t="s">
        <v>18</v>
      </c>
      <c r="AB3148" s="79">
        <v>45812</v>
      </c>
      <c r="AC3148">
        <f>OrdersTable[[#This Row],[Delivery Date]]-OrdersTable[[#This Row],[Order Date]]</f>
        <v>2</v>
      </c>
      <c r="AD3148" t="str">
        <f>IF(OrdersTable[[#This Row],[Delivery Days]]&lt;=2, "Express (≤2d)", IF(OrdersTable[[#This Row],[Delivery Days]]&lt;=4, "Standard (3-4d)", "Delayed (5d+)"))</f>
        <v>Express (≤2d)</v>
      </c>
      <c r="AF3148">
        <v>1</v>
      </c>
    </row>
    <row r="3149" spans="1:32" ht="15" x14ac:dyDescent="0.35">
      <c r="A3149" t="s">
        <v>7100</v>
      </c>
      <c r="B3149" s="1">
        <v>45810</v>
      </c>
      <c r="C3149">
        <f>YEAR(OrdersTable[[#This Row],[Order Date]])</f>
        <v>2025</v>
      </c>
      <c r="D3149" s="2">
        <f>DATE(YEAR(OrdersTable[[#This Row],[Order Date]]),MONTH(OrdersTable[[#This Row],[Order Date]]),1)</f>
        <v>45809</v>
      </c>
      <c r="E3149">
        <f>MONTH(OrdersTable[[#This Row],[Order Date]])</f>
        <v>6</v>
      </c>
      <c r="F3149" t="s">
        <v>3942</v>
      </c>
      <c r="G3149" t="str">
        <f>IF(OrdersTable[[#This Row],[Order Date]]=_xlfn.MINIFS(Order_Date, Customer_ID, OrdersTable[[#This Row],[Customer ID]]), "New", "Repeat")</f>
        <v>New</v>
      </c>
      <c r="H3149" t="s">
        <v>95</v>
      </c>
      <c r="I3149" t="str">
        <f>INDEX(State!B:B,MATCH(OrdersTable[[#This Row],[State]],State!A:A,0))</f>
        <v>TG</v>
      </c>
      <c r="J3149" t="str">
        <f>INDEX(State!C:C,MATCH(OrdersTable[[#This Row],[State Code]],State!B:B,0))</f>
        <v>South</v>
      </c>
      <c r="K3149" t="s">
        <v>96</v>
      </c>
      <c r="L3149" t="s">
        <v>16</v>
      </c>
      <c r="M3149" t="s">
        <v>87</v>
      </c>
      <c r="N3149" t="str">
        <f>INDEX(Products!B:B,MATCH(OrdersTable[[#This Row],[Product ID]],Products!A:A,0))</f>
        <v>Linen Kurta</v>
      </c>
      <c r="O3149" t="str">
        <f>INDEX(Products!C:C,MATCH(OrdersTable[[#This Row],[Product ID]],Products!A:A,0))</f>
        <v>Apparel</v>
      </c>
      <c r="P3149">
        <v>4</v>
      </c>
      <c r="Q3149" s="5">
        <v>1499</v>
      </c>
      <c r="R3149" s="74">
        <v>0.3</v>
      </c>
      <c r="S3149" s="75">
        <f>OrdersTable[[#This Row],[Quantity]]*OrdersTable[[#This Row],[Unit Price]]</f>
        <v>5996</v>
      </c>
      <c r="T3149" s="5">
        <f>OrdersTable[[#This Row],[Gross Sale]]*OrdersTable[[#This Row],[Discount_Clean2]]</f>
        <v>1798.8</v>
      </c>
      <c r="U3149" s="5">
        <f>OrdersTable[[#This Row],[Gross Sale]]-OrdersTable[[#This Row],[Discount Amount]]</f>
        <v>4197.2</v>
      </c>
      <c r="V3149" s="77">
        <f>INDEX(Products!E:E,MATCH(OrdersTable[[#This Row],[Product ID]],Products!A:A,0))</f>
        <v>630</v>
      </c>
      <c r="W3149" s="77">
        <f>OrdersTable[[#This Row],[Quantity]]*OrdersTable[[#This Row],[Unit Cost]]</f>
        <v>2520</v>
      </c>
      <c r="X3149" s="77">
        <f>'Dropdown Lists'!$I$2*(1+OrdersTable[[#This Row],[Returned]])</f>
        <v>60</v>
      </c>
      <c r="Y3149" s="76">
        <f>OrdersTable[[#This Row],[Net Revenue]]-OrdersTable[[#This Row],[COGS]]-OrdersTable[[#This Row],[Shipping Cost]]</f>
        <v>1617.1999999999998</v>
      </c>
      <c r="Z3149" s="78">
        <f>IFERROR(OrdersTable[[#This Row],[Profit]]/OrdersTable[[#This Row],[Net Revenue]],0)</f>
        <v>0.38530448870675688</v>
      </c>
      <c r="AA3149" t="s">
        <v>18</v>
      </c>
      <c r="AB3149" s="79">
        <v>45811</v>
      </c>
      <c r="AC3149">
        <f>OrdersTable[[#This Row],[Delivery Date]]-OrdersTable[[#This Row],[Order Date]]</f>
        <v>1</v>
      </c>
      <c r="AD3149" t="str">
        <f>IF(OrdersTable[[#This Row],[Delivery Days]]&lt;=2, "Express (≤2d)", IF(OrdersTable[[#This Row],[Delivery Days]]&lt;=4, "Standard (3-4d)", "Delayed (5d+)"))</f>
        <v>Express (≤2d)</v>
      </c>
      <c r="AE3149">
        <v>4</v>
      </c>
      <c r="AF3149">
        <v>0</v>
      </c>
    </row>
    <row r="3150" spans="1:32" ht="15" x14ac:dyDescent="0.35">
      <c r="A3150" t="s">
        <v>3289</v>
      </c>
      <c r="B3150" s="1">
        <v>45810</v>
      </c>
      <c r="C3150">
        <f>YEAR(OrdersTable[[#This Row],[Order Date]])</f>
        <v>2025</v>
      </c>
      <c r="D3150" s="2">
        <f>DATE(YEAR(OrdersTable[[#This Row],[Order Date]]),MONTH(OrdersTable[[#This Row],[Order Date]]),1)</f>
        <v>45809</v>
      </c>
      <c r="E3150">
        <f>MONTH(OrdersTable[[#This Row],[Order Date]])</f>
        <v>6</v>
      </c>
      <c r="F3150" t="s">
        <v>3290</v>
      </c>
      <c r="G3150" t="str">
        <f>IF(OrdersTable[[#This Row],[Order Date]]=_xlfn.MINIFS(Order_Date, Customer_ID, OrdersTable[[#This Row],[Customer ID]]), "New", "Repeat")</f>
        <v>New</v>
      </c>
      <c r="H3150" t="s">
        <v>90</v>
      </c>
      <c r="I3150" t="str">
        <f>INDEX(State!B:B,MATCH(OrdersTable[[#This Row],[State]],State!A:A,0))</f>
        <v>GA</v>
      </c>
      <c r="J3150" t="str">
        <f>INDEX(State!C:C,MATCH(OrdersTable[[#This Row],[State Code]],State!B:B,0))</f>
        <v>West</v>
      </c>
      <c r="K3150" t="s">
        <v>91</v>
      </c>
      <c r="L3150" t="s">
        <v>23</v>
      </c>
      <c r="M3150" t="s">
        <v>84</v>
      </c>
      <c r="N3150" t="str">
        <f>INDEX(Products!B:B,MATCH(OrdersTable[[#This Row],[Product ID]],Products!A:A,0))</f>
        <v>Cotton Bedsheet</v>
      </c>
      <c r="O3150" t="str">
        <f>INDEX(Products!C:C,MATCH(OrdersTable[[#This Row],[Product ID]],Products!A:A,0))</f>
        <v>Home &amp; Kitchen</v>
      </c>
      <c r="P3150">
        <v>1</v>
      </c>
      <c r="Q3150" s="5">
        <v>1299</v>
      </c>
      <c r="R3150" s="74">
        <v>0</v>
      </c>
      <c r="S3150" s="75">
        <f>OrdersTable[[#This Row],[Quantity]]*OrdersTable[[#This Row],[Unit Price]]</f>
        <v>1299</v>
      </c>
      <c r="T3150" s="5">
        <f>OrdersTable[[#This Row],[Gross Sale]]*OrdersTable[[#This Row],[Discount_Clean2]]</f>
        <v>0</v>
      </c>
      <c r="U3150" s="5">
        <f>OrdersTable[[#This Row],[Gross Sale]]-OrdersTable[[#This Row],[Discount Amount]]</f>
        <v>1299</v>
      </c>
      <c r="V3150" s="77">
        <f>INDEX(Products!E:E,MATCH(OrdersTable[[#This Row],[Product ID]],Products!A:A,0))</f>
        <v>585</v>
      </c>
      <c r="W3150" s="77">
        <f>OrdersTable[[#This Row],[Quantity]]*OrdersTable[[#This Row],[Unit Cost]]</f>
        <v>585</v>
      </c>
      <c r="X3150" s="77">
        <f>'Dropdown Lists'!$I$2*(1+OrdersTable[[#This Row],[Returned]])</f>
        <v>60</v>
      </c>
      <c r="Y3150" s="76">
        <f>OrdersTable[[#This Row],[Net Revenue]]-OrdersTable[[#This Row],[COGS]]-OrdersTable[[#This Row],[Shipping Cost]]</f>
        <v>654</v>
      </c>
      <c r="Z3150" s="78">
        <f>IFERROR(OrdersTable[[#This Row],[Profit]]/OrdersTable[[#This Row],[Net Revenue]],0)</f>
        <v>0.50346420323325636</v>
      </c>
      <c r="AA3150" t="s">
        <v>2522</v>
      </c>
      <c r="AB3150" s="79">
        <v>45813</v>
      </c>
      <c r="AC3150">
        <f>OrdersTable[[#This Row],[Delivery Date]]-OrdersTable[[#This Row],[Order Date]]</f>
        <v>3</v>
      </c>
      <c r="AD3150" t="str">
        <f>IF(OrdersTable[[#This Row],[Delivery Days]]&lt;=2, "Express (≤2d)", IF(OrdersTable[[#This Row],[Delivery Days]]&lt;=4, "Standard (3-4d)", "Delayed (5d+)"))</f>
        <v>Standard (3-4d)</v>
      </c>
      <c r="AE3150">
        <v>4</v>
      </c>
      <c r="AF3150">
        <v>0</v>
      </c>
    </row>
    <row r="3151" spans="1:32" ht="15" x14ac:dyDescent="0.35">
      <c r="A3151" t="s">
        <v>6594</v>
      </c>
      <c r="B3151" s="1">
        <v>45810</v>
      </c>
      <c r="C3151">
        <f>YEAR(OrdersTable[[#This Row],[Order Date]])</f>
        <v>2025</v>
      </c>
      <c r="D3151" s="2">
        <f>DATE(YEAR(OrdersTable[[#This Row],[Order Date]]),MONTH(OrdersTable[[#This Row],[Order Date]]),1)</f>
        <v>45809</v>
      </c>
      <c r="E3151">
        <f>MONTH(OrdersTable[[#This Row],[Order Date]])</f>
        <v>6</v>
      </c>
      <c r="F3151" t="s">
        <v>907</v>
      </c>
      <c r="G3151" t="str">
        <f>IF(OrdersTable[[#This Row],[Order Date]]=_xlfn.MINIFS(Order_Date, Customer_ID, OrdersTable[[#This Row],[Customer ID]]), "New", "Repeat")</f>
        <v>Repeat</v>
      </c>
      <c r="H3151" t="s">
        <v>316</v>
      </c>
      <c r="I3151" t="str">
        <f>INDEX(State!B:B,MATCH(OrdersTable[[#This Row],[State]],State!A:A,0))</f>
        <v>KL</v>
      </c>
      <c r="J3151" t="str">
        <f>INDEX(State!C:C,MATCH(OrdersTable[[#This Row],[State Code]],State!B:B,0))</f>
        <v>South</v>
      </c>
      <c r="K3151" t="s">
        <v>338</v>
      </c>
      <c r="L3151" t="s">
        <v>23</v>
      </c>
      <c r="M3151" t="s">
        <v>40</v>
      </c>
      <c r="N3151" t="str">
        <f>INDEX(Products!B:B,MATCH(OrdersTable[[#This Row],[Product ID]],Products!A:A,0))</f>
        <v>Ashwagandha Capsules</v>
      </c>
      <c r="O3151" t="str">
        <f>INDEX(Products!C:C,MATCH(OrdersTable[[#This Row],[Product ID]],Products!A:A,0))</f>
        <v>Wellness</v>
      </c>
      <c r="P3151">
        <v>3</v>
      </c>
      <c r="Q3151" s="5">
        <v>499</v>
      </c>
      <c r="R3151" s="74">
        <v>0.1</v>
      </c>
      <c r="S3151" s="75">
        <f>OrdersTable[[#This Row],[Quantity]]*OrdersTable[[#This Row],[Unit Price]]</f>
        <v>1497</v>
      </c>
      <c r="T3151" s="5">
        <f>OrdersTable[[#This Row],[Gross Sale]]*OrdersTable[[#This Row],[Discount_Clean2]]</f>
        <v>149.70000000000002</v>
      </c>
      <c r="U3151" s="5">
        <f>OrdersTable[[#This Row],[Gross Sale]]-OrdersTable[[#This Row],[Discount Amount]]</f>
        <v>1347.3</v>
      </c>
      <c r="V3151" s="77">
        <f>INDEX(Products!E:E,MATCH(OrdersTable[[#This Row],[Product ID]],Products!A:A,0))</f>
        <v>150</v>
      </c>
      <c r="W3151" s="77">
        <f>OrdersTable[[#This Row],[Quantity]]*OrdersTable[[#This Row],[Unit Cost]]</f>
        <v>450</v>
      </c>
      <c r="X3151" s="77">
        <f>'Dropdown Lists'!$I$2*(1+OrdersTable[[#This Row],[Returned]])</f>
        <v>60</v>
      </c>
      <c r="Y3151" s="76">
        <f>OrdersTable[[#This Row],[Net Revenue]]-OrdersTable[[#This Row],[COGS]]-OrdersTable[[#This Row],[Shipping Cost]]</f>
        <v>837.3</v>
      </c>
      <c r="Z3151" s="78">
        <f>IFERROR(OrdersTable[[#This Row],[Profit]]/OrdersTable[[#This Row],[Net Revenue]],0)</f>
        <v>0.62146515252727674</v>
      </c>
      <c r="AA3151" t="s">
        <v>18</v>
      </c>
      <c r="AB3151" s="79">
        <v>45812</v>
      </c>
      <c r="AC3151">
        <f>OrdersTable[[#This Row],[Delivery Date]]-OrdersTable[[#This Row],[Order Date]]</f>
        <v>2</v>
      </c>
      <c r="AD3151" t="str">
        <f>IF(OrdersTable[[#This Row],[Delivery Days]]&lt;=2, "Express (≤2d)", IF(OrdersTable[[#This Row],[Delivery Days]]&lt;=4, "Standard (3-4d)", "Delayed (5d+)"))</f>
        <v>Express (≤2d)</v>
      </c>
      <c r="AE3151">
        <v>4</v>
      </c>
      <c r="AF3151">
        <v>0</v>
      </c>
    </row>
    <row r="3152" spans="1:32" ht="15" x14ac:dyDescent="0.35">
      <c r="A3152" t="s">
        <v>6595</v>
      </c>
      <c r="B3152" s="1">
        <v>45810</v>
      </c>
      <c r="C3152">
        <f>YEAR(OrdersTable[[#This Row],[Order Date]])</f>
        <v>2025</v>
      </c>
      <c r="D3152" s="2">
        <f>DATE(YEAR(OrdersTable[[#This Row],[Order Date]]),MONTH(OrdersTable[[#This Row],[Order Date]]),1)</f>
        <v>45809</v>
      </c>
      <c r="E3152">
        <f>MONTH(OrdersTable[[#This Row],[Order Date]])</f>
        <v>6</v>
      </c>
      <c r="F3152" t="s">
        <v>1902</v>
      </c>
      <c r="G3152" t="str">
        <f>IF(OrdersTable[[#This Row],[Order Date]]=_xlfn.MINIFS(Order_Date, Customer_ID, OrdersTable[[#This Row],[Customer ID]]), "New", "Repeat")</f>
        <v>Repeat</v>
      </c>
      <c r="H3152" t="s">
        <v>316</v>
      </c>
      <c r="I3152" t="str">
        <f>INDEX(State!B:B,MATCH(OrdersTable[[#This Row],[State]],State!A:A,0))</f>
        <v>KL</v>
      </c>
      <c r="J3152" t="str">
        <f>INDEX(State!C:C,MATCH(OrdersTable[[#This Row],[State Code]],State!B:B,0))</f>
        <v>South</v>
      </c>
      <c r="K3152" t="s">
        <v>317</v>
      </c>
      <c r="L3152" t="s">
        <v>39</v>
      </c>
      <c r="M3152" t="s">
        <v>40</v>
      </c>
      <c r="N3152" t="str">
        <f>INDEX(Products!B:B,MATCH(OrdersTable[[#This Row],[Product ID]],Products!A:A,0))</f>
        <v>Ashwagandha Capsules</v>
      </c>
      <c r="O3152" t="str">
        <f>INDEX(Products!C:C,MATCH(OrdersTable[[#This Row],[Product ID]],Products!A:A,0))</f>
        <v>Wellness</v>
      </c>
      <c r="P3152">
        <v>3</v>
      </c>
      <c r="Q3152" s="5">
        <v>499</v>
      </c>
      <c r="R3152" s="74">
        <v>0.05</v>
      </c>
      <c r="S3152" s="75">
        <f>OrdersTable[[#This Row],[Quantity]]*OrdersTable[[#This Row],[Unit Price]]</f>
        <v>1497</v>
      </c>
      <c r="T3152" s="5">
        <f>OrdersTable[[#This Row],[Gross Sale]]*OrdersTable[[#This Row],[Discount_Clean2]]</f>
        <v>74.850000000000009</v>
      </c>
      <c r="U3152" s="5">
        <f>OrdersTable[[#This Row],[Gross Sale]]-OrdersTable[[#This Row],[Discount Amount]]</f>
        <v>1422.15</v>
      </c>
      <c r="V3152" s="77">
        <f>INDEX(Products!E:E,MATCH(OrdersTable[[#This Row],[Product ID]],Products!A:A,0))</f>
        <v>150</v>
      </c>
      <c r="W3152" s="77">
        <f>OrdersTable[[#This Row],[Quantity]]*OrdersTable[[#This Row],[Unit Cost]]</f>
        <v>450</v>
      </c>
      <c r="X3152" s="77">
        <f>'Dropdown Lists'!$I$2*(1+OrdersTable[[#This Row],[Returned]])</f>
        <v>60</v>
      </c>
      <c r="Y3152" s="76">
        <f>OrdersTable[[#This Row],[Net Revenue]]-OrdersTable[[#This Row],[COGS]]-OrdersTable[[#This Row],[Shipping Cost]]</f>
        <v>912.15000000000009</v>
      </c>
      <c r="Z3152" s="78">
        <f>IFERROR(OrdersTable[[#This Row],[Profit]]/OrdersTable[[#This Row],[Net Revenue]],0)</f>
        <v>0.64138803923636745</v>
      </c>
      <c r="AA3152" t="s">
        <v>18</v>
      </c>
      <c r="AB3152" s="79">
        <v>45813</v>
      </c>
      <c r="AC3152">
        <f>OrdersTable[[#This Row],[Delivery Date]]-OrdersTable[[#This Row],[Order Date]]</f>
        <v>3</v>
      </c>
      <c r="AD3152" t="str">
        <f>IF(OrdersTable[[#This Row],[Delivery Days]]&lt;=2, "Express (≤2d)", IF(OrdersTable[[#This Row],[Delivery Days]]&lt;=4, "Standard (3-4d)", "Delayed (5d+)"))</f>
        <v>Standard (3-4d)</v>
      </c>
      <c r="AE3152">
        <v>5</v>
      </c>
      <c r="AF3152">
        <v>0</v>
      </c>
    </row>
    <row r="3153" spans="1:32" ht="15" x14ac:dyDescent="0.35">
      <c r="A3153" t="s">
        <v>6596</v>
      </c>
      <c r="B3153" s="1">
        <v>45811</v>
      </c>
      <c r="C3153">
        <f>YEAR(OrdersTable[[#This Row],[Order Date]])</f>
        <v>2025</v>
      </c>
      <c r="D3153" s="2">
        <f>DATE(YEAR(OrdersTable[[#This Row],[Order Date]]),MONTH(OrdersTable[[#This Row],[Order Date]]),1)</f>
        <v>45809</v>
      </c>
      <c r="E3153">
        <f>MONTH(OrdersTable[[#This Row],[Order Date]])</f>
        <v>6</v>
      </c>
      <c r="F3153" t="s">
        <v>4972</v>
      </c>
      <c r="G3153" t="str">
        <f>IF(OrdersTable[[#This Row],[Order Date]]=_xlfn.MINIFS(Order_Date, Customer_ID, OrdersTable[[#This Row],[Customer ID]]), "New", "Repeat")</f>
        <v>Repeat</v>
      </c>
      <c r="H3153" t="s">
        <v>32</v>
      </c>
      <c r="I3153" t="str">
        <f>INDEX(State!B:B,MATCH(OrdersTable[[#This Row],[State]],State!A:A,0))</f>
        <v>BR</v>
      </c>
      <c r="J3153" t="str">
        <f>INDEX(State!C:C,MATCH(OrdersTable[[#This Row],[State Code]],State!B:B,0))</f>
        <v>East</v>
      </c>
      <c r="K3153" t="s">
        <v>33</v>
      </c>
      <c r="L3153" t="s">
        <v>39</v>
      </c>
      <c r="M3153" t="s">
        <v>61</v>
      </c>
      <c r="N3153" t="str">
        <f>INDEX(Products!B:B,MATCH(OrdersTable[[#This Row],[Product ID]],Products!A:A,0))</f>
        <v>Multivitamin Gummies</v>
      </c>
      <c r="O3153" t="str">
        <f>INDEX(Products!C:C,MATCH(OrdersTable[[#This Row],[Product ID]],Products!A:A,0))</f>
        <v>Wellness</v>
      </c>
      <c r="P3153">
        <v>3</v>
      </c>
      <c r="Q3153" s="5">
        <v>699</v>
      </c>
      <c r="R3153" s="74">
        <v>0.15</v>
      </c>
      <c r="S3153" s="75">
        <f>OrdersTable[[#This Row],[Quantity]]*OrdersTable[[#This Row],[Unit Price]]</f>
        <v>2097</v>
      </c>
      <c r="T3153" s="5">
        <f>OrdersTable[[#This Row],[Gross Sale]]*OrdersTable[[#This Row],[Discount_Clean2]]</f>
        <v>314.55</v>
      </c>
      <c r="U3153" s="5">
        <f>OrdersTable[[#This Row],[Gross Sale]]-OrdersTable[[#This Row],[Discount Amount]]</f>
        <v>1782.45</v>
      </c>
      <c r="V3153" s="77">
        <f>INDEX(Products!E:E,MATCH(OrdersTable[[#This Row],[Product ID]],Products!A:A,0))</f>
        <v>238</v>
      </c>
      <c r="W3153" s="77">
        <f>OrdersTable[[#This Row],[Quantity]]*OrdersTable[[#This Row],[Unit Cost]]</f>
        <v>714</v>
      </c>
      <c r="X3153" s="77">
        <f>'Dropdown Lists'!$I$2*(1+OrdersTable[[#This Row],[Returned]])</f>
        <v>60</v>
      </c>
      <c r="Y3153" s="76">
        <f>OrdersTable[[#This Row],[Net Revenue]]-OrdersTable[[#This Row],[COGS]]-OrdersTable[[#This Row],[Shipping Cost]]</f>
        <v>1008.45</v>
      </c>
      <c r="Z3153" s="78">
        <f>IFERROR(OrdersTable[[#This Row],[Profit]]/OrdersTable[[#This Row],[Net Revenue]],0)</f>
        <v>0.56576622065135063</v>
      </c>
      <c r="AA3153" t="s">
        <v>18</v>
      </c>
      <c r="AB3153" s="79">
        <v>45815</v>
      </c>
      <c r="AC3153">
        <f>OrdersTable[[#This Row],[Delivery Date]]-OrdersTable[[#This Row],[Order Date]]</f>
        <v>4</v>
      </c>
      <c r="AD3153" t="str">
        <f>IF(OrdersTable[[#This Row],[Delivery Days]]&lt;=2, "Express (≤2d)", IF(OrdersTable[[#This Row],[Delivery Days]]&lt;=4, "Standard (3-4d)", "Delayed (5d+)"))</f>
        <v>Standard (3-4d)</v>
      </c>
      <c r="AF3153">
        <v>0</v>
      </c>
    </row>
    <row r="3154" spans="1:32" ht="15" x14ac:dyDescent="0.35">
      <c r="A3154" t="s">
        <v>4153</v>
      </c>
      <c r="B3154" s="1">
        <v>45811</v>
      </c>
      <c r="C3154">
        <f>YEAR(OrdersTable[[#This Row],[Order Date]])</f>
        <v>2025</v>
      </c>
      <c r="D3154" s="2">
        <f>DATE(YEAR(OrdersTable[[#This Row],[Order Date]]),MONTH(OrdersTable[[#This Row],[Order Date]]),1)</f>
        <v>45809</v>
      </c>
      <c r="E3154">
        <f>MONTH(OrdersTable[[#This Row],[Order Date]])</f>
        <v>6</v>
      </c>
      <c r="F3154" t="s">
        <v>3475</v>
      </c>
      <c r="G3154" t="str">
        <f>IF(OrdersTable[[#This Row],[Order Date]]=_xlfn.MINIFS(Order_Date, Customer_ID, OrdersTable[[#This Row],[Customer ID]]), "New", "Repeat")</f>
        <v>New</v>
      </c>
      <c r="H3154" t="s">
        <v>43</v>
      </c>
      <c r="I3154" t="str">
        <f>INDEX(State!B:B,MATCH(OrdersTable[[#This Row],[State]],State!A:A,0))</f>
        <v>MP</v>
      </c>
      <c r="J3154" t="str">
        <f>INDEX(State!C:C,MATCH(OrdersTable[[#This Row],[State Code]],State!B:B,0))</f>
        <v>West</v>
      </c>
      <c r="K3154" t="s">
        <v>250</v>
      </c>
      <c r="L3154" t="s">
        <v>16</v>
      </c>
      <c r="M3154" t="s">
        <v>29</v>
      </c>
      <c r="N3154" t="str">
        <f>INDEX(Products!B:B,MATCH(OrdersTable[[#This Row],[Product ID]],Products!A:A,0))</f>
        <v>Joggers</v>
      </c>
      <c r="O3154" t="str">
        <f>INDEX(Products!C:C,MATCH(OrdersTable[[#This Row],[Product ID]],Products!A:A,0))</f>
        <v>Apparel</v>
      </c>
      <c r="P3154">
        <v>1</v>
      </c>
      <c r="Q3154" s="5">
        <v>1199</v>
      </c>
      <c r="R3154" s="74">
        <v>0.05</v>
      </c>
      <c r="S3154" s="75">
        <f>OrdersTable[[#This Row],[Quantity]]*OrdersTable[[#This Row],[Unit Price]]</f>
        <v>1199</v>
      </c>
      <c r="T3154" s="5">
        <f>OrdersTable[[#This Row],[Gross Sale]]*OrdersTable[[#This Row],[Discount_Clean2]]</f>
        <v>59.95</v>
      </c>
      <c r="U3154" s="5">
        <f>OrdersTable[[#This Row],[Gross Sale]]-OrdersTable[[#This Row],[Discount Amount]]</f>
        <v>1139.05</v>
      </c>
      <c r="V3154" s="77">
        <f>INDEX(Products!E:E,MATCH(OrdersTable[[#This Row],[Product ID]],Products!A:A,0))</f>
        <v>492</v>
      </c>
      <c r="W3154" s="77">
        <f>OrdersTable[[#This Row],[Quantity]]*OrdersTable[[#This Row],[Unit Cost]]</f>
        <v>492</v>
      </c>
      <c r="X3154" s="77">
        <f>'Dropdown Lists'!$I$2*(1+OrdersTable[[#This Row],[Returned]])</f>
        <v>60</v>
      </c>
      <c r="Y3154" s="76">
        <f>OrdersTable[[#This Row],[Net Revenue]]-OrdersTable[[#This Row],[COGS]]-OrdersTable[[#This Row],[Shipping Cost]]</f>
        <v>587.04999999999995</v>
      </c>
      <c r="Z3154" s="78">
        <f>IFERROR(OrdersTable[[#This Row],[Profit]]/OrdersTable[[#This Row],[Net Revenue]],0)</f>
        <v>0.51538562837452262</v>
      </c>
      <c r="AA3154" t="s">
        <v>4074</v>
      </c>
      <c r="AB3154" s="79">
        <v>45812</v>
      </c>
      <c r="AC3154">
        <f>OrdersTable[[#This Row],[Delivery Date]]-OrdersTable[[#This Row],[Order Date]]</f>
        <v>1</v>
      </c>
      <c r="AD3154" t="str">
        <f>IF(OrdersTable[[#This Row],[Delivery Days]]&lt;=2, "Express (≤2d)", IF(OrdersTable[[#This Row],[Delivery Days]]&lt;=4, "Standard (3-4d)", "Delayed (5d+)"))</f>
        <v>Express (≤2d)</v>
      </c>
      <c r="AE3154">
        <v>5</v>
      </c>
      <c r="AF3154">
        <v>0</v>
      </c>
    </row>
    <row r="3155" spans="1:32" ht="15" x14ac:dyDescent="0.35">
      <c r="A3155" t="s">
        <v>5651</v>
      </c>
      <c r="B3155" s="1">
        <v>45811</v>
      </c>
      <c r="C3155">
        <f>YEAR(OrdersTable[[#This Row],[Order Date]])</f>
        <v>2025</v>
      </c>
      <c r="D3155" s="2">
        <f>DATE(YEAR(OrdersTable[[#This Row],[Order Date]]),MONTH(OrdersTable[[#This Row],[Order Date]]),1)</f>
        <v>45809</v>
      </c>
      <c r="E3155">
        <f>MONTH(OrdersTable[[#This Row],[Order Date]])</f>
        <v>6</v>
      </c>
      <c r="F3155" t="s">
        <v>86</v>
      </c>
      <c r="G3155" t="str">
        <f>IF(OrdersTable[[#This Row],[Order Date]]=_xlfn.MINIFS(Order_Date, Customer_ID, OrdersTable[[#This Row],[Customer ID]]), "New", "Repeat")</f>
        <v>Repeat</v>
      </c>
      <c r="H3155" t="s">
        <v>43</v>
      </c>
      <c r="I3155" t="str">
        <f>INDEX(State!B:B,MATCH(OrdersTable[[#This Row],[State]],State!A:A,0))</f>
        <v>MP</v>
      </c>
      <c r="J3155" t="str">
        <f>INDEX(State!C:C,MATCH(OrdersTable[[#This Row],[State Code]],State!B:B,0))</f>
        <v>West</v>
      </c>
      <c r="K3155" t="s">
        <v>250</v>
      </c>
      <c r="L3155" t="s">
        <v>16</v>
      </c>
      <c r="M3155" t="s">
        <v>29</v>
      </c>
      <c r="N3155" t="str">
        <f>INDEX(Products!B:B,MATCH(OrdersTable[[#This Row],[Product ID]],Products!A:A,0))</f>
        <v>Joggers</v>
      </c>
      <c r="O3155" t="str">
        <f>INDEX(Products!C:C,MATCH(OrdersTable[[#This Row],[Product ID]],Products!A:A,0))</f>
        <v>Apparel</v>
      </c>
      <c r="P3155">
        <v>2</v>
      </c>
      <c r="Q3155" s="5">
        <v>1199</v>
      </c>
      <c r="R3155" s="74">
        <v>0.1</v>
      </c>
      <c r="S3155" s="75">
        <f>OrdersTable[[#This Row],[Quantity]]*OrdersTable[[#This Row],[Unit Price]]</f>
        <v>2398</v>
      </c>
      <c r="T3155" s="5">
        <f>OrdersTable[[#This Row],[Gross Sale]]*OrdersTable[[#This Row],[Discount_Clean2]]</f>
        <v>239.8</v>
      </c>
      <c r="U3155" s="5">
        <f>OrdersTable[[#This Row],[Gross Sale]]-OrdersTable[[#This Row],[Discount Amount]]</f>
        <v>2158.1999999999998</v>
      </c>
      <c r="V3155" s="77">
        <f>INDEX(Products!E:E,MATCH(OrdersTable[[#This Row],[Product ID]],Products!A:A,0))</f>
        <v>492</v>
      </c>
      <c r="W3155" s="77">
        <f>OrdersTable[[#This Row],[Quantity]]*OrdersTable[[#This Row],[Unit Cost]]</f>
        <v>984</v>
      </c>
      <c r="X3155" s="77">
        <f>'Dropdown Lists'!$I$2*(1+OrdersTable[[#This Row],[Returned]])</f>
        <v>60</v>
      </c>
      <c r="Y3155" s="76">
        <f>OrdersTable[[#This Row],[Net Revenue]]-OrdersTable[[#This Row],[COGS]]-OrdersTable[[#This Row],[Shipping Cost]]</f>
        <v>1114.1999999999998</v>
      </c>
      <c r="Z3155" s="78">
        <f>IFERROR(OrdersTable[[#This Row],[Profit]]/OrdersTable[[#This Row],[Net Revenue]],0)</f>
        <v>0.51626355296080062</v>
      </c>
      <c r="AA3155" t="s">
        <v>18</v>
      </c>
      <c r="AB3155" s="79">
        <v>45816</v>
      </c>
      <c r="AC3155">
        <f>OrdersTable[[#This Row],[Delivery Date]]-OrdersTable[[#This Row],[Order Date]]</f>
        <v>5</v>
      </c>
      <c r="AD3155" t="str">
        <f>IF(OrdersTable[[#This Row],[Delivery Days]]&lt;=2, "Express (≤2d)", IF(OrdersTable[[#This Row],[Delivery Days]]&lt;=4, "Standard (3-4d)", "Delayed (5d+)"))</f>
        <v>Delayed (5d+)</v>
      </c>
      <c r="AE3155">
        <v>2</v>
      </c>
      <c r="AF3155">
        <v>0</v>
      </c>
    </row>
    <row r="3156" spans="1:32" ht="15" x14ac:dyDescent="0.35">
      <c r="A3156" t="s">
        <v>828</v>
      </c>
      <c r="B3156" s="1">
        <v>45811</v>
      </c>
      <c r="C3156">
        <f>YEAR(OrdersTable[[#This Row],[Order Date]])</f>
        <v>2025</v>
      </c>
      <c r="D3156" s="2">
        <f>DATE(YEAR(OrdersTable[[#This Row],[Order Date]]),MONTH(OrdersTable[[#This Row],[Order Date]]),1)</f>
        <v>45809</v>
      </c>
      <c r="E3156">
        <f>MONTH(OrdersTable[[#This Row],[Order Date]])</f>
        <v>6</v>
      </c>
      <c r="F3156" t="s">
        <v>829</v>
      </c>
      <c r="G3156" t="str">
        <f>IF(OrdersTable[[#This Row],[Order Date]]=_xlfn.MINIFS(Order_Date, Customer_ID, OrdersTable[[#This Row],[Customer ID]]), "New", "Repeat")</f>
        <v>New</v>
      </c>
      <c r="H3156" t="s">
        <v>275</v>
      </c>
      <c r="I3156" t="str">
        <f>INDEX(State!B:B,MATCH(OrdersTable[[#This Row],[State]],State!A:A,0))</f>
        <v>AP</v>
      </c>
      <c r="J3156" t="str">
        <f>INDEX(State!C:C,MATCH(OrdersTable[[#This Row],[State Code]],State!B:B,0))</f>
        <v>South</v>
      </c>
      <c r="K3156" t="s">
        <v>491</v>
      </c>
      <c r="L3156" t="s">
        <v>65</v>
      </c>
      <c r="M3156" t="s">
        <v>148</v>
      </c>
      <c r="N3156" t="str">
        <f>INDEX(Products!B:B,MATCH(OrdersTable[[#This Row],[Product ID]],Products!A:A,0))</f>
        <v>Smartwatch Strap</v>
      </c>
      <c r="O3156" t="str">
        <f>INDEX(Products!C:C,MATCH(OrdersTable[[#This Row],[Product ID]],Products!A:A,0))</f>
        <v>Electronics</v>
      </c>
      <c r="P3156">
        <v>1</v>
      </c>
      <c r="Q3156" s="5">
        <v>499</v>
      </c>
      <c r="R3156" s="74">
        <v>0.15</v>
      </c>
      <c r="S3156" s="75">
        <f>OrdersTable[[#This Row],[Quantity]]*OrdersTable[[#This Row],[Unit Price]]</f>
        <v>499</v>
      </c>
      <c r="T3156" s="5">
        <f>OrdersTable[[#This Row],[Gross Sale]]*OrdersTable[[#This Row],[Discount_Clean2]]</f>
        <v>74.849999999999994</v>
      </c>
      <c r="U3156" s="5">
        <f>OrdersTable[[#This Row],[Gross Sale]]-OrdersTable[[#This Row],[Discount Amount]]</f>
        <v>424.15</v>
      </c>
      <c r="V3156" s="77">
        <f>INDEX(Products!E:E,MATCH(OrdersTable[[#This Row],[Product ID]],Products!A:A,0))</f>
        <v>200</v>
      </c>
      <c r="W3156" s="77">
        <f>OrdersTable[[#This Row],[Quantity]]*OrdersTable[[#This Row],[Unit Cost]]</f>
        <v>200</v>
      </c>
      <c r="X3156" s="77">
        <f>'Dropdown Lists'!$I$2*(1+OrdersTable[[#This Row],[Returned]])</f>
        <v>60</v>
      </c>
      <c r="Y3156" s="76">
        <f>OrdersTable[[#This Row],[Net Revenue]]-OrdersTable[[#This Row],[COGS]]-OrdersTable[[#This Row],[Shipping Cost]]</f>
        <v>164.14999999999998</v>
      </c>
      <c r="Z3156" s="78">
        <f>IFERROR(OrdersTable[[#This Row],[Profit]]/OrdersTable[[#This Row],[Net Revenue]],0)</f>
        <v>0.38700931274313327</v>
      </c>
      <c r="AA3156" t="s">
        <v>18</v>
      </c>
      <c r="AB3156" s="79">
        <v>45816</v>
      </c>
      <c r="AC3156">
        <f>OrdersTable[[#This Row],[Delivery Date]]-OrdersTable[[#This Row],[Order Date]]</f>
        <v>5</v>
      </c>
      <c r="AD3156" t="str">
        <f>IF(OrdersTable[[#This Row],[Delivery Days]]&lt;=2, "Express (≤2d)", IF(OrdersTable[[#This Row],[Delivery Days]]&lt;=4, "Standard (3-4d)", "Delayed (5d+)"))</f>
        <v>Delayed (5d+)</v>
      </c>
      <c r="AE3156">
        <v>4</v>
      </c>
      <c r="AF3156">
        <v>0</v>
      </c>
    </row>
    <row r="3157" spans="1:32" ht="15" x14ac:dyDescent="0.35">
      <c r="A3157" t="s">
        <v>7156</v>
      </c>
      <c r="B3157" s="1">
        <v>45812</v>
      </c>
      <c r="C3157">
        <f>YEAR(OrdersTable[[#This Row],[Order Date]])</f>
        <v>2025</v>
      </c>
      <c r="D3157" s="2">
        <f>DATE(YEAR(OrdersTable[[#This Row],[Order Date]]),MONTH(OrdersTable[[#This Row],[Order Date]]),1)</f>
        <v>45809</v>
      </c>
      <c r="E3157">
        <f>MONTH(OrdersTable[[#This Row],[Order Date]])</f>
        <v>6</v>
      </c>
      <c r="F3157" t="s">
        <v>845</v>
      </c>
      <c r="G3157" t="str">
        <f>IF(OrdersTable[[#This Row],[Order Date]]=_xlfn.MINIFS(Order_Date, Customer_ID, OrdersTable[[#This Row],[Customer ID]]), "New", "Repeat")</f>
        <v>Repeat</v>
      </c>
      <c r="H3157" t="s">
        <v>54</v>
      </c>
      <c r="I3157" t="str">
        <f>INDEX(State!B:B,MATCH(OrdersTable[[#This Row],[State]],State!A:A,0))</f>
        <v>RJ</v>
      </c>
      <c r="J3157" t="str">
        <f>INDEX(State!C:C,MATCH(OrdersTable[[#This Row],[State Code]],State!B:B,0))</f>
        <v>North</v>
      </c>
      <c r="K3157" t="s">
        <v>55</v>
      </c>
      <c r="L3157" t="s">
        <v>50</v>
      </c>
      <c r="M3157" t="s">
        <v>109</v>
      </c>
      <c r="N3157" t="str">
        <f>INDEX(Products!B:B,MATCH(OrdersTable[[#This Row],[Product ID]],Products!A:A,0))</f>
        <v>Onion Hair Oil</v>
      </c>
      <c r="O3157" t="str">
        <f>INDEX(Products!C:C,MATCH(OrdersTable[[#This Row],[Product ID]],Products!A:A,0))</f>
        <v>Haircare</v>
      </c>
      <c r="P3157">
        <v>5</v>
      </c>
      <c r="Q3157" s="5">
        <v>349</v>
      </c>
      <c r="R3157" s="74">
        <v>0.35</v>
      </c>
      <c r="S3157" s="75">
        <f>OrdersTable[[#This Row],[Quantity]]*OrdersTable[[#This Row],[Unit Price]]</f>
        <v>1745</v>
      </c>
      <c r="T3157" s="5">
        <f>OrdersTable[[#This Row],[Gross Sale]]*OrdersTable[[#This Row],[Discount_Clean2]]</f>
        <v>610.75</v>
      </c>
      <c r="U3157" s="5">
        <f>OrdersTable[[#This Row],[Gross Sale]]-OrdersTable[[#This Row],[Discount Amount]]</f>
        <v>1134.25</v>
      </c>
      <c r="V3157" s="77">
        <f>INDEX(Products!E:E,MATCH(OrdersTable[[#This Row],[Product ID]],Products!A:A,0))</f>
        <v>105</v>
      </c>
      <c r="W3157" s="77">
        <f>OrdersTable[[#This Row],[Quantity]]*OrdersTable[[#This Row],[Unit Cost]]</f>
        <v>525</v>
      </c>
      <c r="X3157" s="77">
        <f>'Dropdown Lists'!$I$2*(1+OrdersTable[[#This Row],[Returned]])</f>
        <v>60</v>
      </c>
      <c r="Y3157" s="76">
        <f>OrdersTable[[#This Row],[Net Revenue]]-OrdersTable[[#This Row],[COGS]]-OrdersTable[[#This Row],[Shipping Cost]]</f>
        <v>549.25</v>
      </c>
      <c r="Z3157" s="78">
        <f>IFERROR(OrdersTable[[#This Row],[Profit]]/OrdersTable[[#This Row],[Net Revenue]],0)</f>
        <v>0.48424068767908307</v>
      </c>
      <c r="AA3157" t="s">
        <v>4450</v>
      </c>
      <c r="AB3157" s="79">
        <v>45816</v>
      </c>
      <c r="AC3157">
        <f>OrdersTable[[#This Row],[Delivery Date]]-OrdersTable[[#This Row],[Order Date]]</f>
        <v>4</v>
      </c>
      <c r="AD3157" t="str">
        <f>IF(OrdersTable[[#This Row],[Delivery Days]]&lt;=2, "Express (≤2d)", IF(OrdersTable[[#This Row],[Delivery Days]]&lt;=4, "Standard (3-4d)", "Delayed (5d+)"))</f>
        <v>Standard (3-4d)</v>
      </c>
      <c r="AE3157">
        <v>3</v>
      </c>
      <c r="AF3157">
        <v>0</v>
      </c>
    </row>
    <row r="3158" spans="1:32" ht="15" x14ac:dyDescent="0.35">
      <c r="A3158" t="s">
        <v>1992</v>
      </c>
      <c r="B3158" s="1">
        <v>45812</v>
      </c>
      <c r="C3158">
        <f>YEAR(OrdersTable[[#This Row],[Order Date]])</f>
        <v>2025</v>
      </c>
      <c r="D3158" s="2">
        <f>DATE(YEAR(OrdersTable[[#This Row],[Order Date]]),MONTH(OrdersTable[[#This Row],[Order Date]]),1)</f>
        <v>45809</v>
      </c>
      <c r="E3158">
        <f>MONTH(OrdersTable[[#This Row],[Order Date]])</f>
        <v>6</v>
      </c>
      <c r="F3158" t="s">
        <v>1993</v>
      </c>
      <c r="G3158" t="str">
        <f>IF(OrdersTable[[#This Row],[Order Date]]=_xlfn.MINIFS(Order_Date, Customer_ID, OrdersTable[[#This Row],[Customer ID]]), "New", "Repeat")</f>
        <v>New</v>
      </c>
      <c r="H3158" t="s">
        <v>54</v>
      </c>
      <c r="I3158" t="str">
        <f>INDEX(State!B:B,MATCH(OrdersTable[[#This Row],[State]],State!A:A,0))</f>
        <v>RJ</v>
      </c>
      <c r="J3158" t="str">
        <f>INDEX(State!C:C,MATCH(OrdersTable[[#This Row],[State Code]],State!B:B,0))</f>
        <v>North</v>
      </c>
      <c r="K3158" t="s">
        <v>227</v>
      </c>
      <c r="L3158" t="s">
        <v>16</v>
      </c>
      <c r="M3158" t="s">
        <v>29</v>
      </c>
      <c r="N3158" t="str">
        <f>INDEX(Products!B:B,MATCH(OrdersTable[[#This Row],[Product ID]],Products!A:A,0))</f>
        <v>Joggers</v>
      </c>
      <c r="O3158" t="str">
        <f>INDEX(Products!C:C,MATCH(OrdersTable[[#This Row],[Product ID]],Products!A:A,0))</f>
        <v>Apparel</v>
      </c>
      <c r="P3158">
        <v>1</v>
      </c>
      <c r="Q3158" s="5">
        <v>1199</v>
      </c>
      <c r="R3158" s="74">
        <v>0.05</v>
      </c>
      <c r="S3158" s="75">
        <f>OrdersTable[[#This Row],[Quantity]]*OrdersTable[[#This Row],[Unit Price]]</f>
        <v>1199</v>
      </c>
      <c r="T3158" s="5">
        <f>OrdersTable[[#This Row],[Gross Sale]]*OrdersTable[[#This Row],[Discount_Clean2]]</f>
        <v>59.95</v>
      </c>
      <c r="U3158" s="5">
        <f>OrdersTable[[#This Row],[Gross Sale]]-OrdersTable[[#This Row],[Discount Amount]]</f>
        <v>1139.05</v>
      </c>
      <c r="V3158" s="77">
        <f>INDEX(Products!E:E,MATCH(OrdersTable[[#This Row],[Product ID]],Products!A:A,0))</f>
        <v>492</v>
      </c>
      <c r="W3158" s="77">
        <f>OrdersTable[[#This Row],[Quantity]]*OrdersTable[[#This Row],[Unit Cost]]</f>
        <v>492</v>
      </c>
      <c r="X3158" s="77">
        <f>'Dropdown Lists'!$I$2*(1+OrdersTable[[#This Row],[Returned]])</f>
        <v>120</v>
      </c>
      <c r="Y3158" s="76">
        <f>OrdersTable[[#This Row],[Net Revenue]]-OrdersTable[[#This Row],[COGS]]-OrdersTable[[#This Row],[Shipping Cost]]</f>
        <v>527.04999999999995</v>
      </c>
      <c r="Z3158" s="78">
        <f>IFERROR(OrdersTable[[#This Row],[Profit]]/OrdersTable[[#This Row],[Net Revenue]],0)</f>
        <v>0.46271015319784026</v>
      </c>
      <c r="AA3158" t="s">
        <v>18</v>
      </c>
      <c r="AB3158" s="79">
        <v>45817</v>
      </c>
      <c r="AC3158">
        <f>OrdersTable[[#This Row],[Delivery Date]]-OrdersTable[[#This Row],[Order Date]]</f>
        <v>5</v>
      </c>
      <c r="AD3158" t="str">
        <f>IF(OrdersTable[[#This Row],[Delivery Days]]&lt;=2, "Express (≤2d)", IF(OrdersTable[[#This Row],[Delivery Days]]&lt;=4, "Standard (3-4d)", "Delayed (5d+)"))</f>
        <v>Delayed (5d+)</v>
      </c>
      <c r="AE3158">
        <v>3</v>
      </c>
      <c r="AF3158">
        <v>1</v>
      </c>
    </row>
    <row r="3159" spans="1:32" ht="15" x14ac:dyDescent="0.35">
      <c r="A3159" t="s">
        <v>3635</v>
      </c>
      <c r="B3159" s="1">
        <v>45812</v>
      </c>
      <c r="C3159">
        <f>YEAR(OrdersTable[[#This Row],[Order Date]])</f>
        <v>2025</v>
      </c>
      <c r="D3159" s="2">
        <f>DATE(YEAR(OrdersTable[[#This Row],[Order Date]]),MONTH(OrdersTable[[#This Row],[Order Date]]),1)</f>
        <v>45809</v>
      </c>
      <c r="E3159">
        <f>MONTH(OrdersTable[[#This Row],[Order Date]])</f>
        <v>6</v>
      </c>
      <c r="F3159" t="s">
        <v>897</v>
      </c>
      <c r="G3159" t="str">
        <f>IF(OrdersTable[[#This Row],[Order Date]]=_xlfn.MINIFS(Order_Date, Customer_ID, OrdersTable[[#This Row],[Customer ID]]), "New", "Repeat")</f>
        <v>Repeat</v>
      </c>
      <c r="H3159" t="s">
        <v>48</v>
      </c>
      <c r="I3159" t="str">
        <f>INDEX(State!B:B,MATCH(OrdersTable[[#This Row],[State]],State!A:A,0))</f>
        <v>HR</v>
      </c>
      <c r="J3159" t="str">
        <f>INDEX(State!C:C,MATCH(OrdersTable[[#This Row],[State Code]],State!B:B,0))</f>
        <v>North</v>
      </c>
      <c r="K3159" t="s">
        <v>151</v>
      </c>
      <c r="L3159" t="s">
        <v>39</v>
      </c>
      <c r="M3159" t="s">
        <v>17</v>
      </c>
      <c r="N3159" t="str">
        <f>INDEX(Products!B:B,MATCH(OrdersTable[[#This Row],[Product ID]],Products!A:A,0))</f>
        <v>Casual Sneakers</v>
      </c>
      <c r="O3159" t="str">
        <f>INDEX(Products!C:C,MATCH(OrdersTable[[#This Row],[Product ID]],Products!A:A,0))</f>
        <v>Footwear</v>
      </c>
      <c r="P3159">
        <v>1</v>
      </c>
      <c r="Q3159" s="5">
        <v>2199</v>
      </c>
      <c r="R3159" s="74">
        <v>0.2</v>
      </c>
      <c r="S3159" s="75">
        <f>OrdersTable[[#This Row],[Quantity]]*OrdersTable[[#This Row],[Unit Price]]</f>
        <v>2199</v>
      </c>
      <c r="T3159" s="5">
        <f>OrdersTable[[#This Row],[Gross Sale]]*OrdersTable[[#This Row],[Discount_Clean2]]</f>
        <v>439.8</v>
      </c>
      <c r="U3159" s="5">
        <f>OrdersTable[[#This Row],[Gross Sale]]-OrdersTable[[#This Row],[Discount Amount]]</f>
        <v>1759.2</v>
      </c>
      <c r="V3159" s="77">
        <f>INDEX(Products!E:E,MATCH(OrdersTable[[#This Row],[Product ID]],Products!A:A,0))</f>
        <v>1034</v>
      </c>
      <c r="W3159" s="77">
        <f>OrdersTable[[#This Row],[Quantity]]*OrdersTable[[#This Row],[Unit Cost]]</f>
        <v>1034</v>
      </c>
      <c r="X3159" s="77">
        <f>'Dropdown Lists'!$I$2*(1+OrdersTable[[#This Row],[Returned]])</f>
        <v>60</v>
      </c>
      <c r="Y3159" s="76">
        <f>OrdersTable[[#This Row],[Net Revenue]]-OrdersTable[[#This Row],[COGS]]-OrdersTable[[#This Row],[Shipping Cost]]</f>
        <v>665.2</v>
      </c>
      <c r="Z3159" s="78">
        <f>IFERROR(OrdersTable[[#This Row],[Profit]]/OrdersTable[[#This Row],[Net Revenue]],0)</f>
        <v>0.37812642110050027</v>
      </c>
      <c r="AA3159" t="s">
        <v>3495</v>
      </c>
      <c r="AB3159" s="79">
        <v>45814</v>
      </c>
      <c r="AC3159">
        <f>OrdersTable[[#This Row],[Delivery Date]]-OrdersTable[[#This Row],[Order Date]]</f>
        <v>2</v>
      </c>
      <c r="AD3159" t="str">
        <f>IF(OrdersTable[[#This Row],[Delivery Days]]&lt;=2, "Express (≤2d)", IF(OrdersTable[[#This Row],[Delivery Days]]&lt;=4, "Standard (3-4d)", "Delayed (5d+)"))</f>
        <v>Express (≤2d)</v>
      </c>
      <c r="AE3159">
        <v>4</v>
      </c>
      <c r="AF3159">
        <v>0</v>
      </c>
    </row>
    <row r="3160" spans="1:32" ht="15" x14ac:dyDescent="0.35">
      <c r="A3160" t="s">
        <v>5198</v>
      </c>
      <c r="B3160" s="1">
        <v>45812</v>
      </c>
      <c r="C3160">
        <f>YEAR(OrdersTable[[#This Row],[Order Date]])</f>
        <v>2025</v>
      </c>
      <c r="D3160" s="2">
        <f>DATE(YEAR(OrdersTable[[#This Row],[Order Date]]),MONTH(OrdersTable[[#This Row],[Order Date]]),1)</f>
        <v>45809</v>
      </c>
      <c r="E3160">
        <f>MONTH(OrdersTable[[#This Row],[Order Date]])</f>
        <v>6</v>
      </c>
      <c r="F3160" t="s">
        <v>765</v>
      </c>
      <c r="G3160" t="str">
        <f>IF(OrdersTable[[#This Row],[Order Date]]=_xlfn.MINIFS(Order_Date, Customer_ID, OrdersTable[[#This Row],[Customer ID]]), "New", "Repeat")</f>
        <v>Repeat</v>
      </c>
      <c r="H3160" t="s">
        <v>128</v>
      </c>
      <c r="I3160" t="str">
        <f>INDEX(State!B:B,MATCH(OrdersTable[[#This Row],[State]],State!A:A,0))</f>
        <v>DL</v>
      </c>
      <c r="J3160" t="str">
        <f>INDEX(State!C:C,MATCH(OrdersTable[[#This Row],[State Code]],State!B:B,0))</f>
        <v>North</v>
      </c>
      <c r="K3160" t="s">
        <v>129</v>
      </c>
      <c r="L3160" t="s">
        <v>23</v>
      </c>
      <c r="M3160" t="s">
        <v>228</v>
      </c>
      <c r="N3160" t="str">
        <f>INDEX(Products!B:B,MATCH(OrdersTable[[#This Row],[Product ID]],Products!A:A,0))</f>
        <v>Fast Charger 33W</v>
      </c>
      <c r="O3160" t="str">
        <f>INDEX(Products!C:C,MATCH(OrdersTable[[#This Row],[Product ID]],Products!A:A,0))</f>
        <v>Electronics</v>
      </c>
      <c r="P3160">
        <v>2</v>
      </c>
      <c r="Q3160" s="5">
        <v>899</v>
      </c>
      <c r="R3160" s="74">
        <v>0.05</v>
      </c>
      <c r="S3160" s="75">
        <f>OrdersTable[[#This Row],[Quantity]]*OrdersTable[[#This Row],[Unit Price]]</f>
        <v>1798</v>
      </c>
      <c r="T3160" s="5">
        <f>OrdersTable[[#This Row],[Gross Sale]]*OrdersTable[[#This Row],[Discount_Clean2]]</f>
        <v>89.9</v>
      </c>
      <c r="U3160" s="5">
        <f>OrdersTable[[#This Row],[Gross Sale]]-OrdersTable[[#This Row],[Discount Amount]]</f>
        <v>1708.1</v>
      </c>
      <c r="V3160" s="77">
        <f>INDEX(Products!E:E,MATCH(OrdersTable[[#This Row],[Product ID]],Products!A:A,0))</f>
        <v>494</v>
      </c>
      <c r="W3160" s="77">
        <f>OrdersTable[[#This Row],[Quantity]]*OrdersTable[[#This Row],[Unit Cost]]</f>
        <v>988</v>
      </c>
      <c r="X3160" s="77">
        <f>'Dropdown Lists'!$I$2*(1+OrdersTable[[#This Row],[Returned]])</f>
        <v>60</v>
      </c>
      <c r="Y3160" s="76">
        <f>OrdersTable[[#This Row],[Net Revenue]]-OrdersTable[[#This Row],[COGS]]-OrdersTable[[#This Row],[Shipping Cost]]</f>
        <v>660.09999999999991</v>
      </c>
      <c r="Z3160" s="78">
        <f>IFERROR(OrdersTable[[#This Row],[Profit]]/OrdersTable[[#This Row],[Net Revenue]],0)</f>
        <v>0.38645278379485976</v>
      </c>
      <c r="AA3160" t="s">
        <v>3495</v>
      </c>
      <c r="AB3160" s="79">
        <v>45813</v>
      </c>
      <c r="AC3160">
        <f>OrdersTable[[#This Row],[Delivery Date]]-OrdersTable[[#This Row],[Order Date]]</f>
        <v>1</v>
      </c>
      <c r="AD3160" t="str">
        <f>IF(OrdersTable[[#This Row],[Delivery Days]]&lt;=2, "Express (≤2d)", IF(OrdersTable[[#This Row],[Delivery Days]]&lt;=4, "Standard (3-4d)", "Delayed (5d+)"))</f>
        <v>Express (≤2d)</v>
      </c>
      <c r="AE3160">
        <v>4</v>
      </c>
      <c r="AF3160">
        <v>0</v>
      </c>
    </row>
    <row r="3161" spans="1:32" ht="15" x14ac:dyDescent="0.35">
      <c r="A3161" t="s">
        <v>4412</v>
      </c>
      <c r="B3161" s="1">
        <v>45812</v>
      </c>
      <c r="C3161">
        <f>YEAR(OrdersTable[[#This Row],[Order Date]])</f>
        <v>2025</v>
      </c>
      <c r="D3161" s="2">
        <f>DATE(YEAR(OrdersTable[[#This Row],[Order Date]]),MONTH(OrdersTable[[#This Row],[Order Date]]),1)</f>
        <v>45809</v>
      </c>
      <c r="E3161">
        <f>MONTH(OrdersTable[[#This Row],[Order Date]])</f>
        <v>6</v>
      </c>
      <c r="F3161" t="s">
        <v>3802</v>
      </c>
      <c r="G3161" t="str">
        <f>IF(OrdersTable[[#This Row],[Order Date]]=_xlfn.MINIFS(Order_Date, Customer_ID, OrdersTable[[#This Row],[Customer ID]]), "New", "Repeat")</f>
        <v>New</v>
      </c>
      <c r="H3161" t="s">
        <v>128</v>
      </c>
      <c r="I3161" t="str">
        <f>INDEX(State!B:B,MATCH(OrdersTable[[#This Row],[State]],State!A:A,0))</f>
        <v>DL</v>
      </c>
      <c r="J3161" t="str">
        <f>INDEX(State!C:C,MATCH(OrdersTable[[#This Row],[State Code]],State!B:B,0))</f>
        <v>North</v>
      </c>
      <c r="K3161" t="s">
        <v>129</v>
      </c>
      <c r="L3161" t="s">
        <v>16</v>
      </c>
      <c r="M3161" t="s">
        <v>176</v>
      </c>
      <c r="N3161" t="str">
        <f>INDEX(Products!B:B,MATCH(OrdersTable[[#This Row],[Product ID]],Products!A:A,0))</f>
        <v>Denim Jacket</v>
      </c>
      <c r="O3161" t="str">
        <f>INDEX(Products!C:C,MATCH(OrdersTable[[#This Row],[Product ID]],Products!A:A,0))</f>
        <v>Apparel</v>
      </c>
      <c r="P3161">
        <v>1</v>
      </c>
      <c r="Q3161" s="5">
        <v>2499</v>
      </c>
      <c r="R3161" s="74">
        <v>0</v>
      </c>
      <c r="S3161" s="75">
        <f>OrdersTable[[#This Row],[Quantity]]*OrdersTable[[#This Row],[Unit Price]]</f>
        <v>2499</v>
      </c>
      <c r="T3161" s="5">
        <f>OrdersTable[[#This Row],[Gross Sale]]*OrdersTable[[#This Row],[Discount_Clean2]]</f>
        <v>0</v>
      </c>
      <c r="U3161" s="5">
        <f>OrdersTable[[#This Row],[Gross Sale]]-OrdersTable[[#This Row],[Discount Amount]]</f>
        <v>2499</v>
      </c>
      <c r="V3161" s="77">
        <f>INDEX(Products!E:E,MATCH(OrdersTable[[#This Row],[Product ID]],Products!A:A,0))</f>
        <v>1125</v>
      </c>
      <c r="W3161" s="77">
        <f>OrdersTable[[#This Row],[Quantity]]*OrdersTable[[#This Row],[Unit Cost]]</f>
        <v>1125</v>
      </c>
      <c r="X3161" s="77">
        <f>'Dropdown Lists'!$I$2*(1+OrdersTable[[#This Row],[Returned]])</f>
        <v>60</v>
      </c>
      <c r="Y3161" s="76">
        <f>OrdersTable[[#This Row],[Net Revenue]]-OrdersTable[[#This Row],[COGS]]-OrdersTable[[#This Row],[Shipping Cost]]</f>
        <v>1314</v>
      </c>
      <c r="Z3161" s="78">
        <f>IFERROR(OrdersTable[[#This Row],[Profit]]/OrdersTable[[#This Row],[Net Revenue]],0)</f>
        <v>0.5258103241296519</v>
      </c>
      <c r="AA3161" t="s">
        <v>4074</v>
      </c>
      <c r="AB3161" s="79">
        <v>45815</v>
      </c>
      <c r="AC3161">
        <f>OrdersTable[[#This Row],[Delivery Date]]-OrdersTable[[#This Row],[Order Date]]</f>
        <v>3</v>
      </c>
      <c r="AD3161" t="str">
        <f>IF(OrdersTable[[#This Row],[Delivery Days]]&lt;=2, "Express (≤2d)", IF(OrdersTable[[#This Row],[Delivery Days]]&lt;=4, "Standard (3-4d)", "Delayed (5d+)"))</f>
        <v>Standard (3-4d)</v>
      </c>
      <c r="AE3161">
        <v>4</v>
      </c>
      <c r="AF3161">
        <v>0</v>
      </c>
    </row>
    <row r="3162" spans="1:32" ht="15" x14ac:dyDescent="0.35">
      <c r="A3162" t="s">
        <v>3066</v>
      </c>
      <c r="B3162" s="1">
        <v>45812</v>
      </c>
      <c r="C3162">
        <f>YEAR(OrdersTable[[#This Row],[Order Date]])</f>
        <v>2025</v>
      </c>
      <c r="D3162" s="2">
        <f>DATE(YEAR(OrdersTable[[#This Row],[Order Date]]),MONTH(OrdersTable[[#This Row],[Order Date]]),1)</f>
        <v>45809</v>
      </c>
      <c r="E3162">
        <f>MONTH(OrdersTable[[#This Row],[Order Date]])</f>
        <v>6</v>
      </c>
      <c r="F3162" t="s">
        <v>796</v>
      </c>
      <c r="G3162" t="str">
        <f>IF(OrdersTable[[#This Row],[Order Date]]=_xlfn.MINIFS(Order_Date, Customer_ID, OrdersTable[[#This Row],[Customer ID]]), "New", "Repeat")</f>
        <v>Repeat</v>
      </c>
      <c r="H3162" t="s">
        <v>37</v>
      </c>
      <c r="I3162" t="str">
        <f>INDEX(State!B:B,MATCH(OrdersTable[[#This Row],[State]],State!A:A,0))</f>
        <v>GJ</v>
      </c>
      <c r="J3162" t="str">
        <f>INDEX(State!C:C,MATCH(OrdersTable[[#This Row],[State Code]],State!B:B,0))</f>
        <v>West</v>
      </c>
      <c r="K3162" t="s">
        <v>38</v>
      </c>
      <c r="L3162" t="s">
        <v>65</v>
      </c>
      <c r="M3162" t="s">
        <v>61</v>
      </c>
      <c r="N3162" t="str">
        <f>INDEX(Products!B:B,MATCH(OrdersTable[[#This Row],[Product ID]],Products!A:A,0))</f>
        <v>Multivitamin Gummies</v>
      </c>
      <c r="O3162" t="str">
        <f>INDEX(Products!C:C,MATCH(OrdersTable[[#This Row],[Product ID]],Products!A:A,0))</f>
        <v>Wellness</v>
      </c>
      <c r="P3162">
        <v>1</v>
      </c>
      <c r="Q3162" s="5">
        <v>699</v>
      </c>
      <c r="R3162" s="74">
        <v>0.15</v>
      </c>
      <c r="S3162" s="75">
        <f>OrdersTable[[#This Row],[Quantity]]*OrdersTable[[#This Row],[Unit Price]]</f>
        <v>699</v>
      </c>
      <c r="T3162" s="5">
        <f>OrdersTable[[#This Row],[Gross Sale]]*OrdersTable[[#This Row],[Discount_Clean2]]</f>
        <v>104.85</v>
      </c>
      <c r="U3162" s="5">
        <f>OrdersTable[[#This Row],[Gross Sale]]-OrdersTable[[#This Row],[Discount Amount]]</f>
        <v>594.15</v>
      </c>
      <c r="V3162" s="77">
        <f>INDEX(Products!E:E,MATCH(OrdersTable[[#This Row],[Product ID]],Products!A:A,0))</f>
        <v>238</v>
      </c>
      <c r="W3162" s="77">
        <f>OrdersTable[[#This Row],[Quantity]]*OrdersTable[[#This Row],[Unit Cost]]</f>
        <v>238</v>
      </c>
      <c r="X3162" s="77">
        <f>'Dropdown Lists'!$I$2*(1+OrdersTable[[#This Row],[Returned]])</f>
        <v>60</v>
      </c>
      <c r="Y3162" s="76">
        <f>OrdersTable[[#This Row],[Net Revenue]]-OrdersTable[[#This Row],[COGS]]-OrdersTable[[#This Row],[Shipping Cost]]</f>
        <v>296.14999999999998</v>
      </c>
      <c r="Z3162" s="78">
        <f>IFERROR(OrdersTable[[#This Row],[Profit]]/OrdersTable[[#This Row],[Net Revenue]],0)</f>
        <v>0.49844315408566858</v>
      </c>
      <c r="AA3162" t="s">
        <v>2522</v>
      </c>
      <c r="AB3162" s="79">
        <v>45814</v>
      </c>
      <c r="AC3162">
        <f>OrdersTable[[#This Row],[Delivery Date]]-OrdersTable[[#This Row],[Order Date]]</f>
        <v>2</v>
      </c>
      <c r="AD3162" t="str">
        <f>IF(OrdersTable[[#This Row],[Delivery Days]]&lt;=2, "Express (≤2d)", IF(OrdersTable[[#This Row],[Delivery Days]]&lt;=4, "Standard (3-4d)", "Delayed (5d+)"))</f>
        <v>Express (≤2d)</v>
      </c>
      <c r="AF3162">
        <v>0</v>
      </c>
    </row>
    <row r="3163" spans="1:32" ht="15" x14ac:dyDescent="0.35">
      <c r="A3163" t="s">
        <v>2153</v>
      </c>
      <c r="B3163" s="1">
        <v>45812</v>
      </c>
      <c r="C3163">
        <f>YEAR(OrdersTable[[#This Row],[Order Date]])</f>
        <v>2025</v>
      </c>
      <c r="D3163" s="2">
        <f>DATE(YEAR(OrdersTable[[#This Row],[Order Date]]),MONTH(OrdersTable[[#This Row],[Order Date]]),1)</f>
        <v>45809</v>
      </c>
      <c r="E3163">
        <f>MONTH(OrdersTable[[#This Row],[Order Date]])</f>
        <v>6</v>
      </c>
      <c r="F3163" t="s">
        <v>2154</v>
      </c>
      <c r="G3163" t="str">
        <f>IF(OrdersTable[[#This Row],[Order Date]]=_xlfn.MINIFS(Order_Date, Customer_ID, OrdersTable[[#This Row],[Customer ID]]), "New", "Repeat")</f>
        <v>Repeat</v>
      </c>
      <c r="H3163" t="s">
        <v>95</v>
      </c>
      <c r="I3163" t="str">
        <f>INDEX(State!B:B,MATCH(OrdersTable[[#This Row],[State]],State!A:A,0))</f>
        <v>TG</v>
      </c>
      <c r="J3163" t="str">
        <f>INDEX(State!C:C,MATCH(OrdersTable[[#This Row],[State Code]],State!B:B,0))</f>
        <v>South</v>
      </c>
      <c r="K3163" t="s">
        <v>96</v>
      </c>
      <c r="L3163" t="s">
        <v>39</v>
      </c>
      <c r="M3163" t="s">
        <v>179</v>
      </c>
      <c r="N3163" t="str">
        <f>INDEX(Products!B:B,MATCH(OrdersTable[[#This Row],[Product ID]],Products!A:A,0))</f>
        <v>Whey Protein 1kg</v>
      </c>
      <c r="O3163" t="str">
        <f>INDEX(Products!C:C,MATCH(OrdersTable[[#This Row],[Product ID]],Products!A:A,0))</f>
        <v>Wellness</v>
      </c>
      <c r="P3163">
        <v>1</v>
      </c>
      <c r="Q3163" s="5">
        <v>2299</v>
      </c>
      <c r="R3163" s="74">
        <v>0.35</v>
      </c>
      <c r="S3163" s="75">
        <f>OrdersTable[[#This Row],[Quantity]]*OrdersTable[[#This Row],[Unit Price]]</f>
        <v>2299</v>
      </c>
      <c r="T3163" s="5">
        <f>OrdersTable[[#This Row],[Gross Sale]]*OrdersTable[[#This Row],[Discount_Clean2]]</f>
        <v>804.65</v>
      </c>
      <c r="U3163" s="5">
        <f>OrdersTable[[#This Row],[Gross Sale]]-OrdersTable[[#This Row],[Discount Amount]]</f>
        <v>1494.35</v>
      </c>
      <c r="V3163" s="77">
        <f>INDEX(Products!E:E,MATCH(OrdersTable[[#This Row],[Product ID]],Products!A:A,0))</f>
        <v>1333</v>
      </c>
      <c r="W3163" s="77">
        <f>OrdersTable[[#This Row],[Quantity]]*OrdersTable[[#This Row],[Unit Cost]]</f>
        <v>1333</v>
      </c>
      <c r="X3163" s="77">
        <f>'Dropdown Lists'!$I$2*(1+OrdersTable[[#This Row],[Returned]])</f>
        <v>60</v>
      </c>
      <c r="Y3163" s="76">
        <f>OrdersTable[[#This Row],[Net Revenue]]-OrdersTable[[#This Row],[COGS]]-OrdersTable[[#This Row],[Shipping Cost]]</f>
        <v>101.34999999999991</v>
      </c>
      <c r="Z3163" s="78">
        <f>IFERROR(OrdersTable[[#This Row],[Profit]]/OrdersTable[[#This Row],[Net Revenue]],0)</f>
        <v>6.7822130023086902E-2</v>
      </c>
      <c r="AA3163" t="s">
        <v>18</v>
      </c>
      <c r="AB3163" s="79">
        <v>45816</v>
      </c>
      <c r="AC3163">
        <f>OrdersTable[[#This Row],[Delivery Date]]-OrdersTable[[#This Row],[Order Date]]</f>
        <v>4</v>
      </c>
      <c r="AD3163" t="str">
        <f>IF(OrdersTable[[#This Row],[Delivery Days]]&lt;=2, "Express (≤2d)", IF(OrdersTable[[#This Row],[Delivery Days]]&lt;=4, "Standard (3-4d)", "Delayed (5d+)"))</f>
        <v>Standard (3-4d)</v>
      </c>
      <c r="AE3163">
        <v>3</v>
      </c>
      <c r="AF3163">
        <v>0</v>
      </c>
    </row>
    <row r="3164" spans="1:32" ht="15" x14ac:dyDescent="0.35">
      <c r="A3164" t="s">
        <v>5199</v>
      </c>
      <c r="B3164" s="1">
        <v>45813</v>
      </c>
      <c r="C3164">
        <f>YEAR(OrdersTable[[#This Row],[Order Date]])</f>
        <v>2025</v>
      </c>
      <c r="D3164" s="2">
        <f>DATE(YEAR(OrdersTable[[#This Row],[Order Date]]),MONTH(OrdersTable[[#This Row],[Order Date]]),1)</f>
        <v>45809</v>
      </c>
      <c r="E3164">
        <f>MONTH(OrdersTable[[#This Row],[Order Date]])</f>
        <v>6</v>
      </c>
      <c r="F3164" t="s">
        <v>2279</v>
      </c>
      <c r="G3164" t="str">
        <f>IF(OrdersTable[[#This Row],[Order Date]]=_xlfn.MINIFS(Order_Date, Customer_ID, OrdersTable[[#This Row],[Customer ID]]), "New", "Repeat")</f>
        <v>Repeat</v>
      </c>
      <c r="H3164" t="s">
        <v>76</v>
      </c>
      <c r="I3164" t="str">
        <f>INDEX(State!B:B,MATCH(OrdersTable[[#This Row],[State]],State!A:A,0))</f>
        <v>UP</v>
      </c>
      <c r="J3164" t="str">
        <f>INDEX(State!C:C,MATCH(OrdersTable[[#This Row],[State Code]],State!B:B,0))</f>
        <v>North</v>
      </c>
      <c r="K3164" t="s">
        <v>118</v>
      </c>
      <c r="L3164" t="s">
        <v>39</v>
      </c>
      <c r="M3164" t="s">
        <v>40</v>
      </c>
      <c r="N3164" t="str">
        <f>INDEX(Products!B:B,MATCH(OrdersTable[[#This Row],[Product ID]],Products!A:A,0))</f>
        <v>Ashwagandha Capsules</v>
      </c>
      <c r="O3164" t="str">
        <f>INDEX(Products!C:C,MATCH(OrdersTable[[#This Row],[Product ID]],Products!A:A,0))</f>
        <v>Wellness</v>
      </c>
      <c r="P3164">
        <v>2</v>
      </c>
      <c r="Q3164" s="5">
        <v>499</v>
      </c>
      <c r="R3164" s="74">
        <v>0</v>
      </c>
      <c r="S3164" s="75">
        <f>OrdersTable[[#This Row],[Quantity]]*OrdersTable[[#This Row],[Unit Price]]</f>
        <v>998</v>
      </c>
      <c r="T3164" s="5">
        <f>OrdersTable[[#This Row],[Gross Sale]]*OrdersTable[[#This Row],[Discount_Clean2]]</f>
        <v>0</v>
      </c>
      <c r="U3164" s="5">
        <f>OrdersTable[[#This Row],[Gross Sale]]-OrdersTable[[#This Row],[Discount Amount]]</f>
        <v>998</v>
      </c>
      <c r="V3164" s="77">
        <f>INDEX(Products!E:E,MATCH(OrdersTable[[#This Row],[Product ID]],Products!A:A,0))</f>
        <v>150</v>
      </c>
      <c r="W3164" s="77">
        <f>OrdersTable[[#This Row],[Quantity]]*OrdersTable[[#This Row],[Unit Cost]]</f>
        <v>300</v>
      </c>
      <c r="X3164" s="77">
        <f>'Dropdown Lists'!$I$2*(1+OrdersTable[[#This Row],[Returned]])</f>
        <v>60</v>
      </c>
      <c r="Y3164" s="76">
        <f>OrdersTable[[#This Row],[Net Revenue]]-OrdersTable[[#This Row],[COGS]]-OrdersTable[[#This Row],[Shipping Cost]]</f>
        <v>638</v>
      </c>
      <c r="Z3164" s="78">
        <f>IFERROR(OrdersTable[[#This Row],[Profit]]/OrdersTable[[#This Row],[Net Revenue]],0)</f>
        <v>0.63927855711422843</v>
      </c>
      <c r="AA3164" t="s">
        <v>3495</v>
      </c>
      <c r="AB3164" s="79">
        <v>45817</v>
      </c>
      <c r="AC3164">
        <f>OrdersTable[[#This Row],[Delivery Date]]-OrdersTable[[#This Row],[Order Date]]</f>
        <v>4</v>
      </c>
      <c r="AD3164" t="str">
        <f>IF(OrdersTable[[#This Row],[Delivery Days]]&lt;=2, "Express (≤2d)", IF(OrdersTable[[#This Row],[Delivery Days]]&lt;=4, "Standard (3-4d)", "Delayed (5d+)"))</f>
        <v>Standard (3-4d)</v>
      </c>
      <c r="AE3164">
        <v>5</v>
      </c>
      <c r="AF3164">
        <v>0</v>
      </c>
    </row>
    <row r="3165" spans="1:32" ht="15" x14ac:dyDescent="0.35">
      <c r="A3165" t="s">
        <v>6370</v>
      </c>
      <c r="B3165" s="1">
        <v>45813</v>
      </c>
      <c r="C3165">
        <f>YEAR(OrdersTable[[#This Row],[Order Date]])</f>
        <v>2025</v>
      </c>
      <c r="D3165" s="2">
        <f>DATE(YEAR(OrdersTable[[#This Row],[Order Date]]),MONTH(OrdersTable[[#This Row],[Order Date]]),1)</f>
        <v>45809</v>
      </c>
      <c r="E3165">
        <f>MONTH(OrdersTable[[#This Row],[Order Date]])</f>
        <v>6</v>
      </c>
      <c r="F3165" t="s">
        <v>6371</v>
      </c>
      <c r="G3165" t="str">
        <f>IF(OrdersTable[[#This Row],[Order Date]]=_xlfn.MINIFS(Order_Date, Customer_ID, OrdersTable[[#This Row],[Customer ID]]), "New", "Repeat")</f>
        <v>New</v>
      </c>
      <c r="H3165" t="s">
        <v>132</v>
      </c>
      <c r="I3165" t="str">
        <f>INDEX(State!B:B,MATCH(OrdersTable[[#This Row],[State]],State!A:A,0))</f>
        <v>AS</v>
      </c>
      <c r="J3165" t="str">
        <f>INDEX(State!C:C,MATCH(OrdersTable[[#This Row],[State Code]],State!B:B,0))</f>
        <v>East</v>
      </c>
      <c r="K3165" t="s">
        <v>133</v>
      </c>
      <c r="L3165" t="s">
        <v>39</v>
      </c>
      <c r="M3165" t="s">
        <v>51</v>
      </c>
      <c r="N3165" t="str">
        <f>INDEX(Products!B:B,MATCH(OrdersTable[[#This Row],[Product ID]],Products!A:A,0))</f>
        <v>Anti-Dandruff Conditioner</v>
      </c>
      <c r="O3165" t="str">
        <f>INDEX(Products!C:C,MATCH(OrdersTable[[#This Row],[Product ID]],Products!A:A,0))</f>
        <v>Haircare</v>
      </c>
      <c r="P3165">
        <v>2</v>
      </c>
      <c r="Q3165" s="5">
        <v>399</v>
      </c>
      <c r="R3165" s="74">
        <v>0.3</v>
      </c>
      <c r="S3165" s="75">
        <f>OrdersTable[[#This Row],[Quantity]]*OrdersTable[[#This Row],[Unit Price]]</f>
        <v>798</v>
      </c>
      <c r="T3165" s="5">
        <f>OrdersTable[[#This Row],[Gross Sale]]*OrdersTable[[#This Row],[Discount_Clean2]]</f>
        <v>239.39999999999998</v>
      </c>
      <c r="U3165" s="5">
        <f>OrdersTable[[#This Row],[Gross Sale]]-OrdersTable[[#This Row],[Discount Amount]]</f>
        <v>558.6</v>
      </c>
      <c r="V3165" s="77">
        <f>INDEX(Products!E:E,MATCH(OrdersTable[[#This Row],[Product ID]],Products!A:A,0))</f>
        <v>136</v>
      </c>
      <c r="W3165" s="77">
        <f>OrdersTable[[#This Row],[Quantity]]*OrdersTable[[#This Row],[Unit Cost]]</f>
        <v>272</v>
      </c>
      <c r="X3165" s="77">
        <f>'Dropdown Lists'!$I$2*(1+OrdersTable[[#This Row],[Returned]])</f>
        <v>60</v>
      </c>
      <c r="Y3165" s="76">
        <f>OrdersTable[[#This Row],[Net Revenue]]-OrdersTable[[#This Row],[COGS]]-OrdersTable[[#This Row],[Shipping Cost]]</f>
        <v>226.60000000000002</v>
      </c>
      <c r="Z3165" s="78">
        <f>IFERROR(OrdersTable[[#This Row],[Profit]]/OrdersTable[[#This Row],[Net Revenue]],0)</f>
        <v>0.40565699964196206</v>
      </c>
      <c r="AA3165" t="s">
        <v>18</v>
      </c>
      <c r="AB3165" s="79">
        <v>45820</v>
      </c>
      <c r="AC3165">
        <f>OrdersTable[[#This Row],[Delivery Date]]-OrdersTable[[#This Row],[Order Date]]</f>
        <v>7</v>
      </c>
      <c r="AD3165" t="str">
        <f>IF(OrdersTable[[#This Row],[Delivery Days]]&lt;=2, "Express (≤2d)", IF(OrdersTable[[#This Row],[Delivery Days]]&lt;=4, "Standard (3-4d)", "Delayed (5d+)"))</f>
        <v>Delayed (5d+)</v>
      </c>
      <c r="AF3165">
        <v>0</v>
      </c>
    </row>
    <row r="3166" spans="1:32" ht="15" x14ac:dyDescent="0.35">
      <c r="A3166" t="s">
        <v>3291</v>
      </c>
      <c r="B3166" s="1">
        <v>45813</v>
      </c>
      <c r="C3166">
        <f>YEAR(OrdersTable[[#This Row],[Order Date]])</f>
        <v>2025</v>
      </c>
      <c r="D3166" s="2">
        <f>DATE(YEAR(OrdersTable[[#This Row],[Order Date]]),MONTH(OrdersTable[[#This Row],[Order Date]]),1)</f>
        <v>45809</v>
      </c>
      <c r="E3166">
        <f>MONTH(OrdersTable[[#This Row],[Order Date]])</f>
        <v>6</v>
      </c>
      <c r="F3166" t="s">
        <v>1639</v>
      </c>
      <c r="G3166" t="str">
        <f>IF(OrdersTable[[#This Row],[Order Date]]=_xlfn.MINIFS(Order_Date, Customer_ID, OrdersTable[[#This Row],[Customer ID]]), "New", "Repeat")</f>
        <v>Repeat</v>
      </c>
      <c r="H3166" t="s">
        <v>27</v>
      </c>
      <c r="I3166" t="str">
        <f>INDEX(State!B:B,MATCH(OrdersTable[[#This Row],[State]],State!A:A,0))</f>
        <v>WB</v>
      </c>
      <c r="J3166" t="str">
        <f>INDEX(State!C:C,MATCH(OrdersTable[[#This Row],[State Code]],State!B:B,0))</f>
        <v>East</v>
      </c>
      <c r="K3166" t="s">
        <v>28</v>
      </c>
      <c r="L3166" t="s">
        <v>23</v>
      </c>
      <c r="M3166" t="s">
        <v>255</v>
      </c>
      <c r="N3166" t="str">
        <f>INDEX(Products!B:B,MATCH(OrdersTable[[#This Row],[Product ID]],Products!A:A,0))</f>
        <v>Cotton Oversized T-Shirt</v>
      </c>
      <c r="O3166" t="str">
        <f>INDEX(Products!C:C,MATCH(OrdersTable[[#This Row],[Product ID]],Products!A:A,0))</f>
        <v>Apparel</v>
      </c>
      <c r="P3166">
        <v>1</v>
      </c>
      <c r="Q3166" s="5">
        <v>799</v>
      </c>
      <c r="R3166" s="74">
        <v>0.1</v>
      </c>
      <c r="S3166" s="75">
        <f>OrdersTable[[#This Row],[Quantity]]*OrdersTable[[#This Row],[Unit Price]]</f>
        <v>799</v>
      </c>
      <c r="T3166" s="5">
        <f>OrdersTable[[#This Row],[Gross Sale]]*OrdersTable[[#This Row],[Discount_Clean2]]</f>
        <v>79.900000000000006</v>
      </c>
      <c r="U3166" s="5">
        <f>OrdersTable[[#This Row],[Gross Sale]]-OrdersTable[[#This Row],[Discount Amount]]</f>
        <v>719.1</v>
      </c>
      <c r="V3166" s="77">
        <f>INDEX(Products!E:E,MATCH(OrdersTable[[#This Row],[Product ID]],Products!A:A,0))</f>
        <v>320</v>
      </c>
      <c r="W3166" s="77">
        <f>OrdersTable[[#This Row],[Quantity]]*OrdersTable[[#This Row],[Unit Cost]]</f>
        <v>320</v>
      </c>
      <c r="X3166" s="77">
        <f>'Dropdown Lists'!$I$2*(1+OrdersTable[[#This Row],[Returned]])</f>
        <v>60</v>
      </c>
      <c r="Y3166" s="76">
        <f>OrdersTable[[#This Row],[Net Revenue]]-OrdersTable[[#This Row],[COGS]]-OrdersTable[[#This Row],[Shipping Cost]]</f>
        <v>339.1</v>
      </c>
      <c r="Z3166" s="78">
        <f>IFERROR(OrdersTable[[#This Row],[Profit]]/OrdersTable[[#This Row],[Net Revenue]],0)</f>
        <v>0.47156167431511614</v>
      </c>
      <c r="AA3166" t="s">
        <v>2522</v>
      </c>
      <c r="AB3166" s="79">
        <v>45816</v>
      </c>
      <c r="AC3166">
        <f>OrdersTable[[#This Row],[Delivery Date]]-OrdersTable[[#This Row],[Order Date]]</f>
        <v>3</v>
      </c>
      <c r="AD3166" t="str">
        <f>IF(OrdersTable[[#This Row],[Delivery Days]]&lt;=2, "Express (≤2d)", IF(OrdersTable[[#This Row],[Delivery Days]]&lt;=4, "Standard (3-4d)", "Delayed (5d+)"))</f>
        <v>Standard (3-4d)</v>
      </c>
      <c r="AE3166">
        <v>4</v>
      </c>
      <c r="AF3166">
        <v>0</v>
      </c>
    </row>
    <row r="3167" spans="1:32" ht="15" x14ac:dyDescent="0.35">
      <c r="A3167" t="s">
        <v>2631</v>
      </c>
      <c r="B3167" s="1">
        <v>45813</v>
      </c>
      <c r="C3167">
        <f>YEAR(OrdersTable[[#This Row],[Order Date]])</f>
        <v>2025</v>
      </c>
      <c r="D3167" s="2">
        <f>DATE(YEAR(OrdersTable[[#This Row],[Order Date]]),MONTH(OrdersTable[[#This Row],[Order Date]]),1)</f>
        <v>45809</v>
      </c>
      <c r="E3167">
        <f>MONTH(OrdersTable[[#This Row],[Order Date]])</f>
        <v>6</v>
      </c>
      <c r="F3167" t="s">
        <v>2632</v>
      </c>
      <c r="G3167" t="str">
        <f>IF(OrdersTable[[#This Row],[Order Date]]=_xlfn.MINIFS(Order_Date, Customer_ID, OrdersTable[[#This Row],[Customer ID]]), "New", "Repeat")</f>
        <v>New</v>
      </c>
      <c r="H3167" t="s">
        <v>71</v>
      </c>
      <c r="I3167" t="str">
        <f>INDEX(State!B:B,MATCH(OrdersTable[[#This Row],[State]],State!A:A,0))</f>
        <v>MH</v>
      </c>
      <c r="J3167" t="str">
        <f>INDEX(State!C:C,MATCH(OrdersTable[[#This Row],[State Code]],State!B:B,0))</f>
        <v>West</v>
      </c>
      <c r="K3167" t="s">
        <v>102</v>
      </c>
      <c r="L3167" t="s">
        <v>23</v>
      </c>
      <c r="M3167" t="s">
        <v>40</v>
      </c>
      <c r="N3167" t="str">
        <f>INDEX(Products!B:B,MATCH(OrdersTable[[#This Row],[Product ID]],Products!A:A,0))</f>
        <v>Ashwagandha Capsules</v>
      </c>
      <c r="O3167" t="str">
        <f>INDEX(Products!C:C,MATCH(OrdersTable[[#This Row],[Product ID]],Products!A:A,0))</f>
        <v>Wellness</v>
      </c>
      <c r="P3167">
        <v>1</v>
      </c>
      <c r="Q3167" s="5">
        <v>499</v>
      </c>
      <c r="R3167" s="74">
        <v>0</v>
      </c>
      <c r="S3167" s="75">
        <f>OrdersTable[[#This Row],[Quantity]]*OrdersTable[[#This Row],[Unit Price]]</f>
        <v>499</v>
      </c>
      <c r="T3167" s="5">
        <f>OrdersTable[[#This Row],[Gross Sale]]*OrdersTable[[#This Row],[Discount_Clean2]]</f>
        <v>0</v>
      </c>
      <c r="U3167" s="5">
        <f>OrdersTable[[#This Row],[Gross Sale]]-OrdersTable[[#This Row],[Discount Amount]]</f>
        <v>499</v>
      </c>
      <c r="V3167" s="77">
        <f>INDEX(Products!E:E,MATCH(OrdersTable[[#This Row],[Product ID]],Products!A:A,0))</f>
        <v>150</v>
      </c>
      <c r="W3167" s="77">
        <f>OrdersTable[[#This Row],[Quantity]]*OrdersTable[[#This Row],[Unit Cost]]</f>
        <v>150</v>
      </c>
      <c r="X3167" s="77">
        <f>'Dropdown Lists'!$I$2*(1+OrdersTable[[#This Row],[Returned]])</f>
        <v>60</v>
      </c>
      <c r="Y3167" s="76">
        <f>OrdersTable[[#This Row],[Net Revenue]]-OrdersTable[[#This Row],[COGS]]-OrdersTable[[#This Row],[Shipping Cost]]</f>
        <v>289</v>
      </c>
      <c r="Z3167" s="78">
        <f>IFERROR(OrdersTable[[#This Row],[Profit]]/OrdersTable[[#This Row],[Net Revenue]],0)</f>
        <v>0.57915831663326656</v>
      </c>
      <c r="AA3167" t="s">
        <v>2522</v>
      </c>
      <c r="AB3167" s="79">
        <v>45815</v>
      </c>
      <c r="AC3167">
        <f>OrdersTable[[#This Row],[Delivery Date]]-OrdersTable[[#This Row],[Order Date]]</f>
        <v>2</v>
      </c>
      <c r="AD3167" t="str">
        <f>IF(OrdersTable[[#This Row],[Delivery Days]]&lt;=2, "Express (≤2d)", IF(OrdersTable[[#This Row],[Delivery Days]]&lt;=4, "Standard (3-4d)", "Delayed (5d+)"))</f>
        <v>Express (≤2d)</v>
      </c>
      <c r="AE3167">
        <v>5</v>
      </c>
      <c r="AF3167">
        <v>0</v>
      </c>
    </row>
    <row r="3168" spans="1:32" ht="15" x14ac:dyDescent="0.35">
      <c r="A3168" t="s">
        <v>3636</v>
      </c>
      <c r="B3168" s="1">
        <v>45813</v>
      </c>
      <c r="C3168">
        <f>YEAR(OrdersTable[[#This Row],[Order Date]])</f>
        <v>2025</v>
      </c>
      <c r="D3168" s="2">
        <f>DATE(YEAR(OrdersTable[[#This Row],[Order Date]]),MONTH(OrdersTable[[#This Row],[Order Date]]),1)</f>
        <v>45809</v>
      </c>
      <c r="E3168">
        <f>MONTH(OrdersTable[[#This Row],[Order Date]])</f>
        <v>6</v>
      </c>
      <c r="F3168" t="s">
        <v>3637</v>
      </c>
      <c r="G3168" t="str">
        <f>IF(OrdersTable[[#This Row],[Order Date]]=_xlfn.MINIFS(Order_Date, Customer_ID, OrdersTable[[#This Row],[Customer ID]]), "New", "Repeat")</f>
        <v>Repeat</v>
      </c>
      <c r="H3168" t="s">
        <v>71</v>
      </c>
      <c r="I3168" t="str">
        <f>INDEX(State!B:B,MATCH(OrdersTable[[#This Row],[State]],State!A:A,0))</f>
        <v>MH</v>
      </c>
      <c r="J3168" t="str">
        <f>INDEX(State!C:C,MATCH(OrdersTable[[#This Row],[State Code]],State!B:B,0))</f>
        <v>West</v>
      </c>
      <c r="K3168" t="s">
        <v>72</v>
      </c>
      <c r="L3168" t="s">
        <v>16</v>
      </c>
      <c r="M3168" t="s">
        <v>255</v>
      </c>
      <c r="N3168" t="str">
        <f>INDEX(Products!B:B,MATCH(OrdersTable[[#This Row],[Product ID]],Products!A:A,0))</f>
        <v>Cotton Oversized T-Shirt</v>
      </c>
      <c r="O3168" t="str">
        <f>INDEX(Products!C:C,MATCH(OrdersTable[[#This Row],[Product ID]],Products!A:A,0))</f>
        <v>Apparel</v>
      </c>
      <c r="P3168">
        <v>1</v>
      </c>
      <c r="Q3168" s="5">
        <v>799</v>
      </c>
      <c r="R3168" s="74">
        <v>0</v>
      </c>
      <c r="S3168" s="75">
        <f>OrdersTable[[#This Row],[Quantity]]*OrdersTable[[#This Row],[Unit Price]]</f>
        <v>799</v>
      </c>
      <c r="T3168" s="5">
        <f>OrdersTable[[#This Row],[Gross Sale]]*OrdersTable[[#This Row],[Discount_Clean2]]</f>
        <v>0</v>
      </c>
      <c r="U3168" s="5">
        <f>OrdersTable[[#This Row],[Gross Sale]]-OrdersTable[[#This Row],[Discount Amount]]</f>
        <v>799</v>
      </c>
      <c r="V3168" s="77">
        <f>INDEX(Products!E:E,MATCH(OrdersTable[[#This Row],[Product ID]],Products!A:A,0))</f>
        <v>320</v>
      </c>
      <c r="W3168" s="77">
        <f>OrdersTable[[#This Row],[Quantity]]*OrdersTable[[#This Row],[Unit Cost]]</f>
        <v>320</v>
      </c>
      <c r="X3168" s="77">
        <f>'Dropdown Lists'!$I$2*(1+OrdersTable[[#This Row],[Returned]])</f>
        <v>120</v>
      </c>
      <c r="Y3168" s="76">
        <f>OrdersTable[[#This Row],[Net Revenue]]-OrdersTable[[#This Row],[COGS]]-OrdersTable[[#This Row],[Shipping Cost]]</f>
        <v>359</v>
      </c>
      <c r="Z3168" s="78">
        <f>IFERROR(OrdersTable[[#This Row],[Profit]]/OrdersTable[[#This Row],[Net Revenue]],0)</f>
        <v>0.44931163954943681</v>
      </c>
      <c r="AA3168" t="s">
        <v>3495</v>
      </c>
      <c r="AB3168" s="79">
        <v>45814</v>
      </c>
      <c r="AC3168">
        <f>OrdersTable[[#This Row],[Delivery Date]]-OrdersTable[[#This Row],[Order Date]]</f>
        <v>1</v>
      </c>
      <c r="AD3168" t="str">
        <f>IF(OrdersTable[[#This Row],[Delivery Days]]&lt;=2, "Express (≤2d)", IF(OrdersTable[[#This Row],[Delivery Days]]&lt;=4, "Standard (3-4d)", "Delayed (5d+)"))</f>
        <v>Express (≤2d)</v>
      </c>
      <c r="AE3168">
        <v>4</v>
      </c>
      <c r="AF3168">
        <v>1</v>
      </c>
    </row>
    <row r="3169" spans="1:32" ht="15" x14ac:dyDescent="0.35">
      <c r="A3169" t="s">
        <v>3779</v>
      </c>
      <c r="B3169" s="1">
        <v>45813</v>
      </c>
      <c r="C3169">
        <f>YEAR(OrdersTable[[#This Row],[Order Date]])</f>
        <v>2025</v>
      </c>
      <c r="D3169" s="2">
        <f>DATE(YEAR(OrdersTable[[#This Row],[Order Date]]),MONTH(OrdersTable[[#This Row],[Order Date]]),1)</f>
        <v>45809</v>
      </c>
      <c r="E3169">
        <f>MONTH(OrdersTable[[#This Row],[Order Date]])</f>
        <v>6</v>
      </c>
      <c r="F3169" t="s">
        <v>1289</v>
      </c>
      <c r="G3169" t="str">
        <f>IF(OrdersTable[[#This Row],[Order Date]]=_xlfn.MINIFS(Order_Date, Customer_ID, OrdersTable[[#This Row],[Customer ID]]), "New", "Repeat")</f>
        <v>New</v>
      </c>
      <c r="H3169" t="s">
        <v>167</v>
      </c>
      <c r="I3169" t="str">
        <f>INDEX(State!B:B,MATCH(OrdersTable[[#This Row],[State]],State!A:A,0))</f>
        <v>KA</v>
      </c>
      <c r="J3169" t="str">
        <f>INDEX(State!C:C,MATCH(OrdersTable[[#This Row],[State Code]],State!B:B,0))</f>
        <v>South</v>
      </c>
      <c r="K3169" t="s">
        <v>168</v>
      </c>
      <c r="L3169" t="s">
        <v>39</v>
      </c>
      <c r="M3169" t="s">
        <v>125</v>
      </c>
      <c r="N3169" t="str">
        <f>INDEX(Products!B:B,MATCH(OrdersTable[[#This Row],[Product ID]],Products!A:A,0))</f>
        <v>Copper Water Bottle</v>
      </c>
      <c r="O3169" t="str">
        <f>INDEX(Products!C:C,MATCH(OrdersTable[[#This Row],[Product ID]],Products!A:A,0))</f>
        <v>Home &amp; Kitchen</v>
      </c>
      <c r="P3169">
        <v>1</v>
      </c>
      <c r="Q3169" s="5">
        <v>899</v>
      </c>
      <c r="R3169" s="74">
        <v>0</v>
      </c>
      <c r="S3169" s="75">
        <f>OrdersTable[[#This Row],[Quantity]]*OrdersTable[[#This Row],[Unit Price]]</f>
        <v>899</v>
      </c>
      <c r="T3169" s="5">
        <f>OrdersTable[[#This Row],[Gross Sale]]*OrdersTable[[#This Row],[Discount_Clean2]]</f>
        <v>0</v>
      </c>
      <c r="U3169" s="5">
        <f>OrdersTable[[#This Row],[Gross Sale]]-OrdersTable[[#This Row],[Discount Amount]]</f>
        <v>899</v>
      </c>
      <c r="V3169" s="77">
        <f>INDEX(Products!E:E,MATCH(OrdersTable[[#This Row],[Product ID]],Products!A:A,0))</f>
        <v>378</v>
      </c>
      <c r="W3169" s="77">
        <f>OrdersTable[[#This Row],[Quantity]]*OrdersTable[[#This Row],[Unit Cost]]</f>
        <v>378</v>
      </c>
      <c r="X3169" s="77">
        <f>'Dropdown Lists'!$I$2*(1+OrdersTable[[#This Row],[Returned]])</f>
        <v>60</v>
      </c>
      <c r="Y3169" s="76">
        <f>OrdersTable[[#This Row],[Net Revenue]]-OrdersTable[[#This Row],[COGS]]-OrdersTable[[#This Row],[Shipping Cost]]</f>
        <v>461</v>
      </c>
      <c r="Z3169" s="78">
        <f>IFERROR(OrdersTable[[#This Row],[Profit]]/OrdersTable[[#This Row],[Net Revenue]],0)</f>
        <v>0.51279199110122353</v>
      </c>
      <c r="AA3169" t="s">
        <v>3495</v>
      </c>
      <c r="AB3169" s="79">
        <v>45814</v>
      </c>
      <c r="AC3169">
        <f>OrdersTable[[#This Row],[Delivery Date]]-OrdersTable[[#This Row],[Order Date]]</f>
        <v>1</v>
      </c>
      <c r="AD3169" t="str">
        <f>IF(OrdersTable[[#This Row],[Delivery Days]]&lt;=2, "Express (≤2d)", IF(OrdersTable[[#This Row],[Delivery Days]]&lt;=4, "Standard (3-4d)", "Delayed (5d+)"))</f>
        <v>Express (≤2d)</v>
      </c>
      <c r="AF3169">
        <v>0</v>
      </c>
    </row>
    <row r="3170" spans="1:32" ht="15" x14ac:dyDescent="0.35">
      <c r="A3170" t="s">
        <v>2155</v>
      </c>
      <c r="B3170" s="1">
        <v>45814</v>
      </c>
      <c r="C3170">
        <f>YEAR(OrdersTable[[#This Row],[Order Date]])</f>
        <v>2025</v>
      </c>
      <c r="D3170" s="2">
        <f>DATE(YEAR(OrdersTable[[#This Row],[Order Date]]),MONTH(OrdersTable[[#This Row],[Order Date]]),1)</f>
        <v>45809</v>
      </c>
      <c r="E3170">
        <f>MONTH(OrdersTable[[#This Row],[Order Date]])</f>
        <v>6</v>
      </c>
      <c r="F3170" t="s">
        <v>1961</v>
      </c>
      <c r="G3170" t="str">
        <f>IF(OrdersTable[[#This Row],[Order Date]]=_xlfn.MINIFS(Order_Date, Customer_ID, OrdersTable[[#This Row],[Customer ID]]), "New", "Repeat")</f>
        <v>Repeat</v>
      </c>
      <c r="H3170" t="s">
        <v>54</v>
      </c>
      <c r="I3170" t="str">
        <f>INDEX(State!B:B,MATCH(OrdersTable[[#This Row],[State]],State!A:A,0))</f>
        <v>RJ</v>
      </c>
      <c r="J3170" t="str">
        <f>INDEX(State!C:C,MATCH(OrdersTable[[#This Row],[State Code]],State!B:B,0))</f>
        <v>North</v>
      </c>
      <c r="K3170" t="s">
        <v>55</v>
      </c>
      <c r="L3170" t="s">
        <v>65</v>
      </c>
      <c r="M3170" t="s">
        <v>61</v>
      </c>
      <c r="N3170" t="str">
        <f>INDEX(Products!B:B,MATCH(OrdersTable[[#This Row],[Product ID]],Products!A:A,0))</f>
        <v>Multivitamin Gummies</v>
      </c>
      <c r="O3170" t="str">
        <f>INDEX(Products!C:C,MATCH(OrdersTable[[#This Row],[Product ID]],Products!A:A,0))</f>
        <v>Wellness</v>
      </c>
      <c r="P3170">
        <v>1</v>
      </c>
      <c r="Q3170" s="5">
        <v>699</v>
      </c>
      <c r="R3170" s="74">
        <v>0.2</v>
      </c>
      <c r="S3170" s="75">
        <f>OrdersTable[[#This Row],[Quantity]]*OrdersTable[[#This Row],[Unit Price]]</f>
        <v>699</v>
      </c>
      <c r="T3170" s="5">
        <f>OrdersTable[[#This Row],[Gross Sale]]*OrdersTable[[#This Row],[Discount_Clean2]]</f>
        <v>139.80000000000001</v>
      </c>
      <c r="U3170" s="5">
        <f>OrdersTable[[#This Row],[Gross Sale]]-OrdersTable[[#This Row],[Discount Amount]]</f>
        <v>559.20000000000005</v>
      </c>
      <c r="V3170" s="77">
        <f>INDEX(Products!E:E,MATCH(OrdersTable[[#This Row],[Product ID]],Products!A:A,0))</f>
        <v>238</v>
      </c>
      <c r="W3170" s="77">
        <f>OrdersTable[[#This Row],[Quantity]]*OrdersTable[[#This Row],[Unit Cost]]</f>
        <v>238</v>
      </c>
      <c r="X3170" s="77">
        <f>'Dropdown Lists'!$I$2*(1+OrdersTable[[#This Row],[Returned]])</f>
        <v>60</v>
      </c>
      <c r="Y3170" s="76">
        <f>OrdersTable[[#This Row],[Net Revenue]]-OrdersTable[[#This Row],[COGS]]-OrdersTable[[#This Row],[Shipping Cost]]</f>
        <v>261.20000000000005</v>
      </c>
      <c r="Z3170" s="78">
        <f>IFERROR(OrdersTable[[#This Row],[Profit]]/OrdersTable[[#This Row],[Net Revenue]],0)</f>
        <v>0.46709585121602293</v>
      </c>
      <c r="AA3170" t="s">
        <v>18</v>
      </c>
      <c r="AB3170" s="79">
        <v>45818</v>
      </c>
      <c r="AC3170">
        <f>OrdersTable[[#This Row],[Delivery Date]]-OrdersTable[[#This Row],[Order Date]]</f>
        <v>4</v>
      </c>
      <c r="AD3170" t="str">
        <f>IF(OrdersTable[[#This Row],[Delivery Days]]&lt;=2, "Express (≤2d)", IF(OrdersTable[[#This Row],[Delivery Days]]&lt;=4, "Standard (3-4d)", "Delayed (5d+)"))</f>
        <v>Standard (3-4d)</v>
      </c>
      <c r="AE3170">
        <v>3</v>
      </c>
      <c r="AF3170">
        <v>0</v>
      </c>
    </row>
    <row r="3171" spans="1:32" ht="15" x14ac:dyDescent="0.35">
      <c r="A3171" t="s">
        <v>5951</v>
      </c>
      <c r="B3171" s="1">
        <v>45814</v>
      </c>
      <c r="C3171">
        <f>YEAR(OrdersTable[[#This Row],[Order Date]])</f>
        <v>2025</v>
      </c>
      <c r="D3171" s="2">
        <f>DATE(YEAR(OrdersTable[[#This Row],[Order Date]]),MONTH(OrdersTable[[#This Row],[Order Date]]),1)</f>
        <v>45809</v>
      </c>
      <c r="E3171">
        <f>MONTH(OrdersTable[[#This Row],[Order Date]])</f>
        <v>6</v>
      </c>
      <c r="F3171" t="s">
        <v>5059</v>
      </c>
      <c r="G3171" t="str">
        <f>IF(OrdersTable[[#This Row],[Order Date]]=_xlfn.MINIFS(Order_Date, Customer_ID, OrdersTable[[#This Row],[Customer ID]]), "New", "Repeat")</f>
        <v>Repeat</v>
      </c>
      <c r="H3171" t="s">
        <v>76</v>
      </c>
      <c r="I3171" t="str">
        <f>INDEX(State!B:B,MATCH(OrdersTable[[#This Row],[State]],State!A:A,0))</f>
        <v>UP</v>
      </c>
      <c r="J3171" t="str">
        <f>INDEX(State!C:C,MATCH(OrdersTable[[#This Row],[State Code]],State!B:B,0))</f>
        <v>North</v>
      </c>
      <c r="K3171" t="s">
        <v>77</v>
      </c>
      <c r="L3171" t="s">
        <v>39</v>
      </c>
      <c r="M3171" t="s">
        <v>45</v>
      </c>
      <c r="N3171" t="str">
        <f>INDEX(Products!B:B,MATCH(OrdersTable[[#This Row],[Product ID]],Products!A:A,0))</f>
        <v>Argan Shampoo</v>
      </c>
      <c r="O3171" t="str">
        <f>INDEX(Products!C:C,MATCH(OrdersTable[[#This Row],[Product ID]],Products!A:A,0))</f>
        <v>Haircare</v>
      </c>
      <c r="P3171">
        <v>2</v>
      </c>
      <c r="Q3171" s="5">
        <v>449</v>
      </c>
      <c r="R3171" s="74">
        <v>0.05</v>
      </c>
      <c r="S3171" s="75">
        <f>OrdersTable[[#This Row],[Quantity]]*OrdersTable[[#This Row],[Unit Price]]</f>
        <v>898</v>
      </c>
      <c r="T3171" s="5">
        <f>OrdersTable[[#This Row],[Gross Sale]]*OrdersTable[[#This Row],[Discount_Clean2]]</f>
        <v>44.900000000000006</v>
      </c>
      <c r="U3171" s="5">
        <f>OrdersTable[[#This Row],[Gross Sale]]-OrdersTable[[#This Row],[Discount Amount]]</f>
        <v>853.1</v>
      </c>
      <c r="V3171" s="77">
        <f>INDEX(Products!E:E,MATCH(OrdersTable[[#This Row],[Product ID]],Products!A:A,0))</f>
        <v>148</v>
      </c>
      <c r="W3171" s="77">
        <f>OrdersTable[[#This Row],[Quantity]]*OrdersTable[[#This Row],[Unit Cost]]</f>
        <v>296</v>
      </c>
      <c r="X3171" s="77">
        <f>'Dropdown Lists'!$I$2*(1+OrdersTable[[#This Row],[Returned]])</f>
        <v>60</v>
      </c>
      <c r="Y3171" s="76">
        <f>OrdersTable[[#This Row],[Net Revenue]]-OrdersTable[[#This Row],[COGS]]-OrdersTable[[#This Row],[Shipping Cost]]</f>
        <v>497.1</v>
      </c>
      <c r="Z3171" s="78">
        <f>IFERROR(OrdersTable[[#This Row],[Profit]]/OrdersTable[[#This Row],[Net Revenue]],0)</f>
        <v>0.58269839409213453</v>
      </c>
      <c r="AA3171" t="s">
        <v>18</v>
      </c>
      <c r="AB3171" s="79">
        <v>45818</v>
      </c>
      <c r="AC3171">
        <f>OrdersTable[[#This Row],[Delivery Date]]-OrdersTable[[#This Row],[Order Date]]</f>
        <v>4</v>
      </c>
      <c r="AD3171" t="str">
        <f>IF(OrdersTable[[#This Row],[Delivery Days]]&lt;=2, "Express (≤2d)", IF(OrdersTable[[#This Row],[Delivery Days]]&lt;=4, "Standard (3-4d)", "Delayed (5d+)"))</f>
        <v>Standard (3-4d)</v>
      </c>
      <c r="AF3171">
        <v>0</v>
      </c>
    </row>
    <row r="3172" spans="1:32" ht="15" x14ac:dyDescent="0.35">
      <c r="A3172" t="s">
        <v>5616</v>
      </c>
      <c r="B3172" s="1">
        <v>45814</v>
      </c>
      <c r="C3172">
        <f>YEAR(OrdersTable[[#This Row],[Order Date]])</f>
        <v>2025</v>
      </c>
      <c r="D3172" s="2">
        <f>DATE(YEAR(OrdersTable[[#This Row],[Order Date]]),MONTH(OrdersTable[[#This Row],[Order Date]]),1)</f>
        <v>45809</v>
      </c>
      <c r="E3172">
        <f>MONTH(OrdersTable[[#This Row],[Order Date]])</f>
        <v>6</v>
      </c>
      <c r="F3172" t="s">
        <v>5617</v>
      </c>
      <c r="G3172" t="str">
        <f>IF(OrdersTable[[#This Row],[Order Date]]=_xlfn.MINIFS(Order_Date, Customer_ID, OrdersTable[[#This Row],[Customer ID]]), "New", "Repeat")</f>
        <v>New</v>
      </c>
      <c r="H3172" t="s">
        <v>76</v>
      </c>
      <c r="I3172" t="str">
        <f>INDEX(State!B:B,MATCH(OrdersTable[[#This Row],[State]],State!A:A,0))</f>
        <v>UP</v>
      </c>
      <c r="J3172" t="str">
        <f>INDEX(State!C:C,MATCH(OrdersTable[[#This Row],[State Code]],State!B:B,0))</f>
        <v>North</v>
      </c>
      <c r="K3172" t="s">
        <v>118</v>
      </c>
      <c r="L3172" t="s">
        <v>65</v>
      </c>
      <c r="M3172" t="s">
        <v>34</v>
      </c>
      <c r="N3172" t="str">
        <f>INDEX(Products!B:B,MATCH(OrdersTable[[#This Row],[Product ID]],Products!A:A,0))</f>
        <v>Flip Flops</v>
      </c>
      <c r="O3172" t="str">
        <f>INDEX(Products!C:C,MATCH(OrdersTable[[#This Row],[Product ID]],Products!A:A,0))</f>
        <v>Footwear</v>
      </c>
      <c r="P3172">
        <v>2</v>
      </c>
      <c r="Q3172" s="5">
        <v>399</v>
      </c>
      <c r="R3172" s="74">
        <v>0.2</v>
      </c>
      <c r="S3172" s="75">
        <f>OrdersTable[[#This Row],[Quantity]]*OrdersTable[[#This Row],[Unit Price]]</f>
        <v>798</v>
      </c>
      <c r="T3172" s="5">
        <f>OrdersTable[[#This Row],[Gross Sale]]*OrdersTable[[#This Row],[Discount_Clean2]]</f>
        <v>159.60000000000002</v>
      </c>
      <c r="U3172" s="5">
        <f>OrdersTable[[#This Row],[Gross Sale]]-OrdersTable[[#This Row],[Discount Amount]]</f>
        <v>638.4</v>
      </c>
      <c r="V3172" s="77">
        <f>INDEX(Products!E:E,MATCH(OrdersTable[[#This Row],[Product ID]],Products!A:A,0))</f>
        <v>152</v>
      </c>
      <c r="W3172" s="77">
        <f>OrdersTable[[#This Row],[Quantity]]*OrdersTable[[#This Row],[Unit Cost]]</f>
        <v>304</v>
      </c>
      <c r="X3172" s="77">
        <f>'Dropdown Lists'!$I$2*(1+OrdersTable[[#This Row],[Returned]])</f>
        <v>60</v>
      </c>
      <c r="Y3172" s="76">
        <f>OrdersTable[[#This Row],[Net Revenue]]-OrdersTable[[#This Row],[COGS]]-OrdersTable[[#This Row],[Shipping Cost]]</f>
        <v>274.39999999999998</v>
      </c>
      <c r="Z3172" s="78">
        <f>IFERROR(OrdersTable[[#This Row],[Profit]]/OrdersTable[[#This Row],[Net Revenue]],0)</f>
        <v>0.42982456140350878</v>
      </c>
      <c r="AA3172" t="s">
        <v>2522</v>
      </c>
      <c r="AB3172" s="79">
        <v>45817</v>
      </c>
      <c r="AC3172">
        <f>OrdersTable[[#This Row],[Delivery Date]]-OrdersTable[[#This Row],[Order Date]]</f>
        <v>3</v>
      </c>
      <c r="AD3172" t="str">
        <f>IF(OrdersTable[[#This Row],[Delivery Days]]&lt;=2, "Express (≤2d)", IF(OrdersTable[[#This Row],[Delivery Days]]&lt;=4, "Standard (3-4d)", "Delayed (5d+)"))</f>
        <v>Standard (3-4d)</v>
      </c>
      <c r="AE3172">
        <v>3</v>
      </c>
      <c r="AF3172">
        <v>0</v>
      </c>
    </row>
    <row r="3173" spans="1:32" ht="15" x14ac:dyDescent="0.35">
      <c r="A3173" t="s">
        <v>5200</v>
      </c>
      <c r="B3173" s="1">
        <v>45814</v>
      </c>
      <c r="C3173">
        <f>YEAR(OrdersTable[[#This Row],[Order Date]])</f>
        <v>2025</v>
      </c>
      <c r="D3173" s="2">
        <f>DATE(YEAR(OrdersTable[[#This Row],[Order Date]]),MONTH(OrdersTable[[#This Row],[Order Date]]),1)</f>
        <v>45809</v>
      </c>
      <c r="E3173">
        <f>MONTH(OrdersTable[[#This Row],[Order Date]])</f>
        <v>6</v>
      </c>
      <c r="F3173" t="s">
        <v>5201</v>
      </c>
      <c r="G3173" t="str">
        <f>IF(OrdersTable[[#This Row],[Order Date]]=_xlfn.MINIFS(Order_Date, Customer_ID, OrdersTable[[#This Row],[Customer ID]]), "New", "Repeat")</f>
        <v>New</v>
      </c>
      <c r="H3173" t="s">
        <v>37</v>
      </c>
      <c r="I3173" t="str">
        <f>INDEX(State!B:B,MATCH(OrdersTable[[#This Row],[State]],State!A:A,0))</f>
        <v>GJ</v>
      </c>
      <c r="J3173" t="str">
        <f>INDEX(State!C:C,MATCH(OrdersTable[[#This Row],[State Code]],State!B:B,0))</f>
        <v>West</v>
      </c>
      <c r="K3173" t="s">
        <v>247</v>
      </c>
      <c r="L3173" t="s">
        <v>16</v>
      </c>
      <c r="M3173" t="s">
        <v>29</v>
      </c>
      <c r="N3173" t="str">
        <f>INDEX(Products!B:B,MATCH(OrdersTable[[#This Row],[Product ID]],Products!A:A,0))</f>
        <v>Joggers</v>
      </c>
      <c r="O3173" t="str">
        <f>INDEX(Products!C:C,MATCH(OrdersTable[[#This Row],[Product ID]],Products!A:A,0))</f>
        <v>Apparel</v>
      </c>
      <c r="P3173">
        <v>2</v>
      </c>
      <c r="Q3173" s="5">
        <v>1199</v>
      </c>
      <c r="R3173" s="74">
        <v>0.2</v>
      </c>
      <c r="S3173" s="75">
        <f>OrdersTable[[#This Row],[Quantity]]*OrdersTable[[#This Row],[Unit Price]]</f>
        <v>2398</v>
      </c>
      <c r="T3173" s="5">
        <f>OrdersTable[[#This Row],[Gross Sale]]*OrdersTable[[#This Row],[Discount_Clean2]]</f>
        <v>479.6</v>
      </c>
      <c r="U3173" s="5">
        <f>OrdersTable[[#This Row],[Gross Sale]]-OrdersTable[[#This Row],[Discount Amount]]</f>
        <v>1918.4</v>
      </c>
      <c r="V3173" s="77">
        <f>INDEX(Products!E:E,MATCH(OrdersTable[[#This Row],[Product ID]],Products!A:A,0))</f>
        <v>492</v>
      </c>
      <c r="W3173" s="77">
        <f>OrdersTable[[#This Row],[Quantity]]*OrdersTable[[#This Row],[Unit Cost]]</f>
        <v>984</v>
      </c>
      <c r="X3173" s="77">
        <f>'Dropdown Lists'!$I$2*(1+OrdersTable[[#This Row],[Returned]])</f>
        <v>60</v>
      </c>
      <c r="Y3173" s="76">
        <f>OrdersTable[[#This Row],[Net Revenue]]-OrdersTable[[#This Row],[COGS]]-OrdersTable[[#This Row],[Shipping Cost]]</f>
        <v>874.40000000000009</v>
      </c>
      <c r="Z3173" s="78">
        <f>IFERROR(OrdersTable[[#This Row],[Profit]]/OrdersTable[[#This Row],[Net Revenue]],0)</f>
        <v>0.45579649708090075</v>
      </c>
      <c r="AA3173" t="s">
        <v>3495</v>
      </c>
      <c r="AB3173" s="79">
        <v>45816</v>
      </c>
      <c r="AC3173">
        <f>OrdersTable[[#This Row],[Delivery Date]]-OrdersTable[[#This Row],[Order Date]]</f>
        <v>2</v>
      </c>
      <c r="AD3173" t="str">
        <f>IF(OrdersTable[[#This Row],[Delivery Days]]&lt;=2, "Express (≤2d)", IF(OrdersTable[[#This Row],[Delivery Days]]&lt;=4, "Standard (3-4d)", "Delayed (5d+)"))</f>
        <v>Express (≤2d)</v>
      </c>
      <c r="AF3173">
        <v>0</v>
      </c>
    </row>
    <row r="3174" spans="1:32" ht="15" x14ac:dyDescent="0.35">
      <c r="A3174" t="s">
        <v>4525</v>
      </c>
      <c r="B3174" s="1">
        <v>45814</v>
      </c>
      <c r="C3174">
        <f>YEAR(OrdersTable[[#This Row],[Order Date]])</f>
        <v>2025</v>
      </c>
      <c r="D3174" s="2">
        <f>DATE(YEAR(OrdersTable[[#This Row],[Order Date]]),MONTH(OrdersTable[[#This Row],[Order Date]]),1)</f>
        <v>45809</v>
      </c>
      <c r="E3174">
        <f>MONTH(OrdersTable[[#This Row],[Order Date]])</f>
        <v>6</v>
      </c>
      <c r="F3174" t="s">
        <v>2332</v>
      </c>
      <c r="G3174" t="str">
        <f>IF(OrdersTable[[#This Row],[Order Date]]=_xlfn.MINIFS(Order_Date, Customer_ID, OrdersTable[[#This Row],[Customer ID]]), "New", "Repeat")</f>
        <v>Repeat</v>
      </c>
      <c r="H3174" t="s">
        <v>71</v>
      </c>
      <c r="I3174" t="str">
        <f>INDEX(State!B:B,MATCH(OrdersTable[[#This Row],[State]],State!A:A,0))</f>
        <v>MH</v>
      </c>
      <c r="J3174" t="str">
        <f>INDEX(State!C:C,MATCH(OrdersTable[[#This Row],[State Code]],State!B:B,0))</f>
        <v>West</v>
      </c>
      <c r="K3174" t="s">
        <v>72</v>
      </c>
      <c r="L3174" t="s">
        <v>23</v>
      </c>
      <c r="M3174" t="s">
        <v>255</v>
      </c>
      <c r="N3174" t="str">
        <f>INDEX(Products!B:B,MATCH(OrdersTable[[#This Row],[Product ID]],Products!A:A,0))</f>
        <v>Cotton Oversized T-Shirt</v>
      </c>
      <c r="O3174" t="str">
        <f>INDEX(Products!C:C,MATCH(OrdersTable[[#This Row],[Product ID]],Products!A:A,0))</f>
        <v>Apparel</v>
      </c>
      <c r="P3174">
        <v>1</v>
      </c>
      <c r="Q3174" s="5">
        <v>799</v>
      </c>
      <c r="R3174" s="74">
        <v>0</v>
      </c>
      <c r="S3174" s="75">
        <f>OrdersTable[[#This Row],[Quantity]]*OrdersTable[[#This Row],[Unit Price]]</f>
        <v>799</v>
      </c>
      <c r="T3174" s="5">
        <f>OrdersTable[[#This Row],[Gross Sale]]*OrdersTable[[#This Row],[Discount_Clean2]]</f>
        <v>0</v>
      </c>
      <c r="U3174" s="5">
        <f>OrdersTable[[#This Row],[Gross Sale]]-OrdersTable[[#This Row],[Discount Amount]]</f>
        <v>799</v>
      </c>
      <c r="V3174" s="77">
        <f>INDEX(Products!E:E,MATCH(OrdersTable[[#This Row],[Product ID]],Products!A:A,0))</f>
        <v>320</v>
      </c>
      <c r="W3174" s="77">
        <f>OrdersTable[[#This Row],[Quantity]]*OrdersTable[[#This Row],[Unit Cost]]</f>
        <v>320</v>
      </c>
      <c r="X3174" s="77">
        <f>'Dropdown Lists'!$I$2*(1+OrdersTable[[#This Row],[Returned]])</f>
        <v>60</v>
      </c>
      <c r="Y3174" s="76">
        <f>OrdersTable[[#This Row],[Net Revenue]]-OrdersTable[[#This Row],[COGS]]-OrdersTable[[#This Row],[Shipping Cost]]</f>
        <v>419</v>
      </c>
      <c r="Z3174" s="78">
        <f>IFERROR(OrdersTable[[#This Row],[Profit]]/OrdersTable[[#This Row],[Net Revenue]],0)</f>
        <v>0.52440550688360454</v>
      </c>
      <c r="AA3174" t="s">
        <v>4450</v>
      </c>
      <c r="AB3174" s="79">
        <v>45818</v>
      </c>
      <c r="AC3174">
        <f>OrdersTable[[#This Row],[Delivery Date]]-OrdersTable[[#This Row],[Order Date]]</f>
        <v>4</v>
      </c>
      <c r="AD3174" t="str">
        <f>IF(OrdersTable[[#This Row],[Delivery Days]]&lt;=2, "Express (≤2d)", IF(OrdersTable[[#This Row],[Delivery Days]]&lt;=4, "Standard (3-4d)", "Delayed (5d+)"))</f>
        <v>Standard (3-4d)</v>
      </c>
      <c r="AE3174">
        <v>4</v>
      </c>
      <c r="AF3174">
        <v>0</v>
      </c>
    </row>
    <row r="3175" spans="1:32" ht="15" x14ac:dyDescent="0.35">
      <c r="A3175" t="s">
        <v>4612</v>
      </c>
      <c r="B3175" s="1">
        <v>45814</v>
      </c>
      <c r="C3175">
        <f>YEAR(OrdersTable[[#This Row],[Order Date]])</f>
        <v>2025</v>
      </c>
      <c r="D3175" s="2">
        <f>DATE(YEAR(OrdersTable[[#This Row],[Order Date]]),MONTH(OrdersTable[[#This Row],[Order Date]]),1)</f>
        <v>45809</v>
      </c>
      <c r="E3175">
        <f>MONTH(OrdersTable[[#This Row],[Order Date]])</f>
        <v>6</v>
      </c>
      <c r="F3175" t="s">
        <v>2260</v>
      </c>
      <c r="G3175" t="str">
        <f>IF(OrdersTable[[#This Row],[Order Date]]=_xlfn.MINIFS(Order_Date, Customer_ID, OrdersTable[[#This Row],[Customer ID]]), "New", "Repeat")</f>
        <v>Repeat</v>
      </c>
      <c r="H3175" t="s">
        <v>167</v>
      </c>
      <c r="I3175" t="str">
        <f>INDEX(State!B:B,MATCH(OrdersTable[[#This Row],[State]],State!A:A,0))</f>
        <v>KA</v>
      </c>
      <c r="J3175" t="str">
        <f>INDEX(State!C:C,MATCH(OrdersTable[[#This Row],[State Code]],State!B:B,0))</f>
        <v>South</v>
      </c>
      <c r="K3175" t="s">
        <v>168</v>
      </c>
      <c r="L3175" t="s">
        <v>23</v>
      </c>
      <c r="M3175" t="s">
        <v>106</v>
      </c>
      <c r="N3175" t="str">
        <f>INDEX(Products!B:B,MATCH(OrdersTable[[#This Row],[Product ID]],Products!A:A,0))</f>
        <v>Keratin Hair Mask</v>
      </c>
      <c r="O3175" t="str">
        <f>INDEX(Products!C:C,MATCH(OrdersTable[[#This Row],[Product ID]],Products!A:A,0))</f>
        <v>Haircare</v>
      </c>
      <c r="P3175">
        <v>1</v>
      </c>
      <c r="Q3175" s="5">
        <v>549</v>
      </c>
      <c r="R3175" s="74">
        <v>0.15</v>
      </c>
      <c r="S3175" s="75">
        <f>OrdersTable[[#This Row],[Quantity]]*OrdersTable[[#This Row],[Unit Price]]</f>
        <v>549</v>
      </c>
      <c r="T3175" s="5">
        <f>OrdersTable[[#This Row],[Gross Sale]]*OrdersTable[[#This Row],[Discount_Clean2]]</f>
        <v>82.35</v>
      </c>
      <c r="U3175" s="5">
        <f>OrdersTable[[#This Row],[Gross Sale]]-OrdersTable[[#This Row],[Discount Amount]]</f>
        <v>466.65</v>
      </c>
      <c r="V3175" s="77">
        <f>INDEX(Products!E:E,MATCH(OrdersTable[[#This Row],[Product ID]],Products!A:A,0))</f>
        <v>170</v>
      </c>
      <c r="W3175" s="77">
        <f>OrdersTable[[#This Row],[Quantity]]*OrdersTable[[#This Row],[Unit Cost]]</f>
        <v>170</v>
      </c>
      <c r="X3175" s="77">
        <f>'Dropdown Lists'!$I$2*(1+OrdersTable[[#This Row],[Returned]])</f>
        <v>60</v>
      </c>
      <c r="Y3175" s="76">
        <f>OrdersTable[[#This Row],[Net Revenue]]-OrdersTable[[#This Row],[COGS]]-OrdersTable[[#This Row],[Shipping Cost]]</f>
        <v>236.64999999999998</v>
      </c>
      <c r="Z3175" s="78">
        <f>IFERROR(OrdersTable[[#This Row],[Profit]]/OrdersTable[[#This Row],[Net Revenue]],0)</f>
        <v>0.50712525447337398</v>
      </c>
      <c r="AA3175" t="s">
        <v>4450</v>
      </c>
      <c r="AB3175" s="79">
        <v>45816</v>
      </c>
      <c r="AC3175">
        <f>OrdersTable[[#This Row],[Delivery Date]]-OrdersTable[[#This Row],[Order Date]]</f>
        <v>2</v>
      </c>
      <c r="AD3175" t="str">
        <f>IF(OrdersTable[[#This Row],[Delivery Days]]&lt;=2, "Express (≤2d)", IF(OrdersTable[[#This Row],[Delivery Days]]&lt;=4, "Standard (3-4d)", "Delayed (5d+)"))</f>
        <v>Express (≤2d)</v>
      </c>
      <c r="AF3175">
        <v>0</v>
      </c>
    </row>
    <row r="3176" spans="1:32" ht="15" x14ac:dyDescent="0.35">
      <c r="A3176" t="s">
        <v>6597</v>
      </c>
      <c r="B3176" s="1">
        <v>45814</v>
      </c>
      <c r="C3176">
        <f>YEAR(OrdersTable[[#This Row],[Order Date]])</f>
        <v>2025</v>
      </c>
      <c r="D3176" s="2">
        <f>DATE(YEAR(OrdersTable[[#This Row],[Order Date]]),MONTH(OrdersTable[[#This Row],[Order Date]]),1)</f>
        <v>45809</v>
      </c>
      <c r="E3176">
        <f>MONTH(OrdersTable[[#This Row],[Order Date]])</f>
        <v>6</v>
      </c>
      <c r="F3176" t="s">
        <v>1121</v>
      </c>
      <c r="G3176" t="str">
        <f>IF(OrdersTable[[#This Row],[Order Date]]=_xlfn.MINIFS(Order_Date, Customer_ID, OrdersTable[[#This Row],[Customer ID]]), "New", "Repeat")</f>
        <v>Repeat</v>
      </c>
      <c r="H3176" t="s">
        <v>316</v>
      </c>
      <c r="I3176" t="str">
        <f>INDEX(State!B:B,MATCH(OrdersTable[[#This Row],[State]],State!A:A,0))</f>
        <v>KL</v>
      </c>
      <c r="J3176" t="str">
        <f>INDEX(State!C:C,MATCH(OrdersTable[[#This Row],[State Code]],State!B:B,0))</f>
        <v>South</v>
      </c>
      <c r="K3176" t="s">
        <v>317</v>
      </c>
      <c r="L3176" t="s">
        <v>39</v>
      </c>
      <c r="M3176" t="s">
        <v>61</v>
      </c>
      <c r="N3176" t="str">
        <f>INDEX(Products!B:B,MATCH(OrdersTable[[#This Row],[Product ID]],Products!A:A,0))</f>
        <v>Multivitamin Gummies</v>
      </c>
      <c r="O3176" t="str">
        <f>INDEX(Products!C:C,MATCH(OrdersTable[[#This Row],[Product ID]],Products!A:A,0))</f>
        <v>Wellness</v>
      </c>
      <c r="P3176">
        <v>3</v>
      </c>
      <c r="Q3176" s="5">
        <v>699</v>
      </c>
      <c r="R3176" s="74">
        <v>0.15</v>
      </c>
      <c r="S3176" s="75">
        <f>OrdersTable[[#This Row],[Quantity]]*OrdersTable[[#This Row],[Unit Price]]</f>
        <v>2097</v>
      </c>
      <c r="T3176" s="5">
        <f>OrdersTable[[#This Row],[Gross Sale]]*OrdersTable[[#This Row],[Discount_Clean2]]</f>
        <v>314.55</v>
      </c>
      <c r="U3176" s="5">
        <f>OrdersTable[[#This Row],[Gross Sale]]-OrdersTable[[#This Row],[Discount Amount]]</f>
        <v>1782.45</v>
      </c>
      <c r="V3176" s="77">
        <f>INDEX(Products!E:E,MATCH(OrdersTable[[#This Row],[Product ID]],Products!A:A,0))</f>
        <v>238</v>
      </c>
      <c r="W3176" s="77">
        <f>OrdersTable[[#This Row],[Quantity]]*OrdersTable[[#This Row],[Unit Cost]]</f>
        <v>714</v>
      </c>
      <c r="X3176" s="77">
        <f>'Dropdown Lists'!$I$2*(1+OrdersTable[[#This Row],[Returned]])</f>
        <v>60</v>
      </c>
      <c r="Y3176" s="76">
        <f>OrdersTable[[#This Row],[Net Revenue]]-OrdersTable[[#This Row],[COGS]]-OrdersTable[[#This Row],[Shipping Cost]]</f>
        <v>1008.45</v>
      </c>
      <c r="Z3176" s="78">
        <f>IFERROR(OrdersTable[[#This Row],[Profit]]/OrdersTable[[#This Row],[Net Revenue]],0)</f>
        <v>0.56576622065135063</v>
      </c>
      <c r="AA3176" t="s">
        <v>18</v>
      </c>
      <c r="AB3176" s="79">
        <v>45820</v>
      </c>
      <c r="AC3176">
        <f>OrdersTable[[#This Row],[Delivery Date]]-OrdersTable[[#This Row],[Order Date]]</f>
        <v>6</v>
      </c>
      <c r="AD3176" t="str">
        <f>IF(OrdersTable[[#This Row],[Delivery Days]]&lt;=2, "Express (≤2d)", IF(OrdersTable[[#This Row],[Delivery Days]]&lt;=4, "Standard (3-4d)", "Delayed (5d+)"))</f>
        <v>Delayed (5d+)</v>
      </c>
      <c r="AF3176">
        <v>0</v>
      </c>
    </row>
    <row r="3177" spans="1:32" ht="15" x14ac:dyDescent="0.35">
      <c r="A3177" t="s">
        <v>5712</v>
      </c>
      <c r="B3177" s="1">
        <v>45814</v>
      </c>
      <c r="C3177">
        <f>YEAR(OrdersTable[[#This Row],[Order Date]])</f>
        <v>2025</v>
      </c>
      <c r="D3177" s="2">
        <f>DATE(YEAR(OrdersTable[[#This Row],[Order Date]]),MONTH(OrdersTable[[#This Row],[Order Date]]),1)</f>
        <v>45809</v>
      </c>
      <c r="E3177">
        <f>MONTH(OrdersTable[[#This Row],[Order Date]])</f>
        <v>6</v>
      </c>
      <c r="F3177" t="s">
        <v>1470</v>
      </c>
      <c r="G3177" t="str">
        <f>IF(OrdersTable[[#This Row],[Order Date]]=_xlfn.MINIFS(Order_Date, Customer_ID, OrdersTable[[#This Row],[Customer ID]]), "New", "Repeat")</f>
        <v>Repeat</v>
      </c>
      <c r="H3177" t="s">
        <v>316</v>
      </c>
      <c r="I3177" t="str">
        <f>INDEX(State!B:B,MATCH(OrdersTable[[#This Row],[State]],State!A:A,0))</f>
        <v>KL</v>
      </c>
      <c r="J3177" t="str">
        <f>INDEX(State!C:C,MATCH(OrdersTable[[#This Row],[State Code]],State!B:B,0))</f>
        <v>South</v>
      </c>
      <c r="K3177" t="s">
        <v>338</v>
      </c>
      <c r="L3177" t="s">
        <v>23</v>
      </c>
      <c r="M3177" t="s">
        <v>45</v>
      </c>
      <c r="N3177" t="str">
        <f>INDEX(Products!B:B,MATCH(OrdersTable[[#This Row],[Product ID]],Products!A:A,0))</f>
        <v>Argan Shampoo</v>
      </c>
      <c r="O3177" t="str">
        <f>INDEX(Products!C:C,MATCH(OrdersTable[[#This Row],[Product ID]],Products!A:A,0))</f>
        <v>Haircare</v>
      </c>
      <c r="P3177">
        <v>2</v>
      </c>
      <c r="Q3177" s="5">
        <v>449</v>
      </c>
      <c r="R3177" s="74">
        <v>0.15</v>
      </c>
      <c r="S3177" s="75">
        <f>OrdersTable[[#This Row],[Quantity]]*OrdersTable[[#This Row],[Unit Price]]</f>
        <v>898</v>
      </c>
      <c r="T3177" s="5">
        <f>OrdersTable[[#This Row],[Gross Sale]]*OrdersTable[[#This Row],[Discount_Clean2]]</f>
        <v>134.69999999999999</v>
      </c>
      <c r="U3177" s="5">
        <f>OrdersTable[[#This Row],[Gross Sale]]-OrdersTable[[#This Row],[Discount Amount]]</f>
        <v>763.3</v>
      </c>
      <c r="V3177" s="77">
        <f>INDEX(Products!E:E,MATCH(OrdersTable[[#This Row],[Product ID]],Products!A:A,0))</f>
        <v>148</v>
      </c>
      <c r="W3177" s="77">
        <f>OrdersTable[[#This Row],[Quantity]]*OrdersTable[[#This Row],[Unit Cost]]</f>
        <v>296</v>
      </c>
      <c r="X3177" s="77">
        <f>'Dropdown Lists'!$I$2*(1+OrdersTable[[#This Row],[Returned]])</f>
        <v>60</v>
      </c>
      <c r="Y3177" s="76">
        <f>OrdersTable[[#This Row],[Net Revenue]]-OrdersTable[[#This Row],[COGS]]-OrdersTable[[#This Row],[Shipping Cost]]</f>
        <v>407.29999999999995</v>
      </c>
      <c r="Z3177" s="78">
        <f>IFERROR(OrdersTable[[#This Row],[Profit]]/OrdersTable[[#This Row],[Net Revenue]],0)</f>
        <v>0.53360408751473865</v>
      </c>
      <c r="AA3177" t="s">
        <v>18</v>
      </c>
      <c r="AB3177" s="79">
        <v>45817</v>
      </c>
      <c r="AC3177">
        <f>OrdersTable[[#This Row],[Delivery Date]]-OrdersTable[[#This Row],[Order Date]]</f>
        <v>3</v>
      </c>
      <c r="AD3177" t="str">
        <f>IF(OrdersTable[[#This Row],[Delivery Days]]&lt;=2, "Express (≤2d)", IF(OrdersTable[[#This Row],[Delivery Days]]&lt;=4, "Standard (3-4d)", "Delayed (5d+)"))</f>
        <v>Standard (3-4d)</v>
      </c>
      <c r="AE3177">
        <v>3</v>
      </c>
      <c r="AF3177">
        <v>0</v>
      </c>
    </row>
    <row r="3178" spans="1:32" ht="15" x14ac:dyDescent="0.35">
      <c r="A3178" t="s">
        <v>5524</v>
      </c>
      <c r="B3178" s="1">
        <v>45814</v>
      </c>
      <c r="C3178">
        <f>YEAR(OrdersTable[[#This Row],[Order Date]])</f>
        <v>2025</v>
      </c>
      <c r="D3178" s="2">
        <f>DATE(YEAR(OrdersTable[[#This Row],[Order Date]]),MONTH(OrdersTable[[#This Row],[Order Date]]),1)</f>
        <v>45809</v>
      </c>
      <c r="E3178">
        <f>MONTH(OrdersTable[[#This Row],[Order Date]])</f>
        <v>6</v>
      </c>
      <c r="F3178" t="s">
        <v>549</v>
      </c>
      <c r="G3178" t="str">
        <f>IF(OrdersTable[[#This Row],[Order Date]]=_xlfn.MINIFS(Order_Date, Customer_ID, OrdersTable[[#This Row],[Customer ID]]), "New", "Repeat")</f>
        <v>Repeat</v>
      </c>
      <c r="H3178" t="s">
        <v>59</v>
      </c>
      <c r="I3178" t="str">
        <f>INDEX(State!B:B,MATCH(OrdersTable[[#This Row],[State]],State!A:A,0))</f>
        <v>TN</v>
      </c>
      <c r="J3178" t="str">
        <f>INDEX(State!C:C,MATCH(OrdersTable[[#This Row],[State Code]],State!B:B,0))</f>
        <v>South</v>
      </c>
      <c r="K3178" t="s">
        <v>60</v>
      </c>
      <c r="L3178" t="s">
        <v>23</v>
      </c>
      <c r="M3178" t="s">
        <v>61</v>
      </c>
      <c r="N3178" t="str">
        <f>INDEX(Products!B:B,MATCH(OrdersTable[[#This Row],[Product ID]],Products!A:A,0))</f>
        <v>Multivitamin Gummies</v>
      </c>
      <c r="O3178" t="str">
        <f>INDEX(Products!C:C,MATCH(OrdersTable[[#This Row],[Product ID]],Products!A:A,0))</f>
        <v>Wellness</v>
      </c>
      <c r="P3178">
        <v>2</v>
      </c>
      <c r="Q3178" s="5">
        <v>699</v>
      </c>
      <c r="R3178" s="74">
        <v>0.25</v>
      </c>
      <c r="S3178" s="75">
        <f>OrdersTable[[#This Row],[Quantity]]*OrdersTable[[#This Row],[Unit Price]]</f>
        <v>1398</v>
      </c>
      <c r="T3178" s="5">
        <f>OrdersTable[[#This Row],[Gross Sale]]*OrdersTable[[#This Row],[Discount_Clean2]]</f>
        <v>349.5</v>
      </c>
      <c r="U3178" s="5">
        <f>OrdersTable[[#This Row],[Gross Sale]]-OrdersTable[[#This Row],[Discount Amount]]</f>
        <v>1048.5</v>
      </c>
      <c r="V3178" s="77">
        <f>INDEX(Products!E:E,MATCH(OrdersTable[[#This Row],[Product ID]],Products!A:A,0))</f>
        <v>238</v>
      </c>
      <c r="W3178" s="77">
        <f>OrdersTable[[#This Row],[Quantity]]*OrdersTable[[#This Row],[Unit Cost]]</f>
        <v>476</v>
      </c>
      <c r="X3178" s="77">
        <f>'Dropdown Lists'!$I$2*(1+OrdersTable[[#This Row],[Returned]])</f>
        <v>60</v>
      </c>
      <c r="Y3178" s="76">
        <f>OrdersTable[[#This Row],[Net Revenue]]-OrdersTable[[#This Row],[COGS]]-OrdersTable[[#This Row],[Shipping Cost]]</f>
        <v>512.5</v>
      </c>
      <c r="Z3178" s="78">
        <f>IFERROR(OrdersTable[[#This Row],[Profit]]/OrdersTable[[#This Row],[Net Revenue]],0)</f>
        <v>0.48879351454458753</v>
      </c>
      <c r="AA3178" t="s">
        <v>2522</v>
      </c>
      <c r="AB3178" s="79">
        <v>45815</v>
      </c>
      <c r="AC3178">
        <f>OrdersTable[[#This Row],[Delivery Date]]-OrdersTable[[#This Row],[Order Date]]</f>
        <v>1</v>
      </c>
      <c r="AD3178" t="str">
        <f>IF(OrdersTable[[#This Row],[Delivery Days]]&lt;=2, "Express (≤2d)", IF(OrdersTable[[#This Row],[Delivery Days]]&lt;=4, "Standard (3-4d)", "Delayed (5d+)"))</f>
        <v>Express (≤2d)</v>
      </c>
      <c r="AE3178">
        <v>4</v>
      </c>
      <c r="AF3178">
        <v>0</v>
      </c>
    </row>
    <row r="3179" spans="1:32" ht="15" x14ac:dyDescent="0.35">
      <c r="A3179" t="s">
        <v>2633</v>
      </c>
      <c r="B3179" s="1">
        <v>45815</v>
      </c>
      <c r="C3179">
        <f>YEAR(OrdersTable[[#This Row],[Order Date]])</f>
        <v>2025</v>
      </c>
      <c r="D3179" s="2">
        <f>DATE(YEAR(OrdersTable[[#This Row],[Order Date]]),MONTH(OrdersTable[[#This Row],[Order Date]]),1)</f>
        <v>45809</v>
      </c>
      <c r="E3179">
        <f>MONTH(OrdersTable[[#This Row],[Order Date]])</f>
        <v>6</v>
      </c>
      <c r="F3179" t="s">
        <v>1332</v>
      </c>
      <c r="G3179" t="str">
        <f>IF(OrdersTable[[#This Row],[Order Date]]=_xlfn.MINIFS(Order_Date, Customer_ID, OrdersTable[[#This Row],[Customer ID]]), "New", "Repeat")</f>
        <v>Repeat</v>
      </c>
      <c r="H3179" t="s">
        <v>54</v>
      </c>
      <c r="I3179" t="str">
        <f>INDEX(State!B:B,MATCH(OrdersTable[[#This Row],[State]],State!A:A,0))</f>
        <v>RJ</v>
      </c>
      <c r="J3179" t="str">
        <f>INDEX(State!C:C,MATCH(OrdersTable[[#This Row],[State Code]],State!B:B,0))</f>
        <v>North</v>
      </c>
      <c r="K3179" t="s">
        <v>227</v>
      </c>
      <c r="L3179" t="s">
        <v>23</v>
      </c>
      <c r="M3179" t="s">
        <v>40</v>
      </c>
      <c r="N3179" t="str">
        <f>INDEX(Products!B:B,MATCH(OrdersTable[[#This Row],[Product ID]],Products!A:A,0))</f>
        <v>Ashwagandha Capsules</v>
      </c>
      <c r="O3179" t="str">
        <f>INDEX(Products!C:C,MATCH(OrdersTable[[#This Row],[Product ID]],Products!A:A,0))</f>
        <v>Wellness</v>
      </c>
      <c r="P3179">
        <v>1</v>
      </c>
      <c r="Q3179" s="5">
        <v>499</v>
      </c>
      <c r="R3179" s="74">
        <v>0</v>
      </c>
      <c r="S3179" s="75">
        <f>OrdersTable[[#This Row],[Quantity]]*OrdersTable[[#This Row],[Unit Price]]</f>
        <v>499</v>
      </c>
      <c r="T3179" s="5">
        <f>OrdersTable[[#This Row],[Gross Sale]]*OrdersTable[[#This Row],[Discount_Clean2]]</f>
        <v>0</v>
      </c>
      <c r="U3179" s="5">
        <f>OrdersTable[[#This Row],[Gross Sale]]-OrdersTable[[#This Row],[Discount Amount]]</f>
        <v>499</v>
      </c>
      <c r="V3179" s="77">
        <f>INDEX(Products!E:E,MATCH(OrdersTable[[#This Row],[Product ID]],Products!A:A,0))</f>
        <v>150</v>
      </c>
      <c r="W3179" s="77">
        <f>OrdersTable[[#This Row],[Quantity]]*OrdersTable[[#This Row],[Unit Cost]]</f>
        <v>150</v>
      </c>
      <c r="X3179" s="77">
        <f>'Dropdown Lists'!$I$2*(1+OrdersTable[[#This Row],[Returned]])</f>
        <v>60</v>
      </c>
      <c r="Y3179" s="76">
        <f>OrdersTable[[#This Row],[Net Revenue]]-OrdersTable[[#This Row],[COGS]]-OrdersTable[[#This Row],[Shipping Cost]]</f>
        <v>289</v>
      </c>
      <c r="Z3179" s="78">
        <f>IFERROR(OrdersTable[[#This Row],[Profit]]/OrdersTable[[#This Row],[Net Revenue]],0)</f>
        <v>0.57915831663326656</v>
      </c>
      <c r="AA3179" t="s">
        <v>2522</v>
      </c>
      <c r="AB3179" s="79">
        <v>45819</v>
      </c>
      <c r="AC3179">
        <f>OrdersTable[[#This Row],[Delivery Date]]-OrdersTable[[#This Row],[Order Date]]</f>
        <v>4</v>
      </c>
      <c r="AD3179" t="str">
        <f>IF(OrdersTable[[#This Row],[Delivery Days]]&lt;=2, "Express (≤2d)", IF(OrdersTable[[#This Row],[Delivery Days]]&lt;=4, "Standard (3-4d)", "Delayed (5d+)"))</f>
        <v>Standard (3-4d)</v>
      </c>
      <c r="AE3179">
        <v>5</v>
      </c>
      <c r="AF3179">
        <v>0</v>
      </c>
    </row>
    <row r="3180" spans="1:32" ht="15" x14ac:dyDescent="0.35">
      <c r="A3180" t="s">
        <v>4413</v>
      </c>
      <c r="B3180" s="1">
        <v>45815</v>
      </c>
      <c r="C3180">
        <f>YEAR(OrdersTable[[#This Row],[Order Date]])</f>
        <v>2025</v>
      </c>
      <c r="D3180" s="2">
        <f>DATE(YEAR(OrdersTable[[#This Row],[Order Date]]),MONTH(OrdersTable[[#This Row],[Order Date]]),1)</f>
        <v>45809</v>
      </c>
      <c r="E3180">
        <f>MONTH(OrdersTable[[#This Row],[Order Date]])</f>
        <v>6</v>
      </c>
      <c r="F3180" t="s">
        <v>3876</v>
      </c>
      <c r="G3180" t="str">
        <f>IF(OrdersTable[[#This Row],[Order Date]]=_xlfn.MINIFS(Order_Date, Customer_ID, OrdersTable[[#This Row],[Customer ID]]), "New", "Repeat")</f>
        <v>Repeat</v>
      </c>
      <c r="H3180" t="s">
        <v>76</v>
      </c>
      <c r="I3180" t="str">
        <f>INDEX(State!B:B,MATCH(OrdersTable[[#This Row],[State]],State!A:A,0))</f>
        <v>UP</v>
      </c>
      <c r="J3180" t="str">
        <f>INDEX(State!C:C,MATCH(OrdersTable[[#This Row],[State Code]],State!B:B,0))</f>
        <v>North</v>
      </c>
      <c r="K3180" t="s">
        <v>105</v>
      </c>
      <c r="L3180" t="s">
        <v>16</v>
      </c>
      <c r="M3180" t="s">
        <v>205</v>
      </c>
      <c r="N3180" t="str">
        <f>INDEX(Products!B:B,MATCH(OrdersTable[[#This Row],[Product ID]],Products!A:A,0))</f>
        <v>Running Shoes</v>
      </c>
      <c r="O3180" t="str">
        <f>INDEX(Products!C:C,MATCH(OrdersTable[[#This Row],[Product ID]],Products!A:A,0))</f>
        <v>Footwear</v>
      </c>
      <c r="P3180">
        <v>1</v>
      </c>
      <c r="Q3180" s="5">
        <v>2999</v>
      </c>
      <c r="R3180" s="74">
        <v>0.15</v>
      </c>
      <c r="S3180" s="75">
        <f>OrdersTable[[#This Row],[Quantity]]*OrdersTable[[#This Row],[Unit Price]]</f>
        <v>2999</v>
      </c>
      <c r="T3180" s="5">
        <f>OrdersTable[[#This Row],[Gross Sale]]*OrdersTable[[#This Row],[Discount_Clean2]]</f>
        <v>449.84999999999997</v>
      </c>
      <c r="U3180" s="5">
        <f>OrdersTable[[#This Row],[Gross Sale]]-OrdersTable[[#This Row],[Discount Amount]]</f>
        <v>2549.15</v>
      </c>
      <c r="V3180" s="77">
        <f>INDEX(Products!E:E,MATCH(OrdersTable[[#This Row],[Product ID]],Products!A:A,0))</f>
        <v>1440</v>
      </c>
      <c r="W3180" s="77">
        <f>OrdersTable[[#This Row],[Quantity]]*OrdersTable[[#This Row],[Unit Cost]]</f>
        <v>1440</v>
      </c>
      <c r="X3180" s="77">
        <f>'Dropdown Lists'!$I$2*(1+OrdersTable[[#This Row],[Returned]])</f>
        <v>60</v>
      </c>
      <c r="Y3180" s="76">
        <f>OrdersTable[[#This Row],[Net Revenue]]-OrdersTable[[#This Row],[COGS]]-OrdersTable[[#This Row],[Shipping Cost]]</f>
        <v>1049.1500000000001</v>
      </c>
      <c r="Z3180" s="78">
        <f>IFERROR(OrdersTable[[#This Row],[Profit]]/OrdersTable[[#This Row],[Net Revenue]],0)</f>
        <v>0.41156856206970954</v>
      </c>
      <c r="AA3180" t="s">
        <v>4074</v>
      </c>
      <c r="AB3180" s="79">
        <v>45819</v>
      </c>
      <c r="AC3180">
        <f>OrdersTable[[#This Row],[Delivery Date]]-OrdersTable[[#This Row],[Order Date]]</f>
        <v>4</v>
      </c>
      <c r="AD3180" t="str">
        <f>IF(OrdersTable[[#This Row],[Delivery Days]]&lt;=2, "Express (≤2d)", IF(OrdersTable[[#This Row],[Delivery Days]]&lt;=4, "Standard (3-4d)", "Delayed (5d+)"))</f>
        <v>Standard (3-4d)</v>
      </c>
      <c r="AE3180">
        <v>4</v>
      </c>
      <c r="AF3180">
        <v>0</v>
      </c>
    </row>
    <row r="3181" spans="1:32" ht="15" x14ac:dyDescent="0.35">
      <c r="A3181" t="s">
        <v>1749</v>
      </c>
      <c r="B3181" s="1">
        <v>45815</v>
      </c>
      <c r="C3181">
        <f>YEAR(OrdersTable[[#This Row],[Order Date]])</f>
        <v>2025</v>
      </c>
      <c r="D3181" s="2">
        <f>DATE(YEAR(OrdersTable[[#This Row],[Order Date]]),MONTH(OrdersTable[[#This Row],[Order Date]]),1)</f>
        <v>45809</v>
      </c>
      <c r="E3181">
        <f>MONTH(OrdersTable[[#This Row],[Order Date]])</f>
        <v>6</v>
      </c>
      <c r="F3181" t="s">
        <v>1750</v>
      </c>
      <c r="G3181" t="str">
        <f>IF(OrdersTable[[#This Row],[Order Date]]=_xlfn.MINIFS(Order_Date, Customer_ID, OrdersTable[[#This Row],[Customer ID]]), "New", "Repeat")</f>
        <v>Repeat</v>
      </c>
      <c r="H3181" t="s">
        <v>76</v>
      </c>
      <c r="I3181" t="str">
        <f>INDEX(State!B:B,MATCH(OrdersTable[[#This Row],[State]],State!A:A,0))</f>
        <v>UP</v>
      </c>
      <c r="J3181" t="str">
        <f>INDEX(State!C:C,MATCH(OrdersTable[[#This Row],[State Code]],State!B:B,0))</f>
        <v>North</v>
      </c>
      <c r="K3181" t="s">
        <v>105</v>
      </c>
      <c r="L3181" t="s">
        <v>65</v>
      </c>
      <c r="M3181" t="s">
        <v>106</v>
      </c>
      <c r="N3181" t="str">
        <f>INDEX(Products!B:B,MATCH(OrdersTable[[#This Row],[Product ID]],Products!A:A,0))</f>
        <v>Keratin Hair Mask</v>
      </c>
      <c r="O3181" t="str">
        <f>INDEX(Products!C:C,MATCH(OrdersTable[[#This Row],[Product ID]],Products!A:A,0))</f>
        <v>Haircare</v>
      </c>
      <c r="P3181">
        <v>1</v>
      </c>
      <c r="Q3181" s="5">
        <v>549</v>
      </c>
      <c r="R3181" s="74">
        <v>0.15</v>
      </c>
      <c r="S3181" s="75">
        <f>OrdersTable[[#This Row],[Quantity]]*OrdersTable[[#This Row],[Unit Price]]</f>
        <v>549</v>
      </c>
      <c r="T3181" s="5">
        <f>OrdersTable[[#This Row],[Gross Sale]]*OrdersTable[[#This Row],[Discount_Clean2]]</f>
        <v>82.35</v>
      </c>
      <c r="U3181" s="5">
        <f>OrdersTable[[#This Row],[Gross Sale]]-OrdersTable[[#This Row],[Discount Amount]]</f>
        <v>466.65</v>
      </c>
      <c r="V3181" s="77">
        <f>INDEX(Products!E:E,MATCH(OrdersTable[[#This Row],[Product ID]],Products!A:A,0))</f>
        <v>170</v>
      </c>
      <c r="W3181" s="77">
        <f>OrdersTable[[#This Row],[Quantity]]*OrdersTable[[#This Row],[Unit Cost]]</f>
        <v>170</v>
      </c>
      <c r="X3181" s="77">
        <f>'Dropdown Lists'!$I$2*(1+OrdersTable[[#This Row],[Returned]])</f>
        <v>60</v>
      </c>
      <c r="Y3181" s="76">
        <f>OrdersTable[[#This Row],[Net Revenue]]-OrdersTable[[#This Row],[COGS]]-OrdersTable[[#This Row],[Shipping Cost]]</f>
        <v>236.64999999999998</v>
      </c>
      <c r="Z3181" s="78">
        <f>IFERROR(OrdersTable[[#This Row],[Profit]]/OrdersTable[[#This Row],[Net Revenue]],0)</f>
        <v>0.50712525447337398</v>
      </c>
      <c r="AA3181" t="s">
        <v>18</v>
      </c>
      <c r="AB3181" s="79">
        <v>45821</v>
      </c>
      <c r="AC3181">
        <f>OrdersTable[[#This Row],[Delivery Date]]-OrdersTable[[#This Row],[Order Date]]</f>
        <v>6</v>
      </c>
      <c r="AD3181" t="str">
        <f>IF(OrdersTable[[#This Row],[Delivery Days]]&lt;=2, "Express (≤2d)", IF(OrdersTable[[#This Row],[Delivery Days]]&lt;=4, "Standard (3-4d)", "Delayed (5d+)"))</f>
        <v>Delayed (5d+)</v>
      </c>
      <c r="AF3181">
        <v>0</v>
      </c>
    </row>
    <row r="3182" spans="1:32" ht="15" x14ac:dyDescent="0.35">
      <c r="A3182" t="s">
        <v>1994</v>
      </c>
      <c r="B3182" s="1">
        <v>45815</v>
      </c>
      <c r="C3182">
        <f>YEAR(OrdersTable[[#This Row],[Order Date]])</f>
        <v>2025</v>
      </c>
      <c r="D3182" s="2">
        <f>DATE(YEAR(OrdersTable[[#This Row],[Order Date]]),MONTH(OrdersTable[[#This Row],[Order Date]]),1)</f>
        <v>45809</v>
      </c>
      <c r="E3182">
        <f>MONTH(OrdersTable[[#This Row],[Order Date]])</f>
        <v>6</v>
      </c>
      <c r="F3182" t="s">
        <v>1995</v>
      </c>
      <c r="G3182" t="str">
        <f>IF(OrdersTable[[#This Row],[Order Date]]=_xlfn.MINIFS(Order_Date, Customer_ID, OrdersTable[[#This Row],[Customer ID]]), "New", "Repeat")</f>
        <v>Repeat</v>
      </c>
      <c r="H3182" t="s">
        <v>37</v>
      </c>
      <c r="I3182" t="str">
        <f>INDEX(State!B:B,MATCH(OrdersTable[[#This Row],[State]],State!A:A,0))</f>
        <v>GJ</v>
      </c>
      <c r="J3182" t="str">
        <f>INDEX(State!C:C,MATCH(OrdersTable[[#This Row],[State Code]],State!B:B,0))</f>
        <v>West</v>
      </c>
      <c r="K3182" t="s">
        <v>247</v>
      </c>
      <c r="L3182" t="s">
        <v>16</v>
      </c>
      <c r="M3182" t="s">
        <v>576</v>
      </c>
      <c r="N3182" t="str">
        <f>INDEX(Products!B:B,MATCH(OrdersTable[[#This Row],[Product ID]],Products!A:A,0))</f>
        <v>Printed Saree</v>
      </c>
      <c r="O3182" t="str">
        <f>INDEX(Products!C:C,MATCH(OrdersTable[[#This Row],[Product ID]],Products!A:A,0))</f>
        <v>Apparel</v>
      </c>
      <c r="P3182">
        <v>1</v>
      </c>
      <c r="Q3182" s="5">
        <v>1999</v>
      </c>
      <c r="R3182" s="74">
        <v>0.1</v>
      </c>
      <c r="S3182" s="75">
        <f>OrdersTable[[#This Row],[Quantity]]*OrdersTable[[#This Row],[Unit Price]]</f>
        <v>1999</v>
      </c>
      <c r="T3182" s="5">
        <f>OrdersTable[[#This Row],[Gross Sale]]*OrdersTable[[#This Row],[Discount_Clean2]]</f>
        <v>199.9</v>
      </c>
      <c r="U3182" s="5">
        <f>OrdersTable[[#This Row],[Gross Sale]]-OrdersTable[[#This Row],[Discount Amount]]</f>
        <v>1799.1</v>
      </c>
      <c r="V3182" s="77">
        <f>INDEX(Products!E:E,MATCH(OrdersTable[[#This Row],[Product ID]],Products!A:A,0))</f>
        <v>880</v>
      </c>
      <c r="W3182" s="77">
        <f>OrdersTable[[#This Row],[Quantity]]*OrdersTable[[#This Row],[Unit Cost]]</f>
        <v>880</v>
      </c>
      <c r="X3182" s="77">
        <f>'Dropdown Lists'!$I$2*(1+OrdersTable[[#This Row],[Returned]])</f>
        <v>60</v>
      </c>
      <c r="Y3182" s="76">
        <f>OrdersTable[[#This Row],[Net Revenue]]-OrdersTable[[#This Row],[COGS]]-OrdersTable[[#This Row],[Shipping Cost]]</f>
        <v>859.09999999999991</v>
      </c>
      <c r="Z3182" s="78">
        <f>IFERROR(OrdersTable[[#This Row],[Profit]]/OrdersTable[[#This Row],[Net Revenue]],0)</f>
        <v>0.47751653604580063</v>
      </c>
      <c r="AA3182" t="s">
        <v>18</v>
      </c>
      <c r="AB3182" s="79">
        <v>45819</v>
      </c>
      <c r="AC3182">
        <f>OrdersTable[[#This Row],[Delivery Date]]-OrdersTable[[#This Row],[Order Date]]</f>
        <v>4</v>
      </c>
      <c r="AD3182" t="str">
        <f>IF(OrdersTable[[#This Row],[Delivery Days]]&lt;=2, "Express (≤2d)", IF(OrdersTable[[#This Row],[Delivery Days]]&lt;=4, "Standard (3-4d)", "Delayed (5d+)"))</f>
        <v>Standard (3-4d)</v>
      </c>
      <c r="AE3182">
        <v>3</v>
      </c>
      <c r="AF3182">
        <v>0</v>
      </c>
    </row>
    <row r="3183" spans="1:32" ht="15" x14ac:dyDescent="0.35">
      <c r="A3183" t="s">
        <v>6372</v>
      </c>
      <c r="B3183" s="1">
        <v>45815</v>
      </c>
      <c r="C3183">
        <f>YEAR(OrdersTable[[#This Row],[Order Date]])</f>
        <v>2025</v>
      </c>
      <c r="D3183" s="2">
        <f>DATE(YEAR(OrdersTable[[#This Row],[Order Date]]),MONTH(OrdersTable[[#This Row],[Order Date]]),1)</f>
        <v>45809</v>
      </c>
      <c r="E3183">
        <f>MONTH(OrdersTable[[#This Row],[Order Date]])</f>
        <v>6</v>
      </c>
      <c r="F3183" t="s">
        <v>3362</v>
      </c>
      <c r="G3183" t="str">
        <f>IF(OrdersTable[[#This Row],[Order Date]]=_xlfn.MINIFS(Order_Date, Customer_ID, OrdersTable[[#This Row],[Customer ID]]), "New", "Repeat")</f>
        <v>Repeat</v>
      </c>
      <c r="H3183" t="s">
        <v>71</v>
      </c>
      <c r="I3183" t="str">
        <f>INDEX(State!B:B,MATCH(OrdersTable[[#This Row],[State]],State!A:A,0))</f>
        <v>MH</v>
      </c>
      <c r="J3183" t="str">
        <f>INDEX(State!C:C,MATCH(OrdersTable[[#This Row],[State Code]],State!B:B,0))</f>
        <v>West</v>
      </c>
      <c r="K3183" t="s">
        <v>72</v>
      </c>
      <c r="L3183" t="s">
        <v>39</v>
      </c>
      <c r="M3183" t="s">
        <v>34</v>
      </c>
      <c r="N3183" t="str">
        <f>INDEX(Products!B:B,MATCH(OrdersTable[[#This Row],[Product ID]],Products!A:A,0))</f>
        <v>Flip Flops</v>
      </c>
      <c r="O3183" t="str">
        <f>INDEX(Products!C:C,MATCH(OrdersTable[[#This Row],[Product ID]],Products!A:A,0))</f>
        <v>Footwear</v>
      </c>
      <c r="P3183">
        <v>2</v>
      </c>
      <c r="Q3183" s="5">
        <v>399</v>
      </c>
      <c r="R3183" s="74">
        <v>0.05</v>
      </c>
      <c r="S3183" s="75">
        <f>OrdersTable[[#This Row],[Quantity]]*OrdersTable[[#This Row],[Unit Price]]</f>
        <v>798</v>
      </c>
      <c r="T3183" s="5">
        <f>OrdersTable[[#This Row],[Gross Sale]]*OrdersTable[[#This Row],[Discount_Clean2]]</f>
        <v>39.900000000000006</v>
      </c>
      <c r="U3183" s="5">
        <f>OrdersTable[[#This Row],[Gross Sale]]-OrdersTable[[#This Row],[Discount Amount]]</f>
        <v>758.1</v>
      </c>
      <c r="V3183" s="77">
        <f>INDEX(Products!E:E,MATCH(OrdersTable[[#This Row],[Product ID]],Products!A:A,0))</f>
        <v>152</v>
      </c>
      <c r="W3183" s="77">
        <f>OrdersTable[[#This Row],[Quantity]]*OrdersTable[[#This Row],[Unit Cost]]</f>
        <v>304</v>
      </c>
      <c r="X3183" s="77">
        <f>'Dropdown Lists'!$I$2*(1+OrdersTable[[#This Row],[Returned]])</f>
        <v>60</v>
      </c>
      <c r="Y3183" s="76">
        <f>OrdersTable[[#This Row],[Net Revenue]]-OrdersTable[[#This Row],[COGS]]-OrdersTable[[#This Row],[Shipping Cost]]</f>
        <v>394.1</v>
      </c>
      <c r="Z3183" s="78">
        <f>IFERROR(OrdersTable[[#This Row],[Profit]]/OrdersTable[[#This Row],[Net Revenue]],0)</f>
        <v>0.51985226223453374</v>
      </c>
      <c r="AA3183" t="s">
        <v>18</v>
      </c>
      <c r="AB3183" s="79">
        <v>45817</v>
      </c>
      <c r="AC3183">
        <f>OrdersTable[[#This Row],[Delivery Date]]-OrdersTable[[#This Row],[Order Date]]</f>
        <v>2</v>
      </c>
      <c r="AD3183" t="str">
        <f>IF(OrdersTable[[#This Row],[Delivery Days]]&lt;=2, "Express (≤2d)", IF(OrdersTable[[#This Row],[Delivery Days]]&lt;=4, "Standard (3-4d)", "Delayed (5d+)"))</f>
        <v>Express (≤2d)</v>
      </c>
      <c r="AE3183">
        <v>4</v>
      </c>
      <c r="AF3183">
        <v>0</v>
      </c>
    </row>
    <row r="3184" spans="1:32" ht="15" x14ac:dyDescent="0.35">
      <c r="A3184" t="s">
        <v>5952</v>
      </c>
      <c r="B3184" s="1">
        <v>45815</v>
      </c>
      <c r="C3184">
        <f>YEAR(OrdersTable[[#This Row],[Order Date]])</f>
        <v>2025</v>
      </c>
      <c r="D3184" s="2">
        <f>DATE(YEAR(OrdersTable[[#This Row],[Order Date]]),MONTH(OrdersTable[[#This Row],[Order Date]]),1)</f>
        <v>45809</v>
      </c>
      <c r="E3184">
        <f>MONTH(OrdersTable[[#This Row],[Order Date]])</f>
        <v>6</v>
      </c>
      <c r="F3184" t="s">
        <v>5953</v>
      </c>
      <c r="G3184" t="str">
        <f>IF(OrdersTable[[#This Row],[Order Date]]=_xlfn.MINIFS(Order_Date, Customer_ID, OrdersTable[[#This Row],[Customer ID]]), "New", "Repeat")</f>
        <v>New</v>
      </c>
      <c r="H3184" t="s">
        <v>167</v>
      </c>
      <c r="I3184" t="str">
        <f>INDEX(State!B:B,MATCH(OrdersTable[[#This Row],[State]],State!A:A,0))</f>
        <v>KA</v>
      </c>
      <c r="J3184" t="str">
        <f>INDEX(State!C:C,MATCH(OrdersTable[[#This Row],[State Code]],State!B:B,0))</f>
        <v>South</v>
      </c>
      <c r="K3184" t="s">
        <v>190</v>
      </c>
      <c r="L3184" t="s">
        <v>23</v>
      </c>
      <c r="M3184" t="s">
        <v>148</v>
      </c>
      <c r="N3184" t="str">
        <f>INDEX(Products!B:B,MATCH(OrdersTable[[#This Row],[Product ID]],Products!A:A,0))</f>
        <v>Smartwatch Strap</v>
      </c>
      <c r="O3184" t="str">
        <f>INDEX(Products!C:C,MATCH(OrdersTable[[#This Row],[Product ID]],Products!A:A,0))</f>
        <v>Electronics</v>
      </c>
      <c r="P3184">
        <v>2</v>
      </c>
      <c r="Q3184" s="5">
        <v>499</v>
      </c>
      <c r="R3184" s="74">
        <v>0.1</v>
      </c>
      <c r="S3184" s="75">
        <f>OrdersTable[[#This Row],[Quantity]]*OrdersTable[[#This Row],[Unit Price]]</f>
        <v>998</v>
      </c>
      <c r="T3184" s="5">
        <f>OrdersTable[[#This Row],[Gross Sale]]*OrdersTable[[#This Row],[Discount_Clean2]]</f>
        <v>99.800000000000011</v>
      </c>
      <c r="U3184" s="5">
        <f>OrdersTable[[#This Row],[Gross Sale]]-OrdersTable[[#This Row],[Discount Amount]]</f>
        <v>898.2</v>
      </c>
      <c r="V3184" s="77">
        <f>INDEX(Products!E:E,MATCH(OrdersTable[[#This Row],[Product ID]],Products!A:A,0))</f>
        <v>200</v>
      </c>
      <c r="W3184" s="77">
        <f>OrdersTable[[#This Row],[Quantity]]*OrdersTable[[#This Row],[Unit Cost]]</f>
        <v>400</v>
      </c>
      <c r="X3184" s="77">
        <f>'Dropdown Lists'!$I$2*(1+OrdersTable[[#This Row],[Returned]])</f>
        <v>60</v>
      </c>
      <c r="Y3184" s="76">
        <f>OrdersTable[[#This Row],[Net Revenue]]-OrdersTable[[#This Row],[COGS]]-OrdersTable[[#This Row],[Shipping Cost]]</f>
        <v>438.20000000000005</v>
      </c>
      <c r="Z3184" s="78">
        <f>IFERROR(OrdersTable[[#This Row],[Profit]]/OrdersTable[[#This Row],[Net Revenue]],0)</f>
        <v>0.4878646181251392</v>
      </c>
      <c r="AA3184" t="s">
        <v>18</v>
      </c>
      <c r="AB3184" s="79">
        <v>45817</v>
      </c>
      <c r="AC3184">
        <f>OrdersTable[[#This Row],[Delivery Date]]-OrdersTable[[#This Row],[Order Date]]</f>
        <v>2</v>
      </c>
      <c r="AD3184" t="str">
        <f>IF(OrdersTable[[#This Row],[Delivery Days]]&lt;=2, "Express (≤2d)", IF(OrdersTable[[#This Row],[Delivery Days]]&lt;=4, "Standard (3-4d)", "Delayed (5d+)"))</f>
        <v>Express (≤2d)</v>
      </c>
      <c r="AF3184">
        <v>0</v>
      </c>
    </row>
    <row r="3185" spans="1:32" ht="15" x14ac:dyDescent="0.35">
      <c r="A3185" t="s">
        <v>5420</v>
      </c>
      <c r="B3185" s="1">
        <v>45816</v>
      </c>
      <c r="C3185">
        <f>YEAR(OrdersTable[[#This Row],[Order Date]])</f>
        <v>2025</v>
      </c>
      <c r="D3185" s="2">
        <f>DATE(YEAR(OrdersTable[[#This Row],[Order Date]]),MONTH(OrdersTable[[#This Row],[Order Date]]),1)</f>
        <v>45809</v>
      </c>
      <c r="E3185">
        <f>MONTH(OrdersTable[[#This Row],[Order Date]])</f>
        <v>6</v>
      </c>
      <c r="F3185" t="s">
        <v>5421</v>
      </c>
      <c r="G3185" t="str">
        <f>IF(OrdersTable[[#This Row],[Order Date]]=_xlfn.MINIFS(Order_Date, Customer_ID, OrdersTable[[#This Row],[Customer ID]]), "New", "Repeat")</f>
        <v>Repeat</v>
      </c>
      <c r="H3185" t="s">
        <v>184</v>
      </c>
      <c r="I3185" t="str">
        <f>INDEX(State!B:B,MATCH(OrdersTable[[#This Row],[State]],State!A:A,0))</f>
        <v>UK</v>
      </c>
      <c r="J3185" t="str">
        <f>INDEX(State!C:C,MATCH(OrdersTable[[#This Row],[State Code]],State!B:B,0))</f>
        <v>North</v>
      </c>
      <c r="K3185" t="s">
        <v>185</v>
      </c>
      <c r="L3185" t="s">
        <v>16</v>
      </c>
      <c r="M3185" t="s">
        <v>29</v>
      </c>
      <c r="N3185" t="str">
        <f>INDEX(Products!B:B,MATCH(OrdersTable[[#This Row],[Product ID]],Products!A:A,0))</f>
        <v>Joggers</v>
      </c>
      <c r="O3185" t="str">
        <f>INDEX(Products!C:C,MATCH(OrdersTable[[#This Row],[Product ID]],Products!A:A,0))</f>
        <v>Apparel</v>
      </c>
      <c r="P3185">
        <v>2</v>
      </c>
      <c r="Q3185" s="5">
        <v>1199</v>
      </c>
      <c r="R3185" s="74">
        <v>0.1</v>
      </c>
      <c r="S3185" s="75">
        <f>OrdersTable[[#This Row],[Quantity]]*OrdersTable[[#This Row],[Unit Price]]</f>
        <v>2398</v>
      </c>
      <c r="T3185" s="5">
        <f>OrdersTable[[#This Row],[Gross Sale]]*OrdersTable[[#This Row],[Discount_Clean2]]</f>
        <v>239.8</v>
      </c>
      <c r="U3185" s="5">
        <f>OrdersTable[[#This Row],[Gross Sale]]-OrdersTable[[#This Row],[Discount Amount]]</f>
        <v>2158.1999999999998</v>
      </c>
      <c r="V3185" s="77">
        <f>INDEX(Products!E:E,MATCH(OrdersTable[[#This Row],[Product ID]],Products!A:A,0))</f>
        <v>492</v>
      </c>
      <c r="W3185" s="77">
        <f>OrdersTable[[#This Row],[Quantity]]*OrdersTable[[#This Row],[Unit Cost]]</f>
        <v>984</v>
      </c>
      <c r="X3185" s="77">
        <f>'Dropdown Lists'!$I$2*(1+OrdersTable[[#This Row],[Returned]])</f>
        <v>60</v>
      </c>
      <c r="Y3185" s="76">
        <f>OrdersTable[[#This Row],[Net Revenue]]-OrdersTable[[#This Row],[COGS]]-OrdersTable[[#This Row],[Shipping Cost]]</f>
        <v>1114.1999999999998</v>
      </c>
      <c r="Z3185" s="78">
        <f>IFERROR(OrdersTable[[#This Row],[Profit]]/OrdersTable[[#This Row],[Net Revenue]],0)</f>
        <v>0.51626355296080062</v>
      </c>
      <c r="AA3185" t="s">
        <v>2522</v>
      </c>
      <c r="AB3185" s="79">
        <v>45820</v>
      </c>
      <c r="AC3185">
        <f>OrdersTable[[#This Row],[Delivery Date]]-OrdersTable[[#This Row],[Order Date]]</f>
        <v>4</v>
      </c>
      <c r="AD3185" t="str">
        <f>IF(OrdersTable[[#This Row],[Delivery Days]]&lt;=2, "Express (≤2d)", IF(OrdersTable[[#This Row],[Delivery Days]]&lt;=4, "Standard (3-4d)", "Delayed (5d+)"))</f>
        <v>Standard (3-4d)</v>
      </c>
      <c r="AF3185">
        <v>0</v>
      </c>
    </row>
    <row r="3186" spans="1:32" ht="15" x14ac:dyDescent="0.35">
      <c r="A3186" t="s">
        <v>7011</v>
      </c>
      <c r="B3186" s="1">
        <v>45816</v>
      </c>
      <c r="C3186">
        <f>YEAR(OrdersTable[[#This Row],[Order Date]])</f>
        <v>2025</v>
      </c>
      <c r="D3186" s="2">
        <f>DATE(YEAR(OrdersTable[[#This Row],[Order Date]]),MONTH(OrdersTable[[#This Row],[Order Date]]),1)</f>
        <v>45809</v>
      </c>
      <c r="E3186">
        <f>MONTH(OrdersTable[[#This Row],[Order Date]])</f>
        <v>6</v>
      </c>
      <c r="F3186" t="s">
        <v>710</v>
      </c>
      <c r="G3186" t="str">
        <f>IF(OrdersTable[[#This Row],[Order Date]]=_xlfn.MINIFS(Order_Date, Customer_ID, OrdersTable[[#This Row],[Customer ID]]), "New", "Repeat")</f>
        <v>Repeat</v>
      </c>
      <c r="H3186" t="s">
        <v>128</v>
      </c>
      <c r="I3186" t="str">
        <f>INDEX(State!B:B,MATCH(OrdersTable[[#This Row],[State]],State!A:A,0))</f>
        <v>DL</v>
      </c>
      <c r="J3186" t="str">
        <f>INDEX(State!C:C,MATCH(OrdersTable[[#This Row],[State Code]],State!B:B,0))</f>
        <v>North</v>
      </c>
      <c r="K3186" t="s">
        <v>129</v>
      </c>
      <c r="L3186" t="s">
        <v>16</v>
      </c>
      <c r="M3186" t="s">
        <v>87</v>
      </c>
      <c r="N3186" t="str">
        <f>INDEX(Products!B:B,MATCH(OrdersTable[[#This Row],[Product ID]],Products!A:A,0))</f>
        <v>Linen Kurta</v>
      </c>
      <c r="O3186" t="str">
        <f>INDEX(Products!C:C,MATCH(OrdersTable[[#This Row],[Product ID]],Products!A:A,0))</f>
        <v>Apparel</v>
      </c>
      <c r="P3186">
        <v>4</v>
      </c>
      <c r="Q3186" s="5">
        <v>1499</v>
      </c>
      <c r="R3186" s="74">
        <v>0.25</v>
      </c>
      <c r="S3186" s="75">
        <f>OrdersTable[[#This Row],[Quantity]]*OrdersTable[[#This Row],[Unit Price]]</f>
        <v>5996</v>
      </c>
      <c r="T3186" s="5">
        <f>OrdersTable[[#This Row],[Gross Sale]]*OrdersTable[[#This Row],[Discount_Clean2]]</f>
        <v>1499</v>
      </c>
      <c r="U3186" s="5">
        <f>OrdersTable[[#This Row],[Gross Sale]]-OrdersTable[[#This Row],[Discount Amount]]</f>
        <v>4497</v>
      </c>
      <c r="V3186" s="77">
        <f>INDEX(Products!E:E,MATCH(OrdersTable[[#This Row],[Product ID]],Products!A:A,0))</f>
        <v>630</v>
      </c>
      <c r="W3186" s="77">
        <f>OrdersTable[[#This Row],[Quantity]]*OrdersTable[[#This Row],[Unit Cost]]</f>
        <v>2520</v>
      </c>
      <c r="X3186" s="77">
        <f>'Dropdown Lists'!$I$2*(1+OrdersTable[[#This Row],[Returned]])</f>
        <v>60</v>
      </c>
      <c r="Y3186" s="76">
        <f>OrdersTable[[#This Row],[Net Revenue]]-OrdersTable[[#This Row],[COGS]]-OrdersTable[[#This Row],[Shipping Cost]]</f>
        <v>1917</v>
      </c>
      <c r="Z3186" s="78">
        <f>IFERROR(OrdersTable[[#This Row],[Profit]]/OrdersTable[[#This Row],[Net Revenue]],0)</f>
        <v>0.42628418945963975</v>
      </c>
      <c r="AA3186" t="s">
        <v>2522</v>
      </c>
      <c r="AB3186" s="79">
        <v>45817</v>
      </c>
      <c r="AC3186">
        <f>OrdersTable[[#This Row],[Delivery Date]]-OrdersTable[[#This Row],[Order Date]]</f>
        <v>1</v>
      </c>
      <c r="AD3186" t="str">
        <f>IF(OrdersTable[[#This Row],[Delivery Days]]&lt;=2, "Express (≤2d)", IF(OrdersTable[[#This Row],[Delivery Days]]&lt;=4, "Standard (3-4d)", "Delayed (5d+)"))</f>
        <v>Express (≤2d)</v>
      </c>
      <c r="AE3186">
        <v>4</v>
      </c>
      <c r="AF3186">
        <v>0</v>
      </c>
    </row>
    <row r="3187" spans="1:32" ht="15" x14ac:dyDescent="0.35">
      <c r="A3187" t="s">
        <v>830</v>
      </c>
      <c r="B3187" s="1">
        <v>45816</v>
      </c>
      <c r="C3187">
        <f>YEAR(OrdersTable[[#This Row],[Order Date]])</f>
        <v>2025</v>
      </c>
      <c r="D3187" s="2">
        <f>DATE(YEAR(OrdersTable[[#This Row],[Order Date]]),MONTH(OrdersTable[[#This Row],[Order Date]]),1)</f>
        <v>45809</v>
      </c>
      <c r="E3187">
        <f>MONTH(OrdersTable[[#This Row],[Order Date]])</f>
        <v>6</v>
      </c>
      <c r="F3187" t="s">
        <v>831</v>
      </c>
      <c r="G3187" t="str">
        <f>IF(OrdersTable[[#This Row],[Order Date]]=_xlfn.MINIFS(Order_Date, Customer_ID, OrdersTable[[#This Row],[Customer ID]]), "New", "Repeat")</f>
        <v>New</v>
      </c>
      <c r="H3187" t="s">
        <v>128</v>
      </c>
      <c r="I3187" t="str">
        <f>INDEX(State!B:B,MATCH(OrdersTable[[#This Row],[State]],State!A:A,0))</f>
        <v>DL</v>
      </c>
      <c r="J3187" t="str">
        <f>INDEX(State!C:C,MATCH(OrdersTable[[#This Row],[State Code]],State!B:B,0))</f>
        <v>North</v>
      </c>
      <c r="K3187" t="s">
        <v>129</v>
      </c>
      <c r="L3187" t="s">
        <v>23</v>
      </c>
      <c r="M3187" t="s">
        <v>109</v>
      </c>
      <c r="N3187" t="str">
        <f>INDEX(Products!B:B,MATCH(OrdersTable[[#This Row],[Product ID]],Products!A:A,0))</f>
        <v>Onion Hair Oil</v>
      </c>
      <c r="O3187" t="str">
        <f>INDEX(Products!C:C,MATCH(OrdersTable[[#This Row],[Product ID]],Products!A:A,0))</f>
        <v>Haircare</v>
      </c>
      <c r="P3187">
        <v>1</v>
      </c>
      <c r="Q3187" s="5">
        <v>349</v>
      </c>
      <c r="R3187" s="74">
        <v>0.4</v>
      </c>
      <c r="S3187" s="75">
        <f>OrdersTable[[#This Row],[Quantity]]*OrdersTable[[#This Row],[Unit Price]]</f>
        <v>349</v>
      </c>
      <c r="T3187" s="5">
        <f>OrdersTable[[#This Row],[Gross Sale]]*OrdersTable[[#This Row],[Discount_Clean2]]</f>
        <v>139.6</v>
      </c>
      <c r="U3187" s="5">
        <f>OrdersTable[[#This Row],[Gross Sale]]-OrdersTable[[#This Row],[Discount Amount]]</f>
        <v>209.4</v>
      </c>
      <c r="V3187" s="77">
        <f>INDEX(Products!E:E,MATCH(OrdersTable[[#This Row],[Product ID]],Products!A:A,0))</f>
        <v>105</v>
      </c>
      <c r="W3187" s="77">
        <f>OrdersTable[[#This Row],[Quantity]]*OrdersTable[[#This Row],[Unit Cost]]</f>
        <v>105</v>
      </c>
      <c r="X3187" s="77">
        <f>'Dropdown Lists'!$I$2*(1+OrdersTable[[#This Row],[Returned]])</f>
        <v>60</v>
      </c>
      <c r="Y3187" s="76">
        <f>OrdersTable[[#This Row],[Net Revenue]]-OrdersTable[[#This Row],[COGS]]-OrdersTable[[#This Row],[Shipping Cost]]</f>
        <v>44.400000000000006</v>
      </c>
      <c r="Z3187" s="78">
        <f>IFERROR(OrdersTable[[#This Row],[Profit]]/OrdersTable[[#This Row],[Net Revenue]],0)</f>
        <v>0.21203438395415475</v>
      </c>
      <c r="AA3187" t="s">
        <v>18</v>
      </c>
      <c r="AB3187" s="79">
        <v>45817</v>
      </c>
      <c r="AC3187">
        <f>OrdersTable[[#This Row],[Delivery Date]]-OrdersTable[[#This Row],[Order Date]]</f>
        <v>1</v>
      </c>
      <c r="AD3187" t="str">
        <f>IF(OrdersTable[[#This Row],[Delivery Days]]&lt;=2, "Express (≤2d)", IF(OrdersTable[[#This Row],[Delivery Days]]&lt;=4, "Standard (3-4d)", "Delayed (5d+)"))</f>
        <v>Express (≤2d)</v>
      </c>
      <c r="AE3187">
        <v>4</v>
      </c>
      <c r="AF3187">
        <v>0</v>
      </c>
    </row>
    <row r="3188" spans="1:32" ht="15" x14ac:dyDescent="0.35">
      <c r="A3188" t="s">
        <v>4154</v>
      </c>
      <c r="B3188" s="1">
        <v>45816</v>
      </c>
      <c r="C3188">
        <f>YEAR(OrdersTable[[#This Row],[Order Date]])</f>
        <v>2025</v>
      </c>
      <c r="D3188" s="2">
        <f>DATE(YEAR(OrdersTable[[#This Row],[Order Date]]),MONTH(OrdersTable[[#This Row],[Order Date]]),1)</f>
        <v>45809</v>
      </c>
      <c r="E3188">
        <f>MONTH(OrdersTable[[#This Row],[Order Date]])</f>
        <v>6</v>
      </c>
      <c r="F3188" t="s">
        <v>3647</v>
      </c>
      <c r="G3188" t="str">
        <f>IF(OrdersTable[[#This Row],[Order Date]]=_xlfn.MINIFS(Order_Date, Customer_ID, OrdersTable[[#This Row],[Customer ID]]), "New", "Repeat")</f>
        <v>New</v>
      </c>
      <c r="H3188" t="s">
        <v>32</v>
      </c>
      <c r="I3188" t="str">
        <f>INDEX(State!B:B,MATCH(OrdersTable[[#This Row],[State]],State!A:A,0))</f>
        <v>BR</v>
      </c>
      <c r="J3188" t="str">
        <f>INDEX(State!C:C,MATCH(OrdersTable[[#This Row],[State Code]],State!B:B,0))</f>
        <v>East</v>
      </c>
      <c r="K3188" t="s">
        <v>33</v>
      </c>
      <c r="L3188" t="s">
        <v>23</v>
      </c>
      <c r="M3188" t="s">
        <v>173</v>
      </c>
      <c r="N3188" t="str">
        <f>INDEX(Products!B:B,MATCH(OrdersTable[[#This Row],[Product ID]],Products!A:A,0))</f>
        <v>Wireless Earbuds</v>
      </c>
      <c r="O3188" t="str">
        <f>INDEX(Products!C:C,MATCH(OrdersTable[[#This Row],[Product ID]],Products!A:A,0))</f>
        <v>Electronics</v>
      </c>
      <c r="P3188">
        <v>1</v>
      </c>
      <c r="Q3188" s="5">
        <v>1999</v>
      </c>
      <c r="R3188" s="74">
        <v>0.4</v>
      </c>
      <c r="S3188" s="75">
        <f>OrdersTable[[#This Row],[Quantity]]*OrdersTable[[#This Row],[Unit Price]]</f>
        <v>1999</v>
      </c>
      <c r="T3188" s="5">
        <f>OrdersTable[[#This Row],[Gross Sale]]*OrdersTable[[#This Row],[Discount_Clean2]]</f>
        <v>799.6</v>
      </c>
      <c r="U3188" s="5">
        <f>OrdersTable[[#This Row],[Gross Sale]]-OrdersTable[[#This Row],[Discount Amount]]</f>
        <v>1199.4000000000001</v>
      </c>
      <c r="V3188" s="77">
        <f>INDEX(Products!E:E,MATCH(OrdersTable[[#This Row],[Product ID]],Products!A:A,0))</f>
        <v>1239</v>
      </c>
      <c r="W3188" s="77">
        <f>OrdersTable[[#This Row],[Quantity]]*OrdersTable[[#This Row],[Unit Cost]]</f>
        <v>1239</v>
      </c>
      <c r="X3188" s="77">
        <f>'Dropdown Lists'!$I$2*(1+OrdersTable[[#This Row],[Returned]])</f>
        <v>60</v>
      </c>
      <c r="Y3188" s="76">
        <f>OrdersTable[[#This Row],[Net Revenue]]-OrdersTable[[#This Row],[COGS]]-OrdersTable[[#This Row],[Shipping Cost]]</f>
        <v>-99.599999999999909</v>
      </c>
      <c r="Z3188" s="78">
        <f>IFERROR(OrdersTable[[#This Row],[Profit]]/OrdersTable[[#This Row],[Net Revenue]],0)</f>
        <v>-8.3041520760380114E-2</v>
      </c>
      <c r="AA3188" t="s">
        <v>4074</v>
      </c>
      <c r="AB3188" s="79">
        <v>45821</v>
      </c>
      <c r="AC3188">
        <f>OrdersTable[[#This Row],[Delivery Date]]-OrdersTable[[#This Row],[Order Date]]</f>
        <v>5</v>
      </c>
      <c r="AD3188" t="str">
        <f>IF(OrdersTable[[#This Row],[Delivery Days]]&lt;=2, "Express (≤2d)", IF(OrdersTable[[#This Row],[Delivery Days]]&lt;=4, "Standard (3-4d)", "Delayed (5d+)"))</f>
        <v>Delayed (5d+)</v>
      </c>
      <c r="AE3188">
        <v>3</v>
      </c>
      <c r="AF3188">
        <v>0</v>
      </c>
    </row>
    <row r="3189" spans="1:32" ht="15" x14ac:dyDescent="0.35">
      <c r="A3189" t="s">
        <v>324</v>
      </c>
      <c r="B3189" s="1">
        <v>45816</v>
      </c>
      <c r="C3189">
        <f>YEAR(OrdersTable[[#This Row],[Order Date]])</f>
        <v>2025</v>
      </c>
      <c r="D3189" s="2">
        <f>DATE(YEAR(OrdersTable[[#This Row],[Order Date]]),MONTH(OrdersTable[[#This Row],[Order Date]]),1)</f>
        <v>45809</v>
      </c>
      <c r="E3189">
        <f>MONTH(OrdersTable[[#This Row],[Order Date]])</f>
        <v>6</v>
      </c>
      <c r="F3189" t="s">
        <v>325</v>
      </c>
      <c r="G3189" t="str">
        <f>IF(OrdersTable[[#This Row],[Order Date]]=_xlfn.MINIFS(Order_Date, Customer_ID, OrdersTable[[#This Row],[Customer ID]]), "New", "Repeat")</f>
        <v>Repeat</v>
      </c>
      <c r="H3189" t="s">
        <v>32</v>
      </c>
      <c r="I3189" t="str">
        <f>INDEX(State!B:B,MATCH(OrdersTable[[#This Row],[State]],State!A:A,0))</f>
        <v>BR</v>
      </c>
      <c r="J3189" t="str">
        <f>INDEX(State!C:C,MATCH(OrdersTable[[#This Row],[State Code]],State!B:B,0))</f>
        <v>East</v>
      </c>
      <c r="K3189" t="s">
        <v>33</v>
      </c>
      <c r="L3189" t="s">
        <v>16</v>
      </c>
      <c r="M3189" t="s">
        <v>255</v>
      </c>
      <c r="N3189" t="str">
        <f>INDEX(Products!B:B,MATCH(OrdersTable[[#This Row],[Product ID]],Products!A:A,0))</f>
        <v>Cotton Oversized T-Shirt</v>
      </c>
      <c r="O3189" t="str">
        <f>INDEX(Products!C:C,MATCH(OrdersTable[[#This Row],[Product ID]],Products!A:A,0))</f>
        <v>Apparel</v>
      </c>
      <c r="P3189">
        <v>1</v>
      </c>
      <c r="Q3189" s="5">
        <v>799</v>
      </c>
      <c r="R3189" s="74">
        <v>0</v>
      </c>
      <c r="S3189" s="75">
        <f>OrdersTable[[#This Row],[Quantity]]*OrdersTable[[#This Row],[Unit Price]]</f>
        <v>799</v>
      </c>
      <c r="T3189" s="5">
        <f>OrdersTable[[#This Row],[Gross Sale]]*OrdersTable[[#This Row],[Discount_Clean2]]</f>
        <v>0</v>
      </c>
      <c r="U3189" s="5">
        <f>OrdersTable[[#This Row],[Gross Sale]]-OrdersTable[[#This Row],[Discount Amount]]</f>
        <v>799</v>
      </c>
      <c r="V3189" s="77">
        <f>INDEX(Products!E:E,MATCH(OrdersTable[[#This Row],[Product ID]],Products!A:A,0))</f>
        <v>320</v>
      </c>
      <c r="W3189" s="77">
        <f>OrdersTable[[#This Row],[Quantity]]*OrdersTable[[#This Row],[Unit Cost]]</f>
        <v>320</v>
      </c>
      <c r="X3189" s="77">
        <f>'Dropdown Lists'!$I$2*(1+OrdersTable[[#This Row],[Returned]])</f>
        <v>60</v>
      </c>
      <c r="Y3189" s="76">
        <f>OrdersTable[[#This Row],[Net Revenue]]-OrdersTable[[#This Row],[COGS]]-OrdersTable[[#This Row],[Shipping Cost]]</f>
        <v>419</v>
      </c>
      <c r="Z3189" s="78">
        <f>IFERROR(OrdersTable[[#This Row],[Profit]]/OrdersTable[[#This Row],[Net Revenue]],0)</f>
        <v>0.52440550688360454</v>
      </c>
      <c r="AA3189" t="s">
        <v>18</v>
      </c>
      <c r="AB3189" s="79">
        <v>45820</v>
      </c>
      <c r="AC3189">
        <f>OrdersTable[[#This Row],[Delivery Date]]-OrdersTable[[#This Row],[Order Date]]</f>
        <v>4</v>
      </c>
      <c r="AD3189" t="str">
        <f>IF(OrdersTable[[#This Row],[Delivery Days]]&lt;=2, "Express (≤2d)", IF(OrdersTable[[#This Row],[Delivery Days]]&lt;=4, "Standard (3-4d)", "Delayed (5d+)"))</f>
        <v>Standard (3-4d)</v>
      </c>
      <c r="AE3189">
        <v>4</v>
      </c>
      <c r="AF3189">
        <v>0</v>
      </c>
    </row>
    <row r="3190" spans="1:32" ht="15" x14ac:dyDescent="0.35">
      <c r="A3190" t="s">
        <v>5954</v>
      </c>
      <c r="B3190" s="1">
        <v>45816</v>
      </c>
      <c r="C3190">
        <f>YEAR(OrdersTable[[#This Row],[Order Date]])</f>
        <v>2025</v>
      </c>
      <c r="D3190" s="2">
        <f>DATE(YEAR(OrdersTable[[#This Row],[Order Date]]),MONTH(OrdersTable[[#This Row],[Order Date]]),1)</f>
        <v>45809</v>
      </c>
      <c r="E3190">
        <f>MONTH(OrdersTable[[#This Row],[Order Date]])</f>
        <v>6</v>
      </c>
      <c r="F3190" t="s">
        <v>694</v>
      </c>
      <c r="G3190" t="str">
        <f>IF(OrdersTable[[#This Row],[Order Date]]=_xlfn.MINIFS(Order_Date, Customer_ID, OrdersTable[[#This Row],[Customer ID]]), "New", "Repeat")</f>
        <v>Repeat</v>
      </c>
      <c r="H3190" t="s">
        <v>32</v>
      </c>
      <c r="I3190" t="str">
        <f>INDEX(State!B:B,MATCH(OrdersTable[[#This Row],[State]],State!A:A,0))</f>
        <v>BR</v>
      </c>
      <c r="J3190" t="str">
        <f>INDEX(State!C:C,MATCH(OrdersTable[[#This Row],[State Code]],State!B:B,0))</f>
        <v>East</v>
      </c>
      <c r="K3190" t="s">
        <v>33</v>
      </c>
      <c r="L3190" t="s">
        <v>23</v>
      </c>
      <c r="M3190" t="s">
        <v>17</v>
      </c>
      <c r="N3190" t="str">
        <f>INDEX(Products!B:B,MATCH(OrdersTable[[#This Row],[Product ID]],Products!A:A,0))</f>
        <v>Casual Sneakers</v>
      </c>
      <c r="O3190" t="str">
        <f>INDEX(Products!C:C,MATCH(OrdersTable[[#This Row],[Product ID]],Products!A:A,0))</f>
        <v>Footwear</v>
      </c>
      <c r="P3190">
        <v>2</v>
      </c>
      <c r="Q3190" s="5">
        <v>2199</v>
      </c>
      <c r="R3190" s="74">
        <v>0.3</v>
      </c>
      <c r="S3190" s="75">
        <f>OrdersTable[[#This Row],[Quantity]]*OrdersTable[[#This Row],[Unit Price]]</f>
        <v>4398</v>
      </c>
      <c r="T3190" s="5">
        <f>OrdersTable[[#This Row],[Gross Sale]]*OrdersTable[[#This Row],[Discount_Clean2]]</f>
        <v>1319.3999999999999</v>
      </c>
      <c r="U3190" s="5">
        <f>OrdersTable[[#This Row],[Gross Sale]]-OrdersTable[[#This Row],[Discount Amount]]</f>
        <v>3078.6000000000004</v>
      </c>
      <c r="V3190" s="77">
        <f>INDEX(Products!E:E,MATCH(OrdersTable[[#This Row],[Product ID]],Products!A:A,0))</f>
        <v>1034</v>
      </c>
      <c r="W3190" s="77">
        <f>OrdersTable[[#This Row],[Quantity]]*OrdersTable[[#This Row],[Unit Cost]]</f>
        <v>2068</v>
      </c>
      <c r="X3190" s="77">
        <f>'Dropdown Lists'!$I$2*(1+OrdersTable[[#This Row],[Returned]])</f>
        <v>60</v>
      </c>
      <c r="Y3190" s="76">
        <f>OrdersTable[[#This Row],[Net Revenue]]-OrdersTable[[#This Row],[COGS]]-OrdersTable[[#This Row],[Shipping Cost]]</f>
        <v>950.60000000000036</v>
      </c>
      <c r="Z3190" s="78">
        <f>IFERROR(OrdersTable[[#This Row],[Profit]]/OrdersTable[[#This Row],[Net Revenue]],0)</f>
        <v>0.30877671668940437</v>
      </c>
      <c r="AA3190" t="s">
        <v>18</v>
      </c>
      <c r="AB3190" s="79">
        <v>45820</v>
      </c>
      <c r="AC3190">
        <f>OrdersTable[[#This Row],[Delivery Date]]-OrdersTable[[#This Row],[Order Date]]</f>
        <v>4</v>
      </c>
      <c r="AD3190" t="str">
        <f>IF(OrdersTable[[#This Row],[Delivery Days]]&lt;=2, "Express (≤2d)", IF(OrdersTable[[#This Row],[Delivery Days]]&lt;=4, "Standard (3-4d)", "Delayed (5d+)"))</f>
        <v>Standard (3-4d)</v>
      </c>
      <c r="AF3190">
        <v>0</v>
      </c>
    </row>
    <row r="3191" spans="1:32" ht="15" x14ac:dyDescent="0.35">
      <c r="A3191" t="s">
        <v>6902</v>
      </c>
      <c r="B3191" s="1">
        <v>45816</v>
      </c>
      <c r="C3191">
        <f>YEAR(OrdersTable[[#This Row],[Order Date]])</f>
        <v>2025</v>
      </c>
      <c r="D3191" s="2">
        <f>DATE(YEAR(OrdersTable[[#This Row],[Order Date]]),MONTH(OrdersTable[[#This Row],[Order Date]]),1)</f>
        <v>45809</v>
      </c>
      <c r="E3191">
        <f>MONTH(OrdersTable[[#This Row],[Order Date]])</f>
        <v>6</v>
      </c>
      <c r="F3191" t="s">
        <v>4591</v>
      </c>
      <c r="G3191" t="str">
        <f>IF(OrdersTable[[#This Row],[Order Date]]=_xlfn.MINIFS(Order_Date, Customer_ID, OrdersTable[[#This Row],[Customer ID]]), "New", "Repeat")</f>
        <v>Repeat</v>
      </c>
      <c r="H3191" t="s">
        <v>37</v>
      </c>
      <c r="I3191" t="str">
        <f>INDEX(State!B:B,MATCH(OrdersTable[[#This Row],[State]],State!A:A,0))</f>
        <v>GJ</v>
      </c>
      <c r="J3191" t="str">
        <f>INDEX(State!C:C,MATCH(OrdersTable[[#This Row],[State Code]],State!B:B,0))</f>
        <v>West</v>
      </c>
      <c r="K3191" t="s">
        <v>247</v>
      </c>
      <c r="L3191" t="s">
        <v>16</v>
      </c>
      <c r="M3191" t="s">
        <v>17</v>
      </c>
      <c r="N3191" t="str">
        <f>INDEX(Products!B:B,MATCH(OrdersTable[[#This Row],[Product ID]],Products!A:A,0))</f>
        <v>Casual Sneakers</v>
      </c>
      <c r="O3191" t="str">
        <f>INDEX(Products!C:C,MATCH(OrdersTable[[#This Row],[Product ID]],Products!A:A,0))</f>
        <v>Footwear</v>
      </c>
      <c r="P3191">
        <v>3</v>
      </c>
      <c r="Q3191" s="5">
        <v>2199</v>
      </c>
      <c r="R3191" s="74">
        <v>0.3</v>
      </c>
      <c r="S3191" s="75">
        <f>OrdersTable[[#This Row],[Quantity]]*OrdersTable[[#This Row],[Unit Price]]</f>
        <v>6597</v>
      </c>
      <c r="T3191" s="5">
        <f>OrdersTable[[#This Row],[Gross Sale]]*OrdersTable[[#This Row],[Discount_Clean2]]</f>
        <v>1979.1</v>
      </c>
      <c r="U3191" s="5">
        <f>OrdersTable[[#This Row],[Gross Sale]]-OrdersTable[[#This Row],[Discount Amount]]</f>
        <v>4617.8999999999996</v>
      </c>
      <c r="V3191" s="77">
        <f>INDEX(Products!E:E,MATCH(OrdersTable[[#This Row],[Product ID]],Products!A:A,0))</f>
        <v>1034</v>
      </c>
      <c r="W3191" s="77">
        <f>OrdersTable[[#This Row],[Quantity]]*OrdersTable[[#This Row],[Unit Cost]]</f>
        <v>3102</v>
      </c>
      <c r="X3191" s="77">
        <f>'Dropdown Lists'!$I$2*(1+OrdersTable[[#This Row],[Returned]])</f>
        <v>60</v>
      </c>
      <c r="Y3191" s="76">
        <f>OrdersTable[[#This Row],[Net Revenue]]-OrdersTable[[#This Row],[COGS]]-OrdersTable[[#This Row],[Shipping Cost]]</f>
        <v>1455.8999999999996</v>
      </c>
      <c r="Z3191" s="78">
        <f>IFERROR(OrdersTable[[#This Row],[Profit]]/OrdersTable[[#This Row],[Net Revenue]],0)</f>
        <v>0.31527317611901506</v>
      </c>
      <c r="AA3191" t="s">
        <v>4450</v>
      </c>
      <c r="AB3191" s="79">
        <v>45818</v>
      </c>
      <c r="AC3191">
        <f>OrdersTable[[#This Row],[Delivery Date]]-OrdersTable[[#This Row],[Order Date]]</f>
        <v>2</v>
      </c>
      <c r="AD3191" t="str">
        <f>IF(OrdersTable[[#This Row],[Delivery Days]]&lt;=2, "Express (≤2d)", IF(OrdersTable[[#This Row],[Delivery Days]]&lt;=4, "Standard (3-4d)", "Delayed (5d+)"))</f>
        <v>Express (≤2d)</v>
      </c>
      <c r="AE3191">
        <v>5</v>
      </c>
      <c r="AF3191">
        <v>0</v>
      </c>
    </row>
    <row r="3192" spans="1:32" ht="15" x14ac:dyDescent="0.35">
      <c r="A3192" t="s">
        <v>1284</v>
      </c>
      <c r="B3192" s="1">
        <v>45816</v>
      </c>
      <c r="C3192">
        <f>YEAR(OrdersTable[[#This Row],[Order Date]])</f>
        <v>2025</v>
      </c>
      <c r="D3192" s="2">
        <f>DATE(YEAR(OrdersTable[[#This Row],[Order Date]]),MONTH(OrdersTable[[#This Row],[Order Date]]),1)</f>
        <v>45809</v>
      </c>
      <c r="E3192">
        <f>MONTH(OrdersTable[[#This Row],[Order Date]])</f>
        <v>6</v>
      </c>
      <c r="F3192" t="s">
        <v>1285</v>
      </c>
      <c r="G3192" t="str">
        <f>IF(OrdersTable[[#This Row],[Order Date]]=_xlfn.MINIFS(Order_Date, Customer_ID, OrdersTable[[#This Row],[Customer ID]]), "New", "Repeat")</f>
        <v>New</v>
      </c>
      <c r="H3192" t="s">
        <v>43</v>
      </c>
      <c r="I3192" t="str">
        <f>INDEX(State!B:B,MATCH(OrdersTable[[#This Row],[State]],State!A:A,0))</f>
        <v>MP</v>
      </c>
      <c r="J3192" t="str">
        <f>INDEX(State!C:C,MATCH(OrdersTable[[#This Row],[State Code]],State!B:B,0))</f>
        <v>West</v>
      </c>
      <c r="K3192" t="s">
        <v>250</v>
      </c>
      <c r="L3192" t="s">
        <v>16</v>
      </c>
      <c r="M3192" t="s">
        <v>576</v>
      </c>
      <c r="N3192" t="str">
        <f>INDEX(Products!B:B,MATCH(OrdersTable[[#This Row],[Product ID]],Products!A:A,0))</f>
        <v>Printed Saree</v>
      </c>
      <c r="O3192" t="str">
        <f>INDEX(Products!C:C,MATCH(OrdersTable[[#This Row],[Product ID]],Products!A:A,0))</f>
        <v>Apparel</v>
      </c>
      <c r="P3192">
        <v>1</v>
      </c>
      <c r="Q3192" s="5">
        <v>1999</v>
      </c>
      <c r="R3192" s="74">
        <v>0.05</v>
      </c>
      <c r="S3192" s="75">
        <f>OrdersTable[[#This Row],[Quantity]]*OrdersTable[[#This Row],[Unit Price]]</f>
        <v>1999</v>
      </c>
      <c r="T3192" s="5">
        <f>OrdersTable[[#This Row],[Gross Sale]]*OrdersTable[[#This Row],[Discount_Clean2]]</f>
        <v>99.95</v>
      </c>
      <c r="U3192" s="5">
        <f>OrdersTable[[#This Row],[Gross Sale]]-OrdersTable[[#This Row],[Discount Amount]]</f>
        <v>1899.05</v>
      </c>
      <c r="V3192" s="77">
        <f>INDEX(Products!E:E,MATCH(OrdersTable[[#This Row],[Product ID]],Products!A:A,0))</f>
        <v>880</v>
      </c>
      <c r="W3192" s="77">
        <f>OrdersTable[[#This Row],[Quantity]]*OrdersTable[[#This Row],[Unit Cost]]</f>
        <v>880</v>
      </c>
      <c r="X3192" s="77">
        <f>'Dropdown Lists'!$I$2*(1+OrdersTable[[#This Row],[Returned]])</f>
        <v>60</v>
      </c>
      <c r="Y3192" s="76">
        <f>OrdersTable[[#This Row],[Net Revenue]]-OrdersTable[[#This Row],[COGS]]-OrdersTable[[#This Row],[Shipping Cost]]</f>
        <v>959.05</v>
      </c>
      <c r="Z3192" s="78">
        <f>IFERROR(OrdersTable[[#This Row],[Profit]]/OrdersTable[[#This Row],[Net Revenue]],0)</f>
        <v>0.50501566572760059</v>
      </c>
      <c r="AA3192" t="s">
        <v>18</v>
      </c>
      <c r="AB3192" s="79">
        <v>45821</v>
      </c>
      <c r="AC3192">
        <f>OrdersTable[[#This Row],[Delivery Date]]-OrdersTable[[#This Row],[Order Date]]</f>
        <v>5</v>
      </c>
      <c r="AD3192" t="str">
        <f>IF(OrdersTable[[#This Row],[Delivery Days]]&lt;=2, "Express (≤2d)", IF(OrdersTable[[#This Row],[Delivery Days]]&lt;=4, "Standard (3-4d)", "Delayed (5d+)"))</f>
        <v>Delayed (5d+)</v>
      </c>
      <c r="AF3192">
        <v>0</v>
      </c>
    </row>
    <row r="3193" spans="1:32" ht="15" x14ac:dyDescent="0.35">
      <c r="A3193" t="s">
        <v>624</v>
      </c>
      <c r="B3193" s="1">
        <v>45816</v>
      </c>
      <c r="C3193">
        <f>YEAR(OrdersTable[[#This Row],[Order Date]])</f>
        <v>2025</v>
      </c>
      <c r="D3193" s="2">
        <f>DATE(YEAR(OrdersTable[[#This Row],[Order Date]]),MONTH(OrdersTable[[#This Row],[Order Date]]),1)</f>
        <v>45809</v>
      </c>
      <c r="E3193">
        <f>MONTH(OrdersTable[[#This Row],[Order Date]])</f>
        <v>6</v>
      </c>
      <c r="F3193" t="s">
        <v>625</v>
      </c>
      <c r="G3193" t="str">
        <f>IF(OrdersTable[[#This Row],[Order Date]]=_xlfn.MINIFS(Order_Date, Customer_ID, OrdersTable[[#This Row],[Customer ID]]), "New", "Repeat")</f>
        <v>New</v>
      </c>
      <c r="H3193" t="s">
        <v>71</v>
      </c>
      <c r="I3193" t="str">
        <f>INDEX(State!B:B,MATCH(OrdersTable[[#This Row],[State]],State!A:A,0))</f>
        <v>MH</v>
      </c>
      <c r="J3193" t="str">
        <f>INDEX(State!C:C,MATCH(OrdersTable[[#This Row],[State Code]],State!B:B,0))</f>
        <v>West</v>
      </c>
      <c r="K3193" t="s">
        <v>81</v>
      </c>
      <c r="L3193" t="s">
        <v>16</v>
      </c>
      <c r="M3193" t="s">
        <v>87</v>
      </c>
      <c r="N3193" t="str">
        <f>INDEX(Products!B:B,MATCH(OrdersTable[[#This Row],[Product ID]],Products!A:A,0))</f>
        <v>Linen Kurta</v>
      </c>
      <c r="O3193" t="str">
        <f>INDEX(Products!C:C,MATCH(OrdersTable[[#This Row],[Product ID]],Products!A:A,0))</f>
        <v>Apparel</v>
      </c>
      <c r="P3193">
        <v>1</v>
      </c>
      <c r="Q3193" s="5">
        <v>1499</v>
      </c>
      <c r="R3193" s="74">
        <v>0.25</v>
      </c>
      <c r="S3193" s="75">
        <f>OrdersTable[[#This Row],[Quantity]]*OrdersTable[[#This Row],[Unit Price]]</f>
        <v>1499</v>
      </c>
      <c r="T3193" s="5">
        <f>OrdersTable[[#This Row],[Gross Sale]]*OrdersTable[[#This Row],[Discount_Clean2]]</f>
        <v>374.75</v>
      </c>
      <c r="U3193" s="5">
        <f>OrdersTable[[#This Row],[Gross Sale]]-OrdersTable[[#This Row],[Discount Amount]]</f>
        <v>1124.25</v>
      </c>
      <c r="V3193" s="77">
        <f>INDEX(Products!E:E,MATCH(OrdersTable[[#This Row],[Product ID]],Products!A:A,0))</f>
        <v>630</v>
      </c>
      <c r="W3193" s="77">
        <f>OrdersTable[[#This Row],[Quantity]]*OrdersTable[[#This Row],[Unit Cost]]</f>
        <v>630</v>
      </c>
      <c r="X3193" s="77">
        <f>'Dropdown Lists'!$I$2*(1+OrdersTable[[#This Row],[Returned]])</f>
        <v>60</v>
      </c>
      <c r="Y3193" s="76">
        <f>OrdersTable[[#This Row],[Net Revenue]]-OrdersTable[[#This Row],[COGS]]-OrdersTable[[#This Row],[Shipping Cost]]</f>
        <v>434.25</v>
      </c>
      <c r="Z3193" s="78">
        <f>IFERROR(OrdersTable[[#This Row],[Profit]]/OrdersTable[[#This Row],[Net Revenue]],0)</f>
        <v>0.38625750500333556</v>
      </c>
      <c r="AA3193" t="s">
        <v>18</v>
      </c>
      <c r="AB3193" s="79">
        <v>45818</v>
      </c>
      <c r="AC3193">
        <f>OrdersTable[[#This Row],[Delivery Date]]-OrdersTable[[#This Row],[Order Date]]</f>
        <v>2</v>
      </c>
      <c r="AD3193" t="str">
        <f>IF(OrdersTable[[#This Row],[Delivery Days]]&lt;=2, "Express (≤2d)", IF(OrdersTable[[#This Row],[Delivery Days]]&lt;=4, "Standard (3-4d)", "Delayed (5d+)"))</f>
        <v>Express (≤2d)</v>
      </c>
      <c r="AE3193">
        <v>4</v>
      </c>
      <c r="AF3193">
        <v>0</v>
      </c>
    </row>
    <row r="3194" spans="1:32" ht="15" x14ac:dyDescent="0.35">
      <c r="A3194" t="s">
        <v>6171</v>
      </c>
      <c r="B3194" s="1">
        <v>45816</v>
      </c>
      <c r="C3194">
        <f>YEAR(OrdersTable[[#This Row],[Order Date]])</f>
        <v>2025</v>
      </c>
      <c r="D3194" s="2">
        <f>DATE(YEAR(OrdersTable[[#This Row],[Order Date]]),MONTH(OrdersTable[[#This Row],[Order Date]]),1)</f>
        <v>45809</v>
      </c>
      <c r="E3194">
        <f>MONTH(OrdersTable[[#This Row],[Order Date]])</f>
        <v>6</v>
      </c>
      <c r="F3194" t="s">
        <v>1799</v>
      </c>
      <c r="G3194" t="str">
        <f>IF(OrdersTable[[#This Row],[Order Date]]=_xlfn.MINIFS(Order_Date, Customer_ID, OrdersTable[[#This Row],[Customer ID]]), "New", "Repeat")</f>
        <v>Repeat</v>
      </c>
      <c r="H3194" t="s">
        <v>316</v>
      </c>
      <c r="I3194" t="str">
        <f>INDEX(State!B:B,MATCH(OrdersTable[[#This Row],[State]],State!A:A,0))</f>
        <v>KL</v>
      </c>
      <c r="J3194" t="str">
        <f>INDEX(State!C:C,MATCH(OrdersTable[[#This Row],[State Code]],State!B:B,0))</f>
        <v>South</v>
      </c>
      <c r="K3194" t="s">
        <v>317</v>
      </c>
      <c r="L3194" t="s">
        <v>65</v>
      </c>
      <c r="M3194" t="s">
        <v>56</v>
      </c>
      <c r="N3194" t="str">
        <f>INDEX(Products!B:B,MATCH(OrdersTable[[#This Row],[Product ID]],Products!A:A,0))</f>
        <v>Vitamin C Face Serum</v>
      </c>
      <c r="O3194" t="str">
        <f>INDEX(Products!C:C,MATCH(OrdersTable[[#This Row],[Product ID]],Products!A:A,0))</f>
        <v>Skincare</v>
      </c>
      <c r="P3194">
        <v>2</v>
      </c>
      <c r="Q3194" s="5">
        <v>599</v>
      </c>
      <c r="R3194" s="74">
        <v>0.1</v>
      </c>
      <c r="S3194" s="75">
        <f>OrdersTable[[#This Row],[Quantity]]*OrdersTable[[#This Row],[Unit Price]]</f>
        <v>1198</v>
      </c>
      <c r="T3194" s="5">
        <f>OrdersTable[[#This Row],[Gross Sale]]*OrdersTable[[#This Row],[Discount_Clean2]]</f>
        <v>119.80000000000001</v>
      </c>
      <c r="U3194" s="5">
        <f>OrdersTable[[#This Row],[Gross Sale]]-OrdersTable[[#This Row],[Discount Amount]]</f>
        <v>1078.2</v>
      </c>
      <c r="V3194" s="77">
        <f>INDEX(Products!E:E,MATCH(OrdersTable[[#This Row],[Product ID]],Products!A:A,0))</f>
        <v>180</v>
      </c>
      <c r="W3194" s="77">
        <f>OrdersTable[[#This Row],[Quantity]]*OrdersTable[[#This Row],[Unit Cost]]</f>
        <v>360</v>
      </c>
      <c r="X3194" s="77">
        <f>'Dropdown Lists'!$I$2*(1+OrdersTable[[#This Row],[Returned]])</f>
        <v>60</v>
      </c>
      <c r="Y3194" s="76">
        <f>OrdersTable[[#This Row],[Net Revenue]]-OrdersTable[[#This Row],[COGS]]-OrdersTable[[#This Row],[Shipping Cost]]</f>
        <v>658.2</v>
      </c>
      <c r="Z3194" s="78">
        <f>IFERROR(OrdersTable[[#This Row],[Profit]]/OrdersTable[[#This Row],[Net Revenue]],0)</f>
        <v>0.6104618809126322</v>
      </c>
      <c r="AA3194" t="s">
        <v>18</v>
      </c>
      <c r="AB3194" s="79">
        <v>45819</v>
      </c>
      <c r="AC3194">
        <f>OrdersTable[[#This Row],[Delivery Date]]-OrdersTable[[#This Row],[Order Date]]</f>
        <v>3</v>
      </c>
      <c r="AD3194" t="str">
        <f>IF(OrdersTable[[#This Row],[Delivery Days]]&lt;=2, "Express (≤2d)", IF(OrdersTable[[#This Row],[Delivery Days]]&lt;=4, "Standard (3-4d)", "Delayed (5d+)"))</f>
        <v>Standard (3-4d)</v>
      </c>
      <c r="AE3194">
        <v>4</v>
      </c>
      <c r="AF3194">
        <v>0</v>
      </c>
    </row>
    <row r="3195" spans="1:32" ht="15" x14ac:dyDescent="0.35">
      <c r="A3195" t="s">
        <v>326</v>
      </c>
      <c r="B3195" s="1">
        <v>45817</v>
      </c>
      <c r="C3195">
        <f>YEAR(OrdersTable[[#This Row],[Order Date]])</f>
        <v>2025</v>
      </c>
      <c r="D3195" s="2">
        <f>DATE(YEAR(OrdersTable[[#This Row],[Order Date]]),MONTH(OrdersTable[[#This Row],[Order Date]]),1)</f>
        <v>45809</v>
      </c>
      <c r="E3195">
        <f>MONTH(OrdersTable[[#This Row],[Order Date]])</f>
        <v>6</v>
      </c>
      <c r="F3195" t="s">
        <v>327</v>
      </c>
      <c r="G3195" t="str">
        <f>IF(OrdersTable[[#This Row],[Order Date]]=_xlfn.MINIFS(Order_Date, Customer_ID, OrdersTable[[#This Row],[Customer ID]]), "New", "Repeat")</f>
        <v>Repeat</v>
      </c>
      <c r="H3195" t="s">
        <v>184</v>
      </c>
      <c r="I3195" t="str">
        <f>INDEX(State!B:B,MATCH(OrdersTable[[#This Row],[State]],State!A:A,0))</f>
        <v>UK</v>
      </c>
      <c r="J3195" t="str">
        <f>INDEX(State!C:C,MATCH(OrdersTable[[#This Row],[State Code]],State!B:B,0))</f>
        <v>North</v>
      </c>
      <c r="K3195" t="s">
        <v>185</v>
      </c>
      <c r="L3195" t="s">
        <v>23</v>
      </c>
      <c r="M3195" t="s">
        <v>45</v>
      </c>
      <c r="N3195" t="str">
        <f>INDEX(Products!B:B,MATCH(OrdersTable[[#This Row],[Product ID]],Products!A:A,0))</f>
        <v>Argan Shampoo</v>
      </c>
      <c r="O3195" t="str">
        <f>INDEX(Products!C:C,MATCH(OrdersTable[[#This Row],[Product ID]],Products!A:A,0))</f>
        <v>Haircare</v>
      </c>
      <c r="P3195">
        <v>1</v>
      </c>
      <c r="Q3195" s="5">
        <v>449</v>
      </c>
      <c r="R3195" s="74">
        <v>0.1</v>
      </c>
      <c r="S3195" s="75">
        <f>OrdersTable[[#This Row],[Quantity]]*OrdersTable[[#This Row],[Unit Price]]</f>
        <v>449</v>
      </c>
      <c r="T3195" s="5">
        <f>OrdersTable[[#This Row],[Gross Sale]]*OrdersTable[[#This Row],[Discount_Clean2]]</f>
        <v>44.900000000000006</v>
      </c>
      <c r="U3195" s="5">
        <f>OrdersTable[[#This Row],[Gross Sale]]-OrdersTable[[#This Row],[Discount Amount]]</f>
        <v>404.1</v>
      </c>
      <c r="V3195" s="77">
        <f>INDEX(Products!E:E,MATCH(OrdersTable[[#This Row],[Product ID]],Products!A:A,0))</f>
        <v>148</v>
      </c>
      <c r="W3195" s="77">
        <f>OrdersTable[[#This Row],[Quantity]]*OrdersTable[[#This Row],[Unit Cost]]</f>
        <v>148</v>
      </c>
      <c r="X3195" s="77">
        <f>'Dropdown Lists'!$I$2*(1+OrdersTable[[#This Row],[Returned]])</f>
        <v>60</v>
      </c>
      <c r="Y3195" s="76">
        <f>OrdersTable[[#This Row],[Net Revenue]]-OrdersTable[[#This Row],[COGS]]-OrdersTable[[#This Row],[Shipping Cost]]</f>
        <v>196.10000000000002</v>
      </c>
      <c r="Z3195" s="78">
        <f>IFERROR(OrdersTable[[#This Row],[Profit]]/OrdersTable[[#This Row],[Net Revenue]],0)</f>
        <v>0.48527592180153428</v>
      </c>
      <c r="AA3195" t="s">
        <v>18</v>
      </c>
      <c r="AB3195" s="79">
        <v>45820</v>
      </c>
      <c r="AC3195">
        <f>OrdersTable[[#This Row],[Delivery Date]]-OrdersTable[[#This Row],[Order Date]]</f>
        <v>3</v>
      </c>
      <c r="AD3195" t="str">
        <f>IF(OrdersTable[[#This Row],[Delivery Days]]&lt;=2, "Express (≤2d)", IF(OrdersTable[[#This Row],[Delivery Days]]&lt;=4, "Standard (3-4d)", "Delayed (5d+)"))</f>
        <v>Standard (3-4d)</v>
      </c>
      <c r="AE3195">
        <v>4</v>
      </c>
      <c r="AF3195">
        <v>0</v>
      </c>
    </row>
    <row r="3196" spans="1:32" ht="15" x14ac:dyDescent="0.35">
      <c r="A3196" t="s">
        <v>4414</v>
      </c>
      <c r="B3196" s="1">
        <v>45817</v>
      </c>
      <c r="C3196">
        <f>YEAR(OrdersTable[[#This Row],[Order Date]])</f>
        <v>2025</v>
      </c>
      <c r="D3196" s="2">
        <f>DATE(YEAR(OrdersTable[[#This Row],[Order Date]]),MONTH(OrdersTable[[#This Row],[Order Date]]),1)</f>
        <v>45809</v>
      </c>
      <c r="E3196">
        <f>MONTH(OrdersTable[[#This Row],[Order Date]])</f>
        <v>6</v>
      </c>
      <c r="F3196" t="s">
        <v>1929</v>
      </c>
      <c r="G3196" t="str">
        <f>IF(OrdersTable[[#This Row],[Order Date]]=_xlfn.MINIFS(Order_Date, Customer_ID, OrdersTable[[#This Row],[Customer ID]]), "New", "Repeat")</f>
        <v>Repeat</v>
      </c>
      <c r="H3196" t="s">
        <v>54</v>
      </c>
      <c r="I3196" t="str">
        <f>INDEX(State!B:B,MATCH(OrdersTable[[#This Row],[State]],State!A:A,0))</f>
        <v>RJ</v>
      </c>
      <c r="J3196" t="str">
        <f>INDEX(State!C:C,MATCH(OrdersTable[[#This Row],[State Code]],State!B:B,0))</f>
        <v>North</v>
      </c>
      <c r="K3196" t="s">
        <v>55</v>
      </c>
      <c r="L3196" t="s">
        <v>65</v>
      </c>
      <c r="M3196" t="s">
        <v>148</v>
      </c>
      <c r="N3196" t="str">
        <f>INDEX(Products!B:B,MATCH(OrdersTable[[#This Row],[Product ID]],Products!A:A,0))</f>
        <v>Smartwatch Strap</v>
      </c>
      <c r="O3196" t="str">
        <f>INDEX(Products!C:C,MATCH(OrdersTable[[#This Row],[Product ID]],Products!A:A,0))</f>
        <v>Electronics</v>
      </c>
      <c r="P3196">
        <v>1</v>
      </c>
      <c r="Q3196" s="5">
        <v>499</v>
      </c>
      <c r="R3196" s="74">
        <v>0.15</v>
      </c>
      <c r="S3196" s="75">
        <f>OrdersTable[[#This Row],[Quantity]]*OrdersTable[[#This Row],[Unit Price]]</f>
        <v>499</v>
      </c>
      <c r="T3196" s="5">
        <f>OrdersTable[[#This Row],[Gross Sale]]*OrdersTable[[#This Row],[Discount_Clean2]]</f>
        <v>74.849999999999994</v>
      </c>
      <c r="U3196" s="5">
        <f>OrdersTable[[#This Row],[Gross Sale]]-OrdersTable[[#This Row],[Discount Amount]]</f>
        <v>424.15</v>
      </c>
      <c r="V3196" s="77">
        <f>INDEX(Products!E:E,MATCH(OrdersTable[[#This Row],[Product ID]],Products!A:A,0))</f>
        <v>200</v>
      </c>
      <c r="W3196" s="77">
        <f>OrdersTable[[#This Row],[Quantity]]*OrdersTable[[#This Row],[Unit Cost]]</f>
        <v>200</v>
      </c>
      <c r="X3196" s="77">
        <f>'Dropdown Lists'!$I$2*(1+OrdersTable[[#This Row],[Returned]])</f>
        <v>60</v>
      </c>
      <c r="Y3196" s="76">
        <f>OrdersTable[[#This Row],[Net Revenue]]-OrdersTable[[#This Row],[COGS]]-OrdersTable[[#This Row],[Shipping Cost]]</f>
        <v>164.14999999999998</v>
      </c>
      <c r="Z3196" s="78">
        <f>IFERROR(OrdersTable[[#This Row],[Profit]]/OrdersTable[[#This Row],[Net Revenue]],0)</f>
        <v>0.38700931274313327</v>
      </c>
      <c r="AA3196" t="s">
        <v>4074</v>
      </c>
      <c r="AB3196" s="79">
        <v>45822</v>
      </c>
      <c r="AC3196">
        <f>OrdersTable[[#This Row],[Delivery Date]]-OrdersTable[[#This Row],[Order Date]]</f>
        <v>5</v>
      </c>
      <c r="AD3196" t="str">
        <f>IF(OrdersTable[[#This Row],[Delivery Days]]&lt;=2, "Express (≤2d)", IF(OrdersTable[[#This Row],[Delivery Days]]&lt;=4, "Standard (3-4d)", "Delayed (5d+)"))</f>
        <v>Delayed (5d+)</v>
      </c>
      <c r="AE3196">
        <v>4</v>
      </c>
      <c r="AF3196">
        <v>0</v>
      </c>
    </row>
    <row r="3197" spans="1:32" ht="15" x14ac:dyDescent="0.35">
      <c r="A3197" t="s">
        <v>7012</v>
      </c>
      <c r="B3197" s="1">
        <v>45817</v>
      </c>
      <c r="C3197">
        <f>YEAR(OrdersTable[[#This Row],[Order Date]])</f>
        <v>2025</v>
      </c>
      <c r="D3197" s="2">
        <f>DATE(YEAR(OrdersTable[[#This Row],[Order Date]]),MONTH(OrdersTable[[#This Row],[Order Date]]),1)</f>
        <v>45809</v>
      </c>
      <c r="E3197">
        <f>MONTH(OrdersTable[[#This Row],[Order Date]])</f>
        <v>6</v>
      </c>
      <c r="F3197" t="s">
        <v>6095</v>
      </c>
      <c r="G3197" t="str">
        <f>IF(OrdersTable[[#This Row],[Order Date]]=_xlfn.MINIFS(Order_Date, Customer_ID, OrdersTable[[#This Row],[Customer ID]]), "New", "Repeat")</f>
        <v>Repeat</v>
      </c>
      <c r="H3197" t="s">
        <v>54</v>
      </c>
      <c r="I3197" t="str">
        <f>INDEX(State!B:B,MATCH(OrdersTable[[#This Row],[State]],State!A:A,0))</f>
        <v>RJ</v>
      </c>
      <c r="J3197" t="str">
        <f>INDEX(State!C:C,MATCH(OrdersTable[[#This Row],[State Code]],State!B:B,0))</f>
        <v>North</v>
      </c>
      <c r="K3197" t="s">
        <v>55</v>
      </c>
      <c r="L3197" t="s">
        <v>65</v>
      </c>
      <c r="M3197" t="s">
        <v>24</v>
      </c>
      <c r="N3197" t="str">
        <f>INDEX(Products!B:B,MATCH(OrdersTable[[#This Row],[Product ID]],Products!A:A,0))</f>
        <v>Scented Candle Set</v>
      </c>
      <c r="O3197" t="str">
        <f>INDEX(Products!C:C,MATCH(OrdersTable[[#This Row],[Product ID]],Products!A:A,0))</f>
        <v>Home &amp; Kitchen</v>
      </c>
      <c r="P3197">
        <v>4</v>
      </c>
      <c r="Q3197" s="5">
        <v>699</v>
      </c>
      <c r="R3197" s="74">
        <v>0.3</v>
      </c>
      <c r="S3197" s="75">
        <f>OrdersTable[[#This Row],[Quantity]]*OrdersTable[[#This Row],[Unit Price]]</f>
        <v>2796</v>
      </c>
      <c r="T3197" s="5">
        <f>OrdersTable[[#This Row],[Gross Sale]]*OrdersTable[[#This Row],[Discount_Clean2]]</f>
        <v>838.8</v>
      </c>
      <c r="U3197" s="5">
        <f>OrdersTable[[#This Row],[Gross Sale]]-OrdersTable[[#This Row],[Discount Amount]]</f>
        <v>1957.2</v>
      </c>
      <c r="V3197" s="77">
        <f>INDEX(Products!E:E,MATCH(OrdersTable[[#This Row],[Product ID]],Products!A:A,0))</f>
        <v>245</v>
      </c>
      <c r="W3197" s="77">
        <f>OrdersTable[[#This Row],[Quantity]]*OrdersTable[[#This Row],[Unit Cost]]</f>
        <v>980</v>
      </c>
      <c r="X3197" s="77">
        <f>'Dropdown Lists'!$I$2*(1+OrdersTable[[#This Row],[Returned]])</f>
        <v>60</v>
      </c>
      <c r="Y3197" s="76">
        <f>OrdersTable[[#This Row],[Net Revenue]]-OrdersTable[[#This Row],[COGS]]-OrdersTable[[#This Row],[Shipping Cost]]</f>
        <v>917.2</v>
      </c>
      <c r="Z3197" s="78">
        <f>IFERROR(OrdersTable[[#This Row],[Profit]]/OrdersTable[[#This Row],[Net Revenue]],0)</f>
        <v>0.46862865317800939</v>
      </c>
      <c r="AA3197" t="s">
        <v>2522</v>
      </c>
      <c r="AB3197" s="79">
        <v>45823</v>
      </c>
      <c r="AC3197">
        <f>OrdersTable[[#This Row],[Delivery Date]]-OrdersTable[[#This Row],[Order Date]]</f>
        <v>6</v>
      </c>
      <c r="AD3197" t="str">
        <f>IF(OrdersTable[[#This Row],[Delivery Days]]&lt;=2, "Express (≤2d)", IF(OrdersTable[[#This Row],[Delivery Days]]&lt;=4, "Standard (3-4d)", "Delayed (5d+)"))</f>
        <v>Delayed (5d+)</v>
      </c>
      <c r="AE3197">
        <v>4</v>
      </c>
      <c r="AF3197">
        <v>0</v>
      </c>
    </row>
    <row r="3198" spans="1:32" ht="15" x14ac:dyDescent="0.35">
      <c r="A3198" t="s">
        <v>4415</v>
      </c>
      <c r="B3198" s="1">
        <v>45817</v>
      </c>
      <c r="C3198">
        <f>YEAR(OrdersTable[[#This Row],[Order Date]])</f>
        <v>2025</v>
      </c>
      <c r="D3198" s="2">
        <f>DATE(YEAR(OrdersTable[[#This Row],[Order Date]]),MONTH(OrdersTable[[#This Row],[Order Date]]),1)</f>
        <v>45809</v>
      </c>
      <c r="E3198">
        <f>MONTH(OrdersTable[[#This Row],[Order Date]])</f>
        <v>6</v>
      </c>
      <c r="F3198" t="s">
        <v>1133</v>
      </c>
      <c r="G3198" t="str">
        <f>IF(OrdersTable[[#This Row],[Order Date]]=_xlfn.MINIFS(Order_Date, Customer_ID, OrdersTable[[#This Row],[Customer ID]]), "New", "Repeat")</f>
        <v>Repeat</v>
      </c>
      <c r="H3198" t="s">
        <v>128</v>
      </c>
      <c r="I3198" t="str">
        <f>INDEX(State!B:B,MATCH(OrdersTable[[#This Row],[State]],State!A:A,0))</f>
        <v>DL</v>
      </c>
      <c r="J3198" t="str">
        <f>INDEX(State!C:C,MATCH(OrdersTable[[#This Row],[State Code]],State!B:B,0))</f>
        <v>North</v>
      </c>
      <c r="K3198" t="s">
        <v>129</v>
      </c>
      <c r="L3198" t="s">
        <v>65</v>
      </c>
      <c r="M3198" t="s">
        <v>29</v>
      </c>
      <c r="N3198" t="str">
        <f>INDEX(Products!B:B,MATCH(OrdersTable[[#This Row],[Product ID]],Products!A:A,0))</f>
        <v>Joggers</v>
      </c>
      <c r="O3198" t="str">
        <f>INDEX(Products!C:C,MATCH(OrdersTable[[#This Row],[Product ID]],Products!A:A,0))</f>
        <v>Apparel</v>
      </c>
      <c r="P3198">
        <v>1</v>
      </c>
      <c r="Q3198" s="5">
        <v>1199</v>
      </c>
      <c r="R3198" s="74">
        <v>0.1</v>
      </c>
      <c r="S3198" s="75">
        <f>OrdersTable[[#This Row],[Quantity]]*OrdersTable[[#This Row],[Unit Price]]</f>
        <v>1199</v>
      </c>
      <c r="T3198" s="5">
        <f>OrdersTable[[#This Row],[Gross Sale]]*OrdersTable[[#This Row],[Discount_Clean2]]</f>
        <v>119.9</v>
      </c>
      <c r="U3198" s="5">
        <f>OrdersTable[[#This Row],[Gross Sale]]-OrdersTable[[#This Row],[Discount Amount]]</f>
        <v>1079.0999999999999</v>
      </c>
      <c r="V3198" s="77">
        <f>INDEX(Products!E:E,MATCH(OrdersTable[[#This Row],[Product ID]],Products!A:A,0))</f>
        <v>492</v>
      </c>
      <c r="W3198" s="77">
        <f>OrdersTable[[#This Row],[Quantity]]*OrdersTable[[#This Row],[Unit Cost]]</f>
        <v>492</v>
      </c>
      <c r="X3198" s="77">
        <f>'Dropdown Lists'!$I$2*(1+OrdersTable[[#This Row],[Returned]])</f>
        <v>60</v>
      </c>
      <c r="Y3198" s="76">
        <f>OrdersTable[[#This Row],[Net Revenue]]-OrdersTable[[#This Row],[COGS]]-OrdersTable[[#This Row],[Shipping Cost]]</f>
        <v>527.09999999999991</v>
      </c>
      <c r="Z3198" s="78">
        <f>IFERROR(OrdersTable[[#This Row],[Profit]]/OrdersTable[[#This Row],[Net Revenue]],0)</f>
        <v>0.48846260772866273</v>
      </c>
      <c r="AA3198" t="s">
        <v>4074</v>
      </c>
      <c r="AB3198" s="79">
        <v>45821</v>
      </c>
      <c r="AC3198">
        <f>OrdersTable[[#This Row],[Delivery Date]]-OrdersTable[[#This Row],[Order Date]]</f>
        <v>4</v>
      </c>
      <c r="AD3198" t="str">
        <f>IF(OrdersTable[[#This Row],[Delivery Days]]&lt;=2, "Express (≤2d)", IF(OrdersTable[[#This Row],[Delivery Days]]&lt;=4, "Standard (3-4d)", "Delayed (5d+)"))</f>
        <v>Standard (3-4d)</v>
      </c>
      <c r="AE3198">
        <v>4</v>
      </c>
      <c r="AF3198">
        <v>0</v>
      </c>
    </row>
    <row r="3199" spans="1:32" ht="15" x14ac:dyDescent="0.35">
      <c r="A3199" t="s">
        <v>5001</v>
      </c>
      <c r="B3199" s="1">
        <v>45817</v>
      </c>
      <c r="C3199">
        <f>YEAR(OrdersTable[[#This Row],[Order Date]])</f>
        <v>2025</v>
      </c>
      <c r="D3199" s="2">
        <f>DATE(YEAR(OrdersTable[[#This Row],[Order Date]]),MONTH(OrdersTable[[#This Row],[Order Date]]),1)</f>
        <v>45809</v>
      </c>
      <c r="E3199">
        <f>MONTH(OrdersTable[[#This Row],[Order Date]])</f>
        <v>6</v>
      </c>
      <c r="F3199" t="s">
        <v>627</v>
      </c>
      <c r="G3199" t="str">
        <f>IF(OrdersTable[[#This Row],[Order Date]]=_xlfn.MINIFS(Order_Date, Customer_ID, OrdersTable[[#This Row],[Customer ID]]), "New", "Repeat")</f>
        <v>New</v>
      </c>
      <c r="H3199" t="s">
        <v>128</v>
      </c>
      <c r="I3199" t="str">
        <f>INDEX(State!B:B,MATCH(OrdersTable[[#This Row],[State]],State!A:A,0))</f>
        <v>DL</v>
      </c>
      <c r="J3199" t="str">
        <f>INDEX(State!C:C,MATCH(OrdersTable[[#This Row],[State Code]],State!B:B,0))</f>
        <v>North</v>
      </c>
      <c r="K3199" t="s">
        <v>129</v>
      </c>
      <c r="L3199" t="s">
        <v>50</v>
      </c>
      <c r="M3199" t="s">
        <v>152</v>
      </c>
      <c r="N3199" t="str">
        <f>INDEX(Products!B:B,MATCH(OrdersTable[[#This Row],[Product ID]],Products!A:A,0))</f>
        <v>Green Tea (100 bags)</v>
      </c>
      <c r="O3199" t="str">
        <f>INDEX(Products!C:C,MATCH(OrdersTable[[#This Row],[Product ID]],Products!A:A,0))</f>
        <v>Wellness</v>
      </c>
      <c r="P3199">
        <v>2</v>
      </c>
      <c r="Q3199" s="5">
        <v>399</v>
      </c>
      <c r="R3199" s="74">
        <v>0.35</v>
      </c>
      <c r="S3199" s="75">
        <f>OrdersTable[[#This Row],[Quantity]]*OrdersTable[[#This Row],[Unit Price]]</f>
        <v>798</v>
      </c>
      <c r="T3199" s="5">
        <f>OrdersTable[[#This Row],[Gross Sale]]*OrdersTable[[#This Row],[Discount_Clean2]]</f>
        <v>279.29999999999995</v>
      </c>
      <c r="U3199" s="5">
        <f>OrdersTable[[#This Row],[Gross Sale]]-OrdersTable[[#This Row],[Discount Amount]]</f>
        <v>518.70000000000005</v>
      </c>
      <c r="V3199" s="77">
        <f>INDEX(Products!E:E,MATCH(OrdersTable[[#This Row],[Product ID]],Products!A:A,0))</f>
        <v>128</v>
      </c>
      <c r="W3199" s="77">
        <f>OrdersTable[[#This Row],[Quantity]]*OrdersTable[[#This Row],[Unit Cost]]</f>
        <v>256</v>
      </c>
      <c r="X3199" s="77">
        <f>'Dropdown Lists'!$I$2*(1+OrdersTable[[#This Row],[Returned]])</f>
        <v>60</v>
      </c>
      <c r="Y3199" s="76">
        <f>OrdersTable[[#This Row],[Net Revenue]]-OrdersTable[[#This Row],[COGS]]-OrdersTable[[#This Row],[Shipping Cost]]</f>
        <v>202.70000000000005</v>
      </c>
      <c r="Z3199" s="78">
        <f>IFERROR(OrdersTable[[#This Row],[Profit]]/OrdersTable[[#This Row],[Net Revenue]],0)</f>
        <v>0.39078465394254874</v>
      </c>
      <c r="AA3199" t="s">
        <v>4074</v>
      </c>
      <c r="AB3199" s="79">
        <v>45818</v>
      </c>
      <c r="AC3199">
        <f>OrdersTable[[#This Row],[Delivery Date]]-OrdersTable[[#This Row],[Order Date]]</f>
        <v>1</v>
      </c>
      <c r="AD3199" t="str">
        <f>IF(OrdersTable[[#This Row],[Delivery Days]]&lt;=2, "Express (≤2d)", IF(OrdersTable[[#This Row],[Delivery Days]]&lt;=4, "Standard (3-4d)", "Delayed (5d+)"))</f>
        <v>Express (≤2d)</v>
      </c>
      <c r="AE3199">
        <v>4</v>
      </c>
      <c r="AF3199">
        <v>0</v>
      </c>
    </row>
    <row r="3200" spans="1:32" ht="15" x14ac:dyDescent="0.35">
      <c r="A3200" t="s">
        <v>4613</v>
      </c>
      <c r="B3200" s="1">
        <v>45817</v>
      </c>
      <c r="C3200">
        <f>YEAR(OrdersTable[[#This Row],[Order Date]])</f>
        <v>2025</v>
      </c>
      <c r="D3200" s="2">
        <f>DATE(YEAR(OrdersTable[[#This Row],[Order Date]]),MONTH(OrdersTable[[#This Row],[Order Date]]),1)</f>
        <v>45809</v>
      </c>
      <c r="E3200">
        <f>MONTH(OrdersTable[[#This Row],[Order Date]])</f>
        <v>6</v>
      </c>
      <c r="F3200" t="s">
        <v>4614</v>
      </c>
      <c r="G3200" t="str">
        <f>IF(OrdersTable[[#This Row],[Order Date]]=_xlfn.MINIFS(Order_Date, Customer_ID, OrdersTable[[#This Row],[Customer ID]]), "New", "Repeat")</f>
        <v>New</v>
      </c>
      <c r="H3200" t="s">
        <v>32</v>
      </c>
      <c r="I3200" t="str">
        <f>INDEX(State!B:B,MATCH(OrdersTable[[#This Row],[State]],State!A:A,0))</f>
        <v>BR</v>
      </c>
      <c r="J3200" t="str">
        <f>INDEX(State!C:C,MATCH(OrdersTable[[#This Row],[State Code]],State!B:B,0))</f>
        <v>East</v>
      </c>
      <c r="K3200" t="s">
        <v>33</v>
      </c>
      <c r="L3200" t="s">
        <v>16</v>
      </c>
      <c r="M3200" t="s">
        <v>34</v>
      </c>
      <c r="N3200" t="str">
        <f>INDEX(Products!B:B,MATCH(OrdersTable[[#This Row],[Product ID]],Products!A:A,0))</f>
        <v>Flip Flops</v>
      </c>
      <c r="O3200" t="str">
        <f>INDEX(Products!C:C,MATCH(OrdersTable[[#This Row],[Product ID]],Products!A:A,0))</f>
        <v>Footwear</v>
      </c>
      <c r="P3200">
        <v>1</v>
      </c>
      <c r="Q3200" s="5">
        <v>399</v>
      </c>
      <c r="R3200" s="74">
        <v>0.15</v>
      </c>
      <c r="S3200" s="75">
        <f>OrdersTable[[#This Row],[Quantity]]*OrdersTable[[#This Row],[Unit Price]]</f>
        <v>399</v>
      </c>
      <c r="T3200" s="5">
        <f>OrdersTable[[#This Row],[Gross Sale]]*OrdersTable[[#This Row],[Discount_Clean2]]</f>
        <v>59.849999999999994</v>
      </c>
      <c r="U3200" s="5">
        <f>OrdersTable[[#This Row],[Gross Sale]]-OrdersTable[[#This Row],[Discount Amount]]</f>
        <v>339.15</v>
      </c>
      <c r="V3200" s="77">
        <f>INDEX(Products!E:E,MATCH(OrdersTable[[#This Row],[Product ID]],Products!A:A,0))</f>
        <v>152</v>
      </c>
      <c r="W3200" s="77">
        <f>OrdersTable[[#This Row],[Quantity]]*OrdersTable[[#This Row],[Unit Cost]]</f>
        <v>152</v>
      </c>
      <c r="X3200" s="77">
        <f>'Dropdown Lists'!$I$2*(1+OrdersTable[[#This Row],[Returned]])</f>
        <v>60</v>
      </c>
      <c r="Y3200" s="76">
        <f>OrdersTable[[#This Row],[Net Revenue]]-OrdersTable[[#This Row],[COGS]]-OrdersTable[[#This Row],[Shipping Cost]]</f>
        <v>127.14999999999998</v>
      </c>
      <c r="Z3200" s="78">
        <f>IFERROR(OrdersTable[[#This Row],[Profit]]/OrdersTable[[#This Row],[Net Revenue]],0)</f>
        <v>0.37490785787999409</v>
      </c>
      <c r="AA3200" t="s">
        <v>4450</v>
      </c>
      <c r="AB3200" s="79">
        <v>45821</v>
      </c>
      <c r="AC3200">
        <f>OrdersTable[[#This Row],[Delivery Date]]-OrdersTable[[#This Row],[Order Date]]</f>
        <v>4</v>
      </c>
      <c r="AD3200" t="str">
        <f>IF(OrdersTable[[#This Row],[Delivery Days]]&lt;=2, "Express (≤2d)", IF(OrdersTable[[#This Row],[Delivery Days]]&lt;=4, "Standard (3-4d)", "Delayed (5d+)"))</f>
        <v>Standard (3-4d)</v>
      </c>
      <c r="AF3200">
        <v>0</v>
      </c>
    </row>
    <row r="3201" spans="1:32" ht="15" x14ac:dyDescent="0.35">
      <c r="A3201" t="s">
        <v>2156</v>
      </c>
      <c r="B3201" s="1">
        <v>45817</v>
      </c>
      <c r="C3201">
        <f>YEAR(OrdersTable[[#This Row],[Order Date]])</f>
        <v>2025</v>
      </c>
      <c r="D3201" s="2">
        <f>DATE(YEAR(OrdersTable[[#This Row],[Order Date]]),MONTH(OrdersTable[[#This Row],[Order Date]]),1)</f>
        <v>45809</v>
      </c>
      <c r="E3201">
        <f>MONTH(OrdersTable[[#This Row],[Order Date]])</f>
        <v>6</v>
      </c>
      <c r="F3201" t="s">
        <v>2157</v>
      </c>
      <c r="G3201" t="str">
        <f>IF(OrdersTable[[#This Row],[Order Date]]=_xlfn.MINIFS(Order_Date, Customer_ID, OrdersTable[[#This Row],[Customer ID]]), "New", "Repeat")</f>
        <v>New</v>
      </c>
      <c r="H3201" t="s">
        <v>71</v>
      </c>
      <c r="I3201" t="str">
        <f>INDEX(State!B:B,MATCH(OrdersTable[[#This Row],[State]],State!A:A,0))</f>
        <v>MH</v>
      </c>
      <c r="J3201" t="str">
        <f>INDEX(State!C:C,MATCH(OrdersTable[[#This Row],[State Code]],State!B:B,0))</f>
        <v>West</v>
      </c>
      <c r="K3201" t="s">
        <v>72</v>
      </c>
      <c r="L3201" t="s">
        <v>50</v>
      </c>
      <c r="M3201" t="s">
        <v>61</v>
      </c>
      <c r="N3201" t="str">
        <f>INDEX(Products!B:B,MATCH(OrdersTable[[#This Row],[Product ID]],Products!A:A,0))</f>
        <v>Multivitamin Gummies</v>
      </c>
      <c r="O3201" t="str">
        <f>INDEX(Products!C:C,MATCH(OrdersTable[[#This Row],[Product ID]],Products!A:A,0))</f>
        <v>Wellness</v>
      </c>
      <c r="P3201">
        <v>1</v>
      </c>
      <c r="Q3201" s="5">
        <v>699</v>
      </c>
      <c r="R3201" s="74">
        <v>0.2</v>
      </c>
      <c r="S3201" s="75">
        <f>OrdersTable[[#This Row],[Quantity]]*OrdersTable[[#This Row],[Unit Price]]</f>
        <v>699</v>
      </c>
      <c r="T3201" s="5">
        <f>OrdersTable[[#This Row],[Gross Sale]]*OrdersTable[[#This Row],[Discount_Clean2]]</f>
        <v>139.80000000000001</v>
      </c>
      <c r="U3201" s="5">
        <f>OrdersTable[[#This Row],[Gross Sale]]-OrdersTable[[#This Row],[Discount Amount]]</f>
        <v>559.20000000000005</v>
      </c>
      <c r="V3201" s="77">
        <f>INDEX(Products!E:E,MATCH(OrdersTable[[#This Row],[Product ID]],Products!A:A,0))</f>
        <v>238</v>
      </c>
      <c r="W3201" s="77">
        <f>OrdersTable[[#This Row],[Quantity]]*OrdersTable[[#This Row],[Unit Cost]]</f>
        <v>238</v>
      </c>
      <c r="X3201" s="77">
        <f>'Dropdown Lists'!$I$2*(1+OrdersTable[[#This Row],[Returned]])</f>
        <v>60</v>
      </c>
      <c r="Y3201" s="76">
        <f>OrdersTable[[#This Row],[Net Revenue]]-OrdersTable[[#This Row],[COGS]]-OrdersTable[[#This Row],[Shipping Cost]]</f>
        <v>261.20000000000005</v>
      </c>
      <c r="Z3201" s="78">
        <f>IFERROR(OrdersTable[[#This Row],[Profit]]/OrdersTable[[#This Row],[Net Revenue]],0)</f>
        <v>0.46709585121602293</v>
      </c>
      <c r="AA3201" t="s">
        <v>18</v>
      </c>
      <c r="AB3201" s="79">
        <v>45821</v>
      </c>
      <c r="AC3201">
        <f>OrdersTable[[#This Row],[Delivery Date]]-OrdersTable[[#This Row],[Order Date]]</f>
        <v>4</v>
      </c>
      <c r="AD3201" t="str">
        <f>IF(OrdersTable[[#This Row],[Delivery Days]]&lt;=2, "Express (≤2d)", IF(OrdersTable[[#This Row],[Delivery Days]]&lt;=4, "Standard (3-4d)", "Delayed (5d+)"))</f>
        <v>Standard (3-4d)</v>
      </c>
      <c r="AE3201">
        <v>3</v>
      </c>
      <c r="AF3201">
        <v>0</v>
      </c>
    </row>
    <row r="3202" spans="1:32" ht="15" x14ac:dyDescent="0.35">
      <c r="A3202" t="s">
        <v>6373</v>
      </c>
      <c r="B3202" s="1">
        <v>45817</v>
      </c>
      <c r="C3202">
        <f>YEAR(OrdersTable[[#This Row],[Order Date]])</f>
        <v>2025</v>
      </c>
      <c r="D3202" s="2">
        <f>DATE(YEAR(OrdersTable[[#This Row],[Order Date]]),MONTH(OrdersTable[[#This Row],[Order Date]]),1)</f>
        <v>45809</v>
      </c>
      <c r="E3202">
        <f>MONTH(OrdersTable[[#This Row],[Order Date]])</f>
        <v>6</v>
      </c>
      <c r="F3202" t="s">
        <v>643</v>
      </c>
      <c r="G3202" t="str">
        <f>IF(OrdersTable[[#This Row],[Order Date]]=_xlfn.MINIFS(Order_Date, Customer_ID, OrdersTable[[#This Row],[Customer ID]]), "New", "Repeat")</f>
        <v>New</v>
      </c>
      <c r="H3202" t="s">
        <v>95</v>
      </c>
      <c r="I3202" t="str">
        <f>INDEX(State!B:B,MATCH(OrdersTable[[#This Row],[State]],State!A:A,0))</f>
        <v>TG</v>
      </c>
      <c r="J3202" t="str">
        <f>INDEX(State!C:C,MATCH(OrdersTable[[#This Row],[State Code]],State!B:B,0))</f>
        <v>South</v>
      </c>
      <c r="K3202" t="s">
        <v>96</v>
      </c>
      <c r="L3202" t="s">
        <v>65</v>
      </c>
      <c r="M3202" t="s">
        <v>160</v>
      </c>
      <c r="N3202" t="str">
        <f>INDEX(Products!B:B,MATCH(OrdersTable[[#This Row],[Product ID]],Products!A:A,0))</f>
        <v>Niacinamide Toner</v>
      </c>
      <c r="O3202" t="str">
        <f>INDEX(Products!C:C,MATCH(OrdersTable[[#This Row],[Product ID]],Products!A:A,0))</f>
        <v>Skincare</v>
      </c>
      <c r="P3202">
        <v>2</v>
      </c>
      <c r="Q3202" s="5">
        <v>399</v>
      </c>
      <c r="R3202" s="74">
        <v>0.3</v>
      </c>
      <c r="S3202" s="75">
        <f>OrdersTable[[#This Row],[Quantity]]*OrdersTable[[#This Row],[Unit Price]]</f>
        <v>798</v>
      </c>
      <c r="T3202" s="5">
        <f>OrdersTable[[#This Row],[Gross Sale]]*OrdersTable[[#This Row],[Discount_Clean2]]</f>
        <v>239.39999999999998</v>
      </c>
      <c r="U3202" s="5">
        <f>OrdersTable[[#This Row],[Gross Sale]]-OrdersTable[[#This Row],[Discount Amount]]</f>
        <v>558.6</v>
      </c>
      <c r="V3202" s="77">
        <f>INDEX(Products!E:E,MATCH(OrdersTable[[#This Row],[Product ID]],Products!A:A,0))</f>
        <v>112</v>
      </c>
      <c r="W3202" s="77">
        <f>OrdersTable[[#This Row],[Quantity]]*OrdersTable[[#This Row],[Unit Cost]]</f>
        <v>224</v>
      </c>
      <c r="X3202" s="77">
        <f>'Dropdown Lists'!$I$2*(1+OrdersTable[[#This Row],[Returned]])</f>
        <v>60</v>
      </c>
      <c r="Y3202" s="76">
        <f>OrdersTable[[#This Row],[Net Revenue]]-OrdersTable[[#This Row],[COGS]]-OrdersTable[[#This Row],[Shipping Cost]]</f>
        <v>274.60000000000002</v>
      </c>
      <c r="Z3202" s="78">
        <f>IFERROR(OrdersTable[[#This Row],[Profit]]/OrdersTable[[#This Row],[Net Revenue]],0)</f>
        <v>0.49158610812746151</v>
      </c>
      <c r="AA3202" t="s">
        <v>18</v>
      </c>
      <c r="AB3202" s="79">
        <v>45820</v>
      </c>
      <c r="AC3202">
        <f>OrdersTable[[#This Row],[Delivery Date]]-OrdersTable[[#This Row],[Order Date]]</f>
        <v>3</v>
      </c>
      <c r="AD3202" t="str">
        <f>IF(OrdersTable[[#This Row],[Delivery Days]]&lt;=2, "Express (≤2d)", IF(OrdersTable[[#This Row],[Delivery Days]]&lt;=4, "Standard (3-4d)", "Delayed (5d+)"))</f>
        <v>Standard (3-4d)</v>
      </c>
      <c r="AE3202">
        <v>4</v>
      </c>
      <c r="AF3202">
        <v>0</v>
      </c>
    </row>
    <row r="3203" spans="1:32" ht="15" x14ac:dyDescent="0.35">
      <c r="A3203" t="s">
        <v>6720</v>
      </c>
      <c r="B3203" s="1">
        <v>45818</v>
      </c>
      <c r="C3203">
        <f>YEAR(OrdersTable[[#This Row],[Order Date]])</f>
        <v>2025</v>
      </c>
      <c r="D3203" s="2">
        <f>DATE(YEAR(OrdersTable[[#This Row],[Order Date]]),MONTH(OrdersTable[[#This Row],[Order Date]]),1)</f>
        <v>45809</v>
      </c>
      <c r="E3203">
        <f>MONTH(OrdersTable[[#This Row],[Order Date]])</f>
        <v>6</v>
      </c>
      <c r="F3203" t="s">
        <v>1222</v>
      </c>
      <c r="G3203" t="str">
        <f>IF(OrdersTable[[#This Row],[Order Date]]=_xlfn.MINIFS(Order_Date, Customer_ID, OrdersTable[[#This Row],[Customer ID]]), "New", "Repeat")</f>
        <v>Repeat</v>
      </c>
      <c r="H3203" t="s">
        <v>210</v>
      </c>
      <c r="I3203" t="str">
        <f>INDEX(State!B:B,MATCH(OrdersTable[[#This Row],[State]],State!A:A,0))</f>
        <v>JK</v>
      </c>
      <c r="J3203" t="str">
        <f>INDEX(State!C:C,MATCH(OrdersTable[[#This Row],[State Code]],State!B:B,0))</f>
        <v>North</v>
      </c>
      <c r="K3203" t="s">
        <v>415</v>
      </c>
      <c r="L3203" t="s">
        <v>65</v>
      </c>
      <c r="M3203" t="s">
        <v>109</v>
      </c>
      <c r="N3203" t="str">
        <f>INDEX(Products!B:B,MATCH(OrdersTable[[#This Row],[Product ID]],Products!A:A,0))</f>
        <v>Onion Hair Oil</v>
      </c>
      <c r="O3203" t="str">
        <f>INDEX(Products!C:C,MATCH(OrdersTable[[#This Row],[Product ID]],Products!A:A,0))</f>
        <v>Haircare</v>
      </c>
      <c r="P3203">
        <v>3</v>
      </c>
      <c r="Q3203" s="5">
        <v>349</v>
      </c>
      <c r="R3203" s="74">
        <v>0.4</v>
      </c>
      <c r="S3203" s="75">
        <f>OrdersTable[[#This Row],[Quantity]]*OrdersTable[[#This Row],[Unit Price]]</f>
        <v>1047</v>
      </c>
      <c r="T3203" s="5">
        <f>OrdersTable[[#This Row],[Gross Sale]]*OrdersTable[[#This Row],[Discount_Clean2]]</f>
        <v>418.8</v>
      </c>
      <c r="U3203" s="5">
        <f>OrdersTable[[#This Row],[Gross Sale]]-OrdersTable[[#This Row],[Discount Amount]]</f>
        <v>628.20000000000005</v>
      </c>
      <c r="V3203" s="77">
        <f>INDEX(Products!E:E,MATCH(OrdersTable[[#This Row],[Product ID]],Products!A:A,0))</f>
        <v>105</v>
      </c>
      <c r="W3203" s="77">
        <f>OrdersTable[[#This Row],[Quantity]]*OrdersTable[[#This Row],[Unit Cost]]</f>
        <v>315</v>
      </c>
      <c r="X3203" s="77">
        <f>'Dropdown Lists'!$I$2*(1+OrdersTable[[#This Row],[Returned]])</f>
        <v>60</v>
      </c>
      <c r="Y3203" s="76">
        <f>OrdersTable[[#This Row],[Net Revenue]]-OrdersTable[[#This Row],[COGS]]-OrdersTable[[#This Row],[Shipping Cost]]</f>
        <v>253.20000000000005</v>
      </c>
      <c r="Z3203" s="78">
        <f>IFERROR(OrdersTable[[#This Row],[Profit]]/OrdersTable[[#This Row],[Net Revenue]],0)</f>
        <v>0.40305635148042029</v>
      </c>
      <c r="AA3203" t="s">
        <v>2522</v>
      </c>
      <c r="AB3203" s="79">
        <v>45822</v>
      </c>
      <c r="AC3203">
        <f>OrdersTable[[#This Row],[Delivery Date]]-OrdersTable[[#This Row],[Order Date]]</f>
        <v>4</v>
      </c>
      <c r="AD3203" t="str">
        <f>IF(OrdersTable[[#This Row],[Delivery Days]]&lt;=2, "Express (≤2d)", IF(OrdersTable[[#This Row],[Delivery Days]]&lt;=4, "Standard (3-4d)", "Delayed (5d+)"))</f>
        <v>Standard (3-4d)</v>
      </c>
      <c r="AF3203">
        <v>0</v>
      </c>
    </row>
    <row r="3204" spans="1:32" ht="15" x14ac:dyDescent="0.35">
      <c r="A3204" t="s">
        <v>4705</v>
      </c>
      <c r="B3204" s="1">
        <v>45818</v>
      </c>
      <c r="C3204">
        <f>YEAR(OrdersTable[[#This Row],[Order Date]])</f>
        <v>2025</v>
      </c>
      <c r="D3204" s="2">
        <f>DATE(YEAR(OrdersTable[[#This Row],[Order Date]]),MONTH(OrdersTable[[#This Row],[Order Date]]),1)</f>
        <v>45809</v>
      </c>
      <c r="E3204">
        <f>MONTH(OrdersTable[[#This Row],[Order Date]])</f>
        <v>6</v>
      </c>
      <c r="F3204" t="s">
        <v>825</v>
      </c>
      <c r="G3204" t="str">
        <f>IF(OrdersTable[[#This Row],[Order Date]]=_xlfn.MINIFS(Order_Date, Customer_ID, OrdersTable[[#This Row],[Customer ID]]), "New", "Repeat")</f>
        <v>Repeat</v>
      </c>
      <c r="H3204" t="s">
        <v>184</v>
      </c>
      <c r="I3204" t="str">
        <f>INDEX(State!B:B,MATCH(OrdersTable[[#This Row],[State]],State!A:A,0))</f>
        <v>UK</v>
      </c>
      <c r="J3204" t="str">
        <f>INDEX(State!C:C,MATCH(OrdersTable[[#This Row],[State Code]],State!B:B,0))</f>
        <v>North</v>
      </c>
      <c r="K3204" t="s">
        <v>185</v>
      </c>
      <c r="L3204" t="s">
        <v>65</v>
      </c>
      <c r="M3204" t="s">
        <v>66</v>
      </c>
      <c r="N3204" t="str">
        <f>INDEX(Products!B:B,MATCH(OrdersTable[[#This Row],[Product ID]],Products!A:A,0))</f>
        <v>Sunscreen SPF 50</v>
      </c>
      <c r="O3204" t="str">
        <f>INDEX(Products!C:C,MATCH(OrdersTable[[#This Row],[Product ID]],Products!A:A,0))</f>
        <v>Skincare</v>
      </c>
      <c r="P3204">
        <v>1</v>
      </c>
      <c r="Q3204" s="5">
        <v>449</v>
      </c>
      <c r="R3204" s="74">
        <v>0.15</v>
      </c>
      <c r="S3204" s="75">
        <f>OrdersTable[[#This Row],[Quantity]]*OrdersTable[[#This Row],[Unit Price]]</f>
        <v>449</v>
      </c>
      <c r="T3204" s="5">
        <f>OrdersTable[[#This Row],[Gross Sale]]*OrdersTable[[#This Row],[Discount_Clean2]]</f>
        <v>67.349999999999994</v>
      </c>
      <c r="U3204" s="5">
        <f>OrdersTable[[#This Row],[Gross Sale]]-OrdersTable[[#This Row],[Discount Amount]]</f>
        <v>381.65</v>
      </c>
      <c r="V3204" s="77">
        <f>INDEX(Products!E:E,MATCH(OrdersTable[[#This Row],[Product ID]],Products!A:A,0))</f>
        <v>144</v>
      </c>
      <c r="W3204" s="77">
        <f>OrdersTable[[#This Row],[Quantity]]*OrdersTable[[#This Row],[Unit Cost]]</f>
        <v>144</v>
      </c>
      <c r="X3204" s="77">
        <f>'Dropdown Lists'!$I$2*(1+OrdersTable[[#This Row],[Returned]])</f>
        <v>60</v>
      </c>
      <c r="Y3204" s="76">
        <f>OrdersTable[[#This Row],[Net Revenue]]-OrdersTable[[#This Row],[COGS]]-OrdersTable[[#This Row],[Shipping Cost]]</f>
        <v>177.64999999999998</v>
      </c>
      <c r="Z3204" s="78">
        <f>IFERROR(OrdersTable[[#This Row],[Profit]]/OrdersTable[[#This Row],[Net Revenue]],0)</f>
        <v>0.465478841870824</v>
      </c>
      <c r="AA3204" t="s">
        <v>4450</v>
      </c>
      <c r="AB3204" s="79">
        <v>45821</v>
      </c>
      <c r="AC3204">
        <f>OrdersTable[[#This Row],[Delivery Date]]-OrdersTable[[#This Row],[Order Date]]</f>
        <v>3</v>
      </c>
      <c r="AD3204" t="str">
        <f>IF(OrdersTable[[#This Row],[Delivery Days]]&lt;=2, "Express (≤2d)", IF(OrdersTable[[#This Row],[Delivery Days]]&lt;=4, "Standard (3-4d)", "Delayed (5d+)"))</f>
        <v>Standard (3-4d)</v>
      </c>
      <c r="AE3204">
        <v>3</v>
      </c>
      <c r="AF3204">
        <v>0</v>
      </c>
    </row>
    <row r="3205" spans="1:32" ht="15" x14ac:dyDescent="0.35">
      <c r="A3205" t="s">
        <v>6172</v>
      </c>
      <c r="B3205" s="1">
        <v>45818</v>
      </c>
      <c r="C3205">
        <f>YEAR(OrdersTable[[#This Row],[Order Date]])</f>
        <v>2025</v>
      </c>
      <c r="D3205" s="2">
        <f>DATE(YEAR(OrdersTable[[#This Row],[Order Date]]),MONTH(OrdersTable[[#This Row],[Order Date]]),1)</f>
        <v>45809</v>
      </c>
      <c r="E3205">
        <f>MONTH(OrdersTable[[#This Row],[Order Date]])</f>
        <v>6</v>
      </c>
      <c r="F3205" t="s">
        <v>772</v>
      </c>
      <c r="G3205" t="str">
        <f>IF(OrdersTable[[#This Row],[Order Date]]=_xlfn.MINIFS(Order_Date, Customer_ID, OrdersTable[[#This Row],[Customer ID]]), "New", "Repeat")</f>
        <v>Repeat</v>
      </c>
      <c r="H3205" t="s">
        <v>54</v>
      </c>
      <c r="I3205" t="str">
        <f>INDEX(State!B:B,MATCH(OrdersTable[[#This Row],[State]],State!A:A,0))</f>
        <v>RJ</v>
      </c>
      <c r="J3205" t="str">
        <f>INDEX(State!C:C,MATCH(OrdersTable[[#This Row],[State Code]],State!B:B,0))</f>
        <v>North</v>
      </c>
      <c r="K3205" t="s">
        <v>55</v>
      </c>
      <c r="L3205" t="s">
        <v>16</v>
      </c>
      <c r="M3205" t="s">
        <v>17</v>
      </c>
      <c r="N3205" t="str">
        <f>INDEX(Products!B:B,MATCH(OrdersTable[[#This Row],[Product ID]],Products!A:A,0))</f>
        <v>Casual Sneakers</v>
      </c>
      <c r="O3205" t="str">
        <f>INDEX(Products!C:C,MATCH(OrdersTable[[#This Row],[Product ID]],Products!A:A,0))</f>
        <v>Footwear</v>
      </c>
      <c r="P3205">
        <v>2</v>
      </c>
      <c r="Q3205" s="5">
        <v>2199</v>
      </c>
      <c r="R3205" s="74">
        <v>0.2</v>
      </c>
      <c r="S3205" s="75">
        <f>OrdersTable[[#This Row],[Quantity]]*OrdersTable[[#This Row],[Unit Price]]</f>
        <v>4398</v>
      </c>
      <c r="T3205" s="5">
        <f>OrdersTable[[#This Row],[Gross Sale]]*OrdersTable[[#This Row],[Discount_Clean2]]</f>
        <v>879.6</v>
      </c>
      <c r="U3205" s="5">
        <f>OrdersTable[[#This Row],[Gross Sale]]-OrdersTable[[#This Row],[Discount Amount]]</f>
        <v>3518.4</v>
      </c>
      <c r="V3205" s="77">
        <f>INDEX(Products!E:E,MATCH(OrdersTable[[#This Row],[Product ID]],Products!A:A,0))</f>
        <v>1034</v>
      </c>
      <c r="W3205" s="77">
        <f>OrdersTable[[#This Row],[Quantity]]*OrdersTable[[#This Row],[Unit Cost]]</f>
        <v>2068</v>
      </c>
      <c r="X3205" s="77">
        <f>'Dropdown Lists'!$I$2*(1+OrdersTable[[#This Row],[Returned]])</f>
        <v>60</v>
      </c>
      <c r="Y3205" s="76">
        <f>OrdersTable[[#This Row],[Net Revenue]]-OrdersTable[[#This Row],[COGS]]-OrdersTable[[#This Row],[Shipping Cost]]</f>
        <v>1390.4</v>
      </c>
      <c r="Z3205" s="78">
        <f>IFERROR(OrdersTable[[#This Row],[Profit]]/OrdersTable[[#This Row],[Net Revenue]],0)</f>
        <v>0.39517962710322874</v>
      </c>
      <c r="AA3205" t="s">
        <v>18</v>
      </c>
      <c r="AB3205" s="79">
        <v>45822</v>
      </c>
      <c r="AC3205">
        <f>OrdersTable[[#This Row],[Delivery Date]]-OrdersTable[[#This Row],[Order Date]]</f>
        <v>4</v>
      </c>
      <c r="AD3205" t="str">
        <f>IF(OrdersTable[[#This Row],[Delivery Days]]&lt;=2, "Express (≤2d)", IF(OrdersTable[[#This Row],[Delivery Days]]&lt;=4, "Standard (3-4d)", "Delayed (5d+)"))</f>
        <v>Standard (3-4d)</v>
      </c>
      <c r="AE3205">
        <v>4</v>
      </c>
      <c r="AF3205">
        <v>0</v>
      </c>
    </row>
    <row r="3206" spans="1:32" ht="15" x14ac:dyDescent="0.35">
      <c r="A3206" t="s">
        <v>6173</v>
      </c>
      <c r="B3206" s="1">
        <v>45818</v>
      </c>
      <c r="C3206">
        <f>YEAR(OrdersTable[[#This Row],[Order Date]])</f>
        <v>2025</v>
      </c>
      <c r="D3206" s="2">
        <f>DATE(YEAR(OrdersTable[[#This Row],[Order Date]]),MONTH(OrdersTable[[#This Row],[Order Date]]),1)</f>
        <v>45809</v>
      </c>
      <c r="E3206">
        <f>MONTH(OrdersTable[[#This Row],[Order Date]])</f>
        <v>6</v>
      </c>
      <c r="F3206" t="s">
        <v>164</v>
      </c>
      <c r="G3206" t="str">
        <f>IF(OrdersTable[[#This Row],[Order Date]]=_xlfn.MINIFS(Order_Date, Customer_ID, OrdersTable[[#This Row],[Customer ID]]), "New", "Repeat")</f>
        <v>Repeat</v>
      </c>
      <c r="H3206" t="s">
        <v>27</v>
      </c>
      <c r="I3206" t="str">
        <f>INDEX(State!B:B,MATCH(OrdersTable[[#This Row],[State]],State!A:A,0))</f>
        <v>WB</v>
      </c>
      <c r="J3206" t="str">
        <f>INDEX(State!C:C,MATCH(OrdersTable[[#This Row],[State Code]],State!B:B,0))</f>
        <v>East</v>
      </c>
      <c r="K3206" t="s">
        <v>28</v>
      </c>
      <c r="L3206" t="s">
        <v>65</v>
      </c>
      <c r="M3206" t="s">
        <v>73</v>
      </c>
      <c r="N3206" t="str">
        <f>INDEX(Products!B:B,MATCH(OrdersTable[[#This Row],[Product ID]],Products!A:A,0))</f>
        <v>Hydrating Face Wash</v>
      </c>
      <c r="O3206" t="str">
        <f>INDEX(Products!C:C,MATCH(OrdersTable[[#This Row],[Product ID]],Products!A:A,0))</f>
        <v>Skincare</v>
      </c>
      <c r="P3206">
        <v>2</v>
      </c>
      <c r="Q3206" s="5">
        <v>299</v>
      </c>
      <c r="R3206" s="74">
        <v>0.1</v>
      </c>
      <c r="S3206" s="75">
        <f>OrdersTable[[#This Row],[Quantity]]*OrdersTable[[#This Row],[Unit Price]]</f>
        <v>598</v>
      </c>
      <c r="T3206" s="5">
        <f>OrdersTable[[#This Row],[Gross Sale]]*OrdersTable[[#This Row],[Discount_Clean2]]</f>
        <v>59.800000000000004</v>
      </c>
      <c r="U3206" s="5">
        <f>OrdersTable[[#This Row],[Gross Sale]]-OrdersTable[[#This Row],[Discount Amount]]</f>
        <v>538.20000000000005</v>
      </c>
      <c r="V3206" s="77">
        <f>INDEX(Products!E:E,MATCH(OrdersTable[[#This Row],[Product ID]],Products!A:A,0))</f>
        <v>90</v>
      </c>
      <c r="W3206" s="77">
        <f>OrdersTable[[#This Row],[Quantity]]*OrdersTable[[#This Row],[Unit Cost]]</f>
        <v>180</v>
      </c>
      <c r="X3206" s="77">
        <f>'Dropdown Lists'!$I$2*(1+OrdersTable[[#This Row],[Returned]])</f>
        <v>60</v>
      </c>
      <c r="Y3206" s="76">
        <f>OrdersTable[[#This Row],[Net Revenue]]-OrdersTable[[#This Row],[COGS]]-OrdersTable[[#This Row],[Shipping Cost]]</f>
        <v>298.20000000000005</v>
      </c>
      <c r="Z3206" s="78">
        <f>IFERROR(OrdersTable[[#This Row],[Profit]]/OrdersTable[[#This Row],[Net Revenue]],0)</f>
        <v>0.55406911928651059</v>
      </c>
      <c r="AA3206" t="s">
        <v>18</v>
      </c>
      <c r="AB3206" s="79">
        <v>45821</v>
      </c>
      <c r="AC3206">
        <f>OrdersTable[[#This Row],[Delivery Date]]-OrdersTable[[#This Row],[Order Date]]</f>
        <v>3</v>
      </c>
      <c r="AD3206" t="str">
        <f>IF(OrdersTable[[#This Row],[Delivery Days]]&lt;=2, "Express (≤2d)", IF(OrdersTable[[#This Row],[Delivery Days]]&lt;=4, "Standard (3-4d)", "Delayed (5d+)"))</f>
        <v>Standard (3-4d)</v>
      </c>
      <c r="AE3206">
        <v>4</v>
      </c>
      <c r="AF3206">
        <v>0</v>
      </c>
    </row>
    <row r="3207" spans="1:32" ht="15" x14ac:dyDescent="0.35">
      <c r="A3207" t="s">
        <v>1566</v>
      </c>
      <c r="B3207" s="1">
        <v>45818</v>
      </c>
      <c r="C3207">
        <f>YEAR(OrdersTable[[#This Row],[Order Date]])</f>
        <v>2025</v>
      </c>
      <c r="D3207" s="2">
        <f>DATE(YEAR(OrdersTable[[#This Row],[Order Date]]),MONTH(OrdersTable[[#This Row],[Order Date]]),1)</f>
        <v>45809</v>
      </c>
      <c r="E3207">
        <f>MONTH(OrdersTable[[#This Row],[Order Date]])</f>
        <v>6</v>
      </c>
      <c r="F3207" t="s">
        <v>1181</v>
      </c>
      <c r="G3207" t="str">
        <f>IF(OrdersTable[[#This Row],[Order Date]]=_xlfn.MINIFS(Order_Date, Customer_ID, OrdersTable[[#This Row],[Customer ID]]), "New", "Repeat")</f>
        <v>Repeat</v>
      </c>
      <c r="H3207" t="s">
        <v>71</v>
      </c>
      <c r="I3207" t="str">
        <f>INDEX(State!B:B,MATCH(OrdersTable[[#This Row],[State]],State!A:A,0))</f>
        <v>MH</v>
      </c>
      <c r="J3207" t="str">
        <f>INDEX(State!C:C,MATCH(OrdersTable[[#This Row],[State Code]],State!B:B,0))</f>
        <v>West</v>
      </c>
      <c r="K3207" t="s">
        <v>72</v>
      </c>
      <c r="L3207" t="s">
        <v>39</v>
      </c>
      <c r="M3207" t="s">
        <v>576</v>
      </c>
      <c r="N3207" t="str">
        <f>INDEX(Products!B:B,MATCH(OrdersTable[[#This Row],[Product ID]],Products!A:A,0))</f>
        <v>Printed Saree</v>
      </c>
      <c r="O3207" t="str">
        <f>INDEX(Products!C:C,MATCH(OrdersTable[[#This Row],[Product ID]],Products!A:A,0))</f>
        <v>Apparel</v>
      </c>
      <c r="P3207">
        <v>1</v>
      </c>
      <c r="Q3207" s="5">
        <v>1999</v>
      </c>
      <c r="R3207" s="74">
        <v>0.05</v>
      </c>
      <c r="S3207" s="75">
        <f>OrdersTable[[#This Row],[Quantity]]*OrdersTable[[#This Row],[Unit Price]]</f>
        <v>1999</v>
      </c>
      <c r="T3207" s="5">
        <f>OrdersTable[[#This Row],[Gross Sale]]*OrdersTable[[#This Row],[Discount_Clean2]]</f>
        <v>99.95</v>
      </c>
      <c r="U3207" s="5">
        <f>OrdersTable[[#This Row],[Gross Sale]]-OrdersTable[[#This Row],[Discount Amount]]</f>
        <v>1899.05</v>
      </c>
      <c r="V3207" s="77">
        <f>INDEX(Products!E:E,MATCH(OrdersTable[[#This Row],[Product ID]],Products!A:A,0))</f>
        <v>880</v>
      </c>
      <c r="W3207" s="77">
        <f>OrdersTable[[#This Row],[Quantity]]*OrdersTable[[#This Row],[Unit Cost]]</f>
        <v>880</v>
      </c>
      <c r="X3207" s="77">
        <f>'Dropdown Lists'!$I$2*(1+OrdersTable[[#This Row],[Returned]])</f>
        <v>60</v>
      </c>
      <c r="Y3207" s="76">
        <f>OrdersTable[[#This Row],[Net Revenue]]-OrdersTable[[#This Row],[COGS]]-OrdersTable[[#This Row],[Shipping Cost]]</f>
        <v>959.05</v>
      </c>
      <c r="Z3207" s="78">
        <f>IFERROR(OrdersTable[[#This Row],[Profit]]/OrdersTable[[#This Row],[Net Revenue]],0)</f>
        <v>0.50501566572760059</v>
      </c>
      <c r="AA3207" t="s">
        <v>18</v>
      </c>
      <c r="AB3207" s="79">
        <v>45820</v>
      </c>
      <c r="AC3207">
        <f>OrdersTable[[#This Row],[Delivery Date]]-OrdersTable[[#This Row],[Order Date]]</f>
        <v>2</v>
      </c>
      <c r="AD3207" t="str">
        <f>IF(OrdersTable[[#This Row],[Delivery Days]]&lt;=2, "Express (≤2d)", IF(OrdersTable[[#This Row],[Delivery Days]]&lt;=4, "Standard (3-4d)", "Delayed (5d+)"))</f>
        <v>Express (≤2d)</v>
      </c>
      <c r="AF3207">
        <v>0</v>
      </c>
    </row>
    <row r="3208" spans="1:32" ht="15" x14ac:dyDescent="0.35">
      <c r="A3208" t="s">
        <v>998</v>
      </c>
      <c r="B3208" s="1">
        <v>45818</v>
      </c>
      <c r="C3208">
        <f>YEAR(OrdersTable[[#This Row],[Order Date]])</f>
        <v>2025</v>
      </c>
      <c r="D3208" s="2">
        <f>DATE(YEAR(OrdersTable[[#This Row],[Order Date]]),MONTH(OrdersTable[[#This Row],[Order Date]]),1)</f>
        <v>45809</v>
      </c>
      <c r="E3208">
        <f>MONTH(OrdersTable[[#This Row],[Order Date]])</f>
        <v>6</v>
      </c>
      <c r="F3208" t="s">
        <v>999</v>
      </c>
      <c r="G3208" t="str">
        <f>IF(OrdersTable[[#This Row],[Order Date]]=_xlfn.MINIFS(Order_Date, Customer_ID, OrdersTable[[#This Row],[Customer ID]]), "New", "Repeat")</f>
        <v>New</v>
      </c>
      <c r="H3208" t="s">
        <v>71</v>
      </c>
      <c r="I3208" t="str">
        <f>INDEX(State!B:B,MATCH(OrdersTable[[#This Row],[State]],State!A:A,0))</f>
        <v>MH</v>
      </c>
      <c r="J3208" t="str">
        <f>INDEX(State!C:C,MATCH(OrdersTable[[#This Row],[State Code]],State!B:B,0))</f>
        <v>West</v>
      </c>
      <c r="K3208" t="s">
        <v>72</v>
      </c>
      <c r="L3208" t="s">
        <v>23</v>
      </c>
      <c r="M3208" t="s">
        <v>255</v>
      </c>
      <c r="N3208" t="str">
        <f>INDEX(Products!B:B,MATCH(OrdersTable[[#This Row],[Product ID]],Products!A:A,0))</f>
        <v>Cotton Oversized T-Shirt</v>
      </c>
      <c r="O3208" t="str">
        <f>INDEX(Products!C:C,MATCH(OrdersTable[[#This Row],[Product ID]],Products!A:A,0))</f>
        <v>Apparel</v>
      </c>
      <c r="P3208">
        <v>1</v>
      </c>
      <c r="Q3208" s="5">
        <v>799</v>
      </c>
      <c r="R3208" s="74">
        <v>0</v>
      </c>
      <c r="S3208" s="75">
        <f>OrdersTable[[#This Row],[Quantity]]*OrdersTable[[#This Row],[Unit Price]]</f>
        <v>799</v>
      </c>
      <c r="T3208" s="5">
        <f>OrdersTable[[#This Row],[Gross Sale]]*OrdersTable[[#This Row],[Discount_Clean2]]</f>
        <v>0</v>
      </c>
      <c r="U3208" s="5">
        <f>OrdersTable[[#This Row],[Gross Sale]]-OrdersTable[[#This Row],[Discount Amount]]</f>
        <v>799</v>
      </c>
      <c r="V3208" s="77">
        <f>INDEX(Products!E:E,MATCH(OrdersTable[[#This Row],[Product ID]],Products!A:A,0))</f>
        <v>320</v>
      </c>
      <c r="W3208" s="77">
        <f>OrdersTable[[#This Row],[Quantity]]*OrdersTable[[#This Row],[Unit Cost]]</f>
        <v>320</v>
      </c>
      <c r="X3208" s="77">
        <f>'Dropdown Lists'!$I$2*(1+OrdersTable[[#This Row],[Returned]])</f>
        <v>60</v>
      </c>
      <c r="Y3208" s="76">
        <f>OrdersTable[[#This Row],[Net Revenue]]-OrdersTable[[#This Row],[COGS]]-OrdersTable[[#This Row],[Shipping Cost]]</f>
        <v>419</v>
      </c>
      <c r="Z3208" s="78">
        <f>IFERROR(OrdersTable[[#This Row],[Profit]]/OrdersTable[[#This Row],[Net Revenue]],0)</f>
        <v>0.52440550688360454</v>
      </c>
      <c r="AA3208" t="s">
        <v>18</v>
      </c>
      <c r="AB3208" s="79">
        <v>45820</v>
      </c>
      <c r="AC3208">
        <f>OrdersTable[[#This Row],[Delivery Date]]-OrdersTable[[#This Row],[Order Date]]</f>
        <v>2</v>
      </c>
      <c r="AD3208" t="str">
        <f>IF(OrdersTable[[#This Row],[Delivery Days]]&lt;=2, "Express (≤2d)", IF(OrdersTable[[#This Row],[Delivery Days]]&lt;=4, "Standard (3-4d)", "Delayed (5d+)"))</f>
        <v>Express (≤2d)</v>
      </c>
      <c r="AE3208">
        <v>4</v>
      </c>
      <c r="AF3208">
        <v>0</v>
      </c>
    </row>
    <row r="3209" spans="1:32" ht="15" x14ac:dyDescent="0.35">
      <c r="A3209" t="s">
        <v>5820</v>
      </c>
      <c r="B3209" s="1">
        <v>45818</v>
      </c>
      <c r="C3209">
        <f>YEAR(OrdersTable[[#This Row],[Order Date]])</f>
        <v>2025</v>
      </c>
      <c r="D3209" s="2">
        <f>DATE(YEAR(OrdersTable[[#This Row],[Order Date]]),MONTH(OrdersTable[[#This Row],[Order Date]]),1)</f>
        <v>45809</v>
      </c>
      <c r="E3209">
        <f>MONTH(OrdersTable[[#This Row],[Order Date]])</f>
        <v>6</v>
      </c>
      <c r="F3209" t="s">
        <v>1230</v>
      </c>
      <c r="G3209" t="str">
        <f>IF(OrdersTable[[#This Row],[Order Date]]=_xlfn.MINIFS(Order_Date, Customer_ID, OrdersTable[[#This Row],[Customer ID]]), "New", "Repeat")</f>
        <v>Repeat</v>
      </c>
      <c r="H3209" t="s">
        <v>71</v>
      </c>
      <c r="I3209" t="str">
        <f>INDEX(State!B:B,MATCH(OrdersTable[[#This Row],[State]],State!A:A,0))</f>
        <v>MH</v>
      </c>
      <c r="J3209" t="str">
        <f>INDEX(State!C:C,MATCH(OrdersTable[[#This Row],[State Code]],State!B:B,0))</f>
        <v>West</v>
      </c>
      <c r="K3209" t="s">
        <v>102</v>
      </c>
      <c r="L3209" t="s">
        <v>65</v>
      </c>
      <c r="M3209" t="s">
        <v>423</v>
      </c>
      <c r="N3209" t="str">
        <f>INDEX(Products!B:B,MATCH(OrdersTable[[#This Row],[Product ID]],Products!A:A,0))</f>
        <v>Power Bank 20000mAh</v>
      </c>
      <c r="O3209" t="str">
        <f>INDEX(Products!C:C,MATCH(OrdersTable[[#This Row],[Product ID]],Products!A:A,0))</f>
        <v>Electronics</v>
      </c>
      <c r="P3209">
        <v>2</v>
      </c>
      <c r="Q3209" s="5">
        <v>1799</v>
      </c>
      <c r="R3209" s="74">
        <v>0.3</v>
      </c>
      <c r="S3209" s="75">
        <f>OrdersTable[[#This Row],[Quantity]]*OrdersTable[[#This Row],[Unit Price]]</f>
        <v>3598</v>
      </c>
      <c r="T3209" s="5">
        <f>OrdersTable[[#This Row],[Gross Sale]]*OrdersTable[[#This Row],[Discount_Clean2]]</f>
        <v>1079.3999999999999</v>
      </c>
      <c r="U3209" s="5">
        <f>OrdersTable[[#This Row],[Gross Sale]]-OrdersTable[[#This Row],[Discount Amount]]</f>
        <v>2518.6000000000004</v>
      </c>
      <c r="V3209" s="77">
        <f>INDEX(Products!E:E,MATCH(OrdersTable[[#This Row],[Product ID]],Products!A:A,0))</f>
        <v>1079</v>
      </c>
      <c r="W3209" s="77">
        <f>OrdersTable[[#This Row],[Quantity]]*OrdersTable[[#This Row],[Unit Cost]]</f>
        <v>2158</v>
      </c>
      <c r="X3209" s="77">
        <f>'Dropdown Lists'!$I$2*(1+OrdersTable[[#This Row],[Returned]])</f>
        <v>60</v>
      </c>
      <c r="Y3209" s="76">
        <f>OrdersTable[[#This Row],[Net Revenue]]-OrdersTable[[#This Row],[COGS]]-OrdersTable[[#This Row],[Shipping Cost]]</f>
        <v>300.60000000000036</v>
      </c>
      <c r="Z3209" s="78">
        <f>IFERROR(OrdersTable[[#This Row],[Profit]]/OrdersTable[[#This Row],[Net Revenue]],0)</f>
        <v>0.11935202096402776</v>
      </c>
      <c r="AA3209" t="s">
        <v>18</v>
      </c>
      <c r="AB3209" s="79">
        <v>45819</v>
      </c>
      <c r="AC3209">
        <f>OrdersTable[[#This Row],[Delivery Date]]-OrdersTable[[#This Row],[Order Date]]</f>
        <v>1</v>
      </c>
      <c r="AD3209" t="str">
        <f>IF(OrdersTable[[#This Row],[Delivery Days]]&lt;=2, "Express (≤2d)", IF(OrdersTable[[#This Row],[Delivery Days]]&lt;=4, "Standard (3-4d)", "Delayed (5d+)"))</f>
        <v>Express (≤2d)</v>
      </c>
      <c r="AE3209">
        <v>5</v>
      </c>
      <c r="AF3209">
        <v>0</v>
      </c>
    </row>
    <row r="3210" spans="1:32" ht="15" x14ac:dyDescent="0.35">
      <c r="A3210" t="s">
        <v>4033</v>
      </c>
      <c r="B3210" s="1">
        <v>45818</v>
      </c>
      <c r="C3210">
        <f>YEAR(OrdersTable[[#This Row],[Order Date]])</f>
        <v>2025</v>
      </c>
      <c r="D3210" s="2">
        <f>DATE(YEAR(OrdersTable[[#This Row],[Order Date]]),MONTH(OrdersTable[[#This Row],[Order Date]]),1)</f>
        <v>45809</v>
      </c>
      <c r="E3210">
        <f>MONTH(OrdersTable[[#This Row],[Order Date]])</f>
        <v>6</v>
      </c>
      <c r="F3210" t="s">
        <v>3148</v>
      </c>
      <c r="G3210" t="str">
        <f>IF(OrdersTable[[#This Row],[Order Date]]=_xlfn.MINIFS(Order_Date, Customer_ID, OrdersTable[[#This Row],[Customer ID]]), "New", "Repeat")</f>
        <v>Repeat</v>
      </c>
      <c r="H3210" t="s">
        <v>95</v>
      </c>
      <c r="I3210" t="str">
        <f>INDEX(State!B:B,MATCH(OrdersTable[[#This Row],[State]],State!A:A,0))</f>
        <v>TG</v>
      </c>
      <c r="J3210" t="str">
        <f>INDEX(State!C:C,MATCH(OrdersTable[[#This Row],[State Code]],State!B:B,0))</f>
        <v>South</v>
      </c>
      <c r="K3210" t="s">
        <v>96</v>
      </c>
      <c r="L3210" t="s">
        <v>39</v>
      </c>
      <c r="M3210" t="s">
        <v>576</v>
      </c>
      <c r="N3210" t="str">
        <f>INDEX(Products!B:B,MATCH(OrdersTable[[#This Row],[Product ID]],Products!A:A,0))</f>
        <v>Printed Saree</v>
      </c>
      <c r="O3210" t="str">
        <f>INDEX(Products!C:C,MATCH(OrdersTable[[#This Row],[Product ID]],Products!A:A,0))</f>
        <v>Apparel</v>
      </c>
      <c r="P3210">
        <v>1</v>
      </c>
      <c r="Q3210" s="5">
        <v>1999</v>
      </c>
      <c r="R3210" s="74">
        <v>0</v>
      </c>
      <c r="S3210" s="75">
        <f>OrdersTable[[#This Row],[Quantity]]*OrdersTable[[#This Row],[Unit Price]]</f>
        <v>1999</v>
      </c>
      <c r="T3210" s="5">
        <f>OrdersTable[[#This Row],[Gross Sale]]*OrdersTable[[#This Row],[Discount_Clean2]]</f>
        <v>0</v>
      </c>
      <c r="U3210" s="5">
        <f>OrdersTable[[#This Row],[Gross Sale]]-OrdersTable[[#This Row],[Discount Amount]]</f>
        <v>1999</v>
      </c>
      <c r="V3210" s="77">
        <f>INDEX(Products!E:E,MATCH(OrdersTable[[#This Row],[Product ID]],Products!A:A,0))</f>
        <v>880</v>
      </c>
      <c r="W3210" s="77">
        <f>OrdersTable[[#This Row],[Quantity]]*OrdersTable[[#This Row],[Unit Cost]]</f>
        <v>880</v>
      </c>
      <c r="X3210" s="77">
        <f>'Dropdown Lists'!$I$2*(1+OrdersTable[[#This Row],[Returned]])</f>
        <v>60</v>
      </c>
      <c r="Y3210" s="76">
        <f>OrdersTable[[#This Row],[Net Revenue]]-OrdersTable[[#This Row],[COGS]]-OrdersTable[[#This Row],[Shipping Cost]]</f>
        <v>1059</v>
      </c>
      <c r="Z3210" s="78">
        <f>IFERROR(OrdersTable[[#This Row],[Profit]]/OrdersTable[[#This Row],[Net Revenue]],0)</f>
        <v>0.52976488244122066</v>
      </c>
      <c r="AA3210" t="s">
        <v>3495</v>
      </c>
      <c r="AB3210" s="79">
        <v>45821</v>
      </c>
      <c r="AC3210">
        <f>OrdersTable[[#This Row],[Delivery Date]]-OrdersTable[[#This Row],[Order Date]]</f>
        <v>3</v>
      </c>
      <c r="AD3210" t="str">
        <f>IF(OrdersTable[[#This Row],[Delivery Days]]&lt;=2, "Express (≤2d)", IF(OrdersTable[[#This Row],[Delivery Days]]&lt;=4, "Standard (3-4d)", "Delayed (5d+)"))</f>
        <v>Standard (3-4d)</v>
      </c>
      <c r="AE3210">
        <v>5</v>
      </c>
      <c r="AF3210">
        <v>0</v>
      </c>
    </row>
    <row r="3211" spans="1:32" ht="15" x14ac:dyDescent="0.35">
      <c r="A3211" t="s">
        <v>4155</v>
      </c>
      <c r="B3211" s="1">
        <v>45818</v>
      </c>
      <c r="C3211">
        <f>YEAR(OrdersTable[[#This Row],[Order Date]])</f>
        <v>2025</v>
      </c>
      <c r="D3211" s="2">
        <f>DATE(YEAR(OrdersTable[[#This Row],[Order Date]]),MONTH(OrdersTable[[#This Row],[Order Date]]),1)</f>
        <v>45809</v>
      </c>
      <c r="E3211">
        <f>MONTH(OrdersTable[[#This Row],[Order Date]])</f>
        <v>6</v>
      </c>
      <c r="F3211" t="s">
        <v>354</v>
      </c>
      <c r="G3211" t="str">
        <f>IF(OrdersTable[[#This Row],[Order Date]]=_xlfn.MINIFS(Order_Date, Customer_ID, OrdersTable[[#This Row],[Customer ID]]), "New", "Repeat")</f>
        <v>Repeat</v>
      </c>
      <c r="H3211" t="s">
        <v>95</v>
      </c>
      <c r="I3211" t="str">
        <f>INDEX(State!B:B,MATCH(OrdersTable[[#This Row],[State]],State!A:A,0))</f>
        <v>TG</v>
      </c>
      <c r="J3211" t="str">
        <f>INDEX(State!C:C,MATCH(OrdersTable[[#This Row],[State Code]],State!B:B,0))</f>
        <v>South</v>
      </c>
      <c r="K3211" t="s">
        <v>96</v>
      </c>
      <c r="L3211" t="s">
        <v>65</v>
      </c>
      <c r="M3211" t="s">
        <v>29</v>
      </c>
      <c r="N3211" t="str">
        <f>INDEX(Products!B:B,MATCH(OrdersTable[[#This Row],[Product ID]],Products!A:A,0))</f>
        <v>Joggers</v>
      </c>
      <c r="O3211" t="str">
        <f>INDEX(Products!C:C,MATCH(OrdersTable[[#This Row],[Product ID]],Products!A:A,0))</f>
        <v>Apparel</v>
      </c>
      <c r="P3211">
        <v>1</v>
      </c>
      <c r="Q3211" s="5">
        <v>1199</v>
      </c>
      <c r="R3211" s="74">
        <v>0.1</v>
      </c>
      <c r="S3211" s="75">
        <f>OrdersTable[[#This Row],[Quantity]]*OrdersTable[[#This Row],[Unit Price]]</f>
        <v>1199</v>
      </c>
      <c r="T3211" s="5">
        <f>OrdersTable[[#This Row],[Gross Sale]]*OrdersTable[[#This Row],[Discount_Clean2]]</f>
        <v>119.9</v>
      </c>
      <c r="U3211" s="5">
        <f>OrdersTable[[#This Row],[Gross Sale]]-OrdersTable[[#This Row],[Discount Amount]]</f>
        <v>1079.0999999999999</v>
      </c>
      <c r="V3211" s="77">
        <f>INDEX(Products!E:E,MATCH(OrdersTable[[#This Row],[Product ID]],Products!A:A,0))</f>
        <v>492</v>
      </c>
      <c r="W3211" s="77">
        <f>OrdersTable[[#This Row],[Quantity]]*OrdersTable[[#This Row],[Unit Cost]]</f>
        <v>492</v>
      </c>
      <c r="X3211" s="77">
        <f>'Dropdown Lists'!$I$2*(1+OrdersTable[[#This Row],[Returned]])</f>
        <v>60</v>
      </c>
      <c r="Y3211" s="76">
        <f>OrdersTable[[#This Row],[Net Revenue]]-OrdersTable[[#This Row],[COGS]]-OrdersTable[[#This Row],[Shipping Cost]]</f>
        <v>527.09999999999991</v>
      </c>
      <c r="Z3211" s="78">
        <f>IFERROR(OrdersTable[[#This Row],[Profit]]/OrdersTable[[#This Row],[Net Revenue]],0)</f>
        <v>0.48846260772866273</v>
      </c>
      <c r="AA3211" t="s">
        <v>4074</v>
      </c>
      <c r="AB3211" s="79">
        <v>45821</v>
      </c>
      <c r="AC3211">
        <f>OrdersTable[[#This Row],[Delivery Date]]-OrdersTable[[#This Row],[Order Date]]</f>
        <v>3</v>
      </c>
      <c r="AD3211" t="str">
        <f>IF(OrdersTable[[#This Row],[Delivery Days]]&lt;=2, "Express (≤2d)", IF(OrdersTable[[#This Row],[Delivery Days]]&lt;=4, "Standard (3-4d)", "Delayed (5d+)"))</f>
        <v>Standard (3-4d)</v>
      </c>
      <c r="AE3211">
        <v>3</v>
      </c>
      <c r="AF3211">
        <v>0</v>
      </c>
    </row>
    <row r="3212" spans="1:32" ht="15" x14ac:dyDescent="0.35">
      <c r="A3212" t="s">
        <v>4034</v>
      </c>
      <c r="B3212" s="1">
        <v>45818</v>
      </c>
      <c r="C3212">
        <f>YEAR(OrdersTable[[#This Row],[Order Date]])</f>
        <v>2025</v>
      </c>
      <c r="D3212" s="2">
        <f>DATE(YEAR(OrdersTable[[#This Row],[Order Date]]),MONTH(OrdersTable[[#This Row],[Order Date]]),1)</f>
        <v>45809</v>
      </c>
      <c r="E3212">
        <f>MONTH(OrdersTable[[#This Row],[Order Date]])</f>
        <v>6</v>
      </c>
      <c r="F3212" t="s">
        <v>4035</v>
      </c>
      <c r="G3212" t="str">
        <f>IF(OrdersTable[[#This Row],[Order Date]]=_xlfn.MINIFS(Order_Date, Customer_ID, OrdersTable[[#This Row],[Customer ID]]), "New", "Repeat")</f>
        <v>Repeat</v>
      </c>
      <c r="H3212" t="s">
        <v>167</v>
      </c>
      <c r="I3212" t="str">
        <f>INDEX(State!B:B,MATCH(OrdersTable[[#This Row],[State]],State!A:A,0))</f>
        <v>KA</v>
      </c>
      <c r="J3212" t="str">
        <f>INDEX(State!C:C,MATCH(OrdersTable[[#This Row],[State Code]],State!B:B,0))</f>
        <v>South</v>
      </c>
      <c r="K3212" t="s">
        <v>168</v>
      </c>
      <c r="L3212" t="s">
        <v>50</v>
      </c>
      <c r="M3212" t="s">
        <v>45</v>
      </c>
      <c r="N3212" t="str">
        <f>INDEX(Products!B:B,MATCH(OrdersTable[[#This Row],[Product ID]],Products!A:A,0))</f>
        <v>Argan Shampoo</v>
      </c>
      <c r="O3212" t="str">
        <f>INDEX(Products!C:C,MATCH(OrdersTable[[#This Row],[Product ID]],Products!A:A,0))</f>
        <v>Haircare</v>
      </c>
      <c r="P3212">
        <v>1</v>
      </c>
      <c r="Q3212" s="5">
        <v>449</v>
      </c>
      <c r="R3212" s="74">
        <v>0.15</v>
      </c>
      <c r="S3212" s="75">
        <f>OrdersTable[[#This Row],[Quantity]]*OrdersTable[[#This Row],[Unit Price]]</f>
        <v>449</v>
      </c>
      <c r="T3212" s="5">
        <f>OrdersTable[[#This Row],[Gross Sale]]*OrdersTable[[#This Row],[Discount_Clean2]]</f>
        <v>67.349999999999994</v>
      </c>
      <c r="U3212" s="5">
        <f>OrdersTable[[#This Row],[Gross Sale]]-OrdersTable[[#This Row],[Discount Amount]]</f>
        <v>381.65</v>
      </c>
      <c r="V3212" s="77">
        <f>INDEX(Products!E:E,MATCH(OrdersTable[[#This Row],[Product ID]],Products!A:A,0))</f>
        <v>148</v>
      </c>
      <c r="W3212" s="77">
        <f>OrdersTable[[#This Row],[Quantity]]*OrdersTable[[#This Row],[Unit Cost]]</f>
        <v>148</v>
      </c>
      <c r="X3212" s="77">
        <f>'Dropdown Lists'!$I$2*(1+OrdersTable[[#This Row],[Returned]])</f>
        <v>60</v>
      </c>
      <c r="Y3212" s="76">
        <f>OrdersTable[[#This Row],[Net Revenue]]-OrdersTable[[#This Row],[COGS]]-OrdersTable[[#This Row],[Shipping Cost]]</f>
        <v>173.64999999999998</v>
      </c>
      <c r="Z3212" s="78">
        <f>IFERROR(OrdersTable[[#This Row],[Profit]]/OrdersTable[[#This Row],[Net Revenue]],0)</f>
        <v>0.45499803484868334</v>
      </c>
      <c r="AA3212" t="s">
        <v>3495</v>
      </c>
      <c r="AB3212" s="79">
        <v>45820</v>
      </c>
      <c r="AC3212">
        <f>OrdersTable[[#This Row],[Delivery Date]]-OrdersTable[[#This Row],[Order Date]]</f>
        <v>2</v>
      </c>
      <c r="AD3212" t="str">
        <f>IF(OrdersTable[[#This Row],[Delivery Days]]&lt;=2, "Express (≤2d)", IF(OrdersTable[[#This Row],[Delivery Days]]&lt;=4, "Standard (3-4d)", "Delayed (5d+)"))</f>
        <v>Express (≤2d)</v>
      </c>
      <c r="AE3212">
        <v>5</v>
      </c>
      <c r="AF3212">
        <v>0</v>
      </c>
    </row>
    <row r="3213" spans="1:32" ht="15" x14ac:dyDescent="0.35">
      <c r="A3213" t="s">
        <v>2812</v>
      </c>
      <c r="B3213" s="1">
        <v>45818</v>
      </c>
      <c r="C3213">
        <f>YEAR(OrdersTable[[#This Row],[Order Date]])</f>
        <v>2025</v>
      </c>
      <c r="D3213" s="2">
        <f>DATE(YEAR(OrdersTable[[#This Row],[Order Date]]),MONTH(OrdersTable[[#This Row],[Order Date]]),1)</f>
        <v>45809</v>
      </c>
      <c r="E3213">
        <f>MONTH(OrdersTable[[#This Row],[Order Date]])</f>
        <v>6</v>
      </c>
      <c r="F3213" t="s">
        <v>2813</v>
      </c>
      <c r="G3213" t="str">
        <f>IF(OrdersTable[[#This Row],[Order Date]]=_xlfn.MINIFS(Order_Date, Customer_ID, OrdersTable[[#This Row],[Customer ID]]), "New", "Repeat")</f>
        <v>Repeat</v>
      </c>
      <c r="H3213" t="s">
        <v>59</v>
      </c>
      <c r="I3213" t="str">
        <f>INDEX(State!B:B,MATCH(OrdersTable[[#This Row],[State]],State!A:A,0))</f>
        <v>TN</v>
      </c>
      <c r="J3213" t="str">
        <f>INDEX(State!C:C,MATCH(OrdersTable[[#This Row],[State Code]],State!B:B,0))</f>
        <v>South</v>
      </c>
      <c r="K3213" t="s">
        <v>60</v>
      </c>
      <c r="L3213" t="s">
        <v>39</v>
      </c>
      <c r="M3213" t="s">
        <v>84</v>
      </c>
      <c r="N3213" t="str">
        <f>INDEX(Products!B:B,MATCH(OrdersTable[[#This Row],[Product ID]],Products!A:A,0))</f>
        <v>Cotton Bedsheet</v>
      </c>
      <c r="O3213" t="str">
        <f>INDEX(Products!C:C,MATCH(OrdersTable[[#This Row],[Product ID]],Products!A:A,0))</f>
        <v>Home &amp; Kitchen</v>
      </c>
      <c r="P3213">
        <v>1</v>
      </c>
      <c r="Q3213" s="5">
        <v>1299</v>
      </c>
      <c r="R3213" s="74">
        <v>0</v>
      </c>
      <c r="S3213" s="75">
        <f>OrdersTable[[#This Row],[Quantity]]*OrdersTable[[#This Row],[Unit Price]]</f>
        <v>1299</v>
      </c>
      <c r="T3213" s="5">
        <f>OrdersTable[[#This Row],[Gross Sale]]*OrdersTable[[#This Row],[Discount_Clean2]]</f>
        <v>0</v>
      </c>
      <c r="U3213" s="5">
        <f>OrdersTable[[#This Row],[Gross Sale]]-OrdersTable[[#This Row],[Discount Amount]]</f>
        <v>1299</v>
      </c>
      <c r="V3213" s="77">
        <f>INDEX(Products!E:E,MATCH(OrdersTable[[#This Row],[Product ID]],Products!A:A,0))</f>
        <v>585</v>
      </c>
      <c r="W3213" s="77">
        <f>OrdersTable[[#This Row],[Quantity]]*OrdersTable[[#This Row],[Unit Cost]]</f>
        <v>585</v>
      </c>
      <c r="X3213" s="77">
        <f>'Dropdown Lists'!$I$2*(1+OrdersTable[[#This Row],[Returned]])</f>
        <v>120</v>
      </c>
      <c r="Y3213" s="76">
        <f>OrdersTable[[#This Row],[Net Revenue]]-OrdersTable[[#This Row],[COGS]]-OrdersTable[[#This Row],[Shipping Cost]]</f>
        <v>594</v>
      </c>
      <c r="Z3213" s="78">
        <f>IFERROR(OrdersTable[[#This Row],[Profit]]/OrdersTable[[#This Row],[Net Revenue]],0)</f>
        <v>0.45727482678983833</v>
      </c>
      <c r="AA3213" t="s">
        <v>2522</v>
      </c>
      <c r="AB3213" s="79">
        <v>45822</v>
      </c>
      <c r="AC3213">
        <f>OrdersTable[[#This Row],[Delivery Date]]-OrdersTable[[#This Row],[Order Date]]</f>
        <v>4</v>
      </c>
      <c r="AD3213" t="str">
        <f>IF(OrdersTable[[#This Row],[Delivery Days]]&lt;=2, "Express (≤2d)", IF(OrdersTable[[#This Row],[Delivery Days]]&lt;=4, "Standard (3-4d)", "Delayed (5d+)"))</f>
        <v>Standard (3-4d)</v>
      </c>
      <c r="AE3213">
        <v>3</v>
      </c>
      <c r="AF3213">
        <v>1</v>
      </c>
    </row>
    <row r="3214" spans="1:32" ht="15" x14ac:dyDescent="0.35">
      <c r="A3214" t="s">
        <v>1000</v>
      </c>
      <c r="B3214" s="1">
        <v>45819</v>
      </c>
      <c r="C3214">
        <f>YEAR(OrdersTable[[#This Row],[Order Date]])</f>
        <v>2025</v>
      </c>
      <c r="D3214" s="2">
        <f>DATE(YEAR(OrdersTable[[#This Row],[Order Date]]),MONTH(OrdersTable[[#This Row],[Order Date]]),1)</f>
        <v>45809</v>
      </c>
      <c r="E3214">
        <f>MONTH(OrdersTable[[#This Row],[Order Date]])</f>
        <v>6</v>
      </c>
      <c r="F3214" t="s">
        <v>63</v>
      </c>
      <c r="G3214" t="str">
        <f>IF(OrdersTable[[#This Row],[Order Date]]=_xlfn.MINIFS(Order_Date, Customer_ID, OrdersTable[[#This Row],[Customer ID]]), "New", "Repeat")</f>
        <v>Repeat</v>
      </c>
      <c r="H3214" t="s">
        <v>21</v>
      </c>
      <c r="I3214" t="str">
        <f>INDEX(State!B:B,MATCH(OrdersTable[[#This Row],[State]],State!A:A,0))</f>
        <v>PB</v>
      </c>
      <c r="J3214" t="str">
        <f>INDEX(State!C:C,MATCH(OrdersTable[[#This Row],[State Code]],State!B:B,0))</f>
        <v>North</v>
      </c>
      <c r="K3214" t="s">
        <v>22</v>
      </c>
      <c r="L3214" t="s">
        <v>65</v>
      </c>
      <c r="M3214" t="s">
        <v>92</v>
      </c>
      <c r="N3214" t="str">
        <f>INDEX(Products!B:B,MATCH(OrdersTable[[#This Row],[Product ID]],Products!A:A,0))</f>
        <v>Kolhapuri Sandals</v>
      </c>
      <c r="O3214" t="str">
        <f>INDEX(Products!C:C,MATCH(OrdersTable[[#This Row],[Product ID]],Products!A:A,0))</f>
        <v>Footwear</v>
      </c>
      <c r="P3214">
        <v>1</v>
      </c>
      <c r="Q3214" s="5">
        <v>999</v>
      </c>
      <c r="R3214" s="74">
        <v>0.1</v>
      </c>
      <c r="S3214" s="75">
        <f>OrdersTable[[#This Row],[Quantity]]*OrdersTable[[#This Row],[Unit Price]]</f>
        <v>999</v>
      </c>
      <c r="T3214" s="5">
        <f>OrdersTable[[#This Row],[Gross Sale]]*OrdersTable[[#This Row],[Discount_Clean2]]</f>
        <v>99.9</v>
      </c>
      <c r="U3214" s="5">
        <f>OrdersTable[[#This Row],[Gross Sale]]-OrdersTable[[#This Row],[Discount Amount]]</f>
        <v>899.1</v>
      </c>
      <c r="V3214" s="77">
        <f>INDEX(Products!E:E,MATCH(OrdersTable[[#This Row],[Product ID]],Products!A:A,0))</f>
        <v>400</v>
      </c>
      <c r="W3214" s="77">
        <f>OrdersTable[[#This Row],[Quantity]]*OrdersTable[[#This Row],[Unit Cost]]</f>
        <v>400</v>
      </c>
      <c r="X3214" s="77">
        <f>'Dropdown Lists'!$I$2*(1+OrdersTable[[#This Row],[Returned]])</f>
        <v>60</v>
      </c>
      <c r="Y3214" s="76">
        <f>OrdersTable[[#This Row],[Net Revenue]]-OrdersTable[[#This Row],[COGS]]-OrdersTable[[#This Row],[Shipping Cost]]</f>
        <v>439.1</v>
      </c>
      <c r="Z3214" s="78">
        <f>IFERROR(OrdersTable[[#This Row],[Profit]]/OrdersTable[[#This Row],[Net Revenue]],0)</f>
        <v>0.48837726615504395</v>
      </c>
      <c r="AA3214" t="s">
        <v>18</v>
      </c>
      <c r="AB3214" s="79">
        <v>45823</v>
      </c>
      <c r="AC3214">
        <f>OrdersTable[[#This Row],[Delivery Date]]-OrdersTable[[#This Row],[Order Date]]</f>
        <v>4</v>
      </c>
      <c r="AD3214" t="str">
        <f>IF(OrdersTable[[#This Row],[Delivery Days]]&lt;=2, "Express (≤2d)", IF(OrdersTable[[#This Row],[Delivery Days]]&lt;=4, "Standard (3-4d)", "Delayed (5d+)"))</f>
        <v>Standard (3-4d)</v>
      </c>
      <c r="AE3214">
        <v>4</v>
      </c>
      <c r="AF3214">
        <v>0</v>
      </c>
    </row>
    <row r="3215" spans="1:32" ht="15" x14ac:dyDescent="0.35">
      <c r="A3215" t="s">
        <v>3638</v>
      </c>
      <c r="B3215" s="1">
        <v>45819</v>
      </c>
      <c r="C3215">
        <f>YEAR(OrdersTable[[#This Row],[Order Date]])</f>
        <v>2025</v>
      </c>
      <c r="D3215" s="2">
        <f>DATE(YEAR(OrdersTable[[#This Row],[Order Date]]),MONTH(OrdersTable[[#This Row],[Order Date]]),1)</f>
        <v>45809</v>
      </c>
      <c r="E3215">
        <f>MONTH(OrdersTable[[#This Row],[Order Date]])</f>
        <v>6</v>
      </c>
      <c r="F3215" t="s">
        <v>781</v>
      </c>
      <c r="G3215" t="str">
        <f>IF(OrdersTable[[#This Row],[Order Date]]=_xlfn.MINIFS(Order_Date, Customer_ID, OrdersTable[[#This Row],[Customer ID]]), "New", "Repeat")</f>
        <v>Repeat</v>
      </c>
      <c r="H3215" t="s">
        <v>76</v>
      </c>
      <c r="I3215" t="str">
        <f>INDEX(State!B:B,MATCH(OrdersTable[[#This Row],[State]],State!A:A,0))</f>
        <v>UP</v>
      </c>
      <c r="J3215" t="str">
        <f>INDEX(State!C:C,MATCH(OrdersTable[[#This Row],[State Code]],State!B:B,0))</f>
        <v>North</v>
      </c>
      <c r="K3215" t="s">
        <v>77</v>
      </c>
      <c r="L3215" t="s">
        <v>50</v>
      </c>
      <c r="M3215" t="s">
        <v>40</v>
      </c>
      <c r="N3215" t="str">
        <f>INDEX(Products!B:B,MATCH(OrdersTable[[#This Row],[Product ID]],Products!A:A,0))</f>
        <v>Ashwagandha Capsules</v>
      </c>
      <c r="O3215" t="str">
        <f>INDEX(Products!C:C,MATCH(OrdersTable[[#This Row],[Product ID]],Products!A:A,0))</f>
        <v>Wellness</v>
      </c>
      <c r="P3215">
        <v>1</v>
      </c>
      <c r="Q3215" s="5">
        <v>499</v>
      </c>
      <c r="R3215" s="74">
        <v>0</v>
      </c>
      <c r="S3215" s="75">
        <f>OrdersTable[[#This Row],[Quantity]]*OrdersTable[[#This Row],[Unit Price]]</f>
        <v>499</v>
      </c>
      <c r="T3215" s="5">
        <f>OrdersTable[[#This Row],[Gross Sale]]*OrdersTable[[#This Row],[Discount_Clean2]]</f>
        <v>0</v>
      </c>
      <c r="U3215" s="5">
        <f>OrdersTable[[#This Row],[Gross Sale]]-OrdersTable[[#This Row],[Discount Amount]]</f>
        <v>499</v>
      </c>
      <c r="V3215" s="77">
        <f>INDEX(Products!E:E,MATCH(OrdersTable[[#This Row],[Product ID]],Products!A:A,0))</f>
        <v>150</v>
      </c>
      <c r="W3215" s="77">
        <f>OrdersTable[[#This Row],[Quantity]]*OrdersTable[[#This Row],[Unit Cost]]</f>
        <v>150</v>
      </c>
      <c r="X3215" s="77">
        <f>'Dropdown Lists'!$I$2*(1+OrdersTable[[#This Row],[Returned]])</f>
        <v>60</v>
      </c>
      <c r="Y3215" s="76">
        <f>OrdersTable[[#This Row],[Net Revenue]]-OrdersTable[[#This Row],[COGS]]-OrdersTable[[#This Row],[Shipping Cost]]</f>
        <v>289</v>
      </c>
      <c r="Z3215" s="78">
        <f>IFERROR(OrdersTable[[#This Row],[Profit]]/OrdersTable[[#This Row],[Net Revenue]],0)</f>
        <v>0.57915831663326656</v>
      </c>
      <c r="AA3215" t="s">
        <v>3495</v>
      </c>
      <c r="AB3215" s="79">
        <v>45824</v>
      </c>
      <c r="AC3215">
        <f>OrdersTable[[#This Row],[Delivery Date]]-OrdersTable[[#This Row],[Order Date]]</f>
        <v>5</v>
      </c>
      <c r="AD3215" t="str">
        <f>IF(OrdersTable[[#This Row],[Delivery Days]]&lt;=2, "Express (≤2d)", IF(OrdersTable[[#This Row],[Delivery Days]]&lt;=4, "Standard (3-4d)", "Delayed (5d+)"))</f>
        <v>Delayed (5d+)</v>
      </c>
      <c r="AE3215">
        <v>4</v>
      </c>
      <c r="AF3215">
        <v>0</v>
      </c>
    </row>
    <row r="3216" spans="1:32" ht="15" x14ac:dyDescent="0.35">
      <c r="A3216" t="s">
        <v>6598</v>
      </c>
      <c r="B3216" s="1">
        <v>45819</v>
      </c>
      <c r="C3216">
        <f>YEAR(OrdersTable[[#This Row],[Order Date]])</f>
        <v>2025</v>
      </c>
      <c r="D3216" s="2">
        <f>DATE(YEAR(OrdersTable[[#This Row],[Order Date]]),MONTH(OrdersTable[[#This Row],[Order Date]]),1)</f>
        <v>45809</v>
      </c>
      <c r="E3216">
        <f>MONTH(OrdersTable[[#This Row],[Order Date]])</f>
        <v>6</v>
      </c>
      <c r="F3216" t="s">
        <v>6599</v>
      </c>
      <c r="G3216" t="str">
        <f>IF(OrdersTable[[#This Row],[Order Date]]=_xlfn.MINIFS(Order_Date, Customer_ID, OrdersTable[[#This Row],[Customer ID]]), "New", "Repeat")</f>
        <v>New</v>
      </c>
      <c r="H3216" t="s">
        <v>71</v>
      </c>
      <c r="I3216" t="str">
        <f>INDEX(State!B:B,MATCH(OrdersTable[[#This Row],[State]],State!A:A,0))</f>
        <v>MH</v>
      </c>
      <c r="J3216" t="str">
        <f>INDEX(State!C:C,MATCH(OrdersTable[[#This Row],[State Code]],State!B:B,0))</f>
        <v>West</v>
      </c>
      <c r="K3216" t="s">
        <v>102</v>
      </c>
      <c r="L3216" t="s">
        <v>50</v>
      </c>
      <c r="M3216" t="s">
        <v>109</v>
      </c>
      <c r="N3216" t="str">
        <f>INDEX(Products!B:B,MATCH(OrdersTable[[#This Row],[Product ID]],Products!A:A,0))</f>
        <v>Onion Hair Oil</v>
      </c>
      <c r="O3216" t="str">
        <f>INDEX(Products!C:C,MATCH(OrdersTable[[#This Row],[Product ID]],Products!A:A,0))</f>
        <v>Haircare</v>
      </c>
      <c r="P3216">
        <v>3</v>
      </c>
      <c r="Q3216" s="5">
        <v>349</v>
      </c>
      <c r="R3216" s="74">
        <v>0.35</v>
      </c>
      <c r="S3216" s="75">
        <f>OrdersTable[[#This Row],[Quantity]]*OrdersTable[[#This Row],[Unit Price]]</f>
        <v>1047</v>
      </c>
      <c r="T3216" s="5">
        <f>OrdersTable[[#This Row],[Gross Sale]]*OrdersTable[[#This Row],[Discount_Clean2]]</f>
        <v>366.45</v>
      </c>
      <c r="U3216" s="5">
        <f>OrdersTable[[#This Row],[Gross Sale]]-OrdersTable[[#This Row],[Discount Amount]]</f>
        <v>680.55</v>
      </c>
      <c r="V3216" s="77">
        <f>INDEX(Products!E:E,MATCH(OrdersTable[[#This Row],[Product ID]],Products!A:A,0))</f>
        <v>105</v>
      </c>
      <c r="W3216" s="77">
        <f>OrdersTable[[#This Row],[Quantity]]*OrdersTable[[#This Row],[Unit Cost]]</f>
        <v>315</v>
      </c>
      <c r="X3216" s="77">
        <f>'Dropdown Lists'!$I$2*(1+OrdersTable[[#This Row],[Returned]])</f>
        <v>60</v>
      </c>
      <c r="Y3216" s="76">
        <f>OrdersTable[[#This Row],[Net Revenue]]-OrdersTable[[#This Row],[COGS]]-OrdersTable[[#This Row],[Shipping Cost]]</f>
        <v>305.54999999999995</v>
      </c>
      <c r="Z3216" s="78">
        <f>IFERROR(OrdersTable[[#This Row],[Profit]]/OrdersTable[[#This Row],[Net Revenue]],0)</f>
        <v>0.44897509367423405</v>
      </c>
      <c r="AA3216" t="s">
        <v>18</v>
      </c>
      <c r="AB3216" s="79">
        <v>45821</v>
      </c>
      <c r="AC3216">
        <f>OrdersTable[[#This Row],[Delivery Date]]-OrdersTable[[#This Row],[Order Date]]</f>
        <v>2</v>
      </c>
      <c r="AD3216" t="str">
        <f>IF(OrdersTable[[#This Row],[Delivery Days]]&lt;=2, "Express (≤2d)", IF(OrdersTable[[#This Row],[Delivery Days]]&lt;=4, "Standard (3-4d)", "Delayed (5d+)"))</f>
        <v>Express (≤2d)</v>
      </c>
      <c r="AE3216">
        <v>4</v>
      </c>
      <c r="AF3216">
        <v>0</v>
      </c>
    </row>
    <row r="3217" spans="1:32" ht="15" x14ac:dyDescent="0.35">
      <c r="A3217" t="s">
        <v>4283</v>
      </c>
      <c r="B3217" s="1">
        <v>45819</v>
      </c>
      <c r="C3217">
        <f>YEAR(OrdersTable[[#This Row],[Order Date]])</f>
        <v>2025</v>
      </c>
      <c r="D3217" s="2">
        <f>DATE(YEAR(OrdersTable[[#This Row],[Order Date]]),MONTH(OrdersTable[[#This Row],[Order Date]]),1)</f>
        <v>45809</v>
      </c>
      <c r="E3217">
        <f>MONTH(OrdersTable[[#This Row],[Order Date]])</f>
        <v>6</v>
      </c>
      <c r="F3217" t="s">
        <v>4284</v>
      </c>
      <c r="G3217" t="str">
        <f>IF(OrdersTable[[#This Row],[Order Date]]=_xlfn.MINIFS(Order_Date, Customer_ID, OrdersTable[[#This Row],[Customer ID]]), "New", "Repeat")</f>
        <v>New</v>
      </c>
      <c r="H3217" t="s">
        <v>71</v>
      </c>
      <c r="I3217" t="str">
        <f>INDEX(State!B:B,MATCH(OrdersTable[[#This Row],[State]],State!A:A,0))</f>
        <v>MH</v>
      </c>
      <c r="J3217" t="str">
        <f>INDEX(State!C:C,MATCH(OrdersTable[[#This Row],[State Code]],State!B:B,0))</f>
        <v>West</v>
      </c>
      <c r="K3217" t="s">
        <v>102</v>
      </c>
      <c r="L3217" t="s">
        <v>65</v>
      </c>
      <c r="M3217" t="s">
        <v>66</v>
      </c>
      <c r="N3217" t="str">
        <f>INDEX(Products!B:B,MATCH(OrdersTable[[#This Row],[Product ID]],Products!A:A,0))</f>
        <v>Sunscreen SPF 50</v>
      </c>
      <c r="O3217" t="str">
        <f>INDEX(Products!C:C,MATCH(OrdersTable[[#This Row],[Product ID]],Products!A:A,0))</f>
        <v>Skincare</v>
      </c>
      <c r="P3217">
        <v>1</v>
      </c>
      <c r="Q3217" s="5">
        <v>449</v>
      </c>
      <c r="R3217" s="74">
        <v>0.05</v>
      </c>
      <c r="S3217" s="75">
        <f>OrdersTable[[#This Row],[Quantity]]*OrdersTable[[#This Row],[Unit Price]]</f>
        <v>449</v>
      </c>
      <c r="T3217" s="5">
        <f>OrdersTable[[#This Row],[Gross Sale]]*OrdersTable[[#This Row],[Discount_Clean2]]</f>
        <v>22.450000000000003</v>
      </c>
      <c r="U3217" s="5">
        <f>OrdersTable[[#This Row],[Gross Sale]]-OrdersTable[[#This Row],[Discount Amount]]</f>
        <v>426.55</v>
      </c>
      <c r="V3217" s="77">
        <f>INDEX(Products!E:E,MATCH(OrdersTable[[#This Row],[Product ID]],Products!A:A,0))</f>
        <v>144</v>
      </c>
      <c r="W3217" s="77">
        <f>OrdersTable[[#This Row],[Quantity]]*OrdersTable[[#This Row],[Unit Cost]]</f>
        <v>144</v>
      </c>
      <c r="X3217" s="77">
        <f>'Dropdown Lists'!$I$2*(1+OrdersTable[[#This Row],[Returned]])</f>
        <v>60</v>
      </c>
      <c r="Y3217" s="76">
        <f>OrdersTable[[#This Row],[Net Revenue]]-OrdersTable[[#This Row],[COGS]]-OrdersTable[[#This Row],[Shipping Cost]]</f>
        <v>222.55</v>
      </c>
      <c r="Z3217" s="78">
        <f>IFERROR(OrdersTable[[#This Row],[Profit]]/OrdersTable[[#This Row],[Net Revenue]],0)</f>
        <v>0.52174422693705313</v>
      </c>
      <c r="AA3217" t="s">
        <v>4074</v>
      </c>
      <c r="AB3217" s="79">
        <v>45822</v>
      </c>
      <c r="AC3217">
        <f>OrdersTable[[#This Row],[Delivery Date]]-OrdersTable[[#This Row],[Order Date]]</f>
        <v>3</v>
      </c>
      <c r="AD3217" t="str">
        <f>IF(OrdersTable[[#This Row],[Delivery Days]]&lt;=2, "Express (≤2d)", IF(OrdersTable[[#This Row],[Delivery Days]]&lt;=4, "Standard (3-4d)", "Delayed (5d+)"))</f>
        <v>Standard (3-4d)</v>
      </c>
      <c r="AF3217">
        <v>0</v>
      </c>
    </row>
    <row r="3218" spans="1:32" ht="15" x14ac:dyDescent="0.35">
      <c r="A3218" t="s">
        <v>5955</v>
      </c>
      <c r="B3218" s="1">
        <v>45819</v>
      </c>
      <c r="C3218">
        <f>YEAR(OrdersTable[[#This Row],[Order Date]])</f>
        <v>2025</v>
      </c>
      <c r="D3218" s="2">
        <f>DATE(YEAR(OrdersTable[[#This Row],[Order Date]]),MONTH(OrdersTable[[#This Row],[Order Date]]),1)</f>
        <v>45809</v>
      </c>
      <c r="E3218">
        <f>MONTH(OrdersTable[[#This Row],[Order Date]])</f>
        <v>6</v>
      </c>
      <c r="F3218" t="s">
        <v>194</v>
      </c>
      <c r="G3218" t="str">
        <f>IF(OrdersTable[[#This Row],[Order Date]]=_xlfn.MINIFS(Order_Date, Customer_ID, OrdersTable[[#This Row],[Customer ID]]), "New", "Repeat")</f>
        <v>Repeat</v>
      </c>
      <c r="H3218" t="s">
        <v>71</v>
      </c>
      <c r="I3218" t="str">
        <f>INDEX(State!B:B,MATCH(OrdersTable[[#This Row],[State]],State!A:A,0))</f>
        <v>MH</v>
      </c>
      <c r="J3218" t="str">
        <f>INDEX(State!C:C,MATCH(OrdersTable[[#This Row],[State Code]],State!B:B,0))</f>
        <v>West</v>
      </c>
      <c r="K3218" t="s">
        <v>102</v>
      </c>
      <c r="L3218" t="s">
        <v>16</v>
      </c>
      <c r="M3218" t="s">
        <v>87</v>
      </c>
      <c r="N3218" t="str">
        <f>INDEX(Products!B:B,MATCH(OrdersTable[[#This Row],[Product ID]],Products!A:A,0))</f>
        <v>Linen Kurta</v>
      </c>
      <c r="O3218" t="str">
        <f>INDEX(Products!C:C,MATCH(OrdersTable[[#This Row],[Product ID]],Products!A:A,0))</f>
        <v>Apparel</v>
      </c>
      <c r="P3218">
        <v>2</v>
      </c>
      <c r="Q3218" s="5">
        <v>1499</v>
      </c>
      <c r="R3218" s="74">
        <v>0.3</v>
      </c>
      <c r="S3218" s="75">
        <f>OrdersTable[[#This Row],[Quantity]]*OrdersTable[[#This Row],[Unit Price]]</f>
        <v>2998</v>
      </c>
      <c r="T3218" s="5">
        <f>OrdersTable[[#This Row],[Gross Sale]]*OrdersTable[[#This Row],[Discount_Clean2]]</f>
        <v>899.4</v>
      </c>
      <c r="U3218" s="5">
        <f>OrdersTable[[#This Row],[Gross Sale]]-OrdersTable[[#This Row],[Discount Amount]]</f>
        <v>2098.6</v>
      </c>
      <c r="V3218" s="77">
        <f>INDEX(Products!E:E,MATCH(OrdersTable[[#This Row],[Product ID]],Products!A:A,0))</f>
        <v>630</v>
      </c>
      <c r="W3218" s="77">
        <f>OrdersTable[[#This Row],[Quantity]]*OrdersTable[[#This Row],[Unit Cost]]</f>
        <v>1260</v>
      </c>
      <c r="X3218" s="77">
        <f>'Dropdown Lists'!$I$2*(1+OrdersTable[[#This Row],[Returned]])</f>
        <v>60</v>
      </c>
      <c r="Y3218" s="76">
        <f>OrdersTable[[#This Row],[Net Revenue]]-OrdersTable[[#This Row],[COGS]]-OrdersTable[[#This Row],[Shipping Cost]]</f>
        <v>778.59999999999991</v>
      </c>
      <c r="Z3218" s="78">
        <f>IFERROR(OrdersTable[[#This Row],[Profit]]/OrdersTable[[#This Row],[Net Revenue]],0)</f>
        <v>0.3710092442580768</v>
      </c>
      <c r="AA3218" t="s">
        <v>18</v>
      </c>
      <c r="AB3218" s="79">
        <v>45822</v>
      </c>
      <c r="AC3218">
        <f>OrdersTable[[#This Row],[Delivery Date]]-OrdersTable[[#This Row],[Order Date]]</f>
        <v>3</v>
      </c>
      <c r="AD3218" t="str">
        <f>IF(OrdersTable[[#This Row],[Delivery Days]]&lt;=2, "Express (≤2d)", IF(OrdersTable[[#This Row],[Delivery Days]]&lt;=4, "Standard (3-4d)", "Delayed (5d+)"))</f>
        <v>Standard (3-4d)</v>
      </c>
      <c r="AF3218">
        <v>0</v>
      </c>
    </row>
    <row r="3219" spans="1:32" ht="15" x14ac:dyDescent="0.35">
      <c r="A3219" t="s">
        <v>4156</v>
      </c>
      <c r="B3219" s="1">
        <v>45820</v>
      </c>
      <c r="C3219">
        <f>YEAR(OrdersTable[[#This Row],[Order Date]])</f>
        <v>2025</v>
      </c>
      <c r="D3219" s="2">
        <f>DATE(YEAR(OrdersTable[[#This Row],[Order Date]]),MONTH(OrdersTable[[#This Row],[Order Date]]),1)</f>
        <v>45809</v>
      </c>
      <c r="E3219">
        <f>MONTH(OrdersTable[[#This Row],[Order Date]])</f>
        <v>6</v>
      </c>
      <c r="F3219" t="s">
        <v>3290</v>
      </c>
      <c r="G3219" t="str">
        <f>IF(OrdersTable[[#This Row],[Order Date]]=_xlfn.MINIFS(Order_Date, Customer_ID, OrdersTable[[#This Row],[Customer ID]]), "New", "Repeat")</f>
        <v>Repeat</v>
      </c>
      <c r="H3219" t="s">
        <v>54</v>
      </c>
      <c r="I3219" t="str">
        <f>INDEX(State!B:B,MATCH(OrdersTable[[#This Row],[State]],State!A:A,0))</f>
        <v>RJ</v>
      </c>
      <c r="J3219" t="str">
        <f>INDEX(State!C:C,MATCH(OrdersTable[[#This Row],[State Code]],State!B:B,0))</f>
        <v>North</v>
      </c>
      <c r="K3219" t="s">
        <v>227</v>
      </c>
      <c r="L3219" t="s">
        <v>65</v>
      </c>
      <c r="M3219" t="s">
        <v>152</v>
      </c>
      <c r="N3219" t="str">
        <f>INDEX(Products!B:B,MATCH(OrdersTable[[#This Row],[Product ID]],Products!A:A,0))</f>
        <v>Green Tea (100 bags)</v>
      </c>
      <c r="O3219" t="str">
        <f>INDEX(Products!C:C,MATCH(OrdersTable[[#This Row],[Product ID]],Products!A:A,0))</f>
        <v>Wellness</v>
      </c>
      <c r="P3219">
        <v>1</v>
      </c>
      <c r="Q3219" s="5">
        <v>399</v>
      </c>
      <c r="R3219" s="74">
        <v>0.35</v>
      </c>
      <c r="S3219" s="75">
        <f>OrdersTable[[#This Row],[Quantity]]*OrdersTable[[#This Row],[Unit Price]]</f>
        <v>399</v>
      </c>
      <c r="T3219" s="5">
        <f>OrdersTable[[#This Row],[Gross Sale]]*OrdersTable[[#This Row],[Discount_Clean2]]</f>
        <v>139.64999999999998</v>
      </c>
      <c r="U3219" s="5">
        <f>OrdersTable[[#This Row],[Gross Sale]]-OrdersTable[[#This Row],[Discount Amount]]</f>
        <v>259.35000000000002</v>
      </c>
      <c r="V3219" s="77">
        <f>INDEX(Products!E:E,MATCH(OrdersTable[[#This Row],[Product ID]],Products!A:A,0))</f>
        <v>128</v>
      </c>
      <c r="W3219" s="77">
        <f>OrdersTable[[#This Row],[Quantity]]*OrdersTable[[#This Row],[Unit Cost]]</f>
        <v>128</v>
      </c>
      <c r="X3219" s="77">
        <f>'Dropdown Lists'!$I$2*(1+OrdersTable[[#This Row],[Returned]])</f>
        <v>60</v>
      </c>
      <c r="Y3219" s="76">
        <f>OrdersTable[[#This Row],[Net Revenue]]-OrdersTable[[#This Row],[COGS]]-OrdersTable[[#This Row],[Shipping Cost]]</f>
        <v>71.350000000000023</v>
      </c>
      <c r="Z3219" s="78">
        <f>IFERROR(OrdersTable[[#This Row],[Profit]]/OrdersTable[[#This Row],[Net Revenue]],0)</f>
        <v>0.27511085405822255</v>
      </c>
      <c r="AA3219" t="s">
        <v>4074</v>
      </c>
      <c r="AB3219" s="79">
        <v>45825</v>
      </c>
      <c r="AC3219">
        <f>OrdersTable[[#This Row],[Delivery Date]]-OrdersTable[[#This Row],[Order Date]]</f>
        <v>5</v>
      </c>
      <c r="AD3219" t="str">
        <f>IF(OrdersTable[[#This Row],[Delivery Days]]&lt;=2, "Express (≤2d)", IF(OrdersTable[[#This Row],[Delivery Days]]&lt;=4, "Standard (3-4d)", "Delayed (5d+)"))</f>
        <v>Delayed (5d+)</v>
      </c>
      <c r="AE3219">
        <v>3</v>
      </c>
      <c r="AF3219">
        <v>0</v>
      </c>
    </row>
    <row r="3220" spans="1:32" ht="15" x14ac:dyDescent="0.35">
      <c r="A3220" t="s">
        <v>1094</v>
      </c>
      <c r="B3220" s="1">
        <v>45820</v>
      </c>
      <c r="C3220">
        <f>YEAR(OrdersTable[[#This Row],[Order Date]])</f>
        <v>2025</v>
      </c>
      <c r="D3220" s="2">
        <f>DATE(YEAR(OrdersTable[[#This Row],[Order Date]]),MONTH(OrdersTable[[#This Row],[Order Date]]),1)</f>
        <v>45809</v>
      </c>
      <c r="E3220">
        <f>MONTH(OrdersTable[[#This Row],[Order Date]])</f>
        <v>6</v>
      </c>
      <c r="F3220" t="s">
        <v>1095</v>
      </c>
      <c r="G3220" t="str">
        <f>IF(OrdersTable[[#This Row],[Order Date]]=_xlfn.MINIFS(Order_Date, Customer_ID, OrdersTable[[#This Row],[Customer ID]]), "New", "Repeat")</f>
        <v>Repeat</v>
      </c>
      <c r="H3220" t="s">
        <v>76</v>
      </c>
      <c r="I3220" t="str">
        <f>INDEX(State!B:B,MATCH(OrdersTable[[#This Row],[State]],State!A:A,0))</f>
        <v>UP</v>
      </c>
      <c r="J3220" t="str">
        <f>INDEX(State!C:C,MATCH(OrdersTable[[#This Row],[State Code]],State!B:B,0))</f>
        <v>North</v>
      </c>
      <c r="K3220" t="s">
        <v>118</v>
      </c>
      <c r="L3220" t="s">
        <v>39</v>
      </c>
      <c r="M3220" t="s">
        <v>56</v>
      </c>
      <c r="N3220" t="str">
        <f>INDEX(Products!B:B,MATCH(OrdersTable[[#This Row],[Product ID]],Products!A:A,0))</f>
        <v>Vitamin C Face Serum</v>
      </c>
      <c r="O3220" t="str">
        <f>INDEX(Products!C:C,MATCH(OrdersTable[[#This Row],[Product ID]],Products!A:A,0))</f>
        <v>Skincare</v>
      </c>
      <c r="P3220">
        <v>1</v>
      </c>
      <c r="Q3220" s="5">
        <v>599</v>
      </c>
      <c r="R3220" s="74">
        <v>0.2</v>
      </c>
      <c r="S3220" s="75">
        <f>OrdersTable[[#This Row],[Quantity]]*OrdersTable[[#This Row],[Unit Price]]</f>
        <v>599</v>
      </c>
      <c r="T3220" s="5">
        <f>OrdersTable[[#This Row],[Gross Sale]]*OrdersTable[[#This Row],[Discount_Clean2]]</f>
        <v>119.80000000000001</v>
      </c>
      <c r="U3220" s="5">
        <f>OrdersTable[[#This Row],[Gross Sale]]-OrdersTable[[#This Row],[Discount Amount]]</f>
        <v>479.2</v>
      </c>
      <c r="V3220" s="77">
        <f>INDEX(Products!E:E,MATCH(OrdersTable[[#This Row],[Product ID]],Products!A:A,0))</f>
        <v>180</v>
      </c>
      <c r="W3220" s="77">
        <f>OrdersTable[[#This Row],[Quantity]]*OrdersTable[[#This Row],[Unit Cost]]</f>
        <v>180</v>
      </c>
      <c r="X3220" s="77">
        <f>'Dropdown Lists'!$I$2*(1+OrdersTable[[#This Row],[Returned]])</f>
        <v>120</v>
      </c>
      <c r="Y3220" s="76">
        <f>OrdersTable[[#This Row],[Net Revenue]]-OrdersTable[[#This Row],[COGS]]-OrdersTable[[#This Row],[Shipping Cost]]</f>
        <v>179.2</v>
      </c>
      <c r="Z3220" s="78">
        <f>IFERROR(OrdersTable[[#This Row],[Profit]]/OrdersTable[[#This Row],[Net Revenue]],0)</f>
        <v>0.37395659432387313</v>
      </c>
      <c r="AA3220" t="s">
        <v>18</v>
      </c>
      <c r="AB3220" s="79">
        <v>45824</v>
      </c>
      <c r="AC3220">
        <f>OrdersTable[[#This Row],[Delivery Date]]-OrdersTable[[#This Row],[Order Date]]</f>
        <v>4</v>
      </c>
      <c r="AD3220" t="str">
        <f>IF(OrdersTable[[#This Row],[Delivery Days]]&lt;=2, "Express (≤2d)", IF(OrdersTable[[#This Row],[Delivery Days]]&lt;=4, "Standard (3-4d)", "Delayed (5d+)"))</f>
        <v>Standard (3-4d)</v>
      </c>
      <c r="AE3220">
        <v>4</v>
      </c>
      <c r="AF3220">
        <v>1</v>
      </c>
    </row>
    <row r="3221" spans="1:32" ht="15" x14ac:dyDescent="0.35">
      <c r="A3221" t="s">
        <v>6374</v>
      </c>
      <c r="B3221" s="1">
        <v>45820</v>
      </c>
      <c r="C3221">
        <f>YEAR(OrdersTable[[#This Row],[Order Date]])</f>
        <v>2025</v>
      </c>
      <c r="D3221" s="2">
        <f>DATE(YEAR(OrdersTable[[#This Row],[Order Date]]),MONTH(OrdersTable[[#This Row],[Order Date]]),1)</f>
        <v>45809</v>
      </c>
      <c r="E3221">
        <f>MONTH(OrdersTable[[#This Row],[Order Date]])</f>
        <v>6</v>
      </c>
      <c r="F3221" t="s">
        <v>4593</v>
      </c>
      <c r="G3221" t="str">
        <f>IF(OrdersTable[[#This Row],[Order Date]]=_xlfn.MINIFS(Order_Date, Customer_ID, OrdersTable[[#This Row],[Customer ID]]), "New", "Repeat")</f>
        <v>Repeat</v>
      </c>
      <c r="H3221" t="s">
        <v>37</v>
      </c>
      <c r="I3221" t="str">
        <f>INDEX(State!B:B,MATCH(OrdersTable[[#This Row],[State]],State!A:A,0))</f>
        <v>GJ</v>
      </c>
      <c r="J3221" t="str">
        <f>INDEX(State!C:C,MATCH(OrdersTable[[#This Row],[State Code]],State!B:B,0))</f>
        <v>West</v>
      </c>
      <c r="K3221" t="s">
        <v>38</v>
      </c>
      <c r="L3221" t="s">
        <v>50</v>
      </c>
      <c r="M3221" t="s">
        <v>160</v>
      </c>
      <c r="N3221" t="str">
        <f>INDEX(Products!B:B,MATCH(OrdersTable[[#This Row],[Product ID]],Products!A:A,0))</f>
        <v>Niacinamide Toner</v>
      </c>
      <c r="O3221" t="str">
        <f>INDEX(Products!C:C,MATCH(OrdersTable[[#This Row],[Product ID]],Products!A:A,0))</f>
        <v>Skincare</v>
      </c>
      <c r="P3221">
        <v>2</v>
      </c>
      <c r="Q3221" s="5">
        <v>399</v>
      </c>
      <c r="R3221" s="74">
        <v>0.3</v>
      </c>
      <c r="S3221" s="75">
        <f>OrdersTable[[#This Row],[Quantity]]*OrdersTable[[#This Row],[Unit Price]]</f>
        <v>798</v>
      </c>
      <c r="T3221" s="5">
        <f>OrdersTable[[#This Row],[Gross Sale]]*OrdersTable[[#This Row],[Discount_Clean2]]</f>
        <v>239.39999999999998</v>
      </c>
      <c r="U3221" s="5">
        <f>OrdersTable[[#This Row],[Gross Sale]]-OrdersTable[[#This Row],[Discount Amount]]</f>
        <v>558.6</v>
      </c>
      <c r="V3221" s="77">
        <f>INDEX(Products!E:E,MATCH(OrdersTable[[#This Row],[Product ID]],Products!A:A,0))</f>
        <v>112</v>
      </c>
      <c r="W3221" s="77">
        <f>OrdersTable[[#This Row],[Quantity]]*OrdersTable[[#This Row],[Unit Cost]]</f>
        <v>224</v>
      </c>
      <c r="X3221" s="77">
        <f>'Dropdown Lists'!$I$2*(1+OrdersTable[[#This Row],[Returned]])</f>
        <v>60</v>
      </c>
      <c r="Y3221" s="76">
        <f>OrdersTable[[#This Row],[Net Revenue]]-OrdersTable[[#This Row],[COGS]]-OrdersTable[[#This Row],[Shipping Cost]]</f>
        <v>274.60000000000002</v>
      </c>
      <c r="Z3221" s="78">
        <f>IFERROR(OrdersTable[[#This Row],[Profit]]/OrdersTable[[#This Row],[Net Revenue]],0)</f>
        <v>0.49158610812746151</v>
      </c>
      <c r="AA3221" t="s">
        <v>18</v>
      </c>
      <c r="AB3221" s="79">
        <v>45824</v>
      </c>
      <c r="AC3221">
        <f>OrdersTable[[#This Row],[Delivery Date]]-OrdersTable[[#This Row],[Order Date]]</f>
        <v>4</v>
      </c>
      <c r="AD3221" t="str">
        <f>IF(OrdersTable[[#This Row],[Delivery Days]]&lt;=2, "Express (≤2d)", IF(OrdersTable[[#This Row],[Delivery Days]]&lt;=4, "Standard (3-4d)", "Delayed (5d+)"))</f>
        <v>Standard (3-4d)</v>
      </c>
      <c r="AE3221">
        <v>5</v>
      </c>
      <c r="AF3221">
        <v>0</v>
      </c>
    </row>
    <row r="3222" spans="1:32" ht="15" x14ac:dyDescent="0.35">
      <c r="A3222" t="s">
        <v>3639</v>
      </c>
      <c r="B3222" s="1">
        <v>45820</v>
      </c>
      <c r="C3222">
        <f>YEAR(OrdersTable[[#This Row],[Order Date]])</f>
        <v>2025</v>
      </c>
      <c r="D3222" s="2">
        <f>DATE(YEAR(OrdersTable[[#This Row],[Order Date]]),MONTH(OrdersTable[[#This Row],[Order Date]]),1)</f>
        <v>45809</v>
      </c>
      <c r="E3222">
        <f>MONTH(OrdersTable[[#This Row],[Order Date]])</f>
        <v>6</v>
      </c>
      <c r="F3222" t="s">
        <v>222</v>
      </c>
      <c r="G3222" t="str">
        <f>IF(OrdersTable[[#This Row],[Order Date]]=_xlfn.MINIFS(Order_Date, Customer_ID, OrdersTable[[#This Row],[Customer ID]]), "New", "Repeat")</f>
        <v>Repeat</v>
      </c>
      <c r="H3222" t="s">
        <v>71</v>
      </c>
      <c r="I3222" t="str">
        <f>INDEX(State!B:B,MATCH(OrdersTable[[#This Row],[State]],State!A:A,0))</f>
        <v>MH</v>
      </c>
      <c r="J3222" t="str">
        <f>INDEX(State!C:C,MATCH(OrdersTable[[#This Row],[State Code]],State!B:B,0))</f>
        <v>West</v>
      </c>
      <c r="K3222" t="s">
        <v>102</v>
      </c>
      <c r="L3222" t="s">
        <v>23</v>
      </c>
      <c r="M3222" t="s">
        <v>29</v>
      </c>
      <c r="N3222" t="str">
        <f>INDEX(Products!B:B,MATCH(OrdersTable[[#This Row],[Product ID]],Products!A:A,0))</f>
        <v>Joggers</v>
      </c>
      <c r="O3222" t="str">
        <f>INDEX(Products!C:C,MATCH(OrdersTable[[#This Row],[Product ID]],Products!A:A,0))</f>
        <v>Apparel</v>
      </c>
      <c r="P3222">
        <v>1</v>
      </c>
      <c r="Q3222" s="5">
        <v>1199</v>
      </c>
      <c r="R3222" s="74">
        <v>0.15</v>
      </c>
      <c r="S3222" s="75">
        <f>OrdersTable[[#This Row],[Quantity]]*OrdersTable[[#This Row],[Unit Price]]</f>
        <v>1199</v>
      </c>
      <c r="T3222" s="5">
        <f>OrdersTable[[#This Row],[Gross Sale]]*OrdersTable[[#This Row],[Discount_Clean2]]</f>
        <v>179.85</v>
      </c>
      <c r="U3222" s="5">
        <f>OrdersTable[[#This Row],[Gross Sale]]-OrdersTable[[#This Row],[Discount Amount]]</f>
        <v>1019.15</v>
      </c>
      <c r="V3222" s="77">
        <f>INDEX(Products!E:E,MATCH(OrdersTable[[#This Row],[Product ID]],Products!A:A,0))</f>
        <v>492</v>
      </c>
      <c r="W3222" s="77">
        <f>OrdersTable[[#This Row],[Quantity]]*OrdersTable[[#This Row],[Unit Cost]]</f>
        <v>492</v>
      </c>
      <c r="X3222" s="77">
        <f>'Dropdown Lists'!$I$2*(1+OrdersTable[[#This Row],[Returned]])</f>
        <v>60</v>
      </c>
      <c r="Y3222" s="76">
        <f>OrdersTable[[#This Row],[Net Revenue]]-OrdersTable[[#This Row],[COGS]]-OrdersTable[[#This Row],[Shipping Cost]]</f>
        <v>467.15</v>
      </c>
      <c r="Z3222" s="78">
        <f>IFERROR(OrdersTable[[#This Row],[Profit]]/OrdersTable[[#This Row],[Net Revenue]],0)</f>
        <v>0.45837217288917231</v>
      </c>
      <c r="AA3222" t="s">
        <v>3495</v>
      </c>
      <c r="AB3222" s="79">
        <v>45821</v>
      </c>
      <c r="AC3222">
        <f>OrdersTable[[#This Row],[Delivery Date]]-OrdersTable[[#This Row],[Order Date]]</f>
        <v>1</v>
      </c>
      <c r="AD3222" t="str">
        <f>IF(OrdersTable[[#This Row],[Delivery Days]]&lt;=2, "Express (≤2d)", IF(OrdersTable[[#This Row],[Delivery Days]]&lt;=4, "Standard (3-4d)", "Delayed (5d+)"))</f>
        <v>Express (≤2d)</v>
      </c>
      <c r="AE3222">
        <v>4</v>
      </c>
      <c r="AF3222">
        <v>0</v>
      </c>
    </row>
    <row r="3223" spans="1:32" ht="15" x14ac:dyDescent="0.35">
      <c r="A3223" t="s">
        <v>4615</v>
      </c>
      <c r="B3223" s="1">
        <v>45820</v>
      </c>
      <c r="C3223">
        <f>YEAR(OrdersTable[[#This Row],[Order Date]])</f>
        <v>2025</v>
      </c>
      <c r="D3223" s="2">
        <f>DATE(YEAR(OrdersTable[[#This Row],[Order Date]]),MONTH(OrdersTable[[#This Row],[Order Date]]),1)</f>
        <v>45809</v>
      </c>
      <c r="E3223">
        <f>MONTH(OrdersTable[[#This Row],[Order Date]])</f>
        <v>6</v>
      </c>
      <c r="F3223" t="s">
        <v>4616</v>
      </c>
      <c r="G3223" t="str">
        <f>IF(OrdersTable[[#This Row],[Order Date]]=_xlfn.MINIFS(Order_Date, Customer_ID, OrdersTable[[#This Row],[Customer ID]]), "New", "Repeat")</f>
        <v>New</v>
      </c>
      <c r="H3223" t="s">
        <v>275</v>
      </c>
      <c r="I3223" t="str">
        <f>INDEX(State!B:B,MATCH(OrdersTable[[#This Row],[State]],State!A:A,0))</f>
        <v>AP</v>
      </c>
      <c r="J3223" t="str">
        <f>INDEX(State!C:C,MATCH(OrdersTable[[#This Row],[State Code]],State!B:B,0))</f>
        <v>South</v>
      </c>
      <c r="K3223" t="s">
        <v>276</v>
      </c>
      <c r="L3223" t="s">
        <v>65</v>
      </c>
      <c r="M3223" t="s">
        <v>160</v>
      </c>
      <c r="N3223" t="str">
        <f>INDEX(Products!B:B,MATCH(OrdersTable[[#This Row],[Product ID]],Products!A:A,0))</f>
        <v>Niacinamide Toner</v>
      </c>
      <c r="O3223" t="str">
        <f>INDEX(Products!C:C,MATCH(OrdersTable[[#This Row],[Product ID]],Products!A:A,0))</f>
        <v>Skincare</v>
      </c>
      <c r="P3223">
        <v>1</v>
      </c>
      <c r="Q3223" s="5">
        <v>399</v>
      </c>
      <c r="R3223" s="74">
        <v>0.2</v>
      </c>
      <c r="S3223" s="75">
        <f>OrdersTable[[#This Row],[Quantity]]*OrdersTable[[#This Row],[Unit Price]]</f>
        <v>399</v>
      </c>
      <c r="T3223" s="5">
        <f>OrdersTable[[#This Row],[Gross Sale]]*OrdersTable[[#This Row],[Discount_Clean2]]</f>
        <v>79.800000000000011</v>
      </c>
      <c r="U3223" s="5">
        <f>OrdersTable[[#This Row],[Gross Sale]]-OrdersTable[[#This Row],[Discount Amount]]</f>
        <v>319.2</v>
      </c>
      <c r="V3223" s="77">
        <f>INDEX(Products!E:E,MATCH(OrdersTable[[#This Row],[Product ID]],Products!A:A,0))</f>
        <v>112</v>
      </c>
      <c r="W3223" s="77">
        <f>OrdersTable[[#This Row],[Quantity]]*OrdersTable[[#This Row],[Unit Cost]]</f>
        <v>112</v>
      </c>
      <c r="X3223" s="77">
        <f>'Dropdown Lists'!$I$2*(1+OrdersTable[[#This Row],[Returned]])</f>
        <v>60</v>
      </c>
      <c r="Y3223" s="76">
        <f>OrdersTable[[#This Row],[Net Revenue]]-OrdersTable[[#This Row],[COGS]]-OrdersTable[[#This Row],[Shipping Cost]]</f>
        <v>147.19999999999999</v>
      </c>
      <c r="Z3223" s="78">
        <f>IFERROR(OrdersTable[[#This Row],[Profit]]/OrdersTable[[#This Row],[Net Revenue]],0)</f>
        <v>0.46115288220551376</v>
      </c>
      <c r="AA3223" t="s">
        <v>4450</v>
      </c>
      <c r="AB3223" s="79">
        <v>45823</v>
      </c>
      <c r="AC3223">
        <f>OrdersTable[[#This Row],[Delivery Date]]-OrdersTable[[#This Row],[Order Date]]</f>
        <v>3</v>
      </c>
      <c r="AD3223" t="str">
        <f>IF(OrdersTable[[#This Row],[Delivery Days]]&lt;=2, "Express (≤2d)", IF(OrdersTable[[#This Row],[Delivery Days]]&lt;=4, "Standard (3-4d)", "Delayed (5d+)"))</f>
        <v>Standard (3-4d)</v>
      </c>
      <c r="AF3223">
        <v>0</v>
      </c>
    </row>
    <row r="3224" spans="1:32" ht="15" x14ac:dyDescent="0.35">
      <c r="A3224" t="s">
        <v>4285</v>
      </c>
      <c r="B3224" s="1">
        <v>45821</v>
      </c>
      <c r="C3224">
        <f>YEAR(OrdersTable[[#This Row],[Order Date]])</f>
        <v>2025</v>
      </c>
      <c r="D3224" s="2">
        <f>DATE(YEAR(OrdersTable[[#This Row],[Order Date]]),MONTH(OrdersTable[[#This Row],[Order Date]]),1)</f>
        <v>45809</v>
      </c>
      <c r="E3224">
        <f>MONTH(OrdersTable[[#This Row],[Order Date]])</f>
        <v>6</v>
      </c>
      <c r="F3224" t="s">
        <v>2203</v>
      </c>
      <c r="G3224" t="str">
        <f>IF(OrdersTable[[#This Row],[Order Date]]=_xlfn.MINIFS(Order_Date, Customer_ID, OrdersTable[[#This Row],[Customer ID]]), "New", "Repeat")</f>
        <v>Repeat</v>
      </c>
      <c r="H3224" t="s">
        <v>37</v>
      </c>
      <c r="I3224" t="str">
        <f>INDEX(State!B:B,MATCH(OrdersTable[[#This Row],[State]],State!A:A,0))</f>
        <v>GJ</v>
      </c>
      <c r="J3224" t="str">
        <f>INDEX(State!C:C,MATCH(OrdersTable[[#This Row],[State Code]],State!B:B,0))</f>
        <v>West</v>
      </c>
      <c r="K3224" t="s">
        <v>247</v>
      </c>
      <c r="L3224" t="s">
        <v>65</v>
      </c>
      <c r="M3224" t="s">
        <v>45</v>
      </c>
      <c r="N3224" t="str">
        <f>INDEX(Products!B:B,MATCH(OrdersTable[[#This Row],[Product ID]],Products!A:A,0))</f>
        <v>Argan Shampoo</v>
      </c>
      <c r="O3224" t="str">
        <f>INDEX(Products!C:C,MATCH(OrdersTable[[#This Row],[Product ID]],Products!A:A,0))</f>
        <v>Haircare</v>
      </c>
      <c r="P3224">
        <v>1</v>
      </c>
      <c r="Q3224" s="5">
        <v>449</v>
      </c>
      <c r="R3224" s="74">
        <v>0</v>
      </c>
      <c r="S3224" s="75">
        <f>OrdersTable[[#This Row],[Quantity]]*OrdersTable[[#This Row],[Unit Price]]</f>
        <v>449</v>
      </c>
      <c r="T3224" s="5">
        <f>OrdersTable[[#This Row],[Gross Sale]]*OrdersTable[[#This Row],[Discount_Clean2]]</f>
        <v>0</v>
      </c>
      <c r="U3224" s="5">
        <f>OrdersTable[[#This Row],[Gross Sale]]-OrdersTable[[#This Row],[Discount Amount]]</f>
        <v>449</v>
      </c>
      <c r="V3224" s="77">
        <f>INDEX(Products!E:E,MATCH(OrdersTable[[#This Row],[Product ID]],Products!A:A,0))</f>
        <v>148</v>
      </c>
      <c r="W3224" s="77">
        <f>OrdersTable[[#This Row],[Quantity]]*OrdersTable[[#This Row],[Unit Cost]]</f>
        <v>148</v>
      </c>
      <c r="X3224" s="77">
        <f>'Dropdown Lists'!$I$2*(1+OrdersTable[[#This Row],[Returned]])</f>
        <v>60</v>
      </c>
      <c r="Y3224" s="76">
        <f>OrdersTable[[#This Row],[Net Revenue]]-OrdersTable[[#This Row],[COGS]]-OrdersTable[[#This Row],[Shipping Cost]]</f>
        <v>241</v>
      </c>
      <c r="Z3224" s="78">
        <f>IFERROR(OrdersTable[[#This Row],[Profit]]/OrdersTable[[#This Row],[Net Revenue]],0)</f>
        <v>0.53674832962138086</v>
      </c>
      <c r="AA3224" t="s">
        <v>4074</v>
      </c>
      <c r="AB3224" s="79">
        <v>45824</v>
      </c>
      <c r="AC3224">
        <f>OrdersTable[[#This Row],[Delivery Date]]-OrdersTable[[#This Row],[Order Date]]</f>
        <v>3</v>
      </c>
      <c r="AD3224" t="str">
        <f>IF(OrdersTable[[#This Row],[Delivery Days]]&lt;=2, "Express (≤2d)", IF(OrdersTable[[#This Row],[Delivery Days]]&lt;=4, "Standard (3-4d)", "Delayed (5d+)"))</f>
        <v>Standard (3-4d)</v>
      </c>
      <c r="AF3224">
        <v>0</v>
      </c>
    </row>
    <row r="3225" spans="1:32" ht="15" x14ac:dyDescent="0.35">
      <c r="A3225" t="s">
        <v>5422</v>
      </c>
      <c r="B3225" s="1">
        <v>45821</v>
      </c>
      <c r="C3225">
        <f>YEAR(OrdersTable[[#This Row],[Order Date]])</f>
        <v>2025</v>
      </c>
      <c r="D3225" s="2">
        <f>DATE(YEAR(OrdersTable[[#This Row],[Order Date]]),MONTH(OrdersTable[[#This Row],[Order Date]]),1)</f>
        <v>45809</v>
      </c>
      <c r="E3225">
        <f>MONTH(OrdersTable[[#This Row],[Order Date]])</f>
        <v>6</v>
      </c>
      <c r="F3225" t="s">
        <v>3475</v>
      </c>
      <c r="G3225" t="str">
        <f>IF(OrdersTable[[#This Row],[Order Date]]=_xlfn.MINIFS(Order_Date, Customer_ID, OrdersTable[[#This Row],[Customer ID]]), "New", "Repeat")</f>
        <v>Repeat</v>
      </c>
      <c r="H3225" t="s">
        <v>71</v>
      </c>
      <c r="I3225" t="str">
        <f>INDEX(State!B:B,MATCH(OrdersTable[[#This Row],[State]],State!A:A,0))</f>
        <v>MH</v>
      </c>
      <c r="J3225" t="str">
        <f>INDEX(State!C:C,MATCH(OrdersTable[[#This Row],[State Code]],State!B:B,0))</f>
        <v>West</v>
      </c>
      <c r="K3225" t="s">
        <v>81</v>
      </c>
      <c r="L3225" t="s">
        <v>16</v>
      </c>
      <c r="M3225" t="s">
        <v>29</v>
      </c>
      <c r="N3225" t="str">
        <f>INDEX(Products!B:B,MATCH(OrdersTable[[#This Row],[Product ID]],Products!A:A,0))</f>
        <v>Joggers</v>
      </c>
      <c r="O3225" t="str">
        <f>INDEX(Products!C:C,MATCH(OrdersTable[[#This Row],[Product ID]],Products!A:A,0))</f>
        <v>Apparel</v>
      </c>
      <c r="P3225">
        <v>2</v>
      </c>
      <c r="Q3225" s="5">
        <v>1199</v>
      </c>
      <c r="R3225" s="74">
        <v>0.15</v>
      </c>
      <c r="S3225" s="75">
        <f>OrdersTable[[#This Row],[Quantity]]*OrdersTable[[#This Row],[Unit Price]]</f>
        <v>2398</v>
      </c>
      <c r="T3225" s="5">
        <f>OrdersTable[[#This Row],[Gross Sale]]*OrdersTable[[#This Row],[Discount_Clean2]]</f>
        <v>359.7</v>
      </c>
      <c r="U3225" s="5">
        <f>OrdersTable[[#This Row],[Gross Sale]]-OrdersTable[[#This Row],[Discount Amount]]</f>
        <v>2038.3</v>
      </c>
      <c r="V3225" s="77">
        <f>INDEX(Products!E:E,MATCH(OrdersTable[[#This Row],[Product ID]],Products!A:A,0))</f>
        <v>492</v>
      </c>
      <c r="W3225" s="77">
        <f>OrdersTable[[#This Row],[Quantity]]*OrdersTable[[#This Row],[Unit Cost]]</f>
        <v>984</v>
      </c>
      <c r="X3225" s="77">
        <f>'Dropdown Lists'!$I$2*(1+OrdersTable[[#This Row],[Returned]])</f>
        <v>60</v>
      </c>
      <c r="Y3225" s="76">
        <f>OrdersTable[[#This Row],[Net Revenue]]-OrdersTable[[#This Row],[COGS]]-OrdersTable[[#This Row],[Shipping Cost]]</f>
        <v>994.3</v>
      </c>
      <c r="Z3225" s="78">
        <f>IFERROR(OrdersTable[[#This Row],[Profit]]/OrdersTable[[#This Row],[Net Revenue]],0)</f>
        <v>0.48780846784084775</v>
      </c>
      <c r="AA3225" t="s">
        <v>2522</v>
      </c>
      <c r="AB3225" s="79">
        <v>45822</v>
      </c>
      <c r="AC3225">
        <f>OrdersTable[[#This Row],[Delivery Date]]-OrdersTable[[#This Row],[Order Date]]</f>
        <v>1</v>
      </c>
      <c r="AD3225" t="str">
        <f>IF(OrdersTable[[#This Row],[Delivery Days]]&lt;=2, "Express (≤2d)", IF(OrdersTable[[#This Row],[Delivery Days]]&lt;=4, "Standard (3-4d)", "Delayed (5d+)"))</f>
        <v>Express (≤2d)</v>
      </c>
      <c r="AE3225">
        <v>5</v>
      </c>
      <c r="AF3225">
        <v>0</v>
      </c>
    </row>
    <row r="3226" spans="1:32" ht="15" x14ac:dyDescent="0.35">
      <c r="A3226" t="s">
        <v>1567</v>
      </c>
      <c r="B3226" s="1">
        <v>45821</v>
      </c>
      <c r="C3226">
        <f>YEAR(OrdersTable[[#This Row],[Order Date]])</f>
        <v>2025</v>
      </c>
      <c r="D3226" s="2">
        <f>DATE(YEAR(OrdersTable[[#This Row],[Order Date]]),MONTH(OrdersTable[[#This Row],[Order Date]]),1)</f>
        <v>45809</v>
      </c>
      <c r="E3226">
        <f>MONTH(OrdersTable[[#This Row],[Order Date]])</f>
        <v>6</v>
      </c>
      <c r="F3226" t="s">
        <v>1568</v>
      </c>
      <c r="G3226" t="str">
        <f>IF(OrdersTable[[#This Row],[Order Date]]=_xlfn.MINIFS(Order_Date, Customer_ID, OrdersTable[[#This Row],[Customer ID]]), "New", "Repeat")</f>
        <v>Repeat</v>
      </c>
      <c r="H3226" t="s">
        <v>316</v>
      </c>
      <c r="I3226" t="str">
        <f>INDEX(State!B:B,MATCH(OrdersTable[[#This Row],[State]],State!A:A,0))</f>
        <v>KL</v>
      </c>
      <c r="J3226" t="str">
        <f>INDEX(State!C:C,MATCH(OrdersTable[[#This Row],[State Code]],State!B:B,0))</f>
        <v>South</v>
      </c>
      <c r="K3226" t="s">
        <v>338</v>
      </c>
      <c r="L3226" t="s">
        <v>39</v>
      </c>
      <c r="M3226" t="s">
        <v>40</v>
      </c>
      <c r="N3226" t="str">
        <f>INDEX(Products!B:B,MATCH(OrdersTable[[#This Row],[Product ID]],Products!A:A,0))</f>
        <v>Ashwagandha Capsules</v>
      </c>
      <c r="O3226" t="str">
        <f>INDEX(Products!C:C,MATCH(OrdersTable[[#This Row],[Product ID]],Products!A:A,0))</f>
        <v>Wellness</v>
      </c>
      <c r="P3226">
        <v>1</v>
      </c>
      <c r="Q3226" s="5">
        <v>499</v>
      </c>
      <c r="R3226" s="74">
        <v>0.05</v>
      </c>
      <c r="S3226" s="75">
        <f>OrdersTable[[#This Row],[Quantity]]*OrdersTable[[#This Row],[Unit Price]]</f>
        <v>499</v>
      </c>
      <c r="T3226" s="5">
        <f>OrdersTable[[#This Row],[Gross Sale]]*OrdersTable[[#This Row],[Discount_Clean2]]</f>
        <v>24.950000000000003</v>
      </c>
      <c r="U3226" s="5">
        <f>OrdersTable[[#This Row],[Gross Sale]]-OrdersTable[[#This Row],[Discount Amount]]</f>
        <v>474.05</v>
      </c>
      <c r="V3226" s="77">
        <f>INDEX(Products!E:E,MATCH(OrdersTable[[#This Row],[Product ID]],Products!A:A,0))</f>
        <v>150</v>
      </c>
      <c r="W3226" s="77">
        <f>OrdersTable[[#This Row],[Quantity]]*OrdersTable[[#This Row],[Unit Cost]]</f>
        <v>150</v>
      </c>
      <c r="X3226" s="77">
        <f>'Dropdown Lists'!$I$2*(1+OrdersTable[[#This Row],[Returned]])</f>
        <v>60</v>
      </c>
      <c r="Y3226" s="76">
        <f>OrdersTable[[#This Row],[Net Revenue]]-OrdersTable[[#This Row],[COGS]]-OrdersTable[[#This Row],[Shipping Cost]]</f>
        <v>264.05</v>
      </c>
      <c r="Z3226" s="78">
        <f>IFERROR(OrdersTable[[#This Row],[Profit]]/OrdersTable[[#This Row],[Net Revenue]],0)</f>
        <v>0.55700875435080688</v>
      </c>
      <c r="AA3226" t="s">
        <v>18</v>
      </c>
      <c r="AB3226" s="79">
        <v>45826</v>
      </c>
      <c r="AC3226">
        <f>OrdersTable[[#This Row],[Delivery Date]]-OrdersTable[[#This Row],[Order Date]]</f>
        <v>5</v>
      </c>
      <c r="AD3226" t="str">
        <f>IF(OrdersTable[[#This Row],[Delivery Days]]&lt;=2, "Express (≤2d)", IF(OrdersTable[[#This Row],[Delivery Days]]&lt;=4, "Standard (3-4d)", "Delayed (5d+)"))</f>
        <v>Delayed (5d+)</v>
      </c>
      <c r="AF3226">
        <v>0</v>
      </c>
    </row>
    <row r="3227" spans="1:32" ht="15" x14ac:dyDescent="0.35">
      <c r="A3227" t="s">
        <v>5202</v>
      </c>
      <c r="B3227" s="1">
        <v>45822</v>
      </c>
      <c r="C3227">
        <f>YEAR(OrdersTable[[#This Row],[Order Date]])</f>
        <v>2025</v>
      </c>
      <c r="D3227" s="2">
        <f>DATE(YEAR(OrdersTable[[#This Row],[Order Date]]),MONTH(OrdersTable[[#This Row],[Order Date]]),1)</f>
        <v>45809</v>
      </c>
      <c r="E3227">
        <f>MONTH(OrdersTable[[#This Row],[Order Date]])</f>
        <v>6</v>
      </c>
      <c r="F3227" t="s">
        <v>641</v>
      </c>
      <c r="G3227" t="str">
        <f>IF(OrdersTable[[#This Row],[Order Date]]=_xlfn.MINIFS(Order_Date, Customer_ID, OrdersTable[[#This Row],[Customer ID]]), "New", "Repeat")</f>
        <v>Repeat</v>
      </c>
      <c r="H3227" t="s">
        <v>48</v>
      </c>
      <c r="I3227" t="str">
        <f>INDEX(State!B:B,MATCH(OrdersTable[[#This Row],[State]],State!A:A,0))</f>
        <v>HR</v>
      </c>
      <c r="J3227" t="str">
        <f>INDEX(State!C:C,MATCH(OrdersTable[[#This Row],[State Code]],State!B:B,0))</f>
        <v>North</v>
      </c>
      <c r="K3227" t="s">
        <v>151</v>
      </c>
      <c r="L3227" t="s">
        <v>65</v>
      </c>
      <c r="M3227" t="s">
        <v>87</v>
      </c>
      <c r="N3227" t="str">
        <f>INDEX(Products!B:B,MATCH(OrdersTable[[#This Row],[Product ID]],Products!A:A,0))</f>
        <v>Linen Kurta</v>
      </c>
      <c r="O3227" t="str">
        <f>INDEX(Products!C:C,MATCH(OrdersTable[[#This Row],[Product ID]],Products!A:A,0))</f>
        <v>Apparel</v>
      </c>
      <c r="P3227">
        <v>2</v>
      </c>
      <c r="Q3227" s="5">
        <v>1499</v>
      </c>
      <c r="R3227" s="74">
        <v>0.3</v>
      </c>
      <c r="S3227" s="75">
        <f>OrdersTable[[#This Row],[Quantity]]*OrdersTable[[#This Row],[Unit Price]]</f>
        <v>2998</v>
      </c>
      <c r="T3227" s="5">
        <f>OrdersTable[[#This Row],[Gross Sale]]*OrdersTable[[#This Row],[Discount_Clean2]]</f>
        <v>899.4</v>
      </c>
      <c r="U3227" s="5">
        <f>OrdersTable[[#This Row],[Gross Sale]]-OrdersTable[[#This Row],[Discount Amount]]</f>
        <v>2098.6</v>
      </c>
      <c r="V3227" s="77">
        <f>INDEX(Products!E:E,MATCH(OrdersTable[[#This Row],[Product ID]],Products!A:A,0))</f>
        <v>630</v>
      </c>
      <c r="W3227" s="77">
        <f>OrdersTable[[#This Row],[Quantity]]*OrdersTable[[#This Row],[Unit Cost]]</f>
        <v>1260</v>
      </c>
      <c r="X3227" s="77">
        <f>'Dropdown Lists'!$I$2*(1+OrdersTable[[#This Row],[Returned]])</f>
        <v>60</v>
      </c>
      <c r="Y3227" s="76">
        <f>OrdersTable[[#This Row],[Net Revenue]]-OrdersTable[[#This Row],[COGS]]-OrdersTable[[#This Row],[Shipping Cost]]</f>
        <v>778.59999999999991</v>
      </c>
      <c r="Z3227" s="78">
        <f>IFERROR(OrdersTable[[#This Row],[Profit]]/OrdersTable[[#This Row],[Net Revenue]],0)</f>
        <v>0.3710092442580768</v>
      </c>
      <c r="AA3227" t="s">
        <v>3495</v>
      </c>
      <c r="AB3227" s="79">
        <v>45826</v>
      </c>
      <c r="AC3227">
        <f>OrdersTable[[#This Row],[Delivery Date]]-OrdersTable[[#This Row],[Order Date]]</f>
        <v>4</v>
      </c>
      <c r="AD3227" t="str">
        <f>IF(OrdersTable[[#This Row],[Delivery Days]]&lt;=2, "Express (≤2d)", IF(OrdersTable[[#This Row],[Delivery Days]]&lt;=4, "Standard (3-4d)", "Delayed (5d+)"))</f>
        <v>Standard (3-4d)</v>
      </c>
      <c r="AE3227">
        <v>3</v>
      </c>
      <c r="AF3227">
        <v>0</v>
      </c>
    </row>
    <row r="3228" spans="1:32" ht="15" x14ac:dyDescent="0.35">
      <c r="A3228" t="s">
        <v>6721</v>
      </c>
      <c r="B3228" s="1">
        <v>45822</v>
      </c>
      <c r="C3228">
        <f>YEAR(OrdersTable[[#This Row],[Order Date]])</f>
        <v>2025</v>
      </c>
      <c r="D3228" s="2">
        <f>DATE(YEAR(OrdersTable[[#This Row],[Order Date]]),MONTH(OrdersTable[[#This Row],[Order Date]]),1)</f>
        <v>45809</v>
      </c>
      <c r="E3228">
        <f>MONTH(OrdersTable[[#This Row],[Order Date]])</f>
        <v>6</v>
      </c>
      <c r="F3228" t="s">
        <v>5477</v>
      </c>
      <c r="G3228" t="str">
        <f>IF(OrdersTable[[#This Row],[Order Date]]=_xlfn.MINIFS(Order_Date, Customer_ID, OrdersTable[[#This Row],[Customer ID]]), "New", "Repeat")</f>
        <v>Repeat</v>
      </c>
      <c r="H3228" t="s">
        <v>37</v>
      </c>
      <c r="I3228" t="str">
        <f>INDEX(State!B:B,MATCH(OrdersTable[[#This Row],[State]],State!A:A,0))</f>
        <v>GJ</v>
      </c>
      <c r="J3228" t="str">
        <f>INDEX(State!C:C,MATCH(OrdersTable[[#This Row],[State Code]],State!B:B,0))</f>
        <v>West</v>
      </c>
      <c r="K3228" t="s">
        <v>38</v>
      </c>
      <c r="L3228" t="s">
        <v>23</v>
      </c>
      <c r="M3228" t="s">
        <v>148</v>
      </c>
      <c r="N3228" t="str">
        <f>INDEX(Products!B:B,MATCH(OrdersTable[[#This Row],[Product ID]],Products!A:A,0))</f>
        <v>Smartwatch Strap</v>
      </c>
      <c r="O3228" t="str">
        <f>INDEX(Products!C:C,MATCH(OrdersTable[[#This Row],[Product ID]],Products!A:A,0))</f>
        <v>Electronics</v>
      </c>
      <c r="P3228">
        <v>3</v>
      </c>
      <c r="Q3228" s="5">
        <v>499</v>
      </c>
      <c r="R3228" s="74">
        <v>0.1</v>
      </c>
      <c r="S3228" s="75">
        <f>OrdersTable[[#This Row],[Quantity]]*OrdersTable[[#This Row],[Unit Price]]</f>
        <v>1497</v>
      </c>
      <c r="T3228" s="5">
        <f>OrdersTable[[#This Row],[Gross Sale]]*OrdersTable[[#This Row],[Discount_Clean2]]</f>
        <v>149.70000000000002</v>
      </c>
      <c r="U3228" s="5">
        <f>OrdersTable[[#This Row],[Gross Sale]]-OrdersTable[[#This Row],[Discount Amount]]</f>
        <v>1347.3</v>
      </c>
      <c r="V3228" s="77">
        <f>INDEX(Products!E:E,MATCH(OrdersTable[[#This Row],[Product ID]],Products!A:A,0))</f>
        <v>200</v>
      </c>
      <c r="W3228" s="77">
        <f>OrdersTable[[#This Row],[Quantity]]*OrdersTable[[#This Row],[Unit Cost]]</f>
        <v>600</v>
      </c>
      <c r="X3228" s="77">
        <f>'Dropdown Lists'!$I$2*(1+OrdersTable[[#This Row],[Returned]])</f>
        <v>60</v>
      </c>
      <c r="Y3228" s="76">
        <f>OrdersTable[[#This Row],[Net Revenue]]-OrdersTable[[#This Row],[COGS]]-OrdersTable[[#This Row],[Shipping Cost]]</f>
        <v>687.3</v>
      </c>
      <c r="Z3228" s="78">
        <f>IFERROR(OrdersTable[[#This Row],[Profit]]/OrdersTable[[#This Row],[Net Revenue]],0)</f>
        <v>0.51013137385882878</v>
      </c>
      <c r="AA3228" t="s">
        <v>2522</v>
      </c>
      <c r="AB3228" s="79">
        <v>45825</v>
      </c>
      <c r="AC3228">
        <f>OrdersTable[[#This Row],[Delivery Date]]-OrdersTable[[#This Row],[Order Date]]</f>
        <v>3</v>
      </c>
      <c r="AD3228" t="str">
        <f>IF(OrdersTable[[#This Row],[Delivery Days]]&lt;=2, "Express (≤2d)", IF(OrdersTable[[#This Row],[Delivery Days]]&lt;=4, "Standard (3-4d)", "Delayed (5d+)"))</f>
        <v>Standard (3-4d)</v>
      </c>
      <c r="AE3228">
        <v>4</v>
      </c>
      <c r="AF3228">
        <v>0</v>
      </c>
    </row>
    <row r="3229" spans="1:32" ht="15" x14ac:dyDescent="0.35">
      <c r="A3229" t="s">
        <v>3292</v>
      </c>
      <c r="B3229" s="1">
        <v>45822</v>
      </c>
      <c r="C3229">
        <f>YEAR(OrdersTable[[#This Row],[Order Date]])</f>
        <v>2025</v>
      </c>
      <c r="D3229" s="2">
        <f>DATE(YEAR(OrdersTable[[#This Row],[Order Date]]),MONTH(OrdersTable[[#This Row],[Order Date]]),1)</f>
        <v>45809</v>
      </c>
      <c r="E3229">
        <f>MONTH(OrdersTable[[#This Row],[Order Date]])</f>
        <v>6</v>
      </c>
      <c r="F3229" t="s">
        <v>1671</v>
      </c>
      <c r="G3229" t="str">
        <f>IF(OrdersTable[[#This Row],[Order Date]]=_xlfn.MINIFS(Order_Date, Customer_ID, OrdersTable[[#This Row],[Customer ID]]), "New", "Repeat")</f>
        <v>Repeat</v>
      </c>
      <c r="H3229" t="s">
        <v>95</v>
      </c>
      <c r="I3229" t="str">
        <f>INDEX(State!B:B,MATCH(OrdersTable[[#This Row],[State]],State!A:A,0))</f>
        <v>TG</v>
      </c>
      <c r="J3229" t="str">
        <f>INDEX(State!C:C,MATCH(OrdersTable[[#This Row],[State Code]],State!B:B,0))</f>
        <v>South</v>
      </c>
      <c r="K3229" t="s">
        <v>96</v>
      </c>
      <c r="L3229" t="s">
        <v>16</v>
      </c>
      <c r="M3229" t="s">
        <v>255</v>
      </c>
      <c r="N3229" t="str">
        <f>INDEX(Products!B:B,MATCH(OrdersTable[[#This Row],[Product ID]],Products!A:A,0))</f>
        <v>Cotton Oversized T-Shirt</v>
      </c>
      <c r="O3229" t="str">
        <f>INDEX(Products!C:C,MATCH(OrdersTable[[#This Row],[Product ID]],Products!A:A,0))</f>
        <v>Apparel</v>
      </c>
      <c r="P3229">
        <v>1</v>
      </c>
      <c r="Q3229" s="5">
        <v>799</v>
      </c>
      <c r="R3229" s="74">
        <v>0</v>
      </c>
      <c r="S3229" s="75">
        <f>OrdersTable[[#This Row],[Quantity]]*OrdersTable[[#This Row],[Unit Price]]</f>
        <v>799</v>
      </c>
      <c r="T3229" s="5">
        <f>OrdersTable[[#This Row],[Gross Sale]]*OrdersTable[[#This Row],[Discount_Clean2]]</f>
        <v>0</v>
      </c>
      <c r="U3229" s="5">
        <f>OrdersTable[[#This Row],[Gross Sale]]-OrdersTable[[#This Row],[Discount Amount]]</f>
        <v>799</v>
      </c>
      <c r="V3229" s="77">
        <f>INDEX(Products!E:E,MATCH(OrdersTable[[#This Row],[Product ID]],Products!A:A,0))</f>
        <v>320</v>
      </c>
      <c r="W3229" s="77">
        <f>OrdersTable[[#This Row],[Quantity]]*OrdersTable[[#This Row],[Unit Cost]]</f>
        <v>320</v>
      </c>
      <c r="X3229" s="77">
        <f>'Dropdown Lists'!$I$2*(1+OrdersTable[[#This Row],[Returned]])</f>
        <v>60</v>
      </c>
      <c r="Y3229" s="76">
        <f>OrdersTable[[#This Row],[Net Revenue]]-OrdersTable[[#This Row],[COGS]]-OrdersTable[[#This Row],[Shipping Cost]]</f>
        <v>419</v>
      </c>
      <c r="Z3229" s="78">
        <f>IFERROR(OrdersTable[[#This Row],[Profit]]/OrdersTable[[#This Row],[Net Revenue]],0)</f>
        <v>0.52440550688360454</v>
      </c>
      <c r="AA3229" t="s">
        <v>2522</v>
      </c>
      <c r="AB3229" s="79">
        <v>45823</v>
      </c>
      <c r="AC3229">
        <f>OrdersTable[[#This Row],[Delivery Date]]-OrdersTable[[#This Row],[Order Date]]</f>
        <v>1</v>
      </c>
      <c r="AD3229" t="str">
        <f>IF(OrdersTable[[#This Row],[Delivery Days]]&lt;=2, "Express (≤2d)", IF(OrdersTable[[#This Row],[Delivery Days]]&lt;=4, "Standard (3-4d)", "Delayed (5d+)"))</f>
        <v>Express (≤2d)</v>
      </c>
      <c r="AE3229">
        <v>4</v>
      </c>
      <c r="AF3229">
        <v>0</v>
      </c>
    </row>
    <row r="3230" spans="1:32" ht="15" x14ac:dyDescent="0.35">
      <c r="A3230" t="s">
        <v>6600</v>
      </c>
      <c r="B3230" s="1">
        <v>45823</v>
      </c>
      <c r="C3230">
        <f>YEAR(OrdersTable[[#This Row],[Order Date]])</f>
        <v>2025</v>
      </c>
      <c r="D3230" s="2">
        <f>DATE(YEAR(OrdersTable[[#This Row],[Order Date]]),MONTH(OrdersTable[[#This Row],[Order Date]]),1)</f>
        <v>45809</v>
      </c>
      <c r="E3230">
        <f>MONTH(OrdersTable[[#This Row],[Order Date]])</f>
        <v>6</v>
      </c>
      <c r="F3230" t="s">
        <v>2456</v>
      </c>
      <c r="G3230" t="str">
        <f>IF(OrdersTable[[#This Row],[Order Date]]=_xlfn.MINIFS(Order_Date, Customer_ID, OrdersTable[[#This Row],[Customer ID]]), "New", "Repeat")</f>
        <v>New</v>
      </c>
      <c r="H3230" t="s">
        <v>21</v>
      </c>
      <c r="I3230" t="str">
        <f>INDEX(State!B:B,MATCH(OrdersTable[[#This Row],[State]],State!A:A,0))</f>
        <v>PB</v>
      </c>
      <c r="J3230" t="str">
        <f>INDEX(State!C:C,MATCH(OrdersTable[[#This Row],[State Code]],State!B:B,0))</f>
        <v>North</v>
      </c>
      <c r="K3230" t="s">
        <v>22</v>
      </c>
      <c r="L3230" t="s">
        <v>23</v>
      </c>
      <c r="M3230" t="s">
        <v>152</v>
      </c>
      <c r="N3230" t="str">
        <f>INDEX(Products!B:B,MATCH(OrdersTable[[#This Row],[Product ID]],Products!A:A,0))</f>
        <v>Green Tea (100 bags)</v>
      </c>
      <c r="O3230" t="str">
        <f>INDEX(Products!C:C,MATCH(OrdersTable[[#This Row],[Product ID]],Products!A:A,0))</f>
        <v>Wellness</v>
      </c>
      <c r="P3230">
        <v>3</v>
      </c>
      <c r="Q3230" s="5">
        <v>399</v>
      </c>
      <c r="R3230" s="74">
        <v>0.45</v>
      </c>
      <c r="S3230" s="75">
        <f>OrdersTable[[#This Row],[Quantity]]*OrdersTable[[#This Row],[Unit Price]]</f>
        <v>1197</v>
      </c>
      <c r="T3230" s="5">
        <f>OrdersTable[[#This Row],[Gross Sale]]*OrdersTable[[#This Row],[Discount_Clean2]]</f>
        <v>538.65</v>
      </c>
      <c r="U3230" s="5">
        <f>OrdersTable[[#This Row],[Gross Sale]]-OrdersTable[[#This Row],[Discount Amount]]</f>
        <v>658.35</v>
      </c>
      <c r="V3230" s="77">
        <f>INDEX(Products!E:E,MATCH(OrdersTable[[#This Row],[Product ID]],Products!A:A,0))</f>
        <v>128</v>
      </c>
      <c r="W3230" s="77">
        <f>OrdersTable[[#This Row],[Quantity]]*OrdersTable[[#This Row],[Unit Cost]]</f>
        <v>384</v>
      </c>
      <c r="X3230" s="77">
        <f>'Dropdown Lists'!$I$2*(1+OrdersTable[[#This Row],[Returned]])</f>
        <v>60</v>
      </c>
      <c r="Y3230" s="76">
        <f>OrdersTable[[#This Row],[Net Revenue]]-OrdersTable[[#This Row],[COGS]]-OrdersTable[[#This Row],[Shipping Cost]]</f>
        <v>214.35000000000002</v>
      </c>
      <c r="Z3230" s="78">
        <f>IFERROR(OrdersTable[[#This Row],[Profit]]/OrdersTable[[#This Row],[Net Revenue]],0)</f>
        <v>0.32558669400774665</v>
      </c>
      <c r="AA3230" t="s">
        <v>18</v>
      </c>
      <c r="AB3230" s="79">
        <v>45826</v>
      </c>
      <c r="AC3230">
        <f>OrdersTable[[#This Row],[Delivery Date]]-OrdersTable[[#This Row],[Order Date]]</f>
        <v>3</v>
      </c>
      <c r="AD3230" t="str">
        <f>IF(OrdersTable[[#This Row],[Delivery Days]]&lt;=2, "Express (≤2d)", IF(OrdersTable[[#This Row],[Delivery Days]]&lt;=4, "Standard (3-4d)", "Delayed (5d+)"))</f>
        <v>Standard (3-4d)</v>
      </c>
      <c r="AF3230">
        <v>0</v>
      </c>
    </row>
    <row r="3231" spans="1:32" ht="15" x14ac:dyDescent="0.35">
      <c r="A3231" t="s">
        <v>5956</v>
      </c>
      <c r="B3231" s="1">
        <v>45823</v>
      </c>
      <c r="C3231">
        <f>YEAR(OrdersTable[[#This Row],[Order Date]])</f>
        <v>2025</v>
      </c>
      <c r="D3231" s="2">
        <f>DATE(YEAR(OrdersTable[[#This Row],[Order Date]]),MONTH(OrdersTable[[#This Row],[Order Date]]),1)</f>
        <v>45809</v>
      </c>
      <c r="E3231">
        <f>MONTH(OrdersTable[[#This Row],[Order Date]])</f>
        <v>6</v>
      </c>
      <c r="F3231" t="s">
        <v>868</v>
      </c>
      <c r="G3231" t="str">
        <f>IF(OrdersTable[[#This Row],[Order Date]]=_xlfn.MINIFS(Order_Date, Customer_ID, OrdersTable[[#This Row],[Customer ID]]), "New", "Repeat")</f>
        <v>New</v>
      </c>
      <c r="H3231" t="s">
        <v>184</v>
      </c>
      <c r="I3231" t="str">
        <f>INDEX(State!B:B,MATCH(OrdersTable[[#This Row],[State]],State!A:A,0))</f>
        <v>UK</v>
      </c>
      <c r="J3231" t="str">
        <f>INDEX(State!C:C,MATCH(OrdersTable[[#This Row],[State Code]],State!B:B,0))</f>
        <v>North</v>
      </c>
      <c r="K3231" t="s">
        <v>185</v>
      </c>
      <c r="L3231" t="s">
        <v>50</v>
      </c>
      <c r="M3231" t="s">
        <v>106</v>
      </c>
      <c r="N3231" t="str">
        <f>INDEX(Products!B:B,MATCH(OrdersTable[[#This Row],[Product ID]],Products!A:A,0))</f>
        <v>Keratin Hair Mask</v>
      </c>
      <c r="O3231" t="str">
        <f>INDEX(Products!C:C,MATCH(OrdersTable[[#This Row],[Product ID]],Products!A:A,0))</f>
        <v>Haircare</v>
      </c>
      <c r="P3231">
        <v>2</v>
      </c>
      <c r="Q3231" s="5">
        <v>549</v>
      </c>
      <c r="R3231" s="74">
        <v>0.1</v>
      </c>
      <c r="S3231" s="75">
        <f>OrdersTable[[#This Row],[Quantity]]*OrdersTable[[#This Row],[Unit Price]]</f>
        <v>1098</v>
      </c>
      <c r="T3231" s="5">
        <f>OrdersTable[[#This Row],[Gross Sale]]*OrdersTable[[#This Row],[Discount_Clean2]]</f>
        <v>109.80000000000001</v>
      </c>
      <c r="U3231" s="5">
        <f>OrdersTable[[#This Row],[Gross Sale]]-OrdersTable[[#This Row],[Discount Amount]]</f>
        <v>988.2</v>
      </c>
      <c r="V3231" s="77">
        <f>INDEX(Products!E:E,MATCH(OrdersTable[[#This Row],[Product ID]],Products!A:A,0))</f>
        <v>170</v>
      </c>
      <c r="W3231" s="77">
        <f>OrdersTable[[#This Row],[Quantity]]*OrdersTable[[#This Row],[Unit Cost]]</f>
        <v>340</v>
      </c>
      <c r="X3231" s="77">
        <f>'Dropdown Lists'!$I$2*(1+OrdersTable[[#This Row],[Returned]])</f>
        <v>60</v>
      </c>
      <c r="Y3231" s="76">
        <f>OrdersTable[[#This Row],[Net Revenue]]-OrdersTable[[#This Row],[COGS]]-OrdersTable[[#This Row],[Shipping Cost]]</f>
        <v>588.20000000000005</v>
      </c>
      <c r="Z3231" s="78">
        <f>IFERROR(OrdersTable[[#This Row],[Profit]]/OrdersTable[[#This Row],[Net Revenue]],0)</f>
        <v>0.59522363893948593</v>
      </c>
      <c r="AA3231" t="s">
        <v>18</v>
      </c>
      <c r="AB3231" s="79">
        <v>45826</v>
      </c>
      <c r="AC3231">
        <f>OrdersTable[[#This Row],[Delivery Date]]-OrdersTable[[#This Row],[Order Date]]</f>
        <v>3</v>
      </c>
      <c r="AD3231" t="str">
        <f>IF(OrdersTable[[#This Row],[Delivery Days]]&lt;=2, "Express (≤2d)", IF(OrdersTable[[#This Row],[Delivery Days]]&lt;=4, "Standard (3-4d)", "Delayed (5d+)"))</f>
        <v>Standard (3-4d)</v>
      </c>
      <c r="AF3231">
        <v>0</v>
      </c>
    </row>
    <row r="3232" spans="1:32" ht="15" x14ac:dyDescent="0.35">
      <c r="A3232" t="s">
        <v>3293</v>
      </c>
      <c r="B3232" s="1">
        <v>45823</v>
      </c>
      <c r="C3232">
        <f>YEAR(OrdersTable[[#This Row],[Order Date]])</f>
        <v>2025</v>
      </c>
      <c r="D3232" s="2">
        <f>DATE(YEAR(OrdersTable[[#This Row],[Order Date]]),MONTH(OrdersTable[[#This Row],[Order Date]]),1)</f>
        <v>45809</v>
      </c>
      <c r="E3232">
        <f>MONTH(OrdersTable[[#This Row],[Order Date]])</f>
        <v>6</v>
      </c>
      <c r="F3232" t="s">
        <v>3294</v>
      </c>
      <c r="G3232" t="str">
        <f>IF(OrdersTable[[#This Row],[Order Date]]=_xlfn.MINIFS(Order_Date, Customer_ID, OrdersTable[[#This Row],[Customer ID]]), "New", "Repeat")</f>
        <v>Repeat</v>
      </c>
      <c r="H3232" t="s">
        <v>54</v>
      </c>
      <c r="I3232" t="str">
        <f>INDEX(State!B:B,MATCH(OrdersTable[[#This Row],[State]],State!A:A,0))</f>
        <v>RJ</v>
      </c>
      <c r="J3232" t="str">
        <f>INDEX(State!C:C,MATCH(OrdersTable[[#This Row],[State Code]],State!B:B,0))</f>
        <v>North</v>
      </c>
      <c r="K3232" t="s">
        <v>227</v>
      </c>
      <c r="L3232" t="s">
        <v>50</v>
      </c>
      <c r="M3232" t="s">
        <v>56</v>
      </c>
      <c r="N3232" t="str">
        <f>INDEX(Products!B:B,MATCH(OrdersTable[[#This Row],[Product ID]],Products!A:A,0))</f>
        <v>Vitamin C Face Serum</v>
      </c>
      <c r="O3232" t="str">
        <f>INDEX(Products!C:C,MATCH(OrdersTable[[#This Row],[Product ID]],Products!A:A,0))</f>
        <v>Skincare</v>
      </c>
      <c r="P3232">
        <v>1</v>
      </c>
      <c r="Q3232" s="5">
        <v>599</v>
      </c>
      <c r="R3232" s="74">
        <v>0.2</v>
      </c>
      <c r="S3232" s="75">
        <f>OrdersTable[[#This Row],[Quantity]]*OrdersTable[[#This Row],[Unit Price]]</f>
        <v>599</v>
      </c>
      <c r="T3232" s="5">
        <f>OrdersTable[[#This Row],[Gross Sale]]*OrdersTable[[#This Row],[Discount_Clean2]]</f>
        <v>119.80000000000001</v>
      </c>
      <c r="U3232" s="5">
        <f>OrdersTable[[#This Row],[Gross Sale]]-OrdersTable[[#This Row],[Discount Amount]]</f>
        <v>479.2</v>
      </c>
      <c r="V3232" s="77">
        <f>INDEX(Products!E:E,MATCH(OrdersTable[[#This Row],[Product ID]],Products!A:A,0))</f>
        <v>180</v>
      </c>
      <c r="W3232" s="77">
        <f>OrdersTable[[#This Row],[Quantity]]*OrdersTable[[#This Row],[Unit Cost]]</f>
        <v>180</v>
      </c>
      <c r="X3232" s="77">
        <f>'Dropdown Lists'!$I$2*(1+OrdersTable[[#This Row],[Returned]])</f>
        <v>60</v>
      </c>
      <c r="Y3232" s="76">
        <f>OrdersTable[[#This Row],[Net Revenue]]-OrdersTable[[#This Row],[COGS]]-OrdersTable[[#This Row],[Shipping Cost]]</f>
        <v>239.2</v>
      </c>
      <c r="Z3232" s="78">
        <f>IFERROR(OrdersTable[[#This Row],[Profit]]/OrdersTable[[#This Row],[Net Revenue]],0)</f>
        <v>0.4991652754590985</v>
      </c>
      <c r="AA3232" t="s">
        <v>2522</v>
      </c>
      <c r="AB3232" s="79">
        <v>45828</v>
      </c>
      <c r="AC3232">
        <f>OrdersTable[[#This Row],[Delivery Date]]-OrdersTable[[#This Row],[Order Date]]</f>
        <v>5</v>
      </c>
      <c r="AD3232" t="str">
        <f>IF(OrdersTable[[#This Row],[Delivery Days]]&lt;=2, "Express (≤2d)", IF(OrdersTable[[#This Row],[Delivery Days]]&lt;=4, "Standard (3-4d)", "Delayed (5d+)"))</f>
        <v>Delayed (5d+)</v>
      </c>
      <c r="AE3232">
        <v>4</v>
      </c>
      <c r="AF3232">
        <v>0</v>
      </c>
    </row>
    <row r="3233" spans="1:32" ht="15" x14ac:dyDescent="0.35">
      <c r="A3233" t="s">
        <v>2413</v>
      </c>
      <c r="B3233" s="1">
        <v>45823</v>
      </c>
      <c r="C3233">
        <f>YEAR(OrdersTable[[#This Row],[Order Date]])</f>
        <v>2025</v>
      </c>
      <c r="D3233" s="2">
        <f>DATE(YEAR(OrdersTable[[#This Row],[Order Date]]),MONTH(OrdersTable[[#This Row],[Order Date]]),1)</f>
        <v>45809</v>
      </c>
      <c r="E3233">
        <f>MONTH(OrdersTable[[#This Row],[Order Date]])</f>
        <v>6</v>
      </c>
      <c r="F3233" t="s">
        <v>2414</v>
      </c>
      <c r="G3233" t="str">
        <f>IF(OrdersTable[[#This Row],[Order Date]]=_xlfn.MINIFS(Order_Date, Customer_ID, OrdersTable[[#This Row],[Customer ID]]), "New", "Repeat")</f>
        <v>Repeat</v>
      </c>
      <c r="H3233" t="s">
        <v>76</v>
      </c>
      <c r="I3233" t="str">
        <f>INDEX(State!B:B,MATCH(OrdersTable[[#This Row],[State]],State!A:A,0))</f>
        <v>UP</v>
      </c>
      <c r="J3233" t="str">
        <f>INDEX(State!C:C,MATCH(OrdersTable[[#This Row],[State Code]],State!B:B,0))</f>
        <v>North</v>
      </c>
      <c r="K3233" t="s">
        <v>118</v>
      </c>
      <c r="L3233" t="s">
        <v>39</v>
      </c>
      <c r="M3233" t="s">
        <v>56</v>
      </c>
      <c r="N3233" t="str">
        <f>INDEX(Products!B:B,MATCH(OrdersTable[[#This Row],[Product ID]],Products!A:A,0))</f>
        <v>Vitamin C Face Serum</v>
      </c>
      <c r="O3233" t="str">
        <f>INDEX(Products!C:C,MATCH(OrdersTable[[#This Row],[Product ID]],Products!A:A,0))</f>
        <v>Skincare</v>
      </c>
      <c r="P3233">
        <v>1</v>
      </c>
      <c r="Q3233" s="5">
        <v>599</v>
      </c>
      <c r="R3233" s="74">
        <v>0.15</v>
      </c>
      <c r="S3233" s="75">
        <f>OrdersTable[[#This Row],[Quantity]]*OrdersTable[[#This Row],[Unit Price]]</f>
        <v>599</v>
      </c>
      <c r="T3233" s="5">
        <f>OrdersTable[[#This Row],[Gross Sale]]*OrdersTable[[#This Row],[Discount_Clean2]]</f>
        <v>89.85</v>
      </c>
      <c r="U3233" s="5">
        <f>OrdersTable[[#This Row],[Gross Sale]]-OrdersTable[[#This Row],[Discount Amount]]</f>
        <v>509.15</v>
      </c>
      <c r="V3233" s="77">
        <f>INDEX(Products!E:E,MATCH(OrdersTable[[#This Row],[Product ID]],Products!A:A,0))</f>
        <v>180</v>
      </c>
      <c r="W3233" s="77">
        <f>OrdersTable[[#This Row],[Quantity]]*OrdersTable[[#This Row],[Unit Cost]]</f>
        <v>180</v>
      </c>
      <c r="X3233" s="77">
        <f>'Dropdown Lists'!$I$2*(1+OrdersTable[[#This Row],[Returned]])</f>
        <v>60</v>
      </c>
      <c r="Y3233" s="76">
        <f>OrdersTable[[#This Row],[Net Revenue]]-OrdersTable[[#This Row],[COGS]]-OrdersTable[[#This Row],[Shipping Cost]]</f>
        <v>269.14999999999998</v>
      </c>
      <c r="Z3233" s="78">
        <f>IFERROR(OrdersTable[[#This Row],[Profit]]/OrdersTable[[#This Row],[Net Revenue]],0)</f>
        <v>0.52862614160856325</v>
      </c>
      <c r="AA3233" t="s">
        <v>18</v>
      </c>
      <c r="AB3233" s="79">
        <v>45824</v>
      </c>
      <c r="AC3233">
        <f>OrdersTable[[#This Row],[Delivery Date]]-OrdersTable[[#This Row],[Order Date]]</f>
        <v>1</v>
      </c>
      <c r="AD3233" t="str">
        <f>IF(OrdersTable[[#This Row],[Delivery Days]]&lt;=2, "Express (≤2d)", IF(OrdersTable[[#This Row],[Delivery Days]]&lt;=4, "Standard (3-4d)", "Delayed (5d+)"))</f>
        <v>Express (≤2d)</v>
      </c>
      <c r="AE3233">
        <v>5</v>
      </c>
      <c r="AF3233">
        <v>0</v>
      </c>
    </row>
    <row r="3234" spans="1:32" ht="15" x14ac:dyDescent="0.35">
      <c r="A3234" t="s">
        <v>5713</v>
      </c>
      <c r="B3234" s="1">
        <v>45823</v>
      </c>
      <c r="C3234">
        <f>YEAR(OrdersTable[[#This Row],[Order Date]])</f>
        <v>2025</v>
      </c>
      <c r="D3234" s="2">
        <f>DATE(YEAR(OrdersTable[[#This Row],[Order Date]]),MONTH(OrdersTable[[#This Row],[Order Date]]),1)</f>
        <v>45809</v>
      </c>
      <c r="E3234">
        <f>MONTH(OrdersTable[[#This Row],[Order Date]])</f>
        <v>6</v>
      </c>
      <c r="F3234" t="s">
        <v>294</v>
      </c>
      <c r="G3234" t="str">
        <f>IF(OrdersTable[[#This Row],[Order Date]]=_xlfn.MINIFS(Order_Date, Customer_ID, OrdersTable[[#This Row],[Customer ID]]), "New", "Repeat")</f>
        <v>Repeat</v>
      </c>
      <c r="H3234" t="s">
        <v>76</v>
      </c>
      <c r="I3234" t="str">
        <f>INDEX(State!B:B,MATCH(OrdersTable[[#This Row],[State]],State!A:A,0))</f>
        <v>UP</v>
      </c>
      <c r="J3234" t="str">
        <f>INDEX(State!C:C,MATCH(OrdersTable[[#This Row],[State Code]],State!B:B,0))</f>
        <v>North</v>
      </c>
      <c r="K3234" t="s">
        <v>118</v>
      </c>
      <c r="L3234" t="s">
        <v>23</v>
      </c>
      <c r="M3234" t="s">
        <v>66</v>
      </c>
      <c r="N3234" t="str">
        <f>INDEX(Products!B:B,MATCH(OrdersTable[[#This Row],[Product ID]],Products!A:A,0))</f>
        <v>Sunscreen SPF 50</v>
      </c>
      <c r="O3234" t="str">
        <f>INDEX(Products!C:C,MATCH(OrdersTable[[#This Row],[Product ID]],Products!A:A,0))</f>
        <v>Skincare</v>
      </c>
      <c r="P3234">
        <v>2</v>
      </c>
      <c r="Q3234" s="5">
        <v>449</v>
      </c>
      <c r="R3234" s="74">
        <v>0.15</v>
      </c>
      <c r="S3234" s="75">
        <f>OrdersTable[[#This Row],[Quantity]]*OrdersTable[[#This Row],[Unit Price]]</f>
        <v>898</v>
      </c>
      <c r="T3234" s="5">
        <f>OrdersTable[[#This Row],[Gross Sale]]*OrdersTable[[#This Row],[Discount_Clean2]]</f>
        <v>134.69999999999999</v>
      </c>
      <c r="U3234" s="5">
        <f>OrdersTable[[#This Row],[Gross Sale]]-OrdersTable[[#This Row],[Discount Amount]]</f>
        <v>763.3</v>
      </c>
      <c r="V3234" s="77">
        <f>INDEX(Products!E:E,MATCH(OrdersTable[[#This Row],[Product ID]],Products!A:A,0))</f>
        <v>144</v>
      </c>
      <c r="W3234" s="77">
        <f>OrdersTable[[#This Row],[Quantity]]*OrdersTable[[#This Row],[Unit Cost]]</f>
        <v>288</v>
      </c>
      <c r="X3234" s="77">
        <f>'Dropdown Lists'!$I$2*(1+OrdersTable[[#This Row],[Returned]])</f>
        <v>60</v>
      </c>
      <c r="Y3234" s="76">
        <f>OrdersTable[[#This Row],[Net Revenue]]-OrdersTable[[#This Row],[COGS]]-OrdersTable[[#This Row],[Shipping Cost]]</f>
        <v>415.29999999999995</v>
      </c>
      <c r="Z3234" s="78">
        <f>IFERROR(OrdersTable[[#This Row],[Profit]]/OrdersTable[[#This Row],[Net Revenue]],0)</f>
        <v>0.54408489453687936</v>
      </c>
      <c r="AA3234" t="s">
        <v>18</v>
      </c>
      <c r="AB3234" s="79">
        <v>45827</v>
      </c>
      <c r="AC3234">
        <f>OrdersTable[[#This Row],[Delivery Date]]-OrdersTable[[#This Row],[Order Date]]</f>
        <v>4</v>
      </c>
      <c r="AD3234" t="str">
        <f>IF(OrdersTable[[#This Row],[Delivery Days]]&lt;=2, "Express (≤2d)", IF(OrdersTable[[#This Row],[Delivery Days]]&lt;=4, "Standard (3-4d)", "Delayed (5d+)"))</f>
        <v>Standard (3-4d)</v>
      </c>
      <c r="AE3234">
        <v>3</v>
      </c>
      <c r="AF3234">
        <v>0</v>
      </c>
    </row>
    <row r="3235" spans="1:32" ht="15" x14ac:dyDescent="0.35">
      <c r="A3235" t="s">
        <v>2415</v>
      </c>
      <c r="B3235" s="1">
        <v>45823</v>
      </c>
      <c r="C3235">
        <f>YEAR(OrdersTable[[#This Row],[Order Date]])</f>
        <v>2025</v>
      </c>
      <c r="D3235" s="2">
        <f>DATE(YEAR(OrdersTable[[#This Row],[Order Date]]),MONTH(OrdersTable[[#This Row],[Order Date]]),1)</f>
        <v>45809</v>
      </c>
      <c r="E3235">
        <f>MONTH(OrdersTable[[#This Row],[Order Date]])</f>
        <v>6</v>
      </c>
      <c r="F3235" t="s">
        <v>2416</v>
      </c>
      <c r="G3235" t="str">
        <f>IF(OrdersTable[[#This Row],[Order Date]]=_xlfn.MINIFS(Order_Date, Customer_ID, OrdersTable[[#This Row],[Customer ID]]), "New", "Repeat")</f>
        <v>Repeat</v>
      </c>
      <c r="H3235" t="s">
        <v>43</v>
      </c>
      <c r="I3235" t="str">
        <f>INDEX(State!B:B,MATCH(OrdersTable[[#This Row],[State]],State!A:A,0))</f>
        <v>MP</v>
      </c>
      <c r="J3235" t="str">
        <f>INDEX(State!C:C,MATCH(OrdersTable[[#This Row],[State Code]],State!B:B,0))</f>
        <v>West</v>
      </c>
      <c r="K3235" t="s">
        <v>44</v>
      </c>
      <c r="L3235" t="s">
        <v>23</v>
      </c>
      <c r="M3235" t="s">
        <v>423</v>
      </c>
      <c r="N3235" t="str">
        <f>INDEX(Products!B:B,MATCH(OrdersTable[[#This Row],[Product ID]],Products!A:A,0))</f>
        <v>Power Bank 20000mAh</v>
      </c>
      <c r="O3235" t="str">
        <f>INDEX(Products!C:C,MATCH(OrdersTable[[#This Row],[Product ID]],Products!A:A,0))</f>
        <v>Electronics</v>
      </c>
      <c r="P3235">
        <v>1</v>
      </c>
      <c r="Q3235" s="5">
        <v>1799</v>
      </c>
      <c r="R3235" s="74">
        <v>0.35</v>
      </c>
      <c r="S3235" s="75">
        <f>OrdersTable[[#This Row],[Quantity]]*OrdersTable[[#This Row],[Unit Price]]</f>
        <v>1799</v>
      </c>
      <c r="T3235" s="5">
        <f>OrdersTable[[#This Row],[Gross Sale]]*OrdersTable[[#This Row],[Discount_Clean2]]</f>
        <v>629.65</v>
      </c>
      <c r="U3235" s="5">
        <f>OrdersTable[[#This Row],[Gross Sale]]-OrdersTable[[#This Row],[Discount Amount]]</f>
        <v>1169.3499999999999</v>
      </c>
      <c r="V3235" s="77">
        <f>INDEX(Products!E:E,MATCH(OrdersTable[[#This Row],[Product ID]],Products!A:A,0))</f>
        <v>1079</v>
      </c>
      <c r="W3235" s="77">
        <f>OrdersTable[[#This Row],[Quantity]]*OrdersTable[[#This Row],[Unit Cost]]</f>
        <v>1079</v>
      </c>
      <c r="X3235" s="77">
        <f>'Dropdown Lists'!$I$2*(1+OrdersTable[[#This Row],[Returned]])</f>
        <v>60</v>
      </c>
      <c r="Y3235" s="76">
        <f>OrdersTable[[#This Row],[Net Revenue]]-OrdersTable[[#This Row],[COGS]]-OrdersTable[[#This Row],[Shipping Cost]]</f>
        <v>30.349999999999909</v>
      </c>
      <c r="Z3235" s="78">
        <f>IFERROR(OrdersTable[[#This Row],[Profit]]/OrdersTable[[#This Row],[Net Revenue]],0)</f>
        <v>2.5954590156924712E-2</v>
      </c>
      <c r="AA3235" t="s">
        <v>18</v>
      </c>
      <c r="AB3235" s="79">
        <v>45825</v>
      </c>
      <c r="AC3235">
        <f>OrdersTable[[#This Row],[Delivery Date]]-OrdersTable[[#This Row],[Order Date]]</f>
        <v>2</v>
      </c>
      <c r="AD3235" t="str">
        <f>IF(OrdersTable[[#This Row],[Delivery Days]]&lt;=2, "Express (≤2d)", IF(OrdersTable[[#This Row],[Delivery Days]]&lt;=4, "Standard (3-4d)", "Delayed (5d+)"))</f>
        <v>Express (≤2d)</v>
      </c>
      <c r="AE3235">
        <v>5</v>
      </c>
      <c r="AF3235">
        <v>0</v>
      </c>
    </row>
    <row r="3236" spans="1:32" ht="15" x14ac:dyDescent="0.35">
      <c r="A3236" t="s">
        <v>328</v>
      </c>
      <c r="B3236" s="1">
        <v>45823</v>
      </c>
      <c r="C3236">
        <f>YEAR(OrdersTable[[#This Row],[Order Date]])</f>
        <v>2025</v>
      </c>
      <c r="D3236" s="2">
        <f>DATE(YEAR(OrdersTable[[#This Row],[Order Date]]),MONTH(OrdersTable[[#This Row],[Order Date]]),1)</f>
        <v>45809</v>
      </c>
      <c r="E3236">
        <f>MONTH(OrdersTable[[#This Row],[Order Date]])</f>
        <v>6</v>
      </c>
      <c r="F3236" t="s">
        <v>329</v>
      </c>
      <c r="G3236" t="str">
        <f>IF(OrdersTable[[#This Row],[Order Date]]=_xlfn.MINIFS(Order_Date, Customer_ID, OrdersTable[[#This Row],[Customer ID]]), "New", "Repeat")</f>
        <v>Repeat</v>
      </c>
      <c r="H3236" t="s">
        <v>71</v>
      </c>
      <c r="I3236" t="str">
        <f>INDEX(State!B:B,MATCH(OrdersTable[[#This Row],[State]],State!A:A,0))</f>
        <v>MH</v>
      </c>
      <c r="J3236" t="str">
        <f>INDEX(State!C:C,MATCH(OrdersTable[[#This Row],[State Code]],State!B:B,0))</f>
        <v>West</v>
      </c>
      <c r="K3236" t="s">
        <v>81</v>
      </c>
      <c r="L3236" t="s">
        <v>65</v>
      </c>
      <c r="M3236" t="s">
        <v>78</v>
      </c>
      <c r="N3236" t="str">
        <f>INDEX(Products!B:B,MATCH(OrdersTable[[#This Row],[Product ID]],Products!A:A,0))</f>
        <v>Retinol Night Cream</v>
      </c>
      <c r="O3236" t="str">
        <f>INDEX(Products!C:C,MATCH(OrdersTable[[#This Row],[Product ID]],Products!A:A,0))</f>
        <v>Skincare</v>
      </c>
      <c r="P3236">
        <v>1</v>
      </c>
      <c r="Q3236" s="5">
        <v>799</v>
      </c>
      <c r="R3236" s="74">
        <v>0.05</v>
      </c>
      <c r="S3236" s="75">
        <f>OrdersTable[[#This Row],[Quantity]]*OrdersTable[[#This Row],[Unit Price]]</f>
        <v>799</v>
      </c>
      <c r="T3236" s="5">
        <f>OrdersTable[[#This Row],[Gross Sale]]*OrdersTable[[#This Row],[Discount_Clean2]]</f>
        <v>39.950000000000003</v>
      </c>
      <c r="U3236" s="5">
        <f>OrdersTable[[#This Row],[Gross Sale]]-OrdersTable[[#This Row],[Discount Amount]]</f>
        <v>759.05</v>
      </c>
      <c r="V3236" s="77">
        <f>INDEX(Products!E:E,MATCH(OrdersTable[[#This Row],[Product ID]],Products!A:A,0))</f>
        <v>216</v>
      </c>
      <c r="W3236" s="77">
        <f>OrdersTable[[#This Row],[Quantity]]*OrdersTable[[#This Row],[Unit Cost]]</f>
        <v>216</v>
      </c>
      <c r="X3236" s="77">
        <f>'Dropdown Lists'!$I$2*(1+OrdersTable[[#This Row],[Returned]])</f>
        <v>60</v>
      </c>
      <c r="Y3236" s="76">
        <f>OrdersTable[[#This Row],[Net Revenue]]-OrdersTable[[#This Row],[COGS]]-OrdersTable[[#This Row],[Shipping Cost]]</f>
        <v>483.04999999999995</v>
      </c>
      <c r="Z3236" s="78">
        <f>IFERROR(OrdersTable[[#This Row],[Profit]]/OrdersTable[[#This Row],[Net Revenue]],0)</f>
        <v>0.63638758975034582</v>
      </c>
      <c r="AA3236" t="s">
        <v>18</v>
      </c>
      <c r="AB3236" s="79">
        <v>45825</v>
      </c>
      <c r="AC3236">
        <f>OrdersTable[[#This Row],[Delivery Date]]-OrdersTable[[#This Row],[Order Date]]</f>
        <v>2</v>
      </c>
      <c r="AD3236" t="str">
        <f>IF(OrdersTable[[#This Row],[Delivery Days]]&lt;=2, "Express (≤2d)", IF(OrdersTable[[#This Row],[Delivery Days]]&lt;=4, "Standard (3-4d)", "Delayed (5d+)"))</f>
        <v>Express (≤2d)</v>
      </c>
      <c r="AE3236">
        <v>4</v>
      </c>
      <c r="AF3236">
        <v>0</v>
      </c>
    </row>
    <row r="3237" spans="1:32" ht="15" x14ac:dyDescent="0.35">
      <c r="A3237" t="s">
        <v>2417</v>
      </c>
      <c r="B3237" s="1">
        <v>45823</v>
      </c>
      <c r="C3237">
        <f>YEAR(OrdersTable[[#This Row],[Order Date]])</f>
        <v>2025</v>
      </c>
      <c r="D3237" s="2">
        <f>DATE(YEAR(OrdersTable[[#This Row],[Order Date]]),MONTH(OrdersTable[[#This Row],[Order Date]]),1)</f>
        <v>45809</v>
      </c>
      <c r="E3237">
        <f>MONTH(OrdersTable[[#This Row],[Order Date]])</f>
        <v>6</v>
      </c>
      <c r="F3237" t="s">
        <v>2418</v>
      </c>
      <c r="G3237" t="str">
        <f>IF(OrdersTable[[#This Row],[Order Date]]=_xlfn.MINIFS(Order_Date, Customer_ID, OrdersTable[[#This Row],[Customer ID]]), "New", "Repeat")</f>
        <v>Repeat</v>
      </c>
      <c r="H3237" t="s">
        <v>71</v>
      </c>
      <c r="I3237" t="str">
        <f>INDEX(State!B:B,MATCH(OrdersTable[[#This Row],[State]],State!A:A,0))</f>
        <v>MH</v>
      </c>
      <c r="J3237" t="str">
        <f>INDEX(State!C:C,MATCH(OrdersTable[[#This Row],[State Code]],State!B:B,0))</f>
        <v>West</v>
      </c>
      <c r="K3237" t="s">
        <v>102</v>
      </c>
      <c r="L3237" t="s">
        <v>50</v>
      </c>
      <c r="M3237" t="s">
        <v>66</v>
      </c>
      <c r="N3237" t="str">
        <f>INDEX(Products!B:B,MATCH(OrdersTable[[#This Row],[Product ID]],Products!A:A,0))</f>
        <v>Sunscreen SPF 50</v>
      </c>
      <c r="O3237" t="str">
        <f>INDEX(Products!C:C,MATCH(OrdersTable[[#This Row],[Product ID]],Products!A:A,0))</f>
        <v>Skincare</v>
      </c>
      <c r="P3237">
        <v>1</v>
      </c>
      <c r="Q3237" s="5">
        <v>449</v>
      </c>
      <c r="R3237" s="74">
        <v>0.1</v>
      </c>
      <c r="S3237" s="75">
        <f>OrdersTable[[#This Row],[Quantity]]*OrdersTable[[#This Row],[Unit Price]]</f>
        <v>449</v>
      </c>
      <c r="T3237" s="5">
        <f>OrdersTable[[#This Row],[Gross Sale]]*OrdersTable[[#This Row],[Discount_Clean2]]</f>
        <v>44.900000000000006</v>
      </c>
      <c r="U3237" s="5">
        <f>OrdersTable[[#This Row],[Gross Sale]]-OrdersTable[[#This Row],[Discount Amount]]</f>
        <v>404.1</v>
      </c>
      <c r="V3237" s="77">
        <f>INDEX(Products!E:E,MATCH(OrdersTable[[#This Row],[Product ID]],Products!A:A,0))</f>
        <v>144</v>
      </c>
      <c r="W3237" s="77">
        <f>OrdersTable[[#This Row],[Quantity]]*OrdersTable[[#This Row],[Unit Cost]]</f>
        <v>144</v>
      </c>
      <c r="X3237" s="77">
        <f>'Dropdown Lists'!$I$2*(1+OrdersTable[[#This Row],[Returned]])</f>
        <v>60</v>
      </c>
      <c r="Y3237" s="76">
        <f>OrdersTable[[#This Row],[Net Revenue]]-OrdersTable[[#This Row],[COGS]]-OrdersTable[[#This Row],[Shipping Cost]]</f>
        <v>200.10000000000002</v>
      </c>
      <c r="Z3237" s="78">
        <f>IFERROR(OrdersTable[[#This Row],[Profit]]/OrdersTable[[#This Row],[Net Revenue]],0)</f>
        <v>0.4951744617668894</v>
      </c>
      <c r="AA3237" t="s">
        <v>18</v>
      </c>
      <c r="AB3237" s="79">
        <v>45825</v>
      </c>
      <c r="AC3237">
        <f>OrdersTable[[#This Row],[Delivery Date]]-OrdersTable[[#This Row],[Order Date]]</f>
        <v>2</v>
      </c>
      <c r="AD3237" t="str">
        <f>IF(OrdersTable[[#This Row],[Delivery Days]]&lt;=2, "Express (≤2d)", IF(OrdersTable[[#This Row],[Delivery Days]]&lt;=4, "Standard (3-4d)", "Delayed (5d+)"))</f>
        <v>Express (≤2d)</v>
      </c>
      <c r="AE3237">
        <v>5</v>
      </c>
      <c r="AF3237">
        <v>0</v>
      </c>
    </row>
    <row r="3238" spans="1:32" ht="15" x14ac:dyDescent="0.35">
      <c r="A3238" t="s">
        <v>1996</v>
      </c>
      <c r="B3238" s="1">
        <v>45823</v>
      </c>
      <c r="C3238">
        <f>YEAR(OrdersTable[[#This Row],[Order Date]])</f>
        <v>2025</v>
      </c>
      <c r="D3238" s="2">
        <f>DATE(YEAR(OrdersTable[[#This Row],[Order Date]]),MONTH(OrdersTable[[#This Row],[Order Date]]),1)</f>
        <v>45809</v>
      </c>
      <c r="E3238">
        <f>MONTH(OrdersTable[[#This Row],[Order Date]])</f>
        <v>6</v>
      </c>
      <c r="F3238" t="s">
        <v>1997</v>
      </c>
      <c r="G3238" t="str">
        <f>IF(OrdersTable[[#This Row],[Order Date]]=_xlfn.MINIFS(Order_Date, Customer_ID, OrdersTable[[#This Row],[Customer ID]]), "New", "Repeat")</f>
        <v>New</v>
      </c>
      <c r="H3238" t="s">
        <v>71</v>
      </c>
      <c r="I3238" t="str">
        <f>INDEX(State!B:B,MATCH(OrdersTable[[#This Row],[State]],State!A:A,0))</f>
        <v>MH</v>
      </c>
      <c r="J3238" t="str">
        <f>INDEX(State!C:C,MATCH(OrdersTable[[#This Row],[State Code]],State!B:B,0))</f>
        <v>West</v>
      </c>
      <c r="K3238" t="s">
        <v>102</v>
      </c>
      <c r="L3238" t="s">
        <v>39</v>
      </c>
      <c r="M3238" t="s">
        <v>205</v>
      </c>
      <c r="N3238" t="str">
        <f>INDEX(Products!B:B,MATCH(OrdersTable[[#This Row],[Product ID]],Products!A:A,0))</f>
        <v>Running Shoes</v>
      </c>
      <c r="O3238" t="str">
        <f>INDEX(Products!C:C,MATCH(OrdersTable[[#This Row],[Product ID]],Products!A:A,0))</f>
        <v>Footwear</v>
      </c>
      <c r="P3238">
        <v>1</v>
      </c>
      <c r="Q3238" s="5">
        <v>2999</v>
      </c>
      <c r="R3238" s="74">
        <v>0.25</v>
      </c>
      <c r="S3238" s="75">
        <f>OrdersTable[[#This Row],[Quantity]]*OrdersTable[[#This Row],[Unit Price]]</f>
        <v>2999</v>
      </c>
      <c r="T3238" s="5">
        <f>OrdersTable[[#This Row],[Gross Sale]]*OrdersTable[[#This Row],[Discount_Clean2]]</f>
        <v>749.75</v>
      </c>
      <c r="U3238" s="5">
        <f>OrdersTable[[#This Row],[Gross Sale]]-OrdersTable[[#This Row],[Discount Amount]]</f>
        <v>2249.25</v>
      </c>
      <c r="V3238" s="77">
        <f>INDEX(Products!E:E,MATCH(OrdersTable[[#This Row],[Product ID]],Products!A:A,0))</f>
        <v>1440</v>
      </c>
      <c r="W3238" s="77">
        <f>OrdersTable[[#This Row],[Quantity]]*OrdersTable[[#This Row],[Unit Cost]]</f>
        <v>1440</v>
      </c>
      <c r="X3238" s="77">
        <f>'Dropdown Lists'!$I$2*(1+OrdersTable[[#This Row],[Returned]])</f>
        <v>60</v>
      </c>
      <c r="Y3238" s="76">
        <f>OrdersTable[[#This Row],[Net Revenue]]-OrdersTable[[#This Row],[COGS]]-OrdersTable[[#This Row],[Shipping Cost]]</f>
        <v>749.25</v>
      </c>
      <c r="Z3238" s="78">
        <f>IFERROR(OrdersTable[[#This Row],[Profit]]/OrdersTable[[#This Row],[Net Revenue]],0)</f>
        <v>0.33311103701233746</v>
      </c>
      <c r="AA3238" t="s">
        <v>18</v>
      </c>
      <c r="AB3238" s="79">
        <v>45825</v>
      </c>
      <c r="AC3238">
        <f>OrdersTable[[#This Row],[Delivery Date]]-OrdersTable[[#This Row],[Order Date]]</f>
        <v>2</v>
      </c>
      <c r="AD3238" t="str">
        <f>IF(OrdersTable[[#This Row],[Delivery Days]]&lt;=2, "Express (≤2d)", IF(OrdersTable[[#This Row],[Delivery Days]]&lt;=4, "Standard (3-4d)", "Delayed (5d+)"))</f>
        <v>Express (≤2d)</v>
      </c>
      <c r="AE3238">
        <v>3</v>
      </c>
      <c r="AF3238">
        <v>0</v>
      </c>
    </row>
    <row r="3239" spans="1:32" ht="15" x14ac:dyDescent="0.35">
      <c r="A3239" t="s">
        <v>5957</v>
      </c>
      <c r="B3239" s="1">
        <v>45823</v>
      </c>
      <c r="C3239">
        <f>YEAR(OrdersTable[[#This Row],[Order Date]])</f>
        <v>2025</v>
      </c>
      <c r="D3239" s="2">
        <f>DATE(YEAR(OrdersTable[[#This Row],[Order Date]]),MONTH(OrdersTable[[#This Row],[Order Date]]),1)</f>
        <v>45809</v>
      </c>
      <c r="E3239">
        <f>MONTH(OrdersTable[[#This Row],[Order Date]])</f>
        <v>6</v>
      </c>
      <c r="F3239" t="s">
        <v>2902</v>
      </c>
      <c r="G3239" t="str">
        <f>IF(OrdersTable[[#This Row],[Order Date]]=_xlfn.MINIFS(Order_Date, Customer_ID, OrdersTable[[#This Row],[Customer ID]]), "New", "Repeat")</f>
        <v>Repeat</v>
      </c>
      <c r="H3239" t="s">
        <v>95</v>
      </c>
      <c r="I3239" t="str">
        <f>INDEX(State!B:B,MATCH(OrdersTable[[#This Row],[State]],State!A:A,0))</f>
        <v>TG</v>
      </c>
      <c r="J3239" t="str">
        <f>INDEX(State!C:C,MATCH(OrdersTable[[#This Row],[State Code]],State!B:B,0))</f>
        <v>South</v>
      </c>
      <c r="K3239" t="s">
        <v>96</v>
      </c>
      <c r="L3239" t="s">
        <v>39</v>
      </c>
      <c r="M3239" t="s">
        <v>109</v>
      </c>
      <c r="N3239" t="str">
        <f>INDEX(Products!B:B,MATCH(OrdersTable[[#This Row],[Product ID]],Products!A:A,0))</f>
        <v>Onion Hair Oil</v>
      </c>
      <c r="O3239" t="str">
        <f>INDEX(Products!C:C,MATCH(OrdersTable[[#This Row],[Product ID]],Products!A:A,0))</f>
        <v>Haircare</v>
      </c>
      <c r="P3239">
        <v>2</v>
      </c>
      <c r="Q3239" s="5">
        <v>349</v>
      </c>
      <c r="R3239" s="74">
        <v>0.25</v>
      </c>
      <c r="S3239" s="75">
        <f>OrdersTable[[#This Row],[Quantity]]*OrdersTable[[#This Row],[Unit Price]]</f>
        <v>698</v>
      </c>
      <c r="T3239" s="5">
        <f>OrdersTable[[#This Row],[Gross Sale]]*OrdersTable[[#This Row],[Discount_Clean2]]</f>
        <v>174.5</v>
      </c>
      <c r="U3239" s="5">
        <f>OrdersTable[[#This Row],[Gross Sale]]-OrdersTable[[#This Row],[Discount Amount]]</f>
        <v>523.5</v>
      </c>
      <c r="V3239" s="77">
        <f>INDEX(Products!E:E,MATCH(OrdersTable[[#This Row],[Product ID]],Products!A:A,0))</f>
        <v>105</v>
      </c>
      <c r="W3239" s="77">
        <f>OrdersTable[[#This Row],[Quantity]]*OrdersTable[[#This Row],[Unit Cost]]</f>
        <v>210</v>
      </c>
      <c r="X3239" s="77">
        <f>'Dropdown Lists'!$I$2*(1+OrdersTable[[#This Row],[Returned]])</f>
        <v>60</v>
      </c>
      <c r="Y3239" s="76">
        <f>OrdersTable[[#This Row],[Net Revenue]]-OrdersTable[[#This Row],[COGS]]-OrdersTable[[#This Row],[Shipping Cost]]</f>
        <v>253.5</v>
      </c>
      <c r="Z3239" s="78">
        <f>IFERROR(OrdersTable[[#This Row],[Profit]]/OrdersTable[[#This Row],[Net Revenue]],0)</f>
        <v>0.48424068767908307</v>
      </c>
      <c r="AA3239" t="s">
        <v>18</v>
      </c>
      <c r="AB3239" s="79">
        <v>45826</v>
      </c>
      <c r="AC3239">
        <f>OrdersTable[[#This Row],[Delivery Date]]-OrdersTable[[#This Row],[Order Date]]</f>
        <v>3</v>
      </c>
      <c r="AD3239" t="str">
        <f>IF(OrdersTable[[#This Row],[Delivery Days]]&lt;=2, "Express (≤2d)", IF(OrdersTable[[#This Row],[Delivery Days]]&lt;=4, "Standard (3-4d)", "Delayed (5d+)"))</f>
        <v>Standard (3-4d)</v>
      </c>
      <c r="AF3239">
        <v>0</v>
      </c>
    </row>
    <row r="3240" spans="1:32" ht="15" x14ac:dyDescent="0.35">
      <c r="A3240" t="s">
        <v>2419</v>
      </c>
      <c r="B3240" s="1">
        <v>45823</v>
      </c>
      <c r="C3240">
        <f>YEAR(OrdersTable[[#This Row],[Order Date]])</f>
        <v>2025</v>
      </c>
      <c r="D3240" s="2">
        <f>DATE(YEAR(OrdersTable[[#This Row],[Order Date]]),MONTH(OrdersTable[[#This Row],[Order Date]]),1)</f>
        <v>45809</v>
      </c>
      <c r="E3240">
        <f>MONTH(OrdersTable[[#This Row],[Order Date]])</f>
        <v>6</v>
      </c>
      <c r="F3240" t="s">
        <v>350</v>
      </c>
      <c r="G3240" t="str">
        <f>IF(OrdersTable[[#This Row],[Order Date]]=_xlfn.MINIFS(Order_Date, Customer_ID, OrdersTable[[#This Row],[Customer ID]]), "New", "Repeat")</f>
        <v>New</v>
      </c>
      <c r="H3240" t="s">
        <v>275</v>
      </c>
      <c r="I3240" t="str">
        <f>INDEX(State!B:B,MATCH(OrdersTable[[#This Row],[State]],State!A:A,0))</f>
        <v>AP</v>
      </c>
      <c r="J3240" t="str">
        <f>INDEX(State!C:C,MATCH(OrdersTable[[#This Row],[State Code]],State!B:B,0))</f>
        <v>South</v>
      </c>
      <c r="K3240" t="s">
        <v>276</v>
      </c>
      <c r="L3240" t="s">
        <v>65</v>
      </c>
      <c r="M3240" t="s">
        <v>34</v>
      </c>
      <c r="N3240" t="str">
        <f>INDEX(Products!B:B,MATCH(OrdersTable[[#This Row],[Product ID]],Products!A:A,0))</f>
        <v>Flip Flops</v>
      </c>
      <c r="O3240" t="str">
        <f>INDEX(Products!C:C,MATCH(OrdersTable[[#This Row],[Product ID]],Products!A:A,0))</f>
        <v>Footwear</v>
      </c>
      <c r="P3240">
        <v>1</v>
      </c>
      <c r="Q3240" s="5">
        <v>399</v>
      </c>
      <c r="R3240" s="74">
        <v>0.15</v>
      </c>
      <c r="S3240" s="75">
        <f>OrdersTable[[#This Row],[Quantity]]*OrdersTable[[#This Row],[Unit Price]]</f>
        <v>399</v>
      </c>
      <c r="T3240" s="5">
        <f>OrdersTable[[#This Row],[Gross Sale]]*OrdersTable[[#This Row],[Discount_Clean2]]</f>
        <v>59.849999999999994</v>
      </c>
      <c r="U3240" s="5">
        <f>OrdersTable[[#This Row],[Gross Sale]]-OrdersTable[[#This Row],[Discount Amount]]</f>
        <v>339.15</v>
      </c>
      <c r="V3240" s="77">
        <f>INDEX(Products!E:E,MATCH(OrdersTable[[#This Row],[Product ID]],Products!A:A,0))</f>
        <v>152</v>
      </c>
      <c r="W3240" s="77">
        <f>OrdersTable[[#This Row],[Quantity]]*OrdersTable[[#This Row],[Unit Cost]]</f>
        <v>152</v>
      </c>
      <c r="X3240" s="77">
        <f>'Dropdown Lists'!$I$2*(1+OrdersTable[[#This Row],[Returned]])</f>
        <v>60</v>
      </c>
      <c r="Y3240" s="76">
        <f>OrdersTable[[#This Row],[Net Revenue]]-OrdersTable[[#This Row],[COGS]]-OrdersTable[[#This Row],[Shipping Cost]]</f>
        <v>127.14999999999998</v>
      </c>
      <c r="Z3240" s="78">
        <f>IFERROR(OrdersTable[[#This Row],[Profit]]/OrdersTable[[#This Row],[Net Revenue]],0)</f>
        <v>0.37490785787999409</v>
      </c>
      <c r="AA3240" t="s">
        <v>18</v>
      </c>
      <c r="AB3240" s="79">
        <v>45826</v>
      </c>
      <c r="AC3240">
        <f>OrdersTable[[#This Row],[Delivery Date]]-OrdersTable[[#This Row],[Order Date]]</f>
        <v>3</v>
      </c>
      <c r="AD3240" t="str">
        <f>IF(OrdersTable[[#This Row],[Delivery Days]]&lt;=2, "Express (≤2d)", IF(OrdersTable[[#This Row],[Delivery Days]]&lt;=4, "Standard (3-4d)", "Delayed (5d+)"))</f>
        <v>Standard (3-4d)</v>
      </c>
      <c r="AE3240">
        <v>5</v>
      </c>
      <c r="AF3240">
        <v>0</v>
      </c>
    </row>
    <row r="3241" spans="1:32" ht="15" x14ac:dyDescent="0.35">
      <c r="A3241" t="s">
        <v>3295</v>
      </c>
      <c r="B3241" s="1">
        <v>45823</v>
      </c>
      <c r="C3241">
        <f>YEAR(OrdersTable[[#This Row],[Order Date]])</f>
        <v>2025</v>
      </c>
      <c r="D3241" s="2">
        <f>DATE(YEAR(OrdersTable[[#This Row],[Order Date]]),MONTH(OrdersTable[[#This Row],[Order Date]]),1)</f>
        <v>45809</v>
      </c>
      <c r="E3241">
        <f>MONTH(OrdersTable[[#This Row],[Order Date]])</f>
        <v>6</v>
      </c>
      <c r="F3241" t="s">
        <v>3296</v>
      </c>
      <c r="G3241" t="str">
        <f>IF(OrdersTable[[#This Row],[Order Date]]=_xlfn.MINIFS(Order_Date, Customer_ID, OrdersTable[[#This Row],[Customer ID]]), "New", "Repeat")</f>
        <v>New</v>
      </c>
      <c r="H3241" t="s">
        <v>275</v>
      </c>
      <c r="I3241" t="str">
        <f>INDEX(State!B:B,MATCH(OrdersTable[[#This Row],[State]],State!A:A,0))</f>
        <v>AP</v>
      </c>
      <c r="J3241" t="str">
        <f>INDEX(State!C:C,MATCH(OrdersTable[[#This Row],[State Code]],State!B:B,0))</f>
        <v>South</v>
      </c>
      <c r="K3241" t="s">
        <v>491</v>
      </c>
      <c r="L3241" t="s">
        <v>23</v>
      </c>
      <c r="M3241" t="s">
        <v>106</v>
      </c>
      <c r="N3241" t="str">
        <f>INDEX(Products!B:B,MATCH(OrdersTable[[#This Row],[Product ID]],Products!A:A,0))</f>
        <v>Keratin Hair Mask</v>
      </c>
      <c r="O3241" t="str">
        <f>INDEX(Products!C:C,MATCH(OrdersTable[[#This Row],[Product ID]],Products!A:A,0))</f>
        <v>Haircare</v>
      </c>
      <c r="P3241">
        <v>1</v>
      </c>
      <c r="Q3241" s="5">
        <v>549</v>
      </c>
      <c r="R3241" s="74">
        <v>0.2</v>
      </c>
      <c r="S3241" s="75">
        <f>OrdersTable[[#This Row],[Quantity]]*OrdersTable[[#This Row],[Unit Price]]</f>
        <v>549</v>
      </c>
      <c r="T3241" s="5">
        <f>OrdersTable[[#This Row],[Gross Sale]]*OrdersTable[[#This Row],[Discount_Clean2]]</f>
        <v>109.80000000000001</v>
      </c>
      <c r="U3241" s="5">
        <f>OrdersTable[[#This Row],[Gross Sale]]-OrdersTable[[#This Row],[Discount Amount]]</f>
        <v>439.2</v>
      </c>
      <c r="V3241" s="77">
        <f>INDEX(Products!E:E,MATCH(OrdersTable[[#This Row],[Product ID]],Products!A:A,0))</f>
        <v>170</v>
      </c>
      <c r="W3241" s="77">
        <f>OrdersTable[[#This Row],[Quantity]]*OrdersTable[[#This Row],[Unit Cost]]</f>
        <v>170</v>
      </c>
      <c r="X3241" s="77">
        <f>'Dropdown Lists'!$I$2*(1+OrdersTable[[#This Row],[Returned]])</f>
        <v>60</v>
      </c>
      <c r="Y3241" s="76">
        <f>OrdersTable[[#This Row],[Net Revenue]]-OrdersTable[[#This Row],[COGS]]-OrdersTable[[#This Row],[Shipping Cost]]</f>
        <v>209.2</v>
      </c>
      <c r="Z3241" s="78">
        <f>IFERROR(OrdersTable[[#This Row],[Profit]]/OrdersTable[[#This Row],[Net Revenue]],0)</f>
        <v>0.47632058287795992</v>
      </c>
      <c r="AA3241" t="s">
        <v>2522</v>
      </c>
      <c r="AB3241" s="79">
        <v>45827</v>
      </c>
      <c r="AC3241">
        <f>OrdersTable[[#This Row],[Delivery Date]]-OrdersTable[[#This Row],[Order Date]]</f>
        <v>4</v>
      </c>
      <c r="AD3241" t="str">
        <f>IF(OrdersTable[[#This Row],[Delivery Days]]&lt;=2, "Express (≤2d)", IF(OrdersTable[[#This Row],[Delivery Days]]&lt;=4, "Standard (3-4d)", "Delayed (5d+)"))</f>
        <v>Standard (3-4d)</v>
      </c>
      <c r="AE3241">
        <v>4</v>
      </c>
      <c r="AF3241">
        <v>0</v>
      </c>
    </row>
    <row r="3242" spans="1:32" ht="15" x14ac:dyDescent="0.35">
      <c r="A3242" t="s">
        <v>3780</v>
      </c>
      <c r="B3242" s="1">
        <v>45823</v>
      </c>
      <c r="C3242">
        <f>YEAR(OrdersTable[[#This Row],[Order Date]])</f>
        <v>2025</v>
      </c>
      <c r="D3242" s="2">
        <f>DATE(YEAR(OrdersTable[[#This Row],[Order Date]]),MONTH(OrdersTable[[#This Row],[Order Date]]),1)</f>
        <v>45809</v>
      </c>
      <c r="E3242">
        <f>MONTH(OrdersTable[[#This Row],[Order Date]])</f>
        <v>6</v>
      </c>
      <c r="F3242" t="s">
        <v>3781</v>
      </c>
      <c r="G3242" t="str">
        <f>IF(OrdersTable[[#This Row],[Order Date]]=_xlfn.MINIFS(Order_Date, Customer_ID, OrdersTable[[#This Row],[Customer ID]]), "New", "Repeat")</f>
        <v>New</v>
      </c>
      <c r="H3242" t="s">
        <v>316</v>
      </c>
      <c r="I3242" t="str">
        <f>INDEX(State!B:B,MATCH(OrdersTable[[#This Row],[State]],State!A:A,0))</f>
        <v>KL</v>
      </c>
      <c r="J3242" t="str">
        <f>INDEX(State!C:C,MATCH(OrdersTable[[#This Row],[State Code]],State!B:B,0))</f>
        <v>South</v>
      </c>
      <c r="K3242" t="s">
        <v>338</v>
      </c>
      <c r="L3242" t="s">
        <v>23</v>
      </c>
      <c r="M3242" t="s">
        <v>125</v>
      </c>
      <c r="N3242" t="str">
        <f>INDEX(Products!B:B,MATCH(OrdersTable[[#This Row],[Product ID]],Products!A:A,0))</f>
        <v>Copper Water Bottle</v>
      </c>
      <c r="O3242" t="str">
        <f>INDEX(Products!C:C,MATCH(OrdersTable[[#This Row],[Product ID]],Products!A:A,0))</f>
        <v>Home &amp; Kitchen</v>
      </c>
      <c r="P3242">
        <v>1</v>
      </c>
      <c r="Q3242" s="5">
        <v>899</v>
      </c>
      <c r="R3242" s="74">
        <v>0.05</v>
      </c>
      <c r="S3242" s="75">
        <f>OrdersTable[[#This Row],[Quantity]]*OrdersTable[[#This Row],[Unit Price]]</f>
        <v>899</v>
      </c>
      <c r="T3242" s="5">
        <f>OrdersTable[[#This Row],[Gross Sale]]*OrdersTable[[#This Row],[Discount_Clean2]]</f>
        <v>44.95</v>
      </c>
      <c r="U3242" s="5">
        <f>OrdersTable[[#This Row],[Gross Sale]]-OrdersTable[[#This Row],[Discount Amount]]</f>
        <v>854.05</v>
      </c>
      <c r="V3242" s="77">
        <f>INDEX(Products!E:E,MATCH(OrdersTable[[#This Row],[Product ID]],Products!A:A,0))</f>
        <v>378</v>
      </c>
      <c r="W3242" s="77">
        <f>OrdersTable[[#This Row],[Quantity]]*OrdersTable[[#This Row],[Unit Cost]]</f>
        <v>378</v>
      </c>
      <c r="X3242" s="77">
        <f>'Dropdown Lists'!$I$2*(1+OrdersTable[[#This Row],[Returned]])</f>
        <v>60</v>
      </c>
      <c r="Y3242" s="76">
        <f>OrdersTable[[#This Row],[Net Revenue]]-OrdersTable[[#This Row],[COGS]]-OrdersTable[[#This Row],[Shipping Cost]]</f>
        <v>416.04999999999995</v>
      </c>
      <c r="Z3242" s="78">
        <f>IFERROR(OrdersTable[[#This Row],[Profit]]/OrdersTable[[#This Row],[Net Revenue]],0)</f>
        <v>0.48714946431707745</v>
      </c>
      <c r="AA3242" t="s">
        <v>3495</v>
      </c>
      <c r="AB3242" s="79">
        <v>45825</v>
      </c>
      <c r="AC3242">
        <f>OrdersTable[[#This Row],[Delivery Date]]-OrdersTable[[#This Row],[Order Date]]</f>
        <v>2</v>
      </c>
      <c r="AD3242" t="str">
        <f>IF(OrdersTable[[#This Row],[Delivery Days]]&lt;=2, "Express (≤2d)", IF(OrdersTable[[#This Row],[Delivery Days]]&lt;=4, "Standard (3-4d)", "Delayed (5d+)"))</f>
        <v>Express (≤2d)</v>
      </c>
      <c r="AF3242">
        <v>0</v>
      </c>
    </row>
    <row r="3243" spans="1:32" ht="15" x14ac:dyDescent="0.35">
      <c r="A3243" t="s">
        <v>5423</v>
      </c>
      <c r="B3243" s="1">
        <v>45824</v>
      </c>
      <c r="C3243">
        <f>YEAR(OrdersTable[[#This Row],[Order Date]])</f>
        <v>2025</v>
      </c>
      <c r="D3243" s="2">
        <f>DATE(YEAR(OrdersTable[[#This Row],[Order Date]]),MONTH(OrdersTable[[#This Row],[Order Date]]),1)</f>
        <v>45809</v>
      </c>
      <c r="E3243">
        <f>MONTH(OrdersTable[[#This Row],[Order Date]])</f>
        <v>6</v>
      </c>
      <c r="F3243" t="s">
        <v>3714</v>
      </c>
      <c r="G3243" t="str">
        <f>IF(OrdersTable[[#This Row],[Order Date]]=_xlfn.MINIFS(Order_Date, Customer_ID, OrdersTable[[#This Row],[Customer ID]]), "New", "Repeat")</f>
        <v>Repeat</v>
      </c>
      <c r="H3243" t="s">
        <v>21</v>
      </c>
      <c r="I3243" t="str">
        <f>INDEX(State!B:B,MATCH(OrdersTable[[#This Row],[State]],State!A:A,0))</f>
        <v>PB</v>
      </c>
      <c r="J3243" t="str">
        <f>INDEX(State!C:C,MATCH(OrdersTable[[#This Row],[State Code]],State!B:B,0))</f>
        <v>North</v>
      </c>
      <c r="K3243" t="s">
        <v>22</v>
      </c>
      <c r="L3243" t="s">
        <v>65</v>
      </c>
      <c r="M3243" t="s">
        <v>228</v>
      </c>
      <c r="N3243" t="str">
        <f>INDEX(Products!B:B,MATCH(OrdersTable[[#This Row],[Product ID]],Products!A:A,0))</f>
        <v>Fast Charger 33W</v>
      </c>
      <c r="O3243" t="str">
        <f>INDEX(Products!C:C,MATCH(OrdersTable[[#This Row],[Product ID]],Products!A:A,0))</f>
        <v>Electronics</v>
      </c>
      <c r="P3243">
        <v>2</v>
      </c>
      <c r="Q3243" s="5">
        <v>899</v>
      </c>
      <c r="R3243" s="74">
        <v>0.05</v>
      </c>
      <c r="S3243" s="75">
        <f>OrdersTable[[#This Row],[Quantity]]*OrdersTable[[#This Row],[Unit Price]]</f>
        <v>1798</v>
      </c>
      <c r="T3243" s="5">
        <f>OrdersTable[[#This Row],[Gross Sale]]*OrdersTable[[#This Row],[Discount_Clean2]]</f>
        <v>89.9</v>
      </c>
      <c r="U3243" s="5">
        <f>OrdersTable[[#This Row],[Gross Sale]]-OrdersTable[[#This Row],[Discount Amount]]</f>
        <v>1708.1</v>
      </c>
      <c r="V3243" s="77">
        <f>INDEX(Products!E:E,MATCH(OrdersTable[[#This Row],[Product ID]],Products!A:A,0))</f>
        <v>494</v>
      </c>
      <c r="W3243" s="77">
        <f>OrdersTable[[#This Row],[Quantity]]*OrdersTable[[#This Row],[Unit Cost]]</f>
        <v>988</v>
      </c>
      <c r="X3243" s="77">
        <f>'Dropdown Lists'!$I$2*(1+OrdersTable[[#This Row],[Returned]])</f>
        <v>60</v>
      </c>
      <c r="Y3243" s="76">
        <f>OrdersTable[[#This Row],[Net Revenue]]-OrdersTable[[#This Row],[COGS]]-OrdersTable[[#This Row],[Shipping Cost]]</f>
        <v>660.09999999999991</v>
      </c>
      <c r="Z3243" s="78">
        <f>IFERROR(OrdersTable[[#This Row],[Profit]]/OrdersTable[[#This Row],[Net Revenue]],0)</f>
        <v>0.38645278379485976</v>
      </c>
      <c r="AA3243" t="s">
        <v>2522</v>
      </c>
      <c r="AB3243" s="79">
        <v>45829</v>
      </c>
      <c r="AC3243">
        <f>OrdersTable[[#This Row],[Delivery Date]]-OrdersTable[[#This Row],[Order Date]]</f>
        <v>5</v>
      </c>
      <c r="AD3243" t="str">
        <f>IF(OrdersTable[[#This Row],[Delivery Days]]&lt;=2, "Express (≤2d)", IF(OrdersTable[[#This Row],[Delivery Days]]&lt;=4, "Standard (3-4d)", "Delayed (5d+)"))</f>
        <v>Delayed (5d+)</v>
      </c>
      <c r="AE3243">
        <v>5</v>
      </c>
      <c r="AF3243">
        <v>0</v>
      </c>
    </row>
    <row r="3244" spans="1:32" ht="15" x14ac:dyDescent="0.35">
      <c r="A3244" t="s">
        <v>3449</v>
      </c>
      <c r="B3244" s="1">
        <v>45824</v>
      </c>
      <c r="C3244">
        <f>YEAR(OrdersTable[[#This Row],[Order Date]])</f>
        <v>2025</v>
      </c>
      <c r="D3244" s="2">
        <f>DATE(YEAR(OrdersTable[[#This Row],[Order Date]]),MONTH(OrdersTable[[#This Row],[Order Date]]),1)</f>
        <v>45809</v>
      </c>
      <c r="E3244">
        <f>MONTH(OrdersTable[[#This Row],[Order Date]])</f>
        <v>6</v>
      </c>
      <c r="F3244" t="s">
        <v>354</v>
      </c>
      <c r="G3244" t="str">
        <f>IF(OrdersTable[[#This Row],[Order Date]]=_xlfn.MINIFS(Order_Date, Customer_ID, OrdersTable[[#This Row],[Customer ID]]), "New", "Repeat")</f>
        <v>Repeat</v>
      </c>
      <c r="H3244" t="s">
        <v>158</v>
      </c>
      <c r="I3244" t="str">
        <f>INDEX(State!B:B,MATCH(OrdersTable[[#This Row],[State]],State!A:A,0))</f>
        <v>HP</v>
      </c>
      <c r="J3244" t="str">
        <f>INDEX(State!C:C,MATCH(OrdersTable[[#This Row],[State Code]],State!B:B,0))</f>
        <v>North</v>
      </c>
      <c r="K3244" t="s">
        <v>159</v>
      </c>
      <c r="L3244" t="s">
        <v>65</v>
      </c>
      <c r="M3244" t="s">
        <v>84</v>
      </c>
      <c r="N3244" t="str">
        <f>INDEX(Products!B:B,MATCH(OrdersTable[[#This Row],[Product ID]],Products!A:A,0))</f>
        <v>Cotton Bedsheet</v>
      </c>
      <c r="O3244" t="str">
        <f>INDEX(Products!C:C,MATCH(OrdersTable[[#This Row],[Product ID]],Products!A:A,0))</f>
        <v>Home &amp; Kitchen</v>
      </c>
      <c r="P3244">
        <v>1</v>
      </c>
      <c r="Q3244" s="5">
        <v>1299</v>
      </c>
      <c r="R3244" s="74">
        <v>0</v>
      </c>
      <c r="S3244" s="75">
        <f>OrdersTable[[#This Row],[Quantity]]*OrdersTable[[#This Row],[Unit Price]]</f>
        <v>1299</v>
      </c>
      <c r="T3244" s="5">
        <f>OrdersTable[[#This Row],[Gross Sale]]*OrdersTable[[#This Row],[Discount_Clean2]]</f>
        <v>0</v>
      </c>
      <c r="U3244" s="5">
        <f>OrdersTable[[#This Row],[Gross Sale]]-OrdersTable[[#This Row],[Discount Amount]]</f>
        <v>1299</v>
      </c>
      <c r="V3244" s="77">
        <f>INDEX(Products!E:E,MATCH(OrdersTable[[#This Row],[Product ID]],Products!A:A,0))</f>
        <v>585</v>
      </c>
      <c r="W3244" s="77">
        <f>OrdersTable[[#This Row],[Quantity]]*OrdersTable[[#This Row],[Unit Cost]]</f>
        <v>585</v>
      </c>
      <c r="X3244" s="77">
        <f>'Dropdown Lists'!$I$2*(1+OrdersTable[[#This Row],[Returned]])</f>
        <v>120</v>
      </c>
      <c r="Y3244" s="76">
        <f>OrdersTable[[#This Row],[Net Revenue]]-OrdersTable[[#This Row],[COGS]]-OrdersTable[[#This Row],[Shipping Cost]]</f>
        <v>594</v>
      </c>
      <c r="Z3244" s="78">
        <f>IFERROR(OrdersTable[[#This Row],[Profit]]/OrdersTable[[#This Row],[Net Revenue]],0)</f>
        <v>0.45727482678983833</v>
      </c>
      <c r="AA3244" t="s">
        <v>2522</v>
      </c>
      <c r="AB3244" s="79">
        <v>45830</v>
      </c>
      <c r="AC3244">
        <f>OrdersTable[[#This Row],[Delivery Date]]-OrdersTable[[#This Row],[Order Date]]</f>
        <v>6</v>
      </c>
      <c r="AD3244" t="str">
        <f>IF(OrdersTable[[#This Row],[Delivery Days]]&lt;=2, "Express (≤2d)", IF(OrdersTable[[#This Row],[Delivery Days]]&lt;=4, "Standard (3-4d)", "Delayed (5d+)"))</f>
        <v>Delayed (5d+)</v>
      </c>
      <c r="AE3244">
        <v>4</v>
      </c>
      <c r="AF3244">
        <v>1</v>
      </c>
    </row>
    <row r="3245" spans="1:32" ht="15" x14ac:dyDescent="0.35">
      <c r="A3245" t="s">
        <v>5821</v>
      </c>
      <c r="B3245" s="1">
        <v>45824</v>
      </c>
      <c r="C3245">
        <f>YEAR(OrdersTable[[#This Row],[Order Date]])</f>
        <v>2025</v>
      </c>
      <c r="D3245" s="2">
        <f>DATE(YEAR(OrdersTable[[#This Row],[Order Date]]),MONTH(OrdersTable[[#This Row],[Order Date]]),1)</f>
        <v>45809</v>
      </c>
      <c r="E3245">
        <f>MONTH(OrdersTable[[#This Row],[Order Date]])</f>
        <v>6</v>
      </c>
      <c r="F3245" t="s">
        <v>5822</v>
      </c>
      <c r="G3245" t="str">
        <f>IF(OrdersTable[[#This Row],[Order Date]]=_xlfn.MINIFS(Order_Date, Customer_ID, OrdersTable[[#This Row],[Customer ID]]), "New", "Repeat")</f>
        <v>New</v>
      </c>
      <c r="H3245" t="s">
        <v>128</v>
      </c>
      <c r="I3245" t="str">
        <f>INDEX(State!B:B,MATCH(OrdersTable[[#This Row],[State]],State!A:A,0))</f>
        <v>DL</v>
      </c>
      <c r="J3245" t="str">
        <f>INDEX(State!C:C,MATCH(OrdersTable[[#This Row],[State Code]],State!B:B,0))</f>
        <v>North</v>
      </c>
      <c r="K3245" t="s">
        <v>129</v>
      </c>
      <c r="L3245" t="s">
        <v>65</v>
      </c>
      <c r="M3245" t="s">
        <v>109</v>
      </c>
      <c r="N3245" t="str">
        <f>INDEX(Products!B:B,MATCH(OrdersTable[[#This Row],[Product ID]],Products!A:A,0))</f>
        <v>Onion Hair Oil</v>
      </c>
      <c r="O3245" t="str">
        <f>INDEX(Products!C:C,MATCH(OrdersTable[[#This Row],[Product ID]],Products!A:A,0))</f>
        <v>Haircare</v>
      </c>
      <c r="P3245">
        <v>2</v>
      </c>
      <c r="Q3245" s="5">
        <v>349</v>
      </c>
      <c r="R3245" s="74">
        <v>0.35</v>
      </c>
      <c r="S3245" s="75">
        <f>OrdersTable[[#This Row],[Quantity]]*OrdersTable[[#This Row],[Unit Price]]</f>
        <v>698</v>
      </c>
      <c r="T3245" s="5">
        <f>OrdersTable[[#This Row],[Gross Sale]]*OrdersTable[[#This Row],[Discount_Clean2]]</f>
        <v>244.29999999999998</v>
      </c>
      <c r="U3245" s="5">
        <f>OrdersTable[[#This Row],[Gross Sale]]-OrdersTable[[#This Row],[Discount Amount]]</f>
        <v>453.70000000000005</v>
      </c>
      <c r="V3245" s="77">
        <f>INDEX(Products!E:E,MATCH(OrdersTable[[#This Row],[Product ID]],Products!A:A,0))</f>
        <v>105</v>
      </c>
      <c r="W3245" s="77">
        <f>OrdersTable[[#This Row],[Quantity]]*OrdersTable[[#This Row],[Unit Cost]]</f>
        <v>210</v>
      </c>
      <c r="X3245" s="77">
        <f>'Dropdown Lists'!$I$2*(1+OrdersTable[[#This Row],[Returned]])</f>
        <v>60</v>
      </c>
      <c r="Y3245" s="76">
        <f>OrdersTable[[#This Row],[Net Revenue]]-OrdersTable[[#This Row],[COGS]]-OrdersTable[[#This Row],[Shipping Cost]]</f>
        <v>183.70000000000005</v>
      </c>
      <c r="Z3245" s="78">
        <f>IFERROR(OrdersTable[[#This Row],[Profit]]/OrdersTable[[#This Row],[Net Revenue]],0)</f>
        <v>0.40489310116817284</v>
      </c>
      <c r="AA3245" t="s">
        <v>18</v>
      </c>
      <c r="AB3245" s="79">
        <v>45825</v>
      </c>
      <c r="AC3245">
        <f>OrdersTable[[#This Row],[Delivery Date]]-OrdersTable[[#This Row],[Order Date]]</f>
        <v>1</v>
      </c>
      <c r="AD3245" t="str">
        <f>IF(OrdersTable[[#This Row],[Delivery Days]]&lt;=2, "Express (≤2d)", IF(OrdersTable[[#This Row],[Delivery Days]]&lt;=4, "Standard (3-4d)", "Delayed (5d+)"))</f>
        <v>Express (≤2d)</v>
      </c>
      <c r="AE3245">
        <v>5</v>
      </c>
      <c r="AF3245">
        <v>0</v>
      </c>
    </row>
    <row r="3246" spans="1:32" ht="15" x14ac:dyDescent="0.35">
      <c r="A3246" t="s">
        <v>3297</v>
      </c>
      <c r="B3246" s="1">
        <v>45824</v>
      </c>
      <c r="C3246">
        <f>YEAR(OrdersTable[[#This Row],[Order Date]])</f>
        <v>2025</v>
      </c>
      <c r="D3246" s="2">
        <f>DATE(YEAR(OrdersTable[[#This Row],[Order Date]]),MONTH(OrdersTable[[#This Row],[Order Date]]),1)</f>
        <v>45809</v>
      </c>
      <c r="E3246">
        <f>MONTH(OrdersTable[[#This Row],[Order Date]])</f>
        <v>6</v>
      </c>
      <c r="F3246" t="s">
        <v>1152</v>
      </c>
      <c r="G3246" t="str">
        <f>IF(OrdersTable[[#This Row],[Order Date]]=_xlfn.MINIFS(Order_Date, Customer_ID, OrdersTable[[#This Row],[Customer ID]]), "New", "Repeat")</f>
        <v>Repeat</v>
      </c>
      <c r="H3246" t="s">
        <v>71</v>
      </c>
      <c r="I3246" t="str">
        <f>INDEX(State!B:B,MATCH(OrdersTable[[#This Row],[State]],State!A:A,0))</f>
        <v>MH</v>
      </c>
      <c r="J3246" t="str">
        <f>INDEX(State!C:C,MATCH(OrdersTable[[#This Row],[State Code]],State!B:B,0))</f>
        <v>West</v>
      </c>
      <c r="K3246" t="s">
        <v>72</v>
      </c>
      <c r="L3246" t="s">
        <v>23</v>
      </c>
      <c r="M3246" t="s">
        <v>160</v>
      </c>
      <c r="N3246" t="str">
        <f>INDEX(Products!B:B,MATCH(OrdersTable[[#This Row],[Product ID]],Products!A:A,0))</f>
        <v>Niacinamide Toner</v>
      </c>
      <c r="O3246" t="str">
        <f>INDEX(Products!C:C,MATCH(OrdersTable[[#This Row],[Product ID]],Products!A:A,0))</f>
        <v>Skincare</v>
      </c>
      <c r="P3246">
        <v>1</v>
      </c>
      <c r="Q3246" s="5">
        <v>399</v>
      </c>
      <c r="R3246" s="74">
        <v>0.2</v>
      </c>
      <c r="S3246" s="75">
        <f>OrdersTable[[#This Row],[Quantity]]*OrdersTable[[#This Row],[Unit Price]]</f>
        <v>399</v>
      </c>
      <c r="T3246" s="5">
        <f>OrdersTable[[#This Row],[Gross Sale]]*OrdersTable[[#This Row],[Discount_Clean2]]</f>
        <v>79.800000000000011</v>
      </c>
      <c r="U3246" s="5">
        <f>OrdersTable[[#This Row],[Gross Sale]]-OrdersTable[[#This Row],[Discount Amount]]</f>
        <v>319.2</v>
      </c>
      <c r="V3246" s="77">
        <f>INDEX(Products!E:E,MATCH(OrdersTable[[#This Row],[Product ID]],Products!A:A,0))</f>
        <v>112</v>
      </c>
      <c r="W3246" s="77">
        <f>OrdersTable[[#This Row],[Quantity]]*OrdersTable[[#This Row],[Unit Cost]]</f>
        <v>112</v>
      </c>
      <c r="X3246" s="77">
        <f>'Dropdown Lists'!$I$2*(1+OrdersTable[[#This Row],[Returned]])</f>
        <v>60</v>
      </c>
      <c r="Y3246" s="76">
        <f>OrdersTable[[#This Row],[Net Revenue]]-OrdersTable[[#This Row],[COGS]]-OrdersTable[[#This Row],[Shipping Cost]]</f>
        <v>147.19999999999999</v>
      </c>
      <c r="Z3246" s="78">
        <f>IFERROR(OrdersTable[[#This Row],[Profit]]/OrdersTable[[#This Row],[Net Revenue]],0)</f>
        <v>0.46115288220551376</v>
      </c>
      <c r="AA3246" t="s">
        <v>2522</v>
      </c>
      <c r="AB3246" s="79">
        <v>45827</v>
      </c>
      <c r="AC3246">
        <f>OrdersTable[[#This Row],[Delivery Date]]-OrdersTable[[#This Row],[Order Date]]</f>
        <v>3</v>
      </c>
      <c r="AD3246" t="str">
        <f>IF(OrdersTable[[#This Row],[Delivery Days]]&lt;=2, "Express (≤2d)", IF(OrdersTable[[#This Row],[Delivery Days]]&lt;=4, "Standard (3-4d)", "Delayed (5d+)"))</f>
        <v>Standard (3-4d)</v>
      </c>
      <c r="AE3246">
        <v>4</v>
      </c>
      <c r="AF3246">
        <v>0</v>
      </c>
    </row>
    <row r="3247" spans="1:32" ht="15" x14ac:dyDescent="0.35">
      <c r="A3247" t="s">
        <v>626</v>
      </c>
      <c r="B3247" s="1">
        <v>45824</v>
      </c>
      <c r="C3247">
        <f>YEAR(OrdersTable[[#This Row],[Order Date]])</f>
        <v>2025</v>
      </c>
      <c r="D3247" s="2">
        <f>DATE(YEAR(OrdersTable[[#This Row],[Order Date]]),MONTH(OrdersTable[[#This Row],[Order Date]]),1)</f>
        <v>45809</v>
      </c>
      <c r="E3247">
        <f>MONTH(OrdersTable[[#This Row],[Order Date]])</f>
        <v>6</v>
      </c>
      <c r="F3247" t="s">
        <v>627</v>
      </c>
      <c r="G3247" t="str">
        <f>IF(OrdersTable[[#This Row],[Order Date]]=_xlfn.MINIFS(Order_Date, Customer_ID, OrdersTable[[#This Row],[Customer ID]]), "New", "Repeat")</f>
        <v>Repeat</v>
      </c>
      <c r="H3247" t="s">
        <v>275</v>
      </c>
      <c r="I3247" t="str">
        <f>INDEX(State!B:B,MATCH(OrdersTable[[#This Row],[State]],State!A:A,0))</f>
        <v>AP</v>
      </c>
      <c r="J3247" t="str">
        <f>INDEX(State!C:C,MATCH(OrdersTable[[#This Row],[State Code]],State!B:B,0))</f>
        <v>South</v>
      </c>
      <c r="K3247" t="s">
        <v>276</v>
      </c>
      <c r="L3247" t="s">
        <v>23</v>
      </c>
      <c r="M3247" t="s">
        <v>17</v>
      </c>
      <c r="N3247" t="str">
        <f>INDEX(Products!B:B,MATCH(OrdersTable[[#This Row],[Product ID]],Products!A:A,0))</f>
        <v>Casual Sneakers</v>
      </c>
      <c r="O3247" t="str">
        <f>INDEX(Products!C:C,MATCH(OrdersTable[[#This Row],[Product ID]],Products!A:A,0))</f>
        <v>Footwear</v>
      </c>
      <c r="P3247">
        <v>1</v>
      </c>
      <c r="Q3247" s="5">
        <v>2199</v>
      </c>
      <c r="R3247" s="74">
        <v>0.2</v>
      </c>
      <c r="S3247" s="75">
        <f>OrdersTable[[#This Row],[Quantity]]*OrdersTable[[#This Row],[Unit Price]]</f>
        <v>2199</v>
      </c>
      <c r="T3247" s="5">
        <f>OrdersTable[[#This Row],[Gross Sale]]*OrdersTable[[#This Row],[Discount_Clean2]]</f>
        <v>439.8</v>
      </c>
      <c r="U3247" s="5">
        <f>OrdersTable[[#This Row],[Gross Sale]]-OrdersTable[[#This Row],[Discount Amount]]</f>
        <v>1759.2</v>
      </c>
      <c r="V3247" s="77">
        <f>INDEX(Products!E:E,MATCH(OrdersTable[[#This Row],[Product ID]],Products!A:A,0))</f>
        <v>1034</v>
      </c>
      <c r="W3247" s="77">
        <f>OrdersTable[[#This Row],[Quantity]]*OrdersTable[[#This Row],[Unit Cost]]</f>
        <v>1034</v>
      </c>
      <c r="X3247" s="77">
        <f>'Dropdown Lists'!$I$2*(1+OrdersTable[[#This Row],[Returned]])</f>
        <v>60</v>
      </c>
      <c r="Y3247" s="76">
        <f>OrdersTable[[#This Row],[Net Revenue]]-OrdersTable[[#This Row],[COGS]]-OrdersTable[[#This Row],[Shipping Cost]]</f>
        <v>665.2</v>
      </c>
      <c r="Z3247" s="78">
        <f>IFERROR(OrdersTable[[#This Row],[Profit]]/OrdersTable[[#This Row],[Net Revenue]],0)</f>
        <v>0.37812642110050027</v>
      </c>
      <c r="AA3247" t="s">
        <v>18</v>
      </c>
      <c r="AB3247" s="79">
        <v>45828</v>
      </c>
      <c r="AC3247">
        <f>OrdersTable[[#This Row],[Delivery Date]]-OrdersTable[[#This Row],[Order Date]]</f>
        <v>4</v>
      </c>
      <c r="AD3247" t="str">
        <f>IF(OrdersTable[[#This Row],[Delivery Days]]&lt;=2, "Express (≤2d)", IF(OrdersTable[[#This Row],[Delivery Days]]&lt;=4, "Standard (3-4d)", "Delayed (5d+)"))</f>
        <v>Standard (3-4d)</v>
      </c>
      <c r="AE3247">
        <v>4</v>
      </c>
      <c r="AF3247">
        <v>0</v>
      </c>
    </row>
    <row r="3248" spans="1:32" ht="15" x14ac:dyDescent="0.35">
      <c r="A3248" t="s">
        <v>3640</v>
      </c>
      <c r="B3248" s="1">
        <v>45824</v>
      </c>
      <c r="C3248">
        <f>YEAR(OrdersTable[[#This Row],[Order Date]])</f>
        <v>2025</v>
      </c>
      <c r="D3248" s="2">
        <f>DATE(YEAR(OrdersTable[[#This Row],[Order Date]]),MONTH(OrdersTable[[#This Row],[Order Date]]),1)</f>
        <v>45809</v>
      </c>
      <c r="E3248">
        <f>MONTH(OrdersTable[[#This Row],[Order Date]])</f>
        <v>6</v>
      </c>
      <c r="F3248" t="s">
        <v>1752</v>
      </c>
      <c r="G3248" t="str">
        <f>IF(OrdersTable[[#This Row],[Order Date]]=_xlfn.MINIFS(Order_Date, Customer_ID, OrdersTable[[#This Row],[Customer ID]]), "New", "Repeat")</f>
        <v>Repeat</v>
      </c>
      <c r="H3248" t="s">
        <v>59</v>
      </c>
      <c r="I3248" t="str">
        <f>INDEX(State!B:B,MATCH(OrdersTable[[#This Row],[State]],State!A:A,0))</f>
        <v>TN</v>
      </c>
      <c r="J3248" t="str">
        <f>INDEX(State!C:C,MATCH(OrdersTable[[#This Row],[State Code]],State!B:B,0))</f>
        <v>South</v>
      </c>
      <c r="K3248" t="s">
        <v>60</v>
      </c>
      <c r="L3248" t="s">
        <v>16</v>
      </c>
      <c r="M3248" t="s">
        <v>92</v>
      </c>
      <c r="N3248" t="str">
        <f>INDEX(Products!B:B,MATCH(OrdersTable[[#This Row],[Product ID]],Products!A:A,0))</f>
        <v>Kolhapuri Sandals</v>
      </c>
      <c r="O3248" t="str">
        <f>INDEX(Products!C:C,MATCH(OrdersTable[[#This Row],[Product ID]],Products!A:A,0))</f>
        <v>Footwear</v>
      </c>
      <c r="P3248">
        <v>1</v>
      </c>
      <c r="Q3248" s="5">
        <v>999</v>
      </c>
      <c r="R3248" s="74">
        <v>0.1</v>
      </c>
      <c r="S3248" s="75">
        <f>OrdersTable[[#This Row],[Quantity]]*OrdersTable[[#This Row],[Unit Price]]</f>
        <v>999</v>
      </c>
      <c r="T3248" s="5">
        <f>OrdersTable[[#This Row],[Gross Sale]]*OrdersTable[[#This Row],[Discount_Clean2]]</f>
        <v>99.9</v>
      </c>
      <c r="U3248" s="5">
        <f>OrdersTable[[#This Row],[Gross Sale]]-OrdersTable[[#This Row],[Discount Amount]]</f>
        <v>899.1</v>
      </c>
      <c r="V3248" s="77">
        <f>INDEX(Products!E:E,MATCH(OrdersTable[[#This Row],[Product ID]],Products!A:A,0))</f>
        <v>400</v>
      </c>
      <c r="W3248" s="77">
        <f>OrdersTable[[#This Row],[Quantity]]*OrdersTable[[#This Row],[Unit Cost]]</f>
        <v>400</v>
      </c>
      <c r="X3248" s="77">
        <f>'Dropdown Lists'!$I$2*(1+OrdersTable[[#This Row],[Returned]])</f>
        <v>120</v>
      </c>
      <c r="Y3248" s="76">
        <f>OrdersTable[[#This Row],[Net Revenue]]-OrdersTable[[#This Row],[COGS]]-OrdersTable[[#This Row],[Shipping Cost]]</f>
        <v>379.1</v>
      </c>
      <c r="Z3248" s="78">
        <f>IFERROR(OrdersTable[[#This Row],[Profit]]/OrdersTable[[#This Row],[Net Revenue]],0)</f>
        <v>0.42164386608831056</v>
      </c>
      <c r="AA3248" t="s">
        <v>3495</v>
      </c>
      <c r="AB3248" s="79">
        <v>45827</v>
      </c>
      <c r="AC3248">
        <f>OrdersTable[[#This Row],[Delivery Date]]-OrdersTable[[#This Row],[Order Date]]</f>
        <v>3</v>
      </c>
      <c r="AD3248" t="str">
        <f>IF(OrdersTable[[#This Row],[Delivery Days]]&lt;=2, "Express (≤2d)", IF(OrdersTable[[#This Row],[Delivery Days]]&lt;=4, "Standard (3-4d)", "Delayed (5d+)"))</f>
        <v>Standard (3-4d)</v>
      </c>
      <c r="AE3248">
        <v>4</v>
      </c>
      <c r="AF3248">
        <v>1</v>
      </c>
    </row>
    <row r="3249" spans="1:32" ht="15" x14ac:dyDescent="0.35">
      <c r="A3249" t="s">
        <v>5002</v>
      </c>
      <c r="B3249" s="1">
        <v>45825</v>
      </c>
      <c r="C3249">
        <f>YEAR(OrdersTable[[#This Row],[Order Date]])</f>
        <v>2025</v>
      </c>
      <c r="D3249" s="2">
        <f>DATE(YEAR(OrdersTable[[#This Row],[Order Date]]),MONTH(OrdersTable[[#This Row],[Order Date]]),1)</f>
        <v>45809</v>
      </c>
      <c r="E3249">
        <f>MONTH(OrdersTable[[#This Row],[Order Date]])</f>
        <v>6</v>
      </c>
      <c r="F3249" t="s">
        <v>4070</v>
      </c>
      <c r="G3249" t="str">
        <f>IF(OrdersTable[[#This Row],[Order Date]]=_xlfn.MINIFS(Order_Date, Customer_ID, OrdersTable[[#This Row],[Customer ID]]), "New", "Repeat")</f>
        <v>Repeat</v>
      </c>
      <c r="H3249" t="s">
        <v>54</v>
      </c>
      <c r="I3249" t="str">
        <f>INDEX(State!B:B,MATCH(OrdersTable[[#This Row],[State]],State!A:A,0))</f>
        <v>RJ</v>
      </c>
      <c r="J3249" t="str">
        <f>INDEX(State!C:C,MATCH(OrdersTable[[#This Row],[State Code]],State!B:B,0))</f>
        <v>North</v>
      </c>
      <c r="K3249" t="s">
        <v>227</v>
      </c>
      <c r="L3249" t="s">
        <v>65</v>
      </c>
      <c r="M3249" t="s">
        <v>109</v>
      </c>
      <c r="N3249" t="str">
        <f>INDEX(Products!B:B,MATCH(OrdersTable[[#This Row],[Product ID]],Products!A:A,0))</f>
        <v>Onion Hair Oil</v>
      </c>
      <c r="O3249" t="str">
        <f>INDEX(Products!C:C,MATCH(OrdersTable[[#This Row],[Product ID]],Products!A:A,0))</f>
        <v>Haircare</v>
      </c>
      <c r="P3249">
        <v>2</v>
      </c>
      <c r="Q3249" s="5">
        <v>349</v>
      </c>
      <c r="R3249" s="74">
        <v>0.35</v>
      </c>
      <c r="S3249" s="75">
        <f>OrdersTable[[#This Row],[Quantity]]*OrdersTable[[#This Row],[Unit Price]]</f>
        <v>698</v>
      </c>
      <c r="T3249" s="5">
        <f>OrdersTable[[#This Row],[Gross Sale]]*OrdersTable[[#This Row],[Discount_Clean2]]</f>
        <v>244.29999999999998</v>
      </c>
      <c r="U3249" s="5">
        <f>OrdersTable[[#This Row],[Gross Sale]]-OrdersTable[[#This Row],[Discount Amount]]</f>
        <v>453.70000000000005</v>
      </c>
      <c r="V3249" s="77">
        <f>INDEX(Products!E:E,MATCH(OrdersTable[[#This Row],[Product ID]],Products!A:A,0))</f>
        <v>105</v>
      </c>
      <c r="W3249" s="77">
        <f>OrdersTable[[#This Row],[Quantity]]*OrdersTable[[#This Row],[Unit Cost]]</f>
        <v>210</v>
      </c>
      <c r="X3249" s="77">
        <f>'Dropdown Lists'!$I$2*(1+OrdersTable[[#This Row],[Returned]])</f>
        <v>120</v>
      </c>
      <c r="Y3249" s="76">
        <f>OrdersTable[[#This Row],[Net Revenue]]-OrdersTable[[#This Row],[COGS]]-OrdersTable[[#This Row],[Shipping Cost]]</f>
        <v>123.70000000000005</v>
      </c>
      <c r="Z3249" s="78">
        <f>IFERROR(OrdersTable[[#This Row],[Profit]]/OrdersTable[[#This Row],[Net Revenue]],0)</f>
        <v>0.27264712364998905</v>
      </c>
      <c r="AA3249" t="s">
        <v>4074</v>
      </c>
      <c r="AB3249" s="79">
        <v>45828</v>
      </c>
      <c r="AC3249">
        <f>OrdersTable[[#This Row],[Delivery Date]]-OrdersTable[[#This Row],[Order Date]]</f>
        <v>3</v>
      </c>
      <c r="AD3249" t="str">
        <f>IF(OrdersTable[[#This Row],[Delivery Days]]&lt;=2, "Express (≤2d)", IF(OrdersTable[[#This Row],[Delivery Days]]&lt;=4, "Standard (3-4d)", "Delayed (5d+)"))</f>
        <v>Standard (3-4d)</v>
      </c>
      <c r="AE3249">
        <v>4</v>
      </c>
      <c r="AF3249">
        <v>1</v>
      </c>
    </row>
    <row r="3250" spans="1:32" ht="15" x14ac:dyDescent="0.35">
      <c r="A3250" t="s">
        <v>6375</v>
      </c>
      <c r="B3250" s="1">
        <v>45825</v>
      </c>
      <c r="C3250">
        <f>YEAR(OrdersTable[[#This Row],[Order Date]])</f>
        <v>2025</v>
      </c>
      <c r="D3250" s="2">
        <f>DATE(YEAR(OrdersTable[[#This Row],[Order Date]]),MONTH(OrdersTable[[#This Row],[Order Date]]),1)</f>
        <v>45809</v>
      </c>
      <c r="E3250">
        <f>MONTH(OrdersTable[[#This Row],[Order Date]])</f>
        <v>6</v>
      </c>
      <c r="F3250" t="s">
        <v>607</v>
      </c>
      <c r="G3250" t="str">
        <f>IF(OrdersTable[[#This Row],[Order Date]]=_xlfn.MINIFS(Order_Date, Customer_ID, OrdersTable[[#This Row],[Customer ID]]), "New", "Repeat")</f>
        <v>Repeat</v>
      </c>
      <c r="H3250" t="s">
        <v>54</v>
      </c>
      <c r="I3250" t="str">
        <f>INDEX(State!B:B,MATCH(OrdersTable[[#This Row],[State]],State!A:A,0))</f>
        <v>RJ</v>
      </c>
      <c r="J3250" t="str">
        <f>INDEX(State!C:C,MATCH(OrdersTable[[#This Row],[State Code]],State!B:B,0))</f>
        <v>North</v>
      </c>
      <c r="K3250" t="s">
        <v>55</v>
      </c>
      <c r="L3250" t="s">
        <v>23</v>
      </c>
      <c r="M3250" t="s">
        <v>160</v>
      </c>
      <c r="N3250" t="str">
        <f>INDEX(Products!B:B,MATCH(OrdersTable[[#This Row],[Product ID]],Products!A:A,0))</f>
        <v>Niacinamide Toner</v>
      </c>
      <c r="O3250" t="str">
        <f>INDEX(Products!C:C,MATCH(OrdersTable[[#This Row],[Product ID]],Products!A:A,0))</f>
        <v>Skincare</v>
      </c>
      <c r="P3250">
        <v>2</v>
      </c>
      <c r="Q3250" s="5">
        <v>399</v>
      </c>
      <c r="R3250" s="74">
        <v>0.2</v>
      </c>
      <c r="S3250" s="75">
        <f>OrdersTable[[#This Row],[Quantity]]*OrdersTable[[#This Row],[Unit Price]]</f>
        <v>798</v>
      </c>
      <c r="T3250" s="5">
        <f>OrdersTable[[#This Row],[Gross Sale]]*OrdersTable[[#This Row],[Discount_Clean2]]</f>
        <v>159.60000000000002</v>
      </c>
      <c r="U3250" s="5">
        <f>OrdersTable[[#This Row],[Gross Sale]]-OrdersTable[[#This Row],[Discount Amount]]</f>
        <v>638.4</v>
      </c>
      <c r="V3250" s="77">
        <f>INDEX(Products!E:E,MATCH(OrdersTable[[#This Row],[Product ID]],Products!A:A,0))</f>
        <v>112</v>
      </c>
      <c r="W3250" s="77">
        <f>OrdersTable[[#This Row],[Quantity]]*OrdersTable[[#This Row],[Unit Cost]]</f>
        <v>224</v>
      </c>
      <c r="X3250" s="77">
        <f>'Dropdown Lists'!$I$2*(1+OrdersTable[[#This Row],[Returned]])</f>
        <v>60</v>
      </c>
      <c r="Y3250" s="76">
        <f>OrdersTable[[#This Row],[Net Revenue]]-OrdersTable[[#This Row],[COGS]]-OrdersTable[[#This Row],[Shipping Cost]]</f>
        <v>354.4</v>
      </c>
      <c r="Z3250" s="78">
        <f>IFERROR(OrdersTable[[#This Row],[Profit]]/OrdersTable[[#This Row],[Net Revenue]],0)</f>
        <v>0.55513784461152882</v>
      </c>
      <c r="AA3250" t="s">
        <v>18</v>
      </c>
      <c r="AB3250" s="79">
        <v>45830</v>
      </c>
      <c r="AC3250">
        <f>OrdersTable[[#This Row],[Delivery Date]]-OrdersTable[[#This Row],[Order Date]]</f>
        <v>5</v>
      </c>
      <c r="AD3250" t="str">
        <f>IF(OrdersTable[[#This Row],[Delivery Days]]&lt;=2, "Express (≤2d)", IF(OrdersTable[[#This Row],[Delivery Days]]&lt;=4, "Standard (3-4d)", "Delayed (5d+)"))</f>
        <v>Delayed (5d+)</v>
      </c>
      <c r="AE3250">
        <v>3</v>
      </c>
      <c r="AF3250">
        <v>0</v>
      </c>
    </row>
    <row r="3251" spans="1:32" ht="15" x14ac:dyDescent="0.35">
      <c r="A3251" t="s">
        <v>3450</v>
      </c>
      <c r="B3251" s="1">
        <v>45825</v>
      </c>
      <c r="C3251">
        <f>YEAR(OrdersTable[[#This Row],[Order Date]])</f>
        <v>2025</v>
      </c>
      <c r="D3251" s="2">
        <f>DATE(YEAR(OrdersTable[[#This Row],[Order Date]]),MONTH(OrdersTable[[#This Row],[Order Date]]),1)</f>
        <v>45809</v>
      </c>
      <c r="E3251">
        <f>MONTH(OrdersTable[[#This Row],[Order Date]])</f>
        <v>6</v>
      </c>
      <c r="F3251" t="s">
        <v>236</v>
      </c>
      <c r="G3251" t="str">
        <f>IF(OrdersTable[[#This Row],[Order Date]]=_xlfn.MINIFS(Order_Date, Customer_ID, OrdersTable[[#This Row],[Customer ID]]), "New", "Repeat")</f>
        <v>Repeat</v>
      </c>
      <c r="H3251" t="s">
        <v>48</v>
      </c>
      <c r="I3251" t="str">
        <f>INDEX(State!B:B,MATCH(OrdersTable[[#This Row],[State]],State!A:A,0))</f>
        <v>HR</v>
      </c>
      <c r="J3251" t="str">
        <f>INDEX(State!C:C,MATCH(OrdersTable[[#This Row],[State Code]],State!B:B,0))</f>
        <v>North</v>
      </c>
      <c r="K3251" t="s">
        <v>49</v>
      </c>
      <c r="L3251" t="s">
        <v>65</v>
      </c>
      <c r="M3251" t="s">
        <v>40</v>
      </c>
      <c r="N3251" t="str">
        <f>INDEX(Products!B:B,MATCH(OrdersTable[[#This Row],[Product ID]],Products!A:A,0))</f>
        <v>Ashwagandha Capsules</v>
      </c>
      <c r="O3251" t="str">
        <f>INDEX(Products!C:C,MATCH(OrdersTable[[#This Row],[Product ID]],Products!A:A,0))</f>
        <v>Wellness</v>
      </c>
      <c r="P3251">
        <v>1</v>
      </c>
      <c r="Q3251" s="5">
        <v>499</v>
      </c>
      <c r="R3251" s="74">
        <v>0</v>
      </c>
      <c r="S3251" s="75">
        <f>OrdersTable[[#This Row],[Quantity]]*OrdersTable[[#This Row],[Unit Price]]</f>
        <v>499</v>
      </c>
      <c r="T3251" s="5">
        <f>OrdersTable[[#This Row],[Gross Sale]]*OrdersTable[[#This Row],[Discount_Clean2]]</f>
        <v>0</v>
      </c>
      <c r="U3251" s="5">
        <f>OrdersTable[[#This Row],[Gross Sale]]-OrdersTable[[#This Row],[Discount Amount]]</f>
        <v>499</v>
      </c>
      <c r="V3251" s="77">
        <f>INDEX(Products!E:E,MATCH(OrdersTable[[#This Row],[Product ID]],Products!A:A,0))</f>
        <v>150</v>
      </c>
      <c r="W3251" s="77">
        <f>OrdersTable[[#This Row],[Quantity]]*OrdersTable[[#This Row],[Unit Cost]]</f>
        <v>150</v>
      </c>
      <c r="X3251" s="77">
        <f>'Dropdown Lists'!$I$2*(1+OrdersTable[[#This Row],[Returned]])</f>
        <v>60</v>
      </c>
      <c r="Y3251" s="76">
        <f>OrdersTable[[#This Row],[Net Revenue]]-OrdersTable[[#This Row],[COGS]]-OrdersTable[[#This Row],[Shipping Cost]]</f>
        <v>289</v>
      </c>
      <c r="Z3251" s="78">
        <f>IFERROR(OrdersTable[[#This Row],[Profit]]/OrdersTable[[#This Row],[Net Revenue]],0)</f>
        <v>0.57915831663326656</v>
      </c>
      <c r="AA3251" t="s">
        <v>2522</v>
      </c>
      <c r="AB3251" s="79">
        <v>45826</v>
      </c>
      <c r="AC3251">
        <f>OrdersTable[[#This Row],[Delivery Date]]-OrdersTable[[#This Row],[Order Date]]</f>
        <v>1</v>
      </c>
      <c r="AD3251" t="str">
        <f>IF(OrdersTable[[#This Row],[Delivery Days]]&lt;=2, "Express (≤2d)", IF(OrdersTable[[#This Row],[Delivery Days]]&lt;=4, "Standard (3-4d)", "Delayed (5d+)"))</f>
        <v>Express (≤2d)</v>
      </c>
      <c r="AE3251">
        <v>4</v>
      </c>
      <c r="AF3251">
        <v>0</v>
      </c>
    </row>
    <row r="3252" spans="1:32" ht="15" x14ac:dyDescent="0.35">
      <c r="A3252" t="s">
        <v>4157</v>
      </c>
      <c r="B3252" s="1">
        <v>45825</v>
      </c>
      <c r="C3252">
        <f>YEAR(OrdersTable[[#This Row],[Order Date]])</f>
        <v>2025</v>
      </c>
      <c r="D3252" s="2">
        <f>DATE(YEAR(OrdersTable[[#This Row],[Order Date]]),MONTH(OrdersTable[[#This Row],[Order Date]]),1)</f>
        <v>45809</v>
      </c>
      <c r="E3252">
        <f>MONTH(OrdersTable[[#This Row],[Order Date]])</f>
        <v>6</v>
      </c>
      <c r="F3252" t="s">
        <v>4158</v>
      </c>
      <c r="G3252" t="str">
        <f>IF(OrdersTable[[#This Row],[Order Date]]=_xlfn.MINIFS(Order_Date, Customer_ID, OrdersTable[[#This Row],[Customer ID]]), "New", "Repeat")</f>
        <v>New</v>
      </c>
      <c r="H3252" t="s">
        <v>37</v>
      </c>
      <c r="I3252" t="str">
        <f>INDEX(State!B:B,MATCH(OrdersTable[[#This Row],[State]],State!A:A,0))</f>
        <v>GJ</v>
      </c>
      <c r="J3252" t="str">
        <f>INDEX(State!C:C,MATCH(OrdersTable[[#This Row],[State Code]],State!B:B,0))</f>
        <v>West</v>
      </c>
      <c r="K3252" t="s">
        <v>38</v>
      </c>
      <c r="L3252" t="s">
        <v>65</v>
      </c>
      <c r="M3252" t="s">
        <v>24</v>
      </c>
      <c r="N3252" t="str">
        <f>INDEX(Products!B:B,MATCH(OrdersTable[[#This Row],[Product ID]],Products!A:A,0))</f>
        <v>Scented Candle Set</v>
      </c>
      <c r="O3252" t="str">
        <f>INDEX(Products!C:C,MATCH(OrdersTable[[#This Row],[Product ID]],Products!A:A,0))</f>
        <v>Home &amp; Kitchen</v>
      </c>
      <c r="P3252">
        <v>1</v>
      </c>
      <c r="Q3252" s="5">
        <v>699</v>
      </c>
      <c r="R3252" s="74">
        <v>0.2</v>
      </c>
      <c r="S3252" s="75">
        <f>OrdersTable[[#This Row],[Quantity]]*OrdersTable[[#This Row],[Unit Price]]</f>
        <v>699</v>
      </c>
      <c r="T3252" s="5">
        <f>OrdersTable[[#This Row],[Gross Sale]]*OrdersTable[[#This Row],[Discount_Clean2]]</f>
        <v>139.80000000000001</v>
      </c>
      <c r="U3252" s="5">
        <f>OrdersTable[[#This Row],[Gross Sale]]-OrdersTable[[#This Row],[Discount Amount]]</f>
        <v>559.20000000000005</v>
      </c>
      <c r="V3252" s="77">
        <f>INDEX(Products!E:E,MATCH(OrdersTable[[#This Row],[Product ID]],Products!A:A,0))</f>
        <v>245</v>
      </c>
      <c r="W3252" s="77">
        <f>OrdersTable[[#This Row],[Quantity]]*OrdersTable[[#This Row],[Unit Cost]]</f>
        <v>245</v>
      </c>
      <c r="X3252" s="77">
        <f>'Dropdown Lists'!$I$2*(1+OrdersTable[[#This Row],[Returned]])</f>
        <v>60</v>
      </c>
      <c r="Y3252" s="76">
        <f>OrdersTable[[#This Row],[Net Revenue]]-OrdersTable[[#This Row],[COGS]]-OrdersTable[[#This Row],[Shipping Cost]]</f>
        <v>254.20000000000005</v>
      </c>
      <c r="Z3252" s="78">
        <f>IFERROR(OrdersTable[[#This Row],[Profit]]/OrdersTable[[#This Row],[Net Revenue]],0)</f>
        <v>0.45457796852646642</v>
      </c>
      <c r="AA3252" t="s">
        <v>4074</v>
      </c>
      <c r="AB3252" s="79">
        <v>45827</v>
      </c>
      <c r="AC3252">
        <f>OrdersTable[[#This Row],[Delivery Date]]-OrdersTable[[#This Row],[Order Date]]</f>
        <v>2</v>
      </c>
      <c r="AD3252" t="str">
        <f>IF(OrdersTable[[#This Row],[Delivery Days]]&lt;=2, "Express (≤2d)", IF(OrdersTable[[#This Row],[Delivery Days]]&lt;=4, "Standard (3-4d)", "Delayed (5d+)"))</f>
        <v>Express (≤2d)</v>
      </c>
      <c r="AE3252">
        <v>5</v>
      </c>
      <c r="AF3252">
        <v>0</v>
      </c>
    </row>
    <row r="3253" spans="1:32" ht="15" x14ac:dyDescent="0.35">
      <c r="A3253" t="s">
        <v>6174</v>
      </c>
      <c r="B3253" s="1">
        <v>45825</v>
      </c>
      <c r="C3253">
        <f>YEAR(OrdersTable[[#This Row],[Order Date]])</f>
        <v>2025</v>
      </c>
      <c r="D3253" s="2">
        <f>DATE(YEAR(OrdersTable[[#This Row],[Order Date]]),MONTH(OrdersTable[[#This Row],[Order Date]]),1)</f>
        <v>45809</v>
      </c>
      <c r="E3253">
        <f>MONTH(OrdersTable[[#This Row],[Order Date]])</f>
        <v>6</v>
      </c>
      <c r="F3253" t="s">
        <v>1198</v>
      </c>
      <c r="G3253" t="str">
        <f>IF(OrdersTable[[#This Row],[Order Date]]=_xlfn.MINIFS(Order_Date, Customer_ID, OrdersTable[[#This Row],[Customer ID]]), "New", "Repeat")</f>
        <v>Repeat</v>
      </c>
      <c r="H3253" t="s">
        <v>71</v>
      </c>
      <c r="I3253" t="str">
        <f>INDEX(State!B:B,MATCH(OrdersTable[[#This Row],[State]],State!A:A,0))</f>
        <v>MH</v>
      </c>
      <c r="J3253" t="str">
        <f>INDEX(State!C:C,MATCH(OrdersTable[[#This Row],[State Code]],State!B:B,0))</f>
        <v>West</v>
      </c>
      <c r="K3253" t="s">
        <v>81</v>
      </c>
      <c r="L3253" t="s">
        <v>39</v>
      </c>
      <c r="M3253" t="s">
        <v>56</v>
      </c>
      <c r="N3253" t="str">
        <f>INDEX(Products!B:B,MATCH(OrdersTable[[#This Row],[Product ID]],Products!A:A,0))</f>
        <v>Vitamin C Face Serum</v>
      </c>
      <c r="O3253" t="str">
        <f>INDEX(Products!C:C,MATCH(OrdersTable[[#This Row],[Product ID]],Products!A:A,0))</f>
        <v>Skincare</v>
      </c>
      <c r="P3253">
        <v>2</v>
      </c>
      <c r="Q3253" s="5">
        <v>599</v>
      </c>
      <c r="R3253" s="74">
        <v>0.2</v>
      </c>
      <c r="S3253" s="75">
        <f>OrdersTable[[#This Row],[Quantity]]*OrdersTable[[#This Row],[Unit Price]]</f>
        <v>1198</v>
      </c>
      <c r="T3253" s="5">
        <f>OrdersTable[[#This Row],[Gross Sale]]*OrdersTable[[#This Row],[Discount_Clean2]]</f>
        <v>239.60000000000002</v>
      </c>
      <c r="U3253" s="5">
        <f>OrdersTable[[#This Row],[Gross Sale]]-OrdersTable[[#This Row],[Discount Amount]]</f>
        <v>958.4</v>
      </c>
      <c r="V3253" s="77">
        <f>INDEX(Products!E:E,MATCH(OrdersTable[[#This Row],[Product ID]],Products!A:A,0))</f>
        <v>180</v>
      </c>
      <c r="W3253" s="77">
        <f>OrdersTable[[#This Row],[Quantity]]*OrdersTable[[#This Row],[Unit Cost]]</f>
        <v>360</v>
      </c>
      <c r="X3253" s="77">
        <f>'Dropdown Lists'!$I$2*(1+OrdersTable[[#This Row],[Returned]])</f>
        <v>60</v>
      </c>
      <c r="Y3253" s="76">
        <f>OrdersTable[[#This Row],[Net Revenue]]-OrdersTable[[#This Row],[COGS]]-OrdersTable[[#This Row],[Shipping Cost]]</f>
        <v>538.4</v>
      </c>
      <c r="Z3253" s="78">
        <f>IFERROR(OrdersTable[[#This Row],[Profit]]/OrdersTable[[#This Row],[Net Revenue]],0)</f>
        <v>0.56176961602671116</v>
      </c>
      <c r="AA3253" t="s">
        <v>18</v>
      </c>
      <c r="AB3253" s="79">
        <v>45827</v>
      </c>
      <c r="AC3253">
        <f>OrdersTable[[#This Row],[Delivery Date]]-OrdersTable[[#This Row],[Order Date]]</f>
        <v>2</v>
      </c>
      <c r="AD3253" t="str">
        <f>IF(OrdersTable[[#This Row],[Delivery Days]]&lt;=2, "Express (≤2d)", IF(OrdersTable[[#This Row],[Delivery Days]]&lt;=4, "Standard (3-4d)", "Delayed (5d+)"))</f>
        <v>Express (≤2d)</v>
      </c>
      <c r="AE3253">
        <v>4</v>
      </c>
      <c r="AF3253">
        <v>0</v>
      </c>
    </row>
    <row r="3254" spans="1:32" ht="15" x14ac:dyDescent="0.35">
      <c r="A3254" t="s">
        <v>4416</v>
      </c>
      <c r="B3254" s="1">
        <v>45825</v>
      </c>
      <c r="C3254">
        <f>YEAR(OrdersTable[[#This Row],[Order Date]])</f>
        <v>2025</v>
      </c>
      <c r="D3254" s="2">
        <f>DATE(YEAR(OrdersTable[[#This Row],[Order Date]]),MONTH(OrdersTable[[#This Row],[Order Date]]),1)</f>
        <v>45809</v>
      </c>
      <c r="E3254">
        <f>MONTH(OrdersTable[[#This Row],[Order Date]])</f>
        <v>6</v>
      </c>
      <c r="F3254" t="s">
        <v>477</v>
      </c>
      <c r="G3254" t="str">
        <f>IF(OrdersTable[[#This Row],[Order Date]]=_xlfn.MINIFS(Order_Date, Customer_ID, OrdersTable[[#This Row],[Customer ID]]), "New", "Repeat")</f>
        <v>Repeat</v>
      </c>
      <c r="H3254" t="s">
        <v>71</v>
      </c>
      <c r="I3254" t="str">
        <f>INDEX(State!B:B,MATCH(OrdersTable[[#This Row],[State]],State!A:A,0))</f>
        <v>MH</v>
      </c>
      <c r="J3254" t="str">
        <f>INDEX(State!C:C,MATCH(OrdersTable[[#This Row],[State Code]],State!B:B,0))</f>
        <v>West</v>
      </c>
      <c r="K3254" t="s">
        <v>102</v>
      </c>
      <c r="L3254" t="s">
        <v>39</v>
      </c>
      <c r="M3254" t="s">
        <v>148</v>
      </c>
      <c r="N3254" t="str">
        <f>INDEX(Products!B:B,MATCH(OrdersTable[[#This Row],[Product ID]],Products!A:A,0))</f>
        <v>Smartwatch Strap</v>
      </c>
      <c r="O3254" t="str">
        <f>INDEX(Products!C:C,MATCH(OrdersTable[[#This Row],[Product ID]],Products!A:A,0))</f>
        <v>Electronics</v>
      </c>
      <c r="P3254">
        <v>1</v>
      </c>
      <c r="Q3254" s="5">
        <v>499</v>
      </c>
      <c r="R3254" s="74">
        <v>0.05</v>
      </c>
      <c r="S3254" s="75">
        <f>OrdersTable[[#This Row],[Quantity]]*OrdersTable[[#This Row],[Unit Price]]</f>
        <v>499</v>
      </c>
      <c r="T3254" s="5">
        <f>OrdersTable[[#This Row],[Gross Sale]]*OrdersTable[[#This Row],[Discount_Clean2]]</f>
        <v>24.950000000000003</v>
      </c>
      <c r="U3254" s="5">
        <f>OrdersTable[[#This Row],[Gross Sale]]-OrdersTable[[#This Row],[Discount Amount]]</f>
        <v>474.05</v>
      </c>
      <c r="V3254" s="77">
        <f>INDEX(Products!E:E,MATCH(OrdersTable[[#This Row],[Product ID]],Products!A:A,0))</f>
        <v>200</v>
      </c>
      <c r="W3254" s="77">
        <f>OrdersTable[[#This Row],[Quantity]]*OrdersTable[[#This Row],[Unit Cost]]</f>
        <v>200</v>
      </c>
      <c r="X3254" s="77">
        <f>'Dropdown Lists'!$I$2*(1+OrdersTable[[#This Row],[Returned]])</f>
        <v>60</v>
      </c>
      <c r="Y3254" s="76">
        <f>OrdersTable[[#This Row],[Net Revenue]]-OrdersTable[[#This Row],[COGS]]-OrdersTable[[#This Row],[Shipping Cost]]</f>
        <v>214.05</v>
      </c>
      <c r="Z3254" s="78">
        <f>IFERROR(OrdersTable[[#This Row],[Profit]]/OrdersTable[[#This Row],[Net Revenue]],0)</f>
        <v>0.45153464824385614</v>
      </c>
      <c r="AA3254" t="s">
        <v>4074</v>
      </c>
      <c r="AB3254" s="79">
        <v>45828</v>
      </c>
      <c r="AC3254">
        <f>OrdersTable[[#This Row],[Delivery Date]]-OrdersTable[[#This Row],[Order Date]]</f>
        <v>3</v>
      </c>
      <c r="AD3254" t="str">
        <f>IF(OrdersTable[[#This Row],[Delivery Days]]&lt;=2, "Express (≤2d)", IF(OrdersTable[[#This Row],[Delivery Days]]&lt;=4, "Standard (3-4d)", "Delayed (5d+)"))</f>
        <v>Standard (3-4d)</v>
      </c>
      <c r="AE3254">
        <v>4</v>
      </c>
      <c r="AF3254">
        <v>0</v>
      </c>
    </row>
    <row r="3255" spans="1:32" ht="15" x14ac:dyDescent="0.35">
      <c r="A3255" t="s">
        <v>5525</v>
      </c>
      <c r="B3255" s="1">
        <v>45825</v>
      </c>
      <c r="C3255">
        <f>YEAR(OrdersTable[[#This Row],[Order Date]])</f>
        <v>2025</v>
      </c>
      <c r="D3255" s="2">
        <f>DATE(YEAR(OrdersTable[[#This Row],[Order Date]]),MONTH(OrdersTable[[#This Row],[Order Date]]),1)</f>
        <v>45809</v>
      </c>
      <c r="E3255">
        <f>MONTH(OrdersTable[[#This Row],[Order Date]])</f>
        <v>6</v>
      </c>
      <c r="F3255" t="s">
        <v>3251</v>
      </c>
      <c r="G3255" t="str">
        <f>IF(OrdersTable[[#This Row],[Order Date]]=_xlfn.MINIFS(Order_Date, Customer_ID, OrdersTable[[#This Row],[Customer ID]]), "New", "Repeat")</f>
        <v>Repeat</v>
      </c>
      <c r="H3255" t="s">
        <v>316</v>
      </c>
      <c r="I3255" t="str">
        <f>INDEX(State!B:B,MATCH(OrdersTable[[#This Row],[State]],State!A:A,0))</f>
        <v>KL</v>
      </c>
      <c r="J3255" t="str">
        <f>INDEX(State!C:C,MATCH(OrdersTable[[#This Row],[State Code]],State!B:B,0))</f>
        <v>South</v>
      </c>
      <c r="K3255" t="s">
        <v>317</v>
      </c>
      <c r="L3255" t="s">
        <v>16</v>
      </c>
      <c r="M3255" t="s">
        <v>205</v>
      </c>
      <c r="N3255" t="str">
        <f>INDEX(Products!B:B,MATCH(OrdersTable[[#This Row],[Product ID]],Products!A:A,0))</f>
        <v>Running Shoes</v>
      </c>
      <c r="O3255" t="str">
        <f>INDEX(Products!C:C,MATCH(OrdersTable[[#This Row],[Product ID]],Products!A:A,0))</f>
        <v>Footwear</v>
      </c>
      <c r="P3255">
        <v>2</v>
      </c>
      <c r="Q3255" s="5">
        <v>2999</v>
      </c>
      <c r="R3255" s="74">
        <v>0.25</v>
      </c>
      <c r="S3255" s="75">
        <f>OrdersTable[[#This Row],[Quantity]]*OrdersTable[[#This Row],[Unit Price]]</f>
        <v>5998</v>
      </c>
      <c r="T3255" s="5">
        <f>OrdersTable[[#This Row],[Gross Sale]]*OrdersTable[[#This Row],[Discount_Clean2]]</f>
        <v>1499.5</v>
      </c>
      <c r="U3255" s="5">
        <f>OrdersTable[[#This Row],[Gross Sale]]-OrdersTable[[#This Row],[Discount Amount]]</f>
        <v>4498.5</v>
      </c>
      <c r="V3255" s="77">
        <f>INDEX(Products!E:E,MATCH(OrdersTable[[#This Row],[Product ID]],Products!A:A,0))</f>
        <v>1440</v>
      </c>
      <c r="W3255" s="77">
        <f>OrdersTable[[#This Row],[Quantity]]*OrdersTable[[#This Row],[Unit Cost]]</f>
        <v>2880</v>
      </c>
      <c r="X3255" s="77">
        <f>'Dropdown Lists'!$I$2*(1+OrdersTable[[#This Row],[Returned]])</f>
        <v>120</v>
      </c>
      <c r="Y3255" s="76">
        <f>OrdersTable[[#This Row],[Net Revenue]]-OrdersTable[[#This Row],[COGS]]-OrdersTable[[#This Row],[Shipping Cost]]</f>
        <v>1498.5</v>
      </c>
      <c r="Z3255" s="78">
        <f>IFERROR(OrdersTable[[#This Row],[Profit]]/OrdersTable[[#This Row],[Net Revenue]],0)</f>
        <v>0.33311103701233746</v>
      </c>
      <c r="AA3255" t="s">
        <v>2522</v>
      </c>
      <c r="AB3255" s="79">
        <v>45828</v>
      </c>
      <c r="AC3255">
        <f>OrdersTable[[#This Row],[Delivery Date]]-OrdersTable[[#This Row],[Order Date]]</f>
        <v>3</v>
      </c>
      <c r="AD3255" t="str">
        <f>IF(OrdersTable[[#This Row],[Delivery Days]]&lt;=2, "Express (≤2d)", IF(OrdersTable[[#This Row],[Delivery Days]]&lt;=4, "Standard (3-4d)", "Delayed (5d+)"))</f>
        <v>Standard (3-4d)</v>
      </c>
      <c r="AE3255">
        <v>4</v>
      </c>
      <c r="AF3255">
        <v>1</v>
      </c>
    </row>
    <row r="3256" spans="1:32" ht="15" x14ac:dyDescent="0.35">
      <c r="A3256" t="s">
        <v>6722</v>
      </c>
      <c r="B3256" s="1">
        <v>45825</v>
      </c>
      <c r="C3256">
        <f>YEAR(OrdersTable[[#This Row],[Order Date]])</f>
        <v>2025</v>
      </c>
      <c r="D3256" s="2">
        <f>DATE(YEAR(OrdersTable[[#This Row],[Order Date]]),MONTH(OrdersTable[[#This Row],[Order Date]]),1)</f>
        <v>45809</v>
      </c>
      <c r="E3256">
        <f>MONTH(OrdersTable[[#This Row],[Order Date]])</f>
        <v>6</v>
      </c>
      <c r="F3256" t="s">
        <v>733</v>
      </c>
      <c r="G3256" t="str">
        <f>IF(OrdersTable[[#This Row],[Order Date]]=_xlfn.MINIFS(Order_Date, Customer_ID, OrdersTable[[#This Row],[Customer ID]]), "New", "Repeat")</f>
        <v>Repeat</v>
      </c>
      <c r="H3256" t="s">
        <v>59</v>
      </c>
      <c r="I3256" t="str">
        <f>INDEX(State!B:B,MATCH(OrdersTable[[#This Row],[State]],State!A:A,0))</f>
        <v>TN</v>
      </c>
      <c r="J3256" t="str">
        <f>INDEX(State!C:C,MATCH(OrdersTable[[#This Row],[State Code]],State!B:B,0))</f>
        <v>South</v>
      </c>
      <c r="K3256" t="s">
        <v>60</v>
      </c>
      <c r="L3256" t="s">
        <v>39</v>
      </c>
      <c r="M3256" t="s">
        <v>61</v>
      </c>
      <c r="N3256" t="str">
        <f>INDEX(Products!B:B,MATCH(OrdersTable[[#This Row],[Product ID]],Products!A:A,0))</f>
        <v>Multivitamin Gummies</v>
      </c>
      <c r="O3256" t="str">
        <f>INDEX(Products!C:C,MATCH(OrdersTable[[#This Row],[Product ID]],Products!A:A,0))</f>
        <v>Wellness</v>
      </c>
      <c r="P3256">
        <v>3</v>
      </c>
      <c r="Q3256" s="5">
        <v>699</v>
      </c>
      <c r="R3256" s="74">
        <v>0.2</v>
      </c>
      <c r="S3256" s="75">
        <f>OrdersTable[[#This Row],[Quantity]]*OrdersTable[[#This Row],[Unit Price]]</f>
        <v>2097</v>
      </c>
      <c r="T3256" s="5">
        <f>OrdersTable[[#This Row],[Gross Sale]]*OrdersTable[[#This Row],[Discount_Clean2]]</f>
        <v>419.40000000000003</v>
      </c>
      <c r="U3256" s="5">
        <f>OrdersTable[[#This Row],[Gross Sale]]-OrdersTable[[#This Row],[Discount Amount]]</f>
        <v>1677.6</v>
      </c>
      <c r="V3256" s="77">
        <f>INDEX(Products!E:E,MATCH(OrdersTable[[#This Row],[Product ID]],Products!A:A,0))</f>
        <v>238</v>
      </c>
      <c r="W3256" s="77">
        <f>OrdersTable[[#This Row],[Quantity]]*OrdersTable[[#This Row],[Unit Cost]]</f>
        <v>714</v>
      </c>
      <c r="X3256" s="77">
        <f>'Dropdown Lists'!$I$2*(1+OrdersTable[[#This Row],[Returned]])</f>
        <v>60</v>
      </c>
      <c r="Y3256" s="76">
        <f>OrdersTable[[#This Row],[Net Revenue]]-OrdersTable[[#This Row],[COGS]]-OrdersTable[[#This Row],[Shipping Cost]]</f>
        <v>903.59999999999991</v>
      </c>
      <c r="Z3256" s="78">
        <f>IFERROR(OrdersTable[[#This Row],[Profit]]/OrdersTable[[#This Row],[Net Revenue]],0)</f>
        <v>0.53862660944206009</v>
      </c>
      <c r="AA3256" t="s">
        <v>2522</v>
      </c>
      <c r="AB3256" s="79">
        <v>45828</v>
      </c>
      <c r="AC3256">
        <f>OrdersTable[[#This Row],[Delivery Date]]-OrdersTable[[#This Row],[Order Date]]</f>
        <v>3</v>
      </c>
      <c r="AD3256" t="str">
        <f>IF(OrdersTable[[#This Row],[Delivery Days]]&lt;=2, "Express (≤2d)", IF(OrdersTable[[#This Row],[Delivery Days]]&lt;=4, "Standard (3-4d)", "Delayed (5d+)"))</f>
        <v>Standard (3-4d)</v>
      </c>
      <c r="AE3256">
        <v>3</v>
      </c>
      <c r="AF3256">
        <v>0</v>
      </c>
    </row>
    <row r="3257" spans="1:32" ht="15" x14ac:dyDescent="0.35">
      <c r="A3257" t="s">
        <v>3908</v>
      </c>
      <c r="B3257" s="1">
        <v>45826</v>
      </c>
      <c r="C3257">
        <f>YEAR(OrdersTable[[#This Row],[Order Date]])</f>
        <v>2025</v>
      </c>
      <c r="D3257" s="2">
        <f>DATE(YEAR(OrdersTable[[#This Row],[Order Date]]),MONTH(OrdersTable[[#This Row],[Order Date]]),1)</f>
        <v>45809</v>
      </c>
      <c r="E3257">
        <f>MONTH(OrdersTable[[#This Row],[Order Date]])</f>
        <v>6</v>
      </c>
      <c r="F3257" t="s">
        <v>3909</v>
      </c>
      <c r="G3257" t="str">
        <f>IF(OrdersTable[[#This Row],[Order Date]]=_xlfn.MINIFS(Order_Date, Customer_ID, OrdersTable[[#This Row],[Customer ID]]), "New", "Repeat")</f>
        <v>New</v>
      </c>
      <c r="H3257" t="s">
        <v>21</v>
      </c>
      <c r="I3257" t="str">
        <f>INDEX(State!B:B,MATCH(OrdersTable[[#This Row],[State]],State!A:A,0))</f>
        <v>PB</v>
      </c>
      <c r="J3257" t="str">
        <f>INDEX(State!C:C,MATCH(OrdersTable[[#This Row],[State Code]],State!B:B,0))</f>
        <v>North</v>
      </c>
      <c r="K3257" t="s">
        <v>22</v>
      </c>
      <c r="L3257" t="s">
        <v>39</v>
      </c>
      <c r="M3257" t="s">
        <v>92</v>
      </c>
      <c r="N3257" t="str">
        <f>INDEX(Products!B:B,MATCH(OrdersTable[[#This Row],[Product ID]],Products!A:A,0))</f>
        <v>Kolhapuri Sandals</v>
      </c>
      <c r="O3257" t="str">
        <f>INDEX(Products!C:C,MATCH(OrdersTable[[#This Row],[Product ID]],Products!A:A,0))</f>
        <v>Footwear</v>
      </c>
      <c r="P3257">
        <v>1</v>
      </c>
      <c r="Q3257" s="5">
        <v>999</v>
      </c>
      <c r="R3257" s="74">
        <v>0.05</v>
      </c>
      <c r="S3257" s="75">
        <f>OrdersTable[[#This Row],[Quantity]]*OrdersTable[[#This Row],[Unit Price]]</f>
        <v>999</v>
      </c>
      <c r="T3257" s="5">
        <f>OrdersTable[[#This Row],[Gross Sale]]*OrdersTable[[#This Row],[Discount_Clean2]]</f>
        <v>49.95</v>
      </c>
      <c r="U3257" s="5">
        <f>OrdersTable[[#This Row],[Gross Sale]]-OrdersTable[[#This Row],[Discount Amount]]</f>
        <v>949.05</v>
      </c>
      <c r="V3257" s="77">
        <f>INDEX(Products!E:E,MATCH(OrdersTable[[#This Row],[Product ID]],Products!A:A,0))</f>
        <v>400</v>
      </c>
      <c r="W3257" s="77">
        <f>OrdersTable[[#This Row],[Quantity]]*OrdersTable[[#This Row],[Unit Cost]]</f>
        <v>400</v>
      </c>
      <c r="X3257" s="77">
        <f>'Dropdown Lists'!$I$2*(1+OrdersTable[[#This Row],[Returned]])</f>
        <v>60</v>
      </c>
      <c r="Y3257" s="76">
        <f>OrdersTable[[#This Row],[Net Revenue]]-OrdersTable[[#This Row],[COGS]]-OrdersTable[[#This Row],[Shipping Cost]]</f>
        <v>489.04999999999995</v>
      </c>
      <c r="Z3257" s="78">
        <f>IFERROR(OrdersTable[[#This Row],[Profit]]/OrdersTable[[#This Row],[Net Revenue]],0)</f>
        <v>0.5153047784626732</v>
      </c>
      <c r="AA3257" t="s">
        <v>3495</v>
      </c>
      <c r="AB3257" s="79">
        <v>45831</v>
      </c>
      <c r="AC3257">
        <f>OrdersTable[[#This Row],[Delivery Date]]-OrdersTable[[#This Row],[Order Date]]</f>
        <v>5</v>
      </c>
      <c r="AD3257" t="str">
        <f>IF(OrdersTable[[#This Row],[Delivery Days]]&lt;=2, "Express (≤2d)", IF(OrdersTable[[#This Row],[Delivery Days]]&lt;=4, "Standard (3-4d)", "Delayed (5d+)"))</f>
        <v>Delayed (5d+)</v>
      </c>
      <c r="AE3257">
        <v>3</v>
      </c>
      <c r="AF3257">
        <v>0</v>
      </c>
    </row>
    <row r="3258" spans="1:32" ht="15" x14ac:dyDescent="0.35">
      <c r="A3258" t="s">
        <v>5003</v>
      </c>
      <c r="B3258" s="1">
        <v>45826</v>
      </c>
      <c r="C3258">
        <f>YEAR(OrdersTable[[#This Row],[Order Date]])</f>
        <v>2025</v>
      </c>
      <c r="D3258" s="2">
        <f>DATE(YEAR(OrdersTable[[#This Row],[Order Date]]),MONTH(OrdersTable[[#This Row],[Order Date]]),1)</f>
        <v>45809</v>
      </c>
      <c r="E3258">
        <f>MONTH(OrdersTable[[#This Row],[Order Date]])</f>
        <v>6</v>
      </c>
      <c r="F3258" t="s">
        <v>5004</v>
      </c>
      <c r="G3258" t="str">
        <f>IF(OrdersTable[[#This Row],[Order Date]]=_xlfn.MINIFS(Order_Date, Customer_ID, OrdersTable[[#This Row],[Customer ID]]), "New", "Repeat")</f>
        <v>New</v>
      </c>
      <c r="H3258" t="s">
        <v>128</v>
      </c>
      <c r="I3258" t="str">
        <f>INDEX(State!B:B,MATCH(OrdersTable[[#This Row],[State]],State!A:A,0))</f>
        <v>DL</v>
      </c>
      <c r="J3258" t="str">
        <f>INDEX(State!C:C,MATCH(OrdersTable[[#This Row],[State Code]],State!B:B,0))</f>
        <v>North</v>
      </c>
      <c r="K3258" t="s">
        <v>129</v>
      </c>
      <c r="L3258" t="s">
        <v>65</v>
      </c>
      <c r="M3258" t="s">
        <v>66</v>
      </c>
      <c r="N3258" t="str">
        <f>INDEX(Products!B:B,MATCH(OrdersTable[[#This Row],[Product ID]],Products!A:A,0))</f>
        <v>Sunscreen SPF 50</v>
      </c>
      <c r="O3258" t="str">
        <f>INDEX(Products!C:C,MATCH(OrdersTable[[#This Row],[Product ID]],Products!A:A,0))</f>
        <v>Skincare</v>
      </c>
      <c r="P3258">
        <v>2</v>
      </c>
      <c r="Q3258" s="5">
        <v>449</v>
      </c>
      <c r="R3258" s="74">
        <v>0.05</v>
      </c>
      <c r="S3258" s="75">
        <f>OrdersTable[[#This Row],[Quantity]]*OrdersTable[[#This Row],[Unit Price]]</f>
        <v>898</v>
      </c>
      <c r="T3258" s="5">
        <f>OrdersTable[[#This Row],[Gross Sale]]*OrdersTable[[#This Row],[Discount_Clean2]]</f>
        <v>44.900000000000006</v>
      </c>
      <c r="U3258" s="5">
        <f>OrdersTable[[#This Row],[Gross Sale]]-OrdersTable[[#This Row],[Discount Amount]]</f>
        <v>853.1</v>
      </c>
      <c r="V3258" s="77">
        <f>INDEX(Products!E:E,MATCH(OrdersTable[[#This Row],[Product ID]],Products!A:A,0))</f>
        <v>144</v>
      </c>
      <c r="W3258" s="77">
        <f>OrdersTable[[#This Row],[Quantity]]*OrdersTable[[#This Row],[Unit Cost]]</f>
        <v>288</v>
      </c>
      <c r="X3258" s="77">
        <f>'Dropdown Lists'!$I$2*(1+OrdersTable[[#This Row],[Returned]])</f>
        <v>60</v>
      </c>
      <c r="Y3258" s="76">
        <f>OrdersTable[[#This Row],[Net Revenue]]-OrdersTable[[#This Row],[COGS]]-OrdersTable[[#This Row],[Shipping Cost]]</f>
        <v>505.1</v>
      </c>
      <c r="Z3258" s="78">
        <f>IFERROR(OrdersTable[[#This Row],[Profit]]/OrdersTable[[#This Row],[Net Revenue]],0)</f>
        <v>0.59207595826983939</v>
      </c>
      <c r="AA3258" t="s">
        <v>4074</v>
      </c>
      <c r="AB3258" s="79">
        <v>45827</v>
      </c>
      <c r="AC3258">
        <f>OrdersTable[[#This Row],[Delivery Date]]-OrdersTable[[#This Row],[Order Date]]</f>
        <v>1</v>
      </c>
      <c r="AD3258" t="str">
        <f>IF(OrdersTable[[#This Row],[Delivery Days]]&lt;=2, "Express (≤2d)", IF(OrdersTable[[#This Row],[Delivery Days]]&lt;=4, "Standard (3-4d)", "Delayed (5d+)"))</f>
        <v>Express (≤2d)</v>
      </c>
      <c r="AE3258">
        <v>4</v>
      </c>
      <c r="AF3258">
        <v>0</v>
      </c>
    </row>
    <row r="3259" spans="1:32" ht="15" x14ac:dyDescent="0.35">
      <c r="A3259" t="s">
        <v>7013</v>
      </c>
      <c r="B3259" s="1">
        <v>45826</v>
      </c>
      <c r="C3259">
        <f>YEAR(OrdersTable[[#This Row],[Order Date]])</f>
        <v>2025</v>
      </c>
      <c r="D3259" s="2">
        <f>DATE(YEAR(OrdersTable[[#This Row],[Order Date]]),MONTH(OrdersTable[[#This Row],[Order Date]]),1)</f>
        <v>45809</v>
      </c>
      <c r="E3259">
        <f>MONTH(OrdersTable[[#This Row],[Order Date]])</f>
        <v>6</v>
      </c>
      <c r="F3259" t="s">
        <v>7014</v>
      </c>
      <c r="G3259" t="str">
        <f>IF(OrdersTable[[#This Row],[Order Date]]=_xlfn.MINIFS(Order_Date, Customer_ID, OrdersTable[[#This Row],[Customer ID]]), "New", "Repeat")</f>
        <v>New</v>
      </c>
      <c r="H3259" t="s">
        <v>71</v>
      </c>
      <c r="I3259" t="str">
        <f>INDEX(State!B:B,MATCH(OrdersTable[[#This Row],[State]],State!A:A,0))</f>
        <v>MH</v>
      </c>
      <c r="J3259" t="str">
        <f>INDEX(State!C:C,MATCH(OrdersTable[[#This Row],[State Code]],State!B:B,0))</f>
        <v>West</v>
      </c>
      <c r="K3259" t="s">
        <v>72</v>
      </c>
      <c r="L3259" t="s">
        <v>23</v>
      </c>
      <c r="M3259" t="s">
        <v>73</v>
      </c>
      <c r="N3259" t="str">
        <f>INDEX(Products!B:B,MATCH(OrdersTable[[#This Row],[Product ID]],Products!A:A,0))</f>
        <v>Hydrating Face Wash</v>
      </c>
      <c r="O3259" t="str">
        <f>INDEX(Products!C:C,MATCH(OrdersTable[[#This Row],[Product ID]],Products!A:A,0))</f>
        <v>Skincare</v>
      </c>
      <c r="P3259">
        <v>4</v>
      </c>
      <c r="Q3259" s="5">
        <v>299</v>
      </c>
      <c r="R3259" s="74">
        <v>0</v>
      </c>
      <c r="S3259" s="75">
        <f>OrdersTable[[#This Row],[Quantity]]*OrdersTable[[#This Row],[Unit Price]]</f>
        <v>1196</v>
      </c>
      <c r="T3259" s="5">
        <f>OrdersTable[[#This Row],[Gross Sale]]*OrdersTable[[#This Row],[Discount_Clean2]]</f>
        <v>0</v>
      </c>
      <c r="U3259" s="5">
        <f>OrdersTable[[#This Row],[Gross Sale]]-OrdersTable[[#This Row],[Discount Amount]]</f>
        <v>1196</v>
      </c>
      <c r="V3259" s="77">
        <f>INDEX(Products!E:E,MATCH(OrdersTable[[#This Row],[Product ID]],Products!A:A,0))</f>
        <v>90</v>
      </c>
      <c r="W3259" s="77">
        <f>OrdersTable[[#This Row],[Quantity]]*OrdersTable[[#This Row],[Unit Cost]]</f>
        <v>360</v>
      </c>
      <c r="X3259" s="77">
        <f>'Dropdown Lists'!$I$2*(1+OrdersTable[[#This Row],[Returned]])</f>
        <v>60</v>
      </c>
      <c r="Y3259" s="76">
        <f>OrdersTable[[#This Row],[Net Revenue]]-OrdersTable[[#This Row],[COGS]]-OrdersTable[[#This Row],[Shipping Cost]]</f>
        <v>776</v>
      </c>
      <c r="Z3259" s="78">
        <f>IFERROR(OrdersTable[[#This Row],[Profit]]/OrdersTable[[#This Row],[Net Revenue]],0)</f>
        <v>0.6488294314381271</v>
      </c>
      <c r="AA3259" t="s">
        <v>3495</v>
      </c>
      <c r="AB3259" s="79">
        <v>45827</v>
      </c>
      <c r="AC3259">
        <f>OrdersTable[[#This Row],[Delivery Date]]-OrdersTable[[#This Row],[Order Date]]</f>
        <v>1</v>
      </c>
      <c r="AD3259" t="str">
        <f>IF(OrdersTable[[#This Row],[Delivery Days]]&lt;=2, "Express (≤2d)", IF(OrdersTable[[#This Row],[Delivery Days]]&lt;=4, "Standard (3-4d)", "Delayed (5d+)"))</f>
        <v>Express (≤2d)</v>
      </c>
      <c r="AE3259">
        <v>4</v>
      </c>
      <c r="AF3259">
        <v>0</v>
      </c>
    </row>
    <row r="3260" spans="1:32" ht="15" x14ac:dyDescent="0.35">
      <c r="A3260" t="s">
        <v>3451</v>
      </c>
      <c r="B3260" s="1">
        <v>45826</v>
      </c>
      <c r="C3260">
        <f>YEAR(OrdersTable[[#This Row],[Order Date]])</f>
        <v>2025</v>
      </c>
      <c r="D3260" s="2">
        <f>DATE(YEAR(OrdersTable[[#This Row],[Order Date]]),MONTH(OrdersTable[[#This Row],[Order Date]]),1)</f>
        <v>45809</v>
      </c>
      <c r="E3260">
        <f>MONTH(OrdersTable[[#This Row],[Order Date]])</f>
        <v>6</v>
      </c>
      <c r="F3260" t="s">
        <v>3452</v>
      </c>
      <c r="G3260" t="str">
        <f>IF(OrdersTable[[#This Row],[Order Date]]=_xlfn.MINIFS(Order_Date, Customer_ID, OrdersTable[[#This Row],[Customer ID]]), "New", "Repeat")</f>
        <v>New</v>
      </c>
      <c r="H3260" t="s">
        <v>275</v>
      </c>
      <c r="I3260" t="str">
        <f>INDEX(State!B:B,MATCH(OrdersTable[[#This Row],[State]],State!A:A,0))</f>
        <v>AP</v>
      </c>
      <c r="J3260" t="str">
        <f>INDEX(State!C:C,MATCH(OrdersTable[[#This Row],[State Code]],State!B:B,0))</f>
        <v>South</v>
      </c>
      <c r="K3260" t="s">
        <v>491</v>
      </c>
      <c r="L3260" t="s">
        <v>65</v>
      </c>
      <c r="M3260" t="s">
        <v>255</v>
      </c>
      <c r="N3260" t="str">
        <f>INDEX(Products!B:B,MATCH(OrdersTable[[#This Row],[Product ID]],Products!A:A,0))</f>
        <v>Cotton Oversized T-Shirt</v>
      </c>
      <c r="O3260" t="str">
        <f>INDEX(Products!C:C,MATCH(OrdersTable[[#This Row],[Product ID]],Products!A:A,0))</f>
        <v>Apparel</v>
      </c>
      <c r="P3260">
        <v>1</v>
      </c>
      <c r="Q3260" s="5">
        <v>799</v>
      </c>
      <c r="R3260" s="74">
        <v>0.1</v>
      </c>
      <c r="S3260" s="75">
        <f>OrdersTable[[#This Row],[Quantity]]*OrdersTable[[#This Row],[Unit Price]]</f>
        <v>799</v>
      </c>
      <c r="T3260" s="5">
        <f>OrdersTable[[#This Row],[Gross Sale]]*OrdersTable[[#This Row],[Discount_Clean2]]</f>
        <v>79.900000000000006</v>
      </c>
      <c r="U3260" s="5">
        <f>OrdersTable[[#This Row],[Gross Sale]]-OrdersTable[[#This Row],[Discount Amount]]</f>
        <v>719.1</v>
      </c>
      <c r="V3260" s="77">
        <f>INDEX(Products!E:E,MATCH(OrdersTable[[#This Row],[Product ID]],Products!A:A,0))</f>
        <v>320</v>
      </c>
      <c r="W3260" s="77">
        <f>OrdersTable[[#This Row],[Quantity]]*OrdersTable[[#This Row],[Unit Cost]]</f>
        <v>320</v>
      </c>
      <c r="X3260" s="77">
        <f>'Dropdown Lists'!$I$2*(1+OrdersTable[[#This Row],[Returned]])</f>
        <v>60</v>
      </c>
      <c r="Y3260" s="76">
        <f>OrdersTable[[#This Row],[Net Revenue]]-OrdersTable[[#This Row],[COGS]]-OrdersTable[[#This Row],[Shipping Cost]]</f>
        <v>339.1</v>
      </c>
      <c r="Z3260" s="78">
        <f>IFERROR(OrdersTable[[#This Row],[Profit]]/OrdersTable[[#This Row],[Net Revenue]],0)</f>
        <v>0.47156167431511614</v>
      </c>
      <c r="AA3260" t="s">
        <v>2522</v>
      </c>
      <c r="AB3260" s="79">
        <v>45829</v>
      </c>
      <c r="AC3260">
        <f>OrdersTable[[#This Row],[Delivery Date]]-OrdersTable[[#This Row],[Order Date]]</f>
        <v>3</v>
      </c>
      <c r="AD3260" t="str">
        <f>IF(OrdersTable[[#This Row],[Delivery Days]]&lt;=2, "Express (≤2d)", IF(OrdersTable[[#This Row],[Delivery Days]]&lt;=4, "Standard (3-4d)", "Delayed (5d+)"))</f>
        <v>Standard (3-4d)</v>
      </c>
      <c r="AE3260">
        <v>4</v>
      </c>
      <c r="AF3260">
        <v>0</v>
      </c>
    </row>
    <row r="3261" spans="1:32" ht="15" x14ac:dyDescent="0.35">
      <c r="A3261" t="s">
        <v>1998</v>
      </c>
      <c r="B3261" s="1">
        <v>45826</v>
      </c>
      <c r="C3261">
        <f>YEAR(OrdersTable[[#This Row],[Order Date]])</f>
        <v>2025</v>
      </c>
      <c r="D3261" s="2">
        <f>DATE(YEAR(OrdersTable[[#This Row],[Order Date]]),MONTH(OrdersTable[[#This Row],[Order Date]]),1)</f>
        <v>45809</v>
      </c>
      <c r="E3261">
        <f>MONTH(OrdersTable[[#This Row],[Order Date]])</f>
        <v>6</v>
      </c>
      <c r="F3261" t="s">
        <v>1799</v>
      </c>
      <c r="G3261" t="str">
        <f>IF(OrdersTable[[#This Row],[Order Date]]=_xlfn.MINIFS(Order_Date, Customer_ID, OrdersTable[[#This Row],[Customer ID]]), "New", "Repeat")</f>
        <v>Repeat</v>
      </c>
      <c r="H3261" t="s">
        <v>316</v>
      </c>
      <c r="I3261" t="str">
        <f>INDEX(State!B:B,MATCH(OrdersTable[[#This Row],[State]],State!A:A,0))</f>
        <v>KL</v>
      </c>
      <c r="J3261" t="str">
        <f>INDEX(State!C:C,MATCH(OrdersTable[[#This Row],[State Code]],State!B:B,0))</f>
        <v>South</v>
      </c>
      <c r="K3261" t="s">
        <v>338</v>
      </c>
      <c r="L3261" t="s">
        <v>65</v>
      </c>
      <c r="M3261" t="s">
        <v>29</v>
      </c>
      <c r="N3261" t="str">
        <f>INDEX(Products!B:B,MATCH(OrdersTable[[#This Row],[Product ID]],Products!A:A,0))</f>
        <v>Joggers</v>
      </c>
      <c r="O3261" t="str">
        <f>INDEX(Products!C:C,MATCH(OrdersTable[[#This Row],[Product ID]],Products!A:A,0))</f>
        <v>Apparel</v>
      </c>
      <c r="P3261">
        <v>1</v>
      </c>
      <c r="Q3261" s="5">
        <v>1199</v>
      </c>
      <c r="R3261" s="74">
        <v>0.1</v>
      </c>
      <c r="S3261" s="75">
        <f>OrdersTable[[#This Row],[Quantity]]*OrdersTable[[#This Row],[Unit Price]]</f>
        <v>1199</v>
      </c>
      <c r="T3261" s="5">
        <f>OrdersTable[[#This Row],[Gross Sale]]*OrdersTable[[#This Row],[Discount_Clean2]]</f>
        <v>119.9</v>
      </c>
      <c r="U3261" s="5">
        <f>OrdersTable[[#This Row],[Gross Sale]]-OrdersTable[[#This Row],[Discount Amount]]</f>
        <v>1079.0999999999999</v>
      </c>
      <c r="V3261" s="77">
        <f>INDEX(Products!E:E,MATCH(OrdersTable[[#This Row],[Product ID]],Products!A:A,0))</f>
        <v>492</v>
      </c>
      <c r="W3261" s="77">
        <f>OrdersTable[[#This Row],[Quantity]]*OrdersTable[[#This Row],[Unit Cost]]</f>
        <v>492</v>
      </c>
      <c r="X3261" s="77">
        <f>'Dropdown Lists'!$I$2*(1+OrdersTable[[#This Row],[Returned]])</f>
        <v>60</v>
      </c>
      <c r="Y3261" s="76">
        <f>OrdersTable[[#This Row],[Net Revenue]]-OrdersTable[[#This Row],[COGS]]-OrdersTable[[#This Row],[Shipping Cost]]</f>
        <v>527.09999999999991</v>
      </c>
      <c r="Z3261" s="78">
        <f>IFERROR(OrdersTable[[#This Row],[Profit]]/OrdersTable[[#This Row],[Net Revenue]],0)</f>
        <v>0.48846260772866273</v>
      </c>
      <c r="AA3261" t="s">
        <v>18</v>
      </c>
      <c r="AB3261" s="79">
        <v>45830</v>
      </c>
      <c r="AC3261">
        <f>OrdersTable[[#This Row],[Delivery Date]]-OrdersTable[[#This Row],[Order Date]]</f>
        <v>4</v>
      </c>
      <c r="AD3261" t="str">
        <f>IF(OrdersTable[[#This Row],[Delivery Days]]&lt;=2, "Express (≤2d)", IF(OrdersTable[[#This Row],[Delivery Days]]&lt;=4, "Standard (3-4d)", "Delayed (5d+)"))</f>
        <v>Standard (3-4d)</v>
      </c>
      <c r="AE3261">
        <v>3</v>
      </c>
      <c r="AF3261">
        <v>0</v>
      </c>
    </row>
    <row r="3262" spans="1:32" ht="15" x14ac:dyDescent="0.35">
      <c r="A3262" t="s">
        <v>5203</v>
      </c>
      <c r="B3262" s="1">
        <v>45826</v>
      </c>
      <c r="C3262">
        <f>YEAR(OrdersTable[[#This Row],[Order Date]])</f>
        <v>2025</v>
      </c>
      <c r="D3262" s="2">
        <f>DATE(YEAR(OrdersTable[[#This Row],[Order Date]]),MONTH(OrdersTable[[#This Row],[Order Date]]),1)</f>
        <v>45809</v>
      </c>
      <c r="E3262">
        <f>MONTH(OrdersTable[[#This Row],[Order Date]])</f>
        <v>6</v>
      </c>
      <c r="F3262" t="s">
        <v>2248</v>
      </c>
      <c r="G3262" t="str">
        <f>IF(OrdersTable[[#This Row],[Order Date]]=_xlfn.MINIFS(Order_Date, Customer_ID, OrdersTable[[#This Row],[Customer ID]]), "New", "Repeat")</f>
        <v>Repeat</v>
      </c>
      <c r="H3262" t="s">
        <v>316</v>
      </c>
      <c r="I3262" t="str">
        <f>INDEX(State!B:B,MATCH(OrdersTable[[#This Row],[State]],State!A:A,0))</f>
        <v>KL</v>
      </c>
      <c r="J3262" t="str">
        <f>INDEX(State!C:C,MATCH(OrdersTable[[#This Row],[State Code]],State!B:B,0))</f>
        <v>South</v>
      </c>
      <c r="K3262" t="s">
        <v>338</v>
      </c>
      <c r="L3262" t="s">
        <v>50</v>
      </c>
      <c r="M3262" t="s">
        <v>109</v>
      </c>
      <c r="N3262" t="str">
        <f>INDEX(Products!B:B,MATCH(OrdersTable[[#This Row],[Product ID]],Products!A:A,0))</f>
        <v>Onion Hair Oil</v>
      </c>
      <c r="O3262" t="str">
        <f>INDEX(Products!C:C,MATCH(OrdersTable[[#This Row],[Product ID]],Products!A:A,0))</f>
        <v>Haircare</v>
      </c>
      <c r="P3262">
        <v>2</v>
      </c>
      <c r="Q3262" s="5">
        <v>349</v>
      </c>
      <c r="R3262" s="74">
        <v>0.3</v>
      </c>
      <c r="S3262" s="75">
        <f>OrdersTable[[#This Row],[Quantity]]*OrdersTable[[#This Row],[Unit Price]]</f>
        <v>698</v>
      </c>
      <c r="T3262" s="5">
        <f>OrdersTable[[#This Row],[Gross Sale]]*OrdersTable[[#This Row],[Discount_Clean2]]</f>
        <v>209.4</v>
      </c>
      <c r="U3262" s="5">
        <f>OrdersTable[[#This Row],[Gross Sale]]-OrdersTable[[#This Row],[Discount Amount]]</f>
        <v>488.6</v>
      </c>
      <c r="V3262" s="77">
        <f>INDEX(Products!E:E,MATCH(OrdersTable[[#This Row],[Product ID]],Products!A:A,0))</f>
        <v>105</v>
      </c>
      <c r="W3262" s="77">
        <f>OrdersTable[[#This Row],[Quantity]]*OrdersTable[[#This Row],[Unit Cost]]</f>
        <v>210</v>
      </c>
      <c r="X3262" s="77">
        <f>'Dropdown Lists'!$I$2*(1+OrdersTable[[#This Row],[Returned]])</f>
        <v>60</v>
      </c>
      <c r="Y3262" s="76">
        <f>OrdersTable[[#This Row],[Net Revenue]]-OrdersTable[[#This Row],[COGS]]-OrdersTable[[#This Row],[Shipping Cost]]</f>
        <v>218.60000000000002</v>
      </c>
      <c r="Z3262" s="78">
        <f>IFERROR(OrdersTable[[#This Row],[Profit]]/OrdersTable[[#This Row],[Net Revenue]],0)</f>
        <v>0.44740073679901765</v>
      </c>
      <c r="AA3262" t="s">
        <v>3495</v>
      </c>
      <c r="AB3262" s="79">
        <v>45830</v>
      </c>
      <c r="AC3262">
        <f>OrdersTable[[#This Row],[Delivery Date]]-OrdersTable[[#This Row],[Order Date]]</f>
        <v>4</v>
      </c>
      <c r="AD3262" t="str">
        <f>IF(OrdersTable[[#This Row],[Delivery Days]]&lt;=2, "Express (≤2d)", IF(OrdersTable[[#This Row],[Delivery Days]]&lt;=4, "Standard (3-4d)", "Delayed (5d+)"))</f>
        <v>Standard (3-4d)</v>
      </c>
      <c r="AE3262">
        <v>3</v>
      </c>
      <c r="AF3262">
        <v>0</v>
      </c>
    </row>
    <row r="3263" spans="1:32" ht="15" x14ac:dyDescent="0.35">
      <c r="A3263" t="s">
        <v>3298</v>
      </c>
      <c r="B3263" s="1">
        <v>45827</v>
      </c>
      <c r="C3263">
        <f>YEAR(OrdersTable[[#This Row],[Order Date]])</f>
        <v>2025</v>
      </c>
      <c r="D3263" s="2">
        <f>DATE(YEAR(OrdersTable[[#This Row],[Order Date]]),MONTH(OrdersTable[[#This Row],[Order Date]]),1)</f>
        <v>45809</v>
      </c>
      <c r="E3263">
        <f>MONTH(OrdersTable[[#This Row],[Order Date]])</f>
        <v>6</v>
      </c>
      <c r="F3263" t="s">
        <v>923</v>
      </c>
      <c r="G3263" t="str">
        <f>IF(OrdersTable[[#This Row],[Order Date]]=_xlfn.MINIFS(Order_Date, Customer_ID, OrdersTable[[#This Row],[Customer ID]]), "New", "Repeat")</f>
        <v>Repeat</v>
      </c>
      <c r="H3263" t="s">
        <v>21</v>
      </c>
      <c r="I3263" t="str">
        <f>INDEX(State!B:B,MATCH(OrdersTable[[#This Row],[State]],State!A:A,0))</f>
        <v>PB</v>
      </c>
      <c r="J3263" t="str">
        <f>INDEX(State!C:C,MATCH(OrdersTable[[#This Row],[State Code]],State!B:B,0))</f>
        <v>North</v>
      </c>
      <c r="K3263" t="s">
        <v>22</v>
      </c>
      <c r="L3263" t="s">
        <v>23</v>
      </c>
      <c r="M3263" t="s">
        <v>45</v>
      </c>
      <c r="N3263" t="str">
        <f>INDEX(Products!B:B,MATCH(OrdersTable[[#This Row],[Product ID]],Products!A:A,0))</f>
        <v>Argan Shampoo</v>
      </c>
      <c r="O3263" t="str">
        <f>INDEX(Products!C:C,MATCH(OrdersTable[[#This Row],[Product ID]],Products!A:A,0))</f>
        <v>Haircare</v>
      </c>
      <c r="P3263">
        <v>1</v>
      </c>
      <c r="Q3263" s="5">
        <v>449</v>
      </c>
      <c r="R3263" s="74">
        <v>0.15</v>
      </c>
      <c r="S3263" s="75">
        <f>OrdersTable[[#This Row],[Quantity]]*OrdersTable[[#This Row],[Unit Price]]</f>
        <v>449</v>
      </c>
      <c r="T3263" s="5">
        <f>OrdersTable[[#This Row],[Gross Sale]]*OrdersTable[[#This Row],[Discount_Clean2]]</f>
        <v>67.349999999999994</v>
      </c>
      <c r="U3263" s="5">
        <f>OrdersTable[[#This Row],[Gross Sale]]-OrdersTable[[#This Row],[Discount Amount]]</f>
        <v>381.65</v>
      </c>
      <c r="V3263" s="77">
        <f>INDEX(Products!E:E,MATCH(OrdersTable[[#This Row],[Product ID]],Products!A:A,0))</f>
        <v>148</v>
      </c>
      <c r="W3263" s="77">
        <f>OrdersTable[[#This Row],[Quantity]]*OrdersTable[[#This Row],[Unit Cost]]</f>
        <v>148</v>
      </c>
      <c r="X3263" s="77">
        <f>'Dropdown Lists'!$I$2*(1+OrdersTable[[#This Row],[Returned]])</f>
        <v>60</v>
      </c>
      <c r="Y3263" s="76">
        <f>OrdersTable[[#This Row],[Net Revenue]]-OrdersTable[[#This Row],[COGS]]-OrdersTable[[#This Row],[Shipping Cost]]</f>
        <v>173.64999999999998</v>
      </c>
      <c r="Z3263" s="78">
        <f>IFERROR(OrdersTable[[#This Row],[Profit]]/OrdersTable[[#This Row],[Net Revenue]],0)</f>
        <v>0.45499803484868334</v>
      </c>
      <c r="AA3263" t="s">
        <v>2522</v>
      </c>
      <c r="AB3263" s="79">
        <v>45830</v>
      </c>
      <c r="AC3263">
        <f>OrdersTable[[#This Row],[Delivery Date]]-OrdersTable[[#This Row],[Order Date]]</f>
        <v>3</v>
      </c>
      <c r="AD3263" t="str">
        <f>IF(OrdersTable[[#This Row],[Delivery Days]]&lt;=2, "Express (≤2d)", IF(OrdersTable[[#This Row],[Delivery Days]]&lt;=4, "Standard (3-4d)", "Delayed (5d+)"))</f>
        <v>Standard (3-4d)</v>
      </c>
      <c r="AE3263">
        <v>4</v>
      </c>
      <c r="AF3263">
        <v>0</v>
      </c>
    </row>
    <row r="3264" spans="1:32" ht="15" x14ac:dyDescent="0.35">
      <c r="A3264" t="s">
        <v>6175</v>
      </c>
      <c r="B3264" s="1">
        <v>45827</v>
      </c>
      <c r="C3264">
        <f>YEAR(OrdersTable[[#This Row],[Order Date]])</f>
        <v>2025</v>
      </c>
      <c r="D3264" s="2">
        <f>DATE(YEAR(OrdersTable[[#This Row],[Order Date]]),MONTH(OrdersTable[[#This Row],[Order Date]]),1)</f>
        <v>45809</v>
      </c>
      <c r="E3264">
        <f>MONTH(OrdersTable[[#This Row],[Order Date]])</f>
        <v>6</v>
      </c>
      <c r="F3264" t="s">
        <v>1727</v>
      </c>
      <c r="G3264" t="str">
        <f>IF(OrdersTable[[#This Row],[Order Date]]=_xlfn.MINIFS(Order_Date, Customer_ID, OrdersTable[[#This Row],[Customer ID]]), "New", "Repeat")</f>
        <v>Repeat</v>
      </c>
      <c r="H3264" t="s">
        <v>21</v>
      </c>
      <c r="I3264" t="str">
        <f>INDEX(State!B:B,MATCH(OrdersTable[[#This Row],[State]],State!A:A,0))</f>
        <v>PB</v>
      </c>
      <c r="J3264" t="str">
        <f>INDEX(State!C:C,MATCH(OrdersTable[[#This Row],[State Code]],State!B:B,0))</f>
        <v>North</v>
      </c>
      <c r="K3264" t="s">
        <v>22</v>
      </c>
      <c r="L3264" t="s">
        <v>23</v>
      </c>
      <c r="M3264" t="s">
        <v>255</v>
      </c>
      <c r="N3264" t="str">
        <f>INDEX(Products!B:B,MATCH(OrdersTable[[#This Row],[Product ID]],Products!A:A,0))</f>
        <v>Cotton Oversized T-Shirt</v>
      </c>
      <c r="O3264" t="str">
        <f>INDEX(Products!C:C,MATCH(OrdersTable[[#This Row],[Product ID]],Products!A:A,0))</f>
        <v>Apparel</v>
      </c>
      <c r="P3264">
        <v>2</v>
      </c>
      <c r="Q3264" s="5">
        <v>799</v>
      </c>
      <c r="R3264" s="74">
        <v>0.1</v>
      </c>
      <c r="S3264" s="75">
        <f>OrdersTable[[#This Row],[Quantity]]*OrdersTable[[#This Row],[Unit Price]]</f>
        <v>1598</v>
      </c>
      <c r="T3264" s="5">
        <f>OrdersTable[[#This Row],[Gross Sale]]*OrdersTable[[#This Row],[Discount_Clean2]]</f>
        <v>159.80000000000001</v>
      </c>
      <c r="U3264" s="5">
        <f>OrdersTable[[#This Row],[Gross Sale]]-OrdersTable[[#This Row],[Discount Amount]]</f>
        <v>1438.2</v>
      </c>
      <c r="V3264" s="77">
        <f>INDEX(Products!E:E,MATCH(OrdersTable[[#This Row],[Product ID]],Products!A:A,0))</f>
        <v>320</v>
      </c>
      <c r="W3264" s="77">
        <f>OrdersTable[[#This Row],[Quantity]]*OrdersTable[[#This Row],[Unit Cost]]</f>
        <v>640</v>
      </c>
      <c r="X3264" s="77">
        <f>'Dropdown Lists'!$I$2*(1+OrdersTable[[#This Row],[Returned]])</f>
        <v>60</v>
      </c>
      <c r="Y3264" s="76">
        <f>OrdersTable[[#This Row],[Net Revenue]]-OrdersTable[[#This Row],[COGS]]-OrdersTable[[#This Row],[Shipping Cost]]</f>
        <v>738.2</v>
      </c>
      <c r="Z3264" s="78">
        <f>IFERROR(OrdersTable[[#This Row],[Profit]]/OrdersTable[[#This Row],[Net Revenue]],0)</f>
        <v>0.51328048950076488</v>
      </c>
      <c r="AA3264" t="s">
        <v>18</v>
      </c>
      <c r="AB3264" s="79">
        <v>45829</v>
      </c>
      <c r="AC3264">
        <f>OrdersTable[[#This Row],[Delivery Date]]-OrdersTable[[#This Row],[Order Date]]</f>
        <v>2</v>
      </c>
      <c r="AD3264" t="str">
        <f>IF(OrdersTable[[#This Row],[Delivery Days]]&lt;=2, "Express (≤2d)", IF(OrdersTable[[#This Row],[Delivery Days]]&lt;=4, "Standard (3-4d)", "Delayed (5d+)"))</f>
        <v>Express (≤2d)</v>
      </c>
      <c r="AE3264">
        <v>4</v>
      </c>
      <c r="AF3264">
        <v>0</v>
      </c>
    </row>
    <row r="3265" spans="1:32" ht="15" x14ac:dyDescent="0.35">
      <c r="A3265" t="s">
        <v>4159</v>
      </c>
      <c r="B3265" s="1">
        <v>45827</v>
      </c>
      <c r="C3265">
        <f>YEAR(OrdersTable[[#This Row],[Order Date]])</f>
        <v>2025</v>
      </c>
      <c r="D3265" s="2">
        <f>DATE(YEAR(OrdersTable[[#This Row],[Order Date]]),MONTH(OrdersTable[[#This Row],[Order Date]]),1)</f>
        <v>45809</v>
      </c>
      <c r="E3265">
        <f>MONTH(OrdersTable[[#This Row],[Order Date]])</f>
        <v>6</v>
      </c>
      <c r="F3265" t="s">
        <v>1537</v>
      </c>
      <c r="G3265" t="str">
        <f>IF(OrdersTable[[#This Row],[Order Date]]=_xlfn.MINIFS(Order_Date, Customer_ID, OrdersTable[[#This Row],[Customer ID]]), "New", "Repeat")</f>
        <v>Repeat</v>
      </c>
      <c r="H3265" t="s">
        <v>32</v>
      </c>
      <c r="I3265" t="str">
        <f>INDEX(State!B:B,MATCH(OrdersTable[[#This Row],[State]],State!A:A,0))</f>
        <v>BR</v>
      </c>
      <c r="J3265" t="str">
        <f>INDEX(State!C:C,MATCH(OrdersTable[[#This Row],[State Code]],State!B:B,0))</f>
        <v>East</v>
      </c>
      <c r="K3265" t="s">
        <v>33</v>
      </c>
      <c r="L3265" t="s">
        <v>39</v>
      </c>
      <c r="M3265" t="s">
        <v>29</v>
      </c>
      <c r="N3265" t="str">
        <f>INDEX(Products!B:B,MATCH(OrdersTable[[#This Row],[Product ID]],Products!A:A,0))</f>
        <v>Joggers</v>
      </c>
      <c r="O3265" t="str">
        <f>INDEX(Products!C:C,MATCH(OrdersTable[[#This Row],[Product ID]],Products!A:A,0))</f>
        <v>Apparel</v>
      </c>
      <c r="P3265">
        <v>1</v>
      </c>
      <c r="Q3265" s="5">
        <v>1199</v>
      </c>
      <c r="R3265" s="74">
        <v>0.05</v>
      </c>
      <c r="S3265" s="75">
        <f>OrdersTable[[#This Row],[Quantity]]*OrdersTable[[#This Row],[Unit Price]]</f>
        <v>1199</v>
      </c>
      <c r="T3265" s="5">
        <f>OrdersTable[[#This Row],[Gross Sale]]*OrdersTable[[#This Row],[Discount_Clean2]]</f>
        <v>59.95</v>
      </c>
      <c r="U3265" s="5">
        <f>OrdersTable[[#This Row],[Gross Sale]]-OrdersTable[[#This Row],[Discount Amount]]</f>
        <v>1139.05</v>
      </c>
      <c r="V3265" s="77">
        <f>INDEX(Products!E:E,MATCH(OrdersTable[[#This Row],[Product ID]],Products!A:A,0))</f>
        <v>492</v>
      </c>
      <c r="W3265" s="77">
        <f>OrdersTable[[#This Row],[Quantity]]*OrdersTable[[#This Row],[Unit Cost]]</f>
        <v>492</v>
      </c>
      <c r="X3265" s="77">
        <f>'Dropdown Lists'!$I$2*(1+OrdersTable[[#This Row],[Returned]])</f>
        <v>60</v>
      </c>
      <c r="Y3265" s="76">
        <f>OrdersTable[[#This Row],[Net Revenue]]-OrdersTable[[#This Row],[COGS]]-OrdersTable[[#This Row],[Shipping Cost]]</f>
        <v>587.04999999999995</v>
      </c>
      <c r="Z3265" s="78">
        <f>IFERROR(OrdersTable[[#This Row],[Profit]]/OrdersTable[[#This Row],[Net Revenue]],0)</f>
        <v>0.51538562837452262</v>
      </c>
      <c r="AA3265" t="s">
        <v>4074</v>
      </c>
      <c r="AB3265" s="79">
        <v>45832</v>
      </c>
      <c r="AC3265">
        <f>OrdersTable[[#This Row],[Delivery Date]]-OrdersTable[[#This Row],[Order Date]]</f>
        <v>5</v>
      </c>
      <c r="AD3265" t="str">
        <f>IF(OrdersTable[[#This Row],[Delivery Days]]&lt;=2, "Express (≤2d)", IF(OrdersTable[[#This Row],[Delivery Days]]&lt;=4, "Standard (3-4d)", "Delayed (5d+)"))</f>
        <v>Delayed (5d+)</v>
      </c>
      <c r="AE3265">
        <v>3</v>
      </c>
      <c r="AF3265">
        <v>0</v>
      </c>
    </row>
    <row r="3266" spans="1:32" ht="15" x14ac:dyDescent="0.35">
      <c r="A3266" t="s">
        <v>7015</v>
      </c>
      <c r="B3266" s="1">
        <v>45827</v>
      </c>
      <c r="C3266">
        <f>YEAR(OrdersTable[[#This Row],[Order Date]])</f>
        <v>2025</v>
      </c>
      <c r="D3266" s="2">
        <f>DATE(YEAR(OrdersTable[[#This Row],[Order Date]]),MONTH(OrdersTable[[#This Row],[Order Date]]),1)</f>
        <v>45809</v>
      </c>
      <c r="E3266">
        <f>MONTH(OrdersTable[[#This Row],[Order Date]])</f>
        <v>6</v>
      </c>
      <c r="F3266" t="s">
        <v>6514</v>
      </c>
      <c r="G3266" t="str">
        <f>IF(OrdersTable[[#This Row],[Order Date]]=_xlfn.MINIFS(Order_Date, Customer_ID, OrdersTable[[#This Row],[Customer ID]]), "New", "Repeat")</f>
        <v>Repeat</v>
      </c>
      <c r="H3266" t="s">
        <v>132</v>
      </c>
      <c r="I3266" t="str">
        <f>INDEX(State!B:B,MATCH(OrdersTable[[#This Row],[State]],State!A:A,0))</f>
        <v>AS</v>
      </c>
      <c r="J3266" t="str">
        <f>INDEX(State!C:C,MATCH(OrdersTable[[#This Row],[State Code]],State!B:B,0))</f>
        <v>East</v>
      </c>
      <c r="K3266" t="s">
        <v>133</v>
      </c>
      <c r="L3266" t="s">
        <v>50</v>
      </c>
      <c r="M3266" t="s">
        <v>66</v>
      </c>
      <c r="N3266" t="str">
        <f>INDEX(Products!B:B,MATCH(OrdersTable[[#This Row],[Product ID]],Products!A:A,0))</f>
        <v>Sunscreen SPF 50</v>
      </c>
      <c r="O3266" t="str">
        <f>INDEX(Products!C:C,MATCH(OrdersTable[[#This Row],[Product ID]],Products!A:A,0))</f>
        <v>Skincare</v>
      </c>
      <c r="P3266">
        <v>4</v>
      </c>
      <c r="Q3266" s="5">
        <v>449</v>
      </c>
      <c r="R3266" s="74">
        <v>0.05</v>
      </c>
      <c r="S3266" s="75">
        <f>OrdersTable[[#This Row],[Quantity]]*OrdersTable[[#This Row],[Unit Price]]</f>
        <v>1796</v>
      </c>
      <c r="T3266" s="5">
        <f>OrdersTable[[#This Row],[Gross Sale]]*OrdersTable[[#This Row],[Discount_Clean2]]</f>
        <v>89.800000000000011</v>
      </c>
      <c r="U3266" s="5">
        <f>OrdersTable[[#This Row],[Gross Sale]]-OrdersTable[[#This Row],[Discount Amount]]</f>
        <v>1706.2</v>
      </c>
      <c r="V3266" s="77">
        <f>INDEX(Products!E:E,MATCH(OrdersTable[[#This Row],[Product ID]],Products!A:A,0))</f>
        <v>144</v>
      </c>
      <c r="W3266" s="77">
        <f>OrdersTable[[#This Row],[Quantity]]*OrdersTable[[#This Row],[Unit Cost]]</f>
        <v>576</v>
      </c>
      <c r="X3266" s="77">
        <f>'Dropdown Lists'!$I$2*(1+OrdersTable[[#This Row],[Returned]])</f>
        <v>60</v>
      </c>
      <c r="Y3266" s="76">
        <f>OrdersTable[[#This Row],[Net Revenue]]-OrdersTable[[#This Row],[COGS]]-OrdersTable[[#This Row],[Shipping Cost]]</f>
        <v>1070.2</v>
      </c>
      <c r="Z3266" s="78">
        <f>IFERROR(OrdersTable[[#This Row],[Profit]]/OrdersTable[[#This Row],[Net Revenue]],0)</f>
        <v>0.62724182393623262</v>
      </c>
      <c r="AA3266" t="s">
        <v>2522</v>
      </c>
      <c r="AB3266" s="79">
        <v>45833</v>
      </c>
      <c r="AC3266">
        <f>OrdersTable[[#This Row],[Delivery Date]]-OrdersTable[[#This Row],[Order Date]]</f>
        <v>6</v>
      </c>
      <c r="AD3266" t="str">
        <f>IF(OrdersTable[[#This Row],[Delivery Days]]&lt;=2, "Express (≤2d)", IF(OrdersTable[[#This Row],[Delivery Days]]&lt;=4, "Standard (3-4d)", "Delayed (5d+)"))</f>
        <v>Delayed (5d+)</v>
      </c>
      <c r="AE3266">
        <v>3</v>
      </c>
      <c r="AF3266">
        <v>0</v>
      </c>
    </row>
    <row r="3267" spans="1:32" ht="15" x14ac:dyDescent="0.35">
      <c r="A3267" t="s">
        <v>330</v>
      </c>
      <c r="B3267" s="1">
        <v>45827</v>
      </c>
      <c r="C3267">
        <f>YEAR(OrdersTable[[#This Row],[Order Date]])</f>
        <v>2025</v>
      </c>
      <c r="D3267" s="2">
        <f>DATE(YEAR(OrdersTable[[#This Row],[Order Date]]),MONTH(OrdersTable[[#This Row],[Order Date]]),1)</f>
        <v>45809</v>
      </c>
      <c r="E3267">
        <f>MONTH(OrdersTable[[#This Row],[Order Date]])</f>
        <v>6</v>
      </c>
      <c r="F3267" t="s">
        <v>331</v>
      </c>
      <c r="G3267" t="str">
        <f>IF(OrdersTable[[#This Row],[Order Date]]=_xlfn.MINIFS(Order_Date, Customer_ID, OrdersTable[[#This Row],[Customer ID]]), "New", "Repeat")</f>
        <v>Repeat</v>
      </c>
      <c r="H3267" t="s">
        <v>37</v>
      </c>
      <c r="I3267" t="str">
        <f>INDEX(State!B:B,MATCH(OrdersTable[[#This Row],[State]],State!A:A,0))</f>
        <v>GJ</v>
      </c>
      <c r="J3267" t="str">
        <f>INDEX(State!C:C,MATCH(OrdersTable[[#This Row],[State Code]],State!B:B,0))</f>
        <v>West</v>
      </c>
      <c r="K3267" t="s">
        <v>247</v>
      </c>
      <c r="L3267" t="s">
        <v>39</v>
      </c>
      <c r="M3267" t="s">
        <v>176</v>
      </c>
      <c r="N3267" t="str">
        <f>INDEX(Products!B:B,MATCH(OrdersTable[[#This Row],[Product ID]],Products!A:A,0))</f>
        <v>Denim Jacket</v>
      </c>
      <c r="O3267" t="str">
        <f>INDEX(Products!C:C,MATCH(OrdersTable[[#This Row],[Product ID]],Products!A:A,0))</f>
        <v>Apparel</v>
      </c>
      <c r="P3267">
        <v>1</v>
      </c>
      <c r="Q3267" s="5">
        <v>2499</v>
      </c>
      <c r="R3267" s="74">
        <v>0</v>
      </c>
      <c r="S3267" s="75">
        <f>OrdersTable[[#This Row],[Quantity]]*OrdersTable[[#This Row],[Unit Price]]</f>
        <v>2499</v>
      </c>
      <c r="T3267" s="5">
        <f>OrdersTable[[#This Row],[Gross Sale]]*OrdersTable[[#This Row],[Discount_Clean2]]</f>
        <v>0</v>
      </c>
      <c r="U3267" s="5">
        <f>OrdersTable[[#This Row],[Gross Sale]]-OrdersTable[[#This Row],[Discount Amount]]</f>
        <v>2499</v>
      </c>
      <c r="V3267" s="77">
        <f>INDEX(Products!E:E,MATCH(OrdersTable[[#This Row],[Product ID]],Products!A:A,0))</f>
        <v>1125</v>
      </c>
      <c r="W3267" s="77">
        <f>OrdersTable[[#This Row],[Quantity]]*OrdersTable[[#This Row],[Unit Cost]]</f>
        <v>1125</v>
      </c>
      <c r="X3267" s="77">
        <f>'Dropdown Lists'!$I$2*(1+OrdersTable[[#This Row],[Returned]])</f>
        <v>60</v>
      </c>
      <c r="Y3267" s="76">
        <f>OrdersTable[[#This Row],[Net Revenue]]-OrdersTable[[#This Row],[COGS]]-OrdersTable[[#This Row],[Shipping Cost]]</f>
        <v>1314</v>
      </c>
      <c r="Z3267" s="78">
        <f>IFERROR(OrdersTable[[#This Row],[Profit]]/OrdersTable[[#This Row],[Net Revenue]],0)</f>
        <v>0.5258103241296519</v>
      </c>
      <c r="AA3267" t="s">
        <v>18</v>
      </c>
      <c r="AB3267" s="79">
        <v>45831</v>
      </c>
      <c r="AC3267">
        <f>OrdersTable[[#This Row],[Delivery Date]]-OrdersTable[[#This Row],[Order Date]]</f>
        <v>4</v>
      </c>
      <c r="AD3267" t="str">
        <f>IF(OrdersTable[[#This Row],[Delivery Days]]&lt;=2, "Express (≤2d)", IF(OrdersTable[[#This Row],[Delivery Days]]&lt;=4, "Standard (3-4d)", "Delayed (5d+)"))</f>
        <v>Standard (3-4d)</v>
      </c>
      <c r="AE3267">
        <v>4</v>
      </c>
      <c r="AF3267">
        <v>0</v>
      </c>
    </row>
    <row r="3268" spans="1:32" ht="15" x14ac:dyDescent="0.35">
      <c r="A3268" t="s">
        <v>3067</v>
      </c>
      <c r="B3268" s="1">
        <v>45827</v>
      </c>
      <c r="C3268">
        <f>YEAR(OrdersTable[[#This Row],[Order Date]])</f>
        <v>2025</v>
      </c>
      <c r="D3268" s="2">
        <f>DATE(YEAR(OrdersTable[[#This Row],[Order Date]]),MONTH(OrdersTable[[#This Row],[Order Date]]),1)</f>
        <v>45809</v>
      </c>
      <c r="E3268">
        <f>MONTH(OrdersTable[[#This Row],[Order Date]])</f>
        <v>6</v>
      </c>
      <c r="F3268" t="s">
        <v>3068</v>
      </c>
      <c r="G3268" t="str">
        <f>IF(OrdersTable[[#This Row],[Order Date]]=_xlfn.MINIFS(Order_Date, Customer_ID, OrdersTable[[#This Row],[Customer ID]]), "New", "Repeat")</f>
        <v>Repeat</v>
      </c>
      <c r="H3268" t="s">
        <v>27</v>
      </c>
      <c r="I3268" t="str">
        <f>INDEX(State!B:B,MATCH(OrdersTable[[#This Row],[State]],State!A:A,0))</f>
        <v>WB</v>
      </c>
      <c r="J3268" t="str">
        <f>INDEX(State!C:C,MATCH(OrdersTable[[#This Row],[State Code]],State!B:B,0))</f>
        <v>East</v>
      </c>
      <c r="K3268" t="s">
        <v>28</v>
      </c>
      <c r="L3268" t="s">
        <v>23</v>
      </c>
      <c r="M3268" t="s">
        <v>106</v>
      </c>
      <c r="N3268" t="str">
        <f>INDEX(Products!B:B,MATCH(OrdersTable[[#This Row],[Product ID]],Products!A:A,0))</f>
        <v>Keratin Hair Mask</v>
      </c>
      <c r="O3268" t="str">
        <f>INDEX(Products!C:C,MATCH(OrdersTable[[#This Row],[Product ID]],Products!A:A,0))</f>
        <v>Haircare</v>
      </c>
      <c r="P3268">
        <v>1</v>
      </c>
      <c r="Q3268" s="5">
        <v>549</v>
      </c>
      <c r="R3268" s="74">
        <v>0.15</v>
      </c>
      <c r="S3268" s="75">
        <f>OrdersTable[[#This Row],[Quantity]]*OrdersTable[[#This Row],[Unit Price]]</f>
        <v>549</v>
      </c>
      <c r="T3268" s="5">
        <f>OrdersTable[[#This Row],[Gross Sale]]*OrdersTable[[#This Row],[Discount_Clean2]]</f>
        <v>82.35</v>
      </c>
      <c r="U3268" s="5">
        <f>OrdersTable[[#This Row],[Gross Sale]]-OrdersTable[[#This Row],[Discount Amount]]</f>
        <v>466.65</v>
      </c>
      <c r="V3268" s="77">
        <f>INDEX(Products!E:E,MATCH(OrdersTable[[#This Row],[Product ID]],Products!A:A,0))</f>
        <v>170</v>
      </c>
      <c r="W3268" s="77">
        <f>OrdersTable[[#This Row],[Quantity]]*OrdersTable[[#This Row],[Unit Cost]]</f>
        <v>170</v>
      </c>
      <c r="X3268" s="77">
        <f>'Dropdown Lists'!$I$2*(1+OrdersTable[[#This Row],[Returned]])</f>
        <v>60</v>
      </c>
      <c r="Y3268" s="76">
        <f>OrdersTable[[#This Row],[Net Revenue]]-OrdersTable[[#This Row],[COGS]]-OrdersTable[[#This Row],[Shipping Cost]]</f>
        <v>236.64999999999998</v>
      </c>
      <c r="Z3268" s="78">
        <f>IFERROR(OrdersTable[[#This Row],[Profit]]/OrdersTable[[#This Row],[Net Revenue]],0)</f>
        <v>0.50712525447337398</v>
      </c>
      <c r="AA3268" t="s">
        <v>2522</v>
      </c>
      <c r="AB3268" s="79">
        <v>45830</v>
      </c>
      <c r="AC3268">
        <f>OrdersTable[[#This Row],[Delivery Date]]-OrdersTable[[#This Row],[Order Date]]</f>
        <v>3</v>
      </c>
      <c r="AD3268" t="str">
        <f>IF(OrdersTable[[#This Row],[Delivery Days]]&lt;=2, "Express (≤2d)", IF(OrdersTable[[#This Row],[Delivery Days]]&lt;=4, "Standard (3-4d)", "Delayed (5d+)"))</f>
        <v>Standard (3-4d)</v>
      </c>
      <c r="AF3268">
        <v>0</v>
      </c>
    </row>
    <row r="3269" spans="1:32" ht="15" x14ac:dyDescent="0.35">
      <c r="A3269" t="s">
        <v>832</v>
      </c>
      <c r="B3269" s="1">
        <v>45827</v>
      </c>
      <c r="C3269">
        <f>YEAR(OrdersTable[[#This Row],[Order Date]])</f>
        <v>2025</v>
      </c>
      <c r="D3269" s="2">
        <f>DATE(YEAR(OrdersTable[[#This Row],[Order Date]]),MONTH(OrdersTable[[#This Row],[Order Date]]),1)</f>
        <v>45809</v>
      </c>
      <c r="E3269">
        <f>MONTH(OrdersTable[[#This Row],[Order Date]])</f>
        <v>6</v>
      </c>
      <c r="F3269" t="s">
        <v>833</v>
      </c>
      <c r="G3269" t="str">
        <f>IF(OrdersTable[[#This Row],[Order Date]]=_xlfn.MINIFS(Order_Date, Customer_ID, OrdersTable[[#This Row],[Customer ID]]), "New", "Repeat")</f>
        <v>New</v>
      </c>
      <c r="H3269" t="s">
        <v>71</v>
      </c>
      <c r="I3269" t="str">
        <f>INDEX(State!B:B,MATCH(OrdersTable[[#This Row],[State]],State!A:A,0))</f>
        <v>MH</v>
      </c>
      <c r="J3269" t="str">
        <f>INDEX(State!C:C,MATCH(OrdersTable[[#This Row],[State Code]],State!B:B,0))</f>
        <v>West</v>
      </c>
      <c r="K3269" t="s">
        <v>72</v>
      </c>
      <c r="L3269" t="s">
        <v>39</v>
      </c>
      <c r="M3269" t="s">
        <v>106</v>
      </c>
      <c r="N3269" t="str">
        <f>INDEX(Products!B:B,MATCH(OrdersTable[[#This Row],[Product ID]],Products!A:A,0))</f>
        <v>Keratin Hair Mask</v>
      </c>
      <c r="O3269" t="str">
        <f>INDEX(Products!C:C,MATCH(OrdersTable[[#This Row],[Product ID]],Products!A:A,0))</f>
        <v>Haircare</v>
      </c>
      <c r="P3269">
        <v>1</v>
      </c>
      <c r="Q3269" s="5">
        <v>549</v>
      </c>
      <c r="R3269" s="74">
        <v>0.2</v>
      </c>
      <c r="S3269" s="75">
        <f>OrdersTable[[#This Row],[Quantity]]*OrdersTable[[#This Row],[Unit Price]]</f>
        <v>549</v>
      </c>
      <c r="T3269" s="5">
        <f>OrdersTable[[#This Row],[Gross Sale]]*OrdersTable[[#This Row],[Discount_Clean2]]</f>
        <v>109.80000000000001</v>
      </c>
      <c r="U3269" s="5">
        <f>OrdersTable[[#This Row],[Gross Sale]]-OrdersTable[[#This Row],[Discount Amount]]</f>
        <v>439.2</v>
      </c>
      <c r="V3269" s="77">
        <f>INDEX(Products!E:E,MATCH(OrdersTable[[#This Row],[Product ID]],Products!A:A,0))</f>
        <v>170</v>
      </c>
      <c r="W3269" s="77">
        <f>OrdersTable[[#This Row],[Quantity]]*OrdersTable[[#This Row],[Unit Cost]]</f>
        <v>170</v>
      </c>
      <c r="X3269" s="77">
        <f>'Dropdown Lists'!$I$2*(1+OrdersTable[[#This Row],[Returned]])</f>
        <v>60</v>
      </c>
      <c r="Y3269" s="76">
        <f>OrdersTable[[#This Row],[Net Revenue]]-OrdersTable[[#This Row],[COGS]]-OrdersTable[[#This Row],[Shipping Cost]]</f>
        <v>209.2</v>
      </c>
      <c r="Z3269" s="78">
        <f>IFERROR(OrdersTable[[#This Row],[Profit]]/OrdersTable[[#This Row],[Net Revenue]],0)</f>
        <v>0.47632058287795992</v>
      </c>
      <c r="AA3269" t="s">
        <v>18</v>
      </c>
      <c r="AB3269" s="79">
        <v>45830</v>
      </c>
      <c r="AC3269">
        <f>OrdersTable[[#This Row],[Delivery Date]]-OrdersTable[[#This Row],[Order Date]]</f>
        <v>3</v>
      </c>
      <c r="AD3269" t="str">
        <f>IF(OrdersTable[[#This Row],[Delivery Days]]&lt;=2, "Express (≤2d)", IF(OrdersTable[[#This Row],[Delivery Days]]&lt;=4, "Standard (3-4d)", "Delayed (5d+)"))</f>
        <v>Standard (3-4d)</v>
      </c>
      <c r="AE3269">
        <v>4</v>
      </c>
      <c r="AF3269">
        <v>0</v>
      </c>
    </row>
    <row r="3270" spans="1:32" ht="15" x14ac:dyDescent="0.35">
      <c r="A3270" t="s">
        <v>5005</v>
      </c>
      <c r="B3270" s="1">
        <v>45827</v>
      </c>
      <c r="C3270">
        <f>YEAR(OrdersTable[[#This Row],[Order Date]])</f>
        <v>2025</v>
      </c>
      <c r="D3270" s="2">
        <f>DATE(YEAR(OrdersTable[[#This Row],[Order Date]]),MONTH(OrdersTable[[#This Row],[Order Date]]),1)</f>
        <v>45809</v>
      </c>
      <c r="E3270">
        <f>MONTH(OrdersTable[[#This Row],[Order Date]])</f>
        <v>6</v>
      </c>
      <c r="F3270" t="s">
        <v>5006</v>
      </c>
      <c r="G3270" t="str">
        <f>IF(OrdersTable[[#This Row],[Order Date]]=_xlfn.MINIFS(Order_Date, Customer_ID, OrdersTable[[#This Row],[Customer ID]]), "New", "Repeat")</f>
        <v>New</v>
      </c>
      <c r="H3270" t="s">
        <v>71</v>
      </c>
      <c r="I3270" t="str">
        <f>INDEX(State!B:B,MATCH(OrdersTable[[#This Row],[State]],State!A:A,0))</f>
        <v>MH</v>
      </c>
      <c r="J3270" t="str">
        <f>INDEX(State!C:C,MATCH(OrdersTable[[#This Row],[State Code]],State!B:B,0))</f>
        <v>West</v>
      </c>
      <c r="K3270" t="s">
        <v>72</v>
      </c>
      <c r="L3270" t="s">
        <v>16</v>
      </c>
      <c r="M3270" t="s">
        <v>255</v>
      </c>
      <c r="N3270" t="str">
        <f>INDEX(Products!B:B,MATCH(OrdersTable[[#This Row],[Product ID]],Products!A:A,0))</f>
        <v>Cotton Oversized T-Shirt</v>
      </c>
      <c r="O3270" t="str">
        <f>INDEX(Products!C:C,MATCH(OrdersTable[[#This Row],[Product ID]],Products!A:A,0))</f>
        <v>Apparel</v>
      </c>
      <c r="P3270">
        <v>2</v>
      </c>
      <c r="Q3270" s="5">
        <v>799</v>
      </c>
      <c r="R3270" s="74">
        <v>0.05</v>
      </c>
      <c r="S3270" s="75">
        <f>OrdersTable[[#This Row],[Quantity]]*OrdersTable[[#This Row],[Unit Price]]</f>
        <v>1598</v>
      </c>
      <c r="T3270" s="5">
        <f>OrdersTable[[#This Row],[Gross Sale]]*OrdersTable[[#This Row],[Discount_Clean2]]</f>
        <v>79.900000000000006</v>
      </c>
      <c r="U3270" s="5">
        <f>OrdersTable[[#This Row],[Gross Sale]]-OrdersTable[[#This Row],[Discount Amount]]</f>
        <v>1518.1</v>
      </c>
      <c r="V3270" s="77">
        <f>INDEX(Products!E:E,MATCH(OrdersTable[[#This Row],[Product ID]],Products!A:A,0))</f>
        <v>320</v>
      </c>
      <c r="W3270" s="77">
        <f>OrdersTable[[#This Row],[Quantity]]*OrdersTable[[#This Row],[Unit Cost]]</f>
        <v>640</v>
      </c>
      <c r="X3270" s="77">
        <f>'Dropdown Lists'!$I$2*(1+OrdersTable[[#This Row],[Returned]])</f>
        <v>60</v>
      </c>
      <c r="Y3270" s="76">
        <f>OrdersTable[[#This Row],[Net Revenue]]-OrdersTable[[#This Row],[COGS]]-OrdersTable[[#This Row],[Shipping Cost]]</f>
        <v>818.09999999999991</v>
      </c>
      <c r="Z3270" s="78">
        <f>IFERROR(OrdersTable[[#This Row],[Profit]]/OrdersTable[[#This Row],[Net Revenue]],0)</f>
        <v>0.5388973058428298</v>
      </c>
      <c r="AA3270" t="s">
        <v>4074</v>
      </c>
      <c r="AB3270" s="79">
        <v>45830</v>
      </c>
      <c r="AC3270">
        <f>OrdersTable[[#This Row],[Delivery Date]]-OrdersTable[[#This Row],[Order Date]]</f>
        <v>3</v>
      </c>
      <c r="AD3270" t="str">
        <f>IF(OrdersTable[[#This Row],[Delivery Days]]&lt;=2, "Express (≤2d)", IF(OrdersTable[[#This Row],[Delivery Days]]&lt;=4, "Standard (3-4d)", "Delayed (5d+)"))</f>
        <v>Standard (3-4d)</v>
      </c>
      <c r="AE3270">
        <v>4</v>
      </c>
      <c r="AF3270">
        <v>0</v>
      </c>
    </row>
    <row r="3271" spans="1:32" ht="15" x14ac:dyDescent="0.35">
      <c r="A3271" t="s">
        <v>2420</v>
      </c>
      <c r="B3271" s="1">
        <v>45827</v>
      </c>
      <c r="C3271">
        <f>YEAR(OrdersTable[[#This Row],[Order Date]])</f>
        <v>2025</v>
      </c>
      <c r="D3271" s="2">
        <f>DATE(YEAR(OrdersTable[[#This Row],[Order Date]]),MONTH(OrdersTable[[#This Row],[Order Date]]),1)</f>
        <v>45809</v>
      </c>
      <c r="E3271">
        <f>MONTH(OrdersTable[[#This Row],[Order Date]])</f>
        <v>6</v>
      </c>
      <c r="F3271" t="s">
        <v>781</v>
      </c>
      <c r="G3271" t="str">
        <f>IF(OrdersTable[[#This Row],[Order Date]]=_xlfn.MINIFS(Order_Date, Customer_ID, OrdersTable[[#This Row],[Customer ID]]), "New", "Repeat")</f>
        <v>Repeat</v>
      </c>
      <c r="H3271" t="s">
        <v>71</v>
      </c>
      <c r="I3271" t="str">
        <f>INDEX(State!B:B,MATCH(OrdersTable[[#This Row],[State]],State!A:A,0))</f>
        <v>MH</v>
      </c>
      <c r="J3271" t="str">
        <f>INDEX(State!C:C,MATCH(OrdersTable[[#This Row],[State Code]],State!B:B,0))</f>
        <v>West</v>
      </c>
      <c r="K3271" t="s">
        <v>72</v>
      </c>
      <c r="L3271" t="s">
        <v>50</v>
      </c>
      <c r="M3271" t="s">
        <v>40</v>
      </c>
      <c r="N3271" t="str">
        <f>INDEX(Products!B:B,MATCH(OrdersTable[[#This Row],[Product ID]],Products!A:A,0))</f>
        <v>Ashwagandha Capsules</v>
      </c>
      <c r="O3271" t="str">
        <f>INDEX(Products!C:C,MATCH(OrdersTable[[#This Row],[Product ID]],Products!A:A,0))</f>
        <v>Wellness</v>
      </c>
      <c r="P3271">
        <v>1</v>
      </c>
      <c r="Q3271" s="5">
        <v>499</v>
      </c>
      <c r="R3271" s="74">
        <v>0</v>
      </c>
      <c r="S3271" s="75">
        <f>OrdersTable[[#This Row],[Quantity]]*OrdersTable[[#This Row],[Unit Price]]</f>
        <v>499</v>
      </c>
      <c r="T3271" s="5">
        <f>OrdersTable[[#This Row],[Gross Sale]]*OrdersTable[[#This Row],[Discount_Clean2]]</f>
        <v>0</v>
      </c>
      <c r="U3271" s="5">
        <f>OrdersTable[[#This Row],[Gross Sale]]-OrdersTable[[#This Row],[Discount Amount]]</f>
        <v>499</v>
      </c>
      <c r="V3271" s="77">
        <f>INDEX(Products!E:E,MATCH(OrdersTable[[#This Row],[Product ID]],Products!A:A,0))</f>
        <v>150</v>
      </c>
      <c r="W3271" s="77">
        <f>OrdersTable[[#This Row],[Quantity]]*OrdersTable[[#This Row],[Unit Cost]]</f>
        <v>150</v>
      </c>
      <c r="X3271" s="77">
        <f>'Dropdown Lists'!$I$2*(1+OrdersTable[[#This Row],[Returned]])</f>
        <v>60</v>
      </c>
      <c r="Y3271" s="76">
        <f>OrdersTable[[#This Row],[Net Revenue]]-OrdersTable[[#This Row],[COGS]]-OrdersTable[[#This Row],[Shipping Cost]]</f>
        <v>289</v>
      </c>
      <c r="Z3271" s="78">
        <f>IFERROR(OrdersTable[[#This Row],[Profit]]/OrdersTable[[#This Row],[Net Revenue]],0)</f>
        <v>0.57915831663326656</v>
      </c>
      <c r="AA3271" t="s">
        <v>18</v>
      </c>
      <c r="AB3271" s="79">
        <v>45828</v>
      </c>
      <c r="AC3271">
        <f>OrdersTable[[#This Row],[Delivery Date]]-OrdersTable[[#This Row],[Order Date]]</f>
        <v>1</v>
      </c>
      <c r="AD3271" t="str">
        <f>IF(OrdersTable[[#This Row],[Delivery Days]]&lt;=2, "Express (≤2d)", IF(OrdersTable[[#This Row],[Delivery Days]]&lt;=4, "Standard (3-4d)", "Delayed (5d+)"))</f>
        <v>Express (≤2d)</v>
      </c>
      <c r="AE3271">
        <v>5</v>
      </c>
      <c r="AF3271">
        <v>0</v>
      </c>
    </row>
    <row r="3272" spans="1:32" ht="15" x14ac:dyDescent="0.35">
      <c r="A3272" t="s">
        <v>1751</v>
      </c>
      <c r="B3272" s="1">
        <v>45827</v>
      </c>
      <c r="C3272">
        <f>YEAR(OrdersTable[[#This Row],[Order Date]])</f>
        <v>2025</v>
      </c>
      <c r="D3272" s="2">
        <f>DATE(YEAR(OrdersTable[[#This Row],[Order Date]]),MONTH(OrdersTable[[#This Row],[Order Date]]),1)</f>
        <v>45809</v>
      </c>
      <c r="E3272">
        <f>MONTH(OrdersTable[[#This Row],[Order Date]])</f>
        <v>6</v>
      </c>
      <c r="F3272" t="s">
        <v>1752</v>
      </c>
      <c r="G3272" t="str">
        <f>IF(OrdersTable[[#This Row],[Order Date]]=_xlfn.MINIFS(Order_Date, Customer_ID, OrdersTable[[#This Row],[Customer ID]]), "New", "Repeat")</f>
        <v>Repeat</v>
      </c>
      <c r="H3272" t="s">
        <v>59</v>
      </c>
      <c r="I3272" t="str">
        <f>INDEX(State!B:B,MATCH(OrdersTable[[#This Row],[State]],State!A:A,0))</f>
        <v>TN</v>
      </c>
      <c r="J3272" t="str">
        <f>INDEX(State!C:C,MATCH(OrdersTable[[#This Row],[State Code]],State!B:B,0))</f>
        <v>South</v>
      </c>
      <c r="K3272" t="s">
        <v>64</v>
      </c>
      <c r="L3272" t="s">
        <v>65</v>
      </c>
      <c r="M3272" t="s">
        <v>24</v>
      </c>
      <c r="N3272" t="str">
        <f>INDEX(Products!B:B,MATCH(OrdersTable[[#This Row],[Product ID]],Products!A:A,0))</f>
        <v>Scented Candle Set</v>
      </c>
      <c r="O3272" t="str">
        <f>INDEX(Products!C:C,MATCH(OrdersTable[[#This Row],[Product ID]],Products!A:A,0))</f>
        <v>Home &amp; Kitchen</v>
      </c>
      <c r="P3272">
        <v>1</v>
      </c>
      <c r="Q3272" s="5">
        <v>699</v>
      </c>
      <c r="R3272" s="74">
        <v>0.2</v>
      </c>
      <c r="S3272" s="75">
        <f>OrdersTable[[#This Row],[Quantity]]*OrdersTable[[#This Row],[Unit Price]]</f>
        <v>699</v>
      </c>
      <c r="T3272" s="5">
        <f>OrdersTable[[#This Row],[Gross Sale]]*OrdersTable[[#This Row],[Discount_Clean2]]</f>
        <v>139.80000000000001</v>
      </c>
      <c r="U3272" s="5">
        <f>OrdersTable[[#This Row],[Gross Sale]]-OrdersTable[[#This Row],[Discount Amount]]</f>
        <v>559.20000000000005</v>
      </c>
      <c r="V3272" s="77">
        <f>INDEX(Products!E:E,MATCH(OrdersTable[[#This Row],[Product ID]],Products!A:A,0))</f>
        <v>245</v>
      </c>
      <c r="W3272" s="77">
        <f>OrdersTable[[#This Row],[Quantity]]*OrdersTable[[#This Row],[Unit Cost]]</f>
        <v>245</v>
      </c>
      <c r="X3272" s="77">
        <f>'Dropdown Lists'!$I$2*(1+OrdersTable[[#This Row],[Returned]])</f>
        <v>60</v>
      </c>
      <c r="Y3272" s="76">
        <f>OrdersTable[[#This Row],[Net Revenue]]-OrdersTable[[#This Row],[COGS]]-OrdersTable[[#This Row],[Shipping Cost]]</f>
        <v>254.20000000000005</v>
      </c>
      <c r="Z3272" s="78">
        <f>IFERROR(OrdersTable[[#This Row],[Profit]]/OrdersTable[[#This Row],[Net Revenue]],0)</f>
        <v>0.45457796852646642</v>
      </c>
      <c r="AA3272" t="s">
        <v>18</v>
      </c>
      <c r="AB3272" s="79">
        <v>45830</v>
      </c>
      <c r="AC3272">
        <f>OrdersTable[[#This Row],[Delivery Date]]-OrdersTable[[#This Row],[Order Date]]</f>
        <v>3</v>
      </c>
      <c r="AD3272" t="str">
        <f>IF(OrdersTable[[#This Row],[Delivery Days]]&lt;=2, "Express (≤2d)", IF(OrdersTable[[#This Row],[Delivery Days]]&lt;=4, "Standard (3-4d)", "Delayed (5d+)"))</f>
        <v>Standard (3-4d)</v>
      </c>
      <c r="AF3272">
        <v>0</v>
      </c>
    </row>
    <row r="3273" spans="1:32" ht="15" x14ac:dyDescent="0.35">
      <c r="A3273" t="s">
        <v>2814</v>
      </c>
      <c r="B3273" s="1">
        <v>45828</v>
      </c>
      <c r="C3273">
        <f>YEAR(OrdersTable[[#This Row],[Order Date]])</f>
        <v>2025</v>
      </c>
      <c r="D3273" s="2">
        <f>DATE(YEAR(OrdersTable[[#This Row],[Order Date]]),MONTH(OrdersTable[[#This Row],[Order Date]]),1)</f>
        <v>45809</v>
      </c>
      <c r="E3273">
        <f>MONTH(OrdersTable[[#This Row],[Order Date]])</f>
        <v>6</v>
      </c>
      <c r="F3273" t="s">
        <v>2688</v>
      </c>
      <c r="G3273" t="str">
        <f>IF(OrdersTable[[#This Row],[Order Date]]=_xlfn.MINIFS(Order_Date, Customer_ID, OrdersTable[[#This Row],[Customer ID]]), "New", "Repeat")</f>
        <v>Repeat</v>
      </c>
      <c r="H3273" t="s">
        <v>48</v>
      </c>
      <c r="I3273" t="str">
        <f>INDEX(State!B:B,MATCH(OrdersTable[[#This Row],[State]],State!A:A,0))</f>
        <v>HR</v>
      </c>
      <c r="J3273" t="str">
        <f>INDEX(State!C:C,MATCH(OrdersTable[[#This Row],[State Code]],State!B:B,0))</f>
        <v>North</v>
      </c>
      <c r="K3273" t="s">
        <v>49</v>
      </c>
      <c r="L3273" t="s">
        <v>23</v>
      </c>
      <c r="M3273" t="s">
        <v>255</v>
      </c>
      <c r="N3273" t="str">
        <f>INDEX(Products!B:B,MATCH(OrdersTable[[#This Row],[Product ID]],Products!A:A,0))</f>
        <v>Cotton Oversized T-Shirt</v>
      </c>
      <c r="O3273" t="str">
        <f>INDEX(Products!C:C,MATCH(OrdersTable[[#This Row],[Product ID]],Products!A:A,0))</f>
        <v>Apparel</v>
      </c>
      <c r="P3273">
        <v>1</v>
      </c>
      <c r="Q3273" s="5">
        <v>799</v>
      </c>
      <c r="R3273" s="74">
        <v>0</v>
      </c>
      <c r="S3273" s="75">
        <f>OrdersTable[[#This Row],[Quantity]]*OrdersTable[[#This Row],[Unit Price]]</f>
        <v>799</v>
      </c>
      <c r="T3273" s="5">
        <f>OrdersTable[[#This Row],[Gross Sale]]*OrdersTable[[#This Row],[Discount_Clean2]]</f>
        <v>0</v>
      </c>
      <c r="U3273" s="5">
        <f>OrdersTable[[#This Row],[Gross Sale]]-OrdersTable[[#This Row],[Discount Amount]]</f>
        <v>799</v>
      </c>
      <c r="V3273" s="77">
        <f>INDEX(Products!E:E,MATCH(OrdersTable[[#This Row],[Product ID]],Products!A:A,0))</f>
        <v>320</v>
      </c>
      <c r="W3273" s="77">
        <f>OrdersTable[[#This Row],[Quantity]]*OrdersTable[[#This Row],[Unit Cost]]</f>
        <v>320</v>
      </c>
      <c r="X3273" s="77">
        <f>'Dropdown Lists'!$I$2*(1+OrdersTable[[#This Row],[Returned]])</f>
        <v>60</v>
      </c>
      <c r="Y3273" s="76">
        <f>OrdersTable[[#This Row],[Net Revenue]]-OrdersTable[[#This Row],[COGS]]-OrdersTable[[#This Row],[Shipping Cost]]</f>
        <v>419</v>
      </c>
      <c r="Z3273" s="78">
        <f>IFERROR(OrdersTable[[#This Row],[Profit]]/OrdersTable[[#This Row],[Net Revenue]],0)</f>
        <v>0.52440550688360454</v>
      </c>
      <c r="AA3273" t="s">
        <v>2522</v>
      </c>
      <c r="AB3273" s="79">
        <v>45831</v>
      </c>
      <c r="AC3273">
        <f>OrdersTable[[#This Row],[Delivery Date]]-OrdersTable[[#This Row],[Order Date]]</f>
        <v>3</v>
      </c>
      <c r="AD3273" t="str">
        <f>IF(OrdersTable[[#This Row],[Delivery Days]]&lt;=2, "Express (≤2d)", IF(OrdersTable[[#This Row],[Delivery Days]]&lt;=4, "Standard (3-4d)", "Delayed (5d+)"))</f>
        <v>Standard (3-4d)</v>
      </c>
      <c r="AE3273">
        <v>3</v>
      </c>
      <c r="AF3273">
        <v>0</v>
      </c>
    </row>
    <row r="3274" spans="1:32" ht="15" x14ac:dyDescent="0.35">
      <c r="A3274" t="s">
        <v>5424</v>
      </c>
      <c r="B3274" s="1">
        <v>45828</v>
      </c>
      <c r="C3274">
        <f>YEAR(OrdersTable[[#This Row],[Order Date]])</f>
        <v>2025</v>
      </c>
      <c r="D3274" s="2">
        <f>DATE(YEAR(OrdersTable[[#This Row],[Order Date]]),MONTH(OrdersTable[[#This Row],[Order Date]]),1)</f>
        <v>45809</v>
      </c>
      <c r="E3274">
        <f>MONTH(OrdersTable[[#This Row],[Order Date]])</f>
        <v>6</v>
      </c>
      <c r="F3274" t="s">
        <v>2056</v>
      </c>
      <c r="G3274" t="str">
        <f>IF(OrdersTable[[#This Row],[Order Date]]=_xlfn.MINIFS(Order_Date, Customer_ID, OrdersTable[[#This Row],[Customer ID]]), "New", "Repeat")</f>
        <v>New</v>
      </c>
      <c r="H3274" t="s">
        <v>37</v>
      </c>
      <c r="I3274" t="str">
        <f>INDEX(State!B:B,MATCH(OrdersTable[[#This Row],[State]],State!A:A,0))</f>
        <v>GJ</v>
      </c>
      <c r="J3274" t="str">
        <f>INDEX(State!C:C,MATCH(OrdersTable[[#This Row],[State Code]],State!B:B,0))</f>
        <v>West</v>
      </c>
      <c r="K3274" t="s">
        <v>38</v>
      </c>
      <c r="L3274" t="s">
        <v>39</v>
      </c>
      <c r="M3274" t="s">
        <v>255</v>
      </c>
      <c r="N3274" t="str">
        <f>INDEX(Products!B:B,MATCH(OrdersTable[[#This Row],[Product ID]],Products!A:A,0))</f>
        <v>Cotton Oversized T-Shirt</v>
      </c>
      <c r="O3274" t="str">
        <f>INDEX(Products!C:C,MATCH(OrdersTable[[#This Row],[Product ID]],Products!A:A,0))</f>
        <v>Apparel</v>
      </c>
      <c r="P3274">
        <v>2</v>
      </c>
      <c r="Q3274" s="5">
        <v>799</v>
      </c>
      <c r="R3274" s="74">
        <v>0</v>
      </c>
      <c r="S3274" s="75">
        <f>OrdersTable[[#This Row],[Quantity]]*OrdersTable[[#This Row],[Unit Price]]</f>
        <v>1598</v>
      </c>
      <c r="T3274" s="5">
        <f>OrdersTable[[#This Row],[Gross Sale]]*OrdersTable[[#This Row],[Discount_Clean2]]</f>
        <v>0</v>
      </c>
      <c r="U3274" s="5">
        <f>OrdersTable[[#This Row],[Gross Sale]]-OrdersTable[[#This Row],[Discount Amount]]</f>
        <v>1598</v>
      </c>
      <c r="V3274" s="77">
        <f>INDEX(Products!E:E,MATCH(OrdersTable[[#This Row],[Product ID]],Products!A:A,0))</f>
        <v>320</v>
      </c>
      <c r="W3274" s="77">
        <f>OrdersTable[[#This Row],[Quantity]]*OrdersTable[[#This Row],[Unit Cost]]</f>
        <v>640</v>
      </c>
      <c r="X3274" s="77">
        <f>'Dropdown Lists'!$I$2*(1+OrdersTable[[#This Row],[Returned]])</f>
        <v>120</v>
      </c>
      <c r="Y3274" s="76">
        <f>OrdersTable[[#This Row],[Net Revenue]]-OrdersTable[[#This Row],[COGS]]-OrdersTable[[#This Row],[Shipping Cost]]</f>
        <v>838</v>
      </c>
      <c r="Z3274" s="78">
        <f>IFERROR(OrdersTable[[#This Row],[Profit]]/OrdersTable[[#This Row],[Net Revenue]],0)</f>
        <v>0.52440550688360454</v>
      </c>
      <c r="AA3274" t="s">
        <v>2522</v>
      </c>
      <c r="AB3274" s="79">
        <v>45833</v>
      </c>
      <c r="AC3274">
        <f>OrdersTable[[#This Row],[Delivery Date]]-OrdersTable[[#This Row],[Order Date]]</f>
        <v>5</v>
      </c>
      <c r="AD3274" t="str">
        <f>IF(OrdersTable[[#This Row],[Delivery Days]]&lt;=2, "Express (≤2d)", IF(OrdersTable[[#This Row],[Delivery Days]]&lt;=4, "Standard (3-4d)", "Delayed (5d+)"))</f>
        <v>Delayed (5d+)</v>
      </c>
      <c r="AE3274">
        <v>3</v>
      </c>
      <c r="AF3274">
        <v>1</v>
      </c>
    </row>
    <row r="3275" spans="1:32" ht="15" x14ac:dyDescent="0.35">
      <c r="A3275" t="s">
        <v>1999</v>
      </c>
      <c r="B3275" s="1">
        <v>45828</v>
      </c>
      <c r="C3275">
        <f>YEAR(OrdersTable[[#This Row],[Order Date]])</f>
        <v>2025</v>
      </c>
      <c r="D3275" s="2">
        <f>DATE(YEAR(OrdersTable[[#This Row],[Order Date]]),MONTH(OrdersTable[[#This Row],[Order Date]]),1)</f>
        <v>45809</v>
      </c>
      <c r="E3275">
        <f>MONTH(OrdersTable[[#This Row],[Order Date]])</f>
        <v>6</v>
      </c>
      <c r="F3275" t="s">
        <v>2000</v>
      </c>
      <c r="G3275" t="str">
        <f>IF(OrdersTable[[#This Row],[Order Date]]=_xlfn.MINIFS(Order_Date, Customer_ID, OrdersTable[[#This Row],[Customer ID]]), "New", "Repeat")</f>
        <v>Repeat</v>
      </c>
      <c r="H3275" t="s">
        <v>316</v>
      </c>
      <c r="I3275" t="str">
        <f>INDEX(State!B:B,MATCH(OrdersTable[[#This Row],[State]],State!A:A,0))</f>
        <v>KL</v>
      </c>
      <c r="J3275" t="str">
        <f>INDEX(State!C:C,MATCH(OrdersTable[[#This Row],[State Code]],State!B:B,0))</f>
        <v>South</v>
      </c>
      <c r="K3275" t="s">
        <v>317</v>
      </c>
      <c r="L3275" t="s">
        <v>50</v>
      </c>
      <c r="M3275" t="s">
        <v>45</v>
      </c>
      <c r="N3275" t="str">
        <f>INDEX(Products!B:B,MATCH(OrdersTable[[#This Row],[Product ID]],Products!A:A,0))</f>
        <v>Argan Shampoo</v>
      </c>
      <c r="O3275" t="str">
        <f>INDEX(Products!C:C,MATCH(OrdersTable[[#This Row],[Product ID]],Products!A:A,0))</f>
        <v>Haircare</v>
      </c>
      <c r="P3275">
        <v>1</v>
      </c>
      <c r="Q3275" s="5">
        <v>449</v>
      </c>
      <c r="R3275" s="74">
        <v>0.05</v>
      </c>
      <c r="S3275" s="75">
        <f>OrdersTable[[#This Row],[Quantity]]*OrdersTable[[#This Row],[Unit Price]]</f>
        <v>449</v>
      </c>
      <c r="T3275" s="5">
        <f>OrdersTable[[#This Row],[Gross Sale]]*OrdersTable[[#This Row],[Discount_Clean2]]</f>
        <v>22.450000000000003</v>
      </c>
      <c r="U3275" s="5">
        <f>OrdersTable[[#This Row],[Gross Sale]]-OrdersTable[[#This Row],[Discount Amount]]</f>
        <v>426.55</v>
      </c>
      <c r="V3275" s="77">
        <f>INDEX(Products!E:E,MATCH(OrdersTable[[#This Row],[Product ID]],Products!A:A,0))</f>
        <v>148</v>
      </c>
      <c r="W3275" s="77">
        <f>OrdersTable[[#This Row],[Quantity]]*OrdersTable[[#This Row],[Unit Cost]]</f>
        <v>148</v>
      </c>
      <c r="X3275" s="77">
        <f>'Dropdown Lists'!$I$2*(1+OrdersTable[[#This Row],[Returned]])</f>
        <v>60</v>
      </c>
      <c r="Y3275" s="76">
        <f>OrdersTable[[#This Row],[Net Revenue]]-OrdersTable[[#This Row],[COGS]]-OrdersTable[[#This Row],[Shipping Cost]]</f>
        <v>218.55</v>
      </c>
      <c r="Z3275" s="78">
        <f>IFERROR(OrdersTable[[#This Row],[Profit]]/OrdersTable[[#This Row],[Net Revenue]],0)</f>
        <v>0.51236666275934828</v>
      </c>
      <c r="AA3275" t="s">
        <v>18</v>
      </c>
      <c r="AB3275" s="79">
        <v>45831</v>
      </c>
      <c r="AC3275">
        <f>OrdersTable[[#This Row],[Delivery Date]]-OrdersTable[[#This Row],[Order Date]]</f>
        <v>3</v>
      </c>
      <c r="AD3275" t="str">
        <f>IF(OrdersTable[[#This Row],[Delivery Days]]&lt;=2, "Express (≤2d)", IF(OrdersTable[[#This Row],[Delivery Days]]&lt;=4, "Standard (3-4d)", "Delayed (5d+)"))</f>
        <v>Standard (3-4d)</v>
      </c>
      <c r="AE3275">
        <v>3</v>
      </c>
      <c r="AF3275">
        <v>0</v>
      </c>
    </row>
    <row r="3276" spans="1:32" ht="15" x14ac:dyDescent="0.35">
      <c r="A3276" t="s">
        <v>5958</v>
      </c>
      <c r="B3276" s="1">
        <v>45828</v>
      </c>
      <c r="C3276">
        <f>YEAR(OrdersTable[[#This Row],[Order Date]])</f>
        <v>2025</v>
      </c>
      <c r="D3276" s="2">
        <f>DATE(YEAR(OrdersTable[[#This Row],[Order Date]]),MONTH(OrdersTable[[#This Row],[Order Date]]),1)</f>
        <v>45809</v>
      </c>
      <c r="E3276">
        <f>MONTH(OrdersTable[[#This Row],[Order Date]])</f>
        <v>6</v>
      </c>
      <c r="F3276" t="s">
        <v>5959</v>
      </c>
      <c r="G3276" t="str">
        <f>IF(OrdersTable[[#This Row],[Order Date]]=_xlfn.MINIFS(Order_Date, Customer_ID, OrdersTable[[#This Row],[Customer ID]]), "New", "Repeat")</f>
        <v>Repeat</v>
      </c>
      <c r="H3276" t="s">
        <v>316</v>
      </c>
      <c r="I3276" t="str">
        <f>INDEX(State!B:B,MATCH(OrdersTable[[#This Row],[State]],State!A:A,0))</f>
        <v>KL</v>
      </c>
      <c r="J3276" t="str">
        <f>INDEX(State!C:C,MATCH(OrdersTable[[#This Row],[State Code]],State!B:B,0))</f>
        <v>South</v>
      </c>
      <c r="K3276" t="s">
        <v>338</v>
      </c>
      <c r="L3276" t="s">
        <v>39</v>
      </c>
      <c r="M3276" t="s">
        <v>109</v>
      </c>
      <c r="N3276" t="str">
        <f>INDEX(Products!B:B,MATCH(OrdersTable[[#This Row],[Product ID]],Products!A:A,0))</f>
        <v>Onion Hair Oil</v>
      </c>
      <c r="O3276" t="str">
        <f>INDEX(Products!C:C,MATCH(OrdersTable[[#This Row],[Product ID]],Products!A:A,0))</f>
        <v>Haircare</v>
      </c>
      <c r="P3276">
        <v>2</v>
      </c>
      <c r="Q3276" s="5">
        <v>349</v>
      </c>
      <c r="R3276" s="74">
        <v>0.25</v>
      </c>
      <c r="S3276" s="75">
        <f>OrdersTable[[#This Row],[Quantity]]*OrdersTable[[#This Row],[Unit Price]]</f>
        <v>698</v>
      </c>
      <c r="T3276" s="5">
        <f>OrdersTable[[#This Row],[Gross Sale]]*OrdersTable[[#This Row],[Discount_Clean2]]</f>
        <v>174.5</v>
      </c>
      <c r="U3276" s="5">
        <f>OrdersTable[[#This Row],[Gross Sale]]-OrdersTable[[#This Row],[Discount Amount]]</f>
        <v>523.5</v>
      </c>
      <c r="V3276" s="77">
        <f>INDEX(Products!E:E,MATCH(OrdersTable[[#This Row],[Product ID]],Products!A:A,0))</f>
        <v>105</v>
      </c>
      <c r="W3276" s="77">
        <f>OrdersTable[[#This Row],[Quantity]]*OrdersTable[[#This Row],[Unit Cost]]</f>
        <v>210</v>
      </c>
      <c r="X3276" s="77">
        <f>'Dropdown Lists'!$I$2*(1+OrdersTable[[#This Row],[Returned]])</f>
        <v>60</v>
      </c>
      <c r="Y3276" s="76">
        <f>OrdersTable[[#This Row],[Net Revenue]]-OrdersTable[[#This Row],[COGS]]-OrdersTable[[#This Row],[Shipping Cost]]</f>
        <v>253.5</v>
      </c>
      <c r="Z3276" s="78">
        <f>IFERROR(OrdersTable[[#This Row],[Profit]]/OrdersTable[[#This Row],[Net Revenue]],0)</f>
        <v>0.48424068767908307</v>
      </c>
      <c r="AA3276" t="s">
        <v>18</v>
      </c>
      <c r="AB3276" s="79">
        <v>45832</v>
      </c>
      <c r="AC3276">
        <f>OrdersTable[[#This Row],[Delivery Date]]-OrdersTable[[#This Row],[Order Date]]</f>
        <v>4</v>
      </c>
      <c r="AD3276" t="str">
        <f>IF(OrdersTable[[#This Row],[Delivery Days]]&lt;=2, "Express (≤2d)", IF(OrdersTable[[#This Row],[Delivery Days]]&lt;=4, "Standard (3-4d)", "Delayed (5d+)"))</f>
        <v>Standard (3-4d)</v>
      </c>
      <c r="AF3276">
        <v>0</v>
      </c>
    </row>
    <row r="3277" spans="1:32" ht="15" x14ac:dyDescent="0.35">
      <c r="A3277" t="s">
        <v>3299</v>
      </c>
      <c r="B3277" s="1">
        <v>45829</v>
      </c>
      <c r="C3277">
        <f>YEAR(OrdersTable[[#This Row],[Order Date]])</f>
        <v>2025</v>
      </c>
      <c r="D3277" s="2">
        <f>DATE(YEAR(OrdersTable[[#This Row],[Order Date]]),MONTH(OrdersTable[[#This Row],[Order Date]]),1)</f>
        <v>45809</v>
      </c>
      <c r="E3277">
        <f>MONTH(OrdersTable[[#This Row],[Order Date]])</f>
        <v>6</v>
      </c>
      <c r="F3277" t="s">
        <v>3300</v>
      </c>
      <c r="G3277" t="str">
        <f>IF(OrdersTable[[#This Row],[Order Date]]=_xlfn.MINIFS(Order_Date, Customer_ID, OrdersTable[[#This Row],[Customer ID]]), "New", "Repeat")</f>
        <v>New</v>
      </c>
      <c r="H3277" t="s">
        <v>54</v>
      </c>
      <c r="I3277" t="str">
        <f>INDEX(State!B:B,MATCH(OrdersTable[[#This Row],[State]],State!A:A,0))</f>
        <v>RJ</v>
      </c>
      <c r="J3277" t="str">
        <f>INDEX(State!C:C,MATCH(OrdersTable[[#This Row],[State Code]],State!B:B,0))</f>
        <v>North</v>
      </c>
      <c r="K3277" t="s">
        <v>55</v>
      </c>
      <c r="L3277" t="s">
        <v>16</v>
      </c>
      <c r="M3277" t="s">
        <v>87</v>
      </c>
      <c r="N3277" t="str">
        <f>INDEX(Products!B:B,MATCH(OrdersTable[[#This Row],[Product ID]],Products!A:A,0))</f>
        <v>Linen Kurta</v>
      </c>
      <c r="O3277" t="str">
        <f>INDEX(Products!C:C,MATCH(OrdersTable[[#This Row],[Product ID]],Products!A:A,0))</f>
        <v>Apparel</v>
      </c>
      <c r="P3277">
        <v>1</v>
      </c>
      <c r="Q3277" s="5">
        <v>1499</v>
      </c>
      <c r="R3277" s="74">
        <v>0.4</v>
      </c>
      <c r="S3277" s="75">
        <f>OrdersTable[[#This Row],[Quantity]]*OrdersTable[[#This Row],[Unit Price]]</f>
        <v>1499</v>
      </c>
      <c r="T3277" s="5">
        <f>OrdersTable[[#This Row],[Gross Sale]]*OrdersTable[[#This Row],[Discount_Clean2]]</f>
        <v>599.6</v>
      </c>
      <c r="U3277" s="5">
        <f>OrdersTable[[#This Row],[Gross Sale]]-OrdersTable[[#This Row],[Discount Amount]]</f>
        <v>899.4</v>
      </c>
      <c r="V3277" s="77">
        <f>INDEX(Products!E:E,MATCH(OrdersTable[[#This Row],[Product ID]],Products!A:A,0))</f>
        <v>630</v>
      </c>
      <c r="W3277" s="77">
        <f>OrdersTable[[#This Row],[Quantity]]*OrdersTable[[#This Row],[Unit Cost]]</f>
        <v>630</v>
      </c>
      <c r="X3277" s="77">
        <f>'Dropdown Lists'!$I$2*(1+OrdersTable[[#This Row],[Returned]])</f>
        <v>60</v>
      </c>
      <c r="Y3277" s="76">
        <f>OrdersTable[[#This Row],[Net Revenue]]-OrdersTable[[#This Row],[COGS]]-OrdersTable[[#This Row],[Shipping Cost]]</f>
        <v>209.39999999999998</v>
      </c>
      <c r="Z3277" s="78">
        <f>IFERROR(OrdersTable[[#This Row],[Profit]]/OrdersTable[[#This Row],[Net Revenue]],0)</f>
        <v>0.23282188125416942</v>
      </c>
      <c r="AA3277" t="s">
        <v>2522</v>
      </c>
      <c r="AB3277" s="79">
        <v>45832</v>
      </c>
      <c r="AC3277">
        <f>OrdersTable[[#This Row],[Delivery Date]]-OrdersTable[[#This Row],[Order Date]]</f>
        <v>3</v>
      </c>
      <c r="AD3277" t="str">
        <f>IF(OrdersTable[[#This Row],[Delivery Days]]&lt;=2, "Express (≤2d)", IF(OrdersTable[[#This Row],[Delivery Days]]&lt;=4, "Standard (3-4d)", "Delayed (5d+)"))</f>
        <v>Standard (3-4d)</v>
      </c>
      <c r="AE3277">
        <v>4</v>
      </c>
      <c r="AF3277">
        <v>0</v>
      </c>
    </row>
    <row r="3278" spans="1:32" ht="15" x14ac:dyDescent="0.35">
      <c r="A3278" t="s">
        <v>5425</v>
      </c>
      <c r="B3278" s="1">
        <v>45829</v>
      </c>
      <c r="C3278">
        <f>YEAR(OrdersTable[[#This Row],[Order Date]])</f>
        <v>2025</v>
      </c>
      <c r="D3278" s="2">
        <f>DATE(YEAR(OrdersTable[[#This Row],[Order Date]]),MONTH(OrdersTable[[#This Row],[Order Date]]),1)</f>
        <v>45809</v>
      </c>
      <c r="E3278">
        <f>MONTH(OrdersTable[[#This Row],[Order Date]])</f>
        <v>6</v>
      </c>
      <c r="F3278" t="s">
        <v>5426</v>
      </c>
      <c r="G3278" t="str">
        <f>IF(OrdersTable[[#This Row],[Order Date]]=_xlfn.MINIFS(Order_Date, Customer_ID, OrdersTable[[#This Row],[Customer ID]]), "New", "Repeat")</f>
        <v>New</v>
      </c>
      <c r="H3278" t="s">
        <v>32</v>
      </c>
      <c r="I3278" t="str">
        <f>INDEX(State!B:B,MATCH(OrdersTable[[#This Row],[State]],State!A:A,0))</f>
        <v>BR</v>
      </c>
      <c r="J3278" t="str">
        <f>INDEX(State!C:C,MATCH(OrdersTable[[#This Row],[State Code]],State!B:B,0))</f>
        <v>East</v>
      </c>
      <c r="K3278" t="s">
        <v>33</v>
      </c>
      <c r="L3278" t="s">
        <v>65</v>
      </c>
      <c r="M3278" t="s">
        <v>255</v>
      </c>
      <c r="N3278" t="str">
        <f>INDEX(Products!B:B,MATCH(OrdersTable[[#This Row],[Product ID]],Products!A:A,0))</f>
        <v>Cotton Oversized T-Shirt</v>
      </c>
      <c r="O3278" t="str">
        <f>INDEX(Products!C:C,MATCH(OrdersTable[[#This Row],[Product ID]],Products!A:A,0))</f>
        <v>Apparel</v>
      </c>
      <c r="P3278">
        <v>2</v>
      </c>
      <c r="Q3278" s="5">
        <v>799</v>
      </c>
      <c r="R3278" s="74">
        <v>0.1</v>
      </c>
      <c r="S3278" s="75">
        <f>OrdersTable[[#This Row],[Quantity]]*OrdersTable[[#This Row],[Unit Price]]</f>
        <v>1598</v>
      </c>
      <c r="T3278" s="5">
        <f>OrdersTable[[#This Row],[Gross Sale]]*OrdersTable[[#This Row],[Discount_Clean2]]</f>
        <v>159.80000000000001</v>
      </c>
      <c r="U3278" s="5">
        <f>OrdersTable[[#This Row],[Gross Sale]]-OrdersTable[[#This Row],[Discount Amount]]</f>
        <v>1438.2</v>
      </c>
      <c r="V3278" s="77">
        <f>INDEX(Products!E:E,MATCH(OrdersTable[[#This Row],[Product ID]],Products!A:A,0))</f>
        <v>320</v>
      </c>
      <c r="W3278" s="77">
        <f>OrdersTable[[#This Row],[Quantity]]*OrdersTable[[#This Row],[Unit Cost]]</f>
        <v>640</v>
      </c>
      <c r="X3278" s="77">
        <f>'Dropdown Lists'!$I$2*(1+OrdersTable[[#This Row],[Returned]])</f>
        <v>60</v>
      </c>
      <c r="Y3278" s="76">
        <f>OrdersTable[[#This Row],[Net Revenue]]-OrdersTable[[#This Row],[COGS]]-OrdersTable[[#This Row],[Shipping Cost]]</f>
        <v>738.2</v>
      </c>
      <c r="Z3278" s="78">
        <f>IFERROR(OrdersTable[[#This Row],[Profit]]/OrdersTable[[#This Row],[Net Revenue]],0)</f>
        <v>0.51328048950076488</v>
      </c>
      <c r="AA3278" t="s">
        <v>2522</v>
      </c>
      <c r="AB3278" s="79">
        <v>45833</v>
      </c>
      <c r="AC3278">
        <f>OrdersTable[[#This Row],[Delivery Date]]-OrdersTable[[#This Row],[Order Date]]</f>
        <v>4</v>
      </c>
      <c r="AD3278" t="str">
        <f>IF(OrdersTable[[#This Row],[Delivery Days]]&lt;=2, "Express (≤2d)", IF(OrdersTable[[#This Row],[Delivery Days]]&lt;=4, "Standard (3-4d)", "Delayed (5d+)"))</f>
        <v>Standard (3-4d)</v>
      </c>
      <c r="AF3278">
        <v>0</v>
      </c>
    </row>
    <row r="3279" spans="1:32" ht="15" x14ac:dyDescent="0.35">
      <c r="A3279" t="s">
        <v>6601</v>
      </c>
      <c r="B3279" s="1">
        <v>45829</v>
      </c>
      <c r="C3279">
        <f>YEAR(OrdersTable[[#This Row],[Order Date]])</f>
        <v>2025</v>
      </c>
      <c r="D3279" s="2">
        <f>DATE(YEAR(OrdersTable[[#This Row],[Order Date]]),MONTH(OrdersTable[[#This Row],[Order Date]]),1)</f>
        <v>45809</v>
      </c>
      <c r="E3279">
        <f>MONTH(OrdersTable[[#This Row],[Order Date]])</f>
        <v>6</v>
      </c>
      <c r="F3279" t="s">
        <v>4014</v>
      </c>
      <c r="G3279" t="str">
        <f>IF(OrdersTable[[#This Row],[Order Date]]=_xlfn.MINIFS(Order_Date, Customer_ID, OrdersTable[[#This Row],[Customer ID]]), "New", "Repeat")</f>
        <v>Repeat</v>
      </c>
      <c r="H3279" t="s">
        <v>37</v>
      </c>
      <c r="I3279" t="str">
        <f>INDEX(State!B:B,MATCH(OrdersTable[[#This Row],[State]],State!A:A,0))</f>
        <v>GJ</v>
      </c>
      <c r="J3279" t="str">
        <f>INDEX(State!C:C,MATCH(OrdersTable[[#This Row],[State Code]],State!B:B,0))</f>
        <v>West</v>
      </c>
      <c r="K3279" t="s">
        <v>38</v>
      </c>
      <c r="L3279" t="s">
        <v>65</v>
      </c>
      <c r="M3279" t="s">
        <v>73</v>
      </c>
      <c r="N3279" t="str">
        <f>INDEX(Products!B:B,MATCH(OrdersTable[[#This Row],[Product ID]],Products!A:A,0))</f>
        <v>Hydrating Face Wash</v>
      </c>
      <c r="O3279" t="str">
        <f>INDEX(Products!C:C,MATCH(OrdersTable[[#This Row],[Product ID]],Products!A:A,0))</f>
        <v>Skincare</v>
      </c>
      <c r="P3279">
        <v>3</v>
      </c>
      <c r="Q3279" s="5">
        <v>299</v>
      </c>
      <c r="R3279" s="74">
        <v>0.05</v>
      </c>
      <c r="S3279" s="75">
        <f>OrdersTable[[#This Row],[Quantity]]*OrdersTable[[#This Row],[Unit Price]]</f>
        <v>897</v>
      </c>
      <c r="T3279" s="5">
        <f>OrdersTable[[#This Row],[Gross Sale]]*OrdersTable[[#This Row],[Discount_Clean2]]</f>
        <v>44.85</v>
      </c>
      <c r="U3279" s="5">
        <f>OrdersTable[[#This Row],[Gross Sale]]-OrdersTable[[#This Row],[Discount Amount]]</f>
        <v>852.15</v>
      </c>
      <c r="V3279" s="77">
        <f>INDEX(Products!E:E,MATCH(OrdersTable[[#This Row],[Product ID]],Products!A:A,0))</f>
        <v>90</v>
      </c>
      <c r="W3279" s="77">
        <f>OrdersTable[[#This Row],[Quantity]]*OrdersTable[[#This Row],[Unit Cost]]</f>
        <v>270</v>
      </c>
      <c r="X3279" s="77">
        <f>'Dropdown Lists'!$I$2*(1+OrdersTable[[#This Row],[Returned]])</f>
        <v>60</v>
      </c>
      <c r="Y3279" s="76">
        <f>OrdersTable[[#This Row],[Net Revenue]]-OrdersTable[[#This Row],[COGS]]-OrdersTable[[#This Row],[Shipping Cost]]</f>
        <v>522.15</v>
      </c>
      <c r="Z3279" s="78">
        <f>IFERROR(OrdersTable[[#This Row],[Profit]]/OrdersTable[[#This Row],[Net Revenue]],0)</f>
        <v>0.61274423516986443</v>
      </c>
      <c r="AA3279" t="s">
        <v>18</v>
      </c>
      <c r="AB3279" s="79">
        <v>45831</v>
      </c>
      <c r="AC3279">
        <f>OrdersTable[[#This Row],[Delivery Date]]-OrdersTable[[#This Row],[Order Date]]</f>
        <v>2</v>
      </c>
      <c r="AD3279" t="str">
        <f>IF(OrdersTable[[#This Row],[Delivery Days]]&lt;=2, "Express (≤2d)", IF(OrdersTable[[#This Row],[Delivery Days]]&lt;=4, "Standard (3-4d)", "Delayed (5d+)"))</f>
        <v>Express (≤2d)</v>
      </c>
      <c r="AE3279">
        <v>4</v>
      </c>
      <c r="AF3279">
        <v>0</v>
      </c>
    </row>
    <row r="3280" spans="1:32" ht="15" x14ac:dyDescent="0.35">
      <c r="A3280" t="s">
        <v>3069</v>
      </c>
      <c r="B3280" s="1">
        <v>45829</v>
      </c>
      <c r="C3280">
        <f>YEAR(OrdersTable[[#This Row],[Order Date]])</f>
        <v>2025</v>
      </c>
      <c r="D3280" s="2">
        <f>DATE(YEAR(OrdersTable[[#This Row],[Order Date]]),MONTH(OrdersTable[[#This Row],[Order Date]]),1)</f>
        <v>45809</v>
      </c>
      <c r="E3280">
        <f>MONTH(OrdersTable[[#This Row],[Order Date]])</f>
        <v>6</v>
      </c>
      <c r="F3280" t="s">
        <v>493</v>
      </c>
      <c r="G3280" t="str">
        <f>IF(OrdersTable[[#This Row],[Order Date]]=_xlfn.MINIFS(Order_Date, Customer_ID, OrdersTable[[#This Row],[Customer ID]]), "New", "Repeat")</f>
        <v>Repeat</v>
      </c>
      <c r="H3280" t="s">
        <v>43</v>
      </c>
      <c r="I3280" t="str">
        <f>INDEX(State!B:B,MATCH(OrdersTable[[#This Row],[State]],State!A:A,0))</f>
        <v>MP</v>
      </c>
      <c r="J3280" t="str">
        <f>INDEX(State!C:C,MATCH(OrdersTable[[#This Row],[State Code]],State!B:B,0))</f>
        <v>West</v>
      </c>
      <c r="K3280" t="s">
        <v>250</v>
      </c>
      <c r="L3280" t="s">
        <v>50</v>
      </c>
      <c r="M3280" t="s">
        <v>61</v>
      </c>
      <c r="N3280" t="str">
        <f>INDEX(Products!B:B,MATCH(OrdersTable[[#This Row],[Product ID]],Products!A:A,0))</f>
        <v>Multivitamin Gummies</v>
      </c>
      <c r="O3280" t="str">
        <f>INDEX(Products!C:C,MATCH(OrdersTable[[#This Row],[Product ID]],Products!A:A,0))</f>
        <v>Wellness</v>
      </c>
      <c r="P3280">
        <v>1</v>
      </c>
      <c r="Q3280" s="5">
        <v>699</v>
      </c>
      <c r="R3280" s="74">
        <v>0.15</v>
      </c>
      <c r="S3280" s="75">
        <f>OrdersTable[[#This Row],[Quantity]]*OrdersTable[[#This Row],[Unit Price]]</f>
        <v>699</v>
      </c>
      <c r="T3280" s="5">
        <f>OrdersTable[[#This Row],[Gross Sale]]*OrdersTable[[#This Row],[Discount_Clean2]]</f>
        <v>104.85</v>
      </c>
      <c r="U3280" s="5">
        <f>OrdersTable[[#This Row],[Gross Sale]]-OrdersTable[[#This Row],[Discount Amount]]</f>
        <v>594.15</v>
      </c>
      <c r="V3280" s="77">
        <f>INDEX(Products!E:E,MATCH(OrdersTable[[#This Row],[Product ID]],Products!A:A,0))</f>
        <v>238</v>
      </c>
      <c r="W3280" s="77">
        <f>OrdersTable[[#This Row],[Quantity]]*OrdersTable[[#This Row],[Unit Cost]]</f>
        <v>238</v>
      </c>
      <c r="X3280" s="77">
        <f>'Dropdown Lists'!$I$2*(1+OrdersTable[[#This Row],[Returned]])</f>
        <v>60</v>
      </c>
      <c r="Y3280" s="76">
        <f>OrdersTable[[#This Row],[Net Revenue]]-OrdersTable[[#This Row],[COGS]]-OrdersTable[[#This Row],[Shipping Cost]]</f>
        <v>296.14999999999998</v>
      </c>
      <c r="Z3280" s="78">
        <f>IFERROR(OrdersTable[[#This Row],[Profit]]/OrdersTable[[#This Row],[Net Revenue]],0)</f>
        <v>0.49844315408566858</v>
      </c>
      <c r="AA3280" t="s">
        <v>2522</v>
      </c>
      <c r="AB3280" s="79">
        <v>45832</v>
      </c>
      <c r="AC3280">
        <f>OrdersTable[[#This Row],[Delivery Date]]-OrdersTable[[#This Row],[Order Date]]</f>
        <v>3</v>
      </c>
      <c r="AD3280" t="str">
        <f>IF(OrdersTable[[#This Row],[Delivery Days]]&lt;=2, "Express (≤2d)", IF(OrdersTable[[#This Row],[Delivery Days]]&lt;=4, "Standard (3-4d)", "Delayed (5d+)"))</f>
        <v>Standard (3-4d)</v>
      </c>
      <c r="AF3280">
        <v>0</v>
      </c>
    </row>
    <row r="3281" spans="1:32" ht="15" x14ac:dyDescent="0.35">
      <c r="A3281" t="s">
        <v>1569</v>
      </c>
      <c r="B3281" s="1">
        <v>45829</v>
      </c>
      <c r="C3281">
        <f>YEAR(OrdersTable[[#This Row],[Order Date]])</f>
        <v>2025</v>
      </c>
      <c r="D3281" s="2">
        <f>DATE(YEAR(OrdersTable[[#This Row],[Order Date]]),MONTH(OrdersTable[[#This Row],[Order Date]]),1)</f>
        <v>45809</v>
      </c>
      <c r="E3281">
        <f>MONTH(OrdersTable[[#This Row],[Order Date]])</f>
        <v>6</v>
      </c>
      <c r="F3281" t="s">
        <v>639</v>
      </c>
      <c r="G3281" t="str">
        <f>IF(OrdersTable[[#This Row],[Order Date]]=_xlfn.MINIFS(Order_Date, Customer_ID, OrdersTable[[#This Row],[Customer ID]]), "New", "Repeat")</f>
        <v>Repeat</v>
      </c>
      <c r="H3281" t="s">
        <v>71</v>
      </c>
      <c r="I3281" t="str">
        <f>INDEX(State!B:B,MATCH(OrdersTable[[#This Row],[State]],State!A:A,0))</f>
        <v>MH</v>
      </c>
      <c r="J3281" t="str">
        <f>INDEX(State!C:C,MATCH(OrdersTable[[#This Row],[State Code]],State!B:B,0))</f>
        <v>West</v>
      </c>
      <c r="K3281" t="s">
        <v>72</v>
      </c>
      <c r="L3281" t="s">
        <v>39</v>
      </c>
      <c r="M3281" t="s">
        <v>66</v>
      </c>
      <c r="N3281" t="str">
        <f>INDEX(Products!B:B,MATCH(OrdersTable[[#This Row],[Product ID]],Products!A:A,0))</f>
        <v>Sunscreen SPF 50</v>
      </c>
      <c r="O3281" t="str">
        <f>INDEX(Products!C:C,MATCH(OrdersTable[[#This Row],[Product ID]],Products!A:A,0))</f>
        <v>Skincare</v>
      </c>
      <c r="P3281">
        <v>1</v>
      </c>
      <c r="Q3281" s="5">
        <v>449</v>
      </c>
      <c r="R3281" s="74">
        <v>0.05</v>
      </c>
      <c r="S3281" s="75">
        <f>OrdersTable[[#This Row],[Quantity]]*OrdersTable[[#This Row],[Unit Price]]</f>
        <v>449</v>
      </c>
      <c r="T3281" s="5">
        <f>OrdersTable[[#This Row],[Gross Sale]]*OrdersTable[[#This Row],[Discount_Clean2]]</f>
        <v>22.450000000000003</v>
      </c>
      <c r="U3281" s="5">
        <f>OrdersTable[[#This Row],[Gross Sale]]-OrdersTable[[#This Row],[Discount Amount]]</f>
        <v>426.55</v>
      </c>
      <c r="V3281" s="77">
        <f>INDEX(Products!E:E,MATCH(OrdersTable[[#This Row],[Product ID]],Products!A:A,0))</f>
        <v>144</v>
      </c>
      <c r="W3281" s="77">
        <f>OrdersTable[[#This Row],[Quantity]]*OrdersTable[[#This Row],[Unit Cost]]</f>
        <v>144</v>
      </c>
      <c r="X3281" s="77">
        <f>'Dropdown Lists'!$I$2*(1+OrdersTable[[#This Row],[Returned]])</f>
        <v>120</v>
      </c>
      <c r="Y3281" s="76">
        <f>OrdersTable[[#This Row],[Net Revenue]]-OrdersTable[[#This Row],[COGS]]-OrdersTable[[#This Row],[Shipping Cost]]</f>
        <v>162.55000000000001</v>
      </c>
      <c r="Z3281" s="78">
        <f>IFERROR(OrdersTable[[#This Row],[Profit]]/OrdersTable[[#This Row],[Net Revenue]],0)</f>
        <v>0.38108076427148052</v>
      </c>
      <c r="AA3281" t="s">
        <v>18</v>
      </c>
      <c r="AB3281" s="79">
        <v>45831</v>
      </c>
      <c r="AC3281">
        <f>OrdersTable[[#This Row],[Delivery Date]]-OrdersTable[[#This Row],[Order Date]]</f>
        <v>2</v>
      </c>
      <c r="AD3281" t="str">
        <f>IF(OrdersTable[[#This Row],[Delivery Days]]&lt;=2, "Express (≤2d)", IF(OrdersTable[[#This Row],[Delivery Days]]&lt;=4, "Standard (3-4d)", "Delayed (5d+)"))</f>
        <v>Express (≤2d)</v>
      </c>
      <c r="AF3281">
        <v>1</v>
      </c>
    </row>
    <row r="3282" spans="1:32" ht="15" x14ac:dyDescent="0.35">
      <c r="A3282" t="s">
        <v>834</v>
      </c>
      <c r="B3282" s="1">
        <v>45830</v>
      </c>
      <c r="C3282">
        <f>YEAR(OrdersTable[[#This Row],[Order Date]])</f>
        <v>2025</v>
      </c>
      <c r="D3282" s="2">
        <f>DATE(YEAR(OrdersTable[[#This Row],[Order Date]]),MONTH(OrdersTable[[#This Row],[Order Date]]),1)</f>
        <v>45809</v>
      </c>
      <c r="E3282">
        <f>MONTH(OrdersTable[[#This Row],[Order Date]])</f>
        <v>6</v>
      </c>
      <c r="F3282" t="s">
        <v>835</v>
      </c>
      <c r="G3282" t="str">
        <f>IF(OrdersTable[[#This Row],[Order Date]]=_xlfn.MINIFS(Order_Date, Customer_ID, OrdersTable[[#This Row],[Customer ID]]), "New", "Repeat")</f>
        <v>Repeat</v>
      </c>
      <c r="H3282" t="s">
        <v>54</v>
      </c>
      <c r="I3282" t="str">
        <f>INDEX(State!B:B,MATCH(OrdersTable[[#This Row],[State]],State!A:A,0))</f>
        <v>RJ</v>
      </c>
      <c r="J3282" t="str">
        <f>INDEX(State!C:C,MATCH(OrdersTable[[#This Row],[State Code]],State!B:B,0))</f>
        <v>North</v>
      </c>
      <c r="K3282" t="s">
        <v>227</v>
      </c>
      <c r="L3282" t="s">
        <v>39</v>
      </c>
      <c r="M3282" t="s">
        <v>92</v>
      </c>
      <c r="N3282" t="str">
        <f>INDEX(Products!B:B,MATCH(OrdersTable[[#This Row],[Product ID]],Products!A:A,0))</f>
        <v>Kolhapuri Sandals</v>
      </c>
      <c r="O3282" t="str">
        <f>INDEX(Products!C:C,MATCH(OrdersTable[[#This Row],[Product ID]],Products!A:A,0))</f>
        <v>Footwear</v>
      </c>
      <c r="P3282">
        <v>1</v>
      </c>
      <c r="Q3282" s="5">
        <v>999</v>
      </c>
      <c r="R3282" s="74">
        <v>0</v>
      </c>
      <c r="S3282" s="75">
        <f>OrdersTable[[#This Row],[Quantity]]*OrdersTable[[#This Row],[Unit Price]]</f>
        <v>999</v>
      </c>
      <c r="T3282" s="5">
        <f>OrdersTable[[#This Row],[Gross Sale]]*OrdersTable[[#This Row],[Discount_Clean2]]</f>
        <v>0</v>
      </c>
      <c r="U3282" s="5">
        <f>OrdersTable[[#This Row],[Gross Sale]]-OrdersTable[[#This Row],[Discount Amount]]</f>
        <v>999</v>
      </c>
      <c r="V3282" s="77">
        <f>INDEX(Products!E:E,MATCH(OrdersTable[[#This Row],[Product ID]],Products!A:A,0))</f>
        <v>400</v>
      </c>
      <c r="W3282" s="77">
        <f>OrdersTable[[#This Row],[Quantity]]*OrdersTable[[#This Row],[Unit Cost]]</f>
        <v>400</v>
      </c>
      <c r="X3282" s="77">
        <f>'Dropdown Lists'!$I$2*(1+OrdersTable[[#This Row],[Returned]])</f>
        <v>60</v>
      </c>
      <c r="Y3282" s="76">
        <f>OrdersTable[[#This Row],[Net Revenue]]-OrdersTable[[#This Row],[COGS]]-OrdersTable[[#This Row],[Shipping Cost]]</f>
        <v>539</v>
      </c>
      <c r="Z3282" s="78">
        <f>IFERROR(OrdersTable[[#This Row],[Profit]]/OrdersTable[[#This Row],[Net Revenue]],0)</f>
        <v>0.53953953953953959</v>
      </c>
      <c r="AA3282" t="s">
        <v>18</v>
      </c>
      <c r="AB3282" s="79">
        <v>45835</v>
      </c>
      <c r="AC3282">
        <f>OrdersTable[[#This Row],[Delivery Date]]-OrdersTable[[#This Row],[Order Date]]</f>
        <v>5</v>
      </c>
      <c r="AD3282" t="str">
        <f>IF(OrdersTable[[#This Row],[Delivery Days]]&lt;=2, "Express (≤2d)", IF(OrdersTable[[#This Row],[Delivery Days]]&lt;=4, "Standard (3-4d)", "Delayed (5d+)"))</f>
        <v>Delayed (5d+)</v>
      </c>
      <c r="AE3282">
        <v>4</v>
      </c>
      <c r="AF3282">
        <v>0</v>
      </c>
    </row>
    <row r="3283" spans="1:32" ht="15" x14ac:dyDescent="0.35">
      <c r="A3283" t="s">
        <v>1753</v>
      </c>
      <c r="B3283" s="1">
        <v>45830</v>
      </c>
      <c r="C3283">
        <f>YEAR(OrdersTable[[#This Row],[Order Date]])</f>
        <v>2025</v>
      </c>
      <c r="D3283" s="2">
        <f>DATE(YEAR(OrdersTable[[#This Row],[Order Date]]),MONTH(OrdersTable[[#This Row],[Order Date]]),1)</f>
        <v>45809</v>
      </c>
      <c r="E3283">
        <f>MONTH(OrdersTable[[#This Row],[Order Date]])</f>
        <v>6</v>
      </c>
      <c r="F3283" t="s">
        <v>1754</v>
      </c>
      <c r="G3283" t="str">
        <f>IF(OrdersTable[[#This Row],[Order Date]]=_xlfn.MINIFS(Order_Date, Customer_ID, OrdersTable[[#This Row],[Customer ID]]), "New", "Repeat")</f>
        <v>New</v>
      </c>
      <c r="H3283" t="s">
        <v>37</v>
      </c>
      <c r="I3283" t="str">
        <f>INDEX(State!B:B,MATCH(OrdersTable[[#This Row],[State]],State!A:A,0))</f>
        <v>GJ</v>
      </c>
      <c r="J3283" t="str">
        <f>INDEX(State!C:C,MATCH(OrdersTable[[#This Row],[State Code]],State!B:B,0))</f>
        <v>West</v>
      </c>
      <c r="K3283" t="s">
        <v>247</v>
      </c>
      <c r="L3283" t="s">
        <v>65</v>
      </c>
      <c r="M3283" t="s">
        <v>45</v>
      </c>
      <c r="N3283" t="str">
        <f>INDEX(Products!B:B,MATCH(OrdersTable[[#This Row],[Product ID]],Products!A:A,0))</f>
        <v>Argan Shampoo</v>
      </c>
      <c r="O3283" t="str">
        <f>INDEX(Products!C:C,MATCH(OrdersTable[[#This Row],[Product ID]],Products!A:A,0))</f>
        <v>Haircare</v>
      </c>
      <c r="P3283">
        <v>1</v>
      </c>
      <c r="Q3283" s="5">
        <v>449</v>
      </c>
      <c r="R3283" s="74">
        <v>0.05</v>
      </c>
      <c r="S3283" s="75">
        <f>OrdersTable[[#This Row],[Quantity]]*OrdersTable[[#This Row],[Unit Price]]</f>
        <v>449</v>
      </c>
      <c r="T3283" s="5">
        <f>OrdersTable[[#This Row],[Gross Sale]]*OrdersTable[[#This Row],[Discount_Clean2]]</f>
        <v>22.450000000000003</v>
      </c>
      <c r="U3283" s="5">
        <f>OrdersTable[[#This Row],[Gross Sale]]-OrdersTable[[#This Row],[Discount Amount]]</f>
        <v>426.55</v>
      </c>
      <c r="V3283" s="77">
        <f>INDEX(Products!E:E,MATCH(OrdersTable[[#This Row],[Product ID]],Products!A:A,0))</f>
        <v>148</v>
      </c>
      <c r="W3283" s="77">
        <f>OrdersTable[[#This Row],[Quantity]]*OrdersTable[[#This Row],[Unit Cost]]</f>
        <v>148</v>
      </c>
      <c r="X3283" s="77">
        <f>'Dropdown Lists'!$I$2*(1+OrdersTable[[#This Row],[Returned]])</f>
        <v>60</v>
      </c>
      <c r="Y3283" s="76">
        <f>OrdersTable[[#This Row],[Net Revenue]]-OrdersTable[[#This Row],[COGS]]-OrdersTable[[#This Row],[Shipping Cost]]</f>
        <v>218.55</v>
      </c>
      <c r="Z3283" s="78">
        <f>IFERROR(OrdersTable[[#This Row],[Profit]]/OrdersTable[[#This Row],[Net Revenue]],0)</f>
        <v>0.51236666275934828</v>
      </c>
      <c r="AA3283" t="s">
        <v>18</v>
      </c>
      <c r="AB3283" s="79">
        <v>45832</v>
      </c>
      <c r="AC3283">
        <f>OrdersTable[[#This Row],[Delivery Date]]-OrdersTable[[#This Row],[Order Date]]</f>
        <v>2</v>
      </c>
      <c r="AD3283" t="str">
        <f>IF(OrdersTable[[#This Row],[Delivery Days]]&lt;=2, "Express (≤2d)", IF(OrdersTable[[#This Row],[Delivery Days]]&lt;=4, "Standard (3-4d)", "Delayed (5d+)"))</f>
        <v>Express (≤2d)</v>
      </c>
      <c r="AF3283">
        <v>0</v>
      </c>
    </row>
    <row r="3284" spans="1:32" ht="15" x14ac:dyDescent="0.35">
      <c r="A3284" t="s">
        <v>4617</v>
      </c>
      <c r="B3284" s="1">
        <v>45830</v>
      </c>
      <c r="C3284">
        <f>YEAR(OrdersTable[[#This Row],[Order Date]])</f>
        <v>2025</v>
      </c>
      <c r="D3284" s="2">
        <f>DATE(YEAR(OrdersTable[[#This Row],[Order Date]]),MONTH(OrdersTable[[#This Row],[Order Date]]),1)</f>
        <v>45809</v>
      </c>
      <c r="E3284">
        <f>MONTH(OrdersTable[[#This Row],[Order Date]])</f>
        <v>6</v>
      </c>
      <c r="F3284" t="s">
        <v>1168</v>
      </c>
      <c r="G3284" t="str">
        <f>IF(OrdersTable[[#This Row],[Order Date]]=_xlfn.MINIFS(Order_Date, Customer_ID, OrdersTable[[#This Row],[Customer ID]]), "New", "Repeat")</f>
        <v>Repeat</v>
      </c>
      <c r="H3284" t="s">
        <v>71</v>
      </c>
      <c r="I3284" t="str">
        <f>INDEX(State!B:B,MATCH(OrdersTable[[#This Row],[State]],State!A:A,0))</f>
        <v>MH</v>
      </c>
      <c r="J3284" t="str">
        <f>INDEX(State!C:C,MATCH(OrdersTable[[#This Row],[State Code]],State!B:B,0))</f>
        <v>West</v>
      </c>
      <c r="K3284" t="s">
        <v>102</v>
      </c>
      <c r="L3284" t="s">
        <v>50</v>
      </c>
      <c r="M3284" t="s">
        <v>160</v>
      </c>
      <c r="N3284" t="str">
        <f>INDEX(Products!B:B,MATCH(OrdersTable[[#This Row],[Product ID]],Products!A:A,0))</f>
        <v>Niacinamide Toner</v>
      </c>
      <c r="O3284" t="str">
        <f>INDEX(Products!C:C,MATCH(OrdersTable[[#This Row],[Product ID]],Products!A:A,0))</f>
        <v>Skincare</v>
      </c>
      <c r="P3284">
        <v>1</v>
      </c>
      <c r="Q3284" s="5">
        <v>399</v>
      </c>
      <c r="R3284" s="74">
        <v>0.25</v>
      </c>
      <c r="S3284" s="75">
        <f>OrdersTable[[#This Row],[Quantity]]*OrdersTable[[#This Row],[Unit Price]]</f>
        <v>399</v>
      </c>
      <c r="T3284" s="5">
        <f>OrdersTable[[#This Row],[Gross Sale]]*OrdersTable[[#This Row],[Discount_Clean2]]</f>
        <v>99.75</v>
      </c>
      <c r="U3284" s="5">
        <f>OrdersTable[[#This Row],[Gross Sale]]-OrdersTable[[#This Row],[Discount Amount]]</f>
        <v>299.25</v>
      </c>
      <c r="V3284" s="77">
        <f>INDEX(Products!E:E,MATCH(OrdersTable[[#This Row],[Product ID]],Products!A:A,0))</f>
        <v>112</v>
      </c>
      <c r="W3284" s="77">
        <f>OrdersTable[[#This Row],[Quantity]]*OrdersTable[[#This Row],[Unit Cost]]</f>
        <v>112</v>
      </c>
      <c r="X3284" s="77">
        <f>'Dropdown Lists'!$I$2*(1+OrdersTable[[#This Row],[Returned]])</f>
        <v>60</v>
      </c>
      <c r="Y3284" s="76">
        <f>OrdersTable[[#This Row],[Net Revenue]]-OrdersTable[[#This Row],[COGS]]-OrdersTable[[#This Row],[Shipping Cost]]</f>
        <v>127.25</v>
      </c>
      <c r="Z3284" s="78">
        <f>IFERROR(OrdersTable[[#This Row],[Profit]]/OrdersTable[[#This Row],[Net Revenue]],0)</f>
        <v>0.42522974101921468</v>
      </c>
      <c r="AA3284" t="s">
        <v>4450</v>
      </c>
      <c r="AB3284" s="79">
        <v>45831</v>
      </c>
      <c r="AC3284">
        <f>OrdersTable[[#This Row],[Delivery Date]]-OrdersTable[[#This Row],[Order Date]]</f>
        <v>1</v>
      </c>
      <c r="AD3284" t="str">
        <f>IF(OrdersTable[[#This Row],[Delivery Days]]&lt;=2, "Express (≤2d)", IF(OrdersTable[[#This Row],[Delivery Days]]&lt;=4, "Standard (3-4d)", "Delayed (5d+)"))</f>
        <v>Express (≤2d)</v>
      </c>
      <c r="AF3284">
        <v>0</v>
      </c>
    </row>
    <row r="3285" spans="1:32" ht="15" x14ac:dyDescent="0.35">
      <c r="A3285" t="s">
        <v>836</v>
      </c>
      <c r="B3285" s="1">
        <v>45830</v>
      </c>
      <c r="C3285">
        <f>YEAR(OrdersTable[[#This Row],[Order Date]])</f>
        <v>2025</v>
      </c>
      <c r="D3285" s="2">
        <f>DATE(YEAR(OrdersTable[[#This Row],[Order Date]]),MONTH(OrdersTable[[#This Row],[Order Date]]),1)</f>
        <v>45809</v>
      </c>
      <c r="E3285">
        <f>MONTH(OrdersTable[[#This Row],[Order Date]])</f>
        <v>6</v>
      </c>
      <c r="F3285" t="s">
        <v>837</v>
      </c>
      <c r="G3285" t="str">
        <f>IF(OrdersTable[[#This Row],[Order Date]]=_xlfn.MINIFS(Order_Date, Customer_ID, OrdersTable[[#This Row],[Customer ID]]), "New", "Repeat")</f>
        <v>Repeat</v>
      </c>
      <c r="H3285" t="s">
        <v>71</v>
      </c>
      <c r="I3285" t="str">
        <f>INDEX(State!B:B,MATCH(OrdersTable[[#This Row],[State]],State!A:A,0))</f>
        <v>MH</v>
      </c>
      <c r="J3285" t="str">
        <f>INDEX(State!C:C,MATCH(OrdersTable[[#This Row],[State Code]],State!B:B,0))</f>
        <v>West</v>
      </c>
      <c r="K3285" t="s">
        <v>102</v>
      </c>
      <c r="L3285" t="s">
        <v>65</v>
      </c>
      <c r="M3285" t="s">
        <v>40</v>
      </c>
      <c r="N3285" t="str">
        <f>INDEX(Products!B:B,MATCH(OrdersTable[[#This Row],[Product ID]],Products!A:A,0))</f>
        <v>Ashwagandha Capsules</v>
      </c>
      <c r="O3285" t="str">
        <f>INDEX(Products!C:C,MATCH(OrdersTable[[#This Row],[Product ID]],Products!A:A,0))</f>
        <v>Wellness</v>
      </c>
      <c r="P3285">
        <v>1</v>
      </c>
      <c r="Q3285" s="5">
        <v>499</v>
      </c>
      <c r="R3285" s="74">
        <v>0.1</v>
      </c>
      <c r="S3285" s="75">
        <f>OrdersTable[[#This Row],[Quantity]]*OrdersTable[[#This Row],[Unit Price]]</f>
        <v>499</v>
      </c>
      <c r="T3285" s="5">
        <f>OrdersTable[[#This Row],[Gross Sale]]*OrdersTable[[#This Row],[Discount_Clean2]]</f>
        <v>49.900000000000006</v>
      </c>
      <c r="U3285" s="5">
        <f>OrdersTable[[#This Row],[Gross Sale]]-OrdersTable[[#This Row],[Discount Amount]]</f>
        <v>449.1</v>
      </c>
      <c r="V3285" s="77">
        <f>INDEX(Products!E:E,MATCH(OrdersTable[[#This Row],[Product ID]],Products!A:A,0))</f>
        <v>150</v>
      </c>
      <c r="W3285" s="77">
        <f>OrdersTable[[#This Row],[Quantity]]*OrdersTable[[#This Row],[Unit Cost]]</f>
        <v>150</v>
      </c>
      <c r="X3285" s="77">
        <f>'Dropdown Lists'!$I$2*(1+OrdersTable[[#This Row],[Returned]])</f>
        <v>60</v>
      </c>
      <c r="Y3285" s="76">
        <f>OrdersTable[[#This Row],[Net Revenue]]-OrdersTable[[#This Row],[COGS]]-OrdersTable[[#This Row],[Shipping Cost]]</f>
        <v>239.10000000000002</v>
      </c>
      <c r="Z3285" s="78">
        <f>IFERROR(OrdersTable[[#This Row],[Profit]]/OrdersTable[[#This Row],[Net Revenue]],0)</f>
        <v>0.53239812959251842</v>
      </c>
      <c r="AA3285" t="s">
        <v>18</v>
      </c>
      <c r="AB3285" s="79">
        <v>45831</v>
      </c>
      <c r="AC3285">
        <f>OrdersTable[[#This Row],[Delivery Date]]-OrdersTable[[#This Row],[Order Date]]</f>
        <v>1</v>
      </c>
      <c r="AD3285" t="str">
        <f>IF(OrdersTable[[#This Row],[Delivery Days]]&lt;=2, "Express (≤2d)", IF(OrdersTable[[#This Row],[Delivery Days]]&lt;=4, "Standard (3-4d)", "Delayed (5d+)"))</f>
        <v>Express (≤2d)</v>
      </c>
      <c r="AE3285">
        <v>4</v>
      </c>
      <c r="AF3285">
        <v>0</v>
      </c>
    </row>
    <row r="3286" spans="1:32" ht="15" x14ac:dyDescent="0.35">
      <c r="A3286" t="s">
        <v>2815</v>
      </c>
      <c r="B3286" s="1">
        <v>45830</v>
      </c>
      <c r="C3286">
        <f>YEAR(OrdersTable[[#This Row],[Order Date]])</f>
        <v>2025</v>
      </c>
      <c r="D3286" s="2">
        <f>DATE(YEAR(OrdersTable[[#This Row],[Order Date]]),MONTH(OrdersTable[[#This Row],[Order Date]]),1)</f>
        <v>45809</v>
      </c>
      <c r="E3286">
        <f>MONTH(OrdersTable[[#This Row],[Order Date]])</f>
        <v>6</v>
      </c>
      <c r="F3286" t="s">
        <v>2816</v>
      </c>
      <c r="G3286" t="str">
        <f>IF(OrdersTable[[#This Row],[Order Date]]=_xlfn.MINIFS(Order_Date, Customer_ID, OrdersTable[[#This Row],[Customer ID]]), "New", "Repeat")</f>
        <v>Repeat</v>
      </c>
      <c r="H3286" t="s">
        <v>316</v>
      </c>
      <c r="I3286" t="str">
        <f>INDEX(State!B:B,MATCH(OrdersTable[[#This Row],[State]],State!A:A,0))</f>
        <v>KL</v>
      </c>
      <c r="J3286" t="str">
        <f>INDEX(State!C:C,MATCH(OrdersTable[[#This Row],[State Code]],State!B:B,0))</f>
        <v>South</v>
      </c>
      <c r="K3286" t="s">
        <v>338</v>
      </c>
      <c r="L3286" t="s">
        <v>65</v>
      </c>
      <c r="M3286" t="s">
        <v>92</v>
      </c>
      <c r="N3286" t="str">
        <f>INDEX(Products!B:B,MATCH(OrdersTable[[#This Row],[Product ID]],Products!A:A,0))</f>
        <v>Kolhapuri Sandals</v>
      </c>
      <c r="O3286" t="str">
        <f>INDEX(Products!C:C,MATCH(OrdersTable[[#This Row],[Product ID]],Products!A:A,0))</f>
        <v>Footwear</v>
      </c>
      <c r="P3286">
        <v>1</v>
      </c>
      <c r="Q3286" s="5">
        <v>999</v>
      </c>
      <c r="R3286" s="74">
        <v>0</v>
      </c>
      <c r="S3286" s="75">
        <f>OrdersTable[[#This Row],[Quantity]]*OrdersTable[[#This Row],[Unit Price]]</f>
        <v>999</v>
      </c>
      <c r="T3286" s="5">
        <f>OrdersTable[[#This Row],[Gross Sale]]*OrdersTable[[#This Row],[Discount_Clean2]]</f>
        <v>0</v>
      </c>
      <c r="U3286" s="5">
        <f>OrdersTable[[#This Row],[Gross Sale]]-OrdersTable[[#This Row],[Discount Amount]]</f>
        <v>999</v>
      </c>
      <c r="V3286" s="77">
        <f>INDEX(Products!E:E,MATCH(OrdersTable[[#This Row],[Product ID]],Products!A:A,0))</f>
        <v>400</v>
      </c>
      <c r="W3286" s="77">
        <f>OrdersTable[[#This Row],[Quantity]]*OrdersTable[[#This Row],[Unit Cost]]</f>
        <v>400</v>
      </c>
      <c r="X3286" s="77">
        <f>'Dropdown Lists'!$I$2*(1+OrdersTable[[#This Row],[Returned]])</f>
        <v>120</v>
      </c>
      <c r="Y3286" s="76">
        <f>OrdersTable[[#This Row],[Net Revenue]]-OrdersTable[[#This Row],[COGS]]-OrdersTable[[#This Row],[Shipping Cost]]</f>
        <v>479</v>
      </c>
      <c r="Z3286" s="78">
        <f>IFERROR(OrdersTable[[#This Row],[Profit]]/OrdersTable[[#This Row],[Net Revenue]],0)</f>
        <v>0.4794794794794795</v>
      </c>
      <c r="AA3286" t="s">
        <v>2522</v>
      </c>
      <c r="AB3286" s="79">
        <v>45836</v>
      </c>
      <c r="AC3286">
        <f>OrdersTable[[#This Row],[Delivery Date]]-OrdersTable[[#This Row],[Order Date]]</f>
        <v>6</v>
      </c>
      <c r="AD3286" t="str">
        <f>IF(OrdersTable[[#This Row],[Delivery Days]]&lt;=2, "Express (≤2d)", IF(OrdersTable[[#This Row],[Delivery Days]]&lt;=4, "Standard (3-4d)", "Delayed (5d+)"))</f>
        <v>Delayed (5d+)</v>
      </c>
      <c r="AE3286">
        <v>3</v>
      </c>
      <c r="AF3286">
        <v>1</v>
      </c>
    </row>
    <row r="3287" spans="1:32" ht="15" x14ac:dyDescent="0.35">
      <c r="A3287" t="s">
        <v>3301</v>
      </c>
      <c r="B3287" s="1">
        <v>45830</v>
      </c>
      <c r="C3287">
        <f>YEAR(OrdersTable[[#This Row],[Order Date]])</f>
        <v>2025</v>
      </c>
      <c r="D3287" s="2">
        <f>DATE(YEAR(OrdersTable[[#This Row],[Order Date]]),MONTH(OrdersTable[[#This Row],[Order Date]]),1)</f>
        <v>45809</v>
      </c>
      <c r="E3287">
        <f>MONTH(OrdersTable[[#This Row],[Order Date]])</f>
        <v>6</v>
      </c>
      <c r="F3287" t="s">
        <v>362</v>
      </c>
      <c r="G3287" t="str">
        <f>IF(OrdersTable[[#This Row],[Order Date]]=_xlfn.MINIFS(Order_Date, Customer_ID, OrdersTable[[#This Row],[Customer ID]]), "New", "Repeat")</f>
        <v>Repeat</v>
      </c>
      <c r="H3287" t="s">
        <v>59</v>
      </c>
      <c r="I3287" t="str">
        <f>INDEX(State!B:B,MATCH(OrdersTable[[#This Row],[State]],State!A:A,0))</f>
        <v>TN</v>
      </c>
      <c r="J3287" t="str">
        <f>INDEX(State!C:C,MATCH(OrdersTable[[#This Row],[State Code]],State!B:B,0))</f>
        <v>South</v>
      </c>
      <c r="K3287" t="s">
        <v>60</v>
      </c>
      <c r="L3287" t="s">
        <v>23</v>
      </c>
      <c r="M3287" t="s">
        <v>73</v>
      </c>
      <c r="N3287" t="str">
        <f>INDEX(Products!B:B,MATCH(OrdersTable[[#This Row],[Product ID]],Products!A:A,0))</f>
        <v>Hydrating Face Wash</v>
      </c>
      <c r="O3287" t="str">
        <f>INDEX(Products!C:C,MATCH(OrdersTable[[#This Row],[Product ID]],Products!A:A,0))</f>
        <v>Skincare</v>
      </c>
      <c r="P3287">
        <v>1</v>
      </c>
      <c r="Q3287" s="5">
        <v>299</v>
      </c>
      <c r="R3287" s="74">
        <v>0</v>
      </c>
      <c r="S3287" s="75">
        <f>OrdersTable[[#This Row],[Quantity]]*OrdersTable[[#This Row],[Unit Price]]</f>
        <v>299</v>
      </c>
      <c r="T3287" s="5">
        <f>OrdersTable[[#This Row],[Gross Sale]]*OrdersTable[[#This Row],[Discount_Clean2]]</f>
        <v>0</v>
      </c>
      <c r="U3287" s="5">
        <f>OrdersTable[[#This Row],[Gross Sale]]-OrdersTable[[#This Row],[Discount Amount]]</f>
        <v>299</v>
      </c>
      <c r="V3287" s="77">
        <f>INDEX(Products!E:E,MATCH(OrdersTable[[#This Row],[Product ID]],Products!A:A,0))</f>
        <v>90</v>
      </c>
      <c r="W3287" s="77">
        <f>OrdersTable[[#This Row],[Quantity]]*OrdersTable[[#This Row],[Unit Cost]]</f>
        <v>90</v>
      </c>
      <c r="X3287" s="77">
        <f>'Dropdown Lists'!$I$2*(1+OrdersTable[[#This Row],[Returned]])</f>
        <v>60</v>
      </c>
      <c r="Y3287" s="76">
        <f>OrdersTable[[#This Row],[Net Revenue]]-OrdersTable[[#This Row],[COGS]]-OrdersTable[[#This Row],[Shipping Cost]]</f>
        <v>149</v>
      </c>
      <c r="Z3287" s="78">
        <f>IFERROR(OrdersTable[[#This Row],[Profit]]/OrdersTable[[#This Row],[Net Revenue]],0)</f>
        <v>0.49832775919732442</v>
      </c>
      <c r="AA3287" t="s">
        <v>2522</v>
      </c>
      <c r="AB3287" s="79">
        <v>45833</v>
      </c>
      <c r="AC3287">
        <f>OrdersTable[[#This Row],[Delivery Date]]-OrdersTable[[#This Row],[Order Date]]</f>
        <v>3</v>
      </c>
      <c r="AD3287" t="str">
        <f>IF(OrdersTable[[#This Row],[Delivery Days]]&lt;=2, "Express (≤2d)", IF(OrdersTable[[#This Row],[Delivery Days]]&lt;=4, "Standard (3-4d)", "Delayed (5d+)"))</f>
        <v>Standard (3-4d)</v>
      </c>
      <c r="AE3287">
        <v>4</v>
      </c>
      <c r="AF3287">
        <v>0</v>
      </c>
    </row>
    <row r="3288" spans="1:32" ht="15" x14ac:dyDescent="0.35">
      <c r="A3288" t="s">
        <v>838</v>
      </c>
      <c r="B3288" s="1">
        <v>45830</v>
      </c>
      <c r="C3288">
        <f>YEAR(OrdersTable[[#This Row],[Order Date]])</f>
        <v>2025</v>
      </c>
      <c r="D3288" s="2">
        <f>DATE(YEAR(OrdersTable[[#This Row],[Order Date]]),MONTH(OrdersTable[[#This Row],[Order Date]]),1)</f>
        <v>45809</v>
      </c>
      <c r="E3288">
        <f>MONTH(OrdersTable[[#This Row],[Order Date]])</f>
        <v>6</v>
      </c>
      <c r="F3288" t="s">
        <v>839</v>
      </c>
      <c r="G3288" t="str">
        <f>IF(OrdersTable[[#This Row],[Order Date]]=_xlfn.MINIFS(Order_Date, Customer_ID, OrdersTable[[#This Row],[Customer ID]]), "New", "Repeat")</f>
        <v>New</v>
      </c>
      <c r="H3288" t="s">
        <v>59</v>
      </c>
      <c r="I3288" t="str">
        <f>INDEX(State!B:B,MATCH(OrdersTable[[#This Row],[State]],State!A:A,0))</f>
        <v>TN</v>
      </c>
      <c r="J3288" t="str">
        <f>INDEX(State!C:C,MATCH(OrdersTable[[#This Row],[State Code]],State!B:B,0))</f>
        <v>South</v>
      </c>
      <c r="K3288" t="s">
        <v>64</v>
      </c>
      <c r="L3288" t="s">
        <v>65</v>
      </c>
      <c r="M3288" t="s">
        <v>84</v>
      </c>
      <c r="N3288" t="str">
        <f>INDEX(Products!B:B,MATCH(OrdersTable[[#This Row],[Product ID]],Products!A:A,0))</f>
        <v>Cotton Bedsheet</v>
      </c>
      <c r="O3288" t="str">
        <f>INDEX(Products!C:C,MATCH(OrdersTable[[#This Row],[Product ID]],Products!A:A,0))</f>
        <v>Home &amp; Kitchen</v>
      </c>
      <c r="P3288">
        <v>1</v>
      </c>
      <c r="Q3288" s="5">
        <v>1299</v>
      </c>
      <c r="R3288" s="74">
        <v>0</v>
      </c>
      <c r="S3288" s="75">
        <f>OrdersTable[[#This Row],[Quantity]]*OrdersTable[[#This Row],[Unit Price]]</f>
        <v>1299</v>
      </c>
      <c r="T3288" s="5">
        <f>OrdersTable[[#This Row],[Gross Sale]]*OrdersTable[[#This Row],[Discount_Clean2]]</f>
        <v>0</v>
      </c>
      <c r="U3288" s="5">
        <f>OrdersTable[[#This Row],[Gross Sale]]-OrdersTable[[#This Row],[Discount Amount]]</f>
        <v>1299</v>
      </c>
      <c r="V3288" s="77">
        <f>INDEX(Products!E:E,MATCH(OrdersTable[[#This Row],[Product ID]],Products!A:A,0))</f>
        <v>585</v>
      </c>
      <c r="W3288" s="77">
        <f>OrdersTable[[#This Row],[Quantity]]*OrdersTable[[#This Row],[Unit Cost]]</f>
        <v>585</v>
      </c>
      <c r="X3288" s="77">
        <f>'Dropdown Lists'!$I$2*(1+OrdersTable[[#This Row],[Returned]])</f>
        <v>60</v>
      </c>
      <c r="Y3288" s="76">
        <f>OrdersTable[[#This Row],[Net Revenue]]-OrdersTable[[#This Row],[COGS]]-OrdersTable[[#This Row],[Shipping Cost]]</f>
        <v>654</v>
      </c>
      <c r="Z3288" s="78">
        <f>IFERROR(OrdersTable[[#This Row],[Profit]]/OrdersTable[[#This Row],[Net Revenue]],0)</f>
        <v>0.50346420323325636</v>
      </c>
      <c r="AA3288" t="s">
        <v>18</v>
      </c>
      <c r="AB3288" s="79">
        <v>45833</v>
      </c>
      <c r="AC3288">
        <f>OrdersTable[[#This Row],[Delivery Date]]-OrdersTable[[#This Row],[Order Date]]</f>
        <v>3</v>
      </c>
      <c r="AD3288" t="str">
        <f>IF(OrdersTable[[#This Row],[Delivery Days]]&lt;=2, "Express (≤2d)", IF(OrdersTable[[#This Row],[Delivery Days]]&lt;=4, "Standard (3-4d)", "Delayed (5d+)"))</f>
        <v>Standard (3-4d)</v>
      </c>
      <c r="AE3288">
        <v>4</v>
      </c>
      <c r="AF3288">
        <v>0</v>
      </c>
    </row>
    <row r="3289" spans="1:32" ht="15" x14ac:dyDescent="0.35">
      <c r="A3289" t="s">
        <v>3302</v>
      </c>
      <c r="B3289" s="1">
        <v>45830</v>
      </c>
      <c r="C3289">
        <f>YEAR(OrdersTable[[#This Row],[Order Date]])</f>
        <v>2025</v>
      </c>
      <c r="D3289" s="2">
        <f>DATE(YEAR(OrdersTable[[#This Row],[Order Date]]),MONTH(OrdersTable[[#This Row],[Order Date]]),1)</f>
        <v>45809</v>
      </c>
      <c r="E3289">
        <f>MONTH(OrdersTable[[#This Row],[Order Date]])</f>
        <v>6</v>
      </c>
      <c r="F3289" t="s">
        <v>3303</v>
      </c>
      <c r="G3289" t="str">
        <f>IF(OrdersTable[[#This Row],[Order Date]]=_xlfn.MINIFS(Order_Date, Customer_ID, OrdersTable[[#This Row],[Customer ID]]), "New", "Repeat")</f>
        <v>Repeat</v>
      </c>
      <c r="H3289" t="s">
        <v>59</v>
      </c>
      <c r="I3289" t="str">
        <f>INDEX(State!B:B,MATCH(OrdersTable[[#This Row],[State]],State!A:A,0))</f>
        <v>TN</v>
      </c>
      <c r="J3289" t="str">
        <f>INDEX(State!C:C,MATCH(OrdersTable[[#This Row],[State Code]],State!B:B,0))</f>
        <v>South</v>
      </c>
      <c r="K3289" t="s">
        <v>64</v>
      </c>
      <c r="L3289" t="s">
        <v>39</v>
      </c>
      <c r="M3289" t="s">
        <v>73</v>
      </c>
      <c r="N3289" t="str">
        <f>INDEX(Products!B:B,MATCH(OrdersTable[[#This Row],[Product ID]],Products!A:A,0))</f>
        <v>Hydrating Face Wash</v>
      </c>
      <c r="O3289" t="str">
        <f>INDEX(Products!C:C,MATCH(OrdersTable[[#This Row],[Product ID]],Products!A:A,0))</f>
        <v>Skincare</v>
      </c>
      <c r="P3289">
        <v>1</v>
      </c>
      <c r="Q3289" s="5">
        <v>299</v>
      </c>
      <c r="R3289" s="74">
        <v>0</v>
      </c>
      <c r="S3289" s="75">
        <f>OrdersTable[[#This Row],[Quantity]]*OrdersTable[[#This Row],[Unit Price]]</f>
        <v>299</v>
      </c>
      <c r="T3289" s="5">
        <f>OrdersTable[[#This Row],[Gross Sale]]*OrdersTable[[#This Row],[Discount_Clean2]]</f>
        <v>0</v>
      </c>
      <c r="U3289" s="5">
        <f>OrdersTable[[#This Row],[Gross Sale]]-OrdersTable[[#This Row],[Discount Amount]]</f>
        <v>299</v>
      </c>
      <c r="V3289" s="77">
        <f>INDEX(Products!E:E,MATCH(OrdersTable[[#This Row],[Product ID]],Products!A:A,0))</f>
        <v>90</v>
      </c>
      <c r="W3289" s="77">
        <f>OrdersTable[[#This Row],[Quantity]]*OrdersTable[[#This Row],[Unit Cost]]</f>
        <v>90</v>
      </c>
      <c r="X3289" s="77">
        <f>'Dropdown Lists'!$I$2*(1+OrdersTable[[#This Row],[Returned]])</f>
        <v>120</v>
      </c>
      <c r="Y3289" s="76">
        <f>OrdersTable[[#This Row],[Net Revenue]]-OrdersTable[[#This Row],[COGS]]-OrdersTable[[#This Row],[Shipping Cost]]</f>
        <v>89</v>
      </c>
      <c r="Z3289" s="78">
        <f>IFERROR(OrdersTable[[#This Row],[Profit]]/OrdersTable[[#This Row],[Net Revenue]],0)</f>
        <v>0.2976588628762542</v>
      </c>
      <c r="AA3289" t="s">
        <v>2522</v>
      </c>
      <c r="AB3289" s="79">
        <v>45834</v>
      </c>
      <c r="AC3289">
        <f>OrdersTable[[#This Row],[Delivery Date]]-OrdersTable[[#This Row],[Order Date]]</f>
        <v>4</v>
      </c>
      <c r="AD3289" t="str">
        <f>IF(OrdersTable[[#This Row],[Delivery Days]]&lt;=2, "Express (≤2d)", IF(OrdersTable[[#This Row],[Delivery Days]]&lt;=4, "Standard (3-4d)", "Delayed (5d+)"))</f>
        <v>Standard (3-4d)</v>
      </c>
      <c r="AE3289">
        <v>4</v>
      </c>
      <c r="AF3289">
        <v>1</v>
      </c>
    </row>
    <row r="3290" spans="1:32" ht="15" x14ac:dyDescent="0.35">
      <c r="A3290" t="s">
        <v>5714</v>
      </c>
      <c r="B3290" s="1">
        <v>45831</v>
      </c>
      <c r="C3290">
        <f>YEAR(OrdersTable[[#This Row],[Order Date]])</f>
        <v>2025</v>
      </c>
      <c r="D3290" s="2">
        <f>DATE(YEAR(OrdersTable[[#This Row],[Order Date]]),MONTH(OrdersTable[[#This Row],[Order Date]]),1)</f>
        <v>45809</v>
      </c>
      <c r="E3290">
        <f>MONTH(OrdersTable[[#This Row],[Order Date]])</f>
        <v>6</v>
      </c>
      <c r="F3290" t="s">
        <v>442</v>
      </c>
      <c r="G3290" t="str">
        <f>IF(OrdersTable[[#This Row],[Order Date]]=_xlfn.MINIFS(Order_Date, Customer_ID, OrdersTable[[#This Row],[Customer ID]]), "New", "Repeat")</f>
        <v>Repeat</v>
      </c>
      <c r="H3290" t="s">
        <v>54</v>
      </c>
      <c r="I3290" t="str">
        <f>INDEX(State!B:B,MATCH(OrdersTable[[#This Row],[State]],State!A:A,0))</f>
        <v>RJ</v>
      </c>
      <c r="J3290" t="str">
        <f>INDEX(State!C:C,MATCH(OrdersTable[[#This Row],[State Code]],State!B:B,0))</f>
        <v>North</v>
      </c>
      <c r="K3290" t="s">
        <v>227</v>
      </c>
      <c r="L3290" t="s">
        <v>23</v>
      </c>
      <c r="M3290" t="s">
        <v>73</v>
      </c>
      <c r="N3290" t="str">
        <f>INDEX(Products!B:B,MATCH(OrdersTable[[#This Row],[Product ID]],Products!A:A,0))</f>
        <v>Hydrating Face Wash</v>
      </c>
      <c r="O3290" t="str">
        <f>INDEX(Products!C:C,MATCH(OrdersTable[[#This Row],[Product ID]],Products!A:A,0))</f>
        <v>Skincare</v>
      </c>
      <c r="P3290">
        <v>2</v>
      </c>
      <c r="Q3290" s="5">
        <v>299</v>
      </c>
      <c r="R3290" s="74">
        <v>0.1</v>
      </c>
      <c r="S3290" s="75">
        <f>OrdersTable[[#This Row],[Quantity]]*OrdersTable[[#This Row],[Unit Price]]</f>
        <v>598</v>
      </c>
      <c r="T3290" s="5">
        <f>OrdersTable[[#This Row],[Gross Sale]]*OrdersTable[[#This Row],[Discount_Clean2]]</f>
        <v>59.800000000000004</v>
      </c>
      <c r="U3290" s="5">
        <f>OrdersTable[[#This Row],[Gross Sale]]-OrdersTable[[#This Row],[Discount Amount]]</f>
        <v>538.20000000000005</v>
      </c>
      <c r="V3290" s="77">
        <f>INDEX(Products!E:E,MATCH(OrdersTable[[#This Row],[Product ID]],Products!A:A,0))</f>
        <v>90</v>
      </c>
      <c r="W3290" s="77">
        <f>OrdersTable[[#This Row],[Quantity]]*OrdersTable[[#This Row],[Unit Cost]]</f>
        <v>180</v>
      </c>
      <c r="X3290" s="77">
        <f>'Dropdown Lists'!$I$2*(1+OrdersTable[[#This Row],[Returned]])</f>
        <v>60</v>
      </c>
      <c r="Y3290" s="76">
        <f>OrdersTable[[#This Row],[Net Revenue]]-OrdersTable[[#This Row],[COGS]]-OrdersTable[[#This Row],[Shipping Cost]]</f>
        <v>298.20000000000005</v>
      </c>
      <c r="Z3290" s="78">
        <f>IFERROR(OrdersTable[[#This Row],[Profit]]/OrdersTable[[#This Row],[Net Revenue]],0)</f>
        <v>0.55406911928651059</v>
      </c>
      <c r="AA3290" t="s">
        <v>18</v>
      </c>
      <c r="AB3290" s="79">
        <v>45835</v>
      </c>
      <c r="AC3290">
        <f>OrdersTable[[#This Row],[Delivery Date]]-OrdersTable[[#This Row],[Order Date]]</f>
        <v>4</v>
      </c>
      <c r="AD3290" t="str">
        <f>IF(OrdersTable[[#This Row],[Delivery Days]]&lt;=2, "Express (≤2d)", IF(OrdersTable[[#This Row],[Delivery Days]]&lt;=4, "Standard (3-4d)", "Delayed (5d+)"))</f>
        <v>Standard (3-4d)</v>
      </c>
      <c r="AE3290">
        <v>3</v>
      </c>
      <c r="AF3290">
        <v>0</v>
      </c>
    </row>
    <row r="3291" spans="1:32" ht="15" x14ac:dyDescent="0.35">
      <c r="A3291" t="s">
        <v>6176</v>
      </c>
      <c r="B3291" s="1">
        <v>45831</v>
      </c>
      <c r="C3291">
        <f>YEAR(OrdersTable[[#This Row],[Order Date]])</f>
        <v>2025</v>
      </c>
      <c r="D3291" s="2">
        <f>DATE(YEAR(OrdersTable[[#This Row],[Order Date]]),MONTH(OrdersTable[[#This Row],[Order Date]]),1)</f>
        <v>45809</v>
      </c>
      <c r="E3291">
        <f>MONTH(OrdersTable[[#This Row],[Order Date]])</f>
        <v>6</v>
      </c>
      <c r="F3291" t="s">
        <v>80</v>
      </c>
      <c r="G3291" t="str">
        <f>IF(OrdersTable[[#This Row],[Order Date]]=_xlfn.MINIFS(Order_Date, Customer_ID, OrdersTable[[#This Row],[Customer ID]]), "New", "Repeat")</f>
        <v>Repeat</v>
      </c>
      <c r="H3291" t="s">
        <v>123</v>
      </c>
      <c r="I3291" t="str">
        <f>INDEX(State!B:B,MATCH(OrdersTable[[#This Row],[State]],State!A:A,0))</f>
        <v>JH</v>
      </c>
      <c r="J3291" t="str">
        <f>INDEX(State!C:C,MATCH(OrdersTable[[#This Row],[State Code]],State!B:B,0))</f>
        <v>East</v>
      </c>
      <c r="K3291" t="s">
        <v>124</v>
      </c>
      <c r="L3291" t="s">
        <v>16</v>
      </c>
      <c r="M3291" t="s">
        <v>176</v>
      </c>
      <c r="N3291" t="str">
        <f>INDEX(Products!B:B,MATCH(OrdersTable[[#This Row],[Product ID]],Products!A:A,0))</f>
        <v>Denim Jacket</v>
      </c>
      <c r="O3291" t="str">
        <f>INDEX(Products!C:C,MATCH(OrdersTable[[#This Row],[Product ID]],Products!A:A,0))</f>
        <v>Apparel</v>
      </c>
      <c r="P3291">
        <v>2</v>
      </c>
      <c r="Q3291" s="5">
        <v>2499</v>
      </c>
      <c r="R3291" s="74">
        <v>0.1</v>
      </c>
      <c r="S3291" s="75">
        <f>OrdersTable[[#This Row],[Quantity]]*OrdersTable[[#This Row],[Unit Price]]</f>
        <v>4998</v>
      </c>
      <c r="T3291" s="5">
        <f>OrdersTable[[#This Row],[Gross Sale]]*OrdersTable[[#This Row],[Discount_Clean2]]</f>
        <v>499.8</v>
      </c>
      <c r="U3291" s="5">
        <f>OrdersTable[[#This Row],[Gross Sale]]-OrdersTable[[#This Row],[Discount Amount]]</f>
        <v>4498.2</v>
      </c>
      <c r="V3291" s="77">
        <f>INDEX(Products!E:E,MATCH(OrdersTable[[#This Row],[Product ID]],Products!A:A,0))</f>
        <v>1125</v>
      </c>
      <c r="W3291" s="77">
        <f>OrdersTable[[#This Row],[Quantity]]*OrdersTable[[#This Row],[Unit Cost]]</f>
        <v>2250</v>
      </c>
      <c r="X3291" s="77">
        <f>'Dropdown Lists'!$I$2*(1+OrdersTable[[#This Row],[Returned]])</f>
        <v>60</v>
      </c>
      <c r="Y3291" s="76">
        <f>OrdersTable[[#This Row],[Net Revenue]]-OrdersTable[[#This Row],[COGS]]-OrdersTable[[#This Row],[Shipping Cost]]</f>
        <v>2188.1999999999998</v>
      </c>
      <c r="Z3291" s="78">
        <f>IFERROR(OrdersTable[[#This Row],[Profit]]/OrdersTable[[#This Row],[Net Revenue]],0)</f>
        <v>0.48646125116713351</v>
      </c>
      <c r="AA3291" t="s">
        <v>18</v>
      </c>
      <c r="AB3291" s="79">
        <v>45834</v>
      </c>
      <c r="AC3291">
        <f>OrdersTable[[#This Row],[Delivery Date]]-OrdersTable[[#This Row],[Order Date]]</f>
        <v>3</v>
      </c>
      <c r="AD3291" t="str">
        <f>IF(OrdersTable[[#This Row],[Delivery Days]]&lt;=2, "Express (≤2d)", IF(OrdersTable[[#This Row],[Delivery Days]]&lt;=4, "Standard (3-4d)", "Delayed (5d+)"))</f>
        <v>Standard (3-4d)</v>
      </c>
      <c r="AE3291">
        <v>4</v>
      </c>
      <c r="AF3291">
        <v>0</v>
      </c>
    </row>
    <row r="3292" spans="1:32" ht="15" x14ac:dyDescent="0.35">
      <c r="A3292" t="s">
        <v>2634</v>
      </c>
      <c r="B3292" s="1">
        <v>45831</v>
      </c>
      <c r="C3292">
        <f>YEAR(OrdersTable[[#This Row],[Order Date]])</f>
        <v>2025</v>
      </c>
      <c r="D3292" s="2">
        <f>DATE(YEAR(OrdersTable[[#This Row],[Order Date]]),MONTH(OrdersTable[[#This Row],[Order Date]]),1)</f>
        <v>45809</v>
      </c>
      <c r="E3292">
        <f>MONTH(OrdersTable[[#This Row],[Order Date]])</f>
        <v>6</v>
      </c>
      <c r="F3292" t="s">
        <v>1429</v>
      </c>
      <c r="G3292" t="str">
        <f>IF(OrdersTable[[#This Row],[Order Date]]=_xlfn.MINIFS(Order_Date, Customer_ID, OrdersTable[[#This Row],[Customer ID]]), "New", "Repeat")</f>
        <v>New</v>
      </c>
      <c r="H3292" t="s">
        <v>71</v>
      </c>
      <c r="I3292" t="str">
        <f>INDEX(State!B:B,MATCH(OrdersTable[[#This Row],[State]],State!A:A,0))</f>
        <v>MH</v>
      </c>
      <c r="J3292" t="str">
        <f>INDEX(State!C:C,MATCH(OrdersTable[[#This Row],[State Code]],State!B:B,0))</f>
        <v>West</v>
      </c>
      <c r="K3292" t="s">
        <v>81</v>
      </c>
      <c r="L3292" t="s">
        <v>16</v>
      </c>
      <c r="M3292" t="s">
        <v>576</v>
      </c>
      <c r="N3292" t="str">
        <f>INDEX(Products!B:B,MATCH(OrdersTable[[#This Row],[Product ID]],Products!A:A,0))</f>
        <v>Printed Saree</v>
      </c>
      <c r="O3292" t="str">
        <f>INDEX(Products!C:C,MATCH(OrdersTable[[#This Row],[Product ID]],Products!A:A,0))</f>
        <v>Apparel</v>
      </c>
      <c r="P3292">
        <v>1</v>
      </c>
      <c r="Q3292" s="5">
        <v>1999</v>
      </c>
      <c r="R3292" s="74">
        <v>0.1</v>
      </c>
      <c r="S3292" s="75">
        <f>OrdersTable[[#This Row],[Quantity]]*OrdersTable[[#This Row],[Unit Price]]</f>
        <v>1999</v>
      </c>
      <c r="T3292" s="5">
        <f>OrdersTable[[#This Row],[Gross Sale]]*OrdersTable[[#This Row],[Discount_Clean2]]</f>
        <v>199.9</v>
      </c>
      <c r="U3292" s="5">
        <f>OrdersTable[[#This Row],[Gross Sale]]-OrdersTable[[#This Row],[Discount Amount]]</f>
        <v>1799.1</v>
      </c>
      <c r="V3292" s="77">
        <f>INDEX(Products!E:E,MATCH(OrdersTable[[#This Row],[Product ID]],Products!A:A,0))</f>
        <v>880</v>
      </c>
      <c r="W3292" s="77">
        <f>OrdersTable[[#This Row],[Quantity]]*OrdersTable[[#This Row],[Unit Cost]]</f>
        <v>880</v>
      </c>
      <c r="X3292" s="77">
        <f>'Dropdown Lists'!$I$2*(1+OrdersTable[[#This Row],[Returned]])</f>
        <v>120</v>
      </c>
      <c r="Y3292" s="76">
        <f>OrdersTable[[#This Row],[Net Revenue]]-OrdersTable[[#This Row],[COGS]]-OrdersTable[[#This Row],[Shipping Cost]]</f>
        <v>799.09999999999991</v>
      </c>
      <c r="Z3292" s="78">
        <f>IFERROR(OrdersTable[[#This Row],[Profit]]/OrdersTable[[#This Row],[Net Revenue]],0)</f>
        <v>0.44416652770829856</v>
      </c>
      <c r="AA3292" t="s">
        <v>2522</v>
      </c>
      <c r="AB3292" s="79">
        <v>45833</v>
      </c>
      <c r="AC3292">
        <f>OrdersTable[[#This Row],[Delivery Date]]-OrdersTable[[#This Row],[Order Date]]</f>
        <v>2</v>
      </c>
      <c r="AD3292" t="str">
        <f>IF(OrdersTable[[#This Row],[Delivery Days]]&lt;=2, "Express (≤2d)", IF(OrdersTable[[#This Row],[Delivery Days]]&lt;=4, "Standard (3-4d)", "Delayed (5d+)"))</f>
        <v>Express (≤2d)</v>
      </c>
      <c r="AE3292">
        <v>5</v>
      </c>
      <c r="AF3292">
        <v>1</v>
      </c>
    </row>
    <row r="3293" spans="1:32" ht="15" x14ac:dyDescent="0.35">
      <c r="A3293" t="s">
        <v>5715</v>
      </c>
      <c r="B3293" s="1">
        <v>45831</v>
      </c>
      <c r="C3293">
        <f>YEAR(OrdersTable[[#This Row],[Order Date]])</f>
        <v>2025</v>
      </c>
      <c r="D3293" s="2">
        <f>DATE(YEAR(OrdersTable[[#This Row],[Order Date]]),MONTH(OrdersTable[[#This Row],[Order Date]]),1)</f>
        <v>45809</v>
      </c>
      <c r="E3293">
        <f>MONTH(OrdersTable[[#This Row],[Order Date]])</f>
        <v>6</v>
      </c>
      <c r="F3293" t="s">
        <v>2000</v>
      </c>
      <c r="G3293" t="str">
        <f>IF(OrdersTable[[#This Row],[Order Date]]=_xlfn.MINIFS(Order_Date, Customer_ID, OrdersTable[[#This Row],[Customer ID]]), "New", "Repeat")</f>
        <v>Repeat</v>
      </c>
      <c r="H3293" t="s">
        <v>95</v>
      </c>
      <c r="I3293" t="str">
        <f>INDEX(State!B:B,MATCH(OrdersTable[[#This Row],[State]],State!A:A,0))</f>
        <v>TG</v>
      </c>
      <c r="J3293" t="str">
        <f>INDEX(State!C:C,MATCH(OrdersTable[[#This Row],[State Code]],State!B:B,0))</f>
        <v>South</v>
      </c>
      <c r="K3293" t="s">
        <v>96</v>
      </c>
      <c r="L3293" t="s">
        <v>39</v>
      </c>
      <c r="M3293" t="s">
        <v>73</v>
      </c>
      <c r="N3293" t="str">
        <f>INDEX(Products!B:B,MATCH(OrdersTable[[#This Row],[Product ID]],Products!A:A,0))</f>
        <v>Hydrating Face Wash</v>
      </c>
      <c r="O3293" t="str">
        <f>INDEX(Products!C:C,MATCH(OrdersTable[[#This Row],[Product ID]],Products!A:A,0))</f>
        <v>Skincare</v>
      </c>
      <c r="P3293">
        <v>2</v>
      </c>
      <c r="Q3293" s="5">
        <v>299</v>
      </c>
      <c r="R3293" s="74">
        <v>0.05</v>
      </c>
      <c r="S3293" s="75">
        <f>OrdersTable[[#This Row],[Quantity]]*OrdersTable[[#This Row],[Unit Price]]</f>
        <v>598</v>
      </c>
      <c r="T3293" s="5">
        <f>OrdersTable[[#This Row],[Gross Sale]]*OrdersTable[[#This Row],[Discount_Clean2]]</f>
        <v>29.900000000000002</v>
      </c>
      <c r="U3293" s="5">
        <f>OrdersTable[[#This Row],[Gross Sale]]-OrdersTable[[#This Row],[Discount Amount]]</f>
        <v>568.1</v>
      </c>
      <c r="V3293" s="77">
        <f>INDEX(Products!E:E,MATCH(OrdersTable[[#This Row],[Product ID]],Products!A:A,0))</f>
        <v>90</v>
      </c>
      <c r="W3293" s="77">
        <f>OrdersTable[[#This Row],[Quantity]]*OrdersTable[[#This Row],[Unit Cost]]</f>
        <v>180</v>
      </c>
      <c r="X3293" s="77">
        <f>'Dropdown Lists'!$I$2*(1+OrdersTable[[#This Row],[Returned]])</f>
        <v>60</v>
      </c>
      <c r="Y3293" s="76">
        <f>OrdersTable[[#This Row],[Net Revenue]]-OrdersTable[[#This Row],[COGS]]-OrdersTable[[#This Row],[Shipping Cost]]</f>
        <v>328.1</v>
      </c>
      <c r="Z3293" s="78">
        <f>IFERROR(OrdersTable[[#This Row],[Profit]]/OrdersTable[[#This Row],[Net Revenue]],0)</f>
        <v>0.57753916563985219</v>
      </c>
      <c r="AA3293" t="s">
        <v>18</v>
      </c>
      <c r="AB3293" s="79">
        <v>45834</v>
      </c>
      <c r="AC3293">
        <f>OrdersTable[[#This Row],[Delivery Date]]-OrdersTable[[#This Row],[Order Date]]</f>
        <v>3</v>
      </c>
      <c r="AD3293" t="str">
        <f>IF(OrdersTable[[#This Row],[Delivery Days]]&lt;=2, "Express (≤2d)", IF(OrdersTable[[#This Row],[Delivery Days]]&lt;=4, "Standard (3-4d)", "Delayed (5d+)"))</f>
        <v>Standard (3-4d)</v>
      </c>
      <c r="AE3293">
        <v>3</v>
      </c>
      <c r="AF3293">
        <v>0</v>
      </c>
    </row>
    <row r="3294" spans="1:32" ht="15" x14ac:dyDescent="0.35">
      <c r="A3294" t="s">
        <v>1570</v>
      </c>
      <c r="B3294" s="1">
        <v>45831</v>
      </c>
      <c r="C3294">
        <f>YEAR(OrdersTable[[#This Row],[Order Date]])</f>
        <v>2025</v>
      </c>
      <c r="D3294" s="2">
        <f>DATE(YEAR(OrdersTable[[#This Row],[Order Date]]),MONTH(OrdersTable[[#This Row],[Order Date]]),1)</f>
        <v>45809</v>
      </c>
      <c r="E3294">
        <f>MONTH(OrdersTable[[#This Row],[Order Date]])</f>
        <v>6</v>
      </c>
      <c r="F3294" t="s">
        <v>1571</v>
      </c>
      <c r="G3294" t="str">
        <f>IF(OrdersTable[[#This Row],[Order Date]]=_xlfn.MINIFS(Order_Date, Customer_ID, OrdersTable[[#This Row],[Customer ID]]), "New", "Repeat")</f>
        <v>Repeat</v>
      </c>
      <c r="H3294" t="s">
        <v>95</v>
      </c>
      <c r="I3294" t="str">
        <f>INDEX(State!B:B,MATCH(OrdersTable[[#This Row],[State]],State!A:A,0))</f>
        <v>TG</v>
      </c>
      <c r="J3294" t="str">
        <f>INDEX(State!C:C,MATCH(OrdersTable[[#This Row],[State Code]],State!B:B,0))</f>
        <v>South</v>
      </c>
      <c r="K3294" t="s">
        <v>96</v>
      </c>
      <c r="L3294" t="s">
        <v>39</v>
      </c>
      <c r="M3294" t="s">
        <v>61</v>
      </c>
      <c r="N3294" t="str">
        <f>INDEX(Products!B:B,MATCH(OrdersTable[[#This Row],[Product ID]],Products!A:A,0))</f>
        <v>Multivitamin Gummies</v>
      </c>
      <c r="O3294" t="str">
        <f>INDEX(Products!C:C,MATCH(OrdersTable[[#This Row],[Product ID]],Products!A:A,0))</f>
        <v>Wellness</v>
      </c>
      <c r="P3294">
        <v>1</v>
      </c>
      <c r="Q3294" s="5">
        <v>699</v>
      </c>
      <c r="R3294" s="74">
        <v>0.15</v>
      </c>
      <c r="S3294" s="75">
        <f>OrdersTable[[#This Row],[Quantity]]*OrdersTable[[#This Row],[Unit Price]]</f>
        <v>699</v>
      </c>
      <c r="T3294" s="5">
        <f>OrdersTable[[#This Row],[Gross Sale]]*OrdersTable[[#This Row],[Discount_Clean2]]</f>
        <v>104.85</v>
      </c>
      <c r="U3294" s="5">
        <f>OrdersTable[[#This Row],[Gross Sale]]-OrdersTable[[#This Row],[Discount Amount]]</f>
        <v>594.15</v>
      </c>
      <c r="V3294" s="77">
        <f>INDEX(Products!E:E,MATCH(OrdersTable[[#This Row],[Product ID]],Products!A:A,0))</f>
        <v>238</v>
      </c>
      <c r="W3294" s="77">
        <f>OrdersTable[[#This Row],[Quantity]]*OrdersTable[[#This Row],[Unit Cost]]</f>
        <v>238</v>
      </c>
      <c r="X3294" s="77">
        <f>'Dropdown Lists'!$I$2*(1+OrdersTable[[#This Row],[Returned]])</f>
        <v>60</v>
      </c>
      <c r="Y3294" s="76">
        <f>OrdersTable[[#This Row],[Net Revenue]]-OrdersTable[[#This Row],[COGS]]-OrdersTable[[#This Row],[Shipping Cost]]</f>
        <v>296.14999999999998</v>
      </c>
      <c r="Z3294" s="78">
        <f>IFERROR(OrdersTable[[#This Row],[Profit]]/OrdersTable[[#This Row],[Net Revenue]],0)</f>
        <v>0.49844315408566858</v>
      </c>
      <c r="AA3294" t="s">
        <v>18</v>
      </c>
      <c r="AB3294" s="79">
        <v>45835</v>
      </c>
      <c r="AC3294">
        <f>OrdersTable[[#This Row],[Delivery Date]]-OrdersTable[[#This Row],[Order Date]]</f>
        <v>4</v>
      </c>
      <c r="AD3294" t="str">
        <f>IF(OrdersTable[[#This Row],[Delivery Days]]&lt;=2, "Express (≤2d)", IF(OrdersTable[[#This Row],[Delivery Days]]&lt;=4, "Standard (3-4d)", "Delayed (5d+)"))</f>
        <v>Standard (3-4d)</v>
      </c>
      <c r="AF3294">
        <v>0</v>
      </c>
    </row>
    <row r="3295" spans="1:32" ht="15" x14ac:dyDescent="0.35">
      <c r="A3295" t="s">
        <v>6903</v>
      </c>
      <c r="B3295" s="1">
        <v>45831</v>
      </c>
      <c r="C3295">
        <f>YEAR(OrdersTable[[#This Row],[Order Date]])</f>
        <v>2025</v>
      </c>
      <c r="D3295" s="2">
        <f>DATE(YEAR(OrdersTable[[#This Row],[Order Date]]),MONTH(OrdersTable[[#This Row],[Order Date]]),1)</f>
        <v>45809</v>
      </c>
      <c r="E3295">
        <f>MONTH(OrdersTable[[#This Row],[Order Date]])</f>
        <v>6</v>
      </c>
      <c r="F3295" t="s">
        <v>6904</v>
      </c>
      <c r="G3295" t="str">
        <f>IF(OrdersTable[[#This Row],[Order Date]]=_xlfn.MINIFS(Order_Date, Customer_ID, OrdersTable[[#This Row],[Customer ID]]), "New", "Repeat")</f>
        <v>New</v>
      </c>
      <c r="H3295" t="s">
        <v>275</v>
      </c>
      <c r="I3295" t="str">
        <f>INDEX(State!B:B,MATCH(OrdersTable[[#This Row],[State]],State!A:A,0))</f>
        <v>AP</v>
      </c>
      <c r="J3295" t="str">
        <f>INDEX(State!C:C,MATCH(OrdersTable[[#This Row],[State Code]],State!B:B,0))</f>
        <v>South</v>
      </c>
      <c r="K3295" t="s">
        <v>276</v>
      </c>
      <c r="L3295" t="s">
        <v>65</v>
      </c>
      <c r="M3295" t="s">
        <v>576</v>
      </c>
      <c r="N3295" t="str">
        <f>INDEX(Products!B:B,MATCH(OrdersTable[[#This Row],[Product ID]],Products!A:A,0))</f>
        <v>Printed Saree</v>
      </c>
      <c r="O3295" t="str">
        <f>INDEX(Products!C:C,MATCH(OrdersTable[[#This Row],[Product ID]],Products!A:A,0))</f>
        <v>Apparel</v>
      </c>
      <c r="P3295">
        <v>3</v>
      </c>
      <c r="Q3295" s="5">
        <v>1999</v>
      </c>
      <c r="R3295" s="74">
        <v>0.05</v>
      </c>
      <c r="S3295" s="75">
        <f>OrdersTable[[#This Row],[Quantity]]*OrdersTable[[#This Row],[Unit Price]]</f>
        <v>5997</v>
      </c>
      <c r="T3295" s="5">
        <f>OrdersTable[[#This Row],[Gross Sale]]*OrdersTable[[#This Row],[Discount_Clean2]]</f>
        <v>299.85000000000002</v>
      </c>
      <c r="U3295" s="5">
        <f>OrdersTable[[#This Row],[Gross Sale]]-OrdersTable[[#This Row],[Discount Amount]]</f>
        <v>5697.15</v>
      </c>
      <c r="V3295" s="77">
        <f>INDEX(Products!E:E,MATCH(OrdersTable[[#This Row],[Product ID]],Products!A:A,0))</f>
        <v>880</v>
      </c>
      <c r="W3295" s="77">
        <f>OrdersTable[[#This Row],[Quantity]]*OrdersTable[[#This Row],[Unit Cost]]</f>
        <v>2640</v>
      </c>
      <c r="X3295" s="77">
        <f>'Dropdown Lists'!$I$2*(1+OrdersTable[[#This Row],[Returned]])</f>
        <v>60</v>
      </c>
      <c r="Y3295" s="76">
        <f>OrdersTable[[#This Row],[Net Revenue]]-OrdersTable[[#This Row],[COGS]]-OrdersTable[[#This Row],[Shipping Cost]]</f>
        <v>2997.1499999999996</v>
      </c>
      <c r="Z3295" s="78">
        <f>IFERROR(OrdersTable[[#This Row],[Profit]]/OrdersTable[[#This Row],[Net Revenue]],0)</f>
        <v>0.52607882888812829</v>
      </c>
      <c r="AA3295" t="s">
        <v>4074</v>
      </c>
      <c r="AB3295" s="79">
        <v>45836</v>
      </c>
      <c r="AC3295">
        <f>OrdersTable[[#This Row],[Delivery Date]]-OrdersTable[[#This Row],[Order Date]]</f>
        <v>5</v>
      </c>
      <c r="AD3295" t="str">
        <f>IF(OrdersTable[[#This Row],[Delivery Days]]&lt;=2, "Express (≤2d)", IF(OrdersTable[[#This Row],[Delivery Days]]&lt;=4, "Standard (3-4d)", "Delayed (5d+)"))</f>
        <v>Delayed (5d+)</v>
      </c>
      <c r="AE3295">
        <v>3</v>
      </c>
      <c r="AF3295">
        <v>0</v>
      </c>
    </row>
    <row r="3296" spans="1:32" ht="15" x14ac:dyDescent="0.35">
      <c r="A3296" t="s">
        <v>5823</v>
      </c>
      <c r="B3296" s="1">
        <v>45832</v>
      </c>
      <c r="C3296">
        <f>YEAR(OrdersTable[[#This Row],[Order Date]])</f>
        <v>2025</v>
      </c>
      <c r="D3296" s="2">
        <f>DATE(YEAR(OrdersTable[[#This Row],[Order Date]]),MONTH(OrdersTable[[#This Row],[Order Date]]),1)</f>
        <v>45809</v>
      </c>
      <c r="E3296">
        <f>MONTH(OrdersTable[[#This Row],[Order Date]])</f>
        <v>6</v>
      </c>
      <c r="F3296" t="s">
        <v>417</v>
      </c>
      <c r="G3296" t="str">
        <f>IF(OrdersTable[[#This Row],[Order Date]]=_xlfn.MINIFS(Order_Date, Customer_ID, OrdersTable[[#This Row],[Customer ID]]), "New", "Repeat")</f>
        <v>Repeat</v>
      </c>
      <c r="H3296" t="s">
        <v>128</v>
      </c>
      <c r="I3296" t="str">
        <f>INDEX(State!B:B,MATCH(OrdersTable[[#This Row],[State]],State!A:A,0))</f>
        <v>DL</v>
      </c>
      <c r="J3296" t="str">
        <f>INDEX(State!C:C,MATCH(OrdersTable[[#This Row],[State Code]],State!B:B,0))</f>
        <v>North</v>
      </c>
      <c r="K3296" t="s">
        <v>129</v>
      </c>
      <c r="L3296" t="s">
        <v>16</v>
      </c>
      <c r="M3296" t="s">
        <v>576</v>
      </c>
      <c r="N3296" t="str">
        <f>INDEX(Products!B:B,MATCH(OrdersTable[[#This Row],[Product ID]],Products!A:A,0))</f>
        <v>Printed Saree</v>
      </c>
      <c r="O3296" t="str">
        <f>INDEX(Products!C:C,MATCH(OrdersTable[[#This Row],[Product ID]],Products!A:A,0))</f>
        <v>Apparel</v>
      </c>
      <c r="P3296">
        <v>2</v>
      </c>
      <c r="Q3296" s="5">
        <v>1999</v>
      </c>
      <c r="R3296" s="74">
        <v>0.05</v>
      </c>
      <c r="S3296" s="75">
        <f>OrdersTable[[#This Row],[Quantity]]*OrdersTable[[#This Row],[Unit Price]]</f>
        <v>3998</v>
      </c>
      <c r="T3296" s="5">
        <f>OrdersTable[[#This Row],[Gross Sale]]*OrdersTable[[#This Row],[Discount_Clean2]]</f>
        <v>199.9</v>
      </c>
      <c r="U3296" s="5">
        <f>OrdersTable[[#This Row],[Gross Sale]]-OrdersTable[[#This Row],[Discount Amount]]</f>
        <v>3798.1</v>
      </c>
      <c r="V3296" s="77">
        <f>INDEX(Products!E:E,MATCH(OrdersTable[[#This Row],[Product ID]],Products!A:A,0))</f>
        <v>880</v>
      </c>
      <c r="W3296" s="77">
        <f>OrdersTable[[#This Row],[Quantity]]*OrdersTable[[#This Row],[Unit Cost]]</f>
        <v>1760</v>
      </c>
      <c r="X3296" s="77">
        <f>'Dropdown Lists'!$I$2*(1+OrdersTable[[#This Row],[Returned]])</f>
        <v>60</v>
      </c>
      <c r="Y3296" s="76">
        <f>OrdersTable[[#This Row],[Net Revenue]]-OrdersTable[[#This Row],[COGS]]-OrdersTable[[#This Row],[Shipping Cost]]</f>
        <v>1978.1</v>
      </c>
      <c r="Z3296" s="78">
        <f>IFERROR(OrdersTable[[#This Row],[Profit]]/OrdersTable[[#This Row],[Net Revenue]],0)</f>
        <v>0.52081303809799639</v>
      </c>
      <c r="AA3296" t="s">
        <v>18</v>
      </c>
      <c r="AB3296" s="79">
        <v>45834</v>
      </c>
      <c r="AC3296">
        <f>OrdersTable[[#This Row],[Delivery Date]]-OrdersTable[[#This Row],[Order Date]]</f>
        <v>2</v>
      </c>
      <c r="AD3296" t="str">
        <f>IF(OrdersTable[[#This Row],[Delivery Days]]&lt;=2, "Express (≤2d)", IF(OrdersTable[[#This Row],[Delivery Days]]&lt;=4, "Standard (3-4d)", "Delayed (5d+)"))</f>
        <v>Express (≤2d)</v>
      </c>
      <c r="AE3296">
        <v>5</v>
      </c>
      <c r="AF3296">
        <v>0</v>
      </c>
    </row>
    <row r="3297" spans="1:32" ht="15" x14ac:dyDescent="0.35">
      <c r="A3297" t="s">
        <v>1755</v>
      </c>
      <c r="B3297" s="1">
        <v>45832</v>
      </c>
      <c r="C3297">
        <f>YEAR(OrdersTable[[#This Row],[Order Date]])</f>
        <v>2025</v>
      </c>
      <c r="D3297" s="2">
        <f>DATE(YEAR(OrdersTable[[#This Row],[Order Date]]),MONTH(OrdersTable[[#This Row],[Order Date]]),1)</f>
        <v>45809</v>
      </c>
      <c r="E3297">
        <f>MONTH(OrdersTable[[#This Row],[Order Date]])</f>
        <v>6</v>
      </c>
      <c r="F3297" t="s">
        <v>802</v>
      </c>
      <c r="G3297" t="str">
        <f>IF(OrdersTable[[#This Row],[Order Date]]=_xlfn.MINIFS(Order_Date, Customer_ID, OrdersTable[[#This Row],[Customer ID]]), "New", "Repeat")</f>
        <v>Repeat</v>
      </c>
      <c r="H3297" t="s">
        <v>128</v>
      </c>
      <c r="I3297" t="str">
        <f>INDEX(State!B:B,MATCH(OrdersTable[[#This Row],[State]],State!A:A,0))</f>
        <v>DL</v>
      </c>
      <c r="J3297" t="str">
        <f>INDEX(State!C:C,MATCH(OrdersTable[[#This Row],[State Code]],State!B:B,0))</f>
        <v>North</v>
      </c>
      <c r="K3297" t="s">
        <v>129</v>
      </c>
      <c r="L3297" t="s">
        <v>65</v>
      </c>
      <c r="M3297" t="s">
        <v>51</v>
      </c>
      <c r="N3297" t="str">
        <f>INDEX(Products!B:B,MATCH(OrdersTable[[#This Row],[Product ID]],Products!A:A,0))</f>
        <v>Anti-Dandruff Conditioner</v>
      </c>
      <c r="O3297" t="str">
        <f>INDEX(Products!C:C,MATCH(OrdersTable[[#This Row],[Product ID]],Products!A:A,0))</f>
        <v>Haircare</v>
      </c>
      <c r="P3297">
        <v>1</v>
      </c>
      <c r="Q3297" s="5">
        <v>399</v>
      </c>
      <c r="R3297" s="74">
        <v>0.45</v>
      </c>
      <c r="S3297" s="75">
        <f>OrdersTable[[#This Row],[Quantity]]*OrdersTable[[#This Row],[Unit Price]]</f>
        <v>399</v>
      </c>
      <c r="T3297" s="5">
        <f>OrdersTable[[#This Row],[Gross Sale]]*OrdersTable[[#This Row],[Discount_Clean2]]</f>
        <v>179.55</v>
      </c>
      <c r="U3297" s="5">
        <f>OrdersTable[[#This Row],[Gross Sale]]-OrdersTable[[#This Row],[Discount Amount]]</f>
        <v>219.45</v>
      </c>
      <c r="V3297" s="77">
        <f>INDEX(Products!E:E,MATCH(OrdersTable[[#This Row],[Product ID]],Products!A:A,0))</f>
        <v>136</v>
      </c>
      <c r="W3297" s="77">
        <f>OrdersTable[[#This Row],[Quantity]]*OrdersTable[[#This Row],[Unit Cost]]</f>
        <v>136</v>
      </c>
      <c r="X3297" s="77">
        <f>'Dropdown Lists'!$I$2*(1+OrdersTable[[#This Row],[Returned]])</f>
        <v>60</v>
      </c>
      <c r="Y3297" s="76">
        <f>OrdersTable[[#This Row],[Net Revenue]]-OrdersTable[[#This Row],[COGS]]-OrdersTable[[#This Row],[Shipping Cost]]</f>
        <v>23.449999999999989</v>
      </c>
      <c r="Z3297" s="78">
        <f>IFERROR(OrdersTable[[#This Row],[Profit]]/OrdersTable[[#This Row],[Net Revenue]],0)</f>
        <v>0.10685805422647524</v>
      </c>
      <c r="AA3297" t="s">
        <v>18</v>
      </c>
      <c r="AB3297" s="79">
        <v>45833</v>
      </c>
      <c r="AC3297">
        <f>OrdersTable[[#This Row],[Delivery Date]]-OrdersTable[[#This Row],[Order Date]]</f>
        <v>1</v>
      </c>
      <c r="AD3297" t="str">
        <f>IF(OrdersTable[[#This Row],[Delivery Days]]&lt;=2, "Express (≤2d)", IF(OrdersTable[[#This Row],[Delivery Days]]&lt;=4, "Standard (3-4d)", "Delayed (5d+)"))</f>
        <v>Express (≤2d)</v>
      </c>
      <c r="AF3297">
        <v>0</v>
      </c>
    </row>
    <row r="3298" spans="1:32" ht="15" x14ac:dyDescent="0.35">
      <c r="A3298" t="s">
        <v>6376</v>
      </c>
      <c r="B3298" s="1">
        <v>45832</v>
      </c>
      <c r="C3298">
        <f>YEAR(OrdersTable[[#This Row],[Order Date]])</f>
        <v>2025</v>
      </c>
      <c r="D3298" s="2">
        <f>DATE(YEAR(OrdersTable[[#This Row],[Order Date]]),MONTH(OrdersTable[[#This Row],[Order Date]]),1)</f>
        <v>45809</v>
      </c>
      <c r="E3298">
        <f>MONTH(OrdersTable[[#This Row],[Order Date]])</f>
        <v>6</v>
      </c>
      <c r="F3298" t="s">
        <v>6377</v>
      </c>
      <c r="G3298" t="str">
        <f>IF(OrdersTable[[#This Row],[Order Date]]=_xlfn.MINIFS(Order_Date, Customer_ID, OrdersTable[[#This Row],[Customer ID]]), "New", "Repeat")</f>
        <v>New</v>
      </c>
      <c r="H3298" t="s">
        <v>128</v>
      </c>
      <c r="I3298" t="str">
        <f>INDEX(State!B:B,MATCH(OrdersTable[[#This Row],[State]],State!A:A,0))</f>
        <v>DL</v>
      </c>
      <c r="J3298" t="str">
        <f>INDEX(State!C:C,MATCH(OrdersTable[[#This Row],[State Code]],State!B:B,0))</f>
        <v>North</v>
      </c>
      <c r="K3298" t="s">
        <v>129</v>
      </c>
      <c r="L3298" t="s">
        <v>23</v>
      </c>
      <c r="M3298" t="s">
        <v>152</v>
      </c>
      <c r="N3298" t="str">
        <f>INDEX(Products!B:B,MATCH(OrdersTable[[#This Row],[Product ID]],Products!A:A,0))</f>
        <v>Green Tea (100 bags)</v>
      </c>
      <c r="O3298" t="str">
        <f>INDEX(Products!C:C,MATCH(OrdersTable[[#This Row],[Product ID]],Products!A:A,0))</f>
        <v>Wellness</v>
      </c>
      <c r="P3298">
        <v>2</v>
      </c>
      <c r="Q3298" s="5">
        <v>399</v>
      </c>
      <c r="R3298" s="74">
        <v>0.35</v>
      </c>
      <c r="S3298" s="75">
        <f>OrdersTable[[#This Row],[Quantity]]*OrdersTable[[#This Row],[Unit Price]]</f>
        <v>798</v>
      </c>
      <c r="T3298" s="5">
        <f>OrdersTable[[#This Row],[Gross Sale]]*OrdersTable[[#This Row],[Discount_Clean2]]</f>
        <v>279.29999999999995</v>
      </c>
      <c r="U3298" s="5">
        <f>OrdersTable[[#This Row],[Gross Sale]]-OrdersTable[[#This Row],[Discount Amount]]</f>
        <v>518.70000000000005</v>
      </c>
      <c r="V3298" s="77">
        <f>INDEX(Products!E:E,MATCH(OrdersTable[[#This Row],[Product ID]],Products!A:A,0))</f>
        <v>128</v>
      </c>
      <c r="W3298" s="77">
        <f>OrdersTable[[#This Row],[Quantity]]*OrdersTable[[#This Row],[Unit Cost]]</f>
        <v>256</v>
      </c>
      <c r="X3298" s="77">
        <f>'Dropdown Lists'!$I$2*(1+OrdersTable[[#This Row],[Returned]])</f>
        <v>60</v>
      </c>
      <c r="Y3298" s="76">
        <f>OrdersTable[[#This Row],[Net Revenue]]-OrdersTable[[#This Row],[COGS]]-OrdersTable[[#This Row],[Shipping Cost]]</f>
        <v>202.70000000000005</v>
      </c>
      <c r="Z3298" s="78">
        <f>IFERROR(OrdersTable[[#This Row],[Profit]]/OrdersTable[[#This Row],[Net Revenue]],0)</f>
        <v>0.39078465394254874</v>
      </c>
      <c r="AA3298" t="s">
        <v>18</v>
      </c>
      <c r="AB3298" s="79">
        <v>45833</v>
      </c>
      <c r="AC3298">
        <f>OrdersTable[[#This Row],[Delivery Date]]-OrdersTable[[#This Row],[Order Date]]</f>
        <v>1</v>
      </c>
      <c r="AD3298" t="str">
        <f>IF(OrdersTable[[#This Row],[Delivery Days]]&lt;=2, "Express (≤2d)", IF(OrdersTable[[#This Row],[Delivery Days]]&lt;=4, "Standard (3-4d)", "Delayed (5d+)"))</f>
        <v>Express (≤2d)</v>
      </c>
      <c r="AE3298">
        <v>4</v>
      </c>
      <c r="AF3298">
        <v>0</v>
      </c>
    </row>
    <row r="3299" spans="1:32" ht="15" x14ac:dyDescent="0.35">
      <c r="A3299" t="s">
        <v>1096</v>
      </c>
      <c r="B3299" s="1">
        <v>45832</v>
      </c>
      <c r="C3299">
        <f>YEAR(OrdersTable[[#This Row],[Order Date]])</f>
        <v>2025</v>
      </c>
      <c r="D3299" s="2">
        <f>DATE(YEAR(OrdersTable[[#This Row],[Order Date]]),MONTH(OrdersTable[[#This Row],[Order Date]]),1)</f>
        <v>45809</v>
      </c>
      <c r="E3299">
        <f>MONTH(OrdersTable[[#This Row],[Order Date]])</f>
        <v>6</v>
      </c>
      <c r="F3299" t="s">
        <v>1097</v>
      </c>
      <c r="G3299" t="str">
        <f>IF(OrdersTable[[#This Row],[Order Date]]=_xlfn.MINIFS(Order_Date, Customer_ID, OrdersTable[[#This Row],[Customer ID]]), "New", "Repeat")</f>
        <v>New</v>
      </c>
      <c r="H3299" t="s">
        <v>76</v>
      </c>
      <c r="I3299" t="str">
        <f>INDEX(State!B:B,MATCH(OrdersTable[[#This Row],[State]],State!A:A,0))</f>
        <v>UP</v>
      </c>
      <c r="J3299" t="str">
        <f>INDEX(State!C:C,MATCH(OrdersTable[[#This Row],[State Code]],State!B:B,0))</f>
        <v>North</v>
      </c>
      <c r="K3299" t="s">
        <v>118</v>
      </c>
      <c r="L3299" t="s">
        <v>23</v>
      </c>
      <c r="M3299" t="s">
        <v>78</v>
      </c>
      <c r="N3299" t="str">
        <f>INDEX(Products!B:B,MATCH(OrdersTable[[#This Row],[Product ID]],Products!A:A,0))</f>
        <v>Retinol Night Cream</v>
      </c>
      <c r="O3299" t="str">
        <f>INDEX(Products!C:C,MATCH(OrdersTable[[#This Row],[Product ID]],Products!A:A,0))</f>
        <v>Skincare</v>
      </c>
      <c r="P3299">
        <v>1</v>
      </c>
      <c r="Q3299" s="5">
        <v>799</v>
      </c>
      <c r="R3299" s="74">
        <v>0.05</v>
      </c>
      <c r="S3299" s="75">
        <f>OrdersTable[[#This Row],[Quantity]]*OrdersTable[[#This Row],[Unit Price]]</f>
        <v>799</v>
      </c>
      <c r="T3299" s="5">
        <f>OrdersTable[[#This Row],[Gross Sale]]*OrdersTable[[#This Row],[Discount_Clean2]]</f>
        <v>39.950000000000003</v>
      </c>
      <c r="U3299" s="5">
        <f>OrdersTable[[#This Row],[Gross Sale]]-OrdersTable[[#This Row],[Discount Amount]]</f>
        <v>759.05</v>
      </c>
      <c r="V3299" s="77">
        <f>INDEX(Products!E:E,MATCH(OrdersTable[[#This Row],[Product ID]],Products!A:A,0))</f>
        <v>216</v>
      </c>
      <c r="W3299" s="77">
        <f>OrdersTable[[#This Row],[Quantity]]*OrdersTable[[#This Row],[Unit Cost]]</f>
        <v>216</v>
      </c>
      <c r="X3299" s="77">
        <f>'Dropdown Lists'!$I$2*(1+OrdersTable[[#This Row],[Returned]])</f>
        <v>120</v>
      </c>
      <c r="Y3299" s="76">
        <f>OrdersTable[[#This Row],[Net Revenue]]-OrdersTable[[#This Row],[COGS]]-OrdersTable[[#This Row],[Shipping Cost]]</f>
        <v>423.04999999999995</v>
      </c>
      <c r="Z3299" s="78">
        <f>IFERROR(OrdersTable[[#This Row],[Profit]]/OrdersTable[[#This Row],[Net Revenue]],0)</f>
        <v>0.5573414136091166</v>
      </c>
      <c r="AA3299" t="s">
        <v>18</v>
      </c>
      <c r="AB3299" s="79">
        <v>45836</v>
      </c>
      <c r="AC3299">
        <f>OrdersTable[[#This Row],[Delivery Date]]-OrdersTable[[#This Row],[Order Date]]</f>
        <v>4</v>
      </c>
      <c r="AD3299" t="str">
        <f>IF(OrdersTable[[#This Row],[Delivery Days]]&lt;=2, "Express (≤2d)", IF(OrdersTable[[#This Row],[Delivery Days]]&lt;=4, "Standard (3-4d)", "Delayed (5d+)"))</f>
        <v>Standard (3-4d)</v>
      </c>
      <c r="AE3299">
        <v>4</v>
      </c>
      <c r="AF3299">
        <v>1</v>
      </c>
    </row>
    <row r="3300" spans="1:32" ht="15" x14ac:dyDescent="0.35">
      <c r="A3300" t="s">
        <v>5007</v>
      </c>
      <c r="B3300" s="1">
        <v>45832</v>
      </c>
      <c r="C3300">
        <f>YEAR(OrdersTable[[#This Row],[Order Date]])</f>
        <v>2025</v>
      </c>
      <c r="D3300" s="2">
        <f>DATE(YEAR(OrdersTable[[#This Row],[Order Date]]),MONTH(OrdersTable[[#This Row],[Order Date]]),1)</f>
        <v>45809</v>
      </c>
      <c r="E3300">
        <f>MONTH(OrdersTable[[#This Row],[Order Date]])</f>
        <v>6</v>
      </c>
      <c r="F3300" t="s">
        <v>4402</v>
      </c>
      <c r="G3300" t="str">
        <f>IF(OrdersTable[[#This Row],[Order Date]]=_xlfn.MINIFS(Order_Date, Customer_ID, OrdersTable[[#This Row],[Customer ID]]), "New", "Repeat")</f>
        <v>Repeat</v>
      </c>
      <c r="H3300" t="s">
        <v>43</v>
      </c>
      <c r="I3300" t="str">
        <f>INDEX(State!B:B,MATCH(OrdersTable[[#This Row],[State]],State!A:A,0))</f>
        <v>MP</v>
      </c>
      <c r="J3300" t="str">
        <f>INDEX(State!C:C,MATCH(OrdersTable[[#This Row],[State Code]],State!B:B,0))</f>
        <v>West</v>
      </c>
      <c r="K3300" t="s">
        <v>44</v>
      </c>
      <c r="L3300" t="s">
        <v>16</v>
      </c>
      <c r="M3300" t="s">
        <v>255</v>
      </c>
      <c r="N3300" t="str">
        <f>INDEX(Products!B:B,MATCH(OrdersTable[[#This Row],[Product ID]],Products!A:A,0))</f>
        <v>Cotton Oversized T-Shirt</v>
      </c>
      <c r="O3300" t="str">
        <f>INDEX(Products!C:C,MATCH(OrdersTable[[#This Row],[Product ID]],Products!A:A,0))</f>
        <v>Apparel</v>
      </c>
      <c r="P3300">
        <v>2</v>
      </c>
      <c r="Q3300" s="5">
        <v>799</v>
      </c>
      <c r="R3300" s="74">
        <v>0.1</v>
      </c>
      <c r="S3300" s="75">
        <f>OrdersTable[[#This Row],[Quantity]]*OrdersTable[[#This Row],[Unit Price]]</f>
        <v>1598</v>
      </c>
      <c r="T3300" s="5">
        <f>OrdersTable[[#This Row],[Gross Sale]]*OrdersTable[[#This Row],[Discount_Clean2]]</f>
        <v>159.80000000000001</v>
      </c>
      <c r="U3300" s="5">
        <f>OrdersTable[[#This Row],[Gross Sale]]-OrdersTable[[#This Row],[Discount Amount]]</f>
        <v>1438.2</v>
      </c>
      <c r="V3300" s="77">
        <f>INDEX(Products!E:E,MATCH(OrdersTable[[#This Row],[Product ID]],Products!A:A,0))</f>
        <v>320</v>
      </c>
      <c r="W3300" s="77">
        <f>OrdersTable[[#This Row],[Quantity]]*OrdersTable[[#This Row],[Unit Cost]]</f>
        <v>640</v>
      </c>
      <c r="X3300" s="77">
        <f>'Dropdown Lists'!$I$2*(1+OrdersTable[[#This Row],[Returned]])</f>
        <v>120</v>
      </c>
      <c r="Y3300" s="76">
        <f>OrdersTable[[#This Row],[Net Revenue]]-OrdersTable[[#This Row],[COGS]]-OrdersTable[[#This Row],[Shipping Cost]]</f>
        <v>678.2</v>
      </c>
      <c r="Z3300" s="78">
        <f>IFERROR(OrdersTable[[#This Row],[Profit]]/OrdersTable[[#This Row],[Net Revenue]],0)</f>
        <v>0.47156167431511614</v>
      </c>
      <c r="AA3300" t="s">
        <v>4074</v>
      </c>
      <c r="AB3300" s="79">
        <v>45836</v>
      </c>
      <c r="AC3300">
        <f>OrdersTable[[#This Row],[Delivery Date]]-OrdersTable[[#This Row],[Order Date]]</f>
        <v>4</v>
      </c>
      <c r="AD3300" t="str">
        <f>IF(OrdersTable[[#This Row],[Delivery Days]]&lt;=2, "Express (≤2d)", IF(OrdersTable[[#This Row],[Delivery Days]]&lt;=4, "Standard (3-4d)", "Delayed (5d+)"))</f>
        <v>Standard (3-4d)</v>
      </c>
      <c r="AF3300">
        <v>1</v>
      </c>
    </row>
    <row r="3301" spans="1:32" ht="15" x14ac:dyDescent="0.35">
      <c r="A3301" t="s">
        <v>5204</v>
      </c>
      <c r="B3301" s="1">
        <v>45832</v>
      </c>
      <c r="C3301">
        <f>YEAR(OrdersTable[[#This Row],[Order Date]])</f>
        <v>2025</v>
      </c>
      <c r="D3301" s="2">
        <f>DATE(YEAR(OrdersTable[[#This Row],[Order Date]]),MONTH(OrdersTable[[#This Row],[Order Date]]),1)</f>
        <v>45809</v>
      </c>
      <c r="E3301">
        <f>MONTH(OrdersTable[[#This Row],[Order Date]])</f>
        <v>6</v>
      </c>
      <c r="F3301" t="s">
        <v>292</v>
      </c>
      <c r="G3301" t="str">
        <f>IF(OrdersTable[[#This Row],[Order Date]]=_xlfn.MINIFS(Order_Date, Customer_ID, OrdersTable[[#This Row],[Customer ID]]), "New", "Repeat")</f>
        <v>Repeat</v>
      </c>
      <c r="H3301" t="s">
        <v>71</v>
      </c>
      <c r="I3301" t="str">
        <f>INDEX(State!B:B,MATCH(OrdersTable[[#This Row],[State]],State!A:A,0))</f>
        <v>MH</v>
      </c>
      <c r="J3301" t="str">
        <f>INDEX(State!C:C,MATCH(OrdersTable[[#This Row],[State Code]],State!B:B,0))</f>
        <v>West</v>
      </c>
      <c r="K3301" t="s">
        <v>102</v>
      </c>
      <c r="L3301" t="s">
        <v>65</v>
      </c>
      <c r="M3301" t="s">
        <v>73</v>
      </c>
      <c r="N3301" t="str">
        <f>INDEX(Products!B:B,MATCH(OrdersTable[[#This Row],[Product ID]],Products!A:A,0))</f>
        <v>Hydrating Face Wash</v>
      </c>
      <c r="O3301" t="str">
        <f>INDEX(Products!C:C,MATCH(OrdersTable[[#This Row],[Product ID]],Products!A:A,0))</f>
        <v>Skincare</v>
      </c>
      <c r="P3301">
        <v>2</v>
      </c>
      <c r="Q3301" s="5">
        <v>299</v>
      </c>
      <c r="R3301" s="74">
        <v>0</v>
      </c>
      <c r="S3301" s="75">
        <f>OrdersTable[[#This Row],[Quantity]]*OrdersTable[[#This Row],[Unit Price]]</f>
        <v>598</v>
      </c>
      <c r="T3301" s="5">
        <f>OrdersTable[[#This Row],[Gross Sale]]*OrdersTable[[#This Row],[Discount_Clean2]]</f>
        <v>0</v>
      </c>
      <c r="U3301" s="5">
        <f>OrdersTable[[#This Row],[Gross Sale]]-OrdersTable[[#This Row],[Discount Amount]]</f>
        <v>598</v>
      </c>
      <c r="V3301" s="77">
        <f>INDEX(Products!E:E,MATCH(OrdersTable[[#This Row],[Product ID]],Products!A:A,0))</f>
        <v>90</v>
      </c>
      <c r="W3301" s="77">
        <f>OrdersTable[[#This Row],[Quantity]]*OrdersTable[[#This Row],[Unit Cost]]</f>
        <v>180</v>
      </c>
      <c r="X3301" s="77">
        <f>'Dropdown Lists'!$I$2*(1+OrdersTable[[#This Row],[Returned]])</f>
        <v>60</v>
      </c>
      <c r="Y3301" s="76">
        <f>OrdersTable[[#This Row],[Net Revenue]]-OrdersTable[[#This Row],[COGS]]-OrdersTable[[#This Row],[Shipping Cost]]</f>
        <v>358</v>
      </c>
      <c r="Z3301" s="78">
        <f>IFERROR(OrdersTable[[#This Row],[Profit]]/OrdersTable[[#This Row],[Net Revenue]],0)</f>
        <v>0.59866220735785958</v>
      </c>
      <c r="AA3301" t="s">
        <v>3495</v>
      </c>
      <c r="AB3301" s="79">
        <v>45833</v>
      </c>
      <c r="AC3301">
        <f>OrdersTable[[#This Row],[Delivery Date]]-OrdersTable[[#This Row],[Order Date]]</f>
        <v>1</v>
      </c>
      <c r="AD3301" t="str">
        <f>IF(OrdersTable[[#This Row],[Delivery Days]]&lt;=2, "Express (≤2d)", IF(OrdersTable[[#This Row],[Delivery Days]]&lt;=4, "Standard (3-4d)", "Delayed (5d+)"))</f>
        <v>Express (≤2d)</v>
      </c>
      <c r="AE3301">
        <v>5</v>
      </c>
      <c r="AF3301">
        <v>0</v>
      </c>
    </row>
    <row r="3302" spans="1:32" ht="15" x14ac:dyDescent="0.35">
      <c r="A3302" t="s">
        <v>6602</v>
      </c>
      <c r="B3302" s="1">
        <v>45832</v>
      </c>
      <c r="C3302">
        <f>YEAR(OrdersTable[[#This Row],[Order Date]])</f>
        <v>2025</v>
      </c>
      <c r="D3302" s="2">
        <f>DATE(YEAR(OrdersTable[[#This Row],[Order Date]]),MONTH(OrdersTable[[#This Row],[Order Date]]),1)</f>
        <v>45809</v>
      </c>
      <c r="E3302">
        <f>MONTH(OrdersTable[[#This Row],[Order Date]])</f>
        <v>6</v>
      </c>
      <c r="F3302" t="s">
        <v>4087</v>
      </c>
      <c r="G3302" t="str">
        <f>IF(OrdersTable[[#This Row],[Order Date]]=_xlfn.MINIFS(Order_Date, Customer_ID, OrdersTable[[#This Row],[Customer ID]]), "New", "Repeat")</f>
        <v>Repeat</v>
      </c>
      <c r="H3302" t="s">
        <v>275</v>
      </c>
      <c r="I3302" t="str">
        <f>INDEX(State!B:B,MATCH(OrdersTable[[#This Row],[State]],State!A:A,0))</f>
        <v>AP</v>
      </c>
      <c r="J3302" t="str">
        <f>INDEX(State!C:C,MATCH(OrdersTable[[#This Row],[State Code]],State!B:B,0))</f>
        <v>South</v>
      </c>
      <c r="K3302" t="s">
        <v>491</v>
      </c>
      <c r="L3302" t="s">
        <v>39</v>
      </c>
      <c r="M3302" t="s">
        <v>152</v>
      </c>
      <c r="N3302" t="str">
        <f>INDEX(Products!B:B,MATCH(OrdersTable[[#This Row],[Product ID]],Products!A:A,0))</f>
        <v>Green Tea (100 bags)</v>
      </c>
      <c r="O3302" t="str">
        <f>INDEX(Products!C:C,MATCH(OrdersTable[[#This Row],[Product ID]],Products!A:A,0))</f>
        <v>Wellness</v>
      </c>
      <c r="P3302">
        <v>3</v>
      </c>
      <c r="Q3302" s="5">
        <v>399</v>
      </c>
      <c r="R3302" s="74">
        <v>0.4</v>
      </c>
      <c r="S3302" s="75">
        <f>OrdersTable[[#This Row],[Quantity]]*OrdersTable[[#This Row],[Unit Price]]</f>
        <v>1197</v>
      </c>
      <c r="T3302" s="5">
        <f>OrdersTable[[#This Row],[Gross Sale]]*OrdersTable[[#This Row],[Discount_Clean2]]</f>
        <v>478.8</v>
      </c>
      <c r="U3302" s="5">
        <f>OrdersTable[[#This Row],[Gross Sale]]-OrdersTable[[#This Row],[Discount Amount]]</f>
        <v>718.2</v>
      </c>
      <c r="V3302" s="77">
        <f>INDEX(Products!E:E,MATCH(OrdersTable[[#This Row],[Product ID]],Products!A:A,0))</f>
        <v>128</v>
      </c>
      <c r="W3302" s="77">
        <f>OrdersTable[[#This Row],[Quantity]]*OrdersTable[[#This Row],[Unit Cost]]</f>
        <v>384</v>
      </c>
      <c r="X3302" s="77">
        <f>'Dropdown Lists'!$I$2*(1+OrdersTable[[#This Row],[Returned]])</f>
        <v>60</v>
      </c>
      <c r="Y3302" s="76">
        <f>OrdersTable[[#This Row],[Net Revenue]]-OrdersTable[[#This Row],[COGS]]-OrdersTable[[#This Row],[Shipping Cost]]</f>
        <v>274.20000000000005</v>
      </c>
      <c r="Z3302" s="78">
        <f>IFERROR(OrdersTable[[#This Row],[Profit]]/OrdersTable[[#This Row],[Net Revenue]],0)</f>
        <v>0.38178780284043445</v>
      </c>
      <c r="AA3302" t="s">
        <v>18</v>
      </c>
      <c r="AB3302" s="79">
        <v>45835</v>
      </c>
      <c r="AC3302">
        <f>OrdersTable[[#This Row],[Delivery Date]]-OrdersTable[[#This Row],[Order Date]]</f>
        <v>3</v>
      </c>
      <c r="AD3302" t="str">
        <f>IF(OrdersTable[[#This Row],[Delivery Days]]&lt;=2, "Express (≤2d)", IF(OrdersTable[[#This Row],[Delivery Days]]&lt;=4, "Standard (3-4d)", "Delayed (5d+)"))</f>
        <v>Standard (3-4d)</v>
      </c>
      <c r="AE3302">
        <v>3</v>
      </c>
      <c r="AF3302">
        <v>0</v>
      </c>
    </row>
    <row r="3303" spans="1:32" ht="15" x14ac:dyDescent="0.35">
      <c r="A3303" t="s">
        <v>2158</v>
      </c>
      <c r="B3303" s="1">
        <v>45832</v>
      </c>
      <c r="C3303">
        <f>YEAR(OrdersTable[[#This Row],[Order Date]])</f>
        <v>2025</v>
      </c>
      <c r="D3303" s="2">
        <f>DATE(YEAR(OrdersTable[[#This Row],[Order Date]]),MONTH(OrdersTable[[#This Row],[Order Date]]),1)</f>
        <v>45809</v>
      </c>
      <c r="E3303">
        <f>MONTH(OrdersTable[[#This Row],[Order Date]])</f>
        <v>6</v>
      </c>
      <c r="F3303" t="s">
        <v>1963</v>
      </c>
      <c r="G3303" t="str">
        <f>IF(OrdersTable[[#This Row],[Order Date]]=_xlfn.MINIFS(Order_Date, Customer_ID, OrdersTable[[#This Row],[Customer ID]]), "New", "Repeat")</f>
        <v>Repeat</v>
      </c>
      <c r="H3303" t="s">
        <v>59</v>
      </c>
      <c r="I3303" t="str">
        <f>INDEX(State!B:B,MATCH(OrdersTable[[#This Row],[State]],State!A:A,0))</f>
        <v>TN</v>
      </c>
      <c r="J3303" t="str">
        <f>INDEX(State!C:C,MATCH(OrdersTable[[#This Row],[State Code]],State!B:B,0))</f>
        <v>South</v>
      </c>
      <c r="K3303" t="s">
        <v>60</v>
      </c>
      <c r="L3303" t="s">
        <v>39</v>
      </c>
      <c r="M3303" t="s">
        <v>152</v>
      </c>
      <c r="N3303" t="str">
        <f>INDEX(Products!B:B,MATCH(OrdersTable[[#This Row],[Product ID]],Products!A:A,0))</f>
        <v>Green Tea (100 bags)</v>
      </c>
      <c r="O3303" t="str">
        <f>INDEX(Products!C:C,MATCH(OrdersTable[[#This Row],[Product ID]],Products!A:A,0))</f>
        <v>Wellness</v>
      </c>
      <c r="P3303">
        <v>1</v>
      </c>
      <c r="Q3303" s="5">
        <v>399</v>
      </c>
      <c r="R3303" s="74">
        <v>0.25</v>
      </c>
      <c r="S3303" s="75">
        <f>OrdersTable[[#This Row],[Quantity]]*OrdersTable[[#This Row],[Unit Price]]</f>
        <v>399</v>
      </c>
      <c r="T3303" s="5">
        <f>OrdersTable[[#This Row],[Gross Sale]]*OrdersTable[[#This Row],[Discount_Clean2]]</f>
        <v>99.75</v>
      </c>
      <c r="U3303" s="5">
        <f>OrdersTable[[#This Row],[Gross Sale]]-OrdersTable[[#This Row],[Discount Amount]]</f>
        <v>299.25</v>
      </c>
      <c r="V3303" s="77">
        <f>INDEX(Products!E:E,MATCH(OrdersTable[[#This Row],[Product ID]],Products!A:A,0))</f>
        <v>128</v>
      </c>
      <c r="W3303" s="77">
        <f>OrdersTable[[#This Row],[Quantity]]*OrdersTable[[#This Row],[Unit Cost]]</f>
        <v>128</v>
      </c>
      <c r="X3303" s="77">
        <f>'Dropdown Lists'!$I$2*(1+OrdersTable[[#This Row],[Returned]])</f>
        <v>60</v>
      </c>
      <c r="Y3303" s="76">
        <f>OrdersTable[[#This Row],[Net Revenue]]-OrdersTable[[#This Row],[COGS]]-OrdersTable[[#This Row],[Shipping Cost]]</f>
        <v>111.25</v>
      </c>
      <c r="Z3303" s="78">
        <f>IFERROR(OrdersTable[[#This Row],[Profit]]/OrdersTable[[#This Row],[Net Revenue]],0)</f>
        <v>0.37176274018379279</v>
      </c>
      <c r="AA3303" t="s">
        <v>18</v>
      </c>
      <c r="AB3303" s="79">
        <v>45837</v>
      </c>
      <c r="AC3303">
        <f>OrdersTable[[#This Row],[Delivery Date]]-OrdersTable[[#This Row],[Order Date]]</f>
        <v>5</v>
      </c>
      <c r="AD3303" t="str">
        <f>IF(OrdersTable[[#This Row],[Delivery Days]]&lt;=2, "Express (≤2d)", IF(OrdersTable[[#This Row],[Delivery Days]]&lt;=4, "Standard (3-4d)", "Delayed (5d+)"))</f>
        <v>Delayed (5d+)</v>
      </c>
      <c r="AE3303">
        <v>3</v>
      </c>
      <c r="AF3303">
        <v>0</v>
      </c>
    </row>
    <row r="3304" spans="1:32" ht="15" x14ac:dyDescent="0.35">
      <c r="A3304" t="s">
        <v>5205</v>
      </c>
      <c r="B3304" s="1">
        <v>45833</v>
      </c>
      <c r="C3304">
        <f>YEAR(OrdersTable[[#This Row],[Order Date]])</f>
        <v>2025</v>
      </c>
      <c r="D3304" s="2">
        <f>DATE(YEAR(OrdersTable[[#This Row],[Order Date]]),MONTH(OrdersTable[[#This Row],[Order Date]]),1)</f>
        <v>45809</v>
      </c>
      <c r="E3304">
        <f>MONTH(OrdersTable[[#This Row],[Order Date]])</f>
        <v>6</v>
      </c>
      <c r="F3304" t="s">
        <v>4344</v>
      </c>
      <c r="G3304" t="str">
        <f>IF(OrdersTable[[#This Row],[Order Date]]=_xlfn.MINIFS(Order_Date, Customer_ID, OrdersTable[[#This Row],[Customer ID]]), "New", "Repeat")</f>
        <v>Repeat</v>
      </c>
      <c r="H3304" t="s">
        <v>32</v>
      </c>
      <c r="I3304" t="str">
        <f>INDEX(State!B:B,MATCH(OrdersTable[[#This Row],[State]],State!A:A,0))</f>
        <v>BR</v>
      </c>
      <c r="J3304" t="str">
        <f>INDEX(State!C:C,MATCH(OrdersTable[[#This Row],[State Code]],State!B:B,0))</f>
        <v>East</v>
      </c>
      <c r="K3304" t="s">
        <v>33</v>
      </c>
      <c r="L3304" t="s">
        <v>39</v>
      </c>
      <c r="M3304" t="s">
        <v>152</v>
      </c>
      <c r="N3304" t="str">
        <f>INDEX(Products!B:B,MATCH(OrdersTable[[#This Row],[Product ID]],Products!A:A,0))</f>
        <v>Green Tea (100 bags)</v>
      </c>
      <c r="O3304" t="str">
        <f>INDEX(Products!C:C,MATCH(OrdersTable[[#This Row],[Product ID]],Products!A:A,0))</f>
        <v>Wellness</v>
      </c>
      <c r="P3304">
        <v>2</v>
      </c>
      <c r="Q3304" s="5">
        <v>399</v>
      </c>
      <c r="R3304" s="74">
        <v>0.3</v>
      </c>
      <c r="S3304" s="75">
        <f>OrdersTable[[#This Row],[Quantity]]*OrdersTable[[#This Row],[Unit Price]]</f>
        <v>798</v>
      </c>
      <c r="T3304" s="5">
        <f>OrdersTable[[#This Row],[Gross Sale]]*OrdersTable[[#This Row],[Discount_Clean2]]</f>
        <v>239.39999999999998</v>
      </c>
      <c r="U3304" s="5">
        <f>OrdersTable[[#This Row],[Gross Sale]]-OrdersTable[[#This Row],[Discount Amount]]</f>
        <v>558.6</v>
      </c>
      <c r="V3304" s="77">
        <f>INDEX(Products!E:E,MATCH(OrdersTable[[#This Row],[Product ID]],Products!A:A,0))</f>
        <v>128</v>
      </c>
      <c r="W3304" s="77">
        <f>OrdersTable[[#This Row],[Quantity]]*OrdersTable[[#This Row],[Unit Cost]]</f>
        <v>256</v>
      </c>
      <c r="X3304" s="77">
        <f>'Dropdown Lists'!$I$2*(1+OrdersTable[[#This Row],[Returned]])</f>
        <v>60</v>
      </c>
      <c r="Y3304" s="76">
        <f>OrdersTable[[#This Row],[Net Revenue]]-OrdersTable[[#This Row],[COGS]]-OrdersTable[[#This Row],[Shipping Cost]]</f>
        <v>242.60000000000002</v>
      </c>
      <c r="Z3304" s="78">
        <f>IFERROR(OrdersTable[[#This Row],[Profit]]/OrdersTable[[#This Row],[Net Revenue]],0)</f>
        <v>0.43430003580379523</v>
      </c>
      <c r="AA3304" t="s">
        <v>3495</v>
      </c>
      <c r="AB3304" s="79">
        <v>45839</v>
      </c>
      <c r="AC3304">
        <f>OrdersTable[[#This Row],[Delivery Date]]-OrdersTable[[#This Row],[Order Date]]</f>
        <v>6</v>
      </c>
      <c r="AD3304" t="str">
        <f>IF(OrdersTable[[#This Row],[Delivery Days]]&lt;=2, "Express (≤2d)", IF(OrdersTable[[#This Row],[Delivery Days]]&lt;=4, "Standard (3-4d)", "Delayed (5d+)"))</f>
        <v>Delayed (5d+)</v>
      </c>
      <c r="AF3304">
        <v>0</v>
      </c>
    </row>
    <row r="3305" spans="1:32" ht="15" x14ac:dyDescent="0.35">
      <c r="A3305" t="s">
        <v>1756</v>
      </c>
      <c r="B3305" s="1">
        <v>45833</v>
      </c>
      <c r="C3305">
        <f>YEAR(OrdersTable[[#This Row],[Order Date]])</f>
        <v>2025</v>
      </c>
      <c r="D3305" s="2">
        <f>DATE(YEAR(OrdersTable[[#This Row],[Order Date]]),MONTH(OrdersTable[[#This Row],[Order Date]]),1)</f>
        <v>45809</v>
      </c>
      <c r="E3305">
        <f>MONTH(OrdersTable[[#This Row],[Order Date]])</f>
        <v>6</v>
      </c>
      <c r="F3305" t="s">
        <v>1543</v>
      </c>
      <c r="G3305" t="str">
        <f>IF(OrdersTable[[#This Row],[Order Date]]=_xlfn.MINIFS(Order_Date, Customer_ID, OrdersTable[[#This Row],[Customer ID]]), "New", "Repeat")</f>
        <v>Repeat</v>
      </c>
      <c r="H3305" t="s">
        <v>482</v>
      </c>
      <c r="I3305" t="str">
        <f>INDEX(State!B:B,MATCH(OrdersTable[[#This Row],[State]],State!A:A,0))</f>
        <v>CG</v>
      </c>
      <c r="J3305" t="str">
        <f>INDEX(State!C:C,MATCH(OrdersTable[[#This Row],[State Code]],State!B:B,0))</f>
        <v>East</v>
      </c>
      <c r="K3305" t="s">
        <v>483</v>
      </c>
      <c r="L3305" t="s">
        <v>65</v>
      </c>
      <c r="M3305" t="s">
        <v>56</v>
      </c>
      <c r="N3305" t="str">
        <f>INDEX(Products!B:B,MATCH(OrdersTable[[#This Row],[Product ID]],Products!A:A,0))</f>
        <v>Vitamin C Face Serum</v>
      </c>
      <c r="O3305" t="str">
        <f>INDEX(Products!C:C,MATCH(OrdersTable[[#This Row],[Product ID]],Products!A:A,0))</f>
        <v>Skincare</v>
      </c>
      <c r="P3305">
        <v>1</v>
      </c>
      <c r="Q3305" s="5">
        <v>599</v>
      </c>
      <c r="R3305" s="74">
        <v>0.2</v>
      </c>
      <c r="S3305" s="75">
        <f>OrdersTable[[#This Row],[Quantity]]*OrdersTable[[#This Row],[Unit Price]]</f>
        <v>599</v>
      </c>
      <c r="T3305" s="5">
        <f>OrdersTable[[#This Row],[Gross Sale]]*OrdersTable[[#This Row],[Discount_Clean2]]</f>
        <v>119.80000000000001</v>
      </c>
      <c r="U3305" s="5">
        <f>OrdersTable[[#This Row],[Gross Sale]]-OrdersTable[[#This Row],[Discount Amount]]</f>
        <v>479.2</v>
      </c>
      <c r="V3305" s="77">
        <f>INDEX(Products!E:E,MATCH(OrdersTable[[#This Row],[Product ID]],Products!A:A,0))</f>
        <v>180</v>
      </c>
      <c r="W3305" s="77">
        <f>OrdersTable[[#This Row],[Quantity]]*OrdersTable[[#This Row],[Unit Cost]]</f>
        <v>180</v>
      </c>
      <c r="X3305" s="77">
        <f>'Dropdown Lists'!$I$2*(1+OrdersTable[[#This Row],[Returned]])</f>
        <v>60</v>
      </c>
      <c r="Y3305" s="76">
        <f>OrdersTable[[#This Row],[Net Revenue]]-OrdersTable[[#This Row],[COGS]]-OrdersTable[[#This Row],[Shipping Cost]]</f>
        <v>239.2</v>
      </c>
      <c r="Z3305" s="78">
        <f>IFERROR(OrdersTable[[#This Row],[Profit]]/OrdersTable[[#This Row],[Net Revenue]],0)</f>
        <v>0.4991652754590985</v>
      </c>
      <c r="AA3305" t="s">
        <v>18</v>
      </c>
      <c r="AB3305" s="79">
        <v>45837</v>
      </c>
      <c r="AC3305">
        <f>OrdersTable[[#This Row],[Delivery Date]]-OrdersTable[[#This Row],[Order Date]]</f>
        <v>4</v>
      </c>
      <c r="AD3305" t="str">
        <f>IF(OrdersTable[[#This Row],[Delivery Days]]&lt;=2, "Express (≤2d)", IF(OrdersTable[[#This Row],[Delivery Days]]&lt;=4, "Standard (3-4d)", "Delayed (5d+)"))</f>
        <v>Standard (3-4d)</v>
      </c>
      <c r="AF3305">
        <v>0</v>
      </c>
    </row>
    <row r="3306" spans="1:32" ht="15" x14ac:dyDescent="0.35">
      <c r="A3306" t="s">
        <v>2159</v>
      </c>
      <c r="B3306" s="1">
        <v>45833</v>
      </c>
      <c r="C3306">
        <f>YEAR(OrdersTable[[#This Row],[Order Date]])</f>
        <v>2025</v>
      </c>
      <c r="D3306" s="2">
        <f>DATE(YEAR(OrdersTable[[#This Row],[Order Date]]),MONTH(OrdersTable[[#This Row],[Order Date]]),1)</f>
        <v>45809</v>
      </c>
      <c r="E3306">
        <f>MONTH(OrdersTable[[#This Row],[Order Date]])</f>
        <v>6</v>
      </c>
      <c r="F3306" t="s">
        <v>650</v>
      </c>
      <c r="G3306" t="str">
        <f>IF(OrdersTable[[#This Row],[Order Date]]=_xlfn.MINIFS(Order_Date, Customer_ID, OrdersTable[[#This Row],[Customer ID]]), "New", "Repeat")</f>
        <v>Repeat</v>
      </c>
      <c r="H3306" t="s">
        <v>71</v>
      </c>
      <c r="I3306" t="str">
        <f>INDEX(State!B:B,MATCH(OrdersTable[[#This Row],[State]],State!A:A,0))</f>
        <v>MH</v>
      </c>
      <c r="J3306" t="str">
        <f>INDEX(State!C:C,MATCH(OrdersTable[[#This Row],[State Code]],State!B:B,0))</f>
        <v>West</v>
      </c>
      <c r="K3306" t="s">
        <v>102</v>
      </c>
      <c r="L3306" t="s">
        <v>16</v>
      </c>
      <c r="M3306" t="s">
        <v>576</v>
      </c>
      <c r="N3306" t="str">
        <f>INDEX(Products!B:B,MATCH(OrdersTable[[#This Row],[Product ID]],Products!A:A,0))</f>
        <v>Printed Saree</v>
      </c>
      <c r="O3306" t="str">
        <f>INDEX(Products!C:C,MATCH(OrdersTable[[#This Row],[Product ID]],Products!A:A,0))</f>
        <v>Apparel</v>
      </c>
      <c r="P3306">
        <v>1</v>
      </c>
      <c r="Q3306" s="5">
        <v>1999</v>
      </c>
      <c r="R3306" s="74">
        <v>0.15</v>
      </c>
      <c r="S3306" s="75">
        <f>OrdersTable[[#This Row],[Quantity]]*OrdersTable[[#This Row],[Unit Price]]</f>
        <v>1999</v>
      </c>
      <c r="T3306" s="5">
        <f>OrdersTable[[#This Row],[Gross Sale]]*OrdersTable[[#This Row],[Discount_Clean2]]</f>
        <v>299.84999999999997</v>
      </c>
      <c r="U3306" s="5">
        <f>OrdersTable[[#This Row],[Gross Sale]]-OrdersTable[[#This Row],[Discount Amount]]</f>
        <v>1699.15</v>
      </c>
      <c r="V3306" s="77">
        <f>INDEX(Products!E:E,MATCH(OrdersTable[[#This Row],[Product ID]],Products!A:A,0))</f>
        <v>880</v>
      </c>
      <c r="W3306" s="77">
        <f>OrdersTable[[#This Row],[Quantity]]*OrdersTable[[#This Row],[Unit Cost]]</f>
        <v>880</v>
      </c>
      <c r="X3306" s="77">
        <f>'Dropdown Lists'!$I$2*(1+OrdersTable[[#This Row],[Returned]])</f>
        <v>60</v>
      </c>
      <c r="Y3306" s="76">
        <f>OrdersTable[[#This Row],[Net Revenue]]-OrdersTable[[#This Row],[COGS]]-OrdersTable[[#This Row],[Shipping Cost]]</f>
        <v>759.15000000000009</v>
      </c>
      <c r="Z3306" s="78">
        <f>IFERROR(OrdersTable[[#This Row],[Profit]]/OrdersTable[[#This Row],[Net Revenue]],0)</f>
        <v>0.44678221463673018</v>
      </c>
      <c r="AA3306" t="s">
        <v>18</v>
      </c>
      <c r="AB3306" s="79">
        <v>45835</v>
      </c>
      <c r="AC3306">
        <f>OrdersTable[[#This Row],[Delivery Date]]-OrdersTable[[#This Row],[Order Date]]</f>
        <v>2</v>
      </c>
      <c r="AD3306" t="str">
        <f>IF(OrdersTable[[#This Row],[Delivery Days]]&lt;=2, "Express (≤2d)", IF(OrdersTable[[#This Row],[Delivery Days]]&lt;=4, "Standard (3-4d)", "Delayed (5d+)"))</f>
        <v>Express (≤2d)</v>
      </c>
      <c r="AE3306">
        <v>3</v>
      </c>
      <c r="AF3306">
        <v>0</v>
      </c>
    </row>
    <row r="3307" spans="1:32" ht="15" x14ac:dyDescent="0.35">
      <c r="A3307" t="s">
        <v>3641</v>
      </c>
      <c r="B3307" s="1">
        <v>45833</v>
      </c>
      <c r="C3307">
        <f>YEAR(OrdersTable[[#This Row],[Order Date]])</f>
        <v>2025</v>
      </c>
      <c r="D3307" s="2">
        <f>DATE(YEAR(OrdersTable[[#This Row],[Order Date]]),MONTH(OrdersTable[[#This Row],[Order Date]]),1)</f>
        <v>45809</v>
      </c>
      <c r="E3307">
        <f>MONTH(OrdersTable[[#This Row],[Order Date]])</f>
        <v>6</v>
      </c>
      <c r="F3307" t="s">
        <v>1354</v>
      </c>
      <c r="G3307" t="str">
        <f>IF(OrdersTable[[#This Row],[Order Date]]=_xlfn.MINIFS(Order_Date, Customer_ID, OrdersTable[[#This Row],[Customer ID]]), "New", "Repeat")</f>
        <v>Repeat</v>
      </c>
      <c r="H3307" t="s">
        <v>275</v>
      </c>
      <c r="I3307" t="str">
        <f>INDEX(State!B:B,MATCH(OrdersTable[[#This Row],[State]],State!A:A,0))</f>
        <v>AP</v>
      </c>
      <c r="J3307" t="str">
        <f>INDEX(State!C:C,MATCH(OrdersTable[[#This Row],[State Code]],State!B:B,0))</f>
        <v>South</v>
      </c>
      <c r="K3307" t="s">
        <v>491</v>
      </c>
      <c r="L3307" t="s">
        <v>39</v>
      </c>
      <c r="M3307" t="s">
        <v>160</v>
      </c>
      <c r="N3307" t="str">
        <f>INDEX(Products!B:B,MATCH(OrdersTable[[#This Row],[Product ID]],Products!A:A,0))</f>
        <v>Niacinamide Toner</v>
      </c>
      <c r="O3307" t="str">
        <f>INDEX(Products!C:C,MATCH(OrdersTable[[#This Row],[Product ID]],Products!A:A,0))</f>
        <v>Skincare</v>
      </c>
      <c r="P3307">
        <v>1</v>
      </c>
      <c r="Q3307" s="5">
        <v>399</v>
      </c>
      <c r="R3307" s="74">
        <v>0.15</v>
      </c>
      <c r="S3307" s="75">
        <f>OrdersTable[[#This Row],[Quantity]]*OrdersTable[[#This Row],[Unit Price]]</f>
        <v>399</v>
      </c>
      <c r="T3307" s="5">
        <f>OrdersTable[[#This Row],[Gross Sale]]*OrdersTable[[#This Row],[Discount_Clean2]]</f>
        <v>59.849999999999994</v>
      </c>
      <c r="U3307" s="5">
        <f>OrdersTable[[#This Row],[Gross Sale]]-OrdersTable[[#This Row],[Discount Amount]]</f>
        <v>339.15</v>
      </c>
      <c r="V3307" s="77">
        <f>INDEX(Products!E:E,MATCH(OrdersTable[[#This Row],[Product ID]],Products!A:A,0))</f>
        <v>112</v>
      </c>
      <c r="W3307" s="77">
        <f>OrdersTable[[#This Row],[Quantity]]*OrdersTable[[#This Row],[Unit Cost]]</f>
        <v>112</v>
      </c>
      <c r="X3307" s="77">
        <f>'Dropdown Lists'!$I$2*(1+OrdersTable[[#This Row],[Returned]])</f>
        <v>120</v>
      </c>
      <c r="Y3307" s="76">
        <f>OrdersTable[[#This Row],[Net Revenue]]-OrdersTable[[#This Row],[COGS]]-OrdersTable[[#This Row],[Shipping Cost]]</f>
        <v>107.14999999999998</v>
      </c>
      <c r="Z3307" s="78">
        <f>IFERROR(OrdersTable[[#This Row],[Profit]]/OrdersTable[[#This Row],[Net Revenue]],0)</f>
        <v>0.31593690107621991</v>
      </c>
      <c r="AA3307" t="s">
        <v>3495</v>
      </c>
      <c r="AB3307" s="79">
        <v>45835</v>
      </c>
      <c r="AC3307">
        <f>OrdersTable[[#This Row],[Delivery Date]]-OrdersTable[[#This Row],[Order Date]]</f>
        <v>2</v>
      </c>
      <c r="AD3307" t="str">
        <f>IF(OrdersTable[[#This Row],[Delivery Days]]&lt;=2, "Express (≤2d)", IF(OrdersTable[[#This Row],[Delivery Days]]&lt;=4, "Standard (3-4d)", "Delayed (5d+)"))</f>
        <v>Express (≤2d)</v>
      </c>
      <c r="AE3307">
        <v>4</v>
      </c>
      <c r="AF3307">
        <v>1</v>
      </c>
    </row>
    <row r="3308" spans="1:32" ht="15" x14ac:dyDescent="0.35">
      <c r="A3308" t="s">
        <v>3782</v>
      </c>
      <c r="B3308" s="1">
        <v>45833</v>
      </c>
      <c r="C3308">
        <f>YEAR(OrdersTable[[#This Row],[Order Date]])</f>
        <v>2025</v>
      </c>
      <c r="D3308" s="2">
        <f>DATE(YEAR(OrdersTable[[#This Row],[Order Date]]),MONTH(OrdersTable[[#This Row],[Order Date]]),1)</f>
        <v>45809</v>
      </c>
      <c r="E3308">
        <f>MONTH(OrdersTable[[#This Row],[Order Date]])</f>
        <v>6</v>
      </c>
      <c r="F3308" t="s">
        <v>3783</v>
      </c>
      <c r="G3308" t="str">
        <f>IF(OrdersTable[[#This Row],[Order Date]]=_xlfn.MINIFS(Order_Date, Customer_ID, OrdersTable[[#This Row],[Customer ID]]), "New", "Repeat")</f>
        <v>New</v>
      </c>
      <c r="H3308" t="s">
        <v>316</v>
      </c>
      <c r="I3308" t="str">
        <f>INDEX(State!B:B,MATCH(OrdersTable[[#This Row],[State]],State!A:A,0))</f>
        <v>KL</v>
      </c>
      <c r="J3308" t="str">
        <f>INDEX(State!C:C,MATCH(OrdersTable[[#This Row],[State Code]],State!B:B,0))</f>
        <v>South</v>
      </c>
      <c r="K3308" t="s">
        <v>317</v>
      </c>
      <c r="L3308" t="s">
        <v>50</v>
      </c>
      <c r="M3308" t="s">
        <v>51</v>
      </c>
      <c r="N3308" t="str">
        <f>INDEX(Products!B:B,MATCH(OrdersTable[[#This Row],[Product ID]],Products!A:A,0))</f>
        <v>Anti-Dandruff Conditioner</v>
      </c>
      <c r="O3308" t="str">
        <f>INDEX(Products!C:C,MATCH(OrdersTable[[#This Row],[Product ID]],Products!A:A,0))</f>
        <v>Haircare</v>
      </c>
      <c r="P3308">
        <v>1</v>
      </c>
      <c r="Q3308" s="5">
        <v>399</v>
      </c>
      <c r="R3308" s="74">
        <v>0.45</v>
      </c>
      <c r="S3308" s="75">
        <f>OrdersTable[[#This Row],[Quantity]]*OrdersTable[[#This Row],[Unit Price]]</f>
        <v>399</v>
      </c>
      <c r="T3308" s="5">
        <f>OrdersTable[[#This Row],[Gross Sale]]*OrdersTable[[#This Row],[Discount_Clean2]]</f>
        <v>179.55</v>
      </c>
      <c r="U3308" s="5">
        <f>OrdersTable[[#This Row],[Gross Sale]]-OrdersTable[[#This Row],[Discount Amount]]</f>
        <v>219.45</v>
      </c>
      <c r="V3308" s="77">
        <f>INDEX(Products!E:E,MATCH(OrdersTable[[#This Row],[Product ID]],Products!A:A,0))</f>
        <v>136</v>
      </c>
      <c r="W3308" s="77">
        <f>OrdersTable[[#This Row],[Quantity]]*OrdersTable[[#This Row],[Unit Cost]]</f>
        <v>136</v>
      </c>
      <c r="X3308" s="77">
        <f>'Dropdown Lists'!$I$2*(1+OrdersTable[[#This Row],[Returned]])</f>
        <v>60</v>
      </c>
      <c r="Y3308" s="76">
        <f>OrdersTable[[#This Row],[Net Revenue]]-OrdersTable[[#This Row],[COGS]]-OrdersTable[[#This Row],[Shipping Cost]]</f>
        <v>23.449999999999989</v>
      </c>
      <c r="Z3308" s="78">
        <f>IFERROR(OrdersTable[[#This Row],[Profit]]/OrdersTable[[#This Row],[Net Revenue]],0)</f>
        <v>0.10685805422647524</v>
      </c>
      <c r="AA3308" t="s">
        <v>3495</v>
      </c>
      <c r="AB3308" s="79">
        <v>45837</v>
      </c>
      <c r="AC3308">
        <f>OrdersTable[[#This Row],[Delivery Date]]-OrdersTable[[#This Row],[Order Date]]</f>
        <v>4</v>
      </c>
      <c r="AD3308" t="str">
        <f>IF(OrdersTable[[#This Row],[Delivery Days]]&lt;=2, "Express (≤2d)", IF(OrdersTable[[#This Row],[Delivery Days]]&lt;=4, "Standard (3-4d)", "Delayed (5d+)"))</f>
        <v>Standard (3-4d)</v>
      </c>
      <c r="AF3308">
        <v>0</v>
      </c>
    </row>
    <row r="3309" spans="1:32" ht="15" x14ac:dyDescent="0.35">
      <c r="A3309" t="s">
        <v>1757</v>
      </c>
      <c r="B3309" s="1">
        <v>45834</v>
      </c>
      <c r="C3309">
        <f>YEAR(OrdersTable[[#This Row],[Order Date]])</f>
        <v>2025</v>
      </c>
      <c r="D3309" s="2">
        <f>DATE(YEAR(OrdersTable[[#This Row],[Order Date]]),MONTH(OrdersTable[[#This Row],[Order Date]]),1)</f>
        <v>45809</v>
      </c>
      <c r="E3309">
        <f>MONTH(OrdersTable[[#This Row],[Order Date]])</f>
        <v>6</v>
      </c>
      <c r="F3309" t="s">
        <v>915</v>
      </c>
      <c r="G3309" t="str">
        <f>IF(OrdersTable[[#This Row],[Order Date]]=_xlfn.MINIFS(Order_Date, Customer_ID, OrdersTable[[#This Row],[Customer ID]]), "New", "Repeat")</f>
        <v>Repeat</v>
      </c>
      <c r="H3309" t="s">
        <v>21</v>
      </c>
      <c r="I3309" t="str">
        <f>INDEX(State!B:B,MATCH(OrdersTable[[#This Row],[State]],State!A:A,0))</f>
        <v>PB</v>
      </c>
      <c r="J3309" t="str">
        <f>INDEX(State!C:C,MATCH(OrdersTable[[#This Row],[State Code]],State!B:B,0))</f>
        <v>North</v>
      </c>
      <c r="K3309" t="s">
        <v>22</v>
      </c>
      <c r="L3309" t="s">
        <v>65</v>
      </c>
      <c r="M3309" t="s">
        <v>24</v>
      </c>
      <c r="N3309" t="str">
        <f>INDEX(Products!B:B,MATCH(OrdersTable[[#This Row],[Product ID]],Products!A:A,0))</f>
        <v>Scented Candle Set</v>
      </c>
      <c r="O3309" t="str">
        <f>INDEX(Products!C:C,MATCH(OrdersTable[[#This Row],[Product ID]],Products!A:A,0))</f>
        <v>Home &amp; Kitchen</v>
      </c>
      <c r="P3309">
        <v>1</v>
      </c>
      <c r="Q3309" s="5">
        <v>699</v>
      </c>
      <c r="R3309" s="74">
        <v>0.2</v>
      </c>
      <c r="S3309" s="75">
        <f>OrdersTable[[#This Row],[Quantity]]*OrdersTable[[#This Row],[Unit Price]]</f>
        <v>699</v>
      </c>
      <c r="T3309" s="5">
        <f>OrdersTable[[#This Row],[Gross Sale]]*OrdersTable[[#This Row],[Discount_Clean2]]</f>
        <v>139.80000000000001</v>
      </c>
      <c r="U3309" s="5">
        <f>OrdersTable[[#This Row],[Gross Sale]]-OrdersTable[[#This Row],[Discount Amount]]</f>
        <v>559.20000000000005</v>
      </c>
      <c r="V3309" s="77">
        <f>INDEX(Products!E:E,MATCH(OrdersTable[[#This Row],[Product ID]],Products!A:A,0))</f>
        <v>245</v>
      </c>
      <c r="W3309" s="77">
        <f>OrdersTable[[#This Row],[Quantity]]*OrdersTable[[#This Row],[Unit Cost]]</f>
        <v>245</v>
      </c>
      <c r="X3309" s="77">
        <f>'Dropdown Lists'!$I$2*(1+OrdersTable[[#This Row],[Returned]])</f>
        <v>60</v>
      </c>
      <c r="Y3309" s="76">
        <f>OrdersTable[[#This Row],[Net Revenue]]-OrdersTable[[#This Row],[COGS]]-OrdersTable[[#This Row],[Shipping Cost]]</f>
        <v>254.20000000000005</v>
      </c>
      <c r="Z3309" s="78">
        <f>IFERROR(OrdersTable[[#This Row],[Profit]]/OrdersTable[[#This Row],[Net Revenue]],0)</f>
        <v>0.45457796852646642</v>
      </c>
      <c r="AA3309" t="s">
        <v>18</v>
      </c>
      <c r="AB3309" s="79">
        <v>45840</v>
      </c>
      <c r="AC3309">
        <f>OrdersTable[[#This Row],[Delivery Date]]-OrdersTable[[#This Row],[Order Date]]</f>
        <v>6</v>
      </c>
      <c r="AD3309" t="str">
        <f>IF(OrdersTable[[#This Row],[Delivery Days]]&lt;=2, "Express (≤2d)", IF(OrdersTable[[#This Row],[Delivery Days]]&lt;=4, "Standard (3-4d)", "Delayed (5d+)"))</f>
        <v>Delayed (5d+)</v>
      </c>
      <c r="AF3309">
        <v>0</v>
      </c>
    </row>
    <row r="3310" spans="1:32" ht="15" x14ac:dyDescent="0.35">
      <c r="A3310" t="s">
        <v>2817</v>
      </c>
      <c r="B3310" s="1">
        <v>45834</v>
      </c>
      <c r="C3310">
        <f>YEAR(OrdersTable[[#This Row],[Order Date]])</f>
        <v>2025</v>
      </c>
      <c r="D3310" s="2">
        <f>DATE(YEAR(OrdersTable[[#This Row],[Order Date]]),MONTH(OrdersTable[[#This Row],[Order Date]]),1)</f>
        <v>45809</v>
      </c>
      <c r="E3310">
        <f>MONTH(OrdersTable[[#This Row],[Order Date]])</f>
        <v>6</v>
      </c>
      <c r="F3310" t="s">
        <v>2818</v>
      </c>
      <c r="G3310" t="str">
        <f>IF(OrdersTable[[#This Row],[Order Date]]=_xlfn.MINIFS(Order_Date, Customer_ID, OrdersTable[[#This Row],[Customer ID]]), "New", "Repeat")</f>
        <v>Repeat</v>
      </c>
      <c r="H3310" t="s">
        <v>21</v>
      </c>
      <c r="I3310" t="str">
        <f>INDEX(State!B:B,MATCH(OrdersTable[[#This Row],[State]],State!A:A,0))</f>
        <v>PB</v>
      </c>
      <c r="J3310" t="str">
        <f>INDEX(State!C:C,MATCH(OrdersTable[[#This Row],[State Code]],State!B:B,0))</f>
        <v>North</v>
      </c>
      <c r="K3310" t="s">
        <v>22</v>
      </c>
      <c r="L3310" t="s">
        <v>39</v>
      </c>
      <c r="M3310" t="s">
        <v>106</v>
      </c>
      <c r="N3310" t="str">
        <f>INDEX(Products!B:B,MATCH(OrdersTable[[#This Row],[Product ID]],Products!A:A,0))</f>
        <v>Keratin Hair Mask</v>
      </c>
      <c r="O3310" t="str">
        <f>INDEX(Products!C:C,MATCH(OrdersTable[[#This Row],[Product ID]],Products!A:A,0))</f>
        <v>Haircare</v>
      </c>
      <c r="P3310">
        <v>1</v>
      </c>
      <c r="Q3310" s="5">
        <v>549</v>
      </c>
      <c r="R3310" s="74">
        <v>0.05</v>
      </c>
      <c r="S3310" s="75">
        <f>OrdersTable[[#This Row],[Quantity]]*OrdersTable[[#This Row],[Unit Price]]</f>
        <v>549</v>
      </c>
      <c r="T3310" s="5">
        <f>OrdersTable[[#This Row],[Gross Sale]]*OrdersTable[[#This Row],[Discount_Clean2]]</f>
        <v>27.450000000000003</v>
      </c>
      <c r="U3310" s="5">
        <f>OrdersTable[[#This Row],[Gross Sale]]-OrdersTable[[#This Row],[Discount Amount]]</f>
        <v>521.54999999999995</v>
      </c>
      <c r="V3310" s="77">
        <f>INDEX(Products!E:E,MATCH(OrdersTable[[#This Row],[Product ID]],Products!A:A,0))</f>
        <v>170</v>
      </c>
      <c r="W3310" s="77">
        <f>OrdersTable[[#This Row],[Quantity]]*OrdersTable[[#This Row],[Unit Cost]]</f>
        <v>170</v>
      </c>
      <c r="X3310" s="77">
        <f>'Dropdown Lists'!$I$2*(1+OrdersTable[[#This Row],[Returned]])</f>
        <v>120</v>
      </c>
      <c r="Y3310" s="76">
        <f>OrdersTable[[#This Row],[Net Revenue]]-OrdersTable[[#This Row],[COGS]]-OrdersTable[[#This Row],[Shipping Cost]]</f>
        <v>231.54999999999995</v>
      </c>
      <c r="Z3310" s="78">
        <f>IFERROR(OrdersTable[[#This Row],[Profit]]/OrdersTable[[#This Row],[Net Revenue]],0)</f>
        <v>0.44396510401687272</v>
      </c>
      <c r="AA3310" t="s">
        <v>2522</v>
      </c>
      <c r="AB3310" s="79">
        <v>45838</v>
      </c>
      <c r="AC3310">
        <f>OrdersTable[[#This Row],[Delivery Date]]-OrdersTable[[#This Row],[Order Date]]</f>
        <v>4</v>
      </c>
      <c r="AD3310" t="str">
        <f>IF(OrdersTable[[#This Row],[Delivery Days]]&lt;=2, "Express (≤2d)", IF(OrdersTable[[#This Row],[Delivery Days]]&lt;=4, "Standard (3-4d)", "Delayed (5d+)"))</f>
        <v>Standard (3-4d)</v>
      </c>
      <c r="AE3310">
        <v>3</v>
      </c>
      <c r="AF3310">
        <v>1</v>
      </c>
    </row>
    <row r="3311" spans="1:32" ht="15" x14ac:dyDescent="0.35">
      <c r="A3311" t="s">
        <v>6905</v>
      </c>
      <c r="B3311" s="1">
        <v>45834</v>
      </c>
      <c r="C3311">
        <f>YEAR(OrdersTable[[#This Row],[Order Date]])</f>
        <v>2025</v>
      </c>
      <c r="D3311" s="2">
        <f>DATE(YEAR(OrdersTable[[#This Row],[Order Date]]),MONTH(OrdersTable[[#This Row],[Order Date]]),1)</f>
        <v>45809</v>
      </c>
      <c r="E3311">
        <f>MONTH(OrdersTable[[#This Row],[Order Date]])</f>
        <v>6</v>
      </c>
      <c r="F3311" t="s">
        <v>3419</v>
      </c>
      <c r="G3311" t="str">
        <f>IF(OrdersTable[[#This Row],[Order Date]]=_xlfn.MINIFS(Order_Date, Customer_ID, OrdersTable[[#This Row],[Customer ID]]), "New", "Repeat")</f>
        <v>Repeat</v>
      </c>
      <c r="H3311" t="s">
        <v>54</v>
      </c>
      <c r="I3311" t="str">
        <f>INDEX(State!B:B,MATCH(OrdersTable[[#This Row],[State]],State!A:A,0))</f>
        <v>RJ</v>
      </c>
      <c r="J3311" t="str">
        <f>INDEX(State!C:C,MATCH(OrdersTable[[#This Row],[State Code]],State!B:B,0))</f>
        <v>North</v>
      </c>
      <c r="K3311" t="s">
        <v>227</v>
      </c>
      <c r="L3311" t="s">
        <v>50</v>
      </c>
      <c r="M3311" t="s">
        <v>61</v>
      </c>
      <c r="N3311" t="str">
        <f>INDEX(Products!B:B,MATCH(OrdersTable[[#This Row],[Product ID]],Products!A:A,0))</f>
        <v>Multivitamin Gummies</v>
      </c>
      <c r="O3311" t="str">
        <f>INDEX(Products!C:C,MATCH(OrdersTable[[#This Row],[Product ID]],Products!A:A,0))</f>
        <v>Wellness</v>
      </c>
      <c r="P3311">
        <v>3</v>
      </c>
      <c r="Q3311" s="5">
        <v>699</v>
      </c>
      <c r="R3311" s="74">
        <v>0.25</v>
      </c>
      <c r="S3311" s="75">
        <f>OrdersTable[[#This Row],[Quantity]]*OrdersTable[[#This Row],[Unit Price]]</f>
        <v>2097</v>
      </c>
      <c r="T3311" s="5">
        <f>OrdersTable[[#This Row],[Gross Sale]]*OrdersTable[[#This Row],[Discount_Clean2]]</f>
        <v>524.25</v>
      </c>
      <c r="U3311" s="5">
        <f>OrdersTable[[#This Row],[Gross Sale]]-OrdersTable[[#This Row],[Discount Amount]]</f>
        <v>1572.75</v>
      </c>
      <c r="V3311" s="77">
        <f>INDEX(Products!E:E,MATCH(OrdersTable[[#This Row],[Product ID]],Products!A:A,0))</f>
        <v>238</v>
      </c>
      <c r="W3311" s="77">
        <f>OrdersTable[[#This Row],[Quantity]]*OrdersTable[[#This Row],[Unit Cost]]</f>
        <v>714</v>
      </c>
      <c r="X3311" s="77">
        <f>'Dropdown Lists'!$I$2*(1+OrdersTable[[#This Row],[Returned]])</f>
        <v>60</v>
      </c>
      <c r="Y3311" s="76">
        <f>OrdersTable[[#This Row],[Net Revenue]]-OrdersTable[[#This Row],[COGS]]-OrdersTable[[#This Row],[Shipping Cost]]</f>
        <v>798.75</v>
      </c>
      <c r="Z3311" s="78">
        <f>IFERROR(OrdersTable[[#This Row],[Profit]]/OrdersTable[[#This Row],[Net Revenue]],0)</f>
        <v>0.50786838340486407</v>
      </c>
      <c r="AA3311" t="s">
        <v>4074</v>
      </c>
      <c r="AB3311" s="79">
        <v>45837</v>
      </c>
      <c r="AC3311">
        <f>OrdersTable[[#This Row],[Delivery Date]]-OrdersTable[[#This Row],[Order Date]]</f>
        <v>3</v>
      </c>
      <c r="AD3311" t="str">
        <f>IF(OrdersTable[[#This Row],[Delivery Days]]&lt;=2, "Express (≤2d)", IF(OrdersTable[[#This Row],[Delivery Days]]&lt;=4, "Standard (3-4d)", "Delayed (5d+)"))</f>
        <v>Standard (3-4d)</v>
      </c>
      <c r="AF3311">
        <v>0</v>
      </c>
    </row>
    <row r="3312" spans="1:32" ht="15" x14ac:dyDescent="0.35">
      <c r="A3312" t="s">
        <v>6378</v>
      </c>
      <c r="B3312" s="1">
        <v>45834</v>
      </c>
      <c r="C3312">
        <f>YEAR(OrdersTable[[#This Row],[Order Date]])</f>
        <v>2025</v>
      </c>
      <c r="D3312" s="2">
        <f>DATE(YEAR(OrdersTable[[#This Row],[Order Date]]),MONTH(OrdersTable[[#This Row],[Order Date]]),1)</f>
        <v>45809</v>
      </c>
      <c r="E3312">
        <f>MONTH(OrdersTable[[#This Row],[Order Date]])</f>
        <v>6</v>
      </c>
      <c r="F3312" t="s">
        <v>6379</v>
      </c>
      <c r="G3312" t="str">
        <f>IF(OrdersTable[[#This Row],[Order Date]]=_xlfn.MINIFS(Order_Date, Customer_ID, OrdersTable[[#This Row],[Customer ID]]), "New", "Repeat")</f>
        <v>New</v>
      </c>
      <c r="H3312" t="s">
        <v>71</v>
      </c>
      <c r="I3312" t="str">
        <f>INDEX(State!B:B,MATCH(OrdersTable[[#This Row],[State]],State!A:A,0))</f>
        <v>MH</v>
      </c>
      <c r="J3312" t="str">
        <f>INDEX(State!C:C,MATCH(OrdersTable[[#This Row],[State Code]],State!B:B,0))</f>
        <v>West</v>
      </c>
      <c r="K3312" t="s">
        <v>81</v>
      </c>
      <c r="L3312" t="s">
        <v>50</v>
      </c>
      <c r="M3312" t="s">
        <v>51</v>
      </c>
      <c r="N3312" t="str">
        <f>INDEX(Products!B:B,MATCH(OrdersTable[[#This Row],[Product ID]],Products!A:A,0))</f>
        <v>Anti-Dandruff Conditioner</v>
      </c>
      <c r="O3312" t="str">
        <f>INDEX(Products!C:C,MATCH(OrdersTable[[#This Row],[Product ID]],Products!A:A,0))</f>
        <v>Haircare</v>
      </c>
      <c r="P3312">
        <v>2</v>
      </c>
      <c r="Q3312" s="5">
        <v>399</v>
      </c>
      <c r="R3312" s="74">
        <v>0.4</v>
      </c>
      <c r="S3312" s="75">
        <f>OrdersTable[[#This Row],[Quantity]]*OrdersTable[[#This Row],[Unit Price]]</f>
        <v>798</v>
      </c>
      <c r="T3312" s="5">
        <f>OrdersTable[[#This Row],[Gross Sale]]*OrdersTable[[#This Row],[Discount_Clean2]]</f>
        <v>319.20000000000005</v>
      </c>
      <c r="U3312" s="5">
        <f>OrdersTable[[#This Row],[Gross Sale]]-OrdersTable[[#This Row],[Discount Amount]]</f>
        <v>478.79999999999995</v>
      </c>
      <c r="V3312" s="77">
        <f>INDEX(Products!E:E,MATCH(OrdersTable[[#This Row],[Product ID]],Products!A:A,0))</f>
        <v>136</v>
      </c>
      <c r="W3312" s="77">
        <f>OrdersTable[[#This Row],[Quantity]]*OrdersTable[[#This Row],[Unit Cost]]</f>
        <v>272</v>
      </c>
      <c r="X3312" s="77">
        <f>'Dropdown Lists'!$I$2*(1+OrdersTable[[#This Row],[Returned]])</f>
        <v>60</v>
      </c>
      <c r="Y3312" s="76">
        <f>OrdersTable[[#This Row],[Net Revenue]]-OrdersTable[[#This Row],[COGS]]-OrdersTable[[#This Row],[Shipping Cost]]</f>
        <v>146.79999999999995</v>
      </c>
      <c r="Z3312" s="78">
        <f>IFERROR(OrdersTable[[#This Row],[Profit]]/OrdersTable[[#This Row],[Net Revenue]],0)</f>
        <v>0.30659983291562232</v>
      </c>
      <c r="AA3312" t="s">
        <v>18</v>
      </c>
      <c r="AB3312" s="79">
        <v>45835</v>
      </c>
      <c r="AC3312">
        <f>OrdersTable[[#This Row],[Delivery Date]]-OrdersTable[[#This Row],[Order Date]]</f>
        <v>1</v>
      </c>
      <c r="AD3312" t="str">
        <f>IF(OrdersTable[[#This Row],[Delivery Days]]&lt;=2, "Express (≤2d)", IF(OrdersTable[[#This Row],[Delivery Days]]&lt;=4, "Standard (3-4d)", "Delayed (5d+)"))</f>
        <v>Express (≤2d)</v>
      </c>
      <c r="AE3312">
        <v>4</v>
      </c>
      <c r="AF3312">
        <v>0</v>
      </c>
    </row>
    <row r="3313" spans="1:32" ht="15" x14ac:dyDescent="0.35">
      <c r="A3313" t="s">
        <v>4706</v>
      </c>
      <c r="B3313" s="1">
        <v>45834</v>
      </c>
      <c r="C3313">
        <f>YEAR(OrdersTable[[#This Row],[Order Date]])</f>
        <v>2025</v>
      </c>
      <c r="D3313" s="2">
        <f>DATE(YEAR(OrdersTable[[#This Row],[Order Date]]),MONTH(OrdersTable[[#This Row],[Order Date]]),1)</f>
        <v>45809</v>
      </c>
      <c r="E3313">
        <f>MONTH(OrdersTable[[#This Row],[Order Date]])</f>
        <v>6</v>
      </c>
      <c r="F3313" t="s">
        <v>4707</v>
      </c>
      <c r="G3313" t="str">
        <f>IF(OrdersTable[[#This Row],[Order Date]]=_xlfn.MINIFS(Order_Date, Customer_ID, OrdersTable[[#This Row],[Customer ID]]), "New", "Repeat")</f>
        <v>Repeat</v>
      </c>
      <c r="H3313" t="s">
        <v>71</v>
      </c>
      <c r="I3313" t="str">
        <f>INDEX(State!B:B,MATCH(OrdersTable[[#This Row],[State]],State!A:A,0))</f>
        <v>MH</v>
      </c>
      <c r="J3313" t="str">
        <f>INDEX(State!C:C,MATCH(OrdersTable[[#This Row],[State Code]],State!B:B,0))</f>
        <v>West</v>
      </c>
      <c r="K3313" t="s">
        <v>102</v>
      </c>
      <c r="L3313" t="s">
        <v>23</v>
      </c>
      <c r="M3313" t="s">
        <v>51</v>
      </c>
      <c r="N3313" t="str">
        <f>INDEX(Products!B:B,MATCH(OrdersTable[[#This Row],[Product ID]],Products!A:A,0))</f>
        <v>Anti-Dandruff Conditioner</v>
      </c>
      <c r="O3313" t="str">
        <f>INDEX(Products!C:C,MATCH(OrdersTable[[#This Row],[Product ID]],Products!A:A,0))</f>
        <v>Haircare</v>
      </c>
      <c r="P3313">
        <v>1</v>
      </c>
      <c r="Q3313" s="5">
        <v>399</v>
      </c>
      <c r="R3313" s="74">
        <v>0.4</v>
      </c>
      <c r="S3313" s="75">
        <f>OrdersTable[[#This Row],[Quantity]]*OrdersTable[[#This Row],[Unit Price]]</f>
        <v>399</v>
      </c>
      <c r="T3313" s="5">
        <f>OrdersTable[[#This Row],[Gross Sale]]*OrdersTable[[#This Row],[Discount_Clean2]]</f>
        <v>159.60000000000002</v>
      </c>
      <c r="U3313" s="5">
        <f>OrdersTable[[#This Row],[Gross Sale]]-OrdersTable[[#This Row],[Discount Amount]]</f>
        <v>239.39999999999998</v>
      </c>
      <c r="V3313" s="77">
        <f>INDEX(Products!E:E,MATCH(OrdersTable[[#This Row],[Product ID]],Products!A:A,0))</f>
        <v>136</v>
      </c>
      <c r="W3313" s="77">
        <f>OrdersTable[[#This Row],[Quantity]]*OrdersTable[[#This Row],[Unit Cost]]</f>
        <v>136</v>
      </c>
      <c r="X3313" s="77">
        <f>'Dropdown Lists'!$I$2*(1+OrdersTable[[#This Row],[Returned]])</f>
        <v>60</v>
      </c>
      <c r="Y3313" s="76">
        <f>OrdersTable[[#This Row],[Net Revenue]]-OrdersTable[[#This Row],[COGS]]-OrdersTable[[#This Row],[Shipping Cost]]</f>
        <v>43.399999999999977</v>
      </c>
      <c r="Z3313" s="78">
        <f>IFERROR(OrdersTable[[#This Row],[Profit]]/OrdersTable[[#This Row],[Net Revenue]],0)</f>
        <v>0.18128654970760227</v>
      </c>
      <c r="AA3313" t="s">
        <v>4450</v>
      </c>
      <c r="AB3313" s="79">
        <v>45836</v>
      </c>
      <c r="AC3313">
        <f>OrdersTable[[#This Row],[Delivery Date]]-OrdersTable[[#This Row],[Order Date]]</f>
        <v>2</v>
      </c>
      <c r="AD3313" t="str">
        <f>IF(OrdersTable[[#This Row],[Delivery Days]]&lt;=2, "Express (≤2d)", IF(OrdersTable[[#This Row],[Delivery Days]]&lt;=4, "Standard (3-4d)", "Delayed (5d+)"))</f>
        <v>Express (≤2d)</v>
      </c>
      <c r="AE3313">
        <v>3</v>
      </c>
      <c r="AF3313">
        <v>0</v>
      </c>
    </row>
    <row r="3314" spans="1:32" ht="15" x14ac:dyDescent="0.35">
      <c r="A3314" t="s">
        <v>4708</v>
      </c>
      <c r="B3314" s="1">
        <v>45835</v>
      </c>
      <c r="C3314">
        <f>YEAR(OrdersTable[[#This Row],[Order Date]])</f>
        <v>2025</v>
      </c>
      <c r="D3314" s="2">
        <f>DATE(YEAR(OrdersTable[[#This Row],[Order Date]]),MONTH(OrdersTable[[#This Row],[Order Date]]),1)</f>
        <v>45809</v>
      </c>
      <c r="E3314">
        <f>MONTH(OrdersTable[[#This Row],[Order Date]])</f>
        <v>6</v>
      </c>
      <c r="F3314" t="s">
        <v>4709</v>
      </c>
      <c r="G3314" t="str">
        <f>IF(OrdersTable[[#This Row],[Order Date]]=_xlfn.MINIFS(Order_Date, Customer_ID, OrdersTable[[#This Row],[Customer ID]]), "New", "Repeat")</f>
        <v>New</v>
      </c>
      <c r="H3314" t="s">
        <v>21</v>
      </c>
      <c r="I3314" t="str">
        <f>INDEX(State!B:B,MATCH(OrdersTable[[#This Row],[State]],State!A:A,0))</f>
        <v>PB</v>
      </c>
      <c r="J3314" t="str">
        <f>INDEX(State!C:C,MATCH(OrdersTable[[#This Row],[State Code]],State!B:B,0))</f>
        <v>North</v>
      </c>
      <c r="K3314" t="s">
        <v>22</v>
      </c>
      <c r="L3314" t="s">
        <v>39</v>
      </c>
      <c r="M3314" t="s">
        <v>40</v>
      </c>
      <c r="N3314" t="str">
        <f>INDEX(Products!B:B,MATCH(OrdersTable[[#This Row],[Product ID]],Products!A:A,0))</f>
        <v>Ashwagandha Capsules</v>
      </c>
      <c r="O3314" t="str">
        <f>INDEX(Products!C:C,MATCH(OrdersTable[[#This Row],[Product ID]],Products!A:A,0))</f>
        <v>Wellness</v>
      </c>
      <c r="P3314">
        <v>1</v>
      </c>
      <c r="Q3314" s="5">
        <v>499</v>
      </c>
      <c r="R3314" s="74">
        <v>0.05</v>
      </c>
      <c r="S3314" s="75">
        <f>OrdersTable[[#This Row],[Quantity]]*OrdersTable[[#This Row],[Unit Price]]</f>
        <v>499</v>
      </c>
      <c r="T3314" s="5">
        <f>OrdersTable[[#This Row],[Gross Sale]]*OrdersTable[[#This Row],[Discount_Clean2]]</f>
        <v>24.950000000000003</v>
      </c>
      <c r="U3314" s="5">
        <f>OrdersTable[[#This Row],[Gross Sale]]-OrdersTable[[#This Row],[Discount Amount]]</f>
        <v>474.05</v>
      </c>
      <c r="V3314" s="77">
        <f>INDEX(Products!E:E,MATCH(OrdersTable[[#This Row],[Product ID]],Products!A:A,0))</f>
        <v>150</v>
      </c>
      <c r="W3314" s="77">
        <f>OrdersTable[[#This Row],[Quantity]]*OrdersTable[[#This Row],[Unit Cost]]</f>
        <v>150</v>
      </c>
      <c r="X3314" s="77">
        <f>'Dropdown Lists'!$I$2*(1+OrdersTable[[#This Row],[Returned]])</f>
        <v>60</v>
      </c>
      <c r="Y3314" s="76">
        <f>OrdersTable[[#This Row],[Net Revenue]]-OrdersTable[[#This Row],[COGS]]-OrdersTable[[#This Row],[Shipping Cost]]</f>
        <v>264.05</v>
      </c>
      <c r="Z3314" s="78">
        <f>IFERROR(OrdersTable[[#This Row],[Profit]]/OrdersTable[[#This Row],[Net Revenue]],0)</f>
        <v>0.55700875435080688</v>
      </c>
      <c r="AA3314" t="s">
        <v>4450</v>
      </c>
      <c r="AB3314" s="79">
        <v>45839</v>
      </c>
      <c r="AC3314">
        <f>OrdersTable[[#This Row],[Delivery Date]]-OrdersTable[[#This Row],[Order Date]]</f>
        <v>4</v>
      </c>
      <c r="AD3314" t="str">
        <f>IF(OrdersTable[[#This Row],[Delivery Days]]&lt;=2, "Express (≤2d)", IF(OrdersTable[[#This Row],[Delivery Days]]&lt;=4, "Standard (3-4d)", "Delayed (5d+)"))</f>
        <v>Standard (3-4d)</v>
      </c>
      <c r="AE3314">
        <v>3</v>
      </c>
      <c r="AF3314">
        <v>0</v>
      </c>
    </row>
    <row r="3315" spans="1:32" ht="15" x14ac:dyDescent="0.35">
      <c r="A3315" t="s">
        <v>3784</v>
      </c>
      <c r="B3315" s="1">
        <v>45835</v>
      </c>
      <c r="C3315">
        <f>YEAR(OrdersTable[[#This Row],[Order Date]])</f>
        <v>2025</v>
      </c>
      <c r="D3315" s="2">
        <f>DATE(YEAR(OrdersTable[[#This Row],[Order Date]]),MONTH(OrdersTable[[#This Row],[Order Date]]),1)</f>
        <v>45809</v>
      </c>
      <c r="E3315">
        <f>MONTH(OrdersTable[[#This Row],[Order Date]])</f>
        <v>6</v>
      </c>
      <c r="F3315" t="s">
        <v>2118</v>
      </c>
      <c r="G3315" t="str">
        <f>IF(OrdersTable[[#This Row],[Order Date]]=_xlfn.MINIFS(Order_Date, Customer_ID, OrdersTable[[#This Row],[Customer ID]]), "New", "Repeat")</f>
        <v>Repeat</v>
      </c>
      <c r="H3315" t="s">
        <v>158</v>
      </c>
      <c r="I3315" t="str">
        <f>INDEX(State!B:B,MATCH(OrdersTable[[#This Row],[State]],State!A:A,0))</f>
        <v>HP</v>
      </c>
      <c r="J3315" t="str">
        <f>INDEX(State!C:C,MATCH(OrdersTable[[#This Row],[State Code]],State!B:B,0))</f>
        <v>North</v>
      </c>
      <c r="K3315" t="s">
        <v>159</v>
      </c>
      <c r="L3315" t="s">
        <v>16</v>
      </c>
      <c r="M3315" t="s">
        <v>87</v>
      </c>
      <c r="N3315" t="str">
        <f>INDEX(Products!B:B,MATCH(OrdersTable[[#This Row],[Product ID]],Products!A:A,0))</f>
        <v>Linen Kurta</v>
      </c>
      <c r="O3315" t="str">
        <f>INDEX(Products!C:C,MATCH(OrdersTable[[#This Row],[Product ID]],Products!A:A,0))</f>
        <v>Apparel</v>
      </c>
      <c r="P3315">
        <v>1</v>
      </c>
      <c r="Q3315" s="5">
        <v>1499</v>
      </c>
      <c r="R3315" s="74">
        <v>0.25</v>
      </c>
      <c r="S3315" s="75">
        <f>OrdersTable[[#This Row],[Quantity]]*OrdersTable[[#This Row],[Unit Price]]</f>
        <v>1499</v>
      </c>
      <c r="T3315" s="5">
        <f>OrdersTable[[#This Row],[Gross Sale]]*OrdersTable[[#This Row],[Discount_Clean2]]</f>
        <v>374.75</v>
      </c>
      <c r="U3315" s="5">
        <f>OrdersTable[[#This Row],[Gross Sale]]-OrdersTable[[#This Row],[Discount Amount]]</f>
        <v>1124.25</v>
      </c>
      <c r="V3315" s="77">
        <f>INDEX(Products!E:E,MATCH(OrdersTable[[#This Row],[Product ID]],Products!A:A,0))</f>
        <v>630</v>
      </c>
      <c r="W3315" s="77">
        <f>OrdersTable[[#This Row],[Quantity]]*OrdersTable[[#This Row],[Unit Cost]]</f>
        <v>630</v>
      </c>
      <c r="X3315" s="77">
        <f>'Dropdown Lists'!$I$2*(1+OrdersTable[[#This Row],[Returned]])</f>
        <v>60</v>
      </c>
      <c r="Y3315" s="76">
        <f>OrdersTable[[#This Row],[Net Revenue]]-OrdersTable[[#This Row],[COGS]]-OrdersTable[[#This Row],[Shipping Cost]]</f>
        <v>434.25</v>
      </c>
      <c r="Z3315" s="78">
        <f>IFERROR(OrdersTable[[#This Row],[Profit]]/OrdersTable[[#This Row],[Net Revenue]],0)</f>
        <v>0.38625750500333556</v>
      </c>
      <c r="AA3315" t="s">
        <v>3495</v>
      </c>
      <c r="AB3315" s="79">
        <v>45840</v>
      </c>
      <c r="AC3315">
        <f>OrdersTable[[#This Row],[Delivery Date]]-OrdersTable[[#This Row],[Order Date]]</f>
        <v>5</v>
      </c>
      <c r="AD3315" t="str">
        <f>IF(OrdersTable[[#This Row],[Delivery Days]]&lt;=2, "Express (≤2d)", IF(OrdersTable[[#This Row],[Delivery Days]]&lt;=4, "Standard (3-4d)", "Delayed (5d+)"))</f>
        <v>Delayed (5d+)</v>
      </c>
      <c r="AF3315">
        <v>0</v>
      </c>
    </row>
    <row r="3316" spans="1:32" ht="15" x14ac:dyDescent="0.35">
      <c r="A3316" t="s">
        <v>6177</v>
      </c>
      <c r="B3316" s="1">
        <v>45835</v>
      </c>
      <c r="C3316">
        <f>YEAR(OrdersTable[[#This Row],[Order Date]])</f>
        <v>2025</v>
      </c>
      <c r="D3316" s="2">
        <f>DATE(YEAR(OrdersTable[[#This Row],[Order Date]]),MONTH(OrdersTable[[#This Row],[Order Date]]),1)</f>
        <v>45809</v>
      </c>
      <c r="E3316">
        <f>MONTH(OrdersTable[[#This Row],[Order Date]])</f>
        <v>6</v>
      </c>
      <c r="F3316" t="s">
        <v>933</v>
      </c>
      <c r="G3316" t="str">
        <f>IF(OrdersTable[[#This Row],[Order Date]]=_xlfn.MINIFS(Order_Date, Customer_ID, OrdersTable[[#This Row],[Customer ID]]), "New", "Repeat")</f>
        <v>Repeat</v>
      </c>
      <c r="H3316" t="s">
        <v>128</v>
      </c>
      <c r="I3316" t="str">
        <f>INDEX(State!B:B,MATCH(OrdersTable[[#This Row],[State]],State!A:A,0))</f>
        <v>DL</v>
      </c>
      <c r="J3316" t="str">
        <f>INDEX(State!C:C,MATCH(OrdersTable[[#This Row],[State Code]],State!B:B,0))</f>
        <v>North</v>
      </c>
      <c r="K3316" t="s">
        <v>129</v>
      </c>
      <c r="L3316" t="s">
        <v>23</v>
      </c>
      <c r="M3316" t="s">
        <v>255</v>
      </c>
      <c r="N3316" t="str">
        <f>INDEX(Products!B:B,MATCH(OrdersTable[[#This Row],[Product ID]],Products!A:A,0))</f>
        <v>Cotton Oversized T-Shirt</v>
      </c>
      <c r="O3316" t="str">
        <f>INDEX(Products!C:C,MATCH(OrdersTable[[#This Row],[Product ID]],Products!A:A,0))</f>
        <v>Apparel</v>
      </c>
      <c r="P3316">
        <v>2</v>
      </c>
      <c r="Q3316" s="5">
        <v>799</v>
      </c>
      <c r="R3316" s="74">
        <v>0</v>
      </c>
      <c r="S3316" s="75">
        <f>OrdersTable[[#This Row],[Quantity]]*OrdersTable[[#This Row],[Unit Price]]</f>
        <v>1598</v>
      </c>
      <c r="T3316" s="5">
        <f>OrdersTable[[#This Row],[Gross Sale]]*OrdersTable[[#This Row],[Discount_Clean2]]</f>
        <v>0</v>
      </c>
      <c r="U3316" s="5">
        <f>OrdersTable[[#This Row],[Gross Sale]]-OrdersTable[[#This Row],[Discount Amount]]</f>
        <v>1598</v>
      </c>
      <c r="V3316" s="77">
        <f>INDEX(Products!E:E,MATCH(OrdersTable[[#This Row],[Product ID]],Products!A:A,0))</f>
        <v>320</v>
      </c>
      <c r="W3316" s="77">
        <f>OrdersTable[[#This Row],[Quantity]]*OrdersTable[[#This Row],[Unit Cost]]</f>
        <v>640</v>
      </c>
      <c r="X3316" s="77">
        <f>'Dropdown Lists'!$I$2*(1+OrdersTable[[#This Row],[Returned]])</f>
        <v>60</v>
      </c>
      <c r="Y3316" s="76">
        <f>OrdersTable[[#This Row],[Net Revenue]]-OrdersTable[[#This Row],[COGS]]-OrdersTable[[#This Row],[Shipping Cost]]</f>
        <v>898</v>
      </c>
      <c r="Z3316" s="78">
        <f>IFERROR(OrdersTable[[#This Row],[Profit]]/OrdersTable[[#This Row],[Net Revenue]],0)</f>
        <v>0.56195244055068838</v>
      </c>
      <c r="AA3316" t="s">
        <v>18</v>
      </c>
      <c r="AB3316" s="79">
        <v>45836</v>
      </c>
      <c r="AC3316">
        <f>OrdersTable[[#This Row],[Delivery Date]]-OrdersTable[[#This Row],[Order Date]]</f>
        <v>1</v>
      </c>
      <c r="AD3316" t="str">
        <f>IF(OrdersTable[[#This Row],[Delivery Days]]&lt;=2, "Express (≤2d)", IF(OrdersTable[[#This Row],[Delivery Days]]&lt;=4, "Standard (3-4d)", "Delayed (5d+)"))</f>
        <v>Express (≤2d)</v>
      </c>
      <c r="AE3316">
        <v>4</v>
      </c>
      <c r="AF3316">
        <v>0</v>
      </c>
    </row>
    <row r="3317" spans="1:32" ht="15" x14ac:dyDescent="0.35">
      <c r="A3317" t="s">
        <v>2001</v>
      </c>
      <c r="B3317" s="1">
        <v>45835</v>
      </c>
      <c r="C3317">
        <f>YEAR(OrdersTable[[#This Row],[Order Date]])</f>
        <v>2025</v>
      </c>
      <c r="D3317" s="2">
        <f>DATE(YEAR(OrdersTable[[#This Row],[Order Date]]),MONTH(OrdersTable[[#This Row],[Order Date]]),1)</f>
        <v>45809</v>
      </c>
      <c r="E3317">
        <f>MONTH(OrdersTable[[#This Row],[Order Date]])</f>
        <v>6</v>
      </c>
      <c r="F3317" t="s">
        <v>240</v>
      </c>
      <c r="G3317" t="str">
        <f>IF(OrdersTable[[#This Row],[Order Date]]=_xlfn.MINIFS(Order_Date, Customer_ID, OrdersTable[[#This Row],[Customer ID]]), "New", "Repeat")</f>
        <v>Repeat</v>
      </c>
      <c r="H3317" t="s">
        <v>71</v>
      </c>
      <c r="I3317" t="str">
        <f>INDEX(State!B:B,MATCH(OrdersTable[[#This Row],[State]],State!A:A,0))</f>
        <v>MH</v>
      </c>
      <c r="J3317" t="str">
        <f>INDEX(State!C:C,MATCH(OrdersTable[[#This Row],[State Code]],State!B:B,0))</f>
        <v>West</v>
      </c>
      <c r="K3317" t="s">
        <v>72</v>
      </c>
      <c r="L3317" t="s">
        <v>50</v>
      </c>
      <c r="M3317" t="s">
        <v>73</v>
      </c>
      <c r="N3317" t="str">
        <f>INDEX(Products!B:B,MATCH(OrdersTable[[#This Row],[Product ID]],Products!A:A,0))</f>
        <v>Hydrating Face Wash</v>
      </c>
      <c r="O3317" t="str">
        <f>INDEX(Products!C:C,MATCH(OrdersTable[[#This Row],[Product ID]],Products!A:A,0))</f>
        <v>Skincare</v>
      </c>
      <c r="P3317">
        <v>1</v>
      </c>
      <c r="Q3317" s="5">
        <v>299</v>
      </c>
      <c r="R3317" s="74">
        <v>0</v>
      </c>
      <c r="S3317" s="75">
        <f>OrdersTable[[#This Row],[Quantity]]*OrdersTable[[#This Row],[Unit Price]]</f>
        <v>299</v>
      </c>
      <c r="T3317" s="5">
        <f>OrdersTable[[#This Row],[Gross Sale]]*OrdersTable[[#This Row],[Discount_Clean2]]</f>
        <v>0</v>
      </c>
      <c r="U3317" s="5">
        <f>OrdersTable[[#This Row],[Gross Sale]]-OrdersTable[[#This Row],[Discount Amount]]</f>
        <v>299</v>
      </c>
      <c r="V3317" s="77">
        <f>INDEX(Products!E:E,MATCH(OrdersTable[[#This Row],[Product ID]],Products!A:A,0))</f>
        <v>90</v>
      </c>
      <c r="W3317" s="77">
        <f>OrdersTable[[#This Row],[Quantity]]*OrdersTable[[#This Row],[Unit Cost]]</f>
        <v>90</v>
      </c>
      <c r="X3317" s="77">
        <f>'Dropdown Lists'!$I$2*(1+OrdersTable[[#This Row],[Returned]])</f>
        <v>60</v>
      </c>
      <c r="Y3317" s="76">
        <f>OrdersTable[[#This Row],[Net Revenue]]-OrdersTable[[#This Row],[COGS]]-OrdersTable[[#This Row],[Shipping Cost]]</f>
        <v>149</v>
      </c>
      <c r="Z3317" s="78">
        <f>IFERROR(OrdersTable[[#This Row],[Profit]]/OrdersTable[[#This Row],[Net Revenue]],0)</f>
        <v>0.49832775919732442</v>
      </c>
      <c r="AA3317" t="s">
        <v>18</v>
      </c>
      <c r="AB3317" s="79">
        <v>45838</v>
      </c>
      <c r="AC3317">
        <f>OrdersTable[[#This Row],[Delivery Date]]-OrdersTable[[#This Row],[Order Date]]</f>
        <v>3</v>
      </c>
      <c r="AD3317" t="str">
        <f>IF(OrdersTable[[#This Row],[Delivery Days]]&lt;=2, "Express (≤2d)", IF(OrdersTable[[#This Row],[Delivery Days]]&lt;=4, "Standard (3-4d)", "Delayed (5d+)"))</f>
        <v>Standard (3-4d)</v>
      </c>
      <c r="AE3317">
        <v>3</v>
      </c>
      <c r="AF3317">
        <v>0</v>
      </c>
    </row>
    <row r="3318" spans="1:32" ht="15" x14ac:dyDescent="0.35">
      <c r="A3318" t="s">
        <v>3304</v>
      </c>
      <c r="B3318" s="1">
        <v>45835</v>
      </c>
      <c r="C3318">
        <f>YEAR(OrdersTable[[#This Row],[Order Date]])</f>
        <v>2025</v>
      </c>
      <c r="D3318" s="2">
        <f>DATE(YEAR(OrdersTable[[#This Row],[Order Date]]),MONTH(OrdersTable[[#This Row],[Order Date]]),1)</f>
        <v>45809</v>
      </c>
      <c r="E3318">
        <f>MONTH(OrdersTable[[#This Row],[Order Date]])</f>
        <v>6</v>
      </c>
      <c r="F3318" t="s">
        <v>3305</v>
      </c>
      <c r="G3318" t="str">
        <f>IF(OrdersTable[[#This Row],[Order Date]]=_xlfn.MINIFS(Order_Date, Customer_ID, OrdersTable[[#This Row],[Customer ID]]), "New", "Repeat")</f>
        <v>Repeat</v>
      </c>
      <c r="H3318" t="s">
        <v>71</v>
      </c>
      <c r="I3318" t="str">
        <f>INDEX(State!B:B,MATCH(OrdersTable[[#This Row],[State]],State!A:A,0))</f>
        <v>MH</v>
      </c>
      <c r="J3318" t="str">
        <f>INDEX(State!C:C,MATCH(OrdersTable[[#This Row],[State Code]],State!B:B,0))</f>
        <v>West</v>
      </c>
      <c r="K3318" t="s">
        <v>72</v>
      </c>
      <c r="L3318" t="s">
        <v>23</v>
      </c>
      <c r="M3318" t="s">
        <v>73</v>
      </c>
      <c r="N3318" t="str">
        <f>INDEX(Products!B:B,MATCH(OrdersTable[[#This Row],[Product ID]],Products!A:A,0))</f>
        <v>Hydrating Face Wash</v>
      </c>
      <c r="O3318" t="str">
        <f>INDEX(Products!C:C,MATCH(OrdersTable[[#This Row],[Product ID]],Products!A:A,0))</f>
        <v>Skincare</v>
      </c>
      <c r="P3318">
        <v>1</v>
      </c>
      <c r="Q3318" s="5">
        <v>299</v>
      </c>
      <c r="R3318" s="74">
        <v>0</v>
      </c>
      <c r="S3318" s="75">
        <f>OrdersTable[[#This Row],[Quantity]]*OrdersTable[[#This Row],[Unit Price]]</f>
        <v>299</v>
      </c>
      <c r="T3318" s="5">
        <f>OrdersTable[[#This Row],[Gross Sale]]*OrdersTable[[#This Row],[Discount_Clean2]]</f>
        <v>0</v>
      </c>
      <c r="U3318" s="5">
        <f>OrdersTable[[#This Row],[Gross Sale]]-OrdersTable[[#This Row],[Discount Amount]]</f>
        <v>299</v>
      </c>
      <c r="V3318" s="77">
        <f>INDEX(Products!E:E,MATCH(OrdersTable[[#This Row],[Product ID]],Products!A:A,0))</f>
        <v>90</v>
      </c>
      <c r="W3318" s="77">
        <f>OrdersTable[[#This Row],[Quantity]]*OrdersTable[[#This Row],[Unit Cost]]</f>
        <v>90</v>
      </c>
      <c r="X3318" s="77">
        <f>'Dropdown Lists'!$I$2*(1+OrdersTable[[#This Row],[Returned]])</f>
        <v>60</v>
      </c>
      <c r="Y3318" s="76">
        <f>OrdersTable[[#This Row],[Net Revenue]]-OrdersTable[[#This Row],[COGS]]-OrdersTable[[#This Row],[Shipping Cost]]</f>
        <v>149</v>
      </c>
      <c r="Z3318" s="78">
        <f>IFERROR(OrdersTable[[#This Row],[Profit]]/OrdersTable[[#This Row],[Net Revenue]],0)</f>
        <v>0.49832775919732442</v>
      </c>
      <c r="AA3318" t="s">
        <v>2522</v>
      </c>
      <c r="AB3318" s="79">
        <v>45837</v>
      </c>
      <c r="AC3318">
        <f>OrdersTable[[#This Row],[Delivery Date]]-OrdersTable[[#This Row],[Order Date]]</f>
        <v>2</v>
      </c>
      <c r="AD3318" t="str">
        <f>IF(OrdersTable[[#This Row],[Delivery Days]]&lt;=2, "Express (≤2d)", IF(OrdersTable[[#This Row],[Delivery Days]]&lt;=4, "Standard (3-4d)", "Delayed (5d+)"))</f>
        <v>Express (≤2d)</v>
      </c>
      <c r="AE3318">
        <v>4</v>
      </c>
      <c r="AF3318">
        <v>0</v>
      </c>
    </row>
    <row r="3319" spans="1:32" ht="15" x14ac:dyDescent="0.35">
      <c r="A3319" t="s">
        <v>3453</v>
      </c>
      <c r="B3319" s="1">
        <v>45835</v>
      </c>
      <c r="C3319">
        <f>YEAR(OrdersTable[[#This Row],[Order Date]])</f>
        <v>2025</v>
      </c>
      <c r="D3319" s="2">
        <f>DATE(YEAR(OrdersTable[[#This Row],[Order Date]]),MONTH(OrdersTable[[#This Row],[Order Date]]),1)</f>
        <v>45809</v>
      </c>
      <c r="E3319">
        <f>MONTH(OrdersTable[[#This Row],[Order Date]])</f>
        <v>6</v>
      </c>
      <c r="F3319" t="s">
        <v>3454</v>
      </c>
      <c r="G3319" t="str">
        <f>IF(OrdersTable[[#This Row],[Order Date]]=_xlfn.MINIFS(Order_Date, Customer_ID, OrdersTable[[#This Row],[Customer ID]]), "New", "Repeat")</f>
        <v>Repeat</v>
      </c>
      <c r="H3319" t="s">
        <v>95</v>
      </c>
      <c r="I3319" t="str">
        <f>INDEX(State!B:B,MATCH(OrdersTable[[#This Row],[State]],State!A:A,0))</f>
        <v>TG</v>
      </c>
      <c r="J3319" t="str">
        <f>INDEX(State!C:C,MATCH(OrdersTable[[#This Row],[State Code]],State!B:B,0))</f>
        <v>South</v>
      </c>
      <c r="K3319" t="s">
        <v>96</v>
      </c>
      <c r="L3319" t="s">
        <v>65</v>
      </c>
      <c r="M3319" t="s">
        <v>152</v>
      </c>
      <c r="N3319" t="str">
        <f>INDEX(Products!B:B,MATCH(OrdersTable[[#This Row],[Product ID]],Products!A:A,0))</f>
        <v>Green Tea (100 bags)</v>
      </c>
      <c r="O3319" t="str">
        <f>INDEX(Products!C:C,MATCH(OrdersTable[[#This Row],[Product ID]],Products!A:A,0))</f>
        <v>Wellness</v>
      </c>
      <c r="P3319">
        <v>1</v>
      </c>
      <c r="Q3319" s="5">
        <v>399</v>
      </c>
      <c r="R3319" s="74">
        <v>0.3</v>
      </c>
      <c r="S3319" s="75">
        <f>OrdersTable[[#This Row],[Quantity]]*OrdersTable[[#This Row],[Unit Price]]</f>
        <v>399</v>
      </c>
      <c r="T3319" s="5">
        <f>OrdersTable[[#This Row],[Gross Sale]]*OrdersTable[[#This Row],[Discount_Clean2]]</f>
        <v>119.69999999999999</v>
      </c>
      <c r="U3319" s="5">
        <f>OrdersTable[[#This Row],[Gross Sale]]-OrdersTable[[#This Row],[Discount Amount]]</f>
        <v>279.3</v>
      </c>
      <c r="V3319" s="77">
        <f>INDEX(Products!E:E,MATCH(OrdersTable[[#This Row],[Product ID]],Products!A:A,0))</f>
        <v>128</v>
      </c>
      <c r="W3319" s="77">
        <f>OrdersTable[[#This Row],[Quantity]]*OrdersTable[[#This Row],[Unit Cost]]</f>
        <v>128</v>
      </c>
      <c r="X3319" s="77">
        <f>'Dropdown Lists'!$I$2*(1+OrdersTable[[#This Row],[Returned]])</f>
        <v>60</v>
      </c>
      <c r="Y3319" s="76">
        <f>OrdersTable[[#This Row],[Net Revenue]]-OrdersTable[[#This Row],[COGS]]-OrdersTable[[#This Row],[Shipping Cost]]</f>
        <v>91.300000000000011</v>
      </c>
      <c r="Z3319" s="78">
        <f>IFERROR(OrdersTable[[#This Row],[Profit]]/OrdersTable[[#This Row],[Net Revenue]],0)</f>
        <v>0.32688865019692093</v>
      </c>
      <c r="AA3319" t="s">
        <v>2522</v>
      </c>
      <c r="AB3319" s="79">
        <v>45840</v>
      </c>
      <c r="AC3319">
        <f>OrdersTable[[#This Row],[Delivery Date]]-OrdersTable[[#This Row],[Order Date]]</f>
        <v>5</v>
      </c>
      <c r="AD3319" t="str">
        <f>IF(OrdersTable[[#This Row],[Delivery Days]]&lt;=2, "Express (≤2d)", IF(OrdersTable[[#This Row],[Delivery Days]]&lt;=4, "Standard (3-4d)", "Delayed (5d+)"))</f>
        <v>Delayed (5d+)</v>
      </c>
      <c r="AE3319">
        <v>4</v>
      </c>
      <c r="AF3319">
        <v>0</v>
      </c>
    </row>
    <row r="3320" spans="1:32" ht="15" x14ac:dyDescent="0.35">
      <c r="A3320" t="s">
        <v>1421</v>
      </c>
      <c r="B3320" s="1">
        <v>45836</v>
      </c>
      <c r="C3320">
        <f>YEAR(OrdersTable[[#This Row],[Order Date]])</f>
        <v>2025</v>
      </c>
      <c r="D3320" s="2">
        <f>DATE(YEAR(OrdersTable[[#This Row],[Order Date]]),MONTH(OrdersTable[[#This Row],[Order Date]]),1)</f>
        <v>45809</v>
      </c>
      <c r="E3320">
        <f>MONTH(OrdersTable[[#This Row],[Order Date]])</f>
        <v>6</v>
      </c>
      <c r="F3320" t="s">
        <v>1422</v>
      </c>
      <c r="G3320" t="str">
        <f>IF(OrdersTable[[#This Row],[Order Date]]=_xlfn.MINIFS(Order_Date, Customer_ID, OrdersTable[[#This Row],[Customer ID]]), "New", "Repeat")</f>
        <v>Repeat</v>
      </c>
      <c r="H3320" t="s">
        <v>21</v>
      </c>
      <c r="I3320" t="str">
        <f>INDEX(State!B:B,MATCH(OrdersTable[[#This Row],[State]],State!A:A,0))</f>
        <v>PB</v>
      </c>
      <c r="J3320" t="str">
        <f>INDEX(State!C:C,MATCH(OrdersTable[[#This Row],[State Code]],State!B:B,0))</f>
        <v>North</v>
      </c>
      <c r="K3320" t="s">
        <v>260</v>
      </c>
      <c r="L3320" t="s">
        <v>23</v>
      </c>
      <c r="M3320" t="s">
        <v>61</v>
      </c>
      <c r="N3320" t="str">
        <f>INDEX(Products!B:B,MATCH(OrdersTable[[#This Row],[Product ID]],Products!A:A,0))</f>
        <v>Multivitamin Gummies</v>
      </c>
      <c r="O3320" t="str">
        <f>INDEX(Products!C:C,MATCH(OrdersTable[[#This Row],[Product ID]],Products!A:A,0))</f>
        <v>Wellness</v>
      </c>
      <c r="P3320">
        <v>1</v>
      </c>
      <c r="Q3320" s="5">
        <v>699</v>
      </c>
      <c r="R3320" s="74">
        <v>0.2</v>
      </c>
      <c r="S3320" s="75">
        <f>OrdersTable[[#This Row],[Quantity]]*OrdersTable[[#This Row],[Unit Price]]</f>
        <v>699</v>
      </c>
      <c r="T3320" s="5">
        <f>OrdersTable[[#This Row],[Gross Sale]]*OrdersTable[[#This Row],[Discount_Clean2]]</f>
        <v>139.80000000000001</v>
      </c>
      <c r="U3320" s="5">
        <f>OrdersTable[[#This Row],[Gross Sale]]-OrdersTable[[#This Row],[Discount Amount]]</f>
        <v>559.20000000000005</v>
      </c>
      <c r="V3320" s="77">
        <f>INDEX(Products!E:E,MATCH(OrdersTable[[#This Row],[Product ID]],Products!A:A,0))</f>
        <v>238</v>
      </c>
      <c r="W3320" s="77">
        <f>OrdersTable[[#This Row],[Quantity]]*OrdersTable[[#This Row],[Unit Cost]]</f>
        <v>238</v>
      </c>
      <c r="X3320" s="77">
        <f>'Dropdown Lists'!$I$2*(1+OrdersTable[[#This Row],[Returned]])</f>
        <v>60</v>
      </c>
      <c r="Y3320" s="76">
        <f>OrdersTable[[#This Row],[Net Revenue]]-OrdersTable[[#This Row],[COGS]]-OrdersTable[[#This Row],[Shipping Cost]]</f>
        <v>261.20000000000005</v>
      </c>
      <c r="Z3320" s="78">
        <f>IFERROR(OrdersTable[[#This Row],[Profit]]/OrdersTable[[#This Row],[Net Revenue]],0)</f>
        <v>0.46709585121602293</v>
      </c>
      <c r="AA3320" t="s">
        <v>18</v>
      </c>
      <c r="AB3320" s="79">
        <v>45839</v>
      </c>
      <c r="AC3320">
        <f>OrdersTable[[#This Row],[Delivery Date]]-OrdersTable[[#This Row],[Order Date]]</f>
        <v>3</v>
      </c>
      <c r="AD3320" t="str">
        <f>IF(OrdersTable[[#This Row],[Delivery Days]]&lt;=2, "Express (≤2d)", IF(OrdersTable[[#This Row],[Delivery Days]]&lt;=4, "Standard (3-4d)", "Delayed (5d+)"))</f>
        <v>Standard (3-4d)</v>
      </c>
      <c r="AF3320">
        <v>0</v>
      </c>
    </row>
    <row r="3321" spans="1:32" ht="15" x14ac:dyDescent="0.35">
      <c r="A3321" t="s">
        <v>1001</v>
      </c>
      <c r="B3321" s="1">
        <v>45836</v>
      </c>
      <c r="C3321">
        <f>YEAR(OrdersTable[[#This Row],[Order Date]])</f>
        <v>2025</v>
      </c>
      <c r="D3321" s="2">
        <f>DATE(YEAR(OrdersTable[[#This Row],[Order Date]]),MONTH(OrdersTable[[#This Row],[Order Date]]),1)</f>
        <v>45809</v>
      </c>
      <c r="E3321">
        <f>MONTH(OrdersTable[[#This Row],[Order Date]])</f>
        <v>6</v>
      </c>
      <c r="F3321" t="s">
        <v>1002</v>
      </c>
      <c r="G3321" t="str">
        <f>IF(OrdersTable[[#This Row],[Order Date]]=_xlfn.MINIFS(Order_Date, Customer_ID, OrdersTable[[#This Row],[Customer ID]]), "New", "Repeat")</f>
        <v>Repeat</v>
      </c>
      <c r="H3321" t="s">
        <v>184</v>
      </c>
      <c r="I3321" t="str">
        <f>INDEX(State!B:B,MATCH(OrdersTable[[#This Row],[State]],State!A:A,0))</f>
        <v>UK</v>
      </c>
      <c r="J3321" t="str">
        <f>INDEX(State!C:C,MATCH(OrdersTable[[#This Row],[State Code]],State!B:B,0))</f>
        <v>North</v>
      </c>
      <c r="K3321" t="s">
        <v>185</v>
      </c>
      <c r="L3321" t="s">
        <v>23</v>
      </c>
      <c r="M3321" t="s">
        <v>106</v>
      </c>
      <c r="N3321" t="str">
        <f>INDEX(Products!B:B,MATCH(OrdersTable[[#This Row],[Product ID]],Products!A:A,0))</f>
        <v>Keratin Hair Mask</v>
      </c>
      <c r="O3321" t="str">
        <f>INDEX(Products!C:C,MATCH(OrdersTable[[#This Row],[Product ID]],Products!A:A,0))</f>
        <v>Haircare</v>
      </c>
      <c r="P3321">
        <v>1</v>
      </c>
      <c r="Q3321" s="5">
        <v>549</v>
      </c>
      <c r="R3321" s="74">
        <v>0.15</v>
      </c>
      <c r="S3321" s="75">
        <f>OrdersTable[[#This Row],[Quantity]]*OrdersTable[[#This Row],[Unit Price]]</f>
        <v>549</v>
      </c>
      <c r="T3321" s="5">
        <f>OrdersTable[[#This Row],[Gross Sale]]*OrdersTable[[#This Row],[Discount_Clean2]]</f>
        <v>82.35</v>
      </c>
      <c r="U3321" s="5">
        <f>OrdersTable[[#This Row],[Gross Sale]]-OrdersTable[[#This Row],[Discount Amount]]</f>
        <v>466.65</v>
      </c>
      <c r="V3321" s="77">
        <f>INDEX(Products!E:E,MATCH(OrdersTable[[#This Row],[Product ID]],Products!A:A,0))</f>
        <v>170</v>
      </c>
      <c r="W3321" s="77">
        <f>OrdersTable[[#This Row],[Quantity]]*OrdersTable[[#This Row],[Unit Cost]]</f>
        <v>170</v>
      </c>
      <c r="X3321" s="77">
        <f>'Dropdown Lists'!$I$2*(1+OrdersTable[[#This Row],[Returned]])</f>
        <v>60</v>
      </c>
      <c r="Y3321" s="76">
        <f>OrdersTable[[#This Row],[Net Revenue]]-OrdersTable[[#This Row],[COGS]]-OrdersTable[[#This Row],[Shipping Cost]]</f>
        <v>236.64999999999998</v>
      </c>
      <c r="Z3321" s="78">
        <f>IFERROR(OrdersTable[[#This Row],[Profit]]/OrdersTable[[#This Row],[Net Revenue]],0)</f>
        <v>0.50712525447337398</v>
      </c>
      <c r="AA3321" t="s">
        <v>18</v>
      </c>
      <c r="AB3321" s="79">
        <v>45839</v>
      </c>
      <c r="AC3321">
        <f>OrdersTable[[#This Row],[Delivery Date]]-OrdersTable[[#This Row],[Order Date]]</f>
        <v>3</v>
      </c>
      <c r="AD3321" t="str">
        <f>IF(OrdersTable[[#This Row],[Delivery Days]]&lt;=2, "Express (≤2d)", IF(OrdersTable[[#This Row],[Delivery Days]]&lt;=4, "Standard (3-4d)", "Delayed (5d+)"))</f>
        <v>Standard (3-4d)</v>
      </c>
      <c r="AE3321">
        <v>4</v>
      </c>
      <c r="AF3321">
        <v>0</v>
      </c>
    </row>
    <row r="3322" spans="1:32" ht="15" x14ac:dyDescent="0.35">
      <c r="A3322" t="s">
        <v>4417</v>
      </c>
      <c r="B3322" s="1">
        <v>45836</v>
      </c>
      <c r="C3322">
        <f>YEAR(OrdersTable[[#This Row],[Order Date]])</f>
        <v>2025</v>
      </c>
      <c r="D3322" s="2">
        <f>DATE(YEAR(OrdersTable[[#This Row],[Order Date]]),MONTH(OrdersTable[[#This Row],[Order Date]]),1)</f>
        <v>45809</v>
      </c>
      <c r="E3322">
        <f>MONTH(OrdersTable[[#This Row],[Order Date]])</f>
        <v>6</v>
      </c>
      <c r="F3322" t="s">
        <v>1206</v>
      </c>
      <c r="G3322" t="str">
        <f>IF(OrdersTable[[#This Row],[Order Date]]=_xlfn.MINIFS(Order_Date, Customer_ID, OrdersTable[[#This Row],[Customer ID]]), "New", "Repeat")</f>
        <v>Repeat</v>
      </c>
      <c r="H3322" t="s">
        <v>48</v>
      </c>
      <c r="I3322" t="str">
        <f>INDEX(State!B:B,MATCH(OrdersTable[[#This Row],[State]],State!A:A,0))</f>
        <v>HR</v>
      </c>
      <c r="J3322" t="str">
        <f>INDEX(State!C:C,MATCH(OrdersTable[[#This Row],[State Code]],State!B:B,0))</f>
        <v>North</v>
      </c>
      <c r="K3322" t="s">
        <v>49</v>
      </c>
      <c r="L3322" t="s">
        <v>39</v>
      </c>
      <c r="M3322" t="s">
        <v>87</v>
      </c>
      <c r="N3322" t="str">
        <f>INDEX(Products!B:B,MATCH(OrdersTable[[#This Row],[Product ID]],Products!A:A,0))</f>
        <v>Linen Kurta</v>
      </c>
      <c r="O3322" t="str">
        <f>INDEX(Products!C:C,MATCH(OrdersTable[[#This Row],[Product ID]],Products!A:A,0))</f>
        <v>Apparel</v>
      </c>
      <c r="P3322">
        <v>1</v>
      </c>
      <c r="Q3322" s="5">
        <v>1499</v>
      </c>
      <c r="R3322" s="74">
        <v>0.25</v>
      </c>
      <c r="S3322" s="75">
        <f>OrdersTable[[#This Row],[Quantity]]*OrdersTable[[#This Row],[Unit Price]]</f>
        <v>1499</v>
      </c>
      <c r="T3322" s="5">
        <f>OrdersTable[[#This Row],[Gross Sale]]*OrdersTable[[#This Row],[Discount_Clean2]]</f>
        <v>374.75</v>
      </c>
      <c r="U3322" s="5">
        <f>OrdersTable[[#This Row],[Gross Sale]]-OrdersTable[[#This Row],[Discount Amount]]</f>
        <v>1124.25</v>
      </c>
      <c r="V3322" s="77">
        <f>INDEX(Products!E:E,MATCH(OrdersTable[[#This Row],[Product ID]],Products!A:A,0))</f>
        <v>630</v>
      </c>
      <c r="W3322" s="77">
        <f>OrdersTable[[#This Row],[Quantity]]*OrdersTable[[#This Row],[Unit Cost]]</f>
        <v>630</v>
      </c>
      <c r="X3322" s="77">
        <f>'Dropdown Lists'!$I$2*(1+OrdersTable[[#This Row],[Returned]])</f>
        <v>60</v>
      </c>
      <c r="Y3322" s="76">
        <f>OrdersTable[[#This Row],[Net Revenue]]-OrdersTable[[#This Row],[COGS]]-OrdersTable[[#This Row],[Shipping Cost]]</f>
        <v>434.25</v>
      </c>
      <c r="Z3322" s="78">
        <f>IFERROR(OrdersTable[[#This Row],[Profit]]/OrdersTable[[#This Row],[Net Revenue]],0)</f>
        <v>0.38625750500333556</v>
      </c>
      <c r="AA3322" t="s">
        <v>4074</v>
      </c>
      <c r="AB3322" s="79">
        <v>45841</v>
      </c>
      <c r="AC3322">
        <f>OrdersTable[[#This Row],[Delivery Date]]-OrdersTable[[#This Row],[Order Date]]</f>
        <v>5</v>
      </c>
      <c r="AD3322" t="str">
        <f>IF(OrdersTable[[#This Row],[Delivery Days]]&lt;=2, "Express (≤2d)", IF(OrdersTable[[#This Row],[Delivery Days]]&lt;=4, "Standard (3-4d)", "Delayed (5d+)"))</f>
        <v>Delayed (5d+)</v>
      </c>
      <c r="AE3322">
        <v>4</v>
      </c>
      <c r="AF3322">
        <v>0</v>
      </c>
    </row>
    <row r="3323" spans="1:32" ht="15" x14ac:dyDescent="0.35">
      <c r="A3323" t="s">
        <v>3306</v>
      </c>
      <c r="B3323" s="1">
        <v>45836</v>
      </c>
      <c r="C3323">
        <f>YEAR(OrdersTable[[#This Row],[Order Date]])</f>
        <v>2025</v>
      </c>
      <c r="D3323" s="2">
        <f>DATE(YEAR(OrdersTable[[#This Row],[Order Date]]),MONTH(OrdersTable[[#This Row],[Order Date]]),1)</f>
        <v>45809</v>
      </c>
      <c r="E3323">
        <f>MONTH(OrdersTable[[#This Row],[Order Date]])</f>
        <v>6</v>
      </c>
      <c r="F3323" t="s">
        <v>3307</v>
      </c>
      <c r="G3323" t="str">
        <f>IF(OrdersTable[[#This Row],[Order Date]]=_xlfn.MINIFS(Order_Date, Customer_ID, OrdersTable[[#This Row],[Customer ID]]), "New", "Repeat")</f>
        <v>New</v>
      </c>
      <c r="H3323" t="s">
        <v>76</v>
      </c>
      <c r="I3323" t="str">
        <f>INDEX(State!B:B,MATCH(OrdersTable[[#This Row],[State]],State!A:A,0))</f>
        <v>UP</v>
      </c>
      <c r="J3323" t="str">
        <f>INDEX(State!C:C,MATCH(OrdersTable[[#This Row],[State Code]],State!B:B,0))</f>
        <v>North</v>
      </c>
      <c r="K3323" t="s">
        <v>105</v>
      </c>
      <c r="L3323" t="s">
        <v>16</v>
      </c>
      <c r="M3323" t="s">
        <v>29</v>
      </c>
      <c r="N3323" t="str">
        <f>INDEX(Products!B:B,MATCH(OrdersTable[[#This Row],[Product ID]],Products!A:A,0))</f>
        <v>Joggers</v>
      </c>
      <c r="O3323" t="str">
        <f>INDEX(Products!C:C,MATCH(OrdersTable[[#This Row],[Product ID]],Products!A:A,0))</f>
        <v>Apparel</v>
      </c>
      <c r="P3323">
        <v>1</v>
      </c>
      <c r="Q3323" s="5">
        <v>1199</v>
      </c>
      <c r="R3323" s="74">
        <v>0.1</v>
      </c>
      <c r="S3323" s="75">
        <f>OrdersTable[[#This Row],[Quantity]]*OrdersTable[[#This Row],[Unit Price]]</f>
        <v>1199</v>
      </c>
      <c r="T3323" s="5">
        <f>OrdersTable[[#This Row],[Gross Sale]]*OrdersTable[[#This Row],[Discount_Clean2]]</f>
        <v>119.9</v>
      </c>
      <c r="U3323" s="5">
        <f>OrdersTable[[#This Row],[Gross Sale]]-OrdersTable[[#This Row],[Discount Amount]]</f>
        <v>1079.0999999999999</v>
      </c>
      <c r="V3323" s="77">
        <f>INDEX(Products!E:E,MATCH(OrdersTable[[#This Row],[Product ID]],Products!A:A,0))</f>
        <v>492</v>
      </c>
      <c r="W3323" s="77">
        <f>OrdersTable[[#This Row],[Quantity]]*OrdersTable[[#This Row],[Unit Cost]]</f>
        <v>492</v>
      </c>
      <c r="X3323" s="77">
        <f>'Dropdown Lists'!$I$2*(1+OrdersTable[[#This Row],[Returned]])</f>
        <v>60</v>
      </c>
      <c r="Y3323" s="76">
        <f>OrdersTable[[#This Row],[Net Revenue]]-OrdersTable[[#This Row],[COGS]]-OrdersTable[[#This Row],[Shipping Cost]]</f>
        <v>527.09999999999991</v>
      </c>
      <c r="Z3323" s="78">
        <f>IFERROR(OrdersTable[[#This Row],[Profit]]/OrdersTable[[#This Row],[Net Revenue]],0)</f>
        <v>0.48846260772866273</v>
      </c>
      <c r="AA3323" t="s">
        <v>2522</v>
      </c>
      <c r="AB3323" s="79">
        <v>45840</v>
      </c>
      <c r="AC3323">
        <f>OrdersTable[[#This Row],[Delivery Date]]-OrdersTable[[#This Row],[Order Date]]</f>
        <v>4</v>
      </c>
      <c r="AD3323" t="str">
        <f>IF(OrdersTable[[#This Row],[Delivery Days]]&lt;=2, "Express (≤2d)", IF(OrdersTable[[#This Row],[Delivery Days]]&lt;=4, "Standard (3-4d)", "Delayed (5d+)"))</f>
        <v>Standard (3-4d)</v>
      </c>
      <c r="AE3323">
        <v>4</v>
      </c>
      <c r="AF3323">
        <v>0</v>
      </c>
    </row>
    <row r="3324" spans="1:32" ht="15" x14ac:dyDescent="0.35">
      <c r="A3324" t="s">
        <v>3070</v>
      </c>
      <c r="B3324" s="1">
        <v>45836</v>
      </c>
      <c r="C3324">
        <f>YEAR(OrdersTable[[#This Row],[Order Date]])</f>
        <v>2025</v>
      </c>
      <c r="D3324" s="2">
        <f>DATE(YEAR(OrdersTable[[#This Row],[Order Date]]),MONTH(OrdersTable[[#This Row],[Order Date]]),1)</f>
        <v>45809</v>
      </c>
      <c r="E3324">
        <f>MONTH(OrdersTable[[#This Row],[Order Date]])</f>
        <v>6</v>
      </c>
      <c r="F3324" t="s">
        <v>3071</v>
      </c>
      <c r="G3324" t="str">
        <f>IF(OrdersTable[[#This Row],[Order Date]]=_xlfn.MINIFS(Order_Date, Customer_ID, OrdersTable[[#This Row],[Customer ID]]), "New", "Repeat")</f>
        <v>Repeat</v>
      </c>
      <c r="H3324" t="s">
        <v>132</v>
      </c>
      <c r="I3324" t="str">
        <f>INDEX(State!B:B,MATCH(OrdersTable[[#This Row],[State]],State!A:A,0))</f>
        <v>AS</v>
      </c>
      <c r="J3324" t="str">
        <f>INDEX(State!C:C,MATCH(OrdersTable[[#This Row],[State Code]],State!B:B,0))</f>
        <v>East</v>
      </c>
      <c r="K3324" t="s">
        <v>133</v>
      </c>
      <c r="L3324" t="s">
        <v>65</v>
      </c>
      <c r="M3324" t="s">
        <v>73</v>
      </c>
      <c r="N3324" t="str">
        <f>INDEX(Products!B:B,MATCH(OrdersTable[[#This Row],[Product ID]],Products!A:A,0))</f>
        <v>Hydrating Face Wash</v>
      </c>
      <c r="O3324" t="str">
        <f>INDEX(Products!C:C,MATCH(OrdersTable[[#This Row],[Product ID]],Products!A:A,0))</f>
        <v>Skincare</v>
      </c>
      <c r="P3324">
        <v>1</v>
      </c>
      <c r="Q3324" s="5">
        <v>299</v>
      </c>
      <c r="R3324" s="74">
        <v>0</v>
      </c>
      <c r="S3324" s="75">
        <f>OrdersTable[[#This Row],[Quantity]]*OrdersTable[[#This Row],[Unit Price]]</f>
        <v>299</v>
      </c>
      <c r="T3324" s="5">
        <f>OrdersTable[[#This Row],[Gross Sale]]*OrdersTable[[#This Row],[Discount_Clean2]]</f>
        <v>0</v>
      </c>
      <c r="U3324" s="5">
        <f>OrdersTable[[#This Row],[Gross Sale]]-OrdersTable[[#This Row],[Discount Amount]]</f>
        <v>299</v>
      </c>
      <c r="V3324" s="77">
        <f>INDEX(Products!E:E,MATCH(OrdersTable[[#This Row],[Product ID]],Products!A:A,0))</f>
        <v>90</v>
      </c>
      <c r="W3324" s="77">
        <f>OrdersTable[[#This Row],[Quantity]]*OrdersTable[[#This Row],[Unit Cost]]</f>
        <v>90</v>
      </c>
      <c r="X3324" s="77">
        <f>'Dropdown Lists'!$I$2*(1+OrdersTable[[#This Row],[Returned]])</f>
        <v>60</v>
      </c>
      <c r="Y3324" s="76">
        <f>OrdersTable[[#This Row],[Net Revenue]]-OrdersTable[[#This Row],[COGS]]-OrdersTable[[#This Row],[Shipping Cost]]</f>
        <v>149</v>
      </c>
      <c r="Z3324" s="78">
        <f>IFERROR(OrdersTable[[#This Row],[Profit]]/OrdersTable[[#This Row],[Net Revenue]],0)</f>
        <v>0.49832775919732442</v>
      </c>
      <c r="AA3324" t="s">
        <v>2522</v>
      </c>
      <c r="AB3324" s="79">
        <v>45841</v>
      </c>
      <c r="AC3324">
        <f>OrdersTable[[#This Row],[Delivery Date]]-OrdersTable[[#This Row],[Order Date]]</f>
        <v>5</v>
      </c>
      <c r="AD3324" t="str">
        <f>IF(OrdersTable[[#This Row],[Delivery Days]]&lt;=2, "Express (≤2d)", IF(OrdersTable[[#This Row],[Delivery Days]]&lt;=4, "Standard (3-4d)", "Delayed (5d+)"))</f>
        <v>Delayed (5d+)</v>
      </c>
      <c r="AF3324">
        <v>0</v>
      </c>
    </row>
    <row r="3325" spans="1:32" ht="15" x14ac:dyDescent="0.35">
      <c r="A3325" t="s">
        <v>4160</v>
      </c>
      <c r="B3325" s="1">
        <v>45836</v>
      </c>
      <c r="C3325">
        <f>YEAR(OrdersTable[[#This Row],[Order Date]])</f>
        <v>2025</v>
      </c>
      <c r="D3325" s="2">
        <f>DATE(YEAR(OrdersTable[[#This Row],[Order Date]]),MONTH(OrdersTable[[#This Row],[Order Date]]),1)</f>
        <v>45809</v>
      </c>
      <c r="E3325">
        <f>MONTH(OrdersTable[[#This Row],[Order Date]])</f>
        <v>6</v>
      </c>
      <c r="F3325" t="s">
        <v>4161</v>
      </c>
      <c r="G3325" t="str">
        <f>IF(OrdersTable[[#This Row],[Order Date]]=_xlfn.MINIFS(Order_Date, Customer_ID, OrdersTable[[#This Row],[Customer ID]]), "New", "Repeat")</f>
        <v>New</v>
      </c>
      <c r="H3325" t="s">
        <v>27</v>
      </c>
      <c r="I3325" t="str">
        <f>INDEX(State!B:B,MATCH(OrdersTable[[#This Row],[State]],State!A:A,0))</f>
        <v>WB</v>
      </c>
      <c r="J3325" t="str">
        <f>INDEX(State!C:C,MATCH(OrdersTable[[#This Row],[State Code]],State!B:B,0))</f>
        <v>East</v>
      </c>
      <c r="K3325" t="s">
        <v>28</v>
      </c>
      <c r="L3325" t="s">
        <v>23</v>
      </c>
      <c r="M3325" t="s">
        <v>84</v>
      </c>
      <c r="N3325" t="str">
        <f>INDEX(Products!B:B,MATCH(OrdersTable[[#This Row],[Product ID]],Products!A:A,0))</f>
        <v>Cotton Bedsheet</v>
      </c>
      <c r="O3325" t="str">
        <f>INDEX(Products!C:C,MATCH(OrdersTable[[#This Row],[Product ID]],Products!A:A,0))</f>
        <v>Home &amp; Kitchen</v>
      </c>
      <c r="P3325">
        <v>1</v>
      </c>
      <c r="Q3325" s="5">
        <v>1299</v>
      </c>
      <c r="R3325" s="74">
        <v>0</v>
      </c>
      <c r="S3325" s="75">
        <f>OrdersTable[[#This Row],[Quantity]]*OrdersTable[[#This Row],[Unit Price]]</f>
        <v>1299</v>
      </c>
      <c r="T3325" s="5">
        <f>OrdersTable[[#This Row],[Gross Sale]]*OrdersTable[[#This Row],[Discount_Clean2]]</f>
        <v>0</v>
      </c>
      <c r="U3325" s="5">
        <f>OrdersTable[[#This Row],[Gross Sale]]-OrdersTable[[#This Row],[Discount Amount]]</f>
        <v>1299</v>
      </c>
      <c r="V3325" s="77">
        <f>INDEX(Products!E:E,MATCH(OrdersTable[[#This Row],[Product ID]],Products!A:A,0))</f>
        <v>585</v>
      </c>
      <c r="W3325" s="77">
        <f>OrdersTable[[#This Row],[Quantity]]*OrdersTable[[#This Row],[Unit Cost]]</f>
        <v>585</v>
      </c>
      <c r="X3325" s="77">
        <f>'Dropdown Lists'!$I$2*(1+OrdersTable[[#This Row],[Returned]])</f>
        <v>60</v>
      </c>
      <c r="Y3325" s="76">
        <f>OrdersTable[[#This Row],[Net Revenue]]-OrdersTable[[#This Row],[COGS]]-OrdersTable[[#This Row],[Shipping Cost]]</f>
        <v>654</v>
      </c>
      <c r="Z3325" s="78">
        <f>IFERROR(OrdersTable[[#This Row],[Profit]]/OrdersTable[[#This Row],[Net Revenue]],0)</f>
        <v>0.50346420323325636</v>
      </c>
      <c r="AA3325" t="s">
        <v>4074</v>
      </c>
      <c r="AB3325" s="79">
        <v>45839</v>
      </c>
      <c r="AC3325">
        <f>OrdersTable[[#This Row],[Delivery Date]]-OrdersTable[[#This Row],[Order Date]]</f>
        <v>3</v>
      </c>
      <c r="AD3325" t="str">
        <f>IF(OrdersTable[[#This Row],[Delivery Days]]&lt;=2, "Express (≤2d)", IF(OrdersTable[[#This Row],[Delivery Days]]&lt;=4, "Standard (3-4d)", "Delayed (5d+)"))</f>
        <v>Standard (3-4d)</v>
      </c>
      <c r="AE3325">
        <v>3</v>
      </c>
      <c r="AF3325">
        <v>0</v>
      </c>
    </row>
    <row r="3326" spans="1:32" ht="15" x14ac:dyDescent="0.35">
      <c r="A3326" t="s">
        <v>3910</v>
      </c>
      <c r="B3326" s="1">
        <v>45836</v>
      </c>
      <c r="C3326">
        <f>YEAR(OrdersTable[[#This Row],[Order Date]])</f>
        <v>2025</v>
      </c>
      <c r="D3326" s="2">
        <f>DATE(YEAR(OrdersTable[[#This Row],[Order Date]]),MONTH(OrdersTable[[#This Row],[Order Date]]),1)</f>
        <v>45809</v>
      </c>
      <c r="E3326">
        <f>MONTH(OrdersTable[[#This Row],[Order Date]])</f>
        <v>6</v>
      </c>
      <c r="F3326" t="s">
        <v>843</v>
      </c>
      <c r="G3326" t="str">
        <f>IF(OrdersTable[[#This Row],[Order Date]]=_xlfn.MINIFS(Order_Date, Customer_ID, OrdersTable[[#This Row],[Customer ID]]), "New", "Repeat")</f>
        <v>Repeat</v>
      </c>
      <c r="H3326" t="s">
        <v>95</v>
      </c>
      <c r="I3326" t="str">
        <f>INDEX(State!B:B,MATCH(OrdersTable[[#This Row],[State]],State!A:A,0))</f>
        <v>TG</v>
      </c>
      <c r="J3326" t="str">
        <f>INDEX(State!C:C,MATCH(OrdersTable[[#This Row],[State Code]],State!B:B,0))</f>
        <v>South</v>
      </c>
      <c r="K3326" t="s">
        <v>96</v>
      </c>
      <c r="L3326" t="s">
        <v>23</v>
      </c>
      <c r="M3326" t="s">
        <v>176</v>
      </c>
      <c r="N3326" t="str">
        <f>INDEX(Products!B:B,MATCH(OrdersTable[[#This Row],[Product ID]],Products!A:A,0))</f>
        <v>Denim Jacket</v>
      </c>
      <c r="O3326" t="str">
        <f>INDEX(Products!C:C,MATCH(OrdersTable[[#This Row],[Product ID]],Products!A:A,0))</f>
        <v>Apparel</v>
      </c>
      <c r="P3326">
        <v>1</v>
      </c>
      <c r="Q3326" s="5">
        <v>2499</v>
      </c>
      <c r="R3326" s="74">
        <v>0</v>
      </c>
      <c r="S3326" s="75">
        <f>OrdersTable[[#This Row],[Quantity]]*OrdersTable[[#This Row],[Unit Price]]</f>
        <v>2499</v>
      </c>
      <c r="T3326" s="5">
        <f>OrdersTable[[#This Row],[Gross Sale]]*OrdersTable[[#This Row],[Discount_Clean2]]</f>
        <v>0</v>
      </c>
      <c r="U3326" s="5">
        <f>OrdersTable[[#This Row],[Gross Sale]]-OrdersTable[[#This Row],[Discount Amount]]</f>
        <v>2499</v>
      </c>
      <c r="V3326" s="77">
        <f>INDEX(Products!E:E,MATCH(OrdersTable[[#This Row],[Product ID]],Products!A:A,0))</f>
        <v>1125</v>
      </c>
      <c r="W3326" s="77">
        <f>OrdersTable[[#This Row],[Quantity]]*OrdersTable[[#This Row],[Unit Cost]]</f>
        <v>1125</v>
      </c>
      <c r="X3326" s="77">
        <f>'Dropdown Lists'!$I$2*(1+OrdersTable[[#This Row],[Returned]])</f>
        <v>60</v>
      </c>
      <c r="Y3326" s="76">
        <f>OrdersTable[[#This Row],[Net Revenue]]-OrdersTable[[#This Row],[COGS]]-OrdersTable[[#This Row],[Shipping Cost]]</f>
        <v>1314</v>
      </c>
      <c r="Z3326" s="78">
        <f>IFERROR(OrdersTable[[#This Row],[Profit]]/OrdersTable[[#This Row],[Net Revenue]],0)</f>
        <v>0.5258103241296519</v>
      </c>
      <c r="AA3326" t="s">
        <v>3495</v>
      </c>
      <c r="AB3326" s="79">
        <v>45840</v>
      </c>
      <c r="AC3326">
        <f>OrdersTable[[#This Row],[Delivery Date]]-OrdersTable[[#This Row],[Order Date]]</f>
        <v>4</v>
      </c>
      <c r="AD3326" t="str">
        <f>IF(OrdersTable[[#This Row],[Delivery Days]]&lt;=2, "Express (≤2d)", IF(OrdersTable[[#This Row],[Delivery Days]]&lt;=4, "Standard (3-4d)", "Delayed (5d+)"))</f>
        <v>Standard (3-4d)</v>
      </c>
      <c r="AE3326">
        <v>3</v>
      </c>
      <c r="AF3326">
        <v>0</v>
      </c>
    </row>
    <row r="3327" spans="1:32" ht="15" x14ac:dyDescent="0.35">
      <c r="A3327" t="s">
        <v>2819</v>
      </c>
      <c r="B3327" s="1">
        <v>45836</v>
      </c>
      <c r="C3327">
        <f>YEAR(OrdersTable[[#This Row],[Order Date]])</f>
        <v>2025</v>
      </c>
      <c r="D3327" s="2">
        <f>DATE(YEAR(OrdersTable[[#This Row],[Order Date]]),MONTH(OrdersTable[[#This Row],[Order Date]]),1)</f>
        <v>45809</v>
      </c>
      <c r="E3327">
        <f>MONTH(OrdersTable[[#This Row],[Order Date]])</f>
        <v>6</v>
      </c>
      <c r="F3327" t="s">
        <v>86</v>
      </c>
      <c r="G3327" t="str">
        <f>IF(OrdersTable[[#This Row],[Order Date]]=_xlfn.MINIFS(Order_Date, Customer_ID, OrdersTable[[#This Row],[Customer ID]]), "New", "Repeat")</f>
        <v>Repeat</v>
      </c>
      <c r="H3327" t="s">
        <v>316</v>
      </c>
      <c r="I3327" t="str">
        <f>INDEX(State!B:B,MATCH(OrdersTable[[#This Row],[State]],State!A:A,0))</f>
        <v>KL</v>
      </c>
      <c r="J3327" t="str">
        <f>INDEX(State!C:C,MATCH(OrdersTable[[#This Row],[State Code]],State!B:B,0))</f>
        <v>South</v>
      </c>
      <c r="K3327" t="s">
        <v>317</v>
      </c>
      <c r="L3327" t="s">
        <v>65</v>
      </c>
      <c r="M3327" t="s">
        <v>106</v>
      </c>
      <c r="N3327" t="str">
        <f>INDEX(Products!B:B,MATCH(OrdersTable[[#This Row],[Product ID]],Products!A:A,0))</f>
        <v>Keratin Hair Mask</v>
      </c>
      <c r="O3327" t="str">
        <f>INDEX(Products!C:C,MATCH(OrdersTable[[#This Row],[Product ID]],Products!A:A,0))</f>
        <v>Haircare</v>
      </c>
      <c r="P3327">
        <v>1</v>
      </c>
      <c r="Q3327" s="5">
        <v>549</v>
      </c>
      <c r="R3327" s="74">
        <v>0.15</v>
      </c>
      <c r="S3327" s="75">
        <f>OrdersTable[[#This Row],[Quantity]]*OrdersTable[[#This Row],[Unit Price]]</f>
        <v>549</v>
      </c>
      <c r="T3327" s="5">
        <f>OrdersTable[[#This Row],[Gross Sale]]*OrdersTable[[#This Row],[Discount_Clean2]]</f>
        <v>82.35</v>
      </c>
      <c r="U3327" s="5">
        <f>OrdersTable[[#This Row],[Gross Sale]]-OrdersTable[[#This Row],[Discount Amount]]</f>
        <v>466.65</v>
      </c>
      <c r="V3327" s="77">
        <f>INDEX(Products!E:E,MATCH(OrdersTable[[#This Row],[Product ID]],Products!A:A,0))</f>
        <v>170</v>
      </c>
      <c r="W3327" s="77">
        <f>OrdersTable[[#This Row],[Quantity]]*OrdersTable[[#This Row],[Unit Cost]]</f>
        <v>170</v>
      </c>
      <c r="X3327" s="77">
        <f>'Dropdown Lists'!$I$2*(1+OrdersTable[[#This Row],[Returned]])</f>
        <v>60</v>
      </c>
      <c r="Y3327" s="76">
        <f>OrdersTable[[#This Row],[Net Revenue]]-OrdersTable[[#This Row],[COGS]]-OrdersTable[[#This Row],[Shipping Cost]]</f>
        <v>236.64999999999998</v>
      </c>
      <c r="Z3327" s="78">
        <f>IFERROR(OrdersTable[[#This Row],[Profit]]/OrdersTable[[#This Row],[Net Revenue]],0)</f>
        <v>0.50712525447337398</v>
      </c>
      <c r="AA3327" t="s">
        <v>2522</v>
      </c>
      <c r="AB3327" s="79">
        <v>45838</v>
      </c>
      <c r="AC3327">
        <f>OrdersTable[[#This Row],[Delivery Date]]-OrdersTable[[#This Row],[Order Date]]</f>
        <v>2</v>
      </c>
      <c r="AD3327" t="str">
        <f>IF(OrdersTable[[#This Row],[Delivery Days]]&lt;=2, "Express (≤2d)", IF(OrdersTable[[#This Row],[Delivery Days]]&lt;=4, "Standard (3-4d)", "Delayed (5d+)"))</f>
        <v>Express (≤2d)</v>
      </c>
      <c r="AE3327">
        <v>3</v>
      </c>
      <c r="AF3327">
        <v>0</v>
      </c>
    </row>
    <row r="3328" spans="1:32" ht="15" x14ac:dyDescent="0.35">
      <c r="A3328" t="s">
        <v>6178</v>
      </c>
      <c r="B3328" s="1">
        <v>45836</v>
      </c>
      <c r="C3328">
        <f>YEAR(OrdersTable[[#This Row],[Order Date]])</f>
        <v>2025</v>
      </c>
      <c r="D3328" s="2">
        <f>DATE(YEAR(OrdersTable[[#This Row],[Order Date]]),MONTH(OrdersTable[[#This Row],[Order Date]]),1)</f>
        <v>45809</v>
      </c>
      <c r="E3328">
        <f>MONTH(OrdersTable[[#This Row],[Order Date]])</f>
        <v>6</v>
      </c>
      <c r="F3328" t="s">
        <v>508</v>
      </c>
      <c r="G3328" t="str">
        <f>IF(OrdersTable[[#This Row],[Order Date]]=_xlfn.MINIFS(Order_Date, Customer_ID, OrdersTable[[#This Row],[Customer ID]]), "New", "Repeat")</f>
        <v>Repeat</v>
      </c>
      <c r="H3328" t="s">
        <v>316</v>
      </c>
      <c r="I3328" t="str">
        <f>INDEX(State!B:B,MATCH(OrdersTable[[#This Row],[State]],State!A:A,0))</f>
        <v>KL</v>
      </c>
      <c r="J3328" t="str">
        <f>INDEX(State!C:C,MATCH(OrdersTable[[#This Row],[State Code]],State!B:B,0))</f>
        <v>South</v>
      </c>
      <c r="K3328" t="s">
        <v>338</v>
      </c>
      <c r="L3328" t="s">
        <v>50</v>
      </c>
      <c r="M3328" t="s">
        <v>106</v>
      </c>
      <c r="N3328" t="str">
        <f>INDEX(Products!B:B,MATCH(OrdersTable[[#This Row],[Product ID]],Products!A:A,0))</f>
        <v>Keratin Hair Mask</v>
      </c>
      <c r="O3328" t="str">
        <f>INDEX(Products!C:C,MATCH(OrdersTable[[#This Row],[Product ID]],Products!A:A,0))</f>
        <v>Haircare</v>
      </c>
      <c r="P3328">
        <v>2</v>
      </c>
      <c r="Q3328" s="5">
        <v>549</v>
      </c>
      <c r="R3328" s="74">
        <v>0.15</v>
      </c>
      <c r="S3328" s="75">
        <f>OrdersTable[[#This Row],[Quantity]]*OrdersTable[[#This Row],[Unit Price]]</f>
        <v>1098</v>
      </c>
      <c r="T3328" s="5">
        <f>OrdersTable[[#This Row],[Gross Sale]]*OrdersTable[[#This Row],[Discount_Clean2]]</f>
        <v>164.7</v>
      </c>
      <c r="U3328" s="5">
        <f>OrdersTable[[#This Row],[Gross Sale]]-OrdersTable[[#This Row],[Discount Amount]]</f>
        <v>933.3</v>
      </c>
      <c r="V3328" s="77">
        <f>INDEX(Products!E:E,MATCH(OrdersTable[[#This Row],[Product ID]],Products!A:A,0))</f>
        <v>170</v>
      </c>
      <c r="W3328" s="77">
        <f>OrdersTable[[#This Row],[Quantity]]*OrdersTable[[#This Row],[Unit Cost]]</f>
        <v>340</v>
      </c>
      <c r="X3328" s="77">
        <f>'Dropdown Lists'!$I$2*(1+OrdersTable[[#This Row],[Returned]])</f>
        <v>60</v>
      </c>
      <c r="Y3328" s="76">
        <f>OrdersTable[[#This Row],[Net Revenue]]-OrdersTable[[#This Row],[COGS]]-OrdersTable[[#This Row],[Shipping Cost]]</f>
        <v>533.29999999999995</v>
      </c>
      <c r="Z3328" s="78">
        <f>IFERROR(OrdersTable[[#This Row],[Profit]]/OrdersTable[[#This Row],[Net Revenue]],0)</f>
        <v>0.57141326475945564</v>
      </c>
      <c r="AA3328" t="s">
        <v>18</v>
      </c>
      <c r="AB3328" s="79">
        <v>45837</v>
      </c>
      <c r="AC3328">
        <f>OrdersTable[[#This Row],[Delivery Date]]-OrdersTable[[#This Row],[Order Date]]</f>
        <v>1</v>
      </c>
      <c r="AD3328" t="str">
        <f>IF(OrdersTable[[#This Row],[Delivery Days]]&lt;=2, "Express (≤2d)", IF(OrdersTable[[#This Row],[Delivery Days]]&lt;=4, "Standard (3-4d)", "Delayed (5d+)"))</f>
        <v>Express (≤2d)</v>
      </c>
      <c r="AE3328">
        <v>4</v>
      </c>
      <c r="AF3328">
        <v>0</v>
      </c>
    </row>
    <row r="3329" spans="1:32" ht="15" x14ac:dyDescent="0.35">
      <c r="A3329" t="s">
        <v>2002</v>
      </c>
      <c r="B3329" s="1">
        <v>45836</v>
      </c>
      <c r="C3329">
        <f>YEAR(OrdersTable[[#This Row],[Order Date]])</f>
        <v>2025</v>
      </c>
      <c r="D3329" s="2">
        <f>DATE(YEAR(OrdersTable[[#This Row],[Order Date]]),MONTH(OrdersTable[[#This Row],[Order Date]]),1)</f>
        <v>45809</v>
      </c>
      <c r="E3329">
        <f>MONTH(OrdersTable[[#This Row],[Order Date]])</f>
        <v>6</v>
      </c>
      <c r="F3329" t="s">
        <v>2003</v>
      </c>
      <c r="G3329" t="str">
        <f>IF(OrdersTable[[#This Row],[Order Date]]=_xlfn.MINIFS(Order_Date, Customer_ID, OrdersTable[[#This Row],[Customer ID]]), "New", "Repeat")</f>
        <v>Repeat</v>
      </c>
      <c r="H3329" t="s">
        <v>316</v>
      </c>
      <c r="I3329" t="str">
        <f>INDEX(State!B:B,MATCH(OrdersTable[[#This Row],[State]],State!A:A,0))</f>
        <v>KL</v>
      </c>
      <c r="J3329" t="str">
        <f>INDEX(State!C:C,MATCH(OrdersTable[[#This Row],[State Code]],State!B:B,0))</f>
        <v>South</v>
      </c>
      <c r="K3329" t="s">
        <v>338</v>
      </c>
      <c r="L3329" t="s">
        <v>50</v>
      </c>
      <c r="M3329" t="s">
        <v>109</v>
      </c>
      <c r="N3329" t="str">
        <f>INDEX(Products!B:B,MATCH(OrdersTable[[#This Row],[Product ID]],Products!A:A,0))</f>
        <v>Onion Hair Oil</v>
      </c>
      <c r="O3329" t="str">
        <f>INDEX(Products!C:C,MATCH(OrdersTable[[#This Row],[Product ID]],Products!A:A,0))</f>
        <v>Haircare</v>
      </c>
      <c r="P3329">
        <v>1</v>
      </c>
      <c r="Q3329" s="5">
        <v>349</v>
      </c>
      <c r="R3329" s="74">
        <v>0.25</v>
      </c>
      <c r="S3329" s="75">
        <f>OrdersTable[[#This Row],[Quantity]]*OrdersTable[[#This Row],[Unit Price]]</f>
        <v>349</v>
      </c>
      <c r="T3329" s="5">
        <f>OrdersTable[[#This Row],[Gross Sale]]*OrdersTable[[#This Row],[Discount_Clean2]]</f>
        <v>87.25</v>
      </c>
      <c r="U3329" s="5">
        <f>OrdersTable[[#This Row],[Gross Sale]]-OrdersTable[[#This Row],[Discount Amount]]</f>
        <v>261.75</v>
      </c>
      <c r="V3329" s="77">
        <f>INDEX(Products!E:E,MATCH(OrdersTable[[#This Row],[Product ID]],Products!A:A,0))</f>
        <v>105</v>
      </c>
      <c r="W3329" s="77">
        <f>OrdersTable[[#This Row],[Quantity]]*OrdersTable[[#This Row],[Unit Cost]]</f>
        <v>105</v>
      </c>
      <c r="X3329" s="77">
        <f>'Dropdown Lists'!$I$2*(1+OrdersTable[[#This Row],[Returned]])</f>
        <v>60</v>
      </c>
      <c r="Y3329" s="76">
        <f>OrdersTable[[#This Row],[Net Revenue]]-OrdersTable[[#This Row],[COGS]]-OrdersTable[[#This Row],[Shipping Cost]]</f>
        <v>96.75</v>
      </c>
      <c r="Z3329" s="78">
        <f>IFERROR(OrdersTable[[#This Row],[Profit]]/OrdersTable[[#This Row],[Net Revenue]],0)</f>
        <v>0.36962750716332377</v>
      </c>
      <c r="AA3329" t="s">
        <v>18</v>
      </c>
      <c r="AB3329" s="79">
        <v>45840</v>
      </c>
      <c r="AC3329">
        <f>OrdersTable[[#This Row],[Delivery Date]]-OrdersTable[[#This Row],[Order Date]]</f>
        <v>4</v>
      </c>
      <c r="AD3329" t="str">
        <f>IF(OrdersTable[[#This Row],[Delivery Days]]&lt;=2, "Express (≤2d)", IF(OrdersTable[[#This Row],[Delivery Days]]&lt;=4, "Standard (3-4d)", "Delayed (5d+)"))</f>
        <v>Standard (3-4d)</v>
      </c>
      <c r="AE3329">
        <v>3</v>
      </c>
      <c r="AF3329">
        <v>0</v>
      </c>
    </row>
    <row r="3330" spans="1:32" ht="15" x14ac:dyDescent="0.35">
      <c r="A3330" t="s">
        <v>6380</v>
      </c>
      <c r="B3330" s="1">
        <v>45837</v>
      </c>
      <c r="C3330">
        <f>YEAR(OrdersTable[[#This Row],[Order Date]])</f>
        <v>2025</v>
      </c>
      <c r="D3330" s="2">
        <f>DATE(YEAR(OrdersTable[[#This Row],[Order Date]]),MONTH(OrdersTable[[#This Row],[Order Date]]),1)</f>
        <v>45809</v>
      </c>
      <c r="E3330">
        <f>MONTH(OrdersTable[[#This Row],[Order Date]])</f>
        <v>6</v>
      </c>
      <c r="F3330" t="s">
        <v>684</v>
      </c>
      <c r="G3330" t="str">
        <f>IF(OrdersTable[[#This Row],[Order Date]]=_xlfn.MINIFS(Order_Date, Customer_ID, OrdersTable[[#This Row],[Customer ID]]), "New", "Repeat")</f>
        <v>Repeat</v>
      </c>
      <c r="H3330" t="s">
        <v>54</v>
      </c>
      <c r="I3330" t="str">
        <f>INDEX(State!B:B,MATCH(OrdersTable[[#This Row],[State]],State!A:A,0))</f>
        <v>RJ</v>
      </c>
      <c r="J3330" t="str">
        <f>INDEX(State!C:C,MATCH(OrdersTable[[#This Row],[State Code]],State!B:B,0))</f>
        <v>North</v>
      </c>
      <c r="K3330" t="s">
        <v>227</v>
      </c>
      <c r="L3330" t="s">
        <v>39</v>
      </c>
      <c r="M3330" t="s">
        <v>51</v>
      </c>
      <c r="N3330" t="str">
        <f>INDEX(Products!B:B,MATCH(OrdersTable[[#This Row],[Product ID]],Products!A:A,0))</f>
        <v>Anti-Dandruff Conditioner</v>
      </c>
      <c r="O3330" t="str">
        <f>INDEX(Products!C:C,MATCH(OrdersTable[[#This Row],[Product ID]],Products!A:A,0))</f>
        <v>Haircare</v>
      </c>
      <c r="P3330">
        <v>2</v>
      </c>
      <c r="Q3330" s="5">
        <v>399</v>
      </c>
      <c r="R3330" s="74">
        <v>0.35</v>
      </c>
      <c r="S3330" s="75">
        <f>OrdersTable[[#This Row],[Quantity]]*OrdersTable[[#This Row],[Unit Price]]</f>
        <v>798</v>
      </c>
      <c r="T3330" s="5">
        <f>OrdersTable[[#This Row],[Gross Sale]]*OrdersTable[[#This Row],[Discount_Clean2]]</f>
        <v>279.29999999999995</v>
      </c>
      <c r="U3330" s="5">
        <f>OrdersTable[[#This Row],[Gross Sale]]-OrdersTable[[#This Row],[Discount Amount]]</f>
        <v>518.70000000000005</v>
      </c>
      <c r="V3330" s="77">
        <f>INDEX(Products!E:E,MATCH(OrdersTable[[#This Row],[Product ID]],Products!A:A,0))</f>
        <v>136</v>
      </c>
      <c r="W3330" s="77">
        <f>OrdersTable[[#This Row],[Quantity]]*OrdersTable[[#This Row],[Unit Cost]]</f>
        <v>272</v>
      </c>
      <c r="X3330" s="77">
        <f>'Dropdown Lists'!$I$2*(1+OrdersTable[[#This Row],[Returned]])</f>
        <v>60</v>
      </c>
      <c r="Y3330" s="76">
        <f>OrdersTable[[#This Row],[Net Revenue]]-OrdersTable[[#This Row],[COGS]]-OrdersTable[[#This Row],[Shipping Cost]]</f>
        <v>186.70000000000005</v>
      </c>
      <c r="Z3330" s="78">
        <f>IFERROR(OrdersTable[[#This Row],[Profit]]/OrdersTable[[#This Row],[Net Revenue]],0)</f>
        <v>0.35993830730672843</v>
      </c>
      <c r="AA3330" t="s">
        <v>18</v>
      </c>
      <c r="AB3330" s="79">
        <v>45840</v>
      </c>
      <c r="AC3330">
        <f>OrdersTable[[#This Row],[Delivery Date]]-OrdersTable[[#This Row],[Order Date]]</f>
        <v>3</v>
      </c>
      <c r="AD3330" t="str">
        <f>IF(OrdersTable[[#This Row],[Delivery Days]]&lt;=2, "Express (≤2d)", IF(OrdersTable[[#This Row],[Delivery Days]]&lt;=4, "Standard (3-4d)", "Delayed (5d+)"))</f>
        <v>Standard (3-4d)</v>
      </c>
      <c r="AE3330">
        <v>4</v>
      </c>
      <c r="AF3330">
        <v>0</v>
      </c>
    </row>
    <row r="3331" spans="1:32" ht="15" x14ac:dyDescent="0.35">
      <c r="A3331" t="s">
        <v>2004</v>
      </c>
      <c r="B3331" s="1">
        <v>45837</v>
      </c>
      <c r="C3331">
        <f>YEAR(OrdersTable[[#This Row],[Order Date]])</f>
        <v>2025</v>
      </c>
      <c r="D3331" s="2">
        <f>DATE(YEAR(OrdersTable[[#This Row],[Order Date]]),MONTH(OrdersTable[[#This Row],[Order Date]]),1)</f>
        <v>45809</v>
      </c>
      <c r="E3331">
        <f>MONTH(OrdersTable[[#This Row],[Order Date]])</f>
        <v>6</v>
      </c>
      <c r="F3331" t="s">
        <v>2005</v>
      </c>
      <c r="G3331" t="str">
        <f>IF(OrdersTable[[#This Row],[Order Date]]=_xlfn.MINIFS(Order_Date, Customer_ID, OrdersTable[[#This Row],[Customer ID]]), "New", "Repeat")</f>
        <v>Repeat</v>
      </c>
      <c r="H3331" t="s">
        <v>37</v>
      </c>
      <c r="I3331" t="str">
        <f>INDEX(State!B:B,MATCH(OrdersTable[[#This Row],[State]],State!A:A,0))</f>
        <v>GJ</v>
      </c>
      <c r="J3331" t="str">
        <f>INDEX(State!C:C,MATCH(OrdersTable[[#This Row],[State Code]],State!B:B,0))</f>
        <v>West</v>
      </c>
      <c r="K3331" t="s">
        <v>247</v>
      </c>
      <c r="L3331" t="s">
        <v>39</v>
      </c>
      <c r="M3331" t="s">
        <v>24</v>
      </c>
      <c r="N3331" t="str">
        <f>INDEX(Products!B:B,MATCH(OrdersTable[[#This Row],[Product ID]],Products!A:A,0))</f>
        <v>Scented Candle Set</v>
      </c>
      <c r="O3331" t="str">
        <f>INDEX(Products!C:C,MATCH(OrdersTable[[#This Row],[Product ID]],Products!A:A,0))</f>
        <v>Home &amp; Kitchen</v>
      </c>
      <c r="P3331">
        <v>1</v>
      </c>
      <c r="Q3331" s="5">
        <v>699</v>
      </c>
      <c r="R3331" s="74">
        <v>0.15</v>
      </c>
      <c r="S3331" s="75">
        <f>OrdersTable[[#This Row],[Quantity]]*OrdersTable[[#This Row],[Unit Price]]</f>
        <v>699</v>
      </c>
      <c r="T3331" s="5">
        <f>OrdersTable[[#This Row],[Gross Sale]]*OrdersTable[[#This Row],[Discount_Clean2]]</f>
        <v>104.85</v>
      </c>
      <c r="U3331" s="5">
        <f>OrdersTable[[#This Row],[Gross Sale]]-OrdersTable[[#This Row],[Discount Amount]]</f>
        <v>594.15</v>
      </c>
      <c r="V3331" s="77">
        <f>INDEX(Products!E:E,MATCH(OrdersTable[[#This Row],[Product ID]],Products!A:A,0))</f>
        <v>245</v>
      </c>
      <c r="W3331" s="77">
        <f>OrdersTable[[#This Row],[Quantity]]*OrdersTable[[#This Row],[Unit Cost]]</f>
        <v>245</v>
      </c>
      <c r="X3331" s="77">
        <f>'Dropdown Lists'!$I$2*(1+OrdersTable[[#This Row],[Returned]])</f>
        <v>60</v>
      </c>
      <c r="Y3331" s="76">
        <f>OrdersTable[[#This Row],[Net Revenue]]-OrdersTable[[#This Row],[COGS]]-OrdersTable[[#This Row],[Shipping Cost]]</f>
        <v>289.14999999999998</v>
      </c>
      <c r="Z3331" s="78">
        <f>IFERROR(OrdersTable[[#This Row],[Profit]]/OrdersTable[[#This Row],[Net Revenue]],0)</f>
        <v>0.48666161743667424</v>
      </c>
      <c r="AA3331" t="s">
        <v>18</v>
      </c>
      <c r="AB3331" s="79">
        <v>45842</v>
      </c>
      <c r="AC3331">
        <f>OrdersTable[[#This Row],[Delivery Date]]-OrdersTable[[#This Row],[Order Date]]</f>
        <v>5</v>
      </c>
      <c r="AD3331" t="str">
        <f>IF(OrdersTable[[#This Row],[Delivery Days]]&lt;=2, "Express (≤2d)", IF(OrdersTable[[#This Row],[Delivery Days]]&lt;=4, "Standard (3-4d)", "Delayed (5d+)"))</f>
        <v>Delayed (5d+)</v>
      </c>
      <c r="AE3331">
        <v>3</v>
      </c>
      <c r="AF3331">
        <v>0</v>
      </c>
    </row>
    <row r="3332" spans="1:32" ht="15" x14ac:dyDescent="0.35">
      <c r="A3332" t="s">
        <v>5206</v>
      </c>
      <c r="B3332" s="1">
        <v>45837</v>
      </c>
      <c r="C3332">
        <f>YEAR(OrdersTable[[#This Row],[Order Date]])</f>
        <v>2025</v>
      </c>
      <c r="D3332" s="2">
        <f>DATE(YEAR(OrdersTable[[#This Row],[Order Date]]),MONTH(OrdersTable[[#This Row],[Order Date]]),1)</f>
        <v>45809</v>
      </c>
      <c r="E3332">
        <f>MONTH(OrdersTable[[#This Row],[Order Date]])</f>
        <v>6</v>
      </c>
      <c r="F3332" t="s">
        <v>560</v>
      </c>
      <c r="G3332" t="str">
        <f>IF(OrdersTable[[#This Row],[Order Date]]=_xlfn.MINIFS(Order_Date, Customer_ID, OrdersTable[[#This Row],[Customer ID]]), "New", "Repeat")</f>
        <v>Repeat</v>
      </c>
      <c r="H3332" t="s">
        <v>71</v>
      </c>
      <c r="I3332" t="str">
        <f>INDEX(State!B:B,MATCH(OrdersTable[[#This Row],[State]],State!A:A,0))</f>
        <v>MH</v>
      </c>
      <c r="J3332" t="str">
        <f>INDEX(State!C:C,MATCH(OrdersTable[[#This Row],[State Code]],State!B:B,0))</f>
        <v>West</v>
      </c>
      <c r="K3332" t="s">
        <v>72</v>
      </c>
      <c r="L3332" t="s">
        <v>16</v>
      </c>
      <c r="M3332" t="s">
        <v>255</v>
      </c>
      <c r="N3332" t="str">
        <f>INDEX(Products!B:B,MATCH(OrdersTable[[#This Row],[Product ID]],Products!A:A,0))</f>
        <v>Cotton Oversized T-Shirt</v>
      </c>
      <c r="O3332" t="str">
        <f>INDEX(Products!C:C,MATCH(OrdersTable[[#This Row],[Product ID]],Products!A:A,0))</f>
        <v>Apparel</v>
      </c>
      <c r="P3332">
        <v>2</v>
      </c>
      <c r="Q3332" s="5">
        <v>799</v>
      </c>
      <c r="R3332" s="74">
        <v>0.1</v>
      </c>
      <c r="S3332" s="75">
        <f>OrdersTable[[#This Row],[Quantity]]*OrdersTable[[#This Row],[Unit Price]]</f>
        <v>1598</v>
      </c>
      <c r="T3332" s="5">
        <f>OrdersTable[[#This Row],[Gross Sale]]*OrdersTable[[#This Row],[Discount_Clean2]]</f>
        <v>159.80000000000001</v>
      </c>
      <c r="U3332" s="5">
        <f>OrdersTable[[#This Row],[Gross Sale]]-OrdersTable[[#This Row],[Discount Amount]]</f>
        <v>1438.2</v>
      </c>
      <c r="V3332" s="77">
        <f>INDEX(Products!E:E,MATCH(OrdersTable[[#This Row],[Product ID]],Products!A:A,0))</f>
        <v>320</v>
      </c>
      <c r="W3332" s="77">
        <f>OrdersTable[[#This Row],[Quantity]]*OrdersTable[[#This Row],[Unit Cost]]</f>
        <v>640</v>
      </c>
      <c r="X3332" s="77">
        <f>'Dropdown Lists'!$I$2*(1+OrdersTable[[#This Row],[Returned]])</f>
        <v>60</v>
      </c>
      <c r="Y3332" s="76">
        <f>OrdersTable[[#This Row],[Net Revenue]]-OrdersTable[[#This Row],[COGS]]-OrdersTable[[#This Row],[Shipping Cost]]</f>
        <v>738.2</v>
      </c>
      <c r="Z3332" s="78">
        <f>IFERROR(OrdersTable[[#This Row],[Profit]]/OrdersTable[[#This Row],[Net Revenue]],0)</f>
        <v>0.51328048950076488</v>
      </c>
      <c r="AA3332" t="s">
        <v>3495</v>
      </c>
      <c r="AB3332" s="79">
        <v>45840</v>
      </c>
      <c r="AC3332">
        <f>OrdersTable[[#This Row],[Delivery Date]]-OrdersTable[[#This Row],[Order Date]]</f>
        <v>3</v>
      </c>
      <c r="AD3332" t="str">
        <f>IF(OrdersTable[[#This Row],[Delivery Days]]&lt;=2, "Express (≤2d)", IF(OrdersTable[[#This Row],[Delivery Days]]&lt;=4, "Standard (3-4d)", "Delayed (5d+)"))</f>
        <v>Standard (3-4d)</v>
      </c>
      <c r="AF3332">
        <v>0</v>
      </c>
    </row>
    <row r="3333" spans="1:32" ht="15" x14ac:dyDescent="0.35">
      <c r="A3333" t="s">
        <v>2635</v>
      </c>
      <c r="B3333" s="1">
        <v>45837</v>
      </c>
      <c r="C3333">
        <f>YEAR(OrdersTable[[#This Row],[Order Date]])</f>
        <v>2025</v>
      </c>
      <c r="D3333" s="2">
        <f>DATE(YEAR(OrdersTable[[#This Row],[Order Date]]),MONTH(OrdersTable[[#This Row],[Order Date]]),1)</f>
        <v>45809</v>
      </c>
      <c r="E3333">
        <f>MONTH(OrdersTable[[#This Row],[Order Date]])</f>
        <v>6</v>
      </c>
      <c r="F3333" t="s">
        <v>2636</v>
      </c>
      <c r="G3333" t="str">
        <f>IF(OrdersTable[[#This Row],[Order Date]]=_xlfn.MINIFS(Order_Date, Customer_ID, OrdersTable[[#This Row],[Customer ID]]), "New", "Repeat")</f>
        <v>New</v>
      </c>
      <c r="H3333" t="s">
        <v>71</v>
      </c>
      <c r="I3333" t="str">
        <f>INDEX(State!B:B,MATCH(OrdersTable[[#This Row],[State]],State!A:A,0))</f>
        <v>MH</v>
      </c>
      <c r="J3333" t="str">
        <f>INDEX(State!C:C,MATCH(OrdersTable[[#This Row],[State Code]],State!B:B,0))</f>
        <v>West</v>
      </c>
      <c r="K3333" t="s">
        <v>81</v>
      </c>
      <c r="L3333" t="s">
        <v>16</v>
      </c>
      <c r="M3333" t="s">
        <v>87</v>
      </c>
      <c r="N3333" t="str">
        <f>INDEX(Products!B:B,MATCH(OrdersTable[[#This Row],[Product ID]],Products!A:A,0))</f>
        <v>Linen Kurta</v>
      </c>
      <c r="O3333" t="str">
        <f>INDEX(Products!C:C,MATCH(OrdersTable[[#This Row],[Product ID]],Products!A:A,0))</f>
        <v>Apparel</v>
      </c>
      <c r="P3333">
        <v>1</v>
      </c>
      <c r="Q3333" s="5">
        <v>1499</v>
      </c>
      <c r="R3333" s="74">
        <v>0.25</v>
      </c>
      <c r="S3333" s="75">
        <f>OrdersTable[[#This Row],[Quantity]]*OrdersTable[[#This Row],[Unit Price]]</f>
        <v>1499</v>
      </c>
      <c r="T3333" s="5">
        <f>OrdersTable[[#This Row],[Gross Sale]]*OrdersTable[[#This Row],[Discount_Clean2]]</f>
        <v>374.75</v>
      </c>
      <c r="U3333" s="5">
        <f>OrdersTable[[#This Row],[Gross Sale]]-OrdersTable[[#This Row],[Discount Amount]]</f>
        <v>1124.25</v>
      </c>
      <c r="V3333" s="77">
        <f>INDEX(Products!E:E,MATCH(OrdersTable[[#This Row],[Product ID]],Products!A:A,0))</f>
        <v>630</v>
      </c>
      <c r="W3333" s="77">
        <f>OrdersTable[[#This Row],[Quantity]]*OrdersTable[[#This Row],[Unit Cost]]</f>
        <v>630</v>
      </c>
      <c r="X3333" s="77">
        <f>'Dropdown Lists'!$I$2*(1+OrdersTable[[#This Row],[Returned]])</f>
        <v>60</v>
      </c>
      <c r="Y3333" s="76">
        <f>OrdersTable[[#This Row],[Net Revenue]]-OrdersTable[[#This Row],[COGS]]-OrdersTable[[#This Row],[Shipping Cost]]</f>
        <v>434.25</v>
      </c>
      <c r="Z3333" s="78">
        <f>IFERROR(OrdersTable[[#This Row],[Profit]]/OrdersTable[[#This Row],[Net Revenue]],0)</f>
        <v>0.38625750500333556</v>
      </c>
      <c r="AA3333" t="s">
        <v>2522</v>
      </c>
      <c r="AB3333" s="79">
        <v>45838</v>
      </c>
      <c r="AC3333">
        <f>OrdersTable[[#This Row],[Delivery Date]]-OrdersTable[[#This Row],[Order Date]]</f>
        <v>1</v>
      </c>
      <c r="AD3333" t="str">
        <f>IF(OrdersTable[[#This Row],[Delivery Days]]&lt;=2, "Express (≤2d)", IF(OrdersTable[[#This Row],[Delivery Days]]&lt;=4, "Standard (3-4d)", "Delayed (5d+)"))</f>
        <v>Express (≤2d)</v>
      </c>
      <c r="AE3333">
        <v>5</v>
      </c>
      <c r="AF3333">
        <v>0</v>
      </c>
    </row>
    <row r="3334" spans="1:32" ht="15" x14ac:dyDescent="0.35">
      <c r="A3334" t="s">
        <v>6179</v>
      </c>
      <c r="B3334" s="1">
        <v>45837</v>
      </c>
      <c r="C3334">
        <f>YEAR(OrdersTable[[#This Row],[Order Date]])</f>
        <v>2025</v>
      </c>
      <c r="D3334" s="2">
        <f>DATE(YEAR(OrdersTable[[#This Row],[Order Date]]),MONTH(OrdersTable[[#This Row],[Order Date]]),1)</f>
        <v>45809</v>
      </c>
      <c r="E3334">
        <f>MONTH(OrdersTable[[#This Row],[Order Date]])</f>
        <v>6</v>
      </c>
      <c r="F3334" t="s">
        <v>5031</v>
      </c>
      <c r="G3334" t="str">
        <f>IF(OrdersTable[[#This Row],[Order Date]]=_xlfn.MINIFS(Order_Date, Customer_ID, OrdersTable[[#This Row],[Customer ID]]), "New", "Repeat")</f>
        <v>Repeat</v>
      </c>
      <c r="H3334" t="s">
        <v>275</v>
      </c>
      <c r="I3334" t="str">
        <f>INDEX(State!B:B,MATCH(OrdersTable[[#This Row],[State]],State!A:A,0))</f>
        <v>AP</v>
      </c>
      <c r="J3334" t="str">
        <f>INDEX(State!C:C,MATCH(OrdersTable[[#This Row],[State Code]],State!B:B,0))</f>
        <v>South</v>
      </c>
      <c r="K3334" t="s">
        <v>276</v>
      </c>
      <c r="L3334" t="s">
        <v>23</v>
      </c>
      <c r="M3334" t="s">
        <v>73</v>
      </c>
      <c r="N3334" t="str">
        <f>INDEX(Products!B:B,MATCH(OrdersTable[[#This Row],[Product ID]],Products!A:A,0))</f>
        <v>Hydrating Face Wash</v>
      </c>
      <c r="O3334" t="str">
        <f>INDEX(Products!C:C,MATCH(OrdersTable[[#This Row],[Product ID]],Products!A:A,0))</f>
        <v>Skincare</v>
      </c>
      <c r="P3334">
        <v>2</v>
      </c>
      <c r="Q3334" s="5">
        <v>299</v>
      </c>
      <c r="R3334" s="74">
        <v>0.05</v>
      </c>
      <c r="S3334" s="75">
        <f>OrdersTable[[#This Row],[Quantity]]*OrdersTable[[#This Row],[Unit Price]]</f>
        <v>598</v>
      </c>
      <c r="T3334" s="5">
        <f>OrdersTable[[#This Row],[Gross Sale]]*OrdersTable[[#This Row],[Discount_Clean2]]</f>
        <v>29.900000000000002</v>
      </c>
      <c r="U3334" s="5">
        <f>OrdersTable[[#This Row],[Gross Sale]]-OrdersTable[[#This Row],[Discount Amount]]</f>
        <v>568.1</v>
      </c>
      <c r="V3334" s="77">
        <f>INDEX(Products!E:E,MATCH(OrdersTable[[#This Row],[Product ID]],Products!A:A,0))</f>
        <v>90</v>
      </c>
      <c r="W3334" s="77">
        <f>OrdersTable[[#This Row],[Quantity]]*OrdersTable[[#This Row],[Unit Cost]]</f>
        <v>180</v>
      </c>
      <c r="X3334" s="77">
        <f>'Dropdown Lists'!$I$2*(1+OrdersTable[[#This Row],[Returned]])</f>
        <v>60</v>
      </c>
      <c r="Y3334" s="76">
        <f>OrdersTable[[#This Row],[Net Revenue]]-OrdersTable[[#This Row],[COGS]]-OrdersTable[[#This Row],[Shipping Cost]]</f>
        <v>328.1</v>
      </c>
      <c r="Z3334" s="78">
        <f>IFERROR(OrdersTable[[#This Row],[Profit]]/OrdersTable[[#This Row],[Net Revenue]],0)</f>
        <v>0.57753916563985219</v>
      </c>
      <c r="AA3334" t="s">
        <v>18</v>
      </c>
      <c r="AB3334" s="79">
        <v>45840</v>
      </c>
      <c r="AC3334">
        <f>OrdersTable[[#This Row],[Delivery Date]]-OrdersTable[[#This Row],[Order Date]]</f>
        <v>3</v>
      </c>
      <c r="AD3334" t="str">
        <f>IF(OrdersTable[[#This Row],[Delivery Days]]&lt;=2, "Express (≤2d)", IF(OrdersTable[[#This Row],[Delivery Days]]&lt;=4, "Standard (3-4d)", "Delayed (5d+)"))</f>
        <v>Standard (3-4d)</v>
      </c>
      <c r="AE3334">
        <v>4</v>
      </c>
      <c r="AF3334">
        <v>0</v>
      </c>
    </row>
    <row r="3335" spans="1:32" ht="15" x14ac:dyDescent="0.35">
      <c r="A3335" t="s">
        <v>6723</v>
      </c>
      <c r="B3335" s="1">
        <v>45837</v>
      </c>
      <c r="C3335">
        <f>YEAR(OrdersTable[[#This Row],[Order Date]])</f>
        <v>2025</v>
      </c>
      <c r="D3335" s="2">
        <f>DATE(YEAR(OrdersTable[[#This Row],[Order Date]]),MONTH(OrdersTable[[#This Row],[Order Date]]),1)</f>
        <v>45809</v>
      </c>
      <c r="E3335">
        <f>MONTH(OrdersTable[[#This Row],[Order Date]])</f>
        <v>6</v>
      </c>
      <c r="F3335" t="s">
        <v>580</v>
      </c>
      <c r="G3335" t="str">
        <f>IF(OrdersTable[[#This Row],[Order Date]]=_xlfn.MINIFS(Order_Date, Customer_ID, OrdersTable[[#This Row],[Customer ID]]), "New", "Repeat")</f>
        <v>Repeat</v>
      </c>
      <c r="H3335" t="s">
        <v>275</v>
      </c>
      <c r="I3335" t="str">
        <f>INDEX(State!B:B,MATCH(OrdersTable[[#This Row],[State]],State!A:A,0))</f>
        <v>AP</v>
      </c>
      <c r="J3335" t="str">
        <f>INDEX(State!C:C,MATCH(OrdersTable[[#This Row],[State Code]],State!B:B,0))</f>
        <v>South</v>
      </c>
      <c r="K3335" t="s">
        <v>276</v>
      </c>
      <c r="L3335" t="s">
        <v>39</v>
      </c>
      <c r="M3335" t="s">
        <v>148</v>
      </c>
      <c r="N3335" t="str">
        <f>INDEX(Products!B:B,MATCH(OrdersTable[[#This Row],[Product ID]],Products!A:A,0))</f>
        <v>Smartwatch Strap</v>
      </c>
      <c r="O3335" t="str">
        <f>INDEX(Products!C:C,MATCH(OrdersTable[[#This Row],[Product ID]],Products!A:A,0))</f>
        <v>Electronics</v>
      </c>
      <c r="P3335">
        <v>3</v>
      </c>
      <c r="Q3335" s="5">
        <v>499</v>
      </c>
      <c r="R3335" s="74">
        <v>0.05</v>
      </c>
      <c r="S3335" s="75">
        <f>OrdersTable[[#This Row],[Quantity]]*OrdersTable[[#This Row],[Unit Price]]</f>
        <v>1497</v>
      </c>
      <c r="T3335" s="5">
        <f>OrdersTable[[#This Row],[Gross Sale]]*OrdersTable[[#This Row],[Discount_Clean2]]</f>
        <v>74.850000000000009</v>
      </c>
      <c r="U3335" s="5">
        <f>OrdersTable[[#This Row],[Gross Sale]]-OrdersTable[[#This Row],[Discount Amount]]</f>
        <v>1422.15</v>
      </c>
      <c r="V3335" s="77">
        <f>INDEX(Products!E:E,MATCH(OrdersTable[[#This Row],[Product ID]],Products!A:A,0))</f>
        <v>200</v>
      </c>
      <c r="W3335" s="77">
        <f>OrdersTable[[#This Row],[Quantity]]*OrdersTable[[#This Row],[Unit Cost]]</f>
        <v>600</v>
      </c>
      <c r="X3335" s="77">
        <f>'Dropdown Lists'!$I$2*(1+OrdersTable[[#This Row],[Returned]])</f>
        <v>120</v>
      </c>
      <c r="Y3335" s="76">
        <f>OrdersTable[[#This Row],[Net Revenue]]-OrdersTable[[#This Row],[COGS]]-OrdersTable[[#This Row],[Shipping Cost]]</f>
        <v>702.15000000000009</v>
      </c>
      <c r="Z3335" s="78">
        <f>IFERROR(OrdersTable[[#This Row],[Profit]]/OrdersTable[[#This Row],[Net Revenue]],0)</f>
        <v>0.49372429068663648</v>
      </c>
      <c r="AA3335" t="s">
        <v>2522</v>
      </c>
      <c r="AB3335" s="79">
        <v>45843</v>
      </c>
      <c r="AC3335">
        <f>OrdersTable[[#This Row],[Delivery Date]]-OrdersTable[[#This Row],[Order Date]]</f>
        <v>6</v>
      </c>
      <c r="AD3335" t="str">
        <f>IF(OrdersTable[[#This Row],[Delivery Days]]&lt;=2, "Express (≤2d)", IF(OrdersTable[[#This Row],[Delivery Days]]&lt;=4, "Standard (3-4d)", "Delayed (5d+)"))</f>
        <v>Delayed (5d+)</v>
      </c>
      <c r="AE3335">
        <v>4</v>
      </c>
      <c r="AF3335">
        <v>1</v>
      </c>
    </row>
    <row r="3336" spans="1:32" ht="15" x14ac:dyDescent="0.35">
      <c r="A3336" t="s">
        <v>2006</v>
      </c>
      <c r="B3336" s="1">
        <v>45838</v>
      </c>
      <c r="C3336">
        <f>YEAR(OrdersTable[[#This Row],[Order Date]])</f>
        <v>2025</v>
      </c>
      <c r="D3336" s="2">
        <f>DATE(YEAR(OrdersTable[[#This Row],[Order Date]]),MONTH(OrdersTable[[#This Row],[Order Date]]),1)</f>
        <v>45809</v>
      </c>
      <c r="E3336">
        <f>MONTH(OrdersTable[[#This Row],[Order Date]])</f>
        <v>6</v>
      </c>
      <c r="F3336" t="s">
        <v>422</v>
      </c>
      <c r="G3336" t="str">
        <f>IF(OrdersTable[[#This Row],[Order Date]]=_xlfn.MINIFS(Order_Date, Customer_ID, OrdersTable[[#This Row],[Customer ID]]), "New", "Repeat")</f>
        <v>New</v>
      </c>
      <c r="H3336" t="s">
        <v>128</v>
      </c>
      <c r="I3336" t="str">
        <f>INDEX(State!B:B,MATCH(OrdersTable[[#This Row],[State]],State!A:A,0))</f>
        <v>DL</v>
      </c>
      <c r="J3336" t="str">
        <f>INDEX(State!C:C,MATCH(OrdersTable[[#This Row],[State Code]],State!B:B,0))</f>
        <v>North</v>
      </c>
      <c r="K3336" t="s">
        <v>129</v>
      </c>
      <c r="L3336" t="s">
        <v>65</v>
      </c>
      <c r="M3336" t="s">
        <v>78</v>
      </c>
      <c r="N3336" t="str">
        <f>INDEX(Products!B:B,MATCH(OrdersTable[[#This Row],[Product ID]],Products!A:A,0))</f>
        <v>Retinol Night Cream</v>
      </c>
      <c r="O3336" t="str">
        <f>INDEX(Products!C:C,MATCH(OrdersTable[[#This Row],[Product ID]],Products!A:A,0))</f>
        <v>Skincare</v>
      </c>
      <c r="P3336">
        <v>1</v>
      </c>
      <c r="Q3336" s="5">
        <v>799</v>
      </c>
      <c r="R3336" s="74">
        <v>0.05</v>
      </c>
      <c r="S3336" s="75">
        <f>OrdersTable[[#This Row],[Quantity]]*OrdersTable[[#This Row],[Unit Price]]</f>
        <v>799</v>
      </c>
      <c r="T3336" s="5">
        <f>OrdersTable[[#This Row],[Gross Sale]]*OrdersTable[[#This Row],[Discount_Clean2]]</f>
        <v>39.950000000000003</v>
      </c>
      <c r="U3336" s="5">
        <f>OrdersTable[[#This Row],[Gross Sale]]-OrdersTable[[#This Row],[Discount Amount]]</f>
        <v>759.05</v>
      </c>
      <c r="V3336" s="77">
        <f>INDEX(Products!E:E,MATCH(OrdersTable[[#This Row],[Product ID]],Products!A:A,0))</f>
        <v>216</v>
      </c>
      <c r="W3336" s="77">
        <f>OrdersTable[[#This Row],[Quantity]]*OrdersTable[[#This Row],[Unit Cost]]</f>
        <v>216</v>
      </c>
      <c r="X3336" s="77">
        <f>'Dropdown Lists'!$I$2*(1+OrdersTable[[#This Row],[Returned]])</f>
        <v>120</v>
      </c>
      <c r="Y3336" s="76">
        <f>OrdersTable[[#This Row],[Net Revenue]]-OrdersTable[[#This Row],[COGS]]-OrdersTable[[#This Row],[Shipping Cost]]</f>
        <v>423.04999999999995</v>
      </c>
      <c r="Z3336" s="78">
        <f>IFERROR(OrdersTable[[#This Row],[Profit]]/OrdersTable[[#This Row],[Net Revenue]],0)</f>
        <v>0.5573414136091166</v>
      </c>
      <c r="AA3336" t="s">
        <v>18</v>
      </c>
      <c r="AB3336" s="79">
        <v>45839</v>
      </c>
      <c r="AC3336">
        <f>OrdersTable[[#This Row],[Delivery Date]]-OrdersTable[[#This Row],[Order Date]]</f>
        <v>1</v>
      </c>
      <c r="AD3336" t="str">
        <f>IF(OrdersTable[[#This Row],[Delivery Days]]&lt;=2, "Express (≤2d)", IF(OrdersTable[[#This Row],[Delivery Days]]&lt;=4, "Standard (3-4d)", "Delayed (5d+)"))</f>
        <v>Express (≤2d)</v>
      </c>
      <c r="AE3336">
        <v>3</v>
      </c>
      <c r="AF3336">
        <v>1</v>
      </c>
    </row>
    <row r="3337" spans="1:32" ht="15" x14ac:dyDescent="0.35">
      <c r="A3337" t="s">
        <v>2421</v>
      </c>
      <c r="B3337" s="1">
        <v>45838</v>
      </c>
      <c r="C3337">
        <f>YEAR(OrdersTable[[#This Row],[Order Date]])</f>
        <v>2025</v>
      </c>
      <c r="D3337" s="2">
        <f>DATE(YEAR(OrdersTable[[#This Row],[Order Date]]),MONTH(OrdersTable[[#This Row],[Order Date]]),1)</f>
        <v>45809</v>
      </c>
      <c r="E3337">
        <f>MONTH(OrdersTable[[#This Row],[Order Date]])</f>
        <v>6</v>
      </c>
      <c r="F3337" t="s">
        <v>864</v>
      </c>
      <c r="G3337" t="str">
        <f>IF(OrdersTable[[#This Row],[Order Date]]=_xlfn.MINIFS(Order_Date, Customer_ID, OrdersTable[[#This Row],[Customer ID]]), "New", "Repeat")</f>
        <v>Repeat</v>
      </c>
      <c r="H3337" t="s">
        <v>71</v>
      </c>
      <c r="I3337" t="str">
        <f>INDEX(State!B:B,MATCH(OrdersTable[[#This Row],[State]],State!A:A,0))</f>
        <v>MH</v>
      </c>
      <c r="J3337" t="str">
        <f>INDEX(State!C:C,MATCH(OrdersTable[[#This Row],[State Code]],State!B:B,0))</f>
        <v>West</v>
      </c>
      <c r="K3337" t="s">
        <v>102</v>
      </c>
      <c r="L3337" t="s">
        <v>16</v>
      </c>
      <c r="M3337" t="s">
        <v>34</v>
      </c>
      <c r="N3337" t="str">
        <f>INDEX(Products!B:B,MATCH(OrdersTable[[#This Row],[Product ID]],Products!A:A,0))</f>
        <v>Flip Flops</v>
      </c>
      <c r="O3337" t="str">
        <f>INDEX(Products!C:C,MATCH(OrdersTable[[#This Row],[Product ID]],Products!A:A,0))</f>
        <v>Footwear</v>
      </c>
      <c r="P3337">
        <v>1</v>
      </c>
      <c r="Q3337" s="5">
        <v>399</v>
      </c>
      <c r="R3337" s="74">
        <v>0.05</v>
      </c>
      <c r="S3337" s="75">
        <f>OrdersTable[[#This Row],[Quantity]]*OrdersTable[[#This Row],[Unit Price]]</f>
        <v>399</v>
      </c>
      <c r="T3337" s="5">
        <f>OrdersTable[[#This Row],[Gross Sale]]*OrdersTable[[#This Row],[Discount_Clean2]]</f>
        <v>19.950000000000003</v>
      </c>
      <c r="U3337" s="5">
        <f>OrdersTable[[#This Row],[Gross Sale]]-OrdersTable[[#This Row],[Discount Amount]]</f>
        <v>379.05</v>
      </c>
      <c r="V3337" s="77">
        <f>INDEX(Products!E:E,MATCH(OrdersTable[[#This Row],[Product ID]],Products!A:A,0))</f>
        <v>152</v>
      </c>
      <c r="W3337" s="77">
        <f>OrdersTable[[#This Row],[Quantity]]*OrdersTable[[#This Row],[Unit Cost]]</f>
        <v>152</v>
      </c>
      <c r="X3337" s="77">
        <f>'Dropdown Lists'!$I$2*(1+OrdersTable[[#This Row],[Returned]])</f>
        <v>60</v>
      </c>
      <c r="Y3337" s="76">
        <f>OrdersTable[[#This Row],[Net Revenue]]-OrdersTable[[#This Row],[COGS]]-OrdersTable[[#This Row],[Shipping Cost]]</f>
        <v>167.05</v>
      </c>
      <c r="Z3337" s="78">
        <f>IFERROR(OrdersTable[[#This Row],[Profit]]/OrdersTable[[#This Row],[Net Revenue]],0)</f>
        <v>0.44070703073473161</v>
      </c>
      <c r="AA3337" t="s">
        <v>18</v>
      </c>
      <c r="AB3337" s="79">
        <v>45839</v>
      </c>
      <c r="AC3337">
        <f>OrdersTable[[#This Row],[Delivery Date]]-OrdersTable[[#This Row],[Order Date]]</f>
        <v>1</v>
      </c>
      <c r="AD3337" t="str">
        <f>IF(OrdersTable[[#This Row],[Delivery Days]]&lt;=2, "Express (≤2d)", IF(OrdersTable[[#This Row],[Delivery Days]]&lt;=4, "Standard (3-4d)", "Delayed (5d+)"))</f>
        <v>Express (≤2d)</v>
      </c>
      <c r="AE3337">
        <v>5</v>
      </c>
      <c r="AF3337">
        <v>0</v>
      </c>
    </row>
    <row r="3338" spans="1:32" ht="15" x14ac:dyDescent="0.35">
      <c r="A3338" t="s">
        <v>4036</v>
      </c>
      <c r="B3338" s="1">
        <v>45838</v>
      </c>
      <c r="C3338">
        <f>YEAR(OrdersTable[[#This Row],[Order Date]])</f>
        <v>2025</v>
      </c>
      <c r="D3338" s="2">
        <f>DATE(YEAR(OrdersTable[[#This Row],[Order Date]]),MONTH(OrdersTable[[#This Row],[Order Date]]),1)</f>
        <v>45809</v>
      </c>
      <c r="E3338">
        <f>MONTH(OrdersTable[[#This Row],[Order Date]])</f>
        <v>6</v>
      </c>
      <c r="F3338" t="s">
        <v>2625</v>
      </c>
      <c r="G3338" t="str">
        <f>IF(OrdersTable[[#This Row],[Order Date]]=_xlfn.MINIFS(Order_Date, Customer_ID, OrdersTable[[#This Row],[Customer ID]]), "New", "Repeat")</f>
        <v>Repeat</v>
      </c>
      <c r="H3338" t="s">
        <v>71</v>
      </c>
      <c r="I3338" t="str">
        <f>INDEX(State!B:B,MATCH(OrdersTable[[#This Row],[State]],State!A:A,0))</f>
        <v>MH</v>
      </c>
      <c r="J3338" t="str">
        <f>INDEX(State!C:C,MATCH(OrdersTable[[#This Row],[State Code]],State!B:B,0))</f>
        <v>West</v>
      </c>
      <c r="K3338" t="s">
        <v>102</v>
      </c>
      <c r="L3338" t="s">
        <v>39</v>
      </c>
      <c r="M3338" t="s">
        <v>66</v>
      </c>
      <c r="N3338" t="str">
        <f>INDEX(Products!B:B,MATCH(OrdersTable[[#This Row],[Product ID]],Products!A:A,0))</f>
        <v>Sunscreen SPF 50</v>
      </c>
      <c r="O3338" t="str">
        <f>INDEX(Products!C:C,MATCH(OrdersTable[[#This Row],[Product ID]],Products!A:A,0))</f>
        <v>Skincare</v>
      </c>
      <c r="P3338">
        <v>1</v>
      </c>
      <c r="Q3338" s="5">
        <v>449</v>
      </c>
      <c r="R3338" s="74">
        <v>0</v>
      </c>
      <c r="S3338" s="75">
        <f>OrdersTable[[#This Row],[Quantity]]*OrdersTable[[#This Row],[Unit Price]]</f>
        <v>449</v>
      </c>
      <c r="T3338" s="5">
        <f>OrdersTable[[#This Row],[Gross Sale]]*OrdersTable[[#This Row],[Discount_Clean2]]</f>
        <v>0</v>
      </c>
      <c r="U3338" s="5">
        <f>OrdersTable[[#This Row],[Gross Sale]]-OrdersTable[[#This Row],[Discount Amount]]</f>
        <v>449</v>
      </c>
      <c r="V3338" s="77">
        <f>INDEX(Products!E:E,MATCH(OrdersTable[[#This Row],[Product ID]],Products!A:A,0))</f>
        <v>144</v>
      </c>
      <c r="W3338" s="77">
        <f>OrdersTable[[#This Row],[Quantity]]*OrdersTable[[#This Row],[Unit Cost]]</f>
        <v>144</v>
      </c>
      <c r="X3338" s="77">
        <f>'Dropdown Lists'!$I$2*(1+OrdersTable[[#This Row],[Returned]])</f>
        <v>60</v>
      </c>
      <c r="Y3338" s="76">
        <f>OrdersTable[[#This Row],[Net Revenue]]-OrdersTable[[#This Row],[COGS]]-OrdersTable[[#This Row],[Shipping Cost]]</f>
        <v>245</v>
      </c>
      <c r="Z3338" s="78">
        <f>IFERROR(OrdersTable[[#This Row],[Profit]]/OrdersTable[[#This Row],[Net Revenue]],0)</f>
        <v>0.54565701559020041</v>
      </c>
      <c r="AA3338" t="s">
        <v>3495</v>
      </c>
      <c r="AB3338" s="79">
        <v>45841</v>
      </c>
      <c r="AC3338">
        <f>OrdersTable[[#This Row],[Delivery Date]]-OrdersTable[[#This Row],[Order Date]]</f>
        <v>3</v>
      </c>
      <c r="AD3338" t="str">
        <f>IF(OrdersTable[[#This Row],[Delivery Days]]&lt;=2, "Express (≤2d)", IF(OrdersTable[[#This Row],[Delivery Days]]&lt;=4, "Standard (3-4d)", "Delayed (5d+)"))</f>
        <v>Standard (3-4d)</v>
      </c>
      <c r="AE3338">
        <v>5</v>
      </c>
      <c r="AF3338">
        <v>0</v>
      </c>
    </row>
    <row r="3339" spans="1:32" ht="15" x14ac:dyDescent="0.35">
      <c r="A3339" t="s">
        <v>5526</v>
      </c>
      <c r="B3339" s="1">
        <v>45838</v>
      </c>
      <c r="C3339">
        <f>YEAR(OrdersTable[[#This Row],[Order Date]])</f>
        <v>2025</v>
      </c>
      <c r="D3339" s="2">
        <f>DATE(YEAR(OrdersTable[[#This Row],[Order Date]]),MONTH(OrdersTable[[#This Row],[Order Date]]),1)</f>
        <v>45809</v>
      </c>
      <c r="E3339">
        <f>MONTH(OrdersTable[[#This Row],[Order Date]])</f>
        <v>6</v>
      </c>
      <c r="F3339" t="s">
        <v>1129</v>
      </c>
      <c r="G3339" t="str">
        <f>IF(OrdersTable[[#This Row],[Order Date]]=_xlfn.MINIFS(Order_Date, Customer_ID, OrdersTable[[#This Row],[Customer ID]]), "New", "Repeat")</f>
        <v>Repeat</v>
      </c>
      <c r="H3339" t="s">
        <v>95</v>
      </c>
      <c r="I3339" t="str">
        <f>INDEX(State!B:B,MATCH(OrdersTable[[#This Row],[State]],State!A:A,0))</f>
        <v>TG</v>
      </c>
      <c r="J3339" t="str">
        <f>INDEX(State!C:C,MATCH(OrdersTable[[#This Row],[State Code]],State!B:B,0))</f>
        <v>South</v>
      </c>
      <c r="K3339" t="s">
        <v>96</v>
      </c>
      <c r="L3339" t="s">
        <v>65</v>
      </c>
      <c r="M3339" t="s">
        <v>73</v>
      </c>
      <c r="N3339" t="str">
        <f>INDEX(Products!B:B,MATCH(OrdersTable[[#This Row],[Product ID]],Products!A:A,0))</f>
        <v>Hydrating Face Wash</v>
      </c>
      <c r="O3339" t="str">
        <f>INDEX(Products!C:C,MATCH(OrdersTable[[#This Row],[Product ID]],Products!A:A,0))</f>
        <v>Skincare</v>
      </c>
      <c r="P3339">
        <v>2</v>
      </c>
      <c r="Q3339" s="5">
        <v>299</v>
      </c>
      <c r="R3339" s="74">
        <v>0</v>
      </c>
      <c r="S3339" s="75">
        <f>OrdersTable[[#This Row],[Quantity]]*OrdersTable[[#This Row],[Unit Price]]</f>
        <v>598</v>
      </c>
      <c r="T3339" s="5">
        <f>OrdersTable[[#This Row],[Gross Sale]]*OrdersTable[[#This Row],[Discount_Clean2]]</f>
        <v>0</v>
      </c>
      <c r="U3339" s="5">
        <f>OrdersTable[[#This Row],[Gross Sale]]-OrdersTable[[#This Row],[Discount Amount]]</f>
        <v>598</v>
      </c>
      <c r="V3339" s="77">
        <f>INDEX(Products!E:E,MATCH(OrdersTable[[#This Row],[Product ID]],Products!A:A,0))</f>
        <v>90</v>
      </c>
      <c r="W3339" s="77">
        <f>OrdersTable[[#This Row],[Quantity]]*OrdersTable[[#This Row],[Unit Cost]]</f>
        <v>180</v>
      </c>
      <c r="X3339" s="77">
        <f>'Dropdown Lists'!$I$2*(1+OrdersTable[[#This Row],[Returned]])</f>
        <v>120</v>
      </c>
      <c r="Y3339" s="76">
        <f>OrdersTable[[#This Row],[Net Revenue]]-OrdersTable[[#This Row],[COGS]]-OrdersTable[[#This Row],[Shipping Cost]]</f>
        <v>298</v>
      </c>
      <c r="Z3339" s="78">
        <f>IFERROR(OrdersTable[[#This Row],[Profit]]/OrdersTable[[#This Row],[Net Revenue]],0)</f>
        <v>0.49832775919732442</v>
      </c>
      <c r="AA3339" t="s">
        <v>2522</v>
      </c>
      <c r="AB3339" s="79">
        <v>45841</v>
      </c>
      <c r="AC3339">
        <f>OrdersTable[[#This Row],[Delivery Date]]-OrdersTable[[#This Row],[Order Date]]</f>
        <v>3</v>
      </c>
      <c r="AD3339" t="str">
        <f>IF(OrdersTable[[#This Row],[Delivery Days]]&lt;=2, "Express (≤2d)", IF(OrdersTable[[#This Row],[Delivery Days]]&lt;=4, "Standard (3-4d)", "Delayed (5d+)"))</f>
        <v>Standard (3-4d)</v>
      </c>
      <c r="AE3339">
        <v>4</v>
      </c>
      <c r="AF3339">
        <v>1</v>
      </c>
    </row>
    <row r="3340" spans="1:32" ht="15" x14ac:dyDescent="0.35">
      <c r="A3340" t="s">
        <v>2422</v>
      </c>
      <c r="B3340" s="1">
        <v>45838</v>
      </c>
      <c r="C3340">
        <f>YEAR(OrdersTable[[#This Row],[Order Date]])</f>
        <v>2025</v>
      </c>
      <c r="D3340" s="2">
        <f>DATE(YEAR(OrdersTable[[#This Row],[Order Date]]),MONTH(OrdersTable[[#This Row],[Order Date]]),1)</f>
        <v>45809</v>
      </c>
      <c r="E3340">
        <f>MONTH(OrdersTable[[#This Row],[Order Date]])</f>
        <v>6</v>
      </c>
      <c r="F3340" t="s">
        <v>2423</v>
      </c>
      <c r="G3340" t="str">
        <f>IF(OrdersTable[[#This Row],[Order Date]]=_xlfn.MINIFS(Order_Date, Customer_ID, OrdersTable[[#This Row],[Customer ID]]), "New", "Repeat")</f>
        <v>Repeat</v>
      </c>
      <c r="H3340" t="s">
        <v>167</v>
      </c>
      <c r="I3340" t="str">
        <f>INDEX(State!B:B,MATCH(OrdersTable[[#This Row],[State]],State!A:A,0))</f>
        <v>KA</v>
      </c>
      <c r="J3340" t="str">
        <f>INDEX(State!C:C,MATCH(OrdersTable[[#This Row],[State Code]],State!B:B,0))</f>
        <v>South</v>
      </c>
      <c r="K3340" t="s">
        <v>190</v>
      </c>
      <c r="L3340" t="s">
        <v>23</v>
      </c>
      <c r="M3340" t="s">
        <v>160</v>
      </c>
      <c r="N3340" t="str">
        <f>INDEX(Products!B:B,MATCH(OrdersTable[[#This Row],[Product ID]],Products!A:A,0))</f>
        <v>Niacinamide Toner</v>
      </c>
      <c r="O3340" t="str">
        <f>INDEX(Products!C:C,MATCH(OrdersTable[[#This Row],[Product ID]],Products!A:A,0))</f>
        <v>Skincare</v>
      </c>
      <c r="P3340">
        <v>1</v>
      </c>
      <c r="Q3340" s="5">
        <v>399</v>
      </c>
      <c r="R3340" s="74">
        <v>0.25</v>
      </c>
      <c r="S3340" s="75">
        <f>OrdersTable[[#This Row],[Quantity]]*OrdersTable[[#This Row],[Unit Price]]</f>
        <v>399</v>
      </c>
      <c r="T3340" s="5">
        <f>OrdersTable[[#This Row],[Gross Sale]]*OrdersTable[[#This Row],[Discount_Clean2]]</f>
        <v>99.75</v>
      </c>
      <c r="U3340" s="5">
        <f>OrdersTable[[#This Row],[Gross Sale]]-OrdersTable[[#This Row],[Discount Amount]]</f>
        <v>299.25</v>
      </c>
      <c r="V3340" s="77">
        <f>INDEX(Products!E:E,MATCH(OrdersTable[[#This Row],[Product ID]],Products!A:A,0))</f>
        <v>112</v>
      </c>
      <c r="W3340" s="77">
        <f>OrdersTable[[#This Row],[Quantity]]*OrdersTable[[#This Row],[Unit Cost]]</f>
        <v>112</v>
      </c>
      <c r="X3340" s="77">
        <f>'Dropdown Lists'!$I$2*(1+OrdersTable[[#This Row],[Returned]])</f>
        <v>60</v>
      </c>
      <c r="Y3340" s="76">
        <f>OrdersTable[[#This Row],[Net Revenue]]-OrdersTable[[#This Row],[COGS]]-OrdersTable[[#This Row],[Shipping Cost]]</f>
        <v>127.25</v>
      </c>
      <c r="Z3340" s="78">
        <f>IFERROR(OrdersTable[[#This Row],[Profit]]/OrdersTable[[#This Row],[Net Revenue]],0)</f>
        <v>0.42522974101921468</v>
      </c>
      <c r="AA3340" t="s">
        <v>18</v>
      </c>
      <c r="AB3340" s="79">
        <v>45840</v>
      </c>
      <c r="AC3340">
        <f>OrdersTable[[#This Row],[Delivery Date]]-OrdersTable[[#This Row],[Order Date]]</f>
        <v>2</v>
      </c>
      <c r="AD3340" t="str">
        <f>IF(OrdersTable[[#This Row],[Delivery Days]]&lt;=2, "Express (≤2d)", IF(OrdersTable[[#This Row],[Delivery Days]]&lt;=4, "Standard (3-4d)", "Delayed (5d+)"))</f>
        <v>Express (≤2d)</v>
      </c>
      <c r="AE3340">
        <v>5</v>
      </c>
      <c r="AF3340">
        <v>0</v>
      </c>
    </row>
    <row r="3341" spans="1:32" ht="15" x14ac:dyDescent="0.35">
      <c r="A3341" t="s">
        <v>4840</v>
      </c>
      <c r="B3341" s="1">
        <v>45838</v>
      </c>
      <c r="C3341">
        <f>YEAR(OrdersTable[[#This Row],[Order Date]])</f>
        <v>2025</v>
      </c>
      <c r="D3341" s="2">
        <f>DATE(YEAR(OrdersTable[[#This Row],[Order Date]]),MONTH(OrdersTable[[#This Row],[Order Date]]),1)</f>
        <v>45809</v>
      </c>
      <c r="E3341">
        <f>MONTH(OrdersTable[[#This Row],[Order Date]])</f>
        <v>6</v>
      </c>
      <c r="F3341" t="s">
        <v>3428</v>
      </c>
      <c r="G3341" t="str">
        <f>IF(OrdersTable[[#This Row],[Order Date]]=_xlfn.MINIFS(Order_Date, Customer_ID, OrdersTable[[#This Row],[Customer ID]]), "New", "Repeat")</f>
        <v>Repeat</v>
      </c>
      <c r="H3341" t="s">
        <v>167</v>
      </c>
      <c r="I3341" t="str">
        <f>INDEX(State!B:B,MATCH(OrdersTable[[#This Row],[State]],State!A:A,0))</f>
        <v>KA</v>
      </c>
      <c r="J3341" t="str">
        <f>INDEX(State!C:C,MATCH(OrdersTable[[#This Row],[State Code]],State!B:B,0))</f>
        <v>South</v>
      </c>
      <c r="K3341" t="s">
        <v>168</v>
      </c>
      <c r="L3341" t="s">
        <v>65</v>
      </c>
      <c r="M3341" t="s">
        <v>40</v>
      </c>
      <c r="N3341" t="str">
        <f>INDEX(Products!B:B,MATCH(OrdersTable[[#This Row],[Product ID]],Products!A:A,0))</f>
        <v>Ashwagandha Capsules</v>
      </c>
      <c r="O3341" t="str">
        <f>INDEX(Products!C:C,MATCH(OrdersTable[[#This Row],[Product ID]],Products!A:A,0))</f>
        <v>Wellness</v>
      </c>
      <c r="P3341">
        <v>2</v>
      </c>
      <c r="Q3341" s="5">
        <v>499</v>
      </c>
      <c r="R3341" s="74">
        <v>0</v>
      </c>
      <c r="S3341" s="75">
        <f>OrdersTable[[#This Row],[Quantity]]*OrdersTable[[#This Row],[Unit Price]]</f>
        <v>998</v>
      </c>
      <c r="T3341" s="5">
        <f>OrdersTable[[#This Row],[Gross Sale]]*OrdersTable[[#This Row],[Discount_Clean2]]</f>
        <v>0</v>
      </c>
      <c r="U3341" s="5">
        <f>OrdersTable[[#This Row],[Gross Sale]]-OrdersTable[[#This Row],[Discount Amount]]</f>
        <v>998</v>
      </c>
      <c r="V3341" s="77">
        <f>INDEX(Products!E:E,MATCH(OrdersTable[[#This Row],[Product ID]],Products!A:A,0))</f>
        <v>150</v>
      </c>
      <c r="W3341" s="77">
        <f>OrdersTable[[#This Row],[Quantity]]*OrdersTable[[#This Row],[Unit Cost]]</f>
        <v>300</v>
      </c>
      <c r="X3341" s="77">
        <f>'Dropdown Lists'!$I$2*(1+OrdersTable[[#This Row],[Returned]])</f>
        <v>60</v>
      </c>
      <c r="Y3341" s="76">
        <f>OrdersTable[[#This Row],[Net Revenue]]-OrdersTable[[#This Row],[COGS]]-OrdersTable[[#This Row],[Shipping Cost]]</f>
        <v>638</v>
      </c>
      <c r="Z3341" s="78">
        <f>IFERROR(OrdersTable[[#This Row],[Profit]]/OrdersTable[[#This Row],[Net Revenue]],0)</f>
        <v>0.63927855711422843</v>
      </c>
      <c r="AA3341" t="s">
        <v>4450</v>
      </c>
      <c r="AB3341" s="79">
        <v>45839</v>
      </c>
      <c r="AC3341">
        <f>OrdersTable[[#This Row],[Delivery Date]]-OrdersTable[[#This Row],[Order Date]]</f>
        <v>1</v>
      </c>
      <c r="AD3341" t="str">
        <f>IF(OrdersTable[[#This Row],[Delivery Days]]&lt;=2, "Express (≤2d)", IF(OrdersTable[[#This Row],[Delivery Days]]&lt;=4, "Standard (3-4d)", "Delayed (5d+)"))</f>
        <v>Express (≤2d)</v>
      </c>
      <c r="AE3341">
        <v>5</v>
      </c>
      <c r="AF3341">
        <v>0</v>
      </c>
    </row>
    <row r="3342" spans="1:32" ht="15" x14ac:dyDescent="0.35">
      <c r="A3342" t="s">
        <v>1098</v>
      </c>
      <c r="B3342" s="1">
        <v>45839</v>
      </c>
      <c r="C3342">
        <f>YEAR(OrdersTable[[#This Row],[Order Date]])</f>
        <v>2025</v>
      </c>
      <c r="D3342" s="2">
        <f>DATE(YEAR(OrdersTable[[#This Row],[Order Date]]),MONTH(OrdersTable[[#This Row],[Order Date]]),1)</f>
        <v>45839</v>
      </c>
      <c r="E3342">
        <f>MONTH(OrdersTable[[#This Row],[Order Date]])</f>
        <v>7</v>
      </c>
      <c r="F3342" t="s">
        <v>881</v>
      </c>
      <c r="G3342" t="str">
        <f>IF(OrdersTable[[#This Row],[Order Date]]=_xlfn.MINIFS(Order_Date, Customer_ID, OrdersTable[[#This Row],[Customer ID]]), "New", "Repeat")</f>
        <v>Repeat</v>
      </c>
      <c r="H3342" t="s">
        <v>210</v>
      </c>
      <c r="I3342" t="str">
        <f>INDEX(State!B:B,MATCH(OrdersTable[[#This Row],[State]],State!A:A,0))</f>
        <v>JK</v>
      </c>
      <c r="J3342" t="str">
        <f>INDEX(State!C:C,MATCH(OrdersTable[[#This Row],[State Code]],State!B:B,0))</f>
        <v>North</v>
      </c>
      <c r="K3342" t="s">
        <v>415</v>
      </c>
      <c r="L3342" t="s">
        <v>39</v>
      </c>
      <c r="M3342" t="s">
        <v>125</v>
      </c>
      <c r="N3342" t="str">
        <f>INDEX(Products!B:B,MATCH(OrdersTable[[#This Row],[Product ID]],Products!A:A,0))</f>
        <v>Copper Water Bottle</v>
      </c>
      <c r="O3342" t="str">
        <f>INDEX(Products!C:C,MATCH(OrdersTable[[#This Row],[Product ID]],Products!A:A,0))</f>
        <v>Home &amp; Kitchen</v>
      </c>
      <c r="P3342">
        <v>1</v>
      </c>
      <c r="Q3342" s="5">
        <v>899</v>
      </c>
      <c r="R3342" s="74">
        <v>0</v>
      </c>
      <c r="S3342" s="75">
        <f>OrdersTable[[#This Row],[Quantity]]*OrdersTable[[#This Row],[Unit Price]]</f>
        <v>899</v>
      </c>
      <c r="T3342" s="5">
        <f>OrdersTable[[#This Row],[Gross Sale]]*OrdersTable[[#This Row],[Discount_Clean2]]</f>
        <v>0</v>
      </c>
      <c r="U3342" s="5">
        <f>OrdersTable[[#This Row],[Gross Sale]]-OrdersTable[[#This Row],[Discount Amount]]</f>
        <v>899</v>
      </c>
      <c r="V3342" s="77">
        <f>INDEX(Products!E:E,MATCH(OrdersTable[[#This Row],[Product ID]],Products!A:A,0))</f>
        <v>378</v>
      </c>
      <c r="W3342" s="77">
        <f>OrdersTable[[#This Row],[Quantity]]*OrdersTable[[#This Row],[Unit Cost]]</f>
        <v>378</v>
      </c>
      <c r="X3342" s="77">
        <f>'Dropdown Lists'!$I$2*(1+OrdersTable[[#This Row],[Returned]])</f>
        <v>120</v>
      </c>
      <c r="Y3342" s="76">
        <f>OrdersTable[[#This Row],[Net Revenue]]-OrdersTable[[#This Row],[COGS]]-OrdersTable[[#This Row],[Shipping Cost]]</f>
        <v>401</v>
      </c>
      <c r="Z3342" s="78">
        <f>IFERROR(OrdersTable[[#This Row],[Profit]]/OrdersTable[[#This Row],[Net Revenue]],0)</f>
        <v>0.44605116796440492</v>
      </c>
      <c r="AA3342" t="s">
        <v>18</v>
      </c>
      <c r="AB3342" s="79">
        <v>45844</v>
      </c>
      <c r="AC3342">
        <f>OrdersTable[[#This Row],[Delivery Date]]-OrdersTable[[#This Row],[Order Date]]</f>
        <v>5</v>
      </c>
      <c r="AD3342" t="str">
        <f>IF(OrdersTable[[#This Row],[Delivery Days]]&lt;=2, "Express (≤2d)", IF(OrdersTable[[#This Row],[Delivery Days]]&lt;=4, "Standard (3-4d)", "Delayed (5d+)"))</f>
        <v>Delayed (5d+)</v>
      </c>
      <c r="AE3342">
        <v>4</v>
      </c>
      <c r="AF3342">
        <v>1</v>
      </c>
    </row>
    <row r="3343" spans="1:32" ht="15" x14ac:dyDescent="0.35">
      <c r="A3343" t="s">
        <v>6180</v>
      </c>
      <c r="B3343" s="1">
        <v>45839</v>
      </c>
      <c r="C3343">
        <f>YEAR(OrdersTable[[#This Row],[Order Date]])</f>
        <v>2025</v>
      </c>
      <c r="D3343" s="2">
        <f>DATE(YEAR(OrdersTable[[#This Row],[Order Date]]),MONTH(OrdersTable[[#This Row],[Order Date]]),1)</f>
        <v>45839</v>
      </c>
      <c r="E3343">
        <f>MONTH(OrdersTable[[#This Row],[Order Date]])</f>
        <v>7</v>
      </c>
      <c r="F3343" t="s">
        <v>6181</v>
      </c>
      <c r="G3343" t="str">
        <f>IF(OrdersTable[[#This Row],[Order Date]]=_xlfn.MINIFS(Order_Date, Customer_ID, OrdersTable[[#This Row],[Customer ID]]), "New", "Repeat")</f>
        <v>New</v>
      </c>
      <c r="H3343" t="s">
        <v>128</v>
      </c>
      <c r="I3343" t="str">
        <f>INDEX(State!B:B,MATCH(OrdersTable[[#This Row],[State]],State!A:A,0))</f>
        <v>DL</v>
      </c>
      <c r="J3343" t="str">
        <f>INDEX(State!C:C,MATCH(OrdersTable[[#This Row],[State Code]],State!B:B,0))</f>
        <v>North</v>
      </c>
      <c r="K3343" t="s">
        <v>129</v>
      </c>
      <c r="L3343" t="s">
        <v>50</v>
      </c>
      <c r="M3343" t="s">
        <v>40</v>
      </c>
      <c r="N3343" t="str">
        <f>INDEX(Products!B:B,MATCH(OrdersTable[[#This Row],[Product ID]],Products!A:A,0))</f>
        <v>Ashwagandha Capsules</v>
      </c>
      <c r="O3343" t="str">
        <f>INDEX(Products!C:C,MATCH(OrdersTable[[#This Row],[Product ID]],Products!A:A,0))</f>
        <v>Wellness</v>
      </c>
      <c r="P3343">
        <v>2</v>
      </c>
      <c r="Q3343" s="5">
        <v>499</v>
      </c>
      <c r="R3343" s="74">
        <v>0</v>
      </c>
      <c r="S3343" s="75">
        <f>OrdersTable[[#This Row],[Quantity]]*OrdersTable[[#This Row],[Unit Price]]</f>
        <v>998</v>
      </c>
      <c r="T3343" s="5">
        <f>OrdersTable[[#This Row],[Gross Sale]]*OrdersTable[[#This Row],[Discount_Clean2]]</f>
        <v>0</v>
      </c>
      <c r="U3343" s="5">
        <f>OrdersTable[[#This Row],[Gross Sale]]-OrdersTable[[#This Row],[Discount Amount]]</f>
        <v>998</v>
      </c>
      <c r="V3343" s="77">
        <f>INDEX(Products!E:E,MATCH(OrdersTable[[#This Row],[Product ID]],Products!A:A,0))</f>
        <v>150</v>
      </c>
      <c r="W3343" s="77">
        <f>OrdersTable[[#This Row],[Quantity]]*OrdersTable[[#This Row],[Unit Cost]]</f>
        <v>300</v>
      </c>
      <c r="X3343" s="77">
        <f>'Dropdown Lists'!$I$2*(1+OrdersTable[[#This Row],[Returned]])</f>
        <v>60</v>
      </c>
      <c r="Y3343" s="76">
        <f>OrdersTable[[#This Row],[Net Revenue]]-OrdersTable[[#This Row],[COGS]]-OrdersTable[[#This Row],[Shipping Cost]]</f>
        <v>638</v>
      </c>
      <c r="Z3343" s="78">
        <f>IFERROR(OrdersTable[[#This Row],[Profit]]/OrdersTable[[#This Row],[Net Revenue]],0)</f>
        <v>0.63927855711422843</v>
      </c>
      <c r="AA3343" t="s">
        <v>18</v>
      </c>
      <c r="AB3343" s="79">
        <v>45840</v>
      </c>
      <c r="AC3343">
        <f>OrdersTable[[#This Row],[Delivery Date]]-OrdersTable[[#This Row],[Order Date]]</f>
        <v>1</v>
      </c>
      <c r="AD3343" t="str">
        <f>IF(OrdersTable[[#This Row],[Delivery Days]]&lt;=2, "Express (≤2d)", IF(OrdersTable[[#This Row],[Delivery Days]]&lt;=4, "Standard (3-4d)", "Delayed (5d+)"))</f>
        <v>Express (≤2d)</v>
      </c>
      <c r="AE3343">
        <v>4</v>
      </c>
      <c r="AF3343">
        <v>0</v>
      </c>
    </row>
    <row r="3344" spans="1:32" ht="15" x14ac:dyDescent="0.35">
      <c r="A3344" t="s">
        <v>2637</v>
      </c>
      <c r="B3344" s="1">
        <v>45839</v>
      </c>
      <c r="C3344">
        <f>YEAR(OrdersTable[[#This Row],[Order Date]])</f>
        <v>2025</v>
      </c>
      <c r="D3344" s="2">
        <f>DATE(YEAR(OrdersTable[[#This Row],[Order Date]]),MONTH(OrdersTable[[#This Row],[Order Date]]),1)</f>
        <v>45839</v>
      </c>
      <c r="E3344">
        <f>MONTH(OrdersTable[[#This Row],[Order Date]])</f>
        <v>7</v>
      </c>
      <c r="F3344" t="s">
        <v>1328</v>
      </c>
      <c r="G3344" t="str">
        <f>IF(OrdersTable[[#This Row],[Order Date]]=_xlfn.MINIFS(Order_Date, Customer_ID, OrdersTable[[#This Row],[Customer ID]]), "New", "Repeat")</f>
        <v>Repeat</v>
      </c>
      <c r="H3344" t="s">
        <v>128</v>
      </c>
      <c r="I3344" t="str">
        <f>INDEX(State!B:B,MATCH(OrdersTable[[#This Row],[State]],State!A:A,0))</f>
        <v>DL</v>
      </c>
      <c r="J3344" t="str">
        <f>INDEX(State!C:C,MATCH(OrdersTable[[#This Row],[State Code]],State!B:B,0))</f>
        <v>North</v>
      </c>
      <c r="K3344" t="s">
        <v>129</v>
      </c>
      <c r="L3344" t="s">
        <v>23</v>
      </c>
      <c r="M3344" t="s">
        <v>148</v>
      </c>
      <c r="N3344" t="str">
        <f>INDEX(Products!B:B,MATCH(OrdersTable[[#This Row],[Product ID]],Products!A:A,0))</f>
        <v>Smartwatch Strap</v>
      </c>
      <c r="O3344" t="str">
        <f>INDEX(Products!C:C,MATCH(OrdersTable[[#This Row],[Product ID]],Products!A:A,0))</f>
        <v>Electronics</v>
      </c>
      <c r="P3344">
        <v>1</v>
      </c>
      <c r="Q3344" s="5">
        <v>499</v>
      </c>
      <c r="R3344" s="74">
        <v>0.2</v>
      </c>
      <c r="S3344" s="75">
        <f>OrdersTable[[#This Row],[Quantity]]*OrdersTable[[#This Row],[Unit Price]]</f>
        <v>499</v>
      </c>
      <c r="T3344" s="5">
        <f>OrdersTable[[#This Row],[Gross Sale]]*OrdersTable[[#This Row],[Discount_Clean2]]</f>
        <v>99.800000000000011</v>
      </c>
      <c r="U3344" s="5">
        <f>OrdersTable[[#This Row],[Gross Sale]]-OrdersTable[[#This Row],[Discount Amount]]</f>
        <v>399.2</v>
      </c>
      <c r="V3344" s="77">
        <f>INDEX(Products!E:E,MATCH(OrdersTable[[#This Row],[Product ID]],Products!A:A,0))</f>
        <v>200</v>
      </c>
      <c r="W3344" s="77">
        <f>OrdersTable[[#This Row],[Quantity]]*OrdersTable[[#This Row],[Unit Cost]]</f>
        <v>200</v>
      </c>
      <c r="X3344" s="77">
        <f>'Dropdown Lists'!$I$2*(1+OrdersTable[[#This Row],[Returned]])</f>
        <v>120</v>
      </c>
      <c r="Y3344" s="76">
        <f>OrdersTable[[#This Row],[Net Revenue]]-OrdersTable[[#This Row],[COGS]]-OrdersTable[[#This Row],[Shipping Cost]]</f>
        <v>79.199999999999989</v>
      </c>
      <c r="Z3344" s="78">
        <f>IFERROR(OrdersTable[[#This Row],[Profit]]/OrdersTable[[#This Row],[Net Revenue]],0)</f>
        <v>0.19839679358717432</v>
      </c>
      <c r="AA3344" t="s">
        <v>2522</v>
      </c>
      <c r="AB3344" s="79">
        <v>45842</v>
      </c>
      <c r="AC3344">
        <f>OrdersTable[[#This Row],[Delivery Date]]-OrdersTable[[#This Row],[Order Date]]</f>
        <v>3</v>
      </c>
      <c r="AD3344" t="str">
        <f>IF(OrdersTable[[#This Row],[Delivery Days]]&lt;=2, "Express (≤2d)", IF(OrdersTable[[#This Row],[Delivery Days]]&lt;=4, "Standard (3-4d)", "Delayed (5d+)"))</f>
        <v>Standard (3-4d)</v>
      </c>
      <c r="AE3344">
        <v>5</v>
      </c>
      <c r="AF3344">
        <v>1</v>
      </c>
    </row>
    <row r="3345" spans="1:32" ht="15" x14ac:dyDescent="0.35">
      <c r="A3345" t="s">
        <v>5960</v>
      </c>
      <c r="B3345" s="1">
        <v>45839</v>
      </c>
      <c r="C3345">
        <f>YEAR(OrdersTable[[#This Row],[Order Date]])</f>
        <v>2025</v>
      </c>
      <c r="D3345" s="2">
        <f>DATE(YEAR(OrdersTable[[#This Row],[Order Date]]),MONTH(OrdersTable[[#This Row],[Order Date]]),1)</f>
        <v>45839</v>
      </c>
      <c r="E3345">
        <f>MONTH(OrdersTable[[#This Row],[Order Date]])</f>
        <v>7</v>
      </c>
      <c r="F3345" t="s">
        <v>5961</v>
      </c>
      <c r="G3345" t="str">
        <f>IF(OrdersTable[[#This Row],[Order Date]]=_xlfn.MINIFS(Order_Date, Customer_ID, OrdersTable[[#This Row],[Customer ID]]), "New", "Repeat")</f>
        <v>New</v>
      </c>
      <c r="H3345" t="s">
        <v>128</v>
      </c>
      <c r="I3345" t="str">
        <f>INDEX(State!B:B,MATCH(OrdersTable[[#This Row],[State]],State!A:A,0))</f>
        <v>DL</v>
      </c>
      <c r="J3345" t="str">
        <f>INDEX(State!C:C,MATCH(OrdersTable[[#This Row],[State Code]],State!B:B,0))</f>
        <v>North</v>
      </c>
      <c r="K3345" t="s">
        <v>129</v>
      </c>
      <c r="L3345" t="s">
        <v>23</v>
      </c>
      <c r="M3345" t="s">
        <v>125</v>
      </c>
      <c r="N3345" t="str">
        <f>INDEX(Products!B:B,MATCH(OrdersTable[[#This Row],[Product ID]],Products!A:A,0))</f>
        <v>Copper Water Bottle</v>
      </c>
      <c r="O3345" t="str">
        <f>INDEX(Products!C:C,MATCH(OrdersTable[[#This Row],[Product ID]],Products!A:A,0))</f>
        <v>Home &amp; Kitchen</v>
      </c>
      <c r="P3345">
        <v>2</v>
      </c>
      <c r="Q3345" s="5">
        <v>899</v>
      </c>
      <c r="R3345" s="74">
        <v>0.05</v>
      </c>
      <c r="S3345" s="75">
        <f>OrdersTable[[#This Row],[Quantity]]*OrdersTable[[#This Row],[Unit Price]]</f>
        <v>1798</v>
      </c>
      <c r="T3345" s="5">
        <f>OrdersTable[[#This Row],[Gross Sale]]*OrdersTable[[#This Row],[Discount_Clean2]]</f>
        <v>89.9</v>
      </c>
      <c r="U3345" s="5">
        <f>OrdersTable[[#This Row],[Gross Sale]]-OrdersTable[[#This Row],[Discount Amount]]</f>
        <v>1708.1</v>
      </c>
      <c r="V3345" s="77">
        <f>INDEX(Products!E:E,MATCH(OrdersTable[[#This Row],[Product ID]],Products!A:A,0))</f>
        <v>378</v>
      </c>
      <c r="W3345" s="77">
        <f>OrdersTable[[#This Row],[Quantity]]*OrdersTable[[#This Row],[Unit Cost]]</f>
        <v>756</v>
      </c>
      <c r="X3345" s="77">
        <f>'Dropdown Lists'!$I$2*(1+OrdersTable[[#This Row],[Returned]])</f>
        <v>60</v>
      </c>
      <c r="Y3345" s="76">
        <f>OrdersTable[[#This Row],[Net Revenue]]-OrdersTable[[#This Row],[COGS]]-OrdersTable[[#This Row],[Shipping Cost]]</f>
        <v>892.09999999999991</v>
      </c>
      <c r="Z3345" s="78">
        <f>IFERROR(OrdersTable[[#This Row],[Profit]]/OrdersTable[[#This Row],[Net Revenue]],0)</f>
        <v>0.52227621333645569</v>
      </c>
      <c r="AA3345" t="s">
        <v>18</v>
      </c>
      <c r="AB3345" s="79">
        <v>45842</v>
      </c>
      <c r="AC3345">
        <f>OrdersTable[[#This Row],[Delivery Date]]-OrdersTable[[#This Row],[Order Date]]</f>
        <v>3</v>
      </c>
      <c r="AD3345" t="str">
        <f>IF(OrdersTable[[#This Row],[Delivery Days]]&lt;=2, "Express (≤2d)", IF(OrdersTable[[#This Row],[Delivery Days]]&lt;=4, "Standard (3-4d)", "Delayed (5d+)"))</f>
        <v>Standard (3-4d)</v>
      </c>
      <c r="AF3345">
        <v>0</v>
      </c>
    </row>
    <row r="3346" spans="1:32" ht="15" x14ac:dyDescent="0.35">
      <c r="A3346" t="s">
        <v>1572</v>
      </c>
      <c r="B3346" s="1">
        <v>45839</v>
      </c>
      <c r="C3346">
        <f>YEAR(OrdersTable[[#This Row],[Order Date]])</f>
        <v>2025</v>
      </c>
      <c r="D3346" s="2">
        <f>DATE(YEAR(OrdersTable[[#This Row],[Order Date]]),MONTH(OrdersTable[[#This Row],[Order Date]]),1)</f>
        <v>45839</v>
      </c>
      <c r="E3346">
        <f>MONTH(OrdersTable[[#This Row],[Order Date]])</f>
        <v>7</v>
      </c>
      <c r="F3346" t="s">
        <v>1573</v>
      </c>
      <c r="G3346" t="str">
        <f>IF(OrdersTable[[#This Row],[Order Date]]=_xlfn.MINIFS(Order_Date, Customer_ID, OrdersTable[[#This Row],[Customer ID]]), "New", "Repeat")</f>
        <v>Repeat</v>
      </c>
      <c r="H3346" t="s">
        <v>128</v>
      </c>
      <c r="I3346" t="str">
        <f>INDEX(State!B:B,MATCH(OrdersTable[[#This Row],[State]],State!A:A,0))</f>
        <v>DL</v>
      </c>
      <c r="J3346" t="str">
        <f>INDEX(State!C:C,MATCH(OrdersTable[[#This Row],[State Code]],State!B:B,0))</f>
        <v>North</v>
      </c>
      <c r="K3346" t="s">
        <v>129</v>
      </c>
      <c r="L3346" t="s">
        <v>39</v>
      </c>
      <c r="M3346" t="s">
        <v>73</v>
      </c>
      <c r="N3346" t="str">
        <f>INDEX(Products!B:B,MATCH(OrdersTable[[#This Row],[Product ID]],Products!A:A,0))</f>
        <v>Hydrating Face Wash</v>
      </c>
      <c r="O3346" t="str">
        <f>INDEX(Products!C:C,MATCH(OrdersTable[[#This Row],[Product ID]],Products!A:A,0))</f>
        <v>Skincare</v>
      </c>
      <c r="P3346">
        <v>1</v>
      </c>
      <c r="Q3346" s="5">
        <v>299</v>
      </c>
      <c r="R3346" s="74">
        <v>0</v>
      </c>
      <c r="S3346" s="75">
        <f>OrdersTable[[#This Row],[Quantity]]*OrdersTable[[#This Row],[Unit Price]]</f>
        <v>299</v>
      </c>
      <c r="T3346" s="5">
        <f>OrdersTable[[#This Row],[Gross Sale]]*OrdersTable[[#This Row],[Discount_Clean2]]</f>
        <v>0</v>
      </c>
      <c r="U3346" s="5">
        <f>OrdersTable[[#This Row],[Gross Sale]]-OrdersTable[[#This Row],[Discount Amount]]</f>
        <v>299</v>
      </c>
      <c r="V3346" s="77">
        <f>INDEX(Products!E:E,MATCH(OrdersTable[[#This Row],[Product ID]],Products!A:A,0))</f>
        <v>90</v>
      </c>
      <c r="W3346" s="77">
        <f>OrdersTable[[#This Row],[Quantity]]*OrdersTable[[#This Row],[Unit Cost]]</f>
        <v>90</v>
      </c>
      <c r="X3346" s="77">
        <f>'Dropdown Lists'!$I$2*(1+OrdersTable[[#This Row],[Returned]])</f>
        <v>60</v>
      </c>
      <c r="Y3346" s="76">
        <f>OrdersTable[[#This Row],[Net Revenue]]-OrdersTable[[#This Row],[COGS]]-OrdersTable[[#This Row],[Shipping Cost]]</f>
        <v>149</v>
      </c>
      <c r="Z3346" s="78">
        <f>IFERROR(OrdersTable[[#This Row],[Profit]]/OrdersTable[[#This Row],[Net Revenue]],0)</f>
        <v>0.49832775919732442</v>
      </c>
      <c r="AA3346" t="s">
        <v>18</v>
      </c>
      <c r="AB3346" s="79">
        <v>45841</v>
      </c>
      <c r="AC3346">
        <f>OrdersTable[[#This Row],[Delivery Date]]-OrdersTable[[#This Row],[Order Date]]</f>
        <v>2</v>
      </c>
      <c r="AD3346" t="str">
        <f>IF(OrdersTable[[#This Row],[Delivery Days]]&lt;=2, "Express (≤2d)", IF(OrdersTable[[#This Row],[Delivery Days]]&lt;=4, "Standard (3-4d)", "Delayed (5d+)"))</f>
        <v>Express (≤2d)</v>
      </c>
      <c r="AF3346">
        <v>0</v>
      </c>
    </row>
    <row r="3347" spans="1:32" ht="15" x14ac:dyDescent="0.35">
      <c r="A3347" t="s">
        <v>2820</v>
      </c>
      <c r="B3347" s="1">
        <v>45839</v>
      </c>
      <c r="C3347">
        <f>YEAR(OrdersTable[[#This Row],[Order Date]])</f>
        <v>2025</v>
      </c>
      <c r="D3347" s="2">
        <f>DATE(YEAR(OrdersTable[[#This Row],[Order Date]]),MONTH(OrdersTable[[#This Row],[Order Date]]),1)</f>
        <v>45839</v>
      </c>
      <c r="E3347">
        <f>MONTH(OrdersTable[[#This Row],[Order Date]])</f>
        <v>7</v>
      </c>
      <c r="F3347" t="s">
        <v>2821</v>
      </c>
      <c r="G3347" t="str">
        <f>IF(OrdersTable[[#This Row],[Order Date]]=_xlfn.MINIFS(Order_Date, Customer_ID, OrdersTable[[#This Row],[Customer ID]]), "New", "Repeat")</f>
        <v>New</v>
      </c>
      <c r="H3347" t="s">
        <v>76</v>
      </c>
      <c r="I3347" t="str">
        <f>INDEX(State!B:B,MATCH(OrdersTable[[#This Row],[State]],State!A:A,0))</f>
        <v>UP</v>
      </c>
      <c r="J3347" t="str">
        <f>INDEX(State!C:C,MATCH(OrdersTable[[#This Row],[State Code]],State!B:B,0))</f>
        <v>North</v>
      </c>
      <c r="K3347" t="s">
        <v>118</v>
      </c>
      <c r="L3347" t="s">
        <v>16</v>
      </c>
      <c r="M3347" t="s">
        <v>92</v>
      </c>
      <c r="N3347" t="str">
        <f>INDEX(Products!B:B,MATCH(OrdersTable[[#This Row],[Product ID]],Products!A:A,0))</f>
        <v>Kolhapuri Sandals</v>
      </c>
      <c r="O3347" t="str">
        <f>INDEX(Products!C:C,MATCH(OrdersTable[[#This Row],[Product ID]],Products!A:A,0))</f>
        <v>Footwear</v>
      </c>
      <c r="P3347">
        <v>1</v>
      </c>
      <c r="Q3347" s="5">
        <v>999</v>
      </c>
      <c r="R3347" s="74">
        <v>0.1</v>
      </c>
      <c r="S3347" s="75">
        <f>OrdersTable[[#This Row],[Quantity]]*OrdersTable[[#This Row],[Unit Price]]</f>
        <v>999</v>
      </c>
      <c r="T3347" s="5">
        <f>OrdersTable[[#This Row],[Gross Sale]]*OrdersTable[[#This Row],[Discount_Clean2]]</f>
        <v>99.9</v>
      </c>
      <c r="U3347" s="5">
        <f>OrdersTable[[#This Row],[Gross Sale]]-OrdersTable[[#This Row],[Discount Amount]]</f>
        <v>899.1</v>
      </c>
      <c r="V3347" s="77">
        <f>INDEX(Products!E:E,MATCH(OrdersTable[[#This Row],[Product ID]],Products!A:A,0))</f>
        <v>400</v>
      </c>
      <c r="W3347" s="77">
        <f>OrdersTable[[#This Row],[Quantity]]*OrdersTable[[#This Row],[Unit Cost]]</f>
        <v>400</v>
      </c>
      <c r="X3347" s="77">
        <f>'Dropdown Lists'!$I$2*(1+OrdersTable[[#This Row],[Returned]])</f>
        <v>120</v>
      </c>
      <c r="Y3347" s="76">
        <f>OrdersTable[[#This Row],[Net Revenue]]-OrdersTable[[#This Row],[COGS]]-OrdersTable[[#This Row],[Shipping Cost]]</f>
        <v>379.1</v>
      </c>
      <c r="Z3347" s="78">
        <f>IFERROR(OrdersTable[[#This Row],[Profit]]/OrdersTable[[#This Row],[Net Revenue]],0)</f>
        <v>0.42164386608831056</v>
      </c>
      <c r="AA3347" t="s">
        <v>2522</v>
      </c>
      <c r="AB3347" s="79">
        <v>45841</v>
      </c>
      <c r="AC3347">
        <f>OrdersTable[[#This Row],[Delivery Date]]-OrdersTable[[#This Row],[Order Date]]</f>
        <v>2</v>
      </c>
      <c r="AD3347" t="str">
        <f>IF(OrdersTable[[#This Row],[Delivery Days]]&lt;=2, "Express (≤2d)", IF(OrdersTable[[#This Row],[Delivery Days]]&lt;=4, "Standard (3-4d)", "Delayed (5d+)"))</f>
        <v>Express (≤2d)</v>
      </c>
      <c r="AE3347">
        <v>3</v>
      </c>
      <c r="AF3347">
        <v>1</v>
      </c>
    </row>
    <row r="3348" spans="1:32" ht="15" x14ac:dyDescent="0.35">
      <c r="A3348" t="s">
        <v>5427</v>
      </c>
      <c r="B3348" s="1">
        <v>45839</v>
      </c>
      <c r="C3348">
        <f>YEAR(OrdersTable[[#This Row],[Order Date]])</f>
        <v>2025</v>
      </c>
      <c r="D3348" s="2">
        <f>DATE(YEAR(OrdersTable[[#This Row],[Order Date]]),MONTH(OrdersTable[[#This Row],[Order Date]]),1)</f>
        <v>45839</v>
      </c>
      <c r="E3348">
        <f>MONTH(OrdersTable[[#This Row],[Order Date]])</f>
        <v>7</v>
      </c>
      <c r="F3348" t="s">
        <v>2732</v>
      </c>
      <c r="G3348" t="str">
        <f>IF(OrdersTable[[#This Row],[Order Date]]=_xlfn.MINIFS(Order_Date, Customer_ID, OrdersTable[[#This Row],[Customer ID]]), "New", "Repeat")</f>
        <v>Repeat</v>
      </c>
      <c r="H3348" t="s">
        <v>32</v>
      </c>
      <c r="I3348" t="str">
        <f>INDEX(State!B:B,MATCH(OrdersTable[[#This Row],[State]],State!A:A,0))</f>
        <v>BR</v>
      </c>
      <c r="J3348" t="str">
        <f>INDEX(State!C:C,MATCH(OrdersTable[[#This Row],[State Code]],State!B:B,0))</f>
        <v>East</v>
      </c>
      <c r="K3348" t="s">
        <v>33</v>
      </c>
      <c r="L3348" t="s">
        <v>65</v>
      </c>
      <c r="M3348" t="s">
        <v>173</v>
      </c>
      <c r="N3348" t="str">
        <f>INDEX(Products!B:B,MATCH(OrdersTable[[#This Row],[Product ID]],Products!A:A,0))</f>
        <v>Wireless Earbuds</v>
      </c>
      <c r="O3348" t="str">
        <f>INDEX(Products!C:C,MATCH(OrdersTable[[#This Row],[Product ID]],Products!A:A,0))</f>
        <v>Electronics</v>
      </c>
      <c r="P3348">
        <v>2</v>
      </c>
      <c r="Q3348" s="5">
        <v>1999</v>
      </c>
      <c r="R3348" s="74">
        <v>0.35</v>
      </c>
      <c r="S3348" s="75">
        <f>OrdersTable[[#This Row],[Quantity]]*OrdersTable[[#This Row],[Unit Price]]</f>
        <v>3998</v>
      </c>
      <c r="T3348" s="5">
        <f>OrdersTable[[#This Row],[Gross Sale]]*OrdersTable[[#This Row],[Discount_Clean2]]</f>
        <v>1399.3</v>
      </c>
      <c r="U3348" s="5">
        <f>OrdersTable[[#This Row],[Gross Sale]]-OrdersTable[[#This Row],[Discount Amount]]</f>
        <v>2598.6999999999998</v>
      </c>
      <c r="V3348" s="77">
        <f>INDEX(Products!E:E,MATCH(OrdersTable[[#This Row],[Product ID]],Products!A:A,0))</f>
        <v>1239</v>
      </c>
      <c r="W3348" s="77">
        <f>OrdersTable[[#This Row],[Quantity]]*OrdersTable[[#This Row],[Unit Cost]]</f>
        <v>2478</v>
      </c>
      <c r="X3348" s="77">
        <f>'Dropdown Lists'!$I$2*(1+OrdersTable[[#This Row],[Returned]])</f>
        <v>60</v>
      </c>
      <c r="Y3348" s="76">
        <f>OrdersTable[[#This Row],[Net Revenue]]-OrdersTable[[#This Row],[COGS]]-OrdersTable[[#This Row],[Shipping Cost]]</f>
        <v>60.699999999999818</v>
      </c>
      <c r="Z3348" s="78">
        <f>IFERROR(OrdersTable[[#This Row],[Profit]]/OrdersTable[[#This Row],[Net Revenue]],0)</f>
        <v>2.3357832762535044E-2</v>
      </c>
      <c r="AA3348" t="s">
        <v>2522</v>
      </c>
      <c r="AB3348" s="79">
        <v>45845</v>
      </c>
      <c r="AC3348">
        <f>OrdersTable[[#This Row],[Delivery Date]]-OrdersTable[[#This Row],[Order Date]]</f>
        <v>6</v>
      </c>
      <c r="AD3348" t="str">
        <f>IF(OrdersTable[[#This Row],[Delivery Days]]&lt;=2, "Express (≤2d)", IF(OrdersTable[[#This Row],[Delivery Days]]&lt;=4, "Standard (3-4d)", "Delayed (5d+)"))</f>
        <v>Delayed (5d+)</v>
      </c>
      <c r="AE3348">
        <v>3</v>
      </c>
      <c r="AF3348">
        <v>0</v>
      </c>
    </row>
    <row r="3349" spans="1:32" ht="15" x14ac:dyDescent="0.35">
      <c r="A3349" t="s">
        <v>1423</v>
      </c>
      <c r="B3349" s="1">
        <v>45839</v>
      </c>
      <c r="C3349">
        <f>YEAR(OrdersTable[[#This Row],[Order Date]])</f>
        <v>2025</v>
      </c>
      <c r="D3349" s="2">
        <f>DATE(YEAR(OrdersTable[[#This Row],[Order Date]]),MONTH(OrdersTable[[#This Row],[Order Date]]),1)</f>
        <v>45839</v>
      </c>
      <c r="E3349">
        <f>MONTH(OrdersTable[[#This Row],[Order Date]])</f>
        <v>7</v>
      </c>
      <c r="F3349" t="s">
        <v>1424</v>
      </c>
      <c r="G3349" t="str">
        <f>IF(OrdersTable[[#This Row],[Order Date]]=_xlfn.MINIFS(Order_Date, Customer_ID, OrdersTable[[#This Row],[Customer ID]]), "New", "Repeat")</f>
        <v>New</v>
      </c>
      <c r="H3349" t="s">
        <v>43</v>
      </c>
      <c r="I3349" t="str">
        <f>INDEX(State!B:B,MATCH(OrdersTable[[#This Row],[State]],State!A:A,0))</f>
        <v>MP</v>
      </c>
      <c r="J3349" t="str">
        <f>INDEX(State!C:C,MATCH(OrdersTable[[#This Row],[State Code]],State!B:B,0))</f>
        <v>West</v>
      </c>
      <c r="K3349" t="s">
        <v>250</v>
      </c>
      <c r="L3349" t="s">
        <v>23</v>
      </c>
      <c r="M3349" t="s">
        <v>148</v>
      </c>
      <c r="N3349" t="str">
        <f>INDEX(Products!B:B,MATCH(OrdersTable[[#This Row],[Product ID]],Products!A:A,0))</f>
        <v>Smartwatch Strap</v>
      </c>
      <c r="O3349" t="str">
        <f>INDEX(Products!C:C,MATCH(OrdersTable[[#This Row],[Product ID]],Products!A:A,0))</f>
        <v>Electronics</v>
      </c>
      <c r="P3349">
        <v>1</v>
      </c>
      <c r="Q3349" s="5">
        <v>499</v>
      </c>
      <c r="R3349" s="74">
        <v>0.05</v>
      </c>
      <c r="S3349" s="75">
        <f>OrdersTable[[#This Row],[Quantity]]*OrdersTable[[#This Row],[Unit Price]]</f>
        <v>499</v>
      </c>
      <c r="T3349" s="5">
        <f>OrdersTable[[#This Row],[Gross Sale]]*OrdersTable[[#This Row],[Discount_Clean2]]</f>
        <v>24.950000000000003</v>
      </c>
      <c r="U3349" s="5">
        <f>OrdersTable[[#This Row],[Gross Sale]]-OrdersTable[[#This Row],[Discount Amount]]</f>
        <v>474.05</v>
      </c>
      <c r="V3349" s="77">
        <f>INDEX(Products!E:E,MATCH(OrdersTable[[#This Row],[Product ID]],Products!A:A,0))</f>
        <v>200</v>
      </c>
      <c r="W3349" s="77">
        <f>OrdersTable[[#This Row],[Quantity]]*OrdersTable[[#This Row],[Unit Cost]]</f>
        <v>200</v>
      </c>
      <c r="X3349" s="77">
        <f>'Dropdown Lists'!$I$2*(1+OrdersTable[[#This Row],[Returned]])</f>
        <v>60</v>
      </c>
      <c r="Y3349" s="76">
        <f>OrdersTable[[#This Row],[Net Revenue]]-OrdersTable[[#This Row],[COGS]]-OrdersTable[[#This Row],[Shipping Cost]]</f>
        <v>214.05</v>
      </c>
      <c r="Z3349" s="78">
        <f>IFERROR(OrdersTable[[#This Row],[Profit]]/OrdersTable[[#This Row],[Net Revenue]],0)</f>
        <v>0.45153464824385614</v>
      </c>
      <c r="AA3349" t="s">
        <v>18</v>
      </c>
      <c r="AB3349" s="79">
        <v>45842</v>
      </c>
      <c r="AC3349">
        <f>OrdersTable[[#This Row],[Delivery Date]]-OrdersTable[[#This Row],[Order Date]]</f>
        <v>3</v>
      </c>
      <c r="AD3349" t="str">
        <f>IF(OrdersTable[[#This Row],[Delivery Days]]&lt;=2, "Express (≤2d)", IF(OrdersTable[[#This Row],[Delivery Days]]&lt;=4, "Standard (3-4d)", "Delayed (5d+)"))</f>
        <v>Standard (3-4d)</v>
      </c>
      <c r="AF3349">
        <v>0</v>
      </c>
    </row>
    <row r="3350" spans="1:32" ht="15" x14ac:dyDescent="0.35">
      <c r="A3350" t="s">
        <v>7016</v>
      </c>
      <c r="B3350" s="1">
        <v>45839</v>
      </c>
      <c r="C3350">
        <f>YEAR(OrdersTable[[#This Row],[Order Date]])</f>
        <v>2025</v>
      </c>
      <c r="D3350" s="2">
        <f>DATE(YEAR(OrdersTable[[#This Row],[Order Date]]),MONTH(OrdersTable[[#This Row],[Order Date]]),1)</f>
        <v>45839</v>
      </c>
      <c r="E3350">
        <f>MONTH(OrdersTable[[#This Row],[Order Date]])</f>
        <v>7</v>
      </c>
      <c r="F3350" t="s">
        <v>6493</v>
      </c>
      <c r="G3350" t="str">
        <f>IF(OrdersTable[[#This Row],[Order Date]]=_xlfn.MINIFS(Order_Date, Customer_ID, OrdersTable[[#This Row],[Customer ID]]), "New", "Repeat")</f>
        <v>Repeat</v>
      </c>
      <c r="H3350" t="s">
        <v>316</v>
      </c>
      <c r="I3350" t="str">
        <f>INDEX(State!B:B,MATCH(OrdersTable[[#This Row],[State]],State!A:A,0))</f>
        <v>KL</v>
      </c>
      <c r="J3350" t="str">
        <f>INDEX(State!C:C,MATCH(OrdersTable[[#This Row],[State Code]],State!B:B,0))</f>
        <v>South</v>
      </c>
      <c r="K3350" t="s">
        <v>317</v>
      </c>
      <c r="L3350" t="s">
        <v>65</v>
      </c>
      <c r="M3350" t="s">
        <v>56</v>
      </c>
      <c r="N3350" t="str">
        <f>INDEX(Products!B:B,MATCH(OrdersTable[[#This Row],[Product ID]],Products!A:A,0))</f>
        <v>Vitamin C Face Serum</v>
      </c>
      <c r="O3350" t="str">
        <f>INDEX(Products!C:C,MATCH(OrdersTable[[#This Row],[Product ID]],Products!A:A,0))</f>
        <v>Skincare</v>
      </c>
      <c r="P3350">
        <v>4</v>
      </c>
      <c r="Q3350" s="5">
        <v>599</v>
      </c>
      <c r="R3350" s="74">
        <v>0.1</v>
      </c>
      <c r="S3350" s="75">
        <f>OrdersTable[[#This Row],[Quantity]]*OrdersTable[[#This Row],[Unit Price]]</f>
        <v>2396</v>
      </c>
      <c r="T3350" s="5">
        <f>OrdersTable[[#This Row],[Gross Sale]]*OrdersTable[[#This Row],[Discount_Clean2]]</f>
        <v>239.60000000000002</v>
      </c>
      <c r="U3350" s="5">
        <f>OrdersTable[[#This Row],[Gross Sale]]-OrdersTable[[#This Row],[Discount Amount]]</f>
        <v>2156.4</v>
      </c>
      <c r="V3350" s="77">
        <f>INDEX(Products!E:E,MATCH(OrdersTable[[#This Row],[Product ID]],Products!A:A,0))</f>
        <v>180</v>
      </c>
      <c r="W3350" s="77">
        <f>OrdersTable[[#This Row],[Quantity]]*OrdersTable[[#This Row],[Unit Cost]]</f>
        <v>720</v>
      </c>
      <c r="X3350" s="77">
        <f>'Dropdown Lists'!$I$2*(1+OrdersTable[[#This Row],[Returned]])</f>
        <v>60</v>
      </c>
      <c r="Y3350" s="76">
        <f>OrdersTable[[#This Row],[Net Revenue]]-OrdersTable[[#This Row],[COGS]]-OrdersTable[[#This Row],[Shipping Cost]]</f>
        <v>1376.4</v>
      </c>
      <c r="Z3350" s="78">
        <f>IFERROR(OrdersTable[[#This Row],[Profit]]/OrdersTable[[#This Row],[Net Revenue]],0)</f>
        <v>0.63828603227601555</v>
      </c>
      <c r="AA3350" t="s">
        <v>4074</v>
      </c>
      <c r="AB3350" s="79">
        <v>45843</v>
      </c>
      <c r="AC3350">
        <f>OrdersTable[[#This Row],[Delivery Date]]-OrdersTable[[#This Row],[Order Date]]</f>
        <v>4</v>
      </c>
      <c r="AD3350" t="str">
        <f>IF(OrdersTable[[#This Row],[Delivery Days]]&lt;=2, "Express (≤2d)", IF(OrdersTable[[#This Row],[Delivery Days]]&lt;=4, "Standard (3-4d)", "Delayed (5d+)"))</f>
        <v>Standard (3-4d)</v>
      </c>
      <c r="AF3350">
        <v>0</v>
      </c>
    </row>
    <row r="3351" spans="1:32" ht="15" x14ac:dyDescent="0.35">
      <c r="A3351" t="s">
        <v>5428</v>
      </c>
      <c r="B3351" s="1">
        <v>45840</v>
      </c>
      <c r="C3351">
        <f>YEAR(OrdersTable[[#This Row],[Order Date]])</f>
        <v>2025</v>
      </c>
      <c r="D3351" s="2">
        <f>DATE(YEAR(OrdersTable[[#This Row],[Order Date]]),MONTH(OrdersTable[[#This Row],[Order Date]]),1)</f>
        <v>45839</v>
      </c>
      <c r="E3351">
        <f>MONTH(OrdersTable[[#This Row],[Order Date]])</f>
        <v>7</v>
      </c>
      <c r="F3351" t="s">
        <v>1315</v>
      </c>
      <c r="G3351" t="str">
        <f>IF(OrdersTable[[#This Row],[Order Date]]=_xlfn.MINIFS(Order_Date, Customer_ID, OrdersTable[[#This Row],[Customer ID]]), "New", "Repeat")</f>
        <v>New</v>
      </c>
      <c r="H3351" t="s">
        <v>54</v>
      </c>
      <c r="I3351" t="str">
        <f>INDEX(State!B:B,MATCH(OrdersTable[[#This Row],[State]],State!A:A,0))</f>
        <v>RJ</v>
      </c>
      <c r="J3351" t="str">
        <f>INDEX(State!C:C,MATCH(OrdersTable[[#This Row],[State Code]],State!B:B,0))</f>
        <v>North</v>
      </c>
      <c r="K3351" t="s">
        <v>55</v>
      </c>
      <c r="L3351" t="s">
        <v>65</v>
      </c>
      <c r="M3351" t="s">
        <v>109</v>
      </c>
      <c r="N3351" t="str">
        <f>INDEX(Products!B:B,MATCH(OrdersTable[[#This Row],[Product ID]],Products!A:A,0))</f>
        <v>Onion Hair Oil</v>
      </c>
      <c r="O3351" t="str">
        <f>INDEX(Products!C:C,MATCH(OrdersTable[[#This Row],[Product ID]],Products!A:A,0))</f>
        <v>Haircare</v>
      </c>
      <c r="P3351">
        <v>2</v>
      </c>
      <c r="Q3351" s="5">
        <v>349</v>
      </c>
      <c r="R3351" s="74">
        <v>0.3</v>
      </c>
      <c r="S3351" s="75">
        <f>OrdersTable[[#This Row],[Quantity]]*OrdersTable[[#This Row],[Unit Price]]</f>
        <v>698</v>
      </c>
      <c r="T3351" s="5">
        <f>OrdersTable[[#This Row],[Gross Sale]]*OrdersTable[[#This Row],[Discount_Clean2]]</f>
        <v>209.4</v>
      </c>
      <c r="U3351" s="5">
        <f>OrdersTable[[#This Row],[Gross Sale]]-OrdersTable[[#This Row],[Discount Amount]]</f>
        <v>488.6</v>
      </c>
      <c r="V3351" s="77">
        <f>INDEX(Products!E:E,MATCH(OrdersTable[[#This Row],[Product ID]],Products!A:A,0))</f>
        <v>105</v>
      </c>
      <c r="W3351" s="77">
        <f>OrdersTable[[#This Row],[Quantity]]*OrdersTable[[#This Row],[Unit Cost]]</f>
        <v>210</v>
      </c>
      <c r="X3351" s="77">
        <f>'Dropdown Lists'!$I$2*(1+OrdersTable[[#This Row],[Returned]])</f>
        <v>120</v>
      </c>
      <c r="Y3351" s="76">
        <f>OrdersTable[[#This Row],[Net Revenue]]-OrdersTable[[#This Row],[COGS]]-OrdersTable[[#This Row],[Shipping Cost]]</f>
        <v>158.60000000000002</v>
      </c>
      <c r="Z3351" s="78">
        <f>IFERROR(OrdersTable[[#This Row],[Profit]]/OrdersTable[[#This Row],[Net Revenue]],0)</f>
        <v>0.32460090053213264</v>
      </c>
      <c r="AA3351" t="s">
        <v>2522</v>
      </c>
      <c r="AB3351" s="79">
        <v>45844</v>
      </c>
      <c r="AC3351">
        <f>OrdersTable[[#This Row],[Delivery Date]]-OrdersTable[[#This Row],[Order Date]]</f>
        <v>4</v>
      </c>
      <c r="AD3351" t="str">
        <f>IF(OrdersTable[[#This Row],[Delivery Days]]&lt;=2, "Express (≤2d)", IF(OrdersTable[[#This Row],[Delivery Days]]&lt;=4, "Standard (3-4d)", "Delayed (5d+)"))</f>
        <v>Standard (3-4d)</v>
      </c>
      <c r="AF3351">
        <v>1</v>
      </c>
    </row>
    <row r="3352" spans="1:32" ht="15" x14ac:dyDescent="0.35">
      <c r="A3352" t="s">
        <v>6603</v>
      </c>
      <c r="B3352" s="1">
        <v>45840</v>
      </c>
      <c r="C3352">
        <f>YEAR(OrdersTable[[#This Row],[Order Date]])</f>
        <v>2025</v>
      </c>
      <c r="D3352" s="2">
        <f>DATE(YEAR(OrdersTable[[#This Row],[Order Date]]),MONTH(OrdersTable[[#This Row],[Order Date]]),1)</f>
        <v>45839</v>
      </c>
      <c r="E3352">
        <f>MONTH(OrdersTable[[#This Row],[Order Date]])</f>
        <v>7</v>
      </c>
      <c r="F3352" t="s">
        <v>3195</v>
      </c>
      <c r="G3352" t="str">
        <f>IF(OrdersTable[[#This Row],[Order Date]]=_xlfn.MINIFS(Order_Date, Customer_ID, OrdersTable[[#This Row],[Customer ID]]), "New", "Repeat")</f>
        <v>Repeat</v>
      </c>
      <c r="H3352" t="s">
        <v>128</v>
      </c>
      <c r="I3352" t="str">
        <f>INDEX(State!B:B,MATCH(OrdersTable[[#This Row],[State]],State!A:A,0))</f>
        <v>DL</v>
      </c>
      <c r="J3352" t="str">
        <f>INDEX(State!C:C,MATCH(OrdersTable[[#This Row],[State Code]],State!B:B,0))</f>
        <v>North</v>
      </c>
      <c r="K3352" t="s">
        <v>129</v>
      </c>
      <c r="L3352" t="s">
        <v>39</v>
      </c>
      <c r="M3352" t="s">
        <v>255</v>
      </c>
      <c r="N3352" t="str">
        <f>INDEX(Products!B:B,MATCH(OrdersTable[[#This Row],[Product ID]],Products!A:A,0))</f>
        <v>Cotton Oversized T-Shirt</v>
      </c>
      <c r="O3352" t="str">
        <f>INDEX(Products!C:C,MATCH(OrdersTable[[#This Row],[Product ID]],Products!A:A,0))</f>
        <v>Apparel</v>
      </c>
      <c r="P3352">
        <v>3</v>
      </c>
      <c r="Q3352" s="5">
        <v>799</v>
      </c>
      <c r="R3352" s="74">
        <v>0.05</v>
      </c>
      <c r="S3352" s="75">
        <f>OrdersTable[[#This Row],[Quantity]]*OrdersTable[[#This Row],[Unit Price]]</f>
        <v>2397</v>
      </c>
      <c r="T3352" s="5">
        <f>OrdersTable[[#This Row],[Gross Sale]]*OrdersTable[[#This Row],[Discount_Clean2]]</f>
        <v>119.85000000000001</v>
      </c>
      <c r="U3352" s="5">
        <f>OrdersTable[[#This Row],[Gross Sale]]-OrdersTable[[#This Row],[Discount Amount]]</f>
        <v>2277.15</v>
      </c>
      <c r="V3352" s="77">
        <f>INDEX(Products!E:E,MATCH(OrdersTable[[#This Row],[Product ID]],Products!A:A,0))</f>
        <v>320</v>
      </c>
      <c r="W3352" s="77">
        <f>OrdersTable[[#This Row],[Quantity]]*OrdersTable[[#This Row],[Unit Cost]]</f>
        <v>960</v>
      </c>
      <c r="X3352" s="77">
        <f>'Dropdown Lists'!$I$2*(1+OrdersTable[[#This Row],[Returned]])</f>
        <v>60</v>
      </c>
      <c r="Y3352" s="76">
        <f>OrdersTable[[#This Row],[Net Revenue]]-OrdersTable[[#This Row],[COGS]]-OrdersTable[[#This Row],[Shipping Cost]]</f>
        <v>1257.1500000000001</v>
      </c>
      <c r="Z3352" s="78">
        <f>IFERROR(OrdersTable[[#This Row],[Profit]]/OrdersTable[[#This Row],[Net Revenue]],0)</f>
        <v>0.55207166853303469</v>
      </c>
      <c r="AA3352" t="s">
        <v>18</v>
      </c>
      <c r="AB3352" s="79">
        <v>45842</v>
      </c>
      <c r="AC3352">
        <f>OrdersTable[[#This Row],[Delivery Date]]-OrdersTable[[#This Row],[Order Date]]</f>
        <v>2</v>
      </c>
      <c r="AD3352" t="str">
        <f>IF(OrdersTable[[#This Row],[Delivery Days]]&lt;=2, "Express (≤2d)", IF(OrdersTable[[#This Row],[Delivery Days]]&lt;=4, "Standard (3-4d)", "Delayed (5d+)"))</f>
        <v>Express (≤2d)</v>
      </c>
      <c r="AE3352">
        <v>4</v>
      </c>
      <c r="AF3352">
        <v>0</v>
      </c>
    </row>
    <row r="3353" spans="1:32" ht="15" x14ac:dyDescent="0.35">
      <c r="A3353" t="s">
        <v>3642</v>
      </c>
      <c r="B3353" s="1">
        <v>45840</v>
      </c>
      <c r="C3353">
        <f>YEAR(OrdersTable[[#This Row],[Order Date]])</f>
        <v>2025</v>
      </c>
      <c r="D3353" s="2">
        <f>DATE(YEAR(OrdersTable[[#This Row],[Order Date]]),MONTH(OrdersTable[[#This Row],[Order Date]]),1)</f>
        <v>45839</v>
      </c>
      <c r="E3353">
        <f>MONTH(OrdersTable[[#This Row],[Order Date]])</f>
        <v>7</v>
      </c>
      <c r="F3353" t="s">
        <v>321</v>
      </c>
      <c r="G3353" t="str">
        <f>IF(OrdersTable[[#This Row],[Order Date]]=_xlfn.MINIFS(Order_Date, Customer_ID, OrdersTable[[#This Row],[Customer ID]]), "New", "Repeat")</f>
        <v>Repeat</v>
      </c>
      <c r="H3353" t="s">
        <v>128</v>
      </c>
      <c r="I3353" t="str">
        <f>INDEX(State!B:B,MATCH(OrdersTable[[#This Row],[State]],State!A:A,0))</f>
        <v>DL</v>
      </c>
      <c r="J3353" t="str">
        <f>INDEX(State!C:C,MATCH(OrdersTable[[#This Row],[State Code]],State!B:B,0))</f>
        <v>North</v>
      </c>
      <c r="K3353" t="s">
        <v>129</v>
      </c>
      <c r="L3353" t="s">
        <v>16</v>
      </c>
      <c r="M3353" t="s">
        <v>29</v>
      </c>
      <c r="N3353" t="str">
        <f>INDEX(Products!B:B,MATCH(OrdersTable[[#This Row],[Product ID]],Products!A:A,0))</f>
        <v>Joggers</v>
      </c>
      <c r="O3353" t="str">
        <f>INDEX(Products!C:C,MATCH(OrdersTable[[#This Row],[Product ID]],Products!A:A,0))</f>
        <v>Apparel</v>
      </c>
      <c r="P3353">
        <v>1</v>
      </c>
      <c r="Q3353" s="5">
        <v>1199</v>
      </c>
      <c r="R3353" s="74">
        <v>0.1</v>
      </c>
      <c r="S3353" s="75">
        <f>OrdersTable[[#This Row],[Quantity]]*OrdersTable[[#This Row],[Unit Price]]</f>
        <v>1199</v>
      </c>
      <c r="T3353" s="5">
        <f>OrdersTable[[#This Row],[Gross Sale]]*OrdersTable[[#This Row],[Discount_Clean2]]</f>
        <v>119.9</v>
      </c>
      <c r="U3353" s="5">
        <f>OrdersTable[[#This Row],[Gross Sale]]-OrdersTable[[#This Row],[Discount Amount]]</f>
        <v>1079.0999999999999</v>
      </c>
      <c r="V3353" s="77">
        <f>INDEX(Products!E:E,MATCH(OrdersTable[[#This Row],[Product ID]],Products!A:A,0))</f>
        <v>492</v>
      </c>
      <c r="W3353" s="77">
        <f>OrdersTable[[#This Row],[Quantity]]*OrdersTable[[#This Row],[Unit Cost]]</f>
        <v>492</v>
      </c>
      <c r="X3353" s="77">
        <f>'Dropdown Lists'!$I$2*(1+OrdersTable[[#This Row],[Returned]])</f>
        <v>60</v>
      </c>
      <c r="Y3353" s="76">
        <f>OrdersTable[[#This Row],[Net Revenue]]-OrdersTable[[#This Row],[COGS]]-OrdersTable[[#This Row],[Shipping Cost]]</f>
        <v>527.09999999999991</v>
      </c>
      <c r="Z3353" s="78">
        <f>IFERROR(OrdersTable[[#This Row],[Profit]]/OrdersTable[[#This Row],[Net Revenue]],0)</f>
        <v>0.48846260772866273</v>
      </c>
      <c r="AA3353" t="s">
        <v>3495</v>
      </c>
      <c r="AB3353" s="79">
        <v>45843</v>
      </c>
      <c r="AC3353">
        <f>OrdersTable[[#This Row],[Delivery Date]]-OrdersTable[[#This Row],[Order Date]]</f>
        <v>3</v>
      </c>
      <c r="AD3353" t="str">
        <f>IF(OrdersTable[[#This Row],[Delivery Days]]&lt;=2, "Express (≤2d)", IF(OrdersTable[[#This Row],[Delivery Days]]&lt;=4, "Standard (3-4d)", "Delayed (5d+)"))</f>
        <v>Standard (3-4d)</v>
      </c>
      <c r="AE3353">
        <v>4</v>
      </c>
      <c r="AF3353">
        <v>0</v>
      </c>
    </row>
    <row r="3354" spans="1:32" ht="15" x14ac:dyDescent="0.35">
      <c r="A3354" t="s">
        <v>4418</v>
      </c>
      <c r="B3354" s="1">
        <v>45840</v>
      </c>
      <c r="C3354">
        <f>YEAR(OrdersTable[[#This Row],[Order Date]])</f>
        <v>2025</v>
      </c>
      <c r="D3354" s="2">
        <f>DATE(YEAR(OrdersTable[[#This Row],[Order Date]]),MONTH(OrdersTable[[#This Row],[Order Date]]),1)</f>
        <v>45839</v>
      </c>
      <c r="E3354">
        <f>MONTH(OrdersTable[[#This Row],[Order Date]])</f>
        <v>7</v>
      </c>
      <c r="F3354" t="s">
        <v>4419</v>
      </c>
      <c r="G3354" t="str">
        <f>IF(OrdersTable[[#This Row],[Order Date]]=_xlfn.MINIFS(Order_Date, Customer_ID, OrdersTable[[#This Row],[Customer ID]]), "New", "Repeat")</f>
        <v>New</v>
      </c>
      <c r="H3354" t="s">
        <v>32</v>
      </c>
      <c r="I3354" t="str">
        <f>INDEX(State!B:B,MATCH(OrdersTable[[#This Row],[State]],State!A:A,0))</f>
        <v>BR</v>
      </c>
      <c r="J3354" t="str">
        <f>INDEX(State!C:C,MATCH(OrdersTable[[#This Row],[State Code]],State!B:B,0))</f>
        <v>East</v>
      </c>
      <c r="K3354" t="s">
        <v>33</v>
      </c>
      <c r="L3354" t="s">
        <v>65</v>
      </c>
      <c r="M3354" t="s">
        <v>255</v>
      </c>
      <c r="N3354" t="str">
        <f>INDEX(Products!B:B,MATCH(OrdersTable[[#This Row],[Product ID]],Products!A:A,0))</f>
        <v>Cotton Oversized T-Shirt</v>
      </c>
      <c r="O3354" t="str">
        <f>INDEX(Products!C:C,MATCH(OrdersTable[[#This Row],[Product ID]],Products!A:A,0))</f>
        <v>Apparel</v>
      </c>
      <c r="P3354">
        <v>1</v>
      </c>
      <c r="Q3354" s="5">
        <v>799</v>
      </c>
      <c r="R3354" s="74">
        <v>0.05</v>
      </c>
      <c r="S3354" s="75">
        <f>OrdersTable[[#This Row],[Quantity]]*OrdersTable[[#This Row],[Unit Price]]</f>
        <v>799</v>
      </c>
      <c r="T3354" s="5">
        <f>OrdersTable[[#This Row],[Gross Sale]]*OrdersTable[[#This Row],[Discount_Clean2]]</f>
        <v>39.950000000000003</v>
      </c>
      <c r="U3354" s="5">
        <f>OrdersTable[[#This Row],[Gross Sale]]-OrdersTable[[#This Row],[Discount Amount]]</f>
        <v>759.05</v>
      </c>
      <c r="V3354" s="77">
        <f>INDEX(Products!E:E,MATCH(OrdersTable[[#This Row],[Product ID]],Products!A:A,0))</f>
        <v>320</v>
      </c>
      <c r="W3354" s="77">
        <f>OrdersTable[[#This Row],[Quantity]]*OrdersTable[[#This Row],[Unit Cost]]</f>
        <v>320</v>
      </c>
      <c r="X3354" s="77">
        <f>'Dropdown Lists'!$I$2*(1+OrdersTable[[#This Row],[Returned]])</f>
        <v>60</v>
      </c>
      <c r="Y3354" s="76">
        <f>OrdersTable[[#This Row],[Net Revenue]]-OrdersTable[[#This Row],[COGS]]-OrdersTable[[#This Row],[Shipping Cost]]</f>
        <v>379.04999999999995</v>
      </c>
      <c r="Z3354" s="78">
        <f>IFERROR(OrdersTable[[#This Row],[Profit]]/OrdersTable[[#This Row],[Net Revenue]],0)</f>
        <v>0.49937421777221525</v>
      </c>
      <c r="AA3354" t="s">
        <v>4074</v>
      </c>
      <c r="AB3354" s="79">
        <v>45847</v>
      </c>
      <c r="AC3354">
        <f>OrdersTable[[#This Row],[Delivery Date]]-OrdersTable[[#This Row],[Order Date]]</f>
        <v>7</v>
      </c>
      <c r="AD3354" t="str">
        <f>IF(OrdersTable[[#This Row],[Delivery Days]]&lt;=2, "Express (≤2d)", IF(OrdersTable[[#This Row],[Delivery Days]]&lt;=4, "Standard (3-4d)", "Delayed (5d+)"))</f>
        <v>Delayed (5d+)</v>
      </c>
      <c r="AE3354">
        <v>4</v>
      </c>
      <c r="AF3354">
        <v>0</v>
      </c>
    </row>
    <row r="3355" spans="1:32" ht="15" x14ac:dyDescent="0.35">
      <c r="A3355" t="s">
        <v>3785</v>
      </c>
      <c r="B3355" s="1">
        <v>45840</v>
      </c>
      <c r="C3355">
        <f>YEAR(OrdersTable[[#This Row],[Order Date]])</f>
        <v>2025</v>
      </c>
      <c r="D3355" s="2">
        <f>DATE(YEAR(OrdersTable[[#This Row],[Order Date]]),MONTH(OrdersTable[[#This Row],[Order Date]]),1)</f>
        <v>45839</v>
      </c>
      <c r="E3355">
        <f>MONTH(OrdersTable[[#This Row],[Order Date]])</f>
        <v>7</v>
      </c>
      <c r="F3355" t="s">
        <v>837</v>
      </c>
      <c r="G3355" t="str">
        <f>IF(OrdersTable[[#This Row],[Order Date]]=_xlfn.MINIFS(Order_Date, Customer_ID, OrdersTable[[#This Row],[Customer ID]]), "New", "Repeat")</f>
        <v>Repeat</v>
      </c>
      <c r="H3355" t="s">
        <v>123</v>
      </c>
      <c r="I3355" t="str">
        <f>INDEX(State!B:B,MATCH(OrdersTable[[#This Row],[State]],State!A:A,0))</f>
        <v>JH</v>
      </c>
      <c r="J3355" t="str">
        <f>INDEX(State!C:C,MATCH(OrdersTable[[#This Row],[State Code]],State!B:B,0))</f>
        <v>East</v>
      </c>
      <c r="K3355" t="s">
        <v>124</v>
      </c>
      <c r="L3355" t="s">
        <v>65</v>
      </c>
      <c r="M3355" t="s">
        <v>205</v>
      </c>
      <c r="N3355" t="str">
        <f>INDEX(Products!B:B,MATCH(OrdersTable[[#This Row],[Product ID]],Products!A:A,0))</f>
        <v>Running Shoes</v>
      </c>
      <c r="O3355" t="str">
        <f>INDEX(Products!C:C,MATCH(OrdersTable[[#This Row],[Product ID]],Products!A:A,0))</f>
        <v>Footwear</v>
      </c>
      <c r="P3355">
        <v>1</v>
      </c>
      <c r="Q3355" s="5">
        <v>2999</v>
      </c>
      <c r="R3355" s="74">
        <v>0.2</v>
      </c>
      <c r="S3355" s="75">
        <f>OrdersTable[[#This Row],[Quantity]]*OrdersTable[[#This Row],[Unit Price]]</f>
        <v>2999</v>
      </c>
      <c r="T3355" s="5">
        <f>OrdersTable[[#This Row],[Gross Sale]]*OrdersTable[[#This Row],[Discount_Clean2]]</f>
        <v>599.80000000000007</v>
      </c>
      <c r="U3355" s="5">
        <f>OrdersTable[[#This Row],[Gross Sale]]-OrdersTable[[#This Row],[Discount Amount]]</f>
        <v>2399.1999999999998</v>
      </c>
      <c r="V3355" s="77">
        <f>INDEX(Products!E:E,MATCH(OrdersTable[[#This Row],[Product ID]],Products!A:A,0))</f>
        <v>1440</v>
      </c>
      <c r="W3355" s="77">
        <f>OrdersTable[[#This Row],[Quantity]]*OrdersTable[[#This Row],[Unit Cost]]</f>
        <v>1440</v>
      </c>
      <c r="X3355" s="77">
        <f>'Dropdown Lists'!$I$2*(1+OrdersTable[[#This Row],[Returned]])</f>
        <v>120</v>
      </c>
      <c r="Y3355" s="76">
        <f>OrdersTable[[#This Row],[Net Revenue]]-OrdersTable[[#This Row],[COGS]]-OrdersTable[[#This Row],[Shipping Cost]]</f>
        <v>839.19999999999982</v>
      </c>
      <c r="Z3355" s="78">
        <f>IFERROR(OrdersTable[[#This Row],[Profit]]/OrdersTable[[#This Row],[Net Revenue]],0)</f>
        <v>0.34978326108702895</v>
      </c>
      <c r="AA3355" t="s">
        <v>3495</v>
      </c>
      <c r="AB3355" s="79">
        <v>45846</v>
      </c>
      <c r="AC3355">
        <f>OrdersTable[[#This Row],[Delivery Date]]-OrdersTable[[#This Row],[Order Date]]</f>
        <v>6</v>
      </c>
      <c r="AD3355" t="str">
        <f>IF(OrdersTable[[#This Row],[Delivery Days]]&lt;=2, "Express (≤2d)", IF(OrdersTable[[#This Row],[Delivery Days]]&lt;=4, "Standard (3-4d)", "Delayed (5d+)"))</f>
        <v>Delayed (5d+)</v>
      </c>
      <c r="AF3355">
        <v>1</v>
      </c>
    </row>
    <row r="3356" spans="1:32" ht="15" x14ac:dyDescent="0.35">
      <c r="A3356" t="s">
        <v>1175</v>
      </c>
      <c r="B3356" s="1">
        <v>45840</v>
      </c>
      <c r="C3356">
        <f>YEAR(OrdersTable[[#This Row],[Order Date]])</f>
        <v>2025</v>
      </c>
      <c r="D3356" s="2">
        <f>DATE(YEAR(OrdersTable[[#This Row],[Order Date]]),MONTH(OrdersTable[[#This Row],[Order Date]]),1)</f>
        <v>45839</v>
      </c>
      <c r="E3356">
        <f>MONTH(OrdersTable[[#This Row],[Order Date]])</f>
        <v>7</v>
      </c>
      <c r="F3356" t="s">
        <v>1176</v>
      </c>
      <c r="G3356" t="str">
        <f>IF(OrdersTable[[#This Row],[Order Date]]=_xlfn.MINIFS(Order_Date, Customer_ID, OrdersTable[[#This Row],[Customer ID]]), "New", "Repeat")</f>
        <v>Repeat</v>
      </c>
      <c r="H3356" t="s">
        <v>27</v>
      </c>
      <c r="I3356" t="str">
        <f>INDEX(State!B:B,MATCH(OrdersTable[[#This Row],[State]],State!A:A,0))</f>
        <v>WB</v>
      </c>
      <c r="J3356" t="str">
        <f>INDEX(State!C:C,MATCH(OrdersTable[[#This Row],[State Code]],State!B:B,0))</f>
        <v>East</v>
      </c>
      <c r="K3356" t="s">
        <v>28</v>
      </c>
      <c r="L3356" t="s">
        <v>50</v>
      </c>
      <c r="M3356" t="s">
        <v>106</v>
      </c>
      <c r="N3356" t="str">
        <f>INDEX(Products!B:B,MATCH(OrdersTable[[#This Row],[Product ID]],Products!A:A,0))</f>
        <v>Keratin Hair Mask</v>
      </c>
      <c r="O3356" t="str">
        <f>INDEX(Products!C:C,MATCH(OrdersTable[[#This Row],[Product ID]],Products!A:A,0))</f>
        <v>Haircare</v>
      </c>
      <c r="P3356">
        <v>1</v>
      </c>
      <c r="Q3356" s="5">
        <v>549</v>
      </c>
      <c r="R3356" s="74">
        <v>0.15</v>
      </c>
      <c r="S3356" s="75">
        <f>OrdersTable[[#This Row],[Quantity]]*OrdersTable[[#This Row],[Unit Price]]</f>
        <v>549</v>
      </c>
      <c r="T3356" s="5">
        <f>OrdersTable[[#This Row],[Gross Sale]]*OrdersTable[[#This Row],[Discount_Clean2]]</f>
        <v>82.35</v>
      </c>
      <c r="U3356" s="5">
        <f>OrdersTable[[#This Row],[Gross Sale]]-OrdersTable[[#This Row],[Discount Amount]]</f>
        <v>466.65</v>
      </c>
      <c r="V3356" s="77">
        <f>INDEX(Products!E:E,MATCH(OrdersTable[[#This Row],[Product ID]],Products!A:A,0))</f>
        <v>170</v>
      </c>
      <c r="W3356" s="77">
        <f>OrdersTable[[#This Row],[Quantity]]*OrdersTable[[#This Row],[Unit Cost]]</f>
        <v>170</v>
      </c>
      <c r="X3356" s="77">
        <f>'Dropdown Lists'!$I$2*(1+OrdersTable[[#This Row],[Returned]])</f>
        <v>60</v>
      </c>
      <c r="Y3356" s="76">
        <f>OrdersTable[[#This Row],[Net Revenue]]-OrdersTable[[#This Row],[COGS]]-OrdersTable[[#This Row],[Shipping Cost]]</f>
        <v>236.64999999999998</v>
      </c>
      <c r="Z3356" s="78">
        <f>IFERROR(OrdersTable[[#This Row],[Profit]]/OrdersTable[[#This Row],[Net Revenue]],0)</f>
        <v>0.50712525447337398</v>
      </c>
      <c r="AA3356" t="s">
        <v>18</v>
      </c>
      <c r="AB3356" s="79">
        <v>45844</v>
      </c>
      <c r="AC3356">
        <f>OrdersTable[[#This Row],[Delivery Date]]-OrdersTable[[#This Row],[Order Date]]</f>
        <v>4</v>
      </c>
      <c r="AD3356" t="str">
        <f>IF(OrdersTable[[#This Row],[Delivery Days]]&lt;=2, "Express (≤2d)", IF(OrdersTable[[#This Row],[Delivery Days]]&lt;=4, "Standard (3-4d)", "Delayed (5d+)"))</f>
        <v>Standard (3-4d)</v>
      </c>
      <c r="AF3356">
        <v>0</v>
      </c>
    </row>
    <row r="3357" spans="1:32" ht="15" x14ac:dyDescent="0.35">
      <c r="A3357" t="s">
        <v>3308</v>
      </c>
      <c r="B3357" s="1">
        <v>45840</v>
      </c>
      <c r="C3357">
        <f>YEAR(OrdersTable[[#This Row],[Order Date]])</f>
        <v>2025</v>
      </c>
      <c r="D3357" s="2">
        <f>DATE(YEAR(OrdersTable[[#This Row],[Order Date]]),MONTH(OrdersTable[[#This Row],[Order Date]]),1)</f>
        <v>45839</v>
      </c>
      <c r="E3357">
        <f>MONTH(OrdersTable[[#This Row],[Order Date]])</f>
        <v>7</v>
      </c>
      <c r="F3357" t="s">
        <v>3309</v>
      </c>
      <c r="G3357" t="str">
        <f>IF(OrdersTable[[#This Row],[Order Date]]=_xlfn.MINIFS(Order_Date, Customer_ID, OrdersTable[[#This Row],[Customer ID]]), "New", "Repeat")</f>
        <v>New</v>
      </c>
      <c r="H3357" t="s">
        <v>27</v>
      </c>
      <c r="I3357" t="str">
        <f>INDEX(State!B:B,MATCH(OrdersTable[[#This Row],[State]],State!A:A,0))</f>
        <v>WB</v>
      </c>
      <c r="J3357" t="str">
        <f>INDEX(State!C:C,MATCH(OrdersTable[[#This Row],[State Code]],State!B:B,0))</f>
        <v>East</v>
      </c>
      <c r="K3357" t="s">
        <v>28</v>
      </c>
      <c r="L3357" t="s">
        <v>16</v>
      </c>
      <c r="M3357" t="s">
        <v>34</v>
      </c>
      <c r="N3357" t="str">
        <f>INDEX(Products!B:B,MATCH(OrdersTable[[#This Row],[Product ID]],Products!A:A,0))</f>
        <v>Flip Flops</v>
      </c>
      <c r="O3357" t="str">
        <f>INDEX(Products!C:C,MATCH(OrdersTable[[#This Row],[Product ID]],Products!A:A,0))</f>
        <v>Footwear</v>
      </c>
      <c r="P3357">
        <v>1</v>
      </c>
      <c r="Q3357" s="5">
        <v>399</v>
      </c>
      <c r="R3357" s="74">
        <v>0.1</v>
      </c>
      <c r="S3357" s="75">
        <f>OrdersTable[[#This Row],[Quantity]]*OrdersTable[[#This Row],[Unit Price]]</f>
        <v>399</v>
      </c>
      <c r="T3357" s="5">
        <f>OrdersTable[[#This Row],[Gross Sale]]*OrdersTable[[#This Row],[Discount_Clean2]]</f>
        <v>39.900000000000006</v>
      </c>
      <c r="U3357" s="5">
        <f>OrdersTable[[#This Row],[Gross Sale]]-OrdersTable[[#This Row],[Discount Amount]]</f>
        <v>359.1</v>
      </c>
      <c r="V3357" s="77">
        <f>INDEX(Products!E:E,MATCH(OrdersTable[[#This Row],[Product ID]],Products!A:A,0))</f>
        <v>152</v>
      </c>
      <c r="W3357" s="77">
        <f>OrdersTable[[#This Row],[Quantity]]*OrdersTable[[#This Row],[Unit Cost]]</f>
        <v>152</v>
      </c>
      <c r="X3357" s="77">
        <f>'Dropdown Lists'!$I$2*(1+OrdersTable[[#This Row],[Returned]])</f>
        <v>60</v>
      </c>
      <c r="Y3357" s="76">
        <f>OrdersTable[[#This Row],[Net Revenue]]-OrdersTable[[#This Row],[COGS]]-OrdersTable[[#This Row],[Shipping Cost]]</f>
        <v>147.10000000000002</v>
      </c>
      <c r="Z3357" s="78">
        <f>IFERROR(OrdersTable[[#This Row],[Profit]]/OrdersTable[[#This Row],[Net Revenue]],0)</f>
        <v>0.40963519910888335</v>
      </c>
      <c r="AA3357" t="s">
        <v>2522</v>
      </c>
      <c r="AB3357" s="79">
        <v>45842</v>
      </c>
      <c r="AC3357">
        <f>OrdersTable[[#This Row],[Delivery Date]]-OrdersTable[[#This Row],[Order Date]]</f>
        <v>2</v>
      </c>
      <c r="AD3357" t="str">
        <f>IF(OrdersTable[[#This Row],[Delivery Days]]&lt;=2, "Express (≤2d)", IF(OrdersTable[[#This Row],[Delivery Days]]&lt;=4, "Standard (3-4d)", "Delayed (5d+)"))</f>
        <v>Express (≤2d)</v>
      </c>
      <c r="AE3357">
        <v>4</v>
      </c>
      <c r="AF3357">
        <v>0</v>
      </c>
    </row>
    <row r="3358" spans="1:32" ht="15" x14ac:dyDescent="0.35">
      <c r="A3358" t="s">
        <v>4420</v>
      </c>
      <c r="B3358" s="1">
        <v>45840</v>
      </c>
      <c r="C3358">
        <f>YEAR(OrdersTable[[#This Row],[Order Date]])</f>
        <v>2025</v>
      </c>
      <c r="D3358" s="2">
        <f>DATE(YEAR(OrdersTable[[#This Row],[Order Date]]),MONTH(OrdersTable[[#This Row],[Order Date]]),1)</f>
        <v>45839</v>
      </c>
      <c r="E3358">
        <f>MONTH(OrdersTable[[#This Row],[Order Date]])</f>
        <v>7</v>
      </c>
      <c r="F3358" t="s">
        <v>2357</v>
      </c>
      <c r="G3358" t="str">
        <f>IF(OrdersTable[[#This Row],[Order Date]]=_xlfn.MINIFS(Order_Date, Customer_ID, OrdersTable[[#This Row],[Customer ID]]), "New", "Repeat")</f>
        <v>Repeat</v>
      </c>
      <c r="H3358" t="s">
        <v>27</v>
      </c>
      <c r="I3358" t="str">
        <f>INDEX(State!B:B,MATCH(OrdersTable[[#This Row],[State]],State!A:A,0))</f>
        <v>WB</v>
      </c>
      <c r="J3358" t="str">
        <f>INDEX(State!C:C,MATCH(OrdersTable[[#This Row],[State Code]],State!B:B,0))</f>
        <v>East</v>
      </c>
      <c r="K3358" t="s">
        <v>28</v>
      </c>
      <c r="L3358" t="s">
        <v>65</v>
      </c>
      <c r="M3358" t="s">
        <v>109</v>
      </c>
      <c r="N3358" t="str">
        <f>INDEX(Products!B:B,MATCH(OrdersTable[[#This Row],[Product ID]],Products!A:A,0))</f>
        <v>Onion Hair Oil</v>
      </c>
      <c r="O3358" t="str">
        <f>INDEX(Products!C:C,MATCH(OrdersTable[[#This Row],[Product ID]],Products!A:A,0))</f>
        <v>Haircare</v>
      </c>
      <c r="P3358">
        <v>1</v>
      </c>
      <c r="Q3358" s="5">
        <v>349</v>
      </c>
      <c r="R3358" s="74">
        <v>0.3</v>
      </c>
      <c r="S3358" s="75">
        <f>OrdersTable[[#This Row],[Quantity]]*OrdersTable[[#This Row],[Unit Price]]</f>
        <v>349</v>
      </c>
      <c r="T3358" s="5">
        <f>OrdersTable[[#This Row],[Gross Sale]]*OrdersTable[[#This Row],[Discount_Clean2]]</f>
        <v>104.7</v>
      </c>
      <c r="U3358" s="5">
        <f>OrdersTable[[#This Row],[Gross Sale]]-OrdersTable[[#This Row],[Discount Amount]]</f>
        <v>244.3</v>
      </c>
      <c r="V3358" s="77">
        <f>INDEX(Products!E:E,MATCH(OrdersTable[[#This Row],[Product ID]],Products!A:A,0))</f>
        <v>105</v>
      </c>
      <c r="W3358" s="77">
        <f>OrdersTable[[#This Row],[Quantity]]*OrdersTable[[#This Row],[Unit Cost]]</f>
        <v>105</v>
      </c>
      <c r="X3358" s="77">
        <f>'Dropdown Lists'!$I$2*(1+OrdersTable[[#This Row],[Returned]])</f>
        <v>60</v>
      </c>
      <c r="Y3358" s="76">
        <f>OrdersTable[[#This Row],[Net Revenue]]-OrdersTable[[#This Row],[COGS]]-OrdersTable[[#This Row],[Shipping Cost]]</f>
        <v>79.300000000000011</v>
      </c>
      <c r="Z3358" s="78">
        <f>IFERROR(OrdersTable[[#This Row],[Profit]]/OrdersTable[[#This Row],[Net Revenue]],0)</f>
        <v>0.32460090053213264</v>
      </c>
      <c r="AA3358" t="s">
        <v>4074</v>
      </c>
      <c r="AB3358" s="79">
        <v>45843</v>
      </c>
      <c r="AC3358">
        <f>OrdersTable[[#This Row],[Delivery Date]]-OrdersTable[[#This Row],[Order Date]]</f>
        <v>3</v>
      </c>
      <c r="AD3358" t="str">
        <f>IF(OrdersTable[[#This Row],[Delivery Days]]&lt;=2, "Express (≤2d)", IF(OrdersTable[[#This Row],[Delivery Days]]&lt;=4, "Standard (3-4d)", "Delayed (5d+)"))</f>
        <v>Standard (3-4d)</v>
      </c>
      <c r="AE3358">
        <v>4</v>
      </c>
      <c r="AF3358">
        <v>0</v>
      </c>
    </row>
    <row r="3359" spans="1:32" ht="15" x14ac:dyDescent="0.35">
      <c r="A3359" t="s">
        <v>1574</v>
      </c>
      <c r="B3359" s="1">
        <v>45840</v>
      </c>
      <c r="C3359">
        <f>YEAR(OrdersTable[[#This Row],[Order Date]])</f>
        <v>2025</v>
      </c>
      <c r="D3359" s="2">
        <f>DATE(YEAR(OrdersTable[[#This Row],[Order Date]]),MONTH(OrdersTable[[#This Row],[Order Date]]),1)</f>
        <v>45839</v>
      </c>
      <c r="E3359">
        <f>MONTH(OrdersTable[[#This Row],[Order Date]])</f>
        <v>7</v>
      </c>
      <c r="F3359" t="s">
        <v>547</v>
      </c>
      <c r="G3359" t="str">
        <f>IF(OrdersTable[[#This Row],[Order Date]]=_xlfn.MINIFS(Order_Date, Customer_ID, OrdersTable[[#This Row],[Customer ID]]), "New", "Repeat")</f>
        <v>Repeat</v>
      </c>
      <c r="H3359" t="s">
        <v>71</v>
      </c>
      <c r="I3359" t="str">
        <f>INDEX(State!B:B,MATCH(OrdersTable[[#This Row],[State]],State!A:A,0))</f>
        <v>MH</v>
      </c>
      <c r="J3359" t="str">
        <f>INDEX(State!C:C,MATCH(OrdersTable[[#This Row],[State Code]],State!B:B,0))</f>
        <v>West</v>
      </c>
      <c r="K3359" t="s">
        <v>81</v>
      </c>
      <c r="L3359" t="s">
        <v>39</v>
      </c>
      <c r="M3359" t="s">
        <v>34</v>
      </c>
      <c r="N3359" t="str">
        <f>INDEX(Products!B:B,MATCH(OrdersTable[[#This Row],[Product ID]],Products!A:A,0))</f>
        <v>Flip Flops</v>
      </c>
      <c r="O3359" t="str">
        <f>INDEX(Products!C:C,MATCH(OrdersTable[[#This Row],[Product ID]],Products!A:A,0))</f>
        <v>Footwear</v>
      </c>
      <c r="P3359">
        <v>1</v>
      </c>
      <c r="Q3359" s="5">
        <v>399</v>
      </c>
      <c r="R3359" s="74">
        <v>0.15</v>
      </c>
      <c r="S3359" s="75">
        <f>OrdersTable[[#This Row],[Quantity]]*OrdersTable[[#This Row],[Unit Price]]</f>
        <v>399</v>
      </c>
      <c r="T3359" s="5">
        <f>OrdersTable[[#This Row],[Gross Sale]]*OrdersTable[[#This Row],[Discount_Clean2]]</f>
        <v>59.849999999999994</v>
      </c>
      <c r="U3359" s="5">
        <f>OrdersTable[[#This Row],[Gross Sale]]-OrdersTable[[#This Row],[Discount Amount]]</f>
        <v>339.15</v>
      </c>
      <c r="V3359" s="77">
        <f>INDEX(Products!E:E,MATCH(OrdersTable[[#This Row],[Product ID]],Products!A:A,0))</f>
        <v>152</v>
      </c>
      <c r="W3359" s="77">
        <f>OrdersTable[[#This Row],[Quantity]]*OrdersTable[[#This Row],[Unit Cost]]</f>
        <v>152</v>
      </c>
      <c r="X3359" s="77">
        <f>'Dropdown Lists'!$I$2*(1+OrdersTable[[#This Row],[Returned]])</f>
        <v>120</v>
      </c>
      <c r="Y3359" s="76">
        <f>OrdersTable[[#This Row],[Net Revenue]]-OrdersTable[[#This Row],[COGS]]-OrdersTable[[#This Row],[Shipping Cost]]</f>
        <v>67.149999999999977</v>
      </c>
      <c r="Z3359" s="78">
        <f>IFERROR(OrdersTable[[#This Row],[Profit]]/OrdersTable[[#This Row],[Net Revenue]],0)</f>
        <v>0.19799498746867161</v>
      </c>
      <c r="AA3359" t="s">
        <v>18</v>
      </c>
      <c r="AB3359" s="79">
        <v>45843</v>
      </c>
      <c r="AC3359">
        <f>OrdersTable[[#This Row],[Delivery Date]]-OrdersTable[[#This Row],[Order Date]]</f>
        <v>3</v>
      </c>
      <c r="AD3359" t="str">
        <f>IF(OrdersTable[[#This Row],[Delivery Days]]&lt;=2, "Express (≤2d)", IF(OrdersTable[[#This Row],[Delivery Days]]&lt;=4, "Standard (3-4d)", "Delayed (5d+)"))</f>
        <v>Standard (3-4d)</v>
      </c>
      <c r="AF3359">
        <v>1</v>
      </c>
    </row>
    <row r="3360" spans="1:32" ht="15" x14ac:dyDescent="0.35">
      <c r="A3360" t="s">
        <v>3455</v>
      </c>
      <c r="B3360" s="1">
        <v>45840</v>
      </c>
      <c r="C3360">
        <f>YEAR(OrdersTable[[#This Row],[Order Date]])</f>
        <v>2025</v>
      </c>
      <c r="D3360" s="2">
        <f>DATE(YEAR(OrdersTable[[#This Row],[Order Date]]),MONTH(OrdersTable[[#This Row],[Order Date]]),1)</f>
        <v>45839</v>
      </c>
      <c r="E3360">
        <f>MONTH(OrdersTable[[#This Row],[Order Date]])</f>
        <v>7</v>
      </c>
      <c r="F3360" t="s">
        <v>3456</v>
      </c>
      <c r="G3360" t="str">
        <f>IF(OrdersTable[[#This Row],[Order Date]]=_xlfn.MINIFS(Order_Date, Customer_ID, OrdersTable[[#This Row],[Customer ID]]), "New", "Repeat")</f>
        <v>Repeat</v>
      </c>
      <c r="H3360" t="s">
        <v>71</v>
      </c>
      <c r="I3360" t="str">
        <f>INDEX(State!B:B,MATCH(OrdersTable[[#This Row],[State]],State!A:A,0))</f>
        <v>MH</v>
      </c>
      <c r="J3360" t="str">
        <f>INDEX(State!C:C,MATCH(OrdersTable[[#This Row],[State Code]],State!B:B,0))</f>
        <v>West</v>
      </c>
      <c r="K3360" t="s">
        <v>81</v>
      </c>
      <c r="L3360" t="s">
        <v>65</v>
      </c>
      <c r="M3360" t="s">
        <v>423</v>
      </c>
      <c r="N3360" t="str">
        <f>INDEX(Products!B:B,MATCH(OrdersTable[[#This Row],[Product ID]],Products!A:A,0))</f>
        <v>Power Bank 20000mAh</v>
      </c>
      <c r="O3360" t="str">
        <f>INDEX(Products!C:C,MATCH(OrdersTable[[#This Row],[Product ID]],Products!A:A,0))</f>
        <v>Electronics</v>
      </c>
      <c r="P3360">
        <v>1</v>
      </c>
      <c r="Q3360" s="5">
        <v>1799</v>
      </c>
      <c r="R3360" s="74">
        <v>0.45</v>
      </c>
      <c r="S3360" s="75">
        <f>OrdersTable[[#This Row],[Quantity]]*OrdersTable[[#This Row],[Unit Price]]</f>
        <v>1799</v>
      </c>
      <c r="T3360" s="5">
        <f>OrdersTable[[#This Row],[Gross Sale]]*OrdersTable[[#This Row],[Discount_Clean2]]</f>
        <v>809.55000000000007</v>
      </c>
      <c r="U3360" s="5">
        <f>OrdersTable[[#This Row],[Gross Sale]]-OrdersTable[[#This Row],[Discount Amount]]</f>
        <v>989.44999999999993</v>
      </c>
      <c r="V3360" s="77">
        <f>INDEX(Products!E:E,MATCH(OrdersTable[[#This Row],[Product ID]],Products!A:A,0))</f>
        <v>1079</v>
      </c>
      <c r="W3360" s="77">
        <f>OrdersTable[[#This Row],[Quantity]]*OrdersTable[[#This Row],[Unit Cost]]</f>
        <v>1079</v>
      </c>
      <c r="X3360" s="77">
        <f>'Dropdown Lists'!$I$2*(1+OrdersTable[[#This Row],[Returned]])</f>
        <v>60</v>
      </c>
      <c r="Y3360" s="76">
        <f>OrdersTable[[#This Row],[Net Revenue]]-OrdersTable[[#This Row],[COGS]]-OrdersTable[[#This Row],[Shipping Cost]]</f>
        <v>-149.55000000000007</v>
      </c>
      <c r="Z3360" s="78">
        <f>IFERROR(OrdersTable[[#This Row],[Profit]]/OrdersTable[[#This Row],[Net Revenue]],0)</f>
        <v>-0.15114457526908898</v>
      </c>
      <c r="AA3360" t="s">
        <v>2522</v>
      </c>
      <c r="AB3360" s="79">
        <v>45842</v>
      </c>
      <c r="AC3360">
        <f>OrdersTable[[#This Row],[Delivery Date]]-OrdersTable[[#This Row],[Order Date]]</f>
        <v>2</v>
      </c>
      <c r="AD3360" t="str">
        <f>IF(OrdersTable[[#This Row],[Delivery Days]]&lt;=2, "Express (≤2d)", IF(OrdersTable[[#This Row],[Delivery Days]]&lt;=4, "Standard (3-4d)", "Delayed (5d+)"))</f>
        <v>Express (≤2d)</v>
      </c>
      <c r="AE3360">
        <v>4</v>
      </c>
      <c r="AF3360">
        <v>0</v>
      </c>
    </row>
    <row r="3361" spans="1:32" ht="15" x14ac:dyDescent="0.35">
      <c r="A3361" t="s">
        <v>5962</v>
      </c>
      <c r="B3361" s="1">
        <v>45840</v>
      </c>
      <c r="C3361">
        <f>YEAR(OrdersTable[[#This Row],[Order Date]])</f>
        <v>2025</v>
      </c>
      <c r="D3361" s="2">
        <f>DATE(YEAR(OrdersTable[[#This Row],[Order Date]]),MONTH(OrdersTable[[#This Row],[Order Date]]),1)</f>
        <v>45839</v>
      </c>
      <c r="E3361">
        <f>MONTH(OrdersTable[[#This Row],[Order Date]])</f>
        <v>7</v>
      </c>
      <c r="F3361" t="s">
        <v>2986</v>
      </c>
      <c r="G3361" t="str">
        <f>IF(OrdersTable[[#This Row],[Order Date]]=_xlfn.MINIFS(Order_Date, Customer_ID, OrdersTable[[#This Row],[Customer ID]]), "New", "Repeat")</f>
        <v>Repeat</v>
      </c>
      <c r="H3361" t="s">
        <v>59</v>
      </c>
      <c r="I3361" t="str">
        <f>INDEX(State!B:B,MATCH(OrdersTable[[#This Row],[State]],State!A:A,0))</f>
        <v>TN</v>
      </c>
      <c r="J3361" t="str">
        <f>INDEX(State!C:C,MATCH(OrdersTable[[#This Row],[State Code]],State!B:B,0))</f>
        <v>South</v>
      </c>
      <c r="K3361" t="s">
        <v>64</v>
      </c>
      <c r="L3361" t="s">
        <v>16</v>
      </c>
      <c r="M3361" t="s">
        <v>87</v>
      </c>
      <c r="N3361" t="str">
        <f>INDEX(Products!B:B,MATCH(OrdersTable[[#This Row],[Product ID]],Products!A:A,0))</f>
        <v>Linen Kurta</v>
      </c>
      <c r="O3361" t="str">
        <f>INDEX(Products!C:C,MATCH(OrdersTable[[#This Row],[Product ID]],Products!A:A,0))</f>
        <v>Apparel</v>
      </c>
      <c r="P3361">
        <v>2</v>
      </c>
      <c r="Q3361" s="5">
        <v>1499</v>
      </c>
      <c r="R3361" s="74">
        <v>0.3</v>
      </c>
      <c r="S3361" s="75">
        <f>OrdersTable[[#This Row],[Quantity]]*OrdersTable[[#This Row],[Unit Price]]</f>
        <v>2998</v>
      </c>
      <c r="T3361" s="5">
        <f>OrdersTable[[#This Row],[Gross Sale]]*OrdersTable[[#This Row],[Discount_Clean2]]</f>
        <v>899.4</v>
      </c>
      <c r="U3361" s="5">
        <f>OrdersTable[[#This Row],[Gross Sale]]-OrdersTable[[#This Row],[Discount Amount]]</f>
        <v>2098.6</v>
      </c>
      <c r="V3361" s="77">
        <f>INDEX(Products!E:E,MATCH(OrdersTable[[#This Row],[Product ID]],Products!A:A,0))</f>
        <v>630</v>
      </c>
      <c r="W3361" s="77">
        <f>OrdersTable[[#This Row],[Quantity]]*OrdersTable[[#This Row],[Unit Cost]]</f>
        <v>1260</v>
      </c>
      <c r="X3361" s="77">
        <f>'Dropdown Lists'!$I$2*(1+OrdersTable[[#This Row],[Returned]])</f>
        <v>120</v>
      </c>
      <c r="Y3361" s="76">
        <f>OrdersTable[[#This Row],[Net Revenue]]-OrdersTable[[#This Row],[COGS]]-OrdersTable[[#This Row],[Shipping Cost]]</f>
        <v>718.59999999999991</v>
      </c>
      <c r="Z3361" s="78">
        <f>IFERROR(OrdersTable[[#This Row],[Profit]]/OrdersTable[[#This Row],[Net Revenue]],0)</f>
        <v>0.34241875536071664</v>
      </c>
      <c r="AA3361" t="s">
        <v>18</v>
      </c>
      <c r="AB3361" s="79">
        <v>45843</v>
      </c>
      <c r="AC3361">
        <f>OrdersTable[[#This Row],[Delivery Date]]-OrdersTable[[#This Row],[Order Date]]</f>
        <v>3</v>
      </c>
      <c r="AD3361" t="str">
        <f>IF(OrdersTable[[#This Row],[Delivery Days]]&lt;=2, "Express (≤2d)", IF(OrdersTable[[#This Row],[Delivery Days]]&lt;=4, "Standard (3-4d)", "Delayed (5d+)"))</f>
        <v>Standard (3-4d)</v>
      </c>
      <c r="AF3361">
        <v>1</v>
      </c>
    </row>
    <row r="3362" spans="1:32" ht="15" x14ac:dyDescent="0.35">
      <c r="A3362" t="s">
        <v>3072</v>
      </c>
      <c r="B3362" s="1">
        <v>45841</v>
      </c>
      <c r="C3362">
        <f>YEAR(OrdersTable[[#This Row],[Order Date]])</f>
        <v>2025</v>
      </c>
      <c r="D3362" s="2">
        <f>DATE(YEAR(OrdersTable[[#This Row],[Order Date]]),MONTH(OrdersTable[[#This Row],[Order Date]]),1)</f>
        <v>45839</v>
      </c>
      <c r="E3362">
        <f>MONTH(OrdersTable[[#This Row],[Order Date]])</f>
        <v>7</v>
      </c>
      <c r="F3362" t="s">
        <v>3073</v>
      </c>
      <c r="G3362" t="str">
        <f>IF(OrdersTable[[#This Row],[Order Date]]=_xlfn.MINIFS(Order_Date, Customer_ID, OrdersTable[[#This Row],[Customer ID]]), "New", "Repeat")</f>
        <v>New</v>
      </c>
      <c r="H3362" t="s">
        <v>48</v>
      </c>
      <c r="I3362" t="str">
        <f>INDEX(State!B:B,MATCH(OrdersTable[[#This Row],[State]],State!A:A,0))</f>
        <v>HR</v>
      </c>
      <c r="J3362" t="str">
        <f>INDEX(State!C:C,MATCH(OrdersTable[[#This Row],[State Code]],State!B:B,0))</f>
        <v>North</v>
      </c>
      <c r="K3362" t="s">
        <v>151</v>
      </c>
      <c r="L3362" t="s">
        <v>23</v>
      </c>
      <c r="M3362" t="s">
        <v>205</v>
      </c>
      <c r="N3362" t="str">
        <f>INDEX(Products!B:B,MATCH(OrdersTable[[#This Row],[Product ID]],Products!A:A,0))</f>
        <v>Running Shoes</v>
      </c>
      <c r="O3362" t="str">
        <f>INDEX(Products!C:C,MATCH(OrdersTable[[#This Row],[Product ID]],Products!A:A,0))</f>
        <v>Footwear</v>
      </c>
      <c r="P3362">
        <v>1</v>
      </c>
      <c r="Q3362" s="5">
        <v>2999</v>
      </c>
      <c r="R3362" s="74">
        <v>0.15</v>
      </c>
      <c r="S3362" s="75">
        <f>OrdersTable[[#This Row],[Quantity]]*OrdersTable[[#This Row],[Unit Price]]</f>
        <v>2999</v>
      </c>
      <c r="T3362" s="5">
        <f>OrdersTable[[#This Row],[Gross Sale]]*OrdersTable[[#This Row],[Discount_Clean2]]</f>
        <v>449.84999999999997</v>
      </c>
      <c r="U3362" s="5">
        <f>OrdersTable[[#This Row],[Gross Sale]]-OrdersTable[[#This Row],[Discount Amount]]</f>
        <v>2549.15</v>
      </c>
      <c r="V3362" s="77">
        <f>INDEX(Products!E:E,MATCH(OrdersTable[[#This Row],[Product ID]],Products!A:A,0))</f>
        <v>1440</v>
      </c>
      <c r="W3362" s="77">
        <f>OrdersTable[[#This Row],[Quantity]]*OrdersTable[[#This Row],[Unit Cost]]</f>
        <v>1440</v>
      </c>
      <c r="X3362" s="77">
        <f>'Dropdown Lists'!$I$2*(1+OrdersTable[[#This Row],[Returned]])</f>
        <v>60</v>
      </c>
      <c r="Y3362" s="76">
        <f>OrdersTable[[#This Row],[Net Revenue]]-OrdersTable[[#This Row],[COGS]]-OrdersTable[[#This Row],[Shipping Cost]]</f>
        <v>1049.1500000000001</v>
      </c>
      <c r="Z3362" s="78">
        <f>IFERROR(OrdersTable[[#This Row],[Profit]]/OrdersTable[[#This Row],[Net Revenue]],0)</f>
        <v>0.41156856206970954</v>
      </c>
      <c r="AA3362" t="s">
        <v>2522</v>
      </c>
      <c r="AB3362" s="79">
        <v>45843</v>
      </c>
      <c r="AC3362">
        <f>OrdersTable[[#This Row],[Delivery Date]]-OrdersTable[[#This Row],[Order Date]]</f>
        <v>2</v>
      </c>
      <c r="AD3362" t="str">
        <f>IF(OrdersTable[[#This Row],[Delivery Days]]&lt;=2, "Express (≤2d)", IF(OrdersTable[[#This Row],[Delivery Days]]&lt;=4, "Standard (3-4d)", "Delayed (5d+)"))</f>
        <v>Express (≤2d)</v>
      </c>
      <c r="AF3362">
        <v>0</v>
      </c>
    </row>
    <row r="3363" spans="1:32" ht="15" x14ac:dyDescent="0.35">
      <c r="A3363" t="s">
        <v>840</v>
      </c>
      <c r="B3363" s="1">
        <v>45841</v>
      </c>
      <c r="C3363">
        <f>YEAR(OrdersTable[[#This Row],[Order Date]])</f>
        <v>2025</v>
      </c>
      <c r="D3363" s="2">
        <f>DATE(YEAR(OrdersTable[[#This Row],[Order Date]]),MONTH(OrdersTable[[#This Row],[Order Date]]),1)</f>
        <v>45839</v>
      </c>
      <c r="E3363">
        <f>MONTH(OrdersTable[[#This Row],[Order Date]])</f>
        <v>7</v>
      </c>
      <c r="F3363" t="s">
        <v>841</v>
      </c>
      <c r="G3363" t="str">
        <f>IF(OrdersTable[[#This Row],[Order Date]]=_xlfn.MINIFS(Order_Date, Customer_ID, OrdersTable[[#This Row],[Customer ID]]), "New", "Repeat")</f>
        <v>Repeat</v>
      </c>
      <c r="H3363" t="s">
        <v>128</v>
      </c>
      <c r="I3363" t="str">
        <f>INDEX(State!B:B,MATCH(OrdersTable[[#This Row],[State]],State!A:A,0))</f>
        <v>DL</v>
      </c>
      <c r="J3363" t="str">
        <f>INDEX(State!C:C,MATCH(OrdersTable[[#This Row],[State Code]],State!B:B,0))</f>
        <v>North</v>
      </c>
      <c r="K3363" t="s">
        <v>129</v>
      </c>
      <c r="L3363" t="s">
        <v>23</v>
      </c>
      <c r="M3363" t="s">
        <v>255</v>
      </c>
      <c r="N3363" t="str">
        <f>INDEX(Products!B:B,MATCH(OrdersTable[[#This Row],[Product ID]],Products!A:A,0))</f>
        <v>Cotton Oversized T-Shirt</v>
      </c>
      <c r="O3363" t="str">
        <f>INDEX(Products!C:C,MATCH(OrdersTable[[#This Row],[Product ID]],Products!A:A,0))</f>
        <v>Apparel</v>
      </c>
      <c r="P3363">
        <v>1</v>
      </c>
      <c r="Q3363" s="5">
        <v>799</v>
      </c>
      <c r="R3363" s="74">
        <v>0</v>
      </c>
      <c r="S3363" s="75">
        <f>OrdersTable[[#This Row],[Quantity]]*OrdersTable[[#This Row],[Unit Price]]</f>
        <v>799</v>
      </c>
      <c r="T3363" s="5">
        <f>OrdersTable[[#This Row],[Gross Sale]]*OrdersTable[[#This Row],[Discount_Clean2]]</f>
        <v>0</v>
      </c>
      <c r="U3363" s="5">
        <f>OrdersTable[[#This Row],[Gross Sale]]-OrdersTable[[#This Row],[Discount Amount]]</f>
        <v>799</v>
      </c>
      <c r="V3363" s="77">
        <f>INDEX(Products!E:E,MATCH(OrdersTable[[#This Row],[Product ID]],Products!A:A,0))</f>
        <v>320</v>
      </c>
      <c r="W3363" s="77">
        <f>OrdersTable[[#This Row],[Quantity]]*OrdersTable[[#This Row],[Unit Cost]]</f>
        <v>320</v>
      </c>
      <c r="X3363" s="77">
        <f>'Dropdown Lists'!$I$2*(1+OrdersTable[[#This Row],[Returned]])</f>
        <v>60</v>
      </c>
      <c r="Y3363" s="76">
        <f>OrdersTable[[#This Row],[Net Revenue]]-OrdersTable[[#This Row],[COGS]]-OrdersTable[[#This Row],[Shipping Cost]]</f>
        <v>419</v>
      </c>
      <c r="Z3363" s="78">
        <f>IFERROR(OrdersTable[[#This Row],[Profit]]/OrdersTable[[#This Row],[Net Revenue]],0)</f>
        <v>0.52440550688360454</v>
      </c>
      <c r="AA3363" t="s">
        <v>18</v>
      </c>
      <c r="AB3363" s="79">
        <v>45842</v>
      </c>
      <c r="AC3363">
        <f>OrdersTable[[#This Row],[Delivery Date]]-OrdersTable[[#This Row],[Order Date]]</f>
        <v>1</v>
      </c>
      <c r="AD3363" t="str">
        <f>IF(OrdersTable[[#This Row],[Delivery Days]]&lt;=2, "Express (≤2d)", IF(OrdersTable[[#This Row],[Delivery Days]]&lt;=4, "Standard (3-4d)", "Delayed (5d+)"))</f>
        <v>Express (≤2d)</v>
      </c>
      <c r="AE3363">
        <v>4</v>
      </c>
      <c r="AF3363">
        <v>0</v>
      </c>
    </row>
    <row r="3364" spans="1:32" ht="15" x14ac:dyDescent="0.35">
      <c r="A3364" t="s">
        <v>842</v>
      </c>
      <c r="B3364" s="1">
        <v>45841</v>
      </c>
      <c r="C3364">
        <f>YEAR(OrdersTable[[#This Row],[Order Date]])</f>
        <v>2025</v>
      </c>
      <c r="D3364" s="2">
        <f>DATE(YEAR(OrdersTable[[#This Row],[Order Date]]),MONTH(OrdersTable[[#This Row],[Order Date]]),1)</f>
        <v>45839</v>
      </c>
      <c r="E3364">
        <f>MONTH(OrdersTable[[#This Row],[Order Date]])</f>
        <v>7</v>
      </c>
      <c r="F3364" t="s">
        <v>843</v>
      </c>
      <c r="G3364" t="str">
        <f>IF(OrdersTable[[#This Row],[Order Date]]=_xlfn.MINIFS(Order_Date, Customer_ID, OrdersTable[[#This Row],[Customer ID]]), "New", "Repeat")</f>
        <v>Repeat</v>
      </c>
      <c r="H3364" t="s">
        <v>76</v>
      </c>
      <c r="I3364" t="str">
        <f>INDEX(State!B:B,MATCH(OrdersTable[[#This Row],[State]],State!A:A,0))</f>
        <v>UP</v>
      </c>
      <c r="J3364" t="str">
        <f>INDEX(State!C:C,MATCH(OrdersTable[[#This Row],[State Code]],State!B:B,0))</f>
        <v>North</v>
      </c>
      <c r="K3364" t="s">
        <v>105</v>
      </c>
      <c r="L3364" t="s">
        <v>65</v>
      </c>
      <c r="M3364" t="s">
        <v>34</v>
      </c>
      <c r="N3364" t="str">
        <f>INDEX(Products!B:B,MATCH(OrdersTable[[#This Row],[Product ID]],Products!A:A,0))</f>
        <v>Flip Flops</v>
      </c>
      <c r="O3364" t="str">
        <f>INDEX(Products!C:C,MATCH(OrdersTable[[#This Row],[Product ID]],Products!A:A,0))</f>
        <v>Footwear</v>
      </c>
      <c r="P3364">
        <v>1</v>
      </c>
      <c r="Q3364" s="5">
        <v>399</v>
      </c>
      <c r="R3364" s="74">
        <v>0.15</v>
      </c>
      <c r="S3364" s="75">
        <f>OrdersTable[[#This Row],[Quantity]]*OrdersTable[[#This Row],[Unit Price]]</f>
        <v>399</v>
      </c>
      <c r="T3364" s="5">
        <f>OrdersTable[[#This Row],[Gross Sale]]*OrdersTable[[#This Row],[Discount_Clean2]]</f>
        <v>59.849999999999994</v>
      </c>
      <c r="U3364" s="5">
        <f>OrdersTable[[#This Row],[Gross Sale]]-OrdersTable[[#This Row],[Discount Amount]]</f>
        <v>339.15</v>
      </c>
      <c r="V3364" s="77">
        <f>INDEX(Products!E:E,MATCH(OrdersTable[[#This Row],[Product ID]],Products!A:A,0))</f>
        <v>152</v>
      </c>
      <c r="W3364" s="77">
        <f>OrdersTable[[#This Row],[Quantity]]*OrdersTable[[#This Row],[Unit Cost]]</f>
        <v>152</v>
      </c>
      <c r="X3364" s="77">
        <f>'Dropdown Lists'!$I$2*(1+OrdersTable[[#This Row],[Returned]])</f>
        <v>60</v>
      </c>
      <c r="Y3364" s="76">
        <f>OrdersTable[[#This Row],[Net Revenue]]-OrdersTable[[#This Row],[COGS]]-OrdersTable[[#This Row],[Shipping Cost]]</f>
        <v>127.14999999999998</v>
      </c>
      <c r="Z3364" s="78">
        <f>IFERROR(OrdersTable[[#This Row],[Profit]]/OrdersTable[[#This Row],[Net Revenue]],0)</f>
        <v>0.37490785787999409</v>
      </c>
      <c r="AA3364" t="s">
        <v>18</v>
      </c>
      <c r="AB3364" s="79">
        <v>45843</v>
      </c>
      <c r="AC3364">
        <f>OrdersTable[[#This Row],[Delivery Date]]-OrdersTable[[#This Row],[Order Date]]</f>
        <v>2</v>
      </c>
      <c r="AD3364" t="str">
        <f>IF(OrdersTable[[#This Row],[Delivery Days]]&lt;=2, "Express (≤2d)", IF(OrdersTable[[#This Row],[Delivery Days]]&lt;=4, "Standard (3-4d)", "Delayed (5d+)"))</f>
        <v>Express (≤2d)</v>
      </c>
      <c r="AE3364">
        <v>4</v>
      </c>
      <c r="AF3364">
        <v>0</v>
      </c>
    </row>
    <row r="3365" spans="1:32" ht="15" x14ac:dyDescent="0.35">
      <c r="A3365" t="s">
        <v>5207</v>
      </c>
      <c r="B3365" s="1">
        <v>45841</v>
      </c>
      <c r="C3365">
        <f>YEAR(OrdersTable[[#This Row],[Order Date]])</f>
        <v>2025</v>
      </c>
      <c r="D3365" s="2">
        <f>DATE(YEAR(OrdersTable[[#This Row],[Order Date]]),MONTH(OrdersTable[[#This Row],[Order Date]]),1)</f>
        <v>45839</v>
      </c>
      <c r="E3365">
        <f>MONTH(OrdersTable[[#This Row],[Order Date]])</f>
        <v>7</v>
      </c>
      <c r="F3365" t="s">
        <v>5208</v>
      </c>
      <c r="G3365" t="str">
        <f>IF(OrdersTable[[#This Row],[Order Date]]=_xlfn.MINIFS(Order_Date, Customer_ID, OrdersTable[[#This Row],[Customer ID]]), "New", "Repeat")</f>
        <v>New</v>
      </c>
      <c r="H3365" t="s">
        <v>59</v>
      </c>
      <c r="I3365" t="str">
        <f>INDEX(State!B:B,MATCH(OrdersTable[[#This Row],[State]],State!A:A,0))</f>
        <v>TN</v>
      </c>
      <c r="J3365" t="str">
        <f>INDEX(State!C:C,MATCH(OrdersTable[[#This Row],[State Code]],State!B:B,0))</f>
        <v>South</v>
      </c>
      <c r="K3365" t="s">
        <v>60</v>
      </c>
      <c r="L3365" t="s">
        <v>23</v>
      </c>
      <c r="M3365" t="s">
        <v>125</v>
      </c>
      <c r="N3365" t="str">
        <f>INDEX(Products!B:B,MATCH(OrdersTable[[#This Row],[Product ID]],Products!A:A,0))</f>
        <v>Copper Water Bottle</v>
      </c>
      <c r="O3365" t="str">
        <f>INDEX(Products!C:C,MATCH(OrdersTable[[#This Row],[Product ID]],Products!A:A,0))</f>
        <v>Home &amp; Kitchen</v>
      </c>
      <c r="P3365">
        <v>2</v>
      </c>
      <c r="Q3365" s="5">
        <v>899</v>
      </c>
      <c r="R3365" s="74">
        <v>0.15</v>
      </c>
      <c r="S3365" s="75">
        <f>OrdersTable[[#This Row],[Quantity]]*OrdersTable[[#This Row],[Unit Price]]</f>
        <v>1798</v>
      </c>
      <c r="T3365" s="5">
        <f>OrdersTable[[#This Row],[Gross Sale]]*OrdersTable[[#This Row],[Discount_Clean2]]</f>
        <v>269.7</v>
      </c>
      <c r="U3365" s="5">
        <f>OrdersTable[[#This Row],[Gross Sale]]-OrdersTable[[#This Row],[Discount Amount]]</f>
        <v>1528.3</v>
      </c>
      <c r="V3365" s="77">
        <f>INDEX(Products!E:E,MATCH(OrdersTable[[#This Row],[Product ID]],Products!A:A,0))</f>
        <v>378</v>
      </c>
      <c r="W3365" s="77">
        <f>OrdersTable[[#This Row],[Quantity]]*OrdersTable[[#This Row],[Unit Cost]]</f>
        <v>756</v>
      </c>
      <c r="X3365" s="77">
        <f>'Dropdown Lists'!$I$2*(1+OrdersTable[[#This Row],[Returned]])</f>
        <v>60</v>
      </c>
      <c r="Y3365" s="76">
        <f>OrdersTable[[#This Row],[Net Revenue]]-OrdersTable[[#This Row],[COGS]]-OrdersTable[[#This Row],[Shipping Cost]]</f>
        <v>712.3</v>
      </c>
      <c r="Z3365" s="78">
        <f>IFERROR(OrdersTable[[#This Row],[Profit]]/OrdersTable[[#This Row],[Net Revenue]],0)</f>
        <v>0.46607341490545051</v>
      </c>
      <c r="AA3365" t="s">
        <v>3495</v>
      </c>
      <c r="AB3365" s="79">
        <v>45843</v>
      </c>
      <c r="AC3365">
        <f>OrdersTable[[#This Row],[Delivery Date]]-OrdersTable[[#This Row],[Order Date]]</f>
        <v>2</v>
      </c>
      <c r="AD3365" t="str">
        <f>IF(OrdersTable[[#This Row],[Delivery Days]]&lt;=2, "Express (≤2d)", IF(OrdersTable[[#This Row],[Delivery Days]]&lt;=4, "Standard (3-4d)", "Delayed (5d+)"))</f>
        <v>Express (≤2d)</v>
      </c>
      <c r="AE3365">
        <v>4</v>
      </c>
      <c r="AF3365">
        <v>0</v>
      </c>
    </row>
    <row r="3366" spans="1:32" ht="15" x14ac:dyDescent="0.35">
      <c r="A3366" t="s">
        <v>3074</v>
      </c>
      <c r="B3366" s="1">
        <v>45841</v>
      </c>
      <c r="C3366">
        <f>YEAR(OrdersTable[[#This Row],[Order Date]])</f>
        <v>2025</v>
      </c>
      <c r="D3366" s="2">
        <f>DATE(YEAR(OrdersTable[[#This Row],[Order Date]]),MONTH(OrdersTable[[#This Row],[Order Date]]),1)</f>
        <v>45839</v>
      </c>
      <c r="E3366">
        <f>MONTH(OrdersTable[[#This Row],[Order Date]])</f>
        <v>7</v>
      </c>
      <c r="F3366" t="s">
        <v>3075</v>
      </c>
      <c r="G3366" t="str">
        <f>IF(OrdersTable[[#This Row],[Order Date]]=_xlfn.MINIFS(Order_Date, Customer_ID, OrdersTable[[#This Row],[Customer ID]]), "New", "Repeat")</f>
        <v>New</v>
      </c>
      <c r="H3366" t="s">
        <v>59</v>
      </c>
      <c r="I3366" t="str">
        <f>INDEX(State!B:B,MATCH(OrdersTable[[#This Row],[State]],State!A:A,0))</f>
        <v>TN</v>
      </c>
      <c r="J3366" t="str">
        <f>INDEX(State!C:C,MATCH(OrdersTable[[#This Row],[State Code]],State!B:B,0))</f>
        <v>South</v>
      </c>
      <c r="K3366" t="s">
        <v>60</v>
      </c>
      <c r="L3366" t="s">
        <v>50</v>
      </c>
      <c r="M3366" t="s">
        <v>40</v>
      </c>
      <c r="N3366" t="str">
        <f>INDEX(Products!B:B,MATCH(OrdersTable[[#This Row],[Product ID]],Products!A:A,0))</f>
        <v>Ashwagandha Capsules</v>
      </c>
      <c r="O3366" t="str">
        <f>INDEX(Products!C:C,MATCH(OrdersTable[[#This Row],[Product ID]],Products!A:A,0))</f>
        <v>Wellness</v>
      </c>
      <c r="P3366">
        <v>1</v>
      </c>
      <c r="Q3366" s="5">
        <v>499</v>
      </c>
      <c r="R3366" s="74">
        <v>0.05</v>
      </c>
      <c r="S3366" s="75">
        <f>OrdersTable[[#This Row],[Quantity]]*OrdersTable[[#This Row],[Unit Price]]</f>
        <v>499</v>
      </c>
      <c r="T3366" s="5">
        <f>OrdersTable[[#This Row],[Gross Sale]]*OrdersTable[[#This Row],[Discount_Clean2]]</f>
        <v>24.950000000000003</v>
      </c>
      <c r="U3366" s="5">
        <f>OrdersTable[[#This Row],[Gross Sale]]-OrdersTable[[#This Row],[Discount Amount]]</f>
        <v>474.05</v>
      </c>
      <c r="V3366" s="77">
        <f>INDEX(Products!E:E,MATCH(OrdersTable[[#This Row],[Product ID]],Products!A:A,0))</f>
        <v>150</v>
      </c>
      <c r="W3366" s="77">
        <f>OrdersTable[[#This Row],[Quantity]]*OrdersTable[[#This Row],[Unit Cost]]</f>
        <v>150</v>
      </c>
      <c r="X3366" s="77">
        <f>'Dropdown Lists'!$I$2*(1+OrdersTable[[#This Row],[Returned]])</f>
        <v>60</v>
      </c>
      <c r="Y3366" s="76">
        <f>OrdersTable[[#This Row],[Net Revenue]]-OrdersTable[[#This Row],[COGS]]-OrdersTable[[#This Row],[Shipping Cost]]</f>
        <v>264.05</v>
      </c>
      <c r="Z3366" s="78">
        <f>IFERROR(OrdersTable[[#This Row],[Profit]]/OrdersTable[[#This Row],[Net Revenue]],0)</f>
        <v>0.55700875435080688</v>
      </c>
      <c r="AA3366" t="s">
        <v>2522</v>
      </c>
      <c r="AB3366" s="79">
        <v>45843</v>
      </c>
      <c r="AC3366">
        <f>OrdersTable[[#This Row],[Delivery Date]]-OrdersTable[[#This Row],[Order Date]]</f>
        <v>2</v>
      </c>
      <c r="AD3366" t="str">
        <f>IF(OrdersTable[[#This Row],[Delivery Days]]&lt;=2, "Express (≤2d)", IF(OrdersTable[[#This Row],[Delivery Days]]&lt;=4, "Standard (3-4d)", "Delayed (5d+)"))</f>
        <v>Express (≤2d)</v>
      </c>
      <c r="AF3366">
        <v>0</v>
      </c>
    </row>
    <row r="3367" spans="1:32" ht="15" x14ac:dyDescent="0.35">
      <c r="A3367" t="s">
        <v>4162</v>
      </c>
      <c r="B3367" s="1">
        <v>45841</v>
      </c>
      <c r="C3367">
        <f>YEAR(OrdersTable[[#This Row],[Order Date]])</f>
        <v>2025</v>
      </c>
      <c r="D3367" s="2">
        <f>DATE(YEAR(OrdersTable[[#This Row],[Order Date]]),MONTH(OrdersTable[[#This Row],[Order Date]]),1)</f>
        <v>45839</v>
      </c>
      <c r="E3367">
        <f>MONTH(OrdersTable[[#This Row],[Order Date]])</f>
        <v>7</v>
      </c>
      <c r="F3367" t="s">
        <v>3975</v>
      </c>
      <c r="G3367" t="str">
        <f>IF(OrdersTable[[#This Row],[Order Date]]=_xlfn.MINIFS(Order_Date, Customer_ID, OrdersTable[[#This Row],[Customer ID]]), "New", "Repeat")</f>
        <v>Repeat</v>
      </c>
      <c r="H3367" t="s">
        <v>59</v>
      </c>
      <c r="I3367" t="str">
        <f>INDEX(State!B:B,MATCH(OrdersTable[[#This Row],[State]],State!A:A,0))</f>
        <v>TN</v>
      </c>
      <c r="J3367" t="str">
        <f>INDEX(State!C:C,MATCH(OrdersTable[[#This Row],[State Code]],State!B:B,0))</f>
        <v>South</v>
      </c>
      <c r="K3367" t="s">
        <v>64</v>
      </c>
      <c r="L3367" t="s">
        <v>65</v>
      </c>
      <c r="M3367" t="s">
        <v>56</v>
      </c>
      <c r="N3367" t="str">
        <f>INDEX(Products!B:B,MATCH(OrdersTable[[#This Row],[Product ID]],Products!A:A,0))</f>
        <v>Vitamin C Face Serum</v>
      </c>
      <c r="O3367" t="str">
        <f>INDEX(Products!C:C,MATCH(OrdersTable[[#This Row],[Product ID]],Products!A:A,0))</f>
        <v>Skincare</v>
      </c>
      <c r="P3367">
        <v>1</v>
      </c>
      <c r="Q3367" s="5">
        <v>599</v>
      </c>
      <c r="R3367" s="74">
        <v>0.15</v>
      </c>
      <c r="S3367" s="75">
        <f>OrdersTable[[#This Row],[Quantity]]*OrdersTable[[#This Row],[Unit Price]]</f>
        <v>599</v>
      </c>
      <c r="T3367" s="5">
        <f>OrdersTable[[#This Row],[Gross Sale]]*OrdersTable[[#This Row],[Discount_Clean2]]</f>
        <v>89.85</v>
      </c>
      <c r="U3367" s="5">
        <f>OrdersTable[[#This Row],[Gross Sale]]-OrdersTable[[#This Row],[Discount Amount]]</f>
        <v>509.15</v>
      </c>
      <c r="V3367" s="77">
        <f>INDEX(Products!E:E,MATCH(OrdersTable[[#This Row],[Product ID]],Products!A:A,0))</f>
        <v>180</v>
      </c>
      <c r="W3367" s="77">
        <f>OrdersTable[[#This Row],[Quantity]]*OrdersTable[[#This Row],[Unit Cost]]</f>
        <v>180</v>
      </c>
      <c r="X3367" s="77">
        <f>'Dropdown Lists'!$I$2*(1+OrdersTable[[#This Row],[Returned]])</f>
        <v>60</v>
      </c>
      <c r="Y3367" s="76">
        <f>OrdersTable[[#This Row],[Net Revenue]]-OrdersTable[[#This Row],[COGS]]-OrdersTable[[#This Row],[Shipping Cost]]</f>
        <v>269.14999999999998</v>
      </c>
      <c r="Z3367" s="78">
        <f>IFERROR(OrdersTable[[#This Row],[Profit]]/OrdersTable[[#This Row],[Net Revenue]],0)</f>
        <v>0.52862614160856325</v>
      </c>
      <c r="AA3367" t="s">
        <v>4074</v>
      </c>
      <c r="AB3367" s="79">
        <v>45844</v>
      </c>
      <c r="AC3367">
        <f>OrdersTable[[#This Row],[Delivery Date]]-OrdersTable[[#This Row],[Order Date]]</f>
        <v>3</v>
      </c>
      <c r="AD3367" t="str">
        <f>IF(OrdersTable[[#This Row],[Delivery Days]]&lt;=2, "Express (≤2d)", IF(OrdersTable[[#This Row],[Delivery Days]]&lt;=4, "Standard (3-4d)", "Delayed (5d+)"))</f>
        <v>Standard (3-4d)</v>
      </c>
      <c r="AE3367">
        <v>5</v>
      </c>
      <c r="AF3367">
        <v>0</v>
      </c>
    </row>
    <row r="3368" spans="1:32" ht="15" x14ac:dyDescent="0.35">
      <c r="A3368" t="s">
        <v>4037</v>
      </c>
      <c r="B3368" s="1">
        <v>45842</v>
      </c>
      <c r="C3368">
        <f>YEAR(OrdersTable[[#This Row],[Order Date]])</f>
        <v>2025</v>
      </c>
      <c r="D3368" s="2">
        <f>DATE(YEAR(OrdersTable[[#This Row],[Order Date]]),MONTH(OrdersTable[[#This Row],[Order Date]]),1)</f>
        <v>45839</v>
      </c>
      <c r="E3368">
        <f>MONTH(OrdersTable[[#This Row],[Order Date]])</f>
        <v>7</v>
      </c>
      <c r="F3368" t="s">
        <v>1774</v>
      </c>
      <c r="G3368" t="str">
        <f>IF(OrdersTable[[#This Row],[Order Date]]=_xlfn.MINIFS(Order_Date, Customer_ID, OrdersTable[[#This Row],[Customer ID]]), "New", "Repeat")</f>
        <v>New</v>
      </c>
      <c r="H3368" t="s">
        <v>76</v>
      </c>
      <c r="I3368" t="str">
        <f>INDEX(State!B:B,MATCH(OrdersTable[[#This Row],[State]],State!A:A,0))</f>
        <v>UP</v>
      </c>
      <c r="J3368" t="str">
        <f>INDEX(State!C:C,MATCH(OrdersTable[[#This Row],[State Code]],State!B:B,0))</f>
        <v>North</v>
      </c>
      <c r="K3368" t="s">
        <v>77</v>
      </c>
      <c r="L3368" t="s">
        <v>50</v>
      </c>
      <c r="M3368" t="s">
        <v>61</v>
      </c>
      <c r="N3368" t="str">
        <f>INDEX(Products!B:B,MATCH(OrdersTable[[#This Row],[Product ID]],Products!A:A,0))</f>
        <v>Multivitamin Gummies</v>
      </c>
      <c r="O3368" t="str">
        <f>INDEX(Products!C:C,MATCH(OrdersTable[[#This Row],[Product ID]],Products!A:A,0))</f>
        <v>Wellness</v>
      </c>
      <c r="P3368">
        <v>1</v>
      </c>
      <c r="Q3368" s="5">
        <v>699</v>
      </c>
      <c r="R3368" s="74">
        <v>0.2</v>
      </c>
      <c r="S3368" s="75">
        <f>OrdersTable[[#This Row],[Quantity]]*OrdersTable[[#This Row],[Unit Price]]</f>
        <v>699</v>
      </c>
      <c r="T3368" s="5">
        <f>OrdersTable[[#This Row],[Gross Sale]]*OrdersTable[[#This Row],[Discount_Clean2]]</f>
        <v>139.80000000000001</v>
      </c>
      <c r="U3368" s="5">
        <f>OrdersTable[[#This Row],[Gross Sale]]-OrdersTable[[#This Row],[Discount Amount]]</f>
        <v>559.20000000000005</v>
      </c>
      <c r="V3368" s="77">
        <f>INDEX(Products!E:E,MATCH(OrdersTable[[#This Row],[Product ID]],Products!A:A,0))</f>
        <v>238</v>
      </c>
      <c r="W3368" s="77">
        <f>OrdersTable[[#This Row],[Quantity]]*OrdersTable[[#This Row],[Unit Cost]]</f>
        <v>238</v>
      </c>
      <c r="X3368" s="77">
        <f>'Dropdown Lists'!$I$2*(1+OrdersTable[[#This Row],[Returned]])</f>
        <v>120</v>
      </c>
      <c r="Y3368" s="76">
        <f>OrdersTable[[#This Row],[Net Revenue]]-OrdersTable[[#This Row],[COGS]]-OrdersTable[[#This Row],[Shipping Cost]]</f>
        <v>201.20000000000005</v>
      </c>
      <c r="Z3368" s="78">
        <f>IFERROR(OrdersTable[[#This Row],[Profit]]/OrdersTable[[#This Row],[Net Revenue]],0)</f>
        <v>0.35979971387696713</v>
      </c>
      <c r="AA3368" t="s">
        <v>3495</v>
      </c>
      <c r="AB3368" s="79">
        <v>45844</v>
      </c>
      <c r="AC3368">
        <f>OrdersTable[[#This Row],[Delivery Date]]-OrdersTable[[#This Row],[Order Date]]</f>
        <v>2</v>
      </c>
      <c r="AD3368" t="str">
        <f>IF(OrdersTable[[#This Row],[Delivery Days]]&lt;=2, "Express (≤2d)", IF(OrdersTable[[#This Row],[Delivery Days]]&lt;=4, "Standard (3-4d)", "Delayed (5d+)"))</f>
        <v>Express (≤2d)</v>
      </c>
      <c r="AE3368">
        <v>5</v>
      </c>
      <c r="AF3368">
        <v>1</v>
      </c>
    </row>
    <row r="3369" spans="1:32" ht="15" x14ac:dyDescent="0.35">
      <c r="A3369" t="s">
        <v>6381</v>
      </c>
      <c r="B3369" s="1">
        <v>45842</v>
      </c>
      <c r="C3369">
        <f>YEAR(OrdersTable[[#This Row],[Order Date]])</f>
        <v>2025</v>
      </c>
      <c r="D3369" s="2">
        <f>DATE(YEAR(OrdersTable[[#This Row],[Order Date]]),MONTH(OrdersTable[[#This Row],[Order Date]]),1)</f>
        <v>45839</v>
      </c>
      <c r="E3369">
        <f>MONTH(OrdersTable[[#This Row],[Order Date]])</f>
        <v>7</v>
      </c>
      <c r="F3369" t="s">
        <v>4004</v>
      </c>
      <c r="G3369" t="str">
        <f>IF(OrdersTable[[#This Row],[Order Date]]=_xlfn.MINIFS(Order_Date, Customer_ID, OrdersTable[[#This Row],[Customer ID]]), "New", "Repeat")</f>
        <v>Repeat</v>
      </c>
      <c r="H3369" t="s">
        <v>32</v>
      </c>
      <c r="I3369" t="str">
        <f>INDEX(State!B:B,MATCH(OrdersTable[[#This Row],[State]],State!A:A,0))</f>
        <v>BR</v>
      </c>
      <c r="J3369" t="str">
        <f>INDEX(State!C:C,MATCH(OrdersTable[[#This Row],[State Code]],State!B:B,0))</f>
        <v>East</v>
      </c>
      <c r="K3369" t="s">
        <v>33</v>
      </c>
      <c r="L3369" t="s">
        <v>50</v>
      </c>
      <c r="M3369" t="s">
        <v>51</v>
      </c>
      <c r="N3369" t="str">
        <f>INDEX(Products!B:B,MATCH(OrdersTable[[#This Row],[Product ID]],Products!A:A,0))</f>
        <v>Anti-Dandruff Conditioner</v>
      </c>
      <c r="O3369" t="str">
        <f>INDEX(Products!C:C,MATCH(OrdersTable[[#This Row],[Product ID]],Products!A:A,0))</f>
        <v>Haircare</v>
      </c>
      <c r="P3369">
        <v>2</v>
      </c>
      <c r="Q3369" s="5">
        <v>399</v>
      </c>
      <c r="R3369" s="74">
        <v>0.45</v>
      </c>
      <c r="S3369" s="75">
        <f>OrdersTable[[#This Row],[Quantity]]*OrdersTable[[#This Row],[Unit Price]]</f>
        <v>798</v>
      </c>
      <c r="T3369" s="5">
        <f>OrdersTable[[#This Row],[Gross Sale]]*OrdersTable[[#This Row],[Discount_Clean2]]</f>
        <v>359.1</v>
      </c>
      <c r="U3369" s="5">
        <f>OrdersTable[[#This Row],[Gross Sale]]-OrdersTable[[#This Row],[Discount Amount]]</f>
        <v>438.9</v>
      </c>
      <c r="V3369" s="77">
        <f>INDEX(Products!E:E,MATCH(OrdersTable[[#This Row],[Product ID]],Products!A:A,0))</f>
        <v>136</v>
      </c>
      <c r="W3369" s="77">
        <f>OrdersTable[[#This Row],[Quantity]]*OrdersTable[[#This Row],[Unit Cost]]</f>
        <v>272</v>
      </c>
      <c r="X3369" s="77">
        <f>'Dropdown Lists'!$I$2*(1+OrdersTable[[#This Row],[Returned]])</f>
        <v>60</v>
      </c>
      <c r="Y3369" s="76">
        <f>OrdersTable[[#This Row],[Net Revenue]]-OrdersTable[[#This Row],[COGS]]-OrdersTable[[#This Row],[Shipping Cost]]</f>
        <v>106.89999999999998</v>
      </c>
      <c r="Z3369" s="78">
        <f>IFERROR(OrdersTable[[#This Row],[Profit]]/OrdersTable[[#This Row],[Net Revenue]],0)</f>
        <v>0.24356345408976984</v>
      </c>
      <c r="AA3369" t="s">
        <v>18</v>
      </c>
      <c r="AB3369" s="79">
        <v>45846</v>
      </c>
      <c r="AC3369">
        <f>OrdersTable[[#This Row],[Delivery Date]]-OrdersTable[[#This Row],[Order Date]]</f>
        <v>4</v>
      </c>
      <c r="AD3369" t="str">
        <f>IF(OrdersTable[[#This Row],[Delivery Days]]&lt;=2, "Express (≤2d)", IF(OrdersTable[[#This Row],[Delivery Days]]&lt;=4, "Standard (3-4d)", "Delayed (5d+)"))</f>
        <v>Standard (3-4d)</v>
      </c>
      <c r="AE3369">
        <v>3</v>
      </c>
      <c r="AF3369">
        <v>0</v>
      </c>
    </row>
    <row r="3370" spans="1:32" ht="15" x14ac:dyDescent="0.35">
      <c r="A3370" t="s">
        <v>3643</v>
      </c>
      <c r="B3370" s="1">
        <v>45842</v>
      </c>
      <c r="C3370">
        <f>YEAR(OrdersTable[[#This Row],[Order Date]])</f>
        <v>2025</v>
      </c>
      <c r="D3370" s="2">
        <f>DATE(YEAR(OrdersTable[[#This Row],[Order Date]]),MONTH(OrdersTable[[#This Row],[Order Date]]),1)</f>
        <v>45839</v>
      </c>
      <c r="E3370">
        <f>MONTH(OrdersTable[[#This Row],[Order Date]])</f>
        <v>7</v>
      </c>
      <c r="F3370" t="s">
        <v>3644</v>
      </c>
      <c r="G3370" t="str">
        <f>IF(OrdersTable[[#This Row],[Order Date]]=_xlfn.MINIFS(Order_Date, Customer_ID, OrdersTable[[#This Row],[Customer ID]]), "New", "Repeat")</f>
        <v>New</v>
      </c>
      <c r="H3370" t="s">
        <v>37</v>
      </c>
      <c r="I3370" t="str">
        <f>INDEX(State!B:B,MATCH(OrdersTable[[#This Row],[State]],State!A:A,0))</f>
        <v>GJ</v>
      </c>
      <c r="J3370" t="str">
        <f>INDEX(State!C:C,MATCH(OrdersTable[[#This Row],[State Code]],State!B:B,0))</f>
        <v>West</v>
      </c>
      <c r="K3370" t="s">
        <v>247</v>
      </c>
      <c r="L3370" t="s">
        <v>65</v>
      </c>
      <c r="M3370" t="s">
        <v>152</v>
      </c>
      <c r="N3370" t="str">
        <f>INDEX(Products!B:B,MATCH(OrdersTable[[#This Row],[Product ID]],Products!A:A,0))</f>
        <v>Green Tea (100 bags)</v>
      </c>
      <c r="O3370" t="str">
        <f>INDEX(Products!C:C,MATCH(OrdersTable[[#This Row],[Product ID]],Products!A:A,0))</f>
        <v>Wellness</v>
      </c>
      <c r="P3370">
        <v>1</v>
      </c>
      <c r="Q3370" s="5">
        <v>399</v>
      </c>
      <c r="R3370" s="74">
        <v>0.45</v>
      </c>
      <c r="S3370" s="75">
        <f>OrdersTable[[#This Row],[Quantity]]*OrdersTable[[#This Row],[Unit Price]]</f>
        <v>399</v>
      </c>
      <c r="T3370" s="5">
        <f>OrdersTable[[#This Row],[Gross Sale]]*OrdersTable[[#This Row],[Discount_Clean2]]</f>
        <v>179.55</v>
      </c>
      <c r="U3370" s="5">
        <f>OrdersTable[[#This Row],[Gross Sale]]-OrdersTable[[#This Row],[Discount Amount]]</f>
        <v>219.45</v>
      </c>
      <c r="V3370" s="77">
        <f>INDEX(Products!E:E,MATCH(OrdersTable[[#This Row],[Product ID]],Products!A:A,0))</f>
        <v>128</v>
      </c>
      <c r="W3370" s="77">
        <f>OrdersTable[[#This Row],[Quantity]]*OrdersTable[[#This Row],[Unit Cost]]</f>
        <v>128</v>
      </c>
      <c r="X3370" s="77">
        <f>'Dropdown Lists'!$I$2*(1+OrdersTable[[#This Row],[Returned]])</f>
        <v>60</v>
      </c>
      <c r="Y3370" s="76">
        <f>OrdersTable[[#This Row],[Net Revenue]]-OrdersTable[[#This Row],[COGS]]-OrdersTable[[#This Row],[Shipping Cost]]</f>
        <v>31.449999999999989</v>
      </c>
      <c r="Z3370" s="78">
        <f>IFERROR(OrdersTable[[#This Row],[Profit]]/OrdersTable[[#This Row],[Net Revenue]],0)</f>
        <v>0.14331282752335381</v>
      </c>
      <c r="AA3370" t="s">
        <v>3495</v>
      </c>
      <c r="AB3370" s="79">
        <v>45846</v>
      </c>
      <c r="AC3370">
        <f>OrdersTable[[#This Row],[Delivery Date]]-OrdersTable[[#This Row],[Order Date]]</f>
        <v>4</v>
      </c>
      <c r="AD3370" t="str">
        <f>IF(OrdersTable[[#This Row],[Delivery Days]]&lt;=2, "Express (≤2d)", IF(OrdersTable[[#This Row],[Delivery Days]]&lt;=4, "Standard (3-4d)", "Delayed (5d+)"))</f>
        <v>Standard (3-4d)</v>
      </c>
      <c r="AE3370">
        <v>4</v>
      </c>
      <c r="AF3370">
        <v>0</v>
      </c>
    </row>
    <row r="3371" spans="1:32" ht="15" x14ac:dyDescent="0.35">
      <c r="A3371" t="s">
        <v>1286</v>
      </c>
      <c r="B3371" s="1">
        <v>45842</v>
      </c>
      <c r="C3371">
        <f>YEAR(OrdersTable[[#This Row],[Order Date]])</f>
        <v>2025</v>
      </c>
      <c r="D3371" s="2">
        <f>DATE(YEAR(OrdersTable[[#This Row],[Order Date]]),MONTH(OrdersTable[[#This Row],[Order Date]]),1)</f>
        <v>45839</v>
      </c>
      <c r="E3371">
        <f>MONTH(OrdersTable[[#This Row],[Order Date]])</f>
        <v>7</v>
      </c>
      <c r="F3371" t="s">
        <v>1287</v>
      </c>
      <c r="G3371" t="str">
        <f>IF(OrdersTable[[#This Row],[Order Date]]=_xlfn.MINIFS(Order_Date, Customer_ID, OrdersTable[[#This Row],[Customer ID]]), "New", "Repeat")</f>
        <v>Repeat</v>
      </c>
      <c r="H3371" t="s">
        <v>482</v>
      </c>
      <c r="I3371" t="str">
        <f>INDEX(State!B:B,MATCH(OrdersTable[[#This Row],[State]],State!A:A,0))</f>
        <v>CG</v>
      </c>
      <c r="J3371" t="str">
        <f>INDEX(State!C:C,MATCH(OrdersTable[[#This Row],[State Code]],State!B:B,0))</f>
        <v>East</v>
      </c>
      <c r="K3371" t="s">
        <v>483</v>
      </c>
      <c r="L3371" t="s">
        <v>16</v>
      </c>
      <c r="M3371" t="s">
        <v>255</v>
      </c>
      <c r="N3371" t="str">
        <f>INDEX(Products!B:B,MATCH(OrdersTable[[#This Row],[Product ID]],Products!A:A,0))</f>
        <v>Cotton Oversized T-Shirt</v>
      </c>
      <c r="O3371" t="str">
        <f>INDEX(Products!C:C,MATCH(OrdersTable[[#This Row],[Product ID]],Products!A:A,0))</f>
        <v>Apparel</v>
      </c>
      <c r="P3371">
        <v>1</v>
      </c>
      <c r="Q3371" s="5">
        <v>799</v>
      </c>
      <c r="R3371" s="74">
        <v>0.05</v>
      </c>
      <c r="S3371" s="75">
        <f>OrdersTable[[#This Row],[Quantity]]*OrdersTable[[#This Row],[Unit Price]]</f>
        <v>799</v>
      </c>
      <c r="T3371" s="5">
        <f>OrdersTable[[#This Row],[Gross Sale]]*OrdersTable[[#This Row],[Discount_Clean2]]</f>
        <v>39.950000000000003</v>
      </c>
      <c r="U3371" s="5">
        <f>OrdersTable[[#This Row],[Gross Sale]]-OrdersTable[[#This Row],[Discount Amount]]</f>
        <v>759.05</v>
      </c>
      <c r="V3371" s="77">
        <f>INDEX(Products!E:E,MATCH(OrdersTable[[#This Row],[Product ID]],Products!A:A,0))</f>
        <v>320</v>
      </c>
      <c r="W3371" s="77">
        <f>OrdersTable[[#This Row],[Quantity]]*OrdersTable[[#This Row],[Unit Cost]]</f>
        <v>320</v>
      </c>
      <c r="X3371" s="77">
        <f>'Dropdown Lists'!$I$2*(1+OrdersTable[[#This Row],[Returned]])</f>
        <v>60</v>
      </c>
      <c r="Y3371" s="76">
        <f>OrdersTable[[#This Row],[Net Revenue]]-OrdersTable[[#This Row],[COGS]]-OrdersTable[[#This Row],[Shipping Cost]]</f>
        <v>379.04999999999995</v>
      </c>
      <c r="Z3371" s="78">
        <f>IFERROR(OrdersTable[[#This Row],[Profit]]/OrdersTable[[#This Row],[Net Revenue]],0)</f>
        <v>0.49937421777221525</v>
      </c>
      <c r="AA3371" t="s">
        <v>18</v>
      </c>
      <c r="AB3371" s="79">
        <v>45848</v>
      </c>
      <c r="AC3371">
        <f>OrdersTable[[#This Row],[Delivery Date]]-OrdersTable[[#This Row],[Order Date]]</f>
        <v>6</v>
      </c>
      <c r="AD3371" t="str">
        <f>IF(OrdersTable[[#This Row],[Delivery Days]]&lt;=2, "Express (≤2d)", IF(OrdersTable[[#This Row],[Delivery Days]]&lt;=4, "Standard (3-4d)", "Delayed (5d+)"))</f>
        <v>Delayed (5d+)</v>
      </c>
      <c r="AF3371">
        <v>0</v>
      </c>
    </row>
    <row r="3372" spans="1:32" ht="15" x14ac:dyDescent="0.35">
      <c r="A3372" t="s">
        <v>4163</v>
      </c>
      <c r="B3372" s="1">
        <v>45843</v>
      </c>
      <c r="C3372">
        <f>YEAR(OrdersTable[[#This Row],[Order Date]])</f>
        <v>2025</v>
      </c>
      <c r="D3372" s="2">
        <f>DATE(YEAR(OrdersTable[[#This Row],[Order Date]]),MONTH(OrdersTable[[#This Row],[Order Date]]),1)</f>
        <v>45839</v>
      </c>
      <c r="E3372">
        <f>MONTH(OrdersTable[[#This Row],[Order Date]])</f>
        <v>7</v>
      </c>
      <c r="F3372" t="s">
        <v>4164</v>
      </c>
      <c r="G3372" t="str">
        <f>IF(OrdersTable[[#This Row],[Order Date]]=_xlfn.MINIFS(Order_Date, Customer_ID, OrdersTable[[#This Row],[Customer ID]]), "New", "Repeat")</f>
        <v>New</v>
      </c>
      <c r="H3372" t="s">
        <v>210</v>
      </c>
      <c r="I3372" t="str">
        <f>INDEX(State!B:B,MATCH(OrdersTable[[#This Row],[State]],State!A:A,0))</f>
        <v>JK</v>
      </c>
      <c r="J3372" t="str">
        <f>INDEX(State!C:C,MATCH(OrdersTable[[#This Row],[State Code]],State!B:B,0))</f>
        <v>North</v>
      </c>
      <c r="K3372" t="s">
        <v>211</v>
      </c>
      <c r="L3372" t="s">
        <v>65</v>
      </c>
      <c r="M3372" t="s">
        <v>34</v>
      </c>
      <c r="N3372" t="str">
        <f>INDEX(Products!B:B,MATCH(OrdersTable[[#This Row],[Product ID]],Products!A:A,0))</f>
        <v>Flip Flops</v>
      </c>
      <c r="O3372" t="str">
        <f>INDEX(Products!C:C,MATCH(OrdersTable[[#This Row],[Product ID]],Products!A:A,0))</f>
        <v>Footwear</v>
      </c>
      <c r="P3372">
        <v>1</v>
      </c>
      <c r="Q3372" s="5">
        <v>399</v>
      </c>
      <c r="R3372" s="74">
        <v>0.1</v>
      </c>
      <c r="S3372" s="75">
        <f>OrdersTable[[#This Row],[Quantity]]*OrdersTable[[#This Row],[Unit Price]]</f>
        <v>399</v>
      </c>
      <c r="T3372" s="5">
        <f>OrdersTable[[#This Row],[Gross Sale]]*OrdersTable[[#This Row],[Discount_Clean2]]</f>
        <v>39.900000000000006</v>
      </c>
      <c r="U3372" s="5">
        <f>OrdersTable[[#This Row],[Gross Sale]]-OrdersTable[[#This Row],[Discount Amount]]</f>
        <v>359.1</v>
      </c>
      <c r="V3372" s="77">
        <f>INDEX(Products!E:E,MATCH(OrdersTable[[#This Row],[Product ID]],Products!A:A,0))</f>
        <v>152</v>
      </c>
      <c r="W3372" s="77">
        <f>OrdersTable[[#This Row],[Quantity]]*OrdersTable[[#This Row],[Unit Cost]]</f>
        <v>152</v>
      </c>
      <c r="X3372" s="77">
        <f>'Dropdown Lists'!$I$2*(1+OrdersTable[[#This Row],[Returned]])</f>
        <v>60</v>
      </c>
      <c r="Y3372" s="76">
        <f>OrdersTable[[#This Row],[Net Revenue]]-OrdersTable[[#This Row],[COGS]]-OrdersTable[[#This Row],[Shipping Cost]]</f>
        <v>147.10000000000002</v>
      </c>
      <c r="Z3372" s="78">
        <f>IFERROR(OrdersTable[[#This Row],[Profit]]/OrdersTable[[#This Row],[Net Revenue]],0)</f>
        <v>0.40963519910888335</v>
      </c>
      <c r="AA3372" t="s">
        <v>4074</v>
      </c>
      <c r="AB3372" s="79">
        <v>45849</v>
      </c>
      <c r="AC3372">
        <f>OrdersTable[[#This Row],[Delivery Date]]-OrdersTable[[#This Row],[Order Date]]</f>
        <v>6</v>
      </c>
      <c r="AD3372" t="str">
        <f>IF(OrdersTable[[#This Row],[Delivery Days]]&lt;=2, "Express (≤2d)", IF(OrdersTable[[#This Row],[Delivery Days]]&lt;=4, "Standard (3-4d)", "Delayed (5d+)"))</f>
        <v>Delayed (5d+)</v>
      </c>
      <c r="AE3372">
        <v>3</v>
      </c>
      <c r="AF3372">
        <v>0</v>
      </c>
    </row>
    <row r="3373" spans="1:32" ht="15" x14ac:dyDescent="0.35">
      <c r="A3373" t="s">
        <v>6182</v>
      </c>
      <c r="B3373" s="1">
        <v>45843</v>
      </c>
      <c r="C3373">
        <f>YEAR(OrdersTable[[#This Row],[Order Date]])</f>
        <v>2025</v>
      </c>
      <c r="D3373" s="2">
        <f>DATE(YEAR(OrdersTable[[#This Row],[Order Date]]),MONTH(OrdersTable[[#This Row],[Order Date]]),1)</f>
        <v>45839</v>
      </c>
      <c r="E3373">
        <f>MONTH(OrdersTable[[#This Row],[Order Date]])</f>
        <v>7</v>
      </c>
      <c r="F3373" t="s">
        <v>6183</v>
      </c>
      <c r="G3373" t="str">
        <f>IF(OrdersTable[[#This Row],[Order Date]]=_xlfn.MINIFS(Order_Date, Customer_ID, OrdersTable[[#This Row],[Customer ID]]), "New", "Repeat")</f>
        <v>New</v>
      </c>
      <c r="H3373" t="s">
        <v>128</v>
      </c>
      <c r="I3373" t="str">
        <f>INDEX(State!B:B,MATCH(OrdersTable[[#This Row],[State]],State!A:A,0))</f>
        <v>DL</v>
      </c>
      <c r="J3373" t="str">
        <f>INDEX(State!C:C,MATCH(OrdersTable[[#This Row],[State Code]],State!B:B,0))</f>
        <v>North</v>
      </c>
      <c r="K3373" t="s">
        <v>129</v>
      </c>
      <c r="L3373" t="s">
        <v>65</v>
      </c>
      <c r="M3373" t="s">
        <v>17</v>
      </c>
      <c r="N3373" t="str">
        <f>INDEX(Products!B:B,MATCH(OrdersTable[[#This Row],[Product ID]],Products!A:A,0))</f>
        <v>Casual Sneakers</v>
      </c>
      <c r="O3373" t="str">
        <f>INDEX(Products!C:C,MATCH(OrdersTable[[#This Row],[Product ID]],Products!A:A,0))</f>
        <v>Footwear</v>
      </c>
      <c r="P3373">
        <v>2</v>
      </c>
      <c r="Q3373" s="5">
        <v>2199</v>
      </c>
      <c r="R3373" s="74">
        <v>0.2</v>
      </c>
      <c r="S3373" s="75">
        <f>OrdersTable[[#This Row],[Quantity]]*OrdersTable[[#This Row],[Unit Price]]</f>
        <v>4398</v>
      </c>
      <c r="T3373" s="5">
        <f>OrdersTable[[#This Row],[Gross Sale]]*OrdersTable[[#This Row],[Discount_Clean2]]</f>
        <v>879.6</v>
      </c>
      <c r="U3373" s="5">
        <f>OrdersTable[[#This Row],[Gross Sale]]-OrdersTable[[#This Row],[Discount Amount]]</f>
        <v>3518.4</v>
      </c>
      <c r="V3373" s="77">
        <f>INDEX(Products!E:E,MATCH(OrdersTable[[#This Row],[Product ID]],Products!A:A,0))</f>
        <v>1034</v>
      </c>
      <c r="W3373" s="77">
        <f>OrdersTable[[#This Row],[Quantity]]*OrdersTable[[#This Row],[Unit Cost]]</f>
        <v>2068</v>
      </c>
      <c r="X3373" s="77">
        <f>'Dropdown Lists'!$I$2*(1+OrdersTable[[#This Row],[Returned]])</f>
        <v>60</v>
      </c>
      <c r="Y3373" s="76">
        <f>OrdersTable[[#This Row],[Net Revenue]]-OrdersTable[[#This Row],[COGS]]-OrdersTable[[#This Row],[Shipping Cost]]</f>
        <v>1390.4</v>
      </c>
      <c r="Z3373" s="78">
        <f>IFERROR(OrdersTable[[#This Row],[Profit]]/OrdersTable[[#This Row],[Net Revenue]],0)</f>
        <v>0.39517962710322874</v>
      </c>
      <c r="AA3373" t="s">
        <v>18</v>
      </c>
      <c r="AB3373" s="79">
        <v>45845</v>
      </c>
      <c r="AC3373">
        <f>OrdersTable[[#This Row],[Delivery Date]]-OrdersTable[[#This Row],[Order Date]]</f>
        <v>2</v>
      </c>
      <c r="AD3373" t="str">
        <f>IF(OrdersTable[[#This Row],[Delivery Days]]&lt;=2, "Express (≤2d)", IF(OrdersTable[[#This Row],[Delivery Days]]&lt;=4, "Standard (3-4d)", "Delayed (5d+)"))</f>
        <v>Express (≤2d)</v>
      </c>
      <c r="AE3373">
        <v>4</v>
      </c>
      <c r="AF3373">
        <v>0</v>
      </c>
    </row>
    <row r="3374" spans="1:32" ht="15" x14ac:dyDescent="0.35">
      <c r="A3374" t="s">
        <v>844</v>
      </c>
      <c r="B3374" s="1">
        <v>45843</v>
      </c>
      <c r="C3374">
        <f>YEAR(OrdersTable[[#This Row],[Order Date]])</f>
        <v>2025</v>
      </c>
      <c r="D3374" s="2">
        <f>DATE(YEAR(OrdersTable[[#This Row],[Order Date]]),MONTH(OrdersTable[[#This Row],[Order Date]]),1)</f>
        <v>45839</v>
      </c>
      <c r="E3374">
        <f>MONTH(OrdersTable[[#This Row],[Order Date]])</f>
        <v>7</v>
      </c>
      <c r="F3374" t="s">
        <v>845</v>
      </c>
      <c r="G3374" t="str">
        <f>IF(OrdersTable[[#This Row],[Order Date]]=_xlfn.MINIFS(Order_Date, Customer_ID, OrdersTable[[#This Row],[Customer ID]]), "New", "Repeat")</f>
        <v>Repeat</v>
      </c>
      <c r="H3374" t="s">
        <v>76</v>
      </c>
      <c r="I3374" t="str">
        <f>INDEX(State!B:B,MATCH(OrdersTable[[#This Row],[State]],State!A:A,0))</f>
        <v>UP</v>
      </c>
      <c r="J3374" t="str">
        <f>INDEX(State!C:C,MATCH(OrdersTable[[#This Row],[State Code]],State!B:B,0))</f>
        <v>North</v>
      </c>
      <c r="K3374" t="s">
        <v>77</v>
      </c>
      <c r="L3374" t="s">
        <v>50</v>
      </c>
      <c r="M3374" t="s">
        <v>66</v>
      </c>
      <c r="N3374" t="str">
        <f>INDEX(Products!B:B,MATCH(OrdersTable[[#This Row],[Product ID]],Products!A:A,0))</f>
        <v>Sunscreen SPF 50</v>
      </c>
      <c r="O3374" t="str">
        <f>INDEX(Products!C:C,MATCH(OrdersTable[[#This Row],[Product ID]],Products!A:A,0))</f>
        <v>Skincare</v>
      </c>
      <c r="P3374">
        <v>1</v>
      </c>
      <c r="Q3374" s="5">
        <v>449</v>
      </c>
      <c r="R3374" s="74">
        <v>0.15</v>
      </c>
      <c r="S3374" s="75">
        <f>OrdersTable[[#This Row],[Quantity]]*OrdersTable[[#This Row],[Unit Price]]</f>
        <v>449</v>
      </c>
      <c r="T3374" s="5">
        <f>OrdersTable[[#This Row],[Gross Sale]]*OrdersTable[[#This Row],[Discount_Clean2]]</f>
        <v>67.349999999999994</v>
      </c>
      <c r="U3374" s="5">
        <f>OrdersTable[[#This Row],[Gross Sale]]-OrdersTable[[#This Row],[Discount Amount]]</f>
        <v>381.65</v>
      </c>
      <c r="V3374" s="77">
        <f>INDEX(Products!E:E,MATCH(OrdersTable[[#This Row],[Product ID]],Products!A:A,0))</f>
        <v>144</v>
      </c>
      <c r="W3374" s="77">
        <f>OrdersTable[[#This Row],[Quantity]]*OrdersTable[[#This Row],[Unit Cost]]</f>
        <v>144</v>
      </c>
      <c r="X3374" s="77">
        <f>'Dropdown Lists'!$I$2*(1+OrdersTable[[#This Row],[Returned]])</f>
        <v>60</v>
      </c>
      <c r="Y3374" s="76">
        <f>OrdersTable[[#This Row],[Net Revenue]]-OrdersTable[[#This Row],[COGS]]-OrdersTable[[#This Row],[Shipping Cost]]</f>
        <v>177.64999999999998</v>
      </c>
      <c r="Z3374" s="78">
        <f>IFERROR(OrdersTable[[#This Row],[Profit]]/OrdersTable[[#This Row],[Net Revenue]],0)</f>
        <v>0.465478841870824</v>
      </c>
      <c r="AA3374" t="s">
        <v>18</v>
      </c>
      <c r="AB3374" s="79">
        <v>45846</v>
      </c>
      <c r="AC3374">
        <f>OrdersTable[[#This Row],[Delivery Date]]-OrdersTable[[#This Row],[Order Date]]</f>
        <v>3</v>
      </c>
      <c r="AD3374" t="str">
        <f>IF(OrdersTable[[#This Row],[Delivery Days]]&lt;=2, "Express (≤2d)", IF(OrdersTable[[#This Row],[Delivery Days]]&lt;=4, "Standard (3-4d)", "Delayed (5d+)"))</f>
        <v>Standard (3-4d)</v>
      </c>
      <c r="AE3374">
        <v>4</v>
      </c>
      <c r="AF3374">
        <v>0</v>
      </c>
    </row>
    <row r="3375" spans="1:32" ht="15" x14ac:dyDescent="0.35">
      <c r="A3375" t="s">
        <v>5618</v>
      </c>
      <c r="B3375" s="1">
        <v>45843</v>
      </c>
      <c r="C3375">
        <f>YEAR(OrdersTable[[#This Row],[Order Date]])</f>
        <v>2025</v>
      </c>
      <c r="D3375" s="2">
        <f>DATE(YEAR(OrdersTable[[#This Row],[Order Date]]),MONTH(OrdersTable[[#This Row],[Order Date]]),1)</f>
        <v>45839</v>
      </c>
      <c r="E3375">
        <f>MONTH(OrdersTable[[#This Row],[Order Date]])</f>
        <v>7</v>
      </c>
      <c r="F3375" t="s">
        <v>1666</v>
      </c>
      <c r="G3375" t="str">
        <f>IF(OrdersTable[[#This Row],[Order Date]]=_xlfn.MINIFS(Order_Date, Customer_ID, OrdersTable[[#This Row],[Customer ID]]), "New", "Repeat")</f>
        <v>Repeat</v>
      </c>
      <c r="H3375" t="s">
        <v>76</v>
      </c>
      <c r="I3375" t="str">
        <f>INDEX(State!B:B,MATCH(OrdersTable[[#This Row],[State]],State!A:A,0))</f>
        <v>UP</v>
      </c>
      <c r="J3375" t="str">
        <f>INDEX(State!C:C,MATCH(OrdersTable[[#This Row],[State Code]],State!B:B,0))</f>
        <v>North</v>
      </c>
      <c r="K3375" t="s">
        <v>77</v>
      </c>
      <c r="L3375" t="s">
        <v>23</v>
      </c>
      <c r="M3375" t="s">
        <v>51</v>
      </c>
      <c r="N3375" t="str">
        <f>INDEX(Products!B:B,MATCH(OrdersTable[[#This Row],[Product ID]],Products!A:A,0))</f>
        <v>Anti-Dandruff Conditioner</v>
      </c>
      <c r="O3375" t="str">
        <f>INDEX(Products!C:C,MATCH(OrdersTable[[#This Row],[Product ID]],Products!A:A,0))</f>
        <v>Haircare</v>
      </c>
      <c r="P3375">
        <v>2</v>
      </c>
      <c r="Q3375" s="5">
        <v>399</v>
      </c>
      <c r="R3375" s="74">
        <v>0.4</v>
      </c>
      <c r="S3375" s="75">
        <f>OrdersTable[[#This Row],[Quantity]]*OrdersTable[[#This Row],[Unit Price]]</f>
        <v>798</v>
      </c>
      <c r="T3375" s="5">
        <f>OrdersTable[[#This Row],[Gross Sale]]*OrdersTable[[#This Row],[Discount_Clean2]]</f>
        <v>319.20000000000005</v>
      </c>
      <c r="U3375" s="5">
        <f>OrdersTable[[#This Row],[Gross Sale]]-OrdersTable[[#This Row],[Discount Amount]]</f>
        <v>478.79999999999995</v>
      </c>
      <c r="V3375" s="77">
        <f>INDEX(Products!E:E,MATCH(OrdersTable[[#This Row],[Product ID]],Products!A:A,0))</f>
        <v>136</v>
      </c>
      <c r="W3375" s="77">
        <f>OrdersTable[[#This Row],[Quantity]]*OrdersTable[[#This Row],[Unit Cost]]</f>
        <v>272</v>
      </c>
      <c r="X3375" s="77">
        <f>'Dropdown Lists'!$I$2*(1+OrdersTable[[#This Row],[Returned]])</f>
        <v>120</v>
      </c>
      <c r="Y3375" s="76">
        <f>OrdersTable[[#This Row],[Net Revenue]]-OrdersTable[[#This Row],[COGS]]-OrdersTable[[#This Row],[Shipping Cost]]</f>
        <v>86.799999999999955</v>
      </c>
      <c r="Z3375" s="78">
        <f>IFERROR(OrdersTable[[#This Row],[Profit]]/OrdersTable[[#This Row],[Net Revenue]],0)</f>
        <v>0.18128654970760227</v>
      </c>
      <c r="AA3375" t="s">
        <v>2522</v>
      </c>
      <c r="AB3375" s="79">
        <v>45847</v>
      </c>
      <c r="AC3375">
        <f>OrdersTable[[#This Row],[Delivery Date]]-OrdersTable[[#This Row],[Order Date]]</f>
        <v>4</v>
      </c>
      <c r="AD3375" t="str">
        <f>IF(OrdersTable[[#This Row],[Delivery Days]]&lt;=2, "Express (≤2d)", IF(OrdersTable[[#This Row],[Delivery Days]]&lt;=4, "Standard (3-4d)", "Delayed (5d+)"))</f>
        <v>Standard (3-4d)</v>
      </c>
      <c r="AE3375">
        <v>4</v>
      </c>
      <c r="AF3375">
        <v>1</v>
      </c>
    </row>
    <row r="3376" spans="1:32" ht="15" x14ac:dyDescent="0.35">
      <c r="A3376" t="s">
        <v>4710</v>
      </c>
      <c r="B3376" s="1">
        <v>45843</v>
      </c>
      <c r="C3376">
        <f>YEAR(OrdersTable[[#This Row],[Order Date]])</f>
        <v>2025</v>
      </c>
      <c r="D3376" s="2">
        <f>DATE(YEAR(OrdersTable[[#This Row],[Order Date]]),MONTH(OrdersTable[[#This Row],[Order Date]]),1)</f>
        <v>45839</v>
      </c>
      <c r="E3376">
        <f>MONTH(OrdersTable[[#This Row],[Order Date]])</f>
        <v>7</v>
      </c>
      <c r="F3376" t="s">
        <v>858</v>
      </c>
      <c r="G3376" t="str">
        <f>IF(OrdersTable[[#This Row],[Order Date]]=_xlfn.MINIFS(Order_Date, Customer_ID, OrdersTable[[#This Row],[Customer ID]]), "New", "Repeat")</f>
        <v>Repeat</v>
      </c>
      <c r="H3376" t="s">
        <v>482</v>
      </c>
      <c r="I3376" t="str">
        <f>INDEX(State!B:B,MATCH(OrdersTable[[#This Row],[State]],State!A:A,0))</f>
        <v>CG</v>
      </c>
      <c r="J3376" t="str">
        <f>INDEX(State!C:C,MATCH(OrdersTable[[#This Row],[State Code]],State!B:B,0))</f>
        <v>East</v>
      </c>
      <c r="K3376" t="s">
        <v>483</v>
      </c>
      <c r="L3376" t="s">
        <v>39</v>
      </c>
      <c r="M3376" t="s">
        <v>56</v>
      </c>
      <c r="N3376" t="str">
        <f>INDEX(Products!B:B,MATCH(OrdersTable[[#This Row],[Product ID]],Products!A:A,0))</f>
        <v>Vitamin C Face Serum</v>
      </c>
      <c r="O3376" t="str">
        <f>INDEX(Products!C:C,MATCH(OrdersTable[[#This Row],[Product ID]],Products!A:A,0))</f>
        <v>Skincare</v>
      </c>
      <c r="P3376">
        <v>1</v>
      </c>
      <c r="Q3376" s="5">
        <v>599</v>
      </c>
      <c r="R3376" s="74">
        <v>0.2</v>
      </c>
      <c r="S3376" s="75">
        <f>OrdersTable[[#This Row],[Quantity]]*OrdersTable[[#This Row],[Unit Price]]</f>
        <v>599</v>
      </c>
      <c r="T3376" s="5">
        <f>OrdersTable[[#This Row],[Gross Sale]]*OrdersTable[[#This Row],[Discount_Clean2]]</f>
        <v>119.80000000000001</v>
      </c>
      <c r="U3376" s="5">
        <f>OrdersTable[[#This Row],[Gross Sale]]-OrdersTable[[#This Row],[Discount Amount]]</f>
        <v>479.2</v>
      </c>
      <c r="V3376" s="77">
        <f>INDEX(Products!E:E,MATCH(OrdersTable[[#This Row],[Product ID]],Products!A:A,0))</f>
        <v>180</v>
      </c>
      <c r="W3376" s="77">
        <f>OrdersTable[[#This Row],[Quantity]]*OrdersTable[[#This Row],[Unit Cost]]</f>
        <v>180</v>
      </c>
      <c r="X3376" s="77">
        <f>'Dropdown Lists'!$I$2*(1+OrdersTable[[#This Row],[Returned]])</f>
        <v>60</v>
      </c>
      <c r="Y3376" s="76">
        <f>OrdersTable[[#This Row],[Net Revenue]]-OrdersTable[[#This Row],[COGS]]-OrdersTable[[#This Row],[Shipping Cost]]</f>
        <v>239.2</v>
      </c>
      <c r="Z3376" s="78">
        <f>IFERROR(OrdersTable[[#This Row],[Profit]]/OrdersTable[[#This Row],[Net Revenue]],0)</f>
        <v>0.4991652754590985</v>
      </c>
      <c r="AA3376" t="s">
        <v>4450</v>
      </c>
      <c r="AB3376" s="79">
        <v>45851</v>
      </c>
      <c r="AC3376">
        <f>OrdersTable[[#This Row],[Delivery Date]]-OrdersTable[[#This Row],[Order Date]]</f>
        <v>8</v>
      </c>
      <c r="AD3376" t="str">
        <f>IF(OrdersTable[[#This Row],[Delivery Days]]&lt;=2, "Express (≤2d)", IF(OrdersTable[[#This Row],[Delivery Days]]&lt;=4, "Standard (3-4d)", "Delayed (5d+)"))</f>
        <v>Delayed (5d+)</v>
      </c>
      <c r="AE3376">
        <v>3</v>
      </c>
      <c r="AF3376">
        <v>0</v>
      </c>
    </row>
    <row r="3377" spans="1:32" ht="15" x14ac:dyDescent="0.35">
      <c r="A3377" t="s">
        <v>5527</v>
      </c>
      <c r="B3377" s="1">
        <v>45843</v>
      </c>
      <c r="C3377">
        <f>YEAR(OrdersTable[[#This Row],[Order Date]])</f>
        <v>2025</v>
      </c>
      <c r="D3377" s="2">
        <f>DATE(YEAR(OrdersTable[[#This Row],[Order Date]]),MONTH(OrdersTable[[#This Row],[Order Date]]),1)</f>
        <v>45839</v>
      </c>
      <c r="E3377">
        <f>MONTH(OrdersTable[[#This Row],[Order Date]])</f>
        <v>7</v>
      </c>
      <c r="F3377" t="s">
        <v>5528</v>
      </c>
      <c r="G3377" t="str">
        <f>IF(OrdersTable[[#This Row],[Order Date]]=_xlfn.MINIFS(Order_Date, Customer_ID, OrdersTable[[#This Row],[Customer ID]]), "New", "Repeat")</f>
        <v>New</v>
      </c>
      <c r="H3377" t="s">
        <v>27</v>
      </c>
      <c r="I3377" t="str">
        <f>INDEX(State!B:B,MATCH(OrdersTable[[#This Row],[State]],State!A:A,0))</f>
        <v>WB</v>
      </c>
      <c r="J3377" t="str">
        <f>INDEX(State!C:C,MATCH(OrdersTable[[#This Row],[State Code]],State!B:B,0))</f>
        <v>East</v>
      </c>
      <c r="K3377" t="s">
        <v>28</v>
      </c>
      <c r="L3377" t="s">
        <v>39</v>
      </c>
      <c r="M3377" t="s">
        <v>109</v>
      </c>
      <c r="N3377" t="str">
        <f>INDEX(Products!B:B,MATCH(OrdersTable[[#This Row],[Product ID]],Products!A:A,0))</f>
        <v>Onion Hair Oil</v>
      </c>
      <c r="O3377" t="str">
        <f>INDEX(Products!C:C,MATCH(OrdersTable[[#This Row],[Product ID]],Products!A:A,0))</f>
        <v>Haircare</v>
      </c>
      <c r="P3377">
        <v>2</v>
      </c>
      <c r="Q3377" s="5">
        <v>349</v>
      </c>
      <c r="R3377" s="74">
        <v>0.3</v>
      </c>
      <c r="S3377" s="75">
        <f>OrdersTable[[#This Row],[Quantity]]*OrdersTable[[#This Row],[Unit Price]]</f>
        <v>698</v>
      </c>
      <c r="T3377" s="5">
        <f>OrdersTable[[#This Row],[Gross Sale]]*OrdersTable[[#This Row],[Discount_Clean2]]</f>
        <v>209.4</v>
      </c>
      <c r="U3377" s="5">
        <f>OrdersTable[[#This Row],[Gross Sale]]-OrdersTable[[#This Row],[Discount Amount]]</f>
        <v>488.6</v>
      </c>
      <c r="V3377" s="77">
        <f>INDEX(Products!E:E,MATCH(OrdersTable[[#This Row],[Product ID]],Products!A:A,0))</f>
        <v>105</v>
      </c>
      <c r="W3377" s="77">
        <f>OrdersTable[[#This Row],[Quantity]]*OrdersTable[[#This Row],[Unit Cost]]</f>
        <v>210</v>
      </c>
      <c r="X3377" s="77">
        <f>'Dropdown Lists'!$I$2*(1+OrdersTable[[#This Row],[Returned]])</f>
        <v>60</v>
      </c>
      <c r="Y3377" s="76">
        <f>OrdersTable[[#This Row],[Net Revenue]]-OrdersTable[[#This Row],[COGS]]-OrdersTable[[#This Row],[Shipping Cost]]</f>
        <v>218.60000000000002</v>
      </c>
      <c r="Z3377" s="78">
        <f>IFERROR(OrdersTable[[#This Row],[Profit]]/OrdersTable[[#This Row],[Net Revenue]],0)</f>
        <v>0.44740073679901765</v>
      </c>
      <c r="AA3377" t="s">
        <v>2522</v>
      </c>
      <c r="AB3377" s="79">
        <v>45847</v>
      </c>
      <c r="AC3377">
        <f>OrdersTable[[#This Row],[Delivery Date]]-OrdersTable[[#This Row],[Order Date]]</f>
        <v>4</v>
      </c>
      <c r="AD3377" t="str">
        <f>IF(OrdersTable[[#This Row],[Delivery Days]]&lt;=2, "Express (≤2d)", IF(OrdersTable[[#This Row],[Delivery Days]]&lt;=4, "Standard (3-4d)", "Delayed (5d+)"))</f>
        <v>Standard (3-4d)</v>
      </c>
      <c r="AE3377">
        <v>4</v>
      </c>
      <c r="AF3377">
        <v>0</v>
      </c>
    </row>
    <row r="3378" spans="1:32" ht="15" x14ac:dyDescent="0.35">
      <c r="A3378" t="s">
        <v>1177</v>
      </c>
      <c r="B3378" s="1">
        <v>45843</v>
      </c>
      <c r="C3378">
        <f>YEAR(OrdersTable[[#This Row],[Order Date]])</f>
        <v>2025</v>
      </c>
      <c r="D3378" s="2">
        <f>DATE(YEAR(OrdersTable[[#This Row],[Order Date]]),MONTH(OrdersTable[[#This Row],[Order Date]]),1)</f>
        <v>45839</v>
      </c>
      <c r="E3378">
        <f>MONTH(OrdersTable[[#This Row],[Order Date]])</f>
        <v>7</v>
      </c>
      <c r="F3378" t="s">
        <v>931</v>
      </c>
      <c r="G3378" t="str">
        <f>IF(OrdersTable[[#This Row],[Order Date]]=_xlfn.MINIFS(Order_Date, Customer_ID, OrdersTable[[#This Row],[Customer ID]]), "New", "Repeat")</f>
        <v>Repeat</v>
      </c>
      <c r="H3378" t="s">
        <v>27</v>
      </c>
      <c r="I3378" t="str">
        <f>INDEX(State!B:B,MATCH(OrdersTable[[#This Row],[State]],State!A:A,0))</f>
        <v>WB</v>
      </c>
      <c r="J3378" t="str">
        <f>INDEX(State!C:C,MATCH(OrdersTable[[#This Row],[State Code]],State!B:B,0))</f>
        <v>East</v>
      </c>
      <c r="K3378" t="s">
        <v>28</v>
      </c>
      <c r="L3378" t="s">
        <v>50</v>
      </c>
      <c r="M3378" t="s">
        <v>73</v>
      </c>
      <c r="N3378" t="str">
        <f>INDEX(Products!B:B,MATCH(OrdersTable[[#This Row],[Product ID]],Products!A:A,0))</f>
        <v>Hydrating Face Wash</v>
      </c>
      <c r="O3378" t="str">
        <f>INDEX(Products!C:C,MATCH(OrdersTable[[#This Row],[Product ID]],Products!A:A,0))</f>
        <v>Skincare</v>
      </c>
      <c r="P3378">
        <v>1</v>
      </c>
      <c r="Q3378" s="5">
        <v>299</v>
      </c>
      <c r="R3378" s="74">
        <v>0.1</v>
      </c>
      <c r="S3378" s="75">
        <f>OrdersTable[[#This Row],[Quantity]]*OrdersTable[[#This Row],[Unit Price]]</f>
        <v>299</v>
      </c>
      <c r="T3378" s="5">
        <f>OrdersTable[[#This Row],[Gross Sale]]*OrdersTable[[#This Row],[Discount_Clean2]]</f>
        <v>29.900000000000002</v>
      </c>
      <c r="U3378" s="5">
        <f>OrdersTable[[#This Row],[Gross Sale]]-OrdersTable[[#This Row],[Discount Amount]]</f>
        <v>269.10000000000002</v>
      </c>
      <c r="V3378" s="77">
        <f>INDEX(Products!E:E,MATCH(OrdersTable[[#This Row],[Product ID]],Products!A:A,0))</f>
        <v>90</v>
      </c>
      <c r="W3378" s="77">
        <f>OrdersTable[[#This Row],[Quantity]]*OrdersTable[[#This Row],[Unit Cost]]</f>
        <v>90</v>
      </c>
      <c r="X3378" s="77">
        <f>'Dropdown Lists'!$I$2*(1+OrdersTable[[#This Row],[Returned]])</f>
        <v>60</v>
      </c>
      <c r="Y3378" s="76">
        <f>OrdersTable[[#This Row],[Net Revenue]]-OrdersTable[[#This Row],[COGS]]-OrdersTable[[#This Row],[Shipping Cost]]</f>
        <v>119.10000000000002</v>
      </c>
      <c r="Z3378" s="78">
        <f>IFERROR(OrdersTable[[#This Row],[Profit]]/OrdersTable[[#This Row],[Net Revenue]],0)</f>
        <v>0.4425863991081383</v>
      </c>
      <c r="AA3378" t="s">
        <v>18</v>
      </c>
      <c r="AB3378" s="79">
        <v>45847</v>
      </c>
      <c r="AC3378">
        <f>OrdersTable[[#This Row],[Delivery Date]]-OrdersTable[[#This Row],[Order Date]]</f>
        <v>4</v>
      </c>
      <c r="AD3378" t="str">
        <f>IF(OrdersTable[[#This Row],[Delivery Days]]&lt;=2, "Express (≤2d)", IF(OrdersTable[[#This Row],[Delivery Days]]&lt;=4, "Standard (3-4d)", "Delayed (5d+)"))</f>
        <v>Standard (3-4d)</v>
      </c>
      <c r="AF3378">
        <v>0</v>
      </c>
    </row>
    <row r="3379" spans="1:32" ht="15" x14ac:dyDescent="0.35">
      <c r="A3379" t="s">
        <v>7017</v>
      </c>
      <c r="B3379" s="1">
        <v>45843</v>
      </c>
      <c r="C3379">
        <f>YEAR(OrdersTable[[#This Row],[Order Date]])</f>
        <v>2025</v>
      </c>
      <c r="D3379" s="2">
        <f>DATE(YEAR(OrdersTable[[#This Row],[Order Date]]),MONTH(OrdersTable[[#This Row],[Order Date]]),1)</f>
        <v>45839</v>
      </c>
      <c r="E3379">
        <f>MONTH(OrdersTable[[#This Row],[Order Date]])</f>
        <v>7</v>
      </c>
      <c r="F3379" t="s">
        <v>2353</v>
      </c>
      <c r="G3379" t="str">
        <f>IF(OrdersTable[[#This Row],[Order Date]]=_xlfn.MINIFS(Order_Date, Customer_ID, OrdersTable[[#This Row],[Customer ID]]), "New", "Repeat")</f>
        <v>Repeat</v>
      </c>
      <c r="H3379" t="s">
        <v>316</v>
      </c>
      <c r="I3379" t="str">
        <f>INDEX(State!B:B,MATCH(OrdersTable[[#This Row],[State]],State!A:A,0))</f>
        <v>KL</v>
      </c>
      <c r="J3379" t="str">
        <f>INDEX(State!C:C,MATCH(OrdersTable[[#This Row],[State Code]],State!B:B,0))</f>
        <v>South</v>
      </c>
      <c r="K3379" t="s">
        <v>317</v>
      </c>
      <c r="L3379" t="s">
        <v>50</v>
      </c>
      <c r="M3379" t="s">
        <v>56</v>
      </c>
      <c r="N3379" t="str">
        <f>INDEX(Products!B:B,MATCH(OrdersTable[[#This Row],[Product ID]],Products!A:A,0))</f>
        <v>Vitamin C Face Serum</v>
      </c>
      <c r="O3379" t="str">
        <f>INDEX(Products!C:C,MATCH(OrdersTable[[#This Row],[Product ID]],Products!A:A,0))</f>
        <v>Skincare</v>
      </c>
      <c r="P3379">
        <v>4</v>
      </c>
      <c r="Q3379" s="5">
        <v>599</v>
      </c>
      <c r="R3379" s="74">
        <v>0.1</v>
      </c>
      <c r="S3379" s="75">
        <f>OrdersTable[[#This Row],[Quantity]]*OrdersTable[[#This Row],[Unit Price]]</f>
        <v>2396</v>
      </c>
      <c r="T3379" s="5">
        <f>OrdersTable[[#This Row],[Gross Sale]]*OrdersTable[[#This Row],[Discount_Clean2]]</f>
        <v>239.60000000000002</v>
      </c>
      <c r="U3379" s="5">
        <f>OrdersTable[[#This Row],[Gross Sale]]-OrdersTable[[#This Row],[Discount Amount]]</f>
        <v>2156.4</v>
      </c>
      <c r="V3379" s="77">
        <f>INDEX(Products!E:E,MATCH(OrdersTable[[#This Row],[Product ID]],Products!A:A,0))</f>
        <v>180</v>
      </c>
      <c r="W3379" s="77">
        <f>OrdersTable[[#This Row],[Quantity]]*OrdersTable[[#This Row],[Unit Cost]]</f>
        <v>720</v>
      </c>
      <c r="X3379" s="77">
        <f>'Dropdown Lists'!$I$2*(1+OrdersTable[[#This Row],[Returned]])</f>
        <v>60</v>
      </c>
      <c r="Y3379" s="76">
        <f>OrdersTable[[#This Row],[Net Revenue]]-OrdersTable[[#This Row],[COGS]]-OrdersTable[[#This Row],[Shipping Cost]]</f>
        <v>1376.4</v>
      </c>
      <c r="Z3379" s="78">
        <f>IFERROR(OrdersTable[[#This Row],[Profit]]/OrdersTable[[#This Row],[Net Revenue]],0)</f>
        <v>0.63828603227601555</v>
      </c>
      <c r="AA3379" t="s">
        <v>4450</v>
      </c>
      <c r="AB3379" s="79">
        <v>45846</v>
      </c>
      <c r="AC3379">
        <f>OrdersTable[[#This Row],[Delivery Date]]-OrdersTable[[#This Row],[Order Date]]</f>
        <v>3</v>
      </c>
      <c r="AD3379" t="str">
        <f>IF(OrdersTable[[#This Row],[Delivery Days]]&lt;=2, "Express (≤2d)", IF(OrdersTable[[#This Row],[Delivery Days]]&lt;=4, "Standard (3-4d)", "Delayed (5d+)"))</f>
        <v>Standard (3-4d)</v>
      </c>
      <c r="AE3379">
        <v>4</v>
      </c>
      <c r="AF3379">
        <v>0</v>
      </c>
    </row>
    <row r="3380" spans="1:32" ht="15" x14ac:dyDescent="0.35">
      <c r="A3380" t="s">
        <v>628</v>
      </c>
      <c r="B3380" s="1">
        <v>45843</v>
      </c>
      <c r="C3380">
        <f>YEAR(OrdersTable[[#This Row],[Order Date]])</f>
        <v>2025</v>
      </c>
      <c r="D3380" s="2">
        <f>DATE(YEAR(OrdersTable[[#This Row],[Order Date]]),MONTH(OrdersTable[[#This Row],[Order Date]]),1)</f>
        <v>45839</v>
      </c>
      <c r="E3380">
        <f>MONTH(OrdersTable[[#This Row],[Order Date]])</f>
        <v>7</v>
      </c>
      <c r="F3380" t="s">
        <v>629</v>
      </c>
      <c r="G3380" t="str">
        <f>IF(OrdersTable[[#This Row],[Order Date]]=_xlfn.MINIFS(Order_Date, Customer_ID, OrdersTable[[#This Row],[Customer ID]]), "New", "Repeat")</f>
        <v>Repeat</v>
      </c>
      <c r="H3380" t="s">
        <v>59</v>
      </c>
      <c r="I3380" t="str">
        <f>INDEX(State!B:B,MATCH(OrdersTable[[#This Row],[State]],State!A:A,0))</f>
        <v>TN</v>
      </c>
      <c r="J3380" t="str">
        <f>INDEX(State!C:C,MATCH(OrdersTable[[#This Row],[State Code]],State!B:B,0))</f>
        <v>South</v>
      </c>
      <c r="K3380" t="s">
        <v>64</v>
      </c>
      <c r="L3380" t="s">
        <v>39</v>
      </c>
      <c r="M3380" t="s">
        <v>73</v>
      </c>
      <c r="N3380" t="str">
        <f>INDEX(Products!B:B,MATCH(OrdersTable[[#This Row],[Product ID]],Products!A:A,0))</f>
        <v>Hydrating Face Wash</v>
      </c>
      <c r="O3380" t="str">
        <f>INDEX(Products!C:C,MATCH(OrdersTable[[#This Row],[Product ID]],Products!A:A,0))</f>
        <v>Skincare</v>
      </c>
      <c r="P3380">
        <v>1</v>
      </c>
      <c r="Q3380" s="5">
        <v>299</v>
      </c>
      <c r="R3380" s="74">
        <v>0.05</v>
      </c>
      <c r="S3380" s="75">
        <f>OrdersTable[[#This Row],[Quantity]]*OrdersTable[[#This Row],[Unit Price]]</f>
        <v>299</v>
      </c>
      <c r="T3380" s="5">
        <f>OrdersTable[[#This Row],[Gross Sale]]*OrdersTable[[#This Row],[Discount_Clean2]]</f>
        <v>14.950000000000001</v>
      </c>
      <c r="U3380" s="5">
        <f>OrdersTable[[#This Row],[Gross Sale]]-OrdersTable[[#This Row],[Discount Amount]]</f>
        <v>284.05</v>
      </c>
      <c r="V3380" s="77">
        <f>INDEX(Products!E:E,MATCH(OrdersTable[[#This Row],[Product ID]],Products!A:A,0))</f>
        <v>90</v>
      </c>
      <c r="W3380" s="77">
        <f>OrdersTable[[#This Row],[Quantity]]*OrdersTable[[#This Row],[Unit Cost]]</f>
        <v>90</v>
      </c>
      <c r="X3380" s="77">
        <f>'Dropdown Lists'!$I$2*(1+OrdersTable[[#This Row],[Returned]])</f>
        <v>60</v>
      </c>
      <c r="Y3380" s="76">
        <f>OrdersTable[[#This Row],[Net Revenue]]-OrdersTable[[#This Row],[COGS]]-OrdersTable[[#This Row],[Shipping Cost]]</f>
        <v>134.05000000000001</v>
      </c>
      <c r="Z3380" s="78">
        <f>IFERROR(OrdersTable[[#This Row],[Profit]]/OrdersTable[[#This Row],[Net Revenue]],0)</f>
        <v>0.47192395704981521</v>
      </c>
      <c r="AA3380" t="s">
        <v>18</v>
      </c>
      <c r="AB3380" s="79">
        <v>45846</v>
      </c>
      <c r="AC3380">
        <f>OrdersTable[[#This Row],[Delivery Date]]-OrdersTable[[#This Row],[Order Date]]</f>
        <v>3</v>
      </c>
      <c r="AD3380" t="str">
        <f>IF(OrdersTable[[#This Row],[Delivery Days]]&lt;=2, "Express (≤2d)", IF(OrdersTable[[#This Row],[Delivery Days]]&lt;=4, "Standard (3-4d)", "Delayed (5d+)"))</f>
        <v>Standard (3-4d)</v>
      </c>
      <c r="AE3380">
        <v>4</v>
      </c>
      <c r="AF3380">
        <v>0</v>
      </c>
    </row>
    <row r="3381" spans="1:32" ht="15" x14ac:dyDescent="0.35">
      <c r="A3381" t="s">
        <v>4165</v>
      </c>
      <c r="B3381" s="1">
        <v>45844</v>
      </c>
      <c r="C3381">
        <f>YEAR(OrdersTable[[#This Row],[Order Date]])</f>
        <v>2025</v>
      </c>
      <c r="D3381" s="2">
        <f>DATE(YEAR(OrdersTable[[#This Row],[Order Date]]),MONTH(OrdersTable[[#This Row],[Order Date]]),1)</f>
        <v>45839</v>
      </c>
      <c r="E3381">
        <f>MONTH(OrdersTable[[#This Row],[Order Date]])</f>
        <v>7</v>
      </c>
      <c r="F3381" t="s">
        <v>1152</v>
      </c>
      <c r="G3381" t="str">
        <f>IF(OrdersTable[[#This Row],[Order Date]]=_xlfn.MINIFS(Order_Date, Customer_ID, OrdersTable[[#This Row],[Customer ID]]), "New", "Repeat")</f>
        <v>Repeat</v>
      </c>
      <c r="H3381" t="s">
        <v>184</v>
      </c>
      <c r="I3381" t="str">
        <f>INDEX(State!B:B,MATCH(OrdersTable[[#This Row],[State]],State!A:A,0))</f>
        <v>UK</v>
      </c>
      <c r="J3381" t="str">
        <f>INDEX(State!C:C,MATCH(OrdersTable[[#This Row],[State Code]],State!B:B,0))</f>
        <v>North</v>
      </c>
      <c r="K3381" t="s">
        <v>185</v>
      </c>
      <c r="L3381" t="s">
        <v>65</v>
      </c>
      <c r="M3381" t="s">
        <v>125</v>
      </c>
      <c r="N3381" t="str">
        <f>INDEX(Products!B:B,MATCH(OrdersTable[[#This Row],[Product ID]],Products!A:A,0))</f>
        <v>Copper Water Bottle</v>
      </c>
      <c r="O3381" t="str">
        <f>INDEX(Products!C:C,MATCH(OrdersTable[[#This Row],[Product ID]],Products!A:A,0))</f>
        <v>Home &amp; Kitchen</v>
      </c>
      <c r="P3381">
        <v>1</v>
      </c>
      <c r="Q3381" s="5">
        <v>899</v>
      </c>
      <c r="R3381" s="74">
        <v>0</v>
      </c>
      <c r="S3381" s="75">
        <f>OrdersTable[[#This Row],[Quantity]]*OrdersTable[[#This Row],[Unit Price]]</f>
        <v>899</v>
      </c>
      <c r="T3381" s="5">
        <f>OrdersTable[[#This Row],[Gross Sale]]*OrdersTable[[#This Row],[Discount_Clean2]]</f>
        <v>0</v>
      </c>
      <c r="U3381" s="5">
        <f>OrdersTable[[#This Row],[Gross Sale]]-OrdersTable[[#This Row],[Discount Amount]]</f>
        <v>899</v>
      </c>
      <c r="V3381" s="77">
        <f>INDEX(Products!E:E,MATCH(OrdersTable[[#This Row],[Product ID]],Products!A:A,0))</f>
        <v>378</v>
      </c>
      <c r="W3381" s="77">
        <f>OrdersTable[[#This Row],[Quantity]]*OrdersTable[[#This Row],[Unit Cost]]</f>
        <v>378</v>
      </c>
      <c r="X3381" s="77">
        <f>'Dropdown Lists'!$I$2*(1+OrdersTable[[#This Row],[Returned]])</f>
        <v>60</v>
      </c>
      <c r="Y3381" s="76">
        <f>OrdersTable[[#This Row],[Net Revenue]]-OrdersTable[[#This Row],[COGS]]-OrdersTable[[#This Row],[Shipping Cost]]</f>
        <v>461</v>
      </c>
      <c r="Z3381" s="78">
        <f>IFERROR(OrdersTable[[#This Row],[Profit]]/OrdersTable[[#This Row],[Net Revenue]],0)</f>
        <v>0.51279199110122353</v>
      </c>
      <c r="AA3381" t="s">
        <v>4074</v>
      </c>
      <c r="AB3381" s="79">
        <v>45851</v>
      </c>
      <c r="AC3381">
        <f>OrdersTable[[#This Row],[Delivery Date]]-OrdersTable[[#This Row],[Order Date]]</f>
        <v>7</v>
      </c>
      <c r="AD3381" t="str">
        <f>IF(OrdersTable[[#This Row],[Delivery Days]]&lt;=2, "Express (≤2d)", IF(OrdersTable[[#This Row],[Delivery Days]]&lt;=4, "Standard (3-4d)", "Delayed (5d+)"))</f>
        <v>Delayed (5d+)</v>
      </c>
      <c r="AE3381">
        <v>3</v>
      </c>
      <c r="AF3381">
        <v>0</v>
      </c>
    </row>
    <row r="3382" spans="1:32" ht="15" x14ac:dyDescent="0.35">
      <c r="A3382" t="s">
        <v>6906</v>
      </c>
      <c r="B3382" s="1">
        <v>45844</v>
      </c>
      <c r="C3382">
        <f>YEAR(OrdersTable[[#This Row],[Order Date]])</f>
        <v>2025</v>
      </c>
      <c r="D3382" s="2">
        <f>DATE(YEAR(OrdersTable[[#This Row],[Order Date]]),MONTH(OrdersTable[[#This Row],[Order Date]]),1)</f>
        <v>45839</v>
      </c>
      <c r="E3382">
        <f>MONTH(OrdersTable[[#This Row],[Order Date]])</f>
        <v>7</v>
      </c>
      <c r="F3382" t="s">
        <v>325</v>
      </c>
      <c r="G3382" t="str">
        <f>IF(OrdersTable[[#This Row],[Order Date]]=_xlfn.MINIFS(Order_Date, Customer_ID, OrdersTable[[#This Row],[Customer ID]]), "New", "Repeat")</f>
        <v>Repeat</v>
      </c>
      <c r="H3382" t="s">
        <v>54</v>
      </c>
      <c r="I3382" t="str">
        <f>INDEX(State!B:B,MATCH(OrdersTable[[#This Row],[State]],State!A:A,0))</f>
        <v>RJ</v>
      </c>
      <c r="J3382" t="str">
        <f>INDEX(State!C:C,MATCH(OrdersTable[[#This Row],[State Code]],State!B:B,0))</f>
        <v>North</v>
      </c>
      <c r="K3382" t="s">
        <v>227</v>
      </c>
      <c r="L3382" t="s">
        <v>23</v>
      </c>
      <c r="M3382" t="s">
        <v>24</v>
      </c>
      <c r="N3382" t="str">
        <f>INDEX(Products!B:B,MATCH(OrdersTable[[#This Row],[Product ID]],Products!A:A,0))</f>
        <v>Scented Candle Set</v>
      </c>
      <c r="O3382" t="str">
        <f>INDEX(Products!C:C,MATCH(OrdersTable[[#This Row],[Product ID]],Products!A:A,0))</f>
        <v>Home &amp; Kitchen</v>
      </c>
      <c r="P3382">
        <v>3</v>
      </c>
      <c r="Q3382" s="5">
        <v>699</v>
      </c>
      <c r="R3382" s="74">
        <v>0.2</v>
      </c>
      <c r="S3382" s="75">
        <f>OrdersTable[[#This Row],[Quantity]]*OrdersTable[[#This Row],[Unit Price]]</f>
        <v>2097</v>
      </c>
      <c r="T3382" s="5">
        <f>OrdersTable[[#This Row],[Gross Sale]]*OrdersTable[[#This Row],[Discount_Clean2]]</f>
        <v>419.40000000000003</v>
      </c>
      <c r="U3382" s="5">
        <f>OrdersTable[[#This Row],[Gross Sale]]-OrdersTable[[#This Row],[Discount Amount]]</f>
        <v>1677.6</v>
      </c>
      <c r="V3382" s="77">
        <f>INDEX(Products!E:E,MATCH(OrdersTable[[#This Row],[Product ID]],Products!A:A,0))</f>
        <v>245</v>
      </c>
      <c r="W3382" s="77">
        <f>OrdersTable[[#This Row],[Quantity]]*OrdersTable[[#This Row],[Unit Cost]]</f>
        <v>735</v>
      </c>
      <c r="X3382" s="77">
        <f>'Dropdown Lists'!$I$2*(1+OrdersTable[[#This Row],[Returned]])</f>
        <v>60</v>
      </c>
      <c r="Y3382" s="76">
        <f>OrdersTable[[#This Row],[Net Revenue]]-OrdersTable[[#This Row],[COGS]]-OrdersTable[[#This Row],[Shipping Cost]]</f>
        <v>882.59999999999991</v>
      </c>
      <c r="Z3382" s="78">
        <f>IFERROR(OrdersTable[[#This Row],[Profit]]/OrdersTable[[#This Row],[Net Revenue]],0)</f>
        <v>0.52610872675250353</v>
      </c>
      <c r="AA3382" t="s">
        <v>4074</v>
      </c>
      <c r="AB3382" s="79">
        <v>45849</v>
      </c>
      <c r="AC3382">
        <f>OrdersTable[[#This Row],[Delivery Date]]-OrdersTable[[#This Row],[Order Date]]</f>
        <v>5</v>
      </c>
      <c r="AD3382" t="str">
        <f>IF(OrdersTable[[#This Row],[Delivery Days]]&lt;=2, "Express (≤2d)", IF(OrdersTable[[#This Row],[Delivery Days]]&lt;=4, "Standard (3-4d)", "Delayed (5d+)"))</f>
        <v>Delayed (5d+)</v>
      </c>
      <c r="AF3382">
        <v>0</v>
      </c>
    </row>
    <row r="3383" spans="1:32" ht="15" x14ac:dyDescent="0.35">
      <c r="A3383" t="s">
        <v>5529</v>
      </c>
      <c r="B3383" s="1">
        <v>45844</v>
      </c>
      <c r="C3383">
        <f>YEAR(OrdersTable[[#This Row],[Order Date]])</f>
        <v>2025</v>
      </c>
      <c r="D3383" s="2">
        <f>DATE(YEAR(OrdersTable[[#This Row],[Order Date]]),MONTH(OrdersTable[[#This Row],[Order Date]]),1)</f>
        <v>45839</v>
      </c>
      <c r="E3383">
        <f>MONTH(OrdersTable[[#This Row],[Order Date]])</f>
        <v>7</v>
      </c>
      <c r="F3383" t="s">
        <v>3520</v>
      </c>
      <c r="G3383" t="str">
        <f>IF(OrdersTable[[#This Row],[Order Date]]=_xlfn.MINIFS(Order_Date, Customer_ID, OrdersTable[[#This Row],[Customer ID]]), "New", "Repeat")</f>
        <v>Repeat</v>
      </c>
      <c r="H3383" t="s">
        <v>48</v>
      </c>
      <c r="I3383" t="str">
        <f>INDEX(State!B:B,MATCH(OrdersTable[[#This Row],[State]],State!A:A,0))</f>
        <v>HR</v>
      </c>
      <c r="J3383" t="str">
        <f>INDEX(State!C:C,MATCH(OrdersTable[[#This Row],[State Code]],State!B:B,0))</f>
        <v>North</v>
      </c>
      <c r="K3383" t="s">
        <v>49</v>
      </c>
      <c r="L3383" t="s">
        <v>39</v>
      </c>
      <c r="M3383" t="s">
        <v>45</v>
      </c>
      <c r="N3383" t="str">
        <f>INDEX(Products!B:B,MATCH(OrdersTable[[#This Row],[Product ID]],Products!A:A,0))</f>
        <v>Argan Shampoo</v>
      </c>
      <c r="O3383" t="str">
        <f>INDEX(Products!C:C,MATCH(OrdersTable[[#This Row],[Product ID]],Products!A:A,0))</f>
        <v>Haircare</v>
      </c>
      <c r="P3383">
        <v>2</v>
      </c>
      <c r="Q3383" s="5">
        <v>449</v>
      </c>
      <c r="R3383" s="74">
        <v>0.05</v>
      </c>
      <c r="S3383" s="75">
        <f>OrdersTable[[#This Row],[Quantity]]*OrdersTable[[#This Row],[Unit Price]]</f>
        <v>898</v>
      </c>
      <c r="T3383" s="5">
        <f>OrdersTable[[#This Row],[Gross Sale]]*OrdersTable[[#This Row],[Discount_Clean2]]</f>
        <v>44.900000000000006</v>
      </c>
      <c r="U3383" s="5">
        <f>OrdersTable[[#This Row],[Gross Sale]]-OrdersTable[[#This Row],[Discount Amount]]</f>
        <v>853.1</v>
      </c>
      <c r="V3383" s="77">
        <f>INDEX(Products!E:E,MATCH(OrdersTable[[#This Row],[Product ID]],Products!A:A,0))</f>
        <v>148</v>
      </c>
      <c r="W3383" s="77">
        <f>OrdersTable[[#This Row],[Quantity]]*OrdersTable[[#This Row],[Unit Cost]]</f>
        <v>296</v>
      </c>
      <c r="X3383" s="77">
        <f>'Dropdown Lists'!$I$2*(1+OrdersTable[[#This Row],[Returned]])</f>
        <v>60</v>
      </c>
      <c r="Y3383" s="76">
        <f>OrdersTable[[#This Row],[Net Revenue]]-OrdersTable[[#This Row],[COGS]]-OrdersTable[[#This Row],[Shipping Cost]]</f>
        <v>497.1</v>
      </c>
      <c r="Z3383" s="78">
        <f>IFERROR(OrdersTable[[#This Row],[Profit]]/OrdersTable[[#This Row],[Net Revenue]],0)</f>
        <v>0.58269839409213453</v>
      </c>
      <c r="AA3383" t="s">
        <v>2522</v>
      </c>
      <c r="AB3383" s="79">
        <v>45847</v>
      </c>
      <c r="AC3383">
        <f>OrdersTable[[#This Row],[Delivery Date]]-OrdersTable[[#This Row],[Order Date]]</f>
        <v>3</v>
      </c>
      <c r="AD3383" t="str">
        <f>IF(OrdersTable[[#This Row],[Delivery Days]]&lt;=2, "Express (≤2d)", IF(OrdersTable[[#This Row],[Delivery Days]]&lt;=4, "Standard (3-4d)", "Delayed (5d+)"))</f>
        <v>Standard (3-4d)</v>
      </c>
      <c r="AE3383">
        <v>4</v>
      </c>
      <c r="AF3383">
        <v>0</v>
      </c>
    </row>
    <row r="3384" spans="1:32" ht="15" x14ac:dyDescent="0.35">
      <c r="A3384" t="s">
        <v>1099</v>
      </c>
      <c r="B3384" s="1">
        <v>45844</v>
      </c>
      <c r="C3384">
        <f>YEAR(OrdersTable[[#This Row],[Order Date]])</f>
        <v>2025</v>
      </c>
      <c r="D3384" s="2">
        <f>DATE(YEAR(OrdersTable[[#This Row],[Order Date]]),MONTH(OrdersTable[[#This Row],[Order Date]]),1)</f>
        <v>45839</v>
      </c>
      <c r="E3384">
        <f>MONTH(OrdersTable[[#This Row],[Order Date]])</f>
        <v>7</v>
      </c>
      <c r="F3384" t="s">
        <v>1100</v>
      </c>
      <c r="G3384" t="str">
        <f>IF(OrdersTable[[#This Row],[Order Date]]=_xlfn.MINIFS(Order_Date, Customer_ID, OrdersTable[[#This Row],[Customer ID]]), "New", "Repeat")</f>
        <v>New</v>
      </c>
      <c r="H3384" t="s">
        <v>128</v>
      </c>
      <c r="I3384" t="str">
        <f>INDEX(State!B:B,MATCH(OrdersTable[[#This Row],[State]],State!A:A,0))</f>
        <v>DL</v>
      </c>
      <c r="J3384" t="str">
        <f>INDEX(State!C:C,MATCH(OrdersTable[[#This Row],[State Code]],State!B:B,0))</f>
        <v>North</v>
      </c>
      <c r="K3384" t="s">
        <v>129</v>
      </c>
      <c r="L3384" t="s">
        <v>39</v>
      </c>
      <c r="M3384" t="s">
        <v>109</v>
      </c>
      <c r="N3384" t="str">
        <f>INDEX(Products!B:B,MATCH(OrdersTable[[#This Row],[Product ID]],Products!A:A,0))</f>
        <v>Onion Hair Oil</v>
      </c>
      <c r="O3384" t="str">
        <f>INDEX(Products!C:C,MATCH(OrdersTable[[#This Row],[Product ID]],Products!A:A,0))</f>
        <v>Haircare</v>
      </c>
      <c r="P3384">
        <v>1</v>
      </c>
      <c r="Q3384" s="5">
        <v>349</v>
      </c>
      <c r="R3384" s="74">
        <v>0.35</v>
      </c>
      <c r="S3384" s="75">
        <f>OrdersTable[[#This Row],[Quantity]]*OrdersTable[[#This Row],[Unit Price]]</f>
        <v>349</v>
      </c>
      <c r="T3384" s="5">
        <f>OrdersTable[[#This Row],[Gross Sale]]*OrdersTable[[#This Row],[Discount_Clean2]]</f>
        <v>122.14999999999999</v>
      </c>
      <c r="U3384" s="5">
        <f>OrdersTable[[#This Row],[Gross Sale]]-OrdersTable[[#This Row],[Discount Amount]]</f>
        <v>226.85000000000002</v>
      </c>
      <c r="V3384" s="77">
        <f>INDEX(Products!E:E,MATCH(OrdersTable[[#This Row],[Product ID]],Products!A:A,0))</f>
        <v>105</v>
      </c>
      <c r="W3384" s="77">
        <f>OrdersTable[[#This Row],[Quantity]]*OrdersTable[[#This Row],[Unit Cost]]</f>
        <v>105</v>
      </c>
      <c r="X3384" s="77">
        <f>'Dropdown Lists'!$I$2*(1+OrdersTable[[#This Row],[Returned]])</f>
        <v>120</v>
      </c>
      <c r="Y3384" s="76">
        <f>OrdersTable[[#This Row],[Net Revenue]]-OrdersTable[[#This Row],[COGS]]-OrdersTable[[#This Row],[Shipping Cost]]</f>
        <v>1.8500000000000227</v>
      </c>
      <c r="Z3384" s="78">
        <f>IFERROR(OrdersTable[[#This Row],[Profit]]/OrdersTable[[#This Row],[Net Revenue]],0)</f>
        <v>8.1551686136214357E-3</v>
      </c>
      <c r="AA3384" t="s">
        <v>18</v>
      </c>
      <c r="AB3384" s="79">
        <v>45846</v>
      </c>
      <c r="AC3384">
        <f>OrdersTable[[#This Row],[Delivery Date]]-OrdersTable[[#This Row],[Order Date]]</f>
        <v>2</v>
      </c>
      <c r="AD3384" t="str">
        <f>IF(OrdersTable[[#This Row],[Delivery Days]]&lt;=2, "Express (≤2d)", IF(OrdersTable[[#This Row],[Delivery Days]]&lt;=4, "Standard (3-4d)", "Delayed (5d+)"))</f>
        <v>Express (≤2d)</v>
      </c>
      <c r="AE3384">
        <v>4</v>
      </c>
      <c r="AF3384">
        <v>1</v>
      </c>
    </row>
    <row r="3385" spans="1:32" ht="15" x14ac:dyDescent="0.35">
      <c r="A3385" t="s">
        <v>2424</v>
      </c>
      <c r="B3385" s="1">
        <v>45844</v>
      </c>
      <c r="C3385">
        <f>YEAR(OrdersTable[[#This Row],[Order Date]])</f>
        <v>2025</v>
      </c>
      <c r="D3385" s="2">
        <f>DATE(YEAR(OrdersTable[[#This Row],[Order Date]]),MONTH(OrdersTable[[#This Row],[Order Date]]),1)</f>
        <v>45839</v>
      </c>
      <c r="E3385">
        <f>MONTH(OrdersTable[[#This Row],[Order Date]])</f>
        <v>7</v>
      </c>
      <c r="F3385" t="s">
        <v>222</v>
      </c>
      <c r="G3385" t="str">
        <f>IF(OrdersTable[[#This Row],[Order Date]]=_xlfn.MINIFS(Order_Date, Customer_ID, OrdersTable[[#This Row],[Customer ID]]), "New", "Repeat")</f>
        <v>Repeat</v>
      </c>
      <c r="H3385" t="s">
        <v>128</v>
      </c>
      <c r="I3385" t="str">
        <f>INDEX(State!B:B,MATCH(OrdersTable[[#This Row],[State]],State!A:A,0))</f>
        <v>DL</v>
      </c>
      <c r="J3385" t="str">
        <f>INDEX(State!C:C,MATCH(OrdersTable[[#This Row],[State Code]],State!B:B,0))</f>
        <v>North</v>
      </c>
      <c r="K3385" t="s">
        <v>129</v>
      </c>
      <c r="L3385" t="s">
        <v>65</v>
      </c>
      <c r="M3385" t="s">
        <v>34</v>
      </c>
      <c r="N3385" t="str">
        <f>INDEX(Products!B:B,MATCH(OrdersTable[[#This Row],[Product ID]],Products!A:A,0))</f>
        <v>Flip Flops</v>
      </c>
      <c r="O3385" t="str">
        <f>INDEX(Products!C:C,MATCH(OrdersTable[[#This Row],[Product ID]],Products!A:A,0))</f>
        <v>Footwear</v>
      </c>
      <c r="P3385">
        <v>1</v>
      </c>
      <c r="Q3385" s="5">
        <v>399</v>
      </c>
      <c r="R3385" s="74">
        <v>0.15</v>
      </c>
      <c r="S3385" s="75">
        <f>OrdersTable[[#This Row],[Quantity]]*OrdersTable[[#This Row],[Unit Price]]</f>
        <v>399</v>
      </c>
      <c r="T3385" s="5">
        <f>OrdersTable[[#This Row],[Gross Sale]]*OrdersTable[[#This Row],[Discount_Clean2]]</f>
        <v>59.849999999999994</v>
      </c>
      <c r="U3385" s="5">
        <f>OrdersTable[[#This Row],[Gross Sale]]-OrdersTable[[#This Row],[Discount Amount]]</f>
        <v>339.15</v>
      </c>
      <c r="V3385" s="77">
        <f>INDEX(Products!E:E,MATCH(OrdersTable[[#This Row],[Product ID]],Products!A:A,0))</f>
        <v>152</v>
      </c>
      <c r="W3385" s="77">
        <f>OrdersTable[[#This Row],[Quantity]]*OrdersTable[[#This Row],[Unit Cost]]</f>
        <v>152</v>
      </c>
      <c r="X3385" s="77">
        <f>'Dropdown Lists'!$I$2*(1+OrdersTable[[#This Row],[Returned]])</f>
        <v>60</v>
      </c>
      <c r="Y3385" s="76">
        <f>OrdersTable[[#This Row],[Net Revenue]]-OrdersTable[[#This Row],[COGS]]-OrdersTable[[#This Row],[Shipping Cost]]</f>
        <v>127.14999999999998</v>
      </c>
      <c r="Z3385" s="78">
        <f>IFERROR(OrdersTable[[#This Row],[Profit]]/OrdersTable[[#This Row],[Net Revenue]],0)</f>
        <v>0.37490785787999409</v>
      </c>
      <c r="AA3385" t="s">
        <v>18</v>
      </c>
      <c r="AB3385" s="79">
        <v>45845</v>
      </c>
      <c r="AC3385">
        <f>OrdersTable[[#This Row],[Delivery Date]]-OrdersTable[[#This Row],[Order Date]]</f>
        <v>1</v>
      </c>
      <c r="AD3385" t="str">
        <f>IF(OrdersTable[[#This Row],[Delivery Days]]&lt;=2, "Express (≤2d)", IF(OrdersTable[[#This Row],[Delivery Days]]&lt;=4, "Standard (3-4d)", "Delayed (5d+)"))</f>
        <v>Express (≤2d)</v>
      </c>
      <c r="AE3385">
        <v>5</v>
      </c>
      <c r="AF3385">
        <v>0</v>
      </c>
    </row>
    <row r="3386" spans="1:32" ht="15" x14ac:dyDescent="0.35">
      <c r="A3386" t="s">
        <v>6801</v>
      </c>
      <c r="B3386" s="1">
        <v>45844</v>
      </c>
      <c r="C3386">
        <f>YEAR(OrdersTable[[#This Row],[Order Date]])</f>
        <v>2025</v>
      </c>
      <c r="D3386" s="2">
        <f>DATE(YEAR(OrdersTable[[#This Row],[Order Date]]),MONTH(OrdersTable[[#This Row],[Order Date]]),1)</f>
        <v>45839</v>
      </c>
      <c r="E3386">
        <f>MONTH(OrdersTable[[#This Row],[Order Date]])</f>
        <v>7</v>
      </c>
      <c r="F3386" t="s">
        <v>897</v>
      </c>
      <c r="G3386" t="str">
        <f>IF(OrdersTable[[#This Row],[Order Date]]=_xlfn.MINIFS(Order_Date, Customer_ID, OrdersTable[[#This Row],[Customer ID]]), "New", "Repeat")</f>
        <v>Repeat</v>
      </c>
      <c r="H3386" t="s">
        <v>128</v>
      </c>
      <c r="I3386" t="str">
        <f>INDEX(State!B:B,MATCH(OrdersTable[[#This Row],[State]],State!A:A,0))</f>
        <v>DL</v>
      </c>
      <c r="J3386" t="str">
        <f>INDEX(State!C:C,MATCH(OrdersTable[[#This Row],[State Code]],State!B:B,0))</f>
        <v>North</v>
      </c>
      <c r="K3386" t="s">
        <v>129</v>
      </c>
      <c r="L3386" t="s">
        <v>65</v>
      </c>
      <c r="M3386" t="s">
        <v>40</v>
      </c>
      <c r="N3386" t="str">
        <f>INDEX(Products!B:B,MATCH(OrdersTable[[#This Row],[Product ID]],Products!A:A,0))</f>
        <v>Ashwagandha Capsules</v>
      </c>
      <c r="O3386" t="str">
        <f>INDEX(Products!C:C,MATCH(OrdersTable[[#This Row],[Product ID]],Products!A:A,0))</f>
        <v>Wellness</v>
      </c>
      <c r="P3386">
        <v>3</v>
      </c>
      <c r="Q3386" s="5">
        <v>499</v>
      </c>
      <c r="R3386" s="74">
        <v>0</v>
      </c>
      <c r="S3386" s="75">
        <f>OrdersTable[[#This Row],[Quantity]]*OrdersTable[[#This Row],[Unit Price]]</f>
        <v>1497</v>
      </c>
      <c r="T3386" s="5">
        <f>OrdersTable[[#This Row],[Gross Sale]]*OrdersTable[[#This Row],[Discount_Clean2]]</f>
        <v>0</v>
      </c>
      <c r="U3386" s="5">
        <f>OrdersTable[[#This Row],[Gross Sale]]-OrdersTable[[#This Row],[Discount Amount]]</f>
        <v>1497</v>
      </c>
      <c r="V3386" s="77">
        <f>INDEX(Products!E:E,MATCH(OrdersTable[[#This Row],[Product ID]],Products!A:A,0))</f>
        <v>150</v>
      </c>
      <c r="W3386" s="77">
        <f>OrdersTable[[#This Row],[Quantity]]*OrdersTable[[#This Row],[Unit Cost]]</f>
        <v>450</v>
      </c>
      <c r="X3386" s="77">
        <f>'Dropdown Lists'!$I$2*(1+OrdersTable[[#This Row],[Returned]])</f>
        <v>60</v>
      </c>
      <c r="Y3386" s="76">
        <f>OrdersTable[[#This Row],[Net Revenue]]-OrdersTable[[#This Row],[COGS]]-OrdersTable[[#This Row],[Shipping Cost]]</f>
        <v>987</v>
      </c>
      <c r="Z3386" s="78">
        <f>IFERROR(OrdersTable[[#This Row],[Profit]]/OrdersTable[[#This Row],[Net Revenue]],0)</f>
        <v>0.65931863727454909</v>
      </c>
      <c r="AA3386" t="s">
        <v>3495</v>
      </c>
      <c r="AB3386" s="79">
        <v>45846</v>
      </c>
      <c r="AC3386">
        <f>OrdersTable[[#This Row],[Delivery Date]]-OrdersTable[[#This Row],[Order Date]]</f>
        <v>2</v>
      </c>
      <c r="AD3386" t="str">
        <f>IF(OrdersTable[[#This Row],[Delivery Days]]&lt;=2, "Express (≤2d)", IF(OrdersTable[[#This Row],[Delivery Days]]&lt;=4, "Standard (3-4d)", "Delayed (5d+)"))</f>
        <v>Express (≤2d)</v>
      </c>
      <c r="AE3386">
        <v>4</v>
      </c>
      <c r="AF3386">
        <v>0</v>
      </c>
    </row>
    <row r="3387" spans="1:32" ht="15" x14ac:dyDescent="0.35">
      <c r="A3387" t="s">
        <v>4421</v>
      </c>
      <c r="B3387" s="1">
        <v>45844</v>
      </c>
      <c r="C3387">
        <f>YEAR(OrdersTable[[#This Row],[Order Date]])</f>
        <v>2025</v>
      </c>
      <c r="D3387" s="2">
        <f>DATE(YEAR(OrdersTable[[#This Row],[Order Date]]),MONTH(OrdersTable[[#This Row],[Order Date]]),1)</f>
        <v>45839</v>
      </c>
      <c r="E3387">
        <f>MONTH(OrdersTable[[#This Row],[Order Date]])</f>
        <v>7</v>
      </c>
      <c r="F3387" t="s">
        <v>4422</v>
      </c>
      <c r="G3387" t="str">
        <f>IF(OrdersTable[[#This Row],[Order Date]]=_xlfn.MINIFS(Order_Date, Customer_ID, OrdersTable[[#This Row],[Customer ID]]), "New", "Repeat")</f>
        <v>New</v>
      </c>
      <c r="H3387" t="s">
        <v>32</v>
      </c>
      <c r="I3387" t="str">
        <f>INDEX(State!B:B,MATCH(OrdersTable[[#This Row],[State]],State!A:A,0))</f>
        <v>BR</v>
      </c>
      <c r="J3387" t="str">
        <f>INDEX(State!C:C,MATCH(OrdersTable[[#This Row],[State Code]],State!B:B,0))</f>
        <v>East</v>
      </c>
      <c r="K3387" t="s">
        <v>33</v>
      </c>
      <c r="L3387" t="s">
        <v>50</v>
      </c>
      <c r="M3387" t="s">
        <v>66</v>
      </c>
      <c r="N3387" t="str">
        <f>INDEX(Products!B:B,MATCH(OrdersTable[[#This Row],[Product ID]],Products!A:A,0))</f>
        <v>Sunscreen SPF 50</v>
      </c>
      <c r="O3387" t="str">
        <f>INDEX(Products!C:C,MATCH(OrdersTable[[#This Row],[Product ID]],Products!A:A,0))</f>
        <v>Skincare</v>
      </c>
      <c r="P3387">
        <v>1</v>
      </c>
      <c r="Q3387" s="5">
        <v>449</v>
      </c>
      <c r="R3387" s="74">
        <v>0.05</v>
      </c>
      <c r="S3387" s="75">
        <f>OrdersTable[[#This Row],[Quantity]]*OrdersTable[[#This Row],[Unit Price]]</f>
        <v>449</v>
      </c>
      <c r="T3387" s="5">
        <f>OrdersTable[[#This Row],[Gross Sale]]*OrdersTable[[#This Row],[Discount_Clean2]]</f>
        <v>22.450000000000003</v>
      </c>
      <c r="U3387" s="5">
        <f>OrdersTable[[#This Row],[Gross Sale]]-OrdersTable[[#This Row],[Discount Amount]]</f>
        <v>426.55</v>
      </c>
      <c r="V3387" s="77">
        <f>INDEX(Products!E:E,MATCH(OrdersTable[[#This Row],[Product ID]],Products!A:A,0))</f>
        <v>144</v>
      </c>
      <c r="W3387" s="77">
        <f>OrdersTable[[#This Row],[Quantity]]*OrdersTable[[#This Row],[Unit Cost]]</f>
        <v>144</v>
      </c>
      <c r="X3387" s="77">
        <f>'Dropdown Lists'!$I$2*(1+OrdersTable[[#This Row],[Returned]])</f>
        <v>60</v>
      </c>
      <c r="Y3387" s="76">
        <f>OrdersTable[[#This Row],[Net Revenue]]-OrdersTable[[#This Row],[COGS]]-OrdersTable[[#This Row],[Shipping Cost]]</f>
        <v>222.55</v>
      </c>
      <c r="Z3387" s="78">
        <f>IFERROR(OrdersTable[[#This Row],[Profit]]/OrdersTable[[#This Row],[Net Revenue]],0)</f>
        <v>0.52174422693705313</v>
      </c>
      <c r="AA3387" t="s">
        <v>4074</v>
      </c>
      <c r="AB3387" s="79">
        <v>45849</v>
      </c>
      <c r="AC3387">
        <f>OrdersTable[[#This Row],[Delivery Date]]-OrdersTable[[#This Row],[Order Date]]</f>
        <v>5</v>
      </c>
      <c r="AD3387" t="str">
        <f>IF(OrdersTable[[#This Row],[Delivery Days]]&lt;=2, "Express (≤2d)", IF(OrdersTable[[#This Row],[Delivery Days]]&lt;=4, "Standard (3-4d)", "Delayed (5d+)"))</f>
        <v>Delayed (5d+)</v>
      </c>
      <c r="AE3387">
        <v>4</v>
      </c>
      <c r="AF3387">
        <v>0</v>
      </c>
    </row>
    <row r="3388" spans="1:32" ht="15" x14ac:dyDescent="0.35">
      <c r="A3388" t="s">
        <v>5209</v>
      </c>
      <c r="B3388" s="1">
        <v>45844</v>
      </c>
      <c r="C3388">
        <f>YEAR(OrdersTable[[#This Row],[Order Date]])</f>
        <v>2025</v>
      </c>
      <c r="D3388" s="2">
        <f>DATE(YEAR(OrdersTable[[#This Row],[Order Date]]),MONTH(OrdersTable[[#This Row],[Order Date]]),1)</f>
        <v>45839</v>
      </c>
      <c r="E3388">
        <f>MONTH(OrdersTable[[#This Row],[Order Date]])</f>
        <v>7</v>
      </c>
      <c r="F3388" t="s">
        <v>5210</v>
      </c>
      <c r="G3388" t="str">
        <f>IF(OrdersTable[[#This Row],[Order Date]]=_xlfn.MINIFS(Order_Date, Customer_ID, OrdersTable[[#This Row],[Customer ID]]), "New", "Repeat")</f>
        <v>Repeat</v>
      </c>
      <c r="H3388" t="s">
        <v>37</v>
      </c>
      <c r="I3388" t="str">
        <f>INDEX(State!B:B,MATCH(OrdersTable[[#This Row],[State]],State!A:A,0))</f>
        <v>GJ</v>
      </c>
      <c r="J3388" t="str">
        <f>INDEX(State!C:C,MATCH(OrdersTable[[#This Row],[State Code]],State!B:B,0))</f>
        <v>West</v>
      </c>
      <c r="K3388" t="s">
        <v>247</v>
      </c>
      <c r="L3388" t="s">
        <v>50</v>
      </c>
      <c r="M3388" t="s">
        <v>61</v>
      </c>
      <c r="N3388" t="str">
        <f>INDEX(Products!B:B,MATCH(OrdersTable[[#This Row],[Product ID]],Products!A:A,0))</f>
        <v>Multivitamin Gummies</v>
      </c>
      <c r="O3388" t="str">
        <f>INDEX(Products!C:C,MATCH(OrdersTable[[#This Row],[Product ID]],Products!A:A,0))</f>
        <v>Wellness</v>
      </c>
      <c r="P3388">
        <v>2</v>
      </c>
      <c r="Q3388" s="5">
        <v>699</v>
      </c>
      <c r="R3388" s="74">
        <v>0.25</v>
      </c>
      <c r="S3388" s="75">
        <f>OrdersTable[[#This Row],[Quantity]]*OrdersTable[[#This Row],[Unit Price]]</f>
        <v>1398</v>
      </c>
      <c r="T3388" s="5">
        <f>OrdersTable[[#This Row],[Gross Sale]]*OrdersTable[[#This Row],[Discount_Clean2]]</f>
        <v>349.5</v>
      </c>
      <c r="U3388" s="5">
        <f>OrdersTable[[#This Row],[Gross Sale]]-OrdersTable[[#This Row],[Discount Amount]]</f>
        <v>1048.5</v>
      </c>
      <c r="V3388" s="77">
        <f>INDEX(Products!E:E,MATCH(OrdersTable[[#This Row],[Product ID]],Products!A:A,0))</f>
        <v>238</v>
      </c>
      <c r="W3388" s="77">
        <f>OrdersTable[[#This Row],[Quantity]]*OrdersTable[[#This Row],[Unit Cost]]</f>
        <v>476</v>
      </c>
      <c r="X3388" s="77">
        <f>'Dropdown Lists'!$I$2*(1+OrdersTable[[#This Row],[Returned]])</f>
        <v>60</v>
      </c>
      <c r="Y3388" s="76">
        <f>OrdersTable[[#This Row],[Net Revenue]]-OrdersTable[[#This Row],[COGS]]-OrdersTable[[#This Row],[Shipping Cost]]</f>
        <v>512.5</v>
      </c>
      <c r="Z3388" s="78">
        <f>IFERROR(OrdersTable[[#This Row],[Profit]]/OrdersTable[[#This Row],[Net Revenue]],0)</f>
        <v>0.48879351454458753</v>
      </c>
      <c r="AA3388" t="s">
        <v>3495</v>
      </c>
      <c r="AB3388" s="79">
        <v>45847</v>
      </c>
      <c r="AC3388">
        <f>OrdersTable[[#This Row],[Delivery Date]]-OrdersTable[[#This Row],[Order Date]]</f>
        <v>3</v>
      </c>
      <c r="AD3388" t="str">
        <f>IF(OrdersTable[[#This Row],[Delivery Days]]&lt;=2, "Express (≤2d)", IF(OrdersTable[[#This Row],[Delivery Days]]&lt;=4, "Standard (3-4d)", "Delayed (5d+)"))</f>
        <v>Standard (3-4d)</v>
      </c>
      <c r="AE3388">
        <v>4</v>
      </c>
      <c r="AF3388">
        <v>0</v>
      </c>
    </row>
    <row r="3389" spans="1:32" ht="15" x14ac:dyDescent="0.35">
      <c r="A3389" t="s">
        <v>2007</v>
      </c>
      <c r="B3389" s="1">
        <v>45844</v>
      </c>
      <c r="C3389">
        <f>YEAR(OrdersTable[[#This Row],[Order Date]])</f>
        <v>2025</v>
      </c>
      <c r="D3389" s="2">
        <f>DATE(YEAR(OrdersTable[[#This Row],[Order Date]]),MONTH(OrdersTable[[#This Row],[Order Date]]),1)</f>
        <v>45839</v>
      </c>
      <c r="E3389">
        <f>MONTH(OrdersTable[[#This Row],[Order Date]])</f>
        <v>7</v>
      </c>
      <c r="F3389" t="s">
        <v>1550</v>
      </c>
      <c r="G3389" t="str">
        <f>IF(OrdersTable[[#This Row],[Order Date]]=_xlfn.MINIFS(Order_Date, Customer_ID, OrdersTable[[#This Row],[Customer ID]]), "New", "Repeat")</f>
        <v>Repeat</v>
      </c>
      <c r="H3389" t="s">
        <v>123</v>
      </c>
      <c r="I3389" t="str">
        <f>INDEX(State!B:B,MATCH(OrdersTable[[#This Row],[State]],State!A:A,0))</f>
        <v>JH</v>
      </c>
      <c r="J3389" t="str">
        <f>INDEX(State!C:C,MATCH(OrdersTable[[#This Row],[State Code]],State!B:B,0))</f>
        <v>East</v>
      </c>
      <c r="K3389" t="s">
        <v>124</v>
      </c>
      <c r="L3389" t="s">
        <v>23</v>
      </c>
      <c r="M3389" t="s">
        <v>176</v>
      </c>
      <c r="N3389" t="str">
        <f>INDEX(Products!B:B,MATCH(OrdersTable[[#This Row],[Product ID]],Products!A:A,0))</f>
        <v>Denim Jacket</v>
      </c>
      <c r="O3389" t="str">
        <f>INDEX(Products!C:C,MATCH(OrdersTable[[#This Row],[Product ID]],Products!A:A,0))</f>
        <v>Apparel</v>
      </c>
      <c r="P3389">
        <v>1</v>
      </c>
      <c r="Q3389" s="5">
        <v>2499</v>
      </c>
      <c r="R3389" s="74">
        <v>0.1</v>
      </c>
      <c r="S3389" s="75">
        <f>OrdersTable[[#This Row],[Quantity]]*OrdersTable[[#This Row],[Unit Price]]</f>
        <v>2499</v>
      </c>
      <c r="T3389" s="5">
        <f>OrdersTable[[#This Row],[Gross Sale]]*OrdersTable[[#This Row],[Discount_Clean2]]</f>
        <v>249.9</v>
      </c>
      <c r="U3389" s="5">
        <f>OrdersTable[[#This Row],[Gross Sale]]-OrdersTable[[#This Row],[Discount Amount]]</f>
        <v>2249.1</v>
      </c>
      <c r="V3389" s="77">
        <f>INDEX(Products!E:E,MATCH(OrdersTable[[#This Row],[Product ID]],Products!A:A,0))</f>
        <v>1125</v>
      </c>
      <c r="W3389" s="77">
        <f>OrdersTable[[#This Row],[Quantity]]*OrdersTable[[#This Row],[Unit Cost]]</f>
        <v>1125</v>
      </c>
      <c r="X3389" s="77">
        <f>'Dropdown Lists'!$I$2*(1+OrdersTable[[#This Row],[Returned]])</f>
        <v>60</v>
      </c>
      <c r="Y3389" s="76">
        <f>OrdersTable[[#This Row],[Net Revenue]]-OrdersTable[[#This Row],[COGS]]-OrdersTable[[#This Row],[Shipping Cost]]</f>
        <v>1064.0999999999999</v>
      </c>
      <c r="Z3389" s="78">
        <f>IFERROR(OrdersTable[[#This Row],[Profit]]/OrdersTable[[#This Row],[Net Revenue]],0)</f>
        <v>0.4731225823662798</v>
      </c>
      <c r="AA3389" t="s">
        <v>18</v>
      </c>
      <c r="AB3389" s="79">
        <v>45848</v>
      </c>
      <c r="AC3389">
        <f>OrdersTable[[#This Row],[Delivery Date]]-OrdersTable[[#This Row],[Order Date]]</f>
        <v>4</v>
      </c>
      <c r="AD3389" t="str">
        <f>IF(OrdersTable[[#This Row],[Delivery Days]]&lt;=2, "Express (≤2d)", IF(OrdersTable[[#This Row],[Delivery Days]]&lt;=4, "Standard (3-4d)", "Delayed (5d+)"))</f>
        <v>Standard (3-4d)</v>
      </c>
      <c r="AE3389">
        <v>3</v>
      </c>
      <c r="AF3389">
        <v>0</v>
      </c>
    </row>
    <row r="3390" spans="1:32" ht="15" x14ac:dyDescent="0.35">
      <c r="A3390" t="s">
        <v>4526</v>
      </c>
      <c r="B3390" s="1">
        <v>45844</v>
      </c>
      <c r="C3390">
        <f>YEAR(OrdersTable[[#This Row],[Order Date]])</f>
        <v>2025</v>
      </c>
      <c r="D3390" s="2">
        <f>DATE(YEAR(OrdersTable[[#This Row],[Order Date]]),MONTH(OrdersTable[[#This Row],[Order Date]]),1)</f>
        <v>45839</v>
      </c>
      <c r="E3390">
        <f>MONTH(OrdersTable[[#This Row],[Order Date]])</f>
        <v>7</v>
      </c>
      <c r="F3390" t="s">
        <v>4527</v>
      </c>
      <c r="G3390" t="str">
        <f>IF(OrdersTable[[#This Row],[Order Date]]=_xlfn.MINIFS(Order_Date, Customer_ID, OrdersTable[[#This Row],[Customer ID]]), "New", "Repeat")</f>
        <v>New</v>
      </c>
      <c r="H3390" t="s">
        <v>59</v>
      </c>
      <c r="I3390" t="str">
        <f>INDEX(State!B:B,MATCH(OrdersTable[[#This Row],[State]],State!A:A,0))</f>
        <v>TN</v>
      </c>
      <c r="J3390" t="str">
        <f>INDEX(State!C:C,MATCH(OrdersTable[[#This Row],[State Code]],State!B:B,0))</f>
        <v>South</v>
      </c>
      <c r="K3390" t="s">
        <v>60</v>
      </c>
      <c r="L3390" t="s">
        <v>16</v>
      </c>
      <c r="M3390" t="s">
        <v>92</v>
      </c>
      <c r="N3390" t="str">
        <f>INDEX(Products!B:B,MATCH(OrdersTable[[#This Row],[Product ID]],Products!A:A,0))</f>
        <v>Kolhapuri Sandals</v>
      </c>
      <c r="O3390" t="str">
        <f>INDEX(Products!C:C,MATCH(OrdersTable[[#This Row],[Product ID]],Products!A:A,0))</f>
        <v>Footwear</v>
      </c>
      <c r="P3390">
        <v>1</v>
      </c>
      <c r="Q3390" s="5">
        <v>999</v>
      </c>
      <c r="R3390" s="74">
        <v>0.05</v>
      </c>
      <c r="S3390" s="75">
        <f>OrdersTable[[#This Row],[Quantity]]*OrdersTable[[#This Row],[Unit Price]]</f>
        <v>999</v>
      </c>
      <c r="T3390" s="5">
        <f>OrdersTable[[#This Row],[Gross Sale]]*OrdersTable[[#This Row],[Discount_Clean2]]</f>
        <v>49.95</v>
      </c>
      <c r="U3390" s="5">
        <f>OrdersTable[[#This Row],[Gross Sale]]-OrdersTable[[#This Row],[Discount Amount]]</f>
        <v>949.05</v>
      </c>
      <c r="V3390" s="77">
        <f>INDEX(Products!E:E,MATCH(OrdersTable[[#This Row],[Product ID]],Products!A:A,0))</f>
        <v>400</v>
      </c>
      <c r="W3390" s="77">
        <f>OrdersTable[[#This Row],[Quantity]]*OrdersTable[[#This Row],[Unit Cost]]</f>
        <v>400</v>
      </c>
      <c r="X3390" s="77">
        <f>'Dropdown Lists'!$I$2*(1+OrdersTable[[#This Row],[Returned]])</f>
        <v>60</v>
      </c>
      <c r="Y3390" s="76">
        <f>OrdersTable[[#This Row],[Net Revenue]]-OrdersTable[[#This Row],[COGS]]-OrdersTable[[#This Row],[Shipping Cost]]</f>
        <v>489.04999999999995</v>
      </c>
      <c r="Z3390" s="78">
        <f>IFERROR(OrdersTable[[#This Row],[Profit]]/OrdersTable[[#This Row],[Net Revenue]],0)</f>
        <v>0.5153047784626732</v>
      </c>
      <c r="AA3390" t="s">
        <v>4450</v>
      </c>
      <c r="AB3390" s="79">
        <v>45847</v>
      </c>
      <c r="AC3390">
        <f>OrdersTable[[#This Row],[Delivery Date]]-OrdersTable[[#This Row],[Order Date]]</f>
        <v>3</v>
      </c>
      <c r="AD3390" t="str">
        <f>IF(OrdersTable[[#This Row],[Delivery Days]]&lt;=2, "Express (≤2d)", IF(OrdersTable[[#This Row],[Delivery Days]]&lt;=4, "Standard (3-4d)", "Delayed (5d+)"))</f>
        <v>Standard (3-4d)</v>
      </c>
      <c r="AE3390">
        <v>4</v>
      </c>
      <c r="AF3390">
        <v>0</v>
      </c>
    </row>
    <row r="3391" spans="1:32" ht="15" x14ac:dyDescent="0.35">
      <c r="A3391" t="s">
        <v>3911</v>
      </c>
      <c r="B3391" s="1">
        <v>45845</v>
      </c>
      <c r="C3391">
        <f>YEAR(OrdersTable[[#This Row],[Order Date]])</f>
        <v>2025</v>
      </c>
      <c r="D3391" s="2">
        <f>DATE(YEAR(OrdersTable[[#This Row],[Order Date]]),MONTH(OrdersTable[[#This Row],[Order Date]]),1)</f>
        <v>45839</v>
      </c>
      <c r="E3391">
        <f>MONTH(OrdersTable[[#This Row],[Order Date]])</f>
        <v>7</v>
      </c>
      <c r="F3391" t="s">
        <v>2012</v>
      </c>
      <c r="G3391" t="str">
        <f>IF(OrdersTable[[#This Row],[Order Date]]=_xlfn.MINIFS(Order_Date, Customer_ID, OrdersTable[[#This Row],[Customer ID]]), "New", "Repeat")</f>
        <v>Repeat</v>
      </c>
      <c r="H3391" t="s">
        <v>128</v>
      </c>
      <c r="I3391" t="str">
        <f>INDEX(State!B:B,MATCH(OrdersTable[[#This Row],[State]],State!A:A,0))</f>
        <v>DL</v>
      </c>
      <c r="J3391" t="str">
        <f>INDEX(State!C:C,MATCH(OrdersTable[[#This Row],[State Code]],State!B:B,0))</f>
        <v>North</v>
      </c>
      <c r="K3391" t="s">
        <v>129</v>
      </c>
      <c r="L3391" t="s">
        <v>65</v>
      </c>
      <c r="M3391" t="s">
        <v>148</v>
      </c>
      <c r="N3391" t="str">
        <f>INDEX(Products!B:B,MATCH(OrdersTable[[#This Row],[Product ID]],Products!A:A,0))</f>
        <v>Smartwatch Strap</v>
      </c>
      <c r="O3391" t="str">
        <f>INDEX(Products!C:C,MATCH(OrdersTable[[#This Row],[Product ID]],Products!A:A,0))</f>
        <v>Electronics</v>
      </c>
      <c r="P3391">
        <v>1</v>
      </c>
      <c r="Q3391" s="5">
        <v>499</v>
      </c>
      <c r="R3391" s="74">
        <v>0.1</v>
      </c>
      <c r="S3391" s="75">
        <f>OrdersTable[[#This Row],[Quantity]]*OrdersTable[[#This Row],[Unit Price]]</f>
        <v>499</v>
      </c>
      <c r="T3391" s="5">
        <f>OrdersTable[[#This Row],[Gross Sale]]*OrdersTable[[#This Row],[Discount_Clean2]]</f>
        <v>49.900000000000006</v>
      </c>
      <c r="U3391" s="5">
        <f>OrdersTable[[#This Row],[Gross Sale]]-OrdersTable[[#This Row],[Discount Amount]]</f>
        <v>449.1</v>
      </c>
      <c r="V3391" s="77">
        <f>INDEX(Products!E:E,MATCH(OrdersTable[[#This Row],[Product ID]],Products!A:A,0))</f>
        <v>200</v>
      </c>
      <c r="W3391" s="77">
        <f>OrdersTable[[#This Row],[Quantity]]*OrdersTable[[#This Row],[Unit Cost]]</f>
        <v>200</v>
      </c>
      <c r="X3391" s="77">
        <f>'Dropdown Lists'!$I$2*(1+OrdersTable[[#This Row],[Returned]])</f>
        <v>60</v>
      </c>
      <c r="Y3391" s="76">
        <f>OrdersTable[[#This Row],[Net Revenue]]-OrdersTable[[#This Row],[COGS]]-OrdersTable[[#This Row],[Shipping Cost]]</f>
        <v>189.10000000000002</v>
      </c>
      <c r="Z3391" s="78">
        <f>IFERROR(OrdersTable[[#This Row],[Profit]]/OrdersTable[[#This Row],[Net Revenue]],0)</f>
        <v>0.42106435092407041</v>
      </c>
      <c r="AA3391" t="s">
        <v>3495</v>
      </c>
      <c r="AB3391" s="79">
        <v>45846</v>
      </c>
      <c r="AC3391">
        <f>OrdersTable[[#This Row],[Delivery Date]]-OrdersTable[[#This Row],[Order Date]]</f>
        <v>1</v>
      </c>
      <c r="AD3391" t="str">
        <f>IF(OrdersTable[[#This Row],[Delivery Days]]&lt;=2, "Express (≤2d)", IF(OrdersTable[[#This Row],[Delivery Days]]&lt;=4, "Standard (3-4d)", "Delayed (5d+)"))</f>
        <v>Express (≤2d)</v>
      </c>
      <c r="AE3391">
        <v>3</v>
      </c>
      <c r="AF3391">
        <v>0</v>
      </c>
    </row>
    <row r="3392" spans="1:32" ht="15" x14ac:dyDescent="0.35">
      <c r="A3392" t="s">
        <v>3457</v>
      </c>
      <c r="B3392" s="1">
        <v>45845</v>
      </c>
      <c r="C3392">
        <f>YEAR(OrdersTable[[#This Row],[Order Date]])</f>
        <v>2025</v>
      </c>
      <c r="D3392" s="2">
        <f>DATE(YEAR(OrdersTable[[#This Row],[Order Date]]),MONTH(OrdersTable[[#This Row],[Order Date]]),1)</f>
        <v>45839</v>
      </c>
      <c r="E3392">
        <f>MONTH(OrdersTable[[#This Row],[Order Date]])</f>
        <v>7</v>
      </c>
      <c r="F3392" t="s">
        <v>508</v>
      </c>
      <c r="G3392" t="str">
        <f>IF(OrdersTable[[#This Row],[Order Date]]=_xlfn.MINIFS(Order_Date, Customer_ID, OrdersTable[[#This Row],[Customer ID]]), "New", "Repeat")</f>
        <v>Repeat</v>
      </c>
      <c r="H3392" t="s">
        <v>128</v>
      </c>
      <c r="I3392" t="str">
        <f>INDEX(State!B:B,MATCH(OrdersTable[[#This Row],[State]],State!A:A,0))</f>
        <v>DL</v>
      </c>
      <c r="J3392" t="str">
        <f>INDEX(State!C:C,MATCH(OrdersTable[[#This Row],[State Code]],State!B:B,0))</f>
        <v>North</v>
      </c>
      <c r="K3392" t="s">
        <v>129</v>
      </c>
      <c r="L3392" t="s">
        <v>65</v>
      </c>
      <c r="M3392" t="s">
        <v>34</v>
      </c>
      <c r="N3392" t="str">
        <f>INDEX(Products!B:B,MATCH(OrdersTable[[#This Row],[Product ID]],Products!A:A,0))</f>
        <v>Flip Flops</v>
      </c>
      <c r="O3392" t="str">
        <f>INDEX(Products!C:C,MATCH(OrdersTable[[#This Row],[Product ID]],Products!A:A,0))</f>
        <v>Footwear</v>
      </c>
      <c r="P3392">
        <v>1</v>
      </c>
      <c r="Q3392" s="5">
        <v>399</v>
      </c>
      <c r="R3392" s="74">
        <v>0.2</v>
      </c>
      <c r="S3392" s="75">
        <f>OrdersTable[[#This Row],[Quantity]]*OrdersTable[[#This Row],[Unit Price]]</f>
        <v>399</v>
      </c>
      <c r="T3392" s="5">
        <f>OrdersTable[[#This Row],[Gross Sale]]*OrdersTable[[#This Row],[Discount_Clean2]]</f>
        <v>79.800000000000011</v>
      </c>
      <c r="U3392" s="5">
        <f>OrdersTable[[#This Row],[Gross Sale]]-OrdersTable[[#This Row],[Discount Amount]]</f>
        <v>319.2</v>
      </c>
      <c r="V3392" s="77">
        <f>INDEX(Products!E:E,MATCH(OrdersTable[[#This Row],[Product ID]],Products!A:A,0))</f>
        <v>152</v>
      </c>
      <c r="W3392" s="77">
        <f>OrdersTable[[#This Row],[Quantity]]*OrdersTable[[#This Row],[Unit Cost]]</f>
        <v>152</v>
      </c>
      <c r="X3392" s="77">
        <f>'Dropdown Lists'!$I$2*(1+OrdersTable[[#This Row],[Returned]])</f>
        <v>60</v>
      </c>
      <c r="Y3392" s="76">
        <f>OrdersTable[[#This Row],[Net Revenue]]-OrdersTable[[#This Row],[COGS]]-OrdersTable[[#This Row],[Shipping Cost]]</f>
        <v>107.19999999999999</v>
      </c>
      <c r="Z3392" s="78">
        <f>IFERROR(OrdersTable[[#This Row],[Profit]]/OrdersTable[[#This Row],[Net Revenue]],0)</f>
        <v>0.33583959899749372</v>
      </c>
      <c r="AA3392" t="s">
        <v>2522</v>
      </c>
      <c r="AB3392" s="79">
        <v>45847</v>
      </c>
      <c r="AC3392">
        <f>OrdersTable[[#This Row],[Delivery Date]]-OrdersTable[[#This Row],[Order Date]]</f>
        <v>2</v>
      </c>
      <c r="AD3392" t="str">
        <f>IF(OrdersTable[[#This Row],[Delivery Days]]&lt;=2, "Express (≤2d)", IF(OrdersTable[[#This Row],[Delivery Days]]&lt;=4, "Standard (3-4d)", "Delayed (5d+)"))</f>
        <v>Express (≤2d)</v>
      </c>
      <c r="AE3392">
        <v>4</v>
      </c>
      <c r="AF3392">
        <v>0</v>
      </c>
    </row>
    <row r="3393" spans="1:32" ht="15" x14ac:dyDescent="0.35">
      <c r="A3393" t="s">
        <v>2638</v>
      </c>
      <c r="B3393" s="1">
        <v>45845</v>
      </c>
      <c r="C3393">
        <f>YEAR(OrdersTable[[#This Row],[Order Date]])</f>
        <v>2025</v>
      </c>
      <c r="D3393" s="2">
        <f>DATE(YEAR(OrdersTable[[#This Row],[Order Date]]),MONTH(OrdersTable[[#This Row],[Order Date]]),1)</f>
        <v>45839</v>
      </c>
      <c r="E3393">
        <f>MONTH(OrdersTable[[#This Row],[Order Date]])</f>
        <v>7</v>
      </c>
      <c r="F3393" t="s">
        <v>2639</v>
      </c>
      <c r="G3393" t="str">
        <f>IF(OrdersTable[[#This Row],[Order Date]]=_xlfn.MINIFS(Order_Date, Customer_ID, OrdersTable[[#This Row],[Customer ID]]), "New", "Repeat")</f>
        <v>Repeat</v>
      </c>
      <c r="H3393" t="s">
        <v>128</v>
      </c>
      <c r="I3393" t="str">
        <f>INDEX(State!B:B,MATCH(OrdersTable[[#This Row],[State]],State!A:A,0))</f>
        <v>DL</v>
      </c>
      <c r="J3393" t="str">
        <f>INDEX(State!C:C,MATCH(OrdersTable[[#This Row],[State Code]],State!B:B,0))</f>
        <v>North</v>
      </c>
      <c r="K3393" t="s">
        <v>129</v>
      </c>
      <c r="L3393" t="s">
        <v>65</v>
      </c>
      <c r="M3393" t="s">
        <v>125</v>
      </c>
      <c r="N3393" t="str">
        <f>INDEX(Products!B:B,MATCH(OrdersTable[[#This Row],[Product ID]],Products!A:A,0))</f>
        <v>Copper Water Bottle</v>
      </c>
      <c r="O3393" t="str">
        <f>INDEX(Products!C:C,MATCH(OrdersTable[[#This Row],[Product ID]],Products!A:A,0))</f>
        <v>Home &amp; Kitchen</v>
      </c>
      <c r="P3393">
        <v>1</v>
      </c>
      <c r="Q3393" s="5">
        <v>899</v>
      </c>
      <c r="R3393" s="74">
        <v>0.1</v>
      </c>
      <c r="S3393" s="75">
        <f>OrdersTable[[#This Row],[Quantity]]*OrdersTable[[#This Row],[Unit Price]]</f>
        <v>899</v>
      </c>
      <c r="T3393" s="5">
        <f>OrdersTable[[#This Row],[Gross Sale]]*OrdersTable[[#This Row],[Discount_Clean2]]</f>
        <v>89.9</v>
      </c>
      <c r="U3393" s="5">
        <f>OrdersTable[[#This Row],[Gross Sale]]-OrdersTable[[#This Row],[Discount Amount]]</f>
        <v>809.1</v>
      </c>
      <c r="V3393" s="77">
        <f>INDEX(Products!E:E,MATCH(OrdersTable[[#This Row],[Product ID]],Products!A:A,0))</f>
        <v>378</v>
      </c>
      <c r="W3393" s="77">
        <f>OrdersTable[[#This Row],[Quantity]]*OrdersTable[[#This Row],[Unit Cost]]</f>
        <v>378</v>
      </c>
      <c r="X3393" s="77">
        <f>'Dropdown Lists'!$I$2*(1+OrdersTable[[#This Row],[Returned]])</f>
        <v>120</v>
      </c>
      <c r="Y3393" s="76">
        <f>OrdersTable[[#This Row],[Net Revenue]]-OrdersTable[[#This Row],[COGS]]-OrdersTable[[#This Row],[Shipping Cost]]</f>
        <v>311.10000000000002</v>
      </c>
      <c r="Z3393" s="78">
        <f>IFERROR(OrdersTable[[#This Row],[Profit]]/OrdersTable[[#This Row],[Net Revenue]],0)</f>
        <v>0.38450129773822767</v>
      </c>
      <c r="AA3393" t="s">
        <v>2522</v>
      </c>
      <c r="AB3393" s="79">
        <v>45847</v>
      </c>
      <c r="AC3393">
        <f>OrdersTable[[#This Row],[Delivery Date]]-OrdersTable[[#This Row],[Order Date]]</f>
        <v>2</v>
      </c>
      <c r="AD3393" t="str">
        <f>IF(OrdersTable[[#This Row],[Delivery Days]]&lt;=2, "Express (≤2d)", IF(OrdersTable[[#This Row],[Delivery Days]]&lt;=4, "Standard (3-4d)", "Delayed (5d+)"))</f>
        <v>Express (≤2d)</v>
      </c>
      <c r="AE3393">
        <v>5</v>
      </c>
      <c r="AF3393">
        <v>1</v>
      </c>
    </row>
    <row r="3394" spans="1:32" ht="15" x14ac:dyDescent="0.35">
      <c r="A3394" t="s">
        <v>3645</v>
      </c>
      <c r="B3394" s="1">
        <v>45845</v>
      </c>
      <c r="C3394">
        <f>YEAR(OrdersTable[[#This Row],[Order Date]])</f>
        <v>2025</v>
      </c>
      <c r="D3394" s="2">
        <f>DATE(YEAR(OrdersTable[[#This Row],[Order Date]]),MONTH(OrdersTable[[#This Row],[Order Date]]),1)</f>
        <v>45839</v>
      </c>
      <c r="E3394">
        <f>MONTH(OrdersTable[[#This Row],[Order Date]])</f>
        <v>7</v>
      </c>
      <c r="F3394" t="s">
        <v>2708</v>
      </c>
      <c r="G3394" t="str">
        <f>IF(OrdersTable[[#This Row],[Order Date]]=_xlfn.MINIFS(Order_Date, Customer_ID, OrdersTable[[#This Row],[Customer ID]]), "New", "Repeat")</f>
        <v>Repeat</v>
      </c>
      <c r="H3394" t="s">
        <v>71</v>
      </c>
      <c r="I3394" t="str">
        <f>INDEX(State!B:B,MATCH(OrdersTable[[#This Row],[State]],State!A:A,0))</f>
        <v>MH</v>
      </c>
      <c r="J3394" t="str">
        <f>INDEX(State!C:C,MATCH(OrdersTable[[#This Row],[State Code]],State!B:B,0))</f>
        <v>West</v>
      </c>
      <c r="K3394" t="s">
        <v>81</v>
      </c>
      <c r="L3394" t="s">
        <v>23</v>
      </c>
      <c r="M3394" t="s">
        <v>40</v>
      </c>
      <c r="N3394" t="str">
        <f>INDEX(Products!B:B,MATCH(OrdersTable[[#This Row],[Product ID]],Products!A:A,0))</f>
        <v>Ashwagandha Capsules</v>
      </c>
      <c r="O3394" t="str">
        <f>INDEX(Products!C:C,MATCH(OrdersTable[[#This Row],[Product ID]],Products!A:A,0))</f>
        <v>Wellness</v>
      </c>
      <c r="P3394">
        <v>1</v>
      </c>
      <c r="Q3394" s="5">
        <v>499</v>
      </c>
      <c r="R3394" s="74">
        <v>0</v>
      </c>
      <c r="S3394" s="75">
        <f>OrdersTable[[#This Row],[Quantity]]*OrdersTable[[#This Row],[Unit Price]]</f>
        <v>499</v>
      </c>
      <c r="T3394" s="5">
        <f>OrdersTable[[#This Row],[Gross Sale]]*OrdersTable[[#This Row],[Discount_Clean2]]</f>
        <v>0</v>
      </c>
      <c r="U3394" s="5">
        <f>OrdersTable[[#This Row],[Gross Sale]]-OrdersTable[[#This Row],[Discount Amount]]</f>
        <v>499</v>
      </c>
      <c r="V3394" s="77">
        <f>INDEX(Products!E:E,MATCH(OrdersTable[[#This Row],[Product ID]],Products!A:A,0))</f>
        <v>150</v>
      </c>
      <c r="W3394" s="77">
        <f>OrdersTable[[#This Row],[Quantity]]*OrdersTable[[#This Row],[Unit Cost]]</f>
        <v>150</v>
      </c>
      <c r="X3394" s="77">
        <f>'Dropdown Lists'!$I$2*(1+OrdersTable[[#This Row],[Returned]])</f>
        <v>60</v>
      </c>
      <c r="Y3394" s="76">
        <f>OrdersTable[[#This Row],[Net Revenue]]-OrdersTable[[#This Row],[COGS]]-OrdersTable[[#This Row],[Shipping Cost]]</f>
        <v>289</v>
      </c>
      <c r="Z3394" s="78">
        <f>IFERROR(OrdersTable[[#This Row],[Profit]]/OrdersTable[[#This Row],[Net Revenue]],0)</f>
        <v>0.57915831663326656</v>
      </c>
      <c r="AA3394" t="s">
        <v>3495</v>
      </c>
      <c r="AB3394" s="79">
        <v>45848</v>
      </c>
      <c r="AC3394">
        <f>OrdersTable[[#This Row],[Delivery Date]]-OrdersTable[[#This Row],[Order Date]]</f>
        <v>3</v>
      </c>
      <c r="AD3394" t="str">
        <f>IF(OrdersTable[[#This Row],[Delivery Days]]&lt;=2, "Express (≤2d)", IF(OrdersTable[[#This Row],[Delivery Days]]&lt;=4, "Standard (3-4d)", "Delayed (5d+)"))</f>
        <v>Standard (3-4d)</v>
      </c>
      <c r="AE3394">
        <v>4</v>
      </c>
      <c r="AF3394">
        <v>0</v>
      </c>
    </row>
    <row r="3395" spans="1:32" ht="15" x14ac:dyDescent="0.35">
      <c r="A3395" t="s">
        <v>5008</v>
      </c>
      <c r="B3395" s="1">
        <v>45845</v>
      </c>
      <c r="C3395">
        <f>YEAR(OrdersTable[[#This Row],[Order Date]])</f>
        <v>2025</v>
      </c>
      <c r="D3395" s="2">
        <f>DATE(YEAR(OrdersTable[[#This Row],[Order Date]]),MONTH(OrdersTable[[#This Row],[Order Date]]),1)</f>
        <v>45839</v>
      </c>
      <c r="E3395">
        <f>MONTH(OrdersTable[[#This Row],[Order Date]])</f>
        <v>7</v>
      </c>
      <c r="F3395" t="s">
        <v>5009</v>
      </c>
      <c r="G3395" t="str">
        <f>IF(OrdersTable[[#This Row],[Order Date]]=_xlfn.MINIFS(Order_Date, Customer_ID, OrdersTable[[#This Row],[Customer ID]]), "New", "Repeat")</f>
        <v>New</v>
      </c>
      <c r="H3395" t="s">
        <v>167</v>
      </c>
      <c r="I3395" t="str">
        <f>INDEX(State!B:B,MATCH(OrdersTable[[#This Row],[State]],State!A:A,0))</f>
        <v>KA</v>
      </c>
      <c r="J3395" t="str">
        <f>INDEX(State!C:C,MATCH(OrdersTable[[#This Row],[State Code]],State!B:B,0))</f>
        <v>South</v>
      </c>
      <c r="K3395" t="s">
        <v>190</v>
      </c>
      <c r="L3395" t="s">
        <v>65</v>
      </c>
      <c r="M3395" t="s">
        <v>24</v>
      </c>
      <c r="N3395" t="str">
        <f>INDEX(Products!B:B,MATCH(OrdersTable[[#This Row],[Product ID]],Products!A:A,0))</f>
        <v>Scented Candle Set</v>
      </c>
      <c r="O3395" t="str">
        <f>INDEX(Products!C:C,MATCH(OrdersTable[[#This Row],[Product ID]],Products!A:A,0))</f>
        <v>Home &amp; Kitchen</v>
      </c>
      <c r="P3395">
        <v>2</v>
      </c>
      <c r="Q3395" s="5">
        <v>699</v>
      </c>
      <c r="R3395" s="74">
        <v>0.2</v>
      </c>
      <c r="S3395" s="75">
        <f>OrdersTable[[#This Row],[Quantity]]*OrdersTable[[#This Row],[Unit Price]]</f>
        <v>1398</v>
      </c>
      <c r="T3395" s="5">
        <f>OrdersTable[[#This Row],[Gross Sale]]*OrdersTable[[#This Row],[Discount_Clean2]]</f>
        <v>279.60000000000002</v>
      </c>
      <c r="U3395" s="5">
        <f>OrdersTable[[#This Row],[Gross Sale]]-OrdersTable[[#This Row],[Discount Amount]]</f>
        <v>1118.4000000000001</v>
      </c>
      <c r="V3395" s="77">
        <f>INDEX(Products!E:E,MATCH(OrdersTable[[#This Row],[Product ID]],Products!A:A,0))</f>
        <v>245</v>
      </c>
      <c r="W3395" s="77">
        <f>OrdersTable[[#This Row],[Quantity]]*OrdersTable[[#This Row],[Unit Cost]]</f>
        <v>490</v>
      </c>
      <c r="X3395" s="77">
        <f>'Dropdown Lists'!$I$2*(1+OrdersTable[[#This Row],[Returned]])</f>
        <v>60</v>
      </c>
      <c r="Y3395" s="76">
        <f>OrdersTable[[#This Row],[Net Revenue]]-OrdersTable[[#This Row],[COGS]]-OrdersTable[[#This Row],[Shipping Cost]]</f>
        <v>568.40000000000009</v>
      </c>
      <c r="Z3395" s="78">
        <f>IFERROR(OrdersTable[[#This Row],[Profit]]/OrdersTable[[#This Row],[Net Revenue]],0)</f>
        <v>0.50822603719599435</v>
      </c>
      <c r="AA3395" t="s">
        <v>4074</v>
      </c>
      <c r="AB3395" s="79">
        <v>45847</v>
      </c>
      <c r="AC3395">
        <f>OrdersTable[[#This Row],[Delivery Date]]-OrdersTable[[#This Row],[Order Date]]</f>
        <v>2</v>
      </c>
      <c r="AD3395" t="str">
        <f>IF(OrdersTable[[#This Row],[Delivery Days]]&lt;=2, "Express (≤2d)", IF(OrdersTable[[#This Row],[Delivery Days]]&lt;=4, "Standard (3-4d)", "Delayed (5d+)"))</f>
        <v>Express (≤2d)</v>
      </c>
      <c r="AE3395">
        <v>5</v>
      </c>
      <c r="AF3395">
        <v>0</v>
      </c>
    </row>
    <row r="3396" spans="1:32" ht="15" x14ac:dyDescent="0.35">
      <c r="A3396" t="s">
        <v>6184</v>
      </c>
      <c r="B3396" s="1">
        <v>45846</v>
      </c>
      <c r="C3396">
        <f>YEAR(OrdersTable[[#This Row],[Order Date]])</f>
        <v>2025</v>
      </c>
      <c r="D3396" s="2">
        <f>DATE(YEAR(OrdersTable[[#This Row],[Order Date]]),MONTH(OrdersTable[[#This Row],[Order Date]]),1)</f>
        <v>45839</v>
      </c>
      <c r="E3396">
        <f>MONTH(OrdersTable[[#This Row],[Order Date]])</f>
        <v>7</v>
      </c>
      <c r="F3396" t="s">
        <v>1729</v>
      </c>
      <c r="G3396" t="str">
        <f>IF(OrdersTable[[#This Row],[Order Date]]=_xlfn.MINIFS(Order_Date, Customer_ID, OrdersTable[[#This Row],[Customer ID]]), "New", "Repeat")</f>
        <v>Repeat</v>
      </c>
      <c r="H3396" t="s">
        <v>210</v>
      </c>
      <c r="I3396" t="str">
        <f>INDEX(State!B:B,MATCH(OrdersTable[[#This Row],[State]],State!A:A,0))</f>
        <v>JK</v>
      </c>
      <c r="J3396" t="str">
        <f>INDEX(State!C:C,MATCH(OrdersTable[[#This Row],[State Code]],State!B:B,0))</f>
        <v>North</v>
      </c>
      <c r="K3396" t="s">
        <v>211</v>
      </c>
      <c r="L3396" t="s">
        <v>16</v>
      </c>
      <c r="M3396" t="s">
        <v>87</v>
      </c>
      <c r="N3396" t="str">
        <f>INDEX(Products!B:B,MATCH(OrdersTable[[#This Row],[Product ID]],Products!A:A,0))</f>
        <v>Linen Kurta</v>
      </c>
      <c r="O3396" t="str">
        <f>INDEX(Products!C:C,MATCH(OrdersTable[[#This Row],[Product ID]],Products!A:A,0))</f>
        <v>Apparel</v>
      </c>
      <c r="P3396">
        <v>2</v>
      </c>
      <c r="Q3396" s="5">
        <v>1499</v>
      </c>
      <c r="R3396" s="74">
        <v>0.35</v>
      </c>
      <c r="S3396" s="75">
        <f>OrdersTable[[#This Row],[Quantity]]*OrdersTable[[#This Row],[Unit Price]]</f>
        <v>2998</v>
      </c>
      <c r="T3396" s="5">
        <f>OrdersTable[[#This Row],[Gross Sale]]*OrdersTable[[#This Row],[Discount_Clean2]]</f>
        <v>1049.3</v>
      </c>
      <c r="U3396" s="5">
        <f>OrdersTable[[#This Row],[Gross Sale]]-OrdersTable[[#This Row],[Discount Amount]]</f>
        <v>1948.7</v>
      </c>
      <c r="V3396" s="77">
        <f>INDEX(Products!E:E,MATCH(OrdersTable[[#This Row],[Product ID]],Products!A:A,0))</f>
        <v>630</v>
      </c>
      <c r="W3396" s="77">
        <f>OrdersTable[[#This Row],[Quantity]]*OrdersTable[[#This Row],[Unit Cost]]</f>
        <v>1260</v>
      </c>
      <c r="X3396" s="77">
        <f>'Dropdown Lists'!$I$2*(1+OrdersTable[[#This Row],[Returned]])</f>
        <v>60</v>
      </c>
      <c r="Y3396" s="76">
        <f>OrdersTable[[#This Row],[Net Revenue]]-OrdersTable[[#This Row],[COGS]]-OrdersTable[[#This Row],[Shipping Cost]]</f>
        <v>628.70000000000005</v>
      </c>
      <c r="Z3396" s="78">
        <f>IFERROR(OrdersTable[[#This Row],[Profit]]/OrdersTable[[#This Row],[Net Revenue]],0)</f>
        <v>0.32262533997023657</v>
      </c>
      <c r="AA3396" t="s">
        <v>18</v>
      </c>
      <c r="AB3396" s="79">
        <v>45852</v>
      </c>
      <c r="AC3396">
        <f>OrdersTable[[#This Row],[Delivery Date]]-OrdersTable[[#This Row],[Order Date]]</f>
        <v>6</v>
      </c>
      <c r="AD3396" t="str">
        <f>IF(OrdersTable[[#This Row],[Delivery Days]]&lt;=2, "Express (≤2d)", IF(OrdersTable[[#This Row],[Delivery Days]]&lt;=4, "Standard (3-4d)", "Delayed (5d+)"))</f>
        <v>Delayed (5d+)</v>
      </c>
      <c r="AE3396">
        <v>4</v>
      </c>
      <c r="AF3396">
        <v>0</v>
      </c>
    </row>
    <row r="3397" spans="1:32" ht="15" x14ac:dyDescent="0.35">
      <c r="A3397" t="s">
        <v>1003</v>
      </c>
      <c r="B3397" s="1">
        <v>45846</v>
      </c>
      <c r="C3397">
        <f>YEAR(OrdersTable[[#This Row],[Order Date]])</f>
        <v>2025</v>
      </c>
      <c r="D3397" s="2">
        <f>DATE(YEAR(OrdersTable[[#This Row],[Order Date]]),MONTH(OrdersTable[[#This Row],[Order Date]]),1)</f>
        <v>45839</v>
      </c>
      <c r="E3397">
        <f>MONTH(OrdersTable[[#This Row],[Order Date]])</f>
        <v>7</v>
      </c>
      <c r="F3397" t="s">
        <v>737</v>
      </c>
      <c r="G3397" t="str">
        <f>IF(OrdersTable[[#This Row],[Order Date]]=_xlfn.MINIFS(Order_Date, Customer_ID, OrdersTable[[#This Row],[Customer ID]]), "New", "Repeat")</f>
        <v>Repeat</v>
      </c>
      <c r="H3397" t="s">
        <v>128</v>
      </c>
      <c r="I3397" t="str">
        <f>INDEX(State!B:B,MATCH(OrdersTable[[#This Row],[State]],State!A:A,0))</f>
        <v>DL</v>
      </c>
      <c r="J3397" t="str">
        <f>INDEX(State!C:C,MATCH(OrdersTable[[#This Row],[State Code]],State!B:B,0))</f>
        <v>North</v>
      </c>
      <c r="K3397" t="s">
        <v>129</v>
      </c>
      <c r="L3397" t="s">
        <v>23</v>
      </c>
      <c r="M3397" t="s">
        <v>66</v>
      </c>
      <c r="N3397" t="str">
        <f>INDEX(Products!B:B,MATCH(OrdersTable[[#This Row],[Product ID]],Products!A:A,0))</f>
        <v>Sunscreen SPF 50</v>
      </c>
      <c r="O3397" t="str">
        <f>INDEX(Products!C:C,MATCH(OrdersTable[[#This Row],[Product ID]],Products!A:A,0))</f>
        <v>Skincare</v>
      </c>
      <c r="P3397">
        <v>1</v>
      </c>
      <c r="Q3397" s="5">
        <v>449</v>
      </c>
      <c r="R3397" s="74">
        <v>0</v>
      </c>
      <c r="S3397" s="75">
        <f>OrdersTable[[#This Row],[Quantity]]*OrdersTable[[#This Row],[Unit Price]]</f>
        <v>449</v>
      </c>
      <c r="T3397" s="5">
        <f>OrdersTable[[#This Row],[Gross Sale]]*OrdersTable[[#This Row],[Discount_Clean2]]</f>
        <v>0</v>
      </c>
      <c r="U3397" s="5">
        <f>OrdersTable[[#This Row],[Gross Sale]]-OrdersTable[[#This Row],[Discount Amount]]</f>
        <v>449</v>
      </c>
      <c r="V3397" s="77">
        <f>INDEX(Products!E:E,MATCH(OrdersTable[[#This Row],[Product ID]],Products!A:A,0))</f>
        <v>144</v>
      </c>
      <c r="W3397" s="77">
        <f>OrdersTable[[#This Row],[Quantity]]*OrdersTable[[#This Row],[Unit Cost]]</f>
        <v>144</v>
      </c>
      <c r="X3397" s="77">
        <f>'Dropdown Lists'!$I$2*(1+OrdersTable[[#This Row],[Returned]])</f>
        <v>60</v>
      </c>
      <c r="Y3397" s="76">
        <f>OrdersTable[[#This Row],[Net Revenue]]-OrdersTable[[#This Row],[COGS]]-OrdersTable[[#This Row],[Shipping Cost]]</f>
        <v>245</v>
      </c>
      <c r="Z3397" s="78">
        <f>IFERROR(OrdersTable[[#This Row],[Profit]]/OrdersTable[[#This Row],[Net Revenue]],0)</f>
        <v>0.54565701559020041</v>
      </c>
      <c r="AA3397" t="s">
        <v>18</v>
      </c>
      <c r="AB3397" s="79">
        <v>45848</v>
      </c>
      <c r="AC3397">
        <f>OrdersTable[[#This Row],[Delivery Date]]-OrdersTable[[#This Row],[Order Date]]</f>
        <v>2</v>
      </c>
      <c r="AD3397" t="str">
        <f>IF(OrdersTable[[#This Row],[Delivery Days]]&lt;=2, "Express (≤2d)", IF(OrdersTable[[#This Row],[Delivery Days]]&lt;=4, "Standard (3-4d)", "Delayed (5d+)"))</f>
        <v>Express (≤2d)</v>
      </c>
      <c r="AE3397">
        <v>4</v>
      </c>
      <c r="AF3397">
        <v>0</v>
      </c>
    </row>
    <row r="3398" spans="1:32" ht="15" x14ac:dyDescent="0.35">
      <c r="A3398" t="s">
        <v>4038</v>
      </c>
      <c r="B3398" s="1">
        <v>45846</v>
      </c>
      <c r="C3398">
        <f>YEAR(OrdersTable[[#This Row],[Order Date]])</f>
        <v>2025</v>
      </c>
      <c r="D3398" s="2">
        <f>DATE(YEAR(OrdersTable[[#This Row],[Order Date]]),MONTH(OrdersTable[[#This Row],[Order Date]]),1)</f>
        <v>45839</v>
      </c>
      <c r="E3398">
        <f>MONTH(OrdersTable[[#This Row],[Order Date]])</f>
        <v>7</v>
      </c>
      <c r="F3398" t="s">
        <v>4039</v>
      </c>
      <c r="G3398" t="str">
        <f>IF(OrdersTable[[#This Row],[Order Date]]=_xlfn.MINIFS(Order_Date, Customer_ID, OrdersTable[[#This Row],[Customer ID]]), "New", "Repeat")</f>
        <v>New</v>
      </c>
      <c r="H3398" t="s">
        <v>37</v>
      </c>
      <c r="I3398" t="str">
        <f>INDEX(State!B:B,MATCH(OrdersTable[[#This Row],[State]],State!A:A,0))</f>
        <v>GJ</v>
      </c>
      <c r="J3398" t="str">
        <f>INDEX(State!C:C,MATCH(OrdersTable[[#This Row],[State Code]],State!B:B,0))</f>
        <v>West</v>
      </c>
      <c r="K3398" t="s">
        <v>38</v>
      </c>
      <c r="L3398" t="s">
        <v>23</v>
      </c>
      <c r="M3398" t="s">
        <v>56</v>
      </c>
      <c r="N3398" t="str">
        <f>INDEX(Products!B:B,MATCH(OrdersTable[[#This Row],[Product ID]],Products!A:A,0))</f>
        <v>Vitamin C Face Serum</v>
      </c>
      <c r="O3398" t="str">
        <f>INDEX(Products!C:C,MATCH(OrdersTable[[#This Row],[Product ID]],Products!A:A,0))</f>
        <v>Skincare</v>
      </c>
      <c r="P3398">
        <v>1</v>
      </c>
      <c r="Q3398" s="5">
        <v>599</v>
      </c>
      <c r="R3398" s="74">
        <v>0.25</v>
      </c>
      <c r="S3398" s="75">
        <f>OrdersTable[[#This Row],[Quantity]]*OrdersTable[[#This Row],[Unit Price]]</f>
        <v>599</v>
      </c>
      <c r="T3398" s="5">
        <f>OrdersTable[[#This Row],[Gross Sale]]*OrdersTable[[#This Row],[Discount_Clean2]]</f>
        <v>149.75</v>
      </c>
      <c r="U3398" s="5">
        <f>OrdersTable[[#This Row],[Gross Sale]]-OrdersTable[[#This Row],[Discount Amount]]</f>
        <v>449.25</v>
      </c>
      <c r="V3398" s="77">
        <f>INDEX(Products!E:E,MATCH(OrdersTable[[#This Row],[Product ID]],Products!A:A,0))</f>
        <v>180</v>
      </c>
      <c r="W3398" s="77">
        <f>OrdersTable[[#This Row],[Quantity]]*OrdersTable[[#This Row],[Unit Cost]]</f>
        <v>180</v>
      </c>
      <c r="X3398" s="77">
        <f>'Dropdown Lists'!$I$2*(1+OrdersTable[[#This Row],[Returned]])</f>
        <v>60</v>
      </c>
      <c r="Y3398" s="76">
        <f>OrdersTable[[#This Row],[Net Revenue]]-OrdersTable[[#This Row],[COGS]]-OrdersTable[[#This Row],[Shipping Cost]]</f>
        <v>209.25</v>
      </c>
      <c r="Z3398" s="78">
        <f>IFERROR(OrdersTable[[#This Row],[Profit]]/OrdersTable[[#This Row],[Net Revenue]],0)</f>
        <v>0.46577629382303842</v>
      </c>
      <c r="AA3398" t="s">
        <v>3495</v>
      </c>
      <c r="AB3398" s="79">
        <v>45847</v>
      </c>
      <c r="AC3398">
        <f>OrdersTable[[#This Row],[Delivery Date]]-OrdersTable[[#This Row],[Order Date]]</f>
        <v>1</v>
      </c>
      <c r="AD3398" t="str">
        <f>IF(OrdersTable[[#This Row],[Delivery Days]]&lt;=2, "Express (≤2d)", IF(OrdersTable[[#This Row],[Delivery Days]]&lt;=4, "Standard (3-4d)", "Delayed (5d+)"))</f>
        <v>Express (≤2d)</v>
      </c>
      <c r="AE3398">
        <v>5</v>
      </c>
      <c r="AF3398">
        <v>0</v>
      </c>
    </row>
    <row r="3399" spans="1:32" ht="15" x14ac:dyDescent="0.35">
      <c r="A3399" t="s">
        <v>2640</v>
      </c>
      <c r="B3399" s="1">
        <v>45846</v>
      </c>
      <c r="C3399">
        <f>YEAR(OrdersTable[[#This Row],[Order Date]])</f>
        <v>2025</v>
      </c>
      <c r="D3399" s="2">
        <f>DATE(YEAR(OrdersTable[[#This Row],[Order Date]]),MONTH(OrdersTable[[#This Row],[Order Date]]),1)</f>
        <v>45839</v>
      </c>
      <c r="E3399">
        <f>MONTH(OrdersTable[[#This Row],[Order Date]])</f>
        <v>7</v>
      </c>
      <c r="F3399" t="s">
        <v>2010</v>
      </c>
      <c r="G3399" t="str">
        <f>IF(OrdersTable[[#This Row],[Order Date]]=_xlfn.MINIFS(Order_Date, Customer_ID, OrdersTable[[#This Row],[Customer ID]]), "New", "Repeat")</f>
        <v>Repeat</v>
      </c>
      <c r="H3399" t="s">
        <v>27</v>
      </c>
      <c r="I3399" t="str">
        <f>INDEX(State!B:B,MATCH(OrdersTable[[#This Row],[State]],State!A:A,0))</f>
        <v>WB</v>
      </c>
      <c r="J3399" t="str">
        <f>INDEX(State!C:C,MATCH(OrdersTable[[#This Row],[State Code]],State!B:B,0))</f>
        <v>East</v>
      </c>
      <c r="K3399" t="s">
        <v>28</v>
      </c>
      <c r="L3399" t="s">
        <v>23</v>
      </c>
      <c r="M3399" t="s">
        <v>24</v>
      </c>
      <c r="N3399" t="str">
        <f>INDEX(Products!B:B,MATCH(OrdersTable[[#This Row],[Product ID]],Products!A:A,0))</f>
        <v>Scented Candle Set</v>
      </c>
      <c r="O3399" t="str">
        <f>INDEX(Products!C:C,MATCH(OrdersTable[[#This Row],[Product ID]],Products!A:A,0))</f>
        <v>Home &amp; Kitchen</v>
      </c>
      <c r="P3399">
        <v>1</v>
      </c>
      <c r="Q3399" s="5">
        <v>699</v>
      </c>
      <c r="R3399" s="74">
        <v>0.2</v>
      </c>
      <c r="S3399" s="75">
        <f>OrdersTable[[#This Row],[Quantity]]*OrdersTable[[#This Row],[Unit Price]]</f>
        <v>699</v>
      </c>
      <c r="T3399" s="5">
        <f>OrdersTable[[#This Row],[Gross Sale]]*OrdersTable[[#This Row],[Discount_Clean2]]</f>
        <v>139.80000000000001</v>
      </c>
      <c r="U3399" s="5">
        <f>OrdersTable[[#This Row],[Gross Sale]]-OrdersTable[[#This Row],[Discount Amount]]</f>
        <v>559.20000000000005</v>
      </c>
      <c r="V3399" s="77">
        <f>INDEX(Products!E:E,MATCH(OrdersTable[[#This Row],[Product ID]],Products!A:A,0))</f>
        <v>245</v>
      </c>
      <c r="W3399" s="77">
        <f>OrdersTable[[#This Row],[Quantity]]*OrdersTable[[#This Row],[Unit Cost]]</f>
        <v>245</v>
      </c>
      <c r="X3399" s="77">
        <f>'Dropdown Lists'!$I$2*(1+OrdersTable[[#This Row],[Returned]])</f>
        <v>60</v>
      </c>
      <c r="Y3399" s="76">
        <f>OrdersTable[[#This Row],[Net Revenue]]-OrdersTable[[#This Row],[COGS]]-OrdersTable[[#This Row],[Shipping Cost]]</f>
        <v>254.20000000000005</v>
      </c>
      <c r="Z3399" s="78">
        <f>IFERROR(OrdersTable[[#This Row],[Profit]]/OrdersTable[[#This Row],[Net Revenue]],0)</f>
        <v>0.45457796852646642</v>
      </c>
      <c r="AA3399" t="s">
        <v>2522</v>
      </c>
      <c r="AB3399" s="79">
        <v>45847</v>
      </c>
      <c r="AC3399">
        <f>OrdersTable[[#This Row],[Delivery Date]]-OrdersTable[[#This Row],[Order Date]]</f>
        <v>1</v>
      </c>
      <c r="AD3399" t="str">
        <f>IF(OrdersTable[[#This Row],[Delivery Days]]&lt;=2, "Express (≤2d)", IF(OrdersTable[[#This Row],[Delivery Days]]&lt;=4, "Standard (3-4d)", "Delayed (5d+)"))</f>
        <v>Express (≤2d)</v>
      </c>
      <c r="AE3399">
        <v>5</v>
      </c>
      <c r="AF3399">
        <v>0</v>
      </c>
    </row>
    <row r="3400" spans="1:32" ht="15" x14ac:dyDescent="0.35">
      <c r="A3400" t="s">
        <v>3786</v>
      </c>
      <c r="B3400" s="1">
        <v>45846</v>
      </c>
      <c r="C3400">
        <f>YEAR(OrdersTable[[#This Row],[Order Date]])</f>
        <v>2025</v>
      </c>
      <c r="D3400" s="2">
        <f>DATE(YEAR(OrdersTable[[#This Row],[Order Date]]),MONTH(OrdersTable[[#This Row],[Order Date]]),1)</f>
        <v>45839</v>
      </c>
      <c r="E3400">
        <f>MONTH(OrdersTable[[#This Row],[Order Date]])</f>
        <v>7</v>
      </c>
      <c r="F3400" t="s">
        <v>2575</v>
      </c>
      <c r="G3400" t="str">
        <f>IF(OrdersTable[[#This Row],[Order Date]]=_xlfn.MINIFS(Order_Date, Customer_ID, OrdersTable[[#This Row],[Customer ID]]), "New", "Repeat")</f>
        <v>Repeat</v>
      </c>
      <c r="H3400" t="s">
        <v>59</v>
      </c>
      <c r="I3400" t="str">
        <f>INDEX(State!B:B,MATCH(OrdersTable[[#This Row],[State]],State!A:A,0))</f>
        <v>TN</v>
      </c>
      <c r="J3400" t="str">
        <f>INDEX(State!C:C,MATCH(OrdersTable[[#This Row],[State Code]],State!B:B,0))</f>
        <v>South</v>
      </c>
      <c r="K3400" t="s">
        <v>64</v>
      </c>
      <c r="L3400" t="s">
        <v>50</v>
      </c>
      <c r="M3400" t="s">
        <v>45</v>
      </c>
      <c r="N3400" t="str">
        <f>INDEX(Products!B:B,MATCH(OrdersTable[[#This Row],[Product ID]],Products!A:A,0))</f>
        <v>Argan Shampoo</v>
      </c>
      <c r="O3400" t="str">
        <f>INDEX(Products!C:C,MATCH(OrdersTable[[#This Row],[Product ID]],Products!A:A,0))</f>
        <v>Haircare</v>
      </c>
      <c r="P3400">
        <v>1</v>
      </c>
      <c r="Q3400" s="5">
        <v>449</v>
      </c>
      <c r="R3400" s="74">
        <v>0</v>
      </c>
      <c r="S3400" s="75">
        <f>OrdersTable[[#This Row],[Quantity]]*OrdersTable[[#This Row],[Unit Price]]</f>
        <v>449</v>
      </c>
      <c r="T3400" s="5">
        <f>OrdersTable[[#This Row],[Gross Sale]]*OrdersTable[[#This Row],[Discount_Clean2]]</f>
        <v>0</v>
      </c>
      <c r="U3400" s="5">
        <f>OrdersTable[[#This Row],[Gross Sale]]-OrdersTable[[#This Row],[Discount Amount]]</f>
        <v>449</v>
      </c>
      <c r="V3400" s="77">
        <f>INDEX(Products!E:E,MATCH(OrdersTable[[#This Row],[Product ID]],Products!A:A,0))</f>
        <v>148</v>
      </c>
      <c r="W3400" s="77">
        <f>OrdersTable[[#This Row],[Quantity]]*OrdersTable[[#This Row],[Unit Cost]]</f>
        <v>148</v>
      </c>
      <c r="X3400" s="77">
        <f>'Dropdown Lists'!$I$2*(1+OrdersTable[[#This Row],[Returned]])</f>
        <v>60</v>
      </c>
      <c r="Y3400" s="76">
        <f>OrdersTable[[#This Row],[Net Revenue]]-OrdersTable[[#This Row],[COGS]]-OrdersTable[[#This Row],[Shipping Cost]]</f>
        <v>241</v>
      </c>
      <c r="Z3400" s="78">
        <f>IFERROR(OrdersTable[[#This Row],[Profit]]/OrdersTable[[#This Row],[Net Revenue]],0)</f>
        <v>0.53674832962138086</v>
      </c>
      <c r="AA3400" t="s">
        <v>3495</v>
      </c>
      <c r="AB3400" s="79">
        <v>45849</v>
      </c>
      <c r="AC3400">
        <f>OrdersTable[[#This Row],[Delivery Date]]-OrdersTable[[#This Row],[Order Date]]</f>
        <v>3</v>
      </c>
      <c r="AD3400" t="str">
        <f>IF(OrdersTable[[#This Row],[Delivery Days]]&lt;=2, "Express (≤2d)", IF(OrdersTable[[#This Row],[Delivery Days]]&lt;=4, "Standard (3-4d)", "Delayed (5d+)"))</f>
        <v>Standard (3-4d)</v>
      </c>
      <c r="AF3400">
        <v>0</v>
      </c>
    </row>
    <row r="3401" spans="1:32" ht="15" x14ac:dyDescent="0.35">
      <c r="A3401" t="s">
        <v>5963</v>
      </c>
      <c r="B3401" s="1">
        <v>45847</v>
      </c>
      <c r="C3401">
        <f>YEAR(OrdersTable[[#This Row],[Order Date]])</f>
        <v>2025</v>
      </c>
      <c r="D3401" s="2">
        <f>DATE(YEAR(OrdersTable[[#This Row],[Order Date]]),MONTH(OrdersTable[[#This Row],[Order Date]]),1)</f>
        <v>45839</v>
      </c>
      <c r="E3401">
        <f>MONTH(OrdersTable[[#This Row],[Order Date]])</f>
        <v>7</v>
      </c>
      <c r="F3401" t="s">
        <v>1662</v>
      </c>
      <c r="G3401" t="str">
        <f>IF(OrdersTable[[#This Row],[Order Date]]=_xlfn.MINIFS(Order_Date, Customer_ID, OrdersTable[[#This Row],[Customer ID]]), "New", "Repeat")</f>
        <v>Repeat</v>
      </c>
      <c r="H3401" t="s">
        <v>210</v>
      </c>
      <c r="I3401" t="str">
        <f>INDEX(State!B:B,MATCH(OrdersTable[[#This Row],[State]],State!A:A,0))</f>
        <v>JK</v>
      </c>
      <c r="J3401" t="str">
        <f>INDEX(State!C:C,MATCH(OrdersTable[[#This Row],[State Code]],State!B:B,0))</f>
        <v>North</v>
      </c>
      <c r="K3401" t="s">
        <v>415</v>
      </c>
      <c r="L3401" t="s">
        <v>39</v>
      </c>
      <c r="M3401" t="s">
        <v>148</v>
      </c>
      <c r="N3401" t="str">
        <f>INDEX(Products!B:B,MATCH(OrdersTable[[#This Row],[Product ID]],Products!A:A,0))</f>
        <v>Smartwatch Strap</v>
      </c>
      <c r="O3401" t="str">
        <f>INDEX(Products!C:C,MATCH(OrdersTable[[#This Row],[Product ID]],Products!A:A,0))</f>
        <v>Electronics</v>
      </c>
      <c r="P3401">
        <v>2</v>
      </c>
      <c r="Q3401" s="5">
        <v>499</v>
      </c>
      <c r="R3401" s="74">
        <v>0.15</v>
      </c>
      <c r="S3401" s="75">
        <f>OrdersTable[[#This Row],[Quantity]]*OrdersTable[[#This Row],[Unit Price]]</f>
        <v>998</v>
      </c>
      <c r="T3401" s="5">
        <f>OrdersTable[[#This Row],[Gross Sale]]*OrdersTable[[#This Row],[Discount_Clean2]]</f>
        <v>149.69999999999999</v>
      </c>
      <c r="U3401" s="5">
        <f>OrdersTable[[#This Row],[Gross Sale]]-OrdersTable[[#This Row],[Discount Amount]]</f>
        <v>848.3</v>
      </c>
      <c r="V3401" s="77">
        <f>INDEX(Products!E:E,MATCH(OrdersTable[[#This Row],[Product ID]],Products!A:A,0))</f>
        <v>200</v>
      </c>
      <c r="W3401" s="77">
        <f>OrdersTable[[#This Row],[Quantity]]*OrdersTable[[#This Row],[Unit Cost]]</f>
        <v>400</v>
      </c>
      <c r="X3401" s="77">
        <f>'Dropdown Lists'!$I$2*(1+OrdersTable[[#This Row],[Returned]])</f>
        <v>60</v>
      </c>
      <c r="Y3401" s="76">
        <f>OrdersTable[[#This Row],[Net Revenue]]-OrdersTable[[#This Row],[COGS]]-OrdersTable[[#This Row],[Shipping Cost]]</f>
        <v>388.29999999999995</v>
      </c>
      <c r="Z3401" s="78">
        <f>IFERROR(OrdersTable[[#This Row],[Profit]]/OrdersTable[[#This Row],[Net Revenue]],0)</f>
        <v>0.45773900742661794</v>
      </c>
      <c r="AA3401" t="s">
        <v>18</v>
      </c>
      <c r="AB3401" s="79">
        <v>45854</v>
      </c>
      <c r="AC3401">
        <f>OrdersTable[[#This Row],[Delivery Date]]-OrdersTable[[#This Row],[Order Date]]</f>
        <v>7</v>
      </c>
      <c r="AD3401" t="str">
        <f>IF(OrdersTable[[#This Row],[Delivery Days]]&lt;=2, "Express (≤2d)", IF(OrdersTable[[#This Row],[Delivery Days]]&lt;=4, "Standard (3-4d)", "Delayed (5d+)"))</f>
        <v>Delayed (5d+)</v>
      </c>
      <c r="AF3401">
        <v>0</v>
      </c>
    </row>
    <row r="3402" spans="1:32" ht="15" x14ac:dyDescent="0.35">
      <c r="A3402" t="s">
        <v>1288</v>
      </c>
      <c r="B3402" s="1">
        <v>45847</v>
      </c>
      <c r="C3402">
        <f>YEAR(OrdersTable[[#This Row],[Order Date]])</f>
        <v>2025</v>
      </c>
      <c r="D3402" s="2">
        <f>DATE(YEAR(OrdersTable[[#This Row],[Order Date]]),MONTH(OrdersTable[[#This Row],[Order Date]]),1)</f>
        <v>45839</v>
      </c>
      <c r="E3402">
        <f>MONTH(OrdersTable[[#This Row],[Order Date]])</f>
        <v>7</v>
      </c>
      <c r="F3402" t="s">
        <v>1289</v>
      </c>
      <c r="G3402" t="str">
        <f>IF(OrdersTable[[#This Row],[Order Date]]=_xlfn.MINIFS(Order_Date, Customer_ID, OrdersTable[[#This Row],[Customer ID]]), "New", "Repeat")</f>
        <v>Repeat</v>
      </c>
      <c r="H3402" t="s">
        <v>21</v>
      </c>
      <c r="I3402" t="str">
        <f>INDEX(State!B:B,MATCH(OrdersTable[[#This Row],[State]],State!A:A,0))</f>
        <v>PB</v>
      </c>
      <c r="J3402" t="str">
        <f>INDEX(State!C:C,MATCH(OrdersTable[[#This Row],[State Code]],State!B:B,0))</f>
        <v>North</v>
      </c>
      <c r="K3402" t="s">
        <v>22</v>
      </c>
      <c r="L3402" t="s">
        <v>16</v>
      </c>
      <c r="M3402" t="s">
        <v>92</v>
      </c>
      <c r="N3402" t="str">
        <f>INDEX(Products!B:B,MATCH(OrdersTable[[#This Row],[Product ID]],Products!A:A,0))</f>
        <v>Kolhapuri Sandals</v>
      </c>
      <c r="O3402" t="str">
        <f>INDEX(Products!C:C,MATCH(OrdersTable[[#This Row],[Product ID]],Products!A:A,0))</f>
        <v>Footwear</v>
      </c>
      <c r="P3402">
        <v>1</v>
      </c>
      <c r="Q3402" s="5">
        <v>999</v>
      </c>
      <c r="R3402" s="74">
        <v>0.1</v>
      </c>
      <c r="S3402" s="75">
        <f>OrdersTable[[#This Row],[Quantity]]*OrdersTable[[#This Row],[Unit Price]]</f>
        <v>999</v>
      </c>
      <c r="T3402" s="5">
        <f>OrdersTable[[#This Row],[Gross Sale]]*OrdersTable[[#This Row],[Discount_Clean2]]</f>
        <v>99.9</v>
      </c>
      <c r="U3402" s="5">
        <f>OrdersTable[[#This Row],[Gross Sale]]-OrdersTable[[#This Row],[Discount Amount]]</f>
        <v>899.1</v>
      </c>
      <c r="V3402" s="77">
        <f>INDEX(Products!E:E,MATCH(OrdersTable[[#This Row],[Product ID]],Products!A:A,0))</f>
        <v>400</v>
      </c>
      <c r="W3402" s="77">
        <f>OrdersTable[[#This Row],[Quantity]]*OrdersTable[[#This Row],[Unit Cost]]</f>
        <v>400</v>
      </c>
      <c r="X3402" s="77">
        <f>'Dropdown Lists'!$I$2*(1+OrdersTable[[#This Row],[Returned]])</f>
        <v>60</v>
      </c>
      <c r="Y3402" s="76">
        <f>OrdersTable[[#This Row],[Net Revenue]]-OrdersTable[[#This Row],[COGS]]-OrdersTable[[#This Row],[Shipping Cost]]</f>
        <v>439.1</v>
      </c>
      <c r="Z3402" s="78">
        <f>IFERROR(OrdersTable[[#This Row],[Profit]]/OrdersTable[[#This Row],[Net Revenue]],0)</f>
        <v>0.48837726615504395</v>
      </c>
      <c r="AA3402" t="s">
        <v>18</v>
      </c>
      <c r="AB3402" s="79">
        <v>45850</v>
      </c>
      <c r="AC3402">
        <f>OrdersTable[[#This Row],[Delivery Date]]-OrdersTable[[#This Row],[Order Date]]</f>
        <v>3</v>
      </c>
      <c r="AD3402" t="str">
        <f>IF(OrdersTable[[#This Row],[Delivery Days]]&lt;=2, "Express (≤2d)", IF(OrdersTable[[#This Row],[Delivery Days]]&lt;=4, "Standard (3-4d)", "Delayed (5d+)"))</f>
        <v>Standard (3-4d)</v>
      </c>
      <c r="AF3402">
        <v>0</v>
      </c>
    </row>
    <row r="3403" spans="1:32" ht="15" x14ac:dyDescent="0.35">
      <c r="A3403" t="s">
        <v>3310</v>
      </c>
      <c r="B3403" s="1">
        <v>45847</v>
      </c>
      <c r="C3403">
        <f>YEAR(OrdersTable[[#This Row],[Order Date]])</f>
        <v>2025</v>
      </c>
      <c r="D3403" s="2">
        <f>DATE(YEAR(OrdersTable[[#This Row],[Order Date]]),MONTH(OrdersTable[[#This Row],[Order Date]]),1)</f>
        <v>45839</v>
      </c>
      <c r="E3403">
        <f>MONTH(OrdersTable[[#This Row],[Order Date]])</f>
        <v>7</v>
      </c>
      <c r="F3403" t="s">
        <v>3311</v>
      </c>
      <c r="G3403" t="str">
        <f>IF(OrdersTable[[#This Row],[Order Date]]=_xlfn.MINIFS(Order_Date, Customer_ID, OrdersTable[[#This Row],[Customer ID]]), "New", "Repeat")</f>
        <v>New</v>
      </c>
      <c r="H3403" t="s">
        <v>54</v>
      </c>
      <c r="I3403" t="str">
        <f>INDEX(State!B:B,MATCH(OrdersTable[[#This Row],[State]],State!A:A,0))</f>
        <v>RJ</v>
      </c>
      <c r="J3403" t="str">
        <f>INDEX(State!C:C,MATCH(OrdersTable[[#This Row],[State Code]],State!B:B,0))</f>
        <v>North</v>
      </c>
      <c r="K3403" t="s">
        <v>227</v>
      </c>
      <c r="L3403" t="s">
        <v>16</v>
      </c>
      <c r="M3403" t="s">
        <v>255</v>
      </c>
      <c r="N3403" t="str">
        <f>INDEX(Products!B:B,MATCH(OrdersTable[[#This Row],[Product ID]],Products!A:A,0))</f>
        <v>Cotton Oversized T-Shirt</v>
      </c>
      <c r="O3403" t="str">
        <f>INDEX(Products!C:C,MATCH(OrdersTable[[#This Row],[Product ID]],Products!A:A,0))</f>
        <v>Apparel</v>
      </c>
      <c r="P3403">
        <v>1</v>
      </c>
      <c r="Q3403" s="5">
        <v>799</v>
      </c>
      <c r="R3403" s="74">
        <v>0.1</v>
      </c>
      <c r="S3403" s="75">
        <f>OrdersTable[[#This Row],[Quantity]]*OrdersTable[[#This Row],[Unit Price]]</f>
        <v>799</v>
      </c>
      <c r="T3403" s="5">
        <f>OrdersTable[[#This Row],[Gross Sale]]*OrdersTable[[#This Row],[Discount_Clean2]]</f>
        <v>79.900000000000006</v>
      </c>
      <c r="U3403" s="5">
        <f>OrdersTable[[#This Row],[Gross Sale]]-OrdersTable[[#This Row],[Discount Amount]]</f>
        <v>719.1</v>
      </c>
      <c r="V3403" s="77">
        <f>INDEX(Products!E:E,MATCH(OrdersTable[[#This Row],[Product ID]],Products!A:A,0))</f>
        <v>320</v>
      </c>
      <c r="W3403" s="77">
        <f>OrdersTable[[#This Row],[Quantity]]*OrdersTable[[#This Row],[Unit Cost]]</f>
        <v>320</v>
      </c>
      <c r="X3403" s="77">
        <f>'Dropdown Lists'!$I$2*(1+OrdersTable[[#This Row],[Returned]])</f>
        <v>60</v>
      </c>
      <c r="Y3403" s="76">
        <f>OrdersTable[[#This Row],[Net Revenue]]-OrdersTable[[#This Row],[COGS]]-OrdersTable[[#This Row],[Shipping Cost]]</f>
        <v>339.1</v>
      </c>
      <c r="Z3403" s="78">
        <f>IFERROR(OrdersTable[[#This Row],[Profit]]/OrdersTable[[#This Row],[Net Revenue]],0)</f>
        <v>0.47156167431511614</v>
      </c>
      <c r="AA3403" t="s">
        <v>2522</v>
      </c>
      <c r="AB3403" s="79">
        <v>45851</v>
      </c>
      <c r="AC3403">
        <f>OrdersTable[[#This Row],[Delivery Date]]-OrdersTable[[#This Row],[Order Date]]</f>
        <v>4</v>
      </c>
      <c r="AD3403" t="str">
        <f>IF(OrdersTable[[#This Row],[Delivery Days]]&lt;=2, "Express (≤2d)", IF(OrdersTable[[#This Row],[Delivery Days]]&lt;=4, "Standard (3-4d)", "Delayed (5d+)"))</f>
        <v>Standard (3-4d)</v>
      </c>
      <c r="AE3403">
        <v>4</v>
      </c>
      <c r="AF3403">
        <v>0</v>
      </c>
    </row>
    <row r="3404" spans="1:32" ht="15" x14ac:dyDescent="0.35">
      <c r="A3404" t="s">
        <v>630</v>
      </c>
      <c r="B3404" s="1">
        <v>45847</v>
      </c>
      <c r="C3404">
        <f>YEAR(OrdersTable[[#This Row],[Order Date]])</f>
        <v>2025</v>
      </c>
      <c r="D3404" s="2">
        <f>DATE(YEAR(OrdersTable[[#This Row],[Order Date]]),MONTH(OrdersTable[[#This Row],[Order Date]]),1)</f>
        <v>45839</v>
      </c>
      <c r="E3404">
        <f>MONTH(OrdersTable[[#This Row],[Order Date]])</f>
        <v>7</v>
      </c>
      <c r="F3404" t="s">
        <v>631</v>
      </c>
      <c r="G3404" t="str">
        <f>IF(OrdersTable[[#This Row],[Order Date]]=_xlfn.MINIFS(Order_Date, Customer_ID, OrdersTable[[#This Row],[Customer ID]]), "New", "Repeat")</f>
        <v>Repeat</v>
      </c>
      <c r="H3404" t="s">
        <v>48</v>
      </c>
      <c r="I3404" t="str">
        <f>INDEX(State!B:B,MATCH(OrdersTable[[#This Row],[State]],State!A:A,0))</f>
        <v>HR</v>
      </c>
      <c r="J3404" t="str">
        <f>INDEX(State!C:C,MATCH(OrdersTable[[#This Row],[State Code]],State!B:B,0))</f>
        <v>North</v>
      </c>
      <c r="K3404" t="s">
        <v>49</v>
      </c>
      <c r="L3404" t="s">
        <v>65</v>
      </c>
      <c r="M3404" t="s">
        <v>106</v>
      </c>
      <c r="N3404" t="str">
        <f>INDEX(Products!B:B,MATCH(OrdersTable[[#This Row],[Product ID]],Products!A:A,0))</f>
        <v>Keratin Hair Mask</v>
      </c>
      <c r="O3404" t="str">
        <f>INDEX(Products!C:C,MATCH(OrdersTable[[#This Row],[Product ID]],Products!A:A,0))</f>
        <v>Haircare</v>
      </c>
      <c r="P3404">
        <v>1</v>
      </c>
      <c r="Q3404" s="5">
        <v>549</v>
      </c>
      <c r="R3404" s="74">
        <v>0.1</v>
      </c>
      <c r="S3404" s="75">
        <f>OrdersTable[[#This Row],[Quantity]]*OrdersTable[[#This Row],[Unit Price]]</f>
        <v>549</v>
      </c>
      <c r="T3404" s="5">
        <f>OrdersTable[[#This Row],[Gross Sale]]*OrdersTable[[#This Row],[Discount_Clean2]]</f>
        <v>54.900000000000006</v>
      </c>
      <c r="U3404" s="5">
        <f>OrdersTable[[#This Row],[Gross Sale]]-OrdersTable[[#This Row],[Discount Amount]]</f>
        <v>494.1</v>
      </c>
      <c r="V3404" s="77">
        <f>INDEX(Products!E:E,MATCH(OrdersTable[[#This Row],[Product ID]],Products!A:A,0))</f>
        <v>170</v>
      </c>
      <c r="W3404" s="77">
        <f>OrdersTable[[#This Row],[Quantity]]*OrdersTable[[#This Row],[Unit Cost]]</f>
        <v>170</v>
      </c>
      <c r="X3404" s="77">
        <f>'Dropdown Lists'!$I$2*(1+OrdersTable[[#This Row],[Returned]])</f>
        <v>60</v>
      </c>
      <c r="Y3404" s="76">
        <f>OrdersTable[[#This Row],[Net Revenue]]-OrdersTable[[#This Row],[COGS]]-OrdersTable[[#This Row],[Shipping Cost]]</f>
        <v>264.10000000000002</v>
      </c>
      <c r="Z3404" s="78">
        <f>IFERROR(OrdersTable[[#This Row],[Profit]]/OrdersTable[[#This Row],[Net Revenue]],0)</f>
        <v>0.53450718478040882</v>
      </c>
      <c r="AA3404" t="s">
        <v>18</v>
      </c>
      <c r="AB3404" s="79">
        <v>45852</v>
      </c>
      <c r="AC3404">
        <f>OrdersTable[[#This Row],[Delivery Date]]-OrdersTable[[#This Row],[Order Date]]</f>
        <v>5</v>
      </c>
      <c r="AD3404" t="str">
        <f>IF(OrdersTable[[#This Row],[Delivery Days]]&lt;=2, "Express (≤2d)", IF(OrdersTable[[#This Row],[Delivery Days]]&lt;=4, "Standard (3-4d)", "Delayed (5d+)"))</f>
        <v>Delayed (5d+)</v>
      </c>
      <c r="AE3404">
        <v>4</v>
      </c>
      <c r="AF3404">
        <v>0</v>
      </c>
    </row>
    <row r="3405" spans="1:32" ht="15" x14ac:dyDescent="0.35">
      <c r="A3405" t="s">
        <v>4166</v>
      </c>
      <c r="B3405" s="1">
        <v>45847</v>
      </c>
      <c r="C3405">
        <f>YEAR(OrdersTable[[#This Row],[Order Date]])</f>
        <v>2025</v>
      </c>
      <c r="D3405" s="2">
        <f>DATE(YEAR(OrdersTable[[#This Row],[Order Date]]),MONTH(OrdersTable[[#This Row],[Order Date]]),1)</f>
        <v>45839</v>
      </c>
      <c r="E3405">
        <f>MONTH(OrdersTable[[#This Row],[Order Date]])</f>
        <v>7</v>
      </c>
      <c r="F3405" t="s">
        <v>3332</v>
      </c>
      <c r="G3405" t="str">
        <f>IF(OrdersTable[[#This Row],[Order Date]]=_xlfn.MINIFS(Order_Date, Customer_ID, OrdersTable[[#This Row],[Customer ID]]), "New", "Repeat")</f>
        <v>Repeat</v>
      </c>
      <c r="H3405" t="s">
        <v>48</v>
      </c>
      <c r="I3405" t="str">
        <f>INDEX(State!B:B,MATCH(OrdersTable[[#This Row],[State]],State!A:A,0))</f>
        <v>HR</v>
      </c>
      <c r="J3405" t="str">
        <f>INDEX(State!C:C,MATCH(OrdersTable[[#This Row],[State Code]],State!B:B,0))</f>
        <v>North</v>
      </c>
      <c r="K3405" t="s">
        <v>49</v>
      </c>
      <c r="L3405" t="s">
        <v>65</v>
      </c>
      <c r="M3405" t="s">
        <v>160</v>
      </c>
      <c r="N3405" t="str">
        <f>INDEX(Products!B:B,MATCH(OrdersTable[[#This Row],[Product ID]],Products!A:A,0))</f>
        <v>Niacinamide Toner</v>
      </c>
      <c r="O3405" t="str">
        <f>INDEX(Products!C:C,MATCH(OrdersTable[[#This Row],[Product ID]],Products!A:A,0))</f>
        <v>Skincare</v>
      </c>
      <c r="P3405">
        <v>1</v>
      </c>
      <c r="Q3405" s="5">
        <v>399</v>
      </c>
      <c r="R3405" s="74">
        <v>0.3</v>
      </c>
      <c r="S3405" s="75">
        <f>OrdersTable[[#This Row],[Quantity]]*OrdersTable[[#This Row],[Unit Price]]</f>
        <v>399</v>
      </c>
      <c r="T3405" s="5">
        <f>OrdersTable[[#This Row],[Gross Sale]]*OrdersTable[[#This Row],[Discount_Clean2]]</f>
        <v>119.69999999999999</v>
      </c>
      <c r="U3405" s="5">
        <f>OrdersTable[[#This Row],[Gross Sale]]-OrdersTable[[#This Row],[Discount Amount]]</f>
        <v>279.3</v>
      </c>
      <c r="V3405" s="77">
        <f>INDEX(Products!E:E,MATCH(OrdersTable[[#This Row],[Product ID]],Products!A:A,0))</f>
        <v>112</v>
      </c>
      <c r="W3405" s="77">
        <f>OrdersTable[[#This Row],[Quantity]]*OrdersTable[[#This Row],[Unit Cost]]</f>
        <v>112</v>
      </c>
      <c r="X3405" s="77">
        <f>'Dropdown Lists'!$I$2*(1+OrdersTable[[#This Row],[Returned]])</f>
        <v>60</v>
      </c>
      <c r="Y3405" s="76">
        <f>OrdersTable[[#This Row],[Net Revenue]]-OrdersTable[[#This Row],[COGS]]-OrdersTable[[#This Row],[Shipping Cost]]</f>
        <v>107.30000000000001</v>
      </c>
      <c r="Z3405" s="78">
        <f>IFERROR(OrdersTable[[#This Row],[Profit]]/OrdersTable[[#This Row],[Net Revenue]],0)</f>
        <v>0.38417472252058721</v>
      </c>
      <c r="AA3405" t="s">
        <v>4074</v>
      </c>
      <c r="AB3405" s="79">
        <v>45850</v>
      </c>
      <c r="AC3405">
        <f>OrdersTable[[#This Row],[Delivery Date]]-OrdersTable[[#This Row],[Order Date]]</f>
        <v>3</v>
      </c>
      <c r="AD3405" t="str">
        <f>IF(OrdersTable[[#This Row],[Delivery Days]]&lt;=2, "Express (≤2d)", IF(OrdersTable[[#This Row],[Delivery Days]]&lt;=4, "Standard (3-4d)", "Delayed (5d+)"))</f>
        <v>Standard (3-4d)</v>
      </c>
      <c r="AE3405">
        <v>3</v>
      </c>
      <c r="AF3405">
        <v>0</v>
      </c>
    </row>
    <row r="3406" spans="1:32" ht="15" x14ac:dyDescent="0.35">
      <c r="A3406" t="s">
        <v>3312</v>
      </c>
      <c r="B3406" s="1">
        <v>45847</v>
      </c>
      <c r="C3406">
        <f>YEAR(OrdersTable[[#This Row],[Order Date]])</f>
        <v>2025</v>
      </c>
      <c r="D3406" s="2">
        <f>DATE(YEAR(OrdersTable[[#This Row],[Order Date]]),MONTH(OrdersTable[[#This Row],[Order Date]]),1)</f>
        <v>45839</v>
      </c>
      <c r="E3406">
        <f>MONTH(OrdersTable[[#This Row],[Order Date]])</f>
        <v>7</v>
      </c>
      <c r="F3406" t="s">
        <v>3313</v>
      </c>
      <c r="G3406" t="str">
        <f>IF(OrdersTable[[#This Row],[Order Date]]=_xlfn.MINIFS(Order_Date, Customer_ID, OrdersTable[[#This Row],[Customer ID]]), "New", "Repeat")</f>
        <v>New</v>
      </c>
      <c r="H3406" t="s">
        <v>128</v>
      </c>
      <c r="I3406" t="str">
        <f>INDEX(State!B:B,MATCH(OrdersTable[[#This Row],[State]],State!A:A,0))</f>
        <v>DL</v>
      </c>
      <c r="J3406" t="str">
        <f>INDEX(State!C:C,MATCH(OrdersTable[[#This Row],[State Code]],State!B:B,0))</f>
        <v>North</v>
      </c>
      <c r="K3406" t="s">
        <v>129</v>
      </c>
      <c r="L3406" t="s">
        <v>16</v>
      </c>
      <c r="M3406" t="s">
        <v>205</v>
      </c>
      <c r="N3406" t="str">
        <f>INDEX(Products!B:B,MATCH(OrdersTable[[#This Row],[Product ID]],Products!A:A,0))</f>
        <v>Running Shoes</v>
      </c>
      <c r="O3406" t="str">
        <f>INDEX(Products!C:C,MATCH(OrdersTable[[#This Row],[Product ID]],Products!A:A,0))</f>
        <v>Footwear</v>
      </c>
      <c r="P3406">
        <v>1</v>
      </c>
      <c r="Q3406" s="5">
        <v>2999</v>
      </c>
      <c r="R3406" s="74">
        <v>0.15</v>
      </c>
      <c r="S3406" s="75">
        <f>OrdersTable[[#This Row],[Quantity]]*OrdersTable[[#This Row],[Unit Price]]</f>
        <v>2999</v>
      </c>
      <c r="T3406" s="5">
        <f>OrdersTable[[#This Row],[Gross Sale]]*OrdersTable[[#This Row],[Discount_Clean2]]</f>
        <v>449.84999999999997</v>
      </c>
      <c r="U3406" s="5">
        <f>OrdersTable[[#This Row],[Gross Sale]]-OrdersTable[[#This Row],[Discount Amount]]</f>
        <v>2549.15</v>
      </c>
      <c r="V3406" s="77">
        <f>INDEX(Products!E:E,MATCH(OrdersTable[[#This Row],[Product ID]],Products!A:A,0))</f>
        <v>1440</v>
      </c>
      <c r="W3406" s="77">
        <f>OrdersTable[[#This Row],[Quantity]]*OrdersTable[[#This Row],[Unit Cost]]</f>
        <v>1440</v>
      </c>
      <c r="X3406" s="77">
        <f>'Dropdown Lists'!$I$2*(1+OrdersTable[[#This Row],[Returned]])</f>
        <v>60</v>
      </c>
      <c r="Y3406" s="76">
        <f>OrdersTable[[#This Row],[Net Revenue]]-OrdersTable[[#This Row],[COGS]]-OrdersTable[[#This Row],[Shipping Cost]]</f>
        <v>1049.1500000000001</v>
      </c>
      <c r="Z3406" s="78">
        <f>IFERROR(OrdersTable[[#This Row],[Profit]]/OrdersTable[[#This Row],[Net Revenue]],0)</f>
        <v>0.41156856206970954</v>
      </c>
      <c r="AA3406" t="s">
        <v>2522</v>
      </c>
      <c r="AB3406" s="79">
        <v>45850</v>
      </c>
      <c r="AC3406">
        <f>OrdersTable[[#This Row],[Delivery Date]]-OrdersTable[[#This Row],[Order Date]]</f>
        <v>3</v>
      </c>
      <c r="AD3406" t="str">
        <f>IF(OrdersTable[[#This Row],[Delivery Days]]&lt;=2, "Express (≤2d)", IF(OrdersTable[[#This Row],[Delivery Days]]&lt;=4, "Standard (3-4d)", "Delayed (5d+)"))</f>
        <v>Standard (3-4d)</v>
      </c>
      <c r="AE3406">
        <v>4</v>
      </c>
      <c r="AF3406">
        <v>0</v>
      </c>
    </row>
    <row r="3407" spans="1:32" ht="15" x14ac:dyDescent="0.35">
      <c r="A3407" t="s">
        <v>1101</v>
      </c>
      <c r="B3407" s="1">
        <v>45847</v>
      </c>
      <c r="C3407">
        <f>YEAR(OrdersTable[[#This Row],[Order Date]])</f>
        <v>2025</v>
      </c>
      <c r="D3407" s="2">
        <f>DATE(YEAR(OrdersTable[[#This Row],[Order Date]]),MONTH(OrdersTable[[#This Row],[Order Date]]),1)</f>
        <v>45839</v>
      </c>
      <c r="E3407">
        <f>MONTH(OrdersTable[[#This Row],[Order Date]])</f>
        <v>7</v>
      </c>
      <c r="F3407" t="s">
        <v>1102</v>
      </c>
      <c r="G3407" t="str">
        <f>IF(OrdersTable[[#This Row],[Order Date]]=_xlfn.MINIFS(Order_Date, Customer_ID, OrdersTable[[#This Row],[Customer ID]]), "New", "Repeat")</f>
        <v>Repeat</v>
      </c>
      <c r="H3407" t="s">
        <v>37</v>
      </c>
      <c r="I3407" t="str">
        <f>INDEX(State!B:B,MATCH(OrdersTable[[#This Row],[State]],State!A:A,0))</f>
        <v>GJ</v>
      </c>
      <c r="J3407" t="str">
        <f>INDEX(State!C:C,MATCH(OrdersTable[[#This Row],[State Code]],State!B:B,0))</f>
        <v>West</v>
      </c>
      <c r="K3407" t="s">
        <v>247</v>
      </c>
      <c r="L3407" t="s">
        <v>16</v>
      </c>
      <c r="M3407" t="s">
        <v>176</v>
      </c>
      <c r="N3407" t="str">
        <f>INDEX(Products!B:B,MATCH(OrdersTable[[#This Row],[Product ID]],Products!A:A,0))</f>
        <v>Denim Jacket</v>
      </c>
      <c r="O3407" t="str">
        <f>INDEX(Products!C:C,MATCH(OrdersTable[[#This Row],[Product ID]],Products!A:A,0))</f>
        <v>Apparel</v>
      </c>
      <c r="P3407">
        <v>1</v>
      </c>
      <c r="Q3407" s="5">
        <v>2499</v>
      </c>
      <c r="R3407" s="74">
        <v>0</v>
      </c>
      <c r="S3407" s="75">
        <f>OrdersTable[[#This Row],[Quantity]]*OrdersTable[[#This Row],[Unit Price]]</f>
        <v>2499</v>
      </c>
      <c r="T3407" s="5">
        <f>OrdersTable[[#This Row],[Gross Sale]]*OrdersTable[[#This Row],[Discount_Clean2]]</f>
        <v>0</v>
      </c>
      <c r="U3407" s="5">
        <f>OrdersTable[[#This Row],[Gross Sale]]-OrdersTable[[#This Row],[Discount Amount]]</f>
        <v>2499</v>
      </c>
      <c r="V3407" s="77">
        <f>INDEX(Products!E:E,MATCH(OrdersTable[[#This Row],[Product ID]],Products!A:A,0))</f>
        <v>1125</v>
      </c>
      <c r="W3407" s="77">
        <f>OrdersTable[[#This Row],[Quantity]]*OrdersTable[[#This Row],[Unit Cost]]</f>
        <v>1125</v>
      </c>
      <c r="X3407" s="77">
        <f>'Dropdown Lists'!$I$2*(1+OrdersTable[[#This Row],[Returned]])</f>
        <v>120</v>
      </c>
      <c r="Y3407" s="76">
        <f>OrdersTable[[#This Row],[Net Revenue]]-OrdersTable[[#This Row],[COGS]]-OrdersTable[[#This Row],[Shipping Cost]]</f>
        <v>1254</v>
      </c>
      <c r="Z3407" s="78">
        <f>IFERROR(OrdersTable[[#This Row],[Profit]]/OrdersTable[[#This Row],[Net Revenue]],0)</f>
        <v>0.50180072028811529</v>
      </c>
      <c r="AA3407" t="s">
        <v>18</v>
      </c>
      <c r="AB3407" s="79">
        <v>45848</v>
      </c>
      <c r="AC3407">
        <f>OrdersTable[[#This Row],[Delivery Date]]-OrdersTable[[#This Row],[Order Date]]</f>
        <v>1</v>
      </c>
      <c r="AD3407" t="str">
        <f>IF(OrdersTable[[#This Row],[Delivery Days]]&lt;=2, "Express (≤2d)", IF(OrdersTable[[#This Row],[Delivery Days]]&lt;=4, "Standard (3-4d)", "Delayed (5d+)"))</f>
        <v>Express (≤2d)</v>
      </c>
      <c r="AE3407">
        <v>4</v>
      </c>
      <c r="AF3407">
        <v>1</v>
      </c>
    </row>
    <row r="3408" spans="1:32" ht="15" x14ac:dyDescent="0.35">
      <c r="A3408" t="s">
        <v>1575</v>
      </c>
      <c r="B3408" s="1">
        <v>45847</v>
      </c>
      <c r="C3408">
        <f>YEAR(OrdersTable[[#This Row],[Order Date]])</f>
        <v>2025</v>
      </c>
      <c r="D3408" s="2">
        <f>DATE(YEAR(OrdersTable[[#This Row],[Order Date]]),MONTH(OrdersTable[[#This Row],[Order Date]]),1)</f>
        <v>45839</v>
      </c>
      <c r="E3408">
        <f>MONTH(OrdersTable[[#This Row],[Order Date]])</f>
        <v>7</v>
      </c>
      <c r="F3408" t="s">
        <v>1576</v>
      </c>
      <c r="G3408" t="str">
        <f>IF(OrdersTable[[#This Row],[Order Date]]=_xlfn.MINIFS(Order_Date, Customer_ID, OrdersTable[[#This Row],[Customer ID]]), "New", "Repeat")</f>
        <v>Repeat</v>
      </c>
      <c r="H3408" t="s">
        <v>27</v>
      </c>
      <c r="I3408" t="str">
        <f>INDEX(State!B:B,MATCH(OrdersTable[[#This Row],[State]],State!A:A,0))</f>
        <v>WB</v>
      </c>
      <c r="J3408" t="str">
        <f>INDEX(State!C:C,MATCH(OrdersTable[[#This Row],[State Code]],State!B:B,0))</f>
        <v>East</v>
      </c>
      <c r="K3408" t="s">
        <v>28</v>
      </c>
      <c r="L3408" t="s">
        <v>39</v>
      </c>
      <c r="M3408" t="s">
        <v>160</v>
      </c>
      <c r="N3408" t="str">
        <f>INDEX(Products!B:B,MATCH(OrdersTable[[#This Row],[Product ID]],Products!A:A,0))</f>
        <v>Niacinamide Toner</v>
      </c>
      <c r="O3408" t="str">
        <f>INDEX(Products!C:C,MATCH(OrdersTable[[#This Row],[Product ID]],Products!A:A,0))</f>
        <v>Skincare</v>
      </c>
      <c r="P3408">
        <v>1</v>
      </c>
      <c r="Q3408" s="5">
        <v>399</v>
      </c>
      <c r="R3408" s="74">
        <v>0.15</v>
      </c>
      <c r="S3408" s="75">
        <f>OrdersTable[[#This Row],[Quantity]]*OrdersTable[[#This Row],[Unit Price]]</f>
        <v>399</v>
      </c>
      <c r="T3408" s="5">
        <f>OrdersTable[[#This Row],[Gross Sale]]*OrdersTable[[#This Row],[Discount_Clean2]]</f>
        <v>59.849999999999994</v>
      </c>
      <c r="U3408" s="5">
        <f>OrdersTable[[#This Row],[Gross Sale]]-OrdersTable[[#This Row],[Discount Amount]]</f>
        <v>339.15</v>
      </c>
      <c r="V3408" s="77">
        <f>INDEX(Products!E:E,MATCH(OrdersTable[[#This Row],[Product ID]],Products!A:A,0))</f>
        <v>112</v>
      </c>
      <c r="W3408" s="77">
        <f>OrdersTable[[#This Row],[Quantity]]*OrdersTable[[#This Row],[Unit Cost]]</f>
        <v>112</v>
      </c>
      <c r="X3408" s="77">
        <f>'Dropdown Lists'!$I$2*(1+OrdersTable[[#This Row],[Returned]])</f>
        <v>60</v>
      </c>
      <c r="Y3408" s="76">
        <f>OrdersTable[[#This Row],[Net Revenue]]-OrdersTable[[#This Row],[COGS]]-OrdersTable[[#This Row],[Shipping Cost]]</f>
        <v>167.14999999999998</v>
      </c>
      <c r="Z3408" s="78">
        <f>IFERROR(OrdersTable[[#This Row],[Profit]]/OrdersTable[[#This Row],[Net Revenue]],0)</f>
        <v>0.49284977148754233</v>
      </c>
      <c r="AA3408" t="s">
        <v>18</v>
      </c>
      <c r="AB3408" s="79">
        <v>45852</v>
      </c>
      <c r="AC3408">
        <f>OrdersTable[[#This Row],[Delivery Date]]-OrdersTable[[#This Row],[Order Date]]</f>
        <v>5</v>
      </c>
      <c r="AD3408" t="str">
        <f>IF(OrdersTable[[#This Row],[Delivery Days]]&lt;=2, "Express (≤2d)", IF(OrdersTable[[#This Row],[Delivery Days]]&lt;=4, "Standard (3-4d)", "Delayed (5d+)"))</f>
        <v>Delayed (5d+)</v>
      </c>
      <c r="AF3408">
        <v>0</v>
      </c>
    </row>
    <row r="3409" spans="1:32" ht="15" x14ac:dyDescent="0.35">
      <c r="A3409" t="s">
        <v>4423</v>
      </c>
      <c r="B3409" s="1">
        <v>45847</v>
      </c>
      <c r="C3409">
        <f>YEAR(OrdersTable[[#This Row],[Order Date]])</f>
        <v>2025</v>
      </c>
      <c r="D3409" s="2">
        <f>DATE(YEAR(OrdersTable[[#This Row],[Order Date]]),MONTH(OrdersTable[[#This Row],[Order Date]]),1)</f>
        <v>45839</v>
      </c>
      <c r="E3409">
        <f>MONTH(OrdersTable[[#This Row],[Order Date]])</f>
        <v>7</v>
      </c>
      <c r="F3409" t="s">
        <v>1260</v>
      </c>
      <c r="G3409" t="str">
        <f>IF(OrdersTable[[#This Row],[Order Date]]=_xlfn.MINIFS(Order_Date, Customer_ID, OrdersTable[[#This Row],[Customer ID]]), "New", "Repeat")</f>
        <v>Repeat</v>
      </c>
      <c r="H3409" t="s">
        <v>27</v>
      </c>
      <c r="I3409" t="str">
        <f>INDEX(State!B:B,MATCH(OrdersTable[[#This Row],[State]],State!A:A,0))</f>
        <v>WB</v>
      </c>
      <c r="J3409" t="str">
        <f>INDEX(State!C:C,MATCH(OrdersTable[[#This Row],[State Code]],State!B:B,0))</f>
        <v>East</v>
      </c>
      <c r="K3409" t="s">
        <v>28</v>
      </c>
      <c r="L3409" t="s">
        <v>23</v>
      </c>
      <c r="M3409" t="s">
        <v>45</v>
      </c>
      <c r="N3409" t="str">
        <f>INDEX(Products!B:B,MATCH(OrdersTable[[#This Row],[Product ID]],Products!A:A,0))</f>
        <v>Argan Shampoo</v>
      </c>
      <c r="O3409" t="str">
        <f>INDEX(Products!C:C,MATCH(OrdersTable[[#This Row],[Product ID]],Products!A:A,0))</f>
        <v>Haircare</v>
      </c>
      <c r="P3409">
        <v>1</v>
      </c>
      <c r="Q3409" s="5">
        <v>449</v>
      </c>
      <c r="R3409" s="74">
        <v>0.05</v>
      </c>
      <c r="S3409" s="75">
        <f>OrdersTable[[#This Row],[Quantity]]*OrdersTable[[#This Row],[Unit Price]]</f>
        <v>449</v>
      </c>
      <c r="T3409" s="5">
        <f>OrdersTable[[#This Row],[Gross Sale]]*OrdersTable[[#This Row],[Discount_Clean2]]</f>
        <v>22.450000000000003</v>
      </c>
      <c r="U3409" s="5">
        <f>OrdersTable[[#This Row],[Gross Sale]]-OrdersTable[[#This Row],[Discount Amount]]</f>
        <v>426.55</v>
      </c>
      <c r="V3409" s="77">
        <f>INDEX(Products!E:E,MATCH(OrdersTable[[#This Row],[Product ID]],Products!A:A,0))</f>
        <v>148</v>
      </c>
      <c r="W3409" s="77">
        <f>OrdersTable[[#This Row],[Quantity]]*OrdersTable[[#This Row],[Unit Cost]]</f>
        <v>148</v>
      </c>
      <c r="X3409" s="77">
        <f>'Dropdown Lists'!$I$2*(1+OrdersTable[[#This Row],[Returned]])</f>
        <v>60</v>
      </c>
      <c r="Y3409" s="76">
        <f>OrdersTable[[#This Row],[Net Revenue]]-OrdersTable[[#This Row],[COGS]]-OrdersTable[[#This Row],[Shipping Cost]]</f>
        <v>218.55</v>
      </c>
      <c r="Z3409" s="78">
        <f>IFERROR(OrdersTable[[#This Row],[Profit]]/OrdersTable[[#This Row],[Net Revenue]],0)</f>
        <v>0.51236666275934828</v>
      </c>
      <c r="AA3409" t="s">
        <v>4074</v>
      </c>
      <c r="AB3409" s="79">
        <v>45849</v>
      </c>
      <c r="AC3409">
        <f>OrdersTable[[#This Row],[Delivery Date]]-OrdersTable[[#This Row],[Order Date]]</f>
        <v>2</v>
      </c>
      <c r="AD3409" t="str">
        <f>IF(OrdersTable[[#This Row],[Delivery Days]]&lt;=2, "Express (≤2d)", IF(OrdersTable[[#This Row],[Delivery Days]]&lt;=4, "Standard (3-4d)", "Delayed (5d+)"))</f>
        <v>Express (≤2d)</v>
      </c>
      <c r="AE3409">
        <v>4</v>
      </c>
      <c r="AF3409">
        <v>0</v>
      </c>
    </row>
    <row r="3410" spans="1:32" ht="15" x14ac:dyDescent="0.35">
      <c r="A3410" t="s">
        <v>5530</v>
      </c>
      <c r="B3410" s="1">
        <v>45847</v>
      </c>
      <c r="C3410">
        <f>YEAR(OrdersTable[[#This Row],[Order Date]])</f>
        <v>2025</v>
      </c>
      <c r="D3410" s="2">
        <f>DATE(YEAR(OrdersTable[[#This Row],[Order Date]]),MONTH(OrdersTable[[#This Row],[Order Date]]),1)</f>
        <v>45839</v>
      </c>
      <c r="E3410">
        <f>MONTH(OrdersTable[[#This Row],[Order Date]])</f>
        <v>7</v>
      </c>
      <c r="F3410" t="s">
        <v>164</v>
      </c>
      <c r="G3410" t="str">
        <f>IF(OrdersTable[[#This Row],[Order Date]]=_xlfn.MINIFS(Order_Date, Customer_ID, OrdersTable[[#This Row],[Customer ID]]), "New", "Repeat")</f>
        <v>Repeat</v>
      </c>
      <c r="H3410" t="s">
        <v>59</v>
      </c>
      <c r="I3410" t="str">
        <f>INDEX(State!B:B,MATCH(OrdersTable[[#This Row],[State]],State!A:A,0))</f>
        <v>TN</v>
      </c>
      <c r="J3410" t="str">
        <f>INDEX(State!C:C,MATCH(OrdersTable[[#This Row],[State Code]],State!B:B,0))</f>
        <v>South</v>
      </c>
      <c r="K3410" t="s">
        <v>64</v>
      </c>
      <c r="L3410" t="s">
        <v>65</v>
      </c>
      <c r="M3410" t="s">
        <v>87</v>
      </c>
      <c r="N3410" t="str">
        <f>INDEX(Products!B:B,MATCH(OrdersTable[[#This Row],[Product ID]],Products!A:A,0))</f>
        <v>Linen Kurta</v>
      </c>
      <c r="O3410" t="str">
        <f>INDEX(Products!C:C,MATCH(OrdersTable[[#This Row],[Product ID]],Products!A:A,0))</f>
        <v>Apparel</v>
      </c>
      <c r="P3410">
        <v>2</v>
      </c>
      <c r="Q3410" s="5">
        <v>1499</v>
      </c>
      <c r="R3410" s="74">
        <v>0.25</v>
      </c>
      <c r="S3410" s="75">
        <f>OrdersTable[[#This Row],[Quantity]]*OrdersTable[[#This Row],[Unit Price]]</f>
        <v>2998</v>
      </c>
      <c r="T3410" s="5">
        <f>OrdersTable[[#This Row],[Gross Sale]]*OrdersTable[[#This Row],[Discount_Clean2]]</f>
        <v>749.5</v>
      </c>
      <c r="U3410" s="5">
        <f>OrdersTable[[#This Row],[Gross Sale]]-OrdersTable[[#This Row],[Discount Amount]]</f>
        <v>2248.5</v>
      </c>
      <c r="V3410" s="77">
        <f>INDEX(Products!E:E,MATCH(OrdersTable[[#This Row],[Product ID]],Products!A:A,0))</f>
        <v>630</v>
      </c>
      <c r="W3410" s="77">
        <f>OrdersTable[[#This Row],[Quantity]]*OrdersTable[[#This Row],[Unit Cost]]</f>
        <v>1260</v>
      </c>
      <c r="X3410" s="77">
        <f>'Dropdown Lists'!$I$2*(1+OrdersTable[[#This Row],[Returned]])</f>
        <v>60</v>
      </c>
      <c r="Y3410" s="76">
        <f>OrdersTable[[#This Row],[Net Revenue]]-OrdersTable[[#This Row],[COGS]]-OrdersTable[[#This Row],[Shipping Cost]]</f>
        <v>928.5</v>
      </c>
      <c r="Z3410" s="78">
        <f>IFERROR(OrdersTable[[#This Row],[Profit]]/OrdersTable[[#This Row],[Net Revenue]],0)</f>
        <v>0.41294196130753835</v>
      </c>
      <c r="AA3410" t="s">
        <v>2522</v>
      </c>
      <c r="AB3410" s="79">
        <v>45849</v>
      </c>
      <c r="AC3410">
        <f>OrdersTable[[#This Row],[Delivery Date]]-OrdersTable[[#This Row],[Order Date]]</f>
        <v>2</v>
      </c>
      <c r="AD3410" t="str">
        <f>IF(OrdersTable[[#This Row],[Delivery Days]]&lt;=2, "Express (≤2d)", IF(OrdersTable[[#This Row],[Delivery Days]]&lt;=4, "Standard (3-4d)", "Delayed (5d+)"))</f>
        <v>Express (≤2d)</v>
      </c>
      <c r="AE3410">
        <v>4</v>
      </c>
      <c r="AF3410">
        <v>0</v>
      </c>
    </row>
    <row r="3411" spans="1:32" ht="15" x14ac:dyDescent="0.35">
      <c r="A3411" t="s">
        <v>5964</v>
      </c>
      <c r="B3411" s="1">
        <v>45848</v>
      </c>
      <c r="C3411">
        <f>YEAR(OrdersTable[[#This Row],[Order Date]])</f>
        <v>2025</v>
      </c>
      <c r="D3411" s="2">
        <f>DATE(YEAR(OrdersTable[[#This Row],[Order Date]]),MONTH(OrdersTable[[#This Row],[Order Date]]),1)</f>
        <v>45839</v>
      </c>
      <c r="E3411">
        <f>MONTH(OrdersTable[[#This Row],[Order Date]])</f>
        <v>7</v>
      </c>
      <c r="F3411" t="s">
        <v>301</v>
      </c>
      <c r="G3411" t="str">
        <f>IF(OrdersTable[[#This Row],[Order Date]]=_xlfn.MINIFS(Order_Date, Customer_ID, OrdersTable[[#This Row],[Customer ID]]), "New", "Repeat")</f>
        <v>Repeat</v>
      </c>
      <c r="H3411" t="s">
        <v>158</v>
      </c>
      <c r="I3411" t="str">
        <f>INDEX(State!B:B,MATCH(OrdersTable[[#This Row],[State]],State!A:A,0))</f>
        <v>HP</v>
      </c>
      <c r="J3411" t="str">
        <f>INDEX(State!C:C,MATCH(OrdersTable[[#This Row],[State Code]],State!B:B,0))</f>
        <v>North</v>
      </c>
      <c r="K3411" t="s">
        <v>159</v>
      </c>
      <c r="L3411" t="s">
        <v>39</v>
      </c>
      <c r="M3411" t="s">
        <v>66</v>
      </c>
      <c r="N3411" t="str">
        <f>INDEX(Products!B:B,MATCH(OrdersTable[[#This Row],[Product ID]],Products!A:A,0))</f>
        <v>Sunscreen SPF 50</v>
      </c>
      <c r="O3411" t="str">
        <f>INDEX(Products!C:C,MATCH(OrdersTable[[#This Row],[Product ID]],Products!A:A,0))</f>
        <v>Skincare</v>
      </c>
      <c r="P3411">
        <v>2</v>
      </c>
      <c r="Q3411" s="5">
        <v>449</v>
      </c>
      <c r="R3411" s="74">
        <v>0.05</v>
      </c>
      <c r="S3411" s="75">
        <f>OrdersTable[[#This Row],[Quantity]]*OrdersTable[[#This Row],[Unit Price]]</f>
        <v>898</v>
      </c>
      <c r="T3411" s="5">
        <f>OrdersTable[[#This Row],[Gross Sale]]*OrdersTable[[#This Row],[Discount_Clean2]]</f>
        <v>44.900000000000006</v>
      </c>
      <c r="U3411" s="5">
        <f>OrdersTable[[#This Row],[Gross Sale]]-OrdersTable[[#This Row],[Discount Amount]]</f>
        <v>853.1</v>
      </c>
      <c r="V3411" s="77">
        <f>INDEX(Products!E:E,MATCH(OrdersTable[[#This Row],[Product ID]],Products!A:A,0))</f>
        <v>144</v>
      </c>
      <c r="W3411" s="77">
        <f>OrdersTable[[#This Row],[Quantity]]*OrdersTable[[#This Row],[Unit Cost]]</f>
        <v>288</v>
      </c>
      <c r="X3411" s="77">
        <f>'Dropdown Lists'!$I$2*(1+OrdersTable[[#This Row],[Returned]])</f>
        <v>120</v>
      </c>
      <c r="Y3411" s="76">
        <f>OrdersTable[[#This Row],[Net Revenue]]-OrdersTable[[#This Row],[COGS]]-OrdersTable[[#This Row],[Shipping Cost]]</f>
        <v>445.1</v>
      </c>
      <c r="Z3411" s="78">
        <f>IFERROR(OrdersTable[[#This Row],[Profit]]/OrdersTable[[#This Row],[Net Revenue]],0)</f>
        <v>0.52174422693705313</v>
      </c>
      <c r="AA3411" t="s">
        <v>18</v>
      </c>
      <c r="AB3411" s="79">
        <v>45854</v>
      </c>
      <c r="AC3411">
        <f>OrdersTable[[#This Row],[Delivery Date]]-OrdersTable[[#This Row],[Order Date]]</f>
        <v>6</v>
      </c>
      <c r="AD3411" t="str">
        <f>IF(OrdersTable[[#This Row],[Delivery Days]]&lt;=2, "Express (≤2d)", IF(OrdersTable[[#This Row],[Delivery Days]]&lt;=4, "Standard (3-4d)", "Delayed (5d+)"))</f>
        <v>Delayed (5d+)</v>
      </c>
      <c r="AF3411">
        <v>1</v>
      </c>
    </row>
    <row r="3412" spans="1:32" ht="15" x14ac:dyDescent="0.35">
      <c r="A3412" t="s">
        <v>6382</v>
      </c>
      <c r="B3412" s="1">
        <v>45848</v>
      </c>
      <c r="C3412">
        <f>YEAR(OrdersTable[[#This Row],[Order Date]])</f>
        <v>2025</v>
      </c>
      <c r="D3412" s="2">
        <f>DATE(YEAR(OrdersTable[[#This Row],[Order Date]]),MONTH(OrdersTable[[#This Row],[Order Date]]),1)</f>
        <v>45839</v>
      </c>
      <c r="E3412">
        <f>MONTH(OrdersTable[[#This Row],[Order Date]])</f>
        <v>7</v>
      </c>
      <c r="F3412" t="s">
        <v>1408</v>
      </c>
      <c r="G3412" t="str">
        <f>IF(OrdersTable[[#This Row],[Order Date]]=_xlfn.MINIFS(Order_Date, Customer_ID, OrdersTable[[#This Row],[Customer ID]]), "New", "Repeat")</f>
        <v>Repeat</v>
      </c>
      <c r="H3412" t="s">
        <v>54</v>
      </c>
      <c r="I3412" t="str">
        <f>INDEX(State!B:B,MATCH(OrdersTable[[#This Row],[State]],State!A:A,0))</f>
        <v>RJ</v>
      </c>
      <c r="J3412" t="str">
        <f>INDEX(State!C:C,MATCH(OrdersTable[[#This Row],[State Code]],State!B:B,0))</f>
        <v>North</v>
      </c>
      <c r="K3412" t="s">
        <v>227</v>
      </c>
      <c r="L3412" t="s">
        <v>23</v>
      </c>
      <c r="M3412" t="s">
        <v>160</v>
      </c>
      <c r="N3412" t="str">
        <f>INDEX(Products!B:B,MATCH(OrdersTable[[#This Row],[Product ID]],Products!A:A,0))</f>
        <v>Niacinamide Toner</v>
      </c>
      <c r="O3412" t="str">
        <f>INDEX(Products!C:C,MATCH(OrdersTable[[#This Row],[Product ID]],Products!A:A,0))</f>
        <v>Skincare</v>
      </c>
      <c r="P3412">
        <v>2</v>
      </c>
      <c r="Q3412" s="5">
        <v>399</v>
      </c>
      <c r="R3412" s="74">
        <v>0.25</v>
      </c>
      <c r="S3412" s="75">
        <f>OrdersTable[[#This Row],[Quantity]]*OrdersTable[[#This Row],[Unit Price]]</f>
        <v>798</v>
      </c>
      <c r="T3412" s="5">
        <f>OrdersTable[[#This Row],[Gross Sale]]*OrdersTable[[#This Row],[Discount_Clean2]]</f>
        <v>199.5</v>
      </c>
      <c r="U3412" s="5">
        <f>OrdersTable[[#This Row],[Gross Sale]]-OrdersTable[[#This Row],[Discount Amount]]</f>
        <v>598.5</v>
      </c>
      <c r="V3412" s="77">
        <f>INDEX(Products!E:E,MATCH(OrdersTable[[#This Row],[Product ID]],Products!A:A,0))</f>
        <v>112</v>
      </c>
      <c r="W3412" s="77">
        <f>OrdersTable[[#This Row],[Quantity]]*OrdersTable[[#This Row],[Unit Cost]]</f>
        <v>224</v>
      </c>
      <c r="X3412" s="77">
        <f>'Dropdown Lists'!$I$2*(1+OrdersTable[[#This Row],[Returned]])</f>
        <v>60</v>
      </c>
      <c r="Y3412" s="76">
        <f>OrdersTable[[#This Row],[Net Revenue]]-OrdersTable[[#This Row],[COGS]]-OrdersTable[[#This Row],[Shipping Cost]]</f>
        <v>314.5</v>
      </c>
      <c r="Z3412" s="78">
        <f>IFERROR(OrdersTable[[#This Row],[Profit]]/OrdersTable[[#This Row],[Net Revenue]],0)</f>
        <v>0.52548036758563077</v>
      </c>
      <c r="AA3412" t="s">
        <v>18</v>
      </c>
      <c r="AB3412" s="79">
        <v>45852</v>
      </c>
      <c r="AC3412">
        <f>OrdersTable[[#This Row],[Delivery Date]]-OrdersTable[[#This Row],[Order Date]]</f>
        <v>4</v>
      </c>
      <c r="AD3412" t="str">
        <f>IF(OrdersTable[[#This Row],[Delivery Days]]&lt;=2, "Express (≤2d)", IF(OrdersTable[[#This Row],[Delivery Days]]&lt;=4, "Standard (3-4d)", "Delayed (5d+)"))</f>
        <v>Standard (3-4d)</v>
      </c>
      <c r="AF3412">
        <v>0</v>
      </c>
    </row>
    <row r="3413" spans="1:32" ht="15" x14ac:dyDescent="0.35">
      <c r="A3413" t="s">
        <v>2008</v>
      </c>
      <c r="B3413" s="1">
        <v>45848</v>
      </c>
      <c r="C3413">
        <f>YEAR(OrdersTable[[#This Row],[Order Date]])</f>
        <v>2025</v>
      </c>
      <c r="D3413" s="2">
        <f>DATE(YEAR(OrdersTable[[#This Row],[Order Date]]),MONTH(OrdersTable[[#This Row],[Order Date]]),1)</f>
        <v>45839</v>
      </c>
      <c r="E3413">
        <f>MONTH(OrdersTable[[#This Row],[Order Date]])</f>
        <v>7</v>
      </c>
      <c r="F3413" t="s">
        <v>1919</v>
      </c>
      <c r="G3413" t="str">
        <f>IF(OrdersTable[[#This Row],[Order Date]]=_xlfn.MINIFS(Order_Date, Customer_ID, OrdersTable[[#This Row],[Customer ID]]), "New", "Repeat")</f>
        <v>Repeat</v>
      </c>
      <c r="H3413" t="s">
        <v>128</v>
      </c>
      <c r="I3413" t="str">
        <f>INDEX(State!B:B,MATCH(OrdersTable[[#This Row],[State]],State!A:A,0))</f>
        <v>DL</v>
      </c>
      <c r="J3413" t="str">
        <f>INDEX(State!C:C,MATCH(OrdersTable[[#This Row],[State Code]],State!B:B,0))</f>
        <v>North</v>
      </c>
      <c r="K3413" t="s">
        <v>129</v>
      </c>
      <c r="L3413" t="s">
        <v>50</v>
      </c>
      <c r="M3413" t="s">
        <v>45</v>
      </c>
      <c r="N3413" t="str">
        <f>INDEX(Products!B:B,MATCH(OrdersTable[[#This Row],[Product ID]],Products!A:A,0))</f>
        <v>Argan Shampoo</v>
      </c>
      <c r="O3413" t="str">
        <f>INDEX(Products!C:C,MATCH(OrdersTable[[#This Row],[Product ID]],Products!A:A,0))</f>
        <v>Haircare</v>
      </c>
      <c r="P3413">
        <v>1</v>
      </c>
      <c r="Q3413" s="5">
        <v>449</v>
      </c>
      <c r="R3413" s="74">
        <v>0.1</v>
      </c>
      <c r="S3413" s="75">
        <f>OrdersTable[[#This Row],[Quantity]]*OrdersTable[[#This Row],[Unit Price]]</f>
        <v>449</v>
      </c>
      <c r="T3413" s="5">
        <f>OrdersTable[[#This Row],[Gross Sale]]*OrdersTable[[#This Row],[Discount_Clean2]]</f>
        <v>44.900000000000006</v>
      </c>
      <c r="U3413" s="5">
        <f>OrdersTable[[#This Row],[Gross Sale]]-OrdersTable[[#This Row],[Discount Amount]]</f>
        <v>404.1</v>
      </c>
      <c r="V3413" s="77">
        <f>INDEX(Products!E:E,MATCH(OrdersTable[[#This Row],[Product ID]],Products!A:A,0))</f>
        <v>148</v>
      </c>
      <c r="W3413" s="77">
        <f>OrdersTable[[#This Row],[Quantity]]*OrdersTable[[#This Row],[Unit Cost]]</f>
        <v>148</v>
      </c>
      <c r="X3413" s="77">
        <f>'Dropdown Lists'!$I$2*(1+OrdersTable[[#This Row],[Returned]])</f>
        <v>60</v>
      </c>
      <c r="Y3413" s="76">
        <f>OrdersTable[[#This Row],[Net Revenue]]-OrdersTable[[#This Row],[COGS]]-OrdersTable[[#This Row],[Shipping Cost]]</f>
        <v>196.10000000000002</v>
      </c>
      <c r="Z3413" s="78">
        <f>IFERROR(OrdersTable[[#This Row],[Profit]]/OrdersTable[[#This Row],[Net Revenue]],0)</f>
        <v>0.48527592180153428</v>
      </c>
      <c r="AA3413" t="s">
        <v>18</v>
      </c>
      <c r="AB3413" s="79">
        <v>45849</v>
      </c>
      <c r="AC3413">
        <f>OrdersTable[[#This Row],[Delivery Date]]-OrdersTable[[#This Row],[Order Date]]</f>
        <v>1</v>
      </c>
      <c r="AD3413" t="str">
        <f>IF(OrdersTable[[#This Row],[Delivery Days]]&lt;=2, "Express (≤2d)", IF(OrdersTable[[#This Row],[Delivery Days]]&lt;=4, "Standard (3-4d)", "Delayed (5d+)"))</f>
        <v>Express (≤2d)</v>
      </c>
      <c r="AE3413">
        <v>3</v>
      </c>
      <c r="AF3413">
        <v>0</v>
      </c>
    </row>
    <row r="3414" spans="1:32" ht="15" x14ac:dyDescent="0.35">
      <c r="A3414" t="s">
        <v>4424</v>
      </c>
      <c r="B3414" s="1">
        <v>45848</v>
      </c>
      <c r="C3414">
        <f>YEAR(OrdersTable[[#This Row],[Order Date]])</f>
        <v>2025</v>
      </c>
      <c r="D3414" s="2">
        <f>DATE(YEAR(OrdersTable[[#This Row],[Order Date]]),MONTH(OrdersTable[[#This Row],[Order Date]]),1)</f>
        <v>45839</v>
      </c>
      <c r="E3414">
        <f>MONTH(OrdersTable[[#This Row],[Order Date]])</f>
        <v>7</v>
      </c>
      <c r="F3414" t="s">
        <v>4425</v>
      </c>
      <c r="G3414" t="str">
        <f>IF(OrdersTable[[#This Row],[Order Date]]=_xlfn.MINIFS(Order_Date, Customer_ID, OrdersTable[[#This Row],[Customer ID]]), "New", "Repeat")</f>
        <v>New</v>
      </c>
      <c r="H3414" t="s">
        <v>37</v>
      </c>
      <c r="I3414" t="str">
        <f>INDEX(State!B:B,MATCH(OrdersTable[[#This Row],[State]],State!A:A,0))</f>
        <v>GJ</v>
      </c>
      <c r="J3414" t="str">
        <f>INDEX(State!C:C,MATCH(OrdersTable[[#This Row],[State Code]],State!B:B,0))</f>
        <v>West</v>
      </c>
      <c r="K3414" t="s">
        <v>247</v>
      </c>
      <c r="L3414" t="s">
        <v>39</v>
      </c>
      <c r="M3414" t="s">
        <v>56</v>
      </c>
      <c r="N3414" t="str">
        <f>INDEX(Products!B:B,MATCH(OrdersTable[[#This Row],[Product ID]],Products!A:A,0))</f>
        <v>Vitamin C Face Serum</v>
      </c>
      <c r="O3414" t="str">
        <f>INDEX(Products!C:C,MATCH(OrdersTable[[#This Row],[Product ID]],Products!A:A,0))</f>
        <v>Skincare</v>
      </c>
      <c r="P3414">
        <v>1</v>
      </c>
      <c r="Q3414" s="5">
        <v>599</v>
      </c>
      <c r="R3414" s="74">
        <v>0.1</v>
      </c>
      <c r="S3414" s="75">
        <f>OrdersTable[[#This Row],[Quantity]]*OrdersTable[[#This Row],[Unit Price]]</f>
        <v>599</v>
      </c>
      <c r="T3414" s="5">
        <f>OrdersTable[[#This Row],[Gross Sale]]*OrdersTable[[#This Row],[Discount_Clean2]]</f>
        <v>59.900000000000006</v>
      </c>
      <c r="U3414" s="5">
        <f>OrdersTable[[#This Row],[Gross Sale]]-OrdersTable[[#This Row],[Discount Amount]]</f>
        <v>539.1</v>
      </c>
      <c r="V3414" s="77">
        <f>INDEX(Products!E:E,MATCH(OrdersTable[[#This Row],[Product ID]],Products!A:A,0))</f>
        <v>180</v>
      </c>
      <c r="W3414" s="77">
        <f>OrdersTable[[#This Row],[Quantity]]*OrdersTable[[#This Row],[Unit Cost]]</f>
        <v>180</v>
      </c>
      <c r="X3414" s="77">
        <f>'Dropdown Lists'!$I$2*(1+OrdersTable[[#This Row],[Returned]])</f>
        <v>60</v>
      </c>
      <c r="Y3414" s="76">
        <f>OrdersTable[[#This Row],[Net Revenue]]-OrdersTable[[#This Row],[COGS]]-OrdersTable[[#This Row],[Shipping Cost]]</f>
        <v>299.10000000000002</v>
      </c>
      <c r="Z3414" s="78">
        <f>IFERROR(OrdersTable[[#This Row],[Profit]]/OrdersTable[[#This Row],[Net Revenue]],0)</f>
        <v>0.5548135781858653</v>
      </c>
      <c r="AA3414" t="s">
        <v>4074</v>
      </c>
      <c r="AB3414" s="79">
        <v>45851</v>
      </c>
      <c r="AC3414">
        <f>OrdersTable[[#This Row],[Delivery Date]]-OrdersTable[[#This Row],[Order Date]]</f>
        <v>3</v>
      </c>
      <c r="AD3414" t="str">
        <f>IF(OrdersTable[[#This Row],[Delivery Days]]&lt;=2, "Express (≤2d)", IF(OrdersTable[[#This Row],[Delivery Days]]&lt;=4, "Standard (3-4d)", "Delayed (5d+)"))</f>
        <v>Standard (3-4d)</v>
      </c>
      <c r="AE3414">
        <v>4</v>
      </c>
      <c r="AF3414">
        <v>0</v>
      </c>
    </row>
    <row r="3415" spans="1:32" ht="15" x14ac:dyDescent="0.35">
      <c r="A3415" t="s">
        <v>1577</v>
      </c>
      <c r="B3415" s="1">
        <v>45848</v>
      </c>
      <c r="C3415">
        <f>YEAR(OrdersTable[[#This Row],[Order Date]])</f>
        <v>2025</v>
      </c>
      <c r="D3415" s="2">
        <f>DATE(YEAR(OrdersTable[[#This Row],[Order Date]]),MONTH(OrdersTable[[#This Row],[Order Date]]),1)</f>
        <v>45839</v>
      </c>
      <c r="E3415">
        <f>MONTH(OrdersTable[[#This Row],[Order Date]])</f>
        <v>7</v>
      </c>
      <c r="F3415" t="s">
        <v>671</v>
      </c>
      <c r="G3415" t="str">
        <f>IF(OrdersTable[[#This Row],[Order Date]]=_xlfn.MINIFS(Order_Date, Customer_ID, OrdersTable[[#This Row],[Customer ID]]), "New", "Repeat")</f>
        <v>Repeat</v>
      </c>
      <c r="H3415" t="s">
        <v>27</v>
      </c>
      <c r="I3415" t="str">
        <f>INDEX(State!B:B,MATCH(OrdersTable[[#This Row],[State]],State!A:A,0))</f>
        <v>WB</v>
      </c>
      <c r="J3415" t="str">
        <f>INDEX(State!C:C,MATCH(OrdersTable[[#This Row],[State Code]],State!B:B,0))</f>
        <v>East</v>
      </c>
      <c r="K3415" t="s">
        <v>28</v>
      </c>
      <c r="L3415" t="s">
        <v>39</v>
      </c>
      <c r="M3415" t="s">
        <v>40</v>
      </c>
      <c r="N3415" t="str">
        <f>INDEX(Products!B:B,MATCH(OrdersTable[[#This Row],[Product ID]],Products!A:A,0))</f>
        <v>Ashwagandha Capsules</v>
      </c>
      <c r="O3415" t="str">
        <f>INDEX(Products!C:C,MATCH(OrdersTable[[#This Row],[Product ID]],Products!A:A,0))</f>
        <v>Wellness</v>
      </c>
      <c r="P3415">
        <v>1</v>
      </c>
      <c r="Q3415" s="5">
        <v>499</v>
      </c>
      <c r="R3415" s="74">
        <v>0.05</v>
      </c>
      <c r="S3415" s="75">
        <f>OrdersTable[[#This Row],[Quantity]]*OrdersTable[[#This Row],[Unit Price]]</f>
        <v>499</v>
      </c>
      <c r="T3415" s="5">
        <f>OrdersTable[[#This Row],[Gross Sale]]*OrdersTable[[#This Row],[Discount_Clean2]]</f>
        <v>24.950000000000003</v>
      </c>
      <c r="U3415" s="5">
        <f>OrdersTable[[#This Row],[Gross Sale]]-OrdersTable[[#This Row],[Discount Amount]]</f>
        <v>474.05</v>
      </c>
      <c r="V3415" s="77">
        <f>INDEX(Products!E:E,MATCH(OrdersTable[[#This Row],[Product ID]],Products!A:A,0))</f>
        <v>150</v>
      </c>
      <c r="W3415" s="77">
        <f>OrdersTable[[#This Row],[Quantity]]*OrdersTable[[#This Row],[Unit Cost]]</f>
        <v>150</v>
      </c>
      <c r="X3415" s="77">
        <f>'Dropdown Lists'!$I$2*(1+OrdersTable[[#This Row],[Returned]])</f>
        <v>60</v>
      </c>
      <c r="Y3415" s="76">
        <f>OrdersTable[[#This Row],[Net Revenue]]-OrdersTable[[#This Row],[COGS]]-OrdersTable[[#This Row],[Shipping Cost]]</f>
        <v>264.05</v>
      </c>
      <c r="Z3415" s="78">
        <f>IFERROR(OrdersTable[[#This Row],[Profit]]/OrdersTable[[#This Row],[Net Revenue]],0)</f>
        <v>0.55700875435080688</v>
      </c>
      <c r="AA3415" t="s">
        <v>18</v>
      </c>
      <c r="AB3415" s="79">
        <v>45851</v>
      </c>
      <c r="AC3415">
        <f>OrdersTable[[#This Row],[Delivery Date]]-OrdersTable[[#This Row],[Order Date]]</f>
        <v>3</v>
      </c>
      <c r="AD3415" t="str">
        <f>IF(OrdersTable[[#This Row],[Delivery Days]]&lt;=2, "Express (≤2d)", IF(OrdersTable[[#This Row],[Delivery Days]]&lt;=4, "Standard (3-4d)", "Delayed (5d+)"))</f>
        <v>Standard (3-4d)</v>
      </c>
      <c r="AF3415">
        <v>0</v>
      </c>
    </row>
    <row r="3416" spans="1:32" ht="15" x14ac:dyDescent="0.35">
      <c r="A3416" t="s">
        <v>632</v>
      </c>
      <c r="B3416" s="1">
        <v>45849</v>
      </c>
      <c r="C3416">
        <f>YEAR(OrdersTable[[#This Row],[Order Date]])</f>
        <v>2025</v>
      </c>
      <c r="D3416" s="2">
        <f>DATE(YEAR(OrdersTable[[#This Row],[Order Date]]),MONTH(OrdersTable[[#This Row],[Order Date]]),1)</f>
        <v>45839</v>
      </c>
      <c r="E3416">
        <f>MONTH(OrdersTable[[#This Row],[Order Date]])</f>
        <v>7</v>
      </c>
      <c r="F3416" t="s">
        <v>633</v>
      </c>
      <c r="G3416" t="str">
        <f>IF(OrdersTable[[#This Row],[Order Date]]=_xlfn.MINIFS(Order_Date, Customer_ID, OrdersTable[[#This Row],[Customer ID]]), "New", "Repeat")</f>
        <v>Repeat</v>
      </c>
      <c r="H3416" t="s">
        <v>21</v>
      </c>
      <c r="I3416" t="str">
        <f>INDEX(State!B:B,MATCH(OrdersTable[[#This Row],[State]],State!A:A,0))</f>
        <v>PB</v>
      </c>
      <c r="J3416" t="str">
        <f>INDEX(State!C:C,MATCH(OrdersTable[[#This Row],[State Code]],State!B:B,0))</f>
        <v>North</v>
      </c>
      <c r="K3416" t="s">
        <v>22</v>
      </c>
      <c r="L3416" t="s">
        <v>65</v>
      </c>
      <c r="M3416" t="s">
        <v>73</v>
      </c>
      <c r="N3416" t="str">
        <f>INDEX(Products!B:B,MATCH(OrdersTable[[#This Row],[Product ID]],Products!A:A,0))</f>
        <v>Hydrating Face Wash</v>
      </c>
      <c r="O3416" t="str">
        <f>INDEX(Products!C:C,MATCH(OrdersTable[[#This Row],[Product ID]],Products!A:A,0))</f>
        <v>Skincare</v>
      </c>
      <c r="P3416">
        <v>1</v>
      </c>
      <c r="Q3416" s="5">
        <v>299</v>
      </c>
      <c r="R3416" s="74">
        <v>0</v>
      </c>
      <c r="S3416" s="75">
        <f>OrdersTable[[#This Row],[Quantity]]*OrdersTable[[#This Row],[Unit Price]]</f>
        <v>299</v>
      </c>
      <c r="T3416" s="5">
        <f>OrdersTable[[#This Row],[Gross Sale]]*OrdersTable[[#This Row],[Discount_Clean2]]</f>
        <v>0</v>
      </c>
      <c r="U3416" s="5">
        <f>OrdersTable[[#This Row],[Gross Sale]]-OrdersTable[[#This Row],[Discount Amount]]</f>
        <v>299</v>
      </c>
      <c r="V3416" s="77">
        <f>INDEX(Products!E:E,MATCH(OrdersTable[[#This Row],[Product ID]],Products!A:A,0))</f>
        <v>90</v>
      </c>
      <c r="W3416" s="77">
        <f>OrdersTable[[#This Row],[Quantity]]*OrdersTable[[#This Row],[Unit Cost]]</f>
        <v>90</v>
      </c>
      <c r="X3416" s="77">
        <f>'Dropdown Lists'!$I$2*(1+OrdersTable[[#This Row],[Returned]])</f>
        <v>60</v>
      </c>
      <c r="Y3416" s="76">
        <f>OrdersTable[[#This Row],[Net Revenue]]-OrdersTable[[#This Row],[COGS]]-OrdersTable[[#This Row],[Shipping Cost]]</f>
        <v>149</v>
      </c>
      <c r="Z3416" s="78">
        <f>IFERROR(OrdersTable[[#This Row],[Profit]]/OrdersTable[[#This Row],[Net Revenue]],0)</f>
        <v>0.49832775919732442</v>
      </c>
      <c r="AA3416" t="s">
        <v>18</v>
      </c>
      <c r="AB3416" s="79">
        <v>45853</v>
      </c>
      <c r="AC3416">
        <f>OrdersTable[[#This Row],[Delivery Date]]-OrdersTable[[#This Row],[Order Date]]</f>
        <v>4</v>
      </c>
      <c r="AD3416" t="str">
        <f>IF(OrdersTable[[#This Row],[Delivery Days]]&lt;=2, "Express (≤2d)", IF(OrdersTable[[#This Row],[Delivery Days]]&lt;=4, "Standard (3-4d)", "Delayed (5d+)"))</f>
        <v>Standard (3-4d)</v>
      </c>
      <c r="AE3416">
        <v>4</v>
      </c>
      <c r="AF3416">
        <v>0</v>
      </c>
    </row>
    <row r="3417" spans="1:32" ht="15" x14ac:dyDescent="0.35">
      <c r="A3417" t="s">
        <v>7018</v>
      </c>
      <c r="B3417" s="1">
        <v>45849</v>
      </c>
      <c r="C3417">
        <f>YEAR(OrdersTable[[#This Row],[Order Date]])</f>
        <v>2025</v>
      </c>
      <c r="D3417" s="2">
        <f>DATE(YEAR(OrdersTable[[#This Row],[Order Date]]),MONTH(OrdersTable[[#This Row],[Order Date]]),1)</f>
        <v>45839</v>
      </c>
      <c r="E3417">
        <f>MONTH(OrdersTable[[#This Row],[Order Date]])</f>
        <v>7</v>
      </c>
      <c r="F3417" t="s">
        <v>1129</v>
      </c>
      <c r="G3417" t="str">
        <f>IF(OrdersTable[[#This Row],[Order Date]]=_xlfn.MINIFS(Order_Date, Customer_ID, OrdersTable[[#This Row],[Customer ID]]), "New", "Repeat")</f>
        <v>Repeat</v>
      </c>
      <c r="H3417" t="s">
        <v>128</v>
      </c>
      <c r="I3417" t="str">
        <f>INDEX(State!B:B,MATCH(OrdersTable[[#This Row],[State]],State!A:A,0))</f>
        <v>DL</v>
      </c>
      <c r="J3417" t="str">
        <f>INDEX(State!C:C,MATCH(OrdersTable[[#This Row],[State Code]],State!B:B,0))</f>
        <v>North</v>
      </c>
      <c r="K3417" t="s">
        <v>129</v>
      </c>
      <c r="L3417" t="s">
        <v>65</v>
      </c>
      <c r="M3417" t="s">
        <v>152</v>
      </c>
      <c r="N3417" t="str">
        <f>INDEX(Products!B:B,MATCH(OrdersTable[[#This Row],[Product ID]],Products!A:A,0))</f>
        <v>Green Tea (100 bags)</v>
      </c>
      <c r="O3417" t="str">
        <f>INDEX(Products!C:C,MATCH(OrdersTable[[#This Row],[Product ID]],Products!A:A,0))</f>
        <v>Wellness</v>
      </c>
      <c r="P3417">
        <v>4</v>
      </c>
      <c r="Q3417" s="5">
        <v>399</v>
      </c>
      <c r="R3417" s="74">
        <v>0.4</v>
      </c>
      <c r="S3417" s="75">
        <f>OrdersTable[[#This Row],[Quantity]]*OrdersTable[[#This Row],[Unit Price]]</f>
        <v>1596</v>
      </c>
      <c r="T3417" s="5">
        <f>OrdersTable[[#This Row],[Gross Sale]]*OrdersTable[[#This Row],[Discount_Clean2]]</f>
        <v>638.40000000000009</v>
      </c>
      <c r="U3417" s="5">
        <f>OrdersTable[[#This Row],[Gross Sale]]-OrdersTable[[#This Row],[Discount Amount]]</f>
        <v>957.59999999999991</v>
      </c>
      <c r="V3417" s="77">
        <f>INDEX(Products!E:E,MATCH(OrdersTable[[#This Row],[Product ID]],Products!A:A,0))</f>
        <v>128</v>
      </c>
      <c r="W3417" s="77">
        <f>OrdersTable[[#This Row],[Quantity]]*OrdersTable[[#This Row],[Unit Cost]]</f>
        <v>512</v>
      </c>
      <c r="X3417" s="77">
        <f>'Dropdown Lists'!$I$2*(1+OrdersTable[[#This Row],[Returned]])</f>
        <v>60</v>
      </c>
      <c r="Y3417" s="76">
        <f>OrdersTable[[#This Row],[Net Revenue]]-OrdersTable[[#This Row],[COGS]]-OrdersTable[[#This Row],[Shipping Cost]]</f>
        <v>385.59999999999991</v>
      </c>
      <c r="Z3417" s="78">
        <f>IFERROR(OrdersTable[[#This Row],[Profit]]/OrdersTable[[#This Row],[Net Revenue]],0)</f>
        <v>0.40267335004177102</v>
      </c>
      <c r="AA3417" t="s">
        <v>2522</v>
      </c>
      <c r="AB3417" s="79">
        <v>45851</v>
      </c>
      <c r="AC3417">
        <f>OrdersTable[[#This Row],[Delivery Date]]-OrdersTable[[#This Row],[Order Date]]</f>
        <v>2</v>
      </c>
      <c r="AD3417" t="str">
        <f>IF(OrdersTable[[#This Row],[Delivery Days]]&lt;=2, "Express (≤2d)", IF(OrdersTable[[#This Row],[Delivery Days]]&lt;=4, "Standard (3-4d)", "Delayed (5d+)"))</f>
        <v>Express (≤2d)</v>
      </c>
      <c r="AF3417">
        <v>0</v>
      </c>
    </row>
    <row r="3418" spans="1:32" ht="15" x14ac:dyDescent="0.35">
      <c r="A3418" t="s">
        <v>6185</v>
      </c>
      <c r="B3418" s="1">
        <v>45849</v>
      </c>
      <c r="C3418">
        <f>YEAR(OrdersTable[[#This Row],[Order Date]])</f>
        <v>2025</v>
      </c>
      <c r="D3418" s="2">
        <f>DATE(YEAR(OrdersTable[[#This Row],[Order Date]]),MONTH(OrdersTable[[#This Row],[Order Date]]),1)</f>
        <v>45839</v>
      </c>
      <c r="E3418">
        <f>MONTH(OrdersTable[[#This Row],[Order Date]])</f>
        <v>7</v>
      </c>
      <c r="F3418" t="s">
        <v>1689</v>
      </c>
      <c r="G3418" t="str">
        <f>IF(OrdersTable[[#This Row],[Order Date]]=_xlfn.MINIFS(Order_Date, Customer_ID, OrdersTable[[#This Row],[Customer ID]]), "New", "Repeat")</f>
        <v>Repeat</v>
      </c>
      <c r="H3418" t="s">
        <v>76</v>
      </c>
      <c r="I3418" t="str">
        <f>INDEX(State!B:B,MATCH(OrdersTable[[#This Row],[State]],State!A:A,0))</f>
        <v>UP</v>
      </c>
      <c r="J3418" t="str">
        <f>INDEX(State!C:C,MATCH(OrdersTable[[#This Row],[State Code]],State!B:B,0))</f>
        <v>North</v>
      </c>
      <c r="K3418" t="s">
        <v>105</v>
      </c>
      <c r="L3418" t="s">
        <v>65</v>
      </c>
      <c r="M3418" t="s">
        <v>66</v>
      </c>
      <c r="N3418" t="str">
        <f>INDEX(Products!B:B,MATCH(OrdersTable[[#This Row],[Product ID]],Products!A:A,0))</f>
        <v>Sunscreen SPF 50</v>
      </c>
      <c r="O3418" t="str">
        <f>INDEX(Products!C:C,MATCH(OrdersTable[[#This Row],[Product ID]],Products!A:A,0))</f>
        <v>Skincare</v>
      </c>
      <c r="P3418">
        <v>2</v>
      </c>
      <c r="Q3418" s="5">
        <v>449</v>
      </c>
      <c r="R3418" s="74">
        <v>0</v>
      </c>
      <c r="S3418" s="75">
        <f>OrdersTable[[#This Row],[Quantity]]*OrdersTable[[#This Row],[Unit Price]]</f>
        <v>898</v>
      </c>
      <c r="T3418" s="5">
        <f>OrdersTable[[#This Row],[Gross Sale]]*OrdersTable[[#This Row],[Discount_Clean2]]</f>
        <v>0</v>
      </c>
      <c r="U3418" s="5">
        <f>OrdersTable[[#This Row],[Gross Sale]]-OrdersTable[[#This Row],[Discount Amount]]</f>
        <v>898</v>
      </c>
      <c r="V3418" s="77">
        <f>INDEX(Products!E:E,MATCH(OrdersTable[[#This Row],[Product ID]],Products!A:A,0))</f>
        <v>144</v>
      </c>
      <c r="W3418" s="77">
        <f>OrdersTable[[#This Row],[Quantity]]*OrdersTable[[#This Row],[Unit Cost]]</f>
        <v>288</v>
      </c>
      <c r="X3418" s="77">
        <f>'Dropdown Lists'!$I$2*(1+OrdersTable[[#This Row],[Returned]])</f>
        <v>60</v>
      </c>
      <c r="Y3418" s="76">
        <f>OrdersTable[[#This Row],[Net Revenue]]-OrdersTable[[#This Row],[COGS]]-OrdersTable[[#This Row],[Shipping Cost]]</f>
        <v>550</v>
      </c>
      <c r="Z3418" s="78">
        <f>IFERROR(OrdersTable[[#This Row],[Profit]]/OrdersTable[[#This Row],[Net Revenue]],0)</f>
        <v>0.61247216035634744</v>
      </c>
      <c r="AA3418" t="s">
        <v>18</v>
      </c>
      <c r="AB3418" s="79">
        <v>45851</v>
      </c>
      <c r="AC3418">
        <f>OrdersTable[[#This Row],[Delivery Date]]-OrdersTable[[#This Row],[Order Date]]</f>
        <v>2</v>
      </c>
      <c r="AD3418" t="str">
        <f>IF(OrdersTable[[#This Row],[Delivery Days]]&lt;=2, "Express (≤2d)", IF(OrdersTable[[#This Row],[Delivery Days]]&lt;=4, "Standard (3-4d)", "Delayed (5d+)"))</f>
        <v>Express (≤2d)</v>
      </c>
      <c r="AE3418">
        <v>4</v>
      </c>
      <c r="AF3418">
        <v>0</v>
      </c>
    </row>
    <row r="3419" spans="1:32" ht="15" x14ac:dyDescent="0.35">
      <c r="A3419" t="s">
        <v>7101</v>
      </c>
      <c r="B3419" s="1">
        <v>45849</v>
      </c>
      <c r="C3419">
        <f>YEAR(OrdersTable[[#This Row],[Order Date]])</f>
        <v>2025</v>
      </c>
      <c r="D3419" s="2">
        <f>DATE(YEAR(OrdersTable[[#This Row],[Order Date]]),MONTH(OrdersTable[[#This Row],[Order Date]]),1)</f>
        <v>45839</v>
      </c>
      <c r="E3419">
        <f>MONTH(OrdersTable[[#This Row],[Order Date]])</f>
        <v>7</v>
      </c>
      <c r="F3419" t="s">
        <v>1029</v>
      </c>
      <c r="G3419" t="str">
        <f>IF(OrdersTable[[#This Row],[Order Date]]=_xlfn.MINIFS(Order_Date, Customer_ID, OrdersTable[[#This Row],[Customer ID]]), "New", "Repeat")</f>
        <v>New</v>
      </c>
      <c r="H3419" t="s">
        <v>76</v>
      </c>
      <c r="I3419" t="str">
        <f>INDEX(State!B:B,MATCH(OrdersTable[[#This Row],[State]],State!A:A,0))</f>
        <v>UP</v>
      </c>
      <c r="J3419" t="str">
        <f>INDEX(State!C:C,MATCH(OrdersTable[[#This Row],[State Code]],State!B:B,0))</f>
        <v>North</v>
      </c>
      <c r="K3419" t="s">
        <v>118</v>
      </c>
      <c r="L3419" t="s">
        <v>39</v>
      </c>
      <c r="M3419" t="s">
        <v>160</v>
      </c>
      <c r="N3419" t="str">
        <f>INDEX(Products!B:B,MATCH(OrdersTable[[#This Row],[Product ID]],Products!A:A,0))</f>
        <v>Niacinamide Toner</v>
      </c>
      <c r="O3419" t="str">
        <f>INDEX(Products!C:C,MATCH(OrdersTable[[#This Row],[Product ID]],Products!A:A,0))</f>
        <v>Skincare</v>
      </c>
      <c r="P3419">
        <v>4</v>
      </c>
      <c r="Q3419" s="5">
        <v>399</v>
      </c>
      <c r="R3419" s="74">
        <v>0.15</v>
      </c>
      <c r="S3419" s="75">
        <f>OrdersTable[[#This Row],[Quantity]]*OrdersTable[[#This Row],[Unit Price]]</f>
        <v>1596</v>
      </c>
      <c r="T3419" s="5">
        <f>OrdersTable[[#This Row],[Gross Sale]]*OrdersTable[[#This Row],[Discount_Clean2]]</f>
        <v>239.39999999999998</v>
      </c>
      <c r="U3419" s="5">
        <f>OrdersTable[[#This Row],[Gross Sale]]-OrdersTable[[#This Row],[Discount Amount]]</f>
        <v>1356.6</v>
      </c>
      <c r="V3419" s="77">
        <f>INDEX(Products!E:E,MATCH(OrdersTable[[#This Row],[Product ID]],Products!A:A,0))</f>
        <v>112</v>
      </c>
      <c r="W3419" s="77">
        <f>OrdersTable[[#This Row],[Quantity]]*OrdersTable[[#This Row],[Unit Cost]]</f>
        <v>448</v>
      </c>
      <c r="X3419" s="77">
        <f>'Dropdown Lists'!$I$2*(1+OrdersTable[[#This Row],[Returned]])</f>
        <v>120</v>
      </c>
      <c r="Y3419" s="76">
        <f>OrdersTable[[#This Row],[Net Revenue]]-OrdersTable[[#This Row],[COGS]]-OrdersTable[[#This Row],[Shipping Cost]]</f>
        <v>788.59999999999991</v>
      </c>
      <c r="Z3419" s="78">
        <f>IFERROR(OrdersTable[[#This Row],[Profit]]/OrdersTable[[#This Row],[Net Revenue]],0)</f>
        <v>0.58130620669320354</v>
      </c>
      <c r="AA3419" t="s">
        <v>18</v>
      </c>
      <c r="AB3419" s="79">
        <v>45852</v>
      </c>
      <c r="AC3419">
        <f>OrdersTable[[#This Row],[Delivery Date]]-OrdersTable[[#This Row],[Order Date]]</f>
        <v>3</v>
      </c>
      <c r="AD3419" t="str">
        <f>IF(OrdersTable[[#This Row],[Delivery Days]]&lt;=2, "Express (≤2d)", IF(OrdersTable[[#This Row],[Delivery Days]]&lt;=4, "Standard (3-4d)", "Delayed (5d+)"))</f>
        <v>Standard (3-4d)</v>
      </c>
      <c r="AE3419">
        <v>4</v>
      </c>
      <c r="AF3419">
        <v>1</v>
      </c>
    </row>
    <row r="3420" spans="1:32" ht="15" x14ac:dyDescent="0.35">
      <c r="A3420" t="s">
        <v>5716</v>
      </c>
      <c r="B3420" s="1">
        <v>45849</v>
      </c>
      <c r="C3420">
        <f>YEAR(OrdersTable[[#This Row],[Order Date]])</f>
        <v>2025</v>
      </c>
      <c r="D3420" s="2">
        <f>DATE(YEAR(OrdersTable[[#This Row],[Order Date]]),MONTH(OrdersTable[[#This Row],[Order Date]]),1)</f>
        <v>45839</v>
      </c>
      <c r="E3420">
        <f>MONTH(OrdersTable[[#This Row],[Order Date]])</f>
        <v>7</v>
      </c>
      <c r="F3420" t="s">
        <v>3134</v>
      </c>
      <c r="G3420" t="str">
        <f>IF(OrdersTable[[#This Row],[Order Date]]=_xlfn.MINIFS(Order_Date, Customer_ID, OrdersTable[[#This Row],[Customer ID]]), "New", "Repeat")</f>
        <v>Repeat</v>
      </c>
      <c r="H3420" t="s">
        <v>27</v>
      </c>
      <c r="I3420" t="str">
        <f>INDEX(State!B:B,MATCH(OrdersTable[[#This Row],[State]],State!A:A,0))</f>
        <v>WB</v>
      </c>
      <c r="J3420" t="str">
        <f>INDEX(State!C:C,MATCH(OrdersTable[[#This Row],[State Code]],State!B:B,0))</f>
        <v>East</v>
      </c>
      <c r="K3420" t="s">
        <v>28</v>
      </c>
      <c r="L3420" t="s">
        <v>16</v>
      </c>
      <c r="M3420" t="s">
        <v>17</v>
      </c>
      <c r="N3420" t="str">
        <f>INDEX(Products!B:B,MATCH(OrdersTable[[#This Row],[Product ID]],Products!A:A,0))</f>
        <v>Casual Sneakers</v>
      </c>
      <c r="O3420" t="str">
        <f>INDEX(Products!C:C,MATCH(OrdersTable[[#This Row],[Product ID]],Products!A:A,0))</f>
        <v>Footwear</v>
      </c>
      <c r="P3420">
        <v>2</v>
      </c>
      <c r="Q3420" s="5">
        <v>2199</v>
      </c>
      <c r="R3420" s="74">
        <v>0.3</v>
      </c>
      <c r="S3420" s="75">
        <f>OrdersTable[[#This Row],[Quantity]]*OrdersTable[[#This Row],[Unit Price]]</f>
        <v>4398</v>
      </c>
      <c r="T3420" s="5">
        <f>OrdersTable[[#This Row],[Gross Sale]]*OrdersTable[[#This Row],[Discount_Clean2]]</f>
        <v>1319.3999999999999</v>
      </c>
      <c r="U3420" s="5">
        <f>OrdersTable[[#This Row],[Gross Sale]]-OrdersTable[[#This Row],[Discount Amount]]</f>
        <v>3078.6000000000004</v>
      </c>
      <c r="V3420" s="77">
        <f>INDEX(Products!E:E,MATCH(OrdersTable[[#This Row],[Product ID]],Products!A:A,0))</f>
        <v>1034</v>
      </c>
      <c r="W3420" s="77">
        <f>OrdersTable[[#This Row],[Quantity]]*OrdersTable[[#This Row],[Unit Cost]]</f>
        <v>2068</v>
      </c>
      <c r="X3420" s="77">
        <f>'Dropdown Lists'!$I$2*(1+OrdersTable[[#This Row],[Returned]])</f>
        <v>60</v>
      </c>
      <c r="Y3420" s="76">
        <f>OrdersTable[[#This Row],[Net Revenue]]-OrdersTable[[#This Row],[COGS]]-OrdersTable[[#This Row],[Shipping Cost]]</f>
        <v>950.60000000000036</v>
      </c>
      <c r="Z3420" s="78">
        <f>IFERROR(OrdersTable[[#This Row],[Profit]]/OrdersTable[[#This Row],[Net Revenue]],0)</f>
        <v>0.30877671668940437</v>
      </c>
      <c r="AA3420" t="s">
        <v>18</v>
      </c>
      <c r="AB3420" s="79">
        <v>45853</v>
      </c>
      <c r="AC3420">
        <f>OrdersTable[[#This Row],[Delivery Date]]-OrdersTable[[#This Row],[Order Date]]</f>
        <v>4</v>
      </c>
      <c r="AD3420" t="str">
        <f>IF(OrdersTable[[#This Row],[Delivery Days]]&lt;=2, "Express (≤2d)", IF(OrdersTable[[#This Row],[Delivery Days]]&lt;=4, "Standard (3-4d)", "Delayed (5d+)"))</f>
        <v>Standard (3-4d)</v>
      </c>
      <c r="AE3420">
        <v>3</v>
      </c>
      <c r="AF3420">
        <v>0</v>
      </c>
    </row>
    <row r="3421" spans="1:32" ht="15" x14ac:dyDescent="0.35">
      <c r="A3421" t="s">
        <v>4528</v>
      </c>
      <c r="B3421" s="1">
        <v>45849</v>
      </c>
      <c r="C3421">
        <f>YEAR(OrdersTable[[#This Row],[Order Date]])</f>
        <v>2025</v>
      </c>
      <c r="D3421" s="2">
        <f>DATE(YEAR(OrdersTable[[#This Row],[Order Date]]),MONTH(OrdersTable[[#This Row],[Order Date]]),1)</f>
        <v>45839</v>
      </c>
      <c r="E3421">
        <f>MONTH(OrdersTable[[#This Row],[Order Date]])</f>
        <v>7</v>
      </c>
      <c r="F3421" t="s">
        <v>1060</v>
      </c>
      <c r="G3421" t="str">
        <f>IF(OrdersTable[[#This Row],[Order Date]]=_xlfn.MINIFS(Order_Date, Customer_ID, OrdersTable[[#This Row],[Customer ID]]), "New", "Repeat")</f>
        <v>Repeat</v>
      </c>
      <c r="H3421" t="s">
        <v>167</v>
      </c>
      <c r="I3421" t="str">
        <f>INDEX(State!B:B,MATCH(OrdersTable[[#This Row],[State]],State!A:A,0))</f>
        <v>KA</v>
      </c>
      <c r="J3421" t="str">
        <f>INDEX(State!C:C,MATCH(OrdersTable[[#This Row],[State Code]],State!B:B,0))</f>
        <v>South</v>
      </c>
      <c r="K3421" t="s">
        <v>168</v>
      </c>
      <c r="L3421" t="s">
        <v>65</v>
      </c>
      <c r="M3421" t="s">
        <v>40</v>
      </c>
      <c r="N3421" t="str">
        <f>INDEX(Products!B:B,MATCH(OrdersTable[[#This Row],[Product ID]],Products!A:A,0))</f>
        <v>Ashwagandha Capsules</v>
      </c>
      <c r="O3421" t="str">
        <f>INDEX(Products!C:C,MATCH(OrdersTable[[#This Row],[Product ID]],Products!A:A,0))</f>
        <v>Wellness</v>
      </c>
      <c r="P3421">
        <v>1</v>
      </c>
      <c r="Q3421" s="5">
        <v>499</v>
      </c>
      <c r="R3421" s="74">
        <v>0.05</v>
      </c>
      <c r="S3421" s="75">
        <f>OrdersTable[[#This Row],[Quantity]]*OrdersTable[[#This Row],[Unit Price]]</f>
        <v>499</v>
      </c>
      <c r="T3421" s="5">
        <f>OrdersTable[[#This Row],[Gross Sale]]*OrdersTable[[#This Row],[Discount_Clean2]]</f>
        <v>24.950000000000003</v>
      </c>
      <c r="U3421" s="5">
        <f>OrdersTable[[#This Row],[Gross Sale]]-OrdersTable[[#This Row],[Discount Amount]]</f>
        <v>474.05</v>
      </c>
      <c r="V3421" s="77">
        <f>INDEX(Products!E:E,MATCH(OrdersTable[[#This Row],[Product ID]],Products!A:A,0))</f>
        <v>150</v>
      </c>
      <c r="W3421" s="77">
        <f>OrdersTable[[#This Row],[Quantity]]*OrdersTable[[#This Row],[Unit Cost]]</f>
        <v>150</v>
      </c>
      <c r="X3421" s="77">
        <f>'Dropdown Lists'!$I$2*(1+OrdersTable[[#This Row],[Returned]])</f>
        <v>60</v>
      </c>
      <c r="Y3421" s="76">
        <f>OrdersTable[[#This Row],[Net Revenue]]-OrdersTable[[#This Row],[COGS]]-OrdersTable[[#This Row],[Shipping Cost]]</f>
        <v>264.05</v>
      </c>
      <c r="Z3421" s="78">
        <f>IFERROR(OrdersTable[[#This Row],[Profit]]/OrdersTable[[#This Row],[Net Revenue]],0)</f>
        <v>0.55700875435080688</v>
      </c>
      <c r="AA3421" t="s">
        <v>4450</v>
      </c>
      <c r="AB3421" s="79">
        <v>45852</v>
      </c>
      <c r="AC3421">
        <f>OrdersTable[[#This Row],[Delivery Date]]-OrdersTable[[#This Row],[Order Date]]</f>
        <v>3</v>
      </c>
      <c r="AD3421" t="str">
        <f>IF(OrdersTable[[#This Row],[Delivery Days]]&lt;=2, "Express (≤2d)", IF(OrdersTable[[#This Row],[Delivery Days]]&lt;=4, "Standard (3-4d)", "Delayed (5d+)"))</f>
        <v>Standard (3-4d)</v>
      </c>
      <c r="AE3421">
        <v>4</v>
      </c>
      <c r="AF3421">
        <v>0</v>
      </c>
    </row>
    <row r="3422" spans="1:32" ht="15" x14ac:dyDescent="0.35">
      <c r="A3422" t="s">
        <v>3314</v>
      </c>
      <c r="B3422" s="1">
        <v>45850</v>
      </c>
      <c r="C3422">
        <f>YEAR(OrdersTable[[#This Row],[Order Date]])</f>
        <v>2025</v>
      </c>
      <c r="D3422" s="2">
        <f>DATE(YEAR(OrdersTable[[#This Row],[Order Date]]),MONTH(OrdersTable[[#This Row],[Order Date]]),1)</f>
        <v>45839</v>
      </c>
      <c r="E3422">
        <f>MONTH(OrdersTable[[#This Row],[Order Date]])</f>
        <v>7</v>
      </c>
      <c r="F3422" t="s">
        <v>3244</v>
      </c>
      <c r="G3422" t="str">
        <f>IF(OrdersTable[[#This Row],[Order Date]]=_xlfn.MINIFS(Order_Date, Customer_ID, OrdersTable[[#This Row],[Customer ID]]), "New", "Repeat")</f>
        <v>Repeat</v>
      </c>
      <c r="H3422" t="s">
        <v>27</v>
      </c>
      <c r="I3422" t="str">
        <f>INDEX(State!B:B,MATCH(OrdersTable[[#This Row],[State]],State!A:A,0))</f>
        <v>WB</v>
      </c>
      <c r="J3422" t="str">
        <f>INDEX(State!C:C,MATCH(OrdersTable[[#This Row],[State Code]],State!B:B,0))</f>
        <v>East</v>
      </c>
      <c r="K3422" t="s">
        <v>28</v>
      </c>
      <c r="L3422" t="s">
        <v>23</v>
      </c>
      <c r="M3422" t="s">
        <v>73</v>
      </c>
      <c r="N3422" t="str">
        <f>INDEX(Products!B:B,MATCH(OrdersTable[[#This Row],[Product ID]],Products!A:A,0))</f>
        <v>Hydrating Face Wash</v>
      </c>
      <c r="O3422" t="str">
        <f>INDEX(Products!C:C,MATCH(OrdersTable[[#This Row],[Product ID]],Products!A:A,0))</f>
        <v>Skincare</v>
      </c>
      <c r="P3422">
        <v>1</v>
      </c>
      <c r="Q3422" s="5">
        <v>299</v>
      </c>
      <c r="R3422" s="74">
        <v>0</v>
      </c>
      <c r="S3422" s="75">
        <f>OrdersTable[[#This Row],[Quantity]]*OrdersTable[[#This Row],[Unit Price]]</f>
        <v>299</v>
      </c>
      <c r="T3422" s="5">
        <f>OrdersTable[[#This Row],[Gross Sale]]*OrdersTable[[#This Row],[Discount_Clean2]]</f>
        <v>0</v>
      </c>
      <c r="U3422" s="5">
        <f>OrdersTable[[#This Row],[Gross Sale]]-OrdersTable[[#This Row],[Discount Amount]]</f>
        <v>299</v>
      </c>
      <c r="V3422" s="77">
        <f>INDEX(Products!E:E,MATCH(OrdersTable[[#This Row],[Product ID]],Products!A:A,0))</f>
        <v>90</v>
      </c>
      <c r="W3422" s="77">
        <f>OrdersTable[[#This Row],[Quantity]]*OrdersTable[[#This Row],[Unit Cost]]</f>
        <v>90</v>
      </c>
      <c r="X3422" s="77">
        <f>'Dropdown Lists'!$I$2*(1+OrdersTable[[#This Row],[Returned]])</f>
        <v>60</v>
      </c>
      <c r="Y3422" s="76">
        <f>OrdersTable[[#This Row],[Net Revenue]]-OrdersTable[[#This Row],[COGS]]-OrdersTable[[#This Row],[Shipping Cost]]</f>
        <v>149</v>
      </c>
      <c r="Z3422" s="78">
        <f>IFERROR(OrdersTable[[#This Row],[Profit]]/OrdersTable[[#This Row],[Net Revenue]],0)</f>
        <v>0.49832775919732442</v>
      </c>
      <c r="AA3422" t="s">
        <v>2522</v>
      </c>
      <c r="AB3422" s="79">
        <v>45852</v>
      </c>
      <c r="AC3422">
        <f>OrdersTable[[#This Row],[Delivery Date]]-OrdersTable[[#This Row],[Order Date]]</f>
        <v>2</v>
      </c>
      <c r="AD3422" t="str">
        <f>IF(OrdersTable[[#This Row],[Delivery Days]]&lt;=2, "Express (≤2d)", IF(OrdersTable[[#This Row],[Delivery Days]]&lt;=4, "Standard (3-4d)", "Delayed (5d+)"))</f>
        <v>Express (≤2d)</v>
      </c>
      <c r="AE3422">
        <v>4</v>
      </c>
      <c r="AF3422">
        <v>0</v>
      </c>
    </row>
    <row r="3423" spans="1:32" ht="15" x14ac:dyDescent="0.35">
      <c r="A3423" t="s">
        <v>3646</v>
      </c>
      <c r="B3423" s="1">
        <v>45850</v>
      </c>
      <c r="C3423">
        <f>YEAR(OrdersTable[[#This Row],[Order Date]])</f>
        <v>2025</v>
      </c>
      <c r="D3423" s="2">
        <f>DATE(YEAR(OrdersTable[[#This Row],[Order Date]]),MONTH(OrdersTable[[#This Row],[Order Date]]),1)</f>
        <v>45839</v>
      </c>
      <c r="E3423">
        <f>MONTH(OrdersTable[[#This Row],[Order Date]])</f>
        <v>7</v>
      </c>
      <c r="F3423" t="s">
        <v>3647</v>
      </c>
      <c r="G3423" t="str">
        <f>IF(OrdersTable[[#This Row],[Order Date]]=_xlfn.MINIFS(Order_Date, Customer_ID, OrdersTable[[#This Row],[Customer ID]]), "New", "Repeat")</f>
        <v>Repeat</v>
      </c>
      <c r="H3423" t="s">
        <v>27</v>
      </c>
      <c r="I3423" t="str">
        <f>INDEX(State!B:B,MATCH(OrdersTable[[#This Row],[State]],State!A:A,0))</f>
        <v>WB</v>
      </c>
      <c r="J3423" t="str">
        <f>INDEX(State!C:C,MATCH(OrdersTable[[#This Row],[State Code]],State!B:B,0))</f>
        <v>East</v>
      </c>
      <c r="K3423" t="s">
        <v>28</v>
      </c>
      <c r="L3423" t="s">
        <v>65</v>
      </c>
      <c r="M3423" t="s">
        <v>61</v>
      </c>
      <c r="N3423" t="str">
        <f>INDEX(Products!B:B,MATCH(OrdersTable[[#This Row],[Product ID]],Products!A:A,0))</f>
        <v>Multivitamin Gummies</v>
      </c>
      <c r="O3423" t="str">
        <f>INDEX(Products!C:C,MATCH(OrdersTable[[#This Row],[Product ID]],Products!A:A,0))</f>
        <v>Wellness</v>
      </c>
      <c r="P3423">
        <v>1</v>
      </c>
      <c r="Q3423" s="5">
        <v>699</v>
      </c>
      <c r="R3423" s="74">
        <v>0.25</v>
      </c>
      <c r="S3423" s="75">
        <f>OrdersTable[[#This Row],[Quantity]]*OrdersTable[[#This Row],[Unit Price]]</f>
        <v>699</v>
      </c>
      <c r="T3423" s="5">
        <f>OrdersTable[[#This Row],[Gross Sale]]*OrdersTable[[#This Row],[Discount_Clean2]]</f>
        <v>174.75</v>
      </c>
      <c r="U3423" s="5">
        <f>OrdersTable[[#This Row],[Gross Sale]]-OrdersTable[[#This Row],[Discount Amount]]</f>
        <v>524.25</v>
      </c>
      <c r="V3423" s="77">
        <f>INDEX(Products!E:E,MATCH(OrdersTable[[#This Row],[Product ID]],Products!A:A,0))</f>
        <v>238</v>
      </c>
      <c r="W3423" s="77">
        <f>OrdersTable[[#This Row],[Quantity]]*OrdersTable[[#This Row],[Unit Cost]]</f>
        <v>238</v>
      </c>
      <c r="X3423" s="77">
        <f>'Dropdown Lists'!$I$2*(1+OrdersTable[[#This Row],[Returned]])</f>
        <v>60</v>
      </c>
      <c r="Y3423" s="76">
        <f>OrdersTable[[#This Row],[Net Revenue]]-OrdersTable[[#This Row],[COGS]]-OrdersTable[[#This Row],[Shipping Cost]]</f>
        <v>226.25</v>
      </c>
      <c r="Z3423" s="78">
        <f>IFERROR(OrdersTable[[#This Row],[Profit]]/OrdersTable[[#This Row],[Net Revenue]],0)</f>
        <v>0.43156890796375774</v>
      </c>
      <c r="AA3423" t="s">
        <v>3495</v>
      </c>
      <c r="AB3423" s="79">
        <v>45854</v>
      </c>
      <c r="AC3423">
        <f>OrdersTable[[#This Row],[Delivery Date]]-OrdersTable[[#This Row],[Order Date]]</f>
        <v>4</v>
      </c>
      <c r="AD3423" t="str">
        <f>IF(OrdersTable[[#This Row],[Delivery Days]]&lt;=2, "Express (≤2d)", IF(OrdersTable[[#This Row],[Delivery Days]]&lt;=4, "Standard (3-4d)", "Delayed (5d+)"))</f>
        <v>Standard (3-4d)</v>
      </c>
      <c r="AE3423">
        <v>4</v>
      </c>
      <c r="AF3423">
        <v>0</v>
      </c>
    </row>
    <row r="3424" spans="1:32" ht="15" x14ac:dyDescent="0.35">
      <c r="A3424" t="s">
        <v>846</v>
      </c>
      <c r="B3424" s="1">
        <v>45850</v>
      </c>
      <c r="C3424">
        <f>YEAR(OrdersTable[[#This Row],[Order Date]])</f>
        <v>2025</v>
      </c>
      <c r="D3424" s="2">
        <f>DATE(YEAR(OrdersTable[[#This Row],[Order Date]]),MONTH(OrdersTable[[#This Row],[Order Date]]),1)</f>
        <v>45839</v>
      </c>
      <c r="E3424">
        <f>MONTH(OrdersTable[[#This Row],[Order Date]])</f>
        <v>7</v>
      </c>
      <c r="F3424" t="s">
        <v>847</v>
      </c>
      <c r="G3424" t="str">
        <f>IF(OrdersTable[[#This Row],[Order Date]]=_xlfn.MINIFS(Order_Date, Customer_ID, OrdersTable[[#This Row],[Customer ID]]), "New", "Repeat")</f>
        <v>New</v>
      </c>
      <c r="H3424" t="s">
        <v>71</v>
      </c>
      <c r="I3424" t="str">
        <f>INDEX(State!B:B,MATCH(OrdersTable[[#This Row],[State]],State!A:A,0))</f>
        <v>MH</v>
      </c>
      <c r="J3424" t="str">
        <f>INDEX(State!C:C,MATCH(OrdersTable[[#This Row],[State Code]],State!B:B,0))</f>
        <v>West</v>
      </c>
      <c r="K3424" t="s">
        <v>102</v>
      </c>
      <c r="L3424" t="s">
        <v>16</v>
      </c>
      <c r="M3424" t="s">
        <v>34</v>
      </c>
      <c r="N3424" t="str">
        <f>INDEX(Products!B:B,MATCH(OrdersTable[[#This Row],[Product ID]],Products!A:A,0))</f>
        <v>Flip Flops</v>
      </c>
      <c r="O3424" t="str">
        <f>INDEX(Products!C:C,MATCH(OrdersTable[[#This Row],[Product ID]],Products!A:A,0))</f>
        <v>Footwear</v>
      </c>
      <c r="P3424">
        <v>1</v>
      </c>
      <c r="Q3424" s="5">
        <v>399</v>
      </c>
      <c r="R3424" s="74">
        <v>0.05</v>
      </c>
      <c r="S3424" s="75">
        <f>OrdersTable[[#This Row],[Quantity]]*OrdersTable[[#This Row],[Unit Price]]</f>
        <v>399</v>
      </c>
      <c r="T3424" s="5">
        <f>OrdersTable[[#This Row],[Gross Sale]]*OrdersTable[[#This Row],[Discount_Clean2]]</f>
        <v>19.950000000000003</v>
      </c>
      <c r="U3424" s="5">
        <f>OrdersTable[[#This Row],[Gross Sale]]-OrdersTable[[#This Row],[Discount Amount]]</f>
        <v>379.05</v>
      </c>
      <c r="V3424" s="77">
        <f>INDEX(Products!E:E,MATCH(OrdersTable[[#This Row],[Product ID]],Products!A:A,0))</f>
        <v>152</v>
      </c>
      <c r="W3424" s="77">
        <f>OrdersTable[[#This Row],[Quantity]]*OrdersTable[[#This Row],[Unit Cost]]</f>
        <v>152</v>
      </c>
      <c r="X3424" s="77">
        <f>'Dropdown Lists'!$I$2*(1+OrdersTable[[#This Row],[Returned]])</f>
        <v>60</v>
      </c>
      <c r="Y3424" s="76">
        <f>OrdersTable[[#This Row],[Net Revenue]]-OrdersTable[[#This Row],[COGS]]-OrdersTable[[#This Row],[Shipping Cost]]</f>
        <v>167.05</v>
      </c>
      <c r="Z3424" s="78">
        <f>IFERROR(OrdersTable[[#This Row],[Profit]]/OrdersTable[[#This Row],[Net Revenue]],0)</f>
        <v>0.44070703073473161</v>
      </c>
      <c r="AA3424" t="s">
        <v>18</v>
      </c>
      <c r="AB3424" s="79">
        <v>45853</v>
      </c>
      <c r="AC3424">
        <f>OrdersTable[[#This Row],[Delivery Date]]-OrdersTable[[#This Row],[Order Date]]</f>
        <v>3</v>
      </c>
      <c r="AD3424" t="str">
        <f>IF(OrdersTable[[#This Row],[Delivery Days]]&lt;=2, "Express (≤2d)", IF(OrdersTable[[#This Row],[Delivery Days]]&lt;=4, "Standard (3-4d)", "Delayed (5d+)"))</f>
        <v>Standard (3-4d)</v>
      </c>
      <c r="AE3424">
        <v>4</v>
      </c>
      <c r="AF3424">
        <v>0</v>
      </c>
    </row>
    <row r="3425" spans="1:32" ht="15" x14ac:dyDescent="0.35">
      <c r="A3425" t="s">
        <v>3648</v>
      </c>
      <c r="B3425" s="1">
        <v>45851</v>
      </c>
      <c r="C3425">
        <f>YEAR(OrdersTable[[#This Row],[Order Date]])</f>
        <v>2025</v>
      </c>
      <c r="D3425" s="2">
        <f>DATE(YEAR(OrdersTable[[#This Row],[Order Date]]),MONTH(OrdersTable[[#This Row],[Order Date]]),1)</f>
        <v>45839</v>
      </c>
      <c r="E3425">
        <f>MONTH(OrdersTable[[#This Row],[Order Date]])</f>
        <v>7</v>
      </c>
      <c r="F3425" t="s">
        <v>1062</v>
      </c>
      <c r="G3425" t="str">
        <f>IF(OrdersTable[[#This Row],[Order Date]]=_xlfn.MINIFS(Order_Date, Customer_ID, OrdersTable[[#This Row],[Customer ID]]), "New", "Repeat")</f>
        <v>Repeat</v>
      </c>
      <c r="H3425" t="s">
        <v>54</v>
      </c>
      <c r="I3425" t="str">
        <f>INDEX(State!B:B,MATCH(OrdersTable[[#This Row],[State]],State!A:A,0))</f>
        <v>RJ</v>
      </c>
      <c r="J3425" t="str">
        <f>INDEX(State!C:C,MATCH(OrdersTable[[#This Row],[State Code]],State!B:B,0))</f>
        <v>North</v>
      </c>
      <c r="K3425" t="s">
        <v>227</v>
      </c>
      <c r="L3425" t="s">
        <v>65</v>
      </c>
      <c r="M3425" t="s">
        <v>106</v>
      </c>
      <c r="N3425" t="str">
        <f>INDEX(Products!B:B,MATCH(OrdersTable[[#This Row],[Product ID]],Products!A:A,0))</f>
        <v>Keratin Hair Mask</v>
      </c>
      <c r="O3425" t="str">
        <f>INDEX(Products!C:C,MATCH(OrdersTable[[#This Row],[Product ID]],Products!A:A,0))</f>
        <v>Haircare</v>
      </c>
      <c r="P3425">
        <v>1</v>
      </c>
      <c r="Q3425" s="5">
        <v>549</v>
      </c>
      <c r="R3425" s="74">
        <v>0.2</v>
      </c>
      <c r="S3425" s="75">
        <f>OrdersTable[[#This Row],[Quantity]]*OrdersTable[[#This Row],[Unit Price]]</f>
        <v>549</v>
      </c>
      <c r="T3425" s="5">
        <f>OrdersTable[[#This Row],[Gross Sale]]*OrdersTable[[#This Row],[Discount_Clean2]]</f>
        <v>109.80000000000001</v>
      </c>
      <c r="U3425" s="5">
        <f>OrdersTable[[#This Row],[Gross Sale]]-OrdersTable[[#This Row],[Discount Amount]]</f>
        <v>439.2</v>
      </c>
      <c r="V3425" s="77">
        <f>INDEX(Products!E:E,MATCH(OrdersTable[[#This Row],[Product ID]],Products!A:A,0))</f>
        <v>170</v>
      </c>
      <c r="W3425" s="77">
        <f>OrdersTable[[#This Row],[Quantity]]*OrdersTable[[#This Row],[Unit Cost]]</f>
        <v>170</v>
      </c>
      <c r="X3425" s="77">
        <f>'Dropdown Lists'!$I$2*(1+OrdersTable[[#This Row],[Returned]])</f>
        <v>60</v>
      </c>
      <c r="Y3425" s="76">
        <f>OrdersTable[[#This Row],[Net Revenue]]-OrdersTable[[#This Row],[COGS]]-OrdersTable[[#This Row],[Shipping Cost]]</f>
        <v>209.2</v>
      </c>
      <c r="Z3425" s="78">
        <f>IFERROR(OrdersTable[[#This Row],[Profit]]/OrdersTable[[#This Row],[Net Revenue]],0)</f>
        <v>0.47632058287795992</v>
      </c>
      <c r="AA3425" t="s">
        <v>3495</v>
      </c>
      <c r="AB3425" s="79">
        <v>45855</v>
      </c>
      <c r="AC3425">
        <f>OrdersTable[[#This Row],[Delivery Date]]-OrdersTable[[#This Row],[Order Date]]</f>
        <v>4</v>
      </c>
      <c r="AD3425" t="str">
        <f>IF(OrdersTable[[#This Row],[Delivery Days]]&lt;=2, "Express (≤2d)", IF(OrdersTable[[#This Row],[Delivery Days]]&lt;=4, "Standard (3-4d)", "Delayed (5d+)"))</f>
        <v>Standard (3-4d)</v>
      </c>
      <c r="AE3425">
        <v>4</v>
      </c>
      <c r="AF3425">
        <v>0</v>
      </c>
    </row>
    <row r="3426" spans="1:32" ht="15" x14ac:dyDescent="0.35">
      <c r="A3426" t="s">
        <v>5211</v>
      </c>
      <c r="B3426" s="1">
        <v>45851</v>
      </c>
      <c r="C3426">
        <f>YEAR(OrdersTable[[#This Row],[Order Date]])</f>
        <v>2025</v>
      </c>
      <c r="D3426" s="2">
        <f>DATE(YEAR(OrdersTable[[#This Row],[Order Date]]),MONTH(OrdersTable[[#This Row],[Order Date]]),1)</f>
        <v>45839</v>
      </c>
      <c r="E3426">
        <f>MONTH(OrdersTable[[#This Row],[Order Date]])</f>
        <v>7</v>
      </c>
      <c r="F3426" t="s">
        <v>3985</v>
      </c>
      <c r="G3426" t="str">
        <f>IF(OrdersTable[[#This Row],[Order Date]]=_xlfn.MINIFS(Order_Date, Customer_ID, OrdersTable[[#This Row],[Customer ID]]), "New", "Repeat")</f>
        <v>Repeat</v>
      </c>
      <c r="H3426" t="s">
        <v>128</v>
      </c>
      <c r="I3426" t="str">
        <f>INDEX(State!B:B,MATCH(OrdersTable[[#This Row],[State]],State!A:A,0))</f>
        <v>DL</v>
      </c>
      <c r="J3426" t="str">
        <f>INDEX(State!C:C,MATCH(OrdersTable[[#This Row],[State Code]],State!B:B,0))</f>
        <v>North</v>
      </c>
      <c r="K3426" t="s">
        <v>129</v>
      </c>
      <c r="L3426" t="s">
        <v>39</v>
      </c>
      <c r="M3426" t="s">
        <v>66</v>
      </c>
      <c r="N3426" t="str">
        <f>INDEX(Products!B:B,MATCH(OrdersTable[[#This Row],[Product ID]],Products!A:A,0))</f>
        <v>Sunscreen SPF 50</v>
      </c>
      <c r="O3426" t="str">
        <f>INDEX(Products!C:C,MATCH(OrdersTable[[#This Row],[Product ID]],Products!A:A,0))</f>
        <v>Skincare</v>
      </c>
      <c r="P3426">
        <v>2</v>
      </c>
      <c r="Q3426" s="5">
        <v>449</v>
      </c>
      <c r="R3426" s="74">
        <v>0.05</v>
      </c>
      <c r="S3426" s="75">
        <f>OrdersTable[[#This Row],[Quantity]]*OrdersTable[[#This Row],[Unit Price]]</f>
        <v>898</v>
      </c>
      <c r="T3426" s="5">
        <f>OrdersTable[[#This Row],[Gross Sale]]*OrdersTable[[#This Row],[Discount_Clean2]]</f>
        <v>44.900000000000006</v>
      </c>
      <c r="U3426" s="5">
        <f>OrdersTable[[#This Row],[Gross Sale]]-OrdersTable[[#This Row],[Discount Amount]]</f>
        <v>853.1</v>
      </c>
      <c r="V3426" s="77">
        <f>INDEX(Products!E:E,MATCH(OrdersTable[[#This Row],[Product ID]],Products!A:A,0))</f>
        <v>144</v>
      </c>
      <c r="W3426" s="77">
        <f>OrdersTable[[#This Row],[Quantity]]*OrdersTable[[#This Row],[Unit Cost]]</f>
        <v>288</v>
      </c>
      <c r="X3426" s="77">
        <f>'Dropdown Lists'!$I$2*(1+OrdersTable[[#This Row],[Returned]])</f>
        <v>60</v>
      </c>
      <c r="Y3426" s="76">
        <f>OrdersTable[[#This Row],[Net Revenue]]-OrdersTable[[#This Row],[COGS]]-OrdersTable[[#This Row],[Shipping Cost]]</f>
        <v>505.1</v>
      </c>
      <c r="Z3426" s="78">
        <f>IFERROR(OrdersTable[[#This Row],[Profit]]/OrdersTable[[#This Row],[Net Revenue]],0)</f>
        <v>0.59207595826983939</v>
      </c>
      <c r="AA3426" t="s">
        <v>3495</v>
      </c>
      <c r="AB3426" s="79">
        <v>45855</v>
      </c>
      <c r="AC3426">
        <f>OrdersTable[[#This Row],[Delivery Date]]-OrdersTable[[#This Row],[Order Date]]</f>
        <v>4</v>
      </c>
      <c r="AD3426" t="str">
        <f>IF(OrdersTable[[#This Row],[Delivery Days]]&lt;=2, "Express (≤2d)", IF(OrdersTable[[#This Row],[Delivery Days]]&lt;=4, "Standard (3-4d)", "Delayed (5d+)"))</f>
        <v>Standard (3-4d)</v>
      </c>
      <c r="AE3426">
        <v>4</v>
      </c>
      <c r="AF3426">
        <v>0</v>
      </c>
    </row>
    <row r="3427" spans="1:32" ht="15" x14ac:dyDescent="0.35">
      <c r="A3427" t="s">
        <v>332</v>
      </c>
      <c r="B3427" s="1">
        <v>45851</v>
      </c>
      <c r="C3427">
        <f>YEAR(OrdersTable[[#This Row],[Order Date]])</f>
        <v>2025</v>
      </c>
      <c r="D3427" s="2">
        <f>DATE(YEAR(OrdersTable[[#This Row],[Order Date]]),MONTH(OrdersTable[[#This Row],[Order Date]]),1)</f>
        <v>45839</v>
      </c>
      <c r="E3427">
        <f>MONTH(OrdersTable[[#This Row],[Order Date]])</f>
        <v>7</v>
      </c>
      <c r="F3427" t="s">
        <v>333</v>
      </c>
      <c r="G3427" t="str">
        <f>IF(OrdersTable[[#This Row],[Order Date]]=_xlfn.MINIFS(Order_Date, Customer_ID, OrdersTable[[#This Row],[Customer ID]]), "New", "Repeat")</f>
        <v>Repeat</v>
      </c>
      <c r="H3427" t="s">
        <v>71</v>
      </c>
      <c r="I3427" t="str">
        <f>INDEX(State!B:B,MATCH(OrdersTable[[#This Row],[State]],State!A:A,0))</f>
        <v>MH</v>
      </c>
      <c r="J3427" t="str">
        <f>INDEX(State!C:C,MATCH(OrdersTable[[#This Row],[State Code]],State!B:B,0))</f>
        <v>West</v>
      </c>
      <c r="K3427" t="s">
        <v>102</v>
      </c>
      <c r="L3427" t="s">
        <v>16</v>
      </c>
      <c r="M3427" t="s">
        <v>34</v>
      </c>
      <c r="N3427" t="str">
        <f>INDEX(Products!B:B,MATCH(OrdersTable[[#This Row],[Product ID]],Products!A:A,0))</f>
        <v>Flip Flops</v>
      </c>
      <c r="O3427" t="str">
        <f>INDEX(Products!C:C,MATCH(OrdersTable[[#This Row],[Product ID]],Products!A:A,0))</f>
        <v>Footwear</v>
      </c>
      <c r="P3427">
        <v>1</v>
      </c>
      <c r="Q3427" s="5">
        <v>399</v>
      </c>
      <c r="R3427" s="74">
        <v>0.2</v>
      </c>
      <c r="S3427" s="75">
        <f>OrdersTable[[#This Row],[Quantity]]*OrdersTable[[#This Row],[Unit Price]]</f>
        <v>399</v>
      </c>
      <c r="T3427" s="5">
        <f>OrdersTable[[#This Row],[Gross Sale]]*OrdersTable[[#This Row],[Discount_Clean2]]</f>
        <v>79.800000000000011</v>
      </c>
      <c r="U3427" s="5">
        <f>OrdersTable[[#This Row],[Gross Sale]]-OrdersTable[[#This Row],[Discount Amount]]</f>
        <v>319.2</v>
      </c>
      <c r="V3427" s="77">
        <f>INDEX(Products!E:E,MATCH(OrdersTable[[#This Row],[Product ID]],Products!A:A,0))</f>
        <v>152</v>
      </c>
      <c r="W3427" s="77">
        <f>OrdersTable[[#This Row],[Quantity]]*OrdersTable[[#This Row],[Unit Cost]]</f>
        <v>152</v>
      </c>
      <c r="X3427" s="77">
        <f>'Dropdown Lists'!$I$2*(1+OrdersTable[[#This Row],[Returned]])</f>
        <v>60</v>
      </c>
      <c r="Y3427" s="76">
        <f>OrdersTable[[#This Row],[Net Revenue]]-OrdersTable[[#This Row],[COGS]]-OrdersTable[[#This Row],[Shipping Cost]]</f>
        <v>107.19999999999999</v>
      </c>
      <c r="Z3427" s="78">
        <f>IFERROR(OrdersTable[[#This Row],[Profit]]/OrdersTable[[#This Row],[Net Revenue]],0)</f>
        <v>0.33583959899749372</v>
      </c>
      <c r="AA3427" t="s">
        <v>18</v>
      </c>
      <c r="AB3427" s="79">
        <v>45853</v>
      </c>
      <c r="AC3427">
        <f>OrdersTable[[#This Row],[Delivery Date]]-OrdersTable[[#This Row],[Order Date]]</f>
        <v>2</v>
      </c>
      <c r="AD3427" t="str">
        <f>IF(OrdersTable[[#This Row],[Delivery Days]]&lt;=2, "Express (≤2d)", IF(OrdersTable[[#This Row],[Delivery Days]]&lt;=4, "Standard (3-4d)", "Delayed (5d+)"))</f>
        <v>Express (≤2d)</v>
      </c>
      <c r="AE3427">
        <v>4</v>
      </c>
      <c r="AF3427">
        <v>0</v>
      </c>
    </row>
    <row r="3428" spans="1:32" ht="15" x14ac:dyDescent="0.35">
      <c r="A3428" t="s">
        <v>4426</v>
      </c>
      <c r="B3428" s="1">
        <v>45852</v>
      </c>
      <c r="C3428">
        <f>YEAR(OrdersTable[[#This Row],[Order Date]])</f>
        <v>2025</v>
      </c>
      <c r="D3428" s="2">
        <f>DATE(YEAR(OrdersTable[[#This Row],[Order Date]]),MONTH(OrdersTable[[#This Row],[Order Date]]),1)</f>
        <v>45839</v>
      </c>
      <c r="E3428">
        <f>MONTH(OrdersTable[[#This Row],[Order Date]])</f>
        <v>7</v>
      </c>
      <c r="F3428" t="s">
        <v>468</v>
      </c>
      <c r="G3428" t="str">
        <f>IF(OrdersTable[[#This Row],[Order Date]]=_xlfn.MINIFS(Order_Date, Customer_ID, OrdersTable[[#This Row],[Customer ID]]), "New", "Repeat")</f>
        <v>Repeat</v>
      </c>
      <c r="H3428" t="s">
        <v>54</v>
      </c>
      <c r="I3428" t="str">
        <f>INDEX(State!B:B,MATCH(OrdersTable[[#This Row],[State]],State!A:A,0))</f>
        <v>RJ</v>
      </c>
      <c r="J3428" t="str">
        <f>INDEX(State!C:C,MATCH(OrdersTable[[#This Row],[State Code]],State!B:B,0))</f>
        <v>North</v>
      </c>
      <c r="K3428" t="s">
        <v>227</v>
      </c>
      <c r="L3428" t="s">
        <v>16</v>
      </c>
      <c r="M3428" t="s">
        <v>34</v>
      </c>
      <c r="N3428" t="str">
        <f>INDEX(Products!B:B,MATCH(OrdersTable[[#This Row],[Product ID]],Products!A:A,0))</f>
        <v>Flip Flops</v>
      </c>
      <c r="O3428" t="str">
        <f>INDEX(Products!C:C,MATCH(OrdersTable[[#This Row],[Product ID]],Products!A:A,0))</f>
        <v>Footwear</v>
      </c>
      <c r="P3428">
        <v>1</v>
      </c>
      <c r="Q3428" s="5">
        <v>399</v>
      </c>
      <c r="R3428" s="74">
        <v>0.1</v>
      </c>
      <c r="S3428" s="75">
        <f>OrdersTable[[#This Row],[Quantity]]*OrdersTable[[#This Row],[Unit Price]]</f>
        <v>399</v>
      </c>
      <c r="T3428" s="5">
        <f>OrdersTable[[#This Row],[Gross Sale]]*OrdersTable[[#This Row],[Discount_Clean2]]</f>
        <v>39.900000000000006</v>
      </c>
      <c r="U3428" s="5">
        <f>OrdersTable[[#This Row],[Gross Sale]]-OrdersTable[[#This Row],[Discount Amount]]</f>
        <v>359.1</v>
      </c>
      <c r="V3428" s="77">
        <f>INDEX(Products!E:E,MATCH(OrdersTable[[#This Row],[Product ID]],Products!A:A,0))</f>
        <v>152</v>
      </c>
      <c r="W3428" s="77">
        <f>OrdersTable[[#This Row],[Quantity]]*OrdersTable[[#This Row],[Unit Cost]]</f>
        <v>152</v>
      </c>
      <c r="X3428" s="77">
        <f>'Dropdown Lists'!$I$2*(1+OrdersTable[[#This Row],[Returned]])</f>
        <v>60</v>
      </c>
      <c r="Y3428" s="76">
        <f>OrdersTable[[#This Row],[Net Revenue]]-OrdersTable[[#This Row],[COGS]]-OrdersTable[[#This Row],[Shipping Cost]]</f>
        <v>147.10000000000002</v>
      </c>
      <c r="Z3428" s="78">
        <f>IFERROR(OrdersTable[[#This Row],[Profit]]/OrdersTable[[#This Row],[Net Revenue]],0)</f>
        <v>0.40963519910888335</v>
      </c>
      <c r="AA3428" t="s">
        <v>4074</v>
      </c>
      <c r="AB3428" s="79">
        <v>45857</v>
      </c>
      <c r="AC3428">
        <f>OrdersTable[[#This Row],[Delivery Date]]-OrdersTable[[#This Row],[Order Date]]</f>
        <v>5</v>
      </c>
      <c r="AD3428" t="str">
        <f>IF(OrdersTable[[#This Row],[Delivery Days]]&lt;=2, "Express (≤2d)", IF(OrdersTable[[#This Row],[Delivery Days]]&lt;=4, "Standard (3-4d)", "Delayed (5d+)"))</f>
        <v>Delayed (5d+)</v>
      </c>
      <c r="AE3428">
        <v>4</v>
      </c>
      <c r="AF3428">
        <v>0</v>
      </c>
    </row>
    <row r="3429" spans="1:32" ht="15" x14ac:dyDescent="0.35">
      <c r="A3429" t="s">
        <v>5717</v>
      </c>
      <c r="B3429" s="1">
        <v>45852</v>
      </c>
      <c r="C3429">
        <f>YEAR(OrdersTable[[#This Row],[Order Date]])</f>
        <v>2025</v>
      </c>
      <c r="D3429" s="2">
        <f>DATE(YEAR(OrdersTable[[#This Row],[Order Date]]),MONTH(OrdersTable[[#This Row],[Order Date]]),1)</f>
        <v>45839</v>
      </c>
      <c r="E3429">
        <f>MONTH(OrdersTable[[#This Row],[Order Date]])</f>
        <v>7</v>
      </c>
      <c r="F3429" t="s">
        <v>3931</v>
      </c>
      <c r="G3429" t="str">
        <f>IF(OrdersTable[[#This Row],[Order Date]]=_xlfn.MINIFS(Order_Date, Customer_ID, OrdersTable[[#This Row],[Customer ID]]), "New", "Repeat")</f>
        <v>Repeat</v>
      </c>
      <c r="H3429" t="s">
        <v>54</v>
      </c>
      <c r="I3429" t="str">
        <f>INDEX(State!B:B,MATCH(OrdersTable[[#This Row],[State]],State!A:A,0))</f>
        <v>RJ</v>
      </c>
      <c r="J3429" t="str">
        <f>INDEX(State!C:C,MATCH(OrdersTable[[#This Row],[State Code]],State!B:B,0))</f>
        <v>North</v>
      </c>
      <c r="K3429" t="s">
        <v>227</v>
      </c>
      <c r="L3429" t="s">
        <v>39</v>
      </c>
      <c r="M3429" t="s">
        <v>179</v>
      </c>
      <c r="N3429" t="str">
        <f>INDEX(Products!B:B,MATCH(OrdersTable[[#This Row],[Product ID]],Products!A:A,0))</f>
        <v>Whey Protein 1kg</v>
      </c>
      <c r="O3429" t="str">
        <f>INDEX(Products!C:C,MATCH(OrdersTable[[#This Row],[Product ID]],Products!A:A,0))</f>
        <v>Wellness</v>
      </c>
      <c r="P3429">
        <v>2</v>
      </c>
      <c r="Q3429" s="5">
        <v>2299</v>
      </c>
      <c r="R3429" s="74">
        <v>0.3</v>
      </c>
      <c r="S3429" s="75">
        <f>OrdersTable[[#This Row],[Quantity]]*OrdersTable[[#This Row],[Unit Price]]</f>
        <v>4598</v>
      </c>
      <c r="T3429" s="5">
        <f>OrdersTable[[#This Row],[Gross Sale]]*OrdersTable[[#This Row],[Discount_Clean2]]</f>
        <v>1379.3999999999999</v>
      </c>
      <c r="U3429" s="5">
        <f>OrdersTable[[#This Row],[Gross Sale]]-OrdersTable[[#This Row],[Discount Amount]]</f>
        <v>3218.6000000000004</v>
      </c>
      <c r="V3429" s="77">
        <f>INDEX(Products!E:E,MATCH(OrdersTable[[#This Row],[Product ID]],Products!A:A,0))</f>
        <v>1333</v>
      </c>
      <c r="W3429" s="77">
        <f>OrdersTable[[#This Row],[Quantity]]*OrdersTable[[#This Row],[Unit Cost]]</f>
        <v>2666</v>
      </c>
      <c r="X3429" s="77">
        <f>'Dropdown Lists'!$I$2*(1+OrdersTable[[#This Row],[Returned]])</f>
        <v>60</v>
      </c>
      <c r="Y3429" s="76">
        <f>OrdersTable[[#This Row],[Net Revenue]]-OrdersTable[[#This Row],[COGS]]-OrdersTable[[#This Row],[Shipping Cost]]</f>
        <v>492.60000000000036</v>
      </c>
      <c r="Z3429" s="78">
        <f>IFERROR(OrdersTable[[#This Row],[Profit]]/OrdersTable[[#This Row],[Net Revenue]],0)</f>
        <v>0.15304790902877036</v>
      </c>
      <c r="AA3429" t="s">
        <v>18</v>
      </c>
      <c r="AB3429" s="79">
        <v>45859</v>
      </c>
      <c r="AC3429">
        <f>OrdersTable[[#This Row],[Delivery Date]]-OrdersTable[[#This Row],[Order Date]]</f>
        <v>7</v>
      </c>
      <c r="AD3429" t="str">
        <f>IF(OrdersTable[[#This Row],[Delivery Days]]&lt;=2, "Express (≤2d)", IF(OrdersTable[[#This Row],[Delivery Days]]&lt;=4, "Standard (3-4d)", "Delayed (5d+)"))</f>
        <v>Delayed (5d+)</v>
      </c>
      <c r="AE3429">
        <v>3</v>
      </c>
      <c r="AF3429">
        <v>0</v>
      </c>
    </row>
    <row r="3430" spans="1:32" ht="15" x14ac:dyDescent="0.35">
      <c r="A3430" t="s">
        <v>6383</v>
      </c>
      <c r="B3430" s="1">
        <v>45852</v>
      </c>
      <c r="C3430">
        <f>YEAR(OrdersTable[[#This Row],[Order Date]])</f>
        <v>2025</v>
      </c>
      <c r="D3430" s="2">
        <f>DATE(YEAR(OrdersTable[[#This Row],[Order Date]]),MONTH(OrdersTable[[#This Row],[Order Date]]),1)</f>
        <v>45839</v>
      </c>
      <c r="E3430">
        <f>MONTH(OrdersTable[[#This Row],[Order Date]])</f>
        <v>7</v>
      </c>
      <c r="F3430" t="s">
        <v>5709</v>
      </c>
      <c r="G3430" t="str">
        <f>IF(OrdersTable[[#This Row],[Order Date]]=_xlfn.MINIFS(Order_Date, Customer_ID, OrdersTable[[#This Row],[Customer ID]]), "New", "Repeat")</f>
        <v>Repeat</v>
      </c>
      <c r="H3430" t="s">
        <v>37</v>
      </c>
      <c r="I3430" t="str">
        <f>INDEX(State!B:B,MATCH(OrdersTable[[#This Row],[State]],State!A:A,0))</f>
        <v>GJ</v>
      </c>
      <c r="J3430" t="str">
        <f>INDEX(State!C:C,MATCH(OrdersTable[[#This Row],[State Code]],State!B:B,0))</f>
        <v>West</v>
      </c>
      <c r="K3430" t="s">
        <v>247</v>
      </c>
      <c r="L3430" t="s">
        <v>65</v>
      </c>
      <c r="M3430" t="s">
        <v>34</v>
      </c>
      <c r="N3430" t="str">
        <f>INDEX(Products!B:B,MATCH(OrdersTable[[#This Row],[Product ID]],Products!A:A,0))</f>
        <v>Flip Flops</v>
      </c>
      <c r="O3430" t="str">
        <f>INDEX(Products!C:C,MATCH(OrdersTable[[#This Row],[Product ID]],Products!A:A,0))</f>
        <v>Footwear</v>
      </c>
      <c r="P3430">
        <v>2</v>
      </c>
      <c r="Q3430" s="5">
        <v>399</v>
      </c>
      <c r="R3430" s="74">
        <v>0.1</v>
      </c>
      <c r="S3430" s="75">
        <f>OrdersTable[[#This Row],[Quantity]]*OrdersTable[[#This Row],[Unit Price]]</f>
        <v>798</v>
      </c>
      <c r="T3430" s="5">
        <f>OrdersTable[[#This Row],[Gross Sale]]*OrdersTable[[#This Row],[Discount_Clean2]]</f>
        <v>79.800000000000011</v>
      </c>
      <c r="U3430" s="5">
        <f>OrdersTable[[#This Row],[Gross Sale]]-OrdersTable[[#This Row],[Discount Amount]]</f>
        <v>718.2</v>
      </c>
      <c r="V3430" s="77">
        <f>INDEX(Products!E:E,MATCH(OrdersTable[[#This Row],[Product ID]],Products!A:A,0))</f>
        <v>152</v>
      </c>
      <c r="W3430" s="77">
        <f>OrdersTable[[#This Row],[Quantity]]*OrdersTable[[#This Row],[Unit Cost]]</f>
        <v>304</v>
      </c>
      <c r="X3430" s="77">
        <f>'Dropdown Lists'!$I$2*(1+OrdersTable[[#This Row],[Returned]])</f>
        <v>60</v>
      </c>
      <c r="Y3430" s="76">
        <f>OrdersTable[[#This Row],[Net Revenue]]-OrdersTable[[#This Row],[COGS]]-OrdersTable[[#This Row],[Shipping Cost]]</f>
        <v>354.20000000000005</v>
      </c>
      <c r="Z3430" s="78">
        <f>IFERROR(OrdersTable[[#This Row],[Profit]]/OrdersTable[[#This Row],[Net Revenue]],0)</f>
        <v>0.49317738791423005</v>
      </c>
      <c r="AA3430" t="s">
        <v>18</v>
      </c>
      <c r="AB3430" s="79">
        <v>45855</v>
      </c>
      <c r="AC3430">
        <f>OrdersTable[[#This Row],[Delivery Date]]-OrdersTable[[#This Row],[Order Date]]</f>
        <v>3</v>
      </c>
      <c r="AD3430" t="str">
        <f>IF(OrdersTable[[#This Row],[Delivery Days]]&lt;=2, "Express (≤2d)", IF(OrdersTable[[#This Row],[Delivery Days]]&lt;=4, "Standard (3-4d)", "Delayed (5d+)"))</f>
        <v>Standard (3-4d)</v>
      </c>
      <c r="AF3430">
        <v>0</v>
      </c>
    </row>
    <row r="3431" spans="1:32" ht="15" x14ac:dyDescent="0.35">
      <c r="A3431" t="s">
        <v>334</v>
      </c>
      <c r="B3431" s="1">
        <v>45852</v>
      </c>
      <c r="C3431">
        <f>YEAR(OrdersTable[[#This Row],[Order Date]])</f>
        <v>2025</v>
      </c>
      <c r="D3431" s="2">
        <f>DATE(YEAR(OrdersTable[[#This Row],[Order Date]]),MONTH(OrdersTable[[#This Row],[Order Date]]),1)</f>
        <v>45839</v>
      </c>
      <c r="E3431">
        <f>MONTH(OrdersTable[[#This Row],[Order Date]])</f>
        <v>7</v>
      </c>
      <c r="F3431" t="s">
        <v>335</v>
      </c>
      <c r="G3431" t="str">
        <f>IF(OrdersTable[[#This Row],[Order Date]]=_xlfn.MINIFS(Order_Date, Customer_ID, OrdersTable[[#This Row],[Customer ID]]), "New", "Repeat")</f>
        <v>Repeat</v>
      </c>
      <c r="H3431" t="s">
        <v>37</v>
      </c>
      <c r="I3431" t="str">
        <f>INDEX(State!B:B,MATCH(OrdersTable[[#This Row],[State]],State!A:A,0))</f>
        <v>GJ</v>
      </c>
      <c r="J3431" t="str">
        <f>INDEX(State!C:C,MATCH(OrdersTable[[#This Row],[State Code]],State!B:B,0))</f>
        <v>West</v>
      </c>
      <c r="K3431" t="s">
        <v>247</v>
      </c>
      <c r="L3431" t="s">
        <v>65</v>
      </c>
      <c r="M3431" t="s">
        <v>148</v>
      </c>
      <c r="N3431" t="str">
        <f>INDEX(Products!B:B,MATCH(OrdersTable[[#This Row],[Product ID]],Products!A:A,0))</f>
        <v>Smartwatch Strap</v>
      </c>
      <c r="O3431" t="str">
        <f>INDEX(Products!C:C,MATCH(OrdersTable[[#This Row],[Product ID]],Products!A:A,0))</f>
        <v>Electronics</v>
      </c>
      <c r="P3431">
        <v>1</v>
      </c>
      <c r="Q3431" s="5">
        <v>499</v>
      </c>
      <c r="R3431" s="74">
        <v>0.2</v>
      </c>
      <c r="S3431" s="75">
        <f>OrdersTable[[#This Row],[Quantity]]*OrdersTable[[#This Row],[Unit Price]]</f>
        <v>499</v>
      </c>
      <c r="T3431" s="5">
        <f>OrdersTable[[#This Row],[Gross Sale]]*OrdersTable[[#This Row],[Discount_Clean2]]</f>
        <v>99.800000000000011</v>
      </c>
      <c r="U3431" s="5">
        <f>OrdersTable[[#This Row],[Gross Sale]]-OrdersTable[[#This Row],[Discount Amount]]</f>
        <v>399.2</v>
      </c>
      <c r="V3431" s="77">
        <f>INDEX(Products!E:E,MATCH(OrdersTable[[#This Row],[Product ID]],Products!A:A,0))</f>
        <v>200</v>
      </c>
      <c r="W3431" s="77">
        <f>OrdersTable[[#This Row],[Quantity]]*OrdersTable[[#This Row],[Unit Cost]]</f>
        <v>200</v>
      </c>
      <c r="X3431" s="77">
        <f>'Dropdown Lists'!$I$2*(1+OrdersTable[[#This Row],[Returned]])</f>
        <v>60</v>
      </c>
      <c r="Y3431" s="76">
        <f>OrdersTable[[#This Row],[Net Revenue]]-OrdersTable[[#This Row],[COGS]]-OrdersTable[[#This Row],[Shipping Cost]]</f>
        <v>139.19999999999999</v>
      </c>
      <c r="Z3431" s="78">
        <f>IFERROR(OrdersTable[[#This Row],[Profit]]/OrdersTable[[#This Row],[Net Revenue]],0)</f>
        <v>0.34869739478957912</v>
      </c>
      <c r="AA3431" t="s">
        <v>18</v>
      </c>
      <c r="AB3431" s="79">
        <v>45856</v>
      </c>
      <c r="AC3431">
        <f>OrdersTable[[#This Row],[Delivery Date]]-OrdersTable[[#This Row],[Order Date]]</f>
        <v>4</v>
      </c>
      <c r="AD3431" t="str">
        <f>IF(OrdersTable[[#This Row],[Delivery Days]]&lt;=2, "Express (≤2d)", IF(OrdersTable[[#This Row],[Delivery Days]]&lt;=4, "Standard (3-4d)", "Delayed (5d+)"))</f>
        <v>Standard (3-4d)</v>
      </c>
      <c r="AE3431">
        <v>4</v>
      </c>
      <c r="AF3431">
        <v>0</v>
      </c>
    </row>
    <row r="3432" spans="1:32" ht="15" x14ac:dyDescent="0.35">
      <c r="A3432" t="s">
        <v>3076</v>
      </c>
      <c r="B3432" s="1">
        <v>45853</v>
      </c>
      <c r="C3432">
        <f>YEAR(OrdersTable[[#This Row],[Order Date]])</f>
        <v>2025</v>
      </c>
      <c r="D3432" s="2">
        <f>DATE(YEAR(OrdersTable[[#This Row],[Order Date]]),MONTH(OrdersTable[[#This Row],[Order Date]]),1)</f>
        <v>45839</v>
      </c>
      <c r="E3432">
        <f>MONTH(OrdersTable[[#This Row],[Order Date]])</f>
        <v>7</v>
      </c>
      <c r="F3432" t="s">
        <v>938</v>
      </c>
      <c r="G3432" t="str">
        <f>IF(OrdersTable[[#This Row],[Order Date]]=_xlfn.MINIFS(Order_Date, Customer_ID, OrdersTable[[#This Row],[Customer ID]]), "New", "Repeat")</f>
        <v>Repeat</v>
      </c>
      <c r="H3432" t="s">
        <v>184</v>
      </c>
      <c r="I3432" t="str">
        <f>INDEX(State!B:B,MATCH(OrdersTable[[#This Row],[State]],State!A:A,0))</f>
        <v>UK</v>
      </c>
      <c r="J3432" t="str">
        <f>INDEX(State!C:C,MATCH(OrdersTable[[#This Row],[State Code]],State!B:B,0))</f>
        <v>North</v>
      </c>
      <c r="K3432" t="s">
        <v>185</v>
      </c>
      <c r="L3432" t="s">
        <v>39</v>
      </c>
      <c r="M3432" t="s">
        <v>228</v>
      </c>
      <c r="N3432" t="str">
        <f>INDEX(Products!B:B,MATCH(OrdersTable[[#This Row],[Product ID]],Products!A:A,0))</f>
        <v>Fast Charger 33W</v>
      </c>
      <c r="O3432" t="str">
        <f>INDEX(Products!C:C,MATCH(OrdersTable[[#This Row],[Product ID]],Products!A:A,0))</f>
        <v>Electronics</v>
      </c>
      <c r="P3432">
        <v>1</v>
      </c>
      <c r="Q3432" s="5">
        <v>899</v>
      </c>
      <c r="R3432" s="74">
        <v>0</v>
      </c>
      <c r="S3432" s="75">
        <f>OrdersTable[[#This Row],[Quantity]]*OrdersTable[[#This Row],[Unit Price]]</f>
        <v>899</v>
      </c>
      <c r="T3432" s="5">
        <f>OrdersTable[[#This Row],[Gross Sale]]*OrdersTable[[#This Row],[Discount_Clean2]]</f>
        <v>0</v>
      </c>
      <c r="U3432" s="5">
        <f>OrdersTable[[#This Row],[Gross Sale]]-OrdersTable[[#This Row],[Discount Amount]]</f>
        <v>899</v>
      </c>
      <c r="V3432" s="77">
        <f>INDEX(Products!E:E,MATCH(OrdersTable[[#This Row],[Product ID]],Products!A:A,0))</f>
        <v>494</v>
      </c>
      <c r="W3432" s="77">
        <f>OrdersTable[[#This Row],[Quantity]]*OrdersTable[[#This Row],[Unit Cost]]</f>
        <v>494</v>
      </c>
      <c r="X3432" s="77">
        <f>'Dropdown Lists'!$I$2*(1+OrdersTable[[#This Row],[Returned]])</f>
        <v>60</v>
      </c>
      <c r="Y3432" s="76">
        <f>OrdersTable[[#This Row],[Net Revenue]]-OrdersTable[[#This Row],[COGS]]-OrdersTable[[#This Row],[Shipping Cost]]</f>
        <v>345</v>
      </c>
      <c r="Z3432" s="78">
        <f>IFERROR(OrdersTable[[#This Row],[Profit]]/OrdersTable[[#This Row],[Net Revenue]],0)</f>
        <v>0.38375973303670746</v>
      </c>
      <c r="AA3432" t="s">
        <v>2522</v>
      </c>
      <c r="AB3432" s="79">
        <v>45857</v>
      </c>
      <c r="AC3432">
        <f>OrdersTable[[#This Row],[Delivery Date]]-OrdersTable[[#This Row],[Order Date]]</f>
        <v>4</v>
      </c>
      <c r="AD3432" t="str">
        <f>IF(OrdersTable[[#This Row],[Delivery Days]]&lt;=2, "Express (≤2d)", IF(OrdersTable[[#This Row],[Delivery Days]]&lt;=4, "Standard (3-4d)", "Delayed (5d+)"))</f>
        <v>Standard (3-4d)</v>
      </c>
      <c r="AF3432">
        <v>0</v>
      </c>
    </row>
    <row r="3433" spans="1:32" ht="15" x14ac:dyDescent="0.35">
      <c r="A3433" t="s">
        <v>2160</v>
      </c>
      <c r="B3433" s="1">
        <v>45853</v>
      </c>
      <c r="C3433">
        <f>YEAR(OrdersTable[[#This Row],[Order Date]])</f>
        <v>2025</v>
      </c>
      <c r="D3433" s="2">
        <f>DATE(YEAR(OrdersTable[[#This Row],[Order Date]]),MONTH(OrdersTable[[#This Row],[Order Date]]),1)</f>
        <v>45839</v>
      </c>
      <c r="E3433">
        <f>MONTH(OrdersTable[[#This Row],[Order Date]])</f>
        <v>7</v>
      </c>
      <c r="F3433" t="s">
        <v>2161</v>
      </c>
      <c r="G3433" t="str">
        <f>IF(OrdersTable[[#This Row],[Order Date]]=_xlfn.MINIFS(Order_Date, Customer_ID, OrdersTable[[#This Row],[Customer ID]]), "New", "Repeat")</f>
        <v>Repeat</v>
      </c>
      <c r="H3433" t="s">
        <v>54</v>
      </c>
      <c r="I3433" t="str">
        <f>INDEX(State!B:B,MATCH(OrdersTable[[#This Row],[State]],State!A:A,0))</f>
        <v>RJ</v>
      </c>
      <c r="J3433" t="str">
        <f>INDEX(State!C:C,MATCH(OrdersTable[[#This Row],[State Code]],State!B:B,0))</f>
        <v>North</v>
      </c>
      <c r="K3433" t="s">
        <v>227</v>
      </c>
      <c r="L3433" t="s">
        <v>23</v>
      </c>
      <c r="M3433" t="s">
        <v>73</v>
      </c>
      <c r="N3433" t="str">
        <f>INDEX(Products!B:B,MATCH(OrdersTable[[#This Row],[Product ID]],Products!A:A,0))</f>
        <v>Hydrating Face Wash</v>
      </c>
      <c r="O3433" t="str">
        <f>INDEX(Products!C:C,MATCH(OrdersTable[[#This Row],[Product ID]],Products!A:A,0))</f>
        <v>Skincare</v>
      </c>
      <c r="P3433">
        <v>1</v>
      </c>
      <c r="Q3433" s="5">
        <v>299</v>
      </c>
      <c r="R3433" s="74">
        <v>0</v>
      </c>
      <c r="S3433" s="75">
        <f>OrdersTable[[#This Row],[Quantity]]*OrdersTable[[#This Row],[Unit Price]]</f>
        <v>299</v>
      </c>
      <c r="T3433" s="5">
        <f>OrdersTable[[#This Row],[Gross Sale]]*OrdersTable[[#This Row],[Discount_Clean2]]</f>
        <v>0</v>
      </c>
      <c r="U3433" s="5">
        <f>OrdersTable[[#This Row],[Gross Sale]]-OrdersTable[[#This Row],[Discount Amount]]</f>
        <v>299</v>
      </c>
      <c r="V3433" s="77">
        <f>INDEX(Products!E:E,MATCH(OrdersTable[[#This Row],[Product ID]],Products!A:A,0))</f>
        <v>90</v>
      </c>
      <c r="W3433" s="77">
        <f>OrdersTable[[#This Row],[Quantity]]*OrdersTable[[#This Row],[Unit Cost]]</f>
        <v>90</v>
      </c>
      <c r="X3433" s="77">
        <f>'Dropdown Lists'!$I$2*(1+OrdersTable[[#This Row],[Returned]])</f>
        <v>60</v>
      </c>
      <c r="Y3433" s="76">
        <f>OrdersTable[[#This Row],[Net Revenue]]-OrdersTable[[#This Row],[COGS]]-OrdersTable[[#This Row],[Shipping Cost]]</f>
        <v>149</v>
      </c>
      <c r="Z3433" s="78">
        <f>IFERROR(OrdersTable[[#This Row],[Profit]]/OrdersTable[[#This Row],[Net Revenue]],0)</f>
        <v>0.49832775919732442</v>
      </c>
      <c r="AA3433" t="s">
        <v>18</v>
      </c>
      <c r="AB3433" s="79">
        <v>45859</v>
      </c>
      <c r="AC3433">
        <f>OrdersTable[[#This Row],[Delivery Date]]-OrdersTable[[#This Row],[Order Date]]</f>
        <v>6</v>
      </c>
      <c r="AD3433" t="str">
        <f>IF(OrdersTable[[#This Row],[Delivery Days]]&lt;=2, "Express (≤2d)", IF(OrdersTable[[#This Row],[Delivery Days]]&lt;=4, "Standard (3-4d)", "Delayed (5d+)"))</f>
        <v>Delayed (5d+)</v>
      </c>
      <c r="AE3433">
        <v>3</v>
      </c>
      <c r="AF3433">
        <v>0</v>
      </c>
    </row>
    <row r="3434" spans="1:32" ht="15" x14ac:dyDescent="0.35">
      <c r="A3434" t="s">
        <v>5718</v>
      </c>
      <c r="B3434" s="1">
        <v>45853</v>
      </c>
      <c r="C3434">
        <f>YEAR(OrdersTable[[#This Row],[Order Date]])</f>
        <v>2025</v>
      </c>
      <c r="D3434" s="2">
        <f>DATE(YEAR(OrdersTable[[#This Row],[Order Date]]),MONTH(OrdersTable[[#This Row],[Order Date]]),1)</f>
        <v>45839</v>
      </c>
      <c r="E3434">
        <f>MONTH(OrdersTable[[#This Row],[Order Date]])</f>
        <v>7</v>
      </c>
      <c r="F3434" t="s">
        <v>2040</v>
      </c>
      <c r="G3434" t="str">
        <f>IF(OrdersTable[[#This Row],[Order Date]]=_xlfn.MINIFS(Order_Date, Customer_ID, OrdersTable[[#This Row],[Customer ID]]), "New", "Repeat")</f>
        <v>Repeat</v>
      </c>
      <c r="H3434" t="s">
        <v>48</v>
      </c>
      <c r="I3434" t="str">
        <f>INDEX(State!B:B,MATCH(OrdersTable[[#This Row],[State]],State!A:A,0))</f>
        <v>HR</v>
      </c>
      <c r="J3434" t="str">
        <f>INDEX(State!C:C,MATCH(OrdersTable[[#This Row],[State Code]],State!B:B,0))</f>
        <v>North</v>
      </c>
      <c r="K3434" t="s">
        <v>151</v>
      </c>
      <c r="L3434" t="s">
        <v>23</v>
      </c>
      <c r="M3434" t="s">
        <v>148</v>
      </c>
      <c r="N3434" t="str">
        <f>INDEX(Products!B:B,MATCH(OrdersTable[[#This Row],[Product ID]],Products!A:A,0))</f>
        <v>Smartwatch Strap</v>
      </c>
      <c r="O3434" t="str">
        <f>INDEX(Products!C:C,MATCH(OrdersTable[[#This Row],[Product ID]],Products!A:A,0))</f>
        <v>Electronics</v>
      </c>
      <c r="P3434">
        <v>2</v>
      </c>
      <c r="Q3434" s="5">
        <v>499</v>
      </c>
      <c r="R3434" s="74">
        <v>0.15</v>
      </c>
      <c r="S3434" s="75">
        <f>OrdersTable[[#This Row],[Quantity]]*OrdersTable[[#This Row],[Unit Price]]</f>
        <v>998</v>
      </c>
      <c r="T3434" s="5">
        <f>OrdersTable[[#This Row],[Gross Sale]]*OrdersTable[[#This Row],[Discount_Clean2]]</f>
        <v>149.69999999999999</v>
      </c>
      <c r="U3434" s="5">
        <f>OrdersTable[[#This Row],[Gross Sale]]-OrdersTable[[#This Row],[Discount Amount]]</f>
        <v>848.3</v>
      </c>
      <c r="V3434" s="77">
        <f>INDEX(Products!E:E,MATCH(OrdersTable[[#This Row],[Product ID]],Products!A:A,0))</f>
        <v>200</v>
      </c>
      <c r="W3434" s="77">
        <f>OrdersTable[[#This Row],[Quantity]]*OrdersTable[[#This Row],[Unit Cost]]</f>
        <v>400</v>
      </c>
      <c r="X3434" s="77">
        <f>'Dropdown Lists'!$I$2*(1+OrdersTable[[#This Row],[Returned]])</f>
        <v>60</v>
      </c>
      <c r="Y3434" s="76">
        <f>OrdersTable[[#This Row],[Net Revenue]]-OrdersTable[[#This Row],[COGS]]-OrdersTable[[#This Row],[Shipping Cost]]</f>
        <v>388.29999999999995</v>
      </c>
      <c r="Z3434" s="78">
        <f>IFERROR(OrdersTable[[#This Row],[Profit]]/OrdersTable[[#This Row],[Net Revenue]],0)</f>
        <v>0.45773900742661794</v>
      </c>
      <c r="AA3434" t="s">
        <v>18</v>
      </c>
      <c r="AB3434" s="79">
        <v>45857</v>
      </c>
      <c r="AC3434">
        <f>OrdersTable[[#This Row],[Delivery Date]]-OrdersTable[[#This Row],[Order Date]]</f>
        <v>4</v>
      </c>
      <c r="AD3434" t="str">
        <f>IF(OrdersTable[[#This Row],[Delivery Days]]&lt;=2, "Express (≤2d)", IF(OrdersTable[[#This Row],[Delivery Days]]&lt;=4, "Standard (3-4d)", "Delayed (5d+)"))</f>
        <v>Standard (3-4d)</v>
      </c>
      <c r="AE3434">
        <v>3</v>
      </c>
      <c r="AF3434">
        <v>0</v>
      </c>
    </row>
    <row r="3435" spans="1:32" ht="15" x14ac:dyDescent="0.35">
      <c r="A3435" t="s">
        <v>2641</v>
      </c>
      <c r="B3435" s="1">
        <v>45853</v>
      </c>
      <c r="C3435">
        <f>YEAR(OrdersTable[[#This Row],[Order Date]])</f>
        <v>2025</v>
      </c>
      <c r="D3435" s="2">
        <f>DATE(YEAR(OrdersTable[[#This Row],[Order Date]]),MONTH(OrdersTable[[#This Row],[Order Date]]),1)</f>
        <v>45839</v>
      </c>
      <c r="E3435">
        <f>MONTH(OrdersTable[[#This Row],[Order Date]])</f>
        <v>7</v>
      </c>
      <c r="F3435" t="s">
        <v>2642</v>
      </c>
      <c r="G3435" t="str">
        <f>IF(OrdersTable[[#This Row],[Order Date]]=_xlfn.MINIFS(Order_Date, Customer_ID, OrdersTable[[#This Row],[Customer ID]]), "New", "Repeat")</f>
        <v>New</v>
      </c>
      <c r="H3435" t="s">
        <v>43</v>
      </c>
      <c r="I3435" t="str">
        <f>INDEX(State!B:B,MATCH(OrdersTable[[#This Row],[State]],State!A:A,0))</f>
        <v>MP</v>
      </c>
      <c r="J3435" t="str">
        <f>INDEX(State!C:C,MATCH(OrdersTable[[#This Row],[State Code]],State!B:B,0))</f>
        <v>West</v>
      </c>
      <c r="K3435" t="s">
        <v>250</v>
      </c>
      <c r="L3435" t="s">
        <v>65</v>
      </c>
      <c r="M3435" t="s">
        <v>87</v>
      </c>
      <c r="N3435" t="str">
        <f>INDEX(Products!B:B,MATCH(OrdersTable[[#This Row],[Product ID]],Products!A:A,0))</f>
        <v>Linen Kurta</v>
      </c>
      <c r="O3435" t="str">
        <f>INDEX(Products!C:C,MATCH(OrdersTable[[#This Row],[Product ID]],Products!A:A,0))</f>
        <v>Apparel</v>
      </c>
      <c r="P3435">
        <v>1</v>
      </c>
      <c r="Q3435" s="5">
        <v>1499</v>
      </c>
      <c r="R3435" s="74">
        <v>0.4</v>
      </c>
      <c r="S3435" s="75">
        <f>OrdersTable[[#This Row],[Quantity]]*OrdersTable[[#This Row],[Unit Price]]</f>
        <v>1499</v>
      </c>
      <c r="T3435" s="5">
        <f>OrdersTable[[#This Row],[Gross Sale]]*OrdersTable[[#This Row],[Discount_Clean2]]</f>
        <v>599.6</v>
      </c>
      <c r="U3435" s="5">
        <f>OrdersTable[[#This Row],[Gross Sale]]-OrdersTable[[#This Row],[Discount Amount]]</f>
        <v>899.4</v>
      </c>
      <c r="V3435" s="77">
        <f>INDEX(Products!E:E,MATCH(OrdersTable[[#This Row],[Product ID]],Products!A:A,0))</f>
        <v>630</v>
      </c>
      <c r="W3435" s="77">
        <f>OrdersTable[[#This Row],[Quantity]]*OrdersTable[[#This Row],[Unit Cost]]</f>
        <v>630</v>
      </c>
      <c r="X3435" s="77">
        <f>'Dropdown Lists'!$I$2*(1+OrdersTable[[#This Row],[Returned]])</f>
        <v>60</v>
      </c>
      <c r="Y3435" s="76">
        <f>OrdersTable[[#This Row],[Net Revenue]]-OrdersTable[[#This Row],[COGS]]-OrdersTable[[#This Row],[Shipping Cost]]</f>
        <v>209.39999999999998</v>
      </c>
      <c r="Z3435" s="78">
        <f>IFERROR(OrdersTable[[#This Row],[Profit]]/OrdersTable[[#This Row],[Net Revenue]],0)</f>
        <v>0.23282188125416942</v>
      </c>
      <c r="AA3435" t="s">
        <v>2522</v>
      </c>
      <c r="AB3435" s="79">
        <v>45856</v>
      </c>
      <c r="AC3435">
        <f>OrdersTable[[#This Row],[Delivery Date]]-OrdersTable[[#This Row],[Order Date]]</f>
        <v>3</v>
      </c>
      <c r="AD3435" t="str">
        <f>IF(OrdersTable[[#This Row],[Delivery Days]]&lt;=2, "Express (≤2d)", IF(OrdersTable[[#This Row],[Delivery Days]]&lt;=4, "Standard (3-4d)", "Delayed (5d+)"))</f>
        <v>Standard (3-4d)</v>
      </c>
      <c r="AE3435">
        <v>5</v>
      </c>
      <c r="AF3435">
        <v>0</v>
      </c>
    </row>
    <row r="3436" spans="1:32" ht="15" x14ac:dyDescent="0.35">
      <c r="A3436" t="s">
        <v>5429</v>
      </c>
      <c r="B3436" s="1">
        <v>45854</v>
      </c>
      <c r="C3436">
        <f>YEAR(OrdersTable[[#This Row],[Order Date]])</f>
        <v>2025</v>
      </c>
      <c r="D3436" s="2">
        <f>DATE(YEAR(OrdersTable[[#This Row],[Order Date]]),MONTH(OrdersTable[[#This Row],[Order Date]]),1)</f>
        <v>45839</v>
      </c>
      <c r="E3436">
        <f>MONTH(OrdersTable[[#This Row],[Order Date]])</f>
        <v>7</v>
      </c>
      <c r="F3436" t="s">
        <v>5430</v>
      </c>
      <c r="G3436" t="str">
        <f>IF(OrdersTable[[#This Row],[Order Date]]=_xlfn.MINIFS(Order_Date, Customer_ID, OrdersTable[[#This Row],[Customer ID]]), "New", "Repeat")</f>
        <v>New</v>
      </c>
      <c r="H3436" t="s">
        <v>184</v>
      </c>
      <c r="I3436" t="str">
        <f>INDEX(State!B:B,MATCH(OrdersTable[[#This Row],[State]],State!A:A,0))</f>
        <v>UK</v>
      </c>
      <c r="J3436" t="str">
        <f>INDEX(State!C:C,MATCH(OrdersTable[[#This Row],[State Code]],State!B:B,0))</f>
        <v>North</v>
      </c>
      <c r="K3436" t="s">
        <v>185</v>
      </c>
      <c r="L3436" t="s">
        <v>65</v>
      </c>
      <c r="M3436" t="s">
        <v>84</v>
      </c>
      <c r="N3436" t="str">
        <f>INDEX(Products!B:B,MATCH(OrdersTable[[#This Row],[Product ID]],Products!A:A,0))</f>
        <v>Cotton Bedsheet</v>
      </c>
      <c r="O3436" t="str">
        <f>INDEX(Products!C:C,MATCH(OrdersTable[[#This Row],[Product ID]],Products!A:A,0))</f>
        <v>Home &amp; Kitchen</v>
      </c>
      <c r="P3436">
        <v>2</v>
      </c>
      <c r="Q3436" s="5">
        <v>1299</v>
      </c>
      <c r="R3436" s="74">
        <v>0</v>
      </c>
      <c r="S3436" s="75">
        <f>OrdersTable[[#This Row],[Quantity]]*OrdersTable[[#This Row],[Unit Price]]</f>
        <v>2598</v>
      </c>
      <c r="T3436" s="5">
        <f>OrdersTable[[#This Row],[Gross Sale]]*OrdersTable[[#This Row],[Discount_Clean2]]</f>
        <v>0</v>
      </c>
      <c r="U3436" s="5">
        <f>OrdersTable[[#This Row],[Gross Sale]]-OrdersTable[[#This Row],[Discount Amount]]</f>
        <v>2598</v>
      </c>
      <c r="V3436" s="77">
        <f>INDEX(Products!E:E,MATCH(OrdersTable[[#This Row],[Product ID]],Products!A:A,0))</f>
        <v>585</v>
      </c>
      <c r="W3436" s="77">
        <f>OrdersTable[[#This Row],[Quantity]]*OrdersTable[[#This Row],[Unit Cost]]</f>
        <v>1170</v>
      </c>
      <c r="X3436" s="77">
        <f>'Dropdown Lists'!$I$2*(1+OrdersTable[[#This Row],[Returned]])</f>
        <v>60</v>
      </c>
      <c r="Y3436" s="76">
        <f>OrdersTable[[#This Row],[Net Revenue]]-OrdersTable[[#This Row],[COGS]]-OrdersTable[[#This Row],[Shipping Cost]]</f>
        <v>1368</v>
      </c>
      <c r="Z3436" s="78">
        <f>IFERROR(OrdersTable[[#This Row],[Profit]]/OrdersTable[[#This Row],[Net Revenue]],0)</f>
        <v>0.52655889145496537</v>
      </c>
      <c r="AA3436" t="s">
        <v>2522</v>
      </c>
      <c r="AB3436" s="79">
        <v>45856</v>
      </c>
      <c r="AC3436">
        <f>OrdersTable[[#This Row],[Delivery Date]]-OrdersTable[[#This Row],[Order Date]]</f>
        <v>2</v>
      </c>
      <c r="AD3436" t="str">
        <f>IF(OrdersTable[[#This Row],[Delivery Days]]&lt;=2, "Express (≤2d)", IF(OrdersTable[[#This Row],[Delivery Days]]&lt;=4, "Standard (3-4d)", "Delayed (5d+)"))</f>
        <v>Express (≤2d)</v>
      </c>
      <c r="AF3436">
        <v>0</v>
      </c>
    </row>
    <row r="3437" spans="1:32" ht="15" x14ac:dyDescent="0.35">
      <c r="A3437" t="s">
        <v>3315</v>
      </c>
      <c r="B3437" s="1">
        <v>45854</v>
      </c>
      <c r="C3437">
        <f>YEAR(OrdersTable[[#This Row],[Order Date]])</f>
        <v>2025</v>
      </c>
      <c r="D3437" s="2">
        <f>DATE(YEAR(OrdersTable[[#This Row],[Order Date]]),MONTH(OrdersTable[[#This Row],[Order Date]]),1)</f>
        <v>45839</v>
      </c>
      <c r="E3437">
        <f>MONTH(OrdersTable[[#This Row],[Order Date]])</f>
        <v>7</v>
      </c>
      <c r="F3437" t="s">
        <v>3316</v>
      </c>
      <c r="G3437" t="str">
        <f>IF(OrdersTable[[#This Row],[Order Date]]=_xlfn.MINIFS(Order_Date, Customer_ID, OrdersTable[[#This Row],[Customer ID]]), "New", "Repeat")</f>
        <v>Repeat</v>
      </c>
      <c r="H3437" t="s">
        <v>128</v>
      </c>
      <c r="I3437" t="str">
        <f>INDEX(State!B:B,MATCH(OrdersTable[[#This Row],[State]],State!A:A,0))</f>
        <v>DL</v>
      </c>
      <c r="J3437" t="str">
        <f>INDEX(State!C:C,MATCH(OrdersTable[[#This Row],[State Code]],State!B:B,0))</f>
        <v>North</v>
      </c>
      <c r="K3437" t="s">
        <v>129</v>
      </c>
      <c r="L3437" t="s">
        <v>39</v>
      </c>
      <c r="M3437" t="s">
        <v>576</v>
      </c>
      <c r="N3437" t="str">
        <f>INDEX(Products!B:B,MATCH(OrdersTable[[#This Row],[Product ID]],Products!A:A,0))</f>
        <v>Printed Saree</v>
      </c>
      <c r="O3437" t="str">
        <f>INDEX(Products!C:C,MATCH(OrdersTable[[#This Row],[Product ID]],Products!A:A,0))</f>
        <v>Apparel</v>
      </c>
      <c r="P3437">
        <v>1</v>
      </c>
      <c r="Q3437" s="5">
        <v>1999</v>
      </c>
      <c r="R3437" s="74">
        <v>0</v>
      </c>
      <c r="S3437" s="75">
        <f>OrdersTable[[#This Row],[Quantity]]*OrdersTable[[#This Row],[Unit Price]]</f>
        <v>1999</v>
      </c>
      <c r="T3437" s="5">
        <f>OrdersTable[[#This Row],[Gross Sale]]*OrdersTable[[#This Row],[Discount_Clean2]]</f>
        <v>0</v>
      </c>
      <c r="U3437" s="5">
        <f>OrdersTable[[#This Row],[Gross Sale]]-OrdersTable[[#This Row],[Discount Amount]]</f>
        <v>1999</v>
      </c>
      <c r="V3437" s="77">
        <f>INDEX(Products!E:E,MATCH(OrdersTable[[#This Row],[Product ID]],Products!A:A,0))</f>
        <v>880</v>
      </c>
      <c r="W3437" s="77">
        <f>OrdersTable[[#This Row],[Quantity]]*OrdersTable[[#This Row],[Unit Cost]]</f>
        <v>880</v>
      </c>
      <c r="X3437" s="77">
        <f>'Dropdown Lists'!$I$2*(1+OrdersTable[[#This Row],[Returned]])</f>
        <v>120</v>
      </c>
      <c r="Y3437" s="76">
        <f>OrdersTable[[#This Row],[Net Revenue]]-OrdersTable[[#This Row],[COGS]]-OrdersTable[[#This Row],[Shipping Cost]]</f>
        <v>999</v>
      </c>
      <c r="Z3437" s="78">
        <f>IFERROR(OrdersTable[[#This Row],[Profit]]/OrdersTable[[#This Row],[Net Revenue]],0)</f>
        <v>0.49974987493746875</v>
      </c>
      <c r="AA3437" t="s">
        <v>2522</v>
      </c>
      <c r="AB3437" s="79">
        <v>45858</v>
      </c>
      <c r="AC3437">
        <f>OrdersTable[[#This Row],[Delivery Date]]-OrdersTable[[#This Row],[Order Date]]</f>
        <v>4</v>
      </c>
      <c r="AD3437" t="str">
        <f>IF(OrdersTable[[#This Row],[Delivery Days]]&lt;=2, "Express (≤2d)", IF(OrdersTable[[#This Row],[Delivery Days]]&lt;=4, "Standard (3-4d)", "Delayed (5d+)"))</f>
        <v>Standard (3-4d)</v>
      </c>
      <c r="AE3437">
        <v>4</v>
      </c>
      <c r="AF3437">
        <v>1</v>
      </c>
    </row>
    <row r="3438" spans="1:32" ht="15" x14ac:dyDescent="0.35">
      <c r="A3438" t="s">
        <v>634</v>
      </c>
      <c r="B3438" s="1">
        <v>45854</v>
      </c>
      <c r="C3438">
        <f>YEAR(OrdersTable[[#This Row],[Order Date]])</f>
        <v>2025</v>
      </c>
      <c r="D3438" s="2">
        <f>DATE(YEAR(OrdersTable[[#This Row],[Order Date]]),MONTH(OrdersTable[[#This Row],[Order Date]]),1)</f>
        <v>45839</v>
      </c>
      <c r="E3438">
        <f>MONTH(OrdersTable[[#This Row],[Order Date]])</f>
        <v>7</v>
      </c>
      <c r="F3438" t="s">
        <v>635</v>
      </c>
      <c r="G3438" t="str">
        <f>IF(OrdersTable[[#This Row],[Order Date]]=_xlfn.MINIFS(Order_Date, Customer_ID, OrdersTable[[#This Row],[Customer ID]]), "New", "Repeat")</f>
        <v>New</v>
      </c>
      <c r="H3438" t="s">
        <v>132</v>
      </c>
      <c r="I3438" t="str">
        <f>INDEX(State!B:B,MATCH(OrdersTable[[#This Row],[State]],State!A:A,0))</f>
        <v>AS</v>
      </c>
      <c r="J3438" t="str">
        <f>INDEX(State!C:C,MATCH(OrdersTable[[#This Row],[State Code]],State!B:B,0))</f>
        <v>East</v>
      </c>
      <c r="K3438" t="s">
        <v>133</v>
      </c>
      <c r="L3438" t="s">
        <v>65</v>
      </c>
      <c r="M3438" t="s">
        <v>61</v>
      </c>
      <c r="N3438" t="str">
        <f>INDEX(Products!B:B,MATCH(OrdersTable[[#This Row],[Product ID]],Products!A:A,0))</f>
        <v>Multivitamin Gummies</v>
      </c>
      <c r="O3438" t="str">
        <f>INDEX(Products!C:C,MATCH(OrdersTable[[#This Row],[Product ID]],Products!A:A,0))</f>
        <v>Wellness</v>
      </c>
      <c r="P3438">
        <v>1</v>
      </c>
      <c r="Q3438" s="5">
        <v>699</v>
      </c>
      <c r="R3438" s="74">
        <v>0.2</v>
      </c>
      <c r="S3438" s="75">
        <f>OrdersTable[[#This Row],[Quantity]]*OrdersTable[[#This Row],[Unit Price]]</f>
        <v>699</v>
      </c>
      <c r="T3438" s="5">
        <f>OrdersTable[[#This Row],[Gross Sale]]*OrdersTable[[#This Row],[Discount_Clean2]]</f>
        <v>139.80000000000001</v>
      </c>
      <c r="U3438" s="5">
        <f>OrdersTable[[#This Row],[Gross Sale]]-OrdersTable[[#This Row],[Discount Amount]]</f>
        <v>559.20000000000005</v>
      </c>
      <c r="V3438" s="77">
        <f>INDEX(Products!E:E,MATCH(OrdersTable[[#This Row],[Product ID]],Products!A:A,0))</f>
        <v>238</v>
      </c>
      <c r="W3438" s="77">
        <f>OrdersTable[[#This Row],[Quantity]]*OrdersTable[[#This Row],[Unit Cost]]</f>
        <v>238</v>
      </c>
      <c r="X3438" s="77">
        <f>'Dropdown Lists'!$I$2*(1+OrdersTable[[#This Row],[Returned]])</f>
        <v>60</v>
      </c>
      <c r="Y3438" s="76">
        <f>OrdersTable[[#This Row],[Net Revenue]]-OrdersTable[[#This Row],[COGS]]-OrdersTable[[#This Row],[Shipping Cost]]</f>
        <v>261.20000000000005</v>
      </c>
      <c r="Z3438" s="78">
        <f>IFERROR(OrdersTable[[#This Row],[Profit]]/OrdersTable[[#This Row],[Net Revenue]],0)</f>
        <v>0.46709585121602293</v>
      </c>
      <c r="AA3438" t="s">
        <v>18</v>
      </c>
      <c r="AB3438" s="79">
        <v>45859</v>
      </c>
      <c r="AC3438">
        <f>OrdersTable[[#This Row],[Delivery Date]]-OrdersTable[[#This Row],[Order Date]]</f>
        <v>5</v>
      </c>
      <c r="AD3438" t="str">
        <f>IF(OrdersTable[[#This Row],[Delivery Days]]&lt;=2, "Express (≤2d)", IF(OrdersTable[[#This Row],[Delivery Days]]&lt;=4, "Standard (3-4d)", "Delayed (5d+)"))</f>
        <v>Delayed (5d+)</v>
      </c>
      <c r="AE3438">
        <v>4</v>
      </c>
      <c r="AF3438">
        <v>0</v>
      </c>
    </row>
    <row r="3439" spans="1:32" ht="15" x14ac:dyDescent="0.35">
      <c r="A3439" t="s">
        <v>2822</v>
      </c>
      <c r="B3439" s="1">
        <v>45854</v>
      </c>
      <c r="C3439">
        <f>YEAR(OrdersTable[[#This Row],[Order Date]])</f>
        <v>2025</v>
      </c>
      <c r="D3439" s="2">
        <f>DATE(YEAR(OrdersTable[[#This Row],[Order Date]]),MONTH(OrdersTable[[#This Row],[Order Date]]),1)</f>
        <v>45839</v>
      </c>
      <c r="E3439">
        <f>MONTH(OrdersTable[[#This Row],[Order Date]])</f>
        <v>7</v>
      </c>
      <c r="F3439" t="s">
        <v>1222</v>
      </c>
      <c r="G3439" t="str">
        <f>IF(OrdersTable[[#This Row],[Order Date]]=_xlfn.MINIFS(Order_Date, Customer_ID, OrdersTable[[#This Row],[Customer ID]]), "New", "Repeat")</f>
        <v>Repeat</v>
      </c>
      <c r="H3439" t="s">
        <v>27</v>
      </c>
      <c r="I3439" t="str">
        <f>INDEX(State!B:B,MATCH(OrdersTable[[#This Row],[State]],State!A:A,0))</f>
        <v>WB</v>
      </c>
      <c r="J3439" t="str">
        <f>INDEX(State!C:C,MATCH(OrdersTable[[#This Row],[State Code]],State!B:B,0))</f>
        <v>East</v>
      </c>
      <c r="K3439" t="s">
        <v>28</v>
      </c>
      <c r="L3439" t="s">
        <v>39</v>
      </c>
      <c r="M3439" t="s">
        <v>66</v>
      </c>
      <c r="N3439" t="str">
        <f>INDEX(Products!B:B,MATCH(OrdersTable[[#This Row],[Product ID]],Products!A:A,0))</f>
        <v>Sunscreen SPF 50</v>
      </c>
      <c r="O3439" t="str">
        <f>INDEX(Products!C:C,MATCH(OrdersTable[[#This Row],[Product ID]],Products!A:A,0))</f>
        <v>Skincare</v>
      </c>
      <c r="P3439">
        <v>1</v>
      </c>
      <c r="Q3439" s="5">
        <v>449</v>
      </c>
      <c r="R3439" s="74">
        <v>0</v>
      </c>
      <c r="S3439" s="75">
        <f>OrdersTable[[#This Row],[Quantity]]*OrdersTable[[#This Row],[Unit Price]]</f>
        <v>449</v>
      </c>
      <c r="T3439" s="5">
        <f>OrdersTable[[#This Row],[Gross Sale]]*OrdersTable[[#This Row],[Discount_Clean2]]</f>
        <v>0</v>
      </c>
      <c r="U3439" s="5">
        <f>OrdersTable[[#This Row],[Gross Sale]]-OrdersTable[[#This Row],[Discount Amount]]</f>
        <v>449</v>
      </c>
      <c r="V3439" s="77">
        <f>INDEX(Products!E:E,MATCH(OrdersTable[[#This Row],[Product ID]],Products!A:A,0))</f>
        <v>144</v>
      </c>
      <c r="W3439" s="77">
        <f>OrdersTable[[#This Row],[Quantity]]*OrdersTable[[#This Row],[Unit Cost]]</f>
        <v>144</v>
      </c>
      <c r="X3439" s="77">
        <f>'Dropdown Lists'!$I$2*(1+OrdersTable[[#This Row],[Returned]])</f>
        <v>60</v>
      </c>
      <c r="Y3439" s="76">
        <f>OrdersTable[[#This Row],[Net Revenue]]-OrdersTable[[#This Row],[COGS]]-OrdersTable[[#This Row],[Shipping Cost]]</f>
        <v>245</v>
      </c>
      <c r="Z3439" s="78">
        <f>IFERROR(OrdersTable[[#This Row],[Profit]]/OrdersTable[[#This Row],[Net Revenue]],0)</f>
        <v>0.54565701559020041</v>
      </c>
      <c r="AA3439" t="s">
        <v>2522</v>
      </c>
      <c r="AB3439" s="79">
        <v>45859</v>
      </c>
      <c r="AC3439">
        <f>OrdersTable[[#This Row],[Delivery Date]]-OrdersTable[[#This Row],[Order Date]]</f>
        <v>5</v>
      </c>
      <c r="AD3439" t="str">
        <f>IF(OrdersTable[[#This Row],[Delivery Days]]&lt;=2, "Express (≤2d)", IF(OrdersTable[[#This Row],[Delivery Days]]&lt;=4, "Standard (3-4d)", "Delayed (5d+)"))</f>
        <v>Delayed (5d+)</v>
      </c>
      <c r="AE3439">
        <v>3</v>
      </c>
      <c r="AF3439">
        <v>0</v>
      </c>
    </row>
    <row r="3440" spans="1:32" ht="15" x14ac:dyDescent="0.35">
      <c r="A3440" t="s">
        <v>3077</v>
      </c>
      <c r="B3440" s="1">
        <v>45854</v>
      </c>
      <c r="C3440">
        <f>YEAR(OrdersTable[[#This Row],[Order Date]])</f>
        <v>2025</v>
      </c>
      <c r="D3440" s="2">
        <f>DATE(YEAR(OrdersTable[[#This Row],[Order Date]]),MONTH(OrdersTable[[#This Row],[Order Date]]),1)</f>
        <v>45839</v>
      </c>
      <c r="E3440">
        <f>MONTH(OrdersTable[[#This Row],[Order Date]])</f>
        <v>7</v>
      </c>
      <c r="F3440" t="s">
        <v>3078</v>
      </c>
      <c r="G3440" t="str">
        <f>IF(OrdersTable[[#This Row],[Order Date]]=_xlfn.MINIFS(Order_Date, Customer_ID, OrdersTable[[#This Row],[Customer ID]]), "New", "Repeat")</f>
        <v>New</v>
      </c>
      <c r="H3440" t="s">
        <v>27</v>
      </c>
      <c r="I3440" t="str">
        <f>INDEX(State!B:B,MATCH(OrdersTable[[#This Row],[State]],State!A:A,0))</f>
        <v>WB</v>
      </c>
      <c r="J3440" t="str">
        <f>INDEX(State!C:C,MATCH(OrdersTable[[#This Row],[State Code]],State!B:B,0))</f>
        <v>East</v>
      </c>
      <c r="K3440" t="s">
        <v>28</v>
      </c>
      <c r="L3440" t="s">
        <v>65</v>
      </c>
      <c r="M3440" t="s">
        <v>228</v>
      </c>
      <c r="N3440" t="str">
        <f>INDEX(Products!B:B,MATCH(OrdersTable[[#This Row],[Product ID]],Products!A:A,0))</f>
        <v>Fast Charger 33W</v>
      </c>
      <c r="O3440" t="str">
        <f>INDEX(Products!C:C,MATCH(OrdersTable[[#This Row],[Product ID]],Products!A:A,0))</f>
        <v>Electronics</v>
      </c>
      <c r="P3440">
        <v>1</v>
      </c>
      <c r="Q3440" s="5">
        <v>899</v>
      </c>
      <c r="R3440" s="74">
        <v>0.05</v>
      </c>
      <c r="S3440" s="75">
        <f>OrdersTable[[#This Row],[Quantity]]*OrdersTable[[#This Row],[Unit Price]]</f>
        <v>899</v>
      </c>
      <c r="T3440" s="5">
        <f>OrdersTable[[#This Row],[Gross Sale]]*OrdersTable[[#This Row],[Discount_Clean2]]</f>
        <v>44.95</v>
      </c>
      <c r="U3440" s="5">
        <f>OrdersTable[[#This Row],[Gross Sale]]-OrdersTable[[#This Row],[Discount Amount]]</f>
        <v>854.05</v>
      </c>
      <c r="V3440" s="77">
        <f>INDEX(Products!E:E,MATCH(OrdersTable[[#This Row],[Product ID]],Products!A:A,0))</f>
        <v>494</v>
      </c>
      <c r="W3440" s="77">
        <f>OrdersTable[[#This Row],[Quantity]]*OrdersTable[[#This Row],[Unit Cost]]</f>
        <v>494</v>
      </c>
      <c r="X3440" s="77">
        <f>'Dropdown Lists'!$I$2*(1+OrdersTable[[#This Row],[Returned]])</f>
        <v>60</v>
      </c>
      <c r="Y3440" s="76">
        <f>OrdersTable[[#This Row],[Net Revenue]]-OrdersTable[[#This Row],[COGS]]-OrdersTable[[#This Row],[Shipping Cost]]</f>
        <v>300.04999999999995</v>
      </c>
      <c r="Z3440" s="78">
        <f>IFERROR(OrdersTable[[#This Row],[Profit]]/OrdersTable[[#This Row],[Net Revenue]],0)</f>
        <v>0.35132603477548152</v>
      </c>
      <c r="AA3440" t="s">
        <v>2522</v>
      </c>
      <c r="AB3440" s="79">
        <v>45857</v>
      </c>
      <c r="AC3440">
        <f>OrdersTable[[#This Row],[Delivery Date]]-OrdersTable[[#This Row],[Order Date]]</f>
        <v>3</v>
      </c>
      <c r="AD3440" t="str">
        <f>IF(OrdersTable[[#This Row],[Delivery Days]]&lt;=2, "Express (≤2d)", IF(OrdersTable[[#This Row],[Delivery Days]]&lt;=4, "Standard (3-4d)", "Delayed (5d+)"))</f>
        <v>Standard (3-4d)</v>
      </c>
      <c r="AF3440">
        <v>0</v>
      </c>
    </row>
    <row r="3441" spans="1:32" ht="15" x14ac:dyDescent="0.35">
      <c r="A3441" t="s">
        <v>2425</v>
      </c>
      <c r="B3441" s="1">
        <v>45854</v>
      </c>
      <c r="C3441">
        <f>YEAR(OrdersTable[[#This Row],[Order Date]])</f>
        <v>2025</v>
      </c>
      <c r="D3441" s="2">
        <f>DATE(YEAR(OrdersTable[[#This Row],[Order Date]]),MONTH(OrdersTable[[#This Row],[Order Date]]),1)</f>
        <v>45839</v>
      </c>
      <c r="E3441">
        <f>MONTH(OrdersTable[[#This Row],[Order Date]])</f>
        <v>7</v>
      </c>
      <c r="F3441" t="s">
        <v>2426</v>
      </c>
      <c r="G3441" t="str">
        <f>IF(OrdersTable[[#This Row],[Order Date]]=_xlfn.MINIFS(Order_Date, Customer_ID, OrdersTable[[#This Row],[Customer ID]]), "New", "Repeat")</f>
        <v>New</v>
      </c>
      <c r="H3441" t="s">
        <v>71</v>
      </c>
      <c r="I3441" t="str">
        <f>INDEX(State!B:B,MATCH(OrdersTable[[#This Row],[State]],State!A:A,0))</f>
        <v>MH</v>
      </c>
      <c r="J3441" t="str">
        <f>INDEX(State!C:C,MATCH(OrdersTable[[#This Row],[State Code]],State!B:B,0))</f>
        <v>West</v>
      </c>
      <c r="K3441" t="s">
        <v>102</v>
      </c>
      <c r="L3441" t="s">
        <v>65</v>
      </c>
      <c r="M3441" t="s">
        <v>148</v>
      </c>
      <c r="N3441" t="str">
        <f>INDEX(Products!B:B,MATCH(OrdersTable[[#This Row],[Product ID]],Products!A:A,0))</f>
        <v>Smartwatch Strap</v>
      </c>
      <c r="O3441" t="str">
        <f>INDEX(Products!C:C,MATCH(OrdersTable[[#This Row],[Product ID]],Products!A:A,0))</f>
        <v>Electronics</v>
      </c>
      <c r="P3441">
        <v>1</v>
      </c>
      <c r="Q3441" s="5">
        <v>499</v>
      </c>
      <c r="R3441" s="74">
        <v>0.2</v>
      </c>
      <c r="S3441" s="75">
        <f>OrdersTable[[#This Row],[Quantity]]*OrdersTable[[#This Row],[Unit Price]]</f>
        <v>499</v>
      </c>
      <c r="T3441" s="5">
        <f>OrdersTable[[#This Row],[Gross Sale]]*OrdersTable[[#This Row],[Discount_Clean2]]</f>
        <v>99.800000000000011</v>
      </c>
      <c r="U3441" s="5">
        <f>OrdersTable[[#This Row],[Gross Sale]]-OrdersTable[[#This Row],[Discount Amount]]</f>
        <v>399.2</v>
      </c>
      <c r="V3441" s="77">
        <f>INDEX(Products!E:E,MATCH(OrdersTable[[#This Row],[Product ID]],Products!A:A,0))</f>
        <v>200</v>
      </c>
      <c r="W3441" s="77">
        <f>OrdersTable[[#This Row],[Quantity]]*OrdersTable[[#This Row],[Unit Cost]]</f>
        <v>200</v>
      </c>
      <c r="X3441" s="77">
        <f>'Dropdown Lists'!$I$2*(1+OrdersTable[[#This Row],[Returned]])</f>
        <v>60</v>
      </c>
      <c r="Y3441" s="76">
        <f>OrdersTable[[#This Row],[Net Revenue]]-OrdersTable[[#This Row],[COGS]]-OrdersTable[[#This Row],[Shipping Cost]]</f>
        <v>139.19999999999999</v>
      </c>
      <c r="Z3441" s="78">
        <f>IFERROR(OrdersTable[[#This Row],[Profit]]/OrdersTable[[#This Row],[Net Revenue]],0)</f>
        <v>0.34869739478957912</v>
      </c>
      <c r="AA3441" t="s">
        <v>18</v>
      </c>
      <c r="AB3441" s="79">
        <v>45856</v>
      </c>
      <c r="AC3441">
        <f>OrdersTable[[#This Row],[Delivery Date]]-OrdersTable[[#This Row],[Order Date]]</f>
        <v>2</v>
      </c>
      <c r="AD3441" t="str">
        <f>IF(OrdersTable[[#This Row],[Delivery Days]]&lt;=2, "Express (≤2d)", IF(OrdersTable[[#This Row],[Delivery Days]]&lt;=4, "Standard (3-4d)", "Delayed (5d+)"))</f>
        <v>Express (≤2d)</v>
      </c>
      <c r="AE3441">
        <v>5</v>
      </c>
      <c r="AF3441">
        <v>0</v>
      </c>
    </row>
    <row r="3442" spans="1:32" ht="15" x14ac:dyDescent="0.35">
      <c r="A3442" t="s">
        <v>3912</v>
      </c>
      <c r="B3442" s="1">
        <v>45854</v>
      </c>
      <c r="C3442">
        <f>YEAR(OrdersTable[[#This Row],[Order Date]])</f>
        <v>2025</v>
      </c>
      <c r="D3442" s="2">
        <f>DATE(YEAR(OrdersTable[[#This Row],[Order Date]]),MONTH(OrdersTable[[#This Row],[Order Date]]),1)</f>
        <v>45839</v>
      </c>
      <c r="E3442">
        <f>MONTH(OrdersTable[[#This Row],[Order Date]])</f>
        <v>7</v>
      </c>
      <c r="F3442" t="s">
        <v>3198</v>
      </c>
      <c r="G3442" t="str">
        <f>IF(OrdersTable[[#This Row],[Order Date]]=_xlfn.MINIFS(Order_Date, Customer_ID, OrdersTable[[#This Row],[Customer ID]]), "New", "Repeat")</f>
        <v>Repeat</v>
      </c>
      <c r="H3442" t="s">
        <v>59</v>
      </c>
      <c r="I3442" t="str">
        <f>INDEX(State!B:B,MATCH(OrdersTable[[#This Row],[State]],State!A:A,0))</f>
        <v>TN</v>
      </c>
      <c r="J3442" t="str">
        <f>INDEX(State!C:C,MATCH(OrdersTable[[#This Row],[State Code]],State!B:B,0))</f>
        <v>South</v>
      </c>
      <c r="K3442" t="s">
        <v>60</v>
      </c>
      <c r="L3442" t="s">
        <v>39</v>
      </c>
      <c r="M3442" t="s">
        <v>61</v>
      </c>
      <c r="N3442" t="str">
        <f>INDEX(Products!B:B,MATCH(OrdersTable[[#This Row],[Product ID]],Products!A:A,0))</f>
        <v>Multivitamin Gummies</v>
      </c>
      <c r="O3442" t="str">
        <f>INDEX(Products!C:C,MATCH(OrdersTable[[#This Row],[Product ID]],Products!A:A,0))</f>
        <v>Wellness</v>
      </c>
      <c r="P3442">
        <v>1</v>
      </c>
      <c r="Q3442" s="5">
        <v>699</v>
      </c>
      <c r="R3442" s="74">
        <v>0.2</v>
      </c>
      <c r="S3442" s="75">
        <f>OrdersTable[[#This Row],[Quantity]]*OrdersTable[[#This Row],[Unit Price]]</f>
        <v>699</v>
      </c>
      <c r="T3442" s="5">
        <f>OrdersTable[[#This Row],[Gross Sale]]*OrdersTable[[#This Row],[Discount_Clean2]]</f>
        <v>139.80000000000001</v>
      </c>
      <c r="U3442" s="5">
        <f>OrdersTable[[#This Row],[Gross Sale]]-OrdersTable[[#This Row],[Discount Amount]]</f>
        <v>559.20000000000005</v>
      </c>
      <c r="V3442" s="77">
        <f>INDEX(Products!E:E,MATCH(OrdersTable[[#This Row],[Product ID]],Products!A:A,0))</f>
        <v>238</v>
      </c>
      <c r="W3442" s="77">
        <f>OrdersTable[[#This Row],[Quantity]]*OrdersTable[[#This Row],[Unit Cost]]</f>
        <v>238</v>
      </c>
      <c r="X3442" s="77">
        <f>'Dropdown Lists'!$I$2*(1+OrdersTable[[#This Row],[Returned]])</f>
        <v>60</v>
      </c>
      <c r="Y3442" s="76">
        <f>OrdersTable[[#This Row],[Net Revenue]]-OrdersTable[[#This Row],[COGS]]-OrdersTable[[#This Row],[Shipping Cost]]</f>
        <v>261.20000000000005</v>
      </c>
      <c r="Z3442" s="78">
        <f>IFERROR(OrdersTable[[#This Row],[Profit]]/OrdersTable[[#This Row],[Net Revenue]],0)</f>
        <v>0.46709585121602293</v>
      </c>
      <c r="AA3442" t="s">
        <v>3495</v>
      </c>
      <c r="AB3442" s="79">
        <v>45858</v>
      </c>
      <c r="AC3442">
        <f>OrdersTable[[#This Row],[Delivery Date]]-OrdersTable[[#This Row],[Order Date]]</f>
        <v>4</v>
      </c>
      <c r="AD3442" t="str">
        <f>IF(OrdersTable[[#This Row],[Delivery Days]]&lt;=2, "Express (≤2d)", IF(OrdersTable[[#This Row],[Delivery Days]]&lt;=4, "Standard (3-4d)", "Delayed (5d+)"))</f>
        <v>Standard (3-4d)</v>
      </c>
      <c r="AE3442">
        <v>3</v>
      </c>
      <c r="AF3442">
        <v>0</v>
      </c>
    </row>
    <row r="3443" spans="1:32" ht="15" x14ac:dyDescent="0.35">
      <c r="A3443" t="s">
        <v>4040</v>
      </c>
      <c r="B3443" s="1">
        <v>45855</v>
      </c>
      <c r="C3443">
        <f>YEAR(OrdersTable[[#This Row],[Order Date]])</f>
        <v>2025</v>
      </c>
      <c r="D3443" s="2">
        <f>DATE(YEAR(OrdersTable[[#This Row],[Order Date]]),MONTH(OrdersTable[[#This Row],[Order Date]]),1)</f>
        <v>45839</v>
      </c>
      <c r="E3443">
        <f>MONTH(OrdersTable[[#This Row],[Order Date]])</f>
        <v>7</v>
      </c>
      <c r="F3443" t="s">
        <v>806</v>
      </c>
      <c r="G3443" t="str">
        <f>IF(OrdersTable[[#This Row],[Order Date]]=_xlfn.MINIFS(Order_Date, Customer_ID, OrdersTable[[#This Row],[Customer ID]]), "New", "Repeat")</f>
        <v>Repeat</v>
      </c>
      <c r="H3443" t="s">
        <v>128</v>
      </c>
      <c r="I3443" t="str">
        <f>INDEX(State!B:B,MATCH(OrdersTable[[#This Row],[State]],State!A:A,0))</f>
        <v>DL</v>
      </c>
      <c r="J3443" t="str">
        <f>INDEX(State!C:C,MATCH(OrdersTable[[#This Row],[State Code]],State!B:B,0))</f>
        <v>North</v>
      </c>
      <c r="K3443" t="s">
        <v>129</v>
      </c>
      <c r="L3443" t="s">
        <v>65</v>
      </c>
      <c r="M3443" t="s">
        <v>24</v>
      </c>
      <c r="N3443" t="str">
        <f>INDEX(Products!B:B,MATCH(OrdersTable[[#This Row],[Product ID]],Products!A:A,0))</f>
        <v>Scented Candle Set</v>
      </c>
      <c r="O3443" t="str">
        <f>INDEX(Products!C:C,MATCH(OrdersTable[[#This Row],[Product ID]],Products!A:A,0))</f>
        <v>Home &amp; Kitchen</v>
      </c>
      <c r="P3443">
        <v>1</v>
      </c>
      <c r="Q3443" s="5">
        <v>699</v>
      </c>
      <c r="R3443" s="74">
        <v>0.2</v>
      </c>
      <c r="S3443" s="75">
        <f>OrdersTable[[#This Row],[Quantity]]*OrdersTable[[#This Row],[Unit Price]]</f>
        <v>699</v>
      </c>
      <c r="T3443" s="5">
        <f>OrdersTable[[#This Row],[Gross Sale]]*OrdersTable[[#This Row],[Discount_Clean2]]</f>
        <v>139.80000000000001</v>
      </c>
      <c r="U3443" s="5">
        <f>OrdersTable[[#This Row],[Gross Sale]]-OrdersTable[[#This Row],[Discount Amount]]</f>
        <v>559.20000000000005</v>
      </c>
      <c r="V3443" s="77">
        <f>INDEX(Products!E:E,MATCH(OrdersTable[[#This Row],[Product ID]],Products!A:A,0))</f>
        <v>245</v>
      </c>
      <c r="W3443" s="77">
        <f>OrdersTable[[#This Row],[Quantity]]*OrdersTable[[#This Row],[Unit Cost]]</f>
        <v>245</v>
      </c>
      <c r="X3443" s="77">
        <f>'Dropdown Lists'!$I$2*(1+OrdersTable[[#This Row],[Returned]])</f>
        <v>60</v>
      </c>
      <c r="Y3443" s="76">
        <f>OrdersTable[[#This Row],[Net Revenue]]-OrdersTable[[#This Row],[COGS]]-OrdersTable[[#This Row],[Shipping Cost]]</f>
        <v>254.20000000000005</v>
      </c>
      <c r="Z3443" s="78">
        <f>IFERROR(OrdersTable[[#This Row],[Profit]]/OrdersTable[[#This Row],[Net Revenue]],0)</f>
        <v>0.45457796852646642</v>
      </c>
      <c r="AA3443" t="s">
        <v>3495</v>
      </c>
      <c r="AB3443" s="79">
        <v>45856</v>
      </c>
      <c r="AC3443">
        <f>OrdersTable[[#This Row],[Delivery Date]]-OrdersTable[[#This Row],[Order Date]]</f>
        <v>1</v>
      </c>
      <c r="AD3443" t="str">
        <f>IF(OrdersTable[[#This Row],[Delivery Days]]&lt;=2, "Express (≤2d)", IF(OrdersTable[[#This Row],[Delivery Days]]&lt;=4, "Standard (3-4d)", "Delayed (5d+)"))</f>
        <v>Express (≤2d)</v>
      </c>
      <c r="AE3443">
        <v>5</v>
      </c>
      <c r="AF3443">
        <v>0</v>
      </c>
    </row>
    <row r="3444" spans="1:32" ht="15" x14ac:dyDescent="0.35">
      <c r="A3444" t="s">
        <v>3079</v>
      </c>
      <c r="B3444" s="1">
        <v>45855</v>
      </c>
      <c r="C3444">
        <f>YEAR(OrdersTable[[#This Row],[Order Date]])</f>
        <v>2025</v>
      </c>
      <c r="D3444" s="2">
        <f>DATE(YEAR(OrdersTable[[#This Row],[Order Date]]),MONTH(OrdersTable[[#This Row],[Order Date]]),1)</f>
        <v>45839</v>
      </c>
      <c r="E3444">
        <f>MONTH(OrdersTable[[#This Row],[Order Date]])</f>
        <v>7</v>
      </c>
      <c r="F3444" t="s">
        <v>3080</v>
      </c>
      <c r="G3444" t="str">
        <f>IF(OrdersTable[[#This Row],[Order Date]]=_xlfn.MINIFS(Order_Date, Customer_ID, OrdersTable[[#This Row],[Customer ID]]), "New", "Repeat")</f>
        <v>Repeat</v>
      </c>
      <c r="H3444" t="s">
        <v>128</v>
      </c>
      <c r="I3444" t="str">
        <f>INDEX(State!B:B,MATCH(OrdersTable[[#This Row],[State]],State!A:A,0))</f>
        <v>DL</v>
      </c>
      <c r="J3444" t="str">
        <f>INDEX(State!C:C,MATCH(OrdersTable[[#This Row],[State Code]],State!B:B,0))</f>
        <v>North</v>
      </c>
      <c r="K3444" t="s">
        <v>129</v>
      </c>
      <c r="L3444" t="s">
        <v>39</v>
      </c>
      <c r="M3444" t="s">
        <v>125</v>
      </c>
      <c r="N3444" t="str">
        <f>INDEX(Products!B:B,MATCH(OrdersTable[[#This Row],[Product ID]],Products!A:A,0))</f>
        <v>Copper Water Bottle</v>
      </c>
      <c r="O3444" t="str">
        <f>INDEX(Products!C:C,MATCH(OrdersTable[[#This Row],[Product ID]],Products!A:A,0))</f>
        <v>Home &amp; Kitchen</v>
      </c>
      <c r="P3444">
        <v>1</v>
      </c>
      <c r="Q3444" s="5">
        <v>899</v>
      </c>
      <c r="R3444" s="74">
        <v>0.05</v>
      </c>
      <c r="S3444" s="75">
        <f>OrdersTable[[#This Row],[Quantity]]*OrdersTable[[#This Row],[Unit Price]]</f>
        <v>899</v>
      </c>
      <c r="T3444" s="5">
        <f>OrdersTable[[#This Row],[Gross Sale]]*OrdersTable[[#This Row],[Discount_Clean2]]</f>
        <v>44.95</v>
      </c>
      <c r="U3444" s="5">
        <f>OrdersTable[[#This Row],[Gross Sale]]-OrdersTable[[#This Row],[Discount Amount]]</f>
        <v>854.05</v>
      </c>
      <c r="V3444" s="77">
        <f>INDEX(Products!E:E,MATCH(OrdersTable[[#This Row],[Product ID]],Products!A:A,0))</f>
        <v>378</v>
      </c>
      <c r="W3444" s="77">
        <f>OrdersTable[[#This Row],[Quantity]]*OrdersTable[[#This Row],[Unit Cost]]</f>
        <v>378</v>
      </c>
      <c r="X3444" s="77">
        <f>'Dropdown Lists'!$I$2*(1+OrdersTable[[#This Row],[Returned]])</f>
        <v>60</v>
      </c>
      <c r="Y3444" s="76">
        <f>OrdersTable[[#This Row],[Net Revenue]]-OrdersTable[[#This Row],[COGS]]-OrdersTable[[#This Row],[Shipping Cost]]</f>
        <v>416.04999999999995</v>
      </c>
      <c r="Z3444" s="78">
        <f>IFERROR(OrdersTable[[#This Row],[Profit]]/OrdersTable[[#This Row],[Net Revenue]],0)</f>
        <v>0.48714946431707745</v>
      </c>
      <c r="AA3444" t="s">
        <v>2522</v>
      </c>
      <c r="AB3444" s="79">
        <v>45859</v>
      </c>
      <c r="AC3444">
        <f>OrdersTable[[#This Row],[Delivery Date]]-OrdersTable[[#This Row],[Order Date]]</f>
        <v>4</v>
      </c>
      <c r="AD3444" t="str">
        <f>IF(OrdersTable[[#This Row],[Delivery Days]]&lt;=2, "Express (≤2d)", IF(OrdersTable[[#This Row],[Delivery Days]]&lt;=4, "Standard (3-4d)", "Delayed (5d+)"))</f>
        <v>Standard (3-4d)</v>
      </c>
      <c r="AF3444">
        <v>0</v>
      </c>
    </row>
    <row r="3445" spans="1:32" ht="15" x14ac:dyDescent="0.35">
      <c r="A3445" t="s">
        <v>5010</v>
      </c>
      <c r="B3445" s="1">
        <v>45855</v>
      </c>
      <c r="C3445">
        <f>YEAR(OrdersTable[[#This Row],[Order Date]])</f>
        <v>2025</v>
      </c>
      <c r="D3445" s="2">
        <f>DATE(YEAR(OrdersTable[[#This Row],[Order Date]]),MONTH(OrdersTable[[#This Row],[Order Date]]),1)</f>
        <v>45839</v>
      </c>
      <c r="E3445">
        <f>MONTH(OrdersTable[[#This Row],[Order Date]])</f>
        <v>7</v>
      </c>
      <c r="F3445" t="s">
        <v>475</v>
      </c>
      <c r="G3445" t="str">
        <f>IF(OrdersTable[[#This Row],[Order Date]]=_xlfn.MINIFS(Order_Date, Customer_ID, OrdersTable[[#This Row],[Customer ID]]), "New", "Repeat")</f>
        <v>Repeat</v>
      </c>
      <c r="H3445" t="s">
        <v>27</v>
      </c>
      <c r="I3445" t="str">
        <f>INDEX(State!B:B,MATCH(OrdersTable[[#This Row],[State]],State!A:A,0))</f>
        <v>WB</v>
      </c>
      <c r="J3445" t="str">
        <f>INDEX(State!C:C,MATCH(OrdersTable[[#This Row],[State Code]],State!B:B,0))</f>
        <v>East</v>
      </c>
      <c r="K3445" t="s">
        <v>28</v>
      </c>
      <c r="L3445" t="s">
        <v>16</v>
      </c>
      <c r="M3445" t="s">
        <v>255</v>
      </c>
      <c r="N3445" t="str">
        <f>INDEX(Products!B:B,MATCH(OrdersTable[[#This Row],[Product ID]],Products!A:A,0))</f>
        <v>Cotton Oversized T-Shirt</v>
      </c>
      <c r="O3445" t="str">
        <f>INDEX(Products!C:C,MATCH(OrdersTable[[#This Row],[Product ID]],Products!A:A,0))</f>
        <v>Apparel</v>
      </c>
      <c r="P3445">
        <v>2</v>
      </c>
      <c r="Q3445" s="5">
        <v>799</v>
      </c>
      <c r="R3445" s="74">
        <v>0</v>
      </c>
      <c r="S3445" s="75">
        <f>OrdersTable[[#This Row],[Quantity]]*OrdersTable[[#This Row],[Unit Price]]</f>
        <v>1598</v>
      </c>
      <c r="T3445" s="5">
        <f>OrdersTable[[#This Row],[Gross Sale]]*OrdersTable[[#This Row],[Discount_Clean2]]</f>
        <v>0</v>
      </c>
      <c r="U3445" s="5">
        <f>OrdersTable[[#This Row],[Gross Sale]]-OrdersTable[[#This Row],[Discount Amount]]</f>
        <v>1598</v>
      </c>
      <c r="V3445" s="77">
        <f>INDEX(Products!E:E,MATCH(OrdersTable[[#This Row],[Product ID]],Products!A:A,0))</f>
        <v>320</v>
      </c>
      <c r="W3445" s="77">
        <f>OrdersTable[[#This Row],[Quantity]]*OrdersTable[[#This Row],[Unit Cost]]</f>
        <v>640</v>
      </c>
      <c r="X3445" s="77">
        <f>'Dropdown Lists'!$I$2*(1+OrdersTable[[#This Row],[Returned]])</f>
        <v>120</v>
      </c>
      <c r="Y3445" s="76">
        <f>OrdersTable[[#This Row],[Net Revenue]]-OrdersTable[[#This Row],[COGS]]-OrdersTable[[#This Row],[Shipping Cost]]</f>
        <v>838</v>
      </c>
      <c r="Z3445" s="78">
        <f>IFERROR(OrdersTable[[#This Row],[Profit]]/OrdersTable[[#This Row],[Net Revenue]],0)</f>
        <v>0.52440550688360454</v>
      </c>
      <c r="AA3445" t="s">
        <v>4074</v>
      </c>
      <c r="AB3445" s="79">
        <v>45858</v>
      </c>
      <c r="AC3445">
        <f>OrdersTable[[#This Row],[Delivery Date]]-OrdersTable[[#This Row],[Order Date]]</f>
        <v>3</v>
      </c>
      <c r="AD3445" t="str">
        <f>IF(OrdersTable[[#This Row],[Delivery Days]]&lt;=2, "Express (≤2d)", IF(OrdersTable[[#This Row],[Delivery Days]]&lt;=4, "Standard (3-4d)", "Delayed (5d+)"))</f>
        <v>Standard (3-4d)</v>
      </c>
      <c r="AE3445">
        <v>5</v>
      </c>
      <c r="AF3445">
        <v>1</v>
      </c>
    </row>
    <row r="3446" spans="1:32" ht="15" x14ac:dyDescent="0.35">
      <c r="A3446" t="s">
        <v>1290</v>
      </c>
      <c r="B3446" s="1">
        <v>45855</v>
      </c>
      <c r="C3446">
        <f>YEAR(OrdersTable[[#This Row],[Order Date]])</f>
        <v>2025</v>
      </c>
      <c r="D3446" s="2">
        <f>DATE(YEAR(OrdersTable[[#This Row],[Order Date]]),MONTH(OrdersTable[[#This Row],[Order Date]]),1)</f>
        <v>45839</v>
      </c>
      <c r="E3446">
        <f>MONTH(OrdersTable[[#This Row],[Order Date]])</f>
        <v>7</v>
      </c>
      <c r="F3446" t="s">
        <v>1291</v>
      </c>
      <c r="G3446" t="str">
        <f>IF(OrdersTable[[#This Row],[Order Date]]=_xlfn.MINIFS(Order_Date, Customer_ID, OrdersTable[[#This Row],[Customer ID]]), "New", "Repeat")</f>
        <v>Repeat</v>
      </c>
      <c r="H3446" t="s">
        <v>71</v>
      </c>
      <c r="I3446" t="str">
        <f>INDEX(State!B:B,MATCH(OrdersTable[[#This Row],[State]],State!A:A,0))</f>
        <v>MH</v>
      </c>
      <c r="J3446" t="str">
        <f>INDEX(State!C:C,MATCH(OrdersTable[[#This Row],[State Code]],State!B:B,0))</f>
        <v>West</v>
      </c>
      <c r="K3446" t="s">
        <v>81</v>
      </c>
      <c r="L3446" t="s">
        <v>16</v>
      </c>
      <c r="M3446" t="s">
        <v>255</v>
      </c>
      <c r="N3446" t="str">
        <f>INDEX(Products!B:B,MATCH(OrdersTable[[#This Row],[Product ID]],Products!A:A,0))</f>
        <v>Cotton Oversized T-Shirt</v>
      </c>
      <c r="O3446" t="str">
        <f>INDEX(Products!C:C,MATCH(OrdersTable[[#This Row],[Product ID]],Products!A:A,0))</f>
        <v>Apparel</v>
      </c>
      <c r="P3446">
        <v>1</v>
      </c>
      <c r="Q3446" s="5">
        <v>799</v>
      </c>
      <c r="R3446" s="74">
        <v>0</v>
      </c>
      <c r="S3446" s="75">
        <f>OrdersTable[[#This Row],[Quantity]]*OrdersTable[[#This Row],[Unit Price]]</f>
        <v>799</v>
      </c>
      <c r="T3446" s="5">
        <f>OrdersTable[[#This Row],[Gross Sale]]*OrdersTable[[#This Row],[Discount_Clean2]]</f>
        <v>0</v>
      </c>
      <c r="U3446" s="5">
        <f>OrdersTable[[#This Row],[Gross Sale]]-OrdersTable[[#This Row],[Discount Amount]]</f>
        <v>799</v>
      </c>
      <c r="V3446" s="77">
        <f>INDEX(Products!E:E,MATCH(OrdersTable[[#This Row],[Product ID]],Products!A:A,0))</f>
        <v>320</v>
      </c>
      <c r="W3446" s="77">
        <f>OrdersTable[[#This Row],[Quantity]]*OrdersTable[[#This Row],[Unit Cost]]</f>
        <v>320</v>
      </c>
      <c r="X3446" s="77">
        <f>'Dropdown Lists'!$I$2*(1+OrdersTable[[#This Row],[Returned]])</f>
        <v>60</v>
      </c>
      <c r="Y3446" s="76">
        <f>OrdersTable[[#This Row],[Net Revenue]]-OrdersTable[[#This Row],[COGS]]-OrdersTable[[#This Row],[Shipping Cost]]</f>
        <v>419</v>
      </c>
      <c r="Z3446" s="78">
        <f>IFERROR(OrdersTable[[#This Row],[Profit]]/OrdersTable[[#This Row],[Net Revenue]],0)</f>
        <v>0.52440550688360454</v>
      </c>
      <c r="AA3446" t="s">
        <v>18</v>
      </c>
      <c r="AB3446" s="79">
        <v>45858</v>
      </c>
      <c r="AC3446">
        <f>OrdersTable[[#This Row],[Delivery Date]]-OrdersTable[[#This Row],[Order Date]]</f>
        <v>3</v>
      </c>
      <c r="AD3446" t="str">
        <f>IF(OrdersTable[[#This Row],[Delivery Days]]&lt;=2, "Express (≤2d)", IF(OrdersTable[[#This Row],[Delivery Days]]&lt;=4, "Standard (3-4d)", "Delayed (5d+)"))</f>
        <v>Standard (3-4d)</v>
      </c>
      <c r="AF3446">
        <v>0</v>
      </c>
    </row>
    <row r="3447" spans="1:32" ht="15" x14ac:dyDescent="0.35">
      <c r="A3447" t="s">
        <v>5619</v>
      </c>
      <c r="B3447" s="1">
        <v>45855</v>
      </c>
      <c r="C3447">
        <f>YEAR(OrdersTable[[#This Row],[Order Date]])</f>
        <v>2025</v>
      </c>
      <c r="D3447" s="2">
        <f>DATE(YEAR(OrdersTable[[#This Row],[Order Date]]),MONTH(OrdersTable[[#This Row],[Order Date]]),1)</f>
        <v>45839</v>
      </c>
      <c r="E3447">
        <f>MONTH(OrdersTable[[#This Row],[Order Date]])</f>
        <v>7</v>
      </c>
      <c r="F3447" t="s">
        <v>3068</v>
      </c>
      <c r="G3447" t="str">
        <f>IF(OrdersTable[[#This Row],[Order Date]]=_xlfn.MINIFS(Order_Date, Customer_ID, OrdersTable[[#This Row],[Customer ID]]), "New", "Repeat")</f>
        <v>Repeat</v>
      </c>
      <c r="H3447" t="s">
        <v>167</v>
      </c>
      <c r="I3447" t="str">
        <f>INDEX(State!B:B,MATCH(OrdersTable[[#This Row],[State]],State!A:A,0))</f>
        <v>KA</v>
      </c>
      <c r="J3447" t="str">
        <f>INDEX(State!C:C,MATCH(OrdersTable[[#This Row],[State Code]],State!B:B,0))</f>
        <v>South</v>
      </c>
      <c r="K3447" t="s">
        <v>190</v>
      </c>
      <c r="L3447" t="s">
        <v>50</v>
      </c>
      <c r="M3447" t="s">
        <v>160</v>
      </c>
      <c r="N3447" t="str">
        <f>INDEX(Products!B:B,MATCH(OrdersTable[[#This Row],[Product ID]],Products!A:A,0))</f>
        <v>Niacinamide Toner</v>
      </c>
      <c r="O3447" t="str">
        <f>INDEX(Products!C:C,MATCH(OrdersTable[[#This Row],[Product ID]],Products!A:A,0))</f>
        <v>Skincare</v>
      </c>
      <c r="P3447">
        <v>2</v>
      </c>
      <c r="Q3447" s="5">
        <v>399</v>
      </c>
      <c r="R3447" s="74">
        <v>0.3</v>
      </c>
      <c r="S3447" s="75">
        <f>OrdersTable[[#This Row],[Quantity]]*OrdersTable[[#This Row],[Unit Price]]</f>
        <v>798</v>
      </c>
      <c r="T3447" s="5">
        <f>OrdersTable[[#This Row],[Gross Sale]]*OrdersTable[[#This Row],[Discount_Clean2]]</f>
        <v>239.39999999999998</v>
      </c>
      <c r="U3447" s="5">
        <f>OrdersTable[[#This Row],[Gross Sale]]-OrdersTable[[#This Row],[Discount Amount]]</f>
        <v>558.6</v>
      </c>
      <c r="V3447" s="77">
        <f>INDEX(Products!E:E,MATCH(OrdersTable[[#This Row],[Product ID]],Products!A:A,0))</f>
        <v>112</v>
      </c>
      <c r="W3447" s="77">
        <f>OrdersTable[[#This Row],[Quantity]]*OrdersTable[[#This Row],[Unit Cost]]</f>
        <v>224</v>
      </c>
      <c r="X3447" s="77">
        <f>'Dropdown Lists'!$I$2*(1+OrdersTable[[#This Row],[Returned]])</f>
        <v>60</v>
      </c>
      <c r="Y3447" s="76">
        <f>OrdersTable[[#This Row],[Net Revenue]]-OrdersTable[[#This Row],[COGS]]-OrdersTable[[#This Row],[Shipping Cost]]</f>
        <v>274.60000000000002</v>
      </c>
      <c r="Z3447" s="78">
        <f>IFERROR(OrdersTable[[#This Row],[Profit]]/OrdersTable[[#This Row],[Net Revenue]],0)</f>
        <v>0.49158610812746151</v>
      </c>
      <c r="AA3447" t="s">
        <v>2522</v>
      </c>
      <c r="AB3447" s="79">
        <v>45857</v>
      </c>
      <c r="AC3447">
        <f>OrdersTable[[#This Row],[Delivery Date]]-OrdersTable[[#This Row],[Order Date]]</f>
        <v>2</v>
      </c>
      <c r="AD3447" t="str">
        <f>IF(OrdersTable[[#This Row],[Delivery Days]]&lt;=2, "Express (≤2d)", IF(OrdersTable[[#This Row],[Delivery Days]]&lt;=4, "Standard (3-4d)", "Delayed (5d+)"))</f>
        <v>Express (≤2d)</v>
      </c>
      <c r="AE3447">
        <v>4</v>
      </c>
      <c r="AF3447">
        <v>0</v>
      </c>
    </row>
    <row r="3448" spans="1:32" ht="15" x14ac:dyDescent="0.35">
      <c r="A3448" t="s">
        <v>1178</v>
      </c>
      <c r="B3448" s="1">
        <v>45856</v>
      </c>
      <c r="C3448">
        <f>YEAR(OrdersTable[[#This Row],[Order Date]])</f>
        <v>2025</v>
      </c>
      <c r="D3448" s="2">
        <f>DATE(YEAR(OrdersTable[[#This Row],[Order Date]]),MONTH(OrdersTable[[#This Row],[Order Date]]),1)</f>
        <v>45839</v>
      </c>
      <c r="E3448">
        <f>MONTH(OrdersTable[[#This Row],[Order Date]])</f>
        <v>7</v>
      </c>
      <c r="F3448" t="s">
        <v>1179</v>
      </c>
      <c r="G3448" t="str">
        <f>IF(OrdersTable[[#This Row],[Order Date]]=_xlfn.MINIFS(Order_Date, Customer_ID, OrdersTable[[#This Row],[Customer ID]]), "New", "Repeat")</f>
        <v>Repeat</v>
      </c>
      <c r="H3448" t="s">
        <v>48</v>
      </c>
      <c r="I3448" t="str">
        <f>INDEX(State!B:B,MATCH(OrdersTable[[#This Row],[State]],State!A:A,0))</f>
        <v>HR</v>
      </c>
      <c r="J3448" t="str">
        <f>INDEX(State!C:C,MATCH(OrdersTable[[#This Row],[State Code]],State!B:B,0))</f>
        <v>North</v>
      </c>
      <c r="K3448" t="s">
        <v>151</v>
      </c>
      <c r="L3448" t="s">
        <v>50</v>
      </c>
      <c r="M3448" t="s">
        <v>160</v>
      </c>
      <c r="N3448" t="str">
        <f>INDEX(Products!B:B,MATCH(OrdersTable[[#This Row],[Product ID]],Products!A:A,0))</f>
        <v>Niacinamide Toner</v>
      </c>
      <c r="O3448" t="str">
        <f>INDEX(Products!C:C,MATCH(OrdersTable[[#This Row],[Product ID]],Products!A:A,0))</f>
        <v>Skincare</v>
      </c>
      <c r="P3448">
        <v>1</v>
      </c>
      <c r="Q3448" s="5">
        <v>399</v>
      </c>
      <c r="R3448" s="74">
        <v>0.2</v>
      </c>
      <c r="S3448" s="75">
        <f>OrdersTable[[#This Row],[Quantity]]*OrdersTable[[#This Row],[Unit Price]]</f>
        <v>399</v>
      </c>
      <c r="T3448" s="5">
        <f>OrdersTable[[#This Row],[Gross Sale]]*OrdersTable[[#This Row],[Discount_Clean2]]</f>
        <v>79.800000000000011</v>
      </c>
      <c r="U3448" s="5">
        <f>OrdersTable[[#This Row],[Gross Sale]]-OrdersTable[[#This Row],[Discount Amount]]</f>
        <v>319.2</v>
      </c>
      <c r="V3448" s="77">
        <f>INDEX(Products!E:E,MATCH(OrdersTable[[#This Row],[Product ID]],Products!A:A,0))</f>
        <v>112</v>
      </c>
      <c r="W3448" s="77">
        <f>OrdersTable[[#This Row],[Quantity]]*OrdersTable[[#This Row],[Unit Cost]]</f>
        <v>112</v>
      </c>
      <c r="X3448" s="77">
        <f>'Dropdown Lists'!$I$2*(1+OrdersTable[[#This Row],[Returned]])</f>
        <v>60</v>
      </c>
      <c r="Y3448" s="76">
        <f>OrdersTable[[#This Row],[Net Revenue]]-OrdersTable[[#This Row],[COGS]]-OrdersTable[[#This Row],[Shipping Cost]]</f>
        <v>147.19999999999999</v>
      </c>
      <c r="Z3448" s="78">
        <f>IFERROR(OrdersTable[[#This Row],[Profit]]/OrdersTable[[#This Row],[Net Revenue]],0)</f>
        <v>0.46115288220551376</v>
      </c>
      <c r="AA3448" t="s">
        <v>18</v>
      </c>
      <c r="AB3448" s="79">
        <v>45858</v>
      </c>
      <c r="AC3448">
        <f>OrdersTable[[#This Row],[Delivery Date]]-OrdersTable[[#This Row],[Order Date]]</f>
        <v>2</v>
      </c>
      <c r="AD3448" t="str">
        <f>IF(OrdersTable[[#This Row],[Delivery Days]]&lt;=2, "Express (≤2d)", IF(OrdersTable[[#This Row],[Delivery Days]]&lt;=4, "Standard (3-4d)", "Delayed (5d+)"))</f>
        <v>Express (≤2d)</v>
      </c>
      <c r="AF3448">
        <v>0</v>
      </c>
    </row>
    <row r="3449" spans="1:32" ht="15" x14ac:dyDescent="0.35">
      <c r="A3449" t="s">
        <v>3913</v>
      </c>
      <c r="B3449" s="1">
        <v>45856</v>
      </c>
      <c r="C3449">
        <f>YEAR(OrdersTable[[#This Row],[Order Date]])</f>
        <v>2025</v>
      </c>
      <c r="D3449" s="2">
        <f>DATE(YEAR(OrdersTable[[#This Row],[Order Date]]),MONTH(OrdersTable[[#This Row],[Order Date]]),1)</f>
        <v>45839</v>
      </c>
      <c r="E3449">
        <f>MONTH(OrdersTable[[#This Row],[Order Date]])</f>
        <v>7</v>
      </c>
      <c r="F3449" t="s">
        <v>2168</v>
      </c>
      <c r="G3449" t="str">
        <f>IF(OrdersTable[[#This Row],[Order Date]]=_xlfn.MINIFS(Order_Date, Customer_ID, OrdersTable[[#This Row],[Customer ID]]), "New", "Repeat")</f>
        <v>New</v>
      </c>
      <c r="H3449" t="s">
        <v>76</v>
      </c>
      <c r="I3449" t="str">
        <f>INDEX(State!B:B,MATCH(OrdersTable[[#This Row],[State]],State!A:A,0))</f>
        <v>UP</v>
      </c>
      <c r="J3449" t="str">
        <f>INDEX(State!C:C,MATCH(OrdersTable[[#This Row],[State Code]],State!B:B,0))</f>
        <v>North</v>
      </c>
      <c r="K3449" t="s">
        <v>118</v>
      </c>
      <c r="L3449" t="s">
        <v>39</v>
      </c>
      <c r="M3449" t="s">
        <v>29</v>
      </c>
      <c r="N3449" t="str">
        <f>INDEX(Products!B:B,MATCH(OrdersTable[[#This Row],[Product ID]],Products!A:A,0))</f>
        <v>Joggers</v>
      </c>
      <c r="O3449" t="str">
        <f>INDEX(Products!C:C,MATCH(OrdersTable[[#This Row],[Product ID]],Products!A:A,0))</f>
        <v>Apparel</v>
      </c>
      <c r="P3449">
        <v>1</v>
      </c>
      <c r="Q3449" s="5">
        <v>1199</v>
      </c>
      <c r="R3449" s="74">
        <v>0.05</v>
      </c>
      <c r="S3449" s="75">
        <f>OrdersTable[[#This Row],[Quantity]]*OrdersTable[[#This Row],[Unit Price]]</f>
        <v>1199</v>
      </c>
      <c r="T3449" s="5">
        <f>OrdersTable[[#This Row],[Gross Sale]]*OrdersTable[[#This Row],[Discount_Clean2]]</f>
        <v>59.95</v>
      </c>
      <c r="U3449" s="5">
        <f>OrdersTable[[#This Row],[Gross Sale]]-OrdersTable[[#This Row],[Discount Amount]]</f>
        <v>1139.05</v>
      </c>
      <c r="V3449" s="77">
        <f>INDEX(Products!E:E,MATCH(OrdersTable[[#This Row],[Product ID]],Products!A:A,0))</f>
        <v>492</v>
      </c>
      <c r="W3449" s="77">
        <f>OrdersTable[[#This Row],[Quantity]]*OrdersTable[[#This Row],[Unit Cost]]</f>
        <v>492</v>
      </c>
      <c r="X3449" s="77">
        <f>'Dropdown Lists'!$I$2*(1+OrdersTable[[#This Row],[Returned]])</f>
        <v>60</v>
      </c>
      <c r="Y3449" s="76">
        <f>OrdersTable[[#This Row],[Net Revenue]]-OrdersTable[[#This Row],[COGS]]-OrdersTable[[#This Row],[Shipping Cost]]</f>
        <v>587.04999999999995</v>
      </c>
      <c r="Z3449" s="78">
        <f>IFERROR(OrdersTable[[#This Row],[Profit]]/OrdersTable[[#This Row],[Net Revenue]],0)</f>
        <v>0.51538562837452262</v>
      </c>
      <c r="AA3449" t="s">
        <v>3495</v>
      </c>
      <c r="AB3449" s="79">
        <v>45860</v>
      </c>
      <c r="AC3449">
        <f>OrdersTable[[#This Row],[Delivery Date]]-OrdersTable[[#This Row],[Order Date]]</f>
        <v>4</v>
      </c>
      <c r="AD3449" t="str">
        <f>IF(OrdersTable[[#This Row],[Delivery Days]]&lt;=2, "Express (≤2d)", IF(OrdersTable[[#This Row],[Delivery Days]]&lt;=4, "Standard (3-4d)", "Delayed (5d+)"))</f>
        <v>Standard (3-4d)</v>
      </c>
      <c r="AE3449">
        <v>3</v>
      </c>
      <c r="AF3449">
        <v>0</v>
      </c>
    </row>
    <row r="3450" spans="1:32" ht="15" x14ac:dyDescent="0.35">
      <c r="A3450" t="s">
        <v>4711</v>
      </c>
      <c r="B3450" s="1">
        <v>45856</v>
      </c>
      <c r="C3450">
        <f>YEAR(OrdersTable[[#This Row],[Order Date]])</f>
        <v>2025</v>
      </c>
      <c r="D3450" s="2">
        <f>DATE(YEAR(OrdersTable[[#This Row],[Order Date]]),MONTH(OrdersTable[[#This Row],[Order Date]]),1)</f>
        <v>45839</v>
      </c>
      <c r="E3450">
        <f>MONTH(OrdersTable[[#This Row],[Order Date]])</f>
        <v>7</v>
      </c>
      <c r="F3450" t="s">
        <v>4712</v>
      </c>
      <c r="G3450" t="str">
        <f>IF(OrdersTable[[#This Row],[Order Date]]=_xlfn.MINIFS(Order_Date, Customer_ID, OrdersTable[[#This Row],[Customer ID]]), "New", "Repeat")</f>
        <v>New</v>
      </c>
      <c r="H3450" t="s">
        <v>482</v>
      </c>
      <c r="I3450" t="str">
        <f>INDEX(State!B:B,MATCH(OrdersTable[[#This Row],[State]],State!A:A,0))</f>
        <v>CG</v>
      </c>
      <c r="J3450" t="str">
        <f>INDEX(State!C:C,MATCH(OrdersTable[[#This Row],[State Code]],State!B:B,0))</f>
        <v>East</v>
      </c>
      <c r="K3450" t="s">
        <v>483</v>
      </c>
      <c r="L3450" t="s">
        <v>65</v>
      </c>
      <c r="M3450" t="s">
        <v>423</v>
      </c>
      <c r="N3450" t="str">
        <f>INDEX(Products!B:B,MATCH(OrdersTable[[#This Row],[Product ID]],Products!A:A,0))</f>
        <v>Power Bank 20000mAh</v>
      </c>
      <c r="O3450" t="str">
        <f>INDEX(Products!C:C,MATCH(OrdersTable[[#This Row],[Product ID]],Products!A:A,0))</f>
        <v>Electronics</v>
      </c>
      <c r="P3450">
        <v>1</v>
      </c>
      <c r="Q3450" s="5">
        <v>1799</v>
      </c>
      <c r="R3450" s="74">
        <v>0.35</v>
      </c>
      <c r="S3450" s="75">
        <f>OrdersTable[[#This Row],[Quantity]]*OrdersTable[[#This Row],[Unit Price]]</f>
        <v>1799</v>
      </c>
      <c r="T3450" s="5">
        <f>OrdersTable[[#This Row],[Gross Sale]]*OrdersTable[[#This Row],[Discount_Clean2]]</f>
        <v>629.65</v>
      </c>
      <c r="U3450" s="5">
        <f>OrdersTable[[#This Row],[Gross Sale]]-OrdersTable[[#This Row],[Discount Amount]]</f>
        <v>1169.3499999999999</v>
      </c>
      <c r="V3450" s="77">
        <f>INDEX(Products!E:E,MATCH(OrdersTable[[#This Row],[Product ID]],Products!A:A,0))</f>
        <v>1079</v>
      </c>
      <c r="W3450" s="77">
        <f>OrdersTable[[#This Row],[Quantity]]*OrdersTable[[#This Row],[Unit Cost]]</f>
        <v>1079</v>
      </c>
      <c r="X3450" s="77">
        <f>'Dropdown Lists'!$I$2*(1+OrdersTable[[#This Row],[Returned]])</f>
        <v>60</v>
      </c>
      <c r="Y3450" s="76">
        <f>OrdersTable[[#This Row],[Net Revenue]]-OrdersTable[[#This Row],[COGS]]-OrdersTable[[#This Row],[Shipping Cost]]</f>
        <v>30.349999999999909</v>
      </c>
      <c r="Z3450" s="78">
        <f>IFERROR(OrdersTable[[#This Row],[Profit]]/OrdersTable[[#This Row],[Net Revenue]],0)</f>
        <v>2.5954590156924712E-2</v>
      </c>
      <c r="AA3450" t="s">
        <v>4450</v>
      </c>
      <c r="AB3450" s="79">
        <v>45862</v>
      </c>
      <c r="AC3450">
        <f>OrdersTable[[#This Row],[Delivery Date]]-OrdersTable[[#This Row],[Order Date]]</f>
        <v>6</v>
      </c>
      <c r="AD3450" t="str">
        <f>IF(OrdersTable[[#This Row],[Delivery Days]]&lt;=2, "Express (≤2d)", IF(OrdersTable[[#This Row],[Delivery Days]]&lt;=4, "Standard (3-4d)", "Delayed (5d+)"))</f>
        <v>Delayed (5d+)</v>
      </c>
      <c r="AE3450">
        <v>5</v>
      </c>
      <c r="AF3450">
        <v>0</v>
      </c>
    </row>
    <row r="3451" spans="1:32" ht="15" x14ac:dyDescent="0.35">
      <c r="A3451" t="s">
        <v>3081</v>
      </c>
      <c r="B3451" s="1">
        <v>45856</v>
      </c>
      <c r="C3451">
        <f>YEAR(OrdersTable[[#This Row],[Order Date]])</f>
        <v>2025</v>
      </c>
      <c r="D3451" s="2">
        <f>DATE(YEAR(OrdersTable[[#This Row],[Order Date]]),MONTH(OrdersTable[[#This Row],[Order Date]]),1)</f>
        <v>45839</v>
      </c>
      <c r="E3451">
        <f>MONTH(OrdersTable[[#This Row],[Order Date]])</f>
        <v>7</v>
      </c>
      <c r="F3451" t="s">
        <v>1505</v>
      </c>
      <c r="G3451" t="str">
        <f>IF(OrdersTable[[#This Row],[Order Date]]=_xlfn.MINIFS(Order_Date, Customer_ID, OrdersTable[[#This Row],[Customer ID]]), "New", "Repeat")</f>
        <v>Repeat</v>
      </c>
      <c r="H3451" t="s">
        <v>27</v>
      </c>
      <c r="I3451" t="str">
        <f>INDEX(State!B:B,MATCH(OrdersTable[[#This Row],[State]],State!A:A,0))</f>
        <v>WB</v>
      </c>
      <c r="J3451" t="str">
        <f>INDEX(State!C:C,MATCH(OrdersTable[[#This Row],[State Code]],State!B:B,0))</f>
        <v>East</v>
      </c>
      <c r="K3451" t="s">
        <v>28</v>
      </c>
      <c r="L3451" t="s">
        <v>65</v>
      </c>
      <c r="M3451" t="s">
        <v>24</v>
      </c>
      <c r="N3451" t="str">
        <f>INDEX(Products!B:B,MATCH(OrdersTable[[#This Row],[Product ID]],Products!A:A,0))</f>
        <v>Scented Candle Set</v>
      </c>
      <c r="O3451" t="str">
        <f>INDEX(Products!C:C,MATCH(OrdersTable[[#This Row],[Product ID]],Products!A:A,0))</f>
        <v>Home &amp; Kitchen</v>
      </c>
      <c r="P3451">
        <v>1</v>
      </c>
      <c r="Q3451" s="5">
        <v>699</v>
      </c>
      <c r="R3451" s="74">
        <v>0.25</v>
      </c>
      <c r="S3451" s="75">
        <f>OrdersTable[[#This Row],[Quantity]]*OrdersTable[[#This Row],[Unit Price]]</f>
        <v>699</v>
      </c>
      <c r="T3451" s="5">
        <f>OrdersTable[[#This Row],[Gross Sale]]*OrdersTable[[#This Row],[Discount_Clean2]]</f>
        <v>174.75</v>
      </c>
      <c r="U3451" s="5">
        <f>OrdersTable[[#This Row],[Gross Sale]]-OrdersTable[[#This Row],[Discount Amount]]</f>
        <v>524.25</v>
      </c>
      <c r="V3451" s="77">
        <f>INDEX(Products!E:E,MATCH(OrdersTable[[#This Row],[Product ID]],Products!A:A,0))</f>
        <v>245</v>
      </c>
      <c r="W3451" s="77">
        <f>OrdersTable[[#This Row],[Quantity]]*OrdersTable[[#This Row],[Unit Cost]]</f>
        <v>245</v>
      </c>
      <c r="X3451" s="77">
        <f>'Dropdown Lists'!$I$2*(1+OrdersTable[[#This Row],[Returned]])</f>
        <v>60</v>
      </c>
      <c r="Y3451" s="76">
        <f>OrdersTable[[#This Row],[Net Revenue]]-OrdersTable[[#This Row],[COGS]]-OrdersTable[[#This Row],[Shipping Cost]]</f>
        <v>219.25</v>
      </c>
      <c r="Z3451" s="78">
        <f>IFERROR(OrdersTable[[#This Row],[Profit]]/OrdersTable[[#This Row],[Net Revenue]],0)</f>
        <v>0.41821649976156416</v>
      </c>
      <c r="AA3451" t="s">
        <v>2522</v>
      </c>
      <c r="AB3451" s="79">
        <v>45860</v>
      </c>
      <c r="AC3451">
        <f>OrdersTable[[#This Row],[Delivery Date]]-OrdersTable[[#This Row],[Order Date]]</f>
        <v>4</v>
      </c>
      <c r="AD3451" t="str">
        <f>IF(OrdersTable[[#This Row],[Delivery Days]]&lt;=2, "Express (≤2d)", IF(OrdersTable[[#This Row],[Delivery Days]]&lt;=4, "Standard (3-4d)", "Delayed (5d+)"))</f>
        <v>Standard (3-4d)</v>
      </c>
      <c r="AF3451">
        <v>0</v>
      </c>
    </row>
    <row r="3452" spans="1:32" ht="15" x14ac:dyDescent="0.35">
      <c r="A3452" t="s">
        <v>848</v>
      </c>
      <c r="B3452" s="1">
        <v>45856</v>
      </c>
      <c r="C3452">
        <f>YEAR(OrdersTable[[#This Row],[Order Date]])</f>
        <v>2025</v>
      </c>
      <c r="D3452" s="2">
        <f>DATE(YEAR(OrdersTable[[#This Row],[Order Date]]),MONTH(OrdersTable[[#This Row],[Order Date]]),1)</f>
        <v>45839</v>
      </c>
      <c r="E3452">
        <f>MONTH(OrdersTable[[#This Row],[Order Date]])</f>
        <v>7</v>
      </c>
      <c r="F3452" t="s">
        <v>652</v>
      </c>
      <c r="G3452" t="str">
        <f>IF(OrdersTable[[#This Row],[Order Date]]=_xlfn.MINIFS(Order_Date, Customer_ID, OrdersTable[[#This Row],[Customer ID]]), "New", "Repeat")</f>
        <v>Repeat</v>
      </c>
      <c r="H3452" t="s">
        <v>71</v>
      </c>
      <c r="I3452" t="str">
        <f>INDEX(State!B:B,MATCH(OrdersTable[[#This Row],[State]],State!A:A,0))</f>
        <v>MH</v>
      </c>
      <c r="J3452" t="str">
        <f>INDEX(State!C:C,MATCH(OrdersTable[[#This Row],[State Code]],State!B:B,0))</f>
        <v>West</v>
      </c>
      <c r="K3452" t="s">
        <v>72</v>
      </c>
      <c r="L3452" t="s">
        <v>23</v>
      </c>
      <c r="M3452" t="s">
        <v>423</v>
      </c>
      <c r="N3452" t="str">
        <f>INDEX(Products!B:B,MATCH(OrdersTable[[#This Row],[Product ID]],Products!A:A,0))</f>
        <v>Power Bank 20000mAh</v>
      </c>
      <c r="O3452" t="str">
        <f>INDEX(Products!C:C,MATCH(OrdersTable[[#This Row],[Product ID]],Products!A:A,0))</f>
        <v>Electronics</v>
      </c>
      <c r="P3452">
        <v>1</v>
      </c>
      <c r="Q3452" s="5">
        <v>1799</v>
      </c>
      <c r="R3452" s="74">
        <v>0.35</v>
      </c>
      <c r="S3452" s="75">
        <f>OrdersTable[[#This Row],[Quantity]]*OrdersTable[[#This Row],[Unit Price]]</f>
        <v>1799</v>
      </c>
      <c r="T3452" s="5">
        <f>OrdersTable[[#This Row],[Gross Sale]]*OrdersTable[[#This Row],[Discount_Clean2]]</f>
        <v>629.65</v>
      </c>
      <c r="U3452" s="5">
        <f>OrdersTable[[#This Row],[Gross Sale]]-OrdersTable[[#This Row],[Discount Amount]]</f>
        <v>1169.3499999999999</v>
      </c>
      <c r="V3452" s="77">
        <f>INDEX(Products!E:E,MATCH(OrdersTable[[#This Row],[Product ID]],Products!A:A,0))</f>
        <v>1079</v>
      </c>
      <c r="W3452" s="77">
        <f>OrdersTable[[#This Row],[Quantity]]*OrdersTable[[#This Row],[Unit Cost]]</f>
        <v>1079</v>
      </c>
      <c r="X3452" s="77">
        <f>'Dropdown Lists'!$I$2*(1+OrdersTable[[#This Row],[Returned]])</f>
        <v>60</v>
      </c>
      <c r="Y3452" s="76">
        <f>OrdersTable[[#This Row],[Net Revenue]]-OrdersTable[[#This Row],[COGS]]-OrdersTable[[#This Row],[Shipping Cost]]</f>
        <v>30.349999999999909</v>
      </c>
      <c r="Z3452" s="78">
        <f>IFERROR(OrdersTable[[#This Row],[Profit]]/OrdersTable[[#This Row],[Net Revenue]],0)</f>
        <v>2.5954590156924712E-2</v>
      </c>
      <c r="AA3452" t="s">
        <v>18</v>
      </c>
      <c r="AB3452" s="79">
        <v>45858</v>
      </c>
      <c r="AC3452">
        <f>OrdersTable[[#This Row],[Delivery Date]]-OrdersTable[[#This Row],[Order Date]]</f>
        <v>2</v>
      </c>
      <c r="AD3452" t="str">
        <f>IF(OrdersTable[[#This Row],[Delivery Days]]&lt;=2, "Express (≤2d)", IF(OrdersTable[[#This Row],[Delivery Days]]&lt;=4, "Standard (3-4d)", "Delayed (5d+)"))</f>
        <v>Express (≤2d)</v>
      </c>
      <c r="AE3452">
        <v>4</v>
      </c>
      <c r="AF3452">
        <v>0</v>
      </c>
    </row>
    <row r="3453" spans="1:32" ht="15" x14ac:dyDescent="0.35">
      <c r="A3453" t="s">
        <v>1758</v>
      </c>
      <c r="B3453" s="1">
        <v>45856</v>
      </c>
      <c r="C3453">
        <f>YEAR(OrdersTable[[#This Row],[Order Date]])</f>
        <v>2025</v>
      </c>
      <c r="D3453" s="2">
        <f>DATE(YEAR(OrdersTable[[#This Row],[Order Date]]),MONTH(OrdersTable[[#This Row],[Order Date]]),1)</f>
        <v>45839</v>
      </c>
      <c r="E3453">
        <f>MONTH(OrdersTable[[#This Row],[Order Date]])</f>
        <v>7</v>
      </c>
      <c r="F3453" t="s">
        <v>1356</v>
      </c>
      <c r="G3453" t="str">
        <f>IF(OrdersTable[[#This Row],[Order Date]]=_xlfn.MINIFS(Order_Date, Customer_ID, OrdersTable[[#This Row],[Customer ID]]), "New", "Repeat")</f>
        <v>Repeat</v>
      </c>
      <c r="H3453" t="s">
        <v>71</v>
      </c>
      <c r="I3453" t="str">
        <f>INDEX(State!B:B,MATCH(OrdersTable[[#This Row],[State]],State!A:A,0))</f>
        <v>MH</v>
      </c>
      <c r="J3453" t="str">
        <f>INDEX(State!C:C,MATCH(OrdersTable[[#This Row],[State Code]],State!B:B,0))</f>
        <v>West</v>
      </c>
      <c r="K3453" t="s">
        <v>72</v>
      </c>
      <c r="L3453" t="s">
        <v>65</v>
      </c>
      <c r="M3453" t="s">
        <v>61</v>
      </c>
      <c r="N3453" t="str">
        <f>INDEX(Products!B:B,MATCH(OrdersTable[[#This Row],[Product ID]],Products!A:A,0))</f>
        <v>Multivitamin Gummies</v>
      </c>
      <c r="O3453" t="str">
        <f>INDEX(Products!C:C,MATCH(OrdersTable[[#This Row],[Product ID]],Products!A:A,0))</f>
        <v>Wellness</v>
      </c>
      <c r="P3453">
        <v>1</v>
      </c>
      <c r="Q3453" s="5">
        <v>699</v>
      </c>
      <c r="R3453" s="74">
        <v>0.25</v>
      </c>
      <c r="S3453" s="75">
        <f>OrdersTable[[#This Row],[Quantity]]*OrdersTable[[#This Row],[Unit Price]]</f>
        <v>699</v>
      </c>
      <c r="T3453" s="5">
        <f>OrdersTable[[#This Row],[Gross Sale]]*OrdersTable[[#This Row],[Discount_Clean2]]</f>
        <v>174.75</v>
      </c>
      <c r="U3453" s="5">
        <f>OrdersTable[[#This Row],[Gross Sale]]-OrdersTable[[#This Row],[Discount Amount]]</f>
        <v>524.25</v>
      </c>
      <c r="V3453" s="77">
        <f>INDEX(Products!E:E,MATCH(OrdersTable[[#This Row],[Product ID]],Products!A:A,0))</f>
        <v>238</v>
      </c>
      <c r="W3453" s="77">
        <f>OrdersTable[[#This Row],[Quantity]]*OrdersTable[[#This Row],[Unit Cost]]</f>
        <v>238</v>
      </c>
      <c r="X3453" s="77">
        <f>'Dropdown Lists'!$I$2*(1+OrdersTable[[#This Row],[Returned]])</f>
        <v>60</v>
      </c>
      <c r="Y3453" s="76">
        <f>OrdersTable[[#This Row],[Net Revenue]]-OrdersTable[[#This Row],[COGS]]-OrdersTable[[#This Row],[Shipping Cost]]</f>
        <v>226.25</v>
      </c>
      <c r="Z3453" s="78">
        <f>IFERROR(OrdersTable[[#This Row],[Profit]]/OrdersTable[[#This Row],[Net Revenue]],0)</f>
        <v>0.43156890796375774</v>
      </c>
      <c r="AA3453" t="s">
        <v>18</v>
      </c>
      <c r="AB3453" s="79">
        <v>45857</v>
      </c>
      <c r="AC3453">
        <f>OrdersTable[[#This Row],[Delivery Date]]-OrdersTable[[#This Row],[Order Date]]</f>
        <v>1</v>
      </c>
      <c r="AD3453" t="str">
        <f>IF(OrdersTable[[#This Row],[Delivery Days]]&lt;=2, "Express (≤2d)", IF(OrdersTable[[#This Row],[Delivery Days]]&lt;=4, "Standard (3-4d)", "Delayed (5d+)"))</f>
        <v>Express (≤2d)</v>
      </c>
      <c r="AF3453">
        <v>0</v>
      </c>
    </row>
    <row r="3454" spans="1:32" ht="15" x14ac:dyDescent="0.35">
      <c r="A3454" t="s">
        <v>6604</v>
      </c>
      <c r="B3454" s="1">
        <v>45856</v>
      </c>
      <c r="C3454">
        <f>YEAR(OrdersTable[[#This Row],[Order Date]])</f>
        <v>2025</v>
      </c>
      <c r="D3454" s="2">
        <f>DATE(YEAR(OrdersTable[[#This Row],[Order Date]]),MONTH(OrdersTable[[#This Row],[Order Date]]),1)</f>
        <v>45839</v>
      </c>
      <c r="E3454">
        <f>MONTH(OrdersTable[[#This Row],[Order Date]])</f>
        <v>7</v>
      </c>
      <c r="F3454" t="s">
        <v>3750</v>
      </c>
      <c r="G3454" t="str">
        <f>IF(OrdersTable[[#This Row],[Order Date]]=_xlfn.MINIFS(Order_Date, Customer_ID, OrdersTable[[#This Row],[Customer ID]]), "New", "Repeat")</f>
        <v>Repeat</v>
      </c>
      <c r="H3454" t="s">
        <v>59</v>
      </c>
      <c r="I3454" t="str">
        <f>INDEX(State!B:B,MATCH(OrdersTable[[#This Row],[State]],State!A:A,0))</f>
        <v>TN</v>
      </c>
      <c r="J3454" t="str">
        <f>INDEX(State!C:C,MATCH(OrdersTable[[#This Row],[State Code]],State!B:B,0))</f>
        <v>South</v>
      </c>
      <c r="K3454" t="s">
        <v>60</v>
      </c>
      <c r="L3454" t="s">
        <v>65</v>
      </c>
      <c r="M3454" t="s">
        <v>106</v>
      </c>
      <c r="N3454" t="str">
        <f>INDEX(Products!B:B,MATCH(OrdersTable[[#This Row],[Product ID]],Products!A:A,0))</f>
        <v>Keratin Hair Mask</v>
      </c>
      <c r="O3454" t="str">
        <f>INDEX(Products!C:C,MATCH(OrdersTable[[#This Row],[Product ID]],Products!A:A,0))</f>
        <v>Haircare</v>
      </c>
      <c r="P3454">
        <v>3</v>
      </c>
      <c r="Q3454" s="5">
        <v>549</v>
      </c>
      <c r="R3454" s="74">
        <v>0.15</v>
      </c>
      <c r="S3454" s="75">
        <f>OrdersTable[[#This Row],[Quantity]]*OrdersTable[[#This Row],[Unit Price]]</f>
        <v>1647</v>
      </c>
      <c r="T3454" s="5">
        <f>OrdersTable[[#This Row],[Gross Sale]]*OrdersTable[[#This Row],[Discount_Clean2]]</f>
        <v>247.04999999999998</v>
      </c>
      <c r="U3454" s="5">
        <f>OrdersTable[[#This Row],[Gross Sale]]-OrdersTable[[#This Row],[Discount Amount]]</f>
        <v>1399.95</v>
      </c>
      <c r="V3454" s="77">
        <f>INDEX(Products!E:E,MATCH(OrdersTable[[#This Row],[Product ID]],Products!A:A,0))</f>
        <v>170</v>
      </c>
      <c r="W3454" s="77">
        <f>OrdersTable[[#This Row],[Quantity]]*OrdersTable[[#This Row],[Unit Cost]]</f>
        <v>510</v>
      </c>
      <c r="X3454" s="77">
        <f>'Dropdown Lists'!$I$2*(1+OrdersTable[[#This Row],[Returned]])</f>
        <v>60</v>
      </c>
      <c r="Y3454" s="76">
        <f>OrdersTable[[#This Row],[Net Revenue]]-OrdersTable[[#This Row],[COGS]]-OrdersTable[[#This Row],[Shipping Cost]]</f>
        <v>829.95</v>
      </c>
      <c r="Z3454" s="78">
        <f>IFERROR(OrdersTable[[#This Row],[Profit]]/OrdersTable[[#This Row],[Net Revenue]],0)</f>
        <v>0.59284260152148294</v>
      </c>
      <c r="AA3454" t="s">
        <v>18</v>
      </c>
      <c r="AB3454" s="79">
        <v>45858</v>
      </c>
      <c r="AC3454">
        <f>OrdersTable[[#This Row],[Delivery Date]]-OrdersTable[[#This Row],[Order Date]]</f>
        <v>2</v>
      </c>
      <c r="AD3454" t="str">
        <f>IF(OrdersTable[[#This Row],[Delivery Days]]&lt;=2, "Express (≤2d)", IF(OrdersTable[[#This Row],[Delivery Days]]&lt;=4, "Standard (3-4d)", "Delayed (5d+)"))</f>
        <v>Express (≤2d)</v>
      </c>
      <c r="AE3454">
        <v>5</v>
      </c>
      <c r="AF3454">
        <v>0</v>
      </c>
    </row>
    <row r="3455" spans="1:32" ht="15" x14ac:dyDescent="0.35">
      <c r="A3455" t="s">
        <v>4618</v>
      </c>
      <c r="B3455" s="1">
        <v>45857</v>
      </c>
      <c r="C3455">
        <f>YEAR(OrdersTable[[#This Row],[Order Date]])</f>
        <v>2025</v>
      </c>
      <c r="D3455" s="2">
        <f>DATE(YEAR(OrdersTable[[#This Row],[Order Date]]),MONTH(OrdersTable[[#This Row],[Order Date]]),1)</f>
        <v>45839</v>
      </c>
      <c r="E3455">
        <f>MONTH(OrdersTable[[#This Row],[Order Date]])</f>
        <v>7</v>
      </c>
      <c r="F3455" t="s">
        <v>1878</v>
      </c>
      <c r="G3455" t="str">
        <f>IF(OrdersTable[[#This Row],[Order Date]]=_xlfn.MINIFS(Order_Date, Customer_ID, OrdersTable[[#This Row],[Customer ID]]), "New", "Repeat")</f>
        <v>Repeat</v>
      </c>
      <c r="H3455" t="s">
        <v>21</v>
      </c>
      <c r="I3455" t="str">
        <f>INDEX(State!B:B,MATCH(OrdersTable[[#This Row],[State]],State!A:A,0))</f>
        <v>PB</v>
      </c>
      <c r="J3455" t="str">
        <f>INDEX(State!C:C,MATCH(OrdersTable[[#This Row],[State Code]],State!B:B,0))</f>
        <v>North</v>
      </c>
      <c r="K3455" t="s">
        <v>260</v>
      </c>
      <c r="L3455" t="s">
        <v>23</v>
      </c>
      <c r="M3455" t="s">
        <v>45</v>
      </c>
      <c r="N3455" t="str">
        <f>INDEX(Products!B:B,MATCH(OrdersTable[[#This Row],[Product ID]],Products!A:A,0))</f>
        <v>Argan Shampoo</v>
      </c>
      <c r="O3455" t="str">
        <f>INDEX(Products!C:C,MATCH(OrdersTable[[#This Row],[Product ID]],Products!A:A,0))</f>
        <v>Haircare</v>
      </c>
      <c r="P3455">
        <v>1</v>
      </c>
      <c r="Q3455" s="5">
        <v>449</v>
      </c>
      <c r="R3455" s="74">
        <v>0.05</v>
      </c>
      <c r="S3455" s="75">
        <f>OrdersTable[[#This Row],[Quantity]]*OrdersTable[[#This Row],[Unit Price]]</f>
        <v>449</v>
      </c>
      <c r="T3455" s="5">
        <f>OrdersTable[[#This Row],[Gross Sale]]*OrdersTable[[#This Row],[Discount_Clean2]]</f>
        <v>22.450000000000003</v>
      </c>
      <c r="U3455" s="5">
        <f>OrdersTable[[#This Row],[Gross Sale]]-OrdersTable[[#This Row],[Discount Amount]]</f>
        <v>426.55</v>
      </c>
      <c r="V3455" s="77">
        <f>INDEX(Products!E:E,MATCH(OrdersTable[[#This Row],[Product ID]],Products!A:A,0))</f>
        <v>148</v>
      </c>
      <c r="W3455" s="77">
        <f>OrdersTable[[#This Row],[Quantity]]*OrdersTable[[#This Row],[Unit Cost]]</f>
        <v>148</v>
      </c>
      <c r="X3455" s="77">
        <f>'Dropdown Lists'!$I$2*(1+OrdersTable[[#This Row],[Returned]])</f>
        <v>60</v>
      </c>
      <c r="Y3455" s="76">
        <f>OrdersTable[[#This Row],[Net Revenue]]-OrdersTable[[#This Row],[COGS]]-OrdersTable[[#This Row],[Shipping Cost]]</f>
        <v>218.55</v>
      </c>
      <c r="Z3455" s="78">
        <f>IFERROR(OrdersTable[[#This Row],[Profit]]/OrdersTable[[#This Row],[Net Revenue]],0)</f>
        <v>0.51236666275934828</v>
      </c>
      <c r="AA3455" t="s">
        <v>4450</v>
      </c>
      <c r="AB3455" s="79">
        <v>45859</v>
      </c>
      <c r="AC3455">
        <f>OrdersTable[[#This Row],[Delivery Date]]-OrdersTable[[#This Row],[Order Date]]</f>
        <v>2</v>
      </c>
      <c r="AD3455" t="str">
        <f>IF(OrdersTable[[#This Row],[Delivery Days]]&lt;=2, "Express (≤2d)", IF(OrdersTable[[#This Row],[Delivery Days]]&lt;=4, "Standard (3-4d)", "Delayed (5d+)"))</f>
        <v>Express (≤2d)</v>
      </c>
      <c r="AF3455">
        <v>0</v>
      </c>
    </row>
    <row r="3456" spans="1:32" ht="15" x14ac:dyDescent="0.35">
      <c r="A3456" t="s">
        <v>3787</v>
      </c>
      <c r="B3456" s="1">
        <v>45857</v>
      </c>
      <c r="C3456">
        <f>YEAR(OrdersTable[[#This Row],[Order Date]])</f>
        <v>2025</v>
      </c>
      <c r="D3456" s="2">
        <f>DATE(YEAR(OrdersTable[[#This Row],[Order Date]]),MONTH(OrdersTable[[#This Row],[Order Date]]),1)</f>
        <v>45839</v>
      </c>
      <c r="E3456">
        <f>MONTH(OrdersTable[[#This Row],[Order Date]])</f>
        <v>7</v>
      </c>
      <c r="F3456" t="s">
        <v>3788</v>
      </c>
      <c r="G3456" t="str">
        <f>IF(OrdersTable[[#This Row],[Order Date]]=_xlfn.MINIFS(Order_Date, Customer_ID, OrdersTable[[#This Row],[Customer ID]]), "New", "Repeat")</f>
        <v>New</v>
      </c>
      <c r="H3456" t="s">
        <v>128</v>
      </c>
      <c r="I3456" t="str">
        <f>INDEX(State!B:B,MATCH(OrdersTable[[#This Row],[State]],State!A:A,0))</f>
        <v>DL</v>
      </c>
      <c r="J3456" t="str">
        <f>INDEX(State!C:C,MATCH(OrdersTable[[#This Row],[State Code]],State!B:B,0))</f>
        <v>North</v>
      </c>
      <c r="K3456" t="s">
        <v>129</v>
      </c>
      <c r="L3456" t="s">
        <v>50</v>
      </c>
      <c r="M3456" t="s">
        <v>73</v>
      </c>
      <c r="N3456" t="str">
        <f>INDEX(Products!B:B,MATCH(OrdersTable[[#This Row],[Product ID]],Products!A:A,0))</f>
        <v>Hydrating Face Wash</v>
      </c>
      <c r="O3456" t="str">
        <f>INDEX(Products!C:C,MATCH(OrdersTable[[#This Row],[Product ID]],Products!A:A,0))</f>
        <v>Skincare</v>
      </c>
      <c r="P3456">
        <v>1</v>
      </c>
      <c r="Q3456" s="5">
        <v>299</v>
      </c>
      <c r="R3456" s="74">
        <v>0</v>
      </c>
      <c r="S3456" s="75">
        <f>OrdersTable[[#This Row],[Quantity]]*OrdersTable[[#This Row],[Unit Price]]</f>
        <v>299</v>
      </c>
      <c r="T3456" s="5">
        <f>OrdersTable[[#This Row],[Gross Sale]]*OrdersTable[[#This Row],[Discount_Clean2]]</f>
        <v>0</v>
      </c>
      <c r="U3456" s="5">
        <f>OrdersTable[[#This Row],[Gross Sale]]-OrdersTable[[#This Row],[Discount Amount]]</f>
        <v>299</v>
      </c>
      <c r="V3456" s="77">
        <f>INDEX(Products!E:E,MATCH(OrdersTable[[#This Row],[Product ID]],Products!A:A,0))</f>
        <v>90</v>
      </c>
      <c r="W3456" s="77">
        <f>OrdersTable[[#This Row],[Quantity]]*OrdersTable[[#This Row],[Unit Cost]]</f>
        <v>90</v>
      </c>
      <c r="X3456" s="77">
        <f>'Dropdown Lists'!$I$2*(1+OrdersTable[[#This Row],[Returned]])</f>
        <v>60</v>
      </c>
      <c r="Y3456" s="76">
        <f>OrdersTable[[#This Row],[Net Revenue]]-OrdersTable[[#This Row],[COGS]]-OrdersTable[[#This Row],[Shipping Cost]]</f>
        <v>149</v>
      </c>
      <c r="Z3456" s="78">
        <f>IFERROR(OrdersTable[[#This Row],[Profit]]/OrdersTable[[#This Row],[Net Revenue]],0)</f>
        <v>0.49832775919732442</v>
      </c>
      <c r="AA3456" t="s">
        <v>3495</v>
      </c>
      <c r="AB3456" s="79">
        <v>45860</v>
      </c>
      <c r="AC3456">
        <f>OrdersTable[[#This Row],[Delivery Date]]-OrdersTable[[#This Row],[Order Date]]</f>
        <v>3</v>
      </c>
      <c r="AD3456" t="str">
        <f>IF(OrdersTable[[#This Row],[Delivery Days]]&lt;=2, "Express (≤2d)", IF(OrdersTable[[#This Row],[Delivery Days]]&lt;=4, "Standard (3-4d)", "Delayed (5d+)"))</f>
        <v>Standard (3-4d)</v>
      </c>
      <c r="AF3456">
        <v>0</v>
      </c>
    </row>
    <row r="3457" spans="1:32" ht="15" x14ac:dyDescent="0.35">
      <c r="A3457" t="s">
        <v>4286</v>
      </c>
      <c r="B3457" s="1">
        <v>45857</v>
      </c>
      <c r="C3457">
        <f>YEAR(OrdersTable[[#This Row],[Order Date]])</f>
        <v>2025</v>
      </c>
      <c r="D3457" s="2">
        <f>DATE(YEAR(OrdersTable[[#This Row],[Order Date]]),MONTH(OrdersTable[[#This Row],[Order Date]]),1)</f>
        <v>45839</v>
      </c>
      <c r="E3457">
        <f>MONTH(OrdersTable[[#This Row],[Order Date]])</f>
        <v>7</v>
      </c>
      <c r="F3457" t="s">
        <v>1891</v>
      </c>
      <c r="G3457" t="str">
        <f>IF(OrdersTable[[#This Row],[Order Date]]=_xlfn.MINIFS(Order_Date, Customer_ID, OrdersTable[[#This Row],[Customer ID]]), "New", "Repeat")</f>
        <v>Repeat</v>
      </c>
      <c r="H3457" t="s">
        <v>128</v>
      </c>
      <c r="I3457" t="str">
        <f>INDEX(State!B:B,MATCH(OrdersTable[[#This Row],[State]],State!A:A,0))</f>
        <v>DL</v>
      </c>
      <c r="J3457" t="str">
        <f>INDEX(State!C:C,MATCH(OrdersTable[[#This Row],[State Code]],State!B:B,0))</f>
        <v>North</v>
      </c>
      <c r="K3457" t="s">
        <v>129</v>
      </c>
      <c r="L3457" t="s">
        <v>65</v>
      </c>
      <c r="M3457" t="s">
        <v>106</v>
      </c>
      <c r="N3457" t="str">
        <f>INDEX(Products!B:B,MATCH(OrdersTable[[#This Row],[Product ID]],Products!A:A,0))</f>
        <v>Keratin Hair Mask</v>
      </c>
      <c r="O3457" t="str">
        <f>INDEX(Products!C:C,MATCH(OrdersTable[[#This Row],[Product ID]],Products!A:A,0))</f>
        <v>Haircare</v>
      </c>
      <c r="P3457">
        <v>1</v>
      </c>
      <c r="Q3457" s="5">
        <v>549</v>
      </c>
      <c r="R3457" s="74">
        <v>0.25</v>
      </c>
      <c r="S3457" s="75">
        <f>OrdersTable[[#This Row],[Quantity]]*OrdersTable[[#This Row],[Unit Price]]</f>
        <v>549</v>
      </c>
      <c r="T3457" s="5">
        <f>OrdersTable[[#This Row],[Gross Sale]]*OrdersTable[[#This Row],[Discount_Clean2]]</f>
        <v>137.25</v>
      </c>
      <c r="U3457" s="5">
        <f>OrdersTable[[#This Row],[Gross Sale]]-OrdersTable[[#This Row],[Discount Amount]]</f>
        <v>411.75</v>
      </c>
      <c r="V3457" s="77">
        <f>INDEX(Products!E:E,MATCH(OrdersTable[[#This Row],[Product ID]],Products!A:A,0))</f>
        <v>170</v>
      </c>
      <c r="W3457" s="77">
        <f>OrdersTable[[#This Row],[Quantity]]*OrdersTable[[#This Row],[Unit Cost]]</f>
        <v>170</v>
      </c>
      <c r="X3457" s="77">
        <f>'Dropdown Lists'!$I$2*(1+OrdersTable[[#This Row],[Returned]])</f>
        <v>60</v>
      </c>
      <c r="Y3457" s="76">
        <f>OrdersTable[[#This Row],[Net Revenue]]-OrdersTable[[#This Row],[COGS]]-OrdersTable[[#This Row],[Shipping Cost]]</f>
        <v>181.75</v>
      </c>
      <c r="Z3457" s="78">
        <f>IFERROR(OrdersTable[[#This Row],[Profit]]/OrdersTable[[#This Row],[Net Revenue]],0)</f>
        <v>0.44140862173649059</v>
      </c>
      <c r="AA3457" t="s">
        <v>4074</v>
      </c>
      <c r="AB3457" s="79">
        <v>45858</v>
      </c>
      <c r="AC3457">
        <f>OrdersTable[[#This Row],[Delivery Date]]-OrdersTable[[#This Row],[Order Date]]</f>
        <v>1</v>
      </c>
      <c r="AD3457" t="str">
        <f>IF(OrdersTable[[#This Row],[Delivery Days]]&lt;=2, "Express (≤2d)", IF(OrdersTable[[#This Row],[Delivery Days]]&lt;=4, "Standard (3-4d)", "Delayed (5d+)"))</f>
        <v>Express (≤2d)</v>
      </c>
      <c r="AF3457">
        <v>0</v>
      </c>
    </row>
    <row r="3458" spans="1:32" ht="15" x14ac:dyDescent="0.35">
      <c r="A3458" t="s">
        <v>6186</v>
      </c>
      <c r="B3458" s="1">
        <v>45857</v>
      </c>
      <c r="C3458">
        <f>YEAR(OrdersTable[[#This Row],[Order Date]])</f>
        <v>2025</v>
      </c>
      <c r="D3458" s="2">
        <f>DATE(YEAR(OrdersTable[[#This Row],[Order Date]]),MONTH(OrdersTable[[#This Row],[Order Date]]),1)</f>
        <v>45839</v>
      </c>
      <c r="E3458">
        <f>MONTH(OrdersTable[[#This Row],[Order Date]])</f>
        <v>7</v>
      </c>
      <c r="F3458" t="s">
        <v>335</v>
      </c>
      <c r="G3458" t="str">
        <f>IF(OrdersTable[[#This Row],[Order Date]]=_xlfn.MINIFS(Order_Date, Customer_ID, OrdersTable[[#This Row],[Customer ID]]), "New", "Repeat")</f>
        <v>Repeat</v>
      </c>
      <c r="H3458" t="s">
        <v>482</v>
      </c>
      <c r="I3458" t="str">
        <f>INDEX(State!B:B,MATCH(OrdersTable[[#This Row],[State]],State!A:A,0))</f>
        <v>CG</v>
      </c>
      <c r="J3458" t="str">
        <f>INDEX(State!C:C,MATCH(OrdersTable[[#This Row],[State Code]],State!B:B,0))</f>
        <v>East</v>
      </c>
      <c r="K3458" t="s">
        <v>483</v>
      </c>
      <c r="L3458" t="s">
        <v>23</v>
      </c>
      <c r="M3458" t="s">
        <v>61</v>
      </c>
      <c r="N3458" t="str">
        <f>INDEX(Products!B:B,MATCH(OrdersTable[[#This Row],[Product ID]],Products!A:A,0))</f>
        <v>Multivitamin Gummies</v>
      </c>
      <c r="O3458" t="str">
        <f>INDEX(Products!C:C,MATCH(OrdersTable[[#This Row],[Product ID]],Products!A:A,0))</f>
        <v>Wellness</v>
      </c>
      <c r="P3458">
        <v>2</v>
      </c>
      <c r="Q3458" s="5">
        <v>699</v>
      </c>
      <c r="R3458" s="74">
        <v>0.2</v>
      </c>
      <c r="S3458" s="75">
        <f>OrdersTable[[#This Row],[Quantity]]*OrdersTable[[#This Row],[Unit Price]]</f>
        <v>1398</v>
      </c>
      <c r="T3458" s="5">
        <f>OrdersTable[[#This Row],[Gross Sale]]*OrdersTable[[#This Row],[Discount_Clean2]]</f>
        <v>279.60000000000002</v>
      </c>
      <c r="U3458" s="5">
        <f>OrdersTable[[#This Row],[Gross Sale]]-OrdersTable[[#This Row],[Discount Amount]]</f>
        <v>1118.4000000000001</v>
      </c>
      <c r="V3458" s="77">
        <f>INDEX(Products!E:E,MATCH(OrdersTable[[#This Row],[Product ID]],Products!A:A,0))</f>
        <v>238</v>
      </c>
      <c r="W3458" s="77">
        <f>OrdersTable[[#This Row],[Quantity]]*OrdersTable[[#This Row],[Unit Cost]]</f>
        <v>476</v>
      </c>
      <c r="X3458" s="77">
        <f>'Dropdown Lists'!$I$2*(1+OrdersTable[[#This Row],[Returned]])</f>
        <v>60</v>
      </c>
      <c r="Y3458" s="76">
        <f>OrdersTable[[#This Row],[Net Revenue]]-OrdersTable[[#This Row],[COGS]]-OrdersTable[[#This Row],[Shipping Cost]]</f>
        <v>582.40000000000009</v>
      </c>
      <c r="Z3458" s="78">
        <f>IFERROR(OrdersTable[[#This Row],[Profit]]/OrdersTable[[#This Row],[Net Revenue]],0)</f>
        <v>0.5207439198855508</v>
      </c>
      <c r="AA3458" t="s">
        <v>18</v>
      </c>
      <c r="AB3458" s="79">
        <v>45861</v>
      </c>
      <c r="AC3458">
        <f>OrdersTable[[#This Row],[Delivery Date]]-OrdersTable[[#This Row],[Order Date]]</f>
        <v>4</v>
      </c>
      <c r="AD3458" t="str">
        <f>IF(OrdersTable[[#This Row],[Delivery Days]]&lt;=2, "Express (≤2d)", IF(OrdersTable[[#This Row],[Delivery Days]]&lt;=4, "Standard (3-4d)", "Delayed (5d+)"))</f>
        <v>Standard (3-4d)</v>
      </c>
      <c r="AE3458">
        <v>4</v>
      </c>
      <c r="AF3458">
        <v>0</v>
      </c>
    </row>
    <row r="3459" spans="1:32" ht="15" x14ac:dyDescent="0.35">
      <c r="A3459" t="s">
        <v>2427</v>
      </c>
      <c r="B3459" s="1">
        <v>45857</v>
      </c>
      <c r="C3459">
        <f>YEAR(OrdersTable[[#This Row],[Order Date]])</f>
        <v>2025</v>
      </c>
      <c r="D3459" s="2">
        <f>DATE(YEAR(OrdersTable[[#This Row],[Order Date]]),MONTH(OrdersTable[[#This Row],[Order Date]]),1)</f>
        <v>45839</v>
      </c>
      <c r="E3459">
        <f>MONTH(OrdersTable[[#This Row],[Order Date]])</f>
        <v>7</v>
      </c>
      <c r="F3459" t="s">
        <v>2428</v>
      </c>
      <c r="G3459" t="str">
        <f>IF(OrdersTable[[#This Row],[Order Date]]=_xlfn.MINIFS(Order_Date, Customer_ID, OrdersTable[[#This Row],[Customer ID]]), "New", "Repeat")</f>
        <v>Repeat</v>
      </c>
      <c r="H3459" t="s">
        <v>71</v>
      </c>
      <c r="I3459" t="str">
        <f>INDEX(State!B:B,MATCH(OrdersTable[[#This Row],[State]],State!A:A,0))</f>
        <v>MH</v>
      </c>
      <c r="J3459" t="str">
        <f>INDEX(State!C:C,MATCH(OrdersTable[[#This Row],[State Code]],State!B:B,0))</f>
        <v>West</v>
      </c>
      <c r="K3459" t="s">
        <v>102</v>
      </c>
      <c r="L3459" t="s">
        <v>23</v>
      </c>
      <c r="M3459" t="s">
        <v>40</v>
      </c>
      <c r="N3459" t="str">
        <f>INDEX(Products!B:B,MATCH(OrdersTable[[#This Row],[Product ID]],Products!A:A,0))</f>
        <v>Ashwagandha Capsules</v>
      </c>
      <c r="O3459" t="str">
        <f>INDEX(Products!C:C,MATCH(OrdersTable[[#This Row],[Product ID]],Products!A:A,0))</f>
        <v>Wellness</v>
      </c>
      <c r="P3459">
        <v>1</v>
      </c>
      <c r="Q3459" s="5">
        <v>499</v>
      </c>
      <c r="R3459" s="74">
        <v>0.05</v>
      </c>
      <c r="S3459" s="75">
        <f>OrdersTable[[#This Row],[Quantity]]*OrdersTable[[#This Row],[Unit Price]]</f>
        <v>499</v>
      </c>
      <c r="T3459" s="5">
        <f>OrdersTable[[#This Row],[Gross Sale]]*OrdersTable[[#This Row],[Discount_Clean2]]</f>
        <v>24.950000000000003</v>
      </c>
      <c r="U3459" s="5">
        <f>OrdersTable[[#This Row],[Gross Sale]]-OrdersTable[[#This Row],[Discount Amount]]</f>
        <v>474.05</v>
      </c>
      <c r="V3459" s="77">
        <f>INDEX(Products!E:E,MATCH(OrdersTable[[#This Row],[Product ID]],Products!A:A,0))</f>
        <v>150</v>
      </c>
      <c r="W3459" s="77">
        <f>OrdersTable[[#This Row],[Quantity]]*OrdersTable[[#This Row],[Unit Cost]]</f>
        <v>150</v>
      </c>
      <c r="X3459" s="77">
        <f>'Dropdown Lists'!$I$2*(1+OrdersTable[[#This Row],[Returned]])</f>
        <v>60</v>
      </c>
      <c r="Y3459" s="76">
        <f>OrdersTable[[#This Row],[Net Revenue]]-OrdersTable[[#This Row],[COGS]]-OrdersTable[[#This Row],[Shipping Cost]]</f>
        <v>264.05</v>
      </c>
      <c r="Z3459" s="78">
        <f>IFERROR(OrdersTable[[#This Row],[Profit]]/OrdersTable[[#This Row],[Net Revenue]],0)</f>
        <v>0.55700875435080688</v>
      </c>
      <c r="AA3459" t="s">
        <v>18</v>
      </c>
      <c r="AB3459" s="79">
        <v>45859</v>
      </c>
      <c r="AC3459">
        <f>OrdersTable[[#This Row],[Delivery Date]]-OrdersTable[[#This Row],[Order Date]]</f>
        <v>2</v>
      </c>
      <c r="AD3459" t="str">
        <f>IF(OrdersTable[[#This Row],[Delivery Days]]&lt;=2, "Express (≤2d)", IF(OrdersTable[[#This Row],[Delivery Days]]&lt;=4, "Standard (3-4d)", "Delayed (5d+)"))</f>
        <v>Express (≤2d)</v>
      </c>
      <c r="AE3459">
        <v>5</v>
      </c>
      <c r="AF3459">
        <v>0</v>
      </c>
    </row>
    <row r="3460" spans="1:32" ht="15" x14ac:dyDescent="0.35">
      <c r="A3460" t="s">
        <v>336</v>
      </c>
      <c r="B3460" s="1">
        <v>45857</v>
      </c>
      <c r="C3460">
        <f>YEAR(OrdersTable[[#This Row],[Order Date]])</f>
        <v>2025</v>
      </c>
      <c r="D3460" s="2">
        <f>DATE(YEAR(OrdersTable[[#This Row],[Order Date]]),MONTH(OrdersTable[[#This Row],[Order Date]]),1)</f>
        <v>45839</v>
      </c>
      <c r="E3460">
        <f>MONTH(OrdersTable[[#This Row],[Order Date]])</f>
        <v>7</v>
      </c>
      <c r="F3460" t="s">
        <v>337</v>
      </c>
      <c r="G3460" t="str">
        <f>IF(OrdersTable[[#This Row],[Order Date]]=_xlfn.MINIFS(Order_Date, Customer_ID, OrdersTable[[#This Row],[Customer ID]]), "New", "Repeat")</f>
        <v>Repeat</v>
      </c>
      <c r="H3460" t="s">
        <v>316</v>
      </c>
      <c r="I3460" t="str">
        <f>INDEX(State!B:B,MATCH(OrdersTable[[#This Row],[State]],State!A:A,0))</f>
        <v>KL</v>
      </c>
      <c r="J3460" t="str">
        <f>INDEX(State!C:C,MATCH(OrdersTable[[#This Row],[State Code]],State!B:B,0))</f>
        <v>South</v>
      </c>
      <c r="K3460" t="s">
        <v>338</v>
      </c>
      <c r="L3460" t="s">
        <v>16</v>
      </c>
      <c r="M3460" t="s">
        <v>176</v>
      </c>
      <c r="N3460" t="str">
        <f>INDEX(Products!B:B,MATCH(OrdersTable[[#This Row],[Product ID]],Products!A:A,0))</f>
        <v>Denim Jacket</v>
      </c>
      <c r="O3460" t="str">
        <f>INDEX(Products!C:C,MATCH(OrdersTable[[#This Row],[Product ID]],Products!A:A,0))</f>
        <v>Apparel</v>
      </c>
      <c r="P3460">
        <v>1</v>
      </c>
      <c r="Q3460" s="5">
        <v>2499</v>
      </c>
      <c r="R3460" s="74">
        <v>0</v>
      </c>
      <c r="S3460" s="75">
        <f>OrdersTable[[#This Row],[Quantity]]*OrdersTable[[#This Row],[Unit Price]]</f>
        <v>2499</v>
      </c>
      <c r="T3460" s="5">
        <f>OrdersTable[[#This Row],[Gross Sale]]*OrdersTable[[#This Row],[Discount_Clean2]]</f>
        <v>0</v>
      </c>
      <c r="U3460" s="5">
        <f>OrdersTable[[#This Row],[Gross Sale]]-OrdersTable[[#This Row],[Discount Amount]]</f>
        <v>2499</v>
      </c>
      <c r="V3460" s="77">
        <f>INDEX(Products!E:E,MATCH(OrdersTable[[#This Row],[Product ID]],Products!A:A,0))</f>
        <v>1125</v>
      </c>
      <c r="W3460" s="77">
        <f>OrdersTable[[#This Row],[Quantity]]*OrdersTable[[#This Row],[Unit Cost]]</f>
        <v>1125</v>
      </c>
      <c r="X3460" s="77">
        <f>'Dropdown Lists'!$I$2*(1+OrdersTable[[#This Row],[Returned]])</f>
        <v>60</v>
      </c>
      <c r="Y3460" s="76">
        <f>OrdersTable[[#This Row],[Net Revenue]]-OrdersTable[[#This Row],[COGS]]-OrdersTable[[#This Row],[Shipping Cost]]</f>
        <v>1314</v>
      </c>
      <c r="Z3460" s="78">
        <f>IFERROR(OrdersTable[[#This Row],[Profit]]/OrdersTable[[#This Row],[Net Revenue]],0)</f>
        <v>0.5258103241296519</v>
      </c>
      <c r="AA3460" t="s">
        <v>18</v>
      </c>
      <c r="AB3460" s="79">
        <v>45860</v>
      </c>
      <c r="AC3460">
        <f>OrdersTable[[#This Row],[Delivery Date]]-OrdersTable[[#This Row],[Order Date]]</f>
        <v>3</v>
      </c>
      <c r="AD3460" t="str">
        <f>IF(OrdersTable[[#This Row],[Delivery Days]]&lt;=2, "Express (≤2d)", IF(OrdersTable[[#This Row],[Delivery Days]]&lt;=4, "Standard (3-4d)", "Delayed (5d+)"))</f>
        <v>Standard (3-4d)</v>
      </c>
      <c r="AE3460">
        <v>4</v>
      </c>
      <c r="AF3460">
        <v>0</v>
      </c>
    </row>
    <row r="3461" spans="1:32" ht="15" x14ac:dyDescent="0.35">
      <c r="A3461" t="s">
        <v>2429</v>
      </c>
      <c r="B3461" s="1">
        <v>45858</v>
      </c>
      <c r="C3461">
        <f>YEAR(OrdersTable[[#This Row],[Order Date]])</f>
        <v>2025</v>
      </c>
      <c r="D3461" s="2">
        <f>DATE(YEAR(OrdersTable[[#This Row],[Order Date]]),MONTH(OrdersTable[[#This Row],[Order Date]]),1)</f>
        <v>45839</v>
      </c>
      <c r="E3461">
        <f>MONTH(OrdersTable[[#This Row],[Order Date]])</f>
        <v>7</v>
      </c>
      <c r="F3461" t="s">
        <v>2430</v>
      </c>
      <c r="G3461" t="str">
        <f>IF(OrdersTable[[#This Row],[Order Date]]=_xlfn.MINIFS(Order_Date, Customer_ID, OrdersTable[[#This Row],[Customer ID]]), "New", "Repeat")</f>
        <v>New</v>
      </c>
      <c r="H3461" t="s">
        <v>48</v>
      </c>
      <c r="I3461" t="str">
        <f>INDEX(State!B:B,MATCH(OrdersTable[[#This Row],[State]],State!A:A,0))</f>
        <v>HR</v>
      </c>
      <c r="J3461" t="str">
        <f>INDEX(State!C:C,MATCH(OrdersTable[[#This Row],[State Code]],State!B:B,0))</f>
        <v>North</v>
      </c>
      <c r="K3461" t="s">
        <v>151</v>
      </c>
      <c r="L3461" t="s">
        <v>23</v>
      </c>
      <c r="M3461" t="s">
        <v>78</v>
      </c>
      <c r="N3461" t="str">
        <f>INDEX(Products!B:B,MATCH(OrdersTable[[#This Row],[Product ID]],Products!A:A,0))</f>
        <v>Retinol Night Cream</v>
      </c>
      <c r="O3461" t="str">
        <f>INDEX(Products!C:C,MATCH(OrdersTable[[#This Row],[Product ID]],Products!A:A,0))</f>
        <v>Skincare</v>
      </c>
      <c r="P3461">
        <v>1</v>
      </c>
      <c r="Q3461" s="5">
        <v>799</v>
      </c>
      <c r="R3461" s="74">
        <v>0.15</v>
      </c>
      <c r="S3461" s="75">
        <f>OrdersTable[[#This Row],[Quantity]]*OrdersTable[[#This Row],[Unit Price]]</f>
        <v>799</v>
      </c>
      <c r="T3461" s="5">
        <f>OrdersTable[[#This Row],[Gross Sale]]*OrdersTable[[#This Row],[Discount_Clean2]]</f>
        <v>119.85</v>
      </c>
      <c r="U3461" s="5">
        <f>OrdersTable[[#This Row],[Gross Sale]]-OrdersTable[[#This Row],[Discount Amount]]</f>
        <v>679.15</v>
      </c>
      <c r="V3461" s="77">
        <f>INDEX(Products!E:E,MATCH(OrdersTable[[#This Row],[Product ID]],Products!A:A,0))</f>
        <v>216</v>
      </c>
      <c r="W3461" s="77">
        <f>OrdersTable[[#This Row],[Quantity]]*OrdersTable[[#This Row],[Unit Cost]]</f>
        <v>216</v>
      </c>
      <c r="X3461" s="77">
        <f>'Dropdown Lists'!$I$2*(1+OrdersTable[[#This Row],[Returned]])</f>
        <v>60</v>
      </c>
      <c r="Y3461" s="76">
        <f>OrdersTable[[#This Row],[Net Revenue]]-OrdersTable[[#This Row],[COGS]]-OrdersTable[[#This Row],[Shipping Cost]]</f>
        <v>403.15</v>
      </c>
      <c r="Z3461" s="78">
        <f>IFERROR(OrdersTable[[#This Row],[Profit]]/OrdersTable[[#This Row],[Net Revenue]],0)</f>
        <v>0.59360965913273944</v>
      </c>
      <c r="AA3461" t="s">
        <v>18</v>
      </c>
      <c r="AB3461" s="79">
        <v>45860</v>
      </c>
      <c r="AC3461">
        <f>OrdersTable[[#This Row],[Delivery Date]]-OrdersTable[[#This Row],[Order Date]]</f>
        <v>2</v>
      </c>
      <c r="AD3461" t="str">
        <f>IF(OrdersTable[[#This Row],[Delivery Days]]&lt;=2, "Express (≤2d)", IF(OrdersTable[[#This Row],[Delivery Days]]&lt;=4, "Standard (3-4d)", "Delayed (5d+)"))</f>
        <v>Express (≤2d)</v>
      </c>
      <c r="AE3461">
        <v>5</v>
      </c>
      <c r="AF3461">
        <v>0</v>
      </c>
    </row>
    <row r="3462" spans="1:32" ht="15" x14ac:dyDescent="0.35">
      <c r="A3462" t="s">
        <v>1425</v>
      </c>
      <c r="B3462" s="1">
        <v>45858</v>
      </c>
      <c r="C3462">
        <f>YEAR(OrdersTable[[#This Row],[Order Date]])</f>
        <v>2025</v>
      </c>
      <c r="D3462" s="2">
        <f>DATE(YEAR(OrdersTable[[#This Row],[Order Date]]),MONTH(OrdersTable[[#This Row],[Order Date]]),1)</f>
        <v>45839</v>
      </c>
      <c r="E3462">
        <f>MONTH(OrdersTable[[#This Row],[Order Date]])</f>
        <v>7</v>
      </c>
      <c r="F3462" t="s">
        <v>639</v>
      </c>
      <c r="G3462" t="str">
        <f>IF(OrdersTable[[#This Row],[Order Date]]=_xlfn.MINIFS(Order_Date, Customer_ID, OrdersTable[[#This Row],[Customer ID]]), "New", "Repeat")</f>
        <v>Repeat</v>
      </c>
      <c r="H3462" t="s">
        <v>128</v>
      </c>
      <c r="I3462" t="str">
        <f>INDEX(State!B:B,MATCH(OrdersTable[[#This Row],[State]],State!A:A,0))</f>
        <v>DL</v>
      </c>
      <c r="J3462" t="str">
        <f>INDEX(State!C:C,MATCH(OrdersTable[[#This Row],[State Code]],State!B:B,0))</f>
        <v>North</v>
      </c>
      <c r="K3462" t="s">
        <v>129</v>
      </c>
      <c r="L3462" t="s">
        <v>23</v>
      </c>
      <c r="M3462" t="s">
        <v>84</v>
      </c>
      <c r="N3462" t="str">
        <f>INDEX(Products!B:B,MATCH(OrdersTable[[#This Row],[Product ID]],Products!A:A,0))</f>
        <v>Cotton Bedsheet</v>
      </c>
      <c r="O3462" t="str">
        <f>INDEX(Products!C:C,MATCH(OrdersTable[[#This Row],[Product ID]],Products!A:A,0))</f>
        <v>Home &amp; Kitchen</v>
      </c>
      <c r="P3462">
        <v>1</v>
      </c>
      <c r="Q3462" s="5">
        <v>1299</v>
      </c>
      <c r="R3462" s="74">
        <v>0</v>
      </c>
      <c r="S3462" s="75">
        <f>OrdersTable[[#This Row],[Quantity]]*OrdersTable[[#This Row],[Unit Price]]</f>
        <v>1299</v>
      </c>
      <c r="T3462" s="5">
        <f>OrdersTable[[#This Row],[Gross Sale]]*OrdersTable[[#This Row],[Discount_Clean2]]</f>
        <v>0</v>
      </c>
      <c r="U3462" s="5">
        <f>OrdersTable[[#This Row],[Gross Sale]]-OrdersTable[[#This Row],[Discount Amount]]</f>
        <v>1299</v>
      </c>
      <c r="V3462" s="77">
        <f>INDEX(Products!E:E,MATCH(OrdersTable[[#This Row],[Product ID]],Products!A:A,0))</f>
        <v>585</v>
      </c>
      <c r="W3462" s="77">
        <f>OrdersTable[[#This Row],[Quantity]]*OrdersTable[[#This Row],[Unit Cost]]</f>
        <v>585</v>
      </c>
      <c r="X3462" s="77">
        <f>'Dropdown Lists'!$I$2*(1+OrdersTable[[#This Row],[Returned]])</f>
        <v>120</v>
      </c>
      <c r="Y3462" s="76">
        <f>OrdersTable[[#This Row],[Net Revenue]]-OrdersTable[[#This Row],[COGS]]-OrdersTable[[#This Row],[Shipping Cost]]</f>
        <v>594</v>
      </c>
      <c r="Z3462" s="78">
        <f>IFERROR(OrdersTable[[#This Row],[Profit]]/OrdersTable[[#This Row],[Net Revenue]],0)</f>
        <v>0.45727482678983833</v>
      </c>
      <c r="AA3462" t="s">
        <v>18</v>
      </c>
      <c r="AB3462" s="79">
        <v>45861</v>
      </c>
      <c r="AC3462">
        <f>OrdersTable[[#This Row],[Delivery Date]]-OrdersTable[[#This Row],[Order Date]]</f>
        <v>3</v>
      </c>
      <c r="AD3462" t="str">
        <f>IF(OrdersTable[[#This Row],[Delivery Days]]&lt;=2, "Express (≤2d)", IF(OrdersTable[[#This Row],[Delivery Days]]&lt;=4, "Standard (3-4d)", "Delayed (5d+)"))</f>
        <v>Standard (3-4d)</v>
      </c>
      <c r="AF3462">
        <v>1</v>
      </c>
    </row>
    <row r="3463" spans="1:32" ht="15" x14ac:dyDescent="0.35">
      <c r="A3463" t="s">
        <v>4041</v>
      </c>
      <c r="B3463" s="1">
        <v>45858</v>
      </c>
      <c r="C3463">
        <f>YEAR(OrdersTable[[#This Row],[Order Date]])</f>
        <v>2025</v>
      </c>
      <c r="D3463" s="2">
        <f>DATE(YEAR(OrdersTable[[#This Row],[Order Date]]),MONTH(OrdersTable[[#This Row],[Order Date]]),1)</f>
        <v>45839</v>
      </c>
      <c r="E3463">
        <f>MONTH(OrdersTable[[#This Row],[Order Date]])</f>
        <v>7</v>
      </c>
      <c r="F3463" t="s">
        <v>2294</v>
      </c>
      <c r="G3463" t="str">
        <f>IF(OrdersTable[[#This Row],[Order Date]]=_xlfn.MINIFS(Order_Date, Customer_ID, OrdersTable[[#This Row],[Customer ID]]), "New", "Repeat")</f>
        <v>Repeat</v>
      </c>
      <c r="H3463" t="s">
        <v>37</v>
      </c>
      <c r="I3463" t="str">
        <f>INDEX(State!B:B,MATCH(OrdersTable[[#This Row],[State]],State!A:A,0))</f>
        <v>GJ</v>
      </c>
      <c r="J3463" t="str">
        <f>INDEX(State!C:C,MATCH(OrdersTable[[#This Row],[State Code]],State!B:B,0))</f>
        <v>West</v>
      </c>
      <c r="K3463" t="s">
        <v>38</v>
      </c>
      <c r="L3463" t="s">
        <v>65</v>
      </c>
      <c r="M3463" t="s">
        <v>51</v>
      </c>
      <c r="N3463" t="str">
        <f>INDEX(Products!B:B,MATCH(OrdersTable[[#This Row],[Product ID]],Products!A:A,0))</f>
        <v>Anti-Dandruff Conditioner</v>
      </c>
      <c r="O3463" t="str">
        <f>INDEX(Products!C:C,MATCH(OrdersTable[[#This Row],[Product ID]],Products!A:A,0))</f>
        <v>Haircare</v>
      </c>
      <c r="P3463">
        <v>1</v>
      </c>
      <c r="Q3463" s="5">
        <v>399</v>
      </c>
      <c r="R3463" s="74">
        <v>0.45</v>
      </c>
      <c r="S3463" s="75">
        <f>OrdersTable[[#This Row],[Quantity]]*OrdersTable[[#This Row],[Unit Price]]</f>
        <v>399</v>
      </c>
      <c r="T3463" s="5">
        <f>OrdersTable[[#This Row],[Gross Sale]]*OrdersTable[[#This Row],[Discount_Clean2]]</f>
        <v>179.55</v>
      </c>
      <c r="U3463" s="5">
        <f>OrdersTable[[#This Row],[Gross Sale]]-OrdersTable[[#This Row],[Discount Amount]]</f>
        <v>219.45</v>
      </c>
      <c r="V3463" s="77">
        <f>INDEX(Products!E:E,MATCH(OrdersTable[[#This Row],[Product ID]],Products!A:A,0))</f>
        <v>136</v>
      </c>
      <c r="W3463" s="77">
        <f>OrdersTable[[#This Row],[Quantity]]*OrdersTable[[#This Row],[Unit Cost]]</f>
        <v>136</v>
      </c>
      <c r="X3463" s="77">
        <f>'Dropdown Lists'!$I$2*(1+OrdersTable[[#This Row],[Returned]])</f>
        <v>60</v>
      </c>
      <c r="Y3463" s="76">
        <f>OrdersTable[[#This Row],[Net Revenue]]-OrdersTable[[#This Row],[COGS]]-OrdersTable[[#This Row],[Shipping Cost]]</f>
        <v>23.449999999999989</v>
      </c>
      <c r="Z3463" s="78">
        <f>IFERROR(OrdersTable[[#This Row],[Profit]]/OrdersTable[[#This Row],[Net Revenue]],0)</f>
        <v>0.10685805422647524</v>
      </c>
      <c r="AA3463" t="s">
        <v>3495</v>
      </c>
      <c r="AB3463" s="79">
        <v>45859</v>
      </c>
      <c r="AC3463">
        <f>OrdersTable[[#This Row],[Delivery Date]]-OrdersTable[[#This Row],[Order Date]]</f>
        <v>1</v>
      </c>
      <c r="AD3463" t="str">
        <f>IF(OrdersTable[[#This Row],[Delivery Days]]&lt;=2, "Express (≤2d)", IF(OrdersTable[[#This Row],[Delivery Days]]&lt;=4, "Standard (3-4d)", "Delayed (5d+)"))</f>
        <v>Express (≤2d)</v>
      </c>
      <c r="AE3463">
        <v>5</v>
      </c>
      <c r="AF3463">
        <v>0</v>
      </c>
    </row>
    <row r="3464" spans="1:32" ht="15" x14ac:dyDescent="0.35">
      <c r="A3464" t="s">
        <v>3458</v>
      </c>
      <c r="B3464" s="1">
        <v>45858</v>
      </c>
      <c r="C3464">
        <f>YEAR(OrdersTable[[#This Row],[Order Date]])</f>
        <v>2025</v>
      </c>
      <c r="D3464" s="2">
        <f>DATE(YEAR(OrdersTable[[#This Row],[Order Date]]),MONTH(OrdersTable[[#This Row],[Order Date]]),1)</f>
        <v>45839</v>
      </c>
      <c r="E3464">
        <f>MONTH(OrdersTable[[#This Row],[Order Date]])</f>
        <v>7</v>
      </c>
      <c r="F3464" t="s">
        <v>3459</v>
      </c>
      <c r="G3464" t="str">
        <f>IF(OrdersTable[[#This Row],[Order Date]]=_xlfn.MINIFS(Order_Date, Customer_ID, OrdersTable[[#This Row],[Customer ID]]), "New", "Repeat")</f>
        <v>New</v>
      </c>
      <c r="H3464" t="s">
        <v>71</v>
      </c>
      <c r="I3464" t="str">
        <f>INDEX(State!B:B,MATCH(OrdersTable[[#This Row],[State]],State!A:A,0))</f>
        <v>MH</v>
      </c>
      <c r="J3464" t="str">
        <f>INDEX(State!C:C,MATCH(OrdersTable[[#This Row],[State Code]],State!B:B,0))</f>
        <v>West</v>
      </c>
      <c r="K3464" t="s">
        <v>81</v>
      </c>
      <c r="L3464" t="s">
        <v>65</v>
      </c>
      <c r="M3464" t="s">
        <v>176</v>
      </c>
      <c r="N3464" t="str">
        <f>INDEX(Products!B:B,MATCH(OrdersTable[[#This Row],[Product ID]],Products!A:A,0))</f>
        <v>Denim Jacket</v>
      </c>
      <c r="O3464" t="str">
        <f>INDEX(Products!C:C,MATCH(OrdersTable[[#This Row],[Product ID]],Products!A:A,0))</f>
        <v>Apparel</v>
      </c>
      <c r="P3464">
        <v>1</v>
      </c>
      <c r="Q3464" s="5">
        <v>2499</v>
      </c>
      <c r="R3464" s="74">
        <v>0.1</v>
      </c>
      <c r="S3464" s="75">
        <f>OrdersTable[[#This Row],[Quantity]]*OrdersTable[[#This Row],[Unit Price]]</f>
        <v>2499</v>
      </c>
      <c r="T3464" s="5">
        <f>OrdersTable[[#This Row],[Gross Sale]]*OrdersTable[[#This Row],[Discount_Clean2]]</f>
        <v>249.9</v>
      </c>
      <c r="U3464" s="5">
        <f>OrdersTable[[#This Row],[Gross Sale]]-OrdersTable[[#This Row],[Discount Amount]]</f>
        <v>2249.1</v>
      </c>
      <c r="V3464" s="77">
        <f>INDEX(Products!E:E,MATCH(OrdersTable[[#This Row],[Product ID]],Products!A:A,0))</f>
        <v>1125</v>
      </c>
      <c r="W3464" s="77">
        <f>OrdersTable[[#This Row],[Quantity]]*OrdersTable[[#This Row],[Unit Cost]]</f>
        <v>1125</v>
      </c>
      <c r="X3464" s="77">
        <f>'Dropdown Lists'!$I$2*(1+OrdersTable[[#This Row],[Returned]])</f>
        <v>120</v>
      </c>
      <c r="Y3464" s="76">
        <f>OrdersTable[[#This Row],[Net Revenue]]-OrdersTable[[#This Row],[COGS]]-OrdersTable[[#This Row],[Shipping Cost]]</f>
        <v>1004.0999999999999</v>
      </c>
      <c r="Z3464" s="78">
        <f>IFERROR(OrdersTable[[#This Row],[Profit]]/OrdersTable[[#This Row],[Net Revenue]],0)</f>
        <v>0.44644524476457248</v>
      </c>
      <c r="AA3464" t="s">
        <v>2522</v>
      </c>
      <c r="AB3464" s="79">
        <v>45860</v>
      </c>
      <c r="AC3464">
        <f>OrdersTable[[#This Row],[Delivery Date]]-OrdersTable[[#This Row],[Order Date]]</f>
        <v>2</v>
      </c>
      <c r="AD3464" t="str">
        <f>IF(OrdersTable[[#This Row],[Delivery Days]]&lt;=2, "Express (≤2d)", IF(OrdersTable[[#This Row],[Delivery Days]]&lt;=4, "Standard (3-4d)", "Delayed (5d+)"))</f>
        <v>Express (≤2d)</v>
      </c>
      <c r="AE3464">
        <v>4</v>
      </c>
      <c r="AF3464">
        <v>1</v>
      </c>
    </row>
    <row r="3465" spans="1:32" ht="15" x14ac:dyDescent="0.35">
      <c r="A3465" t="s">
        <v>3649</v>
      </c>
      <c r="B3465" s="1">
        <v>45858</v>
      </c>
      <c r="C3465">
        <f>YEAR(OrdersTable[[#This Row],[Order Date]])</f>
        <v>2025</v>
      </c>
      <c r="D3465" s="2">
        <f>DATE(YEAR(OrdersTable[[#This Row],[Order Date]]),MONTH(OrdersTable[[#This Row],[Order Date]]),1)</f>
        <v>45839</v>
      </c>
      <c r="E3465">
        <f>MONTH(OrdersTable[[#This Row],[Order Date]])</f>
        <v>7</v>
      </c>
      <c r="F3465" t="s">
        <v>3650</v>
      </c>
      <c r="G3465" t="str">
        <f>IF(OrdersTable[[#This Row],[Order Date]]=_xlfn.MINIFS(Order_Date, Customer_ID, OrdersTable[[#This Row],[Customer ID]]), "New", "Repeat")</f>
        <v>New</v>
      </c>
      <c r="H3465" t="s">
        <v>316</v>
      </c>
      <c r="I3465" t="str">
        <f>INDEX(State!B:B,MATCH(OrdersTable[[#This Row],[State]],State!A:A,0))</f>
        <v>KL</v>
      </c>
      <c r="J3465" t="str">
        <f>INDEX(State!C:C,MATCH(OrdersTable[[#This Row],[State Code]],State!B:B,0))</f>
        <v>South</v>
      </c>
      <c r="K3465" t="s">
        <v>338</v>
      </c>
      <c r="L3465" t="s">
        <v>23</v>
      </c>
      <c r="M3465" t="s">
        <v>92</v>
      </c>
      <c r="N3465" t="str">
        <f>INDEX(Products!B:B,MATCH(OrdersTable[[#This Row],[Product ID]],Products!A:A,0))</f>
        <v>Kolhapuri Sandals</v>
      </c>
      <c r="O3465" t="str">
        <f>INDEX(Products!C:C,MATCH(OrdersTable[[#This Row],[Product ID]],Products!A:A,0))</f>
        <v>Footwear</v>
      </c>
      <c r="P3465">
        <v>1</v>
      </c>
      <c r="Q3465" s="5">
        <v>999</v>
      </c>
      <c r="R3465" s="74">
        <v>0.1</v>
      </c>
      <c r="S3465" s="75">
        <f>OrdersTable[[#This Row],[Quantity]]*OrdersTable[[#This Row],[Unit Price]]</f>
        <v>999</v>
      </c>
      <c r="T3465" s="5">
        <f>OrdersTable[[#This Row],[Gross Sale]]*OrdersTable[[#This Row],[Discount_Clean2]]</f>
        <v>99.9</v>
      </c>
      <c r="U3465" s="5">
        <f>OrdersTable[[#This Row],[Gross Sale]]-OrdersTable[[#This Row],[Discount Amount]]</f>
        <v>899.1</v>
      </c>
      <c r="V3465" s="77">
        <f>INDEX(Products!E:E,MATCH(OrdersTable[[#This Row],[Product ID]],Products!A:A,0))</f>
        <v>400</v>
      </c>
      <c r="W3465" s="77">
        <f>OrdersTable[[#This Row],[Quantity]]*OrdersTable[[#This Row],[Unit Cost]]</f>
        <v>400</v>
      </c>
      <c r="X3465" s="77">
        <f>'Dropdown Lists'!$I$2*(1+OrdersTable[[#This Row],[Returned]])</f>
        <v>60</v>
      </c>
      <c r="Y3465" s="76">
        <f>OrdersTable[[#This Row],[Net Revenue]]-OrdersTable[[#This Row],[COGS]]-OrdersTable[[#This Row],[Shipping Cost]]</f>
        <v>439.1</v>
      </c>
      <c r="Z3465" s="78">
        <f>IFERROR(OrdersTable[[#This Row],[Profit]]/OrdersTable[[#This Row],[Net Revenue]],0)</f>
        <v>0.48837726615504395</v>
      </c>
      <c r="AA3465" t="s">
        <v>3495</v>
      </c>
      <c r="AB3465" s="79">
        <v>45863</v>
      </c>
      <c r="AC3465">
        <f>OrdersTable[[#This Row],[Delivery Date]]-OrdersTable[[#This Row],[Order Date]]</f>
        <v>5</v>
      </c>
      <c r="AD3465" t="str">
        <f>IF(OrdersTable[[#This Row],[Delivery Days]]&lt;=2, "Express (≤2d)", IF(OrdersTable[[#This Row],[Delivery Days]]&lt;=4, "Standard (3-4d)", "Delayed (5d+)"))</f>
        <v>Delayed (5d+)</v>
      </c>
      <c r="AE3465">
        <v>4</v>
      </c>
      <c r="AF3465">
        <v>0</v>
      </c>
    </row>
    <row r="3466" spans="1:32" ht="15" x14ac:dyDescent="0.35">
      <c r="A3466" t="s">
        <v>1103</v>
      </c>
      <c r="B3466" s="1">
        <v>45859</v>
      </c>
      <c r="C3466">
        <f>YEAR(OrdersTable[[#This Row],[Order Date]])</f>
        <v>2025</v>
      </c>
      <c r="D3466" s="2">
        <f>DATE(YEAR(OrdersTable[[#This Row],[Order Date]]),MONTH(OrdersTable[[#This Row],[Order Date]]),1)</f>
        <v>45839</v>
      </c>
      <c r="E3466">
        <f>MONTH(OrdersTable[[#This Row],[Order Date]])</f>
        <v>7</v>
      </c>
      <c r="F3466" t="s">
        <v>1104</v>
      </c>
      <c r="G3466" t="str">
        <f>IF(OrdersTable[[#This Row],[Order Date]]=_xlfn.MINIFS(Order_Date, Customer_ID, OrdersTable[[#This Row],[Customer ID]]), "New", "Repeat")</f>
        <v>Repeat</v>
      </c>
      <c r="H3466" t="s">
        <v>54</v>
      </c>
      <c r="I3466" t="str">
        <f>INDEX(State!B:B,MATCH(OrdersTable[[#This Row],[State]],State!A:A,0))</f>
        <v>RJ</v>
      </c>
      <c r="J3466" t="str">
        <f>INDEX(State!C:C,MATCH(OrdersTable[[#This Row],[State Code]],State!B:B,0))</f>
        <v>North</v>
      </c>
      <c r="K3466" t="s">
        <v>55</v>
      </c>
      <c r="L3466" t="s">
        <v>16</v>
      </c>
      <c r="M3466" t="s">
        <v>29</v>
      </c>
      <c r="N3466" t="str">
        <f>INDEX(Products!B:B,MATCH(OrdersTable[[#This Row],[Product ID]],Products!A:A,0))</f>
        <v>Joggers</v>
      </c>
      <c r="O3466" t="str">
        <f>INDEX(Products!C:C,MATCH(OrdersTable[[#This Row],[Product ID]],Products!A:A,0))</f>
        <v>Apparel</v>
      </c>
      <c r="P3466">
        <v>1</v>
      </c>
      <c r="Q3466" s="5">
        <v>1199</v>
      </c>
      <c r="R3466" s="74">
        <v>0.05</v>
      </c>
      <c r="S3466" s="75">
        <f>OrdersTable[[#This Row],[Quantity]]*OrdersTable[[#This Row],[Unit Price]]</f>
        <v>1199</v>
      </c>
      <c r="T3466" s="5">
        <f>OrdersTable[[#This Row],[Gross Sale]]*OrdersTable[[#This Row],[Discount_Clean2]]</f>
        <v>59.95</v>
      </c>
      <c r="U3466" s="5">
        <f>OrdersTable[[#This Row],[Gross Sale]]-OrdersTable[[#This Row],[Discount Amount]]</f>
        <v>1139.05</v>
      </c>
      <c r="V3466" s="77">
        <f>INDEX(Products!E:E,MATCH(OrdersTable[[#This Row],[Product ID]],Products!A:A,0))</f>
        <v>492</v>
      </c>
      <c r="W3466" s="77">
        <f>OrdersTable[[#This Row],[Quantity]]*OrdersTable[[#This Row],[Unit Cost]]</f>
        <v>492</v>
      </c>
      <c r="X3466" s="77">
        <f>'Dropdown Lists'!$I$2*(1+OrdersTable[[#This Row],[Returned]])</f>
        <v>120</v>
      </c>
      <c r="Y3466" s="76">
        <f>OrdersTable[[#This Row],[Net Revenue]]-OrdersTable[[#This Row],[COGS]]-OrdersTable[[#This Row],[Shipping Cost]]</f>
        <v>527.04999999999995</v>
      </c>
      <c r="Z3466" s="78">
        <f>IFERROR(OrdersTable[[#This Row],[Profit]]/OrdersTable[[#This Row],[Net Revenue]],0)</f>
        <v>0.46271015319784026</v>
      </c>
      <c r="AA3466" t="s">
        <v>18</v>
      </c>
      <c r="AB3466" s="79">
        <v>45864</v>
      </c>
      <c r="AC3466">
        <f>OrdersTable[[#This Row],[Delivery Date]]-OrdersTable[[#This Row],[Order Date]]</f>
        <v>5</v>
      </c>
      <c r="AD3466" t="str">
        <f>IF(OrdersTable[[#This Row],[Delivery Days]]&lt;=2, "Express (≤2d)", IF(OrdersTable[[#This Row],[Delivery Days]]&lt;=4, "Standard (3-4d)", "Delayed (5d+)"))</f>
        <v>Delayed (5d+)</v>
      </c>
      <c r="AE3466">
        <v>4</v>
      </c>
      <c r="AF3466">
        <v>1</v>
      </c>
    </row>
    <row r="3467" spans="1:32" ht="15" x14ac:dyDescent="0.35">
      <c r="A3467" t="s">
        <v>4529</v>
      </c>
      <c r="B3467" s="1">
        <v>45859</v>
      </c>
      <c r="C3467">
        <f>YEAR(OrdersTable[[#This Row],[Order Date]])</f>
        <v>2025</v>
      </c>
      <c r="D3467" s="2">
        <f>DATE(YEAR(OrdersTable[[#This Row],[Order Date]]),MONTH(OrdersTable[[#This Row],[Order Date]]),1)</f>
        <v>45839</v>
      </c>
      <c r="E3467">
        <f>MONTH(OrdersTable[[#This Row],[Order Date]])</f>
        <v>7</v>
      </c>
      <c r="F3467" t="s">
        <v>811</v>
      </c>
      <c r="G3467" t="str">
        <f>IF(OrdersTable[[#This Row],[Order Date]]=_xlfn.MINIFS(Order_Date, Customer_ID, OrdersTable[[#This Row],[Customer ID]]), "New", "Repeat")</f>
        <v>Repeat</v>
      </c>
      <c r="H3467" t="s">
        <v>48</v>
      </c>
      <c r="I3467" t="str">
        <f>INDEX(State!B:B,MATCH(OrdersTable[[#This Row],[State]],State!A:A,0))</f>
        <v>HR</v>
      </c>
      <c r="J3467" t="str">
        <f>INDEX(State!C:C,MATCH(OrdersTable[[#This Row],[State Code]],State!B:B,0))</f>
        <v>North</v>
      </c>
      <c r="K3467" t="s">
        <v>49</v>
      </c>
      <c r="L3467" t="s">
        <v>39</v>
      </c>
      <c r="M3467" t="s">
        <v>61</v>
      </c>
      <c r="N3467" t="str">
        <f>INDEX(Products!B:B,MATCH(OrdersTable[[#This Row],[Product ID]],Products!A:A,0))</f>
        <v>Multivitamin Gummies</v>
      </c>
      <c r="O3467" t="str">
        <f>INDEX(Products!C:C,MATCH(OrdersTable[[#This Row],[Product ID]],Products!A:A,0))</f>
        <v>Wellness</v>
      </c>
      <c r="P3467">
        <v>1</v>
      </c>
      <c r="Q3467" s="5">
        <v>699</v>
      </c>
      <c r="R3467" s="74">
        <v>0.15</v>
      </c>
      <c r="S3467" s="75">
        <f>OrdersTable[[#This Row],[Quantity]]*OrdersTable[[#This Row],[Unit Price]]</f>
        <v>699</v>
      </c>
      <c r="T3467" s="5">
        <f>OrdersTable[[#This Row],[Gross Sale]]*OrdersTable[[#This Row],[Discount_Clean2]]</f>
        <v>104.85</v>
      </c>
      <c r="U3467" s="5">
        <f>OrdersTable[[#This Row],[Gross Sale]]-OrdersTable[[#This Row],[Discount Amount]]</f>
        <v>594.15</v>
      </c>
      <c r="V3467" s="77">
        <f>INDEX(Products!E:E,MATCH(OrdersTable[[#This Row],[Product ID]],Products!A:A,0))</f>
        <v>238</v>
      </c>
      <c r="W3467" s="77">
        <f>OrdersTable[[#This Row],[Quantity]]*OrdersTable[[#This Row],[Unit Cost]]</f>
        <v>238</v>
      </c>
      <c r="X3467" s="77">
        <f>'Dropdown Lists'!$I$2*(1+OrdersTable[[#This Row],[Returned]])</f>
        <v>60</v>
      </c>
      <c r="Y3467" s="76">
        <f>OrdersTable[[#This Row],[Net Revenue]]-OrdersTable[[#This Row],[COGS]]-OrdersTable[[#This Row],[Shipping Cost]]</f>
        <v>296.14999999999998</v>
      </c>
      <c r="Z3467" s="78">
        <f>IFERROR(OrdersTable[[#This Row],[Profit]]/OrdersTable[[#This Row],[Net Revenue]],0)</f>
        <v>0.49844315408566858</v>
      </c>
      <c r="AA3467" t="s">
        <v>4450</v>
      </c>
      <c r="AB3467" s="79">
        <v>45863</v>
      </c>
      <c r="AC3467">
        <f>OrdersTable[[#This Row],[Delivery Date]]-OrdersTable[[#This Row],[Order Date]]</f>
        <v>4</v>
      </c>
      <c r="AD3467" t="str">
        <f>IF(OrdersTable[[#This Row],[Delivery Days]]&lt;=2, "Express (≤2d)", IF(OrdersTable[[#This Row],[Delivery Days]]&lt;=4, "Standard (3-4d)", "Delayed (5d+)"))</f>
        <v>Standard (3-4d)</v>
      </c>
      <c r="AE3467">
        <v>4</v>
      </c>
      <c r="AF3467">
        <v>0</v>
      </c>
    </row>
    <row r="3468" spans="1:32" ht="15" x14ac:dyDescent="0.35">
      <c r="A3468" t="s">
        <v>5531</v>
      </c>
      <c r="B3468" s="1">
        <v>45859</v>
      </c>
      <c r="C3468">
        <f>YEAR(OrdersTable[[#This Row],[Order Date]])</f>
        <v>2025</v>
      </c>
      <c r="D3468" s="2">
        <f>DATE(YEAR(OrdersTable[[#This Row],[Order Date]]),MONTH(OrdersTable[[#This Row],[Order Date]]),1)</f>
        <v>45839</v>
      </c>
      <c r="E3468">
        <f>MONTH(OrdersTable[[#This Row],[Order Date]])</f>
        <v>7</v>
      </c>
      <c r="F3468" t="s">
        <v>5532</v>
      </c>
      <c r="G3468" t="str">
        <f>IF(OrdersTable[[#This Row],[Order Date]]=_xlfn.MINIFS(Order_Date, Customer_ID, OrdersTable[[#This Row],[Customer ID]]), "New", "Repeat")</f>
        <v>New</v>
      </c>
      <c r="H3468" t="s">
        <v>128</v>
      </c>
      <c r="I3468" t="str">
        <f>INDEX(State!B:B,MATCH(OrdersTable[[#This Row],[State]],State!A:A,0))</f>
        <v>DL</v>
      </c>
      <c r="J3468" t="str">
        <f>INDEX(State!C:C,MATCH(OrdersTable[[#This Row],[State Code]],State!B:B,0))</f>
        <v>North</v>
      </c>
      <c r="K3468" t="s">
        <v>129</v>
      </c>
      <c r="L3468" t="s">
        <v>65</v>
      </c>
      <c r="M3468" t="s">
        <v>148</v>
      </c>
      <c r="N3468" t="str">
        <f>INDEX(Products!B:B,MATCH(OrdersTable[[#This Row],[Product ID]],Products!A:A,0))</f>
        <v>Smartwatch Strap</v>
      </c>
      <c r="O3468" t="str">
        <f>INDEX(Products!C:C,MATCH(OrdersTable[[#This Row],[Product ID]],Products!A:A,0))</f>
        <v>Electronics</v>
      </c>
      <c r="P3468">
        <v>2</v>
      </c>
      <c r="Q3468" s="5">
        <v>499</v>
      </c>
      <c r="R3468" s="74">
        <v>0.1</v>
      </c>
      <c r="S3468" s="75">
        <f>OrdersTable[[#This Row],[Quantity]]*OrdersTable[[#This Row],[Unit Price]]</f>
        <v>998</v>
      </c>
      <c r="T3468" s="5">
        <f>OrdersTable[[#This Row],[Gross Sale]]*OrdersTable[[#This Row],[Discount_Clean2]]</f>
        <v>99.800000000000011</v>
      </c>
      <c r="U3468" s="5">
        <f>OrdersTable[[#This Row],[Gross Sale]]-OrdersTable[[#This Row],[Discount Amount]]</f>
        <v>898.2</v>
      </c>
      <c r="V3468" s="77">
        <f>INDEX(Products!E:E,MATCH(OrdersTable[[#This Row],[Product ID]],Products!A:A,0))</f>
        <v>200</v>
      </c>
      <c r="W3468" s="77">
        <f>OrdersTable[[#This Row],[Quantity]]*OrdersTable[[#This Row],[Unit Cost]]</f>
        <v>400</v>
      </c>
      <c r="X3468" s="77">
        <f>'Dropdown Lists'!$I$2*(1+OrdersTable[[#This Row],[Returned]])</f>
        <v>60</v>
      </c>
      <c r="Y3468" s="76">
        <f>OrdersTable[[#This Row],[Net Revenue]]-OrdersTable[[#This Row],[COGS]]-OrdersTable[[#This Row],[Shipping Cost]]</f>
        <v>438.20000000000005</v>
      </c>
      <c r="Z3468" s="78">
        <f>IFERROR(OrdersTable[[#This Row],[Profit]]/OrdersTable[[#This Row],[Net Revenue]],0)</f>
        <v>0.4878646181251392</v>
      </c>
      <c r="AA3468" t="s">
        <v>2522</v>
      </c>
      <c r="AB3468" s="79">
        <v>45863</v>
      </c>
      <c r="AC3468">
        <f>OrdersTable[[#This Row],[Delivery Date]]-OrdersTable[[#This Row],[Order Date]]</f>
        <v>4</v>
      </c>
      <c r="AD3468" t="str">
        <f>IF(OrdersTable[[#This Row],[Delivery Days]]&lt;=2, "Express (≤2d)", IF(OrdersTable[[#This Row],[Delivery Days]]&lt;=4, "Standard (3-4d)", "Delayed (5d+)"))</f>
        <v>Standard (3-4d)</v>
      </c>
      <c r="AE3468">
        <v>4</v>
      </c>
      <c r="AF3468">
        <v>0</v>
      </c>
    </row>
    <row r="3469" spans="1:32" ht="15" x14ac:dyDescent="0.35">
      <c r="A3469" t="s">
        <v>2528</v>
      </c>
      <c r="B3469" s="1">
        <v>45859</v>
      </c>
      <c r="C3469">
        <f>YEAR(OrdersTable[[#This Row],[Order Date]])</f>
        <v>2025</v>
      </c>
      <c r="D3469" s="2">
        <f>DATE(YEAR(OrdersTable[[#This Row],[Order Date]]),MONTH(OrdersTable[[#This Row],[Order Date]]),1)</f>
        <v>45839</v>
      </c>
      <c r="E3469">
        <f>MONTH(OrdersTable[[#This Row],[Order Date]])</f>
        <v>7</v>
      </c>
      <c r="F3469" t="s">
        <v>2529</v>
      </c>
      <c r="G3469" t="str">
        <f>IF(OrdersTable[[#This Row],[Order Date]]=_xlfn.MINIFS(Order_Date, Customer_ID, OrdersTable[[#This Row],[Customer ID]]), "New", "Repeat")</f>
        <v>New</v>
      </c>
      <c r="H3469" t="s">
        <v>76</v>
      </c>
      <c r="I3469" t="str">
        <f>INDEX(State!B:B,MATCH(OrdersTable[[#This Row],[State]],State!A:A,0))</f>
        <v>UP</v>
      </c>
      <c r="J3469" t="str">
        <f>INDEX(State!C:C,MATCH(OrdersTable[[#This Row],[State Code]],State!B:B,0))</f>
        <v>North</v>
      </c>
      <c r="K3469" t="s">
        <v>105</v>
      </c>
      <c r="L3469" t="s">
        <v>65</v>
      </c>
      <c r="M3469" t="s">
        <v>17</v>
      </c>
      <c r="N3469" t="str">
        <f>INDEX(Products!B:B,MATCH(OrdersTable[[#This Row],[Product ID]],Products!A:A,0))</f>
        <v>Casual Sneakers</v>
      </c>
      <c r="O3469" t="str">
        <f>INDEX(Products!C:C,MATCH(OrdersTable[[#This Row],[Product ID]],Products!A:A,0))</f>
        <v>Footwear</v>
      </c>
      <c r="P3469">
        <v>1</v>
      </c>
      <c r="Q3469" s="5">
        <v>2199</v>
      </c>
      <c r="R3469" s="74">
        <v>0.2</v>
      </c>
      <c r="S3469" s="75">
        <f>OrdersTable[[#This Row],[Quantity]]*OrdersTable[[#This Row],[Unit Price]]</f>
        <v>2199</v>
      </c>
      <c r="T3469" s="5">
        <f>OrdersTable[[#This Row],[Gross Sale]]*OrdersTable[[#This Row],[Discount_Clean2]]</f>
        <v>439.8</v>
      </c>
      <c r="U3469" s="5">
        <f>OrdersTable[[#This Row],[Gross Sale]]-OrdersTable[[#This Row],[Discount Amount]]</f>
        <v>1759.2</v>
      </c>
      <c r="V3469" s="77">
        <f>INDEX(Products!E:E,MATCH(OrdersTable[[#This Row],[Product ID]],Products!A:A,0))</f>
        <v>1034</v>
      </c>
      <c r="W3469" s="77">
        <f>OrdersTable[[#This Row],[Quantity]]*OrdersTable[[#This Row],[Unit Cost]]</f>
        <v>1034</v>
      </c>
      <c r="X3469" s="77">
        <f>'Dropdown Lists'!$I$2*(1+OrdersTable[[#This Row],[Returned]])</f>
        <v>60</v>
      </c>
      <c r="Y3469" s="76">
        <f>OrdersTable[[#This Row],[Net Revenue]]-OrdersTable[[#This Row],[COGS]]-OrdersTable[[#This Row],[Shipping Cost]]</f>
        <v>665.2</v>
      </c>
      <c r="Z3469" s="78">
        <f>IFERROR(OrdersTable[[#This Row],[Profit]]/OrdersTable[[#This Row],[Net Revenue]],0)</f>
        <v>0.37812642110050027</v>
      </c>
      <c r="AA3469" t="s">
        <v>2522</v>
      </c>
      <c r="AB3469" s="79">
        <v>45862</v>
      </c>
      <c r="AC3469">
        <f>OrdersTable[[#This Row],[Delivery Date]]-OrdersTable[[#This Row],[Order Date]]</f>
        <v>3</v>
      </c>
      <c r="AD3469" t="str">
        <f>IF(OrdersTable[[#This Row],[Delivery Days]]&lt;=2, "Express (≤2d)", IF(OrdersTable[[#This Row],[Delivery Days]]&lt;=4, "Standard (3-4d)", "Delayed (5d+)"))</f>
        <v>Standard (3-4d)</v>
      </c>
      <c r="AE3469">
        <v>2</v>
      </c>
      <c r="AF3469">
        <v>0</v>
      </c>
    </row>
    <row r="3470" spans="1:32" ht="15" x14ac:dyDescent="0.35">
      <c r="A3470" t="s">
        <v>5431</v>
      </c>
      <c r="B3470" s="1">
        <v>45859</v>
      </c>
      <c r="C3470">
        <f>YEAR(OrdersTable[[#This Row],[Order Date]])</f>
        <v>2025</v>
      </c>
      <c r="D3470" s="2">
        <f>DATE(YEAR(OrdersTable[[#This Row],[Order Date]]),MONTH(OrdersTable[[#This Row],[Order Date]]),1)</f>
        <v>45839</v>
      </c>
      <c r="E3470">
        <f>MONTH(OrdersTable[[#This Row],[Order Date]])</f>
        <v>7</v>
      </c>
      <c r="F3470" t="s">
        <v>36</v>
      </c>
      <c r="G3470" t="str">
        <f>IF(OrdersTable[[#This Row],[Order Date]]=_xlfn.MINIFS(Order_Date, Customer_ID, OrdersTable[[#This Row],[Customer ID]]), "New", "Repeat")</f>
        <v>Repeat</v>
      </c>
      <c r="H3470" t="s">
        <v>71</v>
      </c>
      <c r="I3470" t="str">
        <f>INDEX(State!B:B,MATCH(OrdersTable[[#This Row],[State]],State!A:A,0))</f>
        <v>MH</v>
      </c>
      <c r="J3470" t="str">
        <f>INDEX(State!C:C,MATCH(OrdersTable[[#This Row],[State Code]],State!B:B,0))</f>
        <v>West</v>
      </c>
      <c r="K3470" t="s">
        <v>102</v>
      </c>
      <c r="L3470" t="s">
        <v>50</v>
      </c>
      <c r="M3470" t="s">
        <v>109</v>
      </c>
      <c r="N3470" t="str">
        <f>INDEX(Products!B:B,MATCH(OrdersTable[[#This Row],[Product ID]],Products!A:A,0))</f>
        <v>Onion Hair Oil</v>
      </c>
      <c r="O3470" t="str">
        <f>INDEX(Products!C:C,MATCH(OrdersTable[[#This Row],[Product ID]],Products!A:A,0))</f>
        <v>Haircare</v>
      </c>
      <c r="P3470">
        <v>2</v>
      </c>
      <c r="Q3470" s="5">
        <v>349</v>
      </c>
      <c r="R3470" s="74">
        <v>0.3</v>
      </c>
      <c r="S3470" s="75">
        <f>OrdersTable[[#This Row],[Quantity]]*OrdersTable[[#This Row],[Unit Price]]</f>
        <v>698</v>
      </c>
      <c r="T3470" s="5">
        <f>OrdersTable[[#This Row],[Gross Sale]]*OrdersTable[[#This Row],[Discount_Clean2]]</f>
        <v>209.4</v>
      </c>
      <c r="U3470" s="5">
        <f>OrdersTable[[#This Row],[Gross Sale]]-OrdersTable[[#This Row],[Discount Amount]]</f>
        <v>488.6</v>
      </c>
      <c r="V3470" s="77">
        <f>INDEX(Products!E:E,MATCH(OrdersTable[[#This Row],[Product ID]],Products!A:A,0))</f>
        <v>105</v>
      </c>
      <c r="W3470" s="77">
        <f>OrdersTable[[#This Row],[Quantity]]*OrdersTable[[#This Row],[Unit Cost]]</f>
        <v>210</v>
      </c>
      <c r="X3470" s="77">
        <f>'Dropdown Lists'!$I$2*(1+OrdersTable[[#This Row],[Returned]])</f>
        <v>60</v>
      </c>
      <c r="Y3470" s="76">
        <f>OrdersTable[[#This Row],[Net Revenue]]-OrdersTable[[#This Row],[COGS]]-OrdersTable[[#This Row],[Shipping Cost]]</f>
        <v>218.60000000000002</v>
      </c>
      <c r="Z3470" s="78">
        <f>IFERROR(OrdersTable[[#This Row],[Profit]]/OrdersTable[[#This Row],[Net Revenue]],0)</f>
        <v>0.44740073679901765</v>
      </c>
      <c r="AA3470" t="s">
        <v>2522</v>
      </c>
      <c r="AB3470" s="79">
        <v>45862</v>
      </c>
      <c r="AC3470">
        <f>OrdersTable[[#This Row],[Delivery Date]]-OrdersTable[[#This Row],[Order Date]]</f>
        <v>3</v>
      </c>
      <c r="AD3470" t="str">
        <f>IF(OrdersTable[[#This Row],[Delivery Days]]&lt;=2, "Express (≤2d)", IF(OrdersTable[[#This Row],[Delivery Days]]&lt;=4, "Standard (3-4d)", "Delayed (5d+)"))</f>
        <v>Standard (3-4d)</v>
      </c>
      <c r="AF3470">
        <v>0</v>
      </c>
    </row>
    <row r="3471" spans="1:32" ht="15" x14ac:dyDescent="0.35">
      <c r="A3471" t="s">
        <v>4530</v>
      </c>
      <c r="B3471" s="1">
        <v>45859</v>
      </c>
      <c r="C3471">
        <f>YEAR(OrdersTable[[#This Row],[Order Date]])</f>
        <v>2025</v>
      </c>
      <c r="D3471" s="2">
        <f>DATE(YEAR(OrdersTable[[#This Row],[Order Date]]),MONTH(OrdersTable[[#This Row],[Order Date]]),1)</f>
        <v>45839</v>
      </c>
      <c r="E3471">
        <f>MONTH(OrdersTable[[#This Row],[Order Date]])</f>
        <v>7</v>
      </c>
      <c r="F3471" t="s">
        <v>4531</v>
      </c>
      <c r="G3471" t="str">
        <f>IF(OrdersTable[[#This Row],[Order Date]]=_xlfn.MINIFS(Order_Date, Customer_ID, OrdersTable[[#This Row],[Customer ID]]), "New", "Repeat")</f>
        <v>New</v>
      </c>
      <c r="H3471" t="s">
        <v>71</v>
      </c>
      <c r="I3471" t="str">
        <f>INDEX(State!B:B,MATCH(OrdersTable[[#This Row],[State]],State!A:A,0))</f>
        <v>MH</v>
      </c>
      <c r="J3471" t="str">
        <f>INDEX(State!C:C,MATCH(OrdersTable[[#This Row],[State Code]],State!B:B,0))</f>
        <v>West</v>
      </c>
      <c r="K3471" t="s">
        <v>72</v>
      </c>
      <c r="L3471" t="s">
        <v>16</v>
      </c>
      <c r="M3471" t="s">
        <v>205</v>
      </c>
      <c r="N3471" t="str">
        <f>INDEX(Products!B:B,MATCH(OrdersTable[[#This Row],[Product ID]],Products!A:A,0))</f>
        <v>Running Shoes</v>
      </c>
      <c r="O3471" t="str">
        <f>INDEX(Products!C:C,MATCH(OrdersTable[[#This Row],[Product ID]],Products!A:A,0))</f>
        <v>Footwear</v>
      </c>
      <c r="P3471">
        <v>1</v>
      </c>
      <c r="Q3471" s="5">
        <v>2999</v>
      </c>
      <c r="R3471" s="74">
        <v>0.2</v>
      </c>
      <c r="S3471" s="75">
        <f>OrdersTable[[#This Row],[Quantity]]*OrdersTable[[#This Row],[Unit Price]]</f>
        <v>2999</v>
      </c>
      <c r="T3471" s="5">
        <f>OrdersTable[[#This Row],[Gross Sale]]*OrdersTable[[#This Row],[Discount_Clean2]]</f>
        <v>599.80000000000007</v>
      </c>
      <c r="U3471" s="5">
        <f>OrdersTable[[#This Row],[Gross Sale]]-OrdersTable[[#This Row],[Discount Amount]]</f>
        <v>2399.1999999999998</v>
      </c>
      <c r="V3471" s="77">
        <f>INDEX(Products!E:E,MATCH(OrdersTable[[#This Row],[Product ID]],Products!A:A,0))</f>
        <v>1440</v>
      </c>
      <c r="W3471" s="77">
        <f>OrdersTable[[#This Row],[Quantity]]*OrdersTable[[#This Row],[Unit Cost]]</f>
        <v>1440</v>
      </c>
      <c r="X3471" s="77">
        <f>'Dropdown Lists'!$I$2*(1+OrdersTable[[#This Row],[Returned]])</f>
        <v>60</v>
      </c>
      <c r="Y3471" s="76">
        <f>OrdersTable[[#This Row],[Net Revenue]]-OrdersTable[[#This Row],[COGS]]-OrdersTable[[#This Row],[Shipping Cost]]</f>
        <v>899.19999999999982</v>
      </c>
      <c r="Z3471" s="78">
        <f>IFERROR(OrdersTable[[#This Row],[Profit]]/OrdersTable[[#This Row],[Net Revenue]],0)</f>
        <v>0.3747915971990663</v>
      </c>
      <c r="AA3471" t="s">
        <v>4450</v>
      </c>
      <c r="AB3471" s="79">
        <v>45861</v>
      </c>
      <c r="AC3471">
        <f>OrdersTable[[#This Row],[Delivery Date]]-OrdersTable[[#This Row],[Order Date]]</f>
        <v>2</v>
      </c>
      <c r="AD3471" t="str">
        <f>IF(OrdersTable[[#This Row],[Delivery Days]]&lt;=2, "Express (≤2d)", IF(OrdersTable[[#This Row],[Delivery Days]]&lt;=4, "Standard (3-4d)", "Delayed (5d+)"))</f>
        <v>Express (≤2d)</v>
      </c>
      <c r="AE3471">
        <v>4</v>
      </c>
      <c r="AF3471">
        <v>0</v>
      </c>
    </row>
    <row r="3472" spans="1:32" ht="15" x14ac:dyDescent="0.35">
      <c r="A3472" t="s">
        <v>339</v>
      </c>
      <c r="B3472" s="1">
        <v>45859</v>
      </c>
      <c r="C3472">
        <f>YEAR(OrdersTable[[#This Row],[Order Date]])</f>
        <v>2025</v>
      </c>
      <c r="D3472" s="2">
        <f>DATE(YEAR(OrdersTable[[#This Row],[Order Date]]),MONTH(OrdersTable[[#This Row],[Order Date]]),1)</f>
        <v>45839</v>
      </c>
      <c r="E3472">
        <f>MONTH(OrdersTable[[#This Row],[Order Date]])</f>
        <v>7</v>
      </c>
      <c r="F3472" t="s">
        <v>340</v>
      </c>
      <c r="G3472" t="str">
        <f>IF(OrdersTable[[#This Row],[Order Date]]=_xlfn.MINIFS(Order_Date, Customer_ID, OrdersTable[[#This Row],[Customer ID]]), "New", "Repeat")</f>
        <v>Repeat</v>
      </c>
      <c r="H3472" t="s">
        <v>71</v>
      </c>
      <c r="I3472" t="str">
        <f>INDEX(State!B:B,MATCH(OrdersTable[[#This Row],[State]],State!A:A,0))</f>
        <v>MH</v>
      </c>
      <c r="J3472" t="str">
        <f>INDEX(State!C:C,MATCH(OrdersTable[[#This Row],[State Code]],State!B:B,0))</f>
        <v>West</v>
      </c>
      <c r="K3472" t="s">
        <v>81</v>
      </c>
      <c r="L3472" t="s">
        <v>16</v>
      </c>
      <c r="M3472" t="s">
        <v>255</v>
      </c>
      <c r="N3472" t="str">
        <f>INDEX(Products!B:B,MATCH(OrdersTable[[#This Row],[Product ID]],Products!A:A,0))</f>
        <v>Cotton Oversized T-Shirt</v>
      </c>
      <c r="O3472" t="str">
        <f>INDEX(Products!C:C,MATCH(OrdersTable[[#This Row],[Product ID]],Products!A:A,0))</f>
        <v>Apparel</v>
      </c>
      <c r="P3472">
        <v>1</v>
      </c>
      <c r="Q3472" s="5">
        <v>799</v>
      </c>
      <c r="R3472" s="74">
        <v>0</v>
      </c>
      <c r="S3472" s="75">
        <f>OrdersTable[[#This Row],[Quantity]]*OrdersTable[[#This Row],[Unit Price]]</f>
        <v>799</v>
      </c>
      <c r="T3472" s="5">
        <f>OrdersTable[[#This Row],[Gross Sale]]*OrdersTable[[#This Row],[Discount_Clean2]]</f>
        <v>0</v>
      </c>
      <c r="U3472" s="5">
        <f>OrdersTable[[#This Row],[Gross Sale]]-OrdersTable[[#This Row],[Discount Amount]]</f>
        <v>799</v>
      </c>
      <c r="V3472" s="77">
        <f>INDEX(Products!E:E,MATCH(OrdersTable[[#This Row],[Product ID]],Products!A:A,0))</f>
        <v>320</v>
      </c>
      <c r="W3472" s="77">
        <f>OrdersTable[[#This Row],[Quantity]]*OrdersTable[[#This Row],[Unit Cost]]</f>
        <v>320</v>
      </c>
      <c r="X3472" s="77">
        <f>'Dropdown Lists'!$I$2*(1+OrdersTable[[#This Row],[Returned]])</f>
        <v>60</v>
      </c>
      <c r="Y3472" s="76">
        <f>OrdersTable[[#This Row],[Net Revenue]]-OrdersTable[[#This Row],[COGS]]-OrdersTable[[#This Row],[Shipping Cost]]</f>
        <v>419</v>
      </c>
      <c r="Z3472" s="78">
        <f>IFERROR(OrdersTable[[#This Row],[Profit]]/OrdersTable[[#This Row],[Net Revenue]],0)</f>
        <v>0.52440550688360454</v>
      </c>
      <c r="AA3472" t="s">
        <v>18</v>
      </c>
      <c r="AB3472" s="79">
        <v>45860</v>
      </c>
      <c r="AC3472">
        <f>OrdersTable[[#This Row],[Delivery Date]]-OrdersTable[[#This Row],[Order Date]]</f>
        <v>1</v>
      </c>
      <c r="AD3472" t="str">
        <f>IF(OrdersTable[[#This Row],[Delivery Days]]&lt;=2, "Express (≤2d)", IF(OrdersTable[[#This Row],[Delivery Days]]&lt;=4, "Standard (3-4d)", "Delayed (5d+)"))</f>
        <v>Express (≤2d)</v>
      </c>
      <c r="AE3472">
        <v>4</v>
      </c>
      <c r="AF3472">
        <v>0</v>
      </c>
    </row>
    <row r="3473" spans="1:32" ht="15" x14ac:dyDescent="0.35">
      <c r="A3473" t="s">
        <v>2162</v>
      </c>
      <c r="B3473" s="1">
        <v>45859</v>
      </c>
      <c r="C3473">
        <f>YEAR(OrdersTable[[#This Row],[Order Date]])</f>
        <v>2025</v>
      </c>
      <c r="D3473" s="2">
        <f>DATE(YEAR(OrdersTable[[#This Row],[Order Date]]),MONTH(OrdersTable[[#This Row],[Order Date]]),1)</f>
        <v>45839</v>
      </c>
      <c r="E3473">
        <f>MONTH(OrdersTable[[#This Row],[Order Date]])</f>
        <v>7</v>
      </c>
      <c r="F3473" t="s">
        <v>1821</v>
      </c>
      <c r="G3473" t="str">
        <f>IF(OrdersTable[[#This Row],[Order Date]]=_xlfn.MINIFS(Order_Date, Customer_ID, OrdersTable[[#This Row],[Customer ID]]), "New", "Repeat")</f>
        <v>Repeat</v>
      </c>
      <c r="H3473" t="s">
        <v>59</v>
      </c>
      <c r="I3473" t="str">
        <f>INDEX(State!B:B,MATCH(OrdersTable[[#This Row],[State]],State!A:A,0))</f>
        <v>TN</v>
      </c>
      <c r="J3473" t="str">
        <f>INDEX(State!C:C,MATCH(OrdersTable[[#This Row],[State Code]],State!B:B,0))</f>
        <v>South</v>
      </c>
      <c r="K3473" t="s">
        <v>64</v>
      </c>
      <c r="L3473" t="s">
        <v>65</v>
      </c>
      <c r="M3473" t="s">
        <v>160</v>
      </c>
      <c r="N3473" t="str">
        <f>INDEX(Products!B:B,MATCH(OrdersTable[[#This Row],[Product ID]],Products!A:A,0))</f>
        <v>Niacinamide Toner</v>
      </c>
      <c r="O3473" t="str">
        <f>INDEX(Products!C:C,MATCH(OrdersTable[[#This Row],[Product ID]],Products!A:A,0))</f>
        <v>Skincare</v>
      </c>
      <c r="P3473">
        <v>1</v>
      </c>
      <c r="Q3473" s="5">
        <v>399</v>
      </c>
      <c r="R3473" s="74">
        <v>0.2</v>
      </c>
      <c r="S3473" s="75">
        <f>OrdersTable[[#This Row],[Quantity]]*OrdersTable[[#This Row],[Unit Price]]</f>
        <v>399</v>
      </c>
      <c r="T3473" s="5">
        <f>OrdersTable[[#This Row],[Gross Sale]]*OrdersTable[[#This Row],[Discount_Clean2]]</f>
        <v>79.800000000000011</v>
      </c>
      <c r="U3473" s="5">
        <f>OrdersTable[[#This Row],[Gross Sale]]-OrdersTable[[#This Row],[Discount Amount]]</f>
        <v>319.2</v>
      </c>
      <c r="V3473" s="77">
        <f>INDEX(Products!E:E,MATCH(OrdersTable[[#This Row],[Product ID]],Products!A:A,0))</f>
        <v>112</v>
      </c>
      <c r="W3473" s="77">
        <f>OrdersTable[[#This Row],[Quantity]]*OrdersTable[[#This Row],[Unit Cost]]</f>
        <v>112</v>
      </c>
      <c r="X3473" s="77">
        <f>'Dropdown Lists'!$I$2*(1+OrdersTable[[#This Row],[Returned]])</f>
        <v>60</v>
      </c>
      <c r="Y3473" s="76">
        <f>OrdersTable[[#This Row],[Net Revenue]]-OrdersTable[[#This Row],[COGS]]-OrdersTable[[#This Row],[Shipping Cost]]</f>
        <v>147.19999999999999</v>
      </c>
      <c r="Z3473" s="78">
        <f>IFERROR(OrdersTable[[#This Row],[Profit]]/OrdersTable[[#This Row],[Net Revenue]],0)</f>
        <v>0.46115288220551376</v>
      </c>
      <c r="AA3473" t="s">
        <v>18</v>
      </c>
      <c r="AB3473" s="79">
        <v>45861</v>
      </c>
      <c r="AC3473">
        <f>OrdersTable[[#This Row],[Delivery Date]]-OrdersTable[[#This Row],[Order Date]]</f>
        <v>2</v>
      </c>
      <c r="AD3473" t="str">
        <f>IF(OrdersTable[[#This Row],[Delivery Days]]&lt;=2, "Express (≤2d)", IF(OrdersTable[[#This Row],[Delivery Days]]&lt;=4, "Standard (3-4d)", "Delayed (5d+)"))</f>
        <v>Express (≤2d)</v>
      </c>
      <c r="AE3473">
        <v>3</v>
      </c>
      <c r="AF3473">
        <v>0</v>
      </c>
    </row>
    <row r="3474" spans="1:32" ht="15" x14ac:dyDescent="0.35">
      <c r="A3474" t="s">
        <v>849</v>
      </c>
      <c r="B3474" s="1">
        <v>45860</v>
      </c>
      <c r="C3474">
        <f>YEAR(OrdersTable[[#This Row],[Order Date]])</f>
        <v>2025</v>
      </c>
      <c r="D3474" s="2">
        <f>DATE(YEAR(OrdersTable[[#This Row],[Order Date]]),MONTH(OrdersTable[[#This Row],[Order Date]]),1)</f>
        <v>45839</v>
      </c>
      <c r="E3474">
        <f>MONTH(OrdersTable[[#This Row],[Order Date]])</f>
        <v>7</v>
      </c>
      <c r="F3474" t="s">
        <v>850</v>
      </c>
      <c r="G3474" t="str">
        <f>IF(OrdersTable[[#This Row],[Order Date]]=_xlfn.MINIFS(Order_Date, Customer_ID, OrdersTable[[#This Row],[Customer ID]]), "New", "Repeat")</f>
        <v>New</v>
      </c>
      <c r="H3474" t="s">
        <v>128</v>
      </c>
      <c r="I3474" t="str">
        <f>INDEX(State!B:B,MATCH(OrdersTable[[#This Row],[State]],State!A:A,0))</f>
        <v>DL</v>
      </c>
      <c r="J3474" t="str">
        <f>INDEX(State!C:C,MATCH(OrdersTable[[#This Row],[State Code]],State!B:B,0))</f>
        <v>North</v>
      </c>
      <c r="K3474" t="s">
        <v>129</v>
      </c>
      <c r="L3474" t="s">
        <v>50</v>
      </c>
      <c r="M3474" t="s">
        <v>179</v>
      </c>
      <c r="N3474" t="str">
        <f>INDEX(Products!B:B,MATCH(OrdersTable[[#This Row],[Product ID]],Products!A:A,0))</f>
        <v>Whey Protein 1kg</v>
      </c>
      <c r="O3474" t="str">
        <f>INDEX(Products!C:C,MATCH(OrdersTable[[#This Row],[Product ID]],Products!A:A,0))</f>
        <v>Wellness</v>
      </c>
      <c r="P3474">
        <v>1</v>
      </c>
      <c r="Q3474" s="5">
        <v>2299</v>
      </c>
      <c r="R3474" s="74">
        <v>0.35</v>
      </c>
      <c r="S3474" s="75">
        <f>OrdersTable[[#This Row],[Quantity]]*OrdersTable[[#This Row],[Unit Price]]</f>
        <v>2299</v>
      </c>
      <c r="T3474" s="5">
        <f>OrdersTable[[#This Row],[Gross Sale]]*OrdersTable[[#This Row],[Discount_Clean2]]</f>
        <v>804.65</v>
      </c>
      <c r="U3474" s="5">
        <f>OrdersTable[[#This Row],[Gross Sale]]-OrdersTable[[#This Row],[Discount Amount]]</f>
        <v>1494.35</v>
      </c>
      <c r="V3474" s="77">
        <f>INDEX(Products!E:E,MATCH(OrdersTable[[#This Row],[Product ID]],Products!A:A,0))</f>
        <v>1333</v>
      </c>
      <c r="W3474" s="77">
        <f>OrdersTable[[#This Row],[Quantity]]*OrdersTable[[#This Row],[Unit Cost]]</f>
        <v>1333</v>
      </c>
      <c r="X3474" s="77">
        <f>'Dropdown Lists'!$I$2*(1+OrdersTable[[#This Row],[Returned]])</f>
        <v>60</v>
      </c>
      <c r="Y3474" s="76">
        <f>OrdersTable[[#This Row],[Net Revenue]]-OrdersTable[[#This Row],[COGS]]-OrdersTable[[#This Row],[Shipping Cost]]</f>
        <v>101.34999999999991</v>
      </c>
      <c r="Z3474" s="78">
        <f>IFERROR(OrdersTable[[#This Row],[Profit]]/OrdersTable[[#This Row],[Net Revenue]],0)</f>
        <v>6.7822130023086902E-2</v>
      </c>
      <c r="AA3474" t="s">
        <v>18</v>
      </c>
      <c r="AB3474" s="79">
        <v>45863</v>
      </c>
      <c r="AC3474">
        <f>OrdersTable[[#This Row],[Delivery Date]]-OrdersTable[[#This Row],[Order Date]]</f>
        <v>3</v>
      </c>
      <c r="AD3474" t="str">
        <f>IF(OrdersTable[[#This Row],[Delivery Days]]&lt;=2, "Express (≤2d)", IF(OrdersTable[[#This Row],[Delivery Days]]&lt;=4, "Standard (3-4d)", "Delayed (5d+)"))</f>
        <v>Standard (3-4d)</v>
      </c>
      <c r="AE3474">
        <v>4</v>
      </c>
      <c r="AF3474">
        <v>0</v>
      </c>
    </row>
    <row r="3475" spans="1:32" ht="15" x14ac:dyDescent="0.35">
      <c r="A3475" t="s">
        <v>3914</v>
      </c>
      <c r="B3475" s="1">
        <v>45860</v>
      </c>
      <c r="C3475">
        <f>YEAR(OrdersTable[[#This Row],[Order Date]])</f>
        <v>2025</v>
      </c>
      <c r="D3475" s="2">
        <f>DATE(YEAR(OrdersTable[[#This Row],[Order Date]]),MONTH(OrdersTable[[#This Row],[Order Date]]),1)</f>
        <v>45839</v>
      </c>
      <c r="E3475">
        <f>MONTH(OrdersTable[[#This Row],[Order Date]])</f>
        <v>7</v>
      </c>
      <c r="F3475" t="s">
        <v>3915</v>
      </c>
      <c r="G3475" t="str">
        <f>IF(OrdersTable[[#This Row],[Order Date]]=_xlfn.MINIFS(Order_Date, Customer_ID, OrdersTable[[#This Row],[Customer ID]]), "New", "Repeat")</f>
        <v>New</v>
      </c>
      <c r="H3475" t="s">
        <v>95</v>
      </c>
      <c r="I3475" t="str">
        <f>INDEX(State!B:B,MATCH(OrdersTable[[#This Row],[State]],State!A:A,0))</f>
        <v>TG</v>
      </c>
      <c r="J3475" t="str">
        <f>INDEX(State!C:C,MATCH(OrdersTable[[#This Row],[State Code]],State!B:B,0))</f>
        <v>South</v>
      </c>
      <c r="K3475" t="s">
        <v>96</v>
      </c>
      <c r="L3475" t="s">
        <v>39</v>
      </c>
      <c r="M3475" t="s">
        <v>24</v>
      </c>
      <c r="N3475" t="str">
        <f>INDEX(Products!B:B,MATCH(OrdersTable[[#This Row],[Product ID]],Products!A:A,0))</f>
        <v>Scented Candle Set</v>
      </c>
      <c r="O3475" t="str">
        <f>INDEX(Products!C:C,MATCH(OrdersTable[[#This Row],[Product ID]],Products!A:A,0))</f>
        <v>Home &amp; Kitchen</v>
      </c>
      <c r="P3475">
        <v>1</v>
      </c>
      <c r="Q3475" s="5">
        <v>699</v>
      </c>
      <c r="R3475" s="74">
        <v>0.15</v>
      </c>
      <c r="S3475" s="75">
        <f>OrdersTable[[#This Row],[Quantity]]*OrdersTable[[#This Row],[Unit Price]]</f>
        <v>699</v>
      </c>
      <c r="T3475" s="5">
        <f>OrdersTable[[#This Row],[Gross Sale]]*OrdersTable[[#This Row],[Discount_Clean2]]</f>
        <v>104.85</v>
      </c>
      <c r="U3475" s="5">
        <f>OrdersTable[[#This Row],[Gross Sale]]-OrdersTable[[#This Row],[Discount Amount]]</f>
        <v>594.15</v>
      </c>
      <c r="V3475" s="77">
        <f>INDEX(Products!E:E,MATCH(OrdersTable[[#This Row],[Product ID]],Products!A:A,0))</f>
        <v>245</v>
      </c>
      <c r="W3475" s="77">
        <f>OrdersTable[[#This Row],[Quantity]]*OrdersTable[[#This Row],[Unit Cost]]</f>
        <v>245</v>
      </c>
      <c r="X3475" s="77">
        <f>'Dropdown Lists'!$I$2*(1+OrdersTable[[#This Row],[Returned]])</f>
        <v>60</v>
      </c>
      <c r="Y3475" s="76">
        <f>OrdersTable[[#This Row],[Net Revenue]]-OrdersTable[[#This Row],[COGS]]-OrdersTable[[#This Row],[Shipping Cost]]</f>
        <v>289.14999999999998</v>
      </c>
      <c r="Z3475" s="78">
        <f>IFERROR(OrdersTable[[#This Row],[Profit]]/OrdersTable[[#This Row],[Net Revenue]],0)</f>
        <v>0.48666161743667424</v>
      </c>
      <c r="AA3475" t="s">
        <v>3495</v>
      </c>
      <c r="AB3475" s="79">
        <v>45864</v>
      </c>
      <c r="AC3475">
        <f>OrdersTable[[#This Row],[Delivery Date]]-OrdersTable[[#This Row],[Order Date]]</f>
        <v>4</v>
      </c>
      <c r="AD3475" t="str">
        <f>IF(OrdersTable[[#This Row],[Delivery Days]]&lt;=2, "Express (≤2d)", IF(OrdersTable[[#This Row],[Delivery Days]]&lt;=4, "Standard (3-4d)", "Delayed (5d+)"))</f>
        <v>Standard (3-4d)</v>
      </c>
      <c r="AE3475">
        <v>3</v>
      </c>
      <c r="AF3475">
        <v>0</v>
      </c>
    </row>
    <row r="3476" spans="1:32" ht="15" x14ac:dyDescent="0.35">
      <c r="A3476" t="s">
        <v>6384</v>
      </c>
      <c r="B3476" s="1">
        <v>45860</v>
      </c>
      <c r="C3476">
        <f>YEAR(OrdersTable[[#This Row],[Order Date]])</f>
        <v>2025</v>
      </c>
      <c r="D3476" s="2">
        <f>DATE(YEAR(OrdersTable[[#This Row],[Order Date]]),MONTH(OrdersTable[[#This Row],[Order Date]]),1)</f>
        <v>45839</v>
      </c>
      <c r="E3476">
        <f>MONTH(OrdersTable[[#This Row],[Order Date]])</f>
        <v>7</v>
      </c>
      <c r="F3476" t="s">
        <v>5886</v>
      </c>
      <c r="G3476" t="str">
        <f>IF(OrdersTable[[#This Row],[Order Date]]=_xlfn.MINIFS(Order_Date, Customer_ID, OrdersTable[[#This Row],[Customer ID]]), "New", "Repeat")</f>
        <v>Repeat</v>
      </c>
      <c r="H3476" t="s">
        <v>275</v>
      </c>
      <c r="I3476" t="str">
        <f>INDEX(State!B:B,MATCH(OrdersTable[[#This Row],[State]],State!A:A,0))</f>
        <v>AP</v>
      </c>
      <c r="J3476" t="str">
        <f>INDEX(State!C:C,MATCH(OrdersTable[[#This Row],[State Code]],State!B:B,0))</f>
        <v>South</v>
      </c>
      <c r="K3476" t="s">
        <v>276</v>
      </c>
      <c r="L3476" t="s">
        <v>23</v>
      </c>
      <c r="M3476" t="s">
        <v>152</v>
      </c>
      <c r="N3476" t="str">
        <f>INDEX(Products!B:B,MATCH(OrdersTable[[#This Row],[Product ID]],Products!A:A,0))</f>
        <v>Green Tea (100 bags)</v>
      </c>
      <c r="O3476" t="str">
        <f>INDEX(Products!C:C,MATCH(OrdersTable[[#This Row],[Product ID]],Products!A:A,0))</f>
        <v>Wellness</v>
      </c>
      <c r="P3476">
        <v>2</v>
      </c>
      <c r="Q3476" s="5">
        <v>399</v>
      </c>
      <c r="R3476" s="74">
        <v>0.4</v>
      </c>
      <c r="S3476" s="75">
        <f>OrdersTable[[#This Row],[Quantity]]*OrdersTable[[#This Row],[Unit Price]]</f>
        <v>798</v>
      </c>
      <c r="T3476" s="5">
        <f>OrdersTable[[#This Row],[Gross Sale]]*OrdersTable[[#This Row],[Discount_Clean2]]</f>
        <v>319.20000000000005</v>
      </c>
      <c r="U3476" s="5">
        <f>OrdersTable[[#This Row],[Gross Sale]]-OrdersTable[[#This Row],[Discount Amount]]</f>
        <v>478.79999999999995</v>
      </c>
      <c r="V3476" s="77">
        <f>INDEX(Products!E:E,MATCH(OrdersTable[[#This Row],[Product ID]],Products!A:A,0))</f>
        <v>128</v>
      </c>
      <c r="W3476" s="77">
        <f>OrdersTable[[#This Row],[Quantity]]*OrdersTable[[#This Row],[Unit Cost]]</f>
        <v>256</v>
      </c>
      <c r="X3476" s="77">
        <f>'Dropdown Lists'!$I$2*(1+OrdersTable[[#This Row],[Returned]])</f>
        <v>60</v>
      </c>
      <c r="Y3476" s="76">
        <f>OrdersTable[[#This Row],[Net Revenue]]-OrdersTable[[#This Row],[COGS]]-OrdersTable[[#This Row],[Shipping Cost]]</f>
        <v>162.79999999999995</v>
      </c>
      <c r="Z3476" s="78">
        <f>IFERROR(OrdersTable[[#This Row],[Profit]]/OrdersTable[[#This Row],[Net Revenue]],0)</f>
        <v>0.34001670843776099</v>
      </c>
      <c r="AA3476" t="s">
        <v>18</v>
      </c>
      <c r="AB3476" s="79">
        <v>45863</v>
      </c>
      <c r="AC3476">
        <f>OrdersTable[[#This Row],[Delivery Date]]-OrdersTable[[#This Row],[Order Date]]</f>
        <v>3</v>
      </c>
      <c r="AD3476" t="str">
        <f>IF(OrdersTable[[#This Row],[Delivery Days]]&lt;=2, "Express (≤2d)", IF(OrdersTable[[#This Row],[Delivery Days]]&lt;=4, "Standard (3-4d)", "Delayed (5d+)"))</f>
        <v>Standard (3-4d)</v>
      </c>
      <c r="AE3476">
        <v>4</v>
      </c>
      <c r="AF3476">
        <v>0</v>
      </c>
    </row>
    <row r="3477" spans="1:32" ht="15" x14ac:dyDescent="0.35">
      <c r="A3477" t="s">
        <v>6385</v>
      </c>
      <c r="B3477" s="1">
        <v>45861</v>
      </c>
      <c r="C3477">
        <f>YEAR(OrdersTable[[#This Row],[Order Date]])</f>
        <v>2025</v>
      </c>
      <c r="D3477" s="2">
        <f>DATE(YEAR(OrdersTable[[#This Row],[Order Date]]),MONTH(OrdersTable[[#This Row],[Order Date]]),1)</f>
        <v>45839</v>
      </c>
      <c r="E3477">
        <f>MONTH(OrdersTable[[#This Row],[Order Date]])</f>
        <v>7</v>
      </c>
      <c r="F3477" t="s">
        <v>3195</v>
      </c>
      <c r="G3477" t="str">
        <f>IF(OrdersTable[[#This Row],[Order Date]]=_xlfn.MINIFS(Order_Date, Customer_ID, OrdersTable[[#This Row],[Customer ID]]), "New", "Repeat")</f>
        <v>Repeat</v>
      </c>
      <c r="H3477" t="s">
        <v>54</v>
      </c>
      <c r="I3477" t="str">
        <f>INDEX(State!B:B,MATCH(OrdersTable[[#This Row],[State]],State!A:A,0))</f>
        <v>RJ</v>
      </c>
      <c r="J3477" t="str">
        <f>INDEX(State!C:C,MATCH(OrdersTable[[#This Row],[State Code]],State!B:B,0))</f>
        <v>North</v>
      </c>
      <c r="K3477" t="s">
        <v>55</v>
      </c>
      <c r="L3477" t="s">
        <v>23</v>
      </c>
      <c r="M3477" t="s">
        <v>51</v>
      </c>
      <c r="N3477" t="str">
        <f>INDEX(Products!B:B,MATCH(OrdersTable[[#This Row],[Product ID]],Products!A:A,0))</f>
        <v>Anti-Dandruff Conditioner</v>
      </c>
      <c r="O3477" t="str">
        <f>INDEX(Products!C:C,MATCH(OrdersTable[[#This Row],[Product ID]],Products!A:A,0))</f>
        <v>Haircare</v>
      </c>
      <c r="P3477">
        <v>2</v>
      </c>
      <c r="Q3477" s="5">
        <v>399</v>
      </c>
      <c r="R3477" s="74">
        <v>0.4</v>
      </c>
      <c r="S3477" s="75">
        <f>OrdersTable[[#This Row],[Quantity]]*OrdersTable[[#This Row],[Unit Price]]</f>
        <v>798</v>
      </c>
      <c r="T3477" s="5">
        <f>OrdersTable[[#This Row],[Gross Sale]]*OrdersTable[[#This Row],[Discount_Clean2]]</f>
        <v>319.20000000000005</v>
      </c>
      <c r="U3477" s="5">
        <f>OrdersTable[[#This Row],[Gross Sale]]-OrdersTable[[#This Row],[Discount Amount]]</f>
        <v>478.79999999999995</v>
      </c>
      <c r="V3477" s="77">
        <f>INDEX(Products!E:E,MATCH(OrdersTable[[#This Row],[Product ID]],Products!A:A,0))</f>
        <v>136</v>
      </c>
      <c r="W3477" s="77">
        <f>OrdersTable[[#This Row],[Quantity]]*OrdersTable[[#This Row],[Unit Cost]]</f>
        <v>272</v>
      </c>
      <c r="X3477" s="77">
        <f>'Dropdown Lists'!$I$2*(1+OrdersTable[[#This Row],[Returned]])</f>
        <v>60</v>
      </c>
      <c r="Y3477" s="76">
        <f>OrdersTable[[#This Row],[Net Revenue]]-OrdersTable[[#This Row],[COGS]]-OrdersTable[[#This Row],[Shipping Cost]]</f>
        <v>146.79999999999995</v>
      </c>
      <c r="Z3477" s="78">
        <f>IFERROR(OrdersTable[[#This Row],[Profit]]/OrdersTable[[#This Row],[Net Revenue]],0)</f>
        <v>0.30659983291562232</v>
      </c>
      <c r="AA3477" t="s">
        <v>18</v>
      </c>
      <c r="AB3477" s="79">
        <v>45866</v>
      </c>
      <c r="AC3477">
        <f>OrdersTable[[#This Row],[Delivery Date]]-OrdersTable[[#This Row],[Order Date]]</f>
        <v>5</v>
      </c>
      <c r="AD3477" t="str">
        <f>IF(OrdersTable[[#This Row],[Delivery Days]]&lt;=2, "Express (≤2d)", IF(OrdersTable[[#This Row],[Delivery Days]]&lt;=4, "Standard (3-4d)", "Delayed (5d+)"))</f>
        <v>Delayed (5d+)</v>
      </c>
      <c r="AF3477">
        <v>0</v>
      </c>
    </row>
    <row r="3478" spans="1:32" ht="15" x14ac:dyDescent="0.35">
      <c r="A3478" t="s">
        <v>3317</v>
      </c>
      <c r="B3478" s="1">
        <v>45861</v>
      </c>
      <c r="C3478">
        <f>YEAR(OrdersTable[[#This Row],[Order Date]])</f>
        <v>2025</v>
      </c>
      <c r="D3478" s="2">
        <f>DATE(YEAR(OrdersTable[[#This Row],[Order Date]]),MONTH(OrdersTable[[#This Row],[Order Date]]),1)</f>
        <v>45839</v>
      </c>
      <c r="E3478">
        <f>MONTH(OrdersTable[[#This Row],[Order Date]])</f>
        <v>7</v>
      </c>
      <c r="F3478" t="s">
        <v>3039</v>
      </c>
      <c r="G3478" t="str">
        <f>IF(OrdersTable[[#This Row],[Order Date]]=_xlfn.MINIFS(Order_Date, Customer_ID, OrdersTable[[#This Row],[Customer ID]]), "New", "Repeat")</f>
        <v>Repeat</v>
      </c>
      <c r="H3478" t="s">
        <v>128</v>
      </c>
      <c r="I3478" t="str">
        <f>INDEX(State!B:B,MATCH(OrdersTable[[#This Row],[State]],State!A:A,0))</f>
        <v>DL</v>
      </c>
      <c r="J3478" t="str">
        <f>INDEX(State!C:C,MATCH(OrdersTable[[#This Row],[State Code]],State!B:B,0))</f>
        <v>North</v>
      </c>
      <c r="K3478" t="s">
        <v>129</v>
      </c>
      <c r="L3478" t="s">
        <v>39</v>
      </c>
      <c r="M3478" t="s">
        <v>24</v>
      </c>
      <c r="N3478" t="str">
        <f>INDEX(Products!B:B,MATCH(OrdersTable[[#This Row],[Product ID]],Products!A:A,0))</f>
        <v>Scented Candle Set</v>
      </c>
      <c r="O3478" t="str">
        <f>INDEX(Products!C:C,MATCH(OrdersTable[[#This Row],[Product ID]],Products!A:A,0))</f>
        <v>Home &amp; Kitchen</v>
      </c>
      <c r="P3478">
        <v>1</v>
      </c>
      <c r="Q3478" s="5">
        <v>699</v>
      </c>
      <c r="R3478" s="74">
        <v>0.25</v>
      </c>
      <c r="S3478" s="75">
        <f>OrdersTable[[#This Row],[Quantity]]*OrdersTable[[#This Row],[Unit Price]]</f>
        <v>699</v>
      </c>
      <c r="T3478" s="5">
        <f>OrdersTable[[#This Row],[Gross Sale]]*OrdersTable[[#This Row],[Discount_Clean2]]</f>
        <v>174.75</v>
      </c>
      <c r="U3478" s="5">
        <f>OrdersTable[[#This Row],[Gross Sale]]-OrdersTable[[#This Row],[Discount Amount]]</f>
        <v>524.25</v>
      </c>
      <c r="V3478" s="77">
        <f>INDEX(Products!E:E,MATCH(OrdersTable[[#This Row],[Product ID]],Products!A:A,0))</f>
        <v>245</v>
      </c>
      <c r="W3478" s="77">
        <f>OrdersTable[[#This Row],[Quantity]]*OrdersTable[[#This Row],[Unit Cost]]</f>
        <v>245</v>
      </c>
      <c r="X3478" s="77">
        <f>'Dropdown Lists'!$I$2*(1+OrdersTable[[#This Row],[Returned]])</f>
        <v>60</v>
      </c>
      <c r="Y3478" s="76">
        <f>OrdersTable[[#This Row],[Net Revenue]]-OrdersTable[[#This Row],[COGS]]-OrdersTable[[#This Row],[Shipping Cost]]</f>
        <v>219.25</v>
      </c>
      <c r="Z3478" s="78">
        <f>IFERROR(OrdersTable[[#This Row],[Profit]]/OrdersTable[[#This Row],[Net Revenue]],0)</f>
        <v>0.41821649976156416</v>
      </c>
      <c r="AA3478" t="s">
        <v>2522</v>
      </c>
      <c r="AB3478" s="79">
        <v>45863</v>
      </c>
      <c r="AC3478">
        <f>OrdersTable[[#This Row],[Delivery Date]]-OrdersTable[[#This Row],[Order Date]]</f>
        <v>2</v>
      </c>
      <c r="AD3478" t="str">
        <f>IF(OrdersTable[[#This Row],[Delivery Days]]&lt;=2, "Express (≤2d)", IF(OrdersTable[[#This Row],[Delivery Days]]&lt;=4, "Standard (3-4d)", "Delayed (5d+)"))</f>
        <v>Express (≤2d)</v>
      </c>
      <c r="AE3478">
        <v>4</v>
      </c>
      <c r="AF3478">
        <v>0</v>
      </c>
    </row>
    <row r="3479" spans="1:32" ht="15" x14ac:dyDescent="0.35">
      <c r="A3479" t="s">
        <v>3318</v>
      </c>
      <c r="B3479" s="1">
        <v>45861</v>
      </c>
      <c r="C3479">
        <f>YEAR(OrdersTable[[#This Row],[Order Date]])</f>
        <v>2025</v>
      </c>
      <c r="D3479" s="2">
        <f>DATE(YEAR(OrdersTable[[#This Row],[Order Date]]),MONTH(OrdersTable[[#This Row],[Order Date]]),1)</f>
        <v>45839</v>
      </c>
      <c r="E3479">
        <f>MONTH(OrdersTable[[#This Row],[Order Date]])</f>
        <v>7</v>
      </c>
      <c r="F3479" t="s">
        <v>3319</v>
      </c>
      <c r="G3479" t="str">
        <f>IF(OrdersTable[[#This Row],[Order Date]]=_xlfn.MINIFS(Order_Date, Customer_ID, OrdersTable[[#This Row],[Customer ID]]), "New", "Repeat")</f>
        <v>New</v>
      </c>
      <c r="H3479" t="s">
        <v>128</v>
      </c>
      <c r="I3479" t="str">
        <f>INDEX(State!B:B,MATCH(OrdersTable[[#This Row],[State]],State!A:A,0))</f>
        <v>DL</v>
      </c>
      <c r="J3479" t="str">
        <f>INDEX(State!C:C,MATCH(OrdersTable[[#This Row],[State Code]],State!B:B,0))</f>
        <v>North</v>
      </c>
      <c r="K3479" t="s">
        <v>129</v>
      </c>
      <c r="L3479" t="s">
        <v>39</v>
      </c>
      <c r="M3479" t="s">
        <v>87</v>
      </c>
      <c r="N3479" t="str">
        <f>INDEX(Products!B:B,MATCH(OrdersTable[[#This Row],[Product ID]],Products!A:A,0))</f>
        <v>Linen Kurta</v>
      </c>
      <c r="O3479" t="str">
        <f>INDEX(Products!C:C,MATCH(OrdersTable[[#This Row],[Product ID]],Products!A:A,0))</f>
        <v>Apparel</v>
      </c>
      <c r="P3479">
        <v>1</v>
      </c>
      <c r="Q3479" s="5">
        <v>1499</v>
      </c>
      <c r="R3479" s="74">
        <v>0.35</v>
      </c>
      <c r="S3479" s="75">
        <f>OrdersTable[[#This Row],[Quantity]]*OrdersTable[[#This Row],[Unit Price]]</f>
        <v>1499</v>
      </c>
      <c r="T3479" s="5">
        <f>OrdersTable[[#This Row],[Gross Sale]]*OrdersTable[[#This Row],[Discount_Clean2]]</f>
        <v>524.65</v>
      </c>
      <c r="U3479" s="5">
        <f>OrdersTable[[#This Row],[Gross Sale]]-OrdersTable[[#This Row],[Discount Amount]]</f>
        <v>974.35</v>
      </c>
      <c r="V3479" s="77">
        <f>INDEX(Products!E:E,MATCH(OrdersTable[[#This Row],[Product ID]],Products!A:A,0))</f>
        <v>630</v>
      </c>
      <c r="W3479" s="77">
        <f>OrdersTable[[#This Row],[Quantity]]*OrdersTable[[#This Row],[Unit Cost]]</f>
        <v>630</v>
      </c>
      <c r="X3479" s="77">
        <f>'Dropdown Lists'!$I$2*(1+OrdersTable[[#This Row],[Returned]])</f>
        <v>60</v>
      </c>
      <c r="Y3479" s="76">
        <f>OrdersTable[[#This Row],[Net Revenue]]-OrdersTable[[#This Row],[COGS]]-OrdersTable[[#This Row],[Shipping Cost]]</f>
        <v>284.35000000000002</v>
      </c>
      <c r="Z3479" s="78">
        <f>IFERROR(OrdersTable[[#This Row],[Profit]]/OrdersTable[[#This Row],[Net Revenue]],0)</f>
        <v>0.29183558269615645</v>
      </c>
      <c r="AA3479" t="s">
        <v>2522</v>
      </c>
      <c r="AB3479" s="79">
        <v>45863</v>
      </c>
      <c r="AC3479">
        <f>OrdersTable[[#This Row],[Delivery Date]]-OrdersTable[[#This Row],[Order Date]]</f>
        <v>2</v>
      </c>
      <c r="AD3479" t="str">
        <f>IF(OrdersTable[[#This Row],[Delivery Days]]&lt;=2, "Express (≤2d)", IF(OrdersTable[[#This Row],[Delivery Days]]&lt;=4, "Standard (3-4d)", "Delayed (5d+)"))</f>
        <v>Express (≤2d)</v>
      </c>
      <c r="AE3479">
        <v>4</v>
      </c>
      <c r="AF3479">
        <v>0</v>
      </c>
    </row>
    <row r="3480" spans="1:32" ht="15" x14ac:dyDescent="0.35">
      <c r="A3480" t="s">
        <v>636</v>
      </c>
      <c r="B3480" s="1">
        <v>45861</v>
      </c>
      <c r="C3480">
        <f>YEAR(OrdersTable[[#This Row],[Order Date]])</f>
        <v>2025</v>
      </c>
      <c r="D3480" s="2">
        <f>DATE(YEAR(OrdersTable[[#This Row],[Order Date]]),MONTH(OrdersTable[[#This Row],[Order Date]]),1)</f>
        <v>45839</v>
      </c>
      <c r="E3480">
        <f>MONTH(OrdersTable[[#This Row],[Order Date]])</f>
        <v>7</v>
      </c>
      <c r="F3480" t="s">
        <v>637</v>
      </c>
      <c r="G3480" t="str">
        <f>IF(OrdersTable[[#This Row],[Order Date]]=_xlfn.MINIFS(Order_Date, Customer_ID, OrdersTable[[#This Row],[Customer ID]]), "New", "Repeat")</f>
        <v>Repeat</v>
      </c>
      <c r="H3480" t="s">
        <v>128</v>
      </c>
      <c r="I3480" t="str">
        <f>INDEX(State!B:B,MATCH(OrdersTable[[#This Row],[State]],State!A:A,0))</f>
        <v>DL</v>
      </c>
      <c r="J3480" t="str">
        <f>INDEX(State!C:C,MATCH(OrdersTable[[#This Row],[State Code]],State!B:B,0))</f>
        <v>North</v>
      </c>
      <c r="K3480" t="s">
        <v>129</v>
      </c>
      <c r="L3480" t="s">
        <v>65</v>
      </c>
      <c r="M3480" t="s">
        <v>160</v>
      </c>
      <c r="N3480" t="str">
        <f>INDEX(Products!B:B,MATCH(OrdersTable[[#This Row],[Product ID]],Products!A:A,0))</f>
        <v>Niacinamide Toner</v>
      </c>
      <c r="O3480" t="str">
        <f>INDEX(Products!C:C,MATCH(OrdersTable[[#This Row],[Product ID]],Products!A:A,0))</f>
        <v>Skincare</v>
      </c>
      <c r="P3480">
        <v>1</v>
      </c>
      <c r="Q3480" s="5">
        <v>399</v>
      </c>
      <c r="R3480" s="74">
        <v>0.3</v>
      </c>
      <c r="S3480" s="75">
        <f>OrdersTable[[#This Row],[Quantity]]*OrdersTable[[#This Row],[Unit Price]]</f>
        <v>399</v>
      </c>
      <c r="T3480" s="5">
        <f>OrdersTable[[#This Row],[Gross Sale]]*OrdersTable[[#This Row],[Discount_Clean2]]</f>
        <v>119.69999999999999</v>
      </c>
      <c r="U3480" s="5">
        <f>OrdersTable[[#This Row],[Gross Sale]]-OrdersTable[[#This Row],[Discount Amount]]</f>
        <v>279.3</v>
      </c>
      <c r="V3480" s="77">
        <f>INDEX(Products!E:E,MATCH(OrdersTable[[#This Row],[Product ID]],Products!A:A,0))</f>
        <v>112</v>
      </c>
      <c r="W3480" s="77">
        <f>OrdersTable[[#This Row],[Quantity]]*OrdersTable[[#This Row],[Unit Cost]]</f>
        <v>112</v>
      </c>
      <c r="X3480" s="77">
        <f>'Dropdown Lists'!$I$2*(1+OrdersTable[[#This Row],[Returned]])</f>
        <v>60</v>
      </c>
      <c r="Y3480" s="76">
        <f>OrdersTable[[#This Row],[Net Revenue]]-OrdersTable[[#This Row],[COGS]]-OrdersTable[[#This Row],[Shipping Cost]]</f>
        <v>107.30000000000001</v>
      </c>
      <c r="Z3480" s="78">
        <f>IFERROR(OrdersTable[[#This Row],[Profit]]/OrdersTable[[#This Row],[Net Revenue]],0)</f>
        <v>0.38417472252058721</v>
      </c>
      <c r="AA3480" t="s">
        <v>18</v>
      </c>
      <c r="AB3480" s="79">
        <v>45865</v>
      </c>
      <c r="AC3480">
        <f>OrdersTable[[#This Row],[Delivery Date]]-OrdersTable[[#This Row],[Order Date]]</f>
        <v>4</v>
      </c>
      <c r="AD3480" t="str">
        <f>IF(OrdersTable[[#This Row],[Delivery Days]]&lt;=2, "Express (≤2d)", IF(OrdersTable[[#This Row],[Delivery Days]]&lt;=4, "Standard (3-4d)", "Delayed (5d+)"))</f>
        <v>Standard (3-4d)</v>
      </c>
      <c r="AE3480">
        <v>4</v>
      </c>
      <c r="AF3480">
        <v>0</v>
      </c>
    </row>
    <row r="3481" spans="1:32" ht="15" x14ac:dyDescent="0.35">
      <c r="A3481" t="s">
        <v>4287</v>
      </c>
      <c r="B3481" s="1">
        <v>45861</v>
      </c>
      <c r="C3481">
        <f>YEAR(OrdersTable[[#This Row],[Order Date]])</f>
        <v>2025</v>
      </c>
      <c r="D3481" s="2">
        <f>DATE(YEAR(OrdersTable[[#This Row],[Order Date]]),MONTH(OrdersTable[[#This Row],[Order Date]]),1)</f>
        <v>45839</v>
      </c>
      <c r="E3481">
        <f>MONTH(OrdersTable[[#This Row],[Order Date]])</f>
        <v>7</v>
      </c>
      <c r="F3481" t="s">
        <v>117</v>
      </c>
      <c r="G3481" t="str">
        <f>IF(OrdersTable[[#This Row],[Order Date]]=_xlfn.MINIFS(Order_Date, Customer_ID, OrdersTable[[#This Row],[Customer ID]]), "New", "Repeat")</f>
        <v>Repeat</v>
      </c>
      <c r="H3481" t="s">
        <v>128</v>
      </c>
      <c r="I3481" t="str">
        <f>INDEX(State!B:B,MATCH(OrdersTable[[#This Row],[State]],State!A:A,0))</f>
        <v>DL</v>
      </c>
      <c r="J3481" t="str">
        <f>INDEX(State!C:C,MATCH(OrdersTable[[#This Row],[State Code]],State!B:B,0))</f>
        <v>North</v>
      </c>
      <c r="K3481" t="s">
        <v>129</v>
      </c>
      <c r="L3481" t="s">
        <v>50</v>
      </c>
      <c r="M3481" t="s">
        <v>66</v>
      </c>
      <c r="N3481" t="str">
        <f>INDEX(Products!B:B,MATCH(OrdersTable[[#This Row],[Product ID]],Products!A:A,0))</f>
        <v>Sunscreen SPF 50</v>
      </c>
      <c r="O3481" t="str">
        <f>INDEX(Products!C:C,MATCH(OrdersTable[[#This Row],[Product ID]],Products!A:A,0))</f>
        <v>Skincare</v>
      </c>
      <c r="P3481">
        <v>1</v>
      </c>
      <c r="Q3481" s="5">
        <v>449</v>
      </c>
      <c r="R3481" s="74">
        <v>0</v>
      </c>
      <c r="S3481" s="75">
        <f>OrdersTable[[#This Row],[Quantity]]*OrdersTable[[#This Row],[Unit Price]]</f>
        <v>449</v>
      </c>
      <c r="T3481" s="5">
        <f>OrdersTable[[#This Row],[Gross Sale]]*OrdersTable[[#This Row],[Discount_Clean2]]</f>
        <v>0</v>
      </c>
      <c r="U3481" s="5">
        <f>OrdersTable[[#This Row],[Gross Sale]]-OrdersTable[[#This Row],[Discount Amount]]</f>
        <v>449</v>
      </c>
      <c r="V3481" s="77">
        <f>INDEX(Products!E:E,MATCH(OrdersTable[[#This Row],[Product ID]],Products!A:A,0))</f>
        <v>144</v>
      </c>
      <c r="W3481" s="77">
        <f>OrdersTable[[#This Row],[Quantity]]*OrdersTable[[#This Row],[Unit Cost]]</f>
        <v>144</v>
      </c>
      <c r="X3481" s="77">
        <f>'Dropdown Lists'!$I$2*(1+OrdersTable[[#This Row],[Returned]])</f>
        <v>60</v>
      </c>
      <c r="Y3481" s="76">
        <f>OrdersTable[[#This Row],[Net Revenue]]-OrdersTable[[#This Row],[COGS]]-OrdersTable[[#This Row],[Shipping Cost]]</f>
        <v>245</v>
      </c>
      <c r="Z3481" s="78">
        <f>IFERROR(OrdersTable[[#This Row],[Profit]]/OrdersTable[[#This Row],[Net Revenue]],0)</f>
        <v>0.54565701559020041</v>
      </c>
      <c r="AA3481" t="s">
        <v>4074</v>
      </c>
      <c r="AB3481" s="79">
        <v>45864</v>
      </c>
      <c r="AC3481">
        <f>OrdersTable[[#This Row],[Delivery Date]]-OrdersTable[[#This Row],[Order Date]]</f>
        <v>3</v>
      </c>
      <c r="AD3481" t="str">
        <f>IF(OrdersTable[[#This Row],[Delivery Days]]&lt;=2, "Express (≤2d)", IF(OrdersTable[[#This Row],[Delivery Days]]&lt;=4, "Standard (3-4d)", "Delayed (5d+)"))</f>
        <v>Standard (3-4d)</v>
      </c>
      <c r="AF3481">
        <v>0</v>
      </c>
    </row>
    <row r="3482" spans="1:32" ht="15" x14ac:dyDescent="0.35">
      <c r="A3482" t="s">
        <v>4288</v>
      </c>
      <c r="B3482" s="1">
        <v>45861</v>
      </c>
      <c r="C3482">
        <f>YEAR(OrdersTable[[#This Row],[Order Date]])</f>
        <v>2025</v>
      </c>
      <c r="D3482" s="2">
        <f>DATE(YEAR(OrdersTable[[#This Row],[Order Date]]),MONTH(OrdersTable[[#This Row],[Order Date]]),1)</f>
        <v>45839</v>
      </c>
      <c r="E3482">
        <f>MONTH(OrdersTable[[#This Row],[Order Date]])</f>
        <v>7</v>
      </c>
      <c r="F3482" t="s">
        <v>3479</v>
      </c>
      <c r="G3482" t="str">
        <f>IF(OrdersTable[[#This Row],[Order Date]]=_xlfn.MINIFS(Order_Date, Customer_ID, OrdersTable[[#This Row],[Customer ID]]), "New", "Repeat")</f>
        <v>New</v>
      </c>
      <c r="H3482" t="s">
        <v>37</v>
      </c>
      <c r="I3482" t="str">
        <f>INDEX(State!B:B,MATCH(OrdersTable[[#This Row],[State]],State!A:A,0))</f>
        <v>GJ</v>
      </c>
      <c r="J3482" t="str">
        <f>INDEX(State!C:C,MATCH(OrdersTable[[#This Row],[State Code]],State!B:B,0))</f>
        <v>West</v>
      </c>
      <c r="K3482" t="s">
        <v>247</v>
      </c>
      <c r="L3482" t="s">
        <v>50</v>
      </c>
      <c r="M3482" t="s">
        <v>51</v>
      </c>
      <c r="N3482" t="str">
        <f>INDEX(Products!B:B,MATCH(OrdersTable[[#This Row],[Product ID]],Products!A:A,0))</f>
        <v>Anti-Dandruff Conditioner</v>
      </c>
      <c r="O3482" t="str">
        <f>INDEX(Products!C:C,MATCH(OrdersTable[[#This Row],[Product ID]],Products!A:A,0))</f>
        <v>Haircare</v>
      </c>
      <c r="P3482">
        <v>1</v>
      </c>
      <c r="Q3482" s="5">
        <v>399</v>
      </c>
      <c r="R3482" s="74">
        <v>0.45</v>
      </c>
      <c r="S3482" s="75">
        <f>OrdersTable[[#This Row],[Quantity]]*OrdersTable[[#This Row],[Unit Price]]</f>
        <v>399</v>
      </c>
      <c r="T3482" s="5">
        <f>OrdersTable[[#This Row],[Gross Sale]]*OrdersTable[[#This Row],[Discount_Clean2]]</f>
        <v>179.55</v>
      </c>
      <c r="U3482" s="5">
        <f>OrdersTable[[#This Row],[Gross Sale]]-OrdersTable[[#This Row],[Discount Amount]]</f>
        <v>219.45</v>
      </c>
      <c r="V3482" s="77">
        <f>INDEX(Products!E:E,MATCH(OrdersTable[[#This Row],[Product ID]],Products!A:A,0))</f>
        <v>136</v>
      </c>
      <c r="W3482" s="77">
        <f>OrdersTable[[#This Row],[Quantity]]*OrdersTable[[#This Row],[Unit Cost]]</f>
        <v>136</v>
      </c>
      <c r="X3482" s="77">
        <f>'Dropdown Lists'!$I$2*(1+OrdersTable[[#This Row],[Returned]])</f>
        <v>60</v>
      </c>
      <c r="Y3482" s="76">
        <f>OrdersTable[[#This Row],[Net Revenue]]-OrdersTable[[#This Row],[COGS]]-OrdersTable[[#This Row],[Shipping Cost]]</f>
        <v>23.449999999999989</v>
      </c>
      <c r="Z3482" s="78">
        <f>IFERROR(OrdersTable[[#This Row],[Profit]]/OrdersTable[[#This Row],[Net Revenue]],0)</f>
        <v>0.10685805422647524</v>
      </c>
      <c r="AA3482" t="s">
        <v>4074</v>
      </c>
      <c r="AB3482" s="79">
        <v>45866</v>
      </c>
      <c r="AC3482">
        <f>OrdersTable[[#This Row],[Delivery Date]]-OrdersTable[[#This Row],[Order Date]]</f>
        <v>5</v>
      </c>
      <c r="AD3482" t="str">
        <f>IF(OrdersTable[[#This Row],[Delivery Days]]&lt;=2, "Express (≤2d)", IF(OrdersTable[[#This Row],[Delivery Days]]&lt;=4, "Standard (3-4d)", "Delayed (5d+)"))</f>
        <v>Delayed (5d+)</v>
      </c>
      <c r="AF3482">
        <v>0</v>
      </c>
    </row>
    <row r="3483" spans="1:32" ht="15" x14ac:dyDescent="0.35">
      <c r="A3483" t="s">
        <v>6187</v>
      </c>
      <c r="B3483" s="1">
        <v>45861</v>
      </c>
      <c r="C3483">
        <f>YEAR(OrdersTable[[#This Row],[Order Date]])</f>
        <v>2025</v>
      </c>
      <c r="D3483" s="2">
        <f>DATE(YEAR(OrdersTable[[#This Row],[Order Date]]),MONTH(OrdersTable[[#This Row],[Order Date]]),1)</f>
        <v>45839</v>
      </c>
      <c r="E3483">
        <f>MONTH(OrdersTable[[#This Row],[Order Date]])</f>
        <v>7</v>
      </c>
      <c r="F3483" t="s">
        <v>5953</v>
      </c>
      <c r="G3483" t="str">
        <f>IF(OrdersTable[[#This Row],[Order Date]]=_xlfn.MINIFS(Order_Date, Customer_ID, OrdersTable[[#This Row],[Customer ID]]), "New", "Repeat")</f>
        <v>Repeat</v>
      </c>
      <c r="H3483" t="s">
        <v>37</v>
      </c>
      <c r="I3483" t="str">
        <f>INDEX(State!B:B,MATCH(OrdersTable[[#This Row],[State]],State!A:A,0))</f>
        <v>GJ</v>
      </c>
      <c r="J3483" t="str">
        <f>INDEX(State!C:C,MATCH(OrdersTable[[#This Row],[State Code]],State!B:B,0))</f>
        <v>West</v>
      </c>
      <c r="K3483" t="s">
        <v>247</v>
      </c>
      <c r="L3483" t="s">
        <v>65</v>
      </c>
      <c r="M3483" t="s">
        <v>29</v>
      </c>
      <c r="N3483" t="str">
        <f>INDEX(Products!B:B,MATCH(OrdersTable[[#This Row],[Product ID]],Products!A:A,0))</f>
        <v>Joggers</v>
      </c>
      <c r="O3483" t="str">
        <f>INDEX(Products!C:C,MATCH(OrdersTable[[#This Row],[Product ID]],Products!A:A,0))</f>
        <v>Apparel</v>
      </c>
      <c r="P3483">
        <v>2</v>
      </c>
      <c r="Q3483" s="5">
        <v>1199</v>
      </c>
      <c r="R3483" s="74">
        <v>0.05</v>
      </c>
      <c r="S3483" s="75">
        <f>OrdersTable[[#This Row],[Quantity]]*OrdersTable[[#This Row],[Unit Price]]</f>
        <v>2398</v>
      </c>
      <c r="T3483" s="5">
        <f>OrdersTable[[#This Row],[Gross Sale]]*OrdersTable[[#This Row],[Discount_Clean2]]</f>
        <v>119.9</v>
      </c>
      <c r="U3483" s="5">
        <f>OrdersTable[[#This Row],[Gross Sale]]-OrdersTable[[#This Row],[Discount Amount]]</f>
        <v>2278.1</v>
      </c>
      <c r="V3483" s="77">
        <f>INDEX(Products!E:E,MATCH(OrdersTable[[#This Row],[Product ID]],Products!A:A,0))</f>
        <v>492</v>
      </c>
      <c r="W3483" s="77">
        <f>OrdersTable[[#This Row],[Quantity]]*OrdersTable[[#This Row],[Unit Cost]]</f>
        <v>984</v>
      </c>
      <c r="X3483" s="77">
        <f>'Dropdown Lists'!$I$2*(1+OrdersTable[[#This Row],[Returned]])</f>
        <v>60</v>
      </c>
      <c r="Y3483" s="76">
        <f>OrdersTable[[#This Row],[Net Revenue]]-OrdersTable[[#This Row],[COGS]]-OrdersTable[[#This Row],[Shipping Cost]]</f>
        <v>1234.0999999999999</v>
      </c>
      <c r="Z3483" s="78">
        <f>IFERROR(OrdersTable[[#This Row],[Profit]]/OrdersTable[[#This Row],[Net Revenue]],0)</f>
        <v>0.54172336596286375</v>
      </c>
      <c r="AA3483" t="s">
        <v>18</v>
      </c>
      <c r="AB3483" s="79">
        <v>45863</v>
      </c>
      <c r="AC3483">
        <f>OrdersTable[[#This Row],[Delivery Date]]-OrdersTable[[#This Row],[Order Date]]</f>
        <v>2</v>
      </c>
      <c r="AD3483" t="str">
        <f>IF(OrdersTable[[#This Row],[Delivery Days]]&lt;=2, "Express (≤2d)", IF(OrdersTable[[#This Row],[Delivery Days]]&lt;=4, "Standard (3-4d)", "Delayed (5d+)"))</f>
        <v>Express (≤2d)</v>
      </c>
      <c r="AE3483">
        <v>4</v>
      </c>
      <c r="AF3483">
        <v>0</v>
      </c>
    </row>
    <row r="3484" spans="1:32" ht="15" x14ac:dyDescent="0.35">
      <c r="A3484" t="s">
        <v>3082</v>
      </c>
      <c r="B3484" s="1">
        <v>45861</v>
      </c>
      <c r="C3484">
        <f>YEAR(OrdersTable[[#This Row],[Order Date]])</f>
        <v>2025</v>
      </c>
      <c r="D3484" s="2">
        <f>DATE(YEAR(OrdersTable[[#This Row],[Order Date]]),MONTH(OrdersTable[[#This Row],[Order Date]]),1)</f>
        <v>45839</v>
      </c>
      <c r="E3484">
        <f>MONTH(OrdersTable[[#This Row],[Order Date]])</f>
        <v>7</v>
      </c>
      <c r="F3484" t="s">
        <v>3083</v>
      </c>
      <c r="G3484" t="str">
        <f>IF(OrdersTable[[#This Row],[Order Date]]=_xlfn.MINIFS(Order_Date, Customer_ID, OrdersTable[[#This Row],[Customer ID]]), "New", "Repeat")</f>
        <v>New</v>
      </c>
      <c r="H3484" t="s">
        <v>43</v>
      </c>
      <c r="I3484" t="str">
        <f>INDEX(State!B:B,MATCH(OrdersTable[[#This Row],[State]],State!A:A,0))</f>
        <v>MP</v>
      </c>
      <c r="J3484" t="str">
        <f>INDEX(State!C:C,MATCH(OrdersTable[[#This Row],[State Code]],State!B:B,0))</f>
        <v>West</v>
      </c>
      <c r="K3484" t="s">
        <v>44</v>
      </c>
      <c r="L3484" t="s">
        <v>65</v>
      </c>
      <c r="M3484" t="s">
        <v>125</v>
      </c>
      <c r="N3484" t="str">
        <f>INDEX(Products!B:B,MATCH(OrdersTable[[#This Row],[Product ID]],Products!A:A,0))</f>
        <v>Copper Water Bottle</v>
      </c>
      <c r="O3484" t="str">
        <f>INDEX(Products!C:C,MATCH(OrdersTable[[#This Row],[Product ID]],Products!A:A,0))</f>
        <v>Home &amp; Kitchen</v>
      </c>
      <c r="P3484">
        <v>1</v>
      </c>
      <c r="Q3484" s="5">
        <v>899</v>
      </c>
      <c r="R3484" s="74">
        <v>0.05</v>
      </c>
      <c r="S3484" s="75">
        <f>OrdersTable[[#This Row],[Quantity]]*OrdersTable[[#This Row],[Unit Price]]</f>
        <v>899</v>
      </c>
      <c r="T3484" s="5">
        <f>OrdersTable[[#This Row],[Gross Sale]]*OrdersTable[[#This Row],[Discount_Clean2]]</f>
        <v>44.95</v>
      </c>
      <c r="U3484" s="5">
        <f>OrdersTable[[#This Row],[Gross Sale]]-OrdersTable[[#This Row],[Discount Amount]]</f>
        <v>854.05</v>
      </c>
      <c r="V3484" s="77">
        <f>INDEX(Products!E:E,MATCH(OrdersTable[[#This Row],[Product ID]],Products!A:A,0))</f>
        <v>378</v>
      </c>
      <c r="W3484" s="77">
        <f>OrdersTable[[#This Row],[Quantity]]*OrdersTable[[#This Row],[Unit Cost]]</f>
        <v>378</v>
      </c>
      <c r="X3484" s="77">
        <f>'Dropdown Lists'!$I$2*(1+OrdersTable[[#This Row],[Returned]])</f>
        <v>60</v>
      </c>
      <c r="Y3484" s="76">
        <f>OrdersTable[[#This Row],[Net Revenue]]-OrdersTable[[#This Row],[COGS]]-OrdersTable[[#This Row],[Shipping Cost]]</f>
        <v>416.04999999999995</v>
      </c>
      <c r="Z3484" s="78">
        <f>IFERROR(OrdersTable[[#This Row],[Profit]]/OrdersTable[[#This Row],[Net Revenue]],0)</f>
        <v>0.48714946431707745</v>
      </c>
      <c r="AA3484" t="s">
        <v>2522</v>
      </c>
      <c r="AB3484" s="79">
        <v>45864</v>
      </c>
      <c r="AC3484">
        <f>OrdersTable[[#This Row],[Delivery Date]]-OrdersTable[[#This Row],[Order Date]]</f>
        <v>3</v>
      </c>
      <c r="AD3484" t="str">
        <f>IF(OrdersTable[[#This Row],[Delivery Days]]&lt;=2, "Express (≤2d)", IF(OrdersTable[[#This Row],[Delivery Days]]&lt;=4, "Standard (3-4d)", "Delayed (5d+)"))</f>
        <v>Standard (3-4d)</v>
      </c>
      <c r="AF3484">
        <v>0</v>
      </c>
    </row>
    <row r="3485" spans="1:32" ht="15" x14ac:dyDescent="0.35">
      <c r="A3485" t="s">
        <v>2431</v>
      </c>
      <c r="B3485" s="1">
        <v>45861</v>
      </c>
      <c r="C3485">
        <f>YEAR(OrdersTable[[#This Row],[Order Date]])</f>
        <v>2025</v>
      </c>
      <c r="D3485" s="2">
        <f>DATE(YEAR(OrdersTable[[#This Row],[Order Date]]),MONTH(OrdersTable[[#This Row],[Order Date]]),1)</f>
        <v>45839</v>
      </c>
      <c r="E3485">
        <f>MONTH(OrdersTable[[#This Row],[Order Date]])</f>
        <v>7</v>
      </c>
      <c r="F3485" t="s">
        <v>2003</v>
      </c>
      <c r="G3485" t="str">
        <f>IF(OrdersTable[[#This Row],[Order Date]]=_xlfn.MINIFS(Order_Date, Customer_ID, OrdersTable[[#This Row],[Customer ID]]), "New", "Repeat")</f>
        <v>Repeat</v>
      </c>
      <c r="H3485" t="s">
        <v>482</v>
      </c>
      <c r="I3485" t="str">
        <f>INDEX(State!B:B,MATCH(OrdersTable[[#This Row],[State]],State!A:A,0))</f>
        <v>CG</v>
      </c>
      <c r="J3485" t="str">
        <f>INDEX(State!C:C,MATCH(OrdersTable[[#This Row],[State Code]],State!B:B,0))</f>
        <v>East</v>
      </c>
      <c r="K3485" t="s">
        <v>483</v>
      </c>
      <c r="L3485" t="s">
        <v>65</v>
      </c>
      <c r="M3485" t="s">
        <v>92</v>
      </c>
      <c r="N3485" t="str">
        <f>INDEX(Products!B:B,MATCH(OrdersTable[[#This Row],[Product ID]],Products!A:A,0))</f>
        <v>Kolhapuri Sandals</v>
      </c>
      <c r="O3485" t="str">
        <f>INDEX(Products!C:C,MATCH(OrdersTable[[#This Row],[Product ID]],Products!A:A,0))</f>
        <v>Footwear</v>
      </c>
      <c r="P3485">
        <v>1</v>
      </c>
      <c r="Q3485" s="5">
        <v>999</v>
      </c>
      <c r="R3485" s="74">
        <v>0.15</v>
      </c>
      <c r="S3485" s="75">
        <f>OrdersTable[[#This Row],[Quantity]]*OrdersTable[[#This Row],[Unit Price]]</f>
        <v>999</v>
      </c>
      <c r="T3485" s="5">
        <f>OrdersTable[[#This Row],[Gross Sale]]*OrdersTable[[#This Row],[Discount_Clean2]]</f>
        <v>149.85</v>
      </c>
      <c r="U3485" s="5">
        <f>OrdersTable[[#This Row],[Gross Sale]]-OrdersTable[[#This Row],[Discount Amount]]</f>
        <v>849.15</v>
      </c>
      <c r="V3485" s="77">
        <f>INDEX(Products!E:E,MATCH(OrdersTable[[#This Row],[Product ID]],Products!A:A,0))</f>
        <v>400</v>
      </c>
      <c r="W3485" s="77">
        <f>OrdersTable[[#This Row],[Quantity]]*OrdersTable[[#This Row],[Unit Cost]]</f>
        <v>400</v>
      </c>
      <c r="X3485" s="77">
        <f>'Dropdown Lists'!$I$2*(1+OrdersTable[[#This Row],[Returned]])</f>
        <v>60</v>
      </c>
      <c r="Y3485" s="76">
        <f>OrdersTable[[#This Row],[Net Revenue]]-OrdersTable[[#This Row],[COGS]]-OrdersTable[[#This Row],[Shipping Cost]]</f>
        <v>389.15</v>
      </c>
      <c r="Z3485" s="78">
        <f>IFERROR(OrdersTable[[#This Row],[Profit]]/OrdersTable[[#This Row],[Net Revenue]],0)</f>
        <v>0.45828181122298767</v>
      </c>
      <c r="AA3485" t="s">
        <v>18</v>
      </c>
      <c r="AB3485" s="79">
        <v>45867</v>
      </c>
      <c r="AC3485">
        <f>OrdersTable[[#This Row],[Delivery Date]]-OrdersTable[[#This Row],[Order Date]]</f>
        <v>6</v>
      </c>
      <c r="AD3485" t="str">
        <f>IF(OrdersTable[[#This Row],[Delivery Days]]&lt;=2, "Express (≤2d)", IF(OrdersTable[[#This Row],[Delivery Days]]&lt;=4, "Standard (3-4d)", "Delayed (5d+)"))</f>
        <v>Delayed (5d+)</v>
      </c>
      <c r="AE3485">
        <v>5</v>
      </c>
      <c r="AF3485">
        <v>0</v>
      </c>
    </row>
    <row r="3486" spans="1:32" ht="15" x14ac:dyDescent="0.35">
      <c r="A3486" t="s">
        <v>6605</v>
      </c>
      <c r="B3486" s="1">
        <v>45861</v>
      </c>
      <c r="C3486">
        <f>YEAR(OrdersTable[[#This Row],[Order Date]])</f>
        <v>2025</v>
      </c>
      <c r="D3486" s="2">
        <f>DATE(YEAR(OrdersTable[[#This Row],[Order Date]]),MONTH(OrdersTable[[#This Row],[Order Date]]),1)</f>
        <v>45839</v>
      </c>
      <c r="E3486">
        <f>MONTH(OrdersTable[[#This Row],[Order Date]])</f>
        <v>7</v>
      </c>
      <c r="F3486" t="s">
        <v>1104</v>
      </c>
      <c r="G3486" t="str">
        <f>IF(OrdersTable[[#This Row],[Order Date]]=_xlfn.MINIFS(Order_Date, Customer_ID, OrdersTable[[#This Row],[Customer ID]]), "New", "Repeat")</f>
        <v>Repeat</v>
      </c>
      <c r="H3486" t="s">
        <v>123</v>
      </c>
      <c r="I3486" t="str">
        <f>INDEX(State!B:B,MATCH(OrdersTable[[#This Row],[State]],State!A:A,0))</f>
        <v>JH</v>
      </c>
      <c r="J3486" t="str">
        <f>INDEX(State!C:C,MATCH(OrdersTable[[#This Row],[State Code]],State!B:B,0))</f>
        <v>East</v>
      </c>
      <c r="K3486" t="s">
        <v>124</v>
      </c>
      <c r="L3486" t="s">
        <v>50</v>
      </c>
      <c r="M3486" t="s">
        <v>61</v>
      </c>
      <c r="N3486" t="str">
        <f>INDEX(Products!B:B,MATCH(OrdersTable[[#This Row],[Product ID]],Products!A:A,0))</f>
        <v>Multivitamin Gummies</v>
      </c>
      <c r="O3486" t="str">
        <f>INDEX(Products!C:C,MATCH(OrdersTable[[#This Row],[Product ID]],Products!A:A,0))</f>
        <v>Wellness</v>
      </c>
      <c r="P3486">
        <v>3</v>
      </c>
      <c r="Q3486" s="5">
        <v>699</v>
      </c>
      <c r="R3486" s="74">
        <v>0.3</v>
      </c>
      <c r="S3486" s="75">
        <f>OrdersTable[[#This Row],[Quantity]]*OrdersTable[[#This Row],[Unit Price]]</f>
        <v>2097</v>
      </c>
      <c r="T3486" s="5">
        <f>OrdersTable[[#This Row],[Gross Sale]]*OrdersTable[[#This Row],[Discount_Clean2]]</f>
        <v>629.1</v>
      </c>
      <c r="U3486" s="5">
        <f>OrdersTable[[#This Row],[Gross Sale]]-OrdersTable[[#This Row],[Discount Amount]]</f>
        <v>1467.9</v>
      </c>
      <c r="V3486" s="77">
        <f>INDEX(Products!E:E,MATCH(OrdersTable[[#This Row],[Product ID]],Products!A:A,0))</f>
        <v>238</v>
      </c>
      <c r="W3486" s="77">
        <f>OrdersTable[[#This Row],[Quantity]]*OrdersTable[[#This Row],[Unit Cost]]</f>
        <v>714</v>
      </c>
      <c r="X3486" s="77">
        <f>'Dropdown Lists'!$I$2*(1+OrdersTable[[#This Row],[Returned]])</f>
        <v>60</v>
      </c>
      <c r="Y3486" s="76">
        <f>OrdersTable[[#This Row],[Net Revenue]]-OrdersTable[[#This Row],[COGS]]-OrdersTable[[#This Row],[Shipping Cost]]</f>
        <v>693.90000000000009</v>
      </c>
      <c r="Z3486" s="78">
        <f>IFERROR(OrdersTable[[#This Row],[Profit]]/OrdersTable[[#This Row],[Net Revenue]],0)</f>
        <v>0.47271612507664013</v>
      </c>
      <c r="AA3486" t="s">
        <v>18</v>
      </c>
      <c r="AB3486" s="79">
        <v>45864</v>
      </c>
      <c r="AC3486">
        <f>OrdersTable[[#This Row],[Delivery Date]]-OrdersTable[[#This Row],[Order Date]]</f>
        <v>3</v>
      </c>
      <c r="AD3486" t="str">
        <f>IF(OrdersTable[[#This Row],[Delivery Days]]&lt;=2, "Express (≤2d)", IF(OrdersTable[[#This Row],[Delivery Days]]&lt;=4, "Standard (3-4d)", "Delayed (5d+)"))</f>
        <v>Standard (3-4d)</v>
      </c>
      <c r="AE3486">
        <v>5</v>
      </c>
      <c r="AF3486">
        <v>0</v>
      </c>
    </row>
    <row r="3487" spans="1:32" ht="15" x14ac:dyDescent="0.35">
      <c r="A3487" t="s">
        <v>4042</v>
      </c>
      <c r="B3487" s="1">
        <v>45861</v>
      </c>
      <c r="C3487">
        <f>YEAR(OrdersTable[[#This Row],[Order Date]])</f>
        <v>2025</v>
      </c>
      <c r="D3487" s="2">
        <f>DATE(YEAR(OrdersTable[[#This Row],[Order Date]]),MONTH(OrdersTable[[#This Row],[Order Date]]),1)</f>
        <v>45839</v>
      </c>
      <c r="E3487">
        <f>MONTH(OrdersTable[[#This Row],[Order Date]])</f>
        <v>7</v>
      </c>
      <c r="F3487" t="s">
        <v>1702</v>
      </c>
      <c r="G3487" t="str">
        <f>IF(OrdersTable[[#This Row],[Order Date]]=_xlfn.MINIFS(Order_Date, Customer_ID, OrdersTable[[#This Row],[Customer ID]]), "New", "Repeat")</f>
        <v>Repeat</v>
      </c>
      <c r="H3487" t="s">
        <v>71</v>
      </c>
      <c r="I3487" t="str">
        <f>INDEX(State!B:B,MATCH(OrdersTable[[#This Row],[State]],State!A:A,0))</f>
        <v>MH</v>
      </c>
      <c r="J3487" t="str">
        <f>INDEX(State!C:C,MATCH(OrdersTable[[#This Row],[State Code]],State!B:B,0))</f>
        <v>West</v>
      </c>
      <c r="K3487" t="s">
        <v>72</v>
      </c>
      <c r="L3487" t="s">
        <v>16</v>
      </c>
      <c r="M3487" t="s">
        <v>576</v>
      </c>
      <c r="N3487" t="str">
        <f>INDEX(Products!B:B,MATCH(OrdersTable[[#This Row],[Product ID]],Products!A:A,0))</f>
        <v>Printed Saree</v>
      </c>
      <c r="O3487" t="str">
        <f>INDEX(Products!C:C,MATCH(OrdersTable[[#This Row],[Product ID]],Products!A:A,0))</f>
        <v>Apparel</v>
      </c>
      <c r="P3487">
        <v>1</v>
      </c>
      <c r="Q3487" s="5">
        <v>1999</v>
      </c>
      <c r="R3487" s="74">
        <v>0.1</v>
      </c>
      <c r="S3487" s="75">
        <f>OrdersTable[[#This Row],[Quantity]]*OrdersTable[[#This Row],[Unit Price]]</f>
        <v>1999</v>
      </c>
      <c r="T3487" s="5">
        <f>OrdersTable[[#This Row],[Gross Sale]]*OrdersTable[[#This Row],[Discount_Clean2]]</f>
        <v>199.9</v>
      </c>
      <c r="U3487" s="5">
        <f>OrdersTable[[#This Row],[Gross Sale]]-OrdersTable[[#This Row],[Discount Amount]]</f>
        <v>1799.1</v>
      </c>
      <c r="V3487" s="77">
        <f>INDEX(Products!E:E,MATCH(OrdersTable[[#This Row],[Product ID]],Products!A:A,0))</f>
        <v>880</v>
      </c>
      <c r="W3487" s="77">
        <f>OrdersTable[[#This Row],[Quantity]]*OrdersTable[[#This Row],[Unit Cost]]</f>
        <v>880</v>
      </c>
      <c r="X3487" s="77">
        <f>'Dropdown Lists'!$I$2*(1+OrdersTable[[#This Row],[Returned]])</f>
        <v>60</v>
      </c>
      <c r="Y3487" s="76">
        <f>OrdersTable[[#This Row],[Net Revenue]]-OrdersTable[[#This Row],[COGS]]-OrdersTable[[#This Row],[Shipping Cost]]</f>
        <v>859.09999999999991</v>
      </c>
      <c r="Z3487" s="78">
        <f>IFERROR(OrdersTable[[#This Row],[Profit]]/OrdersTable[[#This Row],[Net Revenue]],0)</f>
        <v>0.47751653604580063</v>
      </c>
      <c r="AA3487" t="s">
        <v>3495</v>
      </c>
      <c r="AB3487" s="79">
        <v>45862</v>
      </c>
      <c r="AC3487">
        <f>OrdersTable[[#This Row],[Delivery Date]]-OrdersTable[[#This Row],[Order Date]]</f>
        <v>1</v>
      </c>
      <c r="AD3487" t="str">
        <f>IF(OrdersTable[[#This Row],[Delivery Days]]&lt;=2, "Express (≤2d)", IF(OrdersTable[[#This Row],[Delivery Days]]&lt;=4, "Standard (3-4d)", "Delayed (5d+)"))</f>
        <v>Express (≤2d)</v>
      </c>
      <c r="AE3487">
        <v>5</v>
      </c>
      <c r="AF3487">
        <v>0</v>
      </c>
    </row>
    <row r="3488" spans="1:32" ht="15" x14ac:dyDescent="0.35">
      <c r="A3488" t="s">
        <v>6606</v>
      </c>
      <c r="B3488" s="1">
        <v>45862</v>
      </c>
      <c r="C3488">
        <f>YEAR(OrdersTable[[#This Row],[Order Date]])</f>
        <v>2025</v>
      </c>
      <c r="D3488" s="2">
        <f>DATE(YEAR(OrdersTable[[#This Row],[Order Date]]),MONTH(OrdersTable[[#This Row],[Order Date]]),1)</f>
        <v>45839</v>
      </c>
      <c r="E3488">
        <f>MONTH(OrdersTable[[#This Row],[Order Date]])</f>
        <v>7</v>
      </c>
      <c r="F3488" t="s">
        <v>3305</v>
      </c>
      <c r="G3488" t="str">
        <f>IF(OrdersTable[[#This Row],[Order Date]]=_xlfn.MINIFS(Order_Date, Customer_ID, OrdersTable[[#This Row],[Customer ID]]), "New", "Repeat")</f>
        <v>Repeat</v>
      </c>
      <c r="H3488" t="s">
        <v>128</v>
      </c>
      <c r="I3488" t="str">
        <f>INDEX(State!B:B,MATCH(OrdersTable[[#This Row],[State]],State!A:A,0))</f>
        <v>DL</v>
      </c>
      <c r="J3488" t="str">
        <f>INDEX(State!C:C,MATCH(OrdersTable[[#This Row],[State Code]],State!B:B,0))</f>
        <v>North</v>
      </c>
      <c r="K3488" t="s">
        <v>129</v>
      </c>
      <c r="L3488" t="s">
        <v>23</v>
      </c>
      <c r="M3488" t="s">
        <v>51</v>
      </c>
      <c r="N3488" t="str">
        <f>INDEX(Products!B:B,MATCH(OrdersTable[[#This Row],[Product ID]],Products!A:A,0))</f>
        <v>Anti-Dandruff Conditioner</v>
      </c>
      <c r="O3488" t="str">
        <f>INDEX(Products!C:C,MATCH(OrdersTable[[#This Row],[Product ID]],Products!A:A,0))</f>
        <v>Haircare</v>
      </c>
      <c r="P3488">
        <v>3</v>
      </c>
      <c r="Q3488" s="5">
        <v>399</v>
      </c>
      <c r="R3488" s="74">
        <v>0.35</v>
      </c>
      <c r="S3488" s="75">
        <f>OrdersTable[[#This Row],[Quantity]]*OrdersTable[[#This Row],[Unit Price]]</f>
        <v>1197</v>
      </c>
      <c r="T3488" s="5">
        <f>OrdersTable[[#This Row],[Gross Sale]]*OrdersTable[[#This Row],[Discount_Clean2]]</f>
        <v>418.95</v>
      </c>
      <c r="U3488" s="5">
        <f>OrdersTable[[#This Row],[Gross Sale]]-OrdersTable[[#This Row],[Discount Amount]]</f>
        <v>778.05</v>
      </c>
      <c r="V3488" s="77">
        <f>INDEX(Products!E:E,MATCH(OrdersTable[[#This Row],[Product ID]],Products!A:A,0))</f>
        <v>136</v>
      </c>
      <c r="W3488" s="77">
        <f>OrdersTable[[#This Row],[Quantity]]*OrdersTable[[#This Row],[Unit Cost]]</f>
        <v>408</v>
      </c>
      <c r="X3488" s="77">
        <f>'Dropdown Lists'!$I$2*(1+OrdersTable[[#This Row],[Returned]])</f>
        <v>60</v>
      </c>
      <c r="Y3488" s="76">
        <f>OrdersTable[[#This Row],[Net Revenue]]-OrdersTable[[#This Row],[COGS]]-OrdersTable[[#This Row],[Shipping Cost]]</f>
        <v>310.04999999999995</v>
      </c>
      <c r="Z3488" s="78">
        <f>IFERROR(OrdersTable[[#This Row],[Profit]]/OrdersTable[[#This Row],[Net Revenue]],0)</f>
        <v>0.39849624060150374</v>
      </c>
      <c r="AA3488" t="s">
        <v>18</v>
      </c>
      <c r="AB3488" s="79">
        <v>45864</v>
      </c>
      <c r="AC3488">
        <f>OrdersTable[[#This Row],[Delivery Date]]-OrdersTable[[#This Row],[Order Date]]</f>
        <v>2</v>
      </c>
      <c r="AD3488" t="str">
        <f>IF(OrdersTable[[#This Row],[Delivery Days]]&lt;=2, "Express (≤2d)", IF(OrdersTable[[#This Row],[Delivery Days]]&lt;=4, "Standard (3-4d)", "Delayed (5d+)"))</f>
        <v>Express (≤2d)</v>
      </c>
      <c r="AF3488">
        <v>0</v>
      </c>
    </row>
    <row r="3489" spans="1:32" ht="15" x14ac:dyDescent="0.35">
      <c r="A3489" t="s">
        <v>2009</v>
      </c>
      <c r="B3489" s="1">
        <v>45862</v>
      </c>
      <c r="C3489">
        <f>YEAR(OrdersTable[[#This Row],[Order Date]])</f>
        <v>2025</v>
      </c>
      <c r="D3489" s="2">
        <f>DATE(YEAR(OrdersTable[[#This Row],[Order Date]]),MONTH(OrdersTable[[#This Row],[Order Date]]),1)</f>
        <v>45839</v>
      </c>
      <c r="E3489">
        <f>MONTH(OrdersTable[[#This Row],[Order Date]])</f>
        <v>7</v>
      </c>
      <c r="F3489" t="s">
        <v>2010</v>
      </c>
      <c r="G3489" t="str">
        <f>IF(OrdersTable[[#This Row],[Order Date]]=_xlfn.MINIFS(Order_Date, Customer_ID, OrdersTable[[#This Row],[Customer ID]]), "New", "Repeat")</f>
        <v>Repeat</v>
      </c>
      <c r="H3489" t="s">
        <v>37</v>
      </c>
      <c r="I3489" t="str">
        <f>INDEX(State!B:B,MATCH(OrdersTable[[#This Row],[State]],State!A:A,0))</f>
        <v>GJ</v>
      </c>
      <c r="J3489" t="str">
        <f>INDEX(State!C:C,MATCH(OrdersTable[[#This Row],[State Code]],State!B:B,0))</f>
        <v>West</v>
      </c>
      <c r="K3489" t="s">
        <v>247</v>
      </c>
      <c r="L3489" t="s">
        <v>65</v>
      </c>
      <c r="M3489" t="s">
        <v>61</v>
      </c>
      <c r="N3489" t="str">
        <f>INDEX(Products!B:B,MATCH(OrdersTable[[#This Row],[Product ID]],Products!A:A,0))</f>
        <v>Multivitamin Gummies</v>
      </c>
      <c r="O3489" t="str">
        <f>INDEX(Products!C:C,MATCH(OrdersTable[[#This Row],[Product ID]],Products!A:A,0))</f>
        <v>Wellness</v>
      </c>
      <c r="P3489">
        <v>1</v>
      </c>
      <c r="Q3489" s="5">
        <v>699</v>
      </c>
      <c r="R3489" s="74">
        <v>0.2</v>
      </c>
      <c r="S3489" s="75">
        <f>OrdersTable[[#This Row],[Quantity]]*OrdersTable[[#This Row],[Unit Price]]</f>
        <v>699</v>
      </c>
      <c r="T3489" s="5">
        <f>OrdersTable[[#This Row],[Gross Sale]]*OrdersTable[[#This Row],[Discount_Clean2]]</f>
        <v>139.80000000000001</v>
      </c>
      <c r="U3489" s="5">
        <f>OrdersTable[[#This Row],[Gross Sale]]-OrdersTable[[#This Row],[Discount Amount]]</f>
        <v>559.20000000000005</v>
      </c>
      <c r="V3489" s="77">
        <f>INDEX(Products!E:E,MATCH(OrdersTable[[#This Row],[Product ID]],Products!A:A,0))</f>
        <v>238</v>
      </c>
      <c r="W3489" s="77">
        <f>OrdersTable[[#This Row],[Quantity]]*OrdersTable[[#This Row],[Unit Cost]]</f>
        <v>238</v>
      </c>
      <c r="X3489" s="77">
        <f>'Dropdown Lists'!$I$2*(1+OrdersTable[[#This Row],[Returned]])</f>
        <v>60</v>
      </c>
      <c r="Y3489" s="76">
        <f>OrdersTable[[#This Row],[Net Revenue]]-OrdersTable[[#This Row],[COGS]]-OrdersTable[[#This Row],[Shipping Cost]]</f>
        <v>261.20000000000005</v>
      </c>
      <c r="Z3489" s="78">
        <f>IFERROR(OrdersTable[[#This Row],[Profit]]/OrdersTable[[#This Row],[Net Revenue]],0)</f>
        <v>0.46709585121602293</v>
      </c>
      <c r="AA3489" t="s">
        <v>18</v>
      </c>
      <c r="AB3489" s="79">
        <v>45865</v>
      </c>
      <c r="AC3489">
        <f>OrdersTable[[#This Row],[Delivery Date]]-OrdersTable[[#This Row],[Order Date]]</f>
        <v>3</v>
      </c>
      <c r="AD3489" t="str">
        <f>IF(OrdersTable[[#This Row],[Delivery Days]]&lt;=2, "Express (≤2d)", IF(OrdersTable[[#This Row],[Delivery Days]]&lt;=4, "Standard (3-4d)", "Delayed (5d+)"))</f>
        <v>Standard (3-4d)</v>
      </c>
      <c r="AE3489">
        <v>3</v>
      </c>
      <c r="AF3489">
        <v>0</v>
      </c>
    </row>
    <row r="3490" spans="1:32" ht="15" x14ac:dyDescent="0.35">
      <c r="A3490" t="s">
        <v>638</v>
      </c>
      <c r="B3490" s="1">
        <v>45863</v>
      </c>
      <c r="C3490">
        <f>YEAR(OrdersTable[[#This Row],[Order Date]])</f>
        <v>2025</v>
      </c>
      <c r="D3490" s="2">
        <f>DATE(YEAR(OrdersTable[[#This Row],[Order Date]]),MONTH(OrdersTable[[#This Row],[Order Date]]),1)</f>
        <v>45839</v>
      </c>
      <c r="E3490">
        <f>MONTH(OrdersTable[[#This Row],[Order Date]])</f>
        <v>7</v>
      </c>
      <c r="F3490" t="s">
        <v>639</v>
      </c>
      <c r="G3490" t="str">
        <f>IF(OrdersTable[[#This Row],[Order Date]]=_xlfn.MINIFS(Order_Date, Customer_ID, OrdersTable[[#This Row],[Customer ID]]), "New", "Repeat")</f>
        <v>Repeat</v>
      </c>
      <c r="H3490" t="s">
        <v>128</v>
      </c>
      <c r="I3490" t="str">
        <f>INDEX(State!B:B,MATCH(OrdersTable[[#This Row],[State]],State!A:A,0))</f>
        <v>DL</v>
      </c>
      <c r="J3490" t="str">
        <f>INDEX(State!C:C,MATCH(OrdersTable[[#This Row],[State Code]],State!B:B,0))</f>
        <v>North</v>
      </c>
      <c r="K3490" t="s">
        <v>129</v>
      </c>
      <c r="L3490" t="s">
        <v>16</v>
      </c>
      <c r="M3490" t="s">
        <v>29</v>
      </c>
      <c r="N3490" t="str">
        <f>INDEX(Products!B:B,MATCH(OrdersTable[[#This Row],[Product ID]],Products!A:A,0))</f>
        <v>Joggers</v>
      </c>
      <c r="O3490" t="str">
        <f>INDEX(Products!C:C,MATCH(OrdersTable[[#This Row],[Product ID]],Products!A:A,0))</f>
        <v>Apparel</v>
      </c>
      <c r="P3490">
        <v>1</v>
      </c>
      <c r="Q3490" s="5">
        <v>1199</v>
      </c>
      <c r="R3490" s="74">
        <v>0.15</v>
      </c>
      <c r="S3490" s="75">
        <f>OrdersTable[[#This Row],[Quantity]]*OrdersTable[[#This Row],[Unit Price]]</f>
        <v>1199</v>
      </c>
      <c r="T3490" s="5">
        <f>OrdersTable[[#This Row],[Gross Sale]]*OrdersTable[[#This Row],[Discount_Clean2]]</f>
        <v>179.85</v>
      </c>
      <c r="U3490" s="5">
        <f>OrdersTable[[#This Row],[Gross Sale]]-OrdersTable[[#This Row],[Discount Amount]]</f>
        <v>1019.15</v>
      </c>
      <c r="V3490" s="77">
        <f>INDEX(Products!E:E,MATCH(OrdersTable[[#This Row],[Product ID]],Products!A:A,0))</f>
        <v>492</v>
      </c>
      <c r="W3490" s="77">
        <f>OrdersTable[[#This Row],[Quantity]]*OrdersTable[[#This Row],[Unit Cost]]</f>
        <v>492</v>
      </c>
      <c r="X3490" s="77">
        <f>'Dropdown Lists'!$I$2*(1+OrdersTable[[#This Row],[Returned]])</f>
        <v>60</v>
      </c>
      <c r="Y3490" s="76">
        <f>OrdersTable[[#This Row],[Net Revenue]]-OrdersTable[[#This Row],[COGS]]-OrdersTable[[#This Row],[Shipping Cost]]</f>
        <v>467.15</v>
      </c>
      <c r="Z3490" s="78">
        <f>IFERROR(OrdersTable[[#This Row],[Profit]]/OrdersTable[[#This Row],[Net Revenue]],0)</f>
        <v>0.45837217288917231</v>
      </c>
      <c r="AA3490" t="s">
        <v>18</v>
      </c>
      <c r="AB3490" s="79">
        <v>45866</v>
      </c>
      <c r="AC3490">
        <f>OrdersTable[[#This Row],[Delivery Date]]-OrdersTable[[#This Row],[Order Date]]</f>
        <v>3</v>
      </c>
      <c r="AD3490" t="str">
        <f>IF(OrdersTable[[#This Row],[Delivery Days]]&lt;=2, "Express (≤2d)", IF(OrdersTable[[#This Row],[Delivery Days]]&lt;=4, "Standard (3-4d)", "Delayed (5d+)"))</f>
        <v>Standard (3-4d)</v>
      </c>
      <c r="AE3490">
        <v>4</v>
      </c>
      <c r="AF3490">
        <v>0</v>
      </c>
    </row>
    <row r="3491" spans="1:32" ht="15" x14ac:dyDescent="0.35">
      <c r="A3491" t="s">
        <v>2163</v>
      </c>
      <c r="B3491" s="1">
        <v>45863</v>
      </c>
      <c r="C3491">
        <f>YEAR(OrdersTable[[#This Row],[Order Date]])</f>
        <v>2025</v>
      </c>
      <c r="D3491" s="2">
        <f>DATE(YEAR(OrdersTable[[#This Row],[Order Date]]),MONTH(OrdersTable[[#This Row],[Order Date]]),1)</f>
        <v>45839</v>
      </c>
      <c r="E3491">
        <f>MONTH(OrdersTable[[#This Row],[Order Date]])</f>
        <v>7</v>
      </c>
      <c r="F3491" t="s">
        <v>2164</v>
      </c>
      <c r="G3491" t="str">
        <f>IF(OrdersTable[[#This Row],[Order Date]]=_xlfn.MINIFS(Order_Date, Customer_ID, OrdersTable[[#This Row],[Customer ID]]), "New", "Repeat")</f>
        <v>New</v>
      </c>
      <c r="H3491" t="s">
        <v>76</v>
      </c>
      <c r="I3491" t="str">
        <f>INDEX(State!B:B,MATCH(OrdersTable[[#This Row],[State]],State!A:A,0))</f>
        <v>UP</v>
      </c>
      <c r="J3491" t="str">
        <f>INDEX(State!C:C,MATCH(OrdersTable[[#This Row],[State Code]],State!B:B,0))</f>
        <v>North</v>
      </c>
      <c r="K3491" t="s">
        <v>77</v>
      </c>
      <c r="L3491" t="s">
        <v>50</v>
      </c>
      <c r="M3491" t="s">
        <v>160</v>
      </c>
      <c r="N3491" t="str">
        <f>INDEX(Products!B:B,MATCH(OrdersTable[[#This Row],[Product ID]],Products!A:A,0))</f>
        <v>Niacinamide Toner</v>
      </c>
      <c r="O3491" t="str">
        <f>INDEX(Products!C:C,MATCH(OrdersTable[[#This Row],[Product ID]],Products!A:A,0))</f>
        <v>Skincare</v>
      </c>
      <c r="P3491">
        <v>1</v>
      </c>
      <c r="Q3491" s="5">
        <v>399</v>
      </c>
      <c r="R3491" s="74">
        <v>0.25</v>
      </c>
      <c r="S3491" s="75">
        <f>OrdersTable[[#This Row],[Quantity]]*OrdersTable[[#This Row],[Unit Price]]</f>
        <v>399</v>
      </c>
      <c r="T3491" s="5">
        <f>OrdersTable[[#This Row],[Gross Sale]]*OrdersTable[[#This Row],[Discount_Clean2]]</f>
        <v>99.75</v>
      </c>
      <c r="U3491" s="5">
        <f>OrdersTable[[#This Row],[Gross Sale]]-OrdersTable[[#This Row],[Discount Amount]]</f>
        <v>299.25</v>
      </c>
      <c r="V3491" s="77">
        <f>INDEX(Products!E:E,MATCH(OrdersTable[[#This Row],[Product ID]],Products!A:A,0))</f>
        <v>112</v>
      </c>
      <c r="W3491" s="77">
        <f>OrdersTable[[#This Row],[Quantity]]*OrdersTable[[#This Row],[Unit Cost]]</f>
        <v>112</v>
      </c>
      <c r="X3491" s="77">
        <f>'Dropdown Lists'!$I$2*(1+OrdersTable[[#This Row],[Returned]])</f>
        <v>60</v>
      </c>
      <c r="Y3491" s="76">
        <f>OrdersTable[[#This Row],[Net Revenue]]-OrdersTable[[#This Row],[COGS]]-OrdersTable[[#This Row],[Shipping Cost]]</f>
        <v>127.25</v>
      </c>
      <c r="Z3491" s="78">
        <f>IFERROR(OrdersTable[[#This Row],[Profit]]/OrdersTable[[#This Row],[Net Revenue]],0)</f>
        <v>0.42522974101921468</v>
      </c>
      <c r="AA3491" t="s">
        <v>18</v>
      </c>
      <c r="AB3491" s="79">
        <v>45865</v>
      </c>
      <c r="AC3491">
        <f>OrdersTable[[#This Row],[Delivery Date]]-OrdersTable[[#This Row],[Order Date]]</f>
        <v>2</v>
      </c>
      <c r="AD3491" t="str">
        <f>IF(OrdersTable[[#This Row],[Delivery Days]]&lt;=2, "Express (≤2d)", IF(OrdersTable[[#This Row],[Delivery Days]]&lt;=4, "Standard (3-4d)", "Delayed (5d+)"))</f>
        <v>Express (≤2d)</v>
      </c>
      <c r="AE3491">
        <v>3</v>
      </c>
      <c r="AF3491">
        <v>0</v>
      </c>
    </row>
    <row r="3492" spans="1:32" ht="15" x14ac:dyDescent="0.35">
      <c r="A3492" t="s">
        <v>6386</v>
      </c>
      <c r="B3492" s="1">
        <v>45863</v>
      </c>
      <c r="C3492">
        <f>YEAR(OrdersTable[[#This Row],[Order Date]])</f>
        <v>2025</v>
      </c>
      <c r="D3492" s="2">
        <f>DATE(YEAR(OrdersTable[[#This Row],[Order Date]]),MONTH(OrdersTable[[#This Row],[Order Date]]),1)</f>
        <v>45839</v>
      </c>
      <c r="E3492">
        <f>MONTH(OrdersTable[[#This Row],[Order Date]])</f>
        <v>7</v>
      </c>
      <c r="F3492" t="s">
        <v>874</v>
      </c>
      <c r="G3492" t="str">
        <f>IF(OrdersTable[[#This Row],[Order Date]]=_xlfn.MINIFS(Order_Date, Customer_ID, OrdersTable[[#This Row],[Customer ID]]), "New", "Repeat")</f>
        <v>New</v>
      </c>
      <c r="H3492" t="s">
        <v>43</v>
      </c>
      <c r="I3492" t="str">
        <f>INDEX(State!B:B,MATCH(OrdersTable[[#This Row],[State]],State!A:A,0))</f>
        <v>MP</v>
      </c>
      <c r="J3492" t="str">
        <f>INDEX(State!C:C,MATCH(OrdersTable[[#This Row],[State Code]],State!B:B,0))</f>
        <v>West</v>
      </c>
      <c r="K3492" t="s">
        <v>250</v>
      </c>
      <c r="L3492" t="s">
        <v>39</v>
      </c>
      <c r="M3492" t="s">
        <v>34</v>
      </c>
      <c r="N3492" t="str">
        <f>INDEX(Products!B:B,MATCH(OrdersTable[[#This Row],[Product ID]],Products!A:A,0))</f>
        <v>Flip Flops</v>
      </c>
      <c r="O3492" t="str">
        <f>INDEX(Products!C:C,MATCH(OrdersTable[[#This Row],[Product ID]],Products!A:A,0))</f>
        <v>Footwear</v>
      </c>
      <c r="P3492">
        <v>2</v>
      </c>
      <c r="Q3492" s="5">
        <v>399</v>
      </c>
      <c r="R3492" s="74">
        <v>0.1</v>
      </c>
      <c r="S3492" s="75">
        <f>OrdersTable[[#This Row],[Quantity]]*OrdersTable[[#This Row],[Unit Price]]</f>
        <v>798</v>
      </c>
      <c r="T3492" s="5">
        <f>OrdersTable[[#This Row],[Gross Sale]]*OrdersTable[[#This Row],[Discount_Clean2]]</f>
        <v>79.800000000000011</v>
      </c>
      <c r="U3492" s="5">
        <f>OrdersTable[[#This Row],[Gross Sale]]-OrdersTable[[#This Row],[Discount Amount]]</f>
        <v>718.2</v>
      </c>
      <c r="V3492" s="77">
        <f>INDEX(Products!E:E,MATCH(OrdersTable[[#This Row],[Product ID]],Products!A:A,0))</f>
        <v>152</v>
      </c>
      <c r="W3492" s="77">
        <f>OrdersTable[[#This Row],[Quantity]]*OrdersTable[[#This Row],[Unit Cost]]</f>
        <v>304</v>
      </c>
      <c r="X3492" s="77">
        <f>'Dropdown Lists'!$I$2*(1+OrdersTable[[#This Row],[Returned]])</f>
        <v>120</v>
      </c>
      <c r="Y3492" s="76">
        <f>OrdersTable[[#This Row],[Net Revenue]]-OrdersTable[[#This Row],[COGS]]-OrdersTable[[#This Row],[Shipping Cost]]</f>
        <v>294.20000000000005</v>
      </c>
      <c r="Z3492" s="78">
        <f>IFERROR(OrdersTable[[#This Row],[Profit]]/OrdersTable[[#This Row],[Net Revenue]],0)</f>
        <v>0.40963519910888335</v>
      </c>
      <c r="AA3492" t="s">
        <v>18</v>
      </c>
      <c r="AB3492" s="79">
        <v>45867</v>
      </c>
      <c r="AC3492">
        <f>OrdersTable[[#This Row],[Delivery Date]]-OrdersTable[[#This Row],[Order Date]]</f>
        <v>4</v>
      </c>
      <c r="AD3492" t="str">
        <f>IF(OrdersTable[[#This Row],[Delivery Days]]&lt;=2, "Express (≤2d)", IF(OrdersTable[[#This Row],[Delivery Days]]&lt;=4, "Standard (3-4d)", "Delayed (5d+)"))</f>
        <v>Standard (3-4d)</v>
      </c>
      <c r="AE3492">
        <v>4</v>
      </c>
      <c r="AF3492">
        <v>1</v>
      </c>
    </row>
    <row r="3493" spans="1:32" ht="15" x14ac:dyDescent="0.35">
      <c r="A3493" t="s">
        <v>1759</v>
      </c>
      <c r="B3493" s="1">
        <v>45863</v>
      </c>
      <c r="C3493">
        <f>YEAR(OrdersTable[[#This Row],[Order Date]])</f>
        <v>2025</v>
      </c>
      <c r="D3493" s="2">
        <f>DATE(YEAR(OrdersTable[[#This Row],[Order Date]]),MONTH(OrdersTable[[#This Row],[Order Date]]),1)</f>
        <v>45839</v>
      </c>
      <c r="E3493">
        <f>MONTH(OrdersTable[[#This Row],[Order Date]])</f>
        <v>7</v>
      </c>
      <c r="F3493" t="s">
        <v>1760</v>
      </c>
      <c r="G3493" t="str">
        <f>IF(OrdersTable[[#This Row],[Order Date]]=_xlfn.MINIFS(Order_Date, Customer_ID, OrdersTable[[#This Row],[Customer ID]]), "New", "Repeat")</f>
        <v>Repeat</v>
      </c>
      <c r="H3493" t="s">
        <v>482</v>
      </c>
      <c r="I3493" t="str">
        <f>INDEX(State!B:B,MATCH(OrdersTable[[#This Row],[State]],State!A:A,0))</f>
        <v>CG</v>
      </c>
      <c r="J3493" t="str">
        <f>INDEX(State!C:C,MATCH(OrdersTable[[#This Row],[State Code]],State!B:B,0))</f>
        <v>East</v>
      </c>
      <c r="K3493" t="s">
        <v>483</v>
      </c>
      <c r="L3493" t="s">
        <v>65</v>
      </c>
      <c r="M3493" t="s">
        <v>34</v>
      </c>
      <c r="N3493" t="str">
        <f>INDEX(Products!B:B,MATCH(OrdersTable[[#This Row],[Product ID]],Products!A:A,0))</f>
        <v>Flip Flops</v>
      </c>
      <c r="O3493" t="str">
        <f>INDEX(Products!C:C,MATCH(OrdersTable[[#This Row],[Product ID]],Products!A:A,0))</f>
        <v>Footwear</v>
      </c>
      <c r="P3493">
        <v>1</v>
      </c>
      <c r="Q3493" s="5">
        <v>399</v>
      </c>
      <c r="R3493" s="74">
        <v>0.2</v>
      </c>
      <c r="S3493" s="75">
        <f>OrdersTable[[#This Row],[Quantity]]*OrdersTable[[#This Row],[Unit Price]]</f>
        <v>399</v>
      </c>
      <c r="T3493" s="5">
        <f>OrdersTable[[#This Row],[Gross Sale]]*OrdersTable[[#This Row],[Discount_Clean2]]</f>
        <v>79.800000000000011</v>
      </c>
      <c r="U3493" s="5">
        <f>OrdersTable[[#This Row],[Gross Sale]]-OrdersTable[[#This Row],[Discount Amount]]</f>
        <v>319.2</v>
      </c>
      <c r="V3493" s="77">
        <f>INDEX(Products!E:E,MATCH(OrdersTable[[#This Row],[Product ID]],Products!A:A,0))</f>
        <v>152</v>
      </c>
      <c r="W3493" s="77">
        <f>OrdersTable[[#This Row],[Quantity]]*OrdersTable[[#This Row],[Unit Cost]]</f>
        <v>152</v>
      </c>
      <c r="X3493" s="77">
        <f>'Dropdown Lists'!$I$2*(1+OrdersTable[[#This Row],[Returned]])</f>
        <v>60</v>
      </c>
      <c r="Y3493" s="76">
        <f>OrdersTable[[#This Row],[Net Revenue]]-OrdersTable[[#This Row],[COGS]]-OrdersTable[[#This Row],[Shipping Cost]]</f>
        <v>107.19999999999999</v>
      </c>
      <c r="Z3493" s="78">
        <f>IFERROR(OrdersTable[[#This Row],[Profit]]/OrdersTable[[#This Row],[Net Revenue]],0)</f>
        <v>0.33583959899749372</v>
      </c>
      <c r="AA3493" t="s">
        <v>18</v>
      </c>
      <c r="AB3493" s="79">
        <v>45868</v>
      </c>
      <c r="AC3493">
        <f>OrdersTable[[#This Row],[Delivery Date]]-OrdersTable[[#This Row],[Order Date]]</f>
        <v>5</v>
      </c>
      <c r="AD3493" t="str">
        <f>IF(OrdersTable[[#This Row],[Delivery Days]]&lt;=2, "Express (≤2d)", IF(OrdersTable[[#This Row],[Delivery Days]]&lt;=4, "Standard (3-4d)", "Delayed (5d+)"))</f>
        <v>Delayed (5d+)</v>
      </c>
      <c r="AF3493">
        <v>0</v>
      </c>
    </row>
    <row r="3494" spans="1:32" ht="15" x14ac:dyDescent="0.35">
      <c r="A3494" t="s">
        <v>341</v>
      </c>
      <c r="B3494" s="1">
        <v>45863</v>
      </c>
      <c r="C3494">
        <f>YEAR(OrdersTable[[#This Row],[Order Date]])</f>
        <v>2025</v>
      </c>
      <c r="D3494" s="2">
        <f>DATE(YEAR(OrdersTable[[#This Row],[Order Date]]),MONTH(OrdersTable[[#This Row],[Order Date]]),1)</f>
        <v>45839</v>
      </c>
      <c r="E3494">
        <f>MONTH(OrdersTable[[#This Row],[Order Date]])</f>
        <v>7</v>
      </c>
      <c r="F3494" t="s">
        <v>342</v>
      </c>
      <c r="G3494" t="str">
        <f>IF(OrdersTable[[#This Row],[Order Date]]=_xlfn.MINIFS(Order_Date, Customer_ID, OrdersTable[[#This Row],[Customer ID]]), "New", "Repeat")</f>
        <v>Repeat</v>
      </c>
      <c r="H3494" t="s">
        <v>27</v>
      </c>
      <c r="I3494" t="str">
        <f>INDEX(State!B:B,MATCH(OrdersTable[[#This Row],[State]],State!A:A,0))</f>
        <v>WB</v>
      </c>
      <c r="J3494" t="str">
        <f>INDEX(State!C:C,MATCH(OrdersTable[[#This Row],[State Code]],State!B:B,0))</f>
        <v>East</v>
      </c>
      <c r="K3494" t="s">
        <v>28</v>
      </c>
      <c r="L3494" t="s">
        <v>23</v>
      </c>
      <c r="M3494" t="s">
        <v>66</v>
      </c>
      <c r="N3494" t="str">
        <f>INDEX(Products!B:B,MATCH(OrdersTable[[#This Row],[Product ID]],Products!A:A,0))</f>
        <v>Sunscreen SPF 50</v>
      </c>
      <c r="O3494" t="str">
        <f>INDEX(Products!C:C,MATCH(OrdersTable[[#This Row],[Product ID]],Products!A:A,0))</f>
        <v>Skincare</v>
      </c>
      <c r="P3494">
        <v>1</v>
      </c>
      <c r="Q3494" s="5">
        <v>449</v>
      </c>
      <c r="R3494" s="74">
        <v>0.05</v>
      </c>
      <c r="S3494" s="75">
        <f>OrdersTable[[#This Row],[Quantity]]*OrdersTable[[#This Row],[Unit Price]]</f>
        <v>449</v>
      </c>
      <c r="T3494" s="5">
        <f>OrdersTable[[#This Row],[Gross Sale]]*OrdersTable[[#This Row],[Discount_Clean2]]</f>
        <v>22.450000000000003</v>
      </c>
      <c r="U3494" s="5">
        <f>OrdersTable[[#This Row],[Gross Sale]]-OrdersTable[[#This Row],[Discount Amount]]</f>
        <v>426.55</v>
      </c>
      <c r="V3494" s="77">
        <f>INDEX(Products!E:E,MATCH(OrdersTable[[#This Row],[Product ID]],Products!A:A,0))</f>
        <v>144</v>
      </c>
      <c r="W3494" s="77">
        <f>OrdersTable[[#This Row],[Quantity]]*OrdersTable[[#This Row],[Unit Cost]]</f>
        <v>144</v>
      </c>
      <c r="X3494" s="77">
        <f>'Dropdown Lists'!$I$2*(1+OrdersTable[[#This Row],[Returned]])</f>
        <v>60</v>
      </c>
      <c r="Y3494" s="76">
        <f>OrdersTable[[#This Row],[Net Revenue]]-OrdersTable[[#This Row],[COGS]]-OrdersTable[[#This Row],[Shipping Cost]]</f>
        <v>222.55</v>
      </c>
      <c r="Z3494" s="78">
        <f>IFERROR(OrdersTable[[#This Row],[Profit]]/OrdersTable[[#This Row],[Net Revenue]],0)</f>
        <v>0.52174422693705313</v>
      </c>
      <c r="AA3494" t="s">
        <v>18</v>
      </c>
      <c r="AB3494" s="79">
        <v>45867</v>
      </c>
      <c r="AC3494">
        <f>OrdersTable[[#This Row],[Delivery Date]]-OrdersTable[[#This Row],[Order Date]]</f>
        <v>4</v>
      </c>
      <c r="AD3494" t="str">
        <f>IF(OrdersTable[[#This Row],[Delivery Days]]&lt;=2, "Express (≤2d)", IF(OrdersTable[[#This Row],[Delivery Days]]&lt;=4, "Standard (3-4d)", "Delayed (5d+)"))</f>
        <v>Standard (3-4d)</v>
      </c>
      <c r="AE3494">
        <v>4</v>
      </c>
      <c r="AF3494">
        <v>0</v>
      </c>
    </row>
    <row r="3495" spans="1:32" ht="15" x14ac:dyDescent="0.35">
      <c r="A3495" t="s">
        <v>6607</v>
      </c>
      <c r="B3495" s="1">
        <v>45863</v>
      </c>
      <c r="C3495">
        <f>YEAR(OrdersTable[[#This Row],[Order Date]])</f>
        <v>2025</v>
      </c>
      <c r="D3495" s="2">
        <f>DATE(YEAR(OrdersTable[[#This Row],[Order Date]]),MONTH(OrdersTable[[#This Row],[Order Date]]),1)</f>
        <v>45839</v>
      </c>
      <c r="E3495">
        <f>MONTH(OrdersTable[[#This Row],[Order Date]])</f>
        <v>7</v>
      </c>
      <c r="F3495" t="s">
        <v>2723</v>
      </c>
      <c r="G3495" t="str">
        <f>IF(OrdersTable[[#This Row],[Order Date]]=_xlfn.MINIFS(Order_Date, Customer_ID, OrdersTable[[#This Row],[Customer ID]]), "New", "Repeat")</f>
        <v>Repeat</v>
      </c>
      <c r="H3495" t="s">
        <v>27</v>
      </c>
      <c r="I3495" t="str">
        <f>INDEX(State!B:B,MATCH(OrdersTable[[#This Row],[State]],State!A:A,0))</f>
        <v>WB</v>
      </c>
      <c r="J3495" t="str">
        <f>INDEX(State!C:C,MATCH(OrdersTable[[#This Row],[State Code]],State!B:B,0))</f>
        <v>East</v>
      </c>
      <c r="K3495" t="s">
        <v>28</v>
      </c>
      <c r="L3495" t="s">
        <v>50</v>
      </c>
      <c r="M3495" t="s">
        <v>106</v>
      </c>
      <c r="N3495" t="str">
        <f>INDEX(Products!B:B,MATCH(OrdersTable[[#This Row],[Product ID]],Products!A:A,0))</f>
        <v>Keratin Hair Mask</v>
      </c>
      <c r="O3495" t="str">
        <f>INDEX(Products!C:C,MATCH(OrdersTable[[#This Row],[Product ID]],Products!A:A,0))</f>
        <v>Haircare</v>
      </c>
      <c r="P3495">
        <v>3</v>
      </c>
      <c r="Q3495" s="5">
        <v>549</v>
      </c>
      <c r="R3495" s="74">
        <v>0.25</v>
      </c>
      <c r="S3495" s="75">
        <f>OrdersTable[[#This Row],[Quantity]]*OrdersTable[[#This Row],[Unit Price]]</f>
        <v>1647</v>
      </c>
      <c r="T3495" s="5">
        <f>OrdersTable[[#This Row],[Gross Sale]]*OrdersTable[[#This Row],[Discount_Clean2]]</f>
        <v>411.75</v>
      </c>
      <c r="U3495" s="5">
        <f>OrdersTable[[#This Row],[Gross Sale]]-OrdersTable[[#This Row],[Discount Amount]]</f>
        <v>1235.25</v>
      </c>
      <c r="V3495" s="77">
        <f>INDEX(Products!E:E,MATCH(OrdersTable[[#This Row],[Product ID]],Products!A:A,0))</f>
        <v>170</v>
      </c>
      <c r="W3495" s="77">
        <f>OrdersTable[[#This Row],[Quantity]]*OrdersTable[[#This Row],[Unit Cost]]</f>
        <v>510</v>
      </c>
      <c r="X3495" s="77">
        <f>'Dropdown Lists'!$I$2*(1+OrdersTable[[#This Row],[Returned]])</f>
        <v>60</v>
      </c>
      <c r="Y3495" s="76">
        <f>OrdersTable[[#This Row],[Net Revenue]]-OrdersTable[[#This Row],[COGS]]-OrdersTable[[#This Row],[Shipping Cost]]</f>
        <v>665.25</v>
      </c>
      <c r="Z3495" s="78">
        <f>IFERROR(OrdersTable[[#This Row],[Profit]]/OrdersTable[[#This Row],[Net Revenue]],0)</f>
        <v>0.53855494839101392</v>
      </c>
      <c r="AA3495" t="s">
        <v>18</v>
      </c>
      <c r="AB3495" s="79">
        <v>45865</v>
      </c>
      <c r="AC3495">
        <f>OrdersTable[[#This Row],[Delivery Date]]-OrdersTable[[#This Row],[Order Date]]</f>
        <v>2</v>
      </c>
      <c r="AD3495" t="str">
        <f>IF(OrdersTable[[#This Row],[Delivery Days]]&lt;=2, "Express (≤2d)", IF(OrdersTable[[#This Row],[Delivery Days]]&lt;=4, "Standard (3-4d)", "Delayed (5d+)"))</f>
        <v>Express (≤2d)</v>
      </c>
      <c r="AE3495">
        <v>4</v>
      </c>
      <c r="AF3495">
        <v>0</v>
      </c>
    </row>
    <row r="3496" spans="1:32" ht="15" x14ac:dyDescent="0.35">
      <c r="A3496" t="s">
        <v>6188</v>
      </c>
      <c r="B3496" s="1">
        <v>45863</v>
      </c>
      <c r="C3496">
        <f>YEAR(OrdersTable[[#This Row],[Order Date]])</f>
        <v>2025</v>
      </c>
      <c r="D3496" s="2">
        <f>DATE(YEAR(OrdersTable[[#This Row],[Order Date]]),MONTH(OrdersTable[[#This Row],[Order Date]]),1)</f>
        <v>45839</v>
      </c>
      <c r="E3496">
        <f>MONTH(OrdersTable[[#This Row],[Order Date]])</f>
        <v>7</v>
      </c>
      <c r="F3496" t="s">
        <v>6189</v>
      </c>
      <c r="G3496" t="str">
        <f>IF(OrdersTable[[#This Row],[Order Date]]=_xlfn.MINIFS(Order_Date, Customer_ID, OrdersTable[[#This Row],[Customer ID]]), "New", "Repeat")</f>
        <v>Repeat</v>
      </c>
      <c r="H3496" t="s">
        <v>90</v>
      </c>
      <c r="I3496" t="str">
        <f>INDEX(State!B:B,MATCH(OrdersTable[[#This Row],[State]],State!A:A,0))</f>
        <v>GA</v>
      </c>
      <c r="J3496" t="str">
        <f>INDEX(State!C:C,MATCH(OrdersTable[[#This Row],[State Code]],State!B:B,0))</f>
        <v>West</v>
      </c>
      <c r="K3496" t="s">
        <v>91</v>
      </c>
      <c r="L3496" t="s">
        <v>65</v>
      </c>
      <c r="M3496" t="s">
        <v>423</v>
      </c>
      <c r="N3496" t="str">
        <f>INDEX(Products!B:B,MATCH(OrdersTable[[#This Row],[Product ID]],Products!A:A,0))</f>
        <v>Power Bank 20000mAh</v>
      </c>
      <c r="O3496" t="str">
        <f>INDEX(Products!C:C,MATCH(OrdersTable[[#This Row],[Product ID]],Products!A:A,0))</f>
        <v>Electronics</v>
      </c>
      <c r="P3496">
        <v>2</v>
      </c>
      <c r="Q3496" s="5">
        <v>1799</v>
      </c>
      <c r="R3496" s="74">
        <v>0.35</v>
      </c>
      <c r="S3496" s="75">
        <f>OrdersTable[[#This Row],[Quantity]]*OrdersTable[[#This Row],[Unit Price]]</f>
        <v>3598</v>
      </c>
      <c r="T3496" s="5">
        <f>OrdersTable[[#This Row],[Gross Sale]]*OrdersTable[[#This Row],[Discount_Clean2]]</f>
        <v>1259.3</v>
      </c>
      <c r="U3496" s="5">
        <f>OrdersTable[[#This Row],[Gross Sale]]-OrdersTable[[#This Row],[Discount Amount]]</f>
        <v>2338.6999999999998</v>
      </c>
      <c r="V3496" s="77">
        <f>INDEX(Products!E:E,MATCH(OrdersTable[[#This Row],[Product ID]],Products!A:A,0))</f>
        <v>1079</v>
      </c>
      <c r="W3496" s="77">
        <f>OrdersTable[[#This Row],[Quantity]]*OrdersTable[[#This Row],[Unit Cost]]</f>
        <v>2158</v>
      </c>
      <c r="X3496" s="77">
        <f>'Dropdown Lists'!$I$2*(1+OrdersTable[[#This Row],[Returned]])</f>
        <v>60</v>
      </c>
      <c r="Y3496" s="76">
        <f>OrdersTable[[#This Row],[Net Revenue]]-OrdersTable[[#This Row],[COGS]]-OrdersTable[[#This Row],[Shipping Cost]]</f>
        <v>120.69999999999982</v>
      </c>
      <c r="Z3496" s="78">
        <f>IFERROR(OrdersTable[[#This Row],[Profit]]/OrdersTable[[#This Row],[Net Revenue]],0)</f>
        <v>5.1609868730491226E-2</v>
      </c>
      <c r="AA3496" t="s">
        <v>18</v>
      </c>
      <c r="AB3496" s="79">
        <v>45866</v>
      </c>
      <c r="AC3496">
        <f>OrdersTable[[#This Row],[Delivery Date]]-OrdersTable[[#This Row],[Order Date]]</f>
        <v>3</v>
      </c>
      <c r="AD3496" t="str">
        <f>IF(OrdersTable[[#This Row],[Delivery Days]]&lt;=2, "Express (≤2d)", IF(OrdersTable[[#This Row],[Delivery Days]]&lt;=4, "Standard (3-4d)", "Delayed (5d+)"))</f>
        <v>Standard (3-4d)</v>
      </c>
      <c r="AE3496">
        <v>4</v>
      </c>
      <c r="AF3496">
        <v>0</v>
      </c>
    </row>
    <row r="3497" spans="1:32" ht="15" x14ac:dyDescent="0.35">
      <c r="A3497" t="s">
        <v>1761</v>
      </c>
      <c r="B3497" s="1">
        <v>45863</v>
      </c>
      <c r="C3497">
        <f>YEAR(OrdersTable[[#This Row],[Order Date]])</f>
        <v>2025</v>
      </c>
      <c r="D3497" s="2">
        <f>DATE(YEAR(OrdersTable[[#This Row],[Order Date]]),MONTH(OrdersTable[[#This Row],[Order Date]]),1)</f>
        <v>45839</v>
      </c>
      <c r="E3497">
        <f>MONTH(OrdersTable[[#This Row],[Order Date]])</f>
        <v>7</v>
      </c>
      <c r="F3497" t="s">
        <v>1762</v>
      </c>
      <c r="G3497" t="str">
        <f>IF(OrdersTable[[#This Row],[Order Date]]=_xlfn.MINIFS(Order_Date, Customer_ID, OrdersTable[[#This Row],[Customer ID]]), "New", "Repeat")</f>
        <v>Repeat</v>
      </c>
      <c r="H3497" t="s">
        <v>59</v>
      </c>
      <c r="I3497" t="str">
        <f>INDEX(State!B:B,MATCH(OrdersTable[[#This Row],[State]],State!A:A,0))</f>
        <v>TN</v>
      </c>
      <c r="J3497" t="str">
        <f>INDEX(State!C:C,MATCH(OrdersTable[[#This Row],[State Code]],State!B:B,0))</f>
        <v>South</v>
      </c>
      <c r="K3497" t="s">
        <v>60</v>
      </c>
      <c r="L3497" t="s">
        <v>65</v>
      </c>
      <c r="M3497" t="s">
        <v>66</v>
      </c>
      <c r="N3497" t="str">
        <f>INDEX(Products!B:B,MATCH(OrdersTable[[#This Row],[Product ID]],Products!A:A,0))</f>
        <v>Sunscreen SPF 50</v>
      </c>
      <c r="O3497" t="str">
        <f>INDEX(Products!C:C,MATCH(OrdersTable[[#This Row],[Product ID]],Products!A:A,0))</f>
        <v>Skincare</v>
      </c>
      <c r="P3497">
        <v>1</v>
      </c>
      <c r="Q3497" s="5">
        <v>449</v>
      </c>
      <c r="R3497" s="74">
        <v>0.1</v>
      </c>
      <c r="S3497" s="75">
        <f>OrdersTable[[#This Row],[Quantity]]*OrdersTable[[#This Row],[Unit Price]]</f>
        <v>449</v>
      </c>
      <c r="T3497" s="5">
        <f>OrdersTable[[#This Row],[Gross Sale]]*OrdersTable[[#This Row],[Discount_Clean2]]</f>
        <v>44.900000000000006</v>
      </c>
      <c r="U3497" s="5">
        <f>OrdersTable[[#This Row],[Gross Sale]]-OrdersTable[[#This Row],[Discount Amount]]</f>
        <v>404.1</v>
      </c>
      <c r="V3497" s="77">
        <f>INDEX(Products!E:E,MATCH(OrdersTable[[#This Row],[Product ID]],Products!A:A,0))</f>
        <v>144</v>
      </c>
      <c r="W3497" s="77">
        <f>OrdersTable[[#This Row],[Quantity]]*OrdersTable[[#This Row],[Unit Cost]]</f>
        <v>144</v>
      </c>
      <c r="X3497" s="77">
        <f>'Dropdown Lists'!$I$2*(1+OrdersTable[[#This Row],[Returned]])</f>
        <v>60</v>
      </c>
      <c r="Y3497" s="76">
        <f>OrdersTable[[#This Row],[Net Revenue]]-OrdersTable[[#This Row],[COGS]]-OrdersTable[[#This Row],[Shipping Cost]]</f>
        <v>200.10000000000002</v>
      </c>
      <c r="Z3497" s="78">
        <f>IFERROR(OrdersTable[[#This Row],[Profit]]/OrdersTable[[#This Row],[Net Revenue]],0)</f>
        <v>0.4951744617668894</v>
      </c>
      <c r="AA3497" t="s">
        <v>18</v>
      </c>
      <c r="AB3497" s="79">
        <v>45866</v>
      </c>
      <c r="AC3497">
        <f>OrdersTable[[#This Row],[Delivery Date]]-OrdersTable[[#This Row],[Order Date]]</f>
        <v>3</v>
      </c>
      <c r="AD3497" t="str">
        <f>IF(OrdersTable[[#This Row],[Delivery Days]]&lt;=2, "Express (≤2d)", IF(OrdersTable[[#This Row],[Delivery Days]]&lt;=4, "Standard (3-4d)", "Delayed (5d+)"))</f>
        <v>Standard (3-4d)</v>
      </c>
      <c r="AF3497">
        <v>0</v>
      </c>
    </row>
    <row r="3498" spans="1:32" ht="15" x14ac:dyDescent="0.35">
      <c r="A3498" t="s">
        <v>4713</v>
      </c>
      <c r="B3498" s="1">
        <v>45864</v>
      </c>
      <c r="C3498">
        <f>YEAR(OrdersTable[[#This Row],[Order Date]])</f>
        <v>2025</v>
      </c>
      <c r="D3498" s="2">
        <f>DATE(YEAR(OrdersTable[[#This Row],[Order Date]]),MONTH(OrdersTable[[#This Row],[Order Date]]),1)</f>
        <v>45839</v>
      </c>
      <c r="E3498">
        <f>MONTH(OrdersTable[[#This Row],[Order Date]])</f>
        <v>7</v>
      </c>
      <c r="F3498" t="s">
        <v>2887</v>
      </c>
      <c r="G3498" t="str">
        <f>IF(OrdersTable[[#This Row],[Order Date]]=_xlfn.MINIFS(Order_Date, Customer_ID, OrdersTable[[#This Row],[Customer ID]]), "New", "Repeat")</f>
        <v>Repeat</v>
      </c>
      <c r="H3498" t="s">
        <v>54</v>
      </c>
      <c r="I3498" t="str">
        <f>INDEX(State!B:B,MATCH(OrdersTable[[#This Row],[State]],State!A:A,0))</f>
        <v>RJ</v>
      </c>
      <c r="J3498" t="str">
        <f>INDEX(State!C:C,MATCH(OrdersTable[[#This Row],[State Code]],State!B:B,0))</f>
        <v>North</v>
      </c>
      <c r="K3498" t="s">
        <v>55</v>
      </c>
      <c r="L3498" t="s">
        <v>39</v>
      </c>
      <c r="M3498" t="s">
        <v>45</v>
      </c>
      <c r="N3498" t="str">
        <f>INDEX(Products!B:B,MATCH(OrdersTable[[#This Row],[Product ID]],Products!A:A,0))</f>
        <v>Argan Shampoo</v>
      </c>
      <c r="O3498" t="str">
        <f>INDEX(Products!C:C,MATCH(OrdersTable[[#This Row],[Product ID]],Products!A:A,0))</f>
        <v>Haircare</v>
      </c>
      <c r="P3498">
        <v>1</v>
      </c>
      <c r="Q3498" s="5">
        <v>449</v>
      </c>
      <c r="R3498" s="74">
        <v>0</v>
      </c>
      <c r="S3498" s="75">
        <f>OrdersTable[[#This Row],[Quantity]]*OrdersTable[[#This Row],[Unit Price]]</f>
        <v>449</v>
      </c>
      <c r="T3498" s="5">
        <f>OrdersTable[[#This Row],[Gross Sale]]*OrdersTable[[#This Row],[Discount_Clean2]]</f>
        <v>0</v>
      </c>
      <c r="U3498" s="5">
        <f>OrdersTable[[#This Row],[Gross Sale]]-OrdersTable[[#This Row],[Discount Amount]]</f>
        <v>449</v>
      </c>
      <c r="V3498" s="77">
        <f>INDEX(Products!E:E,MATCH(OrdersTable[[#This Row],[Product ID]],Products!A:A,0))</f>
        <v>148</v>
      </c>
      <c r="W3498" s="77">
        <f>OrdersTable[[#This Row],[Quantity]]*OrdersTable[[#This Row],[Unit Cost]]</f>
        <v>148</v>
      </c>
      <c r="X3498" s="77">
        <f>'Dropdown Lists'!$I$2*(1+OrdersTable[[#This Row],[Returned]])</f>
        <v>60</v>
      </c>
      <c r="Y3498" s="76">
        <f>OrdersTable[[#This Row],[Net Revenue]]-OrdersTable[[#This Row],[COGS]]-OrdersTable[[#This Row],[Shipping Cost]]</f>
        <v>241</v>
      </c>
      <c r="Z3498" s="78">
        <f>IFERROR(OrdersTable[[#This Row],[Profit]]/OrdersTable[[#This Row],[Net Revenue]],0)</f>
        <v>0.53674832962138086</v>
      </c>
      <c r="AA3498" t="s">
        <v>4450</v>
      </c>
      <c r="AB3498" s="79">
        <v>45870</v>
      </c>
      <c r="AC3498">
        <f>OrdersTable[[#This Row],[Delivery Date]]-OrdersTable[[#This Row],[Order Date]]</f>
        <v>6</v>
      </c>
      <c r="AD3498" t="str">
        <f>IF(OrdersTable[[#This Row],[Delivery Days]]&lt;=2, "Express (≤2d)", IF(OrdersTable[[#This Row],[Delivery Days]]&lt;=4, "Standard (3-4d)", "Delayed (5d+)"))</f>
        <v>Delayed (5d+)</v>
      </c>
      <c r="AE3498">
        <v>3</v>
      </c>
      <c r="AF3498">
        <v>0</v>
      </c>
    </row>
    <row r="3499" spans="1:32" ht="15" x14ac:dyDescent="0.35">
      <c r="A3499" t="s">
        <v>5533</v>
      </c>
      <c r="B3499" s="1">
        <v>45864</v>
      </c>
      <c r="C3499">
        <f>YEAR(OrdersTable[[#This Row],[Order Date]])</f>
        <v>2025</v>
      </c>
      <c r="D3499" s="2">
        <f>DATE(YEAR(OrdersTable[[#This Row],[Order Date]]),MONTH(OrdersTable[[#This Row],[Order Date]]),1)</f>
        <v>45839</v>
      </c>
      <c r="E3499">
        <f>MONTH(OrdersTable[[#This Row],[Order Date]])</f>
        <v>7</v>
      </c>
      <c r="F3499" t="s">
        <v>1002</v>
      </c>
      <c r="G3499" t="str">
        <f>IF(OrdersTable[[#This Row],[Order Date]]=_xlfn.MINIFS(Order_Date, Customer_ID, OrdersTable[[#This Row],[Customer ID]]), "New", "Repeat")</f>
        <v>Repeat</v>
      </c>
      <c r="H3499" t="s">
        <v>27</v>
      </c>
      <c r="I3499" t="str">
        <f>INDEX(State!B:B,MATCH(OrdersTable[[#This Row],[State]],State!A:A,0))</f>
        <v>WB</v>
      </c>
      <c r="J3499" t="str">
        <f>INDEX(State!C:C,MATCH(OrdersTable[[#This Row],[State Code]],State!B:B,0))</f>
        <v>East</v>
      </c>
      <c r="K3499" t="s">
        <v>28</v>
      </c>
      <c r="L3499" t="s">
        <v>65</v>
      </c>
      <c r="M3499" t="s">
        <v>109</v>
      </c>
      <c r="N3499" t="str">
        <f>INDEX(Products!B:B,MATCH(OrdersTable[[#This Row],[Product ID]],Products!A:A,0))</f>
        <v>Onion Hair Oil</v>
      </c>
      <c r="O3499" t="str">
        <f>INDEX(Products!C:C,MATCH(OrdersTable[[#This Row],[Product ID]],Products!A:A,0))</f>
        <v>Haircare</v>
      </c>
      <c r="P3499">
        <v>2</v>
      </c>
      <c r="Q3499" s="5">
        <v>349</v>
      </c>
      <c r="R3499" s="74">
        <v>0.3</v>
      </c>
      <c r="S3499" s="75">
        <f>OrdersTable[[#This Row],[Quantity]]*OrdersTable[[#This Row],[Unit Price]]</f>
        <v>698</v>
      </c>
      <c r="T3499" s="5">
        <f>OrdersTable[[#This Row],[Gross Sale]]*OrdersTable[[#This Row],[Discount_Clean2]]</f>
        <v>209.4</v>
      </c>
      <c r="U3499" s="5">
        <f>OrdersTable[[#This Row],[Gross Sale]]-OrdersTable[[#This Row],[Discount Amount]]</f>
        <v>488.6</v>
      </c>
      <c r="V3499" s="77">
        <f>INDEX(Products!E:E,MATCH(OrdersTable[[#This Row],[Product ID]],Products!A:A,0))</f>
        <v>105</v>
      </c>
      <c r="W3499" s="77">
        <f>OrdersTable[[#This Row],[Quantity]]*OrdersTable[[#This Row],[Unit Cost]]</f>
        <v>210</v>
      </c>
      <c r="X3499" s="77">
        <f>'Dropdown Lists'!$I$2*(1+OrdersTable[[#This Row],[Returned]])</f>
        <v>60</v>
      </c>
      <c r="Y3499" s="76">
        <f>OrdersTable[[#This Row],[Net Revenue]]-OrdersTable[[#This Row],[COGS]]-OrdersTable[[#This Row],[Shipping Cost]]</f>
        <v>218.60000000000002</v>
      </c>
      <c r="Z3499" s="78">
        <f>IFERROR(OrdersTable[[#This Row],[Profit]]/OrdersTable[[#This Row],[Net Revenue]],0)</f>
        <v>0.44740073679901765</v>
      </c>
      <c r="AA3499" t="s">
        <v>2522</v>
      </c>
      <c r="AB3499" s="79">
        <v>45868</v>
      </c>
      <c r="AC3499">
        <f>OrdersTable[[#This Row],[Delivery Date]]-OrdersTable[[#This Row],[Order Date]]</f>
        <v>4</v>
      </c>
      <c r="AD3499" t="str">
        <f>IF(OrdersTable[[#This Row],[Delivery Days]]&lt;=2, "Express (≤2d)", IF(OrdersTable[[#This Row],[Delivery Days]]&lt;=4, "Standard (3-4d)", "Delayed (5d+)"))</f>
        <v>Standard (3-4d)</v>
      </c>
      <c r="AE3499">
        <v>4</v>
      </c>
      <c r="AF3499">
        <v>0</v>
      </c>
    </row>
    <row r="3500" spans="1:32" ht="15" x14ac:dyDescent="0.35">
      <c r="A3500" t="s">
        <v>5965</v>
      </c>
      <c r="B3500" s="1">
        <v>45864</v>
      </c>
      <c r="C3500">
        <f>YEAR(OrdersTable[[#This Row],[Order Date]])</f>
        <v>2025</v>
      </c>
      <c r="D3500" s="2">
        <f>DATE(YEAR(OrdersTable[[#This Row],[Order Date]]),MONTH(OrdersTable[[#This Row],[Order Date]]),1)</f>
        <v>45839</v>
      </c>
      <c r="E3500">
        <f>MONTH(OrdersTable[[#This Row],[Order Date]])</f>
        <v>7</v>
      </c>
      <c r="F3500" t="s">
        <v>813</v>
      </c>
      <c r="G3500" t="str">
        <f>IF(OrdersTable[[#This Row],[Order Date]]=_xlfn.MINIFS(Order_Date, Customer_ID, OrdersTable[[#This Row],[Customer ID]]), "New", "Repeat")</f>
        <v>Repeat</v>
      </c>
      <c r="H3500" t="s">
        <v>14</v>
      </c>
      <c r="I3500" t="str">
        <f>INDEX(State!B:B,MATCH(OrdersTable[[#This Row],[State]],State!A:A,0))</f>
        <v>OD</v>
      </c>
      <c r="J3500" t="str">
        <f>INDEX(State!C:C,MATCH(OrdersTable[[#This Row],[State Code]],State!B:B,0))</f>
        <v>East</v>
      </c>
      <c r="K3500" t="s">
        <v>15</v>
      </c>
      <c r="L3500" t="s">
        <v>65</v>
      </c>
      <c r="M3500" t="s">
        <v>109</v>
      </c>
      <c r="N3500" t="str">
        <f>INDEX(Products!B:B,MATCH(OrdersTable[[#This Row],[Product ID]],Products!A:A,0))</f>
        <v>Onion Hair Oil</v>
      </c>
      <c r="O3500" t="str">
        <f>INDEX(Products!C:C,MATCH(OrdersTable[[#This Row],[Product ID]],Products!A:A,0))</f>
        <v>Haircare</v>
      </c>
      <c r="P3500">
        <v>2</v>
      </c>
      <c r="Q3500" s="5">
        <v>349</v>
      </c>
      <c r="R3500" s="74">
        <v>0.35</v>
      </c>
      <c r="S3500" s="75">
        <f>OrdersTable[[#This Row],[Quantity]]*OrdersTable[[#This Row],[Unit Price]]</f>
        <v>698</v>
      </c>
      <c r="T3500" s="5">
        <f>OrdersTable[[#This Row],[Gross Sale]]*OrdersTable[[#This Row],[Discount_Clean2]]</f>
        <v>244.29999999999998</v>
      </c>
      <c r="U3500" s="5">
        <f>OrdersTable[[#This Row],[Gross Sale]]-OrdersTable[[#This Row],[Discount Amount]]</f>
        <v>453.70000000000005</v>
      </c>
      <c r="V3500" s="77">
        <f>INDEX(Products!E:E,MATCH(OrdersTable[[#This Row],[Product ID]],Products!A:A,0))</f>
        <v>105</v>
      </c>
      <c r="W3500" s="77">
        <f>OrdersTable[[#This Row],[Quantity]]*OrdersTable[[#This Row],[Unit Cost]]</f>
        <v>210</v>
      </c>
      <c r="X3500" s="77">
        <f>'Dropdown Lists'!$I$2*(1+OrdersTable[[#This Row],[Returned]])</f>
        <v>120</v>
      </c>
      <c r="Y3500" s="76">
        <f>OrdersTable[[#This Row],[Net Revenue]]-OrdersTable[[#This Row],[COGS]]-OrdersTable[[#This Row],[Shipping Cost]]</f>
        <v>123.70000000000005</v>
      </c>
      <c r="Z3500" s="78">
        <f>IFERROR(OrdersTable[[#This Row],[Profit]]/OrdersTable[[#This Row],[Net Revenue]],0)</f>
        <v>0.27264712364998905</v>
      </c>
      <c r="AA3500" t="s">
        <v>18</v>
      </c>
      <c r="AB3500" s="79">
        <v>45869</v>
      </c>
      <c r="AC3500">
        <f>OrdersTable[[#This Row],[Delivery Date]]-OrdersTable[[#This Row],[Order Date]]</f>
        <v>5</v>
      </c>
      <c r="AD3500" t="str">
        <f>IF(OrdersTable[[#This Row],[Delivery Days]]&lt;=2, "Express (≤2d)", IF(OrdersTable[[#This Row],[Delivery Days]]&lt;=4, "Standard (3-4d)", "Delayed (5d+)"))</f>
        <v>Delayed (5d+)</v>
      </c>
      <c r="AF3500">
        <v>1</v>
      </c>
    </row>
    <row r="3501" spans="1:32" ht="15" x14ac:dyDescent="0.35">
      <c r="A3501" t="s">
        <v>1105</v>
      </c>
      <c r="B3501" s="1">
        <v>45864</v>
      </c>
      <c r="C3501">
        <f>YEAR(OrdersTable[[#This Row],[Order Date]])</f>
        <v>2025</v>
      </c>
      <c r="D3501" s="2">
        <f>DATE(YEAR(OrdersTable[[#This Row],[Order Date]]),MONTH(OrdersTable[[#This Row],[Order Date]]),1)</f>
        <v>45839</v>
      </c>
      <c r="E3501">
        <f>MONTH(OrdersTable[[#This Row],[Order Date]])</f>
        <v>7</v>
      </c>
      <c r="F3501" t="s">
        <v>1106</v>
      </c>
      <c r="G3501" t="str">
        <f>IF(OrdersTable[[#This Row],[Order Date]]=_xlfn.MINIFS(Order_Date, Customer_ID, OrdersTable[[#This Row],[Customer ID]]), "New", "Repeat")</f>
        <v>New</v>
      </c>
      <c r="H3501" t="s">
        <v>59</v>
      </c>
      <c r="I3501" t="str">
        <f>INDEX(State!B:B,MATCH(OrdersTable[[#This Row],[State]],State!A:A,0))</f>
        <v>TN</v>
      </c>
      <c r="J3501" t="str">
        <f>INDEX(State!C:C,MATCH(OrdersTable[[#This Row],[State Code]],State!B:B,0))</f>
        <v>South</v>
      </c>
      <c r="K3501" t="s">
        <v>64</v>
      </c>
      <c r="L3501" t="s">
        <v>16</v>
      </c>
      <c r="M3501" t="s">
        <v>255</v>
      </c>
      <c r="N3501" t="str">
        <f>INDEX(Products!B:B,MATCH(OrdersTable[[#This Row],[Product ID]],Products!A:A,0))</f>
        <v>Cotton Oversized T-Shirt</v>
      </c>
      <c r="O3501" t="str">
        <f>INDEX(Products!C:C,MATCH(OrdersTable[[#This Row],[Product ID]],Products!A:A,0))</f>
        <v>Apparel</v>
      </c>
      <c r="P3501">
        <v>1</v>
      </c>
      <c r="Q3501" s="5">
        <v>799</v>
      </c>
      <c r="R3501" s="74">
        <v>0</v>
      </c>
      <c r="S3501" s="75">
        <f>OrdersTable[[#This Row],[Quantity]]*OrdersTable[[#This Row],[Unit Price]]</f>
        <v>799</v>
      </c>
      <c r="T3501" s="5">
        <f>OrdersTable[[#This Row],[Gross Sale]]*OrdersTable[[#This Row],[Discount_Clean2]]</f>
        <v>0</v>
      </c>
      <c r="U3501" s="5">
        <f>OrdersTable[[#This Row],[Gross Sale]]-OrdersTable[[#This Row],[Discount Amount]]</f>
        <v>799</v>
      </c>
      <c r="V3501" s="77">
        <f>INDEX(Products!E:E,MATCH(OrdersTable[[#This Row],[Product ID]],Products!A:A,0))</f>
        <v>320</v>
      </c>
      <c r="W3501" s="77">
        <f>OrdersTable[[#This Row],[Quantity]]*OrdersTable[[#This Row],[Unit Cost]]</f>
        <v>320</v>
      </c>
      <c r="X3501" s="77">
        <f>'Dropdown Lists'!$I$2*(1+OrdersTable[[#This Row],[Returned]])</f>
        <v>120</v>
      </c>
      <c r="Y3501" s="76">
        <f>OrdersTable[[#This Row],[Net Revenue]]-OrdersTable[[#This Row],[COGS]]-OrdersTable[[#This Row],[Shipping Cost]]</f>
        <v>359</v>
      </c>
      <c r="Z3501" s="78">
        <f>IFERROR(OrdersTable[[#This Row],[Profit]]/OrdersTable[[#This Row],[Net Revenue]],0)</f>
        <v>0.44931163954943681</v>
      </c>
      <c r="AA3501" t="s">
        <v>18</v>
      </c>
      <c r="AB3501" s="79">
        <v>45866</v>
      </c>
      <c r="AC3501">
        <f>OrdersTable[[#This Row],[Delivery Date]]-OrdersTable[[#This Row],[Order Date]]</f>
        <v>2</v>
      </c>
      <c r="AD3501" t="str">
        <f>IF(OrdersTable[[#This Row],[Delivery Days]]&lt;=2, "Express (≤2d)", IF(OrdersTable[[#This Row],[Delivery Days]]&lt;=4, "Standard (3-4d)", "Delayed (5d+)"))</f>
        <v>Express (≤2d)</v>
      </c>
      <c r="AE3501">
        <v>4</v>
      </c>
      <c r="AF3501">
        <v>1</v>
      </c>
    </row>
    <row r="3502" spans="1:32" ht="15" x14ac:dyDescent="0.35">
      <c r="A3502" t="s">
        <v>343</v>
      </c>
      <c r="B3502" s="1">
        <v>45865</v>
      </c>
      <c r="C3502">
        <f>YEAR(OrdersTable[[#This Row],[Order Date]])</f>
        <v>2025</v>
      </c>
      <c r="D3502" s="2">
        <f>DATE(YEAR(OrdersTable[[#This Row],[Order Date]]),MONTH(OrdersTable[[#This Row],[Order Date]]),1)</f>
        <v>45839</v>
      </c>
      <c r="E3502">
        <f>MONTH(OrdersTable[[#This Row],[Order Date]])</f>
        <v>7</v>
      </c>
      <c r="F3502" t="s">
        <v>344</v>
      </c>
      <c r="G3502" t="str">
        <f>IF(OrdersTable[[#This Row],[Order Date]]=_xlfn.MINIFS(Order_Date, Customer_ID, OrdersTable[[#This Row],[Customer ID]]), "New", "Repeat")</f>
        <v>New</v>
      </c>
      <c r="H3502" t="s">
        <v>128</v>
      </c>
      <c r="I3502" t="str">
        <f>INDEX(State!B:B,MATCH(OrdersTable[[#This Row],[State]],State!A:A,0))</f>
        <v>DL</v>
      </c>
      <c r="J3502" t="str">
        <f>INDEX(State!C:C,MATCH(OrdersTable[[#This Row],[State Code]],State!B:B,0))</f>
        <v>North</v>
      </c>
      <c r="K3502" t="s">
        <v>129</v>
      </c>
      <c r="L3502" t="s">
        <v>65</v>
      </c>
      <c r="M3502" t="s">
        <v>106</v>
      </c>
      <c r="N3502" t="str">
        <f>INDEX(Products!B:B,MATCH(OrdersTable[[#This Row],[Product ID]],Products!A:A,0))</f>
        <v>Keratin Hair Mask</v>
      </c>
      <c r="O3502" t="str">
        <f>INDEX(Products!C:C,MATCH(OrdersTable[[#This Row],[Product ID]],Products!A:A,0))</f>
        <v>Haircare</v>
      </c>
      <c r="P3502">
        <v>1</v>
      </c>
      <c r="Q3502" s="5">
        <v>549</v>
      </c>
      <c r="R3502" s="74">
        <v>0.15</v>
      </c>
      <c r="S3502" s="75">
        <f>OrdersTable[[#This Row],[Quantity]]*OrdersTable[[#This Row],[Unit Price]]</f>
        <v>549</v>
      </c>
      <c r="T3502" s="5">
        <f>OrdersTable[[#This Row],[Gross Sale]]*OrdersTable[[#This Row],[Discount_Clean2]]</f>
        <v>82.35</v>
      </c>
      <c r="U3502" s="5">
        <f>OrdersTable[[#This Row],[Gross Sale]]-OrdersTable[[#This Row],[Discount Amount]]</f>
        <v>466.65</v>
      </c>
      <c r="V3502" s="77">
        <f>INDEX(Products!E:E,MATCH(OrdersTable[[#This Row],[Product ID]],Products!A:A,0))</f>
        <v>170</v>
      </c>
      <c r="W3502" s="77">
        <f>OrdersTable[[#This Row],[Quantity]]*OrdersTable[[#This Row],[Unit Cost]]</f>
        <v>170</v>
      </c>
      <c r="X3502" s="77">
        <f>'Dropdown Lists'!$I$2*(1+OrdersTable[[#This Row],[Returned]])</f>
        <v>60</v>
      </c>
      <c r="Y3502" s="76">
        <f>OrdersTable[[#This Row],[Net Revenue]]-OrdersTable[[#This Row],[COGS]]-OrdersTable[[#This Row],[Shipping Cost]]</f>
        <v>236.64999999999998</v>
      </c>
      <c r="Z3502" s="78">
        <f>IFERROR(OrdersTable[[#This Row],[Profit]]/OrdersTable[[#This Row],[Net Revenue]],0)</f>
        <v>0.50712525447337398</v>
      </c>
      <c r="AA3502" t="s">
        <v>18</v>
      </c>
      <c r="AB3502" s="79">
        <v>45867</v>
      </c>
      <c r="AC3502">
        <f>OrdersTable[[#This Row],[Delivery Date]]-OrdersTable[[#This Row],[Order Date]]</f>
        <v>2</v>
      </c>
      <c r="AD3502" t="str">
        <f>IF(OrdersTable[[#This Row],[Delivery Days]]&lt;=2, "Express (≤2d)", IF(OrdersTable[[#This Row],[Delivery Days]]&lt;=4, "Standard (3-4d)", "Delayed (5d+)"))</f>
        <v>Express (≤2d)</v>
      </c>
      <c r="AE3502">
        <v>4</v>
      </c>
      <c r="AF3502">
        <v>0</v>
      </c>
    </row>
    <row r="3503" spans="1:32" ht="15" x14ac:dyDescent="0.35">
      <c r="A3503" t="s">
        <v>3460</v>
      </c>
      <c r="B3503" s="1">
        <v>45865</v>
      </c>
      <c r="C3503">
        <f>YEAR(OrdersTable[[#This Row],[Order Date]])</f>
        <v>2025</v>
      </c>
      <c r="D3503" s="2">
        <f>DATE(YEAR(OrdersTable[[#This Row],[Order Date]]),MONTH(OrdersTable[[#This Row],[Order Date]]),1)</f>
        <v>45839</v>
      </c>
      <c r="E3503">
        <f>MONTH(OrdersTable[[#This Row],[Order Date]])</f>
        <v>7</v>
      </c>
      <c r="F3503" t="s">
        <v>3119</v>
      </c>
      <c r="G3503" t="str">
        <f>IF(OrdersTable[[#This Row],[Order Date]]=_xlfn.MINIFS(Order_Date, Customer_ID, OrdersTable[[#This Row],[Customer ID]]), "New", "Repeat")</f>
        <v>Repeat</v>
      </c>
      <c r="H3503" t="s">
        <v>76</v>
      </c>
      <c r="I3503" t="str">
        <f>INDEX(State!B:B,MATCH(OrdersTable[[#This Row],[State]],State!A:A,0))</f>
        <v>UP</v>
      </c>
      <c r="J3503" t="str">
        <f>INDEX(State!C:C,MATCH(OrdersTable[[#This Row],[State Code]],State!B:B,0))</f>
        <v>North</v>
      </c>
      <c r="K3503" t="s">
        <v>77</v>
      </c>
      <c r="L3503" t="s">
        <v>65</v>
      </c>
      <c r="M3503" t="s">
        <v>148</v>
      </c>
      <c r="N3503" t="str">
        <f>INDEX(Products!B:B,MATCH(OrdersTable[[#This Row],[Product ID]],Products!A:A,0))</f>
        <v>Smartwatch Strap</v>
      </c>
      <c r="O3503" t="str">
        <f>INDEX(Products!C:C,MATCH(OrdersTable[[#This Row],[Product ID]],Products!A:A,0))</f>
        <v>Electronics</v>
      </c>
      <c r="P3503">
        <v>1</v>
      </c>
      <c r="Q3503" s="5">
        <v>499</v>
      </c>
      <c r="R3503" s="74">
        <v>0.05</v>
      </c>
      <c r="S3503" s="75">
        <f>OrdersTable[[#This Row],[Quantity]]*OrdersTable[[#This Row],[Unit Price]]</f>
        <v>499</v>
      </c>
      <c r="T3503" s="5">
        <f>OrdersTable[[#This Row],[Gross Sale]]*OrdersTable[[#This Row],[Discount_Clean2]]</f>
        <v>24.950000000000003</v>
      </c>
      <c r="U3503" s="5">
        <f>OrdersTable[[#This Row],[Gross Sale]]-OrdersTable[[#This Row],[Discount Amount]]</f>
        <v>474.05</v>
      </c>
      <c r="V3503" s="77">
        <f>INDEX(Products!E:E,MATCH(OrdersTable[[#This Row],[Product ID]],Products!A:A,0))</f>
        <v>200</v>
      </c>
      <c r="W3503" s="77">
        <f>OrdersTable[[#This Row],[Quantity]]*OrdersTable[[#This Row],[Unit Cost]]</f>
        <v>200</v>
      </c>
      <c r="X3503" s="77">
        <f>'Dropdown Lists'!$I$2*(1+OrdersTable[[#This Row],[Returned]])</f>
        <v>60</v>
      </c>
      <c r="Y3503" s="76">
        <f>OrdersTable[[#This Row],[Net Revenue]]-OrdersTable[[#This Row],[COGS]]-OrdersTable[[#This Row],[Shipping Cost]]</f>
        <v>214.05</v>
      </c>
      <c r="Z3503" s="78">
        <f>IFERROR(OrdersTable[[#This Row],[Profit]]/OrdersTable[[#This Row],[Net Revenue]],0)</f>
        <v>0.45153464824385614</v>
      </c>
      <c r="AA3503" t="s">
        <v>2522</v>
      </c>
      <c r="AB3503" s="79">
        <v>45868</v>
      </c>
      <c r="AC3503">
        <f>OrdersTable[[#This Row],[Delivery Date]]-OrdersTable[[#This Row],[Order Date]]</f>
        <v>3</v>
      </c>
      <c r="AD3503" t="str">
        <f>IF(OrdersTable[[#This Row],[Delivery Days]]&lt;=2, "Express (≤2d)", IF(OrdersTable[[#This Row],[Delivery Days]]&lt;=4, "Standard (3-4d)", "Delayed (5d+)"))</f>
        <v>Standard (3-4d)</v>
      </c>
      <c r="AE3503">
        <v>4</v>
      </c>
      <c r="AF3503">
        <v>0</v>
      </c>
    </row>
    <row r="3504" spans="1:32" ht="15" x14ac:dyDescent="0.35">
      <c r="A3504" t="s">
        <v>5432</v>
      </c>
      <c r="B3504" s="1">
        <v>45865</v>
      </c>
      <c r="C3504">
        <f>YEAR(OrdersTable[[#This Row],[Order Date]])</f>
        <v>2025</v>
      </c>
      <c r="D3504" s="2">
        <f>DATE(YEAR(OrdersTable[[#This Row],[Order Date]]),MONTH(OrdersTable[[#This Row],[Order Date]]),1)</f>
        <v>45839</v>
      </c>
      <c r="E3504">
        <f>MONTH(OrdersTable[[#This Row],[Order Date]])</f>
        <v>7</v>
      </c>
      <c r="F3504" t="s">
        <v>3569</v>
      </c>
      <c r="G3504" t="str">
        <f>IF(OrdersTable[[#This Row],[Order Date]]=_xlfn.MINIFS(Order_Date, Customer_ID, OrdersTable[[#This Row],[Customer ID]]), "New", "Repeat")</f>
        <v>Repeat</v>
      </c>
      <c r="H3504" t="s">
        <v>37</v>
      </c>
      <c r="I3504" t="str">
        <f>INDEX(State!B:B,MATCH(OrdersTable[[#This Row],[State]],State!A:A,0))</f>
        <v>GJ</v>
      </c>
      <c r="J3504" t="str">
        <f>INDEX(State!C:C,MATCH(OrdersTable[[#This Row],[State Code]],State!B:B,0))</f>
        <v>West</v>
      </c>
      <c r="K3504" t="s">
        <v>247</v>
      </c>
      <c r="L3504" t="s">
        <v>23</v>
      </c>
      <c r="M3504" t="s">
        <v>106</v>
      </c>
      <c r="N3504" t="str">
        <f>INDEX(Products!B:B,MATCH(OrdersTable[[#This Row],[Product ID]],Products!A:A,0))</f>
        <v>Keratin Hair Mask</v>
      </c>
      <c r="O3504" t="str">
        <f>INDEX(Products!C:C,MATCH(OrdersTable[[#This Row],[Product ID]],Products!A:A,0))</f>
        <v>Haircare</v>
      </c>
      <c r="P3504">
        <v>2</v>
      </c>
      <c r="Q3504" s="5">
        <v>549</v>
      </c>
      <c r="R3504" s="74">
        <v>0.25</v>
      </c>
      <c r="S3504" s="75">
        <f>OrdersTable[[#This Row],[Quantity]]*OrdersTable[[#This Row],[Unit Price]]</f>
        <v>1098</v>
      </c>
      <c r="T3504" s="5">
        <f>OrdersTable[[#This Row],[Gross Sale]]*OrdersTable[[#This Row],[Discount_Clean2]]</f>
        <v>274.5</v>
      </c>
      <c r="U3504" s="5">
        <f>OrdersTable[[#This Row],[Gross Sale]]-OrdersTable[[#This Row],[Discount Amount]]</f>
        <v>823.5</v>
      </c>
      <c r="V3504" s="77">
        <f>INDEX(Products!E:E,MATCH(OrdersTable[[#This Row],[Product ID]],Products!A:A,0))</f>
        <v>170</v>
      </c>
      <c r="W3504" s="77">
        <f>OrdersTable[[#This Row],[Quantity]]*OrdersTable[[#This Row],[Unit Cost]]</f>
        <v>340</v>
      </c>
      <c r="X3504" s="77">
        <f>'Dropdown Lists'!$I$2*(1+OrdersTable[[#This Row],[Returned]])</f>
        <v>60</v>
      </c>
      <c r="Y3504" s="76">
        <f>OrdersTable[[#This Row],[Net Revenue]]-OrdersTable[[#This Row],[COGS]]-OrdersTable[[#This Row],[Shipping Cost]]</f>
        <v>423.5</v>
      </c>
      <c r="Z3504" s="78">
        <f>IFERROR(OrdersTable[[#This Row],[Profit]]/OrdersTable[[#This Row],[Net Revenue]],0)</f>
        <v>0.51426836672738307</v>
      </c>
      <c r="AA3504" t="s">
        <v>2522</v>
      </c>
      <c r="AB3504" s="79">
        <v>45869</v>
      </c>
      <c r="AC3504">
        <f>OrdersTable[[#This Row],[Delivery Date]]-OrdersTable[[#This Row],[Order Date]]</f>
        <v>4</v>
      </c>
      <c r="AD3504" t="str">
        <f>IF(OrdersTable[[#This Row],[Delivery Days]]&lt;=2, "Express (≤2d)", IF(OrdersTable[[#This Row],[Delivery Days]]&lt;=4, "Standard (3-4d)", "Delayed (5d+)"))</f>
        <v>Standard (3-4d)</v>
      </c>
      <c r="AE3504">
        <v>3</v>
      </c>
      <c r="AF3504">
        <v>0</v>
      </c>
    </row>
    <row r="3505" spans="1:32" ht="15" x14ac:dyDescent="0.35">
      <c r="A3505" t="s">
        <v>5620</v>
      </c>
      <c r="B3505" s="1">
        <v>45865</v>
      </c>
      <c r="C3505">
        <f>YEAR(OrdersTable[[#This Row],[Order Date]])</f>
        <v>2025</v>
      </c>
      <c r="D3505" s="2">
        <f>DATE(YEAR(OrdersTable[[#This Row],[Order Date]]),MONTH(OrdersTable[[#This Row],[Order Date]]),1)</f>
        <v>45839</v>
      </c>
      <c r="E3505">
        <f>MONTH(OrdersTable[[#This Row],[Order Date]])</f>
        <v>7</v>
      </c>
      <c r="F3505" t="s">
        <v>1590</v>
      </c>
      <c r="G3505" t="str">
        <f>IF(OrdersTable[[#This Row],[Order Date]]=_xlfn.MINIFS(Order_Date, Customer_ID, OrdersTable[[#This Row],[Customer ID]]), "New", "Repeat")</f>
        <v>Repeat</v>
      </c>
      <c r="H3505" t="s">
        <v>316</v>
      </c>
      <c r="I3505" t="str">
        <f>INDEX(State!B:B,MATCH(OrdersTable[[#This Row],[State]],State!A:A,0))</f>
        <v>KL</v>
      </c>
      <c r="J3505" t="str">
        <f>INDEX(State!C:C,MATCH(OrdersTable[[#This Row],[State Code]],State!B:B,0))</f>
        <v>South</v>
      </c>
      <c r="K3505" t="s">
        <v>317</v>
      </c>
      <c r="L3505" t="s">
        <v>23</v>
      </c>
      <c r="M3505" t="s">
        <v>160</v>
      </c>
      <c r="N3505" t="str">
        <f>INDEX(Products!B:B,MATCH(OrdersTable[[#This Row],[Product ID]],Products!A:A,0))</f>
        <v>Niacinamide Toner</v>
      </c>
      <c r="O3505" t="str">
        <f>INDEX(Products!C:C,MATCH(OrdersTable[[#This Row],[Product ID]],Products!A:A,0))</f>
        <v>Skincare</v>
      </c>
      <c r="P3505">
        <v>2</v>
      </c>
      <c r="Q3505" s="5">
        <v>399</v>
      </c>
      <c r="R3505" s="74">
        <v>0.3</v>
      </c>
      <c r="S3505" s="75">
        <f>OrdersTable[[#This Row],[Quantity]]*OrdersTable[[#This Row],[Unit Price]]</f>
        <v>798</v>
      </c>
      <c r="T3505" s="5">
        <f>OrdersTable[[#This Row],[Gross Sale]]*OrdersTable[[#This Row],[Discount_Clean2]]</f>
        <v>239.39999999999998</v>
      </c>
      <c r="U3505" s="5">
        <f>OrdersTable[[#This Row],[Gross Sale]]-OrdersTable[[#This Row],[Discount Amount]]</f>
        <v>558.6</v>
      </c>
      <c r="V3505" s="77">
        <f>INDEX(Products!E:E,MATCH(OrdersTable[[#This Row],[Product ID]],Products!A:A,0))</f>
        <v>112</v>
      </c>
      <c r="W3505" s="77">
        <f>OrdersTable[[#This Row],[Quantity]]*OrdersTable[[#This Row],[Unit Cost]]</f>
        <v>224</v>
      </c>
      <c r="X3505" s="77">
        <f>'Dropdown Lists'!$I$2*(1+OrdersTable[[#This Row],[Returned]])</f>
        <v>60</v>
      </c>
      <c r="Y3505" s="76">
        <f>OrdersTable[[#This Row],[Net Revenue]]-OrdersTable[[#This Row],[COGS]]-OrdersTable[[#This Row],[Shipping Cost]]</f>
        <v>274.60000000000002</v>
      </c>
      <c r="Z3505" s="78">
        <f>IFERROR(OrdersTable[[#This Row],[Profit]]/OrdersTable[[#This Row],[Net Revenue]],0)</f>
        <v>0.49158610812746151</v>
      </c>
      <c r="AA3505" t="s">
        <v>2522</v>
      </c>
      <c r="AB3505" s="79">
        <v>45868</v>
      </c>
      <c r="AC3505">
        <f>OrdersTable[[#This Row],[Delivery Date]]-OrdersTable[[#This Row],[Order Date]]</f>
        <v>3</v>
      </c>
      <c r="AD3505" t="str">
        <f>IF(OrdersTable[[#This Row],[Delivery Days]]&lt;=2, "Express (≤2d)", IF(OrdersTable[[#This Row],[Delivery Days]]&lt;=4, "Standard (3-4d)", "Delayed (5d+)"))</f>
        <v>Standard (3-4d)</v>
      </c>
      <c r="AE3505">
        <v>5</v>
      </c>
      <c r="AF3505">
        <v>0</v>
      </c>
    </row>
    <row r="3506" spans="1:32" ht="15" x14ac:dyDescent="0.35">
      <c r="A3506" t="s">
        <v>4714</v>
      </c>
      <c r="B3506" s="1">
        <v>45866</v>
      </c>
      <c r="C3506">
        <f>YEAR(OrdersTable[[#This Row],[Order Date]])</f>
        <v>2025</v>
      </c>
      <c r="D3506" s="2">
        <f>DATE(YEAR(OrdersTable[[#This Row],[Order Date]]),MONTH(OrdersTable[[#This Row],[Order Date]]),1)</f>
        <v>45839</v>
      </c>
      <c r="E3506">
        <f>MONTH(OrdersTable[[#This Row],[Order Date]])</f>
        <v>7</v>
      </c>
      <c r="F3506" t="s">
        <v>3485</v>
      </c>
      <c r="G3506" t="str">
        <f>IF(OrdersTable[[#This Row],[Order Date]]=_xlfn.MINIFS(Order_Date, Customer_ID, OrdersTable[[#This Row],[Customer ID]]), "New", "Repeat")</f>
        <v>Repeat</v>
      </c>
      <c r="H3506" t="s">
        <v>21</v>
      </c>
      <c r="I3506" t="str">
        <f>INDEX(State!B:B,MATCH(OrdersTable[[#This Row],[State]],State!A:A,0))</f>
        <v>PB</v>
      </c>
      <c r="J3506" t="str">
        <f>INDEX(State!C:C,MATCH(OrdersTable[[#This Row],[State Code]],State!B:B,0))</f>
        <v>North</v>
      </c>
      <c r="K3506" t="s">
        <v>260</v>
      </c>
      <c r="L3506" t="s">
        <v>39</v>
      </c>
      <c r="M3506" t="s">
        <v>61</v>
      </c>
      <c r="N3506" t="str">
        <f>INDEX(Products!B:B,MATCH(OrdersTable[[#This Row],[Product ID]],Products!A:A,0))</f>
        <v>Multivitamin Gummies</v>
      </c>
      <c r="O3506" t="str">
        <f>INDEX(Products!C:C,MATCH(OrdersTable[[#This Row],[Product ID]],Products!A:A,0))</f>
        <v>Wellness</v>
      </c>
      <c r="P3506">
        <v>1</v>
      </c>
      <c r="Q3506" s="5">
        <v>699</v>
      </c>
      <c r="R3506" s="74">
        <v>0.15</v>
      </c>
      <c r="S3506" s="75">
        <f>OrdersTable[[#This Row],[Quantity]]*OrdersTable[[#This Row],[Unit Price]]</f>
        <v>699</v>
      </c>
      <c r="T3506" s="5">
        <f>OrdersTable[[#This Row],[Gross Sale]]*OrdersTable[[#This Row],[Discount_Clean2]]</f>
        <v>104.85</v>
      </c>
      <c r="U3506" s="5">
        <f>OrdersTable[[#This Row],[Gross Sale]]-OrdersTable[[#This Row],[Discount Amount]]</f>
        <v>594.15</v>
      </c>
      <c r="V3506" s="77">
        <f>INDEX(Products!E:E,MATCH(OrdersTable[[#This Row],[Product ID]],Products!A:A,0))</f>
        <v>238</v>
      </c>
      <c r="W3506" s="77">
        <f>OrdersTable[[#This Row],[Quantity]]*OrdersTable[[#This Row],[Unit Cost]]</f>
        <v>238</v>
      </c>
      <c r="X3506" s="77">
        <f>'Dropdown Lists'!$I$2*(1+OrdersTable[[#This Row],[Returned]])</f>
        <v>60</v>
      </c>
      <c r="Y3506" s="76">
        <f>OrdersTable[[#This Row],[Net Revenue]]-OrdersTable[[#This Row],[COGS]]-OrdersTable[[#This Row],[Shipping Cost]]</f>
        <v>296.14999999999998</v>
      </c>
      <c r="Z3506" s="78">
        <f>IFERROR(OrdersTable[[#This Row],[Profit]]/OrdersTable[[#This Row],[Net Revenue]],0)</f>
        <v>0.49844315408566858</v>
      </c>
      <c r="AA3506" t="s">
        <v>4450</v>
      </c>
      <c r="AB3506" s="79">
        <v>45869</v>
      </c>
      <c r="AC3506">
        <f>OrdersTable[[#This Row],[Delivery Date]]-OrdersTable[[#This Row],[Order Date]]</f>
        <v>3</v>
      </c>
      <c r="AD3506" t="str">
        <f>IF(OrdersTable[[#This Row],[Delivery Days]]&lt;=2, "Express (≤2d)", IF(OrdersTable[[#This Row],[Delivery Days]]&lt;=4, "Standard (3-4d)", "Delayed (5d+)"))</f>
        <v>Standard (3-4d)</v>
      </c>
      <c r="AE3506">
        <v>3</v>
      </c>
      <c r="AF3506">
        <v>0</v>
      </c>
    </row>
    <row r="3507" spans="1:32" ht="15" x14ac:dyDescent="0.35">
      <c r="A3507" t="s">
        <v>1578</v>
      </c>
      <c r="B3507" s="1">
        <v>45866</v>
      </c>
      <c r="C3507">
        <f>YEAR(OrdersTable[[#This Row],[Order Date]])</f>
        <v>2025</v>
      </c>
      <c r="D3507" s="2">
        <f>DATE(YEAR(OrdersTable[[#This Row],[Order Date]]),MONTH(OrdersTable[[#This Row],[Order Date]]),1)</f>
        <v>45839</v>
      </c>
      <c r="E3507">
        <f>MONTH(OrdersTable[[#This Row],[Order Date]])</f>
        <v>7</v>
      </c>
      <c r="F3507" t="s">
        <v>429</v>
      </c>
      <c r="G3507" t="str">
        <f>IF(OrdersTable[[#This Row],[Order Date]]=_xlfn.MINIFS(Order_Date, Customer_ID, OrdersTable[[#This Row],[Customer ID]]), "New", "Repeat")</f>
        <v>Repeat</v>
      </c>
      <c r="H3507" t="s">
        <v>54</v>
      </c>
      <c r="I3507" t="str">
        <f>INDEX(State!B:B,MATCH(OrdersTable[[#This Row],[State]],State!A:A,0))</f>
        <v>RJ</v>
      </c>
      <c r="J3507" t="str">
        <f>INDEX(State!C:C,MATCH(OrdersTable[[#This Row],[State Code]],State!B:B,0))</f>
        <v>North</v>
      </c>
      <c r="K3507" t="s">
        <v>227</v>
      </c>
      <c r="L3507" t="s">
        <v>39</v>
      </c>
      <c r="M3507" t="s">
        <v>106</v>
      </c>
      <c r="N3507" t="str">
        <f>INDEX(Products!B:B,MATCH(OrdersTable[[#This Row],[Product ID]],Products!A:A,0))</f>
        <v>Keratin Hair Mask</v>
      </c>
      <c r="O3507" t="str">
        <f>INDEX(Products!C:C,MATCH(OrdersTable[[#This Row],[Product ID]],Products!A:A,0))</f>
        <v>Haircare</v>
      </c>
      <c r="P3507">
        <v>1</v>
      </c>
      <c r="Q3507" s="5">
        <v>549</v>
      </c>
      <c r="R3507" s="74">
        <v>0.1</v>
      </c>
      <c r="S3507" s="75">
        <f>OrdersTable[[#This Row],[Quantity]]*OrdersTable[[#This Row],[Unit Price]]</f>
        <v>549</v>
      </c>
      <c r="T3507" s="5">
        <f>OrdersTable[[#This Row],[Gross Sale]]*OrdersTable[[#This Row],[Discount_Clean2]]</f>
        <v>54.900000000000006</v>
      </c>
      <c r="U3507" s="5">
        <f>OrdersTable[[#This Row],[Gross Sale]]-OrdersTable[[#This Row],[Discount Amount]]</f>
        <v>494.1</v>
      </c>
      <c r="V3507" s="77">
        <f>INDEX(Products!E:E,MATCH(OrdersTable[[#This Row],[Product ID]],Products!A:A,0))</f>
        <v>170</v>
      </c>
      <c r="W3507" s="77">
        <f>OrdersTable[[#This Row],[Quantity]]*OrdersTable[[#This Row],[Unit Cost]]</f>
        <v>170</v>
      </c>
      <c r="X3507" s="77">
        <f>'Dropdown Lists'!$I$2*(1+OrdersTable[[#This Row],[Returned]])</f>
        <v>60</v>
      </c>
      <c r="Y3507" s="76">
        <f>OrdersTable[[#This Row],[Net Revenue]]-OrdersTable[[#This Row],[COGS]]-OrdersTable[[#This Row],[Shipping Cost]]</f>
        <v>264.10000000000002</v>
      </c>
      <c r="Z3507" s="78">
        <f>IFERROR(OrdersTable[[#This Row],[Profit]]/OrdersTable[[#This Row],[Net Revenue]],0)</f>
        <v>0.53450718478040882</v>
      </c>
      <c r="AA3507" t="s">
        <v>18</v>
      </c>
      <c r="AB3507" s="79">
        <v>45869</v>
      </c>
      <c r="AC3507">
        <f>OrdersTable[[#This Row],[Delivery Date]]-OrdersTable[[#This Row],[Order Date]]</f>
        <v>3</v>
      </c>
      <c r="AD3507" t="str">
        <f>IF(OrdersTable[[#This Row],[Delivery Days]]&lt;=2, "Express (≤2d)", IF(OrdersTable[[#This Row],[Delivery Days]]&lt;=4, "Standard (3-4d)", "Delayed (5d+)"))</f>
        <v>Standard (3-4d)</v>
      </c>
      <c r="AF3507">
        <v>0</v>
      </c>
    </row>
    <row r="3508" spans="1:32" ht="15" x14ac:dyDescent="0.35">
      <c r="A3508" t="s">
        <v>7019</v>
      </c>
      <c r="B3508" s="1">
        <v>45866</v>
      </c>
      <c r="C3508">
        <f>YEAR(OrdersTable[[#This Row],[Order Date]])</f>
        <v>2025</v>
      </c>
      <c r="D3508" s="2">
        <f>DATE(YEAR(OrdersTable[[#This Row],[Order Date]]),MONTH(OrdersTable[[#This Row],[Order Date]]),1)</f>
        <v>45839</v>
      </c>
      <c r="E3508">
        <f>MONTH(OrdersTable[[#This Row],[Order Date]])</f>
        <v>7</v>
      </c>
      <c r="F3508" t="s">
        <v>5037</v>
      </c>
      <c r="G3508" t="str">
        <f>IF(OrdersTable[[#This Row],[Order Date]]=_xlfn.MINIFS(Order_Date, Customer_ID, OrdersTable[[#This Row],[Customer ID]]), "New", "Repeat")</f>
        <v>Repeat</v>
      </c>
      <c r="H3508" t="s">
        <v>37</v>
      </c>
      <c r="I3508" t="str">
        <f>INDEX(State!B:B,MATCH(OrdersTable[[#This Row],[State]],State!A:A,0))</f>
        <v>GJ</v>
      </c>
      <c r="J3508" t="str">
        <f>INDEX(State!C:C,MATCH(OrdersTable[[#This Row],[State Code]],State!B:B,0))</f>
        <v>West</v>
      </c>
      <c r="K3508" t="s">
        <v>38</v>
      </c>
      <c r="L3508" t="s">
        <v>39</v>
      </c>
      <c r="M3508" t="s">
        <v>148</v>
      </c>
      <c r="N3508" t="str">
        <f>INDEX(Products!B:B,MATCH(OrdersTable[[#This Row],[Product ID]],Products!A:A,0))</f>
        <v>Smartwatch Strap</v>
      </c>
      <c r="O3508" t="str">
        <f>INDEX(Products!C:C,MATCH(OrdersTable[[#This Row],[Product ID]],Products!A:A,0))</f>
        <v>Electronics</v>
      </c>
      <c r="P3508">
        <v>4</v>
      </c>
      <c r="Q3508" s="5">
        <v>499</v>
      </c>
      <c r="R3508" s="74">
        <v>0.05</v>
      </c>
      <c r="S3508" s="75">
        <f>OrdersTable[[#This Row],[Quantity]]*OrdersTable[[#This Row],[Unit Price]]</f>
        <v>1996</v>
      </c>
      <c r="T3508" s="5">
        <f>OrdersTable[[#This Row],[Gross Sale]]*OrdersTable[[#This Row],[Discount_Clean2]]</f>
        <v>99.800000000000011</v>
      </c>
      <c r="U3508" s="5">
        <f>OrdersTable[[#This Row],[Gross Sale]]-OrdersTable[[#This Row],[Discount Amount]]</f>
        <v>1896.2</v>
      </c>
      <c r="V3508" s="77">
        <f>INDEX(Products!E:E,MATCH(OrdersTable[[#This Row],[Product ID]],Products!A:A,0))</f>
        <v>200</v>
      </c>
      <c r="W3508" s="77">
        <f>OrdersTable[[#This Row],[Quantity]]*OrdersTable[[#This Row],[Unit Cost]]</f>
        <v>800</v>
      </c>
      <c r="X3508" s="77">
        <f>'Dropdown Lists'!$I$2*(1+OrdersTable[[#This Row],[Returned]])</f>
        <v>60</v>
      </c>
      <c r="Y3508" s="76">
        <f>OrdersTable[[#This Row],[Net Revenue]]-OrdersTable[[#This Row],[COGS]]-OrdersTable[[#This Row],[Shipping Cost]]</f>
        <v>1036.2</v>
      </c>
      <c r="Z3508" s="78">
        <f>IFERROR(OrdersTable[[#This Row],[Profit]]/OrdersTable[[#This Row],[Net Revenue]],0)</f>
        <v>0.54646134374011179</v>
      </c>
      <c r="AA3508" t="s">
        <v>3495</v>
      </c>
      <c r="AB3508" s="79">
        <v>45871</v>
      </c>
      <c r="AC3508">
        <f>OrdersTable[[#This Row],[Delivery Date]]-OrdersTable[[#This Row],[Order Date]]</f>
        <v>5</v>
      </c>
      <c r="AD3508" t="str">
        <f>IF(OrdersTable[[#This Row],[Delivery Days]]&lt;=2, "Express (≤2d)", IF(OrdersTable[[#This Row],[Delivery Days]]&lt;=4, "Standard (3-4d)", "Delayed (5d+)"))</f>
        <v>Delayed (5d+)</v>
      </c>
      <c r="AF3508">
        <v>0</v>
      </c>
    </row>
    <row r="3509" spans="1:32" ht="15" x14ac:dyDescent="0.35">
      <c r="A3509" t="s">
        <v>6608</v>
      </c>
      <c r="B3509" s="1">
        <v>45866</v>
      </c>
      <c r="C3509">
        <f>YEAR(OrdersTable[[#This Row],[Order Date]])</f>
        <v>2025</v>
      </c>
      <c r="D3509" s="2">
        <f>DATE(YEAR(OrdersTable[[#This Row],[Order Date]]),MONTH(OrdersTable[[#This Row],[Order Date]]),1)</f>
        <v>45839</v>
      </c>
      <c r="E3509">
        <f>MONTH(OrdersTable[[#This Row],[Order Date]])</f>
        <v>7</v>
      </c>
      <c r="F3509" t="s">
        <v>2406</v>
      </c>
      <c r="G3509" t="str">
        <f>IF(OrdersTable[[#This Row],[Order Date]]=_xlfn.MINIFS(Order_Date, Customer_ID, OrdersTable[[#This Row],[Customer ID]]), "New", "Repeat")</f>
        <v>Repeat</v>
      </c>
      <c r="H3509" t="s">
        <v>27</v>
      </c>
      <c r="I3509" t="str">
        <f>INDEX(State!B:B,MATCH(OrdersTable[[#This Row],[State]],State!A:A,0))</f>
        <v>WB</v>
      </c>
      <c r="J3509" t="str">
        <f>INDEX(State!C:C,MATCH(OrdersTable[[#This Row],[State Code]],State!B:B,0))</f>
        <v>East</v>
      </c>
      <c r="K3509" t="s">
        <v>28</v>
      </c>
      <c r="L3509" t="s">
        <v>39</v>
      </c>
      <c r="M3509" t="s">
        <v>56</v>
      </c>
      <c r="N3509" t="str">
        <f>INDEX(Products!B:B,MATCH(OrdersTable[[#This Row],[Product ID]],Products!A:A,0))</f>
        <v>Vitamin C Face Serum</v>
      </c>
      <c r="O3509" t="str">
        <f>INDEX(Products!C:C,MATCH(OrdersTable[[#This Row],[Product ID]],Products!A:A,0))</f>
        <v>Skincare</v>
      </c>
      <c r="P3509">
        <v>3</v>
      </c>
      <c r="Q3509" s="5">
        <v>599</v>
      </c>
      <c r="R3509" s="74">
        <v>0.1</v>
      </c>
      <c r="S3509" s="75">
        <f>OrdersTable[[#This Row],[Quantity]]*OrdersTable[[#This Row],[Unit Price]]</f>
        <v>1797</v>
      </c>
      <c r="T3509" s="5">
        <f>OrdersTable[[#This Row],[Gross Sale]]*OrdersTable[[#This Row],[Discount_Clean2]]</f>
        <v>179.70000000000002</v>
      </c>
      <c r="U3509" s="5">
        <f>OrdersTable[[#This Row],[Gross Sale]]-OrdersTable[[#This Row],[Discount Amount]]</f>
        <v>1617.3</v>
      </c>
      <c r="V3509" s="77">
        <f>INDEX(Products!E:E,MATCH(OrdersTable[[#This Row],[Product ID]],Products!A:A,0))</f>
        <v>180</v>
      </c>
      <c r="W3509" s="77">
        <f>OrdersTable[[#This Row],[Quantity]]*OrdersTable[[#This Row],[Unit Cost]]</f>
        <v>540</v>
      </c>
      <c r="X3509" s="77">
        <f>'Dropdown Lists'!$I$2*(1+OrdersTable[[#This Row],[Returned]])</f>
        <v>60</v>
      </c>
      <c r="Y3509" s="76">
        <f>OrdersTable[[#This Row],[Net Revenue]]-OrdersTable[[#This Row],[COGS]]-OrdersTable[[#This Row],[Shipping Cost]]</f>
        <v>1017.3</v>
      </c>
      <c r="Z3509" s="78">
        <f>IFERROR(OrdersTable[[#This Row],[Profit]]/OrdersTable[[#This Row],[Net Revenue]],0)</f>
        <v>0.62901131515488773</v>
      </c>
      <c r="AA3509" t="s">
        <v>18</v>
      </c>
      <c r="AB3509" s="79">
        <v>45870</v>
      </c>
      <c r="AC3509">
        <f>OrdersTable[[#This Row],[Delivery Date]]-OrdersTable[[#This Row],[Order Date]]</f>
        <v>4</v>
      </c>
      <c r="AD3509" t="str">
        <f>IF(OrdersTable[[#This Row],[Delivery Days]]&lt;=2, "Express (≤2d)", IF(OrdersTable[[#This Row],[Delivery Days]]&lt;=4, "Standard (3-4d)", "Delayed (5d+)"))</f>
        <v>Standard (3-4d)</v>
      </c>
      <c r="AE3509">
        <v>4</v>
      </c>
      <c r="AF3509">
        <v>0</v>
      </c>
    </row>
    <row r="3510" spans="1:32" ht="15" x14ac:dyDescent="0.35">
      <c r="A3510" t="s">
        <v>3651</v>
      </c>
      <c r="B3510" s="1">
        <v>45866</v>
      </c>
      <c r="C3510">
        <f>YEAR(OrdersTable[[#This Row],[Order Date]])</f>
        <v>2025</v>
      </c>
      <c r="D3510" s="2">
        <f>DATE(YEAR(OrdersTable[[#This Row],[Order Date]]),MONTH(OrdersTable[[#This Row],[Order Date]]),1)</f>
        <v>45839</v>
      </c>
      <c r="E3510">
        <f>MONTH(OrdersTable[[#This Row],[Order Date]])</f>
        <v>7</v>
      </c>
      <c r="F3510" t="s">
        <v>3652</v>
      </c>
      <c r="G3510" t="str">
        <f>IF(OrdersTable[[#This Row],[Order Date]]=_xlfn.MINIFS(Order_Date, Customer_ID, OrdersTable[[#This Row],[Customer ID]]), "New", "Repeat")</f>
        <v>New</v>
      </c>
      <c r="H3510" t="s">
        <v>71</v>
      </c>
      <c r="I3510" t="str">
        <f>INDEX(State!B:B,MATCH(OrdersTable[[#This Row],[State]],State!A:A,0))</f>
        <v>MH</v>
      </c>
      <c r="J3510" t="str">
        <f>INDEX(State!C:C,MATCH(OrdersTable[[#This Row],[State Code]],State!B:B,0))</f>
        <v>West</v>
      </c>
      <c r="K3510" t="s">
        <v>72</v>
      </c>
      <c r="L3510" t="s">
        <v>65</v>
      </c>
      <c r="M3510" t="s">
        <v>125</v>
      </c>
      <c r="N3510" t="str">
        <f>INDEX(Products!B:B,MATCH(OrdersTable[[#This Row],[Product ID]],Products!A:A,0))</f>
        <v>Copper Water Bottle</v>
      </c>
      <c r="O3510" t="str">
        <f>INDEX(Products!C:C,MATCH(OrdersTable[[#This Row],[Product ID]],Products!A:A,0))</f>
        <v>Home &amp; Kitchen</v>
      </c>
      <c r="P3510">
        <v>1</v>
      </c>
      <c r="Q3510" s="5">
        <v>899</v>
      </c>
      <c r="R3510" s="74">
        <v>0.15</v>
      </c>
      <c r="S3510" s="75">
        <f>OrdersTable[[#This Row],[Quantity]]*OrdersTable[[#This Row],[Unit Price]]</f>
        <v>899</v>
      </c>
      <c r="T3510" s="5">
        <f>OrdersTable[[#This Row],[Gross Sale]]*OrdersTable[[#This Row],[Discount_Clean2]]</f>
        <v>134.85</v>
      </c>
      <c r="U3510" s="5">
        <f>OrdersTable[[#This Row],[Gross Sale]]-OrdersTable[[#This Row],[Discount Amount]]</f>
        <v>764.15</v>
      </c>
      <c r="V3510" s="77">
        <f>INDEX(Products!E:E,MATCH(OrdersTable[[#This Row],[Product ID]],Products!A:A,0))</f>
        <v>378</v>
      </c>
      <c r="W3510" s="77">
        <f>OrdersTable[[#This Row],[Quantity]]*OrdersTable[[#This Row],[Unit Cost]]</f>
        <v>378</v>
      </c>
      <c r="X3510" s="77">
        <f>'Dropdown Lists'!$I$2*(1+OrdersTable[[#This Row],[Returned]])</f>
        <v>60</v>
      </c>
      <c r="Y3510" s="76">
        <f>OrdersTable[[#This Row],[Net Revenue]]-OrdersTable[[#This Row],[COGS]]-OrdersTable[[#This Row],[Shipping Cost]]</f>
        <v>326.14999999999998</v>
      </c>
      <c r="Z3510" s="78">
        <f>IFERROR(OrdersTable[[#This Row],[Profit]]/OrdersTable[[#This Row],[Net Revenue]],0)</f>
        <v>0.42681410717791007</v>
      </c>
      <c r="AA3510" t="s">
        <v>3495</v>
      </c>
      <c r="AB3510" s="79">
        <v>45869</v>
      </c>
      <c r="AC3510">
        <f>OrdersTable[[#This Row],[Delivery Date]]-OrdersTable[[#This Row],[Order Date]]</f>
        <v>3</v>
      </c>
      <c r="AD3510" t="str">
        <f>IF(OrdersTable[[#This Row],[Delivery Days]]&lt;=2, "Express (≤2d)", IF(OrdersTable[[#This Row],[Delivery Days]]&lt;=4, "Standard (3-4d)", "Delayed (5d+)"))</f>
        <v>Standard (3-4d)</v>
      </c>
      <c r="AE3510">
        <v>4</v>
      </c>
      <c r="AF3510">
        <v>0</v>
      </c>
    </row>
    <row r="3511" spans="1:32" ht="15" x14ac:dyDescent="0.35">
      <c r="A3511" t="s">
        <v>2823</v>
      </c>
      <c r="B3511" s="1">
        <v>45866</v>
      </c>
      <c r="C3511">
        <f>YEAR(OrdersTable[[#This Row],[Order Date]])</f>
        <v>2025</v>
      </c>
      <c r="D3511" s="2">
        <f>DATE(YEAR(OrdersTable[[#This Row],[Order Date]]),MONTH(OrdersTable[[#This Row],[Order Date]]),1)</f>
        <v>45839</v>
      </c>
      <c r="E3511">
        <f>MONTH(OrdersTable[[#This Row],[Order Date]])</f>
        <v>7</v>
      </c>
      <c r="F3511" t="s">
        <v>2824</v>
      </c>
      <c r="G3511" t="str">
        <f>IF(OrdersTable[[#This Row],[Order Date]]=_xlfn.MINIFS(Order_Date, Customer_ID, OrdersTable[[#This Row],[Customer ID]]), "New", "Repeat")</f>
        <v>New</v>
      </c>
      <c r="H3511" t="s">
        <v>71</v>
      </c>
      <c r="I3511" t="str">
        <f>INDEX(State!B:B,MATCH(OrdersTable[[#This Row],[State]],State!A:A,0))</f>
        <v>MH</v>
      </c>
      <c r="J3511" t="str">
        <f>INDEX(State!C:C,MATCH(OrdersTable[[#This Row],[State Code]],State!B:B,0))</f>
        <v>West</v>
      </c>
      <c r="K3511" t="s">
        <v>81</v>
      </c>
      <c r="L3511" t="s">
        <v>65</v>
      </c>
      <c r="M3511" t="s">
        <v>87</v>
      </c>
      <c r="N3511" t="str">
        <f>INDEX(Products!B:B,MATCH(OrdersTable[[#This Row],[Product ID]],Products!A:A,0))</f>
        <v>Linen Kurta</v>
      </c>
      <c r="O3511" t="str">
        <f>INDEX(Products!C:C,MATCH(OrdersTable[[#This Row],[Product ID]],Products!A:A,0))</f>
        <v>Apparel</v>
      </c>
      <c r="P3511">
        <v>1</v>
      </c>
      <c r="Q3511" s="5">
        <v>1499</v>
      </c>
      <c r="R3511" s="74">
        <v>0.4</v>
      </c>
      <c r="S3511" s="75">
        <f>OrdersTable[[#This Row],[Quantity]]*OrdersTable[[#This Row],[Unit Price]]</f>
        <v>1499</v>
      </c>
      <c r="T3511" s="5">
        <f>OrdersTable[[#This Row],[Gross Sale]]*OrdersTable[[#This Row],[Discount_Clean2]]</f>
        <v>599.6</v>
      </c>
      <c r="U3511" s="5">
        <f>OrdersTable[[#This Row],[Gross Sale]]-OrdersTable[[#This Row],[Discount Amount]]</f>
        <v>899.4</v>
      </c>
      <c r="V3511" s="77">
        <f>INDEX(Products!E:E,MATCH(OrdersTable[[#This Row],[Product ID]],Products!A:A,0))</f>
        <v>630</v>
      </c>
      <c r="W3511" s="77">
        <f>OrdersTable[[#This Row],[Quantity]]*OrdersTable[[#This Row],[Unit Cost]]</f>
        <v>630</v>
      </c>
      <c r="X3511" s="77">
        <f>'Dropdown Lists'!$I$2*(1+OrdersTable[[#This Row],[Returned]])</f>
        <v>60</v>
      </c>
      <c r="Y3511" s="76">
        <f>OrdersTable[[#This Row],[Net Revenue]]-OrdersTable[[#This Row],[COGS]]-OrdersTable[[#This Row],[Shipping Cost]]</f>
        <v>209.39999999999998</v>
      </c>
      <c r="Z3511" s="78">
        <f>IFERROR(OrdersTable[[#This Row],[Profit]]/OrdersTable[[#This Row],[Net Revenue]],0)</f>
        <v>0.23282188125416942</v>
      </c>
      <c r="AA3511" t="s">
        <v>2522</v>
      </c>
      <c r="AB3511" s="79">
        <v>45869</v>
      </c>
      <c r="AC3511">
        <f>OrdersTable[[#This Row],[Delivery Date]]-OrdersTable[[#This Row],[Order Date]]</f>
        <v>3</v>
      </c>
      <c r="AD3511" t="str">
        <f>IF(OrdersTable[[#This Row],[Delivery Days]]&lt;=2, "Express (≤2d)", IF(OrdersTable[[#This Row],[Delivery Days]]&lt;=4, "Standard (3-4d)", "Delayed (5d+)"))</f>
        <v>Standard (3-4d)</v>
      </c>
      <c r="AE3511">
        <v>3</v>
      </c>
      <c r="AF3511">
        <v>0</v>
      </c>
    </row>
    <row r="3512" spans="1:32" ht="15" x14ac:dyDescent="0.35">
      <c r="A3512" t="s">
        <v>3084</v>
      </c>
      <c r="B3512" s="1">
        <v>45866</v>
      </c>
      <c r="C3512">
        <f>YEAR(OrdersTable[[#This Row],[Order Date]])</f>
        <v>2025</v>
      </c>
      <c r="D3512" s="2">
        <f>DATE(YEAR(OrdersTable[[#This Row],[Order Date]]),MONTH(OrdersTable[[#This Row],[Order Date]]),1)</f>
        <v>45839</v>
      </c>
      <c r="E3512">
        <f>MONTH(OrdersTable[[#This Row],[Order Date]])</f>
        <v>7</v>
      </c>
      <c r="F3512" t="s">
        <v>521</v>
      </c>
      <c r="G3512" t="str">
        <f>IF(OrdersTable[[#This Row],[Order Date]]=_xlfn.MINIFS(Order_Date, Customer_ID, OrdersTable[[#This Row],[Customer ID]]), "New", "Repeat")</f>
        <v>Repeat</v>
      </c>
      <c r="H3512" t="s">
        <v>14</v>
      </c>
      <c r="I3512" t="str">
        <f>INDEX(State!B:B,MATCH(OrdersTable[[#This Row],[State]],State!A:A,0))</f>
        <v>OD</v>
      </c>
      <c r="J3512" t="str">
        <f>INDEX(State!C:C,MATCH(OrdersTable[[#This Row],[State Code]],State!B:B,0))</f>
        <v>East</v>
      </c>
      <c r="K3512" t="s">
        <v>15</v>
      </c>
      <c r="L3512" t="s">
        <v>65</v>
      </c>
      <c r="M3512" t="s">
        <v>24</v>
      </c>
      <c r="N3512" t="str">
        <f>INDEX(Products!B:B,MATCH(OrdersTable[[#This Row],[Product ID]],Products!A:A,0))</f>
        <v>Scented Candle Set</v>
      </c>
      <c r="O3512" t="str">
        <f>INDEX(Products!C:C,MATCH(OrdersTable[[#This Row],[Product ID]],Products!A:A,0))</f>
        <v>Home &amp; Kitchen</v>
      </c>
      <c r="P3512">
        <v>1</v>
      </c>
      <c r="Q3512" s="5">
        <v>699</v>
      </c>
      <c r="R3512" s="74">
        <v>0.2</v>
      </c>
      <c r="S3512" s="75">
        <f>OrdersTable[[#This Row],[Quantity]]*OrdersTable[[#This Row],[Unit Price]]</f>
        <v>699</v>
      </c>
      <c r="T3512" s="5">
        <f>OrdersTable[[#This Row],[Gross Sale]]*OrdersTable[[#This Row],[Discount_Clean2]]</f>
        <v>139.80000000000001</v>
      </c>
      <c r="U3512" s="5">
        <f>OrdersTable[[#This Row],[Gross Sale]]-OrdersTable[[#This Row],[Discount Amount]]</f>
        <v>559.20000000000005</v>
      </c>
      <c r="V3512" s="77">
        <f>INDEX(Products!E:E,MATCH(OrdersTable[[#This Row],[Product ID]],Products!A:A,0))</f>
        <v>245</v>
      </c>
      <c r="W3512" s="77">
        <f>OrdersTable[[#This Row],[Quantity]]*OrdersTable[[#This Row],[Unit Cost]]</f>
        <v>245</v>
      </c>
      <c r="X3512" s="77">
        <f>'Dropdown Lists'!$I$2*(1+OrdersTable[[#This Row],[Returned]])</f>
        <v>60</v>
      </c>
      <c r="Y3512" s="76">
        <f>OrdersTable[[#This Row],[Net Revenue]]-OrdersTable[[#This Row],[COGS]]-OrdersTable[[#This Row],[Shipping Cost]]</f>
        <v>254.20000000000005</v>
      </c>
      <c r="Z3512" s="78">
        <f>IFERROR(OrdersTable[[#This Row],[Profit]]/OrdersTable[[#This Row],[Net Revenue]],0)</f>
        <v>0.45457796852646642</v>
      </c>
      <c r="AA3512" t="s">
        <v>2522</v>
      </c>
      <c r="AB3512" s="79">
        <v>45872</v>
      </c>
      <c r="AC3512">
        <f>OrdersTable[[#This Row],[Delivery Date]]-OrdersTable[[#This Row],[Order Date]]</f>
        <v>6</v>
      </c>
      <c r="AD3512" t="str">
        <f>IF(OrdersTable[[#This Row],[Delivery Days]]&lt;=2, "Express (≤2d)", IF(OrdersTable[[#This Row],[Delivery Days]]&lt;=4, "Standard (3-4d)", "Delayed (5d+)"))</f>
        <v>Delayed (5d+)</v>
      </c>
      <c r="AF3512">
        <v>0</v>
      </c>
    </row>
    <row r="3513" spans="1:32" ht="15" x14ac:dyDescent="0.35">
      <c r="A3513" t="s">
        <v>5212</v>
      </c>
      <c r="B3513" s="1">
        <v>45866</v>
      </c>
      <c r="C3513">
        <f>YEAR(OrdersTable[[#This Row],[Order Date]])</f>
        <v>2025</v>
      </c>
      <c r="D3513" s="2">
        <f>DATE(YEAR(OrdersTable[[#This Row],[Order Date]]),MONTH(OrdersTable[[#This Row],[Order Date]]),1)</f>
        <v>45839</v>
      </c>
      <c r="E3513">
        <f>MONTH(OrdersTable[[#This Row],[Order Date]])</f>
        <v>7</v>
      </c>
      <c r="F3513" t="s">
        <v>89</v>
      </c>
      <c r="G3513" t="str">
        <f>IF(OrdersTable[[#This Row],[Order Date]]=_xlfn.MINIFS(Order_Date, Customer_ID, OrdersTable[[#This Row],[Customer ID]]), "New", "Repeat")</f>
        <v>Repeat</v>
      </c>
      <c r="H3513" t="s">
        <v>316</v>
      </c>
      <c r="I3513" t="str">
        <f>INDEX(State!B:B,MATCH(OrdersTable[[#This Row],[State]],State!A:A,0))</f>
        <v>KL</v>
      </c>
      <c r="J3513" t="str">
        <f>INDEX(State!C:C,MATCH(OrdersTable[[#This Row],[State Code]],State!B:B,0))</f>
        <v>South</v>
      </c>
      <c r="K3513" t="s">
        <v>338</v>
      </c>
      <c r="L3513" t="s">
        <v>16</v>
      </c>
      <c r="M3513" t="s">
        <v>34</v>
      </c>
      <c r="N3513" t="str">
        <f>INDEX(Products!B:B,MATCH(OrdersTable[[#This Row],[Product ID]],Products!A:A,0))</f>
        <v>Flip Flops</v>
      </c>
      <c r="O3513" t="str">
        <f>INDEX(Products!C:C,MATCH(OrdersTable[[#This Row],[Product ID]],Products!A:A,0))</f>
        <v>Footwear</v>
      </c>
      <c r="P3513">
        <v>2</v>
      </c>
      <c r="Q3513" s="5">
        <v>399</v>
      </c>
      <c r="R3513" s="74">
        <v>0.05</v>
      </c>
      <c r="S3513" s="75">
        <f>OrdersTable[[#This Row],[Quantity]]*OrdersTable[[#This Row],[Unit Price]]</f>
        <v>798</v>
      </c>
      <c r="T3513" s="5">
        <f>OrdersTable[[#This Row],[Gross Sale]]*OrdersTable[[#This Row],[Discount_Clean2]]</f>
        <v>39.900000000000006</v>
      </c>
      <c r="U3513" s="5">
        <f>OrdersTable[[#This Row],[Gross Sale]]-OrdersTable[[#This Row],[Discount Amount]]</f>
        <v>758.1</v>
      </c>
      <c r="V3513" s="77">
        <f>INDEX(Products!E:E,MATCH(OrdersTable[[#This Row],[Product ID]],Products!A:A,0))</f>
        <v>152</v>
      </c>
      <c r="W3513" s="77">
        <f>OrdersTable[[#This Row],[Quantity]]*OrdersTable[[#This Row],[Unit Cost]]</f>
        <v>304</v>
      </c>
      <c r="X3513" s="77">
        <f>'Dropdown Lists'!$I$2*(1+OrdersTable[[#This Row],[Returned]])</f>
        <v>60</v>
      </c>
      <c r="Y3513" s="76">
        <f>OrdersTable[[#This Row],[Net Revenue]]-OrdersTable[[#This Row],[COGS]]-OrdersTable[[#This Row],[Shipping Cost]]</f>
        <v>394.1</v>
      </c>
      <c r="Z3513" s="78">
        <f>IFERROR(OrdersTable[[#This Row],[Profit]]/OrdersTable[[#This Row],[Net Revenue]],0)</f>
        <v>0.51985226223453374</v>
      </c>
      <c r="AA3513" t="s">
        <v>3495</v>
      </c>
      <c r="AB3513" s="79">
        <v>45869</v>
      </c>
      <c r="AC3513">
        <f>OrdersTable[[#This Row],[Delivery Date]]-OrdersTable[[#This Row],[Order Date]]</f>
        <v>3</v>
      </c>
      <c r="AD3513" t="str">
        <f>IF(OrdersTable[[#This Row],[Delivery Days]]&lt;=2, "Express (≤2d)", IF(OrdersTable[[#This Row],[Delivery Days]]&lt;=4, "Standard (3-4d)", "Delayed (5d+)"))</f>
        <v>Standard (3-4d)</v>
      </c>
      <c r="AF3513">
        <v>0</v>
      </c>
    </row>
    <row r="3514" spans="1:32" ht="15" x14ac:dyDescent="0.35">
      <c r="A3514" t="s">
        <v>851</v>
      </c>
      <c r="B3514" s="1">
        <v>45866</v>
      </c>
      <c r="C3514">
        <f>YEAR(OrdersTable[[#This Row],[Order Date]])</f>
        <v>2025</v>
      </c>
      <c r="D3514" s="2">
        <f>DATE(YEAR(OrdersTable[[#This Row],[Order Date]]),MONTH(OrdersTable[[#This Row],[Order Date]]),1)</f>
        <v>45839</v>
      </c>
      <c r="E3514">
        <f>MONTH(OrdersTable[[#This Row],[Order Date]])</f>
        <v>7</v>
      </c>
      <c r="F3514" t="s">
        <v>852</v>
      </c>
      <c r="G3514" t="str">
        <f>IF(OrdersTable[[#This Row],[Order Date]]=_xlfn.MINIFS(Order_Date, Customer_ID, OrdersTable[[#This Row],[Customer ID]]), "New", "Repeat")</f>
        <v>Repeat</v>
      </c>
      <c r="H3514" t="s">
        <v>59</v>
      </c>
      <c r="I3514" t="str">
        <f>INDEX(State!B:B,MATCH(OrdersTable[[#This Row],[State]],State!A:A,0))</f>
        <v>TN</v>
      </c>
      <c r="J3514" t="str">
        <f>INDEX(State!C:C,MATCH(OrdersTable[[#This Row],[State Code]],State!B:B,0))</f>
        <v>South</v>
      </c>
      <c r="K3514" t="s">
        <v>64</v>
      </c>
      <c r="L3514" t="s">
        <v>23</v>
      </c>
      <c r="M3514" t="s">
        <v>73</v>
      </c>
      <c r="N3514" t="str">
        <f>INDEX(Products!B:B,MATCH(OrdersTable[[#This Row],[Product ID]],Products!A:A,0))</f>
        <v>Hydrating Face Wash</v>
      </c>
      <c r="O3514" t="str">
        <f>INDEX(Products!C:C,MATCH(OrdersTable[[#This Row],[Product ID]],Products!A:A,0))</f>
        <v>Skincare</v>
      </c>
      <c r="P3514">
        <v>1</v>
      </c>
      <c r="Q3514" s="5">
        <v>299</v>
      </c>
      <c r="R3514" s="74">
        <v>0</v>
      </c>
      <c r="S3514" s="75">
        <f>OrdersTable[[#This Row],[Quantity]]*OrdersTable[[#This Row],[Unit Price]]</f>
        <v>299</v>
      </c>
      <c r="T3514" s="5">
        <f>OrdersTable[[#This Row],[Gross Sale]]*OrdersTable[[#This Row],[Discount_Clean2]]</f>
        <v>0</v>
      </c>
      <c r="U3514" s="5">
        <f>OrdersTable[[#This Row],[Gross Sale]]-OrdersTable[[#This Row],[Discount Amount]]</f>
        <v>299</v>
      </c>
      <c r="V3514" s="77">
        <f>INDEX(Products!E:E,MATCH(OrdersTable[[#This Row],[Product ID]],Products!A:A,0))</f>
        <v>90</v>
      </c>
      <c r="W3514" s="77">
        <f>OrdersTable[[#This Row],[Quantity]]*OrdersTable[[#This Row],[Unit Cost]]</f>
        <v>90</v>
      </c>
      <c r="X3514" s="77">
        <f>'Dropdown Lists'!$I$2*(1+OrdersTable[[#This Row],[Returned]])</f>
        <v>60</v>
      </c>
      <c r="Y3514" s="76">
        <f>OrdersTable[[#This Row],[Net Revenue]]-OrdersTable[[#This Row],[COGS]]-OrdersTable[[#This Row],[Shipping Cost]]</f>
        <v>149</v>
      </c>
      <c r="Z3514" s="78">
        <f>IFERROR(OrdersTable[[#This Row],[Profit]]/OrdersTable[[#This Row],[Net Revenue]],0)</f>
        <v>0.49832775919732442</v>
      </c>
      <c r="AA3514" t="s">
        <v>18</v>
      </c>
      <c r="AB3514" s="79">
        <v>45870</v>
      </c>
      <c r="AC3514">
        <f>OrdersTable[[#This Row],[Delivery Date]]-OrdersTable[[#This Row],[Order Date]]</f>
        <v>4</v>
      </c>
      <c r="AD3514" t="str">
        <f>IF(OrdersTable[[#This Row],[Delivery Days]]&lt;=2, "Express (≤2d)", IF(OrdersTable[[#This Row],[Delivery Days]]&lt;=4, "Standard (3-4d)", "Delayed (5d+)"))</f>
        <v>Standard (3-4d)</v>
      </c>
      <c r="AE3514">
        <v>4</v>
      </c>
      <c r="AF3514">
        <v>0</v>
      </c>
    </row>
    <row r="3515" spans="1:32" ht="15" x14ac:dyDescent="0.35">
      <c r="A3515" t="s">
        <v>6190</v>
      </c>
      <c r="B3515" s="1">
        <v>45867</v>
      </c>
      <c r="C3515">
        <f>YEAR(OrdersTable[[#This Row],[Order Date]])</f>
        <v>2025</v>
      </c>
      <c r="D3515" s="2">
        <f>DATE(YEAR(OrdersTable[[#This Row],[Order Date]]),MONTH(OrdersTable[[#This Row],[Order Date]]),1)</f>
        <v>45839</v>
      </c>
      <c r="E3515">
        <f>MONTH(OrdersTable[[#This Row],[Order Date]])</f>
        <v>7</v>
      </c>
      <c r="F3515" t="s">
        <v>2068</v>
      </c>
      <c r="G3515" t="str">
        <f>IF(OrdersTable[[#This Row],[Order Date]]=_xlfn.MINIFS(Order_Date, Customer_ID, OrdersTable[[#This Row],[Customer ID]]), "New", "Repeat")</f>
        <v>Repeat</v>
      </c>
      <c r="H3515" t="s">
        <v>48</v>
      </c>
      <c r="I3515" t="str">
        <f>INDEX(State!B:B,MATCH(OrdersTable[[#This Row],[State]],State!A:A,0))</f>
        <v>HR</v>
      </c>
      <c r="J3515" t="str">
        <f>INDEX(State!C:C,MATCH(OrdersTable[[#This Row],[State Code]],State!B:B,0))</f>
        <v>North</v>
      </c>
      <c r="K3515" t="s">
        <v>151</v>
      </c>
      <c r="L3515" t="s">
        <v>16</v>
      </c>
      <c r="M3515" t="s">
        <v>87</v>
      </c>
      <c r="N3515" t="str">
        <f>INDEX(Products!B:B,MATCH(OrdersTable[[#This Row],[Product ID]],Products!A:A,0))</f>
        <v>Linen Kurta</v>
      </c>
      <c r="O3515" t="str">
        <f>INDEX(Products!C:C,MATCH(OrdersTable[[#This Row],[Product ID]],Products!A:A,0))</f>
        <v>Apparel</v>
      </c>
      <c r="P3515">
        <v>2</v>
      </c>
      <c r="Q3515" s="5">
        <v>1499</v>
      </c>
      <c r="R3515" s="74">
        <v>0.3</v>
      </c>
      <c r="S3515" s="75">
        <f>OrdersTable[[#This Row],[Quantity]]*OrdersTable[[#This Row],[Unit Price]]</f>
        <v>2998</v>
      </c>
      <c r="T3515" s="5">
        <f>OrdersTable[[#This Row],[Gross Sale]]*OrdersTable[[#This Row],[Discount_Clean2]]</f>
        <v>899.4</v>
      </c>
      <c r="U3515" s="5">
        <f>OrdersTable[[#This Row],[Gross Sale]]-OrdersTable[[#This Row],[Discount Amount]]</f>
        <v>2098.6</v>
      </c>
      <c r="V3515" s="77">
        <f>INDEX(Products!E:E,MATCH(OrdersTable[[#This Row],[Product ID]],Products!A:A,0))</f>
        <v>630</v>
      </c>
      <c r="W3515" s="77">
        <f>OrdersTable[[#This Row],[Quantity]]*OrdersTable[[#This Row],[Unit Cost]]</f>
        <v>1260</v>
      </c>
      <c r="X3515" s="77">
        <f>'Dropdown Lists'!$I$2*(1+OrdersTable[[#This Row],[Returned]])</f>
        <v>60</v>
      </c>
      <c r="Y3515" s="76">
        <f>OrdersTable[[#This Row],[Net Revenue]]-OrdersTable[[#This Row],[COGS]]-OrdersTable[[#This Row],[Shipping Cost]]</f>
        <v>778.59999999999991</v>
      </c>
      <c r="Z3515" s="78">
        <f>IFERROR(OrdersTable[[#This Row],[Profit]]/OrdersTable[[#This Row],[Net Revenue]],0)</f>
        <v>0.3710092442580768</v>
      </c>
      <c r="AA3515" t="s">
        <v>18</v>
      </c>
      <c r="AB3515" s="79">
        <v>45870</v>
      </c>
      <c r="AC3515">
        <f>OrdersTable[[#This Row],[Delivery Date]]-OrdersTable[[#This Row],[Order Date]]</f>
        <v>3</v>
      </c>
      <c r="AD3515" t="str">
        <f>IF(OrdersTable[[#This Row],[Delivery Days]]&lt;=2, "Express (≤2d)", IF(OrdersTable[[#This Row],[Delivery Days]]&lt;=4, "Standard (3-4d)", "Delayed (5d+)"))</f>
        <v>Standard (3-4d)</v>
      </c>
      <c r="AE3515">
        <v>4</v>
      </c>
      <c r="AF3515">
        <v>0</v>
      </c>
    </row>
    <row r="3516" spans="1:32" ht="15" x14ac:dyDescent="0.35">
      <c r="A3516" t="s">
        <v>1426</v>
      </c>
      <c r="B3516" s="1">
        <v>45867</v>
      </c>
      <c r="C3516">
        <f>YEAR(OrdersTable[[#This Row],[Order Date]])</f>
        <v>2025</v>
      </c>
      <c r="D3516" s="2">
        <f>DATE(YEAR(OrdersTable[[#This Row],[Order Date]]),MONTH(OrdersTable[[#This Row],[Order Date]]),1)</f>
        <v>45839</v>
      </c>
      <c r="E3516">
        <f>MONTH(OrdersTable[[#This Row],[Order Date]])</f>
        <v>7</v>
      </c>
      <c r="F3516" t="s">
        <v>1427</v>
      </c>
      <c r="G3516" t="str">
        <f>IF(OrdersTable[[#This Row],[Order Date]]=_xlfn.MINIFS(Order_Date, Customer_ID, OrdersTable[[#This Row],[Customer ID]]), "New", "Repeat")</f>
        <v>Repeat</v>
      </c>
      <c r="H3516" t="s">
        <v>128</v>
      </c>
      <c r="I3516" t="str">
        <f>INDEX(State!B:B,MATCH(OrdersTable[[#This Row],[State]],State!A:A,0))</f>
        <v>DL</v>
      </c>
      <c r="J3516" t="str">
        <f>INDEX(State!C:C,MATCH(OrdersTable[[#This Row],[State Code]],State!B:B,0))</f>
        <v>North</v>
      </c>
      <c r="K3516" t="s">
        <v>129</v>
      </c>
      <c r="L3516" t="s">
        <v>23</v>
      </c>
      <c r="M3516" t="s">
        <v>45</v>
      </c>
      <c r="N3516" t="str">
        <f>INDEX(Products!B:B,MATCH(OrdersTable[[#This Row],[Product ID]],Products!A:A,0))</f>
        <v>Argan Shampoo</v>
      </c>
      <c r="O3516" t="str">
        <f>INDEX(Products!C:C,MATCH(OrdersTable[[#This Row],[Product ID]],Products!A:A,0))</f>
        <v>Haircare</v>
      </c>
      <c r="P3516">
        <v>1</v>
      </c>
      <c r="Q3516" s="5">
        <v>449</v>
      </c>
      <c r="R3516" s="74">
        <v>0.1</v>
      </c>
      <c r="S3516" s="75">
        <f>OrdersTable[[#This Row],[Quantity]]*OrdersTable[[#This Row],[Unit Price]]</f>
        <v>449</v>
      </c>
      <c r="T3516" s="5">
        <f>OrdersTable[[#This Row],[Gross Sale]]*OrdersTable[[#This Row],[Discount_Clean2]]</f>
        <v>44.900000000000006</v>
      </c>
      <c r="U3516" s="5">
        <f>OrdersTable[[#This Row],[Gross Sale]]-OrdersTable[[#This Row],[Discount Amount]]</f>
        <v>404.1</v>
      </c>
      <c r="V3516" s="77">
        <f>INDEX(Products!E:E,MATCH(OrdersTable[[#This Row],[Product ID]],Products!A:A,0))</f>
        <v>148</v>
      </c>
      <c r="W3516" s="77">
        <f>OrdersTable[[#This Row],[Quantity]]*OrdersTable[[#This Row],[Unit Cost]]</f>
        <v>148</v>
      </c>
      <c r="X3516" s="77">
        <f>'Dropdown Lists'!$I$2*(1+OrdersTable[[#This Row],[Returned]])</f>
        <v>120</v>
      </c>
      <c r="Y3516" s="76">
        <f>OrdersTable[[#This Row],[Net Revenue]]-OrdersTable[[#This Row],[COGS]]-OrdersTable[[#This Row],[Shipping Cost]]</f>
        <v>136.10000000000002</v>
      </c>
      <c r="Z3516" s="78">
        <f>IFERROR(OrdersTable[[#This Row],[Profit]]/OrdersTable[[#This Row],[Net Revenue]],0)</f>
        <v>0.33679782232120764</v>
      </c>
      <c r="AA3516" t="s">
        <v>18</v>
      </c>
      <c r="AB3516" s="79">
        <v>45868</v>
      </c>
      <c r="AC3516">
        <f>OrdersTable[[#This Row],[Delivery Date]]-OrdersTable[[#This Row],[Order Date]]</f>
        <v>1</v>
      </c>
      <c r="AD3516" t="str">
        <f>IF(OrdersTable[[#This Row],[Delivery Days]]&lt;=2, "Express (≤2d)", IF(OrdersTable[[#This Row],[Delivery Days]]&lt;=4, "Standard (3-4d)", "Delayed (5d+)"))</f>
        <v>Express (≤2d)</v>
      </c>
      <c r="AF3516">
        <v>1</v>
      </c>
    </row>
    <row r="3517" spans="1:32" ht="15" x14ac:dyDescent="0.35">
      <c r="A3517" t="s">
        <v>2432</v>
      </c>
      <c r="B3517" s="1">
        <v>45867</v>
      </c>
      <c r="C3517">
        <f>YEAR(OrdersTable[[#This Row],[Order Date]])</f>
        <v>2025</v>
      </c>
      <c r="D3517" s="2">
        <f>DATE(YEAR(OrdersTable[[#This Row],[Order Date]]),MONTH(OrdersTable[[#This Row],[Order Date]]),1)</f>
        <v>45839</v>
      </c>
      <c r="E3517">
        <f>MONTH(OrdersTable[[#This Row],[Order Date]])</f>
        <v>7</v>
      </c>
      <c r="F3517" t="s">
        <v>2433</v>
      </c>
      <c r="G3517" t="str">
        <f>IF(OrdersTable[[#This Row],[Order Date]]=_xlfn.MINIFS(Order_Date, Customer_ID, OrdersTable[[#This Row],[Customer ID]]), "New", "Repeat")</f>
        <v>Repeat</v>
      </c>
      <c r="H3517" t="s">
        <v>128</v>
      </c>
      <c r="I3517" t="str">
        <f>INDEX(State!B:B,MATCH(OrdersTable[[#This Row],[State]],State!A:A,0))</f>
        <v>DL</v>
      </c>
      <c r="J3517" t="str">
        <f>INDEX(State!C:C,MATCH(OrdersTable[[#This Row],[State Code]],State!B:B,0))</f>
        <v>North</v>
      </c>
      <c r="K3517" t="s">
        <v>129</v>
      </c>
      <c r="L3517" t="s">
        <v>65</v>
      </c>
      <c r="M3517" t="s">
        <v>176</v>
      </c>
      <c r="N3517" t="str">
        <f>INDEX(Products!B:B,MATCH(OrdersTable[[#This Row],[Product ID]],Products!A:A,0))</f>
        <v>Denim Jacket</v>
      </c>
      <c r="O3517" t="str">
        <f>INDEX(Products!C:C,MATCH(OrdersTable[[#This Row],[Product ID]],Products!A:A,0))</f>
        <v>Apparel</v>
      </c>
      <c r="P3517">
        <v>1</v>
      </c>
      <c r="Q3517" s="5">
        <v>2499</v>
      </c>
      <c r="R3517" s="74">
        <v>0</v>
      </c>
      <c r="S3517" s="75">
        <f>OrdersTable[[#This Row],[Quantity]]*OrdersTable[[#This Row],[Unit Price]]</f>
        <v>2499</v>
      </c>
      <c r="T3517" s="5">
        <f>OrdersTable[[#This Row],[Gross Sale]]*OrdersTable[[#This Row],[Discount_Clean2]]</f>
        <v>0</v>
      </c>
      <c r="U3517" s="5">
        <f>OrdersTable[[#This Row],[Gross Sale]]-OrdersTable[[#This Row],[Discount Amount]]</f>
        <v>2499</v>
      </c>
      <c r="V3517" s="77">
        <f>INDEX(Products!E:E,MATCH(OrdersTable[[#This Row],[Product ID]],Products!A:A,0))</f>
        <v>1125</v>
      </c>
      <c r="W3517" s="77">
        <f>OrdersTable[[#This Row],[Quantity]]*OrdersTable[[#This Row],[Unit Cost]]</f>
        <v>1125</v>
      </c>
      <c r="X3517" s="77">
        <f>'Dropdown Lists'!$I$2*(1+OrdersTable[[#This Row],[Returned]])</f>
        <v>60</v>
      </c>
      <c r="Y3517" s="76">
        <f>OrdersTable[[#This Row],[Net Revenue]]-OrdersTable[[#This Row],[COGS]]-OrdersTable[[#This Row],[Shipping Cost]]</f>
        <v>1314</v>
      </c>
      <c r="Z3517" s="78">
        <f>IFERROR(OrdersTable[[#This Row],[Profit]]/OrdersTable[[#This Row],[Net Revenue]],0)</f>
        <v>0.5258103241296519</v>
      </c>
      <c r="AA3517" t="s">
        <v>18</v>
      </c>
      <c r="AB3517" s="79">
        <v>45868</v>
      </c>
      <c r="AC3517">
        <f>OrdersTable[[#This Row],[Delivery Date]]-OrdersTable[[#This Row],[Order Date]]</f>
        <v>1</v>
      </c>
      <c r="AD3517" t="str">
        <f>IF(OrdersTable[[#This Row],[Delivery Days]]&lt;=2, "Express (≤2d)", IF(OrdersTable[[#This Row],[Delivery Days]]&lt;=4, "Standard (3-4d)", "Delayed (5d+)"))</f>
        <v>Express (≤2d)</v>
      </c>
      <c r="AE3517">
        <v>5</v>
      </c>
      <c r="AF3517">
        <v>0</v>
      </c>
    </row>
    <row r="3518" spans="1:32" ht="15" x14ac:dyDescent="0.35">
      <c r="A3518" t="s">
        <v>4532</v>
      </c>
      <c r="B3518" s="1">
        <v>45867</v>
      </c>
      <c r="C3518">
        <f>YEAR(OrdersTable[[#This Row],[Order Date]])</f>
        <v>2025</v>
      </c>
      <c r="D3518" s="2">
        <f>DATE(YEAR(OrdersTable[[#This Row],[Order Date]]),MONTH(OrdersTable[[#This Row],[Order Date]]),1)</f>
        <v>45839</v>
      </c>
      <c r="E3518">
        <f>MONTH(OrdersTable[[#This Row],[Order Date]])</f>
        <v>7</v>
      </c>
      <c r="F3518" t="s">
        <v>4466</v>
      </c>
      <c r="G3518" t="str">
        <f>IF(OrdersTable[[#This Row],[Order Date]]=_xlfn.MINIFS(Order_Date, Customer_ID, OrdersTable[[#This Row],[Customer ID]]), "New", "Repeat")</f>
        <v>Repeat</v>
      </c>
      <c r="H3518" t="s">
        <v>275</v>
      </c>
      <c r="I3518" t="str">
        <f>INDEX(State!B:B,MATCH(OrdersTable[[#This Row],[State]],State!A:A,0))</f>
        <v>AP</v>
      </c>
      <c r="J3518" t="str">
        <f>INDEX(State!C:C,MATCH(OrdersTable[[#This Row],[State Code]],State!B:B,0))</f>
        <v>South</v>
      </c>
      <c r="K3518" t="s">
        <v>491</v>
      </c>
      <c r="L3518" t="s">
        <v>39</v>
      </c>
      <c r="M3518" t="s">
        <v>87</v>
      </c>
      <c r="N3518" t="str">
        <f>INDEX(Products!B:B,MATCH(OrdersTable[[#This Row],[Product ID]],Products!A:A,0))</f>
        <v>Linen Kurta</v>
      </c>
      <c r="O3518" t="str">
        <f>INDEX(Products!C:C,MATCH(OrdersTable[[#This Row],[Product ID]],Products!A:A,0))</f>
        <v>Apparel</v>
      </c>
      <c r="P3518">
        <v>1</v>
      </c>
      <c r="Q3518" s="5">
        <v>1499</v>
      </c>
      <c r="R3518" s="74">
        <v>0.2</v>
      </c>
      <c r="S3518" s="75">
        <f>OrdersTable[[#This Row],[Quantity]]*OrdersTable[[#This Row],[Unit Price]]</f>
        <v>1499</v>
      </c>
      <c r="T3518" s="5">
        <f>OrdersTable[[#This Row],[Gross Sale]]*OrdersTable[[#This Row],[Discount_Clean2]]</f>
        <v>299.8</v>
      </c>
      <c r="U3518" s="5">
        <f>OrdersTable[[#This Row],[Gross Sale]]-OrdersTable[[#This Row],[Discount Amount]]</f>
        <v>1199.2</v>
      </c>
      <c r="V3518" s="77">
        <f>INDEX(Products!E:E,MATCH(OrdersTable[[#This Row],[Product ID]],Products!A:A,0))</f>
        <v>630</v>
      </c>
      <c r="W3518" s="77">
        <f>OrdersTable[[#This Row],[Quantity]]*OrdersTable[[#This Row],[Unit Cost]]</f>
        <v>630</v>
      </c>
      <c r="X3518" s="77">
        <f>'Dropdown Lists'!$I$2*(1+OrdersTable[[#This Row],[Returned]])</f>
        <v>60</v>
      </c>
      <c r="Y3518" s="76">
        <f>OrdersTable[[#This Row],[Net Revenue]]-OrdersTable[[#This Row],[COGS]]-OrdersTable[[#This Row],[Shipping Cost]]</f>
        <v>509.20000000000005</v>
      </c>
      <c r="Z3518" s="78">
        <f>IFERROR(OrdersTable[[#This Row],[Profit]]/OrdersTable[[#This Row],[Net Revenue]],0)</f>
        <v>0.42461641094062713</v>
      </c>
      <c r="AA3518" t="s">
        <v>4450</v>
      </c>
      <c r="AB3518" s="79">
        <v>45870</v>
      </c>
      <c r="AC3518">
        <f>OrdersTable[[#This Row],[Delivery Date]]-OrdersTable[[#This Row],[Order Date]]</f>
        <v>3</v>
      </c>
      <c r="AD3518" t="str">
        <f>IF(OrdersTable[[#This Row],[Delivery Days]]&lt;=2, "Express (≤2d)", IF(OrdersTable[[#This Row],[Delivery Days]]&lt;=4, "Standard (3-4d)", "Delayed (5d+)"))</f>
        <v>Standard (3-4d)</v>
      </c>
      <c r="AE3518">
        <v>4</v>
      </c>
      <c r="AF3518">
        <v>0</v>
      </c>
    </row>
    <row r="3519" spans="1:32" ht="15" x14ac:dyDescent="0.35">
      <c r="A3519" t="s">
        <v>6907</v>
      </c>
      <c r="B3519" s="1">
        <v>45867</v>
      </c>
      <c r="C3519">
        <f>YEAR(OrdersTable[[#This Row],[Order Date]])</f>
        <v>2025</v>
      </c>
      <c r="D3519" s="2">
        <f>DATE(YEAR(OrdersTable[[#This Row],[Order Date]]),MONTH(OrdersTable[[#This Row],[Order Date]]),1)</f>
        <v>45839</v>
      </c>
      <c r="E3519">
        <f>MONTH(OrdersTable[[#This Row],[Order Date]])</f>
        <v>7</v>
      </c>
      <c r="F3519" t="s">
        <v>101</v>
      </c>
      <c r="G3519" t="str">
        <f>IF(OrdersTable[[#This Row],[Order Date]]=_xlfn.MINIFS(Order_Date, Customer_ID, OrdersTable[[#This Row],[Customer ID]]), "New", "Repeat")</f>
        <v>Repeat</v>
      </c>
      <c r="H3519" t="s">
        <v>316</v>
      </c>
      <c r="I3519" t="str">
        <f>INDEX(State!B:B,MATCH(OrdersTable[[#This Row],[State]],State!A:A,0))</f>
        <v>KL</v>
      </c>
      <c r="J3519" t="str">
        <f>INDEX(State!C:C,MATCH(OrdersTable[[#This Row],[State Code]],State!B:B,0))</f>
        <v>South</v>
      </c>
      <c r="K3519" t="s">
        <v>317</v>
      </c>
      <c r="L3519" t="s">
        <v>23</v>
      </c>
      <c r="M3519" t="s">
        <v>73</v>
      </c>
      <c r="N3519" t="str">
        <f>INDEX(Products!B:B,MATCH(OrdersTable[[#This Row],[Product ID]],Products!A:A,0))</f>
        <v>Hydrating Face Wash</v>
      </c>
      <c r="O3519" t="str">
        <f>INDEX(Products!C:C,MATCH(OrdersTable[[#This Row],[Product ID]],Products!A:A,0))</f>
        <v>Skincare</v>
      </c>
      <c r="P3519">
        <v>3</v>
      </c>
      <c r="Q3519" s="5">
        <v>299</v>
      </c>
      <c r="R3519" s="74">
        <v>0</v>
      </c>
      <c r="S3519" s="75">
        <f>OrdersTable[[#This Row],[Quantity]]*OrdersTable[[#This Row],[Unit Price]]</f>
        <v>897</v>
      </c>
      <c r="T3519" s="5">
        <f>OrdersTable[[#This Row],[Gross Sale]]*OrdersTable[[#This Row],[Discount_Clean2]]</f>
        <v>0</v>
      </c>
      <c r="U3519" s="5">
        <f>OrdersTable[[#This Row],[Gross Sale]]-OrdersTable[[#This Row],[Discount Amount]]</f>
        <v>897</v>
      </c>
      <c r="V3519" s="77">
        <f>INDEX(Products!E:E,MATCH(OrdersTable[[#This Row],[Product ID]],Products!A:A,0))</f>
        <v>90</v>
      </c>
      <c r="W3519" s="77">
        <f>OrdersTable[[#This Row],[Quantity]]*OrdersTable[[#This Row],[Unit Cost]]</f>
        <v>270</v>
      </c>
      <c r="X3519" s="77">
        <f>'Dropdown Lists'!$I$2*(1+OrdersTable[[#This Row],[Returned]])</f>
        <v>60</v>
      </c>
      <c r="Y3519" s="76">
        <f>OrdersTable[[#This Row],[Net Revenue]]-OrdersTable[[#This Row],[COGS]]-OrdersTable[[#This Row],[Shipping Cost]]</f>
        <v>567</v>
      </c>
      <c r="Z3519" s="78">
        <f>IFERROR(OrdersTable[[#This Row],[Profit]]/OrdersTable[[#This Row],[Net Revenue]],0)</f>
        <v>0.63210702341137126</v>
      </c>
      <c r="AA3519" t="s">
        <v>4074</v>
      </c>
      <c r="AB3519" s="79">
        <v>45869</v>
      </c>
      <c r="AC3519">
        <f>OrdersTable[[#This Row],[Delivery Date]]-OrdersTable[[#This Row],[Order Date]]</f>
        <v>2</v>
      </c>
      <c r="AD3519" t="str">
        <f>IF(OrdersTable[[#This Row],[Delivery Days]]&lt;=2, "Express (≤2d)", IF(OrdersTable[[#This Row],[Delivery Days]]&lt;=4, "Standard (3-4d)", "Delayed (5d+)"))</f>
        <v>Express (≤2d)</v>
      </c>
      <c r="AE3519">
        <v>5</v>
      </c>
      <c r="AF3519">
        <v>0</v>
      </c>
    </row>
    <row r="3520" spans="1:32" ht="15" x14ac:dyDescent="0.35">
      <c r="A3520" t="s">
        <v>5534</v>
      </c>
      <c r="B3520" s="1">
        <v>45868</v>
      </c>
      <c r="C3520">
        <f>YEAR(OrdersTable[[#This Row],[Order Date]])</f>
        <v>2025</v>
      </c>
      <c r="D3520" s="2">
        <f>DATE(YEAR(OrdersTable[[#This Row],[Order Date]]),MONTH(OrdersTable[[#This Row],[Order Date]]),1)</f>
        <v>45839</v>
      </c>
      <c r="E3520">
        <f>MONTH(OrdersTable[[#This Row],[Order Date]])</f>
        <v>7</v>
      </c>
      <c r="F3520" t="s">
        <v>5535</v>
      </c>
      <c r="G3520" t="str">
        <f>IF(OrdersTable[[#This Row],[Order Date]]=_xlfn.MINIFS(Order_Date, Customer_ID, OrdersTable[[#This Row],[Customer ID]]), "New", "Repeat")</f>
        <v>New</v>
      </c>
      <c r="H3520" t="s">
        <v>210</v>
      </c>
      <c r="I3520" t="str">
        <f>INDEX(State!B:B,MATCH(OrdersTable[[#This Row],[State]],State!A:A,0))</f>
        <v>JK</v>
      </c>
      <c r="J3520" t="str">
        <f>INDEX(State!C:C,MATCH(OrdersTable[[#This Row],[State Code]],State!B:B,0))</f>
        <v>North</v>
      </c>
      <c r="K3520" t="s">
        <v>211</v>
      </c>
      <c r="L3520" t="s">
        <v>23</v>
      </c>
      <c r="M3520" t="s">
        <v>576</v>
      </c>
      <c r="N3520" t="str">
        <f>INDEX(Products!B:B,MATCH(OrdersTable[[#This Row],[Product ID]],Products!A:A,0))</f>
        <v>Printed Saree</v>
      </c>
      <c r="O3520" t="str">
        <f>INDEX(Products!C:C,MATCH(OrdersTable[[#This Row],[Product ID]],Products!A:A,0))</f>
        <v>Apparel</v>
      </c>
      <c r="P3520">
        <v>2</v>
      </c>
      <c r="Q3520" s="5">
        <v>1999</v>
      </c>
      <c r="R3520" s="74">
        <v>0</v>
      </c>
      <c r="S3520" s="75">
        <f>OrdersTable[[#This Row],[Quantity]]*OrdersTable[[#This Row],[Unit Price]]</f>
        <v>3998</v>
      </c>
      <c r="T3520" s="5">
        <f>OrdersTable[[#This Row],[Gross Sale]]*OrdersTable[[#This Row],[Discount_Clean2]]</f>
        <v>0</v>
      </c>
      <c r="U3520" s="5">
        <f>OrdersTable[[#This Row],[Gross Sale]]-OrdersTable[[#This Row],[Discount Amount]]</f>
        <v>3998</v>
      </c>
      <c r="V3520" s="77">
        <f>INDEX(Products!E:E,MATCH(OrdersTable[[#This Row],[Product ID]],Products!A:A,0))</f>
        <v>880</v>
      </c>
      <c r="W3520" s="77">
        <f>OrdersTable[[#This Row],[Quantity]]*OrdersTable[[#This Row],[Unit Cost]]</f>
        <v>1760</v>
      </c>
      <c r="X3520" s="77">
        <f>'Dropdown Lists'!$I$2*(1+OrdersTable[[#This Row],[Returned]])</f>
        <v>60</v>
      </c>
      <c r="Y3520" s="76">
        <f>OrdersTable[[#This Row],[Net Revenue]]-OrdersTable[[#This Row],[COGS]]-OrdersTable[[#This Row],[Shipping Cost]]</f>
        <v>2178</v>
      </c>
      <c r="Z3520" s="78">
        <f>IFERROR(OrdersTable[[#This Row],[Profit]]/OrdersTable[[#This Row],[Net Revenue]],0)</f>
        <v>0.54477238619309654</v>
      </c>
      <c r="AA3520" t="s">
        <v>2522</v>
      </c>
      <c r="AB3520" s="79">
        <v>45874</v>
      </c>
      <c r="AC3520">
        <f>OrdersTable[[#This Row],[Delivery Date]]-OrdersTable[[#This Row],[Order Date]]</f>
        <v>6</v>
      </c>
      <c r="AD3520" t="str">
        <f>IF(OrdersTable[[#This Row],[Delivery Days]]&lt;=2, "Express (≤2d)", IF(OrdersTable[[#This Row],[Delivery Days]]&lt;=4, "Standard (3-4d)", "Delayed (5d+)"))</f>
        <v>Delayed (5d+)</v>
      </c>
      <c r="AE3520">
        <v>4</v>
      </c>
      <c r="AF3520">
        <v>0</v>
      </c>
    </row>
    <row r="3521" spans="1:32" ht="15" x14ac:dyDescent="0.35">
      <c r="A3521" t="s">
        <v>1579</v>
      </c>
      <c r="B3521" s="1">
        <v>45868</v>
      </c>
      <c r="C3521">
        <f>YEAR(OrdersTable[[#This Row],[Order Date]])</f>
        <v>2025</v>
      </c>
      <c r="D3521" s="2">
        <f>DATE(YEAR(OrdersTable[[#This Row],[Order Date]]),MONTH(OrdersTable[[#This Row],[Order Date]]),1)</f>
        <v>45839</v>
      </c>
      <c r="E3521">
        <f>MONTH(OrdersTable[[#This Row],[Order Date]])</f>
        <v>7</v>
      </c>
      <c r="F3521" t="s">
        <v>1580</v>
      </c>
      <c r="G3521" t="str">
        <f>IF(OrdersTable[[#This Row],[Order Date]]=_xlfn.MINIFS(Order_Date, Customer_ID, OrdersTable[[#This Row],[Customer ID]]), "New", "Repeat")</f>
        <v>Repeat</v>
      </c>
      <c r="H3521" t="s">
        <v>21</v>
      </c>
      <c r="I3521" t="str">
        <f>INDEX(State!B:B,MATCH(OrdersTable[[#This Row],[State]],State!A:A,0))</f>
        <v>PB</v>
      </c>
      <c r="J3521" t="str">
        <f>INDEX(State!C:C,MATCH(OrdersTable[[#This Row],[State Code]],State!B:B,0))</f>
        <v>North</v>
      </c>
      <c r="K3521" t="s">
        <v>22</v>
      </c>
      <c r="L3521" t="s">
        <v>39</v>
      </c>
      <c r="M3521" t="s">
        <v>61</v>
      </c>
      <c r="N3521" t="str">
        <f>INDEX(Products!B:B,MATCH(OrdersTable[[#This Row],[Product ID]],Products!A:A,0))</f>
        <v>Multivitamin Gummies</v>
      </c>
      <c r="O3521" t="str">
        <f>INDEX(Products!C:C,MATCH(OrdersTable[[#This Row],[Product ID]],Products!A:A,0))</f>
        <v>Wellness</v>
      </c>
      <c r="P3521">
        <v>1</v>
      </c>
      <c r="Q3521" s="5">
        <v>699</v>
      </c>
      <c r="R3521" s="74">
        <v>0.15</v>
      </c>
      <c r="S3521" s="75">
        <f>OrdersTable[[#This Row],[Quantity]]*OrdersTable[[#This Row],[Unit Price]]</f>
        <v>699</v>
      </c>
      <c r="T3521" s="5">
        <f>OrdersTable[[#This Row],[Gross Sale]]*OrdersTable[[#This Row],[Discount_Clean2]]</f>
        <v>104.85</v>
      </c>
      <c r="U3521" s="5">
        <f>OrdersTable[[#This Row],[Gross Sale]]-OrdersTable[[#This Row],[Discount Amount]]</f>
        <v>594.15</v>
      </c>
      <c r="V3521" s="77">
        <f>INDEX(Products!E:E,MATCH(OrdersTable[[#This Row],[Product ID]],Products!A:A,0))</f>
        <v>238</v>
      </c>
      <c r="W3521" s="77">
        <f>OrdersTable[[#This Row],[Quantity]]*OrdersTable[[#This Row],[Unit Cost]]</f>
        <v>238</v>
      </c>
      <c r="X3521" s="77">
        <f>'Dropdown Lists'!$I$2*(1+OrdersTable[[#This Row],[Returned]])</f>
        <v>60</v>
      </c>
      <c r="Y3521" s="76">
        <f>OrdersTable[[#This Row],[Net Revenue]]-OrdersTable[[#This Row],[COGS]]-OrdersTable[[#This Row],[Shipping Cost]]</f>
        <v>296.14999999999998</v>
      </c>
      <c r="Z3521" s="78">
        <f>IFERROR(OrdersTable[[#This Row],[Profit]]/OrdersTable[[#This Row],[Net Revenue]],0)</f>
        <v>0.49844315408566858</v>
      </c>
      <c r="AA3521" t="s">
        <v>18</v>
      </c>
      <c r="AB3521" s="79">
        <v>45871</v>
      </c>
      <c r="AC3521">
        <f>OrdersTable[[#This Row],[Delivery Date]]-OrdersTable[[#This Row],[Order Date]]</f>
        <v>3</v>
      </c>
      <c r="AD3521" t="str">
        <f>IF(OrdersTable[[#This Row],[Delivery Days]]&lt;=2, "Express (≤2d)", IF(OrdersTable[[#This Row],[Delivery Days]]&lt;=4, "Standard (3-4d)", "Delayed (5d+)"))</f>
        <v>Standard (3-4d)</v>
      </c>
      <c r="AF3521">
        <v>0</v>
      </c>
    </row>
    <row r="3522" spans="1:32" ht="15" x14ac:dyDescent="0.35">
      <c r="A3522" t="s">
        <v>4043</v>
      </c>
      <c r="B3522" s="1">
        <v>45868</v>
      </c>
      <c r="C3522">
        <f>YEAR(OrdersTable[[#This Row],[Order Date]])</f>
        <v>2025</v>
      </c>
      <c r="D3522" s="2">
        <f>DATE(YEAR(OrdersTable[[#This Row],[Order Date]]),MONTH(OrdersTable[[#This Row],[Order Date]]),1)</f>
        <v>45839</v>
      </c>
      <c r="E3522">
        <f>MONTH(OrdersTable[[#This Row],[Order Date]])</f>
        <v>7</v>
      </c>
      <c r="F3522" t="s">
        <v>847</v>
      </c>
      <c r="G3522" t="str">
        <f>IF(OrdersTable[[#This Row],[Order Date]]=_xlfn.MINIFS(Order_Date, Customer_ID, OrdersTable[[#This Row],[Customer ID]]), "New", "Repeat")</f>
        <v>Repeat</v>
      </c>
      <c r="H3522" t="s">
        <v>48</v>
      </c>
      <c r="I3522" t="str">
        <f>INDEX(State!B:B,MATCH(OrdersTable[[#This Row],[State]],State!A:A,0))</f>
        <v>HR</v>
      </c>
      <c r="J3522" t="str">
        <f>INDEX(State!C:C,MATCH(OrdersTable[[#This Row],[State Code]],State!B:B,0))</f>
        <v>North</v>
      </c>
      <c r="K3522" t="s">
        <v>151</v>
      </c>
      <c r="L3522" t="s">
        <v>23</v>
      </c>
      <c r="M3522" t="s">
        <v>205</v>
      </c>
      <c r="N3522" t="str">
        <f>INDEX(Products!B:B,MATCH(OrdersTable[[#This Row],[Product ID]],Products!A:A,0))</f>
        <v>Running Shoes</v>
      </c>
      <c r="O3522" t="str">
        <f>INDEX(Products!C:C,MATCH(OrdersTable[[#This Row],[Product ID]],Products!A:A,0))</f>
        <v>Footwear</v>
      </c>
      <c r="P3522">
        <v>1</v>
      </c>
      <c r="Q3522" s="5">
        <v>2999</v>
      </c>
      <c r="R3522" s="74">
        <v>0.2</v>
      </c>
      <c r="S3522" s="75">
        <f>OrdersTable[[#This Row],[Quantity]]*OrdersTable[[#This Row],[Unit Price]]</f>
        <v>2999</v>
      </c>
      <c r="T3522" s="5">
        <f>OrdersTable[[#This Row],[Gross Sale]]*OrdersTable[[#This Row],[Discount_Clean2]]</f>
        <v>599.80000000000007</v>
      </c>
      <c r="U3522" s="5">
        <f>OrdersTable[[#This Row],[Gross Sale]]-OrdersTable[[#This Row],[Discount Amount]]</f>
        <v>2399.1999999999998</v>
      </c>
      <c r="V3522" s="77">
        <f>INDEX(Products!E:E,MATCH(OrdersTable[[#This Row],[Product ID]],Products!A:A,0))</f>
        <v>1440</v>
      </c>
      <c r="W3522" s="77">
        <f>OrdersTable[[#This Row],[Quantity]]*OrdersTable[[#This Row],[Unit Cost]]</f>
        <v>1440</v>
      </c>
      <c r="X3522" s="77">
        <f>'Dropdown Lists'!$I$2*(1+OrdersTable[[#This Row],[Returned]])</f>
        <v>60</v>
      </c>
      <c r="Y3522" s="76">
        <f>OrdersTable[[#This Row],[Net Revenue]]-OrdersTable[[#This Row],[COGS]]-OrdersTable[[#This Row],[Shipping Cost]]</f>
        <v>899.19999999999982</v>
      </c>
      <c r="Z3522" s="78">
        <f>IFERROR(OrdersTable[[#This Row],[Profit]]/OrdersTable[[#This Row],[Net Revenue]],0)</f>
        <v>0.3747915971990663</v>
      </c>
      <c r="AA3522" t="s">
        <v>3495</v>
      </c>
      <c r="AB3522" s="79">
        <v>45870</v>
      </c>
      <c r="AC3522">
        <f>OrdersTable[[#This Row],[Delivery Date]]-OrdersTable[[#This Row],[Order Date]]</f>
        <v>2</v>
      </c>
      <c r="AD3522" t="str">
        <f>IF(OrdersTable[[#This Row],[Delivery Days]]&lt;=2, "Express (≤2d)", IF(OrdersTable[[#This Row],[Delivery Days]]&lt;=4, "Standard (3-4d)", "Delayed (5d+)"))</f>
        <v>Express (≤2d)</v>
      </c>
      <c r="AE3522">
        <v>5</v>
      </c>
      <c r="AF3522">
        <v>0</v>
      </c>
    </row>
    <row r="3523" spans="1:32" ht="15" x14ac:dyDescent="0.35">
      <c r="A3523" t="s">
        <v>2011</v>
      </c>
      <c r="B3523" s="1">
        <v>45868</v>
      </c>
      <c r="C3523">
        <f>YEAR(OrdersTable[[#This Row],[Order Date]])</f>
        <v>2025</v>
      </c>
      <c r="D3523" s="2">
        <f>DATE(YEAR(OrdersTable[[#This Row],[Order Date]]),MONTH(OrdersTable[[#This Row],[Order Date]]),1)</f>
        <v>45839</v>
      </c>
      <c r="E3523">
        <f>MONTH(OrdersTable[[#This Row],[Order Date]])</f>
        <v>7</v>
      </c>
      <c r="F3523" t="s">
        <v>2012</v>
      </c>
      <c r="G3523" t="str">
        <f>IF(OrdersTable[[#This Row],[Order Date]]=_xlfn.MINIFS(Order_Date, Customer_ID, OrdersTable[[#This Row],[Customer ID]]), "New", "Repeat")</f>
        <v>Repeat</v>
      </c>
      <c r="H3523" t="s">
        <v>128</v>
      </c>
      <c r="I3523" t="str">
        <f>INDEX(State!B:B,MATCH(OrdersTable[[#This Row],[State]],State!A:A,0))</f>
        <v>DL</v>
      </c>
      <c r="J3523" t="str">
        <f>INDEX(State!C:C,MATCH(OrdersTable[[#This Row],[State Code]],State!B:B,0))</f>
        <v>North</v>
      </c>
      <c r="K3523" t="s">
        <v>129</v>
      </c>
      <c r="L3523" t="s">
        <v>16</v>
      </c>
      <c r="M3523" t="s">
        <v>92</v>
      </c>
      <c r="N3523" t="str">
        <f>INDEX(Products!B:B,MATCH(OrdersTable[[#This Row],[Product ID]],Products!A:A,0))</f>
        <v>Kolhapuri Sandals</v>
      </c>
      <c r="O3523" t="str">
        <f>INDEX(Products!C:C,MATCH(OrdersTable[[#This Row],[Product ID]],Products!A:A,0))</f>
        <v>Footwear</v>
      </c>
      <c r="P3523">
        <v>1</v>
      </c>
      <c r="Q3523" s="5">
        <v>999</v>
      </c>
      <c r="R3523" s="74">
        <v>0.05</v>
      </c>
      <c r="S3523" s="75">
        <f>OrdersTable[[#This Row],[Quantity]]*OrdersTable[[#This Row],[Unit Price]]</f>
        <v>999</v>
      </c>
      <c r="T3523" s="5">
        <f>OrdersTable[[#This Row],[Gross Sale]]*OrdersTable[[#This Row],[Discount_Clean2]]</f>
        <v>49.95</v>
      </c>
      <c r="U3523" s="5">
        <f>OrdersTable[[#This Row],[Gross Sale]]-OrdersTable[[#This Row],[Discount Amount]]</f>
        <v>949.05</v>
      </c>
      <c r="V3523" s="77">
        <f>INDEX(Products!E:E,MATCH(OrdersTable[[#This Row],[Product ID]],Products!A:A,0))</f>
        <v>400</v>
      </c>
      <c r="W3523" s="77">
        <f>OrdersTable[[#This Row],[Quantity]]*OrdersTable[[#This Row],[Unit Cost]]</f>
        <v>400</v>
      </c>
      <c r="X3523" s="77">
        <f>'Dropdown Lists'!$I$2*(1+OrdersTable[[#This Row],[Returned]])</f>
        <v>60</v>
      </c>
      <c r="Y3523" s="76">
        <f>OrdersTable[[#This Row],[Net Revenue]]-OrdersTable[[#This Row],[COGS]]-OrdersTable[[#This Row],[Shipping Cost]]</f>
        <v>489.04999999999995</v>
      </c>
      <c r="Z3523" s="78">
        <f>IFERROR(OrdersTable[[#This Row],[Profit]]/OrdersTable[[#This Row],[Net Revenue]],0)</f>
        <v>0.5153047784626732</v>
      </c>
      <c r="AA3523" t="s">
        <v>18</v>
      </c>
      <c r="AB3523" s="79">
        <v>45870</v>
      </c>
      <c r="AC3523">
        <f>OrdersTable[[#This Row],[Delivery Date]]-OrdersTable[[#This Row],[Order Date]]</f>
        <v>2</v>
      </c>
      <c r="AD3523" t="str">
        <f>IF(OrdersTable[[#This Row],[Delivery Days]]&lt;=2, "Express (≤2d)", IF(OrdersTable[[#This Row],[Delivery Days]]&lt;=4, "Standard (3-4d)", "Delayed (5d+)"))</f>
        <v>Express (≤2d)</v>
      </c>
      <c r="AE3523">
        <v>3</v>
      </c>
      <c r="AF3523">
        <v>0</v>
      </c>
    </row>
    <row r="3524" spans="1:32" ht="15" x14ac:dyDescent="0.35">
      <c r="A3524" t="s">
        <v>3789</v>
      </c>
      <c r="B3524" s="1">
        <v>45868</v>
      </c>
      <c r="C3524">
        <f>YEAR(OrdersTable[[#This Row],[Order Date]])</f>
        <v>2025</v>
      </c>
      <c r="D3524" s="2">
        <f>DATE(YEAR(OrdersTable[[#This Row],[Order Date]]),MONTH(OrdersTable[[#This Row],[Order Date]]),1)</f>
        <v>45839</v>
      </c>
      <c r="E3524">
        <f>MONTH(OrdersTable[[#This Row],[Order Date]])</f>
        <v>7</v>
      </c>
      <c r="F3524" t="s">
        <v>1062</v>
      </c>
      <c r="G3524" t="str">
        <f>IF(OrdersTable[[#This Row],[Order Date]]=_xlfn.MINIFS(Order_Date, Customer_ID, OrdersTable[[#This Row],[Customer ID]]), "New", "Repeat")</f>
        <v>Repeat</v>
      </c>
      <c r="H3524" t="s">
        <v>128</v>
      </c>
      <c r="I3524" t="str">
        <f>INDEX(State!B:B,MATCH(OrdersTable[[#This Row],[State]],State!A:A,0))</f>
        <v>DL</v>
      </c>
      <c r="J3524" t="str">
        <f>INDEX(State!C:C,MATCH(OrdersTable[[#This Row],[State Code]],State!B:B,0))</f>
        <v>North</v>
      </c>
      <c r="K3524" t="s">
        <v>129</v>
      </c>
      <c r="L3524" t="s">
        <v>65</v>
      </c>
      <c r="M3524" t="s">
        <v>40</v>
      </c>
      <c r="N3524" t="str">
        <f>INDEX(Products!B:B,MATCH(OrdersTable[[#This Row],[Product ID]],Products!A:A,0))</f>
        <v>Ashwagandha Capsules</v>
      </c>
      <c r="O3524" t="str">
        <f>INDEX(Products!C:C,MATCH(OrdersTable[[#This Row],[Product ID]],Products!A:A,0))</f>
        <v>Wellness</v>
      </c>
      <c r="P3524">
        <v>1</v>
      </c>
      <c r="Q3524" s="5">
        <v>499</v>
      </c>
      <c r="R3524" s="74">
        <v>0</v>
      </c>
      <c r="S3524" s="75">
        <f>OrdersTable[[#This Row],[Quantity]]*OrdersTable[[#This Row],[Unit Price]]</f>
        <v>499</v>
      </c>
      <c r="T3524" s="5">
        <f>OrdersTable[[#This Row],[Gross Sale]]*OrdersTable[[#This Row],[Discount_Clean2]]</f>
        <v>0</v>
      </c>
      <c r="U3524" s="5">
        <f>OrdersTable[[#This Row],[Gross Sale]]-OrdersTable[[#This Row],[Discount Amount]]</f>
        <v>499</v>
      </c>
      <c r="V3524" s="77">
        <f>INDEX(Products!E:E,MATCH(OrdersTable[[#This Row],[Product ID]],Products!A:A,0))</f>
        <v>150</v>
      </c>
      <c r="W3524" s="77">
        <f>OrdersTable[[#This Row],[Quantity]]*OrdersTable[[#This Row],[Unit Cost]]</f>
        <v>150</v>
      </c>
      <c r="X3524" s="77">
        <f>'Dropdown Lists'!$I$2*(1+OrdersTable[[#This Row],[Returned]])</f>
        <v>60</v>
      </c>
      <c r="Y3524" s="76">
        <f>OrdersTable[[#This Row],[Net Revenue]]-OrdersTable[[#This Row],[COGS]]-OrdersTable[[#This Row],[Shipping Cost]]</f>
        <v>289</v>
      </c>
      <c r="Z3524" s="78">
        <f>IFERROR(OrdersTable[[#This Row],[Profit]]/OrdersTable[[#This Row],[Net Revenue]],0)</f>
        <v>0.57915831663326656</v>
      </c>
      <c r="AA3524" t="s">
        <v>3495</v>
      </c>
      <c r="AB3524" s="79">
        <v>45869</v>
      </c>
      <c r="AC3524">
        <f>OrdersTable[[#This Row],[Delivery Date]]-OrdersTable[[#This Row],[Order Date]]</f>
        <v>1</v>
      </c>
      <c r="AD3524" t="str">
        <f>IF(OrdersTable[[#This Row],[Delivery Days]]&lt;=2, "Express (≤2d)", IF(OrdersTable[[#This Row],[Delivery Days]]&lt;=4, "Standard (3-4d)", "Delayed (5d+)"))</f>
        <v>Express (≤2d)</v>
      </c>
      <c r="AF3524">
        <v>0</v>
      </c>
    </row>
    <row r="3525" spans="1:32" ht="15" x14ac:dyDescent="0.35">
      <c r="A3525" t="s">
        <v>5011</v>
      </c>
      <c r="B3525" s="1">
        <v>45868</v>
      </c>
      <c r="C3525">
        <f>YEAR(OrdersTable[[#This Row],[Order Date]])</f>
        <v>2025</v>
      </c>
      <c r="D3525" s="2">
        <f>DATE(YEAR(OrdersTable[[#This Row],[Order Date]]),MONTH(OrdersTable[[#This Row],[Order Date]]),1)</f>
        <v>45839</v>
      </c>
      <c r="E3525">
        <f>MONTH(OrdersTable[[#This Row],[Order Date]])</f>
        <v>7</v>
      </c>
      <c r="F3525" t="s">
        <v>5012</v>
      </c>
      <c r="G3525" t="str">
        <f>IF(OrdersTable[[#This Row],[Order Date]]=_xlfn.MINIFS(Order_Date, Customer_ID, OrdersTable[[#This Row],[Customer ID]]), "New", "Repeat")</f>
        <v>New</v>
      </c>
      <c r="H3525" t="s">
        <v>32</v>
      </c>
      <c r="I3525" t="str">
        <f>INDEX(State!B:B,MATCH(OrdersTable[[#This Row],[State]],State!A:A,0))</f>
        <v>BR</v>
      </c>
      <c r="J3525" t="str">
        <f>INDEX(State!C:C,MATCH(OrdersTable[[#This Row],[State Code]],State!B:B,0))</f>
        <v>East</v>
      </c>
      <c r="K3525" t="s">
        <v>33</v>
      </c>
      <c r="L3525" t="s">
        <v>50</v>
      </c>
      <c r="M3525" t="s">
        <v>109</v>
      </c>
      <c r="N3525" t="str">
        <f>INDEX(Products!B:B,MATCH(OrdersTable[[#This Row],[Product ID]],Products!A:A,0))</f>
        <v>Onion Hair Oil</v>
      </c>
      <c r="O3525" t="str">
        <f>INDEX(Products!C:C,MATCH(OrdersTable[[#This Row],[Product ID]],Products!A:A,0))</f>
        <v>Haircare</v>
      </c>
      <c r="P3525">
        <v>2</v>
      </c>
      <c r="Q3525" s="5">
        <v>349</v>
      </c>
      <c r="R3525" s="74">
        <v>0.4</v>
      </c>
      <c r="S3525" s="75">
        <f>OrdersTable[[#This Row],[Quantity]]*OrdersTable[[#This Row],[Unit Price]]</f>
        <v>698</v>
      </c>
      <c r="T3525" s="5">
        <f>OrdersTable[[#This Row],[Gross Sale]]*OrdersTable[[#This Row],[Discount_Clean2]]</f>
        <v>279.2</v>
      </c>
      <c r="U3525" s="5">
        <f>OrdersTable[[#This Row],[Gross Sale]]-OrdersTable[[#This Row],[Discount Amount]]</f>
        <v>418.8</v>
      </c>
      <c r="V3525" s="77">
        <f>INDEX(Products!E:E,MATCH(OrdersTable[[#This Row],[Product ID]],Products!A:A,0))</f>
        <v>105</v>
      </c>
      <c r="W3525" s="77">
        <f>OrdersTable[[#This Row],[Quantity]]*OrdersTable[[#This Row],[Unit Cost]]</f>
        <v>210</v>
      </c>
      <c r="X3525" s="77">
        <f>'Dropdown Lists'!$I$2*(1+OrdersTable[[#This Row],[Returned]])</f>
        <v>60</v>
      </c>
      <c r="Y3525" s="76">
        <f>OrdersTable[[#This Row],[Net Revenue]]-OrdersTable[[#This Row],[COGS]]-OrdersTable[[#This Row],[Shipping Cost]]</f>
        <v>148.80000000000001</v>
      </c>
      <c r="Z3525" s="78">
        <f>IFERROR(OrdersTable[[#This Row],[Profit]]/OrdersTable[[#This Row],[Net Revenue]],0)</f>
        <v>0.35530085959885388</v>
      </c>
      <c r="AA3525" t="s">
        <v>4074</v>
      </c>
      <c r="AB3525" s="79">
        <v>45874</v>
      </c>
      <c r="AC3525">
        <f>OrdersTable[[#This Row],[Delivery Date]]-OrdersTable[[#This Row],[Order Date]]</f>
        <v>6</v>
      </c>
      <c r="AD3525" t="str">
        <f>IF(OrdersTable[[#This Row],[Delivery Days]]&lt;=2, "Express (≤2d)", IF(OrdersTable[[#This Row],[Delivery Days]]&lt;=4, "Standard (3-4d)", "Delayed (5d+)"))</f>
        <v>Delayed (5d+)</v>
      </c>
      <c r="AE3525">
        <v>3</v>
      </c>
      <c r="AF3525">
        <v>0</v>
      </c>
    </row>
    <row r="3526" spans="1:32" ht="15" x14ac:dyDescent="0.35">
      <c r="A3526" t="s">
        <v>1107</v>
      </c>
      <c r="B3526" s="1">
        <v>45868</v>
      </c>
      <c r="C3526">
        <f>YEAR(OrdersTable[[#This Row],[Order Date]])</f>
        <v>2025</v>
      </c>
      <c r="D3526" s="2">
        <f>DATE(YEAR(OrdersTable[[#This Row],[Order Date]]),MONTH(OrdersTable[[#This Row],[Order Date]]),1)</f>
        <v>45839</v>
      </c>
      <c r="E3526">
        <f>MONTH(OrdersTable[[#This Row],[Order Date]])</f>
        <v>7</v>
      </c>
      <c r="F3526" t="s">
        <v>1108</v>
      </c>
      <c r="G3526" t="str">
        <f>IF(OrdersTable[[#This Row],[Order Date]]=_xlfn.MINIFS(Order_Date, Customer_ID, OrdersTable[[#This Row],[Customer ID]]), "New", "Repeat")</f>
        <v>Repeat</v>
      </c>
      <c r="H3526" t="s">
        <v>71</v>
      </c>
      <c r="I3526" t="str">
        <f>INDEX(State!B:B,MATCH(OrdersTable[[#This Row],[State]],State!A:A,0))</f>
        <v>MH</v>
      </c>
      <c r="J3526" t="str">
        <f>INDEX(State!C:C,MATCH(OrdersTable[[#This Row],[State Code]],State!B:B,0))</f>
        <v>West</v>
      </c>
      <c r="K3526" t="s">
        <v>72</v>
      </c>
      <c r="L3526" t="s">
        <v>39</v>
      </c>
      <c r="M3526" t="s">
        <v>61</v>
      </c>
      <c r="N3526" t="str">
        <f>INDEX(Products!B:B,MATCH(OrdersTable[[#This Row],[Product ID]],Products!A:A,0))</f>
        <v>Multivitamin Gummies</v>
      </c>
      <c r="O3526" t="str">
        <f>INDEX(Products!C:C,MATCH(OrdersTable[[#This Row],[Product ID]],Products!A:A,0))</f>
        <v>Wellness</v>
      </c>
      <c r="P3526">
        <v>1</v>
      </c>
      <c r="Q3526" s="5">
        <v>699</v>
      </c>
      <c r="R3526" s="74">
        <v>0.15</v>
      </c>
      <c r="S3526" s="75">
        <f>OrdersTable[[#This Row],[Quantity]]*OrdersTable[[#This Row],[Unit Price]]</f>
        <v>699</v>
      </c>
      <c r="T3526" s="5">
        <f>OrdersTable[[#This Row],[Gross Sale]]*OrdersTable[[#This Row],[Discount_Clean2]]</f>
        <v>104.85</v>
      </c>
      <c r="U3526" s="5">
        <f>OrdersTable[[#This Row],[Gross Sale]]-OrdersTable[[#This Row],[Discount Amount]]</f>
        <v>594.15</v>
      </c>
      <c r="V3526" s="77">
        <f>INDEX(Products!E:E,MATCH(OrdersTable[[#This Row],[Product ID]],Products!A:A,0))</f>
        <v>238</v>
      </c>
      <c r="W3526" s="77">
        <f>OrdersTable[[#This Row],[Quantity]]*OrdersTable[[#This Row],[Unit Cost]]</f>
        <v>238</v>
      </c>
      <c r="X3526" s="77">
        <f>'Dropdown Lists'!$I$2*(1+OrdersTable[[#This Row],[Returned]])</f>
        <v>120</v>
      </c>
      <c r="Y3526" s="76">
        <f>OrdersTable[[#This Row],[Net Revenue]]-OrdersTable[[#This Row],[COGS]]-OrdersTable[[#This Row],[Shipping Cost]]</f>
        <v>236.14999999999998</v>
      </c>
      <c r="Z3526" s="78">
        <f>IFERROR(OrdersTable[[#This Row],[Profit]]/OrdersTable[[#This Row],[Net Revenue]],0)</f>
        <v>0.39745855423714549</v>
      </c>
      <c r="AA3526" t="s">
        <v>18</v>
      </c>
      <c r="AB3526" s="79">
        <v>45872</v>
      </c>
      <c r="AC3526">
        <f>OrdersTable[[#This Row],[Delivery Date]]-OrdersTable[[#This Row],[Order Date]]</f>
        <v>4</v>
      </c>
      <c r="AD3526" t="str">
        <f>IF(OrdersTable[[#This Row],[Delivery Days]]&lt;=2, "Express (≤2d)", IF(OrdersTable[[#This Row],[Delivery Days]]&lt;=4, "Standard (3-4d)", "Delayed (5d+)"))</f>
        <v>Standard (3-4d)</v>
      </c>
      <c r="AE3526">
        <v>4</v>
      </c>
      <c r="AF3526">
        <v>1</v>
      </c>
    </row>
    <row r="3527" spans="1:32" ht="15" x14ac:dyDescent="0.35">
      <c r="A3527" t="s">
        <v>7102</v>
      </c>
      <c r="B3527" s="1">
        <v>45868</v>
      </c>
      <c r="C3527">
        <f>YEAR(OrdersTable[[#This Row],[Order Date]])</f>
        <v>2025</v>
      </c>
      <c r="D3527" s="2">
        <f>DATE(YEAR(OrdersTable[[#This Row],[Order Date]]),MONTH(OrdersTable[[#This Row],[Order Date]]),1)</f>
        <v>45839</v>
      </c>
      <c r="E3527">
        <f>MONTH(OrdersTable[[#This Row],[Order Date]])</f>
        <v>7</v>
      </c>
      <c r="F3527" t="s">
        <v>89</v>
      </c>
      <c r="G3527" t="str">
        <f>IF(OrdersTable[[#This Row],[Order Date]]=_xlfn.MINIFS(Order_Date, Customer_ID, OrdersTable[[#This Row],[Customer ID]]), "New", "Repeat")</f>
        <v>Repeat</v>
      </c>
      <c r="H3527" t="s">
        <v>14</v>
      </c>
      <c r="I3527" t="str">
        <f>INDEX(State!B:B,MATCH(OrdersTable[[#This Row],[State]],State!A:A,0))</f>
        <v>OD</v>
      </c>
      <c r="J3527" t="str">
        <f>INDEX(State!C:C,MATCH(OrdersTable[[#This Row],[State Code]],State!B:B,0))</f>
        <v>East</v>
      </c>
      <c r="K3527" t="s">
        <v>15</v>
      </c>
      <c r="L3527" t="s">
        <v>65</v>
      </c>
      <c r="M3527" t="s">
        <v>423</v>
      </c>
      <c r="N3527" t="str">
        <f>INDEX(Products!B:B,MATCH(OrdersTable[[#This Row],[Product ID]],Products!A:A,0))</f>
        <v>Power Bank 20000mAh</v>
      </c>
      <c r="O3527" t="str">
        <f>INDEX(Products!C:C,MATCH(OrdersTable[[#This Row],[Product ID]],Products!A:A,0))</f>
        <v>Electronics</v>
      </c>
      <c r="P3527">
        <v>4</v>
      </c>
      <c r="Q3527" s="5">
        <v>1799</v>
      </c>
      <c r="R3527" s="74">
        <v>0.3</v>
      </c>
      <c r="S3527" s="75">
        <f>OrdersTable[[#This Row],[Quantity]]*OrdersTable[[#This Row],[Unit Price]]</f>
        <v>7196</v>
      </c>
      <c r="T3527" s="5">
        <f>OrdersTable[[#This Row],[Gross Sale]]*OrdersTable[[#This Row],[Discount_Clean2]]</f>
        <v>2158.7999999999997</v>
      </c>
      <c r="U3527" s="5">
        <f>OrdersTable[[#This Row],[Gross Sale]]-OrdersTable[[#This Row],[Discount Amount]]</f>
        <v>5037.2000000000007</v>
      </c>
      <c r="V3527" s="77">
        <f>INDEX(Products!E:E,MATCH(OrdersTable[[#This Row],[Product ID]],Products!A:A,0))</f>
        <v>1079</v>
      </c>
      <c r="W3527" s="77">
        <f>OrdersTable[[#This Row],[Quantity]]*OrdersTable[[#This Row],[Unit Cost]]</f>
        <v>4316</v>
      </c>
      <c r="X3527" s="77">
        <f>'Dropdown Lists'!$I$2*(1+OrdersTable[[#This Row],[Returned]])</f>
        <v>60</v>
      </c>
      <c r="Y3527" s="76">
        <f>OrdersTable[[#This Row],[Net Revenue]]-OrdersTable[[#This Row],[COGS]]-OrdersTable[[#This Row],[Shipping Cost]]</f>
        <v>661.20000000000073</v>
      </c>
      <c r="Z3527" s="78">
        <f>IFERROR(OrdersTable[[#This Row],[Profit]]/OrdersTable[[#This Row],[Net Revenue]],0)</f>
        <v>0.13126340030175507</v>
      </c>
      <c r="AA3527" t="s">
        <v>18</v>
      </c>
      <c r="AB3527" s="79">
        <v>45872</v>
      </c>
      <c r="AC3527">
        <f>OrdersTable[[#This Row],[Delivery Date]]-OrdersTable[[#This Row],[Order Date]]</f>
        <v>4</v>
      </c>
      <c r="AD3527" t="str">
        <f>IF(OrdersTable[[#This Row],[Delivery Days]]&lt;=2, "Express (≤2d)", IF(OrdersTable[[#This Row],[Delivery Days]]&lt;=4, "Standard (3-4d)", "Delayed (5d+)"))</f>
        <v>Standard (3-4d)</v>
      </c>
      <c r="AF3527">
        <v>0</v>
      </c>
    </row>
    <row r="3528" spans="1:32" ht="15" x14ac:dyDescent="0.35">
      <c r="A3528" t="s">
        <v>4715</v>
      </c>
      <c r="B3528" s="1">
        <v>45868</v>
      </c>
      <c r="C3528">
        <f>YEAR(OrdersTable[[#This Row],[Order Date]])</f>
        <v>2025</v>
      </c>
      <c r="D3528" s="2">
        <f>DATE(YEAR(OrdersTable[[#This Row],[Order Date]]),MONTH(OrdersTable[[#This Row],[Order Date]]),1)</f>
        <v>45839</v>
      </c>
      <c r="E3528">
        <f>MONTH(OrdersTable[[#This Row],[Order Date]])</f>
        <v>7</v>
      </c>
      <c r="F3528" t="s">
        <v>204</v>
      </c>
      <c r="G3528" t="str">
        <f>IF(OrdersTable[[#This Row],[Order Date]]=_xlfn.MINIFS(Order_Date, Customer_ID, OrdersTable[[#This Row],[Customer ID]]), "New", "Repeat")</f>
        <v>Repeat</v>
      </c>
      <c r="H3528" t="s">
        <v>275</v>
      </c>
      <c r="I3528" t="str">
        <f>INDEX(State!B:B,MATCH(OrdersTable[[#This Row],[State]],State!A:A,0))</f>
        <v>AP</v>
      </c>
      <c r="J3528" t="str">
        <f>INDEX(State!C:C,MATCH(OrdersTable[[#This Row],[State Code]],State!B:B,0))</f>
        <v>South</v>
      </c>
      <c r="K3528" t="s">
        <v>276</v>
      </c>
      <c r="L3528" t="s">
        <v>16</v>
      </c>
      <c r="M3528" t="s">
        <v>576</v>
      </c>
      <c r="N3528" t="str">
        <f>INDEX(Products!B:B,MATCH(OrdersTable[[#This Row],[Product ID]],Products!A:A,0))</f>
        <v>Printed Saree</v>
      </c>
      <c r="O3528" t="str">
        <f>INDEX(Products!C:C,MATCH(OrdersTable[[#This Row],[Product ID]],Products!A:A,0))</f>
        <v>Apparel</v>
      </c>
      <c r="P3528">
        <v>1</v>
      </c>
      <c r="Q3528" s="5">
        <v>1999</v>
      </c>
      <c r="R3528" s="74">
        <v>0</v>
      </c>
      <c r="S3528" s="75">
        <f>OrdersTable[[#This Row],[Quantity]]*OrdersTable[[#This Row],[Unit Price]]</f>
        <v>1999</v>
      </c>
      <c r="T3528" s="5">
        <f>OrdersTable[[#This Row],[Gross Sale]]*OrdersTable[[#This Row],[Discount_Clean2]]</f>
        <v>0</v>
      </c>
      <c r="U3528" s="5">
        <f>OrdersTable[[#This Row],[Gross Sale]]-OrdersTable[[#This Row],[Discount Amount]]</f>
        <v>1999</v>
      </c>
      <c r="V3528" s="77">
        <f>INDEX(Products!E:E,MATCH(OrdersTable[[#This Row],[Product ID]],Products!A:A,0))</f>
        <v>880</v>
      </c>
      <c r="W3528" s="77">
        <f>OrdersTable[[#This Row],[Quantity]]*OrdersTable[[#This Row],[Unit Cost]]</f>
        <v>880</v>
      </c>
      <c r="X3528" s="77">
        <f>'Dropdown Lists'!$I$2*(1+OrdersTable[[#This Row],[Returned]])</f>
        <v>60</v>
      </c>
      <c r="Y3528" s="76">
        <f>OrdersTable[[#This Row],[Net Revenue]]-OrdersTable[[#This Row],[COGS]]-OrdersTable[[#This Row],[Shipping Cost]]</f>
        <v>1059</v>
      </c>
      <c r="Z3528" s="78">
        <f>IFERROR(OrdersTable[[#This Row],[Profit]]/OrdersTable[[#This Row],[Net Revenue]],0)</f>
        <v>0.52976488244122066</v>
      </c>
      <c r="AA3528" t="s">
        <v>4450</v>
      </c>
      <c r="AB3528" s="79">
        <v>45872</v>
      </c>
      <c r="AC3528">
        <f>OrdersTable[[#This Row],[Delivery Date]]-OrdersTable[[#This Row],[Order Date]]</f>
        <v>4</v>
      </c>
      <c r="AD3528" t="str">
        <f>IF(OrdersTable[[#This Row],[Delivery Days]]&lt;=2, "Express (≤2d)", IF(OrdersTable[[#This Row],[Delivery Days]]&lt;=4, "Standard (3-4d)", "Delayed (5d+)"))</f>
        <v>Standard (3-4d)</v>
      </c>
      <c r="AE3528">
        <v>5</v>
      </c>
      <c r="AF3528">
        <v>0</v>
      </c>
    </row>
    <row r="3529" spans="1:32" ht="15" x14ac:dyDescent="0.35">
      <c r="A3529" t="s">
        <v>2165</v>
      </c>
      <c r="B3529" s="1">
        <v>45868</v>
      </c>
      <c r="C3529">
        <f>YEAR(OrdersTable[[#This Row],[Order Date]])</f>
        <v>2025</v>
      </c>
      <c r="D3529" s="2">
        <f>DATE(YEAR(OrdersTable[[#This Row],[Order Date]]),MONTH(OrdersTable[[#This Row],[Order Date]]),1)</f>
        <v>45839</v>
      </c>
      <c r="E3529">
        <f>MONTH(OrdersTable[[#This Row],[Order Date]])</f>
        <v>7</v>
      </c>
      <c r="F3529" t="s">
        <v>2166</v>
      </c>
      <c r="G3529" t="str">
        <f>IF(OrdersTable[[#This Row],[Order Date]]=_xlfn.MINIFS(Order_Date, Customer_ID, OrdersTable[[#This Row],[Customer ID]]), "New", "Repeat")</f>
        <v>Repeat</v>
      </c>
      <c r="H3529" t="s">
        <v>316</v>
      </c>
      <c r="I3529" t="str">
        <f>INDEX(State!B:B,MATCH(OrdersTable[[#This Row],[State]],State!A:A,0))</f>
        <v>KL</v>
      </c>
      <c r="J3529" t="str">
        <f>INDEX(State!C:C,MATCH(OrdersTable[[#This Row],[State Code]],State!B:B,0))</f>
        <v>South</v>
      </c>
      <c r="K3529" t="s">
        <v>338</v>
      </c>
      <c r="L3529" t="s">
        <v>65</v>
      </c>
      <c r="M3529" t="s">
        <v>152</v>
      </c>
      <c r="N3529" t="str">
        <f>INDEX(Products!B:B,MATCH(OrdersTable[[#This Row],[Product ID]],Products!A:A,0))</f>
        <v>Green Tea (100 bags)</v>
      </c>
      <c r="O3529" t="str">
        <f>INDEX(Products!C:C,MATCH(OrdersTable[[#This Row],[Product ID]],Products!A:A,0))</f>
        <v>Wellness</v>
      </c>
      <c r="P3529">
        <v>1</v>
      </c>
      <c r="Q3529" s="5">
        <v>399</v>
      </c>
      <c r="R3529" s="74">
        <v>0.35</v>
      </c>
      <c r="S3529" s="75">
        <f>OrdersTable[[#This Row],[Quantity]]*OrdersTable[[#This Row],[Unit Price]]</f>
        <v>399</v>
      </c>
      <c r="T3529" s="5">
        <f>OrdersTable[[#This Row],[Gross Sale]]*OrdersTable[[#This Row],[Discount_Clean2]]</f>
        <v>139.64999999999998</v>
      </c>
      <c r="U3529" s="5">
        <f>OrdersTable[[#This Row],[Gross Sale]]-OrdersTable[[#This Row],[Discount Amount]]</f>
        <v>259.35000000000002</v>
      </c>
      <c r="V3529" s="77">
        <f>INDEX(Products!E:E,MATCH(OrdersTable[[#This Row],[Product ID]],Products!A:A,0))</f>
        <v>128</v>
      </c>
      <c r="W3529" s="77">
        <f>OrdersTable[[#This Row],[Quantity]]*OrdersTable[[#This Row],[Unit Cost]]</f>
        <v>128</v>
      </c>
      <c r="X3529" s="77">
        <f>'Dropdown Lists'!$I$2*(1+OrdersTable[[#This Row],[Returned]])</f>
        <v>60</v>
      </c>
      <c r="Y3529" s="76">
        <f>OrdersTable[[#This Row],[Net Revenue]]-OrdersTable[[#This Row],[COGS]]-OrdersTable[[#This Row],[Shipping Cost]]</f>
        <v>71.350000000000023</v>
      </c>
      <c r="Z3529" s="78">
        <f>IFERROR(OrdersTable[[#This Row],[Profit]]/OrdersTable[[#This Row],[Net Revenue]],0)</f>
        <v>0.27511085405822255</v>
      </c>
      <c r="AA3529" t="s">
        <v>18</v>
      </c>
      <c r="AB3529" s="79">
        <v>45871</v>
      </c>
      <c r="AC3529">
        <f>OrdersTable[[#This Row],[Delivery Date]]-OrdersTable[[#This Row],[Order Date]]</f>
        <v>3</v>
      </c>
      <c r="AD3529" t="str">
        <f>IF(OrdersTable[[#This Row],[Delivery Days]]&lt;=2, "Express (≤2d)", IF(OrdersTable[[#This Row],[Delivery Days]]&lt;=4, "Standard (3-4d)", "Delayed (5d+)"))</f>
        <v>Standard (3-4d)</v>
      </c>
      <c r="AE3529">
        <v>3</v>
      </c>
      <c r="AF3529">
        <v>0</v>
      </c>
    </row>
    <row r="3530" spans="1:32" ht="15" x14ac:dyDescent="0.35">
      <c r="A3530" t="s">
        <v>2643</v>
      </c>
      <c r="B3530" s="1">
        <v>45868</v>
      </c>
      <c r="C3530">
        <f>YEAR(OrdersTable[[#This Row],[Order Date]])</f>
        <v>2025</v>
      </c>
      <c r="D3530" s="2">
        <f>DATE(YEAR(OrdersTable[[#This Row],[Order Date]]),MONTH(OrdersTable[[#This Row],[Order Date]]),1)</f>
        <v>45839</v>
      </c>
      <c r="E3530">
        <f>MONTH(OrdersTable[[#This Row],[Order Date]])</f>
        <v>7</v>
      </c>
      <c r="F3530" t="s">
        <v>1872</v>
      </c>
      <c r="G3530" t="str">
        <f>IF(OrdersTable[[#This Row],[Order Date]]=_xlfn.MINIFS(Order_Date, Customer_ID, OrdersTable[[#This Row],[Customer ID]]), "New", "Repeat")</f>
        <v>Repeat</v>
      </c>
      <c r="H3530" t="s">
        <v>59</v>
      </c>
      <c r="I3530" t="str">
        <f>INDEX(State!B:B,MATCH(OrdersTable[[#This Row],[State]],State!A:A,0))</f>
        <v>TN</v>
      </c>
      <c r="J3530" t="str">
        <f>INDEX(State!C:C,MATCH(OrdersTable[[#This Row],[State Code]],State!B:B,0))</f>
        <v>South</v>
      </c>
      <c r="K3530" t="s">
        <v>60</v>
      </c>
      <c r="L3530" t="s">
        <v>16</v>
      </c>
      <c r="M3530" t="s">
        <v>92</v>
      </c>
      <c r="N3530" t="str">
        <f>INDEX(Products!B:B,MATCH(OrdersTable[[#This Row],[Product ID]],Products!A:A,0))</f>
        <v>Kolhapuri Sandals</v>
      </c>
      <c r="O3530" t="str">
        <f>INDEX(Products!C:C,MATCH(OrdersTable[[#This Row],[Product ID]],Products!A:A,0))</f>
        <v>Footwear</v>
      </c>
      <c r="P3530">
        <v>1</v>
      </c>
      <c r="Q3530" s="5">
        <v>999</v>
      </c>
      <c r="R3530" s="74">
        <v>0</v>
      </c>
      <c r="S3530" s="75">
        <f>OrdersTable[[#This Row],[Quantity]]*OrdersTable[[#This Row],[Unit Price]]</f>
        <v>999</v>
      </c>
      <c r="T3530" s="5">
        <f>OrdersTable[[#This Row],[Gross Sale]]*OrdersTable[[#This Row],[Discount_Clean2]]</f>
        <v>0</v>
      </c>
      <c r="U3530" s="5">
        <f>OrdersTable[[#This Row],[Gross Sale]]-OrdersTable[[#This Row],[Discount Amount]]</f>
        <v>999</v>
      </c>
      <c r="V3530" s="77">
        <f>INDEX(Products!E:E,MATCH(OrdersTable[[#This Row],[Product ID]],Products!A:A,0))</f>
        <v>400</v>
      </c>
      <c r="W3530" s="77">
        <f>OrdersTable[[#This Row],[Quantity]]*OrdersTable[[#This Row],[Unit Cost]]</f>
        <v>400</v>
      </c>
      <c r="X3530" s="77">
        <f>'Dropdown Lists'!$I$2*(1+OrdersTable[[#This Row],[Returned]])</f>
        <v>120</v>
      </c>
      <c r="Y3530" s="76">
        <f>OrdersTable[[#This Row],[Net Revenue]]-OrdersTable[[#This Row],[COGS]]-OrdersTable[[#This Row],[Shipping Cost]]</f>
        <v>479</v>
      </c>
      <c r="Z3530" s="78">
        <f>IFERROR(OrdersTable[[#This Row],[Profit]]/OrdersTable[[#This Row],[Net Revenue]],0)</f>
        <v>0.4794794794794795</v>
      </c>
      <c r="AA3530" t="s">
        <v>2522</v>
      </c>
      <c r="AB3530" s="79">
        <v>45870</v>
      </c>
      <c r="AC3530">
        <f>OrdersTable[[#This Row],[Delivery Date]]-OrdersTable[[#This Row],[Order Date]]</f>
        <v>2</v>
      </c>
      <c r="AD3530" t="str">
        <f>IF(OrdersTable[[#This Row],[Delivery Days]]&lt;=2, "Express (≤2d)", IF(OrdersTable[[#This Row],[Delivery Days]]&lt;=4, "Standard (3-4d)", "Delayed (5d+)"))</f>
        <v>Express (≤2d)</v>
      </c>
      <c r="AE3530">
        <v>5</v>
      </c>
      <c r="AF3530">
        <v>1</v>
      </c>
    </row>
    <row r="3531" spans="1:32" ht="15" x14ac:dyDescent="0.35">
      <c r="A3531" t="s">
        <v>1763</v>
      </c>
      <c r="B3531" s="1">
        <v>45869</v>
      </c>
      <c r="C3531">
        <f>YEAR(OrdersTable[[#This Row],[Order Date]])</f>
        <v>2025</v>
      </c>
      <c r="D3531" s="2">
        <f>DATE(YEAR(OrdersTable[[#This Row],[Order Date]]),MONTH(OrdersTable[[#This Row],[Order Date]]),1)</f>
        <v>45839</v>
      </c>
      <c r="E3531">
        <f>MONTH(OrdersTable[[#This Row],[Order Date]])</f>
        <v>7</v>
      </c>
      <c r="F3531" t="s">
        <v>1764</v>
      </c>
      <c r="G3531" t="str">
        <f>IF(OrdersTable[[#This Row],[Order Date]]=_xlfn.MINIFS(Order_Date, Customer_ID, OrdersTable[[#This Row],[Customer ID]]), "New", "Repeat")</f>
        <v>Repeat</v>
      </c>
      <c r="H3531" t="s">
        <v>128</v>
      </c>
      <c r="I3531" t="str">
        <f>INDEX(State!B:B,MATCH(OrdersTable[[#This Row],[State]],State!A:A,0))</f>
        <v>DL</v>
      </c>
      <c r="J3531" t="str">
        <f>INDEX(State!C:C,MATCH(OrdersTable[[#This Row],[State Code]],State!B:B,0))</f>
        <v>North</v>
      </c>
      <c r="K3531" t="s">
        <v>129</v>
      </c>
      <c r="L3531" t="s">
        <v>65</v>
      </c>
      <c r="M3531" t="s">
        <v>34</v>
      </c>
      <c r="N3531" t="str">
        <f>INDEX(Products!B:B,MATCH(OrdersTable[[#This Row],[Product ID]],Products!A:A,0))</f>
        <v>Flip Flops</v>
      </c>
      <c r="O3531" t="str">
        <f>INDEX(Products!C:C,MATCH(OrdersTable[[#This Row],[Product ID]],Products!A:A,0))</f>
        <v>Footwear</v>
      </c>
      <c r="P3531">
        <v>1</v>
      </c>
      <c r="Q3531" s="5">
        <v>399</v>
      </c>
      <c r="R3531" s="74">
        <v>0.1</v>
      </c>
      <c r="S3531" s="75">
        <f>OrdersTable[[#This Row],[Quantity]]*OrdersTable[[#This Row],[Unit Price]]</f>
        <v>399</v>
      </c>
      <c r="T3531" s="5">
        <f>OrdersTable[[#This Row],[Gross Sale]]*OrdersTable[[#This Row],[Discount_Clean2]]</f>
        <v>39.900000000000006</v>
      </c>
      <c r="U3531" s="5">
        <f>OrdersTable[[#This Row],[Gross Sale]]-OrdersTable[[#This Row],[Discount Amount]]</f>
        <v>359.1</v>
      </c>
      <c r="V3531" s="77">
        <f>INDEX(Products!E:E,MATCH(OrdersTable[[#This Row],[Product ID]],Products!A:A,0))</f>
        <v>152</v>
      </c>
      <c r="W3531" s="77">
        <f>OrdersTable[[#This Row],[Quantity]]*OrdersTable[[#This Row],[Unit Cost]]</f>
        <v>152</v>
      </c>
      <c r="X3531" s="77">
        <f>'Dropdown Lists'!$I$2*(1+OrdersTable[[#This Row],[Returned]])</f>
        <v>60</v>
      </c>
      <c r="Y3531" s="76">
        <f>OrdersTable[[#This Row],[Net Revenue]]-OrdersTable[[#This Row],[COGS]]-OrdersTable[[#This Row],[Shipping Cost]]</f>
        <v>147.10000000000002</v>
      </c>
      <c r="Z3531" s="78">
        <f>IFERROR(OrdersTable[[#This Row],[Profit]]/OrdersTable[[#This Row],[Net Revenue]],0)</f>
        <v>0.40963519910888335</v>
      </c>
      <c r="AA3531" t="s">
        <v>18</v>
      </c>
      <c r="AB3531" s="79">
        <v>45872</v>
      </c>
      <c r="AC3531">
        <f>OrdersTable[[#This Row],[Delivery Date]]-OrdersTable[[#This Row],[Order Date]]</f>
        <v>3</v>
      </c>
      <c r="AD3531" t="str">
        <f>IF(OrdersTable[[#This Row],[Delivery Days]]&lt;=2, "Express (≤2d)", IF(OrdersTable[[#This Row],[Delivery Days]]&lt;=4, "Standard (3-4d)", "Delayed (5d+)"))</f>
        <v>Standard (3-4d)</v>
      </c>
      <c r="AF3531">
        <v>0</v>
      </c>
    </row>
    <row r="3532" spans="1:32" ht="15" x14ac:dyDescent="0.35">
      <c r="A3532" t="s">
        <v>5213</v>
      </c>
      <c r="B3532" s="1">
        <v>45869</v>
      </c>
      <c r="C3532">
        <f>YEAR(OrdersTable[[#This Row],[Order Date]])</f>
        <v>2025</v>
      </c>
      <c r="D3532" s="2">
        <f>DATE(YEAR(OrdersTable[[#This Row],[Order Date]]),MONTH(OrdersTable[[#This Row],[Order Date]]),1)</f>
        <v>45839</v>
      </c>
      <c r="E3532">
        <f>MONTH(OrdersTable[[#This Row],[Order Date]])</f>
        <v>7</v>
      </c>
      <c r="F3532" t="s">
        <v>5214</v>
      </c>
      <c r="G3532" t="str">
        <f>IF(OrdersTable[[#This Row],[Order Date]]=_xlfn.MINIFS(Order_Date, Customer_ID, OrdersTable[[#This Row],[Customer ID]]), "New", "Repeat")</f>
        <v>New</v>
      </c>
      <c r="H3532" t="s">
        <v>128</v>
      </c>
      <c r="I3532" t="str">
        <f>INDEX(State!B:B,MATCH(OrdersTable[[#This Row],[State]],State!A:A,0))</f>
        <v>DL</v>
      </c>
      <c r="J3532" t="str">
        <f>INDEX(State!C:C,MATCH(OrdersTable[[#This Row],[State Code]],State!B:B,0))</f>
        <v>North</v>
      </c>
      <c r="K3532" t="s">
        <v>129</v>
      </c>
      <c r="L3532" t="s">
        <v>23</v>
      </c>
      <c r="M3532" t="s">
        <v>106</v>
      </c>
      <c r="N3532" t="str">
        <f>INDEX(Products!B:B,MATCH(OrdersTable[[#This Row],[Product ID]],Products!A:A,0))</f>
        <v>Keratin Hair Mask</v>
      </c>
      <c r="O3532" t="str">
        <f>INDEX(Products!C:C,MATCH(OrdersTable[[#This Row],[Product ID]],Products!A:A,0))</f>
        <v>Haircare</v>
      </c>
      <c r="P3532">
        <v>2</v>
      </c>
      <c r="Q3532" s="5">
        <v>549</v>
      </c>
      <c r="R3532" s="74">
        <v>0.15</v>
      </c>
      <c r="S3532" s="75">
        <f>OrdersTable[[#This Row],[Quantity]]*OrdersTable[[#This Row],[Unit Price]]</f>
        <v>1098</v>
      </c>
      <c r="T3532" s="5">
        <f>OrdersTable[[#This Row],[Gross Sale]]*OrdersTable[[#This Row],[Discount_Clean2]]</f>
        <v>164.7</v>
      </c>
      <c r="U3532" s="5">
        <f>OrdersTable[[#This Row],[Gross Sale]]-OrdersTable[[#This Row],[Discount Amount]]</f>
        <v>933.3</v>
      </c>
      <c r="V3532" s="77">
        <f>INDEX(Products!E:E,MATCH(OrdersTable[[#This Row],[Product ID]],Products!A:A,0))</f>
        <v>170</v>
      </c>
      <c r="W3532" s="77">
        <f>OrdersTable[[#This Row],[Quantity]]*OrdersTable[[#This Row],[Unit Cost]]</f>
        <v>340</v>
      </c>
      <c r="X3532" s="77">
        <f>'Dropdown Lists'!$I$2*(1+OrdersTable[[#This Row],[Returned]])</f>
        <v>60</v>
      </c>
      <c r="Y3532" s="76">
        <f>OrdersTable[[#This Row],[Net Revenue]]-OrdersTable[[#This Row],[COGS]]-OrdersTable[[#This Row],[Shipping Cost]]</f>
        <v>533.29999999999995</v>
      </c>
      <c r="Z3532" s="78">
        <f>IFERROR(OrdersTable[[#This Row],[Profit]]/OrdersTable[[#This Row],[Net Revenue]],0)</f>
        <v>0.57141326475945564</v>
      </c>
      <c r="AA3532" t="s">
        <v>3495</v>
      </c>
      <c r="AB3532" s="79">
        <v>45872</v>
      </c>
      <c r="AC3532">
        <f>OrdersTable[[#This Row],[Delivery Date]]-OrdersTable[[#This Row],[Order Date]]</f>
        <v>3</v>
      </c>
      <c r="AD3532" t="str">
        <f>IF(OrdersTable[[#This Row],[Delivery Days]]&lt;=2, "Express (≤2d)", IF(OrdersTable[[#This Row],[Delivery Days]]&lt;=4, "Standard (3-4d)", "Delayed (5d+)"))</f>
        <v>Standard (3-4d)</v>
      </c>
      <c r="AE3532">
        <v>3</v>
      </c>
      <c r="AF3532">
        <v>0</v>
      </c>
    </row>
    <row r="3533" spans="1:32" ht="15" x14ac:dyDescent="0.35">
      <c r="A3533" t="s">
        <v>640</v>
      </c>
      <c r="B3533" s="1">
        <v>45869</v>
      </c>
      <c r="C3533">
        <f>YEAR(OrdersTable[[#This Row],[Order Date]])</f>
        <v>2025</v>
      </c>
      <c r="D3533" s="2">
        <f>DATE(YEAR(OrdersTable[[#This Row],[Order Date]]),MONTH(OrdersTable[[#This Row],[Order Date]]),1)</f>
        <v>45839</v>
      </c>
      <c r="E3533">
        <f>MONTH(OrdersTable[[#This Row],[Order Date]])</f>
        <v>7</v>
      </c>
      <c r="F3533" t="s">
        <v>641</v>
      </c>
      <c r="G3533" t="str">
        <f>IF(OrdersTable[[#This Row],[Order Date]]=_xlfn.MINIFS(Order_Date, Customer_ID, OrdersTable[[#This Row],[Customer ID]]), "New", "Repeat")</f>
        <v>Repeat</v>
      </c>
      <c r="H3533" t="s">
        <v>482</v>
      </c>
      <c r="I3533" t="str">
        <f>INDEX(State!B:B,MATCH(OrdersTable[[#This Row],[State]],State!A:A,0))</f>
        <v>CG</v>
      </c>
      <c r="J3533" t="str">
        <f>INDEX(State!C:C,MATCH(OrdersTable[[#This Row],[State Code]],State!B:B,0))</f>
        <v>East</v>
      </c>
      <c r="K3533" t="s">
        <v>483</v>
      </c>
      <c r="L3533" t="s">
        <v>65</v>
      </c>
      <c r="M3533" t="s">
        <v>106</v>
      </c>
      <c r="N3533" t="str">
        <f>INDEX(Products!B:B,MATCH(OrdersTable[[#This Row],[Product ID]],Products!A:A,0))</f>
        <v>Keratin Hair Mask</v>
      </c>
      <c r="O3533" t="str">
        <f>INDEX(Products!C:C,MATCH(OrdersTable[[#This Row],[Product ID]],Products!A:A,0))</f>
        <v>Haircare</v>
      </c>
      <c r="P3533">
        <v>1</v>
      </c>
      <c r="Q3533" s="5">
        <v>549</v>
      </c>
      <c r="R3533" s="74">
        <v>0.15</v>
      </c>
      <c r="S3533" s="75">
        <f>OrdersTable[[#This Row],[Quantity]]*OrdersTable[[#This Row],[Unit Price]]</f>
        <v>549</v>
      </c>
      <c r="T3533" s="5">
        <f>OrdersTable[[#This Row],[Gross Sale]]*OrdersTable[[#This Row],[Discount_Clean2]]</f>
        <v>82.35</v>
      </c>
      <c r="U3533" s="5">
        <f>OrdersTable[[#This Row],[Gross Sale]]-OrdersTable[[#This Row],[Discount Amount]]</f>
        <v>466.65</v>
      </c>
      <c r="V3533" s="77">
        <f>INDEX(Products!E:E,MATCH(OrdersTable[[#This Row],[Product ID]],Products!A:A,0))</f>
        <v>170</v>
      </c>
      <c r="W3533" s="77">
        <f>OrdersTable[[#This Row],[Quantity]]*OrdersTable[[#This Row],[Unit Cost]]</f>
        <v>170</v>
      </c>
      <c r="X3533" s="77">
        <f>'Dropdown Lists'!$I$2*(1+OrdersTable[[#This Row],[Returned]])</f>
        <v>60</v>
      </c>
      <c r="Y3533" s="76">
        <f>OrdersTable[[#This Row],[Net Revenue]]-OrdersTable[[#This Row],[COGS]]-OrdersTable[[#This Row],[Shipping Cost]]</f>
        <v>236.64999999999998</v>
      </c>
      <c r="Z3533" s="78">
        <f>IFERROR(OrdersTable[[#This Row],[Profit]]/OrdersTable[[#This Row],[Net Revenue]],0)</f>
        <v>0.50712525447337398</v>
      </c>
      <c r="AA3533" t="s">
        <v>18</v>
      </c>
      <c r="AB3533" s="79">
        <v>45874</v>
      </c>
      <c r="AC3533">
        <f>OrdersTable[[#This Row],[Delivery Date]]-OrdersTable[[#This Row],[Order Date]]</f>
        <v>5</v>
      </c>
      <c r="AD3533" t="str">
        <f>IF(OrdersTable[[#This Row],[Delivery Days]]&lt;=2, "Express (≤2d)", IF(OrdersTable[[#This Row],[Delivery Days]]&lt;=4, "Standard (3-4d)", "Delayed (5d+)"))</f>
        <v>Delayed (5d+)</v>
      </c>
      <c r="AE3533">
        <v>4</v>
      </c>
      <c r="AF3533">
        <v>0</v>
      </c>
    </row>
    <row r="3534" spans="1:32" ht="15" x14ac:dyDescent="0.35">
      <c r="A3534" t="s">
        <v>6802</v>
      </c>
      <c r="B3534" s="1">
        <v>45869</v>
      </c>
      <c r="C3534">
        <f>YEAR(OrdersTable[[#This Row],[Order Date]])</f>
        <v>2025</v>
      </c>
      <c r="D3534" s="2">
        <f>DATE(YEAR(OrdersTable[[#This Row],[Order Date]]),MONTH(OrdersTable[[#This Row],[Order Date]]),1)</f>
        <v>45839</v>
      </c>
      <c r="E3534">
        <f>MONTH(OrdersTable[[#This Row],[Order Date]])</f>
        <v>7</v>
      </c>
      <c r="F3534" t="s">
        <v>1908</v>
      </c>
      <c r="G3534" t="str">
        <f>IF(OrdersTable[[#This Row],[Order Date]]=_xlfn.MINIFS(Order_Date, Customer_ID, OrdersTable[[#This Row],[Customer ID]]), "New", "Repeat")</f>
        <v>Repeat</v>
      </c>
      <c r="H3534" t="s">
        <v>59</v>
      </c>
      <c r="I3534" t="str">
        <f>INDEX(State!B:B,MATCH(OrdersTable[[#This Row],[State]],State!A:A,0))</f>
        <v>TN</v>
      </c>
      <c r="J3534" t="str">
        <f>INDEX(State!C:C,MATCH(OrdersTable[[#This Row],[State Code]],State!B:B,0))</f>
        <v>South</v>
      </c>
      <c r="K3534" t="s">
        <v>64</v>
      </c>
      <c r="L3534" t="s">
        <v>16</v>
      </c>
      <c r="M3534" t="s">
        <v>17</v>
      </c>
      <c r="N3534" t="str">
        <f>INDEX(Products!B:B,MATCH(OrdersTable[[#This Row],[Product ID]],Products!A:A,0))</f>
        <v>Casual Sneakers</v>
      </c>
      <c r="O3534" t="str">
        <f>INDEX(Products!C:C,MATCH(OrdersTable[[#This Row],[Product ID]],Products!A:A,0))</f>
        <v>Footwear</v>
      </c>
      <c r="P3534">
        <v>3</v>
      </c>
      <c r="Q3534" s="5">
        <v>2199</v>
      </c>
      <c r="R3534" s="74">
        <v>0.3</v>
      </c>
      <c r="S3534" s="75">
        <f>OrdersTable[[#This Row],[Quantity]]*OrdersTable[[#This Row],[Unit Price]]</f>
        <v>6597</v>
      </c>
      <c r="T3534" s="5">
        <f>OrdersTable[[#This Row],[Gross Sale]]*OrdersTable[[#This Row],[Discount_Clean2]]</f>
        <v>1979.1</v>
      </c>
      <c r="U3534" s="5">
        <f>OrdersTable[[#This Row],[Gross Sale]]-OrdersTable[[#This Row],[Discount Amount]]</f>
        <v>4617.8999999999996</v>
      </c>
      <c r="V3534" s="77">
        <f>INDEX(Products!E:E,MATCH(OrdersTable[[#This Row],[Product ID]],Products!A:A,0))</f>
        <v>1034</v>
      </c>
      <c r="W3534" s="77">
        <f>OrdersTable[[#This Row],[Quantity]]*OrdersTable[[#This Row],[Unit Cost]]</f>
        <v>3102</v>
      </c>
      <c r="X3534" s="77">
        <f>'Dropdown Lists'!$I$2*(1+OrdersTable[[#This Row],[Returned]])</f>
        <v>60</v>
      </c>
      <c r="Y3534" s="76">
        <f>OrdersTable[[#This Row],[Net Revenue]]-OrdersTable[[#This Row],[COGS]]-OrdersTable[[#This Row],[Shipping Cost]]</f>
        <v>1455.8999999999996</v>
      </c>
      <c r="Z3534" s="78">
        <f>IFERROR(OrdersTable[[#This Row],[Profit]]/OrdersTable[[#This Row],[Net Revenue]],0)</f>
        <v>0.31527317611901506</v>
      </c>
      <c r="AA3534" t="s">
        <v>3495</v>
      </c>
      <c r="AB3534" s="79">
        <v>45870</v>
      </c>
      <c r="AC3534">
        <f>OrdersTable[[#This Row],[Delivery Date]]-OrdersTable[[#This Row],[Order Date]]</f>
        <v>1</v>
      </c>
      <c r="AD3534" t="str">
        <f>IF(OrdersTable[[#This Row],[Delivery Days]]&lt;=2, "Express (≤2d)", IF(OrdersTable[[#This Row],[Delivery Days]]&lt;=4, "Standard (3-4d)", "Delayed (5d+)"))</f>
        <v>Express (≤2d)</v>
      </c>
      <c r="AE3534">
        <v>5</v>
      </c>
      <c r="AF3534">
        <v>0</v>
      </c>
    </row>
    <row r="3535" spans="1:32" ht="15" x14ac:dyDescent="0.35">
      <c r="A3535" t="s">
        <v>642</v>
      </c>
      <c r="B3535" s="1">
        <v>45869</v>
      </c>
      <c r="C3535">
        <f>YEAR(OrdersTable[[#This Row],[Order Date]])</f>
        <v>2025</v>
      </c>
      <c r="D3535" s="2">
        <f>DATE(YEAR(OrdersTable[[#This Row],[Order Date]]),MONTH(OrdersTable[[#This Row],[Order Date]]),1)</f>
        <v>45839</v>
      </c>
      <c r="E3535">
        <f>MONTH(OrdersTable[[#This Row],[Order Date]])</f>
        <v>7</v>
      </c>
      <c r="F3535" t="s">
        <v>643</v>
      </c>
      <c r="G3535" t="str">
        <f>IF(OrdersTable[[#This Row],[Order Date]]=_xlfn.MINIFS(Order_Date, Customer_ID, OrdersTable[[#This Row],[Customer ID]]), "New", "Repeat")</f>
        <v>Repeat</v>
      </c>
      <c r="H3535" t="s">
        <v>59</v>
      </c>
      <c r="I3535" t="str">
        <f>INDEX(State!B:B,MATCH(OrdersTable[[#This Row],[State]],State!A:A,0))</f>
        <v>TN</v>
      </c>
      <c r="J3535" t="str">
        <f>INDEX(State!C:C,MATCH(OrdersTable[[#This Row],[State Code]],State!B:B,0))</f>
        <v>South</v>
      </c>
      <c r="K3535" t="s">
        <v>64</v>
      </c>
      <c r="L3535" t="s">
        <v>39</v>
      </c>
      <c r="M3535" t="s">
        <v>148</v>
      </c>
      <c r="N3535" t="str">
        <f>INDEX(Products!B:B,MATCH(OrdersTable[[#This Row],[Product ID]],Products!A:A,0))</f>
        <v>Smartwatch Strap</v>
      </c>
      <c r="O3535" t="str">
        <f>INDEX(Products!C:C,MATCH(OrdersTable[[#This Row],[Product ID]],Products!A:A,0))</f>
        <v>Electronics</v>
      </c>
      <c r="P3535">
        <v>1</v>
      </c>
      <c r="Q3535" s="5">
        <v>499</v>
      </c>
      <c r="R3535" s="74">
        <v>0.05</v>
      </c>
      <c r="S3535" s="75">
        <f>OrdersTable[[#This Row],[Quantity]]*OrdersTable[[#This Row],[Unit Price]]</f>
        <v>499</v>
      </c>
      <c r="T3535" s="5">
        <f>OrdersTable[[#This Row],[Gross Sale]]*OrdersTable[[#This Row],[Discount_Clean2]]</f>
        <v>24.950000000000003</v>
      </c>
      <c r="U3535" s="5">
        <f>OrdersTable[[#This Row],[Gross Sale]]-OrdersTable[[#This Row],[Discount Amount]]</f>
        <v>474.05</v>
      </c>
      <c r="V3535" s="77">
        <f>INDEX(Products!E:E,MATCH(OrdersTable[[#This Row],[Product ID]],Products!A:A,0))</f>
        <v>200</v>
      </c>
      <c r="W3535" s="77">
        <f>OrdersTable[[#This Row],[Quantity]]*OrdersTable[[#This Row],[Unit Cost]]</f>
        <v>200</v>
      </c>
      <c r="X3535" s="77">
        <f>'Dropdown Lists'!$I$2*(1+OrdersTable[[#This Row],[Returned]])</f>
        <v>60</v>
      </c>
      <c r="Y3535" s="76">
        <f>OrdersTable[[#This Row],[Net Revenue]]-OrdersTable[[#This Row],[COGS]]-OrdersTable[[#This Row],[Shipping Cost]]</f>
        <v>214.05</v>
      </c>
      <c r="Z3535" s="78">
        <f>IFERROR(OrdersTable[[#This Row],[Profit]]/OrdersTable[[#This Row],[Net Revenue]],0)</f>
        <v>0.45153464824385614</v>
      </c>
      <c r="AA3535" t="s">
        <v>18</v>
      </c>
      <c r="AB3535" s="79">
        <v>45873</v>
      </c>
      <c r="AC3535">
        <f>OrdersTable[[#This Row],[Delivery Date]]-OrdersTable[[#This Row],[Order Date]]</f>
        <v>4</v>
      </c>
      <c r="AD3535" t="str">
        <f>IF(OrdersTable[[#This Row],[Delivery Days]]&lt;=2, "Express (≤2d)", IF(OrdersTable[[#This Row],[Delivery Days]]&lt;=4, "Standard (3-4d)", "Delayed (5d+)"))</f>
        <v>Standard (3-4d)</v>
      </c>
      <c r="AE3535">
        <v>4</v>
      </c>
      <c r="AF3535">
        <v>0</v>
      </c>
    </row>
    <row r="3536" spans="1:32" ht="15" x14ac:dyDescent="0.35">
      <c r="A3536" t="s">
        <v>7103</v>
      </c>
      <c r="B3536" s="1">
        <v>45869</v>
      </c>
      <c r="C3536">
        <f>YEAR(OrdersTable[[#This Row],[Order Date]])</f>
        <v>2025</v>
      </c>
      <c r="D3536" s="2">
        <f>DATE(YEAR(OrdersTable[[#This Row],[Order Date]]),MONTH(OrdersTable[[#This Row],[Order Date]]),1)</f>
        <v>45839</v>
      </c>
      <c r="E3536">
        <f>MONTH(OrdersTable[[#This Row],[Order Date]])</f>
        <v>7</v>
      </c>
      <c r="F3536" t="s">
        <v>676</v>
      </c>
      <c r="G3536" t="str">
        <f>IF(OrdersTable[[#This Row],[Order Date]]=_xlfn.MINIFS(Order_Date, Customer_ID, OrdersTable[[#This Row],[Customer ID]]), "New", "Repeat")</f>
        <v>Repeat</v>
      </c>
      <c r="H3536" t="s">
        <v>59</v>
      </c>
      <c r="I3536" t="str">
        <f>INDEX(State!B:B,MATCH(OrdersTable[[#This Row],[State]],State!A:A,0))</f>
        <v>TN</v>
      </c>
      <c r="J3536" t="str">
        <f>INDEX(State!C:C,MATCH(OrdersTable[[#This Row],[State Code]],State!B:B,0))</f>
        <v>South</v>
      </c>
      <c r="K3536" t="s">
        <v>60</v>
      </c>
      <c r="L3536" t="s">
        <v>39</v>
      </c>
      <c r="M3536" t="s">
        <v>152</v>
      </c>
      <c r="N3536" t="str">
        <f>INDEX(Products!B:B,MATCH(OrdersTable[[#This Row],[Product ID]],Products!A:A,0))</f>
        <v>Green Tea (100 bags)</v>
      </c>
      <c r="O3536" t="str">
        <f>INDEX(Products!C:C,MATCH(OrdersTable[[#This Row],[Product ID]],Products!A:A,0))</f>
        <v>Wellness</v>
      </c>
      <c r="P3536">
        <v>4</v>
      </c>
      <c r="Q3536" s="5">
        <v>399</v>
      </c>
      <c r="R3536" s="74">
        <v>0.3</v>
      </c>
      <c r="S3536" s="75">
        <f>OrdersTable[[#This Row],[Quantity]]*OrdersTable[[#This Row],[Unit Price]]</f>
        <v>1596</v>
      </c>
      <c r="T3536" s="5">
        <f>OrdersTable[[#This Row],[Gross Sale]]*OrdersTable[[#This Row],[Discount_Clean2]]</f>
        <v>478.79999999999995</v>
      </c>
      <c r="U3536" s="5">
        <f>OrdersTable[[#This Row],[Gross Sale]]-OrdersTable[[#This Row],[Discount Amount]]</f>
        <v>1117.2</v>
      </c>
      <c r="V3536" s="77">
        <f>INDEX(Products!E:E,MATCH(OrdersTable[[#This Row],[Product ID]],Products!A:A,0))</f>
        <v>128</v>
      </c>
      <c r="W3536" s="77">
        <f>OrdersTable[[#This Row],[Quantity]]*OrdersTable[[#This Row],[Unit Cost]]</f>
        <v>512</v>
      </c>
      <c r="X3536" s="77">
        <f>'Dropdown Lists'!$I$2*(1+OrdersTable[[#This Row],[Returned]])</f>
        <v>60</v>
      </c>
      <c r="Y3536" s="76">
        <f>OrdersTable[[#This Row],[Net Revenue]]-OrdersTable[[#This Row],[COGS]]-OrdersTable[[#This Row],[Shipping Cost]]</f>
        <v>545.20000000000005</v>
      </c>
      <c r="Z3536" s="78">
        <f>IFERROR(OrdersTable[[#This Row],[Profit]]/OrdersTable[[#This Row],[Net Revenue]],0)</f>
        <v>0.4880057286072324</v>
      </c>
      <c r="AA3536" t="s">
        <v>18</v>
      </c>
      <c r="AB3536" s="79">
        <v>45872</v>
      </c>
      <c r="AC3536">
        <f>OrdersTable[[#This Row],[Delivery Date]]-OrdersTable[[#This Row],[Order Date]]</f>
        <v>3</v>
      </c>
      <c r="AD3536" t="str">
        <f>IF(OrdersTable[[#This Row],[Delivery Days]]&lt;=2, "Express (≤2d)", IF(OrdersTable[[#This Row],[Delivery Days]]&lt;=4, "Standard (3-4d)", "Delayed (5d+)"))</f>
        <v>Standard (3-4d)</v>
      </c>
      <c r="AF3536">
        <v>0</v>
      </c>
    </row>
    <row r="3537" spans="1:32" ht="15" x14ac:dyDescent="0.35">
      <c r="A3537" t="s">
        <v>6609</v>
      </c>
      <c r="B3537" s="1">
        <v>45870</v>
      </c>
      <c r="C3537">
        <f>YEAR(OrdersTable[[#This Row],[Order Date]])</f>
        <v>2025</v>
      </c>
      <c r="D3537" s="2">
        <f>DATE(YEAR(OrdersTable[[#This Row],[Order Date]]),MONTH(OrdersTable[[#This Row],[Order Date]]),1)</f>
        <v>45870</v>
      </c>
      <c r="E3537">
        <f>MONTH(OrdersTable[[#This Row],[Order Date]])</f>
        <v>8</v>
      </c>
      <c r="F3537" t="s">
        <v>4326</v>
      </c>
      <c r="G3537" t="str">
        <f>IF(OrdersTable[[#This Row],[Order Date]]=_xlfn.MINIFS(Order_Date, Customer_ID, OrdersTable[[#This Row],[Customer ID]]), "New", "Repeat")</f>
        <v>Repeat</v>
      </c>
      <c r="H3537" t="s">
        <v>128</v>
      </c>
      <c r="I3537" t="str">
        <f>INDEX(State!B:B,MATCH(OrdersTable[[#This Row],[State]],State!A:A,0))</f>
        <v>DL</v>
      </c>
      <c r="J3537" t="str">
        <f>INDEX(State!C:C,MATCH(OrdersTable[[#This Row],[State Code]],State!B:B,0))</f>
        <v>North</v>
      </c>
      <c r="K3537" t="s">
        <v>129</v>
      </c>
      <c r="L3537" t="s">
        <v>65</v>
      </c>
      <c r="M3537" t="s">
        <v>66</v>
      </c>
      <c r="N3537" t="str">
        <f>INDEX(Products!B:B,MATCH(OrdersTable[[#This Row],[Product ID]],Products!A:A,0))</f>
        <v>Sunscreen SPF 50</v>
      </c>
      <c r="O3537" t="str">
        <f>INDEX(Products!C:C,MATCH(OrdersTable[[#This Row],[Product ID]],Products!A:A,0))</f>
        <v>Skincare</v>
      </c>
      <c r="P3537">
        <v>3</v>
      </c>
      <c r="Q3537" s="5">
        <v>449</v>
      </c>
      <c r="R3537" s="74">
        <v>0.1</v>
      </c>
      <c r="S3537" s="75">
        <f>OrdersTable[[#This Row],[Quantity]]*OrdersTable[[#This Row],[Unit Price]]</f>
        <v>1347</v>
      </c>
      <c r="T3537" s="5">
        <f>OrdersTable[[#This Row],[Gross Sale]]*OrdersTable[[#This Row],[Discount_Clean2]]</f>
        <v>134.70000000000002</v>
      </c>
      <c r="U3537" s="5">
        <f>OrdersTable[[#This Row],[Gross Sale]]-OrdersTable[[#This Row],[Discount Amount]]</f>
        <v>1212.3</v>
      </c>
      <c r="V3537" s="77">
        <f>INDEX(Products!E:E,MATCH(OrdersTable[[#This Row],[Product ID]],Products!A:A,0))</f>
        <v>144</v>
      </c>
      <c r="W3537" s="77">
        <f>OrdersTable[[#This Row],[Quantity]]*OrdersTable[[#This Row],[Unit Cost]]</f>
        <v>432</v>
      </c>
      <c r="X3537" s="77">
        <f>'Dropdown Lists'!$I$2*(1+OrdersTable[[#This Row],[Returned]])</f>
        <v>60</v>
      </c>
      <c r="Y3537" s="76">
        <f>OrdersTable[[#This Row],[Net Revenue]]-OrdersTable[[#This Row],[COGS]]-OrdersTable[[#This Row],[Shipping Cost]]</f>
        <v>720.3</v>
      </c>
      <c r="Z3537" s="78">
        <f>IFERROR(OrdersTable[[#This Row],[Profit]]/OrdersTable[[#This Row],[Net Revenue]],0)</f>
        <v>0.59415986142044042</v>
      </c>
      <c r="AA3537" t="s">
        <v>18</v>
      </c>
      <c r="AB3537" s="79">
        <v>45872</v>
      </c>
      <c r="AC3537">
        <f>OrdersTable[[#This Row],[Delivery Date]]-OrdersTable[[#This Row],[Order Date]]</f>
        <v>2</v>
      </c>
      <c r="AD3537" t="str">
        <f>IF(OrdersTable[[#This Row],[Delivery Days]]&lt;=2, "Express (≤2d)", IF(OrdersTable[[#This Row],[Delivery Days]]&lt;=4, "Standard (3-4d)", "Delayed (5d+)"))</f>
        <v>Express (≤2d)</v>
      </c>
      <c r="AE3537">
        <v>4</v>
      </c>
      <c r="AF3537">
        <v>0</v>
      </c>
    </row>
    <row r="3538" spans="1:32" ht="15" x14ac:dyDescent="0.35">
      <c r="A3538" t="s">
        <v>6387</v>
      </c>
      <c r="B3538" s="1">
        <v>45870</v>
      </c>
      <c r="C3538">
        <f>YEAR(OrdersTable[[#This Row],[Order Date]])</f>
        <v>2025</v>
      </c>
      <c r="D3538" s="2">
        <f>DATE(YEAR(OrdersTable[[#This Row],[Order Date]]),MONTH(OrdersTable[[#This Row],[Order Date]]),1)</f>
        <v>45870</v>
      </c>
      <c r="E3538">
        <f>MONTH(OrdersTable[[#This Row],[Order Date]])</f>
        <v>8</v>
      </c>
      <c r="F3538" t="s">
        <v>2378</v>
      </c>
      <c r="G3538" t="str">
        <f>IF(OrdersTable[[#This Row],[Order Date]]=_xlfn.MINIFS(Order_Date, Customer_ID, OrdersTable[[#This Row],[Customer ID]]), "New", "Repeat")</f>
        <v>Repeat</v>
      </c>
      <c r="H3538" t="s">
        <v>76</v>
      </c>
      <c r="I3538" t="str">
        <f>INDEX(State!B:B,MATCH(OrdersTable[[#This Row],[State]],State!A:A,0))</f>
        <v>UP</v>
      </c>
      <c r="J3538" t="str">
        <f>INDEX(State!C:C,MATCH(OrdersTable[[#This Row],[State Code]],State!B:B,0))</f>
        <v>North</v>
      </c>
      <c r="K3538" t="s">
        <v>118</v>
      </c>
      <c r="L3538" t="s">
        <v>39</v>
      </c>
      <c r="M3538" t="s">
        <v>152</v>
      </c>
      <c r="N3538" t="str">
        <f>INDEX(Products!B:B,MATCH(OrdersTable[[#This Row],[Product ID]],Products!A:A,0))</f>
        <v>Green Tea (100 bags)</v>
      </c>
      <c r="O3538" t="str">
        <f>INDEX(Products!C:C,MATCH(OrdersTable[[#This Row],[Product ID]],Products!A:A,0))</f>
        <v>Wellness</v>
      </c>
      <c r="P3538">
        <v>2</v>
      </c>
      <c r="Q3538" s="5">
        <v>399</v>
      </c>
      <c r="R3538" s="74">
        <v>0.3</v>
      </c>
      <c r="S3538" s="75">
        <f>OrdersTable[[#This Row],[Quantity]]*OrdersTable[[#This Row],[Unit Price]]</f>
        <v>798</v>
      </c>
      <c r="T3538" s="5">
        <f>OrdersTable[[#This Row],[Gross Sale]]*OrdersTable[[#This Row],[Discount_Clean2]]</f>
        <v>239.39999999999998</v>
      </c>
      <c r="U3538" s="5">
        <f>OrdersTable[[#This Row],[Gross Sale]]-OrdersTable[[#This Row],[Discount Amount]]</f>
        <v>558.6</v>
      </c>
      <c r="V3538" s="77">
        <f>INDEX(Products!E:E,MATCH(OrdersTable[[#This Row],[Product ID]],Products!A:A,0))</f>
        <v>128</v>
      </c>
      <c r="W3538" s="77">
        <f>OrdersTable[[#This Row],[Quantity]]*OrdersTable[[#This Row],[Unit Cost]]</f>
        <v>256</v>
      </c>
      <c r="X3538" s="77">
        <f>'Dropdown Lists'!$I$2*(1+OrdersTable[[#This Row],[Returned]])</f>
        <v>60</v>
      </c>
      <c r="Y3538" s="76">
        <f>OrdersTable[[#This Row],[Net Revenue]]-OrdersTable[[#This Row],[COGS]]-OrdersTable[[#This Row],[Shipping Cost]]</f>
        <v>242.60000000000002</v>
      </c>
      <c r="Z3538" s="78">
        <f>IFERROR(OrdersTable[[#This Row],[Profit]]/OrdersTable[[#This Row],[Net Revenue]],0)</f>
        <v>0.43430003580379523</v>
      </c>
      <c r="AA3538" t="s">
        <v>18</v>
      </c>
      <c r="AB3538" s="79">
        <v>45875</v>
      </c>
      <c r="AC3538">
        <f>OrdersTable[[#This Row],[Delivery Date]]-OrdersTable[[#This Row],[Order Date]]</f>
        <v>5</v>
      </c>
      <c r="AD3538" t="str">
        <f>IF(OrdersTable[[#This Row],[Delivery Days]]&lt;=2, "Express (≤2d)", IF(OrdersTable[[#This Row],[Delivery Days]]&lt;=4, "Standard (3-4d)", "Delayed (5d+)"))</f>
        <v>Delayed (5d+)</v>
      </c>
      <c r="AF3538">
        <v>0</v>
      </c>
    </row>
    <row r="3539" spans="1:32" ht="15" x14ac:dyDescent="0.35">
      <c r="A3539" t="s">
        <v>3653</v>
      </c>
      <c r="B3539" s="1">
        <v>45870</v>
      </c>
      <c r="C3539">
        <f>YEAR(OrdersTable[[#This Row],[Order Date]])</f>
        <v>2025</v>
      </c>
      <c r="D3539" s="2">
        <f>DATE(YEAR(OrdersTable[[#This Row],[Order Date]]),MONTH(OrdersTable[[#This Row],[Order Date]]),1)</f>
        <v>45870</v>
      </c>
      <c r="E3539">
        <f>MONTH(OrdersTable[[#This Row],[Order Date]])</f>
        <v>8</v>
      </c>
      <c r="F3539" t="s">
        <v>3654</v>
      </c>
      <c r="G3539" t="str">
        <f>IF(OrdersTable[[#This Row],[Order Date]]=_xlfn.MINIFS(Order_Date, Customer_ID, OrdersTable[[#This Row],[Customer ID]]), "New", "Repeat")</f>
        <v>Repeat</v>
      </c>
      <c r="H3539" t="s">
        <v>43</v>
      </c>
      <c r="I3539" t="str">
        <f>INDEX(State!B:B,MATCH(OrdersTable[[#This Row],[State]],State!A:A,0))</f>
        <v>MP</v>
      </c>
      <c r="J3539" t="str">
        <f>INDEX(State!C:C,MATCH(OrdersTable[[#This Row],[State Code]],State!B:B,0))</f>
        <v>West</v>
      </c>
      <c r="K3539" t="s">
        <v>250</v>
      </c>
      <c r="L3539" t="s">
        <v>16</v>
      </c>
      <c r="M3539" t="s">
        <v>92</v>
      </c>
      <c r="N3539" t="str">
        <f>INDEX(Products!B:B,MATCH(OrdersTable[[#This Row],[Product ID]],Products!A:A,0))</f>
        <v>Kolhapuri Sandals</v>
      </c>
      <c r="O3539" t="str">
        <f>INDEX(Products!C:C,MATCH(OrdersTable[[#This Row],[Product ID]],Products!A:A,0))</f>
        <v>Footwear</v>
      </c>
      <c r="P3539">
        <v>1</v>
      </c>
      <c r="Q3539" s="5">
        <v>999</v>
      </c>
      <c r="R3539" s="74">
        <v>0.05</v>
      </c>
      <c r="S3539" s="75">
        <f>OrdersTable[[#This Row],[Quantity]]*OrdersTable[[#This Row],[Unit Price]]</f>
        <v>999</v>
      </c>
      <c r="T3539" s="5">
        <f>OrdersTable[[#This Row],[Gross Sale]]*OrdersTable[[#This Row],[Discount_Clean2]]</f>
        <v>49.95</v>
      </c>
      <c r="U3539" s="5">
        <f>OrdersTable[[#This Row],[Gross Sale]]-OrdersTable[[#This Row],[Discount Amount]]</f>
        <v>949.05</v>
      </c>
      <c r="V3539" s="77">
        <f>INDEX(Products!E:E,MATCH(OrdersTable[[#This Row],[Product ID]],Products!A:A,0))</f>
        <v>400</v>
      </c>
      <c r="W3539" s="77">
        <f>OrdersTable[[#This Row],[Quantity]]*OrdersTable[[#This Row],[Unit Cost]]</f>
        <v>400</v>
      </c>
      <c r="X3539" s="77">
        <f>'Dropdown Lists'!$I$2*(1+OrdersTable[[#This Row],[Returned]])</f>
        <v>60</v>
      </c>
      <c r="Y3539" s="76">
        <f>OrdersTable[[#This Row],[Net Revenue]]-OrdersTable[[#This Row],[COGS]]-OrdersTable[[#This Row],[Shipping Cost]]</f>
        <v>489.04999999999995</v>
      </c>
      <c r="Z3539" s="78">
        <f>IFERROR(OrdersTable[[#This Row],[Profit]]/OrdersTable[[#This Row],[Net Revenue]],0)</f>
        <v>0.5153047784626732</v>
      </c>
      <c r="AA3539" t="s">
        <v>3495</v>
      </c>
      <c r="AB3539" s="79">
        <v>45874</v>
      </c>
      <c r="AC3539">
        <f>OrdersTable[[#This Row],[Delivery Date]]-OrdersTable[[#This Row],[Order Date]]</f>
        <v>4</v>
      </c>
      <c r="AD3539" t="str">
        <f>IF(OrdersTable[[#This Row],[Delivery Days]]&lt;=2, "Express (≤2d)", IF(OrdersTable[[#This Row],[Delivery Days]]&lt;=4, "Standard (3-4d)", "Delayed (5d+)"))</f>
        <v>Standard (3-4d)</v>
      </c>
      <c r="AE3539">
        <v>4</v>
      </c>
      <c r="AF3539">
        <v>0</v>
      </c>
    </row>
    <row r="3540" spans="1:32" ht="15" x14ac:dyDescent="0.35">
      <c r="A3540" t="s">
        <v>6191</v>
      </c>
      <c r="B3540" s="1">
        <v>45870</v>
      </c>
      <c r="C3540">
        <f>YEAR(OrdersTable[[#This Row],[Order Date]])</f>
        <v>2025</v>
      </c>
      <c r="D3540" s="2">
        <f>DATE(YEAR(OrdersTable[[#This Row],[Order Date]]),MONTH(OrdersTable[[#This Row],[Order Date]]),1)</f>
        <v>45870</v>
      </c>
      <c r="E3540">
        <f>MONTH(OrdersTable[[#This Row],[Order Date]])</f>
        <v>8</v>
      </c>
      <c r="F3540" t="s">
        <v>678</v>
      </c>
      <c r="G3540" t="str">
        <f>IF(OrdersTable[[#This Row],[Order Date]]=_xlfn.MINIFS(Order_Date, Customer_ID, OrdersTable[[#This Row],[Customer ID]]), "New", "Repeat")</f>
        <v>Repeat</v>
      </c>
      <c r="H3540" t="s">
        <v>71</v>
      </c>
      <c r="I3540" t="str">
        <f>INDEX(State!B:B,MATCH(OrdersTable[[#This Row],[State]],State!A:A,0))</f>
        <v>MH</v>
      </c>
      <c r="J3540" t="str">
        <f>INDEX(State!C:C,MATCH(OrdersTable[[#This Row],[State Code]],State!B:B,0))</f>
        <v>West</v>
      </c>
      <c r="K3540" t="s">
        <v>81</v>
      </c>
      <c r="L3540" t="s">
        <v>39</v>
      </c>
      <c r="M3540" t="s">
        <v>87</v>
      </c>
      <c r="N3540" t="str">
        <f>INDEX(Products!B:B,MATCH(OrdersTable[[#This Row],[Product ID]],Products!A:A,0))</f>
        <v>Linen Kurta</v>
      </c>
      <c r="O3540" t="str">
        <f>INDEX(Products!C:C,MATCH(OrdersTable[[#This Row],[Product ID]],Products!A:A,0))</f>
        <v>Apparel</v>
      </c>
      <c r="P3540">
        <v>2</v>
      </c>
      <c r="Q3540" s="5">
        <v>1499</v>
      </c>
      <c r="R3540" s="74">
        <v>0.3</v>
      </c>
      <c r="S3540" s="75">
        <f>OrdersTable[[#This Row],[Quantity]]*OrdersTable[[#This Row],[Unit Price]]</f>
        <v>2998</v>
      </c>
      <c r="T3540" s="5">
        <f>OrdersTable[[#This Row],[Gross Sale]]*OrdersTable[[#This Row],[Discount_Clean2]]</f>
        <v>899.4</v>
      </c>
      <c r="U3540" s="5">
        <f>OrdersTable[[#This Row],[Gross Sale]]-OrdersTable[[#This Row],[Discount Amount]]</f>
        <v>2098.6</v>
      </c>
      <c r="V3540" s="77">
        <f>INDEX(Products!E:E,MATCH(OrdersTable[[#This Row],[Product ID]],Products!A:A,0))</f>
        <v>630</v>
      </c>
      <c r="W3540" s="77">
        <f>OrdersTable[[#This Row],[Quantity]]*OrdersTable[[#This Row],[Unit Cost]]</f>
        <v>1260</v>
      </c>
      <c r="X3540" s="77">
        <f>'Dropdown Lists'!$I$2*(1+OrdersTable[[#This Row],[Returned]])</f>
        <v>60</v>
      </c>
      <c r="Y3540" s="76">
        <f>OrdersTable[[#This Row],[Net Revenue]]-OrdersTable[[#This Row],[COGS]]-OrdersTable[[#This Row],[Shipping Cost]]</f>
        <v>778.59999999999991</v>
      </c>
      <c r="Z3540" s="78">
        <f>IFERROR(OrdersTable[[#This Row],[Profit]]/OrdersTable[[#This Row],[Net Revenue]],0)</f>
        <v>0.3710092442580768</v>
      </c>
      <c r="AA3540" t="s">
        <v>18</v>
      </c>
      <c r="AB3540" s="79">
        <v>45873</v>
      </c>
      <c r="AC3540">
        <f>OrdersTable[[#This Row],[Delivery Date]]-OrdersTable[[#This Row],[Order Date]]</f>
        <v>3</v>
      </c>
      <c r="AD3540" t="str">
        <f>IF(OrdersTable[[#This Row],[Delivery Days]]&lt;=2, "Express (≤2d)", IF(OrdersTable[[#This Row],[Delivery Days]]&lt;=4, "Standard (3-4d)", "Delayed (5d+)"))</f>
        <v>Standard (3-4d)</v>
      </c>
      <c r="AE3540">
        <v>4</v>
      </c>
      <c r="AF3540">
        <v>0</v>
      </c>
    </row>
    <row r="3541" spans="1:32" ht="15" x14ac:dyDescent="0.35">
      <c r="A3541" t="s">
        <v>2434</v>
      </c>
      <c r="B3541" s="1">
        <v>45870</v>
      </c>
      <c r="C3541">
        <f>YEAR(OrdersTable[[#This Row],[Order Date]])</f>
        <v>2025</v>
      </c>
      <c r="D3541" s="2">
        <f>DATE(YEAR(OrdersTable[[#This Row],[Order Date]]),MONTH(OrdersTable[[#This Row],[Order Date]]),1)</f>
        <v>45870</v>
      </c>
      <c r="E3541">
        <f>MONTH(OrdersTable[[#This Row],[Order Date]])</f>
        <v>8</v>
      </c>
      <c r="F3541" t="s">
        <v>2435</v>
      </c>
      <c r="G3541" t="str">
        <f>IF(OrdersTable[[#This Row],[Order Date]]=_xlfn.MINIFS(Order_Date, Customer_ID, OrdersTable[[#This Row],[Customer ID]]), "New", "Repeat")</f>
        <v>New</v>
      </c>
      <c r="H3541" t="s">
        <v>71</v>
      </c>
      <c r="I3541" t="str">
        <f>INDEX(State!B:B,MATCH(OrdersTable[[#This Row],[State]],State!A:A,0))</f>
        <v>MH</v>
      </c>
      <c r="J3541" t="str">
        <f>INDEX(State!C:C,MATCH(OrdersTable[[#This Row],[State Code]],State!B:B,0))</f>
        <v>West</v>
      </c>
      <c r="K3541" t="s">
        <v>81</v>
      </c>
      <c r="L3541" t="s">
        <v>50</v>
      </c>
      <c r="M3541" t="s">
        <v>45</v>
      </c>
      <c r="N3541" t="str">
        <f>INDEX(Products!B:B,MATCH(OrdersTable[[#This Row],[Product ID]],Products!A:A,0))</f>
        <v>Argan Shampoo</v>
      </c>
      <c r="O3541" t="str">
        <f>INDEX(Products!C:C,MATCH(OrdersTable[[#This Row],[Product ID]],Products!A:A,0))</f>
        <v>Haircare</v>
      </c>
      <c r="P3541">
        <v>1</v>
      </c>
      <c r="Q3541" s="5">
        <v>449</v>
      </c>
      <c r="R3541" s="74">
        <v>0.1</v>
      </c>
      <c r="S3541" s="75">
        <f>OrdersTable[[#This Row],[Quantity]]*OrdersTable[[#This Row],[Unit Price]]</f>
        <v>449</v>
      </c>
      <c r="T3541" s="5">
        <f>OrdersTable[[#This Row],[Gross Sale]]*OrdersTable[[#This Row],[Discount_Clean2]]</f>
        <v>44.900000000000006</v>
      </c>
      <c r="U3541" s="5">
        <f>OrdersTable[[#This Row],[Gross Sale]]-OrdersTable[[#This Row],[Discount Amount]]</f>
        <v>404.1</v>
      </c>
      <c r="V3541" s="77">
        <f>INDEX(Products!E:E,MATCH(OrdersTable[[#This Row],[Product ID]],Products!A:A,0))</f>
        <v>148</v>
      </c>
      <c r="W3541" s="77">
        <f>OrdersTable[[#This Row],[Quantity]]*OrdersTable[[#This Row],[Unit Cost]]</f>
        <v>148</v>
      </c>
      <c r="X3541" s="77">
        <f>'Dropdown Lists'!$I$2*(1+OrdersTable[[#This Row],[Returned]])</f>
        <v>60</v>
      </c>
      <c r="Y3541" s="76">
        <f>OrdersTable[[#This Row],[Net Revenue]]-OrdersTable[[#This Row],[COGS]]-OrdersTable[[#This Row],[Shipping Cost]]</f>
        <v>196.10000000000002</v>
      </c>
      <c r="Z3541" s="78">
        <f>IFERROR(OrdersTable[[#This Row],[Profit]]/OrdersTable[[#This Row],[Net Revenue]],0)</f>
        <v>0.48527592180153428</v>
      </c>
      <c r="AA3541" t="s">
        <v>18</v>
      </c>
      <c r="AB3541" s="79">
        <v>45873</v>
      </c>
      <c r="AC3541">
        <f>OrdersTable[[#This Row],[Delivery Date]]-OrdersTable[[#This Row],[Order Date]]</f>
        <v>3</v>
      </c>
      <c r="AD3541" t="str">
        <f>IF(OrdersTable[[#This Row],[Delivery Days]]&lt;=2, "Express (≤2d)", IF(OrdersTable[[#This Row],[Delivery Days]]&lt;=4, "Standard (3-4d)", "Delayed (5d+)"))</f>
        <v>Standard (3-4d)</v>
      </c>
      <c r="AE3541">
        <v>5</v>
      </c>
      <c r="AF3541">
        <v>0</v>
      </c>
    </row>
    <row r="3542" spans="1:32" ht="15" x14ac:dyDescent="0.35">
      <c r="A3542" t="s">
        <v>3461</v>
      </c>
      <c r="B3542" s="1">
        <v>45871</v>
      </c>
      <c r="C3542">
        <f>YEAR(OrdersTable[[#This Row],[Order Date]])</f>
        <v>2025</v>
      </c>
      <c r="D3542" s="2">
        <f>DATE(YEAR(OrdersTable[[#This Row],[Order Date]]),MONTH(OrdersTable[[#This Row],[Order Date]]),1)</f>
        <v>45870</v>
      </c>
      <c r="E3542">
        <f>MONTH(OrdersTable[[#This Row],[Order Date]])</f>
        <v>8</v>
      </c>
      <c r="F3542" t="s">
        <v>696</v>
      </c>
      <c r="G3542" t="str">
        <f>IF(OrdersTable[[#This Row],[Order Date]]=_xlfn.MINIFS(Order_Date, Customer_ID, OrdersTable[[#This Row],[Customer ID]]), "New", "Repeat")</f>
        <v>Repeat</v>
      </c>
      <c r="H3542" t="s">
        <v>32</v>
      </c>
      <c r="I3542" t="str">
        <f>INDEX(State!B:B,MATCH(OrdersTable[[#This Row],[State]],State!A:A,0))</f>
        <v>BR</v>
      </c>
      <c r="J3542" t="str">
        <f>INDEX(State!C:C,MATCH(OrdersTable[[#This Row],[State Code]],State!B:B,0))</f>
        <v>East</v>
      </c>
      <c r="K3542" t="s">
        <v>33</v>
      </c>
      <c r="L3542" t="s">
        <v>65</v>
      </c>
      <c r="M3542" t="s">
        <v>66</v>
      </c>
      <c r="N3542" t="str">
        <f>INDEX(Products!B:B,MATCH(OrdersTable[[#This Row],[Product ID]],Products!A:A,0))</f>
        <v>Sunscreen SPF 50</v>
      </c>
      <c r="O3542" t="str">
        <f>INDEX(Products!C:C,MATCH(OrdersTable[[#This Row],[Product ID]],Products!A:A,0))</f>
        <v>Skincare</v>
      </c>
      <c r="P3542">
        <v>1</v>
      </c>
      <c r="Q3542" s="5">
        <v>449</v>
      </c>
      <c r="R3542" s="74">
        <v>0.1</v>
      </c>
      <c r="S3542" s="75">
        <f>OrdersTable[[#This Row],[Quantity]]*OrdersTable[[#This Row],[Unit Price]]</f>
        <v>449</v>
      </c>
      <c r="T3542" s="5">
        <f>OrdersTable[[#This Row],[Gross Sale]]*OrdersTable[[#This Row],[Discount_Clean2]]</f>
        <v>44.900000000000006</v>
      </c>
      <c r="U3542" s="5">
        <f>OrdersTable[[#This Row],[Gross Sale]]-OrdersTable[[#This Row],[Discount Amount]]</f>
        <v>404.1</v>
      </c>
      <c r="V3542" s="77">
        <f>INDEX(Products!E:E,MATCH(OrdersTable[[#This Row],[Product ID]],Products!A:A,0))</f>
        <v>144</v>
      </c>
      <c r="W3542" s="77">
        <f>OrdersTable[[#This Row],[Quantity]]*OrdersTable[[#This Row],[Unit Cost]]</f>
        <v>144</v>
      </c>
      <c r="X3542" s="77">
        <f>'Dropdown Lists'!$I$2*(1+OrdersTable[[#This Row],[Returned]])</f>
        <v>120</v>
      </c>
      <c r="Y3542" s="76">
        <f>OrdersTable[[#This Row],[Net Revenue]]-OrdersTable[[#This Row],[COGS]]-OrdersTable[[#This Row],[Shipping Cost]]</f>
        <v>140.10000000000002</v>
      </c>
      <c r="Z3542" s="78">
        <f>IFERROR(OrdersTable[[#This Row],[Profit]]/OrdersTable[[#This Row],[Net Revenue]],0)</f>
        <v>0.34669636228656275</v>
      </c>
      <c r="AA3542" t="s">
        <v>2522</v>
      </c>
      <c r="AB3542" s="79">
        <v>45876</v>
      </c>
      <c r="AC3542">
        <f>OrdersTable[[#This Row],[Delivery Date]]-OrdersTable[[#This Row],[Order Date]]</f>
        <v>5</v>
      </c>
      <c r="AD3542" t="str">
        <f>IF(OrdersTable[[#This Row],[Delivery Days]]&lt;=2, "Express (≤2d)", IF(OrdersTable[[#This Row],[Delivery Days]]&lt;=4, "Standard (3-4d)", "Delayed (5d+)"))</f>
        <v>Delayed (5d+)</v>
      </c>
      <c r="AE3542">
        <v>4</v>
      </c>
      <c r="AF3542">
        <v>1</v>
      </c>
    </row>
    <row r="3543" spans="1:32" ht="15" x14ac:dyDescent="0.35">
      <c r="A3543" t="s">
        <v>2167</v>
      </c>
      <c r="B3543" s="1">
        <v>45871</v>
      </c>
      <c r="C3543">
        <f>YEAR(OrdersTable[[#This Row],[Order Date]])</f>
        <v>2025</v>
      </c>
      <c r="D3543" s="2">
        <f>DATE(YEAR(OrdersTable[[#This Row],[Order Date]]),MONTH(OrdersTable[[#This Row],[Order Date]]),1)</f>
        <v>45870</v>
      </c>
      <c r="E3543">
        <f>MONTH(OrdersTable[[#This Row],[Order Date]])</f>
        <v>8</v>
      </c>
      <c r="F3543" t="s">
        <v>2168</v>
      </c>
      <c r="G3543" t="str">
        <f>IF(OrdersTable[[#This Row],[Order Date]]=_xlfn.MINIFS(Order_Date, Customer_ID, OrdersTable[[#This Row],[Customer ID]]), "New", "Repeat")</f>
        <v>Repeat</v>
      </c>
      <c r="H3543" t="s">
        <v>37</v>
      </c>
      <c r="I3543" t="str">
        <f>INDEX(State!B:B,MATCH(OrdersTable[[#This Row],[State]],State!A:A,0))</f>
        <v>GJ</v>
      </c>
      <c r="J3543" t="str">
        <f>INDEX(State!C:C,MATCH(OrdersTable[[#This Row],[State Code]],State!B:B,0))</f>
        <v>West</v>
      </c>
      <c r="K3543" t="s">
        <v>38</v>
      </c>
      <c r="L3543" t="s">
        <v>50</v>
      </c>
      <c r="M3543" t="s">
        <v>106</v>
      </c>
      <c r="N3543" t="str">
        <f>INDEX(Products!B:B,MATCH(OrdersTable[[#This Row],[Product ID]],Products!A:A,0))</f>
        <v>Keratin Hair Mask</v>
      </c>
      <c r="O3543" t="str">
        <f>INDEX(Products!C:C,MATCH(OrdersTable[[#This Row],[Product ID]],Products!A:A,0))</f>
        <v>Haircare</v>
      </c>
      <c r="P3543">
        <v>1</v>
      </c>
      <c r="Q3543" s="5">
        <v>549</v>
      </c>
      <c r="R3543" s="74">
        <v>0.25</v>
      </c>
      <c r="S3543" s="75">
        <f>OrdersTable[[#This Row],[Quantity]]*OrdersTable[[#This Row],[Unit Price]]</f>
        <v>549</v>
      </c>
      <c r="T3543" s="5">
        <f>OrdersTable[[#This Row],[Gross Sale]]*OrdersTable[[#This Row],[Discount_Clean2]]</f>
        <v>137.25</v>
      </c>
      <c r="U3543" s="5">
        <f>OrdersTable[[#This Row],[Gross Sale]]-OrdersTable[[#This Row],[Discount Amount]]</f>
        <v>411.75</v>
      </c>
      <c r="V3543" s="77">
        <f>INDEX(Products!E:E,MATCH(OrdersTable[[#This Row],[Product ID]],Products!A:A,0))</f>
        <v>170</v>
      </c>
      <c r="W3543" s="77">
        <f>OrdersTable[[#This Row],[Quantity]]*OrdersTable[[#This Row],[Unit Cost]]</f>
        <v>170</v>
      </c>
      <c r="X3543" s="77">
        <f>'Dropdown Lists'!$I$2*(1+OrdersTable[[#This Row],[Returned]])</f>
        <v>60</v>
      </c>
      <c r="Y3543" s="76">
        <f>OrdersTable[[#This Row],[Net Revenue]]-OrdersTable[[#This Row],[COGS]]-OrdersTable[[#This Row],[Shipping Cost]]</f>
        <v>181.75</v>
      </c>
      <c r="Z3543" s="78">
        <f>IFERROR(OrdersTable[[#This Row],[Profit]]/OrdersTable[[#This Row],[Net Revenue]],0)</f>
        <v>0.44140862173649059</v>
      </c>
      <c r="AA3543" t="s">
        <v>18</v>
      </c>
      <c r="AB3543" s="79">
        <v>45875</v>
      </c>
      <c r="AC3543">
        <f>OrdersTable[[#This Row],[Delivery Date]]-OrdersTable[[#This Row],[Order Date]]</f>
        <v>4</v>
      </c>
      <c r="AD3543" t="str">
        <f>IF(OrdersTable[[#This Row],[Delivery Days]]&lt;=2, "Express (≤2d)", IF(OrdersTable[[#This Row],[Delivery Days]]&lt;=4, "Standard (3-4d)", "Delayed (5d+)"))</f>
        <v>Standard (3-4d)</v>
      </c>
      <c r="AE3543">
        <v>3</v>
      </c>
      <c r="AF3543">
        <v>0</v>
      </c>
    </row>
    <row r="3544" spans="1:32" ht="15" x14ac:dyDescent="0.35">
      <c r="A3544" t="s">
        <v>4841</v>
      </c>
      <c r="B3544" s="1">
        <v>45871</v>
      </c>
      <c r="C3544">
        <f>YEAR(OrdersTable[[#This Row],[Order Date]])</f>
        <v>2025</v>
      </c>
      <c r="D3544" s="2">
        <f>DATE(YEAR(OrdersTable[[#This Row],[Order Date]]),MONTH(OrdersTable[[#This Row],[Order Date]]),1)</f>
        <v>45870</v>
      </c>
      <c r="E3544">
        <f>MONTH(OrdersTable[[#This Row],[Order Date]])</f>
        <v>8</v>
      </c>
      <c r="F3544" t="s">
        <v>1363</v>
      </c>
      <c r="G3544" t="str">
        <f>IF(OrdersTable[[#This Row],[Order Date]]=_xlfn.MINIFS(Order_Date, Customer_ID, OrdersTable[[#This Row],[Customer ID]]), "New", "Repeat")</f>
        <v>Repeat</v>
      </c>
      <c r="H3544" t="s">
        <v>37</v>
      </c>
      <c r="I3544" t="str">
        <f>INDEX(State!B:B,MATCH(OrdersTable[[#This Row],[State]],State!A:A,0))</f>
        <v>GJ</v>
      </c>
      <c r="J3544" t="str">
        <f>INDEX(State!C:C,MATCH(OrdersTable[[#This Row],[State Code]],State!B:B,0))</f>
        <v>West</v>
      </c>
      <c r="K3544" t="s">
        <v>247</v>
      </c>
      <c r="L3544" t="s">
        <v>39</v>
      </c>
      <c r="M3544" t="s">
        <v>179</v>
      </c>
      <c r="N3544" t="str">
        <f>INDEX(Products!B:B,MATCH(OrdersTable[[#This Row],[Product ID]],Products!A:A,0))</f>
        <v>Whey Protein 1kg</v>
      </c>
      <c r="O3544" t="str">
        <f>INDEX(Products!C:C,MATCH(OrdersTable[[#This Row],[Product ID]],Products!A:A,0))</f>
        <v>Wellness</v>
      </c>
      <c r="P3544">
        <v>2</v>
      </c>
      <c r="Q3544" s="5">
        <v>2299</v>
      </c>
      <c r="R3544" s="74">
        <v>0.25</v>
      </c>
      <c r="S3544" s="75">
        <f>OrdersTable[[#This Row],[Quantity]]*OrdersTable[[#This Row],[Unit Price]]</f>
        <v>4598</v>
      </c>
      <c r="T3544" s="5">
        <f>OrdersTable[[#This Row],[Gross Sale]]*OrdersTable[[#This Row],[Discount_Clean2]]</f>
        <v>1149.5</v>
      </c>
      <c r="U3544" s="5">
        <f>OrdersTable[[#This Row],[Gross Sale]]-OrdersTable[[#This Row],[Discount Amount]]</f>
        <v>3448.5</v>
      </c>
      <c r="V3544" s="77">
        <f>INDEX(Products!E:E,MATCH(OrdersTable[[#This Row],[Product ID]],Products!A:A,0))</f>
        <v>1333</v>
      </c>
      <c r="W3544" s="77">
        <f>OrdersTable[[#This Row],[Quantity]]*OrdersTable[[#This Row],[Unit Cost]]</f>
        <v>2666</v>
      </c>
      <c r="X3544" s="77">
        <f>'Dropdown Lists'!$I$2*(1+OrdersTable[[#This Row],[Returned]])</f>
        <v>60</v>
      </c>
      <c r="Y3544" s="76">
        <f>OrdersTable[[#This Row],[Net Revenue]]-OrdersTable[[#This Row],[COGS]]-OrdersTable[[#This Row],[Shipping Cost]]</f>
        <v>722.5</v>
      </c>
      <c r="Z3544" s="78">
        <f>IFERROR(OrdersTable[[#This Row],[Profit]]/OrdersTable[[#This Row],[Net Revenue]],0)</f>
        <v>0.20951138176018558</v>
      </c>
      <c r="AA3544" t="s">
        <v>4450</v>
      </c>
      <c r="AB3544" s="79">
        <v>45874</v>
      </c>
      <c r="AC3544">
        <f>OrdersTable[[#This Row],[Delivery Date]]-OrdersTable[[#This Row],[Order Date]]</f>
        <v>3</v>
      </c>
      <c r="AD3544" t="str">
        <f>IF(OrdersTable[[#This Row],[Delivery Days]]&lt;=2, "Express (≤2d)", IF(OrdersTable[[#This Row],[Delivery Days]]&lt;=4, "Standard (3-4d)", "Delayed (5d+)"))</f>
        <v>Standard (3-4d)</v>
      </c>
      <c r="AF3544">
        <v>0</v>
      </c>
    </row>
    <row r="3545" spans="1:32" ht="15" x14ac:dyDescent="0.35">
      <c r="A3545" t="s">
        <v>3462</v>
      </c>
      <c r="B3545" s="1">
        <v>45871</v>
      </c>
      <c r="C3545">
        <f>YEAR(OrdersTable[[#This Row],[Order Date]])</f>
        <v>2025</v>
      </c>
      <c r="D3545" s="2">
        <f>DATE(YEAR(OrdersTable[[#This Row],[Order Date]]),MONTH(OrdersTable[[#This Row],[Order Date]]),1)</f>
        <v>45870</v>
      </c>
      <c r="E3545">
        <f>MONTH(OrdersTable[[#This Row],[Order Date]])</f>
        <v>8</v>
      </c>
      <c r="F3545" t="s">
        <v>3463</v>
      </c>
      <c r="G3545" t="str">
        <f>IF(OrdersTable[[#This Row],[Order Date]]=_xlfn.MINIFS(Order_Date, Customer_ID, OrdersTable[[#This Row],[Customer ID]]), "New", "Repeat")</f>
        <v>Repeat</v>
      </c>
      <c r="H3545" t="s">
        <v>37</v>
      </c>
      <c r="I3545" t="str">
        <f>INDEX(State!B:B,MATCH(OrdersTable[[#This Row],[State]],State!A:A,0))</f>
        <v>GJ</v>
      </c>
      <c r="J3545" t="str">
        <f>INDEX(State!C:C,MATCH(OrdersTable[[#This Row],[State Code]],State!B:B,0))</f>
        <v>West</v>
      </c>
      <c r="K3545" t="s">
        <v>247</v>
      </c>
      <c r="L3545" t="s">
        <v>65</v>
      </c>
      <c r="M3545" t="s">
        <v>87</v>
      </c>
      <c r="N3545" t="str">
        <f>INDEX(Products!B:B,MATCH(OrdersTable[[#This Row],[Product ID]],Products!A:A,0))</f>
        <v>Linen Kurta</v>
      </c>
      <c r="O3545" t="str">
        <f>INDEX(Products!C:C,MATCH(OrdersTable[[#This Row],[Product ID]],Products!A:A,0))</f>
        <v>Apparel</v>
      </c>
      <c r="P3545">
        <v>1</v>
      </c>
      <c r="Q3545" s="5">
        <v>1499</v>
      </c>
      <c r="R3545" s="74">
        <v>0.3</v>
      </c>
      <c r="S3545" s="75">
        <f>OrdersTable[[#This Row],[Quantity]]*OrdersTable[[#This Row],[Unit Price]]</f>
        <v>1499</v>
      </c>
      <c r="T3545" s="5">
        <f>OrdersTable[[#This Row],[Gross Sale]]*OrdersTable[[#This Row],[Discount_Clean2]]</f>
        <v>449.7</v>
      </c>
      <c r="U3545" s="5">
        <f>OrdersTable[[#This Row],[Gross Sale]]-OrdersTable[[#This Row],[Discount Amount]]</f>
        <v>1049.3</v>
      </c>
      <c r="V3545" s="77">
        <f>INDEX(Products!E:E,MATCH(OrdersTable[[#This Row],[Product ID]],Products!A:A,0))</f>
        <v>630</v>
      </c>
      <c r="W3545" s="77">
        <f>OrdersTable[[#This Row],[Quantity]]*OrdersTable[[#This Row],[Unit Cost]]</f>
        <v>630</v>
      </c>
      <c r="X3545" s="77">
        <f>'Dropdown Lists'!$I$2*(1+OrdersTable[[#This Row],[Returned]])</f>
        <v>60</v>
      </c>
      <c r="Y3545" s="76">
        <f>OrdersTable[[#This Row],[Net Revenue]]-OrdersTable[[#This Row],[COGS]]-OrdersTable[[#This Row],[Shipping Cost]]</f>
        <v>359.29999999999995</v>
      </c>
      <c r="Z3545" s="78">
        <f>IFERROR(OrdersTable[[#This Row],[Profit]]/OrdersTable[[#This Row],[Net Revenue]],0)</f>
        <v>0.34241875536071664</v>
      </c>
      <c r="AA3545" t="s">
        <v>2522</v>
      </c>
      <c r="AB3545" s="79">
        <v>45873</v>
      </c>
      <c r="AC3545">
        <f>OrdersTable[[#This Row],[Delivery Date]]-OrdersTable[[#This Row],[Order Date]]</f>
        <v>2</v>
      </c>
      <c r="AD3545" t="str">
        <f>IF(OrdersTable[[#This Row],[Delivery Days]]&lt;=2, "Express (≤2d)", IF(OrdersTable[[#This Row],[Delivery Days]]&lt;=4, "Standard (3-4d)", "Delayed (5d+)"))</f>
        <v>Express (≤2d)</v>
      </c>
      <c r="AE3545">
        <v>4</v>
      </c>
      <c r="AF3545">
        <v>0</v>
      </c>
    </row>
    <row r="3546" spans="1:32" ht="15" x14ac:dyDescent="0.35">
      <c r="A3546" t="s">
        <v>5966</v>
      </c>
      <c r="B3546" s="1">
        <v>45871</v>
      </c>
      <c r="C3546">
        <f>YEAR(OrdersTable[[#This Row],[Order Date]])</f>
        <v>2025</v>
      </c>
      <c r="D3546" s="2">
        <f>DATE(YEAR(OrdersTable[[#This Row],[Order Date]]),MONTH(OrdersTable[[#This Row],[Order Date]]),1)</f>
        <v>45870</v>
      </c>
      <c r="E3546">
        <f>MONTH(OrdersTable[[#This Row],[Order Date]])</f>
        <v>8</v>
      </c>
      <c r="F3546" t="s">
        <v>1196</v>
      </c>
      <c r="G3546" t="str">
        <f>IF(OrdersTable[[#This Row],[Order Date]]=_xlfn.MINIFS(Order_Date, Customer_ID, OrdersTable[[#This Row],[Customer ID]]), "New", "Repeat")</f>
        <v>Repeat</v>
      </c>
      <c r="H3546" t="s">
        <v>43</v>
      </c>
      <c r="I3546" t="str">
        <f>INDEX(State!B:B,MATCH(OrdersTable[[#This Row],[State]],State!A:A,0))</f>
        <v>MP</v>
      </c>
      <c r="J3546" t="str">
        <f>INDEX(State!C:C,MATCH(OrdersTable[[#This Row],[State Code]],State!B:B,0))</f>
        <v>West</v>
      </c>
      <c r="K3546" t="s">
        <v>250</v>
      </c>
      <c r="L3546" t="s">
        <v>16</v>
      </c>
      <c r="M3546" t="s">
        <v>92</v>
      </c>
      <c r="N3546" t="str">
        <f>INDEX(Products!B:B,MATCH(OrdersTable[[#This Row],[Product ID]],Products!A:A,0))</f>
        <v>Kolhapuri Sandals</v>
      </c>
      <c r="O3546" t="str">
        <f>INDEX(Products!C:C,MATCH(OrdersTable[[#This Row],[Product ID]],Products!A:A,0))</f>
        <v>Footwear</v>
      </c>
      <c r="P3546">
        <v>2</v>
      </c>
      <c r="Q3546" s="5">
        <v>999</v>
      </c>
      <c r="R3546" s="74">
        <v>0.05</v>
      </c>
      <c r="S3546" s="75">
        <f>OrdersTable[[#This Row],[Quantity]]*OrdersTable[[#This Row],[Unit Price]]</f>
        <v>1998</v>
      </c>
      <c r="T3546" s="5">
        <f>OrdersTable[[#This Row],[Gross Sale]]*OrdersTable[[#This Row],[Discount_Clean2]]</f>
        <v>99.9</v>
      </c>
      <c r="U3546" s="5">
        <f>OrdersTable[[#This Row],[Gross Sale]]-OrdersTable[[#This Row],[Discount Amount]]</f>
        <v>1898.1</v>
      </c>
      <c r="V3546" s="77">
        <f>INDEX(Products!E:E,MATCH(OrdersTable[[#This Row],[Product ID]],Products!A:A,0))</f>
        <v>400</v>
      </c>
      <c r="W3546" s="77">
        <f>OrdersTable[[#This Row],[Quantity]]*OrdersTable[[#This Row],[Unit Cost]]</f>
        <v>800</v>
      </c>
      <c r="X3546" s="77">
        <f>'Dropdown Lists'!$I$2*(1+OrdersTable[[#This Row],[Returned]])</f>
        <v>60</v>
      </c>
      <c r="Y3546" s="76">
        <f>OrdersTable[[#This Row],[Net Revenue]]-OrdersTable[[#This Row],[COGS]]-OrdersTable[[#This Row],[Shipping Cost]]</f>
        <v>1038.0999999999999</v>
      </c>
      <c r="Z3546" s="78">
        <f>IFERROR(OrdersTable[[#This Row],[Profit]]/OrdersTable[[#This Row],[Net Revenue]],0)</f>
        <v>0.54691533638902057</v>
      </c>
      <c r="AA3546" t="s">
        <v>18</v>
      </c>
      <c r="AB3546" s="79">
        <v>45876</v>
      </c>
      <c r="AC3546">
        <f>OrdersTable[[#This Row],[Delivery Date]]-OrdersTable[[#This Row],[Order Date]]</f>
        <v>5</v>
      </c>
      <c r="AD3546" t="str">
        <f>IF(OrdersTable[[#This Row],[Delivery Days]]&lt;=2, "Express (≤2d)", IF(OrdersTable[[#This Row],[Delivery Days]]&lt;=4, "Standard (3-4d)", "Delayed (5d+)"))</f>
        <v>Delayed (5d+)</v>
      </c>
      <c r="AF3546">
        <v>0</v>
      </c>
    </row>
    <row r="3547" spans="1:32" ht="15" x14ac:dyDescent="0.35">
      <c r="A3547" t="s">
        <v>7020</v>
      </c>
      <c r="B3547" s="1">
        <v>45871</v>
      </c>
      <c r="C3547">
        <f>YEAR(OrdersTable[[#This Row],[Order Date]])</f>
        <v>2025</v>
      </c>
      <c r="D3547" s="2">
        <f>DATE(YEAR(OrdersTable[[#This Row],[Order Date]]),MONTH(OrdersTable[[#This Row],[Order Date]]),1)</f>
        <v>45870</v>
      </c>
      <c r="E3547">
        <f>MONTH(OrdersTable[[#This Row],[Order Date]])</f>
        <v>8</v>
      </c>
      <c r="F3547" t="s">
        <v>5912</v>
      </c>
      <c r="G3547" t="str">
        <f>IF(OrdersTable[[#This Row],[Order Date]]=_xlfn.MINIFS(Order_Date, Customer_ID, OrdersTable[[#This Row],[Customer ID]]), "New", "Repeat")</f>
        <v>Repeat</v>
      </c>
      <c r="H3547" t="s">
        <v>43</v>
      </c>
      <c r="I3547" t="str">
        <f>INDEX(State!B:B,MATCH(OrdersTable[[#This Row],[State]],State!A:A,0))</f>
        <v>MP</v>
      </c>
      <c r="J3547" t="str">
        <f>INDEX(State!C:C,MATCH(OrdersTable[[#This Row],[State Code]],State!B:B,0))</f>
        <v>West</v>
      </c>
      <c r="K3547" t="s">
        <v>44</v>
      </c>
      <c r="L3547" t="s">
        <v>39</v>
      </c>
      <c r="M3547" t="s">
        <v>109</v>
      </c>
      <c r="N3547" t="str">
        <f>INDEX(Products!B:B,MATCH(OrdersTable[[#This Row],[Product ID]],Products!A:A,0))</f>
        <v>Onion Hair Oil</v>
      </c>
      <c r="O3547" t="str">
        <f>INDEX(Products!C:C,MATCH(OrdersTable[[#This Row],[Product ID]],Products!A:A,0))</f>
        <v>Haircare</v>
      </c>
      <c r="P3547">
        <v>4</v>
      </c>
      <c r="Q3547" s="5">
        <v>349</v>
      </c>
      <c r="R3547" s="74">
        <v>0.35</v>
      </c>
      <c r="S3547" s="75">
        <f>OrdersTable[[#This Row],[Quantity]]*OrdersTable[[#This Row],[Unit Price]]</f>
        <v>1396</v>
      </c>
      <c r="T3547" s="5">
        <f>OrdersTable[[#This Row],[Gross Sale]]*OrdersTable[[#This Row],[Discount_Clean2]]</f>
        <v>488.59999999999997</v>
      </c>
      <c r="U3547" s="5">
        <f>OrdersTable[[#This Row],[Gross Sale]]-OrdersTable[[#This Row],[Discount Amount]]</f>
        <v>907.40000000000009</v>
      </c>
      <c r="V3547" s="77">
        <f>INDEX(Products!E:E,MATCH(OrdersTable[[#This Row],[Product ID]],Products!A:A,0))</f>
        <v>105</v>
      </c>
      <c r="W3547" s="77">
        <f>OrdersTable[[#This Row],[Quantity]]*OrdersTable[[#This Row],[Unit Cost]]</f>
        <v>420</v>
      </c>
      <c r="X3547" s="77">
        <f>'Dropdown Lists'!$I$2*(1+OrdersTable[[#This Row],[Returned]])</f>
        <v>60</v>
      </c>
      <c r="Y3547" s="76">
        <f>OrdersTable[[#This Row],[Net Revenue]]-OrdersTable[[#This Row],[COGS]]-OrdersTable[[#This Row],[Shipping Cost]]</f>
        <v>427.40000000000009</v>
      </c>
      <c r="Z3547" s="78">
        <f>IFERROR(OrdersTable[[#This Row],[Profit]]/OrdersTable[[#This Row],[Net Revenue]],0)</f>
        <v>0.47101608992726479</v>
      </c>
      <c r="AA3547" t="s">
        <v>3495</v>
      </c>
      <c r="AB3547" s="79">
        <v>45876</v>
      </c>
      <c r="AC3547">
        <f>OrdersTable[[#This Row],[Delivery Date]]-OrdersTable[[#This Row],[Order Date]]</f>
        <v>5</v>
      </c>
      <c r="AD3547" t="str">
        <f>IF(OrdersTable[[#This Row],[Delivery Days]]&lt;=2, "Express (≤2d)", IF(OrdersTable[[#This Row],[Delivery Days]]&lt;=4, "Standard (3-4d)", "Delayed (5d+)"))</f>
        <v>Delayed (5d+)</v>
      </c>
      <c r="AE3547">
        <v>3</v>
      </c>
      <c r="AF3547">
        <v>0</v>
      </c>
    </row>
    <row r="3548" spans="1:32" ht="15" x14ac:dyDescent="0.35">
      <c r="A3548" t="s">
        <v>3464</v>
      </c>
      <c r="B3548" s="1">
        <v>45871</v>
      </c>
      <c r="C3548">
        <f>YEAR(OrdersTable[[#This Row],[Order Date]])</f>
        <v>2025</v>
      </c>
      <c r="D3548" s="2">
        <f>DATE(YEAR(OrdersTable[[#This Row],[Order Date]]),MONTH(OrdersTable[[#This Row],[Order Date]]),1)</f>
        <v>45870</v>
      </c>
      <c r="E3548">
        <f>MONTH(OrdersTable[[#This Row],[Order Date]])</f>
        <v>8</v>
      </c>
      <c r="F3548" t="s">
        <v>733</v>
      </c>
      <c r="G3548" t="str">
        <f>IF(OrdersTable[[#This Row],[Order Date]]=_xlfn.MINIFS(Order_Date, Customer_ID, OrdersTable[[#This Row],[Customer ID]]), "New", "Repeat")</f>
        <v>Repeat</v>
      </c>
      <c r="H3548" t="s">
        <v>482</v>
      </c>
      <c r="I3548" t="str">
        <f>INDEX(State!B:B,MATCH(OrdersTable[[#This Row],[State]],State!A:A,0))</f>
        <v>CG</v>
      </c>
      <c r="J3548" t="str">
        <f>INDEX(State!C:C,MATCH(OrdersTable[[#This Row],[State Code]],State!B:B,0))</f>
        <v>East</v>
      </c>
      <c r="K3548" t="s">
        <v>483</v>
      </c>
      <c r="L3548" t="s">
        <v>65</v>
      </c>
      <c r="M3548" t="s">
        <v>45</v>
      </c>
      <c r="N3548" t="str">
        <f>INDEX(Products!B:B,MATCH(OrdersTable[[#This Row],[Product ID]],Products!A:A,0))</f>
        <v>Argan Shampoo</v>
      </c>
      <c r="O3548" t="str">
        <f>INDEX(Products!C:C,MATCH(OrdersTable[[#This Row],[Product ID]],Products!A:A,0))</f>
        <v>Haircare</v>
      </c>
      <c r="P3548">
        <v>1</v>
      </c>
      <c r="Q3548" s="5">
        <v>449</v>
      </c>
      <c r="R3548" s="74">
        <v>0.15</v>
      </c>
      <c r="S3548" s="75">
        <f>OrdersTable[[#This Row],[Quantity]]*OrdersTable[[#This Row],[Unit Price]]</f>
        <v>449</v>
      </c>
      <c r="T3548" s="5">
        <f>OrdersTable[[#This Row],[Gross Sale]]*OrdersTable[[#This Row],[Discount_Clean2]]</f>
        <v>67.349999999999994</v>
      </c>
      <c r="U3548" s="5">
        <f>OrdersTable[[#This Row],[Gross Sale]]-OrdersTable[[#This Row],[Discount Amount]]</f>
        <v>381.65</v>
      </c>
      <c r="V3548" s="77">
        <f>INDEX(Products!E:E,MATCH(OrdersTable[[#This Row],[Product ID]],Products!A:A,0))</f>
        <v>148</v>
      </c>
      <c r="W3548" s="77">
        <f>OrdersTable[[#This Row],[Quantity]]*OrdersTable[[#This Row],[Unit Cost]]</f>
        <v>148</v>
      </c>
      <c r="X3548" s="77">
        <f>'Dropdown Lists'!$I$2*(1+OrdersTable[[#This Row],[Returned]])</f>
        <v>60</v>
      </c>
      <c r="Y3548" s="76">
        <f>OrdersTable[[#This Row],[Net Revenue]]-OrdersTable[[#This Row],[COGS]]-OrdersTable[[#This Row],[Shipping Cost]]</f>
        <v>173.64999999999998</v>
      </c>
      <c r="Z3548" s="78">
        <f>IFERROR(OrdersTable[[#This Row],[Profit]]/OrdersTable[[#This Row],[Net Revenue]],0)</f>
        <v>0.45499803484868334</v>
      </c>
      <c r="AA3548" t="s">
        <v>2522</v>
      </c>
      <c r="AB3548" s="79">
        <v>45874</v>
      </c>
      <c r="AC3548">
        <f>OrdersTable[[#This Row],[Delivery Date]]-OrdersTable[[#This Row],[Order Date]]</f>
        <v>3</v>
      </c>
      <c r="AD3548" t="str">
        <f>IF(OrdersTable[[#This Row],[Delivery Days]]&lt;=2, "Express (≤2d)", IF(OrdersTable[[#This Row],[Delivery Days]]&lt;=4, "Standard (3-4d)", "Delayed (5d+)"))</f>
        <v>Standard (3-4d)</v>
      </c>
      <c r="AE3548">
        <v>4</v>
      </c>
      <c r="AF3548">
        <v>0</v>
      </c>
    </row>
    <row r="3549" spans="1:32" ht="15" x14ac:dyDescent="0.35">
      <c r="A3549" t="s">
        <v>4716</v>
      </c>
      <c r="B3549" s="1">
        <v>45871</v>
      </c>
      <c r="C3549">
        <f>YEAR(OrdersTable[[#This Row],[Order Date]])</f>
        <v>2025</v>
      </c>
      <c r="D3549" s="2">
        <f>DATE(YEAR(OrdersTable[[#This Row],[Order Date]]),MONTH(OrdersTable[[#This Row],[Order Date]]),1)</f>
        <v>45870</v>
      </c>
      <c r="E3549">
        <f>MONTH(OrdersTable[[#This Row],[Order Date]])</f>
        <v>8</v>
      </c>
      <c r="F3549" t="s">
        <v>4717</v>
      </c>
      <c r="G3549" t="str">
        <f>IF(OrdersTable[[#This Row],[Order Date]]=_xlfn.MINIFS(Order_Date, Customer_ID, OrdersTable[[#This Row],[Customer ID]]), "New", "Repeat")</f>
        <v>New</v>
      </c>
      <c r="H3549" t="s">
        <v>27</v>
      </c>
      <c r="I3549" t="str">
        <f>INDEX(State!B:B,MATCH(OrdersTable[[#This Row],[State]],State!A:A,0))</f>
        <v>WB</v>
      </c>
      <c r="J3549" t="str">
        <f>INDEX(State!C:C,MATCH(OrdersTable[[#This Row],[State Code]],State!B:B,0))</f>
        <v>East</v>
      </c>
      <c r="K3549" t="s">
        <v>28</v>
      </c>
      <c r="L3549" t="s">
        <v>50</v>
      </c>
      <c r="M3549" t="s">
        <v>152</v>
      </c>
      <c r="N3549" t="str">
        <f>INDEX(Products!B:B,MATCH(OrdersTable[[#This Row],[Product ID]],Products!A:A,0))</f>
        <v>Green Tea (100 bags)</v>
      </c>
      <c r="O3549" t="str">
        <f>INDEX(Products!C:C,MATCH(OrdersTable[[#This Row],[Product ID]],Products!A:A,0))</f>
        <v>Wellness</v>
      </c>
      <c r="P3549">
        <v>1</v>
      </c>
      <c r="Q3549" s="5">
        <v>399</v>
      </c>
      <c r="R3549" s="74">
        <v>0.4</v>
      </c>
      <c r="S3549" s="75">
        <f>OrdersTable[[#This Row],[Quantity]]*OrdersTable[[#This Row],[Unit Price]]</f>
        <v>399</v>
      </c>
      <c r="T3549" s="5">
        <f>OrdersTable[[#This Row],[Gross Sale]]*OrdersTable[[#This Row],[Discount_Clean2]]</f>
        <v>159.60000000000002</v>
      </c>
      <c r="U3549" s="5">
        <f>OrdersTable[[#This Row],[Gross Sale]]-OrdersTable[[#This Row],[Discount Amount]]</f>
        <v>239.39999999999998</v>
      </c>
      <c r="V3549" s="77">
        <f>INDEX(Products!E:E,MATCH(OrdersTable[[#This Row],[Product ID]],Products!A:A,0))</f>
        <v>128</v>
      </c>
      <c r="W3549" s="77">
        <f>OrdersTable[[#This Row],[Quantity]]*OrdersTable[[#This Row],[Unit Cost]]</f>
        <v>128</v>
      </c>
      <c r="X3549" s="77">
        <f>'Dropdown Lists'!$I$2*(1+OrdersTable[[#This Row],[Returned]])</f>
        <v>60</v>
      </c>
      <c r="Y3549" s="76">
        <f>OrdersTable[[#This Row],[Net Revenue]]-OrdersTable[[#This Row],[COGS]]-OrdersTable[[#This Row],[Shipping Cost]]</f>
        <v>51.399999999999977</v>
      </c>
      <c r="Z3549" s="78">
        <f>IFERROR(OrdersTable[[#This Row],[Profit]]/OrdersTable[[#This Row],[Net Revenue]],0)</f>
        <v>0.21470342522974095</v>
      </c>
      <c r="AA3549" t="s">
        <v>4450</v>
      </c>
      <c r="AB3549" s="79">
        <v>45874</v>
      </c>
      <c r="AC3549">
        <f>OrdersTable[[#This Row],[Delivery Date]]-OrdersTable[[#This Row],[Order Date]]</f>
        <v>3</v>
      </c>
      <c r="AD3549" t="str">
        <f>IF(OrdersTable[[#This Row],[Delivery Days]]&lt;=2, "Express (≤2d)", IF(OrdersTable[[#This Row],[Delivery Days]]&lt;=4, "Standard (3-4d)", "Delayed (5d+)"))</f>
        <v>Standard (3-4d)</v>
      </c>
      <c r="AE3549">
        <v>5</v>
      </c>
      <c r="AF3549">
        <v>0</v>
      </c>
    </row>
    <row r="3550" spans="1:32" ht="15" x14ac:dyDescent="0.35">
      <c r="A3550" t="s">
        <v>1765</v>
      </c>
      <c r="B3550" s="1">
        <v>45871</v>
      </c>
      <c r="C3550">
        <f>YEAR(OrdersTable[[#This Row],[Order Date]])</f>
        <v>2025</v>
      </c>
      <c r="D3550" s="2">
        <f>DATE(YEAR(OrdersTable[[#This Row],[Order Date]]),MONTH(OrdersTable[[#This Row],[Order Date]]),1)</f>
        <v>45870</v>
      </c>
      <c r="E3550">
        <f>MONTH(OrdersTable[[#This Row],[Order Date]])</f>
        <v>8</v>
      </c>
      <c r="F3550" t="s">
        <v>1766</v>
      </c>
      <c r="G3550" t="str">
        <f>IF(OrdersTable[[#This Row],[Order Date]]=_xlfn.MINIFS(Order_Date, Customer_ID, OrdersTable[[#This Row],[Customer ID]]), "New", "Repeat")</f>
        <v>New</v>
      </c>
      <c r="H3550" t="s">
        <v>27</v>
      </c>
      <c r="I3550" t="str">
        <f>INDEX(State!B:B,MATCH(OrdersTable[[#This Row],[State]],State!A:A,0))</f>
        <v>WB</v>
      </c>
      <c r="J3550" t="str">
        <f>INDEX(State!C:C,MATCH(OrdersTable[[#This Row],[State Code]],State!B:B,0))</f>
        <v>East</v>
      </c>
      <c r="K3550" t="s">
        <v>28</v>
      </c>
      <c r="L3550" t="s">
        <v>65</v>
      </c>
      <c r="M3550" t="s">
        <v>66</v>
      </c>
      <c r="N3550" t="str">
        <f>INDEX(Products!B:B,MATCH(OrdersTable[[#This Row],[Product ID]],Products!A:A,0))</f>
        <v>Sunscreen SPF 50</v>
      </c>
      <c r="O3550" t="str">
        <f>INDEX(Products!C:C,MATCH(OrdersTable[[#This Row],[Product ID]],Products!A:A,0))</f>
        <v>Skincare</v>
      </c>
      <c r="P3550">
        <v>1</v>
      </c>
      <c r="Q3550" s="5">
        <v>449</v>
      </c>
      <c r="R3550" s="74">
        <v>0</v>
      </c>
      <c r="S3550" s="75">
        <f>OrdersTable[[#This Row],[Quantity]]*OrdersTable[[#This Row],[Unit Price]]</f>
        <v>449</v>
      </c>
      <c r="T3550" s="5">
        <f>OrdersTable[[#This Row],[Gross Sale]]*OrdersTable[[#This Row],[Discount_Clean2]]</f>
        <v>0</v>
      </c>
      <c r="U3550" s="5">
        <f>OrdersTable[[#This Row],[Gross Sale]]-OrdersTable[[#This Row],[Discount Amount]]</f>
        <v>449</v>
      </c>
      <c r="V3550" s="77">
        <f>INDEX(Products!E:E,MATCH(OrdersTable[[#This Row],[Product ID]],Products!A:A,0))</f>
        <v>144</v>
      </c>
      <c r="W3550" s="77">
        <f>OrdersTable[[#This Row],[Quantity]]*OrdersTable[[#This Row],[Unit Cost]]</f>
        <v>144</v>
      </c>
      <c r="X3550" s="77">
        <f>'Dropdown Lists'!$I$2*(1+OrdersTable[[#This Row],[Returned]])</f>
        <v>60</v>
      </c>
      <c r="Y3550" s="76">
        <f>OrdersTable[[#This Row],[Net Revenue]]-OrdersTable[[#This Row],[COGS]]-OrdersTable[[#This Row],[Shipping Cost]]</f>
        <v>245</v>
      </c>
      <c r="Z3550" s="78">
        <f>IFERROR(OrdersTable[[#This Row],[Profit]]/OrdersTable[[#This Row],[Net Revenue]],0)</f>
        <v>0.54565701559020041</v>
      </c>
      <c r="AA3550" t="s">
        <v>18</v>
      </c>
      <c r="AB3550" s="79">
        <v>45873</v>
      </c>
      <c r="AC3550">
        <f>OrdersTable[[#This Row],[Delivery Date]]-OrdersTable[[#This Row],[Order Date]]</f>
        <v>2</v>
      </c>
      <c r="AD3550" t="str">
        <f>IF(OrdersTable[[#This Row],[Delivery Days]]&lt;=2, "Express (≤2d)", IF(OrdersTable[[#This Row],[Delivery Days]]&lt;=4, "Standard (3-4d)", "Delayed (5d+)"))</f>
        <v>Express (≤2d)</v>
      </c>
      <c r="AF3550">
        <v>0</v>
      </c>
    </row>
    <row r="3551" spans="1:32" ht="15" x14ac:dyDescent="0.35">
      <c r="A3551" t="s">
        <v>4427</v>
      </c>
      <c r="B3551" s="1">
        <v>45871</v>
      </c>
      <c r="C3551">
        <f>YEAR(OrdersTable[[#This Row],[Order Date]])</f>
        <v>2025</v>
      </c>
      <c r="D3551" s="2">
        <f>DATE(YEAR(OrdersTable[[#This Row],[Order Date]]),MONTH(OrdersTable[[#This Row],[Order Date]]),1)</f>
        <v>45870</v>
      </c>
      <c r="E3551">
        <f>MONTH(OrdersTable[[#This Row],[Order Date]])</f>
        <v>8</v>
      </c>
      <c r="F3551" t="s">
        <v>1058</v>
      </c>
      <c r="G3551" t="str">
        <f>IF(OrdersTable[[#This Row],[Order Date]]=_xlfn.MINIFS(Order_Date, Customer_ID, OrdersTable[[#This Row],[Customer ID]]), "New", "Repeat")</f>
        <v>Repeat</v>
      </c>
      <c r="H3551" t="s">
        <v>71</v>
      </c>
      <c r="I3551" t="str">
        <f>INDEX(State!B:B,MATCH(OrdersTable[[#This Row],[State]],State!A:A,0))</f>
        <v>MH</v>
      </c>
      <c r="J3551" t="str">
        <f>INDEX(State!C:C,MATCH(OrdersTable[[#This Row],[State Code]],State!B:B,0))</f>
        <v>West</v>
      </c>
      <c r="K3551" t="s">
        <v>81</v>
      </c>
      <c r="L3551" t="s">
        <v>65</v>
      </c>
      <c r="M3551" t="s">
        <v>148</v>
      </c>
      <c r="N3551" t="str">
        <f>INDEX(Products!B:B,MATCH(OrdersTable[[#This Row],[Product ID]],Products!A:A,0))</f>
        <v>Smartwatch Strap</v>
      </c>
      <c r="O3551" t="str">
        <f>INDEX(Products!C:C,MATCH(OrdersTable[[#This Row],[Product ID]],Products!A:A,0))</f>
        <v>Electronics</v>
      </c>
      <c r="P3551">
        <v>1</v>
      </c>
      <c r="Q3551" s="5">
        <v>499</v>
      </c>
      <c r="R3551" s="74">
        <v>0.2</v>
      </c>
      <c r="S3551" s="75">
        <f>OrdersTable[[#This Row],[Quantity]]*OrdersTable[[#This Row],[Unit Price]]</f>
        <v>499</v>
      </c>
      <c r="T3551" s="5">
        <f>OrdersTable[[#This Row],[Gross Sale]]*OrdersTable[[#This Row],[Discount_Clean2]]</f>
        <v>99.800000000000011</v>
      </c>
      <c r="U3551" s="5">
        <f>OrdersTable[[#This Row],[Gross Sale]]-OrdersTable[[#This Row],[Discount Amount]]</f>
        <v>399.2</v>
      </c>
      <c r="V3551" s="77">
        <f>INDEX(Products!E:E,MATCH(OrdersTable[[#This Row],[Product ID]],Products!A:A,0))</f>
        <v>200</v>
      </c>
      <c r="W3551" s="77">
        <f>OrdersTable[[#This Row],[Quantity]]*OrdersTable[[#This Row],[Unit Cost]]</f>
        <v>200</v>
      </c>
      <c r="X3551" s="77">
        <f>'Dropdown Lists'!$I$2*(1+OrdersTable[[#This Row],[Returned]])</f>
        <v>60</v>
      </c>
      <c r="Y3551" s="76">
        <f>OrdersTable[[#This Row],[Net Revenue]]-OrdersTable[[#This Row],[COGS]]-OrdersTable[[#This Row],[Shipping Cost]]</f>
        <v>139.19999999999999</v>
      </c>
      <c r="Z3551" s="78">
        <f>IFERROR(OrdersTable[[#This Row],[Profit]]/OrdersTable[[#This Row],[Net Revenue]],0)</f>
        <v>0.34869739478957912</v>
      </c>
      <c r="AA3551" t="s">
        <v>4074</v>
      </c>
      <c r="AB3551" s="79">
        <v>45875</v>
      </c>
      <c r="AC3551">
        <f>OrdersTable[[#This Row],[Delivery Date]]-OrdersTable[[#This Row],[Order Date]]</f>
        <v>4</v>
      </c>
      <c r="AD3551" t="str">
        <f>IF(OrdersTable[[#This Row],[Delivery Days]]&lt;=2, "Express (≤2d)", IF(OrdersTable[[#This Row],[Delivery Days]]&lt;=4, "Standard (3-4d)", "Delayed (5d+)"))</f>
        <v>Standard (3-4d)</v>
      </c>
      <c r="AE3551">
        <v>4</v>
      </c>
      <c r="AF3551">
        <v>0</v>
      </c>
    </row>
    <row r="3552" spans="1:32" ht="15" x14ac:dyDescent="0.35">
      <c r="A3552" t="s">
        <v>3320</v>
      </c>
      <c r="B3552" s="1">
        <v>45871</v>
      </c>
      <c r="C3552">
        <f>YEAR(OrdersTable[[#This Row],[Order Date]])</f>
        <v>2025</v>
      </c>
      <c r="D3552" s="2">
        <f>DATE(YEAR(OrdersTable[[#This Row],[Order Date]]),MONTH(OrdersTable[[#This Row],[Order Date]]),1)</f>
        <v>45870</v>
      </c>
      <c r="E3552">
        <f>MONTH(OrdersTable[[#This Row],[Order Date]])</f>
        <v>8</v>
      </c>
      <c r="F3552" t="s">
        <v>3321</v>
      </c>
      <c r="G3552" t="str">
        <f>IF(OrdersTable[[#This Row],[Order Date]]=_xlfn.MINIFS(Order_Date, Customer_ID, OrdersTable[[#This Row],[Customer ID]]), "New", "Repeat")</f>
        <v>Repeat</v>
      </c>
      <c r="H3552" t="s">
        <v>95</v>
      </c>
      <c r="I3552" t="str">
        <f>INDEX(State!B:B,MATCH(OrdersTable[[#This Row],[State]],State!A:A,0))</f>
        <v>TG</v>
      </c>
      <c r="J3552" t="str">
        <f>INDEX(State!C:C,MATCH(OrdersTable[[#This Row],[State Code]],State!B:B,0))</f>
        <v>South</v>
      </c>
      <c r="K3552" t="s">
        <v>96</v>
      </c>
      <c r="L3552" t="s">
        <v>23</v>
      </c>
      <c r="M3552" t="s">
        <v>17</v>
      </c>
      <c r="N3552" t="str">
        <f>INDEX(Products!B:B,MATCH(OrdersTable[[#This Row],[Product ID]],Products!A:A,0))</f>
        <v>Casual Sneakers</v>
      </c>
      <c r="O3552" t="str">
        <f>INDEX(Products!C:C,MATCH(OrdersTable[[#This Row],[Product ID]],Products!A:A,0))</f>
        <v>Footwear</v>
      </c>
      <c r="P3552">
        <v>1</v>
      </c>
      <c r="Q3552" s="5">
        <v>2199</v>
      </c>
      <c r="R3552" s="74">
        <v>0.2</v>
      </c>
      <c r="S3552" s="75">
        <f>OrdersTable[[#This Row],[Quantity]]*OrdersTable[[#This Row],[Unit Price]]</f>
        <v>2199</v>
      </c>
      <c r="T3552" s="5">
        <f>OrdersTable[[#This Row],[Gross Sale]]*OrdersTable[[#This Row],[Discount_Clean2]]</f>
        <v>439.8</v>
      </c>
      <c r="U3552" s="5">
        <f>OrdersTable[[#This Row],[Gross Sale]]-OrdersTable[[#This Row],[Discount Amount]]</f>
        <v>1759.2</v>
      </c>
      <c r="V3552" s="77">
        <f>INDEX(Products!E:E,MATCH(OrdersTable[[#This Row],[Product ID]],Products!A:A,0))</f>
        <v>1034</v>
      </c>
      <c r="W3552" s="77">
        <f>OrdersTable[[#This Row],[Quantity]]*OrdersTable[[#This Row],[Unit Cost]]</f>
        <v>1034</v>
      </c>
      <c r="X3552" s="77">
        <f>'Dropdown Lists'!$I$2*(1+OrdersTable[[#This Row],[Returned]])</f>
        <v>60</v>
      </c>
      <c r="Y3552" s="76">
        <f>OrdersTable[[#This Row],[Net Revenue]]-OrdersTable[[#This Row],[COGS]]-OrdersTable[[#This Row],[Shipping Cost]]</f>
        <v>665.2</v>
      </c>
      <c r="Z3552" s="78">
        <f>IFERROR(OrdersTable[[#This Row],[Profit]]/OrdersTable[[#This Row],[Net Revenue]],0)</f>
        <v>0.37812642110050027</v>
      </c>
      <c r="AA3552" t="s">
        <v>2522</v>
      </c>
      <c r="AB3552" s="79">
        <v>45873</v>
      </c>
      <c r="AC3552">
        <f>OrdersTable[[#This Row],[Delivery Date]]-OrdersTable[[#This Row],[Order Date]]</f>
        <v>2</v>
      </c>
      <c r="AD3552" t="str">
        <f>IF(OrdersTable[[#This Row],[Delivery Days]]&lt;=2, "Express (≤2d)", IF(OrdersTable[[#This Row],[Delivery Days]]&lt;=4, "Standard (3-4d)", "Delayed (5d+)"))</f>
        <v>Express (≤2d)</v>
      </c>
      <c r="AE3552">
        <v>4</v>
      </c>
      <c r="AF3552">
        <v>0</v>
      </c>
    </row>
    <row r="3553" spans="1:32" ht="15" x14ac:dyDescent="0.35">
      <c r="A3553" t="s">
        <v>6803</v>
      </c>
      <c r="B3553" s="1">
        <v>45871</v>
      </c>
      <c r="C3553">
        <f>YEAR(OrdersTable[[#This Row],[Order Date]])</f>
        <v>2025</v>
      </c>
      <c r="D3553" s="2">
        <f>DATE(YEAR(OrdersTable[[#This Row],[Order Date]]),MONTH(OrdersTable[[#This Row],[Order Date]]),1)</f>
        <v>45870</v>
      </c>
      <c r="E3553">
        <f>MONTH(OrdersTable[[#This Row],[Order Date]])</f>
        <v>8</v>
      </c>
      <c r="F3553" t="s">
        <v>5510</v>
      </c>
      <c r="G3553" t="str">
        <f>IF(OrdersTable[[#This Row],[Order Date]]=_xlfn.MINIFS(Order_Date, Customer_ID, OrdersTable[[#This Row],[Customer ID]]), "New", "Repeat")</f>
        <v>Repeat</v>
      </c>
      <c r="H3553" t="s">
        <v>95</v>
      </c>
      <c r="I3553" t="str">
        <f>INDEX(State!B:B,MATCH(OrdersTable[[#This Row],[State]],State!A:A,0))</f>
        <v>TG</v>
      </c>
      <c r="J3553" t="str">
        <f>INDEX(State!C:C,MATCH(OrdersTable[[#This Row],[State Code]],State!B:B,0))</f>
        <v>South</v>
      </c>
      <c r="K3553" t="s">
        <v>96</v>
      </c>
      <c r="L3553" t="s">
        <v>50</v>
      </c>
      <c r="M3553" t="s">
        <v>179</v>
      </c>
      <c r="N3553" t="str">
        <f>INDEX(Products!B:B,MATCH(OrdersTable[[#This Row],[Product ID]],Products!A:A,0))</f>
        <v>Whey Protein 1kg</v>
      </c>
      <c r="O3553" t="str">
        <f>INDEX(Products!C:C,MATCH(OrdersTable[[#This Row],[Product ID]],Products!A:A,0))</f>
        <v>Wellness</v>
      </c>
      <c r="P3553">
        <v>3</v>
      </c>
      <c r="Q3553" s="5">
        <v>2299</v>
      </c>
      <c r="R3553" s="74">
        <v>0.45</v>
      </c>
      <c r="S3553" s="75">
        <f>OrdersTable[[#This Row],[Quantity]]*OrdersTable[[#This Row],[Unit Price]]</f>
        <v>6897</v>
      </c>
      <c r="T3553" s="5">
        <f>OrdersTable[[#This Row],[Gross Sale]]*OrdersTable[[#This Row],[Discount_Clean2]]</f>
        <v>3103.65</v>
      </c>
      <c r="U3553" s="5">
        <f>OrdersTable[[#This Row],[Gross Sale]]-OrdersTable[[#This Row],[Discount Amount]]</f>
        <v>3793.35</v>
      </c>
      <c r="V3553" s="77">
        <f>INDEX(Products!E:E,MATCH(OrdersTable[[#This Row],[Product ID]],Products!A:A,0))</f>
        <v>1333</v>
      </c>
      <c r="W3553" s="77">
        <f>OrdersTable[[#This Row],[Quantity]]*OrdersTable[[#This Row],[Unit Cost]]</f>
        <v>3999</v>
      </c>
      <c r="X3553" s="77">
        <f>'Dropdown Lists'!$I$2*(1+OrdersTable[[#This Row],[Returned]])</f>
        <v>60</v>
      </c>
      <c r="Y3553" s="76">
        <f>OrdersTable[[#This Row],[Net Revenue]]-OrdersTable[[#This Row],[COGS]]-OrdersTable[[#This Row],[Shipping Cost]]</f>
        <v>-265.65000000000009</v>
      </c>
      <c r="Z3553" s="78">
        <f>IFERROR(OrdersTable[[#This Row],[Profit]]/OrdersTable[[#This Row],[Net Revenue]],0)</f>
        <v>-7.0030448020878669E-2</v>
      </c>
      <c r="AA3553" t="s">
        <v>3495</v>
      </c>
      <c r="AB3553" s="79">
        <v>45872</v>
      </c>
      <c r="AC3553">
        <f>OrdersTable[[#This Row],[Delivery Date]]-OrdersTable[[#This Row],[Order Date]]</f>
        <v>1</v>
      </c>
      <c r="AD3553" t="str">
        <f>IF(OrdersTable[[#This Row],[Delivery Days]]&lt;=2, "Express (≤2d)", IF(OrdersTable[[#This Row],[Delivery Days]]&lt;=4, "Standard (3-4d)", "Delayed (5d+)"))</f>
        <v>Express (≤2d)</v>
      </c>
      <c r="AE3553">
        <v>4</v>
      </c>
      <c r="AF3553">
        <v>0</v>
      </c>
    </row>
    <row r="3554" spans="1:32" ht="15" x14ac:dyDescent="0.35">
      <c r="A3554" t="s">
        <v>1109</v>
      </c>
      <c r="B3554" s="1">
        <v>45871</v>
      </c>
      <c r="C3554">
        <f>YEAR(OrdersTable[[#This Row],[Order Date]])</f>
        <v>2025</v>
      </c>
      <c r="D3554" s="2">
        <f>DATE(YEAR(OrdersTable[[#This Row],[Order Date]]),MONTH(OrdersTable[[#This Row],[Order Date]]),1)</f>
        <v>45870</v>
      </c>
      <c r="E3554">
        <f>MONTH(OrdersTable[[#This Row],[Order Date]])</f>
        <v>8</v>
      </c>
      <c r="F3554" t="s">
        <v>1110</v>
      </c>
      <c r="G3554" t="str">
        <f>IF(OrdersTable[[#This Row],[Order Date]]=_xlfn.MINIFS(Order_Date, Customer_ID, OrdersTable[[#This Row],[Customer ID]]), "New", "Repeat")</f>
        <v>New</v>
      </c>
      <c r="H3554" t="s">
        <v>167</v>
      </c>
      <c r="I3554" t="str">
        <f>INDEX(State!B:B,MATCH(OrdersTable[[#This Row],[State]],State!A:A,0))</f>
        <v>KA</v>
      </c>
      <c r="J3554" t="str">
        <f>INDEX(State!C:C,MATCH(OrdersTable[[#This Row],[State Code]],State!B:B,0))</f>
        <v>South</v>
      </c>
      <c r="K3554" t="s">
        <v>168</v>
      </c>
      <c r="L3554" t="s">
        <v>23</v>
      </c>
      <c r="M3554" t="s">
        <v>56</v>
      </c>
      <c r="N3554" t="str">
        <f>INDEX(Products!B:B,MATCH(OrdersTable[[#This Row],[Product ID]],Products!A:A,0))</f>
        <v>Vitamin C Face Serum</v>
      </c>
      <c r="O3554" t="str">
        <f>INDEX(Products!C:C,MATCH(OrdersTable[[#This Row],[Product ID]],Products!A:A,0))</f>
        <v>Skincare</v>
      </c>
      <c r="P3554">
        <v>1</v>
      </c>
      <c r="Q3554" s="5">
        <v>599</v>
      </c>
      <c r="R3554" s="74">
        <v>0.15</v>
      </c>
      <c r="S3554" s="75">
        <f>OrdersTable[[#This Row],[Quantity]]*OrdersTable[[#This Row],[Unit Price]]</f>
        <v>599</v>
      </c>
      <c r="T3554" s="5">
        <f>OrdersTable[[#This Row],[Gross Sale]]*OrdersTable[[#This Row],[Discount_Clean2]]</f>
        <v>89.85</v>
      </c>
      <c r="U3554" s="5">
        <f>OrdersTable[[#This Row],[Gross Sale]]-OrdersTable[[#This Row],[Discount Amount]]</f>
        <v>509.15</v>
      </c>
      <c r="V3554" s="77">
        <f>INDEX(Products!E:E,MATCH(OrdersTable[[#This Row],[Product ID]],Products!A:A,0))</f>
        <v>180</v>
      </c>
      <c r="W3554" s="77">
        <f>OrdersTable[[#This Row],[Quantity]]*OrdersTable[[#This Row],[Unit Cost]]</f>
        <v>180</v>
      </c>
      <c r="X3554" s="77">
        <f>'Dropdown Lists'!$I$2*(1+OrdersTable[[#This Row],[Returned]])</f>
        <v>120</v>
      </c>
      <c r="Y3554" s="76">
        <f>OrdersTable[[#This Row],[Net Revenue]]-OrdersTable[[#This Row],[COGS]]-OrdersTable[[#This Row],[Shipping Cost]]</f>
        <v>209.14999999999998</v>
      </c>
      <c r="Z3554" s="78">
        <f>IFERROR(OrdersTable[[#This Row],[Profit]]/OrdersTable[[#This Row],[Net Revenue]],0)</f>
        <v>0.41078267701070409</v>
      </c>
      <c r="AA3554" t="s">
        <v>18</v>
      </c>
      <c r="AB3554" s="79">
        <v>45873</v>
      </c>
      <c r="AC3554">
        <f>OrdersTable[[#This Row],[Delivery Date]]-OrdersTable[[#This Row],[Order Date]]</f>
        <v>2</v>
      </c>
      <c r="AD3554" t="str">
        <f>IF(OrdersTable[[#This Row],[Delivery Days]]&lt;=2, "Express (≤2d)", IF(OrdersTable[[#This Row],[Delivery Days]]&lt;=4, "Standard (3-4d)", "Delayed (5d+)"))</f>
        <v>Express (≤2d)</v>
      </c>
      <c r="AE3554">
        <v>4</v>
      </c>
      <c r="AF3554">
        <v>1</v>
      </c>
    </row>
    <row r="3555" spans="1:32" ht="15" x14ac:dyDescent="0.35">
      <c r="A3555" t="s">
        <v>4718</v>
      </c>
      <c r="B3555" s="1">
        <v>45871</v>
      </c>
      <c r="C3555">
        <f>YEAR(OrdersTable[[#This Row],[Order Date]])</f>
        <v>2025</v>
      </c>
      <c r="D3555" s="2">
        <f>DATE(YEAR(OrdersTable[[#This Row],[Order Date]]),MONTH(OrdersTable[[#This Row],[Order Date]]),1)</f>
        <v>45870</v>
      </c>
      <c r="E3555">
        <f>MONTH(OrdersTable[[#This Row],[Order Date]])</f>
        <v>8</v>
      </c>
      <c r="F3555" t="s">
        <v>4719</v>
      </c>
      <c r="G3555" t="str">
        <f>IF(OrdersTable[[#This Row],[Order Date]]=_xlfn.MINIFS(Order_Date, Customer_ID, OrdersTable[[#This Row],[Customer ID]]), "New", "Repeat")</f>
        <v>New</v>
      </c>
      <c r="H3555" t="s">
        <v>275</v>
      </c>
      <c r="I3555" t="str">
        <f>INDEX(State!B:B,MATCH(OrdersTable[[#This Row],[State]],State!A:A,0))</f>
        <v>AP</v>
      </c>
      <c r="J3555" t="str">
        <f>INDEX(State!C:C,MATCH(OrdersTable[[#This Row],[State Code]],State!B:B,0))</f>
        <v>South</v>
      </c>
      <c r="K3555" t="s">
        <v>276</v>
      </c>
      <c r="L3555" t="s">
        <v>50</v>
      </c>
      <c r="M3555" t="s">
        <v>56</v>
      </c>
      <c r="N3555" t="str">
        <f>INDEX(Products!B:B,MATCH(OrdersTable[[#This Row],[Product ID]],Products!A:A,0))</f>
        <v>Vitamin C Face Serum</v>
      </c>
      <c r="O3555" t="str">
        <f>INDEX(Products!C:C,MATCH(OrdersTable[[#This Row],[Product ID]],Products!A:A,0))</f>
        <v>Skincare</v>
      </c>
      <c r="P3555">
        <v>1</v>
      </c>
      <c r="Q3555" s="5">
        <v>599</v>
      </c>
      <c r="R3555" s="74">
        <v>0.25</v>
      </c>
      <c r="S3555" s="75">
        <f>OrdersTable[[#This Row],[Quantity]]*OrdersTable[[#This Row],[Unit Price]]</f>
        <v>599</v>
      </c>
      <c r="T3555" s="5">
        <f>OrdersTable[[#This Row],[Gross Sale]]*OrdersTable[[#This Row],[Discount_Clean2]]</f>
        <v>149.75</v>
      </c>
      <c r="U3555" s="5">
        <f>OrdersTable[[#This Row],[Gross Sale]]-OrdersTable[[#This Row],[Discount Amount]]</f>
        <v>449.25</v>
      </c>
      <c r="V3555" s="77">
        <f>INDEX(Products!E:E,MATCH(OrdersTable[[#This Row],[Product ID]],Products!A:A,0))</f>
        <v>180</v>
      </c>
      <c r="W3555" s="77">
        <f>OrdersTable[[#This Row],[Quantity]]*OrdersTable[[#This Row],[Unit Cost]]</f>
        <v>180</v>
      </c>
      <c r="X3555" s="77">
        <f>'Dropdown Lists'!$I$2*(1+OrdersTable[[#This Row],[Returned]])</f>
        <v>60</v>
      </c>
      <c r="Y3555" s="76">
        <f>OrdersTable[[#This Row],[Net Revenue]]-OrdersTable[[#This Row],[COGS]]-OrdersTable[[#This Row],[Shipping Cost]]</f>
        <v>209.25</v>
      </c>
      <c r="Z3555" s="78">
        <f>IFERROR(OrdersTable[[#This Row],[Profit]]/OrdersTable[[#This Row],[Net Revenue]],0)</f>
        <v>0.46577629382303842</v>
      </c>
      <c r="AA3555" t="s">
        <v>4450</v>
      </c>
      <c r="AB3555" s="79">
        <v>45876</v>
      </c>
      <c r="AC3555">
        <f>OrdersTable[[#This Row],[Delivery Date]]-OrdersTable[[#This Row],[Order Date]]</f>
        <v>5</v>
      </c>
      <c r="AD3555" t="str">
        <f>IF(OrdersTable[[#This Row],[Delivery Days]]&lt;=2, "Express (≤2d)", IF(OrdersTable[[#This Row],[Delivery Days]]&lt;=4, "Standard (3-4d)", "Delayed (5d+)"))</f>
        <v>Delayed (5d+)</v>
      </c>
      <c r="AE3555">
        <v>2</v>
      </c>
      <c r="AF3555">
        <v>0</v>
      </c>
    </row>
    <row r="3556" spans="1:32" ht="15" x14ac:dyDescent="0.35">
      <c r="A3556" t="s">
        <v>3322</v>
      </c>
      <c r="B3556" s="1">
        <v>45871</v>
      </c>
      <c r="C3556">
        <f>YEAR(OrdersTable[[#This Row],[Order Date]])</f>
        <v>2025</v>
      </c>
      <c r="D3556" s="2">
        <f>DATE(YEAR(OrdersTable[[#This Row],[Order Date]]),MONTH(OrdersTable[[#This Row],[Order Date]]),1)</f>
        <v>45870</v>
      </c>
      <c r="E3556">
        <f>MONTH(OrdersTable[[#This Row],[Order Date]])</f>
        <v>8</v>
      </c>
      <c r="F3556" t="s">
        <v>1112</v>
      </c>
      <c r="G3556" t="str">
        <f>IF(OrdersTable[[#This Row],[Order Date]]=_xlfn.MINIFS(Order_Date, Customer_ID, OrdersTable[[#This Row],[Customer ID]]), "New", "Repeat")</f>
        <v>Repeat</v>
      </c>
      <c r="H3556" t="s">
        <v>316</v>
      </c>
      <c r="I3556" t="str">
        <f>INDEX(State!B:B,MATCH(OrdersTable[[#This Row],[State]],State!A:A,0))</f>
        <v>KL</v>
      </c>
      <c r="J3556" t="str">
        <f>INDEX(State!C:C,MATCH(OrdersTable[[#This Row],[State Code]],State!B:B,0))</f>
        <v>South</v>
      </c>
      <c r="K3556" t="s">
        <v>317</v>
      </c>
      <c r="L3556" t="s">
        <v>39</v>
      </c>
      <c r="M3556" t="s">
        <v>84</v>
      </c>
      <c r="N3556" t="str">
        <f>INDEX(Products!B:B,MATCH(OrdersTable[[#This Row],[Product ID]],Products!A:A,0))</f>
        <v>Cotton Bedsheet</v>
      </c>
      <c r="O3556" t="str">
        <f>INDEX(Products!C:C,MATCH(OrdersTable[[#This Row],[Product ID]],Products!A:A,0))</f>
        <v>Home &amp; Kitchen</v>
      </c>
      <c r="P3556">
        <v>1</v>
      </c>
      <c r="Q3556" s="5">
        <v>1299</v>
      </c>
      <c r="R3556" s="74">
        <v>0</v>
      </c>
      <c r="S3556" s="75">
        <f>OrdersTable[[#This Row],[Quantity]]*OrdersTable[[#This Row],[Unit Price]]</f>
        <v>1299</v>
      </c>
      <c r="T3556" s="5">
        <f>OrdersTable[[#This Row],[Gross Sale]]*OrdersTable[[#This Row],[Discount_Clean2]]</f>
        <v>0</v>
      </c>
      <c r="U3556" s="5">
        <f>OrdersTable[[#This Row],[Gross Sale]]-OrdersTable[[#This Row],[Discount Amount]]</f>
        <v>1299</v>
      </c>
      <c r="V3556" s="77">
        <f>INDEX(Products!E:E,MATCH(OrdersTable[[#This Row],[Product ID]],Products!A:A,0))</f>
        <v>585</v>
      </c>
      <c r="W3556" s="77">
        <f>OrdersTable[[#This Row],[Quantity]]*OrdersTable[[#This Row],[Unit Cost]]</f>
        <v>585</v>
      </c>
      <c r="X3556" s="77">
        <f>'Dropdown Lists'!$I$2*(1+OrdersTable[[#This Row],[Returned]])</f>
        <v>60</v>
      </c>
      <c r="Y3556" s="76">
        <f>OrdersTable[[#This Row],[Net Revenue]]-OrdersTable[[#This Row],[COGS]]-OrdersTable[[#This Row],[Shipping Cost]]</f>
        <v>654</v>
      </c>
      <c r="Z3556" s="78">
        <f>IFERROR(OrdersTable[[#This Row],[Profit]]/OrdersTable[[#This Row],[Net Revenue]],0)</f>
        <v>0.50346420323325636</v>
      </c>
      <c r="AA3556" t="s">
        <v>2522</v>
      </c>
      <c r="AB3556" s="79">
        <v>45875</v>
      </c>
      <c r="AC3556">
        <f>OrdersTable[[#This Row],[Delivery Date]]-OrdersTable[[#This Row],[Order Date]]</f>
        <v>4</v>
      </c>
      <c r="AD3556" t="str">
        <f>IF(OrdersTable[[#This Row],[Delivery Days]]&lt;=2, "Express (≤2d)", IF(OrdersTable[[#This Row],[Delivery Days]]&lt;=4, "Standard (3-4d)", "Delayed (5d+)"))</f>
        <v>Standard (3-4d)</v>
      </c>
      <c r="AE3556">
        <v>4</v>
      </c>
      <c r="AF3556">
        <v>0</v>
      </c>
    </row>
    <row r="3557" spans="1:32" ht="15" x14ac:dyDescent="0.35">
      <c r="A3557" t="s">
        <v>1767</v>
      </c>
      <c r="B3557" s="1">
        <v>45871</v>
      </c>
      <c r="C3557">
        <f>YEAR(OrdersTable[[#This Row],[Order Date]])</f>
        <v>2025</v>
      </c>
      <c r="D3557" s="2">
        <f>DATE(YEAR(OrdersTable[[#This Row],[Order Date]]),MONTH(OrdersTable[[#This Row],[Order Date]]),1)</f>
        <v>45870</v>
      </c>
      <c r="E3557">
        <f>MONTH(OrdersTable[[#This Row],[Order Date]])</f>
        <v>8</v>
      </c>
      <c r="F3557" t="s">
        <v>1768</v>
      </c>
      <c r="G3557" t="str">
        <f>IF(OrdersTable[[#This Row],[Order Date]]=_xlfn.MINIFS(Order_Date, Customer_ID, OrdersTable[[#This Row],[Customer ID]]), "New", "Repeat")</f>
        <v>New</v>
      </c>
      <c r="H3557" t="s">
        <v>59</v>
      </c>
      <c r="I3557" t="str">
        <f>INDEX(State!B:B,MATCH(OrdersTable[[#This Row],[State]],State!A:A,0))</f>
        <v>TN</v>
      </c>
      <c r="J3557" t="str">
        <f>INDEX(State!C:C,MATCH(OrdersTable[[#This Row],[State Code]],State!B:B,0))</f>
        <v>South</v>
      </c>
      <c r="K3557" t="s">
        <v>60</v>
      </c>
      <c r="L3557" t="s">
        <v>65</v>
      </c>
      <c r="M3557" t="s">
        <v>255</v>
      </c>
      <c r="N3557" t="str">
        <f>INDEX(Products!B:B,MATCH(OrdersTable[[#This Row],[Product ID]],Products!A:A,0))</f>
        <v>Cotton Oversized T-Shirt</v>
      </c>
      <c r="O3557" t="str">
        <f>INDEX(Products!C:C,MATCH(OrdersTable[[#This Row],[Product ID]],Products!A:A,0))</f>
        <v>Apparel</v>
      </c>
      <c r="P3557">
        <v>1</v>
      </c>
      <c r="Q3557" s="5">
        <v>799</v>
      </c>
      <c r="R3557" s="74">
        <v>0</v>
      </c>
      <c r="S3557" s="75">
        <f>OrdersTable[[#This Row],[Quantity]]*OrdersTable[[#This Row],[Unit Price]]</f>
        <v>799</v>
      </c>
      <c r="T3557" s="5">
        <f>OrdersTable[[#This Row],[Gross Sale]]*OrdersTable[[#This Row],[Discount_Clean2]]</f>
        <v>0</v>
      </c>
      <c r="U3557" s="5">
        <f>OrdersTable[[#This Row],[Gross Sale]]-OrdersTable[[#This Row],[Discount Amount]]</f>
        <v>799</v>
      </c>
      <c r="V3557" s="77">
        <f>INDEX(Products!E:E,MATCH(OrdersTable[[#This Row],[Product ID]],Products!A:A,0))</f>
        <v>320</v>
      </c>
      <c r="W3557" s="77">
        <f>OrdersTable[[#This Row],[Quantity]]*OrdersTable[[#This Row],[Unit Cost]]</f>
        <v>320</v>
      </c>
      <c r="X3557" s="77">
        <f>'Dropdown Lists'!$I$2*(1+OrdersTable[[#This Row],[Returned]])</f>
        <v>60</v>
      </c>
      <c r="Y3557" s="76">
        <f>OrdersTable[[#This Row],[Net Revenue]]-OrdersTable[[#This Row],[COGS]]-OrdersTable[[#This Row],[Shipping Cost]]</f>
        <v>419</v>
      </c>
      <c r="Z3557" s="78">
        <f>IFERROR(OrdersTable[[#This Row],[Profit]]/OrdersTable[[#This Row],[Net Revenue]],0)</f>
        <v>0.52440550688360454</v>
      </c>
      <c r="AA3557" t="s">
        <v>18</v>
      </c>
      <c r="AB3557" s="79">
        <v>45873</v>
      </c>
      <c r="AC3557">
        <f>OrdersTable[[#This Row],[Delivery Date]]-OrdersTable[[#This Row],[Order Date]]</f>
        <v>2</v>
      </c>
      <c r="AD3557" t="str">
        <f>IF(OrdersTable[[#This Row],[Delivery Days]]&lt;=2, "Express (≤2d)", IF(OrdersTable[[#This Row],[Delivery Days]]&lt;=4, "Standard (3-4d)", "Delayed (5d+)"))</f>
        <v>Express (≤2d)</v>
      </c>
      <c r="AF3557">
        <v>0</v>
      </c>
    </row>
    <row r="3558" spans="1:32" ht="15" x14ac:dyDescent="0.35">
      <c r="A3558" t="s">
        <v>2644</v>
      </c>
      <c r="B3558" s="1">
        <v>45872</v>
      </c>
      <c r="C3558">
        <f>YEAR(OrdersTable[[#This Row],[Order Date]])</f>
        <v>2025</v>
      </c>
      <c r="D3558" s="2">
        <f>DATE(YEAR(OrdersTable[[#This Row],[Order Date]]),MONTH(OrdersTable[[#This Row],[Order Date]]),1)</f>
        <v>45870</v>
      </c>
      <c r="E3558">
        <f>MONTH(OrdersTable[[#This Row],[Order Date]])</f>
        <v>8</v>
      </c>
      <c r="F3558" t="s">
        <v>451</v>
      </c>
      <c r="G3558" t="str">
        <f>IF(OrdersTable[[#This Row],[Order Date]]=_xlfn.MINIFS(Order_Date, Customer_ID, OrdersTable[[#This Row],[Customer ID]]), "New", "Repeat")</f>
        <v>Repeat</v>
      </c>
      <c r="H3558" t="s">
        <v>37</v>
      </c>
      <c r="I3558" t="str">
        <f>INDEX(State!B:B,MATCH(OrdersTable[[#This Row],[State]],State!A:A,0))</f>
        <v>GJ</v>
      </c>
      <c r="J3558" t="str">
        <f>INDEX(State!C:C,MATCH(OrdersTable[[#This Row],[State Code]],State!B:B,0))</f>
        <v>West</v>
      </c>
      <c r="K3558" t="s">
        <v>247</v>
      </c>
      <c r="L3558" t="s">
        <v>65</v>
      </c>
      <c r="M3558" t="s">
        <v>61</v>
      </c>
      <c r="N3558" t="str">
        <f>INDEX(Products!B:B,MATCH(OrdersTable[[#This Row],[Product ID]],Products!A:A,0))</f>
        <v>Multivitamin Gummies</v>
      </c>
      <c r="O3558" t="str">
        <f>INDEX(Products!C:C,MATCH(OrdersTable[[#This Row],[Product ID]],Products!A:A,0))</f>
        <v>Wellness</v>
      </c>
      <c r="P3558">
        <v>1</v>
      </c>
      <c r="Q3558" s="5">
        <v>699</v>
      </c>
      <c r="R3558" s="74">
        <v>0.2</v>
      </c>
      <c r="S3558" s="75">
        <f>OrdersTable[[#This Row],[Quantity]]*OrdersTable[[#This Row],[Unit Price]]</f>
        <v>699</v>
      </c>
      <c r="T3558" s="5">
        <f>OrdersTable[[#This Row],[Gross Sale]]*OrdersTable[[#This Row],[Discount_Clean2]]</f>
        <v>139.80000000000001</v>
      </c>
      <c r="U3558" s="5">
        <f>OrdersTable[[#This Row],[Gross Sale]]-OrdersTable[[#This Row],[Discount Amount]]</f>
        <v>559.20000000000005</v>
      </c>
      <c r="V3558" s="77">
        <f>INDEX(Products!E:E,MATCH(OrdersTable[[#This Row],[Product ID]],Products!A:A,0))</f>
        <v>238</v>
      </c>
      <c r="W3558" s="77">
        <f>OrdersTable[[#This Row],[Quantity]]*OrdersTable[[#This Row],[Unit Cost]]</f>
        <v>238</v>
      </c>
      <c r="X3558" s="77">
        <f>'Dropdown Lists'!$I$2*(1+OrdersTable[[#This Row],[Returned]])</f>
        <v>60</v>
      </c>
      <c r="Y3558" s="76">
        <f>OrdersTable[[#This Row],[Net Revenue]]-OrdersTable[[#This Row],[COGS]]-OrdersTable[[#This Row],[Shipping Cost]]</f>
        <v>261.20000000000005</v>
      </c>
      <c r="Z3558" s="78">
        <f>IFERROR(OrdersTable[[#This Row],[Profit]]/OrdersTable[[#This Row],[Net Revenue]],0)</f>
        <v>0.46709585121602293</v>
      </c>
      <c r="AA3558" t="s">
        <v>2522</v>
      </c>
      <c r="AB3558" s="79">
        <v>45875</v>
      </c>
      <c r="AC3558">
        <f>OrdersTable[[#This Row],[Delivery Date]]-OrdersTable[[#This Row],[Order Date]]</f>
        <v>3</v>
      </c>
      <c r="AD3558" t="str">
        <f>IF(OrdersTable[[#This Row],[Delivery Days]]&lt;=2, "Express (≤2d)", IF(OrdersTable[[#This Row],[Delivery Days]]&lt;=4, "Standard (3-4d)", "Delayed (5d+)"))</f>
        <v>Standard (3-4d)</v>
      </c>
      <c r="AE3558">
        <v>5</v>
      </c>
      <c r="AF3558">
        <v>0</v>
      </c>
    </row>
    <row r="3559" spans="1:32" ht="15" x14ac:dyDescent="0.35">
      <c r="A3559" t="s">
        <v>1581</v>
      </c>
      <c r="B3559" s="1">
        <v>45872</v>
      </c>
      <c r="C3559">
        <f>YEAR(OrdersTable[[#This Row],[Order Date]])</f>
        <v>2025</v>
      </c>
      <c r="D3559" s="2">
        <f>DATE(YEAR(OrdersTable[[#This Row],[Order Date]]),MONTH(OrdersTable[[#This Row],[Order Date]]),1)</f>
        <v>45870</v>
      </c>
      <c r="E3559">
        <f>MONTH(OrdersTable[[#This Row],[Order Date]])</f>
        <v>8</v>
      </c>
      <c r="F3559" t="s">
        <v>1582</v>
      </c>
      <c r="G3559" t="str">
        <f>IF(OrdersTable[[#This Row],[Order Date]]=_xlfn.MINIFS(Order_Date, Customer_ID, OrdersTable[[#This Row],[Customer ID]]), "New", "Repeat")</f>
        <v>Repeat</v>
      </c>
      <c r="H3559" t="s">
        <v>43</v>
      </c>
      <c r="I3559" t="str">
        <f>INDEX(State!B:B,MATCH(OrdersTable[[#This Row],[State]],State!A:A,0))</f>
        <v>MP</v>
      </c>
      <c r="J3559" t="str">
        <f>INDEX(State!C:C,MATCH(OrdersTable[[#This Row],[State Code]],State!B:B,0))</f>
        <v>West</v>
      </c>
      <c r="K3559" t="s">
        <v>250</v>
      </c>
      <c r="L3559" t="s">
        <v>39</v>
      </c>
      <c r="M3559" t="s">
        <v>34</v>
      </c>
      <c r="N3559" t="str">
        <f>INDEX(Products!B:B,MATCH(OrdersTable[[#This Row],[Product ID]],Products!A:A,0))</f>
        <v>Flip Flops</v>
      </c>
      <c r="O3559" t="str">
        <f>INDEX(Products!C:C,MATCH(OrdersTable[[#This Row],[Product ID]],Products!A:A,0))</f>
        <v>Footwear</v>
      </c>
      <c r="P3559">
        <v>1</v>
      </c>
      <c r="Q3559" s="5">
        <v>399</v>
      </c>
      <c r="R3559" s="74">
        <v>0.15</v>
      </c>
      <c r="S3559" s="75">
        <f>OrdersTable[[#This Row],[Quantity]]*OrdersTable[[#This Row],[Unit Price]]</f>
        <v>399</v>
      </c>
      <c r="T3559" s="5">
        <f>OrdersTable[[#This Row],[Gross Sale]]*OrdersTable[[#This Row],[Discount_Clean2]]</f>
        <v>59.849999999999994</v>
      </c>
      <c r="U3559" s="5">
        <f>OrdersTable[[#This Row],[Gross Sale]]-OrdersTable[[#This Row],[Discount Amount]]</f>
        <v>339.15</v>
      </c>
      <c r="V3559" s="77">
        <f>INDEX(Products!E:E,MATCH(OrdersTable[[#This Row],[Product ID]],Products!A:A,0))</f>
        <v>152</v>
      </c>
      <c r="W3559" s="77">
        <f>OrdersTable[[#This Row],[Quantity]]*OrdersTable[[#This Row],[Unit Cost]]</f>
        <v>152</v>
      </c>
      <c r="X3559" s="77">
        <f>'Dropdown Lists'!$I$2*(1+OrdersTable[[#This Row],[Returned]])</f>
        <v>60</v>
      </c>
      <c r="Y3559" s="76">
        <f>OrdersTable[[#This Row],[Net Revenue]]-OrdersTable[[#This Row],[COGS]]-OrdersTable[[#This Row],[Shipping Cost]]</f>
        <v>127.14999999999998</v>
      </c>
      <c r="Z3559" s="78">
        <f>IFERROR(OrdersTable[[#This Row],[Profit]]/OrdersTable[[#This Row],[Net Revenue]],0)</f>
        <v>0.37490785787999409</v>
      </c>
      <c r="AA3559" t="s">
        <v>18</v>
      </c>
      <c r="AB3559" s="79">
        <v>45876</v>
      </c>
      <c r="AC3559">
        <f>OrdersTable[[#This Row],[Delivery Date]]-OrdersTable[[#This Row],[Order Date]]</f>
        <v>4</v>
      </c>
      <c r="AD3559" t="str">
        <f>IF(OrdersTable[[#This Row],[Delivery Days]]&lt;=2, "Express (≤2d)", IF(OrdersTable[[#This Row],[Delivery Days]]&lt;=4, "Standard (3-4d)", "Delayed (5d+)"))</f>
        <v>Standard (3-4d)</v>
      </c>
      <c r="AF3559">
        <v>0</v>
      </c>
    </row>
    <row r="3560" spans="1:32" ht="15" x14ac:dyDescent="0.35">
      <c r="A3560" t="s">
        <v>2013</v>
      </c>
      <c r="B3560" s="1">
        <v>45872</v>
      </c>
      <c r="C3560">
        <f>YEAR(OrdersTable[[#This Row],[Order Date]])</f>
        <v>2025</v>
      </c>
      <c r="D3560" s="2">
        <f>DATE(YEAR(OrdersTable[[#This Row],[Order Date]]),MONTH(OrdersTable[[#This Row],[Order Date]]),1)</f>
        <v>45870</v>
      </c>
      <c r="E3560">
        <f>MONTH(OrdersTable[[#This Row],[Order Date]])</f>
        <v>8</v>
      </c>
      <c r="F3560" t="s">
        <v>2014</v>
      </c>
      <c r="G3560" t="str">
        <f>IF(OrdersTable[[#This Row],[Order Date]]=_xlfn.MINIFS(Order_Date, Customer_ID, OrdersTable[[#This Row],[Customer ID]]), "New", "Repeat")</f>
        <v>Repeat</v>
      </c>
      <c r="H3560" t="s">
        <v>123</v>
      </c>
      <c r="I3560" t="str">
        <f>INDEX(State!B:B,MATCH(OrdersTable[[#This Row],[State]],State!A:A,0))</f>
        <v>JH</v>
      </c>
      <c r="J3560" t="str">
        <f>INDEX(State!C:C,MATCH(OrdersTable[[#This Row],[State Code]],State!B:B,0))</f>
        <v>East</v>
      </c>
      <c r="K3560" t="s">
        <v>124</v>
      </c>
      <c r="L3560" t="s">
        <v>16</v>
      </c>
      <c r="M3560" t="s">
        <v>205</v>
      </c>
      <c r="N3560" t="str">
        <f>INDEX(Products!B:B,MATCH(OrdersTable[[#This Row],[Product ID]],Products!A:A,0))</f>
        <v>Running Shoes</v>
      </c>
      <c r="O3560" t="str">
        <f>INDEX(Products!C:C,MATCH(OrdersTable[[#This Row],[Product ID]],Products!A:A,0))</f>
        <v>Footwear</v>
      </c>
      <c r="P3560">
        <v>1</v>
      </c>
      <c r="Q3560" s="5">
        <v>2999</v>
      </c>
      <c r="R3560" s="74">
        <v>0.15</v>
      </c>
      <c r="S3560" s="75">
        <f>OrdersTable[[#This Row],[Quantity]]*OrdersTable[[#This Row],[Unit Price]]</f>
        <v>2999</v>
      </c>
      <c r="T3560" s="5">
        <f>OrdersTable[[#This Row],[Gross Sale]]*OrdersTable[[#This Row],[Discount_Clean2]]</f>
        <v>449.84999999999997</v>
      </c>
      <c r="U3560" s="5">
        <f>OrdersTable[[#This Row],[Gross Sale]]-OrdersTable[[#This Row],[Discount Amount]]</f>
        <v>2549.15</v>
      </c>
      <c r="V3560" s="77">
        <f>INDEX(Products!E:E,MATCH(OrdersTable[[#This Row],[Product ID]],Products!A:A,0))</f>
        <v>1440</v>
      </c>
      <c r="W3560" s="77">
        <f>OrdersTable[[#This Row],[Quantity]]*OrdersTable[[#This Row],[Unit Cost]]</f>
        <v>1440</v>
      </c>
      <c r="X3560" s="77">
        <f>'Dropdown Lists'!$I$2*(1+OrdersTable[[#This Row],[Returned]])</f>
        <v>60</v>
      </c>
      <c r="Y3560" s="76">
        <f>OrdersTable[[#This Row],[Net Revenue]]-OrdersTable[[#This Row],[COGS]]-OrdersTable[[#This Row],[Shipping Cost]]</f>
        <v>1049.1500000000001</v>
      </c>
      <c r="Z3560" s="78">
        <f>IFERROR(OrdersTable[[#This Row],[Profit]]/OrdersTable[[#This Row],[Net Revenue]],0)</f>
        <v>0.41156856206970954</v>
      </c>
      <c r="AA3560" t="s">
        <v>18</v>
      </c>
      <c r="AB3560" s="79">
        <v>45876</v>
      </c>
      <c r="AC3560">
        <f>OrdersTable[[#This Row],[Delivery Date]]-OrdersTable[[#This Row],[Order Date]]</f>
        <v>4</v>
      </c>
      <c r="AD3560" t="str">
        <f>IF(OrdersTable[[#This Row],[Delivery Days]]&lt;=2, "Express (≤2d)", IF(OrdersTable[[#This Row],[Delivery Days]]&lt;=4, "Standard (3-4d)", "Delayed (5d+)"))</f>
        <v>Standard (3-4d)</v>
      </c>
      <c r="AE3560">
        <v>3</v>
      </c>
      <c r="AF3560">
        <v>0</v>
      </c>
    </row>
    <row r="3561" spans="1:32" ht="15" x14ac:dyDescent="0.35">
      <c r="A3561" t="s">
        <v>3790</v>
      </c>
      <c r="B3561" s="1">
        <v>45872</v>
      </c>
      <c r="C3561">
        <f>YEAR(OrdersTable[[#This Row],[Order Date]])</f>
        <v>2025</v>
      </c>
      <c r="D3561" s="2">
        <f>DATE(YEAR(OrdersTable[[#This Row],[Order Date]]),MONTH(OrdersTable[[#This Row],[Order Date]]),1)</f>
        <v>45870</v>
      </c>
      <c r="E3561">
        <f>MONTH(OrdersTable[[#This Row],[Order Date]])</f>
        <v>8</v>
      </c>
      <c r="F3561" t="s">
        <v>3663</v>
      </c>
      <c r="G3561" t="str">
        <f>IF(OrdersTable[[#This Row],[Order Date]]=_xlfn.MINIFS(Order_Date, Customer_ID, OrdersTable[[#This Row],[Customer ID]]), "New", "Repeat")</f>
        <v>Repeat</v>
      </c>
      <c r="H3561" t="s">
        <v>27</v>
      </c>
      <c r="I3561" t="str">
        <f>INDEX(State!B:B,MATCH(OrdersTable[[#This Row],[State]],State!A:A,0))</f>
        <v>WB</v>
      </c>
      <c r="J3561" t="str">
        <f>INDEX(State!C:C,MATCH(OrdersTable[[#This Row],[State Code]],State!B:B,0))</f>
        <v>East</v>
      </c>
      <c r="K3561" t="s">
        <v>28</v>
      </c>
      <c r="L3561" t="s">
        <v>39</v>
      </c>
      <c r="M3561" t="s">
        <v>40</v>
      </c>
      <c r="N3561" t="str">
        <f>INDEX(Products!B:B,MATCH(OrdersTable[[#This Row],[Product ID]],Products!A:A,0))</f>
        <v>Ashwagandha Capsules</v>
      </c>
      <c r="O3561" t="str">
        <f>INDEX(Products!C:C,MATCH(OrdersTable[[#This Row],[Product ID]],Products!A:A,0))</f>
        <v>Wellness</v>
      </c>
      <c r="P3561">
        <v>1</v>
      </c>
      <c r="Q3561" s="5">
        <v>499</v>
      </c>
      <c r="R3561" s="74">
        <v>0</v>
      </c>
      <c r="S3561" s="75">
        <f>OrdersTable[[#This Row],[Quantity]]*OrdersTable[[#This Row],[Unit Price]]</f>
        <v>499</v>
      </c>
      <c r="T3561" s="5">
        <f>OrdersTable[[#This Row],[Gross Sale]]*OrdersTable[[#This Row],[Discount_Clean2]]</f>
        <v>0</v>
      </c>
      <c r="U3561" s="5">
        <f>OrdersTable[[#This Row],[Gross Sale]]-OrdersTable[[#This Row],[Discount Amount]]</f>
        <v>499</v>
      </c>
      <c r="V3561" s="77">
        <f>INDEX(Products!E:E,MATCH(OrdersTable[[#This Row],[Product ID]],Products!A:A,0))</f>
        <v>150</v>
      </c>
      <c r="W3561" s="77">
        <f>OrdersTable[[#This Row],[Quantity]]*OrdersTable[[#This Row],[Unit Cost]]</f>
        <v>150</v>
      </c>
      <c r="X3561" s="77">
        <f>'Dropdown Lists'!$I$2*(1+OrdersTable[[#This Row],[Returned]])</f>
        <v>60</v>
      </c>
      <c r="Y3561" s="76">
        <f>OrdersTable[[#This Row],[Net Revenue]]-OrdersTable[[#This Row],[COGS]]-OrdersTable[[#This Row],[Shipping Cost]]</f>
        <v>289</v>
      </c>
      <c r="Z3561" s="78">
        <f>IFERROR(OrdersTable[[#This Row],[Profit]]/OrdersTable[[#This Row],[Net Revenue]],0)</f>
        <v>0.57915831663326656</v>
      </c>
      <c r="AA3561" t="s">
        <v>3495</v>
      </c>
      <c r="AB3561" s="79">
        <v>45878</v>
      </c>
      <c r="AC3561">
        <f>OrdersTable[[#This Row],[Delivery Date]]-OrdersTable[[#This Row],[Order Date]]</f>
        <v>6</v>
      </c>
      <c r="AD3561" t="str">
        <f>IF(OrdersTable[[#This Row],[Delivery Days]]&lt;=2, "Express (≤2d)", IF(OrdersTable[[#This Row],[Delivery Days]]&lt;=4, "Standard (3-4d)", "Delayed (5d+)"))</f>
        <v>Delayed (5d+)</v>
      </c>
      <c r="AF3561">
        <v>0</v>
      </c>
    </row>
    <row r="3562" spans="1:32" ht="15" x14ac:dyDescent="0.35">
      <c r="A3562" t="s">
        <v>5967</v>
      </c>
      <c r="B3562" s="1">
        <v>45872</v>
      </c>
      <c r="C3562">
        <f>YEAR(OrdersTable[[#This Row],[Order Date]])</f>
        <v>2025</v>
      </c>
      <c r="D3562" s="2">
        <f>DATE(YEAR(OrdersTable[[#This Row],[Order Date]]),MONTH(OrdersTable[[#This Row],[Order Date]]),1)</f>
        <v>45870</v>
      </c>
      <c r="E3562">
        <f>MONTH(OrdersTable[[#This Row],[Order Date]])</f>
        <v>8</v>
      </c>
      <c r="F3562" t="s">
        <v>5968</v>
      </c>
      <c r="G3562" t="str">
        <f>IF(OrdersTable[[#This Row],[Order Date]]=_xlfn.MINIFS(Order_Date, Customer_ID, OrdersTable[[#This Row],[Customer ID]]), "New", "Repeat")</f>
        <v>New</v>
      </c>
      <c r="H3562" t="s">
        <v>27</v>
      </c>
      <c r="I3562" t="str">
        <f>INDEX(State!B:B,MATCH(OrdersTable[[#This Row],[State]],State!A:A,0))</f>
        <v>WB</v>
      </c>
      <c r="J3562" t="str">
        <f>INDEX(State!C:C,MATCH(OrdersTable[[#This Row],[State Code]],State!B:B,0))</f>
        <v>East</v>
      </c>
      <c r="K3562" t="s">
        <v>28</v>
      </c>
      <c r="L3562" t="s">
        <v>23</v>
      </c>
      <c r="M3562" t="s">
        <v>45</v>
      </c>
      <c r="N3562" t="str">
        <f>INDEX(Products!B:B,MATCH(OrdersTable[[#This Row],[Product ID]],Products!A:A,0))</f>
        <v>Argan Shampoo</v>
      </c>
      <c r="O3562" t="str">
        <f>INDEX(Products!C:C,MATCH(OrdersTable[[#This Row],[Product ID]],Products!A:A,0))</f>
        <v>Haircare</v>
      </c>
      <c r="P3562">
        <v>2</v>
      </c>
      <c r="Q3562" s="5">
        <v>449</v>
      </c>
      <c r="R3562" s="74">
        <v>0.15</v>
      </c>
      <c r="S3562" s="75">
        <f>OrdersTable[[#This Row],[Quantity]]*OrdersTable[[#This Row],[Unit Price]]</f>
        <v>898</v>
      </c>
      <c r="T3562" s="5">
        <f>OrdersTable[[#This Row],[Gross Sale]]*OrdersTable[[#This Row],[Discount_Clean2]]</f>
        <v>134.69999999999999</v>
      </c>
      <c r="U3562" s="5">
        <f>OrdersTable[[#This Row],[Gross Sale]]-OrdersTable[[#This Row],[Discount Amount]]</f>
        <v>763.3</v>
      </c>
      <c r="V3562" s="77">
        <f>INDEX(Products!E:E,MATCH(OrdersTable[[#This Row],[Product ID]],Products!A:A,0))</f>
        <v>148</v>
      </c>
      <c r="W3562" s="77">
        <f>OrdersTable[[#This Row],[Quantity]]*OrdersTable[[#This Row],[Unit Cost]]</f>
        <v>296</v>
      </c>
      <c r="X3562" s="77">
        <f>'Dropdown Lists'!$I$2*(1+OrdersTable[[#This Row],[Returned]])</f>
        <v>60</v>
      </c>
      <c r="Y3562" s="76">
        <f>OrdersTable[[#This Row],[Net Revenue]]-OrdersTable[[#This Row],[COGS]]-OrdersTable[[#This Row],[Shipping Cost]]</f>
        <v>407.29999999999995</v>
      </c>
      <c r="Z3562" s="78">
        <f>IFERROR(OrdersTable[[#This Row],[Profit]]/OrdersTable[[#This Row],[Net Revenue]],0)</f>
        <v>0.53360408751473865</v>
      </c>
      <c r="AA3562" t="s">
        <v>18</v>
      </c>
      <c r="AB3562" s="79">
        <v>45874</v>
      </c>
      <c r="AC3562">
        <f>OrdersTable[[#This Row],[Delivery Date]]-OrdersTable[[#This Row],[Order Date]]</f>
        <v>2</v>
      </c>
      <c r="AD3562" t="str">
        <f>IF(OrdersTable[[#This Row],[Delivery Days]]&lt;=2, "Express (≤2d)", IF(OrdersTable[[#This Row],[Delivery Days]]&lt;=4, "Standard (3-4d)", "Delayed (5d+)"))</f>
        <v>Express (≤2d)</v>
      </c>
      <c r="AF3562">
        <v>0</v>
      </c>
    </row>
    <row r="3563" spans="1:32" ht="15" x14ac:dyDescent="0.35">
      <c r="A3563" t="s">
        <v>2436</v>
      </c>
      <c r="B3563" s="1">
        <v>45872</v>
      </c>
      <c r="C3563">
        <f>YEAR(OrdersTable[[#This Row],[Order Date]])</f>
        <v>2025</v>
      </c>
      <c r="D3563" s="2">
        <f>DATE(YEAR(OrdersTable[[#This Row],[Order Date]]),MONTH(OrdersTable[[#This Row],[Order Date]]),1)</f>
        <v>45870</v>
      </c>
      <c r="E3563">
        <f>MONTH(OrdersTable[[#This Row],[Order Date]])</f>
        <v>8</v>
      </c>
      <c r="F3563" t="s">
        <v>2437</v>
      </c>
      <c r="G3563" t="str">
        <f>IF(OrdersTable[[#This Row],[Order Date]]=_xlfn.MINIFS(Order_Date, Customer_ID, OrdersTable[[#This Row],[Customer ID]]), "New", "Repeat")</f>
        <v>Repeat</v>
      </c>
      <c r="H3563" t="s">
        <v>71</v>
      </c>
      <c r="I3563" t="str">
        <f>INDEX(State!B:B,MATCH(OrdersTable[[#This Row],[State]],State!A:A,0))</f>
        <v>MH</v>
      </c>
      <c r="J3563" t="str">
        <f>INDEX(State!C:C,MATCH(OrdersTable[[#This Row],[State Code]],State!B:B,0))</f>
        <v>West</v>
      </c>
      <c r="K3563" t="s">
        <v>81</v>
      </c>
      <c r="L3563" t="s">
        <v>16</v>
      </c>
      <c r="M3563" t="s">
        <v>255</v>
      </c>
      <c r="N3563" t="str">
        <f>INDEX(Products!B:B,MATCH(OrdersTable[[#This Row],[Product ID]],Products!A:A,0))</f>
        <v>Cotton Oversized T-Shirt</v>
      </c>
      <c r="O3563" t="str">
        <f>INDEX(Products!C:C,MATCH(OrdersTable[[#This Row],[Product ID]],Products!A:A,0))</f>
        <v>Apparel</v>
      </c>
      <c r="P3563">
        <v>1</v>
      </c>
      <c r="Q3563" s="5">
        <v>799</v>
      </c>
      <c r="R3563" s="74">
        <v>0.05</v>
      </c>
      <c r="S3563" s="75">
        <f>OrdersTable[[#This Row],[Quantity]]*OrdersTable[[#This Row],[Unit Price]]</f>
        <v>799</v>
      </c>
      <c r="T3563" s="5">
        <f>OrdersTable[[#This Row],[Gross Sale]]*OrdersTable[[#This Row],[Discount_Clean2]]</f>
        <v>39.950000000000003</v>
      </c>
      <c r="U3563" s="5">
        <f>OrdersTable[[#This Row],[Gross Sale]]-OrdersTable[[#This Row],[Discount Amount]]</f>
        <v>759.05</v>
      </c>
      <c r="V3563" s="77">
        <f>INDEX(Products!E:E,MATCH(OrdersTable[[#This Row],[Product ID]],Products!A:A,0))</f>
        <v>320</v>
      </c>
      <c r="W3563" s="77">
        <f>OrdersTable[[#This Row],[Quantity]]*OrdersTable[[#This Row],[Unit Cost]]</f>
        <v>320</v>
      </c>
      <c r="X3563" s="77">
        <f>'Dropdown Lists'!$I$2*(1+OrdersTable[[#This Row],[Returned]])</f>
        <v>60</v>
      </c>
      <c r="Y3563" s="76">
        <f>OrdersTable[[#This Row],[Net Revenue]]-OrdersTable[[#This Row],[COGS]]-OrdersTable[[#This Row],[Shipping Cost]]</f>
        <v>379.04999999999995</v>
      </c>
      <c r="Z3563" s="78">
        <f>IFERROR(OrdersTable[[#This Row],[Profit]]/OrdersTable[[#This Row],[Net Revenue]],0)</f>
        <v>0.49937421777221525</v>
      </c>
      <c r="AA3563" t="s">
        <v>18</v>
      </c>
      <c r="AB3563" s="79">
        <v>45873</v>
      </c>
      <c r="AC3563">
        <f>OrdersTable[[#This Row],[Delivery Date]]-OrdersTable[[#This Row],[Order Date]]</f>
        <v>1</v>
      </c>
      <c r="AD3563" t="str">
        <f>IF(OrdersTable[[#This Row],[Delivery Days]]&lt;=2, "Express (≤2d)", IF(OrdersTable[[#This Row],[Delivery Days]]&lt;=4, "Standard (3-4d)", "Delayed (5d+)"))</f>
        <v>Express (≤2d)</v>
      </c>
      <c r="AE3563">
        <v>5</v>
      </c>
      <c r="AF3563">
        <v>0</v>
      </c>
    </row>
    <row r="3564" spans="1:32" ht="15" x14ac:dyDescent="0.35">
      <c r="A3564" t="s">
        <v>2645</v>
      </c>
      <c r="B3564" s="1">
        <v>45872</v>
      </c>
      <c r="C3564">
        <f>YEAR(OrdersTable[[#This Row],[Order Date]])</f>
        <v>2025</v>
      </c>
      <c r="D3564" s="2">
        <f>DATE(YEAR(OrdersTable[[#This Row],[Order Date]]),MONTH(OrdersTable[[#This Row],[Order Date]]),1)</f>
        <v>45870</v>
      </c>
      <c r="E3564">
        <f>MONTH(OrdersTable[[#This Row],[Order Date]])</f>
        <v>8</v>
      </c>
      <c r="F3564" t="s">
        <v>257</v>
      </c>
      <c r="G3564" t="str">
        <f>IF(OrdersTable[[#This Row],[Order Date]]=_xlfn.MINIFS(Order_Date, Customer_ID, OrdersTable[[#This Row],[Customer ID]]), "New", "Repeat")</f>
        <v>Repeat</v>
      </c>
      <c r="H3564" t="s">
        <v>167</v>
      </c>
      <c r="I3564" t="str">
        <f>INDEX(State!B:B,MATCH(OrdersTable[[#This Row],[State]],State!A:A,0))</f>
        <v>KA</v>
      </c>
      <c r="J3564" t="str">
        <f>INDEX(State!C:C,MATCH(OrdersTable[[#This Row],[State Code]],State!B:B,0))</f>
        <v>South</v>
      </c>
      <c r="K3564" t="s">
        <v>168</v>
      </c>
      <c r="L3564" t="s">
        <v>39</v>
      </c>
      <c r="M3564" t="s">
        <v>84</v>
      </c>
      <c r="N3564" t="str">
        <f>INDEX(Products!B:B,MATCH(OrdersTable[[#This Row],[Product ID]],Products!A:A,0))</f>
        <v>Cotton Bedsheet</v>
      </c>
      <c r="O3564" t="str">
        <f>INDEX(Products!C:C,MATCH(OrdersTable[[#This Row],[Product ID]],Products!A:A,0))</f>
        <v>Home &amp; Kitchen</v>
      </c>
      <c r="P3564">
        <v>1</v>
      </c>
      <c r="Q3564" s="5">
        <v>1299</v>
      </c>
      <c r="R3564" s="74">
        <v>0.05</v>
      </c>
      <c r="S3564" s="75">
        <f>OrdersTable[[#This Row],[Quantity]]*OrdersTable[[#This Row],[Unit Price]]</f>
        <v>1299</v>
      </c>
      <c r="T3564" s="5">
        <f>OrdersTable[[#This Row],[Gross Sale]]*OrdersTable[[#This Row],[Discount_Clean2]]</f>
        <v>64.95</v>
      </c>
      <c r="U3564" s="5">
        <f>OrdersTable[[#This Row],[Gross Sale]]-OrdersTable[[#This Row],[Discount Amount]]</f>
        <v>1234.05</v>
      </c>
      <c r="V3564" s="77">
        <f>INDEX(Products!E:E,MATCH(OrdersTable[[#This Row],[Product ID]],Products!A:A,0))</f>
        <v>585</v>
      </c>
      <c r="W3564" s="77">
        <f>OrdersTable[[#This Row],[Quantity]]*OrdersTable[[#This Row],[Unit Cost]]</f>
        <v>585</v>
      </c>
      <c r="X3564" s="77">
        <f>'Dropdown Lists'!$I$2*(1+OrdersTable[[#This Row],[Returned]])</f>
        <v>60</v>
      </c>
      <c r="Y3564" s="76">
        <f>OrdersTable[[#This Row],[Net Revenue]]-OrdersTable[[#This Row],[COGS]]-OrdersTable[[#This Row],[Shipping Cost]]</f>
        <v>589.04999999999995</v>
      </c>
      <c r="Z3564" s="78">
        <f>IFERROR(OrdersTable[[#This Row],[Profit]]/OrdersTable[[#This Row],[Net Revenue]],0)</f>
        <v>0.47733074024553296</v>
      </c>
      <c r="AA3564" t="s">
        <v>2522</v>
      </c>
      <c r="AB3564" s="79">
        <v>45874</v>
      </c>
      <c r="AC3564">
        <f>OrdersTable[[#This Row],[Delivery Date]]-OrdersTable[[#This Row],[Order Date]]</f>
        <v>2</v>
      </c>
      <c r="AD3564" t="str">
        <f>IF(OrdersTable[[#This Row],[Delivery Days]]&lt;=2, "Express (≤2d)", IF(OrdersTable[[#This Row],[Delivery Days]]&lt;=4, "Standard (3-4d)", "Delayed (5d+)"))</f>
        <v>Express (≤2d)</v>
      </c>
      <c r="AE3564">
        <v>5</v>
      </c>
      <c r="AF3564">
        <v>0</v>
      </c>
    </row>
    <row r="3565" spans="1:32" ht="15" x14ac:dyDescent="0.35">
      <c r="A3565" t="s">
        <v>1292</v>
      </c>
      <c r="B3565" s="1">
        <v>45873</v>
      </c>
      <c r="C3565">
        <f>YEAR(OrdersTable[[#This Row],[Order Date]])</f>
        <v>2025</v>
      </c>
      <c r="D3565" s="2">
        <f>DATE(YEAR(OrdersTable[[#This Row],[Order Date]]),MONTH(OrdersTable[[#This Row],[Order Date]]),1)</f>
        <v>45870</v>
      </c>
      <c r="E3565">
        <f>MONTH(OrdersTable[[#This Row],[Order Date]])</f>
        <v>8</v>
      </c>
      <c r="F3565" t="s">
        <v>1293</v>
      </c>
      <c r="G3565" t="str">
        <f>IF(OrdersTable[[#This Row],[Order Date]]=_xlfn.MINIFS(Order_Date, Customer_ID, OrdersTable[[#This Row],[Customer ID]]), "New", "Repeat")</f>
        <v>Repeat</v>
      </c>
      <c r="H3565" t="s">
        <v>54</v>
      </c>
      <c r="I3565" t="str">
        <f>INDEX(State!B:B,MATCH(OrdersTable[[#This Row],[State]],State!A:A,0))</f>
        <v>RJ</v>
      </c>
      <c r="J3565" t="str">
        <f>INDEX(State!C:C,MATCH(OrdersTable[[#This Row],[State Code]],State!B:B,0))</f>
        <v>North</v>
      </c>
      <c r="K3565" t="s">
        <v>55</v>
      </c>
      <c r="L3565" t="s">
        <v>16</v>
      </c>
      <c r="M3565" t="s">
        <v>34</v>
      </c>
      <c r="N3565" t="str">
        <f>INDEX(Products!B:B,MATCH(OrdersTable[[#This Row],[Product ID]],Products!A:A,0))</f>
        <v>Flip Flops</v>
      </c>
      <c r="O3565" t="str">
        <f>INDEX(Products!C:C,MATCH(OrdersTable[[#This Row],[Product ID]],Products!A:A,0))</f>
        <v>Footwear</v>
      </c>
      <c r="P3565">
        <v>1</v>
      </c>
      <c r="Q3565" s="5">
        <v>399</v>
      </c>
      <c r="R3565" s="74">
        <v>0.05</v>
      </c>
      <c r="S3565" s="75">
        <f>OrdersTable[[#This Row],[Quantity]]*OrdersTable[[#This Row],[Unit Price]]</f>
        <v>399</v>
      </c>
      <c r="T3565" s="5">
        <f>OrdersTable[[#This Row],[Gross Sale]]*OrdersTable[[#This Row],[Discount_Clean2]]</f>
        <v>19.950000000000003</v>
      </c>
      <c r="U3565" s="5">
        <f>OrdersTable[[#This Row],[Gross Sale]]-OrdersTable[[#This Row],[Discount Amount]]</f>
        <v>379.05</v>
      </c>
      <c r="V3565" s="77">
        <f>INDEX(Products!E:E,MATCH(OrdersTable[[#This Row],[Product ID]],Products!A:A,0))</f>
        <v>152</v>
      </c>
      <c r="W3565" s="77">
        <f>OrdersTable[[#This Row],[Quantity]]*OrdersTable[[#This Row],[Unit Cost]]</f>
        <v>152</v>
      </c>
      <c r="X3565" s="77">
        <f>'Dropdown Lists'!$I$2*(1+OrdersTable[[#This Row],[Returned]])</f>
        <v>60</v>
      </c>
      <c r="Y3565" s="76">
        <f>OrdersTable[[#This Row],[Net Revenue]]-OrdersTable[[#This Row],[COGS]]-OrdersTable[[#This Row],[Shipping Cost]]</f>
        <v>167.05</v>
      </c>
      <c r="Z3565" s="78">
        <f>IFERROR(OrdersTable[[#This Row],[Profit]]/OrdersTable[[#This Row],[Net Revenue]],0)</f>
        <v>0.44070703073473161</v>
      </c>
      <c r="AA3565" t="s">
        <v>18</v>
      </c>
      <c r="AB3565" s="79">
        <v>45878</v>
      </c>
      <c r="AC3565">
        <f>OrdersTable[[#This Row],[Delivery Date]]-OrdersTable[[#This Row],[Order Date]]</f>
        <v>5</v>
      </c>
      <c r="AD3565" t="str">
        <f>IF(OrdersTable[[#This Row],[Delivery Days]]&lt;=2, "Express (≤2d)", IF(OrdersTable[[#This Row],[Delivery Days]]&lt;=4, "Standard (3-4d)", "Delayed (5d+)"))</f>
        <v>Delayed (5d+)</v>
      </c>
      <c r="AF3565">
        <v>0</v>
      </c>
    </row>
    <row r="3566" spans="1:32" ht="15" x14ac:dyDescent="0.35">
      <c r="A3566" t="s">
        <v>5433</v>
      </c>
      <c r="B3566" s="1">
        <v>45873</v>
      </c>
      <c r="C3566">
        <f>YEAR(OrdersTable[[#This Row],[Order Date]])</f>
        <v>2025</v>
      </c>
      <c r="D3566" s="2">
        <f>DATE(YEAR(OrdersTable[[#This Row],[Order Date]]),MONTH(OrdersTable[[#This Row],[Order Date]]),1)</f>
        <v>45870</v>
      </c>
      <c r="E3566">
        <f>MONTH(OrdersTable[[#This Row],[Order Date]])</f>
        <v>8</v>
      </c>
      <c r="F3566" t="s">
        <v>4496</v>
      </c>
      <c r="G3566" t="str">
        <f>IF(OrdersTable[[#This Row],[Order Date]]=_xlfn.MINIFS(Order_Date, Customer_ID, OrdersTable[[#This Row],[Customer ID]]), "New", "Repeat")</f>
        <v>Repeat</v>
      </c>
      <c r="H3566" t="s">
        <v>48</v>
      </c>
      <c r="I3566" t="str">
        <f>INDEX(State!B:B,MATCH(OrdersTable[[#This Row],[State]],State!A:A,0))</f>
        <v>HR</v>
      </c>
      <c r="J3566" t="str">
        <f>INDEX(State!C:C,MATCH(OrdersTable[[#This Row],[State Code]],State!B:B,0))</f>
        <v>North</v>
      </c>
      <c r="K3566" t="s">
        <v>49</v>
      </c>
      <c r="L3566" t="s">
        <v>16</v>
      </c>
      <c r="M3566" t="s">
        <v>255</v>
      </c>
      <c r="N3566" t="str">
        <f>INDEX(Products!B:B,MATCH(OrdersTable[[#This Row],[Product ID]],Products!A:A,0))</f>
        <v>Cotton Oversized T-Shirt</v>
      </c>
      <c r="O3566" t="str">
        <f>INDEX(Products!C:C,MATCH(OrdersTable[[#This Row],[Product ID]],Products!A:A,0))</f>
        <v>Apparel</v>
      </c>
      <c r="P3566">
        <v>2</v>
      </c>
      <c r="Q3566" s="5">
        <v>799</v>
      </c>
      <c r="R3566" s="74">
        <v>0.05</v>
      </c>
      <c r="S3566" s="75">
        <f>OrdersTable[[#This Row],[Quantity]]*OrdersTable[[#This Row],[Unit Price]]</f>
        <v>1598</v>
      </c>
      <c r="T3566" s="5">
        <f>OrdersTable[[#This Row],[Gross Sale]]*OrdersTable[[#This Row],[Discount_Clean2]]</f>
        <v>79.900000000000006</v>
      </c>
      <c r="U3566" s="5">
        <f>OrdersTable[[#This Row],[Gross Sale]]-OrdersTable[[#This Row],[Discount Amount]]</f>
        <v>1518.1</v>
      </c>
      <c r="V3566" s="77">
        <f>INDEX(Products!E:E,MATCH(OrdersTable[[#This Row],[Product ID]],Products!A:A,0))</f>
        <v>320</v>
      </c>
      <c r="W3566" s="77">
        <f>OrdersTable[[#This Row],[Quantity]]*OrdersTable[[#This Row],[Unit Cost]]</f>
        <v>640</v>
      </c>
      <c r="X3566" s="77">
        <f>'Dropdown Lists'!$I$2*(1+OrdersTable[[#This Row],[Returned]])</f>
        <v>60</v>
      </c>
      <c r="Y3566" s="76">
        <f>OrdersTable[[#This Row],[Net Revenue]]-OrdersTable[[#This Row],[COGS]]-OrdersTable[[#This Row],[Shipping Cost]]</f>
        <v>818.09999999999991</v>
      </c>
      <c r="Z3566" s="78">
        <f>IFERROR(OrdersTable[[#This Row],[Profit]]/OrdersTable[[#This Row],[Net Revenue]],0)</f>
        <v>0.5388973058428298</v>
      </c>
      <c r="AA3566" t="s">
        <v>2522</v>
      </c>
      <c r="AB3566" s="79">
        <v>45876</v>
      </c>
      <c r="AC3566">
        <f>OrdersTable[[#This Row],[Delivery Date]]-OrdersTable[[#This Row],[Order Date]]</f>
        <v>3</v>
      </c>
      <c r="AD3566" t="str">
        <f>IF(OrdersTable[[#This Row],[Delivery Days]]&lt;=2, "Express (≤2d)", IF(OrdersTable[[#This Row],[Delivery Days]]&lt;=4, "Standard (3-4d)", "Delayed (5d+)"))</f>
        <v>Standard (3-4d)</v>
      </c>
      <c r="AE3566">
        <v>5</v>
      </c>
      <c r="AF3566">
        <v>0</v>
      </c>
    </row>
    <row r="3567" spans="1:32" ht="15" x14ac:dyDescent="0.35">
      <c r="A3567" t="s">
        <v>3916</v>
      </c>
      <c r="B3567" s="1">
        <v>45873</v>
      </c>
      <c r="C3567">
        <f>YEAR(OrdersTable[[#This Row],[Order Date]])</f>
        <v>2025</v>
      </c>
      <c r="D3567" s="2">
        <f>DATE(YEAR(OrdersTable[[#This Row],[Order Date]]),MONTH(OrdersTable[[#This Row],[Order Date]]),1)</f>
        <v>45870</v>
      </c>
      <c r="E3567">
        <f>MONTH(OrdersTable[[#This Row],[Order Date]])</f>
        <v>8</v>
      </c>
      <c r="F3567" t="s">
        <v>3917</v>
      </c>
      <c r="G3567" t="str">
        <f>IF(OrdersTable[[#This Row],[Order Date]]=_xlfn.MINIFS(Order_Date, Customer_ID, OrdersTable[[#This Row],[Customer ID]]), "New", "Repeat")</f>
        <v>New</v>
      </c>
      <c r="H3567" t="s">
        <v>27</v>
      </c>
      <c r="I3567" t="str">
        <f>INDEX(State!B:B,MATCH(OrdersTable[[#This Row],[State]],State!A:A,0))</f>
        <v>WB</v>
      </c>
      <c r="J3567" t="str">
        <f>INDEX(State!C:C,MATCH(OrdersTable[[#This Row],[State Code]],State!B:B,0))</f>
        <v>East</v>
      </c>
      <c r="K3567" t="s">
        <v>28</v>
      </c>
      <c r="L3567" t="s">
        <v>65</v>
      </c>
      <c r="M3567" t="s">
        <v>34</v>
      </c>
      <c r="N3567" t="str">
        <f>INDEX(Products!B:B,MATCH(OrdersTable[[#This Row],[Product ID]],Products!A:A,0))</f>
        <v>Flip Flops</v>
      </c>
      <c r="O3567" t="str">
        <f>INDEX(Products!C:C,MATCH(OrdersTable[[#This Row],[Product ID]],Products!A:A,0))</f>
        <v>Footwear</v>
      </c>
      <c r="P3567">
        <v>1</v>
      </c>
      <c r="Q3567" s="5">
        <v>399</v>
      </c>
      <c r="R3567" s="74">
        <v>0.05</v>
      </c>
      <c r="S3567" s="75">
        <f>OrdersTable[[#This Row],[Quantity]]*OrdersTable[[#This Row],[Unit Price]]</f>
        <v>399</v>
      </c>
      <c r="T3567" s="5">
        <f>OrdersTable[[#This Row],[Gross Sale]]*OrdersTable[[#This Row],[Discount_Clean2]]</f>
        <v>19.950000000000003</v>
      </c>
      <c r="U3567" s="5">
        <f>OrdersTable[[#This Row],[Gross Sale]]-OrdersTable[[#This Row],[Discount Amount]]</f>
        <v>379.05</v>
      </c>
      <c r="V3567" s="77">
        <f>INDEX(Products!E:E,MATCH(OrdersTable[[#This Row],[Product ID]],Products!A:A,0))</f>
        <v>152</v>
      </c>
      <c r="W3567" s="77">
        <f>OrdersTable[[#This Row],[Quantity]]*OrdersTable[[#This Row],[Unit Cost]]</f>
        <v>152</v>
      </c>
      <c r="X3567" s="77">
        <f>'Dropdown Lists'!$I$2*(1+OrdersTable[[#This Row],[Returned]])</f>
        <v>60</v>
      </c>
      <c r="Y3567" s="76">
        <f>OrdersTable[[#This Row],[Net Revenue]]-OrdersTable[[#This Row],[COGS]]-OrdersTable[[#This Row],[Shipping Cost]]</f>
        <v>167.05</v>
      </c>
      <c r="Z3567" s="78">
        <f>IFERROR(OrdersTable[[#This Row],[Profit]]/OrdersTable[[#This Row],[Net Revenue]],0)</f>
        <v>0.44070703073473161</v>
      </c>
      <c r="AA3567" t="s">
        <v>3495</v>
      </c>
      <c r="AB3567" s="79">
        <v>45876</v>
      </c>
      <c r="AC3567">
        <f>OrdersTable[[#This Row],[Delivery Date]]-OrdersTable[[#This Row],[Order Date]]</f>
        <v>3</v>
      </c>
      <c r="AD3567" t="str">
        <f>IF(OrdersTable[[#This Row],[Delivery Days]]&lt;=2, "Express (≤2d)", IF(OrdersTable[[#This Row],[Delivery Days]]&lt;=4, "Standard (3-4d)", "Delayed (5d+)"))</f>
        <v>Standard (3-4d)</v>
      </c>
      <c r="AE3567">
        <v>3</v>
      </c>
      <c r="AF3567">
        <v>0</v>
      </c>
    </row>
    <row r="3568" spans="1:32" ht="15" x14ac:dyDescent="0.35">
      <c r="A3568" t="s">
        <v>2438</v>
      </c>
      <c r="B3568" s="1">
        <v>45873</v>
      </c>
      <c r="C3568">
        <f>YEAR(OrdersTable[[#This Row],[Order Date]])</f>
        <v>2025</v>
      </c>
      <c r="D3568" s="2">
        <f>DATE(YEAR(OrdersTable[[#This Row],[Order Date]]),MONTH(OrdersTable[[#This Row],[Order Date]]),1)</f>
        <v>45870</v>
      </c>
      <c r="E3568">
        <f>MONTH(OrdersTable[[#This Row],[Order Date]])</f>
        <v>8</v>
      </c>
      <c r="F3568" t="s">
        <v>2439</v>
      </c>
      <c r="G3568" t="str">
        <f>IF(OrdersTable[[#This Row],[Order Date]]=_xlfn.MINIFS(Order_Date, Customer_ID, OrdersTable[[#This Row],[Customer ID]]), "New", "Repeat")</f>
        <v>Repeat</v>
      </c>
      <c r="H3568" t="s">
        <v>95</v>
      </c>
      <c r="I3568" t="str">
        <f>INDEX(State!B:B,MATCH(OrdersTable[[#This Row],[State]],State!A:A,0))</f>
        <v>TG</v>
      </c>
      <c r="J3568" t="str">
        <f>INDEX(State!C:C,MATCH(OrdersTable[[#This Row],[State Code]],State!B:B,0))</f>
        <v>South</v>
      </c>
      <c r="K3568" t="s">
        <v>96</v>
      </c>
      <c r="L3568" t="s">
        <v>50</v>
      </c>
      <c r="M3568" t="s">
        <v>78</v>
      </c>
      <c r="N3568" t="str">
        <f>INDEX(Products!B:B,MATCH(OrdersTable[[#This Row],[Product ID]],Products!A:A,0))</f>
        <v>Retinol Night Cream</v>
      </c>
      <c r="O3568" t="str">
        <f>INDEX(Products!C:C,MATCH(OrdersTable[[#This Row],[Product ID]],Products!A:A,0))</f>
        <v>Skincare</v>
      </c>
      <c r="P3568">
        <v>1</v>
      </c>
      <c r="Q3568" s="5">
        <v>799</v>
      </c>
      <c r="R3568" s="74">
        <v>0</v>
      </c>
      <c r="S3568" s="75">
        <f>OrdersTable[[#This Row],[Quantity]]*OrdersTable[[#This Row],[Unit Price]]</f>
        <v>799</v>
      </c>
      <c r="T3568" s="5">
        <f>OrdersTable[[#This Row],[Gross Sale]]*OrdersTable[[#This Row],[Discount_Clean2]]</f>
        <v>0</v>
      </c>
      <c r="U3568" s="5">
        <f>OrdersTable[[#This Row],[Gross Sale]]-OrdersTable[[#This Row],[Discount Amount]]</f>
        <v>799</v>
      </c>
      <c r="V3568" s="77">
        <f>INDEX(Products!E:E,MATCH(OrdersTable[[#This Row],[Product ID]],Products!A:A,0))</f>
        <v>216</v>
      </c>
      <c r="W3568" s="77">
        <f>OrdersTable[[#This Row],[Quantity]]*OrdersTable[[#This Row],[Unit Cost]]</f>
        <v>216</v>
      </c>
      <c r="X3568" s="77">
        <f>'Dropdown Lists'!$I$2*(1+OrdersTable[[#This Row],[Returned]])</f>
        <v>60</v>
      </c>
      <c r="Y3568" s="76">
        <f>OrdersTable[[#This Row],[Net Revenue]]-OrdersTable[[#This Row],[COGS]]-OrdersTable[[#This Row],[Shipping Cost]]</f>
        <v>523</v>
      </c>
      <c r="Z3568" s="78">
        <f>IFERROR(OrdersTable[[#This Row],[Profit]]/OrdersTable[[#This Row],[Net Revenue]],0)</f>
        <v>0.65456821026282852</v>
      </c>
      <c r="AA3568" t="s">
        <v>18</v>
      </c>
      <c r="AB3568" s="79">
        <v>45876</v>
      </c>
      <c r="AC3568">
        <f>OrdersTable[[#This Row],[Delivery Date]]-OrdersTable[[#This Row],[Order Date]]</f>
        <v>3</v>
      </c>
      <c r="AD3568" t="str">
        <f>IF(OrdersTable[[#This Row],[Delivery Days]]&lt;=2, "Express (≤2d)", IF(OrdersTable[[#This Row],[Delivery Days]]&lt;=4, "Standard (3-4d)", "Delayed (5d+)"))</f>
        <v>Standard (3-4d)</v>
      </c>
      <c r="AE3568">
        <v>5</v>
      </c>
      <c r="AF3568">
        <v>0</v>
      </c>
    </row>
    <row r="3569" spans="1:32" ht="15" x14ac:dyDescent="0.35">
      <c r="A3569" t="s">
        <v>3791</v>
      </c>
      <c r="B3569" s="1">
        <v>45873</v>
      </c>
      <c r="C3569">
        <f>YEAR(OrdersTable[[#This Row],[Order Date]])</f>
        <v>2025</v>
      </c>
      <c r="D3569" s="2">
        <f>DATE(YEAR(OrdersTable[[#This Row],[Order Date]]),MONTH(OrdersTable[[#This Row],[Order Date]]),1)</f>
        <v>45870</v>
      </c>
      <c r="E3569">
        <f>MONTH(OrdersTable[[#This Row],[Order Date]])</f>
        <v>8</v>
      </c>
      <c r="F3569" t="s">
        <v>137</v>
      </c>
      <c r="G3569" t="str">
        <f>IF(OrdersTable[[#This Row],[Order Date]]=_xlfn.MINIFS(Order_Date, Customer_ID, OrdersTable[[#This Row],[Customer ID]]), "New", "Repeat")</f>
        <v>Repeat</v>
      </c>
      <c r="H3569" t="s">
        <v>14</v>
      </c>
      <c r="I3569" t="str">
        <f>INDEX(State!B:B,MATCH(OrdersTable[[#This Row],[State]],State!A:A,0))</f>
        <v>OD</v>
      </c>
      <c r="J3569" t="str">
        <f>INDEX(State!C:C,MATCH(OrdersTable[[#This Row],[State Code]],State!B:B,0))</f>
        <v>East</v>
      </c>
      <c r="K3569" t="s">
        <v>15</v>
      </c>
      <c r="L3569" t="s">
        <v>65</v>
      </c>
      <c r="M3569" t="s">
        <v>160</v>
      </c>
      <c r="N3569" t="str">
        <f>INDEX(Products!B:B,MATCH(OrdersTable[[#This Row],[Product ID]],Products!A:A,0))</f>
        <v>Niacinamide Toner</v>
      </c>
      <c r="O3569" t="str">
        <f>INDEX(Products!C:C,MATCH(OrdersTable[[#This Row],[Product ID]],Products!A:A,0))</f>
        <v>Skincare</v>
      </c>
      <c r="P3569">
        <v>1</v>
      </c>
      <c r="Q3569" s="5">
        <v>399</v>
      </c>
      <c r="R3569" s="74">
        <v>0.15</v>
      </c>
      <c r="S3569" s="75">
        <f>OrdersTable[[#This Row],[Quantity]]*OrdersTable[[#This Row],[Unit Price]]</f>
        <v>399</v>
      </c>
      <c r="T3569" s="5">
        <f>OrdersTable[[#This Row],[Gross Sale]]*OrdersTable[[#This Row],[Discount_Clean2]]</f>
        <v>59.849999999999994</v>
      </c>
      <c r="U3569" s="5">
        <f>OrdersTable[[#This Row],[Gross Sale]]-OrdersTable[[#This Row],[Discount Amount]]</f>
        <v>339.15</v>
      </c>
      <c r="V3569" s="77">
        <f>INDEX(Products!E:E,MATCH(OrdersTable[[#This Row],[Product ID]],Products!A:A,0))</f>
        <v>112</v>
      </c>
      <c r="W3569" s="77">
        <f>OrdersTable[[#This Row],[Quantity]]*OrdersTable[[#This Row],[Unit Cost]]</f>
        <v>112</v>
      </c>
      <c r="X3569" s="77">
        <f>'Dropdown Lists'!$I$2*(1+OrdersTable[[#This Row],[Returned]])</f>
        <v>60</v>
      </c>
      <c r="Y3569" s="76">
        <f>OrdersTable[[#This Row],[Net Revenue]]-OrdersTable[[#This Row],[COGS]]-OrdersTable[[#This Row],[Shipping Cost]]</f>
        <v>167.14999999999998</v>
      </c>
      <c r="Z3569" s="78">
        <f>IFERROR(OrdersTable[[#This Row],[Profit]]/OrdersTable[[#This Row],[Net Revenue]],0)</f>
        <v>0.49284977148754233</v>
      </c>
      <c r="AA3569" t="s">
        <v>3495</v>
      </c>
      <c r="AB3569" s="79">
        <v>45877</v>
      </c>
      <c r="AC3569">
        <f>OrdersTable[[#This Row],[Delivery Date]]-OrdersTable[[#This Row],[Order Date]]</f>
        <v>4</v>
      </c>
      <c r="AD3569" t="str">
        <f>IF(OrdersTable[[#This Row],[Delivery Days]]&lt;=2, "Express (≤2d)", IF(OrdersTable[[#This Row],[Delivery Days]]&lt;=4, "Standard (3-4d)", "Delayed (5d+)"))</f>
        <v>Standard (3-4d)</v>
      </c>
      <c r="AF3569">
        <v>0</v>
      </c>
    </row>
    <row r="3570" spans="1:32" ht="15" x14ac:dyDescent="0.35">
      <c r="A3570" t="s">
        <v>5434</v>
      </c>
      <c r="B3570" s="1">
        <v>45874</v>
      </c>
      <c r="C3570">
        <f>YEAR(OrdersTable[[#This Row],[Order Date]])</f>
        <v>2025</v>
      </c>
      <c r="D3570" s="2">
        <f>DATE(YEAR(OrdersTable[[#This Row],[Order Date]]),MONTH(OrdersTable[[#This Row],[Order Date]]),1)</f>
        <v>45870</v>
      </c>
      <c r="E3570">
        <f>MONTH(OrdersTable[[#This Row],[Order Date]])</f>
        <v>8</v>
      </c>
      <c r="F3570" t="s">
        <v>1200</v>
      </c>
      <c r="G3570" t="str">
        <f>IF(OrdersTable[[#This Row],[Order Date]]=_xlfn.MINIFS(Order_Date, Customer_ID, OrdersTable[[#This Row],[Customer ID]]), "New", "Repeat")</f>
        <v>Repeat</v>
      </c>
      <c r="H3570" t="s">
        <v>21</v>
      </c>
      <c r="I3570" t="str">
        <f>INDEX(State!B:B,MATCH(OrdersTable[[#This Row],[State]],State!A:A,0))</f>
        <v>PB</v>
      </c>
      <c r="J3570" t="str">
        <f>INDEX(State!C:C,MATCH(OrdersTable[[#This Row],[State Code]],State!B:B,0))</f>
        <v>North</v>
      </c>
      <c r="K3570" t="s">
        <v>260</v>
      </c>
      <c r="L3570" t="s">
        <v>65</v>
      </c>
      <c r="M3570" t="s">
        <v>84</v>
      </c>
      <c r="N3570" t="str">
        <f>INDEX(Products!B:B,MATCH(OrdersTable[[#This Row],[Product ID]],Products!A:A,0))</f>
        <v>Cotton Bedsheet</v>
      </c>
      <c r="O3570" t="str">
        <f>INDEX(Products!C:C,MATCH(OrdersTable[[#This Row],[Product ID]],Products!A:A,0))</f>
        <v>Home &amp; Kitchen</v>
      </c>
      <c r="P3570">
        <v>2</v>
      </c>
      <c r="Q3570" s="5">
        <v>1299</v>
      </c>
      <c r="R3570" s="74">
        <v>0</v>
      </c>
      <c r="S3570" s="75">
        <f>OrdersTable[[#This Row],[Quantity]]*OrdersTable[[#This Row],[Unit Price]]</f>
        <v>2598</v>
      </c>
      <c r="T3570" s="5">
        <f>OrdersTable[[#This Row],[Gross Sale]]*OrdersTable[[#This Row],[Discount_Clean2]]</f>
        <v>0</v>
      </c>
      <c r="U3570" s="5">
        <f>OrdersTable[[#This Row],[Gross Sale]]-OrdersTable[[#This Row],[Discount Amount]]</f>
        <v>2598</v>
      </c>
      <c r="V3570" s="77">
        <f>INDEX(Products!E:E,MATCH(OrdersTable[[#This Row],[Product ID]],Products!A:A,0))</f>
        <v>585</v>
      </c>
      <c r="W3570" s="77">
        <f>OrdersTable[[#This Row],[Quantity]]*OrdersTable[[#This Row],[Unit Cost]]</f>
        <v>1170</v>
      </c>
      <c r="X3570" s="77">
        <f>'Dropdown Lists'!$I$2*(1+OrdersTable[[#This Row],[Returned]])</f>
        <v>60</v>
      </c>
      <c r="Y3570" s="76">
        <f>OrdersTable[[#This Row],[Net Revenue]]-OrdersTable[[#This Row],[COGS]]-OrdersTable[[#This Row],[Shipping Cost]]</f>
        <v>1368</v>
      </c>
      <c r="Z3570" s="78">
        <f>IFERROR(OrdersTable[[#This Row],[Profit]]/OrdersTable[[#This Row],[Net Revenue]],0)</f>
        <v>0.52655889145496537</v>
      </c>
      <c r="AA3570" t="s">
        <v>2522</v>
      </c>
      <c r="AB3570" s="79">
        <v>45877</v>
      </c>
      <c r="AC3570">
        <f>OrdersTable[[#This Row],[Delivery Date]]-OrdersTable[[#This Row],[Order Date]]</f>
        <v>3</v>
      </c>
      <c r="AD3570" t="str">
        <f>IF(OrdersTable[[#This Row],[Delivery Days]]&lt;=2, "Express (≤2d)", IF(OrdersTable[[#This Row],[Delivery Days]]&lt;=4, "Standard (3-4d)", "Delayed (5d+)"))</f>
        <v>Standard (3-4d)</v>
      </c>
      <c r="AF3570">
        <v>0</v>
      </c>
    </row>
    <row r="3571" spans="1:32" ht="15" x14ac:dyDescent="0.35">
      <c r="A3571" t="s">
        <v>4428</v>
      </c>
      <c r="B3571" s="1">
        <v>45874</v>
      </c>
      <c r="C3571">
        <f>YEAR(OrdersTable[[#This Row],[Order Date]])</f>
        <v>2025</v>
      </c>
      <c r="D3571" s="2">
        <f>DATE(YEAR(OrdersTable[[#This Row],[Order Date]]),MONTH(OrdersTable[[#This Row],[Order Date]]),1)</f>
        <v>45870</v>
      </c>
      <c r="E3571">
        <f>MONTH(OrdersTable[[#This Row],[Order Date]])</f>
        <v>8</v>
      </c>
      <c r="F3571" t="s">
        <v>321</v>
      </c>
      <c r="G3571" t="str">
        <f>IF(OrdersTable[[#This Row],[Order Date]]=_xlfn.MINIFS(Order_Date, Customer_ID, OrdersTable[[#This Row],[Customer ID]]), "New", "Repeat")</f>
        <v>Repeat</v>
      </c>
      <c r="H3571" t="s">
        <v>48</v>
      </c>
      <c r="I3571" t="str">
        <f>INDEX(State!B:B,MATCH(OrdersTable[[#This Row],[State]],State!A:A,0))</f>
        <v>HR</v>
      </c>
      <c r="J3571" t="str">
        <f>INDEX(State!C:C,MATCH(OrdersTable[[#This Row],[State Code]],State!B:B,0))</f>
        <v>North</v>
      </c>
      <c r="K3571" t="s">
        <v>49</v>
      </c>
      <c r="L3571" t="s">
        <v>39</v>
      </c>
      <c r="M3571" t="s">
        <v>73</v>
      </c>
      <c r="N3571" t="str">
        <f>INDEX(Products!B:B,MATCH(OrdersTable[[#This Row],[Product ID]],Products!A:A,0))</f>
        <v>Hydrating Face Wash</v>
      </c>
      <c r="O3571" t="str">
        <f>INDEX(Products!C:C,MATCH(OrdersTable[[#This Row],[Product ID]],Products!A:A,0))</f>
        <v>Skincare</v>
      </c>
      <c r="P3571">
        <v>1</v>
      </c>
      <c r="Q3571" s="5">
        <v>299</v>
      </c>
      <c r="R3571" s="74">
        <v>0</v>
      </c>
      <c r="S3571" s="75">
        <f>OrdersTable[[#This Row],[Quantity]]*OrdersTable[[#This Row],[Unit Price]]</f>
        <v>299</v>
      </c>
      <c r="T3571" s="5">
        <f>OrdersTable[[#This Row],[Gross Sale]]*OrdersTable[[#This Row],[Discount_Clean2]]</f>
        <v>0</v>
      </c>
      <c r="U3571" s="5">
        <f>OrdersTable[[#This Row],[Gross Sale]]-OrdersTable[[#This Row],[Discount Amount]]</f>
        <v>299</v>
      </c>
      <c r="V3571" s="77">
        <f>INDEX(Products!E:E,MATCH(OrdersTable[[#This Row],[Product ID]],Products!A:A,0))</f>
        <v>90</v>
      </c>
      <c r="W3571" s="77">
        <f>OrdersTable[[#This Row],[Quantity]]*OrdersTable[[#This Row],[Unit Cost]]</f>
        <v>90</v>
      </c>
      <c r="X3571" s="77">
        <f>'Dropdown Lists'!$I$2*(1+OrdersTable[[#This Row],[Returned]])</f>
        <v>60</v>
      </c>
      <c r="Y3571" s="76">
        <f>OrdersTable[[#This Row],[Net Revenue]]-OrdersTable[[#This Row],[COGS]]-OrdersTable[[#This Row],[Shipping Cost]]</f>
        <v>149</v>
      </c>
      <c r="Z3571" s="78">
        <f>IFERROR(OrdersTable[[#This Row],[Profit]]/OrdersTable[[#This Row],[Net Revenue]],0)</f>
        <v>0.49832775919732442</v>
      </c>
      <c r="AA3571" t="s">
        <v>4074</v>
      </c>
      <c r="AB3571" s="79">
        <v>45877</v>
      </c>
      <c r="AC3571">
        <f>OrdersTable[[#This Row],[Delivery Date]]-OrdersTable[[#This Row],[Order Date]]</f>
        <v>3</v>
      </c>
      <c r="AD3571" t="str">
        <f>IF(OrdersTable[[#This Row],[Delivery Days]]&lt;=2, "Express (≤2d)", IF(OrdersTable[[#This Row],[Delivery Days]]&lt;=4, "Standard (3-4d)", "Delayed (5d+)"))</f>
        <v>Standard (3-4d)</v>
      </c>
      <c r="AE3571">
        <v>4</v>
      </c>
      <c r="AF3571">
        <v>0</v>
      </c>
    </row>
    <row r="3572" spans="1:32" ht="15" x14ac:dyDescent="0.35">
      <c r="A3572" t="s">
        <v>5969</v>
      </c>
      <c r="B3572" s="1">
        <v>45874</v>
      </c>
      <c r="C3572">
        <f>YEAR(OrdersTable[[#This Row],[Order Date]])</f>
        <v>2025</v>
      </c>
      <c r="D3572" s="2">
        <f>DATE(YEAR(OrdersTable[[#This Row],[Order Date]]),MONTH(OrdersTable[[#This Row],[Order Date]]),1)</f>
        <v>45870</v>
      </c>
      <c r="E3572">
        <f>MONTH(OrdersTable[[#This Row],[Order Date]])</f>
        <v>8</v>
      </c>
      <c r="F3572" t="s">
        <v>2371</v>
      </c>
      <c r="G3572" t="str">
        <f>IF(OrdersTable[[#This Row],[Order Date]]=_xlfn.MINIFS(Order_Date, Customer_ID, OrdersTable[[#This Row],[Customer ID]]), "New", "Repeat")</f>
        <v>Repeat</v>
      </c>
      <c r="H3572" t="s">
        <v>71</v>
      </c>
      <c r="I3572" t="str">
        <f>INDEX(State!B:B,MATCH(OrdersTable[[#This Row],[State]],State!A:A,0))</f>
        <v>MH</v>
      </c>
      <c r="J3572" t="str">
        <f>INDEX(State!C:C,MATCH(OrdersTable[[#This Row],[State Code]],State!B:B,0))</f>
        <v>West</v>
      </c>
      <c r="K3572" t="s">
        <v>102</v>
      </c>
      <c r="L3572" t="s">
        <v>65</v>
      </c>
      <c r="M3572" t="s">
        <v>73</v>
      </c>
      <c r="N3572" t="str">
        <f>INDEX(Products!B:B,MATCH(OrdersTable[[#This Row],[Product ID]],Products!A:A,0))</f>
        <v>Hydrating Face Wash</v>
      </c>
      <c r="O3572" t="str">
        <f>INDEX(Products!C:C,MATCH(OrdersTable[[#This Row],[Product ID]],Products!A:A,0))</f>
        <v>Skincare</v>
      </c>
      <c r="P3572">
        <v>2</v>
      </c>
      <c r="Q3572" s="5">
        <v>299</v>
      </c>
      <c r="R3572" s="74">
        <v>0.1</v>
      </c>
      <c r="S3572" s="75">
        <f>OrdersTable[[#This Row],[Quantity]]*OrdersTable[[#This Row],[Unit Price]]</f>
        <v>598</v>
      </c>
      <c r="T3572" s="5">
        <f>OrdersTable[[#This Row],[Gross Sale]]*OrdersTable[[#This Row],[Discount_Clean2]]</f>
        <v>59.800000000000004</v>
      </c>
      <c r="U3572" s="5">
        <f>OrdersTable[[#This Row],[Gross Sale]]-OrdersTable[[#This Row],[Discount Amount]]</f>
        <v>538.20000000000005</v>
      </c>
      <c r="V3572" s="77">
        <f>INDEX(Products!E:E,MATCH(OrdersTable[[#This Row],[Product ID]],Products!A:A,0))</f>
        <v>90</v>
      </c>
      <c r="W3572" s="77">
        <f>OrdersTable[[#This Row],[Quantity]]*OrdersTable[[#This Row],[Unit Cost]]</f>
        <v>180</v>
      </c>
      <c r="X3572" s="77">
        <f>'Dropdown Lists'!$I$2*(1+OrdersTable[[#This Row],[Returned]])</f>
        <v>60</v>
      </c>
      <c r="Y3572" s="76">
        <f>OrdersTable[[#This Row],[Net Revenue]]-OrdersTable[[#This Row],[COGS]]-OrdersTable[[#This Row],[Shipping Cost]]</f>
        <v>298.20000000000005</v>
      </c>
      <c r="Z3572" s="78">
        <f>IFERROR(OrdersTable[[#This Row],[Profit]]/OrdersTable[[#This Row],[Net Revenue]],0)</f>
        <v>0.55406911928651059</v>
      </c>
      <c r="AA3572" t="s">
        <v>18</v>
      </c>
      <c r="AB3572" s="79">
        <v>45875</v>
      </c>
      <c r="AC3572">
        <f>OrdersTable[[#This Row],[Delivery Date]]-OrdersTable[[#This Row],[Order Date]]</f>
        <v>1</v>
      </c>
      <c r="AD3572" t="str">
        <f>IF(OrdersTable[[#This Row],[Delivery Days]]&lt;=2, "Express (≤2d)", IF(OrdersTable[[#This Row],[Delivery Days]]&lt;=4, "Standard (3-4d)", "Delayed (5d+)"))</f>
        <v>Express (≤2d)</v>
      </c>
      <c r="AF3572">
        <v>0</v>
      </c>
    </row>
    <row r="3573" spans="1:32" ht="15" x14ac:dyDescent="0.35">
      <c r="A3573" t="s">
        <v>7104</v>
      </c>
      <c r="B3573" s="1">
        <v>45874</v>
      </c>
      <c r="C3573">
        <f>YEAR(OrdersTable[[#This Row],[Order Date]])</f>
        <v>2025</v>
      </c>
      <c r="D3573" s="2">
        <f>DATE(YEAR(OrdersTable[[#This Row],[Order Date]]),MONTH(OrdersTable[[#This Row],[Order Date]]),1)</f>
        <v>45870</v>
      </c>
      <c r="E3573">
        <f>MONTH(OrdersTable[[#This Row],[Order Date]])</f>
        <v>8</v>
      </c>
      <c r="F3573" t="s">
        <v>5296</v>
      </c>
      <c r="G3573" t="str">
        <f>IF(OrdersTable[[#This Row],[Order Date]]=_xlfn.MINIFS(Order_Date, Customer_ID, OrdersTable[[#This Row],[Customer ID]]), "New", "Repeat")</f>
        <v>Repeat</v>
      </c>
      <c r="H3573" t="s">
        <v>71</v>
      </c>
      <c r="I3573" t="str">
        <f>INDEX(State!B:B,MATCH(OrdersTable[[#This Row],[State]],State!A:A,0))</f>
        <v>MH</v>
      </c>
      <c r="J3573" t="str">
        <f>INDEX(State!C:C,MATCH(OrdersTable[[#This Row],[State Code]],State!B:B,0))</f>
        <v>West</v>
      </c>
      <c r="K3573" t="s">
        <v>102</v>
      </c>
      <c r="L3573" t="s">
        <v>23</v>
      </c>
      <c r="M3573" t="s">
        <v>78</v>
      </c>
      <c r="N3573" t="str">
        <f>INDEX(Products!B:B,MATCH(OrdersTable[[#This Row],[Product ID]],Products!A:A,0))</f>
        <v>Retinol Night Cream</v>
      </c>
      <c r="O3573" t="str">
        <f>INDEX(Products!C:C,MATCH(OrdersTable[[#This Row],[Product ID]],Products!A:A,0))</f>
        <v>Skincare</v>
      </c>
      <c r="P3573">
        <v>4</v>
      </c>
      <c r="Q3573" s="5">
        <v>799</v>
      </c>
      <c r="R3573" s="74">
        <v>0.05</v>
      </c>
      <c r="S3573" s="75">
        <f>OrdersTable[[#This Row],[Quantity]]*OrdersTable[[#This Row],[Unit Price]]</f>
        <v>3196</v>
      </c>
      <c r="T3573" s="5">
        <f>OrdersTable[[#This Row],[Gross Sale]]*OrdersTable[[#This Row],[Discount_Clean2]]</f>
        <v>159.80000000000001</v>
      </c>
      <c r="U3573" s="5">
        <f>OrdersTable[[#This Row],[Gross Sale]]-OrdersTable[[#This Row],[Discount Amount]]</f>
        <v>3036.2</v>
      </c>
      <c r="V3573" s="77">
        <f>INDEX(Products!E:E,MATCH(OrdersTable[[#This Row],[Product ID]],Products!A:A,0))</f>
        <v>216</v>
      </c>
      <c r="W3573" s="77">
        <f>OrdersTable[[#This Row],[Quantity]]*OrdersTable[[#This Row],[Unit Cost]]</f>
        <v>864</v>
      </c>
      <c r="X3573" s="77">
        <f>'Dropdown Lists'!$I$2*(1+OrdersTable[[#This Row],[Returned]])</f>
        <v>60</v>
      </c>
      <c r="Y3573" s="76">
        <f>OrdersTable[[#This Row],[Net Revenue]]-OrdersTable[[#This Row],[COGS]]-OrdersTable[[#This Row],[Shipping Cost]]</f>
        <v>2112.1999999999998</v>
      </c>
      <c r="Z3573" s="78">
        <f>IFERROR(OrdersTable[[#This Row],[Profit]]/OrdersTable[[#This Row],[Net Revenue]],0)</f>
        <v>0.69567222185626765</v>
      </c>
      <c r="AA3573" t="s">
        <v>18</v>
      </c>
      <c r="AB3573" s="79">
        <v>45875</v>
      </c>
      <c r="AC3573">
        <f>OrdersTable[[#This Row],[Delivery Date]]-OrdersTable[[#This Row],[Order Date]]</f>
        <v>1</v>
      </c>
      <c r="AD3573" t="str">
        <f>IF(OrdersTable[[#This Row],[Delivery Days]]&lt;=2, "Express (≤2d)", IF(OrdersTable[[#This Row],[Delivery Days]]&lt;=4, "Standard (3-4d)", "Delayed (5d+)"))</f>
        <v>Express (≤2d)</v>
      </c>
      <c r="AF3573">
        <v>0</v>
      </c>
    </row>
    <row r="3574" spans="1:32" ht="15" x14ac:dyDescent="0.35">
      <c r="A3574" t="s">
        <v>6388</v>
      </c>
      <c r="B3574" s="1">
        <v>45874</v>
      </c>
      <c r="C3574">
        <f>YEAR(OrdersTable[[#This Row],[Order Date]])</f>
        <v>2025</v>
      </c>
      <c r="D3574" s="2">
        <f>DATE(YEAR(OrdersTable[[#This Row],[Order Date]]),MONTH(OrdersTable[[#This Row],[Order Date]]),1)</f>
        <v>45870</v>
      </c>
      <c r="E3574">
        <f>MONTH(OrdersTable[[#This Row],[Order Date]])</f>
        <v>8</v>
      </c>
      <c r="F3574" t="s">
        <v>972</v>
      </c>
      <c r="G3574" t="str">
        <f>IF(OrdersTable[[#This Row],[Order Date]]=_xlfn.MINIFS(Order_Date, Customer_ID, OrdersTable[[#This Row],[Customer ID]]), "New", "Repeat")</f>
        <v>Repeat</v>
      </c>
      <c r="H3574" t="s">
        <v>71</v>
      </c>
      <c r="I3574" t="str">
        <f>INDEX(State!B:B,MATCH(OrdersTable[[#This Row],[State]],State!A:A,0))</f>
        <v>MH</v>
      </c>
      <c r="J3574" t="str">
        <f>INDEX(State!C:C,MATCH(OrdersTable[[#This Row],[State Code]],State!B:B,0))</f>
        <v>West</v>
      </c>
      <c r="K3574" t="s">
        <v>81</v>
      </c>
      <c r="L3574" t="s">
        <v>39</v>
      </c>
      <c r="M3574" t="s">
        <v>152</v>
      </c>
      <c r="N3574" t="str">
        <f>INDEX(Products!B:B,MATCH(OrdersTable[[#This Row],[Product ID]],Products!A:A,0))</f>
        <v>Green Tea (100 bags)</v>
      </c>
      <c r="O3574" t="str">
        <f>INDEX(Products!C:C,MATCH(OrdersTable[[#This Row],[Product ID]],Products!A:A,0))</f>
        <v>Wellness</v>
      </c>
      <c r="P3574">
        <v>2</v>
      </c>
      <c r="Q3574" s="5">
        <v>399</v>
      </c>
      <c r="R3574" s="74">
        <v>0.4</v>
      </c>
      <c r="S3574" s="75">
        <f>OrdersTable[[#This Row],[Quantity]]*OrdersTable[[#This Row],[Unit Price]]</f>
        <v>798</v>
      </c>
      <c r="T3574" s="5">
        <f>OrdersTable[[#This Row],[Gross Sale]]*OrdersTable[[#This Row],[Discount_Clean2]]</f>
        <v>319.20000000000005</v>
      </c>
      <c r="U3574" s="5">
        <f>OrdersTable[[#This Row],[Gross Sale]]-OrdersTable[[#This Row],[Discount Amount]]</f>
        <v>478.79999999999995</v>
      </c>
      <c r="V3574" s="77">
        <f>INDEX(Products!E:E,MATCH(OrdersTable[[#This Row],[Product ID]],Products!A:A,0))</f>
        <v>128</v>
      </c>
      <c r="W3574" s="77">
        <f>OrdersTable[[#This Row],[Quantity]]*OrdersTable[[#This Row],[Unit Cost]]</f>
        <v>256</v>
      </c>
      <c r="X3574" s="77">
        <f>'Dropdown Lists'!$I$2*(1+OrdersTable[[#This Row],[Returned]])</f>
        <v>60</v>
      </c>
      <c r="Y3574" s="76">
        <f>OrdersTable[[#This Row],[Net Revenue]]-OrdersTable[[#This Row],[COGS]]-OrdersTable[[#This Row],[Shipping Cost]]</f>
        <v>162.79999999999995</v>
      </c>
      <c r="Z3574" s="78">
        <f>IFERROR(OrdersTable[[#This Row],[Profit]]/OrdersTable[[#This Row],[Net Revenue]],0)</f>
        <v>0.34001670843776099</v>
      </c>
      <c r="AA3574" t="s">
        <v>18</v>
      </c>
      <c r="AB3574" s="79">
        <v>45877</v>
      </c>
      <c r="AC3574">
        <f>OrdersTable[[#This Row],[Delivery Date]]-OrdersTable[[#This Row],[Order Date]]</f>
        <v>3</v>
      </c>
      <c r="AD3574" t="str">
        <f>IF(OrdersTable[[#This Row],[Delivery Days]]&lt;=2, "Express (≤2d)", IF(OrdersTable[[#This Row],[Delivery Days]]&lt;=4, "Standard (3-4d)", "Delayed (5d+)"))</f>
        <v>Standard (3-4d)</v>
      </c>
      <c r="AF3574">
        <v>0</v>
      </c>
    </row>
    <row r="3575" spans="1:32" ht="15" x14ac:dyDescent="0.35">
      <c r="A3575" t="s">
        <v>4533</v>
      </c>
      <c r="B3575" s="1">
        <v>45874</v>
      </c>
      <c r="C3575">
        <f>YEAR(OrdersTable[[#This Row],[Order Date]])</f>
        <v>2025</v>
      </c>
      <c r="D3575" s="2">
        <f>DATE(YEAR(OrdersTable[[#This Row],[Order Date]]),MONTH(OrdersTable[[#This Row],[Order Date]]),1)</f>
        <v>45870</v>
      </c>
      <c r="E3575">
        <f>MONTH(OrdersTable[[#This Row],[Order Date]])</f>
        <v>8</v>
      </c>
      <c r="F3575" t="s">
        <v>603</v>
      </c>
      <c r="G3575" t="str">
        <f>IF(OrdersTable[[#This Row],[Order Date]]=_xlfn.MINIFS(Order_Date, Customer_ID, OrdersTable[[#This Row],[Customer ID]]), "New", "Repeat")</f>
        <v>Repeat</v>
      </c>
      <c r="H3575" t="s">
        <v>316</v>
      </c>
      <c r="I3575" t="str">
        <f>INDEX(State!B:B,MATCH(OrdersTable[[#This Row],[State]],State!A:A,0))</f>
        <v>KL</v>
      </c>
      <c r="J3575" t="str">
        <f>INDEX(State!C:C,MATCH(OrdersTable[[#This Row],[State Code]],State!B:B,0))</f>
        <v>South</v>
      </c>
      <c r="K3575" t="s">
        <v>317</v>
      </c>
      <c r="L3575" t="s">
        <v>16</v>
      </c>
      <c r="M3575" t="s">
        <v>29</v>
      </c>
      <c r="N3575" t="str">
        <f>INDEX(Products!B:B,MATCH(OrdersTable[[#This Row],[Product ID]],Products!A:A,0))</f>
        <v>Joggers</v>
      </c>
      <c r="O3575" t="str">
        <f>INDEX(Products!C:C,MATCH(OrdersTable[[#This Row],[Product ID]],Products!A:A,0))</f>
        <v>Apparel</v>
      </c>
      <c r="P3575">
        <v>1</v>
      </c>
      <c r="Q3575" s="5">
        <v>1199</v>
      </c>
      <c r="R3575" s="74">
        <v>0.05</v>
      </c>
      <c r="S3575" s="75">
        <f>OrdersTable[[#This Row],[Quantity]]*OrdersTable[[#This Row],[Unit Price]]</f>
        <v>1199</v>
      </c>
      <c r="T3575" s="5">
        <f>OrdersTable[[#This Row],[Gross Sale]]*OrdersTable[[#This Row],[Discount_Clean2]]</f>
        <v>59.95</v>
      </c>
      <c r="U3575" s="5">
        <f>OrdersTable[[#This Row],[Gross Sale]]-OrdersTable[[#This Row],[Discount Amount]]</f>
        <v>1139.05</v>
      </c>
      <c r="V3575" s="77">
        <f>INDEX(Products!E:E,MATCH(OrdersTable[[#This Row],[Product ID]],Products!A:A,0))</f>
        <v>492</v>
      </c>
      <c r="W3575" s="77">
        <f>OrdersTable[[#This Row],[Quantity]]*OrdersTable[[#This Row],[Unit Cost]]</f>
        <v>492</v>
      </c>
      <c r="X3575" s="77">
        <f>'Dropdown Lists'!$I$2*(1+OrdersTable[[#This Row],[Returned]])</f>
        <v>60</v>
      </c>
      <c r="Y3575" s="76">
        <f>OrdersTable[[#This Row],[Net Revenue]]-OrdersTable[[#This Row],[COGS]]-OrdersTable[[#This Row],[Shipping Cost]]</f>
        <v>587.04999999999995</v>
      </c>
      <c r="Z3575" s="78">
        <f>IFERROR(OrdersTable[[#This Row],[Profit]]/OrdersTable[[#This Row],[Net Revenue]],0)</f>
        <v>0.51538562837452262</v>
      </c>
      <c r="AA3575" t="s">
        <v>4450</v>
      </c>
      <c r="AB3575" s="79">
        <v>45876</v>
      </c>
      <c r="AC3575">
        <f>OrdersTable[[#This Row],[Delivery Date]]-OrdersTable[[#This Row],[Order Date]]</f>
        <v>2</v>
      </c>
      <c r="AD3575" t="str">
        <f>IF(OrdersTable[[#This Row],[Delivery Days]]&lt;=2, "Express (≤2d)", IF(OrdersTable[[#This Row],[Delivery Days]]&lt;=4, "Standard (3-4d)", "Delayed (5d+)"))</f>
        <v>Express (≤2d)</v>
      </c>
      <c r="AE3575">
        <v>4</v>
      </c>
      <c r="AF3575">
        <v>0</v>
      </c>
    </row>
    <row r="3576" spans="1:32" ht="15" x14ac:dyDescent="0.35">
      <c r="A3576" t="s">
        <v>3918</v>
      </c>
      <c r="B3576" s="1">
        <v>45874</v>
      </c>
      <c r="C3576">
        <f>YEAR(OrdersTable[[#This Row],[Order Date]])</f>
        <v>2025</v>
      </c>
      <c r="D3576" s="2">
        <f>DATE(YEAR(OrdersTable[[#This Row],[Order Date]]),MONTH(OrdersTable[[#This Row],[Order Date]]),1)</f>
        <v>45870</v>
      </c>
      <c r="E3576">
        <f>MONTH(OrdersTable[[#This Row],[Order Date]])</f>
        <v>8</v>
      </c>
      <c r="F3576" t="s">
        <v>3663</v>
      </c>
      <c r="G3576" t="str">
        <f>IF(OrdersTable[[#This Row],[Order Date]]=_xlfn.MINIFS(Order_Date, Customer_ID, OrdersTable[[#This Row],[Customer ID]]), "New", "Repeat")</f>
        <v>Repeat</v>
      </c>
      <c r="H3576" t="s">
        <v>59</v>
      </c>
      <c r="I3576" t="str">
        <f>INDEX(State!B:B,MATCH(OrdersTable[[#This Row],[State]],State!A:A,0))</f>
        <v>TN</v>
      </c>
      <c r="J3576" t="str">
        <f>INDEX(State!C:C,MATCH(OrdersTable[[#This Row],[State Code]],State!B:B,0))</f>
        <v>South</v>
      </c>
      <c r="K3576" t="s">
        <v>64</v>
      </c>
      <c r="L3576" t="s">
        <v>16</v>
      </c>
      <c r="M3576" t="s">
        <v>255</v>
      </c>
      <c r="N3576" t="str">
        <f>INDEX(Products!B:B,MATCH(OrdersTable[[#This Row],[Product ID]],Products!A:A,0))</f>
        <v>Cotton Oversized T-Shirt</v>
      </c>
      <c r="O3576" t="str">
        <f>INDEX(Products!C:C,MATCH(OrdersTable[[#This Row],[Product ID]],Products!A:A,0))</f>
        <v>Apparel</v>
      </c>
      <c r="P3576">
        <v>1</v>
      </c>
      <c r="Q3576" s="5">
        <v>799</v>
      </c>
      <c r="R3576" s="74">
        <v>0</v>
      </c>
      <c r="S3576" s="75">
        <f>OrdersTable[[#This Row],[Quantity]]*OrdersTable[[#This Row],[Unit Price]]</f>
        <v>799</v>
      </c>
      <c r="T3576" s="5">
        <f>OrdersTable[[#This Row],[Gross Sale]]*OrdersTable[[#This Row],[Discount_Clean2]]</f>
        <v>0</v>
      </c>
      <c r="U3576" s="5">
        <f>OrdersTable[[#This Row],[Gross Sale]]-OrdersTable[[#This Row],[Discount Amount]]</f>
        <v>799</v>
      </c>
      <c r="V3576" s="77">
        <f>INDEX(Products!E:E,MATCH(OrdersTable[[#This Row],[Product ID]],Products!A:A,0))</f>
        <v>320</v>
      </c>
      <c r="W3576" s="77">
        <f>OrdersTable[[#This Row],[Quantity]]*OrdersTable[[#This Row],[Unit Cost]]</f>
        <v>320</v>
      </c>
      <c r="X3576" s="77">
        <f>'Dropdown Lists'!$I$2*(1+OrdersTable[[#This Row],[Returned]])</f>
        <v>60</v>
      </c>
      <c r="Y3576" s="76">
        <f>OrdersTable[[#This Row],[Net Revenue]]-OrdersTable[[#This Row],[COGS]]-OrdersTable[[#This Row],[Shipping Cost]]</f>
        <v>419</v>
      </c>
      <c r="Z3576" s="78">
        <f>IFERROR(OrdersTable[[#This Row],[Profit]]/OrdersTable[[#This Row],[Net Revenue]],0)</f>
        <v>0.52440550688360454</v>
      </c>
      <c r="AA3576" t="s">
        <v>3495</v>
      </c>
      <c r="AB3576" s="79">
        <v>45875</v>
      </c>
      <c r="AC3576">
        <f>OrdersTable[[#This Row],[Delivery Date]]-OrdersTable[[#This Row],[Order Date]]</f>
        <v>1</v>
      </c>
      <c r="AD3576" t="str">
        <f>IF(OrdersTable[[#This Row],[Delivery Days]]&lt;=2, "Express (≤2d)", IF(OrdersTable[[#This Row],[Delivery Days]]&lt;=4, "Standard (3-4d)", "Delayed (5d+)"))</f>
        <v>Express (≤2d)</v>
      </c>
      <c r="AE3576">
        <v>3</v>
      </c>
      <c r="AF3576">
        <v>0</v>
      </c>
    </row>
    <row r="3577" spans="1:32" ht="15" x14ac:dyDescent="0.35">
      <c r="A3577" t="s">
        <v>1769</v>
      </c>
      <c r="B3577" s="1">
        <v>45875</v>
      </c>
      <c r="C3577">
        <f>YEAR(OrdersTable[[#This Row],[Order Date]])</f>
        <v>2025</v>
      </c>
      <c r="D3577" s="2">
        <f>DATE(YEAR(OrdersTable[[#This Row],[Order Date]]),MONTH(OrdersTable[[#This Row],[Order Date]]),1)</f>
        <v>45870</v>
      </c>
      <c r="E3577">
        <f>MONTH(OrdersTable[[#This Row],[Order Date]])</f>
        <v>8</v>
      </c>
      <c r="F3577" t="s">
        <v>1770</v>
      </c>
      <c r="G3577" t="str">
        <f>IF(OrdersTable[[#This Row],[Order Date]]=_xlfn.MINIFS(Order_Date, Customer_ID, OrdersTable[[#This Row],[Customer ID]]), "New", "Repeat")</f>
        <v>New</v>
      </c>
      <c r="H3577" t="s">
        <v>76</v>
      </c>
      <c r="I3577" t="str">
        <f>INDEX(State!B:B,MATCH(OrdersTable[[#This Row],[State]],State!A:A,0))</f>
        <v>UP</v>
      </c>
      <c r="J3577" t="str">
        <f>INDEX(State!C:C,MATCH(OrdersTable[[#This Row],[State Code]],State!B:B,0))</f>
        <v>North</v>
      </c>
      <c r="K3577" t="s">
        <v>77</v>
      </c>
      <c r="L3577" t="s">
        <v>65</v>
      </c>
      <c r="M3577" t="s">
        <v>148</v>
      </c>
      <c r="N3577" t="str">
        <f>INDEX(Products!B:B,MATCH(OrdersTable[[#This Row],[Product ID]],Products!A:A,0))</f>
        <v>Smartwatch Strap</v>
      </c>
      <c r="O3577" t="str">
        <f>INDEX(Products!C:C,MATCH(OrdersTable[[#This Row],[Product ID]],Products!A:A,0))</f>
        <v>Electronics</v>
      </c>
      <c r="P3577">
        <v>1</v>
      </c>
      <c r="Q3577" s="5">
        <v>499</v>
      </c>
      <c r="R3577" s="74">
        <v>0.1</v>
      </c>
      <c r="S3577" s="75">
        <f>OrdersTable[[#This Row],[Quantity]]*OrdersTable[[#This Row],[Unit Price]]</f>
        <v>499</v>
      </c>
      <c r="T3577" s="5">
        <f>OrdersTable[[#This Row],[Gross Sale]]*OrdersTable[[#This Row],[Discount_Clean2]]</f>
        <v>49.900000000000006</v>
      </c>
      <c r="U3577" s="5">
        <f>OrdersTable[[#This Row],[Gross Sale]]-OrdersTable[[#This Row],[Discount Amount]]</f>
        <v>449.1</v>
      </c>
      <c r="V3577" s="77">
        <f>INDEX(Products!E:E,MATCH(OrdersTable[[#This Row],[Product ID]],Products!A:A,0))</f>
        <v>200</v>
      </c>
      <c r="W3577" s="77">
        <f>OrdersTable[[#This Row],[Quantity]]*OrdersTable[[#This Row],[Unit Cost]]</f>
        <v>200</v>
      </c>
      <c r="X3577" s="77">
        <f>'Dropdown Lists'!$I$2*(1+OrdersTable[[#This Row],[Returned]])</f>
        <v>120</v>
      </c>
      <c r="Y3577" s="76">
        <f>OrdersTable[[#This Row],[Net Revenue]]-OrdersTable[[#This Row],[COGS]]-OrdersTable[[#This Row],[Shipping Cost]]</f>
        <v>129.10000000000002</v>
      </c>
      <c r="Z3577" s="78">
        <f>IFERROR(OrdersTable[[#This Row],[Profit]]/OrdersTable[[#This Row],[Net Revenue]],0)</f>
        <v>0.28746381652193281</v>
      </c>
      <c r="AA3577" t="s">
        <v>18</v>
      </c>
      <c r="AB3577" s="79">
        <v>45879</v>
      </c>
      <c r="AC3577">
        <f>OrdersTable[[#This Row],[Delivery Date]]-OrdersTable[[#This Row],[Order Date]]</f>
        <v>4</v>
      </c>
      <c r="AD3577" t="str">
        <f>IF(OrdersTable[[#This Row],[Delivery Days]]&lt;=2, "Express (≤2d)", IF(OrdersTable[[#This Row],[Delivery Days]]&lt;=4, "Standard (3-4d)", "Delayed (5d+)"))</f>
        <v>Standard (3-4d)</v>
      </c>
      <c r="AF3577">
        <v>1</v>
      </c>
    </row>
    <row r="3578" spans="1:32" ht="15" x14ac:dyDescent="0.35">
      <c r="A3578" t="s">
        <v>1428</v>
      </c>
      <c r="B3578" s="1">
        <v>45875</v>
      </c>
      <c r="C3578">
        <f>YEAR(OrdersTable[[#This Row],[Order Date]])</f>
        <v>2025</v>
      </c>
      <c r="D3578" s="2">
        <f>DATE(YEAR(OrdersTable[[#This Row],[Order Date]]),MONTH(OrdersTable[[#This Row],[Order Date]]),1)</f>
        <v>45870</v>
      </c>
      <c r="E3578">
        <f>MONTH(OrdersTable[[#This Row],[Order Date]])</f>
        <v>8</v>
      </c>
      <c r="F3578" t="s">
        <v>1429</v>
      </c>
      <c r="G3578" t="str">
        <f>IF(OrdersTable[[#This Row],[Order Date]]=_xlfn.MINIFS(Order_Date, Customer_ID, OrdersTable[[#This Row],[Customer ID]]), "New", "Repeat")</f>
        <v>Repeat</v>
      </c>
      <c r="H3578" t="s">
        <v>71</v>
      </c>
      <c r="I3578" t="str">
        <f>INDEX(State!B:B,MATCH(OrdersTable[[#This Row],[State]],State!A:A,0))</f>
        <v>MH</v>
      </c>
      <c r="J3578" t="str">
        <f>INDEX(State!C:C,MATCH(OrdersTable[[#This Row],[State Code]],State!B:B,0))</f>
        <v>West</v>
      </c>
      <c r="K3578" t="s">
        <v>81</v>
      </c>
      <c r="L3578" t="s">
        <v>23</v>
      </c>
      <c r="M3578" t="s">
        <v>24</v>
      </c>
      <c r="N3578" t="str">
        <f>INDEX(Products!B:B,MATCH(OrdersTable[[#This Row],[Product ID]],Products!A:A,0))</f>
        <v>Scented Candle Set</v>
      </c>
      <c r="O3578" t="str">
        <f>INDEX(Products!C:C,MATCH(OrdersTable[[#This Row],[Product ID]],Products!A:A,0))</f>
        <v>Home &amp; Kitchen</v>
      </c>
      <c r="P3578">
        <v>1</v>
      </c>
      <c r="Q3578" s="5">
        <v>699</v>
      </c>
      <c r="R3578" s="74">
        <v>0.25</v>
      </c>
      <c r="S3578" s="75">
        <f>OrdersTable[[#This Row],[Quantity]]*OrdersTable[[#This Row],[Unit Price]]</f>
        <v>699</v>
      </c>
      <c r="T3578" s="5">
        <f>OrdersTable[[#This Row],[Gross Sale]]*OrdersTable[[#This Row],[Discount_Clean2]]</f>
        <v>174.75</v>
      </c>
      <c r="U3578" s="5">
        <f>OrdersTable[[#This Row],[Gross Sale]]-OrdersTable[[#This Row],[Discount Amount]]</f>
        <v>524.25</v>
      </c>
      <c r="V3578" s="77">
        <f>INDEX(Products!E:E,MATCH(OrdersTable[[#This Row],[Product ID]],Products!A:A,0))</f>
        <v>245</v>
      </c>
      <c r="W3578" s="77">
        <f>OrdersTable[[#This Row],[Quantity]]*OrdersTable[[#This Row],[Unit Cost]]</f>
        <v>245</v>
      </c>
      <c r="X3578" s="77">
        <f>'Dropdown Lists'!$I$2*(1+OrdersTable[[#This Row],[Returned]])</f>
        <v>120</v>
      </c>
      <c r="Y3578" s="76">
        <f>OrdersTable[[#This Row],[Net Revenue]]-OrdersTable[[#This Row],[COGS]]-OrdersTable[[#This Row],[Shipping Cost]]</f>
        <v>159.25</v>
      </c>
      <c r="Z3578" s="78">
        <f>IFERROR(OrdersTable[[#This Row],[Profit]]/OrdersTable[[#This Row],[Net Revenue]],0)</f>
        <v>0.30376728659990465</v>
      </c>
      <c r="AA3578" t="s">
        <v>18</v>
      </c>
      <c r="AB3578" s="79">
        <v>45877</v>
      </c>
      <c r="AC3578">
        <f>OrdersTable[[#This Row],[Delivery Date]]-OrdersTable[[#This Row],[Order Date]]</f>
        <v>2</v>
      </c>
      <c r="AD3578" t="str">
        <f>IF(OrdersTable[[#This Row],[Delivery Days]]&lt;=2, "Express (≤2d)", IF(OrdersTable[[#This Row],[Delivery Days]]&lt;=4, "Standard (3-4d)", "Delayed (5d+)"))</f>
        <v>Express (≤2d)</v>
      </c>
      <c r="AF3578">
        <v>1</v>
      </c>
    </row>
    <row r="3579" spans="1:32" ht="15" x14ac:dyDescent="0.35">
      <c r="A3579" t="s">
        <v>1111</v>
      </c>
      <c r="B3579" s="1">
        <v>45875</v>
      </c>
      <c r="C3579">
        <f>YEAR(OrdersTable[[#This Row],[Order Date]])</f>
        <v>2025</v>
      </c>
      <c r="D3579" s="2">
        <f>DATE(YEAR(OrdersTable[[#This Row],[Order Date]]),MONTH(OrdersTable[[#This Row],[Order Date]]),1)</f>
        <v>45870</v>
      </c>
      <c r="E3579">
        <f>MONTH(OrdersTable[[#This Row],[Order Date]])</f>
        <v>8</v>
      </c>
      <c r="F3579" t="s">
        <v>1112</v>
      </c>
      <c r="G3579" t="str">
        <f>IF(OrdersTable[[#This Row],[Order Date]]=_xlfn.MINIFS(Order_Date, Customer_ID, OrdersTable[[#This Row],[Customer ID]]), "New", "Repeat")</f>
        <v>Repeat</v>
      </c>
      <c r="H3579" t="s">
        <v>167</v>
      </c>
      <c r="I3579" t="str">
        <f>INDEX(State!B:B,MATCH(OrdersTable[[#This Row],[State]],State!A:A,0))</f>
        <v>KA</v>
      </c>
      <c r="J3579" t="str">
        <f>INDEX(State!C:C,MATCH(OrdersTable[[#This Row],[State Code]],State!B:B,0))</f>
        <v>South</v>
      </c>
      <c r="K3579" t="s">
        <v>168</v>
      </c>
      <c r="L3579" t="s">
        <v>65</v>
      </c>
      <c r="M3579" t="s">
        <v>106</v>
      </c>
      <c r="N3579" t="str">
        <f>INDEX(Products!B:B,MATCH(OrdersTable[[#This Row],[Product ID]],Products!A:A,0))</f>
        <v>Keratin Hair Mask</v>
      </c>
      <c r="O3579" t="str">
        <f>INDEX(Products!C:C,MATCH(OrdersTable[[#This Row],[Product ID]],Products!A:A,0))</f>
        <v>Haircare</v>
      </c>
      <c r="P3579">
        <v>1</v>
      </c>
      <c r="Q3579" s="5">
        <v>549</v>
      </c>
      <c r="R3579" s="74">
        <v>0.15</v>
      </c>
      <c r="S3579" s="75">
        <f>OrdersTable[[#This Row],[Quantity]]*OrdersTable[[#This Row],[Unit Price]]</f>
        <v>549</v>
      </c>
      <c r="T3579" s="5">
        <f>OrdersTable[[#This Row],[Gross Sale]]*OrdersTable[[#This Row],[Discount_Clean2]]</f>
        <v>82.35</v>
      </c>
      <c r="U3579" s="5">
        <f>OrdersTable[[#This Row],[Gross Sale]]-OrdersTable[[#This Row],[Discount Amount]]</f>
        <v>466.65</v>
      </c>
      <c r="V3579" s="77">
        <f>INDEX(Products!E:E,MATCH(OrdersTable[[#This Row],[Product ID]],Products!A:A,0))</f>
        <v>170</v>
      </c>
      <c r="W3579" s="77">
        <f>OrdersTable[[#This Row],[Quantity]]*OrdersTable[[#This Row],[Unit Cost]]</f>
        <v>170</v>
      </c>
      <c r="X3579" s="77">
        <f>'Dropdown Lists'!$I$2*(1+OrdersTable[[#This Row],[Returned]])</f>
        <v>120</v>
      </c>
      <c r="Y3579" s="76">
        <f>OrdersTable[[#This Row],[Net Revenue]]-OrdersTable[[#This Row],[COGS]]-OrdersTable[[#This Row],[Shipping Cost]]</f>
        <v>176.64999999999998</v>
      </c>
      <c r="Z3579" s="78">
        <f>IFERROR(OrdersTable[[#This Row],[Profit]]/OrdersTable[[#This Row],[Net Revenue]],0)</f>
        <v>0.3785492339012107</v>
      </c>
      <c r="AA3579" t="s">
        <v>18</v>
      </c>
      <c r="AB3579" s="79">
        <v>45877</v>
      </c>
      <c r="AC3579">
        <f>OrdersTable[[#This Row],[Delivery Date]]-OrdersTable[[#This Row],[Order Date]]</f>
        <v>2</v>
      </c>
      <c r="AD3579" t="str">
        <f>IF(OrdersTable[[#This Row],[Delivery Days]]&lt;=2, "Express (≤2d)", IF(OrdersTable[[#This Row],[Delivery Days]]&lt;=4, "Standard (3-4d)", "Delayed (5d+)"))</f>
        <v>Express (≤2d)</v>
      </c>
      <c r="AE3579">
        <v>4</v>
      </c>
      <c r="AF3579">
        <v>1</v>
      </c>
    </row>
    <row r="3580" spans="1:32" ht="15" x14ac:dyDescent="0.35">
      <c r="A3580" t="s">
        <v>4044</v>
      </c>
      <c r="B3580" s="1">
        <v>45875</v>
      </c>
      <c r="C3580">
        <f>YEAR(OrdersTable[[#This Row],[Order Date]])</f>
        <v>2025</v>
      </c>
      <c r="D3580" s="2">
        <f>DATE(YEAR(OrdersTable[[#This Row],[Order Date]]),MONTH(OrdersTable[[#This Row],[Order Date]]),1)</f>
        <v>45870</v>
      </c>
      <c r="E3580">
        <f>MONTH(OrdersTable[[#This Row],[Order Date]])</f>
        <v>8</v>
      </c>
      <c r="F3580" t="s">
        <v>3311</v>
      </c>
      <c r="G3580" t="str">
        <f>IF(OrdersTable[[#This Row],[Order Date]]=_xlfn.MINIFS(Order_Date, Customer_ID, OrdersTable[[#This Row],[Customer ID]]), "New", "Repeat")</f>
        <v>Repeat</v>
      </c>
      <c r="H3580" t="s">
        <v>167</v>
      </c>
      <c r="I3580" t="str">
        <f>INDEX(State!B:B,MATCH(OrdersTable[[#This Row],[State]],State!A:A,0))</f>
        <v>KA</v>
      </c>
      <c r="J3580" t="str">
        <f>INDEX(State!C:C,MATCH(OrdersTable[[#This Row],[State Code]],State!B:B,0))</f>
        <v>South</v>
      </c>
      <c r="K3580" t="s">
        <v>190</v>
      </c>
      <c r="L3580" t="s">
        <v>65</v>
      </c>
      <c r="M3580" t="s">
        <v>40</v>
      </c>
      <c r="N3580" t="str">
        <f>INDEX(Products!B:B,MATCH(OrdersTable[[#This Row],[Product ID]],Products!A:A,0))</f>
        <v>Ashwagandha Capsules</v>
      </c>
      <c r="O3580" t="str">
        <f>INDEX(Products!C:C,MATCH(OrdersTable[[#This Row],[Product ID]],Products!A:A,0))</f>
        <v>Wellness</v>
      </c>
      <c r="P3580">
        <v>1</v>
      </c>
      <c r="Q3580" s="5">
        <v>499</v>
      </c>
      <c r="R3580" s="74">
        <v>0</v>
      </c>
      <c r="S3580" s="75">
        <f>OrdersTable[[#This Row],[Quantity]]*OrdersTable[[#This Row],[Unit Price]]</f>
        <v>499</v>
      </c>
      <c r="T3580" s="5">
        <f>OrdersTable[[#This Row],[Gross Sale]]*OrdersTable[[#This Row],[Discount_Clean2]]</f>
        <v>0</v>
      </c>
      <c r="U3580" s="5">
        <f>OrdersTable[[#This Row],[Gross Sale]]-OrdersTable[[#This Row],[Discount Amount]]</f>
        <v>499</v>
      </c>
      <c r="V3580" s="77">
        <f>INDEX(Products!E:E,MATCH(OrdersTable[[#This Row],[Product ID]],Products!A:A,0))</f>
        <v>150</v>
      </c>
      <c r="W3580" s="77">
        <f>OrdersTable[[#This Row],[Quantity]]*OrdersTable[[#This Row],[Unit Cost]]</f>
        <v>150</v>
      </c>
      <c r="X3580" s="77">
        <f>'Dropdown Lists'!$I$2*(1+OrdersTable[[#This Row],[Returned]])</f>
        <v>60</v>
      </c>
      <c r="Y3580" s="76">
        <f>OrdersTable[[#This Row],[Net Revenue]]-OrdersTable[[#This Row],[COGS]]-OrdersTable[[#This Row],[Shipping Cost]]</f>
        <v>289</v>
      </c>
      <c r="Z3580" s="78">
        <f>IFERROR(OrdersTable[[#This Row],[Profit]]/OrdersTable[[#This Row],[Net Revenue]],0)</f>
        <v>0.57915831663326656</v>
      </c>
      <c r="AA3580" t="s">
        <v>3495</v>
      </c>
      <c r="AB3580" s="79">
        <v>45878</v>
      </c>
      <c r="AC3580">
        <f>OrdersTable[[#This Row],[Delivery Date]]-OrdersTable[[#This Row],[Order Date]]</f>
        <v>3</v>
      </c>
      <c r="AD3580" t="str">
        <f>IF(OrdersTable[[#This Row],[Delivery Days]]&lt;=2, "Express (≤2d)", IF(OrdersTable[[#This Row],[Delivery Days]]&lt;=4, "Standard (3-4d)", "Delayed (5d+)"))</f>
        <v>Standard (3-4d)</v>
      </c>
      <c r="AE3580">
        <v>5</v>
      </c>
      <c r="AF3580">
        <v>0</v>
      </c>
    </row>
    <row r="3581" spans="1:32" ht="15" x14ac:dyDescent="0.35">
      <c r="A3581" t="s">
        <v>7157</v>
      </c>
      <c r="B3581" s="1">
        <v>45875</v>
      </c>
      <c r="C3581">
        <f>YEAR(OrdersTable[[#This Row],[Order Date]])</f>
        <v>2025</v>
      </c>
      <c r="D3581" s="2">
        <f>DATE(YEAR(OrdersTable[[#This Row],[Order Date]]),MONTH(OrdersTable[[#This Row],[Order Date]]),1)</f>
        <v>45870</v>
      </c>
      <c r="E3581">
        <f>MONTH(OrdersTable[[#This Row],[Order Date]])</f>
        <v>8</v>
      </c>
      <c r="F3581" t="s">
        <v>135</v>
      </c>
      <c r="G3581" t="str">
        <f>IF(OrdersTable[[#This Row],[Order Date]]=_xlfn.MINIFS(Order_Date, Customer_ID, OrdersTable[[#This Row],[Customer ID]]), "New", "Repeat")</f>
        <v>Repeat</v>
      </c>
      <c r="H3581" t="s">
        <v>316</v>
      </c>
      <c r="I3581" t="str">
        <f>INDEX(State!B:B,MATCH(OrdersTable[[#This Row],[State]],State!A:A,0))</f>
        <v>KL</v>
      </c>
      <c r="J3581" t="str">
        <f>INDEX(State!C:C,MATCH(OrdersTable[[#This Row],[State Code]],State!B:B,0))</f>
        <v>South</v>
      </c>
      <c r="K3581" t="s">
        <v>317</v>
      </c>
      <c r="L3581" t="s">
        <v>39</v>
      </c>
      <c r="M3581" t="s">
        <v>152</v>
      </c>
      <c r="N3581" t="str">
        <f>INDEX(Products!B:B,MATCH(OrdersTable[[#This Row],[Product ID]],Products!A:A,0))</f>
        <v>Green Tea (100 bags)</v>
      </c>
      <c r="O3581" t="str">
        <f>INDEX(Products!C:C,MATCH(OrdersTable[[#This Row],[Product ID]],Products!A:A,0))</f>
        <v>Wellness</v>
      </c>
      <c r="P3581">
        <v>5</v>
      </c>
      <c r="Q3581" s="5">
        <v>399</v>
      </c>
      <c r="R3581" s="74">
        <v>0.3</v>
      </c>
      <c r="S3581" s="75">
        <f>OrdersTable[[#This Row],[Quantity]]*OrdersTable[[#This Row],[Unit Price]]</f>
        <v>1995</v>
      </c>
      <c r="T3581" s="5">
        <f>OrdersTable[[#This Row],[Gross Sale]]*OrdersTable[[#This Row],[Discount_Clean2]]</f>
        <v>598.5</v>
      </c>
      <c r="U3581" s="5">
        <f>OrdersTable[[#This Row],[Gross Sale]]-OrdersTable[[#This Row],[Discount Amount]]</f>
        <v>1396.5</v>
      </c>
      <c r="V3581" s="77">
        <f>INDEX(Products!E:E,MATCH(OrdersTable[[#This Row],[Product ID]],Products!A:A,0))</f>
        <v>128</v>
      </c>
      <c r="W3581" s="77">
        <f>OrdersTable[[#This Row],[Quantity]]*OrdersTable[[#This Row],[Unit Cost]]</f>
        <v>640</v>
      </c>
      <c r="X3581" s="77">
        <f>'Dropdown Lists'!$I$2*(1+OrdersTable[[#This Row],[Returned]])</f>
        <v>60</v>
      </c>
      <c r="Y3581" s="76">
        <f>OrdersTable[[#This Row],[Net Revenue]]-OrdersTable[[#This Row],[COGS]]-OrdersTable[[#This Row],[Shipping Cost]]</f>
        <v>696.5</v>
      </c>
      <c r="Z3581" s="78">
        <f>IFERROR(OrdersTable[[#This Row],[Profit]]/OrdersTable[[#This Row],[Net Revenue]],0)</f>
        <v>0.49874686716791977</v>
      </c>
      <c r="AA3581" t="s">
        <v>18</v>
      </c>
      <c r="AB3581" s="79">
        <v>45880</v>
      </c>
      <c r="AC3581">
        <f>OrdersTable[[#This Row],[Delivery Date]]-OrdersTable[[#This Row],[Order Date]]</f>
        <v>5</v>
      </c>
      <c r="AD3581" t="str">
        <f>IF(OrdersTable[[#This Row],[Delivery Days]]&lt;=2, "Express (≤2d)", IF(OrdersTable[[#This Row],[Delivery Days]]&lt;=4, "Standard (3-4d)", "Delayed (5d+)"))</f>
        <v>Delayed (5d+)</v>
      </c>
      <c r="AF3581">
        <v>0</v>
      </c>
    </row>
    <row r="3582" spans="1:32" ht="15" x14ac:dyDescent="0.35">
      <c r="A3582" t="s">
        <v>3919</v>
      </c>
      <c r="B3582" s="1">
        <v>45875</v>
      </c>
      <c r="C3582">
        <f>YEAR(OrdersTable[[#This Row],[Order Date]])</f>
        <v>2025</v>
      </c>
      <c r="D3582" s="2">
        <f>DATE(YEAR(OrdersTable[[#This Row],[Order Date]]),MONTH(OrdersTable[[#This Row],[Order Date]]),1)</f>
        <v>45870</v>
      </c>
      <c r="E3582">
        <f>MONTH(OrdersTable[[#This Row],[Order Date]])</f>
        <v>8</v>
      </c>
      <c r="F3582" t="s">
        <v>2077</v>
      </c>
      <c r="G3582" t="str">
        <f>IF(OrdersTable[[#This Row],[Order Date]]=_xlfn.MINIFS(Order_Date, Customer_ID, OrdersTable[[#This Row],[Customer ID]]), "New", "Repeat")</f>
        <v>Repeat</v>
      </c>
      <c r="H3582" t="s">
        <v>316</v>
      </c>
      <c r="I3582" t="str">
        <f>INDEX(State!B:B,MATCH(OrdersTable[[#This Row],[State]],State!A:A,0))</f>
        <v>KL</v>
      </c>
      <c r="J3582" t="str">
        <f>INDEX(State!C:C,MATCH(OrdersTable[[#This Row],[State Code]],State!B:B,0))</f>
        <v>South</v>
      </c>
      <c r="K3582" t="s">
        <v>317</v>
      </c>
      <c r="L3582" t="s">
        <v>65</v>
      </c>
      <c r="M3582" t="s">
        <v>87</v>
      </c>
      <c r="N3582" t="str">
        <f>INDEX(Products!B:B,MATCH(OrdersTable[[#This Row],[Product ID]],Products!A:A,0))</f>
        <v>Linen Kurta</v>
      </c>
      <c r="O3582" t="str">
        <f>INDEX(Products!C:C,MATCH(OrdersTable[[#This Row],[Product ID]],Products!A:A,0))</f>
        <v>Apparel</v>
      </c>
      <c r="P3582">
        <v>1</v>
      </c>
      <c r="Q3582" s="5">
        <v>1499</v>
      </c>
      <c r="R3582" s="74">
        <v>0.35</v>
      </c>
      <c r="S3582" s="75">
        <f>OrdersTable[[#This Row],[Quantity]]*OrdersTable[[#This Row],[Unit Price]]</f>
        <v>1499</v>
      </c>
      <c r="T3582" s="5">
        <f>OrdersTable[[#This Row],[Gross Sale]]*OrdersTable[[#This Row],[Discount_Clean2]]</f>
        <v>524.65</v>
      </c>
      <c r="U3582" s="5">
        <f>OrdersTable[[#This Row],[Gross Sale]]-OrdersTable[[#This Row],[Discount Amount]]</f>
        <v>974.35</v>
      </c>
      <c r="V3582" s="77">
        <f>INDEX(Products!E:E,MATCH(OrdersTable[[#This Row],[Product ID]],Products!A:A,0))</f>
        <v>630</v>
      </c>
      <c r="W3582" s="77">
        <f>OrdersTable[[#This Row],[Quantity]]*OrdersTable[[#This Row],[Unit Cost]]</f>
        <v>630</v>
      </c>
      <c r="X3582" s="77">
        <f>'Dropdown Lists'!$I$2*(1+OrdersTable[[#This Row],[Returned]])</f>
        <v>120</v>
      </c>
      <c r="Y3582" s="76">
        <f>OrdersTable[[#This Row],[Net Revenue]]-OrdersTable[[#This Row],[COGS]]-OrdersTable[[#This Row],[Shipping Cost]]</f>
        <v>224.35000000000002</v>
      </c>
      <c r="Z3582" s="78">
        <f>IFERROR(OrdersTable[[#This Row],[Profit]]/OrdersTable[[#This Row],[Net Revenue]],0)</f>
        <v>0.23025606814799612</v>
      </c>
      <c r="AA3582" t="s">
        <v>3495</v>
      </c>
      <c r="AB3582" s="79">
        <v>45881</v>
      </c>
      <c r="AC3582">
        <f>OrdersTable[[#This Row],[Delivery Date]]-OrdersTable[[#This Row],[Order Date]]</f>
        <v>6</v>
      </c>
      <c r="AD3582" t="str">
        <f>IF(OrdersTable[[#This Row],[Delivery Days]]&lt;=2, "Express (≤2d)", IF(OrdersTable[[#This Row],[Delivery Days]]&lt;=4, "Standard (3-4d)", "Delayed (5d+)"))</f>
        <v>Delayed (5d+)</v>
      </c>
      <c r="AE3582">
        <v>3</v>
      </c>
      <c r="AF3582">
        <v>1</v>
      </c>
    </row>
    <row r="3583" spans="1:32" ht="15" x14ac:dyDescent="0.35">
      <c r="A3583" t="s">
        <v>5215</v>
      </c>
      <c r="B3583" s="1">
        <v>45876</v>
      </c>
      <c r="C3583">
        <f>YEAR(OrdersTable[[#This Row],[Order Date]])</f>
        <v>2025</v>
      </c>
      <c r="D3583" s="2">
        <f>DATE(YEAR(OrdersTable[[#This Row],[Order Date]]),MONTH(OrdersTable[[#This Row],[Order Date]]),1)</f>
        <v>45870</v>
      </c>
      <c r="E3583">
        <f>MONTH(OrdersTable[[#This Row],[Order Date]])</f>
        <v>8</v>
      </c>
      <c r="F3583" t="s">
        <v>3080</v>
      </c>
      <c r="G3583" t="str">
        <f>IF(OrdersTable[[#This Row],[Order Date]]=_xlfn.MINIFS(Order_Date, Customer_ID, OrdersTable[[#This Row],[Customer ID]]), "New", "Repeat")</f>
        <v>Repeat</v>
      </c>
      <c r="H3583" t="s">
        <v>76</v>
      </c>
      <c r="I3583" t="str">
        <f>INDEX(State!B:B,MATCH(OrdersTable[[#This Row],[State]],State!A:A,0))</f>
        <v>UP</v>
      </c>
      <c r="J3583" t="str">
        <f>INDEX(State!C:C,MATCH(OrdersTable[[#This Row],[State Code]],State!B:B,0))</f>
        <v>North</v>
      </c>
      <c r="K3583" t="s">
        <v>77</v>
      </c>
      <c r="L3583" t="s">
        <v>65</v>
      </c>
      <c r="M3583" t="s">
        <v>51</v>
      </c>
      <c r="N3583" t="str">
        <f>INDEX(Products!B:B,MATCH(OrdersTable[[#This Row],[Product ID]],Products!A:A,0))</f>
        <v>Anti-Dandruff Conditioner</v>
      </c>
      <c r="O3583" t="str">
        <f>INDEX(Products!C:C,MATCH(OrdersTable[[#This Row],[Product ID]],Products!A:A,0))</f>
        <v>Haircare</v>
      </c>
      <c r="P3583">
        <v>2</v>
      </c>
      <c r="Q3583" s="5">
        <v>399</v>
      </c>
      <c r="R3583" s="74">
        <v>0.35</v>
      </c>
      <c r="S3583" s="75">
        <f>OrdersTable[[#This Row],[Quantity]]*OrdersTable[[#This Row],[Unit Price]]</f>
        <v>798</v>
      </c>
      <c r="T3583" s="5">
        <f>OrdersTable[[#This Row],[Gross Sale]]*OrdersTable[[#This Row],[Discount_Clean2]]</f>
        <v>279.29999999999995</v>
      </c>
      <c r="U3583" s="5">
        <f>OrdersTable[[#This Row],[Gross Sale]]-OrdersTable[[#This Row],[Discount Amount]]</f>
        <v>518.70000000000005</v>
      </c>
      <c r="V3583" s="77">
        <f>INDEX(Products!E:E,MATCH(OrdersTable[[#This Row],[Product ID]],Products!A:A,0))</f>
        <v>136</v>
      </c>
      <c r="W3583" s="77">
        <f>OrdersTable[[#This Row],[Quantity]]*OrdersTable[[#This Row],[Unit Cost]]</f>
        <v>272</v>
      </c>
      <c r="X3583" s="77">
        <f>'Dropdown Lists'!$I$2*(1+OrdersTable[[#This Row],[Returned]])</f>
        <v>60</v>
      </c>
      <c r="Y3583" s="76">
        <f>OrdersTable[[#This Row],[Net Revenue]]-OrdersTable[[#This Row],[COGS]]-OrdersTable[[#This Row],[Shipping Cost]]</f>
        <v>186.70000000000005</v>
      </c>
      <c r="Z3583" s="78">
        <f>IFERROR(OrdersTable[[#This Row],[Profit]]/OrdersTable[[#This Row],[Net Revenue]],0)</f>
        <v>0.35993830730672843</v>
      </c>
      <c r="AA3583" t="s">
        <v>3495</v>
      </c>
      <c r="AB3583" s="79">
        <v>45878</v>
      </c>
      <c r="AC3583">
        <f>OrdersTable[[#This Row],[Delivery Date]]-OrdersTable[[#This Row],[Order Date]]</f>
        <v>2</v>
      </c>
      <c r="AD3583" t="str">
        <f>IF(OrdersTable[[#This Row],[Delivery Days]]&lt;=2, "Express (≤2d)", IF(OrdersTable[[#This Row],[Delivery Days]]&lt;=4, "Standard (3-4d)", "Delayed (5d+)"))</f>
        <v>Express (≤2d)</v>
      </c>
      <c r="AE3583">
        <v>4</v>
      </c>
      <c r="AF3583">
        <v>0</v>
      </c>
    </row>
    <row r="3584" spans="1:32" ht="15" x14ac:dyDescent="0.35">
      <c r="A3584" t="s">
        <v>3655</v>
      </c>
      <c r="B3584" s="1">
        <v>45876</v>
      </c>
      <c r="C3584">
        <f>YEAR(OrdersTable[[#This Row],[Order Date]])</f>
        <v>2025</v>
      </c>
      <c r="D3584" s="2">
        <f>DATE(YEAR(OrdersTable[[#This Row],[Order Date]]),MONTH(OrdersTable[[#This Row],[Order Date]]),1)</f>
        <v>45870</v>
      </c>
      <c r="E3584">
        <f>MONTH(OrdersTable[[#This Row],[Order Date]])</f>
        <v>8</v>
      </c>
      <c r="F3584" t="s">
        <v>1832</v>
      </c>
      <c r="G3584" t="str">
        <f>IF(OrdersTable[[#This Row],[Order Date]]=_xlfn.MINIFS(Order_Date, Customer_ID, OrdersTable[[#This Row],[Customer ID]]), "New", "Repeat")</f>
        <v>Repeat</v>
      </c>
      <c r="H3584" t="s">
        <v>32</v>
      </c>
      <c r="I3584" t="str">
        <f>INDEX(State!B:B,MATCH(OrdersTable[[#This Row],[State]],State!A:A,0))</f>
        <v>BR</v>
      </c>
      <c r="J3584" t="str">
        <f>INDEX(State!C:C,MATCH(OrdersTable[[#This Row],[State Code]],State!B:B,0))</f>
        <v>East</v>
      </c>
      <c r="K3584" t="s">
        <v>33</v>
      </c>
      <c r="L3584" t="s">
        <v>65</v>
      </c>
      <c r="M3584" t="s">
        <v>125</v>
      </c>
      <c r="N3584" t="str">
        <f>INDEX(Products!B:B,MATCH(OrdersTable[[#This Row],[Product ID]],Products!A:A,0))</f>
        <v>Copper Water Bottle</v>
      </c>
      <c r="O3584" t="str">
        <f>INDEX(Products!C:C,MATCH(OrdersTable[[#This Row],[Product ID]],Products!A:A,0))</f>
        <v>Home &amp; Kitchen</v>
      </c>
      <c r="P3584">
        <v>1</v>
      </c>
      <c r="Q3584" s="5">
        <v>899</v>
      </c>
      <c r="R3584" s="74">
        <v>0.15</v>
      </c>
      <c r="S3584" s="75">
        <f>OrdersTable[[#This Row],[Quantity]]*OrdersTable[[#This Row],[Unit Price]]</f>
        <v>899</v>
      </c>
      <c r="T3584" s="5">
        <f>OrdersTable[[#This Row],[Gross Sale]]*OrdersTable[[#This Row],[Discount_Clean2]]</f>
        <v>134.85</v>
      </c>
      <c r="U3584" s="5">
        <f>OrdersTable[[#This Row],[Gross Sale]]-OrdersTable[[#This Row],[Discount Amount]]</f>
        <v>764.15</v>
      </c>
      <c r="V3584" s="77">
        <f>INDEX(Products!E:E,MATCH(OrdersTable[[#This Row],[Product ID]],Products!A:A,0))</f>
        <v>378</v>
      </c>
      <c r="W3584" s="77">
        <f>OrdersTable[[#This Row],[Quantity]]*OrdersTable[[#This Row],[Unit Cost]]</f>
        <v>378</v>
      </c>
      <c r="X3584" s="77">
        <f>'Dropdown Lists'!$I$2*(1+OrdersTable[[#This Row],[Returned]])</f>
        <v>60</v>
      </c>
      <c r="Y3584" s="76">
        <f>OrdersTable[[#This Row],[Net Revenue]]-OrdersTable[[#This Row],[COGS]]-OrdersTable[[#This Row],[Shipping Cost]]</f>
        <v>326.14999999999998</v>
      </c>
      <c r="Z3584" s="78">
        <f>IFERROR(OrdersTable[[#This Row],[Profit]]/OrdersTable[[#This Row],[Net Revenue]],0)</f>
        <v>0.42681410717791007</v>
      </c>
      <c r="AA3584" t="s">
        <v>3495</v>
      </c>
      <c r="AB3584" s="79">
        <v>45880</v>
      </c>
      <c r="AC3584">
        <f>OrdersTable[[#This Row],[Delivery Date]]-OrdersTable[[#This Row],[Order Date]]</f>
        <v>4</v>
      </c>
      <c r="AD3584" t="str">
        <f>IF(OrdersTable[[#This Row],[Delivery Days]]&lt;=2, "Express (≤2d)", IF(OrdersTable[[#This Row],[Delivery Days]]&lt;=4, "Standard (3-4d)", "Delayed (5d+)"))</f>
        <v>Standard (3-4d)</v>
      </c>
      <c r="AE3584">
        <v>4</v>
      </c>
      <c r="AF3584">
        <v>0</v>
      </c>
    </row>
    <row r="3585" spans="1:32" ht="15" x14ac:dyDescent="0.35">
      <c r="A3585" t="s">
        <v>5216</v>
      </c>
      <c r="B3585" s="1">
        <v>45876</v>
      </c>
      <c r="C3585">
        <f>YEAR(OrdersTable[[#This Row],[Order Date]])</f>
        <v>2025</v>
      </c>
      <c r="D3585" s="2">
        <f>DATE(YEAR(OrdersTable[[#This Row],[Order Date]]),MONTH(OrdersTable[[#This Row],[Order Date]]),1)</f>
        <v>45870</v>
      </c>
      <c r="E3585">
        <f>MONTH(OrdersTable[[#This Row],[Order Date]])</f>
        <v>8</v>
      </c>
      <c r="F3585" t="s">
        <v>5217</v>
      </c>
      <c r="G3585" t="str">
        <f>IF(OrdersTable[[#This Row],[Order Date]]=_xlfn.MINIFS(Order_Date, Customer_ID, OrdersTable[[#This Row],[Customer ID]]), "New", "Repeat")</f>
        <v>New</v>
      </c>
      <c r="H3585" t="s">
        <v>27</v>
      </c>
      <c r="I3585" t="str">
        <f>INDEX(State!B:B,MATCH(OrdersTable[[#This Row],[State]],State!A:A,0))</f>
        <v>WB</v>
      </c>
      <c r="J3585" t="str">
        <f>INDEX(State!C:C,MATCH(OrdersTable[[#This Row],[State Code]],State!B:B,0))</f>
        <v>East</v>
      </c>
      <c r="K3585" t="s">
        <v>28</v>
      </c>
      <c r="L3585" t="s">
        <v>16</v>
      </c>
      <c r="M3585" t="s">
        <v>34</v>
      </c>
      <c r="N3585" t="str">
        <f>INDEX(Products!B:B,MATCH(OrdersTable[[#This Row],[Product ID]],Products!A:A,0))</f>
        <v>Flip Flops</v>
      </c>
      <c r="O3585" t="str">
        <f>INDEX(Products!C:C,MATCH(OrdersTable[[#This Row],[Product ID]],Products!A:A,0))</f>
        <v>Footwear</v>
      </c>
      <c r="P3585">
        <v>2</v>
      </c>
      <c r="Q3585" s="5">
        <v>399</v>
      </c>
      <c r="R3585" s="74">
        <v>0.1</v>
      </c>
      <c r="S3585" s="75">
        <f>OrdersTable[[#This Row],[Quantity]]*OrdersTable[[#This Row],[Unit Price]]</f>
        <v>798</v>
      </c>
      <c r="T3585" s="5">
        <f>OrdersTable[[#This Row],[Gross Sale]]*OrdersTable[[#This Row],[Discount_Clean2]]</f>
        <v>79.800000000000011</v>
      </c>
      <c r="U3585" s="5">
        <f>OrdersTable[[#This Row],[Gross Sale]]-OrdersTable[[#This Row],[Discount Amount]]</f>
        <v>718.2</v>
      </c>
      <c r="V3585" s="77">
        <f>INDEX(Products!E:E,MATCH(OrdersTable[[#This Row],[Product ID]],Products!A:A,0))</f>
        <v>152</v>
      </c>
      <c r="W3585" s="77">
        <f>OrdersTable[[#This Row],[Quantity]]*OrdersTable[[#This Row],[Unit Cost]]</f>
        <v>304</v>
      </c>
      <c r="X3585" s="77">
        <f>'Dropdown Lists'!$I$2*(1+OrdersTable[[#This Row],[Returned]])</f>
        <v>60</v>
      </c>
      <c r="Y3585" s="76">
        <f>OrdersTable[[#This Row],[Net Revenue]]-OrdersTable[[#This Row],[COGS]]-OrdersTable[[#This Row],[Shipping Cost]]</f>
        <v>354.20000000000005</v>
      </c>
      <c r="Z3585" s="78">
        <f>IFERROR(OrdersTable[[#This Row],[Profit]]/OrdersTable[[#This Row],[Net Revenue]],0)</f>
        <v>0.49317738791423005</v>
      </c>
      <c r="AA3585" t="s">
        <v>3495</v>
      </c>
      <c r="AB3585" s="79">
        <v>45879</v>
      </c>
      <c r="AC3585">
        <f>OrdersTable[[#This Row],[Delivery Date]]-OrdersTable[[#This Row],[Order Date]]</f>
        <v>3</v>
      </c>
      <c r="AD3585" t="str">
        <f>IF(OrdersTable[[#This Row],[Delivery Days]]&lt;=2, "Express (≤2d)", IF(OrdersTable[[#This Row],[Delivery Days]]&lt;=4, "Standard (3-4d)", "Delayed (5d+)"))</f>
        <v>Standard (3-4d)</v>
      </c>
      <c r="AE3585">
        <v>5</v>
      </c>
      <c r="AF3585">
        <v>0</v>
      </c>
    </row>
    <row r="3586" spans="1:32" ht="15" x14ac:dyDescent="0.35">
      <c r="A3586" t="s">
        <v>4067</v>
      </c>
      <c r="B3586" s="1">
        <v>45876</v>
      </c>
      <c r="C3586">
        <f>YEAR(OrdersTable[[#This Row],[Order Date]])</f>
        <v>2025</v>
      </c>
      <c r="D3586" s="2">
        <f>DATE(YEAR(OrdersTable[[#This Row],[Order Date]]),MONTH(OrdersTable[[#This Row],[Order Date]]),1)</f>
        <v>45870</v>
      </c>
      <c r="E3586">
        <f>MONTH(OrdersTable[[#This Row],[Order Date]])</f>
        <v>8</v>
      </c>
      <c r="F3586" t="s">
        <v>4068</v>
      </c>
      <c r="G3586" t="str">
        <f>IF(OrdersTable[[#This Row],[Order Date]]=_xlfn.MINIFS(Order_Date, Customer_ID, OrdersTable[[#This Row],[Customer ID]]), "New", "Repeat")</f>
        <v>New</v>
      </c>
      <c r="H3586" t="s">
        <v>275</v>
      </c>
      <c r="I3586" t="str">
        <f>INDEX(State!B:B,MATCH(OrdersTable[[#This Row],[State]],State!A:A,0))</f>
        <v>AP</v>
      </c>
      <c r="J3586" t="str">
        <f>INDEX(State!C:C,MATCH(OrdersTable[[#This Row],[State Code]],State!B:B,0))</f>
        <v>South</v>
      </c>
      <c r="K3586" t="s">
        <v>491</v>
      </c>
      <c r="L3586" t="s">
        <v>39</v>
      </c>
      <c r="M3586" t="s">
        <v>148</v>
      </c>
      <c r="N3586" t="str">
        <f>INDEX(Products!B:B,MATCH(OrdersTable[[#This Row],[Product ID]],Products!A:A,0))</f>
        <v>Smartwatch Strap</v>
      </c>
      <c r="O3586" t="str">
        <f>INDEX(Products!C:C,MATCH(OrdersTable[[#This Row],[Product ID]],Products!A:A,0))</f>
        <v>Electronics</v>
      </c>
      <c r="P3586">
        <v>1</v>
      </c>
      <c r="Q3586" s="5">
        <v>499</v>
      </c>
      <c r="R3586" s="74">
        <v>0.1</v>
      </c>
      <c r="S3586" s="75">
        <f>OrdersTable[[#This Row],[Quantity]]*OrdersTable[[#This Row],[Unit Price]]</f>
        <v>499</v>
      </c>
      <c r="T3586" s="5">
        <f>OrdersTable[[#This Row],[Gross Sale]]*OrdersTable[[#This Row],[Discount_Clean2]]</f>
        <v>49.900000000000006</v>
      </c>
      <c r="U3586" s="5">
        <f>OrdersTable[[#This Row],[Gross Sale]]-OrdersTable[[#This Row],[Discount Amount]]</f>
        <v>449.1</v>
      </c>
      <c r="V3586" s="77">
        <f>INDEX(Products!E:E,MATCH(OrdersTable[[#This Row],[Product ID]],Products!A:A,0))</f>
        <v>200</v>
      </c>
      <c r="W3586" s="77">
        <f>OrdersTable[[#This Row],[Quantity]]*OrdersTable[[#This Row],[Unit Cost]]</f>
        <v>200</v>
      </c>
      <c r="X3586" s="77">
        <f>'Dropdown Lists'!$I$2*(1+OrdersTable[[#This Row],[Returned]])</f>
        <v>60</v>
      </c>
      <c r="Y3586" s="76">
        <f>OrdersTable[[#This Row],[Net Revenue]]-OrdersTable[[#This Row],[COGS]]-OrdersTable[[#This Row],[Shipping Cost]]</f>
        <v>189.10000000000002</v>
      </c>
      <c r="Z3586" s="78">
        <f>IFERROR(OrdersTable[[#This Row],[Profit]]/OrdersTable[[#This Row],[Net Revenue]],0)</f>
        <v>0.42106435092407041</v>
      </c>
      <c r="AA3586" t="s">
        <v>3495</v>
      </c>
      <c r="AB3586" s="79">
        <v>45881</v>
      </c>
      <c r="AC3586">
        <f>OrdersTable[[#This Row],[Delivery Date]]-OrdersTable[[#This Row],[Order Date]]</f>
        <v>5</v>
      </c>
      <c r="AD3586" t="str">
        <f>IF(OrdersTable[[#This Row],[Delivery Days]]&lt;=2, "Express (≤2d)", IF(OrdersTable[[#This Row],[Delivery Days]]&lt;=4, "Standard (3-4d)", "Delayed (5d+)"))</f>
        <v>Delayed (5d+)</v>
      </c>
      <c r="AE3586">
        <v>2</v>
      </c>
      <c r="AF3586">
        <v>0</v>
      </c>
    </row>
    <row r="3587" spans="1:32" ht="15" x14ac:dyDescent="0.35">
      <c r="A3587" t="s">
        <v>3656</v>
      </c>
      <c r="B3587" s="1">
        <v>45876</v>
      </c>
      <c r="C3587">
        <f>YEAR(OrdersTable[[#This Row],[Order Date]])</f>
        <v>2025</v>
      </c>
      <c r="D3587" s="2">
        <f>DATE(YEAR(OrdersTable[[#This Row],[Order Date]]),MONTH(OrdersTable[[#This Row],[Order Date]]),1)</f>
        <v>45870</v>
      </c>
      <c r="E3587">
        <f>MONTH(OrdersTable[[#This Row],[Order Date]])</f>
        <v>8</v>
      </c>
      <c r="F3587" t="s">
        <v>2152</v>
      </c>
      <c r="G3587" t="str">
        <f>IF(OrdersTable[[#This Row],[Order Date]]=_xlfn.MINIFS(Order_Date, Customer_ID, OrdersTable[[#This Row],[Customer ID]]), "New", "Repeat")</f>
        <v>Repeat</v>
      </c>
      <c r="H3587" t="s">
        <v>59</v>
      </c>
      <c r="I3587" t="str">
        <f>INDEX(State!B:B,MATCH(OrdersTable[[#This Row],[State]],State!A:A,0))</f>
        <v>TN</v>
      </c>
      <c r="J3587" t="str">
        <f>INDEX(State!C:C,MATCH(OrdersTable[[#This Row],[State Code]],State!B:B,0))</f>
        <v>South</v>
      </c>
      <c r="K3587" t="s">
        <v>64</v>
      </c>
      <c r="L3587" t="s">
        <v>16</v>
      </c>
      <c r="M3587" t="s">
        <v>255</v>
      </c>
      <c r="N3587" t="str">
        <f>INDEX(Products!B:B,MATCH(OrdersTable[[#This Row],[Product ID]],Products!A:A,0))</f>
        <v>Cotton Oversized T-Shirt</v>
      </c>
      <c r="O3587" t="str">
        <f>INDEX(Products!C:C,MATCH(OrdersTable[[#This Row],[Product ID]],Products!A:A,0))</f>
        <v>Apparel</v>
      </c>
      <c r="P3587">
        <v>1</v>
      </c>
      <c r="Q3587" s="5">
        <v>799</v>
      </c>
      <c r="R3587" s="74">
        <v>0</v>
      </c>
      <c r="S3587" s="75">
        <f>OrdersTable[[#This Row],[Quantity]]*OrdersTable[[#This Row],[Unit Price]]</f>
        <v>799</v>
      </c>
      <c r="T3587" s="5">
        <f>OrdersTable[[#This Row],[Gross Sale]]*OrdersTable[[#This Row],[Discount_Clean2]]</f>
        <v>0</v>
      </c>
      <c r="U3587" s="5">
        <f>OrdersTable[[#This Row],[Gross Sale]]-OrdersTable[[#This Row],[Discount Amount]]</f>
        <v>799</v>
      </c>
      <c r="V3587" s="77">
        <f>INDEX(Products!E:E,MATCH(OrdersTable[[#This Row],[Product ID]],Products!A:A,0))</f>
        <v>320</v>
      </c>
      <c r="W3587" s="77">
        <f>OrdersTable[[#This Row],[Quantity]]*OrdersTable[[#This Row],[Unit Cost]]</f>
        <v>320</v>
      </c>
      <c r="X3587" s="77">
        <f>'Dropdown Lists'!$I$2*(1+OrdersTable[[#This Row],[Returned]])</f>
        <v>60</v>
      </c>
      <c r="Y3587" s="76">
        <f>OrdersTable[[#This Row],[Net Revenue]]-OrdersTable[[#This Row],[COGS]]-OrdersTable[[#This Row],[Shipping Cost]]</f>
        <v>419</v>
      </c>
      <c r="Z3587" s="78">
        <f>IFERROR(OrdersTable[[#This Row],[Profit]]/OrdersTable[[#This Row],[Net Revenue]],0)</f>
        <v>0.52440550688360454</v>
      </c>
      <c r="AA3587" t="s">
        <v>3495</v>
      </c>
      <c r="AB3587" s="79">
        <v>45879</v>
      </c>
      <c r="AC3587">
        <f>OrdersTable[[#This Row],[Delivery Date]]-OrdersTable[[#This Row],[Order Date]]</f>
        <v>3</v>
      </c>
      <c r="AD3587" t="str">
        <f>IF(OrdersTable[[#This Row],[Delivery Days]]&lt;=2, "Express (≤2d)", IF(OrdersTable[[#This Row],[Delivery Days]]&lt;=4, "Standard (3-4d)", "Delayed (5d+)"))</f>
        <v>Standard (3-4d)</v>
      </c>
      <c r="AE3587">
        <v>4</v>
      </c>
      <c r="AF3587">
        <v>0</v>
      </c>
    </row>
    <row r="3588" spans="1:32" ht="15" x14ac:dyDescent="0.35">
      <c r="A3588" t="s">
        <v>1771</v>
      </c>
      <c r="B3588" s="1">
        <v>45877</v>
      </c>
      <c r="C3588">
        <f>YEAR(OrdersTable[[#This Row],[Order Date]])</f>
        <v>2025</v>
      </c>
      <c r="D3588" s="2">
        <f>DATE(YEAR(OrdersTable[[#This Row],[Order Date]]),MONTH(OrdersTable[[#This Row],[Order Date]]),1)</f>
        <v>45870</v>
      </c>
      <c r="E3588">
        <f>MONTH(OrdersTable[[#This Row],[Order Date]])</f>
        <v>8</v>
      </c>
      <c r="F3588" t="s">
        <v>1772</v>
      </c>
      <c r="G3588" t="str">
        <f>IF(OrdersTable[[#This Row],[Order Date]]=_xlfn.MINIFS(Order_Date, Customer_ID, OrdersTable[[#This Row],[Customer ID]]), "New", "Repeat")</f>
        <v>Repeat</v>
      </c>
      <c r="H3588" t="s">
        <v>54</v>
      </c>
      <c r="I3588" t="str">
        <f>INDEX(State!B:B,MATCH(OrdersTable[[#This Row],[State]],State!A:A,0))</f>
        <v>RJ</v>
      </c>
      <c r="J3588" t="str">
        <f>INDEX(State!C:C,MATCH(OrdersTable[[#This Row],[State Code]],State!B:B,0))</f>
        <v>North</v>
      </c>
      <c r="K3588" t="s">
        <v>55</v>
      </c>
      <c r="L3588" t="s">
        <v>65</v>
      </c>
      <c r="M3588" t="s">
        <v>109</v>
      </c>
      <c r="N3588" t="str">
        <f>INDEX(Products!B:B,MATCH(OrdersTable[[#This Row],[Product ID]],Products!A:A,0))</f>
        <v>Onion Hair Oil</v>
      </c>
      <c r="O3588" t="str">
        <f>INDEX(Products!C:C,MATCH(OrdersTable[[#This Row],[Product ID]],Products!A:A,0))</f>
        <v>Haircare</v>
      </c>
      <c r="P3588">
        <v>1</v>
      </c>
      <c r="Q3588" s="5">
        <v>349</v>
      </c>
      <c r="R3588" s="74">
        <v>0.25</v>
      </c>
      <c r="S3588" s="75">
        <f>OrdersTable[[#This Row],[Quantity]]*OrdersTable[[#This Row],[Unit Price]]</f>
        <v>349</v>
      </c>
      <c r="T3588" s="5">
        <f>OrdersTable[[#This Row],[Gross Sale]]*OrdersTable[[#This Row],[Discount_Clean2]]</f>
        <v>87.25</v>
      </c>
      <c r="U3588" s="5">
        <f>OrdersTable[[#This Row],[Gross Sale]]-OrdersTable[[#This Row],[Discount Amount]]</f>
        <v>261.75</v>
      </c>
      <c r="V3588" s="77">
        <f>INDEX(Products!E:E,MATCH(OrdersTable[[#This Row],[Product ID]],Products!A:A,0))</f>
        <v>105</v>
      </c>
      <c r="W3588" s="77">
        <f>OrdersTable[[#This Row],[Quantity]]*OrdersTable[[#This Row],[Unit Cost]]</f>
        <v>105</v>
      </c>
      <c r="X3588" s="77">
        <f>'Dropdown Lists'!$I$2*(1+OrdersTable[[#This Row],[Returned]])</f>
        <v>120</v>
      </c>
      <c r="Y3588" s="76">
        <f>OrdersTable[[#This Row],[Net Revenue]]-OrdersTable[[#This Row],[COGS]]-OrdersTable[[#This Row],[Shipping Cost]]</f>
        <v>36.75</v>
      </c>
      <c r="Z3588" s="78">
        <f>IFERROR(OrdersTable[[#This Row],[Profit]]/OrdersTable[[#This Row],[Net Revenue]],0)</f>
        <v>0.14040114613180515</v>
      </c>
      <c r="AA3588" t="s">
        <v>18</v>
      </c>
      <c r="AB3588" s="79">
        <v>45882</v>
      </c>
      <c r="AC3588">
        <f>OrdersTable[[#This Row],[Delivery Date]]-OrdersTable[[#This Row],[Order Date]]</f>
        <v>5</v>
      </c>
      <c r="AD3588" t="str">
        <f>IF(OrdersTable[[#This Row],[Delivery Days]]&lt;=2, "Express (≤2d)", IF(OrdersTable[[#This Row],[Delivery Days]]&lt;=4, "Standard (3-4d)", "Delayed (5d+)"))</f>
        <v>Delayed (5d+)</v>
      </c>
      <c r="AF3588">
        <v>1</v>
      </c>
    </row>
    <row r="3589" spans="1:32" ht="15" x14ac:dyDescent="0.35">
      <c r="A3589" t="s">
        <v>3085</v>
      </c>
      <c r="B3589" s="1">
        <v>45877</v>
      </c>
      <c r="C3589">
        <f>YEAR(OrdersTable[[#This Row],[Order Date]])</f>
        <v>2025</v>
      </c>
      <c r="D3589" s="2">
        <f>DATE(YEAR(OrdersTable[[#This Row],[Order Date]]),MONTH(OrdersTable[[#This Row],[Order Date]]),1)</f>
        <v>45870</v>
      </c>
      <c r="E3589">
        <f>MONTH(OrdersTable[[#This Row],[Order Date]])</f>
        <v>8</v>
      </c>
      <c r="F3589" t="s">
        <v>3086</v>
      </c>
      <c r="G3589" t="str">
        <f>IF(OrdersTable[[#This Row],[Order Date]]=_xlfn.MINIFS(Order_Date, Customer_ID, OrdersTable[[#This Row],[Customer ID]]), "New", "Repeat")</f>
        <v>Repeat</v>
      </c>
      <c r="H3589" t="s">
        <v>48</v>
      </c>
      <c r="I3589" t="str">
        <f>INDEX(State!B:B,MATCH(OrdersTable[[#This Row],[State]],State!A:A,0))</f>
        <v>HR</v>
      </c>
      <c r="J3589" t="str">
        <f>INDEX(State!C:C,MATCH(OrdersTable[[#This Row],[State Code]],State!B:B,0))</f>
        <v>North</v>
      </c>
      <c r="K3589" t="s">
        <v>151</v>
      </c>
      <c r="L3589" t="s">
        <v>65</v>
      </c>
      <c r="M3589" t="s">
        <v>51</v>
      </c>
      <c r="N3589" t="str">
        <f>INDEX(Products!B:B,MATCH(OrdersTable[[#This Row],[Product ID]],Products!A:A,0))</f>
        <v>Anti-Dandruff Conditioner</v>
      </c>
      <c r="O3589" t="str">
        <f>INDEX(Products!C:C,MATCH(OrdersTable[[#This Row],[Product ID]],Products!A:A,0))</f>
        <v>Haircare</v>
      </c>
      <c r="P3589">
        <v>1</v>
      </c>
      <c r="Q3589" s="5">
        <v>399</v>
      </c>
      <c r="R3589" s="74">
        <v>0.45</v>
      </c>
      <c r="S3589" s="75">
        <f>OrdersTable[[#This Row],[Quantity]]*OrdersTable[[#This Row],[Unit Price]]</f>
        <v>399</v>
      </c>
      <c r="T3589" s="5">
        <f>OrdersTable[[#This Row],[Gross Sale]]*OrdersTable[[#This Row],[Discount_Clean2]]</f>
        <v>179.55</v>
      </c>
      <c r="U3589" s="5">
        <f>OrdersTable[[#This Row],[Gross Sale]]-OrdersTable[[#This Row],[Discount Amount]]</f>
        <v>219.45</v>
      </c>
      <c r="V3589" s="77">
        <f>INDEX(Products!E:E,MATCH(OrdersTable[[#This Row],[Product ID]],Products!A:A,0))</f>
        <v>136</v>
      </c>
      <c r="W3589" s="77">
        <f>OrdersTable[[#This Row],[Quantity]]*OrdersTable[[#This Row],[Unit Cost]]</f>
        <v>136</v>
      </c>
      <c r="X3589" s="77">
        <f>'Dropdown Lists'!$I$2*(1+OrdersTable[[#This Row],[Returned]])</f>
        <v>60</v>
      </c>
      <c r="Y3589" s="76">
        <f>OrdersTable[[#This Row],[Net Revenue]]-OrdersTable[[#This Row],[COGS]]-OrdersTable[[#This Row],[Shipping Cost]]</f>
        <v>23.449999999999989</v>
      </c>
      <c r="Z3589" s="78">
        <f>IFERROR(OrdersTable[[#This Row],[Profit]]/OrdersTable[[#This Row],[Net Revenue]],0)</f>
        <v>0.10685805422647524</v>
      </c>
      <c r="AA3589" t="s">
        <v>2522</v>
      </c>
      <c r="AB3589" s="79">
        <v>45878</v>
      </c>
      <c r="AC3589">
        <f>OrdersTable[[#This Row],[Delivery Date]]-OrdersTable[[#This Row],[Order Date]]</f>
        <v>1</v>
      </c>
      <c r="AD3589" t="str">
        <f>IF(OrdersTable[[#This Row],[Delivery Days]]&lt;=2, "Express (≤2d)", IF(OrdersTable[[#This Row],[Delivery Days]]&lt;=4, "Standard (3-4d)", "Delayed (5d+)"))</f>
        <v>Express (≤2d)</v>
      </c>
      <c r="AF3589">
        <v>0</v>
      </c>
    </row>
    <row r="3590" spans="1:32" ht="15" x14ac:dyDescent="0.35">
      <c r="A3590" t="s">
        <v>1004</v>
      </c>
      <c r="B3590" s="1">
        <v>45877</v>
      </c>
      <c r="C3590">
        <f>YEAR(OrdersTable[[#This Row],[Order Date]])</f>
        <v>2025</v>
      </c>
      <c r="D3590" s="2">
        <f>DATE(YEAR(OrdersTable[[#This Row],[Order Date]]),MONTH(OrdersTable[[#This Row],[Order Date]]),1)</f>
        <v>45870</v>
      </c>
      <c r="E3590">
        <f>MONTH(OrdersTable[[#This Row],[Order Date]])</f>
        <v>8</v>
      </c>
      <c r="F3590" t="s">
        <v>1005</v>
      </c>
      <c r="G3590" t="str">
        <f>IF(OrdersTable[[#This Row],[Order Date]]=_xlfn.MINIFS(Order_Date, Customer_ID, OrdersTable[[#This Row],[Customer ID]]), "New", "Repeat")</f>
        <v>Repeat</v>
      </c>
      <c r="H3590" t="s">
        <v>48</v>
      </c>
      <c r="I3590" t="str">
        <f>INDEX(State!B:B,MATCH(OrdersTable[[#This Row],[State]],State!A:A,0))</f>
        <v>HR</v>
      </c>
      <c r="J3590" t="str">
        <f>INDEX(State!C:C,MATCH(OrdersTable[[#This Row],[State Code]],State!B:B,0))</f>
        <v>North</v>
      </c>
      <c r="K3590" t="s">
        <v>151</v>
      </c>
      <c r="L3590" t="s">
        <v>23</v>
      </c>
      <c r="M3590" t="s">
        <v>73</v>
      </c>
      <c r="N3590" t="str">
        <f>INDEX(Products!B:B,MATCH(OrdersTable[[#This Row],[Product ID]],Products!A:A,0))</f>
        <v>Hydrating Face Wash</v>
      </c>
      <c r="O3590" t="str">
        <f>INDEX(Products!C:C,MATCH(OrdersTable[[#This Row],[Product ID]],Products!A:A,0))</f>
        <v>Skincare</v>
      </c>
      <c r="P3590">
        <v>1</v>
      </c>
      <c r="Q3590" s="5">
        <v>299</v>
      </c>
      <c r="R3590" s="74">
        <v>0.1</v>
      </c>
      <c r="S3590" s="75">
        <f>OrdersTable[[#This Row],[Quantity]]*OrdersTable[[#This Row],[Unit Price]]</f>
        <v>299</v>
      </c>
      <c r="T3590" s="5">
        <f>OrdersTable[[#This Row],[Gross Sale]]*OrdersTable[[#This Row],[Discount_Clean2]]</f>
        <v>29.900000000000002</v>
      </c>
      <c r="U3590" s="5">
        <f>OrdersTable[[#This Row],[Gross Sale]]-OrdersTable[[#This Row],[Discount Amount]]</f>
        <v>269.10000000000002</v>
      </c>
      <c r="V3590" s="77">
        <f>INDEX(Products!E:E,MATCH(OrdersTable[[#This Row],[Product ID]],Products!A:A,0))</f>
        <v>90</v>
      </c>
      <c r="W3590" s="77">
        <f>OrdersTable[[#This Row],[Quantity]]*OrdersTable[[#This Row],[Unit Cost]]</f>
        <v>90</v>
      </c>
      <c r="X3590" s="77">
        <f>'Dropdown Lists'!$I$2*(1+OrdersTable[[#This Row],[Returned]])</f>
        <v>60</v>
      </c>
      <c r="Y3590" s="76">
        <f>OrdersTable[[#This Row],[Net Revenue]]-OrdersTable[[#This Row],[COGS]]-OrdersTable[[#This Row],[Shipping Cost]]</f>
        <v>119.10000000000002</v>
      </c>
      <c r="Z3590" s="78">
        <f>IFERROR(OrdersTable[[#This Row],[Profit]]/OrdersTable[[#This Row],[Net Revenue]],0)</f>
        <v>0.4425863991081383</v>
      </c>
      <c r="AA3590" t="s">
        <v>18</v>
      </c>
      <c r="AB3590" s="79">
        <v>45880</v>
      </c>
      <c r="AC3590">
        <f>OrdersTable[[#This Row],[Delivery Date]]-OrdersTable[[#This Row],[Order Date]]</f>
        <v>3</v>
      </c>
      <c r="AD3590" t="str">
        <f>IF(OrdersTable[[#This Row],[Delivery Days]]&lt;=2, "Express (≤2d)", IF(OrdersTable[[#This Row],[Delivery Days]]&lt;=4, "Standard (3-4d)", "Delayed (5d+)"))</f>
        <v>Standard (3-4d)</v>
      </c>
      <c r="AE3590">
        <v>4</v>
      </c>
      <c r="AF3590">
        <v>0</v>
      </c>
    </row>
    <row r="3591" spans="1:32" ht="15" x14ac:dyDescent="0.35">
      <c r="A3591" t="s">
        <v>3657</v>
      </c>
      <c r="B3591" s="1">
        <v>45877</v>
      </c>
      <c r="C3591">
        <f>YEAR(OrdersTable[[#This Row],[Order Date]])</f>
        <v>2025</v>
      </c>
      <c r="D3591" s="2">
        <f>DATE(YEAR(OrdersTable[[#This Row],[Order Date]]),MONTH(OrdersTable[[#This Row],[Order Date]]),1)</f>
        <v>45870</v>
      </c>
      <c r="E3591">
        <f>MONTH(OrdersTable[[#This Row],[Order Date]])</f>
        <v>8</v>
      </c>
      <c r="F3591" t="s">
        <v>3658</v>
      </c>
      <c r="G3591" t="str">
        <f>IF(OrdersTable[[#This Row],[Order Date]]=_xlfn.MINIFS(Order_Date, Customer_ID, OrdersTable[[#This Row],[Customer ID]]), "New", "Repeat")</f>
        <v>New</v>
      </c>
      <c r="H3591" t="s">
        <v>128</v>
      </c>
      <c r="I3591" t="str">
        <f>INDEX(State!B:B,MATCH(OrdersTable[[#This Row],[State]],State!A:A,0))</f>
        <v>DL</v>
      </c>
      <c r="J3591" t="str">
        <f>INDEX(State!C:C,MATCH(OrdersTable[[#This Row],[State Code]],State!B:B,0))</f>
        <v>North</v>
      </c>
      <c r="K3591" t="s">
        <v>129</v>
      </c>
      <c r="L3591" t="s">
        <v>39</v>
      </c>
      <c r="M3591" t="s">
        <v>84</v>
      </c>
      <c r="N3591" t="str">
        <f>INDEX(Products!B:B,MATCH(OrdersTable[[#This Row],[Product ID]],Products!A:A,0))</f>
        <v>Cotton Bedsheet</v>
      </c>
      <c r="O3591" t="str">
        <f>INDEX(Products!C:C,MATCH(OrdersTable[[#This Row],[Product ID]],Products!A:A,0))</f>
        <v>Home &amp; Kitchen</v>
      </c>
      <c r="P3591">
        <v>1</v>
      </c>
      <c r="Q3591" s="5">
        <v>1299</v>
      </c>
      <c r="R3591" s="74">
        <v>0</v>
      </c>
      <c r="S3591" s="75">
        <f>OrdersTable[[#This Row],[Quantity]]*OrdersTable[[#This Row],[Unit Price]]</f>
        <v>1299</v>
      </c>
      <c r="T3591" s="5">
        <f>OrdersTable[[#This Row],[Gross Sale]]*OrdersTable[[#This Row],[Discount_Clean2]]</f>
        <v>0</v>
      </c>
      <c r="U3591" s="5">
        <f>OrdersTable[[#This Row],[Gross Sale]]-OrdersTable[[#This Row],[Discount Amount]]</f>
        <v>1299</v>
      </c>
      <c r="V3591" s="77">
        <f>INDEX(Products!E:E,MATCH(OrdersTable[[#This Row],[Product ID]],Products!A:A,0))</f>
        <v>585</v>
      </c>
      <c r="W3591" s="77">
        <f>OrdersTable[[#This Row],[Quantity]]*OrdersTable[[#This Row],[Unit Cost]]</f>
        <v>585</v>
      </c>
      <c r="X3591" s="77">
        <f>'Dropdown Lists'!$I$2*(1+OrdersTable[[#This Row],[Returned]])</f>
        <v>60</v>
      </c>
      <c r="Y3591" s="76">
        <f>OrdersTable[[#This Row],[Net Revenue]]-OrdersTable[[#This Row],[COGS]]-OrdersTable[[#This Row],[Shipping Cost]]</f>
        <v>654</v>
      </c>
      <c r="Z3591" s="78">
        <f>IFERROR(OrdersTable[[#This Row],[Profit]]/OrdersTable[[#This Row],[Net Revenue]],0)</f>
        <v>0.50346420323325636</v>
      </c>
      <c r="AA3591" t="s">
        <v>3495</v>
      </c>
      <c r="AB3591" s="79">
        <v>45880</v>
      </c>
      <c r="AC3591">
        <f>OrdersTable[[#This Row],[Delivery Date]]-OrdersTable[[#This Row],[Order Date]]</f>
        <v>3</v>
      </c>
      <c r="AD3591" t="str">
        <f>IF(OrdersTable[[#This Row],[Delivery Days]]&lt;=2, "Express (≤2d)", IF(OrdersTable[[#This Row],[Delivery Days]]&lt;=4, "Standard (3-4d)", "Delayed (5d+)"))</f>
        <v>Standard (3-4d)</v>
      </c>
      <c r="AE3591">
        <v>4</v>
      </c>
      <c r="AF3591">
        <v>0</v>
      </c>
    </row>
    <row r="3592" spans="1:32" ht="15" x14ac:dyDescent="0.35">
      <c r="A3592" t="s">
        <v>6724</v>
      </c>
      <c r="B3592" s="1">
        <v>45877</v>
      </c>
      <c r="C3592">
        <f>YEAR(OrdersTable[[#This Row],[Order Date]])</f>
        <v>2025</v>
      </c>
      <c r="D3592" s="2">
        <f>DATE(YEAR(OrdersTable[[#This Row],[Order Date]]),MONTH(OrdersTable[[#This Row],[Order Date]]),1)</f>
        <v>45870</v>
      </c>
      <c r="E3592">
        <f>MONTH(OrdersTable[[#This Row],[Order Date]])</f>
        <v>8</v>
      </c>
      <c r="F3592" t="s">
        <v>4954</v>
      </c>
      <c r="G3592" t="str">
        <f>IF(OrdersTable[[#This Row],[Order Date]]=_xlfn.MINIFS(Order_Date, Customer_ID, OrdersTable[[#This Row],[Customer ID]]), "New", "Repeat")</f>
        <v>Repeat</v>
      </c>
      <c r="H3592" t="s">
        <v>128</v>
      </c>
      <c r="I3592" t="str">
        <f>INDEX(State!B:B,MATCH(OrdersTable[[#This Row],[State]],State!A:A,0))</f>
        <v>DL</v>
      </c>
      <c r="J3592" t="str">
        <f>INDEX(State!C:C,MATCH(OrdersTable[[#This Row],[State Code]],State!B:B,0))</f>
        <v>North</v>
      </c>
      <c r="K3592" t="s">
        <v>129</v>
      </c>
      <c r="L3592" t="s">
        <v>39</v>
      </c>
      <c r="M3592" t="s">
        <v>40</v>
      </c>
      <c r="N3592" t="str">
        <f>INDEX(Products!B:B,MATCH(OrdersTable[[#This Row],[Product ID]],Products!A:A,0))</f>
        <v>Ashwagandha Capsules</v>
      </c>
      <c r="O3592" t="str">
        <f>INDEX(Products!C:C,MATCH(OrdersTable[[#This Row],[Product ID]],Products!A:A,0))</f>
        <v>Wellness</v>
      </c>
      <c r="P3592">
        <v>3</v>
      </c>
      <c r="Q3592" s="5">
        <v>499</v>
      </c>
      <c r="R3592" s="74">
        <v>0.05</v>
      </c>
      <c r="S3592" s="75">
        <f>OrdersTable[[#This Row],[Quantity]]*OrdersTable[[#This Row],[Unit Price]]</f>
        <v>1497</v>
      </c>
      <c r="T3592" s="5">
        <f>OrdersTable[[#This Row],[Gross Sale]]*OrdersTable[[#This Row],[Discount_Clean2]]</f>
        <v>74.850000000000009</v>
      </c>
      <c r="U3592" s="5">
        <f>OrdersTable[[#This Row],[Gross Sale]]-OrdersTable[[#This Row],[Discount Amount]]</f>
        <v>1422.15</v>
      </c>
      <c r="V3592" s="77">
        <f>INDEX(Products!E:E,MATCH(OrdersTable[[#This Row],[Product ID]],Products!A:A,0))</f>
        <v>150</v>
      </c>
      <c r="W3592" s="77">
        <f>OrdersTable[[#This Row],[Quantity]]*OrdersTable[[#This Row],[Unit Cost]]</f>
        <v>450</v>
      </c>
      <c r="X3592" s="77">
        <f>'Dropdown Lists'!$I$2*(1+OrdersTable[[#This Row],[Returned]])</f>
        <v>60</v>
      </c>
      <c r="Y3592" s="76">
        <f>OrdersTable[[#This Row],[Net Revenue]]-OrdersTable[[#This Row],[COGS]]-OrdersTable[[#This Row],[Shipping Cost]]</f>
        <v>912.15000000000009</v>
      </c>
      <c r="Z3592" s="78">
        <f>IFERROR(OrdersTable[[#This Row],[Profit]]/OrdersTable[[#This Row],[Net Revenue]],0)</f>
        <v>0.64138803923636745</v>
      </c>
      <c r="AA3592" t="s">
        <v>2522</v>
      </c>
      <c r="AB3592" s="79">
        <v>45878</v>
      </c>
      <c r="AC3592">
        <f>OrdersTable[[#This Row],[Delivery Date]]-OrdersTable[[#This Row],[Order Date]]</f>
        <v>1</v>
      </c>
      <c r="AD3592" t="str">
        <f>IF(OrdersTable[[#This Row],[Delivery Days]]&lt;=2, "Express (≤2d)", IF(OrdersTable[[#This Row],[Delivery Days]]&lt;=4, "Standard (3-4d)", "Delayed (5d+)"))</f>
        <v>Express (≤2d)</v>
      </c>
      <c r="AF3592">
        <v>0</v>
      </c>
    </row>
    <row r="3593" spans="1:32" ht="15" x14ac:dyDescent="0.35">
      <c r="A3593" t="s">
        <v>4720</v>
      </c>
      <c r="B3593" s="1">
        <v>45877</v>
      </c>
      <c r="C3593">
        <f>YEAR(OrdersTable[[#This Row],[Order Date]])</f>
        <v>2025</v>
      </c>
      <c r="D3593" s="2">
        <f>DATE(YEAR(OrdersTable[[#This Row],[Order Date]]),MONTH(OrdersTable[[#This Row],[Order Date]]),1)</f>
        <v>45870</v>
      </c>
      <c r="E3593">
        <f>MONTH(OrdersTable[[#This Row],[Order Date]])</f>
        <v>8</v>
      </c>
      <c r="F3593" t="s">
        <v>321</v>
      </c>
      <c r="G3593" t="str">
        <f>IF(OrdersTable[[#This Row],[Order Date]]=_xlfn.MINIFS(Order_Date, Customer_ID, OrdersTable[[#This Row],[Customer ID]]), "New", "Repeat")</f>
        <v>Repeat</v>
      </c>
      <c r="H3593" t="s">
        <v>43</v>
      </c>
      <c r="I3593" t="str">
        <f>INDEX(State!B:B,MATCH(OrdersTable[[#This Row],[State]],State!A:A,0))</f>
        <v>MP</v>
      </c>
      <c r="J3593" t="str">
        <f>INDEX(State!C:C,MATCH(OrdersTable[[#This Row],[State Code]],State!B:B,0))</f>
        <v>West</v>
      </c>
      <c r="K3593" t="s">
        <v>250</v>
      </c>
      <c r="L3593" t="s">
        <v>65</v>
      </c>
      <c r="M3593" t="s">
        <v>92</v>
      </c>
      <c r="N3593" t="str">
        <f>INDEX(Products!B:B,MATCH(OrdersTable[[#This Row],[Product ID]],Products!A:A,0))</f>
        <v>Kolhapuri Sandals</v>
      </c>
      <c r="O3593" t="str">
        <f>INDEX(Products!C:C,MATCH(OrdersTable[[#This Row],[Product ID]],Products!A:A,0))</f>
        <v>Footwear</v>
      </c>
      <c r="P3593">
        <v>1</v>
      </c>
      <c r="Q3593" s="5">
        <v>999</v>
      </c>
      <c r="R3593" s="74">
        <v>0.1</v>
      </c>
      <c r="S3593" s="75">
        <f>OrdersTable[[#This Row],[Quantity]]*OrdersTable[[#This Row],[Unit Price]]</f>
        <v>999</v>
      </c>
      <c r="T3593" s="5">
        <f>OrdersTable[[#This Row],[Gross Sale]]*OrdersTable[[#This Row],[Discount_Clean2]]</f>
        <v>99.9</v>
      </c>
      <c r="U3593" s="5">
        <f>OrdersTable[[#This Row],[Gross Sale]]-OrdersTable[[#This Row],[Discount Amount]]</f>
        <v>899.1</v>
      </c>
      <c r="V3593" s="77">
        <f>INDEX(Products!E:E,MATCH(OrdersTable[[#This Row],[Product ID]],Products!A:A,0))</f>
        <v>400</v>
      </c>
      <c r="W3593" s="77">
        <f>OrdersTable[[#This Row],[Quantity]]*OrdersTable[[#This Row],[Unit Cost]]</f>
        <v>400</v>
      </c>
      <c r="X3593" s="77">
        <f>'Dropdown Lists'!$I$2*(1+OrdersTable[[#This Row],[Returned]])</f>
        <v>120</v>
      </c>
      <c r="Y3593" s="76">
        <f>OrdersTable[[#This Row],[Net Revenue]]-OrdersTable[[#This Row],[COGS]]-OrdersTable[[#This Row],[Shipping Cost]]</f>
        <v>379.1</v>
      </c>
      <c r="Z3593" s="78">
        <f>IFERROR(OrdersTable[[#This Row],[Profit]]/OrdersTable[[#This Row],[Net Revenue]],0)</f>
        <v>0.42164386608831056</v>
      </c>
      <c r="AA3593" t="s">
        <v>4450</v>
      </c>
      <c r="AB3593" s="79">
        <v>45882</v>
      </c>
      <c r="AC3593">
        <f>OrdersTable[[#This Row],[Delivery Date]]-OrdersTable[[#This Row],[Order Date]]</f>
        <v>5</v>
      </c>
      <c r="AD3593" t="str">
        <f>IF(OrdersTable[[#This Row],[Delivery Days]]&lt;=2, "Express (≤2d)", IF(OrdersTable[[#This Row],[Delivery Days]]&lt;=4, "Standard (3-4d)", "Delayed (5d+)"))</f>
        <v>Delayed (5d+)</v>
      </c>
      <c r="AE3593">
        <v>3</v>
      </c>
      <c r="AF3593">
        <v>1</v>
      </c>
    </row>
    <row r="3594" spans="1:32" ht="15" x14ac:dyDescent="0.35">
      <c r="A3594" t="s">
        <v>6610</v>
      </c>
      <c r="B3594" s="1">
        <v>45877</v>
      </c>
      <c r="C3594">
        <f>YEAR(OrdersTable[[#This Row],[Order Date]])</f>
        <v>2025</v>
      </c>
      <c r="D3594" s="2">
        <f>DATE(YEAR(OrdersTable[[#This Row],[Order Date]]),MONTH(OrdersTable[[#This Row],[Order Date]]),1)</f>
        <v>45870</v>
      </c>
      <c r="E3594">
        <f>MONTH(OrdersTable[[#This Row],[Order Date]])</f>
        <v>8</v>
      </c>
      <c r="F3594" t="s">
        <v>6611</v>
      </c>
      <c r="G3594" t="str">
        <f>IF(OrdersTable[[#This Row],[Order Date]]=_xlfn.MINIFS(Order_Date, Customer_ID, OrdersTable[[#This Row],[Customer ID]]), "New", "Repeat")</f>
        <v>New</v>
      </c>
      <c r="H3594" t="s">
        <v>43</v>
      </c>
      <c r="I3594" t="str">
        <f>INDEX(State!B:B,MATCH(OrdersTable[[#This Row],[State]],State!A:A,0))</f>
        <v>MP</v>
      </c>
      <c r="J3594" t="str">
        <f>INDEX(State!C:C,MATCH(OrdersTable[[#This Row],[State Code]],State!B:B,0))</f>
        <v>West</v>
      </c>
      <c r="K3594" t="s">
        <v>44</v>
      </c>
      <c r="L3594" t="s">
        <v>65</v>
      </c>
      <c r="M3594" t="s">
        <v>173</v>
      </c>
      <c r="N3594" t="str">
        <f>INDEX(Products!B:B,MATCH(OrdersTable[[#This Row],[Product ID]],Products!A:A,0))</f>
        <v>Wireless Earbuds</v>
      </c>
      <c r="O3594" t="str">
        <f>INDEX(Products!C:C,MATCH(OrdersTable[[#This Row],[Product ID]],Products!A:A,0))</f>
        <v>Electronics</v>
      </c>
      <c r="P3594">
        <v>3</v>
      </c>
      <c r="Q3594" s="5">
        <v>1999</v>
      </c>
      <c r="R3594" s="74">
        <v>0.4</v>
      </c>
      <c r="S3594" s="75">
        <f>OrdersTable[[#This Row],[Quantity]]*OrdersTable[[#This Row],[Unit Price]]</f>
        <v>5997</v>
      </c>
      <c r="T3594" s="5">
        <f>OrdersTable[[#This Row],[Gross Sale]]*OrdersTable[[#This Row],[Discount_Clean2]]</f>
        <v>2398.8000000000002</v>
      </c>
      <c r="U3594" s="5">
        <f>OrdersTable[[#This Row],[Gross Sale]]-OrdersTable[[#This Row],[Discount Amount]]</f>
        <v>3598.2</v>
      </c>
      <c r="V3594" s="77">
        <f>INDEX(Products!E:E,MATCH(OrdersTable[[#This Row],[Product ID]],Products!A:A,0))</f>
        <v>1239</v>
      </c>
      <c r="W3594" s="77">
        <f>OrdersTable[[#This Row],[Quantity]]*OrdersTable[[#This Row],[Unit Cost]]</f>
        <v>3717</v>
      </c>
      <c r="X3594" s="77">
        <f>'Dropdown Lists'!$I$2*(1+OrdersTable[[#This Row],[Returned]])</f>
        <v>60</v>
      </c>
      <c r="Y3594" s="76">
        <f>OrdersTable[[#This Row],[Net Revenue]]-OrdersTable[[#This Row],[COGS]]-OrdersTable[[#This Row],[Shipping Cost]]</f>
        <v>-178.80000000000018</v>
      </c>
      <c r="Z3594" s="78">
        <f>IFERROR(OrdersTable[[#This Row],[Profit]]/OrdersTable[[#This Row],[Net Revenue]],0)</f>
        <v>-4.9691512422878156E-2</v>
      </c>
      <c r="AA3594" t="s">
        <v>18</v>
      </c>
      <c r="AB3594" s="79">
        <v>45882</v>
      </c>
      <c r="AC3594">
        <f>OrdersTable[[#This Row],[Delivery Date]]-OrdersTable[[#This Row],[Order Date]]</f>
        <v>5</v>
      </c>
      <c r="AD3594" t="str">
        <f>IF(OrdersTable[[#This Row],[Delivery Days]]&lt;=2, "Express (≤2d)", IF(OrdersTable[[#This Row],[Delivery Days]]&lt;=4, "Standard (3-4d)", "Delayed (5d+)"))</f>
        <v>Delayed (5d+)</v>
      </c>
      <c r="AE3594">
        <v>4</v>
      </c>
      <c r="AF3594">
        <v>0</v>
      </c>
    </row>
    <row r="3595" spans="1:32" ht="15" x14ac:dyDescent="0.35">
      <c r="A3595" t="s">
        <v>5218</v>
      </c>
      <c r="B3595" s="1">
        <v>45877</v>
      </c>
      <c r="C3595">
        <f>YEAR(OrdersTable[[#This Row],[Order Date]])</f>
        <v>2025</v>
      </c>
      <c r="D3595" s="2">
        <f>DATE(YEAR(OrdersTable[[#This Row],[Order Date]]),MONTH(OrdersTable[[#This Row],[Order Date]]),1)</f>
        <v>45870</v>
      </c>
      <c r="E3595">
        <f>MONTH(OrdersTable[[#This Row],[Order Date]])</f>
        <v>8</v>
      </c>
      <c r="F3595" t="s">
        <v>5219</v>
      </c>
      <c r="G3595" t="str">
        <f>IF(OrdersTable[[#This Row],[Order Date]]=_xlfn.MINIFS(Order_Date, Customer_ID, OrdersTable[[#This Row],[Customer ID]]), "New", "Repeat")</f>
        <v>New</v>
      </c>
      <c r="H3595" t="s">
        <v>71</v>
      </c>
      <c r="I3595" t="str">
        <f>INDEX(State!B:B,MATCH(OrdersTable[[#This Row],[State]],State!A:A,0))</f>
        <v>MH</v>
      </c>
      <c r="J3595" t="str">
        <f>INDEX(State!C:C,MATCH(OrdersTable[[#This Row],[State Code]],State!B:B,0))</f>
        <v>West</v>
      </c>
      <c r="K3595" t="s">
        <v>72</v>
      </c>
      <c r="L3595" t="s">
        <v>50</v>
      </c>
      <c r="M3595" t="s">
        <v>152</v>
      </c>
      <c r="N3595" t="str">
        <f>INDEX(Products!B:B,MATCH(OrdersTable[[#This Row],[Product ID]],Products!A:A,0))</f>
        <v>Green Tea (100 bags)</v>
      </c>
      <c r="O3595" t="str">
        <f>INDEX(Products!C:C,MATCH(OrdersTable[[#This Row],[Product ID]],Products!A:A,0))</f>
        <v>Wellness</v>
      </c>
      <c r="P3595">
        <v>2</v>
      </c>
      <c r="Q3595" s="5">
        <v>399</v>
      </c>
      <c r="R3595" s="74">
        <v>0.35</v>
      </c>
      <c r="S3595" s="75">
        <f>OrdersTable[[#This Row],[Quantity]]*OrdersTable[[#This Row],[Unit Price]]</f>
        <v>798</v>
      </c>
      <c r="T3595" s="5">
        <f>OrdersTable[[#This Row],[Gross Sale]]*OrdersTable[[#This Row],[Discount_Clean2]]</f>
        <v>279.29999999999995</v>
      </c>
      <c r="U3595" s="5">
        <f>OrdersTable[[#This Row],[Gross Sale]]-OrdersTable[[#This Row],[Discount Amount]]</f>
        <v>518.70000000000005</v>
      </c>
      <c r="V3595" s="77">
        <f>INDEX(Products!E:E,MATCH(OrdersTable[[#This Row],[Product ID]],Products!A:A,0))</f>
        <v>128</v>
      </c>
      <c r="W3595" s="77">
        <f>OrdersTable[[#This Row],[Quantity]]*OrdersTable[[#This Row],[Unit Cost]]</f>
        <v>256</v>
      </c>
      <c r="X3595" s="77">
        <f>'Dropdown Lists'!$I$2*(1+OrdersTable[[#This Row],[Returned]])</f>
        <v>60</v>
      </c>
      <c r="Y3595" s="76">
        <f>OrdersTable[[#This Row],[Net Revenue]]-OrdersTable[[#This Row],[COGS]]-OrdersTable[[#This Row],[Shipping Cost]]</f>
        <v>202.70000000000005</v>
      </c>
      <c r="Z3595" s="78">
        <f>IFERROR(OrdersTable[[#This Row],[Profit]]/OrdersTable[[#This Row],[Net Revenue]],0)</f>
        <v>0.39078465394254874</v>
      </c>
      <c r="AA3595" t="s">
        <v>3495</v>
      </c>
      <c r="AB3595" s="79">
        <v>45878</v>
      </c>
      <c r="AC3595">
        <f>OrdersTable[[#This Row],[Delivery Date]]-OrdersTable[[#This Row],[Order Date]]</f>
        <v>1</v>
      </c>
      <c r="AD3595" t="str">
        <f>IF(OrdersTable[[#This Row],[Delivery Days]]&lt;=2, "Express (≤2d)", IF(OrdersTable[[#This Row],[Delivery Days]]&lt;=4, "Standard (3-4d)", "Delayed (5d+)"))</f>
        <v>Express (≤2d)</v>
      </c>
      <c r="AE3595">
        <v>5</v>
      </c>
      <c r="AF3595">
        <v>0</v>
      </c>
    </row>
    <row r="3596" spans="1:32" ht="15" x14ac:dyDescent="0.35">
      <c r="A3596" t="s">
        <v>4045</v>
      </c>
      <c r="B3596" s="1">
        <v>45877</v>
      </c>
      <c r="C3596">
        <f>YEAR(OrdersTable[[#This Row],[Order Date]])</f>
        <v>2025</v>
      </c>
      <c r="D3596" s="2">
        <f>DATE(YEAR(OrdersTable[[#This Row],[Order Date]]),MONTH(OrdersTable[[#This Row],[Order Date]]),1)</f>
        <v>45870</v>
      </c>
      <c r="E3596">
        <f>MONTH(OrdersTable[[#This Row],[Order Date]])</f>
        <v>8</v>
      </c>
      <c r="F3596" t="s">
        <v>1717</v>
      </c>
      <c r="G3596" t="str">
        <f>IF(OrdersTable[[#This Row],[Order Date]]=_xlfn.MINIFS(Order_Date, Customer_ID, OrdersTable[[#This Row],[Customer ID]]), "New", "Repeat")</f>
        <v>Repeat</v>
      </c>
      <c r="H3596" t="s">
        <v>71</v>
      </c>
      <c r="I3596" t="str">
        <f>INDEX(State!B:B,MATCH(OrdersTable[[#This Row],[State]],State!A:A,0))</f>
        <v>MH</v>
      </c>
      <c r="J3596" t="str">
        <f>INDEX(State!C:C,MATCH(OrdersTable[[#This Row],[State Code]],State!B:B,0))</f>
        <v>West</v>
      </c>
      <c r="K3596" t="s">
        <v>102</v>
      </c>
      <c r="L3596" t="s">
        <v>23</v>
      </c>
      <c r="M3596" t="s">
        <v>40</v>
      </c>
      <c r="N3596" t="str">
        <f>INDEX(Products!B:B,MATCH(OrdersTable[[#This Row],[Product ID]],Products!A:A,0))</f>
        <v>Ashwagandha Capsules</v>
      </c>
      <c r="O3596" t="str">
        <f>INDEX(Products!C:C,MATCH(OrdersTable[[#This Row],[Product ID]],Products!A:A,0))</f>
        <v>Wellness</v>
      </c>
      <c r="P3596">
        <v>1</v>
      </c>
      <c r="Q3596" s="5">
        <v>499</v>
      </c>
      <c r="R3596" s="74">
        <v>0.1</v>
      </c>
      <c r="S3596" s="75">
        <f>OrdersTable[[#This Row],[Quantity]]*OrdersTable[[#This Row],[Unit Price]]</f>
        <v>499</v>
      </c>
      <c r="T3596" s="5">
        <f>OrdersTable[[#This Row],[Gross Sale]]*OrdersTable[[#This Row],[Discount_Clean2]]</f>
        <v>49.900000000000006</v>
      </c>
      <c r="U3596" s="5">
        <f>OrdersTable[[#This Row],[Gross Sale]]-OrdersTable[[#This Row],[Discount Amount]]</f>
        <v>449.1</v>
      </c>
      <c r="V3596" s="77">
        <f>INDEX(Products!E:E,MATCH(OrdersTable[[#This Row],[Product ID]],Products!A:A,0))</f>
        <v>150</v>
      </c>
      <c r="W3596" s="77">
        <f>OrdersTable[[#This Row],[Quantity]]*OrdersTable[[#This Row],[Unit Cost]]</f>
        <v>150</v>
      </c>
      <c r="X3596" s="77">
        <f>'Dropdown Lists'!$I$2*(1+OrdersTable[[#This Row],[Returned]])</f>
        <v>60</v>
      </c>
      <c r="Y3596" s="76">
        <f>OrdersTable[[#This Row],[Net Revenue]]-OrdersTable[[#This Row],[COGS]]-OrdersTable[[#This Row],[Shipping Cost]]</f>
        <v>239.10000000000002</v>
      </c>
      <c r="Z3596" s="78">
        <f>IFERROR(OrdersTable[[#This Row],[Profit]]/OrdersTable[[#This Row],[Net Revenue]],0)</f>
        <v>0.53239812959251842</v>
      </c>
      <c r="AA3596" t="s">
        <v>3495</v>
      </c>
      <c r="AB3596" s="79">
        <v>45879</v>
      </c>
      <c r="AC3596">
        <f>OrdersTable[[#This Row],[Delivery Date]]-OrdersTable[[#This Row],[Order Date]]</f>
        <v>2</v>
      </c>
      <c r="AD3596" t="str">
        <f>IF(OrdersTable[[#This Row],[Delivery Days]]&lt;=2, "Express (≤2d)", IF(OrdersTable[[#This Row],[Delivery Days]]&lt;=4, "Standard (3-4d)", "Delayed (5d+)"))</f>
        <v>Express (≤2d)</v>
      </c>
      <c r="AE3596">
        <v>5</v>
      </c>
      <c r="AF3596">
        <v>0</v>
      </c>
    </row>
    <row r="3597" spans="1:32" ht="15" x14ac:dyDescent="0.35">
      <c r="A3597" t="s">
        <v>4429</v>
      </c>
      <c r="B3597" s="1">
        <v>45877</v>
      </c>
      <c r="C3597">
        <f>YEAR(OrdersTable[[#This Row],[Order Date]])</f>
        <v>2025</v>
      </c>
      <c r="D3597" s="2">
        <f>DATE(YEAR(OrdersTable[[#This Row],[Order Date]]),MONTH(OrdersTable[[#This Row],[Order Date]]),1)</f>
        <v>45870</v>
      </c>
      <c r="E3597">
        <f>MONTH(OrdersTable[[#This Row],[Order Date]])</f>
        <v>8</v>
      </c>
      <c r="F3597" t="s">
        <v>4430</v>
      </c>
      <c r="G3597" t="str">
        <f>IF(OrdersTable[[#This Row],[Order Date]]=_xlfn.MINIFS(Order_Date, Customer_ID, OrdersTable[[#This Row],[Customer ID]]), "New", "Repeat")</f>
        <v>Repeat</v>
      </c>
      <c r="H3597" t="s">
        <v>71</v>
      </c>
      <c r="I3597" t="str">
        <f>INDEX(State!B:B,MATCH(OrdersTable[[#This Row],[State]],State!A:A,0))</f>
        <v>MH</v>
      </c>
      <c r="J3597" t="str">
        <f>INDEX(State!C:C,MATCH(OrdersTable[[#This Row],[State Code]],State!B:B,0))</f>
        <v>West</v>
      </c>
      <c r="K3597" t="s">
        <v>102</v>
      </c>
      <c r="L3597" t="s">
        <v>23</v>
      </c>
      <c r="M3597" t="s">
        <v>205</v>
      </c>
      <c r="N3597" t="str">
        <f>INDEX(Products!B:B,MATCH(OrdersTable[[#This Row],[Product ID]],Products!A:A,0))</f>
        <v>Running Shoes</v>
      </c>
      <c r="O3597" t="str">
        <f>INDEX(Products!C:C,MATCH(OrdersTable[[#This Row],[Product ID]],Products!A:A,0))</f>
        <v>Footwear</v>
      </c>
      <c r="P3597">
        <v>1</v>
      </c>
      <c r="Q3597" s="5">
        <v>2999</v>
      </c>
      <c r="R3597" s="74">
        <v>0.15</v>
      </c>
      <c r="S3597" s="75">
        <f>OrdersTable[[#This Row],[Quantity]]*OrdersTable[[#This Row],[Unit Price]]</f>
        <v>2999</v>
      </c>
      <c r="T3597" s="5">
        <f>OrdersTable[[#This Row],[Gross Sale]]*OrdersTable[[#This Row],[Discount_Clean2]]</f>
        <v>449.84999999999997</v>
      </c>
      <c r="U3597" s="5">
        <f>OrdersTable[[#This Row],[Gross Sale]]-OrdersTable[[#This Row],[Discount Amount]]</f>
        <v>2549.15</v>
      </c>
      <c r="V3597" s="77">
        <f>INDEX(Products!E:E,MATCH(OrdersTable[[#This Row],[Product ID]],Products!A:A,0))</f>
        <v>1440</v>
      </c>
      <c r="W3597" s="77">
        <f>OrdersTable[[#This Row],[Quantity]]*OrdersTable[[#This Row],[Unit Cost]]</f>
        <v>1440</v>
      </c>
      <c r="X3597" s="77">
        <f>'Dropdown Lists'!$I$2*(1+OrdersTable[[#This Row],[Returned]])</f>
        <v>120</v>
      </c>
      <c r="Y3597" s="76">
        <f>OrdersTable[[#This Row],[Net Revenue]]-OrdersTable[[#This Row],[COGS]]-OrdersTable[[#This Row],[Shipping Cost]]</f>
        <v>989.15000000000009</v>
      </c>
      <c r="Z3597" s="78">
        <f>IFERROR(OrdersTable[[#This Row],[Profit]]/OrdersTable[[#This Row],[Net Revenue]],0)</f>
        <v>0.3880313045524979</v>
      </c>
      <c r="AA3597" t="s">
        <v>4074</v>
      </c>
      <c r="AB3597" s="79">
        <v>45880</v>
      </c>
      <c r="AC3597">
        <f>OrdersTable[[#This Row],[Delivery Date]]-OrdersTable[[#This Row],[Order Date]]</f>
        <v>3</v>
      </c>
      <c r="AD3597" t="str">
        <f>IF(OrdersTable[[#This Row],[Delivery Days]]&lt;=2, "Express (≤2d)", IF(OrdersTable[[#This Row],[Delivery Days]]&lt;=4, "Standard (3-4d)", "Delayed (5d+)"))</f>
        <v>Standard (3-4d)</v>
      </c>
      <c r="AE3597">
        <v>4</v>
      </c>
      <c r="AF3597">
        <v>1</v>
      </c>
    </row>
    <row r="3598" spans="1:32" ht="15" x14ac:dyDescent="0.35">
      <c r="A3598" t="s">
        <v>1773</v>
      </c>
      <c r="B3598" s="1">
        <v>45877</v>
      </c>
      <c r="C3598">
        <f>YEAR(OrdersTable[[#This Row],[Order Date]])</f>
        <v>2025</v>
      </c>
      <c r="D3598" s="2">
        <f>DATE(YEAR(OrdersTable[[#This Row],[Order Date]]),MONTH(OrdersTable[[#This Row],[Order Date]]),1)</f>
        <v>45870</v>
      </c>
      <c r="E3598">
        <f>MONTH(OrdersTable[[#This Row],[Order Date]])</f>
        <v>8</v>
      </c>
      <c r="F3598" t="s">
        <v>1774</v>
      </c>
      <c r="G3598" t="str">
        <f>IF(OrdersTable[[#This Row],[Order Date]]=_xlfn.MINIFS(Order_Date, Customer_ID, OrdersTable[[#This Row],[Customer ID]]), "New", "Repeat")</f>
        <v>Repeat</v>
      </c>
      <c r="H3598" t="s">
        <v>95</v>
      </c>
      <c r="I3598" t="str">
        <f>INDEX(State!B:B,MATCH(OrdersTable[[#This Row],[State]],State!A:A,0))</f>
        <v>TG</v>
      </c>
      <c r="J3598" t="str">
        <f>INDEX(State!C:C,MATCH(OrdersTable[[#This Row],[State Code]],State!B:B,0))</f>
        <v>South</v>
      </c>
      <c r="K3598" t="s">
        <v>96</v>
      </c>
      <c r="L3598" t="s">
        <v>65</v>
      </c>
      <c r="M3598" t="s">
        <v>73</v>
      </c>
      <c r="N3598" t="str">
        <f>INDEX(Products!B:B,MATCH(OrdersTable[[#This Row],[Product ID]],Products!A:A,0))</f>
        <v>Hydrating Face Wash</v>
      </c>
      <c r="O3598" t="str">
        <f>INDEX(Products!C:C,MATCH(OrdersTable[[#This Row],[Product ID]],Products!A:A,0))</f>
        <v>Skincare</v>
      </c>
      <c r="P3598">
        <v>1</v>
      </c>
      <c r="Q3598" s="5">
        <v>299</v>
      </c>
      <c r="R3598" s="74">
        <v>0.1</v>
      </c>
      <c r="S3598" s="75">
        <f>OrdersTable[[#This Row],[Quantity]]*OrdersTable[[#This Row],[Unit Price]]</f>
        <v>299</v>
      </c>
      <c r="T3598" s="5">
        <f>OrdersTable[[#This Row],[Gross Sale]]*OrdersTable[[#This Row],[Discount_Clean2]]</f>
        <v>29.900000000000002</v>
      </c>
      <c r="U3598" s="5">
        <f>OrdersTable[[#This Row],[Gross Sale]]-OrdersTable[[#This Row],[Discount Amount]]</f>
        <v>269.10000000000002</v>
      </c>
      <c r="V3598" s="77">
        <f>INDEX(Products!E:E,MATCH(OrdersTable[[#This Row],[Product ID]],Products!A:A,0))</f>
        <v>90</v>
      </c>
      <c r="W3598" s="77">
        <f>OrdersTable[[#This Row],[Quantity]]*OrdersTable[[#This Row],[Unit Cost]]</f>
        <v>90</v>
      </c>
      <c r="X3598" s="77">
        <f>'Dropdown Lists'!$I$2*(1+OrdersTable[[#This Row],[Returned]])</f>
        <v>60</v>
      </c>
      <c r="Y3598" s="76">
        <f>OrdersTable[[#This Row],[Net Revenue]]-OrdersTable[[#This Row],[COGS]]-OrdersTable[[#This Row],[Shipping Cost]]</f>
        <v>119.10000000000002</v>
      </c>
      <c r="Z3598" s="78">
        <f>IFERROR(OrdersTable[[#This Row],[Profit]]/OrdersTable[[#This Row],[Net Revenue]],0)</f>
        <v>0.4425863991081383</v>
      </c>
      <c r="AA3598" t="s">
        <v>18</v>
      </c>
      <c r="AB3598" s="79">
        <v>45880</v>
      </c>
      <c r="AC3598">
        <f>OrdersTable[[#This Row],[Delivery Date]]-OrdersTable[[#This Row],[Order Date]]</f>
        <v>3</v>
      </c>
      <c r="AD3598" t="str">
        <f>IF(OrdersTable[[#This Row],[Delivery Days]]&lt;=2, "Express (≤2d)", IF(OrdersTable[[#This Row],[Delivery Days]]&lt;=4, "Standard (3-4d)", "Delayed (5d+)"))</f>
        <v>Standard (3-4d)</v>
      </c>
      <c r="AF3598">
        <v>0</v>
      </c>
    </row>
    <row r="3599" spans="1:32" ht="15" x14ac:dyDescent="0.35">
      <c r="A3599" t="s">
        <v>3087</v>
      </c>
      <c r="B3599" s="1">
        <v>45877</v>
      </c>
      <c r="C3599">
        <f>YEAR(OrdersTable[[#This Row],[Order Date]])</f>
        <v>2025</v>
      </c>
      <c r="D3599" s="2">
        <f>DATE(YEAR(OrdersTable[[#This Row],[Order Date]]),MONTH(OrdersTable[[#This Row],[Order Date]]),1)</f>
        <v>45870</v>
      </c>
      <c r="E3599">
        <f>MONTH(OrdersTable[[#This Row],[Order Date]])</f>
        <v>8</v>
      </c>
      <c r="F3599" t="s">
        <v>3088</v>
      </c>
      <c r="G3599" t="str">
        <f>IF(OrdersTable[[#This Row],[Order Date]]=_xlfn.MINIFS(Order_Date, Customer_ID, OrdersTable[[#This Row],[Customer ID]]), "New", "Repeat")</f>
        <v>New</v>
      </c>
      <c r="H3599" t="s">
        <v>14</v>
      </c>
      <c r="I3599" t="str">
        <f>INDEX(State!B:B,MATCH(OrdersTable[[#This Row],[State]],State!A:A,0))</f>
        <v>OD</v>
      </c>
      <c r="J3599" t="str">
        <f>INDEX(State!C:C,MATCH(OrdersTable[[#This Row],[State Code]],State!B:B,0))</f>
        <v>East</v>
      </c>
      <c r="K3599" t="s">
        <v>15</v>
      </c>
      <c r="L3599" t="s">
        <v>65</v>
      </c>
      <c r="M3599" t="s">
        <v>73</v>
      </c>
      <c r="N3599" t="str">
        <f>INDEX(Products!B:B,MATCH(OrdersTable[[#This Row],[Product ID]],Products!A:A,0))</f>
        <v>Hydrating Face Wash</v>
      </c>
      <c r="O3599" t="str">
        <f>INDEX(Products!C:C,MATCH(OrdersTable[[#This Row],[Product ID]],Products!A:A,0))</f>
        <v>Skincare</v>
      </c>
      <c r="P3599">
        <v>1</v>
      </c>
      <c r="Q3599" s="5">
        <v>299</v>
      </c>
      <c r="R3599" s="74">
        <v>0.05</v>
      </c>
      <c r="S3599" s="75">
        <f>OrdersTable[[#This Row],[Quantity]]*OrdersTable[[#This Row],[Unit Price]]</f>
        <v>299</v>
      </c>
      <c r="T3599" s="5">
        <f>OrdersTable[[#This Row],[Gross Sale]]*OrdersTable[[#This Row],[Discount_Clean2]]</f>
        <v>14.950000000000001</v>
      </c>
      <c r="U3599" s="5">
        <f>OrdersTable[[#This Row],[Gross Sale]]-OrdersTable[[#This Row],[Discount Amount]]</f>
        <v>284.05</v>
      </c>
      <c r="V3599" s="77">
        <f>INDEX(Products!E:E,MATCH(OrdersTable[[#This Row],[Product ID]],Products!A:A,0))</f>
        <v>90</v>
      </c>
      <c r="W3599" s="77">
        <f>OrdersTable[[#This Row],[Quantity]]*OrdersTable[[#This Row],[Unit Cost]]</f>
        <v>90</v>
      </c>
      <c r="X3599" s="77">
        <f>'Dropdown Lists'!$I$2*(1+OrdersTable[[#This Row],[Returned]])</f>
        <v>120</v>
      </c>
      <c r="Y3599" s="76">
        <f>OrdersTable[[#This Row],[Net Revenue]]-OrdersTable[[#This Row],[COGS]]-OrdersTable[[#This Row],[Shipping Cost]]</f>
        <v>74.050000000000011</v>
      </c>
      <c r="Z3599" s="78">
        <f>IFERROR(OrdersTable[[#This Row],[Profit]]/OrdersTable[[#This Row],[Net Revenue]],0)</f>
        <v>0.26069353986974125</v>
      </c>
      <c r="AA3599" t="s">
        <v>2522</v>
      </c>
      <c r="AB3599" s="79">
        <v>45880</v>
      </c>
      <c r="AC3599">
        <f>OrdersTable[[#This Row],[Delivery Date]]-OrdersTable[[#This Row],[Order Date]]</f>
        <v>3</v>
      </c>
      <c r="AD3599" t="str">
        <f>IF(OrdersTable[[#This Row],[Delivery Days]]&lt;=2, "Express (≤2d)", IF(OrdersTable[[#This Row],[Delivery Days]]&lt;=4, "Standard (3-4d)", "Delayed (5d+)"))</f>
        <v>Standard (3-4d)</v>
      </c>
      <c r="AF3599">
        <v>1</v>
      </c>
    </row>
    <row r="3600" spans="1:32" ht="15" x14ac:dyDescent="0.35">
      <c r="A3600" t="s">
        <v>3323</v>
      </c>
      <c r="B3600" s="1">
        <v>45877</v>
      </c>
      <c r="C3600">
        <f>YEAR(OrdersTable[[#This Row],[Order Date]])</f>
        <v>2025</v>
      </c>
      <c r="D3600" s="2">
        <f>DATE(YEAR(OrdersTable[[#This Row],[Order Date]]),MONTH(OrdersTable[[#This Row],[Order Date]]),1)</f>
        <v>45870</v>
      </c>
      <c r="E3600">
        <f>MONTH(OrdersTable[[#This Row],[Order Date]])</f>
        <v>8</v>
      </c>
      <c r="F3600" t="s">
        <v>1429</v>
      </c>
      <c r="G3600" t="str">
        <f>IF(OrdersTable[[#This Row],[Order Date]]=_xlfn.MINIFS(Order_Date, Customer_ID, OrdersTable[[#This Row],[Customer ID]]), "New", "Repeat")</f>
        <v>Repeat</v>
      </c>
      <c r="H3600" t="s">
        <v>167</v>
      </c>
      <c r="I3600" t="str">
        <f>INDEX(State!B:B,MATCH(OrdersTable[[#This Row],[State]],State!A:A,0))</f>
        <v>KA</v>
      </c>
      <c r="J3600" t="str">
        <f>INDEX(State!C:C,MATCH(OrdersTable[[#This Row],[State Code]],State!B:B,0))</f>
        <v>South</v>
      </c>
      <c r="K3600" t="s">
        <v>168</v>
      </c>
      <c r="L3600" t="s">
        <v>23</v>
      </c>
      <c r="M3600" t="s">
        <v>51</v>
      </c>
      <c r="N3600" t="str">
        <f>INDEX(Products!B:B,MATCH(OrdersTable[[#This Row],[Product ID]],Products!A:A,0))</f>
        <v>Anti-Dandruff Conditioner</v>
      </c>
      <c r="O3600" t="str">
        <f>INDEX(Products!C:C,MATCH(OrdersTable[[#This Row],[Product ID]],Products!A:A,0))</f>
        <v>Haircare</v>
      </c>
      <c r="P3600">
        <v>1</v>
      </c>
      <c r="Q3600" s="5">
        <v>399</v>
      </c>
      <c r="R3600" s="74">
        <v>0.35</v>
      </c>
      <c r="S3600" s="75">
        <f>OrdersTable[[#This Row],[Quantity]]*OrdersTable[[#This Row],[Unit Price]]</f>
        <v>399</v>
      </c>
      <c r="T3600" s="5">
        <f>OrdersTable[[#This Row],[Gross Sale]]*OrdersTable[[#This Row],[Discount_Clean2]]</f>
        <v>139.64999999999998</v>
      </c>
      <c r="U3600" s="5">
        <f>OrdersTable[[#This Row],[Gross Sale]]-OrdersTable[[#This Row],[Discount Amount]]</f>
        <v>259.35000000000002</v>
      </c>
      <c r="V3600" s="77">
        <f>INDEX(Products!E:E,MATCH(OrdersTable[[#This Row],[Product ID]],Products!A:A,0))</f>
        <v>136</v>
      </c>
      <c r="W3600" s="77">
        <f>OrdersTable[[#This Row],[Quantity]]*OrdersTable[[#This Row],[Unit Cost]]</f>
        <v>136</v>
      </c>
      <c r="X3600" s="77">
        <f>'Dropdown Lists'!$I$2*(1+OrdersTable[[#This Row],[Returned]])</f>
        <v>60</v>
      </c>
      <c r="Y3600" s="76">
        <f>OrdersTable[[#This Row],[Net Revenue]]-OrdersTable[[#This Row],[COGS]]-OrdersTable[[#This Row],[Shipping Cost]]</f>
        <v>63.350000000000023</v>
      </c>
      <c r="Z3600" s="78">
        <f>IFERROR(OrdersTable[[#This Row],[Profit]]/OrdersTable[[#This Row],[Net Revenue]],0)</f>
        <v>0.24426450742240222</v>
      </c>
      <c r="AA3600" t="s">
        <v>2522</v>
      </c>
      <c r="AB3600" s="79">
        <v>45878</v>
      </c>
      <c r="AC3600">
        <f>OrdersTable[[#This Row],[Delivery Date]]-OrdersTable[[#This Row],[Order Date]]</f>
        <v>1</v>
      </c>
      <c r="AD3600" t="str">
        <f>IF(OrdersTable[[#This Row],[Delivery Days]]&lt;=2, "Express (≤2d)", IF(OrdersTable[[#This Row],[Delivery Days]]&lt;=4, "Standard (3-4d)", "Delayed (5d+)"))</f>
        <v>Express (≤2d)</v>
      </c>
      <c r="AE3600">
        <v>4</v>
      </c>
      <c r="AF3600">
        <v>0</v>
      </c>
    </row>
    <row r="3601" spans="1:32" ht="15" x14ac:dyDescent="0.35">
      <c r="A3601" t="s">
        <v>3089</v>
      </c>
      <c r="B3601" s="1">
        <v>45878</v>
      </c>
      <c r="C3601">
        <f>YEAR(OrdersTable[[#This Row],[Order Date]])</f>
        <v>2025</v>
      </c>
      <c r="D3601" s="2">
        <f>DATE(YEAR(OrdersTable[[#This Row],[Order Date]]),MONTH(OrdersTable[[#This Row],[Order Date]]),1)</f>
        <v>45870</v>
      </c>
      <c r="E3601">
        <f>MONTH(OrdersTable[[#This Row],[Order Date]])</f>
        <v>8</v>
      </c>
      <c r="F3601" t="s">
        <v>1408</v>
      </c>
      <c r="G3601" t="str">
        <f>IF(OrdersTable[[#This Row],[Order Date]]=_xlfn.MINIFS(Order_Date, Customer_ID, OrdersTable[[#This Row],[Customer ID]]), "New", "Repeat")</f>
        <v>Repeat</v>
      </c>
      <c r="H3601" t="s">
        <v>48</v>
      </c>
      <c r="I3601" t="str">
        <f>INDEX(State!B:B,MATCH(OrdersTable[[#This Row],[State]],State!A:A,0))</f>
        <v>HR</v>
      </c>
      <c r="J3601" t="str">
        <f>INDEX(State!C:C,MATCH(OrdersTable[[#This Row],[State Code]],State!B:B,0))</f>
        <v>North</v>
      </c>
      <c r="K3601" t="s">
        <v>49</v>
      </c>
      <c r="L3601" t="s">
        <v>16</v>
      </c>
      <c r="M3601" t="s">
        <v>92</v>
      </c>
      <c r="N3601" t="str">
        <f>INDEX(Products!B:B,MATCH(OrdersTable[[#This Row],[Product ID]],Products!A:A,0))</f>
        <v>Kolhapuri Sandals</v>
      </c>
      <c r="O3601" t="str">
        <f>INDEX(Products!C:C,MATCH(OrdersTable[[#This Row],[Product ID]],Products!A:A,0))</f>
        <v>Footwear</v>
      </c>
      <c r="P3601">
        <v>1</v>
      </c>
      <c r="Q3601" s="5">
        <v>999</v>
      </c>
      <c r="R3601" s="74">
        <v>0.05</v>
      </c>
      <c r="S3601" s="75">
        <f>OrdersTable[[#This Row],[Quantity]]*OrdersTable[[#This Row],[Unit Price]]</f>
        <v>999</v>
      </c>
      <c r="T3601" s="5">
        <f>OrdersTable[[#This Row],[Gross Sale]]*OrdersTable[[#This Row],[Discount_Clean2]]</f>
        <v>49.95</v>
      </c>
      <c r="U3601" s="5">
        <f>OrdersTable[[#This Row],[Gross Sale]]-OrdersTable[[#This Row],[Discount Amount]]</f>
        <v>949.05</v>
      </c>
      <c r="V3601" s="77">
        <f>INDEX(Products!E:E,MATCH(OrdersTable[[#This Row],[Product ID]],Products!A:A,0))</f>
        <v>400</v>
      </c>
      <c r="W3601" s="77">
        <f>OrdersTable[[#This Row],[Quantity]]*OrdersTable[[#This Row],[Unit Cost]]</f>
        <v>400</v>
      </c>
      <c r="X3601" s="77">
        <f>'Dropdown Lists'!$I$2*(1+OrdersTable[[#This Row],[Returned]])</f>
        <v>60</v>
      </c>
      <c r="Y3601" s="76">
        <f>OrdersTable[[#This Row],[Net Revenue]]-OrdersTable[[#This Row],[COGS]]-OrdersTable[[#This Row],[Shipping Cost]]</f>
        <v>489.04999999999995</v>
      </c>
      <c r="Z3601" s="78">
        <f>IFERROR(OrdersTable[[#This Row],[Profit]]/OrdersTable[[#This Row],[Net Revenue]],0)</f>
        <v>0.5153047784626732</v>
      </c>
      <c r="AA3601" t="s">
        <v>2522</v>
      </c>
      <c r="AB3601" s="79">
        <v>45880</v>
      </c>
      <c r="AC3601">
        <f>OrdersTable[[#This Row],[Delivery Date]]-OrdersTable[[#This Row],[Order Date]]</f>
        <v>2</v>
      </c>
      <c r="AD3601" t="str">
        <f>IF(OrdersTable[[#This Row],[Delivery Days]]&lt;=2, "Express (≤2d)", IF(OrdersTable[[#This Row],[Delivery Days]]&lt;=4, "Standard (3-4d)", "Delayed (5d+)"))</f>
        <v>Express (≤2d)</v>
      </c>
      <c r="AF3601">
        <v>0</v>
      </c>
    </row>
    <row r="3602" spans="1:32" ht="15" x14ac:dyDescent="0.35">
      <c r="A3602" t="s">
        <v>3920</v>
      </c>
      <c r="B3602" s="1">
        <v>45878</v>
      </c>
      <c r="C3602">
        <f>YEAR(OrdersTable[[#This Row],[Order Date]])</f>
        <v>2025</v>
      </c>
      <c r="D3602" s="2">
        <f>DATE(YEAR(OrdersTable[[#This Row],[Order Date]]),MONTH(OrdersTable[[#This Row],[Order Date]]),1)</f>
        <v>45870</v>
      </c>
      <c r="E3602">
        <f>MONTH(OrdersTable[[#This Row],[Order Date]])</f>
        <v>8</v>
      </c>
      <c r="F3602" t="s">
        <v>553</v>
      </c>
      <c r="G3602" t="str">
        <f>IF(OrdersTable[[#This Row],[Order Date]]=_xlfn.MINIFS(Order_Date, Customer_ID, OrdersTable[[#This Row],[Customer ID]]), "New", "Repeat")</f>
        <v>Repeat</v>
      </c>
      <c r="H3602" t="s">
        <v>32</v>
      </c>
      <c r="I3602" t="str">
        <f>INDEX(State!B:B,MATCH(OrdersTable[[#This Row],[State]],State!A:A,0))</f>
        <v>BR</v>
      </c>
      <c r="J3602" t="str">
        <f>INDEX(State!C:C,MATCH(OrdersTable[[#This Row],[State Code]],State!B:B,0))</f>
        <v>East</v>
      </c>
      <c r="K3602" t="s">
        <v>33</v>
      </c>
      <c r="L3602" t="s">
        <v>23</v>
      </c>
      <c r="M3602" t="s">
        <v>73</v>
      </c>
      <c r="N3602" t="str">
        <f>INDEX(Products!B:B,MATCH(OrdersTable[[#This Row],[Product ID]],Products!A:A,0))</f>
        <v>Hydrating Face Wash</v>
      </c>
      <c r="O3602" t="str">
        <f>INDEX(Products!C:C,MATCH(OrdersTable[[#This Row],[Product ID]],Products!A:A,0))</f>
        <v>Skincare</v>
      </c>
      <c r="P3602">
        <v>1</v>
      </c>
      <c r="Q3602" s="5">
        <v>299</v>
      </c>
      <c r="R3602" s="74">
        <v>0.1</v>
      </c>
      <c r="S3602" s="75">
        <f>OrdersTable[[#This Row],[Quantity]]*OrdersTable[[#This Row],[Unit Price]]</f>
        <v>299</v>
      </c>
      <c r="T3602" s="5">
        <f>OrdersTable[[#This Row],[Gross Sale]]*OrdersTable[[#This Row],[Discount_Clean2]]</f>
        <v>29.900000000000002</v>
      </c>
      <c r="U3602" s="5">
        <f>OrdersTable[[#This Row],[Gross Sale]]-OrdersTable[[#This Row],[Discount Amount]]</f>
        <v>269.10000000000002</v>
      </c>
      <c r="V3602" s="77">
        <f>INDEX(Products!E:E,MATCH(OrdersTable[[#This Row],[Product ID]],Products!A:A,0))</f>
        <v>90</v>
      </c>
      <c r="W3602" s="77">
        <f>OrdersTable[[#This Row],[Quantity]]*OrdersTable[[#This Row],[Unit Cost]]</f>
        <v>90</v>
      </c>
      <c r="X3602" s="77">
        <f>'Dropdown Lists'!$I$2*(1+OrdersTable[[#This Row],[Returned]])</f>
        <v>60</v>
      </c>
      <c r="Y3602" s="76">
        <f>OrdersTable[[#This Row],[Net Revenue]]-OrdersTable[[#This Row],[COGS]]-OrdersTable[[#This Row],[Shipping Cost]]</f>
        <v>119.10000000000002</v>
      </c>
      <c r="Z3602" s="78">
        <f>IFERROR(OrdersTable[[#This Row],[Profit]]/OrdersTable[[#This Row],[Net Revenue]],0)</f>
        <v>0.4425863991081383</v>
      </c>
      <c r="AA3602" t="s">
        <v>3495</v>
      </c>
      <c r="AB3602" s="79">
        <v>45882</v>
      </c>
      <c r="AC3602">
        <f>OrdersTable[[#This Row],[Delivery Date]]-OrdersTable[[#This Row],[Order Date]]</f>
        <v>4</v>
      </c>
      <c r="AD3602" t="str">
        <f>IF(OrdersTable[[#This Row],[Delivery Days]]&lt;=2, "Express (≤2d)", IF(OrdersTable[[#This Row],[Delivery Days]]&lt;=4, "Standard (3-4d)", "Delayed (5d+)"))</f>
        <v>Standard (3-4d)</v>
      </c>
      <c r="AE3602">
        <v>3</v>
      </c>
      <c r="AF3602">
        <v>0</v>
      </c>
    </row>
    <row r="3603" spans="1:32" ht="15" x14ac:dyDescent="0.35">
      <c r="A3603" t="s">
        <v>2015</v>
      </c>
      <c r="B3603" s="1">
        <v>45878</v>
      </c>
      <c r="C3603">
        <f>YEAR(OrdersTable[[#This Row],[Order Date]])</f>
        <v>2025</v>
      </c>
      <c r="D3603" s="2">
        <f>DATE(YEAR(OrdersTable[[#This Row],[Order Date]]),MONTH(OrdersTable[[#This Row],[Order Date]]),1)</f>
        <v>45870</v>
      </c>
      <c r="E3603">
        <f>MONTH(OrdersTable[[#This Row],[Order Date]])</f>
        <v>8</v>
      </c>
      <c r="F3603" t="s">
        <v>2016</v>
      </c>
      <c r="G3603" t="str">
        <f>IF(OrdersTable[[#This Row],[Order Date]]=_xlfn.MINIFS(Order_Date, Customer_ID, OrdersTable[[#This Row],[Customer ID]]), "New", "Repeat")</f>
        <v>Repeat</v>
      </c>
      <c r="H3603" t="s">
        <v>132</v>
      </c>
      <c r="I3603" t="str">
        <f>INDEX(State!B:B,MATCH(OrdersTable[[#This Row],[State]],State!A:A,0))</f>
        <v>AS</v>
      </c>
      <c r="J3603" t="str">
        <f>INDEX(State!C:C,MATCH(OrdersTable[[#This Row],[State Code]],State!B:B,0))</f>
        <v>East</v>
      </c>
      <c r="K3603" t="s">
        <v>133</v>
      </c>
      <c r="L3603" t="s">
        <v>23</v>
      </c>
      <c r="M3603" t="s">
        <v>24</v>
      </c>
      <c r="N3603" t="str">
        <f>INDEX(Products!B:B,MATCH(OrdersTable[[#This Row],[Product ID]],Products!A:A,0))</f>
        <v>Scented Candle Set</v>
      </c>
      <c r="O3603" t="str">
        <f>INDEX(Products!C:C,MATCH(OrdersTable[[#This Row],[Product ID]],Products!A:A,0))</f>
        <v>Home &amp; Kitchen</v>
      </c>
      <c r="P3603">
        <v>1</v>
      </c>
      <c r="Q3603" s="5">
        <v>699</v>
      </c>
      <c r="R3603" s="74">
        <v>0.2</v>
      </c>
      <c r="S3603" s="75">
        <f>OrdersTable[[#This Row],[Quantity]]*OrdersTable[[#This Row],[Unit Price]]</f>
        <v>699</v>
      </c>
      <c r="T3603" s="5">
        <f>OrdersTable[[#This Row],[Gross Sale]]*OrdersTable[[#This Row],[Discount_Clean2]]</f>
        <v>139.80000000000001</v>
      </c>
      <c r="U3603" s="5">
        <f>OrdersTable[[#This Row],[Gross Sale]]-OrdersTable[[#This Row],[Discount Amount]]</f>
        <v>559.20000000000005</v>
      </c>
      <c r="V3603" s="77">
        <f>INDEX(Products!E:E,MATCH(OrdersTable[[#This Row],[Product ID]],Products!A:A,0))</f>
        <v>245</v>
      </c>
      <c r="W3603" s="77">
        <f>OrdersTable[[#This Row],[Quantity]]*OrdersTable[[#This Row],[Unit Cost]]</f>
        <v>245</v>
      </c>
      <c r="X3603" s="77">
        <f>'Dropdown Lists'!$I$2*(1+OrdersTable[[#This Row],[Returned]])</f>
        <v>60</v>
      </c>
      <c r="Y3603" s="76">
        <f>OrdersTable[[#This Row],[Net Revenue]]-OrdersTable[[#This Row],[COGS]]-OrdersTable[[#This Row],[Shipping Cost]]</f>
        <v>254.20000000000005</v>
      </c>
      <c r="Z3603" s="78">
        <f>IFERROR(OrdersTable[[#This Row],[Profit]]/OrdersTable[[#This Row],[Net Revenue]],0)</f>
        <v>0.45457796852646642</v>
      </c>
      <c r="AA3603" t="s">
        <v>18</v>
      </c>
      <c r="AB3603" s="79">
        <v>45887</v>
      </c>
      <c r="AC3603">
        <f>OrdersTable[[#This Row],[Delivery Date]]-OrdersTable[[#This Row],[Order Date]]</f>
        <v>9</v>
      </c>
      <c r="AD3603" t="str">
        <f>IF(OrdersTable[[#This Row],[Delivery Days]]&lt;=2, "Express (≤2d)", IF(OrdersTable[[#This Row],[Delivery Days]]&lt;=4, "Standard (3-4d)", "Delayed (5d+)"))</f>
        <v>Delayed (5d+)</v>
      </c>
      <c r="AE3603">
        <v>3</v>
      </c>
      <c r="AF3603">
        <v>0</v>
      </c>
    </row>
    <row r="3604" spans="1:32" ht="15" x14ac:dyDescent="0.35">
      <c r="A3604" t="s">
        <v>644</v>
      </c>
      <c r="B3604" s="1">
        <v>45878</v>
      </c>
      <c r="C3604">
        <f>YEAR(OrdersTable[[#This Row],[Order Date]])</f>
        <v>2025</v>
      </c>
      <c r="D3604" s="2">
        <f>DATE(YEAR(OrdersTable[[#This Row],[Order Date]]),MONTH(OrdersTable[[#This Row],[Order Date]]),1)</f>
        <v>45870</v>
      </c>
      <c r="E3604">
        <f>MONTH(OrdersTable[[#This Row],[Order Date]])</f>
        <v>8</v>
      </c>
      <c r="F3604" t="s">
        <v>645</v>
      </c>
      <c r="G3604" t="str">
        <f>IF(OrdersTable[[#This Row],[Order Date]]=_xlfn.MINIFS(Order_Date, Customer_ID, OrdersTable[[#This Row],[Customer ID]]), "New", "Repeat")</f>
        <v>Repeat</v>
      </c>
      <c r="H3604" t="s">
        <v>37</v>
      </c>
      <c r="I3604" t="str">
        <f>INDEX(State!B:B,MATCH(OrdersTable[[#This Row],[State]],State!A:A,0))</f>
        <v>GJ</v>
      </c>
      <c r="J3604" t="str">
        <f>INDEX(State!C:C,MATCH(OrdersTable[[#This Row],[State Code]],State!B:B,0))</f>
        <v>West</v>
      </c>
      <c r="K3604" t="s">
        <v>247</v>
      </c>
      <c r="L3604" t="s">
        <v>23</v>
      </c>
      <c r="M3604" t="s">
        <v>45</v>
      </c>
      <c r="N3604" t="str">
        <f>INDEX(Products!B:B,MATCH(OrdersTable[[#This Row],[Product ID]],Products!A:A,0))</f>
        <v>Argan Shampoo</v>
      </c>
      <c r="O3604" t="str">
        <f>INDEX(Products!C:C,MATCH(OrdersTable[[#This Row],[Product ID]],Products!A:A,0))</f>
        <v>Haircare</v>
      </c>
      <c r="P3604">
        <v>1</v>
      </c>
      <c r="Q3604" s="5">
        <v>449</v>
      </c>
      <c r="R3604" s="74">
        <v>0.15</v>
      </c>
      <c r="S3604" s="75">
        <f>OrdersTable[[#This Row],[Quantity]]*OrdersTable[[#This Row],[Unit Price]]</f>
        <v>449</v>
      </c>
      <c r="T3604" s="5">
        <f>OrdersTable[[#This Row],[Gross Sale]]*OrdersTable[[#This Row],[Discount_Clean2]]</f>
        <v>67.349999999999994</v>
      </c>
      <c r="U3604" s="5">
        <f>OrdersTable[[#This Row],[Gross Sale]]-OrdersTable[[#This Row],[Discount Amount]]</f>
        <v>381.65</v>
      </c>
      <c r="V3604" s="77">
        <f>INDEX(Products!E:E,MATCH(OrdersTable[[#This Row],[Product ID]],Products!A:A,0))</f>
        <v>148</v>
      </c>
      <c r="W3604" s="77">
        <f>OrdersTable[[#This Row],[Quantity]]*OrdersTable[[#This Row],[Unit Cost]]</f>
        <v>148</v>
      </c>
      <c r="X3604" s="77">
        <f>'Dropdown Lists'!$I$2*(1+OrdersTable[[#This Row],[Returned]])</f>
        <v>60</v>
      </c>
      <c r="Y3604" s="76">
        <f>OrdersTable[[#This Row],[Net Revenue]]-OrdersTable[[#This Row],[COGS]]-OrdersTable[[#This Row],[Shipping Cost]]</f>
        <v>173.64999999999998</v>
      </c>
      <c r="Z3604" s="78">
        <f>IFERROR(OrdersTable[[#This Row],[Profit]]/OrdersTable[[#This Row],[Net Revenue]],0)</f>
        <v>0.45499803484868334</v>
      </c>
      <c r="AA3604" t="s">
        <v>18</v>
      </c>
      <c r="AB3604" s="79">
        <v>45879</v>
      </c>
      <c r="AC3604">
        <f>OrdersTable[[#This Row],[Delivery Date]]-OrdersTable[[#This Row],[Order Date]]</f>
        <v>1</v>
      </c>
      <c r="AD3604" t="str">
        <f>IF(OrdersTable[[#This Row],[Delivery Days]]&lt;=2, "Express (≤2d)", IF(OrdersTable[[#This Row],[Delivery Days]]&lt;=4, "Standard (3-4d)", "Delayed (5d+)"))</f>
        <v>Express (≤2d)</v>
      </c>
      <c r="AE3604">
        <v>4</v>
      </c>
      <c r="AF3604">
        <v>0</v>
      </c>
    </row>
    <row r="3605" spans="1:32" ht="15" x14ac:dyDescent="0.35">
      <c r="A3605" t="s">
        <v>4842</v>
      </c>
      <c r="B3605" s="1">
        <v>45878</v>
      </c>
      <c r="C3605">
        <f>YEAR(OrdersTable[[#This Row],[Order Date]])</f>
        <v>2025</v>
      </c>
      <c r="D3605" s="2">
        <f>DATE(YEAR(OrdersTable[[#This Row],[Order Date]]),MONTH(OrdersTable[[#This Row],[Order Date]]),1)</f>
        <v>45870</v>
      </c>
      <c r="E3605">
        <f>MONTH(OrdersTable[[#This Row],[Order Date]])</f>
        <v>8</v>
      </c>
      <c r="F3605" t="s">
        <v>4843</v>
      </c>
      <c r="G3605" t="str">
        <f>IF(OrdersTable[[#This Row],[Order Date]]=_xlfn.MINIFS(Order_Date, Customer_ID, OrdersTable[[#This Row],[Customer ID]]), "New", "Repeat")</f>
        <v>New</v>
      </c>
      <c r="H3605" t="s">
        <v>43</v>
      </c>
      <c r="I3605" t="str">
        <f>INDEX(State!B:B,MATCH(OrdersTable[[#This Row],[State]],State!A:A,0))</f>
        <v>MP</v>
      </c>
      <c r="J3605" t="str">
        <f>INDEX(State!C:C,MATCH(OrdersTable[[#This Row],[State Code]],State!B:B,0))</f>
        <v>West</v>
      </c>
      <c r="K3605" t="s">
        <v>250</v>
      </c>
      <c r="L3605" t="s">
        <v>65</v>
      </c>
      <c r="M3605" t="s">
        <v>51</v>
      </c>
      <c r="N3605" t="str">
        <f>INDEX(Products!B:B,MATCH(OrdersTable[[#This Row],[Product ID]],Products!A:A,0))</f>
        <v>Anti-Dandruff Conditioner</v>
      </c>
      <c r="O3605" t="str">
        <f>INDEX(Products!C:C,MATCH(OrdersTable[[#This Row],[Product ID]],Products!A:A,0))</f>
        <v>Haircare</v>
      </c>
      <c r="P3605">
        <v>2</v>
      </c>
      <c r="Q3605" s="5">
        <v>399</v>
      </c>
      <c r="R3605" s="74">
        <v>0.3</v>
      </c>
      <c r="S3605" s="75">
        <f>OrdersTable[[#This Row],[Quantity]]*OrdersTable[[#This Row],[Unit Price]]</f>
        <v>798</v>
      </c>
      <c r="T3605" s="5">
        <f>OrdersTable[[#This Row],[Gross Sale]]*OrdersTable[[#This Row],[Discount_Clean2]]</f>
        <v>239.39999999999998</v>
      </c>
      <c r="U3605" s="5">
        <f>OrdersTable[[#This Row],[Gross Sale]]-OrdersTable[[#This Row],[Discount Amount]]</f>
        <v>558.6</v>
      </c>
      <c r="V3605" s="77">
        <f>INDEX(Products!E:E,MATCH(OrdersTable[[#This Row],[Product ID]],Products!A:A,0))</f>
        <v>136</v>
      </c>
      <c r="W3605" s="77">
        <f>OrdersTable[[#This Row],[Quantity]]*OrdersTable[[#This Row],[Unit Cost]]</f>
        <v>272</v>
      </c>
      <c r="X3605" s="77">
        <f>'Dropdown Lists'!$I$2*(1+OrdersTable[[#This Row],[Returned]])</f>
        <v>60</v>
      </c>
      <c r="Y3605" s="76">
        <f>OrdersTable[[#This Row],[Net Revenue]]-OrdersTable[[#This Row],[COGS]]-OrdersTable[[#This Row],[Shipping Cost]]</f>
        <v>226.60000000000002</v>
      </c>
      <c r="Z3605" s="78">
        <f>IFERROR(OrdersTable[[#This Row],[Profit]]/OrdersTable[[#This Row],[Net Revenue]],0)</f>
        <v>0.40565699964196206</v>
      </c>
      <c r="AA3605" t="s">
        <v>4450</v>
      </c>
      <c r="AB3605" s="79">
        <v>45882</v>
      </c>
      <c r="AC3605">
        <f>OrdersTable[[#This Row],[Delivery Date]]-OrdersTable[[#This Row],[Order Date]]</f>
        <v>4</v>
      </c>
      <c r="AD3605" t="str">
        <f>IF(OrdersTable[[#This Row],[Delivery Days]]&lt;=2, "Express (≤2d)", IF(OrdersTable[[#This Row],[Delivery Days]]&lt;=4, "Standard (3-4d)", "Delayed (5d+)"))</f>
        <v>Standard (3-4d)</v>
      </c>
      <c r="AF3605">
        <v>0</v>
      </c>
    </row>
    <row r="3606" spans="1:32" ht="15" x14ac:dyDescent="0.35">
      <c r="A3606" t="s">
        <v>6389</v>
      </c>
      <c r="B3606" s="1">
        <v>45878</v>
      </c>
      <c r="C3606">
        <f>YEAR(OrdersTable[[#This Row],[Order Date]])</f>
        <v>2025</v>
      </c>
      <c r="D3606" s="2">
        <f>DATE(YEAR(OrdersTable[[#This Row],[Order Date]]),MONTH(OrdersTable[[#This Row],[Order Date]]),1)</f>
        <v>45870</v>
      </c>
      <c r="E3606">
        <f>MONTH(OrdersTable[[#This Row],[Order Date]])</f>
        <v>8</v>
      </c>
      <c r="F3606" t="s">
        <v>3313</v>
      </c>
      <c r="G3606" t="str">
        <f>IF(OrdersTable[[#This Row],[Order Date]]=_xlfn.MINIFS(Order_Date, Customer_ID, OrdersTable[[#This Row],[Customer ID]]), "New", "Repeat")</f>
        <v>Repeat</v>
      </c>
      <c r="H3606" t="s">
        <v>27</v>
      </c>
      <c r="I3606" t="str">
        <f>INDEX(State!B:B,MATCH(OrdersTable[[#This Row],[State]],State!A:A,0))</f>
        <v>WB</v>
      </c>
      <c r="J3606" t="str">
        <f>INDEX(State!C:C,MATCH(OrdersTable[[#This Row],[State Code]],State!B:B,0))</f>
        <v>East</v>
      </c>
      <c r="K3606" t="s">
        <v>28</v>
      </c>
      <c r="L3606" t="s">
        <v>23</v>
      </c>
      <c r="M3606" t="s">
        <v>51</v>
      </c>
      <c r="N3606" t="str">
        <f>INDEX(Products!B:B,MATCH(OrdersTable[[#This Row],[Product ID]],Products!A:A,0))</f>
        <v>Anti-Dandruff Conditioner</v>
      </c>
      <c r="O3606" t="str">
        <f>INDEX(Products!C:C,MATCH(OrdersTable[[#This Row],[Product ID]],Products!A:A,0))</f>
        <v>Haircare</v>
      </c>
      <c r="P3606">
        <v>2</v>
      </c>
      <c r="Q3606" s="5">
        <v>399</v>
      </c>
      <c r="R3606" s="74">
        <v>0.4</v>
      </c>
      <c r="S3606" s="75">
        <f>OrdersTable[[#This Row],[Quantity]]*OrdersTable[[#This Row],[Unit Price]]</f>
        <v>798</v>
      </c>
      <c r="T3606" s="5">
        <f>OrdersTable[[#This Row],[Gross Sale]]*OrdersTable[[#This Row],[Discount_Clean2]]</f>
        <v>319.20000000000005</v>
      </c>
      <c r="U3606" s="5">
        <f>OrdersTable[[#This Row],[Gross Sale]]-OrdersTable[[#This Row],[Discount Amount]]</f>
        <v>478.79999999999995</v>
      </c>
      <c r="V3606" s="77">
        <f>INDEX(Products!E:E,MATCH(OrdersTable[[#This Row],[Product ID]],Products!A:A,0))</f>
        <v>136</v>
      </c>
      <c r="W3606" s="77">
        <f>OrdersTable[[#This Row],[Quantity]]*OrdersTable[[#This Row],[Unit Cost]]</f>
        <v>272</v>
      </c>
      <c r="X3606" s="77">
        <f>'Dropdown Lists'!$I$2*(1+OrdersTable[[#This Row],[Returned]])</f>
        <v>120</v>
      </c>
      <c r="Y3606" s="76">
        <f>OrdersTable[[#This Row],[Net Revenue]]-OrdersTable[[#This Row],[COGS]]-OrdersTable[[#This Row],[Shipping Cost]]</f>
        <v>86.799999999999955</v>
      </c>
      <c r="Z3606" s="78">
        <f>IFERROR(OrdersTable[[#This Row],[Profit]]/OrdersTable[[#This Row],[Net Revenue]],0)</f>
        <v>0.18128654970760227</v>
      </c>
      <c r="AA3606" t="s">
        <v>18</v>
      </c>
      <c r="AB3606" s="79">
        <v>45884</v>
      </c>
      <c r="AC3606">
        <f>OrdersTable[[#This Row],[Delivery Date]]-OrdersTable[[#This Row],[Order Date]]</f>
        <v>6</v>
      </c>
      <c r="AD3606" t="str">
        <f>IF(OrdersTable[[#This Row],[Delivery Days]]&lt;=2, "Express (≤2d)", IF(OrdersTable[[#This Row],[Delivery Days]]&lt;=4, "Standard (3-4d)", "Delayed (5d+)"))</f>
        <v>Delayed (5d+)</v>
      </c>
      <c r="AF3606">
        <v>1</v>
      </c>
    </row>
    <row r="3607" spans="1:32" ht="15" x14ac:dyDescent="0.35">
      <c r="A3607" t="s">
        <v>6390</v>
      </c>
      <c r="B3607" s="1">
        <v>45878</v>
      </c>
      <c r="C3607">
        <f>YEAR(OrdersTable[[#This Row],[Order Date]])</f>
        <v>2025</v>
      </c>
      <c r="D3607" s="2">
        <f>DATE(YEAR(OrdersTable[[#This Row],[Order Date]]),MONTH(OrdersTable[[#This Row],[Order Date]]),1)</f>
        <v>45870</v>
      </c>
      <c r="E3607">
        <f>MONTH(OrdersTable[[#This Row],[Order Date]])</f>
        <v>8</v>
      </c>
      <c r="F3607" t="s">
        <v>2912</v>
      </c>
      <c r="G3607" t="str">
        <f>IF(OrdersTable[[#This Row],[Order Date]]=_xlfn.MINIFS(Order_Date, Customer_ID, OrdersTable[[#This Row],[Customer ID]]), "New", "Repeat")</f>
        <v>Repeat</v>
      </c>
      <c r="H3607" t="s">
        <v>71</v>
      </c>
      <c r="I3607" t="str">
        <f>INDEX(State!B:B,MATCH(OrdersTable[[#This Row],[State]],State!A:A,0))</f>
        <v>MH</v>
      </c>
      <c r="J3607" t="str">
        <f>INDEX(State!C:C,MATCH(OrdersTable[[#This Row],[State Code]],State!B:B,0))</f>
        <v>West</v>
      </c>
      <c r="K3607" t="s">
        <v>102</v>
      </c>
      <c r="L3607" t="s">
        <v>23</v>
      </c>
      <c r="M3607" t="s">
        <v>160</v>
      </c>
      <c r="N3607" t="str">
        <f>INDEX(Products!B:B,MATCH(OrdersTable[[#This Row],[Product ID]],Products!A:A,0))</f>
        <v>Niacinamide Toner</v>
      </c>
      <c r="O3607" t="str">
        <f>INDEX(Products!C:C,MATCH(OrdersTable[[#This Row],[Product ID]],Products!A:A,0))</f>
        <v>Skincare</v>
      </c>
      <c r="P3607">
        <v>2</v>
      </c>
      <c r="Q3607" s="5">
        <v>399</v>
      </c>
      <c r="R3607" s="74">
        <v>0.15</v>
      </c>
      <c r="S3607" s="75">
        <f>OrdersTable[[#This Row],[Quantity]]*OrdersTable[[#This Row],[Unit Price]]</f>
        <v>798</v>
      </c>
      <c r="T3607" s="5">
        <f>OrdersTable[[#This Row],[Gross Sale]]*OrdersTable[[#This Row],[Discount_Clean2]]</f>
        <v>119.69999999999999</v>
      </c>
      <c r="U3607" s="5">
        <f>OrdersTable[[#This Row],[Gross Sale]]-OrdersTable[[#This Row],[Discount Amount]]</f>
        <v>678.3</v>
      </c>
      <c r="V3607" s="77">
        <f>INDEX(Products!E:E,MATCH(OrdersTable[[#This Row],[Product ID]],Products!A:A,0))</f>
        <v>112</v>
      </c>
      <c r="W3607" s="77">
        <f>OrdersTable[[#This Row],[Quantity]]*OrdersTable[[#This Row],[Unit Cost]]</f>
        <v>224</v>
      </c>
      <c r="X3607" s="77">
        <f>'Dropdown Lists'!$I$2*(1+OrdersTable[[#This Row],[Returned]])</f>
        <v>60</v>
      </c>
      <c r="Y3607" s="76">
        <f>OrdersTable[[#This Row],[Net Revenue]]-OrdersTable[[#This Row],[COGS]]-OrdersTable[[#This Row],[Shipping Cost]]</f>
        <v>394.29999999999995</v>
      </c>
      <c r="Z3607" s="78">
        <f>IFERROR(OrdersTable[[#This Row],[Profit]]/OrdersTable[[#This Row],[Net Revenue]],0)</f>
        <v>0.58130620669320354</v>
      </c>
      <c r="AA3607" t="s">
        <v>18</v>
      </c>
      <c r="AB3607" s="79">
        <v>45881</v>
      </c>
      <c r="AC3607">
        <f>OrdersTable[[#This Row],[Delivery Date]]-OrdersTable[[#This Row],[Order Date]]</f>
        <v>3</v>
      </c>
      <c r="AD3607" t="str">
        <f>IF(OrdersTable[[#This Row],[Delivery Days]]&lt;=2, "Express (≤2d)", IF(OrdersTable[[#This Row],[Delivery Days]]&lt;=4, "Standard (3-4d)", "Delayed (5d+)"))</f>
        <v>Standard (3-4d)</v>
      </c>
      <c r="AE3607">
        <v>4</v>
      </c>
      <c r="AF3607">
        <v>0</v>
      </c>
    </row>
    <row r="3608" spans="1:32" ht="15" x14ac:dyDescent="0.35">
      <c r="A3608" t="s">
        <v>4619</v>
      </c>
      <c r="B3608" s="1">
        <v>45878</v>
      </c>
      <c r="C3608">
        <f>YEAR(OrdersTable[[#This Row],[Order Date]])</f>
        <v>2025</v>
      </c>
      <c r="D3608" s="2">
        <f>DATE(YEAR(OrdersTable[[#This Row],[Order Date]]),MONTH(OrdersTable[[#This Row],[Order Date]]),1)</f>
        <v>45870</v>
      </c>
      <c r="E3608">
        <f>MONTH(OrdersTable[[#This Row],[Order Date]])</f>
        <v>8</v>
      </c>
      <c r="F3608" t="s">
        <v>2459</v>
      </c>
      <c r="G3608" t="str">
        <f>IF(OrdersTable[[#This Row],[Order Date]]=_xlfn.MINIFS(Order_Date, Customer_ID, OrdersTable[[#This Row],[Customer ID]]), "New", "Repeat")</f>
        <v>New</v>
      </c>
      <c r="H3608" t="s">
        <v>71</v>
      </c>
      <c r="I3608" t="str">
        <f>INDEX(State!B:B,MATCH(OrdersTable[[#This Row],[State]],State!A:A,0))</f>
        <v>MH</v>
      </c>
      <c r="J3608" t="str">
        <f>INDEX(State!C:C,MATCH(OrdersTable[[#This Row],[State Code]],State!B:B,0))</f>
        <v>West</v>
      </c>
      <c r="K3608" t="s">
        <v>72</v>
      </c>
      <c r="L3608" t="s">
        <v>23</v>
      </c>
      <c r="M3608" t="s">
        <v>61</v>
      </c>
      <c r="N3608" t="str">
        <f>INDEX(Products!B:B,MATCH(OrdersTable[[#This Row],[Product ID]],Products!A:A,0))</f>
        <v>Multivitamin Gummies</v>
      </c>
      <c r="O3608" t="str">
        <f>INDEX(Products!C:C,MATCH(OrdersTable[[#This Row],[Product ID]],Products!A:A,0))</f>
        <v>Wellness</v>
      </c>
      <c r="P3608">
        <v>1</v>
      </c>
      <c r="Q3608" s="5">
        <v>699</v>
      </c>
      <c r="R3608" s="74">
        <v>0.2</v>
      </c>
      <c r="S3608" s="75">
        <f>OrdersTable[[#This Row],[Quantity]]*OrdersTable[[#This Row],[Unit Price]]</f>
        <v>699</v>
      </c>
      <c r="T3608" s="5">
        <f>OrdersTable[[#This Row],[Gross Sale]]*OrdersTable[[#This Row],[Discount_Clean2]]</f>
        <v>139.80000000000001</v>
      </c>
      <c r="U3608" s="5">
        <f>OrdersTable[[#This Row],[Gross Sale]]-OrdersTable[[#This Row],[Discount Amount]]</f>
        <v>559.20000000000005</v>
      </c>
      <c r="V3608" s="77">
        <f>INDEX(Products!E:E,MATCH(OrdersTable[[#This Row],[Product ID]],Products!A:A,0))</f>
        <v>238</v>
      </c>
      <c r="W3608" s="77">
        <f>OrdersTable[[#This Row],[Quantity]]*OrdersTable[[#This Row],[Unit Cost]]</f>
        <v>238</v>
      </c>
      <c r="X3608" s="77">
        <f>'Dropdown Lists'!$I$2*(1+OrdersTable[[#This Row],[Returned]])</f>
        <v>60</v>
      </c>
      <c r="Y3608" s="76">
        <f>OrdersTable[[#This Row],[Net Revenue]]-OrdersTable[[#This Row],[COGS]]-OrdersTable[[#This Row],[Shipping Cost]]</f>
        <v>261.20000000000005</v>
      </c>
      <c r="Z3608" s="78">
        <f>IFERROR(OrdersTable[[#This Row],[Profit]]/OrdersTable[[#This Row],[Net Revenue]],0)</f>
        <v>0.46709585121602293</v>
      </c>
      <c r="AA3608" t="s">
        <v>4450</v>
      </c>
      <c r="AB3608" s="79">
        <v>45879</v>
      </c>
      <c r="AC3608">
        <f>OrdersTable[[#This Row],[Delivery Date]]-OrdersTable[[#This Row],[Order Date]]</f>
        <v>1</v>
      </c>
      <c r="AD3608" t="str">
        <f>IF(OrdersTable[[#This Row],[Delivery Days]]&lt;=2, "Express (≤2d)", IF(OrdersTable[[#This Row],[Delivery Days]]&lt;=4, "Standard (3-4d)", "Delayed (5d+)"))</f>
        <v>Express (≤2d)</v>
      </c>
      <c r="AF3608">
        <v>0</v>
      </c>
    </row>
    <row r="3609" spans="1:32" ht="15" x14ac:dyDescent="0.35">
      <c r="A3609" t="s">
        <v>4046</v>
      </c>
      <c r="B3609" s="1">
        <v>45878</v>
      </c>
      <c r="C3609">
        <f>YEAR(OrdersTable[[#This Row],[Order Date]])</f>
        <v>2025</v>
      </c>
      <c r="D3609" s="2">
        <f>DATE(YEAR(OrdersTable[[#This Row],[Order Date]]),MONTH(OrdersTable[[#This Row],[Order Date]]),1)</f>
        <v>45870</v>
      </c>
      <c r="E3609">
        <f>MONTH(OrdersTable[[#This Row],[Order Date]])</f>
        <v>8</v>
      </c>
      <c r="F3609" t="s">
        <v>668</v>
      </c>
      <c r="G3609" t="str">
        <f>IF(OrdersTable[[#This Row],[Order Date]]=_xlfn.MINIFS(Order_Date, Customer_ID, OrdersTable[[#This Row],[Customer ID]]), "New", "Repeat")</f>
        <v>New</v>
      </c>
      <c r="H3609" t="s">
        <v>71</v>
      </c>
      <c r="I3609" t="str">
        <f>INDEX(State!B:B,MATCH(OrdersTable[[#This Row],[State]],State!A:A,0))</f>
        <v>MH</v>
      </c>
      <c r="J3609" t="str">
        <f>INDEX(State!C:C,MATCH(OrdersTable[[#This Row],[State Code]],State!B:B,0))</f>
        <v>West</v>
      </c>
      <c r="K3609" t="s">
        <v>81</v>
      </c>
      <c r="L3609" t="s">
        <v>23</v>
      </c>
      <c r="M3609" t="s">
        <v>87</v>
      </c>
      <c r="N3609" t="str">
        <f>INDEX(Products!B:B,MATCH(OrdersTable[[#This Row],[Product ID]],Products!A:A,0))</f>
        <v>Linen Kurta</v>
      </c>
      <c r="O3609" t="str">
        <f>INDEX(Products!C:C,MATCH(OrdersTable[[#This Row],[Product ID]],Products!A:A,0))</f>
        <v>Apparel</v>
      </c>
      <c r="P3609">
        <v>1</v>
      </c>
      <c r="Q3609" s="5">
        <v>1499</v>
      </c>
      <c r="R3609" s="74">
        <v>0.3</v>
      </c>
      <c r="S3609" s="75">
        <f>OrdersTable[[#This Row],[Quantity]]*OrdersTable[[#This Row],[Unit Price]]</f>
        <v>1499</v>
      </c>
      <c r="T3609" s="5">
        <f>OrdersTable[[#This Row],[Gross Sale]]*OrdersTable[[#This Row],[Discount_Clean2]]</f>
        <v>449.7</v>
      </c>
      <c r="U3609" s="5">
        <f>OrdersTable[[#This Row],[Gross Sale]]-OrdersTable[[#This Row],[Discount Amount]]</f>
        <v>1049.3</v>
      </c>
      <c r="V3609" s="77">
        <f>INDEX(Products!E:E,MATCH(OrdersTable[[#This Row],[Product ID]],Products!A:A,0))</f>
        <v>630</v>
      </c>
      <c r="W3609" s="77">
        <f>OrdersTable[[#This Row],[Quantity]]*OrdersTable[[#This Row],[Unit Cost]]</f>
        <v>630</v>
      </c>
      <c r="X3609" s="77">
        <f>'Dropdown Lists'!$I$2*(1+OrdersTable[[#This Row],[Returned]])</f>
        <v>60</v>
      </c>
      <c r="Y3609" s="76">
        <f>OrdersTable[[#This Row],[Net Revenue]]-OrdersTable[[#This Row],[COGS]]-OrdersTable[[#This Row],[Shipping Cost]]</f>
        <v>359.29999999999995</v>
      </c>
      <c r="Z3609" s="78">
        <f>IFERROR(OrdersTable[[#This Row],[Profit]]/OrdersTable[[#This Row],[Net Revenue]],0)</f>
        <v>0.34241875536071664</v>
      </c>
      <c r="AA3609" t="s">
        <v>3495</v>
      </c>
      <c r="AB3609" s="79">
        <v>45879</v>
      </c>
      <c r="AC3609">
        <f>OrdersTable[[#This Row],[Delivery Date]]-OrdersTable[[#This Row],[Order Date]]</f>
        <v>1</v>
      </c>
      <c r="AD3609" t="str">
        <f>IF(OrdersTable[[#This Row],[Delivery Days]]&lt;=2, "Express (≤2d)", IF(OrdersTable[[#This Row],[Delivery Days]]&lt;=4, "Standard (3-4d)", "Delayed (5d+)"))</f>
        <v>Express (≤2d)</v>
      </c>
      <c r="AE3609">
        <v>5</v>
      </c>
      <c r="AF3609">
        <v>0</v>
      </c>
    </row>
    <row r="3610" spans="1:32" ht="15" x14ac:dyDescent="0.35">
      <c r="A3610" t="s">
        <v>2440</v>
      </c>
      <c r="B3610" s="1">
        <v>45878</v>
      </c>
      <c r="C3610">
        <f>YEAR(OrdersTable[[#This Row],[Order Date]])</f>
        <v>2025</v>
      </c>
      <c r="D3610" s="2">
        <f>DATE(YEAR(OrdersTable[[#This Row],[Order Date]]),MONTH(OrdersTable[[#This Row],[Order Date]]),1)</f>
        <v>45870</v>
      </c>
      <c r="E3610">
        <f>MONTH(OrdersTable[[#This Row],[Order Date]])</f>
        <v>8</v>
      </c>
      <c r="F3610" t="s">
        <v>2296</v>
      </c>
      <c r="G3610" t="str">
        <f>IF(OrdersTable[[#This Row],[Order Date]]=_xlfn.MINIFS(Order_Date, Customer_ID, OrdersTable[[#This Row],[Customer ID]]), "New", "Repeat")</f>
        <v>Repeat</v>
      </c>
      <c r="H3610" t="s">
        <v>275</v>
      </c>
      <c r="I3610" t="str">
        <f>INDEX(State!B:B,MATCH(OrdersTable[[#This Row],[State]],State!A:A,0))</f>
        <v>AP</v>
      </c>
      <c r="J3610" t="str">
        <f>INDEX(State!C:C,MATCH(OrdersTable[[#This Row],[State Code]],State!B:B,0))</f>
        <v>South</v>
      </c>
      <c r="K3610" t="s">
        <v>491</v>
      </c>
      <c r="L3610" t="s">
        <v>50</v>
      </c>
      <c r="M3610" t="s">
        <v>45</v>
      </c>
      <c r="N3610" t="str">
        <f>INDEX(Products!B:B,MATCH(OrdersTable[[#This Row],[Product ID]],Products!A:A,0))</f>
        <v>Argan Shampoo</v>
      </c>
      <c r="O3610" t="str">
        <f>INDEX(Products!C:C,MATCH(OrdersTable[[#This Row],[Product ID]],Products!A:A,0))</f>
        <v>Haircare</v>
      </c>
      <c r="P3610">
        <v>1</v>
      </c>
      <c r="Q3610" s="5">
        <v>449</v>
      </c>
      <c r="R3610" s="74">
        <v>0.15</v>
      </c>
      <c r="S3610" s="75">
        <f>OrdersTable[[#This Row],[Quantity]]*OrdersTable[[#This Row],[Unit Price]]</f>
        <v>449</v>
      </c>
      <c r="T3610" s="5">
        <f>OrdersTable[[#This Row],[Gross Sale]]*OrdersTable[[#This Row],[Discount_Clean2]]</f>
        <v>67.349999999999994</v>
      </c>
      <c r="U3610" s="5">
        <f>OrdersTable[[#This Row],[Gross Sale]]-OrdersTable[[#This Row],[Discount Amount]]</f>
        <v>381.65</v>
      </c>
      <c r="V3610" s="77">
        <f>INDEX(Products!E:E,MATCH(OrdersTable[[#This Row],[Product ID]],Products!A:A,0))</f>
        <v>148</v>
      </c>
      <c r="W3610" s="77">
        <f>OrdersTable[[#This Row],[Quantity]]*OrdersTable[[#This Row],[Unit Cost]]</f>
        <v>148</v>
      </c>
      <c r="X3610" s="77">
        <f>'Dropdown Lists'!$I$2*(1+OrdersTable[[#This Row],[Returned]])</f>
        <v>60</v>
      </c>
      <c r="Y3610" s="76">
        <f>OrdersTable[[#This Row],[Net Revenue]]-OrdersTable[[#This Row],[COGS]]-OrdersTable[[#This Row],[Shipping Cost]]</f>
        <v>173.64999999999998</v>
      </c>
      <c r="Z3610" s="78">
        <f>IFERROR(OrdersTable[[#This Row],[Profit]]/OrdersTable[[#This Row],[Net Revenue]],0)</f>
        <v>0.45499803484868334</v>
      </c>
      <c r="AA3610" t="s">
        <v>18</v>
      </c>
      <c r="AB3610" s="79">
        <v>45881</v>
      </c>
      <c r="AC3610">
        <f>OrdersTable[[#This Row],[Delivery Date]]-OrdersTable[[#This Row],[Order Date]]</f>
        <v>3</v>
      </c>
      <c r="AD3610" t="str">
        <f>IF(OrdersTable[[#This Row],[Delivery Days]]&lt;=2, "Express (≤2d)", IF(OrdersTable[[#This Row],[Delivery Days]]&lt;=4, "Standard (3-4d)", "Delayed (5d+)"))</f>
        <v>Standard (3-4d)</v>
      </c>
      <c r="AE3610">
        <v>5</v>
      </c>
      <c r="AF3610">
        <v>0</v>
      </c>
    </row>
    <row r="3611" spans="1:32" ht="15" x14ac:dyDescent="0.35">
      <c r="A3611" t="s">
        <v>6391</v>
      </c>
      <c r="B3611" s="1">
        <v>45878</v>
      </c>
      <c r="C3611">
        <f>YEAR(OrdersTable[[#This Row],[Order Date]])</f>
        <v>2025</v>
      </c>
      <c r="D3611" s="2">
        <f>DATE(YEAR(OrdersTable[[#This Row],[Order Date]]),MONTH(OrdersTable[[#This Row],[Order Date]]),1)</f>
        <v>45870</v>
      </c>
      <c r="E3611">
        <f>MONTH(OrdersTable[[#This Row],[Order Date]])</f>
        <v>8</v>
      </c>
      <c r="F3611" t="s">
        <v>1033</v>
      </c>
      <c r="G3611" t="str">
        <f>IF(OrdersTable[[#This Row],[Order Date]]=_xlfn.MINIFS(Order_Date, Customer_ID, OrdersTable[[#This Row],[Customer ID]]), "New", "Repeat")</f>
        <v>New</v>
      </c>
      <c r="H3611" t="s">
        <v>275</v>
      </c>
      <c r="I3611" t="str">
        <f>INDEX(State!B:B,MATCH(OrdersTable[[#This Row],[State]],State!A:A,0))</f>
        <v>AP</v>
      </c>
      <c r="J3611" t="str">
        <f>INDEX(State!C:C,MATCH(OrdersTable[[#This Row],[State Code]],State!B:B,0))</f>
        <v>South</v>
      </c>
      <c r="K3611" t="s">
        <v>276</v>
      </c>
      <c r="L3611" t="s">
        <v>50</v>
      </c>
      <c r="M3611" t="s">
        <v>51</v>
      </c>
      <c r="N3611" t="str">
        <f>INDEX(Products!B:B,MATCH(OrdersTable[[#This Row],[Product ID]],Products!A:A,0))</f>
        <v>Anti-Dandruff Conditioner</v>
      </c>
      <c r="O3611" t="str">
        <f>INDEX(Products!C:C,MATCH(OrdersTable[[#This Row],[Product ID]],Products!A:A,0))</f>
        <v>Haircare</v>
      </c>
      <c r="P3611">
        <v>2</v>
      </c>
      <c r="Q3611" s="5">
        <v>399</v>
      </c>
      <c r="R3611" s="74">
        <v>0.45</v>
      </c>
      <c r="S3611" s="75">
        <f>OrdersTable[[#This Row],[Quantity]]*OrdersTable[[#This Row],[Unit Price]]</f>
        <v>798</v>
      </c>
      <c r="T3611" s="5">
        <f>OrdersTable[[#This Row],[Gross Sale]]*OrdersTable[[#This Row],[Discount_Clean2]]</f>
        <v>359.1</v>
      </c>
      <c r="U3611" s="5">
        <f>OrdersTable[[#This Row],[Gross Sale]]-OrdersTable[[#This Row],[Discount Amount]]</f>
        <v>438.9</v>
      </c>
      <c r="V3611" s="77">
        <f>INDEX(Products!E:E,MATCH(OrdersTable[[#This Row],[Product ID]],Products!A:A,0))</f>
        <v>136</v>
      </c>
      <c r="W3611" s="77">
        <f>OrdersTable[[#This Row],[Quantity]]*OrdersTable[[#This Row],[Unit Cost]]</f>
        <v>272</v>
      </c>
      <c r="X3611" s="77">
        <f>'Dropdown Lists'!$I$2*(1+OrdersTable[[#This Row],[Returned]])</f>
        <v>60</v>
      </c>
      <c r="Y3611" s="76">
        <f>OrdersTable[[#This Row],[Net Revenue]]-OrdersTable[[#This Row],[COGS]]-OrdersTable[[#This Row],[Shipping Cost]]</f>
        <v>106.89999999999998</v>
      </c>
      <c r="Z3611" s="78">
        <f>IFERROR(OrdersTable[[#This Row],[Profit]]/OrdersTable[[#This Row],[Net Revenue]],0)</f>
        <v>0.24356345408976984</v>
      </c>
      <c r="AA3611" t="s">
        <v>18</v>
      </c>
      <c r="AB3611" s="79">
        <v>45882</v>
      </c>
      <c r="AC3611">
        <f>OrdersTable[[#This Row],[Delivery Date]]-OrdersTable[[#This Row],[Order Date]]</f>
        <v>4</v>
      </c>
      <c r="AD3611" t="str">
        <f>IF(OrdersTable[[#This Row],[Delivery Days]]&lt;=2, "Express (≤2d)", IF(OrdersTable[[#This Row],[Delivery Days]]&lt;=4, "Standard (3-4d)", "Delayed (5d+)"))</f>
        <v>Standard (3-4d)</v>
      </c>
      <c r="AE3611">
        <v>2</v>
      </c>
      <c r="AF3611">
        <v>0</v>
      </c>
    </row>
    <row r="3612" spans="1:32" ht="15" x14ac:dyDescent="0.35">
      <c r="A3612" t="s">
        <v>5970</v>
      </c>
      <c r="B3612" s="1">
        <v>45878</v>
      </c>
      <c r="C3612">
        <f>YEAR(OrdersTable[[#This Row],[Order Date]])</f>
        <v>2025</v>
      </c>
      <c r="D3612" s="2">
        <f>DATE(YEAR(OrdersTable[[#This Row],[Order Date]]),MONTH(OrdersTable[[#This Row],[Order Date]]),1)</f>
        <v>45870</v>
      </c>
      <c r="E3612">
        <f>MONTH(OrdersTable[[#This Row],[Order Date]])</f>
        <v>8</v>
      </c>
      <c r="F3612" t="s">
        <v>3606</v>
      </c>
      <c r="G3612" t="str">
        <f>IF(OrdersTable[[#This Row],[Order Date]]=_xlfn.MINIFS(Order_Date, Customer_ID, OrdersTable[[#This Row],[Customer ID]]), "New", "Repeat")</f>
        <v>Repeat</v>
      </c>
      <c r="H3612" t="s">
        <v>59</v>
      </c>
      <c r="I3612" t="str">
        <f>INDEX(State!B:B,MATCH(OrdersTable[[#This Row],[State]],State!A:A,0))</f>
        <v>TN</v>
      </c>
      <c r="J3612" t="str">
        <f>INDEX(State!C:C,MATCH(OrdersTable[[#This Row],[State Code]],State!B:B,0))</f>
        <v>South</v>
      </c>
      <c r="K3612" t="s">
        <v>60</v>
      </c>
      <c r="L3612" t="s">
        <v>16</v>
      </c>
      <c r="M3612" t="s">
        <v>87</v>
      </c>
      <c r="N3612" t="str">
        <f>INDEX(Products!B:B,MATCH(OrdersTable[[#This Row],[Product ID]],Products!A:A,0))</f>
        <v>Linen Kurta</v>
      </c>
      <c r="O3612" t="str">
        <f>INDEX(Products!C:C,MATCH(OrdersTable[[#This Row],[Product ID]],Products!A:A,0))</f>
        <v>Apparel</v>
      </c>
      <c r="P3612">
        <v>2</v>
      </c>
      <c r="Q3612" s="5">
        <v>1499</v>
      </c>
      <c r="R3612" s="74">
        <v>0.35</v>
      </c>
      <c r="S3612" s="75">
        <f>OrdersTable[[#This Row],[Quantity]]*OrdersTable[[#This Row],[Unit Price]]</f>
        <v>2998</v>
      </c>
      <c r="T3612" s="5">
        <f>OrdersTable[[#This Row],[Gross Sale]]*OrdersTable[[#This Row],[Discount_Clean2]]</f>
        <v>1049.3</v>
      </c>
      <c r="U3612" s="5">
        <f>OrdersTable[[#This Row],[Gross Sale]]-OrdersTable[[#This Row],[Discount Amount]]</f>
        <v>1948.7</v>
      </c>
      <c r="V3612" s="77">
        <f>INDEX(Products!E:E,MATCH(OrdersTable[[#This Row],[Product ID]],Products!A:A,0))</f>
        <v>630</v>
      </c>
      <c r="W3612" s="77">
        <f>OrdersTable[[#This Row],[Quantity]]*OrdersTable[[#This Row],[Unit Cost]]</f>
        <v>1260</v>
      </c>
      <c r="X3612" s="77">
        <f>'Dropdown Lists'!$I$2*(1+OrdersTable[[#This Row],[Returned]])</f>
        <v>60</v>
      </c>
      <c r="Y3612" s="76">
        <f>OrdersTable[[#This Row],[Net Revenue]]-OrdersTable[[#This Row],[COGS]]-OrdersTable[[#This Row],[Shipping Cost]]</f>
        <v>628.70000000000005</v>
      </c>
      <c r="Z3612" s="78">
        <f>IFERROR(OrdersTable[[#This Row],[Profit]]/OrdersTable[[#This Row],[Net Revenue]],0)</f>
        <v>0.32262533997023657</v>
      </c>
      <c r="AA3612" t="s">
        <v>18</v>
      </c>
      <c r="AB3612" s="79">
        <v>45881</v>
      </c>
      <c r="AC3612">
        <f>OrdersTable[[#This Row],[Delivery Date]]-OrdersTable[[#This Row],[Order Date]]</f>
        <v>3</v>
      </c>
      <c r="AD3612" t="str">
        <f>IF(OrdersTable[[#This Row],[Delivery Days]]&lt;=2, "Express (≤2d)", IF(OrdersTable[[#This Row],[Delivery Days]]&lt;=4, "Standard (3-4d)", "Delayed (5d+)"))</f>
        <v>Standard (3-4d)</v>
      </c>
      <c r="AF3612">
        <v>0</v>
      </c>
    </row>
    <row r="3613" spans="1:32" ht="15" x14ac:dyDescent="0.35">
      <c r="A3613" t="s">
        <v>2825</v>
      </c>
      <c r="B3613" s="1">
        <v>45879</v>
      </c>
      <c r="C3613">
        <f>YEAR(OrdersTable[[#This Row],[Order Date]])</f>
        <v>2025</v>
      </c>
      <c r="D3613" s="2">
        <f>DATE(YEAR(OrdersTable[[#This Row],[Order Date]]),MONTH(OrdersTable[[#This Row],[Order Date]]),1)</f>
        <v>45870</v>
      </c>
      <c r="E3613">
        <f>MONTH(OrdersTable[[#This Row],[Order Date]])</f>
        <v>8</v>
      </c>
      <c r="F3613" t="s">
        <v>2826</v>
      </c>
      <c r="G3613" t="str">
        <f>IF(OrdersTable[[#This Row],[Order Date]]=_xlfn.MINIFS(Order_Date, Customer_ID, OrdersTable[[#This Row],[Customer ID]]), "New", "Repeat")</f>
        <v>Repeat</v>
      </c>
      <c r="H3613" t="s">
        <v>158</v>
      </c>
      <c r="I3613" t="str">
        <f>INDEX(State!B:B,MATCH(OrdersTable[[#This Row],[State]],State!A:A,0))</f>
        <v>HP</v>
      </c>
      <c r="J3613" t="str">
        <f>INDEX(State!C:C,MATCH(OrdersTable[[#This Row],[State Code]],State!B:B,0))</f>
        <v>North</v>
      </c>
      <c r="K3613" t="s">
        <v>159</v>
      </c>
      <c r="L3613" t="s">
        <v>39</v>
      </c>
      <c r="M3613" t="s">
        <v>148</v>
      </c>
      <c r="N3613" t="str">
        <f>INDEX(Products!B:B,MATCH(OrdersTable[[#This Row],[Product ID]],Products!A:A,0))</f>
        <v>Smartwatch Strap</v>
      </c>
      <c r="O3613" t="str">
        <f>INDEX(Products!C:C,MATCH(OrdersTable[[#This Row],[Product ID]],Products!A:A,0))</f>
        <v>Electronics</v>
      </c>
      <c r="P3613">
        <v>1</v>
      </c>
      <c r="Q3613" s="5">
        <v>499</v>
      </c>
      <c r="R3613" s="74">
        <v>0.05</v>
      </c>
      <c r="S3613" s="75">
        <f>OrdersTable[[#This Row],[Quantity]]*OrdersTable[[#This Row],[Unit Price]]</f>
        <v>499</v>
      </c>
      <c r="T3613" s="5">
        <f>OrdersTable[[#This Row],[Gross Sale]]*OrdersTable[[#This Row],[Discount_Clean2]]</f>
        <v>24.950000000000003</v>
      </c>
      <c r="U3613" s="5">
        <f>OrdersTable[[#This Row],[Gross Sale]]-OrdersTable[[#This Row],[Discount Amount]]</f>
        <v>474.05</v>
      </c>
      <c r="V3613" s="77">
        <f>INDEX(Products!E:E,MATCH(OrdersTable[[#This Row],[Product ID]],Products!A:A,0))</f>
        <v>200</v>
      </c>
      <c r="W3613" s="77">
        <f>OrdersTable[[#This Row],[Quantity]]*OrdersTable[[#This Row],[Unit Cost]]</f>
        <v>200</v>
      </c>
      <c r="X3613" s="77">
        <f>'Dropdown Lists'!$I$2*(1+OrdersTable[[#This Row],[Returned]])</f>
        <v>60</v>
      </c>
      <c r="Y3613" s="76">
        <f>OrdersTable[[#This Row],[Net Revenue]]-OrdersTable[[#This Row],[COGS]]-OrdersTable[[#This Row],[Shipping Cost]]</f>
        <v>214.05</v>
      </c>
      <c r="Z3613" s="78">
        <f>IFERROR(OrdersTable[[#This Row],[Profit]]/OrdersTable[[#This Row],[Net Revenue]],0)</f>
        <v>0.45153464824385614</v>
      </c>
      <c r="AA3613" t="s">
        <v>2522</v>
      </c>
      <c r="AB3613" s="79">
        <v>45884</v>
      </c>
      <c r="AC3613">
        <f>OrdersTable[[#This Row],[Delivery Date]]-OrdersTable[[#This Row],[Order Date]]</f>
        <v>5</v>
      </c>
      <c r="AD3613" t="str">
        <f>IF(OrdersTable[[#This Row],[Delivery Days]]&lt;=2, "Express (≤2d)", IF(OrdersTable[[#This Row],[Delivery Days]]&lt;=4, "Standard (3-4d)", "Delayed (5d+)"))</f>
        <v>Delayed (5d+)</v>
      </c>
      <c r="AE3613">
        <v>3</v>
      </c>
      <c r="AF3613">
        <v>0</v>
      </c>
    </row>
    <row r="3614" spans="1:32" ht="15" x14ac:dyDescent="0.35">
      <c r="A3614" t="s">
        <v>2827</v>
      </c>
      <c r="B3614" s="1">
        <v>45879</v>
      </c>
      <c r="C3614">
        <f>YEAR(OrdersTable[[#This Row],[Order Date]])</f>
        <v>2025</v>
      </c>
      <c r="D3614" s="2">
        <f>DATE(YEAR(OrdersTable[[#This Row],[Order Date]]),MONTH(OrdersTable[[#This Row],[Order Date]]),1)</f>
        <v>45870</v>
      </c>
      <c r="E3614">
        <f>MONTH(OrdersTable[[#This Row],[Order Date]])</f>
        <v>8</v>
      </c>
      <c r="F3614" t="s">
        <v>1766</v>
      </c>
      <c r="G3614" t="str">
        <f>IF(OrdersTable[[#This Row],[Order Date]]=_xlfn.MINIFS(Order_Date, Customer_ID, OrdersTable[[#This Row],[Customer ID]]), "New", "Repeat")</f>
        <v>Repeat</v>
      </c>
      <c r="H3614" t="s">
        <v>76</v>
      </c>
      <c r="I3614" t="str">
        <f>INDEX(State!B:B,MATCH(OrdersTable[[#This Row],[State]],State!A:A,0))</f>
        <v>UP</v>
      </c>
      <c r="J3614" t="str">
        <f>INDEX(State!C:C,MATCH(OrdersTable[[#This Row],[State Code]],State!B:B,0))</f>
        <v>North</v>
      </c>
      <c r="K3614" t="s">
        <v>77</v>
      </c>
      <c r="L3614" t="s">
        <v>16</v>
      </c>
      <c r="M3614" t="s">
        <v>34</v>
      </c>
      <c r="N3614" t="str">
        <f>INDEX(Products!B:B,MATCH(OrdersTable[[#This Row],[Product ID]],Products!A:A,0))</f>
        <v>Flip Flops</v>
      </c>
      <c r="O3614" t="str">
        <f>INDEX(Products!C:C,MATCH(OrdersTable[[#This Row],[Product ID]],Products!A:A,0))</f>
        <v>Footwear</v>
      </c>
      <c r="P3614">
        <v>1</v>
      </c>
      <c r="Q3614" s="5">
        <v>399</v>
      </c>
      <c r="R3614" s="74">
        <v>0.05</v>
      </c>
      <c r="S3614" s="75">
        <f>OrdersTable[[#This Row],[Quantity]]*OrdersTable[[#This Row],[Unit Price]]</f>
        <v>399</v>
      </c>
      <c r="T3614" s="5">
        <f>OrdersTable[[#This Row],[Gross Sale]]*OrdersTable[[#This Row],[Discount_Clean2]]</f>
        <v>19.950000000000003</v>
      </c>
      <c r="U3614" s="5">
        <f>OrdersTable[[#This Row],[Gross Sale]]-OrdersTable[[#This Row],[Discount Amount]]</f>
        <v>379.05</v>
      </c>
      <c r="V3614" s="77">
        <f>INDEX(Products!E:E,MATCH(OrdersTable[[#This Row],[Product ID]],Products!A:A,0))</f>
        <v>152</v>
      </c>
      <c r="W3614" s="77">
        <f>OrdersTable[[#This Row],[Quantity]]*OrdersTable[[#This Row],[Unit Cost]]</f>
        <v>152</v>
      </c>
      <c r="X3614" s="77">
        <f>'Dropdown Lists'!$I$2*(1+OrdersTable[[#This Row],[Returned]])</f>
        <v>120</v>
      </c>
      <c r="Y3614" s="76">
        <f>OrdersTable[[#This Row],[Net Revenue]]-OrdersTable[[#This Row],[COGS]]-OrdersTable[[#This Row],[Shipping Cost]]</f>
        <v>107.05000000000001</v>
      </c>
      <c r="Z3614" s="78">
        <f>IFERROR(OrdersTable[[#This Row],[Profit]]/OrdersTable[[#This Row],[Net Revenue]],0)</f>
        <v>0.2824165677351273</v>
      </c>
      <c r="AA3614" t="s">
        <v>2522</v>
      </c>
      <c r="AB3614" s="79">
        <v>45882</v>
      </c>
      <c r="AC3614">
        <f>OrdersTable[[#This Row],[Delivery Date]]-OrdersTable[[#This Row],[Order Date]]</f>
        <v>3</v>
      </c>
      <c r="AD3614" t="str">
        <f>IF(OrdersTable[[#This Row],[Delivery Days]]&lt;=2, "Express (≤2d)", IF(OrdersTable[[#This Row],[Delivery Days]]&lt;=4, "Standard (3-4d)", "Delayed (5d+)"))</f>
        <v>Standard (3-4d)</v>
      </c>
      <c r="AE3614">
        <v>3</v>
      </c>
      <c r="AF3614">
        <v>1</v>
      </c>
    </row>
    <row r="3615" spans="1:32" ht="15" x14ac:dyDescent="0.35">
      <c r="A3615" t="s">
        <v>2017</v>
      </c>
      <c r="B3615" s="1">
        <v>45879</v>
      </c>
      <c r="C3615">
        <f>YEAR(OrdersTable[[#This Row],[Order Date]])</f>
        <v>2025</v>
      </c>
      <c r="D3615" s="2">
        <f>DATE(YEAR(OrdersTable[[#This Row],[Order Date]]),MONTH(OrdersTable[[#This Row],[Order Date]]),1)</f>
        <v>45870</v>
      </c>
      <c r="E3615">
        <f>MONTH(OrdersTable[[#This Row],[Order Date]])</f>
        <v>8</v>
      </c>
      <c r="F3615" t="s">
        <v>1657</v>
      </c>
      <c r="G3615" t="str">
        <f>IF(OrdersTable[[#This Row],[Order Date]]=_xlfn.MINIFS(Order_Date, Customer_ID, OrdersTable[[#This Row],[Customer ID]]), "New", "Repeat")</f>
        <v>Repeat</v>
      </c>
      <c r="H3615" t="s">
        <v>27</v>
      </c>
      <c r="I3615" t="str">
        <f>INDEX(State!B:B,MATCH(OrdersTable[[#This Row],[State]],State!A:A,0))</f>
        <v>WB</v>
      </c>
      <c r="J3615" t="str">
        <f>INDEX(State!C:C,MATCH(OrdersTable[[#This Row],[State Code]],State!B:B,0))</f>
        <v>East</v>
      </c>
      <c r="K3615" t="s">
        <v>28</v>
      </c>
      <c r="L3615" t="s">
        <v>65</v>
      </c>
      <c r="M3615" t="s">
        <v>45</v>
      </c>
      <c r="N3615" t="str">
        <f>INDEX(Products!B:B,MATCH(OrdersTable[[#This Row],[Product ID]],Products!A:A,0))</f>
        <v>Argan Shampoo</v>
      </c>
      <c r="O3615" t="str">
        <f>INDEX(Products!C:C,MATCH(OrdersTable[[#This Row],[Product ID]],Products!A:A,0))</f>
        <v>Haircare</v>
      </c>
      <c r="P3615">
        <v>1</v>
      </c>
      <c r="Q3615" s="5">
        <v>449</v>
      </c>
      <c r="R3615" s="74">
        <v>0.1</v>
      </c>
      <c r="S3615" s="75">
        <f>OrdersTable[[#This Row],[Quantity]]*OrdersTable[[#This Row],[Unit Price]]</f>
        <v>449</v>
      </c>
      <c r="T3615" s="5">
        <f>OrdersTable[[#This Row],[Gross Sale]]*OrdersTable[[#This Row],[Discount_Clean2]]</f>
        <v>44.900000000000006</v>
      </c>
      <c r="U3615" s="5">
        <f>OrdersTable[[#This Row],[Gross Sale]]-OrdersTable[[#This Row],[Discount Amount]]</f>
        <v>404.1</v>
      </c>
      <c r="V3615" s="77">
        <f>INDEX(Products!E:E,MATCH(OrdersTable[[#This Row],[Product ID]],Products!A:A,0))</f>
        <v>148</v>
      </c>
      <c r="W3615" s="77">
        <f>OrdersTable[[#This Row],[Quantity]]*OrdersTable[[#This Row],[Unit Cost]]</f>
        <v>148</v>
      </c>
      <c r="X3615" s="77">
        <f>'Dropdown Lists'!$I$2*(1+OrdersTable[[#This Row],[Returned]])</f>
        <v>120</v>
      </c>
      <c r="Y3615" s="76">
        <f>OrdersTable[[#This Row],[Net Revenue]]-OrdersTable[[#This Row],[COGS]]-OrdersTable[[#This Row],[Shipping Cost]]</f>
        <v>136.10000000000002</v>
      </c>
      <c r="Z3615" s="78">
        <f>IFERROR(OrdersTable[[#This Row],[Profit]]/OrdersTable[[#This Row],[Net Revenue]],0)</f>
        <v>0.33679782232120764</v>
      </c>
      <c r="AA3615" t="s">
        <v>18</v>
      </c>
      <c r="AB3615" s="79">
        <v>45883</v>
      </c>
      <c r="AC3615">
        <f>OrdersTable[[#This Row],[Delivery Date]]-OrdersTable[[#This Row],[Order Date]]</f>
        <v>4</v>
      </c>
      <c r="AD3615" t="str">
        <f>IF(OrdersTable[[#This Row],[Delivery Days]]&lt;=2, "Express (≤2d)", IF(OrdersTable[[#This Row],[Delivery Days]]&lt;=4, "Standard (3-4d)", "Delayed (5d+)"))</f>
        <v>Standard (3-4d)</v>
      </c>
      <c r="AE3615">
        <v>3</v>
      </c>
      <c r="AF3615">
        <v>1</v>
      </c>
    </row>
    <row r="3616" spans="1:32" ht="15" x14ac:dyDescent="0.35">
      <c r="A3616" t="s">
        <v>1430</v>
      </c>
      <c r="B3616" s="1">
        <v>45879</v>
      </c>
      <c r="C3616">
        <f>YEAR(OrdersTable[[#This Row],[Order Date]])</f>
        <v>2025</v>
      </c>
      <c r="D3616" s="2">
        <f>DATE(YEAR(OrdersTable[[#This Row],[Order Date]]),MONTH(OrdersTable[[#This Row],[Order Date]]),1)</f>
        <v>45870</v>
      </c>
      <c r="E3616">
        <f>MONTH(OrdersTable[[#This Row],[Order Date]])</f>
        <v>8</v>
      </c>
      <c r="F3616" t="s">
        <v>1431</v>
      </c>
      <c r="G3616" t="str">
        <f>IF(OrdersTable[[#This Row],[Order Date]]=_xlfn.MINIFS(Order_Date, Customer_ID, OrdersTable[[#This Row],[Customer ID]]), "New", "Repeat")</f>
        <v>New</v>
      </c>
      <c r="H3616" t="s">
        <v>167</v>
      </c>
      <c r="I3616" t="str">
        <f>INDEX(State!B:B,MATCH(OrdersTable[[#This Row],[State]],State!A:A,0))</f>
        <v>KA</v>
      </c>
      <c r="J3616" t="str">
        <f>INDEX(State!C:C,MATCH(OrdersTable[[#This Row],[State Code]],State!B:B,0))</f>
        <v>South</v>
      </c>
      <c r="K3616" t="s">
        <v>190</v>
      </c>
      <c r="L3616" t="s">
        <v>23</v>
      </c>
      <c r="M3616" t="s">
        <v>73</v>
      </c>
      <c r="N3616" t="str">
        <f>INDEX(Products!B:B,MATCH(OrdersTable[[#This Row],[Product ID]],Products!A:A,0))</f>
        <v>Hydrating Face Wash</v>
      </c>
      <c r="O3616" t="str">
        <f>INDEX(Products!C:C,MATCH(OrdersTable[[#This Row],[Product ID]],Products!A:A,0))</f>
        <v>Skincare</v>
      </c>
      <c r="P3616">
        <v>1</v>
      </c>
      <c r="Q3616" s="5">
        <v>299</v>
      </c>
      <c r="R3616" s="74">
        <v>0.1</v>
      </c>
      <c r="S3616" s="75">
        <f>OrdersTable[[#This Row],[Quantity]]*OrdersTable[[#This Row],[Unit Price]]</f>
        <v>299</v>
      </c>
      <c r="T3616" s="5">
        <f>OrdersTable[[#This Row],[Gross Sale]]*OrdersTable[[#This Row],[Discount_Clean2]]</f>
        <v>29.900000000000002</v>
      </c>
      <c r="U3616" s="5">
        <f>OrdersTable[[#This Row],[Gross Sale]]-OrdersTable[[#This Row],[Discount Amount]]</f>
        <v>269.10000000000002</v>
      </c>
      <c r="V3616" s="77">
        <f>INDEX(Products!E:E,MATCH(OrdersTable[[#This Row],[Product ID]],Products!A:A,0))</f>
        <v>90</v>
      </c>
      <c r="W3616" s="77">
        <f>OrdersTable[[#This Row],[Quantity]]*OrdersTable[[#This Row],[Unit Cost]]</f>
        <v>90</v>
      </c>
      <c r="X3616" s="77">
        <f>'Dropdown Lists'!$I$2*(1+OrdersTable[[#This Row],[Returned]])</f>
        <v>60</v>
      </c>
      <c r="Y3616" s="76">
        <f>OrdersTable[[#This Row],[Net Revenue]]-OrdersTable[[#This Row],[COGS]]-OrdersTable[[#This Row],[Shipping Cost]]</f>
        <v>119.10000000000002</v>
      </c>
      <c r="Z3616" s="78">
        <f>IFERROR(OrdersTable[[#This Row],[Profit]]/OrdersTable[[#This Row],[Net Revenue]],0)</f>
        <v>0.4425863991081383</v>
      </c>
      <c r="AA3616" t="s">
        <v>18</v>
      </c>
      <c r="AB3616" s="79">
        <v>45880</v>
      </c>
      <c r="AC3616">
        <f>OrdersTable[[#This Row],[Delivery Date]]-OrdersTable[[#This Row],[Order Date]]</f>
        <v>1</v>
      </c>
      <c r="AD3616" t="str">
        <f>IF(OrdersTable[[#This Row],[Delivery Days]]&lt;=2, "Express (≤2d)", IF(OrdersTable[[#This Row],[Delivery Days]]&lt;=4, "Standard (3-4d)", "Delayed (5d+)"))</f>
        <v>Express (≤2d)</v>
      </c>
      <c r="AF3616">
        <v>0</v>
      </c>
    </row>
    <row r="3617" spans="1:32" ht="15" x14ac:dyDescent="0.35">
      <c r="A3617" t="s">
        <v>1583</v>
      </c>
      <c r="B3617" s="1">
        <v>45879</v>
      </c>
      <c r="C3617">
        <f>YEAR(OrdersTable[[#This Row],[Order Date]])</f>
        <v>2025</v>
      </c>
      <c r="D3617" s="2">
        <f>DATE(YEAR(OrdersTable[[#This Row],[Order Date]]),MONTH(OrdersTable[[#This Row],[Order Date]]),1)</f>
        <v>45870</v>
      </c>
      <c r="E3617">
        <f>MONTH(OrdersTable[[#This Row],[Order Date]])</f>
        <v>8</v>
      </c>
      <c r="F3617" t="s">
        <v>1584</v>
      </c>
      <c r="G3617" t="str">
        <f>IF(OrdersTable[[#This Row],[Order Date]]=_xlfn.MINIFS(Order_Date, Customer_ID, OrdersTable[[#This Row],[Customer ID]]), "New", "Repeat")</f>
        <v>Repeat</v>
      </c>
      <c r="H3617" t="s">
        <v>167</v>
      </c>
      <c r="I3617" t="str">
        <f>INDEX(State!B:B,MATCH(OrdersTable[[#This Row],[State]],State!A:A,0))</f>
        <v>KA</v>
      </c>
      <c r="J3617" t="str">
        <f>INDEX(State!C:C,MATCH(OrdersTable[[#This Row],[State Code]],State!B:B,0))</f>
        <v>South</v>
      </c>
      <c r="K3617" t="s">
        <v>190</v>
      </c>
      <c r="L3617" t="s">
        <v>39</v>
      </c>
      <c r="M3617" t="s">
        <v>84</v>
      </c>
      <c r="N3617" t="str">
        <f>INDEX(Products!B:B,MATCH(OrdersTable[[#This Row],[Product ID]],Products!A:A,0))</f>
        <v>Cotton Bedsheet</v>
      </c>
      <c r="O3617" t="str">
        <f>INDEX(Products!C:C,MATCH(OrdersTable[[#This Row],[Product ID]],Products!A:A,0))</f>
        <v>Home &amp; Kitchen</v>
      </c>
      <c r="P3617">
        <v>1</v>
      </c>
      <c r="Q3617" s="5">
        <v>1299</v>
      </c>
      <c r="R3617" s="74">
        <v>0</v>
      </c>
      <c r="S3617" s="75">
        <f>OrdersTable[[#This Row],[Quantity]]*OrdersTable[[#This Row],[Unit Price]]</f>
        <v>1299</v>
      </c>
      <c r="T3617" s="5">
        <f>OrdersTable[[#This Row],[Gross Sale]]*OrdersTable[[#This Row],[Discount_Clean2]]</f>
        <v>0</v>
      </c>
      <c r="U3617" s="5">
        <f>OrdersTable[[#This Row],[Gross Sale]]-OrdersTable[[#This Row],[Discount Amount]]</f>
        <v>1299</v>
      </c>
      <c r="V3617" s="77">
        <f>INDEX(Products!E:E,MATCH(OrdersTable[[#This Row],[Product ID]],Products!A:A,0))</f>
        <v>585</v>
      </c>
      <c r="W3617" s="77">
        <f>OrdersTable[[#This Row],[Quantity]]*OrdersTable[[#This Row],[Unit Cost]]</f>
        <v>585</v>
      </c>
      <c r="X3617" s="77">
        <f>'Dropdown Lists'!$I$2*(1+OrdersTable[[#This Row],[Returned]])</f>
        <v>60</v>
      </c>
      <c r="Y3617" s="76">
        <f>OrdersTable[[#This Row],[Net Revenue]]-OrdersTable[[#This Row],[COGS]]-OrdersTable[[#This Row],[Shipping Cost]]</f>
        <v>654</v>
      </c>
      <c r="Z3617" s="78">
        <f>IFERROR(OrdersTable[[#This Row],[Profit]]/OrdersTable[[#This Row],[Net Revenue]],0)</f>
        <v>0.50346420323325636</v>
      </c>
      <c r="AA3617" t="s">
        <v>18</v>
      </c>
      <c r="AB3617" s="79">
        <v>45883</v>
      </c>
      <c r="AC3617">
        <f>OrdersTable[[#This Row],[Delivery Date]]-OrdersTable[[#This Row],[Order Date]]</f>
        <v>4</v>
      </c>
      <c r="AD3617" t="str">
        <f>IF(OrdersTable[[#This Row],[Delivery Days]]&lt;=2, "Express (≤2d)", IF(OrdersTable[[#This Row],[Delivery Days]]&lt;=4, "Standard (3-4d)", "Delayed (5d+)"))</f>
        <v>Standard (3-4d)</v>
      </c>
      <c r="AF3617">
        <v>0</v>
      </c>
    </row>
    <row r="3618" spans="1:32" ht="15" x14ac:dyDescent="0.35">
      <c r="A3618" t="s">
        <v>2018</v>
      </c>
      <c r="B3618" s="1">
        <v>45879</v>
      </c>
      <c r="C3618">
        <f>YEAR(OrdersTable[[#This Row],[Order Date]])</f>
        <v>2025</v>
      </c>
      <c r="D3618" s="2">
        <f>DATE(YEAR(OrdersTable[[#This Row],[Order Date]]),MONTH(OrdersTable[[#This Row],[Order Date]]),1)</f>
        <v>45870</v>
      </c>
      <c r="E3618">
        <f>MONTH(OrdersTable[[#This Row],[Order Date]])</f>
        <v>8</v>
      </c>
      <c r="F3618" t="s">
        <v>1081</v>
      </c>
      <c r="G3618" t="str">
        <f>IF(OrdersTable[[#This Row],[Order Date]]=_xlfn.MINIFS(Order_Date, Customer_ID, OrdersTable[[#This Row],[Customer ID]]), "New", "Repeat")</f>
        <v>Repeat</v>
      </c>
      <c r="H3618" t="s">
        <v>167</v>
      </c>
      <c r="I3618" t="str">
        <f>INDEX(State!B:B,MATCH(OrdersTable[[#This Row],[State]],State!A:A,0))</f>
        <v>KA</v>
      </c>
      <c r="J3618" t="str">
        <f>INDEX(State!C:C,MATCH(OrdersTable[[#This Row],[State Code]],State!B:B,0))</f>
        <v>South</v>
      </c>
      <c r="K3618" t="s">
        <v>168</v>
      </c>
      <c r="L3618" t="s">
        <v>39</v>
      </c>
      <c r="M3618" t="s">
        <v>160</v>
      </c>
      <c r="N3618" t="str">
        <f>INDEX(Products!B:B,MATCH(OrdersTable[[#This Row],[Product ID]],Products!A:A,0))</f>
        <v>Niacinamide Toner</v>
      </c>
      <c r="O3618" t="str">
        <f>INDEX(Products!C:C,MATCH(OrdersTable[[#This Row],[Product ID]],Products!A:A,0))</f>
        <v>Skincare</v>
      </c>
      <c r="P3618">
        <v>1</v>
      </c>
      <c r="Q3618" s="5">
        <v>399</v>
      </c>
      <c r="R3618" s="74">
        <v>0.1</v>
      </c>
      <c r="S3618" s="75">
        <f>OrdersTable[[#This Row],[Quantity]]*OrdersTable[[#This Row],[Unit Price]]</f>
        <v>399</v>
      </c>
      <c r="T3618" s="5">
        <f>OrdersTable[[#This Row],[Gross Sale]]*OrdersTable[[#This Row],[Discount_Clean2]]</f>
        <v>39.900000000000006</v>
      </c>
      <c r="U3618" s="5">
        <f>OrdersTable[[#This Row],[Gross Sale]]-OrdersTable[[#This Row],[Discount Amount]]</f>
        <v>359.1</v>
      </c>
      <c r="V3618" s="77">
        <f>INDEX(Products!E:E,MATCH(OrdersTable[[#This Row],[Product ID]],Products!A:A,0))</f>
        <v>112</v>
      </c>
      <c r="W3618" s="77">
        <f>OrdersTable[[#This Row],[Quantity]]*OrdersTable[[#This Row],[Unit Cost]]</f>
        <v>112</v>
      </c>
      <c r="X3618" s="77">
        <f>'Dropdown Lists'!$I$2*(1+OrdersTable[[#This Row],[Returned]])</f>
        <v>60</v>
      </c>
      <c r="Y3618" s="76">
        <f>OrdersTable[[#This Row],[Net Revenue]]-OrdersTable[[#This Row],[COGS]]-OrdersTable[[#This Row],[Shipping Cost]]</f>
        <v>187.10000000000002</v>
      </c>
      <c r="Z3618" s="78">
        <f>IFERROR(OrdersTable[[#This Row],[Profit]]/OrdersTable[[#This Row],[Net Revenue]],0)</f>
        <v>0.52102478418267895</v>
      </c>
      <c r="AA3618" t="s">
        <v>18</v>
      </c>
      <c r="AB3618" s="79">
        <v>45884</v>
      </c>
      <c r="AC3618">
        <f>OrdersTable[[#This Row],[Delivery Date]]-OrdersTable[[#This Row],[Order Date]]</f>
        <v>5</v>
      </c>
      <c r="AD3618" t="str">
        <f>IF(OrdersTable[[#This Row],[Delivery Days]]&lt;=2, "Express (≤2d)", IF(OrdersTable[[#This Row],[Delivery Days]]&lt;=4, "Standard (3-4d)", "Delayed (5d+)"))</f>
        <v>Delayed (5d+)</v>
      </c>
      <c r="AE3618">
        <v>3</v>
      </c>
      <c r="AF3618">
        <v>0</v>
      </c>
    </row>
    <row r="3619" spans="1:32" ht="15" x14ac:dyDescent="0.35">
      <c r="A3619" t="s">
        <v>2441</v>
      </c>
      <c r="B3619" s="1">
        <v>45879</v>
      </c>
      <c r="C3619">
        <f>YEAR(OrdersTable[[#This Row],[Order Date]])</f>
        <v>2025</v>
      </c>
      <c r="D3619" s="2">
        <f>DATE(YEAR(OrdersTable[[#This Row],[Order Date]]),MONTH(OrdersTable[[#This Row],[Order Date]]),1)</f>
        <v>45870</v>
      </c>
      <c r="E3619">
        <f>MONTH(OrdersTable[[#This Row],[Order Date]])</f>
        <v>8</v>
      </c>
      <c r="F3619" t="s">
        <v>2442</v>
      </c>
      <c r="G3619" t="str">
        <f>IF(OrdersTable[[#This Row],[Order Date]]=_xlfn.MINIFS(Order_Date, Customer_ID, OrdersTable[[#This Row],[Customer ID]]), "New", "Repeat")</f>
        <v>Repeat</v>
      </c>
      <c r="H3619" t="s">
        <v>167</v>
      </c>
      <c r="I3619" t="str">
        <f>INDEX(State!B:B,MATCH(OrdersTable[[#This Row],[State]],State!A:A,0))</f>
        <v>KA</v>
      </c>
      <c r="J3619" t="str">
        <f>INDEX(State!C:C,MATCH(OrdersTable[[#This Row],[State Code]],State!B:B,0))</f>
        <v>South</v>
      </c>
      <c r="K3619" t="s">
        <v>168</v>
      </c>
      <c r="L3619" t="s">
        <v>16</v>
      </c>
      <c r="M3619" t="s">
        <v>255</v>
      </c>
      <c r="N3619" t="str">
        <f>INDEX(Products!B:B,MATCH(OrdersTable[[#This Row],[Product ID]],Products!A:A,0))</f>
        <v>Cotton Oversized T-Shirt</v>
      </c>
      <c r="O3619" t="str">
        <f>INDEX(Products!C:C,MATCH(OrdersTable[[#This Row],[Product ID]],Products!A:A,0))</f>
        <v>Apparel</v>
      </c>
      <c r="P3619">
        <v>1</v>
      </c>
      <c r="Q3619" s="5">
        <v>799</v>
      </c>
      <c r="R3619" s="74">
        <v>0</v>
      </c>
      <c r="S3619" s="75">
        <f>OrdersTable[[#This Row],[Quantity]]*OrdersTable[[#This Row],[Unit Price]]</f>
        <v>799</v>
      </c>
      <c r="T3619" s="5">
        <f>OrdersTable[[#This Row],[Gross Sale]]*OrdersTable[[#This Row],[Discount_Clean2]]</f>
        <v>0</v>
      </c>
      <c r="U3619" s="5">
        <f>OrdersTable[[#This Row],[Gross Sale]]-OrdersTable[[#This Row],[Discount Amount]]</f>
        <v>799</v>
      </c>
      <c r="V3619" s="77">
        <f>INDEX(Products!E:E,MATCH(OrdersTable[[#This Row],[Product ID]],Products!A:A,0))</f>
        <v>320</v>
      </c>
      <c r="W3619" s="77">
        <f>OrdersTable[[#This Row],[Quantity]]*OrdersTable[[#This Row],[Unit Cost]]</f>
        <v>320</v>
      </c>
      <c r="X3619" s="77">
        <f>'Dropdown Lists'!$I$2*(1+OrdersTable[[#This Row],[Returned]])</f>
        <v>60</v>
      </c>
      <c r="Y3619" s="76">
        <f>OrdersTable[[#This Row],[Net Revenue]]-OrdersTable[[#This Row],[COGS]]-OrdersTable[[#This Row],[Shipping Cost]]</f>
        <v>419</v>
      </c>
      <c r="Z3619" s="78">
        <f>IFERROR(OrdersTable[[#This Row],[Profit]]/OrdersTable[[#This Row],[Net Revenue]],0)</f>
        <v>0.52440550688360454</v>
      </c>
      <c r="AA3619" t="s">
        <v>18</v>
      </c>
      <c r="AB3619" s="79">
        <v>45880</v>
      </c>
      <c r="AC3619">
        <f>OrdersTable[[#This Row],[Delivery Date]]-OrdersTable[[#This Row],[Order Date]]</f>
        <v>1</v>
      </c>
      <c r="AD3619" t="str">
        <f>IF(OrdersTable[[#This Row],[Delivery Days]]&lt;=2, "Express (≤2d)", IF(OrdersTable[[#This Row],[Delivery Days]]&lt;=4, "Standard (3-4d)", "Delayed (5d+)"))</f>
        <v>Express (≤2d)</v>
      </c>
      <c r="AE3619">
        <v>5</v>
      </c>
      <c r="AF3619">
        <v>0</v>
      </c>
    </row>
    <row r="3620" spans="1:32" ht="15" x14ac:dyDescent="0.35">
      <c r="A3620" t="s">
        <v>646</v>
      </c>
      <c r="B3620" s="1">
        <v>45879</v>
      </c>
      <c r="C3620">
        <f>YEAR(OrdersTable[[#This Row],[Order Date]])</f>
        <v>2025</v>
      </c>
      <c r="D3620" s="2">
        <f>DATE(YEAR(OrdersTable[[#This Row],[Order Date]]),MONTH(OrdersTable[[#This Row],[Order Date]]),1)</f>
        <v>45870</v>
      </c>
      <c r="E3620">
        <f>MONTH(OrdersTable[[#This Row],[Order Date]])</f>
        <v>8</v>
      </c>
      <c r="F3620" t="s">
        <v>337</v>
      </c>
      <c r="G3620" t="str">
        <f>IF(OrdersTable[[#This Row],[Order Date]]=_xlfn.MINIFS(Order_Date, Customer_ID, OrdersTable[[#This Row],[Customer ID]]), "New", "Repeat")</f>
        <v>Repeat</v>
      </c>
      <c r="H3620" t="s">
        <v>275</v>
      </c>
      <c r="I3620" t="str">
        <f>INDEX(State!B:B,MATCH(OrdersTable[[#This Row],[State]],State!A:A,0))</f>
        <v>AP</v>
      </c>
      <c r="J3620" t="str">
        <f>INDEX(State!C:C,MATCH(OrdersTable[[#This Row],[State Code]],State!B:B,0))</f>
        <v>South</v>
      </c>
      <c r="K3620" t="s">
        <v>276</v>
      </c>
      <c r="L3620" t="s">
        <v>65</v>
      </c>
      <c r="M3620" t="s">
        <v>56</v>
      </c>
      <c r="N3620" t="str">
        <f>INDEX(Products!B:B,MATCH(OrdersTable[[#This Row],[Product ID]],Products!A:A,0))</f>
        <v>Vitamin C Face Serum</v>
      </c>
      <c r="O3620" t="str">
        <f>INDEX(Products!C:C,MATCH(OrdersTable[[#This Row],[Product ID]],Products!A:A,0))</f>
        <v>Skincare</v>
      </c>
      <c r="P3620">
        <v>1</v>
      </c>
      <c r="Q3620" s="5">
        <v>599</v>
      </c>
      <c r="R3620" s="74">
        <v>0.1</v>
      </c>
      <c r="S3620" s="75">
        <f>OrdersTable[[#This Row],[Quantity]]*OrdersTable[[#This Row],[Unit Price]]</f>
        <v>599</v>
      </c>
      <c r="T3620" s="5">
        <f>OrdersTable[[#This Row],[Gross Sale]]*OrdersTable[[#This Row],[Discount_Clean2]]</f>
        <v>59.900000000000006</v>
      </c>
      <c r="U3620" s="5">
        <f>OrdersTable[[#This Row],[Gross Sale]]-OrdersTable[[#This Row],[Discount Amount]]</f>
        <v>539.1</v>
      </c>
      <c r="V3620" s="77">
        <f>INDEX(Products!E:E,MATCH(OrdersTable[[#This Row],[Product ID]],Products!A:A,0))</f>
        <v>180</v>
      </c>
      <c r="W3620" s="77">
        <f>OrdersTable[[#This Row],[Quantity]]*OrdersTable[[#This Row],[Unit Cost]]</f>
        <v>180</v>
      </c>
      <c r="X3620" s="77">
        <f>'Dropdown Lists'!$I$2*(1+OrdersTable[[#This Row],[Returned]])</f>
        <v>60</v>
      </c>
      <c r="Y3620" s="76">
        <f>OrdersTable[[#This Row],[Net Revenue]]-OrdersTable[[#This Row],[COGS]]-OrdersTable[[#This Row],[Shipping Cost]]</f>
        <v>299.10000000000002</v>
      </c>
      <c r="Z3620" s="78">
        <f>IFERROR(OrdersTable[[#This Row],[Profit]]/OrdersTable[[#This Row],[Net Revenue]],0)</f>
        <v>0.5548135781858653</v>
      </c>
      <c r="AA3620" t="s">
        <v>18</v>
      </c>
      <c r="AB3620" s="79">
        <v>45883</v>
      </c>
      <c r="AC3620">
        <f>OrdersTable[[#This Row],[Delivery Date]]-OrdersTable[[#This Row],[Order Date]]</f>
        <v>4</v>
      </c>
      <c r="AD3620" t="str">
        <f>IF(OrdersTable[[#This Row],[Delivery Days]]&lt;=2, "Express (≤2d)", IF(OrdersTable[[#This Row],[Delivery Days]]&lt;=4, "Standard (3-4d)", "Delayed (5d+)"))</f>
        <v>Standard (3-4d)</v>
      </c>
      <c r="AE3620">
        <v>4</v>
      </c>
      <c r="AF3620">
        <v>0</v>
      </c>
    </row>
    <row r="3621" spans="1:32" ht="15" x14ac:dyDescent="0.35">
      <c r="A3621" t="s">
        <v>345</v>
      </c>
      <c r="B3621" s="1">
        <v>45880</v>
      </c>
      <c r="C3621">
        <f>YEAR(OrdersTable[[#This Row],[Order Date]])</f>
        <v>2025</v>
      </c>
      <c r="D3621" s="2">
        <f>DATE(YEAR(OrdersTable[[#This Row],[Order Date]]),MONTH(OrdersTable[[#This Row],[Order Date]]),1)</f>
        <v>45870</v>
      </c>
      <c r="E3621">
        <f>MONTH(OrdersTable[[#This Row],[Order Date]])</f>
        <v>8</v>
      </c>
      <c r="F3621" t="s">
        <v>346</v>
      </c>
      <c r="G3621" t="str">
        <f>IF(OrdersTable[[#This Row],[Order Date]]=_xlfn.MINIFS(Order_Date, Customer_ID, OrdersTable[[#This Row],[Customer ID]]), "New", "Repeat")</f>
        <v>Repeat</v>
      </c>
      <c r="H3621" t="s">
        <v>43</v>
      </c>
      <c r="I3621" t="str">
        <f>INDEX(State!B:B,MATCH(OrdersTable[[#This Row],[State]],State!A:A,0))</f>
        <v>MP</v>
      </c>
      <c r="J3621" t="str">
        <f>INDEX(State!C:C,MATCH(OrdersTable[[#This Row],[State Code]],State!B:B,0))</f>
        <v>West</v>
      </c>
      <c r="K3621" t="s">
        <v>44</v>
      </c>
      <c r="L3621" t="s">
        <v>50</v>
      </c>
      <c r="M3621" t="s">
        <v>73</v>
      </c>
      <c r="N3621" t="str">
        <f>INDEX(Products!B:B,MATCH(OrdersTable[[#This Row],[Product ID]],Products!A:A,0))</f>
        <v>Hydrating Face Wash</v>
      </c>
      <c r="O3621" t="str">
        <f>INDEX(Products!C:C,MATCH(OrdersTable[[#This Row],[Product ID]],Products!A:A,0))</f>
        <v>Skincare</v>
      </c>
      <c r="P3621">
        <v>1</v>
      </c>
      <c r="Q3621" s="5">
        <v>299</v>
      </c>
      <c r="R3621" s="74">
        <v>0</v>
      </c>
      <c r="S3621" s="75">
        <f>OrdersTable[[#This Row],[Quantity]]*OrdersTable[[#This Row],[Unit Price]]</f>
        <v>299</v>
      </c>
      <c r="T3621" s="5">
        <f>OrdersTable[[#This Row],[Gross Sale]]*OrdersTable[[#This Row],[Discount_Clean2]]</f>
        <v>0</v>
      </c>
      <c r="U3621" s="5">
        <f>OrdersTable[[#This Row],[Gross Sale]]-OrdersTable[[#This Row],[Discount Amount]]</f>
        <v>299</v>
      </c>
      <c r="V3621" s="77">
        <f>INDEX(Products!E:E,MATCH(OrdersTable[[#This Row],[Product ID]],Products!A:A,0))</f>
        <v>90</v>
      </c>
      <c r="W3621" s="77">
        <f>OrdersTable[[#This Row],[Quantity]]*OrdersTable[[#This Row],[Unit Cost]]</f>
        <v>90</v>
      </c>
      <c r="X3621" s="77">
        <f>'Dropdown Lists'!$I$2*(1+OrdersTable[[#This Row],[Returned]])</f>
        <v>60</v>
      </c>
      <c r="Y3621" s="76">
        <f>OrdersTable[[#This Row],[Net Revenue]]-OrdersTable[[#This Row],[COGS]]-OrdersTable[[#This Row],[Shipping Cost]]</f>
        <v>149</v>
      </c>
      <c r="Z3621" s="78">
        <f>IFERROR(OrdersTable[[#This Row],[Profit]]/OrdersTable[[#This Row],[Net Revenue]],0)</f>
        <v>0.49832775919732442</v>
      </c>
      <c r="AA3621" t="s">
        <v>18</v>
      </c>
      <c r="AB3621" s="79">
        <v>45882</v>
      </c>
      <c r="AC3621">
        <f>OrdersTable[[#This Row],[Delivery Date]]-OrdersTable[[#This Row],[Order Date]]</f>
        <v>2</v>
      </c>
      <c r="AD3621" t="str">
        <f>IF(OrdersTable[[#This Row],[Delivery Days]]&lt;=2, "Express (≤2d)", IF(OrdersTable[[#This Row],[Delivery Days]]&lt;=4, "Standard (3-4d)", "Delayed (5d+)"))</f>
        <v>Express (≤2d)</v>
      </c>
      <c r="AE3621">
        <v>4</v>
      </c>
      <c r="AF3621">
        <v>0</v>
      </c>
    </row>
    <row r="3622" spans="1:32" ht="15" x14ac:dyDescent="0.35">
      <c r="A3622" t="s">
        <v>7105</v>
      </c>
      <c r="B3622" s="1">
        <v>45880</v>
      </c>
      <c r="C3622">
        <f>YEAR(OrdersTable[[#This Row],[Order Date]])</f>
        <v>2025</v>
      </c>
      <c r="D3622" s="2">
        <f>DATE(YEAR(OrdersTable[[#This Row],[Order Date]]),MONTH(OrdersTable[[#This Row],[Order Date]]),1)</f>
        <v>45870</v>
      </c>
      <c r="E3622">
        <f>MONTH(OrdersTable[[#This Row],[Order Date]])</f>
        <v>8</v>
      </c>
      <c r="F3622" t="s">
        <v>7106</v>
      </c>
      <c r="G3622" t="str">
        <f>IF(OrdersTable[[#This Row],[Order Date]]=_xlfn.MINIFS(Order_Date, Customer_ID, OrdersTable[[#This Row],[Customer ID]]), "New", "Repeat")</f>
        <v>New</v>
      </c>
      <c r="H3622" t="s">
        <v>71</v>
      </c>
      <c r="I3622" t="str">
        <f>INDEX(State!B:B,MATCH(OrdersTable[[#This Row],[State]],State!A:A,0))</f>
        <v>MH</v>
      </c>
      <c r="J3622" t="str">
        <f>INDEX(State!C:C,MATCH(OrdersTable[[#This Row],[State Code]],State!B:B,0))</f>
        <v>West</v>
      </c>
      <c r="K3622" t="s">
        <v>72</v>
      </c>
      <c r="L3622" t="s">
        <v>39</v>
      </c>
      <c r="M3622" t="s">
        <v>173</v>
      </c>
      <c r="N3622" t="str">
        <f>INDEX(Products!B:B,MATCH(OrdersTable[[#This Row],[Product ID]],Products!A:A,0))</f>
        <v>Wireless Earbuds</v>
      </c>
      <c r="O3622" t="str">
        <f>INDEX(Products!C:C,MATCH(OrdersTable[[#This Row],[Product ID]],Products!A:A,0))</f>
        <v>Electronics</v>
      </c>
      <c r="P3622">
        <v>4</v>
      </c>
      <c r="Q3622" s="5">
        <v>1999</v>
      </c>
      <c r="R3622" s="74">
        <v>0.35</v>
      </c>
      <c r="S3622" s="75">
        <f>OrdersTable[[#This Row],[Quantity]]*OrdersTable[[#This Row],[Unit Price]]</f>
        <v>7996</v>
      </c>
      <c r="T3622" s="5">
        <f>OrdersTable[[#This Row],[Gross Sale]]*OrdersTable[[#This Row],[Discount_Clean2]]</f>
        <v>2798.6</v>
      </c>
      <c r="U3622" s="5">
        <f>OrdersTable[[#This Row],[Gross Sale]]-OrdersTable[[#This Row],[Discount Amount]]</f>
        <v>5197.3999999999996</v>
      </c>
      <c r="V3622" s="77">
        <f>INDEX(Products!E:E,MATCH(OrdersTable[[#This Row],[Product ID]],Products!A:A,0))</f>
        <v>1239</v>
      </c>
      <c r="W3622" s="77">
        <f>OrdersTable[[#This Row],[Quantity]]*OrdersTable[[#This Row],[Unit Cost]]</f>
        <v>4956</v>
      </c>
      <c r="X3622" s="77">
        <f>'Dropdown Lists'!$I$2*(1+OrdersTable[[#This Row],[Returned]])</f>
        <v>60</v>
      </c>
      <c r="Y3622" s="76">
        <f>OrdersTable[[#This Row],[Net Revenue]]-OrdersTable[[#This Row],[COGS]]-OrdersTable[[#This Row],[Shipping Cost]]</f>
        <v>181.39999999999964</v>
      </c>
      <c r="Z3622" s="78">
        <f>IFERROR(OrdersTable[[#This Row],[Profit]]/OrdersTable[[#This Row],[Net Revenue]],0)</f>
        <v>3.4902066417824229E-2</v>
      </c>
      <c r="AA3622" t="s">
        <v>18</v>
      </c>
      <c r="AB3622" s="79">
        <v>45882</v>
      </c>
      <c r="AC3622">
        <f>OrdersTable[[#This Row],[Delivery Date]]-OrdersTable[[#This Row],[Order Date]]</f>
        <v>2</v>
      </c>
      <c r="AD3622" t="str">
        <f>IF(OrdersTable[[#This Row],[Delivery Days]]&lt;=2, "Express (≤2d)", IF(OrdersTable[[#This Row],[Delivery Days]]&lt;=4, "Standard (3-4d)", "Delayed (5d+)"))</f>
        <v>Express (≤2d)</v>
      </c>
      <c r="AE3622">
        <v>5</v>
      </c>
      <c r="AF3622">
        <v>0</v>
      </c>
    </row>
    <row r="3623" spans="1:32" ht="15" x14ac:dyDescent="0.35">
      <c r="A3623" t="s">
        <v>5824</v>
      </c>
      <c r="B3623" s="1">
        <v>45880</v>
      </c>
      <c r="C3623">
        <f>YEAR(OrdersTable[[#This Row],[Order Date]])</f>
        <v>2025</v>
      </c>
      <c r="D3623" s="2">
        <f>DATE(YEAR(OrdersTable[[#This Row],[Order Date]]),MONTH(OrdersTable[[#This Row],[Order Date]]),1)</f>
        <v>45870</v>
      </c>
      <c r="E3623">
        <f>MONTH(OrdersTable[[#This Row],[Order Date]])</f>
        <v>8</v>
      </c>
      <c r="F3623" t="s">
        <v>5577</v>
      </c>
      <c r="G3623" t="str">
        <f>IF(OrdersTable[[#This Row],[Order Date]]=_xlfn.MINIFS(Order_Date, Customer_ID, OrdersTable[[#This Row],[Customer ID]]), "New", "Repeat")</f>
        <v>Repeat</v>
      </c>
      <c r="H3623" t="s">
        <v>95</v>
      </c>
      <c r="I3623" t="str">
        <f>INDEX(State!B:B,MATCH(OrdersTable[[#This Row],[State]],State!A:A,0))</f>
        <v>TG</v>
      </c>
      <c r="J3623" t="str">
        <f>INDEX(State!C:C,MATCH(OrdersTable[[#This Row],[State Code]],State!B:B,0))</f>
        <v>South</v>
      </c>
      <c r="K3623" t="s">
        <v>96</v>
      </c>
      <c r="L3623" t="s">
        <v>39</v>
      </c>
      <c r="M3623" t="s">
        <v>109</v>
      </c>
      <c r="N3623" t="str">
        <f>INDEX(Products!B:B,MATCH(OrdersTable[[#This Row],[Product ID]],Products!A:A,0))</f>
        <v>Onion Hair Oil</v>
      </c>
      <c r="O3623" t="str">
        <f>INDEX(Products!C:C,MATCH(OrdersTable[[#This Row],[Product ID]],Products!A:A,0))</f>
        <v>Haircare</v>
      </c>
      <c r="P3623">
        <v>2</v>
      </c>
      <c r="Q3623" s="5">
        <v>349</v>
      </c>
      <c r="R3623" s="74">
        <v>0.3</v>
      </c>
      <c r="S3623" s="75">
        <f>OrdersTable[[#This Row],[Quantity]]*OrdersTable[[#This Row],[Unit Price]]</f>
        <v>698</v>
      </c>
      <c r="T3623" s="5">
        <f>OrdersTable[[#This Row],[Gross Sale]]*OrdersTable[[#This Row],[Discount_Clean2]]</f>
        <v>209.4</v>
      </c>
      <c r="U3623" s="5">
        <f>OrdersTable[[#This Row],[Gross Sale]]-OrdersTable[[#This Row],[Discount Amount]]</f>
        <v>488.6</v>
      </c>
      <c r="V3623" s="77">
        <f>INDEX(Products!E:E,MATCH(OrdersTable[[#This Row],[Product ID]],Products!A:A,0))</f>
        <v>105</v>
      </c>
      <c r="W3623" s="77">
        <f>OrdersTable[[#This Row],[Quantity]]*OrdersTable[[#This Row],[Unit Cost]]</f>
        <v>210</v>
      </c>
      <c r="X3623" s="77">
        <f>'Dropdown Lists'!$I$2*(1+OrdersTable[[#This Row],[Returned]])</f>
        <v>60</v>
      </c>
      <c r="Y3623" s="76">
        <f>OrdersTable[[#This Row],[Net Revenue]]-OrdersTable[[#This Row],[COGS]]-OrdersTable[[#This Row],[Shipping Cost]]</f>
        <v>218.60000000000002</v>
      </c>
      <c r="Z3623" s="78">
        <f>IFERROR(OrdersTable[[#This Row],[Profit]]/OrdersTable[[#This Row],[Net Revenue]],0)</f>
        <v>0.44740073679901765</v>
      </c>
      <c r="AA3623" t="s">
        <v>18</v>
      </c>
      <c r="AB3623" s="79">
        <v>45882</v>
      </c>
      <c r="AC3623">
        <f>OrdersTable[[#This Row],[Delivery Date]]-OrdersTable[[#This Row],[Order Date]]</f>
        <v>2</v>
      </c>
      <c r="AD3623" t="str">
        <f>IF(OrdersTable[[#This Row],[Delivery Days]]&lt;=2, "Express (≤2d)", IF(OrdersTable[[#This Row],[Delivery Days]]&lt;=4, "Standard (3-4d)", "Delayed (5d+)"))</f>
        <v>Express (≤2d)</v>
      </c>
      <c r="AE3623">
        <v>5</v>
      </c>
      <c r="AF3623">
        <v>0</v>
      </c>
    </row>
    <row r="3624" spans="1:32" ht="15" x14ac:dyDescent="0.35">
      <c r="A3624" t="s">
        <v>5536</v>
      </c>
      <c r="B3624" s="1">
        <v>45880</v>
      </c>
      <c r="C3624">
        <f>YEAR(OrdersTable[[#This Row],[Order Date]])</f>
        <v>2025</v>
      </c>
      <c r="D3624" s="2">
        <f>DATE(YEAR(OrdersTable[[#This Row],[Order Date]]),MONTH(OrdersTable[[#This Row],[Order Date]]),1)</f>
        <v>45870</v>
      </c>
      <c r="E3624">
        <f>MONTH(OrdersTable[[#This Row],[Order Date]])</f>
        <v>8</v>
      </c>
      <c r="F3624" t="s">
        <v>2478</v>
      </c>
      <c r="G3624" t="str">
        <f>IF(OrdersTable[[#This Row],[Order Date]]=_xlfn.MINIFS(Order_Date, Customer_ID, OrdersTable[[#This Row],[Customer ID]]), "New", "Repeat")</f>
        <v>New</v>
      </c>
      <c r="H3624" t="s">
        <v>95</v>
      </c>
      <c r="I3624" t="str">
        <f>INDEX(State!B:B,MATCH(OrdersTable[[#This Row],[State]],State!A:A,0))</f>
        <v>TG</v>
      </c>
      <c r="J3624" t="str">
        <f>INDEX(State!C:C,MATCH(OrdersTable[[#This Row],[State Code]],State!B:B,0))</f>
        <v>South</v>
      </c>
      <c r="K3624" t="s">
        <v>96</v>
      </c>
      <c r="L3624" t="s">
        <v>65</v>
      </c>
      <c r="M3624" t="s">
        <v>173</v>
      </c>
      <c r="N3624" t="str">
        <f>INDEX(Products!B:B,MATCH(OrdersTable[[#This Row],[Product ID]],Products!A:A,0))</f>
        <v>Wireless Earbuds</v>
      </c>
      <c r="O3624" t="str">
        <f>INDEX(Products!C:C,MATCH(OrdersTable[[#This Row],[Product ID]],Products!A:A,0))</f>
        <v>Electronics</v>
      </c>
      <c r="P3624">
        <v>2</v>
      </c>
      <c r="Q3624" s="5">
        <v>1999</v>
      </c>
      <c r="R3624" s="74">
        <v>0.35</v>
      </c>
      <c r="S3624" s="75">
        <f>OrdersTable[[#This Row],[Quantity]]*OrdersTable[[#This Row],[Unit Price]]</f>
        <v>3998</v>
      </c>
      <c r="T3624" s="5">
        <f>OrdersTable[[#This Row],[Gross Sale]]*OrdersTable[[#This Row],[Discount_Clean2]]</f>
        <v>1399.3</v>
      </c>
      <c r="U3624" s="5">
        <f>OrdersTable[[#This Row],[Gross Sale]]-OrdersTable[[#This Row],[Discount Amount]]</f>
        <v>2598.6999999999998</v>
      </c>
      <c r="V3624" s="77">
        <f>INDEX(Products!E:E,MATCH(OrdersTable[[#This Row],[Product ID]],Products!A:A,0))</f>
        <v>1239</v>
      </c>
      <c r="W3624" s="77">
        <f>OrdersTable[[#This Row],[Quantity]]*OrdersTable[[#This Row],[Unit Cost]]</f>
        <v>2478</v>
      </c>
      <c r="X3624" s="77">
        <f>'Dropdown Lists'!$I$2*(1+OrdersTable[[#This Row],[Returned]])</f>
        <v>120</v>
      </c>
      <c r="Y3624" s="76">
        <f>OrdersTable[[#This Row],[Net Revenue]]-OrdersTable[[#This Row],[COGS]]-OrdersTable[[#This Row],[Shipping Cost]]</f>
        <v>0.6999999999998181</v>
      </c>
      <c r="Z3624" s="78">
        <f>IFERROR(OrdersTable[[#This Row],[Profit]]/OrdersTable[[#This Row],[Net Revenue]],0)</f>
        <v>2.6936545195667763E-4</v>
      </c>
      <c r="AA3624" t="s">
        <v>2522</v>
      </c>
      <c r="AB3624" s="79">
        <v>45883</v>
      </c>
      <c r="AC3624">
        <f>OrdersTable[[#This Row],[Delivery Date]]-OrdersTable[[#This Row],[Order Date]]</f>
        <v>3</v>
      </c>
      <c r="AD3624" t="str">
        <f>IF(OrdersTable[[#This Row],[Delivery Days]]&lt;=2, "Express (≤2d)", IF(OrdersTable[[#This Row],[Delivery Days]]&lt;=4, "Standard (3-4d)", "Delayed (5d+)"))</f>
        <v>Standard (3-4d)</v>
      </c>
      <c r="AE3624">
        <v>4</v>
      </c>
      <c r="AF3624">
        <v>1</v>
      </c>
    </row>
    <row r="3625" spans="1:32" ht="15" x14ac:dyDescent="0.35">
      <c r="A3625" t="s">
        <v>347</v>
      </c>
      <c r="B3625" s="1">
        <v>45880</v>
      </c>
      <c r="C3625">
        <f>YEAR(OrdersTable[[#This Row],[Order Date]])</f>
        <v>2025</v>
      </c>
      <c r="D3625" s="2">
        <f>DATE(YEAR(OrdersTable[[#This Row],[Order Date]]),MONTH(OrdersTable[[#This Row],[Order Date]]),1)</f>
        <v>45870</v>
      </c>
      <c r="E3625">
        <f>MONTH(OrdersTable[[#This Row],[Order Date]])</f>
        <v>8</v>
      </c>
      <c r="F3625" t="s">
        <v>348</v>
      </c>
      <c r="G3625" t="str">
        <f>IF(OrdersTable[[#This Row],[Order Date]]=_xlfn.MINIFS(Order_Date, Customer_ID, OrdersTable[[#This Row],[Customer ID]]), "New", "Repeat")</f>
        <v>New</v>
      </c>
      <c r="H3625" t="s">
        <v>95</v>
      </c>
      <c r="I3625" t="str">
        <f>INDEX(State!B:B,MATCH(OrdersTable[[#This Row],[State]],State!A:A,0))</f>
        <v>TG</v>
      </c>
      <c r="J3625" t="str">
        <f>INDEX(State!C:C,MATCH(OrdersTable[[#This Row],[State Code]],State!B:B,0))</f>
        <v>South</v>
      </c>
      <c r="K3625" t="s">
        <v>96</v>
      </c>
      <c r="L3625" t="s">
        <v>65</v>
      </c>
      <c r="M3625" t="s">
        <v>160</v>
      </c>
      <c r="N3625" t="str">
        <f>INDEX(Products!B:B,MATCH(OrdersTable[[#This Row],[Product ID]],Products!A:A,0))</f>
        <v>Niacinamide Toner</v>
      </c>
      <c r="O3625" t="str">
        <f>INDEX(Products!C:C,MATCH(OrdersTable[[#This Row],[Product ID]],Products!A:A,0))</f>
        <v>Skincare</v>
      </c>
      <c r="P3625">
        <v>1</v>
      </c>
      <c r="Q3625" s="5">
        <v>399</v>
      </c>
      <c r="R3625" s="74">
        <v>0.2</v>
      </c>
      <c r="S3625" s="75">
        <f>OrdersTable[[#This Row],[Quantity]]*OrdersTable[[#This Row],[Unit Price]]</f>
        <v>399</v>
      </c>
      <c r="T3625" s="5">
        <f>OrdersTable[[#This Row],[Gross Sale]]*OrdersTable[[#This Row],[Discount_Clean2]]</f>
        <v>79.800000000000011</v>
      </c>
      <c r="U3625" s="5">
        <f>OrdersTable[[#This Row],[Gross Sale]]-OrdersTable[[#This Row],[Discount Amount]]</f>
        <v>319.2</v>
      </c>
      <c r="V3625" s="77">
        <f>INDEX(Products!E:E,MATCH(OrdersTable[[#This Row],[Product ID]],Products!A:A,0))</f>
        <v>112</v>
      </c>
      <c r="W3625" s="77">
        <f>OrdersTable[[#This Row],[Quantity]]*OrdersTable[[#This Row],[Unit Cost]]</f>
        <v>112</v>
      </c>
      <c r="X3625" s="77">
        <f>'Dropdown Lists'!$I$2*(1+OrdersTable[[#This Row],[Returned]])</f>
        <v>60</v>
      </c>
      <c r="Y3625" s="76">
        <f>OrdersTable[[#This Row],[Net Revenue]]-OrdersTable[[#This Row],[COGS]]-OrdersTable[[#This Row],[Shipping Cost]]</f>
        <v>147.19999999999999</v>
      </c>
      <c r="Z3625" s="78">
        <f>IFERROR(OrdersTable[[#This Row],[Profit]]/OrdersTable[[#This Row],[Net Revenue]],0)</f>
        <v>0.46115288220551376</v>
      </c>
      <c r="AA3625" t="s">
        <v>18</v>
      </c>
      <c r="AB3625" s="79">
        <v>45883</v>
      </c>
      <c r="AC3625">
        <f>OrdersTable[[#This Row],[Delivery Date]]-OrdersTable[[#This Row],[Order Date]]</f>
        <v>3</v>
      </c>
      <c r="AD3625" t="str">
        <f>IF(OrdersTable[[#This Row],[Delivery Days]]&lt;=2, "Express (≤2d)", IF(OrdersTable[[#This Row],[Delivery Days]]&lt;=4, "Standard (3-4d)", "Delayed (5d+)"))</f>
        <v>Standard (3-4d)</v>
      </c>
      <c r="AE3625">
        <v>4</v>
      </c>
      <c r="AF3625">
        <v>0</v>
      </c>
    </row>
    <row r="3626" spans="1:32" ht="15" x14ac:dyDescent="0.35">
      <c r="A3626" t="s">
        <v>6612</v>
      </c>
      <c r="B3626" s="1">
        <v>45880</v>
      </c>
      <c r="C3626">
        <f>YEAR(OrdersTable[[#This Row],[Order Date]])</f>
        <v>2025</v>
      </c>
      <c r="D3626" s="2">
        <f>DATE(YEAR(OrdersTable[[#This Row],[Order Date]]),MONTH(OrdersTable[[#This Row],[Order Date]]),1)</f>
        <v>45870</v>
      </c>
      <c r="E3626">
        <f>MONTH(OrdersTable[[#This Row],[Order Date]])</f>
        <v>8</v>
      </c>
      <c r="F3626" t="s">
        <v>1208</v>
      </c>
      <c r="G3626" t="str">
        <f>IF(OrdersTable[[#This Row],[Order Date]]=_xlfn.MINIFS(Order_Date, Customer_ID, OrdersTable[[#This Row],[Customer ID]]), "New", "Repeat")</f>
        <v>Repeat</v>
      </c>
      <c r="H3626" t="s">
        <v>167</v>
      </c>
      <c r="I3626" t="str">
        <f>INDEX(State!B:B,MATCH(OrdersTable[[#This Row],[State]],State!A:A,0))</f>
        <v>KA</v>
      </c>
      <c r="J3626" t="str">
        <f>INDEX(State!C:C,MATCH(OrdersTable[[#This Row],[State Code]],State!B:B,0))</f>
        <v>South</v>
      </c>
      <c r="K3626" t="s">
        <v>190</v>
      </c>
      <c r="L3626" t="s">
        <v>50</v>
      </c>
      <c r="M3626" t="s">
        <v>40</v>
      </c>
      <c r="N3626" t="str">
        <f>INDEX(Products!B:B,MATCH(OrdersTable[[#This Row],[Product ID]],Products!A:A,0))</f>
        <v>Ashwagandha Capsules</v>
      </c>
      <c r="O3626" t="str">
        <f>INDEX(Products!C:C,MATCH(OrdersTable[[#This Row],[Product ID]],Products!A:A,0))</f>
        <v>Wellness</v>
      </c>
      <c r="P3626">
        <v>3</v>
      </c>
      <c r="Q3626" s="5">
        <v>499</v>
      </c>
      <c r="R3626" s="74">
        <v>0</v>
      </c>
      <c r="S3626" s="75">
        <f>OrdersTable[[#This Row],[Quantity]]*OrdersTable[[#This Row],[Unit Price]]</f>
        <v>1497</v>
      </c>
      <c r="T3626" s="5">
        <f>OrdersTable[[#This Row],[Gross Sale]]*OrdersTable[[#This Row],[Discount_Clean2]]</f>
        <v>0</v>
      </c>
      <c r="U3626" s="5">
        <f>OrdersTable[[#This Row],[Gross Sale]]-OrdersTable[[#This Row],[Discount Amount]]</f>
        <v>1497</v>
      </c>
      <c r="V3626" s="77">
        <f>INDEX(Products!E:E,MATCH(OrdersTable[[#This Row],[Product ID]],Products!A:A,0))</f>
        <v>150</v>
      </c>
      <c r="W3626" s="77">
        <f>OrdersTable[[#This Row],[Quantity]]*OrdersTable[[#This Row],[Unit Cost]]</f>
        <v>450</v>
      </c>
      <c r="X3626" s="77">
        <f>'Dropdown Lists'!$I$2*(1+OrdersTable[[#This Row],[Returned]])</f>
        <v>60</v>
      </c>
      <c r="Y3626" s="76">
        <f>OrdersTable[[#This Row],[Net Revenue]]-OrdersTable[[#This Row],[COGS]]-OrdersTable[[#This Row],[Shipping Cost]]</f>
        <v>987</v>
      </c>
      <c r="Z3626" s="78">
        <f>IFERROR(OrdersTable[[#This Row],[Profit]]/OrdersTable[[#This Row],[Net Revenue]],0)</f>
        <v>0.65931863727454909</v>
      </c>
      <c r="AA3626" t="s">
        <v>18</v>
      </c>
      <c r="AB3626" s="79">
        <v>45882</v>
      </c>
      <c r="AC3626">
        <f>OrdersTable[[#This Row],[Delivery Date]]-OrdersTable[[#This Row],[Order Date]]</f>
        <v>2</v>
      </c>
      <c r="AD3626" t="str">
        <f>IF(OrdersTable[[#This Row],[Delivery Days]]&lt;=2, "Express (≤2d)", IF(OrdersTable[[#This Row],[Delivery Days]]&lt;=4, "Standard (3-4d)", "Delayed (5d+)"))</f>
        <v>Express (≤2d)</v>
      </c>
      <c r="AE3626">
        <v>3</v>
      </c>
      <c r="AF3626">
        <v>0</v>
      </c>
    </row>
    <row r="3627" spans="1:32" ht="15" x14ac:dyDescent="0.35">
      <c r="A3627" t="s">
        <v>5971</v>
      </c>
      <c r="B3627" s="1">
        <v>45880</v>
      </c>
      <c r="C3627">
        <f>YEAR(OrdersTable[[#This Row],[Order Date]])</f>
        <v>2025</v>
      </c>
      <c r="D3627" s="2">
        <f>DATE(YEAR(OrdersTable[[#This Row],[Order Date]]),MONTH(OrdersTable[[#This Row],[Order Date]]),1)</f>
        <v>45870</v>
      </c>
      <c r="E3627">
        <f>MONTH(OrdersTable[[#This Row],[Order Date]])</f>
        <v>8</v>
      </c>
      <c r="F3627" t="s">
        <v>5972</v>
      </c>
      <c r="G3627" t="str">
        <f>IF(OrdersTable[[#This Row],[Order Date]]=_xlfn.MINIFS(Order_Date, Customer_ID, OrdersTable[[#This Row],[Customer ID]]), "New", "Repeat")</f>
        <v>New</v>
      </c>
      <c r="H3627" t="s">
        <v>59</v>
      </c>
      <c r="I3627" t="str">
        <f>INDEX(State!B:B,MATCH(OrdersTable[[#This Row],[State]],State!A:A,0))</f>
        <v>TN</v>
      </c>
      <c r="J3627" t="str">
        <f>INDEX(State!C:C,MATCH(OrdersTable[[#This Row],[State Code]],State!B:B,0))</f>
        <v>South</v>
      </c>
      <c r="K3627" t="s">
        <v>60</v>
      </c>
      <c r="L3627" t="s">
        <v>23</v>
      </c>
      <c r="M3627" t="s">
        <v>45</v>
      </c>
      <c r="N3627" t="str">
        <f>INDEX(Products!B:B,MATCH(OrdersTable[[#This Row],[Product ID]],Products!A:A,0))</f>
        <v>Argan Shampoo</v>
      </c>
      <c r="O3627" t="str">
        <f>INDEX(Products!C:C,MATCH(OrdersTable[[#This Row],[Product ID]],Products!A:A,0))</f>
        <v>Haircare</v>
      </c>
      <c r="P3627">
        <v>2</v>
      </c>
      <c r="Q3627" s="5">
        <v>449</v>
      </c>
      <c r="R3627" s="74">
        <v>0.15</v>
      </c>
      <c r="S3627" s="75">
        <f>OrdersTable[[#This Row],[Quantity]]*OrdersTable[[#This Row],[Unit Price]]</f>
        <v>898</v>
      </c>
      <c r="T3627" s="5">
        <f>OrdersTable[[#This Row],[Gross Sale]]*OrdersTable[[#This Row],[Discount_Clean2]]</f>
        <v>134.69999999999999</v>
      </c>
      <c r="U3627" s="5">
        <f>OrdersTable[[#This Row],[Gross Sale]]-OrdersTable[[#This Row],[Discount Amount]]</f>
        <v>763.3</v>
      </c>
      <c r="V3627" s="77">
        <f>INDEX(Products!E:E,MATCH(OrdersTable[[#This Row],[Product ID]],Products!A:A,0))</f>
        <v>148</v>
      </c>
      <c r="W3627" s="77">
        <f>OrdersTable[[#This Row],[Quantity]]*OrdersTable[[#This Row],[Unit Cost]]</f>
        <v>296</v>
      </c>
      <c r="X3627" s="77">
        <f>'Dropdown Lists'!$I$2*(1+OrdersTable[[#This Row],[Returned]])</f>
        <v>60</v>
      </c>
      <c r="Y3627" s="76">
        <f>OrdersTable[[#This Row],[Net Revenue]]-OrdersTable[[#This Row],[COGS]]-OrdersTable[[#This Row],[Shipping Cost]]</f>
        <v>407.29999999999995</v>
      </c>
      <c r="Z3627" s="78">
        <f>IFERROR(OrdersTable[[#This Row],[Profit]]/OrdersTable[[#This Row],[Net Revenue]],0)</f>
        <v>0.53360408751473865</v>
      </c>
      <c r="AA3627" t="s">
        <v>18</v>
      </c>
      <c r="AB3627" s="79">
        <v>45881</v>
      </c>
      <c r="AC3627">
        <f>OrdersTable[[#This Row],[Delivery Date]]-OrdersTable[[#This Row],[Order Date]]</f>
        <v>1</v>
      </c>
      <c r="AD3627" t="str">
        <f>IF(OrdersTable[[#This Row],[Delivery Days]]&lt;=2, "Express (≤2d)", IF(OrdersTable[[#This Row],[Delivery Days]]&lt;=4, "Standard (3-4d)", "Delayed (5d+)"))</f>
        <v>Express (≤2d)</v>
      </c>
      <c r="AF3627">
        <v>0</v>
      </c>
    </row>
    <row r="3628" spans="1:32" ht="15" x14ac:dyDescent="0.35">
      <c r="A3628" t="s">
        <v>5621</v>
      </c>
      <c r="B3628" s="1">
        <v>45881</v>
      </c>
      <c r="C3628">
        <f>YEAR(OrdersTable[[#This Row],[Order Date]])</f>
        <v>2025</v>
      </c>
      <c r="D3628" s="2">
        <f>DATE(YEAR(OrdersTable[[#This Row],[Order Date]]),MONTH(OrdersTable[[#This Row],[Order Date]]),1)</f>
        <v>45870</v>
      </c>
      <c r="E3628">
        <f>MONTH(OrdersTable[[#This Row],[Order Date]])</f>
        <v>8</v>
      </c>
      <c r="F3628" t="s">
        <v>1460</v>
      </c>
      <c r="G3628" t="str">
        <f>IF(OrdersTable[[#This Row],[Order Date]]=_xlfn.MINIFS(Order_Date, Customer_ID, OrdersTable[[#This Row],[Customer ID]]), "New", "Repeat")</f>
        <v>Repeat</v>
      </c>
      <c r="H3628" t="s">
        <v>48</v>
      </c>
      <c r="I3628" t="str">
        <f>INDEX(State!B:B,MATCH(OrdersTable[[#This Row],[State]],State!A:A,0))</f>
        <v>HR</v>
      </c>
      <c r="J3628" t="str">
        <f>INDEX(State!C:C,MATCH(OrdersTable[[#This Row],[State Code]],State!B:B,0))</f>
        <v>North</v>
      </c>
      <c r="K3628" t="s">
        <v>49</v>
      </c>
      <c r="L3628" t="s">
        <v>65</v>
      </c>
      <c r="M3628" t="s">
        <v>51</v>
      </c>
      <c r="N3628" t="str">
        <f>INDEX(Products!B:B,MATCH(OrdersTable[[#This Row],[Product ID]],Products!A:A,0))</f>
        <v>Anti-Dandruff Conditioner</v>
      </c>
      <c r="O3628" t="str">
        <f>INDEX(Products!C:C,MATCH(OrdersTable[[#This Row],[Product ID]],Products!A:A,0))</f>
        <v>Haircare</v>
      </c>
      <c r="P3628">
        <v>2</v>
      </c>
      <c r="Q3628" s="5">
        <v>399</v>
      </c>
      <c r="R3628" s="74">
        <v>0.35</v>
      </c>
      <c r="S3628" s="75">
        <f>OrdersTable[[#This Row],[Quantity]]*OrdersTable[[#This Row],[Unit Price]]</f>
        <v>798</v>
      </c>
      <c r="T3628" s="5">
        <f>OrdersTable[[#This Row],[Gross Sale]]*OrdersTable[[#This Row],[Discount_Clean2]]</f>
        <v>279.29999999999995</v>
      </c>
      <c r="U3628" s="5">
        <f>OrdersTable[[#This Row],[Gross Sale]]-OrdersTable[[#This Row],[Discount Amount]]</f>
        <v>518.70000000000005</v>
      </c>
      <c r="V3628" s="77">
        <f>INDEX(Products!E:E,MATCH(OrdersTable[[#This Row],[Product ID]],Products!A:A,0))</f>
        <v>136</v>
      </c>
      <c r="W3628" s="77">
        <f>OrdersTable[[#This Row],[Quantity]]*OrdersTable[[#This Row],[Unit Cost]]</f>
        <v>272</v>
      </c>
      <c r="X3628" s="77">
        <f>'Dropdown Lists'!$I$2*(1+OrdersTable[[#This Row],[Returned]])</f>
        <v>60</v>
      </c>
      <c r="Y3628" s="76">
        <f>OrdersTable[[#This Row],[Net Revenue]]-OrdersTable[[#This Row],[COGS]]-OrdersTable[[#This Row],[Shipping Cost]]</f>
        <v>186.70000000000005</v>
      </c>
      <c r="Z3628" s="78">
        <f>IFERROR(OrdersTable[[#This Row],[Profit]]/OrdersTable[[#This Row],[Net Revenue]],0)</f>
        <v>0.35993830730672843</v>
      </c>
      <c r="AA3628" t="s">
        <v>2522</v>
      </c>
      <c r="AB3628" s="79">
        <v>45884</v>
      </c>
      <c r="AC3628">
        <f>OrdersTable[[#This Row],[Delivery Date]]-OrdersTable[[#This Row],[Order Date]]</f>
        <v>3</v>
      </c>
      <c r="AD3628" t="str">
        <f>IF(OrdersTable[[#This Row],[Delivery Days]]&lt;=2, "Express (≤2d)", IF(OrdersTable[[#This Row],[Delivery Days]]&lt;=4, "Standard (3-4d)", "Delayed (5d+)"))</f>
        <v>Standard (3-4d)</v>
      </c>
      <c r="AE3628">
        <v>5</v>
      </c>
      <c r="AF3628">
        <v>0</v>
      </c>
    </row>
    <row r="3629" spans="1:32" ht="15" x14ac:dyDescent="0.35">
      <c r="A3629" t="s">
        <v>3090</v>
      </c>
      <c r="B3629" s="1">
        <v>45881</v>
      </c>
      <c r="C3629">
        <f>YEAR(OrdersTable[[#This Row],[Order Date]])</f>
        <v>2025</v>
      </c>
      <c r="D3629" s="2">
        <f>DATE(YEAR(OrdersTable[[#This Row],[Order Date]]),MONTH(OrdersTable[[#This Row],[Order Date]]),1)</f>
        <v>45870</v>
      </c>
      <c r="E3629">
        <f>MONTH(OrdersTable[[#This Row],[Order Date]])</f>
        <v>8</v>
      </c>
      <c r="F3629" t="s">
        <v>907</v>
      </c>
      <c r="G3629" t="str">
        <f>IF(OrdersTable[[#This Row],[Order Date]]=_xlfn.MINIFS(Order_Date, Customer_ID, OrdersTable[[#This Row],[Customer ID]]), "New", "Repeat")</f>
        <v>Repeat</v>
      </c>
      <c r="H3629" t="s">
        <v>76</v>
      </c>
      <c r="I3629" t="str">
        <f>INDEX(State!B:B,MATCH(OrdersTable[[#This Row],[State]],State!A:A,0))</f>
        <v>UP</v>
      </c>
      <c r="J3629" t="str">
        <f>INDEX(State!C:C,MATCH(OrdersTable[[#This Row],[State Code]],State!B:B,0))</f>
        <v>North</v>
      </c>
      <c r="K3629" t="s">
        <v>105</v>
      </c>
      <c r="L3629" t="s">
        <v>39</v>
      </c>
      <c r="M3629" t="s">
        <v>40</v>
      </c>
      <c r="N3629" t="str">
        <f>INDEX(Products!B:B,MATCH(OrdersTable[[#This Row],[Product ID]],Products!A:A,0))</f>
        <v>Ashwagandha Capsules</v>
      </c>
      <c r="O3629" t="str">
        <f>INDEX(Products!C:C,MATCH(OrdersTable[[#This Row],[Product ID]],Products!A:A,0))</f>
        <v>Wellness</v>
      </c>
      <c r="P3629">
        <v>1</v>
      </c>
      <c r="Q3629" s="5">
        <v>499</v>
      </c>
      <c r="R3629" s="74">
        <v>0.05</v>
      </c>
      <c r="S3629" s="75">
        <f>OrdersTable[[#This Row],[Quantity]]*OrdersTable[[#This Row],[Unit Price]]</f>
        <v>499</v>
      </c>
      <c r="T3629" s="5">
        <f>OrdersTable[[#This Row],[Gross Sale]]*OrdersTable[[#This Row],[Discount_Clean2]]</f>
        <v>24.950000000000003</v>
      </c>
      <c r="U3629" s="5">
        <f>OrdersTable[[#This Row],[Gross Sale]]-OrdersTable[[#This Row],[Discount Amount]]</f>
        <v>474.05</v>
      </c>
      <c r="V3629" s="77">
        <f>INDEX(Products!E:E,MATCH(OrdersTable[[#This Row],[Product ID]],Products!A:A,0))</f>
        <v>150</v>
      </c>
      <c r="W3629" s="77">
        <f>OrdersTable[[#This Row],[Quantity]]*OrdersTable[[#This Row],[Unit Cost]]</f>
        <v>150</v>
      </c>
      <c r="X3629" s="77">
        <f>'Dropdown Lists'!$I$2*(1+OrdersTable[[#This Row],[Returned]])</f>
        <v>60</v>
      </c>
      <c r="Y3629" s="76">
        <f>OrdersTable[[#This Row],[Net Revenue]]-OrdersTable[[#This Row],[COGS]]-OrdersTable[[#This Row],[Shipping Cost]]</f>
        <v>264.05</v>
      </c>
      <c r="Z3629" s="78">
        <f>IFERROR(OrdersTable[[#This Row],[Profit]]/OrdersTable[[#This Row],[Net Revenue]],0)</f>
        <v>0.55700875435080688</v>
      </c>
      <c r="AA3629" t="s">
        <v>2522</v>
      </c>
      <c r="AB3629" s="79">
        <v>45884</v>
      </c>
      <c r="AC3629">
        <f>OrdersTable[[#This Row],[Delivery Date]]-OrdersTable[[#This Row],[Order Date]]</f>
        <v>3</v>
      </c>
      <c r="AD3629" t="str">
        <f>IF(OrdersTable[[#This Row],[Delivery Days]]&lt;=2, "Express (≤2d)", IF(OrdersTable[[#This Row],[Delivery Days]]&lt;=4, "Standard (3-4d)", "Delayed (5d+)"))</f>
        <v>Standard (3-4d)</v>
      </c>
      <c r="AF3629">
        <v>0</v>
      </c>
    </row>
    <row r="3630" spans="1:32" ht="15" x14ac:dyDescent="0.35">
      <c r="A3630" t="s">
        <v>3659</v>
      </c>
      <c r="B3630" s="1">
        <v>45881</v>
      </c>
      <c r="C3630">
        <f>YEAR(OrdersTable[[#This Row],[Order Date]])</f>
        <v>2025</v>
      </c>
      <c r="D3630" s="2">
        <f>DATE(YEAR(OrdersTable[[#This Row],[Order Date]]),MONTH(OrdersTable[[#This Row],[Order Date]]),1)</f>
        <v>45870</v>
      </c>
      <c r="E3630">
        <f>MONTH(OrdersTable[[#This Row],[Order Date]])</f>
        <v>8</v>
      </c>
      <c r="F3630" t="s">
        <v>3660</v>
      </c>
      <c r="G3630" t="str">
        <f>IF(OrdersTable[[#This Row],[Order Date]]=_xlfn.MINIFS(Order_Date, Customer_ID, OrdersTable[[#This Row],[Customer ID]]), "New", "Repeat")</f>
        <v>New</v>
      </c>
      <c r="H3630" t="s">
        <v>43</v>
      </c>
      <c r="I3630" t="str">
        <f>INDEX(State!B:B,MATCH(OrdersTable[[#This Row],[State]],State!A:A,0))</f>
        <v>MP</v>
      </c>
      <c r="J3630" t="str">
        <f>INDEX(State!C:C,MATCH(OrdersTable[[#This Row],[State Code]],State!B:B,0))</f>
        <v>West</v>
      </c>
      <c r="K3630" t="s">
        <v>44</v>
      </c>
      <c r="L3630" t="s">
        <v>50</v>
      </c>
      <c r="M3630" t="s">
        <v>56</v>
      </c>
      <c r="N3630" t="str">
        <f>INDEX(Products!B:B,MATCH(OrdersTable[[#This Row],[Product ID]],Products!A:A,0))</f>
        <v>Vitamin C Face Serum</v>
      </c>
      <c r="O3630" t="str">
        <f>INDEX(Products!C:C,MATCH(OrdersTable[[#This Row],[Product ID]],Products!A:A,0))</f>
        <v>Skincare</v>
      </c>
      <c r="P3630">
        <v>1</v>
      </c>
      <c r="Q3630" s="5">
        <v>599</v>
      </c>
      <c r="R3630" s="74">
        <v>0.1</v>
      </c>
      <c r="S3630" s="75">
        <f>OrdersTable[[#This Row],[Quantity]]*OrdersTable[[#This Row],[Unit Price]]</f>
        <v>599</v>
      </c>
      <c r="T3630" s="5">
        <f>OrdersTable[[#This Row],[Gross Sale]]*OrdersTable[[#This Row],[Discount_Clean2]]</f>
        <v>59.900000000000006</v>
      </c>
      <c r="U3630" s="5">
        <f>OrdersTable[[#This Row],[Gross Sale]]-OrdersTable[[#This Row],[Discount Amount]]</f>
        <v>539.1</v>
      </c>
      <c r="V3630" s="77">
        <f>INDEX(Products!E:E,MATCH(OrdersTable[[#This Row],[Product ID]],Products!A:A,0))</f>
        <v>180</v>
      </c>
      <c r="W3630" s="77">
        <f>OrdersTable[[#This Row],[Quantity]]*OrdersTable[[#This Row],[Unit Cost]]</f>
        <v>180</v>
      </c>
      <c r="X3630" s="77">
        <f>'Dropdown Lists'!$I$2*(1+OrdersTable[[#This Row],[Returned]])</f>
        <v>120</v>
      </c>
      <c r="Y3630" s="76">
        <f>OrdersTable[[#This Row],[Net Revenue]]-OrdersTable[[#This Row],[COGS]]-OrdersTable[[#This Row],[Shipping Cost]]</f>
        <v>239.10000000000002</v>
      </c>
      <c r="Z3630" s="78">
        <f>IFERROR(OrdersTable[[#This Row],[Profit]]/OrdersTable[[#This Row],[Net Revenue]],0)</f>
        <v>0.4435169727323317</v>
      </c>
      <c r="AA3630" t="s">
        <v>3495</v>
      </c>
      <c r="AB3630" s="79">
        <v>45884</v>
      </c>
      <c r="AC3630">
        <f>OrdersTable[[#This Row],[Delivery Date]]-OrdersTable[[#This Row],[Order Date]]</f>
        <v>3</v>
      </c>
      <c r="AD3630" t="str">
        <f>IF(OrdersTable[[#This Row],[Delivery Days]]&lt;=2, "Express (≤2d)", IF(OrdersTable[[#This Row],[Delivery Days]]&lt;=4, "Standard (3-4d)", "Delayed (5d+)"))</f>
        <v>Standard (3-4d)</v>
      </c>
      <c r="AE3630">
        <v>4</v>
      </c>
      <c r="AF3630">
        <v>1</v>
      </c>
    </row>
    <row r="3631" spans="1:32" ht="15" x14ac:dyDescent="0.35">
      <c r="A3631" t="s">
        <v>4167</v>
      </c>
      <c r="B3631" s="1">
        <v>45881</v>
      </c>
      <c r="C3631">
        <f>YEAR(OrdersTable[[#This Row],[Order Date]])</f>
        <v>2025</v>
      </c>
      <c r="D3631" s="2">
        <f>DATE(YEAR(OrdersTable[[#This Row],[Order Date]]),MONTH(OrdersTable[[#This Row],[Order Date]]),1)</f>
        <v>45870</v>
      </c>
      <c r="E3631">
        <f>MONTH(OrdersTable[[#This Row],[Order Date]])</f>
        <v>8</v>
      </c>
      <c r="F3631" t="s">
        <v>4168</v>
      </c>
      <c r="G3631" t="str">
        <f>IF(OrdersTable[[#This Row],[Order Date]]=_xlfn.MINIFS(Order_Date, Customer_ID, OrdersTable[[#This Row],[Customer ID]]), "New", "Repeat")</f>
        <v>Repeat</v>
      </c>
      <c r="H3631" t="s">
        <v>27</v>
      </c>
      <c r="I3631" t="str">
        <f>INDEX(State!B:B,MATCH(OrdersTable[[#This Row],[State]],State!A:A,0))</f>
        <v>WB</v>
      </c>
      <c r="J3631" t="str">
        <f>INDEX(State!C:C,MATCH(OrdersTable[[#This Row],[State Code]],State!B:B,0))</f>
        <v>East</v>
      </c>
      <c r="K3631" t="s">
        <v>28</v>
      </c>
      <c r="L3631" t="s">
        <v>65</v>
      </c>
      <c r="M3631" t="s">
        <v>66</v>
      </c>
      <c r="N3631" t="str">
        <f>INDEX(Products!B:B,MATCH(OrdersTable[[#This Row],[Product ID]],Products!A:A,0))</f>
        <v>Sunscreen SPF 50</v>
      </c>
      <c r="O3631" t="str">
        <f>INDEX(Products!C:C,MATCH(OrdersTable[[#This Row],[Product ID]],Products!A:A,0))</f>
        <v>Skincare</v>
      </c>
      <c r="P3631">
        <v>1</v>
      </c>
      <c r="Q3631" s="5">
        <v>449</v>
      </c>
      <c r="R3631" s="74">
        <v>0.05</v>
      </c>
      <c r="S3631" s="75">
        <f>OrdersTable[[#This Row],[Quantity]]*OrdersTable[[#This Row],[Unit Price]]</f>
        <v>449</v>
      </c>
      <c r="T3631" s="5">
        <f>OrdersTable[[#This Row],[Gross Sale]]*OrdersTable[[#This Row],[Discount_Clean2]]</f>
        <v>22.450000000000003</v>
      </c>
      <c r="U3631" s="5">
        <f>OrdersTable[[#This Row],[Gross Sale]]-OrdersTable[[#This Row],[Discount Amount]]</f>
        <v>426.55</v>
      </c>
      <c r="V3631" s="77">
        <f>INDEX(Products!E:E,MATCH(OrdersTable[[#This Row],[Product ID]],Products!A:A,0))</f>
        <v>144</v>
      </c>
      <c r="W3631" s="77">
        <f>OrdersTable[[#This Row],[Quantity]]*OrdersTable[[#This Row],[Unit Cost]]</f>
        <v>144</v>
      </c>
      <c r="X3631" s="77">
        <f>'Dropdown Lists'!$I$2*(1+OrdersTable[[#This Row],[Returned]])</f>
        <v>60</v>
      </c>
      <c r="Y3631" s="76">
        <f>OrdersTable[[#This Row],[Net Revenue]]-OrdersTable[[#This Row],[COGS]]-OrdersTable[[#This Row],[Shipping Cost]]</f>
        <v>222.55</v>
      </c>
      <c r="Z3631" s="78">
        <f>IFERROR(OrdersTable[[#This Row],[Profit]]/OrdersTable[[#This Row],[Net Revenue]],0)</f>
        <v>0.52174422693705313</v>
      </c>
      <c r="AA3631" t="s">
        <v>4074</v>
      </c>
      <c r="AB3631" s="79">
        <v>45883</v>
      </c>
      <c r="AC3631">
        <f>OrdersTable[[#This Row],[Delivery Date]]-OrdersTable[[#This Row],[Order Date]]</f>
        <v>2</v>
      </c>
      <c r="AD3631" t="str">
        <f>IF(OrdersTable[[#This Row],[Delivery Days]]&lt;=2, "Express (≤2d)", IF(OrdersTable[[#This Row],[Delivery Days]]&lt;=4, "Standard (3-4d)", "Delayed (5d+)"))</f>
        <v>Express (≤2d)</v>
      </c>
      <c r="AE3631">
        <v>5</v>
      </c>
      <c r="AF3631">
        <v>0</v>
      </c>
    </row>
    <row r="3632" spans="1:32" ht="15" x14ac:dyDescent="0.35">
      <c r="A3632" t="s">
        <v>5973</v>
      </c>
      <c r="B3632" s="1">
        <v>45881</v>
      </c>
      <c r="C3632">
        <f>YEAR(OrdersTable[[#This Row],[Order Date]])</f>
        <v>2025</v>
      </c>
      <c r="D3632" s="2">
        <f>DATE(YEAR(OrdersTable[[#This Row],[Order Date]]),MONTH(OrdersTable[[#This Row],[Order Date]]),1)</f>
        <v>45870</v>
      </c>
      <c r="E3632">
        <f>MONTH(OrdersTable[[#This Row],[Order Date]])</f>
        <v>8</v>
      </c>
      <c r="F3632" t="s">
        <v>4049</v>
      </c>
      <c r="G3632" t="str">
        <f>IF(OrdersTable[[#This Row],[Order Date]]=_xlfn.MINIFS(Order_Date, Customer_ID, OrdersTable[[#This Row],[Customer ID]]), "New", "Repeat")</f>
        <v>Repeat</v>
      </c>
      <c r="H3632" t="s">
        <v>71</v>
      </c>
      <c r="I3632" t="str">
        <f>INDEX(State!B:B,MATCH(OrdersTable[[#This Row],[State]],State!A:A,0))</f>
        <v>MH</v>
      </c>
      <c r="J3632" t="str">
        <f>INDEX(State!C:C,MATCH(OrdersTable[[#This Row],[State Code]],State!B:B,0))</f>
        <v>West</v>
      </c>
      <c r="K3632" t="s">
        <v>81</v>
      </c>
      <c r="L3632" t="s">
        <v>23</v>
      </c>
      <c r="M3632" t="s">
        <v>73</v>
      </c>
      <c r="N3632" t="str">
        <f>INDEX(Products!B:B,MATCH(OrdersTable[[#This Row],[Product ID]],Products!A:A,0))</f>
        <v>Hydrating Face Wash</v>
      </c>
      <c r="O3632" t="str">
        <f>INDEX(Products!C:C,MATCH(OrdersTable[[#This Row],[Product ID]],Products!A:A,0))</f>
        <v>Skincare</v>
      </c>
      <c r="P3632">
        <v>2</v>
      </c>
      <c r="Q3632" s="5">
        <v>299</v>
      </c>
      <c r="R3632" s="74">
        <v>0.1</v>
      </c>
      <c r="S3632" s="75">
        <f>OrdersTable[[#This Row],[Quantity]]*OrdersTable[[#This Row],[Unit Price]]</f>
        <v>598</v>
      </c>
      <c r="T3632" s="5">
        <f>OrdersTable[[#This Row],[Gross Sale]]*OrdersTable[[#This Row],[Discount_Clean2]]</f>
        <v>59.800000000000004</v>
      </c>
      <c r="U3632" s="5">
        <f>OrdersTable[[#This Row],[Gross Sale]]-OrdersTable[[#This Row],[Discount Amount]]</f>
        <v>538.20000000000005</v>
      </c>
      <c r="V3632" s="77">
        <f>INDEX(Products!E:E,MATCH(OrdersTable[[#This Row],[Product ID]],Products!A:A,0))</f>
        <v>90</v>
      </c>
      <c r="W3632" s="77">
        <f>OrdersTable[[#This Row],[Quantity]]*OrdersTable[[#This Row],[Unit Cost]]</f>
        <v>180</v>
      </c>
      <c r="X3632" s="77">
        <f>'Dropdown Lists'!$I$2*(1+OrdersTable[[#This Row],[Returned]])</f>
        <v>120</v>
      </c>
      <c r="Y3632" s="76">
        <f>OrdersTable[[#This Row],[Net Revenue]]-OrdersTable[[#This Row],[COGS]]-OrdersTable[[#This Row],[Shipping Cost]]</f>
        <v>238.20000000000005</v>
      </c>
      <c r="Z3632" s="78">
        <f>IFERROR(OrdersTable[[#This Row],[Profit]]/OrdersTable[[#This Row],[Net Revenue]],0)</f>
        <v>0.4425863991081383</v>
      </c>
      <c r="AA3632" t="s">
        <v>18</v>
      </c>
      <c r="AB3632" s="79">
        <v>45882</v>
      </c>
      <c r="AC3632">
        <f>OrdersTable[[#This Row],[Delivery Date]]-OrdersTable[[#This Row],[Order Date]]</f>
        <v>1</v>
      </c>
      <c r="AD3632" t="str">
        <f>IF(OrdersTable[[#This Row],[Delivery Days]]&lt;=2, "Express (≤2d)", IF(OrdersTable[[#This Row],[Delivery Days]]&lt;=4, "Standard (3-4d)", "Delayed (5d+)"))</f>
        <v>Express (≤2d)</v>
      </c>
      <c r="AF3632">
        <v>1</v>
      </c>
    </row>
    <row r="3633" spans="1:32" ht="15" x14ac:dyDescent="0.35">
      <c r="A3633" t="s">
        <v>3324</v>
      </c>
      <c r="B3633" s="1">
        <v>45881</v>
      </c>
      <c r="C3633">
        <f>YEAR(OrdersTable[[#This Row],[Order Date]])</f>
        <v>2025</v>
      </c>
      <c r="D3633" s="2">
        <f>DATE(YEAR(OrdersTable[[#This Row],[Order Date]]),MONTH(OrdersTable[[#This Row],[Order Date]]),1)</f>
        <v>45870</v>
      </c>
      <c r="E3633">
        <f>MONTH(OrdersTable[[#This Row],[Order Date]])</f>
        <v>8</v>
      </c>
      <c r="F3633" t="s">
        <v>1176</v>
      </c>
      <c r="G3633" t="str">
        <f>IF(OrdersTable[[#This Row],[Order Date]]=_xlfn.MINIFS(Order_Date, Customer_ID, OrdersTable[[#This Row],[Customer ID]]), "New", "Repeat")</f>
        <v>Repeat</v>
      </c>
      <c r="H3633" t="s">
        <v>71</v>
      </c>
      <c r="I3633" t="str">
        <f>INDEX(State!B:B,MATCH(OrdersTable[[#This Row],[State]],State!A:A,0))</f>
        <v>MH</v>
      </c>
      <c r="J3633" t="str">
        <f>INDEX(State!C:C,MATCH(OrdersTable[[#This Row],[State Code]],State!B:B,0))</f>
        <v>West</v>
      </c>
      <c r="K3633" t="s">
        <v>81</v>
      </c>
      <c r="L3633" t="s">
        <v>39</v>
      </c>
      <c r="M3633" t="s">
        <v>87</v>
      </c>
      <c r="N3633" t="str">
        <f>INDEX(Products!B:B,MATCH(OrdersTable[[#This Row],[Product ID]],Products!A:A,0))</f>
        <v>Linen Kurta</v>
      </c>
      <c r="O3633" t="str">
        <f>INDEX(Products!C:C,MATCH(OrdersTable[[#This Row],[Product ID]],Products!A:A,0))</f>
        <v>Apparel</v>
      </c>
      <c r="P3633">
        <v>1</v>
      </c>
      <c r="Q3633" s="5">
        <v>1499</v>
      </c>
      <c r="R3633" s="74">
        <v>0.2</v>
      </c>
      <c r="S3633" s="75">
        <f>OrdersTable[[#This Row],[Quantity]]*OrdersTable[[#This Row],[Unit Price]]</f>
        <v>1499</v>
      </c>
      <c r="T3633" s="5">
        <f>OrdersTable[[#This Row],[Gross Sale]]*OrdersTable[[#This Row],[Discount_Clean2]]</f>
        <v>299.8</v>
      </c>
      <c r="U3633" s="5">
        <f>OrdersTable[[#This Row],[Gross Sale]]-OrdersTable[[#This Row],[Discount Amount]]</f>
        <v>1199.2</v>
      </c>
      <c r="V3633" s="77">
        <f>INDEX(Products!E:E,MATCH(OrdersTable[[#This Row],[Product ID]],Products!A:A,0))</f>
        <v>630</v>
      </c>
      <c r="W3633" s="77">
        <f>OrdersTable[[#This Row],[Quantity]]*OrdersTable[[#This Row],[Unit Cost]]</f>
        <v>630</v>
      </c>
      <c r="X3633" s="77">
        <f>'Dropdown Lists'!$I$2*(1+OrdersTable[[#This Row],[Returned]])</f>
        <v>60</v>
      </c>
      <c r="Y3633" s="76">
        <f>OrdersTable[[#This Row],[Net Revenue]]-OrdersTable[[#This Row],[COGS]]-OrdersTable[[#This Row],[Shipping Cost]]</f>
        <v>509.20000000000005</v>
      </c>
      <c r="Z3633" s="78">
        <f>IFERROR(OrdersTable[[#This Row],[Profit]]/OrdersTable[[#This Row],[Net Revenue]],0)</f>
        <v>0.42461641094062713</v>
      </c>
      <c r="AA3633" t="s">
        <v>2522</v>
      </c>
      <c r="AB3633" s="79">
        <v>45883</v>
      </c>
      <c r="AC3633">
        <f>OrdersTable[[#This Row],[Delivery Date]]-OrdersTable[[#This Row],[Order Date]]</f>
        <v>2</v>
      </c>
      <c r="AD3633" t="str">
        <f>IF(OrdersTable[[#This Row],[Delivery Days]]&lt;=2, "Express (≤2d)", IF(OrdersTable[[#This Row],[Delivery Days]]&lt;=4, "Standard (3-4d)", "Delayed (5d+)"))</f>
        <v>Express (≤2d)</v>
      </c>
      <c r="AE3633">
        <v>4</v>
      </c>
      <c r="AF3633">
        <v>0</v>
      </c>
    </row>
    <row r="3634" spans="1:32" ht="15" x14ac:dyDescent="0.35">
      <c r="A3634" t="s">
        <v>2443</v>
      </c>
      <c r="B3634" s="1">
        <v>45881</v>
      </c>
      <c r="C3634">
        <f>YEAR(OrdersTable[[#This Row],[Order Date]])</f>
        <v>2025</v>
      </c>
      <c r="D3634" s="2">
        <f>DATE(YEAR(OrdersTable[[#This Row],[Order Date]]),MONTH(OrdersTable[[#This Row],[Order Date]]),1)</f>
        <v>45870</v>
      </c>
      <c r="E3634">
        <f>MONTH(OrdersTable[[#This Row],[Order Date]])</f>
        <v>8</v>
      </c>
      <c r="F3634" t="s">
        <v>2444</v>
      </c>
      <c r="G3634" t="str">
        <f>IF(OrdersTable[[#This Row],[Order Date]]=_xlfn.MINIFS(Order_Date, Customer_ID, OrdersTable[[#This Row],[Customer ID]]), "New", "Repeat")</f>
        <v>New</v>
      </c>
      <c r="H3634" t="s">
        <v>71</v>
      </c>
      <c r="I3634" t="str">
        <f>INDEX(State!B:B,MATCH(OrdersTable[[#This Row],[State]],State!A:A,0))</f>
        <v>MH</v>
      </c>
      <c r="J3634" t="str">
        <f>INDEX(State!C:C,MATCH(OrdersTable[[#This Row],[State Code]],State!B:B,0))</f>
        <v>West</v>
      </c>
      <c r="K3634" t="s">
        <v>81</v>
      </c>
      <c r="L3634" t="s">
        <v>23</v>
      </c>
      <c r="M3634" t="s">
        <v>45</v>
      </c>
      <c r="N3634" t="str">
        <f>INDEX(Products!B:B,MATCH(OrdersTable[[#This Row],[Product ID]],Products!A:A,0))</f>
        <v>Argan Shampoo</v>
      </c>
      <c r="O3634" t="str">
        <f>INDEX(Products!C:C,MATCH(OrdersTable[[#This Row],[Product ID]],Products!A:A,0))</f>
        <v>Haircare</v>
      </c>
      <c r="P3634">
        <v>1</v>
      </c>
      <c r="Q3634" s="5">
        <v>449</v>
      </c>
      <c r="R3634" s="74">
        <v>0.1</v>
      </c>
      <c r="S3634" s="75">
        <f>OrdersTable[[#This Row],[Quantity]]*OrdersTable[[#This Row],[Unit Price]]</f>
        <v>449</v>
      </c>
      <c r="T3634" s="5">
        <f>OrdersTable[[#This Row],[Gross Sale]]*OrdersTable[[#This Row],[Discount_Clean2]]</f>
        <v>44.900000000000006</v>
      </c>
      <c r="U3634" s="5">
        <f>OrdersTable[[#This Row],[Gross Sale]]-OrdersTable[[#This Row],[Discount Amount]]</f>
        <v>404.1</v>
      </c>
      <c r="V3634" s="77">
        <f>INDEX(Products!E:E,MATCH(OrdersTable[[#This Row],[Product ID]],Products!A:A,0))</f>
        <v>148</v>
      </c>
      <c r="W3634" s="77">
        <f>OrdersTable[[#This Row],[Quantity]]*OrdersTable[[#This Row],[Unit Cost]]</f>
        <v>148</v>
      </c>
      <c r="X3634" s="77">
        <f>'Dropdown Lists'!$I$2*(1+OrdersTable[[#This Row],[Returned]])</f>
        <v>60</v>
      </c>
      <c r="Y3634" s="76">
        <f>OrdersTable[[#This Row],[Net Revenue]]-OrdersTable[[#This Row],[COGS]]-OrdersTable[[#This Row],[Shipping Cost]]</f>
        <v>196.10000000000002</v>
      </c>
      <c r="Z3634" s="78">
        <f>IFERROR(OrdersTable[[#This Row],[Profit]]/OrdersTable[[#This Row],[Net Revenue]],0)</f>
        <v>0.48527592180153428</v>
      </c>
      <c r="AA3634" t="s">
        <v>18</v>
      </c>
      <c r="AB3634" s="79">
        <v>45883</v>
      </c>
      <c r="AC3634">
        <f>OrdersTable[[#This Row],[Delivery Date]]-OrdersTable[[#This Row],[Order Date]]</f>
        <v>2</v>
      </c>
      <c r="AD3634" t="str">
        <f>IF(OrdersTable[[#This Row],[Delivery Days]]&lt;=2, "Express (≤2d)", IF(OrdersTable[[#This Row],[Delivery Days]]&lt;=4, "Standard (3-4d)", "Delayed (5d+)"))</f>
        <v>Express (≤2d)</v>
      </c>
      <c r="AE3634">
        <v>5</v>
      </c>
      <c r="AF3634">
        <v>0</v>
      </c>
    </row>
    <row r="3635" spans="1:32" ht="15" x14ac:dyDescent="0.35">
      <c r="A3635" t="s">
        <v>6908</v>
      </c>
      <c r="B3635" s="1">
        <v>45881</v>
      </c>
      <c r="C3635">
        <f>YEAR(OrdersTable[[#This Row],[Order Date]])</f>
        <v>2025</v>
      </c>
      <c r="D3635" s="2">
        <f>DATE(YEAR(OrdersTable[[#This Row],[Order Date]]),MONTH(OrdersTable[[#This Row],[Order Date]]),1)</f>
        <v>45870</v>
      </c>
      <c r="E3635">
        <f>MONTH(OrdersTable[[#This Row],[Order Date]])</f>
        <v>8</v>
      </c>
      <c r="F3635" t="s">
        <v>1596</v>
      </c>
      <c r="G3635" t="str">
        <f>IF(OrdersTable[[#This Row],[Order Date]]=_xlfn.MINIFS(Order_Date, Customer_ID, OrdersTable[[#This Row],[Customer ID]]), "New", "Repeat")</f>
        <v>Repeat</v>
      </c>
      <c r="H3635" t="s">
        <v>71</v>
      </c>
      <c r="I3635" t="str">
        <f>INDEX(State!B:B,MATCH(OrdersTable[[#This Row],[State]],State!A:A,0))</f>
        <v>MH</v>
      </c>
      <c r="J3635" t="str">
        <f>INDEX(State!C:C,MATCH(OrdersTable[[#This Row],[State Code]],State!B:B,0))</f>
        <v>West</v>
      </c>
      <c r="K3635" t="s">
        <v>72</v>
      </c>
      <c r="L3635" t="s">
        <v>50</v>
      </c>
      <c r="M3635" t="s">
        <v>109</v>
      </c>
      <c r="N3635" t="str">
        <f>INDEX(Products!B:B,MATCH(OrdersTable[[#This Row],[Product ID]],Products!A:A,0))</f>
        <v>Onion Hair Oil</v>
      </c>
      <c r="O3635" t="str">
        <f>INDEX(Products!C:C,MATCH(OrdersTable[[#This Row],[Product ID]],Products!A:A,0))</f>
        <v>Haircare</v>
      </c>
      <c r="P3635">
        <v>3</v>
      </c>
      <c r="Q3635" s="5">
        <v>349</v>
      </c>
      <c r="R3635" s="74">
        <v>0.3</v>
      </c>
      <c r="S3635" s="75">
        <f>OrdersTable[[#This Row],[Quantity]]*OrdersTable[[#This Row],[Unit Price]]</f>
        <v>1047</v>
      </c>
      <c r="T3635" s="5">
        <f>OrdersTable[[#This Row],[Gross Sale]]*OrdersTable[[#This Row],[Discount_Clean2]]</f>
        <v>314.09999999999997</v>
      </c>
      <c r="U3635" s="5">
        <f>OrdersTable[[#This Row],[Gross Sale]]-OrdersTable[[#This Row],[Discount Amount]]</f>
        <v>732.90000000000009</v>
      </c>
      <c r="V3635" s="77">
        <f>INDEX(Products!E:E,MATCH(OrdersTable[[#This Row],[Product ID]],Products!A:A,0))</f>
        <v>105</v>
      </c>
      <c r="W3635" s="77">
        <f>OrdersTable[[#This Row],[Quantity]]*OrdersTable[[#This Row],[Unit Cost]]</f>
        <v>315</v>
      </c>
      <c r="X3635" s="77">
        <f>'Dropdown Lists'!$I$2*(1+OrdersTable[[#This Row],[Returned]])</f>
        <v>60</v>
      </c>
      <c r="Y3635" s="76">
        <f>OrdersTable[[#This Row],[Net Revenue]]-OrdersTable[[#This Row],[COGS]]-OrdersTable[[#This Row],[Shipping Cost]]</f>
        <v>357.90000000000009</v>
      </c>
      <c r="Z3635" s="78">
        <f>IFERROR(OrdersTable[[#This Row],[Profit]]/OrdersTable[[#This Row],[Net Revenue]],0)</f>
        <v>0.48833401555464601</v>
      </c>
      <c r="AA3635" t="s">
        <v>4074</v>
      </c>
      <c r="AB3635" s="79">
        <v>45884</v>
      </c>
      <c r="AC3635">
        <f>OrdersTable[[#This Row],[Delivery Date]]-OrdersTable[[#This Row],[Order Date]]</f>
        <v>3</v>
      </c>
      <c r="AD3635" t="str">
        <f>IF(OrdersTable[[#This Row],[Delivery Days]]&lt;=2, "Express (≤2d)", IF(OrdersTable[[#This Row],[Delivery Days]]&lt;=4, "Standard (3-4d)", "Delayed (5d+)"))</f>
        <v>Standard (3-4d)</v>
      </c>
      <c r="AE3635">
        <v>4</v>
      </c>
      <c r="AF3635">
        <v>0</v>
      </c>
    </row>
    <row r="3636" spans="1:32" ht="15" x14ac:dyDescent="0.35">
      <c r="A3636" t="s">
        <v>5013</v>
      </c>
      <c r="B3636" s="1">
        <v>45881</v>
      </c>
      <c r="C3636">
        <f>YEAR(OrdersTable[[#This Row],[Order Date]])</f>
        <v>2025</v>
      </c>
      <c r="D3636" s="2">
        <f>DATE(YEAR(OrdersTable[[#This Row],[Order Date]]),MONTH(OrdersTable[[#This Row],[Order Date]]),1)</f>
        <v>45870</v>
      </c>
      <c r="E3636">
        <f>MONTH(OrdersTable[[#This Row],[Order Date]])</f>
        <v>8</v>
      </c>
      <c r="F3636" t="s">
        <v>2594</v>
      </c>
      <c r="G3636" t="str">
        <f>IF(OrdersTable[[#This Row],[Order Date]]=_xlfn.MINIFS(Order_Date, Customer_ID, OrdersTable[[#This Row],[Customer ID]]), "New", "Repeat")</f>
        <v>Repeat</v>
      </c>
      <c r="H3636" t="s">
        <v>95</v>
      </c>
      <c r="I3636" t="str">
        <f>INDEX(State!B:B,MATCH(OrdersTable[[#This Row],[State]],State!A:A,0))</f>
        <v>TG</v>
      </c>
      <c r="J3636" t="str">
        <f>INDEX(State!C:C,MATCH(OrdersTable[[#This Row],[State Code]],State!B:B,0))</f>
        <v>South</v>
      </c>
      <c r="K3636" t="s">
        <v>96</v>
      </c>
      <c r="L3636" t="s">
        <v>50</v>
      </c>
      <c r="M3636" t="s">
        <v>51</v>
      </c>
      <c r="N3636" t="str">
        <f>INDEX(Products!B:B,MATCH(OrdersTable[[#This Row],[Product ID]],Products!A:A,0))</f>
        <v>Anti-Dandruff Conditioner</v>
      </c>
      <c r="O3636" t="str">
        <f>INDEX(Products!C:C,MATCH(OrdersTable[[#This Row],[Product ID]],Products!A:A,0))</f>
        <v>Haircare</v>
      </c>
      <c r="P3636">
        <v>2</v>
      </c>
      <c r="Q3636" s="5">
        <v>399</v>
      </c>
      <c r="R3636" s="74">
        <v>0.35</v>
      </c>
      <c r="S3636" s="75">
        <f>OrdersTable[[#This Row],[Quantity]]*OrdersTable[[#This Row],[Unit Price]]</f>
        <v>798</v>
      </c>
      <c r="T3636" s="5">
        <f>OrdersTable[[#This Row],[Gross Sale]]*OrdersTable[[#This Row],[Discount_Clean2]]</f>
        <v>279.29999999999995</v>
      </c>
      <c r="U3636" s="5">
        <f>OrdersTable[[#This Row],[Gross Sale]]-OrdersTable[[#This Row],[Discount Amount]]</f>
        <v>518.70000000000005</v>
      </c>
      <c r="V3636" s="77">
        <f>INDEX(Products!E:E,MATCH(OrdersTable[[#This Row],[Product ID]],Products!A:A,0))</f>
        <v>136</v>
      </c>
      <c r="W3636" s="77">
        <f>OrdersTable[[#This Row],[Quantity]]*OrdersTable[[#This Row],[Unit Cost]]</f>
        <v>272</v>
      </c>
      <c r="X3636" s="77">
        <f>'Dropdown Lists'!$I$2*(1+OrdersTable[[#This Row],[Returned]])</f>
        <v>60</v>
      </c>
      <c r="Y3636" s="76">
        <f>OrdersTable[[#This Row],[Net Revenue]]-OrdersTable[[#This Row],[COGS]]-OrdersTable[[#This Row],[Shipping Cost]]</f>
        <v>186.70000000000005</v>
      </c>
      <c r="Z3636" s="78">
        <f>IFERROR(OrdersTable[[#This Row],[Profit]]/OrdersTable[[#This Row],[Net Revenue]],0)</f>
        <v>0.35993830730672843</v>
      </c>
      <c r="AA3636" t="s">
        <v>4074</v>
      </c>
      <c r="AB3636" s="79">
        <v>45885</v>
      </c>
      <c r="AC3636">
        <f>OrdersTable[[#This Row],[Delivery Date]]-OrdersTable[[#This Row],[Order Date]]</f>
        <v>4</v>
      </c>
      <c r="AD3636" t="str">
        <f>IF(OrdersTable[[#This Row],[Delivery Days]]&lt;=2, "Express (≤2d)", IF(OrdersTable[[#This Row],[Delivery Days]]&lt;=4, "Standard (3-4d)", "Delayed (5d+)"))</f>
        <v>Standard (3-4d)</v>
      </c>
      <c r="AF3636">
        <v>0</v>
      </c>
    </row>
    <row r="3637" spans="1:32" ht="15" x14ac:dyDescent="0.35">
      <c r="A3637" t="s">
        <v>6804</v>
      </c>
      <c r="B3637" s="1">
        <v>45881</v>
      </c>
      <c r="C3637">
        <f>YEAR(OrdersTable[[#This Row],[Order Date]])</f>
        <v>2025</v>
      </c>
      <c r="D3637" s="2">
        <f>DATE(YEAR(OrdersTable[[#This Row],[Order Date]]),MONTH(OrdersTable[[#This Row],[Order Date]]),1)</f>
        <v>45870</v>
      </c>
      <c r="E3637">
        <f>MONTH(OrdersTable[[#This Row],[Order Date]])</f>
        <v>8</v>
      </c>
      <c r="F3637" t="s">
        <v>633</v>
      </c>
      <c r="G3637" t="str">
        <f>IF(OrdersTable[[#This Row],[Order Date]]=_xlfn.MINIFS(Order_Date, Customer_ID, OrdersTable[[#This Row],[Customer ID]]), "New", "Repeat")</f>
        <v>Repeat</v>
      </c>
      <c r="H3637" t="s">
        <v>316</v>
      </c>
      <c r="I3637" t="str">
        <f>INDEX(State!B:B,MATCH(OrdersTable[[#This Row],[State]],State!A:A,0))</f>
        <v>KL</v>
      </c>
      <c r="J3637" t="str">
        <f>INDEX(State!C:C,MATCH(OrdersTable[[#This Row],[State Code]],State!B:B,0))</f>
        <v>South</v>
      </c>
      <c r="K3637" t="s">
        <v>317</v>
      </c>
      <c r="L3637" t="s">
        <v>39</v>
      </c>
      <c r="M3637" t="s">
        <v>78</v>
      </c>
      <c r="N3637" t="str">
        <f>INDEX(Products!B:B,MATCH(OrdersTable[[#This Row],[Product ID]],Products!A:A,0))</f>
        <v>Retinol Night Cream</v>
      </c>
      <c r="O3637" t="str">
        <f>INDEX(Products!C:C,MATCH(OrdersTable[[#This Row],[Product ID]],Products!A:A,0))</f>
        <v>Skincare</v>
      </c>
      <c r="P3637">
        <v>3</v>
      </c>
      <c r="Q3637" s="5">
        <v>799</v>
      </c>
      <c r="R3637" s="74">
        <v>0</v>
      </c>
      <c r="S3637" s="75">
        <f>OrdersTable[[#This Row],[Quantity]]*OrdersTable[[#This Row],[Unit Price]]</f>
        <v>2397</v>
      </c>
      <c r="T3637" s="5">
        <f>OrdersTable[[#This Row],[Gross Sale]]*OrdersTable[[#This Row],[Discount_Clean2]]</f>
        <v>0</v>
      </c>
      <c r="U3637" s="5">
        <f>OrdersTable[[#This Row],[Gross Sale]]-OrdersTable[[#This Row],[Discount Amount]]</f>
        <v>2397</v>
      </c>
      <c r="V3637" s="77">
        <f>INDEX(Products!E:E,MATCH(OrdersTable[[#This Row],[Product ID]],Products!A:A,0))</f>
        <v>216</v>
      </c>
      <c r="W3637" s="77">
        <f>OrdersTable[[#This Row],[Quantity]]*OrdersTable[[#This Row],[Unit Cost]]</f>
        <v>648</v>
      </c>
      <c r="X3637" s="77">
        <f>'Dropdown Lists'!$I$2*(1+OrdersTable[[#This Row],[Returned]])</f>
        <v>60</v>
      </c>
      <c r="Y3637" s="76">
        <f>OrdersTable[[#This Row],[Net Revenue]]-OrdersTable[[#This Row],[COGS]]-OrdersTable[[#This Row],[Shipping Cost]]</f>
        <v>1689</v>
      </c>
      <c r="Z3637" s="78">
        <f>IFERROR(OrdersTable[[#This Row],[Profit]]/OrdersTable[[#This Row],[Net Revenue]],0)</f>
        <v>0.70463078848560701</v>
      </c>
      <c r="AA3637" t="s">
        <v>3495</v>
      </c>
      <c r="AB3637" s="79">
        <v>45887</v>
      </c>
      <c r="AC3637">
        <f>OrdersTable[[#This Row],[Delivery Date]]-OrdersTable[[#This Row],[Order Date]]</f>
        <v>6</v>
      </c>
      <c r="AD3637" t="str">
        <f>IF(OrdersTable[[#This Row],[Delivery Days]]&lt;=2, "Express (≤2d)", IF(OrdersTable[[#This Row],[Delivery Days]]&lt;=4, "Standard (3-4d)", "Delayed (5d+)"))</f>
        <v>Delayed (5d+)</v>
      </c>
      <c r="AF3637">
        <v>0</v>
      </c>
    </row>
    <row r="3638" spans="1:32" ht="15" x14ac:dyDescent="0.35">
      <c r="A3638" t="s">
        <v>349</v>
      </c>
      <c r="B3638" s="1">
        <v>45881</v>
      </c>
      <c r="C3638">
        <f>YEAR(OrdersTable[[#This Row],[Order Date]])</f>
        <v>2025</v>
      </c>
      <c r="D3638" s="2">
        <f>DATE(YEAR(OrdersTable[[#This Row],[Order Date]]),MONTH(OrdersTable[[#This Row],[Order Date]]),1)</f>
        <v>45870</v>
      </c>
      <c r="E3638">
        <f>MONTH(OrdersTable[[#This Row],[Order Date]])</f>
        <v>8</v>
      </c>
      <c r="F3638" t="s">
        <v>350</v>
      </c>
      <c r="G3638" t="str">
        <f>IF(OrdersTable[[#This Row],[Order Date]]=_xlfn.MINIFS(Order_Date, Customer_ID, OrdersTable[[#This Row],[Customer ID]]), "New", "Repeat")</f>
        <v>Repeat</v>
      </c>
      <c r="H3638" t="s">
        <v>316</v>
      </c>
      <c r="I3638" t="str">
        <f>INDEX(State!B:B,MATCH(OrdersTable[[#This Row],[State]],State!A:A,0))</f>
        <v>KL</v>
      </c>
      <c r="J3638" t="str">
        <f>INDEX(State!C:C,MATCH(OrdersTable[[#This Row],[State Code]],State!B:B,0))</f>
        <v>South</v>
      </c>
      <c r="K3638" t="s">
        <v>338</v>
      </c>
      <c r="L3638" t="s">
        <v>16</v>
      </c>
      <c r="M3638" t="s">
        <v>255</v>
      </c>
      <c r="N3638" t="str">
        <f>INDEX(Products!B:B,MATCH(OrdersTable[[#This Row],[Product ID]],Products!A:A,0))</f>
        <v>Cotton Oversized T-Shirt</v>
      </c>
      <c r="O3638" t="str">
        <f>INDEX(Products!C:C,MATCH(OrdersTable[[#This Row],[Product ID]],Products!A:A,0))</f>
        <v>Apparel</v>
      </c>
      <c r="P3638">
        <v>1</v>
      </c>
      <c r="Q3638" s="5">
        <v>799</v>
      </c>
      <c r="R3638" s="74">
        <v>0</v>
      </c>
      <c r="S3638" s="75">
        <f>OrdersTable[[#This Row],[Quantity]]*OrdersTable[[#This Row],[Unit Price]]</f>
        <v>799</v>
      </c>
      <c r="T3638" s="5">
        <f>OrdersTable[[#This Row],[Gross Sale]]*OrdersTable[[#This Row],[Discount_Clean2]]</f>
        <v>0</v>
      </c>
      <c r="U3638" s="5">
        <f>OrdersTable[[#This Row],[Gross Sale]]-OrdersTable[[#This Row],[Discount Amount]]</f>
        <v>799</v>
      </c>
      <c r="V3638" s="77">
        <f>INDEX(Products!E:E,MATCH(OrdersTable[[#This Row],[Product ID]],Products!A:A,0))</f>
        <v>320</v>
      </c>
      <c r="W3638" s="77">
        <f>OrdersTable[[#This Row],[Quantity]]*OrdersTable[[#This Row],[Unit Cost]]</f>
        <v>320</v>
      </c>
      <c r="X3638" s="77">
        <f>'Dropdown Lists'!$I$2*(1+OrdersTable[[#This Row],[Returned]])</f>
        <v>60</v>
      </c>
      <c r="Y3638" s="76">
        <f>OrdersTable[[#This Row],[Net Revenue]]-OrdersTable[[#This Row],[COGS]]-OrdersTable[[#This Row],[Shipping Cost]]</f>
        <v>419</v>
      </c>
      <c r="Z3638" s="78">
        <f>IFERROR(OrdersTable[[#This Row],[Profit]]/OrdersTable[[#This Row],[Net Revenue]],0)</f>
        <v>0.52440550688360454</v>
      </c>
      <c r="AA3638" t="s">
        <v>18</v>
      </c>
      <c r="AB3638" s="79">
        <v>45883</v>
      </c>
      <c r="AC3638">
        <f>OrdersTable[[#This Row],[Delivery Date]]-OrdersTable[[#This Row],[Order Date]]</f>
        <v>2</v>
      </c>
      <c r="AD3638" t="str">
        <f>IF(OrdersTable[[#This Row],[Delivery Days]]&lt;=2, "Express (≤2d)", IF(OrdersTable[[#This Row],[Delivery Days]]&lt;=4, "Standard (3-4d)", "Delayed (5d+)"))</f>
        <v>Express (≤2d)</v>
      </c>
      <c r="AE3638">
        <v>4</v>
      </c>
      <c r="AF3638">
        <v>0</v>
      </c>
    </row>
    <row r="3639" spans="1:32" ht="15" x14ac:dyDescent="0.35">
      <c r="A3639" t="s">
        <v>6805</v>
      </c>
      <c r="B3639" s="1">
        <v>45881</v>
      </c>
      <c r="C3639">
        <f>YEAR(OrdersTable[[#This Row],[Order Date]])</f>
        <v>2025</v>
      </c>
      <c r="D3639" s="2">
        <f>DATE(YEAR(OrdersTable[[#This Row],[Order Date]]),MONTH(OrdersTable[[#This Row],[Order Date]]),1)</f>
        <v>45870</v>
      </c>
      <c r="E3639">
        <f>MONTH(OrdersTable[[#This Row],[Order Date]])</f>
        <v>8</v>
      </c>
      <c r="F3639" t="s">
        <v>2612</v>
      </c>
      <c r="G3639" t="str">
        <f>IF(OrdersTable[[#This Row],[Order Date]]=_xlfn.MINIFS(Order_Date, Customer_ID, OrdersTable[[#This Row],[Customer ID]]), "New", "Repeat")</f>
        <v>Repeat</v>
      </c>
      <c r="H3639" t="s">
        <v>59</v>
      </c>
      <c r="I3639" t="str">
        <f>INDEX(State!B:B,MATCH(OrdersTable[[#This Row],[State]],State!A:A,0))</f>
        <v>TN</v>
      </c>
      <c r="J3639" t="str">
        <f>INDEX(State!C:C,MATCH(OrdersTable[[#This Row],[State Code]],State!B:B,0))</f>
        <v>South</v>
      </c>
      <c r="K3639" t="s">
        <v>64</v>
      </c>
      <c r="L3639" t="s">
        <v>39</v>
      </c>
      <c r="M3639" t="s">
        <v>109</v>
      </c>
      <c r="N3639" t="str">
        <f>INDEX(Products!B:B,MATCH(OrdersTable[[#This Row],[Product ID]],Products!A:A,0))</f>
        <v>Onion Hair Oil</v>
      </c>
      <c r="O3639" t="str">
        <f>INDEX(Products!C:C,MATCH(OrdersTable[[#This Row],[Product ID]],Products!A:A,0))</f>
        <v>Haircare</v>
      </c>
      <c r="P3639">
        <v>3</v>
      </c>
      <c r="Q3639" s="5">
        <v>349</v>
      </c>
      <c r="R3639" s="74">
        <v>0.35</v>
      </c>
      <c r="S3639" s="75">
        <f>OrdersTable[[#This Row],[Quantity]]*OrdersTable[[#This Row],[Unit Price]]</f>
        <v>1047</v>
      </c>
      <c r="T3639" s="5">
        <f>OrdersTable[[#This Row],[Gross Sale]]*OrdersTable[[#This Row],[Discount_Clean2]]</f>
        <v>366.45</v>
      </c>
      <c r="U3639" s="5">
        <f>OrdersTable[[#This Row],[Gross Sale]]-OrdersTable[[#This Row],[Discount Amount]]</f>
        <v>680.55</v>
      </c>
      <c r="V3639" s="77">
        <f>INDEX(Products!E:E,MATCH(OrdersTable[[#This Row],[Product ID]],Products!A:A,0))</f>
        <v>105</v>
      </c>
      <c r="W3639" s="77">
        <f>OrdersTable[[#This Row],[Quantity]]*OrdersTable[[#This Row],[Unit Cost]]</f>
        <v>315</v>
      </c>
      <c r="X3639" s="77">
        <f>'Dropdown Lists'!$I$2*(1+OrdersTable[[#This Row],[Returned]])</f>
        <v>60</v>
      </c>
      <c r="Y3639" s="76">
        <f>OrdersTable[[#This Row],[Net Revenue]]-OrdersTable[[#This Row],[COGS]]-OrdersTable[[#This Row],[Shipping Cost]]</f>
        <v>305.54999999999995</v>
      </c>
      <c r="Z3639" s="78">
        <f>IFERROR(OrdersTable[[#This Row],[Profit]]/OrdersTable[[#This Row],[Net Revenue]],0)</f>
        <v>0.44897509367423405</v>
      </c>
      <c r="AA3639" t="s">
        <v>3495</v>
      </c>
      <c r="AB3639" s="79">
        <v>45883</v>
      </c>
      <c r="AC3639">
        <f>OrdersTable[[#This Row],[Delivery Date]]-OrdersTable[[#This Row],[Order Date]]</f>
        <v>2</v>
      </c>
      <c r="AD3639" t="str">
        <f>IF(OrdersTable[[#This Row],[Delivery Days]]&lt;=2, "Express (≤2d)", IF(OrdersTable[[#This Row],[Delivery Days]]&lt;=4, "Standard (3-4d)", "Delayed (5d+)"))</f>
        <v>Express (≤2d)</v>
      </c>
      <c r="AE3639">
        <v>4</v>
      </c>
      <c r="AF3639">
        <v>0</v>
      </c>
    </row>
    <row r="3640" spans="1:32" ht="15" x14ac:dyDescent="0.35">
      <c r="A3640" t="s">
        <v>6392</v>
      </c>
      <c r="B3640" s="1">
        <v>45881</v>
      </c>
      <c r="C3640">
        <f>YEAR(OrdersTable[[#This Row],[Order Date]])</f>
        <v>2025</v>
      </c>
      <c r="D3640" s="2">
        <f>DATE(YEAR(OrdersTable[[#This Row],[Order Date]]),MONTH(OrdersTable[[#This Row],[Order Date]]),1)</f>
        <v>45870</v>
      </c>
      <c r="E3640">
        <f>MONTH(OrdersTable[[#This Row],[Order Date]])</f>
        <v>8</v>
      </c>
      <c r="F3640" t="s">
        <v>919</v>
      </c>
      <c r="G3640" t="str">
        <f>IF(OrdersTable[[#This Row],[Order Date]]=_xlfn.MINIFS(Order_Date, Customer_ID, OrdersTable[[#This Row],[Customer ID]]), "New", "Repeat")</f>
        <v>Repeat</v>
      </c>
      <c r="H3640" t="s">
        <v>59</v>
      </c>
      <c r="I3640" t="str">
        <f>INDEX(State!B:B,MATCH(OrdersTable[[#This Row],[State]],State!A:A,0))</f>
        <v>TN</v>
      </c>
      <c r="J3640" t="str">
        <f>INDEX(State!C:C,MATCH(OrdersTable[[#This Row],[State Code]],State!B:B,0))</f>
        <v>South</v>
      </c>
      <c r="K3640" t="s">
        <v>60</v>
      </c>
      <c r="L3640" t="s">
        <v>50</v>
      </c>
      <c r="M3640" t="s">
        <v>160</v>
      </c>
      <c r="N3640" t="str">
        <f>INDEX(Products!B:B,MATCH(OrdersTable[[#This Row],[Product ID]],Products!A:A,0))</f>
        <v>Niacinamide Toner</v>
      </c>
      <c r="O3640" t="str">
        <f>INDEX(Products!C:C,MATCH(OrdersTable[[#This Row],[Product ID]],Products!A:A,0))</f>
        <v>Skincare</v>
      </c>
      <c r="P3640">
        <v>2</v>
      </c>
      <c r="Q3640" s="5">
        <v>399</v>
      </c>
      <c r="R3640" s="74">
        <v>0.2</v>
      </c>
      <c r="S3640" s="75">
        <f>OrdersTable[[#This Row],[Quantity]]*OrdersTable[[#This Row],[Unit Price]]</f>
        <v>798</v>
      </c>
      <c r="T3640" s="5">
        <f>OrdersTable[[#This Row],[Gross Sale]]*OrdersTable[[#This Row],[Discount_Clean2]]</f>
        <v>159.60000000000002</v>
      </c>
      <c r="U3640" s="5">
        <f>OrdersTable[[#This Row],[Gross Sale]]-OrdersTable[[#This Row],[Discount Amount]]</f>
        <v>638.4</v>
      </c>
      <c r="V3640" s="77">
        <f>INDEX(Products!E:E,MATCH(OrdersTable[[#This Row],[Product ID]],Products!A:A,0))</f>
        <v>112</v>
      </c>
      <c r="W3640" s="77">
        <f>OrdersTable[[#This Row],[Quantity]]*OrdersTable[[#This Row],[Unit Cost]]</f>
        <v>224</v>
      </c>
      <c r="X3640" s="77">
        <f>'Dropdown Lists'!$I$2*(1+OrdersTable[[#This Row],[Returned]])</f>
        <v>60</v>
      </c>
      <c r="Y3640" s="76">
        <f>OrdersTable[[#This Row],[Net Revenue]]-OrdersTable[[#This Row],[COGS]]-OrdersTable[[#This Row],[Shipping Cost]]</f>
        <v>354.4</v>
      </c>
      <c r="Z3640" s="78">
        <f>IFERROR(OrdersTable[[#This Row],[Profit]]/OrdersTable[[#This Row],[Net Revenue]],0)</f>
        <v>0.55513784461152882</v>
      </c>
      <c r="AA3640" t="s">
        <v>18</v>
      </c>
      <c r="AB3640" s="79">
        <v>45884</v>
      </c>
      <c r="AC3640">
        <f>OrdersTable[[#This Row],[Delivery Date]]-OrdersTable[[#This Row],[Order Date]]</f>
        <v>3</v>
      </c>
      <c r="AD3640" t="str">
        <f>IF(OrdersTable[[#This Row],[Delivery Days]]&lt;=2, "Express (≤2d)", IF(OrdersTable[[#This Row],[Delivery Days]]&lt;=4, "Standard (3-4d)", "Delayed (5d+)"))</f>
        <v>Standard (3-4d)</v>
      </c>
      <c r="AE3640">
        <v>4</v>
      </c>
      <c r="AF3640">
        <v>0</v>
      </c>
    </row>
    <row r="3641" spans="1:32" ht="15" x14ac:dyDescent="0.35">
      <c r="A3641" t="s">
        <v>3792</v>
      </c>
      <c r="B3641" s="1">
        <v>45882</v>
      </c>
      <c r="C3641">
        <f>YEAR(OrdersTable[[#This Row],[Order Date]])</f>
        <v>2025</v>
      </c>
      <c r="D3641" s="2">
        <f>DATE(YEAR(OrdersTable[[#This Row],[Order Date]]),MONTH(OrdersTable[[#This Row],[Order Date]]),1)</f>
        <v>45870</v>
      </c>
      <c r="E3641">
        <f>MONTH(OrdersTable[[#This Row],[Order Date]])</f>
        <v>8</v>
      </c>
      <c r="F3641" t="s">
        <v>2682</v>
      </c>
      <c r="G3641" t="str">
        <f>IF(OrdersTable[[#This Row],[Order Date]]=_xlfn.MINIFS(Order_Date, Customer_ID, OrdersTable[[#This Row],[Customer ID]]), "New", "Repeat")</f>
        <v>Repeat</v>
      </c>
      <c r="H3641" t="s">
        <v>128</v>
      </c>
      <c r="I3641" t="str">
        <f>INDEX(State!B:B,MATCH(OrdersTable[[#This Row],[State]],State!A:A,0))</f>
        <v>DL</v>
      </c>
      <c r="J3641" t="str">
        <f>INDEX(State!C:C,MATCH(OrdersTable[[#This Row],[State Code]],State!B:B,0))</f>
        <v>North</v>
      </c>
      <c r="K3641" t="s">
        <v>129</v>
      </c>
      <c r="L3641" t="s">
        <v>65</v>
      </c>
      <c r="M3641" t="s">
        <v>84</v>
      </c>
      <c r="N3641" t="str">
        <f>INDEX(Products!B:B,MATCH(OrdersTable[[#This Row],[Product ID]],Products!A:A,0))</f>
        <v>Cotton Bedsheet</v>
      </c>
      <c r="O3641" t="str">
        <f>INDEX(Products!C:C,MATCH(OrdersTable[[#This Row],[Product ID]],Products!A:A,0))</f>
        <v>Home &amp; Kitchen</v>
      </c>
      <c r="P3641">
        <v>1</v>
      </c>
      <c r="Q3641" s="5">
        <v>1299</v>
      </c>
      <c r="R3641" s="74">
        <v>0</v>
      </c>
      <c r="S3641" s="75">
        <f>OrdersTable[[#This Row],[Quantity]]*OrdersTable[[#This Row],[Unit Price]]</f>
        <v>1299</v>
      </c>
      <c r="T3641" s="5">
        <f>OrdersTable[[#This Row],[Gross Sale]]*OrdersTable[[#This Row],[Discount_Clean2]]</f>
        <v>0</v>
      </c>
      <c r="U3641" s="5">
        <f>OrdersTable[[#This Row],[Gross Sale]]-OrdersTable[[#This Row],[Discount Amount]]</f>
        <v>1299</v>
      </c>
      <c r="V3641" s="77">
        <f>INDEX(Products!E:E,MATCH(OrdersTable[[#This Row],[Product ID]],Products!A:A,0))</f>
        <v>585</v>
      </c>
      <c r="W3641" s="77">
        <f>OrdersTable[[#This Row],[Quantity]]*OrdersTable[[#This Row],[Unit Cost]]</f>
        <v>585</v>
      </c>
      <c r="X3641" s="77">
        <f>'Dropdown Lists'!$I$2*(1+OrdersTable[[#This Row],[Returned]])</f>
        <v>60</v>
      </c>
      <c r="Y3641" s="76">
        <f>OrdersTable[[#This Row],[Net Revenue]]-OrdersTable[[#This Row],[COGS]]-OrdersTable[[#This Row],[Shipping Cost]]</f>
        <v>654</v>
      </c>
      <c r="Z3641" s="78">
        <f>IFERROR(OrdersTable[[#This Row],[Profit]]/OrdersTable[[#This Row],[Net Revenue]],0)</f>
        <v>0.50346420323325636</v>
      </c>
      <c r="AA3641" t="s">
        <v>3495</v>
      </c>
      <c r="AB3641" s="79">
        <v>45884</v>
      </c>
      <c r="AC3641">
        <f>OrdersTable[[#This Row],[Delivery Date]]-OrdersTable[[#This Row],[Order Date]]</f>
        <v>2</v>
      </c>
      <c r="AD3641" t="str">
        <f>IF(OrdersTable[[#This Row],[Delivery Days]]&lt;=2, "Express (≤2d)", IF(OrdersTable[[#This Row],[Delivery Days]]&lt;=4, "Standard (3-4d)", "Delayed (5d+)"))</f>
        <v>Express (≤2d)</v>
      </c>
      <c r="AF3641">
        <v>0</v>
      </c>
    </row>
    <row r="3642" spans="1:32" ht="15" x14ac:dyDescent="0.35">
      <c r="A3642" t="s">
        <v>6806</v>
      </c>
      <c r="B3642" s="1">
        <v>45882</v>
      </c>
      <c r="C3642">
        <f>YEAR(OrdersTable[[#This Row],[Order Date]])</f>
        <v>2025</v>
      </c>
      <c r="D3642" s="2">
        <f>DATE(YEAR(OrdersTable[[#This Row],[Order Date]]),MONTH(OrdersTable[[#This Row],[Order Date]]),1)</f>
        <v>45870</v>
      </c>
      <c r="E3642">
        <f>MONTH(OrdersTable[[#This Row],[Order Date]])</f>
        <v>8</v>
      </c>
      <c r="F3642" t="s">
        <v>305</v>
      </c>
      <c r="G3642" t="str">
        <f>IF(OrdersTable[[#This Row],[Order Date]]=_xlfn.MINIFS(Order_Date, Customer_ID, OrdersTable[[#This Row],[Customer ID]]), "New", "Repeat")</f>
        <v>Repeat</v>
      </c>
      <c r="H3642" t="s">
        <v>128</v>
      </c>
      <c r="I3642" t="str">
        <f>INDEX(State!B:B,MATCH(OrdersTable[[#This Row],[State]],State!A:A,0))</f>
        <v>DL</v>
      </c>
      <c r="J3642" t="str">
        <f>INDEX(State!C:C,MATCH(OrdersTable[[#This Row],[State Code]],State!B:B,0))</f>
        <v>North</v>
      </c>
      <c r="K3642" t="s">
        <v>129</v>
      </c>
      <c r="L3642" t="s">
        <v>16</v>
      </c>
      <c r="M3642" t="s">
        <v>92</v>
      </c>
      <c r="N3642" t="str">
        <f>INDEX(Products!B:B,MATCH(OrdersTable[[#This Row],[Product ID]],Products!A:A,0))</f>
        <v>Kolhapuri Sandals</v>
      </c>
      <c r="O3642" t="str">
        <f>INDEX(Products!C:C,MATCH(OrdersTable[[#This Row],[Product ID]],Products!A:A,0))</f>
        <v>Footwear</v>
      </c>
      <c r="P3642">
        <v>3</v>
      </c>
      <c r="Q3642" s="5">
        <v>999</v>
      </c>
      <c r="R3642" s="74">
        <v>0.05</v>
      </c>
      <c r="S3642" s="75">
        <f>OrdersTable[[#This Row],[Quantity]]*OrdersTable[[#This Row],[Unit Price]]</f>
        <v>2997</v>
      </c>
      <c r="T3642" s="5">
        <f>OrdersTable[[#This Row],[Gross Sale]]*OrdersTable[[#This Row],[Discount_Clean2]]</f>
        <v>149.85</v>
      </c>
      <c r="U3642" s="5">
        <f>OrdersTable[[#This Row],[Gross Sale]]-OrdersTable[[#This Row],[Discount Amount]]</f>
        <v>2847.15</v>
      </c>
      <c r="V3642" s="77">
        <f>INDEX(Products!E:E,MATCH(OrdersTable[[#This Row],[Product ID]],Products!A:A,0))</f>
        <v>400</v>
      </c>
      <c r="W3642" s="77">
        <f>OrdersTable[[#This Row],[Quantity]]*OrdersTable[[#This Row],[Unit Cost]]</f>
        <v>1200</v>
      </c>
      <c r="X3642" s="77">
        <f>'Dropdown Lists'!$I$2*(1+OrdersTable[[#This Row],[Returned]])</f>
        <v>60</v>
      </c>
      <c r="Y3642" s="76">
        <f>OrdersTable[[#This Row],[Net Revenue]]-OrdersTable[[#This Row],[COGS]]-OrdersTable[[#This Row],[Shipping Cost]]</f>
        <v>1587.15</v>
      </c>
      <c r="Z3642" s="78">
        <f>IFERROR(OrdersTable[[#This Row],[Profit]]/OrdersTable[[#This Row],[Net Revenue]],0)</f>
        <v>0.55745218903113647</v>
      </c>
      <c r="AA3642" t="s">
        <v>3495</v>
      </c>
      <c r="AB3642" s="79">
        <v>45885</v>
      </c>
      <c r="AC3642">
        <f>OrdersTable[[#This Row],[Delivery Date]]-OrdersTable[[#This Row],[Order Date]]</f>
        <v>3</v>
      </c>
      <c r="AD3642" t="str">
        <f>IF(OrdersTable[[#This Row],[Delivery Days]]&lt;=2, "Express (≤2d)", IF(OrdersTable[[#This Row],[Delivery Days]]&lt;=4, "Standard (3-4d)", "Delayed (5d+)"))</f>
        <v>Standard (3-4d)</v>
      </c>
      <c r="AE3642">
        <v>4</v>
      </c>
      <c r="AF3642">
        <v>0</v>
      </c>
    </row>
    <row r="3643" spans="1:32" ht="15" x14ac:dyDescent="0.35">
      <c r="A3643" t="s">
        <v>4620</v>
      </c>
      <c r="B3643" s="1">
        <v>45882</v>
      </c>
      <c r="C3643">
        <f>YEAR(OrdersTable[[#This Row],[Order Date]])</f>
        <v>2025</v>
      </c>
      <c r="D3643" s="2">
        <f>DATE(YEAR(OrdersTable[[#This Row],[Order Date]]),MONTH(OrdersTable[[#This Row],[Order Date]]),1)</f>
        <v>45870</v>
      </c>
      <c r="E3643">
        <f>MONTH(OrdersTable[[#This Row],[Order Date]])</f>
        <v>8</v>
      </c>
      <c r="F3643" t="s">
        <v>4621</v>
      </c>
      <c r="G3643" t="str">
        <f>IF(OrdersTable[[#This Row],[Order Date]]=_xlfn.MINIFS(Order_Date, Customer_ID, OrdersTable[[#This Row],[Customer ID]]), "New", "Repeat")</f>
        <v>New</v>
      </c>
      <c r="H3643" t="s">
        <v>76</v>
      </c>
      <c r="I3643" t="str">
        <f>INDEX(State!B:B,MATCH(OrdersTable[[#This Row],[State]],State!A:A,0))</f>
        <v>UP</v>
      </c>
      <c r="J3643" t="str">
        <f>INDEX(State!C:C,MATCH(OrdersTable[[#This Row],[State Code]],State!B:B,0))</f>
        <v>North</v>
      </c>
      <c r="K3643" t="s">
        <v>105</v>
      </c>
      <c r="L3643" t="s">
        <v>39</v>
      </c>
      <c r="M3643" t="s">
        <v>61</v>
      </c>
      <c r="N3643" t="str">
        <f>INDEX(Products!B:B,MATCH(OrdersTable[[#This Row],[Product ID]],Products!A:A,0))</f>
        <v>Multivitamin Gummies</v>
      </c>
      <c r="O3643" t="str">
        <f>INDEX(Products!C:C,MATCH(OrdersTable[[#This Row],[Product ID]],Products!A:A,0))</f>
        <v>Wellness</v>
      </c>
      <c r="P3643">
        <v>1</v>
      </c>
      <c r="Q3643" s="5">
        <v>699</v>
      </c>
      <c r="R3643" s="74">
        <v>0.2</v>
      </c>
      <c r="S3643" s="75">
        <f>OrdersTable[[#This Row],[Quantity]]*OrdersTable[[#This Row],[Unit Price]]</f>
        <v>699</v>
      </c>
      <c r="T3643" s="5">
        <f>OrdersTable[[#This Row],[Gross Sale]]*OrdersTable[[#This Row],[Discount_Clean2]]</f>
        <v>139.80000000000001</v>
      </c>
      <c r="U3643" s="5">
        <f>OrdersTable[[#This Row],[Gross Sale]]-OrdersTable[[#This Row],[Discount Amount]]</f>
        <v>559.20000000000005</v>
      </c>
      <c r="V3643" s="77">
        <f>INDEX(Products!E:E,MATCH(OrdersTable[[#This Row],[Product ID]],Products!A:A,0))</f>
        <v>238</v>
      </c>
      <c r="W3643" s="77">
        <f>OrdersTable[[#This Row],[Quantity]]*OrdersTable[[#This Row],[Unit Cost]]</f>
        <v>238</v>
      </c>
      <c r="X3643" s="77">
        <f>'Dropdown Lists'!$I$2*(1+OrdersTable[[#This Row],[Returned]])</f>
        <v>60</v>
      </c>
      <c r="Y3643" s="76">
        <f>OrdersTable[[#This Row],[Net Revenue]]-OrdersTable[[#This Row],[COGS]]-OrdersTable[[#This Row],[Shipping Cost]]</f>
        <v>261.20000000000005</v>
      </c>
      <c r="Z3643" s="78">
        <f>IFERROR(OrdersTable[[#This Row],[Profit]]/OrdersTable[[#This Row],[Net Revenue]],0)</f>
        <v>0.46709585121602293</v>
      </c>
      <c r="AA3643" t="s">
        <v>4450</v>
      </c>
      <c r="AB3643" s="79">
        <v>45887</v>
      </c>
      <c r="AC3643">
        <f>OrdersTable[[#This Row],[Delivery Date]]-OrdersTable[[#This Row],[Order Date]]</f>
        <v>5</v>
      </c>
      <c r="AD3643" t="str">
        <f>IF(OrdersTable[[#This Row],[Delivery Days]]&lt;=2, "Express (≤2d)", IF(OrdersTable[[#This Row],[Delivery Days]]&lt;=4, "Standard (3-4d)", "Delayed (5d+)"))</f>
        <v>Delayed (5d+)</v>
      </c>
      <c r="AF3643">
        <v>0</v>
      </c>
    </row>
    <row r="3644" spans="1:32" ht="15" x14ac:dyDescent="0.35">
      <c r="A3644" t="s">
        <v>3661</v>
      </c>
      <c r="B3644" s="1">
        <v>45882</v>
      </c>
      <c r="C3644">
        <f>YEAR(OrdersTable[[#This Row],[Order Date]])</f>
        <v>2025</v>
      </c>
      <c r="D3644" s="2">
        <f>DATE(YEAR(OrdersTable[[#This Row],[Order Date]]),MONTH(OrdersTable[[#This Row],[Order Date]]),1)</f>
        <v>45870</v>
      </c>
      <c r="E3644">
        <f>MONTH(OrdersTable[[#This Row],[Order Date]])</f>
        <v>8</v>
      </c>
      <c r="F3644" t="s">
        <v>26</v>
      </c>
      <c r="G3644" t="str">
        <f>IF(OrdersTable[[#This Row],[Order Date]]=_xlfn.MINIFS(Order_Date, Customer_ID, OrdersTable[[#This Row],[Customer ID]]), "New", "Repeat")</f>
        <v>Repeat</v>
      </c>
      <c r="H3644" t="s">
        <v>27</v>
      </c>
      <c r="I3644" t="str">
        <f>INDEX(State!B:B,MATCH(OrdersTable[[#This Row],[State]],State!A:A,0))</f>
        <v>WB</v>
      </c>
      <c r="J3644" t="str">
        <f>INDEX(State!C:C,MATCH(OrdersTable[[#This Row],[State Code]],State!B:B,0))</f>
        <v>East</v>
      </c>
      <c r="K3644" t="s">
        <v>28</v>
      </c>
      <c r="L3644" t="s">
        <v>23</v>
      </c>
      <c r="M3644" t="s">
        <v>106</v>
      </c>
      <c r="N3644" t="str">
        <f>INDEX(Products!B:B,MATCH(OrdersTable[[#This Row],[Product ID]],Products!A:A,0))</f>
        <v>Keratin Hair Mask</v>
      </c>
      <c r="O3644" t="str">
        <f>INDEX(Products!C:C,MATCH(OrdersTable[[#This Row],[Product ID]],Products!A:A,0))</f>
        <v>Haircare</v>
      </c>
      <c r="P3644">
        <v>1</v>
      </c>
      <c r="Q3644" s="5">
        <v>549</v>
      </c>
      <c r="R3644" s="74">
        <v>0.25</v>
      </c>
      <c r="S3644" s="75">
        <f>OrdersTable[[#This Row],[Quantity]]*OrdersTable[[#This Row],[Unit Price]]</f>
        <v>549</v>
      </c>
      <c r="T3644" s="5">
        <f>OrdersTable[[#This Row],[Gross Sale]]*OrdersTable[[#This Row],[Discount_Clean2]]</f>
        <v>137.25</v>
      </c>
      <c r="U3644" s="5">
        <f>OrdersTable[[#This Row],[Gross Sale]]-OrdersTable[[#This Row],[Discount Amount]]</f>
        <v>411.75</v>
      </c>
      <c r="V3644" s="77">
        <f>INDEX(Products!E:E,MATCH(OrdersTable[[#This Row],[Product ID]],Products!A:A,0))</f>
        <v>170</v>
      </c>
      <c r="W3644" s="77">
        <f>OrdersTable[[#This Row],[Quantity]]*OrdersTable[[#This Row],[Unit Cost]]</f>
        <v>170</v>
      </c>
      <c r="X3644" s="77">
        <f>'Dropdown Lists'!$I$2*(1+OrdersTable[[#This Row],[Returned]])</f>
        <v>60</v>
      </c>
      <c r="Y3644" s="76">
        <f>OrdersTable[[#This Row],[Net Revenue]]-OrdersTable[[#This Row],[COGS]]-OrdersTable[[#This Row],[Shipping Cost]]</f>
        <v>181.75</v>
      </c>
      <c r="Z3644" s="78">
        <f>IFERROR(OrdersTable[[#This Row],[Profit]]/OrdersTable[[#This Row],[Net Revenue]],0)</f>
        <v>0.44140862173649059</v>
      </c>
      <c r="AA3644" t="s">
        <v>3495</v>
      </c>
      <c r="AB3644" s="79">
        <v>45885</v>
      </c>
      <c r="AC3644">
        <f>OrdersTable[[#This Row],[Delivery Date]]-OrdersTable[[#This Row],[Order Date]]</f>
        <v>3</v>
      </c>
      <c r="AD3644" t="str">
        <f>IF(OrdersTable[[#This Row],[Delivery Days]]&lt;=2, "Express (≤2d)", IF(OrdersTable[[#This Row],[Delivery Days]]&lt;=4, "Standard (3-4d)", "Delayed (5d+)"))</f>
        <v>Standard (3-4d)</v>
      </c>
      <c r="AE3644">
        <v>4</v>
      </c>
      <c r="AF3644">
        <v>0</v>
      </c>
    </row>
    <row r="3645" spans="1:32" ht="15" x14ac:dyDescent="0.35">
      <c r="A3645" t="s">
        <v>3465</v>
      </c>
      <c r="B3645" s="1">
        <v>45882</v>
      </c>
      <c r="C3645">
        <f>YEAR(OrdersTable[[#This Row],[Order Date]])</f>
        <v>2025</v>
      </c>
      <c r="D3645" s="2">
        <f>DATE(YEAR(OrdersTable[[#This Row],[Order Date]]),MONTH(OrdersTable[[#This Row],[Order Date]]),1)</f>
        <v>45870</v>
      </c>
      <c r="E3645">
        <f>MONTH(OrdersTable[[#This Row],[Order Date]])</f>
        <v>8</v>
      </c>
      <c r="F3645" t="s">
        <v>2133</v>
      </c>
      <c r="G3645" t="str">
        <f>IF(OrdersTable[[#This Row],[Order Date]]=_xlfn.MINIFS(Order_Date, Customer_ID, OrdersTable[[#This Row],[Customer ID]]), "New", "Repeat")</f>
        <v>Repeat</v>
      </c>
      <c r="H3645" t="s">
        <v>27</v>
      </c>
      <c r="I3645" t="str">
        <f>INDEX(State!B:B,MATCH(OrdersTable[[#This Row],[State]],State!A:A,0))</f>
        <v>WB</v>
      </c>
      <c r="J3645" t="str">
        <f>INDEX(State!C:C,MATCH(OrdersTable[[#This Row],[State Code]],State!B:B,0))</f>
        <v>East</v>
      </c>
      <c r="K3645" t="s">
        <v>28</v>
      </c>
      <c r="L3645" t="s">
        <v>65</v>
      </c>
      <c r="M3645" t="s">
        <v>125</v>
      </c>
      <c r="N3645" t="str">
        <f>INDEX(Products!B:B,MATCH(OrdersTable[[#This Row],[Product ID]],Products!A:A,0))</f>
        <v>Copper Water Bottle</v>
      </c>
      <c r="O3645" t="str">
        <f>INDEX(Products!C:C,MATCH(OrdersTable[[#This Row],[Product ID]],Products!A:A,0))</f>
        <v>Home &amp; Kitchen</v>
      </c>
      <c r="P3645">
        <v>1</v>
      </c>
      <c r="Q3645" s="5">
        <v>899</v>
      </c>
      <c r="R3645" s="74">
        <v>0.05</v>
      </c>
      <c r="S3645" s="75">
        <f>OrdersTable[[#This Row],[Quantity]]*OrdersTable[[#This Row],[Unit Price]]</f>
        <v>899</v>
      </c>
      <c r="T3645" s="5">
        <f>OrdersTable[[#This Row],[Gross Sale]]*OrdersTable[[#This Row],[Discount_Clean2]]</f>
        <v>44.95</v>
      </c>
      <c r="U3645" s="5">
        <f>OrdersTable[[#This Row],[Gross Sale]]-OrdersTable[[#This Row],[Discount Amount]]</f>
        <v>854.05</v>
      </c>
      <c r="V3645" s="77">
        <f>INDEX(Products!E:E,MATCH(OrdersTable[[#This Row],[Product ID]],Products!A:A,0))</f>
        <v>378</v>
      </c>
      <c r="W3645" s="77">
        <f>OrdersTable[[#This Row],[Quantity]]*OrdersTable[[#This Row],[Unit Cost]]</f>
        <v>378</v>
      </c>
      <c r="X3645" s="77">
        <f>'Dropdown Lists'!$I$2*(1+OrdersTable[[#This Row],[Returned]])</f>
        <v>60</v>
      </c>
      <c r="Y3645" s="76">
        <f>OrdersTable[[#This Row],[Net Revenue]]-OrdersTable[[#This Row],[COGS]]-OrdersTable[[#This Row],[Shipping Cost]]</f>
        <v>416.04999999999995</v>
      </c>
      <c r="Z3645" s="78">
        <f>IFERROR(OrdersTable[[#This Row],[Profit]]/OrdersTable[[#This Row],[Net Revenue]],0)</f>
        <v>0.48714946431707745</v>
      </c>
      <c r="AA3645" t="s">
        <v>2522</v>
      </c>
      <c r="AB3645" s="79">
        <v>45886</v>
      </c>
      <c r="AC3645">
        <f>OrdersTable[[#This Row],[Delivery Date]]-OrdersTable[[#This Row],[Order Date]]</f>
        <v>4</v>
      </c>
      <c r="AD3645" t="str">
        <f>IF(OrdersTable[[#This Row],[Delivery Days]]&lt;=2, "Express (≤2d)", IF(OrdersTable[[#This Row],[Delivery Days]]&lt;=4, "Standard (3-4d)", "Delayed (5d+)"))</f>
        <v>Standard (3-4d)</v>
      </c>
      <c r="AE3645">
        <v>4</v>
      </c>
      <c r="AF3645">
        <v>0</v>
      </c>
    </row>
    <row r="3646" spans="1:32" ht="15" x14ac:dyDescent="0.35">
      <c r="A3646" t="s">
        <v>6807</v>
      </c>
      <c r="B3646" s="1">
        <v>45882</v>
      </c>
      <c r="C3646">
        <f>YEAR(OrdersTable[[#This Row],[Order Date]])</f>
        <v>2025</v>
      </c>
      <c r="D3646" s="2">
        <f>DATE(YEAR(OrdersTable[[#This Row],[Order Date]]),MONTH(OrdersTable[[#This Row],[Order Date]]),1)</f>
        <v>45870</v>
      </c>
      <c r="E3646">
        <f>MONTH(OrdersTable[[#This Row],[Order Date]])</f>
        <v>8</v>
      </c>
      <c r="F3646" t="s">
        <v>1669</v>
      </c>
      <c r="G3646" t="str">
        <f>IF(OrdersTable[[#This Row],[Order Date]]=_xlfn.MINIFS(Order_Date, Customer_ID, OrdersTable[[#This Row],[Customer ID]]), "New", "Repeat")</f>
        <v>Repeat</v>
      </c>
      <c r="H3646" t="s">
        <v>27</v>
      </c>
      <c r="I3646" t="str">
        <f>INDEX(State!B:B,MATCH(OrdersTable[[#This Row],[State]],State!A:A,0))</f>
        <v>WB</v>
      </c>
      <c r="J3646" t="str">
        <f>INDEX(State!C:C,MATCH(OrdersTable[[#This Row],[State Code]],State!B:B,0))</f>
        <v>East</v>
      </c>
      <c r="K3646" t="s">
        <v>28</v>
      </c>
      <c r="L3646" t="s">
        <v>39</v>
      </c>
      <c r="M3646" t="s">
        <v>40</v>
      </c>
      <c r="N3646" t="str">
        <f>INDEX(Products!B:B,MATCH(OrdersTable[[#This Row],[Product ID]],Products!A:A,0))</f>
        <v>Ashwagandha Capsules</v>
      </c>
      <c r="O3646" t="str">
        <f>INDEX(Products!C:C,MATCH(OrdersTable[[#This Row],[Product ID]],Products!A:A,0))</f>
        <v>Wellness</v>
      </c>
      <c r="P3646">
        <v>3</v>
      </c>
      <c r="Q3646" s="5">
        <v>499</v>
      </c>
      <c r="R3646" s="74">
        <v>0</v>
      </c>
      <c r="S3646" s="75">
        <f>OrdersTable[[#This Row],[Quantity]]*OrdersTable[[#This Row],[Unit Price]]</f>
        <v>1497</v>
      </c>
      <c r="T3646" s="5">
        <f>OrdersTable[[#This Row],[Gross Sale]]*OrdersTable[[#This Row],[Discount_Clean2]]</f>
        <v>0</v>
      </c>
      <c r="U3646" s="5">
        <f>OrdersTable[[#This Row],[Gross Sale]]-OrdersTable[[#This Row],[Discount Amount]]</f>
        <v>1497</v>
      </c>
      <c r="V3646" s="77">
        <f>INDEX(Products!E:E,MATCH(OrdersTable[[#This Row],[Product ID]],Products!A:A,0))</f>
        <v>150</v>
      </c>
      <c r="W3646" s="77">
        <f>OrdersTable[[#This Row],[Quantity]]*OrdersTable[[#This Row],[Unit Cost]]</f>
        <v>450</v>
      </c>
      <c r="X3646" s="77">
        <f>'Dropdown Lists'!$I$2*(1+OrdersTable[[#This Row],[Returned]])</f>
        <v>60</v>
      </c>
      <c r="Y3646" s="76">
        <f>OrdersTable[[#This Row],[Net Revenue]]-OrdersTable[[#This Row],[COGS]]-OrdersTable[[#This Row],[Shipping Cost]]</f>
        <v>987</v>
      </c>
      <c r="Z3646" s="78">
        <f>IFERROR(OrdersTable[[#This Row],[Profit]]/OrdersTable[[#This Row],[Net Revenue]],0)</f>
        <v>0.65931863727454909</v>
      </c>
      <c r="AA3646" t="s">
        <v>3495</v>
      </c>
      <c r="AB3646" s="79">
        <v>45887</v>
      </c>
      <c r="AC3646">
        <f>OrdersTable[[#This Row],[Delivery Date]]-OrdersTable[[#This Row],[Order Date]]</f>
        <v>5</v>
      </c>
      <c r="AD3646" t="str">
        <f>IF(OrdersTable[[#This Row],[Delivery Days]]&lt;=2, "Express (≤2d)", IF(OrdersTable[[#This Row],[Delivery Days]]&lt;=4, "Standard (3-4d)", "Delayed (5d+)"))</f>
        <v>Delayed (5d+)</v>
      </c>
      <c r="AE3646">
        <v>5</v>
      </c>
      <c r="AF3646">
        <v>0</v>
      </c>
    </row>
    <row r="3647" spans="1:32" ht="15" x14ac:dyDescent="0.35">
      <c r="A3647" t="s">
        <v>1432</v>
      </c>
      <c r="B3647" s="1">
        <v>45882</v>
      </c>
      <c r="C3647">
        <f>YEAR(OrdersTable[[#This Row],[Order Date]])</f>
        <v>2025</v>
      </c>
      <c r="D3647" s="2">
        <f>DATE(YEAR(OrdersTable[[#This Row],[Order Date]]),MONTH(OrdersTable[[#This Row],[Order Date]]),1)</f>
        <v>45870</v>
      </c>
      <c r="E3647">
        <f>MONTH(OrdersTable[[#This Row],[Order Date]])</f>
        <v>8</v>
      </c>
      <c r="F3647" t="s">
        <v>137</v>
      </c>
      <c r="G3647" t="str">
        <f>IF(OrdersTable[[#This Row],[Order Date]]=_xlfn.MINIFS(Order_Date, Customer_ID, OrdersTable[[#This Row],[Customer ID]]), "New", "Repeat")</f>
        <v>Repeat</v>
      </c>
      <c r="H3647" t="s">
        <v>27</v>
      </c>
      <c r="I3647" t="str">
        <f>INDEX(State!B:B,MATCH(OrdersTable[[#This Row],[State]],State!A:A,0))</f>
        <v>WB</v>
      </c>
      <c r="J3647" t="str">
        <f>INDEX(State!C:C,MATCH(OrdersTable[[#This Row],[State Code]],State!B:B,0))</f>
        <v>East</v>
      </c>
      <c r="K3647" t="s">
        <v>28</v>
      </c>
      <c r="L3647" t="s">
        <v>23</v>
      </c>
      <c r="M3647" t="s">
        <v>66</v>
      </c>
      <c r="N3647" t="str">
        <f>INDEX(Products!B:B,MATCH(OrdersTable[[#This Row],[Product ID]],Products!A:A,0))</f>
        <v>Sunscreen SPF 50</v>
      </c>
      <c r="O3647" t="str">
        <f>INDEX(Products!C:C,MATCH(OrdersTable[[#This Row],[Product ID]],Products!A:A,0))</f>
        <v>Skincare</v>
      </c>
      <c r="P3647">
        <v>1</v>
      </c>
      <c r="Q3647" s="5">
        <v>449</v>
      </c>
      <c r="R3647" s="74">
        <v>0.1</v>
      </c>
      <c r="S3647" s="75">
        <f>OrdersTable[[#This Row],[Quantity]]*OrdersTable[[#This Row],[Unit Price]]</f>
        <v>449</v>
      </c>
      <c r="T3647" s="5">
        <f>OrdersTable[[#This Row],[Gross Sale]]*OrdersTable[[#This Row],[Discount_Clean2]]</f>
        <v>44.900000000000006</v>
      </c>
      <c r="U3647" s="5">
        <f>OrdersTable[[#This Row],[Gross Sale]]-OrdersTable[[#This Row],[Discount Amount]]</f>
        <v>404.1</v>
      </c>
      <c r="V3647" s="77">
        <f>INDEX(Products!E:E,MATCH(OrdersTable[[#This Row],[Product ID]],Products!A:A,0))</f>
        <v>144</v>
      </c>
      <c r="W3647" s="77">
        <f>OrdersTable[[#This Row],[Quantity]]*OrdersTable[[#This Row],[Unit Cost]]</f>
        <v>144</v>
      </c>
      <c r="X3647" s="77">
        <f>'Dropdown Lists'!$I$2*(1+OrdersTable[[#This Row],[Returned]])</f>
        <v>60</v>
      </c>
      <c r="Y3647" s="76">
        <f>OrdersTable[[#This Row],[Net Revenue]]-OrdersTable[[#This Row],[COGS]]-OrdersTable[[#This Row],[Shipping Cost]]</f>
        <v>200.10000000000002</v>
      </c>
      <c r="Z3647" s="78">
        <f>IFERROR(OrdersTable[[#This Row],[Profit]]/OrdersTable[[#This Row],[Net Revenue]],0)</f>
        <v>0.4951744617668894</v>
      </c>
      <c r="AA3647" t="s">
        <v>18</v>
      </c>
      <c r="AB3647" s="79">
        <v>45884</v>
      </c>
      <c r="AC3647">
        <f>OrdersTable[[#This Row],[Delivery Date]]-OrdersTable[[#This Row],[Order Date]]</f>
        <v>2</v>
      </c>
      <c r="AD3647" t="str">
        <f>IF(OrdersTable[[#This Row],[Delivery Days]]&lt;=2, "Express (≤2d)", IF(OrdersTable[[#This Row],[Delivery Days]]&lt;=4, "Standard (3-4d)", "Delayed (5d+)"))</f>
        <v>Express (≤2d)</v>
      </c>
      <c r="AF3647">
        <v>0</v>
      </c>
    </row>
    <row r="3648" spans="1:32" ht="15" x14ac:dyDescent="0.35">
      <c r="A3648" t="s">
        <v>4169</v>
      </c>
      <c r="B3648" s="1">
        <v>45882</v>
      </c>
      <c r="C3648">
        <f>YEAR(OrdersTable[[#This Row],[Order Date]])</f>
        <v>2025</v>
      </c>
      <c r="D3648" s="2">
        <f>DATE(YEAR(OrdersTable[[#This Row],[Order Date]]),MONTH(OrdersTable[[#This Row],[Order Date]]),1)</f>
        <v>45870</v>
      </c>
      <c r="E3648">
        <f>MONTH(OrdersTable[[#This Row],[Order Date]])</f>
        <v>8</v>
      </c>
      <c r="F3648" t="s">
        <v>4170</v>
      </c>
      <c r="G3648" t="str">
        <f>IF(OrdersTable[[#This Row],[Order Date]]=_xlfn.MINIFS(Order_Date, Customer_ID, OrdersTable[[#This Row],[Customer ID]]), "New", "Repeat")</f>
        <v>New</v>
      </c>
      <c r="H3648" t="s">
        <v>71</v>
      </c>
      <c r="I3648" t="str">
        <f>INDEX(State!B:B,MATCH(OrdersTable[[#This Row],[State]],State!A:A,0))</f>
        <v>MH</v>
      </c>
      <c r="J3648" t="str">
        <f>INDEX(State!C:C,MATCH(OrdersTable[[#This Row],[State Code]],State!B:B,0))</f>
        <v>West</v>
      </c>
      <c r="K3648" t="s">
        <v>81</v>
      </c>
      <c r="L3648" t="s">
        <v>65</v>
      </c>
      <c r="M3648" t="s">
        <v>423</v>
      </c>
      <c r="N3648" t="str">
        <f>INDEX(Products!B:B,MATCH(OrdersTable[[#This Row],[Product ID]],Products!A:A,0))</f>
        <v>Power Bank 20000mAh</v>
      </c>
      <c r="O3648" t="str">
        <f>INDEX(Products!C:C,MATCH(OrdersTable[[#This Row],[Product ID]],Products!A:A,0))</f>
        <v>Electronics</v>
      </c>
      <c r="P3648">
        <v>1</v>
      </c>
      <c r="Q3648" s="5">
        <v>1799</v>
      </c>
      <c r="R3648" s="74">
        <v>0.3</v>
      </c>
      <c r="S3648" s="75">
        <f>OrdersTable[[#This Row],[Quantity]]*OrdersTable[[#This Row],[Unit Price]]</f>
        <v>1799</v>
      </c>
      <c r="T3648" s="5">
        <f>OrdersTable[[#This Row],[Gross Sale]]*OrdersTable[[#This Row],[Discount_Clean2]]</f>
        <v>539.69999999999993</v>
      </c>
      <c r="U3648" s="5">
        <f>OrdersTable[[#This Row],[Gross Sale]]-OrdersTable[[#This Row],[Discount Amount]]</f>
        <v>1259.3000000000002</v>
      </c>
      <c r="V3648" s="77">
        <f>INDEX(Products!E:E,MATCH(OrdersTable[[#This Row],[Product ID]],Products!A:A,0))</f>
        <v>1079</v>
      </c>
      <c r="W3648" s="77">
        <f>OrdersTable[[#This Row],[Quantity]]*OrdersTable[[#This Row],[Unit Cost]]</f>
        <v>1079</v>
      </c>
      <c r="X3648" s="77">
        <f>'Dropdown Lists'!$I$2*(1+OrdersTable[[#This Row],[Returned]])</f>
        <v>60</v>
      </c>
      <c r="Y3648" s="76">
        <f>OrdersTable[[#This Row],[Net Revenue]]-OrdersTable[[#This Row],[COGS]]-OrdersTable[[#This Row],[Shipping Cost]]</f>
        <v>120.30000000000018</v>
      </c>
      <c r="Z3648" s="78">
        <f>IFERROR(OrdersTable[[#This Row],[Profit]]/OrdersTable[[#This Row],[Net Revenue]],0)</f>
        <v>9.5529262288573141E-2</v>
      </c>
      <c r="AA3648" t="s">
        <v>4074</v>
      </c>
      <c r="AB3648" s="79">
        <v>45883</v>
      </c>
      <c r="AC3648">
        <f>OrdersTable[[#This Row],[Delivery Date]]-OrdersTable[[#This Row],[Order Date]]</f>
        <v>1</v>
      </c>
      <c r="AD3648" t="str">
        <f>IF(OrdersTable[[#This Row],[Delivery Days]]&lt;=2, "Express (≤2d)", IF(OrdersTable[[#This Row],[Delivery Days]]&lt;=4, "Standard (3-4d)", "Delayed (5d+)"))</f>
        <v>Express (≤2d)</v>
      </c>
      <c r="AE3648">
        <v>5</v>
      </c>
      <c r="AF3648">
        <v>0</v>
      </c>
    </row>
    <row r="3649" spans="1:32" ht="15" x14ac:dyDescent="0.35">
      <c r="A3649" t="s">
        <v>3921</v>
      </c>
      <c r="B3649" s="1">
        <v>45882</v>
      </c>
      <c r="C3649">
        <f>YEAR(OrdersTable[[#This Row],[Order Date]])</f>
        <v>2025</v>
      </c>
      <c r="D3649" s="2">
        <f>DATE(YEAR(OrdersTable[[#This Row],[Order Date]]),MONTH(OrdersTable[[#This Row],[Order Date]]),1)</f>
        <v>45870</v>
      </c>
      <c r="E3649">
        <f>MONTH(OrdersTable[[#This Row],[Order Date]])</f>
        <v>8</v>
      </c>
      <c r="F3649" t="s">
        <v>3922</v>
      </c>
      <c r="G3649" t="str">
        <f>IF(OrdersTable[[#This Row],[Order Date]]=_xlfn.MINIFS(Order_Date, Customer_ID, OrdersTable[[#This Row],[Customer ID]]), "New", "Repeat")</f>
        <v>New</v>
      </c>
      <c r="H3649" t="s">
        <v>59</v>
      </c>
      <c r="I3649" t="str">
        <f>INDEX(State!B:B,MATCH(OrdersTable[[#This Row],[State]],State!A:A,0))</f>
        <v>TN</v>
      </c>
      <c r="J3649" t="str">
        <f>INDEX(State!C:C,MATCH(OrdersTable[[#This Row],[State Code]],State!B:B,0))</f>
        <v>South</v>
      </c>
      <c r="K3649" t="s">
        <v>64</v>
      </c>
      <c r="L3649" t="s">
        <v>39</v>
      </c>
      <c r="M3649" t="s">
        <v>40</v>
      </c>
      <c r="N3649" t="str">
        <f>INDEX(Products!B:B,MATCH(OrdersTable[[#This Row],[Product ID]],Products!A:A,0))</f>
        <v>Ashwagandha Capsules</v>
      </c>
      <c r="O3649" t="str">
        <f>INDEX(Products!C:C,MATCH(OrdersTable[[#This Row],[Product ID]],Products!A:A,0))</f>
        <v>Wellness</v>
      </c>
      <c r="P3649">
        <v>1</v>
      </c>
      <c r="Q3649" s="5">
        <v>499</v>
      </c>
      <c r="R3649" s="74">
        <v>0</v>
      </c>
      <c r="S3649" s="75">
        <f>OrdersTable[[#This Row],[Quantity]]*OrdersTable[[#This Row],[Unit Price]]</f>
        <v>499</v>
      </c>
      <c r="T3649" s="5">
        <f>OrdersTable[[#This Row],[Gross Sale]]*OrdersTable[[#This Row],[Discount_Clean2]]</f>
        <v>0</v>
      </c>
      <c r="U3649" s="5">
        <f>OrdersTable[[#This Row],[Gross Sale]]-OrdersTable[[#This Row],[Discount Amount]]</f>
        <v>499</v>
      </c>
      <c r="V3649" s="77">
        <f>INDEX(Products!E:E,MATCH(OrdersTable[[#This Row],[Product ID]],Products!A:A,0))</f>
        <v>150</v>
      </c>
      <c r="W3649" s="77">
        <f>OrdersTable[[#This Row],[Quantity]]*OrdersTable[[#This Row],[Unit Cost]]</f>
        <v>150</v>
      </c>
      <c r="X3649" s="77">
        <f>'Dropdown Lists'!$I$2*(1+OrdersTable[[#This Row],[Returned]])</f>
        <v>120</v>
      </c>
      <c r="Y3649" s="76">
        <f>OrdersTable[[#This Row],[Net Revenue]]-OrdersTable[[#This Row],[COGS]]-OrdersTable[[#This Row],[Shipping Cost]]</f>
        <v>229</v>
      </c>
      <c r="Z3649" s="78">
        <f>IFERROR(OrdersTable[[#This Row],[Profit]]/OrdersTable[[#This Row],[Net Revenue]],0)</f>
        <v>0.4589178356713427</v>
      </c>
      <c r="AA3649" t="s">
        <v>3495</v>
      </c>
      <c r="AB3649" s="79">
        <v>45886</v>
      </c>
      <c r="AC3649">
        <f>OrdersTable[[#This Row],[Delivery Date]]-OrdersTable[[#This Row],[Order Date]]</f>
        <v>4</v>
      </c>
      <c r="AD3649" t="str">
        <f>IF(OrdersTable[[#This Row],[Delivery Days]]&lt;=2, "Express (≤2d)", IF(OrdersTable[[#This Row],[Delivery Days]]&lt;=4, "Standard (3-4d)", "Delayed (5d+)"))</f>
        <v>Standard (3-4d)</v>
      </c>
      <c r="AE3649">
        <v>3</v>
      </c>
      <c r="AF3649">
        <v>1</v>
      </c>
    </row>
    <row r="3650" spans="1:32" ht="15" x14ac:dyDescent="0.35">
      <c r="A3650" t="s">
        <v>2169</v>
      </c>
      <c r="B3650" s="1">
        <v>45883</v>
      </c>
      <c r="C3650">
        <f>YEAR(OrdersTable[[#This Row],[Order Date]])</f>
        <v>2025</v>
      </c>
      <c r="D3650" s="2">
        <f>DATE(YEAR(OrdersTable[[#This Row],[Order Date]]),MONTH(OrdersTable[[#This Row],[Order Date]]),1)</f>
        <v>45870</v>
      </c>
      <c r="E3650">
        <f>MONTH(OrdersTable[[#This Row],[Order Date]])</f>
        <v>8</v>
      </c>
      <c r="F3650" t="s">
        <v>633</v>
      </c>
      <c r="G3650" t="str">
        <f>IF(OrdersTable[[#This Row],[Order Date]]=_xlfn.MINIFS(Order_Date, Customer_ID, OrdersTable[[#This Row],[Customer ID]]), "New", "Repeat")</f>
        <v>Repeat</v>
      </c>
      <c r="H3650" t="s">
        <v>76</v>
      </c>
      <c r="I3650" t="str">
        <f>INDEX(State!B:B,MATCH(OrdersTable[[#This Row],[State]],State!A:A,0))</f>
        <v>UP</v>
      </c>
      <c r="J3650" t="str">
        <f>INDEX(State!C:C,MATCH(OrdersTable[[#This Row],[State Code]],State!B:B,0))</f>
        <v>North</v>
      </c>
      <c r="K3650" t="s">
        <v>77</v>
      </c>
      <c r="L3650" t="s">
        <v>65</v>
      </c>
      <c r="M3650" t="s">
        <v>205</v>
      </c>
      <c r="N3650" t="str">
        <f>INDEX(Products!B:B,MATCH(OrdersTable[[#This Row],[Product ID]],Products!A:A,0))</f>
        <v>Running Shoes</v>
      </c>
      <c r="O3650" t="str">
        <f>INDEX(Products!C:C,MATCH(OrdersTable[[#This Row],[Product ID]],Products!A:A,0))</f>
        <v>Footwear</v>
      </c>
      <c r="P3650">
        <v>1</v>
      </c>
      <c r="Q3650" s="5">
        <v>2999</v>
      </c>
      <c r="R3650" s="74">
        <v>0.2</v>
      </c>
      <c r="S3650" s="75">
        <f>OrdersTable[[#This Row],[Quantity]]*OrdersTable[[#This Row],[Unit Price]]</f>
        <v>2999</v>
      </c>
      <c r="T3650" s="5">
        <f>OrdersTable[[#This Row],[Gross Sale]]*OrdersTable[[#This Row],[Discount_Clean2]]</f>
        <v>599.80000000000007</v>
      </c>
      <c r="U3650" s="5">
        <f>OrdersTable[[#This Row],[Gross Sale]]-OrdersTable[[#This Row],[Discount Amount]]</f>
        <v>2399.1999999999998</v>
      </c>
      <c r="V3650" s="77">
        <f>INDEX(Products!E:E,MATCH(OrdersTable[[#This Row],[Product ID]],Products!A:A,0))</f>
        <v>1440</v>
      </c>
      <c r="W3650" s="77">
        <f>OrdersTable[[#This Row],[Quantity]]*OrdersTable[[#This Row],[Unit Cost]]</f>
        <v>1440</v>
      </c>
      <c r="X3650" s="77">
        <f>'Dropdown Lists'!$I$2*(1+OrdersTable[[#This Row],[Returned]])</f>
        <v>60</v>
      </c>
      <c r="Y3650" s="76">
        <f>OrdersTable[[#This Row],[Net Revenue]]-OrdersTable[[#This Row],[COGS]]-OrdersTable[[#This Row],[Shipping Cost]]</f>
        <v>899.19999999999982</v>
      </c>
      <c r="Z3650" s="78">
        <f>IFERROR(OrdersTable[[#This Row],[Profit]]/OrdersTable[[#This Row],[Net Revenue]],0)</f>
        <v>0.3747915971990663</v>
      </c>
      <c r="AA3650" t="s">
        <v>18</v>
      </c>
      <c r="AB3650" s="79">
        <v>45886</v>
      </c>
      <c r="AC3650">
        <f>OrdersTable[[#This Row],[Delivery Date]]-OrdersTable[[#This Row],[Order Date]]</f>
        <v>3</v>
      </c>
      <c r="AD3650" t="str">
        <f>IF(OrdersTable[[#This Row],[Delivery Days]]&lt;=2, "Express (≤2d)", IF(OrdersTable[[#This Row],[Delivery Days]]&lt;=4, "Standard (3-4d)", "Delayed (5d+)"))</f>
        <v>Standard (3-4d)</v>
      </c>
      <c r="AE3650">
        <v>3</v>
      </c>
      <c r="AF3650">
        <v>0</v>
      </c>
    </row>
    <row r="3651" spans="1:32" ht="15" x14ac:dyDescent="0.35">
      <c r="A3651" t="s">
        <v>1294</v>
      </c>
      <c r="B3651" s="1">
        <v>45883</v>
      </c>
      <c r="C3651">
        <f>YEAR(OrdersTable[[#This Row],[Order Date]])</f>
        <v>2025</v>
      </c>
      <c r="D3651" s="2">
        <f>DATE(YEAR(OrdersTable[[#This Row],[Order Date]]),MONTH(OrdersTable[[#This Row],[Order Date]]),1)</f>
        <v>45870</v>
      </c>
      <c r="E3651">
        <f>MONTH(OrdersTable[[#This Row],[Order Date]])</f>
        <v>8</v>
      </c>
      <c r="F3651" t="s">
        <v>1295</v>
      </c>
      <c r="G3651" t="str">
        <f>IF(OrdersTable[[#This Row],[Order Date]]=_xlfn.MINIFS(Order_Date, Customer_ID, OrdersTable[[#This Row],[Customer ID]]), "New", "Repeat")</f>
        <v>Repeat</v>
      </c>
      <c r="H3651" t="s">
        <v>95</v>
      </c>
      <c r="I3651" t="str">
        <f>INDEX(State!B:B,MATCH(OrdersTable[[#This Row],[State]],State!A:A,0))</f>
        <v>TG</v>
      </c>
      <c r="J3651" t="str">
        <f>INDEX(State!C:C,MATCH(OrdersTable[[#This Row],[State Code]],State!B:B,0))</f>
        <v>South</v>
      </c>
      <c r="K3651" t="s">
        <v>96</v>
      </c>
      <c r="L3651" t="s">
        <v>16</v>
      </c>
      <c r="M3651" t="s">
        <v>176</v>
      </c>
      <c r="N3651" t="str">
        <f>INDEX(Products!B:B,MATCH(OrdersTable[[#This Row],[Product ID]],Products!A:A,0))</f>
        <v>Denim Jacket</v>
      </c>
      <c r="O3651" t="str">
        <f>INDEX(Products!C:C,MATCH(OrdersTable[[#This Row],[Product ID]],Products!A:A,0))</f>
        <v>Apparel</v>
      </c>
      <c r="P3651">
        <v>1</v>
      </c>
      <c r="Q3651" s="5">
        <v>2499</v>
      </c>
      <c r="R3651" s="74">
        <v>0</v>
      </c>
      <c r="S3651" s="75">
        <f>OrdersTable[[#This Row],[Quantity]]*OrdersTable[[#This Row],[Unit Price]]</f>
        <v>2499</v>
      </c>
      <c r="T3651" s="5">
        <f>OrdersTable[[#This Row],[Gross Sale]]*OrdersTable[[#This Row],[Discount_Clean2]]</f>
        <v>0</v>
      </c>
      <c r="U3651" s="5">
        <f>OrdersTable[[#This Row],[Gross Sale]]-OrdersTable[[#This Row],[Discount Amount]]</f>
        <v>2499</v>
      </c>
      <c r="V3651" s="77">
        <f>INDEX(Products!E:E,MATCH(OrdersTable[[#This Row],[Product ID]],Products!A:A,0))</f>
        <v>1125</v>
      </c>
      <c r="W3651" s="77">
        <f>OrdersTable[[#This Row],[Quantity]]*OrdersTable[[#This Row],[Unit Cost]]</f>
        <v>1125</v>
      </c>
      <c r="X3651" s="77">
        <f>'Dropdown Lists'!$I$2*(1+OrdersTable[[#This Row],[Returned]])</f>
        <v>60</v>
      </c>
      <c r="Y3651" s="76">
        <f>OrdersTable[[#This Row],[Net Revenue]]-OrdersTable[[#This Row],[COGS]]-OrdersTable[[#This Row],[Shipping Cost]]</f>
        <v>1314</v>
      </c>
      <c r="Z3651" s="78">
        <f>IFERROR(OrdersTable[[#This Row],[Profit]]/OrdersTable[[#This Row],[Net Revenue]],0)</f>
        <v>0.5258103241296519</v>
      </c>
      <c r="AA3651" t="s">
        <v>18</v>
      </c>
      <c r="AB3651" s="79">
        <v>45885</v>
      </c>
      <c r="AC3651">
        <f>OrdersTable[[#This Row],[Delivery Date]]-OrdersTable[[#This Row],[Order Date]]</f>
        <v>2</v>
      </c>
      <c r="AD3651" t="str">
        <f>IF(OrdersTable[[#This Row],[Delivery Days]]&lt;=2, "Express (≤2d)", IF(OrdersTable[[#This Row],[Delivery Days]]&lt;=4, "Standard (3-4d)", "Delayed (5d+)"))</f>
        <v>Express (≤2d)</v>
      </c>
      <c r="AF3651">
        <v>0</v>
      </c>
    </row>
    <row r="3652" spans="1:32" ht="15" x14ac:dyDescent="0.35">
      <c r="A3652" t="s">
        <v>3793</v>
      </c>
      <c r="B3652" s="1">
        <v>45883</v>
      </c>
      <c r="C3652">
        <f>YEAR(OrdersTable[[#This Row],[Order Date]])</f>
        <v>2025</v>
      </c>
      <c r="D3652" s="2">
        <f>DATE(YEAR(OrdersTable[[#This Row],[Order Date]]),MONTH(OrdersTable[[#This Row],[Order Date]]),1)</f>
        <v>45870</v>
      </c>
      <c r="E3652">
        <f>MONTH(OrdersTable[[#This Row],[Order Date]])</f>
        <v>8</v>
      </c>
      <c r="F3652" t="s">
        <v>1959</v>
      </c>
      <c r="G3652" t="str">
        <f>IF(OrdersTable[[#This Row],[Order Date]]=_xlfn.MINIFS(Order_Date, Customer_ID, OrdersTable[[#This Row],[Customer ID]]), "New", "Repeat")</f>
        <v>Repeat</v>
      </c>
      <c r="H3652" t="s">
        <v>95</v>
      </c>
      <c r="I3652" t="str">
        <f>INDEX(State!B:B,MATCH(OrdersTable[[#This Row],[State]],State!A:A,0))</f>
        <v>TG</v>
      </c>
      <c r="J3652" t="str">
        <f>INDEX(State!C:C,MATCH(OrdersTable[[#This Row],[State Code]],State!B:B,0))</f>
        <v>South</v>
      </c>
      <c r="K3652" t="s">
        <v>96</v>
      </c>
      <c r="L3652" t="s">
        <v>16</v>
      </c>
      <c r="M3652" t="s">
        <v>576</v>
      </c>
      <c r="N3652" t="str">
        <f>INDEX(Products!B:B,MATCH(OrdersTable[[#This Row],[Product ID]],Products!A:A,0))</f>
        <v>Printed Saree</v>
      </c>
      <c r="O3652" t="str">
        <f>INDEX(Products!C:C,MATCH(OrdersTable[[#This Row],[Product ID]],Products!A:A,0))</f>
        <v>Apparel</v>
      </c>
      <c r="P3652">
        <v>1</v>
      </c>
      <c r="Q3652" s="5">
        <v>1999</v>
      </c>
      <c r="R3652" s="74">
        <v>0</v>
      </c>
      <c r="S3652" s="75">
        <f>OrdersTable[[#This Row],[Quantity]]*OrdersTable[[#This Row],[Unit Price]]</f>
        <v>1999</v>
      </c>
      <c r="T3652" s="5">
        <f>OrdersTable[[#This Row],[Gross Sale]]*OrdersTable[[#This Row],[Discount_Clean2]]</f>
        <v>0</v>
      </c>
      <c r="U3652" s="5">
        <f>OrdersTable[[#This Row],[Gross Sale]]-OrdersTable[[#This Row],[Discount Amount]]</f>
        <v>1999</v>
      </c>
      <c r="V3652" s="77">
        <f>INDEX(Products!E:E,MATCH(OrdersTable[[#This Row],[Product ID]],Products!A:A,0))</f>
        <v>880</v>
      </c>
      <c r="W3652" s="77">
        <f>OrdersTable[[#This Row],[Quantity]]*OrdersTable[[#This Row],[Unit Cost]]</f>
        <v>880</v>
      </c>
      <c r="X3652" s="77">
        <f>'Dropdown Lists'!$I$2*(1+OrdersTable[[#This Row],[Returned]])</f>
        <v>120</v>
      </c>
      <c r="Y3652" s="76">
        <f>OrdersTable[[#This Row],[Net Revenue]]-OrdersTable[[#This Row],[COGS]]-OrdersTable[[#This Row],[Shipping Cost]]</f>
        <v>999</v>
      </c>
      <c r="Z3652" s="78">
        <f>IFERROR(OrdersTable[[#This Row],[Profit]]/OrdersTable[[#This Row],[Net Revenue]],0)</f>
        <v>0.49974987493746875</v>
      </c>
      <c r="AA3652" t="s">
        <v>3495</v>
      </c>
      <c r="AB3652" s="79">
        <v>45886</v>
      </c>
      <c r="AC3652">
        <f>OrdersTable[[#This Row],[Delivery Date]]-OrdersTable[[#This Row],[Order Date]]</f>
        <v>3</v>
      </c>
      <c r="AD3652" t="str">
        <f>IF(OrdersTable[[#This Row],[Delivery Days]]&lt;=2, "Express (≤2d)", IF(OrdersTable[[#This Row],[Delivery Days]]&lt;=4, "Standard (3-4d)", "Delayed (5d+)"))</f>
        <v>Standard (3-4d)</v>
      </c>
      <c r="AF3652">
        <v>1</v>
      </c>
    </row>
    <row r="3653" spans="1:32" ht="15" x14ac:dyDescent="0.35">
      <c r="A3653" t="s">
        <v>351</v>
      </c>
      <c r="B3653" s="1">
        <v>45883</v>
      </c>
      <c r="C3653">
        <f>YEAR(OrdersTable[[#This Row],[Order Date]])</f>
        <v>2025</v>
      </c>
      <c r="D3653" s="2">
        <f>DATE(YEAR(OrdersTable[[#This Row],[Order Date]]),MONTH(OrdersTable[[#This Row],[Order Date]]),1)</f>
        <v>45870</v>
      </c>
      <c r="E3653">
        <f>MONTH(OrdersTable[[#This Row],[Order Date]])</f>
        <v>8</v>
      </c>
      <c r="F3653" t="s">
        <v>352</v>
      </c>
      <c r="G3653" t="str">
        <f>IF(OrdersTable[[#This Row],[Order Date]]=_xlfn.MINIFS(Order_Date, Customer_ID, OrdersTable[[#This Row],[Customer ID]]), "New", "Repeat")</f>
        <v>Repeat</v>
      </c>
      <c r="H3653" t="s">
        <v>167</v>
      </c>
      <c r="I3653" t="str">
        <f>INDEX(State!B:B,MATCH(OrdersTable[[#This Row],[State]],State!A:A,0))</f>
        <v>KA</v>
      </c>
      <c r="J3653" t="str">
        <f>INDEX(State!C:C,MATCH(OrdersTable[[#This Row],[State Code]],State!B:B,0))</f>
        <v>South</v>
      </c>
      <c r="K3653" t="s">
        <v>168</v>
      </c>
      <c r="L3653" t="s">
        <v>50</v>
      </c>
      <c r="M3653" t="s">
        <v>51</v>
      </c>
      <c r="N3653" t="str">
        <f>INDEX(Products!B:B,MATCH(OrdersTable[[#This Row],[Product ID]],Products!A:A,0))</f>
        <v>Anti-Dandruff Conditioner</v>
      </c>
      <c r="O3653" t="str">
        <f>INDEX(Products!C:C,MATCH(OrdersTable[[#This Row],[Product ID]],Products!A:A,0))</f>
        <v>Haircare</v>
      </c>
      <c r="P3653">
        <v>1</v>
      </c>
      <c r="Q3653" s="5">
        <v>399</v>
      </c>
      <c r="R3653" s="74">
        <v>0.35</v>
      </c>
      <c r="S3653" s="75">
        <f>OrdersTable[[#This Row],[Quantity]]*OrdersTable[[#This Row],[Unit Price]]</f>
        <v>399</v>
      </c>
      <c r="T3653" s="5">
        <f>OrdersTable[[#This Row],[Gross Sale]]*OrdersTable[[#This Row],[Discount_Clean2]]</f>
        <v>139.64999999999998</v>
      </c>
      <c r="U3653" s="5">
        <f>OrdersTable[[#This Row],[Gross Sale]]-OrdersTable[[#This Row],[Discount Amount]]</f>
        <v>259.35000000000002</v>
      </c>
      <c r="V3653" s="77">
        <f>INDEX(Products!E:E,MATCH(OrdersTable[[#This Row],[Product ID]],Products!A:A,0))</f>
        <v>136</v>
      </c>
      <c r="W3653" s="77">
        <f>OrdersTable[[#This Row],[Quantity]]*OrdersTable[[#This Row],[Unit Cost]]</f>
        <v>136</v>
      </c>
      <c r="X3653" s="77">
        <f>'Dropdown Lists'!$I$2*(1+OrdersTable[[#This Row],[Returned]])</f>
        <v>60</v>
      </c>
      <c r="Y3653" s="76">
        <f>OrdersTable[[#This Row],[Net Revenue]]-OrdersTable[[#This Row],[COGS]]-OrdersTable[[#This Row],[Shipping Cost]]</f>
        <v>63.350000000000023</v>
      </c>
      <c r="Z3653" s="78">
        <f>IFERROR(OrdersTable[[#This Row],[Profit]]/OrdersTable[[#This Row],[Net Revenue]],0)</f>
        <v>0.24426450742240222</v>
      </c>
      <c r="AA3653" t="s">
        <v>18</v>
      </c>
      <c r="AB3653" s="79">
        <v>45884</v>
      </c>
      <c r="AC3653">
        <f>OrdersTable[[#This Row],[Delivery Date]]-OrdersTable[[#This Row],[Order Date]]</f>
        <v>1</v>
      </c>
      <c r="AD3653" t="str">
        <f>IF(OrdersTable[[#This Row],[Delivery Days]]&lt;=2, "Express (≤2d)", IF(OrdersTable[[#This Row],[Delivery Days]]&lt;=4, "Standard (3-4d)", "Delayed (5d+)"))</f>
        <v>Express (≤2d)</v>
      </c>
      <c r="AE3653">
        <v>4</v>
      </c>
      <c r="AF3653">
        <v>0</v>
      </c>
    </row>
    <row r="3654" spans="1:32" ht="15" x14ac:dyDescent="0.35">
      <c r="A3654" t="s">
        <v>3662</v>
      </c>
      <c r="B3654" s="1">
        <v>45883</v>
      </c>
      <c r="C3654">
        <f>YEAR(OrdersTable[[#This Row],[Order Date]])</f>
        <v>2025</v>
      </c>
      <c r="D3654" s="2">
        <f>DATE(YEAR(OrdersTable[[#This Row],[Order Date]]),MONTH(OrdersTable[[#This Row],[Order Date]]),1)</f>
        <v>45870</v>
      </c>
      <c r="E3654">
        <f>MONTH(OrdersTable[[#This Row],[Order Date]])</f>
        <v>8</v>
      </c>
      <c r="F3654" t="s">
        <v>3663</v>
      </c>
      <c r="G3654" t="str">
        <f>IF(OrdersTable[[#This Row],[Order Date]]=_xlfn.MINIFS(Order_Date, Customer_ID, OrdersTable[[#This Row],[Customer ID]]), "New", "Repeat")</f>
        <v>Repeat</v>
      </c>
      <c r="H3654" t="s">
        <v>275</v>
      </c>
      <c r="I3654" t="str">
        <f>INDEX(State!B:B,MATCH(OrdersTable[[#This Row],[State]],State!A:A,0))</f>
        <v>AP</v>
      </c>
      <c r="J3654" t="str">
        <f>INDEX(State!C:C,MATCH(OrdersTable[[#This Row],[State Code]],State!B:B,0))</f>
        <v>South</v>
      </c>
      <c r="K3654" t="s">
        <v>276</v>
      </c>
      <c r="L3654" t="s">
        <v>39</v>
      </c>
      <c r="M3654" t="s">
        <v>173</v>
      </c>
      <c r="N3654" t="str">
        <f>INDEX(Products!B:B,MATCH(OrdersTable[[#This Row],[Product ID]],Products!A:A,0))</f>
        <v>Wireless Earbuds</v>
      </c>
      <c r="O3654" t="str">
        <f>INDEX(Products!C:C,MATCH(OrdersTable[[#This Row],[Product ID]],Products!A:A,0))</f>
        <v>Electronics</v>
      </c>
      <c r="P3654">
        <v>1</v>
      </c>
      <c r="Q3654" s="5">
        <v>1999</v>
      </c>
      <c r="R3654" s="74">
        <v>0.3</v>
      </c>
      <c r="S3654" s="75">
        <f>OrdersTable[[#This Row],[Quantity]]*OrdersTable[[#This Row],[Unit Price]]</f>
        <v>1999</v>
      </c>
      <c r="T3654" s="5">
        <f>OrdersTable[[#This Row],[Gross Sale]]*OrdersTable[[#This Row],[Discount_Clean2]]</f>
        <v>599.69999999999993</v>
      </c>
      <c r="U3654" s="5">
        <f>OrdersTable[[#This Row],[Gross Sale]]-OrdersTable[[#This Row],[Discount Amount]]</f>
        <v>1399.3000000000002</v>
      </c>
      <c r="V3654" s="77">
        <f>INDEX(Products!E:E,MATCH(OrdersTable[[#This Row],[Product ID]],Products!A:A,0))</f>
        <v>1239</v>
      </c>
      <c r="W3654" s="77">
        <f>OrdersTable[[#This Row],[Quantity]]*OrdersTable[[#This Row],[Unit Cost]]</f>
        <v>1239</v>
      </c>
      <c r="X3654" s="77">
        <f>'Dropdown Lists'!$I$2*(1+OrdersTable[[#This Row],[Returned]])</f>
        <v>60</v>
      </c>
      <c r="Y3654" s="76">
        <f>OrdersTable[[#This Row],[Net Revenue]]-OrdersTable[[#This Row],[COGS]]-OrdersTable[[#This Row],[Shipping Cost]]</f>
        <v>100.30000000000018</v>
      </c>
      <c r="Z3654" s="78">
        <f>IFERROR(OrdersTable[[#This Row],[Profit]]/OrdersTable[[#This Row],[Net Revenue]],0)</f>
        <v>7.1678696491102811E-2</v>
      </c>
      <c r="AA3654" t="s">
        <v>3495</v>
      </c>
      <c r="AB3654" s="79">
        <v>45887</v>
      </c>
      <c r="AC3654">
        <f>OrdersTable[[#This Row],[Delivery Date]]-OrdersTable[[#This Row],[Order Date]]</f>
        <v>4</v>
      </c>
      <c r="AD3654" t="str">
        <f>IF(OrdersTable[[#This Row],[Delivery Days]]&lt;=2, "Express (≤2d)", IF(OrdersTable[[#This Row],[Delivery Days]]&lt;=4, "Standard (3-4d)", "Delayed (5d+)"))</f>
        <v>Standard (3-4d)</v>
      </c>
      <c r="AE3654">
        <v>4</v>
      </c>
      <c r="AF3654">
        <v>0</v>
      </c>
    </row>
    <row r="3655" spans="1:32" ht="15" x14ac:dyDescent="0.35">
      <c r="A3655" t="s">
        <v>4171</v>
      </c>
      <c r="B3655" s="1">
        <v>45884</v>
      </c>
      <c r="C3655">
        <f>YEAR(OrdersTable[[#This Row],[Order Date]])</f>
        <v>2025</v>
      </c>
      <c r="D3655" s="2">
        <f>DATE(YEAR(OrdersTable[[#This Row],[Order Date]]),MONTH(OrdersTable[[#This Row],[Order Date]]),1)</f>
        <v>45870</v>
      </c>
      <c r="E3655">
        <f>MONTH(OrdersTable[[#This Row],[Order Date]])</f>
        <v>8</v>
      </c>
      <c r="F3655" t="s">
        <v>2986</v>
      </c>
      <c r="G3655" t="str">
        <f>IF(OrdersTable[[#This Row],[Order Date]]=_xlfn.MINIFS(Order_Date, Customer_ID, OrdersTable[[#This Row],[Customer ID]]), "New", "Repeat")</f>
        <v>Repeat</v>
      </c>
      <c r="H3655" t="s">
        <v>21</v>
      </c>
      <c r="I3655" t="str">
        <f>INDEX(State!B:B,MATCH(OrdersTable[[#This Row],[State]],State!A:A,0))</f>
        <v>PB</v>
      </c>
      <c r="J3655" t="str">
        <f>INDEX(State!C:C,MATCH(OrdersTable[[#This Row],[State Code]],State!B:B,0))</f>
        <v>North</v>
      </c>
      <c r="K3655" t="s">
        <v>22</v>
      </c>
      <c r="L3655" t="s">
        <v>23</v>
      </c>
      <c r="M3655" t="s">
        <v>78</v>
      </c>
      <c r="N3655" t="str">
        <f>INDEX(Products!B:B,MATCH(OrdersTable[[#This Row],[Product ID]],Products!A:A,0))</f>
        <v>Retinol Night Cream</v>
      </c>
      <c r="O3655" t="str">
        <f>INDEX(Products!C:C,MATCH(OrdersTable[[#This Row],[Product ID]],Products!A:A,0))</f>
        <v>Skincare</v>
      </c>
      <c r="P3655">
        <v>1</v>
      </c>
      <c r="Q3655" s="5">
        <v>799</v>
      </c>
      <c r="R3655" s="74">
        <v>0</v>
      </c>
      <c r="S3655" s="75">
        <f>OrdersTable[[#This Row],[Quantity]]*OrdersTable[[#This Row],[Unit Price]]</f>
        <v>799</v>
      </c>
      <c r="T3655" s="5">
        <f>OrdersTable[[#This Row],[Gross Sale]]*OrdersTable[[#This Row],[Discount_Clean2]]</f>
        <v>0</v>
      </c>
      <c r="U3655" s="5">
        <f>OrdersTable[[#This Row],[Gross Sale]]-OrdersTable[[#This Row],[Discount Amount]]</f>
        <v>799</v>
      </c>
      <c r="V3655" s="77">
        <f>INDEX(Products!E:E,MATCH(OrdersTable[[#This Row],[Product ID]],Products!A:A,0))</f>
        <v>216</v>
      </c>
      <c r="W3655" s="77">
        <f>OrdersTable[[#This Row],[Quantity]]*OrdersTable[[#This Row],[Unit Cost]]</f>
        <v>216</v>
      </c>
      <c r="X3655" s="77">
        <f>'Dropdown Lists'!$I$2*(1+OrdersTable[[#This Row],[Returned]])</f>
        <v>60</v>
      </c>
      <c r="Y3655" s="76">
        <f>OrdersTable[[#This Row],[Net Revenue]]-OrdersTable[[#This Row],[COGS]]-OrdersTable[[#This Row],[Shipping Cost]]</f>
        <v>523</v>
      </c>
      <c r="Z3655" s="78">
        <f>IFERROR(OrdersTable[[#This Row],[Profit]]/OrdersTable[[#This Row],[Net Revenue]],0)</f>
        <v>0.65456821026282852</v>
      </c>
      <c r="AA3655" t="s">
        <v>4074</v>
      </c>
      <c r="AB3655" s="79">
        <v>45885</v>
      </c>
      <c r="AC3655">
        <f>OrdersTable[[#This Row],[Delivery Date]]-OrdersTable[[#This Row],[Order Date]]</f>
        <v>1</v>
      </c>
      <c r="AD3655" t="str">
        <f>IF(OrdersTable[[#This Row],[Delivery Days]]&lt;=2, "Express (≤2d)", IF(OrdersTable[[#This Row],[Delivery Days]]&lt;=4, "Standard (3-4d)", "Delayed (5d+)"))</f>
        <v>Express (≤2d)</v>
      </c>
      <c r="AE3655">
        <v>5</v>
      </c>
      <c r="AF3655">
        <v>0</v>
      </c>
    </row>
    <row r="3656" spans="1:32" ht="15" x14ac:dyDescent="0.35">
      <c r="A3656" t="s">
        <v>5537</v>
      </c>
      <c r="B3656" s="1">
        <v>45884</v>
      </c>
      <c r="C3656">
        <f>YEAR(OrdersTable[[#This Row],[Order Date]])</f>
        <v>2025</v>
      </c>
      <c r="D3656" s="2">
        <f>DATE(YEAR(OrdersTable[[#This Row],[Order Date]]),MONTH(OrdersTable[[#This Row],[Order Date]]),1)</f>
        <v>45870</v>
      </c>
      <c r="E3656">
        <f>MONTH(OrdersTable[[#This Row],[Order Date]])</f>
        <v>8</v>
      </c>
      <c r="F3656" t="s">
        <v>2531</v>
      </c>
      <c r="G3656" t="str">
        <f>IF(OrdersTable[[#This Row],[Order Date]]=_xlfn.MINIFS(Order_Date, Customer_ID, OrdersTable[[#This Row],[Customer ID]]), "New", "Repeat")</f>
        <v>Repeat</v>
      </c>
      <c r="H3656" t="s">
        <v>27</v>
      </c>
      <c r="I3656" t="str">
        <f>INDEX(State!B:B,MATCH(OrdersTable[[#This Row],[State]],State!A:A,0))</f>
        <v>WB</v>
      </c>
      <c r="J3656" t="str">
        <f>INDEX(State!C:C,MATCH(OrdersTable[[#This Row],[State Code]],State!B:B,0))</f>
        <v>East</v>
      </c>
      <c r="K3656" t="s">
        <v>28</v>
      </c>
      <c r="L3656" t="s">
        <v>65</v>
      </c>
      <c r="M3656" t="s">
        <v>45</v>
      </c>
      <c r="N3656" t="str">
        <f>INDEX(Products!B:B,MATCH(OrdersTable[[#This Row],[Product ID]],Products!A:A,0))</f>
        <v>Argan Shampoo</v>
      </c>
      <c r="O3656" t="str">
        <f>INDEX(Products!C:C,MATCH(OrdersTable[[#This Row],[Product ID]],Products!A:A,0))</f>
        <v>Haircare</v>
      </c>
      <c r="P3656">
        <v>2</v>
      </c>
      <c r="Q3656" s="5">
        <v>449</v>
      </c>
      <c r="R3656" s="74">
        <v>0</v>
      </c>
      <c r="S3656" s="75">
        <f>OrdersTable[[#This Row],[Quantity]]*OrdersTable[[#This Row],[Unit Price]]</f>
        <v>898</v>
      </c>
      <c r="T3656" s="5">
        <f>OrdersTable[[#This Row],[Gross Sale]]*OrdersTable[[#This Row],[Discount_Clean2]]</f>
        <v>0</v>
      </c>
      <c r="U3656" s="5">
        <f>OrdersTable[[#This Row],[Gross Sale]]-OrdersTable[[#This Row],[Discount Amount]]</f>
        <v>898</v>
      </c>
      <c r="V3656" s="77">
        <f>INDEX(Products!E:E,MATCH(OrdersTable[[#This Row],[Product ID]],Products!A:A,0))</f>
        <v>148</v>
      </c>
      <c r="W3656" s="77">
        <f>OrdersTable[[#This Row],[Quantity]]*OrdersTable[[#This Row],[Unit Cost]]</f>
        <v>296</v>
      </c>
      <c r="X3656" s="77">
        <f>'Dropdown Lists'!$I$2*(1+OrdersTable[[#This Row],[Returned]])</f>
        <v>60</v>
      </c>
      <c r="Y3656" s="76">
        <f>OrdersTable[[#This Row],[Net Revenue]]-OrdersTable[[#This Row],[COGS]]-OrdersTable[[#This Row],[Shipping Cost]]</f>
        <v>542</v>
      </c>
      <c r="Z3656" s="78">
        <f>IFERROR(OrdersTable[[#This Row],[Profit]]/OrdersTable[[#This Row],[Net Revenue]],0)</f>
        <v>0.60356347438752789</v>
      </c>
      <c r="AA3656" t="s">
        <v>2522</v>
      </c>
      <c r="AB3656" s="79">
        <v>45888</v>
      </c>
      <c r="AC3656">
        <f>OrdersTable[[#This Row],[Delivery Date]]-OrdersTable[[#This Row],[Order Date]]</f>
        <v>4</v>
      </c>
      <c r="AD3656" t="str">
        <f>IF(OrdersTable[[#This Row],[Delivery Days]]&lt;=2, "Express (≤2d)", IF(OrdersTable[[#This Row],[Delivery Days]]&lt;=4, "Standard (3-4d)", "Delayed (5d+)"))</f>
        <v>Standard (3-4d)</v>
      </c>
      <c r="AE3656">
        <v>4</v>
      </c>
      <c r="AF3656">
        <v>0</v>
      </c>
    </row>
    <row r="3657" spans="1:32" ht="15" x14ac:dyDescent="0.35">
      <c r="A3657" t="s">
        <v>4844</v>
      </c>
      <c r="B3657" s="1">
        <v>45884</v>
      </c>
      <c r="C3657">
        <f>YEAR(OrdersTable[[#This Row],[Order Date]])</f>
        <v>2025</v>
      </c>
      <c r="D3657" s="2">
        <f>DATE(YEAR(OrdersTable[[#This Row],[Order Date]]),MONTH(OrdersTable[[#This Row],[Order Date]]),1)</f>
        <v>45870</v>
      </c>
      <c r="E3657">
        <f>MONTH(OrdersTable[[#This Row],[Order Date]])</f>
        <v>8</v>
      </c>
      <c r="F3657" t="s">
        <v>2092</v>
      </c>
      <c r="G3657" t="str">
        <f>IF(OrdersTable[[#This Row],[Order Date]]=_xlfn.MINIFS(Order_Date, Customer_ID, OrdersTable[[#This Row],[Customer ID]]), "New", "Repeat")</f>
        <v>Repeat</v>
      </c>
      <c r="H3657" t="s">
        <v>95</v>
      </c>
      <c r="I3657" t="str">
        <f>INDEX(State!B:B,MATCH(OrdersTable[[#This Row],[State]],State!A:A,0))</f>
        <v>TG</v>
      </c>
      <c r="J3657" t="str">
        <f>INDEX(State!C:C,MATCH(OrdersTable[[#This Row],[State Code]],State!B:B,0))</f>
        <v>South</v>
      </c>
      <c r="K3657" t="s">
        <v>96</v>
      </c>
      <c r="L3657" t="s">
        <v>23</v>
      </c>
      <c r="M3657" t="s">
        <v>51</v>
      </c>
      <c r="N3657" t="str">
        <f>INDEX(Products!B:B,MATCH(OrdersTable[[#This Row],[Product ID]],Products!A:A,0))</f>
        <v>Anti-Dandruff Conditioner</v>
      </c>
      <c r="O3657" t="str">
        <f>INDEX(Products!C:C,MATCH(OrdersTable[[#This Row],[Product ID]],Products!A:A,0))</f>
        <v>Haircare</v>
      </c>
      <c r="P3657">
        <v>2</v>
      </c>
      <c r="Q3657" s="5">
        <v>399</v>
      </c>
      <c r="R3657" s="74">
        <v>0.3</v>
      </c>
      <c r="S3657" s="75">
        <f>OrdersTable[[#This Row],[Quantity]]*OrdersTable[[#This Row],[Unit Price]]</f>
        <v>798</v>
      </c>
      <c r="T3657" s="5">
        <f>OrdersTable[[#This Row],[Gross Sale]]*OrdersTable[[#This Row],[Discount_Clean2]]</f>
        <v>239.39999999999998</v>
      </c>
      <c r="U3657" s="5">
        <f>OrdersTable[[#This Row],[Gross Sale]]-OrdersTable[[#This Row],[Discount Amount]]</f>
        <v>558.6</v>
      </c>
      <c r="V3657" s="77">
        <f>INDEX(Products!E:E,MATCH(OrdersTable[[#This Row],[Product ID]],Products!A:A,0))</f>
        <v>136</v>
      </c>
      <c r="W3657" s="77">
        <f>OrdersTable[[#This Row],[Quantity]]*OrdersTable[[#This Row],[Unit Cost]]</f>
        <v>272</v>
      </c>
      <c r="X3657" s="77">
        <f>'Dropdown Lists'!$I$2*(1+OrdersTable[[#This Row],[Returned]])</f>
        <v>60</v>
      </c>
      <c r="Y3657" s="76">
        <f>OrdersTable[[#This Row],[Net Revenue]]-OrdersTable[[#This Row],[COGS]]-OrdersTable[[#This Row],[Shipping Cost]]</f>
        <v>226.60000000000002</v>
      </c>
      <c r="Z3657" s="78">
        <f>IFERROR(OrdersTable[[#This Row],[Profit]]/OrdersTable[[#This Row],[Net Revenue]],0)</f>
        <v>0.40565699964196206</v>
      </c>
      <c r="AA3657" t="s">
        <v>4450</v>
      </c>
      <c r="AB3657" s="79">
        <v>45886</v>
      </c>
      <c r="AC3657">
        <f>OrdersTable[[#This Row],[Delivery Date]]-OrdersTable[[#This Row],[Order Date]]</f>
        <v>2</v>
      </c>
      <c r="AD3657" t="str">
        <f>IF(OrdersTable[[#This Row],[Delivery Days]]&lt;=2, "Express (≤2d)", IF(OrdersTable[[#This Row],[Delivery Days]]&lt;=4, "Standard (3-4d)", "Delayed (5d+)"))</f>
        <v>Express (≤2d)</v>
      </c>
      <c r="AE3657">
        <v>4</v>
      </c>
      <c r="AF3657">
        <v>0</v>
      </c>
    </row>
    <row r="3658" spans="1:32" ht="15" x14ac:dyDescent="0.35">
      <c r="A3658" t="s">
        <v>4845</v>
      </c>
      <c r="B3658" s="1">
        <v>45884</v>
      </c>
      <c r="C3658">
        <f>YEAR(OrdersTable[[#This Row],[Order Date]])</f>
        <v>2025</v>
      </c>
      <c r="D3658" s="2">
        <f>DATE(YEAR(OrdersTable[[#This Row],[Order Date]]),MONTH(OrdersTable[[#This Row],[Order Date]]),1)</f>
        <v>45870</v>
      </c>
      <c r="E3658">
        <f>MONTH(OrdersTable[[#This Row],[Order Date]])</f>
        <v>8</v>
      </c>
      <c r="F3658" t="s">
        <v>3541</v>
      </c>
      <c r="G3658" t="str">
        <f>IF(OrdersTable[[#This Row],[Order Date]]=_xlfn.MINIFS(Order_Date, Customer_ID, OrdersTable[[#This Row],[Customer ID]]), "New", "Repeat")</f>
        <v>Repeat</v>
      </c>
      <c r="H3658" t="s">
        <v>275</v>
      </c>
      <c r="I3658" t="str">
        <f>INDEX(State!B:B,MATCH(OrdersTable[[#This Row],[State]],State!A:A,0))</f>
        <v>AP</v>
      </c>
      <c r="J3658" t="str">
        <f>INDEX(State!C:C,MATCH(OrdersTable[[#This Row],[State Code]],State!B:B,0))</f>
        <v>South</v>
      </c>
      <c r="K3658" t="s">
        <v>491</v>
      </c>
      <c r="L3658" t="s">
        <v>23</v>
      </c>
      <c r="M3658" t="s">
        <v>423</v>
      </c>
      <c r="N3658" t="str">
        <f>INDEX(Products!B:B,MATCH(OrdersTable[[#This Row],[Product ID]],Products!A:A,0))</f>
        <v>Power Bank 20000mAh</v>
      </c>
      <c r="O3658" t="str">
        <f>INDEX(Products!C:C,MATCH(OrdersTable[[#This Row],[Product ID]],Products!A:A,0))</f>
        <v>Electronics</v>
      </c>
      <c r="P3658">
        <v>2</v>
      </c>
      <c r="Q3658" s="5">
        <v>1799</v>
      </c>
      <c r="R3658" s="74">
        <v>0.4</v>
      </c>
      <c r="S3658" s="75">
        <f>OrdersTable[[#This Row],[Quantity]]*OrdersTable[[#This Row],[Unit Price]]</f>
        <v>3598</v>
      </c>
      <c r="T3658" s="5">
        <f>OrdersTable[[#This Row],[Gross Sale]]*OrdersTable[[#This Row],[Discount_Clean2]]</f>
        <v>1439.2</v>
      </c>
      <c r="U3658" s="5">
        <f>OrdersTable[[#This Row],[Gross Sale]]-OrdersTable[[#This Row],[Discount Amount]]</f>
        <v>2158.8000000000002</v>
      </c>
      <c r="V3658" s="77">
        <f>INDEX(Products!E:E,MATCH(OrdersTable[[#This Row],[Product ID]],Products!A:A,0))</f>
        <v>1079</v>
      </c>
      <c r="W3658" s="77">
        <f>OrdersTable[[#This Row],[Quantity]]*OrdersTable[[#This Row],[Unit Cost]]</f>
        <v>2158</v>
      </c>
      <c r="X3658" s="77">
        <f>'Dropdown Lists'!$I$2*(1+OrdersTable[[#This Row],[Returned]])</f>
        <v>60</v>
      </c>
      <c r="Y3658" s="76">
        <f>OrdersTable[[#This Row],[Net Revenue]]-OrdersTable[[#This Row],[COGS]]-OrdersTable[[#This Row],[Shipping Cost]]</f>
        <v>-59.199999999999818</v>
      </c>
      <c r="Z3658" s="78">
        <f>IFERROR(OrdersTable[[#This Row],[Profit]]/OrdersTable[[#This Row],[Net Revenue]],0)</f>
        <v>-2.742264220863434E-2</v>
      </c>
      <c r="AA3658" t="s">
        <v>4450</v>
      </c>
      <c r="AB3658" s="79">
        <v>45887</v>
      </c>
      <c r="AC3658">
        <f>OrdersTable[[#This Row],[Delivery Date]]-OrdersTable[[#This Row],[Order Date]]</f>
        <v>3</v>
      </c>
      <c r="AD3658" t="str">
        <f>IF(OrdersTable[[#This Row],[Delivery Days]]&lt;=2, "Express (≤2d)", IF(OrdersTable[[#This Row],[Delivery Days]]&lt;=4, "Standard (3-4d)", "Delayed (5d+)"))</f>
        <v>Standard (3-4d)</v>
      </c>
      <c r="AE3658">
        <v>3</v>
      </c>
      <c r="AF3658">
        <v>0</v>
      </c>
    </row>
    <row r="3659" spans="1:32" ht="15" x14ac:dyDescent="0.35">
      <c r="A3659" t="s">
        <v>1433</v>
      </c>
      <c r="B3659" s="1">
        <v>45885</v>
      </c>
      <c r="C3659">
        <f>YEAR(OrdersTable[[#This Row],[Order Date]])</f>
        <v>2025</v>
      </c>
      <c r="D3659" s="2">
        <f>DATE(YEAR(OrdersTable[[#This Row],[Order Date]]),MONTH(OrdersTable[[#This Row],[Order Date]]),1)</f>
        <v>45870</v>
      </c>
      <c r="E3659">
        <f>MONTH(OrdersTable[[#This Row],[Order Date]])</f>
        <v>8</v>
      </c>
      <c r="F3659" t="s">
        <v>1434</v>
      </c>
      <c r="G3659" t="str">
        <f>IF(OrdersTable[[#This Row],[Order Date]]=_xlfn.MINIFS(Order_Date, Customer_ID, OrdersTable[[#This Row],[Customer ID]]), "New", "Repeat")</f>
        <v>Repeat</v>
      </c>
      <c r="H3659" t="s">
        <v>54</v>
      </c>
      <c r="I3659" t="str">
        <f>INDEX(State!B:B,MATCH(OrdersTable[[#This Row],[State]],State!A:A,0))</f>
        <v>RJ</v>
      </c>
      <c r="J3659" t="str">
        <f>INDEX(State!C:C,MATCH(OrdersTable[[#This Row],[State Code]],State!B:B,0))</f>
        <v>North</v>
      </c>
      <c r="K3659" t="s">
        <v>227</v>
      </c>
      <c r="L3659" t="s">
        <v>23</v>
      </c>
      <c r="M3659" t="s">
        <v>78</v>
      </c>
      <c r="N3659" t="str">
        <f>INDEX(Products!B:B,MATCH(OrdersTable[[#This Row],[Product ID]],Products!A:A,0))</f>
        <v>Retinol Night Cream</v>
      </c>
      <c r="O3659" t="str">
        <f>INDEX(Products!C:C,MATCH(OrdersTable[[#This Row],[Product ID]],Products!A:A,0))</f>
        <v>Skincare</v>
      </c>
      <c r="P3659">
        <v>1</v>
      </c>
      <c r="Q3659" s="5">
        <v>799</v>
      </c>
      <c r="R3659" s="74">
        <v>0.15</v>
      </c>
      <c r="S3659" s="75">
        <f>OrdersTable[[#This Row],[Quantity]]*OrdersTable[[#This Row],[Unit Price]]</f>
        <v>799</v>
      </c>
      <c r="T3659" s="5">
        <f>OrdersTable[[#This Row],[Gross Sale]]*OrdersTable[[#This Row],[Discount_Clean2]]</f>
        <v>119.85</v>
      </c>
      <c r="U3659" s="5">
        <f>OrdersTable[[#This Row],[Gross Sale]]-OrdersTable[[#This Row],[Discount Amount]]</f>
        <v>679.15</v>
      </c>
      <c r="V3659" s="77">
        <f>INDEX(Products!E:E,MATCH(OrdersTable[[#This Row],[Product ID]],Products!A:A,0))</f>
        <v>216</v>
      </c>
      <c r="W3659" s="77">
        <f>OrdersTable[[#This Row],[Quantity]]*OrdersTable[[#This Row],[Unit Cost]]</f>
        <v>216</v>
      </c>
      <c r="X3659" s="77">
        <f>'Dropdown Lists'!$I$2*(1+OrdersTable[[#This Row],[Returned]])</f>
        <v>60</v>
      </c>
      <c r="Y3659" s="76">
        <f>OrdersTable[[#This Row],[Net Revenue]]-OrdersTable[[#This Row],[COGS]]-OrdersTable[[#This Row],[Shipping Cost]]</f>
        <v>403.15</v>
      </c>
      <c r="Z3659" s="78">
        <f>IFERROR(OrdersTable[[#This Row],[Profit]]/OrdersTable[[#This Row],[Net Revenue]],0)</f>
        <v>0.59360965913273944</v>
      </c>
      <c r="AA3659" t="s">
        <v>18</v>
      </c>
      <c r="AB3659" s="79">
        <v>45888</v>
      </c>
      <c r="AC3659">
        <f>OrdersTable[[#This Row],[Delivery Date]]-OrdersTable[[#This Row],[Order Date]]</f>
        <v>3</v>
      </c>
      <c r="AD3659" t="str">
        <f>IF(OrdersTable[[#This Row],[Delivery Days]]&lt;=2, "Express (≤2d)", IF(OrdersTable[[#This Row],[Delivery Days]]&lt;=4, "Standard (3-4d)", "Delayed (5d+)"))</f>
        <v>Standard (3-4d)</v>
      </c>
      <c r="AF3659">
        <v>0</v>
      </c>
    </row>
    <row r="3660" spans="1:32" ht="15" x14ac:dyDescent="0.35">
      <c r="A3660" t="s">
        <v>3923</v>
      </c>
      <c r="B3660" s="1">
        <v>45885</v>
      </c>
      <c r="C3660">
        <f>YEAR(OrdersTable[[#This Row],[Order Date]])</f>
        <v>2025</v>
      </c>
      <c r="D3660" s="2">
        <f>DATE(YEAR(OrdersTable[[#This Row],[Order Date]]),MONTH(OrdersTable[[#This Row],[Order Date]]),1)</f>
        <v>45870</v>
      </c>
      <c r="E3660">
        <f>MONTH(OrdersTable[[#This Row],[Order Date]])</f>
        <v>8</v>
      </c>
      <c r="F3660" t="s">
        <v>104</v>
      </c>
      <c r="G3660" t="str">
        <f>IF(OrdersTable[[#This Row],[Order Date]]=_xlfn.MINIFS(Order_Date, Customer_ID, OrdersTable[[#This Row],[Customer ID]]), "New", "Repeat")</f>
        <v>Repeat</v>
      </c>
      <c r="H3660" t="s">
        <v>128</v>
      </c>
      <c r="I3660" t="str">
        <f>INDEX(State!B:B,MATCH(OrdersTable[[#This Row],[State]],State!A:A,0))</f>
        <v>DL</v>
      </c>
      <c r="J3660" t="str">
        <f>INDEX(State!C:C,MATCH(OrdersTable[[#This Row],[State Code]],State!B:B,0))</f>
        <v>North</v>
      </c>
      <c r="K3660" t="s">
        <v>129</v>
      </c>
      <c r="L3660" t="s">
        <v>16</v>
      </c>
      <c r="M3660" t="s">
        <v>34</v>
      </c>
      <c r="N3660" t="str">
        <f>INDEX(Products!B:B,MATCH(OrdersTable[[#This Row],[Product ID]],Products!A:A,0))</f>
        <v>Flip Flops</v>
      </c>
      <c r="O3660" t="str">
        <f>INDEX(Products!C:C,MATCH(OrdersTable[[#This Row],[Product ID]],Products!A:A,0))</f>
        <v>Footwear</v>
      </c>
      <c r="P3660">
        <v>1</v>
      </c>
      <c r="Q3660" s="5">
        <v>399</v>
      </c>
      <c r="R3660" s="74">
        <v>0.2</v>
      </c>
      <c r="S3660" s="75">
        <f>OrdersTable[[#This Row],[Quantity]]*OrdersTable[[#This Row],[Unit Price]]</f>
        <v>399</v>
      </c>
      <c r="T3660" s="5">
        <f>OrdersTable[[#This Row],[Gross Sale]]*OrdersTable[[#This Row],[Discount_Clean2]]</f>
        <v>79.800000000000011</v>
      </c>
      <c r="U3660" s="5">
        <f>OrdersTable[[#This Row],[Gross Sale]]-OrdersTable[[#This Row],[Discount Amount]]</f>
        <v>319.2</v>
      </c>
      <c r="V3660" s="77">
        <f>INDEX(Products!E:E,MATCH(OrdersTable[[#This Row],[Product ID]],Products!A:A,0))</f>
        <v>152</v>
      </c>
      <c r="W3660" s="77">
        <f>OrdersTable[[#This Row],[Quantity]]*OrdersTable[[#This Row],[Unit Cost]]</f>
        <v>152</v>
      </c>
      <c r="X3660" s="77">
        <f>'Dropdown Lists'!$I$2*(1+OrdersTable[[#This Row],[Returned]])</f>
        <v>60</v>
      </c>
      <c r="Y3660" s="76">
        <f>OrdersTable[[#This Row],[Net Revenue]]-OrdersTable[[#This Row],[COGS]]-OrdersTable[[#This Row],[Shipping Cost]]</f>
        <v>107.19999999999999</v>
      </c>
      <c r="Z3660" s="78">
        <f>IFERROR(OrdersTable[[#This Row],[Profit]]/OrdersTable[[#This Row],[Net Revenue]],0)</f>
        <v>0.33583959899749372</v>
      </c>
      <c r="AA3660" t="s">
        <v>3495</v>
      </c>
      <c r="AB3660" s="79">
        <v>45886</v>
      </c>
      <c r="AC3660">
        <f>OrdersTable[[#This Row],[Delivery Date]]-OrdersTable[[#This Row],[Order Date]]</f>
        <v>1</v>
      </c>
      <c r="AD3660" t="str">
        <f>IF(OrdersTable[[#This Row],[Delivery Days]]&lt;=2, "Express (≤2d)", IF(OrdersTable[[#This Row],[Delivery Days]]&lt;=4, "Standard (3-4d)", "Delayed (5d+)"))</f>
        <v>Express (≤2d)</v>
      </c>
      <c r="AE3660">
        <v>3</v>
      </c>
      <c r="AF3660">
        <v>0</v>
      </c>
    </row>
    <row r="3661" spans="1:32" ht="15" x14ac:dyDescent="0.35">
      <c r="A3661" t="s">
        <v>1585</v>
      </c>
      <c r="B3661" s="1">
        <v>45885</v>
      </c>
      <c r="C3661">
        <f>YEAR(OrdersTable[[#This Row],[Order Date]])</f>
        <v>2025</v>
      </c>
      <c r="D3661" s="2">
        <f>DATE(YEAR(OrdersTable[[#This Row],[Order Date]]),MONTH(OrdersTable[[#This Row],[Order Date]]),1)</f>
        <v>45870</v>
      </c>
      <c r="E3661">
        <f>MONTH(OrdersTable[[#This Row],[Order Date]])</f>
        <v>8</v>
      </c>
      <c r="F3661" t="s">
        <v>1586</v>
      </c>
      <c r="G3661" t="str">
        <f>IF(OrdersTable[[#This Row],[Order Date]]=_xlfn.MINIFS(Order_Date, Customer_ID, OrdersTable[[#This Row],[Customer ID]]), "New", "Repeat")</f>
        <v>Repeat</v>
      </c>
      <c r="H3661" t="s">
        <v>71</v>
      </c>
      <c r="I3661" t="str">
        <f>INDEX(State!B:B,MATCH(OrdersTable[[#This Row],[State]],State!A:A,0))</f>
        <v>MH</v>
      </c>
      <c r="J3661" t="str">
        <f>INDEX(State!C:C,MATCH(OrdersTable[[#This Row],[State Code]],State!B:B,0))</f>
        <v>West</v>
      </c>
      <c r="K3661" t="s">
        <v>72</v>
      </c>
      <c r="L3661" t="s">
        <v>39</v>
      </c>
      <c r="M3661" t="s">
        <v>45</v>
      </c>
      <c r="N3661" t="str">
        <f>INDEX(Products!B:B,MATCH(OrdersTable[[#This Row],[Product ID]],Products!A:A,0))</f>
        <v>Argan Shampoo</v>
      </c>
      <c r="O3661" t="str">
        <f>INDEX(Products!C:C,MATCH(OrdersTable[[#This Row],[Product ID]],Products!A:A,0))</f>
        <v>Haircare</v>
      </c>
      <c r="P3661">
        <v>1</v>
      </c>
      <c r="Q3661" s="5">
        <v>449</v>
      </c>
      <c r="R3661" s="74">
        <v>0</v>
      </c>
      <c r="S3661" s="75">
        <f>OrdersTable[[#This Row],[Quantity]]*OrdersTable[[#This Row],[Unit Price]]</f>
        <v>449</v>
      </c>
      <c r="T3661" s="5">
        <f>OrdersTable[[#This Row],[Gross Sale]]*OrdersTable[[#This Row],[Discount_Clean2]]</f>
        <v>0</v>
      </c>
      <c r="U3661" s="5">
        <f>OrdersTable[[#This Row],[Gross Sale]]-OrdersTable[[#This Row],[Discount Amount]]</f>
        <v>449</v>
      </c>
      <c r="V3661" s="77">
        <f>INDEX(Products!E:E,MATCH(OrdersTable[[#This Row],[Product ID]],Products!A:A,0))</f>
        <v>148</v>
      </c>
      <c r="W3661" s="77">
        <f>OrdersTable[[#This Row],[Quantity]]*OrdersTable[[#This Row],[Unit Cost]]</f>
        <v>148</v>
      </c>
      <c r="X3661" s="77">
        <f>'Dropdown Lists'!$I$2*(1+OrdersTable[[#This Row],[Returned]])</f>
        <v>60</v>
      </c>
      <c r="Y3661" s="76">
        <f>OrdersTable[[#This Row],[Net Revenue]]-OrdersTable[[#This Row],[COGS]]-OrdersTable[[#This Row],[Shipping Cost]]</f>
        <v>241</v>
      </c>
      <c r="Z3661" s="78">
        <f>IFERROR(OrdersTable[[#This Row],[Profit]]/OrdersTable[[#This Row],[Net Revenue]],0)</f>
        <v>0.53674832962138086</v>
      </c>
      <c r="AA3661" t="s">
        <v>18</v>
      </c>
      <c r="AB3661" s="79">
        <v>45888</v>
      </c>
      <c r="AC3661">
        <f>OrdersTable[[#This Row],[Delivery Date]]-OrdersTable[[#This Row],[Order Date]]</f>
        <v>3</v>
      </c>
      <c r="AD3661" t="str">
        <f>IF(OrdersTable[[#This Row],[Delivery Days]]&lt;=2, "Express (≤2d)", IF(OrdersTable[[#This Row],[Delivery Days]]&lt;=4, "Standard (3-4d)", "Delayed (5d+)"))</f>
        <v>Standard (3-4d)</v>
      </c>
      <c r="AF3661">
        <v>0</v>
      </c>
    </row>
    <row r="3662" spans="1:32" ht="15" x14ac:dyDescent="0.35">
      <c r="A3662" t="s">
        <v>5220</v>
      </c>
      <c r="B3662" s="1">
        <v>45885</v>
      </c>
      <c r="C3662">
        <f>YEAR(OrdersTable[[#This Row],[Order Date]])</f>
        <v>2025</v>
      </c>
      <c r="D3662" s="2">
        <f>DATE(YEAR(OrdersTable[[#This Row],[Order Date]]),MONTH(OrdersTable[[#This Row],[Order Date]]),1)</f>
        <v>45870</v>
      </c>
      <c r="E3662">
        <f>MONTH(OrdersTable[[#This Row],[Order Date]])</f>
        <v>8</v>
      </c>
      <c r="F3662" t="s">
        <v>1081</v>
      </c>
      <c r="G3662" t="str">
        <f>IF(OrdersTable[[#This Row],[Order Date]]=_xlfn.MINIFS(Order_Date, Customer_ID, OrdersTable[[#This Row],[Customer ID]]), "New", "Repeat")</f>
        <v>Repeat</v>
      </c>
      <c r="H3662" t="s">
        <v>71</v>
      </c>
      <c r="I3662" t="str">
        <f>INDEX(State!B:B,MATCH(OrdersTable[[#This Row],[State]],State!A:A,0))</f>
        <v>MH</v>
      </c>
      <c r="J3662" t="str">
        <f>INDEX(State!C:C,MATCH(OrdersTable[[#This Row],[State Code]],State!B:B,0))</f>
        <v>West</v>
      </c>
      <c r="K3662" t="s">
        <v>81</v>
      </c>
      <c r="L3662" t="s">
        <v>65</v>
      </c>
      <c r="M3662" t="s">
        <v>173</v>
      </c>
      <c r="N3662" t="str">
        <f>INDEX(Products!B:B,MATCH(OrdersTable[[#This Row],[Product ID]],Products!A:A,0))</f>
        <v>Wireless Earbuds</v>
      </c>
      <c r="O3662" t="str">
        <f>INDEX(Products!C:C,MATCH(OrdersTable[[#This Row],[Product ID]],Products!A:A,0))</f>
        <v>Electronics</v>
      </c>
      <c r="P3662">
        <v>2</v>
      </c>
      <c r="Q3662" s="5">
        <v>1999</v>
      </c>
      <c r="R3662" s="74">
        <v>0.35</v>
      </c>
      <c r="S3662" s="75">
        <f>OrdersTable[[#This Row],[Quantity]]*OrdersTable[[#This Row],[Unit Price]]</f>
        <v>3998</v>
      </c>
      <c r="T3662" s="5">
        <f>OrdersTable[[#This Row],[Gross Sale]]*OrdersTable[[#This Row],[Discount_Clean2]]</f>
        <v>1399.3</v>
      </c>
      <c r="U3662" s="5">
        <f>OrdersTable[[#This Row],[Gross Sale]]-OrdersTable[[#This Row],[Discount Amount]]</f>
        <v>2598.6999999999998</v>
      </c>
      <c r="V3662" s="77">
        <f>INDEX(Products!E:E,MATCH(OrdersTable[[#This Row],[Product ID]],Products!A:A,0))</f>
        <v>1239</v>
      </c>
      <c r="W3662" s="77">
        <f>OrdersTable[[#This Row],[Quantity]]*OrdersTable[[#This Row],[Unit Cost]]</f>
        <v>2478</v>
      </c>
      <c r="X3662" s="77">
        <f>'Dropdown Lists'!$I$2*(1+OrdersTable[[#This Row],[Returned]])</f>
        <v>60</v>
      </c>
      <c r="Y3662" s="76">
        <f>OrdersTable[[#This Row],[Net Revenue]]-OrdersTable[[#This Row],[COGS]]-OrdersTable[[#This Row],[Shipping Cost]]</f>
        <v>60.699999999999818</v>
      </c>
      <c r="Z3662" s="78">
        <f>IFERROR(OrdersTable[[#This Row],[Profit]]/OrdersTable[[#This Row],[Net Revenue]],0)</f>
        <v>2.3357832762535044E-2</v>
      </c>
      <c r="AA3662" t="s">
        <v>3495</v>
      </c>
      <c r="AB3662" s="79">
        <v>45887</v>
      </c>
      <c r="AC3662">
        <f>OrdersTable[[#This Row],[Delivery Date]]-OrdersTable[[#This Row],[Order Date]]</f>
        <v>2</v>
      </c>
      <c r="AD3662" t="str">
        <f>IF(OrdersTable[[#This Row],[Delivery Days]]&lt;=2, "Express (≤2d)", IF(OrdersTable[[#This Row],[Delivery Days]]&lt;=4, "Standard (3-4d)", "Delayed (5d+)"))</f>
        <v>Express (≤2d)</v>
      </c>
      <c r="AE3662">
        <v>5</v>
      </c>
      <c r="AF3662">
        <v>0</v>
      </c>
    </row>
    <row r="3663" spans="1:32" ht="15" x14ac:dyDescent="0.35">
      <c r="A3663" t="s">
        <v>2445</v>
      </c>
      <c r="B3663" s="1">
        <v>45885</v>
      </c>
      <c r="C3663">
        <f>YEAR(OrdersTable[[#This Row],[Order Date]])</f>
        <v>2025</v>
      </c>
      <c r="D3663" s="2">
        <f>DATE(YEAR(OrdersTable[[#This Row],[Order Date]]),MONTH(OrdersTable[[#This Row],[Order Date]]),1)</f>
        <v>45870</v>
      </c>
      <c r="E3663">
        <f>MONTH(OrdersTable[[#This Row],[Order Date]])</f>
        <v>8</v>
      </c>
      <c r="F3663" t="s">
        <v>2446</v>
      </c>
      <c r="G3663" t="str">
        <f>IF(OrdersTable[[#This Row],[Order Date]]=_xlfn.MINIFS(Order_Date, Customer_ID, OrdersTable[[#This Row],[Customer ID]]), "New", "Repeat")</f>
        <v>Repeat</v>
      </c>
      <c r="H3663" t="s">
        <v>71</v>
      </c>
      <c r="I3663" t="str">
        <f>INDEX(State!B:B,MATCH(OrdersTable[[#This Row],[State]],State!A:A,0))</f>
        <v>MH</v>
      </c>
      <c r="J3663" t="str">
        <f>INDEX(State!C:C,MATCH(OrdersTable[[#This Row],[State Code]],State!B:B,0))</f>
        <v>West</v>
      </c>
      <c r="K3663" t="s">
        <v>72</v>
      </c>
      <c r="L3663" t="s">
        <v>65</v>
      </c>
      <c r="M3663" t="s">
        <v>56</v>
      </c>
      <c r="N3663" t="str">
        <f>INDEX(Products!B:B,MATCH(OrdersTable[[#This Row],[Product ID]],Products!A:A,0))</f>
        <v>Vitamin C Face Serum</v>
      </c>
      <c r="O3663" t="str">
        <f>INDEX(Products!C:C,MATCH(OrdersTable[[#This Row],[Product ID]],Products!A:A,0))</f>
        <v>Skincare</v>
      </c>
      <c r="P3663">
        <v>1</v>
      </c>
      <c r="Q3663" s="5">
        <v>599</v>
      </c>
      <c r="R3663" s="74">
        <v>0.25</v>
      </c>
      <c r="S3663" s="75">
        <f>OrdersTable[[#This Row],[Quantity]]*OrdersTable[[#This Row],[Unit Price]]</f>
        <v>599</v>
      </c>
      <c r="T3663" s="5">
        <f>OrdersTable[[#This Row],[Gross Sale]]*OrdersTable[[#This Row],[Discount_Clean2]]</f>
        <v>149.75</v>
      </c>
      <c r="U3663" s="5">
        <f>OrdersTable[[#This Row],[Gross Sale]]-OrdersTable[[#This Row],[Discount Amount]]</f>
        <v>449.25</v>
      </c>
      <c r="V3663" s="77">
        <f>INDEX(Products!E:E,MATCH(OrdersTable[[#This Row],[Product ID]],Products!A:A,0))</f>
        <v>180</v>
      </c>
      <c r="W3663" s="77">
        <f>OrdersTable[[#This Row],[Quantity]]*OrdersTable[[#This Row],[Unit Cost]]</f>
        <v>180</v>
      </c>
      <c r="X3663" s="77">
        <f>'Dropdown Lists'!$I$2*(1+OrdersTable[[#This Row],[Returned]])</f>
        <v>120</v>
      </c>
      <c r="Y3663" s="76">
        <f>OrdersTable[[#This Row],[Net Revenue]]-OrdersTable[[#This Row],[COGS]]-OrdersTable[[#This Row],[Shipping Cost]]</f>
        <v>149.25</v>
      </c>
      <c r="Z3663" s="78">
        <f>IFERROR(OrdersTable[[#This Row],[Profit]]/OrdersTable[[#This Row],[Net Revenue]],0)</f>
        <v>0.332220367278798</v>
      </c>
      <c r="AA3663" t="s">
        <v>18</v>
      </c>
      <c r="AB3663" s="79">
        <v>45886</v>
      </c>
      <c r="AC3663">
        <f>OrdersTable[[#This Row],[Delivery Date]]-OrdersTable[[#This Row],[Order Date]]</f>
        <v>1</v>
      </c>
      <c r="AD3663" t="str">
        <f>IF(OrdersTable[[#This Row],[Delivery Days]]&lt;=2, "Express (≤2d)", IF(OrdersTable[[#This Row],[Delivery Days]]&lt;=4, "Standard (3-4d)", "Delayed (5d+)"))</f>
        <v>Express (≤2d)</v>
      </c>
      <c r="AE3663">
        <v>5</v>
      </c>
      <c r="AF3663">
        <v>1</v>
      </c>
    </row>
    <row r="3664" spans="1:32" ht="15" x14ac:dyDescent="0.35">
      <c r="A3664" t="s">
        <v>4289</v>
      </c>
      <c r="B3664" s="1">
        <v>45885</v>
      </c>
      <c r="C3664">
        <f>YEAR(OrdersTable[[#This Row],[Order Date]])</f>
        <v>2025</v>
      </c>
      <c r="D3664" s="2">
        <f>DATE(YEAR(OrdersTable[[#This Row],[Order Date]]),MONTH(OrdersTable[[#This Row],[Order Date]]),1)</f>
        <v>45870</v>
      </c>
      <c r="E3664">
        <f>MONTH(OrdersTable[[#This Row],[Order Date]])</f>
        <v>8</v>
      </c>
      <c r="F3664" t="s">
        <v>813</v>
      </c>
      <c r="G3664" t="str">
        <f>IF(OrdersTable[[#This Row],[Order Date]]=_xlfn.MINIFS(Order_Date, Customer_ID, OrdersTable[[#This Row],[Customer ID]]), "New", "Repeat")</f>
        <v>Repeat</v>
      </c>
      <c r="H3664" t="s">
        <v>316</v>
      </c>
      <c r="I3664" t="str">
        <f>INDEX(State!B:B,MATCH(OrdersTable[[#This Row],[State]],State!A:A,0))</f>
        <v>KL</v>
      </c>
      <c r="J3664" t="str">
        <f>INDEX(State!C:C,MATCH(OrdersTable[[#This Row],[State Code]],State!B:B,0))</f>
        <v>South</v>
      </c>
      <c r="K3664" t="s">
        <v>338</v>
      </c>
      <c r="L3664" t="s">
        <v>39</v>
      </c>
      <c r="M3664" t="s">
        <v>66</v>
      </c>
      <c r="N3664" t="str">
        <f>INDEX(Products!B:B,MATCH(OrdersTable[[#This Row],[Product ID]],Products!A:A,0))</f>
        <v>Sunscreen SPF 50</v>
      </c>
      <c r="O3664" t="str">
        <f>INDEX(Products!C:C,MATCH(OrdersTable[[#This Row],[Product ID]],Products!A:A,0))</f>
        <v>Skincare</v>
      </c>
      <c r="P3664">
        <v>1</v>
      </c>
      <c r="Q3664" s="5">
        <v>449</v>
      </c>
      <c r="R3664" s="74">
        <v>0</v>
      </c>
      <c r="S3664" s="75">
        <f>OrdersTable[[#This Row],[Quantity]]*OrdersTable[[#This Row],[Unit Price]]</f>
        <v>449</v>
      </c>
      <c r="T3664" s="5">
        <f>OrdersTable[[#This Row],[Gross Sale]]*OrdersTable[[#This Row],[Discount_Clean2]]</f>
        <v>0</v>
      </c>
      <c r="U3664" s="5">
        <f>OrdersTable[[#This Row],[Gross Sale]]-OrdersTable[[#This Row],[Discount Amount]]</f>
        <v>449</v>
      </c>
      <c r="V3664" s="77">
        <f>INDEX(Products!E:E,MATCH(OrdersTable[[#This Row],[Product ID]],Products!A:A,0))</f>
        <v>144</v>
      </c>
      <c r="W3664" s="77">
        <f>OrdersTable[[#This Row],[Quantity]]*OrdersTable[[#This Row],[Unit Cost]]</f>
        <v>144</v>
      </c>
      <c r="X3664" s="77">
        <f>'Dropdown Lists'!$I$2*(1+OrdersTable[[#This Row],[Returned]])</f>
        <v>60</v>
      </c>
      <c r="Y3664" s="76">
        <f>OrdersTable[[#This Row],[Net Revenue]]-OrdersTable[[#This Row],[COGS]]-OrdersTable[[#This Row],[Shipping Cost]]</f>
        <v>245</v>
      </c>
      <c r="Z3664" s="78">
        <f>IFERROR(OrdersTable[[#This Row],[Profit]]/OrdersTable[[#This Row],[Net Revenue]],0)</f>
        <v>0.54565701559020041</v>
      </c>
      <c r="AA3664" t="s">
        <v>4074</v>
      </c>
      <c r="AB3664" s="79">
        <v>45890</v>
      </c>
      <c r="AC3664">
        <f>OrdersTable[[#This Row],[Delivery Date]]-OrdersTable[[#This Row],[Order Date]]</f>
        <v>5</v>
      </c>
      <c r="AD3664" t="str">
        <f>IF(OrdersTable[[#This Row],[Delivery Days]]&lt;=2, "Express (≤2d)", IF(OrdersTable[[#This Row],[Delivery Days]]&lt;=4, "Standard (3-4d)", "Delayed (5d+)"))</f>
        <v>Delayed (5d+)</v>
      </c>
      <c r="AF3664">
        <v>0</v>
      </c>
    </row>
    <row r="3665" spans="1:32" ht="15" x14ac:dyDescent="0.35">
      <c r="A3665" t="s">
        <v>3924</v>
      </c>
      <c r="B3665" s="1">
        <v>45886</v>
      </c>
      <c r="C3665">
        <f>YEAR(OrdersTable[[#This Row],[Order Date]])</f>
        <v>2025</v>
      </c>
      <c r="D3665" s="2">
        <f>DATE(YEAR(OrdersTable[[#This Row],[Order Date]]),MONTH(OrdersTable[[#This Row],[Order Date]]),1)</f>
        <v>45870</v>
      </c>
      <c r="E3665">
        <f>MONTH(OrdersTable[[#This Row],[Order Date]])</f>
        <v>8</v>
      </c>
      <c r="F3665" t="s">
        <v>739</v>
      </c>
      <c r="G3665" t="str">
        <f>IF(OrdersTable[[#This Row],[Order Date]]=_xlfn.MINIFS(Order_Date, Customer_ID, OrdersTable[[#This Row],[Customer ID]]), "New", "Repeat")</f>
        <v>Repeat</v>
      </c>
      <c r="H3665" t="s">
        <v>482</v>
      </c>
      <c r="I3665" t="str">
        <f>INDEX(State!B:B,MATCH(OrdersTable[[#This Row],[State]],State!A:A,0))</f>
        <v>CG</v>
      </c>
      <c r="J3665" t="str">
        <f>INDEX(State!C:C,MATCH(OrdersTable[[#This Row],[State Code]],State!B:B,0))</f>
        <v>East</v>
      </c>
      <c r="K3665" t="s">
        <v>483</v>
      </c>
      <c r="L3665" t="s">
        <v>65</v>
      </c>
      <c r="M3665" t="s">
        <v>576</v>
      </c>
      <c r="N3665" t="str">
        <f>INDEX(Products!B:B,MATCH(OrdersTable[[#This Row],[Product ID]],Products!A:A,0))</f>
        <v>Printed Saree</v>
      </c>
      <c r="O3665" t="str">
        <f>INDEX(Products!C:C,MATCH(OrdersTable[[#This Row],[Product ID]],Products!A:A,0))</f>
        <v>Apparel</v>
      </c>
      <c r="P3665">
        <v>1</v>
      </c>
      <c r="Q3665" s="5">
        <v>1999</v>
      </c>
      <c r="R3665" s="74">
        <v>0.05</v>
      </c>
      <c r="S3665" s="75">
        <f>OrdersTable[[#This Row],[Quantity]]*OrdersTable[[#This Row],[Unit Price]]</f>
        <v>1999</v>
      </c>
      <c r="T3665" s="5">
        <f>OrdersTable[[#This Row],[Gross Sale]]*OrdersTable[[#This Row],[Discount_Clean2]]</f>
        <v>99.95</v>
      </c>
      <c r="U3665" s="5">
        <f>OrdersTable[[#This Row],[Gross Sale]]-OrdersTable[[#This Row],[Discount Amount]]</f>
        <v>1899.05</v>
      </c>
      <c r="V3665" s="77">
        <f>INDEX(Products!E:E,MATCH(OrdersTable[[#This Row],[Product ID]],Products!A:A,0))</f>
        <v>880</v>
      </c>
      <c r="W3665" s="77">
        <f>OrdersTable[[#This Row],[Quantity]]*OrdersTable[[#This Row],[Unit Cost]]</f>
        <v>880</v>
      </c>
      <c r="X3665" s="77">
        <f>'Dropdown Lists'!$I$2*(1+OrdersTable[[#This Row],[Returned]])</f>
        <v>60</v>
      </c>
      <c r="Y3665" s="76">
        <f>OrdersTable[[#This Row],[Net Revenue]]-OrdersTable[[#This Row],[COGS]]-OrdersTable[[#This Row],[Shipping Cost]]</f>
        <v>959.05</v>
      </c>
      <c r="Z3665" s="78">
        <f>IFERROR(OrdersTable[[#This Row],[Profit]]/OrdersTable[[#This Row],[Net Revenue]],0)</f>
        <v>0.50501566572760059</v>
      </c>
      <c r="AA3665" t="s">
        <v>3495</v>
      </c>
      <c r="AB3665" s="79">
        <v>45890</v>
      </c>
      <c r="AC3665">
        <f>OrdersTable[[#This Row],[Delivery Date]]-OrdersTable[[#This Row],[Order Date]]</f>
        <v>4</v>
      </c>
      <c r="AD3665" t="str">
        <f>IF(OrdersTable[[#This Row],[Delivery Days]]&lt;=2, "Express (≤2d)", IF(OrdersTable[[#This Row],[Delivery Days]]&lt;=4, "Standard (3-4d)", "Delayed (5d+)"))</f>
        <v>Standard (3-4d)</v>
      </c>
      <c r="AE3665">
        <v>3</v>
      </c>
      <c r="AF3665">
        <v>0</v>
      </c>
    </row>
    <row r="3666" spans="1:32" ht="15" x14ac:dyDescent="0.35">
      <c r="A3666" t="s">
        <v>3091</v>
      </c>
      <c r="B3666" s="1">
        <v>45886</v>
      </c>
      <c r="C3666">
        <f>YEAR(OrdersTable[[#This Row],[Order Date]])</f>
        <v>2025</v>
      </c>
      <c r="D3666" s="2">
        <f>DATE(YEAR(OrdersTable[[#This Row],[Order Date]]),MONTH(OrdersTable[[#This Row],[Order Date]]),1)</f>
        <v>45870</v>
      </c>
      <c r="E3666">
        <f>MONTH(OrdersTable[[#This Row],[Order Date]])</f>
        <v>8</v>
      </c>
      <c r="F3666" t="s">
        <v>3092</v>
      </c>
      <c r="G3666" t="str">
        <f>IF(OrdersTable[[#This Row],[Order Date]]=_xlfn.MINIFS(Order_Date, Customer_ID, OrdersTable[[#This Row],[Customer ID]]), "New", "Repeat")</f>
        <v>Repeat</v>
      </c>
      <c r="H3666" t="s">
        <v>71</v>
      </c>
      <c r="I3666" t="str">
        <f>INDEX(State!B:B,MATCH(OrdersTable[[#This Row],[State]],State!A:A,0))</f>
        <v>MH</v>
      </c>
      <c r="J3666" t="str">
        <f>INDEX(State!C:C,MATCH(OrdersTable[[#This Row],[State Code]],State!B:B,0))</f>
        <v>West</v>
      </c>
      <c r="K3666" t="s">
        <v>102</v>
      </c>
      <c r="L3666" t="s">
        <v>16</v>
      </c>
      <c r="M3666" t="s">
        <v>29</v>
      </c>
      <c r="N3666" t="str">
        <f>INDEX(Products!B:B,MATCH(OrdersTable[[#This Row],[Product ID]],Products!A:A,0))</f>
        <v>Joggers</v>
      </c>
      <c r="O3666" t="str">
        <f>INDEX(Products!C:C,MATCH(OrdersTable[[#This Row],[Product ID]],Products!A:A,0))</f>
        <v>Apparel</v>
      </c>
      <c r="P3666">
        <v>1</v>
      </c>
      <c r="Q3666" s="5">
        <v>1199</v>
      </c>
      <c r="R3666" s="74">
        <v>0.1</v>
      </c>
      <c r="S3666" s="75">
        <f>OrdersTable[[#This Row],[Quantity]]*OrdersTable[[#This Row],[Unit Price]]</f>
        <v>1199</v>
      </c>
      <c r="T3666" s="5">
        <f>OrdersTable[[#This Row],[Gross Sale]]*OrdersTable[[#This Row],[Discount_Clean2]]</f>
        <v>119.9</v>
      </c>
      <c r="U3666" s="5">
        <f>OrdersTable[[#This Row],[Gross Sale]]-OrdersTable[[#This Row],[Discount Amount]]</f>
        <v>1079.0999999999999</v>
      </c>
      <c r="V3666" s="77">
        <f>INDEX(Products!E:E,MATCH(OrdersTable[[#This Row],[Product ID]],Products!A:A,0))</f>
        <v>492</v>
      </c>
      <c r="W3666" s="77">
        <f>OrdersTable[[#This Row],[Quantity]]*OrdersTable[[#This Row],[Unit Cost]]</f>
        <v>492</v>
      </c>
      <c r="X3666" s="77">
        <f>'Dropdown Lists'!$I$2*(1+OrdersTable[[#This Row],[Returned]])</f>
        <v>60</v>
      </c>
      <c r="Y3666" s="76">
        <f>OrdersTable[[#This Row],[Net Revenue]]-OrdersTable[[#This Row],[COGS]]-OrdersTable[[#This Row],[Shipping Cost]]</f>
        <v>527.09999999999991</v>
      </c>
      <c r="Z3666" s="78">
        <f>IFERROR(OrdersTable[[#This Row],[Profit]]/OrdersTable[[#This Row],[Net Revenue]],0)</f>
        <v>0.48846260772866273</v>
      </c>
      <c r="AA3666" t="s">
        <v>2522</v>
      </c>
      <c r="AB3666" s="79">
        <v>45888</v>
      </c>
      <c r="AC3666">
        <f>OrdersTable[[#This Row],[Delivery Date]]-OrdersTable[[#This Row],[Order Date]]</f>
        <v>2</v>
      </c>
      <c r="AD3666" t="str">
        <f>IF(OrdersTable[[#This Row],[Delivery Days]]&lt;=2, "Express (≤2d)", IF(OrdersTable[[#This Row],[Delivery Days]]&lt;=4, "Standard (3-4d)", "Delayed (5d+)"))</f>
        <v>Express (≤2d)</v>
      </c>
      <c r="AF3666">
        <v>0</v>
      </c>
    </row>
    <row r="3667" spans="1:32" ht="15" x14ac:dyDescent="0.35">
      <c r="A3667" t="s">
        <v>647</v>
      </c>
      <c r="B3667" s="1">
        <v>45886</v>
      </c>
      <c r="C3667">
        <f>YEAR(OrdersTable[[#This Row],[Order Date]])</f>
        <v>2025</v>
      </c>
      <c r="D3667" s="2">
        <f>DATE(YEAR(OrdersTable[[#This Row],[Order Date]]),MONTH(OrdersTable[[#This Row],[Order Date]]),1)</f>
        <v>45870</v>
      </c>
      <c r="E3667">
        <f>MONTH(OrdersTable[[#This Row],[Order Date]])</f>
        <v>8</v>
      </c>
      <c r="F3667" t="s">
        <v>648</v>
      </c>
      <c r="G3667" t="str">
        <f>IF(OrdersTable[[#This Row],[Order Date]]=_xlfn.MINIFS(Order_Date, Customer_ID, OrdersTable[[#This Row],[Customer ID]]), "New", "Repeat")</f>
        <v>Repeat</v>
      </c>
      <c r="H3667" t="s">
        <v>167</v>
      </c>
      <c r="I3667" t="str">
        <f>INDEX(State!B:B,MATCH(OrdersTable[[#This Row],[State]],State!A:A,0))</f>
        <v>KA</v>
      </c>
      <c r="J3667" t="str">
        <f>INDEX(State!C:C,MATCH(OrdersTable[[#This Row],[State Code]],State!B:B,0))</f>
        <v>South</v>
      </c>
      <c r="K3667" t="s">
        <v>168</v>
      </c>
      <c r="L3667" t="s">
        <v>16</v>
      </c>
      <c r="M3667" t="s">
        <v>87</v>
      </c>
      <c r="N3667" t="str">
        <f>INDEX(Products!B:B,MATCH(OrdersTable[[#This Row],[Product ID]],Products!A:A,0))</f>
        <v>Linen Kurta</v>
      </c>
      <c r="O3667" t="str">
        <f>INDEX(Products!C:C,MATCH(OrdersTable[[#This Row],[Product ID]],Products!A:A,0))</f>
        <v>Apparel</v>
      </c>
      <c r="P3667">
        <v>1</v>
      </c>
      <c r="Q3667" s="5">
        <v>1499</v>
      </c>
      <c r="R3667" s="74">
        <v>0.25</v>
      </c>
      <c r="S3667" s="75">
        <f>OrdersTable[[#This Row],[Quantity]]*OrdersTable[[#This Row],[Unit Price]]</f>
        <v>1499</v>
      </c>
      <c r="T3667" s="5">
        <f>OrdersTable[[#This Row],[Gross Sale]]*OrdersTable[[#This Row],[Discount_Clean2]]</f>
        <v>374.75</v>
      </c>
      <c r="U3667" s="5">
        <f>OrdersTable[[#This Row],[Gross Sale]]-OrdersTable[[#This Row],[Discount Amount]]</f>
        <v>1124.25</v>
      </c>
      <c r="V3667" s="77">
        <f>INDEX(Products!E:E,MATCH(OrdersTable[[#This Row],[Product ID]],Products!A:A,0))</f>
        <v>630</v>
      </c>
      <c r="W3667" s="77">
        <f>OrdersTable[[#This Row],[Quantity]]*OrdersTable[[#This Row],[Unit Cost]]</f>
        <v>630</v>
      </c>
      <c r="X3667" s="77">
        <f>'Dropdown Lists'!$I$2*(1+OrdersTable[[#This Row],[Returned]])</f>
        <v>60</v>
      </c>
      <c r="Y3667" s="76">
        <f>OrdersTable[[#This Row],[Net Revenue]]-OrdersTable[[#This Row],[COGS]]-OrdersTable[[#This Row],[Shipping Cost]]</f>
        <v>434.25</v>
      </c>
      <c r="Z3667" s="78">
        <f>IFERROR(OrdersTable[[#This Row],[Profit]]/OrdersTable[[#This Row],[Net Revenue]],0)</f>
        <v>0.38625750500333556</v>
      </c>
      <c r="AA3667" t="s">
        <v>18</v>
      </c>
      <c r="AB3667" s="79">
        <v>45889</v>
      </c>
      <c r="AC3667">
        <f>OrdersTable[[#This Row],[Delivery Date]]-OrdersTable[[#This Row],[Order Date]]</f>
        <v>3</v>
      </c>
      <c r="AD3667" t="str">
        <f>IF(OrdersTable[[#This Row],[Delivery Days]]&lt;=2, "Express (≤2d)", IF(OrdersTable[[#This Row],[Delivery Days]]&lt;=4, "Standard (3-4d)", "Delayed (5d+)"))</f>
        <v>Standard (3-4d)</v>
      </c>
      <c r="AE3667">
        <v>4</v>
      </c>
      <c r="AF3667">
        <v>0</v>
      </c>
    </row>
    <row r="3668" spans="1:32" ht="15" x14ac:dyDescent="0.35">
      <c r="A3668" t="s">
        <v>4172</v>
      </c>
      <c r="B3668" s="1">
        <v>45886</v>
      </c>
      <c r="C3668">
        <f>YEAR(OrdersTable[[#This Row],[Order Date]])</f>
        <v>2025</v>
      </c>
      <c r="D3668" s="2">
        <f>DATE(YEAR(OrdersTable[[#This Row],[Order Date]]),MONTH(OrdersTable[[#This Row],[Order Date]]),1)</f>
        <v>45870</v>
      </c>
      <c r="E3668">
        <f>MONTH(OrdersTable[[#This Row],[Order Date]])</f>
        <v>8</v>
      </c>
      <c r="F3668" t="s">
        <v>2164</v>
      </c>
      <c r="G3668" t="str">
        <f>IF(OrdersTable[[#This Row],[Order Date]]=_xlfn.MINIFS(Order_Date, Customer_ID, OrdersTable[[#This Row],[Customer ID]]), "New", "Repeat")</f>
        <v>Repeat</v>
      </c>
      <c r="H3668" t="s">
        <v>59</v>
      </c>
      <c r="I3668" t="str">
        <f>INDEX(State!B:B,MATCH(OrdersTable[[#This Row],[State]],State!A:A,0))</f>
        <v>TN</v>
      </c>
      <c r="J3668" t="str">
        <f>INDEX(State!C:C,MATCH(OrdersTable[[#This Row],[State Code]],State!B:B,0))</f>
        <v>South</v>
      </c>
      <c r="K3668" t="s">
        <v>60</v>
      </c>
      <c r="L3668" t="s">
        <v>65</v>
      </c>
      <c r="M3668" t="s">
        <v>34</v>
      </c>
      <c r="N3668" t="str">
        <f>INDEX(Products!B:B,MATCH(OrdersTable[[#This Row],[Product ID]],Products!A:A,0))</f>
        <v>Flip Flops</v>
      </c>
      <c r="O3668" t="str">
        <f>INDEX(Products!C:C,MATCH(OrdersTable[[#This Row],[Product ID]],Products!A:A,0))</f>
        <v>Footwear</v>
      </c>
      <c r="P3668">
        <v>1</v>
      </c>
      <c r="Q3668" s="5">
        <v>399</v>
      </c>
      <c r="R3668" s="74">
        <v>0.05</v>
      </c>
      <c r="S3668" s="75">
        <f>OrdersTable[[#This Row],[Quantity]]*OrdersTable[[#This Row],[Unit Price]]</f>
        <v>399</v>
      </c>
      <c r="T3668" s="5">
        <f>OrdersTable[[#This Row],[Gross Sale]]*OrdersTable[[#This Row],[Discount_Clean2]]</f>
        <v>19.950000000000003</v>
      </c>
      <c r="U3668" s="5">
        <f>OrdersTable[[#This Row],[Gross Sale]]-OrdersTable[[#This Row],[Discount Amount]]</f>
        <v>379.05</v>
      </c>
      <c r="V3668" s="77">
        <f>INDEX(Products!E:E,MATCH(OrdersTable[[#This Row],[Product ID]],Products!A:A,0))</f>
        <v>152</v>
      </c>
      <c r="W3668" s="77">
        <f>OrdersTable[[#This Row],[Quantity]]*OrdersTable[[#This Row],[Unit Cost]]</f>
        <v>152</v>
      </c>
      <c r="X3668" s="77">
        <f>'Dropdown Lists'!$I$2*(1+OrdersTable[[#This Row],[Returned]])</f>
        <v>60</v>
      </c>
      <c r="Y3668" s="76">
        <f>OrdersTable[[#This Row],[Net Revenue]]-OrdersTable[[#This Row],[COGS]]-OrdersTable[[#This Row],[Shipping Cost]]</f>
        <v>167.05</v>
      </c>
      <c r="Z3668" s="78">
        <f>IFERROR(OrdersTable[[#This Row],[Profit]]/OrdersTable[[#This Row],[Net Revenue]],0)</f>
        <v>0.44070703073473161</v>
      </c>
      <c r="AA3668" t="s">
        <v>4074</v>
      </c>
      <c r="AB3668" s="79">
        <v>45888</v>
      </c>
      <c r="AC3668">
        <f>OrdersTable[[#This Row],[Delivery Date]]-OrdersTable[[#This Row],[Order Date]]</f>
        <v>2</v>
      </c>
      <c r="AD3668" t="str">
        <f>IF(OrdersTable[[#This Row],[Delivery Days]]&lt;=2, "Express (≤2d)", IF(OrdersTable[[#This Row],[Delivery Days]]&lt;=4, "Standard (3-4d)", "Delayed (5d+)"))</f>
        <v>Express (≤2d)</v>
      </c>
      <c r="AE3668">
        <v>5</v>
      </c>
      <c r="AF3668">
        <v>0</v>
      </c>
    </row>
    <row r="3669" spans="1:32" ht="15" x14ac:dyDescent="0.35">
      <c r="A3669" t="s">
        <v>2828</v>
      </c>
      <c r="B3669" s="1">
        <v>45886</v>
      </c>
      <c r="C3669">
        <f>YEAR(OrdersTable[[#This Row],[Order Date]])</f>
        <v>2025</v>
      </c>
      <c r="D3669" s="2">
        <f>DATE(YEAR(OrdersTable[[#This Row],[Order Date]]),MONTH(OrdersTable[[#This Row],[Order Date]]),1)</f>
        <v>45870</v>
      </c>
      <c r="E3669">
        <f>MONTH(OrdersTable[[#This Row],[Order Date]])</f>
        <v>8</v>
      </c>
      <c r="F3669" t="s">
        <v>629</v>
      </c>
      <c r="G3669" t="str">
        <f>IF(OrdersTable[[#This Row],[Order Date]]=_xlfn.MINIFS(Order_Date, Customer_ID, OrdersTable[[#This Row],[Customer ID]]), "New", "Repeat")</f>
        <v>Repeat</v>
      </c>
      <c r="H3669" t="s">
        <v>59</v>
      </c>
      <c r="I3669" t="str">
        <f>INDEX(State!B:B,MATCH(OrdersTable[[#This Row],[State]],State!A:A,0))</f>
        <v>TN</v>
      </c>
      <c r="J3669" t="str">
        <f>INDEX(State!C:C,MATCH(OrdersTable[[#This Row],[State Code]],State!B:B,0))</f>
        <v>South</v>
      </c>
      <c r="K3669" t="s">
        <v>64</v>
      </c>
      <c r="L3669" t="s">
        <v>50</v>
      </c>
      <c r="M3669" t="s">
        <v>56</v>
      </c>
      <c r="N3669" t="str">
        <f>INDEX(Products!B:B,MATCH(OrdersTable[[#This Row],[Product ID]],Products!A:A,0))</f>
        <v>Vitamin C Face Serum</v>
      </c>
      <c r="O3669" t="str">
        <f>INDEX(Products!C:C,MATCH(OrdersTable[[#This Row],[Product ID]],Products!A:A,0))</f>
        <v>Skincare</v>
      </c>
      <c r="P3669">
        <v>1</v>
      </c>
      <c r="Q3669" s="5">
        <v>599</v>
      </c>
      <c r="R3669" s="74">
        <v>0.25</v>
      </c>
      <c r="S3669" s="75">
        <f>OrdersTable[[#This Row],[Quantity]]*OrdersTable[[#This Row],[Unit Price]]</f>
        <v>599</v>
      </c>
      <c r="T3669" s="5">
        <f>OrdersTable[[#This Row],[Gross Sale]]*OrdersTable[[#This Row],[Discount_Clean2]]</f>
        <v>149.75</v>
      </c>
      <c r="U3669" s="5">
        <f>OrdersTable[[#This Row],[Gross Sale]]-OrdersTable[[#This Row],[Discount Amount]]</f>
        <v>449.25</v>
      </c>
      <c r="V3669" s="77">
        <f>INDEX(Products!E:E,MATCH(OrdersTable[[#This Row],[Product ID]],Products!A:A,0))</f>
        <v>180</v>
      </c>
      <c r="W3669" s="77">
        <f>OrdersTable[[#This Row],[Quantity]]*OrdersTable[[#This Row],[Unit Cost]]</f>
        <v>180</v>
      </c>
      <c r="X3669" s="77">
        <f>'Dropdown Lists'!$I$2*(1+OrdersTable[[#This Row],[Returned]])</f>
        <v>60</v>
      </c>
      <c r="Y3669" s="76">
        <f>OrdersTable[[#This Row],[Net Revenue]]-OrdersTable[[#This Row],[COGS]]-OrdersTable[[#This Row],[Shipping Cost]]</f>
        <v>209.25</v>
      </c>
      <c r="Z3669" s="78">
        <f>IFERROR(OrdersTable[[#This Row],[Profit]]/OrdersTable[[#This Row],[Net Revenue]],0)</f>
        <v>0.46577629382303842</v>
      </c>
      <c r="AA3669" t="s">
        <v>2522</v>
      </c>
      <c r="AB3669" s="79">
        <v>45888</v>
      </c>
      <c r="AC3669">
        <f>OrdersTable[[#This Row],[Delivery Date]]-OrdersTable[[#This Row],[Order Date]]</f>
        <v>2</v>
      </c>
      <c r="AD3669" t="str">
        <f>IF(OrdersTable[[#This Row],[Delivery Days]]&lt;=2, "Express (≤2d)", IF(OrdersTable[[#This Row],[Delivery Days]]&lt;=4, "Standard (3-4d)", "Delayed (5d+)"))</f>
        <v>Express (≤2d)</v>
      </c>
      <c r="AE3669">
        <v>3</v>
      </c>
      <c r="AF3669">
        <v>0</v>
      </c>
    </row>
    <row r="3670" spans="1:32" ht="15" x14ac:dyDescent="0.35">
      <c r="A3670" t="s">
        <v>3466</v>
      </c>
      <c r="B3670" s="1">
        <v>45887</v>
      </c>
      <c r="C3670">
        <f>YEAR(OrdersTable[[#This Row],[Order Date]])</f>
        <v>2025</v>
      </c>
      <c r="D3670" s="2">
        <f>DATE(YEAR(OrdersTable[[#This Row],[Order Date]]),MONTH(OrdersTable[[#This Row],[Order Date]]),1)</f>
        <v>45870</v>
      </c>
      <c r="E3670">
        <f>MONTH(OrdersTable[[#This Row],[Order Date]])</f>
        <v>8</v>
      </c>
      <c r="F3670" t="s">
        <v>3467</v>
      </c>
      <c r="G3670" t="str">
        <f>IF(OrdersTable[[#This Row],[Order Date]]=_xlfn.MINIFS(Order_Date, Customer_ID, OrdersTable[[#This Row],[Customer ID]]), "New", "Repeat")</f>
        <v>Repeat</v>
      </c>
      <c r="H3670" t="s">
        <v>54</v>
      </c>
      <c r="I3670" t="str">
        <f>INDEX(State!B:B,MATCH(OrdersTable[[#This Row],[State]],State!A:A,0))</f>
        <v>RJ</v>
      </c>
      <c r="J3670" t="str">
        <f>INDEX(State!C:C,MATCH(OrdersTable[[#This Row],[State Code]],State!B:B,0))</f>
        <v>North</v>
      </c>
      <c r="K3670" t="s">
        <v>55</v>
      </c>
      <c r="L3670" t="s">
        <v>65</v>
      </c>
      <c r="M3670" t="s">
        <v>40</v>
      </c>
      <c r="N3670" t="str">
        <f>INDEX(Products!B:B,MATCH(OrdersTable[[#This Row],[Product ID]],Products!A:A,0))</f>
        <v>Ashwagandha Capsules</v>
      </c>
      <c r="O3670" t="str">
        <f>INDEX(Products!C:C,MATCH(OrdersTable[[#This Row],[Product ID]],Products!A:A,0))</f>
        <v>Wellness</v>
      </c>
      <c r="P3670">
        <v>1</v>
      </c>
      <c r="Q3670" s="5">
        <v>499</v>
      </c>
      <c r="R3670" s="74">
        <v>0</v>
      </c>
      <c r="S3670" s="75">
        <f>OrdersTable[[#This Row],[Quantity]]*OrdersTable[[#This Row],[Unit Price]]</f>
        <v>499</v>
      </c>
      <c r="T3670" s="5">
        <f>OrdersTable[[#This Row],[Gross Sale]]*OrdersTable[[#This Row],[Discount_Clean2]]</f>
        <v>0</v>
      </c>
      <c r="U3670" s="5">
        <f>OrdersTable[[#This Row],[Gross Sale]]-OrdersTable[[#This Row],[Discount Amount]]</f>
        <v>499</v>
      </c>
      <c r="V3670" s="77">
        <f>INDEX(Products!E:E,MATCH(OrdersTable[[#This Row],[Product ID]],Products!A:A,0))</f>
        <v>150</v>
      </c>
      <c r="W3670" s="77">
        <f>OrdersTable[[#This Row],[Quantity]]*OrdersTable[[#This Row],[Unit Cost]]</f>
        <v>150</v>
      </c>
      <c r="X3670" s="77">
        <f>'Dropdown Lists'!$I$2*(1+OrdersTable[[#This Row],[Returned]])</f>
        <v>60</v>
      </c>
      <c r="Y3670" s="76">
        <f>OrdersTable[[#This Row],[Net Revenue]]-OrdersTable[[#This Row],[COGS]]-OrdersTable[[#This Row],[Shipping Cost]]</f>
        <v>289</v>
      </c>
      <c r="Z3670" s="78">
        <f>IFERROR(OrdersTable[[#This Row],[Profit]]/OrdersTable[[#This Row],[Net Revenue]],0)</f>
        <v>0.57915831663326656</v>
      </c>
      <c r="AA3670" t="s">
        <v>2522</v>
      </c>
      <c r="AB3670" s="79">
        <v>45890</v>
      </c>
      <c r="AC3670">
        <f>OrdersTable[[#This Row],[Delivery Date]]-OrdersTable[[#This Row],[Order Date]]</f>
        <v>3</v>
      </c>
      <c r="AD3670" t="str">
        <f>IF(OrdersTable[[#This Row],[Delivery Days]]&lt;=2, "Express (≤2d)", IF(OrdersTable[[#This Row],[Delivery Days]]&lt;=4, "Standard (3-4d)", "Delayed (5d+)"))</f>
        <v>Standard (3-4d)</v>
      </c>
      <c r="AE3670">
        <v>4</v>
      </c>
      <c r="AF3670">
        <v>0</v>
      </c>
    </row>
    <row r="3671" spans="1:32" ht="15" x14ac:dyDescent="0.35">
      <c r="A3671" t="s">
        <v>3093</v>
      </c>
      <c r="B3671" s="1">
        <v>45887</v>
      </c>
      <c r="C3671">
        <f>YEAR(OrdersTable[[#This Row],[Order Date]])</f>
        <v>2025</v>
      </c>
      <c r="D3671" s="2">
        <f>DATE(YEAR(OrdersTable[[#This Row],[Order Date]]),MONTH(OrdersTable[[#This Row],[Order Date]]),1)</f>
        <v>45870</v>
      </c>
      <c r="E3671">
        <f>MONTH(OrdersTable[[#This Row],[Order Date]])</f>
        <v>8</v>
      </c>
      <c r="F3671" t="s">
        <v>3094</v>
      </c>
      <c r="G3671" t="str">
        <f>IF(OrdersTable[[#This Row],[Order Date]]=_xlfn.MINIFS(Order_Date, Customer_ID, OrdersTable[[#This Row],[Customer ID]]), "New", "Repeat")</f>
        <v>Repeat</v>
      </c>
      <c r="H3671" t="s">
        <v>48</v>
      </c>
      <c r="I3671" t="str">
        <f>INDEX(State!B:B,MATCH(OrdersTable[[#This Row],[State]],State!A:A,0))</f>
        <v>HR</v>
      </c>
      <c r="J3671" t="str">
        <f>INDEX(State!C:C,MATCH(OrdersTable[[#This Row],[State Code]],State!B:B,0))</f>
        <v>North</v>
      </c>
      <c r="K3671" t="s">
        <v>151</v>
      </c>
      <c r="L3671" t="s">
        <v>50</v>
      </c>
      <c r="M3671" t="s">
        <v>106</v>
      </c>
      <c r="N3671" t="str">
        <f>INDEX(Products!B:B,MATCH(OrdersTable[[#This Row],[Product ID]],Products!A:A,0))</f>
        <v>Keratin Hair Mask</v>
      </c>
      <c r="O3671" t="str">
        <f>INDEX(Products!C:C,MATCH(OrdersTable[[#This Row],[Product ID]],Products!A:A,0))</f>
        <v>Haircare</v>
      </c>
      <c r="P3671">
        <v>1</v>
      </c>
      <c r="Q3671" s="5">
        <v>549</v>
      </c>
      <c r="R3671" s="74">
        <v>0.15</v>
      </c>
      <c r="S3671" s="75">
        <f>OrdersTable[[#This Row],[Quantity]]*OrdersTable[[#This Row],[Unit Price]]</f>
        <v>549</v>
      </c>
      <c r="T3671" s="5">
        <f>OrdersTable[[#This Row],[Gross Sale]]*OrdersTable[[#This Row],[Discount_Clean2]]</f>
        <v>82.35</v>
      </c>
      <c r="U3671" s="5">
        <f>OrdersTable[[#This Row],[Gross Sale]]-OrdersTable[[#This Row],[Discount Amount]]</f>
        <v>466.65</v>
      </c>
      <c r="V3671" s="77">
        <f>INDEX(Products!E:E,MATCH(OrdersTable[[#This Row],[Product ID]],Products!A:A,0))</f>
        <v>170</v>
      </c>
      <c r="W3671" s="77">
        <f>OrdersTable[[#This Row],[Quantity]]*OrdersTable[[#This Row],[Unit Cost]]</f>
        <v>170</v>
      </c>
      <c r="X3671" s="77">
        <f>'Dropdown Lists'!$I$2*(1+OrdersTable[[#This Row],[Returned]])</f>
        <v>60</v>
      </c>
      <c r="Y3671" s="76">
        <f>OrdersTable[[#This Row],[Net Revenue]]-OrdersTable[[#This Row],[COGS]]-OrdersTable[[#This Row],[Shipping Cost]]</f>
        <v>236.64999999999998</v>
      </c>
      <c r="Z3671" s="78">
        <f>IFERROR(OrdersTable[[#This Row],[Profit]]/OrdersTable[[#This Row],[Net Revenue]],0)</f>
        <v>0.50712525447337398</v>
      </c>
      <c r="AA3671" t="s">
        <v>2522</v>
      </c>
      <c r="AB3671" s="79">
        <v>45888</v>
      </c>
      <c r="AC3671">
        <f>OrdersTable[[#This Row],[Delivery Date]]-OrdersTable[[#This Row],[Order Date]]</f>
        <v>1</v>
      </c>
      <c r="AD3671" t="str">
        <f>IF(OrdersTable[[#This Row],[Delivery Days]]&lt;=2, "Express (≤2d)", IF(OrdersTable[[#This Row],[Delivery Days]]&lt;=4, "Standard (3-4d)", "Delayed (5d+)"))</f>
        <v>Express (≤2d)</v>
      </c>
      <c r="AF3671">
        <v>0</v>
      </c>
    </row>
    <row r="3672" spans="1:32" ht="15" x14ac:dyDescent="0.35">
      <c r="A3672" t="s">
        <v>5538</v>
      </c>
      <c r="B3672" s="1">
        <v>45887</v>
      </c>
      <c r="C3672">
        <f>YEAR(OrdersTable[[#This Row],[Order Date]])</f>
        <v>2025</v>
      </c>
      <c r="D3672" s="2">
        <f>DATE(YEAR(OrdersTable[[#This Row],[Order Date]]),MONTH(OrdersTable[[#This Row],[Order Date]]),1)</f>
        <v>45870</v>
      </c>
      <c r="E3672">
        <f>MONTH(OrdersTable[[#This Row],[Order Date]])</f>
        <v>8</v>
      </c>
      <c r="F3672" t="s">
        <v>4070</v>
      </c>
      <c r="G3672" t="str">
        <f>IF(OrdersTable[[#This Row],[Order Date]]=_xlfn.MINIFS(Order_Date, Customer_ID, OrdersTable[[#This Row],[Customer ID]]), "New", "Repeat")</f>
        <v>Repeat</v>
      </c>
      <c r="H3672" t="s">
        <v>482</v>
      </c>
      <c r="I3672" t="str">
        <f>INDEX(State!B:B,MATCH(OrdersTable[[#This Row],[State]],State!A:A,0))</f>
        <v>CG</v>
      </c>
      <c r="J3672" t="str">
        <f>INDEX(State!C:C,MATCH(OrdersTable[[#This Row],[State Code]],State!B:B,0))</f>
        <v>East</v>
      </c>
      <c r="K3672" t="s">
        <v>483</v>
      </c>
      <c r="L3672" t="s">
        <v>65</v>
      </c>
      <c r="M3672" t="s">
        <v>92</v>
      </c>
      <c r="N3672" t="str">
        <f>INDEX(Products!B:B,MATCH(OrdersTable[[#This Row],[Product ID]],Products!A:A,0))</f>
        <v>Kolhapuri Sandals</v>
      </c>
      <c r="O3672" t="str">
        <f>INDEX(Products!C:C,MATCH(OrdersTable[[#This Row],[Product ID]],Products!A:A,0))</f>
        <v>Footwear</v>
      </c>
      <c r="P3672">
        <v>2</v>
      </c>
      <c r="Q3672" s="5">
        <v>999</v>
      </c>
      <c r="R3672" s="74">
        <v>0.05</v>
      </c>
      <c r="S3672" s="75">
        <f>OrdersTable[[#This Row],[Quantity]]*OrdersTable[[#This Row],[Unit Price]]</f>
        <v>1998</v>
      </c>
      <c r="T3672" s="5">
        <f>OrdersTable[[#This Row],[Gross Sale]]*OrdersTable[[#This Row],[Discount_Clean2]]</f>
        <v>99.9</v>
      </c>
      <c r="U3672" s="5">
        <f>OrdersTable[[#This Row],[Gross Sale]]-OrdersTable[[#This Row],[Discount Amount]]</f>
        <v>1898.1</v>
      </c>
      <c r="V3672" s="77">
        <f>INDEX(Products!E:E,MATCH(OrdersTable[[#This Row],[Product ID]],Products!A:A,0))</f>
        <v>400</v>
      </c>
      <c r="W3672" s="77">
        <f>OrdersTable[[#This Row],[Quantity]]*OrdersTable[[#This Row],[Unit Cost]]</f>
        <v>800</v>
      </c>
      <c r="X3672" s="77">
        <f>'Dropdown Lists'!$I$2*(1+OrdersTable[[#This Row],[Returned]])</f>
        <v>60</v>
      </c>
      <c r="Y3672" s="76">
        <f>OrdersTable[[#This Row],[Net Revenue]]-OrdersTable[[#This Row],[COGS]]-OrdersTable[[#This Row],[Shipping Cost]]</f>
        <v>1038.0999999999999</v>
      </c>
      <c r="Z3672" s="78">
        <f>IFERROR(OrdersTable[[#This Row],[Profit]]/OrdersTable[[#This Row],[Net Revenue]],0)</f>
        <v>0.54691533638902057</v>
      </c>
      <c r="AA3672" t="s">
        <v>2522</v>
      </c>
      <c r="AB3672" s="79">
        <v>45892</v>
      </c>
      <c r="AC3672">
        <f>OrdersTable[[#This Row],[Delivery Date]]-OrdersTable[[#This Row],[Order Date]]</f>
        <v>5</v>
      </c>
      <c r="AD3672" t="str">
        <f>IF(OrdersTable[[#This Row],[Delivery Days]]&lt;=2, "Express (≤2d)", IF(OrdersTable[[#This Row],[Delivery Days]]&lt;=4, "Standard (3-4d)", "Delayed (5d+)"))</f>
        <v>Delayed (5d+)</v>
      </c>
      <c r="AE3672">
        <v>4</v>
      </c>
      <c r="AF3672">
        <v>0</v>
      </c>
    </row>
    <row r="3673" spans="1:32" ht="15" x14ac:dyDescent="0.35">
      <c r="A3673" t="s">
        <v>4846</v>
      </c>
      <c r="B3673" s="1">
        <v>45887</v>
      </c>
      <c r="C3673">
        <f>YEAR(OrdersTable[[#This Row],[Order Date]])</f>
        <v>2025</v>
      </c>
      <c r="D3673" s="2">
        <f>DATE(YEAR(OrdersTable[[#This Row],[Order Date]]),MONTH(OrdersTable[[#This Row],[Order Date]]),1)</f>
        <v>45870</v>
      </c>
      <c r="E3673">
        <f>MONTH(OrdersTable[[#This Row],[Order Date]])</f>
        <v>8</v>
      </c>
      <c r="F3673" t="s">
        <v>4847</v>
      </c>
      <c r="G3673" t="str">
        <f>IF(OrdersTable[[#This Row],[Order Date]]=_xlfn.MINIFS(Order_Date, Customer_ID, OrdersTable[[#This Row],[Customer ID]]), "New", "Repeat")</f>
        <v>New</v>
      </c>
      <c r="H3673" t="s">
        <v>123</v>
      </c>
      <c r="I3673" t="str">
        <f>INDEX(State!B:B,MATCH(OrdersTable[[#This Row],[State]],State!A:A,0))</f>
        <v>JH</v>
      </c>
      <c r="J3673" t="str">
        <f>INDEX(State!C:C,MATCH(OrdersTable[[#This Row],[State Code]],State!B:B,0))</f>
        <v>East</v>
      </c>
      <c r="K3673" t="s">
        <v>124</v>
      </c>
      <c r="L3673" t="s">
        <v>16</v>
      </c>
      <c r="M3673" t="s">
        <v>87</v>
      </c>
      <c r="N3673" t="str">
        <f>INDEX(Products!B:B,MATCH(OrdersTable[[#This Row],[Product ID]],Products!A:A,0))</f>
        <v>Linen Kurta</v>
      </c>
      <c r="O3673" t="str">
        <f>INDEX(Products!C:C,MATCH(OrdersTable[[#This Row],[Product ID]],Products!A:A,0))</f>
        <v>Apparel</v>
      </c>
      <c r="P3673">
        <v>2</v>
      </c>
      <c r="Q3673" s="5">
        <v>1499</v>
      </c>
      <c r="R3673" s="74">
        <v>0.25</v>
      </c>
      <c r="S3673" s="75">
        <f>OrdersTable[[#This Row],[Quantity]]*OrdersTable[[#This Row],[Unit Price]]</f>
        <v>2998</v>
      </c>
      <c r="T3673" s="5">
        <f>OrdersTable[[#This Row],[Gross Sale]]*OrdersTable[[#This Row],[Discount_Clean2]]</f>
        <v>749.5</v>
      </c>
      <c r="U3673" s="5">
        <f>OrdersTable[[#This Row],[Gross Sale]]-OrdersTable[[#This Row],[Discount Amount]]</f>
        <v>2248.5</v>
      </c>
      <c r="V3673" s="77">
        <f>INDEX(Products!E:E,MATCH(OrdersTable[[#This Row],[Product ID]],Products!A:A,0))</f>
        <v>630</v>
      </c>
      <c r="W3673" s="77">
        <f>OrdersTable[[#This Row],[Quantity]]*OrdersTable[[#This Row],[Unit Cost]]</f>
        <v>1260</v>
      </c>
      <c r="X3673" s="77">
        <f>'Dropdown Lists'!$I$2*(1+OrdersTable[[#This Row],[Returned]])</f>
        <v>60</v>
      </c>
      <c r="Y3673" s="76">
        <f>OrdersTable[[#This Row],[Net Revenue]]-OrdersTable[[#This Row],[COGS]]-OrdersTable[[#This Row],[Shipping Cost]]</f>
        <v>928.5</v>
      </c>
      <c r="Z3673" s="78">
        <f>IFERROR(OrdersTable[[#This Row],[Profit]]/OrdersTable[[#This Row],[Net Revenue]],0)</f>
        <v>0.41294196130753835</v>
      </c>
      <c r="AA3673" t="s">
        <v>4450</v>
      </c>
      <c r="AB3673" s="79">
        <v>45891</v>
      </c>
      <c r="AC3673">
        <f>OrdersTable[[#This Row],[Delivery Date]]-OrdersTable[[#This Row],[Order Date]]</f>
        <v>4</v>
      </c>
      <c r="AD3673" t="str">
        <f>IF(OrdersTable[[#This Row],[Delivery Days]]&lt;=2, "Express (≤2d)", IF(OrdersTable[[#This Row],[Delivery Days]]&lt;=4, "Standard (3-4d)", "Delayed (5d+)"))</f>
        <v>Standard (3-4d)</v>
      </c>
      <c r="AE3673">
        <v>4</v>
      </c>
      <c r="AF3673">
        <v>0</v>
      </c>
    </row>
    <row r="3674" spans="1:32" ht="15" x14ac:dyDescent="0.35">
      <c r="A3674" t="s">
        <v>3095</v>
      </c>
      <c r="B3674" s="1">
        <v>45887</v>
      </c>
      <c r="C3674">
        <f>YEAR(OrdersTable[[#This Row],[Order Date]])</f>
        <v>2025</v>
      </c>
      <c r="D3674" s="2">
        <f>DATE(YEAR(OrdersTable[[#This Row],[Order Date]]),MONTH(OrdersTable[[#This Row],[Order Date]]),1)</f>
        <v>45870</v>
      </c>
      <c r="E3674">
        <f>MONTH(OrdersTable[[#This Row],[Order Date]])</f>
        <v>8</v>
      </c>
      <c r="F3674" t="s">
        <v>1416</v>
      </c>
      <c r="G3674" t="str">
        <f>IF(OrdersTable[[#This Row],[Order Date]]=_xlfn.MINIFS(Order_Date, Customer_ID, OrdersTable[[#This Row],[Customer ID]]), "New", "Repeat")</f>
        <v>Repeat</v>
      </c>
      <c r="H3674" t="s">
        <v>27</v>
      </c>
      <c r="I3674" t="str">
        <f>INDEX(State!B:B,MATCH(OrdersTable[[#This Row],[State]],State!A:A,0))</f>
        <v>WB</v>
      </c>
      <c r="J3674" t="str">
        <f>INDEX(State!C:C,MATCH(OrdersTable[[#This Row],[State Code]],State!B:B,0))</f>
        <v>East</v>
      </c>
      <c r="K3674" t="s">
        <v>28</v>
      </c>
      <c r="L3674" t="s">
        <v>16</v>
      </c>
      <c r="M3674" t="s">
        <v>87</v>
      </c>
      <c r="N3674" t="str">
        <f>INDEX(Products!B:B,MATCH(OrdersTable[[#This Row],[Product ID]],Products!A:A,0))</f>
        <v>Linen Kurta</v>
      </c>
      <c r="O3674" t="str">
        <f>INDEX(Products!C:C,MATCH(OrdersTable[[#This Row],[Product ID]],Products!A:A,0))</f>
        <v>Apparel</v>
      </c>
      <c r="P3674">
        <v>1</v>
      </c>
      <c r="Q3674" s="5">
        <v>1499</v>
      </c>
      <c r="R3674" s="74">
        <v>0.25</v>
      </c>
      <c r="S3674" s="75">
        <f>OrdersTable[[#This Row],[Quantity]]*OrdersTable[[#This Row],[Unit Price]]</f>
        <v>1499</v>
      </c>
      <c r="T3674" s="5">
        <f>OrdersTable[[#This Row],[Gross Sale]]*OrdersTable[[#This Row],[Discount_Clean2]]</f>
        <v>374.75</v>
      </c>
      <c r="U3674" s="5">
        <f>OrdersTable[[#This Row],[Gross Sale]]-OrdersTable[[#This Row],[Discount Amount]]</f>
        <v>1124.25</v>
      </c>
      <c r="V3674" s="77">
        <f>INDEX(Products!E:E,MATCH(OrdersTable[[#This Row],[Product ID]],Products!A:A,0))</f>
        <v>630</v>
      </c>
      <c r="W3674" s="77">
        <f>OrdersTable[[#This Row],[Quantity]]*OrdersTable[[#This Row],[Unit Cost]]</f>
        <v>630</v>
      </c>
      <c r="X3674" s="77">
        <f>'Dropdown Lists'!$I$2*(1+OrdersTable[[#This Row],[Returned]])</f>
        <v>60</v>
      </c>
      <c r="Y3674" s="76">
        <f>OrdersTable[[#This Row],[Net Revenue]]-OrdersTable[[#This Row],[COGS]]-OrdersTable[[#This Row],[Shipping Cost]]</f>
        <v>434.25</v>
      </c>
      <c r="Z3674" s="78">
        <f>IFERROR(OrdersTable[[#This Row],[Profit]]/OrdersTable[[#This Row],[Net Revenue]],0)</f>
        <v>0.38625750500333556</v>
      </c>
      <c r="AA3674" t="s">
        <v>2522</v>
      </c>
      <c r="AB3674" s="79">
        <v>45890</v>
      </c>
      <c r="AC3674">
        <f>OrdersTable[[#This Row],[Delivery Date]]-OrdersTable[[#This Row],[Order Date]]</f>
        <v>3</v>
      </c>
      <c r="AD3674" t="str">
        <f>IF(OrdersTable[[#This Row],[Delivery Days]]&lt;=2, "Express (≤2d)", IF(OrdersTable[[#This Row],[Delivery Days]]&lt;=4, "Standard (3-4d)", "Delayed (5d+)"))</f>
        <v>Standard (3-4d)</v>
      </c>
      <c r="AF3674">
        <v>0</v>
      </c>
    </row>
    <row r="3675" spans="1:32" ht="15" x14ac:dyDescent="0.35">
      <c r="A3675" t="s">
        <v>353</v>
      </c>
      <c r="B3675" s="1">
        <v>45887</v>
      </c>
      <c r="C3675">
        <f>YEAR(OrdersTable[[#This Row],[Order Date]])</f>
        <v>2025</v>
      </c>
      <c r="D3675" s="2">
        <f>DATE(YEAR(OrdersTable[[#This Row],[Order Date]]),MONTH(OrdersTable[[#This Row],[Order Date]]),1)</f>
        <v>45870</v>
      </c>
      <c r="E3675">
        <f>MONTH(OrdersTable[[#This Row],[Order Date]])</f>
        <v>8</v>
      </c>
      <c r="F3675" t="s">
        <v>354</v>
      </c>
      <c r="G3675" t="str">
        <f>IF(OrdersTable[[#This Row],[Order Date]]=_xlfn.MINIFS(Order_Date, Customer_ID, OrdersTable[[#This Row],[Customer ID]]), "New", "Repeat")</f>
        <v>Repeat</v>
      </c>
      <c r="H3675" t="s">
        <v>27</v>
      </c>
      <c r="I3675" t="str">
        <f>INDEX(State!B:B,MATCH(OrdersTable[[#This Row],[State]],State!A:A,0))</f>
        <v>WB</v>
      </c>
      <c r="J3675" t="str">
        <f>INDEX(State!C:C,MATCH(OrdersTable[[#This Row],[State Code]],State!B:B,0))</f>
        <v>East</v>
      </c>
      <c r="K3675" t="s">
        <v>28</v>
      </c>
      <c r="L3675" t="s">
        <v>65</v>
      </c>
      <c r="M3675" t="s">
        <v>24</v>
      </c>
      <c r="N3675" t="str">
        <f>INDEX(Products!B:B,MATCH(OrdersTable[[#This Row],[Product ID]],Products!A:A,0))</f>
        <v>Scented Candle Set</v>
      </c>
      <c r="O3675" t="str">
        <f>INDEX(Products!C:C,MATCH(OrdersTable[[#This Row],[Product ID]],Products!A:A,0))</f>
        <v>Home &amp; Kitchen</v>
      </c>
      <c r="P3675">
        <v>1</v>
      </c>
      <c r="Q3675" s="5">
        <v>699</v>
      </c>
      <c r="R3675" s="74">
        <v>0.2</v>
      </c>
      <c r="S3675" s="75">
        <f>OrdersTable[[#This Row],[Quantity]]*OrdersTable[[#This Row],[Unit Price]]</f>
        <v>699</v>
      </c>
      <c r="T3675" s="5">
        <f>OrdersTable[[#This Row],[Gross Sale]]*OrdersTable[[#This Row],[Discount_Clean2]]</f>
        <v>139.80000000000001</v>
      </c>
      <c r="U3675" s="5">
        <f>OrdersTable[[#This Row],[Gross Sale]]-OrdersTable[[#This Row],[Discount Amount]]</f>
        <v>559.20000000000005</v>
      </c>
      <c r="V3675" s="77">
        <f>INDEX(Products!E:E,MATCH(OrdersTable[[#This Row],[Product ID]],Products!A:A,0))</f>
        <v>245</v>
      </c>
      <c r="W3675" s="77">
        <f>OrdersTable[[#This Row],[Quantity]]*OrdersTable[[#This Row],[Unit Cost]]</f>
        <v>245</v>
      </c>
      <c r="X3675" s="77">
        <f>'Dropdown Lists'!$I$2*(1+OrdersTable[[#This Row],[Returned]])</f>
        <v>60</v>
      </c>
      <c r="Y3675" s="76">
        <f>OrdersTable[[#This Row],[Net Revenue]]-OrdersTable[[#This Row],[COGS]]-OrdersTable[[#This Row],[Shipping Cost]]</f>
        <v>254.20000000000005</v>
      </c>
      <c r="Z3675" s="78">
        <f>IFERROR(OrdersTable[[#This Row],[Profit]]/OrdersTable[[#This Row],[Net Revenue]],0)</f>
        <v>0.45457796852646642</v>
      </c>
      <c r="AA3675" t="s">
        <v>18</v>
      </c>
      <c r="AB3675" s="79">
        <v>45891</v>
      </c>
      <c r="AC3675">
        <f>OrdersTable[[#This Row],[Delivery Date]]-OrdersTable[[#This Row],[Order Date]]</f>
        <v>4</v>
      </c>
      <c r="AD3675" t="str">
        <f>IF(OrdersTable[[#This Row],[Delivery Days]]&lt;=2, "Express (≤2d)", IF(OrdersTable[[#This Row],[Delivery Days]]&lt;=4, "Standard (3-4d)", "Delayed (5d+)"))</f>
        <v>Standard (3-4d)</v>
      </c>
      <c r="AE3675">
        <v>4</v>
      </c>
      <c r="AF3675">
        <v>0</v>
      </c>
    </row>
    <row r="3676" spans="1:32" ht="15" x14ac:dyDescent="0.35">
      <c r="A3676" t="s">
        <v>3664</v>
      </c>
      <c r="B3676" s="1">
        <v>45887</v>
      </c>
      <c r="C3676">
        <f>YEAR(OrdersTable[[#This Row],[Order Date]])</f>
        <v>2025</v>
      </c>
      <c r="D3676" s="2">
        <f>DATE(YEAR(OrdersTable[[#This Row],[Order Date]]),MONTH(OrdersTable[[#This Row],[Order Date]]),1)</f>
        <v>45870</v>
      </c>
      <c r="E3676">
        <f>MONTH(OrdersTable[[#This Row],[Order Date]])</f>
        <v>8</v>
      </c>
      <c r="F3676" t="s">
        <v>3665</v>
      </c>
      <c r="G3676" t="str">
        <f>IF(OrdersTable[[#This Row],[Order Date]]=_xlfn.MINIFS(Order_Date, Customer_ID, OrdersTable[[#This Row],[Customer ID]]), "New", "Repeat")</f>
        <v>New</v>
      </c>
      <c r="H3676" t="s">
        <v>95</v>
      </c>
      <c r="I3676" t="str">
        <f>INDEX(State!B:B,MATCH(OrdersTable[[#This Row],[State]],State!A:A,0))</f>
        <v>TG</v>
      </c>
      <c r="J3676" t="str">
        <f>INDEX(State!C:C,MATCH(OrdersTable[[#This Row],[State Code]],State!B:B,0))</f>
        <v>South</v>
      </c>
      <c r="K3676" t="s">
        <v>96</v>
      </c>
      <c r="L3676" t="s">
        <v>39</v>
      </c>
      <c r="M3676" t="s">
        <v>45</v>
      </c>
      <c r="N3676" t="str">
        <f>INDEX(Products!B:B,MATCH(OrdersTable[[#This Row],[Product ID]],Products!A:A,0))</f>
        <v>Argan Shampoo</v>
      </c>
      <c r="O3676" t="str">
        <f>INDEX(Products!C:C,MATCH(OrdersTable[[#This Row],[Product ID]],Products!A:A,0))</f>
        <v>Haircare</v>
      </c>
      <c r="P3676">
        <v>1</v>
      </c>
      <c r="Q3676" s="5">
        <v>449</v>
      </c>
      <c r="R3676" s="74">
        <v>0.05</v>
      </c>
      <c r="S3676" s="75">
        <f>OrdersTable[[#This Row],[Quantity]]*OrdersTable[[#This Row],[Unit Price]]</f>
        <v>449</v>
      </c>
      <c r="T3676" s="5">
        <f>OrdersTable[[#This Row],[Gross Sale]]*OrdersTable[[#This Row],[Discount_Clean2]]</f>
        <v>22.450000000000003</v>
      </c>
      <c r="U3676" s="5">
        <f>OrdersTable[[#This Row],[Gross Sale]]-OrdersTable[[#This Row],[Discount Amount]]</f>
        <v>426.55</v>
      </c>
      <c r="V3676" s="77">
        <f>INDEX(Products!E:E,MATCH(OrdersTable[[#This Row],[Product ID]],Products!A:A,0))</f>
        <v>148</v>
      </c>
      <c r="W3676" s="77">
        <f>OrdersTable[[#This Row],[Quantity]]*OrdersTable[[#This Row],[Unit Cost]]</f>
        <v>148</v>
      </c>
      <c r="X3676" s="77">
        <f>'Dropdown Lists'!$I$2*(1+OrdersTable[[#This Row],[Returned]])</f>
        <v>60</v>
      </c>
      <c r="Y3676" s="76">
        <f>OrdersTable[[#This Row],[Net Revenue]]-OrdersTable[[#This Row],[COGS]]-OrdersTable[[#This Row],[Shipping Cost]]</f>
        <v>218.55</v>
      </c>
      <c r="Z3676" s="78">
        <f>IFERROR(OrdersTable[[#This Row],[Profit]]/OrdersTable[[#This Row],[Net Revenue]],0)</f>
        <v>0.51236666275934828</v>
      </c>
      <c r="AA3676" t="s">
        <v>3495</v>
      </c>
      <c r="AB3676" s="79">
        <v>45891</v>
      </c>
      <c r="AC3676">
        <f>OrdersTable[[#This Row],[Delivery Date]]-OrdersTable[[#This Row],[Order Date]]</f>
        <v>4</v>
      </c>
      <c r="AD3676" t="str">
        <f>IF(OrdersTable[[#This Row],[Delivery Days]]&lt;=2, "Express (≤2d)", IF(OrdersTable[[#This Row],[Delivery Days]]&lt;=4, "Standard (3-4d)", "Delayed (5d+)"))</f>
        <v>Standard (3-4d)</v>
      </c>
      <c r="AE3676">
        <v>4</v>
      </c>
      <c r="AF3676">
        <v>0</v>
      </c>
    </row>
    <row r="3677" spans="1:32" ht="15" x14ac:dyDescent="0.35">
      <c r="A3677" t="s">
        <v>3325</v>
      </c>
      <c r="B3677" s="1">
        <v>45887</v>
      </c>
      <c r="C3677">
        <f>YEAR(OrdersTable[[#This Row],[Order Date]])</f>
        <v>2025</v>
      </c>
      <c r="D3677" s="2">
        <f>DATE(YEAR(OrdersTable[[#This Row],[Order Date]]),MONTH(OrdersTable[[#This Row],[Order Date]]),1)</f>
        <v>45870</v>
      </c>
      <c r="E3677">
        <f>MONTH(OrdersTable[[#This Row],[Order Date]])</f>
        <v>8</v>
      </c>
      <c r="F3677" t="s">
        <v>1050</v>
      </c>
      <c r="G3677" t="str">
        <f>IF(OrdersTable[[#This Row],[Order Date]]=_xlfn.MINIFS(Order_Date, Customer_ID, OrdersTable[[#This Row],[Customer ID]]), "New", "Repeat")</f>
        <v>Repeat</v>
      </c>
      <c r="H3677" t="s">
        <v>316</v>
      </c>
      <c r="I3677" t="str">
        <f>INDEX(State!B:B,MATCH(OrdersTable[[#This Row],[State]],State!A:A,0))</f>
        <v>KL</v>
      </c>
      <c r="J3677" t="str">
        <f>INDEX(State!C:C,MATCH(OrdersTable[[#This Row],[State Code]],State!B:B,0))</f>
        <v>South</v>
      </c>
      <c r="K3677" t="s">
        <v>317</v>
      </c>
      <c r="L3677" t="s">
        <v>39</v>
      </c>
      <c r="M3677" t="s">
        <v>56</v>
      </c>
      <c r="N3677" t="str">
        <f>INDEX(Products!B:B,MATCH(OrdersTable[[#This Row],[Product ID]],Products!A:A,0))</f>
        <v>Vitamin C Face Serum</v>
      </c>
      <c r="O3677" t="str">
        <f>INDEX(Products!C:C,MATCH(OrdersTable[[#This Row],[Product ID]],Products!A:A,0))</f>
        <v>Skincare</v>
      </c>
      <c r="P3677">
        <v>1</v>
      </c>
      <c r="Q3677" s="5">
        <v>599</v>
      </c>
      <c r="R3677" s="74">
        <v>0.2</v>
      </c>
      <c r="S3677" s="75">
        <f>OrdersTable[[#This Row],[Quantity]]*OrdersTable[[#This Row],[Unit Price]]</f>
        <v>599</v>
      </c>
      <c r="T3677" s="5">
        <f>OrdersTable[[#This Row],[Gross Sale]]*OrdersTable[[#This Row],[Discount_Clean2]]</f>
        <v>119.80000000000001</v>
      </c>
      <c r="U3677" s="5">
        <f>OrdersTable[[#This Row],[Gross Sale]]-OrdersTable[[#This Row],[Discount Amount]]</f>
        <v>479.2</v>
      </c>
      <c r="V3677" s="77">
        <f>INDEX(Products!E:E,MATCH(OrdersTable[[#This Row],[Product ID]],Products!A:A,0))</f>
        <v>180</v>
      </c>
      <c r="W3677" s="77">
        <f>OrdersTable[[#This Row],[Quantity]]*OrdersTable[[#This Row],[Unit Cost]]</f>
        <v>180</v>
      </c>
      <c r="X3677" s="77">
        <f>'Dropdown Lists'!$I$2*(1+OrdersTable[[#This Row],[Returned]])</f>
        <v>60</v>
      </c>
      <c r="Y3677" s="76">
        <f>OrdersTable[[#This Row],[Net Revenue]]-OrdersTable[[#This Row],[COGS]]-OrdersTable[[#This Row],[Shipping Cost]]</f>
        <v>239.2</v>
      </c>
      <c r="Z3677" s="78">
        <f>IFERROR(OrdersTable[[#This Row],[Profit]]/OrdersTable[[#This Row],[Net Revenue]],0)</f>
        <v>0.4991652754590985</v>
      </c>
      <c r="AA3677" t="s">
        <v>2522</v>
      </c>
      <c r="AB3677" s="79">
        <v>45890</v>
      </c>
      <c r="AC3677">
        <f>OrdersTable[[#This Row],[Delivery Date]]-OrdersTable[[#This Row],[Order Date]]</f>
        <v>3</v>
      </c>
      <c r="AD3677" t="str">
        <f>IF(OrdersTable[[#This Row],[Delivery Days]]&lt;=2, "Express (≤2d)", IF(OrdersTable[[#This Row],[Delivery Days]]&lt;=4, "Standard (3-4d)", "Delayed (5d+)"))</f>
        <v>Standard (3-4d)</v>
      </c>
      <c r="AE3677">
        <v>4</v>
      </c>
      <c r="AF3677">
        <v>0</v>
      </c>
    </row>
    <row r="3678" spans="1:32" ht="15" x14ac:dyDescent="0.35">
      <c r="A3678" t="s">
        <v>2646</v>
      </c>
      <c r="B3678" s="1">
        <v>45887</v>
      </c>
      <c r="C3678">
        <f>YEAR(OrdersTable[[#This Row],[Order Date]])</f>
        <v>2025</v>
      </c>
      <c r="D3678" s="2">
        <f>DATE(YEAR(OrdersTable[[#This Row],[Order Date]]),MONTH(OrdersTable[[#This Row],[Order Date]]),1)</f>
        <v>45870</v>
      </c>
      <c r="E3678">
        <f>MONTH(OrdersTable[[#This Row],[Order Date]])</f>
        <v>8</v>
      </c>
      <c r="F3678" t="s">
        <v>889</v>
      </c>
      <c r="G3678" t="str">
        <f>IF(OrdersTable[[#This Row],[Order Date]]=_xlfn.MINIFS(Order_Date, Customer_ID, OrdersTable[[#This Row],[Customer ID]]), "New", "Repeat")</f>
        <v>Repeat</v>
      </c>
      <c r="H3678" t="s">
        <v>59</v>
      </c>
      <c r="I3678" t="str">
        <f>INDEX(State!B:B,MATCH(OrdersTable[[#This Row],[State]],State!A:A,0))</f>
        <v>TN</v>
      </c>
      <c r="J3678" t="str">
        <f>INDEX(State!C:C,MATCH(OrdersTable[[#This Row],[State Code]],State!B:B,0))</f>
        <v>South</v>
      </c>
      <c r="K3678" t="s">
        <v>64</v>
      </c>
      <c r="L3678" t="s">
        <v>16</v>
      </c>
      <c r="M3678" t="s">
        <v>29</v>
      </c>
      <c r="N3678" t="str">
        <f>INDEX(Products!B:B,MATCH(OrdersTable[[#This Row],[Product ID]],Products!A:A,0))</f>
        <v>Joggers</v>
      </c>
      <c r="O3678" t="str">
        <f>INDEX(Products!C:C,MATCH(OrdersTable[[#This Row],[Product ID]],Products!A:A,0))</f>
        <v>Apparel</v>
      </c>
      <c r="P3678">
        <v>1</v>
      </c>
      <c r="Q3678" s="5">
        <v>1199</v>
      </c>
      <c r="R3678" s="74">
        <v>0.15</v>
      </c>
      <c r="S3678" s="75">
        <f>OrdersTable[[#This Row],[Quantity]]*OrdersTable[[#This Row],[Unit Price]]</f>
        <v>1199</v>
      </c>
      <c r="T3678" s="5">
        <f>OrdersTable[[#This Row],[Gross Sale]]*OrdersTable[[#This Row],[Discount_Clean2]]</f>
        <v>179.85</v>
      </c>
      <c r="U3678" s="5">
        <f>OrdersTable[[#This Row],[Gross Sale]]-OrdersTable[[#This Row],[Discount Amount]]</f>
        <v>1019.15</v>
      </c>
      <c r="V3678" s="77">
        <f>INDEX(Products!E:E,MATCH(OrdersTable[[#This Row],[Product ID]],Products!A:A,0))</f>
        <v>492</v>
      </c>
      <c r="W3678" s="77">
        <f>OrdersTable[[#This Row],[Quantity]]*OrdersTable[[#This Row],[Unit Cost]]</f>
        <v>492</v>
      </c>
      <c r="X3678" s="77">
        <f>'Dropdown Lists'!$I$2*(1+OrdersTable[[#This Row],[Returned]])</f>
        <v>120</v>
      </c>
      <c r="Y3678" s="76">
        <f>OrdersTable[[#This Row],[Net Revenue]]-OrdersTable[[#This Row],[COGS]]-OrdersTable[[#This Row],[Shipping Cost]]</f>
        <v>407.15</v>
      </c>
      <c r="Z3678" s="78">
        <f>IFERROR(OrdersTable[[#This Row],[Profit]]/OrdersTable[[#This Row],[Net Revenue]],0)</f>
        <v>0.3994995829858215</v>
      </c>
      <c r="AA3678" t="s">
        <v>2522</v>
      </c>
      <c r="AB3678" s="79">
        <v>45888</v>
      </c>
      <c r="AC3678">
        <f>OrdersTable[[#This Row],[Delivery Date]]-OrdersTable[[#This Row],[Order Date]]</f>
        <v>1</v>
      </c>
      <c r="AD3678" t="str">
        <f>IF(OrdersTable[[#This Row],[Delivery Days]]&lt;=2, "Express (≤2d)", IF(OrdersTable[[#This Row],[Delivery Days]]&lt;=4, "Standard (3-4d)", "Delayed (5d+)"))</f>
        <v>Express (≤2d)</v>
      </c>
      <c r="AE3678">
        <v>5</v>
      </c>
      <c r="AF3678">
        <v>1</v>
      </c>
    </row>
    <row r="3679" spans="1:32" ht="15" x14ac:dyDescent="0.35">
      <c r="A3679" t="s">
        <v>2170</v>
      </c>
      <c r="B3679" s="1">
        <v>45888</v>
      </c>
      <c r="C3679">
        <f>YEAR(OrdersTable[[#This Row],[Order Date]])</f>
        <v>2025</v>
      </c>
      <c r="D3679" s="2">
        <f>DATE(YEAR(OrdersTable[[#This Row],[Order Date]]),MONTH(OrdersTable[[#This Row],[Order Date]]),1)</f>
        <v>45870</v>
      </c>
      <c r="E3679">
        <f>MONTH(OrdersTable[[#This Row],[Order Date]])</f>
        <v>8</v>
      </c>
      <c r="F3679" t="s">
        <v>2171</v>
      </c>
      <c r="G3679" t="str">
        <f>IF(OrdersTable[[#This Row],[Order Date]]=_xlfn.MINIFS(Order_Date, Customer_ID, OrdersTable[[#This Row],[Customer ID]]), "New", "Repeat")</f>
        <v>Repeat</v>
      </c>
      <c r="H3679" t="s">
        <v>37</v>
      </c>
      <c r="I3679" t="str">
        <f>INDEX(State!B:B,MATCH(OrdersTable[[#This Row],[State]],State!A:A,0))</f>
        <v>GJ</v>
      </c>
      <c r="J3679" t="str">
        <f>INDEX(State!C:C,MATCH(OrdersTable[[#This Row],[State Code]],State!B:B,0))</f>
        <v>West</v>
      </c>
      <c r="K3679" t="s">
        <v>38</v>
      </c>
      <c r="L3679" t="s">
        <v>65</v>
      </c>
      <c r="M3679" t="s">
        <v>40</v>
      </c>
      <c r="N3679" t="str">
        <f>INDEX(Products!B:B,MATCH(OrdersTable[[#This Row],[Product ID]],Products!A:A,0))</f>
        <v>Ashwagandha Capsules</v>
      </c>
      <c r="O3679" t="str">
        <f>INDEX(Products!C:C,MATCH(OrdersTable[[#This Row],[Product ID]],Products!A:A,0))</f>
        <v>Wellness</v>
      </c>
      <c r="P3679">
        <v>1</v>
      </c>
      <c r="Q3679" s="5">
        <v>499</v>
      </c>
      <c r="R3679" s="74">
        <v>0.05</v>
      </c>
      <c r="S3679" s="75">
        <f>OrdersTable[[#This Row],[Quantity]]*OrdersTable[[#This Row],[Unit Price]]</f>
        <v>499</v>
      </c>
      <c r="T3679" s="5">
        <f>OrdersTable[[#This Row],[Gross Sale]]*OrdersTable[[#This Row],[Discount_Clean2]]</f>
        <v>24.950000000000003</v>
      </c>
      <c r="U3679" s="5">
        <f>OrdersTable[[#This Row],[Gross Sale]]-OrdersTable[[#This Row],[Discount Amount]]</f>
        <v>474.05</v>
      </c>
      <c r="V3679" s="77">
        <f>INDEX(Products!E:E,MATCH(OrdersTable[[#This Row],[Product ID]],Products!A:A,0))</f>
        <v>150</v>
      </c>
      <c r="W3679" s="77">
        <f>OrdersTable[[#This Row],[Quantity]]*OrdersTable[[#This Row],[Unit Cost]]</f>
        <v>150</v>
      </c>
      <c r="X3679" s="77">
        <f>'Dropdown Lists'!$I$2*(1+OrdersTable[[#This Row],[Returned]])</f>
        <v>60</v>
      </c>
      <c r="Y3679" s="76">
        <f>OrdersTable[[#This Row],[Net Revenue]]-OrdersTable[[#This Row],[COGS]]-OrdersTable[[#This Row],[Shipping Cost]]</f>
        <v>264.05</v>
      </c>
      <c r="Z3679" s="78">
        <f>IFERROR(OrdersTable[[#This Row],[Profit]]/OrdersTable[[#This Row],[Net Revenue]],0)</f>
        <v>0.55700875435080688</v>
      </c>
      <c r="AA3679" t="s">
        <v>18</v>
      </c>
      <c r="AB3679" s="79">
        <v>45891</v>
      </c>
      <c r="AC3679">
        <f>OrdersTable[[#This Row],[Delivery Date]]-OrdersTable[[#This Row],[Order Date]]</f>
        <v>3</v>
      </c>
      <c r="AD3679" t="str">
        <f>IF(OrdersTable[[#This Row],[Delivery Days]]&lt;=2, "Express (≤2d)", IF(OrdersTable[[#This Row],[Delivery Days]]&lt;=4, "Standard (3-4d)", "Delayed (5d+)"))</f>
        <v>Standard (3-4d)</v>
      </c>
      <c r="AE3679">
        <v>3</v>
      </c>
      <c r="AF3679">
        <v>0</v>
      </c>
    </row>
    <row r="3680" spans="1:32" ht="15" x14ac:dyDescent="0.35">
      <c r="A3680" t="s">
        <v>2447</v>
      </c>
      <c r="B3680" s="1">
        <v>45888</v>
      </c>
      <c r="C3680">
        <f>YEAR(OrdersTable[[#This Row],[Order Date]])</f>
        <v>2025</v>
      </c>
      <c r="D3680" s="2">
        <f>DATE(YEAR(OrdersTable[[#This Row],[Order Date]]),MONTH(OrdersTable[[#This Row],[Order Date]]),1)</f>
        <v>45870</v>
      </c>
      <c r="E3680">
        <f>MONTH(OrdersTable[[#This Row],[Order Date]])</f>
        <v>8</v>
      </c>
      <c r="F3680" t="s">
        <v>1200</v>
      </c>
      <c r="G3680" t="str">
        <f>IF(OrdersTable[[#This Row],[Order Date]]=_xlfn.MINIFS(Order_Date, Customer_ID, OrdersTable[[#This Row],[Customer ID]]), "New", "Repeat")</f>
        <v>Repeat</v>
      </c>
      <c r="H3680" t="s">
        <v>43</v>
      </c>
      <c r="I3680" t="str">
        <f>INDEX(State!B:B,MATCH(OrdersTable[[#This Row],[State]],State!A:A,0))</f>
        <v>MP</v>
      </c>
      <c r="J3680" t="str">
        <f>INDEX(State!C:C,MATCH(OrdersTable[[#This Row],[State Code]],State!B:B,0))</f>
        <v>West</v>
      </c>
      <c r="K3680" t="s">
        <v>44</v>
      </c>
      <c r="L3680" t="s">
        <v>39</v>
      </c>
      <c r="M3680" t="s">
        <v>45</v>
      </c>
      <c r="N3680" t="str">
        <f>INDEX(Products!B:B,MATCH(OrdersTable[[#This Row],[Product ID]],Products!A:A,0))</f>
        <v>Argan Shampoo</v>
      </c>
      <c r="O3680" t="str">
        <f>INDEX(Products!C:C,MATCH(OrdersTable[[#This Row],[Product ID]],Products!A:A,0))</f>
        <v>Haircare</v>
      </c>
      <c r="P3680">
        <v>1</v>
      </c>
      <c r="Q3680" s="5">
        <v>449</v>
      </c>
      <c r="R3680" s="74">
        <v>0</v>
      </c>
      <c r="S3680" s="75">
        <f>OrdersTable[[#This Row],[Quantity]]*OrdersTable[[#This Row],[Unit Price]]</f>
        <v>449</v>
      </c>
      <c r="T3680" s="5">
        <f>OrdersTable[[#This Row],[Gross Sale]]*OrdersTable[[#This Row],[Discount_Clean2]]</f>
        <v>0</v>
      </c>
      <c r="U3680" s="5">
        <f>OrdersTable[[#This Row],[Gross Sale]]-OrdersTable[[#This Row],[Discount Amount]]</f>
        <v>449</v>
      </c>
      <c r="V3680" s="77">
        <f>INDEX(Products!E:E,MATCH(OrdersTable[[#This Row],[Product ID]],Products!A:A,0))</f>
        <v>148</v>
      </c>
      <c r="W3680" s="77">
        <f>OrdersTable[[#This Row],[Quantity]]*OrdersTable[[#This Row],[Unit Cost]]</f>
        <v>148</v>
      </c>
      <c r="X3680" s="77">
        <f>'Dropdown Lists'!$I$2*(1+OrdersTable[[#This Row],[Returned]])</f>
        <v>60</v>
      </c>
      <c r="Y3680" s="76">
        <f>OrdersTable[[#This Row],[Net Revenue]]-OrdersTable[[#This Row],[COGS]]-OrdersTable[[#This Row],[Shipping Cost]]</f>
        <v>241</v>
      </c>
      <c r="Z3680" s="78">
        <f>IFERROR(OrdersTable[[#This Row],[Profit]]/OrdersTable[[#This Row],[Net Revenue]],0)</f>
        <v>0.53674832962138086</v>
      </c>
      <c r="AA3680" t="s">
        <v>18</v>
      </c>
      <c r="AB3680" s="79">
        <v>45891</v>
      </c>
      <c r="AC3680">
        <f>OrdersTable[[#This Row],[Delivery Date]]-OrdersTable[[#This Row],[Order Date]]</f>
        <v>3</v>
      </c>
      <c r="AD3680" t="str">
        <f>IF(OrdersTable[[#This Row],[Delivery Days]]&lt;=2, "Express (≤2d)", IF(OrdersTable[[#This Row],[Delivery Days]]&lt;=4, "Standard (3-4d)", "Delayed (5d+)"))</f>
        <v>Standard (3-4d)</v>
      </c>
      <c r="AE3680">
        <v>5</v>
      </c>
      <c r="AF3680">
        <v>0</v>
      </c>
    </row>
    <row r="3681" spans="1:32" ht="15" x14ac:dyDescent="0.35">
      <c r="A3681" t="s">
        <v>1180</v>
      </c>
      <c r="B3681" s="1">
        <v>45888</v>
      </c>
      <c r="C3681">
        <f>YEAR(OrdersTable[[#This Row],[Order Date]])</f>
        <v>2025</v>
      </c>
      <c r="D3681" s="2">
        <f>DATE(YEAR(OrdersTable[[#This Row],[Order Date]]),MONTH(OrdersTable[[#This Row],[Order Date]]),1)</f>
        <v>45870</v>
      </c>
      <c r="E3681">
        <f>MONTH(OrdersTable[[#This Row],[Order Date]])</f>
        <v>8</v>
      </c>
      <c r="F3681" t="s">
        <v>1181</v>
      </c>
      <c r="G3681" t="str">
        <f>IF(OrdersTable[[#This Row],[Order Date]]=_xlfn.MINIFS(Order_Date, Customer_ID, OrdersTable[[#This Row],[Customer ID]]), "New", "Repeat")</f>
        <v>Repeat</v>
      </c>
      <c r="H3681" t="s">
        <v>71</v>
      </c>
      <c r="I3681" t="str">
        <f>INDEX(State!B:B,MATCH(OrdersTable[[#This Row],[State]],State!A:A,0))</f>
        <v>MH</v>
      </c>
      <c r="J3681" t="str">
        <f>INDEX(State!C:C,MATCH(OrdersTable[[#This Row],[State Code]],State!B:B,0))</f>
        <v>West</v>
      </c>
      <c r="K3681" t="s">
        <v>72</v>
      </c>
      <c r="L3681" t="s">
        <v>50</v>
      </c>
      <c r="M3681" t="s">
        <v>66</v>
      </c>
      <c r="N3681" t="str">
        <f>INDEX(Products!B:B,MATCH(OrdersTable[[#This Row],[Product ID]],Products!A:A,0))</f>
        <v>Sunscreen SPF 50</v>
      </c>
      <c r="O3681" t="str">
        <f>INDEX(Products!C:C,MATCH(OrdersTable[[#This Row],[Product ID]],Products!A:A,0))</f>
        <v>Skincare</v>
      </c>
      <c r="P3681">
        <v>1</v>
      </c>
      <c r="Q3681" s="5">
        <v>449</v>
      </c>
      <c r="R3681" s="74">
        <v>0</v>
      </c>
      <c r="S3681" s="75">
        <f>OrdersTable[[#This Row],[Quantity]]*OrdersTable[[#This Row],[Unit Price]]</f>
        <v>449</v>
      </c>
      <c r="T3681" s="5">
        <f>OrdersTable[[#This Row],[Gross Sale]]*OrdersTable[[#This Row],[Discount_Clean2]]</f>
        <v>0</v>
      </c>
      <c r="U3681" s="5">
        <f>OrdersTable[[#This Row],[Gross Sale]]-OrdersTable[[#This Row],[Discount Amount]]</f>
        <v>449</v>
      </c>
      <c r="V3681" s="77">
        <f>INDEX(Products!E:E,MATCH(OrdersTable[[#This Row],[Product ID]],Products!A:A,0))</f>
        <v>144</v>
      </c>
      <c r="W3681" s="77">
        <f>OrdersTable[[#This Row],[Quantity]]*OrdersTable[[#This Row],[Unit Cost]]</f>
        <v>144</v>
      </c>
      <c r="X3681" s="77">
        <f>'Dropdown Lists'!$I$2*(1+OrdersTable[[#This Row],[Returned]])</f>
        <v>60</v>
      </c>
      <c r="Y3681" s="76">
        <f>OrdersTable[[#This Row],[Net Revenue]]-OrdersTable[[#This Row],[COGS]]-OrdersTable[[#This Row],[Shipping Cost]]</f>
        <v>245</v>
      </c>
      <c r="Z3681" s="78">
        <f>IFERROR(OrdersTable[[#This Row],[Profit]]/OrdersTable[[#This Row],[Net Revenue]],0)</f>
        <v>0.54565701559020041</v>
      </c>
      <c r="AA3681" t="s">
        <v>18</v>
      </c>
      <c r="AB3681" s="79">
        <v>45891</v>
      </c>
      <c r="AC3681">
        <f>OrdersTable[[#This Row],[Delivery Date]]-OrdersTable[[#This Row],[Order Date]]</f>
        <v>3</v>
      </c>
      <c r="AD3681" t="str">
        <f>IF(OrdersTable[[#This Row],[Delivery Days]]&lt;=2, "Express (≤2d)", IF(OrdersTable[[#This Row],[Delivery Days]]&lt;=4, "Standard (3-4d)", "Delayed (5d+)"))</f>
        <v>Standard (3-4d)</v>
      </c>
      <c r="AF3681">
        <v>0</v>
      </c>
    </row>
    <row r="3682" spans="1:32" ht="15" x14ac:dyDescent="0.35">
      <c r="A3682" t="s">
        <v>3096</v>
      </c>
      <c r="B3682" s="1">
        <v>45888</v>
      </c>
      <c r="C3682">
        <f>YEAR(OrdersTable[[#This Row],[Order Date]])</f>
        <v>2025</v>
      </c>
      <c r="D3682" s="2">
        <f>DATE(YEAR(OrdersTable[[#This Row],[Order Date]]),MONTH(OrdersTable[[#This Row],[Order Date]]),1)</f>
        <v>45870</v>
      </c>
      <c r="E3682">
        <f>MONTH(OrdersTable[[#This Row],[Order Date]])</f>
        <v>8</v>
      </c>
      <c r="F3682" t="s">
        <v>3097</v>
      </c>
      <c r="G3682" t="str">
        <f>IF(OrdersTable[[#This Row],[Order Date]]=_xlfn.MINIFS(Order_Date, Customer_ID, OrdersTable[[#This Row],[Customer ID]]), "New", "Repeat")</f>
        <v>New</v>
      </c>
      <c r="H3682" t="s">
        <v>14</v>
      </c>
      <c r="I3682" t="str">
        <f>INDEX(State!B:B,MATCH(OrdersTable[[#This Row],[State]],State!A:A,0))</f>
        <v>OD</v>
      </c>
      <c r="J3682" t="str">
        <f>INDEX(State!C:C,MATCH(OrdersTable[[#This Row],[State Code]],State!B:B,0))</f>
        <v>East</v>
      </c>
      <c r="K3682" t="s">
        <v>15</v>
      </c>
      <c r="L3682" t="s">
        <v>65</v>
      </c>
      <c r="M3682" t="s">
        <v>125</v>
      </c>
      <c r="N3682" t="str">
        <f>INDEX(Products!B:B,MATCH(OrdersTable[[#This Row],[Product ID]],Products!A:A,0))</f>
        <v>Copper Water Bottle</v>
      </c>
      <c r="O3682" t="str">
        <f>INDEX(Products!C:C,MATCH(OrdersTable[[#This Row],[Product ID]],Products!A:A,0))</f>
        <v>Home &amp; Kitchen</v>
      </c>
      <c r="P3682">
        <v>1</v>
      </c>
      <c r="Q3682" s="5">
        <v>899</v>
      </c>
      <c r="R3682" s="74">
        <v>0.15</v>
      </c>
      <c r="S3682" s="75">
        <f>OrdersTable[[#This Row],[Quantity]]*OrdersTable[[#This Row],[Unit Price]]</f>
        <v>899</v>
      </c>
      <c r="T3682" s="5">
        <f>OrdersTable[[#This Row],[Gross Sale]]*OrdersTable[[#This Row],[Discount_Clean2]]</f>
        <v>134.85</v>
      </c>
      <c r="U3682" s="5">
        <f>OrdersTable[[#This Row],[Gross Sale]]-OrdersTable[[#This Row],[Discount Amount]]</f>
        <v>764.15</v>
      </c>
      <c r="V3682" s="77">
        <f>INDEX(Products!E:E,MATCH(OrdersTable[[#This Row],[Product ID]],Products!A:A,0))</f>
        <v>378</v>
      </c>
      <c r="W3682" s="77">
        <f>OrdersTable[[#This Row],[Quantity]]*OrdersTable[[#This Row],[Unit Cost]]</f>
        <v>378</v>
      </c>
      <c r="X3682" s="77">
        <f>'Dropdown Lists'!$I$2*(1+OrdersTable[[#This Row],[Returned]])</f>
        <v>60</v>
      </c>
      <c r="Y3682" s="76">
        <f>OrdersTable[[#This Row],[Net Revenue]]-OrdersTable[[#This Row],[COGS]]-OrdersTable[[#This Row],[Shipping Cost]]</f>
        <v>326.14999999999998</v>
      </c>
      <c r="Z3682" s="78">
        <f>IFERROR(OrdersTable[[#This Row],[Profit]]/OrdersTable[[#This Row],[Net Revenue]],0)</f>
        <v>0.42681410717791007</v>
      </c>
      <c r="AA3682" t="s">
        <v>2522</v>
      </c>
      <c r="AB3682" s="79">
        <v>45892</v>
      </c>
      <c r="AC3682">
        <f>OrdersTable[[#This Row],[Delivery Date]]-OrdersTable[[#This Row],[Order Date]]</f>
        <v>4</v>
      </c>
      <c r="AD3682" t="str">
        <f>IF(OrdersTable[[#This Row],[Delivery Days]]&lt;=2, "Express (≤2d)", IF(OrdersTable[[#This Row],[Delivery Days]]&lt;=4, "Standard (3-4d)", "Delayed (5d+)"))</f>
        <v>Standard (3-4d)</v>
      </c>
      <c r="AF3682">
        <v>0</v>
      </c>
    </row>
    <row r="3683" spans="1:32" ht="15" x14ac:dyDescent="0.35">
      <c r="A3683" t="s">
        <v>5221</v>
      </c>
      <c r="B3683" s="1">
        <v>45888</v>
      </c>
      <c r="C3683">
        <f>YEAR(OrdersTable[[#This Row],[Order Date]])</f>
        <v>2025</v>
      </c>
      <c r="D3683" s="2">
        <f>DATE(YEAR(OrdersTable[[#This Row],[Order Date]]),MONTH(OrdersTable[[#This Row],[Order Date]]),1)</f>
        <v>45870</v>
      </c>
      <c r="E3683">
        <f>MONTH(OrdersTable[[#This Row],[Order Date]])</f>
        <v>8</v>
      </c>
      <c r="F3683" t="s">
        <v>4602</v>
      </c>
      <c r="G3683" t="str">
        <f>IF(OrdersTable[[#This Row],[Order Date]]=_xlfn.MINIFS(Order_Date, Customer_ID, OrdersTable[[#This Row],[Customer ID]]), "New", "Repeat")</f>
        <v>Repeat</v>
      </c>
      <c r="H3683" t="s">
        <v>316</v>
      </c>
      <c r="I3683" t="str">
        <f>INDEX(State!B:B,MATCH(OrdersTable[[#This Row],[State]],State!A:A,0))</f>
        <v>KL</v>
      </c>
      <c r="J3683" t="str">
        <f>INDEX(State!C:C,MATCH(OrdersTable[[#This Row],[State Code]],State!B:B,0))</f>
        <v>South</v>
      </c>
      <c r="K3683" t="s">
        <v>338</v>
      </c>
      <c r="L3683" t="s">
        <v>39</v>
      </c>
      <c r="M3683" t="s">
        <v>152</v>
      </c>
      <c r="N3683" t="str">
        <f>INDEX(Products!B:B,MATCH(OrdersTable[[#This Row],[Product ID]],Products!A:A,0))</f>
        <v>Green Tea (100 bags)</v>
      </c>
      <c r="O3683" t="str">
        <f>INDEX(Products!C:C,MATCH(OrdersTable[[#This Row],[Product ID]],Products!A:A,0))</f>
        <v>Wellness</v>
      </c>
      <c r="P3683">
        <v>2</v>
      </c>
      <c r="Q3683" s="5">
        <v>399</v>
      </c>
      <c r="R3683" s="74">
        <v>0.35</v>
      </c>
      <c r="S3683" s="75">
        <f>OrdersTable[[#This Row],[Quantity]]*OrdersTable[[#This Row],[Unit Price]]</f>
        <v>798</v>
      </c>
      <c r="T3683" s="5">
        <f>OrdersTable[[#This Row],[Gross Sale]]*OrdersTable[[#This Row],[Discount_Clean2]]</f>
        <v>279.29999999999995</v>
      </c>
      <c r="U3683" s="5">
        <f>OrdersTable[[#This Row],[Gross Sale]]-OrdersTable[[#This Row],[Discount Amount]]</f>
        <v>518.70000000000005</v>
      </c>
      <c r="V3683" s="77">
        <f>INDEX(Products!E:E,MATCH(OrdersTable[[#This Row],[Product ID]],Products!A:A,0))</f>
        <v>128</v>
      </c>
      <c r="W3683" s="77">
        <f>OrdersTable[[#This Row],[Quantity]]*OrdersTable[[#This Row],[Unit Cost]]</f>
        <v>256</v>
      </c>
      <c r="X3683" s="77">
        <f>'Dropdown Lists'!$I$2*(1+OrdersTable[[#This Row],[Returned]])</f>
        <v>60</v>
      </c>
      <c r="Y3683" s="76">
        <f>OrdersTable[[#This Row],[Net Revenue]]-OrdersTable[[#This Row],[COGS]]-OrdersTable[[#This Row],[Shipping Cost]]</f>
        <v>202.70000000000005</v>
      </c>
      <c r="Z3683" s="78">
        <f>IFERROR(OrdersTable[[#This Row],[Profit]]/OrdersTable[[#This Row],[Net Revenue]],0)</f>
        <v>0.39078465394254874</v>
      </c>
      <c r="AA3683" t="s">
        <v>3495</v>
      </c>
      <c r="AB3683" s="79">
        <v>45894</v>
      </c>
      <c r="AC3683">
        <f>OrdersTable[[#This Row],[Delivery Date]]-OrdersTable[[#This Row],[Order Date]]</f>
        <v>6</v>
      </c>
      <c r="AD3683" t="str">
        <f>IF(OrdersTable[[#This Row],[Delivery Days]]&lt;=2, "Express (≤2d)", IF(OrdersTable[[#This Row],[Delivery Days]]&lt;=4, "Standard (3-4d)", "Delayed (5d+)"))</f>
        <v>Delayed (5d+)</v>
      </c>
      <c r="AE3683">
        <v>4</v>
      </c>
      <c r="AF3683">
        <v>0</v>
      </c>
    </row>
    <row r="3684" spans="1:32" ht="15" x14ac:dyDescent="0.35">
      <c r="A3684" t="s">
        <v>649</v>
      </c>
      <c r="B3684" s="1">
        <v>45889</v>
      </c>
      <c r="C3684">
        <f>YEAR(OrdersTable[[#This Row],[Order Date]])</f>
        <v>2025</v>
      </c>
      <c r="D3684" s="2">
        <f>DATE(YEAR(OrdersTable[[#This Row],[Order Date]]),MONTH(OrdersTable[[#This Row],[Order Date]]),1)</f>
        <v>45870</v>
      </c>
      <c r="E3684">
        <f>MONTH(OrdersTable[[#This Row],[Order Date]])</f>
        <v>8</v>
      </c>
      <c r="F3684" t="s">
        <v>650</v>
      </c>
      <c r="G3684" t="str">
        <f>IF(OrdersTable[[#This Row],[Order Date]]=_xlfn.MINIFS(Order_Date, Customer_ID, OrdersTable[[#This Row],[Customer ID]]), "New", "Repeat")</f>
        <v>Repeat</v>
      </c>
      <c r="H3684" t="s">
        <v>210</v>
      </c>
      <c r="I3684" t="str">
        <f>INDEX(State!B:B,MATCH(OrdersTable[[#This Row],[State]],State!A:A,0))</f>
        <v>JK</v>
      </c>
      <c r="J3684" t="str">
        <f>INDEX(State!C:C,MATCH(OrdersTable[[#This Row],[State Code]],State!B:B,0))</f>
        <v>North</v>
      </c>
      <c r="K3684" t="s">
        <v>211</v>
      </c>
      <c r="L3684" t="s">
        <v>39</v>
      </c>
      <c r="M3684" t="s">
        <v>109</v>
      </c>
      <c r="N3684" t="str">
        <f>INDEX(Products!B:B,MATCH(OrdersTable[[#This Row],[Product ID]],Products!A:A,0))</f>
        <v>Onion Hair Oil</v>
      </c>
      <c r="O3684" t="str">
        <f>INDEX(Products!C:C,MATCH(OrdersTable[[#This Row],[Product ID]],Products!A:A,0))</f>
        <v>Haircare</v>
      </c>
      <c r="P3684">
        <v>1</v>
      </c>
      <c r="Q3684" s="5">
        <v>349</v>
      </c>
      <c r="R3684" s="74">
        <v>0.25</v>
      </c>
      <c r="S3684" s="75">
        <f>OrdersTable[[#This Row],[Quantity]]*OrdersTable[[#This Row],[Unit Price]]</f>
        <v>349</v>
      </c>
      <c r="T3684" s="5">
        <f>OrdersTable[[#This Row],[Gross Sale]]*OrdersTable[[#This Row],[Discount_Clean2]]</f>
        <v>87.25</v>
      </c>
      <c r="U3684" s="5">
        <f>OrdersTable[[#This Row],[Gross Sale]]-OrdersTable[[#This Row],[Discount Amount]]</f>
        <v>261.75</v>
      </c>
      <c r="V3684" s="77">
        <f>INDEX(Products!E:E,MATCH(OrdersTable[[#This Row],[Product ID]],Products!A:A,0))</f>
        <v>105</v>
      </c>
      <c r="W3684" s="77">
        <f>OrdersTable[[#This Row],[Quantity]]*OrdersTable[[#This Row],[Unit Cost]]</f>
        <v>105</v>
      </c>
      <c r="X3684" s="77">
        <f>'Dropdown Lists'!$I$2*(1+OrdersTable[[#This Row],[Returned]])</f>
        <v>60</v>
      </c>
      <c r="Y3684" s="76">
        <f>OrdersTable[[#This Row],[Net Revenue]]-OrdersTable[[#This Row],[COGS]]-OrdersTable[[#This Row],[Shipping Cost]]</f>
        <v>96.75</v>
      </c>
      <c r="Z3684" s="78">
        <f>IFERROR(OrdersTable[[#This Row],[Profit]]/OrdersTable[[#This Row],[Net Revenue]],0)</f>
        <v>0.36962750716332377</v>
      </c>
      <c r="AA3684" t="s">
        <v>18</v>
      </c>
      <c r="AB3684" s="79">
        <v>45895</v>
      </c>
      <c r="AC3684">
        <f>OrdersTable[[#This Row],[Delivery Date]]-OrdersTable[[#This Row],[Order Date]]</f>
        <v>6</v>
      </c>
      <c r="AD3684" t="str">
        <f>IF(OrdersTable[[#This Row],[Delivery Days]]&lt;=2, "Express (≤2d)", IF(OrdersTable[[#This Row],[Delivery Days]]&lt;=4, "Standard (3-4d)", "Delayed (5d+)"))</f>
        <v>Delayed (5d+)</v>
      </c>
      <c r="AE3684">
        <v>4</v>
      </c>
      <c r="AF3684">
        <v>0</v>
      </c>
    </row>
    <row r="3685" spans="1:32" ht="15" x14ac:dyDescent="0.35">
      <c r="A3685" t="s">
        <v>5719</v>
      </c>
      <c r="B3685" s="1">
        <v>45889</v>
      </c>
      <c r="C3685">
        <f>YEAR(OrdersTable[[#This Row],[Order Date]])</f>
        <v>2025</v>
      </c>
      <c r="D3685" s="2">
        <f>DATE(YEAR(OrdersTable[[#This Row],[Order Date]]),MONTH(OrdersTable[[#This Row],[Order Date]]),1)</f>
        <v>45870</v>
      </c>
      <c r="E3685">
        <f>MONTH(OrdersTable[[#This Row],[Order Date]])</f>
        <v>8</v>
      </c>
      <c r="F3685" t="s">
        <v>2887</v>
      </c>
      <c r="G3685" t="str">
        <f>IF(OrdersTable[[#This Row],[Order Date]]=_xlfn.MINIFS(Order_Date, Customer_ID, OrdersTable[[#This Row],[Customer ID]]), "New", "Repeat")</f>
        <v>Repeat</v>
      </c>
      <c r="H3685" t="s">
        <v>128</v>
      </c>
      <c r="I3685" t="str">
        <f>INDEX(State!B:B,MATCH(OrdersTable[[#This Row],[State]],State!A:A,0))</f>
        <v>DL</v>
      </c>
      <c r="J3685" t="str">
        <f>INDEX(State!C:C,MATCH(OrdersTable[[#This Row],[State Code]],State!B:B,0))</f>
        <v>North</v>
      </c>
      <c r="K3685" t="s">
        <v>129</v>
      </c>
      <c r="L3685" t="s">
        <v>65</v>
      </c>
      <c r="M3685" t="s">
        <v>87</v>
      </c>
      <c r="N3685" t="str">
        <f>INDEX(Products!B:B,MATCH(OrdersTable[[#This Row],[Product ID]],Products!A:A,0))</f>
        <v>Linen Kurta</v>
      </c>
      <c r="O3685" t="str">
        <f>INDEX(Products!C:C,MATCH(OrdersTable[[#This Row],[Product ID]],Products!A:A,0))</f>
        <v>Apparel</v>
      </c>
      <c r="P3685">
        <v>2</v>
      </c>
      <c r="Q3685" s="5">
        <v>1499</v>
      </c>
      <c r="R3685" s="74">
        <v>0.4</v>
      </c>
      <c r="S3685" s="75">
        <f>OrdersTable[[#This Row],[Quantity]]*OrdersTable[[#This Row],[Unit Price]]</f>
        <v>2998</v>
      </c>
      <c r="T3685" s="5">
        <f>OrdersTable[[#This Row],[Gross Sale]]*OrdersTable[[#This Row],[Discount_Clean2]]</f>
        <v>1199.2</v>
      </c>
      <c r="U3685" s="5">
        <f>OrdersTable[[#This Row],[Gross Sale]]-OrdersTable[[#This Row],[Discount Amount]]</f>
        <v>1798.8</v>
      </c>
      <c r="V3685" s="77">
        <f>INDEX(Products!E:E,MATCH(OrdersTable[[#This Row],[Product ID]],Products!A:A,0))</f>
        <v>630</v>
      </c>
      <c r="W3685" s="77">
        <f>OrdersTable[[#This Row],[Quantity]]*OrdersTable[[#This Row],[Unit Cost]]</f>
        <v>1260</v>
      </c>
      <c r="X3685" s="77">
        <f>'Dropdown Lists'!$I$2*(1+OrdersTable[[#This Row],[Returned]])</f>
        <v>60</v>
      </c>
      <c r="Y3685" s="76">
        <f>OrdersTable[[#This Row],[Net Revenue]]-OrdersTable[[#This Row],[COGS]]-OrdersTable[[#This Row],[Shipping Cost]]</f>
        <v>478.79999999999995</v>
      </c>
      <c r="Z3685" s="78">
        <f>IFERROR(OrdersTable[[#This Row],[Profit]]/OrdersTable[[#This Row],[Net Revenue]],0)</f>
        <v>0.26617745163442291</v>
      </c>
      <c r="AA3685" t="s">
        <v>18</v>
      </c>
      <c r="AB3685" s="79">
        <v>45892</v>
      </c>
      <c r="AC3685">
        <f>OrdersTable[[#This Row],[Delivery Date]]-OrdersTable[[#This Row],[Order Date]]</f>
        <v>3</v>
      </c>
      <c r="AD3685" t="str">
        <f>IF(OrdersTable[[#This Row],[Delivery Days]]&lt;=2, "Express (≤2d)", IF(OrdersTable[[#This Row],[Delivery Days]]&lt;=4, "Standard (3-4d)", "Delayed (5d+)"))</f>
        <v>Standard (3-4d)</v>
      </c>
      <c r="AE3685">
        <v>3</v>
      </c>
      <c r="AF3685">
        <v>0</v>
      </c>
    </row>
    <row r="3686" spans="1:32" ht="15" x14ac:dyDescent="0.35">
      <c r="A3686" t="s">
        <v>6393</v>
      </c>
      <c r="B3686" s="1">
        <v>45889</v>
      </c>
      <c r="C3686">
        <f>YEAR(OrdersTable[[#This Row],[Order Date]])</f>
        <v>2025</v>
      </c>
      <c r="D3686" s="2">
        <f>DATE(YEAR(OrdersTable[[#This Row],[Order Date]]),MONTH(OrdersTable[[#This Row],[Order Date]]),1)</f>
        <v>45870</v>
      </c>
      <c r="E3686">
        <f>MONTH(OrdersTable[[#This Row],[Order Date]])</f>
        <v>8</v>
      </c>
      <c r="F3686" t="s">
        <v>2304</v>
      </c>
      <c r="G3686" t="str">
        <f>IF(OrdersTable[[#This Row],[Order Date]]=_xlfn.MINIFS(Order_Date, Customer_ID, OrdersTable[[#This Row],[Customer ID]]), "New", "Repeat")</f>
        <v>Repeat</v>
      </c>
      <c r="H3686" t="s">
        <v>76</v>
      </c>
      <c r="I3686" t="str">
        <f>INDEX(State!B:B,MATCH(OrdersTable[[#This Row],[State]],State!A:A,0))</f>
        <v>UP</v>
      </c>
      <c r="J3686" t="str">
        <f>INDEX(State!C:C,MATCH(OrdersTable[[#This Row],[State Code]],State!B:B,0))</f>
        <v>North</v>
      </c>
      <c r="K3686" t="s">
        <v>118</v>
      </c>
      <c r="L3686" t="s">
        <v>39</v>
      </c>
      <c r="M3686" t="s">
        <v>34</v>
      </c>
      <c r="N3686" t="str">
        <f>INDEX(Products!B:B,MATCH(OrdersTable[[#This Row],[Product ID]],Products!A:A,0))</f>
        <v>Flip Flops</v>
      </c>
      <c r="O3686" t="str">
        <f>INDEX(Products!C:C,MATCH(OrdersTable[[#This Row],[Product ID]],Products!A:A,0))</f>
        <v>Footwear</v>
      </c>
      <c r="P3686">
        <v>2</v>
      </c>
      <c r="Q3686" s="5">
        <v>399</v>
      </c>
      <c r="R3686" s="74">
        <v>0.15</v>
      </c>
      <c r="S3686" s="75">
        <f>OrdersTable[[#This Row],[Quantity]]*OrdersTable[[#This Row],[Unit Price]]</f>
        <v>798</v>
      </c>
      <c r="T3686" s="5">
        <f>OrdersTable[[#This Row],[Gross Sale]]*OrdersTable[[#This Row],[Discount_Clean2]]</f>
        <v>119.69999999999999</v>
      </c>
      <c r="U3686" s="5">
        <f>OrdersTable[[#This Row],[Gross Sale]]-OrdersTable[[#This Row],[Discount Amount]]</f>
        <v>678.3</v>
      </c>
      <c r="V3686" s="77">
        <f>INDEX(Products!E:E,MATCH(OrdersTable[[#This Row],[Product ID]],Products!A:A,0))</f>
        <v>152</v>
      </c>
      <c r="W3686" s="77">
        <f>OrdersTable[[#This Row],[Quantity]]*OrdersTable[[#This Row],[Unit Cost]]</f>
        <v>304</v>
      </c>
      <c r="X3686" s="77">
        <f>'Dropdown Lists'!$I$2*(1+OrdersTable[[#This Row],[Returned]])</f>
        <v>60</v>
      </c>
      <c r="Y3686" s="76">
        <f>OrdersTable[[#This Row],[Net Revenue]]-OrdersTable[[#This Row],[COGS]]-OrdersTable[[#This Row],[Shipping Cost]]</f>
        <v>314.29999999999995</v>
      </c>
      <c r="Z3686" s="78">
        <f>IFERROR(OrdersTable[[#This Row],[Profit]]/OrdersTable[[#This Row],[Net Revenue]],0)</f>
        <v>0.4633642930856553</v>
      </c>
      <c r="AA3686" t="s">
        <v>18</v>
      </c>
      <c r="AB3686" s="79">
        <v>45893</v>
      </c>
      <c r="AC3686">
        <f>OrdersTable[[#This Row],[Delivery Date]]-OrdersTable[[#This Row],[Order Date]]</f>
        <v>4</v>
      </c>
      <c r="AD3686" t="str">
        <f>IF(OrdersTable[[#This Row],[Delivery Days]]&lt;=2, "Express (≤2d)", IF(OrdersTable[[#This Row],[Delivery Days]]&lt;=4, "Standard (3-4d)", "Delayed (5d+)"))</f>
        <v>Standard (3-4d)</v>
      </c>
      <c r="AE3686">
        <v>3</v>
      </c>
      <c r="AF3686">
        <v>0</v>
      </c>
    </row>
    <row r="3687" spans="1:32" ht="15" x14ac:dyDescent="0.35">
      <c r="A3687" t="s">
        <v>1006</v>
      </c>
      <c r="B3687" s="1">
        <v>45889</v>
      </c>
      <c r="C3687">
        <f>YEAR(OrdersTable[[#This Row],[Order Date]])</f>
        <v>2025</v>
      </c>
      <c r="D3687" s="2">
        <f>DATE(YEAR(OrdersTable[[#This Row],[Order Date]]),MONTH(OrdersTable[[#This Row],[Order Date]]),1)</f>
        <v>45870</v>
      </c>
      <c r="E3687">
        <f>MONTH(OrdersTable[[#This Row],[Order Date]])</f>
        <v>8</v>
      </c>
      <c r="F3687" t="s">
        <v>1007</v>
      </c>
      <c r="G3687" t="str">
        <f>IF(OrdersTable[[#This Row],[Order Date]]=_xlfn.MINIFS(Order_Date, Customer_ID, OrdersTable[[#This Row],[Customer ID]]), "New", "Repeat")</f>
        <v>Repeat</v>
      </c>
      <c r="H3687" t="s">
        <v>37</v>
      </c>
      <c r="I3687" t="str">
        <f>INDEX(State!B:B,MATCH(OrdersTable[[#This Row],[State]],State!A:A,0))</f>
        <v>GJ</v>
      </c>
      <c r="J3687" t="str">
        <f>INDEX(State!C:C,MATCH(OrdersTable[[#This Row],[State Code]],State!B:B,0))</f>
        <v>West</v>
      </c>
      <c r="K3687" t="s">
        <v>247</v>
      </c>
      <c r="L3687" t="s">
        <v>65</v>
      </c>
      <c r="M3687" t="s">
        <v>17</v>
      </c>
      <c r="N3687" t="str">
        <f>INDEX(Products!B:B,MATCH(OrdersTable[[#This Row],[Product ID]],Products!A:A,0))</f>
        <v>Casual Sneakers</v>
      </c>
      <c r="O3687" t="str">
        <f>INDEX(Products!C:C,MATCH(OrdersTable[[#This Row],[Product ID]],Products!A:A,0))</f>
        <v>Footwear</v>
      </c>
      <c r="P3687">
        <v>1</v>
      </c>
      <c r="Q3687" s="5">
        <v>2199</v>
      </c>
      <c r="R3687" s="74">
        <v>0.3</v>
      </c>
      <c r="S3687" s="75">
        <f>OrdersTable[[#This Row],[Quantity]]*OrdersTable[[#This Row],[Unit Price]]</f>
        <v>2199</v>
      </c>
      <c r="T3687" s="5">
        <f>OrdersTable[[#This Row],[Gross Sale]]*OrdersTable[[#This Row],[Discount_Clean2]]</f>
        <v>659.69999999999993</v>
      </c>
      <c r="U3687" s="5">
        <f>OrdersTable[[#This Row],[Gross Sale]]-OrdersTable[[#This Row],[Discount Amount]]</f>
        <v>1539.3000000000002</v>
      </c>
      <c r="V3687" s="77">
        <f>INDEX(Products!E:E,MATCH(OrdersTable[[#This Row],[Product ID]],Products!A:A,0))</f>
        <v>1034</v>
      </c>
      <c r="W3687" s="77">
        <f>OrdersTable[[#This Row],[Quantity]]*OrdersTable[[#This Row],[Unit Cost]]</f>
        <v>1034</v>
      </c>
      <c r="X3687" s="77">
        <f>'Dropdown Lists'!$I$2*(1+OrdersTable[[#This Row],[Returned]])</f>
        <v>60</v>
      </c>
      <c r="Y3687" s="76">
        <f>OrdersTable[[#This Row],[Net Revenue]]-OrdersTable[[#This Row],[COGS]]-OrdersTable[[#This Row],[Shipping Cost]]</f>
        <v>445.30000000000018</v>
      </c>
      <c r="Z3687" s="78">
        <f>IFERROR(OrdersTable[[#This Row],[Profit]]/OrdersTable[[#This Row],[Net Revenue]],0)</f>
        <v>0.28928733840057175</v>
      </c>
      <c r="AA3687" t="s">
        <v>18</v>
      </c>
      <c r="AB3687" s="79">
        <v>45892</v>
      </c>
      <c r="AC3687">
        <f>OrdersTable[[#This Row],[Delivery Date]]-OrdersTable[[#This Row],[Order Date]]</f>
        <v>3</v>
      </c>
      <c r="AD3687" t="str">
        <f>IF(OrdersTable[[#This Row],[Delivery Days]]&lt;=2, "Express (≤2d)", IF(OrdersTable[[#This Row],[Delivery Days]]&lt;=4, "Standard (3-4d)", "Delayed (5d+)"))</f>
        <v>Standard (3-4d)</v>
      </c>
      <c r="AE3687">
        <v>4</v>
      </c>
      <c r="AF3687">
        <v>0</v>
      </c>
    </row>
    <row r="3688" spans="1:32" ht="15" x14ac:dyDescent="0.35">
      <c r="A3688" t="s">
        <v>3925</v>
      </c>
      <c r="B3688" s="1">
        <v>45889</v>
      </c>
      <c r="C3688">
        <f>YEAR(OrdersTable[[#This Row],[Order Date]])</f>
        <v>2025</v>
      </c>
      <c r="D3688" s="2">
        <f>DATE(YEAR(OrdersTable[[#This Row],[Order Date]]),MONTH(OrdersTable[[#This Row],[Order Date]]),1)</f>
        <v>45870</v>
      </c>
      <c r="E3688">
        <f>MONTH(OrdersTable[[#This Row],[Order Date]])</f>
        <v>8</v>
      </c>
      <c r="F3688" t="s">
        <v>481</v>
      </c>
      <c r="G3688" t="str">
        <f>IF(OrdersTable[[#This Row],[Order Date]]=_xlfn.MINIFS(Order_Date, Customer_ID, OrdersTable[[#This Row],[Customer ID]]), "New", "Repeat")</f>
        <v>Repeat</v>
      </c>
      <c r="H3688" t="s">
        <v>43</v>
      </c>
      <c r="I3688" t="str">
        <f>INDEX(State!B:B,MATCH(OrdersTable[[#This Row],[State]],State!A:A,0))</f>
        <v>MP</v>
      </c>
      <c r="J3688" t="str">
        <f>INDEX(State!C:C,MATCH(OrdersTable[[#This Row],[State Code]],State!B:B,0))</f>
        <v>West</v>
      </c>
      <c r="K3688" t="s">
        <v>250</v>
      </c>
      <c r="L3688" t="s">
        <v>65</v>
      </c>
      <c r="M3688" t="s">
        <v>92</v>
      </c>
      <c r="N3688" t="str">
        <f>INDEX(Products!B:B,MATCH(OrdersTable[[#This Row],[Product ID]],Products!A:A,0))</f>
        <v>Kolhapuri Sandals</v>
      </c>
      <c r="O3688" t="str">
        <f>INDEX(Products!C:C,MATCH(OrdersTable[[#This Row],[Product ID]],Products!A:A,0))</f>
        <v>Footwear</v>
      </c>
      <c r="P3688">
        <v>1</v>
      </c>
      <c r="Q3688" s="5">
        <v>999</v>
      </c>
      <c r="R3688" s="74">
        <v>0</v>
      </c>
      <c r="S3688" s="75">
        <f>OrdersTable[[#This Row],[Quantity]]*OrdersTable[[#This Row],[Unit Price]]</f>
        <v>999</v>
      </c>
      <c r="T3688" s="5">
        <f>OrdersTable[[#This Row],[Gross Sale]]*OrdersTable[[#This Row],[Discount_Clean2]]</f>
        <v>0</v>
      </c>
      <c r="U3688" s="5">
        <f>OrdersTable[[#This Row],[Gross Sale]]-OrdersTable[[#This Row],[Discount Amount]]</f>
        <v>999</v>
      </c>
      <c r="V3688" s="77">
        <f>INDEX(Products!E:E,MATCH(OrdersTable[[#This Row],[Product ID]],Products!A:A,0))</f>
        <v>400</v>
      </c>
      <c r="W3688" s="77">
        <f>OrdersTable[[#This Row],[Quantity]]*OrdersTable[[#This Row],[Unit Cost]]</f>
        <v>400</v>
      </c>
      <c r="X3688" s="77">
        <f>'Dropdown Lists'!$I$2*(1+OrdersTable[[#This Row],[Returned]])</f>
        <v>60</v>
      </c>
      <c r="Y3688" s="76">
        <f>OrdersTable[[#This Row],[Net Revenue]]-OrdersTable[[#This Row],[COGS]]-OrdersTable[[#This Row],[Shipping Cost]]</f>
        <v>539</v>
      </c>
      <c r="Z3688" s="78">
        <f>IFERROR(OrdersTable[[#This Row],[Profit]]/OrdersTable[[#This Row],[Net Revenue]],0)</f>
        <v>0.53953953953953959</v>
      </c>
      <c r="AA3688" t="s">
        <v>3495</v>
      </c>
      <c r="AB3688" s="79">
        <v>45895</v>
      </c>
      <c r="AC3688">
        <f>OrdersTable[[#This Row],[Delivery Date]]-OrdersTable[[#This Row],[Order Date]]</f>
        <v>6</v>
      </c>
      <c r="AD3688" t="str">
        <f>IF(OrdersTable[[#This Row],[Delivery Days]]&lt;=2, "Express (≤2d)", IF(OrdersTable[[#This Row],[Delivery Days]]&lt;=4, "Standard (3-4d)", "Delayed (5d+)"))</f>
        <v>Delayed (5d+)</v>
      </c>
      <c r="AE3688">
        <v>3</v>
      </c>
      <c r="AF3688">
        <v>0</v>
      </c>
    </row>
    <row r="3689" spans="1:32" ht="15" x14ac:dyDescent="0.35">
      <c r="A3689" t="s">
        <v>2448</v>
      </c>
      <c r="B3689" s="1">
        <v>45889</v>
      </c>
      <c r="C3689">
        <f>YEAR(OrdersTable[[#This Row],[Order Date]])</f>
        <v>2025</v>
      </c>
      <c r="D3689" s="2">
        <f>DATE(YEAR(OrdersTable[[#This Row],[Order Date]]),MONTH(OrdersTable[[#This Row],[Order Date]]),1)</f>
        <v>45870</v>
      </c>
      <c r="E3689">
        <f>MONTH(OrdersTable[[#This Row],[Order Date]])</f>
        <v>8</v>
      </c>
      <c r="F3689" t="s">
        <v>2248</v>
      </c>
      <c r="G3689" t="str">
        <f>IF(OrdersTable[[#This Row],[Order Date]]=_xlfn.MINIFS(Order_Date, Customer_ID, OrdersTable[[#This Row],[Customer ID]]), "New", "Repeat")</f>
        <v>Repeat</v>
      </c>
      <c r="H3689" t="s">
        <v>482</v>
      </c>
      <c r="I3689" t="str">
        <f>INDEX(State!B:B,MATCH(OrdersTable[[#This Row],[State]],State!A:A,0))</f>
        <v>CG</v>
      </c>
      <c r="J3689" t="str">
        <f>INDEX(State!C:C,MATCH(OrdersTable[[#This Row],[State Code]],State!B:B,0))</f>
        <v>East</v>
      </c>
      <c r="K3689" t="s">
        <v>483</v>
      </c>
      <c r="L3689" t="s">
        <v>65</v>
      </c>
      <c r="M3689" t="s">
        <v>109</v>
      </c>
      <c r="N3689" t="str">
        <f>INDEX(Products!B:B,MATCH(OrdersTable[[#This Row],[Product ID]],Products!A:A,0))</f>
        <v>Onion Hair Oil</v>
      </c>
      <c r="O3689" t="str">
        <f>INDEX(Products!C:C,MATCH(OrdersTable[[#This Row],[Product ID]],Products!A:A,0))</f>
        <v>Haircare</v>
      </c>
      <c r="P3689">
        <v>1</v>
      </c>
      <c r="Q3689" s="5">
        <v>349</v>
      </c>
      <c r="R3689" s="74">
        <v>0.25</v>
      </c>
      <c r="S3689" s="75">
        <f>OrdersTable[[#This Row],[Quantity]]*OrdersTable[[#This Row],[Unit Price]]</f>
        <v>349</v>
      </c>
      <c r="T3689" s="5">
        <f>OrdersTable[[#This Row],[Gross Sale]]*OrdersTable[[#This Row],[Discount_Clean2]]</f>
        <v>87.25</v>
      </c>
      <c r="U3689" s="5">
        <f>OrdersTable[[#This Row],[Gross Sale]]-OrdersTable[[#This Row],[Discount Amount]]</f>
        <v>261.75</v>
      </c>
      <c r="V3689" s="77">
        <f>INDEX(Products!E:E,MATCH(OrdersTable[[#This Row],[Product ID]],Products!A:A,0))</f>
        <v>105</v>
      </c>
      <c r="W3689" s="77">
        <f>OrdersTable[[#This Row],[Quantity]]*OrdersTable[[#This Row],[Unit Cost]]</f>
        <v>105</v>
      </c>
      <c r="X3689" s="77">
        <f>'Dropdown Lists'!$I$2*(1+OrdersTable[[#This Row],[Returned]])</f>
        <v>60</v>
      </c>
      <c r="Y3689" s="76">
        <f>OrdersTable[[#This Row],[Net Revenue]]-OrdersTable[[#This Row],[COGS]]-OrdersTable[[#This Row],[Shipping Cost]]</f>
        <v>96.75</v>
      </c>
      <c r="Z3689" s="78">
        <f>IFERROR(OrdersTable[[#This Row],[Profit]]/OrdersTable[[#This Row],[Net Revenue]],0)</f>
        <v>0.36962750716332377</v>
      </c>
      <c r="AA3689" t="s">
        <v>18</v>
      </c>
      <c r="AB3689" s="79">
        <v>45893</v>
      </c>
      <c r="AC3689">
        <f>OrdersTable[[#This Row],[Delivery Date]]-OrdersTable[[#This Row],[Order Date]]</f>
        <v>4</v>
      </c>
      <c r="AD3689" t="str">
        <f>IF(OrdersTable[[#This Row],[Delivery Days]]&lt;=2, "Express (≤2d)", IF(OrdersTable[[#This Row],[Delivery Days]]&lt;=4, "Standard (3-4d)", "Delayed (5d+)"))</f>
        <v>Standard (3-4d)</v>
      </c>
      <c r="AE3689">
        <v>5</v>
      </c>
      <c r="AF3689">
        <v>0</v>
      </c>
    </row>
    <row r="3690" spans="1:32" ht="15" x14ac:dyDescent="0.35">
      <c r="A3690" t="s">
        <v>6192</v>
      </c>
      <c r="B3690" s="1">
        <v>45889</v>
      </c>
      <c r="C3690">
        <f>YEAR(OrdersTable[[#This Row],[Order Date]])</f>
        <v>2025</v>
      </c>
      <c r="D3690" s="2">
        <f>DATE(YEAR(OrdersTable[[#This Row],[Order Date]]),MONTH(OrdersTable[[#This Row],[Order Date]]),1)</f>
        <v>45870</v>
      </c>
      <c r="E3690">
        <f>MONTH(OrdersTable[[#This Row],[Order Date]])</f>
        <v>8</v>
      </c>
      <c r="F3690" t="s">
        <v>4765</v>
      </c>
      <c r="G3690" t="str">
        <f>IF(OrdersTable[[#This Row],[Order Date]]=_xlfn.MINIFS(Order_Date, Customer_ID, OrdersTable[[#This Row],[Customer ID]]), "New", "Repeat")</f>
        <v>Repeat</v>
      </c>
      <c r="H3690" t="s">
        <v>71</v>
      </c>
      <c r="I3690" t="str">
        <f>INDEX(State!B:B,MATCH(OrdersTable[[#This Row],[State]],State!A:A,0))</f>
        <v>MH</v>
      </c>
      <c r="J3690" t="str">
        <f>INDEX(State!C:C,MATCH(OrdersTable[[#This Row],[State Code]],State!B:B,0))</f>
        <v>West</v>
      </c>
      <c r="K3690" t="s">
        <v>72</v>
      </c>
      <c r="L3690" t="s">
        <v>39</v>
      </c>
      <c r="M3690" t="s">
        <v>78</v>
      </c>
      <c r="N3690" t="str">
        <f>INDEX(Products!B:B,MATCH(OrdersTable[[#This Row],[Product ID]],Products!A:A,0))</f>
        <v>Retinol Night Cream</v>
      </c>
      <c r="O3690" t="str">
        <f>INDEX(Products!C:C,MATCH(OrdersTable[[#This Row],[Product ID]],Products!A:A,0))</f>
        <v>Skincare</v>
      </c>
      <c r="P3690">
        <v>2</v>
      </c>
      <c r="Q3690" s="5">
        <v>799</v>
      </c>
      <c r="R3690" s="74">
        <v>0.05</v>
      </c>
      <c r="S3690" s="75">
        <f>OrdersTable[[#This Row],[Quantity]]*OrdersTable[[#This Row],[Unit Price]]</f>
        <v>1598</v>
      </c>
      <c r="T3690" s="5">
        <f>OrdersTable[[#This Row],[Gross Sale]]*OrdersTable[[#This Row],[Discount_Clean2]]</f>
        <v>79.900000000000006</v>
      </c>
      <c r="U3690" s="5">
        <f>OrdersTable[[#This Row],[Gross Sale]]-OrdersTable[[#This Row],[Discount Amount]]</f>
        <v>1518.1</v>
      </c>
      <c r="V3690" s="77">
        <f>INDEX(Products!E:E,MATCH(OrdersTable[[#This Row],[Product ID]],Products!A:A,0))</f>
        <v>216</v>
      </c>
      <c r="W3690" s="77">
        <f>OrdersTable[[#This Row],[Quantity]]*OrdersTable[[#This Row],[Unit Cost]]</f>
        <v>432</v>
      </c>
      <c r="X3690" s="77">
        <f>'Dropdown Lists'!$I$2*(1+OrdersTable[[#This Row],[Returned]])</f>
        <v>60</v>
      </c>
      <c r="Y3690" s="76">
        <f>OrdersTable[[#This Row],[Net Revenue]]-OrdersTable[[#This Row],[COGS]]-OrdersTable[[#This Row],[Shipping Cost]]</f>
        <v>1026.0999999999999</v>
      </c>
      <c r="Z3690" s="78">
        <f>IFERROR(OrdersTable[[#This Row],[Profit]]/OrdersTable[[#This Row],[Net Revenue]],0)</f>
        <v>0.67591067782096037</v>
      </c>
      <c r="AA3690" t="s">
        <v>18</v>
      </c>
      <c r="AB3690" s="79">
        <v>45895</v>
      </c>
      <c r="AC3690">
        <f>OrdersTable[[#This Row],[Delivery Date]]-OrdersTable[[#This Row],[Order Date]]</f>
        <v>6</v>
      </c>
      <c r="AD3690" t="str">
        <f>IF(OrdersTable[[#This Row],[Delivery Days]]&lt;=2, "Express (≤2d)", IF(OrdersTable[[#This Row],[Delivery Days]]&lt;=4, "Standard (3-4d)", "Delayed (5d+)"))</f>
        <v>Delayed (5d+)</v>
      </c>
      <c r="AE3690">
        <v>4</v>
      </c>
      <c r="AF3690">
        <v>0</v>
      </c>
    </row>
    <row r="3691" spans="1:32" ht="15" x14ac:dyDescent="0.35">
      <c r="A3691" t="s">
        <v>853</v>
      </c>
      <c r="B3691" s="1">
        <v>45889</v>
      </c>
      <c r="C3691">
        <f>YEAR(OrdersTable[[#This Row],[Order Date]])</f>
        <v>2025</v>
      </c>
      <c r="D3691" s="2">
        <f>DATE(YEAR(OrdersTable[[#This Row],[Order Date]]),MONTH(OrdersTable[[#This Row],[Order Date]]),1)</f>
        <v>45870</v>
      </c>
      <c r="E3691">
        <f>MONTH(OrdersTable[[#This Row],[Order Date]])</f>
        <v>8</v>
      </c>
      <c r="F3691" t="s">
        <v>854</v>
      </c>
      <c r="G3691" t="str">
        <f>IF(OrdersTable[[#This Row],[Order Date]]=_xlfn.MINIFS(Order_Date, Customer_ID, OrdersTable[[#This Row],[Customer ID]]), "New", "Repeat")</f>
        <v>New</v>
      </c>
      <c r="H3691" t="s">
        <v>71</v>
      </c>
      <c r="I3691" t="str">
        <f>INDEX(State!B:B,MATCH(OrdersTable[[#This Row],[State]],State!A:A,0))</f>
        <v>MH</v>
      </c>
      <c r="J3691" t="str">
        <f>INDEX(State!C:C,MATCH(OrdersTable[[#This Row],[State Code]],State!B:B,0))</f>
        <v>West</v>
      </c>
      <c r="K3691" t="s">
        <v>81</v>
      </c>
      <c r="L3691" t="s">
        <v>39</v>
      </c>
      <c r="M3691" t="s">
        <v>34</v>
      </c>
      <c r="N3691" t="str">
        <f>INDEX(Products!B:B,MATCH(OrdersTable[[#This Row],[Product ID]],Products!A:A,0))</f>
        <v>Flip Flops</v>
      </c>
      <c r="O3691" t="str">
        <f>INDEX(Products!C:C,MATCH(OrdersTable[[#This Row],[Product ID]],Products!A:A,0))</f>
        <v>Footwear</v>
      </c>
      <c r="P3691">
        <v>1</v>
      </c>
      <c r="Q3691" s="5">
        <v>399</v>
      </c>
      <c r="R3691" s="74">
        <v>0.1</v>
      </c>
      <c r="S3691" s="75">
        <f>OrdersTable[[#This Row],[Quantity]]*OrdersTable[[#This Row],[Unit Price]]</f>
        <v>399</v>
      </c>
      <c r="T3691" s="5">
        <f>OrdersTable[[#This Row],[Gross Sale]]*OrdersTable[[#This Row],[Discount_Clean2]]</f>
        <v>39.900000000000006</v>
      </c>
      <c r="U3691" s="5">
        <f>OrdersTable[[#This Row],[Gross Sale]]-OrdersTable[[#This Row],[Discount Amount]]</f>
        <v>359.1</v>
      </c>
      <c r="V3691" s="77">
        <f>INDEX(Products!E:E,MATCH(OrdersTable[[#This Row],[Product ID]],Products!A:A,0))</f>
        <v>152</v>
      </c>
      <c r="W3691" s="77">
        <f>OrdersTable[[#This Row],[Quantity]]*OrdersTable[[#This Row],[Unit Cost]]</f>
        <v>152</v>
      </c>
      <c r="X3691" s="77">
        <f>'Dropdown Lists'!$I$2*(1+OrdersTable[[#This Row],[Returned]])</f>
        <v>60</v>
      </c>
      <c r="Y3691" s="76">
        <f>OrdersTable[[#This Row],[Net Revenue]]-OrdersTable[[#This Row],[COGS]]-OrdersTable[[#This Row],[Shipping Cost]]</f>
        <v>147.10000000000002</v>
      </c>
      <c r="Z3691" s="78">
        <f>IFERROR(OrdersTable[[#This Row],[Profit]]/OrdersTable[[#This Row],[Net Revenue]],0)</f>
        <v>0.40963519910888335</v>
      </c>
      <c r="AA3691" t="s">
        <v>18</v>
      </c>
      <c r="AB3691" s="79">
        <v>45893</v>
      </c>
      <c r="AC3691">
        <f>OrdersTable[[#This Row],[Delivery Date]]-OrdersTable[[#This Row],[Order Date]]</f>
        <v>4</v>
      </c>
      <c r="AD3691" t="str">
        <f>IF(OrdersTable[[#This Row],[Delivery Days]]&lt;=2, "Express (≤2d)", IF(OrdersTable[[#This Row],[Delivery Days]]&lt;=4, "Standard (3-4d)", "Delayed (5d+)"))</f>
        <v>Standard (3-4d)</v>
      </c>
      <c r="AE3691">
        <v>4</v>
      </c>
      <c r="AF3691">
        <v>0</v>
      </c>
    </row>
    <row r="3692" spans="1:32" ht="15" x14ac:dyDescent="0.35">
      <c r="A3692" t="s">
        <v>4173</v>
      </c>
      <c r="B3692" s="1">
        <v>45889</v>
      </c>
      <c r="C3692">
        <f>YEAR(OrdersTable[[#This Row],[Order Date]])</f>
        <v>2025</v>
      </c>
      <c r="D3692" s="2">
        <f>DATE(YEAR(OrdersTable[[#This Row],[Order Date]]),MONTH(OrdersTable[[#This Row],[Order Date]]),1)</f>
        <v>45870</v>
      </c>
      <c r="E3692">
        <f>MONTH(OrdersTable[[#This Row],[Order Date]])</f>
        <v>8</v>
      </c>
      <c r="F3692" t="s">
        <v>1923</v>
      </c>
      <c r="G3692" t="str">
        <f>IF(OrdersTable[[#This Row],[Order Date]]=_xlfn.MINIFS(Order_Date, Customer_ID, OrdersTable[[#This Row],[Customer ID]]), "New", "Repeat")</f>
        <v>Repeat</v>
      </c>
      <c r="H3692" t="s">
        <v>167</v>
      </c>
      <c r="I3692" t="str">
        <f>INDEX(State!B:B,MATCH(OrdersTable[[#This Row],[State]],State!A:A,0))</f>
        <v>KA</v>
      </c>
      <c r="J3692" t="str">
        <f>INDEX(State!C:C,MATCH(OrdersTable[[#This Row],[State Code]],State!B:B,0))</f>
        <v>South</v>
      </c>
      <c r="K3692" t="s">
        <v>168</v>
      </c>
      <c r="L3692" t="s">
        <v>23</v>
      </c>
      <c r="M3692" t="s">
        <v>160</v>
      </c>
      <c r="N3692" t="str">
        <f>INDEX(Products!B:B,MATCH(OrdersTable[[#This Row],[Product ID]],Products!A:A,0))</f>
        <v>Niacinamide Toner</v>
      </c>
      <c r="O3692" t="str">
        <f>INDEX(Products!C:C,MATCH(OrdersTable[[#This Row],[Product ID]],Products!A:A,0))</f>
        <v>Skincare</v>
      </c>
      <c r="P3692">
        <v>1</v>
      </c>
      <c r="Q3692" s="5">
        <v>399</v>
      </c>
      <c r="R3692" s="74">
        <v>0.25</v>
      </c>
      <c r="S3692" s="75">
        <f>OrdersTable[[#This Row],[Quantity]]*OrdersTable[[#This Row],[Unit Price]]</f>
        <v>399</v>
      </c>
      <c r="T3692" s="5">
        <f>OrdersTable[[#This Row],[Gross Sale]]*OrdersTable[[#This Row],[Discount_Clean2]]</f>
        <v>99.75</v>
      </c>
      <c r="U3692" s="5">
        <f>OrdersTable[[#This Row],[Gross Sale]]-OrdersTable[[#This Row],[Discount Amount]]</f>
        <v>299.25</v>
      </c>
      <c r="V3692" s="77">
        <f>INDEX(Products!E:E,MATCH(OrdersTable[[#This Row],[Product ID]],Products!A:A,0))</f>
        <v>112</v>
      </c>
      <c r="W3692" s="77">
        <f>OrdersTable[[#This Row],[Quantity]]*OrdersTable[[#This Row],[Unit Cost]]</f>
        <v>112</v>
      </c>
      <c r="X3692" s="77">
        <f>'Dropdown Lists'!$I$2*(1+OrdersTable[[#This Row],[Returned]])</f>
        <v>60</v>
      </c>
      <c r="Y3692" s="76">
        <f>OrdersTable[[#This Row],[Net Revenue]]-OrdersTable[[#This Row],[COGS]]-OrdersTable[[#This Row],[Shipping Cost]]</f>
        <v>127.25</v>
      </c>
      <c r="Z3692" s="78">
        <f>IFERROR(OrdersTable[[#This Row],[Profit]]/OrdersTable[[#This Row],[Net Revenue]],0)</f>
        <v>0.42522974101921468</v>
      </c>
      <c r="AA3692" t="s">
        <v>4074</v>
      </c>
      <c r="AB3692" s="79">
        <v>45890</v>
      </c>
      <c r="AC3692">
        <f>OrdersTable[[#This Row],[Delivery Date]]-OrdersTable[[#This Row],[Order Date]]</f>
        <v>1</v>
      </c>
      <c r="AD3692" t="str">
        <f>IF(OrdersTable[[#This Row],[Delivery Days]]&lt;=2, "Express (≤2d)", IF(OrdersTable[[#This Row],[Delivery Days]]&lt;=4, "Standard (3-4d)", "Delayed (5d+)"))</f>
        <v>Express (≤2d)</v>
      </c>
      <c r="AE3692">
        <v>5</v>
      </c>
      <c r="AF3692">
        <v>0</v>
      </c>
    </row>
    <row r="3693" spans="1:32" ht="15" x14ac:dyDescent="0.35">
      <c r="A3693" t="s">
        <v>1113</v>
      </c>
      <c r="B3693" s="1">
        <v>45889</v>
      </c>
      <c r="C3693">
        <f>YEAR(OrdersTable[[#This Row],[Order Date]])</f>
        <v>2025</v>
      </c>
      <c r="D3693" s="2">
        <f>DATE(YEAR(OrdersTable[[#This Row],[Order Date]]),MONTH(OrdersTable[[#This Row],[Order Date]]),1)</f>
        <v>45870</v>
      </c>
      <c r="E3693">
        <f>MONTH(OrdersTable[[#This Row],[Order Date]])</f>
        <v>8</v>
      </c>
      <c r="F3693" t="s">
        <v>386</v>
      </c>
      <c r="G3693" t="str">
        <f>IF(OrdersTable[[#This Row],[Order Date]]=_xlfn.MINIFS(Order_Date, Customer_ID, OrdersTable[[#This Row],[Customer ID]]), "New", "Repeat")</f>
        <v>Repeat</v>
      </c>
      <c r="H3693" t="s">
        <v>167</v>
      </c>
      <c r="I3693" t="str">
        <f>INDEX(State!B:B,MATCH(OrdersTable[[#This Row],[State]],State!A:A,0))</f>
        <v>KA</v>
      </c>
      <c r="J3693" t="str">
        <f>INDEX(State!C:C,MATCH(OrdersTable[[#This Row],[State Code]],State!B:B,0))</f>
        <v>South</v>
      </c>
      <c r="K3693" t="s">
        <v>168</v>
      </c>
      <c r="L3693" t="s">
        <v>16</v>
      </c>
      <c r="M3693" t="s">
        <v>34</v>
      </c>
      <c r="N3693" t="str">
        <f>INDEX(Products!B:B,MATCH(OrdersTable[[#This Row],[Product ID]],Products!A:A,0))</f>
        <v>Flip Flops</v>
      </c>
      <c r="O3693" t="str">
        <f>INDEX(Products!C:C,MATCH(OrdersTable[[#This Row],[Product ID]],Products!A:A,0))</f>
        <v>Footwear</v>
      </c>
      <c r="P3693">
        <v>1</v>
      </c>
      <c r="Q3693" s="5">
        <v>399</v>
      </c>
      <c r="R3693" s="74">
        <v>0.05</v>
      </c>
      <c r="S3693" s="75">
        <f>OrdersTable[[#This Row],[Quantity]]*OrdersTable[[#This Row],[Unit Price]]</f>
        <v>399</v>
      </c>
      <c r="T3693" s="5">
        <f>OrdersTable[[#This Row],[Gross Sale]]*OrdersTable[[#This Row],[Discount_Clean2]]</f>
        <v>19.950000000000003</v>
      </c>
      <c r="U3693" s="5">
        <f>OrdersTable[[#This Row],[Gross Sale]]-OrdersTable[[#This Row],[Discount Amount]]</f>
        <v>379.05</v>
      </c>
      <c r="V3693" s="77">
        <f>INDEX(Products!E:E,MATCH(OrdersTable[[#This Row],[Product ID]],Products!A:A,0))</f>
        <v>152</v>
      </c>
      <c r="W3693" s="77">
        <f>OrdersTable[[#This Row],[Quantity]]*OrdersTable[[#This Row],[Unit Cost]]</f>
        <v>152</v>
      </c>
      <c r="X3693" s="77">
        <f>'Dropdown Lists'!$I$2*(1+OrdersTable[[#This Row],[Returned]])</f>
        <v>120</v>
      </c>
      <c r="Y3693" s="76">
        <f>OrdersTable[[#This Row],[Net Revenue]]-OrdersTable[[#This Row],[COGS]]-OrdersTable[[#This Row],[Shipping Cost]]</f>
        <v>107.05000000000001</v>
      </c>
      <c r="Z3693" s="78">
        <f>IFERROR(OrdersTable[[#This Row],[Profit]]/OrdersTable[[#This Row],[Net Revenue]],0)</f>
        <v>0.2824165677351273</v>
      </c>
      <c r="AA3693" t="s">
        <v>18</v>
      </c>
      <c r="AB3693" s="79">
        <v>45893</v>
      </c>
      <c r="AC3693">
        <f>OrdersTable[[#This Row],[Delivery Date]]-OrdersTable[[#This Row],[Order Date]]</f>
        <v>4</v>
      </c>
      <c r="AD3693" t="str">
        <f>IF(OrdersTable[[#This Row],[Delivery Days]]&lt;=2, "Express (≤2d)", IF(OrdersTable[[#This Row],[Delivery Days]]&lt;=4, "Standard (3-4d)", "Delayed (5d+)"))</f>
        <v>Standard (3-4d)</v>
      </c>
      <c r="AE3693">
        <v>4</v>
      </c>
      <c r="AF3693">
        <v>1</v>
      </c>
    </row>
    <row r="3694" spans="1:32" ht="15" x14ac:dyDescent="0.35">
      <c r="A3694" t="s">
        <v>4622</v>
      </c>
      <c r="B3694" s="1">
        <v>45890</v>
      </c>
      <c r="C3694">
        <f>YEAR(OrdersTable[[#This Row],[Order Date]])</f>
        <v>2025</v>
      </c>
      <c r="D3694" s="2">
        <f>DATE(YEAR(OrdersTable[[#This Row],[Order Date]]),MONTH(OrdersTable[[#This Row],[Order Date]]),1)</f>
        <v>45870</v>
      </c>
      <c r="E3694">
        <f>MONTH(OrdersTable[[#This Row],[Order Date]])</f>
        <v>8</v>
      </c>
      <c r="F3694" t="s">
        <v>4498</v>
      </c>
      <c r="G3694" t="str">
        <f>IF(OrdersTable[[#This Row],[Order Date]]=_xlfn.MINIFS(Order_Date, Customer_ID, OrdersTable[[#This Row],[Customer ID]]), "New", "Repeat")</f>
        <v>Repeat</v>
      </c>
      <c r="H3694" t="s">
        <v>128</v>
      </c>
      <c r="I3694" t="str">
        <f>INDEX(State!B:B,MATCH(OrdersTable[[#This Row],[State]],State!A:A,0))</f>
        <v>DL</v>
      </c>
      <c r="J3694" t="str">
        <f>INDEX(State!C:C,MATCH(OrdersTable[[#This Row],[State Code]],State!B:B,0))</f>
        <v>North</v>
      </c>
      <c r="K3694" t="s">
        <v>129</v>
      </c>
      <c r="L3694" t="s">
        <v>65</v>
      </c>
      <c r="M3694" t="s">
        <v>160</v>
      </c>
      <c r="N3694" t="str">
        <f>INDEX(Products!B:B,MATCH(OrdersTable[[#This Row],[Product ID]],Products!A:A,0))</f>
        <v>Niacinamide Toner</v>
      </c>
      <c r="O3694" t="str">
        <f>INDEX(Products!C:C,MATCH(OrdersTable[[#This Row],[Product ID]],Products!A:A,0))</f>
        <v>Skincare</v>
      </c>
      <c r="P3694">
        <v>1</v>
      </c>
      <c r="Q3694" s="5">
        <v>399</v>
      </c>
      <c r="R3694" s="74">
        <v>0.25</v>
      </c>
      <c r="S3694" s="75">
        <f>OrdersTable[[#This Row],[Quantity]]*OrdersTable[[#This Row],[Unit Price]]</f>
        <v>399</v>
      </c>
      <c r="T3694" s="5">
        <f>OrdersTable[[#This Row],[Gross Sale]]*OrdersTable[[#This Row],[Discount_Clean2]]</f>
        <v>99.75</v>
      </c>
      <c r="U3694" s="5">
        <f>OrdersTable[[#This Row],[Gross Sale]]-OrdersTable[[#This Row],[Discount Amount]]</f>
        <v>299.25</v>
      </c>
      <c r="V3694" s="77">
        <f>INDEX(Products!E:E,MATCH(OrdersTable[[#This Row],[Product ID]],Products!A:A,0))</f>
        <v>112</v>
      </c>
      <c r="W3694" s="77">
        <f>OrdersTable[[#This Row],[Quantity]]*OrdersTable[[#This Row],[Unit Cost]]</f>
        <v>112</v>
      </c>
      <c r="X3694" s="77">
        <f>'Dropdown Lists'!$I$2*(1+OrdersTable[[#This Row],[Returned]])</f>
        <v>60</v>
      </c>
      <c r="Y3694" s="76">
        <f>OrdersTable[[#This Row],[Net Revenue]]-OrdersTable[[#This Row],[COGS]]-OrdersTable[[#This Row],[Shipping Cost]]</f>
        <v>127.25</v>
      </c>
      <c r="Z3694" s="78">
        <f>IFERROR(OrdersTable[[#This Row],[Profit]]/OrdersTable[[#This Row],[Net Revenue]],0)</f>
        <v>0.42522974101921468</v>
      </c>
      <c r="AA3694" t="s">
        <v>4450</v>
      </c>
      <c r="AB3694" s="79">
        <v>45891</v>
      </c>
      <c r="AC3694">
        <f>OrdersTable[[#This Row],[Delivery Date]]-OrdersTable[[#This Row],[Order Date]]</f>
        <v>1</v>
      </c>
      <c r="AD3694" t="str">
        <f>IF(OrdersTable[[#This Row],[Delivery Days]]&lt;=2, "Express (≤2d)", IF(OrdersTable[[#This Row],[Delivery Days]]&lt;=4, "Standard (3-4d)", "Delayed (5d+)"))</f>
        <v>Express (≤2d)</v>
      </c>
      <c r="AF3694">
        <v>0</v>
      </c>
    </row>
    <row r="3695" spans="1:32" ht="15" x14ac:dyDescent="0.35">
      <c r="A3695" t="s">
        <v>355</v>
      </c>
      <c r="B3695" s="1">
        <v>45890</v>
      </c>
      <c r="C3695">
        <f>YEAR(OrdersTable[[#This Row],[Order Date]])</f>
        <v>2025</v>
      </c>
      <c r="D3695" s="2">
        <f>DATE(YEAR(OrdersTable[[#This Row],[Order Date]]),MONTH(OrdersTable[[#This Row],[Order Date]]),1)</f>
        <v>45870</v>
      </c>
      <c r="E3695">
        <f>MONTH(OrdersTable[[#This Row],[Order Date]])</f>
        <v>8</v>
      </c>
      <c r="F3695" t="s">
        <v>356</v>
      </c>
      <c r="G3695" t="str">
        <f>IF(OrdersTable[[#This Row],[Order Date]]=_xlfn.MINIFS(Order_Date, Customer_ID, OrdersTable[[#This Row],[Customer ID]]), "New", "Repeat")</f>
        <v>Repeat</v>
      </c>
      <c r="H3695" t="s">
        <v>128</v>
      </c>
      <c r="I3695" t="str">
        <f>INDEX(State!B:B,MATCH(OrdersTable[[#This Row],[State]],State!A:A,0))</f>
        <v>DL</v>
      </c>
      <c r="J3695" t="str">
        <f>INDEX(State!C:C,MATCH(OrdersTable[[#This Row],[State Code]],State!B:B,0))</f>
        <v>North</v>
      </c>
      <c r="K3695" t="s">
        <v>129</v>
      </c>
      <c r="L3695" t="s">
        <v>65</v>
      </c>
      <c r="M3695" t="s">
        <v>78</v>
      </c>
      <c r="N3695" t="str">
        <f>INDEX(Products!B:B,MATCH(OrdersTable[[#This Row],[Product ID]],Products!A:A,0))</f>
        <v>Retinol Night Cream</v>
      </c>
      <c r="O3695" t="str">
        <f>INDEX(Products!C:C,MATCH(OrdersTable[[#This Row],[Product ID]],Products!A:A,0))</f>
        <v>Skincare</v>
      </c>
      <c r="P3695">
        <v>1</v>
      </c>
      <c r="Q3695" s="5">
        <v>799</v>
      </c>
      <c r="R3695" s="74">
        <v>0.05</v>
      </c>
      <c r="S3695" s="75">
        <f>OrdersTable[[#This Row],[Quantity]]*OrdersTable[[#This Row],[Unit Price]]</f>
        <v>799</v>
      </c>
      <c r="T3695" s="5">
        <f>OrdersTable[[#This Row],[Gross Sale]]*OrdersTable[[#This Row],[Discount_Clean2]]</f>
        <v>39.950000000000003</v>
      </c>
      <c r="U3695" s="5">
        <f>OrdersTable[[#This Row],[Gross Sale]]-OrdersTable[[#This Row],[Discount Amount]]</f>
        <v>759.05</v>
      </c>
      <c r="V3695" s="77">
        <f>INDEX(Products!E:E,MATCH(OrdersTable[[#This Row],[Product ID]],Products!A:A,0))</f>
        <v>216</v>
      </c>
      <c r="W3695" s="77">
        <f>OrdersTable[[#This Row],[Quantity]]*OrdersTable[[#This Row],[Unit Cost]]</f>
        <v>216</v>
      </c>
      <c r="X3695" s="77">
        <f>'Dropdown Lists'!$I$2*(1+OrdersTable[[#This Row],[Returned]])</f>
        <v>60</v>
      </c>
      <c r="Y3695" s="76">
        <f>OrdersTable[[#This Row],[Net Revenue]]-OrdersTable[[#This Row],[COGS]]-OrdersTable[[#This Row],[Shipping Cost]]</f>
        <v>483.04999999999995</v>
      </c>
      <c r="Z3695" s="78">
        <f>IFERROR(OrdersTable[[#This Row],[Profit]]/OrdersTable[[#This Row],[Net Revenue]],0)</f>
        <v>0.63638758975034582</v>
      </c>
      <c r="AA3695" t="s">
        <v>18</v>
      </c>
      <c r="AB3695" s="79">
        <v>45893</v>
      </c>
      <c r="AC3695">
        <f>OrdersTable[[#This Row],[Delivery Date]]-OrdersTable[[#This Row],[Order Date]]</f>
        <v>3</v>
      </c>
      <c r="AD3695" t="str">
        <f>IF(OrdersTable[[#This Row],[Delivery Days]]&lt;=2, "Express (≤2d)", IF(OrdersTable[[#This Row],[Delivery Days]]&lt;=4, "Standard (3-4d)", "Delayed (5d+)"))</f>
        <v>Standard (3-4d)</v>
      </c>
      <c r="AE3695">
        <v>4</v>
      </c>
      <c r="AF3695">
        <v>0</v>
      </c>
    </row>
    <row r="3696" spans="1:32" ht="15" x14ac:dyDescent="0.35">
      <c r="A3696" t="s">
        <v>6909</v>
      </c>
      <c r="B3696" s="1">
        <v>45890</v>
      </c>
      <c r="C3696">
        <f>YEAR(OrdersTable[[#This Row],[Order Date]])</f>
        <v>2025</v>
      </c>
      <c r="D3696" s="2">
        <f>DATE(YEAR(OrdersTable[[#This Row],[Order Date]]),MONTH(OrdersTable[[#This Row],[Order Date]]),1)</f>
        <v>45870</v>
      </c>
      <c r="E3696">
        <f>MONTH(OrdersTable[[#This Row],[Order Date]])</f>
        <v>8</v>
      </c>
      <c r="F3696" t="s">
        <v>135</v>
      </c>
      <c r="G3696" t="str">
        <f>IF(OrdersTable[[#This Row],[Order Date]]=_xlfn.MINIFS(Order_Date, Customer_ID, OrdersTable[[#This Row],[Customer ID]]), "New", "Repeat")</f>
        <v>Repeat</v>
      </c>
      <c r="H3696" t="s">
        <v>76</v>
      </c>
      <c r="I3696" t="str">
        <f>INDEX(State!B:B,MATCH(OrdersTable[[#This Row],[State]],State!A:A,0))</f>
        <v>UP</v>
      </c>
      <c r="J3696" t="str">
        <f>INDEX(State!C:C,MATCH(OrdersTable[[#This Row],[State Code]],State!B:B,0))</f>
        <v>North</v>
      </c>
      <c r="K3696" t="s">
        <v>77</v>
      </c>
      <c r="L3696" t="s">
        <v>16</v>
      </c>
      <c r="M3696" t="s">
        <v>29</v>
      </c>
      <c r="N3696" t="str">
        <f>INDEX(Products!B:B,MATCH(OrdersTable[[#This Row],[Product ID]],Products!A:A,0))</f>
        <v>Joggers</v>
      </c>
      <c r="O3696" t="str">
        <f>INDEX(Products!C:C,MATCH(OrdersTable[[#This Row],[Product ID]],Products!A:A,0))</f>
        <v>Apparel</v>
      </c>
      <c r="P3696">
        <v>3</v>
      </c>
      <c r="Q3696" s="5">
        <v>1199</v>
      </c>
      <c r="R3696" s="74">
        <v>0.1</v>
      </c>
      <c r="S3696" s="75">
        <f>OrdersTable[[#This Row],[Quantity]]*OrdersTable[[#This Row],[Unit Price]]</f>
        <v>3597</v>
      </c>
      <c r="T3696" s="5">
        <f>OrdersTable[[#This Row],[Gross Sale]]*OrdersTable[[#This Row],[Discount_Clean2]]</f>
        <v>359.70000000000005</v>
      </c>
      <c r="U3696" s="5">
        <f>OrdersTable[[#This Row],[Gross Sale]]-OrdersTable[[#This Row],[Discount Amount]]</f>
        <v>3237.3</v>
      </c>
      <c r="V3696" s="77">
        <f>INDEX(Products!E:E,MATCH(OrdersTable[[#This Row],[Product ID]],Products!A:A,0))</f>
        <v>492</v>
      </c>
      <c r="W3696" s="77">
        <f>OrdersTable[[#This Row],[Quantity]]*OrdersTable[[#This Row],[Unit Cost]]</f>
        <v>1476</v>
      </c>
      <c r="X3696" s="77">
        <f>'Dropdown Lists'!$I$2*(1+OrdersTable[[#This Row],[Returned]])</f>
        <v>60</v>
      </c>
      <c r="Y3696" s="76">
        <f>OrdersTable[[#This Row],[Net Revenue]]-OrdersTable[[#This Row],[COGS]]-OrdersTable[[#This Row],[Shipping Cost]]</f>
        <v>1701.3000000000002</v>
      </c>
      <c r="Z3696" s="78">
        <f>IFERROR(OrdersTable[[#This Row],[Profit]]/OrdersTable[[#This Row],[Net Revenue]],0)</f>
        <v>0.52553053470484667</v>
      </c>
      <c r="AA3696" t="s">
        <v>4074</v>
      </c>
      <c r="AB3696" s="79">
        <v>45893</v>
      </c>
      <c r="AC3696">
        <f>OrdersTable[[#This Row],[Delivery Date]]-OrdersTable[[#This Row],[Order Date]]</f>
        <v>3</v>
      </c>
      <c r="AD3696" t="str">
        <f>IF(OrdersTable[[#This Row],[Delivery Days]]&lt;=2, "Express (≤2d)", IF(OrdersTable[[#This Row],[Delivery Days]]&lt;=4, "Standard (3-4d)", "Delayed (5d+)"))</f>
        <v>Standard (3-4d)</v>
      </c>
      <c r="AE3696">
        <v>4</v>
      </c>
      <c r="AF3696">
        <v>0</v>
      </c>
    </row>
    <row r="3697" spans="1:32" ht="15" x14ac:dyDescent="0.35">
      <c r="A3697" t="s">
        <v>5014</v>
      </c>
      <c r="B3697" s="1">
        <v>45890</v>
      </c>
      <c r="C3697">
        <f>YEAR(OrdersTable[[#This Row],[Order Date]])</f>
        <v>2025</v>
      </c>
      <c r="D3697" s="2">
        <f>DATE(YEAR(OrdersTable[[#This Row],[Order Date]]),MONTH(OrdersTable[[#This Row],[Order Date]]),1)</f>
        <v>45870</v>
      </c>
      <c r="E3697">
        <f>MONTH(OrdersTable[[#This Row],[Order Date]])</f>
        <v>8</v>
      </c>
      <c r="F3697" t="s">
        <v>5015</v>
      </c>
      <c r="G3697" t="str">
        <f>IF(OrdersTable[[#This Row],[Order Date]]=_xlfn.MINIFS(Order_Date, Customer_ID, OrdersTable[[#This Row],[Customer ID]]), "New", "Repeat")</f>
        <v>New</v>
      </c>
      <c r="H3697" t="s">
        <v>32</v>
      </c>
      <c r="I3697" t="str">
        <f>INDEX(State!B:B,MATCH(OrdersTable[[#This Row],[State]],State!A:A,0))</f>
        <v>BR</v>
      </c>
      <c r="J3697" t="str">
        <f>INDEX(State!C:C,MATCH(OrdersTable[[#This Row],[State Code]],State!B:B,0))</f>
        <v>East</v>
      </c>
      <c r="K3697" t="s">
        <v>33</v>
      </c>
      <c r="L3697" t="s">
        <v>39</v>
      </c>
      <c r="M3697" t="s">
        <v>148</v>
      </c>
      <c r="N3697" t="str">
        <f>INDEX(Products!B:B,MATCH(OrdersTable[[#This Row],[Product ID]],Products!A:A,0))</f>
        <v>Smartwatch Strap</v>
      </c>
      <c r="O3697" t="str">
        <f>INDEX(Products!C:C,MATCH(OrdersTable[[#This Row],[Product ID]],Products!A:A,0))</f>
        <v>Electronics</v>
      </c>
      <c r="P3697">
        <v>2</v>
      </c>
      <c r="Q3697" s="5">
        <v>499</v>
      </c>
      <c r="R3697" s="74">
        <v>0.05</v>
      </c>
      <c r="S3697" s="75">
        <f>OrdersTable[[#This Row],[Quantity]]*OrdersTable[[#This Row],[Unit Price]]</f>
        <v>998</v>
      </c>
      <c r="T3697" s="5">
        <f>OrdersTable[[#This Row],[Gross Sale]]*OrdersTable[[#This Row],[Discount_Clean2]]</f>
        <v>49.900000000000006</v>
      </c>
      <c r="U3697" s="5">
        <f>OrdersTable[[#This Row],[Gross Sale]]-OrdersTable[[#This Row],[Discount Amount]]</f>
        <v>948.1</v>
      </c>
      <c r="V3697" s="77">
        <f>INDEX(Products!E:E,MATCH(OrdersTable[[#This Row],[Product ID]],Products!A:A,0))</f>
        <v>200</v>
      </c>
      <c r="W3697" s="77">
        <f>OrdersTable[[#This Row],[Quantity]]*OrdersTable[[#This Row],[Unit Cost]]</f>
        <v>400</v>
      </c>
      <c r="X3697" s="77">
        <f>'Dropdown Lists'!$I$2*(1+OrdersTable[[#This Row],[Returned]])</f>
        <v>60</v>
      </c>
      <c r="Y3697" s="76">
        <f>OrdersTable[[#This Row],[Net Revenue]]-OrdersTable[[#This Row],[COGS]]-OrdersTable[[#This Row],[Shipping Cost]]</f>
        <v>488.1</v>
      </c>
      <c r="Z3697" s="78">
        <f>IFERROR(OrdersTable[[#This Row],[Profit]]/OrdersTable[[#This Row],[Net Revenue]],0)</f>
        <v>0.51481911190802654</v>
      </c>
      <c r="AA3697" t="s">
        <v>4074</v>
      </c>
      <c r="AB3697" s="79">
        <v>45895</v>
      </c>
      <c r="AC3697">
        <f>OrdersTable[[#This Row],[Delivery Date]]-OrdersTable[[#This Row],[Order Date]]</f>
        <v>5</v>
      </c>
      <c r="AD3697" t="str">
        <f>IF(OrdersTable[[#This Row],[Delivery Days]]&lt;=2, "Express (≤2d)", IF(OrdersTable[[#This Row],[Delivery Days]]&lt;=4, "Standard (3-4d)", "Delayed (5d+)"))</f>
        <v>Delayed (5d+)</v>
      </c>
      <c r="AE3697">
        <v>3</v>
      </c>
      <c r="AF3697">
        <v>0</v>
      </c>
    </row>
    <row r="3698" spans="1:32" ht="15" x14ac:dyDescent="0.35">
      <c r="A3698" t="s">
        <v>1008</v>
      </c>
      <c r="B3698" s="1">
        <v>45890</v>
      </c>
      <c r="C3698">
        <f>YEAR(OrdersTable[[#This Row],[Order Date]])</f>
        <v>2025</v>
      </c>
      <c r="D3698" s="2">
        <f>DATE(YEAR(OrdersTable[[#This Row],[Order Date]]),MONTH(OrdersTable[[#This Row],[Order Date]]),1)</f>
        <v>45870</v>
      </c>
      <c r="E3698">
        <f>MONTH(OrdersTable[[#This Row],[Order Date]])</f>
        <v>8</v>
      </c>
      <c r="F3698" t="s">
        <v>1009</v>
      </c>
      <c r="G3698" t="str">
        <f>IF(OrdersTable[[#This Row],[Order Date]]=_xlfn.MINIFS(Order_Date, Customer_ID, OrdersTable[[#This Row],[Customer ID]]), "New", "Repeat")</f>
        <v>Repeat</v>
      </c>
      <c r="H3698" t="s">
        <v>37</v>
      </c>
      <c r="I3698" t="str">
        <f>INDEX(State!B:B,MATCH(OrdersTable[[#This Row],[State]],State!A:A,0))</f>
        <v>GJ</v>
      </c>
      <c r="J3698" t="str">
        <f>INDEX(State!C:C,MATCH(OrdersTable[[#This Row],[State Code]],State!B:B,0))</f>
        <v>West</v>
      </c>
      <c r="K3698" t="s">
        <v>247</v>
      </c>
      <c r="L3698" t="s">
        <v>23</v>
      </c>
      <c r="M3698" t="s">
        <v>40</v>
      </c>
      <c r="N3698" t="str">
        <f>INDEX(Products!B:B,MATCH(OrdersTable[[#This Row],[Product ID]],Products!A:A,0))</f>
        <v>Ashwagandha Capsules</v>
      </c>
      <c r="O3698" t="str">
        <f>INDEX(Products!C:C,MATCH(OrdersTable[[#This Row],[Product ID]],Products!A:A,0))</f>
        <v>Wellness</v>
      </c>
      <c r="P3698">
        <v>1</v>
      </c>
      <c r="Q3698" s="5">
        <v>499</v>
      </c>
      <c r="R3698" s="74">
        <v>0</v>
      </c>
      <c r="S3698" s="75">
        <f>OrdersTable[[#This Row],[Quantity]]*OrdersTable[[#This Row],[Unit Price]]</f>
        <v>499</v>
      </c>
      <c r="T3698" s="5">
        <f>OrdersTable[[#This Row],[Gross Sale]]*OrdersTable[[#This Row],[Discount_Clean2]]</f>
        <v>0</v>
      </c>
      <c r="U3698" s="5">
        <f>OrdersTable[[#This Row],[Gross Sale]]-OrdersTable[[#This Row],[Discount Amount]]</f>
        <v>499</v>
      </c>
      <c r="V3698" s="77">
        <f>INDEX(Products!E:E,MATCH(OrdersTable[[#This Row],[Product ID]],Products!A:A,0))</f>
        <v>150</v>
      </c>
      <c r="W3698" s="77">
        <f>OrdersTable[[#This Row],[Quantity]]*OrdersTable[[#This Row],[Unit Cost]]</f>
        <v>150</v>
      </c>
      <c r="X3698" s="77">
        <f>'Dropdown Lists'!$I$2*(1+OrdersTable[[#This Row],[Returned]])</f>
        <v>60</v>
      </c>
      <c r="Y3698" s="76">
        <f>OrdersTable[[#This Row],[Net Revenue]]-OrdersTable[[#This Row],[COGS]]-OrdersTable[[#This Row],[Shipping Cost]]</f>
        <v>289</v>
      </c>
      <c r="Z3698" s="78">
        <f>IFERROR(OrdersTable[[#This Row],[Profit]]/OrdersTable[[#This Row],[Net Revenue]],0)</f>
        <v>0.57915831663326656</v>
      </c>
      <c r="AA3698" t="s">
        <v>18</v>
      </c>
      <c r="AB3698" s="79">
        <v>45894</v>
      </c>
      <c r="AC3698">
        <f>OrdersTable[[#This Row],[Delivery Date]]-OrdersTable[[#This Row],[Order Date]]</f>
        <v>4</v>
      </c>
      <c r="AD3698" t="str">
        <f>IF(OrdersTable[[#This Row],[Delivery Days]]&lt;=2, "Express (≤2d)", IF(OrdersTable[[#This Row],[Delivery Days]]&lt;=4, "Standard (3-4d)", "Delayed (5d+)"))</f>
        <v>Standard (3-4d)</v>
      </c>
      <c r="AE3698">
        <v>4</v>
      </c>
      <c r="AF3698">
        <v>0</v>
      </c>
    </row>
    <row r="3699" spans="1:32" ht="15" x14ac:dyDescent="0.35">
      <c r="A3699" t="s">
        <v>3468</v>
      </c>
      <c r="B3699" s="1">
        <v>45890</v>
      </c>
      <c r="C3699">
        <f>YEAR(OrdersTable[[#This Row],[Order Date]])</f>
        <v>2025</v>
      </c>
      <c r="D3699" s="2">
        <f>DATE(YEAR(OrdersTable[[#This Row],[Order Date]]),MONTH(OrdersTable[[#This Row],[Order Date]]),1)</f>
        <v>45870</v>
      </c>
      <c r="E3699">
        <f>MONTH(OrdersTable[[#This Row],[Order Date]])</f>
        <v>8</v>
      </c>
      <c r="F3699" t="s">
        <v>3469</v>
      </c>
      <c r="G3699" t="str">
        <f>IF(OrdersTable[[#This Row],[Order Date]]=_xlfn.MINIFS(Order_Date, Customer_ID, OrdersTable[[#This Row],[Customer ID]]), "New", "Repeat")</f>
        <v>New</v>
      </c>
      <c r="H3699" t="s">
        <v>27</v>
      </c>
      <c r="I3699" t="str">
        <f>INDEX(State!B:B,MATCH(OrdersTable[[#This Row],[State]],State!A:A,0))</f>
        <v>WB</v>
      </c>
      <c r="J3699" t="str">
        <f>INDEX(State!C:C,MATCH(OrdersTable[[#This Row],[State Code]],State!B:B,0))</f>
        <v>East</v>
      </c>
      <c r="K3699" t="s">
        <v>28</v>
      </c>
      <c r="L3699" t="s">
        <v>65</v>
      </c>
      <c r="M3699" t="s">
        <v>24</v>
      </c>
      <c r="N3699" t="str">
        <f>INDEX(Products!B:B,MATCH(OrdersTable[[#This Row],[Product ID]],Products!A:A,0))</f>
        <v>Scented Candle Set</v>
      </c>
      <c r="O3699" t="str">
        <f>INDEX(Products!C:C,MATCH(OrdersTable[[#This Row],[Product ID]],Products!A:A,0))</f>
        <v>Home &amp; Kitchen</v>
      </c>
      <c r="P3699">
        <v>1</v>
      </c>
      <c r="Q3699" s="5">
        <v>699</v>
      </c>
      <c r="R3699" s="74">
        <v>0.2</v>
      </c>
      <c r="S3699" s="75">
        <f>OrdersTable[[#This Row],[Quantity]]*OrdersTable[[#This Row],[Unit Price]]</f>
        <v>699</v>
      </c>
      <c r="T3699" s="5">
        <f>OrdersTable[[#This Row],[Gross Sale]]*OrdersTable[[#This Row],[Discount_Clean2]]</f>
        <v>139.80000000000001</v>
      </c>
      <c r="U3699" s="5">
        <f>OrdersTable[[#This Row],[Gross Sale]]-OrdersTable[[#This Row],[Discount Amount]]</f>
        <v>559.20000000000005</v>
      </c>
      <c r="V3699" s="77">
        <f>INDEX(Products!E:E,MATCH(OrdersTable[[#This Row],[Product ID]],Products!A:A,0))</f>
        <v>245</v>
      </c>
      <c r="W3699" s="77">
        <f>OrdersTable[[#This Row],[Quantity]]*OrdersTable[[#This Row],[Unit Cost]]</f>
        <v>245</v>
      </c>
      <c r="X3699" s="77">
        <f>'Dropdown Lists'!$I$2*(1+OrdersTable[[#This Row],[Returned]])</f>
        <v>60</v>
      </c>
      <c r="Y3699" s="76">
        <f>OrdersTable[[#This Row],[Net Revenue]]-OrdersTable[[#This Row],[COGS]]-OrdersTable[[#This Row],[Shipping Cost]]</f>
        <v>254.20000000000005</v>
      </c>
      <c r="Z3699" s="78">
        <f>IFERROR(OrdersTable[[#This Row],[Profit]]/OrdersTable[[#This Row],[Net Revenue]],0)</f>
        <v>0.45457796852646642</v>
      </c>
      <c r="AA3699" t="s">
        <v>2522</v>
      </c>
      <c r="AB3699" s="79">
        <v>45893</v>
      </c>
      <c r="AC3699">
        <f>OrdersTable[[#This Row],[Delivery Date]]-OrdersTable[[#This Row],[Order Date]]</f>
        <v>3</v>
      </c>
      <c r="AD3699" t="str">
        <f>IF(OrdersTable[[#This Row],[Delivery Days]]&lt;=2, "Express (≤2d)", IF(OrdersTable[[#This Row],[Delivery Days]]&lt;=4, "Standard (3-4d)", "Delayed (5d+)"))</f>
        <v>Standard (3-4d)</v>
      </c>
      <c r="AE3699">
        <v>4</v>
      </c>
      <c r="AF3699">
        <v>0</v>
      </c>
    </row>
    <row r="3700" spans="1:32" ht="15" x14ac:dyDescent="0.35">
      <c r="A3700" t="s">
        <v>7021</v>
      </c>
      <c r="B3700" s="1">
        <v>45890</v>
      </c>
      <c r="C3700">
        <f>YEAR(OrdersTable[[#This Row],[Order Date]])</f>
        <v>2025</v>
      </c>
      <c r="D3700" s="2">
        <f>DATE(YEAR(OrdersTable[[#This Row],[Order Date]]),MONTH(OrdersTable[[#This Row],[Order Date]]),1)</f>
        <v>45870</v>
      </c>
      <c r="E3700">
        <f>MONTH(OrdersTable[[#This Row],[Order Date]])</f>
        <v>8</v>
      </c>
      <c r="F3700" t="s">
        <v>6658</v>
      </c>
      <c r="G3700" t="str">
        <f>IF(OrdersTable[[#This Row],[Order Date]]=_xlfn.MINIFS(Order_Date, Customer_ID, OrdersTable[[#This Row],[Customer ID]]), "New", "Repeat")</f>
        <v>New</v>
      </c>
      <c r="H3700" t="s">
        <v>27</v>
      </c>
      <c r="I3700" t="str">
        <f>INDEX(State!B:B,MATCH(OrdersTable[[#This Row],[State]],State!A:A,0))</f>
        <v>WB</v>
      </c>
      <c r="J3700" t="str">
        <f>INDEX(State!C:C,MATCH(OrdersTable[[#This Row],[State Code]],State!B:B,0))</f>
        <v>East</v>
      </c>
      <c r="K3700" t="s">
        <v>28</v>
      </c>
      <c r="L3700" t="s">
        <v>50</v>
      </c>
      <c r="M3700" t="s">
        <v>51</v>
      </c>
      <c r="N3700" t="str">
        <f>INDEX(Products!B:B,MATCH(OrdersTable[[#This Row],[Product ID]],Products!A:A,0))</f>
        <v>Anti-Dandruff Conditioner</v>
      </c>
      <c r="O3700" t="str">
        <f>INDEX(Products!C:C,MATCH(OrdersTable[[#This Row],[Product ID]],Products!A:A,0))</f>
        <v>Haircare</v>
      </c>
      <c r="P3700">
        <v>4</v>
      </c>
      <c r="Q3700" s="5">
        <v>399</v>
      </c>
      <c r="R3700" s="74">
        <v>0.35</v>
      </c>
      <c r="S3700" s="75">
        <f>OrdersTable[[#This Row],[Quantity]]*OrdersTable[[#This Row],[Unit Price]]</f>
        <v>1596</v>
      </c>
      <c r="T3700" s="5">
        <f>OrdersTable[[#This Row],[Gross Sale]]*OrdersTable[[#This Row],[Discount_Clean2]]</f>
        <v>558.59999999999991</v>
      </c>
      <c r="U3700" s="5">
        <f>OrdersTable[[#This Row],[Gross Sale]]-OrdersTable[[#This Row],[Discount Amount]]</f>
        <v>1037.4000000000001</v>
      </c>
      <c r="V3700" s="77">
        <f>INDEX(Products!E:E,MATCH(OrdersTable[[#This Row],[Product ID]],Products!A:A,0))</f>
        <v>136</v>
      </c>
      <c r="W3700" s="77">
        <f>OrdersTable[[#This Row],[Quantity]]*OrdersTable[[#This Row],[Unit Cost]]</f>
        <v>544</v>
      </c>
      <c r="X3700" s="77">
        <f>'Dropdown Lists'!$I$2*(1+OrdersTable[[#This Row],[Returned]])</f>
        <v>60</v>
      </c>
      <c r="Y3700" s="76">
        <f>OrdersTable[[#This Row],[Net Revenue]]-OrdersTable[[#This Row],[COGS]]-OrdersTable[[#This Row],[Shipping Cost]]</f>
        <v>433.40000000000009</v>
      </c>
      <c r="Z3700" s="78">
        <f>IFERROR(OrdersTable[[#This Row],[Profit]]/OrdersTable[[#This Row],[Net Revenue]],0)</f>
        <v>0.4177752072488915</v>
      </c>
      <c r="AA3700" t="s">
        <v>4074</v>
      </c>
      <c r="AB3700" s="79">
        <v>45893</v>
      </c>
      <c r="AC3700">
        <f>OrdersTable[[#This Row],[Delivery Date]]-OrdersTable[[#This Row],[Order Date]]</f>
        <v>3</v>
      </c>
      <c r="AD3700" t="str">
        <f>IF(OrdersTable[[#This Row],[Delivery Days]]&lt;=2, "Express (≤2d)", IF(OrdersTable[[#This Row],[Delivery Days]]&lt;=4, "Standard (3-4d)", "Delayed (5d+)"))</f>
        <v>Standard (3-4d)</v>
      </c>
      <c r="AE3700">
        <v>4</v>
      </c>
      <c r="AF3700">
        <v>0</v>
      </c>
    </row>
    <row r="3701" spans="1:32" ht="15" x14ac:dyDescent="0.35">
      <c r="A3701" t="s">
        <v>7107</v>
      </c>
      <c r="B3701" s="1">
        <v>45890</v>
      </c>
      <c r="C3701">
        <f>YEAR(OrdersTable[[#This Row],[Order Date]])</f>
        <v>2025</v>
      </c>
      <c r="D3701" s="2">
        <f>DATE(YEAR(OrdersTable[[#This Row],[Order Date]]),MONTH(OrdersTable[[#This Row],[Order Date]]),1)</f>
        <v>45870</v>
      </c>
      <c r="E3701">
        <f>MONTH(OrdersTable[[#This Row],[Order Date]])</f>
        <v>8</v>
      </c>
      <c r="F3701" t="s">
        <v>7108</v>
      </c>
      <c r="G3701" t="str">
        <f>IF(OrdersTable[[#This Row],[Order Date]]=_xlfn.MINIFS(Order_Date, Customer_ID, OrdersTable[[#This Row],[Customer ID]]), "New", "Repeat")</f>
        <v>New</v>
      </c>
      <c r="H3701" t="s">
        <v>71</v>
      </c>
      <c r="I3701" t="str">
        <f>INDEX(State!B:B,MATCH(OrdersTable[[#This Row],[State]],State!A:A,0))</f>
        <v>MH</v>
      </c>
      <c r="J3701" t="str">
        <f>INDEX(State!C:C,MATCH(OrdersTable[[#This Row],[State Code]],State!B:B,0))</f>
        <v>West</v>
      </c>
      <c r="K3701" t="s">
        <v>102</v>
      </c>
      <c r="L3701" t="s">
        <v>39</v>
      </c>
      <c r="M3701" t="s">
        <v>106</v>
      </c>
      <c r="N3701" t="str">
        <f>INDEX(Products!B:B,MATCH(OrdersTable[[#This Row],[Product ID]],Products!A:A,0))</f>
        <v>Keratin Hair Mask</v>
      </c>
      <c r="O3701" t="str">
        <f>INDEX(Products!C:C,MATCH(OrdersTable[[#This Row],[Product ID]],Products!A:A,0))</f>
        <v>Haircare</v>
      </c>
      <c r="P3701">
        <v>4</v>
      </c>
      <c r="Q3701" s="5">
        <v>549</v>
      </c>
      <c r="R3701" s="74">
        <v>0.1</v>
      </c>
      <c r="S3701" s="75">
        <f>OrdersTable[[#This Row],[Quantity]]*OrdersTable[[#This Row],[Unit Price]]</f>
        <v>2196</v>
      </c>
      <c r="T3701" s="5">
        <f>OrdersTable[[#This Row],[Gross Sale]]*OrdersTable[[#This Row],[Discount_Clean2]]</f>
        <v>219.60000000000002</v>
      </c>
      <c r="U3701" s="5">
        <f>OrdersTable[[#This Row],[Gross Sale]]-OrdersTable[[#This Row],[Discount Amount]]</f>
        <v>1976.4</v>
      </c>
      <c r="V3701" s="77">
        <f>INDEX(Products!E:E,MATCH(OrdersTable[[#This Row],[Product ID]],Products!A:A,0))</f>
        <v>170</v>
      </c>
      <c r="W3701" s="77">
        <f>OrdersTable[[#This Row],[Quantity]]*OrdersTable[[#This Row],[Unit Cost]]</f>
        <v>680</v>
      </c>
      <c r="X3701" s="77">
        <f>'Dropdown Lists'!$I$2*(1+OrdersTable[[#This Row],[Returned]])</f>
        <v>60</v>
      </c>
      <c r="Y3701" s="76">
        <f>OrdersTable[[#This Row],[Net Revenue]]-OrdersTable[[#This Row],[COGS]]-OrdersTable[[#This Row],[Shipping Cost]]</f>
        <v>1236.4000000000001</v>
      </c>
      <c r="Z3701" s="78">
        <f>IFERROR(OrdersTable[[#This Row],[Profit]]/OrdersTable[[#This Row],[Net Revenue]],0)</f>
        <v>0.62558186601902455</v>
      </c>
      <c r="AA3701" t="s">
        <v>18</v>
      </c>
      <c r="AB3701" s="79">
        <v>45893</v>
      </c>
      <c r="AC3701">
        <f>OrdersTable[[#This Row],[Delivery Date]]-OrdersTable[[#This Row],[Order Date]]</f>
        <v>3</v>
      </c>
      <c r="AD3701" t="str">
        <f>IF(OrdersTable[[#This Row],[Delivery Days]]&lt;=2, "Express (≤2d)", IF(OrdersTable[[#This Row],[Delivery Days]]&lt;=4, "Standard (3-4d)", "Delayed (5d+)"))</f>
        <v>Standard (3-4d)</v>
      </c>
      <c r="AF3701">
        <v>0</v>
      </c>
    </row>
    <row r="3702" spans="1:32" ht="15" x14ac:dyDescent="0.35">
      <c r="A3702" t="s">
        <v>4623</v>
      </c>
      <c r="B3702" s="1">
        <v>45890</v>
      </c>
      <c r="C3702">
        <f>YEAR(OrdersTable[[#This Row],[Order Date]])</f>
        <v>2025</v>
      </c>
      <c r="D3702" s="2">
        <f>DATE(YEAR(OrdersTable[[#This Row],[Order Date]]),MONTH(OrdersTable[[#This Row],[Order Date]]),1)</f>
        <v>45870</v>
      </c>
      <c r="E3702">
        <f>MONTH(OrdersTable[[#This Row],[Order Date]])</f>
        <v>8</v>
      </c>
      <c r="F3702" t="s">
        <v>841</v>
      </c>
      <c r="G3702" t="str">
        <f>IF(OrdersTable[[#This Row],[Order Date]]=_xlfn.MINIFS(Order_Date, Customer_ID, OrdersTable[[#This Row],[Customer ID]]), "New", "Repeat")</f>
        <v>Repeat</v>
      </c>
      <c r="H3702" t="s">
        <v>59</v>
      </c>
      <c r="I3702" t="str">
        <f>INDEX(State!B:B,MATCH(OrdersTable[[#This Row],[State]],State!A:A,0))</f>
        <v>TN</v>
      </c>
      <c r="J3702" t="str">
        <f>INDEX(State!C:C,MATCH(OrdersTable[[#This Row],[State Code]],State!B:B,0))</f>
        <v>South</v>
      </c>
      <c r="K3702" t="s">
        <v>64</v>
      </c>
      <c r="L3702" t="s">
        <v>16</v>
      </c>
      <c r="M3702" t="s">
        <v>92</v>
      </c>
      <c r="N3702" t="str">
        <f>INDEX(Products!B:B,MATCH(OrdersTable[[#This Row],[Product ID]],Products!A:A,0))</f>
        <v>Kolhapuri Sandals</v>
      </c>
      <c r="O3702" t="str">
        <f>INDEX(Products!C:C,MATCH(OrdersTable[[#This Row],[Product ID]],Products!A:A,0))</f>
        <v>Footwear</v>
      </c>
      <c r="P3702">
        <v>1</v>
      </c>
      <c r="Q3702" s="5">
        <v>999</v>
      </c>
      <c r="R3702" s="74">
        <v>0</v>
      </c>
      <c r="S3702" s="75">
        <f>OrdersTable[[#This Row],[Quantity]]*OrdersTable[[#This Row],[Unit Price]]</f>
        <v>999</v>
      </c>
      <c r="T3702" s="5">
        <f>OrdersTable[[#This Row],[Gross Sale]]*OrdersTable[[#This Row],[Discount_Clean2]]</f>
        <v>0</v>
      </c>
      <c r="U3702" s="5">
        <f>OrdersTable[[#This Row],[Gross Sale]]-OrdersTable[[#This Row],[Discount Amount]]</f>
        <v>999</v>
      </c>
      <c r="V3702" s="77">
        <f>INDEX(Products!E:E,MATCH(OrdersTable[[#This Row],[Product ID]],Products!A:A,0))</f>
        <v>400</v>
      </c>
      <c r="W3702" s="77">
        <f>OrdersTable[[#This Row],[Quantity]]*OrdersTable[[#This Row],[Unit Cost]]</f>
        <v>400</v>
      </c>
      <c r="X3702" s="77">
        <f>'Dropdown Lists'!$I$2*(1+OrdersTable[[#This Row],[Returned]])</f>
        <v>60</v>
      </c>
      <c r="Y3702" s="76">
        <f>OrdersTable[[#This Row],[Net Revenue]]-OrdersTable[[#This Row],[COGS]]-OrdersTable[[#This Row],[Shipping Cost]]</f>
        <v>539</v>
      </c>
      <c r="Z3702" s="78">
        <f>IFERROR(OrdersTable[[#This Row],[Profit]]/OrdersTable[[#This Row],[Net Revenue]],0)</f>
        <v>0.53953953953953959</v>
      </c>
      <c r="AA3702" t="s">
        <v>4450</v>
      </c>
      <c r="AB3702" s="79">
        <v>45893</v>
      </c>
      <c r="AC3702">
        <f>OrdersTable[[#This Row],[Delivery Date]]-OrdersTable[[#This Row],[Order Date]]</f>
        <v>3</v>
      </c>
      <c r="AD3702" t="str">
        <f>IF(OrdersTable[[#This Row],[Delivery Days]]&lt;=2, "Express (≤2d)", IF(OrdersTable[[#This Row],[Delivery Days]]&lt;=4, "Standard (3-4d)", "Delayed (5d+)"))</f>
        <v>Standard (3-4d)</v>
      </c>
      <c r="AF3702">
        <v>0</v>
      </c>
    </row>
    <row r="3703" spans="1:32" ht="15" x14ac:dyDescent="0.35">
      <c r="A3703" t="s">
        <v>5539</v>
      </c>
      <c r="B3703" s="1">
        <v>45891</v>
      </c>
      <c r="C3703">
        <f>YEAR(OrdersTable[[#This Row],[Order Date]])</f>
        <v>2025</v>
      </c>
      <c r="D3703" s="2">
        <f>DATE(YEAR(OrdersTable[[#This Row],[Order Date]]),MONTH(OrdersTable[[#This Row],[Order Date]]),1)</f>
        <v>45870</v>
      </c>
      <c r="E3703">
        <f>MONTH(OrdersTable[[#This Row],[Order Date]])</f>
        <v>8</v>
      </c>
      <c r="F3703" t="s">
        <v>1725</v>
      </c>
      <c r="G3703" t="str">
        <f>IF(OrdersTable[[#This Row],[Order Date]]=_xlfn.MINIFS(Order_Date, Customer_ID, OrdersTable[[#This Row],[Customer ID]]), "New", "Repeat")</f>
        <v>Repeat</v>
      </c>
      <c r="H3703" t="s">
        <v>32</v>
      </c>
      <c r="I3703" t="str">
        <f>INDEX(State!B:B,MATCH(OrdersTable[[#This Row],[State]],State!A:A,0))</f>
        <v>BR</v>
      </c>
      <c r="J3703" t="str">
        <f>INDEX(State!C:C,MATCH(OrdersTable[[#This Row],[State Code]],State!B:B,0))</f>
        <v>East</v>
      </c>
      <c r="K3703" t="s">
        <v>33</v>
      </c>
      <c r="L3703" t="s">
        <v>23</v>
      </c>
      <c r="M3703" t="s">
        <v>87</v>
      </c>
      <c r="N3703" t="str">
        <f>INDEX(Products!B:B,MATCH(OrdersTable[[#This Row],[Product ID]],Products!A:A,0))</f>
        <v>Linen Kurta</v>
      </c>
      <c r="O3703" t="str">
        <f>INDEX(Products!C:C,MATCH(OrdersTable[[#This Row],[Product ID]],Products!A:A,0))</f>
        <v>Apparel</v>
      </c>
      <c r="P3703">
        <v>2</v>
      </c>
      <c r="Q3703" s="5">
        <v>1499</v>
      </c>
      <c r="R3703" s="74">
        <v>0.3</v>
      </c>
      <c r="S3703" s="75">
        <f>OrdersTable[[#This Row],[Quantity]]*OrdersTable[[#This Row],[Unit Price]]</f>
        <v>2998</v>
      </c>
      <c r="T3703" s="5">
        <f>OrdersTable[[#This Row],[Gross Sale]]*OrdersTable[[#This Row],[Discount_Clean2]]</f>
        <v>899.4</v>
      </c>
      <c r="U3703" s="5">
        <f>OrdersTable[[#This Row],[Gross Sale]]-OrdersTable[[#This Row],[Discount Amount]]</f>
        <v>2098.6</v>
      </c>
      <c r="V3703" s="77">
        <f>INDEX(Products!E:E,MATCH(OrdersTable[[#This Row],[Product ID]],Products!A:A,0))</f>
        <v>630</v>
      </c>
      <c r="W3703" s="77">
        <f>OrdersTable[[#This Row],[Quantity]]*OrdersTable[[#This Row],[Unit Cost]]</f>
        <v>1260</v>
      </c>
      <c r="X3703" s="77">
        <f>'Dropdown Lists'!$I$2*(1+OrdersTable[[#This Row],[Returned]])</f>
        <v>60</v>
      </c>
      <c r="Y3703" s="76">
        <f>OrdersTable[[#This Row],[Net Revenue]]-OrdersTable[[#This Row],[COGS]]-OrdersTable[[#This Row],[Shipping Cost]]</f>
        <v>778.59999999999991</v>
      </c>
      <c r="Z3703" s="78">
        <f>IFERROR(OrdersTable[[#This Row],[Profit]]/OrdersTable[[#This Row],[Net Revenue]],0)</f>
        <v>0.3710092442580768</v>
      </c>
      <c r="AA3703" t="s">
        <v>2522</v>
      </c>
      <c r="AB3703" s="79">
        <v>45896</v>
      </c>
      <c r="AC3703">
        <f>OrdersTable[[#This Row],[Delivery Date]]-OrdersTable[[#This Row],[Order Date]]</f>
        <v>5</v>
      </c>
      <c r="AD3703" t="str">
        <f>IF(OrdersTable[[#This Row],[Delivery Days]]&lt;=2, "Express (≤2d)", IF(OrdersTable[[#This Row],[Delivery Days]]&lt;=4, "Standard (3-4d)", "Delayed (5d+)"))</f>
        <v>Delayed (5d+)</v>
      </c>
      <c r="AE3703">
        <v>4</v>
      </c>
      <c r="AF3703">
        <v>0</v>
      </c>
    </row>
    <row r="3704" spans="1:32" ht="15" x14ac:dyDescent="0.35">
      <c r="A3704" t="s">
        <v>4431</v>
      </c>
      <c r="B3704" s="1">
        <v>45891</v>
      </c>
      <c r="C3704">
        <f>YEAR(OrdersTable[[#This Row],[Order Date]])</f>
        <v>2025</v>
      </c>
      <c r="D3704" s="2">
        <f>DATE(YEAR(OrdersTable[[#This Row],[Order Date]]),MONTH(OrdersTable[[#This Row],[Order Date]]),1)</f>
        <v>45870</v>
      </c>
      <c r="E3704">
        <f>MONTH(OrdersTable[[#This Row],[Order Date]])</f>
        <v>8</v>
      </c>
      <c r="F3704" t="s">
        <v>4432</v>
      </c>
      <c r="G3704" t="str">
        <f>IF(OrdersTable[[#This Row],[Order Date]]=_xlfn.MINIFS(Order_Date, Customer_ID, OrdersTable[[#This Row],[Customer ID]]), "New", "Repeat")</f>
        <v>Repeat</v>
      </c>
      <c r="H3704" t="s">
        <v>123</v>
      </c>
      <c r="I3704" t="str">
        <f>INDEX(State!B:B,MATCH(OrdersTable[[#This Row],[State]],State!A:A,0))</f>
        <v>JH</v>
      </c>
      <c r="J3704" t="str">
        <f>INDEX(State!C:C,MATCH(OrdersTable[[#This Row],[State Code]],State!B:B,0))</f>
        <v>East</v>
      </c>
      <c r="K3704" t="s">
        <v>124</v>
      </c>
      <c r="L3704" t="s">
        <v>16</v>
      </c>
      <c r="M3704" t="s">
        <v>255</v>
      </c>
      <c r="N3704" t="str">
        <f>INDEX(Products!B:B,MATCH(OrdersTable[[#This Row],[Product ID]],Products!A:A,0))</f>
        <v>Cotton Oversized T-Shirt</v>
      </c>
      <c r="O3704" t="str">
        <f>INDEX(Products!C:C,MATCH(OrdersTable[[#This Row],[Product ID]],Products!A:A,0))</f>
        <v>Apparel</v>
      </c>
      <c r="P3704">
        <v>1</v>
      </c>
      <c r="Q3704" s="5">
        <v>799</v>
      </c>
      <c r="R3704" s="74">
        <v>0</v>
      </c>
      <c r="S3704" s="75">
        <f>OrdersTable[[#This Row],[Quantity]]*OrdersTable[[#This Row],[Unit Price]]</f>
        <v>799</v>
      </c>
      <c r="T3704" s="5">
        <f>OrdersTable[[#This Row],[Gross Sale]]*OrdersTable[[#This Row],[Discount_Clean2]]</f>
        <v>0</v>
      </c>
      <c r="U3704" s="5">
        <f>OrdersTable[[#This Row],[Gross Sale]]-OrdersTable[[#This Row],[Discount Amount]]</f>
        <v>799</v>
      </c>
      <c r="V3704" s="77">
        <f>INDEX(Products!E:E,MATCH(OrdersTable[[#This Row],[Product ID]],Products!A:A,0))</f>
        <v>320</v>
      </c>
      <c r="W3704" s="77">
        <f>OrdersTable[[#This Row],[Quantity]]*OrdersTable[[#This Row],[Unit Cost]]</f>
        <v>320</v>
      </c>
      <c r="X3704" s="77">
        <f>'Dropdown Lists'!$I$2*(1+OrdersTable[[#This Row],[Returned]])</f>
        <v>60</v>
      </c>
      <c r="Y3704" s="76">
        <f>OrdersTable[[#This Row],[Net Revenue]]-OrdersTable[[#This Row],[COGS]]-OrdersTable[[#This Row],[Shipping Cost]]</f>
        <v>419</v>
      </c>
      <c r="Z3704" s="78">
        <f>IFERROR(OrdersTable[[#This Row],[Profit]]/OrdersTable[[#This Row],[Net Revenue]],0)</f>
        <v>0.52440550688360454</v>
      </c>
      <c r="AA3704" t="s">
        <v>4074</v>
      </c>
      <c r="AB3704" s="79">
        <v>45896</v>
      </c>
      <c r="AC3704">
        <f>OrdersTable[[#This Row],[Delivery Date]]-OrdersTable[[#This Row],[Order Date]]</f>
        <v>5</v>
      </c>
      <c r="AD3704" t="str">
        <f>IF(OrdersTable[[#This Row],[Delivery Days]]&lt;=2, "Express (≤2d)", IF(OrdersTable[[#This Row],[Delivery Days]]&lt;=4, "Standard (3-4d)", "Delayed (5d+)"))</f>
        <v>Delayed (5d+)</v>
      </c>
      <c r="AE3704">
        <v>4</v>
      </c>
      <c r="AF3704">
        <v>0</v>
      </c>
    </row>
    <row r="3705" spans="1:32" ht="15" x14ac:dyDescent="0.35">
      <c r="A3705" t="s">
        <v>6193</v>
      </c>
      <c r="B3705" s="1">
        <v>45891</v>
      </c>
      <c r="C3705">
        <f>YEAR(OrdersTable[[#This Row],[Order Date]])</f>
        <v>2025</v>
      </c>
      <c r="D3705" s="2">
        <f>DATE(YEAR(OrdersTable[[#This Row],[Order Date]]),MONTH(OrdersTable[[#This Row],[Order Date]]),1)</f>
        <v>45870</v>
      </c>
      <c r="E3705">
        <f>MONTH(OrdersTable[[#This Row],[Order Date]])</f>
        <v>8</v>
      </c>
      <c r="F3705" t="s">
        <v>745</v>
      </c>
      <c r="G3705" t="str">
        <f>IF(OrdersTable[[#This Row],[Order Date]]=_xlfn.MINIFS(Order_Date, Customer_ID, OrdersTable[[#This Row],[Customer ID]]), "New", "Repeat")</f>
        <v>Repeat</v>
      </c>
      <c r="H3705" t="s">
        <v>27</v>
      </c>
      <c r="I3705" t="str">
        <f>INDEX(State!B:B,MATCH(OrdersTable[[#This Row],[State]],State!A:A,0))</f>
        <v>WB</v>
      </c>
      <c r="J3705" t="str">
        <f>INDEX(State!C:C,MATCH(OrdersTable[[#This Row],[State Code]],State!B:B,0))</f>
        <v>East</v>
      </c>
      <c r="K3705" t="s">
        <v>28</v>
      </c>
      <c r="L3705" t="s">
        <v>16</v>
      </c>
      <c r="M3705" t="s">
        <v>87</v>
      </c>
      <c r="N3705" t="str">
        <f>INDEX(Products!B:B,MATCH(OrdersTable[[#This Row],[Product ID]],Products!A:A,0))</f>
        <v>Linen Kurta</v>
      </c>
      <c r="O3705" t="str">
        <f>INDEX(Products!C:C,MATCH(OrdersTable[[#This Row],[Product ID]],Products!A:A,0))</f>
        <v>Apparel</v>
      </c>
      <c r="P3705">
        <v>2</v>
      </c>
      <c r="Q3705" s="5">
        <v>1499</v>
      </c>
      <c r="R3705" s="74">
        <v>0.3</v>
      </c>
      <c r="S3705" s="75">
        <f>OrdersTable[[#This Row],[Quantity]]*OrdersTable[[#This Row],[Unit Price]]</f>
        <v>2998</v>
      </c>
      <c r="T3705" s="5">
        <f>OrdersTable[[#This Row],[Gross Sale]]*OrdersTable[[#This Row],[Discount_Clean2]]</f>
        <v>899.4</v>
      </c>
      <c r="U3705" s="5">
        <f>OrdersTable[[#This Row],[Gross Sale]]-OrdersTable[[#This Row],[Discount Amount]]</f>
        <v>2098.6</v>
      </c>
      <c r="V3705" s="77">
        <f>INDEX(Products!E:E,MATCH(OrdersTable[[#This Row],[Product ID]],Products!A:A,0))</f>
        <v>630</v>
      </c>
      <c r="W3705" s="77">
        <f>OrdersTable[[#This Row],[Quantity]]*OrdersTable[[#This Row],[Unit Cost]]</f>
        <v>1260</v>
      </c>
      <c r="X3705" s="77">
        <f>'Dropdown Lists'!$I$2*(1+OrdersTable[[#This Row],[Returned]])</f>
        <v>60</v>
      </c>
      <c r="Y3705" s="76">
        <f>OrdersTable[[#This Row],[Net Revenue]]-OrdersTable[[#This Row],[COGS]]-OrdersTable[[#This Row],[Shipping Cost]]</f>
        <v>778.59999999999991</v>
      </c>
      <c r="Z3705" s="78">
        <f>IFERROR(OrdersTable[[#This Row],[Profit]]/OrdersTable[[#This Row],[Net Revenue]],0)</f>
        <v>0.3710092442580768</v>
      </c>
      <c r="AA3705" t="s">
        <v>18</v>
      </c>
      <c r="AB3705" s="79">
        <v>45894</v>
      </c>
      <c r="AC3705">
        <f>OrdersTable[[#This Row],[Delivery Date]]-OrdersTable[[#This Row],[Order Date]]</f>
        <v>3</v>
      </c>
      <c r="AD3705" t="str">
        <f>IF(OrdersTable[[#This Row],[Delivery Days]]&lt;=2, "Express (≤2d)", IF(OrdersTable[[#This Row],[Delivery Days]]&lt;=4, "Standard (3-4d)", "Delayed (5d+)"))</f>
        <v>Standard (3-4d)</v>
      </c>
      <c r="AE3705">
        <v>4</v>
      </c>
      <c r="AF3705">
        <v>0</v>
      </c>
    </row>
    <row r="3706" spans="1:32" ht="15" x14ac:dyDescent="0.35">
      <c r="A3706" t="s">
        <v>5825</v>
      </c>
      <c r="B3706" s="1">
        <v>45891</v>
      </c>
      <c r="C3706">
        <f>YEAR(OrdersTable[[#This Row],[Order Date]])</f>
        <v>2025</v>
      </c>
      <c r="D3706" s="2">
        <f>DATE(YEAR(OrdersTable[[#This Row],[Order Date]]),MONTH(OrdersTable[[#This Row],[Order Date]]),1)</f>
        <v>45870</v>
      </c>
      <c r="E3706">
        <f>MONTH(OrdersTable[[#This Row],[Order Date]])</f>
        <v>8</v>
      </c>
      <c r="F3706" t="s">
        <v>555</v>
      </c>
      <c r="G3706" t="str">
        <f>IF(OrdersTable[[#This Row],[Order Date]]=_xlfn.MINIFS(Order_Date, Customer_ID, OrdersTable[[#This Row],[Customer ID]]), "New", "Repeat")</f>
        <v>Repeat</v>
      </c>
      <c r="H3706" t="s">
        <v>71</v>
      </c>
      <c r="I3706" t="str">
        <f>INDEX(State!B:B,MATCH(OrdersTable[[#This Row],[State]],State!A:A,0))</f>
        <v>MH</v>
      </c>
      <c r="J3706" t="str">
        <f>INDEX(State!C:C,MATCH(OrdersTable[[#This Row],[State Code]],State!B:B,0))</f>
        <v>West</v>
      </c>
      <c r="K3706" t="s">
        <v>81</v>
      </c>
      <c r="L3706" t="s">
        <v>50</v>
      </c>
      <c r="M3706" t="s">
        <v>109</v>
      </c>
      <c r="N3706" t="str">
        <f>INDEX(Products!B:B,MATCH(OrdersTable[[#This Row],[Product ID]],Products!A:A,0))</f>
        <v>Onion Hair Oil</v>
      </c>
      <c r="O3706" t="str">
        <f>INDEX(Products!C:C,MATCH(OrdersTable[[#This Row],[Product ID]],Products!A:A,0))</f>
        <v>Haircare</v>
      </c>
      <c r="P3706">
        <v>2</v>
      </c>
      <c r="Q3706" s="5">
        <v>349</v>
      </c>
      <c r="R3706" s="74">
        <v>0.3</v>
      </c>
      <c r="S3706" s="75">
        <f>OrdersTable[[#This Row],[Quantity]]*OrdersTable[[#This Row],[Unit Price]]</f>
        <v>698</v>
      </c>
      <c r="T3706" s="5">
        <f>OrdersTable[[#This Row],[Gross Sale]]*OrdersTable[[#This Row],[Discount_Clean2]]</f>
        <v>209.4</v>
      </c>
      <c r="U3706" s="5">
        <f>OrdersTable[[#This Row],[Gross Sale]]-OrdersTable[[#This Row],[Discount Amount]]</f>
        <v>488.6</v>
      </c>
      <c r="V3706" s="77">
        <f>INDEX(Products!E:E,MATCH(OrdersTable[[#This Row],[Product ID]],Products!A:A,0))</f>
        <v>105</v>
      </c>
      <c r="W3706" s="77">
        <f>OrdersTable[[#This Row],[Quantity]]*OrdersTable[[#This Row],[Unit Cost]]</f>
        <v>210</v>
      </c>
      <c r="X3706" s="77">
        <f>'Dropdown Lists'!$I$2*(1+OrdersTable[[#This Row],[Returned]])</f>
        <v>60</v>
      </c>
      <c r="Y3706" s="76">
        <f>OrdersTable[[#This Row],[Net Revenue]]-OrdersTable[[#This Row],[COGS]]-OrdersTable[[#This Row],[Shipping Cost]]</f>
        <v>218.60000000000002</v>
      </c>
      <c r="Z3706" s="78">
        <f>IFERROR(OrdersTable[[#This Row],[Profit]]/OrdersTable[[#This Row],[Net Revenue]],0)</f>
        <v>0.44740073679901765</v>
      </c>
      <c r="AA3706" t="s">
        <v>18</v>
      </c>
      <c r="AB3706" s="79">
        <v>45892</v>
      </c>
      <c r="AC3706">
        <f>OrdersTable[[#This Row],[Delivery Date]]-OrdersTable[[#This Row],[Order Date]]</f>
        <v>1</v>
      </c>
      <c r="AD3706" t="str">
        <f>IF(OrdersTable[[#This Row],[Delivery Days]]&lt;=2, "Express (≤2d)", IF(OrdersTable[[#This Row],[Delivery Days]]&lt;=4, "Standard (3-4d)", "Delayed (5d+)"))</f>
        <v>Express (≤2d)</v>
      </c>
      <c r="AE3706">
        <v>5</v>
      </c>
      <c r="AF3706">
        <v>0</v>
      </c>
    </row>
    <row r="3707" spans="1:32" ht="15" x14ac:dyDescent="0.35">
      <c r="A3707" t="s">
        <v>6194</v>
      </c>
      <c r="B3707" s="1">
        <v>45891</v>
      </c>
      <c r="C3707">
        <f>YEAR(OrdersTable[[#This Row],[Order Date]])</f>
        <v>2025</v>
      </c>
      <c r="D3707" s="2">
        <f>DATE(YEAR(OrdersTable[[#This Row],[Order Date]]),MONTH(OrdersTable[[#This Row],[Order Date]]),1)</f>
        <v>45870</v>
      </c>
      <c r="E3707">
        <f>MONTH(OrdersTable[[#This Row],[Order Date]])</f>
        <v>8</v>
      </c>
      <c r="F3707" t="s">
        <v>1085</v>
      </c>
      <c r="G3707" t="str">
        <f>IF(OrdersTable[[#This Row],[Order Date]]=_xlfn.MINIFS(Order_Date, Customer_ID, OrdersTable[[#This Row],[Customer ID]]), "New", "Repeat")</f>
        <v>Repeat</v>
      </c>
      <c r="H3707" t="s">
        <v>275</v>
      </c>
      <c r="I3707" t="str">
        <f>INDEX(State!B:B,MATCH(OrdersTable[[#This Row],[State]],State!A:A,0))</f>
        <v>AP</v>
      </c>
      <c r="J3707" t="str">
        <f>INDEX(State!C:C,MATCH(OrdersTable[[#This Row],[State Code]],State!B:B,0))</f>
        <v>South</v>
      </c>
      <c r="K3707" t="s">
        <v>276</v>
      </c>
      <c r="L3707" t="s">
        <v>50</v>
      </c>
      <c r="M3707" t="s">
        <v>61</v>
      </c>
      <c r="N3707" t="str">
        <f>INDEX(Products!B:B,MATCH(OrdersTable[[#This Row],[Product ID]],Products!A:A,0))</f>
        <v>Multivitamin Gummies</v>
      </c>
      <c r="O3707" t="str">
        <f>INDEX(Products!C:C,MATCH(OrdersTable[[#This Row],[Product ID]],Products!A:A,0))</f>
        <v>Wellness</v>
      </c>
      <c r="P3707">
        <v>2</v>
      </c>
      <c r="Q3707" s="5">
        <v>699</v>
      </c>
      <c r="R3707" s="74">
        <v>0.25</v>
      </c>
      <c r="S3707" s="75">
        <f>OrdersTable[[#This Row],[Quantity]]*OrdersTable[[#This Row],[Unit Price]]</f>
        <v>1398</v>
      </c>
      <c r="T3707" s="5">
        <f>OrdersTable[[#This Row],[Gross Sale]]*OrdersTable[[#This Row],[Discount_Clean2]]</f>
        <v>349.5</v>
      </c>
      <c r="U3707" s="5">
        <f>OrdersTable[[#This Row],[Gross Sale]]-OrdersTable[[#This Row],[Discount Amount]]</f>
        <v>1048.5</v>
      </c>
      <c r="V3707" s="77">
        <f>INDEX(Products!E:E,MATCH(OrdersTable[[#This Row],[Product ID]],Products!A:A,0))</f>
        <v>238</v>
      </c>
      <c r="W3707" s="77">
        <f>OrdersTable[[#This Row],[Quantity]]*OrdersTable[[#This Row],[Unit Cost]]</f>
        <v>476</v>
      </c>
      <c r="X3707" s="77">
        <f>'Dropdown Lists'!$I$2*(1+OrdersTable[[#This Row],[Returned]])</f>
        <v>60</v>
      </c>
      <c r="Y3707" s="76">
        <f>OrdersTable[[#This Row],[Net Revenue]]-OrdersTable[[#This Row],[COGS]]-OrdersTable[[#This Row],[Shipping Cost]]</f>
        <v>512.5</v>
      </c>
      <c r="Z3707" s="78">
        <f>IFERROR(OrdersTable[[#This Row],[Profit]]/OrdersTable[[#This Row],[Net Revenue]],0)</f>
        <v>0.48879351454458753</v>
      </c>
      <c r="AA3707" t="s">
        <v>18</v>
      </c>
      <c r="AB3707" s="79">
        <v>45895</v>
      </c>
      <c r="AC3707">
        <f>OrdersTable[[#This Row],[Delivery Date]]-OrdersTable[[#This Row],[Order Date]]</f>
        <v>4</v>
      </c>
      <c r="AD3707" t="str">
        <f>IF(OrdersTable[[#This Row],[Delivery Days]]&lt;=2, "Express (≤2d)", IF(OrdersTable[[#This Row],[Delivery Days]]&lt;=4, "Standard (3-4d)", "Delayed (5d+)"))</f>
        <v>Standard (3-4d)</v>
      </c>
      <c r="AE3707">
        <v>4</v>
      </c>
      <c r="AF3707">
        <v>0</v>
      </c>
    </row>
    <row r="3708" spans="1:32" ht="15" x14ac:dyDescent="0.35">
      <c r="A3708" t="s">
        <v>6394</v>
      </c>
      <c r="B3708" s="1">
        <v>45891</v>
      </c>
      <c r="C3708">
        <f>YEAR(OrdersTable[[#This Row],[Order Date]])</f>
        <v>2025</v>
      </c>
      <c r="D3708" s="2">
        <f>DATE(YEAR(OrdersTable[[#This Row],[Order Date]]),MONTH(OrdersTable[[#This Row],[Order Date]]),1)</f>
        <v>45870</v>
      </c>
      <c r="E3708">
        <f>MONTH(OrdersTable[[#This Row],[Order Date]])</f>
        <v>8</v>
      </c>
      <c r="F3708" t="s">
        <v>5922</v>
      </c>
      <c r="G3708" t="str">
        <f>IF(OrdersTable[[#This Row],[Order Date]]=_xlfn.MINIFS(Order_Date, Customer_ID, OrdersTable[[#This Row],[Customer ID]]), "New", "Repeat")</f>
        <v>Repeat</v>
      </c>
      <c r="H3708" t="s">
        <v>275</v>
      </c>
      <c r="I3708" t="str">
        <f>INDEX(State!B:B,MATCH(OrdersTable[[#This Row],[State]],State!A:A,0))</f>
        <v>AP</v>
      </c>
      <c r="J3708" t="str">
        <f>INDEX(State!C:C,MATCH(OrdersTable[[#This Row],[State Code]],State!B:B,0))</f>
        <v>South</v>
      </c>
      <c r="K3708" t="s">
        <v>276</v>
      </c>
      <c r="L3708" t="s">
        <v>65</v>
      </c>
      <c r="M3708" t="s">
        <v>34</v>
      </c>
      <c r="N3708" t="str">
        <f>INDEX(Products!B:B,MATCH(OrdersTable[[#This Row],[Product ID]],Products!A:A,0))</f>
        <v>Flip Flops</v>
      </c>
      <c r="O3708" t="str">
        <f>INDEX(Products!C:C,MATCH(OrdersTable[[#This Row],[Product ID]],Products!A:A,0))</f>
        <v>Footwear</v>
      </c>
      <c r="P3708">
        <v>2</v>
      </c>
      <c r="Q3708" s="5">
        <v>399</v>
      </c>
      <c r="R3708" s="74">
        <v>0.1</v>
      </c>
      <c r="S3708" s="75">
        <f>OrdersTable[[#This Row],[Quantity]]*OrdersTable[[#This Row],[Unit Price]]</f>
        <v>798</v>
      </c>
      <c r="T3708" s="5">
        <f>OrdersTable[[#This Row],[Gross Sale]]*OrdersTable[[#This Row],[Discount_Clean2]]</f>
        <v>79.800000000000011</v>
      </c>
      <c r="U3708" s="5">
        <f>OrdersTable[[#This Row],[Gross Sale]]-OrdersTable[[#This Row],[Discount Amount]]</f>
        <v>718.2</v>
      </c>
      <c r="V3708" s="77">
        <f>INDEX(Products!E:E,MATCH(OrdersTable[[#This Row],[Product ID]],Products!A:A,0))</f>
        <v>152</v>
      </c>
      <c r="W3708" s="77">
        <f>OrdersTable[[#This Row],[Quantity]]*OrdersTable[[#This Row],[Unit Cost]]</f>
        <v>304</v>
      </c>
      <c r="X3708" s="77">
        <f>'Dropdown Lists'!$I$2*(1+OrdersTable[[#This Row],[Returned]])</f>
        <v>60</v>
      </c>
      <c r="Y3708" s="76">
        <f>OrdersTable[[#This Row],[Net Revenue]]-OrdersTable[[#This Row],[COGS]]-OrdersTable[[#This Row],[Shipping Cost]]</f>
        <v>354.20000000000005</v>
      </c>
      <c r="Z3708" s="78">
        <f>IFERROR(OrdersTable[[#This Row],[Profit]]/OrdersTable[[#This Row],[Net Revenue]],0)</f>
        <v>0.49317738791423005</v>
      </c>
      <c r="AA3708" t="s">
        <v>18</v>
      </c>
      <c r="AB3708" s="79">
        <v>45896</v>
      </c>
      <c r="AC3708">
        <f>OrdersTable[[#This Row],[Delivery Date]]-OrdersTable[[#This Row],[Order Date]]</f>
        <v>5</v>
      </c>
      <c r="AD3708" t="str">
        <f>IF(OrdersTable[[#This Row],[Delivery Days]]&lt;=2, "Express (≤2d)", IF(OrdersTable[[#This Row],[Delivery Days]]&lt;=4, "Standard (3-4d)", "Delayed (5d+)"))</f>
        <v>Delayed (5d+)</v>
      </c>
      <c r="AE3708">
        <v>4</v>
      </c>
      <c r="AF3708">
        <v>0</v>
      </c>
    </row>
    <row r="3709" spans="1:32" ht="15" x14ac:dyDescent="0.35">
      <c r="A3709" t="s">
        <v>5720</v>
      </c>
      <c r="B3709" s="1">
        <v>45892</v>
      </c>
      <c r="C3709">
        <f>YEAR(OrdersTable[[#This Row],[Order Date]])</f>
        <v>2025</v>
      </c>
      <c r="D3709" s="2">
        <f>DATE(YEAR(OrdersTable[[#This Row],[Order Date]]),MONTH(OrdersTable[[#This Row],[Order Date]]),1)</f>
        <v>45870</v>
      </c>
      <c r="E3709">
        <f>MONTH(OrdersTable[[#This Row],[Order Date]])</f>
        <v>8</v>
      </c>
      <c r="F3709" t="s">
        <v>953</v>
      </c>
      <c r="G3709" t="str">
        <f>IF(OrdersTable[[#This Row],[Order Date]]=_xlfn.MINIFS(Order_Date, Customer_ID, OrdersTable[[#This Row],[Customer ID]]), "New", "Repeat")</f>
        <v>Repeat</v>
      </c>
      <c r="H3709" t="s">
        <v>48</v>
      </c>
      <c r="I3709" t="str">
        <f>INDEX(State!B:B,MATCH(OrdersTable[[#This Row],[State]],State!A:A,0))</f>
        <v>HR</v>
      </c>
      <c r="J3709" t="str">
        <f>INDEX(State!C:C,MATCH(OrdersTable[[#This Row],[State Code]],State!B:B,0))</f>
        <v>North</v>
      </c>
      <c r="K3709" t="s">
        <v>151</v>
      </c>
      <c r="L3709" t="s">
        <v>50</v>
      </c>
      <c r="M3709" t="s">
        <v>109</v>
      </c>
      <c r="N3709" t="str">
        <f>INDEX(Products!B:B,MATCH(OrdersTable[[#This Row],[Product ID]],Products!A:A,0))</f>
        <v>Onion Hair Oil</v>
      </c>
      <c r="O3709" t="str">
        <f>INDEX(Products!C:C,MATCH(OrdersTable[[#This Row],[Product ID]],Products!A:A,0))</f>
        <v>Haircare</v>
      </c>
      <c r="P3709">
        <v>2</v>
      </c>
      <c r="Q3709" s="5">
        <v>349</v>
      </c>
      <c r="R3709" s="74">
        <v>0.3</v>
      </c>
      <c r="S3709" s="75">
        <f>OrdersTable[[#This Row],[Quantity]]*OrdersTable[[#This Row],[Unit Price]]</f>
        <v>698</v>
      </c>
      <c r="T3709" s="5">
        <f>OrdersTable[[#This Row],[Gross Sale]]*OrdersTable[[#This Row],[Discount_Clean2]]</f>
        <v>209.4</v>
      </c>
      <c r="U3709" s="5">
        <f>OrdersTable[[#This Row],[Gross Sale]]-OrdersTable[[#This Row],[Discount Amount]]</f>
        <v>488.6</v>
      </c>
      <c r="V3709" s="77">
        <f>INDEX(Products!E:E,MATCH(OrdersTable[[#This Row],[Product ID]],Products!A:A,0))</f>
        <v>105</v>
      </c>
      <c r="W3709" s="77">
        <f>OrdersTable[[#This Row],[Quantity]]*OrdersTable[[#This Row],[Unit Cost]]</f>
        <v>210</v>
      </c>
      <c r="X3709" s="77">
        <f>'Dropdown Lists'!$I$2*(1+OrdersTable[[#This Row],[Returned]])</f>
        <v>60</v>
      </c>
      <c r="Y3709" s="76">
        <f>OrdersTable[[#This Row],[Net Revenue]]-OrdersTable[[#This Row],[COGS]]-OrdersTable[[#This Row],[Shipping Cost]]</f>
        <v>218.60000000000002</v>
      </c>
      <c r="Z3709" s="78">
        <f>IFERROR(OrdersTable[[#This Row],[Profit]]/OrdersTable[[#This Row],[Net Revenue]],0)</f>
        <v>0.44740073679901765</v>
      </c>
      <c r="AA3709" t="s">
        <v>18</v>
      </c>
      <c r="AB3709" s="79">
        <v>45897</v>
      </c>
      <c r="AC3709">
        <f>OrdersTable[[#This Row],[Delivery Date]]-OrdersTable[[#This Row],[Order Date]]</f>
        <v>5</v>
      </c>
      <c r="AD3709" t="str">
        <f>IF(OrdersTable[[#This Row],[Delivery Days]]&lt;=2, "Express (≤2d)", IF(OrdersTable[[#This Row],[Delivery Days]]&lt;=4, "Standard (3-4d)", "Delayed (5d+)"))</f>
        <v>Delayed (5d+)</v>
      </c>
      <c r="AE3709">
        <v>3</v>
      </c>
      <c r="AF3709">
        <v>0</v>
      </c>
    </row>
    <row r="3710" spans="1:32" ht="15" x14ac:dyDescent="0.35">
      <c r="A3710" t="s">
        <v>2512</v>
      </c>
      <c r="B3710" s="1">
        <v>45892</v>
      </c>
      <c r="C3710">
        <f>YEAR(OrdersTable[[#This Row],[Order Date]])</f>
        <v>2025</v>
      </c>
      <c r="D3710" s="2">
        <f>DATE(YEAR(OrdersTable[[#This Row],[Order Date]]),MONTH(OrdersTable[[#This Row],[Order Date]]),1)</f>
        <v>45870</v>
      </c>
      <c r="E3710">
        <f>MONTH(OrdersTable[[#This Row],[Order Date]])</f>
        <v>8</v>
      </c>
      <c r="F3710" t="s">
        <v>2513</v>
      </c>
      <c r="G3710" t="str">
        <f>IF(OrdersTable[[#This Row],[Order Date]]=_xlfn.MINIFS(Order_Date, Customer_ID, OrdersTable[[#This Row],[Customer ID]]), "New", "Repeat")</f>
        <v>New</v>
      </c>
      <c r="H3710" t="s">
        <v>76</v>
      </c>
      <c r="I3710" t="str">
        <f>INDEX(State!B:B,MATCH(OrdersTable[[#This Row],[State]],State!A:A,0))</f>
        <v>UP</v>
      </c>
      <c r="J3710" t="str">
        <f>INDEX(State!C:C,MATCH(OrdersTable[[#This Row],[State Code]],State!B:B,0))</f>
        <v>North</v>
      </c>
      <c r="K3710" t="s">
        <v>77</v>
      </c>
      <c r="L3710" t="s">
        <v>16</v>
      </c>
      <c r="M3710" t="s">
        <v>34</v>
      </c>
      <c r="N3710" t="str">
        <f>INDEX(Products!B:B,MATCH(OrdersTable[[#This Row],[Product ID]],Products!A:A,0))</f>
        <v>Flip Flops</v>
      </c>
      <c r="O3710" t="str">
        <f>INDEX(Products!C:C,MATCH(OrdersTable[[#This Row],[Product ID]],Products!A:A,0))</f>
        <v>Footwear</v>
      </c>
      <c r="P3710">
        <v>1</v>
      </c>
      <c r="Q3710" s="5">
        <v>399</v>
      </c>
      <c r="R3710" s="74">
        <v>0.2</v>
      </c>
      <c r="S3710" s="75">
        <f>OrdersTable[[#This Row],[Quantity]]*OrdersTable[[#This Row],[Unit Price]]</f>
        <v>399</v>
      </c>
      <c r="T3710" s="5">
        <f>OrdersTable[[#This Row],[Gross Sale]]*OrdersTable[[#This Row],[Discount_Clean2]]</f>
        <v>79.800000000000011</v>
      </c>
      <c r="U3710" s="5">
        <f>OrdersTable[[#This Row],[Gross Sale]]-OrdersTable[[#This Row],[Discount Amount]]</f>
        <v>319.2</v>
      </c>
      <c r="V3710" s="77">
        <f>INDEX(Products!E:E,MATCH(OrdersTable[[#This Row],[Product ID]],Products!A:A,0))</f>
        <v>152</v>
      </c>
      <c r="W3710" s="77">
        <f>OrdersTable[[#This Row],[Quantity]]*OrdersTable[[#This Row],[Unit Cost]]</f>
        <v>152</v>
      </c>
      <c r="X3710" s="77">
        <f>'Dropdown Lists'!$I$2*(1+OrdersTable[[#This Row],[Returned]])</f>
        <v>60</v>
      </c>
      <c r="Y3710" s="76">
        <f>OrdersTable[[#This Row],[Net Revenue]]-OrdersTable[[#This Row],[COGS]]-OrdersTable[[#This Row],[Shipping Cost]]</f>
        <v>107.19999999999999</v>
      </c>
      <c r="Z3710" s="78">
        <f>IFERROR(OrdersTable[[#This Row],[Profit]]/OrdersTable[[#This Row],[Net Revenue]],0)</f>
        <v>0.33583959899749372</v>
      </c>
      <c r="AA3710" t="s">
        <v>18</v>
      </c>
      <c r="AB3710" s="79">
        <v>45898</v>
      </c>
      <c r="AC3710">
        <f>OrdersTable[[#This Row],[Delivery Date]]-OrdersTable[[#This Row],[Order Date]]</f>
        <v>6</v>
      </c>
      <c r="AD3710" t="str">
        <f>IF(OrdersTable[[#This Row],[Delivery Days]]&lt;=2, "Express (≤2d)", IF(OrdersTable[[#This Row],[Delivery Days]]&lt;=4, "Standard (3-4d)", "Delayed (5d+)"))</f>
        <v>Delayed (5d+)</v>
      </c>
      <c r="AE3710">
        <v>2</v>
      </c>
      <c r="AF3710">
        <v>0</v>
      </c>
    </row>
    <row r="3711" spans="1:32" ht="15" x14ac:dyDescent="0.35">
      <c r="A3711" t="s">
        <v>357</v>
      </c>
      <c r="B3711" s="1">
        <v>45892</v>
      </c>
      <c r="C3711">
        <f>YEAR(OrdersTable[[#This Row],[Order Date]])</f>
        <v>2025</v>
      </c>
      <c r="D3711" s="2">
        <f>DATE(YEAR(OrdersTable[[#This Row],[Order Date]]),MONTH(OrdersTable[[#This Row],[Order Date]]),1)</f>
        <v>45870</v>
      </c>
      <c r="E3711">
        <f>MONTH(OrdersTable[[#This Row],[Order Date]])</f>
        <v>8</v>
      </c>
      <c r="F3711" t="s">
        <v>358</v>
      </c>
      <c r="G3711" t="str">
        <f>IF(OrdersTable[[#This Row],[Order Date]]=_xlfn.MINIFS(Order_Date, Customer_ID, OrdersTable[[#This Row],[Customer ID]]), "New", "Repeat")</f>
        <v>Repeat</v>
      </c>
      <c r="H3711" t="s">
        <v>32</v>
      </c>
      <c r="I3711" t="str">
        <f>INDEX(State!B:B,MATCH(OrdersTable[[#This Row],[State]],State!A:A,0))</f>
        <v>BR</v>
      </c>
      <c r="J3711" t="str">
        <f>INDEX(State!C:C,MATCH(OrdersTable[[#This Row],[State Code]],State!B:B,0))</f>
        <v>East</v>
      </c>
      <c r="K3711" t="s">
        <v>33</v>
      </c>
      <c r="L3711" t="s">
        <v>23</v>
      </c>
      <c r="M3711" t="s">
        <v>109</v>
      </c>
      <c r="N3711" t="str">
        <f>INDEX(Products!B:B,MATCH(OrdersTable[[#This Row],[Product ID]],Products!A:A,0))</f>
        <v>Onion Hair Oil</v>
      </c>
      <c r="O3711" t="str">
        <f>INDEX(Products!C:C,MATCH(OrdersTable[[#This Row],[Product ID]],Products!A:A,0))</f>
        <v>Haircare</v>
      </c>
      <c r="P3711">
        <v>1</v>
      </c>
      <c r="Q3711" s="5">
        <v>349</v>
      </c>
      <c r="R3711" s="74">
        <v>0.3</v>
      </c>
      <c r="S3711" s="75">
        <f>OrdersTable[[#This Row],[Quantity]]*OrdersTable[[#This Row],[Unit Price]]</f>
        <v>349</v>
      </c>
      <c r="T3711" s="5">
        <f>OrdersTable[[#This Row],[Gross Sale]]*OrdersTable[[#This Row],[Discount_Clean2]]</f>
        <v>104.7</v>
      </c>
      <c r="U3711" s="5">
        <f>OrdersTable[[#This Row],[Gross Sale]]-OrdersTable[[#This Row],[Discount Amount]]</f>
        <v>244.3</v>
      </c>
      <c r="V3711" s="77">
        <f>INDEX(Products!E:E,MATCH(OrdersTable[[#This Row],[Product ID]],Products!A:A,0))</f>
        <v>105</v>
      </c>
      <c r="W3711" s="77">
        <f>OrdersTable[[#This Row],[Quantity]]*OrdersTable[[#This Row],[Unit Cost]]</f>
        <v>105</v>
      </c>
      <c r="X3711" s="77">
        <f>'Dropdown Lists'!$I$2*(1+OrdersTable[[#This Row],[Returned]])</f>
        <v>60</v>
      </c>
      <c r="Y3711" s="76">
        <f>OrdersTable[[#This Row],[Net Revenue]]-OrdersTable[[#This Row],[COGS]]-OrdersTable[[#This Row],[Shipping Cost]]</f>
        <v>79.300000000000011</v>
      </c>
      <c r="Z3711" s="78">
        <f>IFERROR(OrdersTable[[#This Row],[Profit]]/OrdersTable[[#This Row],[Net Revenue]],0)</f>
        <v>0.32460090053213264</v>
      </c>
      <c r="AA3711" t="s">
        <v>18</v>
      </c>
      <c r="AB3711" s="79">
        <v>45896</v>
      </c>
      <c r="AC3711">
        <f>OrdersTable[[#This Row],[Delivery Date]]-OrdersTable[[#This Row],[Order Date]]</f>
        <v>4</v>
      </c>
      <c r="AD3711" t="str">
        <f>IF(OrdersTable[[#This Row],[Delivery Days]]&lt;=2, "Express (≤2d)", IF(OrdersTable[[#This Row],[Delivery Days]]&lt;=4, "Standard (3-4d)", "Delayed (5d+)"))</f>
        <v>Standard (3-4d)</v>
      </c>
      <c r="AE3711">
        <v>4</v>
      </c>
      <c r="AF3711">
        <v>0</v>
      </c>
    </row>
    <row r="3712" spans="1:32" ht="15" x14ac:dyDescent="0.35">
      <c r="A3712" t="s">
        <v>5222</v>
      </c>
      <c r="B3712" s="1">
        <v>45892</v>
      </c>
      <c r="C3712">
        <f>YEAR(OrdersTable[[#This Row],[Order Date]])</f>
        <v>2025</v>
      </c>
      <c r="D3712" s="2">
        <f>DATE(YEAR(OrdersTable[[#This Row],[Order Date]]),MONTH(OrdersTable[[#This Row],[Order Date]]),1)</f>
        <v>45870</v>
      </c>
      <c r="E3712">
        <f>MONTH(OrdersTable[[#This Row],[Order Date]])</f>
        <v>8</v>
      </c>
      <c r="F3712" t="s">
        <v>5223</v>
      </c>
      <c r="G3712" t="str">
        <f>IF(OrdersTable[[#This Row],[Order Date]]=_xlfn.MINIFS(Order_Date, Customer_ID, OrdersTable[[#This Row],[Customer ID]]), "New", "Repeat")</f>
        <v>Repeat</v>
      </c>
      <c r="H3712" t="s">
        <v>43</v>
      </c>
      <c r="I3712" t="str">
        <f>INDEX(State!B:B,MATCH(OrdersTable[[#This Row],[State]],State!A:A,0))</f>
        <v>MP</v>
      </c>
      <c r="J3712" t="str">
        <f>INDEX(State!C:C,MATCH(OrdersTable[[#This Row],[State Code]],State!B:B,0))</f>
        <v>West</v>
      </c>
      <c r="K3712" t="s">
        <v>250</v>
      </c>
      <c r="L3712" t="s">
        <v>50</v>
      </c>
      <c r="M3712" t="s">
        <v>106</v>
      </c>
      <c r="N3712" t="str">
        <f>INDEX(Products!B:B,MATCH(OrdersTable[[#This Row],[Product ID]],Products!A:A,0))</f>
        <v>Keratin Hair Mask</v>
      </c>
      <c r="O3712" t="str">
        <f>INDEX(Products!C:C,MATCH(OrdersTable[[#This Row],[Product ID]],Products!A:A,0))</f>
        <v>Haircare</v>
      </c>
      <c r="P3712">
        <v>2</v>
      </c>
      <c r="Q3712" s="5">
        <v>549</v>
      </c>
      <c r="R3712" s="74">
        <v>0.2</v>
      </c>
      <c r="S3712" s="75">
        <f>OrdersTable[[#This Row],[Quantity]]*OrdersTable[[#This Row],[Unit Price]]</f>
        <v>1098</v>
      </c>
      <c r="T3712" s="5">
        <f>OrdersTable[[#This Row],[Gross Sale]]*OrdersTable[[#This Row],[Discount_Clean2]]</f>
        <v>219.60000000000002</v>
      </c>
      <c r="U3712" s="5">
        <f>OrdersTable[[#This Row],[Gross Sale]]-OrdersTable[[#This Row],[Discount Amount]]</f>
        <v>878.4</v>
      </c>
      <c r="V3712" s="77">
        <f>INDEX(Products!E:E,MATCH(OrdersTable[[#This Row],[Product ID]],Products!A:A,0))</f>
        <v>170</v>
      </c>
      <c r="W3712" s="77">
        <f>OrdersTable[[#This Row],[Quantity]]*OrdersTable[[#This Row],[Unit Cost]]</f>
        <v>340</v>
      </c>
      <c r="X3712" s="77">
        <f>'Dropdown Lists'!$I$2*(1+OrdersTable[[#This Row],[Returned]])</f>
        <v>60</v>
      </c>
      <c r="Y3712" s="76">
        <f>OrdersTable[[#This Row],[Net Revenue]]-OrdersTable[[#This Row],[COGS]]-OrdersTable[[#This Row],[Shipping Cost]]</f>
        <v>478.4</v>
      </c>
      <c r="Z3712" s="78">
        <f>IFERROR(OrdersTable[[#This Row],[Profit]]/OrdersTable[[#This Row],[Net Revenue]],0)</f>
        <v>0.54462659380692169</v>
      </c>
      <c r="AA3712" t="s">
        <v>3495</v>
      </c>
      <c r="AB3712" s="79">
        <v>45897</v>
      </c>
      <c r="AC3712">
        <f>OrdersTable[[#This Row],[Delivery Date]]-OrdersTable[[#This Row],[Order Date]]</f>
        <v>5</v>
      </c>
      <c r="AD3712" t="str">
        <f>IF(OrdersTable[[#This Row],[Delivery Days]]&lt;=2, "Express (≤2d)", IF(OrdersTable[[#This Row],[Delivery Days]]&lt;=4, "Standard (3-4d)", "Delayed (5d+)"))</f>
        <v>Delayed (5d+)</v>
      </c>
      <c r="AE3712">
        <v>3</v>
      </c>
      <c r="AF3712">
        <v>0</v>
      </c>
    </row>
    <row r="3713" spans="1:32" ht="15" x14ac:dyDescent="0.35">
      <c r="A3713" t="s">
        <v>2019</v>
      </c>
      <c r="B3713" s="1">
        <v>45892</v>
      </c>
      <c r="C3713">
        <f>YEAR(OrdersTable[[#This Row],[Order Date]])</f>
        <v>2025</v>
      </c>
      <c r="D3713" s="2">
        <f>DATE(YEAR(OrdersTable[[#This Row],[Order Date]]),MONTH(OrdersTable[[#This Row],[Order Date]]),1)</f>
        <v>45870</v>
      </c>
      <c r="E3713">
        <f>MONTH(OrdersTable[[#This Row],[Order Date]])</f>
        <v>8</v>
      </c>
      <c r="F3713" t="s">
        <v>2020</v>
      </c>
      <c r="G3713" t="str">
        <f>IF(OrdersTable[[#This Row],[Order Date]]=_xlfn.MINIFS(Order_Date, Customer_ID, OrdersTable[[#This Row],[Customer ID]]), "New", "Repeat")</f>
        <v>Repeat</v>
      </c>
      <c r="H3713" t="s">
        <v>123</v>
      </c>
      <c r="I3713" t="str">
        <f>INDEX(State!B:B,MATCH(OrdersTable[[#This Row],[State]],State!A:A,0))</f>
        <v>JH</v>
      </c>
      <c r="J3713" t="str">
        <f>INDEX(State!C:C,MATCH(OrdersTable[[#This Row],[State Code]],State!B:B,0))</f>
        <v>East</v>
      </c>
      <c r="K3713" t="s">
        <v>124</v>
      </c>
      <c r="L3713" t="s">
        <v>16</v>
      </c>
      <c r="M3713" t="s">
        <v>29</v>
      </c>
      <c r="N3713" t="str">
        <f>INDEX(Products!B:B,MATCH(OrdersTable[[#This Row],[Product ID]],Products!A:A,0))</f>
        <v>Joggers</v>
      </c>
      <c r="O3713" t="str">
        <f>INDEX(Products!C:C,MATCH(OrdersTable[[#This Row],[Product ID]],Products!A:A,0))</f>
        <v>Apparel</v>
      </c>
      <c r="P3713">
        <v>1</v>
      </c>
      <c r="Q3713" s="5">
        <v>1199</v>
      </c>
      <c r="R3713" s="74">
        <v>0.1</v>
      </c>
      <c r="S3713" s="75">
        <f>OrdersTable[[#This Row],[Quantity]]*OrdersTable[[#This Row],[Unit Price]]</f>
        <v>1199</v>
      </c>
      <c r="T3713" s="5">
        <f>OrdersTable[[#This Row],[Gross Sale]]*OrdersTable[[#This Row],[Discount_Clean2]]</f>
        <v>119.9</v>
      </c>
      <c r="U3713" s="5">
        <f>OrdersTable[[#This Row],[Gross Sale]]-OrdersTable[[#This Row],[Discount Amount]]</f>
        <v>1079.0999999999999</v>
      </c>
      <c r="V3713" s="77">
        <f>INDEX(Products!E:E,MATCH(OrdersTable[[#This Row],[Product ID]],Products!A:A,0))</f>
        <v>492</v>
      </c>
      <c r="W3713" s="77">
        <f>OrdersTable[[#This Row],[Quantity]]*OrdersTable[[#This Row],[Unit Cost]]</f>
        <v>492</v>
      </c>
      <c r="X3713" s="77">
        <f>'Dropdown Lists'!$I$2*(1+OrdersTable[[#This Row],[Returned]])</f>
        <v>120</v>
      </c>
      <c r="Y3713" s="76">
        <f>OrdersTable[[#This Row],[Net Revenue]]-OrdersTable[[#This Row],[COGS]]-OrdersTable[[#This Row],[Shipping Cost]]</f>
        <v>467.09999999999991</v>
      </c>
      <c r="Z3713" s="78">
        <f>IFERROR(OrdersTable[[#This Row],[Profit]]/OrdersTable[[#This Row],[Net Revenue]],0)</f>
        <v>0.43286071726438696</v>
      </c>
      <c r="AA3713" t="s">
        <v>18</v>
      </c>
      <c r="AB3713" s="79">
        <v>45897</v>
      </c>
      <c r="AC3713">
        <f>OrdersTable[[#This Row],[Delivery Date]]-OrdersTable[[#This Row],[Order Date]]</f>
        <v>5</v>
      </c>
      <c r="AD3713" t="str">
        <f>IF(OrdersTable[[#This Row],[Delivery Days]]&lt;=2, "Express (≤2d)", IF(OrdersTable[[#This Row],[Delivery Days]]&lt;=4, "Standard (3-4d)", "Delayed (5d+)"))</f>
        <v>Delayed (5d+)</v>
      </c>
      <c r="AE3713">
        <v>3</v>
      </c>
      <c r="AF3713">
        <v>1</v>
      </c>
    </row>
    <row r="3714" spans="1:32" ht="15" x14ac:dyDescent="0.35">
      <c r="A3714" t="s">
        <v>5016</v>
      </c>
      <c r="B3714" s="1">
        <v>45892</v>
      </c>
      <c r="C3714">
        <f>YEAR(OrdersTable[[#This Row],[Order Date]])</f>
        <v>2025</v>
      </c>
      <c r="D3714" s="2">
        <f>DATE(YEAR(OrdersTable[[#This Row],[Order Date]]),MONTH(OrdersTable[[#This Row],[Order Date]]),1)</f>
        <v>45870</v>
      </c>
      <c r="E3714">
        <f>MONTH(OrdersTable[[#This Row],[Order Date]])</f>
        <v>8</v>
      </c>
      <c r="F3714" t="s">
        <v>4236</v>
      </c>
      <c r="G3714" t="str">
        <f>IF(OrdersTable[[#This Row],[Order Date]]=_xlfn.MINIFS(Order_Date, Customer_ID, OrdersTable[[#This Row],[Customer ID]]), "New", "Repeat")</f>
        <v>Repeat</v>
      </c>
      <c r="H3714" t="s">
        <v>14</v>
      </c>
      <c r="I3714" t="str">
        <f>INDEX(State!B:B,MATCH(OrdersTable[[#This Row],[State]],State!A:A,0))</f>
        <v>OD</v>
      </c>
      <c r="J3714" t="str">
        <f>INDEX(State!C:C,MATCH(OrdersTable[[#This Row],[State Code]],State!B:B,0))</f>
        <v>East</v>
      </c>
      <c r="K3714" t="s">
        <v>15</v>
      </c>
      <c r="L3714" t="s">
        <v>65</v>
      </c>
      <c r="M3714" t="s">
        <v>109</v>
      </c>
      <c r="N3714" t="str">
        <f>INDEX(Products!B:B,MATCH(OrdersTable[[#This Row],[Product ID]],Products!A:A,0))</f>
        <v>Onion Hair Oil</v>
      </c>
      <c r="O3714" t="str">
        <f>INDEX(Products!C:C,MATCH(OrdersTable[[#This Row],[Product ID]],Products!A:A,0))</f>
        <v>Haircare</v>
      </c>
      <c r="P3714">
        <v>2</v>
      </c>
      <c r="Q3714" s="5">
        <v>349</v>
      </c>
      <c r="R3714" s="74">
        <v>0.4</v>
      </c>
      <c r="S3714" s="75">
        <f>OrdersTable[[#This Row],[Quantity]]*OrdersTable[[#This Row],[Unit Price]]</f>
        <v>698</v>
      </c>
      <c r="T3714" s="5">
        <f>OrdersTable[[#This Row],[Gross Sale]]*OrdersTable[[#This Row],[Discount_Clean2]]</f>
        <v>279.2</v>
      </c>
      <c r="U3714" s="5">
        <f>OrdersTable[[#This Row],[Gross Sale]]-OrdersTable[[#This Row],[Discount Amount]]</f>
        <v>418.8</v>
      </c>
      <c r="V3714" s="77">
        <f>INDEX(Products!E:E,MATCH(OrdersTable[[#This Row],[Product ID]],Products!A:A,0))</f>
        <v>105</v>
      </c>
      <c r="W3714" s="77">
        <f>OrdersTable[[#This Row],[Quantity]]*OrdersTable[[#This Row],[Unit Cost]]</f>
        <v>210</v>
      </c>
      <c r="X3714" s="77">
        <f>'Dropdown Lists'!$I$2*(1+OrdersTable[[#This Row],[Returned]])</f>
        <v>60</v>
      </c>
      <c r="Y3714" s="76">
        <f>OrdersTable[[#This Row],[Net Revenue]]-OrdersTable[[#This Row],[COGS]]-OrdersTable[[#This Row],[Shipping Cost]]</f>
        <v>148.80000000000001</v>
      </c>
      <c r="Z3714" s="78">
        <f>IFERROR(OrdersTable[[#This Row],[Profit]]/OrdersTable[[#This Row],[Net Revenue]],0)</f>
        <v>0.35530085959885388</v>
      </c>
      <c r="AA3714" t="s">
        <v>4074</v>
      </c>
      <c r="AB3714" s="79">
        <v>45897</v>
      </c>
      <c r="AC3714">
        <f>OrdersTable[[#This Row],[Delivery Date]]-OrdersTable[[#This Row],[Order Date]]</f>
        <v>5</v>
      </c>
      <c r="AD3714" t="str">
        <f>IF(OrdersTable[[#This Row],[Delivery Days]]&lt;=2, "Express (≤2d)", IF(OrdersTable[[#This Row],[Delivery Days]]&lt;=4, "Standard (3-4d)", "Delayed (5d+)"))</f>
        <v>Delayed (5d+)</v>
      </c>
      <c r="AE3714">
        <v>4</v>
      </c>
      <c r="AF3714">
        <v>0</v>
      </c>
    </row>
    <row r="3715" spans="1:32" ht="15" x14ac:dyDescent="0.35">
      <c r="A3715" t="s">
        <v>5622</v>
      </c>
      <c r="B3715" s="1">
        <v>45892</v>
      </c>
      <c r="C3715">
        <f>YEAR(OrdersTable[[#This Row],[Order Date]])</f>
        <v>2025</v>
      </c>
      <c r="D3715" s="2">
        <f>DATE(YEAR(OrdersTable[[#This Row],[Order Date]]),MONTH(OrdersTable[[#This Row],[Order Date]]),1)</f>
        <v>45870</v>
      </c>
      <c r="E3715">
        <f>MONTH(OrdersTable[[#This Row],[Order Date]])</f>
        <v>8</v>
      </c>
      <c r="F3715" t="s">
        <v>4944</v>
      </c>
      <c r="G3715" t="str">
        <f>IF(OrdersTable[[#This Row],[Order Date]]=_xlfn.MINIFS(Order_Date, Customer_ID, OrdersTable[[#This Row],[Customer ID]]), "New", "Repeat")</f>
        <v>Repeat</v>
      </c>
      <c r="H3715" t="s">
        <v>167</v>
      </c>
      <c r="I3715" t="str">
        <f>INDEX(State!B:B,MATCH(OrdersTable[[#This Row],[State]],State!A:A,0))</f>
        <v>KA</v>
      </c>
      <c r="J3715" t="str">
        <f>INDEX(State!C:C,MATCH(OrdersTable[[#This Row],[State Code]],State!B:B,0))</f>
        <v>South</v>
      </c>
      <c r="K3715" t="s">
        <v>190</v>
      </c>
      <c r="L3715" t="s">
        <v>65</v>
      </c>
      <c r="M3715" t="s">
        <v>34</v>
      </c>
      <c r="N3715" t="str">
        <f>INDEX(Products!B:B,MATCH(OrdersTable[[#This Row],[Product ID]],Products!A:A,0))</f>
        <v>Flip Flops</v>
      </c>
      <c r="O3715" t="str">
        <f>INDEX(Products!C:C,MATCH(OrdersTable[[#This Row],[Product ID]],Products!A:A,0))</f>
        <v>Footwear</v>
      </c>
      <c r="P3715">
        <v>2</v>
      </c>
      <c r="Q3715" s="5">
        <v>399</v>
      </c>
      <c r="R3715" s="74">
        <v>0.1</v>
      </c>
      <c r="S3715" s="75">
        <f>OrdersTable[[#This Row],[Quantity]]*OrdersTable[[#This Row],[Unit Price]]</f>
        <v>798</v>
      </c>
      <c r="T3715" s="5">
        <f>OrdersTable[[#This Row],[Gross Sale]]*OrdersTable[[#This Row],[Discount_Clean2]]</f>
        <v>79.800000000000011</v>
      </c>
      <c r="U3715" s="5">
        <f>OrdersTable[[#This Row],[Gross Sale]]-OrdersTable[[#This Row],[Discount Amount]]</f>
        <v>718.2</v>
      </c>
      <c r="V3715" s="77">
        <f>INDEX(Products!E:E,MATCH(OrdersTable[[#This Row],[Product ID]],Products!A:A,0))</f>
        <v>152</v>
      </c>
      <c r="W3715" s="77">
        <f>OrdersTable[[#This Row],[Quantity]]*OrdersTable[[#This Row],[Unit Cost]]</f>
        <v>304</v>
      </c>
      <c r="X3715" s="77">
        <f>'Dropdown Lists'!$I$2*(1+OrdersTable[[#This Row],[Returned]])</f>
        <v>60</v>
      </c>
      <c r="Y3715" s="76">
        <f>OrdersTable[[#This Row],[Net Revenue]]-OrdersTable[[#This Row],[COGS]]-OrdersTable[[#This Row],[Shipping Cost]]</f>
        <v>354.20000000000005</v>
      </c>
      <c r="Z3715" s="78">
        <f>IFERROR(OrdersTable[[#This Row],[Profit]]/OrdersTable[[#This Row],[Net Revenue]],0)</f>
        <v>0.49317738791423005</v>
      </c>
      <c r="AA3715" t="s">
        <v>2522</v>
      </c>
      <c r="AB3715" s="79">
        <v>45895</v>
      </c>
      <c r="AC3715">
        <f>OrdersTable[[#This Row],[Delivery Date]]-OrdersTable[[#This Row],[Order Date]]</f>
        <v>3</v>
      </c>
      <c r="AD3715" t="str">
        <f>IF(OrdersTable[[#This Row],[Delivery Days]]&lt;=2, "Express (≤2d)", IF(OrdersTable[[#This Row],[Delivery Days]]&lt;=4, "Standard (3-4d)", "Delayed (5d+)"))</f>
        <v>Standard (3-4d)</v>
      </c>
      <c r="AE3715">
        <v>4</v>
      </c>
      <c r="AF3715">
        <v>0</v>
      </c>
    </row>
    <row r="3716" spans="1:32" ht="15" x14ac:dyDescent="0.35">
      <c r="A3716" t="s">
        <v>1435</v>
      </c>
      <c r="B3716" s="1">
        <v>45893</v>
      </c>
      <c r="C3716">
        <f>YEAR(OrdersTable[[#This Row],[Order Date]])</f>
        <v>2025</v>
      </c>
      <c r="D3716" s="2">
        <f>DATE(YEAR(OrdersTable[[#This Row],[Order Date]]),MONTH(OrdersTable[[#This Row],[Order Date]]),1)</f>
        <v>45870</v>
      </c>
      <c r="E3716">
        <f>MONTH(OrdersTable[[#This Row],[Order Date]])</f>
        <v>8</v>
      </c>
      <c r="F3716" t="s">
        <v>648</v>
      </c>
      <c r="G3716" t="str">
        <f>IF(OrdersTable[[#This Row],[Order Date]]=_xlfn.MINIFS(Order_Date, Customer_ID, OrdersTable[[#This Row],[Customer ID]]), "New", "Repeat")</f>
        <v>Repeat</v>
      </c>
      <c r="H3716" t="s">
        <v>48</v>
      </c>
      <c r="I3716" t="str">
        <f>INDEX(State!B:B,MATCH(OrdersTable[[#This Row],[State]],State!A:A,0))</f>
        <v>HR</v>
      </c>
      <c r="J3716" t="str">
        <f>INDEX(State!C:C,MATCH(OrdersTable[[#This Row],[State Code]],State!B:B,0))</f>
        <v>North</v>
      </c>
      <c r="K3716" t="s">
        <v>49</v>
      </c>
      <c r="L3716" t="s">
        <v>23</v>
      </c>
      <c r="M3716" t="s">
        <v>176</v>
      </c>
      <c r="N3716" t="str">
        <f>INDEX(Products!B:B,MATCH(OrdersTable[[#This Row],[Product ID]],Products!A:A,0))</f>
        <v>Denim Jacket</v>
      </c>
      <c r="O3716" t="str">
        <f>INDEX(Products!C:C,MATCH(OrdersTable[[#This Row],[Product ID]],Products!A:A,0))</f>
        <v>Apparel</v>
      </c>
      <c r="P3716">
        <v>1</v>
      </c>
      <c r="Q3716" s="5">
        <v>2499</v>
      </c>
      <c r="R3716" s="74">
        <v>0.05</v>
      </c>
      <c r="S3716" s="75">
        <f>OrdersTable[[#This Row],[Quantity]]*OrdersTable[[#This Row],[Unit Price]]</f>
        <v>2499</v>
      </c>
      <c r="T3716" s="5">
        <f>OrdersTable[[#This Row],[Gross Sale]]*OrdersTable[[#This Row],[Discount_Clean2]]</f>
        <v>124.95</v>
      </c>
      <c r="U3716" s="5">
        <f>OrdersTable[[#This Row],[Gross Sale]]-OrdersTable[[#This Row],[Discount Amount]]</f>
        <v>2374.0500000000002</v>
      </c>
      <c r="V3716" s="77">
        <f>INDEX(Products!E:E,MATCH(OrdersTable[[#This Row],[Product ID]],Products!A:A,0))</f>
        <v>1125</v>
      </c>
      <c r="W3716" s="77">
        <f>OrdersTable[[#This Row],[Quantity]]*OrdersTable[[#This Row],[Unit Cost]]</f>
        <v>1125</v>
      </c>
      <c r="X3716" s="77">
        <f>'Dropdown Lists'!$I$2*(1+OrdersTable[[#This Row],[Returned]])</f>
        <v>60</v>
      </c>
      <c r="Y3716" s="76">
        <f>OrdersTable[[#This Row],[Net Revenue]]-OrdersTable[[#This Row],[COGS]]-OrdersTable[[#This Row],[Shipping Cost]]</f>
        <v>1189.0500000000002</v>
      </c>
      <c r="Z3716" s="78">
        <f>IFERROR(OrdersTable[[#This Row],[Profit]]/OrdersTable[[#This Row],[Net Revenue]],0)</f>
        <v>0.50085297276805463</v>
      </c>
      <c r="AA3716" t="s">
        <v>18</v>
      </c>
      <c r="AB3716" s="79">
        <v>45896</v>
      </c>
      <c r="AC3716">
        <f>OrdersTable[[#This Row],[Delivery Date]]-OrdersTable[[#This Row],[Order Date]]</f>
        <v>3</v>
      </c>
      <c r="AD3716" t="str">
        <f>IF(OrdersTable[[#This Row],[Delivery Days]]&lt;=2, "Express (≤2d)", IF(OrdersTable[[#This Row],[Delivery Days]]&lt;=4, "Standard (3-4d)", "Delayed (5d+)"))</f>
        <v>Standard (3-4d)</v>
      </c>
      <c r="AF3716">
        <v>0</v>
      </c>
    </row>
    <row r="3717" spans="1:32" ht="15" x14ac:dyDescent="0.35">
      <c r="A3717" t="s">
        <v>7109</v>
      </c>
      <c r="B3717" s="1">
        <v>45893</v>
      </c>
      <c r="C3717">
        <f>YEAR(OrdersTable[[#This Row],[Order Date]])</f>
        <v>2025</v>
      </c>
      <c r="D3717" s="2">
        <f>DATE(YEAR(OrdersTable[[#This Row],[Order Date]]),MONTH(OrdersTable[[#This Row],[Order Date]]),1)</f>
        <v>45870</v>
      </c>
      <c r="E3717">
        <f>MONTH(OrdersTable[[#This Row],[Order Date]])</f>
        <v>8</v>
      </c>
      <c r="F3717" t="s">
        <v>2414</v>
      </c>
      <c r="G3717" t="str">
        <f>IF(OrdersTable[[#This Row],[Order Date]]=_xlfn.MINIFS(Order_Date, Customer_ID, OrdersTable[[#This Row],[Customer ID]]), "New", "Repeat")</f>
        <v>Repeat</v>
      </c>
      <c r="H3717" t="s">
        <v>32</v>
      </c>
      <c r="I3717" t="str">
        <f>INDEX(State!B:B,MATCH(OrdersTable[[#This Row],[State]],State!A:A,0))</f>
        <v>BR</v>
      </c>
      <c r="J3717" t="str">
        <f>INDEX(State!C:C,MATCH(OrdersTable[[#This Row],[State Code]],State!B:B,0))</f>
        <v>East</v>
      </c>
      <c r="K3717" t="s">
        <v>33</v>
      </c>
      <c r="L3717" t="s">
        <v>65</v>
      </c>
      <c r="M3717" t="s">
        <v>45</v>
      </c>
      <c r="N3717" t="str">
        <f>INDEX(Products!B:B,MATCH(OrdersTable[[#This Row],[Product ID]],Products!A:A,0))</f>
        <v>Argan Shampoo</v>
      </c>
      <c r="O3717" t="str">
        <f>INDEX(Products!C:C,MATCH(OrdersTable[[#This Row],[Product ID]],Products!A:A,0))</f>
        <v>Haircare</v>
      </c>
      <c r="P3717">
        <v>4</v>
      </c>
      <c r="Q3717" s="5">
        <v>449</v>
      </c>
      <c r="R3717" s="74">
        <v>0.05</v>
      </c>
      <c r="S3717" s="75">
        <f>OrdersTable[[#This Row],[Quantity]]*OrdersTable[[#This Row],[Unit Price]]</f>
        <v>1796</v>
      </c>
      <c r="T3717" s="5">
        <f>OrdersTable[[#This Row],[Gross Sale]]*OrdersTable[[#This Row],[Discount_Clean2]]</f>
        <v>89.800000000000011</v>
      </c>
      <c r="U3717" s="5">
        <f>OrdersTable[[#This Row],[Gross Sale]]-OrdersTable[[#This Row],[Discount Amount]]</f>
        <v>1706.2</v>
      </c>
      <c r="V3717" s="77">
        <f>INDEX(Products!E:E,MATCH(OrdersTable[[#This Row],[Product ID]],Products!A:A,0))</f>
        <v>148</v>
      </c>
      <c r="W3717" s="77">
        <f>OrdersTable[[#This Row],[Quantity]]*OrdersTable[[#This Row],[Unit Cost]]</f>
        <v>592</v>
      </c>
      <c r="X3717" s="77">
        <f>'Dropdown Lists'!$I$2*(1+OrdersTable[[#This Row],[Returned]])</f>
        <v>60</v>
      </c>
      <c r="Y3717" s="76">
        <f>OrdersTable[[#This Row],[Net Revenue]]-OrdersTable[[#This Row],[COGS]]-OrdersTable[[#This Row],[Shipping Cost]]</f>
        <v>1054.2</v>
      </c>
      <c r="Z3717" s="78">
        <f>IFERROR(OrdersTable[[#This Row],[Profit]]/OrdersTable[[#This Row],[Net Revenue]],0)</f>
        <v>0.61786425975852777</v>
      </c>
      <c r="AA3717" t="s">
        <v>18</v>
      </c>
      <c r="AB3717" s="79">
        <v>45897</v>
      </c>
      <c r="AC3717">
        <f>OrdersTable[[#This Row],[Delivery Date]]-OrdersTable[[#This Row],[Order Date]]</f>
        <v>4</v>
      </c>
      <c r="AD3717" t="str">
        <f>IF(OrdersTable[[#This Row],[Delivery Days]]&lt;=2, "Express (≤2d)", IF(OrdersTable[[#This Row],[Delivery Days]]&lt;=4, "Standard (3-4d)", "Delayed (5d+)"))</f>
        <v>Standard (3-4d)</v>
      </c>
      <c r="AE3717">
        <v>3</v>
      </c>
      <c r="AF3717">
        <v>0</v>
      </c>
    </row>
    <row r="3718" spans="1:32" ht="15" x14ac:dyDescent="0.35">
      <c r="A3718" t="s">
        <v>1775</v>
      </c>
      <c r="B3718" s="1">
        <v>45893</v>
      </c>
      <c r="C3718">
        <f>YEAR(OrdersTable[[#This Row],[Order Date]])</f>
        <v>2025</v>
      </c>
      <c r="D3718" s="2">
        <f>DATE(YEAR(OrdersTable[[#This Row],[Order Date]]),MONTH(OrdersTable[[#This Row],[Order Date]]),1)</f>
        <v>45870</v>
      </c>
      <c r="E3718">
        <f>MONTH(OrdersTable[[#This Row],[Order Date]])</f>
        <v>8</v>
      </c>
      <c r="F3718" t="s">
        <v>1776</v>
      </c>
      <c r="G3718" t="str">
        <f>IF(OrdersTable[[#This Row],[Order Date]]=_xlfn.MINIFS(Order_Date, Customer_ID, OrdersTable[[#This Row],[Customer ID]]), "New", "Repeat")</f>
        <v>New</v>
      </c>
      <c r="H3718" t="s">
        <v>132</v>
      </c>
      <c r="I3718" t="str">
        <f>INDEX(State!B:B,MATCH(OrdersTable[[#This Row],[State]],State!A:A,0))</f>
        <v>AS</v>
      </c>
      <c r="J3718" t="str">
        <f>INDEX(State!C:C,MATCH(OrdersTable[[#This Row],[State Code]],State!B:B,0))</f>
        <v>East</v>
      </c>
      <c r="K3718" t="s">
        <v>133</v>
      </c>
      <c r="L3718" t="s">
        <v>65</v>
      </c>
      <c r="M3718" t="s">
        <v>78</v>
      </c>
      <c r="N3718" t="str">
        <f>INDEX(Products!B:B,MATCH(OrdersTable[[#This Row],[Product ID]],Products!A:A,0))</f>
        <v>Retinol Night Cream</v>
      </c>
      <c r="O3718" t="str">
        <f>INDEX(Products!C:C,MATCH(OrdersTable[[#This Row],[Product ID]],Products!A:A,0))</f>
        <v>Skincare</v>
      </c>
      <c r="P3718">
        <v>1</v>
      </c>
      <c r="Q3718" s="5">
        <v>799</v>
      </c>
      <c r="R3718" s="74">
        <v>0.1</v>
      </c>
      <c r="S3718" s="75">
        <f>OrdersTable[[#This Row],[Quantity]]*OrdersTable[[#This Row],[Unit Price]]</f>
        <v>799</v>
      </c>
      <c r="T3718" s="5">
        <f>OrdersTable[[#This Row],[Gross Sale]]*OrdersTable[[#This Row],[Discount_Clean2]]</f>
        <v>79.900000000000006</v>
      </c>
      <c r="U3718" s="5">
        <f>OrdersTable[[#This Row],[Gross Sale]]-OrdersTable[[#This Row],[Discount Amount]]</f>
        <v>719.1</v>
      </c>
      <c r="V3718" s="77">
        <f>INDEX(Products!E:E,MATCH(OrdersTable[[#This Row],[Product ID]],Products!A:A,0))</f>
        <v>216</v>
      </c>
      <c r="W3718" s="77">
        <f>OrdersTable[[#This Row],[Quantity]]*OrdersTable[[#This Row],[Unit Cost]]</f>
        <v>216</v>
      </c>
      <c r="X3718" s="77">
        <f>'Dropdown Lists'!$I$2*(1+OrdersTable[[#This Row],[Returned]])</f>
        <v>120</v>
      </c>
      <c r="Y3718" s="76">
        <f>OrdersTable[[#This Row],[Net Revenue]]-OrdersTable[[#This Row],[COGS]]-OrdersTable[[#This Row],[Shipping Cost]]</f>
        <v>383.1</v>
      </c>
      <c r="Z3718" s="78">
        <f>IFERROR(OrdersTable[[#This Row],[Profit]]/OrdersTable[[#This Row],[Net Revenue]],0)</f>
        <v>0.53274926992073424</v>
      </c>
      <c r="AA3718" t="s">
        <v>18</v>
      </c>
      <c r="AB3718" s="79">
        <v>45899</v>
      </c>
      <c r="AC3718">
        <f>OrdersTable[[#This Row],[Delivery Date]]-OrdersTable[[#This Row],[Order Date]]</f>
        <v>6</v>
      </c>
      <c r="AD3718" t="str">
        <f>IF(OrdersTable[[#This Row],[Delivery Days]]&lt;=2, "Express (≤2d)", IF(OrdersTable[[#This Row],[Delivery Days]]&lt;=4, "Standard (3-4d)", "Delayed (5d+)"))</f>
        <v>Delayed (5d+)</v>
      </c>
      <c r="AF3718">
        <v>1</v>
      </c>
    </row>
    <row r="3719" spans="1:32" ht="15" x14ac:dyDescent="0.35">
      <c r="A3719" t="s">
        <v>5224</v>
      </c>
      <c r="B3719" s="1">
        <v>45893</v>
      </c>
      <c r="C3719">
        <f>YEAR(OrdersTable[[#This Row],[Order Date]])</f>
        <v>2025</v>
      </c>
      <c r="D3719" s="2">
        <f>DATE(YEAR(OrdersTable[[#This Row],[Order Date]]),MONTH(OrdersTable[[#This Row],[Order Date]]),1)</f>
        <v>45870</v>
      </c>
      <c r="E3719">
        <f>MONTH(OrdersTable[[#This Row],[Order Date]])</f>
        <v>8</v>
      </c>
      <c r="F3719" t="s">
        <v>3770</v>
      </c>
      <c r="G3719" t="str">
        <f>IF(OrdersTable[[#This Row],[Order Date]]=_xlfn.MINIFS(Order_Date, Customer_ID, OrdersTable[[#This Row],[Customer ID]]), "New", "Repeat")</f>
        <v>Repeat</v>
      </c>
      <c r="H3719" t="s">
        <v>37</v>
      </c>
      <c r="I3719" t="str">
        <f>INDEX(State!B:B,MATCH(OrdersTable[[#This Row],[State]],State!A:A,0))</f>
        <v>GJ</v>
      </c>
      <c r="J3719" t="str">
        <f>INDEX(State!C:C,MATCH(OrdersTable[[#This Row],[State Code]],State!B:B,0))</f>
        <v>West</v>
      </c>
      <c r="K3719" t="s">
        <v>247</v>
      </c>
      <c r="L3719" t="s">
        <v>65</v>
      </c>
      <c r="M3719" t="s">
        <v>51</v>
      </c>
      <c r="N3719" t="str">
        <f>INDEX(Products!B:B,MATCH(OrdersTable[[#This Row],[Product ID]],Products!A:A,0))</f>
        <v>Anti-Dandruff Conditioner</v>
      </c>
      <c r="O3719" t="str">
        <f>INDEX(Products!C:C,MATCH(OrdersTable[[#This Row],[Product ID]],Products!A:A,0))</f>
        <v>Haircare</v>
      </c>
      <c r="P3719">
        <v>2</v>
      </c>
      <c r="Q3719" s="5">
        <v>399</v>
      </c>
      <c r="R3719" s="74">
        <v>0.35</v>
      </c>
      <c r="S3719" s="75">
        <f>OrdersTable[[#This Row],[Quantity]]*OrdersTable[[#This Row],[Unit Price]]</f>
        <v>798</v>
      </c>
      <c r="T3719" s="5">
        <f>OrdersTable[[#This Row],[Gross Sale]]*OrdersTable[[#This Row],[Discount_Clean2]]</f>
        <v>279.29999999999995</v>
      </c>
      <c r="U3719" s="5">
        <f>OrdersTable[[#This Row],[Gross Sale]]-OrdersTable[[#This Row],[Discount Amount]]</f>
        <v>518.70000000000005</v>
      </c>
      <c r="V3719" s="77">
        <f>INDEX(Products!E:E,MATCH(OrdersTable[[#This Row],[Product ID]],Products!A:A,0))</f>
        <v>136</v>
      </c>
      <c r="W3719" s="77">
        <f>OrdersTable[[#This Row],[Quantity]]*OrdersTable[[#This Row],[Unit Cost]]</f>
        <v>272</v>
      </c>
      <c r="X3719" s="77">
        <f>'Dropdown Lists'!$I$2*(1+OrdersTable[[#This Row],[Returned]])</f>
        <v>60</v>
      </c>
      <c r="Y3719" s="76">
        <f>OrdersTable[[#This Row],[Net Revenue]]-OrdersTable[[#This Row],[COGS]]-OrdersTable[[#This Row],[Shipping Cost]]</f>
        <v>186.70000000000005</v>
      </c>
      <c r="Z3719" s="78">
        <f>IFERROR(OrdersTable[[#This Row],[Profit]]/OrdersTable[[#This Row],[Net Revenue]],0)</f>
        <v>0.35993830730672843</v>
      </c>
      <c r="AA3719" t="s">
        <v>3495</v>
      </c>
      <c r="AB3719" s="79">
        <v>45896</v>
      </c>
      <c r="AC3719">
        <f>OrdersTable[[#This Row],[Delivery Date]]-OrdersTable[[#This Row],[Order Date]]</f>
        <v>3</v>
      </c>
      <c r="AD3719" t="str">
        <f>IF(OrdersTable[[#This Row],[Delivery Days]]&lt;=2, "Express (≤2d)", IF(OrdersTable[[#This Row],[Delivery Days]]&lt;=4, "Standard (3-4d)", "Delayed (5d+)"))</f>
        <v>Standard (3-4d)</v>
      </c>
      <c r="AF3719">
        <v>0</v>
      </c>
    </row>
    <row r="3720" spans="1:32" ht="15" x14ac:dyDescent="0.35">
      <c r="A3720" t="s">
        <v>2647</v>
      </c>
      <c r="B3720" s="1">
        <v>45893</v>
      </c>
      <c r="C3720">
        <f>YEAR(OrdersTable[[#This Row],[Order Date]])</f>
        <v>2025</v>
      </c>
      <c r="D3720" s="2">
        <f>DATE(YEAR(OrdersTable[[#This Row],[Order Date]]),MONTH(OrdersTable[[#This Row],[Order Date]]),1)</f>
        <v>45870</v>
      </c>
      <c r="E3720">
        <f>MONTH(OrdersTable[[#This Row],[Order Date]])</f>
        <v>8</v>
      </c>
      <c r="F3720" t="s">
        <v>2648</v>
      </c>
      <c r="G3720" t="str">
        <f>IF(OrdersTable[[#This Row],[Order Date]]=_xlfn.MINIFS(Order_Date, Customer_ID, OrdersTable[[#This Row],[Customer ID]]), "New", "Repeat")</f>
        <v>New</v>
      </c>
      <c r="H3720" t="s">
        <v>27</v>
      </c>
      <c r="I3720" t="str">
        <f>INDEX(State!B:B,MATCH(OrdersTable[[#This Row],[State]],State!A:A,0))</f>
        <v>WB</v>
      </c>
      <c r="J3720" t="str">
        <f>INDEX(State!C:C,MATCH(OrdersTable[[#This Row],[State Code]],State!B:B,0))</f>
        <v>East</v>
      </c>
      <c r="K3720" t="s">
        <v>28</v>
      </c>
      <c r="L3720" t="s">
        <v>16</v>
      </c>
      <c r="M3720" t="s">
        <v>255</v>
      </c>
      <c r="N3720" t="str">
        <f>INDEX(Products!B:B,MATCH(OrdersTable[[#This Row],[Product ID]],Products!A:A,0))</f>
        <v>Cotton Oversized T-Shirt</v>
      </c>
      <c r="O3720" t="str">
        <f>INDEX(Products!C:C,MATCH(OrdersTable[[#This Row],[Product ID]],Products!A:A,0))</f>
        <v>Apparel</v>
      </c>
      <c r="P3720">
        <v>1</v>
      </c>
      <c r="Q3720" s="5">
        <v>799</v>
      </c>
      <c r="R3720" s="74">
        <v>0</v>
      </c>
      <c r="S3720" s="75">
        <f>OrdersTable[[#This Row],[Quantity]]*OrdersTable[[#This Row],[Unit Price]]</f>
        <v>799</v>
      </c>
      <c r="T3720" s="5">
        <f>OrdersTable[[#This Row],[Gross Sale]]*OrdersTable[[#This Row],[Discount_Clean2]]</f>
        <v>0</v>
      </c>
      <c r="U3720" s="5">
        <f>OrdersTable[[#This Row],[Gross Sale]]-OrdersTable[[#This Row],[Discount Amount]]</f>
        <v>799</v>
      </c>
      <c r="V3720" s="77">
        <f>INDEX(Products!E:E,MATCH(OrdersTable[[#This Row],[Product ID]],Products!A:A,0))</f>
        <v>320</v>
      </c>
      <c r="W3720" s="77">
        <f>OrdersTable[[#This Row],[Quantity]]*OrdersTable[[#This Row],[Unit Cost]]</f>
        <v>320</v>
      </c>
      <c r="X3720" s="77">
        <f>'Dropdown Lists'!$I$2*(1+OrdersTable[[#This Row],[Returned]])</f>
        <v>60</v>
      </c>
      <c r="Y3720" s="76">
        <f>OrdersTable[[#This Row],[Net Revenue]]-OrdersTable[[#This Row],[COGS]]-OrdersTable[[#This Row],[Shipping Cost]]</f>
        <v>419</v>
      </c>
      <c r="Z3720" s="78">
        <f>IFERROR(OrdersTable[[#This Row],[Profit]]/OrdersTable[[#This Row],[Net Revenue]],0)</f>
        <v>0.52440550688360454</v>
      </c>
      <c r="AA3720" t="s">
        <v>2522</v>
      </c>
      <c r="AB3720" s="79">
        <v>45896</v>
      </c>
      <c r="AC3720">
        <f>OrdersTable[[#This Row],[Delivery Date]]-OrdersTable[[#This Row],[Order Date]]</f>
        <v>3</v>
      </c>
      <c r="AD3720" t="str">
        <f>IF(OrdersTable[[#This Row],[Delivery Days]]&lt;=2, "Express (≤2d)", IF(OrdersTable[[#This Row],[Delivery Days]]&lt;=4, "Standard (3-4d)", "Delayed (5d+)"))</f>
        <v>Standard (3-4d)</v>
      </c>
      <c r="AE3720">
        <v>5</v>
      </c>
      <c r="AF3720">
        <v>0</v>
      </c>
    </row>
    <row r="3721" spans="1:32" ht="15" x14ac:dyDescent="0.35">
      <c r="A3721" t="s">
        <v>5974</v>
      </c>
      <c r="B3721" s="1">
        <v>45893</v>
      </c>
      <c r="C3721">
        <f>YEAR(OrdersTable[[#This Row],[Order Date]])</f>
        <v>2025</v>
      </c>
      <c r="D3721" s="2">
        <f>DATE(YEAR(OrdersTable[[#This Row],[Order Date]]),MONTH(OrdersTable[[#This Row],[Order Date]]),1)</f>
        <v>45870</v>
      </c>
      <c r="E3721">
        <f>MONTH(OrdersTable[[#This Row],[Order Date]])</f>
        <v>8</v>
      </c>
      <c r="F3721" t="s">
        <v>1641</v>
      </c>
      <c r="G3721" t="str">
        <f>IF(OrdersTable[[#This Row],[Order Date]]=_xlfn.MINIFS(Order_Date, Customer_ID, OrdersTable[[#This Row],[Customer ID]]), "New", "Repeat")</f>
        <v>Repeat</v>
      </c>
      <c r="H3721" t="s">
        <v>71</v>
      </c>
      <c r="I3721" t="str">
        <f>INDEX(State!B:B,MATCH(OrdersTable[[#This Row],[State]],State!A:A,0))</f>
        <v>MH</v>
      </c>
      <c r="J3721" t="str">
        <f>INDEX(State!C:C,MATCH(OrdersTable[[#This Row],[State Code]],State!B:B,0))</f>
        <v>West</v>
      </c>
      <c r="K3721" t="s">
        <v>102</v>
      </c>
      <c r="L3721" t="s">
        <v>16</v>
      </c>
      <c r="M3721" t="s">
        <v>29</v>
      </c>
      <c r="N3721" t="str">
        <f>INDEX(Products!B:B,MATCH(OrdersTable[[#This Row],[Product ID]],Products!A:A,0))</f>
        <v>Joggers</v>
      </c>
      <c r="O3721" t="str">
        <f>INDEX(Products!C:C,MATCH(OrdersTable[[#This Row],[Product ID]],Products!A:A,0))</f>
        <v>Apparel</v>
      </c>
      <c r="P3721">
        <v>2</v>
      </c>
      <c r="Q3721" s="5">
        <v>1199</v>
      </c>
      <c r="R3721" s="74">
        <v>0.1</v>
      </c>
      <c r="S3721" s="75">
        <f>OrdersTable[[#This Row],[Quantity]]*OrdersTable[[#This Row],[Unit Price]]</f>
        <v>2398</v>
      </c>
      <c r="T3721" s="5">
        <f>OrdersTable[[#This Row],[Gross Sale]]*OrdersTable[[#This Row],[Discount_Clean2]]</f>
        <v>239.8</v>
      </c>
      <c r="U3721" s="5">
        <f>OrdersTable[[#This Row],[Gross Sale]]-OrdersTable[[#This Row],[Discount Amount]]</f>
        <v>2158.1999999999998</v>
      </c>
      <c r="V3721" s="77">
        <f>INDEX(Products!E:E,MATCH(OrdersTable[[#This Row],[Product ID]],Products!A:A,0))</f>
        <v>492</v>
      </c>
      <c r="W3721" s="77">
        <f>OrdersTable[[#This Row],[Quantity]]*OrdersTable[[#This Row],[Unit Cost]]</f>
        <v>984</v>
      </c>
      <c r="X3721" s="77">
        <f>'Dropdown Lists'!$I$2*(1+OrdersTable[[#This Row],[Returned]])</f>
        <v>60</v>
      </c>
      <c r="Y3721" s="76">
        <f>OrdersTable[[#This Row],[Net Revenue]]-OrdersTable[[#This Row],[COGS]]-OrdersTable[[#This Row],[Shipping Cost]]</f>
        <v>1114.1999999999998</v>
      </c>
      <c r="Z3721" s="78">
        <f>IFERROR(OrdersTable[[#This Row],[Profit]]/OrdersTable[[#This Row],[Net Revenue]],0)</f>
        <v>0.51626355296080062</v>
      </c>
      <c r="AA3721" t="s">
        <v>18</v>
      </c>
      <c r="AB3721" s="79">
        <v>45894</v>
      </c>
      <c r="AC3721">
        <f>OrdersTable[[#This Row],[Delivery Date]]-OrdersTable[[#This Row],[Order Date]]</f>
        <v>1</v>
      </c>
      <c r="AD3721" t="str">
        <f>IF(OrdersTable[[#This Row],[Delivery Days]]&lt;=2, "Express (≤2d)", IF(OrdersTable[[#This Row],[Delivery Days]]&lt;=4, "Standard (3-4d)", "Delayed (5d+)"))</f>
        <v>Express (≤2d)</v>
      </c>
      <c r="AF3721">
        <v>0</v>
      </c>
    </row>
    <row r="3722" spans="1:32" ht="15" x14ac:dyDescent="0.35">
      <c r="A3722" t="s">
        <v>7022</v>
      </c>
      <c r="B3722" s="1">
        <v>45893</v>
      </c>
      <c r="C3722">
        <f>YEAR(OrdersTable[[#This Row],[Order Date]])</f>
        <v>2025</v>
      </c>
      <c r="D3722" s="2">
        <f>DATE(YEAR(OrdersTable[[#This Row],[Order Date]]),MONTH(OrdersTable[[#This Row],[Order Date]]),1)</f>
        <v>45870</v>
      </c>
      <c r="E3722">
        <f>MONTH(OrdersTable[[#This Row],[Order Date]])</f>
        <v>8</v>
      </c>
      <c r="F3722" t="s">
        <v>3956</v>
      </c>
      <c r="G3722" t="str">
        <f>IF(OrdersTable[[#This Row],[Order Date]]=_xlfn.MINIFS(Order_Date, Customer_ID, OrdersTable[[#This Row],[Customer ID]]), "New", "Repeat")</f>
        <v>Repeat</v>
      </c>
      <c r="H3722" t="s">
        <v>167</v>
      </c>
      <c r="I3722" t="str">
        <f>INDEX(State!B:B,MATCH(OrdersTable[[#This Row],[State]],State!A:A,0))</f>
        <v>KA</v>
      </c>
      <c r="J3722" t="str">
        <f>INDEX(State!C:C,MATCH(OrdersTable[[#This Row],[State Code]],State!B:B,0))</f>
        <v>South</v>
      </c>
      <c r="K3722" t="s">
        <v>190</v>
      </c>
      <c r="L3722" t="s">
        <v>50</v>
      </c>
      <c r="M3722" t="s">
        <v>78</v>
      </c>
      <c r="N3722" t="str">
        <f>INDEX(Products!B:B,MATCH(OrdersTable[[#This Row],[Product ID]],Products!A:A,0))</f>
        <v>Retinol Night Cream</v>
      </c>
      <c r="O3722" t="str">
        <f>INDEX(Products!C:C,MATCH(OrdersTable[[#This Row],[Product ID]],Products!A:A,0))</f>
        <v>Skincare</v>
      </c>
      <c r="P3722">
        <v>4</v>
      </c>
      <c r="Q3722" s="5">
        <v>799</v>
      </c>
      <c r="R3722" s="74">
        <v>0.1</v>
      </c>
      <c r="S3722" s="75">
        <f>OrdersTable[[#This Row],[Quantity]]*OrdersTable[[#This Row],[Unit Price]]</f>
        <v>3196</v>
      </c>
      <c r="T3722" s="5">
        <f>OrdersTable[[#This Row],[Gross Sale]]*OrdersTable[[#This Row],[Discount_Clean2]]</f>
        <v>319.60000000000002</v>
      </c>
      <c r="U3722" s="5">
        <f>OrdersTable[[#This Row],[Gross Sale]]-OrdersTable[[#This Row],[Discount Amount]]</f>
        <v>2876.4</v>
      </c>
      <c r="V3722" s="77">
        <f>INDEX(Products!E:E,MATCH(OrdersTable[[#This Row],[Product ID]],Products!A:A,0))</f>
        <v>216</v>
      </c>
      <c r="W3722" s="77">
        <f>OrdersTable[[#This Row],[Quantity]]*OrdersTable[[#This Row],[Unit Cost]]</f>
        <v>864</v>
      </c>
      <c r="X3722" s="77">
        <f>'Dropdown Lists'!$I$2*(1+OrdersTable[[#This Row],[Returned]])</f>
        <v>60</v>
      </c>
      <c r="Y3722" s="76">
        <f>OrdersTable[[#This Row],[Net Revenue]]-OrdersTable[[#This Row],[COGS]]-OrdersTable[[#This Row],[Shipping Cost]]</f>
        <v>1952.4</v>
      </c>
      <c r="Z3722" s="78">
        <f>IFERROR(OrdersTable[[#This Row],[Profit]]/OrdersTable[[#This Row],[Net Revenue]],0)</f>
        <v>0.67876512307050485</v>
      </c>
      <c r="AA3722" t="s">
        <v>2522</v>
      </c>
      <c r="AB3722" s="79">
        <v>45894</v>
      </c>
      <c r="AC3722">
        <f>OrdersTable[[#This Row],[Delivery Date]]-OrdersTable[[#This Row],[Order Date]]</f>
        <v>1</v>
      </c>
      <c r="AD3722" t="str">
        <f>IF(OrdersTable[[#This Row],[Delivery Days]]&lt;=2, "Express (≤2d)", IF(OrdersTable[[#This Row],[Delivery Days]]&lt;=4, "Standard (3-4d)", "Delayed (5d+)"))</f>
        <v>Express (≤2d)</v>
      </c>
      <c r="AF3722">
        <v>0</v>
      </c>
    </row>
    <row r="3723" spans="1:32" ht="15" x14ac:dyDescent="0.35">
      <c r="A3723" t="s">
        <v>2649</v>
      </c>
      <c r="B3723" s="1">
        <v>45893</v>
      </c>
      <c r="C3723">
        <f>YEAR(OrdersTable[[#This Row],[Order Date]])</f>
        <v>2025</v>
      </c>
      <c r="D3723" s="2">
        <f>DATE(YEAR(OrdersTable[[#This Row],[Order Date]]),MONTH(OrdersTable[[#This Row],[Order Date]]),1)</f>
        <v>45870</v>
      </c>
      <c r="E3723">
        <f>MONTH(OrdersTable[[#This Row],[Order Date]])</f>
        <v>8</v>
      </c>
      <c r="F3723" t="s">
        <v>131</v>
      </c>
      <c r="G3723" t="str">
        <f>IF(OrdersTable[[#This Row],[Order Date]]=_xlfn.MINIFS(Order_Date, Customer_ID, OrdersTable[[#This Row],[Customer ID]]), "New", "Repeat")</f>
        <v>Repeat</v>
      </c>
      <c r="H3723" t="s">
        <v>167</v>
      </c>
      <c r="I3723" t="str">
        <f>INDEX(State!B:B,MATCH(OrdersTable[[#This Row],[State]],State!A:A,0))</f>
        <v>KA</v>
      </c>
      <c r="J3723" t="str">
        <f>INDEX(State!C:C,MATCH(OrdersTable[[#This Row],[State Code]],State!B:B,0))</f>
        <v>South</v>
      </c>
      <c r="K3723" t="s">
        <v>168</v>
      </c>
      <c r="L3723" t="s">
        <v>65</v>
      </c>
      <c r="M3723" t="s">
        <v>228</v>
      </c>
      <c r="N3723" t="str">
        <f>INDEX(Products!B:B,MATCH(OrdersTable[[#This Row],[Product ID]],Products!A:A,0))</f>
        <v>Fast Charger 33W</v>
      </c>
      <c r="O3723" t="str">
        <f>INDEX(Products!C:C,MATCH(OrdersTable[[#This Row],[Product ID]],Products!A:A,0))</f>
        <v>Electronics</v>
      </c>
      <c r="P3723">
        <v>1</v>
      </c>
      <c r="Q3723" s="5">
        <v>899</v>
      </c>
      <c r="R3723" s="74">
        <v>0.15</v>
      </c>
      <c r="S3723" s="75">
        <f>OrdersTable[[#This Row],[Quantity]]*OrdersTable[[#This Row],[Unit Price]]</f>
        <v>899</v>
      </c>
      <c r="T3723" s="5">
        <f>OrdersTable[[#This Row],[Gross Sale]]*OrdersTable[[#This Row],[Discount_Clean2]]</f>
        <v>134.85</v>
      </c>
      <c r="U3723" s="5">
        <f>OrdersTable[[#This Row],[Gross Sale]]-OrdersTable[[#This Row],[Discount Amount]]</f>
        <v>764.15</v>
      </c>
      <c r="V3723" s="77">
        <f>INDEX(Products!E:E,MATCH(OrdersTable[[#This Row],[Product ID]],Products!A:A,0))</f>
        <v>494</v>
      </c>
      <c r="W3723" s="77">
        <f>OrdersTable[[#This Row],[Quantity]]*OrdersTable[[#This Row],[Unit Cost]]</f>
        <v>494</v>
      </c>
      <c r="X3723" s="77">
        <f>'Dropdown Lists'!$I$2*(1+OrdersTable[[#This Row],[Returned]])</f>
        <v>60</v>
      </c>
      <c r="Y3723" s="76">
        <f>OrdersTable[[#This Row],[Net Revenue]]-OrdersTable[[#This Row],[COGS]]-OrdersTable[[#This Row],[Shipping Cost]]</f>
        <v>210.14999999999998</v>
      </c>
      <c r="Z3723" s="78">
        <f>IFERROR(OrdersTable[[#This Row],[Profit]]/OrdersTable[[#This Row],[Net Revenue]],0)</f>
        <v>0.27501145063142052</v>
      </c>
      <c r="AA3723" t="s">
        <v>2522</v>
      </c>
      <c r="AB3723" s="79">
        <v>45895</v>
      </c>
      <c r="AC3723">
        <f>OrdersTable[[#This Row],[Delivery Date]]-OrdersTable[[#This Row],[Order Date]]</f>
        <v>2</v>
      </c>
      <c r="AD3723" t="str">
        <f>IF(OrdersTable[[#This Row],[Delivery Days]]&lt;=2, "Express (≤2d)", IF(OrdersTable[[#This Row],[Delivery Days]]&lt;=4, "Standard (3-4d)", "Delayed (5d+)"))</f>
        <v>Express (≤2d)</v>
      </c>
      <c r="AE3723">
        <v>5</v>
      </c>
      <c r="AF3723">
        <v>0</v>
      </c>
    </row>
    <row r="3724" spans="1:32" ht="15" x14ac:dyDescent="0.35">
      <c r="A3724" t="s">
        <v>1296</v>
      </c>
      <c r="B3724" s="1">
        <v>45893</v>
      </c>
      <c r="C3724">
        <f>YEAR(OrdersTable[[#This Row],[Order Date]])</f>
        <v>2025</v>
      </c>
      <c r="D3724" s="2">
        <f>DATE(YEAR(OrdersTable[[#This Row],[Order Date]]),MONTH(OrdersTable[[#This Row],[Order Date]]),1)</f>
        <v>45870</v>
      </c>
      <c r="E3724">
        <f>MONTH(OrdersTable[[#This Row],[Order Date]])</f>
        <v>8</v>
      </c>
      <c r="F3724" t="s">
        <v>1297</v>
      </c>
      <c r="G3724" t="str">
        <f>IF(OrdersTable[[#This Row],[Order Date]]=_xlfn.MINIFS(Order_Date, Customer_ID, OrdersTable[[#This Row],[Customer ID]]), "New", "Repeat")</f>
        <v>Repeat</v>
      </c>
      <c r="H3724" t="s">
        <v>167</v>
      </c>
      <c r="I3724" t="str">
        <f>INDEX(State!B:B,MATCH(OrdersTable[[#This Row],[State]],State!A:A,0))</f>
        <v>KA</v>
      </c>
      <c r="J3724" t="str">
        <f>INDEX(State!C:C,MATCH(OrdersTable[[#This Row],[State Code]],State!B:B,0))</f>
        <v>South</v>
      </c>
      <c r="K3724" t="s">
        <v>168</v>
      </c>
      <c r="L3724" t="s">
        <v>16</v>
      </c>
      <c r="M3724" t="s">
        <v>34</v>
      </c>
      <c r="N3724" t="str">
        <f>INDEX(Products!B:B,MATCH(OrdersTable[[#This Row],[Product ID]],Products!A:A,0))</f>
        <v>Flip Flops</v>
      </c>
      <c r="O3724" t="str">
        <f>INDEX(Products!C:C,MATCH(OrdersTable[[#This Row],[Product ID]],Products!A:A,0))</f>
        <v>Footwear</v>
      </c>
      <c r="P3724">
        <v>1</v>
      </c>
      <c r="Q3724" s="5">
        <v>399</v>
      </c>
      <c r="R3724" s="74">
        <v>0.05</v>
      </c>
      <c r="S3724" s="75">
        <f>OrdersTable[[#This Row],[Quantity]]*OrdersTable[[#This Row],[Unit Price]]</f>
        <v>399</v>
      </c>
      <c r="T3724" s="5">
        <f>OrdersTable[[#This Row],[Gross Sale]]*OrdersTable[[#This Row],[Discount_Clean2]]</f>
        <v>19.950000000000003</v>
      </c>
      <c r="U3724" s="5">
        <f>OrdersTable[[#This Row],[Gross Sale]]-OrdersTable[[#This Row],[Discount Amount]]</f>
        <v>379.05</v>
      </c>
      <c r="V3724" s="77">
        <f>INDEX(Products!E:E,MATCH(OrdersTable[[#This Row],[Product ID]],Products!A:A,0))</f>
        <v>152</v>
      </c>
      <c r="W3724" s="77">
        <f>OrdersTable[[#This Row],[Quantity]]*OrdersTable[[#This Row],[Unit Cost]]</f>
        <v>152</v>
      </c>
      <c r="X3724" s="77">
        <f>'Dropdown Lists'!$I$2*(1+OrdersTable[[#This Row],[Returned]])</f>
        <v>60</v>
      </c>
      <c r="Y3724" s="76">
        <f>OrdersTable[[#This Row],[Net Revenue]]-OrdersTable[[#This Row],[COGS]]-OrdersTable[[#This Row],[Shipping Cost]]</f>
        <v>167.05</v>
      </c>
      <c r="Z3724" s="78">
        <f>IFERROR(OrdersTable[[#This Row],[Profit]]/OrdersTable[[#This Row],[Net Revenue]],0)</f>
        <v>0.44070703073473161</v>
      </c>
      <c r="AA3724" t="s">
        <v>18</v>
      </c>
      <c r="AB3724" s="79">
        <v>45895</v>
      </c>
      <c r="AC3724">
        <f>OrdersTable[[#This Row],[Delivery Date]]-OrdersTable[[#This Row],[Order Date]]</f>
        <v>2</v>
      </c>
      <c r="AD3724" t="str">
        <f>IF(OrdersTable[[#This Row],[Delivery Days]]&lt;=2, "Express (≤2d)", IF(OrdersTable[[#This Row],[Delivery Days]]&lt;=4, "Standard (3-4d)", "Delayed (5d+)"))</f>
        <v>Express (≤2d)</v>
      </c>
      <c r="AF3724">
        <v>0</v>
      </c>
    </row>
    <row r="3725" spans="1:32" ht="15" x14ac:dyDescent="0.35">
      <c r="A3725" t="s">
        <v>2650</v>
      </c>
      <c r="B3725" s="1">
        <v>45893</v>
      </c>
      <c r="C3725">
        <f>YEAR(OrdersTable[[#This Row],[Order Date]])</f>
        <v>2025</v>
      </c>
      <c r="D3725" s="2">
        <f>DATE(YEAR(OrdersTable[[#This Row],[Order Date]]),MONTH(OrdersTable[[#This Row],[Order Date]]),1)</f>
        <v>45870</v>
      </c>
      <c r="E3725">
        <f>MONTH(OrdersTable[[#This Row],[Order Date]])</f>
        <v>8</v>
      </c>
      <c r="F3725" t="s">
        <v>2651</v>
      </c>
      <c r="G3725" t="str">
        <f>IF(OrdersTable[[#This Row],[Order Date]]=_xlfn.MINIFS(Order_Date, Customer_ID, OrdersTable[[#This Row],[Customer ID]]), "New", "Repeat")</f>
        <v>New</v>
      </c>
      <c r="H3725" t="s">
        <v>316</v>
      </c>
      <c r="I3725" t="str">
        <f>INDEX(State!B:B,MATCH(OrdersTable[[#This Row],[State]],State!A:A,0))</f>
        <v>KL</v>
      </c>
      <c r="J3725" t="str">
        <f>INDEX(State!C:C,MATCH(OrdersTable[[#This Row],[State Code]],State!B:B,0))</f>
        <v>South</v>
      </c>
      <c r="K3725" t="s">
        <v>317</v>
      </c>
      <c r="L3725" t="s">
        <v>65</v>
      </c>
      <c r="M3725" t="s">
        <v>17</v>
      </c>
      <c r="N3725" t="str">
        <f>INDEX(Products!B:B,MATCH(OrdersTable[[#This Row],[Product ID]],Products!A:A,0))</f>
        <v>Casual Sneakers</v>
      </c>
      <c r="O3725" t="str">
        <f>INDEX(Products!C:C,MATCH(OrdersTable[[#This Row],[Product ID]],Products!A:A,0))</f>
        <v>Footwear</v>
      </c>
      <c r="P3725">
        <v>1</v>
      </c>
      <c r="Q3725" s="5">
        <v>2199</v>
      </c>
      <c r="R3725" s="74">
        <v>0.2</v>
      </c>
      <c r="S3725" s="75">
        <f>OrdersTable[[#This Row],[Quantity]]*OrdersTable[[#This Row],[Unit Price]]</f>
        <v>2199</v>
      </c>
      <c r="T3725" s="5">
        <f>OrdersTable[[#This Row],[Gross Sale]]*OrdersTable[[#This Row],[Discount_Clean2]]</f>
        <v>439.8</v>
      </c>
      <c r="U3725" s="5">
        <f>OrdersTable[[#This Row],[Gross Sale]]-OrdersTable[[#This Row],[Discount Amount]]</f>
        <v>1759.2</v>
      </c>
      <c r="V3725" s="77">
        <f>INDEX(Products!E:E,MATCH(OrdersTable[[#This Row],[Product ID]],Products!A:A,0))</f>
        <v>1034</v>
      </c>
      <c r="W3725" s="77">
        <f>OrdersTable[[#This Row],[Quantity]]*OrdersTable[[#This Row],[Unit Cost]]</f>
        <v>1034</v>
      </c>
      <c r="X3725" s="77">
        <f>'Dropdown Lists'!$I$2*(1+OrdersTable[[#This Row],[Returned]])</f>
        <v>60</v>
      </c>
      <c r="Y3725" s="76">
        <f>OrdersTable[[#This Row],[Net Revenue]]-OrdersTable[[#This Row],[COGS]]-OrdersTable[[#This Row],[Shipping Cost]]</f>
        <v>665.2</v>
      </c>
      <c r="Z3725" s="78">
        <f>IFERROR(OrdersTable[[#This Row],[Profit]]/OrdersTable[[#This Row],[Net Revenue]],0)</f>
        <v>0.37812642110050027</v>
      </c>
      <c r="AA3725" t="s">
        <v>2522</v>
      </c>
      <c r="AB3725" s="79">
        <v>45896</v>
      </c>
      <c r="AC3725">
        <f>OrdersTable[[#This Row],[Delivery Date]]-OrdersTable[[#This Row],[Order Date]]</f>
        <v>3</v>
      </c>
      <c r="AD3725" t="str">
        <f>IF(OrdersTable[[#This Row],[Delivery Days]]&lt;=2, "Express (≤2d)", IF(OrdersTable[[#This Row],[Delivery Days]]&lt;=4, "Standard (3-4d)", "Delayed (5d+)"))</f>
        <v>Standard (3-4d)</v>
      </c>
      <c r="AE3725">
        <v>5</v>
      </c>
      <c r="AF3725">
        <v>0</v>
      </c>
    </row>
    <row r="3726" spans="1:32" ht="15" x14ac:dyDescent="0.35">
      <c r="A3726" t="s">
        <v>1010</v>
      </c>
      <c r="B3726" s="1">
        <v>45894</v>
      </c>
      <c r="C3726">
        <f>YEAR(OrdersTable[[#This Row],[Order Date]])</f>
        <v>2025</v>
      </c>
      <c r="D3726" s="2">
        <f>DATE(YEAR(OrdersTable[[#This Row],[Order Date]]),MONTH(OrdersTable[[#This Row],[Order Date]]),1)</f>
        <v>45870</v>
      </c>
      <c r="E3726">
        <f>MONTH(OrdersTable[[#This Row],[Order Date]])</f>
        <v>8</v>
      </c>
      <c r="F3726" t="s">
        <v>1011</v>
      </c>
      <c r="G3726" t="str">
        <f>IF(OrdersTable[[#This Row],[Order Date]]=_xlfn.MINIFS(Order_Date, Customer_ID, OrdersTable[[#This Row],[Customer ID]]), "New", "Repeat")</f>
        <v>Repeat</v>
      </c>
      <c r="H3726" t="s">
        <v>21</v>
      </c>
      <c r="I3726" t="str">
        <f>INDEX(State!B:B,MATCH(OrdersTable[[#This Row],[State]],State!A:A,0))</f>
        <v>PB</v>
      </c>
      <c r="J3726" t="str">
        <f>INDEX(State!C:C,MATCH(OrdersTable[[#This Row],[State Code]],State!B:B,0))</f>
        <v>North</v>
      </c>
      <c r="K3726" t="s">
        <v>260</v>
      </c>
      <c r="L3726" t="s">
        <v>23</v>
      </c>
      <c r="M3726" t="s">
        <v>29</v>
      </c>
      <c r="N3726" t="str">
        <f>INDEX(Products!B:B,MATCH(OrdersTable[[#This Row],[Product ID]],Products!A:A,0))</f>
        <v>Joggers</v>
      </c>
      <c r="O3726" t="str">
        <f>INDEX(Products!C:C,MATCH(OrdersTable[[#This Row],[Product ID]],Products!A:A,0))</f>
        <v>Apparel</v>
      </c>
      <c r="P3726">
        <v>1</v>
      </c>
      <c r="Q3726" s="5">
        <v>1199</v>
      </c>
      <c r="R3726" s="74">
        <v>0.1</v>
      </c>
      <c r="S3726" s="75">
        <f>OrdersTable[[#This Row],[Quantity]]*OrdersTable[[#This Row],[Unit Price]]</f>
        <v>1199</v>
      </c>
      <c r="T3726" s="5">
        <f>OrdersTable[[#This Row],[Gross Sale]]*OrdersTable[[#This Row],[Discount_Clean2]]</f>
        <v>119.9</v>
      </c>
      <c r="U3726" s="5">
        <f>OrdersTable[[#This Row],[Gross Sale]]-OrdersTable[[#This Row],[Discount Amount]]</f>
        <v>1079.0999999999999</v>
      </c>
      <c r="V3726" s="77">
        <f>INDEX(Products!E:E,MATCH(OrdersTable[[#This Row],[Product ID]],Products!A:A,0))</f>
        <v>492</v>
      </c>
      <c r="W3726" s="77">
        <f>OrdersTable[[#This Row],[Quantity]]*OrdersTable[[#This Row],[Unit Cost]]</f>
        <v>492</v>
      </c>
      <c r="X3726" s="77">
        <f>'Dropdown Lists'!$I$2*(1+OrdersTable[[#This Row],[Returned]])</f>
        <v>60</v>
      </c>
      <c r="Y3726" s="76">
        <f>OrdersTable[[#This Row],[Net Revenue]]-OrdersTable[[#This Row],[COGS]]-OrdersTable[[#This Row],[Shipping Cost]]</f>
        <v>527.09999999999991</v>
      </c>
      <c r="Z3726" s="78">
        <f>IFERROR(OrdersTable[[#This Row],[Profit]]/OrdersTable[[#This Row],[Net Revenue]],0)</f>
        <v>0.48846260772866273</v>
      </c>
      <c r="AA3726" t="s">
        <v>18</v>
      </c>
      <c r="AB3726" s="79">
        <v>45897</v>
      </c>
      <c r="AC3726">
        <f>OrdersTable[[#This Row],[Delivery Date]]-OrdersTable[[#This Row],[Order Date]]</f>
        <v>3</v>
      </c>
      <c r="AD3726" t="str">
        <f>IF(OrdersTable[[#This Row],[Delivery Days]]&lt;=2, "Express (≤2d)", IF(OrdersTable[[#This Row],[Delivery Days]]&lt;=4, "Standard (3-4d)", "Delayed (5d+)"))</f>
        <v>Standard (3-4d)</v>
      </c>
      <c r="AE3726">
        <v>4</v>
      </c>
      <c r="AF3726">
        <v>0</v>
      </c>
    </row>
    <row r="3727" spans="1:32" ht="15" x14ac:dyDescent="0.35">
      <c r="A3727" t="s">
        <v>7110</v>
      </c>
      <c r="B3727" s="1">
        <v>45894</v>
      </c>
      <c r="C3727">
        <f>YEAR(OrdersTable[[#This Row],[Order Date]])</f>
        <v>2025</v>
      </c>
      <c r="D3727" s="2">
        <f>DATE(YEAR(OrdersTable[[#This Row],[Order Date]]),MONTH(OrdersTable[[#This Row],[Order Date]]),1)</f>
        <v>45870</v>
      </c>
      <c r="E3727">
        <f>MONTH(OrdersTable[[#This Row],[Order Date]])</f>
        <v>8</v>
      </c>
      <c r="F3727" t="s">
        <v>609</v>
      </c>
      <c r="G3727" t="str">
        <f>IF(OrdersTable[[#This Row],[Order Date]]=_xlfn.MINIFS(Order_Date, Customer_ID, OrdersTable[[#This Row],[Customer ID]]), "New", "Repeat")</f>
        <v>Repeat</v>
      </c>
      <c r="H3727" t="s">
        <v>48</v>
      </c>
      <c r="I3727" t="str">
        <f>INDEX(State!B:B,MATCH(OrdersTable[[#This Row],[State]],State!A:A,0))</f>
        <v>HR</v>
      </c>
      <c r="J3727" t="str">
        <f>INDEX(State!C:C,MATCH(OrdersTable[[#This Row],[State Code]],State!B:B,0))</f>
        <v>North</v>
      </c>
      <c r="K3727" t="s">
        <v>151</v>
      </c>
      <c r="L3727" t="s">
        <v>23</v>
      </c>
      <c r="M3727" t="s">
        <v>152</v>
      </c>
      <c r="N3727" t="str">
        <f>INDEX(Products!B:B,MATCH(OrdersTable[[#This Row],[Product ID]],Products!A:A,0))</f>
        <v>Green Tea (100 bags)</v>
      </c>
      <c r="O3727" t="str">
        <f>INDEX(Products!C:C,MATCH(OrdersTable[[#This Row],[Product ID]],Products!A:A,0))</f>
        <v>Wellness</v>
      </c>
      <c r="P3727">
        <v>4</v>
      </c>
      <c r="Q3727" s="5">
        <v>399</v>
      </c>
      <c r="R3727" s="74">
        <v>0.3</v>
      </c>
      <c r="S3727" s="75">
        <f>OrdersTable[[#This Row],[Quantity]]*OrdersTable[[#This Row],[Unit Price]]</f>
        <v>1596</v>
      </c>
      <c r="T3727" s="5">
        <f>OrdersTable[[#This Row],[Gross Sale]]*OrdersTable[[#This Row],[Discount_Clean2]]</f>
        <v>478.79999999999995</v>
      </c>
      <c r="U3727" s="5">
        <f>OrdersTable[[#This Row],[Gross Sale]]-OrdersTable[[#This Row],[Discount Amount]]</f>
        <v>1117.2</v>
      </c>
      <c r="V3727" s="77">
        <f>INDEX(Products!E:E,MATCH(OrdersTable[[#This Row],[Product ID]],Products!A:A,0))</f>
        <v>128</v>
      </c>
      <c r="W3727" s="77">
        <f>OrdersTable[[#This Row],[Quantity]]*OrdersTable[[#This Row],[Unit Cost]]</f>
        <v>512</v>
      </c>
      <c r="X3727" s="77">
        <f>'Dropdown Lists'!$I$2*(1+OrdersTable[[#This Row],[Returned]])</f>
        <v>60</v>
      </c>
      <c r="Y3727" s="76">
        <f>OrdersTable[[#This Row],[Net Revenue]]-OrdersTable[[#This Row],[COGS]]-OrdersTable[[#This Row],[Shipping Cost]]</f>
        <v>545.20000000000005</v>
      </c>
      <c r="Z3727" s="78">
        <f>IFERROR(OrdersTable[[#This Row],[Profit]]/OrdersTable[[#This Row],[Net Revenue]],0)</f>
        <v>0.4880057286072324</v>
      </c>
      <c r="AA3727" t="s">
        <v>18</v>
      </c>
      <c r="AB3727" s="79">
        <v>45897</v>
      </c>
      <c r="AC3727">
        <f>OrdersTable[[#This Row],[Delivery Date]]-OrdersTable[[#This Row],[Order Date]]</f>
        <v>3</v>
      </c>
      <c r="AD3727" t="str">
        <f>IF(OrdersTable[[#This Row],[Delivery Days]]&lt;=2, "Express (≤2d)", IF(OrdersTable[[#This Row],[Delivery Days]]&lt;=4, "Standard (3-4d)", "Delayed (5d+)"))</f>
        <v>Standard (3-4d)</v>
      </c>
      <c r="AE3727">
        <v>3</v>
      </c>
      <c r="AF3727">
        <v>0</v>
      </c>
    </row>
    <row r="3728" spans="1:32" ht="15" x14ac:dyDescent="0.35">
      <c r="A3728" t="s">
        <v>5623</v>
      </c>
      <c r="B3728" s="1">
        <v>45894</v>
      </c>
      <c r="C3728">
        <f>YEAR(OrdersTable[[#This Row],[Order Date]])</f>
        <v>2025</v>
      </c>
      <c r="D3728" s="2">
        <f>DATE(YEAR(OrdersTable[[#This Row],[Order Date]]),MONTH(OrdersTable[[#This Row],[Order Date]]),1)</f>
        <v>45870</v>
      </c>
      <c r="E3728">
        <f>MONTH(OrdersTable[[#This Row],[Order Date]])</f>
        <v>8</v>
      </c>
      <c r="F3728" t="s">
        <v>703</v>
      </c>
      <c r="G3728" t="str">
        <f>IF(OrdersTable[[#This Row],[Order Date]]=_xlfn.MINIFS(Order_Date, Customer_ID, OrdersTable[[#This Row],[Customer ID]]), "New", "Repeat")</f>
        <v>Repeat</v>
      </c>
      <c r="H3728" t="s">
        <v>37</v>
      </c>
      <c r="I3728" t="str">
        <f>INDEX(State!B:B,MATCH(OrdersTable[[#This Row],[State]],State!A:A,0))</f>
        <v>GJ</v>
      </c>
      <c r="J3728" t="str">
        <f>INDEX(State!C:C,MATCH(OrdersTable[[#This Row],[State Code]],State!B:B,0))</f>
        <v>West</v>
      </c>
      <c r="K3728" t="s">
        <v>38</v>
      </c>
      <c r="L3728" t="s">
        <v>50</v>
      </c>
      <c r="M3728" t="s">
        <v>160</v>
      </c>
      <c r="N3728" t="str">
        <f>INDEX(Products!B:B,MATCH(OrdersTable[[#This Row],[Product ID]],Products!A:A,0))</f>
        <v>Niacinamide Toner</v>
      </c>
      <c r="O3728" t="str">
        <f>INDEX(Products!C:C,MATCH(OrdersTable[[#This Row],[Product ID]],Products!A:A,0))</f>
        <v>Skincare</v>
      </c>
      <c r="P3728">
        <v>2</v>
      </c>
      <c r="Q3728" s="5">
        <v>399</v>
      </c>
      <c r="R3728" s="74">
        <v>0.3</v>
      </c>
      <c r="S3728" s="75">
        <f>OrdersTable[[#This Row],[Quantity]]*OrdersTable[[#This Row],[Unit Price]]</f>
        <v>798</v>
      </c>
      <c r="T3728" s="5">
        <f>OrdersTable[[#This Row],[Gross Sale]]*OrdersTable[[#This Row],[Discount_Clean2]]</f>
        <v>239.39999999999998</v>
      </c>
      <c r="U3728" s="5">
        <f>OrdersTable[[#This Row],[Gross Sale]]-OrdersTable[[#This Row],[Discount Amount]]</f>
        <v>558.6</v>
      </c>
      <c r="V3728" s="77">
        <f>INDEX(Products!E:E,MATCH(OrdersTable[[#This Row],[Product ID]],Products!A:A,0))</f>
        <v>112</v>
      </c>
      <c r="W3728" s="77">
        <f>OrdersTable[[#This Row],[Quantity]]*OrdersTable[[#This Row],[Unit Cost]]</f>
        <v>224</v>
      </c>
      <c r="X3728" s="77">
        <f>'Dropdown Lists'!$I$2*(1+OrdersTable[[#This Row],[Returned]])</f>
        <v>60</v>
      </c>
      <c r="Y3728" s="76">
        <f>OrdersTable[[#This Row],[Net Revenue]]-OrdersTable[[#This Row],[COGS]]-OrdersTable[[#This Row],[Shipping Cost]]</f>
        <v>274.60000000000002</v>
      </c>
      <c r="Z3728" s="78">
        <f>IFERROR(OrdersTable[[#This Row],[Profit]]/OrdersTable[[#This Row],[Net Revenue]],0)</f>
        <v>0.49158610812746151</v>
      </c>
      <c r="AA3728" t="s">
        <v>2522</v>
      </c>
      <c r="AB3728" s="79">
        <v>45896</v>
      </c>
      <c r="AC3728">
        <f>OrdersTable[[#This Row],[Delivery Date]]-OrdersTable[[#This Row],[Order Date]]</f>
        <v>2</v>
      </c>
      <c r="AD3728" t="str">
        <f>IF(OrdersTable[[#This Row],[Delivery Days]]&lt;=2, "Express (≤2d)", IF(OrdersTable[[#This Row],[Delivery Days]]&lt;=4, "Standard (3-4d)", "Delayed (5d+)"))</f>
        <v>Express (≤2d)</v>
      </c>
      <c r="AE3728">
        <v>5</v>
      </c>
      <c r="AF3728">
        <v>0</v>
      </c>
    </row>
    <row r="3729" spans="1:32" ht="15" x14ac:dyDescent="0.35">
      <c r="A3729" t="s">
        <v>1777</v>
      </c>
      <c r="B3729" s="1">
        <v>45894</v>
      </c>
      <c r="C3729">
        <f>YEAR(OrdersTable[[#This Row],[Order Date]])</f>
        <v>2025</v>
      </c>
      <c r="D3729" s="2">
        <f>DATE(YEAR(OrdersTable[[#This Row],[Order Date]]),MONTH(OrdersTable[[#This Row],[Order Date]]),1)</f>
        <v>45870</v>
      </c>
      <c r="E3729">
        <f>MONTH(OrdersTable[[#This Row],[Order Date]])</f>
        <v>8</v>
      </c>
      <c r="F3729" t="s">
        <v>1778</v>
      </c>
      <c r="G3729" t="str">
        <f>IF(OrdersTable[[#This Row],[Order Date]]=_xlfn.MINIFS(Order_Date, Customer_ID, OrdersTable[[#This Row],[Customer ID]]), "New", "Repeat")</f>
        <v>Repeat</v>
      </c>
      <c r="H3729" t="s">
        <v>27</v>
      </c>
      <c r="I3729" t="str">
        <f>INDEX(State!B:B,MATCH(OrdersTable[[#This Row],[State]],State!A:A,0))</f>
        <v>WB</v>
      </c>
      <c r="J3729" t="str">
        <f>INDEX(State!C:C,MATCH(OrdersTable[[#This Row],[State Code]],State!B:B,0))</f>
        <v>East</v>
      </c>
      <c r="K3729" t="s">
        <v>28</v>
      </c>
      <c r="L3729" t="s">
        <v>65</v>
      </c>
      <c r="M3729" t="s">
        <v>92</v>
      </c>
      <c r="N3729" t="str">
        <f>INDEX(Products!B:B,MATCH(OrdersTable[[#This Row],[Product ID]],Products!A:A,0))</f>
        <v>Kolhapuri Sandals</v>
      </c>
      <c r="O3729" t="str">
        <f>INDEX(Products!C:C,MATCH(OrdersTable[[#This Row],[Product ID]],Products!A:A,0))</f>
        <v>Footwear</v>
      </c>
      <c r="P3729">
        <v>1</v>
      </c>
      <c r="Q3729" s="5">
        <v>999</v>
      </c>
      <c r="R3729" s="74">
        <v>0.05</v>
      </c>
      <c r="S3729" s="75">
        <f>OrdersTable[[#This Row],[Quantity]]*OrdersTable[[#This Row],[Unit Price]]</f>
        <v>999</v>
      </c>
      <c r="T3729" s="5">
        <f>OrdersTable[[#This Row],[Gross Sale]]*OrdersTable[[#This Row],[Discount_Clean2]]</f>
        <v>49.95</v>
      </c>
      <c r="U3729" s="5">
        <f>OrdersTable[[#This Row],[Gross Sale]]-OrdersTable[[#This Row],[Discount Amount]]</f>
        <v>949.05</v>
      </c>
      <c r="V3729" s="77">
        <f>INDEX(Products!E:E,MATCH(OrdersTable[[#This Row],[Product ID]],Products!A:A,0))</f>
        <v>400</v>
      </c>
      <c r="W3729" s="77">
        <f>OrdersTable[[#This Row],[Quantity]]*OrdersTable[[#This Row],[Unit Cost]]</f>
        <v>400</v>
      </c>
      <c r="X3729" s="77">
        <f>'Dropdown Lists'!$I$2*(1+OrdersTable[[#This Row],[Returned]])</f>
        <v>60</v>
      </c>
      <c r="Y3729" s="76">
        <f>OrdersTable[[#This Row],[Net Revenue]]-OrdersTable[[#This Row],[COGS]]-OrdersTable[[#This Row],[Shipping Cost]]</f>
        <v>489.04999999999995</v>
      </c>
      <c r="Z3729" s="78">
        <f>IFERROR(OrdersTable[[#This Row],[Profit]]/OrdersTable[[#This Row],[Net Revenue]],0)</f>
        <v>0.5153047784626732</v>
      </c>
      <c r="AA3729" t="s">
        <v>18</v>
      </c>
      <c r="AB3729" s="79">
        <v>45896</v>
      </c>
      <c r="AC3729">
        <f>OrdersTable[[#This Row],[Delivery Date]]-OrdersTable[[#This Row],[Order Date]]</f>
        <v>2</v>
      </c>
      <c r="AD3729" t="str">
        <f>IF(OrdersTable[[#This Row],[Delivery Days]]&lt;=2, "Express (≤2d)", IF(OrdersTable[[#This Row],[Delivery Days]]&lt;=4, "Standard (3-4d)", "Delayed (5d+)"))</f>
        <v>Express (≤2d)</v>
      </c>
      <c r="AF3729">
        <v>0</v>
      </c>
    </row>
    <row r="3730" spans="1:32" ht="15" x14ac:dyDescent="0.35">
      <c r="A3730" t="s">
        <v>3326</v>
      </c>
      <c r="B3730" s="1">
        <v>45894</v>
      </c>
      <c r="C3730">
        <f>YEAR(OrdersTable[[#This Row],[Order Date]])</f>
        <v>2025</v>
      </c>
      <c r="D3730" s="2">
        <f>DATE(YEAR(OrdersTable[[#This Row],[Order Date]]),MONTH(OrdersTable[[#This Row],[Order Date]]),1)</f>
        <v>45870</v>
      </c>
      <c r="E3730">
        <f>MONTH(OrdersTable[[#This Row],[Order Date]])</f>
        <v>8</v>
      </c>
      <c r="F3730" t="s">
        <v>1083</v>
      </c>
      <c r="G3730" t="str">
        <f>IF(OrdersTable[[#This Row],[Order Date]]=_xlfn.MINIFS(Order_Date, Customer_ID, OrdersTable[[#This Row],[Customer ID]]), "New", "Repeat")</f>
        <v>Repeat</v>
      </c>
      <c r="H3730" t="s">
        <v>71</v>
      </c>
      <c r="I3730" t="str">
        <f>INDEX(State!B:B,MATCH(OrdersTable[[#This Row],[State]],State!A:A,0))</f>
        <v>MH</v>
      </c>
      <c r="J3730" t="str">
        <f>INDEX(State!C:C,MATCH(OrdersTable[[#This Row],[State Code]],State!B:B,0))</f>
        <v>West</v>
      </c>
      <c r="K3730" t="s">
        <v>102</v>
      </c>
      <c r="L3730" t="s">
        <v>23</v>
      </c>
      <c r="M3730" t="s">
        <v>66</v>
      </c>
      <c r="N3730" t="str">
        <f>INDEX(Products!B:B,MATCH(OrdersTable[[#This Row],[Product ID]],Products!A:A,0))</f>
        <v>Sunscreen SPF 50</v>
      </c>
      <c r="O3730" t="str">
        <f>INDEX(Products!C:C,MATCH(OrdersTable[[#This Row],[Product ID]],Products!A:A,0))</f>
        <v>Skincare</v>
      </c>
      <c r="P3730">
        <v>1</v>
      </c>
      <c r="Q3730" s="5">
        <v>449</v>
      </c>
      <c r="R3730" s="74">
        <v>0.05</v>
      </c>
      <c r="S3730" s="75">
        <f>OrdersTable[[#This Row],[Quantity]]*OrdersTable[[#This Row],[Unit Price]]</f>
        <v>449</v>
      </c>
      <c r="T3730" s="5">
        <f>OrdersTable[[#This Row],[Gross Sale]]*OrdersTable[[#This Row],[Discount_Clean2]]</f>
        <v>22.450000000000003</v>
      </c>
      <c r="U3730" s="5">
        <f>OrdersTable[[#This Row],[Gross Sale]]-OrdersTable[[#This Row],[Discount Amount]]</f>
        <v>426.55</v>
      </c>
      <c r="V3730" s="77">
        <f>INDEX(Products!E:E,MATCH(OrdersTable[[#This Row],[Product ID]],Products!A:A,0))</f>
        <v>144</v>
      </c>
      <c r="W3730" s="77">
        <f>OrdersTable[[#This Row],[Quantity]]*OrdersTable[[#This Row],[Unit Cost]]</f>
        <v>144</v>
      </c>
      <c r="X3730" s="77">
        <f>'Dropdown Lists'!$I$2*(1+OrdersTable[[#This Row],[Returned]])</f>
        <v>60</v>
      </c>
      <c r="Y3730" s="76">
        <f>OrdersTable[[#This Row],[Net Revenue]]-OrdersTable[[#This Row],[COGS]]-OrdersTable[[#This Row],[Shipping Cost]]</f>
        <v>222.55</v>
      </c>
      <c r="Z3730" s="78">
        <f>IFERROR(OrdersTable[[#This Row],[Profit]]/OrdersTable[[#This Row],[Net Revenue]],0)</f>
        <v>0.52174422693705313</v>
      </c>
      <c r="AA3730" t="s">
        <v>2522</v>
      </c>
      <c r="AB3730" s="79">
        <v>45897</v>
      </c>
      <c r="AC3730">
        <f>OrdersTable[[#This Row],[Delivery Date]]-OrdersTable[[#This Row],[Order Date]]</f>
        <v>3</v>
      </c>
      <c r="AD3730" t="str">
        <f>IF(OrdersTable[[#This Row],[Delivery Days]]&lt;=2, "Express (≤2d)", IF(OrdersTable[[#This Row],[Delivery Days]]&lt;=4, "Standard (3-4d)", "Delayed (5d+)"))</f>
        <v>Standard (3-4d)</v>
      </c>
      <c r="AE3730">
        <v>4</v>
      </c>
      <c r="AF3730">
        <v>0</v>
      </c>
    </row>
    <row r="3731" spans="1:32" ht="15" x14ac:dyDescent="0.35">
      <c r="A3731" t="s">
        <v>5975</v>
      </c>
      <c r="B3731" s="1">
        <v>45894</v>
      </c>
      <c r="C3731">
        <f>YEAR(OrdersTable[[#This Row],[Order Date]])</f>
        <v>2025</v>
      </c>
      <c r="D3731" s="2">
        <f>DATE(YEAR(OrdersTable[[#This Row],[Order Date]]),MONTH(OrdersTable[[#This Row],[Order Date]]),1)</f>
        <v>45870</v>
      </c>
      <c r="E3731">
        <f>MONTH(OrdersTable[[#This Row],[Order Date]])</f>
        <v>8</v>
      </c>
      <c r="F3731" t="s">
        <v>621</v>
      </c>
      <c r="G3731" t="str">
        <f>IF(OrdersTable[[#This Row],[Order Date]]=_xlfn.MINIFS(Order_Date, Customer_ID, OrdersTable[[#This Row],[Customer ID]]), "New", "Repeat")</f>
        <v>Repeat</v>
      </c>
      <c r="H3731" t="s">
        <v>95</v>
      </c>
      <c r="I3731" t="str">
        <f>INDEX(State!B:B,MATCH(OrdersTable[[#This Row],[State]],State!A:A,0))</f>
        <v>TG</v>
      </c>
      <c r="J3731" t="str">
        <f>INDEX(State!C:C,MATCH(OrdersTable[[#This Row],[State Code]],State!B:B,0))</f>
        <v>South</v>
      </c>
      <c r="K3731" t="s">
        <v>96</v>
      </c>
      <c r="L3731" t="s">
        <v>65</v>
      </c>
      <c r="M3731" t="s">
        <v>423</v>
      </c>
      <c r="N3731" t="str">
        <f>INDEX(Products!B:B,MATCH(OrdersTable[[#This Row],[Product ID]],Products!A:A,0))</f>
        <v>Power Bank 20000mAh</v>
      </c>
      <c r="O3731" t="str">
        <f>INDEX(Products!C:C,MATCH(OrdersTable[[#This Row],[Product ID]],Products!A:A,0))</f>
        <v>Electronics</v>
      </c>
      <c r="P3731">
        <v>2</v>
      </c>
      <c r="Q3731" s="5">
        <v>1799</v>
      </c>
      <c r="R3731" s="74">
        <v>0.4</v>
      </c>
      <c r="S3731" s="75">
        <f>OrdersTable[[#This Row],[Quantity]]*OrdersTable[[#This Row],[Unit Price]]</f>
        <v>3598</v>
      </c>
      <c r="T3731" s="5">
        <f>OrdersTable[[#This Row],[Gross Sale]]*OrdersTable[[#This Row],[Discount_Clean2]]</f>
        <v>1439.2</v>
      </c>
      <c r="U3731" s="5">
        <f>OrdersTable[[#This Row],[Gross Sale]]-OrdersTable[[#This Row],[Discount Amount]]</f>
        <v>2158.8000000000002</v>
      </c>
      <c r="V3731" s="77">
        <f>INDEX(Products!E:E,MATCH(OrdersTable[[#This Row],[Product ID]],Products!A:A,0))</f>
        <v>1079</v>
      </c>
      <c r="W3731" s="77">
        <f>OrdersTable[[#This Row],[Quantity]]*OrdersTable[[#This Row],[Unit Cost]]</f>
        <v>2158</v>
      </c>
      <c r="X3731" s="77">
        <f>'Dropdown Lists'!$I$2*(1+OrdersTable[[#This Row],[Returned]])</f>
        <v>60</v>
      </c>
      <c r="Y3731" s="76">
        <f>OrdersTable[[#This Row],[Net Revenue]]-OrdersTable[[#This Row],[COGS]]-OrdersTable[[#This Row],[Shipping Cost]]</f>
        <v>-59.199999999999818</v>
      </c>
      <c r="Z3731" s="78">
        <f>IFERROR(OrdersTable[[#This Row],[Profit]]/OrdersTable[[#This Row],[Net Revenue]],0)</f>
        <v>-2.742264220863434E-2</v>
      </c>
      <c r="AA3731" t="s">
        <v>18</v>
      </c>
      <c r="AB3731" s="79">
        <v>45897</v>
      </c>
      <c r="AC3731">
        <f>OrdersTable[[#This Row],[Delivery Date]]-OrdersTable[[#This Row],[Order Date]]</f>
        <v>3</v>
      </c>
      <c r="AD3731" t="str">
        <f>IF(OrdersTable[[#This Row],[Delivery Days]]&lt;=2, "Express (≤2d)", IF(OrdersTable[[#This Row],[Delivery Days]]&lt;=4, "Standard (3-4d)", "Delayed (5d+)"))</f>
        <v>Standard (3-4d)</v>
      </c>
      <c r="AF3731">
        <v>0</v>
      </c>
    </row>
    <row r="3732" spans="1:32" ht="15" x14ac:dyDescent="0.35">
      <c r="A3732" t="s">
        <v>4534</v>
      </c>
      <c r="B3732" s="1">
        <v>45894</v>
      </c>
      <c r="C3732">
        <f>YEAR(OrdersTable[[#This Row],[Order Date]])</f>
        <v>2025</v>
      </c>
      <c r="D3732" s="2">
        <f>DATE(YEAR(OrdersTable[[#This Row],[Order Date]]),MONTH(OrdersTable[[#This Row],[Order Date]]),1)</f>
        <v>45870</v>
      </c>
      <c r="E3732">
        <f>MONTH(OrdersTable[[#This Row],[Order Date]])</f>
        <v>8</v>
      </c>
      <c r="F3732" t="s">
        <v>4535</v>
      </c>
      <c r="G3732" t="str">
        <f>IF(OrdersTable[[#This Row],[Order Date]]=_xlfn.MINIFS(Order_Date, Customer_ID, OrdersTable[[#This Row],[Customer ID]]), "New", "Repeat")</f>
        <v>New</v>
      </c>
      <c r="H3732" t="s">
        <v>59</v>
      </c>
      <c r="I3732" t="str">
        <f>INDEX(State!B:B,MATCH(OrdersTable[[#This Row],[State]],State!A:A,0))</f>
        <v>TN</v>
      </c>
      <c r="J3732" t="str">
        <f>INDEX(State!C:C,MATCH(OrdersTable[[#This Row],[State Code]],State!B:B,0))</f>
        <v>South</v>
      </c>
      <c r="K3732" t="s">
        <v>64</v>
      </c>
      <c r="L3732" t="s">
        <v>65</v>
      </c>
      <c r="M3732" t="s">
        <v>24</v>
      </c>
      <c r="N3732" t="str">
        <f>INDEX(Products!B:B,MATCH(OrdersTable[[#This Row],[Product ID]],Products!A:A,0))</f>
        <v>Scented Candle Set</v>
      </c>
      <c r="O3732" t="str">
        <f>INDEX(Products!C:C,MATCH(OrdersTable[[#This Row],[Product ID]],Products!A:A,0))</f>
        <v>Home &amp; Kitchen</v>
      </c>
      <c r="P3732">
        <v>1</v>
      </c>
      <c r="Q3732" s="5">
        <v>699</v>
      </c>
      <c r="R3732" s="74">
        <v>0.15</v>
      </c>
      <c r="S3732" s="75">
        <f>OrdersTable[[#This Row],[Quantity]]*OrdersTable[[#This Row],[Unit Price]]</f>
        <v>699</v>
      </c>
      <c r="T3732" s="5">
        <f>OrdersTable[[#This Row],[Gross Sale]]*OrdersTable[[#This Row],[Discount_Clean2]]</f>
        <v>104.85</v>
      </c>
      <c r="U3732" s="5">
        <f>OrdersTable[[#This Row],[Gross Sale]]-OrdersTable[[#This Row],[Discount Amount]]</f>
        <v>594.15</v>
      </c>
      <c r="V3732" s="77">
        <f>INDEX(Products!E:E,MATCH(OrdersTable[[#This Row],[Product ID]],Products!A:A,0))</f>
        <v>245</v>
      </c>
      <c r="W3732" s="77">
        <f>OrdersTable[[#This Row],[Quantity]]*OrdersTable[[#This Row],[Unit Cost]]</f>
        <v>245</v>
      </c>
      <c r="X3732" s="77">
        <f>'Dropdown Lists'!$I$2*(1+OrdersTable[[#This Row],[Returned]])</f>
        <v>60</v>
      </c>
      <c r="Y3732" s="76">
        <f>OrdersTable[[#This Row],[Net Revenue]]-OrdersTable[[#This Row],[COGS]]-OrdersTable[[#This Row],[Shipping Cost]]</f>
        <v>289.14999999999998</v>
      </c>
      <c r="Z3732" s="78">
        <f>IFERROR(OrdersTable[[#This Row],[Profit]]/OrdersTable[[#This Row],[Net Revenue]],0)</f>
        <v>0.48666161743667424</v>
      </c>
      <c r="AA3732" t="s">
        <v>4450</v>
      </c>
      <c r="AB3732" s="79">
        <v>45898</v>
      </c>
      <c r="AC3732">
        <f>OrdersTable[[#This Row],[Delivery Date]]-OrdersTable[[#This Row],[Order Date]]</f>
        <v>4</v>
      </c>
      <c r="AD3732" t="str">
        <f>IF(OrdersTable[[#This Row],[Delivery Days]]&lt;=2, "Express (≤2d)", IF(OrdersTable[[#This Row],[Delivery Days]]&lt;=4, "Standard (3-4d)", "Delayed (5d+)"))</f>
        <v>Standard (3-4d)</v>
      </c>
      <c r="AE3732">
        <v>4</v>
      </c>
      <c r="AF3732">
        <v>0</v>
      </c>
    </row>
    <row r="3733" spans="1:32" ht="15" x14ac:dyDescent="0.35">
      <c r="A3733" t="s">
        <v>3327</v>
      </c>
      <c r="B3733" s="1">
        <v>45895</v>
      </c>
      <c r="C3733">
        <f>YEAR(OrdersTable[[#This Row],[Order Date]])</f>
        <v>2025</v>
      </c>
      <c r="D3733" s="2">
        <f>DATE(YEAR(OrdersTable[[#This Row],[Order Date]]),MONTH(OrdersTable[[#This Row],[Order Date]]),1)</f>
        <v>45870</v>
      </c>
      <c r="E3733">
        <f>MONTH(OrdersTable[[#This Row],[Order Date]])</f>
        <v>8</v>
      </c>
      <c r="F3733" t="s">
        <v>1408</v>
      </c>
      <c r="G3733" t="str">
        <f>IF(OrdersTable[[#This Row],[Order Date]]=_xlfn.MINIFS(Order_Date, Customer_ID, OrdersTable[[#This Row],[Customer ID]]), "New", "Repeat")</f>
        <v>Repeat</v>
      </c>
      <c r="H3733" t="s">
        <v>54</v>
      </c>
      <c r="I3733" t="str">
        <f>INDEX(State!B:B,MATCH(OrdersTable[[#This Row],[State]],State!A:A,0))</f>
        <v>RJ</v>
      </c>
      <c r="J3733" t="str">
        <f>INDEX(State!C:C,MATCH(OrdersTable[[#This Row],[State Code]],State!B:B,0))</f>
        <v>North</v>
      </c>
      <c r="K3733" t="s">
        <v>227</v>
      </c>
      <c r="L3733" t="s">
        <v>39</v>
      </c>
      <c r="M3733" t="s">
        <v>125</v>
      </c>
      <c r="N3733" t="str">
        <f>INDEX(Products!B:B,MATCH(OrdersTable[[#This Row],[Product ID]],Products!A:A,0))</f>
        <v>Copper Water Bottle</v>
      </c>
      <c r="O3733" t="str">
        <f>INDEX(Products!C:C,MATCH(OrdersTable[[#This Row],[Product ID]],Products!A:A,0))</f>
        <v>Home &amp; Kitchen</v>
      </c>
      <c r="P3733">
        <v>1</v>
      </c>
      <c r="Q3733" s="5">
        <v>899</v>
      </c>
      <c r="R3733" s="74">
        <v>0</v>
      </c>
      <c r="S3733" s="75">
        <f>OrdersTable[[#This Row],[Quantity]]*OrdersTable[[#This Row],[Unit Price]]</f>
        <v>899</v>
      </c>
      <c r="T3733" s="5">
        <f>OrdersTable[[#This Row],[Gross Sale]]*OrdersTable[[#This Row],[Discount_Clean2]]</f>
        <v>0</v>
      </c>
      <c r="U3733" s="5">
        <f>OrdersTable[[#This Row],[Gross Sale]]-OrdersTable[[#This Row],[Discount Amount]]</f>
        <v>899</v>
      </c>
      <c r="V3733" s="77">
        <f>INDEX(Products!E:E,MATCH(OrdersTable[[#This Row],[Product ID]],Products!A:A,0))</f>
        <v>378</v>
      </c>
      <c r="W3733" s="77">
        <f>OrdersTable[[#This Row],[Quantity]]*OrdersTable[[#This Row],[Unit Cost]]</f>
        <v>378</v>
      </c>
      <c r="X3733" s="77">
        <f>'Dropdown Lists'!$I$2*(1+OrdersTable[[#This Row],[Returned]])</f>
        <v>60</v>
      </c>
      <c r="Y3733" s="76">
        <f>OrdersTable[[#This Row],[Net Revenue]]-OrdersTable[[#This Row],[COGS]]-OrdersTable[[#This Row],[Shipping Cost]]</f>
        <v>461</v>
      </c>
      <c r="Z3733" s="78">
        <f>IFERROR(OrdersTable[[#This Row],[Profit]]/OrdersTable[[#This Row],[Net Revenue]],0)</f>
        <v>0.51279199110122353</v>
      </c>
      <c r="AA3733" t="s">
        <v>2522</v>
      </c>
      <c r="AB3733" s="79">
        <v>45900</v>
      </c>
      <c r="AC3733">
        <f>OrdersTable[[#This Row],[Delivery Date]]-OrdersTable[[#This Row],[Order Date]]</f>
        <v>5</v>
      </c>
      <c r="AD3733" t="str">
        <f>IF(OrdersTable[[#This Row],[Delivery Days]]&lt;=2, "Express (≤2d)", IF(OrdersTable[[#This Row],[Delivery Days]]&lt;=4, "Standard (3-4d)", "Delayed (5d+)"))</f>
        <v>Delayed (5d+)</v>
      </c>
      <c r="AE3733">
        <v>4</v>
      </c>
      <c r="AF3733">
        <v>0</v>
      </c>
    </row>
    <row r="3734" spans="1:32" ht="15" x14ac:dyDescent="0.35">
      <c r="A3734" t="s">
        <v>6195</v>
      </c>
      <c r="B3734" s="1">
        <v>45895</v>
      </c>
      <c r="C3734">
        <f>YEAR(OrdersTable[[#This Row],[Order Date]])</f>
        <v>2025</v>
      </c>
      <c r="D3734" s="2">
        <f>DATE(YEAR(OrdersTable[[#This Row],[Order Date]]),MONTH(OrdersTable[[#This Row],[Order Date]]),1)</f>
        <v>45870</v>
      </c>
      <c r="E3734">
        <f>MONTH(OrdersTable[[#This Row],[Order Date]])</f>
        <v>8</v>
      </c>
      <c r="F3734" t="s">
        <v>2005</v>
      </c>
      <c r="G3734" t="str">
        <f>IF(OrdersTable[[#This Row],[Order Date]]=_xlfn.MINIFS(Order_Date, Customer_ID, OrdersTable[[#This Row],[Customer ID]]), "New", "Repeat")</f>
        <v>Repeat</v>
      </c>
      <c r="H3734" t="s">
        <v>27</v>
      </c>
      <c r="I3734" t="str">
        <f>INDEX(State!B:B,MATCH(OrdersTable[[#This Row],[State]],State!A:A,0))</f>
        <v>WB</v>
      </c>
      <c r="J3734" t="str">
        <f>INDEX(State!C:C,MATCH(OrdersTable[[#This Row],[State Code]],State!B:B,0))</f>
        <v>East</v>
      </c>
      <c r="K3734" t="s">
        <v>28</v>
      </c>
      <c r="L3734" t="s">
        <v>39</v>
      </c>
      <c r="M3734" t="s">
        <v>173</v>
      </c>
      <c r="N3734" t="str">
        <f>INDEX(Products!B:B,MATCH(OrdersTable[[#This Row],[Product ID]],Products!A:A,0))</f>
        <v>Wireless Earbuds</v>
      </c>
      <c r="O3734" t="str">
        <f>INDEX(Products!C:C,MATCH(OrdersTable[[#This Row],[Product ID]],Products!A:A,0))</f>
        <v>Electronics</v>
      </c>
      <c r="P3734">
        <v>2</v>
      </c>
      <c r="Q3734" s="5">
        <v>1999</v>
      </c>
      <c r="R3734" s="74">
        <v>0.4</v>
      </c>
      <c r="S3734" s="75">
        <f>OrdersTable[[#This Row],[Quantity]]*OrdersTable[[#This Row],[Unit Price]]</f>
        <v>3998</v>
      </c>
      <c r="T3734" s="5">
        <f>OrdersTable[[#This Row],[Gross Sale]]*OrdersTable[[#This Row],[Discount_Clean2]]</f>
        <v>1599.2</v>
      </c>
      <c r="U3734" s="5">
        <f>OrdersTable[[#This Row],[Gross Sale]]-OrdersTable[[#This Row],[Discount Amount]]</f>
        <v>2398.8000000000002</v>
      </c>
      <c r="V3734" s="77">
        <f>INDEX(Products!E:E,MATCH(OrdersTable[[#This Row],[Product ID]],Products!A:A,0))</f>
        <v>1239</v>
      </c>
      <c r="W3734" s="77">
        <f>OrdersTable[[#This Row],[Quantity]]*OrdersTable[[#This Row],[Unit Cost]]</f>
        <v>2478</v>
      </c>
      <c r="X3734" s="77">
        <f>'Dropdown Lists'!$I$2*(1+OrdersTable[[#This Row],[Returned]])</f>
        <v>120</v>
      </c>
      <c r="Y3734" s="76">
        <f>OrdersTable[[#This Row],[Net Revenue]]-OrdersTable[[#This Row],[COGS]]-OrdersTable[[#This Row],[Shipping Cost]]</f>
        <v>-199.19999999999982</v>
      </c>
      <c r="Z3734" s="78">
        <f>IFERROR(OrdersTable[[#This Row],[Profit]]/OrdersTable[[#This Row],[Net Revenue]],0)</f>
        <v>-8.3041520760380114E-2</v>
      </c>
      <c r="AA3734" t="s">
        <v>18</v>
      </c>
      <c r="AB3734" s="79">
        <v>45900</v>
      </c>
      <c r="AC3734">
        <f>OrdersTable[[#This Row],[Delivery Date]]-OrdersTable[[#This Row],[Order Date]]</f>
        <v>5</v>
      </c>
      <c r="AD3734" t="str">
        <f>IF(OrdersTable[[#This Row],[Delivery Days]]&lt;=2, "Express (≤2d)", IF(OrdersTable[[#This Row],[Delivery Days]]&lt;=4, "Standard (3-4d)", "Delayed (5d+)"))</f>
        <v>Delayed (5d+)</v>
      </c>
      <c r="AE3734">
        <v>4</v>
      </c>
      <c r="AF3734">
        <v>1</v>
      </c>
    </row>
    <row r="3735" spans="1:32" ht="15" x14ac:dyDescent="0.35">
      <c r="A3735" t="s">
        <v>5624</v>
      </c>
      <c r="B3735" s="1">
        <v>45895</v>
      </c>
      <c r="C3735">
        <f>YEAR(OrdersTable[[#This Row],[Order Date]])</f>
        <v>2025</v>
      </c>
      <c r="D3735" s="2">
        <f>DATE(YEAR(OrdersTable[[#This Row],[Order Date]]),MONTH(OrdersTable[[#This Row],[Order Date]]),1)</f>
        <v>45870</v>
      </c>
      <c r="E3735">
        <f>MONTH(OrdersTable[[#This Row],[Order Date]])</f>
        <v>8</v>
      </c>
      <c r="F3735" t="s">
        <v>1870</v>
      </c>
      <c r="G3735" t="str">
        <f>IF(OrdersTable[[#This Row],[Order Date]]=_xlfn.MINIFS(Order_Date, Customer_ID, OrdersTable[[#This Row],[Customer ID]]), "New", "Repeat")</f>
        <v>Repeat</v>
      </c>
      <c r="H3735" t="s">
        <v>27</v>
      </c>
      <c r="I3735" t="str">
        <f>INDEX(State!B:B,MATCH(OrdersTable[[#This Row],[State]],State!A:A,0))</f>
        <v>WB</v>
      </c>
      <c r="J3735" t="str">
        <f>INDEX(State!C:C,MATCH(OrdersTable[[#This Row],[State Code]],State!B:B,0))</f>
        <v>East</v>
      </c>
      <c r="K3735" t="s">
        <v>28</v>
      </c>
      <c r="L3735" t="s">
        <v>23</v>
      </c>
      <c r="M3735" t="s">
        <v>152</v>
      </c>
      <c r="N3735" t="str">
        <f>INDEX(Products!B:B,MATCH(OrdersTable[[#This Row],[Product ID]],Products!A:A,0))</f>
        <v>Green Tea (100 bags)</v>
      </c>
      <c r="O3735" t="str">
        <f>INDEX(Products!C:C,MATCH(OrdersTable[[#This Row],[Product ID]],Products!A:A,0))</f>
        <v>Wellness</v>
      </c>
      <c r="P3735">
        <v>2</v>
      </c>
      <c r="Q3735" s="5">
        <v>399</v>
      </c>
      <c r="R3735" s="74">
        <v>0.4</v>
      </c>
      <c r="S3735" s="75">
        <f>OrdersTable[[#This Row],[Quantity]]*OrdersTable[[#This Row],[Unit Price]]</f>
        <v>798</v>
      </c>
      <c r="T3735" s="5">
        <f>OrdersTable[[#This Row],[Gross Sale]]*OrdersTable[[#This Row],[Discount_Clean2]]</f>
        <v>319.20000000000005</v>
      </c>
      <c r="U3735" s="5">
        <f>OrdersTable[[#This Row],[Gross Sale]]-OrdersTable[[#This Row],[Discount Amount]]</f>
        <v>478.79999999999995</v>
      </c>
      <c r="V3735" s="77">
        <f>INDEX(Products!E:E,MATCH(OrdersTable[[#This Row],[Product ID]],Products!A:A,0))</f>
        <v>128</v>
      </c>
      <c r="W3735" s="77">
        <f>OrdersTable[[#This Row],[Quantity]]*OrdersTable[[#This Row],[Unit Cost]]</f>
        <v>256</v>
      </c>
      <c r="X3735" s="77">
        <f>'Dropdown Lists'!$I$2*(1+OrdersTable[[#This Row],[Returned]])</f>
        <v>60</v>
      </c>
      <c r="Y3735" s="76">
        <f>OrdersTable[[#This Row],[Net Revenue]]-OrdersTable[[#This Row],[COGS]]-OrdersTable[[#This Row],[Shipping Cost]]</f>
        <v>162.79999999999995</v>
      </c>
      <c r="Z3735" s="78">
        <f>IFERROR(OrdersTable[[#This Row],[Profit]]/OrdersTable[[#This Row],[Net Revenue]],0)</f>
        <v>0.34001670843776099</v>
      </c>
      <c r="AA3735" t="s">
        <v>2522</v>
      </c>
      <c r="AB3735" s="79">
        <v>45899</v>
      </c>
      <c r="AC3735">
        <f>OrdersTable[[#This Row],[Delivery Date]]-OrdersTable[[#This Row],[Order Date]]</f>
        <v>4</v>
      </c>
      <c r="AD3735" t="str">
        <f>IF(OrdersTable[[#This Row],[Delivery Days]]&lt;=2, "Express (≤2d)", IF(OrdersTable[[#This Row],[Delivery Days]]&lt;=4, "Standard (3-4d)", "Delayed (5d+)"))</f>
        <v>Standard (3-4d)</v>
      </c>
      <c r="AE3735">
        <v>3</v>
      </c>
      <c r="AF3735">
        <v>0</v>
      </c>
    </row>
    <row r="3736" spans="1:32" ht="15" x14ac:dyDescent="0.35">
      <c r="A3736" t="s">
        <v>2652</v>
      </c>
      <c r="B3736" s="1">
        <v>45895</v>
      </c>
      <c r="C3736">
        <f>YEAR(OrdersTable[[#This Row],[Order Date]])</f>
        <v>2025</v>
      </c>
      <c r="D3736" s="2">
        <f>DATE(YEAR(OrdersTable[[#This Row],[Order Date]]),MONTH(OrdersTable[[#This Row],[Order Date]]),1)</f>
        <v>45870</v>
      </c>
      <c r="E3736">
        <f>MONTH(OrdersTable[[#This Row],[Order Date]])</f>
        <v>8</v>
      </c>
      <c r="F3736" t="s">
        <v>2653</v>
      </c>
      <c r="G3736" t="str">
        <f>IF(OrdersTable[[#This Row],[Order Date]]=_xlfn.MINIFS(Order_Date, Customer_ID, OrdersTable[[#This Row],[Customer ID]]), "New", "Repeat")</f>
        <v>Repeat</v>
      </c>
      <c r="H3736" t="s">
        <v>71</v>
      </c>
      <c r="I3736" t="str">
        <f>INDEX(State!B:B,MATCH(OrdersTable[[#This Row],[State]],State!A:A,0))</f>
        <v>MH</v>
      </c>
      <c r="J3736" t="str">
        <f>INDEX(State!C:C,MATCH(OrdersTable[[#This Row],[State Code]],State!B:B,0))</f>
        <v>West</v>
      </c>
      <c r="K3736" t="s">
        <v>72</v>
      </c>
      <c r="L3736" t="s">
        <v>23</v>
      </c>
      <c r="M3736" t="s">
        <v>56</v>
      </c>
      <c r="N3736" t="str">
        <f>INDEX(Products!B:B,MATCH(OrdersTable[[#This Row],[Product ID]],Products!A:A,0))</f>
        <v>Vitamin C Face Serum</v>
      </c>
      <c r="O3736" t="str">
        <f>INDEX(Products!C:C,MATCH(OrdersTable[[#This Row],[Product ID]],Products!A:A,0))</f>
        <v>Skincare</v>
      </c>
      <c r="P3736">
        <v>1</v>
      </c>
      <c r="Q3736" s="5">
        <v>599</v>
      </c>
      <c r="R3736" s="74">
        <v>0.15</v>
      </c>
      <c r="S3736" s="75">
        <f>OrdersTable[[#This Row],[Quantity]]*OrdersTable[[#This Row],[Unit Price]]</f>
        <v>599</v>
      </c>
      <c r="T3736" s="5">
        <f>OrdersTable[[#This Row],[Gross Sale]]*OrdersTable[[#This Row],[Discount_Clean2]]</f>
        <v>89.85</v>
      </c>
      <c r="U3736" s="5">
        <f>OrdersTable[[#This Row],[Gross Sale]]-OrdersTable[[#This Row],[Discount Amount]]</f>
        <v>509.15</v>
      </c>
      <c r="V3736" s="77">
        <f>INDEX(Products!E:E,MATCH(OrdersTable[[#This Row],[Product ID]],Products!A:A,0))</f>
        <v>180</v>
      </c>
      <c r="W3736" s="77">
        <f>OrdersTable[[#This Row],[Quantity]]*OrdersTable[[#This Row],[Unit Cost]]</f>
        <v>180</v>
      </c>
      <c r="X3736" s="77">
        <f>'Dropdown Lists'!$I$2*(1+OrdersTable[[#This Row],[Returned]])</f>
        <v>60</v>
      </c>
      <c r="Y3736" s="76">
        <f>OrdersTable[[#This Row],[Net Revenue]]-OrdersTable[[#This Row],[COGS]]-OrdersTable[[#This Row],[Shipping Cost]]</f>
        <v>269.14999999999998</v>
      </c>
      <c r="Z3736" s="78">
        <f>IFERROR(OrdersTable[[#This Row],[Profit]]/OrdersTable[[#This Row],[Net Revenue]],0)</f>
        <v>0.52862614160856325</v>
      </c>
      <c r="AA3736" t="s">
        <v>2522</v>
      </c>
      <c r="AB3736" s="79">
        <v>45897</v>
      </c>
      <c r="AC3736">
        <f>OrdersTable[[#This Row],[Delivery Date]]-OrdersTable[[#This Row],[Order Date]]</f>
        <v>2</v>
      </c>
      <c r="AD3736" t="str">
        <f>IF(OrdersTable[[#This Row],[Delivery Days]]&lt;=2, "Express (≤2d)", IF(OrdersTable[[#This Row],[Delivery Days]]&lt;=4, "Standard (3-4d)", "Delayed (5d+)"))</f>
        <v>Express (≤2d)</v>
      </c>
      <c r="AE3736">
        <v>5</v>
      </c>
      <c r="AF3736">
        <v>0</v>
      </c>
    </row>
    <row r="3737" spans="1:32" ht="15" x14ac:dyDescent="0.35">
      <c r="A3737" t="s">
        <v>4848</v>
      </c>
      <c r="B3737" s="1">
        <v>45895</v>
      </c>
      <c r="C3737">
        <f>YEAR(OrdersTable[[#This Row],[Order Date]])</f>
        <v>2025</v>
      </c>
      <c r="D3737" s="2">
        <f>DATE(YEAR(OrdersTable[[#This Row],[Order Date]]),MONTH(OrdersTable[[#This Row],[Order Date]]),1)</f>
        <v>45870</v>
      </c>
      <c r="E3737">
        <f>MONTH(OrdersTable[[#This Row],[Order Date]])</f>
        <v>8</v>
      </c>
      <c r="F3737" t="s">
        <v>747</v>
      </c>
      <c r="G3737" t="str">
        <f>IF(OrdersTable[[#This Row],[Order Date]]=_xlfn.MINIFS(Order_Date, Customer_ID, OrdersTable[[#This Row],[Customer ID]]), "New", "Repeat")</f>
        <v>Repeat</v>
      </c>
      <c r="H3737" t="s">
        <v>95</v>
      </c>
      <c r="I3737" t="str">
        <f>INDEX(State!B:B,MATCH(OrdersTable[[#This Row],[State]],State!A:A,0))</f>
        <v>TG</v>
      </c>
      <c r="J3737" t="str">
        <f>INDEX(State!C:C,MATCH(OrdersTable[[#This Row],[State Code]],State!B:B,0))</f>
        <v>South</v>
      </c>
      <c r="K3737" t="s">
        <v>96</v>
      </c>
      <c r="L3737" t="s">
        <v>50</v>
      </c>
      <c r="M3737" t="s">
        <v>109</v>
      </c>
      <c r="N3737" t="str">
        <f>INDEX(Products!B:B,MATCH(OrdersTable[[#This Row],[Product ID]],Products!A:A,0))</f>
        <v>Onion Hair Oil</v>
      </c>
      <c r="O3737" t="str">
        <f>INDEX(Products!C:C,MATCH(OrdersTable[[#This Row],[Product ID]],Products!A:A,0))</f>
        <v>Haircare</v>
      </c>
      <c r="P3737">
        <v>2</v>
      </c>
      <c r="Q3737" s="5">
        <v>349</v>
      </c>
      <c r="R3737" s="74">
        <v>0.3</v>
      </c>
      <c r="S3737" s="75">
        <f>OrdersTable[[#This Row],[Quantity]]*OrdersTable[[#This Row],[Unit Price]]</f>
        <v>698</v>
      </c>
      <c r="T3737" s="5">
        <f>OrdersTable[[#This Row],[Gross Sale]]*OrdersTable[[#This Row],[Discount_Clean2]]</f>
        <v>209.4</v>
      </c>
      <c r="U3737" s="5">
        <f>OrdersTable[[#This Row],[Gross Sale]]-OrdersTable[[#This Row],[Discount Amount]]</f>
        <v>488.6</v>
      </c>
      <c r="V3737" s="77">
        <f>INDEX(Products!E:E,MATCH(OrdersTable[[#This Row],[Product ID]],Products!A:A,0))</f>
        <v>105</v>
      </c>
      <c r="W3737" s="77">
        <f>OrdersTable[[#This Row],[Quantity]]*OrdersTable[[#This Row],[Unit Cost]]</f>
        <v>210</v>
      </c>
      <c r="X3737" s="77">
        <f>'Dropdown Lists'!$I$2*(1+OrdersTable[[#This Row],[Returned]])</f>
        <v>60</v>
      </c>
      <c r="Y3737" s="76">
        <f>OrdersTable[[#This Row],[Net Revenue]]-OrdersTable[[#This Row],[COGS]]-OrdersTable[[#This Row],[Shipping Cost]]</f>
        <v>218.60000000000002</v>
      </c>
      <c r="Z3737" s="78">
        <f>IFERROR(OrdersTable[[#This Row],[Profit]]/OrdersTable[[#This Row],[Net Revenue]],0)</f>
        <v>0.44740073679901765</v>
      </c>
      <c r="AA3737" t="s">
        <v>4450</v>
      </c>
      <c r="AB3737" s="79">
        <v>45896</v>
      </c>
      <c r="AC3737">
        <f>OrdersTable[[#This Row],[Delivery Date]]-OrdersTable[[#This Row],[Order Date]]</f>
        <v>1</v>
      </c>
      <c r="AD3737" t="str">
        <f>IF(OrdersTable[[#This Row],[Delivery Days]]&lt;=2, "Express (≤2d)", IF(OrdersTable[[#This Row],[Delivery Days]]&lt;=4, "Standard (3-4d)", "Delayed (5d+)"))</f>
        <v>Express (≤2d)</v>
      </c>
      <c r="AE3737">
        <v>5</v>
      </c>
      <c r="AF3737">
        <v>0</v>
      </c>
    </row>
    <row r="3738" spans="1:32" ht="15" x14ac:dyDescent="0.35">
      <c r="A3738" t="s">
        <v>1012</v>
      </c>
      <c r="B3738" s="1">
        <v>45895</v>
      </c>
      <c r="C3738">
        <f>YEAR(OrdersTable[[#This Row],[Order Date]])</f>
        <v>2025</v>
      </c>
      <c r="D3738" s="2">
        <f>DATE(YEAR(OrdersTable[[#This Row],[Order Date]]),MONTH(OrdersTable[[#This Row],[Order Date]]),1)</f>
        <v>45870</v>
      </c>
      <c r="E3738">
        <f>MONTH(OrdersTable[[#This Row],[Order Date]])</f>
        <v>8</v>
      </c>
      <c r="F3738" t="s">
        <v>673</v>
      </c>
      <c r="G3738" t="str">
        <f>IF(OrdersTable[[#This Row],[Order Date]]=_xlfn.MINIFS(Order_Date, Customer_ID, OrdersTable[[#This Row],[Customer ID]]), "New", "Repeat")</f>
        <v>New</v>
      </c>
      <c r="H3738" t="s">
        <v>59</v>
      </c>
      <c r="I3738" t="str">
        <f>INDEX(State!B:B,MATCH(OrdersTable[[#This Row],[State]],State!A:A,0))</f>
        <v>TN</v>
      </c>
      <c r="J3738" t="str">
        <f>INDEX(State!C:C,MATCH(OrdersTable[[#This Row],[State Code]],State!B:B,0))</f>
        <v>South</v>
      </c>
      <c r="K3738" t="s">
        <v>60</v>
      </c>
      <c r="L3738" t="s">
        <v>50</v>
      </c>
      <c r="M3738" t="s">
        <v>78</v>
      </c>
      <c r="N3738" t="str">
        <f>INDEX(Products!B:B,MATCH(OrdersTable[[#This Row],[Product ID]],Products!A:A,0))</f>
        <v>Retinol Night Cream</v>
      </c>
      <c r="O3738" t="str">
        <f>INDEX(Products!C:C,MATCH(OrdersTable[[#This Row],[Product ID]],Products!A:A,0))</f>
        <v>Skincare</v>
      </c>
      <c r="P3738">
        <v>1</v>
      </c>
      <c r="Q3738" s="5">
        <v>799</v>
      </c>
      <c r="R3738" s="74">
        <v>0.05</v>
      </c>
      <c r="S3738" s="75">
        <f>OrdersTable[[#This Row],[Quantity]]*OrdersTable[[#This Row],[Unit Price]]</f>
        <v>799</v>
      </c>
      <c r="T3738" s="5">
        <f>OrdersTable[[#This Row],[Gross Sale]]*OrdersTable[[#This Row],[Discount_Clean2]]</f>
        <v>39.950000000000003</v>
      </c>
      <c r="U3738" s="5">
        <f>OrdersTable[[#This Row],[Gross Sale]]-OrdersTable[[#This Row],[Discount Amount]]</f>
        <v>759.05</v>
      </c>
      <c r="V3738" s="77">
        <f>INDEX(Products!E:E,MATCH(OrdersTable[[#This Row],[Product ID]],Products!A:A,0))</f>
        <v>216</v>
      </c>
      <c r="W3738" s="77">
        <f>OrdersTable[[#This Row],[Quantity]]*OrdersTable[[#This Row],[Unit Cost]]</f>
        <v>216</v>
      </c>
      <c r="X3738" s="77">
        <f>'Dropdown Lists'!$I$2*(1+OrdersTable[[#This Row],[Returned]])</f>
        <v>60</v>
      </c>
      <c r="Y3738" s="76">
        <f>OrdersTable[[#This Row],[Net Revenue]]-OrdersTable[[#This Row],[COGS]]-OrdersTable[[#This Row],[Shipping Cost]]</f>
        <v>483.04999999999995</v>
      </c>
      <c r="Z3738" s="78">
        <f>IFERROR(OrdersTable[[#This Row],[Profit]]/OrdersTable[[#This Row],[Net Revenue]],0)</f>
        <v>0.63638758975034582</v>
      </c>
      <c r="AA3738" t="s">
        <v>18</v>
      </c>
      <c r="AB3738" s="79">
        <v>45896</v>
      </c>
      <c r="AC3738">
        <f>OrdersTable[[#This Row],[Delivery Date]]-OrdersTable[[#This Row],[Order Date]]</f>
        <v>1</v>
      </c>
      <c r="AD3738" t="str">
        <f>IF(OrdersTable[[#This Row],[Delivery Days]]&lt;=2, "Express (≤2d)", IF(OrdersTable[[#This Row],[Delivery Days]]&lt;=4, "Standard (3-4d)", "Delayed (5d+)"))</f>
        <v>Express (≤2d)</v>
      </c>
      <c r="AE3738">
        <v>4</v>
      </c>
      <c r="AF3738">
        <v>0</v>
      </c>
    </row>
    <row r="3739" spans="1:32" ht="15" x14ac:dyDescent="0.35">
      <c r="A3739" t="s">
        <v>651</v>
      </c>
      <c r="B3739" s="1">
        <v>45895</v>
      </c>
      <c r="C3739">
        <f>YEAR(OrdersTable[[#This Row],[Order Date]])</f>
        <v>2025</v>
      </c>
      <c r="D3739" s="2">
        <f>DATE(YEAR(OrdersTable[[#This Row],[Order Date]]),MONTH(OrdersTable[[#This Row],[Order Date]]),1)</f>
        <v>45870</v>
      </c>
      <c r="E3739">
        <f>MONTH(OrdersTable[[#This Row],[Order Date]])</f>
        <v>8</v>
      </c>
      <c r="F3739" t="s">
        <v>652</v>
      </c>
      <c r="G3739" t="str">
        <f>IF(OrdersTable[[#This Row],[Order Date]]=_xlfn.MINIFS(Order_Date, Customer_ID, OrdersTable[[#This Row],[Customer ID]]), "New", "Repeat")</f>
        <v>Repeat</v>
      </c>
      <c r="H3739" t="s">
        <v>59</v>
      </c>
      <c r="I3739" t="str">
        <f>INDEX(State!B:B,MATCH(OrdersTable[[#This Row],[State]],State!A:A,0))</f>
        <v>TN</v>
      </c>
      <c r="J3739" t="str">
        <f>INDEX(State!C:C,MATCH(OrdersTable[[#This Row],[State Code]],State!B:B,0))</f>
        <v>South</v>
      </c>
      <c r="K3739" t="s">
        <v>64</v>
      </c>
      <c r="L3739" t="s">
        <v>65</v>
      </c>
      <c r="M3739" t="s">
        <v>61</v>
      </c>
      <c r="N3739" t="str">
        <f>INDEX(Products!B:B,MATCH(OrdersTable[[#This Row],[Product ID]],Products!A:A,0))</f>
        <v>Multivitamin Gummies</v>
      </c>
      <c r="O3739" t="str">
        <f>INDEX(Products!C:C,MATCH(OrdersTable[[#This Row],[Product ID]],Products!A:A,0))</f>
        <v>Wellness</v>
      </c>
      <c r="P3739">
        <v>1</v>
      </c>
      <c r="Q3739" s="5">
        <v>699</v>
      </c>
      <c r="R3739" s="74">
        <v>0.2</v>
      </c>
      <c r="S3739" s="75">
        <f>OrdersTable[[#This Row],[Quantity]]*OrdersTable[[#This Row],[Unit Price]]</f>
        <v>699</v>
      </c>
      <c r="T3739" s="5">
        <f>OrdersTable[[#This Row],[Gross Sale]]*OrdersTable[[#This Row],[Discount_Clean2]]</f>
        <v>139.80000000000001</v>
      </c>
      <c r="U3739" s="5">
        <f>OrdersTable[[#This Row],[Gross Sale]]-OrdersTable[[#This Row],[Discount Amount]]</f>
        <v>559.20000000000005</v>
      </c>
      <c r="V3739" s="77">
        <f>INDEX(Products!E:E,MATCH(OrdersTable[[#This Row],[Product ID]],Products!A:A,0))</f>
        <v>238</v>
      </c>
      <c r="W3739" s="77">
        <f>OrdersTable[[#This Row],[Quantity]]*OrdersTable[[#This Row],[Unit Cost]]</f>
        <v>238</v>
      </c>
      <c r="X3739" s="77">
        <f>'Dropdown Lists'!$I$2*(1+OrdersTable[[#This Row],[Returned]])</f>
        <v>60</v>
      </c>
      <c r="Y3739" s="76">
        <f>OrdersTable[[#This Row],[Net Revenue]]-OrdersTable[[#This Row],[COGS]]-OrdersTable[[#This Row],[Shipping Cost]]</f>
        <v>261.20000000000005</v>
      </c>
      <c r="Z3739" s="78">
        <f>IFERROR(OrdersTable[[#This Row],[Profit]]/OrdersTable[[#This Row],[Net Revenue]],0)</f>
        <v>0.46709585121602293</v>
      </c>
      <c r="AA3739" t="s">
        <v>18</v>
      </c>
      <c r="AB3739" s="79">
        <v>45898</v>
      </c>
      <c r="AC3739">
        <f>OrdersTable[[#This Row],[Delivery Date]]-OrdersTable[[#This Row],[Order Date]]</f>
        <v>3</v>
      </c>
      <c r="AD3739" t="str">
        <f>IF(OrdersTable[[#This Row],[Delivery Days]]&lt;=2, "Express (≤2d)", IF(OrdersTable[[#This Row],[Delivery Days]]&lt;=4, "Standard (3-4d)", "Delayed (5d+)"))</f>
        <v>Standard (3-4d)</v>
      </c>
      <c r="AE3739">
        <v>4</v>
      </c>
      <c r="AF3739">
        <v>0</v>
      </c>
    </row>
    <row r="3740" spans="1:32" ht="15" x14ac:dyDescent="0.35">
      <c r="A3740" t="s">
        <v>1436</v>
      </c>
      <c r="B3740" s="1">
        <v>45896</v>
      </c>
      <c r="C3740">
        <f>YEAR(OrdersTable[[#This Row],[Order Date]])</f>
        <v>2025</v>
      </c>
      <c r="D3740" s="2">
        <f>DATE(YEAR(OrdersTable[[#This Row],[Order Date]]),MONTH(OrdersTable[[#This Row],[Order Date]]),1)</f>
        <v>45870</v>
      </c>
      <c r="E3740">
        <f>MONTH(OrdersTable[[#This Row],[Order Date]])</f>
        <v>8</v>
      </c>
      <c r="F3740" t="s">
        <v>1437</v>
      </c>
      <c r="G3740" t="str">
        <f>IF(OrdersTable[[#This Row],[Order Date]]=_xlfn.MINIFS(Order_Date, Customer_ID, OrdersTable[[#This Row],[Customer ID]]), "New", "Repeat")</f>
        <v>New</v>
      </c>
      <c r="H3740" t="s">
        <v>32</v>
      </c>
      <c r="I3740" t="str">
        <f>INDEX(State!B:B,MATCH(OrdersTable[[#This Row],[State]],State!A:A,0))</f>
        <v>BR</v>
      </c>
      <c r="J3740" t="str">
        <f>INDEX(State!C:C,MATCH(OrdersTable[[#This Row],[State Code]],State!B:B,0))</f>
        <v>East</v>
      </c>
      <c r="K3740" t="s">
        <v>33</v>
      </c>
      <c r="L3740" t="s">
        <v>23</v>
      </c>
      <c r="M3740" t="s">
        <v>24</v>
      </c>
      <c r="N3740" t="str">
        <f>INDEX(Products!B:B,MATCH(OrdersTable[[#This Row],[Product ID]],Products!A:A,0))</f>
        <v>Scented Candle Set</v>
      </c>
      <c r="O3740" t="str">
        <f>INDEX(Products!C:C,MATCH(OrdersTable[[#This Row],[Product ID]],Products!A:A,0))</f>
        <v>Home &amp; Kitchen</v>
      </c>
      <c r="P3740">
        <v>1</v>
      </c>
      <c r="Q3740" s="5">
        <v>699</v>
      </c>
      <c r="R3740" s="74">
        <v>0.15</v>
      </c>
      <c r="S3740" s="75">
        <f>OrdersTable[[#This Row],[Quantity]]*OrdersTable[[#This Row],[Unit Price]]</f>
        <v>699</v>
      </c>
      <c r="T3740" s="5">
        <f>OrdersTable[[#This Row],[Gross Sale]]*OrdersTable[[#This Row],[Discount_Clean2]]</f>
        <v>104.85</v>
      </c>
      <c r="U3740" s="5">
        <f>OrdersTable[[#This Row],[Gross Sale]]-OrdersTable[[#This Row],[Discount Amount]]</f>
        <v>594.15</v>
      </c>
      <c r="V3740" s="77">
        <f>INDEX(Products!E:E,MATCH(OrdersTable[[#This Row],[Product ID]],Products!A:A,0))</f>
        <v>245</v>
      </c>
      <c r="W3740" s="77">
        <f>OrdersTable[[#This Row],[Quantity]]*OrdersTable[[#This Row],[Unit Cost]]</f>
        <v>245</v>
      </c>
      <c r="X3740" s="77">
        <f>'Dropdown Lists'!$I$2*(1+OrdersTable[[#This Row],[Returned]])</f>
        <v>60</v>
      </c>
      <c r="Y3740" s="76">
        <f>OrdersTable[[#This Row],[Net Revenue]]-OrdersTable[[#This Row],[COGS]]-OrdersTable[[#This Row],[Shipping Cost]]</f>
        <v>289.14999999999998</v>
      </c>
      <c r="Z3740" s="78">
        <f>IFERROR(OrdersTable[[#This Row],[Profit]]/OrdersTable[[#This Row],[Net Revenue]],0)</f>
        <v>0.48666161743667424</v>
      </c>
      <c r="AA3740" t="s">
        <v>18</v>
      </c>
      <c r="AB3740" s="79">
        <v>45901</v>
      </c>
      <c r="AC3740">
        <f>OrdersTable[[#This Row],[Delivery Date]]-OrdersTable[[#This Row],[Order Date]]</f>
        <v>5</v>
      </c>
      <c r="AD3740" t="str">
        <f>IF(OrdersTable[[#This Row],[Delivery Days]]&lt;=2, "Express (≤2d)", IF(OrdersTable[[#This Row],[Delivery Days]]&lt;=4, "Standard (3-4d)", "Delayed (5d+)"))</f>
        <v>Delayed (5d+)</v>
      </c>
      <c r="AF3740">
        <v>0</v>
      </c>
    </row>
    <row r="3741" spans="1:32" ht="15" x14ac:dyDescent="0.35">
      <c r="A3741" t="s">
        <v>6808</v>
      </c>
      <c r="B3741" s="1">
        <v>45896</v>
      </c>
      <c r="C3741">
        <f>YEAR(OrdersTable[[#This Row],[Order Date]])</f>
        <v>2025</v>
      </c>
      <c r="D3741" s="2">
        <f>DATE(YEAR(OrdersTable[[#This Row],[Order Date]]),MONTH(OrdersTable[[#This Row],[Order Date]]),1)</f>
        <v>45870</v>
      </c>
      <c r="E3741">
        <f>MONTH(OrdersTable[[#This Row],[Order Date]])</f>
        <v>8</v>
      </c>
      <c r="F3741" t="s">
        <v>2482</v>
      </c>
      <c r="G3741" t="str">
        <f>IF(OrdersTable[[#This Row],[Order Date]]=_xlfn.MINIFS(Order_Date, Customer_ID, OrdersTable[[#This Row],[Customer ID]]), "New", "Repeat")</f>
        <v>New</v>
      </c>
      <c r="H3741" t="s">
        <v>37</v>
      </c>
      <c r="I3741" t="str">
        <f>INDEX(State!B:B,MATCH(OrdersTable[[#This Row],[State]],State!A:A,0))</f>
        <v>GJ</v>
      </c>
      <c r="J3741" t="str">
        <f>INDEX(State!C:C,MATCH(OrdersTable[[#This Row],[State Code]],State!B:B,0))</f>
        <v>West</v>
      </c>
      <c r="K3741" t="s">
        <v>38</v>
      </c>
      <c r="L3741" t="s">
        <v>65</v>
      </c>
      <c r="M3741" t="s">
        <v>109</v>
      </c>
      <c r="N3741" t="str">
        <f>INDEX(Products!B:B,MATCH(OrdersTable[[#This Row],[Product ID]],Products!A:A,0))</f>
        <v>Onion Hair Oil</v>
      </c>
      <c r="O3741" t="str">
        <f>INDEX(Products!C:C,MATCH(OrdersTable[[#This Row],[Product ID]],Products!A:A,0))</f>
        <v>Haircare</v>
      </c>
      <c r="P3741">
        <v>3</v>
      </c>
      <c r="Q3741" s="5">
        <v>349</v>
      </c>
      <c r="R3741" s="74">
        <v>0.35</v>
      </c>
      <c r="S3741" s="75">
        <f>OrdersTable[[#This Row],[Quantity]]*OrdersTable[[#This Row],[Unit Price]]</f>
        <v>1047</v>
      </c>
      <c r="T3741" s="5">
        <f>OrdersTable[[#This Row],[Gross Sale]]*OrdersTable[[#This Row],[Discount_Clean2]]</f>
        <v>366.45</v>
      </c>
      <c r="U3741" s="5">
        <f>OrdersTable[[#This Row],[Gross Sale]]-OrdersTable[[#This Row],[Discount Amount]]</f>
        <v>680.55</v>
      </c>
      <c r="V3741" s="77">
        <f>INDEX(Products!E:E,MATCH(OrdersTable[[#This Row],[Product ID]],Products!A:A,0))</f>
        <v>105</v>
      </c>
      <c r="W3741" s="77">
        <f>OrdersTable[[#This Row],[Quantity]]*OrdersTable[[#This Row],[Unit Cost]]</f>
        <v>315</v>
      </c>
      <c r="X3741" s="77">
        <f>'Dropdown Lists'!$I$2*(1+OrdersTable[[#This Row],[Returned]])</f>
        <v>60</v>
      </c>
      <c r="Y3741" s="76">
        <f>OrdersTable[[#This Row],[Net Revenue]]-OrdersTable[[#This Row],[COGS]]-OrdersTable[[#This Row],[Shipping Cost]]</f>
        <v>305.54999999999995</v>
      </c>
      <c r="Z3741" s="78">
        <f>IFERROR(OrdersTable[[#This Row],[Profit]]/OrdersTable[[#This Row],[Net Revenue]],0)</f>
        <v>0.44897509367423405</v>
      </c>
      <c r="AA3741" t="s">
        <v>3495</v>
      </c>
      <c r="AB3741" s="79">
        <v>45901</v>
      </c>
      <c r="AC3741">
        <f>OrdersTable[[#This Row],[Delivery Date]]-OrdersTable[[#This Row],[Order Date]]</f>
        <v>5</v>
      </c>
      <c r="AD3741" t="str">
        <f>IF(OrdersTable[[#This Row],[Delivery Days]]&lt;=2, "Express (≤2d)", IF(OrdersTable[[#This Row],[Delivery Days]]&lt;=4, "Standard (3-4d)", "Delayed (5d+)"))</f>
        <v>Delayed (5d+)</v>
      </c>
      <c r="AF3741">
        <v>0</v>
      </c>
    </row>
    <row r="3742" spans="1:32" ht="15" x14ac:dyDescent="0.35">
      <c r="A3742" t="s">
        <v>653</v>
      </c>
      <c r="B3742" s="1">
        <v>45896</v>
      </c>
      <c r="C3742">
        <f>YEAR(OrdersTable[[#This Row],[Order Date]])</f>
        <v>2025</v>
      </c>
      <c r="D3742" s="2">
        <f>DATE(YEAR(OrdersTable[[#This Row],[Order Date]]),MONTH(OrdersTable[[#This Row],[Order Date]]),1)</f>
        <v>45870</v>
      </c>
      <c r="E3742">
        <f>MONTH(OrdersTable[[#This Row],[Order Date]])</f>
        <v>8</v>
      </c>
      <c r="F3742" t="s">
        <v>654</v>
      </c>
      <c r="G3742" t="str">
        <f>IF(OrdersTable[[#This Row],[Order Date]]=_xlfn.MINIFS(Order_Date, Customer_ID, OrdersTable[[#This Row],[Customer ID]]), "New", "Repeat")</f>
        <v>Repeat</v>
      </c>
      <c r="H3742" t="s">
        <v>43</v>
      </c>
      <c r="I3742" t="str">
        <f>INDEX(State!B:B,MATCH(OrdersTable[[#This Row],[State]],State!A:A,0))</f>
        <v>MP</v>
      </c>
      <c r="J3742" t="str">
        <f>INDEX(State!C:C,MATCH(OrdersTable[[#This Row],[State Code]],State!B:B,0))</f>
        <v>West</v>
      </c>
      <c r="K3742" t="s">
        <v>44</v>
      </c>
      <c r="L3742" t="s">
        <v>23</v>
      </c>
      <c r="M3742" t="s">
        <v>73</v>
      </c>
      <c r="N3742" t="str">
        <f>INDEX(Products!B:B,MATCH(OrdersTable[[#This Row],[Product ID]],Products!A:A,0))</f>
        <v>Hydrating Face Wash</v>
      </c>
      <c r="O3742" t="str">
        <f>INDEX(Products!C:C,MATCH(OrdersTable[[#This Row],[Product ID]],Products!A:A,0))</f>
        <v>Skincare</v>
      </c>
      <c r="P3742">
        <v>1</v>
      </c>
      <c r="Q3742" s="5">
        <v>299</v>
      </c>
      <c r="R3742" s="74">
        <v>0</v>
      </c>
      <c r="S3742" s="75">
        <f>OrdersTable[[#This Row],[Quantity]]*OrdersTable[[#This Row],[Unit Price]]</f>
        <v>299</v>
      </c>
      <c r="T3742" s="5">
        <f>OrdersTable[[#This Row],[Gross Sale]]*OrdersTable[[#This Row],[Discount_Clean2]]</f>
        <v>0</v>
      </c>
      <c r="U3742" s="5">
        <f>OrdersTable[[#This Row],[Gross Sale]]-OrdersTable[[#This Row],[Discount Amount]]</f>
        <v>299</v>
      </c>
      <c r="V3742" s="77">
        <f>INDEX(Products!E:E,MATCH(OrdersTable[[#This Row],[Product ID]],Products!A:A,0))</f>
        <v>90</v>
      </c>
      <c r="W3742" s="77">
        <f>OrdersTable[[#This Row],[Quantity]]*OrdersTable[[#This Row],[Unit Cost]]</f>
        <v>90</v>
      </c>
      <c r="X3742" s="77">
        <f>'Dropdown Lists'!$I$2*(1+OrdersTable[[#This Row],[Returned]])</f>
        <v>60</v>
      </c>
      <c r="Y3742" s="76">
        <f>OrdersTable[[#This Row],[Net Revenue]]-OrdersTable[[#This Row],[COGS]]-OrdersTable[[#This Row],[Shipping Cost]]</f>
        <v>149</v>
      </c>
      <c r="Z3742" s="78">
        <f>IFERROR(OrdersTable[[#This Row],[Profit]]/OrdersTable[[#This Row],[Net Revenue]],0)</f>
        <v>0.49832775919732442</v>
      </c>
      <c r="AA3742" t="s">
        <v>18</v>
      </c>
      <c r="AB3742" s="79">
        <v>45900</v>
      </c>
      <c r="AC3742">
        <f>OrdersTable[[#This Row],[Delivery Date]]-OrdersTable[[#This Row],[Order Date]]</f>
        <v>4</v>
      </c>
      <c r="AD3742" t="str">
        <f>IF(OrdersTable[[#This Row],[Delivery Days]]&lt;=2, "Express (≤2d)", IF(OrdersTable[[#This Row],[Delivery Days]]&lt;=4, "Standard (3-4d)", "Delayed (5d+)"))</f>
        <v>Standard (3-4d)</v>
      </c>
      <c r="AE3742">
        <v>4</v>
      </c>
      <c r="AF3742">
        <v>0</v>
      </c>
    </row>
    <row r="3743" spans="1:32" ht="15" x14ac:dyDescent="0.35">
      <c r="A3743" t="s">
        <v>6196</v>
      </c>
      <c r="B3743" s="1">
        <v>45896</v>
      </c>
      <c r="C3743">
        <f>YEAR(OrdersTable[[#This Row],[Order Date]])</f>
        <v>2025</v>
      </c>
      <c r="D3743" s="2">
        <f>DATE(YEAR(OrdersTable[[#This Row],[Order Date]]),MONTH(OrdersTable[[#This Row],[Order Date]]),1)</f>
        <v>45870</v>
      </c>
      <c r="E3743">
        <f>MONTH(OrdersTable[[#This Row],[Order Date]])</f>
        <v>8</v>
      </c>
      <c r="F3743" t="s">
        <v>5426</v>
      </c>
      <c r="G3743" t="str">
        <f>IF(OrdersTable[[#This Row],[Order Date]]=_xlfn.MINIFS(Order_Date, Customer_ID, OrdersTable[[#This Row],[Customer ID]]), "New", "Repeat")</f>
        <v>Repeat</v>
      </c>
      <c r="H3743" t="s">
        <v>123</v>
      </c>
      <c r="I3743" t="str">
        <f>INDEX(State!B:B,MATCH(OrdersTable[[#This Row],[State]],State!A:A,0))</f>
        <v>JH</v>
      </c>
      <c r="J3743" t="str">
        <f>INDEX(State!C:C,MATCH(OrdersTable[[#This Row],[State Code]],State!B:B,0))</f>
        <v>East</v>
      </c>
      <c r="K3743" t="s">
        <v>124</v>
      </c>
      <c r="L3743" t="s">
        <v>23</v>
      </c>
      <c r="M3743" t="s">
        <v>17</v>
      </c>
      <c r="N3743" t="str">
        <f>INDEX(Products!B:B,MATCH(OrdersTable[[#This Row],[Product ID]],Products!A:A,0))</f>
        <v>Casual Sneakers</v>
      </c>
      <c r="O3743" t="str">
        <f>INDEX(Products!C:C,MATCH(OrdersTable[[#This Row],[Product ID]],Products!A:A,0))</f>
        <v>Footwear</v>
      </c>
      <c r="P3743">
        <v>2</v>
      </c>
      <c r="Q3743" s="5">
        <v>2199</v>
      </c>
      <c r="R3743" s="74">
        <v>0.3</v>
      </c>
      <c r="S3743" s="75">
        <f>OrdersTable[[#This Row],[Quantity]]*OrdersTable[[#This Row],[Unit Price]]</f>
        <v>4398</v>
      </c>
      <c r="T3743" s="5">
        <f>OrdersTable[[#This Row],[Gross Sale]]*OrdersTable[[#This Row],[Discount_Clean2]]</f>
        <v>1319.3999999999999</v>
      </c>
      <c r="U3743" s="5">
        <f>OrdersTable[[#This Row],[Gross Sale]]-OrdersTable[[#This Row],[Discount Amount]]</f>
        <v>3078.6000000000004</v>
      </c>
      <c r="V3743" s="77">
        <f>INDEX(Products!E:E,MATCH(OrdersTable[[#This Row],[Product ID]],Products!A:A,0))</f>
        <v>1034</v>
      </c>
      <c r="W3743" s="77">
        <f>OrdersTable[[#This Row],[Quantity]]*OrdersTable[[#This Row],[Unit Cost]]</f>
        <v>2068</v>
      </c>
      <c r="X3743" s="77">
        <f>'Dropdown Lists'!$I$2*(1+OrdersTable[[#This Row],[Returned]])</f>
        <v>60</v>
      </c>
      <c r="Y3743" s="76">
        <f>OrdersTable[[#This Row],[Net Revenue]]-OrdersTable[[#This Row],[COGS]]-OrdersTable[[#This Row],[Shipping Cost]]</f>
        <v>950.60000000000036</v>
      </c>
      <c r="Z3743" s="78">
        <f>IFERROR(OrdersTable[[#This Row],[Profit]]/OrdersTable[[#This Row],[Net Revenue]],0)</f>
        <v>0.30877671668940437</v>
      </c>
      <c r="AA3743" t="s">
        <v>18</v>
      </c>
      <c r="AB3743" s="79">
        <v>45900</v>
      </c>
      <c r="AC3743">
        <f>OrdersTable[[#This Row],[Delivery Date]]-OrdersTable[[#This Row],[Order Date]]</f>
        <v>4</v>
      </c>
      <c r="AD3743" t="str">
        <f>IF(OrdersTable[[#This Row],[Delivery Days]]&lt;=2, "Express (≤2d)", IF(OrdersTable[[#This Row],[Delivery Days]]&lt;=4, "Standard (3-4d)", "Delayed (5d+)"))</f>
        <v>Standard (3-4d)</v>
      </c>
      <c r="AE3743">
        <v>4</v>
      </c>
      <c r="AF3743">
        <v>0</v>
      </c>
    </row>
    <row r="3744" spans="1:32" ht="15" x14ac:dyDescent="0.35">
      <c r="A3744" t="s">
        <v>5721</v>
      </c>
      <c r="B3744" s="1">
        <v>45896</v>
      </c>
      <c r="C3744">
        <f>YEAR(OrdersTable[[#This Row],[Order Date]])</f>
        <v>2025</v>
      </c>
      <c r="D3744" s="2">
        <f>DATE(YEAR(OrdersTable[[#This Row],[Order Date]]),MONTH(OrdersTable[[#This Row],[Order Date]]),1)</f>
        <v>45870</v>
      </c>
      <c r="E3744">
        <f>MONTH(OrdersTable[[#This Row],[Order Date]])</f>
        <v>8</v>
      </c>
      <c r="F3744" t="s">
        <v>1239</v>
      </c>
      <c r="G3744" t="str">
        <f>IF(OrdersTable[[#This Row],[Order Date]]=_xlfn.MINIFS(Order_Date, Customer_ID, OrdersTable[[#This Row],[Customer ID]]), "New", "Repeat")</f>
        <v>Repeat</v>
      </c>
      <c r="H3744" t="s">
        <v>27</v>
      </c>
      <c r="I3744" t="str">
        <f>INDEX(State!B:B,MATCH(OrdersTable[[#This Row],[State]],State!A:A,0))</f>
        <v>WB</v>
      </c>
      <c r="J3744" t="str">
        <f>INDEX(State!C:C,MATCH(OrdersTable[[#This Row],[State Code]],State!B:B,0))</f>
        <v>East</v>
      </c>
      <c r="K3744" t="s">
        <v>28</v>
      </c>
      <c r="L3744" t="s">
        <v>39</v>
      </c>
      <c r="M3744" t="s">
        <v>45</v>
      </c>
      <c r="N3744" t="str">
        <f>INDEX(Products!B:B,MATCH(OrdersTable[[#This Row],[Product ID]],Products!A:A,0))</f>
        <v>Argan Shampoo</v>
      </c>
      <c r="O3744" t="str">
        <f>INDEX(Products!C:C,MATCH(OrdersTable[[#This Row],[Product ID]],Products!A:A,0))</f>
        <v>Haircare</v>
      </c>
      <c r="P3744">
        <v>2</v>
      </c>
      <c r="Q3744" s="5">
        <v>449</v>
      </c>
      <c r="R3744" s="74">
        <v>0</v>
      </c>
      <c r="S3744" s="75">
        <f>OrdersTable[[#This Row],[Quantity]]*OrdersTable[[#This Row],[Unit Price]]</f>
        <v>898</v>
      </c>
      <c r="T3744" s="5">
        <f>OrdersTable[[#This Row],[Gross Sale]]*OrdersTable[[#This Row],[Discount_Clean2]]</f>
        <v>0</v>
      </c>
      <c r="U3744" s="5">
        <f>OrdersTable[[#This Row],[Gross Sale]]-OrdersTable[[#This Row],[Discount Amount]]</f>
        <v>898</v>
      </c>
      <c r="V3744" s="77">
        <f>INDEX(Products!E:E,MATCH(OrdersTable[[#This Row],[Product ID]],Products!A:A,0))</f>
        <v>148</v>
      </c>
      <c r="W3744" s="77">
        <f>OrdersTable[[#This Row],[Quantity]]*OrdersTable[[#This Row],[Unit Cost]]</f>
        <v>296</v>
      </c>
      <c r="X3744" s="77">
        <f>'Dropdown Lists'!$I$2*(1+OrdersTable[[#This Row],[Returned]])</f>
        <v>60</v>
      </c>
      <c r="Y3744" s="76">
        <f>OrdersTable[[#This Row],[Net Revenue]]-OrdersTable[[#This Row],[COGS]]-OrdersTable[[#This Row],[Shipping Cost]]</f>
        <v>542</v>
      </c>
      <c r="Z3744" s="78">
        <f>IFERROR(OrdersTable[[#This Row],[Profit]]/OrdersTable[[#This Row],[Net Revenue]],0)</f>
        <v>0.60356347438752789</v>
      </c>
      <c r="AA3744" t="s">
        <v>18</v>
      </c>
      <c r="AB3744" s="79">
        <v>45899</v>
      </c>
      <c r="AC3744">
        <f>OrdersTable[[#This Row],[Delivery Date]]-OrdersTable[[#This Row],[Order Date]]</f>
        <v>3</v>
      </c>
      <c r="AD3744" t="str">
        <f>IF(OrdersTable[[#This Row],[Delivery Days]]&lt;=2, "Express (≤2d)", IF(OrdersTable[[#This Row],[Delivery Days]]&lt;=4, "Standard (3-4d)", "Delayed (5d+)"))</f>
        <v>Standard (3-4d)</v>
      </c>
      <c r="AE3744">
        <v>3</v>
      </c>
      <c r="AF3744">
        <v>0</v>
      </c>
    </row>
    <row r="3745" spans="1:32" ht="15" x14ac:dyDescent="0.35">
      <c r="A3745" t="s">
        <v>4174</v>
      </c>
      <c r="B3745" s="1">
        <v>45896</v>
      </c>
      <c r="C3745">
        <f>YEAR(OrdersTable[[#This Row],[Order Date]])</f>
        <v>2025</v>
      </c>
      <c r="D3745" s="2">
        <f>DATE(YEAR(OrdersTable[[#This Row],[Order Date]]),MONTH(OrdersTable[[#This Row],[Order Date]]),1)</f>
        <v>45870</v>
      </c>
      <c r="E3745">
        <f>MONTH(OrdersTable[[#This Row],[Order Date]])</f>
        <v>8</v>
      </c>
      <c r="F3745" t="s">
        <v>456</v>
      </c>
      <c r="G3745" t="str">
        <f>IF(OrdersTable[[#This Row],[Order Date]]=_xlfn.MINIFS(Order_Date, Customer_ID, OrdersTable[[#This Row],[Customer ID]]), "New", "Repeat")</f>
        <v>Repeat</v>
      </c>
      <c r="H3745" t="s">
        <v>27</v>
      </c>
      <c r="I3745" t="str">
        <f>INDEX(State!B:B,MATCH(OrdersTable[[#This Row],[State]],State!A:A,0))</f>
        <v>WB</v>
      </c>
      <c r="J3745" t="str">
        <f>INDEX(State!C:C,MATCH(OrdersTable[[#This Row],[State Code]],State!B:B,0))</f>
        <v>East</v>
      </c>
      <c r="K3745" t="s">
        <v>28</v>
      </c>
      <c r="L3745" t="s">
        <v>65</v>
      </c>
      <c r="M3745" t="s">
        <v>56</v>
      </c>
      <c r="N3745" t="str">
        <f>INDEX(Products!B:B,MATCH(OrdersTable[[#This Row],[Product ID]],Products!A:A,0))</f>
        <v>Vitamin C Face Serum</v>
      </c>
      <c r="O3745" t="str">
        <f>INDEX(Products!C:C,MATCH(OrdersTable[[#This Row],[Product ID]],Products!A:A,0))</f>
        <v>Skincare</v>
      </c>
      <c r="P3745">
        <v>1</v>
      </c>
      <c r="Q3745" s="5">
        <v>599</v>
      </c>
      <c r="R3745" s="74">
        <v>0.15</v>
      </c>
      <c r="S3745" s="75">
        <f>OrdersTable[[#This Row],[Quantity]]*OrdersTable[[#This Row],[Unit Price]]</f>
        <v>599</v>
      </c>
      <c r="T3745" s="5">
        <f>OrdersTable[[#This Row],[Gross Sale]]*OrdersTable[[#This Row],[Discount_Clean2]]</f>
        <v>89.85</v>
      </c>
      <c r="U3745" s="5">
        <f>OrdersTable[[#This Row],[Gross Sale]]-OrdersTable[[#This Row],[Discount Amount]]</f>
        <v>509.15</v>
      </c>
      <c r="V3745" s="77">
        <f>INDEX(Products!E:E,MATCH(OrdersTable[[#This Row],[Product ID]],Products!A:A,0))</f>
        <v>180</v>
      </c>
      <c r="W3745" s="77">
        <f>OrdersTable[[#This Row],[Quantity]]*OrdersTable[[#This Row],[Unit Cost]]</f>
        <v>180</v>
      </c>
      <c r="X3745" s="77">
        <f>'Dropdown Lists'!$I$2*(1+OrdersTable[[#This Row],[Returned]])</f>
        <v>60</v>
      </c>
      <c r="Y3745" s="76">
        <f>OrdersTable[[#This Row],[Net Revenue]]-OrdersTable[[#This Row],[COGS]]-OrdersTable[[#This Row],[Shipping Cost]]</f>
        <v>269.14999999999998</v>
      </c>
      <c r="Z3745" s="78">
        <f>IFERROR(OrdersTable[[#This Row],[Profit]]/OrdersTable[[#This Row],[Net Revenue]],0)</f>
        <v>0.52862614160856325</v>
      </c>
      <c r="AA3745" t="s">
        <v>4074</v>
      </c>
      <c r="AB3745" s="79">
        <v>45898</v>
      </c>
      <c r="AC3745">
        <f>OrdersTable[[#This Row],[Delivery Date]]-OrdersTable[[#This Row],[Order Date]]</f>
        <v>2</v>
      </c>
      <c r="AD3745" t="str">
        <f>IF(OrdersTable[[#This Row],[Delivery Days]]&lt;=2, "Express (≤2d)", IF(OrdersTable[[#This Row],[Delivery Days]]&lt;=4, "Standard (3-4d)", "Delayed (5d+)"))</f>
        <v>Express (≤2d)</v>
      </c>
      <c r="AE3745">
        <v>5</v>
      </c>
      <c r="AF3745">
        <v>0</v>
      </c>
    </row>
    <row r="3746" spans="1:32" ht="15" x14ac:dyDescent="0.35">
      <c r="A3746" t="s">
        <v>5976</v>
      </c>
      <c r="B3746" s="1">
        <v>45896</v>
      </c>
      <c r="C3746">
        <f>YEAR(OrdersTable[[#This Row],[Order Date]])</f>
        <v>2025</v>
      </c>
      <c r="D3746" s="2">
        <f>DATE(YEAR(OrdersTable[[#This Row],[Order Date]]),MONTH(OrdersTable[[#This Row],[Order Date]]),1)</f>
        <v>45870</v>
      </c>
      <c r="E3746">
        <f>MONTH(OrdersTable[[#This Row],[Order Date]])</f>
        <v>8</v>
      </c>
      <c r="F3746" t="s">
        <v>1104</v>
      </c>
      <c r="G3746" t="str">
        <f>IF(OrdersTable[[#This Row],[Order Date]]=_xlfn.MINIFS(Order_Date, Customer_ID, OrdersTable[[#This Row],[Customer ID]]), "New", "Repeat")</f>
        <v>Repeat</v>
      </c>
      <c r="H3746" t="s">
        <v>71</v>
      </c>
      <c r="I3746" t="str">
        <f>INDEX(State!B:B,MATCH(OrdersTable[[#This Row],[State]],State!A:A,0))</f>
        <v>MH</v>
      </c>
      <c r="J3746" t="str">
        <f>INDEX(State!C:C,MATCH(OrdersTable[[#This Row],[State Code]],State!B:B,0))</f>
        <v>West</v>
      </c>
      <c r="K3746" t="s">
        <v>102</v>
      </c>
      <c r="L3746" t="s">
        <v>39</v>
      </c>
      <c r="M3746" t="s">
        <v>84</v>
      </c>
      <c r="N3746" t="str">
        <f>INDEX(Products!B:B,MATCH(OrdersTable[[#This Row],[Product ID]],Products!A:A,0))</f>
        <v>Cotton Bedsheet</v>
      </c>
      <c r="O3746" t="str">
        <f>INDEX(Products!C:C,MATCH(OrdersTable[[#This Row],[Product ID]],Products!A:A,0))</f>
        <v>Home &amp; Kitchen</v>
      </c>
      <c r="P3746">
        <v>2</v>
      </c>
      <c r="Q3746" s="5">
        <v>1299</v>
      </c>
      <c r="R3746" s="74">
        <v>0</v>
      </c>
      <c r="S3746" s="75">
        <f>OrdersTable[[#This Row],[Quantity]]*OrdersTable[[#This Row],[Unit Price]]</f>
        <v>2598</v>
      </c>
      <c r="T3746" s="5">
        <f>OrdersTable[[#This Row],[Gross Sale]]*OrdersTable[[#This Row],[Discount_Clean2]]</f>
        <v>0</v>
      </c>
      <c r="U3746" s="5">
        <f>OrdersTable[[#This Row],[Gross Sale]]-OrdersTable[[#This Row],[Discount Amount]]</f>
        <v>2598</v>
      </c>
      <c r="V3746" s="77">
        <f>INDEX(Products!E:E,MATCH(OrdersTable[[#This Row],[Product ID]],Products!A:A,0))</f>
        <v>585</v>
      </c>
      <c r="W3746" s="77">
        <f>OrdersTable[[#This Row],[Quantity]]*OrdersTable[[#This Row],[Unit Cost]]</f>
        <v>1170</v>
      </c>
      <c r="X3746" s="77">
        <f>'Dropdown Lists'!$I$2*(1+OrdersTable[[#This Row],[Returned]])</f>
        <v>60</v>
      </c>
      <c r="Y3746" s="76">
        <f>OrdersTable[[#This Row],[Net Revenue]]-OrdersTable[[#This Row],[COGS]]-OrdersTable[[#This Row],[Shipping Cost]]</f>
        <v>1368</v>
      </c>
      <c r="Z3746" s="78">
        <f>IFERROR(OrdersTable[[#This Row],[Profit]]/OrdersTable[[#This Row],[Net Revenue]],0)</f>
        <v>0.52655889145496537</v>
      </c>
      <c r="AA3746" t="s">
        <v>18</v>
      </c>
      <c r="AB3746" s="79">
        <v>45899</v>
      </c>
      <c r="AC3746">
        <f>OrdersTable[[#This Row],[Delivery Date]]-OrdersTable[[#This Row],[Order Date]]</f>
        <v>3</v>
      </c>
      <c r="AD3746" t="str">
        <f>IF(OrdersTable[[#This Row],[Delivery Days]]&lt;=2, "Express (≤2d)", IF(OrdersTable[[#This Row],[Delivery Days]]&lt;=4, "Standard (3-4d)", "Delayed (5d+)"))</f>
        <v>Standard (3-4d)</v>
      </c>
      <c r="AF3746">
        <v>0</v>
      </c>
    </row>
    <row r="3747" spans="1:32" ht="15" x14ac:dyDescent="0.35">
      <c r="A3747" t="s">
        <v>359</v>
      </c>
      <c r="B3747" s="1">
        <v>45896</v>
      </c>
      <c r="C3747">
        <f>YEAR(OrdersTable[[#This Row],[Order Date]])</f>
        <v>2025</v>
      </c>
      <c r="D3747" s="2">
        <f>DATE(YEAR(OrdersTable[[#This Row],[Order Date]]),MONTH(OrdersTable[[#This Row],[Order Date]]),1)</f>
        <v>45870</v>
      </c>
      <c r="E3747">
        <f>MONTH(OrdersTable[[#This Row],[Order Date]])</f>
        <v>8</v>
      </c>
      <c r="F3747" t="s">
        <v>360</v>
      </c>
      <c r="G3747" t="str">
        <f>IF(OrdersTable[[#This Row],[Order Date]]=_xlfn.MINIFS(Order_Date, Customer_ID, OrdersTable[[#This Row],[Customer ID]]), "New", "Repeat")</f>
        <v>Repeat</v>
      </c>
      <c r="H3747" t="s">
        <v>95</v>
      </c>
      <c r="I3747" t="str">
        <f>INDEX(State!B:B,MATCH(OrdersTable[[#This Row],[State]],State!A:A,0))</f>
        <v>TG</v>
      </c>
      <c r="J3747" t="str">
        <f>INDEX(State!C:C,MATCH(OrdersTable[[#This Row],[State Code]],State!B:B,0))</f>
        <v>South</v>
      </c>
      <c r="K3747" t="s">
        <v>96</v>
      </c>
      <c r="L3747" t="s">
        <v>39</v>
      </c>
      <c r="M3747" t="s">
        <v>51</v>
      </c>
      <c r="N3747" t="str">
        <f>INDEX(Products!B:B,MATCH(OrdersTable[[#This Row],[Product ID]],Products!A:A,0))</f>
        <v>Anti-Dandruff Conditioner</v>
      </c>
      <c r="O3747" t="str">
        <f>INDEX(Products!C:C,MATCH(OrdersTable[[#This Row],[Product ID]],Products!A:A,0))</f>
        <v>Haircare</v>
      </c>
      <c r="P3747">
        <v>1</v>
      </c>
      <c r="Q3747" s="5">
        <v>399</v>
      </c>
      <c r="R3747" s="74">
        <v>0.25</v>
      </c>
      <c r="S3747" s="75">
        <f>OrdersTable[[#This Row],[Quantity]]*OrdersTable[[#This Row],[Unit Price]]</f>
        <v>399</v>
      </c>
      <c r="T3747" s="5">
        <f>OrdersTable[[#This Row],[Gross Sale]]*OrdersTable[[#This Row],[Discount_Clean2]]</f>
        <v>99.75</v>
      </c>
      <c r="U3747" s="5">
        <f>OrdersTable[[#This Row],[Gross Sale]]-OrdersTable[[#This Row],[Discount Amount]]</f>
        <v>299.25</v>
      </c>
      <c r="V3747" s="77">
        <f>INDEX(Products!E:E,MATCH(OrdersTable[[#This Row],[Product ID]],Products!A:A,0))</f>
        <v>136</v>
      </c>
      <c r="W3747" s="77">
        <f>OrdersTable[[#This Row],[Quantity]]*OrdersTable[[#This Row],[Unit Cost]]</f>
        <v>136</v>
      </c>
      <c r="X3747" s="77">
        <f>'Dropdown Lists'!$I$2*(1+OrdersTable[[#This Row],[Returned]])</f>
        <v>60</v>
      </c>
      <c r="Y3747" s="76">
        <f>OrdersTable[[#This Row],[Net Revenue]]-OrdersTable[[#This Row],[COGS]]-OrdersTable[[#This Row],[Shipping Cost]]</f>
        <v>103.25</v>
      </c>
      <c r="Z3747" s="78">
        <f>IFERROR(OrdersTable[[#This Row],[Profit]]/OrdersTable[[#This Row],[Net Revenue]],0)</f>
        <v>0.34502923976608185</v>
      </c>
      <c r="AA3747" t="s">
        <v>18</v>
      </c>
      <c r="AB3747" s="79">
        <v>45899</v>
      </c>
      <c r="AC3747">
        <f>OrdersTable[[#This Row],[Delivery Date]]-OrdersTable[[#This Row],[Order Date]]</f>
        <v>3</v>
      </c>
      <c r="AD3747" t="str">
        <f>IF(OrdersTable[[#This Row],[Delivery Days]]&lt;=2, "Express (≤2d)", IF(OrdersTable[[#This Row],[Delivery Days]]&lt;=4, "Standard (3-4d)", "Delayed (5d+)"))</f>
        <v>Standard (3-4d)</v>
      </c>
      <c r="AE3747">
        <v>4</v>
      </c>
      <c r="AF3747">
        <v>0</v>
      </c>
    </row>
    <row r="3748" spans="1:32" ht="15" x14ac:dyDescent="0.35">
      <c r="A3748" t="s">
        <v>4721</v>
      </c>
      <c r="B3748" s="1">
        <v>45896</v>
      </c>
      <c r="C3748">
        <f>YEAR(OrdersTable[[#This Row],[Order Date]])</f>
        <v>2025</v>
      </c>
      <c r="D3748" s="2">
        <f>DATE(YEAR(OrdersTable[[#This Row],[Order Date]]),MONTH(OrdersTable[[#This Row],[Order Date]]),1)</f>
        <v>45870</v>
      </c>
      <c r="E3748">
        <f>MONTH(OrdersTable[[#This Row],[Order Date]])</f>
        <v>8</v>
      </c>
      <c r="F3748" t="s">
        <v>941</v>
      </c>
      <c r="G3748" t="str">
        <f>IF(OrdersTable[[#This Row],[Order Date]]=_xlfn.MINIFS(Order_Date, Customer_ID, OrdersTable[[#This Row],[Customer ID]]), "New", "Repeat")</f>
        <v>Repeat</v>
      </c>
      <c r="H3748" t="s">
        <v>95</v>
      </c>
      <c r="I3748" t="str">
        <f>INDEX(State!B:B,MATCH(OrdersTable[[#This Row],[State]],State!A:A,0))</f>
        <v>TG</v>
      </c>
      <c r="J3748" t="str">
        <f>INDEX(State!C:C,MATCH(OrdersTable[[#This Row],[State Code]],State!B:B,0))</f>
        <v>South</v>
      </c>
      <c r="K3748" t="s">
        <v>96</v>
      </c>
      <c r="L3748" t="s">
        <v>39</v>
      </c>
      <c r="M3748" t="s">
        <v>148</v>
      </c>
      <c r="N3748" t="str">
        <f>INDEX(Products!B:B,MATCH(OrdersTable[[#This Row],[Product ID]],Products!A:A,0))</f>
        <v>Smartwatch Strap</v>
      </c>
      <c r="O3748" t="str">
        <f>INDEX(Products!C:C,MATCH(OrdersTable[[#This Row],[Product ID]],Products!A:A,0))</f>
        <v>Electronics</v>
      </c>
      <c r="P3748">
        <v>1</v>
      </c>
      <c r="Q3748" s="5">
        <v>499</v>
      </c>
      <c r="R3748" s="74">
        <v>0.1</v>
      </c>
      <c r="S3748" s="75">
        <f>OrdersTable[[#This Row],[Quantity]]*OrdersTable[[#This Row],[Unit Price]]</f>
        <v>499</v>
      </c>
      <c r="T3748" s="5">
        <f>OrdersTable[[#This Row],[Gross Sale]]*OrdersTable[[#This Row],[Discount_Clean2]]</f>
        <v>49.900000000000006</v>
      </c>
      <c r="U3748" s="5">
        <f>OrdersTable[[#This Row],[Gross Sale]]-OrdersTable[[#This Row],[Discount Amount]]</f>
        <v>449.1</v>
      </c>
      <c r="V3748" s="77">
        <f>INDEX(Products!E:E,MATCH(OrdersTable[[#This Row],[Product ID]],Products!A:A,0))</f>
        <v>200</v>
      </c>
      <c r="W3748" s="77">
        <f>OrdersTable[[#This Row],[Quantity]]*OrdersTable[[#This Row],[Unit Cost]]</f>
        <v>200</v>
      </c>
      <c r="X3748" s="77">
        <f>'Dropdown Lists'!$I$2*(1+OrdersTable[[#This Row],[Returned]])</f>
        <v>60</v>
      </c>
      <c r="Y3748" s="76">
        <f>OrdersTable[[#This Row],[Net Revenue]]-OrdersTable[[#This Row],[COGS]]-OrdersTable[[#This Row],[Shipping Cost]]</f>
        <v>189.10000000000002</v>
      </c>
      <c r="Z3748" s="78">
        <f>IFERROR(OrdersTable[[#This Row],[Profit]]/OrdersTable[[#This Row],[Net Revenue]],0)</f>
        <v>0.42106435092407041</v>
      </c>
      <c r="AA3748" t="s">
        <v>4450</v>
      </c>
      <c r="AB3748" s="79">
        <v>45898</v>
      </c>
      <c r="AC3748">
        <f>OrdersTable[[#This Row],[Delivery Date]]-OrdersTable[[#This Row],[Order Date]]</f>
        <v>2</v>
      </c>
      <c r="AD3748" t="str">
        <f>IF(OrdersTable[[#This Row],[Delivery Days]]&lt;=2, "Express (≤2d)", IF(OrdersTable[[#This Row],[Delivery Days]]&lt;=4, "Standard (3-4d)", "Delayed (5d+)"))</f>
        <v>Express (≤2d)</v>
      </c>
      <c r="AE3748">
        <v>5</v>
      </c>
      <c r="AF3748">
        <v>0</v>
      </c>
    </row>
    <row r="3749" spans="1:32" ht="15" x14ac:dyDescent="0.35">
      <c r="A3749" t="s">
        <v>3328</v>
      </c>
      <c r="B3749" s="1">
        <v>45896</v>
      </c>
      <c r="C3749">
        <f>YEAR(OrdersTable[[#This Row],[Order Date]])</f>
        <v>2025</v>
      </c>
      <c r="D3749" s="2">
        <f>DATE(YEAR(OrdersTable[[#This Row],[Order Date]]),MONTH(OrdersTable[[#This Row],[Order Date]]),1)</f>
        <v>45870</v>
      </c>
      <c r="E3749">
        <f>MONTH(OrdersTable[[#This Row],[Order Date]])</f>
        <v>8</v>
      </c>
      <c r="F3749" t="s">
        <v>3329</v>
      </c>
      <c r="G3749" t="str">
        <f>IF(OrdersTable[[#This Row],[Order Date]]=_xlfn.MINIFS(Order_Date, Customer_ID, OrdersTable[[#This Row],[Customer ID]]), "New", "Repeat")</f>
        <v>New</v>
      </c>
      <c r="H3749" t="s">
        <v>167</v>
      </c>
      <c r="I3749" t="str">
        <f>INDEX(State!B:B,MATCH(OrdersTable[[#This Row],[State]],State!A:A,0))</f>
        <v>KA</v>
      </c>
      <c r="J3749" t="str">
        <f>INDEX(State!C:C,MATCH(OrdersTable[[#This Row],[State Code]],State!B:B,0))</f>
        <v>South</v>
      </c>
      <c r="K3749" t="s">
        <v>168</v>
      </c>
      <c r="L3749" t="s">
        <v>16</v>
      </c>
      <c r="M3749" t="s">
        <v>255</v>
      </c>
      <c r="N3749" t="str">
        <f>INDEX(Products!B:B,MATCH(OrdersTable[[#This Row],[Product ID]],Products!A:A,0))</f>
        <v>Cotton Oversized T-Shirt</v>
      </c>
      <c r="O3749" t="str">
        <f>INDEX(Products!C:C,MATCH(OrdersTable[[#This Row],[Product ID]],Products!A:A,0))</f>
        <v>Apparel</v>
      </c>
      <c r="P3749">
        <v>1</v>
      </c>
      <c r="Q3749" s="5">
        <v>799</v>
      </c>
      <c r="R3749" s="74">
        <v>0</v>
      </c>
      <c r="S3749" s="75">
        <f>OrdersTable[[#This Row],[Quantity]]*OrdersTable[[#This Row],[Unit Price]]</f>
        <v>799</v>
      </c>
      <c r="T3749" s="5">
        <f>OrdersTable[[#This Row],[Gross Sale]]*OrdersTable[[#This Row],[Discount_Clean2]]</f>
        <v>0</v>
      </c>
      <c r="U3749" s="5">
        <f>OrdersTable[[#This Row],[Gross Sale]]-OrdersTable[[#This Row],[Discount Amount]]</f>
        <v>799</v>
      </c>
      <c r="V3749" s="77">
        <f>INDEX(Products!E:E,MATCH(OrdersTable[[#This Row],[Product ID]],Products!A:A,0))</f>
        <v>320</v>
      </c>
      <c r="W3749" s="77">
        <f>OrdersTable[[#This Row],[Quantity]]*OrdersTable[[#This Row],[Unit Cost]]</f>
        <v>320</v>
      </c>
      <c r="X3749" s="77">
        <f>'Dropdown Lists'!$I$2*(1+OrdersTable[[#This Row],[Returned]])</f>
        <v>60</v>
      </c>
      <c r="Y3749" s="76">
        <f>OrdersTable[[#This Row],[Net Revenue]]-OrdersTable[[#This Row],[COGS]]-OrdersTable[[#This Row],[Shipping Cost]]</f>
        <v>419</v>
      </c>
      <c r="Z3749" s="78">
        <f>IFERROR(OrdersTable[[#This Row],[Profit]]/OrdersTable[[#This Row],[Net Revenue]],0)</f>
        <v>0.52440550688360454</v>
      </c>
      <c r="AA3749" t="s">
        <v>2522</v>
      </c>
      <c r="AB3749" s="79">
        <v>45897</v>
      </c>
      <c r="AC3749">
        <f>OrdersTable[[#This Row],[Delivery Date]]-OrdersTable[[#This Row],[Order Date]]</f>
        <v>1</v>
      </c>
      <c r="AD3749" t="str">
        <f>IF(OrdersTable[[#This Row],[Delivery Days]]&lt;=2, "Express (≤2d)", IF(OrdersTable[[#This Row],[Delivery Days]]&lt;=4, "Standard (3-4d)", "Delayed (5d+)"))</f>
        <v>Express (≤2d)</v>
      </c>
      <c r="AE3749">
        <v>4</v>
      </c>
      <c r="AF3749">
        <v>0</v>
      </c>
    </row>
    <row r="3750" spans="1:32" ht="15" x14ac:dyDescent="0.35">
      <c r="A3750" t="s">
        <v>2172</v>
      </c>
      <c r="B3750" s="1">
        <v>45896</v>
      </c>
      <c r="C3750">
        <f>YEAR(OrdersTable[[#This Row],[Order Date]])</f>
        <v>2025</v>
      </c>
      <c r="D3750" s="2">
        <f>DATE(YEAR(OrdersTable[[#This Row],[Order Date]]),MONTH(OrdersTable[[#This Row],[Order Date]]),1)</f>
        <v>45870</v>
      </c>
      <c r="E3750">
        <f>MONTH(OrdersTable[[#This Row],[Order Date]])</f>
        <v>8</v>
      </c>
      <c r="F3750" t="s">
        <v>2173</v>
      </c>
      <c r="G3750" t="str">
        <f>IF(OrdersTable[[#This Row],[Order Date]]=_xlfn.MINIFS(Order_Date, Customer_ID, OrdersTable[[#This Row],[Customer ID]]), "New", "Repeat")</f>
        <v>Repeat</v>
      </c>
      <c r="H3750" t="s">
        <v>167</v>
      </c>
      <c r="I3750" t="str">
        <f>INDEX(State!B:B,MATCH(OrdersTable[[#This Row],[State]],State!A:A,0))</f>
        <v>KA</v>
      </c>
      <c r="J3750" t="str">
        <f>INDEX(State!C:C,MATCH(OrdersTable[[#This Row],[State Code]],State!B:B,0))</f>
        <v>South</v>
      </c>
      <c r="K3750" t="s">
        <v>190</v>
      </c>
      <c r="L3750" t="s">
        <v>50</v>
      </c>
      <c r="M3750" t="s">
        <v>66</v>
      </c>
      <c r="N3750" t="str">
        <f>INDEX(Products!B:B,MATCH(OrdersTable[[#This Row],[Product ID]],Products!A:A,0))</f>
        <v>Sunscreen SPF 50</v>
      </c>
      <c r="O3750" t="str">
        <f>INDEX(Products!C:C,MATCH(OrdersTable[[#This Row],[Product ID]],Products!A:A,0))</f>
        <v>Skincare</v>
      </c>
      <c r="P3750">
        <v>1</v>
      </c>
      <c r="Q3750" s="5">
        <v>449</v>
      </c>
      <c r="R3750" s="74">
        <v>0.15</v>
      </c>
      <c r="S3750" s="75">
        <f>OrdersTable[[#This Row],[Quantity]]*OrdersTable[[#This Row],[Unit Price]]</f>
        <v>449</v>
      </c>
      <c r="T3750" s="5">
        <f>OrdersTable[[#This Row],[Gross Sale]]*OrdersTable[[#This Row],[Discount_Clean2]]</f>
        <v>67.349999999999994</v>
      </c>
      <c r="U3750" s="5">
        <f>OrdersTable[[#This Row],[Gross Sale]]-OrdersTable[[#This Row],[Discount Amount]]</f>
        <v>381.65</v>
      </c>
      <c r="V3750" s="77">
        <f>INDEX(Products!E:E,MATCH(OrdersTable[[#This Row],[Product ID]],Products!A:A,0))</f>
        <v>144</v>
      </c>
      <c r="W3750" s="77">
        <f>OrdersTable[[#This Row],[Quantity]]*OrdersTable[[#This Row],[Unit Cost]]</f>
        <v>144</v>
      </c>
      <c r="X3750" s="77">
        <f>'Dropdown Lists'!$I$2*(1+OrdersTable[[#This Row],[Returned]])</f>
        <v>60</v>
      </c>
      <c r="Y3750" s="76">
        <f>OrdersTable[[#This Row],[Net Revenue]]-OrdersTable[[#This Row],[COGS]]-OrdersTable[[#This Row],[Shipping Cost]]</f>
        <v>177.64999999999998</v>
      </c>
      <c r="Z3750" s="78">
        <f>IFERROR(OrdersTable[[#This Row],[Profit]]/OrdersTable[[#This Row],[Net Revenue]],0)</f>
        <v>0.465478841870824</v>
      </c>
      <c r="AA3750" t="s">
        <v>18</v>
      </c>
      <c r="AB3750" s="79">
        <v>45901</v>
      </c>
      <c r="AC3750">
        <f>OrdersTable[[#This Row],[Delivery Date]]-OrdersTable[[#This Row],[Order Date]]</f>
        <v>5</v>
      </c>
      <c r="AD3750" t="str">
        <f>IF(OrdersTable[[#This Row],[Delivery Days]]&lt;=2, "Express (≤2d)", IF(OrdersTable[[#This Row],[Delivery Days]]&lt;=4, "Standard (3-4d)", "Delayed (5d+)"))</f>
        <v>Delayed (5d+)</v>
      </c>
      <c r="AE3750">
        <v>3</v>
      </c>
      <c r="AF3750">
        <v>0</v>
      </c>
    </row>
    <row r="3751" spans="1:32" ht="15" x14ac:dyDescent="0.35">
      <c r="A3751" t="s">
        <v>855</v>
      </c>
      <c r="B3751" s="1">
        <v>45896</v>
      </c>
      <c r="C3751">
        <f>YEAR(OrdersTable[[#This Row],[Order Date]])</f>
        <v>2025</v>
      </c>
      <c r="D3751" s="2">
        <f>DATE(YEAR(OrdersTable[[#This Row],[Order Date]]),MONTH(OrdersTable[[#This Row],[Order Date]]),1)</f>
        <v>45870</v>
      </c>
      <c r="E3751">
        <f>MONTH(OrdersTable[[#This Row],[Order Date]])</f>
        <v>8</v>
      </c>
      <c r="F3751" t="s">
        <v>856</v>
      </c>
      <c r="G3751" t="str">
        <f>IF(OrdersTable[[#This Row],[Order Date]]=_xlfn.MINIFS(Order_Date, Customer_ID, OrdersTable[[#This Row],[Customer ID]]), "New", "Repeat")</f>
        <v>New</v>
      </c>
      <c r="H3751" t="s">
        <v>275</v>
      </c>
      <c r="I3751" t="str">
        <f>INDEX(State!B:B,MATCH(OrdersTable[[#This Row],[State]],State!A:A,0))</f>
        <v>AP</v>
      </c>
      <c r="J3751" t="str">
        <f>INDEX(State!C:C,MATCH(OrdersTable[[#This Row],[State Code]],State!B:B,0))</f>
        <v>South</v>
      </c>
      <c r="K3751" t="s">
        <v>491</v>
      </c>
      <c r="L3751" t="s">
        <v>50</v>
      </c>
      <c r="M3751" t="s">
        <v>66</v>
      </c>
      <c r="N3751" t="str">
        <f>INDEX(Products!B:B,MATCH(OrdersTable[[#This Row],[Product ID]],Products!A:A,0))</f>
        <v>Sunscreen SPF 50</v>
      </c>
      <c r="O3751" t="str">
        <f>INDEX(Products!C:C,MATCH(OrdersTable[[#This Row],[Product ID]],Products!A:A,0))</f>
        <v>Skincare</v>
      </c>
      <c r="P3751">
        <v>1</v>
      </c>
      <c r="Q3751" s="5">
        <v>449</v>
      </c>
      <c r="R3751" s="74">
        <v>0.15</v>
      </c>
      <c r="S3751" s="75">
        <f>OrdersTable[[#This Row],[Quantity]]*OrdersTable[[#This Row],[Unit Price]]</f>
        <v>449</v>
      </c>
      <c r="T3751" s="5">
        <f>OrdersTable[[#This Row],[Gross Sale]]*OrdersTable[[#This Row],[Discount_Clean2]]</f>
        <v>67.349999999999994</v>
      </c>
      <c r="U3751" s="5">
        <f>OrdersTable[[#This Row],[Gross Sale]]-OrdersTable[[#This Row],[Discount Amount]]</f>
        <v>381.65</v>
      </c>
      <c r="V3751" s="77">
        <f>INDEX(Products!E:E,MATCH(OrdersTable[[#This Row],[Product ID]],Products!A:A,0))</f>
        <v>144</v>
      </c>
      <c r="W3751" s="77">
        <f>OrdersTable[[#This Row],[Quantity]]*OrdersTable[[#This Row],[Unit Cost]]</f>
        <v>144</v>
      </c>
      <c r="X3751" s="77">
        <f>'Dropdown Lists'!$I$2*(1+OrdersTable[[#This Row],[Returned]])</f>
        <v>60</v>
      </c>
      <c r="Y3751" s="76">
        <f>OrdersTable[[#This Row],[Net Revenue]]-OrdersTable[[#This Row],[COGS]]-OrdersTable[[#This Row],[Shipping Cost]]</f>
        <v>177.64999999999998</v>
      </c>
      <c r="Z3751" s="78">
        <f>IFERROR(OrdersTable[[#This Row],[Profit]]/OrdersTable[[#This Row],[Net Revenue]],0)</f>
        <v>0.465478841870824</v>
      </c>
      <c r="AA3751" t="s">
        <v>18</v>
      </c>
      <c r="AB3751" s="79">
        <v>45898</v>
      </c>
      <c r="AC3751">
        <f>OrdersTable[[#This Row],[Delivery Date]]-OrdersTable[[#This Row],[Order Date]]</f>
        <v>2</v>
      </c>
      <c r="AD3751" t="str">
        <f>IF(OrdersTable[[#This Row],[Delivery Days]]&lt;=2, "Express (≤2d)", IF(OrdersTable[[#This Row],[Delivery Days]]&lt;=4, "Standard (3-4d)", "Delayed (5d+)"))</f>
        <v>Express (≤2d)</v>
      </c>
      <c r="AE3751">
        <v>4</v>
      </c>
      <c r="AF3751">
        <v>0</v>
      </c>
    </row>
    <row r="3752" spans="1:32" ht="15" x14ac:dyDescent="0.35">
      <c r="A3752" t="s">
        <v>6395</v>
      </c>
      <c r="B3752" s="1">
        <v>45897</v>
      </c>
      <c r="C3752">
        <f>YEAR(OrdersTable[[#This Row],[Order Date]])</f>
        <v>2025</v>
      </c>
      <c r="D3752" s="2">
        <f>DATE(YEAR(OrdersTable[[#This Row],[Order Date]]),MONTH(OrdersTable[[#This Row],[Order Date]]),1)</f>
        <v>45870</v>
      </c>
      <c r="E3752">
        <f>MONTH(OrdersTable[[#This Row],[Order Date]])</f>
        <v>8</v>
      </c>
      <c r="F3752" t="s">
        <v>4707</v>
      </c>
      <c r="G3752" t="str">
        <f>IF(OrdersTable[[#This Row],[Order Date]]=_xlfn.MINIFS(Order_Date, Customer_ID, OrdersTable[[#This Row],[Customer ID]]), "New", "Repeat")</f>
        <v>Repeat</v>
      </c>
      <c r="H3752" t="s">
        <v>48</v>
      </c>
      <c r="I3752" t="str">
        <f>INDEX(State!B:B,MATCH(OrdersTable[[#This Row],[State]],State!A:A,0))</f>
        <v>HR</v>
      </c>
      <c r="J3752" t="str">
        <f>INDEX(State!C:C,MATCH(OrdersTable[[#This Row],[State Code]],State!B:B,0))</f>
        <v>North</v>
      </c>
      <c r="K3752" t="s">
        <v>49</v>
      </c>
      <c r="L3752" t="s">
        <v>23</v>
      </c>
      <c r="M3752" t="s">
        <v>152</v>
      </c>
      <c r="N3752" t="str">
        <f>INDEX(Products!B:B,MATCH(OrdersTable[[#This Row],[Product ID]],Products!A:A,0))</f>
        <v>Green Tea (100 bags)</v>
      </c>
      <c r="O3752" t="str">
        <f>INDEX(Products!C:C,MATCH(OrdersTable[[#This Row],[Product ID]],Products!A:A,0))</f>
        <v>Wellness</v>
      </c>
      <c r="P3752">
        <v>2</v>
      </c>
      <c r="Q3752" s="5">
        <v>399</v>
      </c>
      <c r="R3752" s="74">
        <v>0.35</v>
      </c>
      <c r="S3752" s="75">
        <f>OrdersTable[[#This Row],[Quantity]]*OrdersTable[[#This Row],[Unit Price]]</f>
        <v>798</v>
      </c>
      <c r="T3752" s="5">
        <f>OrdersTable[[#This Row],[Gross Sale]]*OrdersTable[[#This Row],[Discount_Clean2]]</f>
        <v>279.29999999999995</v>
      </c>
      <c r="U3752" s="5">
        <f>OrdersTable[[#This Row],[Gross Sale]]-OrdersTable[[#This Row],[Discount Amount]]</f>
        <v>518.70000000000005</v>
      </c>
      <c r="V3752" s="77">
        <f>INDEX(Products!E:E,MATCH(OrdersTable[[#This Row],[Product ID]],Products!A:A,0))</f>
        <v>128</v>
      </c>
      <c r="W3752" s="77">
        <f>OrdersTable[[#This Row],[Quantity]]*OrdersTable[[#This Row],[Unit Cost]]</f>
        <v>256</v>
      </c>
      <c r="X3752" s="77">
        <f>'Dropdown Lists'!$I$2*(1+OrdersTable[[#This Row],[Returned]])</f>
        <v>120</v>
      </c>
      <c r="Y3752" s="76">
        <f>OrdersTable[[#This Row],[Net Revenue]]-OrdersTable[[#This Row],[COGS]]-OrdersTable[[#This Row],[Shipping Cost]]</f>
        <v>142.70000000000005</v>
      </c>
      <c r="Z3752" s="78">
        <f>IFERROR(OrdersTable[[#This Row],[Profit]]/OrdersTable[[#This Row],[Net Revenue]],0)</f>
        <v>0.27511085405822255</v>
      </c>
      <c r="AA3752" t="s">
        <v>18</v>
      </c>
      <c r="AB3752" s="79">
        <v>45900</v>
      </c>
      <c r="AC3752">
        <f>OrdersTable[[#This Row],[Delivery Date]]-OrdersTable[[#This Row],[Order Date]]</f>
        <v>3</v>
      </c>
      <c r="AD3752" t="str">
        <f>IF(OrdersTable[[#This Row],[Delivery Days]]&lt;=2, "Express (≤2d)", IF(OrdersTable[[#This Row],[Delivery Days]]&lt;=4, "Standard (3-4d)", "Delayed (5d+)"))</f>
        <v>Standard (3-4d)</v>
      </c>
      <c r="AE3752">
        <v>4</v>
      </c>
      <c r="AF3752">
        <v>1</v>
      </c>
    </row>
    <row r="3753" spans="1:32" ht="15" x14ac:dyDescent="0.35">
      <c r="A3753" t="s">
        <v>6396</v>
      </c>
      <c r="B3753" s="1">
        <v>45897</v>
      </c>
      <c r="C3753">
        <f>YEAR(OrdersTable[[#This Row],[Order Date]])</f>
        <v>2025</v>
      </c>
      <c r="D3753" s="2">
        <f>DATE(YEAR(OrdersTable[[#This Row],[Order Date]]),MONTH(OrdersTable[[#This Row],[Order Date]]),1)</f>
        <v>45870</v>
      </c>
      <c r="E3753">
        <f>MONTH(OrdersTable[[#This Row],[Order Date]])</f>
        <v>8</v>
      </c>
      <c r="F3753" t="s">
        <v>4399</v>
      </c>
      <c r="G3753" t="str">
        <f>IF(OrdersTable[[#This Row],[Order Date]]=_xlfn.MINIFS(Order_Date, Customer_ID, OrdersTable[[#This Row],[Customer ID]]), "New", "Repeat")</f>
        <v>Repeat</v>
      </c>
      <c r="H3753" t="s">
        <v>37</v>
      </c>
      <c r="I3753" t="str">
        <f>INDEX(State!B:B,MATCH(OrdersTable[[#This Row],[State]],State!A:A,0))</f>
        <v>GJ</v>
      </c>
      <c r="J3753" t="str">
        <f>INDEX(State!C:C,MATCH(OrdersTable[[#This Row],[State Code]],State!B:B,0))</f>
        <v>West</v>
      </c>
      <c r="K3753" t="s">
        <v>38</v>
      </c>
      <c r="L3753" t="s">
        <v>23</v>
      </c>
      <c r="M3753" t="s">
        <v>152</v>
      </c>
      <c r="N3753" t="str">
        <f>INDEX(Products!B:B,MATCH(OrdersTable[[#This Row],[Product ID]],Products!A:A,0))</f>
        <v>Green Tea (100 bags)</v>
      </c>
      <c r="O3753" t="str">
        <f>INDEX(Products!C:C,MATCH(OrdersTable[[#This Row],[Product ID]],Products!A:A,0))</f>
        <v>Wellness</v>
      </c>
      <c r="P3753">
        <v>2</v>
      </c>
      <c r="Q3753" s="5">
        <v>399</v>
      </c>
      <c r="R3753" s="74">
        <v>0.35</v>
      </c>
      <c r="S3753" s="75">
        <f>OrdersTable[[#This Row],[Quantity]]*OrdersTable[[#This Row],[Unit Price]]</f>
        <v>798</v>
      </c>
      <c r="T3753" s="5">
        <f>OrdersTable[[#This Row],[Gross Sale]]*OrdersTable[[#This Row],[Discount_Clean2]]</f>
        <v>279.29999999999995</v>
      </c>
      <c r="U3753" s="5">
        <f>OrdersTable[[#This Row],[Gross Sale]]-OrdersTable[[#This Row],[Discount Amount]]</f>
        <v>518.70000000000005</v>
      </c>
      <c r="V3753" s="77">
        <f>INDEX(Products!E:E,MATCH(OrdersTable[[#This Row],[Product ID]],Products!A:A,0))</f>
        <v>128</v>
      </c>
      <c r="W3753" s="77">
        <f>OrdersTable[[#This Row],[Quantity]]*OrdersTable[[#This Row],[Unit Cost]]</f>
        <v>256</v>
      </c>
      <c r="X3753" s="77">
        <f>'Dropdown Lists'!$I$2*(1+OrdersTable[[#This Row],[Returned]])</f>
        <v>60</v>
      </c>
      <c r="Y3753" s="76">
        <f>OrdersTable[[#This Row],[Net Revenue]]-OrdersTable[[#This Row],[COGS]]-OrdersTable[[#This Row],[Shipping Cost]]</f>
        <v>202.70000000000005</v>
      </c>
      <c r="Z3753" s="78">
        <f>IFERROR(OrdersTable[[#This Row],[Profit]]/OrdersTable[[#This Row],[Net Revenue]],0)</f>
        <v>0.39078465394254874</v>
      </c>
      <c r="AA3753" t="s">
        <v>18</v>
      </c>
      <c r="AB3753" s="79">
        <v>45901</v>
      </c>
      <c r="AC3753">
        <f>OrdersTable[[#This Row],[Delivery Date]]-OrdersTable[[#This Row],[Order Date]]</f>
        <v>4</v>
      </c>
      <c r="AD3753" t="str">
        <f>IF(OrdersTable[[#This Row],[Delivery Days]]&lt;=2, "Express (≤2d)", IF(OrdersTable[[#This Row],[Delivery Days]]&lt;=4, "Standard (3-4d)", "Delayed (5d+)"))</f>
        <v>Standard (3-4d)</v>
      </c>
      <c r="AF3753">
        <v>0</v>
      </c>
    </row>
    <row r="3754" spans="1:32" ht="15" x14ac:dyDescent="0.35">
      <c r="A3754" t="s">
        <v>5977</v>
      </c>
      <c r="B3754" s="1">
        <v>45897</v>
      </c>
      <c r="C3754">
        <f>YEAR(OrdersTable[[#This Row],[Order Date]])</f>
        <v>2025</v>
      </c>
      <c r="D3754" s="2">
        <f>DATE(YEAR(OrdersTable[[#This Row],[Order Date]]),MONTH(OrdersTable[[#This Row],[Order Date]]),1)</f>
        <v>45870</v>
      </c>
      <c r="E3754">
        <f>MONTH(OrdersTable[[#This Row],[Order Date]])</f>
        <v>8</v>
      </c>
      <c r="F3754" t="s">
        <v>4204</v>
      </c>
      <c r="G3754" t="str">
        <f>IF(OrdersTable[[#This Row],[Order Date]]=_xlfn.MINIFS(Order_Date, Customer_ID, OrdersTable[[#This Row],[Customer ID]]), "New", "Repeat")</f>
        <v>New</v>
      </c>
      <c r="H3754" t="s">
        <v>95</v>
      </c>
      <c r="I3754" t="str">
        <f>INDEX(State!B:B,MATCH(OrdersTable[[#This Row],[State]],State!A:A,0))</f>
        <v>TG</v>
      </c>
      <c r="J3754" t="str">
        <f>INDEX(State!C:C,MATCH(OrdersTable[[#This Row],[State Code]],State!B:B,0))</f>
        <v>South</v>
      </c>
      <c r="K3754" t="s">
        <v>96</v>
      </c>
      <c r="L3754" t="s">
        <v>50</v>
      </c>
      <c r="M3754" t="s">
        <v>40</v>
      </c>
      <c r="N3754" t="str">
        <f>INDEX(Products!B:B,MATCH(OrdersTable[[#This Row],[Product ID]],Products!A:A,0))</f>
        <v>Ashwagandha Capsules</v>
      </c>
      <c r="O3754" t="str">
        <f>INDEX(Products!C:C,MATCH(OrdersTable[[#This Row],[Product ID]],Products!A:A,0))</f>
        <v>Wellness</v>
      </c>
      <c r="P3754">
        <v>2</v>
      </c>
      <c r="Q3754" s="5">
        <v>499</v>
      </c>
      <c r="R3754" s="74">
        <v>0</v>
      </c>
      <c r="S3754" s="75">
        <f>OrdersTable[[#This Row],[Quantity]]*OrdersTable[[#This Row],[Unit Price]]</f>
        <v>998</v>
      </c>
      <c r="T3754" s="5">
        <f>OrdersTable[[#This Row],[Gross Sale]]*OrdersTable[[#This Row],[Discount_Clean2]]</f>
        <v>0</v>
      </c>
      <c r="U3754" s="5">
        <f>OrdersTable[[#This Row],[Gross Sale]]-OrdersTable[[#This Row],[Discount Amount]]</f>
        <v>998</v>
      </c>
      <c r="V3754" s="77">
        <f>INDEX(Products!E:E,MATCH(OrdersTable[[#This Row],[Product ID]],Products!A:A,0))</f>
        <v>150</v>
      </c>
      <c r="W3754" s="77">
        <f>OrdersTable[[#This Row],[Quantity]]*OrdersTable[[#This Row],[Unit Cost]]</f>
        <v>300</v>
      </c>
      <c r="X3754" s="77">
        <f>'Dropdown Lists'!$I$2*(1+OrdersTable[[#This Row],[Returned]])</f>
        <v>60</v>
      </c>
      <c r="Y3754" s="76">
        <f>OrdersTable[[#This Row],[Net Revenue]]-OrdersTable[[#This Row],[COGS]]-OrdersTable[[#This Row],[Shipping Cost]]</f>
        <v>638</v>
      </c>
      <c r="Z3754" s="78">
        <f>IFERROR(OrdersTable[[#This Row],[Profit]]/OrdersTable[[#This Row],[Net Revenue]],0)</f>
        <v>0.63927855711422843</v>
      </c>
      <c r="AA3754" t="s">
        <v>18</v>
      </c>
      <c r="AB3754" s="79">
        <v>45899</v>
      </c>
      <c r="AC3754">
        <f>OrdersTable[[#This Row],[Delivery Date]]-OrdersTable[[#This Row],[Order Date]]</f>
        <v>2</v>
      </c>
      <c r="AD3754" t="str">
        <f>IF(OrdersTable[[#This Row],[Delivery Days]]&lt;=2, "Express (≤2d)", IF(OrdersTable[[#This Row],[Delivery Days]]&lt;=4, "Standard (3-4d)", "Delayed (5d+)"))</f>
        <v>Express (≤2d)</v>
      </c>
      <c r="AF3754">
        <v>0</v>
      </c>
    </row>
    <row r="3755" spans="1:32" ht="15" x14ac:dyDescent="0.35">
      <c r="A3755" t="s">
        <v>655</v>
      </c>
      <c r="B3755" s="1">
        <v>45897</v>
      </c>
      <c r="C3755">
        <f>YEAR(OrdersTable[[#This Row],[Order Date]])</f>
        <v>2025</v>
      </c>
      <c r="D3755" s="2">
        <f>DATE(YEAR(OrdersTable[[#This Row],[Order Date]]),MONTH(OrdersTable[[#This Row],[Order Date]]),1)</f>
        <v>45870</v>
      </c>
      <c r="E3755">
        <f>MONTH(OrdersTable[[#This Row],[Order Date]])</f>
        <v>8</v>
      </c>
      <c r="F3755" t="s">
        <v>656</v>
      </c>
      <c r="G3755" t="str">
        <f>IF(OrdersTable[[#This Row],[Order Date]]=_xlfn.MINIFS(Order_Date, Customer_ID, OrdersTable[[#This Row],[Customer ID]]), "New", "Repeat")</f>
        <v>New</v>
      </c>
      <c r="H3755" t="s">
        <v>95</v>
      </c>
      <c r="I3755" t="str">
        <f>INDEX(State!B:B,MATCH(OrdersTable[[#This Row],[State]],State!A:A,0))</f>
        <v>TG</v>
      </c>
      <c r="J3755" t="str">
        <f>INDEX(State!C:C,MATCH(OrdersTable[[#This Row],[State Code]],State!B:B,0))</f>
        <v>South</v>
      </c>
      <c r="K3755" t="s">
        <v>96</v>
      </c>
      <c r="L3755" t="s">
        <v>16</v>
      </c>
      <c r="M3755" t="s">
        <v>92</v>
      </c>
      <c r="N3755" t="str">
        <f>INDEX(Products!B:B,MATCH(OrdersTable[[#This Row],[Product ID]],Products!A:A,0))</f>
        <v>Kolhapuri Sandals</v>
      </c>
      <c r="O3755" t="str">
        <f>INDEX(Products!C:C,MATCH(OrdersTable[[#This Row],[Product ID]],Products!A:A,0))</f>
        <v>Footwear</v>
      </c>
      <c r="P3755">
        <v>1</v>
      </c>
      <c r="Q3755" s="5">
        <v>999</v>
      </c>
      <c r="R3755" s="74">
        <v>0</v>
      </c>
      <c r="S3755" s="75">
        <f>OrdersTable[[#This Row],[Quantity]]*OrdersTable[[#This Row],[Unit Price]]</f>
        <v>999</v>
      </c>
      <c r="T3755" s="5">
        <f>OrdersTable[[#This Row],[Gross Sale]]*OrdersTable[[#This Row],[Discount_Clean2]]</f>
        <v>0</v>
      </c>
      <c r="U3755" s="5">
        <f>OrdersTable[[#This Row],[Gross Sale]]-OrdersTable[[#This Row],[Discount Amount]]</f>
        <v>999</v>
      </c>
      <c r="V3755" s="77">
        <f>INDEX(Products!E:E,MATCH(OrdersTable[[#This Row],[Product ID]],Products!A:A,0))</f>
        <v>400</v>
      </c>
      <c r="W3755" s="77">
        <f>OrdersTable[[#This Row],[Quantity]]*OrdersTable[[#This Row],[Unit Cost]]</f>
        <v>400</v>
      </c>
      <c r="X3755" s="77">
        <f>'Dropdown Lists'!$I$2*(1+OrdersTable[[#This Row],[Returned]])</f>
        <v>60</v>
      </c>
      <c r="Y3755" s="76">
        <f>OrdersTable[[#This Row],[Net Revenue]]-OrdersTable[[#This Row],[COGS]]-OrdersTable[[#This Row],[Shipping Cost]]</f>
        <v>539</v>
      </c>
      <c r="Z3755" s="78">
        <f>IFERROR(OrdersTable[[#This Row],[Profit]]/OrdersTable[[#This Row],[Net Revenue]],0)</f>
        <v>0.53953953953953959</v>
      </c>
      <c r="AA3755" t="s">
        <v>18</v>
      </c>
      <c r="AB3755" s="79">
        <v>45899</v>
      </c>
      <c r="AC3755">
        <f>OrdersTable[[#This Row],[Delivery Date]]-OrdersTable[[#This Row],[Order Date]]</f>
        <v>2</v>
      </c>
      <c r="AD3755" t="str">
        <f>IF(OrdersTable[[#This Row],[Delivery Days]]&lt;=2, "Express (≤2d)", IF(OrdersTable[[#This Row],[Delivery Days]]&lt;=4, "Standard (3-4d)", "Delayed (5d+)"))</f>
        <v>Express (≤2d)</v>
      </c>
      <c r="AE3755">
        <v>4</v>
      </c>
      <c r="AF3755">
        <v>0</v>
      </c>
    </row>
    <row r="3756" spans="1:32" ht="15" x14ac:dyDescent="0.35">
      <c r="A3756" t="s">
        <v>1587</v>
      </c>
      <c r="B3756" s="1">
        <v>45897</v>
      </c>
      <c r="C3756">
        <f>YEAR(OrdersTable[[#This Row],[Order Date]])</f>
        <v>2025</v>
      </c>
      <c r="D3756" s="2">
        <f>DATE(YEAR(OrdersTable[[#This Row],[Order Date]]),MONTH(OrdersTable[[#This Row],[Order Date]]),1)</f>
        <v>45870</v>
      </c>
      <c r="E3756">
        <f>MONTH(OrdersTable[[#This Row],[Order Date]])</f>
        <v>8</v>
      </c>
      <c r="F3756" t="s">
        <v>1588</v>
      </c>
      <c r="G3756" t="str">
        <f>IF(OrdersTable[[#This Row],[Order Date]]=_xlfn.MINIFS(Order_Date, Customer_ID, OrdersTable[[#This Row],[Customer ID]]), "New", "Repeat")</f>
        <v>Repeat</v>
      </c>
      <c r="H3756" t="s">
        <v>167</v>
      </c>
      <c r="I3756" t="str">
        <f>INDEX(State!B:B,MATCH(OrdersTable[[#This Row],[State]],State!A:A,0))</f>
        <v>KA</v>
      </c>
      <c r="J3756" t="str">
        <f>INDEX(State!C:C,MATCH(OrdersTable[[#This Row],[State Code]],State!B:B,0))</f>
        <v>South</v>
      </c>
      <c r="K3756" t="s">
        <v>190</v>
      </c>
      <c r="L3756" t="s">
        <v>39</v>
      </c>
      <c r="M3756" t="s">
        <v>34</v>
      </c>
      <c r="N3756" t="str">
        <f>INDEX(Products!B:B,MATCH(OrdersTable[[#This Row],[Product ID]],Products!A:A,0))</f>
        <v>Flip Flops</v>
      </c>
      <c r="O3756" t="str">
        <f>INDEX(Products!C:C,MATCH(OrdersTable[[#This Row],[Product ID]],Products!A:A,0))</f>
        <v>Footwear</v>
      </c>
      <c r="P3756">
        <v>1</v>
      </c>
      <c r="Q3756" s="5">
        <v>399</v>
      </c>
      <c r="R3756" s="74">
        <v>0.1</v>
      </c>
      <c r="S3756" s="75">
        <f>OrdersTable[[#This Row],[Quantity]]*OrdersTable[[#This Row],[Unit Price]]</f>
        <v>399</v>
      </c>
      <c r="T3756" s="5">
        <f>OrdersTable[[#This Row],[Gross Sale]]*OrdersTable[[#This Row],[Discount_Clean2]]</f>
        <v>39.900000000000006</v>
      </c>
      <c r="U3756" s="5">
        <f>OrdersTable[[#This Row],[Gross Sale]]-OrdersTable[[#This Row],[Discount Amount]]</f>
        <v>359.1</v>
      </c>
      <c r="V3756" s="77">
        <f>INDEX(Products!E:E,MATCH(OrdersTable[[#This Row],[Product ID]],Products!A:A,0))</f>
        <v>152</v>
      </c>
      <c r="W3756" s="77">
        <f>OrdersTable[[#This Row],[Quantity]]*OrdersTable[[#This Row],[Unit Cost]]</f>
        <v>152</v>
      </c>
      <c r="X3756" s="77">
        <f>'Dropdown Lists'!$I$2*(1+OrdersTable[[#This Row],[Returned]])</f>
        <v>60</v>
      </c>
      <c r="Y3756" s="76">
        <f>OrdersTable[[#This Row],[Net Revenue]]-OrdersTable[[#This Row],[COGS]]-OrdersTable[[#This Row],[Shipping Cost]]</f>
        <v>147.10000000000002</v>
      </c>
      <c r="Z3756" s="78">
        <f>IFERROR(OrdersTable[[#This Row],[Profit]]/OrdersTable[[#This Row],[Net Revenue]],0)</f>
        <v>0.40963519910888335</v>
      </c>
      <c r="AA3756" t="s">
        <v>18</v>
      </c>
      <c r="AB3756" s="79">
        <v>45899</v>
      </c>
      <c r="AC3756">
        <f>OrdersTable[[#This Row],[Delivery Date]]-OrdersTable[[#This Row],[Order Date]]</f>
        <v>2</v>
      </c>
      <c r="AD3756" t="str">
        <f>IF(OrdersTable[[#This Row],[Delivery Days]]&lt;=2, "Express (≤2d)", IF(OrdersTable[[#This Row],[Delivery Days]]&lt;=4, "Standard (3-4d)", "Delayed (5d+)"))</f>
        <v>Express (≤2d)</v>
      </c>
      <c r="AF3756">
        <v>0</v>
      </c>
    </row>
    <row r="3757" spans="1:32" ht="15" x14ac:dyDescent="0.35">
      <c r="A3757" t="s">
        <v>857</v>
      </c>
      <c r="B3757" s="1">
        <v>45897</v>
      </c>
      <c r="C3757">
        <f>YEAR(OrdersTable[[#This Row],[Order Date]])</f>
        <v>2025</v>
      </c>
      <c r="D3757" s="2">
        <f>DATE(YEAR(OrdersTable[[#This Row],[Order Date]]),MONTH(OrdersTable[[#This Row],[Order Date]]),1)</f>
        <v>45870</v>
      </c>
      <c r="E3757">
        <f>MONTH(OrdersTable[[#This Row],[Order Date]])</f>
        <v>8</v>
      </c>
      <c r="F3757" t="s">
        <v>858</v>
      </c>
      <c r="G3757" t="str">
        <f>IF(OrdersTable[[#This Row],[Order Date]]=_xlfn.MINIFS(Order_Date, Customer_ID, OrdersTable[[#This Row],[Customer ID]]), "New", "Repeat")</f>
        <v>Repeat</v>
      </c>
      <c r="H3757" t="s">
        <v>316</v>
      </c>
      <c r="I3757" t="str">
        <f>INDEX(State!B:B,MATCH(OrdersTable[[#This Row],[State]],State!A:A,0))</f>
        <v>KL</v>
      </c>
      <c r="J3757" t="str">
        <f>INDEX(State!C:C,MATCH(OrdersTable[[#This Row],[State Code]],State!B:B,0))</f>
        <v>South</v>
      </c>
      <c r="K3757" t="s">
        <v>317</v>
      </c>
      <c r="L3757" t="s">
        <v>16</v>
      </c>
      <c r="M3757" t="s">
        <v>17</v>
      </c>
      <c r="N3757" t="str">
        <f>INDEX(Products!B:B,MATCH(OrdersTable[[#This Row],[Product ID]],Products!A:A,0))</f>
        <v>Casual Sneakers</v>
      </c>
      <c r="O3757" t="str">
        <f>INDEX(Products!C:C,MATCH(OrdersTable[[#This Row],[Product ID]],Products!A:A,0))</f>
        <v>Footwear</v>
      </c>
      <c r="P3757">
        <v>1</v>
      </c>
      <c r="Q3757" s="5">
        <v>2199</v>
      </c>
      <c r="R3757" s="74">
        <v>0.15</v>
      </c>
      <c r="S3757" s="75">
        <f>OrdersTable[[#This Row],[Quantity]]*OrdersTable[[#This Row],[Unit Price]]</f>
        <v>2199</v>
      </c>
      <c r="T3757" s="5">
        <f>OrdersTable[[#This Row],[Gross Sale]]*OrdersTable[[#This Row],[Discount_Clean2]]</f>
        <v>329.84999999999997</v>
      </c>
      <c r="U3757" s="5">
        <f>OrdersTable[[#This Row],[Gross Sale]]-OrdersTable[[#This Row],[Discount Amount]]</f>
        <v>1869.15</v>
      </c>
      <c r="V3757" s="77">
        <f>INDEX(Products!E:E,MATCH(OrdersTable[[#This Row],[Product ID]],Products!A:A,0))</f>
        <v>1034</v>
      </c>
      <c r="W3757" s="77">
        <f>OrdersTable[[#This Row],[Quantity]]*OrdersTable[[#This Row],[Unit Cost]]</f>
        <v>1034</v>
      </c>
      <c r="X3757" s="77">
        <f>'Dropdown Lists'!$I$2*(1+OrdersTable[[#This Row],[Returned]])</f>
        <v>60</v>
      </c>
      <c r="Y3757" s="76">
        <f>OrdersTable[[#This Row],[Net Revenue]]-OrdersTable[[#This Row],[COGS]]-OrdersTable[[#This Row],[Shipping Cost]]</f>
        <v>775.15000000000009</v>
      </c>
      <c r="Z3757" s="78">
        <f>IFERROR(OrdersTable[[#This Row],[Profit]]/OrdersTable[[#This Row],[Net Revenue]],0)</f>
        <v>0.41470721985929437</v>
      </c>
      <c r="AA3757" t="s">
        <v>18</v>
      </c>
      <c r="AB3757" s="79">
        <v>45901</v>
      </c>
      <c r="AC3757">
        <f>OrdersTable[[#This Row],[Delivery Date]]-OrdersTable[[#This Row],[Order Date]]</f>
        <v>4</v>
      </c>
      <c r="AD3757" t="str">
        <f>IF(OrdersTable[[#This Row],[Delivery Days]]&lt;=2, "Express (≤2d)", IF(OrdersTable[[#This Row],[Delivery Days]]&lt;=4, "Standard (3-4d)", "Delayed (5d+)"))</f>
        <v>Standard (3-4d)</v>
      </c>
      <c r="AE3757">
        <v>4</v>
      </c>
      <c r="AF3757">
        <v>0</v>
      </c>
    </row>
    <row r="3758" spans="1:32" ht="15" x14ac:dyDescent="0.35">
      <c r="A3758" t="s">
        <v>859</v>
      </c>
      <c r="B3758" s="1">
        <v>45898</v>
      </c>
      <c r="C3758">
        <f>YEAR(OrdersTable[[#This Row],[Order Date]])</f>
        <v>2025</v>
      </c>
      <c r="D3758" s="2">
        <f>DATE(YEAR(OrdersTable[[#This Row],[Order Date]]),MONTH(OrdersTable[[#This Row],[Order Date]]),1)</f>
        <v>45870</v>
      </c>
      <c r="E3758">
        <f>MONTH(OrdersTable[[#This Row],[Order Date]])</f>
        <v>8</v>
      </c>
      <c r="F3758" t="s">
        <v>860</v>
      </c>
      <c r="G3758" t="str">
        <f>IF(OrdersTable[[#This Row],[Order Date]]=_xlfn.MINIFS(Order_Date, Customer_ID, OrdersTable[[#This Row],[Customer ID]]), "New", "Repeat")</f>
        <v>New</v>
      </c>
      <c r="H3758" t="s">
        <v>48</v>
      </c>
      <c r="I3758" t="str">
        <f>INDEX(State!B:B,MATCH(OrdersTable[[#This Row],[State]],State!A:A,0))</f>
        <v>HR</v>
      </c>
      <c r="J3758" t="str">
        <f>INDEX(State!C:C,MATCH(OrdersTable[[#This Row],[State Code]],State!B:B,0))</f>
        <v>North</v>
      </c>
      <c r="K3758" t="s">
        <v>151</v>
      </c>
      <c r="L3758" t="s">
        <v>39</v>
      </c>
      <c r="M3758" t="s">
        <v>87</v>
      </c>
      <c r="N3758" t="str">
        <f>INDEX(Products!B:B,MATCH(OrdersTable[[#This Row],[Product ID]],Products!A:A,0))</f>
        <v>Linen Kurta</v>
      </c>
      <c r="O3758" t="str">
        <f>INDEX(Products!C:C,MATCH(OrdersTable[[#This Row],[Product ID]],Products!A:A,0))</f>
        <v>Apparel</v>
      </c>
      <c r="P3758">
        <v>1</v>
      </c>
      <c r="Q3758" s="5">
        <v>1499</v>
      </c>
      <c r="R3758" s="74">
        <v>0.25</v>
      </c>
      <c r="S3758" s="75">
        <f>OrdersTable[[#This Row],[Quantity]]*OrdersTable[[#This Row],[Unit Price]]</f>
        <v>1499</v>
      </c>
      <c r="T3758" s="5">
        <f>OrdersTable[[#This Row],[Gross Sale]]*OrdersTable[[#This Row],[Discount_Clean2]]</f>
        <v>374.75</v>
      </c>
      <c r="U3758" s="5">
        <f>OrdersTable[[#This Row],[Gross Sale]]-OrdersTable[[#This Row],[Discount Amount]]</f>
        <v>1124.25</v>
      </c>
      <c r="V3758" s="77">
        <f>INDEX(Products!E:E,MATCH(OrdersTable[[#This Row],[Product ID]],Products!A:A,0))</f>
        <v>630</v>
      </c>
      <c r="W3758" s="77">
        <f>OrdersTable[[#This Row],[Quantity]]*OrdersTable[[#This Row],[Unit Cost]]</f>
        <v>630</v>
      </c>
      <c r="X3758" s="77">
        <f>'Dropdown Lists'!$I$2*(1+OrdersTable[[#This Row],[Returned]])</f>
        <v>60</v>
      </c>
      <c r="Y3758" s="76">
        <f>OrdersTable[[#This Row],[Net Revenue]]-OrdersTable[[#This Row],[COGS]]-OrdersTable[[#This Row],[Shipping Cost]]</f>
        <v>434.25</v>
      </c>
      <c r="Z3758" s="78">
        <f>IFERROR(OrdersTable[[#This Row],[Profit]]/OrdersTable[[#This Row],[Net Revenue]],0)</f>
        <v>0.38625750500333556</v>
      </c>
      <c r="AA3758" t="s">
        <v>18</v>
      </c>
      <c r="AB3758" s="79">
        <v>45902</v>
      </c>
      <c r="AC3758">
        <f>OrdersTable[[#This Row],[Delivery Date]]-OrdersTable[[#This Row],[Order Date]]</f>
        <v>4</v>
      </c>
      <c r="AD3758" t="str">
        <f>IF(OrdersTable[[#This Row],[Delivery Days]]&lt;=2, "Express (≤2d)", IF(OrdersTable[[#This Row],[Delivery Days]]&lt;=4, "Standard (3-4d)", "Delayed (5d+)"))</f>
        <v>Standard (3-4d)</v>
      </c>
      <c r="AE3758">
        <v>4</v>
      </c>
      <c r="AF3758">
        <v>0</v>
      </c>
    </row>
    <row r="3759" spans="1:32" ht="15" x14ac:dyDescent="0.35">
      <c r="A3759" t="s">
        <v>7023</v>
      </c>
      <c r="B3759" s="1">
        <v>45898</v>
      </c>
      <c r="C3759">
        <f>YEAR(OrdersTable[[#This Row],[Order Date]])</f>
        <v>2025</v>
      </c>
      <c r="D3759" s="2">
        <f>DATE(YEAR(OrdersTable[[#This Row],[Order Date]]),MONTH(OrdersTable[[#This Row],[Order Date]]),1)</f>
        <v>45870</v>
      </c>
      <c r="E3759">
        <f>MONTH(OrdersTable[[#This Row],[Order Date]])</f>
        <v>8</v>
      </c>
      <c r="F3759" t="s">
        <v>2571</v>
      </c>
      <c r="G3759" t="str">
        <f>IF(OrdersTable[[#This Row],[Order Date]]=_xlfn.MINIFS(Order_Date, Customer_ID, OrdersTable[[#This Row],[Customer ID]]), "New", "Repeat")</f>
        <v>Repeat</v>
      </c>
      <c r="H3759" t="s">
        <v>76</v>
      </c>
      <c r="I3759" t="str">
        <f>INDEX(State!B:B,MATCH(OrdersTable[[#This Row],[State]],State!A:A,0))</f>
        <v>UP</v>
      </c>
      <c r="J3759" t="str">
        <f>INDEX(State!C:C,MATCH(OrdersTable[[#This Row],[State Code]],State!B:B,0))</f>
        <v>North</v>
      </c>
      <c r="K3759" t="s">
        <v>105</v>
      </c>
      <c r="L3759" t="s">
        <v>65</v>
      </c>
      <c r="M3759" t="s">
        <v>40</v>
      </c>
      <c r="N3759" t="str">
        <f>INDEX(Products!B:B,MATCH(OrdersTable[[#This Row],[Product ID]],Products!A:A,0))</f>
        <v>Ashwagandha Capsules</v>
      </c>
      <c r="O3759" t="str">
        <f>INDEX(Products!C:C,MATCH(OrdersTable[[#This Row],[Product ID]],Products!A:A,0))</f>
        <v>Wellness</v>
      </c>
      <c r="P3759">
        <v>4</v>
      </c>
      <c r="Q3759" s="5">
        <v>499</v>
      </c>
      <c r="R3759" s="74">
        <v>0</v>
      </c>
      <c r="S3759" s="75">
        <f>OrdersTable[[#This Row],[Quantity]]*OrdersTable[[#This Row],[Unit Price]]</f>
        <v>1996</v>
      </c>
      <c r="T3759" s="5">
        <f>OrdersTable[[#This Row],[Gross Sale]]*OrdersTable[[#This Row],[Discount_Clean2]]</f>
        <v>0</v>
      </c>
      <c r="U3759" s="5">
        <f>OrdersTable[[#This Row],[Gross Sale]]-OrdersTable[[#This Row],[Discount Amount]]</f>
        <v>1996</v>
      </c>
      <c r="V3759" s="77">
        <f>INDEX(Products!E:E,MATCH(OrdersTable[[#This Row],[Product ID]],Products!A:A,0))</f>
        <v>150</v>
      </c>
      <c r="W3759" s="77">
        <f>OrdersTable[[#This Row],[Quantity]]*OrdersTable[[#This Row],[Unit Cost]]</f>
        <v>600</v>
      </c>
      <c r="X3759" s="77">
        <f>'Dropdown Lists'!$I$2*(1+OrdersTable[[#This Row],[Returned]])</f>
        <v>60</v>
      </c>
      <c r="Y3759" s="76">
        <f>OrdersTable[[#This Row],[Net Revenue]]-OrdersTable[[#This Row],[COGS]]-OrdersTable[[#This Row],[Shipping Cost]]</f>
        <v>1336</v>
      </c>
      <c r="Z3759" s="78">
        <f>IFERROR(OrdersTable[[#This Row],[Profit]]/OrdersTable[[#This Row],[Net Revenue]],0)</f>
        <v>0.66933867735470942</v>
      </c>
      <c r="AA3759" t="s">
        <v>2522</v>
      </c>
      <c r="AB3759" s="79">
        <v>45901</v>
      </c>
      <c r="AC3759">
        <f>OrdersTable[[#This Row],[Delivery Date]]-OrdersTable[[#This Row],[Order Date]]</f>
        <v>3</v>
      </c>
      <c r="AD3759" t="str">
        <f>IF(OrdersTable[[#This Row],[Delivery Days]]&lt;=2, "Express (≤2d)", IF(OrdersTable[[#This Row],[Delivery Days]]&lt;=4, "Standard (3-4d)", "Delayed (5d+)"))</f>
        <v>Standard (3-4d)</v>
      </c>
      <c r="AF3759">
        <v>0</v>
      </c>
    </row>
    <row r="3760" spans="1:32" ht="15" x14ac:dyDescent="0.35">
      <c r="A3760" t="s">
        <v>2021</v>
      </c>
      <c r="B3760" s="1">
        <v>45898</v>
      </c>
      <c r="C3760">
        <f>YEAR(OrdersTable[[#This Row],[Order Date]])</f>
        <v>2025</v>
      </c>
      <c r="D3760" s="2">
        <f>DATE(YEAR(OrdersTable[[#This Row],[Order Date]]),MONTH(OrdersTable[[#This Row],[Order Date]]),1)</f>
        <v>45870</v>
      </c>
      <c r="E3760">
        <f>MONTH(OrdersTable[[#This Row],[Order Date]])</f>
        <v>8</v>
      </c>
      <c r="F3760" t="s">
        <v>58</v>
      </c>
      <c r="G3760" t="str">
        <f>IF(OrdersTable[[#This Row],[Order Date]]=_xlfn.MINIFS(Order_Date, Customer_ID, OrdersTable[[#This Row],[Customer ID]]), "New", "Repeat")</f>
        <v>Repeat</v>
      </c>
      <c r="H3760" t="s">
        <v>95</v>
      </c>
      <c r="I3760" t="str">
        <f>INDEX(State!B:B,MATCH(OrdersTable[[#This Row],[State]],State!A:A,0))</f>
        <v>TG</v>
      </c>
      <c r="J3760" t="str">
        <f>INDEX(State!C:C,MATCH(OrdersTable[[#This Row],[State Code]],State!B:B,0))</f>
        <v>South</v>
      </c>
      <c r="K3760" t="s">
        <v>96</v>
      </c>
      <c r="L3760" t="s">
        <v>23</v>
      </c>
      <c r="M3760" t="s">
        <v>106</v>
      </c>
      <c r="N3760" t="str">
        <f>INDEX(Products!B:B,MATCH(OrdersTable[[#This Row],[Product ID]],Products!A:A,0))</f>
        <v>Keratin Hair Mask</v>
      </c>
      <c r="O3760" t="str">
        <f>INDEX(Products!C:C,MATCH(OrdersTable[[#This Row],[Product ID]],Products!A:A,0))</f>
        <v>Haircare</v>
      </c>
      <c r="P3760">
        <v>1</v>
      </c>
      <c r="Q3760" s="5">
        <v>549</v>
      </c>
      <c r="R3760" s="74">
        <v>0.2</v>
      </c>
      <c r="S3760" s="75">
        <f>OrdersTable[[#This Row],[Quantity]]*OrdersTable[[#This Row],[Unit Price]]</f>
        <v>549</v>
      </c>
      <c r="T3760" s="5">
        <f>OrdersTable[[#This Row],[Gross Sale]]*OrdersTable[[#This Row],[Discount_Clean2]]</f>
        <v>109.80000000000001</v>
      </c>
      <c r="U3760" s="5">
        <f>OrdersTable[[#This Row],[Gross Sale]]-OrdersTable[[#This Row],[Discount Amount]]</f>
        <v>439.2</v>
      </c>
      <c r="V3760" s="77">
        <f>INDEX(Products!E:E,MATCH(OrdersTable[[#This Row],[Product ID]],Products!A:A,0))</f>
        <v>170</v>
      </c>
      <c r="W3760" s="77">
        <f>OrdersTable[[#This Row],[Quantity]]*OrdersTable[[#This Row],[Unit Cost]]</f>
        <v>170</v>
      </c>
      <c r="X3760" s="77">
        <f>'Dropdown Lists'!$I$2*(1+OrdersTable[[#This Row],[Returned]])</f>
        <v>60</v>
      </c>
      <c r="Y3760" s="76">
        <f>OrdersTable[[#This Row],[Net Revenue]]-OrdersTable[[#This Row],[COGS]]-OrdersTable[[#This Row],[Shipping Cost]]</f>
        <v>209.2</v>
      </c>
      <c r="Z3760" s="78">
        <f>IFERROR(OrdersTable[[#This Row],[Profit]]/OrdersTable[[#This Row],[Net Revenue]],0)</f>
        <v>0.47632058287795992</v>
      </c>
      <c r="AA3760" t="s">
        <v>18</v>
      </c>
      <c r="AB3760" s="79">
        <v>45901</v>
      </c>
      <c r="AC3760">
        <f>OrdersTable[[#This Row],[Delivery Date]]-OrdersTable[[#This Row],[Order Date]]</f>
        <v>3</v>
      </c>
      <c r="AD3760" t="str">
        <f>IF(OrdersTable[[#This Row],[Delivery Days]]&lt;=2, "Express (≤2d)", IF(OrdersTable[[#This Row],[Delivery Days]]&lt;=4, "Standard (3-4d)", "Delayed (5d+)"))</f>
        <v>Standard (3-4d)</v>
      </c>
      <c r="AE3760">
        <v>3</v>
      </c>
      <c r="AF3760">
        <v>0</v>
      </c>
    </row>
    <row r="3761" spans="1:32" ht="15" x14ac:dyDescent="0.35">
      <c r="A3761" t="s">
        <v>3098</v>
      </c>
      <c r="B3761" s="1">
        <v>45898</v>
      </c>
      <c r="C3761">
        <f>YEAR(OrdersTable[[#This Row],[Order Date]])</f>
        <v>2025</v>
      </c>
      <c r="D3761" s="2">
        <f>DATE(YEAR(OrdersTable[[#This Row],[Order Date]]),MONTH(OrdersTable[[#This Row],[Order Date]]),1)</f>
        <v>45870</v>
      </c>
      <c r="E3761">
        <f>MONTH(OrdersTable[[#This Row],[Order Date]])</f>
        <v>8</v>
      </c>
      <c r="F3761" t="s">
        <v>3099</v>
      </c>
      <c r="G3761" t="str">
        <f>IF(OrdersTable[[#This Row],[Order Date]]=_xlfn.MINIFS(Order_Date, Customer_ID, OrdersTable[[#This Row],[Customer ID]]), "New", "Repeat")</f>
        <v>New</v>
      </c>
      <c r="H3761" t="s">
        <v>167</v>
      </c>
      <c r="I3761" t="str">
        <f>INDEX(State!B:B,MATCH(OrdersTable[[#This Row],[State]],State!A:A,0))</f>
        <v>KA</v>
      </c>
      <c r="J3761" t="str">
        <f>INDEX(State!C:C,MATCH(OrdersTable[[#This Row],[State Code]],State!B:B,0))</f>
        <v>South</v>
      </c>
      <c r="K3761" t="s">
        <v>190</v>
      </c>
      <c r="L3761" t="s">
        <v>16</v>
      </c>
      <c r="M3761" t="s">
        <v>17</v>
      </c>
      <c r="N3761" t="str">
        <f>INDEX(Products!B:B,MATCH(OrdersTable[[#This Row],[Product ID]],Products!A:A,0))</f>
        <v>Casual Sneakers</v>
      </c>
      <c r="O3761" t="str">
        <f>INDEX(Products!C:C,MATCH(OrdersTable[[#This Row],[Product ID]],Products!A:A,0))</f>
        <v>Footwear</v>
      </c>
      <c r="P3761">
        <v>1</v>
      </c>
      <c r="Q3761" s="5">
        <v>2199</v>
      </c>
      <c r="R3761" s="74">
        <v>0.2</v>
      </c>
      <c r="S3761" s="75">
        <f>OrdersTable[[#This Row],[Quantity]]*OrdersTable[[#This Row],[Unit Price]]</f>
        <v>2199</v>
      </c>
      <c r="T3761" s="5">
        <f>OrdersTable[[#This Row],[Gross Sale]]*OrdersTable[[#This Row],[Discount_Clean2]]</f>
        <v>439.8</v>
      </c>
      <c r="U3761" s="5">
        <f>OrdersTable[[#This Row],[Gross Sale]]-OrdersTable[[#This Row],[Discount Amount]]</f>
        <v>1759.2</v>
      </c>
      <c r="V3761" s="77">
        <f>INDEX(Products!E:E,MATCH(OrdersTable[[#This Row],[Product ID]],Products!A:A,0))</f>
        <v>1034</v>
      </c>
      <c r="W3761" s="77">
        <f>OrdersTable[[#This Row],[Quantity]]*OrdersTable[[#This Row],[Unit Cost]]</f>
        <v>1034</v>
      </c>
      <c r="X3761" s="77">
        <f>'Dropdown Lists'!$I$2*(1+OrdersTable[[#This Row],[Returned]])</f>
        <v>60</v>
      </c>
      <c r="Y3761" s="76">
        <f>OrdersTable[[#This Row],[Net Revenue]]-OrdersTable[[#This Row],[COGS]]-OrdersTable[[#This Row],[Shipping Cost]]</f>
        <v>665.2</v>
      </c>
      <c r="Z3761" s="78">
        <f>IFERROR(OrdersTable[[#This Row],[Profit]]/OrdersTable[[#This Row],[Net Revenue]],0)</f>
        <v>0.37812642110050027</v>
      </c>
      <c r="AA3761" t="s">
        <v>2522</v>
      </c>
      <c r="AB3761" s="79">
        <v>45900</v>
      </c>
      <c r="AC3761">
        <f>OrdersTable[[#This Row],[Delivery Date]]-OrdersTable[[#This Row],[Order Date]]</f>
        <v>2</v>
      </c>
      <c r="AD3761" t="str">
        <f>IF(OrdersTable[[#This Row],[Delivery Days]]&lt;=2, "Express (≤2d)", IF(OrdersTable[[#This Row],[Delivery Days]]&lt;=4, "Standard (3-4d)", "Delayed (5d+)"))</f>
        <v>Express (≤2d)</v>
      </c>
      <c r="AF3761">
        <v>0</v>
      </c>
    </row>
    <row r="3762" spans="1:32" ht="15" x14ac:dyDescent="0.35">
      <c r="A3762" t="s">
        <v>1013</v>
      </c>
      <c r="B3762" s="1">
        <v>45899</v>
      </c>
      <c r="C3762">
        <f>YEAR(OrdersTable[[#This Row],[Order Date]])</f>
        <v>2025</v>
      </c>
      <c r="D3762" s="2">
        <f>DATE(YEAR(OrdersTable[[#This Row],[Order Date]]),MONTH(OrdersTable[[#This Row],[Order Date]]),1)</f>
        <v>45870</v>
      </c>
      <c r="E3762">
        <f>MONTH(OrdersTable[[#This Row],[Order Date]])</f>
        <v>8</v>
      </c>
      <c r="F3762" t="s">
        <v>1014</v>
      </c>
      <c r="G3762" t="str">
        <f>IF(OrdersTable[[#This Row],[Order Date]]=_xlfn.MINIFS(Order_Date, Customer_ID, OrdersTable[[#This Row],[Customer ID]]), "New", "Repeat")</f>
        <v>Repeat</v>
      </c>
      <c r="H3762" t="s">
        <v>184</v>
      </c>
      <c r="I3762" t="str">
        <f>INDEX(State!B:B,MATCH(OrdersTable[[#This Row],[State]],State!A:A,0))</f>
        <v>UK</v>
      </c>
      <c r="J3762" t="str">
        <f>INDEX(State!C:C,MATCH(OrdersTable[[#This Row],[State Code]],State!B:B,0))</f>
        <v>North</v>
      </c>
      <c r="K3762" t="s">
        <v>185</v>
      </c>
      <c r="L3762" t="s">
        <v>23</v>
      </c>
      <c r="M3762" t="s">
        <v>56</v>
      </c>
      <c r="N3762" t="str">
        <f>INDEX(Products!B:B,MATCH(OrdersTable[[#This Row],[Product ID]],Products!A:A,0))</f>
        <v>Vitamin C Face Serum</v>
      </c>
      <c r="O3762" t="str">
        <f>INDEX(Products!C:C,MATCH(OrdersTable[[#This Row],[Product ID]],Products!A:A,0))</f>
        <v>Skincare</v>
      </c>
      <c r="P3762">
        <v>1</v>
      </c>
      <c r="Q3762" s="5">
        <v>599</v>
      </c>
      <c r="R3762" s="74">
        <v>0.2</v>
      </c>
      <c r="S3762" s="75">
        <f>OrdersTable[[#This Row],[Quantity]]*OrdersTable[[#This Row],[Unit Price]]</f>
        <v>599</v>
      </c>
      <c r="T3762" s="5">
        <f>OrdersTable[[#This Row],[Gross Sale]]*OrdersTable[[#This Row],[Discount_Clean2]]</f>
        <v>119.80000000000001</v>
      </c>
      <c r="U3762" s="5">
        <f>OrdersTable[[#This Row],[Gross Sale]]-OrdersTable[[#This Row],[Discount Amount]]</f>
        <v>479.2</v>
      </c>
      <c r="V3762" s="77">
        <f>INDEX(Products!E:E,MATCH(OrdersTable[[#This Row],[Product ID]],Products!A:A,0))</f>
        <v>180</v>
      </c>
      <c r="W3762" s="77">
        <f>OrdersTable[[#This Row],[Quantity]]*OrdersTable[[#This Row],[Unit Cost]]</f>
        <v>180</v>
      </c>
      <c r="X3762" s="77">
        <f>'Dropdown Lists'!$I$2*(1+OrdersTable[[#This Row],[Returned]])</f>
        <v>60</v>
      </c>
      <c r="Y3762" s="76">
        <f>OrdersTable[[#This Row],[Net Revenue]]-OrdersTable[[#This Row],[COGS]]-OrdersTable[[#This Row],[Shipping Cost]]</f>
        <v>239.2</v>
      </c>
      <c r="Z3762" s="78">
        <f>IFERROR(OrdersTable[[#This Row],[Profit]]/OrdersTable[[#This Row],[Net Revenue]],0)</f>
        <v>0.4991652754590985</v>
      </c>
      <c r="AA3762" t="s">
        <v>18</v>
      </c>
      <c r="AB3762" s="79">
        <v>45904</v>
      </c>
      <c r="AC3762">
        <f>OrdersTable[[#This Row],[Delivery Date]]-OrdersTable[[#This Row],[Order Date]]</f>
        <v>5</v>
      </c>
      <c r="AD3762" t="str">
        <f>IF(OrdersTable[[#This Row],[Delivery Days]]&lt;=2, "Express (≤2d)", IF(OrdersTable[[#This Row],[Delivery Days]]&lt;=4, "Standard (3-4d)", "Delayed (5d+)"))</f>
        <v>Delayed (5d+)</v>
      </c>
      <c r="AE3762">
        <v>4</v>
      </c>
      <c r="AF3762">
        <v>0</v>
      </c>
    </row>
    <row r="3763" spans="1:32" ht="15" x14ac:dyDescent="0.35">
      <c r="A3763" t="s">
        <v>4849</v>
      </c>
      <c r="B3763" s="1">
        <v>45899</v>
      </c>
      <c r="C3763">
        <f>YEAR(OrdersTable[[#This Row],[Order Date]])</f>
        <v>2025</v>
      </c>
      <c r="D3763" s="2">
        <f>DATE(YEAR(OrdersTable[[#This Row],[Order Date]]),MONTH(OrdersTable[[#This Row],[Order Date]]),1)</f>
        <v>45870</v>
      </c>
      <c r="E3763">
        <f>MONTH(OrdersTable[[#This Row],[Order Date]])</f>
        <v>8</v>
      </c>
      <c r="F3763" t="s">
        <v>244</v>
      </c>
      <c r="G3763" t="str">
        <f>IF(OrdersTable[[#This Row],[Order Date]]=_xlfn.MINIFS(Order_Date, Customer_ID, OrdersTable[[#This Row],[Customer ID]]), "New", "Repeat")</f>
        <v>Repeat</v>
      </c>
      <c r="H3763" t="s">
        <v>37</v>
      </c>
      <c r="I3763" t="str">
        <f>INDEX(State!B:B,MATCH(OrdersTable[[#This Row],[State]],State!A:A,0))</f>
        <v>GJ</v>
      </c>
      <c r="J3763" t="str">
        <f>INDEX(State!C:C,MATCH(OrdersTable[[#This Row],[State Code]],State!B:B,0))</f>
        <v>West</v>
      </c>
      <c r="K3763" t="s">
        <v>38</v>
      </c>
      <c r="L3763" t="s">
        <v>65</v>
      </c>
      <c r="M3763" t="s">
        <v>56</v>
      </c>
      <c r="N3763" t="str">
        <f>INDEX(Products!B:B,MATCH(OrdersTable[[#This Row],[Product ID]],Products!A:A,0))</f>
        <v>Vitamin C Face Serum</v>
      </c>
      <c r="O3763" t="str">
        <f>INDEX(Products!C:C,MATCH(OrdersTable[[#This Row],[Product ID]],Products!A:A,0))</f>
        <v>Skincare</v>
      </c>
      <c r="P3763">
        <v>2</v>
      </c>
      <c r="Q3763" s="5">
        <v>599</v>
      </c>
      <c r="R3763" s="74">
        <v>0.1</v>
      </c>
      <c r="S3763" s="75">
        <f>OrdersTable[[#This Row],[Quantity]]*OrdersTable[[#This Row],[Unit Price]]</f>
        <v>1198</v>
      </c>
      <c r="T3763" s="5">
        <f>OrdersTable[[#This Row],[Gross Sale]]*OrdersTable[[#This Row],[Discount_Clean2]]</f>
        <v>119.80000000000001</v>
      </c>
      <c r="U3763" s="5">
        <f>OrdersTable[[#This Row],[Gross Sale]]-OrdersTable[[#This Row],[Discount Amount]]</f>
        <v>1078.2</v>
      </c>
      <c r="V3763" s="77">
        <f>INDEX(Products!E:E,MATCH(OrdersTable[[#This Row],[Product ID]],Products!A:A,0))</f>
        <v>180</v>
      </c>
      <c r="W3763" s="77">
        <f>OrdersTable[[#This Row],[Quantity]]*OrdersTable[[#This Row],[Unit Cost]]</f>
        <v>360</v>
      </c>
      <c r="X3763" s="77">
        <f>'Dropdown Lists'!$I$2*(1+OrdersTable[[#This Row],[Returned]])</f>
        <v>60</v>
      </c>
      <c r="Y3763" s="76">
        <f>OrdersTable[[#This Row],[Net Revenue]]-OrdersTable[[#This Row],[COGS]]-OrdersTable[[#This Row],[Shipping Cost]]</f>
        <v>658.2</v>
      </c>
      <c r="Z3763" s="78">
        <f>IFERROR(OrdersTable[[#This Row],[Profit]]/OrdersTable[[#This Row],[Net Revenue]],0)</f>
        <v>0.6104618809126322</v>
      </c>
      <c r="AA3763" t="s">
        <v>4450</v>
      </c>
      <c r="AB3763" s="79">
        <v>45904</v>
      </c>
      <c r="AC3763">
        <f>OrdersTable[[#This Row],[Delivery Date]]-OrdersTable[[#This Row],[Order Date]]</f>
        <v>5</v>
      </c>
      <c r="AD3763" t="str">
        <f>IF(OrdersTable[[#This Row],[Delivery Days]]&lt;=2, "Express (≤2d)", IF(OrdersTable[[#This Row],[Delivery Days]]&lt;=4, "Standard (3-4d)", "Delayed (5d+)"))</f>
        <v>Delayed (5d+)</v>
      </c>
      <c r="AE3763">
        <v>3</v>
      </c>
      <c r="AF3763">
        <v>0</v>
      </c>
    </row>
    <row r="3764" spans="1:32" ht="15" x14ac:dyDescent="0.35">
      <c r="A3764" t="s">
        <v>5017</v>
      </c>
      <c r="B3764" s="1">
        <v>45899</v>
      </c>
      <c r="C3764">
        <f>YEAR(OrdersTable[[#This Row],[Order Date]])</f>
        <v>2025</v>
      </c>
      <c r="D3764" s="2">
        <f>DATE(YEAR(OrdersTable[[#This Row],[Order Date]]),MONTH(OrdersTable[[#This Row],[Order Date]]),1)</f>
        <v>45870</v>
      </c>
      <c r="E3764">
        <f>MONTH(OrdersTable[[#This Row],[Order Date]])</f>
        <v>8</v>
      </c>
      <c r="F3764" t="s">
        <v>5018</v>
      </c>
      <c r="G3764" t="str">
        <f>IF(OrdersTable[[#This Row],[Order Date]]=_xlfn.MINIFS(Order_Date, Customer_ID, OrdersTable[[#This Row],[Customer ID]]), "New", "Repeat")</f>
        <v>New</v>
      </c>
      <c r="H3764" t="s">
        <v>71</v>
      </c>
      <c r="I3764" t="str">
        <f>INDEX(State!B:B,MATCH(OrdersTable[[#This Row],[State]],State!A:A,0))</f>
        <v>MH</v>
      </c>
      <c r="J3764" t="str">
        <f>INDEX(State!C:C,MATCH(OrdersTable[[#This Row],[State Code]],State!B:B,0))</f>
        <v>West</v>
      </c>
      <c r="K3764" t="s">
        <v>72</v>
      </c>
      <c r="L3764" t="s">
        <v>23</v>
      </c>
      <c r="M3764" t="s">
        <v>40</v>
      </c>
      <c r="N3764" t="str">
        <f>INDEX(Products!B:B,MATCH(OrdersTable[[#This Row],[Product ID]],Products!A:A,0))</f>
        <v>Ashwagandha Capsules</v>
      </c>
      <c r="O3764" t="str">
        <f>INDEX(Products!C:C,MATCH(OrdersTable[[#This Row],[Product ID]],Products!A:A,0))</f>
        <v>Wellness</v>
      </c>
      <c r="P3764">
        <v>2</v>
      </c>
      <c r="Q3764" s="5">
        <v>499</v>
      </c>
      <c r="R3764" s="74">
        <v>0</v>
      </c>
      <c r="S3764" s="75">
        <f>OrdersTable[[#This Row],[Quantity]]*OrdersTable[[#This Row],[Unit Price]]</f>
        <v>998</v>
      </c>
      <c r="T3764" s="5">
        <f>OrdersTable[[#This Row],[Gross Sale]]*OrdersTable[[#This Row],[Discount_Clean2]]</f>
        <v>0</v>
      </c>
      <c r="U3764" s="5">
        <f>OrdersTable[[#This Row],[Gross Sale]]-OrdersTable[[#This Row],[Discount Amount]]</f>
        <v>998</v>
      </c>
      <c r="V3764" s="77">
        <f>INDEX(Products!E:E,MATCH(OrdersTable[[#This Row],[Product ID]],Products!A:A,0))</f>
        <v>150</v>
      </c>
      <c r="W3764" s="77">
        <f>OrdersTable[[#This Row],[Quantity]]*OrdersTable[[#This Row],[Unit Cost]]</f>
        <v>300</v>
      </c>
      <c r="X3764" s="77">
        <f>'Dropdown Lists'!$I$2*(1+OrdersTable[[#This Row],[Returned]])</f>
        <v>60</v>
      </c>
      <c r="Y3764" s="76">
        <f>OrdersTable[[#This Row],[Net Revenue]]-OrdersTable[[#This Row],[COGS]]-OrdersTable[[#This Row],[Shipping Cost]]</f>
        <v>638</v>
      </c>
      <c r="Z3764" s="78">
        <f>IFERROR(OrdersTable[[#This Row],[Profit]]/OrdersTable[[#This Row],[Net Revenue]],0)</f>
        <v>0.63927855711422843</v>
      </c>
      <c r="AA3764" t="s">
        <v>4074</v>
      </c>
      <c r="AB3764" s="79">
        <v>45901</v>
      </c>
      <c r="AC3764">
        <f>OrdersTable[[#This Row],[Delivery Date]]-OrdersTable[[#This Row],[Order Date]]</f>
        <v>2</v>
      </c>
      <c r="AD3764" t="str">
        <f>IF(OrdersTable[[#This Row],[Delivery Days]]&lt;=2, "Express (≤2d)", IF(OrdersTable[[#This Row],[Delivery Days]]&lt;=4, "Standard (3-4d)", "Delayed (5d+)"))</f>
        <v>Express (≤2d)</v>
      </c>
      <c r="AE3764">
        <v>5</v>
      </c>
      <c r="AF3764">
        <v>0</v>
      </c>
    </row>
    <row r="3765" spans="1:32" ht="15" x14ac:dyDescent="0.35">
      <c r="A3765" t="s">
        <v>3330</v>
      </c>
      <c r="B3765" s="1">
        <v>45899</v>
      </c>
      <c r="C3765">
        <f>YEAR(OrdersTable[[#This Row],[Order Date]])</f>
        <v>2025</v>
      </c>
      <c r="D3765" s="2">
        <f>DATE(YEAR(OrdersTable[[#This Row],[Order Date]]),MONTH(OrdersTable[[#This Row],[Order Date]]),1)</f>
        <v>45870</v>
      </c>
      <c r="E3765">
        <f>MONTH(OrdersTable[[#This Row],[Order Date]])</f>
        <v>8</v>
      </c>
      <c r="F3765" t="s">
        <v>2975</v>
      </c>
      <c r="G3765" t="str">
        <f>IF(OrdersTable[[#This Row],[Order Date]]=_xlfn.MINIFS(Order_Date, Customer_ID, OrdersTable[[#This Row],[Customer ID]]), "New", "Repeat")</f>
        <v>Repeat</v>
      </c>
      <c r="H3765" t="s">
        <v>167</v>
      </c>
      <c r="I3765" t="str">
        <f>INDEX(State!B:B,MATCH(OrdersTable[[#This Row],[State]],State!A:A,0))</f>
        <v>KA</v>
      </c>
      <c r="J3765" t="str">
        <f>INDEX(State!C:C,MATCH(OrdersTable[[#This Row],[State Code]],State!B:B,0))</f>
        <v>South</v>
      </c>
      <c r="K3765" t="s">
        <v>168</v>
      </c>
      <c r="L3765" t="s">
        <v>50</v>
      </c>
      <c r="M3765" t="s">
        <v>61</v>
      </c>
      <c r="N3765" t="str">
        <f>INDEX(Products!B:B,MATCH(OrdersTable[[#This Row],[Product ID]],Products!A:A,0))</f>
        <v>Multivitamin Gummies</v>
      </c>
      <c r="O3765" t="str">
        <f>INDEX(Products!C:C,MATCH(OrdersTable[[#This Row],[Product ID]],Products!A:A,0))</f>
        <v>Wellness</v>
      </c>
      <c r="P3765">
        <v>1</v>
      </c>
      <c r="Q3765" s="5">
        <v>699</v>
      </c>
      <c r="R3765" s="74">
        <v>0.25</v>
      </c>
      <c r="S3765" s="75">
        <f>OrdersTable[[#This Row],[Quantity]]*OrdersTable[[#This Row],[Unit Price]]</f>
        <v>699</v>
      </c>
      <c r="T3765" s="5">
        <f>OrdersTable[[#This Row],[Gross Sale]]*OrdersTable[[#This Row],[Discount_Clean2]]</f>
        <v>174.75</v>
      </c>
      <c r="U3765" s="5">
        <f>OrdersTable[[#This Row],[Gross Sale]]-OrdersTable[[#This Row],[Discount Amount]]</f>
        <v>524.25</v>
      </c>
      <c r="V3765" s="77">
        <f>INDEX(Products!E:E,MATCH(OrdersTable[[#This Row],[Product ID]],Products!A:A,0))</f>
        <v>238</v>
      </c>
      <c r="W3765" s="77">
        <f>OrdersTable[[#This Row],[Quantity]]*OrdersTable[[#This Row],[Unit Cost]]</f>
        <v>238</v>
      </c>
      <c r="X3765" s="77">
        <f>'Dropdown Lists'!$I$2*(1+OrdersTable[[#This Row],[Returned]])</f>
        <v>60</v>
      </c>
      <c r="Y3765" s="76">
        <f>OrdersTable[[#This Row],[Net Revenue]]-OrdersTable[[#This Row],[COGS]]-OrdersTable[[#This Row],[Shipping Cost]]</f>
        <v>226.25</v>
      </c>
      <c r="Z3765" s="78">
        <f>IFERROR(OrdersTable[[#This Row],[Profit]]/OrdersTable[[#This Row],[Net Revenue]],0)</f>
        <v>0.43156890796375774</v>
      </c>
      <c r="AA3765" t="s">
        <v>2522</v>
      </c>
      <c r="AB3765" s="79">
        <v>45900</v>
      </c>
      <c r="AC3765">
        <f>OrdersTable[[#This Row],[Delivery Date]]-OrdersTable[[#This Row],[Order Date]]</f>
        <v>1</v>
      </c>
      <c r="AD3765" t="str">
        <f>IF(OrdersTable[[#This Row],[Delivery Days]]&lt;=2, "Express (≤2d)", IF(OrdersTable[[#This Row],[Delivery Days]]&lt;=4, "Standard (3-4d)", "Delayed (5d+)"))</f>
        <v>Express (≤2d)</v>
      </c>
      <c r="AE3765">
        <v>4</v>
      </c>
      <c r="AF3765">
        <v>0</v>
      </c>
    </row>
    <row r="3766" spans="1:32" ht="15" x14ac:dyDescent="0.35">
      <c r="A3766" t="s">
        <v>1589</v>
      </c>
      <c r="B3766" s="1">
        <v>45900</v>
      </c>
      <c r="C3766">
        <f>YEAR(OrdersTable[[#This Row],[Order Date]])</f>
        <v>2025</v>
      </c>
      <c r="D3766" s="2">
        <f>DATE(YEAR(OrdersTable[[#This Row],[Order Date]]),MONTH(OrdersTable[[#This Row],[Order Date]]),1)</f>
        <v>45870</v>
      </c>
      <c r="E3766">
        <f>MONTH(OrdersTable[[#This Row],[Order Date]])</f>
        <v>8</v>
      </c>
      <c r="F3766" t="s">
        <v>1590</v>
      </c>
      <c r="G3766" t="str">
        <f>IF(OrdersTable[[#This Row],[Order Date]]=_xlfn.MINIFS(Order_Date, Customer_ID, OrdersTable[[#This Row],[Customer ID]]), "New", "Repeat")</f>
        <v>Repeat</v>
      </c>
      <c r="H3766" t="s">
        <v>21</v>
      </c>
      <c r="I3766" t="str">
        <f>INDEX(State!B:B,MATCH(OrdersTable[[#This Row],[State]],State!A:A,0))</f>
        <v>PB</v>
      </c>
      <c r="J3766" t="str">
        <f>INDEX(State!C:C,MATCH(OrdersTable[[#This Row],[State Code]],State!B:B,0))</f>
        <v>North</v>
      </c>
      <c r="K3766" t="s">
        <v>22</v>
      </c>
      <c r="L3766" t="s">
        <v>39</v>
      </c>
      <c r="M3766" t="s">
        <v>152</v>
      </c>
      <c r="N3766" t="str">
        <f>INDEX(Products!B:B,MATCH(OrdersTable[[#This Row],[Product ID]],Products!A:A,0))</f>
        <v>Green Tea (100 bags)</v>
      </c>
      <c r="O3766" t="str">
        <f>INDEX(Products!C:C,MATCH(OrdersTable[[#This Row],[Product ID]],Products!A:A,0))</f>
        <v>Wellness</v>
      </c>
      <c r="P3766">
        <v>1</v>
      </c>
      <c r="Q3766" s="5">
        <v>399</v>
      </c>
      <c r="R3766" s="74">
        <v>0.25</v>
      </c>
      <c r="S3766" s="75">
        <f>OrdersTable[[#This Row],[Quantity]]*OrdersTable[[#This Row],[Unit Price]]</f>
        <v>399</v>
      </c>
      <c r="T3766" s="5">
        <f>OrdersTable[[#This Row],[Gross Sale]]*OrdersTable[[#This Row],[Discount_Clean2]]</f>
        <v>99.75</v>
      </c>
      <c r="U3766" s="5">
        <f>OrdersTable[[#This Row],[Gross Sale]]-OrdersTable[[#This Row],[Discount Amount]]</f>
        <v>299.25</v>
      </c>
      <c r="V3766" s="77">
        <f>INDEX(Products!E:E,MATCH(OrdersTable[[#This Row],[Product ID]],Products!A:A,0))</f>
        <v>128</v>
      </c>
      <c r="W3766" s="77">
        <f>OrdersTable[[#This Row],[Quantity]]*OrdersTable[[#This Row],[Unit Cost]]</f>
        <v>128</v>
      </c>
      <c r="X3766" s="77">
        <f>'Dropdown Lists'!$I$2*(1+OrdersTable[[#This Row],[Returned]])</f>
        <v>60</v>
      </c>
      <c r="Y3766" s="76">
        <f>OrdersTable[[#This Row],[Net Revenue]]-OrdersTable[[#This Row],[COGS]]-OrdersTable[[#This Row],[Shipping Cost]]</f>
        <v>111.25</v>
      </c>
      <c r="Z3766" s="78">
        <f>IFERROR(OrdersTable[[#This Row],[Profit]]/OrdersTable[[#This Row],[Net Revenue]],0)</f>
        <v>0.37176274018379279</v>
      </c>
      <c r="AA3766" t="s">
        <v>18</v>
      </c>
      <c r="AB3766" s="79">
        <v>45904</v>
      </c>
      <c r="AC3766">
        <f>OrdersTable[[#This Row],[Delivery Date]]-OrdersTable[[#This Row],[Order Date]]</f>
        <v>4</v>
      </c>
      <c r="AD3766" t="str">
        <f>IF(OrdersTable[[#This Row],[Delivery Days]]&lt;=2, "Express (≤2d)", IF(OrdersTable[[#This Row],[Delivery Days]]&lt;=4, "Standard (3-4d)", "Delayed (5d+)"))</f>
        <v>Standard (3-4d)</v>
      </c>
      <c r="AF3766">
        <v>0</v>
      </c>
    </row>
    <row r="3767" spans="1:32" ht="15" x14ac:dyDescent="0.35">
      <c r="A3767" t="s">
        <v>6397</v>
      </c>
      <c r="B3767" s="1">
        <v>45900</v>
      </c>
      <c r="C3767">
        <f>YEAR(OrdersTable[[#This Row],[Order Date]])</f>
        <v>2025</v>
      </c>
      <c r="D3767" s="2">
        <f>DATE(YEAR(OrdersTable[[#This Row],[Order Date]]),MONTH(OrdersTable[[#This Row],[Order Date]]),1)</f>
        <v>45870</v>
      </c>
      <c r="E3767">
        <f>MONTH(OrdersTable[[#This Row],[Order Date]])</f>
        <v>8</v>
      </c>
      <c r="F3767" t="s">
        <v>6398</v>
      </c>
      <c r="G3767" t="str">
        <f>IF(OrdersTable[[#This Row],[Order Date]]=_xlfn.MINIFS(Order_Date, Customer_ID, OrdersTable[[#This Row],[Customer ID]]), "New", "Repeat")</f>
        <v>New</v>
      </c>
      <c r="H3767" t="s">
        <v>128</v>
      </c>
      <c r="I3767" t="str">
        <f>INDEX(State!B:B,MATCH(OrdersTable[[#This Row],[State]],State!A:A,0))</f>
        <v>DL</v>
      </c>
      <c r="J3767" t="str">
        <f>INDEX(State!C:C,MATCH(OrdersTable[[#This Row],[State Code]],State!B:B,0))</f>
        <v>North</v>
      </c>
      <c r="K3767" t="s">
        <v>129</v>
      </c>
      <c r="L3767" t="s">
        <v>16</v>
      </c>
      <c r="M3767" t="s">
        <v>34</v>
      </c>
      <c r="N3767" t="str">
        <f>INDEX(Products!B:B,MATCH(OrdersTable[[#This Row],[Product ID]],Products!A:A,0))</f>
        <v>Flip Flops</v>
      </c>
      <c r="O3767" t="str">
        <f>INDEX(Products!C:C,MATCH(OrdersTable[[#This Row],[Product ID]],Products!A:A,0))</f>
        <v>Footwear</v>
      </c>
      <c r="P3767">
        <v>2</v>
      </c>
      <c r="Q3767" s="5">
        <v>399</v>
      </c>
      <c r="R3767" s="74">
        <v>0.2</v>
      </c>
      <c r="S3767" s="75">
        <f>OrdersTable[[#This Row],[Quantity]]*OrdersTable[[#This Row],[Unit Price]]</f>
        <v>798</v>
      </c>
      <c r="T3767" s="5">
        <f>OrdersTable[[#This Row],[Gross Sale]]*OrdersTable[[#This Row],[Discount_Clean2]]</f>
        <v>159.60000000000002</v>
      </c>
      <c r="U3767" s="5">
        <f>OrdersTable[[#This Row],[Gross Sale]]-OrdersTable[[#This Row],[Discount Amount]]</f>
        <v>638.4</v>
      </c>
      <c r="V3767" s="77">
        <f>INDEX(Products!E:E,MATCH(OrdersTable[[#This Row],[Product ID]],Products!A:A,0))</f>
        <v>152</v>
      </c>
      <c r="W3767" s="77">
        <f>OrdersTable[[#This Row],[Quantity]]*OrdersTable[[#This Row],[Unit Cost]]</f>
        <v>304</v>
      </c>
      <c r="X3767" s="77">
        <f>'Dropdown Lists'!$I$2*(1+OrdersTable[[#This Row],[Returned]])</f>
        <v>60</v>
      </c>
      <c r="Y3767" s="76">
        <f>OrdersTable[[#This Row],[Net Revenue]]-OrdersTable[[#This Row],[COGS]]-OrdersTable[[#This Row],[Shipping Cost]]</f>
        <v>274.39999999999998</v>
      </c>
      <c r="Z3767" s="78">
        <f>IFERROR(OrdersTable[[#This Row],[Profit]]/OrdersTable[[#This Row],[Net Revenue]],0)</f>
        <v>0.42982456140350878</v>
      </c>
      <c r="AA3767" t="s">
        <v>18</v>
      </c>
      <c r="AB3767" s="79">
        <v>45903</v>
      </c>
      <c r="AC3767">
        <f>OrdersTable[[#This Row],[Delivery Date]]-OrdersTable[[#This Row],[Order Date]]</f>
        <v>3</v>
      </c>
      <c r="AD3767" t="str">
        <f>IF(OrdersTable[[#This Row],[Delivery Days]]&lt;=2, "Express (≤2d)", IF(OrdersTable[[#This Row],[Delivery Days]]&lt;=4, "Standard (3-4d)", "Delayed (5d+)"))</f>
        <v>Standard (3-4d)</v>
      </c>
      <c r="AE3767">
        <v>4</v>
      </c>
      <c r="AF3767">
        <v>0</v>
      </c>
    </row>
    <row r="3768" spans="1:32" ht="15" x14ac:dyDescent="0.35">
      <c r="A3768" t="s">
        <v>3100</v>
      </c>
      <c r="B3768" s="1">
        <v>45900</v>
      </c>
      <c r="C3768">
        <f>YEAR(OrdersTable[[#This Row],[Order Date]])</f>
        <v>2025</v>
      </c>
      <c r="D3768" s="2">
        <f>DATE(YEAR(OrdersTable[[#This Row],[Order Date]]),MONTH(OrdersTable[[#This Row],[Order Date]]),1)</f>
        <v>45870</v>
      </c>
      <c r="E3768">
        <f>MONTH(OrdersTable[[#This Row],[Order Date]])</f>
        <v>8</v>
      </c>
      <c r="F3768" t="s">
        <v>143</v>
      </c>
      <c r="G3768" t="str">
        <f>IF(OrdersTable[[#This Row],[Order Date]]=_xlfn.MINIFS(Order_Date, Customer_ID, OrdersTable[[#This Row],[Customer ID]]), "New", "Repeat")</f>
        <v>Repeat</v>
      </c>
      <c r="H3768" t="s">
        <v>71</v>
      </c>
      <c r="I3768" t="str">
        <f>INDEX(State!B:B,MATCH(OrdersTable[[#This Row],[State]],State!A:A,0))</f>
        <v>MH</v>
      </c>
      <c r="J3768" t="str">
        <f>INDEX(State!C:C,MATCH(OrdersTable[[#This Row],[State Code]],State!B:B,0))</f>
        <v>West</v>
      </c>
      <c r="K3768" t="s">
        <v>102</v>
      </c>
      <c r="L3768" t="s">
        <v>39</v>
      </c>
      <c r="M3768" t="s">
        <v>40</v>
      </c>
      <c r="N3768" t="str">
        <f>INDEX(Products!B:B,MATCH(OrdersTable[[#This Row],[Product ID]],Products!A:A,0))</f>
        <v>Ashwagandha Capsules</v>
      </c>
      <c r="O3768" t="str">
        <f>INDEX(Products!C:C,MATCH(OrdersTable[[#This Row],[Product ID]],Products!A:A,0))</f>
        <v>Wellness</v>
      </c>
      <c r="P3768">
        <v>1</v>
      </c>
      <c r="Q3768" s="5">
        <v>499</v>
      </c>
      <c r="R3768" s="74">
        <v>0.05</v>
      </c>
      <c r="S3768" s="75">
        <f>OrdersTable[[#This Row],[Quantity]]*OrdersTable[[#This Row],[Unit Price]]</f>
        <v>499</v>
      </c>
      <c r="T3768" s="5">
        <f>OrdersTable[[#This Row],[Gross Sale]]*OrdersTable[[#This Row],[Discount_Clean2]]</f>
        <v>24.950000000000003</v>
      </c>
      <c r="U3768" s="5">
        <f>OrdersTable[[#This Row],[Gross Sale]]-OrdersTable[[#This Row],[Discount Amount]]</f>
        <v>474.05</v>
      </c>
      <c r="V3768" s="77">
        <f>INDEX(Products!E:E,MATCH(OrdersTable[[#This Row],[Product ID]],Products!A:A,0))</f>
        <v>150</v>
      </c>
      <c r="W3768" s="77">
        <f>OrdersTable[[#This Row],[Quantity]]*OrdersTable[[#This Row],[Unit Cost]]</f>
        <v>150</v>
      </c>
      <c r="X3768" s="77">
        <f>'Dropdown Lists'!$I$2*(1+OrdersTable[[#This Row],[Returned]])</f>
        <v>60</v>
      </c>
      <c r="Y3768" s="76">
        <f>OrdersTable[[#This Row],[Net Revenue]]-OrdersTable[[#This Row],[COGS]]-OrdersTable[[#This Row],[Shipping Cost]]</f>
        <v>264.05</v>
      </c>
      <c r="Z3768" s="78">
        <f>IFERROR(OrdersTable[[#This Row],[Profit]]/OrdersTable[[#This Row],[Net Revenue]],0)</f>
        <v>0.55700875435080688</v>
      </c>
      <c r="AA3768" t="s">
        <v>2522</v>
      </c>
      <c r="AB3768" s="79">
        <v>45903</v>
      </c>
      <c r="AC3768">
        <f>OrdersTable[[#This Row],[Delivery Date]]-OrdersTable[[#This Row],[Order Date]]</f>
        <v>3</v>
      </c>
      <c r="AD3768" t="str">
        <f>IF(OrdersTable[[#This Row],[Delivery Days]]&lt;=2, "Express (≤2d)", IF(OrdersTable[[#This Row],[Delivery Days]]&lt;=4, "Standard (3-4d)", "Delayed (5d+)"))</f>
        <v>Standard (3-4d)</v>
      </c>
      <c r="AF3768">
        <v>0</v>
      </c>
    </row>
    <row r="3769" spans="1:32" ht="15" x14ac:dyDescent="0.35">
      <c r="A3769" t="s">
        <v>657</v>
      </c>
      <c r="B3769" s="1">
        <v>45900</v>
      </c>
      <c r="C3769">
        <f>YEAR(OrdersTable[[#This Row],[Order Date]])</f>
        <v>2025</v>
      </c>
      <c r="D3769" s="2">
        <f>DATE(YEAR(OrdersTable[[#This Row],[Order Date]]),MONTH(OrdersTable[[#This Row],[Order Date]]),1)</f>
        <v>45870</v>
      </c>
      <c r="E3769">
        <f>MONTH(OrdersTable[[#This Row],[Order Date]])</f>
        <v>8</v>
      </c>
      <c r="F3769" t="s">
        <v>658</v>
      </c>
      <c r="G3769" t="str">
        <f>IF(OrdersTable[[#This Row],[Order Date]]=_xlfn.MINIFS(Order_Date, Customer_ID, OrdersTable[[#This Row],[Customer ID]]), "New", "Repeat")</f>
        <v>New</v>
      </c>
      <c r="H3769" t="s">
        <v>71</v>
      </c>
      <c r="I3769" t="str">
        <f>INDEX(State!B:B,MATCH(OrdersTable[[#This Row],[State]],State!A:A,0))</f>
        <v>MH</v>
      </c>
      <c r="J3769" t="str">
        <f>INDEX(State!C:C,MATCH(OrdersTable[[#This Row],[State Code]],State!B:B,0))</f>
        <v>West</v>
      </c>
      <c r="K3769" t="s">
        <v>81</v>
      </c>
      <c r="L3769" t="s">
        <v>39</v>
      </c>
      <c r="M3769" t="s">
        <v>51</v>
      </c>
      <c r="N3769" t="str">
        <f>INDEX(Products!B:B,MATCH(OrdersTable[[#This Row],[Product ID]],Products!A:A,0))</f>
        <v>Anti-Dandruff Conditioner</v>
      </c>
      <c r="O3769" t="str">
        <f>INDEX(Products!C:C,MATCH(OrdersTable[[#This Row],[Product ID]],Products!A:A,0))</f>
        <v>Haircare</v>
      </c>
      <c r="P3769">
        <v>1</v>
      </c>
      <c r="Q3769" s="5">
        <v>399</v>
      </c>
      <c r="R3769" s="74">
        <v>0.35</v>
      </c>
      <c r="S3769" s="75">
        <f>OrdersTable[[#This Row],[Quantity]]*OrdersTable[[#This Row],[Unit Price]]</f>
        <v>399</v>
      </c>
      <c r="T3769" s="5">
        <f>OrdersTable[[#This Row],[Gross Sale]]*OrdersTable[[#This Row],[Discount_Clean2]]</f>
        <v>139.64999999999998</v>
      </c>
      <c r="U3769" s="5">
        <f>OrdersTable[[#This Row],[Gross Sale]]-OrdersTable[[#This Row],[Discount Amount]]</f>
        <v>259.35000000000002</v>
      </c>
      <c r="V3769" s="77">
        <f>INDEX(Products!E:E,MATCH(OrdersTable[[#This Row],[Product ID]],Products!A:A,0))</f>
        <v>136</v>
      </c>
      <c r="W3769" s="77">
        <f>OrdersTable[[#This Row],[Quantity]]*OrdersTable[[#This Row],[Unit Cost]]</f>
        <v>136</v>
      </c>
      <c r="X3769" s="77">
        <f>'Dropdown Lists'!$I$2*(1+OrdersTable[[#This Row],[Returned]])</f>
        <v>60</v>
      </c>
      <c r="Y3769" s="76">
        <f>OrdersTable[[#This Row],[Net Revenue]]-OrdersTable[[#This Row],[COGS]]-OrdersTable[[#This Row],[Shipping Cost]]</f>
        <v>63.350000000000023</v>
      </c>
      <c r="Z3769" s="78">
        <f>IFERROR(OrdersTable[[#This Row],[Profit]]/OrdersTable[[#This Row],[Net Revenue]],0)</f>
        <v>0.24426450742240222</v>
      </c>
      <c r="AA3769" t="s">
        <v>18</v>
      </c>
      <c r="AB3769" s="79">
        <v>45903</v>
      </c>
      <c r="AC3769">
        <f>OrdersTable[[#This Row],[Delivery Date]]-OrdersTable[[#This Row],[Order Date]]</f>
        <v>3</v>
      </c>
      <c r="AD3769" t="str">
        <f>IF(OrdersTable[[#This Row],[Delivery Days]]&lt;=2, "Express (≤2d)", IF(OrdersTable[[#This Row],[Delivery Days]]&lt;=4, "Standard (3-4d)", "Delayed (5d+)"))</f>
        <v>Standard (3-4d)</v>
      </c>
      <c r="AE3769">
        <v>4</v>
      </c>
      <c r="AF3769">
        <v>0</v>
      </c>
    </row>
    <row r="3770" spans="1:32" ht="15" x14ac:dyDescent="0.35">
      <c r="A3770" t="s">
        <v>3331</v>
      </c>
      <c r="B3770" s="1">
        <v>45900</v>
      </c>
      <c r="C3770">
        <f>YEAR(OrdersTable[[#This Row],[Order Date]])</f>
        <v>2025</v>
      </c>
      <c r="D3770" s="2">
        <f>DATE(YEAR(OrdersTable[[#This Row],[Order Date]]),MONTH(OrdersTable[[#This Row],[Order Date]]),1)</f>
        <v>45870</v>
      </c>
      <c r="E3770">
        <f>MONTH(OrdersTable[[#This Row],[Order Date]])</f>
        <v>8</v>
      </c>
      <c r="F3770" t="s">
        <v>3332</v>
      </c>
      <c r="G3770" t="str">
        <f>IF(OrdersTable[[#This Row],[Order Date]]=_xlfn.MINIFS(Order_Date, Customer_ID, OrdersTable[[#This Row],[Customer ID]]), "New", "Repeat")</f>
        <v>Repeat</v>
      </c>
      <c r="H3770" t="s">
        <v>167</v>
      </c>
      <c r="I3770" t="str">
        <f>INDEX(State!B:B,MATCH(OrdersTable[[#This Row],[State]],State!A:A,0))</f>
        <v>KA</v>
      </c>
      <c r="J3770" t="str">
        <f>INDEX(State!C:C,MATCH(OrdersTable[[#This Row],[State Code]],State!B:B,0))</f>
        <v>South</v>
      </c>
      <c r="K3770" t="s">
        <v>190</v>
      </c>
      <c r="L3770" t="s">
        <v>23</v>
      </c>
      <c r="M3770" t="s">
        <v>51</v>
      </c>
      <c r="N3770" t="str">
        <f>INDEX(Products!B:B,MATCH(OrdersTable[[#This Row],[Product ID]],Products!A:A,0))</f>
        <v>Anti-Dandruff Conditioner</v>
      </c>
      <c r="O3770" t="str">
        <f>INDEX(Products!C:C,MATCH(OrdersTable[[#This Row],[Product ID]],Products!A:A,0))</f>
        <v>Haircare</v>
      </c>
      <c r="P3770">
        <v>1</v>
      </c>
      <c r="Q3770" s="5">
        <v>399</v>
      </c>
      <c r="R3770" s="74">
        <v>0.35</v>
      </c>
      <c r="S3770" s="75">
        <f>OrdersTable[[#This Row],[Quantity]]*OrdersTable[[#This Row],[Unit Price]]</f>
        <v>399</v>
      </c>
      <c r="T3770" s="5">
        <f>OrdersTable[[#This Row],[Gross Sale]]*OrdersTable[[#This Row],[Discount_Clean2]]</f>
        <v>139.64999999999998</v>
      </c>
      <c r="U3770" s="5">
        <f>OrdersTable[[#This Row],[Gross Sale]]-OrdersTable[[#This Row],[Discount Amount]]</f>
        <v>259.35000000000002</v>
      </c>
      <c r="V3770" s="77">
        <f>INDEX(Products!E:E,MATCH(OrdersTable[[#This Row],[Product ID]],Products!A:A,0))</f>
        <v>136</v>
      </c>
      <c r="W3770" s="77">
        <f>OrdersTable[[#This Row],[Quantity]]*OrdersTable[[#This Row],[Unit Cost]]</f>
        <v>136</v>
      </c>
      <c r="X3770" s="77">
        <f>'Dropdown Lists'!$I$2*(1+OrdersTable[[#This Row],[Returned]])</f>
        <v>120</v>
      </c>
      <c r="Y3770" s="76">
        <f>OrdersTable[[#This Row],[Net Revenue]]-OrdersTable[[#This Row],[COGS]]-OrdersTable[[#This Row],[Shipping Cost]]</f>
        <v>3.3500000000000227</v>
      </c>
      <c r="Z3770" s="78">
        <f>IFERROR(OrdersTable[[#This Row],[Profit]]/OrdersTable[[#This Row],[Net Revenue]],0)</f>
        <v>1.2916907653749846E-2</v>
      </c>
      <c r="AA3770" t="s">
        <v>2522</v>
      </c>
      <c r="AB3770" s="79">
        <v>45903</v>
      </c>
      <c r="AC3770">
        <f>OrdersTable[[#This Row],[Delivery Date]]-OrdersTable[[#This Row],[Order Date]]</f>
        <v>3</v>
      </c>
      <c r="AD3770" t="str">
        <f>IF(OrdersTable[[#This Row],[Delivery Days]]&lt;=2, "Express (≤2d)", IF(OrdersTable[[#This Row],[Delivery Days]]&lt;=4, "Standard (3-4d)", "Delayed (5d+)"))</f>
        <v>Standard (3-4d)</v>
      </c>
      <c r="AE3770">
        <v>4</v>
      </c>
      <c r="AF3770">
        <v>1</v>
      </c>
    </row>
    <row r="3771" spans="1:32" ht="15" x14ac:dyDescent="0.35">
      <c r="A3771" t="s">
        <v>6197</v>
      </c>
      <c r="B3771" s="1">
        <v>45900</v>
      </c>
      <c r="C3771">
        <f>YEAR(OrdersTable[[#This Row],[Order Date]])</f>
        <v>2025</v>
      </c>
      <c r="D3771" s="2">
        <f>DATE(YEAR(OrdersTable[[#This Row],[Order Date]]),MONTH(OrdersTable[[#This Row],[Order Date]]),1)</f>
        <v>45870</v>
      </c>
      <c r="E3771">
        <f>MONTH(OrdersTable[[#This Row],[Order Date]])</f>
        <v>8</v>
      </c>
      <c r="F3771" t="s">
        <v>3663</v>
      </c>
      <c r="G3771" t="str">
        <f>IF(OrdersTable[[#This Row],[Order Date]]=_xlfn.MINIFS(Order_Date, Customer_ID, OrdersTable[[#This Row],[Customer ID]]), "New", "Repeat")</f>
        <v>Repeat</v>
      </c>
      <c r="H3771" t="s">
        <v>59</v>
      </c>
      <c r="I3771" t="str">
        <f>INDEX(State!B:B,MATCH(OrdersTable[[#This Row],[State]],State!A:A,0))</f>
        <v>TN</v>
      </c>
      <c r="J3771" t="str">
        <f>INDEX(State!C:C,MATCH(OrdersTable[[#This Row],[State Code]],State!B:B,0))</f>
        <v>South</v>
      </c>
      <c r="K3771" t="s">
        <v>60</v>
      </c>
      <c r="L3771" t="s">
        <v>65</v>
      </c>
      <c r="M3771" t="s">
        <v>61</v>
      </c>
      <c r="N3771" t="str">
        <f>INDEX(Products!B:B,MATCH(OrdersTable[[#This Row],[Product ID]],Products!A:A,0))</f>
        <v>Multivitamin Gummies</v>
      </c>
      <c r="O3771" t="str">
        <f>INDEX(Products!C:C,MATCH(OrdersTable[[#This Row],[Product ID]],Products!A:A,0))</f>
        <v>Wellness</v>
      </c>
      <c r="P3771">
        <v>2</v>
      </c>
      <c r="Q3771" s="5">
        <v>699</v>
      </c>
      <c r="R3771" s="74">
        <v>0.3</v>
      </c>
      <c r="S3771" s="75">
        <f>OrdersTable[[#This Row],[Quantity]]*OrdersTable[[#This Row],[Unit Price]]</f>
        <v>1398</v>
      </c>
      <c r="T3771" s="5">
        <f>OrdersTable[[#This Row],[Gross Sale]]*OrdersTable[[#This Row],[Discount_Clean2]]</f>
        <v>419.4</v>
      </c>
      <c r="U3771" s="5">
        <f>OrdersTable[[#This Row],[Gross Sale]]-OrdersTable[[#This Row],[Discount Amount]]</f>
        <v>978.6</v>
      </c>
      <c r="V3771" s="77">
        <f>INDEX(Products!E:E,MATCH(OrdersTable[[#This Row],[Product ID]],Products!A:A,0))</f>
        <v>238</v>
      </c>
      <c r="W3771" s="77">
        <f>OrdersTable[[#This Row],[Quantity]]*OrdersTable[[#This Row],[Unit Cost]]</f>
        <v>476</v>
      </c>
      <c r="X3771" s="77">
        <f>'Dropdown Lists'!$I$2*(1+OrdersTable[[#This Row],[Returned]])</f>
        <v>60</v>
      </c>
      <c r="Y3771" s="76">
        <f>OrdersTable[[#This Row],[Net Revenue]]-OrdersTable[[#This Row],[COGS]]-OrdersTable[[#This Row],[Shipping Cost]]</f>
        <v>442.6</v>
      </c>
      <c r="Z3771" s="78">
        <f>IFERROR(OrdersTable[[#This Row],[Profit]]/OrdersTable[[#This Row],[Net Revenue]],0)</f>
        <v>0.45227876558348662</v>
      </c>
      <c r="AA3771" t="s">
        <v>18</v>
      </c>
      <c r="AB3771" s="79">
        <v>45901</v>
      </c>
      <c r="AC3771">
        <f>OrdersTable[[#This Row],[Delivery Date]]-OrdersTable[[#This Row],[Order Date]]</f>
        <v>1</v>
      </c>
      <c r="AD3771" t="str">
        <f>IF(OrdersTable[[#This Row],[Delivery Days]]&lt;=2, "Express (≤2d)", IF(OrdersTable[[#This Row],[Delivery Days]]&lt;=4, "Standard (3-4d)", "Delayed (5d+)"))</f>
        <v>Express (≤2d)</v>
      </c>
      <c r="AE3771">
        <v>4</v>
      </c>
      <c r="AF3771">
        <v>0</v>
      </c>
    </row>
    <row r="3772" spans="1:32" ht="15" x14ac:dyDescent="0.35">
      <c r="A3772" t="s">
        <v>6613</v>
      </c>
      <c r="B3772" s="1">
        <v>45901</v>
      </c>
      <c r="C3772">
        <f>YEAR(OrdersTable[[#This Row],[Order Date]])</f>
        <v>2025</v>
      </c>
      <c r="D3772" s="2">
        <f>DATE(YEAR(OrdersTable[[#This Row],[Order Date]]),MONTH(OrdersTable[[#This Row],[Order Date]]),1)</f>
        <v>45901</v>
      </c>
      <c r="E3772">
        <f>MONTH(OrdersTable[[#This Row],[Order Date]])</f>
        <v>9</v>
      </c>
      <c r="F3772" t="s">
        <v>3383</v>
      </c>
      <c r="G3772" t="str">
        <f>IF(OrdersTable[[#This Row],[Order Date]]=_xlfn.MINIFS(Order_Date, Customer_ID, OrdersTable[[#This Row],[Customer ID]]), "New", "Repeat")</f>
        <v>Repeat</v>
      </c>
      <c r="H3772" t="s">
        <v>210</v>
      </c>
      <c r="I3772" t="str">
        <f>INDEX(State!B:B,MATCH(OrdersTable[[#This Row],[State]],State!A:A,0))</f>
        <v>JK</v>
      </c>
      <c r="J3772" t="str">
        <f>INDEX(State!C:C,MATCH(OrdersTable[[#This Row],[State Code]],State!B:B,0))</f>
        <v>North</v>
      </c>
      <c r="K3772" t="s">
        <v>211</v>
      </c>
      <c r="L3772" t="s">
        <v>65</v>
      </c>
      <c r="M3772" t="s">
        <v>66</v>
      </c>
      <c r="N3772" t="str">
        <f>INDEX(Products!B:B,MATCH(OrdersTable[[#This Row],[Product ID]],Products!A:A,0))</f>
        <v>Sunscreen SPF 50</v>
      </c>
      <c r="O3772" t="str">
        <f>INDEX(Products!C:C,MATCH(OrdersTable[[#This Row],[Product ID]],Products!A:A,0))</f>
        <v>Skincare</v>
      </c>
      <c r="P3772">
        <v>3</v>
      </c>
      <c r="Q3772" s="5">
        <v>449</v>
      </c>
      <c r="R3772" s="74">
        <v>0.15</v>
      </c>
      <c r="S3772" s="75">
        <f>OrdersTable[[#This Row],[Quantity]]*OrdersTable[[#This Row],[Unit Price]]</f>
        <v>1347</v>
      </c>
      <c r="T3772" s="5">
        <f>OrdersTable[[#This Row],[Gross Sale]]*OrdersTable[[#This Row],[Discount_Clean2]]</f>
        <v>202.04999999999998</v>
      </c>
      <c r="U3772" s="5">
        <f>OrdersTable[[#This Row],[Gross Sale]]-OrdersTable[[#This Row],[Discount Amount]]</f>
        <v>1144.95</v>
      </c>
      <c r="V3772" s="77">
        <f>INDEX(Products!E:E,MATCH(OrdersTable[[#This Row],[Product ID]],Products!A:A,0))</f>
        <v>144</v>
      </c>
      <c r="W3772" s="77">
        <f>OrdersTable[[#This Row],[Quantity]]*OrdersTable[[#This Row],[Unit Cost]]</f>
        <v>432</v>
      </c>
      <c r="X3772" s="77">
        <f>'Dropdown Lists'!$I$2*(1+OrdersTable[[#This Row],[Returned]])</f>
        <v>60</v>
      </c>
      <c r="Y3772" s="76">
        <f>OrdersTable[[#This Row],[Net Revenue]]-OrdersTable[[#This Row],[COGS]]-OrdersTable[[#This Row],[Shipping Cost]]</f>
        <v>652.95000000000005</v>
      </c>
      <c r="Z3772" s="78">
        <f>IFERROR(OrdersTable[[#This Row],[Profit]]/OrdersTable[[#This Row],[Net Revenue]],0)</f>
        <v>0.57028691209223115</v>
      </c>
      <c r="AA3772" t="s">
        <v>18</v>
      </c>
      <c r="AB3772" s="79">
        <v>45906</v>
      </c>
      <c r="AC3772">
        <f>OrdersTable[[#This Row],[Delivery Date]]-OrdersTable[[#This Row],[Order Date]]</f>
        <v>5</v>
      </c>
      <c r="AD3772" t="str">
        <f>IF(OrdersTable[[#This Row],[Delivery Days]]&lt;=2, "Express (≤2d)", IF(OrdersTable[[#This Row],[Delivery Days]]&lt;=4, "Standard (3-4d)", "Delayed (5d+)"))</f>
        <v>Delayed (5d+)</v>
      </c>
      <c r="AE3772">
        <v>3</v>
      </c>
      <c r="AF3772">
        <v>0</v>
      </c>
    </row>
    <row r="3773" spans="1:32" ht="15" x14ac:dyDescent="0.35">
      <c r="A3773" t="s">
        <v>4175</v>
      </c>
      <c r="B3773" s="1">
        <v>45901</v>
      </c>
      <c r="C3773">
        <f>YEAR(OrdersTable[[#This Row],[Order Date]])</f>
        <v>2025</v>
      </c>
      <c r="D3773" s="2">
        <f>DATE(YEAR(OrdersTable[[#This Row],[Order Date]]),MONTH(OrdersTable[[#This Row],[Order Date]]),1)</f>
        <v>45901</v>
      </c>
      <c r="E3773">
        <f>MONTH(OrdersTable[[#This Row],[Order Date]])</f>
        <v>9</v>
      </c>
      <c r="F3773" t="s">
        <v>2708</v>
      </c>
      <c r="G3773" t="str">
        <f>IF(OrdersTable[[#This Row],[Order Date]]=_xlfn.MINIFS(Order_Date, Customer_ID, OrdersTable[[#This Row],[Customer ID]]), "New", "Repeat")</f>
        <v>Repeat</v>
      </c>
      <c r="H3773" t="s">
        <v>128</v>
      </c>
      <c r="I3773" t="str">
        <f>INDEX(State!B:B,MATCH(OrdersTable[[#This Row],[State]],State!A:A,0))</f>
        <v>DL</v>
      </c>
      <c r="J3773" t="str">
        <f>INDEX(State!C:C,MATCH(OrdersTable[[#This Row],[State Code]],State!B:B,0))</f>
        <v>North</v>
      </c>
      <c r="K3773" t="s">
        <v>129</v>
      </c>
      <c r="L3773" t="s">
        <v>65</v>
      </c>
      <c r="M3773" t="s">
        <v>24</v>
      </c>
      <c r="N3773" t="str">
        <f>INDEX(Products!B:B,MATCH(OrdersTable[[#This Row],[Product ID]],Products!A:A,0))</f>
        <v>Scented Candle Set</v>
      </c>
      <c r="O3773" t="str">
        <f>INDEX(Products!C:C,MATCH(OrdersTable[[#This Row],[Product ID]],Products!A:A,0))</f>
        <v>Home &amp; Kitchen</v>
      </c>
      <c r="P3773">
        <v>1</v>
      </c>
      <c r="Q3773" s="5">
        <v>699</v>
      </c>
      <c r="R3773" s="74">
        <v>0.3</v>
      </c>
      <c r="S3773" s="75">
        <f>OrdersTable[[#This Row],[Quantity]]*OrdersTable[[#This Row],[Unit Price]]</f>
        <v>699</v>
      </c>
      <c r="T3773" s="5">
        <f>OrdersTable[[#This Row],[Gross Sale]]*OrdersTable[[#This Row],[Discount_Clean2]]</f>
        <v>209.7</v>
      </c>
      <c r="U3773" s="5">
        <f>OrdersTable[[#This Row],[Gross Sale]]-OrdersTable[[#This Row],[Discount Amount]]</f>
        <v>489.3</v>
      </c>
      <c r="V3773" s="77">
        <f>INDEX(Products!E:E,MATCH(OrdersTable[[#This Row],[Product ID]],Products!A:A,0))</f>
        <v>245</v>
      </c>
      <c r="W3773" s="77">
        <f>OrdersTable[[#This Row],[Quantity]]*OrdersTable[[#This Row],[Unit Cost]]</f>
        <v>245</v>
      </c>
      <c r="X3773" s="77">
        <f>'Dropdown Lists'!$I$2*(1+OrdersTable[[#This Row],[Returned]])</f>
        <v>60</v>
      </c>
      <c r="Y3773" s="76">
        <f>OrdersTable[[#This Row],[Net Revenue]]-OrdersTable[[#This Row],[COGS]]-OrdersTable[[#This Row],[Shipping Cost]]</f>
        <v>184.3</v>
      </c>
      <c r="Z3773" s="78">
        <f>IFERROR(OrdersTable[[#This Row],[Profit]]/OrdersTable[[#This Row],[Net Revenue]],0)</f>
        <v>0.37666053545881872</v>
      </c>
      <c r="AA3773" t="s">
        <v>4074</v>
      </c>
      <c r="AB3773" s="79">
        <v>45902</v>
      </c>
      <c r="AC3773">
        <f>OrdersTable[[#This Row],[Delivery Date]]-OrdersTable[[#This Row],[Order Date]]</f>
        <v>1</v>
      </c>
      <c r="AD3773" t="str">
        <f>IF(OrdersTable[[#This Row],[Delivery Days]]&lt;=2, "Express (≤2d)", IF(OrdersTable[[#This Row],[Delivery Days]]&lt;=4, "Standard (3-4d)", "Delayed (5d+)"))</f>
        <v>Express (≤2d)</v>
      </c>
      <c r="AE3773">
        <v>5</v>
      </c>
      <c r="AF3773">
        <v>0</v>
      </c>
    </row>
    <row r="3774" spans="1:32" ht="15" x14ac:dyDescent="0.35">
      <c r="A3774" t="s">
        <v>5978</v>
      </c>
      <c r="B3774" s="1">
        <v>45901</v>
      </c>
      <c r="C3774">
        <f>YEAR(OrdersTable[[#This Row],[Order Date]])</f>
        <v>2025</v>
      </c>
      <c r="D3774" s="2">
        <f>DATE(YEAR(OrdersTable[[#This Row],[Order Date]]),MONTH(OrdersTable[[#This Row],[Order Date]]),1)</f>
        <v>45901</v>
      </c>
      <c r="E3774">
        <f>MONTH(OrdersTable[[#This Row],[Order Date]])</f>
        <v>9</v>
      </c>
      <c r="F3774" t="s">
        <v>2969</v>
      </c>
      <c r="G3774" t="str">
        <f>IF(OrdersTable[[#This Row],[Order Date]]=_xlfn.MINIFS(Order_Date, Customer_ID, OrdersTable[[#This Row],[Customer ID]]), "New", "Repeat")</f>
        <v>Repeat</v>
      </c>
      <c r="H3774" t="s">
        <v>128</v>
      </c>
      <c r="I3774" t="str">
        <f>INDEX(State!B:B,MATCH(OrdersTable[[#This Row],[State]],State!A:A,0))</f>
        <v>DL</v>
      </c>
      <c r="J3774" t="str">
        <f>INDEX(State!C:C,MATCH(OrdersTable[[#This Row],[State Code]],State!B:B,0))</f>
        <v>North</v>
      </c>
      <c r="K3774" t="s">
        <v>129</v>
      </c>
      <c r="L3774" t="s">
        <v>23</v>
      </c>
      <c r="M3774" t="s">
        <v>109</v>
      </c>
      <c r="N3774" t="str">
        <f>INDEX(Products!B:B,MATCH(OrdersTable[[#This Row],[Product ID]],Products!A:A,0))</f>
        <v>Onion Hair Oil</v>
      </c>
      <c r="O3774" t="str">
        <f>INDEX(Products!C:C,MATCH(OrdersTable[[#This Row],[Product ID]],Products!A:A,0))</f>
        <v>Haircare</v>
      </c>
      <c r="P3774">
        <v>2</v>
      </c>
      <c r="Q3774" s="5">
        <v>349</v>
      </c>
      <c r="R3774" s="74">
        <v>0.3</v>
      </c>
      <c r="S3774" s="75">
        <f>OrdersTable[[#This Row],[Quantity]]*OrdersTable[[#This Row],[Unit Price]]</f>
        <v>698</v>
      </c>
      <c r="T3774" s="5">
        <f>OrdersTable[[#This Row],[Gross Sale]]*OrdersTable[[#This Row],[Discount_Clean2]]</f>
        <v>209.4</v>
      </c>
      <c r="U3774" s="5">
        <f>OrdersTable[[#This Row],[Gross Sale]]-OrdersTable[[#This Row],[Discount Amount]]</f>
        <v>488.6</v>
      </c>
      <c r="V3774" s="77">
        <f>INDEX(Products!E:E,MATCH(OrdersTable[[#This Row],[Product ID]],Products!A:A,0))</f>
        <v>105</v>
      </c>
      <c r="W3774" s="77">
        <f>OrdersTable[[#This Row],[Quantity]]*OrdersTable[[#This Row],[Unit Cost]]</f>
        <v>210</v>
      </c>
      <c r="X3774" s="77">
        <f>'Dropdown Lists'!$I$2*(1+OrdersTable[[#This Row],[Returned]])</f>
        <v>60</v>
      </c>
      <c r="Y3774" s="76">
        <f>OrdersTable[[#This Row],[Net Revenue]]-OrdersTable[[#This Row],[COGS]]-OrdersTable[[#This Row],[Shipping Cost]]</f>
        <v>218.60000000000002</v>
      </c>
      <c r="Z3774" s="78">
        <f>IFERROR(OrdersTable[[#This Row],[Profit]]/OrdersTable[[#This Row],[Net Revenue]],0)</f>
        <v>0.44740073679901765</v>
      </c>
      <c r="AA3774" t="s">
        <v>18</v>
      </c>
      <c r="AB3774" s="79">
        <v>45904</v>
      </c>
      <c r="AC3774">
        <f>OrdersTable[[#This Row],[Delivery Date]]-OrdersTable[[#This Row],[Order Date]]</f>
        <v>3</v>
      </c>
      <c r="AD3774" t="str">
        <f>IF(OrdersTable[[#This Row],[Delivery Days]]&lt;=2, "Express (≤2d)", IF(OrdersTable[[#This Row],[Delivery Days]]&lt;=4, "Standard (3-4d)", "Delayed (5d+)"))</f>
        <v>Standard (3-4d)</v>
      </c>
      <c r="AF3774">
        <v>0</v>
      </c>
    </row>
    <row r="3775" spans="1:32" ht="15" x14ac:dyDescent="0.35">
      <c r="A3775" t="s">
        <v>3333</v>
      </c>
      <c r="B3775" s="1">
        <v>45901</v>
      </c>
      <c r="C3775">
        <f>YEAR(OrdersTable[[#This Row],[Order Date]])</f>
        <v>2025</v>
      </c>
      <c r="D3775" s="2">
        <f>DATE(YEAR(OrdersTable[[#This Row],[Order Date]]),MONTH(OrdersTable[[#This Row],[Order Date]]),1)</f>
        <v>45901</v>
      </c>
      <c r="E3775">
        <f>MONTH(OrdersTable[[#This Row],[Order Date]])</f>
        <v>9</v>
      </c>
      <c r="F3775" t="s">
        <v>2967</v>
      </c>
      <c r="G3775" t="str">
        <f>IF(OrdersTable[[#This Row],[Order Date]]=_xlfn.MINIFS(Order_Date, Customer_ID, OrdersTable[[#This Row],[Customer ID]]), "New", "Repeat")</f>
        <v>Repeat</v>
      </c>
      <c r="H3775" t="s">
        <v>76</v>
      </c>
      <c r="I3775" t="str">
        <f>INDEX(State!B:B,MATCH(OrdersTable[[#This Row],[State]],State!A:A,0))</f>
        <v>UP</v>
      </c>
      <c r="J3775" t="str">
        <f>INDEX(State!C:C,MATCH(OrdersTable[[#This Row],[State Code]],State!B:B,0))</f>
        <v>North</v>
      </c>
      <c r="K3775" t="s">
        <v>77</v>
      </c>
      <c r="L3775" t="s">
        <v>39</v>
      </c>
      <c r="M3775" t="s">
        <v>45</v>
      </c>
      <c r="N3775" t="str">
        <f>INDEX(Products!B:B,MATCH(OrdersTable[[#This Row],[Product ID]],Products!A:A,0))</f>
        <v>Argan Shampoo</v>
      </c>
      <c r="O3775" t="str">
        <f>INDEX(Products!C:C,MATCH(OrdersTable[[#This Row],[Product ID]],Products!A:A,0))</f>
        <v>Haircare</v>
      </c>
      <c r="P3775">
        <v>1</v>
      </c>
      <c r="Q3775" s="5">
        <v>449</v>
      </c>
      <c r="R3775" s="74">
        <v>0</v>
      </c>
      <c r="S3775" s="75">
        <f>OrdersTable[[#This Row],[Quantity]]*OrdersTable[[#This Row],[Unit Price]]</f>
        <v>449</v>
      </c>
      <c r="T3775" s="5">
        <f>OrdersTable[[#This Row],[Gross Sale]]*OrdersTable[[#This Row],[Discount_Clean2]]</f>
        <v>0</v>
      </c>
      <c r="U3775" s="5">
        <f>OrdersTable[[#This Row],[Gross Sale]]-OrdersTable[[#This Row],[Discount Amount]]</f>
        <v>449</v>
      </c>
      <c r="V3775" s="77">
        <f>INDEX(Products!E:E,MATCH(OrdersTable[[#This Row],[Product ID]],Products!A:A,0))</f>
        <v>148</v>
      </c>
      <c r="W3775" s="77">
        <f>OrdersTable[[#This Row],[Quantity]]*OrdersTable[[#This Row],[Unit Cost]]</f>
        <v>148</v>
      </c>
      <c r="X3775" s="77">
        <f>'Dropdown Lists'!$I$2*(1+OrdersTable[[#This Row],[Returned]])</f>
        <v>60</v>
      </c>
      <c r="Y3775" s="76">
        <f>OrdersTable[[#This Row],[Net Revenue]]-OrdersTable[[#This Row],[COGS]]-OrdersTable[[#This Row],[Shipping Cost]]</f>
        <v>241</v>
      </c>
      <c r="Z3775" s="78">
        <f>IFERROR(OrdersTable[[#This Row],[Profit]]/OrdersTable[[#This Row],[Net Revenue]],0)</f>
        <v>0.53674832962138086</v>
      </c>
      <c r="AA3775" t="s">
        <v>2522</v>
      </c>
      <c r="AB3775" s="79">
        <v>45903</v>
      </c>
      <c r="AC3775">
        <f>OrdersTable[[#This Row],[Delivery Date]]-OrdersTable[[#This Row],[Order Date]]</f>
        <v>2</v>
      </c>
      <c r="AD3775" t="str">
        <f>IF(OrdersTable[[#This Row],[Delivery Days]]&lt;=2, "Express (≤2d)", IF(OrdersTable[[#This Row],[Delivery Days]]&lt;=4, "Standard (3-4d)", "Delayed (5d+)"))</f>
        <v>Express (≤2d)</v>
      </c>
      <c r="AE3775">
        <v>4</v>
      </c>
      <c r="AF3775">
        <v>0</v>
      </c>
    </row>
    <row r="3776" spans="1:32" ht="15" x14ac:dyDescent="0.35">
      <c r="A3776" t="s">
        <v>3666</v>
      </c>
      <c r="B3776" s="1">
        <v>45901</v>
      </c>
      <c r="C3776">
        <f>YEAR(OrdersTable[[#This Row],[Order Date]])</f>
        <v>2025</v>
      </c>
      <c r="D3776" s="2">
        <f>DATE(YEAR(OrdersTable[[#This Row],[Order Date]]),MONTH(OrdersTable[[#This Row],[Order Date]]),1)</f>
        <v>45901</v>
      </c>
      <c r="E3776">
        <f>MONTH(OrdersTable[[#This Row],[Order Date]])</f>
        <v>9</v>
      </c>
      <c r="F3776" t="s">
        <v>609</v>
      </c>
      <c r="G3776" t="str">
        <f>IF(OrdersTable[[#This Row],[Order Date]]=_xlfn.MINIFS(Order_Date, Customer_ID, OrdersTable[[#This Row],[Customer ID]]), "New", "Repeat")</f>
        <v>Repeat</v>
      </c>
      <c r="H3776" t="s">
        <v>37</v>
      </c>
      <c r="I3776" t="str">
        <f>INDEX(State!B:B,MATCH(OrdersTable[[#This Row],[State]],State!A:A,0))</f>
        <v>GJ</v>
      </c>
      <c r="J3776" t="str">
        <f>INDEX(State!C:C,MATCH(OrdersTable[[#This Row],[State Code]],State!B:B,0))</f>
        <v>West</v>
      </c>
      <c r="K3776" t="s">
        <v>38</v>
      </c>
      <c r="L3776" t="s">
        <v>16</v>
      </c>
      <c r="M3776" t="s">
        <v>17</v>
      </c>
      <c r="N3776" t="str">
        <f>INDEX(Products!B:B,MATCH(OrdersTable[[#This Row],[Product ID]],Products!A:A,0))</f>
        <v>Casual Sneakers</v>
      </c>
      <c r="O3776" t="str">
        <f>INDEX(Products!C:C,MATCH(OrdersTable[[#This Row],[Product ID]],Products!A:A,0))</f>
        <v>Footwear</v>
      </c>
      <c r="P3776">
        <v>1</v>
      </c>
      <c r="Q3776" s="5">
        <v>2199</v>
      </c>
      <c r="R3776" s="74">
        <v>0.2</v>
      </c>
      <c r="S3776" s="75">
        <f>OrdersTable[[#This Row],[Quantity]]*OrdersTable[[#This Row],[Unit Price]]</f>
        <v>2199</v>
      </c>
      <c r="T3776" s="5">
        <f>OrdersTable[[#This Row],[Gross Sale]]*OrdersTable[[#This Row],[Discount_Clean2]]</f>
        <v>439.8</v>
      </c>
      <c r="U3776" s="5">
        <f>OrdersTable[[#This Row],[Gross Sale]]-OrdersTable[[#This Row],[Discount Amount]]</f>
        <v>1759.2</v>
      </c>
      <c r="V3776" s="77">
        <f>INDEX(Products!E:E,MATCH(OrdersTable[[#This Row],[Product ID]],Products!A:A,0))</f>
        <v>1034</v>
      </c>
      <c r="W3776" s="77">
        <f>OrdersTable[[#This Row],[Quantity]]*OrdersTable[[#This Row],[Unit Cost]]</f>
        <v>1034</v>
      </c>
      <c r="X3776" s="77">
        <f>'Dropdown Lists'!$I$2*(1+OrdersTable[[#This Row],[Returned]])</f>
        <v>60</v>
      </c>
      <c r="Y3776" s="76">
        <f>OrdersTable[[#This Row],[Net Revenue]]-OrdersTable[[#This Row],[COGS]]-OrdersTable[[#This Row],[Shipping Cost]]</f>
        <v>665.2</v>
      </c>
      <c r="Z3776" s="78">
        <f>IFERROR(OrdersTable[[#This Row],[Profit]]/OrdersTable[[#This Row],[Net Revenue]],0)</f>
        <v>0.37812642110050027</v>
      </c>
      <c r="AA3776" t="s">
        <v>3495</v>
      </c>
      <c r="AB3776" s="79">
        <v>45905</v>
      </c>
      <c r="AC3776">
        <f>OrdersTable[[#This Row],[Delivery Date]]-OrdersTable[[#This Row],[Order Date]]</f>
        <v>4</v>
      </c>
      <c r="AD3776" t="str">
        <f>IF(OrdersTable[[#This Row],[Delivery Days]]&lt;=2, "Express (≤2d)", IF(OrdersTable[[#This Row],[Delivery Days]]&lt;=4, "Standard (3-4d)", "Delayed (5d+)"))</f>
        <v>Standard (3-4d)</v>
      </c>
      <c r="AE3776">
        <v>4</v>
      </c>
      <c r="AF3776">
        <v>0</v>
      </c>
    </row>
    <row r="3777" spans="1:32" ht="15" x14ac:dyDescent="0.35">
      <c r="A3777" t="s">
        <v>6198</v>
      </c>
      <c r="B3777" s="1">
        <v>45901</v>
      </c>
      <c r="C3777">
        <f>YEAR(OrdersTable[[#This Row],[Order Date]])</f>
        <v>2025</v>
      </c>
      <c r="D3777" s="2">
        <f>DATE(YEAR(OrdersTable[[#This Row],[Order Date]]),MONTH(OrdersTable[[#This Row],[Order Date]]),1)</f>
        <v>45901</v>
      </c>
      <c r="E3777">
        <f>MONTH(OrdersTable[[#This Row],[Order Date]])</f>
        <v>9</v>
      </c>
      <c r="F3777" t="s">
        <v>6199</v>
      </c>
      <c r="G3777" t="str">
        <f>IF(OrdersTable[[#This Row],[Order Date]]=_xlfn.MINIFS(Order_Date, Customer_ID, OrdersTable[[#This Row],[Customer ID]]), "New", "Repeat")</f>
        <v>New</v>
      </c>
      <c r="H3777" t="s">
        <v>43</v>
      </c>
      <c r="I3777" t="str">
        <f>INDEX(State!B:B,MATCH(OrdersTable[[#This Row],[State]],State!A:A,0))</f>
        <v>MP</v>
      </c>
      <c r="J3777" t="str">
        <f>INDEX(State!C:C,MATCH(OrdersTable[[#This Row],[State Code]],State!B:B,0))</f>
        <v>West</v>
      </c>
      <c r="K3777" t="s">
        <v>44</v>
      </c>
      <c r="L3777" t="s">
        <v>23</v>
      </c>
      <c r="M3777" t="s">
        <v>61</v>
      </c>
      <c r="N3777" t="str">
        <f>INDEX(Products!B:B,MATCH(OrdersTable[[#This Row],[Product ID]],Products!A:A,0))</f>
        <v>Multivitamin Gummies</v>
      </c>
      <c r="O3777" t="str">
        <f>INDEX(Products!C:C,MATCH(OrdersTable[[#This Row],[Product ID]],Products!A:A,0))</f>
        <v>Wellness</v>
      </c>
      <c r="P3777">
        <v>2</v>
      </c>
      <c r="Q3777" s="5">
        <v>699</v>
      </c>
      <c r="R3777" s="74">
        <v>0.25</v>
      </c>
      <c r="S3777" s="75">
        <f>OrdersTable[[#This Row],[Quantity]]*OrdersTable[[#This Row],[Unit Price]]</f>
        <v>1398</v>
      </c>
      <c r="T3777" s="5">
        <f>OrdersTable[[#This Row],[Gross Sale]]*OrdersTable[[#This Row],[Discount_Clean2]]</f>
        <v>349.5</v>
      </c>
      <c r="U3777" s="5">
        <f>OrdersTable[[#This Row],[Gross Sale]]-OrdersTable[[#This Row],[Discount Amount]]</f>
        <v>1048.5</v>
      </c>
      <c r="V3777" s="77">
        <f>INDEX(Products!E:E,MATCH(OrdersTable[[#This Row],[Product ID]],Products!A:A,0))</f>
        <v>238</v>
      </c>
      <c r="W3777" s="77">
        <f>OrdersTable[[#This Row],[Quantity]]*OrdersTable[[#This Row],[Unit Cost]]</f>
        <v>476</v>
      </c>
      <c r="X3777" s="77">
        <f>'Dropdown Lists'!$I$2*(1+OrdersTable[[#This Row],[Returned]])</f>
        <v>60</v>
      </c>
      <c r="Y3777" s="76">
        <f>OrdersTable[[#This Row],[Net Revenue]]-OrdersTable[[#This Row],[COGS]]-OrdersTable[[#This Row],[Shipping Cost]]</f>
        <v>512.5</v>
      </c>
      <c r="Z3777" s="78">
        <f>IFERROR(OrdersTable[[#This Row],[Profit]]/OrdersTable[[#This Row],[Net Revenue]],0)</f>
        <v>0.48879351454458753</v>
      </c>
      <c r="AA3777" t="s">
        <v>18</v>
      </c>
      <c r="AB3777" s="79">
        <v>45904</v>
      </c>
      <c r="AC3777">
        <f>OrdersTable[[#This Row],[Delivery Date]]-OrdersTable[[#This Row],[Order Date]]</f>
        <v>3</v>
      </c>
      <c r="AD3777" t="str">
        <f>IF(OrdersTable[[#This Row],[Delivery Days]]&lt;=2, "Express (≤2d)", IF(OrdersTable[[#This Row],[Delivery Days]]&lt;=4, "Standard (3-4d)", "Delayed (5d+)"))</f>
        <v>Standard (3-4d)</v>
      </c>
      <c r="AE3777">
        <v>4</v>
      </c>
      <c r="AF3777">
        <v>0</v>
      </c>
    </row>
    <row r="3778" spans="1:32" ht="15" x14ac:dyDescent="0.35">
      <c r="A3778" t="s">
        <v>1591</v>
      </c>
      <c r="B3778" s="1">
        <v>45901</v>
      </c>
      <c r="C3778">
        <f>YEAR(OrdersTable[[#This Row],[Order Date]])</f>
        <v>2025</v>
      </c>
      <c r="D3778" s="2">
        <f>DATE(YEAR(OrdersTable[[#This Row],[Order Date]]),MONTH(OrdersTable[[#This Row],[Order Date]]),1)</f>
        <v>45901</v>
      </c>
      <c r="E3778">
        <f>MONTH(OrdersTable[[#This Row],[Order Date]])</f>
        <v>9</v>
      </c>
      <c r="F3778" t="s">
        <v>845</v>
      </c>
      <c r="G3778" t="str">
        <f>IF(OrdersTable[[#This Row],[Order Date]]=_xlfn.MINIFS(Order_Date, Customer_ID, OrdersTable[[#This Row],[Customer ID]]), "New", "Repeat")</f>
        <v>Repeat</v>
      </c>
      <c r="H3778" t="s">
        <v>43</v>
      </c>
      <c r="I3778" t="str">
        <f>INDEX(State!B:B,MATCH(OrdersTable[[#This Row],[State]],State!A:A,0))</f>
        <v>MP</v>
      </c>
      <c r="J3778" t="str">
        <f>INDEX(State!C:C,MATCH(OrdersTable[[#This Row],[State Code]],State!B:B,0))</f>
        <v>West</v>
      </c>
      <c r="K3778" t="s">
        <v>44</v>
      </c>
      <c r="L3778" t="s">
        <v>39</v>
      </c>
      <c r="M3778" t="s">
        <v>24</v>
      </c>
      <c r="N3778" t="str">
        <f>INDEX(Products!B:B,MATCH(OrdersTable[[#This Row],[Product ID]],Products!A:A,0))</f>
        <v>Scented Candle Set</v>
      </c>
      <c r="O3778" t="str">
        <f>INDEX(Products!C:C,MATCH(OrdersTable[[#This Row],[Product ID]],Products!A:A,0))</f>
        <v>Home &amp; Kitchen</v>
      </c>
      <c r="P3778">
        <v>1</v>
      </c>
      <c r="Q3778" s="5">
        <v>699</v>
      </c>
      <c r="R3778" s="74">
        <v>0.1</v>
      </c>
      <c r="S3778" s="75">
        <f>OrdersTable[[#This Row],[Quantity]]*OrdersTable[[#This Row],[Unit Price]]</f>
        <v>699</v>
      </c>
      <c r="T3778" s="5">
        <f>OrdersTable[[#This Row],[Gross Sale]]*OrdersTable[[#This Row],[Discount_Clean2]]</f>
        <v>69.900000000000006</v>
      </c>
      <c r="U3778" s="5">
        <f>OrdersTable[[#This Row],[Gross Sale]]-OrdersTable[[#This Row],[Discount Amount]]</f>
        <v>629.1</v>
      </c>
      <c r="V3778" s="77">
        <f>INDEX(Products!E:E,MATCH(OrdersTable[[#This Row],[Product ID]],Products!A:A,0))</f>
        <v>245</v>
      </c>
      <c r="W3778" s="77">
        <f>OrdersTable[[#This Row],[Quantity]]*OrdersTable[[#This Row],[Unit Cost]]</f>
        <v>245</v>
      </c>
      <c r="X3778" s="77">
        <f>'Dropdown Lists'!$I$2*(1+OrdersTable[[#This Row],[Returned]])</f>
        <v>60</v>
      </c>
      <c r="Y3778" s="76">
        <f>OrdersTable[[#This Row],[Net Revenue]]-OrdersTable[[#This Row],[COGS]]-OrdersTable[[#This Row],[Shipping Cost]]</f>
        <v>324.10000000000002</v>
      </c>
      <c r="Z3778" s="78">
        <f>IFERROR(OrdersTable[[#This Row],[Profit]]/OrdersTable[[#This Row],[Net Revenue]],0)</f>
        <v>0.51518041646797008</v>
      </c>
      <c r="AA3778" t="s">
        <v>18</v>
      </c>
      <c r="AB3778" s="79">
        <v>45904</v>
      </c>
      <c r="AC3778">
        <f>OrdersTable[[#This Row],[Delivery Date]]-OrdersTable[[#This Row],[Order Date]]</f>
        <v>3</v>
      </c>
      <c r="AD3778" t="str">
        <f>IF(OrdersTable[[#This Row],[Delivery Days]]&lt;=2, "Express (≤2d)", IF(OrdersTable[[#This Row],[Delivery Days]]&lt;=4, "Standard (3-4d)", "Delayed (5d+)"))</f>
        <v>Standard (3-4d)</v>
      </c>
      <c r="AF3778">
        <v>0</v>
      </c>
    </row>
    <row r="3779" spans="1:32" ht="15" x14ac:dyDescent="0.35">
      <c r="A3779" t="s">
        <v>1182</v>
      </c>
      <c r="B3779" s="1">
        <v>45901</v>
      </c>
      <c r="C3779">
        <f>YEAR(OrdersTable[[#This Row],[Order Date]])</f>
        <v>2025</v>
      </c>
      <c r="D3779" s="2">
        <f>DATE(YEAR(OrdersTable[[#This Row],[Order Date]]),MONTH(OrdersTable[[#This Row],[Order Date]]),1)</f>
        <v>45901</v>
      </c>
      <c r="E3779">
        <f>MONTH(OrdersTable[[#This Row],[Order Date]])</f>
        <v>9</v>
      </c>
      <c r="F3779" t="s">
        <v>1183</v>
      </c>
      <c r="G3779" t="str">
        <f>IF(OrdersTable[[#This Row],[Order Date]]=_xlfn.MINIFS(Order_Date, Customer_ID, OrdersTable[[#This Row],[Customer ID]]), "New", "Repeat")</f>
        <v>Repeat</v>
      </c>
      <c r="H3779" t="s">
        <v>275</v>
      </c>
      <c r="I3779" t="str">
        <f>INDEX(State!B:B,MATCH(OrdersTable[[#This Row],[State]],State!A:A,0))</f>
        <v>AP</v>
      </c>
      <c r="J3779" t="str">
        <f>INDEX(State!C:C,MATCH(OrdersTable[[#This Row],[State Code]],State!B:B,0))</f>
        <v>South</v>
      </c>
      <c r="K3779" t="s">
        <v>491</v>
      </c>
      <c r="L3779" t="s">
        <v>50</v>
      </c>
      <c r="M3779" t="s">
        <v>61</v>
      </c>
      <c r="N3779" t="str">
        <f>INDEX(Products!B:B,MATCH(OrdersTable[[#This Row],[Product ID]],Products!A:A,0))</f>
        <v>Multivitamin Gummies</v>
      </c>
      <c r="O3779" t="str">
        <f>INDEX(Products!C:C,MATCH(OrdersTable[[#This Row],[Product ID]],Products!A:A,0))</f>
        <v>Wellness</v>
      </c>
      <c r="P3779">
        <v>1</v>
      </c>
      <c r="Q3779" s="5">
        <v>699</v>
      </c>
      <c r="R3779" s="74">
        <v>0.2</v>
      </c>
      <c r="S3779" s="75">
        <f>OrdersTable[[#This Row],[Quantity]]*OrdersTable[[#This Row],[Unit Price]]</f>
        <v>699</v>
      </c>
      <c r="T3779" s="5">
        <f>OrdersTable[[#This Row],[Gross Sale]]*OrdersTable[[#This Row],[Discount_Clean2]]</f>
        <v>139.80000000000001</v>
      </c>
      <c r="U3779" s="5">
        <f>OrdersTable[[#This Row],[Gross Sale]]-OrdersTable[[#This Row],[Discount Amount]]</f>
        <v>559.20000000000005</v>
      </c>
      <c r="V3779" s="77">
        <f>INDEX(Products!E:E,MATCH(OrdersTable[[#This Row],[Product ID]],Products!A:A,0))</f>
        <v>238</v>
      </c>
      <c r="W3779" s="77">
        <f>OrdersTable[[#This Row],[Quantity]]*OrdersTable[[#This Row],[Unit Cost]]</f>
        <v>238</v>
      </c>
      <c r="X3779" s="77">
        <f>'Dropdown Lists'!$I$2*(1+OrdersTable[[#This Row],[Returned]])</f>
        <v>60</v>
      </c>
      <c r="Y3779" s="76">
        <f>OrdersTable[[#This Row],[Net Revenue]]-OrdersTable[[#This Row],[COGS]]-OrdersTable[[#This Row],[Shipping Cost]]</f>
        <v>261.20000000000005</v>
      </c>
      <c r="Z3779" s="78">
        <f>IFERROR(OrdersTable[[#This Row],[Profit]]/OrdersTable[[#This Row],[Net Revenue]],0)</f>
        <v>0.46709585121602293</v>
      </c>
      <c r="AA3779" t="s">
        <v>18</v>
      </c>
      <c r="AB3779" s="79">
        <v>45906</v>
      </c>
      <c r="AC3779">
        <f>OrdersTable[[#This Row],[Delivery Date]]-OrdersTable[[#This Row],[Order Date]]</f>
        <v>5</v>
      </c>
      <c r="AD3779" t="str">
        <f>IF(OrdersTable[[#This Row],[Delivery Days]]&lt;=2, "Express (≤2d)", IF(OrdersTable[[#This Row],[Delivery Days]]&lt;=4, "Standard (3-4d)", "Delayed (5d+)"))</f>
        <v>Delayed (5d+)</v>
      </c>
      <c r="AF3779">
        <v>0</v>
      </c>
    </row>
    <row r="3780" spans="1:32" ht="15" x14ac:dyDescent="0.35">
      <c r="A3780" t="s">
        <v>5826</v>
      </c>
      <c r="B3780" s="1">
        <v>45901</v>
      </c>
      <c r="C3780">
        <f>YEAR(OrdersTable[[#This Row],[Order Date]])</f>
        <v>2025</v>
      </c>
      <c r="D3780" s="2">
        <f>DATE(YEAR(OrdersTable[[#This Row],[Order Date]]),MONTH(OrdersTable[[#This Row],[Order Date]]),1)</f>
        <v>45901</v>
      </c>
      <c r="E3780">
        <f>MONTH(OrdersTable[[#This Row],[Order Date]])</f>
        <v>9</v>
      </c>
      <c r="F3780" t="s">
        <v>2014</v>
      </c>
      <c r="G3780" t="str">
        <f>IF(OrdersTable[[#This Row],[Order Date]]=_xlfn.MINIFS(Order_Date, Customer_ID, OrdersTable[[#This Row],[Customer ID]]), "New", "Repeat")</f>
        <v>Repeat</v>
      </c>
      <c r="H3780" t="s">
        <v>59</v>
      </c>
      <c r="I3780" t="str">
        <f>INDEX(State!B:B,MATCH(OrdersTable[[#This Row],[State]],State!A:A,0))</f>
        <v>TN</v>
      </c>
      <c r="J3780" t="str">
        <f>INDEX(State!C:C,MATCH(OrdersTable[[#This Row],[State Code]],State!B:B,0))</f>
        <v>South</v>
      </c>
      <c r="K3780" t="s">
        <v>60</v>
      </c>
      <c r="L3780" t="s">
        <v>65</v>
      </c>
      <c r="M3780" t="s">
        <v>84</v>
      </c>
      <c r="N3780" t="str">
        <f>INDEX(Products!B:B,MATCH(OrdersTable[[#This Row],[Product ID]],Products!A:A,0))</f>
        <v>Cotton Bedsheet</v>
      </c>
      <c r="O3780" t="str">
        <f>INDEX(Products!C:C,MATCH(OrdersTable[[#This Row],[Product ID]],Products!A:A,0))</f>
        <v>Home &amp; Kitchen</v>
      </c>
      <c r="P3780">
        <v>2</v>
      </c>
      <c r="Q3780" s="5">
        <v>1299</v>
      </c>
      <c r="R3780" s="74">
        <v>0</v>
      </c>
      <c r="S3780" s="75">
        <f>OrdersTable[[#This Row],[Quantity]]*OrdersTable[[#This Row],[Unit Price]]</f>
        <v>2598</v>
      </c>
      <c r="T3780" s="5">
        <f>OrdersTable[[#This Row],[Gross Sale]]*OrdersTable[[#This Row],[Discount_Clean2]]</f>
        <v>0</v>
      </c>
      <c r="U3780" s="5">
        <f>OrdersTable[[#This Row],[Gross Sale]]-OrdersTable[[#This Row],[Discount Amount]]</f>
        <v>2598</v>
      </c>
      <c r="V3780" s="77">
        <f>INDEX(Products!E:E,MATCH(OrdersTable[[#This Row],[Product ID]],Products!A:A,0))</f>
        <v>585</v>
      </c>
      <c r="W3780" s="77">
        <f>OrdersTable[[#This Row],[Quantity]]*OrdersTable[[#This Row],[Unit Cost]]</f>
        <v>1170</v>
      </c>
      <c r="X3780" s="77">
        <f>'Dropdown Lists'!$I$2*(1+OrdersTable[[#This Row],[Returned]])</f>
        <v>60</v>
      </c>
      <c r="Y3780" s="76">
        <f>OrdersTable[[#This Row],[Net Revenue]]-OrdersTable[[#This Row],[COGS]]-OrdersTable[[#This Row],[Shipping Cost]]</f>
        <v>1368</v>
      </c>
      <c r="Z3780" s="78">
        <f>IFERROR(OrdersTable[[#This Row],[Profit]]/OrdersTable[[#This Row],[Net Revenue]],0)</f>
        <v>0.52655889145496537</v>
      </c>
      <c r="AA3780" t="s">
        <v>18</v>
      </c>
      <c r="AB3780" s="79">
        <v>45902</v>
      </c>
      <c r="AC3780">
        <f>OrdersTable[[#This Row],[Delivery Date]]-OrdersTable[[#This Row],[Order Date]]</f>
        <v>1</v>
      </c>
      <c r="AD3780" t="str">
        <f>IF(OrdersTable[[#This Row],[Delivery Days]]&lt;=2, "Express (≤2d)", IF(OrdersTable[[#This Row],[Delivery Days]]&lt;=4, "Standard (3-4d)", "Delayed (5d+)"))</f>
        <v>Express (≤2d)</v>
      </c>
      <c r="AE3780">
        <v>5</v>
      </c>
      <c r="AF3780">
        <v>0</v>
      </c>
    </row>
    <row r="3781" spans="1:32" ht="15" x14ac:dyDescent="0.35">
      <c r="A3781" t="s">
        <v>6399</v>
      </c>
      <c r="B3781" s="1">
        <v>45902</v>
      </c>
      <c r="C3781">
        <f>YEAR(OrdersTable[[#This Row],[Order Date]])</f>
        <v>2025</v>
      </c>
      <c r="D3781" s="2">
        <f>DATE(YEAR(OrdersTable[[#This Row],[Order Date]]),MONTH(OrdersTable[[#This Row],[Order Date]]),1)</f>
        <v>45901</v>
      </c>
      <c r="E3781">
        <f>MONTH(OrdersTable[[#This Row],[Order Date]])</f>
        <v>9</v>
      </c>
      <c r="F3781" t="s">
        <v>5532</v>
      </c>
      <c r="G3781" t="str">
        <f>IF(OrdersTable[[#This Row],[Order Date]]=_xlfn.MINIFS(Order_Date, Customer_ID, OrdersTable[[#This Row],[Customer ID]]), "New", "Repeat")</f>
        <v>Repeat</v>
      </c>
      <c r="H3781" t="s">
        <v>54</v>
      </c>
      <c r="I3781" t="str">
        <f>INDEX(State!B:B,MATCH(OrdersTable[[#This Row],[State]],State!A:A,0))</f>
        <v>RJ</v>
      </c>
      <c r="J3781" t="str">
        <f>INDEX(State!C:C,MATCH(OrdersTable[[#This Row],[State Code]],State!B:B,0))</f>
        <v>North</v>
      </c>
      <c r="K3781" t="s">
        <v>55</v>
      </c>
      <c r="L3781" t="s">
        <v>65</v>
      </c>
      <c r="M3781" t="s">
        <v>51</v>
      </c>
      <c r="N3781" t="str">
        <f>INDEX(Products!B:B,MATCH(OrdersTable[[#This Row],[Product ID]],Products!A:A,0))</f>
        <v>Anti-Dandruff Conditioner</v>
      </c>
      <c r="O3781" t="str">
        <f>INDEX(Products!C:C,MATCH(OrdersTable[[#This Row],[Product ID]],Products!A:A,0))</f>
        <v>Haircare</v>
      </c>
      <c r="P3781">
        <v>2</v>
      </c>
      <c r="Q3781" s="5">
        <v>399</v>
      </c>
      <c r="R3781" s="74">
        <v>0.45</v>
      </c>
      <c r="S3781" s="75">
        <f>OrdersTable[[#This Row],[Quantity]]*OrdersTable[[#This Row],[Unit Price]]</f>
        <v>798</v>
      </c>
      <c r="T3781" s="5">
        <f>OrdersTable[[#This Row],[Gross Sale]]*OrdersTable[[#This Row],[Discount_Clean2]]</f>
        <v>359.1</v>
      </c>
      <c r="U3781" s="5">
        <f>OrdersTable[[#This Row],[Gross Sale]]-OrdersTable[[#This Row],[Discount Amount]]</f>
        <v>438.9</v>
      </c>
      <c r="V3781" s="77">
        <f>INDEX(Products!E:E,MATCH(OrdersTable[[#This Row],[Product ID]],Products!A:A,0))</f>
        <v>136</v>
      </c>
      <c r="W3781" s="77">
        <f>OrdersTable[[#This Row],[Quantity]]*OrdersTable[[#This Row],[Unit Cost]]</f>
        <v>272</v>
      </c>
      <c r="X3781" s="77">
        <f>'Dropdown Lists'!$I$2*(1+OrdersTable[[#This Row],[Returned]])</f>
        <v>60</v>
      </c>
      <c r="Y3781" s="76">
        <f>OrdersTable[[#This Row],[Net Revenue]]-OrdersTable[[#This Row],[COGS]]-OrdersTable[[#This Row],[Shipping Cost]]</f>
        <v>106.89999999999998</v>
      </c>
      <c r="Z3781" s="78">
        <f>IFERROR(OrdersTable[[#This Row],[Profit]]/OrdersTable[[#This Row],[Net Revenue]],0)</f>
        <v>0.24356345408976984</v>
      </c>
      <c r="AA3781" t="s">
        <v>18</v>
      </c>
      <c r="AB3781" s="79">
        <v>45906</v>
      </c>
      <c r="AC3781">
        <f>OrdersTable[[#This Row],[Delivery Date]]-OrdersTable[[#This Row],[Order Date]]</f>
        <v>4</v>
      </c>
      <c r="AD3781" t="str">
        <f>IF(OrdersTable[[#This Row],[Delivery Days]]&lt;=2, "Express (≤2d)", IF(OrdersTable[[#This Row],[Delivery Days]]&lt;=4, "Standard (3-4d)", "Delayed (5d+)"))</f>
        <v>Standard (3-4d)</v>
      </c>
      <c r="AF3781">
        <v>0</v>
      </c>
    </row>
    <row r="3782" spans="1:32" ht="15" x14ac:dyDescent="0.35">
      <c r="A3782" t="s">
        <v>6614</v>
      </c>
      <c r="B3782" s="1">
        <v>45902</v>
      </c>
      <c r="C3782">
        <f>YEAR(OrdersTable[[#This Row],[Order Date]])</f>
        <v>2025</v>
      </c>
      <c r="D3782" s="2">
        <f>DATE(YEAR(OrdersTable[[#This Row],[Order Date]]),MONTH(OrdersTable[[#This Row],[Order Date]]),1)</f>
        <v>45901</v>
      </c>
      <c r="E3782">
        <f>MONTH(OrdersTable[[#This Row],[Order Date]])</f>
        <v>9</v>
      </c>
      <c r="F3782" t="s">
        <v>1655</v>
      </c>
      <c r="G3782" t="str">
        <f>IF(OrdersTable[[#This Row],[Order Date]]=_xlfn.MINIFS(Order_Date, Customer_ID, OrdersTable[[#This Row],[Customer ID]]), "New", "Repeat")</f>
        <v>Repeat</v>
      </c>
      <c r="H3782" t="s">
        <v>128</v>
      </c>
      <c r="I3782" t="str">
        <f>INDEX(State!B:B,MATCH(OrdersTable[[#This Row],[State]],State!A:A,0))</f>
        <v>DL</v>
      </c>
      <c r="J3782" t="str">
        <f>INDEX(State!C:C,MATCH(OrdersTable[[#This Row],[State Code]],State!B:B,0))</f>
        <v>North</v>
      </c>
      <c r="K3782" t="s">
        <v>129</v>
      </c>
      <c r="L3782" t="s">
        <v>23</v>
      </c>
      <c r="M3782" t="s">
        <v>84</v>
      </c>
      <c r="N3782" t="str">
        <f>INDEX(Products!B:B,MATCH(OrdersTable[[#This Row],[Product ID]],Products!A:A,0))</f>
        <v>Cotton Bedsheet</v>
      </c>
      <c r="O3782" t="str">
        <f>INDEX(Products!C:C,MATCH(OrdersTable[[#This Row],[Product ID]],Products!A:A,0))</f>
        <v>Home &amp; Kitchen</v>
      </c>
      <c r="P3782">
        <v>3</v>
      </c>
      <c r="Q3782" s="5">
        <v>1299</v>
      </c>
      <c r="R3782" s="74">
        <v>0</v>
      </c>
      <c r="S3782" s="75">
        <f>OrdersTable[[#This Row],[Quantity]]*OrdersTable[[#This Row],[Unit Price]]</f>
        <v>3897</v>
      </c>
      <c r="T3782" s="5">
        <f>OrdersTable[[#This Row],[Gross Sale]]*OrdersTable[[#This Row],[Discount_Clean2]]</f>
        <v>0</v>
      </c>
      <c r="U3782" s="5">
        <f>OrdersTable[[#This Row],[Gross Sale]]-OrdersTable[[#This Row],[Discount Amount]]</f>
        <v>3897</v>
      </c>
      <c r="V3782" s="77">
        <f>INDEX(Products!E:E,MATCH(OrdersTable[[#This Row],[Product ID]],Products!A:A,0))</f>
        <v>585</v>
      </c>
      <c r="W3782" s="77">
        <f>OrdersTable[[#This Row],[Quantity]]*OrdersTable[[#This Row],[Unit Cost]]</f>
        <v>1755</v>
      </c>
      <c r="X3782" s="77">
        <f>'Dropdown Lists'!$I$2*(1+OrdersTable[[#This Row],[Returned]])</f>
        <v>60</v>
      </c>
      <c r="Y3782" s="76">
        <f>OrdersTable[[#This Row],[Net Revenue]]-OrdersTable[[#This Row],[COGS]]-OrdersTable[[#This Row],[Shipping Cost]]</f>
        <v>2082</v>
      </c>
      <c r="Z3782" s="78">
        <f>IFERROR(OrdersTable[[#This Row],[Profit]]/OrdersTable[[#This Row],[Net Revenue]],0)</f>
        <v>0.53425712086220167</v>
      </c>
      <c r="AA3782" t="s">
        <v>18</v>
      </c>
      <c r="AB3782" s="79">
        <v>45904</v>
      </c>
      <c r="AC3782">
        <f>OrdersTable[[#This Row],[Delivery Date]]-OrdersTable[[#This Row],[Order Date]]</f>
        <v>2</v>
      </c>
      <c r="AD3782" t="str">
        <f>IF(OrdersTable[[#This Row],[Delivery Days]]&lt;=2, "Express (≤2d)", IF(OrdersTable[[#This Row],[Delivery Days]]&lt;=4, "Standard (3-4d)", "Delayed (5d+)"))</f>
        <v>Express (≤2d)</v>
      </c>
      <c r="AE3782">
        <v>4</v>
      </c>
      <c r="AF3782">
        <v>0</v>
      </c>
    </row>
    <row r="3783" spans="1:32" ht="15" x14ac:dyDescent="0.35">
      <c r="A3783" t="s">
        <v>3794</v>
      </c>
      <c r="B3783" s="1">
        <v>45902</v>
      </c>
      <c r="C3783">
        <f>YEAR(OrdersTable[[#This Row],[Order Date]])</f>
        <v>2025</v>
      </c>
      <c r="D3783" s="2">
        <f>DATE(YEAR(OrdersTable[[#This Row],[Order Date]]),MONTH(OrdersTable[[#This Row],[Order Date]]),1)</f>
        <v>45901</v>
      </c>
      <c r="E3783">
        <f>MONTH(OrdersTable[[#This Row],[Order Date]])</f>
        <v>9</v>
      </c>
      <c r="F3783" t="s">
        <v>3795</v>
      </c>
      <c r="G3783" t="str">
        <f>IF(OrdersTable[[#This Row],[Order Date]]=_xlfn.MINIFS(Order_Date, Customer_ID, OrdersTable[[#This Row],[Customer ID]]), "New", "Repeat")</f>
        <v>New</v>
      </c>
      <c r="H3783" t="s">
        <v>76</v>
      </c>
      <c r="I3783" t="str">
        <f>INDEX(State!B:B,MATCH(OrdersTable[[#This Row],[State]],State!A:A,0))</f>
        <v>UP</v>
      </c>
      <c r="J3783" t="str">
        <f>INDEX(State!C:C,MATCH(OrdersTable[[#This Row],[State Code]],State!B:B,0))</f>
        <v>North</v>
      </c>
      <c r="K3783" t="s">
        <v>118</v>
      </c>
      <c r="L3783" t="s">
        <v>65</v>
      </c>
      <c r="M3783" t="s">
        <v>34</v>
      </c>
      <c r="N3783" t="str">
        <f>INDEX(Products!B:B,MATCH(OrdersTable[[#This Row],[Product ID]],Products!A:A,0))</f>
        <v>Flip Flops</v>
      </c>
      <c r="O3783" t="str">
        <f>INDEX(Products!C:C,MATCH(OrdersTable[[#This Row],[Product ID]],Products!A:A,0))</f>
        <v>Footwear</v>
      </c>
      <c r="P3783">
        <v>1</v>
      </c>
      <c r="Q3783" s="5">
        <v>399</v>
      </c>
      <c r="R3783" s="74">
        <v>0.1</v>
      </c>
      <c r="S3783" s="75">
        <f>OrdersTable[[#This Row],[Quantity]]*OrdersTable[[#This Row],[Unit Price]]</f>
        <v>399</v>
      </c>
      <c r="T3783" s="5">
        <f>OrdersTable[[#This Row],[Gross Sale]]*OrdersTable[[#This Row],[Discount_Clean2]]</f>
        <v>39.900000000000006</v>
      </c>
      <c r="U3783" s="5">
        <f>OrdersTable[[#This Row],[Gross Sale]]-OrdersTable[[#This Row],[Discount Amount]]</f>
        <v>359.1</v>
      </c>
      <c r="V3783" s="77">
        <f>INDEX(Products!E:E,MATCH(OrdersTable[[#This Row],[Product ID]],Products!A:A,0))</f>
        <v>152</v>
      </c>
      <c r="W3783" s="77">
        <f>OrdersTable[[#This Row],[Quantity]]*OrdersTable[[#This Row],[Unit Cost]]</f>
        <v>152</v>
      </c>
      <c r="X3783" s="77">
        <f>'Dropdown Lists'!$I$2*(1+OrdersTable[[#This Row],[Returned]])</f>
        <v>60</v>
      </c>
      <c r="Y3783" s="76">
        <f>OrdersTable[[#This Row],[Net Revenue]]-OrdersTable[[#This Row],[COGS]]-OrdersTable[[#This Row],[Shipping Cost]]</f>
        <v>147.10000000000002</v>
      </c>
      <c r="Z3783" s="78">
        <f>IFERROR(OrdersTable[[#This Row],[Profit]]/OrdersTable[[#This Row],[Net Revenue]],0)</f>
        <v>0.40963519910888335</v>
      </c>
      <c r="AA3783" t="s">
        <v>3495</v>
      </c>
      <c r="AB3783" s="79">
        <v>45905</v>
      </c>
      <c r="AC3783">
        <f>OrdersTable[[#This Row],[Delivery Date]]-OrdersTable[[#This Row],[Order Date]]</f>
        <v>3</v>
      </c>
      <c r="AD3783" t="str">
        <f>IF(OrdersTable[[#This Row],[Delivery Days]]&lt;=2, "Express (≤2d)", IF(OrdersTable[[#This Row],[Delivery Days]]&lt;=4, "Standard (3-4d)", "Delayed (5d+)"))</f>
        <v>Standard (3-4d)</v>
      </c>
      <c r="AF3783">
        <v>0</v>
      </c>
    </row>
    <row r="3784" spans="1:32" ht="15" x14ac:dyDescent="0.35">
      <c r="A3784" t="s">
        <v>2829</v>
      </c>
      <c r="B3784" s="1">
        <v>45902</v>
      </c>
      <c r="C3784">
        <f>YEAR(OrdersTable[[#This Row],[Order Date]])</f>
        <v>2025</v>
      </c>
      <c r="D3784" s="2">
        <f>DATE(YEAR(OrdersTable[[#This Row],[Order Date]]),MONTH(OrdersTable[[#This Row],[Order Date]]),1)</f>
        <v>45901</v>
      </c>
      <c r="E3784">
        <f>MONTH(OrdersTable[[#This Row],[Order Date]])</f>
        <v>9</v>
      </c>
      <c r="F3784" t="s">
        <v>2830</v>
      </c>
      <c r="G3784" t="str">
        <f>IF(OrdersTable[[#This Row],[Order Date]]=_xlfn.MINIFS(Order_Date, Customer_ID, OrdersTable[[#This Row],[Customer ID]]), "New", "Repeat")</f>
        <v>New</v>
      </c>
      <c r="H3784" t="s">
        <v>37</v>
      </c>
      <c r="I3784" t="str">
        <f>INDEX(State!B:B,MATCH(OrdersTable[[#This Row],[State]],State!A:A,0))</f>
        <v>GJ</v>
      </c>
      <c r="J3784" t="str">
        <f>INDEX(State!C:C,MATCH(OrdersTable[[#This Row],[State Code]],State!B:B,0))</f>
        <v>West</v>
      </c>
      <c r="K3784" t="s">
        <v>247</v>
      </c>
      <c r="L3784" t="s">
        <v>65</v>
      </c>
      <c r="M3784" t="s">
        <v>61</v>
      </c>
      <c r="N3784" t="str">
        <f>INDEX(Products!B:B,MATCH(OrdersTable[[#This Row],[Product ID]],Products!A:A,0))</f>
        <v>Multivitamin Gummies</v>
      </c>
      <c r="O3784" t="str">
        <f>INDEX(Products!C:C,MATCH(OrdersTable[[#This Row],[Product ID]],Products!A:A,0))</f>
        <v>Wellness</v>
      </c>
      <c r="P3784">
        <v>1</v>
      </c>
      <c r="Q3784" s="5">
        <v>699</v>
      </c>
      <c r="R3784" s="74">
        <v>0.2</v>
      </c>
      <c r="S3784" s="75">
        <f>OrdersTable[[#This Row],[Quantity]]*OrdersTable[[#This Row],[Unit Price]]</f>
        <v>699</v>
      </c>
      <c r="T3784" s="5">
        <f>OrdersTable[[#This Row],[Gross Sale]]*OrdersTable[[#This Row],[Discount_Clean2]]</f>
        <v>139.80000000000001</v>
      </c>
      <c r="U3784" s="5">
        <f>OrdersTable[[#This Row],[Gross Sale]]-OrdersTable[[#This Row],[Discount Amount]]</f>
        <v>559.20000000000005</v>
      </c>
      <c r="V3784" s="77">
        <f>INDEX(Products!E:E,MATCH(OrdersTable[[#This Row],[Product ID]],Products!A:A,0))</f>
        <v>238</v>
      </c>
      <c r="W3784" s="77">
        <f>OrdersTable[[#This Row],[Quantity]]*OrdersTable[[#This Row],[Unit Cost]]</f>
        <v>238</v>
      </c>
      <c r="X3784" s="77">
        <f>'Dropdown Lists'!$I$2*(1+OrdersTable[[#This Row],[Returned]])</f>
        <v>60</v>
      </c>
      <c r="Y3784" s="76">
        <f>OrdersTable[[#This Row],[Net Revenue]]-OrdersTable[[#This Row],[COGS]]-OrdersTable[[#This Row],[Shipping Cost]]</f>
        <v>261.20000000000005</v>
      </c>
      <c r="Z3784" s="78">
        <f>IFERROR(OrdersTable[[#This Row],[Profit]]/OrdersTable[[#This Row],[Net Revenue]],0)</f>
        <v>0.46709585121602293</v>
      </c>
      <c r="AA3784" t="s">
        <v>2522</v>
      </c>
      <c r="AB3784" s="79">
        <v>45904</v>
      </c>
      <c r="AC3784">
        <f>OrdersTable[[#This Row],[Delivery Date]]-OrdersTable[[#This Row],[Order Date]]</f>
        <v>2</v>
      </c>
      <c r="AD3784" t="str">
        <f>IF(OrdersTable[[#This Row],[Delivery Days]]&lt;=2, "Express (≤2d)", IF(OrdersTable[[#This Row],[Delivery Days]]&lt;=4, "Standard (3-4d)", "Delayed (5d+)"))</f>
        <v>Express (≤2d)</v>
      </c>
      <c r="AE3784">
        <v>3</v>
      </c>
      <c r="AF3784">
        <v>0</v>
      </c>
    </row>
    <row r="3785" spans="1:32" ht="15" x14ac:dyDescent="0.35">
      <c r="A3785" t="s">
        <v>6400</v>
      </c>
      <c r="B3785" s="1">
        <v>45902</v>
      </c>
      <c r="C3785">
        <f>YEAR(OrdersTable[[#This Row],[Order Date]])</f>
        <v>2025</v>
      </c>
      <c r="D3785" s="2">
        <f>DATE(YEAR(OrdersTable[[#This Row],[Order Date]]),MONTH(OrdersTable[[#This Row],[Order Date]]),1)</f>
        <v>45901</v>
      </c>
      <c r="E3785">
        <f>MONTH(OrdersTable[[#This Row],[Order Date]])</f>
        <v>9</v>
      </c>
      <c r="F3785" t="s">
        <v>6401</v>
      </c>
      <c r="G3785" t="str">
        <f>IF(OrdersTable[[#This Row],[Order Date]]=_xlfn.MINIFS(Order_Date, Customer_ID, OrdersTable[[#This Row],[Customer ID]]), "New", "Repeat")</f>
        <v>New</v>
      </c>
      <c r="H3785" t="s">
        <v>27</v>
      </c>
      <c r="I3785" t="str">
        <f>INDEX(State!B:B,MATCH(OrdersTable[[#This Row],[State]],State!A:A,0))</f>
        <v>WB</v>
      </c>
      <c r="J3785" t="str">
        <f>INDEX(State!C:C,MATCH(OrdersTable[[#This Row],[State Code]],State!B:B,0))</f>
        <v>East</v>
      </c>
      <c r="K3785" t="s">
        <v>28</v>
      </c>
      <c r="L3785" t="s">
        <v>23</v>
      </c>
      <c r="M3785" t="s">
        <v>152</v>
      </c>
      <c r="N3785" t="str">
        <f>INDEX(Products!B:B,MATCH(OrdersTable[[#This Row],[Product ID]],Products!A:A,0))</f>
        <v>Green Tea (100 bags)</v>
      </c>
      <c r="O3785" t="str">
        <f>INDEX(Products!C:C,MATCH(OrdersTable[[#This Row],[Product ID]],Products!A:A,0))</f>
        <v>Wellness</v>
      </c>
      <c r="P3785">
        <v>2</v>
      </c>
      <c r="Q3785" s="5">
        <v>399</v>
      </c>
      <c r="R3785" s="74">
        <v>0.35</v>
      </c>
      <c r="S3785" s="75">
        <f>OrdersTable[[#This Row],[Quantity]]*OrdersTable[[#This Row],[Unit Price]]</f>
        <v>798</v>
      </c>
      <c r="T3785" s="5">
        <f>OrdersTable[[#This Row],[Gross Sale]]*OrdersTable[[#This Row],[Discount_Clean2]]</f>
        <v>279.29999999999995</v>
      </c>
      <c r="U3785" s="5">
        <f>OrdersTable[[#This Row],[Gross Sale]]-OrdersTable[[#This Row],[Discount Amount]]</f>
        <v>518.70000000000005</v>
      </c>
      <c r="V3785" s="77">
        <f>INDEX(Products!E:E,MATCH(OrdersTable[[#This Row],[Product ID]],Products!A:A,0))</f>
        <v>128</v>
      </c>
      <c r="W3785" s="77">
        <f>OrdersTable[[#This Row],[Quantity]]*OrdersTable[[#This Row],[Unit Cost]]</f>
        <v>256</v>
      </c>
      <c r="X3785" s="77">
        <f>'Dropdown Lists'!$I$2*(1+OrdersTable[[#This Row],[Returned]])</f>
        <v>120</v>
      </c>
      <c r="Y3785" s="76">
        <f>OrdersTable[[#This Row],[Net Revenue]]-OrdersTable[[#This Row],[COGS]]-OrdersTable[[#This Row],[Shipping Cost]]</f>
        <v>142.70000000000005</v>
      </c>
      <c r="Z3785" s="78">
        <f>IFERROR(OrdersTable[[#This Row],[Profit]]/OrdersTable[[#This Row],[Net Revenue]],0)</f>
        <v>0.27511085405822255</v>
      </c>
      <c r="AA3785" t="s">
        <v>18</v>
      </c>
      <c r="AB3785" s="79">
        <v>45907</v>
      </c>
      <c r="AC3785">
        <f>OrdersTable[[#This Row],[Delivery Date]]-OrdersTable[[#This Row],[Order Date]]</f>
        <v>5</v>
      </c>
      <c r="AD3785" t="str">
        <f>IF(OrdersTable[[#This Row],[Delivery Days]]&lt;=2, "Express (≤2d)", IF(OrdersTable[[#This Row],[Delivery Days]]&lt;=4, "Standard (3-4d)", "Delayed (5d+)"))</f>
        <v>Delayed (5d+)</v>
      </c>
      <c r="AF3785">
        <v>1</v>
      </c>
    </row>
    <row r="3786" spans="1:32" ht="15" x14ac:dyDescent="0.35">
      <c r="A3786" t="s">
        <v>6402</v>
      </c>
      <c r="B3786" s="1">
        <v>45902</v>
      </c>
      <c r="C3786">
        <f>YEAR(OrdersTable[[#This Row],[Order Date]])</f>
        <v>2025</v>
      </c>
      <c r="D3786" s="2">
        <f>DATE(YEAR(OrdersTable[[#This Row],[Order Date]]),MONTH(OrdersTable[[#This Row],[Order Date]]),1)</f>
        <v>45901</v>
      </c>
      <c r="E3786">
        <f>MONTH(OrdersTable[[#This Row],[Order Date]])</f>
        <v>9</v>
      </c>
      <c r="F3786" t="s">
        <v>6403</v>
      </c>
      <c r="G3786" t="str">
        <f>IF(OrdersTable[[#This Row],[Order Date]]=_xlfn.MINIFS(Order_Date, Customer_ID, OrdersTable[[#This Row],[Customer ID]]), "New", "Repeat")</f>
        <v>New</v>
      </c>
      <c r="H3786" t="s">
        <v>71</v>
      </c>
      <c r="I3786" t="str">
        <f>INDEX(State!B:B,MATCH(OrdersTable[[#This Row],[State]],State!A:A,0))</f>
        <v>MH</v>
      </c>
      <c r="J3786" t="str">
        <f>INDEX(State!C:C,MATCH(OrdersTable[[#This Row],[State Code]],State!B:B,0))</f>
        <v>West</v>
      </c>
      <c r="K3786" t="s">
        <v>72</v>
      </c>
      <c r="L3786" t="s">
        <v>23</v>
      </c>
      <c r="M3786" t="s">
        <v>160</v>
      </c>
      <c r="N3786" t="str">
        <f>INDEX(Products!B:B,MATCH(OrdersTable[[#This Row],[Product ID]],Products!A:A,0))</f>
        <v>Niacinamide Toner</v>
      </c>
      <c r="O3786" t="str">
        <f>INDEX(Products!C:C,MATCH(OrdersTable[[#This Row],[Product ID]],Products!A:A,0))</f>
        <v>Skincare</v>
      </c>
      <c r="P3786">
        <v>2</v>
      </c>
      <c r="Q3786" s="5">
        <v>399</v>
      </c>
      <c r="R3786" s="74">
        <v>0.3</v>
      </c>
      <c r="S3786" s="75">
        <f>OrdersTable[[#This Row],[Quantity]]*OrdersTable[[#This Row],[Unit Price]]</f>
        <v>798</v>
      </c>
      <c r="T3786" s="5">
        <f>OrdersTable[[#This Row],[Gross Sale]]*OrdersTable[[#This Row],[Discount_Clean2]]</f>
        <v>239.39999999999998</v>
      </c>
      <c r="U3786" s="5">
        <f>OrdersTable[[#This Row],[Gross Sale]]-OrdersTable[[#This Row],[Discount Amount]]</f>
        <v>558.6</v>
      </c>
      <c r="V3786" s="77">
        <f>INDEX(Products!E:E,MATCH(OrdersTable[[#This Row],[Product ID]],Products!A:A,0))</f>
        <v>112</v>
      </c>
      <c r="W3786" s="77">
        <f>OrdersTable[[#This Row],[Quantity]]*OrdersTable[[#This Row],[Unit Cost]]</f>
        <v>224</v>
      </c>
      <c r="X3786" s="77">
        <f>'Dropdown Lists'!$I$2*(1+OrdersTable[[#This Row],[Returned]])</f>
        <v>60</v>
      </c>
      <c r="Y3786" s="76">
        <f>OrdersTable[[#This Row],[Net Revenue]]-OrdersTable[[#This Row],[COGS]]-OrdersTable[[#This Row],[Shipping Cost]]</f>
        <v>274.60000000000002</v>
      </c>
      <c r="Z3786" s="78">
        <f>IFERROR(OrdersTable[[#This Row],[Profit]]/OrdersTable[[#This Row],[Net Revenue]],0)</f>
        <v>0.49158610812746151</v>
      </c>
      <c r="AA3786" t="s">
        <v>18</v>
      </c>
      <c r="AB3786" s="79">
        <v>45904</v>
      </c>
      <c r="AC3786">
        <f>OrdersTable[[#This Row],[Delivery Date]]-OrdersTable[[#This Row],[Order Date]]</f>
        <v>2</v>
      </c>
      <c r="AD3786" t="str">
        <f>IF(OrdersTable[[#This Row],[Delivery Days]]&lt;=2, "Express (≤2d)", IF(OrdersTable[[#This Row],[Delivery Days]]&lt;=4, "Standard (3-4d)", "Delayed (5d+)"))</f>
        <v>Express (≤2d)</v>
      </c>
      <c r="AE3786">
        <v>5</v>
      </c>
      <c r="AF3786">
        <v>0</v>
      </c>
    </row>
    <row r="3787" spans="1:32" ht="15" x14ac:dyDescent="0.35">
      <c r="A3787" t="s">
        <v>7158</v>
      </c>
      <c r="B3787" s="1">
        <v>45903</v>
      </c>
      <c r="C3787">
        <f>YEAR(OrdersTable[[#This Row],[Order Date]])</f>
        <v>2025</v>
      </c>
      <c r="D3787" s="2">
        <f>DATE(YEAR(OrdersTable[[#This Row],[Order Date]]),MONTH(OrdersTable[[#This Row],[Order Date]]),1)</f>
        <v>45901</v>
      </c>
      <c r="E3787">
        <f>MONTH(OrdersTable[[#This Row],[Order Date]])</f>
        <v>9</v>
      </c>
      <c r="F3787" t="s">
        <v>3256</v>
      </c>
      <c r="G3787" t="str">
        <f>IF(OrdersTable[[#This Row],[Order Date]]=_xlfn.MINIFS(Order_Date, Customer_ID, OrdersTable[[#This Row],[Customer ID]]), "New", "Repeat")</f>
        <v>Repeat</v>
      </c>
      <c r="H3787" t="s">
        <v>128</v>
      </c>
      <c r="I3787" t="str">
        <f>INDEX(State!B:B,MATCH(OrdersTable[[#This Row],[State]],State!A:A,0))</f>
        <v>DL</v>
      </c>
      <c r="J3787" t="str">
        <f>INDEX(State!C:C,MATCH(OrdersTable[[#This Row],[State Code]],State!B:B,0))</f>
        <v>North</v>
      </c>
      <c r="K3787" t="s">
        <v>129</v>
      </c>
      <c r="L3787" t="s">
        <v>23</v>
      </c>
      <c r="M3787" t="s">
        <v>24</v>
      </c>
      <c r="N3787" t="str">
        <f>INDEX(Products!B:B,MATCH(OrdersTable[[#This Row],[Product ID]],Products!A:A,0))</f>
        <v>Scented Candle Set</v>
      </c>
      <c r="O3787" t="str">
        <f>INDEX(Products!C:C,MATCH(OrdersTable[[#This Row],[Product ID]],Products!A:A,0))</f>
        <v>Home &amp; Kitchen</v>
      </c>
      <c r="P3787">
        <v>5</v>
      </c>
      <c r="Q3787" s="5">
        <v>699</v>
      </c>
      <c r="R3787" s="74">
        <v>0.3</v>
      </c>
      <c r="S3787" s="75">
        <f>OrdersTable[[#This Row],[Quantity]]*OrdersTable[[#This Row],[Unit Price]]</f>
        <v>3495</v>
      </c>
      <c r="T3787" s="5">
        <f>OrdersTable[[#This Row],[Gross Sale]]*OrdersTable[[#This Row],[Discount_Clean2]]</f>
        <v>1048.5</v>
      </c>
      <c r="U3787" s="5">
        <f>OrdersTable[[#This Row],[Gross Sale]]-OrdersTable[[#This Row],[Discount Amount]]</f>
        <v>2446.5</v>
      </c>
      <c r="V3787" s="77">
        <f>INDEX(Products!E:E,MATCH(OrdersTable[[#This Row],[Product ID]],Products!A:A,0))</f>
        <v>245</v>
      </c>
      <c r="W3787" s="77">
        <f>OrdersTable[[#This Row],[Quantity]]*OrdersTable[[#This Row],[Unit Cost]]</f>
        <v>1225</v>
      </c>
      <c r="X3787" s="77">
        <f>'Dropdown Lists'!$I$2*(1+OrdersTable[[#This Row],[Returned]])</f>
        <v>60</v>
      </c>
      <c r="Y3787" s="76">
        <f>OrdersTable[[#This Row],[Net Revenue]]-OrdersTable[[#This Row],[COGS]]-OrdersTable[[#This Row],[Shipping Cost]]</f>
        <v>1161.5</v>
      </c>
      <c r="Z3787" s="78">
        <f>IFERROR(OrdersTable[[#This Row],[Profit]]/OrdersTable[[#This Row],[Net Revenue]],0)</f>
        <v>0.47475986102595547</v>
      </c>
      <c r="AA3787" t="s">
        <v>2522</v>
      </c>
      <c r="AB3787" s="79">
        <v>45905</v>
      </c>
      <c r="AC3787">
        <f>OrdersTable[[#This Row],[Delivery Date]]-OrdersTable[[#This Row],[Order Date]]</f>
        <v>2</v>
      </c>
      <c r="AD3787" t="str">
        <f>IF(OrdersTable[[#This Row],[Delivery Days]]&lt;=2, "Express (≤2d)", IF(OrdersTable[[#This Row],[Delivery Days]]&lt;=4, "Standard (3-4d)", "Delayed (5d+)"))</f>
        <v>Express (≤2d)</v>
      </c>
      <c r="AF3787">
        <v>0</v>
      </c>
    </row>
    <row r="3788" spans="1:32" ht="15" x14ac:dyDescent="0.35">
      <c r="A3788" t="s">
        <v>7111</v>
      </c>
      <c r="B3788" s="1">
        <v>45903</v>
      </c>
      <c r="C3788">
        <f>YEAR(OrdersTable[[#This Row],[Order Date]])</f>
        <v>2025</v>
      </c>
      <c r="D3788" s="2">
        <f>DATE(YEAR(OrdersTable[[#This Row],[Order Date]]),MONTH(OrdersTable[[#This Row],[Order Date]]),1)</f>
        <v>45901</v>
      </c>
      <c r="E3788">
        <f>MONTH(OrdersTable[[#This Row],[Order Date]])</f>
        <v>9</v>
      </c>
      <c r="F3788" t="s">
        <v>7112</v>
      </c>
      <c r="G3788" t="str">
        <f>IF(OrdersTable[[#This Row],[Order Date]]=_xlfn.MINIFS(Order_Date, Customer_ID, OrdersTable[[#This Row],[Customer ID]]), "New", "Repeat")</f>
        <v>New</v>
      </c>
      <c r="H3788" t="s">
        <v>128</v>
      </c>
      <c r="I3788" t="str">
        <f>INDEX(State!B:B,MATCH(OrdersTable[[#This Row],[State]],State!A:A,0))</f>
        <v>DL</v>
      </c>
      <c r="J3788" t="str">
        <f>INDEX(State!C:C,MATCH(OrdersTable[[#This Row],[State Code]],State!B:B,0))</f>
        <v>North</v>
      </c>
      <c r="K3788" t="s">
        <v>129</v>
      </c>
      <c r="L3788" t="s">
        <v>39</v>
      </c>
      <c r="M3788" t="s">
        <v>61</v>
      </c>
      <c r="N3788" t="str">
        <f>INDEX(Products!B:B,MATCH(OrdersTable[[#This Row],[Product ID]],Products!A:A,0))</f>
        <v>Multivitamin Gummies</v>
      </c>
      <c r="O3788" t="str">
        <f>INDEX(Products!C:C,MATCH(OrdersTable[[#This Row],[Product ID]],Products!A:A,0))</f>
        <v>Wellness</v>
      </c>
      <c r="P3788">
        <v>4</v>
      </c>
      <c r="Q3788" s="5">
        <v>699</v>
      </c>
      <c r="R3788" s="74">
        <v>0.1</v>
      </c>
      <c r="S3788" s="75">
        <f>OrdersTable[[#This Row],[Quantity]]*OrdersTable[[#This Row],[Unit Price]]</f>
        <v>2796</v>
      </c>
      <c r="T3788" s="5">
        <f>OrdersTable[[#This Row],[Gross Sale]]*OrdersTable[[#This Row],[Discount_Clean2]]</f>
        <v>279.60000000000002</v>
      </c>
      <c r="U3788" s="5">
        <f>OrdersTable[[#This Row],[Gross Sale]]-OrdersTable[[#This Row],[Discount Amount]]</f>
        <v>2516.4</v>
      </c>
      <c r="V3788" s="77">
        <f>INDEX(Products!E:E,MATCH(OrdersTable[[#This Row],[Product ID]],Products!A:A,0))</f>
        <v>238</v>
      </c>
      <c r="W3788" s="77">
        <f>OrdersTable[[#This Row],[Quantity]]*OrdersTable[[#This Row],[Unit Cost]]</f>
        <v>952</v>
      </c>
      <c r="X3788" s="77">
        <f>'Dropdown Lists'!$I$2*(1+OrdersTable[[#This Row],[Returned]])</f>
        <v>60</v>
      </c>
      <c r="Y3788" s="76">
        <f>OrdersTable[[#This Row],[Net Revenue]]-OrdersTable[[#This Row],[COGS]]-OrdersTable[[#This Row],[Shipping Cost]]</f>
        <v>1504.4</v>
      </c>
      <c r="Z3788" s="78">
        <f>IFERROR(OrdersTable[[#This Row],[Profit]]/OrdersTable[[#This Row],[Net Revenue]],0)</f>
        <v>0.59783818152916868</v>
      </c>
      <c r="AA3788" t="s">
        <v>18</v>
      </c>
      <c r="AB3788" s="79">
        <v>45905</v>
      </c>
      <c r="AC3788">
        <f>OrdersTable[[#This Row],[Delivery Date]]-OrdersTable[[#This Row],[Order Date]]</f>
        <v>2</v>
      </c>
      <c r="AD3788" t="str">
        <f>IF(OrdersTable[[#This Row],[Delivery Days]]&lt;=2, "Express (≤2d)", IF(OrdersTable[[#This Row],[Delivery Days]]&lt;=4, "Standard (3-4d)", "Delayed (5d+)"))</f>
        <v>Express (≤2d)</v>
      </c>
      <c r="AE3788">
        <v>5</v>
      </c>
      <c r="AF3788">
        <v>0</v>
      </c>
    </row>
    <row r="3789" spans="1:32" ht="15" x14ac:dyDescent="0.35">
      <c r="A3789" t="s">
        <v>3334</v>
      </c>
      <c r="B3789" s="1">
        <v>45903</v>
      </c>
      <c r="C3789">
        <f>YEAR(OrdersTable[[#This Row],[Order Date]])</f>
        <v>2025</v>
      </c>
      <c r="D3789" s="2">
        <f>DATE(YEAR(OrdersTable[[#This Row],[Order Date]]),MONTH(OrdersTable[[#This Row],[Order Date]]),1)</f>
        <v>45901</v>
      </c>
      <c r="E3789">
        <f>MONTH(OrdersTable[[#This Row],[Order Date]])</f>
        <v>9</v>
      </c>
      <c r="F3789" t="s">
        <v>1846</v>
      </c>
      <c r="G3789" t="str">
        <f>IF(OrdersTable[[#This Row],[Order Date]]=_xlfn.MINIFS(Order_Date, Customer_ID, OrdersTable[[#This Row],[Customer ID]]), "New", "Repeat")</f>
        <v>Repeat</v>
      </c>
      <c r="H3789" t="s">
        <v>76</v>
      </c>
      <c r="I3789" t="str">
        <f>INDEX(State!B:B,MATCH(OrdersTable[[#This Row],[State]],State!A:A,0))</f>
        <v>UP</v>
      </c>
      <c r="J3789" t="str">
        <f>INDEX(State!C:C,MATCH(OrdersTable[[#This Row],[State Code]],State!B:B,0))</f>
        <v>North</v>
      </c>
      <c r="K3789" t="s">
        <v>105</v>
      </c>
      <c r="L3789" t="s">
        <v>23</v>
      </c>
      <c r="M3789" t="s">
        <v>66</v>
      </c>
      <c r="N3789" t="str">
        <f>INDEX(Products!B:B,MATCH(OrdersTable[[#This Row],[Product ID]],Products!A:A,0))</f>
        <v>Sunscreen SPF 50</v>
      </c>
      <c r="O3789" t="str">
        <f>INDEX(Products!C:C,MATCH(OrdersTable[[#This Row],[Product ID]],Products!A:A,0))</f>
        <v>Skincare</v>
      </c>
      <c r="P3789">
        <v>1</v>
      </c>
      <c r="Q3789" s="5">
        <v>449</v>
      </c>
      <c r="R3789" s="74">
        <v>0.15</v>
      </c>
      <c r="S3789" s="75">
        <f>OrdersTable[[#This Row],[Quantity]]*OrdersTable[[#This Row],[Unit Price]]</f>
        <v>449</v>
      </c>
      <c r="T3789" s="5">
        <f>OrdersTable[[#This Row],[Gross Sale]]*OrdersTable[[#This Row],[Discount_Clean2]]</f>
        <v>67.349999999999994</v>
      </c>
      <c r="U3789" s="5">
        <f>OrdersTable[[#This Row],[Gross Sale]]-OrdersTable[[#This Row],[Discount Amount]]</f>
        <v>381.65</v>
      </c>
      <c r="V3789" s="77">
        <f>INDEX(Products!E:E,MATCH(OrdersTable[[#This Row],[Product ID]],Products!A:A,0))</f>
        <v>144</v>
      </c>
      <c r="W3789" s="77">
        <f>OrdersTable[[#This Row],[Quantity]]*OrdersTable[[#This Row],[Unit Cost]]</f>
        <v>144</v>
      </c>
      <c r="X3789" s="77">
        <f>'Dropdown Lists'!$I$2*(1+OrdersTable[[#This Row],[Returned]])</f>
        <v>60</v>
      </c>
      <c r="Y3789" s="76">
        <f>OrdersTable[[#This Row],[Net Revenue]]-OrdersTable[[#This Row],[COGS]]-OrdersTable[[#This Row],[Shipping Cost]]</f>
        <v>177.64999999999998</v>
      </c>
      <c r="Z3789" s="78">
        <f>IFERROR(OrdersTable[[#This Row],[Profit]]/OrdersTable[[#This Row],[Net Revenue]],0)</f>
        <v>0.465478841870824</v>
      </c>
      <c r="AA3789" t="s">
        <v>2522</v>
      </c>
      <c r="AB3789" s="79">
        <v>45904</v>
      </c>
      <c r="AC3789">
        <f>OrdersTable[[#This Row],[Delivery Date]]-OrdersTable[[#This Row],[Order Date]]</f>
        <v>1</v>
      </c>
      <c r="AD3789" t="str">
        <f>IF(OrdersTable[[#This Row],[Delivery Days]]&lt;=2, "Express (≤2d)", IF(OrdersTable[[#This Row],[Delivery Days]]&lt;=4, "Standard (3-4d)", "Delayed (5d+)"))</f>
        <v>Express (≤2d)</v>
      </c>
      <c r="AE3789">
        <v>4</v>
      </c>
      <c r="AF3789">
        <v>0</v>
      </c>
    </row>
    <row r="3790" spans="1:32" ht="15" x14ac:dyDescent="0.35">
      <c r="A3790" t="s">
        <v>5625</v>
      </c>
      <c r="B3790" s="1">
        <v>45903</v>
      </c>
      <c r="C3790">
        <f>YEAR(OrdersTable[[#This Row],[Order Date]])</f>
        <v>2025</v>
      </c>
      <c r="D3790" s="2">
        <f>DATE(YEAR(OrdersTable[[#This Row],[Order Date]]),MONTH(OrdersTable[[#This Row],[Order Date]]),1)</f>
        <v>45901</v>
      </c>
      <c r="E3790">
        <f>MONTH(OrdersTable[[#This Row],[Order Date]])</f>
        <v>9</v>
      </c>
      <c r="F3790" t="s">
        <v>652</v>
      </c>
      <c r="G3790" t="str">
        <f>IF(OrdersTable[[#This Row],[Order Date]]=_xlfn.MINIFS(Order_Date, Customer_ID, OrdersTable[[#This Row],[Customer ID]]), "New", "Repeat")</f>
        <v>Repeat</v>
      </c>
      <c r="H3790" t="s">
        <v>132</v>
      </c>
      <c r="I3790" t="str">
        <f>INDEX(State!B:B,MATCH(OrdersTable[[#This Row],[State]],State!A:A,0))</f>
        <v>AS</v>
      </c>
      <c r="J3790" t="str">
        <f>INDEX(State!C:C,MATCH(OrdersTable[[#This Row],[State Code]],State!B:B,0))</f>
        <v>East</v>
      </c>
      <c r="K3790" t="s">
        <v>133</v>
      </c>
      <c r="L3790" t="s">
        <v>50</v>
      </c>
      <c r="M3790" t="s">
        <v>160</v>
      </c>
      <c r="N3790" t="str">
        <f>INDEX(Products!B:B,MATCH(OrdersTable[[#This Row],[Product ID]],Products!A:A,0))</f>
        <v>Niacinamide Toner</v>
      </c>
      <c r="O3790" t="str">
        <f>INDEX(Products!C:C,MATCH(OrdersTable[[#This Row],[Product ID]],Products!A:A,0))</f>
        <v>Skincare</v>
      </c>
      <c r="P3790">
        <v>2</v>
      </c>
      <c r="Q3790" s="5">
        <v>399</v>
      </c>
      <c r="R3790" s="74">
        <v>0.25</v>
      </c>
      <c r="S3790" s="75">
        <f>OrdersTable[[#This Row],[Quantity]]*OrdersTable[[#This Row],[Unit Price]]</f>
        <v>798</v>
      </c>
      <c r="T3790" s="5">
        <f>OrdersTable[[#This Row],[Gross Sale]]*OrdersTable[[#This Row],[Discount_Clean2]]</f>
        <v>199.5</v>
      </c>
      <c r="U3790" s="5">
        <f>OrdersTable[[#This Row],[Gross Sale]]-OrdersTable[[#This Row],[Discount Amount]]</f>
        <v>598.5</v>
      </c>
      <c r="V3790" s="77">
        <f>INDEX(Products!E:E,MATCH(OrdersTable[[#This Row],[Product ID]],Products!A:A,0))</f>
        <v>112</v>
      </c>
      <c r="W3790" s="77">
        <f>OrdersTable[[#This Row],[Quantity]]*OrdersTable[[#This Row],[Unit Cost]]</f>
        <v>224</v>
      </c>
      <c r="X3790" s="77">
        <f>'Dropdown Lists'!$I$2*(1+OrdersTable[[#This Row],[Returned]])</f>
        <v>60</v>
      </c>
      <c r="Y3790" s="76">
        <f>OrdersTable[[#This Row],[Net Revenue]]-OrdersTable[[#This Row],[COGS]]-OrdersTable[[#This Row],[Shipping Cost]]</f>
        <v>314.5</v>
      </c>
      <c r="Z3790" s="78">
        <f>IFERROR(OrdersTable[[#This Row],[Profit]]/OrdersTable[[#This Row],[Net Revenue]],0)</f>
        <v>0.52548036758563077</v>
      </c>
      <c r="AA3790" t="s">
        <v>2522</v>
      </c>
      <c r="AB3790" s="79">
        <v>45910</v>
      </c>
      <c r="AC3790">
        <f>OrdersTable[[#This Row],[Delivery Date]]-OrdersTable[[#This Row],[Order Date]]</f>
        <v>7</v>
      </c>
      <c r="AD3790" t="str">
        <f>IF(OrdersTable[[#This Row],[Delivery Days]]&lt;=2, "Express (≤2d)", IF(OrdersTable[[#This Row],[Delivery Days]]&lt;=4, "Standard (3-4d)", "Delayed (5d+)"))</f>
        <v>Delayed (5d+)</v>
      </c>
      <c r="AE3790">
        <v>3</v>
      </c>
      <c r="AF3790">
        <v>0</v>
      </c>
    </row>
    <row r="3791" spans="1:32" ht="15" x14ac:dyDescent="0.35">
      <c r="A3791" t="s">
        <v>7024</v>
      </c>
      <c r="B3791" s="1">
        <v>45903</v>
      </c>
      <c r="C3791">
        <f>YEAR(OrdersTable[[#This Row],[Order Date]])</f>
        <v>2025</v>
      </c>
      <c r="D3791" s="2">
        <f>DATE(YEAR(OrdersTable[[#This Row],[Order Date]]),MONTH(OrdersTable[[#This Row],[Order Date]]),1)</f>
        <v>45901</v>
      </c>
      <c r="E3791">
        <f>MONTH(OrdersTable[[#This Row],[Order Date]])</f>
        <v>9</v>
      </c>
      <c r="F3791" t="s">
        <v>1988</v>
      </c>
      <c r="G3791" t="str">
        <f>IF(OrdersTable[[#This Row],[Order Date]]=_xlfn.MINIFS(Order_Date, Customer_ID, OrdersTable[[#This Row],[Customer ID]]), "New", "Repeat")</f>
        <v>Repeat</v>
      </c>
      <c r="H3791" t="s">
        <v>27</v>
      </c>
      <c r="I3791" t="str">
        <f>INDEX(State!B:B,MATCH(OrdersTable[[#This Row],[State]],State!A:A,0))</f>
        <v>WB</v>
      </c>
      <c r="J3791" t="str">
        <f>INDEX(State!C:C,MATCH(OrdersTable[[#This Row],[State Code]],State!B:B,0))</f>
        <v>East</v>
      </c>
      <c r="K3791" t="s">
        <v>28</v>
      </c>
      <c r="L3791" t="s">
        <v>50</v>
      </c>
      <c r="M3791" t="s">
        <v>40</v>
      </c>
      <c r="N3791" t="str">
        <f>INDEX(Products!B:B,MATCH(OrdersTable[[#This Row],[Product ID]],Products!A:A,0))</f>
        <v>Ashwagandha Capsules</v>
      </c>
      <c r="O3791" t="str">
        <f>INDEX(Products!C:C,MATCH(OrdersTable[[#This Row],[Product ID]],Products!A:A,0))</f>
        <v>Wellness</v>
      </c>
      <c r="P3791">
        <v>4</v>
      </c>
      <c r="Q3791" s="5">
        <v>499</v>
      </c>
      <c r="R3791" s="74">
        <v>0</v>
      </c>
      <c r="S3791" s="75">
        <f>OrdersTable[[#This Row],[Quantity]]*OrdersTable[[#This Row],[Unit Price]]</f>
        <v>1996</v>
      </c>
      <c r="T3791" s="5">
        <f>OrdersTable[[#This Row],[Gross Sale]]*OrdersTable[[#This Row],[Discount_Clean2]]</f>
        <v>0</v>
      </c>
      <c r="U3791" s="5">
        <f>OrdersTable[[#This Row],[Gross Sale]]-OrdersTable[[#This Row],[Discount Amount]]</f>
        <v>1996</v>
      </c>
      <c r="V3791" s="77">
        <f>INDEX(Products!E:E,MATCH(OrdersTable[[#This Row],[Product ID]],Products!A:A,0))</f>
        <v>150</v>
      </c>
      <c r="W3791" s="77">
        <f>OrdersTable[[#This Row],[Quantity]]*OrdersTable[[#This Row],[Unit Cost]]</f>
        <v>600</v>
      </c>
      <c r="X3791" s="77">
        <f>'Dropdown Lists'!$I$2*(1+OrdersTable[[#This Row],[Returned]])</f>
        <v>60</v>
      </c>
      <c r="Y3791" s="76">
        <f>OrdersTable[[#This Row],[Net Revenue]]-OrdersTable[[#This Row],[COGS]]-OrdersTable[[#This Row],[Shipping Cost]]</f>
        <v>1336</v>
      </c>
      <c r="Z3791" s="78">
        <f>IFERROR(OrdersTable[[#This Row],[Profit]]/OrdersTable[[#This Row],[Net Revenue]],0)</f>
        <v>0.66933867735470942</v>
      </c>
      <c r="AA3791" t="s">
        <v>2522</v>
      </c>
      <c r="AB3791" s="79">
        <v>45907</v>
      </c>
      <c r="AC3791">
        <f>OrdersTable[[#This Row],[Delivery Date]]-OrdersTable[[#This Row],[Order Date]]</f>
        <v>4</v>
      </c>
      <c r="AD3791" t="str">
        <f>IF(OrdersTable[[#This Row],[Delivery Days]]&lt;=2, "Express (≤2d)", IF(OrdersTable[[#This Row],[Delivery Days]]&lt;=4, "Standard (3-4d)", "Delayed (5d+)"))</f>
        <v>Standard (3-4d)</v>
      </c>
      <c r="AE3791">
        <v>3</v>
      </c>
      <c r="AF3791">
        <v>0</v>
      </c>
    </row>
    <row r="3792" spans="1:32" ht="15" x14ac:dyDescent="0.35">
      <c r="A3792" t="s">
        <v>4850</v>
      </c>
      <c r="B3792" s="1">
        <v>45903</v>
      </c>
      <c r="C3792">
        <f>YEAR(OrdersTable[[#This Row],[Order Date]])</f>
        <v>2025</v>
      </c>
      <c r="D3792" s="2">
        <f>DATE(YEAR(OrdersTable[[#This Row],[Order Date]]),MONTH(OrdersTable[[#This Row],[Order Date]]),1)</f>
        <v>45901</v>
      </c>
      <c r="E3792">
        <f>MONTH(OrdersTable[[#This Row],[Order Date]])</f>
        <v>9</v>
      </c>
      <c r="F3792" t="s">
        <v>4778</v>
      </c>
      <c r="G3792" t="str">
        <f>IF(OrdersTable[[#This Row],[Order Date]]=_xlfn.MINIFS(Order_Date, Customer_ID, OrdersTable[[#This Row],[Customer ID]]), "New", "Repeat")</f>
        <v>Repeat</v>
      </c>
      <c r="H3792" t="s">
        <v>71</v>
      </c>
      <c r="I3792" t="str">
        <f>INDEX(State!B:B,MATCH(OrdersTable[[#This Row],[State]],State!A:A,0))</f>
        <v>MH</v>
      </c>
      <c r="J3792" t="str">
        <f>INDEX(State!C:C,MATCH(OrdersTable[[#This Row],[State Code]],State!B:B,0))</f>
        <v>West</v>
      </c>
      <c r="K3792" t="s">
        <v>102</v>
      </c>
      <c r="L3792" t="s">
        <v>65</v>
      </c>
      <c r="M3792" t="s">
        <v>109</v>
      </c>
      <c r="N3792" t="str">
        <f>INDEX(Products!B:B,MATCH(OrdersTable[[#This Row],[Product ID]],Products!A:A,0))</f>
        <v>Onion Hair Oil</v>
      </c>
      <c r="O3792" t="str">
        <f>INDEX(Products!C:C,MATCH(OrdersTable[[#This Row],[Product ID]],Products!A:A,0))</f>
        <v>Haircare</v>
      </c>
      <c r="P3792">
        <v>2</v>
      </c>
      <c r="Q3792" s="5">
        <v>349</v>
      </c>
      <c r="R3792" s="74">
        <v>0.3</v>
      </c>
      <c r="S3792" s="75">
        <f>OrdersTable[[#This Row],[Quantity]]*OrdersTable[[#This Row],[Unit Price]]</f>
        <v>698</v>
      </c>
      <c r="T3792" s="5">
        <f>OrdersTable[[#This Row],[Gross Sale]]*OrdersTable[[#This Row],[Discount_Clean2]]</f>
        <v>209.4</v>
      </c>
      <c r="U3792" s="5">
        <f>OrdersTable[[#This Row],[Gross Sale]]-OrdersTable[[#This Row],[Discount Amount]]</f>
        <v>488.6</v>
      </c>
      <c r="V3792" s="77">
        <f>INDEX(Products!E:E,MATCH(OrdersTable[[#This Row],[Product ID]],Products!A:A,0))</f>
        <v>105</v>
      </c>
      <c r="W3792" s="77">
        <f>OrdersTable[[#This Row],[Quantity]]*OrdersTable[[#This Row],[Unit Cost]]</f>
        <v>210</v>
      </c>
      <c r="X3792" s="77">
        <f>'Dropdown Lists'!$I$2*(1+OrdersTable[[#This Row],[Returned]])</f>
        <v>60</v>
      </c>
      <c r="Y3792" s="76">
        <f>OrdersTable[[#This Row],[Net Revenue]]-OrdersTable[[#This Row],[COGS]]-OrdersTable[[#This Row],[Shipping Cost]]</f>
        <v>218.60000000000002</v>
      </c>
      <c r="Z3792" s="78">
        <f>IFERROR(OrdersTable[[#This Row],[Profit]]/OrdersTable[[#This Row],[Net Revenue]],0)</f>
        <v>0.44740073679901765</v>
      </c>
      <c r="AA3792" t="s">
        <v>4450</v>
      </c>
      <c r="AB3792" s="79">
        <v>45907</v>
      </c>
      <c r="AC3792">
        <f>OrdersTable[[#This Row],[Delivery Date]]-OrdersTable[[#This Row],[Order Date]]</f>
        <v>4</v>
      </c>
      <c r="AD3792" t="str">
        <f>IF(OrdersTable[[#This Row],[Delivery Days]]&lt;=2, "Express (≤2d)", IF(OrdersTable[[#This Row],[Delivery Days]]&lt;=4, "Standard (3-4d)", "Delayed (5d+)"))</f>
        <v>Standard (3-4d)</v>
      </c>
      <c r="AE3792">
        <v>5</v>
      </c>
      <c r="AF3792">
        <v>0</v>
      </c>
    </row>
    <row r="3793" spans="1:32" ht="15" x14ac:dyDescent="0.35">
      <c r="A3793" t="s">
        <v>3101</v>
      </c>
      <c r="B3793" s="1">
        <v>45903</v>
      </c>
      <c r="C3793">
        <f>YEAR(OrdersTable[[#This Row],[Order Date]])</f>
        <v>2025</v>
      </c>
      <c r="D3793" s="2">
        <f>DATE(YEAR(OrdersTable[[#This Row],[Order Date]]),MONTH(OrdersTable[[#This Row],[Order Date]]),1)</f>
        <v>45901</v>
      </c>
      <c r="E3793">
        <f>MONTH(OrdersTable[[#This Row],[Order Date]])</f>
        <v>9</v>
      </c>
      <c r="F3793" t="s">
        <v>2203</v>
      </c>
      <c r="G3793" t="str">
        <f>IF(OrdersTable[[#This Row],[Order Date]]=_xlfn.MINIFS(Order_Date, Customer_ID, OrdersTable[[#This Row],[Customer ID]]), "New", "Repeat")</f>
        <v>Repeat</v>
      </c>
      <c r="H3793" t="s">
        <v>275</v>
      </c>
      <c r="I3793" t="str">
        <f>INDEX(State!B:B,MATCH(OrdersTable[[#This Row],[State]],State!A:A,0))</f>
        <v>AP</v>
      </c>
      <c r="J3793" t="str">
        <f>INDEX(State!C:C,MATCH(OrdersTable[[#This Row],[State Code]],State!B:B,0))</f>
        <v>South</v>
      </c>
      <c r="K3793" t="s">
        <v>491</v>
      </c>
      <c r="L3793" t="s">
        <v>23</v>
      </c>
      <c r="M3793" t="s">
        <v>73</v>
      </c>
      <c r="N3793" t="str">
        <f>INDEX(Products!B:B,MATCH(OrdersTable[[#This Row],[Product ID]],Products!A:A,0))</f>
        <v>Hydrating Face Wash</v>
      </c>
      <c r="O3793" t="str">
        <f>INDEX(Products!C:C,MATCH(OrdersTable[[#This Row],[Product ID]],Products!A:A,0))</f>
        <v>Skincare</v>
      </c>
      <c r="P3793">
        <v>1</v>
      </c>
      <c r="Q3793" s="5">
        <v>299</v>
      </c>
      <c r="R3793" s="74">
        <v>0</v>
      </c>
      <c r="S3793" s="75">
        <f>OrdersTable[[#This Row],[Quantity]]*OrdersTable[[#This Row],[Unit Price]]</f>
        <v>299</v>
      </c>
      <c r="T3793" s="5">
        <f>OrdersTable[[#This Row],[Gross Sale]]*OrdersTable[[#This Row],[Discount_Clean2]]</f>
        <v>0</v>
      </c>
      <c r="U3793" s="5">
        <f>OrdersTable[[#This Row],[Gross Sale]]-OrdersTable[[#This Row],[Discount Amount]]</f>
        <v>299</v>
      </c>
      <c r="V3793" s="77">
        <f>INDEX(Products!E:E,MATCH(OrdersTable[[#This Row],[Product ID]],Products!A:A,0))</f>
        <v>90</v>
      </c>
      <c r="W3793" s="77">
        <f>OrdersTable[[#This Row],[Quantity]]*OrdersTable[[#This Row],[Unit Cost]]</f>
        <v>90</v>
      </c>
      <c r="X3793" s="77">
        <f>'Dropdown Lists'!$I$2*(1+OrdersTable[[#This Row],[Returned]])</f>
        <v>60</v>
      </c>
      <c r="Y3793" s="76">
        <f>OrdersTable[[#This Row],[Net Revenue]]-OrdersTable[[#This Row],[COGS]]-OrdersTable[[#This Row],[Shipping Cost]]</f>
        <v>149</v>
      </c>
      <c r="Z3793" s="78">
        <f>IFERROR(OrdersTable[[#This Row],[Profit]]/OrdersTable[[#This Row],[Net Revenue]],0)</f>
        <v>0.49832775919732442</v>
      </c>
      <c r="AA3793" t="s">
        <v>2522</v>
      </c>
      <c r="AB3793" s="79">
        <v>45906</v>
      </c>
      <c r="AC3793">
        <f>OrdersTable[[#This Row],[Delivery Date]]-OrdersTable[[#This Row],[Order Date]]</f>
        <v>3</v>
      </c>
      <c r="AD3793" t="str">
        <f>IF(OrdersTable[[#This Row],[Delivery Days]]&lt;=2, "Express (≤2d)", IF(OrdersTable[[#This Row],[Delivery Days]]&lt;=4, "Standard (3-4d)", "Delayed (5d+)"))</f>
        <v>Standard (3-4d)</v>
      </c>
      <c r="AF3793">
        <v>0</v>
      </c>
    </row>
    <row r="3794" spans="1:32" ht="15" x14ac:dyDescent="0.35">
      <c r="A3794" t="s">
        <v>3335</v>
      </c>
      <c r="B3794" s="1">
        <v>45903</v>
      </c>
      <c r="C3794">
        <f>YEAR(OrdersTable[[#This Row],[Order Date]])</f>
        <v>2025</v>
      </c>
      <c r="D3794" s="2">
        <f>DATE(YEAR(OrdersTable[[#This Row],[Order Date]]),MONTH(OrdersTable[[#This Row],[Order Date]]),1)</f>
        <v>45901</v>
      </c>
      <c r="E3794">
        <f>MONTH(OrdersTable[[#This Row],[Order Date]])</f>
        <v>9</v>
      </c>
      <c r="F3794" t="s">
        <v>3336</v>
      </c>
      <c r="G3794" t="str">
        <f>IF(OrdersTable[[#This Row],[Order Date]]=_xlfn.MINIFS(Order_Date, Customer_ID, OrdersTable[[#This Row],[Customer ID]]), "New", "Repeat")</f>
        <v>New</v>
      </c>
      <c r="H3794" t="s">
        <v>316</v>
      </c>
      <c r="I3794" t="str">
        <f>INDEX(State!B:B,MATCH(OrdersTable[[#This Row],[State]],State!A:A,0))</f>
        <v>KL</v>
      </c>
      <c r="J3794" t="str">
        <f>INDEX(State!C:C,MATCH(OrdersTable[[#This Row],[State Code]],State!B:B,0))</f>
        <v>South</v>
      </c>
      <c r="K3794" t="s">
        <v>317</v>
      </c>
      <c r="L3794" t="s">
        <v>23</v>
      </c>
      <c r="M3794" t="s">
        <v>84</v>
      </c>
      <c r="N3794" t="str">
        <f>INDEX(Products!B:B,MATCH(OrdersTable[[#This Row],[Product ID]],Products!A:A,0))</f>
        <v>Cotton Bedsheet</v>
      </c>
      <c r="O3794" t="str">
        <f>INDEX(Products!C:C,MATCH(OrdersTable[[#This Row],[Product ID]],Products!A:A,0))</f>
        <v>Home &amp; Kitchen</v>
      </c>
      <c r="P3794">
        <v>1</v>
      </c>
      <c r="Q3794" s="5">
        <v>1299</v>
      </c>
      <c r="R3794" s="74">
        <v>0.05</v>
      </c>
      <c r="S3794" s="75">
        <f>OrdersTable[[#This Row],[Quantity]]*OrdersTable[[#This Row],[Unit Price]]</f>
        <v>1299</v>
      </c>
      <c r="T3794" s="5">
        <f>OrdersTable[[#This Row],[Gross Sale]]*OrdersTable[[#This Row],[Discount_Clean2]]</f>
        <v>64.95</v>
      </c>
      <c r="U3794" s="5">
        <f>OrdersTable[[#This Row],[Gross Sale]]-OrdersTable[[#This Row],[Discount Amount]]</f>
        <v>1234.05</v>
      </c>
      <c r="V3794" s="77">
        <f>INDEX(Products!E:E,MATCH(OrdersTable[[#This Row],[Product ID]],Products!A:A,0))</f>
        <v>585</v>
      </c>
      <c r="W3794" s="77">
        <f>OrdersTable[[#This Row],[Quantity]]*OrdersTable[[#This Row],[Unit Cost]]</f>
        <v>585</v>
      </c>
      <c r="X3794" s="77">
        <f>'Dropdown Lists'!$I$2*(1+OrdersTable[[#This Row],[Returned]])</f>
        <v>60</v>
      </c>
      <c r="Y3794" s="76">
        <f>OrdersTable[[#This Row],[Net Revenue]]-OrdersTable[[#This Row],[COGS]]-OrdersTable[[#This Row],[Shipping Cost]]</f>
        <v>589.04999999999995</v>
      </c>
      <c r="Z3794" s="78">
        <f>IFERROR(OrdersTable[[#This Row],[Profit]]/OrdersTable[[#This Row],[Net Revenue]],0)</f>
        <v>0.47733074024553296</v>
      </c>
      <c r="AA3794" t="s">
        <v>2522</v>
      </c>
      <c r="AB3794" s="79">
        <v>45906</v>
      </c>
      <c r="AC3794">
        <f>OrdersTable[[#This Row],[Delivery Date]]-OrdersTable[[#This Row],[Order Date]]</f>
        <v>3</v>
      </c>
      <c r="AD3794" t="str">
        <f>IF(OrdersTable[[#This Row],[Delivery Days]]&lt;=2, "Express (≤2d)", IF(OrdersTable[[#This Row],[Delivery Days]]&lt;=4, "Standard (3-4d)", "Delayed (5d+)"))</f>
        <v>Standard (3-4d)</v>
      </c>
      <c r="AE3794">
        <v>4</v>
      </c>
      <c r="AF3794">
        <v>0</v>
      </c>
    </row>
    <row r="3795" spans="1:32" ht="15" x14ac:dyDescent="0.35">
      <c r="A3795" t="s">
        <v>3470</v>
      </c>
      <c r="B3795" s="1">
        <v>45904</v>
      </c>
      <c r="C3795">
        <f>YEAR(OrdersTable[[#This Row],[Order Date]])</f>
        <v>2025</v>
      </c>
      <c r="D3795" s="2">
        <f>DATE(YEAR(OrdersTable[[#This Row],[Order Date]]),MONTH(OrdersTable[[#This Row],[Order Date]]),1)</f>
        <v>45901</v>
      </c>
      <c r="E3795">
        <f>MONTH(OrdersTable[[#This Row],[Order Date]])</f>
        <v>9</v>
      </c>
      <c r="F3795" t="s">
        <v>2064</v>
      </c>
      <c r="G3795" t="str">
        <f>IF(OrdersTable[[#This Row],[Order Date]]=_xlfn.MINIFS(Order_Date, Customer_ID, OrdersTable[[#This Row],[Customer ID]]), "New", "Repeat")</f>
        <v>Repeat</v>
      </c>
      <c r="H3795" t="s">
        <v>128</v>
      </c>
      <c r="I3795" t="str">
        <f>INDEX(State!B:B,MATCH(OrdersTable[[#This Row],[State]],State!A:A,0))</f>
        <v>DL</v>
      </c>
      <c r="J3795" t="str">
        <f>INDEX(State!C:C,MATCH(OrdersTable[[#This Row],[State Code]],State!B:B,0))</f>
        <v>North</v>
      </c>
      <c r="K3795" t="s">
        <v>129</v>
      </c>
      <c r="L3795" t="s">
        <v>65</v>
      </c>
      <c r="M3795" t="s">
        <v>34</v>
      </c>
      <c r="N3795" t="str">
        <f>INDEX(Products!B:B,MATCH(OrdersTable[[#This Row],[Product ID]],Products!A:A,0))</f>
        <v>Flip Flops</v>
      </c>
      <c r="O3795" t="str">
        <f>INDEX(Products!C:C,MATCH(OrdersTable[[#This Row],[Product ID]],Products!A:A,0))</f>
        <v>Footwear</v>
      </c>
      <c r="P3795">
        <v>1</v>
      </c>
      <c r="Q3795" s="5">
        <v>399</v>
      </c>
      <c r="R3795" s="74">
        <v>0.15</v>
      </c>
      <c r="S3795" s="75">
        <f>OrdersTable[[#This Row],[Quantity]]*OrdersTable[[#This Row],[Unit Price]]</f>
        <v>399</v>
      </c>
      <c r="T3795" s="5">
        <f>OrdersTable[[#This Row],[Gross Sale]]*OrdersTable[[#This Row],[Discount_Clean2]]</f>
        <v>59.849999999999994</v>
      </c>
      <c r="U3795" s="5">
        <f>OrdersTable[[#This Row],[Gross Sale]]-OrdersTable[[#This Row],[Discount Amount]]</f>
        <v>339.15</v>
      </c>
      <c r="V3795" s="77">
        <f>INDEX(Products!E:E,MATCH(OrdersTable[[#This Row],[Product ID]],Products!A:A,0))</f>
        <v>152</v>
      </c>
      <c r="W3795" s="77">
        <f>OrdersTable[[#This Row],[Quantity]]*OrdersTable[[#This Row],[Unit Cost]]</f>
        <v>152</v>
      </c>
      <c r="X3795" s="77">
        <f>'Dropdown Lists'!$I$2*(1+OrdersTable[[#This Row],[Returned]])</f>
        <v>60</v>
      </c>
      <c r="Y3795" s="76">
        <f>OrdersTable[[#This Row],[Net Revenue]]-OrdersTable[[#This Row],[COGS]]-OrdersTable[[#This Row],[Shipping Cost]]</f>
        <v>127.14999999999998</v>
      </c>
      <c r="Z3795" s="78">
        <f>IFERROR(OrdersTable[[#This Row],[Profit]]/OrdersTable[[#This Row],[Net Revenue]],0)</f>
        <v>0.37490785787999409</v>
      </c>
      <c r="AA3795" t="s">
        <v>2522</v>
      </c>
      <c r="AB3795" s="79">
        <v>45906</v>
      </c>
      <c r="AC3795">
        <f>OrdersTable[[#This Row],[Delivery Date]]-OrdersTable[[#This Row],[Order Date]]</f>
        <v>2</v>
      </c>
      <c r="AD3795" t="str">
        <f>IF(OrdersTable[[#This Row],[Delivery Days]]&lt;=2, "Express (≤2d)", IF(OrdersTable[[#This Row],[Delivery Days]]&lt;=4, "Standard (3-4d)", "Delayed (5d+)"))</f>
        <v>Express (≤2d)</v>
      </c>
      <c r="AE3795">
        <v>4</v>
      </c>
      <c r="AF3795">
        <v>0</v>
      </c>
    </row>
    <row r="3796" spans="1:32" ht="15" x14ac:dyDescent="0.35">
      <c r="A3796" t="s">
        <v>361</v>
      </c>
      <c r="B3796" s="1">
        <v>45904</v>
      </c>
      <c r="C3796">
        <f>YEAR(OrdersTable[[#This Row],[Order Date]])</f>
        <v>2025</v>
      </c>
      <c r="D3796" s="2">
        <f>DATE(YEAR(OrdersTable[[#This Row],[Order Date]]),MONTH(OrdersTable[[#This Row],[Order Date]]),1)</f>
        <v>45901</v>
      </c>
      <c r="E3796">
        <f>MONTH(OrdersTable[[#This Row],[Order Date]])</f>
        <v>9</v>
      </c>
      <c r="F3796" t="s">
        <v>362</v>
      </c>
      <c r="G3796" t="str">
        <f>IF(OrdersTable[[#This Row],[Order Date]]=_xlfn.MINIFS(Order_Date, Customer_ID, OrdersTable[[#This Row],[Customer ID]]), "New", "Repeat")</f>
        <v>Repeat</v>
      </c>
      <c r="H3796" t="s">
        <v>76</v>
      </c>
      <c r="I3796" t="str">
        <f>INDEX(State!B:B,MATCH(OrdersTable[[#This Row],[State]],State!A:A,0))</f>
        <v>UP</v>
      </c>
      <c r="J3796" t="str">
        <f>INDEX(State!C:C,MATCH(OrdersTable[[#This Row],[State Code]],State!B:B,0))</f>
        <v>North</v>
      </c>
      <c r="K3796" t="s">
        <v>105</v>
      </c>
      <c r="L3796" t="s">
        <v>23</v>
      </c>
      <c r="M3796" t="s">
        <v>45</v>
      </c>
      <c r="N3796" t="str">
        <f>INDEX(Products!B:B,MATCH(OrdersTable[[#This Row],[Product ID]],Products!A:A,0))</f>
        <v>Argan Shampoo</v>
      </c>
      <c r="O3796" t="str">
        <f>INDEX(Products!C:C,MATCH(OrdersTable[[#This Row],[Product ID]],Products!A:A,0))</f>
        <v>Haircare</v>
      </c>
      <c r="P3796">
        <v>1</v>
      </c>
      <c r="Q3796" s="5">
        <v>449</v>
      </c>
      <c r="R3796" s="74">
        <v>0</v>
      </c>
      <c r="S3796" s="75">
        <f>OrdersTable[[#This Row],[Quantity]]*OrdersTable[[#This Row],[Unit Price]]</f>
        <v>449</v>
      </c>
      <c r="T3796" s="5">
        <f>OrdersTable[[#This Row],[Gross Sale]]*OrdersTable[[#This Row],[Discount_Clean2]]</f>
        <v>0</v>
      </c>
      <c r="U3796" s="5">
        <f>OrdersTable[[#This Row],[Gross Sale]]-OrdersTable[[#This Row],[Discount Amount]]</f>
        <v>449</v>
      </c>
      <c r="V3796" s="77">
        <f>INDEX(Products!E:E,MATCH(OrdersTable[[#This Row],[Product ID]],Products!A:A,0))</f>
        <v>148</v>
      </c>
      <c r="W3796" s="77">
        <f>OrdersTable[[#This Row],[Quantity]]*OrdersTable[[#This Row],[Unit Cost]]</f>
        <v>148</v>
      </c>
      <c r="X3796" s="77">
        <f>'Dropdown Lists'!$I$2*(1+OrdersTable[[#This Row],[Returned]])</f>
        <v>60</v>
      </c>
      <c r="Y3796" s="76">
        <f>OrdersTable[[#This Row],[Net Revenue]]-OrdersTable[[#This Row],[COGS]]-OrdersTable[[#This Row],[Shipping Cost]]</f>
        <v>241</v>
      </c>
      <c r="Z3796" s="78">
        <f>IFERROR(OrdersTable[[#This Row],[Profit]]/OrdersTable[[#This Row],[Net Revenue]],0)</f>
        <v>0.53674832962138086</v>
      </c>
      <c r="AA3796" t="s">
        <v>18</v>
      </c>
      <c r="AB3796" s="79">
        <v>45908</v>
      </c>
      <c r="AC3796">
        <f>OrdersTable[[#This Row],[Delivery Date]]-OrdersTable[[#This Row],[Order Date]]</f>
        <v>4</v>
      </c>
      <c r="AD3796" t="str">
        <f>IF(OrdersTable[[#This Row],[Delivery Days]]&lt;=2, "Express (≤2d)", IF(OrdersTable[[#This Row],[Delivery Days]]&lt;=4, "Standard (3-4d)", "Delayed (5d+)"))</f>
        <v>Standard (3-4d)</v>
      </c>
      <c r="AE3796">
        <v>4</v>
      </c>
      <c r="AF3796">
        <v>0</v>
      </c>
    </row>
    <row r="3797" spans="1:32" ht="15" x14ac:dyDescent="0.35">
      <c r="A3797" t="s">
        <v>1438</v>
      </c>
      <c r="B3797" s="1">
        <v>45904</v>
      </c>
      <c r="C3797">
        <f>YEAR(OrdersTable[[#This Row],[Order Date]])</f>
        <v>2025</v>
      </c>
      <c r="D3797" s="2">
        <f>DATE(YEAR(OrdersTable[[#This Row],[Order Date]]),MONTH(OrdersTable[[#This Row],[Order Date]]),1)</f>
        <v>45901</v>
      </c>
      <c r="E3797">
        <f>MONTH(OrdersTable[[#This Row],[Order Date]])</f>
        <v>9</v>
      </c>
      <c r="F3797" t="s">
        <v>562</v>
      </c>
      <c r="G3797" t="str">
        <f>IF(OrdersTable[[#This Row],[Order Date]]=_xlfn.MINIFS(Order_Date, Customer_ID, OrdersTable[[#This Row],[Customer ID]]), "New", "Repeat")</f>
        <v>Repeat</v>
      </c>
      <c r="H3797" t="s">
        <v>14</v>
      </c>
      <c r="I3797" t="str">
        <f>INDEX(State!B:B,MATCH(OrdersTable[[#This Row],[State]],State!A:A,0))</f>
        <v>OD</v>
      </c>
      <c r="J3797" t="str">
        <f>INDEX(State!C:C,MATCH(OrdersTable[[#This Row],[State Code]],State!B:B,0))</f>
        <v>East</v>
      </c>
      <c r="K3797" t="s">
        <v>15</v>
      </c>
      <c r="L3797" t="s">
        <v>23</v>
      </c>
      <c r="M3797" t="s">
        <v>109</v>
      </c>
      <c r="N3797" t="str">
        <f>INDEX(Products!B:B,MATCH(OrdersTable[[#This Row],[Product ID]],Products!A:A,0))</f>
        <v>Onion Hair Oil</v>
      </c>
      <c r="O3797" t="str">
        <f>INDEX(Products!C:C,MATCH(OrdersTable[[#This Row],[Product ID]],Products!A:A,0))</f>
        <v>Haircare</v>
      </c>
      <c r="P3797">
        <v>1</v>
      </c>
      <c r="Q3797" s="5">
        <v>349</v>
      </c>
      <c r="R3797" s="74">
        <v>0.3</v>
      </c>
      <c r="S3797" s="75">
        <f>OrdersTable[[#This Row],[Quantity]]*OrdersTable[[#This Row],[Unit Price]]</f>
        <v>349</v>
      </c>
      <c r="T3797" s="5">
        <f>OrdersTable[[#This Row],[Gross Sale]]*OrdersTable[[#This Row],[Discount_Clean2]]</f>
        <v>104.7</v>
      </c>
      <c r="U3797" s="5">
        <f>OrdersTable[[#This Row],[Gross Sale]]-OrdersTable[[#This Row],[Discount Amount]]</f>
        <v>244.3</v>
      </c>
      <c r="V3797" s="77">
        <f>INDEX(Products!E:E,MATCH(OrdersTable[[#This Row],[Product ID]],Products!A:A,0))</f>
        <v>105</v>
      </c>
      <c r="W3797" s="77">
        <f>OrdersTable[[#This Row],[Quantity]]*OrdersTable[[#This Row],[Unit Cost]]</f>
        <v>105</v>
      </c>
      <c r="X3797" s="77">
        <f>'Dropdown Lists'!$I$2*(1+OrdersTable[[#This Row],[Returned]])</f>
        <v>60</v>
      </c>
      <c r="Y3797" s="76">
        <f>OrdersTable[[#This Row],[Net Revenue]]-OrdersTable[[#This Row],[COGS]]-OrdersTable[[#This Row],[Shipping Cost]]</f>
        <v>79.300000000000011</v>
      </c>
      <c r="Z3797" s="78">
        <f>IFERROR(OrdersTable[[#This Row],[Profit]]/OrdersTable[[#This Row],[Net Revenue]],0)</f>
        <v>0.32460090053213264</v>
      </c>
      <c r="AA3797" t="s">
        <v>18</v>
      </c>
      <c r="AB3797" s="79">
        <v>45908</v>
      </c>
      <c r="AC3797">
        <f>OrdersTable[[#This Row],[Delivery Date]]-OrdersTable[[#This Row],[Order Date]]</f>
        <v>4</v>
      </c>
      <c r="AD3797" t="str">
        <f>IF(OrdersTable[[#This Row],[Delivery Days]]&lt;=2, "Express (≤2d)", IF(OrdersTable[[#This Row],[Delivery Days]]&lt;=4, "Standard (3-4d)", "Delayed (5d+)"))</f>
        <v>Standard (3-4d)</v>
      </c>
      <c r="AF3797">
        <v>0</v>
      </c>
    </row>
    <row r="3798" spans="1:32" ht="15" x14ac:dyDescent="0.35">
      <c r="A3798" t="s">
        <v>4433</v>
      </c>
      <c r="B3798" s="1">
        <v>45904</v>
      </c>
      <c r="C3798">
        <f>YEAR(OrdersTable[[#This Row],[Order Date]])</f>
        <v>2025</v>
      </c>
      <c r="D3798" s="2">
        <f>DATE(YEAR(OrdersTable[[#This Row],[Order Date]]),MONTH(OrdersTable[[#This Row],[Order Date]]),1)</f>
        <v>45901</v>
      </c>
      <c r="E3798">
        <f>MONTH(OrdersTable[[#This Row],[Order Date]])</f>
        <v>9</v>
      </c>
      <c r="F3798" t="s">
        <v>4434</v>
      </c>
      <c r="G3798" t="str">
        <f>IF(OrdersTable[[#This Row],[Order Date]]=_xlfn.MINIFS(Order_Date, Customer_ID, OrdersTable[[#This Row],[Customer ID]]), "New", "Repeat")</f>
        <v>New</v>
      </c>
      <c r="H3798" t="s">
        <v>59</v>
      </c>
      <c r="I3798" t="str">
        <f>INDEX(State!B:B,MATCH(OrdersTable[[#This Row],[State]],State!A:A,0))</f>
        <v>TN</v>
      </c>
      <c r="J3798" t="str">
        <f>INDEX(State!C:C,MATCH(OrdersTable[[#This Row],[State Code]],State!B:B,0))</f>
        <v>South</v>
      </c>
      <c r="K3798" t="s">
        <v>64</v>
      </c>
      <c r="L3798" t="s">
        <v>39</v>
      </c>
      <c r="M3798" t="s">
        <v>109</v>
      </c>
      <c r="N3798" t="str">
        <f>INDEX(Products!B:B,MATCH(OrdersTable[[#This Row],[Product ID]],Products!A:A,0))</f>
        <v>Onion Hair Oil</v>
      </c>
      <c r="O3798" t="str">
        <f>INDEX(Products!C:C,MATCH(OrdersTable[[#This Row],[Product ID]],Products!A:A,0))</f>
        <v>Haircare</v>
      </c>
      <c r="P3798">
        <v>1</v>
      </c>
      <c r="Q3798" s="5">
        <v>349</v>
      </c>
      <c r="R3798" s="74">
        <v>0.35</v>
      </c>
      <c r="S3798" s="75">
        <f>OrdersTable[[#This Row],[Quantity]]*OrdersTable[[#This Row],[Unit Price]]</f>
        <v>349</v>
      </c>
      <c r="T3798" s="5">
        <f>OrdersTable[[#This Row],[Gross Sale]]*OrdersTable[[#This Row],[Discount_Clean2]]</f>
        <v>122.14999999999999</v>
      </c>
      <c r="U3798" s="5">
        <f>OrdersTable[[#This Row],[Gross Sale]]-OrdersTable[[#This Row],[Discount Amount]]</f>
        <v>226.85000000000002</v>
      </c>
      <c r="V3798" s="77">
        <f>INDEX(Products!E:E,MATCH(OrdersTable[[#This Row],[Product ID]],Products!A:A,0))</f>
        <v>105</v>
      </c>
      <c r="W3798" s="77">
        <f>OrdersTable[[#This Row],[Quantity]]*OrdersTable[[#This Row],[Unit Cost]]</f>
        <v>105</v>
      </c>
      <c r="X3798" s="77">
        <f>'Dropdown Lists'!$I$2*(1+OrdersTable[[#This Row],[Returned]])</f>
        <v>60</v>
      </c>
      <c r="Y3798" s="76">
        <f>OrdersTable[[#This Row],[Net Revenue]]-OrdersTable[[#This Row],[COGS]]-OrdersTable[[#This Row],[Shipping Cost]]</f>
        <v>61.850000000000023</v>
      </c>
      <c r="Z3798" s="78">
        <f>IFERROR(OrdersTable[[#This Row],[Profit]]/OrdersTable[[#This Row],[Net Revenue]],0)</f>
        <v>0.27264712364998905</v>
      </c>
      <c r="AA3798" t="s">
        <v>4074</v>
      </c>
      <c r="AB3798" s="79">
        <v>45908</v>
      </c>
      <c r="AC3798">
        <f>OrdersTable[[#This Row],[Delivery Date]]-OrdersTable[[#This Row],[Order Date]]</f>
        <v>4</v>
      </c>
      <c r="AD3798" t="str">
        <f>IF(OrdersTable[[#This Row],[Delivery Days]]&lt;=2, "Express (≤2d)", IF(OrdersTable[[#This Row],[Delivery Days]]&lt;=4, "Standard (3-4d)", "Delayed (5d+)"))</f>
        <v>Standard (3-4d)</v>
      </c>
      <c r="AE3798">
        <v>4</v>
      </c>
      <c r="AF3798">
        <v>0</v>
      </c>
    </row>
    <row r="3799" spans="1:32" ht="15" x14ac:dyDescent="0.35">
      <c r="A3799" t="s">
        <v>6910</v>
      </c>
      <c r="B3799" s="1">
        <v>45904</v>
      </c>
      <c r="C3799">
        <f>YEAR(OrdersTable[[#This Row],[Order Date]])</f>
        <v>2025</v>
      </c>
      <c r="D3799" s="2">
        <f>DATE(YEAR(OrdersTable[[#This Row],[Order Date]]),MONTH(OrdersTable[[#This Row],[Order Date]]),1)</f>
        <v>45901</v>
      </c>
      <c r="E3799">
        <f>MONTH(OrdersTable[[#This Row],[Order Date]])</f>
        <v>9</v>
      </c>
      <c r="F3799" t="s">
        <v>5995</v>
      </c>
      <c r="G3799" t="str">
        <f>IF(OrdersTable[[#This Row],[Order Date]]=_xlfn.MINIFS(Order_Date, Customer_ID, OrdersTable[[#This Row],[Customer ID]]), "New", "Repeat")</f>
        <v>New</v>
      </c>
      <c r="H3799" t="s">
        <v>59</v>
      </c>
      <c r="I3799" t="str">
        <f>INDEX(State!B:B,MATCH(OrdersTable[[#This Row],[State]],State!A:A,0))</f>
        <v>TN</v>
      </c>
      <c r="J3799" t="str">
        <f>INDEX(State!C:C,MATCH(OrdersTable[[#This Row],[State Code]],State!B:B,0))</f>
        <v>South</v>
      </c>
      <c r="K3799" t="s">
        <v>64</v>
      </c>
      <c r="L3799" t="s">
        <v>23</v>
      </c>
      <c r="M3799" t="s">
        <v>78</v>
      </c>
      <c r="N3799" t="str">
        <f>INDEX(Products!B:B,MATCH(OrdersTable[[#This Row],[Product ID]],Products!A:A,0))</f>
        <v>Retinol Night Cream</v>
      </c>
      <c r="O3799" t="str">
        <f>INDEX(Products!C:C,MATCH(OrdersTable[[#This Row],[Product ID]],Products!A:A,0))</f>
        <v>Skincare</v>
      </c>
      <c r="P3799">
        <v>3</v>
      </c>
      <c r="Q3799" s="5">
        <v>799</v>
      </c>
      <c r="R3799" s="74">
        <v>0.05</v>
      </c>
      <c r="S3799" s="75">
        <f>OrdersTable[[#This Row],[Quantity]]*OrdersTable[[#This Row],[Unit Price]]</f>
        <v>2397</v>
      </c>
      <c r="T3799" s="5">
        <f>OrdersTable[[#This Row],[Gross Sale]]*OrdersTable[[#This Row],[Discount_Clean2]]</f>
        <v>119.85000000000001</v>
      </c>
      <c r="U3799" s="5">
        <f>OrdersTable[[#This Row],[Gross Sale]]-OrdersTable[[#This Row],[Discount Amount]]</f>
        <v>2277.15</v>
      </c>
      <c r="V3799" s="77">
        <f>INDEX(Products!E:E,MATCH(OrdersTable[[#This Row],[Product ID]],Products!A:A,0))</f>
        <v>216</v>
      </c>
      <c r="W3799" s="77">
        <f>OrdersTable[[#This Row],[Quantity]]*OrdersTable[[#This Row],[Unit Cost]]</f>
        <v>648</v>
      </c>
      <c r="X3799" s="77">
        <f>'Dropdown Lists'!$I$2*(1+OrdersTable[[#This Row],[Returned]])</f>
        <v>60</v>
      </c>
      <c r="Y3799" s="76">
        <f>OrdersTable[[#This Row],[Net Revenue]]-OrdersTable[[#This Row],[COGS]]-OrdersTable[[#This Row],[Shipping Cost]]</f>
        <v>1569.15</v>
      </c>
      <c r="Z3799" s="78">
        <f>IFERROR(OrdersTable[[#This Row],[Profit]]/OrdersTable[[#This Row],[Net Revenue]],0)</f>
        <v>0.68908504051116526</v>
      </c>
      <c r="AA3799" t="s">
        <v>4074</v>
      </c>
      <c r="AB3799" s="79">
        <v>45905</v>
      </c>
      <c r="AC3799">
        <f>OrdersTable[[#This Row],[Delivery Date]]-OrdersTable[[#This Row],[Order Date]]</f>
        <v>1</v>
      </c>
      <c r="AD3799" t="str">
        <f>IF(OrdersTable[[#This Row],[Delivery Days]]&lt;=2, "Express (≤2d)", IF(OrdersTable[[#This Row],[Delivery Days]]&lt;=4, "Standard (3-4d)", "Delayed (5d+)"))</f>
        <v>Express (≤2d)</v>
      </c>
      <c r="AE3799">
        <v>5</v>
      </c>
      <c r="AF3799">
        <v>0</v>
      </c>
    </row>
    <row r="3800" spans="1:32" ht="15" x14ac:dyDescent="0.35">
      <c r="A3800" t="s">
        <v>1015</v>
      </c>
      <c r="B3800" s="1">
        <v>45905</v>
      </c>
      <c r="C3800">
        <f>YEAR(OrdersTable[[#This Row],[Order Date]])</f>
        <v>2025</v>
      </c>
      <c r="D3800" s="2">
        <f>DATE(YEAR(OrdersTable[[#This Row],[Order Date]]),MONTH(OrdersTable[[#This Row],[Order Date]]),1)</f>
        <v>45901</v>
      </c>
      <c r="E3800">
        <f>MONTH(OrdersTable[[#This Row],[Order Date]])</f>
        <v>9</v>
      </c>
      <c r="F3800" t="s">
        <v>458</v>
      </c>
      <c r="G3800" t="str">
        <f>IF(OrdersTable[[#This Row],[Order Date]]=_xlfn.MINIFS(Order_Date, Customer_ID, OrdersTable[[#This Row],[Customer ID]]), "New", "Repeat")</f>
        <v>Repeat</v>
      </c>
      <c r="H3800" t="s">
        <v>21</v>
      </c>
      <c r="I3800" t="str">
        <f>INDEX(State!B:B,MATCH(OrdersTable[[#This Row],[State]],State!A:A,0))</f>
        <v>PB</v>
      </c>
      <c r="J3800" t="str">
        <f>INDEX(State!C:C,MATCH(OrdersTable[[#This Row],[State Code]],State!B:B,0))</f>
        <v>North</v>
      </c>
      <c r="K3800" t="s">
        <v>260</v>
      </c>
      <c r="L3800" t="s">
        <v>39</v>
      </c>
      <c r="M3800" t="s">
        <v>92</v>
      </c>
      <c r="N3800" t="str">
        <f>INDEX(Products!B:B,MATCH(OrdersTable[[#This Row],[Product ID]],Products!A:A,0))</f>
        <v>Kolhapuri Sandals</v>
      </c>
      <c r="O3800" t="str">
        <f>INDEX(Products!C:C,MATCH(OrdersTable[[#This Row],[Product ID]],Products!A:A,0))</f>
        <v>Footwear</v>
      </c>
      <c r="P3800">
        <v>1</v>
      </c>
      <c r="Q3800" s="5">
        <v>999</v>
      </c>
      <c r="R3800" s="74">
        <v>0</v>
      </c>
      <c r="S3800" s="75">
        <f>OrdersTable[[#This Row],[Quantity]]*OrdersTable[[#This Row],[Unit Price]]</f>
        <v>999</v>
      </c>
      <c r="T3800" s="5">
        <f>OrdersTable[[#This Row],[Gross Sale]]*OrdersTable[[#This Row],[Discount_Clean2]]</f>
        <v>0</v>
      </c>
      <c r="U3800" s="5">
        <f>OrdersTable[[#This Row],[Gross Sale]]-OrdersTable[[#This Row],[Discount Amount]]</f>
        <v>999</v>
      </c>
      <c r="V3800" s="77">
        <f>INDEX(Products!E:E,MATCH(OrdersTable[[#This Row],[Product ID]],Products!A:A,0))</f>
        <v>400</v>
      </c>
      <c r="W3800" s="77">
        <f>OrdersTable[[#This Row],[Quantity]]*OrdersTable[[#This Row],[Unit Cost]]</f>
        <v>400</v>
      </c>
      <c r="X3800" s="77">
        <f>'Dropdown Lists'!$I$2*(1+OrdersTable[[#This Row],[Returned]])</f>
        <v>60</v>
      </c>
      <c r="Y3800" s="76">
        <f>OrdersTable[[#This Row],[Net Revenue]]-OrdersTable[[#This Row],[COGS]]-OrdersTable[[#This Row],[Shipping Cost]]</f>
        <v>539</v>
      </c>
      <c r="Z3800" s="78">
        <f>IFERROR(OrdersTable[[#This Row],[Profit]]/OrdersTable[[#This Row],[Net Revenue]],0)</f>
        <v>0.53953953953953959</v>
      </c>
      <c r="AA3800" t="s">
        <v>18</v>
      </c>
      <c r="AB3800" s="79">
        <v>45908</v>
      </c>
      <c r="AC3800">
        <f>OrdersTable[[#This Row],[Delivery Date]]-OrdersTable[[#This Row],[Order Date]]</f>
        <v>3</v>
      </c>
      <c r="AD3800" t="str">
        <f>IF(OrdersTable[[#This Row],[Delivery Days]]&lt;=2, "Express (≤2d)", IF(OrdersTable[[#This Row],[Delivery Days]]&lt;=4, "Standard (3-4d)", "Delayed (5d+)"))</f>
        <v>Standard (3-4d)</v>
      </c>
      <c r="AE3800">
        <v>4</v>
      </c>
      <c r="AF3800">
        <v>0</v>
      </c>
    </row>
    <row r="3801" spans="1:32" ht="15" x14ac:dyDescent="0.35">
      <c r="A3801" t="s">
        <v>1439</v>
      </c>
      <c r="B3801" s="1">
        <v>45905</v>
      </c>
      <c r="C3801">
        <f>YEAR(OrdersTable[[#This Row],[Order Date]])</f>
        <v>2025</v>
      </c>
      <c r="D3801" s="2">
        <f>DATE(YEAR(OrdersTable[[#This Row],[Order Date]]),MONTH(OrdersTable[[#This Row],[Order Date]]),1)</f>
        <v>45901</v>
      </c>
      <c r="E3801">
        <f>MONTH(OrdersTable[[#This Row],[Order Date]])</f>
        <v>9</v>
      </c>
      <c r="F3801" t="s">
        <v>303</v>
      </c>
      <c r="G3801" t="str">
        <f>IF(OrdersTable[[#This Row],[Order Date]]=_xlfn.MINIFS(Order_Date, Customer_ID, OrdersTable[[#This Row],[Customer ID]]), "New", "Repeat")</f>
        <v>Repeat</v>
      </c>
      <c r="H3801" t="s">
        <v>128</v>
      </c>
      <c r="I3801" t="str">
        <f>INDEX(State!B:B,MATCH(OrdersTable[[#This Row],[State]],State!A:A,0))</f>
        <v>DL</v>
      </c>
      <c r="J3801" t="str">
        <f>INDEX(State!C:C,MATCH(OrdersTable[[#This Row],[State Code]],State!B:B,0))</f>
        <v>North</v>
      </c>
      <c r="K3801" t="s">
        <v>129</v>
      </c>
      <c r="L3801" t="s">
        <v>23</v>
      </c>
      <c r="M3801" t="s">
        <v>51</v>
      </c>
      <c r="N3801" t="str">
        <f>INDEX(Products!B:B,MATCH(OrdersTable[[#This Row],[Product ID]],Products!A:A,0))</f>
        <v>Anti-Dandruff Conditioner</v>
      </c>
      <c r="O3801" t="str">
        <f>INDEX(Products!C:C,MATCH(OrdersTable[[#This Row],[Product ID]],Products!A:A,0))</f>
        <v>Haircare</v>
      </c>
      <c r="P3801">
        <v>1</v>
      </c>
      <c r="Q3801" s="5">
        <v>399</v>
      </c>
      <c r="R3801" s="74">
        <v>0.4</v>
      </c>
      <c r="S3801" s="75">
        <f>OrdersTable[[#This Row],[Quantity]]*OrdersTable[[#This Row],[Unit Price]]</f>
        <v>399</v>
      </c>
      <c r="T3801" s="5">
        <f>OrdersTable[[#This Row],[Gross Sale]]*OrdersTable[[#This Row],[Discount_Clean2]]</f>
        <v>159.60000000000002</v>
      </c>
      <c r="U3801" s="5">
        <f>OrdersTable[[#This Row],[Gross Sale]]-OrdersTable[[#This Row],[Discount Amount]]</f>
        <v>239.39999999999998</v>
      </c>
      <c r="V3801" s="77">
        <f>INDEX(Products!E:E,MATCH(OrdersTable[[#This Row],[Product ID]],Products!A:A,0))</f>
        <v>136</v>
      </c>
      <c r="W3801" s="77">
        <f>OrdersTable[[#This Row],[Quantity]]*OrdersTable[[#This Row],[Unit Cost]]</f>
        <v>136</v>
      </c>
      <c r="X3801" s="77">
        <f>'Dropdown Lists'!$I$2*(1+OrdersTable[[#This Row],[Returned]])</f>
        <v>60</v>
      </c>
      <c r="Y3801" s="76">
        <f>OrdersTable[[#This Row],[Net Revenue]]-OrdersTable[[#This Row],[COGS]]-OrdersTable[[#This Row],[Shipping Cost]]</f>
        <v>43.399999999999977</v>
      </c>
      <c r="Z3801" s="78">
        <f>IFERROR(OrdersTable[[#This Row],[Profit]]/OrdersTable[[#This Row],[Net Revenue]],0)</f>
        <v>0.18128654970760227</v>
      </c>
      <c r="AA3801" t="s">
        <v>18</v>
      </c>
      <c r="AB3801" s="79">
        <v>45909</v>
      </c>
      <c r="AC3801">
        <f>OrdersTable[[#This Row],[Delivery Date]]-OrdersTable[[#This Row],[Order Date]]</f>
        <v>4</v>
      </c>
      <c r="AD3801" t="str">
        <f>IF(OrdersTable[[#This Row],[Delivery Days]]&lt;=2, "Express (≤2d)", IF(OrdersTable[[#This Row],[Delivery Days]]&lt;=4, "Standard (3-4d)", "Delayed (5d+)"))</f>
        <v>Standard (3-4d)</v>
      </c>
      <c r="AF3801">
        <v>0</v>
      </c>
    </row>
    <row r="3802" spans="1:32" ht="15" x14ac:dyDescent="0.35">
      <c r="A3802" t="s">
        <v>659</v>
      </c>
      <c r="B3802" s="1">
        <v>45905</v>
      </c>
      <c r="C3802">
        <f>YEAR(OrdersTable[[#This Row],[Order Date]])</f>
        <v>2025</v>
      </c>
      <c r="D3802" s="2">
        <f>DATE(YEAR(OrdersTable[[#This Row],[Order Date]]),MONTH(OrdersTable[[#This Row],[Order Date]]),1)</f>
        <v>45901</v>
      </c>
      <c r="E3802">
        <f>MONTH(OrdersTable[[#This Row],[Order Date]])</f>
        <v>9</v>
      </c>
      <c r="F3802" t="s">
        <v>660</v>
      </c>
      <c r="G3802" t="str">
        <f>IF(OrdersTable[[#This Row],[Order Date]]=_xlfn.MINIFS(Order_Date, Customer_ID, OrdersTable[[#This Row],[Customer ID]]), "New", "Repeat")</f>
        <v>New</v>
      </c>
      <c r="H3802" t="s">
        <v>76</v>
      </c>
      <c r="I3802" t="str">
        <f>INDEX(State!B:B,MATCH(OrdersTable[[#This Row],[State]],State!A:A,0))</f>
        <v>UP</v>
      </c>
      <c r="J3802" t="str">
        <f>INDEX(State!C:C,MATCH(OrdersTable[[#This Row],[State Code]],State!B:B,0))</f>
        <v>North</v>
      </c>
      <c r="K3802" t="s">
        <v>77</v>
      </c>
      <c r="L3802" t="s">
        <v>23</v>
      </c>
      <c r="M3802" t="s">
        <v>125</v>
      </c>
      <c r="N3802" t="str">
        <f>INDEX(Products!B:B,MATCH(OrdersTable[[#This Row],[Product ID]],Products!A:A,0))</f>
        <v>Copper Water Bottle</v>
      </c>
      <c r="O3802" t="str">
        <f>INDEX(Products!C:C,MATCH(OrdersTable[[#This Row],[Product ID]],Products!A:A,0))</f>
        <v>Home &amp; Kitchen</v>
      </c>
      <c r="P3802">
        <v>1</v>
      </c>
      <c r="Q3802" s="5">
        <v>899</v>
      </c>
      <c r="R3802" s="74">
        <v>0.05</v>
      </c>
      <c r="S3802" s="75">
        <f>OrdersTable[[#This Row],[Quantity]]*OrdersTable[[#This Row],[Unit Price]]</f>
        <v>899</v>
      </c>
      <c r="T3802" s="5">
        <f>OrdersTable[[#This Row],[Gross Sale]]*OrdersTable[[#This Row],[Discount_Clean2]]</f>
        <v>44.95</v>
      </c>
      <c r="U3802" s="5">
        <f>OrdersTable[[#This Row],[Gross Sale]]-OrdersTable[[#This Row],[Discount Amount]]</f>
        <v>854.05</v>
      </c>
      <c r="V3802" s="77">
        <f>INDEX(Products!E:E,MATCH(OrdersTable[[#This Row],[Product ID]],Products!A:A,0))</f>
        <v>378</v>
      </c>
      <c r="W3802" s="77">
        <f>OrdersTable[[#This Row],[Quantity]]*OrdersTable[[#This Row],[Unit Cost]]</f>
        <v>378</v>
      </c>
      <c r="X3802" s="77">
        <f>'Dropdown Lists'!$I$2*(1+OrdersTable[[#This Row],[Returned]])</f>
        <v>60</v>
      </c>
      <c r="Y3802" s="76">
        <f>OrdersTable[[#This Row],[Net Revenue]]-OrdersTable[[#This Row],[COGS]]-OrdersTable[[#This Row],[Shipping Cost]]</f>
        <v>416.04999999999995</v>
      </c>
      <c r="Z3802" s="78">
        <f>IFERROR(OrdersTable[[#This Row],[Profit]]/OrdersTable[[#This Row],[Net Revenue]],0)</f>
        <v>0.48714946431707745</v>
      </c>
      <c r="AA3802" t="s">
        <v>18</v>
      </c>
      <c r="AB3802" s="79">
        <v>45908</v>
      </c>
      <c r="AC3802">
        <f>OrdersTable[[#This Row],[Delivery Date]]-OrdersTable[[#This Row],[Order Date]]</f>
        <v>3</v>
      </c>
      <c r="AD3802" t="str">
        <f>IF(OrdersTable[[#This Row],[Delivery Days]]&lt;=2, "Express (≤2d)", IF(OrdersTable[[#This Row],[Delivery Days]]&lt;=4, "Standard (3-4d)", "Delayed (5d+)"))</f>
        <v>Standard (3-4d)</v>
      </c>
      <c r="AE3802">
        <v>4</v>
      </c>
      <c r="AF3802">
        <v>0</v>
      </c>
    </row>
    <row r="3803" spans="1:32" ht="15" x14ac:dyDescent="0.35">
      <c r="A3803" t="s">
        <v>2022</v>
      </c>
      <c r="B3803" s="1">
        <v>45905</v>
      </c>
      <c r="C3803">
        <f>YEAR(OrdersTable[[#This Row],[Order Date]])</f>
        <v>2025</v>
      </c>
      <c r="D3803" s="2">
        <f>DATE(YEAR(OrdersTable[[#This Row],[Order Date]]),MONTH(OrdersTable[[#This Row],[Order Date]]),1)</f>
        <v>45901</v>
      </c>
      <c r="E3803">
        <f>MONTH(OrdersTable[[#This Row],[Order Date]])</f>
        <v>9</v>
      </c>
      <c r="F3803" t="s">
        <v>209</v>
      </c>
      <c r="G3803" t="str">
        <f>IF(OrdersTable[[#This Row],[Order Date]]=_xlfn.MINIFS(Order_Date, Customer_ID, OrdersTable[[#This Row],[Customer ID]]), "New", "Repeat")</f>
        <v>Repeat</v>
      </c>
      <c r="H3803" t="s">
        <v>43</v>
      </c>
      <c r="I3803" t="str">
        <f>INDEX(State!B:B,MATCH(OrdersTable[[#This Row],[State]],State!A:A,0))</f>
        <v>MP</v>
      </c>
      <c r="J3803" t="str">
        <f>INDEX(State!C:C,MATCH(OrdersTable[[#This Row],[State Code]],State!B:B,0))</f>
        <v>West</v>
      </c>
      <c r="K3803" t="s">
        <v>44</v>
      </c>
      <c r="L3803" t="s">
        <v>50</v>
      </c>
      <c r="M3803" t="s">
        <v>78</v>
      </c>
      <c r="N3803" t="str">
        <f>INDEX(Products!B:B,MATCH(OrdersTable[[#This Row],[Product ID]],Products!A:A,0))</f>
        <v>Retinol Night Cream</v>
      </c>
      <c r="O3803" t="str">
        <f>INDEX(Products!C:C,MATCH(OrdersTable[[#This Row],[Product ID]],Products!A:A,0))</f>
        <v>Skincare</v>
      </c>
      <c r="P3803">
        <v>1</v>
      </c>
      <c r="Q3803" s="5">
        <v>799</v>
      </c>
      <c r="R3803" s="74">
        <v>0.05</v>
      </c>
      <c r="S3803" s="75">
        <f>OrdersTable[[#This Row],[Quantity]]*OrdersTable[[#This Row],[Unit Price]]</f>
        <v>799</v>
      </c>
      <c r="T3803" s="5">
        <f>OrdersTable[[#This Row],[Gross Sale]]*OrdersTable[[#This Row],[Discount_Clean2]]</f>
        <v>39.950000000000003</v>
      </c>
      <c r="U3803" s="5">
        <f>OrdersTable[[#This Row],[Gross Sale]]-OrdersTable[[#This Row],[Discount Amount]]</f>
        <v>759.05</v>
      </c>
      <c r="V3803" s="77">
        <f>INDEX(Products!E:E,MATCH(OrdersTable[[#This Row],[Product ID]],Products!A:A,0))</f>
        <v>216</v>
      </c>
      <c r="W3803" s="77">
        <f>OrdersTable[[#This Row],[Quantity]]*OrdersTable[[#This Row],[Unit Cost]]</f>
        <v>216</v>
      </c>
      <c r="X3803" s="77">
        <f>'Dropdown Lists'!$I$2*(1+OrdersTable[[#This Row],[Returned]])</f>
        <v>60</v>
      </c>
      <c r="Y3803" s="76">
        <f>OrdersTable[[#This Row],[Net Revenue]]-OrdersTable[[#This Row],[COGS]]-OrdersTable[[#This Row],[Shipping Cost]]</f>
        <v>483.04999999999995</v>
      </c>
      <c r="Z3803" s="78">
        <f>IFERROR(OrdersTable[[#This Row],[Profit]]/OrdersTable[[#This Row],[Net Revenue]],0)</f>
        <v>0.63638758975034582</v>
      </c>
      <c r="AA3803" t="s">
        <v>18</v>
      </c>
      <c r="AB3803" s="79">
        <v>45910</v>
      </c>
      <c r="AC3803">
        <f>OrdersTable[[#This Row],[Delivery Date]]-OrdersTable[[#This Row],[Order Date]]</f>
        <v>5</v>
      </c>
      <c r="AD3803" t="str">
        <f>IF(OrdersTable[[#This Row],[Delivery Days]]&lt;=2, "Express (≤2d)", IF(OrdersTable[[#This Row],[Delivery Days]]&lt;=4, "Standard (3-4d)", "Delayed (5d+)"))</f>
        <v>Delayed (5d+)</v>
      </c>
      <c r="AE3803">
        <v>3</v>
      </c>
      <c r="AF3803">
        <v>0</v>
      </c>
    </row>
    <row r="3804" spans="1:32" ht="15" x14ac:dyDescent="0.35">
      <c r="A3804" t="s">
        <v>3667</v>
      </c>
      <c r="B3804" s="1">
        <v>45905</v>
      </c>
      <c r="C3804">
        <f>YEAR(OrdersTable[[#This Row],[Order Date]])</f>
        <v>2025</v>
      </c>
      <c r="D3804" s="2">
        <f>DATE(YEAR(OrdersTable[[#This Row],[Order Date]]),MONTH(OrdersTable[[#This Row],[Order Date]]),1)</f>
        <v>45901</v>
      </c>
      <c r="E3804">
        <f>MONTH(OrdersTable[[#This Row],[Order Date]])</f>
        <v>9</v>
      </c>
      <c r="F3804" t="s">
        <v>1152</v>
      </c>
      <c r="G3804" t="str">
        <f>IF(OrdersTable[[#This Row],[Order Date]]=_xlfn.MINIFS(Order_Date, Customer_ID, OrdersTable[[#This Row],[Customer ID]]), "New", "Repeat")</f>
        <v>Repeat</v>
      </c>
      <c r="H3804" t="s">
        <v>71</v>
      </c>
      <c r="I3804" t="str">
        <f>INDEX(State!B:B,MATCH(OrdersTable[[#This Row],[State]],State!A:A,0))</f>
        <v>MH</v>
      </c>
      <c r="J3804" t="str">
        <f>INDEX(State!C:C,MATCH(OrdersTable[[#This Row],[State Code]],State!B:B,0))</f>
        <v>West</v>
      </c>
      <c r="K3804" t="s">
        <v>102</v>
      </c>
      <c r="L3804" t="s">
        <v>50</v>
      </c>
      <c r="M3804" t="s">
        <v>40</v>
      </c>
      <c r="N3804" t="str">
        <f>INDEX(Products!B:B,MATCH(OrdersTable[[#This Row],[Product ID]],Products!A:A,0))</f>
        <v>Ashwagandha Capsules</v>
      </c>
      <c r="O3804" t="str">
        <f>INDEX(Products!C:C,MATCH(OrdersTable[[#This Row],[Product ID]],Products!A:A,0))</f>
        <v>Wellness</v>
      </c>
      <c r="P3804">
        <v>1</v>
      </c>
      <c r="Q3804" s="5">
        <v>499</v>
      </c>
      <c r="R3804" s="74">
        <v>0</v>
      </c>
      <c r="S3804" s="75">
        <f>OrdersTable[[#This Row],[Quantity]]*OrdersTable[[#This Row],[Unit Price]]</f>
        <v>499</v>
      </c>
      <c r="T3804" s="5">
        <f>OrdersTable[[#This Row],[Gross Sale]]*OrdersTable[[#This Row],[Discount_Clean2]]</f>
        <v>0</v>
      </c>
      <c r="U3804" s="5">
        <f>OrdersTable[[#This Row],[Gross Sale]]-OrdersTable[[#This Row],[Discount Amount]]</f>
        <v>499</v>
      </c>
      <c r="V3804" s="77">
        <f>INDEX(Products!E:E,MATCH(OrdersTable[[#This Row],[Product ID]],Products!A:A,0))</f>
        <v>150</v>
      </c>
      <c r="W3804" s="77">
        <f>OrdersTable[[#This Row],[Quantity]]*OrdersTable[[#This Row],[Unit Cost]]</f>
        <v>150</v>
      </c>
      <c r="X3804" s="77">
        <f>'Dropdown Lists'!$I$2*(1+OrdersTable[[#This Row],[Returned]])</f>
        <v>60</v>
      </c>
      <c r="Y3804" s="76">
        <f>OrdersTable[[#This Row],[Net Revenue]]-OrdersTable[[#This Row],[COGS]]-OrdersTable[[#This Row],[Shipping Cost]]</f>
        <v>289</v>
      </c>
      <c r="Z3804" s="78">
        <f>IFERROR(OrdersTable[[#This Row],[Profit]]/OrdersTable[[#This Row],[Net Revenue]],0)</f>
        <v>0.57915831663326656</v>
      </c>
      <c r="AA3804" t="s">
        <v>3495</v>
      </c>
      <c r="AB3804" s="79">
        <v>45908</v>
      </c>
      <c r="AC3804">
        <f>OrdersTable[[#This Row],[Delivery Date]]-OrdersTable[[#This Row],[Order Date]]</f>
        <v>3</v>
      </c>
      <c r="AD3804" t="str">
        <f>IF(OrdersTable[[#This Row],[Delivery Days]]&lt;=2, "Express (≤2d)", IF(OrdersTable[[#This Row],[Delivery Days]]&lt;=4, "Standard (3-4d)", "Delayed (5d+)"))</f>
        <v>Standard (3-4d)</v>
      </c>
      <c r="AE3804">
        <v>4</v>
      </c>
      <c r="AF3804">
        <v>0</v>
      </c>
    </row>
    <row r="3805" spans="1:32" ht="15" x14ac:dyDescent="0.35">
      <c r="A3805" t="s">
        <v>6615</v>
      </c>
      <c r="B3805" s="1">
        <v>45905</v>
      </c>
      <c r="C3805">
        <f>YEAR(OrdersTable[[#This Row],[Order Date]])</f>
        <v>2025</v>
      </c>
      <c r="D3805" s="2">
        <f>DATE(YEAR(OrdersTable[[#This Row],[Order Date]]),MONTH(OrdersTable[[#This Row],[Order Date]]),1)</f>
        <v>45901</v>
      </c>
      <c r="E3805">
        <f>MONTH(OrdersTable[[#This Row],[Order Date]])</f>
        <v>9</v>
      </c>
      <c r="F3805" t="s">
        <v>3216</v>
      </c>
      <c r="G3805" t="str">
        <f>IF(OrdersTable[[#This Row],[Order Date]]=_xlfn.MINIFS(Order_Date, Customer_ID, OrdersTable[[#This Row],[Customer ID]]), "New", "Repeat")</f>
        <v>Repeat</v>
      </c>
      <c r="H3805" t="s">
        <v>275</v>
      </c>
      <c r="I3805" t="str">
        <f>INDEX(State!B:B,MATCH(OrdersTable[[#This Row],[State]],State!A:A,0))</f>
        <v>AP</v>
      </c>
      <c r="J3805" t="str">
        <f>INDEX(State!C:C,MATCH(OrdersTable[[#This Row],[State Code]],State!B:B,0))</f>
        <v>South</v>
      </c>
      <c r="K3805" t="s">
        <v>491</v>
      </c>
      <c r="L3805" t="s">
        <v>65</v>
      </c>
      <c r="M3805" t="s">
        <v>66</v>
      </c>
      <c r="N3805" t="str">
        <f>INDEX(Products!B:B,MATCH(OrdersTable[[#This Row],[Product ID]],Products!A:A,0))</f>
        <v>Sunscreen SPF 50</v>
      </c>
      <c r="O3805" t="str">
        <f>INDEX(Products!C:C,MATCH(OrdersTable[[#This Row],[Product ID]],Products!A:A,0))</f>
        <v>Skincare</v>
      </c>
      <c r="P3805">
        <v>3</v>
      </c>
      <c r="Q3805" s="5">
        <v>449</v>
      </c>
      <c r="R3805" s="74">
        <v>0.1</v>
      </c>
      <c r="S3805" s="75">
        <f>OrdersTable[[#This Row],[Quantity]]*OrdersTable[[#This Row],[Unit Price]]</f>
        <v>1347</v>
      </c>
      <c r="T3805" s="5">
        <f>OrdersTable[[#This Row],[Gross Sale]]*OrdersTable[[#This Row],[Discount_Clean2]]</f>
        <v>134.70000000000002</v>
      </c>
      <c r="U3805" s="5">
        <f>OrdersTable[[#This Row],[Gross Sale]]-OrdersTable[[#This Row],[Discount Amount]]</f>
        <v>1212.3</v>
      </c>
      <c r="V3805" s="77">
        <f>INDEX(Products!E:E,MATCH(OrdersTable[[#This Row],[Product ID]],Products!A:A,0))</f>
        <v>144</v>
      </c>
      <c r="W3805" s="77">
        <f>OrdersTable[[#This Row],[Quantity]]*OrdersTable[[#This Row],[Unit Cost]]</f>
        <v>432</v>
      </c>
      <c r="X3805" s="77">
        <f>'Dropdown Lists'!$I$2*(1+OrdersTable[[#This Row],[Returned]])</f>
        <v>60</v>
      </c>
      <c r="Y3805" s="76">
        <f>OrdersTable[[#This Row],[Net Revenue]]-OrdersTable[[#This Row],[COGS]]-OrdersTable[[#This Row],[Shipping Cost]]</f>
        <v>720.3</v>
      </c>
      <c r="Z3805" s="78">
        <f>IFERROR(OrdersTable[[#This Row],[Profit]]/OrdersTable[[#This Row],[Net Revenue]],0)</f>
        <v>0.59415986142044042</v>
      </c>
      <c r="AA3805" t="s">
        <v>18</v>
      </c>
      <c r="AB3805" s="79">
        <v>45910</v>
      </c>
      <c r="AC3805">
        <f>OrdersTable[[#This Row],[Delivery Date]]-OrdersTable[[#This Row],[Order Date]]</f>
        <v>5</v>
      </c>
      <c r="AD3805" t="str">
        <f>IF(OrdersTable[[#This Row],[Delivery Days]]&lt;=2, "Express (≤2d)", IF(OrdersTable[[#This Row],[Delivery Days]]&lt;=4, "Standard (3-4d)", "Delayed (5d+)"))</f>
        <v>Delayed (5d+)</v>
      </c>
      <c r="AE3805">
        <v>3</v>
      </c>
      <c r="AF3805">
        <v>0</v>
      </c>
    </row>
    <row r="3806" spans="1:32" ht="15" x14ac:dyDescent="0.35">
      <c r="A3806" t="s">
        <v>661</v>
      </c>
      <c r="B3806" s="1">
        <v>45905</v>
      </c>
      <c r="C3806">
        <f>YEAR(OrdersTable[[#This Row],[Order Date]])</f>
        <v>2025</v>
      </c>
      <c r="D3806" s="2">
        <f>DATE(YEAR(OrdersTable[[#This Row],[Order Date]]),MONTH(OrdersTable[[#This Row],[Order Date]]),1)</f>
        <v>45901</v>
      </c>
      <c r="E3806">
        <f>MONTH(OrdersTable[[#This Row],[Order Date]])</f>
        <v>9</v>
      </c>
      <c r="F3806" t="s">
        <v>662</v>
      </c>
      <c r="G3806" t="str">
        <f>IF(OrdersTable[[#This Row],[Order Date]]=_xlfn.MINIFS(Order_Date, Customer_ID, OrdersTable[[#This Row],[Customer ID]]), "New", "Repeat")</f>
        <v>New</v>
      </c>
      <c r="H3806" t="s">
        <v>316</v>
      </c>
      <c r="I3806" t="str">
        <f>INDEX(State!B:B,MATCH(OrdersTable[[#This Row],[State]],State!A:A,0))</f>
        <v>KL</v>
      </c>
      <c r="J3806" t="str">
        <f>INDEX(State!C:C,MATCH(OrdersTable[[#This Row],[State Code]],State!B:B,0))</f>
        <v>South</v>
      </c>
      <c r="K3806" t="s">
        <v>338</v>
      </c>
      <c r="L3806" t="s">
        <v>23</v>
      </c>
      <c r="M3806" t="s">
        <v>73</v>
      </c>
      <c r="N3806" t="str">
        <f>INDEX(Products!B:B,MATCH(OrdersTable[[#This Row],[Product ID]],Products!A:A,0))</f>
        <v>Hydrating Face Wash</v>
      </c>
      <c r="O3806" t="str">
        <f>INDEX(Products!C:C,MATCH(OrdersTable[[#This Row],[Product ID]],Products!A:A,0))</f>
        <v>Skincare</v>
      </c>
      <c r="P3806">
        <v>1</v>
      </c>
      <c r="Q3806" s="5">
        <v>299</v>
      </c>
      <c r="R3806" s="74">
        <v>0</v>
      </c>
      <c r="S3806" s="75">
        <f>OrdersTable[[#This Row],[Quantity]]*OrdersTable[[#This Row],[Unit Price]]</f>
        <v>299</v>
      </c>
      <c r="T3806" s="5">
        <f>OrdersTable[[#This Row],[Gross Sale]]*OrdersTable[[#This Row],[Discount_Clean2]]</f>
        <v>0</v>
      </c>
      <c r="U3806" s="5">
        <f>OrdersTable[[#This Row],[Gross Sale]]-OrdersTable[[#This Row],[Discount Amount]]</f>
        <v>299</v>
      </c>
      <c r="V3806" s="77">
        <f>INDEX(Products!E:E,MATCH(OrdersTable[[#This Row],[Product ID]],Products!A:A,0))</f>
        <v>90</v>
      </c>
      <c r="W3806" s="77">
        <f>OrdersTable[[#This Row],[Quantity]]*OrdersTable[[#This Row],[Unit Cost]]</f>
        <v>90</v>
      </c>
      <c r="X3806" s="77">
        <f>'Dropdown Lists'!$I$2*(1+OrdersTable[[#This Row],[Returned]])</f>
        <v>60</v>
      </c>
      <c r="Y3806" s="76">
        <f>OrdersTable[[#This Row],[Net Revenue]]-OrdersTable[[#This Row],[COGS]]-OrdersTable[[#This Row],[Shipping Cost]]</f>
        <v>149</v>
      </c>
      <c r="Z3806" s="78">
        <f>IFERROR(OrdersTable[[#This Row],[Profit]]/OrdersTable[[#This Row],[Net Revenue]],0)</f>
        <v>0.49832775919732442</v>
      </c>
      <c r="AA3806" t="s">
        <v>18</v>
      </c>
      <c r="AB3806" s="79">
        <v>45908</v>
      </c>
      <c r="AC3806">
        <f>OrdersTable[[#This Row],[Delivery Date]]-OrdersTable[[#This Row],[Order Date]]</f>
        <v>3</v>
      </c>
      <c r="AD3806" t="str">
        <f>IF(OrdersTable[[#This Row],[Delivery Days]]&lt;=2, "Express (≤2d)", IF(OrdersTable[[#This Row],[Delivery Days]]&lt;=4, "Standard (3-4d)", "Delayed (5d+)"))</f>
        <v>Standard (3-4d)</v>
      </c>
      <c r="AE3806">
        <v>4</v>
      </c>
      <c r="AF3806">
        <v>0</v>
      </c>
    </row>
    <row r="3807" spans="1:32" ht="15" x14ac:dyDescent="0.35">
      <c r="A3807" t="s">
        <v>4290</v>
      </c>
      <c r="B3807" s="1">
        <v>45906</v>
      </c>
      <c r="C3807">
        <f>YEAR(OrdersTable[[#This Row],[Order Date]])</f>
        <v>2025</v>
      </c>
      <c r="D3807" s="2">
        <f>DATE(YEAR(OrdersTable[[#This Row],[Order Date]]),MONTH(OrdersTable[[#This Row],[Order Date]]),1)</f>
        <v>45901</v>
      </c>
      <c r="E3807">
        <f>MONTH(OrdersTable[[#This Row],[Order Date]])</f>
        <v>9</v>
      </c>
      <c r="F3807" t="s">
        <v>2836</v>
      </c>
      <c r="G3807" t="str">
        <f>IF(OrdersTable[[#This Row],[Order Date]]=_xlfn.MINIFS(Order_Date, Customer_ID, OrdersTable[[#This Row],[Customer ID]]), "New", "Repeat")</f>
        <v>Repeat</v>
      </c>
      <c r="H3807" t="s">
        <v>27</v>
      </c>
      <c r="I3807" t="str">
        <f>INDEX(State!B:B,MATCH(OrdersTable[[#This Row],[State]],State!A:A,0))</f>
        <v>WB</v>
      </c>
      <c r="J3807" t="str">
        <f>INDEX(State!C:C,MATCH(OrdersTable[[#This Row],[State Code]],State!B:B,0))</f>
        <v>East</v>
      </c>
      <c r="K3807" t="s">
        <v>28</v>
      </c>
      <c r="L3807" t="s">
        <v>39</v>
      </c>
      <c r="M3807" t="s">
        <v>160</v>
      </c>
      <c r="N3807" t="str">
        <f>INDEX(Products!B:B,MATCH(OrdersTable[[#This Row],[Product ID]],Products!A:A,0))</f>
        <v>Niacinamide Toner</v>
      </c>
      <c r="O3807" t="str">
        <f>INDEX(Products!C:C,MATCH(OrdersTable[[#This Row],[Product ID]],Products!A:A,0))</f>
        <v>Skincare</v>
      </c>
      <c r="P3807">
        <v>1</v>
      </c>
      <c r="Q3807" s="5">
        <v>399</v>
      </c>
      <c r="R3807" s="74">
        <v>0.15</v>
      </c>
      <c r="S3807" s="75">
        <f>OrdersTable[[#This Row],[Quantity]]*OrdersTable[[#This Row],[Unit Price]]</f>
        <v>399</v>
      </c>
      <c r="T3807" s="5">
        <f>OrdersTable[[#This Row],[Gross Sale]]*OrdersTable[[#This Row],[Discount_Clean2]]</f>
        <v>59.849999999999994</v>
      </c>
      <c r="U3807" s="5">
        <f>OrdersTable[[#This Row],[Gross Sale]]-OrdersTable[[#This Row],[Discount Amount]]</f>
        <v>339.15</v>
      </c>
      <c r="V3807" s="77">
        <f>INDEX(Products!E:E,MATCH(OrdersTable[[#This Row],[Product ID]],Products!A:A,0))</f>
        <v>112</v>
      </c>
      <c r="W3807" s="77">
        <f>OrdersTable[[#This Row],[Quantity]]*OrdersTable[[#This Row],[Unit Cost]]</f>
        <v>112</v>
      </c>
      <c r="X3807" s="77">
        <f>'Dropdown Lists'!$I$2*(1+OrdersTable[[#This Row],[Returned]])</f>
        <v>60</v>
      </c>
      <c r="Y3807" s="76">
        <f>OrdersTable[[#This Row],[Net Revenue]]-OrdersTable[[#This Row],[COGS]]-OrdersTable[[#This Row],[Shipping Cost]]</f>
        <v>167.14999999999998</v>
      </c>
      <c r="Z3807" s="78">
        <f>IFERROR(OrdersTable[[#This Row],[Profit]]/OrdersTable[[#This Row],[Net Revenue]],0)</f>
        <v>0.49284977148754233</v>
      </c>
      <c r="AA3807" t="s">
        <v>4074</v>
      </c>
      <c r="AB3807" s="79">
        <v>45911</v>
      </c>
      <c r="AC3807">
        <f>OrdersTable[[#This Row],[Delivery Date]]-OrdersTable[[#This Row],[Order Date]]</f>
        <v>5</v>
      </c>
      <c r="AD3807" t="str">
        <f>IF(OrdersTable[[#This Row],[Delivery Days]]&lt;=2, "Express (≤2d)", IF(OrdersTable[[#This Row],[Delivery Days]]&lt;=4, "Standard (3-4d)", "Delayed (5d+)"))</f>
        <v>Delayed (5d+)</v>
      </c>
      <c r="AF3807">
        <v>0</v>
      </c>
    </row>
    <row r="3808" spans="1:32" ht="15" x14ac:dyDescent="0.35">
      <c r="A3808" t="s">
        <v>2174</v>
      </c>
      <c r="B3808" s="1">
        <v>45907</v>
      </c>
      <c r="C3808">
        <f>YEAR(OrdersTable[[#This Row],[Order Date]])</f>
        <v>2025</v>
      </c>
      <c r="D3808" s="2">
        <f>DATE(YEAR(OrdersTable[[#This Row],[Order Date]]),MONTH(OrdersTable[[#This Row],[Order Date]]),1)</f>
        <v>45901</v>
      </c>
      <c r="E3808">
        <f>MONTH(OrdersTable[[#This Row],[Order Date]])</f>
        <v>9</v>
      </c>
      <c r="F3808" t="s">
        <v>2175</v>
      </c>
      <c r="G3808" t="str">
        <f>IF(OrdersTable[[#This Row],[Order Date]]=_xlfn.MINIFS(Order_Date, Customer_ID, OrdersTable[[#This Row],[Customer ID]]), "New", "Repeat")</f>
        <v>New</v>
      </c>
      <c r="H3808" t="s">
        <v>128</v>
      </c>
      <c r="I3808" t="str">
        <f>INDEX(State!B:B,MATCH(OrdersTable[[#This Row],[State]],State!A:A,0))</f>
        <v>DL</v>
      </c>
      <c r="J3808" t="str">
        <f>INDEX(State!C:C,MATCH(OrdersTable[[#This Row],[State Code]],State!B:B,0))</f>
        <v>North</v>
      </c>
      <c r="K3808" t="s">
        <v>129</v>
      </c>
      <c r="L3808" t="s">
        <v>50</v>
      </c>
      <c r="M3808" t="s">
        <v>78</v>
      </c>
      <c r="N3808" t="str">
        <f>INDEX(Products!B:B,MATCH(OrdersTable[[#This Row],[Product ID]],Products!A:A,0))</f>
        <v>Retinol Night Cream</v>
      </c>
      <c r="O3808" t="str">
        <f>INDEX(Products!C:C,MATCH(OrdersTable[[#This Row],[Product ID]],Products!A:A,0))</f>
        <v>Skincare</v>
      </c>
      <c r="P3808">
        <v>1</v>
      </c>
      <c r="Q3808" s="5">
        <v>799</v>
      </c>
      <c r="R3808" s="74">
        <v>0.05</v>
      </c>
      <c r="S3808" s="75">
        <f>OrdersTable[[#This Row],[Quantity]]*OrdersTable[[#This Row],[Unit Price]]</f>
        <v>799</v>
      </c>
      <c r="T3808" s="5">
        <f>OrdersTable[[#This Row],[Gross Sale]]*OrdersTable[[#This Row],[Discount_Clean2]]</f>
        <v>39.950000000000003</v>
      </c>
      <c r="U3808" s="5">
        <f>OrdersTable[[#This Row],[Gross Sale]]-OrdersTable[[#This Row],[Discount Amount]]</f>
        <v>759.05</v>
      </c>
      <c r="V3808" s="77">
        <f>INDEX(Products!E:E,MATCH(OrdersTable[[#This Row],[Product ID]],Products!A:A,0))</f>
        <v>216</v>
      </c>
      <c r="W3808" s="77">
        <f>OrdersTable[[#This Row],[Quantity]]*OrdersTable[[#This Row],[Unit Cost]]</f>
        <v>216</v>
      </c>
      <c r="X3808" s="77">
        <f>'Dropdown Lists'!$I$2*(1+OrdersTable[[#This Row],[Returned]])</f>
        <v>60</v>
      </c>
      <c r="Y3808" s="76">
        <f>OrdersTable[[#This Row],[Net Revenue]]-OrdersTable[[#This Row],[COGS]]-OrdersTable[[#This Row],[Shipping Cost]]</f>
        <v>483.04999999999995</v>
      </c>
      <c r="Z3808" s="78">
        <f>IFERROR(OrdersTable[[#This Row],[Profit]]/OrdersTable[[#This Row],[Net Revenue]],0)</f>
        <v>0.63638758975034582</v>
      </c>
      <c r="AA3808" t="s">
        <v>18</v>
      </c>
      <c r="AB3808" s="79">
        <v>45909</v>
      </c>
      <c r="AC3808">
        <f>OrdersTable[[#This Row],[Delivery Date]]-OrdersTable[[#This Row],[Order Date]]</f>
        <v>2</v>
      </c>
      <c r="AD3808" t="str">
        <f>IF(OrdersTable[[#This Row],[Delivery Days]]&lt;=2, "Express (≤2d)", IF(OrdersTable[[#This Row],[Delivery Days]]&lt;=4, "Standard (3-4d)", "Delayed (5d+)"))</f>
        <v>Express (≤2d)</v>
      </c>
      <c r="AE3808">
        <v>3</v>
      </c>
      <c r="AF3808">
        <v>0</v>
      </c>
    </row>
    <row r="3809" spans="1:32" ht="15" x14ac:dyDescent="0.35">
      <c r="A3809" t="s">
        <v>2831</v>
      </c>
      <c r="B3809" s="1">
        <v>45907</v>
      </c>
      <c r="C3809">
        <f>YEAR(OrdersTable[[#This Row],[Order Date]])</f>
        <v>2025</v>
      </c>
      <c r="D3809" s="2">
        <f>DATE(YEAR(OrdersTable[[#This Row],[Order Date]]),MONTH(OrdersTable[[#This Row],[Order Date]]),1)</f>
        <v>45901</v>
      </c>
      <c r="E3809">
        <f>MONTH(OrdersTable[[#This Row],[Order Date]])</f>
        <v>9</v>
      </c>
      <c r="F3809" t="s">
        <v>2832</v>
      </c>
      <c r="G3809" t="str">
        <f>IF(OrdersTable[[#This Row],[Order Date]]=_xlfn.MINIFS(Order_Date, Customer_ID, OrdersTable[[#This Row],[Customer ID]]), "New", "Repeat")</f>
        <v>New</v>
      </c>
      <c r="H3809" t="s">
        <v>76</v>
      </c>
      <c r="I3809" t="str">
        <f>INDEX(State!B:B,MATCH(OrdersTable[[#This Row],[State]],State!A:A,0))</f>
        <v>UP</v>
      </c>
      <c r="J3809" t="str">
        <f>INDEX(State!C:C,MATCH(OrdersTable[[#This Row],[State Code]],State!B:B,0))</f>
        <v>North</v>
      </c>
      <c r="K3809" t="s">
        <v>77</v>
      </c>
      <c r="L3809" t="s">
        <v>65</v>
      </c>
      <c r="M3809" t="s">
        <v>106</v>
      </c>
      <c r="N3809" t="str">
        <f>INDEX(Products!B:B,MATCH(OrdersTable[[#This Row],[Product ID]],Products!A:A,0))</f>
        <v>Keratin Hair Mask</v>
      </c>
      <c r="O3809" t="str">
        <f>INDEX(Products!C:C,MATCH(OrdersTable[[#This Row],[Product ID]],Products!A:A,0))</f>
        <v>Haircare</v>
      </c>
      <c r="P3809">
        <v>1</v>
      </c>
      <c r="Q3809" s="5">
        <v>549</v>
      </c>
      <c r="R3809" s="74">
        <v>0.25</v>
      </c>
      <c r="S3809" s="75">
        <f>OrdersTable[[#This Row],[Quantity]]*OrdersTable[[#This Row],[Unit Price]]</f>
        <v>549</v>
      </c>
      <c r="T3809" s="5">
        <f>OrdersTable[[#This Row],[Gross Sale]]*OrdersTable[[#This Row],[Discount_Clean2]]</f>
        <v>137.25</v>
      </c>
      <c r="U3809" s="5">
        <f>OrdersTable[[#This Row],[Gross Sale]]-OrdersTable[[#This Row],[Discount Amount]]</f>
        <v>411.75</v>
      </c>
      <c r="V3809" s="77">
        <f>INDEX(Products!E:E,MATCH(OrdersTable[[#This Row],[Product ID]],Products!A:A,0))</f>
        <v>170</v>
      </c>
      <c r="W3809" s="77">
        <f>OrdersTable[[#This Row],[Quantity]]*OrdersTable[[#This Row],[Unit Cost]]</f>
        <v>170</v>
      </c>
      <c r="X3809" s="77">
        <f>'Dropdown Lists'!$I$2*(1+OrdersTable[[#This Row],[Returned]])</f>
        <v>60</v>
      </c>
      <c r="Y3809" s="76">
        <f>OrdersTable[[#This Row],[Net Revenue]]-OrdersTable[[#This Row],[COGS]]-OrdersTable[[#This Row],[Shipping Cost]]</f>
        <v>181.75</v>
      </c>
      <c r="Z3809" s="78">
        <f>IFERROR(OrdersTable[[#This Row],[Profit]]/OrdersTable[[#This Row],[Net Revenue]],0)</f>
        <v>0.44140862173649059</v>
      </c>
      <c r="AA3809" t="s">
        <v>2522</v>
      </c>
      <c r="AB3809" s="79">
        <v>45910</v>
      </c>
      <c r="AC3809">
        <f>OrdersTable[[#This Row],[Delivery Date]]-OrdersTable[[#This Row],[Order Date]]</f>
        <v>3</v>
      </c>
      <c r="AD3809" t="str">
        <f>IF(OrdersTable[[#This Row],[Delivery Days]]&lt;=2, "Express (≤2d)", IF(OrdersTable[[#This Row],[Delivery Days]]&lt;=4, "Standard (3-4d)", "Delayed (5d+)"))</f>
        <v>Standard (3-4d)</v>
      </c>
      <c r="AE3809">
        <v>3</v>
      </c>
      <c r="AF3809">
        <v>0</v>
      </c>
    </row>
    <row r="3810" spans="1:32" ht="15" x14ac:dyDescent="0.35">
      <c r="A3810" t="s">
        <v>663</v>
      </c>
      <c r="B3810" s="1">
        <v>45907</v>
      </c>
      <c r="C3810">
        <f>YEAR(OrdersTable[[#This Row],[Order Date]])</f>
        <v>2025</v>
      </c>
      <c r="D3810" s="2">
        <f>DATE(YEAR(OrdersTable[[#This Row],[Order Date]]),MONTH(OrdersTable[[#This Row],[Order Date]]),1)</f>
        <v>45901</v>
      </c>
      <c r="E3810">
        <f>MONTH(OrdersTable[[#This Row],[Order Date]])</f>
        <v>9</v>
      </c>
      <c r="F3810" t="s">
        <v>664</v>
      </c>
      <c r="G3810" t="str">
        <f>IF(OrdersTable[[#This Row],[Order Date]]=_xlfn.MINIFS(Order_Date, Customer_ID, OrdersTable[[#This Row],[Customer ID]]), "New", "Repeat")</f>
        <v>New</v>
      </c>
      <c r="H3810" t="s">
        <v>37</v>
      </c>
      <c r="I3810" t="str">
        <f>INDEX(State!B:B,MATCH(OrdersTable[[#This Row],[State]],State!A:A,0))</f>
        <v>GJ</v>
      </c>
      <c r="J3810" t="str">
        <f>INDEX(State!C:C,MATCH(OrdersTable[[#This Row],[State Code]],State!B:B,0))</f>
        <v>West</v>
      </c>
      <c r="K3810" t="s">
        <v>247</v>
      </c>
      <c r="L3810" t="s">
        <v>39</v>
      </c>
      <c r="M3810" t="s">
        <v>73</v>
      </c>
      <c r="N3810" t="str">
        <f>INDEX(Products!B:B,MATCH(OrdersTable[[#This Row],[Product ID]],Products!A:A,0))</f>
        <v>Hydrating Face Wash</v>
      </c>
      <c r="O3810" t="str">
        <f>INDEX(Products!C:C,MATCH(OrdersTable[[#This Row],[Product ID]],Products!A:A,0))</f>
        <v>Skincare</v>
      </c>
      <c r="P3810">
        <v>1</v>
      </c>
      <c r="Q3810" s="5">
        <v>299</v>
      </c>
      <c r="R3810" s="74">
        <v>0</v>
      </c>
      <c r="S3810" s="75">
        <f>OrdersTable[[#This Row],[Quantity]]*OrdersTable[[#This Row],[Unit Price]]</f>
        <v>299</v>
      </c>
      <c r="T3810" s="5">
        <f>OrdersTable[[#This Row],[Gross Sale]]*OrdersTable[[#This Row],[Discount_Clean2]]</f>
        <v>0</v>
      </c>
      <c r="U3810" s="5">
        <f>OrdersTable[[#This Row],[Gross Sale]]-OrdersTable[[#This Row],[Discount Amount]]</f>
        <v>299</v>
      </c>
      <c r="V3810" s="77">
        <f>INDEX(Products!E:E,MATCH(OrdersTable[[#This Row],[Product ID]],Products!A:A,0))</f>
        <v>90</v>
      </c>
      <c r="W3810" s="77">
        <f>OrdersTable[[#This Row],[Quantity]]*OrdersTable[[#This Row],[Unit Cost]]</f>
        <v>90</v>
      </c>
      <c r="X3810" s="77">
        <f>'Dropdown Lists'!$I$2*(1+OrdersTable[[#This Row],[Returned]])</f>
        <v>60</v>
      </c>
      <c r="Y3810" s="76">
        <f>OrdersTable[[#This Row],[Net Revenue]]-OrdersTable[[#This Row],[COGS]]-OrdersTable[[#This Row],[Shipping Cost]]</f>
        <v>149</v>
      </c>
      <c r="Z3810" s="78">
        <f>IFERROR(OrdersTable[[#This Row],[Profit]]/OrdersTable[[#This Row],[Net Revenue]],0)</f>
        <v>0.49832775919732442</v>
      </c>
      <c r="AA3810" t="s">
        <v>18</v>
      </c>
      <c r="AB3810" s="79">
        <v>45910</v>
      </c>
      <c r="AC3810">
        <f>OrdersTable[[#This Row],[Delivery Date]]-OrdersTable[[#This Row],[Order Date]]</f>
        <v>3</v>
      </c>
      <c r="AD3810" t="str">
        <f>IF(OrdersTable[[#This Row],[Delivery Days]]&lt;=2, "Express (≤2d)", IF(OrdersTable[[#This Row],[Delivery Days]]&lt;=4, "Standard (3-4d)", "Delayed (5d+)"))</f>
        <v>Standard (3-4d)</v>
      </c>
      <c r="AE3810">
        <v>4</v>
      </c>
      <c r="AF3810">
        <v>0</v>
      </c>
    </row>
    <row r="3811" spans="1:32" ht="15" x14ac:dyDescent="0.35">
      <c r="A3811" t="s">
        <v>2654</v>
      </c>
      <c r="B3811" s="1">
        <v>45907</v>
      </c>
      <c r="C3811">
        <f>YEAR(OrdersTable[[#This Row],[Order Date]])</f>
        <v>2025</v>
      </c>
      <c r="D3811" s="2">
        <f>DATE(YEAR(OrdersTable[[#This Row],[Order Date]]),MONTH(OrdersTable[[#This Row],[Order Date]]),1)</f>
        <v>45901</v>
      </c>
      <c r="E3811">
        <f>MONTH(OrdersTable[[#This Row],[Order Date]])</f>
        <v>9</v>
      </c>
      <c r="F3811" t="s">
        <v>2655</v>
      </c>
      <c r="G3811" t="str">
        <f>IF(OrdersTable[[#This Row],[Order Date]]=_xlfn.MINIFS(Order_Date, Customer_ID, OrdersTable[[#This Row],[Customer ID]]), "New", "Repeat")</f>
        <v>New</v>
      </c>
      <c r="H3811" t="s">
        <v>275</v>
      </c>
      <c r="I3811" t="str">
        <f>INDEX(State!B:B,MATCH(OrdersTable[[#This Row],[State]],State!A:A,0))</f>
        <v>AP</v>
      </c>
      <c r="J3811" t="str">
        <f>INDEX(State!C:C,MATCH(OrdersTable[[#This Row],[State Code]],State!B:B,0))</f>
        <v>South</v>
      </c>
      <c r="K3811" t="s">
        <v>276</v>
      </c>
      <c r="L3811" t="s">
        <v>39</v>
      </c>
      <c r="M3811" t="s">
        <v>125</v>
      </c>
      <c r="N3811" t="str">
        <f>INDEX(Products!B:B,MATCH(OrdersTable[[#This Row],[Product ID]],Products!A:A,0))</f>
        <v>Copper Water Bottle</v>
      </c>
      <c r="O3811" t="str">
        <f>INDEX(Products!C:C,MATCH(OrdersTable[[#This Row],[Product ID]],Products!A:A,0))</f>
        <v>Home &amp; Kitchen</v>
      </c>
      <c r="P3811">
        <v>1</v>
      </c>
      <c r="Q3811" s="5">
        <v>899</v>
      </c>
      <c r="R3811" s="74">
        <v>0</v>
      </c>
      <c r="S3811" s="75">
        <f>OrdersTable[[#This Row],[Quantity]]*OrdersTable[[#This Row],[Unit Price]]</f>
        <v>899</v>
      </c>
      <c r="T3811" s="5">
        <f>OrdersTable[[#This Row],[Gross Sale]]*OrdersTable[[#This Row],[Discount_Clean2]]</f>
        <v>0</v>
      </c>
      <c r="U3811" s="5">
        <f>OrdersTable[[#This Row],[Gross Sale]]-OrdersTable[[#This Row],[Discount Amount]]</f>
        <v>899</v>
      </c>
      <c r="V3811" s="77">
        <f>INDEX(Products!E:E,MATCH(OrdersTable[[#This Row],[Product ID]],Products!A:A,0))</f>
        <v>378</v>
      </c>
      <c r="W3811" s="77">
        <f>OrdersTable[[#This Row],[Quantity]]*OrdersTable[[#This Row],[Unit Cost]]</f>
        <v>378</v>
      </c>
      <c r="X3811" s="77">
        <f>'Dropdown Lists'!$I$2*(1+OrdersTable[[#This Row],[Returned]])</f>
        <v>60</v>
      </c>
      <c r="Y3811" s="76">
        <f>OrdersTable[[#This Row],[Net Revenue]]-OrdersTable[[#This Row],[COGS]]-OrdersTable[[#This Row],[Shipping Cost]]</f>
        <v>461</v>
      </c>
      <c r="Z3811" s="78">
        <f>IFERROR(OrdersTable[[#This Row],[Profit]]/OrdersTable[[#This Row],[Net Revenue]],0)</f>
        <v>0.51279199110122353</v>
      </c>
      <c r="AA3811" t="s">
        <v>2522</v>
      </c>
      <c r="AB3811" s="79">
        <v>45908</v>
      </c>
      <c r="AC3811">
        <f>OrdersTable[[#This Row],[Delivery Date]]-OrdersTable[[#This Row],[Order Date]]</f>
        <v>1</v>
      </c>
      <c r="AD3811" t="str">
        <f>IF(OrdersTable[[#This Row],[Delivery Days]]&lt;=2, "Express (≤2d)", IF(OrdersTable[[#This Row],[Delivery Days]]&lt;=4, "Standard (3-4d)", "Delayed (5d+)"))</f>
        <v>Express (≤2d)</v>
      </c>
      <c r="AE3811">
        <v>5</v>
      </c>
      <c r="AF3811">
        <v>0</v>
      </c>
    </row>
    <row r="3812" spans="1:32" ht="15" x14ac:dyDescent="0.35">
      <c r="A3812" t="s">
        <v>1779</v>
      </c>
      <c r="B3812" s="1">
        <v>45907</v>
      </c>
      <c r="C3812">
        <f>YEAR(OrdersTable[[#This Row],[Order Date]])</f>
        <v>2025</v>
      </c>
      <c r="D3812" s="2">
        <f>DATE(YEAR(OrdersTable[[#This Row],[Order Date]]),MONTH(OrdersTable[[#This Row],[Order Date]]),1)</f>
        <v>45901</v>
      </c>
      <c r="E3812">
        <f>MONTH(OrdersTable[[#This Row],[Order Date]])</f>
        <v>9</v>
      </c>
      <c r="F3812" t="s">
        <v>970</v>
      </c>
      <c r="G3812" t="str">
        <f>IF(OrdersTable[[#This Row],[Order Date]]=_xlfn.MINIFS(Order_Date, Customer_ID, OrdersTable[[#This Row],[Customer ID]]), "New", "Repeat")</f>
        <v>Repeat</v>
      </c>
      <c r="H3812" t="s">
        <v>316</v>
      </c>
      <c r="I3812" t="str">
        <f>INDEX(State!B:B,MATCH(OrdersTable[[#This Row],[State]],State!A:A,0))</f>
        <v>KL</v>
      </c>
      <c r="J3812" t="str">
        <f>INDEX(State!C:C,MATCH(OrdersTable[[#This Row],[State Code]],State!B:B,0))</f>
        <v>South</v>
      </c>
      <c r="K3812" t="s">
        <v>338</v>
      </c>
      <c r="L3812" t="s">
        <v>65</v>
      </c>
      <c r="M3812" t="s">
        <v>73</v>
      </c>
      <c r="N3812" t="str">
        <f>INDEX(Products!B:B,MATCH(OrdersTable[[#This Row],[Product ID]],Products!A:A,0))</f>
        <v>Hydrating Face Wash</v>
      </c>
      <c r="O3812" t="str">
        <f>INDEX(Products!C:C,MATCH(OrdersTable[[#This Row],[Product ID]],Products!A:A,0))</f>
        <v>Skincare</v>
      </c>
      <c r="P3812">
        <v>1</v>
      </c>
      <c r="Q3812" s="5">
        <v>299</v>
      </c>
      <c r="R3812" s="74">
        <v>0</v>
      </c>
      <c r="S3812" s="75">
        <f>OrdersTable[[#This Row],[Quantity]]*OrdersTable[[#This Row],[Unit Price]]</f>
        <v>299</v>
      </c>
      <c r="T3812" s="5">
        <f>OrdersTable[[#This Row],[Gross Sale]]*OrdersTable[[#This Row],[Discount_Clean2]]</f>
        <v>0</v>
      </c>
      <c r="U3812" s="5">
        <f>OrdersTable[[#This Row],[Gross Sale]]-OrdersTable[[#This Row],[Discount Amount]]</f>
        <v>299</v>
      </c>
      <c r="V3812" s="77">
        <f>INDEX(Products!E:E,MATCH(OrdersTable[[#This Row],[Product ID]],Products!A:A,0))</f>
        <v>90</v>
      </c>
      <c r="W3812" s="77">
        <f>OrdersTable[[#This Row],[Quantity]]*OrdersTable[[#This Row],[Unit Cost]]</f>
        <v>90</v>
      </c>
      <c r="X3812" s="77">
        <f>'Dropdown Lists'!$I$2*(1+OrdersTable[[#This Row],[Returned]])</f>
        <v>60</v>
      </c>
      <c r="Y3812" s="76">
        <f>OrdersTable[[#This Row],[Net Revenue]]-OrdersTable[[#This Row],[COGS]]-OrdersTable[[#This Row],[Shipping Cost]]</f>
        <v>149</v>
      </c>
      <c r="Z3812" s="78">
        <f>IFERROR(OrdersTable[[#This Row],[Profit]]/OrdersTable[[#This Row],[Net Revenue]],0)</f>
        <v>0.49832775919732442</v>
      </c>
      <c r="AA3812" t="s">
        <v>18</v>
      </c>
      <c r="AB3812" s="79">
        <v>45911</v>
      </c>
      <c r="AC3812">
        <f>OrdersTable[[#This Row],[Delivery Date]]-OrdersTable[[#This Row],[Order Date]]</f>
        <v>4</v>
      </c>
      <c r="AD3812" t="str">
        <f>IF(OrdersTable[[#This Row],[Delivery Days]]&lt;=2, "Express (≤2d)", IF(OrdersTable[[#This Row],[Delivery Days]]&lt;=4, "Standard (3-4d)", "Delayed (5d+)"))</f>
        <v>Standard (3-4d)</v>
      </c>
      <c r="AF3812">
        <v>0</v>
      </c>
    </row>
    <row r="3813" spans="1:32" ht="15" x14ac:dyDescent="0.35">
      <c r="A3813" t="s">
        <v>5435</v>
      </c>
      <c r="B3813" s="1">
        <v>45907</v>
      </c>
      <c r="C3813">
        <f>YEAR(OrdersTable[[#This Row],[Order Date]])</f>
        <v>2025</v>
      </c>
      <c r="D3813" s="2">
        <f>DATE(YEAR(OrdersTable[[#This Row],[Order Date]]),MONTH(OrdersTable[[#This Row],[Order Date]]),1)</f>
        <v>45901</v>
      </c>
      <c r="E3813">
        <f>MONTH(OrdersTable[[#This Row],[Order Date]])</f>
        <v>9</v>
      </c>
      <c r="F3813" t="s">
        <v>4402</v>
      </c>
      <c r="G3813" t="str">
        <f>IF(OrdersTable[[#This Row],[Order Date]]=_xlfn.MINIFS(Order_Date, Customer_ID, OrdersTable[[#This Row],[Customer ID]]), "New", "Repeat")</f>
        <v>Repeat</v>
      </c>
      <c r="H3813" t="s">
        <v>59</v>
      </c>
      <c r="I3813" t="str">
        <f>INDEX(State!B:B,MATCH(OrdersTable[[#This Row],[State]],State!A:A,0))</f>
        <v>TN</v>
      </c>
      <c r="J3813" t="str">
        <f>INDEX(State!C:C,MATCH(OrdersTable[[#This Row],[State Code]],State!B:B,0))</f>
        <v>South</v>
      </c>
      <c r="K3813" t="s">
        <v>64</v>
      </c>
      <c r="L3813" t="s">
        <v>39</v>
      </c>
      <c r="M3813" t="s">
        <v>24</v>
      </c>
      <c r="N3813" t="str">
        <f>INDEX(Products!B:B,MATCH(OrdersTable[[#This Row],[Product ID]],Products!A:A,0))</f>
        <v>Scented Candle Set</v>
      </c>
      <c r="O3813" t="str">
        <f>INDEX(Products!C:C,MATCH(OrdersTable[[#This Row],[Product ID]],Products!A:A,0))</f>
        <v>Home &amp; Kitchen</v>
      </c>
      <c r="P3813">
        <v>2</v>
      </c>
      <c r="Q3813" s="5">
        <v>699</v>
      </c>
      <c r="R3813" s="74">
        <v>0.1</v>
      </c>
      <c r="S3813" s="75">
        <f>OrdersTable[[#This Row],[Quantity]]*OrdersTable[[#This Row],[Unit Price]]</f>
        <v>1398</v>
      </c>
      <c r="T3813" s="5">
        <f>OrdersTable[[#This Row],[Gross Sale]]*OrdersTable[[#This Row],[Discount_Clean2]]</f>
        <v>139.80000000000001</v>
      </c>
      <c r="U3813" s="5">
        <f>OrdersTable[[#This Row],[Gross Sale]]-OrdersTable[[#This Row],[Discount Amount]]</f>
        <v>1258.2</v>
      </c>
      <c r="V3813" s="77">
        <f>INDEX(Products!E:E,MATCH(OrdersTable[[#This Row],[Product ID]],Products!A:A,0))</f>
        <v>245</v>
      </c>
      <c r="W3813" s="77">
        <f>OrdersTable[[#This Row],[Quantity]]*OrdersTable[[#This Row],[Unit Cost]]</f>
        <v>490</v>
      </c>
      <c r="X3813" s="77">
        <f>'Dropdown Lists'!$I$2*(1+OrdersTable[[#This Row],[Returned]])</f>
        <v>60</v>
      </c>
      <c r="Y3813" s="76">
        <f>OrdersTable[[#This Row],[Net Revenue]]-OrdersTable[[#This Row],[COGS]]-OrdersTable[[#This Row],[Shipping Cost]]</f>
        <v>708.2</v>
      </c>
      <c r="Z3813" s="78">
        <f>IFERROR(OrdersTable[[#This Row],[Profit]]/OrdersTable[[#This Row],[Net Revenue]],0)</f>
        <v>0.5628675886186616</v>
      </c>
      <c r="AA3813" t="s">
        <v>2522</v>
      </c>
      <c r="AB3813" s="79">
        <v>45911</v>
      </c>
      <c r="AC3813">
        <f>OrdersTable[[#This Row],[Delivery Date]]-OrdersTable[[#This Row],[Order Date]]</f>
        <v>4</v>
      </c>
      <c r="AD3813" t="str">
        <f>IF(OrdersTable[[#This Row],[Delivery Days]]&lt;=2, "Express (≤2d)", IF(OrdersTable[[#This Row],[Delivery Days]]&lt;=4, "Standard (3-4d)", "Delayed (5d+)"))</f>
        <v>Standard (3-4d)</v>
      </c>
      <c r="AE3813">
        <v>5</v>
      </c>
      <c r="AF3813">
        <v>0</v>
      </c>
    </row>
    <row r="3814" spans="1:32" ht="15" x14ac:dyDescent="0.35">
      <c r="A3814" t="s">
        <v>363</v>
      </c>
      <c r="B3814" s="1">
        <v>45908</v>
      </c>
      <c r="C3814">
        <f>YEAR(OrdersTable[[#This Row],[Order Date]])</f>
        <v>2025</v>
      </c>
      <c r="D3814" s="2">
        <f>DATE(YEAR(OrdersTable[[#This Row],[Order Date]]),MONTH(OrdersTable[[#This Row],[Order Date]]),1)</f>
        <v>45901</v>
      </c>
      <c r="E3814">
        <f>MONTH(OrdersTable[[#This Row],[Order Date]])</f>
        <v>9</v>
      </c>
      <c r="F3814" t="s">
        <v>364</v>
      </c>
      <c r="G3814" t="str">
        <f>IF(OrdersTable[[#This Row],[Order Date]]=_xlfn.MINIFS(Order_Date, Customer_ID, OrdersTable[[#This Row],[Customer ID]]), "New", "Repeat")</f>
        <v>New</v>
      </c>
      <c r="H3814" t="s">
        <v>48</v>
      </c>
      <c r="I3814" t="str">
        <f>INDEX(State!B:B,MATCH(OrdersTable[[#This Row],[State]],State!A:A,0))</f>
        <v>HR</v>
      </c>
      <c r="J3814" t="str">
        <f>INDEX(State!C:C,MATCH(OrdersTable[[#This Row],[State Code]],State!B:B,0))</f>
        <v>North</v>
      </c>
      <c r="K3814" t="s">
        <v>49</v>
      </c>
      <c r="L3814" t="s">
        <v>23</v>
      </c>
      <c r="M3814" t="s">
        <v>61</v>
      </c>
      <c r="N3814" t="str">
        <f>INDEX(Products!B:B,MATCH(OrdersTable[[#This Row],[Product ID]],Products!A:A,0))</f>
        <v>Multivitamin Gummies</v>
      </c>
      <c r="O3814" t="str">
        <f>INDEX(Products!C:C,MATCH(OrdersTable[[#This Row],[Product ID]],Products!A:A,0))</f>
        <v>Wellness</v>
      </c>
      <c r="P3814">
        <v>1</v>
      </c>
      <c r="Q3814" s="5">
        <v>699</v>
      </c>
      <c r="R3814" s="74">
        <v>0.25</v>
      </c>
      <c r="S3814" s="75">
        <f>OrdersTable[[#This Row],[Quantity]]*OrdersTable[[#This Row],[Unit Price]]</f>
        <v>699</v>
      </c>
      <c r="T3814" s="5">
        <f>OrdersTable[[#This Row],[Gross Sale]]*OrdersTable[[#This Row],[Discount_Clean2]]</f>
        <v>174.75</v>
      </c>
      <c r="U3814" s="5">
        <f>OrdersTable[[#This Row],[Gross Sale]]-OrdersTable[[#This Row],[Discount Amount]]</f>
        <v>524.25</v>
      </c>
      <c r="V3814" s="77">
        <f>INDEX(Products!E:E,MATCH(OrdersTable[[#This Row],[Product ID]],Products!A:A,0))</f>
        <v>238</v>
      </c>
      <c r="W3814" s="77">
        <f>OrdersTable[[#This Row],[Quantity]]*OrdersTable[[#This Row],[Unit Cost]]</f>
        <v>238</v>
      </c>
      <c r="X3814" s="77">
        <f>'Dropdown Lists'!$I$2*(1+OrdersTable[[#This Row],[Returned]])</f>
        <v>60</v>
      </c>
      <c r="Y3814" s="76">
        <f>OrdersTable[[#This Row],[Net Revenue]]-OrdersTable[[#This Row],[COGS]]-OrdersTable[[#This Row],[Shipping Cost]]</f>
        <v>226.25</v>
      </c>
      <c r="Z3814" s="78">
        <f>IFERROR(OrdersTable[[#This Row],[Profit]]/OrdersTable[[#This Row],[Net Revenue]],0)</f>
        <v>0.43156890796375774</v>
      </c>
      <c r="AA3814" t="s">
        <v>18</v>
      </c>
      <c r="AB3814" s="79">
        <v>45911</v>
      </c>
      <c r="AC3814">
        <f>OrdersTable[[#This Row],[Delivery Date]]-OrdersTable[[#This Row],[Order Date]]</f>
        <v>3</v>
      </c>
      <c r="AD3814" t="str">
        <f>IF(OrdersTable[[#This Row],[Delivery Days]]&lt;=2, "Express (≤2d)", IF(OrdersTable[[#This Row],[Delivery Days]]&lt;=4, "Standard (3-4d)", "Delayed (5d+)"))</f>
        <v>Standard (3-4d)</v>
      </c>
      <c r="AE3814">
        <v>4</v>
      </c>
      <c r="AF3814">
        <v>0</v>
      </c>
    </row>
    <row r="3815" spans="1:32" ht="15" x14ac:dyDescent="0.35">
      <c r="A3815" t="s">
        <v>4851</v>
      </c>
      <c r="B3815" s="1">
        <v>45908</v>
      </c>
      <c r="C3815">
        <f>YEAR(OrdersTable[[#This Row],[Order Date]])</f>
        <v>2025</v>
      </c>
      <c r="D3815" s="2">
        <f>DATE(YEAR(OrdersTable[[#This Row],[Order Date]]),MONTH(OrdersTable[[#This Row],[Order Date]]),1)</f>
        <v>45901</v>
      </c>
      <c r="E3815">
        <f>MONTH(OrdersTable[[#This Row],[Order Date]])</f>
        <v>9</v>
      </c>
      <c r="F3815" t="s">
        <v>4852</v>
      </c>
      <c r="G3815" t="str">
        <f>IF(OrdersTable[[#This Row],[Order Date]]=_xlfn.MINIFS(Order_Date, Customer_ID, OrdersTable[[#This Row],[Customer ID]]), "New", "Repeat")</f>
        <v>New</v>
      </c>
      <c r="H3815" t="s">
        <v>48</v>
      </c>
      <c r="I3815" t="str">
        <f>INDEX(State!B:B,MATCH(OrdersTable[[#This Row],[State]],State!A:A,0))</f>
        <v>HR</v>
      </c>
      <c r="J3815" t="str">
        <f>INDEX(State!C:C,MATCH(OrdersTable[[#This Row],[State Code]],State!B:B,0))</f>
        <v>North</v>
      </c>
      <c r="K3815" t="s">
        <v>151</v>
      </c>
      <c r="L3815" t="s">
        <v>39</v>
      </c>
      <c r="M3815" t="s">
        <v>66</v>
      </c>
      <c r="N3815" t="str">
        <f>INDEX(Products!B:B,MATCH(OrdersTable[[#This Row],[Product ID]],Products!A:A,0))</f>
        <v>Sunscreen SPF 50</v>
      </c>
      <c r="O3815" t="str">
        <f>INDEX(Products!C:C,MATCH(OrdersTable[[#This Row],[Product ID]],Products!A:A,0))</f>
        <v>Skincare</v>
      </c>
      <c r="P3815">
        <v>2</v>
      </c>
      <c r="Q3815" s="5">
        <v>449</v>
      </c>
      <c r="R3815" s="74">
        <v>0</v>
      </c>
      <c r="S3815" s="75">
        <f>OrdersTable[[#This Row],[Quantity]]*OrdersTable[[#This Row],[Unit Price]]</f>
        <v>898</v>
      </c>
      <c r="T3815" s="5">
        <f>OrdersTable[[#This Row],[Gross Sale]]*OrdersTable[[#This Row],[Discount_Clean2]]</f>
        <v>0</v>
      </c>
      <c r="U3815" s="5">
        <f>OrdersTable[[#This Row],[Gross Sale]]-OrdersTable[[#This Row],[Discount Amount]]</f>
        <v>898</v>
      </c>
      <c r="V3815" s="77">
        <f>INDEX(Products!E:E,MATCH(OrdersTable[[#This Row],[Product ID]],Products!A:A,0))</f>
        <v>144</v>
      </c>
      <c r="W3815" s="77">
        <f>OrdersTable[[#This Row],[Quantity]]*OrdersTable[[#This Row],[Unit Cost]]</f>
        <v>288</v>
      </c>
      <c r="X3815" s="77">
        <f>'Dropdown Lists'!$I$2*(1+OrdersTable[[#This Row],[Returned]])</f>
        <v>60</v>
      </c>
      <c r="Y3815" s="76">
        <f>OrdersTable[[#This Row],[Net Revenue]]-OrdersTable[[#This Row],[COGS]]-OrdersTable[[#This Row],[Shipping Cost]]</f>
        <v>550</v>
      </c>
      <c r="Z3815" s="78">
        <f>IFERROR(OrdersTable[[#This Row],[Profit]]/OrdersTable[[#This Row],[Net Revenue]],0)</f>
        <v>0.61247216035634744</v>
      </c>
      <c r="AA3815" t="s">
        <v>4450</v>
      </c>
      <c r="AB3815" s="79">
        <v>45911</v>
      </c>
      <c r="AC3815">
        <f>OrdersTable[[#This Row],[Delivery Date]]-OrdersTable[[#This Row],[Order Date]]</f>
        <v>3</v>
      </c>
      <c r="AD3815" t="str">
        <f>IF(OrdersTable[[#This Row],[Delivery Days]]&lt;=2, "Express (≤2d)", IF(OrdersTable[[#This Row],[Delivery Days]]&lt;=4, "Standard (3-4d)", "Delayed (5d+)"))</f>
        <v>Standard (3-4d)</v>
      </c>
      <c r="AE3815">
        <v>4</v>
      </c>
      <c r="AF3815">
        <v>0</v>
      </c>
    </row>
    <row r="3816" spans="1:32" ht="15" x14ac:dyDescent="0.35">
      <c r="A3816" t="s">
        <v>6911</v>
      </c>
      <c r="B3816" s="1">
        <v>45908</v>
      </c>
      <c r="C3816">
        <f>YEAR(OrdersTable[[#This Row],[Order Date]])</f>
        <v>2025</v>
      </c>
      <c r="D3816" s="2">
        <f>DATE(YEAR(OrdersTable[[#This Row],[Order Date]]),MONTH(OrdersTable[[#This Row],[Order Date]]),1)</f>
        <v>45901</v>
      </c>
      <c r="E3816">
        <f>MONTH(OrdersTable[[#This Row],[Order Date]])</f>
        <v>9</v>
      </c>
      <c r="F3816" t="s">
        <v>6912</v>
      </c>
      <c r="G3816" t="str">
        <f>IF(OrdersTable[[#This Row],[Order Date]]=_xlfn.MINIFS(Order_Date, Customer_ID, OrdersTable[[#This Row],[Customer ID]]), "New", "Repeat")</f>
        <v>New</v>
      </c>
      <c r="H3816" t="s">
        <v>48</v>
      </c>
      <c r="I3816" t="str">
        <f>INDEX(State!B:B,MATCH(OrdersTable[[#This Row],[State]],State!A:A,0))</f>
        <v>HR</v>
      </c>
      <c r="J3816" t="str">
        <f>INDEX(State!C:C,MATCH(OrdersTable[[#This Row],[State Code]],State!B:B,0))</f>
        <v>North</v>
      </c>
      <c r="K3816" t="s">
        <v>151</v>
      </c>
      <c r="L3816" t="s">
        <v>65</v>
      </c>
      <c r="M3816" t="s">
        <v>125</v>
      </c>
      <c r="N3816" t="str">
        <f>INDEX(Products!B:B,MATCH(OrdersTable[[#This Row],[Product ID]],Products!A:A,0))</f>
        <v>Copper Water Bottle</v>
      </c>
      <c r="O3816" t="str">
        <f>INDEX(Products!C:C,MATCH(OrdersTable[[#This Row],[Product ID]],Products!A:A,0))</f>
        <v>Home &amp; Kitchen</v>
      </c>
      <c r="P3816">
        <v>3</v>
      </c>
      <c r="Q3816" s="5">
        <v>899</v>
      </c>
      <c r="R3816" s="74">
        <v>0</v>
      </c>
      <c r="S3816" s="75">
        <f>OrdersTable[[#This Row],[Quantity]]*OrdersTable[[#This Row],[Unit Price]]</f>
        <v>2697</v>
      </c>
      <c r="T3816" s="5">
        <f>OrdersTable[[#This Row],[Gross Sale]]*OrdersTable[[#This Row],[Discount_Clean2]]</f>
        <v>0</v>
      </c>
      <c r="U3816" s="5">
        <f>OrdersTable[[#This Row],[Gross Sale]]-OrdersTable[[#This Row],[Discount Amount]]</f>
        <v>2697</v>
      </c>
      <c r="V3816" s="77">
        <f>INDEX(Products!E:E,MATCH(OrdersTable[[#This Row],[Product ID]],Products!A:A,0))</f>
        <v>378</v>
      </c>
      <c r="W3816" s="77">
        <f>OrdersTable[[#This Row],[Quantity]]*OrdersTable[[#This Row],[Unit Cost]]</f>
        <v>1134</v>
      </c>
      <c r="X3816" s="77">
        <f>'Dropdown Lists'!$I$2*(1+OrdersTable[[#This Row],[Returned]])</f>
        <v>60</v>
      </c>
      <c r="Y3816" s="76">
        <f>OrdersTable[[#This Row],[Net Revenue]]-OrdersTable[[#This Row],[COGS]]-OrdersTable[[#This Row],[Shipping Cost]]</f>
        <v>1503</v>
      </c>
      <c r="Z3816" s="78">
        <f>IFERROR(OrdersTable[[#This Row],[Profit]]/OrdersTable[[#This Row],[Net Revenue]],0)</f>
        <v>0.55728587319243605</v>
      </c>
      <c r="AA3816" t="s">
        <v>4074</v>
      </c>
      <c r="AB3816" s="79">
        <v>45910</v>
      </c>
      <c r="AC3816">
        <f>OrdersTable[[#This Row],[Delivery Date]]-OrdersTable[[#This Row],[Order Date]]</f>
        <v>2</v>
      </c>
      <c r="AD3816" t="str">
        <f>IF(OrdersTable[[#This Row],[Delivery Days]]&lt;=2, "Express (≤2d)", IF(OrdersTable[[#This Row],[Delivery Days]]&lt;=4, "Standard (3-4d)", "Delayed (5d+)"))</f>
        <v>Express (≤2d)</v>
      </c>
      <c r="AF3816">
        <v>0</v>
      </c>
    </row>
    <row r="3817" spans="1:32" ht="15" x14ac:dyDescent="0.35">
      <c r="A3817" t="s">
        <v>2023</v>
      </c>
      <c r="B3817" s="1">
        <v>45908</v>
      </c>
      <c r="C3817">
        <f>YEAR(OrdersTable[[#This Row],[Order Date]])</f>
        <v>2025</v>
      </c>
      <c r="D3817" s="2">
        <f>DATE(YEAR(OrdersTable[[#This Row],[Order Date]]),MONTH(OrdersTable[[#This Row],[Order Date]]),1)</f>
        <v>45901</v>
      </c>
      <c r="E3817">
        <f>MONTH(OrdersTable[[#This Row],[Order Date]])</f>
        <v>9</v>
      </c>
      <c r="F3817" t="s">
        <v>564</v>
      </c>
      <c r="G3817" t="str">
        <f>IF(OrdersTable[[#This Row],[Order Date]]=_xlfn.MINIFS(Order_Date, Customer_ID, OrdersTable[[#This Row],[Customer ID]]), "New", "Repeat")</f>
        <v>Repeat</v>
      </c>
      <c r="H3817" t="s">
        <v>32</v>
      </c>
      <c r="I3817" t="str">
        <f>INDEX(State!B:B,MATCH(OrdersTable[[#This Row],[State]],State!A:A,0))</f>
        <v>BR</v>
      </c>
      <c r="J3817" t="str">
        <f>INDEX(State!C:C,MATCH(OrdersTable[[#This Row],[State Code]],State!B:B,0))</f>
        <v>East</v>
      </c>
      <c r="K3817" t="s">
        <v>33</v>
      </c>
      <c r="L3817" t="s">
        <v>39</v>
      </c>
      <c r="M3817" t="s">
        <v>84</v>
      </c>
      <c r="N3817" t="str">
        <f>INDEX(Products!B:B,MATCH(OrdersTable[[#This Row],[Product ID]],Products!A:A,0))</f>
        <v>Cotton Bedsheet</v>
      </c>
      <c r="O3817" t="str">
        <f>INDEX(Products!C:C,MATCH(OrdersTable[[#This Row],[Product ID]],Products!A:A,0))</f>
        <v>Home &amp; Kitchen</v>
      </c>
      <c r="P3817">
        <v>1</v>
      </c>
      <c r="Q3817" s="5">
        <v>1299</v>
      </c>
      <c r="R3817" s="74">
        <v>0.05</v>
      </c>
      <c r="S3817" s="75">
        <f>OrdersTable[[#This Row],[Quantity]]*OrdersTable[[#This Row],[Unit Price]]</f>
        <v>1299</v>
      </c>
      <c r="T3817" s="5">
        <f>OrdersTable[[#This Row],[Gross Sale]]*OrdersTable[[#This Row],[Discount_Clean2]]</f>
        <v>64.95</v>
      </c>
      <c r="U3817" s="5">
        <f>OrdersTable[[#This Row],[Gross Sale]]-OrdersTable[[#This Row],[Discount Amount]]</f>
        <v>1234.05</v>
      </c>
      <c r="V3817" s="77">
        <f>INDEX(Products!E:E,MATCH(OrdersTable[[#This Row],[Product ID]],Products!A:A,0))</f>
        <v>585</v>
      </c>
      <c r="W3817" s="77">
        <f>OrdersTable[[#This Row],[Quantity]]*OrdersTable[[#This Row],[Unit Cost]]</f>
        <v>585</v>
      </c>
      <c r="X3817" s="77">
        <f>'Dropdown Lists'!$I$2*(1+OrdersTable[[#This Row],[Returned]])</f>
        <v>60</v>
      </c>
      <c r="Y3817" s="76">
        <f>OrdersTable[[#This Row],[Net Revenue]]-OrdersTable[[#This Row],[COGS]]-OrdersTable[[#This Row],[Shipping Cost]]</f>
        <v>589.04999999999995</v>
      </c>
      <c r="Z3817" s="78">
        <f>IFERROR(OrdersTable[[#This Row],[Profit]]/OrdersTable[[#This Row],[Net Revenue]],0)</f>
        <v>0.47733074024553296</v>
      </c>
      <c r="AA3817" t="s">
        <v>18</v>
      </c>
      <c r="AB3817" s="79">
        <v>45913</v>
      </c>
      <c r="AC3817">
        <f>OrdersTable[[#This Row],[Delivery Date]]-OrdersTable[[#This Row],[Order Date]]</f>
        <v>5</v>
      </c>
      <c r="AD3817" t="str">
        <f>IF(OrdersTable[[#This Row],[Delivery Days]]&lt;=2, "Express (≤2d)", IF(OrdersTable[[#This Row],[Delivery Days]]&lt;=4, "Standard (3-4d)", "Delayed (5d+)"))</f>
        <v>Delayed (5d+)</v>
      </c>
      <c r="AE3817">
        <v>3</v>
      </c>
      <c r="AF3817">
        <v>0</v>
      </c>
    </row>
    <row r="3818" spans="1:32" ht="15" x14ac:dyDescent="0.35">
      <c r="A3818" t="s">
        <v>6616</v>
      </c>
      <c r="B3818" s="1">
        <v>45908</v>
      </c>
      <c r="C3818">
        <f>YEAR(OrdersTable[[#This Row],[Order Date]])</f>
        <v>2025</v>
      </c>
      <c r="D3818" s="2">
        <f>DATE(YEAR(OrdersTable[[#This Row],[Order Date]]),MONTH(OrdersTable[[#This Row],[Order Date]]),1)</f>
        <v>45901</v>
      </c>
      <c r="E3818">
        <f>MONTH(OrdersTable[[#This Row],[Order Date]])</f>
        <v>9</v>
      </c>
      <c r="F3818" t="s">
        <v>1071</v>
      </c>
      <c r="G3818" t="str">
        <f>IF(OrdersTable[[#This Row],[Order Date]]=_xlfn.MINIFS(Order_Date, Customer_ID, OrdersTable[[#This Row],[Customer ID]]), "New", "Repeat")</f>
        <v>Repeat</v>
      </c>
      <c r="H3818" t="s">
        <v>32</v>
      </c>
      <c r="I3818" t="str">
        <f>INDEX(State!B:B,MATCH(OrdersTable[[#This Row],[State]],State!A:A,0))</f>
        <v>BR</v>
      </c>
      <c r="J3818" t="str">
        <f>INDEX(State!C:C,MATCH(OrdersTable[[#This Row],[State Code]],State!B:B,0))</f>
        <v>East</v>
      </c>
      <c r="K3818" t="s">
        <v>33</v>
      </c>
      <c r="L3818" t="s">
        <v>23</v>
      </c>
      <c r="M3818" t="s">
        <v>152</v>
      </c>
      <c r="N3818" t="str">
        <f>INDEX(Products!B:B,MATCH(OrdersTable[[#This Row],[Product ID]],Products!A:A,0))</f>
        <v>Green Tea (100 bags)</v>
      </c>
      <c r="O3818" t="str">
        <f>INDEX(Products!C:C,MATCH(OrdersTable[[#This Row],[Product ID]],Products!A:A,0))</f>
        <v>Wellness</v>
      </c>
      <c r="P3818">
        <v>3</v>
      </c>
      <c r="Q3818" s="5">
        <v>399</v>
      </c>
      <c r="R3818" s="74">
        <v>0.3</v>
      </c>
      <c r="S3818" s="75">
        <f>OrdersTable[[#This Row],[Quantity]]*OrdersTable[[#This Row],[Unit Price]]</f>
        <v>1197</v>
      </c>
      <c r="T3818" s="5">
        <f>OrdersTable[[#This Row],[Gross Sale]]*OrdersTable[[#This Row],[Discount_Clean2]]</f>
        <v>359.09999999999997</v>
      </c>
      <c r="U3818" s="5">
        <f>OrdersTable[[#This Row],[Gross Sale]]-OrdersTable[[#This Row],[Discount Amount]]</f>
        <v>837.90000000000009</v>
      </c>
      <c r="V3818" s="77">
        <f>INDEX(Products!E:E,MATCH(OrdersTable[[#This Row],[Product ID]],Products!A:A,0))</f>
        <v>128</v>
      </c>
      <c r="W3818" s="77">
        <f>OrdersTable[[#This Row],[Quantity]]*OrdersTable[[#This Row],[Unit Cost]]</f>
        <v>384</v>
      </c>
      <c r="X3818" s="77">
        <f>'Dropdown Lists'!$I$2*(1+OrdersTable[[#This Row],[Returned]])</f>
        <v>120</v>
      </c>
      <c r="Y3818" s="76">
        <f>OrdersTable[[#This Row],[Net Revenue]]-OrdersTable[[#This Row],[COGS]]-OrdersTable[[#This Row],[Shipping Cost]]</f>
        <v>333.90000000000009</v>
      </c>
      <c r="Z3818" s="78">
        <f>IFERROR(OrdersTable[[#This Row],[Profit]]/OrdersTable[[#This Row],[Net Revenue]],0)</f>
        <v>0.39849624060150385</v>
      </c>
      <c r="AA3818" t="s">
        <v>18</v>
      </c>
      <c r="AB3818" s="79">
        <v>45913</v>
      </c>
      <c r="AC3818">
        <f>OrdersTable[[#This Row],[Delivery Date]]-OrdersTable[[#This Row],[Order Date]]</f>
        <v>5</v>
      </c>
      <c r="AD3818" t="str">
        <f>IF(OrdersTable[[#This Row],[Delivery Days]]&lt;=2, "Express (≤2d)", IF(OrdersTable[[#This Row],[Delivery Days]]&lt;=4, "Standard (3-4d)", "Delayed (5d+)"))</f>
        <v>Delayed (5d+)</v>
      </c>
      <c r="AE3818">
        <v>4</v>
      </c>
      <c r="AF3818">
        <v>1</v>
      </c>
    </row>
    <row r="3819" spans="1:32" ht="15" x14ac:dyDescent="0.35">
      <c r="A3819" t="s">
        <v>5019</v>
      </c>
      <c r="B3819" s="1">
        <v>45908</v>
      </c>
      <c r="C3819">
        <f>YEAR(OrdersTable[[#This Row],[Order Date]])</f>
        <v>2025</v>
      </c>
      <c r="D3819" s="2">
        <f>DATE(YEAR(OrdersTable[[#This Row],[Order Date]]),MONTH(OrdersTable[[#This Row],[Order Date]]),1)</f>
        <v>45901</v>
      </c>
      <c r="E3819">
        <f>MONTH(OrdersTable[[#This Row],[Order Date]])</f>
        <v>9</v>
      </c>
      <c r="F3819" t="s">
        <v>5020</v>
      </c>
      <c r="G3819" t="str">
        <f>IF(OrdersTable[[#This Row],[Order Date]]=_xlfn.MINIFS(Order_Date, Customer_ID, OrdersTable[[#This Row],[Customer ID]]), "New", "Repeat")</f>
        <v>New</v>
      </c>
      <c r="H3819" t="s">
        <v>71</v>
      </c>
      <c r="I3819" t="str">
        <f>INDEX(State!B:B,MATCH(OrdersTable[[#This Row],[State]],State!A:A,0))</f>
        <v>MH</v>
      </c>
      <c r="J3819" t="str">
        <f>INDEX(State!C:C,MATCH(OrdersTable[[#This Row],[State Code]],State!B:B,0))</f>
        <v>West</v>
      </c>
      <c r="K3819" t="s">
        <v>72</v>
      </c>
      <c r="L3819" t="s">
        <v>65</v>
      </c>
      <c r="M3819" t="s">
        <v>228</v>
      </c>
      <c r="N3819" t="str">
        <f>INDEX(Products!B:B,MATCH(OrdersTable[[#This Row],[Product ID]],Products!A:A,0))</f>
        <v>Fast Charger 33W</v>
      </c>
      <c r="O3819" t="str">
        <f>INDEX(Products!C:C,MATCH(OrdersTable[[#This Row],[Product ID]],Products!A:A,0))</f>
        <v>Electronics</v>
      </c>
      <c r="P3819">
        <v>2</v>
      </c>
      <c r="Q3819" s="5">
        <v>899</v>
      </c>
      <c r="R3819" s="74">
        <v>0.05</v>
      </c>
      <c r="S3819" s="75">
        <f>OrdersTable[[#This Row],[Quantity]]*OrdersTable[[#This Row],[Unit Price]]</f>
        <v>1798</v>
      </c>
      <c r="T3819" s="5">
        <f>OrdersTable[[#This Row],[Gross Sale]]*OrdersTable[[#This Row],[Discount_Clean2]]</f>
        <v>89.9</v>
      </c>
      <c r="U3819" s="5">
        <f>OrdersTable[[#This Row],[Gross Sale]]-OrdersTable[[#This Row],[Discount Amount]]</f>
        <v>1708.1</v>
      </c>
      <c r="V3819" s="77">
        <f>INDEX(Products!E:E,MATCH(OrdersTable[[#This Row],[Product ID]],Products!A:A,0))</f>
        <v>494</v>
      </c>
      <c r="W3819" s="77">
        <f>OrdersTable[[#This Row],[Quantity]]*OrdersTable[[#This Row],[Unit Cost]]</f>
        <v>988</v>
      </c>
      <c r="X3819" s="77">
        <f>'Dropdown Lists'!$I$2*(1+OrdersTable[[#This Row],[Returned]])</f>
        <v>60</v>
      </c>
      <c r="Y3819" s="76">
        <f>OrdersTable[[#This Row],[Net Revenue]]-OrdersTable[[#This Row],[COGS]]-OrdersTable[[#This Row],[Shipping Cost]]</f>
        <v>660.09999999999991</v>
      </c>
      <c r="Z3819" s="78">
        <f>IFERROR(OrdersTable[[#This Row],[Profit]]/OrdersTable[[#This Row],[Net Revenue]],0)</f>
        <v>0.38645278379485976</v>
      </c>
      <c r="AA3819" t="s">
        <v>4074</v>
      </c>
      <c r="AB3819" s="79">
        <v>45911</v>
      </c>
      <c r="AC3819">
        <f>OrdersTable[[#This Row],[Delivery Date]]-OrdersTable[[#This Row],[Order Date]]</f>
        <v>3</v>
      </c>
      <c r="AD3819" t="str">
        <f>IF(OrdersTable[[#This Row],[Delivery Days]]&lt;=2, "Express (≤2d)", IF(OrdersTable[[#This Row],[Delivery Days]]&lt;=4, "Standard (3-4d)", "Delayed (5d+)"))</f>
        <v>Standard (3-4d)</v>
      </c>
      <c r="AE3819">
        <v>3</v>
      </c>
      <c r="AF3819">
        <v>0</v>
      </c>
    </row>
    <row r="3820" spans="1:32" ht="15" x14ac:dyDescent="0.35">
      <c r="A3820" t="s">
        <v>5436</v>
      </c>
      <c r="B3820" s="1">
        <v>45908</v>
      </c>
      <c r="C3820">
        <f>YEAR(OrdersTable[[#This Row],[Order Date]])</f>
        <v>2025</v>
      </c>
      <c r="D3820" s="2">
        <f>DATE(YEAR(OrdersTable[[#This Row],[Order Date]]),MONTH(OrdersTable[[#This Row],[Order Date]]),1)</f>
        <v>45901</v>
      </c>
      <c r="E3820">
        <f>MONTH(OrdersTable[[#This Row],[Order Date]])</f>
        <v>9</v>
      </c>
      <c r="F3820" t="s">
        <v>5437</v>
      </c>
      <c r="G3820" t="str">
        <f>IF(OrdersTable[[#This Row],[Order Date]]=_xlfn.MINIFS(Order_Date, Customer_ID, OrdersTable[[#This Row],[Customer ID]]), "New", "Repeat")</f>
        <v>Repeat</v>
      </c>
      <c r="H3820" t="s">
        <v>71</v>
      </c>
      <c r="I3820" t="str">
        <f>INDEX(State!B:B,MATCH(OrdersTable[[#This Row],[State]],State!A:A,0))</f>
        <v>MH</v>
      </c>
      <c r="J3820" t="str">
        <f>INDEX(State!C:C,MATCH(OrdersTable[[#This Row],[State Code]],State!B:B,0))</f>
        <v>West</v>
      </c>
      <c r="K3820" t="s">
        <v>81</v>
      </c>
      <c r="L3820" t="s">
        <v>50</v>
      </c>
      <c r="M3820" t="s">
        <v>66</v>
      </c>
      <c r="N3820" t="str">
        <f>INDEX(Products!B:B,MATCH(OrdersTable[[#This Row],[Product ID]],Products!A:A,0))</f>
        <v>Sunscreen SPF 50</v>
      </c>
      <c r="O3820" t="str">
        <f>INDEX(Products!C:C,MATCH(OrdersTable[[#This Row],[Product ID]],Products!A:A,0))</f>
        <v>Skincare</v>
      </c>
      <c r="P3820">
        <v>2</v>
      </c>
      <c r="Q3820" s="5">
        <v>449</v>
      </c>
      <c r="R3820" s="74">
        <v>0.15</v>
      </c>
      <c r="S3820" s="75">
        <f>OrdersTable[[#This Row],[Quantity]]*OrdersTable[[#This Row],[Unit Price]]</f>
        <v>898</v>
      </c>
      <c r="T3820" s="5">
        <f>OrdersTable[[#This Row],[Gross Sale]]*OrdersTable[[#This Row],[Discount_Clean2]]</f>
        <v>134.69999999999999</v>
      </c>
      <c r="U3820" s="5">
        <f>OrdersTable[[#This Row],[Gross Sale]]-OrdersTable[[#This Row],[Discount Amount]]</f>
        <v>763.3</v>
      </c>
      <c r="V3820" s="77">
        <f>INDEX(Products!E:E,MATCH(OrdersTable[[#This Row],[Product ID]],Products!A:A,0))</f>
        <v>144</v>
      </c>
      <c r="W3820" s="77">
        <f>OrdersTable[[#This Row],[Quantity]]*OrdersTable[[#This Row],[Unit Cost]]</f>
        <v>288</v>
      </c>
      <c r="X3820" s="77">
        <f>'Dropdown Lists'!$I$2*(1+OrdersTable[[#This Row],[Returned]])</f>
        <v>60</v>
      </c>
      <c r="Y3820" s="76">
        <f>OrdersTable[[#This Row],[Net Revenue]]-OrdersTable[[#This Row],[COGS]]-OrdersTable[[#This Row],[Shipping Cost]]</f>
        <v>415.29999999999995</v>
      </c>
      <c r="Z3820" s="78">
        <f>IFERROR(OrdersTable[[#This Row],[Profit]]/OrdersTable[[#This Row],[Net Revenue]],0)</f>
        <v>0.54408489453687936</v>
      </c>
      <c r="AA3820" t="s">
        <v>2522</v>
      </c>
      <c r="AB3820" s="79">
        <v>45909</v>
      </c>
      <c r="AC3820">
        <f>OrdersTable[[#This Row],[Delivery Date]]-OrdersTable[[#This Row],[Order Date]]</f>
        <v>1</v>
      </c>
      <c r="AD3820" t="str">
        <f>IF(OrdersTable[[#This Row],[Delivery Days]]&lt;=2, "Express (≤2d)", IF(OrdersTable[[#This Row],[Delivery Days]]&lt;=4, "Standard (3-4d)", "Delayed (5d+)"))</f>
        <v>Express (≤2d)</v>
      </c>
      <c r="AE3820">
        <v>5</v>
      </c>
      <c r="AF3820">
        <v>0</v>
      </c>
    </row>
    <row r="3821" spans="1:32" ht="15" x14ac:dyDescent="0.35">
      <c r="A3821" t="s">
        <v>2656</v>
      </c>
      <c r="B3821" s="1">
        <v>45908</v>
      </c>
      <c r="C3821">
        <f>YEAR(OrdersTable[[#This Row],[Order Date]])</f>
        <v>2025</v>
      </c>
      <c r="D3821" s="2">
        <f>DATE(YEAR(OrdersTable[[#This Row],[Order Date]]),MONTH(OrdersTable[[#This Row],[Order Date]]),1)</f>
        <v>45901</v>
      </c>
      <c r="E3821">
        <f>MONTH(OrdersTable[[#This Row],[Order Date]])</f>
        <v>9</v>
      </c>
      <c r="F3821" t="s">
        <v>1281</v>
      </c>
      <c r="G3821" t="str">
        <f>IF(OrdersTable[[#This Row],[Order Date]]=_xlfn.MINIFS(Order_Date, Customer_ID, OrdersTable[[#This Row],[Customer ID]]), "New", "Repeat")</f>
        <v>Repeat</v>
      </c>
      <c r="H3821" t="s">
        <v>71</v>
      </c>
      <c r="I3821" t="str">
        <f>INDEX(State!B:B,MATCH(OrdersTable[[#This Row],[State]],State!A:A,0))</f>
        <v>MH</v>
      </c>
      <c r="J3821" t="str">
        <f>INDEX(State!C:C,MATCH(OrdersTable[[#This Row],[State Code]],State!B:B,0))</f>
        <v>West</v>
      </c>
      <c r="K3821" t="s">
        <v>81</v>
      </c>
      <c r="L3821" t="s">
        <v>65</v>
      </c>
      <c r="M3821" t="s">
        <v>228</v>
      </c>
      <c r="N3821" t="str">
        <f>INDEX(Products!B:B,MATCH(OrdersTable[[#This Row],[Product ID]],Products!A:A,0))</f>
        <v>Fast Charger 33W</v>
      </c>
      <c r="O3821" t="str">
        <f>INDEX(Products!C:C,MATCH(OrdersTable[[#This Row],[Product ID]],Products!A:A,0))</f>
        <v>Electronics</v>
      </c>
      <c r="P3821">
        <v>1</v>
      </c>
      <c r="Q3821" s="5">
        <v>899</v>
      </c>
      <c r="R3821" s="74">
        <v>0.15</v>
      </c>
      <c r="S3821" s="75">
        <f>OrdersTable[[#This Row],[Quantity]]*OrdersTable[[#This Row],[Unit Price]]</f>
        <v>899</v>
      </c>
      <c r="T3821" s="5">
        <f>OrdersTable[[#This Row],[Gross Sale]]*OrdersTable[[#This Row],[Discount_Clean2]]</f>
        <v>134.85</v>
      </c>
      <c r="U3821" s="5">
        <f>OrdersTable[[#This Row],[Gross Sale]]-OrdersTable[[#This Row],[Discount Amount]]</f>
        <v>764.15</v>
      </c>
      <c r="V3821" s="77">
        <f>INDEX(Products!E:E,MATCH(OrdersTable[[#This Row],[Product ID]],Products!A:A,0))</f>
        <v>494</v>
      </c>
      <c r="W3821" s="77">
        <f>OrdersTable[[#This Row],[Quantity]]*OrdersTable[[#This Row],[Unit Cost]]</f>
        <v>494</v>
      </c>
      <c r="X3821" s="77">
        <f>'Dropdown Lists'!$I$2*(1+OrdersTable[[#This Row],[Returned]])</f>
        <v>120</v>
      </c>
      <c r="Y3821" s="76">
        <f>OrdersTable[[#This Row],[Net Revenue]]-OrdersTable[[#This Row],[COGS]]-OrdersTable[[#This Row],[Shipping Cost]]</f>
        <v>150.14999999999998</v>
      </c>
      <c r="Z3821" s="78">
        <f>IFERROR(OrdersTable[[#This Row],[Profit]]/OrdersTable[[#This Row],[Net Revenue]],0)</f>
        <v>0.1964928351763397</v>
      </c>
      <c r="AA3821" t="s">
        <v>2522</v>
      </c>
      <c r="AB3821" s="79">
        <v>45910</v>
      </c>
      <c r="AC3821">
        <f>OrdersTable[[#This Row],[Delivery Date]]-OrdersTable[[#This Row],[Order Date]]</f>
        <v>2</v>
      </c>
      <c r="AD3821" t="str">
        <f>IF(OrdersTable[[#This Row],[Delivery Days]]&lt;=2, "Express (≤2d)", IF(OrdersTable[[#This Row],[Delivery Days]]&lt;=4, "Standard (3-4d)", "Delayed (5d+)"))</f>
        <v>Express (≤2d)</v>
      </c>
      <c r="AE3821">
        <v>5</v>
      </c>
      <c r="AF3821">
        <v>1</v>
      </c>
    </row>
    <row r="3822" spans="1:32" ht="15" x14ac:dyDescent="0.35">
      <c r="A3822" t="s">
        <v>2449</v>
      </c>
      <c r="B3822" s="1">
        <v>45908</v>
      </c>
      <c r="C3822">
        <f>YEAR(OrdersTable[[#This Row],[Order Date]])</f>
        <v>2025</v>
      </c>
      <c r="D3822" s="2">
        <f>DATE(YEAR(OrdersTable[[#This Row],[Order Date]]),MONTH(OrdersTable[[#This Row],[Order Date]]),1)</f>
        <v>45901</v>
      </c>
      <c r="E3822">
        <f>MONTH(OrdersTable[[#This Row],[Order Date]])</f>
        <v>9</v>
      </c>
      <c r="F3822" t="s">
        <v>2450</v>
      </c>
      <c r="G3822" t="str">
        <f>IF(OrdersTable[[#This Row],[Order Date]]=_xlfn.MINIFS(Order_Date, Customer_ID, OrdersTable[[#This Row],[Customer ID]]), "New", "Repeat")</f>
        <v>New</v>
      </c>
      <c r="H3822" t="s">
        <v>71</v>
      </c>
      <c r="I3822" t="str">
        <f>INDEX(State!B:B,MATCH(OrdersTable[[#This Row],[State]],State!A:A,0))</f>
        <v>MH</v>
      </c>
      <c r="J3822" t="str">
        <f>INDEX(State!C:C,MATCH(OrdersTable[[#This Row],[State Code]],State!B:B,0))</f>
        <v>West</v>
      </c>
      <c r="K3822" t="s">
        <v>102</v>
      </c>
      <c r="L3822" t="s">
        <v>16</v>
      </c>
      <c r="M3822" t="s">
        <v>17</v>
      </c>
      <c r="N3822" t="str">
        <f>INDEX(Products!B:B,MATCH(OrdersTable[[#This Row],[Product ID]],Products!A:A,0))</f>
        <v>Casual Sneakers</v>
      </c>
      <c r="O3822" t="str">
        <f>INDEX(Products!C:C,MATCH(OrdersTable[[#This Row],[Product ID]],Products!A:A,0))</f>
        <v>Footwear</v>
      </c>
      <c r="P3822">
        <v>1</v>
      </c>
      <c r="Q3822" s="5">
        <v>2199</v>
      </c>
      <c r="R3822" s="74">
        <v>0.25</v>
      </c>
      <c r="S3822" s="75">
        <f>OrdersTable[[#This Row],[Quantity]]*OrdersTable[[#This Row],[Unit Price]]</f>
        <v>2199</v>
      </c>
      <c r="T3822" s="5">
        <f>OrdersTable[[#This Row],[Gross Sale]]*OrdersTable[[#This Row],[Discount_Clean2]]</f>
        <v>549.75</v>
      </c>
      <c r="U3822" s="5">
        <f>OrdersTable[[#This Row],[Gross Sale]]-OrdersTable[[#This Row],[Discount Amount]]</f>
        <v>1649.25</v>
      </c>
      <c r="V3822" s="77">
        <f>INDEX(Products!E:E,MATCH(OrdersTable[[#This Row],[Product ID]],Products!A:A,0))</f>
        <v>1034</v>
      </c>
      <c r="W3822" s="77">
        <f>OrdersTable[[#This Row],[Quantity]]*OrdersTable[[#This Row],[Unit Cost]]</f>
        <v>1034</v>
      </c>
      <c r="X3822" s="77">
        <f>'Dropdown Lists'!$I$2*(1+OrdersTable[[#This Row],[Returned]])</f>
        <v>60</v>
      </c>
      <c r="Y3822" s="76">
        <f>OrdersTable[[#This Row],[Net Revenue]]-OrdersTable[[#This Row],[COGS]]-OrdersTable[[#This Row],[Shipping Cost]]</f>
        <v>555.25</v>
      </c>
      <c r="Z3822" s="78">
        <f>IFERROR(OrdersTable[[#This Row],[Profit]]/OrdersTable[[#This Row],[Net Revenue]],0)</f>
        <v>0.33666818250720026</v>
      </c>
      <c r="AA3822" t="s">
        <v>18</v>
      </c>
      <c r="AB3822" s="79">
        <v>45912</v>
      </c>
      <c r="AC3822">
        <f>OrdersTable[[#This Row],[Delivery Date]]-OrdersTable[[#This Row],[Order Date]]</f>
        <v>4</v>
      </c>
      <c r="AD3822" t="str">
        <f>IF(OrdersTable[[#This Row],[Delivery Days]]&lt;=2, "Express (≤2d)", IF(OrdersTable[[#This Row],[Delivery Days]]&lt;=4, "Standard (3-4d)", "Delayed (5d+)"))</f>
        <v>Standard (3-4d)</v>
      </c>
      <c r="AE3822">
        <v>5</v>
      </c>
      <c r="AF3822">
        <v>0</v>
      </c>
    </row>
    <row r="3823" spans="1:32" ht="15" x14ac:dyDescent="0.35">
      <c r="A3823" t="s">
        <v>4047</v>
      </c>
      <c r="B3823" s="1">
        <v>45909</v>
      </c>
      <c r="C3823">
        <f>YEAR(OrdersTable[[#This Row],[Order Date]])</f>
        <v>2025</v>
      </c>
      <c r="D3823" s="2">
        <f>DATE(YEAR(OrdersTable[[#This Row],[Order Date]]),MONTH(OrdersTable[[#This Row],[Order Date]]),1)</f>
        <v>45901</v>
      </c>
      <c r="E3823">
        <f>MONTH(OrdersTable[[#This Row],[Order Date]])</f>
        <v>9</v>
      </c>
      <c r="F3823" t="s">
        <v>3456</v>
      </c>
      <c r="G3823" t="str">
        <f>IF(OrdersTable[[#This Row],[Order Date]]=_xlfn.MINIFS(Order_Date, Customer_ID, OrdersTable[[#This Row],[Customer ID]]), "New", "Repeat")</f>
        <v>Repeat</v>
      </c>
      <c r="H3823" t="s">
        <v>128</v>
      </c>
      <c r="I3823" t="str">
        <f>INDEX(State!B:B,MATCH(OrdersTable[[#This Row],[State]],State!A:A,0))</f>
        <v>DL</v>
      </c>
      <c r="J3823" t="str">
        <f>INDEX(State!C:C,MATCH(OrdersTable[[#This Row],[State Code]],State!B:B,0))</f>
        <v>North</v>
      </c>
      <c r="K3823" t="s">
        <v>129</v>
      </c>
      <c r="L3823" t="s">
        <v>65</v>
      </c>
      <c r="M3823" t="s">
        <v>24</v>
      </c>
      <c r="N3823" t="str">
        <f>INDEX(Products!B:B,MATCH(OrdersTable[[#This Row],[Product ID]],Products!A:A,0))</f>
        <v>Scented Candle Set</v>
      </c>
      <c r="O3823" t="str">
        <f>INDEX(Products!C:C,MATCH(OrdersTable[[#This Row],[Product ID]],Products!A:A,0))</f>
        <v>Home &amp; Kitchen</v>
      </c>
      <c r="P3823">
        <v>1</v>
      </c>
      <c r="Q3823" s="5">
        <v>699</v>
      </c>
      <c r="R3823" s="74">
        <v>0.15</v>
      </c>
      <c r="S3823" s="75">
        <f>OrdersTable[[#This Row],[Quantity]]*OrdersTable[[#This Row],[Unit Price]]</f>
        <v>699</v>
      </c>
      <c r="T3823" s="5">
        <f>OrdersTable[[#This Row],[Gross Sale]]*OrdersTable[[#This Row],[Discount_Clean2]]</f>
        <v>104.85</v>
      </c>
      <c r="U3823" s="5">
        <f>OrdersTable[[#This Row],[Gross Sale]]-OrdersTable[[#This Row],[Discount Amount]]</f>
        <v>594.15</v>
      </c>
      <c r="V3823" s="77">
        <f>INDEX(Products!E:E,MATCH(OrdersTable[[#This Row],[Product ID]],Products!A:A,0))</f>
        <v>245</v>
      </c>
      <c r="W3823" s="77">
        <f>OrdersTable[[#This Row],[Quantity]]*OrdersTable[[#This Row],[Unit Cost]]</f>
        <v>245</v>
      </c>
      <c r="X3823" s="77">
        <f>'Dropdown Lists'!$I$2*(1+OrdersTable[[#This Row],[Returned]])</f>
        <v>60</v>
      </c>
      <c r="Y3823" s="76">
        <f>OrdersTable[[#This Row],[Net Revenue]]-OrdersTable[[#This Row],[COGS]]-OrdersTable[[#This Row],[Shipping Cost]]</f>
        <v>289.14999999999998</v>
      </c>
      <c r="Z3823" s="78">
        <f>IFERROR(OrdersTable[[#This Row],[Profit]]/OrdersTable[[#This Row],[Net Revenue]],0)</f>
        <v>0.48666161743667424</v>
      </c>
      <c r="AA3823" t="s">
        <v>3495</v>
      </c>
      <c r="AB3823" s="79">
        <v>45911</v>
      </c>
      <c r="AC3823">
        <f>OrdersTable[[#This Row],[Delivery Date]]-OrdersTable[[#This Row],[Order Date]]</f>
        <v>2</v>
      </c>
      <c r="AD3823" t="str">
        <f>IF(OrdersTable[[#This Row],[Delivery Days]]&lt;=2, "Express (≤2d)", IF(OrdersTable[[#This Row],[Delivery Days]]&lt;=4, "Standard (3-4d)", "Delayed (5d+)"))</f>
        <v>Express (≤2d)</v>
      </c>
      <c r="AE3823">
        <v>5</v>
      </c>
      <c r="AF3823">
        <v>0</v>
      </c>
    </row>
    <row r="3824" spans="1:32" ht="15" x14ac:dyDescent="0.35">
      <c r="A3824" t="s">
        <v>2530</v>
      </c>
      <c r="B3824" s="1">
        <v>45909</v>
      </c>
      <c r="C3824">
        <f>YEAR(OrdersTable[[#This Row],[Order Date]])</f>
        <v>2025</v>
      </c>
      <c r="D3824" s="2">
        <f>DATE(YEAR(OrdersTable[[#This Row],[Order Date]]),MONTH(OrdersTable[[#This Row],[Order Date]]),1)</f>
        <v>45901</v>
      </c>
      <c r="E3824">
        <f>MONTH(OrdersTable[[#This Row],[Order Date]])</f>
        <v>9</v>
      </c>
      <c r="F3824" t="s">
        <v>2531</v>
      </c>
      <c r="G3824" t="str">
        <f>IF(OrdersTable[[#This Row],[Order Date]]=_xlfn.MINIFS(Order_Date, Customer_ID, OrdersTable[[#This Row],[Customer ID]]), "New", "Repeat")</f>
        <v>Repeat</v>
      </c>
      <c r="H3824" t="s">
        <v>76</v>
      </c>
      <c r="I3824" t="str">
        <f>INDEX(State!B:B,MATCH(OrdersTable[[#This Row],[State]],State!A:A,0))</f>
        <v>UP</v>
      </c>
      <c r="J3824" t="str">
        <f>INDEX(State!C:C,MATCH(OrdersTable[[#This Row],[State Code]],State!B:B,0))</f>
        <v>North</v>
      </c>
      <c r="K3824" t="s">
        <v>105</v>
      </c>
      <c r="L3824" t="s">
        <v>23</v>
      </c>
      <c r="M3824" t="s">
        <v>66</v>
      </c>
      <c r="N3824" t="str">
        <f>INDEX(Products!B:B,MATCH(OrdersTable[[#This Row],[Product ID]],Products!A:A,0))</f>
        <v>Sunscreen SPF 50</v>
      </c>
      <c r="O3824" t="str">
        <f>INDEX(Products!C:C,MATCH(OrdersTable[[#This Row],[Product ID]],Products!A:A,0))</f>
        <v>Skincare</v>
      </c>
      <c r="P3824">
        <v>1</v>
      </c>
      <c r="Q3824" s="5">
        <v>449</v>
      </c>
      <c r="R3824" s="74">
        <v>0.05</v>
      </c>
      <c r="S3824" s="75">
        <f>OrdersTable[[#This Row],[Quantity]]*OrdersTable[[#This Row],[Unit Price]]</f>
        <v>449</v>
      </c>
      <c r="T3824" s="5">
        <f>OrdersTable[[#This Row],[Gross Sale]]*OrdersTable[[#This Row],[Discount_Clean2]]</f>
        <v>22.450000000000003</v>
      </c>
      <c r="U3824" s="5">
        <f>OrdersTable[[#This Row],[Gross Sale]]-OrdersTable[[#This Row],[Discount Amount]]</f>
        <v>426.55</v>
      </c>
      <c r="V3824" s="77">
        <f>INDEX(Products!E:E,MATCH(OrdersTable[[#This Row],[Product ID]],Products!A:A,0))</f>
        <v>144</v>
      </c>
      <c r="W3824" s="77">
        <f>OrdersTable[[#This Row],[Quantity]]*OrdersTable[[#This Row],[Unit Cost]]</f>
        <v>144</v>
      </c>
      <c r="X3824" s="77">
        <f>'Dropdown Lists'!$I$2*(1+OrdersTable[[#This Row],[Returned]])</f>
        <v>60</v>
      </c>
      <c r="Y3824" s="76">
        <f>OrdersTable[[#This Row],[Net Revenue]]-OrdersTable[[#This Row],[COGS]]-OrdersTable[[#This Row],[Shipping Cost]]</f>
        <v>222.55</v>
      </c>
      <c r="Z3824" s="78">
        <f>IFERROR(OrdersTable[[#This Row],[Profit]]/OrdersTable[[#This Row],[Net Revenue]],0)</f>
        <v>0.52174422693705313</v>
      </c>
      <c r="AA3824" t="s">
        <v>2522</v>
      </c>
      <c r="AB3824" s="79">
        <v>45914</v>
      </c>
      <c r="AC3824">
        <f>OrdersTable[[#This Row],[Delivery Date]]-OrdersTable[[#This Row],[Order Date]]</f>
        <v>5</v>
      </c>
      <c r="AD3824" t="str">
        <f>IF(OrdersTable[[#This Row],[Delivery Days]]&lt;=2, "Express (≤2d)", IF(OrdersTable[[#This Row],[Delivery Days]]&lt;=4, "Standard (3-4d)", "Delayed (5d+)"))</f>
        <v>Delayed (5d+)</v>
      </c>
      <c r="AE3824">
        <v>2</v>
      </c>
      <c r="AF3824">
        <v>0</v>
      </c>
    </row>
    <row r="3825" spans="1:32" ht="15" x14ac:dyDescent="0.35">
      <c r="A3825" t="s">
        <v>3796</v>
      </c>
      <c r="B3825" s="1">
        <v>45909</v>
      </c>
      <c r="C3825">
        <f>YEAR(OrdersTable[[#This Row],[Order Date]])</f>
        <v>2025</v>
      </c>
      <c r="D3825" s="2">
        <f>DATE(YEAR(OrdersTable[[#This Row],[Order Date]]),MONTH(OrdersTable[[#This Row],[Order Date]]),1)</f>
        <v>45901</v>
      </c>
      <c r="E3825">
        <f>MONTH(OrdersTable[[#This Row],[Order Date]])</f>
        <v>9</v>
      </c>
      <c r="F3825" t="s">
        <v>303</v>
      </c>
      <c r="G3825" t="str">
        <f>IF(OrdersTable[[#This Row],[Order Date]]=_xlfn.MINIFS(Order_Date, Customer_ID, OrdersTable[[#This Row],[Customer ID]]), "New", "Repeat")</f>
        <v>Repeat</v>
      </c>
      <c r="H3825" t="s">
        <v>32</v>
      </c>
      <c r="I3825" t="str">
        <f>INDEX(State!B:B,MATCH(OrdersTable[[#This Row],[State]],State!A:A,0))</f>
        <v>BR</v>
      </c>
      <c r="J3825" t="str">
        <f>INDEX(State!C:C,MATCH(OrdersTable[[#This Row],[State Code]],State!B:B,0))</f>
        <v>East</v>
      </c>
      <c r="K3825" t="s">
        <v>33</v>
      </c>
      <c r="L3825" t="s">
        <v>50</v>
      </c>
      <c r="M3825" t="s">
        <v>160</v>
      </c>
      <c r="N3825" t="str">
        <f>INDEX(Products!B:B,MATCH(OrdersTable[[#This Row],[Product ID]],Products!A:A,0))</f>
        <v>Niacinamide Toner</v>
      </c>
      <c r="O3825" t="str">
        <f>INDEX(Products!C:C,MATCH(OrdersTable[[#This Row],[Product ID]],Products!A:A,0))</f>
        <v>Skincare</v>
      </c>
      <c r="P3825">
        <v>1</v>
      </c>
      <c r="Q3825" s="5">
        <v>399</v>
      </c>
      <c r="R3825" s="74">
        <v>0.2</v>
      </c>
      <c r="S3825" s="75">
        <f>OrdersTable[[#This Row],[Quantity]]*OrdersTable[[#This Row],[Unit Price]]</f>
        <v>399</v>
      </c>
      <c r="T3825" s="5">
        <f>OrdersTable[[#This Row],[Gross Sale]]*OrdersTable[[#This Row],[Discount_Clean2]]</f>
        <v>79.800000000000011</v>
      </c>
      <c r="U3825" s="5">
        <f>OrdersTable[[#This Row],[Gross Sale]]-OrdersTable[[#This Row],[Discount Amount]]</f>
        <v>319.2</v>
      </c>
      <c r="V3825" s="77">
        <f>INDEX(Products!E:E,MATCH(OrdersTable[[#This Row],[Product ID]],Products!A:A,0))</f>
        <v>112</v>
      </c>
      <c r="W3825" s="77">
        <f>OrdersTable[[#This Row],[Quantity]]*OrdersTable[[#This Row],[Unit Cost]]</f>
        <v>112</v>
      </c>
      <c r="X3825" s="77">
        <f>'Dropdown Lists'!$I$2*(1+OrdersTable[[#This Row],[Returned]])</f>
        <v>60</v>
      </c>
      <c r="Y3825" s="76">
        <f>OrdersTable[[#This Row],[Net Revenue]]-OrdersTable[[#This Row],[COGS]]-OrdersTable[[#This Row],[Shipping Cost]]</f>
        <v>147.19999999999999</v>
      </c>
      <c r="Z3825" s="78">
        <f>IFERROR(OrdersTable[[#This Row],[Profit]]/OrdersTable[[#This Row],[Net Revenue]],0)</f>
        <v>0.46115288220551376</v>
      </c>
      <c r="AA3825" t="s">
        <v>3495</v>
      </c>
      <c r="AB3825" s="79">
        <v>45911</v>
      </c>
      <c r="AC3825">
        <f>OrdersTable[[#This Row],[Delivery Date]]-OrdersTable[[#This Row],[Order Date]]</f>
        <v>2</v>
      </c>
      <c r="AD3825" t="str">
        <f>IF(OrdersTable[[#This Row],[Delivery Days]]&lt;=2, "Express (≤2d)", IF(OrdersTable[[#This Row],[Delivery Days]]&lt;=4, "Standard (3-4d)", "Delayed (5d+)"))</f>
        <v>Express (≤2d)</v>
      </c>
      <c r="AF3825">
        <v>0</v>
      </c>
    </row>
    <row r="3826" spans="1:32" ht="15" x14ac:dyDescent="0.35">
      <c r="A3826" t="s">
        <v>6809</v>
      </c>
      <c r="B3826" s="1">
        <v>45909</v>
      </c>
      <c r="C3826">
        <f>YEAR(OrdersTable[[#This Row],[Order Date]])</f>
        <v>2025</v>
      </c>
      <c r="D3826" s="2">
        <f>DATE(YEAR(OrdersTable[[#This Row],[Order Date]]),MONTH(OrdersTable[[#This Row],[Order Date]]),1)</f>
        <v>45901</v>
      </c>
      <c r="E3826">
        <f>MONTH(OrdersTable[[#This Row],[Order Date]])</f>
        <v>9</v>
      </c>
      <c r="F3826" t="s">
        <v>6810</v>
      </c>
      <c r="G3826" t="str">
        <f>IF(OrdersTable[[#This Row],[Order Date]]=_xlfn.MINIFS(Order_Date, Customer_ID, OrdersTable[[#This Row],[Customer ID]]), "New", "Repeat")</f>
        <v>New</v>
      </c>
      <c r="H3826" t="s">
        <v>14</v>
      </c>
      <c r="I3826" t="str">
        <f>INDEX(State!B:B,MATCH(OrdersTable[[#This Row],[State]],State!A:A,0))</f>
        <v>OD</v>
      </c>
      <c r="J3826" t="str">
        <f>INDEX(State!C:C,MATCH(OrdersTable[[#This Row],[State Code]],State!B:B,0))</f>
        <v>East</v>
      </c>
      <c r="K3826" t="s">
        <v>15</v>
      </c>
      <c r="L3826" t="s">
        <v>23</v>
      </c>
      <c r="M3826" t="s">
        <v>152</v>
      </c>
      <c r="N3826" t="str">
        <f>INDEX(Products!B:B,MATCH(OrdersTable[[#This Row],[Product ID]],Products!A:A,0))</f>
        <v>Green Tea (100 bags)</v>
      </c>
      <c r="O3826" t="str">
        <f>INDEX(Products!C:C,MATCH(OrdersTable[[#This Row],[Product ID]],Products!A:A,0))</f>
        <v>Wellness</v>
      </c>
      <c r="P3826">
        <v>3</v>
      </c>
      <c r="Q3826" s="5">
        <v>399</v>
      </c>
      <c r="R3826" s="74">
        <v>0.45</v>
      </c>
      <c r="S3826" s="75">
        <f>OrdersTable[[#This Row],[Quantity]]*OrdersTable[[#This Row],[Unit Price]]</f>
        <v>1197</v>
      </c>
      <c r="T3826" s="5">
        <f>OrdersTable[[#This Row],[Gross Sale]]*OrdersTable[[#This Row],[Discount_Clean2]]</f>
        <v>538.65</v>
      </c>
      <c r="U3826" s="5">
        <f>OrdersTable[[#This Row],[Gross Sale]]-OrdersTable[[#This Row],[Discount Amount]]</f>
        <v>658.35</v>
      </c>
      <c r="V3826" s="77">
        <f>INDEX(Products!E:E,MATCH(OrdersTable[[#This Row],[Product ID]],Products!A:A,0))</f>
        <v>128</v>
      </c>
      <c r="W3826" s="77">
        <f>OrdersTable[[#This Row],[Quantity]]*OrdersTable[[#This Row],[Unit Cost]]</f>
        <v>384</v>
      </c>
      <c r="X3826" s="77">
        <f>'Dropdown Lists'!$I$2*(1+OrdersTable[[#This Row],[Returned]])</f>
        <v>60</v>
      </c>
      <c r="Y3826" s="76">
        <f>OrdersTable[[#This Row],[Net Revenue]]-OrdersTable[[#This Row],[COGS]]-OrdersTable[[#This Row],[Shipping Cost]]</f>
        <v>214.35000000000002</v>
      </c>
      <c r="Z3826" s="78">
        <f>IFERROR(OrdersTable[[#This Row],[Profit]]/OrdersTable[[#This Row],[Net Revenue]],0)</f>
        <v>0.32558669400774665</v>
      </c>
      <c r="AA3826" t="s">
        <v>3495</v>
      </c>
      <c r="AB3826" s="79">
        <v>45913</v>
      </c>
      <c r="AC3826">
        <f>OrdersTable[[#This Row],[Delivery Date]]-OrdersTable[[#This Row],[Order Date]]</f>
        <v>4</v>
      </c>
      <c r="AD3826" t="str">
        <f>IF(OrdersTable[[#This Row],[Delivery Days]]&lt;=2, "Express (≤2d)", IF(OrdersTable[[#This Row],[Delivery Days]]&lt;=4, "Standard (3-4d)", "Delayed (5d+)"))</f>
        <v>Standard (3-4d)</v>
      </c>
      <c r="AE3826">
        <v>3</v>
      </c>
      <c r="AF3826">
        <v>0</v>
      </c>
    </row>
    <row r="3827" spans="1:32" ht="15" x14ac:dyDescent="0.35">
      <c r="A3827" t="s">
        <v>4536</v>
      </c>
      <c r="B3827" s="1">
        <v>45909</v>
      </c>
      <c r="C3827">
        <f>YEAR(OrdersTable[[#This Row],[Order Date]])</f>
        <v>2025</v>
      </c>
      <c r="D3827" s="2">
        <f>DATE(YEAR(OrdersTable[[#This Row],[Order Date]]),MONTH(OrdersTable[[#This Row],[Order Date]]),1)</f>
        <v>45901</v>
      </c>
      <c r="E3827">
        <f>MONTH(OrdersTable[[#This Row],[Order Date]])</f>
        <v>9</v>
      </c>
      <c r="F3827" t="s">
        <v>2351</v>
      </c>
      <c r="G3827" t="str">
        <f>IF(OrdersTable[[#This Row],[Order Date]]=_xlfn.MINIFS(Order_Date, Customer_ID, OrdersTable[[#This Row],[Customer ID]]), "New", "Repeat")</f>
        <v>Repeat</v>
      </c>
      <c r="H3827" t="s">
        <v>59</v>
      </c>
      <c r="I3827" t="str">
        <f>INDEX(State!B:B,MATCH(OrdersTable[[#This Row],[State]],State!A:A,0))</f>
        <v>TN</v>
      </c>
      <c r="J3827" t="str">
        <f>INDEX(State!C:C,MATCH(OrdersTable[[#This Row],[State Code]],State!B:B,0))</f>
        <v>South</v>
      </c>
      <c r="K3827" t="s">
        <v>64</v>
      </c>
      <c r="L3827" t="s">
        <v>23</v>
      </c>
      <c r="M3827" t="s">
        <v>148</v>
      </c>
      <c r="N3827" t="str">
        <f>INDEX(Products!B:B,MATCH(OrdersTable[[#This Row],[Product ID]],Products!A:A,0))</f>
        <v>Smartwatch Strap</v>
      </c>
      <c r="O3827" t="str">
        <f>INDEX(Products!C:C,MATCH(OrdersTable[[#This Row],[Product ID]],Products!A:A,0))</f>
        <v>Electronics</v>
      </c>
      <c r="P3827">
        <v>1</v>
      </c>
      <c r="Q3827" s="5">
        <v>499</v>
      </c>
      <c r="R3827" s="74">
        <v>0.05</v>
      </c>
      <c r="S3827" s="75">
        <f>OrdersTable[[#This Row],[Quantity]]*OrdersTable[[#This Row],[Unit Price]]</f>
        <v>499</v>
      </c>
      <c r="T3827" s="5">
        <f>OrdersTable[[#This Row],[Gross Sale]]*OrdersTable[[#This Row],[Discount_Clean2]]</f>
        <v>24.950000000000003</v>
      </c>
      <c r="U3827" s="5">
        <f>OrdersTable[[#This Row],[Gross Sale]]-OrdersTable[[#This Row],[Discount Amount]]</f>
        <v>474.05</v>
      </c>
      <c r="V3827" s="77">
        <f>INDEX(Products!E:E,MATCH(OrdersTable[[#This Row],[Product ID]],Products!A:A,0))</f>
        <v>200</v>
      </c>
      <c r="W3827" s="77">
        <f>OrdersTable[[#This Row],[Quantity]]*OrdersTable[[#This Row],[Unit Cost]]</f>
        <v>200</v>
      </c>
      <c r="X3827" s="77">
        <f>'Dropdown Lists'!$I$2*(1+OrdersTable[[#This Row],[Returned]])</f>
        <v>60</v>
      </c>
      <c r="Y3827" s="76">
        <f>OrdersTable[[#This Row],[Net Revenue]]-OrdersTable[[#This Row],[COGS]]-OrdersTable[[#This Row],[Shipping Cost]]</f>
        <v>214.05</v>
      </c>
      <c r="Z3827" s="78">
        <f>IFERROR(OrdersTable[[#This Row],[Profit]]/OrdersTable[[#This Row],[Net Revenue]],0)</f>
        <v>0.45153464824385614</v>
      </c>
      <c r="AA3827" t="s">
        <v>4450</v>
      </c>
      <c r="AB3827" s="79">
        <v>45910</v>
      </c>
      <c r="AC3827">
        <f>OrdersTable[[#This Row],[Delivery Date]]-OrdersTable[[#This Row],[Order Date]]</f>
        <v>1</v>
      </c>
      <c r="AD3827" t="str">
        <f>IF(OrdersTable[[#This Row],[Delivery Days]]&lt;=2, "Express (≤2d)", IF(OrdersTable[[#This Row],[Delivery Days]]&lt;=4, "Standard (3-4d)", "Delayed (5d+)"))</f>
        <v>Express (≤2d)</v>
      </c>
      <c r="AE3827">
        <v>4</v>
      </c>
      <c r="AF3827">
        <v>0</v>
      </c>
    </row>
    <row r="3828" spans="1:32" ht="15" x14ac:dyDescent="0.35">
      <c r="A3828" t="s">
        <v>7025</v>
      </c>
      <c r="B3828" s="1">
        <v>45909</v>
      </c>
      <c r="C3828">
        <f>YEAR(OrdersTable[[#This Row],[Order Date]])</f>
        <v>2025</v>
      </c>
      <c r="D3828" s="2">
        <f>DATE(YEAR(OrdersTable[[#This Row],[Order Date]]),MONTH(OrdersTable[[#This Row],[Order Date]]),1)</f>
        <v>45901</v>
      </c>
      <c r="E3828">
        <f>MONTH(OrdersTable[[#This Row],[Order Date]])</f>
        <v>9</v>
      </c>
      <c r="F3828" t="s">
        <v>2529</v>
      </c>
      <c r="G3828" t="str">
        <f>IF(OrdersTable[[#This Row],[Order Date]]=_xlfn.MINIFS(Order_Date, Customer_ID, OrdersTable[[#This Row],[Customer ID]]), "New", "Repeat")</f>
        <v>Repeat</v>
      </c>
      <c r="H3828" t="s">
        <v>59</v>
      </c>
      <c r="I3828" t="str">
        <f>INDEX(State!B:B,MATCH(OrdersTable[[#This Row],[State]],State!A:A,0))</f>
        <v>TN</v>
      </c>
      <c r="J3828" t="str">
        <f>INDEX(State!C:C,MATCH(OrdersTable[[#This Row],[State Code]],State!B:B,0))</f>
        <v>South</v>
      </c>
      <c r="K3828" t="s">
        <v>60</v>
      </c>
      <c r="L3828" t="s">
        <v>39</v>
      </c>
      <c r="M3828" t="s">
        <v>73</v>
      </c>
      <c r="N3828" t="str">
        <f>INDEX(Products!B:B,MATCH(OrdersTable[[#This Row],[Product ID]],Products!A:A,0))</f>
        <v>Hydrating Face Wash</v>
      </c>
      <c r="O3828" t="str">
        <f>INDEX(Products!C:C,MATCH(OrdersTable[[#This Row],[Product ID]],Products!A:A,0))</f>
        <v>Skincare</v>
      </c>
      <c r="P3828">
        <v>4</v>
      </c>
      <c r="Q3828" s="5">
        <v>299</v>
      </c>
      <c r="R3828" s="74">
        <v>0</v>
      </c>
      <c r="S3828" s="75">
        <f>OrdersTable[[#This Row],[Quantity]]*OrdersTable[[#This Row],[Unit Price]]</f>
        <v>1196</v>
      </c>
      <c r="T3828" s="5">
        <f>OrdersTable[[#This Row],[Gross Sale]]*OrdersTable[[#This Row],[Discount_Clean2]]</f>
        <v>0</v>
      </c>
      <c r="U3828" s="5">
        <f>OrdersTable[[#This Row],[Gross Sale]]-OrdersTable[[#This Row],[Discount Amount]]</f>
        <v>1196</v>
      </c>
      <c r="V3828" s="77">
        <f>INDEX(Products!E:E,MATCH(OrdersTable[[#This Row],[Product ID]],Products!A:A,0))</f>
        <v>90</v>
      </c>
      <c r="W3828" s="77">
        <f>OrdersTable[[#This Row],[Quantity]]*OrdersTable[[#This Row],[Unit Cost]]</f>
        <v>360</v>
      </c>
      <c r="X3828" s="77">
        <f>'Dropdown Lists'!$I$2*(1+OrdersTable[[#This Row],[Returned]])</f>
        <v>60</v>
      </c>
      <c r="Y3828" s="76">
        <f>OrdersTable[[#This Row],[Net Revenue]]-OrdersTable[[#This Row],[COGS]]-OrdersTable[[#This Row],[Shipping Cost]]</f>
        <v>776</v>
      </c>
      <c r="Z3828" s="78">
        <f>IFERROR(OrdersTable[[#This Row],[Profit]]/OrdersTable[[#This Row],[Net Revenue]],0)</f>
        <v>0.6488294314381271</v>
      </c>
      <c r="AA3828" t="s">
        <v>4074</v>
      </c>
      <c r="AB3828" s="79">
        <v>45912</v>
      </c>
      <c r="AC3828">
        <f>OrdersTable[[#This Row],[Delivery Date]]-OrdersTable[[#This Row],[Order Date]]</f>
        <v>3</v>
      </c>
      <c r="AD3828" t="str">
        <f>IF(OrdersTable[[#This Row],[Delivery Days]]&lt;=2, "Express (≤2d)", IF(OrdersTable[[#This Row],[Delivery Days]]&lt;=4, "Standard (3-4d)", "Delayed (5d+)"))</f>
        <v>Standard (3-4d)</v>
      </c>
      <c r="AE3828">
        <v>5</v>
      </c>
      <c r="AF3828">
        <v>0</v>
      </c>
    </row>
    <row r="3829" spans="1:32" ht="15" x14ac:dyDescent="0.35">
      <c r="A3829" t="s">
        <v>2451</v>
      </c>
      <c r="B3829" s="1">
        <v>45909</v>
      </c>
      <c r="C3829">
        <f>YEAR(OrdersTable[[#This Row],[Order Date]])</f>
        <v>2025</v>
      </c>
      <c r="D3829" s="2">
        <f>DATE(YEAR(OrdersTable[[#This Row],[Order Date]]),MONTH(OrdersTable[[#This Row],[Order Date]]),1)</f>
        <v>45901</v>
      </c>
      <c r="E3829">
        <f>MONTH(OrdersTable[[#This Row],[Order Date]])</f>
        <v>9</v>
      </c>
      <c r="F3829" t="s">
        <v>2452</v>
      </c>
      <c r="G3829" t="str">
        <f>IF(OrdersTable[[#This Row],[Order Date]]=_xlfn.MINIFS(Order_Date, Customer_ID, OrdersTable[[#This Row],[Customer ID]]), "New", "Repeat")</f>
        <v>New</v>
      </c>
      <c r="H3829" t="s">
        <v>59</v>
      </c>
      <c r="I3829" t="str">
        <f>INDEX(State!B:B,MATCH(OrdersTable[[#This Row],[State]],State!A:A,0))</f>
        <v>TN</v>
      </c>
      <c r="J3829" t="str">
        <f>INDEX(State!C:C,MATCH(OrdersTable[[#This Row],[State Code]],State!B:B,0))</f>
        <v>South</v>
      </c>
      <c r="K3829" t="s">
        <v>64</v>
      </c>
      <c r="L3829" t="s">
        <v>50</v>
      </c>
      <c r="M3829" t="s">
        <v>45</v>
      </c>
      <c r="N3829" t="str">
        <f>INDEX(Products!B:B,MATCH(OrdersTable[[#This Row],[Product ID]],Products!A:A,0))</f>
        <v>Argan Shampoo</v>
      </c>
      <c r="O3829" t="str">
        <f>INDEX(Products!C:C,MATCH(OrdersTable[[#This Row],[Product ID]],Products!A:A,0))</f>
        <v>Haircare</v>
      </c>
      <c r="P3829">
        <v>1</v>
      </c>
      <c r="Q3829" s="5">
        <v>449</v>
      </c>
      <c r="R3829" s="74">
        <v>0.05</v>
      </c>
      <c r="S3829" s="75">
        <f>OrdersTable[[#This Row],[Quantity]]*OrdersTable[[#This Row],[Unit Price]]</f>
        <v>449</v>
      </c>
      <c r="T3829" s="5">
        <f>OrdersTable[[#This Row],[Gross Sale]]*OrdersTable[[#This Row],[Discount_Clean2]]</f>
        <v>22.450000000000003</v>
      </c>
      <c r="U3829" s="5">
        <f>OrdersTable[[#This Row],[Gross Sale]]-OrdersTable[[#This Row],[Discount Amount]]</f>
        <v>426.55</v>
      </c>
      <c r="V3829" s="77">
        <f>INDEX(Products!E:E,MATCH(OrdersTable[[#This Row],[Product ID]],Products!A:A,0))</f>
        <v>148</v>
      </c>
      <c r="W3829" s="77">
        <f>OrdersTable[[#This Row],[Quantity]]*OrdersTable[[#This Row],[Unit Cost]]</f>
        <v>148</v>
      </c>
      <c r="X3829" s="77">
        <f>'Dropdown Lists'!$I$2*(1+OrdersTable[[#This Row],[Returned]])</f>
        <v>60</v>
      </c>
      <c r="Y3829" s="76">
        <f>OrdersTable[[#This Row],[Net Revenue]]-OrdersTable[[#This Row],[COGS]]-OrdersTable[[#This Row],[Shipping Cost]]</f>
        <v>218.55</v>
      </c>
      <c r="Z3829" s="78">
        <f>IFERROR(OrdersTable[[#This Row],[Profit]]/OrdersTable[[#This Row],[Net Revenue]],0)</f>
        <v>0.51236666275934828</v>
      </c>
      <c r="AA3829" t="s">
        <v>18</v>
      </c>
      <c r="AB3829" s="79">
        <v>45911</v>
      </c>
      <c r="AC3829">
        <f>OrdersTable[[#This Row],[Delivery Date]]-OrdersTable[[#This Row],[Order Date]]</f>
        <v>2</v>
      </c>
      <c r="AD3829" t="str">
        <f>IF(OrdersTable[[#This Row],[Delivery Days]]&lt;=2, "Express (≤2d)", IF(OrdersTable[[#This Row],[Delivery Days]]&lt;=4, "Standard (3-4d)", "Delayed (5d+)"))</f>
        <v>Express (≤2d)</v>
      </c>
      <c r="AE3829">
        <v>5</v>
      </c>
      <c r="AF3829">
        <v>0</v>
      </c>
    </row>
    <row r="3830" spans="1:32" ht="15" x14ac:dyDescent="0.35">
      <c r="A3830" t="s">
        <v>7113</v>
      </c>
      <c r="B3830" s="1">
        <v>45910</v>
      </c>
      <c r="C3830">
        <f>YEAR(OrdersTable[[#This Row],[Order Date]])</f>
        <v>2025</v>
      </c>
      <c r="D3830" s="2">
        <f>DATE(YEAR(OrdersTable[[#This Row],[Order Date]]),MONTH(OrdersTable[[#This Row],[Order Date]]),1)</f>
        <v>45901</v>
      </c>
      <c r="E3830">
        <f>MONTH(OrdersTable[[#This Row],[Order Date]])</f>
        <v>9</v>
      </c>
      <c r="F3830" t="s">
        <v>6114</v>
      </c>
      <c r="G3830" t="str">
        <f>IF(OrdersTable[[#This Row],[Order Date]]=_xlfn.MINIFS(Order_Date, Customer_ID, OrdersTable[[#This Row],[Customer ID]]), "New", "Repeat")</f>
        <v>Repeat</v>
      </c>
      <c r="H3830" t="s">
        <v>48</v>
      </c>
      <c r="I3830" t="str">
        <f>INDEX(State!B:B,MATCH(OrdersTable[[#This Row],[State]],State!A:A,0))</f>
        <v>HR</v>
      </c>
      <c r="J3830" t="str">
        <f>INDEX(State!C:C,MATCH(OrdersTable[[#This Row],[State Code]],State!B:B,0))</f>
        <v>North</v>
      </c>
      <c r="K3830" t="s">
        <v>151</v>
      </c>
      <c r="L3830" t="s">
        <v>16</v>
      </c>
      <c r="M3830" t="s">
        <v>34</v>
      </c>
      <c r="N3830" t="str">
        <f>INDEX(Products!B:B,MATCH(OrdersTable[[#This Row],[Product ID]],Products!A:A,0))</f>
        <v>Flip Flops</v>
      </c>
      <c r="O3830" t="str">
        <f>INDEX(Products!C:C,MATCH(OrdersTable[[#This Row],[Product ID]],Products!A:A,0))</f>
        <v>Footwear</v>
      </c>
      <c r="P3830">
        <v>4</v>
      </c>
      <c r="Q3830" s="5">
        <v>399</v>
      </c>
      <c r="R3830" s="74">
        <v>0.1</v>
      </c>
      <c r="S3830" s="75">
        <f>OrdersTable[[#This Row],[Quantity]]*OrdersTable[[#This Row],[Unit Price]]</f>
        <v>1596</v>
      </c>
      <c r="T3830" s="5">
        <f>OrdersTable[[#This Row],[Gross Sale]]*OrdersTable[[#This Row],[Discount_Clean2]]</f>
        <v>159.60000000000002</v>
      </c>
      <c r="U3830" s="5">
        <f>OrdersTable[[#This Row],[Gross Sale]]-OrdersTable[[#This Row],[Discount Amount]]</f>
        <v>1436.4</v>
      </c>
      <c r="V3830" s="77">
        <f>INDEX(Products!E:E,MATCH(OrdersTable[[#This Row],[Product ID]],Products!A:A,0))</f>
        <v>152</v>
      </c>
      <c r="W3830" s="77">
        <f>OrdersTable[[#This Row],[Quantity]]*OrdersTable[[#This Row],[Unit Cost]]</f>
        <v>608</v>
      </c>
      <c r="X3830" s="77">
        <f>'Dropdown Lists'!$I$2*(1+OrdersTable[[#This Row],[Returned]])</f>
        <v>60</v>
      </c>
      <c r="Y3830" s="76">
        <f>OrdersTable[[#This Row],[Net Revenue]]-OrdersTable[[#This Row],[COGS]]-OrdersTable[[#This Row],[Shipping Cost]]</f>
        <v>768.40000000000009</v>
      </c>
      <c r="Z3830" s="78">
        <f>IFERROR(OrdersTable[[#This Row],[Profit]]/OrdersTable[[#This Row],[Net Revenue]],0)</f>
        <v>0.5349484823169034</v>
      </c>
      <c r="AA3830" t="s">
        <v>18</v>
      </c>
      <c r="AB3830" s="79">
        <v>45914</v>
      </c>
      <c r="AC3830">
        <f>OrdersTable[[#This Row],[Delivery Date]]-OrdersTable[[#This Row],[Order Date]]</f>
        <v>4</v>
      </c>
      <c r="AD3830" t="str">
        <f>IF(OrdersTable[[#This Row],[Delivery Days]]&lt;=2, "Express (≤2d)", IF(OrdersTable[[#This Row],[Delivery Days]]&lt;=4, "Standard (3-4d)", "Delayed (5d+)"))</f>
        <v>Standard (3-4d)</v>
      </c>
      <c r="AE3830">
        <v>4</v>
      </c>
      <c r="AF3830">
        <v>0</v>
      </c>
    </row>
    <row r="3831" spans="1:32" ht="15" x14ac:dyDescent="0.35">
      <c r="A3831" t="s">
        <v>3668</v>
      </c>
      <c r="B3831" s="1">
        <v>45910</v>
      </c>
      <c r="C3831">
        <f>YEAR(OrdersTable[[#This Row],[Order Date]])</f>
        <v>2025</v>
      </c>
      <c r="D3831" s="2">
        <f>DATE(YEAR(OrdersTable[[#This Row],[Order Date]]),MONTH(OrdersTable[[#This Row],[Order Date]]),1)</f>
        <v>45901</v>
      </c>
      <c r="E3831">
        <f>MONTH(OrdersTable[[#This Row],[Order Date]])</f>
        <v>9</v>
      </c>
      <c r="F3831" t="s">
        <v>2803</v>
      </c>
      <c r="G3831" t="str">
        <f>IF(OrdersTable[[#This Row],[Order Date]]=_xlfn.MINIFS(Order_Date, Customer_ID, OrdersTable[[#This Row],[Customer ID]]), "New", "Repeat")</f>
        <v>Repeat</v>
      </c>
      <c r="H3831" t="s">
        <v>132</v>
      </c>
      <c r="I3831" t="str">
        <f>INDEX(State!B:B,MATCH(OrdersTable[[#This Row],[State]],State!A:A,0))</f>
        <v>AS</v>
      </c>
      <c r="J3831" t="str">
        <f>INDEX(State!C:C,MATCH(OrdersTable[[#This Row],[State Code]],State!B:B,0))</f>
        <v>East</v>
      </c>
      <c r="K3831" t="s">
        <v>133</v>
      </c>
      <c r="L3831" t="s">
        <v>65</v>
      </c>
      <c r="M3831" t="s">
        <v>29</v>
      </c>
      <c r="N3831" t="str">
        <f>INDEX(Products!B:B,MATCH(OrdersTable[[#This Row],[Product ID]],Products!A:A,0))</f>
        <v>Joggers</v>
      </c>
      <c r="O3831" t="str">
        <f>INDEX(Products!C:C,MATCH(OrdersTable[[#This Row],[Product ID]],Products!A:A,0))</f>
        <v>Apparel</v>
      </c>
      <c r="P3831">
        <v>1</v>
      </c>
      <c r="Q3831" s="5">
        <v>1199</v>
      </c>
      <c r="R3831" s="74">
        <v>0.2</v>
      </c>
      <c r="S3831" s="75">
        <f>OrdersTable[[#This Row],[Quantity]]*OrdersTable[[#This Row],[Unit Price]]</f>
        <v>1199</v>
      </c>
      <c r="T3831" s="5">
        <f>OrdersTable[[#This Row],[Gross Sale]]*OrdersTable[[#This Row],[Discount_Clean2]]</f>
        <v>239.8</v>
      </c>
      <c r="U3831" s="5">
        <f>OrdersTable[[#This Row],[Gross Sale]]-OrdersTable[[#This Row],[Discount Amount]]</f>
        <v>959.2</v>
      </c>
      <c r="V3831" s="77">
        <f>INDEX(Products!E:E,MATCH(OrdersTable[[#This Row],[Product ID]],Products!A:A,0))</f>
        <v>492</v>
      </c>
      <c r="W3831" s="77">
        <f>OrdersTable[[#This Row],[Quantity]]*OrdersTable[[#This Row],[Unit Cost]]</f>
        <v>492</v>
      </c>
      <c r="X3831" s="77">
        <f>'Dropdown Lists'!$I$2*(1+OrdersTable[[#This Row],[Returned]])</f>
        <v>60</v>
      </c>
      <c r="Y3831" s="76">
        <f>OrdersTable[[#This Row],[Net Revenue]]-OrdersTable[[#This Row],[COGS]]-OrdersTable[[#This Row],[Shipping Cost]]</f>
        <v>407.20000000000005</v>
      </c>
      <c r="Z3831" s="78">
        <f>IFERROR(OrdersTable[[#This Row],[Profit]]/OrdersTable[[#This Row],[Net Revenue]],0)</f>
        <v>0.42452043369474562</v>
      </c>
      <c r="AA3831" t="s">
        <v>3495</v>
      </c>
      <c r="AB3831" s="79">
        <v>45916</v>
      </c>
      <c r="AC3831">
        <f>OrdersTable[[#This Row],[Delivery Date]]-OrdersTable[[#This Row],[Order Date]]</f>
        <v>6</v>
      </c>
      <c r="AD3831" t="str">
        <f>IF(OrdersTable[[#This Row],[Delivery Days]]&lt;=2, "Express (≤2d)", IF(OrdersTable[[#This Row],[Delivery Days]]&lt;=4, "Standard (3-4d)", "Delayed (5d+)"))</f>
        <v>Delayed (5d+)</v>
      </c>
      <c r="AE3831">
        <v>4</v>
      </c>
      <c r="AF3831">
        <v>0</v>
      </c>
    </row>
    <row r="3832" spans="1:32" ht="15" x14ac:dyDescent="0.35">
      <c r="A3832" t="s">
        <v>6913</v>
      </c>
      <c r="B3832" s="1">
        <v>45910</v>
      </c>
      <c r="C3832">
        <f>YEAR(OrdersTable[[#This Row],[Order Date]])</f>
        <v>2025</v>
      </c>
      <c r="D3832" s="2">
        <f>DATE(YEAR(OrdersTable[[#This Row],[Order Date]]),MONTH(OrdersTable[[#This Row],[Order Date]]),1)</f>
        <v>45901</v>
      </c>
      <c r="E3832">
        <f>MONTH(OrdersTable[[#This Row],[Order Date]])</f>
        <v>9</v>
      </c>
      <c r="F3832" t="s">
        <v>1893</v>
      </c>
      <c r="G3832" t="str">
        <f>IF(OrdersTable[[#This Row],[Order Date]]=_xlfn.MINIFS(Order_Date, Customer_ID, OrdersTable[[#This Row],[Customer ID]]), "New", "Repeat")</f>
        <v>Repeat</v>
      </c>
      <c r="H3832" t="s">
        <v>132</v>
      </c>
      <c r="I3832" t="str">
        <f>INDEX(State!B:B,MATCH(OrdersTable[[#This Row],[State]],State!A:A,0))</f>
        <v>AS</v>
      </c>
      <c r="J3832" t="str">
        <f>INDEX(State!C:C,MATCH(OrdersTable[[#This Row],[State Code]],State!B:B,0))</f>
        <v>East</v>
      </c>
      <c r="K3832" t="s">
        <v>133</v>
      </c>
      <c r="L3832" t="s">
        <v>65</v>
      </c>
      <c r="M3832" t="s">
        <v>109</v>
      </c>
      <c r="N3832" t="str">
        <f>INDEX(Products!B:B,MATCH(OrdersTable[[#This Row],[Product ID]],Products!A:A,0))</f>
        <v>Onion Hair Oil</v>
      </c>
      <c r="O3832" t="str">
        <f>INDEX(Products!C:C,MATCH(OrdersTable[[#This Row],[Product ID]],Products!A:A,0))</f>
        <v>Haircare</v>
      </c>
      <c r="P3832">
        <v>3</v>
      </c>
      <c r="Q3832" s="5">
        <v>349</v>
      </c>
      <c r="R3832" s="74">
        <v>0.35</v>
      </c>
      <c r="S3832" s="75">
        <f>OrdersTable[[#This Row],[Quantity]]*OrdersTable[[#This Row],[Unit Price]]</f>
        <v>1047</v>
      </c>
      <c r="T3832" s="5">
        <f>OrdersTable[[#This Row],[Gross Sale]]*OrdersTable[[#This Row],[Discount_Clean2]]</f>
        <v>366.45</v>
      </c>
      <c r="U3832" s="5">
        <f>OrdersTable[[#This Row],[Gross Sale]]-OrdersTable[[#This Row],[Discount Amount]]</f>
        <v>680.55</v>
      </c>
      <c r="V3832" s="77">
        <f>INDEX(Products!E:E,MATCH(OrdersTable[[#This Row],[Product ID]],Products!A:A,0))</f>
        <v>105</v>
      </c>
      <c r="W3832" s="77">
        <f>OrdersTable[[#This Row],[Quantity]]*OrdersTable[[#This Row],[Unit Cost]]</f>
        <v>315</v>
      </c>
      <c r="X3832" s="77">
        <f>'Dropdown Lists'!$I$2*(1+OrdersTable[[#This Row],[Returned]])</f>
        <v>60</v>
      </c>
      <c r="Y3832" s="76">
        <f>OrdersTable[[#This Row],[Net Revenue]]-OrdersTable[[#This Row],[COGS]]-OrdersTable[[#This Row],[Shipping Cost]]</f>
        <v>305.54999999999995</v>
      </c>
      <c r="Z3832" s="78">
        <f>IFERROR(OrdersTable[[#This Row],[Profit]]/OrdersTable[[#This Row],[Net Revenue]],0)</f>
        <v>0.44897509367423405</v>
      </c>
      <c r="AA3832" t="s">
        <v>4450</v>
      </c>
      <c r="AB3832" s="79">
        <v>45916</v>
      </c>
      <c r="AC3832">
        <f>OrdersTable[[#This Row],[Delivery Date]]-OrdersTable[[#This Row],[Order Date]]</f>
        <v>6</v>
      </c>
      <c r="AD3832" t="str">
        <f>IF(OrdersTable[[#This Row],[Delivery Days]]&lt;=2, "Express (≤2d)", IF(OrdersTable[[#This Row],[Delivery Days]]&lt;=4, "Standard (3-4d)", "Delayed (5d+)"))</f>
        <v>Delayed (5d+)</v>
      </c>
      <c r="AE3832">
        <v>3</v>
      </c>
      <c r="AF3832">
        <v>0</v>
      </c>
    </row>
    <row r="3833" spans="1:32" ht="15" x14ac:dyDescent="0.35">
      <c r="A3833" t="s">
        <v>365</v>
      </c>
      <c r="B3833" s="1">
        <v>45910</v>
      </c>
      <c r="C3833">
        <f>YEAR(OrdersTable[[#This Row],[Order Date]])</f>
        <v>2025</v>
      </c>
      <c r="D3833" s="2">
        <f>DATE(YEAR(OrdersTable[[#This Row],[Order Date]]),MONTH(OrdersTable[[#This Row],[Order Date]]),1)</f>
        <v>45901</v>
      </c>
      <c r="E3833">
        <f>MONTH(OrdersTable[[#This Row],[Order Date]])</f>
        <v>9</v>
      </c>
      <c r="F3833" t="s">
        <v>366</v>
      </c>
      <c r="G3833" t="str">
        <f>IF(OrdersTable[[#This Row],[Order Date]]=_xlfn.MINIFS(Order_Date, Customer_ID, OrdersTable[[#This Row],[Customer ID]]), "New", "Repeat")</f>
        <v>Repeat</v>
      </c>
      <c r="H3833" t="s">
        <v>167</v>
      </c>
      <c r="I3833" t="str">
        <f>INDEX(State!B:B,MATCH(OrdersTable[[#This Row],[State]],State!A:A,0))</f>
        <v>KA</v>
      </c>
      <c r="J3833" t="str">
        <f>INDEX(State!C:C,MATCH(OrdersTable[[#This Row],[State Code]],State!B:B,0))</f>
        <v>South</v>
      </c>
      <c r="K3833" t="s">
        <v>190</v>
      </c>
      <c r="L3833" t="s">
        <v>65</v>
      </c>
      <c r="M3833" t="s">
        <v>40</v>
      </c>
      <c r="N3833" t="str">
        <f>INDEX(Products!B:B,MATCH(OrdersTable[[#This Row],[Product ID]],Products!A:A,0))</f>
        <v>Ashwagandha Capsules</v>
      </c>
      <c r="O3833" t="str">
        <f>INDEX(Products!C:C,MATCH(OrdersTable[[#This Row],[Product ID]],Products!A:A,0))</f>
        <v>Wellness</v>
      </c>
      <c r="P3833">
        <v>1</v>
      </c>
      <c r="Q3833" s="5">
        <v>499</v>
      </c>
      <c r="R3833" s="74">
        <v>0.1</v>
      </c>
      <c r="S3833" s="75">
        <f>OrdersTable[[#This Row],[Quantity]]*OrdersTable[[#This Row],[Unit Price]]</f>
        <v>499</v>
      </c>
      <c r="T3833" s="5">
        <f>OrdersTable[[#This Row],[Gross Sale]]*OrdersTable[[#This Row],[Discount_Clean2]]</f>
        <v>49.900000000000006</v>
      </c>
      <c r="U3833" s="5">
        <f>OrdersTable[[#This Row],[Gross Sale]]-OrdersTable[[#This Row],[Discount Amount]]</f>
        <v>449.1</v>
      </c>
      <c r="V3833" s="77">
        <f>INDEX(Products!E:E,MATCH(OrdersTable[[#This Row],[Product ID]],Products!A:A,0))</f>
        <v>150</v>
      </c>
      <c r="W3833" s="77">
        <f>OrdersTable[[#This Row],[Quantity]]*OrdersTable[[#This Row],[Unit Cost]]</f>
        <v>150</v>
      </c>
      <c r="X3833" s="77">
        <f>'Dropdown Lists'!$I$2*(1+OrdersTable[[#This Row],[Returned]])</f>
        <v>60</v>
      </c>
      <c r="Y3833" s="76">
        <f>OrdersTable[[#This Row],[Net Revenue]]-OrdersTable[[#This Row],[COGS]]-OrdersTable[[#This Row],[Shipping Cost]]</f>
        <v>239.10000000000002</v>
      </c>
      <c r="Z3833" s="78">
        <f>IFERROR(OrdersTable[[#This Row],[Profit]]/OrdersTable[[#This Row],[Net Revenue]],0)</f>
        <v>0.53239812959251842</v>
      </c>
      <c r="AA3833" t="s">
        <v>18</v>
      </c>
      <c r="AB3833" s="79">
        <v>45912</v>
      </c>
      <c r="AC3833">
        <f>OrdersTable[[#This Row],[Delivery Date]]-OrdersTable[[#This Row],[Order Date]]</f>
        <v>2</v>
      </c>
      <c r="AD3833" t="str">
        <f>IF(OrdersTable[[#This Row],[Delivery Days]]&lt;=2, "Express (≤2d)", IF(OrdersTable[[#This Row],[Delivery Days]]&lt;=4, "Standard (3-4d)", "Delayed (5d+)"))</f>
        <v>Express (≤2d)</v>
      </c>
      <c r="AE3833">
        <v>4</v>
      </c>
      <c r="AF3833">
        <v>0</v>
      </c>
    </row>
    <row r="3834" spans="1:32" ht="15" x14ac:dyDescent="0.35">
      <c r="A3834" t="s">
        <v>2176</v>
      </c>
      <c r="B3834" s="1">
        <v>45911</v>
      </c>
      <c r="C3834">
        <f>YEAR(OrdersTable[[#This Row],[Order Date]])</f>
        <v>2025</v>
      </c>
      <c r="D3834" s="2">
        <f>DATE(YEAR(OrdersTable[[#This Row],[Order Date]]),MONTH(OrdersTable[[#This Row],[Order Date]]),1)</f>
        <v>45901</v>
      </c>
      <c r="E3834">
        <f>MONTH(OrdersTable[[#This Row],[Order Date]])</f>
        <v>9</v>
      </c>
      <c r="F3834" t="s">
        <v>2177</v>
      </c>
      <c r="G3834" t="str">
        <f>IF(OrdersTable[[#This Row],[Order Date]]=_xlfn.MINIFS(Order_Date, Customer_ID, OrdersTable[[#This Row],[Customer ID]]), "New", "Repeat")</f>
        <v>New</v>
      </c>
      <c r="H3834" t="s">
        <v>43</v>
      </c>
      <c r="I3834" t="str">
        <f>INDEX(State!B:B,MATCH(OrdersTable[[#This Row],[State]],State!A:A,0))</f>
        <v>MP</v>
      </c>
      <c r="J3834" t="str">
        <f>INDEX(State!C:C,MATCH(OrdersTable[[#This Row],[State Code]],State!B:B,0))</f>
        <v>West</v>
      </c>
      <c r="K3834" t="s">
        <v>250</v>
      </c>
      <c r="L3834" t="s">
        <v>39</v>
      </c>
      <c r="M3834" t="s">
        <v>51</v>
      </c>
      <c r="N3834" t="str">
        <f>INDEX(Products!B:B,MATCH(OrdersTable[[#This Row],[Product ID]],Products!A:A,0))</f>
        <v>Anti-Dandruff Conditioner</v>
      </c>
      <c r="O3834" t="str">
        <f>INDEX(Products!C:C,MATCH(OrdersTable[[#This Row],[Product ID]],Products!A:A,0))</f>
        <v>Haircare</v>
      </c>
      <c r="P3834">
        <v>1</v>
      </c>
      <c r="Q3834" s="5">
        <v>399</v>
      </c>
      <c r="R3834" s="74">
        <v>0.25</v>
      </c>
      <c r="S3834" s="75">
        <f>OrdersTable[[#This Row],[Quantity]]*OrdersTable[[#This Row],[Unit Price]]</f>
        <v>399</v>
      </c>
      <c r="T3834" s="5">
        <f>OrdersTable[[#This Row],[Gross Sale]]*OrdersTable[[#This Row],[Discount_Clean2]]</f>
        <v>99.75</v>
      </c>
      <c r="U3834" s="5">
        <f>OrdersTable[[#This Row],[Gross Sale]]-OrdersTable[[#This Row],[Discount Amount]]</f>
        <v>299.25</v>
      </c>
      <c r="V3834" s="77">
        <f>INDEX(Products!E:E,MATCH(OrdersTable[[#This Row],[Product ID]],Products!A:A,0))</f>
        <v>136</v>
      </c>
      <c r="W3834" s="77">
        <f>OrdersTable[[#This Row],[Quantity]]*OrdersTable[[#This Row],[Unit Cost]]</f>
        <v>136</v>
      </c>
      <c r="X3834" s="77">
        <f>'Dropdown Lists'!$I$2*(1+OrdersTable[[#This Row],[Returned]])</f>
        <v>60</v>
      </c>
      <c r="Y3834" s="76">
        <f>OrdersTable[[#This Row],[Net Revenue]]-OrdersTable[[#This Row],[COGS]]-OrdersTable[[#This Row],[Shipping Cost]]</f>
        <v>103.25</v>
      </c>
      <c r="Z3834" s="78">
        <f>IFERROR(OrdersTable[[#This Row],[Profit]]/OrdersTable[[#This Row],[Net Revenue]],0)</f>
        <v>0.34502923976608185</v>
      </c>
      <c r="AA3834" t="s">
        <v>18</v>
      </c>
      <c r="AB3834" s="79">
        <v>45917</v>
      </c>
      <c r="AC3834">
        <f>OrdersTable[[#This Row],[Delivery Date]]-OrdersTable[[#This Row],[Order Date]]</f>
        <v>6</v>
      </c>
      <c r="AD3834" t="str">
        <f>IF(OrdersTable[[#This Row],[Delivery Days]]&lt;=2, "Express (≤2d)", IF(OrdersTable[[#This Row],[Delivery Days]]&lt;=4, "Standard (3-4d)", "Delayed (5d+)"))</f>
        <v>Delayed (5d+)</v>
      </c>
      <c r="AE3834">
        <v>3</v>
      </c>
      <c r="AF3834">
        <v>0</v>
      </c>
    </row>
    <row r="3835" spans="1:32" ht="15" x14ac:dyDescent="0.35">
      <c r="A3835" t="s">
        <v>6811</v>
      </c>
      <c r="B3835" s="1">
        <v>45911</v>
      </c>
      <c r="C3835">
        <f>YEAR(OrdersTable[[#This Row],[Order Date]])</f>
        <v>2025</v>
      </c>
      <c r="D3835" s="2">
        <f>DATE(YEAR(OrdersTable[[#This Row],[Order Date]]),MONTH(OrdersTable[[#This Row],[Order Date]]),1)</f>
        <v>45901</v>
      </c>
      <c r="E3835">
        <f>MONTH(OrdersTable[[#This Row],[Order Date]])</f>
        <v>9</v>
      </c>
      <c r="F3835" t="s">
        <v>516</v>
      </c>
      <c r="G3835" t="str">
        <f>IF(OrdersTable[[#This Row],[Order Date]]=_xlfn.MINIFS(Order_Date, Customer_ID, OrdersTable[[#This Row],[Customer ID]]), "New", "Repeat")</f>
        <v>Repeat</v>
      </c>
      <c r="H3835" t="s">
        <v>95</v>
      </c>
      <c r="I3835" t="str">
        <f>INDEX(State!B:B,MATCH(OrdersTable[[#This Row],[State]],State!A:A,0))</f>
        <v>TG</v>
      </c>
      <c r="J3835" t="str">
        <f>INDEX(State!C:C,MATCH(OrdersTable[[#This Row],[State Code]],State!B:B,0))</f>
        <v>South</v>
      </c>
      <c r="K3835" t="s">
        <v>96</v>
      </c>
      <c r="L3835" t="s">
        <v>65</v>
      </c>
      <c r="M3835" t="s">
        <v>51</v>
      </c>
      <c r="N3835" t="str">
        <f>INDEX(Products!B:B,MATCH(OrdersTable[[#This Row],[Product ID]],Products!A:A,0))</f>
        <v>Anti-Dandruff Conditioner</v>
      </c>
      <c r="O3835" t="str">
        <f>INDEX(Products!C:C,MATCH(OrdersTable[[#This Row],[Product ID]],Products!A:A,0))</f>
        <v>Haircare</v>
      </c>
      <c r="P3835">
        <v>3</v>
      </c>
      <c r="Q3835" s="5">
        <v>399</v>
      </c>
      <c r="R3835" s="74">
        <v>0.45</v>
      </c>
      <c r="S3835" s="75">
        <f>OrdersTable[[#This Row],[Quantity]]*OrdersTable[[#This Row],[Unit Price]]</f>
        <v>1197</v>
      </c>
      <c r="T3835" s="5">
        <f>OrdersTable[[#This Row],[Gross Sale]]*OrdersTable[[#This Row],[Discount_Clean2]]</f>
        <v>538.65</v>
      </c>
      <c r="U3835" s="5">
        <f>OrdersTable[[#This Row],[Gross Sale]]-OrdersTable[[#This Row],[Discount Amount]]</f>
        <v>658.35</v>
      </c>
      <c r="V3835" s="77">
        <f>INDEX(Products!E:E,MATCH(OrdersTable[[#This Row],[Product ID]],Products!A:A,0))</f>
        <v>136</v>
      </c>
      <c r="W3835" s="77">
        <f>OrdersTable[[#This Row],[Quantity]]*OrdersTable[[#This Row],[Unit Cost]]</f>
        <v>408</v>
      </c>
      <c r="X3835" s="77">
        <f>'Dropdown Lists'!$I$2*(1+OrdersTable[[#This Row],[Returned]])</f>
        <v>60</v>
      </c>
      <c r="Y3835" s="76">
        <f>OrdersTable[[#This Row],[Net Revenue]]-OrdersTable[[#This Row],[COGS]]-OrdersTable[[#This Row],[Shipping Cost]]</f>
        <v>190.35000000000002</v>
      </c>
      <c r="Z3835" s="78">
        <f>IFERROR(OrdersTable[[#This Row],[Profit]]/OrdersTable[[#This Row],[Net Revenue]],0)</f>
        <v>0.28913192071086813</v>
      </c>
      <c r="AA3835" t="s">
        <v>3495</v>
      </c>
      <c r="AB3835" s="79">
        <v>45914</v>
      </c>
      <c r="AC3835">
        <f>OrdersTable[[#This Row],[Delivery Date]]-OrdersTable[[#This Row],[Order Date]]</f>
        <v>3</v>
      </c>
      <c r="AD3835" t="str">
        <f>IF(OrdersTable[[#This Row],[Delivery Days]]&lt;=2, "Express (≤2d)", IF(OrdersTable[[#This Row],[Delivery Days]]&lt;=4, "Standard (3-4d)", "Delayed (5d+)"))</f>
        <v>Standard (3-4d)</v>
      </c>
      <c r="AE3835">
        <v>4</v>
      </c>
      <c r="AF3835">
        <v>0</v>
      </c>
    </row>
    <row r="3836" spans="1:32" ht="15" x14ac:dyDescent="0.35">
      <c r="A3836" t="s">
        <v>4435</v>
      </c>
      <c r="B3836" s="1">
        <v>45911</v>
      </c>
      <c r="C3836">
        <f>YEAR(OrdersTable[[#This Row],[Order Date]])</f>
        <v>2025</v>
      </c>
      <c r="D3836" s="2">
        <f>DATE(YEAR(OrdersTable[[#This Row],[Order Date]]),MONTH(OrdersTable[[#This Row],[Order Date]]),1)</f>
        <v>45901</v>
      </c>
      <c r="E3836">
        <f>MONTH(OrdersTable[[#This Row],[Order Date]])</f>
        <v>9</v>
      </c>
      <c r="F3836" t="s">
        <v>2567</v>
      </c>
      <c r="G3836" t="str">
        <f>IF(OrdersTable[[#This Row],[Order Date]]=_xlfn.MINIFS(Order_Date, Customer_ID, OrdersTable[[#This Row],[Customer ID]]), "New", "Repeat")</f>
        <v>Repeat</v>
      </c>
      <c r="H3836" t="s">
        <v>95</v>
      </c>
      <c r="I3836" t="str">
        <f>INDEX(State!B:B,MATCH(OrdersTable[[#This Row],[State]],State!A:A,0))</f>
        <v>TG</v>
      </c>
      <c r="J3836" t="str">
        <f>INDEX(State!C:C,MATCH(OrdersTable[[#This Row],[State Code]],State!B:B,0))</f>
        <v>South</v>
      </c>
      <c r="K3836" t="s">
        <v>96</v>
      </c>
      <c r="L3836" t="s">
        <v>23</v>
      </c>
      <c r="M3836" t="s">
        <v>148</v>
      </c>
      <c r="N3836" t="str">
        <f>INDEX(Products!B:B,MATCH(OrdersTable[[#This Row],[Product ID]],Products!A:A,0))</f>
        <v>Smartwatch Strap</v>
      </c>
      <c r="O3836" t="str">
        <f>INDEX(Products!C:C,MATCH(OrdersTable[[#This Row],[Product ID]],Products!A:A,0))</f>
        <v>Electronics</v>
      </c>
      <c r="P3836">
        <v>1</v>
      </c>
      <c r="Q3836" s="5">
        <v>499</v>
      </c>
      <c r="R3836" s="74">
        <v>0.05</v>
      </c>
      <c r="S3836" s="75">
        <f>OrdersTable[[#This Row],[Quantity]]*OrdersTable[[#This Row],[Unit Price]]</f>
        <v>499</v>
      </c>
      <c r="T3836" s="5">
        <f>OrdersTable[[#This Row],[Gross Sale]]*OrdersTable[[#This Row],[Discount_Clean2]]</f>
        <v>24.950000000000003</v>
      </c>
      <c r="U3836" s="5">
        <f>OrdersTable[[#This Row],[Gross Sale]]-OrdersTable[[#This Row],[Discount Amount]]</f>
        <v>474.05</v>
      </c>
      <c r="V3836" s="77">
        <f>INDEX(Products!E:E,MATCH(OrdersTable[[#This Row],[Product ID]],Products!A:A,0))</f>
        <v>200</v>
      </c>
      <c r="W3836" s="77">
        <f>OrdersTable[[#This Row],[Quantity]]*OrdersTable[[#This Row],[Unit Cost]]</f>
        <v>200</v>
      </c>
      <c r="X3836" s="77">
        <f>'Dropdown Lists'!$I$2*(1+OrdersTable[[#This Row],[Returned]])</f>
        <v>60</v>
      </c>
      <c r="Y3836" s="76">
        <f>OrdersTable[[#This Row],[Net Revenue]]-OrdersTable[[#This Row],[COGS]]-OrdersTable[[#This Row],[Shipping Cost]]</f>
        <v>214.05</v>
      </c>
      <c r="Z3836" s="78">
        <f>IFERROR(OrdersTable[[#This Row],[Profit]]/OrdersTable[[#This Row],[Net Revenue]],0)</f>
        <v>0.45153464824385614</v>
      </c>
      <c r="AA3836" t="s">
        <v>4074</v>
      </c>
      <c r="AB3836" s="79">
        <v>45916</v>
      </c>
      <c r="AC3836">
        <f>OrdersTable[[#This Row],[Delivery Date]]-OrdersTable[[#This Row],[Order Date]]</f>
        <v>5</v>
      </c>
      <c r="AD3836" t="str">
        <f>IF(OrdersTable[[#This Row],[Delivery Days]]&lt;=2, "Express (≤2d)", IF(OrdersTable[[#This Row],[Delivery Days]]&lt;=4, "Standard (3-4d)", "Delayed (5d+)"))</f>
        <v>Delayed (5d+)</v>
      </c>
      <c r="AE3836">
        <v>4</v>
      </c>
      <c r="AF3836">
        <v>0</v>
      </c>
    </row>
    <row r="3837" spans="1:32" ht="15" x14ac:dyDescent="0.35">
      <c r="A3837" t="s">
        <v>1592</v>
      </c>
      <c r="B3837" s="1">
        <v>45911</v>
      </c>
      <c r="C3837">
        <f>YEAR(OrdersTable[[#This Row],[Order Date]])</f>
        <v>2025</v>
      </c>
      <c r="D3837" s="2">
        <f>DATE(YEAR(OrdersTable[[#This Row],[Order Date]]),MONTH(OrdersTable[[#This Row],[Order Date]]),1)</f>
        <v>45901</v>
      </c>
      <c r="E3837">
        <f>MONTH(OrdersTable[[#This Row],[Order Date]])</f>
        <v>9</v>
      </c>
      <c r="F3837" t="s">
        <v>1593</v>
      </c>
      <c r="G3837" t="str">
        <f>IF(OrdersTable[[#This Row],[Order Date]]=_xlfn.MINIFS(Order_Date, Customer_ID, OrdersTable[[#This Row],[Customer ID]]), "New", "Repeat")</f>
        <v>Repeat</v>
      </c>
      <c r="H3837" t="s">
        <v>90</v>
      </c>
      <c r="I3837" t="str">
        <f>INDEX(State!B:B,MATCH(OrdersTable[[#This Row],[State]],State!A:A,0))</f>
        <v>GA</v>
      </c>
      <c r="J3837" t="str">
        <f>INDEX(State!C:C,MATCH(OrdersTable[[#This Row],[State Code]],State!B:B,0))</f>
        <v>West</v>
      </c>
      <c r="K3837" t="s">
        <v>91</v>
      </c>
      <c r="L3837" t="s">
        <v>39</v>
      </c>
      <c r="M3837" t="s">
        <v>56</v>
      </c>
      <c r="N3837" t="str">
        <f>INDEX(Products!B:B,MATCH(OrdersTable[[#This Row],[Product ID]],Products!A:A,0))</f>
        <v>Vitamin C Face Serum</v>
      </c>
      <c r="O3837" t="str">
        <f>INDEX(Products!C:C,MATCH(OrdersTable[[#This Row],[Product ID]],Products!A:A,0))</f>
        <v>Skincare</v>
      </c>
      <c r="P3837">
        <v>1</v>
      </c>
      <c r="Q3837" s="5">
        <v>599</v>
      </c>
      <c r="R3837" s="74">
        <v>0.2</v>
      </c>
      <c r="S3837" s="75">
        <f>OrdersTable[[#This Row],[Quantity]]*OrdersTable[[#This Row],[Unit Price]]</f>
        <v>599</v>
      </c>
      <c r="T3837" s="5">
        <f>OrdersTable[[#This Row],[Gross Sale]]*OrdersTable[[#This Row],[Discount_Clean2]]</f>
        <v>119.80000000000001</v>
      </c>
      <c r="U3837" s="5">
        <f>OrdersTable[[#This Row],[Gross Sale]]-OrdersTable[[#This Row],[Discount Amount]]</f>
        <v>479.2</v>
      </c>
      <c r="V3837" s="77">
        <f>INDEX(Products!E:E,MATCH(OrdersTable[[#This Row],[Product ID]],Products!A:A,0))</f>
        <v>180</v>
      </c>
      <c r="W3837" s="77">
        <f>OrdersTable[[#This Row],[Quantity]]*OrdersTable[[#This Row],[Unit Cost]]</f>
        <v>180</v>
      </c>
      <c r="X3837" s="77">
        <f>'Dropdown Lists'!$I$2*(1+OrdersTable[[#This Row],[Returned]])</f>
        <v>60</v>
      </c>
      <c r="Y3837" s="76">
        <f>OrdersTable[[#This Row],[Net Revenue]]-OrdersTable[[#This Row],[COGS]]-OrdersTable[[#This Row],[Shipping Cost]]</f>
        <v>239.2</v>
      </c>
      <c r="Z3837" s="78">
        <f>IFERROR(OrdersTable[[#This Row],[Profit]]/OrdersTable[[#This Row],[Net Revenue]],0)</f>
        <v>0.4991652754590985</v>
      </c>
      <c r="AA3837" t="s">
        <v>18</v>
      </c>
      <c r="AB3837" s="79">
        <v>45915</v>
      </c>
      <c r="AC3837">
        <f>OrdersTable[[#This Row],[Delivery Date]]-OrdersTable[[#This Row],[Order Date]]</f>
        <v>4</v>
      </c>
      <c r="AD3837" t="str">
        <f>IF(OrdersTable[[#This Row],[Delivery Days]]&lt;=2, "Express (≤2d)", IF(OrdersTable[[#This Row],[Delivery Days]]&lt;=4, "Standard (3-4d)", "Delayed (5d+)"))</f>
        <v>Standard (3-4d)</v>
      </c>
      <c r="AF3837">
        <v>0</v>
      </c>
    </row>
    <row r="3838" spans="1:32" ht="15" x14ac:dyDescent="0.35">
      <c r="A3838" t="s">
        <v>5722</v>
      </c>
      <c r="B3838" s="1">
        <v>45911</v>
      </c>
      <c r="C3838">
        <f>YEAR(OrdersTable[[#This Row],[Order Date]])</f>
        <v>2025</v>
      </c>
      <c r="D3838" s="2">
        <f>DATE(YEAR(OrdersTable[[#This Row],[Order Date]]),MONTH(OrdersTable[[#This Row],[Order Date]]),1)</f>
        <v>45901</v>
      </c>
      <c r="E3838">
        <f>MONTH(OrdersTable[[#This Row],[Order Date]])</f>
        <v>9</v>
      </c>
      <c r="F3838" t="s">
        <v>5723</v>
      </c>
      <c r="G3838" t="str">
        <f>IF(OrdersTable[[#This Row],[Order Date]]=_xlfn.MINIFS(Order_Date, Customer_ID, OrdersTable[[#This Row],[Customer ID]]), "New", "Repeat")</f>
        <v>New</v>
      </c>
      <c r="H3838" t="s">
        <v>275</v>
      </c>
      <c r="I3838" t="str">
        <f>INDEX(State!B:B,MATCH(OrdersTable[[#This Row],[State]],State!A:A,0))</f>
        <v>AP</v>
      </c>
      <c r="J3838" t="str">
        <f>INDEX(State!C:C,MATCH(OrdersTable[[#This Row],[State Code]],State!B:B,0))</f>
        <v>South</v>
      </c>
      <c r="K3838" t="s">
        <v>276</v>
      </c>
      <c r="L3838" t="s">
        <v>23</v>
      </c>
      <c r="M3838" t="s">
        <v>73</v>
      </c>
      <c r="N3838" t="str">
        <f>INDEX(Products!B:B,MATCH(OrdersTable[[#This Row],[Product ID]],Products!A:A,0))</f>
        <v>Hydrating Face Wash</v>
      </c>
      <c r="O3838" t="str">
        <f>INDEX(Products!C:C,MATCH(OrdersTable[[#This Row],[Product ID]],Products!A:A,0))</f>
        <v>Skincare</v>
      </c>
      <c r="P3838">
        <v>2</v>
      </c>
      <c r="Q3838" s="5">
        <v>299</v>
      </c>
      <c r="R3838" s="74">
        <v>0</v>
      </c>
      <c r="S3838" s="75">
        <f>OrdersTable[[#This Row],[Quantity]]*OrdersTable[[#This Row],[Unit Price]]</f>
        <v>598</v>
      </c>
      <c r="T3838" s="5">
        <f>OrdersTable[[#This Row],[Gross Sale]]*OrdersTable[[#This Row],[Discount_Clean2]]</f>
        <v>0</v>
      </c>
      <c r="U3838" s="5">
        <f>OrdersTable[[#This Row],[Gross Sale]]-OrdersTable[[#This Row],[Discount Amount]]</f>
        <v>598</v>
      </c>
      <c r="V3838" s="77">
        <f>INDEX(Products!E:E,MATCH(OrdersTable[[#This Row],[Product ID]],Products!A:A,0))</f>
        <v>90</v>
      </c>
      <c r="W3838" s="77">
        <f>OrdersTable[[#This Row],[Quantity]]*OrdersTable[[#This Row],[Unit Cost]]</f>
        <v>180</v>
      </c>
      <c r="X3838" s="77">
        <f>'Dropdown Lists'!$I$2*(1+OrdersTable[[#This Row],[Returned]])</f>
        <v>60</v>
      </c>
      <c r="Y3838" s="76">
        <f>OrdersTable[[#This Row],[Net Revenue]]-OrdersTable[[#This Row],[COGS]]-OrdersTable[[#This Row],[Shipping Cost]]</f>
        <v>358</v>
      </c>
      <c r="Z3838" s="78">
        <f>IFERROR(OrdersTable[[#This Row],[Profit]]/OrdersTable[[#This Row],[Net Revenue]],0)</f>
        <v>0.59866220735785958</v>
      </c>
      <c r="AA3838" t="s">
        <v>18</v>
      </c>
      <c r="AB3838" s="79">
        <v>45914</v>
      </c>
      <c r="AC3838">
        <f>OrdersTable[[#This Row],[Delivery Date]]-OrdersTable[[#This Row],[Order Date]]</f>
        <v>3</v>
      </c>
      <c r="AD3838" t="str">
        <f>IF(OrdersTable[[#This Row],[Delivery Days]]&lt;=2, "Express (≤2d)", IF(OrdersTable[[#This Row],[Delivery Days]]&lt;=4, "Standard (3-4d)", "Delayed (5d+)"))</f>
        <v>Standard (3-4d)</v>
      </c>
      <c r="AE3838">
        <v>3</v>
      </c>
      <c r="AF3838">
        <v>0</v>
      </c>
    </row>
    <row r="3839" spans="1:32" ht="15" x14ac:dyDescent="0.35">
      <c r="A3839" t="s">
        <v>5225</v>
      </c>
      <c r="B3839" s="1">
        <v>45911</v>
      </c>
      <c r="C3839">
        <f>YEAR(OrdersTable[[#This Row],[Order Date]])</f>
        <v>2025</v>
      </c>
      <c r="D3839" s="2">
        <f>DATE(YEAR(OrdersTable[[#This Row],[Order Date]]),MONTH(OrdersTable[[#This Row],[Order Date]]),1)</f>
        <v>45901</v>
      </c>
      <c r="E3839">
        <f>MONTH(OrdersTable[[#This Row],[Order Date]])</f>
        <v>9</v>
      </c>
      <c r="F3839" t="s">
        <v>750</v>
      </c>
      <c r="G3839" t="str">
        <f>IF(OrdersTable[[#This Row],[Order Date]]=_xlfn.MINIFS(Order_Date, Customer_ID, OrdersTable[[#This Row],[Customer ID]]), "New", "Repeat")</f>
        <v>Repeat</v>
      </c>
      <c r="H3839" t="s">
        <v>275</v>
      </c>
      <c r="I3839" t="str">
        <f>INDEX(State!B:B,MATCH(OrdersTable[[#This Row],[State]],State!A:A,0))</f>
        <v>AP</v>
      </c>
      <c r="J3839" t="str">
        <f>INDEX(State!C:C,MATCH(OrdersTable[[#This Row],[State Code]],State!B:B,0))</f>
        <v>South</v>
      </c>
      <c r="K3839" t="s">
        <v>491</v>
      </c>
      <c r="L3839" t="s">
        <v>50</v>
      </c>
      <c r="M3839" t="s">
        <v>152</v>
      </c>
      <c r="N3839" t="str">
        <f>INDEX(Products!B:B,MATCH(OrdersTable[[#This Row],[Product ID]],Products!A:A,0))</f>
        <v>Green Tea (100 bags)</v>
      </c>
      <c r="O3839" t="str">
        <f>INDEX(Products!C:C,MATCH(OrdersTable[[#This Row],[Product ID]],Products!A:A,0))</f>
        <v>Wellness</v>
      </c>
      <c r="P3839">
        <v>2</v>
      </c>
      <c r="Q3839" s="5">
        <v>399</v>
      </c>
      <c r="R3839" s="74">
        <v>0.3</v>
      </c>
      <c r="S3839" s="75">
        <f>OrdersTable[[#This Row],[Quantity]]*OrdersTable[[#This Row],[Unit Price]]</f>
        <v>798</v>
      </c>
      <c r="T3839" s="5">
        <f>OrdersTable[[#This Row],[Gross Sale]]*OrdersTable[[#This Row],[Discount_Clean2]]</f>
        <v>239.39999999999998</v>
      </c>
      <c r="U3839" s="5">
        <f>OrdersTable[[#This Row],[Gross Sale]]-OrdersTable[[#This Row],[Discount Amount]]</f>
        <v>558.6</v>
      </c>
      <c r="V3839" s="77">
        <f>INDEX(Products!E:E,MATCH(OrdersTable[[#This Row],[Product ID]],Products!A:A,0))</f>
        <v>128</v>
      </c>
      <c r="W3839" s="77">
        <f>OrdersTable[[#This Row],[Quantity]]*OrdersTable[[#This Row],[Unit Cost]]</f>
        <v>256</v>
      </c>
      <c r="X3839" s="77">
        <f>'Dropdown Lists'!$I$2*(1+OrdersTable[[#This Row],[Returned]])</f>
        <v>60</v>
      </c>
      <c r="Y3839" s="76">
        <f>OrdersTable[[#This Row],[Net Revenue]]-OrdersTable[[#This Row],[COGS]]-OrdersTable[[#This Row],[Shipping Cost]]</f>
        <v>242.60000000000002</v>
      </c>
      <c r="Z3839" s="78">
        <f>IFERROR(OrdersTable[[#This Row],[Profit]]/OrdersTable[[#This Row],[Net Revenue]],0)</f>
        <v>0.43430003580379523</v>
      </c>
      <c r="AA3839" t="s">
        <v>3495</v>
      </c>
      <c r="AB3839" s="79">
        <v>45914</v>
      </c>
      <c r="AC3839">
        <f>OrdersTable[[#This Row],[Delivery Date]]-OrdersTable[[#This Row],[Order Date]]</f>
        <v>3</v>
      </c>
      <c r="AD3839" t="str">
        <f>IF(OrdersTable[[#This Row],[Delivery Days]]&lt;=2, "Express (≤2d)", IF(OrdersTable[[#This Row],[Delivery Days]]&lt;=4, "Standard (3-4d)", "Delayed (5d+)"))</f>
        <v>Standard (3-4d)</v>
      </c>
      <c r="AE3839">
        <v>5</v>
      </c>
      <c r="AF3839">
        <v>0</v>
      </c>
    </row>
    <row r="3840" spans="1:32" ht="15" x14ac:dyDescent="0.35">
      <c r="A3840" t="s">
        <v>1114</v>
      </c>
      <c r="B3840" s="1">
        <v>45912</v>
      </c>
      <c r="C3840">
        <f>YEAR(OrdersTable[[#This Row],[Order Date]])</f>
        <v>2025</v>
      </c>
      <c r="D3840" s="2">
        <f>DATE(YEAR(OrdersTable[[#This Row],[Order Date]]),MONTH(OrdersTable[[#This Row],[Order Date]]),1)</f>
        <v>45901</v>
      </c>
      <c r="E3840">
        <f>MONTH(OrdersTable[[#This Row],[Order Date]])</f>
        <v>9</v>
      </c>
      <c r="F3840" t="s">
        <v>1115</v>
      </c>
      <c r="G3840" t="str">
        <f>IF(OrdersTable[[#This Row],[Order Date]]=_xlfn.MINIFS(Order_Date, Customer_ID, OrdersTable[[#This Row],[Customer ID]]), "New", "Repeat")</f>
        <v>Repeat</v>
      </c>
      <c r="H3840" t="s">
        <v>128</v>
      </c>
      <c r="I3840" t="str">
        <f>INDEX(State!B:B,MATCH(OrdersTable[[#This Row],[State]],State!A:A,0))</f>
        <v>DL</v>
      </c>
      <c r="J3840" t="str">
        <f>INDEX(State!C:C,MATCH(OrdersTable[[#This Row],[State Code]],State!B:B,0))</f>
        <v>North</v>
      </c>
      <c r="K3840" t="s">
        <v>129</v>
      </c>
      <c r="L3840" t="s">
        <v>65</v>
      </c>
      <c r="M3840" t="s">
        <v>106</v>
      </c>
      <c r="N3840" t="str">
        <f>INDEX(Products!B:B,MATCH(OrdersTable[[#This Row],[Product ID]],Products!A:A,0))</f>
        <v>Keratin Hair Mask</v>
      </c>
      <c r="O3840" t="str">
        <f>INDEX(Products!C:C,MATCH(OrdersTable[[#This Row],[Product ID]],Products!A:A,0))</f>
        <v>Haircare</v>
      </c>
      <c r="P3840">
        <v>1</v>
      </c>
      <c r="Q3840" s="5">
        <v>549</v>
      </c>
      <c r="R3840" s="74">
        <v>0.15</v>
      </c>
      <c r="S3840" s="75">
        <f>OrdersTable[[#This Row],[Quantity]]*OrdersTable[[#This Row],[Unit Price]]</f>
        <v>549</v>
      </c>
      <c r="T3840" s="5">
        <f>OrdersTable[[#This Row],[Gross Sale]]*OrdersTable[[#This Row],[Discount_Clean2]]</f>
        <v>82.35</v>
      </c>
      <c r="U3840" s="5">
        <f>OrdersTable[[#This Row],[Gross Sale]]-OrdersTable[[#This Row],[Discount Amount]]</f>
        <v>466.65</v>
      </c>
      <c r="V3840" s="77">
        <f>INDEX(Products!E:E,MATCH(OrdersTable[[#This Row],[Product ID]],Products!A:A,0))</f>
        <v>170</v>
      </c>
      <c r="W3840" s="77">
        <f>OrdersTable[[#This Row],[Quantity]]*OrdersTable[[#This Row],[Unit Cost]]</f>
        <v>170</v>
      </c>
      <c r="X3840" s="77">
        <f>'Dropdown Lists'!$I$2*(1+OrdersTable[[#This Row],[Returned]])</f>
        <v>120</v>
      </c>
      <c r="Y3840" s="76">
        <f>OrdersTable[[#This Row],[Net Revenue]]-OrdersTable[[#This Row],[COGS]]-OrdersTable[[#This Row],[Shipping Cost]]</f>
        <v>176.64999999999998</v>
      </c>
      <c r="Z3840" s="78">
        <f>IFERROR(OrdersTable[[#This Row],[Profit]]/OrdersTable[[#This Row],[Net Revenue]],0)</f>
        <v>0.3785492339012107</v>
      </c>
      <c r="AA3840" t="s">
        <v>18</v>
      </c>
      <c r="AB3840" s="79">
        <v>45915</v>
      </c>
      <c r="AC3840">
        <f>OrdersTable[[#This Row],[Delivery Date]]-OrdersTable[[#This Row],[Order Date]]</f>
        <v>3</v>
      </c>
      <c r="AD3840" t="str">
        <f>IF(OrdersTable[[#This Row],[Delivery Days]]&lt;=2, "Express (≤2d)", IF(OrdersTable[[#This Row],[Delivery Days]]&lt;=4, "Standard (3-4d)", "Delayed (5d+)"))</f>
        <v>Standard (3-4d)</v>
      </c>
      <c r="AE3840">
        <v>4</v>
      </c>
      <c r="AF3840">
        <v>1</v>
      </c>
    </row>
    <row r="3841" spans="1:32" ht="15" x14ac:dyDescent="0.35">
      <c r="A3841" t="s">
        <v>367</v>
      </c>
      <c r="B3841" s="1">
        <v>45912</v>
      </c>
      <c r="C3841">
        <f>YEAR(OrdersTable[[#This Row],[Order Date]])</f>
        <v>2025</v>
      </c>
      <c r="D3841" s="2">
        <f>DATE(YEAR(OrdersTable[[#This Row],[Order Date]]),MONTH(OrdersTable[[#This Row],[Order Date]]),1)</f>
        <v>45901</v>
      </c>
      <c r="E3841">
        <f>MONTH(OrdersTable[[#This Row],[Order Date]])</f>
        <v>9</v>
      </c>
      <c r="F3841" t="s">
        <v>368</v>
      </c>
      <c r="G3841" t="str">
        <f>IF(OrdersTable[[#This Row],[Order Date]]=_xlfn.MINIFS(Order_Date, Customer_ID, OrdersTable[[#This Row],[Customer ID]]), "New", "Repeat")</f>
        <v>New</v>
      </c>
      <c r="H3841" t="s">
        <v>43</v>
      </c>
      <c r="I3841" t="str">
        <f>INDEX(State!B:B,MATCH(OrdersTable[[#This Row],[State]],State!A:A,0))</f>
        <v>MP</v>
      </c>
      <c r="J3841" t="str">
        <f>INDEX(State!C:C,MATCH(OrdersTable[[#This Row],[State Code]],State!B:B,0))</f>
        <v>West</v>
      </c>
      <c r="K3841" t="s">
        <v>44</v>
      </c>
      <c r="L3841" t="s">
        <v>65</v>
      </c>
      <c r="M3841" t="s">
        <v>84</v>
      </c>
      <c r="N3841" t="str">
        <f>INDEX(Products!B:B,MATCH(OrdersTable[[#This Row],[Product ID]],Products!A:A,0))</f>
        <v>Cotton Bedsheet</v>
      </c>
      <c r="O3841" t="str">
        <f>INDEX(Products!C:C,MATCH(OrdersTable[[#This Row],[Product ID]],Products!A:A,0))</f>
        <v>Home &amp; Kitchen</v>
      </c>
      <c r="P3841">
        <v>1</v>
      </c>
      <c r="Q3841" s="5">
        <v>1299</v>
      </c>
      <c r="R3841" s="74">
        <v>0</v>
      </c>
      <c r="S3841" s="75">
        <f>OrdersTable[[#This Row],[Quantity]]*OrdersTable[[#This Row],[Unit Price]]</f>
        <v>1299</v>
      </c>
      <c r="T3841" s="5">
        <f>OrdersTable[[#This Row],[Gross Sale]]*OrdersTable[[#This Row],[Discount_Clean2]]</f>
        <v>0</v>
      </c>
      <c r="U3841" s="5">
        <f>OrdersTable[[#This Row],[Gross Sale]]-OrdersTable[[#This Row],[Discount Amount]]</f>
        <v>1299</v>
      </c>
      <c r="V3841" s="77">
        <f>INDEX(Products!E:E,MATCH(OrdersTable[[#This Row],[Product ID]],Products!A:A,0))</f>
        <v>585</v>
      </c>
      <c r="W3841" s="77">
        <f>OrdersTable[[#This Row],[Quantity]]*OrdersTable[[#This Row],[Unit Cost]]</f>
        <v>585</v>
      </c>
      <c r="X3841" s="77">
        <f>'Dropdown Lists'!$I$2*(1+OrdersTable[[#This Row],[Returned]])</f>
        <v>60</v>
      </c>
      <c r="Y3841" s="76">
        <f>OrdersTable[[#This Row],[Net Revenue]]-OrdersTable[[#This Row],[COGS]]-OrdersTable[[#This Row],[Shipping Cost]]</f>
        <v>654</v>
      </c>
      <c r="Z3841" s="78">
        <f>IFERROR(OrdersTable[[#This Row],[Profit]]/OrdersTable[[#This Row],[Net Revenue]],0)</f>
        <v>0.50346420323325636</v>
      </c>
      <c r="AA3841" t="s">
        <v>18</v>
      </c>
      <c r="AB3841" s="79">
        <v>45914</v>
      </c>
      <c r="AC3841">
        <f>OrdersTable[[#This Row],[Delivery Date]]-OrdersTable[[#This Row],[Order Date]]</f>
        <v>2</v>
      </c>
      <c r="AD3841" t="str">
        <f>IF(OrdersTable[[#This Row],[Delivery Days]]&lt;=2, "Express (≤2d)", IF(OrdersTable[[#This Row],[Delivery Days]]&lt;=4, "Standard (3-4d)", "Delayed (5d+)"))</f>
        <v>Express (≤2d)</v>
      </c>
      <c r="AE3841">
        <v>4</v>
      </c>
      <c r="AF3841">
        <v>0</v>
      </c>
    </row>
    <row r="3842" spans="1:32" ht="15" x14ac:dyDescent="0.35">
      <c r="A3842" t="s">
        <v>4048</v>
      </c>
      <c r="B3842" s="1">
        <v>45912</v>
      </c>
      <c r="C3842">
        <f>YEAR(OrdersTable[[#This Row],[Order Date]])</f>
        <v>2025</v>
      </c>
      <c r="D3842" s="2">
        <f>DATE(YEAR(OrdersTable[[#This Row],[Order Date]]),MONTH(OrdersTable[[#This Row],[Order Date]]),1)</f>
        <v>45901</v>
      </c>
      <c r="E3842">
        <f>MONTH(OrdersTable[[#This Row],[Order Date]])</f>
        <v>9</v>
      </c>
      <c r="F3842" t="s">
        <v>4049</v>
      </c>
      <c r="G3842" t="str">
        <f>IF(OrdersTable[[#This Row],[Order Date]]=_xlfn.MINIFS(Order_Date, Customer_ID, OrdersTable[[#This Row],[Customer ID]]), "New", "Repeat")</f>
        <v>Repeat</v>
      </c>
      <c r="H3842" t="s">
        <v>167</v>
      </c>
      <c r="I3842" t="str">
        <f>INDEX(State!B:B,MATCH(OrdersTable[[#This Row],[State]],State!A:A,0))</f>
        <v>KA</v>
      </c>
      <c r="J3842" t="str">
        <f>INDEX(State!C:C,MATCH(OrdersTable[[#This Row],[State Code]],State!B:B,0))</f>
        <v>South</v>
      </c>
      <c r="K3842" t="s">
        <v>168</v>
      </c>
      <c r="L3842" t="s">
        <v>23</v>
      </c>
      <c r="M3842" t="s">
        <v>148</v>
      </c>
      <c r="N3842" t="str">
        <f>INDEX(Products!B:B,MATCH(OrdersTable[[#This Row],[Product ID]],Products!A:A,0))</f>
        <v>Smartwatch Strap</v>
      </c>
      <c r="O3842" t="str">
        <f>INDEX(Products!C:C,MATCH(OrdersTable[[#This Row],[Product ID]],Products!A:A,0))</f>
        <v>Electronics</v>
      </c>
      <c r="P3842">
        <v>1</v>
      </c>
      <c r="Q3842" s="5">
        <v>499</v>
      </c>
      <c r="R3842" s="74">
        <v>0.05</v>
      </c>
      <c r="S3842" s="75">
        <f>OrdersTable[[#This Row],[Quantity]]*OrdersTable[[#This Row],[Unit Price]]</f>
        <v>499</v>
      </c>
      <c r="T3842" s="5">
        <f>OrdersTable[[#This Row],[Gross Sale]]*OrdersTable[[#This Row],[Discount_Clean2]]</f>
        <v>24.950000000000003</v>
      </c>
      <c r="U3842" s="5">
        <f>OrdersTable[[#This Row],[Gross Sale]]-OrdersTable[[#This Row],[Discount Amount]]</f>
        <v>474.05</v>
      </c>
      <c r="V3842" s="77">
        <f>INDEX(Products!E:E,MATCH(OrdersTable[[#This Row],[Product ID]],Products!A:A,0))</f>
        <v>200</v>
      </c>
      <c r="W3842" s="77">
        <f>OrdersTable[[#This Row],[Quantity]]*OrdersTable[[#This Row],[Unit Cost]]</f>
        <v>200</v>
      </c>
      <c r="X3842" s="77">
        <f>'Dropdown Lists'!$I$2*(1+OrdersTable[[#This Row],[Returned]])</f>
        <v>60</v>
      </c>
      <c r="Y3842" s="76">
        <f>OrdersTable[[#This Row],[Net Revenue]]-OrdersTable[[#This Row],[COGS]]-OrdersTable[[#This Row],[Shipping Cost]]</f>
        <v>214.05</v>
      </c>
      <c r="Z3842" s="78">
        <f>IFERROR(OrdersTable[[#This Row],[Profit]]/OrdersTable[[#This Row],[Net Revenue]],0)</f>
        <v>0.45153464824385614</v>
      </c>
      <c r="AA3842" t="s">
        <v>3495</v>
      </c>
      <c r="AB3842" s="79">
        <v>45914</v>
      </c>
      <c r="AC3842">
        <f>OrdersTable[[#This Row],[Delivery Date]]-OrdersTable[[#This Row],[Order Date]]</f>
        <v>2</v>
      </c>
      <c r="AD3842" t="str">
        <f>IF(OrdersTable[[#This Row],[Delivery Days]]&lt;=2, "Express (≤2d)", IF(OrdersTable[[#This Row],[Delivery Days]]&lt;=4, "Standard (3-4d)", "Delayed (5d+)"))</f>
        <v>Express (≤2d)</v>
      </c>
      <c r="AE3842">
        <v>5</v>
      </c>
      <c r="AF3842">
        <v>0</v>
      </c>
    </row>
    <row r="3843" spans="1:32" ht="15" x14ac:dyDescent="0.35">
      <c r="A3843" t="s">
        <v>5021</v>
      </c>
      <c r="B3843" s="1">
        <v>45913</v>
      </c>
      <c r="C3843">
        <f>YEAR(OrdersTable[[#This Row],[Order Date]])</f>
        <v>2025</v>
      </c>
      <c r="D3843" s="2">
        <f>DATE(YEAR(OrdersTable[[#This Row],[Order Date]]),MONTH(OrdersTable[[#This Row],[Order Date]]),1)</f>
        <v>45901</v>
      </c>
      <c r="E3843">
        <f>MONTH(OrdersTable[[#This Row],[Order Date]])</f>
        <v>9</v>
      </c>
      <c r="F3843" t="s">
        <v>5022</v>
      </c>
      <c r="G3843" t="str">
        <f>IF(OrdersTable[[#This Row],[Order Date]]=_xlfn.MINIFS(Order_Date, Customer_ID, OrdersTable[[#This Row],[Customer ID]]), "New", "Repeat")</f>
        <v>New</v>
      </c>
      <c r="H3843" t="s">
        <v>210</v>
      </c>
      <c r="I3843" t="str">
        <f>INDEX(State!B:B,MATCH(OrdersTable[[#This Row],[State]],State!A:A,0))</f>
        <v>JK</v>
      </c>
      <c r="J3843" t="str">
        <f>INDEX(State!C:C,MATCH(OrdersTable[[#This Row],[State Code]],State!B:B,0))</f>
        <v>North</v>
      </c>
      <c r="K3843" t="s">
        <v>415</v>
      </c>
      <c r="L3843" t="s">
        <v>65</v>
      </c>
      <c r="M3843" t="s">
        <v>423</v>
      </c>
      <c r="N3843" t="str">
        <f>INDEX(Products!B:B,MATCH(OrdersTable[[#This Row],[Product ID]],Products!A:A,0))</f>
        <v>Power Bank 20000mAh</v>
      </c>
      <c r="O3843" t="str">
        <f>INDEX(Products!C:C,MATCH(OrdersTable[[#This Row],[Product ID]],Products!A:A,0))</f>
        <v>Electronics</v>
      </c>
      <c r="P3843">
        <v>2</v>
      </c>
      <c r="Q3843" s="5">
        <v>1799</v>
      </c>
      <c r="R3843" s="74">
        <v>0.3</v>
      </c>
      <c r="S3843" s="75">
        <f>OrdersTable[[#This Row],[Quantity]]*OrdersTable[[#This Row],[Unit Price]]</f>
        <v>3598</v>
      </c>
      <c r="T3843" s="5">
        <f>OrdersTable[[#This Row],[Gross Sale]]*OrdersTable[[#This Row],[Discount_Clean2]]</f>
        <v>1079.3999999999999</v>
      </c>
      <c r="U3843" s="5">
        <f>OrdersTable[[#This Row],[Gross Sale]]-OrdersTable[[#This Row],[Discount Amount]]</f>
        <v>2518.6000000000004</v>
      </c>
      <c r="V3843" s="77">
        <f>INDEX(Products!E:E,MATCH(OrdersTable[[#This Row],[Product ID]],Products!A:A,0))</f>
        <v>1079</v>
      </c>
      <c r="W3843" s="77">
        <f>OrdersTable[[#This Row],[Quantity]]*OrdersTable[[#This Row],[Unit Cost]]</f>
        <v>2158</v>
      </c>
      <c r="X3843" s="77">
        <f>'Dropdown Lists'!$I$2*(1+OrdersTable[[#This Row],[Returned]])</f>
        <v>60</v>
      </c>
      <c r="Y3843" s="76">
        <f>OrdersTable[[#This Row],[Net Revenue]]-OrdersTable[[#This Row],[COGS]]-OrdersTable[[#This Row],[Shipping Cost]]</f>
        <v>300.60000000000036</v>
      </c>
      <c r="Z3843" s="78">
        <f>IFERROR(OrdersTable[[#This Row],[Profit]]/OrdersTable[[#This Row],[Net Revenue]],0)</f>
        <v>0.11935202096402776</v>
      </c>
      <c r="AA3843" t="s">
        <v>4074</v>
      </c>
      <c r="AB3843" s="79">
        <v>45919</v>
      </c>
      <c r="AC3843">
        <f>OrdersTable[[#This Row],[Delivery Date]]-OrdersTable[[#This Row],[Order Date]]</f>
        <v>6</v>
      </c>
      <c r="AD3843" t="str">
        <f>IF(OrdersTable[[#This Row],[Delivery Days]]&lt;=2, "Express (≤2d)", IF(OrdersTable[[#This Row],[Delivery Days]]&lt;=4, "Standard (3-4d)", "Delayed (5d+)"))</f>
        <v>Delayed (5d+)</v>
      </c>
      <c r="AF3843">
        <v>0</v>
      </c>
    </row>
    <row r="3844" spans="1:32" ht="15" x14ac:dyDescent="0.35">
      <c r="A3844" t="s">
        <v>6200</v>
      </c>
      <c r="B3844" s="1">
        <v>45913</v>
      </c>
      <c r="C3844">
        <f>YEAR(OrdersTable[[#This Row],[Order Date]])</f>
        <v>2025</v>
      </c>
      <c r="D3844" s="2">
        <f>DATE(YEAR(OrdersTable[[#This Row],[Order Date]]),MONTH(OrdersTable[[#This Row],[Order Date]]),1)</f>
        <v>45901</v>
      </c>
      <c r="E3844">
        <f>MONTH(OrdersTable[[#This Row],[Order Date]])</f>
        <v>9</v>
      </c>
      <c r="F3844" t="s">
        <v>6201</v>
      </c>
      <c r="G3844" t="str">
        <f>IF(OrdersTable[[#This Row],[Order Date]]=_xlfn.MINIFS(Order_Date, Customer_ID, OrdersTable[[#This Row],[Customer ID]]), "New", "Repeat")</f>
        <v>Repeat</v>
      </c>
      <c r="H3844" t="s">
        <v>158</v>
      </c>
      <c r="I3844" t="str">
        <f>INDEX(State!B:B,MATCH(OrdersTable[[#This Row],[State]],State!A:A,0))</f>
        <v>HP</v>
      </c>
      <c r="J3844" t="str">
        <f>INDEX(State!C:C,MATCH(OrdersTable[[#This Row],[State Code]],State!B:B,0))</f>
        <v>North</v>
      </c>
      <c r="K3844" t="s">
        <v>159</v>
      </c>
      <c r="L3844" t="s">
        <v>50</v>
      </c>
      <c r="M3844" t="s">
        <v>106</v>
      </c>
      <c r="N3844" t="str">
        <f>INDEX(Products!B:B,MATCH(OrdersTable[[#This Row],[Product ID]],Products!A:A,0))</f>
        <v>Keratin Hair Mask</v>
      </c>
      <c r="O3844" t="str">
        <f>INDEX(Products!C:C,MATCH(OrdersTable[[#This Row],[Product ID]],Products!A:A,0))</f>
        <v>Haircare</v>
      </c>
      <c r="P3844">
        <v>2</v>
      </c>
      <c r="Q3844" s="5">
        <v>549</v>
      </c>
      <c r="R3844" s="74">
        <v>0.1</v>
      </c>
      <c r="S3844" s="75">
        <f>OrdersTable[[#This Row],[Quantity]]*OrdersTable[[#This Row],[Unit Price]]</f>
        <v>1098</v>
      </c>
      <c r="T3844" s="5">
        <f>OrdersTable[[#This Row],[Gross Sale]]*OrdersTable[[#This Row],[Discount_Clean2]]</f>
        <v>109.80000000000001</v>
      </c>
      <c r="U3844" s="5">
        <f>OrdersTable[[#This Row],[Gross Sale]]-OrdersTable[[#This Row],[Discount Amount]]</f>
        <v>988.2</v>
      </c>
      <c r="V3844" s="77">
        <f>INDEX(Products!E:E,MATCH(OrdersTable[[#This Row],[Product ID]],Products!A:A,0))</f>
        <v>170</v>
      </c>
      <c r="W3844" s="77">
        <f>OrdersTable[[#This Row],[Quantity]]*OrdersTable[[#This Row],[Unit Cost]]</f>
        <v>340</v>
      </c>
      <c r="X3844" s="77">
        <f>'Dropdown Lists'!$I$2*(1+OrdersTable[[#This Row],[Returned]])</f>
        <v>60</v>
      </c>
      <c r="Y3844" s="76">
        <f>OrdersTable[[#This Row],[Net Revenue]]-OrdersTable[[#This Row],[COGS]]-OrdersTable[[#This Row],[Shipping Cost]]</f>
        <v>588.20000000000005</v>
      </c>
      <c r="Z3844" s="78">
        <f>IFERROR(OrdersTable[[#This Row],[Profit]]/OrdersTable[[#This Row],[Net Revenue]],0)</f>
        <v>0.59522363893948593</v>
      </c>
      <c r="AA3844" t="s">
        <v>18</v>
      </c>
      <c r="AB3844" s="79">
        <v>45919</v>
      </c>
      <c r="AC3844">
        <f>OrdersTable[[#This Row],[Delivery Date]]-OrdersTable[[#This Row],[Order Date]]</f>
        <v>6</v>
      </c>
      <c r="AD3844" t="str">
        <f>IF(OrdersTable[[#This Row],[Delivery Days]]&lt;=2, "Express (≤2d)", IF(OrdersTable[[#This Row],[Delivery Days]]&lt;=4, "Standard (3-4d)", "Delayed (5d+)"))</f>
        <v>Delayed (5d+)</v>
      </c>
      <c r="AE3844">
        <v>4</v>
      </c>
      <c r="AF3844">
        <v>0</v>
      </c>
    </row>
    <row r="3845" spans="1:32" ht="15" x14ac:dyDescent="0.35">
      <c r="A3845" t="s">
        <v>2453</v>
      </c>
      <c r="B3845" s="1">
        <v>45913</v>
      </c>
      <c r="C3845">
        <f>YEAR(OrdersTable[[#This Row],[Order Date]])</f>
        <v>2025</v>
      </c>
      <c r="D3845" s="2">
        <f>DATE(YEAR(OrdersTable[[#This Row],[Order Date]]),MONTH(OrdersTable[[#This Row],[Order Date]]),1)</f>
        <v>45901</v>
      </c>
      <c r="E3845">
        <f>MONTH(OrdersTable[[#This Row],[Order Date]])</f>
        <v>9</v>
      </c>
      <c r="F3845" t="s">
        <v>1033</v>
      </c>
      <c r="G3845" t="str">
        <f>IF(OrdersTable[[#This Row],[Order Date]]=_xlfn.MINIFS(Order_Date, Customer_ID, OrdersTable[[#This Row],[Customer ID]]), "New", "Repeat")</f>
        <v>Repeat</v>
      </c>
      <c r="H3845" t="s">
        <v>48</v>
      </c>
      <c r="I3845" t="str">
        <f>INDEX(State!B:B,MATCH(OrdersTable[[#This Row],[State]],State!A:A,0))</f>
        <v>HR</v>
      </c>
      <c r="J3845" t="str">
        <f>INDEX(State!C:C,MATCH(OrdersTable[[#This Row],[State Code]],State!B:B,0))</f>
        <v>North</v>
      </c>
      <c r="K3845" t="s">
        <v>151</v>
      </c>
      <c r="L3845" t="s">
        <v>39</v>
      </c>
      <c r="M3845" t="s">
        <v>34</v>
      </c>
      <c r="N3845" t="str">
        <f>INDEX(Products!B:B,MATCH(OrdersTable[[#This Row],[Product ID]],Products!A:A,0))</f>
        <v>Flip Flops</v>
      </c>
      <c r="O3845" t="str">
        <f>INDEX(Products!C:C,MATCH(OrdersTable[[#This Row],[Product ID]],Products!A:A,0))</f>
        <v>Footwear</v>
      </c>
      <c r="P3845">
        <v>1</v>
      </c>
      <c r="Q3845" s="5">
        <v>399</v>
      </c>
      <c r="R3845" s="74">
        <v>0</v>
      </c>
      <c r="S3845" s="75">
        <f>OrdersTable[[#This Row],[Quantity]]*OrdersTable[[#This Row],[Unit Price]]</f>
        <v>399</v>
      </c>
      <c r="T3845" s="5">
        <f>OrdersTable[[#This Row],[Gross Sale]]*OrdersTable[[#This Row],[Discount_Clean2]]</f>
        <v>0</v>
      </c>
      <c r="U3845" s="5">
        <f>OrdersTable[[#This Row],[Gross Sale]]-OrdersTable[[#This Row],[Discount Amount]]</f>
        <v>399</v>
      </c>
      <c r="V3845" s="77">
        <f>INDEX(Products!E:E,MATCH(OrdersTable[[#This Row],[Product ID]],Products!A:A,0))</f>
        <v>152</v>
      </c>
      <c r="W3845" s="77">
        <f>OrdersTable[[#This Row],[Quantity]]*OrdersTable[[#This Row],[Unit Cost]]</f>
        <v>152</v>
      </c>
      <c r="X3845" s="77">
        <f>'Dropdown Lists'!$I$2*(1+OrdersTable[[#This Row],[Returned]])</f>
        <v>60</v>
      </c>
      <c r="Y3845" s="76">
        <f>OrdersTable[[#This Row],[Net Revenue]]-OrdersTable[[#This Row],[COGS]]-OrdersTable[[#This Row],[Shipping Cost]]</f>
        <v>187</v>
      </c>
      <c r="Z3845" s="78">
        <f>IFERROR(OrdersTable[[#This Row],[Profit]]/OrdersTable[[#This Row],[Net Revenue]],0)</f>
        <v>0.46867167919799496</v>
      </c>
      <c r="AA3845" t="s">
        <v>18</v>
      </c>
      <c r="AB3845" s="79">
        <v>45916</v>
      </c>
      <c r="AC3845">
        <f>OrdersTable[[#This Row],[Delivery Date]]-OrdersTable[[#This Row],[Order Date]]</f>
        <v>3</v>
      </c>
      <c r="AD3845" t="str">
        <f>IF(OrdersTable[[#This Row],[Delivery Days]]&lt;=2, "Express (≤2d)", IF(OrdersTable[[#This Row],[Delivery Days]]&lt;=4, "Standard (3-4d)", "Delayed (5d+)"))</f>
        <v>Standard (3-4d)</v>
      </c>
      <c r="AE3845">
        <v>5</v>
      </c>
      <c r="AF3845">
        <v>0</v>
      </c>
    </row>
    <row r="3846" spans="1:32" ht="15" x14ac:dyDescent="0.35">
      <c r="A3846" t="s">
        <v>6914</v>
      </c>
      <c r="B3846" s="1">
        <v>45913</v>
      </c>
      <c r="C3846">
        <f>YEAR(OrdersTable[[#This Row],[Order Date]])</f>
        <v>2025</v>
      </c>
      <c r="D3846" s="2">
        <f>DATE(YEAR(OrdersTable[[#This Row],[Order Date]]),MONTH(OrdersTable[[#This Row],[Order Date]]),1)</f>
        <v>45901</v>
      </c>
      <c r="E3846">
        <f>MONTH(OrdersTable[[#This Row],[Order Date]])</f>
        <v>9</v>
      </c>
      <c r="F3846" t="s">
        <v>2894</v>
      </c>
      <c r="G3846" t="str">
        <f>IF(OrdersTable[[#This Row],[Order Date]]=_xlfn.MINIFS(Order_Date, Customer_ID, OrdersTable[[#This Row],[Customer ID]]), "New", "Repeat")</f>
        <v>Repeat</v>
      </c>
      <c r="H3846" t="s">
        <v>128</v>
      </c>
      <c r="I3846" t="str">
        <f>INDEX(State!B:B,MATCH(OrdersTable[[#This Row],[State]],State!A:A,0))</f>
        <v>DL</v>
      </c>
      <c r="J3846" t="str">
        <f>INDEX(State!C:C,MATCH(OrdersTable[[#This Row],[State Code]],State!B:B,0))</f>
        <v>North</v>
      </c>
      <c r="K3846" t="s">
        <v>129</v>
      </c>
      <c r="L3846" t="s">
        <v>23</v>
      </c>
      <c r="M3846" t="s">
        <v>565</v>
      </c>
      <c r="N3846" t="str">
        <f>INDEX(Products!B:B,MATCH(OrdersTable[[#This Row],[Product ID]],Products!A:A,0))</f>
        <v>Ceramic Dinner Set</v>
      </c>
      <c r="O3846" t="str">
        <f>INDEX(Products!C:C,MATCH(OrdersTable[[#This Row],[Product ID]],Products!A:A,0))</f>
        <v>Home &amp; Kitchen</v>
      </c>
      <c r="P3846">
        <v>3</v>
      </c>
      <c r="Q3846" s="5">
        <v>2499</v>
      </c>
      <c r="R3846" s="74">
        <v>0.35</v>
      </c>
      <c r="S3846" s="75">
        <f>OrdersTable[[#This Row],[Quantity]]*OrdersTable[[#This Row],[Unit Price]]</f>
        <v>7497</v>
      </c>
      <c r="T3846" s="5">
        <f>OrdersTable[[#This Row],[Gross Sale]]*OrdersTable[[#This Row],[Discount_Clean2]]</f>
        <v>2623.95</v>
      </c>
      <c r="U3846" s="5">
        <f>OrdersTable[[#This Row],[Gross Sale]]-OrdersTable[[#This Row],[Discount Amount]]</f>
        <v>4873.05</v>
      </c>
      <c r="V3846" s="77">
        <f>INDEX(Products!E:E,MATCH(OrdersTable[[#This Row],[Product ID]],Products!A:A,0))</f>
        <v>1250</v>
      </c>
      <c r="W3846" s="77">
        <f>OrdersTable[[#This Row],[Quantity]]*OrdersTable[[#This Row],[Unit Cost]]</f>
        <v>3750</v>
      </c>
      <c r="X3846" s="77">
        <f>'Dropdown Lists'!$I$2*(1+OrdersTable[[#This Row],[Returned]])</f>
        <v>60</v>
      </c>
      <c r="Y3846" s="76">
        <f>OrdersTable[[#This Row],[Net Revenue]]-OrdersTable[[#This Row],[COGS]]-OrdersTable[[#This Row],[Shipping Cost]]</f>
        <v>1063.0500000000002</v>
      </c>
      <c r="Z3846" s="78">
        <f>IFERROR(OrdersTable[[#This Row],[Profit]]/OrdersTable[[#This Row],[Net Revenue]],0)</f>
        <v>0.21814879798073078</v>
      </c>
      <c r="AA3846" t="s">
        <v>4074</v>
      </c>
      <c r="AB3846" s="79">
        <v>45914</v>
      </c>
      <c r="AC3846">
        <f>OrdersTable[[#This Row],[Delivery Date]]-OrdersTable[[#This Row],[Order Date]]</f>
        <v>1</v>
      </c>
      <c r="AD3846" t="str">
        <f>IF(OrdersTable[[#This Row],[Delivery Days]]&lt;=2, "Express (≤2d)", IF(OrdersTable[[#This Row],[Delivery Days]]&lt;=4, "Standard (3-4d)", "Delayed (5d+)"))</f>
        <v>Express (≤2d)</v>
      </c>
      <c r="AE3846">
        <v>4</v>
      </c>
      <c r="AF3846">
        <v>0</v>
      </c>
    </row>
    <row r="3847" spans="1:32" ht="15" x14ac:dyDescent="0.35">
      <c r="A3847" t="s">
        <v>1440</v>
      </c>
      <c r="B3847" s="1">
        <v>45913</v>
      </c>
      <c r="C3847">
        <f>YEAR(OrdersTable[[#This Row],[Order Date]])</f>
        <v>2025</v>
      </c>
      <c r="D3847" s="2">
        <f>DATE(YEAR(OrdersTable[[#This Row],[Order Date]]),MONTH(OrdersTable[[#This Row],[Order Date]]),1)</f>
        <v>45901</v>
      </c>
      <c r="E3847">
        <f>MONTH(OrdersTable[[#This Row],[Order Date]])</f>
        <v>9</v>
      </c>
      <c r="F3847" t="s">
        <v>1441</v>
      </c>
      <c r="G3847" t="str">
        <f>IF(OrdersTable[[#This Row],[Order Date]]=_xlfn.MINIFS(Order_Date, Customer_ID, OrdersTable[[#This Row],[Customer ID]]), "New", "Repeat")</f>
        <v>Repeat</v>
      </c>
      <c r="H3847" t="s">
        <v>128</v>
      </c>
      <c r="I3847" t="str">
        <f>INDEX(State!B:B,MATCH(OrdersTable[[#This Row],[State]],State!A:A,0))</f>
        <v>DL</v>
      </c>
      <c r="J3847" t="str">
        <f>INDEX(State!C:C,MATCH(OrdersTable[[#This Row],[State Code]],State!B:B,0))</f>
        <v>North</v>
      </c>
      <c r="K3847" t="s">
        <v>129</v>
      </c>
      <c r="L3847" t="s">
        <v>23</v>
      </c>
      <c r="M3847" t="s">
        <v>66</v>
      </c>
      <c r="N3847" t="str">
        <f>INDEX(Products!B:B,MATCH(OrdersTable[[#This Row],[Product ID]],Products!A:A,0))</f>
        <v>Sunscreen SPF 50</v>
      </c>
      <c r="O3847" t="str">
        <f>INDEX(Products!C:C,MATCH(OrdersTable[[#This Row],[Product ID]],Products!A:A,0))</f>
        <v>Skincare</v>
      </c>
      <c r="P3847">
        <v>1</v>
      </c>
      <c r="Q3847" s="5">
        <v>449</v>
      </c>
      <c r="R3847" s="74">
        <v>0</v>
      </c>
      <c r="S3847" s="75">
        <f>OrdersTable[[#This Row],[Quantity]]*OrdersTable[[#This Row],[Unit Price]]</f>
        <v>449</v>
      </c>
      <c r="T3847" s="5">
        <f>OrdersTable[[#This Row],[Gross Sale]]*OrdersTable[[#This Row],[Discount_Clean2]]</f>
        <v>0</v>
      </c>
      <c r="U3847" s="5">
        <f>OrdersTable[[#This Row],[Gross Sale]]-OrdersTable[[#This Row],[Discount Amount]]</f>
        <v>449</v>
      </c>
      <c r="V3847" s="77">
        <f>INDEX(Products!E:E,MATCH(OrdersTable[[#This Row],[Product ID]],Products!A:A,0))</f>
        <v>144</v>
      </c>
      <c r="W3847" s="77">
        <f>OrdersTable[[#This Row],[Quantity]]*OrdersTable[[#This Row],[Unit Cost]]</f>
        <v>144</v>
      </c>
      <c r="X3847" s="77">
        <f>'Dropdown Lists'!$I$2*(1+OrdersTable[[#This Row],[Returned]])</f>
        <v>60</v>
      </c>
      <c r="Y3847" s="76">
        <f>OrdersTable[[#This Row],[Net Revenue]]-OrdersTable[[#This Row],[COGS]]-OrdersTable[[#This Row],[Shipping Cost]]</f>
        <v>245</v>
      </c>
      <c r="Z3847" s="78">
        <f>IFERROR(OrdersTable[[#This Row],[Profit]]/OrdersTable[[#This Row],[Net Revenue]],0)</f>
        <v>0.54565701559020041</v>
      </c>
      <c r="AA3847" t="s">
        <v>18</v>
      </c>
      <c r="AB3847" s="79">
        <v>45914</v>
      </c>
      <c r="AC3847">
        <f>OrdersTable[[#This Row],[Delivery Date]]-OrdersTable[[#This Row],[Order Date]]</f>
        <v>1</v>
      </c>
      <c r="AD3847" t="str">
        <f>IF(OrdersTable[[#This Row],[Delivery Days]]&lt;=2, "Express (≤2d)", IF(OrdersTable[[#This Row],[Delivery Days]]&lt;=4, "Standard (3-4d)", "Delayed (5d+)"))</f>
        <v>Express (≤2d)</v>
      </c>
      <c r="AF3847">
        <v>0</v>
      </c>
    </row>
    <row r="3848" spans="1:32" ht="15" x14ac:dyDescent="0.35">
      <c r="A3848" t="s">
        <v>4722</v>
      </c>
      <c r="B3848" s="1">
        <v>45913</v>
      </c>
      <c r="C3848">
        <f>YEAR(OrdersTable[[#This Row],[Order Date]])</f>
        <v>2025</v>
      </c>
      <c r="D3848" s="2">
        <f>DATE(YEAR(OrdersTable[[#This Row],[Order Date]]),MONTH(OrdersTable[[#This Row],[Order Date]]),1)</f>
        <v>45901</v>
      </c>
      <c r="E3848">
        <f>MONTH(OrdersTable[[#This Row],[Order Date]])</f>
        <v>9</v>
      </c>
      <c r="F3848" t="s">
        <v>1374</v>
      </c>
      <c r="G3848" t="str">
        <f>IF(OrdersTable[[#This Row],[Order Date]]=_xlfn.MINIFS(Order_Date, Customer_ID, OrdersTable[[#This Row],[Customer ID]]), "New", "Repeat")</f>
        <v>Repeat</v>
      </c>
      <c r="H3848" t="s">
        <v>128</v>
      </c>
      <c r="I3848" t="str">
        <f>INDEX(State!B:B,MATCH(OrdersTable[[#This Row],[State]],State!A:A,0))</f>
        <v>DL</v>
      </c>
      <c r="J3848" t="str">
        <f>INDEX(State!C:C,MATCH(OrdersTable[[#This Row],[State Code]],State!B:B,0))</f>
        <v>North</v>
      </c>
      <c r="K3848" t="s">
        <v>129</v>
      </c>
      <c r="L3848" t="s">
        <v>23</v>
      </c>
      <c r="M3848" t="s">
        <v>78</v>
      </c>
      <c r="N3848" t="str">
        <f>INDEX(Products!B:B,MATCH(OrdersTable[[#This Row],[Product ID]],Products!A:A,0))</f>
        <v>Retinol Night Cream</v>
      </c>
      <c r="O3848" t="str">
        <f>INDEX(Products!C:C,MATCH(OrdersTable[[#This Row],[Product ID]],Products!A:A,0))</f>
        <v>Skincare</v>
      </c>
      <c r="P3848">
        <v>1</v>
      </c>
      <c r="Q3848" s="5">
        <v>799</v>
      </c>
      <c r="R3848" s="74">
        <v>0.1</v>
      </c>
      <c r="S3848" s="75">
        <f>OrdersTable[[#This Row],[Quantity]]*OrdersTable[[#This Row],[Unit Price]]</f>
        <v>799</v>
      </c>
      <c r="T3848" s="5">
        <f>OrdersTable[[#This Row],[Gross Sale]]*OrdersTable[[#This Row],[Discount_Clean2]]</f>
        <v>79.900000000000006</v>
      </c>
      <c r="U3848" s="5">
        <f>OrdersTable[[#This Row],[Gross Sale]]-OrdersTable[[#This Row],[Discount Amount]]</f>
        <v>719.1</v>
      </c>
      <c r="V3848" s="77">
        <f>INDEX(Products!E:E,MATCH(OrdersTable[[#This Row],[Product ID]],Products!A:A,0))</f>
        <v>216</v>
      </c>
      <c r="W3848" s="77">
        <f>OrdersTable[[#This Row],[Quantity]]*OrdersTable[[#This Row],[Unit Cost]]</f>
        <v>216</v>
      </c>
      <c r="X3848" s="77">
        <f>'Dropdown Lists'!$I$2*(1+OrdersTable[[#This Row],[Returned]])</f>
        <v>60</v>
      </c>
      <c r="Y3848" s="76">
        <f>OrdersTable[[#This Row],[Net Revenue]]-OrdersTable[[#This Row],[COGS]]-OrdersTable[[#This Row],[Shipping Cost]]</f>
        <v>443.1</v>
      </c>
      <c r="Z3848" s="78">
        <f>IFERROR(OrdersTable[[#This Row],[Profit]]/OrdersTable[[#This Row],[Net Revenue]],0)</f>
        <v>0.61618690029203171</v>
      </c>
      <c r="AA3848" t="s">
        <v>4450</v>
      </c>
      <c r="AB3848" s="79">
        <v>45914</v>
      </c>
      <c r="AC3848">
        <f>OrdersTable[[#This Row],[Delivery Date]]-OrdersTable[[#This Row],[Order Date]]</f>
        <v>1</v>
      </c>
      <c r="AD3848" t="str">
        <f>IF(OrdersTable[[#This Row],[Delivery Days]]&lt;=2, "Express (≤2d)", IF(OrdersTable[[#This Row],[Delivery Days]]&lt;=4, "Standard (3-4d)", "Delayed (5d+)"))</f>
        <v>Express (≤2d)</v>
      </c>
      <c r="AE3848">
        <v>5</v>
      </c>
      <c r="AF3848">
        <v>0</v>
      </c>
    </row>
    <row r="3849" spans="1:32" ht="15" x14ac:dyDescent="0.35">
      <c r="A3849" t="s">
        <v>369</v>
      </c>
      <c r="B3849" s="1">
        <v>45913</v>
      </c>
      <c r="C3849">
        <f>YEAR(OrdersTable[[#This Row],[Order Date]])</f>
        <v>2025</v>
      </c>
      <c r="D3849" s="2">
        <f>DATE(YEAR(OrdersTable[[#This Row],[Order Date]]),MONTH(OrdersTable[[#This Row],[Order Date]]),1)</f>
        <v>45901</v>
      </c>
      <c r="E3849">
        <f>MONTH(OrdersTable[[#This Row],[Order Date]])</f>
        <v>9</v>
      </c>
      <c r="F3849" t="s">
        <v>370</v>
      </c>
      <c r="G3849" t="str">
        <f>IF(OrdersTable[[#This Row],[Order Date]]=_xlfn.MINIFS(Order_Date, Customer_ID, OrdersTable[[#This Row],[Customer ID]]), "New", "Repeat")</f>
        <v>New</v>
      </c>
      <c r="H3849" t="s">
        <v>76</v>
      </c>
      <c r="I3849" t="str">
        <f>INDEX(State!B:B,MATCH(OrdersTable[[#This Row],[State]],State!A:A,0))</f>
        <v>UP</v>
      </c>
      <c r="J3849" t="str">
        <f>INDEX(State!C:C,MATCH(OrdersTable[[#This Row],[State Code]],State!B:B,0))</f>
        <v>North</v>
      </c>
      <c r="K3849" t="s">
        <v>77</v>
      </c>
      <c r="L3849" t="s">
        <v>16</v>
      </c>
      <c r="M3849" t="s">
        <v>87</v>
      </c>
      <c r="N3849" t="str">
        <f>INDEX(Products!B:B,MATCH(OrdersTable[[#This Row],[Product ID]],Products!A:A,0))</f>
        <v>Linen Kurta</v>
      </c>
      <c r="O3849" t="str">
        <f>INDEX(Products!C:C,MATCH(OrdersTable[[#This Row],[Product ID]],Products!A:A,0))</f>
        <v>Apparel</v>
      </c>
      <c r="P3849">
        <v>1</v>
      </c>
      <c r="Q3849" s="5">
        <v>1499</v>
      </c>
      <c r="R3849" s="74">
        <v>0.4</v>
      </c>
      <c r="S3849" s="75">
        <f>OrdersTable[[#This Row],[Quantity]]*OrdersTable[[#This Row],[Unit Price]]</f>
        <v>1499</v>
      </c>
      <c r="T3849" s="5">
        <f>OrdersTable[[#This Row],[Gross Sale]]*OrdersTable[[#This Row],[Discount_Clean2]]</f>
        <v>599.6</v>
      </c>
      <c r="U3849" s="5">
        <f>OrdersTable[[#This Row],[Gross Sale]]-OrdersTable[[#This Row],[Discount Amount]]</f>
        <v>899.4</v>
      </c>
      <c r="V3849" s="77">
        <f>INDEX(Products!E:E,MATCH(OrdersTable[[#This Row],[Product ID]],Products!A:A,0))</f>
        <v>630</v>
      </c>
      <c r="W3849" s="77">
        <f>OrdersTable[[#This Row],[Quantity]]*OrdersTable[[#This Row],[Unit Cost]]</f>
        <v>630</v>
      </c>
      <c r="X3849" s="77">
        <f>'Dropdown Lists'!$I$2*(1+OrdersTable[[#This Row],[Returned]])</f>
        <v>60</v>
      </c>
      <c r="Y3849" s="76">
        <f>OrdersTable[[#This Row],[Net Revenue]]-OrdersTable[[#This Row],[COGS]]-OrdersTable[[#This Row],[Shipping Cost]]</f>
        <v>209.39999999999998</v>
      </c>
      <c r="Z3849" s="78">
        <f>IFERROR(OrdersTable[[#This Row],[Profit]]/OrdersTable[[#This Row],[Net Revenue]],0)</f>
        <v>0.23282188125416942</v>
      </c>
      <c r="AA3849" t="s">
        <v>18</v>
      </c>
      <c r="AB3849" s="79">
        <v>45916</v>
      </c>
      <c r="AC3849">
        <f>OrdersTable[[#This Row],[Delivery Date]]-OrdersTable[[#This Row],[Order Date]]</f>
        <v>3</v>
      </c>
      <c r="AD3849" t="str">
        <f>IF(OrdersTable[[#This Row],[Delivery Days]]&lt;=2, "Express (≤2d)", IF(OrdersTable[[#This Row],[Delivery Days]]&lt;=4, "Standard (3-4d)", "Delayed (5d+)"))</f>
        <v>Standard (3-4d)</v>
      </c>
      <c r="AE3849">
        <v>4</v>
      </c>
      <c r="AF3849">
        <v>0</v>
      </c>
    </row>
    <row r="3850" spans="1:32" ht="15" x14ac:dyDescent="0.35">
      <c r="A3850" t="s">
        <v>5023</v>
      </c>
      <c r="B3850" s="1">
        <v>45913</v>
      </c>
      <c r="C3850">
        <f>YEAR(OrdersTable[[#This Row],[Order Date]])</f>
        <v>2025</v>
      </c>
      <c r="D3850" s="2">
        <f>DATE(YEAR(OrdersTable[[#This Row],[Order Date]]),MONTH(OrdersTable[[#This Row],[Order Date]]),1)</f>
        <v>45901</v>
      </c>
      <c r="E3850">
        <f>MONTH(OrdersTable[[#This Row],[Order Date]])</f>
        <v>9</v>
      </c>
      <c r="F3850" t="s">
        <v>919</v>
      </c>
      <c r="G3850" t="str">
        <f>IF(OrdersTable[[#This Row],[Order Date]]=_xlfn.MINIFS(Order_Date, Customer_ID, OrdersTable[[#This Row],[Customer ID]]), "New", "Repeat")</f>
        <v>Repeat</v>
      </c>
      <c r="H3850" t="s">
        <v>43</v>
      </c>
      <c r="I3850" t="str">
        <f>INDEX(State!B:B,MATCH(OrdersTable[[#This Row],[State]],State!A:A,0))</f>
        <v>MP</v>
      </c>
      <c r="J3850" t="str">
        <f>INDEX(State!C:C,MATCH(OrdersTable[[#This Row],[State Code]],State!B:B,0))</f>
        <v>West</v>
      </c>
      <c r="K3850" t="s">
        <v>44</v>
      </c>
      <c r="L3850" t="s">
        <v>39</v>
      </c>
      <c r="M3850" t="s">
        <v>34</v>
      </c>
      <c r="N3850" t="str">
        <f>INDEX(Products!B:B,MATCH(OrdersTable[[#This Row],[Product ID]],Products!A:A,0))</f>
        <v>Flip Flops</v>
      </c>
      <c r="O3850" t="str">
        <f>INDEX(Products!C:C,MATCH(OrdersTable[[#This Row],[Product ID]],Products!A:A,0))</f>
        <v>Footwear</v>
      </c>
      <c r="P3850">
        <v>2</v>
      </c>
      <c r="Q3850" s="5">
        <v>399</v>
      </c>
      <c r="R3850" s="74">
        <v>0</v>
      </c>
      <c r="S3850" s="75">
        <f>OrdersTable[[#This Row],[Quantity]]*OrdersTable[[#This Row],[Unit Price]]</f>
        <v>798</v>
      </c>
      <c r="T3850" s="5">
        <f>OrdersTable[[#This Row],[Gross Sale]]*OrdersTable[[#This Row],[Discount_Clean2]]</f>
        <v>0</v>
      </c>
      <c r="U3850" s="5">
        <f>OrdersTable[[#This Row],[Gross Sale]]-OrdersTable[[#This Row],[Discount Amount]]</f>
        <v>798</v>
      </c>
      <c r="V3850" s="77">
        <f>INDEX(Products!E:E,MATCH(OrdersTable[[#This Row],[Product ID]],Products!A:A,0))</f>
        <v>152</v>
      </c>
      <c r="W3850" s="77">
        <f>OrdersTable[[#This Row],[Quantity]]*OrdersTable[[#This Row],[Unit Cost]]</f>
        <v>304</v>
      </c>
      <c r="X3850" s="77">
        <f>'Dropdown Lists'!$I$2*(1+OrdersTable[[#This Row],[Returned]])</f>
        <v>120</v>
      </c>
      <c r="Y3850" s="76">
        <f>OrdersTable[[#This Row],[Net Revenue]]-OrdersTable[[#This Row],[COGS]]-OrdersTable[[#This Row],[Shipping Cost]]</f>
        <v>374</v>
      </c>
      <c r="Z3850" s="78">
        <f>IFERROR(OrdersTable[[#This Row],[Profit]]/OrdersTable[[#This Row],[Net Revenue]],0)</f>
        <v>0.46867167919799496</v>
      </c>
      <c r="AA3850" t="s">
        <v>4074</v>
      </c>
      <c r="AB3850" s="79">
        <v>45918</v>
      </c>
      <c r="AC3850">
        <f>OrdersTable[[#This Row],[Delivery Date]]-OrdersTable[[#This Row],[Order Date]]</f>
        <v>5</v>
      </c>
      <c r="AD3850" t="str">
        <f>IF(OrdersTable[[#This Row],[Delivery Days]]&lt;=2, "Express (≤2d)", IF(OrdersTable[[#This Row],[Delivery Days]]&lt;=4, "Standard (3-4d)", "Delayed (5d+)"))</f>
        <v>Delayed (5d+)</v>
      </c>
      <c r="AE3850">
        <v>3</v>
      </c>
      <c r="AF3850">
        <v>1</v>
      </c>
    </row>
    <row r="3851" spans="1:32" ht="15" x14ac:dyDescent="0.35">
      <c r="A3851" t="s">
        <v>1594</v>
      </c>
      <c r="B3851" s="1">
        <v>45913</v>
      </c>
      <c r="C3851">
        <f>YEAR(OrdersTable[[#This Row],[Order Date]])</f>
        <v>2025</v>
      </c>
      <c r="D3851" s="2">
        <f>DATE(YEAR(OrdersTable[[#This Row],[Order Date]]),MONTH(OrdersTable[[#This Row],[Order Date]]),1)</f>
        <v>45901</v>
      </c>
      <c r="E3851">
        <f>MONTH(OrdersTable[[#This Row],[Order Date]])</f>
        <v>9</v>
      </c>
      <c r="F3851" t="s">
        <v>643</v>
      </c>
      <c r="G3851" t="str">
        <f>IF(OrdersTable[[#This Row],[Order Date]]=_xlfn.MINIFS(Order_Date, Customer_ID, OrdersTable[[#This Row],[Customer ID]]), "New", "Repeat")</f>
        <v>Repeat</v>
      </c>
      <c r="H3851" t="s">
        <v>27</v>
      </c>
      <c r="I3851" t="str">
        <f>INDEX(State!B:B,MATCH(OrdersTable[[#This Row],[State]],State!A:A,0))</f>
        <v>WB</v>
      </c>
      <c r="J3851" t="str">
        <f>INDEX(State!C:C,MATCH(OrdersTable[[#This Row],[State Code]],State!B:B,0))</f>
        <v>East</v>
      </c>
      <c r="K3851" t="s">
        <v>28</v>
      </c>
      <c r="L3851" t="s">
        <v>39</v>
      </c>
      <c r="M3851" t="s">
        <v>24</v>
      </c>
      <c r="N3851" t="str">
        <f>INDEX(Products!B:B,MATCH(OrdersTable[[#This Row],[Product ID]],Products!A:A,0))</f>
        <v>Scented Candle Set</v>
      </c>
      <c r="O3851" t="str">
        <f>INDEX(Products!C:C,MATCH(OrdersTable[[#This Row],[Product ID]],Products!A:A,0))</f>
        <v>Home &amp; Kitchen</v>
      </c>
      <c r="P3851">
        <v>1</v>
      </c>
      <c r="Q3851" s="5">
        <v>699</v>
      </c>
      <c r="R3851" s="74">
        <v>0.15</v>
      </c>
      <c r="S3851" s="75">
        <f>OrdersTable[[#This Row],[Quantity]]*OrdersTable[[#This Row],[Unit Price]]</f>
        <v>699</v>
      </c>
      <c r="T3851" s="5">
        <f>OrdersTable[[#This Row],[Gross Sale]]*OrdersTable[[#This Row],[Discount_Clean2]]</f>
        <v>104.85</v>
      </c>
      <c r="U3851" s="5">
        <f>OrdersTable[[#This Row],[Gross Sale]]-OrdersTable[[#This Row],[Discount Amount]]</f>
        <v>594.15</v>
      </c>
      <c r="V3851" s="77">
        <f>INDEX(Products!E:E,MATCH(OrdersTable[[#This Row],[Product ID]],Products!A:A,0))</f>
        <v>245</v>
      </c>
      <c r="W3851" s="77">
        <f>OrdersTable[[#This Row],[Quantity]]*OrdersTable[[#This Row],[Unit Cost]]</f>
        <v>245</v>
      </c>
      <c r="X3851" s="77">
        <f>'Dropdown Lists'!$I$2*(1+OrdersTable[[#This Row],[Returned]])</f>
        <v>60</v>
      </c>
      <c r="Y3851" s="76">
        <f>OrdersTable[[#This Row],[Net Revenue]]-OrdersTable[[#This Row],[COGS]]-OrdersTable[[#This Row],[Shipping Cost]]</f>
        <v>289.14999999999998</v>
      </c>
      <c r="Z3851" s="78">
        <f>IFERROR(OrdersTable[[#This Row],[Profit]]/OrdersTable[[#This Row],[Net Revenue]],0)</f>
        <v>0.48666161743667424</v>
      </c>
      <c r="AA3851" t="s">
        <v>18</v>
      </c>
      <c r="AB3851" s="79">
        <v>45918</v>
      </c>
      <c r="AC3851">
        <f>OrdersTable[[#This Row],[Delivery Date]]-OrdersTable[[#This Row],[Order Date]]</f>
        <v>5</v>
      </c>
      <c r="AD3851" t="str">
        <f>IF(OrdersTable[[#This Row],[Delivery Days]]&lt;=2, "Express (≤2d)", IF(OrdersTable[[#This Row],[Delivery Days]]&lt;=4, "Standard (3-4d)", "Delayed (5d+)"))</f>
        <v>Delayed (5d+)</v>
      </c>
      <c r="AF3851">
        <v>0</v>
      </c>
    </row>
    <row r="3852" spans="1:32" ht="15" x14ac:dyDescent="0.35">
      <c r="A3852" t="s">
        <v>3797</v>
      </c>
      <c r="B3852" s="1">
        <v>45913</v>
      </c>
      <c r="C3852">
        <f>YEAR(OrdersTable[[#This Row],[Order Date]])</f>
        <v>2025</v>
      </c>
      <c r="D3852" s="2">
        <f>DATE(YEAR(OrdersTable[[#This Row],[Order Date]]),MONTH(OrdersTable[[#This Row],[Order Date]]),1)</f>
        <v>45901</v>
      </c>
      <c r="E3852">
        <f>MONTH(OrdersTable[[#This Row],[Order Date]])</f>
        <v>9</v>
      </c>
      <c r="F3852" t="s">
        <v>2371</v>
      </c>
      <c r="G3852" t="str">
        <f>IF(OrdersTable[[#This Row],[Order Date]]=_xlfn.MINIFS(Order_Date, Customer_ID, OrdersTable[[#This Row],[Customer ID]]), "New", "Repeat")</f>
        <v>Repeat</v>
      </c>
      <c r="H3852" t="s">
        <v>71</v>
      </c>
      <c r="I3852" t="str">
        <f>INDEX(State!B:B,MATCH(OrdersTable[[#This Row],[State]],State!A:A,0))</f>
        <v>MH</v>
      </c>
      <c r="J3852" t="str">
        <f>INDEX(State!C:C,MATCH(OrdersTable[[#This Row],[State Code]],State!B:B,0))</f>
        <v>West</v>
      </c>
      <c r="K3852" t="s">
        <v>72</v>
      </c>
      <c r="L3852" t="s">
        <v>50</v>
      </c>
      <c r="M3852" t="s">
        <v>40</v>
      </c>
      <c r="N3852" t="str">
        <f>INDEX(Products!B:B,MATCH(OrdersTable[[#This Row],[Product ID]],Products!A:A,0))</f>
        <v>Ashwagandha Capsules</v>
      </c>
      <c r="O3852" t="str">
        <f>INDEX(Products!C:C,MATCH(OrdersTable[[#This Row],[Product ID]],Products!A:A,0))</f>
        <v>Wellness</v>
      </c>
      <c r="P3852">
        <v>1</v>
      </c>
      <c r="Q3852" s="5">
        <v>499</v>
      </c>
      <c r="R3852" s="74">
        <v>0</v>
      </c>
      <c r="S3852" s="75">
        <f>OrdersTable[[#This Row],[Quantity]]*OrdersTable[[#This Row],[Unit Price]]</f>
        <v>499</v>
      </c>
      <c r="T3852" s="5">
        <f>OrdersTable[[#This Row],[Gross Sale]]*OrdersTable[[#This Row],[Discount_Clean2]]</f>
        <v>0</v>
      </c>
      <c r="U3852" s="5">
        <f>OrdersTable[[#This Row],[Gross Sale]]-OrdersTable[[#This Row],[Discount Amount]]</f>
        <v>499</v>
      </c>
      <c r="V3852" s="77">
        <f>INDEX(Products!E:E,MATCH(OrdersTable[[#This Row],[Product ID]],Products!A:A,0))</f>
        <v>150</v>
      </c>
      <c r="W3852" s="77">
        <f>OrdersTable[[#This Row],[Quantity]]*OrdersTable[[#This Row],[Unit Cost]]</f>
        <v>150</v>
      </c>
      <c r="X3852" s="77">
        <f>'Dropdown Lists'!$I$2*(1+OrdersTable[[#This Row],[Returned]])</f>
        <v>60</v>
      </c>
      <c r="Y3852" s="76">
        <f>OrdersTable[[#This Row],[Net Revenue]]-OrdersTable[[#This Row],[COGS]]-OrdersTable[[#This Row],[Shipping Cost]]</f>
        <v>289</v>
      </c>
      <c r="Z3852" s="78">
        <f>IFERROR(OrdersTable[[#This Row],[Profit]]/OrdersTable[[#This Row],[Net Revenue]],0)</f>
        <v>0.57915831663326656</v>
      </c>
      <c r="AA3852" t="s">
        <v>3495</v>
      </c>
      <c r="AB3852" s="79">
        <v>45916</v>
      </c>
      <c r="AC3852">
        <f>OrdersTable[[#This Row],[Delivery Date]]-OrdersTable[[#This Row],[Order Date]]</f>
        <v>3</v>
      </c>
      <c r="AD3852" t="str">
        <f>IF(OrdersTable[[#This Row],[Delivery Days]]&lt;=2, "Express (≤2d)", IF(OrdersTable[[#This Row],[Delivery Days]]&lt;=4, "Standard (3-4d)", "Delayed (5d+)"))</f>
        <v>Standard (3-4d)</v>
      </c>
      <c r="AF3852">
        <v>0</v>
      </c>
    </row>
    <row r="3853" spans="1:32" ht="15" x14ac:dyDescent="0.35">
      <c r="A3853" t="s">
        <v>5024</v>
      </c>
      <c r="B3853" s="1">
        <v>45913</v>
      </c>
      <c r="C3853">
        <f>YEAR(OrdersTable[[#This Row],[Order Date]])</f>
        <v>2025</v>
      </c>
      <c r="D3853" s="2">
        <f>DATE(YEAR(OrdersTable[[#This Row],[Order Date]]),MONTH(OrdersTable[[#This Row],[Order Date]]),1)</f>
        <v>45901</v>
      </c>
      <c r="E3853">
        <f>MONTH(OrdersTable[[#This Row],[Order Date]])</f>
        <v>9</v>
      </c>
      <c r="F3853" t="s">
        <v>5025</v>
      </c>
      <c r="G3853" t="str">
        <f>IF(OrdersTable[[#This Row],[Order Date]]=_xlfn.MINIFS(Order_Date, Customer_ID, OrdersTable[[#This Row],[Customer ID]]), "New", "Repeat")</f>
        <v>New</v>
      </c>
      <c r="H3853" t="s">
        <v>167</v>
      </c>
      <c r="I3853" t="str">
        <f>INDEX(State!B:B,MATCH(OrdersTable[[#This Row],[State]],State!A:A,0))</f>
        <v>KA</v>
      </c>
      <c r="J3853" t="str">
        <f>INDEX(State!C:C,MATCH(OrdersTable[[#This Row],[State Code]],State!B:B,0))</f>
        <v>South</v>
      </c>
      <c r="K3853" t="s">
        <v>168</v>
      </c>
      <c r="L3853" t="s">
        <v>50</v>
      </c>
      <c r="M3853" t="s">
        <v>40</v>
      </c>
      <c r="N3853" t="str">
        <f>INDEX(Products!B:B,MATCH(OrdersTable[[#This Row],[Product ID]],Products!A:A,0))</f>
        <v>Ashwagandha Capsules</v>
      </c>
      <c r="O3853" t="str">
        <f>INDEX(Products!C:C,MATCH(OrdersTable[[#This Row],[Product ID]],Products!A:A,0))</f>
        <v>Wellness</v>
      </c>
      <c r="P3853">
        <v>2</v>
      </c>
      <c r="Q3853" s="5">
        <v>499</v>
      </c>
      <c r="R3853" s="74">
        <v>0</v>
      </c>
      <c r="S3853" s="75">
        <f>OrdersTable[[#This Row],[Quantity]]*OrdersTable[[#This Row],[Unit Price]]</f>
        <v>998</v>
      </c>
      <c r="T3853" s="5">
        <f>OrdersTable[[#This Row],[Gross Sale]]*OrdersTable[[#This Row],[Discount_Clean2]]</f>
        <v>0</v>
      </c>
      <c r="U3853" s="5">
        <f>OrdersTable[[#This Row],[Gross Sale]]-OrdersTable[[#This Row],[Discount Amount]]</f>
        <v>998</v>
      </c>
      <c r="V3853" s="77">
        <f>INDEX(Products!E:E,MATCH(OrdersTable[[#This Row],[Product ID]],Products!A:A,0))</f>
        <v>150</v>
      </c>
      <c r="W3853" s="77">
        <f>OrdersTable[[#This Row],[Quantity]]*OrdersTable[[#This Row],[Unit Cost]]</f>
        <v>300</v>
      </c>
      <c r="X3853" s="77">
        <f>'Dropdown Lists'!$I$2*(1+OrdersTable[[#This Row],[Returned]])</f>
        <v>60</v>
      </c>
      <c r="Y3853" s="76">
        <f>OrdersTable[[#This Row],[Net Revenue]]-OrdersTable[[#This Row],[COGS]]-OrdersTable[[#This Row],[Shipping Cost]]</f>
        <v>638</v>
      </c>
      <c r="Z3853" s="78">
        <f>IFERROR(OrdersTable[[#This Row],[Profit]]/OrdersTable[[#This Row],[Net Revenue]],0)</f>
        <v>0.63927855711422843</v>
      </c>
      <c r="AA3853" t="s">
        <v>4074</v>
      </c>
      <c r="AB3853" s="79">
        <v>45914</v>
      </c>
      <c r="AC3853">
        <f>OrdersTable[[#This Row],[Delivery Date]]-OrdersTable[[#This Row],[Order Date]]</f>
        <v>1</v>
      </c>
      <c r="AD3853" t="str">
        <f>IF(OrdersTable[[#This Row],[Delivery Days]]&lt;=2, "Express (≤2d)", IF(OrdersTable[[#This Row],[Delivery Days]]&lt;=4, "Standard (3-4d)", "Delayed (5d+)"))</f>
        <v>Express (≤2d)</v>
      </c>
      <c r="AE3853">
        <v>5</v>
      </c>
      <c r="AF3853">
        <v>0</v>
      </c>
    </row>
    <row r="3854" spans="1:32" ht="15" x14ac:dyDescent="0.35">
      <c r="A3854" t="s">
        <v>6915</v>
      </c>
      <c r="B3854" s="1">
        <v>45913</v>
      </c>
      <c r="C3854">
        <f>YEAR(OrdersTable[[#This Row],[Order Date]])</f>
        <v>2025</v>
      </c>
      <c r="D3854" s="2">
        <f>DATE(YEAR(OrdersTable[[#This Row],[Order Date]]),MONTH(OrdersTable[[#This Row],[Order Date]]),1)</f>
        <v>45901</v>
      </c>
      <c r="E3854">
        <f>MONTH(OrdersTable[[#This Row],[Order Date]])</f>
        <v>9</v>
      </c>
      <c r="F3854" t="s">
        <v>5401</v>
      </c>
      <c r="G3854" t="str">
        <f>IF(OrdersTable[[#This Row],[Order Date]]=_xlfn.MINIFS(Order_Date, Customer_ID, OrdersTable[[#This Row],[Customer ID]]), "New", "Repeat")</f>
        <v>Repeat</v>
      </c>
      <c r="H3854" t="s">
        <v>275</v>
      </c>
      <c r="I3854" t="str">
        <f>INDEX(State!B:B,MATCH(OrdersTable[[#This Row],[State]],State!A:A,0))</f>
        <v>AP</v>
      </c>
      <c r="J3854" t="str">
        <f>INDEX(State!C:C,MATCH(OrdersTable[[#This Row],[State Code]],State!B:B,0))</f>
        <v>South</v>
      </c>
      <c r="K3854" t="s">
        <v>276</v>
      </c>
      <c r="L3854" t="s">
        <v>50</v>
      </c>
      <c r="M3854" t="s">
        <v>152</v>
      </c>
      <c r="N3854" t="str">
        <f>INDEX(Products!B:B,MATCH(OrdersTable[[#This Row],[Product ID]],Products!A:A,0))</f>
        <v>Green Tea (100 bags)</v>
      </c>
      <c r="O3854" t="str">
        <f>INDEX(Products!C:C,MATCH(OrdersTable[[#This Row],[Product ID]],Products!A:A,0))</f>
        <v>Wellness</v>
      </c>
      <c r="P3854">
        <v>3</v>
      </c>
      <c r="Q3854" s="5">
        <v>399</v>
      </c>
      <c r="R3854" s="74">
        <v>0.45</v>
      </c>
      <c r="S3854" s="75">
        <f>OrdersTable[[#This Row],[Quantity]]*OrdersTable[[#This Row],[Unit Price]]</f>
        <v>1197</v>
      </c>
      <c r="T3854" s="5">
        <f>OrdersTable[[#This Row],[Gross Sale]]*OrdersTable[[#This Row],[Discount_Clean2]]</f>
        <v>538.65</v>
      </c>
      <c r="U3854" s="5">
        <f>OrdersTable[[#This Row],[Gross Sale]]-OrdersTable[[#This Row],[Discount Amount]]</f>
        <v>658.35</v>
      </c>
      <c r="V3854" s="77">
        <f>INDEX(Products!E:E,MATCH(OrdersTable[[#This Row],[Product ID]],Products!A:A,0))</f>
        <v>128</v>
      </c>
      <c r="W3854" s="77">
        <f>OrdersTable[[#This Row],[Quantity]]*OrdersTable[[#This Row],[Unit Cost]]</f>
        <v>384</v>
      </c>
      <c r="X3854" s="77">
        <f>'Dropdown Lists'!$I$2*(1+OrdersTable[[#This Row],[Returned]])</f>
        <v>60</v>
      </c>
      <c r="Y3854" s="76">
        <f>OrdersTable[[#This Row],[Net Revenue]]-OrdersTable[[#This Row],[COGS]]-OrdersTable[[#This Row],[Shipping Cost]]</f>
        <v>214.35000000000002</v>
      </c>
      <c r="Z3854" s="78">
        <f>IFERROR(OrdersTable[[#This Row],[Profit]]/OrdersTable[[#This Row],[Net Revenue]],0)</f>
        <v>0.32558669400774665</v>
      </c>
      <c r="AA3854" t="s">
        <v>4450</v>
      </c>
      <c r="AB3854" s="79">
        <v>45916</v>
      </c>
      <c r="AC3854">
        <f>OrdersTable[[#This Row],[Delivery Date]]-OrdersTable[[#This Row],[Order Date]]</f>
        <v>3</v>
      </c>
      <c r="AD3854" t="str">
        <f>IF(OrdersTable[[#This Row],[Delivery Days]]&lt;=2, "Express (≤2d)", IF(OrdersTable[[#This Row],[Delivery Days]]&lt;=4, "Standard (3-4d)", "Delayed (5d+)"))</f>
        <v>Standard (3-4d)</v>
      </c>
      <c r="AE3854">
        <v>4</v>
      </c>
      <c r="AF3854">
        <v>0</v>
      </c>
    </row>
    <row r="3855" spans="1:32" ht="15" x14ac:dyDescent="0.35">
      <c r="A3855" t="s">
        <v>5026</v>
      </c>
      <c r="B3855" s="1">
        <v>45913</v>
      </c>
      <c r="C3855">
        <f>YEAR(OrdersTable[[#This Row],[Order Date]])</f>
        <v>2025</v>
      </c>
      <c r="D3855" s="2">
        <f>DATE(YEAR(OrdersTable[[#This Row],[Order Date]]),MONTH(OrdersTable[[#This Row],[Order Date]]),1)</f>
        <v>45901</v>
      </c>
      <c r="E3855">
        <f>MONTH(OrdersTable[[#This Row],[Order Date]])</f>
        <v>9</v>
      </c>
      <c r="F3855" t="s">
        <v>5027</v>
      </c>
      <c r="G3855" t="str">
        <f>IF(OrdersTable[[#This Row],[Order Date]]=_xlfn.MINIFS(Order_Date, Customer_ID, OrdersTable[[#This Row],[Customer ID]]), "New", "Repeat")</f>
        <v>Repeat</v>
      </c>
      <c r="H3855" t="s">
        <v>316</v>
      </c>
      <c r="I3855" t="str">
        <f>INDEX(State!B:B,MATCH(OrdersTable[[#This Row],[State]],State!A:A,0))</f>
        <v>KL</v>
      </c>
      <c r="J3855" t="str">
        <f>INDEX(State!C:C,MATCH(OrdersTable[[#This Row],[State Code]],State!B:B,0))</f>
        <v>South</v>
      </c>
      <c r="K3855" t="s">
        <v>338</v>
      </c>
      <c r="L3855" t="s">
        <v>23</v>
      </c>
      <c r="M3855" t="s">
        <v>109</v>
      </c>
      <c r="N3855" t="str">
        <f>INDEX(Products!B:B,MATCH(OrdersTable[[#This Row],[Product ID]],Products!A:A,0))</f>
        <v>Onion Hair Oil</v>
      </c>
      <c r="O3855" t="str">
        <f>INDEX(Products!C:C,MATCH(OrdersTable[[#This Row],[Product ID]],Products!A:A,0))</f>
        <v>Haircare</v>
      </c>
      <c r="P3855">
        <v>2</v>
      </c>
      <c r="Q3855" s="5">
        <v>349</v>
      </c>
      <c r="R3855" s="74">
        <v>0.3</v>
      </c>
      <c r="S3855" s="75">
        <f>OrdersTable[[#This Row],[Quantity]]*OrdersTable[[#This Row],[Unit Price]]</f>
        <v>698</v>
      </c>
      <c r="T3855" s="5">
        <f>OrdersTable[[#This Row],[Gross Sale]]*OrdersTable[[#This Row],[Discount_Clean2]]</f>
        <v>209.4</v>
      </c>
      <c r="U3855" s="5">
        <f>OrdersTable[[#This Row],[Gross Sale]]-OrdersTable[[#This Row],[Discount Amount]]</f>
        <v>488.6</v>
      </c>
      <c r="V3855" s="77">
        <f>INDEX(Products!E:E,MATCH(OrdersTable[[#This Row],[Product ID]],Products!A:A,0))</f>
        <v>105</v>
      </c>
      <c r="W3855" s="77">
        <f>OrdersTable[[#This Row],[Quantity]]*OrdersTable[[#This Row],[Unit Cost]]</f>
        <v>210</v>
      </c>
      <c r="X3855" s="77">
        <f>'Dropdown Lists'!$I$2*(1+OrdersTable[[#This Row],[Returned]])</f>
        <v>60</v>
      </c>
      <c r="Y3855" s="76">
        <f>OrdersTable[[#This Row],[Net Revenue]]-OrdersTable[[#This Row],[COGS]]-OrdersTable[[#This Row],[Shipping Cost]]</f>
        <v>218.60000000000002</v>
      </c>
      <c r="Z3855" s="78">
        <f>IFERROR(OrdersTable[[#This Row],[Profit]]/OrdersTable[[#This Row],[Net Revenue]],0)</f>
        <v>0.44740073679901765</v>
      </c>
      <c r="AA3855" t="s">
        <v>4074</v>
      </c>
      <c r="AB3855" s="79">
        <v>45918</v>
      </c>
      <c r="AC3855">
        <f>OrdersTable[[#This Row],[Delivery Date]]-OrdersTable[[#This Row],[Order Date]]</f>
        <v>5</v>
      </c>
      <c r="AD3855" t="str">
        <f>IF(OrdersTable[[#This Row],[Delivery Days]]&lt;=2, "Express (≤2d)", IF(OrdersTable[[#This Row],[Delivery Days]]&lt;=4, "Standard (3-4d)", "Delayed (5d+)"))</f>
        <v>Delayed (5d+)</v>
      </c>
      <c r="AE3855">
        <v>4</v>
      </c>
      <c r="AF3855">
        <v>0</v>
      </c>
    </row>
    <row r="3856" spans="1:32" ht="15" x14ac:dyDescent="0.35">
      <c r="A3856" t="s">
        <v>5827</v>
      </c>
      <c r="B3856" s="1">
        <v>45914</v>
      </c>
      <c r="C3856">
        <f>YEAR(OrdersTable[[#This Row],[Order Date]])</f>
        <v>2025</v>
      </c>
      <c r="D3856" s="2">
        <f>DATE(YEAR(OrdersTable[[#This Row],[Order Date]]),MONTH(OrdersTable[[#This Row],[Order Date]]),1)</f>
        <v>45901</v>
      </c>
      <c r="E3856">
        <f>MONTH(OrdersTable[[#This Row],[Order Date]])</f>
        <v>9</v>
      </c>
      <c r="F3856" t="s">
        <v>356</v>
      </c>
      <c r="G3856" t="str">
        <f>IF(OrdersTable[[#This Row],[Order Date]]=_xlfn.MINIFS(Order_Date, Customer_ID, OrdersTable[[#This Row],[Customer ID]]), "New", "Repeat")</f>
        <v>Repeat</v>
      </c>
      <c r="H3856" t="s">
        <v>32</v>
      </c>
      <c r="I3856" t="str">
        <f>INDEX(State!B:B,MATCH(OrdersTable[[#This Row],[State]],State!A:A,0))</f>
        <v>BR</v>
      </c>
      <c r="J3856" t="str">
        <f>INDEX(State!C:C,MATCH(OrdersTable[[#This Row],[State Code]],State!B:B,0))</f>
        <v>East</v>
      </c>
      <c r="K3856" t="s">
        <v>33</v>
      </c>
      <c r="L3856" t="s">
        <v>16</v>
      </c>
      <c r="M3856" t="s">
        <v>87</v>
      </c>
      <c r="N3856" t="str">
        <f>INDEX(Products!B:B,MATCH(OrdersTable[[#This Row],[Product ID]],Products!A:A,0))</f>
        <v>Linen Kurta</v>
      </c>
      <c r="O3856" t="str">
        <f>INDEX(Products!C:C,MATCH(OrdersTable[[#This Row],[Product ID]],Products!A:A,0))</f>
        <v>Apparel</v>
      </c>
      <c r="P3856">
        <v>2</v>
      </c>
      <c r="Q3856" s="5">
        <v>1499</v>
      </c>
      <c r="R3856" s="74">
        <v>0.35</v>
      </c>
      <c r="S3856" s="75">
        <f>OrdersTable[[#This Row],[Quantity]]*OrdersTable[[#This Row],[Unit Price]]</f>
        <v>2998</v>
      </c>
      <c r="T3856" s="5">
        <f>OrdersTable[[#This Row],[Gross Sale]]*OrdersTable[[#This Row],[Discount_Clean2]]</f>
        <v>1049.3</v>
      </c>
      <c r="U3856" s="5">
        <f>OrdersTable[[#This Row],[Gross Sale]]-OrdersTable[[#This Row],[Discount Amount]]</f>
        <v>1948.7</v>
      </c>
      <c r="V3856" s="77">
        <f>INDEX(Products!E:E,MATCH(OrdersTable[[#This Row],[Product ID]],Products!A:A,0))</f>
        <v>630</v>
      </c>
      <c r="W3856" s="77">
        <f>OrdersTable[[#This Row],[Quantity]]*OrdersTable[[#This Row],[Unit Cost]]</f>
        <v>1260</v>
      </c>
      <c r="X3856" s="77">
        <f>'Dropdown Lists'!$I$2*(1+OrdersTable[[#This Row],[Returned]])</f>
        <v>60</v>
      </c>
      <c r="Y3856" s="76">
        <f>OrdersTable[[#This Row],[Net Revenue]]-OrdersTable[[#This Row],[COGS]]-OrdersTable[[#This Row],[Shipping Cost]]</f>
        <v>628.70000000000005</v>
      </c>
      <c r="Z3856" s="78">
        <f>IFERROR(OrdersTable[[#This Row],[Profit]]/OrdersTable[[#This Row],[Net Revenue]],0)</f>
        <v>0.32262533997023657</v>
      </c>
      <c r="AA3856" t="s">
        <v>18</v>
      </c>
      <c r="AB3856" s="79">
        <v>45919</v>
      </c>
      <c r="AC3856">
        <f>OrdersTable[[#This Row],[Delivery Date]]-OrdersTable[[#This Row],[Order Date]]</f>
        <v>5</v>
      </c>
      <c r="AD3856" t="str">
        <f>IF(OrdersTable[[#This Row],[Delivery Days]]&lt;=2, "Express (≤2d)", IF(OrdersTable[[#This Row],[Delivery Days]]&lt;=4, "Standard (3-4d)", "Delayed (5d+)"))</f>
        <v>Delayed (5d+)</v>
      </c>
      <c r="AE3856">
        <v>5</v>
      </c>
      <c r="AF3856">
        <v>0</v>
      </c>
    </row>
    <row r="3857" spans="1:32" ht="15" x14ac:dyDescent="0.35">
      <c r="A3857" t="s">
        <v>665</v>
      </c>
      <c r="B3857" s="1">
        <v>45914</v>
      </c>
      <c r="C3857">
        <f>YEAR(OrdersTable[[#This Row],[Order Date]])</f>
        <v>2025</v>
      </c>
      <c r="D3857" s="2">
        <f>DATE(YEAR(OrdersTable[[#This Row],[Order Date]]),MONTH(OrdersTable[[#This Row],[Order Date]]),1)</f>
        <v>45901</v>
      </c>
      <c r="E3857">
        <f>MONTH(OrdersTable[[#This Row],[Order Date]])</f>
        <v>9</v>
      </c>
      <c r="F3857" t="s">
        <v>666</v>
      </c>
      <c r="G3857" t="str">
        <f>IF(OrdersTable[[#This Row],[Order Date]]=_xlfn.MINIFS(Order_Date, Customer_ID, OrdersTable[[#This Row],[Customer ID]]), "New", "Repeat")</f>
        <v>Repeat</v>
      </c>
      <c r="H3857" t="s">
        <v>95</v>
      </c>
      <c r="I3857" t="str">
        <f>INDEX(State!B:B,MATCH(OrdersTable[[#This Row],[State]],State!A:A,0))</f>
        <v>TG</v>
      </c>
      <c r="J3857" t="str">
        <f>INDEX(State!C:C,MATCH(OrdersTable[[#This Row],[State Code]],State!B:B,0))</f>
        <v>South</v>
      </c>
      <c r="K3857" t="s">
        <v>96</v>
      </c>
      <c r="L3857" t="s">
        <v>65</v>
      </c>
      <c r="M3857" t="s">
        <v>24</v>
      </c>
      <c r="N3857" t="str">
        <f>INDEX(Products!B:B,MATCH(OrdersTable[[#This Row],[Product ID]],Products!A:A,0))</f>
        <v>Scented Candle Set</v>
      </c>
      <c r="O3857" t="str">
        <f>INDEX(Products!C:C,MATCH(OrdersTable[[#This Row],[Product ID]],Products!A:A,0))</f>
        <v>Home &amp; Kitchen</v>
      </c>
      <c r="P3857">
        <v>1</v>
      </c>
      <c r="Q3857" s="5">
        <v>699</v>
      </c>
      <c r="R3857" s="74">
        <v>0.2</v>
      </c>
      <c r="S3857" s="75">
        <f>OrdersTable[[#This Row],[Quantity]]*OrdersTable[[#This Row],[Unit Price]]</f>
        <v>699</v>
      </c>
      <c r="T3857" s="5">
        <f>OrdersTable[[#This Row],[Gross Sale]]*OrdersTable[[#This Row],[Discount_Clean2]]</f>
        <v>139.80000000000001</v>
      </c>
      <c r="U3857" s="5">
        <f>OrdersTable[[#This Row],[Gross Sale]]-OrdersTable[[#This Row],[Discount Amount]]</f>
        <v>559.20000000000005</v>
      </c>
      <c r="V3857" s="77">
        <f>INDEX(Products!E:E,MATCH(OrdersTable[[#This Row],[Product ID]],Products!A:A,0))</f>
        <v>245</v>
      </c>
      <c r="W3857" s="77">
        <f>OrdersTable[[#This Row],[Quantity]]*OrdersTable[[#This Row],[Unit Cost]]</f>
        <v>245</v>
      </c>
      <c r="X3857" s="77">
        <f>'Dropdown Lists'!$I$2*(1+OrdersTable[[#This Row],[Returned]])</f>
        <v>60</v>
      </c>
      <c r="Y3857" s="76">
        <f>OrdersTable[[#This Row],[Net Revenue]]-OrdersTable[[#This Row],[COGS]]-OrdersTable[[#This Row],[Shipping Cost]]</f>
        <v>254.20000000000005</v>
      </c>
      <c r="Z3857" s="78">
        <f>IFERROR(OrdersTable[[#This Row],[Profit]]/OrdersTable[[#This Row],[Net Revenue]],0)</f>
        <v>0.45457796852646642</v>
      </c>
      <c r="AA3857" t="s">
        <v>18</v>
      </c>
      <c r="AB3857" s="79">
        <v>45916</v>
      </c>
      <c r="AC3857">
        <f>OrdersTable[[#This Row],[Delivery Date]]-OrdersTable[[#This Row],[Order Date]]</f>
        <v>2</v>
      </c>
      <c r="AD3857" t="str">
        <f>IF(OrdersTable[[#This Row],[Delivery Days]]&lt;=2, "Express (≤2d)", IF(OrdersTable[[#This Row],[Delivery Days]]&lt;=4, "Standard (3-4d)", "Delayed (5d+)"))</f>
        <v>Express (≤2d)</v>
      </c>
      <c r="AE3857">
        <v>4</v>
      </c>
      <c r="AF3857">
        <v>0</v>
      </c>
    </row>
    <row r="3858" spans="1:32" ht="15" x14ac:dyDescent="0.35">
      <c r="A3858" t="s">
        <v>1016</v>
      </c>
      <c r="B3858" s="1">
        <v>45914</v>
      </c>
      <c r="C3858">
        <f>YEAR(OrdersTable[[#This Row],[Order Date]])</f>
        <v>2025</v>
      </c>
      <c r="D3858" s="2">
        <f>DATE(YEAR(OrdersTable[[#This Row],[Order Date]]),MONTH(OrdersTable[[#This Row],[Order Date]]),1)</f>
        <v>45901</v>
      </c>
      <c r="E3858">
        <f>MONTH(OrdersTable[[#This Row],[Order Date]])</f>
        <v>9</v>
      </c>
      <c r="F3858" t="s">
        <v>1017</v>
      </c>
      <c r="G3858" t="str">
        <f>IF(OrdersTable[[#This Row],[Order Date]]=_xlfn.MINIFS(Order_Date, Customer_ID, OrdersTable[[#This Row],[Customer ID]]), "New", "Repeat")</f>
        <v>New</v>
      </c>
      <c r="H3858" t="s">
        <v>95</v>
      </c>
      <c r="I3858" t="str">
        <f>INDEX(State!B:B,MATCH(OrdersTable[[#This Row],[State]],State!A:A,0))</f>
        <v>TG</v>
      </c>
      <c r="J3858" t="str">
        <f>INDEX(State!C:C,MATCH(OrdersTable[[#This Row],[State Code]],State!B:B,0))</f>
        <v>South</v>
      </c>
      <c r="K3858" t="s">
        <v>96</v>
      </c>
      <c r="L3858" t="s">
        <v>16</v>
      </c>
      <c r="M3858" t="s">
        <v>205</v>
      </c>
      <c r="N3858" t="str">
        <f>INDEX(Products!B:B,MATCH(OrdersTable[[#This Row],[Product ID]],Products!A:A,0))</f>
        <v>Running Shoes</v>
      </c>
      <c r="O3858" t="str">
        <f>INDEX(Products!C:C,MATCH(OrdersTable[[#This Row],[Product ID]],Products!A:A,0))</f>
        <v>Footwear</v>
      </c>
      <c r="P3858">
        <v>1</v>
      </c>
      <c r="Q3858" s="5">
        <v>2999</v>
      </c>
      <c r="R3858" s="74">
        <v>0.25</v>
      </c>
      <c r="S3858" s="75">
        <f>OrdersTable[[#This Row],[Quantity]]*OrdersTable[[#This Row],[Unit Price]]</f>
        <v>2999</v>
      </c>
      <c r="T3858" s="5">
        <f>OrdersTable[[#This Row],[Gross Sale]]*OrdersTable[[#This Row],[Discount_Clean2]]</f>
        <v>749.75</v>
      </c>
      <c r="U3858" s="5">
        <f>OrdersTable[[#This Row],[Gross Sale]]-OrdersTable[[#This Row],[Discount Amount]]</f>
        <v>2249.25</v>
      </c>
      <c r="V3858" s="77">
        <f>INDEX(Products!E:E,MATCH(OrdersTable[[#This Row],[Product ID]],Products!A:A,0))</f>
        <v>1440</v>
      </c>
      <c r="W3858" s="77">
        <f>OrdersTable[[#This Row],[Quantity]]*OrdersTable[[#This Row],[Unit Cost]]</f>
        <v>1440</v>
      </c>
      <c r="X3858" s="77">
        <f>'Dropdown Lists'!$I$2*(1+OrdersTable[[#This Row],[Returned]])</f>
        <v>60</v>
      </c>
      <c r="Y3858" s="76">
        <f>OrdersTable[[#This Row],[Net Revenue]]-OrdersTable[[#This Row],[COGS]]-OrdersTable[[#This Row],[Shipping Cost]]</f>
        <v>749.25</v>
      </c>
      <c r="Z3858" s="78">
        <f>IFERROR(OrdersTable[[#This Row],[Profit]]/OrdersTable[[#This Row],[Net Revenue]],0)</f>
        <v>0.33311103701233746</v>
      </c>
      <c r="AA3858" t="s">
        <v>18</v>
      </c>
      <c r="AB3858" s="79">
        <v>45919</v>
      </c>
      <c r="AC3858">
        <f>OrdersTable[[#This Row],[Delivery Date]]-OrdersTable[[#This Row],[Order Date]]</f>
        <v>5</v>
      </c>
      <c r="AD3858" t="str">
        <f>IF(OrdersTable[[#This Row],[Delivery Days]]&lt;=2, "Express (≤2d)", IF(OrdersTable[[#This Row],[Delivery Days]]&lt;=4, "Standard (3-4d)", "Delayed (5d+)"))</f>
        <v>Delayed (5d+)</v>
      </c>
      <c r="AE3858">
        <v>4</v>
      </c>
      <c r="AF3858">
        <v>0</v>
      </c>
    </row>
    <row r="3859" spans="1:32" ht="15" x14ac:dyDescent="0.35">
      <c r="A3859" t="s">
        <v>2454</v>
      </c>
      <c r="B3859" s="1">
        <v>45914</v>
      </c>
      <c r="C3859">
        <f>YEAR(OrdersTable[[#This Row],[Order Date]])</f>
        <v>2025</v>
      </c>
      <c r="D3859" s="2">
        <f>DATE(YEAR(OrdersTable[[#This Row],[Order Date]]),MONTH(OrdersTable[[#This Row],[Order Date]]),1)</f>
        <v>45901</v>
      </c>
      <c r="E3859">
        <f>MONTH(OrdersTable[[#This Row],[Order Date]])</f>
        <v>9</v>
      </c>
      <c r="F3859" t="s">
        <v>794</v>
      </c>
      <c r="G3859" t="str">
        <f>IF(OrdersTable[[#This Row],[Order Date]]=_xlfn.MINIFS(Order_Date, Customer_ID, OrdersTable[[#This Row],[Customer ID]]), "New", "Repeat")</f>
        <v>Repeat</v>
      </c>
      <c r="H3859" t="s">
        <v>167</v>
      </c>
      <c r="I3859" t="str">
        <f>INDEX(State!B:B,MATCH(OrdersTable[[#This Row],[State]],State!A:A,0))</f>
        <v>KA</v>
      </c>
      <c r="J3859" t="str">
        <f>INDEX(State!C:C,MATCH(OrdersTable[[#This Row],[State Code]],State!B:B,0))</f>
        <v>South</v>
      </c>
      <c r="K3859" t="s">
        <v>190</v>
      </c>
      <c r="L3859" t="s">
        <v>39</v>
      </c>
      <c r="M3859" t="s">
        <v>255</v>
      </c>
      <c r="N3859" t="str">
        <f>INDEX(Products!B:B,MATCH(OrdersTable[[#This Row],[Product ID]],Products!A:A,0))</f>
        <v>Cotton Oversized T-Shirt</v>
      </c>
      <c r="O3859" t="str">
        <f>INDEX(Products!C:C,MATCH(OrdersTable[[#This Row],[Product ID]],Products!A:A,0))</f>
        <v>Apparel</v>
      </c>
      <c r="P3859">
        <v>1</v>
      </c>
      <c r="Q3859" s="5">
        <v>799</v>
      </c>
      <c r="R3859" s="74">
        <v>0</v>
      </c>
      <c r="S3859" s="75">
        <f>OrdersTable[[#This Row],[Quantity]]*OrdersTable[[#This Row],[Unit Price]]</f>
        <v>799</v>
      </c>
      <c r="T3859" s="5">
        <f>OrdersTable[[#This Row],[Gross Sale]]*OrdersTable[[#This Row],[Discount_Clean2]]</f>
        <v>0</v>
      </c>
      <c r="U3859" s="5">
        <f>OrdersTable[[#This Row],[Gross Sale]]-OrdersTable[[#This Row],[Discount Amount]]</f>
        <v>799</v>
      </c>
      <c r="V3859" s="77">
        <f>INDEX(Products!E:E,MATCH(OrdersTable[[#This Row],[Product ID]],Products!A:A,0))</f>
        <v>320</v>
      </c>
      <c r="W3859" s="77">
        <f>OrdersTable[[#This Row],[Quantity]]*OrdersTable[[#This Row],[Unit Cost]]</f>
        <v>320</v>
      </c>
      <c r="X3859" s="77">
        <f>'Dropdown Lists'!$I$2*(1+OrdersTable[[#This Row],[Returned]])</f>
        <v>120</v>
      </c>
      <c r="Y3859" s="76">
        <f>OrdersTable[[#This Row],[Net Revenue]]-OrdersTable[[#This Row],[COGS]]-OrdersTable[[#This Row],[Shipping Cost]]</f>
        <v>359</v>
      </c>
      <c r="Z3859" s="78">
        <f>IFERROR(OrdersTable[[#This Row],[Profit]]/OrdersTable[[#This Row],[Net Revenue]],0)</f>
        <v>0.44931163954943681</v>
      </c>
      <c r="AA3859" t="s">
        <v>18</v>
      </c>
      <c r="AB3859" s="79">
        <v>45915</v>
      </c>
      <c r="AC3859">
        <f>OrdersTable[[#This Row],[Delivery Date]]-OrdersTable[[#This Row],[Order Date]]</f>
        <v>1</v>
      </c>
      <c r="AD3859" t="str">
        <f>IF(OrdersTable[[#This Row],[Delivery Days]]&lt;=2, "Express (≤2d)", IF(OrdersTable[[#This Row],[Delivery Days]]&lt;=4, "Standard (3-4d)", "Delayed (5d+)"))</f>
        <v>Express (≤2d)</v>
      </c>
      <c r="AE3859">
        <v>5</v>
      </c>
      <c r="AF3859">
        <v>1</v>
      </c>
    </row>
    <row r="3860" spans="1:32" ht="15" x14ac:dyDescent="0.35">
      <c r="A3860" t="s">
        <v>5540</v>
      </c>
      <c r="B3860" s="1">
        <v>45914</v>
      </c>
      <c r="C3860">
        <f>YEAR(OrdersTable[[#This Row],[Order Date]])</f>
        <v>2025</v>
      </c>
      <c r="D3860" s="2">
        <f>DATE(YEAR(OrdersTable[[#This Row],[Order Date]]),MONTH(OrdersTable[[#This Row],[Order Date]]),1)</f>
        <v>45901</v>
      </c>
      <c r="E3860">
        <f>MONTH(OrdersTable[[#This Row],[Order Date]])</f>
        <v>9</v>
      </c>
      <c r="F3860" t="s">
        <v>3319</v>
      </c>
      <c r="G3860" t="str">
        <f>IF(OrdersTable[[#This Row],[Order Date]]=_xlfn.MINIFS(Order_Date, Customer_ID, OrdersTable[[#This Row],[Customer ID]]), "New", "Repeat")</f>
        <v>Repeat</v>
      </c>
      <c r="H3860" t="s">
        <v>275</v>
      </c>
      <c r="I3860" t="str">
        <f>INDEX(State!B:B,MATCH(OrdersTable[[#This Row],[State]],State!A:A,0))</f>
        <v>AP</v>
      </c>
      <c r="J3860" t="str">
        <f>INDEX(State!C:C,MATCH(OrdersTable[[#This Row],[State Code]],State!B:B,0))</f>
        <v>South</v>
      </c>
      <c r="K3860" t="s">
        <v>491</v>
      </c>
      <c r="L3860" t="s">
        <v>23</v>
      </c>
      <c r="M3860" t="s">
        <v>565</v>
      </c>
      <c r="N3860" t="str">
        <f>INDEX(Products!B:B,MATCH(OrdersTable[[#This Row],[Product ID]],Products!A:A,0))</f>
        <v>Ceramic Dinner Set</v>
      </c>
      <c r="O3860" t="str">
        <f>INDEX(Products!C:C,MATCH(OrdersTable[[#This Row],[Product ID]],Products!A:A,0))</f>
        <v>Home &amp; Kitchen</v>
      </c>
      <c r="P3860">
        <v>2</v>
      </c>
      <c r="Q3860" s="5">
        <v>2499</v>
      </c>
      <c r="R3860" s="74">
        <v>0.35</v>
      </c>
      <c r="S3860" s="75">
        <f>OrdersTable[[#This Row],[Quantity]]*OrdersTable[[#This Row],[Unit Price]]</f>
        <v>4998</v>
      </c>
      <c r="T3860" s="5">
        <f>OrdersTable[[#This Row],[Gross Sale]]*OrdersTable[[#This Row],[Discount_Clean2]]</f>
        <v>1749.3</v>
      </c>
      <c r="U3860" s="5">
        <f>OrdersTable[[#This Row],[Gross Sale]]-OrdersTable[[#This Row],[Discount Amount]]</f>
        <v>3248.7</v>
      </c>
      <c r="V3860" s="77">
        <f>INDEX(Products!E:E,MATCH(OrdersTable[[#This Row],[Product ID]],Products!A:A,0))</f>
        <v>1250</v>
      </c>
      <c r="W3860" s="77">
        <f>OrdersTable[[#This Row],[Quantity]]*OrdersTable[[#This Row],[Unit Cost]]</f>
        <v>2500</v>
      </c>
      <c r="X3860" s="77">
        <f>'Dropdown Lists'!$I$2*(1+OrdersTable[[#This Row],[Returned]])</f>
        <v>60</v>
      </c>
      <c r="Y3860" s="76">
        <f>OrdersTable[[#This Row],[Net Revenue]]-OrdersTable[[#This Row],[COGS]]-OrdersTable[[#This Row],[Shipping Cost]]</f>
        <v>688.69999999999982</v>
      </c>
      <c r="Z3860" s="78">
        <f>IFERROR(OrdersTable[[#This Row],[Profit]]/OrdersTable[[#This Row],[Net Revenue]],0)</f>
        <v>0.21199248930341363</v>
      </c>
      <c r="AA3860" t="s">
        <v>2522</v>
      </c>
      <c r="AB3860" s="79">
        <v>45918</v>
      </c>
      <c r="AC3860">
        <f>OrdersTable[[#This Row],[Delivery Date]]-OrdersTable[[#This Row],[Order Date]]</f>
        <v>4</v>
      </c>
      <c r="AD3860" t="str">
        <f>IF(OrdersTable[[#This Row],[Delivery Days]]&lt;=2, "Express (≤2d)", IF(OrdersTable[[#This Row],[Delivery Days]]&lt;=4, "Standard (3-4d)", "Delayed (5d+)"))</f>
        <v>Standard (3-4d)</v>
      </c>
      <c r="AE3860">
        <v>4</v>
      </c>
      <c r="AF3860">
        <v>0</v>
      </c>
    </row>
    <row r="3861" spans="1:32" ht="15" x14ac:dyDescent="0.35">
      <c r="A3861" t="s">
        <v>2455</v>
      </c>
      <c r="B3861" s="1">
        <v>45914</v>
      </c>
      <c r="C3861">
        <f>YEAR(OrdersTable[[#This Row],[Order Date]])</f>
        <v>2025</v>
      </c>
      <c r="D3861" s="2">
        <f>DATE(YEAR(OrdersTable[[#This Row],[Order Date]]),MONTH(OrdersTable[[#This Row],[Order Date]]),1)</f>
        <v>45901</v>
      </c>
      <c r="E3861">
        <f>MONTH(OrdersTable[[#This Row],[Order Date]])</f>
        <v>9</v>
      </c>
      <c r="F3861" t="s">
        <v>2456</v>
      </c>
      <c r="G3861" t="str">
        <f>IF(OrdersTable[[#This Row],[Order Date]]=_xlfn.MINIFS(Order_Date, Customer_ID, OrdersTable[[#This Row],[Customer ID]]), "New", "Repeat")</f>
        <v>Repeat</v>
      </c>
      <c r="H3861" t="s">
        <v>59</v>
      </c>
      <c r="I3861" t="str">
        <f>INDEX(State!B:B,MATCH(OrdersTable[[#This Row],[State]],State!A:A,0))</f>
        <v>TN</v>
      </c>
      <c r="J3861" t="str">
        <f>INDEX(State!C:C,MATCH(OrdersTable[[#This Row],[State Code]],State!B:B,0))</f>
        <v>South</v>
      </c>
      <c r="K3861" t="s">
        <v>64</v>
      </c>
      <c r="L3861" t="s">
        <v>23</v>
      </c>
      <c r="M3861" t="s">
        <v>24</v>
      </c>
      <c r="N3861" t="str">
        <f>INDEX(Products!B:B,MATCH(OrdersTable[[#This Row],[Product ID]],Products!A:A,0))</f>
        <v>Scented Candle Set</v>
      </c>
      <c r="O3861" t="str">
        <f>INDEX(Products!C:C,MATCH(OrdersTable[[#This Row],[Product ID]],Products!A:A,0))</f>
        <v>Home &amp; Kitchen</v>
      </c>
      <c r="P3861">
        <v>1</v>
      </c>
      <c r="Q3861" s="5">
        <v>699</v>
      </c>
      <c r="R3861" s="74">
        <v>0.25</v>
      </c>
      <c r="S3861" s="75">
        <f>OrdersTable[[#This Row],[Quantity]]*OrdersTable[[#This Row],[Unit Price]]</f>
        <v>699</v>
      </c>
      <c r="T3861" s="5">
        <f>OrdersTable[[#This Row],[Gross Sale]]*OrdersTable[[#This Row],[Discount_Clean2]]</f>
        <v>174.75</v>
      </c>
      <c r="U3861" s="5">
        <f>OrdersTable[[#This Row],[Gross Sale]]-OrdersTable[[#This Row],[Discount Amount]]</f>
        <v>524.25</v>
      </c>
      <c r="V3861" s="77">
        <f>INDEX(Products!E:E,MATCH(OrdersTable[[#This Row],[Product ID]],Products!A:A,0))</f>
        <v>245</v>
      </c>
      <c r="W3861" s="77">
        <f>OrdersTable[[#This Row],[Quantity]]*OrdersTable[[#This Row],[Unit Cost]]</f>
        <v>245</v>
      </c>
      <c r="X3861" s="77">
        <f>'Dropdown Lists'!$I$2*(1+OrdersTable[[#This Row],[Returned]])</f>
        <v>60</v>
      </c>
      <c r="Y3861" s="76">
        <f>OrdersTable[[#This Row],[Net Revenue]]-OrdersTable[[#This Row],[COGS]]-OrdersTable[[#This Row],[Shipping Cost]]</f>
        <v>219.25</v>
      </c>
      <c r="Z3861" s="78">
        <f>IFERROR(OrdersTable[[#This Row],[Profit]]/OrdersTable[[#This Row],[Net Revenue]],0)</f>
        <v>0.41821649976156416</v>
      </c>
      <c r="AA3861" t="s">
        <v>18</v>
      </c>
      <c r="AB3861" s="79">
        <v>45916</v>
      </c>
      <c r="AC3861">
        <f>OrdersTable[[#This Row],[Delivery Date]]-OrdersTable[[#This Row],[Order Date]]</f>
        <v>2</v>
      </c>
      <c r="AD3861" t="str">
        <f>IF(OrdersTable[[#This Row],[Delivery Days]]&lt;=2, "Express (≤2d)", IF(OrdersTable[[#This Row],[Delivery Days]]&lt;=4, "Standard (3-4d)", "Delayed (5d+)"))</f>
        <v>Express (≤2d)</v>
      </c>
      <c r="AE3861">
        <v>5</v>
      </c>
      <c r="AF3861">
        <v>0</v>
      </c>
    </row>
    <row r="3862" spans="1:32" ht="15" x14ac:dyDescent="0.35">
      <c r="A3862" t="s">
        <v>1184</v>
      </c>
      <c r="B3862" s="1">
        <v>45915</v>
      </c>
      <c r="C3862">
        <f>YEAR(OrdersTable[[#This Row],[Order Date]])</f>
        <v>2025</v>
      </c>
      <c r="D3862" s="2">
        <f>DATE(YEAR(OrdersTable[[#This Row],[Order Date]]),MONTH(OrdersTable[[#This Row],[Order Date]]),1)</f>
        <v>45901</v>
      </c>
      <c r="E3862">
        <f>MONTH(OrdersTable[[#This Row],[Order Date]])</f>
        <v>9</v>
      </c>
      <c r="F3862" t="s">
        <v>272</v>
      </c>
      <c r="G3862" t="str">
        <f>IF(OrdersTable[[#This Row],[Order Date]]=_xlfn.MINIFS(Order_Date, Customer_ID, OrdersTable[[#This Row],[Customer ID]]), "New", "Repeat")</f>
        <v>Repeat</v>
      </c>
      <c r="H3862" t="s">
        <v>54</v>
      </c>
      <c r="I3862" t="str">
        <f>INDEX(State!B:B,MATCH(OrdersTable[[#This Row],[State]],State!A:A,0))</f>
        <v>RJ</v>
      </c>
      <c r="J3862" t="str">
        <f>INDEX(State!C:C,MATCH(OrdersTable[[#This Row],[State Code]],State!B:B,0))</f>
        <v>North</v>
      </c>
      <c r="K3862" t="s">
        <v>55</v>
      </c>
      <c r="L3862" t="s">
        <v>50</v>
      </c>
      <c r="M3862" t="s">
        <v>152</v>
      </c>
      <c r="N3862" t="str">
        <f>INDEX(Products!B:B,MATCH(OrdersTable[[#This Row],[Product ID]],Products!A:A,0))</f>
        <v>Green Tea (100 bags)</v>
      </c>
      <c r="O3862" t="str">
        <f>INDEX(Products!C:C,MATCH(OrdersTable[[#This Row],[Product ID]],Products!A:A,0))</f>
        <v>Wellness</v>
      </c>
      <c r="P3862">
        <v>1</v>
      </c>
      <c r="Q3862" s="5">
        <v>399</v>
      </c>
      <c r="R3862" s="74">
        <v>0.45</v>
      </c>
      <c r="S3862" s="75">
        <f>OrdersTable[[#This Row],[Quantity]]*OrdersTable[[#This Row],[Unit Price]]</f>
        <v>399</v>
      </c>
      <c r="T3862" s="5">
        <f>OrdersTable[[#This Row],[Gross Sale]]*OrdersTable[[#This Row],[Discount_Clean2]]</f>
        <v>179.55</v>
      </c>
      <c r="U3862" s="5">
        <f>OrdersTable[[#This Row],[Gross Sale]]-OrdersTable[[#This Row],[Discount Amount]]</f>
        <v>219.45</v>
      </c>
      <c r="V3862" s="77">
        <f>INDEX(Products!E:E,MATCH(OrdersTable[[#This Row],[Product ID]],Products!A:A,0))</f>
        <v>128</v>
      </c>
      <c r="W3862" s="77">
        <f>OrdersTable[[#This Row],[Quantity]]*OrdersTable[[#This Row],[Unit Cost]]</f>
        <v>128</v>
      </c>
      <c r="X3862" s="77">
        <f>'Dropdown Lists'!$I$2*(1+OrdersTable[[#This Row],[Returned]])</f>
        <v>60</v>
      </c>
      <c r="Y3862" s="76">
        <f>OrdersTable[[#This Row],[Net Revenue]]-OrdersTable[[#This Row],[COGS]]-OrdersTable[[#This Row],[Shipping Cost]]</f>
        <v>31.449999999999989</v>
      </c>
      <c r="Z3862" s="78">
        <f>IFERROR(OrdersTable[[#This Row],[Profit]]/OrdersTable[[#This Row],[Net Revenue]],0)</f>
        <v>0.14331282752335381</v>
      </c>
      <c r="AA3862" t="s">
        <v>18</v>
      </c>
      <c r="AB3862" s="79">
        <v>45918</v>
      </c>
      <c r="AC3862">
        <f>OrdersTable[[#This Row],[Delivery Date]]-OrdersTable[[#This Row],[Order Date]]</f>
        <v>3</v>
      </c>
      <c r="AD3862" t="str">
        <f>IF(OrdersTable[[#This Row],[Delivery Days]]&lt;=2, "Express (≤2d)", IF(OrdersTable[[#This Row],[Delivery Days]]&lt;=4, "Standard (3-4d)", "Delayed (5d+)"))</f>
        <v>Standard (3-4d)</v>
      </c>
      <c r="AF3862">
        <v>0</v>
      </c>
    </row>
    <row r="3863" spans="1:32" ht="15" x14ac:dyDescent="0.35">
      <c r="A3863" t="s">
        <v>7114</v>
      </c>
      <c r="B3863" s="1">
        <v>45915</v>
      </c>
      <c r="C3863">
        <f>YEAR(OrdersTable[[#This Row],[Order Date]])</f>
        <v>2025</v>
      </c>
      <c r="D3863" s="2">
        <f>DATE(YEAR(OrdersTable[[#This Row],[Order Date]]),MONTH(OrdersTable[[#This Row],[Order Date]]),1)</f>
        <v>45901</v>
      </c>
      <c r="E3863">
        <f>MONTH(OrdersTable[[#This Row],[Order Date]])</f>
        <v>9</v>
      </c>
      <c r="F3863" t="s">
        <v>5148</v>
      </c>
      <c r="G3863" t="str">
        <f>IF(OrdersTable[[#This Row],[Order Date]]=_xlfn.MINIFS(Order_Date, Customer_ID, OrdersTable[[#This Row],[Customer ID]]), "New", "Repeat")</f>
        <v>Repeat</v>
      </c>
      <c r="H3863" t="s">
        <v>76</v>
      </c>
      <c r="I3863" t="str">
        <f>INDEX(State!B:B,MATCH(OrdersTable[[#This Row],[State]],State!A:A,0))</f>
        <v>UP</v>
      </c>
      <c r="J3863" t="str">
        <f>INDEX(State!C:C,MATCH(OrdersTable[[#This Row],[State Code]],State!B:B,0))</f>
        <v>North</v>
      </c>
      <c r="K3863" t="s">
        <v>118</v>
      </c>
      <c r="L3863" t="s">
        <v>16</v>
      </c>
      <c r="M3863" t="s">
        <v>34</v>
      </c>
      <c r="N3863" t="str">
        <f>INDEX(Products!B:B,MATCH(OrdersTable[[#This Row],[Product ID]],Products!A:A,0))</f>
        <v>Flip Flops</v>
      </c>
      <c r="O3863" t="str">
        <f>INDEX(Products!C:C,MATCH(OrdersTable[[#This Row],[Product ID]],Products!A:A,0))</f>
        <v>Footwear</v>
      </c>
      <c r="P3863">
        <v>4</v>
      </c>
      <c r="Q3863" s="5">
        <v>399</v>
      </c>
      <c r="R3863" s="74">
        <v>0.2</v>
      </c>
      <c r="S3863" s="75">
        <f>OrdersTable[[#This Row],[Quantity]]*OrdersTable[[#This Row],[Unit Price]]</f>
        <v>1596</v>
      </c>
      <c r="T3863" s="5">
        <f>OrdersTable[[#This Row],[Gross Sale]]*OrdersTable[[#This Row],[Discount_Clean2]]</f>
        <v>319.20000000000005</v>
      </c>
      <c r="U3863" s="5">
        <f>OrdersTable[[#This Row],[Gross Sale]]-OrdersTable[[#This Row],[Discount Amount]]</f>
        <v>1276.8</v>
      </c>
      <c r="V3863" s="77">
        <f>INDEX(Products!E:E,MATCH(OrdersTable[[#This Row],[Product ID]],Products!A:A,0))</f>
        <v>152</v>
      </c>
      <c r="W3863" s="77">
        <f>OrdersTable[[#This Row],[Quantity]]*OrdersTable[[#This Row],[Unit Cost]]</f>
        <v>608</v>
      </c>
      <c r="X3863" s="77">
        <f>'Dropdown Lists'!$I$2*(1+OrdersTable[[#This Row],[Returned]])</f>
        <v>60</v>
      </c>
      <c r="Y3863" s="76">
        <f>OrdersTable[[#This Row],[Net Revenue]]-OrdersTable[[#This Row],[COGS]]-OrdersTable[[#This Row],[Shipping Cost]]</f>
        <v>608.79999999999995</v>
      </c>
      <c r="Z3863" s="78">
        <f>IFERROR(OrdersTable[[#This Row],[Profit]]/OrdersTable[[#This Row],[Net Revenue]],0)</f>
        <v>0.47681704260651625</v>
      </c>
      <c r="AA3863" t="s">
        <v>18</v>
      </c>
      <c r="AB3863" s="79">
        <v>45918</v>
      </c>
      <c r="AC3863">
        <f>OrdersTable[[#This Row],[Delivery Date]]-OrdersTable[[#This Row],[Order Date]]</f>
        <v>3</v>
      </c>
      <c r="AD3863" t="str">
        <f>IF(OrdersTable[[#This Row],[Delivery Days]]&lt;=2, "Express (≤2d)", IF(OrdersTable[[#This Row],[Delivery Days]]&lt;=4, "Standard (3-4d)", "Delayed (5d+)"))</f>
        <v>Standard (3-4d)</v>
      </c>
      <c r="AE3863">
        <v>4</v>
      </c>
      <c r="AF3863">
        <v>0</v>
      </c>
    </row>
    <row r="3864" spans="1:32" ht="15" x14ac:dyDescent="0.35">
      <c r="A3864" t="s">
        <v>5028</v>
      </c>
      <c r="B3864" s="1">
        <v>45915</v>
      </c>
      <c r="C3864">
        <f>YEAR(OrdersTable[[#This Row],[Order Date]])</f>
        <v>2025</v>
      </c>
      <c r="D3864" s="2">
        <f>DATE(YEAR(OrdersTable[[#This Row],[Order Date]]),MONTH(OrdersTable[[#This Row],[Order Date]]),1)</f>
        <v>45901</v>
      </c>
      <c r="E3864">
        <f>MONTH(OrdersTable[[#This Row],[Order Date]])</f>
        <v>9</v>
      </c>
      <c r="F3864" t="s">
        <v>893</v>
      </c>
      <c r="G3864" t="str">
        <f>IF(OrdersTable[[#This Row],[Order Date]]=_xlfn.MINIFS(Order_Date, Customer_ID, OrdersTable[[#This Row],[Customer ID]]), "New", "Repeat")</f>
        <v>Repeat</v>
      </c>
      <c r="H3864" t="s">
        <v>76</v>
      </c>
      <c r="I3864" t="str">
        <f>INDEX(State!B:B,MATCH(OrdersTable[[#This Row],[State]],State!A:A,0))</f>
        <v>UP</v>
      </c>
      <c r="J3864" t="str">
        <f>INDEX(State!C:C,MATCH(OrdersTable[[#This Row],[State Code]],State!B:B,0))</f>
        <v>North</v>
      </c>
      <c r="K3864" t="s">
        <v>105</v>
      </c>
      <c r="L3864" t="s">
        <v>23</v>
      </c>
      <c r="M3864" t="s">
        <v>152</v>
      </c>
      <c r="N3864" t="str">
        <f>INDEX(Products!B:B,MATCH(OrdersTable[[#This Row],[Product ID]],Products!A:A,0))</f>
        <v>Green Tea (100 bags)</v>
      </c>
      <c r="O3864" t="str">
        <f>INDEX(Products!C:C,MATCH(OrdersTable[[#This Row],[Product ID]],Products!A:A,0))</f>
        <v>Wellness</v>
      </c>
      <c r="P3864">
        <v>2</v>
      </c>
      <c r="Q3864" s="5">
        <v>399</v>
      </c>
      <c r="R3864" s="74">
        <v>0.4</v>
      </c>
      <c r="S3864" s="75">
        <f>OrdersTable[[#This Row],[Quantity]]*OrdersTable[[#This Row],[Unit Price]]</f>
        <v>798</v>
      </c>
      <c r="T3864" s="5">
        <f>OrdersTable[[#This Row],[Gross Sale]]*OrdersTable[[#This Row],[Discount_Clean2]]</f>
        <v>319.20000000000005</v>
      </c>
      <c r="U3864" s="5">
        <f>OrdersTable[[#This Row],[Gross Sale]]-OrdersTable[[#This Row],[Discount Amount]]</f>
        <v>478.79999999999995</v>
      </c>
      <c r="V3864" s="77">
        <f>INDEX(Products!E:E,MATCH(OrdersTable[[#This Row],[Product ID]],Products!A:A,0))</f>
        <v>128</v>
      </c>
      <c r="W3864" s="77">
        <f>OrdersTable[[#This Row],[Quantity]]*OrdersTable[[#This Row],[Unit Cost]]</f>
        <v>256</v>
      </c>
      <c r="X3864" s="77">
        <f>'Dropdown Lists'!$I$2*(1+OrdersTable[[#This Row],[Returned]])</f>
        <v>60</v>
      </c>
      <c r="Y3864" s="76">
        <f>OrdersTable[[#This Row],[Net Revenue]]-OrdersTable[[#This Row],[COGS]]-OrdersTable[[#This Row],[Shipping Cost]]</f>
        <v>162.79999999999995</v>
      </c>
      <c r="Z3864" s="78">
        <f>IFERROR(OrdersTable[[#This Row],[Profit]]/OrdersTable[[#This Row],[Net Revenue]],0)</f>
        <v>0.34001670843776099</v>
      </c>
      <c r="AA3864" t="s">
        <v>4074</v>
      </c>
      <c r="AB3864" s="79">
        <v>45919</v>
      </c>
      <c r="AC3864">
        <f>OrdersTable[[#This Row],[Delivery Date]]-OrdersTable[[#This Row],[Order Date]]</f>
        <v>4</v>
      </c>
      <c r="AD3864" t="str">
        <f>IF(OrdersTable[[#This Row],[Delivery Days]]&lt;=2, "Express (≤2d)", IF(OrdersTable[[#This Row],[Delivery Days]]&lt;=4, "Standard (3-4d)", "Delayed (5d+)"))</f>
        <v>Standard (3-4d)</v>
      </c>
      <c r="AF3864">
        <v>0</v>
      </c>
    </row>
    <row r="3865" spans="1:32" ht="15" x14ac:dyDescent="0.35">
      <c r="A3865" t="s">
        <v>4176</v>
      </c>
      <c r="B3865" s="1">
        <v>45915</v>
      </c>
      <c r="C3865">
        <f>YEAR(OrdersTable[[#This Row],[Order Date]])</f>
        <v>2025</v>
      </c>
      <c r="D3865" s="2">
        <f>DATE(YEAR(OrdersTable[[#This Row],[Order Date]]),MONTH(OrdersTable[[#This Row],[Order Date]]),1)</f>
        <v>45901</v>
      </c>
      <c r="E3865">
        <f>MONTH(OrdersTable[[#This Row],[Order Date]])</f>
        <v>9</v>
      </c>
      <c r="F3865" t="s">
        <v>4177</v>
      </c>
      <c r="G3865" t="str">
        <f>IF(OrdersTable[[#This Row],[Order Date]]=_xlfn.MINIFS(Order_Date, Customer_ID, OrdersTable[[#This Row],[Customer ID]]), "New", "Repeat")</f>
        <v>Repeat</v>
      </c>
      <c r="H3865" t="s">
        <v>132</v>
      </c>
      <c r="I3865" t="str">
        <f>INDEX(State!B:B,MATCH(OrdersTable[[#This Row],[State]],State!A:A,0))</f>
        <v>AS</v>
      </c>
      <c r="J3865" t="str">
        <f>INDEX(State!C:C,MATCH(OrdersTable[[#This Row],[State Code]],State!B:B,0))</f>
        <v>East</v>
      </c>
      <c r="K3865" t="s">
        <v>133</v>
      </c>
      <c r="L3865" t="s">
        <v>23</v>
      </c>
      <c r="M3865" t="s">
        <v>73</v>
      </c>
      <c r="N3865" t="str">
        <f>INDEX(Products!B:B,MATCH(OrdersTable[[#This Row],[Product ID]],Products!A:A,0))</f>
        <v>Hydrating Face Wash</v>
      </c>
      <c r="O3865" t="str">
        <f>INDEX(Products!C:C,MATCH(OrdersTable[[#This Row],[Product ID]],Products!A:A,0))</f>
        <v>Skincare</v>
      </c>
      <c r="P3865">
        <v>1</v>
      </c>
      <c r="Q3865" s="5">
        <v>299</v>
      </c>
      <c r="R3865" s="74">
        <v>0</v>
      </c>
      <c r="S3865" s="75">
        <f>OrdersTable[[#This Row],[Quantity]]*OrdersTable[[#This Row],[Unit Price]]</f>
        <v>299</v>
      </c>
      <c r="T3865" s="5">
        <f>OrdersTable[[#This Row],[Gross Sale]]*OrdersTable[[#This Row],[Discount_Clean2]]</f>
        <v>0</v>
      </c>
      <c r="U3865" s="5">
        <f>OrdersTable[[#This Row],[Gross Sale]]-OrdersTable[[#This Row],[Discount Amount]]</f>
        <v>299</v>
      </c>
      <c r="V3865" s="77">
        <f>INDEX(Products!E:E,MATCH(OrdersTable[[#This Row],[Product ID]],Products!A:A,0))</f>
        <v>90</v>
      </c>
      <c r="W3865" s="77">
        <f>OrdersTable[[#This Row],[Quantity]]*OrdersTable[[#This Row],[Unit Cost]]</f>
        <v>90</v>
      </c>
      <c r="X3865" s="77">
        <f>'Dropdown Lists'!$I$2*(1+OrdersTable[[#This Row],[Returned]])</f>
        <v>120</v>
      </c>
      <c r="Y3865" s="76">
        <f>OrdersTable[[#This Row],[Net Revenue]]-OrdersTable[[#This Row],[COGS]]-OrdersTable[[#This Row],[Shipping Cost]]</f>
        <v>89</v>
      </c>
      <c r="Z3865" s="78">
        <f>IFERROR(OrdersTable[[#This Row],[Profit]]/OrdersTable[[#This Row],[Net Revenue]],0)</f>
        <v>0.2976588628762542</v>
      </c>
      <c r="AA3865" t="s">
        <v>4074</v>
      </c>
      <c r="AB3865" s="79">
        <v>45922</v>
      </c>
      <c r="AC3865">
        <f>OrdersTable[[#This Row],[Delivery Date]]-OrdersTable[[#This Row],[Order Date]]</f>
        <v>7</v>
      </c>
      <c r="AD3865" t="str">
        <f>IF(OrdersTable[[#This Row],[Delivery Days]]&lt;=2, "Express (≤2d)", IF(OrdersTable[[#This Row],[Delivery Days]]&lt;=4, "Standard (3-4d)", "Delayed (5d+)"))</f>
        <v>Delayed (5d+)</v>
      </c>
      <c r="AE3865">
        <v>3</v>
      </c>
      <c r="AF3865">
        <v>1</v>
      </c>
    </row>
    <row r="3866" spans="1:32" ht="15" x14ac:dyDescent="0.35">
      <c r="A3866" t="s">
        <v>2833</v>
      </c>
      <c r="B3866" s="1">
        <v>45915</v>
      </c>
      <c r="C3866">
        <f>YEAR(OrdersTable[[#This Row],[Order Date]])</f>
        <v>2025</v>
      </c>
      <c r="D3866" s="2">
        <f>DATE(YEAR(OrdersTable[[#This Row],[Order Date]]),MONTH(OrdersTable[[#This Row],[Order Date]]),1)</f>
        <v>45901</v>
      </c>
      <c r="E3866">
        <f>MONTH(OrdersTable[[#This Row],[Order Date]])</f>
        <v>9</v>
      </c>
      <c r="F3866" t="s">
        <v>915</v>
      </c>
      <c r="G3866" t="str">
        <f>IF(OrdersTable[[#This Row],[Order Date]]=_xlfn.MINIFS(Order_Date, Customer_ID, OrdersTable[[#This Row],[Customer ID]]), "New", "Repeat")</f>
        <v>Repeat</v>
      </c>
      <c r="H3866" t="s">
        <v>316</v>
      </c>
      <c r="I3866" t="str">
        <f>INDEX(State!B:B,MATCH(OrdersTable[[#This Row],[State]],State!A:A,0))</f>
        <v>KL</v>
      </c>
      <c r="J3866" t="str">
        <f>INDEX(State!C:C,MATCH(OrdersTable[[#This Row],[State Code]],State!B:B,0))</f>
        <v>South</v>
      </c>
      <c r="K3866" t="s">
        <v>317</v>
      </c>
      <c r="L3866" t="s">
        <v>23</v>
      </c>
      <c r="M3866" t="s">
        <v>29</v>
      </c>
      <c r="N3866" t="str">
        <f>INDEX(Products!B:B,MATCH(OrdersTable[[#This Row],[Product ID]],Products!A:A,0))</f>
        <v>Joggers</v>
      </c>
      <c r="O3866" t="str">
        <f>INDEX(Products!C:C,MATCH(OrdersTable[[#This Row],[Product ID]],Products!A:A,0))</f>
        <v>Apparel</v>
      </c>
      <c r="P3866">
        <v>1</v>
      </c>
      <c r="Q3866" s="5">
        <v>1199</v>
      </c>
      <c r="R3866" s="74">
        <v>0.15</v>
      </c>
      <c r="S3866" s="75">
        <f>OrdersTable[[#This Row],[Quantity]]*OrdersTable[[#This Row],[Unit Price]]</f>
        <v>1199</v>
      </c>
      <c r="T3866" s="5">
        <f>OrdersTable[[#This Row],[Gross Sale]]*OrdersTable[[#This Row],[Discount_Clean2]]</f>
        <v>179.85</v>
      </c>
      <c r="U3866" s="5">
        <f>OrdersTable[[#This Row],[Gross Sale]]-OrdersTable[[#This Row],[Discount Amount]]</f>
        <v>1019.15</v>
      </c>
      <c r="V3866" s="77">
        <f>INDEX(Products!E:E,MATCH(OrdersTable[[#This Row],[Product ID]],Products!A:A,0))</f>
        <v>492</v>
      </c>
      <c r="W3866" s="77">
        <f>OrdersTable[[#This Row],[Quantity]]*OrdersTable[[#This Row],[Unit Cost]]</f>
        <v>492</v>
      </c>
      <c r="X3866" s="77">
        <f>'Dropdown Lists'!$I$2*(1+OrdersTable[[#This Row],[Returned]])</f>
        <v>60</v>
      </c>
      <c r="Y3866" s="76">
        <f>OrdersTable[[#This Row],[Net Revenue]]-OrdersTable[[#This Row],[COGS]]-OrdersTable[[#This Row],[Shipping Cost]]</f>
        <v>467.15</v>
      </c>
      <c r="Z3866" s="78">
        <f>IFERROR(OrdersTable[[#This Row],[Profit]]/OrdersTable[[#This Row],[Net Revenue]],0)</f>
        <v>0.45837217288917231</v>
      </c>
      <c r="AA3866" t="s">
        <v>2522</v>
      </c>
      <c r="AB3866" s="79">
        <v>45919</v>
      </c>
      <c r="AC3866">
        <f>OrdersTable[[#This Row],[Delivery Date]]-OrdersTable[[#This Row],[Order Date]]</f>
        <v>4</v>
      </c>
      <c r="AD3866" t="str">
        <f>IF(OrdersTable[[#This Row],[Delivery Days]]&lt;=2, "Express (≤2d)", IF(OrdersTable[[#This Row],[Delivery Days]]&lt;=4, "Standard (3-4d)", "Delayed (5d+)"))</f>
        <v>Standard (3-4d)</v>
      </c>
      <c r="AE3866">
        <v>3</v>
      </c>
      <c r="AF3866">
        <v>0</v>
      </c>
    </row>
    <row r="3867" spans="1:32" ht="15" x14ac:dyDescent="0.35">
      <c r="A3867" t="s">
        <v>3926</v>
      </c>
      <c r="B3867" s="1">
        <v>45915</v>
      </c>
      <c r="C3867">
        <f>YEAR(OrdersTable[[#This Row],[Order Date]])</f>
        <v>2025</v>
      </c>
      <c r="D3867" s="2">
        <f>DATE(YEAR(OrdersTable[[#This Row],[Order Date]]),MONTH(OrdersTable[[#This Row],[Order Date]]),1)</f>
        <v>45901</v>
      </c>
      <c r="E3867">
        <f>MONTH(OrdersTable[[#This Row],[Order Date]])</f>
        <v>9</v>
      </c>
      <c r="F3867" t="s">
        <v>3927</v>
      </c>
      <c r="G3867" t="str">
        <f>IF(OrdersTable[[#This Row],[Order Date]]=_xlfn.MINIFS(Order_Date, Customer_ID, OrdersTable[[#This Row],[Customer ID]]), "New", "Repeat")</f>
        <v>New</v>
      </c>
      <c r="H3867" t="s">
        <v>316</v>
      </c>
      <c r="I3867" t="str">
        <f>INDEX(State!B:B,MATCH(OrdersTable[[#This Row],[State]],State!A:A,0))</f>
        <v>KL</v>
      </c>
      <c r="J3867" t="str">
        <f>INDEX(State!C:C,MATCH(OrdersTable[[#This Row],[State Code]],State!B:B,0))</f>
        <v>South</v>
      </c>
      <c r="K3867" t="s">
        <v>317</v>
      </c>
      <c r="L3867" t="s">
        <v>16</v>
      </c>
      <c r="M3867" t="s">
        <v>17</v>
      </c>
      <c r="N3867" t="str">
        <f>INDEX(Products!B:B,MATCH(OrdersTable[[#This Row],[Product ID]],Products!A:A,0))</f>
        <v>Casual Sneakers</v>
      </c>
      <c r="O3867" t="str">
        <f>INDEX(Products!C:C,MATCH(OrdersTable[[#This Row],[Product ID]],Products!A:A,0))</f>
        <v>Footwear</v>
      </c>
      <c r="P3867">
        <v>1</v>
      </c>
      <c r="Q3867" s="5">
        <v>2199</v>
      </c>
      <c r="R3867" s="74">
        <v>0.2</v>
      </c>
      <c r="S3867" s="75">
        <f>OrdersTable[[#This Row],[Quantity]]*OrdersTable[[#This Row],[Unit Price]]</f>
        <v>2199</v>
      </c>
      <c r="T3867" s="5">
        <f>OrdersTable[[#This Row],[Gross Sale]]*OrdersTable[[#This Row],[Discount_Clean2]]</f>
        <v>439.8</v>
      </c>
      <c r="U3867" s="5">
        <f>OrdersTable[[#This Row],[Gross Sale]]-OrdersTable[[#This Row],[Discount Amount]]</f>
        <v>1759.2</v>
      </c>
      <c r="V3867" s="77">
        <f>INDEX(Products!E:E,MATCH(OrdersTable[[#This Row],[Product ID]],Products!A:A,0))</f>
        <v>1034</v>
      </c>
      <c r="W3867" s="77">
        <f>OrdersTable[[#This Row],[Quantity]]*OrdersTable[[#This Row],[Unit Cost]]</f>
        <v>1034</v>
      </c>
      <c r="X3867" s="77">
        <f>'Dropdown Lists'!$I$2*(1+OrdersTable[[#This Row],[Returned]])</f>
        <v>60</v>
      </c>
      <c r="Y3867" s="76">
        <f>OrdersTable[[#This Row],[Net Revenue]]-OrdersTable[[#This Row],[COGS]]-OrdersTable[[#This Row],[Shipping Cost]]</f>
        <v>665.2</v>
      </c>
      <c r="Z3867" s="78">
        <f>IFERROR(OrdersTable[[#This Row],[Profit]]/OrdersTable[[#This Row],[Net Revenue]],0)</f>
        <v>0.37812642110050027</v>
      </c>
      <c r="AA3867" t="s">
        <v>3495</v>
      </c>
      <c r="AB3867" s="79">
        <v>45919</v>
      </c>
      <c r="AC3867">
        <f>OrdersTable[[#This Row],[Delivery Date]]-OrdersTable[[#This Row],[Order Date]]</f>
        <v>4</v>
      </c>
      <c r="AD3867" t="str">
        <f>IF(OrdersTable[[#This Row],[Delivery Days]]&lt;=2, "Express (≤2d)", IF(OrdersTable[[#This Row],[Delivery Days]]&lt;=4, "Standard (3-4d)", "Delayed (5d+)"))</f>
        <v>Standard (3-4d)</v>
      </c>
      <c r="AE3867">
        <v>3</v>
      </c>
      <c r="AF3867">
        <v>0</v>
      </c>
    </row>
    <row r="3868" spans="1:32" ht="15" x14ac:dyDescent="0.35">
      <c r="A3868" t="s">
        <v>4723</v>
      </c>
      <c r="B3868" s="1">
        <v>45916</v>
      </c>
      <c r="C3868">
        <f>YEAR(OrdersTable[[#This Row],[Order Date]])</f>
        <v>2025</v>
      </c>
      <c r="D3868" s="2">
        <f>DATE(YEAR(OrdersTable[[#This Row],[Order Date]]),MONTH(OrdersTable[[#This Row],[Order Date]]),1)</f>
        <v>45901</v>
      </c>
      <c r="E3868">
        <f>MONTH(OrdersTable[[#This Row],[Order Date]])</f>
        <v>9</v>
      </c>
      <c r="F3868" t="s">
        <v>4724</v>
      </c>
      <c r="G3868" t="str">
        <f>IF(OrdersTable[[#This Row],[Order Date]]=_xlfn.MINIFS(Order_Date, Customer_ID, OrdersTable[[#This Row],[Customer ID]]), "New", "Repeat")</f>
        <v>New</v>
      </c>
      <c r="H3868" t="s">
        <v>210</v>
      </c>
      <c r="I3868" t="str">
        <f>INDEX(State!B:B,MATCH(OrdersTable[[#This Row],[State]],State!A:A,0))</f>
        <v>JK</v>
      </c>
      <c r="J3868" t="str">
        <f>INDEX(State!C:C,MATCH(OrdersTable[[#This Row],[State Code]],State!B:B,0))</f>
        <v>North</v>
      </c>
      <c r="K3868" t="s">
        <v>415</v>
      </c>
      <c r="L3868" t="s">
        <v>50</v>
      </c>
      <c r="M3868" t="s">
        <v>45</v>
      </c>
      <c r="N3868" t="str">
        <f>INDEX(Products!B:B,MATCH(OrdersTable[[#This Row],[Product ID]],Products!A:A,0))</f>
        <v>Argan Shampoo</v>
      </c>
      <c r="O3868" t="str">
        <f>INDEX(Products!C:C,MATCH(OrdersTable[[#This Row],[Product ID]],Products!A:A,0))</f>
        <v>Haircare</v>
      </c>
      <c r="P3868">
        <v>1</v>
      </c>
      <c r="Q3868" s="5">
        <v>449</v>
      </c>
      <c r="R3868" s="74">
        <v>0</v>
      </c>
      <c r="S3868" s="75">
        <f>OrdersTable[[#This Row],[Quantity]]*OrdersTable[[#This Row],[Unit Price]]</f>
        <v>449</v>
      </c>
      <c r="T3868" s="5">
        <f>OrdersTable[[#This Row],[Gross Sale]]*OrdersTable[[#This Row],[Discount_Clean2]]</f>
        <v>0</v>
      </c>
      <c r="U3868" s="5">
        <f>OrdersTable[[#This Row],[Gross Sale]]-OrdersTable[[#This Row],[Discount Amount]]</f>
        <v>449</v>
      </c>
      <c r="V3868" s="77">
        <f>INDEX(Products!E:E,MATCH(OrdersTable[[#This Row],[Product ID]],Products!A:A,0))</f>
        <v>148</v>
      </c>
      <c r="W3868" s="77">
        <f>OrdersTable[[#This Row],[Quantity]]*OrdersTable[[#This Row],[Unit Cost]]</f>
        <v>148</v>
      </c>
      <c r="X3868" s="77">
        <f>'Dropdown Lists'!$I$2*(1+OrdersTable[[#This Row],[Returned]])</f>
        <v>60</v>
      </c>
      <c r="Y3868" s="76">
        <f>OrdersTable[[#This Row],[Net Revenue]]-OrdersTable[[#This Row],[COGS]]-OrdersTable[[#This Row],[Shipping Cost]]</f>
        <v>241</v>
      </c>
      <c r="Z3868" s="78">
        <f>IFERROR(OrdersTable[[#This Row],[Profit]]/OrdersTable[[#This Row],[Net Revenue]],0)</f>
        <v>0.53674832962138086</v>
      </c>
      <c r="AA3868" t="s">
        <v>4450</v>
      </c>
      <c r="AB3868" s="79">
        <v>45922</v>
      </c>
      <c r="AC3868">
        <f>OrdersTable[[#This Row],[Delivery Date]]-OrdersTable[[#This Row],[Order Date]]</f>
        <v>6</v>
      </c>
      <c r="AD3868" t="str">
        <f>IF(OrdersTable[[#This Row],[Delivery Days]]&lt;=2, "Express (≤2d)", IF(OrdersTable[[#This Row],[Delivery Days]]&lt;=4, "Standard (3-4d)", "Delayed (5d+)"))</f>
        <v>Delayed (5d+)</v>
      </c>
      <c r="AE3868">
        <v>3</v>
      </c>
      <c r="AF3868">
        <v>0</v>
      </c>
    </row>
    <row r="3869" spans="1:32" ht="15" x14ac:dyDescent="0.35">
      <c r="A3869" t="s">
        <v>2657</v>
      </c>
      <c r="B3869" s="1">
        <v>45916</v>
      </c>
      <c r="C3869">
        <f>YEAR(OrdersTable[[#This Row],[Order Date]])</f>
        <v>2025</v>
      </c>
      <c r="D3869" s="2">
        <f>DATE(YEAR(OrdersTable[[#This Row],[Order Date]]),MONTH(OrdersTable[[#This Row],[Order Date]]),1)</f>
        <v>45901</v>
      </c>
      <c r="E3869">
        <f>MONTH(OrdersTable[[#This Row],[Order Date]])</f>
        <v>9</v>
      </c>
      <c r="F3869" t="s">
        <v>2658</v>
      </c>
      <c r="G3869" t="str">
        <f>IF(OrdersTable[[#This Row],[Order Date]]=_xlfn.MINIFS(Order_Date, Customer_ID, OrdersTable[[#This Row],[Customer ID]]), "New", "Repeat")</f>
        <v>Repeat</v>
      </c>
      <c r="H3869" t="s">
        <v>128</v>
      </c>
      <c r="I3869" t="str">
        <f>INDEX(State!B:B,MATCH(OrdersTable[[#This Row],[State]],State!A:A,0))</f>
        <v>DL</v>
      </c>
      <c r="J3869" t="str">
        <f>INDEX(State!C:C,MATCH(OrdersTable[[#This Row],[State Code]],State!B:B,0))</f>
        <v>North</v>
      </c>
      <c r="K3869" t="s">
        <v>129</v>
      </c>
      <c r="L3869" t="s">
        <v>39</v>
      </c>
      <c r="M3869" t="s">
        <v>92</v>
      </c>
      <c r="N3869" t="str">
        <f>INDEX(Products!B:B,MATCH(OrdersTable[[#This Row],[Product ID]],Products!A:A,0))</f>
        <v>Kolhapuri Sandals</v>
      </c>
      <c r="O3869" t="str">
        <f>INDEX(Products!C:C,MATCH(OrdersTable[[#This Row],[Product ID]],Products!A:A,0))</f>
        <v>Footwear</v>
      </c>
      <c r="P3869">
        <v>1</v>
      </c>
      <c r="Q3869" s="5">
        <v>999</v>
      </c>
      <c r="R3869" s="74">
        <v>0.1</v>
      </c>
      <c r="S3869" s="75">
        <f>OrdersTable[[#This Row],[Quantity]]*OrdersTable[[#This Row],[Unit Price]]</f>
        <v>999</v>
      </c>
      <c r="T3869" s="5">
        <f>OrdersTable[[#This Row],[Gross Sale]]*OrdersTable[[#This Row],[Discount_Clean2]]</f>
        <v>99.9</v>
      </c>
      <c r="U3869" s="5">
        <f>OrdersTable[[#This Row],[Gross Sale]]-OrdersTable[[#This Row],[Discount Amount]]</f>
        <v>899.1</v>
      </c>
      <c r="V3869" s="77">
        <f>INDEX(Products!E:E,MATCH(OrdersTable[[#This Row],[Product ID]],Products!A:A,0))</f>
        <v>400</v>
      </c>
      <c r="W3869" s="77">
        <f>OrdersTable[[#This Row],[Quantity]]*OrdersTable[[#This Row],[Unit Cost]]</f>
        <v>400</v>
      </c>
      <c r="X3869" s="77">
        <f>'Dropdown Lists'!$I$2*(1+OrdersTable[[#This Row],[Returned]])</f>
        <v>60</v>
      </c>
      <c r="Y3869" s="76">
        <f>OrdersTable[[#This Row],[Net Revenue]]-OrdersTable[[#This Row],[COGS]]-OrdersTable[[#This Row],[Shipping Cost]]</f>
        <v>439.1</v>
      </c>
      <c r="Z3869" s="78">
        <f>IFERROR(OrdersTable[[#This Row],[Profit]]/OrdersTable[[#This Row],[Net Revenue]],0)</f>
        <v>0.48837726615504395</v>
      </c>
      <c r="AA3869" t="s">
        <v>2522</v>
      </c>
      <c r="AB3869" s="79">
        <v>45917</v>
      </c>
      <c r="AC3869">
        <f>OrdersTable[[#This Row],[Delivery Date]]-OrdersTable[[#This Row],[Order Date]]</f>
        <v>1</v>
      </c>
      <c r="AD3869" t="str">
        <f>IF(OrdersTable[[#This Row],[Delivery Days]]&lt;=2, "Express (≤2d)", IF(OrdersTable[[#This Row],[Delivery Days]]&lt;=4, "Standard (3-4d)", "Delayed (5d+)"))</f>
        <v>Express (≤2d)</v>
      </c>
      <c r="AE3869">
        <v>5</v>
      </c>
      <c r="AF3869">
        <v>0</v>
      </c>
    </row>
    <row r="3870" spans="1:32" ht="15" x14ac:dyDescent="0.35">
      <c r="A3870" t="s">
        <v>667</v>
      </c>
      <c r="B3870" s="1">
        <v>45916</v>
      </c>
      <c r="C3870">
        <f>YEAR(OrdersTable[[#This Row],[Order Date]])</f>
        <v>2025</v>
      </c>
      <c r="D3870" s="2">
        <f>DATE(YEAR(OrdersTable[[#This Row],[Order Date]]),MONTH(OrdersTable[[#This Row],[Order Date]]),1)</f>
        <v>45901</v>
      </c>
      <c r="E3870">
        <f>MONTH(OrdersTable[[#This Row],[Order Date]])</f>
        <v>9</v>
      </c>
      <c r="F3870" t="s">
        <v>668</v>
      </c>
      <c r="G3870" t="str">
        <f>IF(OrdersTable[[#This Row],[Order Date]]=_xlfn.MINIFS(Order_Date, Customer_ID, OrdersTable[[#This Row],[Customer ID]]), "New", "Repeat")</f>
        <v>Repeat</v>
      </c>
      <c r="H3870" t="s">
        <v>76</v>
      </c>
      <c r="I3870" t="str">
        <f>INDEX(State!B:B,MATCH(OrdersTable[[#This Row],[State]],State!A:A,0))</f>
        <v>UP</v>
      </c>
      <c r="J3870" t="str">
        <f>INDEX(State!C:C,MATCH(OrdersTable[[#This Row],[State Code]],State!B:B,0))</f>
        <v>North</v>
      </c>
      <c r="K3870" t="s">
        <v>118</v>
      </c>
      <c r="L3870" t="s">
        <v>50</v>
      </c>
      <c r="M3870" t="s">
        <v>66</v>
      </c>
      <c r="N3870" t="str">
        <f>INDEX(Products!B:B,MATCH(OrdersTable[[#This Row],[Product ID]],Products!A:A,0))</f>
        <v>Sunscreen SPF 50</v>
      </c>
      <c r="O3870" t="str">
        <f>INDEX(Products!C:C,MATCH(OrdersTable[[#This Row],[Product ID]],Products!A:A,0))</f>
        <v>Skincare</v>
      </c>
      <c r="P3870">
        <v>1</v>
      </c>
      <c r="Q3870" s="5">
        <v>449</v>
      </c>
      <c r="R3870" s="74">
        <v>0.05</v>
      </c>
      <c r="S3870" s="75">
        <f>OrdersTable[[#This Row],[Quantity]]*OrdersTable[[#This Row],[Unit Price]]</f>
        <v>449</v>
      </c>
      <c r="T3870" s="5">
        <f>OrdersTable[[#This Row],[Gross Sale]]*OrdersTable[[#This Row],[Discount_Clean2]]</f>
        <v>22.450000000000003</v>
      </c>
      <c r="U3870" s="5">
        <f>OrdersTable[[#This Row],[Gross Sale]]-OrdersTable[[#This Row],[Discount Amount]]</f>
        <v>426.55</v>
      </c>
      <c r="V3870" s="77">
        <f>INDEX(Products!E:E,MATCH(OrdersTable[[#This Row],[Product ID]],Products!A:A,0))</f>
        <v>144</v>
      </c>
      <c r="W3870" s="77">
        <f>OrdersTable[[#This Row],[Quantity]]*OrdersTable[[#This Row],[Unit Cost]]</f>
        <v>144</v>
      </c>
      <c r="X3870" s="77">
        <f>'Dropdown Lists'!$I$2*(1+OrdersTable[[#This Row],[Returned]])</f>
        <v>60</v>
      </c>
      <c r="Y3870" s="76">
        <f>OrdersTable[[#This Row],[Net Revenue]]-OrdersTable[[#This Row],[COGS]]-OrdersTable[[#This Row],[Shipping Cost]]</f>
        <v>222.55</v>
      </c>
      <c r="Z3870" s="78">
        <f>IFERROR(OrdersTable[[#This Row],[Profit]]/OrdersTable[[#This Row],[Net Revenue]],0)</f>
        <v>0.52174422693705313</v>
      </c>
      <c r="AA3870" t="s">
        <v>18</v>
      </c>
      <c r="AB3870" s="79">
        <v>45920</v>
      </c>
      <c r="AC3870">
        <f>OrdersTable[[#This Row],[Delivery Date]]-OrdersTable[[#This Row],[Order Date]]</f>
        <v>4</v>
      </c>
      <c r="AD3870" t="str">
        <f>IF(OrdersTable[[#This Row],[Delivery Days]]&lt;=2, "Express (≤2d)", IF(OrdersTable[[#This Row],[Delivery Days]]&lt;=4, "Standard (3-4d)", "Delayed (5d+)"))</f>
        <v>Standard (3-4d)</v>
      </c>
      <c r="AE3870">
        <v>4</v>
      </c>
      <c r="AF3870">
        <v>0</v>
      </c>
    </row>
    <row r="3871" spans="1:32" ht="15" x14ac:dyDescent="0.35">
      <c r="A3871" t="s">
        <v>371</v>
      </c>
      <c r="B3871" s="1">
        <v>45916</v>
      </c>
      <c r="C3871">
        <f>YEAR(OrdersTable[[#This Row],[Order Date]])</f>
        <v>2025</v>
      </c>
      <c r="D3871" s="2">
        <f>DATE(YEAR(OrdersTable[[#This Row],[Order Date]]),MONTH(OrdersTable[[#This Row],[Order Date]]),1)</f>
        <v>45901</v>
      </c>
      <c r="E3871">
        <f>MONTH(OrdersTable[[#This Row],[Order Date]])</f>
        <v>9</v>
      </c>
      <c r="F3871" t="s">
        <v>372</v>
      </c>
      <c r="G3871" t="str">
        <f>IF(OrdersTable[[#This Row],[Order Date]]=_xlfn.MINIFS(Order_Date, Customer_ID, OrdersTable[[#This Row],[Customer ID]]), "New", "Repeat")</f>
        <v>Repeat</v>
      </c>
      <c r="H3871" t="s">
        <v>32</v>
      </c>
      <c r="I3871" t="str">
        <f>INDEX(State!B:B,MATCH(OrdersTable[[#This Row],[State]],State!A:A,0))</f>
        <v>BR</v>
      </c>
      <c r="J3871" t="str">
        <f>INDEX(State!C:C,MATCH(OrdersTable[[#This Row],[State Code]],State!B:B,0))</f>
        <v>East</v>
      </c>
      <c r="K3871" t="s">
        <v>33</v>
      </c>
      <c r="L3871" t="s">
        <v>65</v>
      </c>
      <c r="M3871" t="s">
        <v>34</v>
      </c>
      <c r="N3871" t="str">
        <f>INDEX(Products!B:B,MATCH(OrdersTable[[#This Row],[Product ID]],Products!A:A,0))</f>
        <v>Flip Flops</v>
      </c>
      <c r="O3871" t="str">
        <f>INDEX(Products!C:C,MATCH(OrdersTable[[#This Row],[Product ID]],Products!A:A,0))</f>
        <v>Footwear</v>
      </c>
      <c r="P3871">
        <v>1</v>
      </c>
      <c r="Q3871" s="5">
        <v>399</v>
      </c>
      <c r="R3871" s="74">
        <v>0.05</v>
      </c>
      <c r="S3871" s="75">
        <f>OrdersTable[[#This Row],[Quantity]]*OrdersTable[[#This Row],[Unit Price]]</f>
        <v>399</v>
      </c>
      <c r="T3871" s="5">
        <f>OrdersTable[[#This Row],[Gross Sale]]*OrdersTable[[#This Row],[Discount_Clean2]]</f>
        <v>19.950000000000003</v>
      </c>
      <c r="U3871" s="5">
        <f>OrdersTable[[#This Row],[Gross Sale]]-OrdersTable[[#This Row],[Discount Amount]]</f>
        <v>379.05</v>
      </c>
      <c r="V3871" s="77">
        <f>INDEX(Products!E:E,MATCH(OrdersTable[[#This Row],[Product ID]],Products!A:A,0))</f>
        <v>152</v>
      </c>
      <c r="W3871" s="77">
        <f>OrdersTable[[#This Row],[Quantity]]*OrdersTable[[#This Row],[Unit Cost]]</f>
        <v>152</v>
      </c>
      <c r="X3871" s="77">
        <f>'Dropdown Lists'!$I$2*(1+OrdersTable[[#This Row],[Returned]])</f>
        <v>60</v>
      </c>
      <c r="Y3871" s="76">
        <f>OrdersTable[[#This Row],[Net Revenue]]-OrdersTable[[#This Row],[COGS]]-OrdersTable[[#This Row],[Shipping Cost]]</f>
        <v>167.05</v>
      </c>
      <c r="Z3871" s="78">
        <f>IFERROR(OrdersTable[[#This Row],[Profit]]/OrdersTable[[#This Row],[Net Revenue]],0)</f>
        <v>0.44070703073473161</v>
      </c>
      <c r="AA3871" t="s">
        <v>18</v>
      </c>
      <c r="AB3871" s="79">
        <v>45921</v>
      </c>
      <c r="AC3871">
        <f>OrdersTable[[#This Row],[Delivery Date]]-OrdersTable[[#This Row],[Order Date]]</f>
        <v>5</v>
      </c>
      <c r="AD3871" t="str">
        <f>IF(OrdersTable[[#This Row],[Delivery Days]]&lt;=2, "Express (≤2d)", IF(OrdersTable[[#This Row],[Delivery Days]]&lt;=4, "Standard (3-4d)", "Delayed (5d+)"))</f>
        <v>Delayed (5d+)</v>
      </c>
      <c r="AE3871">
        <v>4</v>
      </c>
      <c r="AF3871">
        <v>0</v>
      </c>
    </row>
    <row r="3872" spans="1:32" ht="15" x14ac:dyDescent="0.35">
      <c r="A3872" t="s">
        <v>5438</v>
      </c>
      <c r="B3872" s="1">
        <v>45916</v>
      </c>
      <c r="C3872">
        <f>YEAR(OrdersTable[[#This Row],[Order Date]])</f>
        <v>2025</v>
      </c>
      <c r="D3872" s="2">
        <f>DATE(YEAR(OrdersTable[[#This Row],[Order Date]]),MONTH(OrdersTable[[#This Row],[Order Date]]),1)</f>
        <v>45901</v>
      </c>
      <c r="E3872">
        <f>MONTH(OrdersTable[[#This Row],[Order Date]])</f>
        <v>9</v>
      </c>
      <c r="F3872" t="s">
        <v>4151</v>
      </c>
      <c r="G3872" t="str">
        <f>IF(OrdersTable[[#This Row],[Order Date]]=_xlfn.MINIFS(Order_Date, Customer_ID, OrdersTable[[#This Row],[Customer ID]]), "New", "Repeat")</f>
        <v>Repeat</v>
      </c>
      <c r="H3872" t="s">
        <v>43</v>
      </c>
      <c r="I3872" t="str">
        <f>INDEX(State!B:B,MATCH(OrdersTable[[#This Row],[State]],State!A:A,0))</f>
        <v>MP</v>
      </c>
      <c r="J3872" t="str">
        <f>INDEX(State!C:C,MATCH(OrdersTable[[#This Row],[State Code]],State!B:B,0))</f>
        <v>West</v>
      </c>
      <c r="K3872" t="s">
        <v>44</v>
      </c>
      <c r="L3872" t="s">
        <v>39</v>
      </c>
      <c r="M3872" t="s">
        <v>40</v>
      </c>
      <c r="N3872" t="str">
        <f>INDEX(Products!B:B,MATCH(OrdersTable[[#This Row],[Product ID]],Products!A:A,0))</f>
        <v>Ashwagandha Capsules</v>
      </c>
      <c r="O3872" t="str">
        <f>INDEX(Products!C:C,MATCH(OrdersTable[[#This Row],[Product ID]],Products!A:A,0))</f>
        <v>Wellness</v>
      </c>
      <c r="P3872">
        <v>2</v>
      </c>
      <c r="Q3872" s="5">
        <v>499</v>
      </c>
      <c r="R3872" s="74">
        <v>0.05</v>
      </c>
      <c r="S3872" s="75">
        <f>OrdersTable[[#This Row],[Quantity]]*OrdersTable[[#This Row],[Unit Price]]</f>
        <v>998</v>
      </c>
      <c r="T3872" s="5">
        <f>OrdersTable[[#This Row],[Gross Sale]]*OrdersTable[[#This Row],[Discount_Clean2]]</f>
        <v>49.900000000000006</v>
      </c>
      <c r="U3872" s="5">
        <f>OrdersTable[[#This Row],[Gross Sale]]-OrdersTable[[#This Row],[Discount Amount]]</f>
        <v>948.1</v>
      </c>
      <c r="V3872" s="77">
        <f>INDEX(Products!E:E,MATCH(OrdersTable[[#This Row],[Product ID]],Products!A:A,0))</f>
        <v>150</v>
      </c>
      <c r="W3872" s="77">
        <f>OrdersTable[[#This Row],[Quantity]]*OrdersTable[[#This Row],[Unit Cost]]</f>
        <v>300</v>
      </c>
      <c r="X3872" s="77">
        <f>'Dropdown Lists'!$I$2*(1+OrdersTable[[#This Row],[Returned]])</f>
        <v>120</v>
      </c>
      <c r="Y3872" s="76">
        <f>OrdersTable[[#This Row],[Net Revenue]]-OrdersTable[[#This Row],[COGS]]-OrdersTable[[#This Row],[Shipping Cost]]</f>
        <v>528.1</v>
      </c>
      <c r="Z3872" s="78">
        <f>IFERROR(OrdersTable[[#This Row],[Profit]]/OrdersTable[[#This Row],[Net Revenue]],0)</f>
        <v>0.55700875435080688</v>
      </c>
      <c r="AA3872" t="s">
        <v>2522</v>
      </c>
      <c r="AB3872" s="79">
        <v>45918</v>
      </c>
      <c r="AC3872">
        <f>OrdersTable[[#This Row],[Delivery Date]]-OrdersTable[[#This Row],[Order Date]]</f>
        <v>2</v>
      </c>
      <c r="AD3872" t="str">
        <f>IF(OrdersTable[[#This Row],[Delivery Days]]&lt;=2, "Express (≤2d)", IF(OrdersTable[[#This Row],[Delivery Days]]&lt;=4, "Standard (3-4d)", "Delayed (5d+)"))</f>
        <v>Express (≤2d)</v>
      </c>
      <c r="AF3872">
        <v>1</v>
      </c>
    </row>
    <row r="3873" spans="1:32" ht="15" x14ac:dyDescent="0.35">
      <c r="A3873" t="s">
        <v>3798</v>
      </c>
      <c r="B3873" s="1">
        <v>45916</v>
      </c>
      <c r="C3873">
        <f>YEAR(OrdersTable[[#This Row],[Order Date]])</f>
        <v>2025</v>
      </c>
      <c r="D3873" s="2">
        <f>DATE(YEAR(OrdersTable[[#This Row],[Order Date]]),MONTH(OrdersTable[[#This Row],[Order Date]]),1)</f>
        <v>45901</v>
      </c>
      <c r="E3873">
        <f>MONTH(OrdersTable[[#This Row],[Order Date]])</f>
        <v>9</v>
      </c>
      <c r="F3873" t="s">
        <v>639</v>
      </c>
      <c r="G3873" t="str">
        <f>IF(OrdersTable[[#This Row],[Order Date]]=_xlfn.MINIFS(Order_Date, Customer_ID, OrdersTable[[#This Row],[Customer ID]]), "New", "Repeat")</f>
        <v>Repeat</v>
      </c>
      <c r="H3873" t="s">
        <v>71</v>
      </c>
      <c r="I3873" t="str">
        <f>INDEX(State!B:B,MATCH(OrdersTable[[#This Row],[State]],State!A:A,0))</f>
        <v>MH</v>
      </c>
      <c r="J3873" t="str">
        <f>INDEX(State!C:C,MATCH(OrdersTable[[#This Row],[State Code]],State!B:B,0))</f>
        <v>West</v>
      </c>
      <c r="K3873" t="s">
        <v>81</v>
      </c>
      <c r="L3873" t="s">
        <v>16</v>
      </c>
      <c r="M3873" t="s">
        <v>34</v>
      </c>
      <c r="N3873" t="str">
        <f>INDEX(Products!B:B,MATCH(OrdersTable[[#This Row],[Product ID]],Products!A:A,0))</f>
        <v>Flip Flops</v>
      </c>
      <c r="O3873" t="str">
        <f>INDEX(Products!C:C,MATCH(OrdersTable[[#This Row],[Product ID]],Products!A:A,0))</f>
        <v>Footwear</v>
      </c>
      <c r="P3873">
        <v>1</v>
      </c>
      <c r="Q3873" s="5">
        <v>399</v>
      </c>
      <c r="R3873" s="74">
        <v>0.1</v>
      </c>
      <c r="S3873" s="75">
        <f>OrdersTable[[#This Row],[Quantity]]*OrdersTable[[#This Row],[Unit Price]]</f>
        <v>399</v>
      </c>
      <c r="T3873" s="5">
        <f>OrdersTable[[#This Row],[Gross Sale]]*OrdersTable[[#This Row],[Discount_Clean2]]</f>
        <v>39.900000000000006</v>
      </c>
      <c r="U3873" s="5">
        <f>OrdersTable[[#This Row],[Gross Sale]]-OrdersTable[[#This Row],[Discount Amount]]</f>
        <v>359.1</v>
      </c>
      <c r="V3873" s="77">
        <f>INDEX(Products!E:E,MATCH(OrdersTable[[#This Row],[Product ID]],Products!A:A,0))</f>
        <v>152</v>
      </c>
      <c r="W3873" s="77">
        <f>OrdersTable[[#This Row],[Quantity]]*OrdersTable[[#This Row],[Unit Cost]]</f>
        <v>152</v>
      </c>
      <c r="X3873" s="77">
        <f>'Dropdown Lists'!$I$2*(1+OrdersTable[[#This Row],[Returned]])</f>
        <v>120</v>
      </c>
      <c r="Y3873" s="76">
        <f>OrdersTable[[#This Row],[Net Revenue]]-OrdersTable[[#This Row],[COGS]]-OrdersTable[[#This Row],[Shipping Cost]]</f>
        <v>87.100000000000023</v>
      </c>
      <c r="Z3873" s="78">
        <f>IFERROR(OrdersTable[[#This Row],[Profit]]/OrdersTable[[#This Row],[Net Revenue]],0)</f>
        <v>0.24255082149818996</v>
      </c>
      <c r="AA3873" t="s">
        <v>3495</v>
      </c>
      <c r="AB3873" s="79">
        <v>45919</v>
      </c>
      <c r="AC3873">
        <f>OrdersTable[[#This Row],[Delivery Date]]-OrdersTable[[#This Row],[Order Date]]</f>
        <v>3</v>
      </c>
      <c r="AD3873" t="str">
        <f>IF(OrdersTable[[#This Row],[Delivery Days]]&lt;=2, "Express (≤2d)", IF(OrdersTable[[#This Row],[Delivery Days]]&lt;=4, "Standard (3-4d)", "Delayed (5d+)"))</f>
        <v>Standard (3-4d)</v>
      </c>
      <c r="AF3873">
        <v>1</v>
      </c>
    </row>
    <row r="3874" spans="1:32" ht="15" x14ac:dyDescent="0.35">
      <c r="A3874" t="s">
        <v>3102</v>
      </c>
      <c r="B3874" s="1">
        <v>45916</v>
      </c>
      <c r="C3874">
        <f>YEAR(OrdersTable[[#This Row],[Order Date]])</f>
        <v>2025</v>
      </c>
      <c r="D3874" s="2">
        <f>DATE(YEAR(OrdersTable[[#This Row],[Order Date]]),MONTH(OrdersTable[[#This Row],[Order Date]]),1)</f>
        <v>45901</v>
      </c>
      <c r="E3874">
        <f>MONTH(OrdersTable[[#This Row],[Order Date]])</f>
        <v>9</v>
      </c>
      <c r="F3874" t="s">
        <v>3103</v>
      </c>
      <c r="G3874" t="str">
        <f>IF(OrdersTable[[#This Row],[Order Date]]=_xlfn.MINIFS(Order_Date, Customer_ID, OrdersTable[[#This Row],[Customer ID]]), "New", "Repeat")</f>
        <v>New</v>
      </c>
      <c r="H3874" t="s">
        <v>71</v>
      </c>
      <c r="I3874" t="str">
        <f>INDEX(State!B:B,MATCH(OrdersTable[[#This Row],[State]],State!A:A,0))</f>
        <v>MH</v>
      </c>
      <c r="J3874" t="str">
        <f>INDEX(State!C:C,MATCH(OrdersTable[[#This Row],[State Code]],State!B:B,0))</f>
        <v>West</v>
      </c>
      <c r="K3874" t="s">
        <v>102</v>
      </c>
      <c r="L3874" t="s">
        <v>16</v>
      </c>
      <c r="M3874" t="s">
        <v>92</v>
      </c>
      <c r="N3874" t="str">
        <f>INDEX(Products!B:B,MATCH(OrdersTable[[#This Row],[Product ID]],Products!A:A,0))</f>
        <v>Kolhapuri Sandals</v>
      </c>
      <c r="O3874" t="str">
        <f>INDEX(Products!C:C,MATCH(OrdersTable[[#This Row],[Product ID]],Products!A:A,0))</f>
        <v>Footwear</v>
      </c>
      <c r="P3874">
        <v>1</v>
      </c>
      <c r="Q3874" s="5">
        <v>999</v>
      </c>
      <c r="R3874" s="74">
        <v>0.15</v>
      </c>
      <c r="S3874" s="75">
        <f>OrdersTable[[#This Row],[Quantity]]*OrdersTable[[#This Row],[Unit Price]]</f>
        <v>999</v>
      </c>
      <c r="T3874" s="5">
        <f>OrdersTable[[#This Row],[Gross Sale]]*OrdersTable[[#This Row],[Discount_Clean2]]</f>
        <v>149.85</v>
      </c>
      <c r="U3874" s="5">
        <f>OrdersTable[[#This Row],[Gross Sale]]-OrdersTable[[#This Row],[Discount Amount]]</f>
        <v>849.15</v>
      </c>
      <c r="V3874" s="77">
        <f>INDEX(Products!E:E,MATCH(OrdersTable[[#This Row],[Product ID]],Products!A:A,0))</f>
        <v>400</v>
      </c>
      <c r="W3874" s="77">
        <f>OrdersTable[[#This Row],[Quantity]]*OrdersTable[[#This Row],[Unit Cost]]</f>
        <v>400</v>
      </c>
      <c r="X3874" s="77">
        <f>'Dropdown Lists'!$I$2*(1+OrdersTable[[#This Row],[Returned]])</f>
        <v>60</v>
      </c>
      <c r="Y3874" s="76">
        <f>OrdersTable[[#This Row],[Net Revenue]]-OrdersTable[[#This Row],[COGS]]-OrdersTable[[#This Row],[Shipping Cost]]</f>
        <v>389.15</v>
      </c>
      <c r="Z3874" s="78">
        <f>IFERROR(OrdersTable[[#This Row],[Profit]]/OrdersTable[[#This Row],[Net Revenue]],0)</f>
        <v>0.45828181122298767</v>
      </c>
      <c r="AA3874" t="s">
        <v>2522</v>
      </c>
      <c r="AB3874" s="79">
        <v>45920</v>
      </c>
      <c r="AC3874">
        <f>OrdersTable[[#This Row],[Delivery Date]]-OrdersTable[[#This Row],[Order Date]]</f>
        <v>4</v>
      </c>
      <c r="AD3874" t="str">
        <f>IF(OrdersTable[[#This Row],[Delivery Days]]&lt;=2, "Express (≤2d)", IF(OrdersTable[[#This Row],[Delivery Days]]&lt;=4, "Standard (3-4d)", "Delayed (5d+)"))</f>
        <v>Standard (3-4d)</v>
      </c>
      <c r="AF3874">
        <v>0</v>
      </c>
    </row>
    <row r="3875" spans="1:32" ht="15" x14ac:dyDescent="0.35">
      <c r="A3875" t="s">
        <v>6202</v>
      </c>
      <c r="B3875" s="1">
        <v>45916</v>
      </c>
      <c r="C3875">
        <f>YEAR(OrdersTable[[#This Row],[Order Date]])</f>
        <v>2025</v>
      </c>
      <c r="D3875" s="2">
        <f>DATE(YEAR(OrdersTable[[#This Row],[Order Date]]),MONTH(OrdersTable[[#This Row],[Order Date]]),1)</f>
        <v>45901</v>
      </c>
      <c r="E3875">
        <f>MONTH(OrdersTable[[#This Row],[Order Date]])</f>
        <v>9</v>
      </c>
      <c r="F3875" t="s">
        <v>3278</v>
      </c>
      <c r="G3875" t="str">
        <f>IF(OrdersTable[[#This Row],[Order Date]]=_xlfn.MINIFS(Order_Date, Customer_ID, OrdersTable[[#This Row],[Customer ID]]), "New", "Repeat")</f>
        <v>Repeat</v>
      </c>
      <c r="H3875" t="s">
        <v>167</v>
      </c>
      <c r="I3875" t="str">
        <f>INDEX(State!B:B,MATCH(OrdersTable[[#This Row],[State]],State!A:A,0))</f>
        <v>KA</v>
      </c>
      <c r="J3875" t="str">
        <f>INDEX(State!C:C,MATCH(OrdersTable[[#This Row],[State Code]],State!B:B,0))</f>
        <v>South</v>
      </c>
      <c r="K3875" t="s">
        <v>168</v>
      </c>
      <c r="L3875" t="s">
        <v>23</v>
      </c>
      <c r="M3875" t="s">
        <v>109</v>
      </c>
      <c r="N3875" t="str">
        <f>INDEX(Products!B:B,MATCH(OrdersTable[[#This Row],[Product ID]],Products!A:A,0))</f>
        <v>Onion Hair Oil</v>
      </c>
      <c r="O3875" t="str">
        <f>INDEX(Products!C:C,MATCH(OrdersTable[[#This Row],[Product ID]],Products!A:A,0))</f>
        <v>Haircare</v>
      </c>
      <c r="P3875">
        <v>2</v>
      </c>
      <c r="Q3875" s="5">
        <v>349</v>
      </c>
      <c r="R3875" s="74">
        <v>0.3</v>
      </c>
      <c r="S3875" s="75">
        <f>OrdersTable[[#This Row],[Quantity]]*OrdersTable[[#This Row],[Unit Price]]</f>
        <v>698</v>
      </c>
      <c r="T3875" s="5">
        <f>OrdersTable[[#This Row],[Gross Sale]]*OrdersTable[[#This Row],[Discount_Clean2]]</f>
        <v>209.4</v>
      </c>
      <c r="U3875" s="5">
        <f>OrdersTable[[#This Row],[Gross Sale]]-OrdersTable[[#This Row],[Discount Amount]]</f>
        <v>488.6</v>
      </c>
      <c r="V3875" s="77">
        <f>INDEX(Products!E:E,MATCH(OrdersTable[[#This Row],[Product ID]],Products!A:A,0))</f>
        <v>105</v>
      </c>
      <c r="W3875" s="77">
        <f>OrdersTable[[#This Row],[Quantity]]*OrdersTable[[#This Row],[Unit Cost]]</f>
        <v>210</v>
      </c>
      <c r="X3875" s="77">
        <f>'Dropdown Lists'!$I$2*(1+OrdersTable[[#This Row],[Returned]])</f>
        <v>60</v>
      </c>
      <c r="Y3875" s="76">
        <f>OrdersTable[[#This Row],[Net Revenue]]-OrdersTable[[#This Row],[COGS]]-OrdersTable[[#This Row],[Shipping Cost]]</f>
        <v>218.60000000000002</v>
      </c>
      <c r="Z3875" s="78">
        <f>IFERROR(OrdersTable[[#This Row],[Profit]]/OrdersTable[[#This Row],[Net Revenue]],0)</f>
        <v>0.44740073679901765</v>
      </c>
      <c r="AA3875" t="s">
        <v>18</v>
      </c>
      <c r="AB3875" s="79">
        <v>45919</v>
      </c>
      <c r="AC3875">
        <f>OrdersTable[[#This Row],[Delivery Date]]-OrdersTable[[#This Row],[Order Date]]</f>
        <v>3</v>
      </c>
      <c r="AD3875" t="str">
        <f>IF(OrdersTable[[#This Row],[Delivery Days]]&lt;=2, "Express (≤2d)", IF(OrdersTable[[#This Row],[Delivery Days]]&lt;=4, "Standard (3-4d)", "Delayed (5d+)"))</f>
        <v>Standard (3-4d)</v>
      </c>
      <c r="AE3875">
        <v>4</v>
      </c>
      <c r="AF3875">
        <v>0</v>
      </c>
    </row>
    <row r="3876" spans="1:32" ht="15" x14ac:dyDescent="0.35">
      <c r="A3876" t="s">
        <v>5724</v>
      </c>
      <c r="B3876" s="1">
        <v>45916</v>
      </c>
      <c r="C3876">
        <f>YEAR(OrdersTable[[#This Row],[Order Date]])</f>
        <v>2025</v>
      </c>
      <c r="D3876" s="2">
        <f>DATE(YEAR(OrdersTable[[#This Row],[Order Date]]),MONTH(OrdersTable[[#This Row],[Order Date]]),1)</f>
        <v>45901</v>
      </c>
      <c r="E3876">
        <f>MONTH(OrdersTable[[#This Row],[Order Date]])</f>
        <v>9</v>
      </c>
      <c r="F3876" t="s">
        <v>562</v>
      </c>
      <c r="G3876" t="str">
        <f>IF(OrdersTable[[#This Row],[Order Date]]=_xlfn.MINIFS(Order_Date, Customer_ID, OrdersTable[[#This Row],[Customer ID]]), "New", "Repeat")</f>
        <v>Repeat</v>
      </c>
      <c r="H3876" t="s">
        <v>167</v>
      </c>
      <c r="I3876" t="str">
        <f>INDEX(State!B:B,MATCH(OrdersTable[[#This Row],[State]],State!A:A,0))</f>
        <v>KA</v>
      </c>
      <c r="J3876" t="str">
        <f>INDEX(State!C:C,MATCH(OrdersTable[[#This Row],[State Code]],State!B:B,0))</f>
        <v>South</v>
      </c>
      <c r="K3876" t="s">
        <v>168</v>
      </c>
      <c r="L3876" t="s">
        <v>39</v>
      </c>
      <c r="M3876" t="s">
        <v>78</v>
      </c>
      <c r="N3876" t="str">
        <f>INDEX(Products!B:B,MATCH(OrdersTable[[#This Row],[Product ID]],Products!A:A,0))</f>
        <v>Retinol Night Cream</v>
      </c>
      <c r="O3876" t="str">
        <f>INDEX(Products!C:C,MATCH(OrdersTable[[#This Row],[Product ID]],Products!A:A,0))</f>
        <v>Skincare</v>
      </c>
      <c r="P3876">
        <v>2</v>
      </c>
      <c r="Q3876" s="5">
        <v>799</v>
      </c>
      <c r="R3876" s="74">
        <v>0</v>
      </c>
      <c r="S3876" s="75">
        <f>OrdersTable[[#This Row],[Quantity]]*OrdersTable[[#This Row],[Unit Price]]</f>
        <v>1598</v>
      </c>
      <c r="T3876" s="5">
        <f>OrdersTable[[#This Row],[Gross Sale]]*OrdersTable[[#This Row],[Discount_Clean2]]</f>
        <v>0</v>
      </c>
      <c r="U3876" s="5">
        <f>OrdersTable[[#This Row],[Gross Sale]]-OrdersTable[[#This Row],[Discount Amount]]</f>
        <v>1598</v>
      </c>
      <c r="V3876" s="77">
        <f>INDEX(Products!E:E,MATCH(OrdersTable[[#This Row],[Product ID]],Products!A:A,0))</f>
        <v>216</v>
      </c>
      <c r="W3876" s="77">
        <f>OrdersTable[[#This Row],[Quantity]]*OrdersTable[[#This Row],[Unit Cost]]</f>
        <v>432</v>
      </c>
      <c r="X3876" s="77">
        <f>'Dropdown Lists'!$I$2*(1+OrdersTable[[#This Row],[Returned]])</f>
        <v>60</v>
      </c>
      <c r="Y3876" s="76">
        <f>OrdersTable[[#This Row],[Net Revenue]]-OrdersTable[[#This Row],[COGS]]-OrdersTable[[#This Row],[Shipping Cost]]</f>
        <v>1106</v>
      </c>
      <c r="Z3876" s="78">
        <f>IFERROR(OrdersTable[[#This Row],[Profit]]/OrdersTable[[#This Row],[Net Revenue]],0)</f>
        <v>0.69211514392991236</v>
      </c>
      <c r="AA3876" t="s">
        <v>18</v>
      </c>
      <c r="AB3876" s="79">
        <v>45920</v>
      </c>
      <c r="AC3876">
        <f>OrdersTable[[#This Row],[Delivery Date]]-OrdersTable[[#This Row],[Order Date]]</f>
        <v>4</v>
      </c>
      <c r="AD3876" t="str">
        <f>IF(OrdersTable[[#This Row],[Delivery Days]]&lt;=2, "Express (≤2d)", IF(OrdersTable[[#This Row],[Delivery Days]]&lt;=4, "Standard (3-4d)", "Delayed (5d+)"))</f>
        <v>Standard (3-4d)</v>
      </c>
      <c r="AE3876">
        <v>3</v>
      </c>
      <c r="AF3876">
        <v>0</v>
      </c>
    </row>
    <row r="3877" spans="1:32" ht="15" x14ac:dyDescent="0.35">
      <c r="A3877" t="s">
        <v>5979</v>
      </c>
      <c r="B3877" s="1">
        <v>45916</v>
      </c>
      <c r="C3877">
        <f>YEAR(OrdersTable[[#This Row],[Order Date]])</f>
        <v>2025</v>
      </c>
      <c r="D3877" s="2">
        <f>DATE(YEAR(OrdersTable[[#This Row],[Order Date]]),MONTH(OrdersTable[[#This Row],[Order Date]]),1)</f>
        <v>45901</v>
      </c>
      <c r="E3877">
        <f>MONTH(OrdersTable[[#This Row],[Order Date]])</f>
        <v>9</v>
      </c>
      <c r="F3877" t="s">
        <v>1911</v>
      </c>
      <c r="G3877" t="str">
        <f>IF(OrdersTable[[#This Row],[Order Date]]=_xlfn.MINIFS(Order_Date, Customer_ID, OrdersTable[[#This Row],[Customer ID]]), "New", "Repeat")</f>
        <v>Repeat</v>
      </c>
      <c r="H3877" t="s">
        <v>167</v>
      </c>
      <c r="I3877" t="str">
        <f>INDEX(State!B:B,MATCH(OrdersTable[[#This Row],[State]],State!A:A,0))</f>
        <v>KA</v>
      </c>
      <c r="J3877" t="str">
        <f>INDEX(State!C:C,MATCH(OrdersTable[[#This Row],[State Code]],State!B:B,0))</f>
        <v>South</v>
      </c>
      <c r="K3877" t="s">
        <v>190</v>
      </c>
      <c r="L3877" t="s">
        <v>50</v>
      </c>
      <c r="M3877" t="s">
        <v>61</v>
      </c>
      <c r="N3877" t="str">
        <f>INDEX(Products!B:B,MATCH(OrdersTable[[#This Row],[Product ID]],Products!A:A,0))</f>
        <v>Multivitamin Gummies</v>
      </c>
      <c r="O3877" t="str">
        <f>INDEX(Products!C:C,MATCH(OrdersTable[[#This Row],[Product ID]],Products!A:A,0))</f>
        <v>Wellness</v>
      </c>
      <c r="P3877">
        <v>2</v>
      </c>
      <c r="Q3877" s="5">
        <v>699</v>
      </c>
      <c r="R3877" s="74">
        <v>0.25</v>
      </c>
      <c r="S3877" s="75">
        <f>OrdersTable[[#This Row],[Quantity]]*OrdersTable[[#This Row],[Unit Price]]</f>
        <v>1398</v>
      </c>
      <c r="T3877" s="5">
        <f>OrdersTable[[#This Row],[Gross Sale]]*OrdersTable[[#This Row],[Discount_Clean2]]</f>
        <v>349.5</v>
      </c>
      <c r="U3877" s="5">
        <f>OrdersTable[[#This Row],[Gross Sale]]-OrdersTable[[#This Row],[Discount Amount]]</f>
        <v>1048.5</v>
      </c>
      <c r="V3877" s="77">
        <f>INDEX(Products!E:E,MATCH(OrdersTable[[#This Row],[Product ID]],Products!A:A,0))</f>
        <v>238</v>
      </c>
      <c r="W3877" s="77">
        <f>OrdersTable[[#This Row],[Quantity]]*OrdersTable[[#This Row],[Unit Cost]]</f>
        <v>476</v>
      </c>
      <c r="X3877" s="77">
        <f>'Dropdown Lists'!$I$2*(1+OrdersTable[[#This Row],[Returned]])</f>
        <v>60</v>
      </c>
      <c r="Y3877" s="76">
        <f>OrdersTable[[#This Row],[Net Revenue]]-OrdersTable[[#This Row],[COGS]]-OrdersTable[[#This Row],[Shipping Cost]]</f>
        <v>512.5</v>
      </c>
      <c r="Z3877" s="78">
        <f>IFERROR(OrdersTable[[#This Row],[Profit]]/OrdersTable[[#This Row],[Net Revenue]],0)</f>
        <v>0.48879351454458753</v>
      </c>
      <c r="AA3877" t="s">
        <v>18</v>
      </c>
      <c r="AB3877" s="79">
        <v>45917</v>
      </c>
      <c r="AC3877">
        <f>OrdersTable[[#This Row],[Delivery Date]]-OrdersTable[[#This Row],[Order Date]]</f>
        <v>1</v>
      </c>
      <c r="AD3877" t="str">
        <f>IF(OrdersTable[[#This Row],[Delivery Days]]&lt;=2, "Express (≤2d)", IF(OrdersTable[[#This Row],[Delivery Days]]&lt;=4, "Standard (3-4d)", "Delayed (5d+)"))</f>
        <v>Express (≤2d)</v>
      </c>
      <c r="AF3877">
        <v>0</v>
      </c>
    </row>
    <row r="3878" spans="1:32" ht="15" x14ac:dyDescent="0.35">
      <c r="A3878" t="s">
        <v>4436</v>
      </c>
      <c r="B3878" s="1">
        <v>45916</v>
      </c>
      <c r="C3878">
        <f>YEAR(OrdersTable[[#This Row],[Order Date]])</f>
        <v>2025</v>
      </c>
      <c r="D3878" s="2">
        <f>DATE(YEAR(OrdersTable[[#This Row],[Order Date]]),MONTH(OrdersTable[[#This Row],[Order Date]]),1)</f>
        <v>45901</v>
      </c>
      <c r="E3878">
        <f>MONTH(OrdersTable[[#This Row],[Order Date]])</f>
        <v>9</v>
      </c>
      <c r="F3878" t="s">
        <v>1452</v>
      </c>
      <c r="G3878" t="str">
        <f>IF(OrdersTable[[#This Row],[Order Date]]=_xlfn.MINIFS(Order_Date, Customer_ID, OrdersTable[[#This Row],[Customer ID]]), "New", "Repeat")</f>
        <v>Repeat</v>
      </c>
      <c r="H3878" t="s">
        <v>275</v>
      </c>
      <c r="I3878" t="str">
        <f>INDEX(State!B:B,MATCH(OrdersTable[[#This Row],[State]],State!A:A,0))</f>
        <v>AP</v>
      </c>
      <c r="J3878" t="str">
        <f>INDEX(State!C:C,MATCH(OrdersTable[[#This Row],[State Code]],State!B:B,0))</f>
        <v>South</v>
      </c>
      <c r="K3878" t="s">
        <v>276</v>
      </c>
      <c r="L3878" t="s">
        <v>65</v>
      </c>
      <c r="M3878" t="s">
        <v>87</v>
      </c>
      <c r="N3878" t="str">
        <f>INDEX(Products!B:B,MATCH(OrdersTable[[#This Row],[Product ID]],Products!A:A,0))</f>
        <v>Linen Kurta</v>
      </c>
      <c r="O3878" t="str">
        <f>INDEX(Products!C:C,MATCH(OrdersTable[[#This Row],[Product ID]],Products!A:A,0))</f>
        <v>Apparel</v>
      </c>
      <c r="P3878">
        <v>1</v>
      </c>
      <c r="Q3878" s="5">
        <v>1499</v>
      </c>
      <c r="R3878" s="74">
        <v>0.25</v>
      </c>
      <c r="S3878" s="75">
        <f>OrdersTable[[#This Row],[Quantity]]*OrdersTable[[#This Row],[Unit Price]]</f>
        <v>1499</v>
      </c>
      <c r="T3878" s="5">
        <f>OrdersTable[[#This Row],[Gross Sale]]*OrdersTable[[#This Row],[Discount_Clean2]]</f>
        <v>374.75</v>
      </c>
      <c r="U3878" s="5">
        <f>OrdersTable[[#This Row],[Gross Sale]]-OrdersTable[[#This Row],[Discount Amount]]</f>
        <v>1124.25</v>
      </c>
      <c r="V3878" s="77">
        <f>INDEX(Products!E:E,MATCH(OrdersTable[[#This Row],[Product ID]],Products!A:A,0))</f>
        <v>630</v>
      </c>
      <c r="W3878" s="77">
        <f>OrdersTable[[#This Row],[Quantity]]*OrdersTable[[#This Row],[Unit Cost]]</f>
        <v>630</v>
      </c>
      <c r="X3878" s="77">
        <f>'Dropdown Lists'!$I$2*(1+OrdersTable[[#This Row],[Returned]])</f>
        <v>60</v>
      </c>
      <c r="Y3878" s="76">
        <f>OrdersTable[[#This Row],[Net Revenue]]-OrdersTable[[#This Row],[COGS]]-OrdersTable[[#This Row],[Shipping Cost]]</f>
        <v>434.25</v>
      </c>
      <c r="Z3878" s="78">
        <f>IFERROR(OrdersTable[[#This Row],[Profit]]/OrdersTable[[#This Row],[Net Revenue]],0)</f>
        <v>0.38625750500333556</v>
      </c>
      <c r="AA3878" t="s">
        <v>4074</v>
      </c>
      <c r="AB3878" s="79">
        <v>45920</v>
      </c>
      <c r="AC3878">
        <f>OrdersTable[[#This Row],[Delivery Date]]-OrdersTable[[#This Row],[Order Date]]</f>
        <v>4</v>
      </c>
      <c r="AD3878" t="str">
        <f>IF(OrdersTable[[#This Row],[Delivery Days]]&lt;=2, "Express (≤2d)", IF(OrdersTable[[#This Row],[Delivery Days]]&lt;=4, "Standard (3-4d)", "Delayed (5d+)"))</f>
        <v>Standard (3-4d)</v>
      </c>
      <c r="AE3878">
        <v>4</v>
      </c>
      <c r="AF3878">
        <v>0</v>
      </c>
    </row>
    <row r="3879" spans="1:32" ht="15" x14ac:dyDescent="0.35">
      <c r="A3879" t="s">
        <v>5980</v>
      </c>
      <c r="B3879" s="1">
        <v>45917</v>
      </c>
      <c r="C3879">
        <f>YEAR(OrdersTable[[#This Row],[Order Date]])</f>
        <v>2025</v>
      </c>
      <c r="D3879" s="2">
        <f>DATE(YEAR(OrdersTable[[#This Row],[Order Date]]),MONTH(OrdersTable[[#This Row],[Order Date]]),1)</f>
        <v>45901</v>
      </c>
      <c r="E3879">
        <f>MONTH(OrdersTable[[#This Row],[Order Date]])</f>
        <v>9</v>
      </c>
      <c r="F3879" t="s">
        <v>2800</v>
      </c>
      <c r="G3879" t="str">
        <f>IF(OrdersTable[[#This Row],[Order Date]]=_xlfn.MINIFS(Order_Date, Customer_ID, OrdersTable[[#This Row],[Customer ID]]), "New", "Repeat")</f>
        <v>Repeat</v>
      </c>
      <c r="H3879" t="s">
        <v>21</v>
      </c>
      <c r="I3879" t="str">
        <f>INDEX(State!B:B,MATCH(OrdersTable[[#This Row],[State]],State!A:A,0))</f>
        <v>PB</v>
      </c>
      <c r="J3879" t="str">
        <f>INDEX(State!C:C,MATCH(OrdersTable[[#This Row],[State Code]],State!B:B,0))</f>
        <v>North</v>
      </c>
      <c r="K3879" t="s">
        <v>260</v>
      </c>
      <c r="L3879" t="s">
        <v>39</v>
      </c>
      <c r="M3879" t="s">
        <v>179</v>
      </c>
      <c r="N3879" t="str">
        <f>INDEX(Products!B:B,MATCH(OrdersTable[[#This Row],[Product ID]],Products!A:A,0))</f>
        <v>Whey Protein 1kg</v>
      </c>
      <c r="O3879" t="str">
        <f>INDEX(Products!C:C,MATCH(OrdersTable[[#This Row],[Product ID]],Products!A:A,0))</f>
        <v>Wellness</v>
      </c>
      <c r="P3879">
        <v>2</v>
      </c>
      <c r="Q3879" s="5">
        <v>2299</v>
      </c>
      <c r="R3879" s="74">
        <v>0.3</v>
      </c>
      <c r="S3879" s="75">
        <f>OrdersTable[[#This Row],[Quantity]]*OrdersTable[[#This Row],[Unit Price]]</f>
        <v>4598</v>
      </c>
      <c r="T3879" s="5">
        <f>OrdersTable[[#This Row],[Gross Sale]]*OrdersTable[[#This Row],[Discount_Clean2]]</f>
        <v>1379.3999999999999</v>
      </c>
      <c r="U3879" s="5">
        <f>OrdersTable[[#This Row],[Gross Sale]]-OrdersTable[[#This Row],[Discount Amount]]</f>
        <v>3218.6000000000004</v>
      </c>
      <c r="V3879" s="77">
        <f>INDEX(Products!E:E,MATCH(OrdersTable[[#This Row],[Product ID]],Products!A:A,0))</f>
        <v>1333</v>
      </c>
      <c r="W3879" s="77">
        <f>OrdersTable[[#This Row],[Quantity]]*OrdersTable[[#This Row],[Unit Cost]]</f>
        <v>2666</v>
      </c>
      <c r="X3879" s="77">
        <f>'Dropdown Lists'!$I$2*(1+OrdersTable[[#This Row],[Returned]])</f>
        <v>60</v>
      </c>
      <c r="Y3879" s="76">
        <f>OrdersTable[[#This Row],[Net Revenue]]-OrdersTable[[#This Row],[COGS]]-OrdersTable[[#This Row],[Shipping Cost]]</f>
        <v>492.60000000000036</v>
      </c>
      <c r="Z3879" s="78">
        <f>IFERROR(OrdersTable[[#This Row],[Profit]]/OrdersTable[[#This Row],[Net Revenue]],0)</f>
        <v>0.15304790902877036</v>
      </c>
      <c r="AA3879" t="s">
        <v>18</v>
      </c>
      <c r="AB3879" s="79">
        <v>45923</v>
      </c>
      <c r="AC3879">
        <f>OrdersTable[[#This Row],[Delivery Date]]-OrdersTable[[#This Row],[Order Date]]</f>
        <v>6</v>
      </c>
      <c r="AD3879" t="str">
        <f>IF(OrdersTable[[#This Row],[Delivery Days]]&lt;=2, "Express (≤2d)", IF(OrdersTable[[#This Row],[Delivery Days]]&lt;=4, "Standard (3-4d)", "Delayed (5d+)"))</f>
        <v>Delayed (5d+)</v>
      </c>
      <c r="AF3879">
        <v>0</v>
      </c>
    </row>
    <row r="3880" spans="1:32" ht="15" x14ac:dyDescent="0.35">
      <c r="A3880" t="s">
        <v>4624</v>
      </c>
      <c r="B3880" s="1">
        <v>45917</v>
      </c>
      <c r="C3880">
        <f>YEAR(OrdersTable[[#This Row],[Order Date]])</f>
        <v>2025</v>
      </c>
      <c r="D3880" s="2">
        <f>DATE(YEAR(OrdersTable[[#This Row],[Order Date]]),MONTH(OrdersTable[[#This Row],[Order Date]]),1)</f>
        <v>45901</v>
      </c>
      <c r="E3880">
        <f>MONTH(OrdersTable[[#This Row],[Order Date]])</f>
        <v>9</v>
      </c>
      <c r="F3880" t="s">
        <v>4625</v>
      </c>
      <c r="G3880" t="str">
        <f>IF(OrdersTable[[#This Row],[Order Date]]=_xlfn.MINIFS(Order_Date, Customer_ID, OrdersTable[[#This Row],[Customer ID]]), "New", "Repeat")</f>
        <v>Repeat</v>
      </c>
      <c r="H3880" t="s">
        <v>76</v>
      </c>
      <c r="I3880" t="str">
        <f>INDEX(State!B:B,MATCH(OrdersTable[[#This Row],[State]],State!A:A,0))</f>
        <v>UP</v>
      </c>
      <c r="J3880" t="str">
        <f>INDEX(State!C:C,MATCH(OrdersTable[[#This Row],[State Code]],State!B:B,0))</f>
        <v>North</v>
      </c>
      <c r="K3880" t="s">
        <v>118</v>
      </c>
      <c r="L3880" t="s">
        <v>16</v>
      </c>
      <c r="M3880" t="s">
        <v>92</v>
      </c>
      <c r="N3880" t="str">
        <f>INDEX(Products!B:B,MATCH(OrdersTable[[#This Row],[Product ID]],Products!A:A,0))</f>
        <v>Kolhapuri Sandals</v>
      </c>
      <c r="O3880" t="str">
        <f>INDEX(Products!C:C,MATCH(OrdersTable[[#This Row],[Product ID]],Products!A:A,0))</f>
        <v>Footwear</v>
      </c>
      <c r="P3880">
        <v>1</v>
      </c>
      <c r="Q3880" s="5">
        <v>999</v>
      </c>
      <c r="R3880" s="74">
        <v>0.15</v>
      </c>
      <c r="S3880" s="75">
        <f>OrdersTable[[#This Row],[Quantity]]*OrdersTable[[#This Row],[Unit Price]]</f>
        <v>999</v>
      </c>
      <c r="T3880" s="5">
        <f>OrdersTable[[#This Row],[Gross Sale]]*OrdersTable[[#This Row],[Discount_Clean2]]</f>
        <v>149.85</v>
      </c>
      <c r="U3880" s="5">
        <f>OrdersTable[[#This Row],[Gross Sale]]-OrdersTable[[#This Row],[Discount Amount]]</f>
        <v>849.15</v>
      </c>
      <c r="V3880" s="77">
        <f>INDEX(Products!E:E,MATCH(OrdersTable[[#This Row],[Product ID]],Products!A:A,0))</f>
        <v>400</v>
      </c>
      <c r="W3880" s="77">
        <f>OrdersTable[[#This Row],[Quantity]]*OrdersTable[[#This Row],[Unit Cost]]</f>
        <v>400</v>
      </c>
      <c r="X3880" s="77">
        <f>'Dropdown Lists'!$I$2*(1+OrdersTable[[#This Row],[Returned]])</f>
        <v>60</v>
      </c>
      <c r="Y3880" s="76">
        <f>OrdersTable[[#This Row],[Net Revenue]]-OrdersTable[[#This Row],[COGS]]-OrdersTable[[#This Row],[Shipping Cost]]</f>
        <v>389.15</v>
      </c>
      <c r="Z3880" s="78">
        <f>IFERROR(OrdersTable[[#This Row],[Profit]]/OrdersTable[[#This Row],[Net Revenue]],0)</f>
        <v>0.45828181122298767</v>
      </c>
      <c r="AA3880" t="s">
        <v>4450</v>
      </c>
      <c r="AB3880" s="79">
        <v>45919</v>
      </c>
      <c r="AC3880">
        <f>OrdersTable[[#This Row],[Delivery Date]]-OrdersTable[[#This Row],[Order Date]]</f>
        <v>2</v>
      </c>
      <c r="AD3880" t="str">
        <f>IF(OrdersTable[[#This Row],[Delivery Days]]&lt;=2, "Express (≤2d)", IF(OrdersTable[[#This Row],[Delivery Days]]&lt;=4, "Standard (3-4d)", "Delayed (5d+)"))</f>
        <v>Express (≤2d)</v>
      </c>
      <c r="AF3880">
        <v>0</v>
      </c>
    </row>
    <row r="3881" spans="1:32" ht="15" x14ac:dyDescent="0.35">
      <c r="A3881" t="s">
        <v>5725</v>
      </c>
      <c r="B3881" s="1">
        <v>45917</v>
      </c>
      <c r="C3881">
        <f>YEAR(OrdersTable[[#This Row],[Order Date]])</f>
        <v>2025</v>
      </c>
      <c r="D3881" s="2">
        <f>DATE(YEAR(OrdersTable[[#This Row],[Order Date]]),MONTH(OrdersTable[[#This Row],[Order Date]]),1)</f>
        <v>45901</v>
      </c>
      <c r="E3881">
        <f>MONTH(OrdersTable[[#This Row],[Order Date]])</f>
        <v>9</v>
      </c>
      <c r="F3881" t="s">
        <v>5726</v>
      </c>
      <c r="G3881" t="str">
        <f>IF(OrdersTable[[#This Row],[Order Date]]=_xlfn.MINIFS(Order_Date, Customer_ID, OrdersTable[[#This Row],[Customer ID]]), "New", "Repeat")</f>
        <v>New</v>
      </c>
      <c r="H3881" t="s">
        <v>32</v>
      </c>
      <c r="I3881" t="str">
        <f>INDEX(State!B:B,MATCH(OrdersTable[[#This Row],[State]],State!A:A,0))</f>
        <v>BR</v>
      </c>
      <c r="J3881" t="str">
        <f>INDEX(State!C:C,MATCH(OrdersTable[[#This Row],[State Code]],State!B:B,0))</f>
        <v>East</v>
      </c>
      <c r="K3881" t="s">
        <v>33</v>
      </c>
      <c r="L3881" t="s">
        <v>23</v>
      </c>
      <c r="M3881" t="s">
        <v>109</v>
      </c>
      <c r="N3881" t="str">
        <f>INDEX(Products!B:B,MATCH(OrdersTable[[#This Row],[Product ID]],Products!A:A,0))</f>
        <v>Onion Hair Oil</v>
      </c>
      <c r="O3881" t="str">
        <f>INDEX(Products!C:C,MATCH(OrdersTable[[#This Row],[Product ID]],Products!A:A,0))</f>
        <v>Haircare</v>
      </c>
      <c r="P3881">
        <v>2</v>
      </c>
      <c r="Q3881" s="5">
        <v>349</v>
      </c>
      <c r="R3881" s="74">
        <v>0.4</v>
      </c>
      <c r="S3881" s="75">
        <f>OrdersTable[[#This Row],[Quantity]]*OrdersTable[[#This Row],[Unit Price]]</f>
        <v>698</v>
      </c>
      <c r="T3881" s="5">
        <f>OrdersTable[[#This Row],[Gross Sale]]*OrdersTable[[#This Row],[Discount_Clean2]]</f>
        <v>279.2</v>
      </c>
      <c r="U3881" s="5">
        <f>OrdersTable[[#This Row],[Gross Sale]]-OrdersTable[[#This Row],[Discount Amount]]</f>
        <v>418.8</v>
      </c>
      <c r="V3881" s="77">
        <f>INDEX(Products!E:E,MATCH(OrdersTable[[#This Row],[Product ID]],Products!A:A,0))</f>
        <v>105</v>
      </c>
      <c r="W3881" s="77">
        <f>OrdersTable[[#This Row],[Quantity]]*OrdersTable[[#This Row],[Unit Cost]]</f>
        <v>210</v>
      </c>
      <c r="X3881" s="77">
        <f>'Dropdown Lists'!$I$2*(1+OrdersTable[[#This Row],[Returned]])</f>
        <v>60</v>
      </c>
      <c r="Y3881" s="76">
        <f>OrdersTable[[#This Row],[Net Revenue]]-OrdersTable[[#This Row],[COGS]]-OrdersTable[[#This Row],[Shipping Cost]]</f>
        <v>148.80000000000001</v>
      </c>
      <c r="Z3881" s="78">
        <f>IFERROR(OrdersTable[[#This Row],[Profit]]/OrdersTable[[#This Row],[Net Revenue]],0)</f>
        <v>0.35530085959885388</v>
      </c>
      <c r="AA3881" t="s">
        <v>18</v>
      </c>
      <c r="AB3881" s="79">
        <v>45922</v>
      </c>
      <c r="AC3881">
        <f>OrdersTable[[#This Row],[Delivery Date]]-OrdersTable[[#This Row],[Order Date]]</f>
        <v>5</v>
      </c>
      <c r="AD3881" t="str">
        <f>IF(OrdersTable[[#This Row],[Delivery Days]]&lt;=2, "Express (≤2d)", IF(OrdersTable[[#This Row],[Delivery Days]]&lt;=4, "Standard (3-4d)", "Delayed (5d+)"))</f>
        <v>Delayed (5d+)</v>
      </c>
      <c r="AE3881">
        <v>3</v>
      </c>
      <c r="AF3881">
        <v>0</v>
      </c>
    </row>
    <row r="3882" spans="1:32" ht="15" x14ac:dyDescent="0.35">
      <c r="A3882" t="s">
        <v>3337</v>
      </c>
      <c r="B3882" s="1">
        <v>45917</v>
      </c>
      <c r="C3882">
        <f>YEAR(OrdersTable[[#This Row],[Order Date]])</f>
        <v>2025</v>
      </c>
      <c r="D3882" s="2">
        <f>DATE(YEAR(OrdersTable[[#This Row],[Order Date]]),MONTH(OrdersTable[[#This Row],[Order Date]]),1)</f>
        <v>45901</v>
      </c>
      <c r="E3882">
        <f>MONTH(OrdersTable[[#This Row],[Order Date]])</f>
        <v>9</v>
      </c>
      <c r="F3882" t="s">
        <v>3338</v>
      </c>
      <c r="G3882" t="str">
        <f>IF(OrdersTable[[#This Row],[Order Date]]=_xlfn.MINIFS(Order_Date, Customer_ID, OrdersTable[[#This Row],[Customer ID]]), "New", "Repeat")</f>
        <v>Repeat</v>
      </c>
      <c r="H3882" t="s">
        <v>37</v>
      </c>
      <c r="I3882" t="str">
        <f>INDEX(State!B:B,MATCH(OrdersTable[[#This Row],[State]],State!A:A,0))</f>
        <v>GJ</v>
      </c>
      <c r="J3882" t="str">
        <f>INDEX(State!C:C,MATCH(OrdersTable[[#This Row],[State Code]],State!B:B,0))</f>
        <v>West</v>
      </c>
      <c r="K3882" t="s">
        <v>247</v>
      </c>
      <c r="L3882" t="s">
        <v>23</v>
      </c>
      <c r="M3882" t="s">
        <v>40</v>
      </c>
      <c r="N3882" t="str">
        <f>INDEX(Products!B:B,MATCH(OrdersTable[[#This Row],[Product ID]],Products!A:A,0))</f>
        <v>Ashwagandha Capsules</v>
      </c>
      <c r="O3882" t="str">
        <f>INDEX(Products!C:C,MATCH(OrdersTable[[#This Row],[Product ID]],Products!A:A,0))</f>
        <v>Wellness</v>
      </c>
      <c r="P3882">
        <v>1</v>
      </c>
      <c r="Q3882" s="5">
        <v>499</v>
      </c>
      <c r="R3882" s="74">
        <v>0</v>
      </c>
      <c r="S3882" s="75">
        <f>OrdersTable[[#This Row],[Quantity]]*OrdersTable[[#This Row],[Unit Price]]</f>
        <v>499</v>
      </c>
      <c r="T3882" s="5">
        <f>OrdersTable[[#This Row],[Gross Sale]]*OrdersTable[[#This Row],[Discount_Clean2]]</f>
        <v>0</v>
      </c>
      <c r="U3882" s="5">
        <f>OrdersTable[[#This Row],[Gross Sale]]-OrdersTable[[#This Row],[Discount Amount]]</f>
        <v>499</v>
      </c>
      <c r="V3882" s="77">
        <f>INDEX(Products!E:E,MATCH(OrdersTable[[#This Row],[Product ID]],Products!A:A,0))</f>
        <v>150</v>
      </c>
      <c r="W3882" s="77">
        <f>OrdersTable[[#This Row],[Quantity]]*OrdersTable[[#This Row],[Unit Cost]]</f>
        <v>150</v>
      </c>
      <c r="X3882" s="77">
        <f>'Dropdown Lists'!$I$2*(1+OrdersTable[[#This Row],[Returned]])</f>
        <v>60</v>
      </c>
      <c r="Y3882" s="76">
        <f>OrdersTable[[#This Row],[Net Revenue]]-OrdersTable[[#This Row],[COGS]]-OrdersTable[[#This Row],[Shipping Cost]]</f>
        <v>289</v>
      </c>
      <c r="Z3882" s="78">
        <f>IFERROR(OrdersTable[[#This Row],[Profit]]/OrdersTable[[#This Row],[Net Revenue]],0)</f>
        <v>0.57915831663326656</v>
      </c>
      <c r="AA3882" t="s">
        <v>2522</v>
      </c>
      <c r="AB3882" s="79">
        <v>45919</v>
      </c>
      <c r="AC3882">
        <f>OrdersTable[[#This Row],[Delivery Date]]-OrdersTable[[#This Row],[Order Date]]</f>
        <v>2</v>
      </c>
      <c r="AD3882" t="str">
        <f>IF(OrdersTable[[#This Row],[Delivery Days]]&lt;=2, "Express (≤2d)", IF(OrdersTable[[#This Row],[Delivery Days]]&lt;=4, "Standard (3-4d)", "Delayed (5d+)"))</f>
        <v>Express (≤2d)</v>
      </c>
      <c r="AE3882">
        <v>4</v>
      </c>
      <c r="AF3882">
        <v>0</v>
      </c>
    </row>
    <row r="3883" spans="1:32" ht="15" x14ac:dyDescent="0.35">
      <c r="A3883" t="s">
        <v>5029</v>
      </c>
      <c r="B3883" s="1">
        <v>45917</v>
      </c>
      <c r="C3883">
        <f>YEAR(OrdersTable[[#This Row],[Order Date]])</f>
        <v>2025</v>
      </c>
      <c r="D3883" s="2">
        <f>DATE(YEAR(OrdersTable[[#This Row],[Order Date]]),MONTH(OrdersTable[[#This Row],[Order Date]]),1)</f>
        <v>45901</v>
      </c>
      <c r="E3883">
        <f>MONTH(OrdersTable[[#This Row],[Order Date]])</f>
        <v>9</v>
      </c>
      <c r="F3883" t="s">
        <v>690</v>
      </c>
      <c r="G3883" t="str">
        <f>IF(OrdersTable[[#This Row],[Order Date]]=_xlfn.MINIFS(Order_Date, Customer_ID, OrdersTable[[#This Row],[Customer ID]]), "New", "Repeat")</f>
        <v>New</v>
      </c>
      <c r="H3883" t="s">
        <v>37</v>
      </c>
      <c r="I3883" t="str">
        <f>INDEX(State!B:B,MATCH(OrdersTable[[#This Row],[State]],State!A:A,0))</f>
        <v>GJ</v>
      </c>
      <c r="J3883" t="str">
        <f>INDEX(State!C:C,MATCH(OrdersTable[[#This Row],[State Code]],State!B:B,0))</f>
        <v>West</v>
      </c>
      <c r="K3883" t="s">
        <v>247</v>
      </c>
      <c r="L3883" t="s">
        <v>65</v>
      </c>
      <c r="M3883" t="s">
        <v>106</v>
      </c>
      <c r="N3883" t="str">
        <f>INDEX(Products!B:B,MATCH(OrdersTable[[#This Row],[Product ID]],Products!A:A,0))</f>
        <v>Keratin Hair Mask</v>
      </c>
      <c r="O3883" t="str">
        <f>INDEX(Products!C:C,MATCH(OrdersTable[[#This Row],[Product ID]],Products!A:A,0))</f>
        <v>Haircare</v>
      </c>
      <c r="P3883">
        <v>2</v>
      </c>
      <c r="Q3883" s="5">
        <v>549</v>
      </c>
      <c r="R3883" s="74">
        <v>0.15</v>
      </c>
      <c r="S3883" s="75">
        <f>OrdersTable[[#This Row],[Quantity]]*OrdersTable[[#This Row],[Unit Price]]</f>
        <v>1098</v>
      </c>
      <c r="T3883" s="5">
        <f>OrdersTable[[#This Row],[Gross Sale]]*OrdersTable[[#This Row],[Discount_Clean2]]</f>
        <v>164.7</v>
      </c>
      <c r="U3883" s="5">
        <f>OrdersTable[[#This Row],[Gross Sale]]-OrdersTable[[#This Row],[Discount Amount]]</f>
        <v>933.3</v>
      </c>
      <c r="V3883" s="77">
        <f>INDEX(Products!E:E,MATCH(OrdersTable[[#This Row],[Product ID]],Products!A:A,0))</f>
        <v>170</v>
      </c>
      <c r="W3883" s="77">
        <f>OrdersTable[[#This Row],[Quantity]]*OrdersTable[[#This Row],[Unit Cost]]</f>
        <v>340</v>
      </c>
      <c r="X3883" s="77">
        <f>'Dropdown Lists'!$I$2*(1+OrdersTable[[#This Row],[Returned]])</f>
        <v>60</v>
      </c>
      <c r="Y3883" s="76">
        <f>OrdersTable[[#This Row],[Net Revenue]]-OrdersTable[[#This Row],[COGS]]-OrdersTable[[#This Row],[Shipping Cost]]</f>
        <v>533.29999999999995</v>
      </c>
      <c r="Z3883" s="78">
        <f>IFERROR(OrdersTable[[#This Row],[Profit]]/OrdersTable[[#This Row],[Net Revenue]],0)</f>
        <v>0.57141326475945564</v>
      </c>
      <c r="AA3883" t="s">
        <v>4074</v>
      </c>
      <c r="AB3883" s="79">
        <v>45919</v>
      </c>
      <c r="AC3883">
        <f>OrdersTable[[#This Row],[Delivery Date]]-OrdersTable[[#This Row],[Order Date]]</f>
        <v>2</v>
      </c>
      <c r="AD3883" t="str">
        <f>IF(OrdersTable[[#This Row],[Delivery Days]]&lt;=2, "Express (≤2d)", IF(OrdersTable[[#This Row],[Delivery Days]]&lt;=4, "Standard (3-4d)", "Delayed (5d+)"))</f>
        <v>Express (≤2d)</v>
      </c>
      <c r="AE3883">
        <v>4</v>
      </c>
      <c r="AF3883">
        <v>0</v>
      </c>
    </row>
    <row r="3884" spans="1:32" ht="15" x14ac:dyDescent="0.35">
      <c r="A3884" t="s">
        <v>6812</v>
      </c>
      <c r="B3884" s="1">
        <v>45917</v>
      </c>
      <c r="C3884">
        <f>YEAR(OrdersTable[[#This Row],[Order Date]])</f>
        <v>2025</v>
      </c>
      <c r="D3884" s="2">
        <f>DATE(YEAR(OrdersTable[[#This Row],[Order Date]]),MONTH(OrdersTable[[#This Row],[Order Date]]),1)</f>
        <v>45901</v>
      </c>
      <c r="E3884">
        <f>MONTH(OrdersTable[[#This Row],[Order Date]])</f>
        <v>9</v>
      </c>
      <c r="F3884" t="s">
        <v>4019</v>
      </c>
      <c r="G3884" t="str">
        <f>IF(OrdersTable[[#This Row],[Order Date]]=_xlfn.MINIFS(Order_Date, Customer_ID, OrdersTable[[#This Row],[Customer ID]]), "New", "Repeat")</f>
        <v>Repeat</v>
      </c>
      <c r="H3884" t="s">
        <v>482</v>
      </c>
      <c r="I3884" t="str">
        <f>INDEX(State!B:B,MATCH(OrdersTable[[#This Row],[State]],State!A:A,0))</f>
        <v>CG</v>
      </c>
      <c r="J3884" t="str">
        <f>INDEX(State!C:C,MATCH(OrdersTable[[#This Row],[State Code]],State!B:B,0))</f>
        <v>East</v>
      </c>
      <c r="K3884" t="s">
        <v>483</v>
      </c>
      <c r="L3884" t="s">
        <v>65</v>
      </c>
      <c r="M3884" t="s">
        <v>160</v>
      </c>
      <c r="N3884" t="str">
        <f>INDEX(Products!B:B,MATCH(OrdersTable[[#This Row],[Product ID]],Products!A:A,0))</f>
        <v>Niacinamide Toner</v>
      </c>
      <c r="O3884" t="str">
        <f>INDEX(Products!C:C,MATCH(OrdersTable[[#This Row],[Product ID]],Products!A:A,0))</f>
        <v>Skincare</v>
      </c>
      <c r="P3884">
        <v>3</v>
      </c>
      <c r="Q3884" s="5">
        <v>399</v>
      </c>
      <c r="R3884" s="74">
        <v>0.3</v>
      </c>
      <c r="S3884" s="75">
        <f>OrdersTable[[#This Row],[Quantity]]*OrdersTable[[#This Row],[Unit Price]]</f>
        <v>1197</v>
      </c>
      <c r="T3884" s="5">
        <f>OrdersTable[[#This Row],[Gross Sale]]*OrdersTable[[#This Row],[Discount_Clean2]]</f>
        <v>359.09999999999997</v>
      </c>
      <c r="U3884" s="5">
        <f>OrdersTable[[#This Row],[Gross Sale]]-OrdersTable[[#This Row],[Discount Amount]]</f>
        <v>837.90000000000009</v>
      </c>
      <c r="V3884" s="77">
        <f>INDEX(Products!E:E,MATCH(OrdersTable[[#This Row],[Product ID]],Products!A:A,0))</f>
        <v>112</v>
      </c>
      <c r="W3884" s="77">
        <f>OrdersTable[[#This Row],[Quantity]]*OrdersTable[[#This Row],[Unit Cost]]</f>
        <v>336</v>
      </c>
      <c r="X3884" s="77">
        <f>'Dropdown Lists'!$I$2*(1+OrdersTable[[#This Row],[Returned]])</f>
        <v>120</v>
      </c>
      <c r="Y3884" s="76">
        <f>OrdersTable[[#This Row],[Net Revenue]]-OrdersTable[[#This Row],[COGS]]-OrdersTable[[#This Row],[Shipping Cost]]</f>
        <v>381.90000000000009</v>
      </c>
      <c r="Z3884" s="78">
        <f>IFERROR(OrdersTable[[#This Row],[Profit]]/OrdersTable[[#This Row],[Net Revenue]],0)</f>
        <v>0.45578231292517013</v>
      </c>
      <c r="AA3884" t="s">
        <v>3495</v>
      </c>
      <c r="AB3884" s="79">
        <v>45922</v>
      </c>
      <c r="AC3884">
        <f>OrdersTable[[#This Row],[Delivery Date]]-OrdersTable[[#This Row],[Order Date]]</f>
        <v>5</v>
      </c>
      <c r="AD3884" t="str">
        <f>IF(OrdersTable[[#This Row],[Delivery Days]]&lt;=2, "Express (≤2d)", IF(OrdersTable[[#This Row],[Delivery Days]]&lt;=4, "Standard (3-4d)", "Delayed (5d+)"))</f>
        <v>Delayed (5d+)</v>
      </c>
      <c r="AE3884">
        <v>3</v>
      </c>
      <c r="AF3884">
        <v>1</v>
      </c>
    </row>
    <row r="3885" spans="1:32" ht="15" x14ac:dyDescent="0.35">
      <c r="A3885" t="s">
        <v>5030</v>
      </c>
      <c r="B3885" s="1">
        <v>45917</v>
      </c>
      <c r="C3885">
        <f>YEAR(OrdersTable[[#This Row],[Order Date]])</f>
        <v>2025</v>
      </c>
      <c r="D3885" s="2">
        <f>DATE(YEAR(OrdersTable[[#This Row],[Order Date]]),MONTH(OrdersTable[[#This Row],[Order Date]]),1)</f>
        <v>45901</v>
      </c>
      <c r="E3885">
        <f>MONTH(OrdersTable[[#This Row],[Order Date]])</f>
        <v>9</v>
      </c>
      <c r="F3885" t="s">
        <v>5031</v>
      </c>
      <c r="G3885" t="str">
        <f>IF(OrdersTable[[#This Row],[Order Date]]=_xlfn.MINIFS(Order_Date, Customer_ID, OrdersTable[[#This Row],[Customer ID]]), "New", "Repeat")</f>
        <v>Repeat</v>
      </c>
      <c r="H3885" t="s">
        <v>27</v>
      </c>
      <c r="I3885" t="str">
        <f>INDEX(State!B:B,MATCH(OrdersTable[[#This Row],[State]],State!A:A,0))</f>
        <v>WB</v>
      </c>
      <c r="J3885" t="str">
        <f>INDEX(State!C:C,MATCH(OrdersTable[[#This Row],[State Code]],State!B:B,0))</f>
        <v>East</v>
      </c>
      <c r="K3885" t="s">
        <v>28</v>
      </c>
      <c r="L3885" t="s">
        <v>23</v>
      </c>
      <c r="M3885" t="s">
        <v>34</v>
      </c>
      <c r="N3885" t="str">
        <f>INDEX(Products!B:B,MATCH(OrdersTable[[#This Row],[Product ID]],Products!A:A,0))</f>
        <v>Flip Flops</v>
      </c>
      <c r="O3885" t="str">
        <f>INDEX(Products!C:C,MATCH(OrdersTable[[#This Row],[Product ID]],Products!A:A,0))</f>
        <v>Footwear</v>
      </c>
      <c r="P3885">
        <v>2</v>
      </c>
      <c r="Q3885" s="5">
        <v>399</v>
      </c>
      <c r="R3885" s="74">
        <v>0.15</v>
      </c>
      <c r="S3885" s="75">
        <f>OrdersTable[[#This Row],[Quantity]]*OrdersTable[[#This Row],[Unit Price]]</f>
        <v>798</v>
      </c>
      <c r="T3885" s="5">
        <f>OrdersTable[[#This Row],[Gross Sale]]*OrdersTable[[#This Row],[Discount_Clean2]]</f>
        <v>119.69999999999999</v>
      </c>
      <c r="U3885" s="5">
        <f>OrdersTable[[#This Row],[Gross Sale]]-OrdersTable[[#This Row],[Discount Amount]]</f>
        <v>678.3</v>
      </c>
      <c r="V3885" s="77">
        <f>INDEX(Products!E:E,MATCH(OrdersTable[[#This Row],[Product ID]],Products!A:A,0))</f>
        <v>152</v>
      </c>
      <c r="W3885" s="77">
        <f>OrdersTable[[#This Row],[Quantity]]*OrdersTable[[#This Row],[Unit Cost]]</f>
        <v>304</v>
      </c>
      <c r="X3885" s="77">
        <f>'Dropdown Lists'!$I$2*(1+OrdersTable[[#This Row],[Returned]])</f>
        <v>60</v>
      </c>
      <c r="Y3885" s="76">
        <f>OrdersTable[[#This Row],[Net Revenue]]-OrdersTable[[#This Row],[COGS]]-OrdersTable[[#This Row],[Shipping Cost]]</f>
        <v>314.29999999999995</v>
      </c>
      <c r="Z3885" s="78">
        <f>IFERROR(OrdersTable[[#This Row],[Profit]]/OrdersTable[[#This Row],[Net Revenue]],0)</f>
        <v>0.4633642930856553</v>
      </c>
      <c r="AA3885" t="s">
        <v>4074</v>
      </c>
      <c r="AB3885" s="79">
        <v>45919</v>
      </c>
      <c r="AC3885">
        <f>OrdersTable[[#This Row],[Delivery Date]]-OrdersTable[[#This Row],[Order Date]]</f>
        <v>2</v>
      </c>
      <c r="AD3885" t="str">
        <f>IF(OrdersTable[[#This Row],[Delivery Days]]&lt;=2, "Express (≤2d)", IF(OrdersTable[[#This Row],[Delivery Days]]&lt;=4, "Standard (3-4d)", "Delayed (5d+)"))</f>
        <v>Express (≤2d)</v>
      </c>
      <c r="AE3885">
        <v>5</v>
      </c>
      <c r="AF3885">
        <v>0</v>
      </c>
    </row>
    <row r="3886" spans="1:32" ht="15" x14ac:dyDescent="0.35">
      <c r="A3886" t="s">
        <v>6617</v>
      </c>
      <c r="B3886" s="1">
        <v>45917</v>
      </c>
      <c r="C3886">
        <f>YEAR(OrdersTable[[#This Row],[Order Date]])</f>
        <v>2025</v>
      </c>
      <c r="D3886" s="2">
        <f>DATE(YEAR(OrdersTable[[#This Row],[Order Date]]),MONTH(OrdersTable[[#This Row],[Order Date]]),1)</f>
        <v>45901</v>
      </c>
      <c r="E3886">
        <f>MONTH(OrdersTable[[#This Row],[Order Date]])</f>
        <v>9</v>
      </c>
      <c r="F3886" t="s">
        <v>4240</v>
      </c>
      <c r="G3886" t="str">
        <f>IF(OrdersTable[[#This Row],[Order Date]]=_xlfn.MINIFS(Order_Date, Customer_ID, OrdersTable[[#This Row],[Customer ID]]), "New", "Repeat")</f>
        <v>Repeat</v>
      </c>
      <c r="H3886" t="s">
        <v>71</v>
      </c>
      <c r="I3886" t="str">
        <f>INDEX(State!B:B,MATCH(OrdersTable[[#This Row],[State]],State!A:A,0))</f>
        <v>MH</v>
      </c>
      <c r="J3886" t="str">
        <f>INDEX(State!C:C,MATCH(OrdersTable[[#This Row],[State Code]],State!B:B,0))</f>
        <v>West</v>
      </c>
      <c r="K3886" t="s">
        <v>72</v>
      </c>
      <c r="L3886" t="s">
        <v>50</v>
      </c>
      <c r="M3886" t="s">
        <v>45</v>
      </c>
      <c r="N3886" t="str">
        <f>INDEX(Products!B:B,MATCH(OrdersTable[[#This Row],[Product ID]],Products!A:A,0))</f>
        <v>Argan Shampoo</v>
      </c>
      <c r="O3886" t="str">
        <f>INDEX(Products!C:C,MATCH(OrdersTable[[#This Row],[Product ID]],Products!A:A,0))</f>
        <v>Haircare</v>
      </c>
      <c r="P3886">
        <v>3</v>
      </c>
      <c r="Q3886" s="5">
        <v>449</v>
      </c>
      <c r="R3886" s="74">
        <v>0.15</v>
      </c>
      <c r="S3886" s="75">
        <f>OrdersTable[[#This Row],[Quantity]]*OrdersTable[[#This Row],[Unit Price]]</f>
        <v>1347</v>
      </c>
      <c r="T3886" s="5">
        <f>OrdersTable[[#This Row],[Gross Sale]]*OrdersTable[[#This Row],[Discount_Clean2]]</f>
        <v>202.04999999999998</v>
      </c>
      <c r="U3886" s="5">
        <f>OrdersTable[[#This Row],[Gross Sale]]-OrdersTable[[#This Row],[Discount Amount]]</f>
        <v>1144.95</v>
      </c>
      <c r="V3886" s="77">
        <f>INDEX(Products!E:E,MATCH(OrdersTable[[#This Row],[Product ID]],Products!A:A,0))</f>
        <v>148</v>
      </c>
      <c r="W3886" s="77">
        <f>OrdersTable[[#This Row],[Quantity]]*OrdersTable[[#This Row],[Unit Cost]]</f>
        <v>444</v>
      </c>
      <c r="X3886" s="77">
        <f>'Dropdown Lists'!$I$2*(1+OrdersTable[[#This Row],[Returned]])</f>
        <v>60</v>
      </c>
      <c r="Y3886" s="76">
        <f>OrdersTable[[#This Row],[Net Revenue]]-OrdersTable[[#This Row],[COGS]]-OrdersTable[[#This Row],[Shipping Cost]]</f>
        <v>640.95000000000005</v>
      </c>
      <c r="Z3886" s="78">
        <f>IFERROR(OrdersTable[[#This Row],[Profit]]/OrdersTable[[#This Row],[Net Revenue]],0)</f>
        <v>0.55980610507009043</v>
      </c>
      <c r="AA3886" t="s">
        <v>18</v>
      </c>
      <c r="AB3886" s="79">
        <v>45921</v>
      </c>
      <c r="AC3886">
        <f>OrdersTable[[#This Row],[Delivery Date]]-OrdersTable[[#This Row],[Order Date]]</f>
        <v>4</v>
      </c>
      <c r="AD3886" t="str">
        <f>IF(OrdersTable[[#This Row],[Delivery Days]]&lt;=2, "Express (≤2d)", IF(OrdersTable[[#This Row],[Delivery Days]]&lt;=4, "Standard (3-4d)", "Delayed (5d+)"))</f>
        <v>Standard (3-4d)</v>
      </c>
      <c r="AE3886">
        <v>3</v>
      </c>
      <c r="AF3886">
        <v>0</v>
      </c>
    </row>
    <row r="3887" spans="1:32" ht="15" x14ac:dyDescent="0.35">
      <c r="A3887" t="s">
        <v>2024</v>
      </c>
      <c r="B3887" s="1">
        <v>45917</v>
      </c>
      <c r="C3887">
        <f>YEAR(OrdersTable[[#This Row],[Order Date]])</f>
        <v>2025</v>
      </c>
      <c r="D3887" s="2">
        <f>DATE(YEAR(OrdersTable[[#This Row],[Order Date]]),MONTH(OrdersTable[[#This Row],[Order Date]]),1)</f>
        <v>45901</v>
      </c>
      <c r="E3887">
        <f>MONTH(OrdersTable[[#This Row],[Order Date]])</f>
        <v>9</v>
      </c>
      <c r="F3887" t="s">
        <v>290</v>
      </c>
      <c r="G3887" t="str">
        <f>IF(OrdersTable[[#This Row],[Order Date]]=_xlfn.MINIFS(Order_Date, Customer_ID, OrdersTable[[#This Row],[Customer ID]]), "New", "Repeat")</f>
        <v>Repeat</v>
      </c>
      <c r="H3887" t="s">
        <v>71</v>
      </c>
      <c r="I3887" t="str">
        <f>INDEX(State!B:B,MATCH(OrdersTable[[#This Row],[State]],State!A:A,0))</f>
        <v>MH</v>
      </c>
      <c r="J3887" t="str">
        <f>INDEX(State!C:C,MATCH(OrdersTable[[#This Row],[State Code]],State!B:B,0))</f>
        <v>West</v>
      </c>
      <c r="K3887" t="s">
        <v>81</v>
      </c>
      <c r="L3887" t="s">
        <v>16</v>
      </c>
      <c r="M3887" t="s">
        <v>576</v>
      </c>
      <c r="N3887" t="str">
        <f>INDEX(Products!B:B,MATCH(OrdersTable[[#This Row],[Product ID]],Products!A:A,0))</f>
        <v>Printed Saree</v>
      </c>
      <c r="O3887" t="str">
        <f>INDEX(Products!C:C,MATCH(OrdersTable[[#This Row],[Product ID]],Products!A:A,0))</f>
        <v>Apparel</v>
      </c>
      <c r="P3887">
        <v>1</v>
      </c>
      <c r="Q3887" s="5">
        <v>1999</v>
      </c>
      <c r="R3887" s="74">
        <v>0.05</v>
      </c>
      <c r="S3887" s="75">
        <f>OrdersTable[[#This Row],[Quantity]]*OrdersTable[[#This Row],[Unit Price]]</f>
        <v>1999</v>
      </c>
      <c r="T3887" s="5">
        <f>OrdersTable[[#This Row],[Gross Sale]]*OrdersTable[[#This Row],[Discount_Clean2]]</f>
        <v>99.95</v>
      </c>
      <c r="U3887" s="5">
        <f>OrdersTable[[#This Row],[Gross Sale]]-OrdersTable[[#This Row],[Discount Amount]]</f>
        <v>1899.05</v>
      </c>
      <c r="V3887" s="77">
        <f>INDEX(Products!E:E,MATCH(OrdersTable[[#This Row],[Product ID]],Products!A:A,0))</f>
        <v>880</v>
      </c>
      <c r="W3887" s="77">
        <f>OrdersTable[[#This Row],[Quantity]]*OrdersTable[[#This Row],[Unit Cost]]</f>
        <v>880</v>
      </c>
      <c r="X3887" s="77">
        <f>'Dropdown Lists'!$I$2*(1+OrdersTable[[#This Row],[Returned]])</f>
        <v>60</v>
      </c>
      <c r="Y3887" s="76">
        <f>OrdersTable[[#This Row],[Net Revenue]]-OrdersTable[[#This Row],[COGS]]-OrdersTable[[#This Row],[Shipping Cost]]</f>
        <v>959.05</v>
      </c>
      <c r="Z3887" s="78">
        <f>IFERROR(OrdersTable[[#This Row],[Profit]]/OrdersTable[[#This Row],[Net Revenue]],0)</f>
        <v>0.50501566572760059</v>
      </c>
      <c r="AA3887" t="s">
        <v>18</v>
      </c>
      <c r="AB3887" s="79">
        <v>45918</v>
      </c>
      <c r="AC3887">
        <f>OrdersTable[[#This Row],[Delivery Date]]-OrdersTable[[#This Row],[Order Date]]</f>
        <v>1</v>
      </c>
      <c r="AD3887" t="str">
        <f>IF(OrdersTable[[#This Row],[Delivery Days]]&lt;=2, "Express (≤2d)", IF(OrdersTable[[#This Row],[Delivery Days]]&lt;=4, "Standard (3-4d)", "Delayed (5d+)"))</f>
        <v>Express (≤2d)</v>
      </c>
      <c r="AE3887">
        <v>3</v>
      </c>
      <c r="AF3887">
        <v>0</v>
      </c>
    </row>
    <row r="3888" spans="1:32" ht="15" x14ac:dyDescent="0.35">
      <c r="A3888" t="s">
        <v>6404</v>
      </c>
      <c r="B3888" s="1">
        <v>45917</v>
      </c>
      <c r="C3888">
        <f>YEAR(OrdersTable[[#This Row],[Order Date]])</f>
        <v>2025</v>
      </c>
      <c r="D3888" s="2">
        <f>DATE(YEAR(OrdersTable[[#This Row],[Order Date]]),MONTH(OrdersTable[[#This Row],[Order Date]]),1)</f>
        <v>45901</v>
      </c>
      <c r="E3888">
        <f>MONTH(OrdersTable[[#This Row],[Order Date]])</f>
        <v>9</v>
      </c>
      <c r="F3888" t="s">
        <v>5595</v>
      </c>
      <c r="G3888" t="str">
        <f>IF(OrdersTable[[#This Row],[Order Date]]=_xlfn.MINIFS(Order_Date, Customer_ID, OrdersTable[[#This Row],[Customer ID]]), "New", "Repeat")</f>
        <v>Repeat</v>
      </c>
      <c r="H3888" t="s">
        <v>90</v>
      </c>
      <c r="I3888" t="str">
        <f>INDEX(State!B:B,MATCH(OrdersTable[[#This Row],[State]],State!A:A,0))</f>
        <v>GA</v>
      </c>
      <c r="J3888" t="str">
        <f>INDEX(State!C:C,MATCH(OrdersTable[[#This Row],[State Code]],State!B:B,0))</f>
        <v>West</v>
      </c>
      <c r="K3888" t="s">
        <v>91</v>
      </c>
      <c r="L3888" t="s">
        <v>65</v>
      </c>
      <c r="M3888" t="s">
        <v>160</v>
      </c>
      <c r="N3888" t="str">
        <f>INDEX(Products!B:B,MATCH(OrdersTable[[#This Row],[Product ID]],Products!A:A,0))</f>
        <v>Niacinamide Toner</v>
      </c>
      <c r="O3888" t="str">
        <f>INDEX(Products!C:C,MATCH(OrdersTable[[#This Row],[Product ID]],Products!A:A,0))</f>
        <v>Skincare</v>
      </c>
      <c r="P3888">
        <v>2</v>
      </c>
      <c r="Q3888" s="5">
        <v>399</v>
      </c>
      <c r="R3888" s="74">
        <v>0.2</v>
      </c>
      <c r="S3888" s="75">
        <f>OrdersTable[[#This Row],[Quantity]]*OrdersTable[[#This Row],[Unit Price]]</f>
        <v>798</v>
      </c>
      <c r="T3888" s="5">
        <f>OrdersTable[[#This Row],[Gross Sale]]*OrdersTable[[#This Row],[Discount_Clean2]]</f>
        <v>159.60000000000002</v>
      </c>
      <c r="U3888" s="5">
        <f>OrdersTable[[#This Row],[Gross Sale]]-OrdersTable[[#This Row],[Discount Amount]]</f>
        <v>638.4</v>
      </c>
      <c r="V3888" s="77">
        <f>INDEX(Products!E:E,MATCH(OrdersTable[[#This Row],[Product ID]],Products!A:A,0))</f>
        <v>112</v>
      </c>
      <c r="W3888" s="77">
        <f>OrdersTable[[#This Row],[Quantity]]*OrdersTable[[#This Row],[Unit Cost]]</f>
        <v>224</v>
      </c>
      <c r="X3888" s="77">
        <f>'Dropdown Lists'!$I$2*(1+OrdersTable[[#This Row],[Returned]])</f>
        <v>60</v>
      </c>
      <c r="Y3888" s="76">
        <f>OrdersTable[[#This Row],[Net Revenue]]-OrdersTable[[#This Row],[COGS]]-OrdersTable[[#This Row],[Shipping Cost]]</f>
        <v>354.4</v>
      </c>
      <c r="Z3888" s="78">
        <f>IFERROR(OrdersTable[[#This Row],[Profit]]/OrdersTable[[#This Row],[Net Revenue]],0)</f>
        <v>0.55513784461152882</v>
      </c>
      <c r="AA3888" t="s">
        <v>18</v>
      </c>
      <c r="AB3888" s="79">
        <v>45919</v>
      </c>
      <c r="AC3888">
        <f>OrdersTable[[#This Row],[Delivery Date]]-OrdersTable[[#This Row],[Order Date]]</f>
        <v>2</v>
      </c>
      <c r="AD3888" t="str">
        <f>IF(OrdersTable[[#This Row],[Delivery Days]]&lt;=2, "Express (≤2d)", IF(OrdersTable[[#This Row],[Delivery Days]]&lt;=4, "Standard (3-4d)", "Delayed (5d+)"))</f>
        <v>Express (≤2d)</v>
      </c>
      <c r="AE3888">
        <v>3</v>
      </c>
      <c r="AF3888">
        <v>0</v>
      </c>
    </row>
    <row r="3889" spans="1:32" ht="15" x14ac:dyDescent="0.35">
      <c r="A3889" t="s">
        <v>3339</v>
      </c>
      <c r="B3889" s="1">
        <v>45917</v>
      </c>
      <c r="C3889">
        <f>YEAR(OrdersTable[[#This Row],[Order Date]])</f>
        <v>2025</v>
      </c>
      <c r="D3889" s="2">
        <f>DATE(YEAR(OrdersTable[[#This Row],[Order Date]]),MONTH(OrdersTable[[#This Row],[Order Date]]),1)</f>
        <v>45901</v>
      </c>
      <c r="E3889">
        <f>MONTH(OrdersTable[[#This Row],[Order Date]])</f>
        <v>9</v>
      </c>
      <c r="F3889" t="s">
        <v>1861</v>
      </c>
      <c r="G3889" t="str">
        <f>IF(OrdersTable[[#This Row],[Order Date]]=_xlfn.MINIFS(Order_Date, Customer_ID, OrdersTable[[#This Row],[Customer ID]]), "New", "Repeat")</f>
        <v>Repeat</v>
      </c>
      <c r="H3889" t="s">
        <v>167</v>
      </c>
      <c r="I3889" t="str">
        <f>INDEX(State!B:B,MATCH(OrdersTable[[#This Row],[State]],State!A:A,0))</f>
        <v>KA</v>
      </c>
      <c r="J3889" t="str">
        <f>INDEX(State!C:C,MATCH(OrdersTable[[#This Row],[State Code]],State!B:B,0))</f>
        <v>South</v>
      </c>
      <c r="K3889" t="s">
        <v>190</v>
      </c>
      <c r="L3889" t="s">
        <v>39</v>
      </c>
      <c r="M3889" t="s">
        <v>176</v>
      </c>
      <c r="N3889" t="str">
        <f>INDEX(Products!B:B,MATCH(OrdersTable[[#This Row],[Product ID]],Products!A:A,0))</f>
        <v>Denim Jacket</v>
      </c>
      <c r="O3889" t="str">
        <f>INDEX(Products!C:C,MATCH(OrdersTable[[#This Row],[Product ID]],Products!A:A,0))</f>
        <v>Apparel</v>
      </c>
      <c r="P3889">
        <v>1</v>
      </c>
      <c r="Q3889" s="5">
        <v>2499</v>
      </c>
      <c r="R3889" s="74">
        <v>0</v>
      </c>
      <c r="S3889" s="75">
        <f>OrdersTable[[#This Row],[Quantity]]*OrdersTable[[#This Row],[Unit Price]]</f>
        <v>2499</v>
      </c>
      <c r="T3889" s="5">
        <f>OrdersTable[[#This Row],[Gross Sale]]*OrdersTable[[#This Row],[Discount_Clean2]]</f>
        <v>0</v>
      </c>
      <c r="U3889" s="5">
        <f>OrdersTable[[#This Row],[Gross Sale]]-OrdersTable[[#This Row],[Discount Amount]]</f>
        <v>2499</v>
      </c>
      <c r="V3889" s="77">
        <f>INDEX(Products!E:E,MATCH(OrdersTable[[#This Row],[Product ID]],Products!A:A,0))</f>
        <v>1125</v>
      </c>
      <c r="W3889" s="77">
        <f>OrdersTable[[#This Row],[Quantity]]*OrdersTable[[#This Row],[Unit Cost]]</f>
        <v>1125</v>
      </c>
      <c r="X3889" s="77">
        <f>'Dropdown Lists'!$I$2*(1+OrdersTable[[#This Row],[Returned]])</f>
        <v>60</v>
      </c>
      <c r="Y3889" s="76">
        <f>OrdersTable[[#This Row],[Net Revenue]]-OrdersTable[[#This Row],[COGS]]-OrdersTable[[#This Row],[Shipping Cost]]</f>
        <v>1314</v>
      </c>
      <c r="Z3889" s="78">
        <f>IFERROR(OrdersTable[[#This Row],[Profit]]/OrdersTable[[#This Row],[Net Revenue]],0)</f>
        <v>0.5258103241296519</v>
      </c>
      <c r="AA3889" t="s">
        <v>2522</v>
      </c>
      <c r="AB3889" s="79">
        <v>45920</v>
      </c>
      <c r="AC3889">
        <f>OrdersTable[[#This Row],[Delivery Date]]-OrdersTable[[#This Row],[Order Date]]</f>
        <v>3</v>
      </c>
      <c r="AD3889" t="str">
        <f>IF(OrdersTable[[#This Row],[Delivery Days]]&lt;=2, "Express (≤2d)", IF(OrdersTable[[#This Row],[Delivery Days]]&lt;=4, "Standard (3-4d)", "Delayed (5d+)"))</f>
        <v>Standard (3-4d)</v>
      </c>
      <c r="AE3889">
        <v>4</v>
      </c>
      <c r="AF3889">
        <v>0</v>
      </c>
    </row>
    <row r="3890" spans="1:32" ht="15" x14ac:dyDescent="0.35">
      <c r="A3890" t="s">
        <v>1298</v>
      </c>
      <c r="B3890" s="1">
        <v>45917</v>
      </c>
      <c r="C3890">
        <f>YEAR(OrdersTable[[#This Row],[Order Date]])</f>
        <v>2025</v>
      </c>
      <c r="D3890" s="2">
        <f>DATE(YEAR(OrdersTable[[#This Row],[Order Date]]),MONTH(OrdersTable[[#This Row],[Order Date]]),1)</f>
        <v>45901</v>
      </c>
      <c r="E3890">
        <f>MONTH(OrdersTable[[#This Row],[Order Date]])</f>
        <v>9</v>
      </c>
      <c r="F3890" t="s">
        <v>213</v>
      </c>
      <c r="G3890" t="str">
        <f>IF(OrdersTable[[#This Row],[Order Date]]=_xlfn.MINIFS(Order_Date, Customer_ID, OrdersTable[[#This Row],[Customer ID]]), "New", "Repeat")</f>
        <v>Repeat</v>
      </c>
      <c r="H3890" t="s">
        <v>59</v>
      </c>
      <c r="I3890" t="str">
        <f>INDEX(State!B:B,MATCH(OrdersTable[[#This Row],[State]],State!A:A,0))</f>
        <v>TN</v>
      </c>
      <c r="J3890" t="str">
        <f>INDEX(State!C:C,MATCH(OrdersTable[[#This Row],[State Code]],State!B:B,0))</f>
        <v>South</v>
      </c>
      <c r="K3890" t="s">
        <v>64</v>
      </c>
      <c r="L3890" t="s">
        <v>16</v>
      </c>
      <c r="M3890" t="s">
        <v>255</v>
      </c>
      <c r="N3890" t="str">
        <f>INDEX(Products!B:B,MATCH(OrdersTable[[#This Row],[Product ID]],Products!A:A,0))</f>
        <v>Cotton Oversized T-Shirt</v>
      </c>
      <c r="O3890" t="str">
        <f>INDEX(Products!C:C,MATCH(OrdersTable[[#This Row],[Product ID]],Products!A:A,0))</f>
        <v>Apparel</v>
      </c>
      <c r="P3890">
        <v>1</v>
      </c>
      <c r="Q3890" s="5">
        <v>799</v>
      </c>
      <c r="R3890" s="74">
        <v>0.1</v>
      </c>
      <c r="S3890" s="75">
        <f>OrdersTable[[#This Row],[Quantity]]*OrdersTable[[#This Row],[Unit Price]]</f>
        <v>799</v>
      </c>
      <c r="T3890" s="5">
        <f>OrdersTable[[#This Row],[Gross Sale]]*OrdersTable[[#This Row],[Discount_Clean2]]</f>
        <v>79.900000000000006</v>
      </c>
      <c r="U3890" s="5">
        <f>OrdersTable[[#This Row],[Gross Sale]]-OrdersTable[[#This Row],[Discount Amount]]</f>
        <v>719.1</v>
      </c>
      <c r="V3890" s="77">
        <f>INDEX(Products!E:E,MATCH(OrdersTable[[#This Row],[Product ID]],Products!A:A,0))</f>
        <v>320</v>
      </c>
      <c r="W3890" s="77">
        <f>OrdersTable[[#This Row],[Quantity]]*OrdersTable[[#This Row],[Unit Cost]]</f>
        <v>320</v>
      </c>
      <c r="X3890" s="77">
        <f>'Dropdown Lists'!$I$2*(1+OrdersTable[[#This Row],[Returned]])</f>
        <v>120</v>
      </c>
      <c r="Y3890" s="76">
        <f>OrdersTable[[#This Row],[Net Revenue]]-OrdersTable[[#This Row],[COGS]]-OrdersTable[[#This Row],[Shipping Cost]]</f>
        <v>279.10000000000002</v>
      </c>
      <c r="Z3890" s="78">
        <f>IFERROR(OrdersTable[[#This Row],[Profit]]/OrdersTable[[#This Row],[Net Revenue]],0)</f>
        <v>0.38812404394381866</v>
      </c>
      <c r="AA3890" t="s">
        <v>18</v>
      </c>
      <c r="AB3890" s="79">
        <v>45919</v>
      </c>
      <c r="AC3890">
        <f>OrdersTable[[#This Row],[Delivery Date]]-OrdersTable[[#This Row],[Order Date]]</f>
        <v>2</v>
      </c>
      <c r="AD3890" t="str">
        <f>IF(OrdersTable[[#This Row],[Delivery Days]]&lt;=2, "Express (≤2d)", IF(OrdersTable[[#This Row],[Delivery Days]]&lt;=4, "Standard (3-4d)", "Delayed (5d+)"))</f>
        <v>Express (≤2d)</v>
      </c>
      <c r="AF3890">
        <v>1</v>
      </c>
    </row>
    <row r="3891" spans="1:32" ht="15" x14ac:dyDescent="0.35">
      <c r="A3891" t="s">
        <v>6203</v>
      </c>
      <c r="B3891" s="1">
        <v>45918</v>
      </c>
      <c r="C3891">
        <f>YEAR(OrdersTable[[#This Row],[Order Date]])</f>
        <v>2025</v>
      </c>
      <c r="D3891" s="2">
        <f>DATE(YEAR(OrdersTable[[#This Row],[Order Date]]),MONTH(OrdersTable[[#This Row],[Order Date]]),1)</f>
        <v>45901</v>
      </c>
      <c r="E3891">
        <f>MONTH(OrdersTable[[#This Row],[Order Date]])</f>
        <v>9</v>
      </c>
      <c r="F3891" t="s">
        <v>4826</v>
      </c>
      <c r="G3891" t="str">
        <f>IF(OrdersTable[[#This Row],[Order Date]]=_xlfn.MINIFS(Order_Date, Customer_ID, OrdersTable[[#This Row],[Customer ID]]), "New", "Repeat")</f>
        <v>Repeat</v>
      </c>
      <c r="H3891" t="s">
        <v>48</v>
      </c>
      <c r="I3891" t="str">
        <f>INDEX(State!B:B,MATCH(OrdersTable[[#This Row],[State]],State!A:A,0))</f>
        <v>HR</v>
      </c>
      <c r="J3891" t="str">
        <f>INDEX(State!C:C,MATCH(OrdersTable[[#This Row],[State Code]],State!B:B,0))</f>
        <v>North</v>
      </c>
      <c r="K3891" t="s">
        <v>151</v>
      </c>
      <c r="L3891" t="s">
        <v>23</v>
      </c>
      <c r="M3891" t="s">
        <v>29</v>
      </c>
      <c r="N3891" t="str">
        <f>INDEX(Products!B:B,MATCH(OrdersTable[[#This Row],[Product ID]],Products!A:A,0))</f>
        <v>Joggers</v>
      </c>
      <c r="O3891" t="str">
        <f>INDEX(Products!C:C,MATCH(OrdersTable[[#This Row],[Product ID]],Products!A:A,0))</f>
        <v>Apparel</v>
      </c>
      <c r="P3891">
        <v>2</v>
      </c>
      <c r="Q3891" s="5">
        <v>1199</v>
      </c>
      <c r="R3891" s="74">
        <v>0.15</v>
      </c>
      <c r="S3891" s="75">
        <f>OrdersTable[[#This Row],[Quantity]]*OrdersTable[[#This Row],[Unit Price]]</f>
        <v>2398</v>
      </c>
      <c r="T3891" s="5">
        <f>OrdersTable[[#This Row],[Gross Sale]]*OrdersTable[[#This Row],[Discount_Clean2]]</f>
        <v>359.7</v>
      </c>
      <c r="U3891" s="5">
        <f>OrdersTable[[#This Row],[Gross Sale]]-OrdersTable[[#This Row],[Discount Amount]]</f>
        <v>2038.3</v>
      </c>
      <c r="V3891" s="77">
        <f>INDEX(Products!E:E,MATCH(OrdersTable[[#This Row],[Product ID]],Products!A:A,0))</f>
        <v>492</v>
      </c>
      <c r="W3891" s="77">
        <f>OrdersTable[[#This Row],[Quantity]]*OrdersTable[[#This Row],[Unit Cost]]</f>
        <v>984</v>
      </c>
      <c r="X3891" s="77">
        <f>'Dropdown Lists'!$I$2*(1+OrdersTable[[#This Row],[Returned]])</f>
        <v>60</v>
      </c>
      <c r="Y3891" s="76">
        <f>OrdersTable[[#This Row],[Net Revenue]]-OrdersTable[[#This Row],[COGS]]-OrdersTable[[#This Row],[Shipping Cost]]</f>
        <v>994.3</v>
      </c>
      <c r="Z3891" s="78">
        <f>IFERROR(OrdersTable[[#This Row],[Profit]]/OrdersTable[[#This Row],[Net Revenue]],0)</f>
        <v>0.48780846784084775</v>
      </c>
      <c r="AA3891" t="s">
        <v>18</v>
      </c>
      <c r="AB3891" s="79">
        <v>45919</v>
      </c>
      <c r="AC3891">
        <f>OrdersTable[[#This Row],[Delivery Date]]-OrdersTable[[#This Row],[Order Date]]</f>
        <v>1</v>
      </c>
      <c r="AD3891" t="str">
        <f>IF(OrdersTable[[#This Row],[Delivery Days]]&lt;=2, "Express (≤2d)", IF(OrdersTable[[#This Row],[Delivery Days]]&lt;=4, "Standard (3-4d)", "Delayed (5d+)"))</f>
        <v>Express (≤2d)</v>
      </c>
      <c r="AE3891">
        <v>4</v>
      </c>
      <c r="AF3891">
        <v>0</v>
      </c>
    </row>
    <row r="3892" spans="1:32" ht="15" x14ac:dyDescent="0.35">
      <c r="A3892" t="s">
        <v>6916</v>
      </c>
      <c r="B3892" s="1">
        <v>45918</v>
      </c>
      <c r="C3892">
        <f>YEAR(OrdersTable[[#This Row],[Order Date]])</f>
        <v>2025</v>
      </c>
      <c r="D3892" s="2">
        <f>DATE(YEAR(OrdersTable[[#This Row],[Order Date]]),MONTH(OrdersTable[[#This Row],[Order Date]]),1)</f>
        <v>45901</v>
      </c>
      <c r="E3892">
        <f>MONTH(OrdersTable[[#This Row],[Order Date]])</f>
        <v>9</v>
      </c>
      <c r="F3892" t="s">
        <v>431</v>
      </c>
      <c r="G3892" t="str">
        <f>IF(OrdersTable[[#This Row],[Order Date]]=_xlfn.MINIFS(Order_Date, Customer_ID, OrdersTable[[#This Row],[Customer ID]]), "New", "Repeat")</f>
        <v>Repeat</v>
      </c>
      <c r="H3892" t="s">
        <v>128</v>
      </c>
      <c r="I3892" t="str">
        <f>INDEX(State!B:B,MATCH(OrdersTable[[#This Row],[State]],State!A:A,0))</f>
        <v>DL</v>
      </c>
      <c r="J3892" t="str">
        <f>INDEX(State!C:C,MATCH(OrdersTable[[#This Row],[State Code]],State!B:B,0))</f>
        <v>North</v>
      </c>
      <c r="K3892" t="s">
        <v>129</v>
      </c>
      <c r="L3892" t="s">
        <v>16</v>
      </c>
      <c r="M3892" t="s">
        <v>576</v>
      </c>
      <c r="N3892" t="str">
        <f>INDEX(Products!B:B,MATCH(OrdersTable[[#This Row],[Product ID]],Products!A:A,0))</f>
        <v>Printed Saree</v>
      </c>
      <c r="O3892" t="str">
        <f>INDEX(Products!C:C,MATCH(OrdersTable[[#This Row],[Product ID]],Products!A:A,0))</f>
        <v>Apparel</v>
      </c>
      <c r="P3892">
        <v>3</v>
      </c>
      <c r="Q3892" s="5">
        <v>1999</v>
      </c>
      <c r="R3892" s="74">
        <v>0.05</v>
      </c>
      <c r="S3892" s="75">
        <f>OrdersTable[[#This Row],[Quantity]]*OrdersTable[[#This Row],[Unit Price]]</f>
        <v>5997</v>
      </c>
      <c r="T3892" s="5">
        <f>OrdersTable[[#This Row],[Gross Sale]]*OrdersTable[[#This Row],[Discount_Clean2]]</f>
        <v>299.85000000000002</v>
      </c>
      <c r="U3892" s="5">
        <f>OrdersTable[[#This Row],[Gross Sale]]-OrdersTable[[#This Row],[Discount Amount]]</f>
        <v>5697.15</v>
      </c>
      <c r="V3892" s="77">
        <f>INDEX(Products!E:E,MATCH(OrdersTable[[#This Row],[Product ID]],Products!A:A,0))</f>
        <v>880</v>
      </c>
      <c r="W3892" s="77">
        <f>OrdersTable[[#This Row],[Quantity]]*OrdersTable[[#This Row],[Unit Cost]]</f>
        <v>2640</v>
      </c>
      <c r="X3892" s="77">
        <f>'Dropdown Lists'!$I$2*(1+OrdersTable[[#This Row],[Returned]])</f>
        <v>60</v>
      </c>
      <c r="Y3892" s="76">
        <f>OrdersTable[[#This Row],[Net Revenue]]-OrdersTable[[#This Row],[COGS]]-OrdersTable[[#This Row],[Shipping Cost]]</f>
        <v>2997.1499999999996</v>
      </c>
      <c r="Z3892" s="78">
        <f>IFERROR(OrdersTable[[#This Row],[Profit]]/OrdersTable[[#This Row],[Net Revenue]],0)</f>
        <v>0.52607882888812829</v>
      </c>
      <c r="AA3892" t="s">
        <v>4074</v>
      </c>
      <c r="AB3892" s="79">
        <v>45919</v>
      </c>
      <c r="AC3892">
        <f>OrdersTable[[#This Row],[Delivery Date]]-OrdersTable[[#This Row],[Order Date]]</f>
        <v>1</v>
      </c>
      <c r="AD3892" t="str">
        <f>IF(OrdersTable[[#This Row],[Delivery Days]]&lt;=2, "Express (≤2d)", IF(OrdersTable[[#This Row],[Delivery Days]]&lt;=4, "Standard (3-4d)", "Delayed (5d+)"))</f>
        <v>Express (≤2d)</v>
      </c>
      <c r="AE3892">
        <v>5</v>
      </c>
      <c r="AF3892">
        <v>0</v>
      </c>
    </row>
    <row r="3893" spans="1:32" ht="15" x14ac:dyDescent="0.35">
      <c r="A3893" t="s">
        <v>3471</v>
      </c>
      <c r="B3893" s="1">
        <v>45918</v>
      </c>
      <c r="C3893">
        <f>YEAR(OrdersTable[[#This Row],[Order Date]])</f>
        <v>2025</v>
      </c>
      <c r="D3893" s="2">
        <f>DATE(YEAR(OrdersTable[[#This Row],[Order Date]]),MONTH(OrdersTable[[#This Row],[Order Date]]),1)</f>
        <v>45901</v>
      </c>
      <c r="E3893">
        <f>MONTH(OrdersTable[[#This Row],[Order Date]])</f>
        <v>9</v>
      </c>
      <c r="F3893" t="s">
        <v>903</v>
      </c>
      <c r="G3893" t="str">
        <f>IF(OrdersTable[[#This Row],[Order Date]]=_xlfn.MINIFS(Order_Date, Customer_ID, OrdersTable[[#This Row],[Customer ID]]), "New", "Repeat")</f>
        <v>Repeat</v>
      </c>
      <c r="H3893" t="s">
        <v>76</v>
      </c>
      <c r="I3893" t="str">
        <f>INDEX(State!B:B,MATCH(OrdersTable[[#This Row],[State]],State!A:A,0))</f>
        <v>UP</v>
      </c>
      <c r="J3893" t="str">
        <f>INDEX(State!C:C,MATCH(OrdersTable[[#This Row],[State Code]],State!B:B,0))</f>
        <v>North</v>
      </c>
      <c r="K3893" t="s">
        <v>118</v>
      </c>
      <c r="L3893" t="s">
        <v>65</v>
      </c>
      <c r="M3893" t="s">
        <v>34</v>
      </c>
      <c r="N3893" t="str">
        <f>INDEX(Products!B:B,MATCH(OrdersTable[[#This Row],[Product ID]],Products!A:A,0))</f>
        <v>Flip Flops</v>
      </c>
      <c r="O3893" t="str">
        <f>INDEX(Products!C:C,MATCH(OrdersTable[[#This Row],[Product ID]],Products!A:A,0))</f>
        <v>Footwear</v>
      </c>
      <c r="P3893">
        <v>1</v>
      </c>
      <c r="Q3893" s="5">
        <v>399</v>
      </c>
      <c r="R3893" s="74">
        <v>0.15</v>
      </c>
      <c r="S3893" s="75">
        <f>OrdersTable[[#This Row],[Quantity]]*OrdersTable[[#This Row],[Unit Price]]</f>
        <v>399</v>
      </c>
      <c r="T3893" s="5">
        <f>OrdersTable[[#This Row],[Gross Sale]]*OrdersTable[[#This Row],[Discount_Clean2]]</f>
        <v>59.849999999999994</v>
      </c>
      <c r="U3893" s="5">
        <f>OrdersTable[[#This Row],[Gross Sale]]-OrdersTable[[#This Row],[Discount Amount]]</f>
        <v>339.15</v>
      </c>
      <c r="V3893" s="77">
        <f>INDEX(Products!E:E,MATCH(OrdersTable[[#This Row],[Product ID]],Products!A:A,0))</f>
        <v>152</v>
      </c>
      <c r="W3893" s="77">
        <f>OrdersTable[[#This Row],[Quantity]]*OrdersTable[[#This Row],[Unit Cost]]</f>
        <v>152</v>
      </c>
      <c r="X3893" s="77">
        <f>'Dropdown Lists'!$I$2*(1+OrdersTable[[#This Row],[Returned]])</f>
        <v>60</v>
      </c>
      <c r="Y3893" s="76">
        <f>OrdersTable[[#This Row],[Net Revenue]]-OrdersTable[[#This Row],[COGS]]-OrdersTable[[#This Row],[Shipping Cost]]</f>
        <v>127.14999999999998</v>
      </c>
      <c r="Z3893" s="78">
        <f>IFERROR(OrdersTable[[#This Row],[Profit]]/OrdersTable[[#This Row],[Net Revenue]],0)</f>
        <v>0.37490785787999409</v>
      </c>
      <c r="AA3893" t="s">
        <v>2522</v>
      </c>
      <c r="AB3893" s="79">
        <v>45924</v>
      </c>
      <c r="AC3893">
        <f>OrdersTable[[#This Row],[Delivery Date]]-OrdersTable[[#This Row],[Order Date]]</f>
        <v>6</v>
      </c>
      <c r="AD3893" t="str">
        <f>IF(OrdersTable[[#This Row],[Delivery Days]]&lt;=2, "Express (≤2d)", IF(OrdersTable[[#This Row],[Delivery Days]]&lt;=4, "Standard (3-4d)", "Delayed (5d+)"))</f>
        <v>Delayed (5d+)</v>
      </c>
      <c r="AE3893">
        <v>4</v>
      </c>
      <c r="AF3893">
        <v>0</v>
      </c>
    </row>
    <row r="3894" spans="1:32" ht="15" x14ac:dyDescent="0.35">
      <c r="A3894" t="s">
        <v>1185</v>
      </c>
      <c r="B3894" s="1">
        <v>45918</v>
      </c>
      <c r="C3894">
        <f>YEAR(OrdersTable[[#This Row],[Order Date]])</f>
        <v>2025</v>
      </c>
      <c r="D3894" s="2">
        <f>DATE(YEAR(OrdersTable[[#This Row],[Order Date]]),MONTH(OrdersTable[[#This Row],[Order Date]]),1)</f>
        <v>45901</v>
      </c>
      <c r="E3894">
        <f>MONTH(OrdersTable[[#This Row],[Order Date]])</f>
        <v>9</v>
      </c>
      <c r="F3894" t="s">
        <v>1186</v>
      </c>
      <c r="G3894" t="str">
        <f>IF(OrdersTable[[#This Row],[Order Date]]=_xlfn.MINIFS(Order_Date, Customer_ID, OrdersTable[[#This Row],[Customer ID]]), "New", "Repeat")</f>
        <v>Repeat</v>
      </c>
      <c r="H3894" t="s">
        <v>76</v>
      </c>
      <c r="I3894" t="str">
        <f>INDEX(State!B:B,MATCH(OrdersTable[[#This Row],[State]],State!A:A,0))</f>
        <v>UP</v>
      </c>
      <c r="J3894" t="str">
        <f>INDEX(State!C:C,MATCH(OrdersTable[[#This Row],[State Code]],State!B:B,0))</f>
        <v>North</v>
      </c>
      <c r="K3894" t="s">
        <v>118</v>
      </c>
      <c r="L3894" t="s">
        <v>50</v>
      </c>
      <c r="M3894" t="s">
        <v>78</v>
      </c>
      <c r="N3894" t="str">
        <f>INDEX(Products!B:B,MATCH(OrdersTable[[#This Row],[Product ID]],Products!A:A,0))</f>
        <v>Retinol Night Cream</v>
      </c>
      <c r="O3894" t="str">
        <f>INDEX(Products!C:C,MATCH(OrdersTable[[#This Row],[Product ID]],Products!A:A,0))</f>
        <v>Skincare</v>
      </c>
      <c r="P3894">
        <v>1</v>
      </c>
      <c r="Q3894" s="5">
        <v>799</v>
      </c>
      <c r="R3894" s="74">
        <v>0.05</v>
      </c>
      <c r="S3894" s="75">
        <f>OrdersTable[[#This Row],[Quantity]]*OrdersTable[[#This Row],[Unit Price]]</f>
        <v>799</v>
      </c>
      <c r="T3894" s="5">
        <f>OrdersTable[[#This Row],[Gross Sale]]*OrdersTable[[#This Row],[Discount_Clean2]]</f>
        <v>39.950000000000003</v>
      </c>
      <c r="U3894" s="5">
        <f>OrdersTable[[#This Row],[Gross Sale]]-OrdersTable[[#This Row],[Discount Amount]]</f>
        <v>759.05</v>
      </c>
      <c r="V3894" s="77">
        <f>INDEX(Products!E:E,MATCH(OrdersTable[[#This Row],[Product ID]],Products!A:A,0))</f>
        <v>216</v>
      </c>
      <c r="W3894" s="77">
        <f>OrdersTable[[#This Row],[Quantity]]*OrdersTable[[#This Row],[Unit Cost]]</f>
        <v>216</v>
      </c>
      <c r="X3894" s="77">
        <f>'Dropdown Lists'!$I$2*(1+OrdersTable[[#This Row],[Returned]])</f>
        <v>60</v>
      </c>
      <c r="Y3894" s="76">
        <f>OrdersTable[[#This Row],[Net Revenue]]-OrdersTable[[#This Row],[COGS]]-OrdersTable[[#This Row],[Shipping Cost]]</f>
        <v>483.04999999999995</v>
      </c>
      <c r="Z3894" s="78">
        <f>IFERROR(OrdersTable[[#This Row],[Profit]]/OrdersTable[[#This Row],[Net Revenue]],0)</f>
        <v>0.63638758975034582</v>
      </c>
      <c r="AA3894" t="s">
        <v>18</v>
      </c>
      <c r="AB3894" s="79">
        <v>45921</v>
      </c>
      <c r="AC3894">
        <f>OrdersTable[[#This Row],[Delivery Date]]-OrdersTable[[#This Row],[Order Date]]</f>
        <v>3</v>
      </c>
      <c r="AD3894" t="str">
        <f>IF(OrdersTable[[#This Row],[Delivery Days]]&lt;=2, "Express (≤2d)", IF(OrdersTable[[#This Row],[Delivery Days]]&lt;=4, "Standard (3-4d)", "Delayed (5d+)"))</f>
        <v>Standard (3-4d)</v>
      </c>
      <c r="AF3894">
        <v>0</v>
      </c>
    </row>
    <row r="3895" spans="1:32" ht="15" x14ac:dyDescent="0.35">
      <c r="A3895" t="s">
        <v>3799</v>
      </c>
      <c r="B3895" s="1">
        <v>45918</v>
      </c>
      <c r="C3895">
        <f>YEAR(OrdersTable[[#This Row],[Order Date]])</f>
        <v>2025</v>
      </c>
      <c r="D3895" s="2">
        <f>DATE(YEAR(OrdersTable[[#This Row],[Order Date]]),MONTH(OrdersTable[[#This Row],[Order Date]]),1)</f>
        <v>45901</v>
      </c>
      <c r="E3895">
        <f>MONTH(OrdersTable[[#This Row],[Order Date]])</f>
        <v>9</v>
      </c>
      <c r="F3895" t="s">
        <v>2000</v>
      </c>
      <c r="G3895" t="str">
        <f>IF(OrdersTable[[#This Row],[Order Date]]=_xlfn.MINIFS(Order_Date, Customer_ID, OrdersTable[[#This Row],[Customer ID]]), "New", "Repeat")</f>
        <v>Repeat</v>
      </c>
      <c r="H3895" t="s">
        <v>32</v>
      </c>
      <c r="I3895" t="str">
        <f>INDEX(State!B:B,MATCH(OrdersTable[[#This Row],[State]],State!A:A,0))</f>
        <v>BR</v>
      </c>
      <c r="J3895" t="str">
        <f>INDEX(State!C:C,MATCH(OrdersTable[[#This Row],[State Code]],State!B:B,0))</f>
        <v>East</v>
      </c>
      <c r="K3895" t="s">
        <v>33</v>
      </c>
      <c r="L3895" t="s">
        <v>65</v>
      </c>
      <c r="M3895" t="s">
        <v>152</v>
      </c>
      <c r="N3895" t="str">
        <f>INDEX(Products!B:B,MATCH(OrdersTable[[#This Row],[Product ID]],Products!A:A,0))</f>
        <v>Green Tea (100 bags)</v>
      </c>
      <c r="O3895" t="str">
        <f>INDEX(Products!C:C,MATCH(OrdersTable[[#This Row],[Product ID]],Products!A:A,0))</f>
        <v>Wellness</v>
      </c>
      <c r="P3895">
        <v>1</v>
      </c>
      <c r="Q3895" s="5">
        <v>399</v>
      </c>
      <c r="R3895" s="74">
        <v>0.4</v>
      </c>
      <c r="S3895" s="75">
        <f>OrdersTable[[#This Row],[Quantity]]*OrdersTable[[#This Row],[Unit Price]]</f>
        <v>399</v>
      </c>
      <c r="T3895" s="5">
        <f>OrdersTable[[#This Row],[Gross Sale]]*OrdersTable[[#This Row],[Discount_Clean2]]</f>
        <v>159.60000000000002</v>
      </c>
      <c r="U3895" s="5">
        <f>OrdersTable[[#This Row],[Gross Sale]]-OrdersTable[[#This Row],[Discount Amount]]</f>
        <v>239.39999999999998</v>
      </c>
      <c r="V3895" s="77">
        <f>INDEX(Products!E:E,MATCH(OrdersTable[[#This Row],[Product ID]],Products!A:A,0))</f>
        <v>128</v>
      </c>
      <c r="W3895" s="77">
        <f>OrdersTable[[#This Row],[Quantity]]*OrdersTable[[#This Row],[Unit Cost]]</f>
        <v>128</v>
      </c>
      <c r="X3895" s="77">
        <f>'Dropdown Lists'!$I$2*(1+OrdersTable[[#This Row],[Returned]])</f>
        <v>60</v>
      </c>
      <c r="Y3895" s="76">
        <f>OrdersTable[[#This Row],[Net Revenue]]-OrdersTable[[#This Row],[COGS]]-OrdersTable[[#This Row],[Shipping Cost]]</f>
        <v>51.399999999999977</v>
      </c>
      <c r="Z3895" s="78">
        <f>IFERROR(OrdersTable[[#This Row],[Profit]]/OrdersTable[[#This Row],[Net Revenue]],0)</f>
        <v>0.21470342522974095</v>
      </c>
      <c r="AA3895" t="s">
        <v>3495</v>
      </c>
      <c r="AB3895" s="79">
        <v>45921</v>
      </c>
      <c r="AC3895">
        <f>OrdersTable[[#This Row],[Delivery Date]]-OrdersTable[[#This Row],[Order Date]]</f>
        <v>3</v>
      </c>
      <c r="AD3895" t="str">
        <f>IF(OrdersTable[[#This Row],[Delivery Days]]&lt;=2, "Express (≤2d)", IF(OrdersTable[[#This Row],[Delivery Days]]&lt;=4, "Standard (3-4d)", "Delayed (5d+)"))</f>
        <v>Standard (3-4d)</v>
      </c>
      <c r="AF3895">
        <v>0</v>
      </c>
    </row>
    <row r="3896" spans="1:32" ht="15" x14ac:dyDescent="0.35">
      <c r="A3896" t="s">
        <v>5727</v>
      </c>
      <c r="B3896" s="1">
        <v>45918</v>
      </c>
      <c r="C3896">
        <f>YEAR(OrdersTable[[#This Row],[Order Date]])</f>
        <v>2025</v>
      </c>
      <c r="D3896" s="2">
        <f>DATE(YEAR(OrdersTable[[#This Row],[Order Date]]),MONTH(OrdersTable[[#This Row],[Order Date]]),1)</f>
        <v>45901</v>
      </c>
      <c r="E3896">
        <f>MONTH(OrdersTable[[#This Row],[Order Date]])</f>
        <v>9</v>
      </c>
      <c r="F3896" t="s">
        <v>2674</v>
      </c>
      <c r="G3896" t="str">
        <f>IF(OrdersTable[[#This Row],[Order Date]]=_xlfn.MINIFS(Order_Date, Customer_ID, OrdersTable[[#This Row],[Customer ID]]), "New", "Repeat")</f>
        <v>Repeat</v>
      </c>
      <c r="H3896" t="s">
        <v>27</v>
      </c>
      <c r="I3896" t="str">
        <f>INDEX(State!B:B,MATCH(OrdersTable[[#This Row],[State]],State!A:A,0))</f>
        <v>WB</v>
      </c>
      <c r="J3896" t="str">
        <f>INDEX(State!C:C,MATCH(OrdersTable[[#This Row],[State Code]],State!B:B,0))</f>
        <v>East</v>
      </c>
      <c r="K3896" t="s">
        <v>28</v>
      </c>
      <c r="L3896" t="s">
        <v>23</v>
      </c>
      <c r="M3896" t="s">
        <v>576</v>
      </c>
      <c r="N3896" t="str">
        <f>INDEX(Products!B:B,MATCH(OrdersTable[[#This Row],[Product ID]],Products!A:A,0))</f>
        <v>Printed Saree</v>
      </c>
      <c r="O3896" t="str">
        <f>INDEX(Products!C:C,MATCH(OrdersTable[[#This Row],[Product ID]],Products!A:A,0))</f>
        <v>Apparel</v>
      </c>
      <c r="P3896">
        <v>2</v>
      </c>
      <c r="Q3896" s="5">
        <v>1999</v>
      </c>
      <c r="R3896" s="74">
        <v>0.05</v>
      </c>
      <c r="S3896" s="75">
        <f>OrdersTable[[#This Row],[Quantity]]*OrdersTable[[#This Row],[Unit Price]]</f>
        <v>3998</v>
      </c>
      <c r="T3896" s="5">
        <f>OrdersTable[[#This Row],[Gross Sale]]*OrdersTable[[#This Row],[Discount_Clean2]]</f>
        <v>199.9</v>
      </c>
      <c r="U3896" s="5">
        <f>OrdersTable[[#This Row],[Gross Sale]]-OrdersTable[[#This Row],[Discount Amount]]</f>
        <v>3798.1</v>
      </c>
      <c r="V3896" s="77">
        <f>INDEX(Products!E:E,MATCH(OrdersTable[[#This Row],[Product ID]],Products!A:A,0))</f>
        <v>880</v>
      </c>
      <c r="W3896" s="77">
        <f>OrdersTable[[#This Row],[Quantity]]*OrdersTable[[#This Row],[Unit Cost]]</f>
        <v>1760</v>
      </c>
      <c r="X3896" s="77">
        <f>'Dropdown Lists'!$I$2*(1+OrdersTable[[#This Row],[Returned]])</f>
        <v>60</v>
      </c>
      <c r="Y3896" s="76">
        <f>OrdersTable[[#This Row],[Net Revenue]]-OrdersTable[[#This Row],[COGS]]-OrdersTable[[#This Row],[Shipping Cost]]</f>
        <v>1978.1</v>
      </c>
      <c r="Z3896" s="78">
        <f>IFERROR(OrdersTable[[#This Row],[Profit]]/OrdersTable[[#This Row],[Net Revenue]],0)</f>
        <v>0.52081303809799639</v>
      </c>
      <c r="AA3896" t="s">
        <v>18</v>
      </c>
      <c r="AB3896" s="79">
        <v>45921</v>
      </c>
      <c r="AC3896">
        <f>OrdersTable[[#This Row],[Delivery Date]]-OrdersTable[[#This Row],[Order Date]]</f>
        <v>3</v>
      </c>
      <c r="AD3896" t="str">
        <f>IF(OrdersTable[[#This Row],[Delivery Days]]&lt;=2, "Express (≤2d)", IF(OrdersTable[[#This Row],[Delivery Days]]&lt;=4, "Standard (3-4d)", "Delayed (5d+)"))</f>
        <v>Standard (3-4d)</v>
      </c>
      <c r="AE3896">
        <v>3</v>
      </c>
      <c r="AF3896">
        <v>0</v>
      </c>
    </row>
    <row r="3897" spans="1:32" ht="15" x14ac:dyDescent="0.35">
      <c r="A3897" t="s">
        <v>7159</v>
      </c>
      <c r="B3897" s="1">
        <v>45918</v>
      </c>
      <c r="C3897">
        <f>YEAR(OrdersTable[[#This Row],[Order Date]])</f>
        <v>2025</v>
      </c>
      <c r="D3897" s="2">
        <f>DATE(YEAR(OrdersTable[[#This Row],[Order Date]]),MONTH(OrdersTable[[#This Row],[Order Date]]),1)</f>
        <v>45901</v>
      </c>
      <c r="E3897">
        <f>MONTH(OrdersTable[[#This Row],[Order Date]])</f>
        <v>9</v>
      </c>
      <c r="F3897" t="s">
        <v>1468</v>
      </c>
      <c r="G3897" t="str">
        <f>IF(OrdersTable[[#This Row],[Order Date]]=_xlfn.MINIFS(Order_Date, Customer_ID, OrdersTable[[#This Row],[Customer ID]]), "New", "Repeat")</f>
        <v>Repeat</v>
      </c>
      <c r="H3897" t="s">
        <v>95</v>
      </c>
      <c r="I3897" t="str">
        <f>INDEX(State!B:B,MATCH(OrdersTable[[#This Row],[State]],State!A:A,0))</f>
        <v>TG</v>
      </c>
      <c r="J3897" t="str">
        <f>INDEX(State!C:C,MATCH(OrdersTable[[#This Row],[State Code]],State!B:B,0))</f>
        <v>South</v>
      </c>
      <c r="K3897" t="s">
        <v>96</v>
      </c>
      <c r="L3897" t="s">
        <v>65</v>
      </c>
      <c r="M3897" t="s">
        <v>109</v>
      </c>
      <c r="N3897" t="str">
        <f>INDEX(Products!B:B,MATCH(OrdersTable[[#This Row],[Product ID]],Products!A:A,0))</f>
        <v>Onion Hair Oil</v>
      </c>
      <c r="O3897" t="str">
        <f>INDEX(Products!C:C,MATCH(OrdersTable[[#This Row],[Product ID]],Products!A:A,0))</f>
        <v>Haircare</v>
      </c>
      <c r="P3897">
        <v>5</v>
      </c>
      <c r="Q3897" s="5">
        <v>349</v>
      </c>
      <c r="R3897" s="74">
        <v>0.3</v>
      </c>
      <c r="S3897" s="75">
        <f>OrdersTable[[#This Row],[Quantity]]*OrdersTable[[#This Row],[Unit Price]]</f>
        <v>1745</v>
      </c>
      <c r="T3897" s="5">
        <f>OrdersTable[[#This Row],[Gross Sale]]*OrdersTable[[#This Row],[Discount_Clean2]]</f>
        <v>523.5</v>
      </c>
      <c r="U3897" s="5">
        <f>OrdersTable[[#This Row],[Gross Sale]]-OrdersTable[[#This Row],[Discount Amount]]</f>
        <v>1221.5</v>
      </c>
      <c r="V3897" s="77">
        <f>INDEX(Products!E:E,MATCH(OrdersTable[[#This Row],[Product ID]],Products!A:A,0))</f>
        <v>105</v>
      </c>
      <c r="W3897" s="77">
        <f>OrdersTable[[#This Row],[Quantity]]*OrdersTable[[#This Row],[Unit Cost]]</f>
        <v>525</v>
      </c>
      <c r="X3897" s="77">
        <f>'Dropdown Lists'!$I$2*(1+OrdersTable[[#This Row],[Returned]])</f>
        <v>60</v>
      </c>
      <c r="Y3897" s="76">
        <f>OrdersTable[[#This Row],[Net Revenue]]-OrdersTable[[#This Row],[COGS]]-OrdersTable[[#This Row],[Shipping Cost]]</f>
        <v>636.5</v>
      </c>
      <c r="Z3897" s="78">
        <f>IFERROR(OrdersTable[[#This Row],[Profit]]/OrdersTable[[#This Row],[Net Revenue]],0)</f>
        <v>0.52108063855914855</v>
      </c>
      <c r="AA3897" t="s">
        <v>3495</v>
      </c>
      <c r="AB3897" s="79">
        <v>45919</v>
      </c>
      <c r="AC3897">
        <f>OrdersTable[[#This Row],[Delivery Date]]-OrdersTable[[#This Row],[Order Date]]</f>
        <v>1</v>
      </c>
      <c r="AD3897" t="str">
        <f>IF(OrdersTable[[#This Row],[Delivery Days]]&lt;=2, "Express (≤2d)", IF(OrdersTable[[#This Row],[Delivery Days]]&lt;=4, "Standard (3-4d)", "Delayed (5d+)"))</f>
        <v>Express (≤2d)</v>
      </c>
      <c r="AE3897">
        <v>5</v>
      </c>
      <c r="AF3897">
        <v>0</v>
      </c>
    </row>
    <row r="3898" spans="1:32" ht="15" x14ac:dyDescent="0.35">
      <c r="A3898" t="s">
        <v>6618</v>
      </c>
      <c r="B3898" s="1">
        <v>45918</v>
      </c>
      <c r="C3898">
        <f>YEAR(OrdersTable[[#This Row],[Order Date]])</f>
        <v>2025</v>
      </c>
      <c r="D3898" s="2">
        <f>DATE(YEAR(OrdersTable[[#This Row],[Order Date]]),MONTH(OrdersTable[[#This Row],[Order Date]]),1)</f>
        <v>45901</v>
      </c>
      <c r="E3898">
        <f>MONTH(OrdersTable[[#This Row],[Order Date]])</f>
        <v>9</v>
      </c>
      <c r="F3898" t="s">
        <v>1557</v>
      </c>
      <c r="G3898" t="str">
        <f>IF(OrdersTable[[#This Row],[Order Date]]=_xlfn.MINIFS(Order_Date, Customer_ID, OrdersTable[[#This Row],[Customer ID]]), "New", "Repeat")</f>
        <v>Repeat</v>
      </c>
      <c r="H3898" t="s">
        <v>59</v>
      </c>
      <c r="I3898" t="str">
        <f>INDEX(State!B:B,MATCH(OrdersTable[[#This Row],[State]],State!A:A,0))</f>
        <v>TN</v>
      </c>
      <c r="J3898" t="str">
        <f>INDEX(State!C:C,MATCH(OrdersTable[[#This Row],[State Code]],State!B:B,0))</f>
        <v>South</v>
      </c>
      <c r="K3898" t="s">
        <v>64</v>
      </c>
      <c r="L3898" t="s">
        <v>65</v>
      </c>
      <c r="M3898" t="s">
        <v>228</v>
      </c>
      <c r="N3898" t="str">
        <f>INDEX(Products!B:B,MATCH(OrdersTable[[#This Row],[Product ID]],Products!A:A,0))</f>
        <v>Fast Charger 33W</v>
      </c>
      <c r="O3898" t="str">
        <f>INDEX(Products!C:C,MATCH(OrdersTable[[#This Row],[Product ID]],Products!A:A,0))</f>
        <v>Electronics</v>
      </c>
      <c r="P3898">
        <v>3</v>
      </c>
      <c r="Q3898" s="5">
        <v>899</v>
      </c>
      <c r="R3898" s="74">
        <v>0.15</v>
      </c>
      <c r="S3898" s="75">
        <f>OrdersTable[[#This Row],[Quantity]]*OrdersTable[[#This Row],[Unit Price]]</f>
        <v>2697</v>
      </c>
      <c r="T3898" s="5">
        <f>OrdersTable[[#This Row],[Gross Sale]]*OrdersTable[[#This Row],[Discount_Clean2]]</f>
        <v>404.55</v>
      </c>
      <c r="U3898" s="5">
        <f>OrdersTable[[#This Row],[Gross Sale]]-OrdersTable[[#This Row],[Discount Amount]]</f>
        <v>2292.4499999999998</v>
      </c>
      <c r="V3898" s="77">
        <f>INDEX(Products!E:E,MATCH(OrdersTable[[#This Row],[Product ID]],Products!A:A,0))</f>
        <v>494</v>
      </c>
      <c r="W3898" s="77">
        <f>OrdersTable[[#This Row],[Quantity]]*OrdersTable[[#This Row],[Unit Cost]]</f>
        <v>1482</v>
      </c>
      <c r="X3898" s="77">
        <f>'Dropdown Lists'!$I$2*(1+OrdersTable[[#This Row],[Returned]])</f>
        <v>60</v>
      </c>
      <c r="Y3898" s="76">
        <f>OrdersTable[[#This Row],[Net Revenue]]-OrdersTable[[#This Row],[COGS]]-OrdersTable[[#This Row],[Shipping Cost]]</f>
        <v>750.44999999999982</v>
      </c>
      <c r="Z3898" s="78">
        <f>IFERROR(OrdersTable[[#This Row],[Profit]]/OrdersTable[[#This Row],[Net Revenue]],0)</f>
        <v>0.32735719426814103</v>
      </c>
      <c r="AA3898" t="s">
        <v>18</v>
      </c>
      <c r="AB3898" s="79">
        <v>45921</v>
      </c>
      <c r="AC3898">
        <f>OrdersTable[[#This Row],[Delivery Date]]-OrdersTable[[#This Row],[Order Date]]</f>
        <v>3</v>
      </c>
      <c r="AD3898" t="str">
        <f>IF(OrdersTable[[#This Row],[Delivery Days]]&lt;=2, "Express (≤2d)", IF(OrdersTable[[#This Row],[Delivery Days]]&lt;=4, "Standard (3-4d)", "Delayed (5d+)"))</f>
        <v>Standard (3-4d)</v>
      </c>
      <c r="AE3898">
        <v>4</v>
      </c>
      <c r="AF3898">
        <v>0</v>
      </c>
    </row>
    <row r="3899" spans="1:32" ht="15" x14ac:dyDescent="0.35">
      <c r="A3899" t="s">
        <v>6725</v>
      </c>
      <c r="B3899" s="1">
        <v>45919</v>
      </c>
      <c r="C3899">
        <f>YEAR(OrdersTable[[#This Row],[Order Date]])</f>
        <v>2025</v>
      </c>
      <c r="D3899" s="2">
        <f>DATE(YEAR(OrdersTable[[#This Row],[Order Date]]),MONTH(OrdersTable[[#This Row],[Order Date]]),1)</f>
        <v>45901</v>
      </c>
      <c r="E3899">
        <f>MONTH(OrdersTable[[#This Row],[Order Date]])</f>
        <v>9</v>
      </c>
      <c r="F3899" t="s">
        <v>5734</v>
      </c>
      <c r="G3899" t="str">
        <f>IF(OrdersTable[[#This Row],[Order Date]]=_xlfn.MINIFS(Order_Date, Customer_ID, OrdersTable[[#This Row],[Customer ID]]), "New", "Repeat")</f>
        <v>New</v>
      </c>
      <c r="H3899" t="s">
        <v>210</v>
      </c>
      <c r="I3899" t="str">
        <f>INDEX(State!B:B,MATCH(OrdersTable[[#This Row],[State]],State!A:A,0))</f>
        <v>JK</v>
      </c>
      <c r="J3899" t="str">
        <f>INDEX(State!C:C,MATCH(OrdersTable[[#This Row],[State Code]],State!B:B,0))</f>
        <v>North</v>
      </c>
      <c r="K3899" t="s">
        <v>211</v>
      </c>
      <c r="L3899" t="s">
        <v>39</v>
      </c>
      <c r="M3899" t="s">
        <v>173</v>
      </c>
      <c r="N3899" t="str">
        <f>INDEX(Products!B:B,MATCH(OrdersTable[[#This Row],[Product ID]],Products!A:A,0))</f>
        <v>Wireless Earbuds</v>
      </c>
      <c r="O3899" t="str">
        <f>INDEX(Products!C:C,MATCH(OrdersTable[[#This Row],[Product ID]],Products!A:A,0))</f>
        <v>Electronics</v>
      </c>
      <c r="P3899">
        <v>3</v>
      </c>
      <c r="Q3899" s="5">
        <v>1999</v>
      </c>
      <c r="R3899" s="74">
        <v>0.3</v>
      </c>
      <c r="S3899" s="75">
        <f>OrdersTable[[#This Row],[Quantity]]*OrdersTable[[#This Row],[Unit Price]]</f>
        <v>5997</v>
      </c>
      <c r="T3899" s="5">
        <f>OrdersTable[[#This Row],[Gross Sale]]*OrdersTable[[#This Row],[Discount_Clean2]]</f>
        <v>1799.1</v>
      </c>
      <c r="U3899" s="5">
        <f>OrdersTable[[#This Row],[Gross Sale]]-OrdersTable[[#This Row],[Discount Amount]]</f>
        <v>4197.8999999999996</v>
      </c>
      <c r="V3899" s="77">
        <f>INDEX(Products!E:E,MATCH(OrdersTable[[#This Row],[Product ID]],Products!A:A,0))</f>
        <v>1239</v>
      </c>
      <c r="W3899" s="77">
        <f>OrdersTable[[#This Row],[Quantity]]*OrdersTable[[#This Row],[Unit Cost]]</f>
        <v>3717</v>
      </c>
      <c r="X3899" s="77">
        <f>'Dropdown Lists'!$I$2*(1+OrdersTable[[#This Row],[Returned]])</f>
        <v>60</v>
      </c>
      <c r="Y3899" s="76">
        <f>OrdersTable[[#This Row],[Net Revenue]]-OrdersTable[[#This Row],[COGS]]-OrdersTable[[#This Row],[Shipping Cost]]</f>
        <v>420.89999999999964</v>
      </c>
      <c r="Z3899" s="78">
        <f>IFERROR(OrdersTable[[#This Row],[Profit]]/OrdersTable[[#This Row],[Net Revenue]],0)</f>
        <v>0.10026441792324726</v>
      </c>
      <c r="AA3899" t="s">
        <v>2522</v>
      </c>
      <c r="AB3899" s="79">
        <v>45925</v>
      </c>
      <c r="AC3899">
        <f>OrdersTable[[#This Row],[Delivery Date]]-OrdersTable[[#This Row],[Order Date]]</f>
        <v>6</v>
      </c>
      <c r="AD3899" t="str">
        <f>IF(OrdersTable[[#This Row],[Delivery Days]]&lt;=2, "Express (≤2d)", IF(OrdersTable[[#This Row],[Delivery Days]]&lt;=4, "Standard (3-4d)", "Delayed (5d+)"))</f>
        <v>Delayed (5d+)</v>
      </c>
      <c r="AE3899">
        <v>3</v>
      </c>
      <c r="AF3899">
        <v>0</v>
      </c>
    </row>
    <row r="3900" spans="1:32" ht="15" x14ac:dyDescent="0.35">
      <c r="A3900" t="s">
        <v>4291</v>
      </c>
      <c r="B3900" s="1">
        <v>45919</v>
      </c>
      <c r="C3900">
        <f>YEAR(OrdersTable[[#This Row],[Order Date]])</f>
        <v>2025</v>
      </c>
      <c r="D3900" s="2">
        <f>DATE(YEAR(OrdersTable[[#This Row],[Order Date]]),MONTH(OrdersTable[[#This Row],[Order Date]]),1)</f>
        <v>45901</v>
      </c>
      <c r="E3900">
        <f>MONTH(OrdersTable[[#This Row],[Order Date]])</f>
        <v>9</v>
      </c>
      <c r="F3900" t="s">
        <v>2811</v>
      </c>
      <c r="G3900" t="str">
        <f>IF(OrdersTable[[#This Row],[Order Date]]=_xlfn.MINIFS(Order_Date, Customer_ID, OrdersTable[[#This Row],[Customer ID]]), "New", "Repeat")</f>
        <v>Repeat</v>
      </c>
      <c r="H3900" t="s">
        <v>54</v>
      </c>
      <c r="I3900" t="str">
        <f>INDEX(State!B:B,MATCH(OrdersTable[[#This Row],[State]],State!A:A,0))</f>
        <v>RJ</v>
      </c>
      <c r="J3900" t="str">
        <f>INDEX(State!C:C,MATCH(OrdersTable[[#This Row],[State Code]],State!B:B,0))</f>
        <v>North</v>
      </c>
      <c r="K3900" t="s">
        <v>227</v>
      </c>
      <c r="L3900" t="s">
        <v>16</v>
      </c>
      <c r="M3900" t="s">
        <v>34</v>
      </c>
      <c r="N3900" t="str">
        <f>INDEX(Products!B:B,MATCH(OrdersTable[[#This Row],[Product ID]],Products!A:A,0))</f>
        <v>Flip Flops</v>
      </c>
      <c r="O3900" t="str">
        <f>INDEX(Products!C:C,MATCH(OrdersTable[[#This Row],[Product ID]],Products!A:A,0))</f>
        <v>Footwear</v>
      </c>
      <c r="P3900">
        <v>1</v>
      </c>
      <c r="Q3900" s="5">
        <v>399</v>
      </c>
      <c r="R3900" s="74">
        <v>0.15</v>
      </c>
      <c r="S3900" s="75">
        <f>OrdersTable[[#This Row],[Quantity]]*OrdersTable[[#This Row],[Unit Price]]</f>
        <v>399</v>
      </c>
      <c r="T3900" s="5">
        <f>OrdersTable[[#This Row],[Gross Sale]]*OrdersTable[[#This Row],[Discount_Clean2]]</f>
        <v>59.849999999999994</v>
      </c>
      <c r="U3900" s="5">
        <f>OrdersTable[[#This Row],[Gross Sale]]-OrdersTable[[#This Row],[Discount Amount]]</f>
        <v>339.15</v>
      </c>
      <c r="V3900" s="77">
        <f>INDEX(Products!E:E,MATCH(OrdersTable[[#This Row],[Product ID]],Products!A:A,0))</f>
        <v>152</v>
      </c>
      <c r="W3900" s="77">
        <f>OrdersTable[[#This Row],[Quantity]]*OrdersTable[[#This Row],[Unit Cost]]</f>
        <v>152</v>
      </c>
      <c r="X3900" s="77">
        <f>'Dropdown Lists'!$I$2*(1+OrdersTable[[#This Row],[Returned]])</f>
        <v>60</v>
      </c>
      <c r="Y3900" s="76">
        <f>OrdersTable[[#This Row],[Net Revenue]]-OrdersTable[[#This Row],[COGS]]-OrdersTable[[#This Row],[Shipping Cost]]</f>
        <v>127.14999999999998</v>
      </c>
      <c r="Z3900" s="78">
        <f>IFERROR(OrdersTable[[#This Row],[Profit]]/OrdersTable[[#This Row],[Net Revenue]],0)</f>
        <v>0.37490785787999409</v>
      </c>
      <c r="AA3900" t="s">
        <v>4074</v>
      </c>
      <c r="AB3900" s="79">
        <v>45920</v>
      </c>
      <c r="AC3900">
        <f>OrdersTable[[#This Row],[Delivery Date]]-OrdersTable[[#This Row],[Order Date]]</f>
        <v>1</v>
      </c>
      <c r="AD3900" t="str">
        <f>IF(OrdersTable[[#This Row],[Delivery Days]]&lt;=2, "Express (≤2d)", IF(OrdersTable[[#This Row],[Delivery Days]]&lt;=4, "Standard (3-4d)", "Delayed (5d+)"))</f>
        <v>Express (≤2d)</v>
      </c>
      <c r="AF3900">
        <v>0</v>
      </c>
    </row>
    <row r="3901" spans="1:32" ht="15" x14ac:dyDescent="0.35">
      <c r="A3901" t="s">
        <v>4725</v>
      </c>
      <c r="B3901" s="1">
        <v>45919</v>
      </c>
      <c r="C3901">
        <f>YEAR(OrdersTable[[#This Row],[Order Date]])</f>
        <v>2025</v>
      </c>
      <c r="D3901" s="2">
        <f>DATE(YEAR(OrdersTable[[#This Row],[Order Date]]),MONTH(OrdersTable[[#This Row],[Order Date]]),1)</f>
        <v>45901</v>
      </c>
      <c r="E3901">
        <f>MONTH(OrdersTable[[#This Row],[Order Date]])</f>
        <v>9</v>
      </c>
      <c r="F3901" t="s">
        <v>145</v>
      </c>
      <c r="G3901" t="str">
        <f>IF(OrdersTable[[#This Row],[Order Date]]=_xlfn.MINIFS(Order_Date, Customer_ID, OrdersTable[[#This Row],[Customer ID]]), "New", "Repeat")</f>
        <v>Repeat</v>
      </c>
      <c r="H3901" t="s">
        <v>76</v>
      </c>
      <c r="I3901" t="str">
        <f>INDEX(State!B:B,MATCH(OrdersTable[[#This Row],[State]],State!A:A,0))</f>
        <v>UP</v>
      </c>
      <c r="J3901" t="str">
        <f>INDEX(State!C:C,MATCH(OrdersTable[[#This Row],[State Code]],State!B:B,0))</f>
        <v>North</v>
      </c>
      <c r="K3901" t="s">
        <v>105</v>
      </c>
      <c r="L3901" t="s">
        <v>39</v>
      </c>
      <c r="M3901" t="s">
        <v>73</v>
      </c>
      <c r="N3901" t="str">
        <f>INDEX(Products!B:B,MATCH(OrdersTable[[#This Row],[Product ID]],Products!A:A,0))</f>
        <v>Hydrating Face Wash</v>
      </c>
      <c r="O3901" t="str">
        <f>INDEX(Products!C:C,MATCH(OrdersTable[[#This Row],[Product ID]],Products!A:A,0))</f>
        <v>Skincare</v>
      </c>
      <c r="P3901">
        <v>1</v>
      </c>
      <c r="Q3901" s="5">
        <v>299</v>
      </c>
      <c r="R3901" s="74">
        <v>0</v>
      </c>
      <c r="S3901" s="75">
        <f>OrdersTable[[#This Row],[Quantity]]*OrdersTable[[#This Row],[Unit Price]]</f>
        <v>299</v>
      </c>
      <c r="T3901" s="5">
        <f>OrdersTable[[#This Row],[Gross Sale]]*OrdersTable[[#This Row],[Discount_Clean2]]</f>
        <v>0</v>
      </c>
      <c r="U3901" s="5">
        <f>OrdersTable[[#This Row],[Gross Sale]]-OrdersTable[[#This Row],[Discount Amount]]</f>
        <v>299</v>
      </c>
      <c r="V3901" s="77">
        <f>INDEX(Products!E:E,MATCH(OrdersTable[[#This Row],[Product ID]],Products!A:A,0))</f>
        <v>90</v>
      </c>
      <c r="W3901" s="77">
        <f>OrdersTable[[#This Row],[Quantity]]*OrdersTable[[#This Row],[Unit Cost]]</f>
        <v>90</v>
      </c>
      <c r="X3901" s="77">
        <f>'Dropdown Lists'!$I$2*(1+OrdersTable[[#This Row],[Returned]])</f>
        <v>60</v>
      </c>
      <c r="Y3901" s="76">
        <f>OrdersTable[[#This Row],[Net Revenue]]-OrdersTable[[#This Row],[COGS]]-OrdersTable[[#This Row],[Shipping Cost]]</f>
        <v>149</v>
      </c>
      <c r="Z3901" s="78">
        <f>IFERROR(OrdersTable[[#This Row],[Profit]]/OrdersTable[[#This Row],[Net Revenue]],0)</f>
        <v>0.49832775919732442</v>
      </c>
      <c r="AA3901" t="s">
        <v>4450</v>
      </c>
      <c r="AB3901" s="79">
        <v>45925</v>
      </c>
      <c r="AC3901">
        <f>OrdersTable[[#This Row],[Delivery Date]]-OrdersTable[[#This Row],[Order Date]]</f>
        <v>6</v>
      </c>
      <c r="AD3901" t="str">
        <f>IF(OrdersTable[[#This Row],[Delivery Days]]&lt;=2, "Express (≤2d)", IF(OrdersTable[[#This Row],[Delivery Days]]&lt;=4, "Standard (3-4d)", "Delayed (5d+)"))</f>
        <v>Delayed (5d+)</v>
      </c>
      <c r="AE3901">
        <v>3</v>
      </c>
      <c r="AF3901">
        <v>0</v>
      </c>
    </row>
    <row r="3902" spans="1:32" ht="15" x14ac:dyDescent="0.35">
      <c r="A3902" t="s">
        <v>7115</v>
      </c>
      <c r="B3902" s="1">
        <v>45919</v>
      </c>
      <c r="C3902">
        <f>YEAR(OrdersTable[[#This Row],[Order Date]])</f>
        <v>2025</v>
      </c>
      <c r="D3902" s="2">
        <f>DATE(YEAR(OrdersTable[[#This Row],[Order Date]]),MONTH(OrdersTable[[#This Row],[Order Date]]),1)</f>
        <v>45901</v>
      </c>
      <c r="E3902">
        <f>MONTH(OrdersTable[[#This Row],[Order Date]])</f>
        <v>9</v>
      </c>
      <c r="F3902" t="s">
        <v>1465</v>
      </c>
      <c r="G3902" t="str">
        <f>IF(OrdersTable[[#This Row],[Order Date]]=_xlfn.MINIFS(Order_Date, Customer_ID, OrdersTable[[#This Row],[Customer ID]]), "New", "Repeat")</f>
        <v>Repeat</v>
      </c>
      <c r="H3902" t="s">
        <v>27</v>
      </c>
      <c r="I3902" t="str">
        <f>INDEX(State!B:B,MATCH(OrdersTable[[#This Row],[State]],State!A:A,0))</f>
        <v>WB</v>
      </c>
      <c r="J3902" t="str">
        <f>INDEX(State!C:C,MATCH(OrdersTable[[#This Row],[State Code]],State!B:B,0))</f>
        <v>East</v>
      </c>
      <c r="K3902" t="s">
        <v>28</v>
      </c>
      <c r="L3902" t="s">
        <v>65</v>
      </c>
      <c r="M3902" t="s">
        <v>109</v>
      </c>
      <c r="N3902" t="str">
        <f>INDEX(Products!B:B,MATCH(OrdersTable[[#This Row],[Product ID]],Products!A:A,0))</f>
        <v>Onion Hair Oil</v>
      </c>
      <c r="O3902" t="str">
        <f>INDEX(Products!C:C,MATCH(OrdersTable[[#This Row],[Product ID]],Products!A:A,0))</f>
        <v>Haircare</v>
      </c>
      <c r="P3902">
        <v>4</v>
      </c>
      <c r="Q3902" s="5">
        <v>349</v>
      </c>
      <c r="R3902" s="74">
        <v>0.4</v>
      </c>
      <c r="S3902" s="75">
        <f>OrdersTable[[#This Row],[Quantity]]*OrdersTable[[#This Row],[Unit Price]]</f>
        <v>1396</v>
      </c>
      <c r="T3902" s="5">
        <f>OrdersTable[[#This Row],[Gross Sale]]*OrdersTable[[#This Row],[Discount_Clean2]]</f>
        <v>558.4</v>
      </c>
      <c r="U3902" s="5">
        <f>OrdersTable[[#This Row],[Gross Sale]]-OrdersTable[[#This Row],[Discount Amount]]</f>
        <v>837.6</v>
      </c>
      <c r="V3902" s="77">
        <f>INDEX(Products!E:E,MATCH(OrdersTable[[#This Row],[Product ID]],Products!A:A,0))</f>
        <v>105</v>
      </c>
      <c r="W3902" s="77">
        <f>OrdersTable[[#This Row],[Quantity]]*OrdersTable[[#This Row],[Unit Cost]]</f>
        <v>420</v>
      </c>
      <c r="X3902" s="77">
        <f>'Dropdown Lists'!$I$2*(1+OrdersTable[[#This Row],[Returned]])</f>
        <v>60</v>
      </c>
      <c r="Y3902" s="76">
        <f>OrdersTable[[#This Row],[Net Revenue]]-OrdersTable[[#This Row],[COGS]]-OrdersTable[[#This Row],[Shipping Cost]]</f>
        <v>357.6</v>
      </c>
      <c r="Z3902" s="78">
        <f>IFERROR(OrdersTable[[#This Row],[Profit]]/OrdersTable[[#This Row],[Net Revenue]],0)</f>
        <v>0.42693409742120347</v>
      </c>
      <c r="AA3902" t="s">
        <v>18</v>
      </c>
      <c r="AB3902" s="79">
        <v>45920</v>
      </c>
      <c r="AC3902">
        <f>OrdersTable[[#This Row],[Delivery Date]]-OrdersTable[[#This Row],[Order Date]]</f>
        <v>1</v>
      </c>
      <c r="AD3902" t="str">
        <f>IF(OrdersTable[[#This Row],[Delivery Days]]&lt;=2, "Express (≤2d)", IF(OrdersTable[[#This Row],[Delivery Days]]&lt;=4, "Standard (3-4d)", "Delayed (5d+)"))</f>
        <v>Express (≤2d)</v>
      </c>
      <c r="AE3902">
        <v>4</v>
      </c>
      <c r="AF3902">
        <v>0</v>
      </c>
    </row>
    <row r="3903" spans="1:32" ht="15" x14ac:dyDescent="0.35">
      <c r="A3903" t="s">
        <v>1780</v>
      </c>
      <c r="B3903" s="1">
        <v>45919</v>
      </c>
      <c r="C3903">
        <f>YEAR(OrdersTable[[#This Row],[Order Date]])</f>
        <v>2025</v>
      </c>
      <c r="D3903" s="2">
        <f>DATE(YEAR(OrdersTable[[#This Row],[Order Date]]),MONTH(OrdersTable[[#This Row],[Order Date]]),1)</f>
        <v>45901</v>
      </c>
      <c r="E3903">
        <f>MONTH(OrdersTable[[#This Row],[Order Date]])</f>
        <v>9</v>
      </c>
      <c r="F3903" t="s">
        <v>1781</v>
      </c>
      <c r="G3903" t="str">
        <f>IF(OrdersTable[[#This Row],[Order Date]]=_xlfn.MINIFS(Order_Date, Customer_ID, OrdersTable[[#This Row],[Customer ID]]), "New", "Repeat")</f>
        <v>Repeat</v>
      </c>
      <c r="H3903" t="s">
        <v>71</v>
      </c>
      <c r="I3903" t="str">
        <f>INDEX(State!B:B,MATCH(OrdersTable[[#This Row],[State]],State!A:A,0))</f>
        <v>MH</v>
      </c>
      <c r="J3903" t="str">
        <f>INDEX(State!C:C,MATCH(OrdersTable[[#This Row],[State Code]],State!B:B,0))</f>
        <v>West</v>
      </c>
      <c r="K3903" t="s">
        <v>81</v>
      </c>
      <c r="L3903" t="s">
        <v>65</v>
      </c>
      <c r="M3903" t="s">
        <v>109</v>
      </c>
      <c r="N3903" t="str">
        <f>INDEX(Products!B:B,MATCH(OrdersTable[[#This Row],[Product ID]],Products!A:A,0))</f>
        <v>Onion Hair Oil</v>
      </c>
      <c r="O3903" t="str">
        <f>INDEX(Products!C:C,MATCH(OrdersTable[[#This Row],[Product ID]],Products!A:A,0))</f>
        <v>Haircare</v>
      </c>
      <c r="P3903">
        <v>1</v>
      </c>
      <c r="Q3903" s="5">
        <v>349</v>
      </c>
      <c r="R3903" s="74">
        <v>0.35</v>
      </c>
      <c r="S3903" s="75">
        <f>OrdersTable[[#This Row],[Quantity]]*OrdersTable[[#This Row],[Unit Price]]</f>
        <v>349</v>
      </c>
      <c r="T3903" s="5">
        <f>OrdersTable[[#This Row],[Gross Sale]]*OrdersTable[[#This Row],[Discount_Clean2]]</f>
        <v>122.14999999999999</v>
      </c>
      <c r="U3903" s="5">
        <f>OrdersTable[[#This Row],[Gross Sale]]-OrdersTable[[#This Row],[Discount Amount]]</f>
        <v>226.85000000000002</v>
      </c>
      <c r="V3903" s="77">
        <f>INDEX(Products!E:E,MATCH(OrdersTable[[#This Row],[Product ID]],Products!A:A,0))</f>
        <v>105</v>
      </c>
      <c r="W3903" s="77">
        <f>OrdersTable[[#This Row],[Quantity]]*OrdersTable[[#This Row],[Unit Cost]]</f>
        <v>105</v>
      </c>
      <c r="X3903" s="77">
        <f>'Dropdown Lists'!$I$2*(1+OrdersTable[[#This Row],[Returned]])</f>
        <v>120</v>
      </c>
      <c r="Y3903" s="76">
        <f>OrdersTable[[#This Row],[Net Revenue]]-OrdersTable[[#This Row],[COGS]]-OrdersTable[[#This Row],[Shipping Cost]]</f>
        <v>1.8500000000000227</v>
      </c>
      <c r="Z3903" s="78">
        <f>IFERROR(OrdersTable[[#This Row],[Profit]]/OrdersTable[[#This Row],[Net Revenue]],0)</f>
        <v>8.1551686136214357E-3</v>
      </c>
      <c r="AA3903" t="s">
        <v>18</v>
      </c>
      <c r="AB3903" s="79">
        <v>45922</v>
      </c>
      <c r="AC3903">
        <f>OrdersTable[[#This Row],[Delivery Date]]-OrdersTable[[#This Row],[Order Date]]</f>
        <v>3</v>
      </c>
      <c r="AD3903" t="str">
        <f>IF(OrdersTable[[#This Row],[Delivery Days]]&lt;=2, "Express (≤2d)", IF(OrdersTable[[#This Row],[Delivery Days]]&lt;=4, "Standard (3-4d)", "Delayed (5d+)"))</f>
        <v>Standard (3-4d)</v>
      </c>
      <c r="AF3903">
        <v>1</v>
      </c>
    </row>
    <row r="3904" spans="1:32" ht="15" x14ac:dyDescent="0.35">
      <c r="A3904" t="s">
        <v>4626</v>
      </c>
      <c r="B3904" s="1">
        <v>45919</v>
      </c>
      <c r="C3904">
        <f>YEAR(OrdersTable[[#This Row],[Order Date]])</f>
        <v>2025</v>
      </c>
      <c r="D3904" s="2">
        <f>DATE(YEAR(OrdersTable[[#This Row],[Order Date]]),MONTH(OrdersTable[[#This Row],[Order Date]]),1)</f>
        <v>45901</v>
      </c>
      <c r="E3904">
        <f>MONTH(OrdersTable[[#This Row],[Order Date]])</f>
        <v>9</v>
      </c>
      <c r="F3904" t="s">
        <v>4627</v>
      </c>
      <c r="G3904" t="str">
        <f>IF(OrdersTable[[#This Row],[Order Date]]=_xlfn.MINIFS(Order_Date, Customer_ID, OrdersTable[[#This Row],[Customer ID]]), "New", "Repeat")</f>
        <v>New</v>
      </c>
      <c r="H3904" t="s">
        <v>71</v>
      </c>
      <c r="I3904" t="str">
        <f>INDEX(State!B:B,MATCH(OrdersTable[[#This Row],[State]],State!A:A,0))</f>
        <v>MH</v>
      </c>
      <c r="J3904" t="str">
        <f>INDEX(State!C:C,MATCH(OrdersTable[[#This Row],[State Code]],State!B:B,0))</f>
        <v>West</v>
      </c>
      <c r="K3904" t="s">
        <v>102</v>
      </c>
      <c r="L3904" t="s">
        <v>23</v>
      </c>
      <c r="M3904" t="s">
        <v>66</v>
      </c>
      <c r="N3904" t="str">
        <f>INDEX(Products!B:B,MATCH(OrdersTable[[#This Row],[Product ID]],Products!A:A,0))</f>
        <v>Sunscreen SPF 50</v>
      </c>
      <c r="O3904" t="str">
        <f>INDEX(Products!C:C,MATCH(OrdersTable[[#This Row],[Product ID]],Products!A:A,0))</f>
        <v>Skincare</v>
      </c>
      <c r="P3904">
        <v>1</v>
      </c>
      <c r="Q3904" s="5">
        <v>449</v>
      </c>
      <c r="R3904" s="74">
        <v>0.1</v>
      </c>
      <c r="S3904" s="75">
        <f>OrdersTable[[#This Row],[Quantity]]*OrdersTable[[#This Row],[Unit Price]]</f>
        <v>449</v>
      </c>
      <c r="T3904" s="5">
        <f>OrdersTable[[#This Row],[Gross Sale]]*OrdersTable[[#This Row],[Discount_Clean2]]</f>
        <v>44.900000000000006</v>
      </c>
      <c r="U3904" s="5">
        <f>OrdersTable[[#This Row],[Gross Sale]]-OrdersTable[[#This Row],[Discount Amount]]</f>
        <v>404.1</v>
      </c>
      <c r="V3904" s="77">
        <f>INDEX(Products!E:E,MATCH(OrdersTable[[#This Row],[Product ID]],Products!A:A,0))</f>
        <v>144</v>
      </c>
      <c r="W3904" s="77">
        <f>OrdersTable[[#This Row],[Quantity]]*OrdersTable[[#This Row],[Unit Cost]]</f>
        <v>144</v>
      </c>
      <c r="X3904" s="77">
        <f>'Dropdown Lists'!$I$2*(1+OrdersTable[[#This Row],[Returned]])</f>
        <v>60</v>
      </c>
      <c r="Y3904" s="76">
        <f>OrdersTable[[#This Row],[Net Revenue]]-OrdersTable[[#This Row],[COGS]]-OrdersTable[[#This Row],[Shipping Cost]]</f>
        <v>200.10000000000002</v>
      </c>
      <c r="Z3904" s="78">
        <f>IFERROR(OrdersTable[[#This Row],[Profit]]/OrdersTable[[#This Row],[Net Revenue]],0)</f>
        <v>0.4951744617668894</v>
      </c>
      <c r="AA3904" t="s">
        <v>4450</v>
      </c>
      <c r="AB3904" s="79">
        <v>45922</v>
      </c>
      <c r="AC3904">
        <f>OrdersTable[[#This Row],[Delivery Date]]-OrdersTable[[#This Row],[Order Date]]</f>
        <v>3</v>
      </c>
      <c r="AD3904" t="str">
        <f>IF(OrdersTable[[#This Row],[Delivery Days]]&lt;=2, "Express (≤2d)", IF(OrdersTable[[#This Row],[Delivery Days]]&lt;=4, "Standard (3-4d)", "Delayed (5d+)"))</f>
        <v>Standard (3-4d)</v>
      </c>
      <c r="AF3904">
        <v>0</v>
      </c>
    </row>
    <row r="3905" spans="1:32" ht="15" x14ac:dyDescent="0.35">
      <c r="A3905" t="s">
        <v>4437</v>
      </c>
      <c r="B3905" s="1">
        <v>45919</v>
      </c>
      <c r="C3905">
        <f>YEAR(OrdersTable[[#This Row],[Order Date]])</f>
        <v>2025</v>
      </c>
      <c r="D3905" s="2">
        <f>DATE(YEAR(OrdersTable[[#This Row],[Order Date]]),MONTH(OrdersTable[[#This Row],[Order Date]]),1)</f>
        <v>45901</v>
      </c>
      <c r="E3905">
        <f>MONTH(OrdersTable[[#This Row],[Order Date]])</f>
        <v>9</v>
      </c>
      <c r="F3905" t="s">
        <v>2026</v>
      </c>
      <c r="G3905" t="str">
        <f>IF(OrdersTable[[#This Row],[Order Date]]=_xlfn.MINIFS(Order_Date, Customer_ID, OrdersTable[[#This Row],[Customer ID]]), "New", "Repeat")</f>
        <v>New</v>
      </c>
      <c r="H3905" t="s">
        <v>71</v>
      </c>
      <c r="I3905" t="str">
        <f>INDEX(State!B:B,MATCH(OrdersTable[[#This Row],[State]],State!A:A,0))</f>
        <v>MH</v>
      </c>
      <c r="J3905" t="str">
        <f>INDEX(State!C:C,MATCH(OrdersTable[[#This Row],[State Code]],State!B:B,0))</f>
        <v>West</v>
      </c>
      <c r="K3905" t="s">
        <v>72</v>
      </c>
      <c r="L3905" t="s">
        <v>39</v>
      </c>
      <c r="M3905" t="s">
        <v>87</v>
      </c>
      <c r="N3905" t="str">
        <f>INDEX(Products!B:B,MATCH(OrdersTable[[#This Row],[Product ID]],Products!A:A,0))</f>
        <v>Linen Kurta</v>
      </c>
      <c r="O3905" t="str">
        <f>INDEX(Products!C:C,MATCH(OrdersTable[[#This Row],[Product ID]],Products!A:A,0))</f>
        <v>Apparel</v>
      </c>
      <c r="P3905">
        <v>1</v>
      </c>
      <c r="Q3905" s="5">
        <v>1499</v>
      </c>
      <c r="R3905" s="74">
        <v>0.25</v>
      </c>
      <c r="S3905" s="75">
        <f>OrdersTable[[#This Row],[Quantity]]*OrdersTable[[#This Row],[Unit Price]]</f>
        <v>1499</v>
      </c>
      <c r="T3905" s="5">
        <f>OrdersTable[[#This Row],[Gross Sale]]*OrdersTable[[#This Row],[Discount_Clean2]]</f>
        <v>374.75</v>
      </c>
      <c r="U3905" s="5">
        <f>OrdersTable[[#This Row],[Gross Sale]]-OrdersTable[[#This Row],[Discount Amount]]</f>
        <v>1124.25</v>
      </c>
      <c r="V3905" s="77">
        <f>INDEX(Products!E:E,MATCH(OrdersTable[[#This Row],[Product ID]],Products!A:A,0))</f>
        <v>630</v>
      </c>
      <c r="W3905" s="77">
        <f>OrdersTable[[#This Row],[Quantity]]*OrdersTable[[#This Row],[Unit Cost]]</f>
        <v>630</v>
      </c>
      <c r="X3905" s="77">
        <f>'Dropdown Lists'!$I$2*(1+OrdersTable[[#This Row],[Returned]])</f>
        <v>60</v>
      </c>
      <c r="Y3905" s="76">
        <f>OrdersTable[[#This Row],[Net Revenue]]-OrdersTable[[#This Row],[COGS]]-OrdersTable[[#This Row],[Shipping Cost]]</f>
        <v>434.25</v>
      </c>
      <c r="Z3905" s="78">
        <f>IFERROR(OrdersTable[[#This Row],[Profit]]/OrdersTable[[#This Row],[Net Revenue]],0)</f>
        <v>0.38625750500333556</v>
      </c>
      <c r="AA3905" t="s">
        <v>4074</v>
      </c>
      <c r="AB3905" s="79">
        <v>45923</v>
      </c>
      <c r="AC3905">
        <f>OrdersTable[[#This Row],[Delivery Date]]-OrdersTable[[#This Row],[Order Date]]</f>
        <v>4</v>
      </c>
      <c r="AD3905" t="str">
        <f>IF(OrdersTable[[#This Row],[Delivery Days]]&lt;=2, "Express (≤2d)", IF(OrdersTable[[#This Row],[Delivery Days]]&lt;=4, "Standard (3-4d)", "Delayed (5d+)"))</f>
        <v>Standard (3-4d)</v>
      </c>
      <c r="AE3905">
        <v>4</v>
      </c>
      <c r="AF3905">
        <v>0</v>
      </c>
    </row>
    <row r="3906" spans="1:32" ht="15" x14ac:dyDescent="0.35">
      <c r="A3906" t="s">
        <v>4537</v>
      </c>
      <c r="B3906" s="1">
        <v>45919</v>
      </c>
      <c r="C3906">
        <f>YEAR(OrdersTable[[#This Row],[Order Date]])</f>
        <v>2025</v>
      </c>
      <c r="D3906" s="2">
        <f>DATE(YEAR(OrdersTable[[#This Row],[Order Date]]),MONTH(OrdersTable[[#This Row],[Order Date]]),1)</f>
        <v>45901</v>
      </c>
      <c r="E3906">
        <f>MONTH(OrdersTable[[#This Row],[Order Date]])</f>
        <v>9</v>
      </c>
      <c r="F3906" t="s">
        <v>1512</v>
      </c>
      <c r="G3906" t="str">
        <f>IF(OrdersTable[[#This Row],[Order Date]]=_xlfn.MINIFS(Order_Date, Customer_ID, OrdersTable[[#This Row],[Customer ID]]), "New", "Repeat")</f>
        <v>Repeat</v>
      </c>
      <c r="H3906" t="s">
        <v>167</v>
      </c>
      <c r="I3906" t="str">
        <f>INDEX(State!B:B,MATCH(OrdersTable[[#This Row],[State]],State!A:A,0))</f>
        <v>KA</v>
      </c>
      <c r="J3906" t="str">
        <f>INDEX(State!C:C,MATCH(OrdersTable[[#This Row],[State Code]],State!B:B,0))</f>
        <v>South</v>
      </c>
      <c r="K3906" t="s">
        <v>190</v>
      </c>
      <c r="L3906" t="s">
        <v>23</v>
      </c>
      <c r="M3906" t="s">
        <v>160</v>
      </c>
      <c r="N3906" t="str">
        <f>INDEX(Products!B:B,MATCH(OrdersTable[[#This Row],[Product ID]],Products!A:A,0))</f>
        <v>Niacinamide Toner</v>
      </c>
      <c r="O3906" t="str">
        <f>INDEX(Products!C:C,MATCH(OrdersTable[[#This Row],[Product ID]],Products!A:A,0))</f>
        <v>Skincare</v>
      </c>
      <c r="P3906">
        <v>1</v>
      </c>
      <c r="Q3906" s="5">
        <v>399</v>
      </c>
      <c r="R3906" s="74">
        <v>0.25</v>
      </c>
      <c r="S3906" s="75">
        <f>OrdersTable[[#This Row],[Quantity]]*OrdersTable[[#This Row],[Unit Price]]</f>
        <v>399</v>
      </c>
      <c r="T3906" s="5">
        <f>OrdersTable[[#This Row],[Gross Sale]]*OrdersTable[[#This Row],[Discount_Clean2]]</f>
        <v>99.75</v>
      </c>
      <c r="U3906" s="5">
        <f>OrdersTable[[#This Row],[Gross Sale]]-OrdersTable[[#This Row],[Discount Amount]]</f>
        <v>299.25</v>
      </c>
      <c r="V3906" s="77">
        <f>INDEX(Products!E:E,MATCH(OrdersTable[[#This Row],[Product ID]],Products!A:A,0))</f>
        <v>112</v>
      </c>
      <c r="W3906" s="77">
        <f>OrdersTable[[#This Row],[Quantity]]*OrdersTable[[#This Row],[Unit Cost]]</f>
        <v>112</v>
      </c>
      <c r="X3906" s="77">
        <f>'Dropdown Lists'!$I$2*(1+OrdersTable[[#This Row],[Returned]])</f>
        <v>60</v>
      </c>
      <c r="Y3906" s="76">
        <f>OrdersTable[[#This Row],[Net Revenue]]-OrdersTable[[#This Row],[COGS]]-OrdersTable[[#This Row],[Shipping Cost]]</f>
        <v>127.25</v>
      </c>
      <c r="Z3906" s="78">
        <f>IFERROR(OrdersTable[[#This Row],[Profit]]/OrdersTable[[#This Row],[Net Revenue]],0)</f>
        <v>0.42522974101921468</v>
      </c>
      <c r="AA3906" t="s">
        <v>4450</v>
      </c>
      <c r="AB3906" s="79">
        <v>45921</v>
      </c>
      <c r="AC3906">
        <f>OrdersTable[[#This Row],[Delivery Date]]-OrdersTable[[#This Row],[Order Date]]</f>
        <v>2</v>
      </c>
      <c r="AD3906" t="str">
        <f>IF(OrdersTable[[#This Row],[Delivery Days]]&lt;=2, "Express (≤2d)", IF(OrdersTable[[#This Row],[Delivery Days]]&lt;=4, "Standard (3-4d)", "Delayed (5d+)"))</f>
        <v>Express (≤2d)</v>
      </c>
      <c r="AE3906">
        <v>4</v>
      </c>
      <c r="AF3906">
        <v>0</v>
      </c>
    </row>
    <row r="3907" spans="1:32" ht="15" x14ac:dyDescent="0.35">
      <c r="A3907" t="s">
        <v>5626</v>
      </c>
      <c r="B3907" s="1">
        <v>45919</v>
      </c>
      <c r="C3907">
        <f>YEAR(OrdersTable[[#This Row],[Order Date]])</f>
        <v>2025</v>
      </c>
      <c r="D3907" s="2">
        <f>DATE(YEAR(OrdersTable[[#This Row],[Order Date]]),MONTH(OrdersTable[[#This Row],[Order Date]]),1)</f>
        <v>45901</v>
      </c>
      <c r="E3907">
        <f>MONTH(OrdersTable[[#This Row],[Order Date]])</f>
        <v>9</v>
      </c>
      <c r="F3907" t="s">
        <v>652</v>
      </c>
      <c r="G3907" t="str">
        <f>IF(OrdersTable[[#This Row],[Order Date]]=_xlfn.MINIFS(Order_Date, Customer_ID, OrdersTable[[#This Row],[Customer ID]]), "New", "Repeat")</f>
        <v>Repeat</v>
      </c>
      <c r="H3907" t="s">
        <v>167</v>
      </c>
      <c r="I3907" t="str">
        <f>INDEX(State!B:B,MATCH(OrdersTable[[#This Row],[State]],State!A:A,0))</f>
        <v>KA</v>
      </c>
      <c r="J3907" t="str">
        <f>INDEX(State!C:C,MATCH(OrdersTable[[#This Row],[State Code]],State!B:B,0))</f>
        <v>South</v>
      </c>
      <c r="K3907" t="s">
        <v>168</v>
      </c>
      <c r="L3907" t="s">
        <v>50</v>
      </c>
      <c r="M3907" t="s">
        <v>51</v>
      </c>
      <c r="N3907" t="str">
        <f>INDEX(Products!B:B,MATCH(OrdersTable[[#This Row],[Product ID]],Products!A:A,0))</f>
        <v>Anti-Dandruff Conditioner</v>
      </c>
      <c r="O3907" t="str">
        <f>INDEX(Products!C:C,MATCH(OrdersTable[[#This Row],[Product ID]],Products!A:A,0))</f>
        <v>Haircare</v>
      </c>
      <c r="P3907">
        <v>2</v>
      </c>
      <c r="Q3907" s="5">
        <v>399</v>
      </c>
      <c r="R3907" s="74">
        <v>0.35</v>
      </c>
      <c r="S3907" s="75">
        <f>OrdersTable[[#This Row],[Quantity]]*OrdersTable[[#This Row],[Unit Price]]</f>
        <v>798</v>
      </c>
      <c r="T3907" s="5">
        <f>OrdersTable[[#This Row],[Gross Sale]]*OrdersTable[[#This Row],[Discount_Clean2]]</f>
        <v>279.29999999999995</v>
      </c>
      <c r="U3907" s="5">
        <f>OrdersTable[[#This Row],[Gross Sale]]-OrdersTable[[#This Row],[Discount Amount]]</f>
        <v>518.70000000000005</v>
      </c>
      <c r="V3907" s="77">
        <f>INDEX(Products!E:E,MATCH(OrdersTable[[#This Row],[Product ID]],Products!A:A,0))</f>
        <v>136</v>
      </c>
      <c r="W3907" s="77">
        <f>OrdersTable[[#This Row],[Quantity]]*OrdersTable[[#This Row],[Unit Cost]]</f>
        <v>272</v>
      </c>
      <c r="X3907" s="77">
        <f>'Dropdown Lists'!$I$2*(1+OrdersTable[[#This Row],[Returned]])</f>
        <v>60</v>
      </c>
      <c r="Y3907" s="76">
        <f>OrdersTable[[#This Row],[Net Revenue]]-OrdersTable[[#This Row],[COGS]]-OrdersTable[[#This Row],[Shipping Cost]]</f>
        <v>186.70000000000005</v>
      </c>
      <c r="Z3907" s="78">
        <f>IFERROR(OrdersTable[[#This Row],[Profit]]/OrdersTable[[#This Row],[Net Revenue]],0)</f>
        <v>0.35993830730672843</v>
      </c>
      <c r="AA3907" t="s">
        <v>2522</v>
      </c>
      <c r="AB3907" s="79">
        <v>45922</v>
      </c>
      <c r="AC3907">
        <f>OrdersTable[[#This Row],[Delivery Date]]-OrdersTable[[#This Row],[Order Date]]</f>
        <v>3</v>
      </c>
      <c r="AD3907" t="str">
        <f>IF(OrdersTable[[#This Row],[Delivery Days]]&lt;=2, "Express (≤2d)", IF(OrdersTable[[#This Row],[Delivery Days]]&lt;=4, "Standard (3-4d)", "Delayed (5d+)"))</f>
        <v>Standard (3-4d)</v>
      </c>
      <c r="AE3907">
        <v>4</v>
      </c>
      <c r="AF3907">
        <v>0</v>
      </c>
    </row>
    <row r="3908" spans="1:32" ht="15" x14ac:dyDescent="0.35">
      <c r="A3908" t="s">
        <v>3340</v>
      </c>
      <c r="B3908" s="1">
        <v>45920</v>
      </c>
      <c r="C3908">
        <f>YEAR(OrdersTable[[#This Row],[Order Date]])</f>
        <v>2025</v>
      </c>
      <c r="D3908" s="2">
        <f>DATE(YEAR(OrdersTable[[#This Row],[Order Date]]),MONTH(OrdersTable[[#This Row],[Order Date]]),1)</f>
        <v>45901</v>
      </c>
      <c r="E3908">
        <f>MONTH(OrdersTable[[#This Row],[Order Date]])</f>
        <v>9</v>
      </c>
      <c r="F3908" t="s">
        <v>1179</v>
      </c>
      <c r="G3908" t="str">
        <f>IF(OrdersTable[[#This Row],[Order Date]]=_xlfn.MINIFS(Order_Date, Customer_ID, OrdersTable[[#This Row],[Customer ID]]), "New", "Repeat")</f>
        <v>Repeat</v>
      </c>
      <c r="H3908" t="s">
        <v>48</v>
      </c>
      <c r="I3908" t="str">
        <f>INDEX(State!B:B,MATCH(OrdersTable[[#This Row],[State]],State!A:A,0))</f>
        <v>HR</v>
      </c>
      <c r="J3908" t="str">
        <f>INDEX(State!C:C,MATCH(OrdersTable[[#This Row],[State Code]],State!B:B,0))</f>
        <v>North</v>
      </c>
      <c r="K3908" t="s">
        <v>49</v>
      </c>
      <c r="L3908" t="s">
        <v>23</v>
      </c>
      <c r="M3908" t="s">
        <v>109</v>
      </c>
      <c r="N3908" t="str">
        <f>INDEX(Products!B:B,MATCH(OrdersTable[[#This Row],[Product ID]],Products!A:A,0))</f>
        <v>Onion Hair Oil</v>
      </c>
      <c r="O3908" t="str">
        <f>INDEX(Products!C:C,MATCH(OrdersTable[[#This Row],[Product ID]],Products!A:A,0))</f>
        <v>Haircare</v>
      </c>
      <c r="P3908">
        <v>1</v>
      </c>
      <c r="Q3908" s="5">
        <v>349</v>
      </c>
      <c r="R3908" s="74">
        <v>0.3</v>
      </c>
      <c r="S3908" s="75">
        <f>OrdersTable[[#This Row],[Quantity]]*OrdersTable[[#This Row],[Unit Price]]</f>
        <v>349</v>
      </c>
      <c r="T3908" s="5">
        <f>OrdersTable[[#This Row],[Gross Sale]]*OrdersTable[[#This Row],[Discount_Clean2]]</f>
        <v>104.7</v>
      </c>
      <c r="U3908" s="5">
        <f>OrdersTable[[#This Row],[Gross Sale]]-OrdersTable[[#This Row],[Discount Amount]]</f>
        <v>244.3</v>
      </c>
      <c r="V3908" s="77">
        <f>INDEX(Products!E:E,MATCH(OrdersTable[[#This Row],[Product ID]],Products!A:A,0))</f>
        <v>105</v>
      </c>
      <c r="W3908" s="77">
        <f>OrdersTable[[#This Row],[Quantity]]*OrdersTable[[#This Row],[Unit Cost]]</f>
        <v>105</v>
      </c>
      <c r="X3908" s="77">
        <f>'Dropdown Lists'!$I$2*(1+OrdersTable[[#This Row],[Returned]])</f>
        <v>60</v>
      </c>
      <c r="Y3908" s="76">
        <f>OrdersTable[[#This Row],[Net Revenue]]-OrdersTable[[#This Row],[COGS]]-OrdersTable[[#This Row],[Shipping Cost]]</f>
        <v>79.300000000000011</v>
      </c>
      <c r="Z3908" s="78">
        <f>IFERROR(OrdersTable[[#This Row],[Profit]]/OrdersTable[[#This Row],[Net Revenue]],0)</f>
        <v>0.32460090053213264</v>
      </c>
      <c r="AA3908" t="s">
        <v>2522</v>
      </c>
      <c r="AB3908" s="79">
        <v>45923</v>
      </c>
      <c r="AC3908">
        <f>OrdersTable[[#This Row],[Delivery Date]]-OrdersTable[[#This Row],[Order Date]]</f>
        <v>3</v>
      </c>
      <c r="AD3908" t="str">
        <f>IF(OrdersTable[[#This Row],[Delivery Days]]&lt;=2, "Express (≤2d)", IF(OrdersTable[[#This Row],[Delivery Days]]&lt;=4, "Standard (3-4d)", "Delayed (5d+)"))</f>
        <v>Standard (3-4d)</v>
      </c>
      <c r="AE3908">
        <v>4</v>
      </c>
      <c r="AF3908">
        <v>0</v>
      </c>
    </row>
    <row r="3909" spans="1:32" ht="15" x14ac:dyDescent="0.35">
      <c r="A3909" t="s">
        <v>4628</v>
      </c>
      <c r="B3909" s="1">
        <v>45920</v>
      </c>
      <c r="C3909">
        <f>YEAR(OrdersTable[[#This Row],[Order Date]])</f>
        <v>2025</v>
      </c>
      <c r="D3909" s="2">
        <f>DATE(YEAR(OrdersTable[[#This Row],[Order Date]]),MONTH(OrdersTable[[#This Row],[Order Date]]),1)</f>
        <v>45901</v>
      </c>
      <c r="E3909">
        <f>MONTH(OrdersTable[[#This Row],[Order Date]])</f>
        <v>9</v>
      </c>
      <c r="F3909" t="s">
        <v>1604</v>
      </c>
      <c r="G3909" t="str">
        <f>IF(OrdersTable[[#This Row],[Order Date]]=_xlfn.MINIFS(Order_Date, Customer_ID, OrdersTable[[#This Row],[Customer ID]]), "New", "Repeat")</f>
        <v>New</v>
      </c>
      <c r="H3909" t="s">
        <v>76</v>
      </c>
      <c r="I3909" t="str">
        <f>INDEX(State!B:B,MATCH(OrdersTable[[#This Row],[State]],State!A:A,0))</f>
        <v>UP</v>
      </c>
      <c r="J3909" t="str">
        <f>INDEX(State!C:C,MATCH(OrdersTable[[#This Row],[State Code]],State!B:B,0))</f>
        <v>North</v>
      </c>
      <c r="K3909" t="s">
        <v>105</v>
      </c>
      <c r="L3909" t="s">
        <v>39</v>
      </c>
      <c r="M3909" t="s">
        <v>148</v>
      </c>
      <c r="N3909" t="str">
        <f>INDEX(Products!B:B,MATCH(OrdersTable[[#This Row],[Product ID]],Products!A:A,0))</f>
        <v>Smartwatch Strap</v>
      </c>
      <c r="O3909" t="str">
        <f>INDEX(Products!C:C,MATCH(OrdersTable[[#This Row],[Product ID]],Products!A:A,0))</f>
        <v>Electronics</v>
      </c>
      <c r="P3909">
        <v>1</v>
      </c>
      <c r="Q3909" s="5">
        <v>499</v>
      </c>
      <c r="R3909" s="74">
        <v>0</v>
      </c>
      <c r="S3909" s="75">
        <f>OrdersTable[[#This Row],[Quantity]]*OrdersTable[[#This Row],[Unit Price]]</f>
        <v>499</v>
      </c>
      <c r="T3909" s="5">
        <f>OrdersTable[[#This Row],[Gross Sale]]*OrdersTable[[#This Row],[Discount_Clean2]]</f>
        <v>0</v>
      </c>
      <c r="U3909" s="5">
        <f>OrdersTable[[#This Row],[Gross Sale]]-OrdersTable[[#This Row],[Discount Amount]]</f>
        <v>499</v>
      </c>
      <c r="V3909" s="77">
        <f>INDEX(Products!E:E,MATCH(OrdersTable[[#This Row],[Product ID]],Products!A:A,0))</f>
        <v>200</v>
      </c>
      <c r="W3909" s="77">
        <f>OrdersTable[[#This Row],[Quantity]]*OrdersTable[[#This Row],[Unit Cost]]</f>
        <v>200</v>
      </c>
      <c r="X3909" s="77">
        <f>'Dropdown Lists'!$I$2*(1+OrdersTable[[#This Row],[Returned]])</f>
        <v>60</v>
      </c>
      <c r="Y3909" s="76">
        <f>OrdersTable[[#This Row],[Net Revenue]]-OrdersTable[[#This Row],[COGS]]-OrdersTable[[#This Row],[Shipping Cost]]</f>
        <v>239</v>
      </c>
      <c r="Z3909" s="78">
        <f>IFERROR(OrdersTable[[#This Row],[Profit]]/OrdersTable[[#This Row],[Net Revenue]],0)</f>
        <v>0.47895791583166331</v>
      </c>
      <c r="AA3909" t="s">
        <v>4450</v>
      </c>
      <c r="AB3909" s="79">
        <v>45926</v>
      </c>
      <c r="AC3909">
        <f>OrdersTable[[#This Row],[Delivery Date]]-OrdersTable[[#This Row],[Order Date]]</f>
        <v>6</v>
      </c>
      <c r="AD3909" t="str">
        <f>IF(OrdersTable[[#This Row],[Delivery Days]]&lt;=2, "Express (≤2d)", IF(OrdersTable[[#This Row],[Delivery Days]]&lt;=4, "Standard (3-4d)", "Delayed (5d+)"))</f>
        <v>Delayed (5d+)</v>
      </c>
      <c r="AF3909">
        <v>0</v>
      </c>
    </row>
    <row r="3910" spans="1:32" ht="15" x14ac:dyDescent="0.35">
      <c r="A3910" t="s">
        <v>1299</v>
      </c>
      <c r="B3910" s="1">
        <v>45920</v>
      </c>
      <c r="C3910">
        <f>YEAR(OrdersTable[[#This Row],[Order Date]])</f>
        <v>2025</v>
      </c>
      <c r="D3910" s="2">
        <f>DATE(YEAR(OrdersTable[[#This Row],[Order Date]]),MONTH(OrdersTable[[#This Row],[Order Date]]),1)</f>
        <v>45901</v>
      </c>
      <c r="E3910">
        <f>MONTH(OrdersTable[[#This Row],[Order Date]])</f>
        <v>9</v>
      </c>
      <c r="F3910" t="s">
        <v>1275</v>
      </c>
      <c r="G3910" t="str">
        <f>IF(OrdersTable[[#This Row],[Order Date]]=_xlfn.MINIFS(Order_Date, Customer_ID, OrdersTable[[#This Row],[Customer ID]]), "New", "Repeat")</f>
        <v>Repeat</v>
      </c>
      <c r="H3910" t="s">
        <v>132</v>
      </c>
      <c r="I3910" t="str">
        <f>INDEX(State!B:B,MATCH(OrdersTable[[#This Row],[State]],State!A:A,0))</f>
        <v>AS</v>
      </c>
      <c r="J3910" t="str">
        <f>INDEX(State!C:C,MATCH(OrdersTable[[#This Row],[State Code]],State!B:B,0))</f>
        <v>East</v>
      </c>
      <c r="K3910" t="s">
        <v>133</v>
      </c>
      <c r="L3910" t="s">
        <v>16</v>
      </c>
      <c r="M3910" t="s">
        <v>34</v>
      </c>
      <c r="N3910" t="str">
        <f>INDEX(Products!B:B,MATCH(OrdersTable[[#This Row],[Product ID]],Products!A:A,0))</f>
        <v>Flip Flops</v>
      </c>
      <c r="O3910" t="str">
        <f>INDEX(Products!C:C,MATCH(OrdersTable[[#This Row],[Product ID]],Products!A:A,0))</f>
        <v>Footwear</v>
      </c>
      <c r="P3910">
        <v>1</v>
      </c>
      <c r="Q3910" s="5">
        <v>399</v>
      </c>
      <c r="R3910" s="74">
        <v>0.05</v>
      </c>
      <c r="S3910" s="75">
        <f>OrdersTable[[#This Row],[Quantity]]*OrdersTable[[#This Row],[Unit Price]]</f>
        <v>399</v>
      </c>
      <c r="T3910" s="5">
        <f>OrdersTable[[#This Row],[Gross Sale]]*OrdersTable[[#This Row],[Discount_Clean2]]</f>
        <v>19.950000000000003</v>
      </c>
      <c r="U3910" s="5">
        <f>OrdersTable[[#This Row],[Gross Sale]]-OrdersTable[[#This Row],[Discount Amount]]</f>
        <v>379.05</v>
      </c>
      <c r="V3910" s="77">
        <f>INDEX(Products!E:E,MATCH(OrdersTable[[#This Row],[Product ID]],Products!A:A,0))</f>
        <v>152</v>
      </c>
      <c r="W3910" s="77">
        <f>OrdersTable[[#This Row],[Quantity]]*OrdersTable[[#This Row],[Unit Cost]]</f>
        <v>152</v>
      </c>
      <c r="X3910" s="77">
        <f>'Dropdown Lists'!$I$2*(1+OrdersTable[[#This Row],[Returned]])</f>
        <v>60</v>
      </c>
      <c r="Y3910" s="76">
        <f>OrdersTable[[#This Row],[Net Revenue]]-OrdersTable[[#This Row],[COGS]]-OrdersTable[[#This Row],[Shipping Cost]]</f>
        <v>167.05</v>
      </c>
      <c r="Z3910" s="78">
        <f>IFERROR(OrdersTable[[#This Row],[Profit]]/OrdersTable[[#This Row],[Net Revenue]],0)</f>
        <v>0.44070703073473161</v>
      </c>
      <c r="AA3910" t="s">
        <v>18</v>
      </c>
      <c r="AB3910" s="79">
        <v>45928</v>
      </c>
      <c r="AC3910">
        <f>OrdersTable[[#This Row],[Delivery Date]]-OrdersTable[[#This Row],[Order Date]]</f>
        <v>8</v>
      </c>
      <c r="AD3910" t="str">
        <f>IF(OrdersTable[[#This Row],[Delivery Days]]&lt;=2, "Express (≤2d)", IF(OrdersTable[[#This Row],[Delivery Days]]&lt;=4, "Standard (3-4d)", "Delayed (5d+)"))</f>
        <v>Delayed (5d+)</v>
      </c>
      <c r="AF3910">
        <v>0</v>
      </c>
    </row>
    <row r="3911" spans="1:32" ht="15" x14ac:dyDescent="0.35">
      <c r="A3911" t="s">
        <v>7116</v>
      </c>
      <c r="B3911" s="1">
        <v>45920</v>
      </c>
      <c r="C3911">
        <f>YEAR(OrdersTable[[#This Row],[Order Date]])</f>
        <v>2025</v>
      </c>
      <c r="D3911" s="2">
        <f>DATE(YEAR(OrdersTable[[#This Row],[Order Date]]),MONTH(OrdersTable[[#This Row],[Order Date]]),1)</f>
        <v>45901</v>
      </c>
      <c r="E3911">
        <f>MONTH(OrdersTable[[#This Row],[Order Date]])</f>
        <v>9</v>
      </c>
      <c r="F3911" t="s">
        <v>1990</v>
      </c>
      <c r="G3911" t="str">
        <f>IF(OrdersTable[[#This Row],[Order Date]]=_xlfn.MINIFS(Order_Date, Customer_ID, OrdersTable[[#This Row],[Customer ID]]), "New", "Repeat")</f>
        <v>Repeat</v>
      </c>
      <c r="H3911" t="s">
        <v>71</v>
      </c>
      <c r="I3911" t="str">
        <f>INDEX(State!B:B,MATCH(OrdersTable[[#This Row],[State]],State!A:A,0))</f>
        <v>MH</v>
      </c>
      <c r="J3911" t="str">
        <f>INDEX(State!C:C,MATCH(OrdersTable[[#This Row],[State Code]],State!B:B,0))</f>
        <v>West</v>
      </c>
      <c r="K3911" t="s">
        <v>102</v>
      </c>
      <c r="L3911" t="s">
        <v>65</v>
      </c>
      <c r="M3911" t="s">
        <v>24</v>
      </c>
      <c r="N3911" t="str">
        <f>INDEX(Products!B:B,MATCH(OrdersTable[[#This Row],[Product ID]],Products!A:A,0))</f>
        <v>Scented Candle Set</v>
      </c>
      <c r="O3911" t="str">
        <f>INDEX(Products!C:C,MATCH(OrdersTable[[#This Row],[Product ID]],Products!A:A,0))</f>
        <v>Home &amp; Kitchen</v>
      </c>
      <c r="P3911">
        <v>4</v>
      </c>
      <c r="Q3911" s="5">
        <v>699</v>
      </c>
      <c r="R3911" s="74">
        <v>0.2</v>
      </c>
      <c r="S3911" s="75">
        <f>OrdersTable[[#This Row],[Quantity]]*OrdersTable[[#This Row],[Unit Price]]</f>
        <v>2796</v>
      </c>
      <c r="T3911" s="5">
        <f>OrdersTable[[#This Row],[Gross Sale]]*OrdersTable[[#This Row],[Discount_Clean2]]</f>
        <v>559.20000000000005</v>
      </c>
      <c r="U3911" s="5">
        <f>OrdersTable[[#This Row],[Gross Sale]]-OrdersTable[[#This Row],[Discount Amount]]</f>
        <v>2236.8000000000002</v>
      </c>
      <c r="V3911" s="77">
        <f>INDEX(Products!E:E,MATCH(OrdersTable[[#This Row],[Product ID]],Products!A:A,0))</f>
        <v>245</v>
      </c>
      <c r="W3911" s="77">
        <f>OrdersTable[[#This Row],[Quantity]]*OrdersTable[[#This Row],[Unit Cost]]</f>
        <v>980</v>
      </c>
      <c r="X3911" s="77">
        <f>'Dropdown Lists'!$I$2*(1+OrdersTable[[#This Row],[Returned]])</f>
        <v>60</v>
      </c>
      <c r="Y3911" s="76">
        <f>OrdersTable[[#This Row],[Net Revenue]]-OrdersTable[[#This Row],[COGS]]-OrdersTable[[#This Row],[Shipping Cost]]</f>
        <v>1196.8000000000002</v>
      </c>
      <c r="Z3911" s="78">
        <f>IFERROR(OrdersTable[[#This Row],[Profit]]/OrdersTable[[#This Row],[Net Revenue]],0)</f>
        <v>0.53505007153075823</v>
      </c>
      <c r="AA3911" t="s">
        <v>18</v>
      </c>
      <c r="AB3911" s="79">
        <v>45923</v>
      </c>
      <c r="AC3911">
        <f>OrdersTable[[#This Row],[Delivery Date]]-OrdersTable[[#This Row],[Order Date]]</f>
        <v>3</v>
      </c>
      <c r="AD3911" t="str">
        <f>IF(OrdersTable[[#This Row],[Delivery Days]]&lt;=2, "Express (≤2d)", IF(OrdersTable[[#This Row],[Delivery Days]]&lt;=4, "Standard (3-4d)", "Delayed (5d+)"))</f>
        <v>Standard (3-4d)</v>
      </c>
      <c r="AE3911">
        <v>4</v>
      </c>
      <c r="AF3911">
        <v>0</v>
      </c>
    </row>
    <row r="3912" spans="1:32" ht="15" x14ac:dyDescent="0.35">
      <c r="A3912" t="s">
        <v>1187</v>
      </c>
      <c r="B3912" s="1">
        <v>45920</v>
      </c>
      <c r="C3912">
        <f>YEAR(OrdersTable[[#This Row],[Order Date]])</f>
        <v>2025</v>
      </c>
      <c r="D3912" s="2">
        <f>DATE(YEAR(OrdersTable[[#This Row],[Order Date]]),MONTH(OrdersTable[[#This Row],[Order Date]]),1)</f>
        <v>45901</v>
      </c>
      <c r="E3912">
        <f>MONTH(OrdersTable[[#This Row],[Order Date]])</f>
        <v>9</v>
      </c>
      <c r="F3912" t="s">
        <v>1188</v>
      </c>
      <c r="G3912" t="str">
        <f>IF(OrdersTable[[#This Row],[Order Date]]=_xlfn.MINIFS(Order_Date, Customer_ID, OrdersTable[[#This Row],[Customer ID]]), "New", "Repeat")</f>
        <v>New</v>
      </c>
      <c r="H3912" t="s">
        <v>71</v>
      </c>
      <c r="I3912" t="str">
        <f>INDEX(State!B:B,MATCH(OrdersTable[[#This Row],[State]],State!A:A,0))</f>
        <v>MH</v>
      </c>
      <c r="J3912" t="str">
        <f>INDEX(State!C:C,MATCH(OrdersTable[[#This Row],[State Code]],State!B:B,0))</f>
        <v>West</v>
      </c>
      <c r="K3912" t="s">
        <v>72</v>
      </c>
      <c r="L3912" t="s">
        <v>50</v>
      </c>
      <c r="M3912" t="s">
        <v>109</v>
      </c>
      <c r="N3912" t="str">
        <f>INDEX(Products!B:B,MATCH(OrdersTable[[#This Row],[Product ID]],Products!A:A,0))</f>
        <v>Onion Hair Oil</v>
      </c>
      <c r="O3912" t="str">
        <f>INDEX(Products!C:C,MATCH(OrdersTable[[#This Row],[Product ID]],Products!A:A,0))</f>
        <v>Haircare</v>
      </c>
      <c r="P3912">
        <v>1</v>
      </c>
      <c r="Q3912" s="5">
        <v>349</v>
      </c>
      <c r="R3912" s="74">
        <v>0.35</v>
      </c>
      <c r="S3912" s="75">
        <f>OrdersTable[[#This Row],[Quantity]]*OrdersTable[[#This Row],[Unit Price]]</f>
        <v>349</v>
      </c>
      <c r="T3912" s="5">
        <f>OrdersTable[[#This Row],[Gross Sale]]*OrdersTable[[#This Row],[Discount_Clean2]]</f>
        <v>122.14999999999999</v>
      </c>
      <c r="U3912" s="5">
        <f>OrdersTable[[#This Row],[Gross Sale]]-OrdersTable[[#This Row],[Discount Amount]]</f>
        <v>226.85000000000002</v>
      </c>
      <c r="V3912" s="77">
        <f>INDEX(Products!E:E,MATCH(OrdersTable[[#This Row],[Product ID]],Products!A:A,0))</f>
        <v>105</v>
      </c>
      <c r="W3912" s="77">
        <f>OrdersTable[[#This Row],[Quantity]]*OrdersTable[[#This Row],[Unit Cost]]</f>
        <v>105</v>
      </c>
      <c r="X3912" s="77">
        <f>'Dropdown Lists'!$I$2*(1+OrdersTable[[#This Row],[Returned]])</f>
        <v>60</v>
      </c>
      <c r="Y3912" s="76">
        <f>OrdersTable[[#This Row],[Net Revenue]]-OrdersTable[[#This Row],[COGS]]-OrdersTable[[#This Row],[Shipping Cost]]</f>
        <v>61.850000000000023</v>
      </c>
      <c r="Z3912" s="78">
        <f>IFERROR(OrdersTable[[#This Row],[Profit]]/OrdersTable[[#This Row],[Net Revenue]],0)</f>
        <v>0.27264712364998905</v>
      </c>
      <c r="AA3912" t="s">
        <v>18</v>
      </c>
      <c r="AB3912" s="79">
        <v>45925</v>
      </c>
      <c r="AC3912">
        <f>OrdersTable[[#This Row],[Delivery Date]]-OrdersTable[[#This Row],[Order Date]]</f>
        <v>5</v>
      </c>
      <c r="AD3912" t="str">
        <f>IF(OrdersTable[[#This Row],[Delivery Days]]&lt;=2, "Express (≤2d)", IF(OrdersTable[[#This Row],[Delivery Days]]&lt;=4, "Standard (3-4d)", "Delayed (5d+)"))</f>
        <v>Delayed (5d+)</v>
      </c>
      <c r="AF3912">
        <v>0</v>
      </c>
    </row>
    <row r="3913" spans="1:32" ht="15" x14ac:dyDescent="0.35">
      <c r="A3913" t="s">
        <v>861</v>
      </c>
      <c r="B3913" s="1">
        <v>45920</v>
      </c>
      <c r="C3913">
        <f>YEAR(OrdersTable[[#This Row],[Order Date]])</f>
        <v>2025</v>
      </c>
      <c r="D3913" s="2">
        <f>DATE(YEAR(OrdersTable[[#This Row],[Order Date]]),MONTH(OrdersTable[[#This Row],[Order Date]]),1)</f>
        <v>45901</v>
      </c>
      <c r="E3913">
        <f>MONTH(OrdersTable[[#This Row],[Order Date]])</f>
        <v>9</v>
      </c>
      <c r="F3913" t="s">
        <v>862</v>
      </c>
      <c r="G3913" t="str">
        <f>IF(OrdersTable[[#This Row],[Order Date]]=_xlfn.MINIFS(Order_Date, Customer_ID, OrdersTable[[#This Row],[Customer ID]]), "New", "Repeat")</f>
        <v>New</v>
      </c>
      <c r="H3913" t="s">
        <v>167</v>
      </c>
      <c r="I3913" t="str">
        <f>INDEX(State!B:B,MATCH(OrdersTable[[#This Row],[State]],State!A:A,0))</f>
        <v>KA</v>
      </c>
      <c r="J3913" t="str">
        <f>INDEX(State!C:C,MATCH(OrdersTable[[#This Row],[State Code]],State!B:B,0))</f>
        <v>South</v>
      </c>
      <c r="K3913" t="s">
        <v>190</v>
      </c>
      <c r="L3913" t="s">
        <v>39</v>
      </c>
      <c r="M3913" t="s">
        <v>34</v>
      </c>
      <c r="N3913" t="str">
        <f>INDEX(Products!B:B,MATCH(OrdersTable[[#This Row],[Product ID]],Products!A:A,0))</f>
        <v>Flip Flops</v>
      </c>
      <c r="O3913" t="str">
        <f>INDEX(Products!C:C,MATCH(OrdersTable[[#This Row],[Product ID]],Products!A:A,0))</f>
        <v>Footwear</v>
      </c>
      <c r="P3913">
        <v>1</v>
      </c>
      <c r="Q3913" s="5">
        <v>399</v>
      </c>
      <c r="R3913" s="74">
        <v>0.05</v>
      </c>
      <c r="S3913" s="75">
        <f>OrdersTable[[#This Row],[Quantity]]*OrdersTable[[#This Row],[Unit Price]]</f>
        <v>399</v>
      </c>
      <c r="T3913" s="5">
        <f>OrdersTable[[#This Row],[Gross Sale]]*OrdersTable[[#This Row],[Discount_Clean2]]</f>
        <v>19.950000000000003</v>
      </c>
      <c r="U3913" s="5">
        <f>OrdersTable[[#This Row],[Gross Sale]]-OrdersTable[[#This Row],[Discount Amount]]</f>
        <v>379.05</v>
      </c>
      <c r="V3913" s="77">
        <f>INDEX(Products!E:E,MATCH(OrdersTable[[#This Row],[Product ID]],Products!A:A,0))</f>
        <v>152</v>
      </c>
      <c r="W3913" s="77">
        <f>OrdersTable[[#This Row],[Quantity]]*OrdersTable[[#This Row],[Unit Cost]]</f>
        <v>152</v>
      </c>
      <c r="X3913" s="77">
        <f>'Dropdown Lists'!$I$2*(1+OrdersTable[[#This Row],[Returned]])</f>
        <v>60</v>
      </c>
      <c r="Y3913" s="76">
        <f>OrdersTable[[#This Row],[Net Revenue]]-OrdersTable[[#This Row],[COGS]]-OrdersTable[[#This Row],[Shipping Cost]]</f>
        <v>167.05</v>
      </c>
      <c r="Z3913" s="78">
        <f>IFERROR(OrdersTable[[#This Row],[Profit]]/OrdersTable[[#This Row],[Net Revenue]],0)</f>
        <v>0.44070703073473161</v>
      </c>
      <c r="AA3913" t="s">
        <v>18</v>
      </c>
      <c r="AB3913" s="79">
        <v>45925</v>
      </c>
      <c r="AC3913">
        <f>OrdersTable[[#This Row],[Delivery Date]]-OrdersTable[[#This Row],[Order Date]]</f>
        <v>5</v>
      </c>
      <c r="AD3913" t="str">
        <f>IF(OrdersTable[[#This Row],[Delivery Days]]&lt;=2, "Express (≤2d)", IF(OrdersTable[[#This Row],[Delivery Days]]&lt;=4, "Standard (3-4d)", "Delayed (5d+)"))</f>
        <v>Delayed (5d+)</v>
      </c>
      <c r="AE3913">
        <v>4</v>
      </c>
      <c r="AF3913">
        <v>0</v>
      </c>
    </row>
    <row r="3914" spans="1:32" ht="15" x14ac:dyDescent="0.35">
      <c r="A3914" t="s">
        <v>1018</v>
      </c>
      <c r="B3914" s="1">
        <v>45921</v>
      </c>
      <c r="C3914">
        <f>YEAR(OrdersTable[[#This Row],[Order Date]])</f>
        <v>2025</v>
      </c>
      <c r="D3914" s="2">
        <f>DATE(YEAR(OrdersTable[[#This Row],[Order Date]]),MONTH(OrdersTable[[#This Row],[Order Date]]),1)</f>
        <v>45901</v>
      </c>
      <c r="E3914">
        <f>MONTH(OrdersTable[[#This Row],[Order Date]])</f>
        <v>9</v>
      </c>
      <c r="F3914" t="s">
        <v>1019</v>
      </c>
      <c r="G3914" t="str">
        <f>IF(OrdersTable[[#This Row],[Order Date]]=_xlfn.MINIFS(Order_Date, Customer_ID, OrdersTable[[#This Row],[Customer ID]]), "New", "Repeat")</f>
        <v>Repeat</v>
      </c>
      <c r="H3914" t="s">
        <v>184</v>
      </c>
      <c r="I3914" t="str">
        <f>INDEX(State!B:B,MATCH(OrdersTable[[#This Row],[State]],State!A:A,0))</f>
        <v>UK</v>
      </c>
      <c r="J3914" t="str">
        <f>INDEX(State!C:C,MATCH(OrdersTable[[#This Row],[State Code]],State!B:B,0))</f>
        <v>North</v>
      </c>
      <c r="K3914" t="s">
        <v>185</v>
      </c>
      <c r="L3914" t="s">
        <v>65</v>
      </c>
      <c r="M3914" t="s">
        <v>565</v>
      </c>
      <c r="N3914" t="str">
        <f>INDEX(Products!B:B,MATCH(OrdersTable[[#This Row],[Product ID]],Products!A:A,0))</f>
        <v>Ceramic Dinner Set</v>
      </c>
      <c r="O3914" t="str">
        <f>INDEX(Products!C:C,MATCH(OrdersTable[[#This Row],[Product ID]],Products!A:A,0))</f>
        <v>Home &amp; Kitchen</v>
      </c>
      <c r="P3914">
        <v>1</v>
      </c>
      <c r="Q3914" s="5">
        <v>2499</v>
      </c>
      <c r="R3914" s="74">
        <v>0.25</v>
      </c>
      <c r="S3914" s="75">
        <f>OrdersTable[[#This Row],[Quantity]]*OrdersTable[[#This Row],[Unit Price]]</f>
        <v>2499</v>
      </c>
      <c r="T3914" s="5">
        <f>OrdersTable[[#This Row],[Gross Sale]]*OrdersTable[[#This Row],[Discount_Clean2]]</f>
        <v>624.75</v>
      </c>
      <c r="U3914" s="5">
        <f>OrdersTable[[#This Row],[Gross Sale]]-OrdersTable[[#This Row],[Discount Amount]]</f>
        <v>1874.25</v>
      </c>
      <c r="V3914" s="77">
        <f>INDEX(Products!E:E,MATCH(OrdersTable[[#This Row],[Product ID]],Products!A:A,0))</f>
        <v>1250</v>
      </c>
      <c r="W3914" s="77">
        <f>OrdersTable[[#This Row],[Quantity]]*OrdersTable[[#This Row],[Unit Cost]]</f>
        <v>1250</v>
      </c>
      <c r="X3914" s="77">
        <f>'Dropdown Lists'!$I$2*(1+OrdersTable[[#This Row],[Returned]])</f>
        <v>60</v>
      </c>
      <c r="Y3914" s="76">
        <f>OrdersTable[[#This Row],[Net Revenue]]-OrdersTable[[#This Row],[COGS]]-OrdersTable[[#This Row],[Shipping Cost]]</f>
        <v>564.25</v>
      </c>
      <c r="Z3914" s="78">
        <f>IFERROR(OrdersTable[[#This Row],[Profit]]/OrdersTable[[#This Row],[Net Revenue]],0)</f>
        <v>0.30105375483526742</v>
      </c>
      <c r="AA3914" t="s">
        <v>18</v>
      </c>
      <c r="AB3914" s="79">
        <v>45925</v>
      </c>
      <c r="AC3914">
        <f>OrdersTable[[#This Row],[Delivery Date]]-OrdersTable[[#This Row],[Order Date]]</f>
        <v>4</v>
      </c>
      <c r="AD3914" t="str">
        <f>IF(OrdersTable[[#This Row],[Delivery Days]]&lt;=2, "Express (≤2d)", IF(OrdersTable[[#This Row],[Delivery Days]]&lt;=4, "Standard (3-4d)", "Delayed (5d+)"))</f>
        <v>Standard (3-4d)</v>
      </c>
      <c r="AE3914">
        <v>4</v>
      </c>
      <c r="AF3914">
        <v>0</v>
      </c>
    </row>
    <row r="3915" spans="1:32" ht="15" x14ac:dyDescent="0.35">
      <c r="A3915" t="s">
        <v>2178</v>
      </c>
      <c r="B3915" s="1">
        <v>45921</v>
      </c>
      <c r="C3915">
        <f>YEAR(OrdersTable[[#This Row],[Order Date]])</f>
        <v>2025</v>
      </c>
      <c r="D3915" s="2">
        <f>DATE(YEAR(OrdersTable[[#This Row],[Order Date]]),MONTH(OrdersTable[[#This Row],[Order Date]]),1)</f>
        <v>45901</v>
      </c>
      <c r="E3915">
        <f>MONTH(OrdersTable[[#This Row],[Order Date]])</f>
        <v>9</v>
      </c>
      <c r="F3915" t="s">
        <v>1317</v>
      </c>
      <c r="G3915" t="str">
        <f>IF(OrdersTable[[#This Row],[Order Date]]=_xlfn.MINIFS(Order_Date, Customer_ID, OrdersTable[[#This Row],[Customer ID]]), "New", "Repeat")</f>
        <v>New</v>
      </c>
      <c r="H3915" t="s">
        <v>54</v>
      </c>
      <c r="I3915" t="str">
        <f>INDEX(State!B:B,MATCH(OrdersTable[[#This Row],[State]],State!A:A,0))</f>
        <v>RJ</v>
      </c>
      <c r="J3915" t="str">
        <f>INDEX(State!C:C,MATCH(OrdersTable[[#This Row],[State Code]],State!B:B,0))</f>
        <v>North</v>
      </c>
      <c r="K3915" t="s">
        <v>227</v>
      </c>
      <c r="L3915" t="s">
        <v>23</v>
      </c>
      <c r="M3915" t="s">
        <v>73</v>
      </c>
      <c r="N3915" t="str">
        <f>INDEX(Products!B:B,MATCH(OrdersTable[[#This Row],[Product ID]],Products!A:A,0))</f>
        <v>Hydrating Face Wash</v>
      </c>
      <c r="O3915" t="str">
        <f>INDEX(Products!C:C,MATCH(OrdersTable[[#This Row],[Product ID]],Products!A:A,0))</f>
        <v>Skincare</v>
      </c>
      <c r="P3915">
        <v>1</v>
      </c>
      <c r="Q3915" s="5">
        <v>299</v>
      </c>
      <c r="R3915" s="74">
        <v>0</v>
      </c>
      <c r="S3915" s="75">
        <f>OrdersTable[[#This Row],[Quantity]]*OrdersTable[[#This Row],[Unit Price]]</f>
        <v>299</v>
      </c>
      <c r="T3915" s="5">
        <f>OrdersTable[[#This Row],[Gross Sale]]*OrdersTable[[#This Row],[Discount_Clean2]]</f>
        <v>0</v>
      </c>
      <c r="U3915" s="5">
        <f>OrdersTable[[#This Row],[Gross Sale]]-OrdersTable[[#This Row],[Discount Amount]]</f>
        <v>299</v>
      </c>
      <c r="V3915" s="77">
        <f>INDEX(Products!E:E,MATCH(OrdersTable[[#This Row],[Product ID]],Products!A:A,0))</f>
        <v>90</v>
      </c>
      <c r="W3915" s="77">
        <f>OrdersTable[[#This Row],[Quantity]]*OrdersTable[[#This Row],[Unit Cost]]</f>
        <v>90</v>
      </c>
      <c r="X3915" s="77">
        <f>'Dropdown Lists'!$I$2*(1+OrdersTable[[#This Row],[Returned]])</f>
        <v>60</v>
      </c>
      <c r="Y3915" s="76">
        <f>OrdersTable[[#This Row],[Net Revenue]]-OrdersTable[[#This Row],[COGS]]-OrdersTable[[#This Row],[Shipping Cost]]</f>
        <v>149</v>
      </c>
      <c r="Z3915" s="78">
        <f>IFERROR(OrdersTable[[#This Row],[Profit]]/OrdersTable[[#This Row],[Net Revenue]],0)</f>
        <v>0.49832775919732442</v>
      </c>
      <c r="AA3915" t="s">
        <v>18</v>
      </c>
      <c r="AB3915" s="79">
        <v>45924</v>
      </c>
      <c r="AC3915">
        <f>OrdersTable[[#This Row],[Delivery Date]]-OrdersTable[[#This Row],[Order Date]]</f>
        <v>3</v>
      </c>
      <c r="AD3915" t="str">
        <f>IF(OrdersTable[[#This Row],[Delivery Days]]&lt;=2, "Express (≤2d)", IF(OrdersTable[[#This Row],[Delivery Days]]&lt;=4, "Standard (3-4d)", "Delayed (5d+)"))</f>
        <v>Standard (3-4d)</v>
      </c>
      <c r="AE3915">
        <v>3</v>
      </c>
      <c r="AF3915">
        <v>0</v>
      </c>
    </row>
    <row r="3916" spans="1:32" ht="15" x14ac:dyDescent="0.35">
      <c r="A3916" t="s">
        <v>669</v>
      </c>
      <c r="B3916" s="1">
        <v>45921</v>
      </c>
      <c r="C3916">
        <f>YEAR(OrdersTable[[#This Row],[Order Date]])</f>
        <v>2025</v>
      </c>
      <c r="D3916" s="2">
        <f>DATE(YEAR(OrdersTable[[#This Row],[Order Date]]),MONTH(OrdersTable[[#This Row],[Order Date]]),1)</f>
        <v>45901</v>
      </c>
      <c r="E3916">
        <f>MONTH(OrdersTable[[#This Row],[Order Date]])</f>
        <v>9</v>
      </c>
      <c r="F3916" t="s">
        <v>633</v>
      </c>
      <c r="G3916" t="str">
        <f>IF(OrdersTable[[#This Row],[Order Date]]=_xlfn.MINIFS(Order_Date, Customer_ID, OrdersTable[[#This Row],[Customer ID]]), "New", "Repeat")</f>
        <v>Repeat</v>
      </c>
      <c r="H3916" t="s">
        <v>54</v>
      </c>
      <c r="I3916" t="str">
        <f>INDEX(State!B:B,MATCH(OrdersTable[[#This Row],[State]],State!A:A,0))</f>
        <v>RJ</v>
      </c>
      <c r="J3916" t="str">
        <f>INDEX(State!C:C,MATCH(OrdersTable[[#This Row],[State Code]],State!B:B,0))</f>
        <v>North</v>
      </c>
      <c r="K3916" t="s">
        <v>227</v>
      </c>
      <c r="L3916" t="s">
        <v>65</v>
      </c>
      <c r="M3916" t="s">
        <v>56</v>
      </c>
      <c r="N3916" t="str">
        <f>INDEX(Products!B:B,MATCH(OrdersTable[[#This Row],[Product ID]],Products!A:A,0))</f>
        <v>Vitamin C Face Serum</v>
      </c>
      <c r="O3916" t="str">
        <f>INDEX(Products!C:C,MATCH(OrdersTable[[#This Row],[Product ID]],Products!A:A,0))</f>
        <v>Skincare</v>
      </c>
      <c r="P3916">
        <v>1</v>
      </c>
      <c r="Q3916" s="5">
        <v>599</v>
      </c>
      <c r="R3916" s="74">
        <v>0.15</v>
      </c>
      <c r="S3916" s="75">
        <f>OrdersTable[[#This Row],[Quantity]]*OrdersTable[[#This Row],[Unit Price]]</f>
        <v>599</v>
      </c>
      <c r="T3916" s="5">
        <f>OrdersTable[[#This Row],[Gross Sale]]*OrdersTable[[#This Row],[Discount_Clean2]]</f>
        <v>89.85</v>
      </c>
      <c r="U3916" s="5">
        <f>OrdersTable[[#This Row],[Gross Sale]]-OrdersTable[[#This Row],[Discount Amount]]</f>
        <v>509.15</v>
      </c>
      <c r="V3916" s="77">
        <f>INDEX(Products!E:E,MATCH(OrdersTable[[#This Row],[Product ID]],Products!A:A,0))</f>
        <v>180</v>
      </c>
      <c r="W3916" s="77">
        <f>OrdersTable[[#This Row],[Quantity]]*OrdersTable[[#This Row],[Unit Cost]]</f>
        <v>180</v>
      </c>
      <c r="X3916" s="77">
        <f>'Dropdown Lists'!$I$2*(1+OrdersTable[[#This Row],[Returned]])</f>
        <v>60</v>
      </c>
      <c r="Y3916" s="76">
        <f>OrdersTable[[#This Row],[Net Revenue]]-OrdersTable[[#This Row],[COGS]]-OrdersTable[[#This Row],[Shipping Cost]]</f>
        <v>269.14999999999998</v>
      </c>
      <c r="Z3916" s="78">
        <f>IFERROR(OrdersTable[[#This Row],[Profit]]/OrdersTable[[#This Row],[Net Revenue]],0)</f>
        <v>0.52862614160856325</v>
      </c>
      <c r="AA3916" t="s">
        <v>18</v>
      </c>
      <c r="AB3916" s="79">
        <v>45925</v>
      </c>
      <c r="AC3916">
        <f>OrdersTable[[#This Row],[Delivery Date]]-OrdersTable[[#This Row],[Order Date]]</f>
        <v>4</v>
      </c>
      <c r="AD3916" t="str">
        <f>IF(OrdersTable[[#This Row],[Delivery Days]]&lt;=2, "Express (≤2d)", IF(OrdersTable[[#This Row],[Delivery Days]]&lt;=4, "Standard (3-4d)", "Delayed (5d+)"))</f>
        <v>Standard (3-4d)</v>
      </c>
      <c r="AE3916">
        <v>4</v>
      </c>
      <c r="AF3916">
        <v>0</v>
      </c>
    </row>
    <row r="3917" spans="1:32" ht="15" x14ac:dyDescent="0.35">
      <c r="A3917" t="s">
        <v>4629</v>
      </c>
      <c r="B3917" s="1">
        <v>45921</v>
      </c>
      <c r="C3917">
        <f>YEAR(OrdersTable[[#This Row],[Order Date]])</f>
        <v>2025</v>
      </c>
      <c r="D3917" s="2">
        <f>DATE(YEAR(OrdersTable[[#This Row],[Order Date]]),MONTH(OrdersTable[[#This Row],[Order Date]]),1)</f>
        <v>45901</v>
      </c>
      <c r="E3917">
        <f>MONTH(OrdersTable[[#This Row],[Order Date]])</f>
        <v>9</v>
      </c>
      <c r="F3917" t="s">
        <v>641</v>
      </c>
      <c r="G3917" t="str">
        <f>IF(OrdersTable[[#This Row],[Order Date]]=_xlfn.MINIFS(Order_Date, Customer_ID, OrdersTable[[#This Row],[Customer ID]]), "New", "Repeat")</f>
        <v>Repeat</v>
      </c>
      <c r="H3917" t="s">
        <v>128</v>
      </c>
      <c r="I3917" t="str">
        <f>INDEX(State!B:B,MATCH(OrdersTable[[#This Row],[State]],State!A:A,0))</f>
        <v>DL</v>
      </c>
      <c r="J3917" t="str">
        <f>INDEX(State!C:C,MATCH(OrdersTable[[#This Row],[State Code]],State!B:B,0))</f>
        <v>North</v>
      </c>
      <c r="K3917" t="s">
        <v>129</v>
      </c>
      <c r="L3917" t="s">
        <v>23</v>
      </c>
      <c r="M3917" t="s">
        <v>148</v>
      </c>
      <c r="N3917" t="str">
        <f>INDEX(Products!B:B,MATCH(OrdersTable[[#This Row],[Product ID]],Products!A:A,0))</f>
        <v>Smartwatch Strap</v>
      </c>
      <c r="O3917" t="str">
        <f>INDEX(Products!C:C,MATCH(OrdersTable[[#This Row],[Product ID]],Products!A:A,0))</f>
        <v>Electronics</v>
      </c>
      <c r="P3917">
        <v>1</v>
      </c>
      <c r="Q3917" s="5">
        <v>499</v>
      </c>
      <c r="R3917" s="74">
        <v>0.2</v>
      </c>
      <c r="S3917" s="75">
        <f>OrdersTable[[#This Row],[Quantity]]*OrdersTable[[#This Row],[Unit Price]]</f>
        <v>499</v>
      </c>
      <c r="T3917" s="5">
        <f>OrdersTable[[#This Row],[Gross Sale]]*OrdersTable[[#This Row],[Discount_Clean2]]</f>
        <v>99.800000000000011</v>
      </c>
      <c r="U3917" s="5">
        <f>OrdersTable[[#This Row],[Gross Sale]]-OrdersTable[[#This Row],[Discount Amount]]</f>
        <v>399.2</v>
      </c>
      <c r="V3917" s="77">
        <f>INDEX(Products!E:E,MATCH(OrdersTable[[#This Row],[Product ID]],Products!A:A,0))</f>
        <v>200</v>
      </c>
      <c r="W3917" s="77">
        <f>OrdersTable[[#This Row],[Quantity]]*OrdersTable[[#This Row],[Unit Cost]]</f>
        <v>200</v>
      </c>
      <c r="X3917" s="77">
        <f>'Dropdown Lists'!$I$2*(1+OrdersTable[[#This Row],[Returned]])</f>
        <v>60</v>
      </c>
      <c r="Y3917" s="76">
        <f>OrdersTable[[#This Row],[Net Revenue]]-OrdersTable[[#This Row],[COGS]]-OrdersTable[[#This Row],[Shipping Cost]]</f>
        <v>139.19999999999999</v>
      </c>
      <c r="Z3917" s="78">
        <f>IFERROR(OrdersTable[[#This Row],[Profit]]/OrdersTable[[#This Row],[Net Revenue]],0)</f>
        <v>0.34869739478957912</v>
      </c>
      <c r="AA3917" t="s">
        <v>4450</v>
      </c>
      <c r="AB3917" s="79">
        <v>45923</v>
      </c>
      <c r="AC3917">
        <f>OrdersTable[[#This Row],[Delivery Date]]-OrdersTable[[#This Row],[Order Date]]</f>
        <v>2</v>
      </c>
      <c r="AD3917" t="str">
        <f>IF(OrdersTable[[#This Row],[Delivery Days]]&lt;=2, "Express (≤2d)", IF(OrdersTable[[#This Row],[Delivery Days]]&lt;=4, "Standard (3-4d)", "Delayed (5d+)"))</f>
        <v>Express (≤2d)</v>
      </c>
      <c r="AF3917">
        <v>0</v>
      </c>
    </row>
    <row r="3918" spans="1:32" ht="15" x14ac:dyDescent="0.35">
      <c r="A3918" t="s">
        <v>6726</v>
      </c>
      <c r="B3918" s="1">
        <v>45921</v>
      </c>
      <c r="C3918">
        <f>YEAR(OrdersTable[[#This Row],[Order Date]])</f>
        <v>2025</v>
      </c>
      <c r="D3918" s="2">
        <f>DATE(YEAR(OrdersTable[[#This Row],[Order Date]]),MONTH(OrdersTable[[#This Row],[Order Date]]),1)</f>
        <v>45901</v>
      </c>
      <c r="E3918">
        <f>MONTH(OrdersTable[[#This Row],[Order Date]])</f>
        <v>9</v>
      </c>
      <c r="F3918" t="s">
        <v>837</v>
      </c>
      <c r="G3918" t="str">
        <f>IF(OrdersTable[[#This Row],[Order Date]]=_xlfn.MINIFS(Order_Date, Customer_ID, OrdersTable[[#This Row],[Customer ID]]), "New", "Repeat")</f>
        <v>Repeat</v>
      </c>
      <c r="H3918" t="s">
        <v>482</v>
      </c>
      <c r="I3918" t="str">
        <f>INDEX(State!B:B,MATCH(OrdersTable[[#This Row],[State]],State!A:A,0))</f>
        <v>CG</v>
      </c>
      <c r="J3918" t="str">
        <f>INDEX(State!C:C,MATCH(OrdersTable[[#This Row],[State Code]],State!B:B,0))</f>
        <v>East</v>
      </c>
      <c r="K3918" t="s">
        <v>483</v>
      </c>
      <c r="L3918" t="s">
        <v>65</v>
      </c>
      <c r="M3918" t="s">
        <v>109</v>
      </c>
      <c r="N3918" t="str">
        <f>INDEX(Products!B:B,MATCH(OrdersTable[[#This Row],[Product ID]],Products!A:A,0))</f>
        <v>Onion Hair Oil</v>
      </c>
      <c r="O3918" t="str">
        <f>INDEX(Products!C:C,MATCH(OrdersTable[[#This Row],[Product ID]],Products!A:A,0))</f>
        <v>Haircare</v>
      </c>
      <c r="P3918">
        <v>3</v>
      </c>
      <c r="Q3918" s="5">
        <v>349</v>
      </c>
      <c r="R3918" s="74">
        <v>0.3</v>
      </c>
      <c r="S3918" s="75">
        <f>OrdersTable[[#This Row],[Quantity]]*OrdersTable[[#This Row],[Unit Price]]</f>
        <v>1047</v>
      </c>
      <c r="T3918" s="5">
        <f>OrdersTable[[#This Row],[Gross Sale]]*OrdersTable[[#This Row],[Discount_Clean2]]</f>
        <v>314.09999999999997</v>
      </c>
      <c r="U3918" s="5">
        <f>OrdersTable[[#This Row],[Gross Sale]]-OrdersTable[[#This Row],[Discount Amount]]</f>
        <v>732.90000000000009</v>
      </c>
      <c r="V3918" s="77">
        <f>INDEX(Products!E:E,MATCH(OrdersTable[[#This Row],[Product ID]],Products!A:A,0))</f>
        <v>105</v>
      </c>
      <c r="W3918" s="77">
        <f>OrdersTable[[#This Row],[Quantity]]*OrdersTable[[#This Row],[Unit Cost]]</f>
        <v>315</v>
      </c>
      <c r="X3918" s="77">
        <f>'Dropdown Lists'!$I$2*(1+OrdersTable[[#This Row],[Returned]])</f>
        <v>60</v>
      </c>
      <c r="Y3918" s="76">
        <f>OrdersTable[[#This Row],[Net Revenue]]-OrdersTable[[#This Row],[COGS]]-OrdersTable[[#This Row],[Shipping Cost]]</f>
        <v>357.90000000000009</v>
      </c>
      <c r="Z3918" s="78">
        <f>IFERROR(OrdersTable[[#This Row],[Profit]]/OrdersTable[[#This Row],[Net Revenue]],0)</f>
        <v>0.48833401555464601</v>
      </c>
      <c r="AA3918" t="s">
        <v>2522</v>
      </c>
      <c r="AB3918" s="79">
        <v>45924</v>
      </c>
      <c r="AC3918">
        <f>OrdersTable[[#This Row],[Delivery Date]]-OrdersTable[[#This Row],[Order Date]]</f>
        <v>3</v>
      </c>
      <c r="AD3918" t="str">
        <f>IF(OrdersTable[[#This Row],[Delivery Days]]&lt;=2, "Express (≤2d)", IF(OrdersTable[[#This Row],[Delivery Days]]&lt;=4, "Standard (3-4d)", "Delayed (5d+)"))</f>
        <v>Standard (3-4d)</v>
      </c>
      <c r="AE3918">
        <v>5</v>
      </c>
      <c r="AF3918">
        <v>0</v>
      </c>
    </row>
    <row r="3919" spans="1:32" ht="15" x14ac:dyDescent="0.35">
      <c r="A3919" t="s">
        <v>3800</v>
      </c>
      <c r="B3919" s="1">
        <v>45921</v>
      </c>
      <c r="C3919">
        <f>YEAR(OrdersTable[[#This Row],[Order Date]])</f>
        <v>2025</v>
      </c>
      <c r="D3919" s="2">
        <f>DATE(YEAR(OrdersTable[[#This Row],[Order Date]]),MONTH(OrdersTable[[#This Row],[Order Date]]),1)</f>
        <v>45901</v>
      </c>
      <c r="E3919">
        <f>MONTH(OrdersTable[[#This Row],[Order Date]])</f>
        <v>9</v>
      </c>
      <c r="F3919" t="s">
        <v>1474</v>
      </c>
      <c r="G3919" t="str">
        <f>IF(OrdersTable[[#This Row],[Order Date]]=_xlfn.MINIFS(Order_Date, Customer_ID, OrdersTable[[#This Row],[Customer ID]]), "New", "Repeat")</f>
        <v>Repeat</v>
      </c>
      <c r="H3919" t="s">
        <v>123</v>
      </c>
      <c r="I3919" t="str">
        <f>INDEX(State!B:B,MATCH(OrdersTable[[#This Row],[State]],State!A:A,0))</f>
        <v>JH</v>
      </c>
      <c r="J3919" t="str">
        <f>INDEX(State!C:C,MATCH(OrdersTable[[#This Row],[State Code]],State!B:B,0))</f>
        <v>East</v>
      </c>
      <c r="K3919" t="s">
        <v>124</v>
      </c>
      <c r="L3919" t="s">
        <v>65</v>
      </c>
      <c r="M3919" t="s">
        <v>56</v>
      </c>
      <c r="N3919" t="str">
        <f>INDEX(Products!B:B,MATCH(OrdersTable[[#This Row],[Product ID]],Products!A:A,0))</f>
        <v>Vitamin C Face Serum</v>
      </c>
      <c r="O3919" t="str">
        <f>INDEX(Products!C:C,MATCH(OrdersTable[[#This Row],[Product ID]],Products!A:A,0))</f>
        <v>Skincare</v>
      </c>
      <c r="P3919">
        <v>1</v>
      </c>
      <c r="Q3919" s="5">
        <v>599</v>
      </c>
      <c r="R3919" s="74">
        <v>0.15</v>
      </c>
      <c r="S3919" s="75">
        <f>OrdersTable[[#This Row],[Quantity]]*OrdersTable[[#This Row],[Unit Price]]</f>
        <v>599</v>
      </c>
      <c r="T3919" s="5">
        <f>OrdersTable[[#This Row],[Gross Sale]]*OrdersTable[[#This Row],[Discount_Clean2]]</f>
        <v>89.85</v>
      </c>
      <c r="U3919" s="5">
        <f>OrdersTable[[#This Row],[Gross Sale]]-OrdersTable[[#This Row],[Discount Amount]]</f>
        <v>509.15</v>
      </c>
      <c r="V3919" s="77">
        <f>INDEX(Products!E:E,MATCH(OrdersTable[[#This Row],[Product ID]],Products!A:A,0))</f>
        <v>180</v>
      </c>
      <c r="W3919" s="77">
        <f>OrdersTable[[#This Row],[Quantity]]*OrdersTable[[#This Row],[Unit Cost]]</f>
        <v>180</v>
      </c>
      <c r="X3919" s="77">
        <f>'Dropdown Lists'!$I$2*(1+OrdersTable[[#This Row],[Returned]])</f>
        <v>60</v>
      </c>
      <c r="Y3919" s="76">
        <f>OrdersTable[[#This Row],[Net Revenue]]-OrdersTable[[#This Row],[COGS]]-OrdersTable[[#This Row],[Shipping Cost]]</f>
        <v>269.14999999999998</v>
      </c>
      <c r="Z3919" s="78">
        <f>IFERROR(OrdersTable[[#This Row],[Profit]]/OrdersTable[[#This Row],[Net Revenue]],0)</f>
        <v>0.52862614160856325</v>
      </c>
      <c r="AA3919" t="s">
        <v>3495</v>
      </c>
      <c r="AB3919" s="79">
        <v>45925</v>
      </c>
      <c r="AC3919">
        <f>OrdersTable[[#This Row],[Delivery Date]]-OrdersTable[[#This Row],[Order Date]]</f>
        <v>4</v>
      </c>
      <c r="AD3919" t="str">
        <f>IF(OrdersTable[[#This Row],[Delivery Days]]&lt;=2, "Express (≤2d)", IF(OrdersTable[[#This Row],[Delivery Days]]&lt;=4, "Standard (3-4d)", "Delayed (5d+)"))</f>
        <v>Standard (3-4d)</v>
      </c>
      <c r="AF3919">
        <v>0</v>
      </c>
    </row>
    <row r="3920" spans="1:32" ht="15" x14ac:dyDescent="0.35">
      <c r="A3920" t="s">
        <v>3104</v>
      </c>
      <c r="B3920" s="1">
        <v>45921</v>
      </c>
      <c r="C3920">
        <f>YEAR(OrdersTable[[#This Row],[Order Date]])</f>
        <v>2025</v>
      </c>
      <c r="D3920" s="2">
        <f>DATE(YEAR(OrdersTable[[#This Row],[Order Date]]),MONTH(OrdersTable[[#This Row],[Order Date]]),1)</f>
        <v>45901</v>
      </c>
      <c r="E3920">
        <f>MONTH(OrdersTable[[#This Row],[Order Date]])</f>
        <v>9</v>
      </c>
      <c r="F3920" t="s">
        <v>2292</v>
      </c>
      <c r="G3920" t="str">
        <f>IF(OrdersTable[[#This Row],[Order Date]]=_xlfn.MINIFS(Order_Date, Customer_ID, OrdersTable[[#This Row],[Customer ID]]), "New", "Repeat")</f>
        <v>Repeat</v>
      </c>
      <c r="H3920" t="s">
        <v>71</v>
      </c>
      <c r="I3920" t="str">
        <f>INDEX(State!B:B,MATCH(OrdersTable[[#This Row],[State]],State!A:A,0))</f>
        <v>MH</v>
      </c>
      <c r="J3920" t="str">
        <f>INDEX(State!C:C,MATCH(OrdersTable[[#This Row],[State Code]],State!B:B,0))</f>
        <v>West</v>
      </c>
      <c r="K3920" t="s">
        <v>72</v>
      </c>
      <c r="L3920" t="s">
        <v>16</v>
      </c>
      <c r="M3920" t="s">
        <v>92</v>
      </c>
      <c r="N3920" t="str">
        <f>INDEX(Products!B:B,MATCH(OrdersTable[[#This Row],[Product ID]],Products!A:A,0))</f>
        <v>Kolhapuri Sandals</v>
      </c>
      <c r="O3920" t="str">
        <f>INDEX(Products!C:C,MATCH(OrdersTable[[#This Row],[Product ID]],Products!A:A,0))</f>
        <v>Footwear</v>
      </c>
      <c r="P3920">
        <v>1</v>
      </c>
      <c r="Q3920" s="5">
        <v>999</v>
      </c>
      <c r="R3920" s="74">
        <v>0.15</v>
      </c>
      <c r="S3920" s="75">
        <f>OrdersTable[[#This Row],[Quantity]]*OrdersTable[[#This Row],[Unit Price]]</f>
        <v>999</v>
      </c>
      <c r="T3920" s="5">
        <f>OrdersTable[[#This Row],[Gross Sale]]*OrdersTable[[#This Row],[Discount_Clean2]]</f>
        <v>149.85</v>
      </c>
      <c r="U3920" s="5">
        <f>OrdersTable[[#This Row],[Gross Sale]]-OrdersTable[[#This Row],[Discount Amount]]</f>
        <v>849.15</v>
      </c>
      <c r="V3920" s="77">
        <f>INDEX(Products!E:E,MATCH(OrdersTable[[#This Row],[Product ID]],Products!A:A,0))</f>
        <v>400</v>
      </c>
      <c r="W3920" s="77">
        <f>OrdersTable[[#This Row],[Quantity]]*OrdersTable[[#This Row],[Unit Cost]]</f>
        <v>400</v>
      </c>
      <c r="X3920" s="77">
        <f>'Dropdown Lists'!$I$2*(1+OrdersTable[[#This Row],[Returned]])</f>
        <v>60</v>
      </c>
      <c r="Y3920" s="76">
        <f>OrdersTable[[#This Row],[Net Revenue]]-OrdersTable[[#This Row],[COGS]]-OrdersTable[[#This Row],[Shipping Cost]]</f>
        <v>389.15</v>
      </c>
      <c r="Z3920" s="78">
        <f>IFERROR(OrdersTable[[#This Row],[Profit]]/OrdersTable[[#This Row],[Net Revenue]],0)</f>
        <v>0.45828181122298767</v>
      </c>
      <c r="AA3920" t="s">
        <v>2522</v>
      </c>
      <c r="AB3920" s="79">
        <v>45923</v>
      </c>
      <c r="AC3920">
        <f>OrdersTable[[#This Row],[Delivery Date]]-OrdersTable[[#This Row],[Order Date]]</f>
        <v>2</v>
      </c>
      <c r="AD3920" t="str">
        <f>IF(OrdersTable[[#This Row],[Delivery Days]]&lt;=2, "Express (≤2d)", IF(OrdersTable[[#This Row],[Delivery Days]]&lt;=4, "Standard (3-4d)", "Delayed (5d+)"))</f>
        <v>Express (≤2d)</v>
      </c>
      <c r="AF3920">
        <v>0</v>
      </c>
    </row>
    <row r="3921" spans="1:32" ht="15" x14ac:dyDescent="0.35">
      <c r="A3921" t="s">
        <v>2457</v>
      </c>
      <c r="B3921" s="1">
        <v>45921</v>
      </c>
      <c r="C3921">
        <f>YEAR(OrdersTable[[#This Row],[Order Date]])</f>
        <v>2025</v>
      </c>
      <c r="D3921" s="2">
        <f>DATE(YEAR(OrdersTable[[#This Row],[Order Date]]),MONTH(OrdersTable[[#This Row],[Order Date]]),1)</f>
        <v>45901</v>
      </c>
      <c r="E3921">
        <f>MONTH(OrdersTable[[#This Row],[Order Date]])</f>
        <v>9</v>
      </c>
      <c r="F3921" t="s">
        <v>1636</v>
      </c>
      <c r="G3921" t="str">
        <f>IF(OrdersTable[[#This Row],[Order Date]]=_xlfn.MINIFS(Order_Date, Customer_ID, OrdersTable[[#This Row],[Customer ID]]), "New", "Repeat")</f>
        <v>Repeat</v>
      </c>
      <c r="H3921" t="s">
        <v>71</v>
      </c>
      <c r="I3921" t="str">
        <f>INDEX(State!B:B,MATCH(OrdersTable[[#This Row],[State]],State!A:A,0))</f>
        <v>MH</v>
      </c>
      <c r="J3921" t="str">
        <f>INDEX(State!C:C,MATCH(OrdersTable[[#This Row],[State Code]],State!B:B,0))</f>
        <v>West</v>
      </c>
      <c r="K3921" t="s">
        <v>81</v>
      </c>
      <c r="L3921" t="s">
        <v>23</v>
      </c>
      <c r="M3921" t="s">
        <v>56</v>
      </c>
      <c r="N3921" t="str">
        <f>INDEX(Products!B:B,MATCH(OrdersTable[[#This Row],[Product ID]],Products!A:A,0))</f>
        <v>Vitamin C Face Serum</v>
      </c>
      <c r="O3921" t="str">
        <f>INDEX(Products!C:C,MATCH(OrdersTable[[#This Row],[Product ID]],Products!A:A,0))</f>
        <v>Skincare</v>
      </c>
      <c r="P3921">
        <v>1</v>
      </c>
      <c r="Q3921" s="5">
        <v>599</v>
      </c>
      <c r="R3921" s="74">
        <v>0.1</v>
      </c>
      <c r="S3921" s="75">
        <f>OrdersTable[[#This Row],[Quantity]]*OrdersTable[[#This Row],[Unit Price]]</f>
        <v>599</v>
      </c>
      <c r="T3921" s="5">
        <f>OrdersTable[[#This Row],[Gross Sale]]*OrdersTable[[#This Row],[Discount_Clean2]]</f>
        <v>59.900000000000006</v>
      </c>
      <c r="U3921" s="5">
        <f>OrdersTable[[#This Row],[Gross Sale]]-OrdersTable[[#This Row],[Discount Amount]]</f>
        <v>539.1</v>
      </c>
      <c r="V3921" s="77">
        <f>INDEX(Products!E:E,MATCH(OrdersTable[[#This Row],[Product ID]],Products!A:A,0))</f>
        <v>180</v>
      </c>
      <c r="W3921" s="77">
        <f>OrdersTable[[#This Row],[Quantity]]*OrdersTable[[#This Row],[Unit Cost]]</f>
        <v>180</v>
      </c>
      <c r="X3921" s="77">
        <f>'Dropdown Lists'!$I$2*(1+OrdersTable[[#This Row],[Returned]])</f>
        <v>60</v>
      </c>
      <c r="Y3921" s="76">
        <f>OrdersTable[[#This Row],[Net Revenue]]-OrdersTable[[#This Row],[COGS]]-OrdersTable[[#This Row],[Shipping Cost]]</f>
        <v>299.10000000000002</v>
      </c>
      <c r="Z3921" s="78">
        <f>IFERROR(OrdersTable[[#This Row],[Profit]]/OrdersTable[[#This Row],[Net Revenue]],0)</f>
        <v>0.5548135781858653</v>
      </c>
      <c r="AA3921" t="s">
        <v>18</v>
      </c>
      <c r="AB3921" s="79">
        <v>45922</v>
      </c>
      <c r="AC3921">
        <f>OrdersTable[[#This Row],[Delivery Date]]-OrdersTable[[#This Row],[Order Date]]</f>
        <v>1</v>
      </c>
      <c r="AD3921" t="str">
        <f>IF(OrdersTable[[#This Row],[Delivery Days]]&lt;=2, "Express (≤2d)", IF(OrdersTable[[#This Row],[Delivery Days]]&lt;=4, "Standard (3-4d)", "Delayed (5d+)"))</f>
        <v>Express (≤2d)</v>
      </c>
      <c r="AE3921">
        <v>5</v>
      </c>
      <c r="AF3921">
        <v>0</v>
      </c>
    </row>
    <row r="3922" spans="1:32" ht="15" x14ac:dyDescent="0.35">
      <c r="A3922" t="s">
        <v>3105</v>
      </c>
      <c r="B3922" s="1">
        <v>45922</v>
      </c>
      <c r="C3922">
        <f>YEAR(OrdersTable[[#This Row],[Order Date]])</f>
        <v>2025</v>
      </c>
      <c r="D3922" s="2">
        <f>DATE(YEAR(OrdersTable[[#This Row],[Order Date]]),MONTH(OrdersTable[[#This Row],[Order Date]]),1)</f>
        <v>45901</v>
      </c>
      <c r="E3922">
        <f>MONTH(OrdersTable[[#This Row],[Order Date]])</f>
        <v>9</v>
      </c>
      <c r="F3922" t="s">
        <v>3106</v>
      </c>
      <c r="G3922" t="str">
        <f>IF(OrdersTable[[#This Row],[Order Date]]=_xlfn.MINIFS(Order_Date, Customer_ID, OrdersTable[[#This Row],[Customer ID]]), "New", "Repeat")</f>
        <v>New</v>
      </c>
      <c r="H3922" t="s">
        <v>210</v>
      </c>
      <c r="I3922" t="str">
        <f>INDEX(State!B:B,MATCH(OrdersTable[[#This Row],[State]],State!A:A,0))</f>
        <v>JK</v>
      </c>
      <c r="J3922" t="str">
        <f>INDEX(State!C:C,MATCH(OrdersTable[[#This Row],[State Code]],State!B:B,0))</f>
        <v>North</v>
      </c>
      <c r="K3922" t="s">
        <v>415</v>
      </c>
      <c r="L3922" t="s">
        <v>23</v>
      </c>
      <c r="M3922" t="s">
        <v>24</v>
      </c>
      <c r="N3922" t="str">
        <f>INDEX(Products!B:B,MATCH(OrdersTable[[#This Row],[Product ID]],Products!A:A,0))</f>
        <v>Scented Candle Set</v>
      </c>
      <c r="O3922" t="str">
        <f>INDEX(Products!C:C,MATCH(OrdersTable[[#This Row],[Product ID]],Products!A:A,0))</f>
        <v>Home &amp; Kitchen</v>
      </c>
      <c r="P3922">
        <v>1</v>
      </c>
      <c r="Q3922" s="5">
        <v>699</v>
      </c>
      <c r="R3922" s="74">
        <v>0.2</v>
      </c>
      <c r="S3922" s="75">
        <f>OrdersTable[[#This Row],[Quantity]]*OrdersTable[[#This Row],[Unit Price]]</f>
        <v>699</v>
      </c>
      <c r="T3922" s="5">
        <f>OrdersTable[[#This Row],[Gross Sale]]*OrdersTable[[#This Row],[Discount_Clean2]]</f>
        <v>139.80000000000001</v>
      </c>
      <c r="U3922" s="5">
        <f>OrdersTable[[#This Row],[Gross Sale]]-OrdersTable[[#This Row],[Discount Amount]]</f>
        <v>559.20000000000005</v>
      </c>
      <c r="V3922" s="77">
        <f>INDEX(Products!E:E,MATCH(OrdersTable[[#This Row],[Product ID]],Products!A:A,0))</f>
        <v>245</v>
      </c>
      <c r="W3922" s="77">
        <f>OrdersTable[[#This Row],[Quantity]]*OrdersTable[[#This Row],[Unit Cost]]</f>
        <v>245</v>
      </c>
      <c r="X3922" s="77">
        <f>'Dropdown Lists'!$I$2*(1+OrdersTable[[#This Row],[Returned]])</f>
        <v>120</v>
      </c>
      <c r="Y3922" s="76">
        <f>OrdersTable[[#This Row],[Net Revenue]]-OrdersTable[[#This Row],[COGS]]-OrdersTable[[#This Row],[Shipping Cost]]</f>
        <v>194.20000000000005</v>
      </c>
      <c r="Z3922" s="78">
        <f>IFERROR(OrdersTable[[#This Row],[Profit]]/OrdersTable[[#This Row],[Net Revenue]],0)</f>
        <v>0.34728183118741063</v>
      </c>
      <c r="AA3922" t="s">
        <v>2522</v>
      </c>
      <c r="AB3922" s="79">
        <v>45925</v>
      </c>
      <c r="AC3922">
        <f>OrdersTable[[#This Row],[Delivery Date]]-OrdersTable[[#This Row],[Order Date]]</f>
        <v>3</v>
      </c>
      <c r="AD3922" t="str">
        <f>IF(OrdersTable[[#This Row],[Delivery Days]]&lt;=2, "Express (≤2d)", IF(OrdersTable[[#This Row],[Delivery Days]]&lt;=4, "Standard (3-4d)", "Delayed (5d+)"))</f>
        <v>Standard (3-4d)</v>
      </c>
      <c r="AF3922">
        <v>1</v>
      </c>
    </row>
    <row r="3923" spans="1:32" ht="15" x14ac:dyDescent="0.35">
      <c r="A3923" t="s">
        <v>2834</v>
      </c>
      <c r="B3923" s="1">
        <v>45922</v>
      </c>
      <c r="C3923">
        <f>YEAR(OrdersTable[[#This Row],[Order Date]])</f>
        <v>2025</v>
      </c>
      <c r="D3923" s="2">
        <f>DATE(YEAR(OrdersTable[[#This Row],[Order Date]]),MONTH(OrdersTable[[#This Row],[Order Date]]),1)</f>
        <v>45901</v>
      </c>
      <c r="E3923">
        <f>MONTH(OrdersTable[[#This Row],[Order Date]])</f>
        <v>9</v>
      </c>
      <c r="F3923" t="s">
        <v>2648</v>
      </c>
      <c r="G3923" t="str">
        <f>IF(OrdersTable[[#This Row],[Order Date]]=_xlfn.MINIFS(Order_Date, Customer_ID, OrdersTable[[#This Row],[Customer ID]]), "New", "Repeat")</f>
        <v>Repeat</v>
      </c>
      <c r="H3923" t="s">
        <v>158</v>
      </c>
      <c r="I3923" t="str">
        <f>INDEX(State!B:B,MATCH(OrdersTable[[#This Row],[State]],State!A:A,0))</f>
        <v>HP</v>
      </c>
      <c r="J3923" t="str">
        <f>INDEX(State!C:C,MATCH(OrdersTable[[#This Row],[State Code]],State!B:B,0))</f>
        <v>North</v>
      </c>
      <c r="K3923" t="s">
        <v>159</v>
      </c>
      <c r="L3923" t="s">
        <v>23</v>
      </c>
      <c r="M3923" t="s">
        <v>45</v>
      </c>
      <c r="N3923" t="str">
        <f>INDEX(Products!B:B,MATCH(OrdersTable[[#This Row],[Product ID]],Products!A:A,0))</f>
        <v>Argan Shampoo</v>
      </c>
      <c r="O3923" t="str">
        <f>INDEX(Products!C:C,MATCH(OrdersTable[[#This Row],[Product ID]],Products!A:A,0))</f>
        <v>Haircare</v>
      </c>
      <c r="P3923">
        <v>1</v>
      </c>
      <c r="Q3923" s="5">
        <v>449</v>
      </c>
      <c r="R3923" s="74">
        <v>0.05</v>
      </c>
      <c r="S3923" s="75">
        <f>OrdersTable[[#This Row],[Quantity]]*OrdersTable[[#This Row],[Unit Price]]</f>
        <v>449</v>
      </c>
      <c r="T3923" s="5">
        <f>OrdersTable[[#This Row],[Gross Sale]]*OrdersTable[[#This Row],[Discount_Clean2]]</f>
        <v>22.450000000000003</v>
      </c>
      <c r="U3923" s="5">
        <f>OrdersTable[[#This Row],[Gross Sale]]-OrdersTable[[#This Row],[Discount Amount]]</f>
        <v>426.55</v>
      </c>
      <c r="V3923" s="77">
        <f>INDEX(Products!E:E,MATCH(OrdersTable[[#This Row],[Product ID]],Products!A:A,0))</f>
        <v>148</v>
      </c>
      <c r="W3923" s="77">
        <f>OrdersTable[[#This Row],[Quantity]]*OrdersTable[[#This Row],[Unit Cost]]</f>
        <v>148</v>
      </c>
      <c r="X3923" s="77">
        <f>'Dropdown Lists'!$I$2*(1+OrdersTable[[#This Row],[Returned]])</f>
        <v>60</v>
      </c>
      <c r="Y3923" s="76">
        <f>OrdersTable[[#This Row],[Net Revenue]]-OrdersTable[[#This Row],[COGS]]-OrdersTable[[#This Row],[Shipping Cost]]</f>
        <v>218.55</v>
      </c>
      <c r="Z3923" s="78">
        <f>IFERROR(OrdersTable[[#This Row],[Profit]]/OrdersTable[[#This Row],[Net Revenue]],0)</f>
        <v>0.51236666275934828</v>
      </c>
      <c r="AA3923" t="s">
        <v>2522</v>
      </c>
      <c r="AB3923" s="79">
        <v>45928</v>
      </c>
      <c r="AC3923">
        <f>OrdersTable[[#This Row],[Delivery Date]]-OrdersTable[[#This Row],[Order Date]]</f>
        <v>6</v>
      </c>
      <c r="AD3923" t="str">
        <f>IF(OrdersTable[[#This Row],[Delivery Days]]&lt;=2, "Express (≤2d)", IF(OrdersTable[[#This Row],[Delivery Days]]&lt;=4, "Standard (3-4d)", "Delayed (5d+)"))</f>
        <v>Delayed (5d+)</v>
      </c>
      <c r="AE3923">
        <v>3</v>
      </c>
      <c r="AF3923">
        <v>0</v>
      </c>
    </row>
    <row r="3924" spans="1:32" ht="15" x14ac:dyDescent="0.35">
      <c r="A3924" t="s">
        <v>670</v>
      </c>
      <c r="B3924" s="1">
        <v>45922</v>
      </c>
      <c r="C3924">
        <f>YEAR(OrdersTable[[#This Row],[Order Date]])</f>
        <v>2025</v>
      </c>
      <c r="D3924" s="2">
        <f>DATE(YEAR(OrdersTable[[#This Row],[Order Date]]),MONTH(OrdersTable[[#This Row],[Order Date]]),1)</f>
        <v>45901</v>
      </c>
      <c r="E3924">
        <f>MONTH(OrdersTable[[#This Row],[Order Date]])</f>
        <v>9</v>
      </c>
      <c r="F3924" t="s">
        <v>671</v>
      </c>
      <c r="G3924" t="str">
        <f>IF(OrdersTable[[#This Row],[Order Date]]=_xlfn.MINIFS(Order_Date, Customer_ID, OrdersTable[[#This Row],[Customer ID]]), "New", "Repeat")</f>
        <v>Repeat</v>
      </c>
      <c r="H3924" t="s">
        <v>128</v>
      </c>
      <c r="I3924" t="str">
        <f>INDEX(State!B:B,MATCH(OrdersTable[[#This Row],[State]],State!A:A,0))</f>
        <v>DL</v>
      </c>
      <c r="J3924" t="str">
        <f>INDEX(State!C:C,MATCH(OrdersTable[[#This Row],[State Code]],State!B:B,0))</f>
        <v>North</v>
      </c>
      <c r="K3924" t="s">
        <v>129</v>
      </c>
      <c r="L3924" t="s">
        <v>65</v>
      </c>
      <c r="M3924" t="s">
        <v>84</v>
      </c>
      <c r="N3924" t="str">
        <f>INDEX(Products!B:B,MATCH(OrdersTable[[#This Row],[Product ID]],Products!A:A,0))</f>
        <v>Cotton Bedsheet</v>
      </c>
      <c r="O3924" t="str">
        <f>INDEX(Products!C:C,MATCH(OrdersTable[[#This Row],[Product ID]],Products!A:A,0))</f>
        <v>Home &amp; Kitchen</v>
      </c>
      <c r="P3924">
        <v>1</v>
      </c>
      <c r="Q3924" s="5">
        <v>1299</v>
      </c>
      <c r="R3924" s="74">
        <v>0.05</v>
      </c>
      <c r="S3924" s="75">
        <f>OrdersTable[[#This Row],[Quantity]]*OrdersTable[[#This Row],[Unit Price]]</f>
        <v>1299</v>
      </c>
      <c r="T3924" s="5">
        <f>OrdersTable[[#This Row],[Gross Sale]]*OrdersTable[[#This Row],[Discount_Clean2]]</f>
        <v>64.95</v>
      </c>
      <c r="U3924" s="5">
        <f>OrdersTable[[#This Row],[Gross Sale]]-OrdersTable[[#This Row],[Discount Amount]]</f>
        <v>1234.05</v>
      </c>
      <c r="V3924" s="77">
        <f>INDEX(Products!E:E,MATCH(OrdersTable[[#This Row],[Product ID]],Products!A:A,0))</f>
        <v>585</v>
      </c>
      <c r="W3924" s="77">
        <f>OrdersTable[[#This Row],[Quantity]]*OrdersTable[[#This Row],[Unit Cost]]</f>
        <v>585</v>
      </c>
      <c r="X3924" s="77">
        <f>'Dropdown Lists'!$I$2*(1+OrdersTable[[#This Row],[Returned]])</f>
        <v>60</v>
      </c>
      <c r="Y3924" s="76">
        <f>OrdersTable[[#This Row],[Net Revenue]]-OrdersTable[[#This Row],[COGS]]-OrdersTable[[#This Row],[Shipping Cost]]</f>
        <v>589.04999999999995</v>
      </c>
      <c r="Z3924" s="78">
        <f>IFERROR(OrdersTable[[#This Row],[Profit]]/OrdersTable[[#This Row],[Net Revenue]],0)</f>
        <v>0.47733074024553296</v>
      </c>
      <c r="AA3924" t="s">
        <v>18</v>
      </c>
      <c r="AB3924" s="79">
        <v>45924</v>
      </c>
      <c r="AC3924">
        <f>OrdersTable[[#This Row],[Delivery Date]]-OrdersTable[[#This Row],[Order Date]]</f>
        <v>2</v>
      </c>
      <c r="AD3924" t="str">
        <f>IF(OrdersTable[[#This Row],[Delivery Days]]&lt;=2, "Express (≤2d)", IF(OrdersTable[[#This Row],[Delivery Days]]&lt;=4, "Standard (3-4d)", "Delayed (5d+)"))</f>
        <v>Express (≤2d)</v>
      </c>
      <c r="AE3924">
        <v>4</v>
      </c>
      <c r="AF3924">
        <v>0</v>
      </c>
    </row>
    <row r="3925" spans="1:32" ht="15" x14ac:dyDescent="0.35">
      <c r="A3925" t="s">
        <v>3341</v>
      </c>
      <c r="B3925" s="1">
        <v>45922</v>
      </c>
      <c r="C3925">
        <f>YEAR(OrdersTable[[#This Row],[Order Date]])</f>
        <v>2025</v>
      </c>
      <c r="D3925" s="2">
        <f>DATE(YEAR(OrdersTable[[#This Row],[Order Date]]),MONTH(OrdersTable[[#This Row],[Order Date]]),1)</f>
        <v>45901</v>
      </c>
      <c r="E3925">
        <f>MONTH(OrdersTable[[#This Row],[Order Date]])</f>
        <v>9</v>
      </c>
      <c r="F3925" t="s">
        <v>1374</v>
      </c>
      <c r="G3925" t="str">
        <f>IF(OrdersTable[[#This Row],[Order Date]]=_xlfn.MINIFS(Order_Date, Customer_ID, OrdersTable[[#This Row],[Customer ID]]), "New", "Repeat")</f>
        <v>Repeat</v>
      </c>
      <c r="H3925" t="s">
        <v>128</v>
      </c>
      <c r="I3925" t="str">
        <f>INDEX(State!B:B,MATCH(OrdersTable[[#This Row],[State]],State!A:A,0))</f>
        <v>DL</v>
      </c>
      <c r="J3925" t="str">
        <f>INDEX(State!C:C,MATCH(OrdersTable[[#This Row],[State Code]],State!B:B,0))</f>
        <v>North</v>
      </c>
      <c r="K3925" t="s">
        <v>129</v>
      </c>
      <c r="L3925" t="s">
        <v>39</v>
      </c>
      <c r="M3925" t="s">
        <v>51</v>
      </c>
      <c r="N3925" t="str">
        <f>INDEX(Products!B:B,MATCH(OrdersTable[[#This Row],[Product ID]],Products!A:A,0))</f>
        <v>Anti-Dandruff Conditioner</v>
      </c>
      <c r="O3925" t="str">
        <f>INDEX(Products!C:C,MATCH(OrdersTable[[#This Row],[Product ID]],Products!A:A,0))</f>
        <v>Haircare</v>
      </c>
      <c r="P3925">
        <v>1</v>
      </c>
      <c r="Q3925" s="5">
        <v>399</v>
      </c>
      <c r="R3925" s="74">
        <v>0.35</v>
      </c>
      <c r="S3925" s="75">
        <f>OrdersTable[[#This Row],[Quantity]]*OrdersTable[[#This Row],[Unit Price]]</f>
        <v>399</v>
      </c>
      <c r="T3925" s="5">
        <f>OrdersTable[[#This Row],[Gross Sale]]*OrdersTable[[#This Row],[Discount_Clean2]]</f>
        <v>139.64999999999998</v>
      </c>
      <c r="U3925" s="5">
        <f>OrdersTable[[#This Row],[Gross Sale]]-OrdersTable[[#This Row],[Discount Amount]]</f>
        <v>259.35000000000002</v>
      </c>
      <c r="V3925" s="77">
        <f>INDEX(Products!E:E,MATCH(OrdersTable[[#This Row],[Product ID]],Products!A:A,0))</f>
        <v>136</v>
      </c>
      <c r="W3925" s="77">
        <f>OrdersTable[[#This Row],[Quantity]]*OrdersTable[[#This Row],[Unit Cost]]</f>
        <v>136</v>
      </c>
      <c r="X3925" s="77">
        <f>'Dropdown Lists'!$I$2*(1+OrdersTable[[#This Row],[Returned]])</f>
        <v>60</v>
      </c>
      <c r="Y3925" s="76">
        <f>OrdersTable[[#This Row],[Net Revenue]]-OrdersTable[[#This Row],[COGS]]-OrdersTable[[#This Row],[Shipping Cost]]</f>
        <v>63.350000000000023</v>
      </c>
      <c r="Z3925" s="78">
        <f>IFERROR(OrdersTable[[#This Row],[Profit]]/OrdersTable[[#This Row],[Net Revenue]],0)</f>
        <v>0.24426450742240222</v>
      </c>
      <c r="AA3925" t="s">
        <v>2522</v>
      </c>
      <c r="AB3925" s="79">
        <v>45924</v>
      </c>
      <c r="AC3925">
        <f>OrdersTable[[#This Row],[Delivery Date]]-OrdersTable[[#This Row],[Order Date]]</f>
        <v>2</v>
      </c>
      <c r="AD3925" t="str">
        <f>IF(OrdersTable[[#This Row],[Delivery Days]]&lt;=2, "Express (≤2d)", IF(OrdersTable[[#This Row],[Delivery Days]]&lt;=4, "Standard (3-4d)", "Delayed (5d+)"))</f>
        <v>Express (≤2d)</v>
      </c>
      <c r="AE3925">
        <v>4</v>
      </c>
      <c r="AF3925">
        <v>0</v>
      </c>
    </row>
    <row r="3926" spans="1:32" ht="15" x14ac:dyDescent="0.35">
      <c r="A3926" t="s">
        <v>3928</v>
      </c>
      <c r="B3926" s="1">
        <v>45922</v>
      </c>
      <c r="C3926">
        <f>YEAR(OrdersTable[[#This Row],[Order Date]])</f>
        <v>2025</v>
      </c>
      <c r="D3926" s="2">
        <f>DATE(YEAR(OrdersTable[[#This Row],[Order Date]]),MONTH(OrdersTable[[#This Row],[Order Date]]),1)</f>
        <v>45901</v>
      </c>
      <c r="E3926">
        <f>MONTH(OrdersTable[[#This Row],[Order Date]])</f>
        <v>9</v>
      </c>
      <c r="F3926" t="s">
        <v>3929</v>
      </c>
      <c r="G3926" t="str">
        <f>IF(OrdersTable[[#This Row],[Order Date]]=_xlfn.MINIFS(Order_Date, Customer_ID, OrdersTable[[#This Row],[Customer ID]]), "New", "Repeat")</f>
        <v>Repeat</v>
      </c>
      <c r="H3926" t="s">
        <v>76</v>
      </c>
      <c r="I3926" t="str">
        <f>INDEX(State!B:B,MATCH(OrdersTable[[#This Row],[State]],State!A:A,0))</f>
        <v>UP</v>
      </c>
      <c r="J3926" t="str">
        <f>INDEX(State!C:C,MATCH(OrdersTable[[#This Row],[State Code]],State!B:B,0))</f>
        <v>North</v>
      </c>
      <c r="K3926" t="s">
        <v>105</v>
      </c>
      <c r="L3926" t="s">
        <v>16</v>
      </c>
      <c r="M3926" t="s">
        <v>92</v>
      </c>
      <c r="N3926" t="str">
        <f>INDEX(Products!B:B,MATCH(OrdersTable[[#This Row],[Product ID]],Products!A:A,0))</f>
        <v>Kolhapuri Sandals</v>
      </c>
      <c r="O3926" t="str">
        <f>INDEX(Products!C:C,MATCH(OrdersTable[[#This Row],[Product ID]],Products!A:A,0))</f>
        <v>Footwear</v>
      </c>
      <c r="P3926">
        <v>1</v>
      </c>
      <c r="Q3926" s="5">
        <v>999</v>
      </c>
      <c r="R3926" s="74">
        <v>0.05</v>
      </c>
      <c r="S3926" s="75">
        <f>OrdersTable[[#This Row],[Quantity]]*OrdersTable[[#This Row],[Unit Price]]</f>
        <v>999</v>
      </c>
      <c r="T3926" s="5">
        <f>OrdersTable[[#This Row],[Gross Sale]]*OrdersTable[[#This Row],[Discount_Clean2]]</f>
        <v>49.95</v>
      </c>
      <c r="U3926" s="5">
        <f>OrdersTable[[#This Row],[Gross Sale]]-OrdersTable[[#This Row],[Discount Amount]]</f>
        <v>949.05</v>
      </c>
      <c r="V3926" s="77">
        <f>INDEX(Products!E:E,MATCH(OrdersTable[[#This Row],[Product ID]],Products!A:A,0))</f>
        <v>400</v>
      </c>
      <c r="W3926" s="77">
        <f>OrdersTable[[#This Row],[Quantity]]*OrdersTable[[#This Row],[Unit Cost]]</f>
        <v>400</v>
      </c>
      <c r="X3926" s="77">
        <f>'Dropdown Lists'!$I$2*(1+OrdersTable[[#This Row],[Returned]])</f>
        <v>60</v>
      </c>
      <c r="Y3926" s="76">
        <f>OrdersTable[[#This Row],[Net Revenue]]-OrdersTable[[#This Row],[COGS]]-OrdersTable[[#This Row],[Shipping Cost]]</f>
        <v>489.04999999999995</v>
      </c>
      <c r="Z3926" s="78">
        <f>IFERROR(OrdersTable[[#This Row],[Profit]]/OrdersTable[[#This Row],[Net Revenue]],0)</f>
        <v>0.5153047784626732</v>
      </c>
      <c r="AA3926" t="s">
        <v>3495</v>
      </c>
      <c r="AB3926" s="79">
        <v>45926</v>
      </c>
      <c r="AC3926">
        <f>OrdersTable[[#This Row],[Delivery Date]]-OrdersTable[[#This Row],[Order Date]]</f>
        <v>4</v>
      </c>
      <c r="AD3926" t="str">
        <f>IF(OrdersTable[[#This Row],[Delivery Days]]&lt;=2, "Express (≤2d)", IF(OrdersTable[[#This Row],[Delivery Days]]&lt;=4, "Standard (3-4d)", "Delayed (5d+)"))</f>
        <v>Standard (3-4d)</v>
      </c>
      <c r="AE3926">
        <v>3</v>
      </c>
      <c r="AF3926">
        <v>0</v>
      </c>
    </row>
    <row r="3927" spans="1:32" ht="15" x14ac:dyDescent="0.35">
      <c r="A3927" t="s">
        <v>1189</v>
      </c>
      <c r="B3927" s="1">
        <v>45922</v>
      </c>
      <c r="C3927">
        <f>YEAR(OrdersTable[[#This Row],[Order Date]])</f>
        <v>2025</v>
      </c>
      <c r="D3927" s="2">
        <f>DATE(YEAR(OrdersTable[[#This Row],[Order Date]]),MONTH(OrdersTable[[#This Row],[Order Date]]),1)</f>
        <v>45901</v>
      </c>
      <c r="E3927">
        <f>MONTH(OrdersTable[[#This Row],[Order Date]])</f>
        <v>9</v>
      </c>
      <c r="F3927" t="s">
        <v>1190</v>
      </c>
      <c r="G3927" t="str">
        <f>IF(OrdersTable[[#This Row],[Order Date]]=_xlfn.MINIFS(Order_Date, Customer_ID, OrdersTable[[#This Row],[Customer ID]]), "New", "Repeat")</f>
        <v>Repeat</v>
      </c>
      <c r="H3927" t="s">
        <v>37</v>
      </c>
      <c r="I3927" t="str">
        <f>INDEX(State!B:B,MATCH(OrdersTable[[#This Row],[State]],State!A:A,0))</f>
        <v>GJ</v>
      </c>
      <c r="J3927" t="str">
        <f>INDEX(State!C:C,MATCH(OrdersTable[[#This Row],[State Code]],State!B:B,0))</f>
        <v>West</v>
      </c>
      <c r="K3927" t="s">
        <v>247</v>
      </c>
      <c r="L3927" t="s">
        <v>50</v>
      </c>
      <c r="M3927" t="s">
        <v>40</v>
      </c>
      <c r="N3927" t="str">
        <f>INDEX(Products!B:B,MATCH(OrdersTable[[#This Row],[Product ID]],Products!A:A,0))</f>
        <v>Ashwagandha Capsules</v>
      </c>
      <c r="O3927" t="str">
        <f>INDEX(Products!C:C,MATCH(OrdersTable[[#This Row],[Product ID]],Products!A:A,0))</f>
        <v>Wellness</v>
      </c>
      <c r="P3927">
        <v>1</v>
      </c>
      <c r="Q3927" s="5">
        <v>499</v>
      </c>
      <c r="R3927" s="74">
        <v>0.1</v>
      </c>
      <c r="S3927" s="75">
        <f>OrdersTable[[#This Row],[Quantity]]*OrdersTable[[#This Row],[Unit Price]]</f>
        <v>499</v>
      </c>
      <c r="T3927" s="5">
        <f>OrdersTable[[#This Row],[Gross Sale]]*OrdersTable[[#This Row],[Discount_Clean2]]</f>
        <v>49.900000000000006</v>
      </c>
      <c r="U3927" s="5">
        <f>OrdersTable[[#This Row],[Gross Sale]]-OrdersTable[[#This Row],[Discount Amount]]</f>
        <v>449.1</v>
      </c>
      <c r="V3927" s="77">
        <f>INDEX(Products!E:E,MATCH(OrdersTable[[#This Row],[Product ID]],Products!A:A,0))</f>
        <v>150</v>
      </c>
      <c r="W3927" s="77">
        <f>OrdersTable[[#This Row],[Quantity]]*OrdersTable[[#This Row],[Unit Cost]]</f>
        <v>150</v>
      </c>
      <c r="X3927" s="77">
        <f>'Dropdown Lists'!$I$2*(1+OrdersTable[[#This Row],[Returned]])</f>
        <v>60</v>
      </c>
      <c r="Y3927" s="76">
        <f>OrdersTable[[#This Row],[Net Revenue]]-OrdersTable[[#This Row],[COGS]]-OrdersTable[[#This Row],[Shipping Cost]]</f>
        <v>239.10000000000002</v>
      </c>
      <c r="Z3927" s="78">
        <f>IFERROR(OrdersTable[[#This Row],[Profit]]/OrdersTable[[#This Row],[Net Revenue]],0)</f>
        <v>0.53239812959251842</v>
      </c>
      <c r="AA3927" t="s">
        <v>18</v>
      </c>
      <c r="AB3927" s="79">
        <v>45925</v>
      </c>
      <c r="AC3927">
        <f>OrdersTable[[#This Row],[Delivery Date]]-OrdersTable[[#This Row],[Order Date]]</f>
        <v>3</v>
      </c>
      <c r="AD3927" t="str">
        <f>IF(OrdersTable[[#This Row],[Delivery Days]]&lt;=2, "Express (≤2d)", IF(OrdersTable[[#This Row],[Delivery Days]]&lt;=4, "Standard (3-4d)", "Delayed (5d+)"))</f>
        <v>Standard (3-4d)</v>
      </c>
      <c r="AF3927">
        <v>0</v>
      </c>
    </row>
    <row r="3928" spans="1:32" ht="15" x14ac:dyDescent="0.35">
      <c r="A3928" t="s">
        <v>3801</v>
      </c>
      <c r="B3928" s="1">
        <v>45922</v>
      </c>
      <c r="C3928">
        <f>YEAR(OrdersTable[[#This Row],[Order Date]])</f>
        <v>2025</v>
      </c>
      <c r="D3928" s="2">
        <f>DATE(YEAR(OrdersTable[[#This Row],[Order Date]]),MONTH(OrdersTable[[#This Row],[Order Date]]),1)</f>
        <v>45901</v>
      </c>
      <c r="E3928">
        <f>MONTH(OrdersTable[[#This Row],[Order Date]])</f>
        <v>9</v>
      </c>
      <c r="F3928" t="s">
        <v>3802</v>
      </c>
      <c r="G3928" t="str">
        <f>IF(OrdersTable[[#This Row],[Order Date]]=_xlfn.MINIFS(Order_Date, Customer_ID, OrdersTable[[#This Row],[Customer ID]]), "New", "Repeat")</f>
        <v>Repeat</v>
      </c>
      <c r="H3928" t="s">
        <v>167</v>
      </c>
      <c r="I3928" t="str">
        <f>INDEX(State!B:B,MATCH(OrdersTable[[#This Row],[State]],State!A:A,0))</f>
        <v>KA</v>
      </c>
      <c r="J3928" t="str">
        <f>INDEX(State!C:C,MATCH(OrdersTable[[#This Row],[State Code]],State!B:B,0))</f>
        <v>South</v>
      </c>
      <c r="K3928" t="s">
        <v>168</v>
      </c>
      <c r="L3928" t="s">
        <v>16</v>
      </c>
      <c r="M3928" t="s">
        <v>34</v>
      </c>
      <c r="N3928" t="str">
        <f>INDEX(Products!B:B,MATCH(OrdersTable[[#This Row],[Product ID]],Products!A:A,0))</f>
        <v>Flip Flops</v>
      </c>
      <c r="O3928" t="str">
        <f>INDEX(Products!C:C,MATCH(OrdersTable[[#This Row],[Product ID]],Products!A:A,0))</f>
        <v>Footwear</v>
      </c>
      <c r="P3928">
        <v>1</v>
      </c>
      <c r="Q3928" s="5">
        <v>399</v>
      </c>
      <c r="R3928" s="74">
        <v>0.05</v>
      </c>
      <c r="S3928" s="75">
        <f>OrdersTable[[#This Row],[Quantity]]*OrdersTable[[#This Row],[Unit Price]]</f>
        <v>399</v>
      </c>
      <c r="T3928" s="5">
        <f>OrdersTable[[#This Row],[Gross Sale]]*OrdersTable[[#This Row],[Discount_Clean2]]</f>
        <v>19.950000000000003</v>
      </c>
      <c r="U3928" s="5">
        <f>OrdersTable[[#This Row],[Gross Sale]]-OrdersTable[[#This Row],[Discount Amount]]</f>
        <v>379.05</v>
      </c>
      <c r="V3928" s="77">
        <f>INDEX(Products!E:E,MATCH(OrdersTable[[#This Row],[Product ID]],Products!A:A,0))</f>
        <v>152</v>
      </c>
      <c r="W3928" s="77">
        <f>OrdersTable[[#This Row],[Quantity]]*OrdersTable[[#This Row],[Unit Cost]]</f>
        <v>152</v>
      </c>
      <c r="X3928" s="77">
        <f>'Dropdown Lists'!$I$2*(1+OrdersTable[[#This Row],[Returned]])</f>
        <v>60</v>
      </c>
      <c r="Y3928" s="76">
        <f>OrdersTable[[#This Row],[Net Revenue]]-OrdersTable[[#This Row],[COGS]]-OrdersTable[[#This Row],[Shipping Cost]]</f>
        <v>167.05</v>
      </c>
      <c r="Z3928" s="78">
        <f>IFERROR(OrdersTable[[#This Row],[Profit]]/OrdersTable[[#This Row],[Net Revenue]],0)</f>
        <v>0.44070703073473161</v>
      </c>
      <c r="AA3928" t="s">
        <v>3495</v>
      </c>
      <c r="AB3928" s="79">
        <v>45923</v>
      </c>
      <c r="AC3928">
        <f>OrdersTable[[#This Row],[Delivery Date]]-OrdersTable[[#This Row],[Order Date]]</f>
        <v>1</v>
      </c>
      <c r="AD3928" t="str">
        <f>IF(OrdersTable[[#This Row],[Delivery Days]]&lt;=2, "Express (≤2d)", IF(OrdersTable[[#This Row],[Delivery Days]]&lt;=4, "Standard (3-4d)", "Delayed (5d+)"))</f>
        <v>Express (≤2d)</v>
      </c>
      <c r="AF3928">
        <v>0</v>
      </c>
    </row>
    <row r="3929" spans="1:32" ht="15" x14ac:dyDescent="0.35">
      <c r="A3929" t="s">
        <v>3342</v>
      </c>
      <c r="B3929" s="1">
        <v>45923</v>
      </c>
      <c r="C3929">
        <f>YEAR(OrdersTable[[#This Row],[Order Date]])</f>
        <v>2025</v>
      </c>
      <c r="D3929" s="2">
        <f>DATE(YEAR(OrdersTable[[#This Row],[Order Date]]),MONTH(OrdersTable[[#This Row],[Order Date]]),1)</f>
        <v>45901</v>
      </c>
      <c r="E3929">
        <f>MONTH(OrdersTable[[#This Row],[Order Date]])</f>
        <v>9</v>
      </c>
      <c r="F3929" t="s">
        <v>3343</v>
      </c>
      <c r="G3929" t="str">
        <f>IF(OrdersTable[[#This Row],[Order Date]]=_xlfn.MINIFS(Order_Date, Customer_ID, OrdersTable[[#This Row],[Customer ID]]), "New", "Repeat")</f>
        <v>Repeat</v>
      </c>
      <c r="H3929" t="s">
        <v>128</v>
      </c>
      <c r="I3929" t="str">
        <f>INDEX(State!B:B,MATCH(OrdersTable[[#This Row],[State]],State!A:A,0))</f>
        <v>DL</v>
      </c>
      <c r="J3929" t="str">
        <f>INDEX(State!C:C,MATCH(OrdersTable[[#This Row],[State Code]],State!B:B,0))</f>
        <v>North</v>
      </c>
      <c r="K3929" t="s">
        <v>129</v>
      </c>
      <c r="L3929" t="s">
        <v>23</v>
      </c>
      <c r="M3929" t="s">
        <v>176</v>
      </c>
      <c r="N3929" t="str">
        <f>INDEX(Products!B:B,MATCH(OrdersTable[[#This Row],[Product ID]],Products!A:A,0))</f>
        <v>Denim Jacket</v>
      </c>
      <c r="O3929" t="str">
        <f>INDEX(Products!C:C,MATCH(OrdersTable[[#This Row],[Product ID]],Products!A:A,0))</f>
        <v>Apparel</v>
      </c>
      <c r="P3929">
        <v>1</v>
      </c>
      <c r="Q3929" s="5">
        <v>2499</v>
      </c>
      <c r="R3929" s="74">
        <v>0</v>
      </c>
      <c r="S3929" s="75">
        <f>OrdersTable[[#This Row],[Quantity]]*OrdersTable[[#This Row],[Unit Price]]</f>
        <v>2499</v>
      </c>
      <c r="T3929" s="5">
        <f>OrdersTable[[#This Row],[Gross Sale]]*OrdersTable[[#This Row],[Discount_Clean2]]</f>
        <v>0</v>
      </c>
      <c r="U3929" s="5">
        <f>OrdersTable[[#This Row],[Gross Sale]]-OrdersTable[[#This Row],[Discount Amount]]</f>
        <v>2499</v>
      </c>
      <c r="V3929" s="77">
        <f>INDEX(Products!E:E,MATCH(OrdersTable[[#This Row],[Product ID]],Products!A:A,0))</f>
        <v>1125</v>
      </c>
      <c r="W3929" s="77">
        <f>OrdersTable[[#This Row],[Quantity]]*OrdersTable[[#This Row],[Unit Cost]]</f>
        <v>1125</v>
      </c>
      <c r="X3929" s="77">
        <f>'Dropdown Lists'!$I$2*(1+OrdersTable[[#This Row],[Returned]])</f>
        <v>60</v>
      </c>
      <c r="Y3929" s="76">
        <f>OrdersTable[[#This Row],[Net Revenue]]-OrdersTable[[#This Row],[COGS]]-OrdersTable[[#This Row],[Shipping Cost]]</f>
        <v>1314</v>
      </c>
      <c r="Z3929" s="78">
        <f>IFERROR(OrdersTable[[#This Row],[Profit]]/OrdersTable[[#This Row],[Net Revenue]],0)</f>
        <v>0.5258103241296519</v>
      </c>
      <c r="AA3929" t="s">
        <v>2522</v>
      </c>
      <c r="AB3929" s="79">
        <v>45926</v>
      </c>
      <c r="AC3929">
        <f>OrdersTable[[#This Row],[Delivery Date]]-OrdersTable[[#This Row],[Order Date]]</f>
        <v>3</v>
      </c>
      <c r="AD3929" t="str">
        <f>IF(OrdersTable[[#This Row],[Delivery Days]]&lt;=2, "Express (≤2d)", IF(OrdersTable[[#This Row],[Delivery Days]]&lt;=4, "Standard (3-4d)", "Delayed (5d+)"))</f>
        <v>Standard (3-4d)</v>
      </c>
      <c r="AE3929">
        <v>4</v>
      </c>
      <c r="AF3929">
        <v>0</v>
      </c>
    </row>
    <row r="3930" spans="1:32" ht="15" x14ac:dyDescent="0.35">
      <c r="A3930" t="s">
        <v>4050</v>
      </c>
      <c r="B3930" s="1">
        <v>45923</v>
      </c>
      <c r="C3930">
        <f>YEAR(OrdersTable[[#This Row],[Order Date]])</f>
        <v>2025</v>
      </c>
      <c r="D3930" s="2">
        <f>DATE(YEAR(OrdersTable[[#This Row],[Order Date]]),MONTH(OrdersTable[[#This Row],[Order Date]]),1)</f>
        <v>45901</v>
      </c>
      <c r="E3930">
        <f>MONTH(OrdersTable[[#This Row],[Order Date]])</f>
        <v>9</v>
      </c>
      <c r="F3930" t="s">
        <v>4051</v>
      </c>
      <c r="G3930" t="str">
        <f>IF(OrdersTable[[#This Row],[Order Date]]=_xlfn.MINIFS(Order_Date, Customer_ID, OrdersTable[[#This Row],[Customer ID]]), "New", "Repeat")</f>
        <v>New</v>
      </c>
      <c r="H3930" t="s">
        <v>76</v>
      </c>
      <c r="I3930" t="str">
        <f>INDEX(State!B:B,MATCH(OrdersTable[[#This Row],[State]],State!A:A,0))</f>
        <v>UP</v>
      </c>
      <c r="J3930" t="str">
        <f>INDEX(State!C:C,MATCH(OrdersTable[[#This Row],[State Code]],State!B:B,0))</f>
        <v>North</v>
      </c>
      <c r="K3930" t="s">
        <v>105</v>
      </c>
      <c r="L3930" t="s">
        <v>65</v>
      </c>
      <c r="M3930" t="s">
        <v>176</v>
      </c>
      <c r="N3930" t="str">
        <f>INDEX(Products!B:B,MATCH(OrdersTable[[#This Row],[Product ID]],Products!A:A,0))</f>
        <v>Denim Jacket</v>
      </c>
      <c r="O3930" t="str">
        <f>INDEX(Products!C:C,MATCH(OrdersTable[[#This Row],[Product ID]],Products!A:A,0))</f>
        <v>Apparel</v>
      </c>
      <c r="P3930">
        <v>1</v>
      </c>
      <c r="Q3930" s="5">
        <v>2499</v>
      </c>
      <c r="R3930" s="74">
        <v>0</v>
      </c>
      <c r="S3930" s="75">
        <f>OrdersTable[[#This Row],[Quantity]]*OrdersTable[[#This Row],[Unit Price]]</f>
        <v>2499</v>
      </c>
      <c r="T3930" s="5">
        <f>OrdersTable[[#This Row],[Gross Sale]]*OrdersTable[[#This Row],[Discount_Clean2]]</f>
        <v>0</v>
      </c>
      <c r="U3930" s="5">
        <f>OrdersTable[[#This Row],[Gross Sale]]-OrdersTable[[#This Row],[Discount Amount]]</f>
        <v>2499</v>
      </c>
      <c r="V3930" s="77">
        <f>INDEX(Products!E:E,MATCH(OrdersTable[[#This Row],[Product ID]],Products!A:A,0))</f>
        <v>1125</v>
      </c>
      <c r="W3930" s="77">
        <f>OrdersTable[[#This Row],[Quantity]]*OrdersTable[[#This Row],[Unit Cost]]</f>
        <v>1125</v>
      </c>
      <c r="X3930" s="77">
        <f>'Dropdown Lists'!$I$2*(1+OrdersTable[[#This Row],[Returned]])</f>
        <v>60</v>
      </c>
      <c r="Y3930" s="76">
        <f>OrdersTable[[#This Row],[Net Revenue]]-OrdersTable[[#This Row],[COGS]]-OrdersTable[[#This Row],[Shipping Cost]]</f>
        <v>1314</v>
      </c>
      <c r="Z3930" s="78">
        <f>IFERROR(OrdersTable[[#This Row],[Profit]]/OrdersTable[[#This Row],[Net Revenue]],0)</f>
        <v>0.5258103241296519</v>
      </c>
      <c r="AA3930" t="s">
        <v>3495</v>
      </c>
      <c r="AB3930" s="79">
        <v>45924</v>
      </c>
      <c r="AC3930">
        <f>OrdersTable[[#This Row],[Delivery Date]]-OrdersTable[[#This Row],[Order Date]]</f>
        <v>1</v>
      </c>
      <c r="AD3930" t="str">
        <f>IF(OrdersTable[[#This Row],[Delivery Days]]&lt;=2, "Express (≤2d)", IF(OrdersTable[[#This Row],[Delivery Days]]&lt;=4, "Standard (3-4d)", "Delayed (5d+)"))</f>
        <v>Express (≤2d)</v>
      </c>
      <c r="AE3930">
        <v>5</v>
      </c>
      <c r="AF3930">
        <v>0</v>
      </c>
    </row>
    <row r="3931" spans="1:32" ht="15" x14ac:dyDescent="0.35">
      <c r="A3931" t="s">
        <v>863</v>
      </c>
      <c r="B3931" s="1">
        <v>45923</v>
      </c>
      <c r="C3931">
        <f>YEAR(OrdersTable[[#This Row],[Order Date]])</f>
        <v>2025</v>
      </c>
      <c r="D3931" s="2">
        <f>DATE(YEAR(OrdersTable[[#This Row],[Order Date]]),MONTH(OrdersTable[[#This Row],[Order Date]]),1)</f>
        <v>45901</v>
      </c>
      <c r="E3931">
        <f>MONTH(OrdersTable[[#This Row],[Order Date]])</f>
        <v>9</v>
      </c>
      <c r="F3931" t="s">
        <v>864</v>
      </c>
      <c r="G3931" t="str">
        <f>IF(OrdersTable[[#This Row],[Order Date]]=_xlfn.MINIFS(Order_Date, Customer_ID, OrdersTable[[#This Row],[Customer ID]]), "New", "Repeat")</f>
        <v>Repeat</v>
      </c>
      <c r="H3931" t="s">
        <v>76</v>
      </c>
      <c r="I3931" t="str">
        <f>INDEX(State!B:B,MATCH(OrdersTable[[#This Row],[State]],State!A:A,0))</f>
        <v>UP</v>
      </c>
      <c r="J3931" t="str">
        <f>INDEX(State!C:C,MATCH(OrdersTable[[#This Row],[State Code]],State!B:B,0))</f>
        <v>North</v>
      </c>
      <c r="K3931" t="s">
        <v>77</v>
      </c>
      <c r="L3931" t="s">
        <v>23</v>
      </c>
      <c r="M3931" t="s">
        <v>61</v>
      </c>
      <c r="N3931" t="str">
        <f>INDEX(Products!B:B,MATCH(OrdersTable[[#This Row],[Product ID]],Products!A:A,0))</f>
        <v>Multivitamin Gummies</v>
      </c>
      <c r="O3931" t="str">
        <f>INDEX(Products!C:C,MATCH(OrdersTable[[#This Row],[Product ID]],Products!A:A,0))</f>
        <v>Wellness</v>
      </c>
      <c r="P3931">
        <v>1</v>
      </c>
      <c r="Q3931" s="5">
        <v>699</v>
      </c>
      <c r="R3931" s="74">
        <v>0.3</v>
      </c>
      <c r="S3931" s="75">
        <f>OrdersTable[[#This Row],[Quantity]]*OrdersTable[[#This Row],[Unit Price]]</f>
        <v>699</v>
      </c>
      <c r="T3931" s="5">
        <f>OrdersTable[[#This Row],[Gross Sale]]*OrdersTable[[#This Row],[Discount_Clean2]]</f>
        <v>209.7</v>
      </c>
      <c r="U3931" s="5">
        <f>OrdersTable[[#This Row],[Gross Sale]]-OrdersTable[[#This Row],[Discount Amount]]</f>
        <v>489.3</v>
      </c>
      <c r="V3931" s="77">
        <f>INDEX(Products!E:E,MATCH(OrdersTable[[#This Row],[Product ID]],Products!A:A,0))</f>
        <v>238</v>
      </c>
      <c r="W3931" s="77">
        <f>OrdersTable[[#This Row],[Quantity]]*OrdersTable[[#This Row],[Unit Cost]]</f>
        <v>238</v>
      </c>
      <c r="X3931" s="77">
        <f>'Dropdown Lists'!$I$2*(1+OrdersTable[[#This Row],[Returned]])</f>
        <v>60</v>
      </c>
      <c r="Y3931" s="76">
        <f>OrdersTable[[#This Row],[Net Revenue]]-OrdersTable[[#This Row],[COGS]]-OrdersTable[[#This Row],[Shipping Cost]]</f>
        <v>191.3</v>
      </c>
      <c r="Z3931" s="78">
        <f>IFERROR(OrdersTable[[#This Row],[Profit]]/OrdersTable[[#This Row],[Net Revenue]],0)</f>
        <v>0.39096668710402616</v>
      </c>
      <c r="AA3931" t="s">
        <v>18</v>
      </c>
      <c r="AB3931" s="79">
        <v>45927</v>
      </c>
      <c r="AC3931">
        <f>OrdersTable[[#This Row],[Delivery Date]]-OrdersTable[[#This Row],[Order Date]]</f>
        <v>4</v>
      </c>
      <c r="AD3931" t="str">
        <f>IF(OrdersTable[[#This Row],[Delivery Days]]&lt;=2, "Express (≤2d)", IF(OrdersTable[[#This Row],[Delivery Days]]&lt;=4, "Standard (3-4d)", "Delayed (5d+)"))</f>
        <v>Standard (3-4d)</v>
      </c>
      <c r="AE3931">
        <v>4</v>
      </c>
      <c r="AF3931">
        <v>0</v>
      </c>
    </row>
    <row r="3932" spans="1:32" ht="15" x14ac:dyDescent="0.35">
      <c r="A3932" t="s">
        <v>7160</v>
      </c>
      <c r="B3932" s="1">
        <v>45923</v>
      </c>
      <c r="C3932">
        <f>YEAR(OrdersTable[[#This Row],[Order Date]])</f>
        <v>2025</v>
      </c>
      <c r="D3932" s="2">
        <f>DATE(YEAR(OrdersTable[[#This Row],[Order Date]]),MONTH(OrdersTable[[#This Row],[Order Date]]),1)</f>
        <v>45901</v>
      </c>
      <c r="E3932">
        <f>MONTH(OrdersTable[[#This Row],[Order Date]])</f>
        <v>9</v>
      </c>
      <c r="F3932" t="s">
        <v>739</v>
      </c>
      <c r="G3932" t="str">
        <f>IF(OrdersTable[[#This Row],[Order Date]]=_xlfn.MINIFS(Order_Date, Customer_ID, OrdersTable[[#This Row],[Customer ID]]), "New", "Repeat")</f>
        <v>Repeat</v>
      </c>
      <c r="H3932" t="s">
        <v>32</v>
      </c>
      <c r="I3932" t="str">
        <f>INDEX(State!B:B,MATCH(OrdersTable[[#This Row],[State]],State!A:A,0))</f>
        <v>BR</v>
      </c>
      <c r="J3932" t="str">
        <f>INDEX(State!C:C,MATCH(OrdersTable[[#This Row],[State Code]],State!B:B,0))</f>
        <v>East</v>
      </c>
      <c r="K3932" t="s">
        <v>33</v>
      </c>
      <c r="L3932" t="s">
        <v>39</v>
      </c>
      <c r="M3932" t="s">
        <v>152</v>
      </c>
      <c r="N3932" t="str">
        <f>INDEX(Products!B:B,MATCH(OrdersTable[[#This Row],[Product ID]],Products!A:A,0))</f>
        <v>Green Tea (100 bags)</v>
      </c>
      <c r="O3932" t="str">
        <f>INDEX(Products!C:C,MATCH(OrdersTable[[#This Row],[Product ID]],Products!A:A,0))</f>
        <v>Wellness</v>
      </c>
      <c r="P3932">
        <v>5</v>
      </c>
      <c r="Q3932" s="5">
        <v>399</v>
      </c>
      <c r="R3932" s="74">
        <v>0.35</v>
      </c>
      <c r="S3932" s="75">
        <f>OrdersTable[[#This Row],[Quantity]]*OrdersTable[[#This Row],[Unit Price]]</f>
        <v>1995</v>
      </c>
      <c r="T3932" s="5">
        <f>OrdersTable[[#This Row],[Gross Sale]]*OrdersTable[[#This Row],[Discount_Clean2]]</f>
        <v>698.25</v>
      </c>
      <c r="U3932" s="5">
        <f>OrdersTable[[#This Row],[Gross Sale]]-OrdersTable[[#This Row],[Discount Amount]]</f>
        <v>1296.75</v>
      </c>
      <c r="V3932" s="77">
        <f>INDEX(Products!E:E,MATCH(OrdersTable[[#This Row],[Product ID]],Products!A:A,0))</f>
        <v>128</v>
      </c>
      <c r="W3932" s="77">
        <f>OrdersTable[[#This Row],[Quantity]]*OrdersTable[[#This Row],[Unit Cost]]</f>
        <v>640</v>
      </c>
      <c r="X3932" s="77">
        <f>'Dropdown Lists'!$I$2*(1+OrdersTable[[#This Row],[Returned]])</f>
        <v>60</v>
      </c>
      <c r="Y3932" s="76">
        <f>OrdersTable[[#This Row],[Net Revenue]]-OrdersTable[[#This Row],[COGS]]-OrdersTable[[#This Row],[Shipping Cost]]</f>
        <v>596.75</v>
      </c>
      <c r="Z3932" s="78">
        <f>IFERROR(OrdersTable[[#This Row],[Profit]]/OrdersTable[[#This Row],[Net Revenue]],0)</f>
        <v>0.46018893387314441</v>
      </c>
      <c r="AA3932" t="s">
        <v>2522</v>
      </c>
      <c r="AB3932" s="79">
        <v>45925</v>
      </c>
      <c r="AC3932">
        <f>OrdersTable[[#This Row],[Delivery Date]]-OrdersTable[[#This Row],[Order Date]]</f>
        <v>2</v>
      </c>
      <c r="AD3932" t="str">
        <f>IF(OrdersTable[[#This Row],[Delivery Days]]&lt;=2, "Express (≤2d)", IF(OrdersTable[[#This Row],[Delivery Days]]&lt;=4, "Standard (3-4d)", "Delayed (5d+)"))</f>
        <v>Express (≤2d)</v>
      </c>
      <c r="AE3932">
        <v>3</v>
      </c>
      <c r="AF3932">
        <v>0</v>
      </c>
    </row>
    <row r="3933" spans="1:32" ht="15" x14ac:dyDescent="0.35">
      <c r="A3933" t="s">
        <v>6917</v>
      </c>
      <c r="B3933" s="1">
        <v>45923</v>
      </c>
      <c r="C3933">
        <f>YEAR(OrdersTable[[#This Row],[Order Date]])</f>
        <v>2025</v>
      </c>
      <c r="D3933" s="2">
        <f>DATE(YEAR(OrdersTable[[#This Row],[Order Date]]),MONTH(OrdersTable[[#This Row],[Order Date]]),1)</f>
        <v>45901</v>
      </c>
      <c r="E3933">
        <f>MONTH(OrdersTable[[#This Row],[Order Date]])</f>
        <v>9</v>
      </c>
      <c r="F3933" t="s">
        <v>1035</v>
      </c>
      <c r="G3933" t="str">
        <f>IF(OrdersTable[[#This Row],[Order Date]]=_xlfn.MINIFS(Order_Date, Customer_ID, OrdersTable[[#This Row],[Customer ID]]), "New", "Repeat")</f>
        <v>Repeat</v>
      </c>
      <c r="H3933" t="s">
        <v>37</v>
      </c>
      <c r="I3933" t="str">
        <f>INDEX(State!B:B,MATCH(OrdersTable[[#This Row],[State]],State!A:A,0))</f>
        <v>GJ</v>
      </c>
      <c r="J3933" t="str">
        <f>INDEX(State!C:C,MATCH(OrdersTable[[#This Row],[State Code]],State!B:B,0))</f>
        <v>West</v>
      </c>
      <c r="K3933" t="s">
        <v>38</v>
      </c>
      <c r="L3933" t="s">
        <v>50</v>
      </c>
      <c r="M3933" t="s">
        <v>66</v>
      </c>
      <c r="N3933" t="str">
        <f>INDEX(Products!B:B,MATCH(OrdersTable[[#This Row],[Product ID]],Products!A:A,0))</f>
        <v>Sunscreen SPF 50</v>
      </c>
      <c r="O3933" t="str">
        <f>INDEX(Products!C:C,MATCH(OrdersTable[[#This Row],[Product ID]],Products!A:A,0))</f>
        <v>Skincare</v>
      </c>
      <c r="P3933">
        <v>3</v>
      </c>
      <c r="Q3933" s="5">
        <v>449</v>
      </c>
      <c r="R3933" s="74">
        <v>0.15</v>
      </c>
      <c r="S3933" s="75">
        <f>OrdersTable[[#This Row],[Quantity]]*OrdersTable[[#This Row],[Unit Price]]</f>
        <v>1347</v>
      </c>
      <c r="T3933" s="5">
        <f>OrdersTable[[#This Row],[Gross Sale]]*OrdersTable[[#This Row],[Discount_Clean2]]</f>
        <v>202.04999999999998</v>
      </c>
      <c r="U3933" s="5">
        <f>OrdersTable[[#This Row],[Gross Sale]]-OrdersTable[[#This Row],[Discount Amount]]</f>
        <v>1144.95</v>
      </c>
      <c r="V3933" s="77">
        <f>INDEX(Products!E:E,MATCH(OrdersTable[[#This Row],[Product ID]],Products!A:A,0))</f>
        <v>144</v>
      </c>
      <c r="W3933" s="77">
        <f>OrdersTable[[#This Row],[Quantity]]*OrdersTable[[#This Row],[Unit Cost]]</f>
        <v>432</v>
      </c>
      <c r="X3933" s="77">
        <f>'Dropdown Lists'!$I$2*(1+OrdersTable[[#This Row],[Returned]])</f>
        <v>60</v>
      </c>
      <c r="Y3933" s="76">
        <f>OrdersTable[[#This Row],[Net Revenue]]-OrdersTable[[#This Row],[COGS]]-OrdersTable[[#This Row],[Shipping Cost]]</f>
        <v>652.95000000000005</v>
      </c>
      <c r="Z3933" s="78">
        <f>IFERROR(OrdersTable[[#This Row],[Profit]]/OrdersTable[[#This Row],[Net Revenue]],0)</f>
        <v>0.57028691209223115</v>
      </c>
      <c r="AA3933" t="s">
        <v>4450</v>
      </c>
      <c r="AB3933" s="79">
        <v>45926</v>
      </c>
      <c r="AC3933">
        <f>OrdersTable[[#This Row],[Delivery Date]]-OrdersTable[[#This Row],[Order Date]]</f>
        <v>3</v>
      </c>
      <c r="AD3933" t="str">
        <f>IF(OrdersTable[[#This Row],[Delivery Days]]&lt;=2, "Express (≤2d)", IF(OrdersTable[[#This Row],[Delivery Days]]&lt;=4, "Standard (3-4d)", "Delayed (5d+)"))</f>
        <v>Standard (3-4d)</v>
      </c>
      <c r="AE3933">
        <v>4</v>
      </c>
      <c r="AF3933">
        <v>0</v>
      </c>
    </row>
    <row r="3934" spans="1:32" ht="15" x14ac:dyDescent="0.35">
      <c r="A3934" t="s">
        <v>4292</v>
      </c>
      <c r="B3934" s="1">
        <v>45923</v>
      </c>
      <c r="C3934">
        <f>YEAR(OrdersTable[[#This Row],[Order Date]])</f>
        <v>2025</v>
      </c>
      <c r="D3934" s="2">
        <f>DATE(YEAR(OrdersTable[[#This Row],[Order Date]]),MONTH(OrdersTable[[#This Row],[Order Date]]),1)</f>
        <v>45901</v>
      </c>
      <c r="E3934">
        <f>MONTH(OrdersTable[[#This Row],[Order Date]])</f>
        <v>9</v>
      </c>
      <c r="F3934" t="s">
        <v>678</v>
      </c>
      <c r="G3934" t="str">
        <f>IF(OrdersTable[[#This Row],[Order Date]]=_xlfn.MINIFS(Order_Date, Customer_ID, OrdersTable[[#This Row],[Customer ID]]), "New", "Repeat")</f>
        <v>Repeat</v>
      </c>
      <c r="H3934" t="s">
        <v>37</v>
      </c>
      <c r="I3934" t="str">
        <f>INDEX(State!B:B,MATCH(OrdersTable[[#This Row],[State]],State!A:A,0))</f>
        <v>GJ</v>
      </c>
      <c r="J3934" t="str">
        <f>INDEX(State!C:C,MATCH(OrdersTable[[#This Row],[State Code]],State!B:B,0))</f>
        <v>West</v>
      </c>
      <c r="K3934" t="s">
        <v>38</v>
      </c>
      <c r="L3934" t="s">
        <v>65</v>
      </c>
      <c r="M3934" t="s">
        <v>176</v>
      </c>
      <c r="N3934" t="str">
        <f>INDEX(Products!B:B,MATCH(OrdersTable[[#This Row],[Product ID]],Products!A:A,0))</f>
        <v>Denim Jacket</v>
      </c>
      <c r="O3934" t="str">
        <f>INDEX(Products!C:C,MATCH(OrdersTable[[#This Row],[Product ID]],Products!A:A,0))</f>
        <v>Apparel</v>
      </c>
      <c r="P3934">
        <v>1</v>
      </c>
      <c r="Q3934" s="5">
        <v>2499</v>
      </c>
      <c r="R3934" s="74">
        <v>0.1</v>
      </c>
      <c r="S3934" s="75">
        <f>OrdersTable[[#This Row],[Quantity]]*OrdersTable[[#This Row],[Unit Price]]</f>
        <v>2499</v>
      </c>
      <c r="T3934" s="5">
        <f>OrdersTable[[#This Row],[Gross Sale]]*OrdersTable[[#This Row],[Discount_Clean2]]</f>
        <v>249.9</v>
      </c>
      <c r="U3934" s="5">
        <f>OrdersTable[[#This Row],[Gross Sale]]-OrdersTable[[#This Row],[Discount Amount]]</f>
        <v>2249.1</v>
      </c>
      <c r="V3934" s="77">
        <f>INDEX(Products!E:E,MATCH(OrdersTable[[#This Row],[Product ID]],Products!A:A,0))</f>
        <v>1125</v>
      </c>
      <c r="W3934" s="77">
        <f>OrdersTable[[#This Row],[Quantity]]*OrdersTable[[#This Row],[Unit Cost]]</f>
        <v>1125</v>
      </c>
      <c r="X3934" s="77">
        <f>'Dropdown Lists'!$I$2*(1+OrdersTable[[#This Row],[Returned]])</f>
        <v>60</v>
      </c>
      <c r="Y3934" s="76">
        <f>OrdersTable[[#This Row],[Net Revenue]]-OrdersTable[[#This Row],[COGS]]-OrdersTable[[#This Row],[Shipping Cost]]</f>
        <v>1064.0999999999999</v>
      </c>
      <c r="Z3934" s="78">
        <f>IFERROR(OrdersTable[[#This Row],[Profit]]/OrdersTable[[#This Row],[Net Revenue]],0)</f>
        <v>0.4731225823662798</v>
      </c>
      <c r="AA3934" t="s">
        <v>4074</v>
      </c>
      <c r="AB3934" s="79">
        <v>45926</v>
      </c>
      <c r="AC3934">
        <f>OrdersTable[[#This Row],[Delivery Date]]-OrdersTable[[#This Row],[Order Date]]</f>
        <v>3</v>
      </c>
      <c r="AD3934" t="str">
        <f>IF(OrdersTable[[#This Row],[Delivery Days]]&lt;=2, "Express (≤2d)", IF(OrdersTable[[#This Row],[Delivery Days]]&lt;=4, "Standard (3-4d)", "Delayed (5d+)"))</f>
        <v>Standard (3-4d)</v>
      </c>
      <c r="AF3934">
        <v>0</v>
      </c>
    </row>
    <row r="3935" spans="1:32" ht="15" x14ac:dyDescent="0.35">
      <c r="A3935" t="s">
        <v>4853</v>
      </c>
      <c r="B3935" s="1">
        <v>45923</v>
      </c>
      <c r="C3935">
        <f>YEAR(OrdersTable[[#This Row],[Order Date]])</f>
        <v>2025</v>
      </c>
      <c r="D3935" s="2">
        <f>DATE(YEAR(OrdersTable[[#This Row],[Order Date]]),MONTH(OrdersTable[[#This Row],[Order Date]]),1)</f>
        <v>45901</v>
      </c>
      <c r="E3935">
        <f>MONTH(OrdersTable[[#This Row],[Order Date]])</f>
        <v>9</v>
      </c>
      <c r="F3935" t="s">
        <v>4854</v>
      </c>
      <c r="G3935" t="str">
        <f>IF(OrdersTable[[#This Row],[Order Date]]=_xlfn.MINIFS(Order_Date, Customer_ID, OrdersTable[[#This Row],[Customer ID]]), "New", "Repeat")</f>
        <v>New</v>
      </c>
      <c r="H3935" t="s">
        <v>37</v>
      </c>
      <c r="I3935" t="str">
        <f>INDEX(State!B:B,MATCH(OrdersTable[[#This Row],[State]],State!A:A,0))</f>
        <v>GJ</v>
      </c>
      <c r="J3935" t="str">
        <f>INDEX(State!C:C,MATCH(OrdersTable[[#This Row],[State Code]],State!B:B,0))</f>
        <v>West</v>
      </c>
      <c r="K3935" t="s">
        <v>38</v>
      </c>
      <c r="L3935" t="s">
        <v>50</v>
      </c>
      <c r="M3935" t="s">
        <v>78</v>
      </c>
      <c r="N3935" t="str">
        <f>INDEX(Products!B:B,MATCH(OrdersTable[[#This Row],[Product ID]],Products!A:A,0))</f>
        <v>Retinol Night Cream</v>
      </c>
      <c r="O3935" t="str">
        <f>INDEX(Products!C:C,MATCH(OrdersTable[[#This Row],[Product ID]],Products!A:A,0))</f>
        <v>Skincare</v>
      </c>
      <c r="P3935">
        <v>2</v>
      </c>
      <c r="Q3935" s="5">
        <v>799</v>
      </c>
      <c r="R3935" s="74">
        <v>0</v>
      </c>
      <c r="S3935" s="75">
        <f>OrdersTable[[#This Row],[Quantity]]*OrdersTable[[#This Row],[Unit Price]]</f>
        <v>1598</v>
      </c>
      <c r="T3935" s="5">
        <f>OrdersTable[[#This Row],[Gross Sale]]*OrdersTable[[#This Row],[Discount_Clean2]]</f>
        <v>0</v>
      </c>
      <c r="U3935" s="5">
        <f>OrdersTable[[#This Row],[Gross Sale]]-OrdersTable[[#This Row],[Discount Amount]]</f>
        <v>1598</v>
      </c>
      <c r="V3935" s="77">
        <f>INDEX(Products!E:E,MATCH(OrdersTable[[#This Row],[Product ID]],Products!A:A,0))</f>
        <v>216</v>
      </c>
      <c r="W3935" s="77">
        <f>OrdersTable[[#This Row],[Quantity]]*OrdersTable[[#This Row],[Unit Cost]]</f>
        <v>432</v>
      </c>
      <c r="X3935" s="77">
        <f>'Dropdown Lists'!$I$2*(1+OrdersTable[[#This Row],[Returned]])</f>
        <v>120</v>
      </c>
      <c r="Y3935" s="76">
        <f>OrdersTable[[#This Row],[Net Revenue]]-OrdersTable[[#This Row],[COGS]]-OrdersTable[[#This Row],[Shipping Cost]]</f>
        <v>1046</v>
      </c>
      <c r="Z3935" s="78">
        <f>IFERROR(OrdersTable[[#This Row],[Profit]]/OrdersTable[[#This Row],[Net Revenue]],0)</f>
        <v>0.65456821026282852</v>
      </c>
      <c r="AA3935" t="s">
        <v>4450</v>
      </c>
      <c r="AB3935" s="79">
        <v>45926</v>
      </c>
      <c r="AC3935">
        <f>OrdersTable[[#This Row],[Delivery Date]]-OrdersTable[[#This Row],[Order Date]]</f>
        <v>3</v>
      </c>
      <c r="AD3935" t="str">
        <f>IF(OrdersTable[[#This Row],[Delivery Days]]&lt;=2, "Express (≤2d)", IF(OrdersTable[[#This Row],[Delivery Days]]&lt;=4, "Standard (3-4d)", "Delayed (5d+)"))</f>
        <v>Standard (3-4d)</v>
      </c>
      <c r="AE3935">
        <v>4</v>
      </c>
      <c r="AF3935">
        <v>1</v>
      </c>
    </row>
    <row r="3936" spans="1:32" ht="15" x14ac:dyDescent="0.35">
      <c r="A3936" t="s">
        <v>2458</v>
      </c>
      <c r="B3936" s="1">
        <v>45923</v>
      </c>
      <c r="C3936">
        <f>YEAR(OrdersTable[[#This Row],[Order Date]])</f>
        <v>2025</v>
      </c>
      <c r="D3936" s="2">
        <f>DATE(YEAR(OrdersTable[[#This Row],[Order Date]]),MONTH(OrdersTable[[#This Row],[Order Date]]),1)</f>
        <v>45901</v>
      </c>
      <c r="E3936">
        <f>MONTH(OrdersTable[[#This Row],[Order Date]])</f>
        <v>9</v>
      </c>
      <c r="F3936" t="s">
        <v>2459</v>
      </c>
      <c r="G3936" t="str">
        <f>IF(OrdersTable[[#This Row],[Order Date]]=_xlfn.MINIFS(Order_Date, Customer_ID, OrdersTable[[#This Row],[Customer ID]]), "New", "Repeat")</f>
        <v>Repeat</v>
      </c>
      <c r="H3936" t="s">
        <v>71</v>
      </c>
      <c r="I3936" t="str">
        <f>INDEX(State!B:B,MATCH(OrdersTable[[#This Row],[State]],State!A:A,0))</f>
        <v>MH</v>
      </c>
      <c r="J3936" t="str">
        <f>INDEX(State!C:C,MATCH(OrdersTable[[#This Row],[State Code]],State!B:B,0))</f>
        <v>West</v>
      </c>
      <c r="K3936" t="s">
        <v>72</v>
      </c>
      <c r="L3936" t="s">
        <v>23</v>
      </c>
      <c r="M3936" t="s">
        <v>34</v>
      </c>
      <c r="N3936" t="str">
        <f>INDEX(Products!B:B,MATCH(OrdersTable[[#This Row],[Product ID]],Products!A:A,0))</f>
        <v>Flip Flops</v>
      </c>
      <c r="O3936" t="str">
        <f>INDEX(Products!C:C,MATCH(OrdersTable[[#This Row],[Product ID]],Products!A:A,0))</f>
        <v>Footwear</v>
      </c>
      <c r="P3936">
        <v>1</v>
      </c>
      <c r="Q3936" s="5">
        <v>399</v>
      </c>
      <c r="R3936" s="74">
        <v>0.05</v>
      </c>
      <c r="S3936" s="75">
        <f>OrdersTable[[#This Row],[Quantity]]*OrdersTable[[#This Row],[Unit Price]]</f>
        <v>399</v>
      </c>
      <c r="T3936" s="5">
        <f>OrdersTable[[#This Row],[Gross Sale]]*OrdersTable[[#This Row],[Discount_Clean2]]</f>
        <v>19.950000000000003</v>
      </c>
      <c r="U3936" s="5">
        <f>OrdersTable[[#This Row],[Gross Sale]]-OrdersTable[[#This Row],[Discount Amount]]</f>
        <v>379.05</v>
      </c>
      <c r="V3936" s="77">
        <f>INDEX(Products!E:E,MATCH(OrdersTable[[#This Row],[Product ID]],Products!A:A,0))</f>
        <v>152</v>
      </c>
      <c r="W3936" s="77">
        <f>OrdersTable[[#This Row],[Quantity]]*OrdersTable[[#This Row],[Unit Cost]]</f>
        <v>152</v>
      </c>
      <c r="X3936" s="77">
        <f>'Dropdown Lists'!$I$2*(1+OrdersTable[[#This Row],[Returned]])</f>
        <v>120</v>
      </c>
      <c r="Y3936" s="76">
        <f>OrdersTable[[#This Row],[Net Revenue]]-OrdersTable[[#This Row],[COGS]]-OrdersTable[[#This Row],[Shipping Cost]]</f>
        <v>107.05000000000001</v>
      </c>
      <c r="Z3936" s="78">
        <f>IFERROR(OrdersTable[[#This Row],[Profit]]/OrdersTable[[#This Row],[Net Revenue]],0)</f>
        <v>0.2824165677351273</v>
      </c>
      <c r="AA3936" t="s">
        <v>18</v>
      </c>
      <c r="AB3936" s="79">
        <v>45925</v>
      </c>
      <c r="AC3936">
        <f>OrdersTable[[#This Row],[Delivery Date]]-OrdersTable[[#This Row],[Order Date]]</f>
        <v>2</v>
      </c>
      <c r="AD3936" t="str">
        <f>IF(OrdersTable[[#This Row],[Delivery Days]]&lt;=2, "Express (≤2d)", IF(OrdersTable[[#This Row],[Delivery Days]]&lt;=4, "Standard (3-4d)", "Delayed (5d+)"))</f>
        <v>Express (≤2d)</v>
      </c>
      <c r="AE3936">
        <v>5</v>
      </c>
      <c r="AF3936">
        <v>1</v>
      </c>
    </row>
    <row r="3937" spans="1:32" ht="15" x14ac:dyDescent="0.35">
      <c r="A3937" t="s">
        <v>2460</v>
      </c>
      <c r="B3937" s="1">
        <v>45923</v>
      </c>
      <c r="C3937">
        <f>YEAR(OrdersTable[[#This Row],[Order Date]])</f>
        <v>2025</v>
      </c>
      <c r="D3937" s="2">
        <f>DATE(YEAR(OrdersTable[[#This Row],[Order Date]]),MONTH(OrdersTable[[#This Row],[Order Date]]),1)</f>
        <v>45901</v>
      </c>
      <c r="E3937">
        <f>MONTH(OrdersTable[[#This Row],[Order Date]])</f>
        <v>9</v>
      </c>
      <c r="F3937" t="s">
        <v>2068</v>
      </c>
      <c r="G3937" t="str">
        <f>IF(OrdersTable[[#This Row],[Order Date]]=_xlfn.MINIFS(Order_Date, Customer_ID, OrdersTable[[#This Row],[Customer ID]]), "New", "Repeat")</f>
        <v>Repeat</v>
      </c>
      <c r="H3937" t="s">
        <v>59</v>
      </c>
      <c r="I3937" t="str">
        <f>INDEX(State!B:B,MATCH(OrdersTable[[#This Row],[State]],State!A:A,0))</f>
        <v>TN</v>
      </c>
      <c r="J3937" t="str">
        <f>INDEX(State!C:C,MATCH(OrdersTable[[#This Row],[State Code]],State!B:B,0))</f>
        <v>South</v>
      </c>
      <c r="K3937" t="s">
        <v>64</v>
      </c>
      <c r="L3937" t="s">
        <v>65</v>
      </c>
      <c r="M3937" t="s">
        <v>24</v>
      </c>
      <c r="N3937" t="str">
        <f>INDEX(Products!B:B,MATCH(OrdersTable[[#This Row],[Product ID]],Products!A:A,0))</f>
        <v>Scented Candle Set</v>
      </c>
      <c r="O3937" t="str">
        <f>INDEX(Products!C:C,MATCH(OrdersTable[[#This Row],[Product ID]],Products!A:A,0))</f>
        <v>Home &amp; Kitchen</v>
      </c>
      <c r="P3937">
        <v>1</v>
      </c>
      <c r="Q3937" s="5">
        <v>699</v>
      </c>
      <c r="R3937" s="74">
        <v>0.2</v>
      </c>
      <c r="S3937" s="75">
        <f>OrdersTable[[#This Row],[Quantity]]*OrdersTable[[#This Row],[Unit Price]]</f>
        <v>699</v>
      </c>
      <c r="T3937" s="5">
        <f>OrdersTable[[#This Row],[Gross Sale]]*OrdersTable[[#This Row],[Discount_Clean2]]</f>
        <v>139.80000000000001</v>
      </c>
      <c r="U3937" s="5">
        <f>OrdersTable[[#This Row],[Gross Sale]]-OrdersTable[[#This Row],[Discount Amount]]</f>
        <v>559.20000000000005</v>
      </c>
      <c r="V3937" s="77">
        <f>INDEX(Products!E:E,MATCH(OrdersTable[[#This Row],[Product ID]],Products!A:A,0))</f>
        <v>245</v>
      </c>
      <c r="W3937" s="77">
        <f>OrdersTable[[#This Row],[Quantity]]*OrdersTable[[#This Row],[Unit Cost]]</f>
        <v>245</v>
      </c>
      <c r="X3937" s="77">
        <f>'Dropdown Lists'!$I$2*(1+OrdersTable[[#This Row],[Returned]])</f>
        <v>60</v>
      </c>
      <c r="Y3937" s="76">
        <f>OrdersTable[[#This Row],[Net Revenue]]-OrdersTable[[#This Row],[COGS]]-OrdersTable[[#This Row],[Shipping Cost]]</f>
        <v>254.20000000000005</v>
      </c>
      <c r="Z3937" s="78">
        <f>IFERROR(OrdersTable[[#This Row],[Profit]]/OrdersTable[[#This Row],[Net Revenue]],0)</f>
        <v>0.45457796852646642</v>
      </c>
      <c r="AA3937" t="s">
        <v>18</v>
      </c>
      <c r="AB3937" s="79">
        <v>45924</v>
      </c>
      <c r="AC3937">
        <f>OrdersTable[[#This Row],[Delivery Date]]-OrdersTable[[#This Row],[Order Date]]</f>
        <v>1</v>
      </c>
      <c r="AD3937" t="str">
        <f>IF(OrdersTable[[#This Row],[Delivery Days]]&lt;=2, "Express (≤2d)", IF(OrdersTable[[#This Row],[Delivery Days]]&lt;=4, "Standard (3-4d)", "Delayed (5d+)"))</f>
        <v>Express (≤2d)</v>
      </c>
      <c r="AE3937">
        <v>5</v>
      </c>
      <c r="AF3937">
        <v>0</v>
      </c>
    </row>
    <row r="3938" spans="1:32" ht="15" x14ac:dyDescent="0.35">
      <c r="A3938" t="s">
        <v>3472</v>
      </c>
      <c r="B3938" s="1">
        <v>45924</v>
      </c>
      <c r="C3938">
        <f>YEAR(OrdersTable[[#This Row],[Order Date]])</f>
        <v>2025</v>
      </c>
      <c r="D3938" s="2">
        <f>DATE(YEAR(OrdersTable[[#This Row],[Order Date]]),MONTH(OrdersTable[[#This Row],[Order Date]]),1)</f>
        <v>45901</v>
      </c>
      <c r="E3938">
        <f>MONTH(OrdersTable[[#This Row],[Order Date]])</f>
        <v>9</v>
      </c>
      <c r="F3938" t="s">
        <v>3473</v>
      </c>
      <c r="G3938" t="str">
        <f>IF(OrdersTable[[#This Row],[Order Date]]=_xlfn.MINIFS(Order_Date, Customer_ID, OrdersTable[[#This Row],[Customer ID]]), "New", "Repeat")</f>
        <v>New</v>
      </c>
      <c r="H3938" t="s">
        <v>76</v>
      </c>
      <c r="I3938" t="str">
        <f>INDEX(State!B:B,MATCH(OrdersTable[[#This Row],[State]],State!A:A,0))</f>
        <v>UP</v>
      </c>
      <c r="J3938" t="str">
        <f>INDEX(State!C:C,MATCH(OrdersTable[[#This Row],[State Code]],State!B:B,0))</f>
        <v>North</v>
      </c>
      <c r="K3938" t="s">
        <v>77</v>
      </c>
      <c r="L3938" t="s">
        <v>65</v>
      </c>
      <c r="M3938" t="s">
        <v>56</v>
      </c>
      <c r="N3938" t="str">
        <f>INDEX(Products!B:B,MATCH(OrdersTable[[#This Row],[Product ID]],Products!A:A,0))</f>
        <v>Vitamin C Face Serum</v>
      </c>
      <c r="O3938" t="str">
        <f>INDEX(Products!C:C,MATCH(OrdersTable[[#This Row],[Product ID]],Products!A:A,0))</f>
        <v>Skincare</v>
      </c>
      <c r="P3938">
        <v>1</v>
      </c>
      <c r="Q3938" s="5">
        <v>599</v>
      </c>
      <c r="R3938" s="74">
        <v>0.2</v>
      </c>
      <c r="S3938" s="75">
        <f>OrdersTable[[#This Row],[Quantity]]*OrdersTable[[#This Row],[Unit Price]]</f>
        <v>599</v>
      </c>
      <c r="T3938" s="5">
        <f>OrdersTable[[#This Row],[Gross Sale]]*OrdersTable[[#This Row],[Discount_Clean2]]</f>
        <v>119.80000000000001</v>
      </c>
      <c r="U3938" s="5">
        <f>OrdersTable[[#This Row],[Gross Sale]]-OrdersTable[[#This Row],[Discount Amount]]</f>
        <v>479.2</v>
      </c>
      <c r="V3938" s="77">
        <f>INDEX(Products!E:E,MATCH(OrdersTable[[#This Row],[Product ID]],Products!A:A,0))</f>
        <v>180</v>
      </c>
      <c r="W3938" s="77">
        <f>OrdersTable[[#This Row],[Quantity]]*OrdersTable[[#This Row],[Unit Cost]]</f>
        <v>180</v>
      </c>
      <c r="X3938" s="77">
        <f>'Dropdown Lists'!$I$2*(1+OrdersTable[[#This Row],[Returned]])</f>
        <v>60</v>
      </c>
      <c r="Y3938" s="76">
        <f>OrdersTable[[#This Row],[Net Revenue]]-OrdersTable[[#This Row],[COGS]]-OrdersTable[[#This Row],[Shipping Cost]]</f>
        <v>239.2</v>
      </c>
      <c r="Z3938" s="78">
        <f>IFERROR(OrdersTable[[#This Row],[Profit]]/OrdersTable[[#This Row],[Net Revenue]],0)</f>
        <v>0.4991652754590985</v>
      </c>
      <c r="AA3938" t="s">
        <v>2522</v>
      </c>
      <c r="AB3938" s="79">
        <v>45926</v>
      </c>
      <c r="AC3938">
        <f>OrdersTable[[#This Row],[Delivery Date]]-OrdersTable[[#This Row],[Order Date]]</f>
        <v>2</v>
      </c>
      <c r="AD3938" t="str">
        <f>IF(OrdersTable[[#This Row],[Delivery Days]]&lt;=2, "Express (≤2d)", IF(OrdersTable[[#This Row],[Delivery Days]]&lt;=4, "Standard (3-4d)", "Delayed (5d+)"))</f>
        <v>Express (≤2d)</v>
      </c>
      <c r="AE3938">
        <v>4</v>
      </c>
      <c r="AF3938">
        <v>0</v>
      </c>
    </row>
    <row r="3939" spans="1:32" ht="15" x14ac:dyDescent="0.35">
      <c r="A3939" t="s">
        <v>3803</v>
      </c>
      <c r="B3939" s="1">
        <v>45924</v>
      </c>
      <c r="C3939">
        <f>YEAR(OrdersTable[[#This Row],[Order Date]])</f>
        <v>2025</v>
      </c>
      <c r="D3939" s="2">
        <f>DATE(YEAR(OrdersTable[[#This Row],[Order Date]]),MONTH(OrdersTable[[#This Row],[Order Date]]),1)</f>
        <v>45901</v>
      </c>
      <c r="E3939">
        <f>MONTH(OrdersTable[[#This Row],[Order Date]])</f>
        <v>9</v>
      </c>
      <c r="F3939" t="s">
        <v>3804</v>
      </c>
      <c r="G3939" t="str">
        <f>IF(OrdersTable[[#This Row],[Order Date]]=_xlfn.MINIFS(Order_Date, Customer_ID, OrdersTable[[#This Row],[Customer ID]]), "New", "Repeat")</f>
        <v>New</v>
      </c>
      <c r="H3939" t="s">
        <v>32</v>
      </c>
      <c r="I3939" t="str">
        <f>INDEX(State!B:B,MATCH(OrdersTable[[#This Row],[State]],State!A:A,0))</f>
        <v>BR</v>
      </c>
      <c r="J3939" t="str">
        <f>INDEX(State!C:C,MATCH(OrdersTable[[#This Row],[State Code]],State!B:B,0))</f>
        <v>East</v>
      </c>
      <c r="K3939" t="s">
        <v>33</v>
      </c>
      <c r="L3939" t="s">
        <v>65</v>
      </c>
      <c r="M3939" t="s">
        <v>148</v>
      </c>
      <c r="N3939" t="str">
        <f>INDEX(Products!B:B,MATCH(OrdersTable[[#This Row],[Product ID]],Products!A:A,0))</f>
        <v>Smartwatch Strap</v>
      </c>
      <c r="O3939" t="str">
        <f>INDEX(Products!C:C,MATCH(OrdersTable[[#This Row],[Product ID]],Products!A:A,0))</f>
        <v>Electronics</v>
      </c>
      <c r="P3939">
        <v>1</v>
      </c>
      <c r="Q3939" s="5">
        <v>499</v>
      </c>
      <c r="R3939" s="74">
        <v>0.2</v>
      </c>
      <c r="S3939" s="75">
        <f>OrdersTable[[#This Row],[Quantity]]*OrdersTable[[#This Row],[Unit Price]]</f>
        <v>499</v>
      </c>
      <c r="T3939" s="5">
        <f>OrdersTable[[#This Row],[Gross Sale]]*OrdersTable[[#This Row],[Discount_Clean2]]</f>
        <v>99.800000000000011</v>
      </c>
      <c r="U3939" s="5">
        <f>OrdersTable[[#This Row],[Gross Sale]]-OrdersTable[[#This Row],[Discount Amount]]</f>
        <v>399.2</v>
      </c>
      <c r="V3939" s="77">
        <f>INDEX(Products!E:E,MATCH(OrdersTable[[#This Row],[Product ID]],Products!A:A,0))</f>
        <v>200</v>
      </c>
      <c r="W3939" s="77">
        <f>OrdersTable[[#This Row],[Quantity]]*OrdersTable[[#This Row],[Unit Cost]]</f>
        <v>200</v>
      </c>
      <c r="X3939" s="77">
        <f>'Dropdown Lists'!$I$2*(1+OrdersTable[[#This Row],[Returned]])</f>
        <v>60</v>
      </c>
      <c r="Y3939" s="76">
        <f>OrdersTable[[#This Row],[Net Revenue]]-OrdersTable[[#This Row],[COGS]]-OrdersTable[[#This Row],[Shipping Cost]]</f>
        <v>139.19999999999999</v>
      </c>
      <c r="Z3939" s="78">
        <f>IFERROR(OrdersTable[[#This Row],[Profit]]/OrdersTable[[#This Row],[Net Revenue]],0)</f>
        <v>0.34869739478957912</v>
      </c>
      <c r="AA3939" t="s">
        <v>3495</v>
      </c>
      <c r="AB3939" s="79">
        <v>45930</v>
      </c>
      <c r="AC3939">
        <f>OrdersTable[[#This Row],[Delivery Date]]-OrdersTable[[#This Row],[Order Date]]</f>
        <v>6</v>
      </c>
      <c r="AD3939" t="str">
        <f>IF(OrdersTable[[#This Row],[Delivery Days]]&lt;=2, "Express (≤2d)", IF(OrdersTable[[#This Row],[Delivery Days]]&lt;=4, "Standard (3-4d)", "Delayed (5d+)"))</f>
        <v>Delayed (5d+)</v>
      </c>
      <c r="AF3939">
        <v>0</v>
      </c>
    </row>
    <row r="3940" spans="1:32" ht="15" x14ac:dyDescent="0.35">
      <c r="A3940" t="s">
        <v>7117</v>
      </c>
      <c r="B3940" s="1">
        <v>45924</v>
      </c>
      <c r="C3940">
        <f>YEAR(OrdersTable[[#This Row],[Order Date]])</f>
        <v>2025</v>
      </c>
      <c r="D3940" s="2">
        <f>DATE(YEAR(OrdersTable[[#This Row],[Order Date]]),MONTH(OrdersTable[[#This Row],[Order Date]]),1)</f>
        <v>45901</v>
      </c>
      <c r="E3940">
        <f>MONTH(OrdersTable[[#This Row],[Order Date]])</f>
        <v>9</v>
      </c>
      <c r="F3940" t="s">
        <v>1717</v>
      </c>
      <c r="G3940" t="str">
        <f>IF(OrdersTable[[#This Row],[Order Date]]=_xlfn.MINIFS(Order_Date, Customer_ID, OrdersTable[[#This Row],[Customer ID]]), "New", "Repeat")</f>
        <v>Repeat</v>
      </c>
      <c r="H3940" t="s">
        <v>37</v>
      </c>
      <c r="I3940" t="str">
        <f>INDEX(State!B:B,MATCH(OrdersTable[[#This Row],[State]],State!A:A,0))</f>
        <v>GJ</v>
      </c>
      <c r="J3940" t="str">
        <f>INDEX(State!C:C,MATCH(OrdersTable[[#This Row],[State Code]],State!B:B,0))</f>
        <v>West</v>
      </c>
      <c r="K3940" t="s">
        <v>38</v>
      </c>
      <c r="L3940" t="s">
        <v>39</v>
      </c>
      <c r="M3940" t="s">
        <v>576</v>
      </c>
      <c r="N3940" t="str">
        <f>INDEX(Products!B:B,MATCH(OrdersTable[[#This Row],[Product ID]],Products!A:A,0))</f>
        <v>Printed Saree</v>
      </c>
      <c r="O3940" t="str">
        <f>INDEX(Products!C:C,MATCH(OrdersTable[[#This Row],[Product ID]],Products!A:A,0))</f>
        <v>Apparel</v>
      </c>
      <c r="P3940">
        <v>4</v>
      </c>
      <c r="Q3940" s="5">
        <v>1999</v>
      </c>
      <c r="R3940" s="74">
        <v>0</v>
      </c>
      <c r="S3940" s="75">
        <f>OrdersTable[[#This Row],[Quantity]]*OrdersTable[[#This Row],[Unit Price]]</f>
        <v>7996</v>
      </c>
      <c r="T3940" s="5">
        <f>OrdersTable[[#This Row],[Gross Sale]]*OrdersTable[[#This Row],[Discount_Clean2]]</f>
        <v>0</v>
      </c>
      <c r="U3940" s="5">
        <f>OrdersTable[[#This Row],[Gross Sale]]-OrdersTable[[#This Row],[Discount Amount]]</f>
        <v>7996</v>
      </c>
      <c r="V3940" s="77">
        <f>INDEX(Products!E:E,MATCH(OrdersTable[[#This Row],[Product ID]],Products!A:A,0))</f>
        <v>880</v>
      </c>
      <c r="W3940" s="77">
        <f>OrdersTable[[#This Row],[Quantity]]*OrdersTable[[#This Row],[Unit Cost]]</f>
        <v>3520</v>
      </c>
      <c r="X3940" s="77">
        <f>'Dropdown Lists'!$I$2*(1+OrdersTable[[#This Row],[Returned]])</f>
        <v>120</v>
      </c>
      <c r="Y3940" s="76">
        <f>OrdersTable[[#This Row],[Net Revenue]]-OrdersTable[[#This Row],[COGS]]-OrdersTable[[#This Row],[Shipping Cost]]</f>
        <v>4356</v>
      </c>
      <c r="Z3940" s="78">
        <f>IFERROR(OrdersTable[[#This Row],[Profit]]/OrdersTable[[#This Row],[Net Revenue]],0)</f>
        <v>0.54477238619309654</v>
      </c>
      <c r="AA3940" t="s">
        <v>18</v>
      </c>
      <c r="AB3940" s="79">
        <v>45927</v>
      </c>
      <c r="AC3940">
        <f>OrdersTable[[#This Row],[Delivery Date]]-OrdersTable[[#This Row],[Order Date]]</f>
        <v>3</v>
      </c>
      <c r="AD3940" t="str">
        <f>IF(OrdersTable[[#This Row],[Delivery Days]]&lt;=2, "Express (≤2d)", IF(OrdersTable[[#This Row],[Delivery Days]]&lt;=4, "Standard (3-4d)", "Delayed (5d+)"))</f>
        <v>Standard (3-4d)</v>
      </c>
      <c r="AE3940">
        <v>4</v>
      </c>
      <c r="AF3940">
        <v>1</v>
      </c>
    </row>
    <row r="3941" spans="1:32" ht="15" x14ac:dyDescent="0.35">
      <c r="A3941" t="s">
        <v>3805</v>
      </c>
      <c r="B3941" s="1">
        <v>45924</v>
      </c>
      <c r="C3941">
        <f>YEAR(OrdersTable[[#This Row],[Order Date]])</f>
        <v>2025</v>
      </c>
      <c r="D3941" s="2">
        <f>DATE(YEAR(OrdersTable[[#This Row],[Order Date]]),MONTH(OrdersTable[[#This Row],[Order Date]]),1)</f>
        <v>45901</v>
      </c>
      <c r="E3941">
        <f>MONTH(OrdersTable[[#This Row],[Order Date]])</f>
        <v>9</v>
      </c>
      <c r="F3941" t="s">
        <v>3806</v>
      </c>
      <c r="G3941" t="str">
        <f>IF(OrdersTable[[#This Row],[Order Date]]=_xlfn.MINIFS(Order_Date, Customer_ID, OrdersTable[[#This Row],[Customer ID]]), "New", "Repeat")</f>
        <v>Repeat</v>
      </c>
      <c r="H3941" t="s">
        <v>37</v>
      </c>
      <c r="I3941" t="str">
        <f>INDEX(State!B:B,MATCH(OrdersTable[[#This Row],[State]],State!A:A,0))</f>
        <v>GJ</v>
      </c>
      <c r="J3941" t="str">
        <f>INDEX(State!C:C,MATCH(OrdersTable[[#This Row],[State Code]],State!B:B,0))</f>
        <v>West</v>
      </c>
      <c r="K3941" t="s">
        <v>38</v>
      </c>
      <c r="L3941" t="s">
        <v>23</v>
      </c>
      <c r="M3941" t="s">
        <v>24</v>
      </c>
      <c r="N3941" t="str">
        <f>INDEX(Products!B:B,MATCH(OrdersTable[[#This Row],[Product ID]],Products!A:A,0))</f>
        <v>Scented Candle Set</v>
      </c>
      <c r="O3941" t="str">
        <f>INDEX(Products!C:C,MATCH(OrdersTable[[#This Row],[Product ID]],Products!A:A,0))</f>
        <v>Home &amp; Kitchen</v>
      </c>
      <c r="P3941">
        <v>1</v>
      </c>
      <c r="Q3941" s="5">
        <v>699</v>
      </c>
      <c r="R3941" s="74">
        <v>0.25</v>
      </c>
      <c r="S3941" s="75">
        <f>OrdersTable[[#This Row],[Quantity]]*OrdersTable[[#This Row],[Unit Price]]</f>
        <v>699</v>
      </c>
      <c r="T3941" s="5">
        <f>OrdersTable[[#This Row],[Gross Sale]]*OrdersTable[[#This Row],[Discount_Clean2]]</f>
        <v>174.75</v>
      </c>
      <c r="U3941" s="5">
        <f>OrdersTable[[#This Row],[Gross Sale]]-OrdersTable[[#This Row],[Discount Amount]]</f>
        <v>524.25</v>
      </c>
      <c r="V3941" s="77">
        <f>INDEX(Products!E:E,MATCH(OrdersTable[[#This Row],[Product ID]],Products!A:A,0))</f>
        <v>245</v>
      </c>
      <c r="W3941" s="77">
        <f>OrdersTable[[#This Row],[Quantity]]*OrdersTable[[#This Row],[Unit Cost]]</f>
        <v>245</v>
      </c>
      <c r="X3941" s="77">
        <f>'Dropdown Lists'!$I$2*(1+OrdersTable[[#This Row],[Returned]])</f>
        <v>60</v>
      </c>
      <c r="Y3941" s="76">
        <f>OrdersTable[[#This Row],[Net Revenue]]-OrdersTable[[#This Row],[COGS]]-OrdersTable[[#This Row],[Shipping Cost]]</f>
        <v>219.25</v>
      </c>
      <c r="Z3941" s="78">
        <f>IFERROR(OrdersTable[[#This Row],[Profit]]/OrdersTable[[#This Row],[Net Revenue]],0)</f>
        <v>0.41821649976156416</v>
      </c>
      <c r="AA3941" t="s">
        <v>3495</v>
      </c>
      <c r="AB3941" s="79">
        <v>45926</v>
      </c>
      <c r="AC3941">
        <f>OrdersTable[[#This Row],[Delivery Date]]-OrdersTable[[#This Row],[Order Date]]</f>
        <v>2</v>
      </c>
      <c r="AD3941" t="str">
        <f>IF(OrdersTable[[#This Row],[Delivery Days]]&lt;=2, "Express (≤2d)", IF(OrdersTable[[#This Row],[Delivery Days]]&lt;=4, "Standard (3-4d)", "Delayed (5d+)"))</f>
        <v>Express (≤2d)</v>
      </c>
      <c r="AF3941">
        <v>0</v>
      </c>
    </row>
    <row r="3942" spans="1:32" ht="15" x14ac:dyDescent="0.35">
      <c r="A3942" t="s">
        <v>672</v>
      </c>
      <c r="B3942" s="1">
        <v>45924</v>
      </c>
      <c r="C3942">
        <f>YEAR(OrdersTable[[#This Row],[Order Date]])</f>
        <v>2025</v>
      </c>
      <c r="D3942" s="2">
        <f>DATE(YEAR(OrdersTable[[#This Row],[Order Date]]),MONTH(OrdersTable[[#This Row],[Order Date]]),1)</f>
        <v>45901</v>
      </c>
      <c r="E3942">
        <f>MONTH(OrdersTable[[#This Row],[Order Date]])</f>
        <v>9</v>
      </c>
      <c r="F3942" t="s">
        <v>673</v>
      </c>
      <c r="G3942" t="str">
        <f>IF(OrdersTable[[#This Row],[Order Date]]=_xlfn.MINIFS(Order_Date, Customer_ID, OrdersTable[[#This Row],[Customer ID]]), "New", "Repeat")</f>
        <v>Repeat</v>
      </c>
      <c r="H3942" t="s">
        <v>90</v>
      </c>
      <c r="I3942" t="str">
        <f>INDEX(State!B:B,MATCH(OrdersTable[[#This Row],[State]],State!A:A,0))</f>
        <v>GA</v>
      </c>
      <c r="J3942" t="str">
        <f>INDEX(State!C:C,MATCH(OrdersTable[[#This Row],[State Code]],State!B:B,0))</f>
        <v>West</v>
      </c>
      <c r="K3942" t="s">
        <v>91</v>
      </c>
      <c r="L3942" t="s">
        <v>16</v>
      </c>
      <c r="M3942" t="s">
        <v>205</v>
      </c>
      <c r="N3942" t="str">
        <f>INDEX(Products!B:B,MATCH(OrdersTable[[#This Row],[Product ID]],Products!A:A,0))</f>
        <v>Running Shoes</v>
      </c>
      <c r="O3942" t="str">
        <f>INDEX(Products!C:C,MATCH(OrdersTable[[#This Row],[Product ID]],Products!A:A,0))</f>
        <v>Footwear</v>
      </c>
      <c r="P3942">
        <v>1</v>
      </c>
      <c r="Q3942" s="5">
        <v>2999</v>
      </c>
      <c r="R3942" s="74">
        <v>0.15</v>
      </c>
      <c r="S3942" s="75">
        <f>OrdersTable[[#This Row],[Quantity]]*OrdersTable[[#This Row],[Unit Price]]</f>
        <v>2999</v>
      </c>
      <c r="T3942" s="5">
        <f>OrdersTable[[#This Row],[Gross Sale]]*OrdersTable[[#This Row],[Discount_Clean2]]</f>
        <v>449.84999999999997</v>
      </c>
      <c r="U3942" s="5">
        <f>OrdersTable[[#This Row],[Gross Sale]]-OrdersTable[[#This Row],[Discount Amount]]</f>
        <v>2549.15</v>
      </c>
      <c r="V3942" s="77">
        <f>INDEX(Products!E:E,MATCH(OrdersTable[[#This Row],[Product ID]],Products!A:A,0))</f>
        <v>1440</v>
      </c>
      <c r="W3942" s="77">
        <f>OrdersTable[[#This Row],[Quantity]]*OrdersTable[[#This Row],[Unit Cost]]</f>
        <v>1440</v>
      </c>
      <c r="X3942" s="77">
        <f>'Dropdown Lists'!$I$2*(1+OrdersTable[[#This Row],[Returned]])</f>
        <v>60</v>
      </c>
      <c r="Y3942" s="76">
        <f>OrdersTable[[#This Row],[Net Revenue]]-OrdersTable[[#This Row],[COGS]]-OrdersTable[[#This Row],[Shipping Cost]]</f>
        <v>1049.1500000000001</v>
      </c>
      <c r="Z3942" s="78">
        <f>IFERROR(OrdersTable[[#This Row],[Profit]]/OrdersTable[[#This Row],[Net Revenue]],0)</f>
        <v>0.41156856206970954</v>
      </c>
      <c r="AA3942" t="s">
        <v>18</v>
      </c>
      <c r="AB3942" s="79">
        <v>45926</v>
      </c>
      <c r="AC3942">
        <f>OrdersTable[[#This Row],[Delivery Date]]-OrdersTable[[#This Row],[Order Date]]</f>
        <v>2</v>
      </c>
      <c r="AD3942" t="str">
        <f>IF(OrdersTable[[#This Row],[Delivery Days]]&lt;=2, "Express (≤2d)", IF(OrdersTable[[#This Row],[Delivery Days]]&lt;=4, "Standard (3-4d)", "Delayed (5d+)"))</f>
        <v>Express (≤2d)</v>
      </c>
      <c r="AE3942">
        <v>4</v>
      </c>
      <c r="AF3942">
        <v>0</v>
      </c>
    </row>
    <row r="3943" spans="1:32" ht="15" x14ac:dyDescent="0.35">
      <c r="A3943" t="s">
        <v>4855</v>
      </c>
      <c r="B3943" s="1">
        <v>45925</v>
      </c>
      <c r="C3943">
        <f>YEAR(OrdersTable[[#This Row],[Order Date]])</f>
        <v>2025</v>
      </c>
      <c r="D3943" s="2">
        <f>DATE(YEAR(OrdersTable[[#This Row],[Order Date]]),MONTH(OrdersTable[[#This Row],[Order Date]]),1)</f>
        <v>45901</v>
      </c>
      <c r="E3943">
        <f>MONTH(OrdersTable[[#This Row],[Order Date]])</f>
        <v>9</v>
      </c>
      <c r="F3943" t="s">
        <v>3584</v>
      </c>
      <c r="G3943" t="str">
        <f>IF(OrdersTable[[#This Row],[Order Date]]=_xlfn.MINIFS(Order_Date, Customer_ID, OrdersTable[[#This Row],[Customer ID]]), "New", "Repeat")</f>
        <v>Repeat</v>
      </c>
      <c r="H3943" t="s">
        <v>27</v>
      </c>
      <c r="I3943" t="str">
        <f>INDEX(State!B:B,MATCH(OrdersTable[[#This Row],[State]],State!A:A,0))</f>
        <v>WB</v>
      </c>
      <c r="J3943" t="str">
        <f>INDEX(State!C:C,MATCH(OrdersTable[[#This Row],[State Code]],State!B:B,0))</f>
        <v>East</v>
      </c>
      <c r="K3943" t="s">
        <v>28</v>
      </c>
      <c r="L3943" t="s">
        <v>65</v>
      </c>
      <c r="M3943" t="s">
        <v>61</v>
      </c>
      <c r="N3943" t="str">
        <f>INDEX(Products!B:B,MATCH(OrdersTable[[#This Row],[Product ID]],Products!A:A,0))</f>
        <v>Multivitamin Gummies</v>
      </c>
      <c r="O3943" t="str">
        <f>INDEX(Products!C:C,MATCH(OrdersTable[[#This Row],[Product ID]],Products!A:A,0))</f>
        <v>Wellness</v>
      </c>
      <c r="P3943">
        <v>2</v>
      </c>
      <c r="Q3943" s="5">
        <v>699</v>
      </c>
      <c r="R3943" s="74">
        <v>0.3</v>
      </c>
      <c r="S3943" s="75">
        <f>OrdersTable[[#This Row],[Quantity]]*OrdersTable[[#This Row],[Unit Price]]</f>
        <v>1398</v>
      </c>
      <c r="T3943" s="5">
        <f>OrdersTable[[#This Row],[Gross Sale]]*OrdersTable[[#This Row],[Discount_Clean2]]</f>
        <v>419.4</v>
      </c>
      <c r="U3943" s="5">
        <f>OrdersTable[[#This Row],[Gross Sale]]-OrdersTable[[#This Row],[Discount Amount]]</f>
        <v>978.6</v>
      </c>
      <c r="V3943" s="77">
        <f>INDEX(Products!E:E,MATCH(OrdersTable[[#This Row],[Product ID]],Products!A:A,0))</f>
        <v>238</v>
      </c>
      <c r="W3943" s="77">
        <f>OrdersTable[[#This Row],[Quantity]]*OrdersTable[[#This Row],[Unit Cost]]</f>
        <v>476</v>
      </c>
      <c r="X3943" s="77">
        <f>'Dropdown Lists'!$I$2*(1+OrdersTable[[#This Row],[Returned]])</f>
        <v>60</v>
      </c>
      <c r="Y3943" s="76">
        <f>OrdersTable[[#This Row],[Net Revenue]]-OrdersTable[[#This Row],[COGS]]-OrdersTable[[#This Row],[Shipping Cost]]</f>
        <v>442.6</v>
      </c>
      <c r="Z3943" s="78">
        <f>IFERROR(OrdersTable[[#This Row],[Profit]]/OrdersTable[[#This Row],[Net Revenue]],0)</f>
        <v>0.45227876558348662</v>
      </c>
      <c r="AA3943" t="s">
        <v>4450</v>
      </c>
      <c r="AB3943" s="79">
        <v>45928</v>
      </c>
      <c r="AC3943">
        <f>OrdersTable[[#This Row],[Delivery Date]]-OrdersTable[[#This Row],[Order Date]]</f>
        <v>3</v>
      </c>
      <c r="AD3943" t="str">
        <f>IF(OrdersTable[[#This Row],[Delivery Days]]&lt;=2, "Express (≤2d)", IF(OrdersTable[[#This Row],[Delivery Days]]&lt;=4, "Standard (3-4d)", "Delayed (5d+)"))</f>
        <v>Standard (3-4d)</v>
      </c>
      <c r="AF3943">
        <v>0</v>
      </c>
    </row>
    <row r="3944" spans="1:32" ht="15" x14ac:dyDescent="0.35">
      <c r="A3944" t="s">
        <v>2025</v>
      </c>
      <c r="B3944" s="1">
        <v>45925</v>
      </c>
      <c r="C3944">
        <f>YEAR(OrdersTable[[#This Row],[Order Date]])</f>
        <v>2025</v>
      </c>
      <c r="D3944" s="2">
        <f>DATE(YEAR(OrdersTable[[#This Row],[Order Date]]),MONTH(OrdersTable[[#This Row],[Order Date]]),1)</f>
        <v>45901</v>
      </c>
      <c r="E3944">
        <f>MONTH(OrdersTable[[#This Row],[Order Date]])</f>
        <v>9</v>
      </c>
      <c r="F3944" t="s">
        <v>2026</v>
      </c>
      <c r="G3944" t="str">
        <f>IF(OrdersTable[[#This Row],[Order Date]]=_xlfn.MINIFS(Order_Date, Customer_ID, OrdersTable[[#This Row],[Customer ID]]), "New", "Repeat")</f>
        <v>Repeat</v>
      </c>
      <c r="H3944" t="s">
        <v>14</v>
      </c>
      <c r="I3944" t="str">
        <f>INDEX(State!B:B,MATCH(OrdersTable[[#This Row],[State]],State!A:A,0))</f>
        <v>OD</v>
      </c>
      <c r="J3944" t="str">
        <f>INDEX(State!C:C,MATCH(OrdersTable[[#This Row],[State Code]],State!B:B,0))</f>
        <v>East</v>
      </c>
      <c r="K3944" t="s">
        <v>15</v>
      </c>
      <c r="L3944" t="s">
        <v>65</v>
      </c>
      <c r="M3944" t="s">
        <v>87</v>
      </c>
      <c r="N3944" t="str">
        <f>INDEX(Products!B:B,MATCH(OrdersTable[[#This Row],[Product ID]],Products!A:A,0))</f>
        <v>Linen Kurta</v>
      </c>
      <c r="O3944" t="str">
        <f>INDEX(Products!C:C,MATCH(OrdersTable[[#This Row],[Product ID]],Products!A:A,0))</f>
        <v>Apparel</v>
      </c>
      <c r="P3944">
        <v>1</v>
      </c>
      <c r="Q3944" s="5">
        <v>1499</v>
      </c>
      <c r="R3944" s="74">
        <v>0.25</v>
      </c>
      <c r="S3944" s="75">
        <f>OrdersTable[[#This Row],[Quantity]]*OrdersTable[[#This Row],[Unit Price]]</f>
        <v>1499</v>
      </c>
      <c r="T3944" s="5">
        <f>OrdersTable[[#This Row],[Gross Sale]]*OrdersTable[[#This Row],[Discount_Clean2]]</f>
        <v>374.75</v>
      </c>
      <c r="U3944" s="5">
        <f>OrdersTable[[#This Row],[Gross Sale]]-OrdersTable[[#This Row],[Discount Amount]]</f>
        <v>1124.25</v>
      </c>
      <c r="V3944" s="77">
        <f>INDEX(Products!E:E,MATCH(OrdersTable[[#This Row],[Product ID]],Products!A:A,0))</f>
        <v>630</v>
      </c>
      <c r="W3944" s="77">
        <f>OrdersTable[[#This Row],[Quantity]]*OrdersTable[[#This Row],[Unit Cost]]</f>
        <v>630</v>
      </c>
      <c r="X3944" s="77">
        <f>'Dropdown Lists'!$I$2*(1+OrdersTable[[#This Row],[Returned]])</f>
        <v>60</v>
      </c>
      <c r="Y3944" s="76">
        <f>OrdersTable[[#This Row],[Net Revenue]]-OrdersTable[[#This Row],[COGS]]-OrdersTable[[#This Row],[Shipping Cost]]</f>
        <v>434.25</v>
      </c>
      <c r="Z3944" s="78">
        <f>IFERROR(OrdersTable[[#This Row],[Profit]]/OrdersTable[[#This Row],[Net Revenue]],0)</f>
        <v>0.38625750500333556</v>
      </c>
      <c r="AA3944" t="s">
        <v>18</v>
      </c>
      <c r="AB3944" s="79">
        <v>45930</v>
      </c>
      <c r="AC3944">
        <f>OrdersTable[[#This Row],[Delivery Date]]-OrdersTable[[#This Row],[Order Date]]</f>
        <v>5</v>
      </c>
      <c r="AD3944" t="str">
        <f>IF(OrdersTable[[#This Row],[Delivery Days]]&lt;=2, "Express (≤2d)", IF(OrdersTable[[#This Row],[Delivery Days]]&lt;=4, "Standard (3-4d)", "Delayed (5d+)"))</f>
        <v>Delayed (5d+)</v>
      </c>
      <c r="AE3944">
        <v>3</v>
      </c>
      <c r="AF3944">
        <v>0</v>
      </c>
    </row>
    <row r="3945" spans="1:32" ht="15" x14ac:dyDescent="0.35">
      <c r="A3945" t="s">
        <v>6204</v>
      </c>
      <c r="B3945" s="1">
        <v>45925</v>
      </c>
      <c r="C3945">
        <f>YEAR(OrdersTable[[#This Row],[Order Date]])</f>
        <v>2025</v>
      </c>
      <c r="D3945" s="2">
        <f>DATE(YEAR(OrdersTable[[#This Row],[Order Date]]),MONTH(OrdersTable[[#This Row],[Order Date]]),1)</f>
        <v>45901</v>
      </c>
      <c r="E3945">
        <f>MONTH(OrdersTable[[#This Row],[Order Date]])</f>
        <v>9</v>
      </c>
      <c r="F3945" t="s">
        <v>2658</v>
      </c>
      <c r="G3945" t="str">
        <f>IF(OrdersTable[[#This Row],[Order Date]]=_xlfn.MINIFS(Order_Date, Customer_ID, OrdersTable[[#This Row],[Customer ID]]), "New", "Repeat")</f>
        <v>Repeat</v>
      </c>
      <c r="H3945" t="s">
        <v>316</v>
      </c>
      <c r="I3945" t="str">
        <f>INDEX(State!B:B,MATCH(OrdersTable[[#This Row],[State]],State!A:A,0))</f>
        <v>KL</v>
      </c>
      <c r="J3945" t="str">
        <f>INDEX(State!C:C,MATCH(OrdersTable[[#This Row],[State Code]],State!B:B,0))</f>
        <v>South</v>
      </c>
      <c r="K3945" t="s">
        <v>338</v>
      </c>
      <c r="L3945" t="s">
        <v>65</v>
      </c>
      <c r="M3945" t="s">
        <v>255</v>
      </c>
      <c r="N3945" t="str">
        <f>INDEX(Products!B:B,MATCH(OrdersTable[[#This Row],[Product ID]],Products!A:A,0))</f>
        <v>Cotton Oversized T-Shirt</v>
      </c>
      <c r="O3945" t="str">
        <f>INDEX(Products!C:C,MATCH(OrdersTable[[#This Row],[Product ID]],Products!A:A,0))</f>
        <v>Apparel</v>
      </c>
      <c r="P3945">
        <v>2</v>
      </c>
      <c r="Q3945" s="5">
        <v>799</v>
      </c>
      <c r="R3945" s="74">
        <v>0</v>
      </c>
      <c r="S3945" s="75">
        <f>OrdersTable[[#This Row],[Quantity]]*OrdersTable[[#This Row],[Unit Price]]</f>
        <v>1598</v>
      </c>
      <c r="T3945" s="5">
        <f>OrdersTable[[#This Row],[Gross Sale]]*OrdersTable[[#This Row],[Discount_Clean2]]</f>
        <v>0</v>
      </c>
      <c r="U3945" s="5">
        <f>OrdersTable[[#This Row],[Gross Sale]]-OrdersTable[[#This Row],[Discount Amount]]</f>
        <v>1598</v>
      </c>
      <c r="V3945" s="77">
        <f>INDEX(Products!E:E,MATCH(OrdersTable[[#This Row],[Product ID]],Products!A:A,0))</f>
        <v>320</v>
      </c>
      <c r="W3945" s="77">
        <f>OrdersTable[[#This Row],[Quantity]]*OrdersTable[[#This Row],[Unit Cost]]</f>
        <v>640</v>
      </c>
      <c r="X3945" s="77">
        <f>'Dropdown Lists'!$I$2*(1+OrdersTable[[#This Row],[Returned]])</f>
        <v>60</v>
      </c>
      <c r="Y3945" s="76">
        <f>OrdersTable[[#This Row],[Net Revenue]]-OrdersTable[[#This Row],[COGS]]-OrdersTable[[#This Row],[Shipping Cost]]</f>
        <v>898</v>
      </c>
      <c r="Z3945" s="78">
        <f>IFERROR(OrdersTable[[#This Row],[Profit]]/OrdersTable[[#This Row],[Net Revenue]],0)</f>
        <v>0.56195244055068838</v>
      </c>
      <c r="AA3945" t="s">
        <v>18</v>
      </c>
      <c r="AB3945" s="79">
        <v>45930</v>
      </c>
      <c r="AC3945">
        <f>OrdersTable[[#This Row],[Delivery Date]]-OrdersTable[[#This Row],[Order Date]]</f>
        <v>5</v>
      </c>
      <c r="AD3945" t="str">
        <f>IF(OrdersTable[[#This Row],[Delivery Days]]&lt;=2, "Express (≤2d)", IF(OrdersTable[[#This Row],[Delivery Days]]&lt;=4, "Standard (3-4d)", "Delayed (5d+)"))</f>
        <v>Delayed (5d+)</v>
      </c>
      <c r="AE3945">
        <v>4</v>
      </c>
      <c r="AF3945">
        <v>0</v>
      </c>
    </row>
    <row r="3946" spans="1:32" ht="15" x14ac:dyDescent="0.35">
      <c r="A3946" t="s">
        <v>1116</v>
      </c>
      <c r="B3946" s="1">
        <v>45925</v>
      </c>
      <c r="C3946">
        <f>YEAR(OrdersTable[[#This Row],[Order Date]])</f>
        <v>2025</v>
      </c>
      <c r="D3946" s="2">
        <f>DATE(YEAR(OrdersTable[[#This Row],[Order Date]]),MONTH(OrdersTable[[#This Row],[Order Date]]),1)</f>
        <v>45901</v>
      </c>
      <c r="E3946">
        <f>MONTH(OrdersTable[[#This Row],[Order Date]])</f>
        <v>9</v>
      </c>
      <c r="F3946" t="s">
        <v>1117</v>
      </c>
      <c r="G3946" t="str">
        <f>IF(OrdersTable[[#This Row],[Order Date]]=_xlfn.MINIFS(Order_Date, Customer_ID, OrdersTable[[#This Row],[Customer ID]]), "New", "Repeat")</f>
        <v>Repeat</v>
      </c>
      <c r="H3946" t="s">
        <v>59</v>
      </c>
      <c r="I3946" t="str">
        <f>INDEX(State!B:B,MATCH(OrdersTable[[#This Row],[State]],State!A:A,0))</f>
        <v>TN</v>
      </c>
      <c r="J3946" t="str">
        <f>INDEX(State!C:C,MATCH(OrdersTable[[#This Row],[State Code]],State!B:B,0))</f>
        <v>South</v>
      </c>
      <c r="K3946" t="s">
        <v>60</v>
      </c>
      <c r="L3946" t="s">
        <v>50</v>
      </c>
      <c r="M3946" t="s">
        <v>51</v>
      </c>
      <c r="N3946" t="str">
        <f>INDEX(Products!B:B,MATCH(OrdersTable[[#This Row],[Product ID]],Products!A:A,0))</f>
        <v>Anti-Dandruff Conditioner</v>
      </c>
      <c r="O3946" t="str">
        <f>INDEX(Products!C:C,MATCH(OrdersTable[[#This Row],[Product ID]],Products!A:A,0))</f>
        <v>Haircare</v>
      </c>
      <c r="P3946">
        <v>1</v>
      </c>
      <c r="Q3946" s="5">
        <v>399</v>
      </c>
      <c r="R3946" s="74">
        <v>0.3</v>
      </c>
      <c r="S3946" s="75">
        <f>OrdersTable[[#This Row],[Quantity]]*OrdersTable[[#This Row],[Unit Price]]</f>
        <v>399</v>
      </c>
      <c r="T3946" s="5">
        <f>OrdersTable[[#This Row],[Gross Sale]]*OrdersTable[[#This Row],[Discount_Clean2]]</f>
        <v>119.69999999999999</v>
      </c>
      <c r="U3946" s="5">
        <f>OrdersTable[[#This Row],[Gross Sale]]-OrdersTable[[#This Row],[Discount Amount]]</f>
        <v>279.3</v>
      </c>
      <c r="V3946" s="77">
        <f>INDEX(Products!E:E,MATCH(OrdersTable[[#This Row],[Product ID]],Products!A:A,0))</f>
        <v>136</v>
      </c>
      <c r="W3946" s="77">
        <f>OrdersTable[[#This Row],[Quantity]]*OrdersTable[[#This Row],[Unit Cost]]</f>
        <v>136</v>
      </c>
      <c r="X3946" s="77">
        <f>'Dropdown Lists'!$I$2*(1+OrdersTable[[#This Row],[Returned]])</f>
        <v>120</v>
      </c>
      <c r="Y3946" s="76">
        <f>OrdersTable[[#This Row],[Net Revenue]]-OrdersTable[[#This Row],[COGS]]-OrdersTable[[#This Row],[Shipping Cost]]</f>
        <v>23.300000000000011</v>
      </c>
      <c r="Z3946" s="78">
        <f>IFERROR(OrdersTable[[#This Row],[Profit]]/OrdersTable[[#This Row],[Net Revenue]],0)</f>
        <v>8.3422842821339105E-2</v>
      </c>
      <c r="AA3946" t="s">
        <v>18</v>
      </c>
      <c r="AB3946" s="79">
        <v>45926</v>
      </c>
      <c r="AC3946">
        <f>OrdersTable[[#This Row],[Delivery Date]]-OrdersTable[[#This Row],[Order Date]]</f>
        <v>1</v>
      </c>
      <c r="AD3946" t="str">
        <f>IF(OrdersTable[[#This Row],[Delivery Days]]&lt;=2, "Express (≤2d)", IF(OrdersTable[[#This Row],[Delivery Days]]&lt;=4, "Standard (3-4d)", "Delayed (5d+)"))</f>
        <v>Express (≤2d)</v>
      </c>
      <c r="AE3946">
        <v>4</v>
      </c>
      <c r="AF3946">
        <v>1</v>
      </c>
    </row>
    <row r="3947" spans="1:32" ht="15" x14ac:dyDescent="0.35">
      <c r="A3947" t="s">
        <v>2461</v>
      </c>
      <c r="B3947" s="1">
        <v>45926</v>
      </c>
      <c r="C3947">
        <f>YEAR(OrdersTable[[#This Row],[Order Date]])</f>
        <v>2025</v>
      </c>
      <c r="D3947" s="2">
        <f>DATE(YEAR(OrdersTable[[#This Row],[Order Date]]),MONTH(OrdersTable[[#This Row],[Order Date]]),1)</f>
        <v>45901</v>
      </c>
      <c r="E3947">
        <f>MONTH(OrdersTable[[#This Row],[Order Date]])</f>
        <v>9</v>
      </c>
      <c r="F3947" t="s">
        <v>1497</v>
      </c>
      <c r="G3947" t="str">
        <f>IF(OrdersTable[[#This Row],[Order Date]]=_xlfn.MINIFS(Order_Date, Customer_ID, OrdersTable[[#This Row],[Customer ID]]), "New", "Repeat")</f>
        <v>Repeat</v>
      </c>
      <c r="H3947" t="s">
        <v>128</v>
      </c>
      <c r="I3947" t="str">
        <f>INDEX(State!B:B,MATCH(OrdersTable[[#This Row],[State]],State!A:A,0))</f>
        <v>DL</v>
      </c>
      <c r="J3947" t="str">
        <f>INDEX(State!C:C,MATCH(OrdersTable[[#This Row],[State Code]],State!B:B,0))</f>
        <v>North</v>
      </c>
      <c r="K3947" t="s">
        <v>129</v>
      </c>
      <c r="L3947" t="s">
        <v>23</v>
      </c>
      <c r="M3947" t="s">
        <v>34</v>
      </c>
      <c r="N3947" t="str">
        <f>INDEX(Products!B:B,MATCH(OrdersTable[[#This Row],[Product ID]],Products!A:A,0))</f>
        <v>Flip Flops</v>
      </c>
      <c r="O3947" t="str">
        <f>INDEX(Products!C:C,MATCH(OrdersTable[[#This Row],[Product ID]],Products!A:A,0))</f>
        <v>Footwear</v>
      </c>
      <c r="P3947">
        <v>1</v>
      </c>
      <c r="Q3947" s="5">
        <v>399</v>
      </c>
      <c r="R3947" s="74">
        <v>0.1</v>
      </c>
      <c r="S3947" s="75">
        <f>OrdersTable[[#This Row],[Quantity]]*OrdersTable[[#This Row],[Unit Price]]</f>
        <v>399</v>
      </c>
      <c r="T3947" s="5">
        <f>OrdersTable[[#This Row],[Gross Sale]]*OrdersTable[[#This Row],[Discount_Clean2]]</f>
        <v>39.900000000000006</v>
      </c>
      <c r="U3947" s="5">
        <f>OrdersTable[[#This Row],[Gross Sale]]-OrdersTable[[#This Row],[Discount Amount]]</f>
        <v>359.1</v>
      </c>
      <c r="V3947" s="77">
        <f>INDEX(Products!E:E,MATCH(OrdersTable[[#This Row],[Product ID]],Products!A:A,0))</f>
        <v>152</v>
      </c>
      <c r="W3947" s="77">
        <f>OrdersTable[[#This Row],[Quantity]]*OrdersTable[[#This Row],[Unit Cost]]</f>
        <v>152</v>
      </c>
      <c r="X3947" s="77">
        <f>'Dropdown Lists'!$I$2*(1+OrdersTable[[#This Row],[Returned]])</f>
        <v>60</v>
      </c>
      <c r="Y3947" s="76">
        <f>OrdersTable[[#This Row],[Net Revenue]]-OrdersTable[[#This Row],[COGS]]-OrdersTable[[#This Row],[Shipping Cost]]</f>
        <v>147.10000000000002</v>
      </c>
      <c r="Z3947" s="78">
        <f>IFERROR(OrdersTable[[#This Row],[Profit]]/OrdersTable[[#This Row],[Net Revenue]],0)</f>
        <v>0.40963519910888335</v>
      </c>
      <c r="AA3947" t="s">
        <v>18</v>
      </c>
      <c r="AB3947" s="79">
        <v>45929</v>
      </c>
      <c r="AC3947">
        <f>OrdersTable[[#This Row],[Delivery Date]]-OrdersTable[[#This Row],[Order Date]]</f>
        <v>3</v>
      </c>
      <c r="AD3947" t="str">
        <f>IF(OrdersTable[[#This Row],[Delivery Days]]&lt;=2, "Express (≤2d)", IF(OrdersTable[[#This Row],[Delivery Days]]&lt;=4, "Standard (3-4d)", "Delayed (5d+)"))</f>
        <v>Standard (3-4d)</v>
      </c>
      <c r="AE3947">
        <v>5</v>
      </c>
      <c r="AF3947">
        <v>0</v>
      </c>
    </row>
    <row r="3948" spans="1:32" ht="15" x14ac:dyDescent="0.35">
      <c r="A3948" t="s">
        <v>6727</v>
      </c>
      <c r="B3948" s="1">
        <v>45926</v>
      </c>
      <c r="C3948">
        <f>YEAR(OrdersTable[[#This Row],[Order Date]])</f>
        <v>2025</v>
      </c>
      <c r="D3948" s="2">
        <f>DATE(YEAR(OrdersTable[[#This Row],[Order Date]]),MONTH(OrdersTable[[#This Row],[Order Date]]),1)</f>
        <v>45901</v>
      </c>
      <c r="E3948">
        <f>MONTH(OrdersTable[[#This Row],[Order Date]])</f>
        <v>9</v>
      </c>
      <c r="F3948" t="s">
        <v>1382</v>
      </c>
      <c r="G3948" t="str">
        <f>IF(OrdersTable[[#This Row],[Order Date]]=_xlfn.MINIFS(Order_Date, Customer_ID, OrdersTable[[#This Row],[Customer ID]]), "New", "Repeat")</f>
        <v>Repeat</v>
      </c>
      <c r="H3948" t="s">
        <v>32</v>
      </c>
      <c r="I3948" t="str">
        <f>INDEX(State!B:B,MATCH(OrdersTable[[#This Row],[State]],State!A:A,0))</f>
        <v>BR</v>
      </c>
      <c r="J3948" t="str">
        <f>INDEX(State!C:C,MATCH(OrdersTable[[#This Row],[State Code]],State!B:B,0))</f>
        <v>East</v>
      </c>
      <c r="K3948" t="s">
        <v>33</v>
      </c>
      <c r="L3948" t="s">
        <v>23</v>
      </c>
      <c r="M3948" t="s">
        <v>45</v>
      </c>
      <c r="N3948" t="str">
        <f>INDEX(Products!B:B,MATCH(OrdersTable[[#This Row],[Product ID]],Products!A:A,0))</f>
        <v>Argan Shampoo</v>
      </c>
      <c r="O3948" t="str">
        <f>INDEX(Products!C:C,MATCH(OrdersTable[[#This Row],[Product ID]],Products!A:A,0))</f>
        <v>Haircare</v>
      </c>
      <c r="P3948">
        <v>3</v>
      </c>
      <c r="Q3948" s="5">
        <v>449</v>
      </c>
      <c r="R3948" s="74">
        <v>0.1</v>
      </c>
      <c r="S3948" s="75">
        <f>OrdersTable[[#This Row],[Quantity]]*OrdersTable[[#This Row],[Unit Price]]</f>
        <v>1347</v>
      </c>
      <c r="T3948" s="5">
        <f>OrdersTable[[#This Row],[Gross Sale]]*OrdersTable[[#This Row],[Discount_Clean2]]</f>
        <v>134.70000000000002</v>
      </c>
      <c r="U3948" s="5">
        <f>OrdersTable[[#This Row],[Gross Sale]]-OrdersTable[[#This Row],[Discount Amount]]</f>
        <v>1212.3</v>
      </c>
      <c r="V3948" s="77">
        <f>INDEX(Products!E:E,MATCH(OrdersTable[[#This Row],[Product ID]],Products!A:A,0))</f>
        <v>148</v>
      </c>
      <c r="W3948" s="77">
        <f>OrdersTable[[#This Row],[Quantity]]*OrdersTable[[#This Row],[Unit Cost]]</f>
        <v>444</v>
      </c>
      <c r="X3948" s="77">
        <f>'Dropdown Lists'!$I$2*(1+OrdersTable[[#This Row],[Returned]])</f>
        <v>60</v>
      </c>
      <c r="Y3948" s="76">
        <f>OrdersTable[[#This Row],[Net Revenue]]-OrdersTable[[#This Row],[COGS]]-OrdersTable[[#This Row],[Shipping Cost]]</f>
        <v>708.3</v>
      </c>
      <c r="Z3948" s="78">
        <f>IFERROR(OrdersTable[[#This Row],[Profit]]/OrdersTable[[#This Row],[Net Revenue]],0)</f>
        <v>0.58426132145508536</v>
      </c>
      <c r="AA3948" t="s">
        <v>2522</v>
      </c>
      <c r="AB3948" s="79">
        <v>45931</v>
      </c>
      <c r="AC3948">
        <f>OrdersTable[[#This Row],[Delivery Date]]-OrdersTable[[#This Row],[Order Date]]</f>
        <v>5</v>
      </c>
      <c r="AD3948" t="str">
        <f>IF(OrdersTable[[#This Row],[Delivery Days]]&lt;=2, "Express (≤2d)", IF(OrdersTable[[#This Row],[Delivery Days]]&lt;=4, "Standard (3-4d)", "Delayed (5d+)"))</f>
        <v>Delayed (5d+)</v>
      </c>
      <c r="AE3948">
        <v>3</v>
      </c>
      <c r="AF3948">
        <v>0</v>
      </c>
    </row>
    <row r="3949" spans="1:32" ht="15" x14ac:dyDescent="0.35">
      <c r="A3949" t="s">
        <v>5981</v>
      </c>
      <c r="B3949" s="1">
        <v>45926</v>
      </c>
      <c r="C3949">
        <f>YEAR(OrdersTable[[#This Row],[Order Date]])</f>
        <v>2025</v>
      </c>
      <c r="D3949" s="2">
        <f>DATE(YEAR(OrdersTable[[#This Row],[Order Date]]),MONTH(OrdersTable[[#This Row],[Order Date]]),1)</f>
        <v>45901</v>
      </c>
      <c r="E3949">
        <f>MONTH(OrdersTable[[#This Row],[Order Date]])</f>
        <v>9</v>
      </c>
      <c r="F3949" t="s">
        <v>5982</v>
      </c>
      <c r="G3949" t="str">
        <f>IF(OrdersTable[[#This Row],[Order Date]]=_xlfn.MINIFS(Order_Date, Customer_ID, OrdersTable[[#This Row],[Customer ID]]), "New", "Repeat")</f>
        <v>New</v>
      </c>
      <c r="H3949" t="s">
        <v>27</v>
      </c>
      <c r="I3949" t="str">
        <f>INDEX(State!B:B,MATCH(OrdersTable[[#This Row],[State]],State!A:A,0))</f>
        <v>WB</v>
      </c>
      <c r="J3949" t="str">
        <f>INDEX(State!C:C,MATCH(OrdersTable[[#This Row],[State Code]],State!B:B,0))</f>
        <v>East</v>
      </c>
      <c r="K3949" t="s">
        <v>28</v>
      </c>
      <c r="L3949" t="s">
        <v>65</v>
      </c>
      <c r="M3949" t="s">
        <v>45</v>
      </c>
      <c r="N3949" t="str">
        <f>INDEX(Products!B:B,MATCH(OrdersTable[[#This Row],[Product ID]],Products!A:A,0))</f>
        <v>Argan Shampoo</v>
      </c>
      <c r="O3949" t="str">
        <f>INDEX(Products!C:C,MATCH(OrdersTable[[#This Row],[Product ID]],Products!A:A,0))</f>
        <v>Haircare</v>
      </c>
      <c r="P3949">
        <v>2</v>
      </c>
      <c r="Q3949" s="5">
        <v>449</v>
      </c>
      <c r="R3949" s="74">
        <v>0.05</v>
      </c>
      <c r="S3949" s="75">
        <f>OrdersTable[[#This Row],[Quantity]]*OrdersTable[[#This Row],[Unit Price]]</f>
        <v>898</v>
      </c>
      <c r="T3949" s="5">
        <f>OrdersTable[[#This Row],[Gross Sale]]*OrdersTable[[#This Row],[Discount_Clean2]]</f>
        <v>44.900000000000006</v>
      </c>
      <c r="U3949" s="5">
        <f>OrdersTable[[#This Row],[Gross Sale]]-OrdersTable[[#This Row],[Discount Amount]]</f>
        <v>853.1</v>
      </c>
      <c r="V3949" s="77">
        <f>INDEX(Products!E:E,MATCH(OrdersTable[[#This Row],[Product ID]],Products!A:A,0))</f>
        <v>148</v>
      </c>
      <c r="W3949" s="77">
        <f>OrdersTable[[#This Row],[Quantity]]*OrdersTable[[#This Row],[Unit Cost]]</f>
        <v>296</v>
      </c>
      <c r="X3949" s="77">
        <f>'Dropdown Lists'!$I$2*(1+OrdersTable[[#This Row],[Returned]])</f>
        <v>60</v>
      </c>
      <c r="Y3949" s="76">
        <f>OrdersTable[[#This Row],[Net Revenue]]-OrdersTable[[#This Row],[COGS]]-OrdersTable[[#This Row],[Shipping Cost]]</f>
        <v>497.1</v>
      </c>
      <c r="Z3949" s="78">
        <f>IFERROR(OrdersTable[[#This Row],[Profit]]/OrdersTable[[#This Row],[Net Revenue]],0)</f>
        <v>0.58269839409213453</v>
      </c>
      <c r="AA3949" t="s">
        <v>18</v>
      </c>
      <c r="AB3949" s="79">
        <v>45929</v>
      </c>
      <c r="AC3949">
        <f>OrdersTable[[#This Row],[Delivery Date]]-OrdersTable[[#This Row],[Order Date]]</f>
        <v>3</v>
      </c>
      <c r="AD3949" t="str">
        <f>IF(OrdersTable[[#This Row],[Delivery Days]]&lt;=2, "Express (≤2d)", IF(OrdersTable[[#This Row],[Delivery Days]]&lt;=4, "Standard (3-4d)", "Delayed (5d+)"))</f>
        <v>Standard (3-4d)</v>
      </c>
      <c r="AF3949">
        <v>0</v>
      </c>
    </row>
    <row r="3950" spans="1:32" ht="15" x14ac:dyDescent="0.35">
      <c r="A3950" t="s">
        <v>4178</v>
      </c>
      <c r="B3950" s="1">
        <v>45926</v>
      </c>
      <c r="C3950">
        <f>YEAR(OrdersTable[[#This Row],[Order Date]])</f>
        <v>2025</v>
      </c>
      <c r="D3950" s="2">
        <f>DATE(YEAR(OrdersTable[[#This Row],[Order Date]]),MONTH(OrdersTable[[#This Row],[Order Date]]),1)</f>
        <v>45901</v>
      </c>
      <c r="E3950">
        <f>MONTH(OrdersTable[[#This Row],[Order Date]])</f>
        <v>9</v>
      </c>
      <c r="F3950" t="s">
        <v>4179</v>
      </c>
      <c r="G3950" t="str">
        <f>IF(OrdersTable[[#This Row],[Order Date]]=_xlfn.MINIFS(Order_Date, Customer_ID, OrdersTable[[#This Row],[Customer ID]]), "New", "Repeat")</f>
        <v>New</v>
      </c>
      <c r="H3950" t="s">
        <v>27</v>
      </c>
      <c r="I3950" t="str">
        <f>INDEX(State!B:B,MATCH(OrdersTable[[#This Row],[State]],State!A:A,0))</f>
        <v>WB</v>
      </c>
      <c r="J3950" t="str">
        <f>INDEX(State!C:C,MATCH(OrdersTable[[#This Row],[State Code]],State!B:B,0))</f>
        <v>East</v>
      </c>
      <c r="K3950" t="s">
        <v>28</v>
      </c>
      <c r="L3950" t="s">
        <v>23</v>
      </c>
      <c r="M3950" t="s">
        <v>92</v>
      </c>
      <c r="N3950" t="str">
        <f>INDEX(Products!B:B,MATCH(OrdersTable[[#This Row],[Product ID]],Products!A:A,0))</f>
        <v>Kolhapuri Sandals</v>
      </c>
      <c r="O3950" t="str">
        <f>INDEX(Products!C:C,MATCH(OrdersTable[[#This Row],[Product ID]],Products!A:A,0))</f>
        <v>Footwear</v>
      </c>
      <c r="P3950">
        <v>1</v>
      </c>
      <c r="Q3950" s="5">
        <v>999</v>
      </c>
      <c r="R3950" s="74">
        <v>0.05</v>
      </c>
      <c r="S3950" s="75">
        <f>OrdersTable[[#This Row],[Quantity]]*OrdersTable[[#This Row],[Unit Price]]</f>
        <v>999</v>
      </c>
      <c r="T3950" s="5">
        <f>OrdersTable[[#This Row],[Gross Sale]]*OrdersTable[[#This Row],[Discount_Clean2]]</f>
        <v>49.95</v>
      </c>
      <c r="U3950" s="5">
        <f>OrdersTable[[#This Row],[Gross Sale]]-OrdersTable[[#This Row],[Discount Amount]]</f>
        <v>949.05</v>
      </c>
      <c r="V3950" s="77">
        <f>INDEX(Products!E:E,MATCH(OrdersTable[[#This Row],[Product ID]],Products!A:A,0))</f>
        <v>400</v>
      </c>
      <c r="W3950" s="77">
        <f>OrdersTable[[#This Row],[Quantity]]*OrdersTable[[#This Row],[Unit Cost]]</f>
        <v>400</v>
      </c>
      <c r="X3950" s="77">
        <f>'Dropdown Lists'!$I$2*(1+OrdersTable[[#This Row],[Returned]])</f>
        <v>60</v>
      </c>
      <c r="Y3950" s="76">
        <f>OrdersTable[[#This Row],[Net Revenue]]-OrdersTable[[#This Row],[COGS]]-OrdersTable[[#This Row],[Shipping Cost]]</f>
        <v>489.04999999999995</v>
      </c>
      <c r="Z3950" s="78">
        <f>IFERROR(OrdersTable[[#This Row],[Profit]]/OrdersTable[[#This Row],[Net Revenue]],0)</f>
        <v>0.5153047784626732</v>
      </c>
      <c r="AA3950" t="s">
        <v>4074</v>
      </c>
      <c r="AB3950" s="79">
        <v>45928</v>
      </c>
      <c r="AC3950">
        <f>OrdersTable[[#This Row],[Delivery Date]]-OrdersTable[[#This Row],[Order Date]]</f>
        <v>2</v>
      </c>
      <c r="AD3950" t="str">
        <f>IF(OrdersTable[[#This Row],[Delivery Days]]&lt;=2, "Express (≤2d)", IF(OrdersTable[[#This Row],[Delivery Days]]&lt;=4, "Standard (3-4d)", "Delayed (5d+)"))</f>
        <v>Express (≤2d)</v>
      </c>
      <c r="AE3950">
        <v>5</v>
      </c>
      <c r="AF3950">
        <v>0</v>
      </c>
    </row>
    <row r="3951" spans="1:32" ht="15" x14ac:dyDescent="0.35">
      <c r="A3951" t="s">
        <v>4630</v>
      </c>
      <c r="B3951" s="1">
        <v>45926</v>
      </c>
      <c r="C3951">
        <f>YEAR(OrdersTable[[#This Row],[Order Date]])</f>
        <v>2025</v>
      </c>
      <c r="D3951" s="2">
        <f>DATE(YEAR(OrdersTable[[#This Row],[Order Date]]),MONTH(OrdersTable[[#This Row],[Order Date]]),1)</f>
        <v>45901</v>
      </c>
      <c r="E3951">
        <f>MONTH(OrdersTable[[#This Row],[Order Date]])</f>
        <v>9</v>
      </c>
      <c r="F3951" t="s">
        <v>4631</v>
      </c>
      <c r="G3951" t="str">
        <f>IF(OrdersTable[[#This Row],[Order Date]]=_xlfn.MINIFS(Order_Date, Customer_ID, OrdersTable[[#This Row],[Customer ID]]), "New", "Repeat")</f>
        <v>Repeat</v>
      </c>
      <c r="H3951" t="s">
        <v>27</v>
      </c>
      <c r="I3951" t="str">
        <f>INDEX(State!B:B,MATCH(OrdersTable[[#This Row],[State]],State!A:A,0))</f>
        <v>WB</v>
      </c>
      <c r="J3951" t="str">
        <f>INDEX(State!C:C,MATCH(OrdersTable[[#This Row],[State Code]],State!B:B,0))</f>
        <v>East</v>
      </c>
      <c r="K3951" t="s">
        <v>28</v>
      </c>
      <c r="L3951" t="s">
        <v>65</v>
      </c>
      <c r="M3951" t="s">
        <v>40</v>
      </c>
      <c r="N3951" t="str">
        <f>INDEX(Products!B:B,MATCH(OrdersTable[[#This Row],[Product ID]],Products!A:A,0))</f>
        <v>Ashwagandha Capsules</v>
      </c>
      <c r="O3951" t="str">
        <f>INDEX(Products!C:C,MATCH(OrdersTable[[#This Row],[Product ID]],Products!A:A,0))</f>
        <v>Wellness</v>
      </c>
      <c r="P3951">
        <v>1</v>
      </c>
      <c r="Q3951" s="5">
        <v>499</v>
      </c>
      <c r="R3951" s="74">
        <v>0</v>
      </c>
      <c r="S3951" s="75">
        <f>OrdersTable[[#This Row],[Quantity]]*OrdersTable[[#This Row],[Unit Price]]</f>
        <v>499</v>
      </c>
      <c r="T3951" s="5">
        <f>OrdersTable[[#This Row],[Gross Sale]]*OrdersTable[[#This Row],[Discount_Clean2]]</f>
        <v>0</v>
      </c>
      <c r="U3951" s="5">
        <f>OrdersTable[[#This Row],[Gross Sale]]-OrdersTable[[#This Row],[Discount Amount]]</f>
        <v>499</v>
      </c>
      <c r="V3951" s="77">
        <f>INDEX(Products!E:E,MATCH(OrdersTable[[#This Row],[Product ID]],Products!A:A,0))</f>
        <v>150</v>
      </c>
      <c r="W3951" s="77">
        <f>OrdersTable[[#This Row],[Quantity]]*OrdersTable[[#This Row],[Unit Cost]]</f>
        <v>150</v>
      </c>
      <c r="X3951" s="77">
        <f>'Dropdown Lists'!$I$2*(1+OrdersTable[[#This Row],[Returned]])</f>
        <v>60</v>
      </c>
      <c r="Y3951" s="76">
        <f>OrdersTable[[#This Row],[Net Revenue]]-OrdersTable[[#This Row],[COGS]]-OrdersTable[[#This Row],[Shipping Cost]]</f>
        <v>289</v>
      </c>
      <c r="Z3951" s="78">
        <f>IFERROR(OrdersTable[[#This Row],[Profit]]/OrdersTable[[#This Row],[Net Revenue]],0)</f>
        <v>0.57915831663326656</v>
      </c>
      <c r="AA3951" t="s">
        <v>4450</v>
      </c>
      <c r="AB3951" s="79">
        <v>45929</v>
      </c>
      <c r="AC3951">
        <f>OrdersTable[[#This Row],[Delivery Date]]-OrdersTable[[#This Row],[Order Date]]</f>
        <v>3</v>
      </c>
      <c r="AD3951" t="str">
        <f>IF(OrdersTable[[#This Row],[Delivery Days]]&lt;=2, "Express (≤2d)", IF(OrdersTable[[#This Row],[Delivery Days]]&lt;=4, "Standard (3-4d)", "Delayed (5d+)"))</f>
        <v>Standard (3-4d)</v>
      </c>
      <c r="AF3951">
        <v>0</v>
      </c>
    </row>
    <row r="3952" spans="1:32" ht="15" x14ac:dyDescent="0.35">
      <c r="A3952" t="s">
        <v>5627</v>
      </c>
      <c r="B3952" s="1">
        <v>45926</v>
      </c>
      <c r="C3952">
        <f>YEAR(OrdersTable[[#This Row],[Order Date]])</f>
        <v>2025</v>
      </c>
      <c r="D3952" s="2">
        <f>DATE(YEAR(OrdersTable[[#This Row],[Order Date]]),MONTH(OrdersTable[[#This Row],[Order Date]]),1)</f>
        <v>45901</v>
      </c>
      <c r="E3952">
        <f>MONTH(OrdersTable[[#This Row],[Order Date]])</f>
        <v>9</v>
      </c>
      <c r="F3952" t="s">
        <v>615</v>
      </c>
      <c r="G3952" t="str">
        <f>IF(OrdersTable[[#This Row],[Order Date]]=_xlfn.MINIFS(Order_Date, Customer_ID, OrdersTable[[#This Row],[Customer ID]]), "New", "Repeat")</f>
        <v>Repeat</v>
      </c>
      <c r="H3952" t="s">
        <v>71</v>
      </c>
      <c r="I3952" t="str">
        <f>INDEX(State!B:B,MATCH(OrdersTable[[#This Row],[State]],State!A:A,0))</f>
        <v>MH</v>
      </c>
      <c r="J3952" t="str">
        <f>INDEX(State!C:C,MATCH(OrdersTable[[#This Row],[State Code]],State!B:B,0))</f>
        <v>West</v>
      </c>
      <c r="K3952" t="s">
        <v>81</v>
      </c>
      <c r="L3952" t="s">
        <v>65</v>
      </c>
      <c r="M3952" t="s">
        <v>152</v>
      </c>
      <c r="N3952" t="str">
        <f>INDEX(Products!B:B,MATCH(OrdersTable[[#This Row],[Product ID]],Products!A:A,0))</f>
        <v>Green Tea (100 bags)</v>
      </c>
      <c r="O3952" t="str">
        <f>INDEX(Products!C:C,MATCH(OrdersTable[[#This Row],[Product ID]],Products!A:A,0))</f>
        <v>Wellness</v>
      </c>
      <c r="P3952">
        <v>2</v>
      </c>
      <c r="Q3952" s="5">
        <v>399</v>
      </c>
      <c r="R3952" s="74">
        <v>0.35</v>
      </c>
      <c r="S3952" s="75">
        <f>OrdersTable[[#This Row],[Quantity]]*OrdersTable[[#This Row],[Unit Price]]</f>
        <v>798</v>
      </c>
      <c r="T3952" s="5">
        <f>OrdersTable[[#This Row],[Gross Sale]]*OrdersTable[[#This Row],[Discount_Clean2]]</f>
        <v>279.29999999999995</v>
      </c>
      <c r="U3952" s="5">
        <f>OrdersTable[[#This Row],[Gross Sale]]-OrdersTable[[#This Row],[Discount Amount]]</f>
        <v>518.70000000000005</v>
      </c>
      <c r="V3952" s="77">
        <f>INDEX(Products!E:E,MATCH(OrdersTable[[#This Row],[Product ID]],Products!A:A,0))</f>
        <v>128</v>
      </c>
      <c r="W3952" s="77">
        <f>OrdersTable[[#This Row],[Quantity]]*OrdersTable[[#This Row],[Unit Cost]]</f>
        <v>256</v>
      </c>
      <c r="X3952" s="77">
        <f>'Dropdown Lists'!$I$2*(1+OrdersTable[[#This Row],[Returned]])</f>
        <v>60</v>
      </c>
      <c r="Y3952" s="76">
        <f>OrdersTable[[#This Row],[Net Revenue]]-OrdersTable[[#This Row],[COGS]]-OrdersTable[[#This Row],[Shipping Cost]]</f>
        <v>202.70000000000005</v>
      </c>
      <c r="Z3952" s="78">
        <f>IFERROR(OrdersTable[[#This Row],[Profit]]/OrdersTable[[#This Row],[Net Revenue]],0)</f>
        <v>0.39078465394254874</v>
      </c>
      <c r="AA3952" t="s">
        <v>2522</v>
      </c>
      <c r="AB3952" s="79">
        <v>45928</v>
      </c>
      <c r="AC3952">
        <f>OrdersTable[[#This Row],[Delivery Date]]-OrdersTable[[#This Row],[Order Date]]</f>
        <v>2</v>
      </c>
      <c r="AD3952" t="str">
        <f>IF(OrdersTable[[#This Row],[Delivery Days]]&lt;=2, "Express (≤2d)", IF(OrdersTable[[#This Row],[Delivery Days]]&lt;=4, "Standard (3-4d)", "Delayed (5d+)"))</f>
        <v>Express (≤2d)</v>
      </c>
      <c r="AE3952">
        <v>5</v>
      </c>
      <c r="AF3952">
        <v>0</v>
      </c>
    </row>
    <row r="3953" spans="1:32" ht="15" x14ac:dyDescent="0.35">
      <c r="A3953" t="s">
        <v>5828</v>
      </c>
      <c r="B3953" s="1">
        <v>45926</v>
      </c>
      <c r="C3953">
        <f>YEAR(OrdersTable[[#This Row],[Order Date]])</f>
        <v>2025</v>
      </c>
      <c r="D3953" s="2">
        <f>DATE(YEAR(OrdersTable[[#This Row],[Order Date]]),MONTH(OrdersTable[[#This Row],[Order Date]]),1)</f>
        <v>45901</v>
      </c>
      <c r="E3953">
        <f>MONTH(OrdersTable[[#This Row],[Order Date]])</f>
        <v>9</v>
      </c>
      <c r="F3953" t="s">
        <v>2967</v>
      </c>
      <c r="G3953" t="str">
        <f>IF(OrdersTable[[#This Row],[Order Date]]=_xlfn.MINIFS(Order_Date, Customer_ID, OrdersTable[[#This Row],[Customer ID]]), "New", "Repeat")</f>
        <v>Repeat</v>
      </c>
      <c r="H3953" t="s">
        <v>275</v>
      </c>
      <c r="I3953" t="str">
        <f>INDEX(State!B:B,MATCH(OrdersTable[[#This Row],[State]],State!A:A,0))</f>
        <v>AP</v>
      </c>
      <c r="J3953" t="str">
        <f>INDEX(State!C:C,MATCH(OrdersTable[[#This Row],[State Code]],State!B:B,0))</f>
        <v>South</v>
      </c>
      <c r="K3953" t="s">
        <v>491</v>
      </c>
      <c r="L3953" t="s">
        <v>16</v>
      </c>
      <c r="M3953" t="s">
        <v>176</v>
      </c>
      <c r="N3953" t="str">
        <f>INDEX(Products!B:B,MATCH(OrdersTable[[#This Row],[Product ID]],Products!A:A,0))</f>
        <v>Denim Jacket</v>
      </c>
      <c r="O3953" t="str">
        <f>INDEX(Products!C:C,MATCH(OrdersTable[[#This Row],[Product ID]],Products!A:A,0))</f>
        <v>Apparel</v>
      </c>
      <c r="P3953">
        <v>2</v>
      </c>
      <c r="Q3953" s="5">
        <v>2499</v>
      </c>
      <c r="R3953" s="74">
        <v>0.05</v>
      </c>
      <c r="S3953" s="75">
        <f>OrdersTable[[#This Row],[Quantity]]*OrdersTable[[#This Row],[Unit Price]]</f>
        <v>4998</v>
      </c>
      <c r="T3953" s="5">
        <f>OrdersTable[[#This Row],[Gross Sale]]*OrdersTable[[#This Row],[Discount_Clean2]]</f>
        <v>249.9</v>
      </c>
      <c r="U3953" s="5">
        <f>OrdersTable[[#This Row],[Gross Sale]]-OrdersTable[[#This Row],[Discount Amount]]</f>
        <v>4748.1000000000004</v>
      </c>
      <c r="V3953" s="77">
        <f>INDEX(Products!E:E,MATCH(OrdersTable[[#This Row],[Product ID]],Products!A:A,0))</f>
        <v>1125</v>
      </c>
      <c r="W3953" s="77">
        <f>OrdersTable[[#This Row],[Quantity]]*OrdersTable[[#This Row],[Unit Cost]]</f>
        <v>2250</v>
      </c>
      <c r="X3953" s="77">
        <f>'Dropdown Lists'!$I$2*(1+OrdersTable[[#This Row],[Returned]])</f>
        <v>120</v>
      </c>
      <c r="Y3953" s="76">
        <f>OrdersTable[[#This Row],[Net Revenue]]-OrdersTable[[#This Row],[COGS]]-OrdersTable[[#This Row],[Shipping Cost]]</f>
        <v>2378.1000000000004</v>
      </c>
      <c r="Z3953" s="78">
        <f>IFERROR(OrdersTable[[#This Row],[Profit]]/OrdersTable[[#This Row],[Net Revenue]],0)</f>
        <v>0.50085297276805463</v>
      </c>
      <c r="AA3953" t="s">
        <v>18</v>
      </c>
      <c r="AB3953" s="79">
        <v>45929</v>
      </c>
      <c r="AC3953">
        <f>OrdersTable[[#This Row],[Delivery Date]]-OrdersTable[[#This Row],[Order Date]]</f>
        <v>3</v>
      </c>
      <c r="AD3953" t="str">
        <f>IF(OrdersTable[[#This Row],[Delivery Days]]&lt;=2, "Express (≤2d)", IF(OrdersTable[[#This Row],[Delivery Days]]&lt;=4, "Standard (3-4d)", "Delayed (5d+)"))</f>
        <v>Standard (3-4d)</v>
      </c>
      <c r="AE3953">
        <v>5</v>
      </c>
      <c r="AF3953">
        <v>1</v>
      </c>
    </row>
    <row r="3954" spans="1:32" ht="15" x14ac:dyDescent="0.35">
      <c r="A3954" t="s">
        <v>4632</v>
      </c>
      <c r="B3954" s="1">
        <v>45926</v>
      </c>
      <c r="C3954">
        <f>YEAR(OrdersTable[[#This Row],[Order Date]])</f>
        <v>2025</v>
      </c>
      <c r="D3954" s="2">
        <f>DATE(YEAR(OrdersTable[[#This Row],[Order Date]]),MONTH(OrdersTable[[#This Row],[Order Date]]),1)</f>
        <v>45901</v>
      </c>
      <c r="E3954">
        <f>MONTH(OrdersTable[[#This Row],[Order Date]])</f>
        <v>9</v>
      </c>
      <c r="F3954" t="s">
        <v>4633</v>
      </c>
      <c r="G3954" t="str">
        <f>IF(OrdersTable[[#This Row],[Order Date]]=_xlfn.MINIFS(Order_Date, Customer_ID, OrdersTable[[#This Row],[Customer ID]]), "New", "Repeat")</f>
        <v>New</v>
      </c>
      <c r="H3954" t="s">
        <v>316</v>
      </c>
      <c r="I3954" t="str">
        <f>INDEX(State!B:B,MATCH(OrdersTable[[#This Row],[State]],State!A:A,0))</f>
        <v>KL</v>
      </c>
      <c r="J3954" t="str">
        <f>INDEX(State!C:C,MATCH(OrdersTable[[#This Row],[State Code]],State!B:B,0))</f>
        <v>South</v>
      </c>
      <c r="K3954" t="s">
        <v>338</v>
      </c>
      <c r="L3954" t="s">
        <v>23</v>
      </c>
      <c r="M3954" t="s">
        <v>106</v>
      </c>
      <c r="N3954" t="str">
        <f>INDEX(Products!B:B,MATCH(OrdersTable[[#This Row],[Product ID]],Products!A:A,0))</f>
        <v>Keratin Hair Mask</v>
      </c>
      <c r="O3954" t="str">
        <f>INDEX(Products!C:C,MATCH(OrdersTable[[#This Row],[Product ID]],Products!A:A,0))</f>
        <v>Haircare</v>
      </c>
      <c r="P3954">
        <v>1</v>
      </c>
      <c r="Q3954" s="5">
        <v>549</v>
      </c>
      <c r="R3954" s="74">
        <v>0.1</v>
      </c>
      <c r="S3954" s="75">
        <f>OrdersTable[[#This Row],[Quantity]]*OrdersTable[[#This Row],[Unit Price]]</f>
        <v>549</v>
      </c>
      <c r="T3954" s="5">
        <f>OrdersTable[[#This Row],[Gross Sale]]*OrdersTable[[#This Row],[Discount_Clean2]]</f>
        <v>54.900000000000006</v>
      </c>
      <c r="U3954" s="5">
        <f>OrdersTable[[#This Row],[Gross Sale]]-OrdersTable[[#This Row],[Discount Amount]]</f>
        <v>494.1</v>
      </c>
      <c r="V3954" s="77">
        <f>INDEX(Products!E:E,MATCH(OrdersTable[[#This Row],[Product ID]],Products!A:A,0))</f>
        <v>170</v>
      </c>
      <c r="W3954" s="77">
        <f>OrdersTable[[#This Row],[Quantity]]*OrdersTable[[#This Row],[Unit Cost]]</f>
        <v>170</v>
      </c>
      <c r="X3954" s="77">
        <f>'Dropdown Lists'!$I$2*(1+OrdersTable[[#This Row],[Returned]])</f>
        <v>60</v>
      </c>
      <c r="Y3954" s="76">
        <f>OrdersTable[[#This Row],[Net Revenue]]-OrdersTable[[#This Row],[COGS]]-OrdersTable[[#This Row],[Shipping Cost]]</f>
        <v>264.10000000000002</v>
      </c>
      <c r="Z3954" s="78">
        <f>IFERROR(OrdersTable[[#This Row],[Profit]]/OrdersTable[[#This Row],[Net Revenue]],0)</f>
        <v>0.53450718478040882</v>
      </c>
      <c r="AA3954" t="s">
        <v>4450</v>
      </c>
      <c r="AB3954" s="79">
        <v>45929</v>
      </c>
      <c r="AC3954">
        <f>OrdersTable[[#This Row],[Delivery Date]]-OrdersTable[[#This Row],[Order Date]]</f>
        <v>3</v>
      </c>
      <c r="AD3954" t="str">
        <f>IF(OrdersTable[[#This Row],[Delivery Days]]&lt;=2, "Express (≤2d)", IF(OrdersTable[[#This Row],[Delivery Days]]&lt;=4, "Standard (3-4d)", "Delayed (5d+)"))</f>
        <v>Standard (3-4d)</v>
      </c>
      <c r="AF3954">
        <v>0</v>
      </c>
    </row>
    <row r="3955" spans="1:32" ht="15" x14ac:dyDescent="0.35">
      <c r="A3955" t="s">
        <v>6918</v>
      </c>
      <c r="B3955" s="1">
        <v>45927</v>
      </c>
      <c r="C3955">
        <f>YEAR(OrdersTable[[#This Row],[Order Date]])</f>
        <v>2025</v>
      </c>
      <c r="D3955" s="2">
        <f>DATE(YEAR(OrdersTable[[#This Row],[Order Date]]),MONTH(OrdersTable[[#This Row],[Order Date]]),1)</f>
        <v>45901</v>
      </c>
      <c r="E3955">
        <f>MONTH(OrdersTable[[#This Row],[Order Date]])</f>
        <v>9</v>
      </c>
      <c r="F3955" t="s">
        <v>690</v>
      </c>
      <c r="G3955" t="str">
        <f>IF(OrdersTable[[#This Row],[Order Date]]=_xlfn.MINIFS(Order_Date, Customer_ID, OrdersTable[[#This Row],[Customer ID]]), "New", "Repeat")</f>
        <v>Repeat</v>
      </c>
      <c r="H3955" t="s">
        <v>128</v>
      </c>
      <c r="I3955" t="str">
        <f>INDEX(State!B:B,MATCH(OrdersTable[[#This Row],[State]],State!A:A,0))</f>
        <v>DL</v>
      </c>
      <c r="J3955" t="str">
        <f>INDEX(State!C:C,MATCH(OrdersTable[[#This Row],[State Code]],State!B:B,0))</f>
        <v>North</v>
      </c>
      <c r="K3955" t="s">
        <v>129</v>
      </c>
      <c r="L3955" t="s">
        <v>23</v>
      </c>
      <c r="M3955" t="s">
        <v>51</v>
      </c>
      <c r="N3955" t="str">
        <f>INDEX(Products!B:B,MATCH(OrdersTable[[#This Row],[Product ID]],Products!A:A,0))</f>
        <v>Anti-Dandruff Conditioner</v>
      </c>
      <c r="O3955" t="str">
        <f>INDEX(Products!C:C,MATCH(OrdersTable[[#This Row],[Product ID]],Products!A:A,0))</f>
        <v>Haircare</v>
      </c>
      <c r="P3955">
        <v>3</v>
      </c>
      <c r="Q3955" s="5">
        <v>399</v>
      </c>
      <c r="R3955" s="74">
        <v>0.35</v>
      </c>
      <c r="S3955" s="75">
        <f>OrdersTable[[#This Row],[Quantity]]*OrdersTable[[#This Row],[Unit Price]]</f>
        <v>1197</v>
      </c>
      <c r="T3955" s="5">
        <f>OrdersTable[[#This Row],[Gross Sale]]*OrdersTable[[#This Row],[Discount_Clean2]]</f>
        <v>418.95</v>
      </c>
      <c r="U3955" s="5">
        <f>OrdersTable[[#This Row],[Gross Sale]]-OrdersTable[[#This Row],[Discount Amount]]</f>
        <v>778.05</v>
      </c>
      <c r="V3955" s="77">
        <f>INDEX(Products!E:E,MATCH(OrdersTable[[#This Row],[Product ID]],Products!A:A,0))</f>
        <v>136</v>
      </c>
      <c r="W3955" s="77">
        <f>OrdersTable[[#This Row],[Quantity]]*OrdersTable[[#This Row],[Unit Cost]]</f>
        <v>408</v>
      </c>
      <c r="X3955" s="77">
        <f>'Dropdown Lists'!$I$2*(1+OrdersTable[[#This Row],[Returned]])</f>
        <v>60</v>
      </c>
      <c r="Y3955" s="76">
        <f>OrdersTable[[#This Row],[Net Revenue]]-OrdersTable[[#This Row],[COGS]]-OrdersTable[[#This Row],[Shipping Cost]]</f>
        <v>310.04999999999995</v>
      </c>
      <c r="Z3955" s="78">
        <f>IFERROR(OrdersTable[[#This Row],[Profit]]/OrdersTable[[#This Row],[Net Revenue]],0)</f>
        <v>0.39849624060150374</v>
      </c>
      <c r="AA3955" t="s">
        <v>4450</v>
      </c>
      <c r="AB3955" s="79">
        <v>45928</v>
      </c>
      <c r="AC3955">
        <f>OrdersTable[[#This Row],[Delivery Date]]-OrdersTable[[#This Row],[Order Date]]</f>
        <v>1</v>
      </c>
      <c r="AD3955" t="str">
        <f>IF(OrdersTable[[#This Row],[Delivery Days]]&lt;=2, "Express (≤2d)", IF(OrdersTable[[#This Row],[Delivery Days]]&lt;=4, "Standard (3-4d)", "Delayed (5d+)"))</f>
        <v>Express (≤2d)</v>
      </c>
      <c r="AF3955">
        <v>0</v>
      </c>
    </row>
    <row r="3956" spans="1:32" ht="15" x14ac:dyDescent="0.35">
      <c r="A3956" t="s">
        <v>3807</v>
      </c>
      <c r="B3956" s="1">
        <v>45927</v>
      </c>
      <c r="C3956">
        <f>YEAR(OrdersTable[[#This Row],[Order Date]])</f>
        <v>2025</v>
      </c>
      <c r="D3956" s="2">
        <f>DATE(YEAR(OrdersTable[[#This Row],[Order Date]]),MONTH(OrdersTable[[#This Row],[Order Date]]),1)</f>
        <v>45901</v>
      </c>
      <c r="E3956">
        <f>MONTH(OrdersTable[[#This Row],[Order Date]])</f>
        <v>9</v>
      </c>
      <c r="F3956" t="s">
        <v>2000</v>
      </c>
      <c r="G3956" t="str">
        <f>IF(OrdersTable[[#This Row],[Order Date]]=_xlfn.MINIFS(Order_Date, Customer_ID, OrdersTable[[#This Row],[Customer ID]]), "New", "Repeat")</f>
        <v>Repeat</v>
      </c>
      <c r="H3956" t="s">
        <v>76</v>
      </c>
      <c r="I3956" t="str">
        <f>INDEX(State!B:B,MATCH(OrdersTable[[#This Row],[State]],State!A:A,0))</f>
        <v>UP</v>
      </c>
      <c r="J3956" t="str">
        <f>INDEX(State!C:C,MATCH(OrdersTable[[#This Row],[State Code]],State!B:B,0))</f>
        <v>North</v>
      </c>
      <c r="K3956" t="s">
        <v>105</v>
      </c>
      <c r="L3956" t="s">
        <v>50</v>
      </c>
      <c r="M3956" t="s">
        <v>66</v>
      </c>
      <c r="N3956" t="str">
        <f>INDEX(Products!B:B,MATCH(OrdersTable[[#This Row],[Product ID]],Products!A:A,0))</f>
        <v>Sunscreen SPF 50</v>
      </c>
      <c r="O3956" t="str">
        <f>INDEX(Products!C:C,MATCH(OrdersTable[[#This Row],[Product ID]],Products!A:A,0))</f>
        <v>Skincare</v>
      </c>
      <c r="P3956">
        <v>1</v>
      </c>
      <c r="Q3956" s="5">
        <v>449</v>
      </c>
      <c r="R3956" s="74">
        <v>0.1</v>
      </c>
      <c r="S3956" s="75">
        <f>OrdersTable[[#This Row],[Quantity]]*OrdersTable[[#This Row],[Unit Price]]</f>
        <v>449</v>
      </c>
      <c r="T3956" s="5">
        <f>OrdersTable[[#This Row],[Gross Sale]]*OrdersTable[[#This Row],[Discount_Clean2]]</f>
        <v>44.900000000000006</v>
      </c>
      <c r="U3956" s="5">
        <f>OrdersTable[[#This Row],[Gross Sale]]-OrdersTable[[#This Row],[Discount Amount]]</f>
        <v>404.1</v>
      </c>
      <c r="V3956" s="77">
        <f>INDEX(Products!E:E,MATCH(OrdersTable[[#This Row],[Product ID]],Products!A:A,0))</f>
        <v>144</v>
      </c>
      <c r="W3956" s="77">
        <f>OrdersTable[[#This Row],[Quantity]]*OrdersTable[[#This Row],[Unit Cost]]</f>
        <v>144</v>
      </c>
      <c r="X3956" s="77">
        <f>'Dropdown Lists'!$I$2*(1+OrdersTable[[#This Row],[Returned]])</f>
        <v>60</v>
      </c>
      <c r="Y3956" s="76">
        <f>OrdersTable[[#This Row],[Net Revenue]]-OrdersTable[[#This Row],[COGS]]-OrdersTable[[#This Row],[Shipping Cost]]</f>
        <v>200.10000000000002</v>
      </c>
      <c r="Z3956" s="78">
        <f>IFERROR(OrdersTable[[#This Row],[Profit]]/OrdersTable[[#This Row],[Net Revenue]],0)</f>
        <v>0.4951744617668894</v>
      </c>
      <c r="AA3956" t="s">
        <v>3495</v>
      </c>
      <c r="AB3956" s="79">
        <v>45930</v>
      </c>
      <c r="AC3956">
        <f>OrdersTable[[#This Row],[Delivery Date]]-OrdersTable[[#This Row],[Order Date]]</f>
        <v>3</v>
      </c>
      <c r="AD3956" t="str">
        <f>IF(OrdersTable[[#This Row],[Delivery Days]]&lt;=2, "Express (≤2d)", IF(OrdersTable[[#This Row],[Delivery Days]]&lt;=4, "Standard (3-4d)", "Delayed (5d+)"))</f>
        <v>Standard (3-4d)</v>
      </c>
      <c r="AF3956">
        <v>0</v>
      </c>
    </row>
    <row r="3957" spans="1:32" ht="15" x14ac:dyDescent="0.35">
      <c r="A3957" t="s">
        <v>5541</v>
      </c>
      <c r="B3957" s="1">
        <v>45927</v>
      </c>
      <c r="C3957">
        <f>YEAR(OrdersTable[[#This Row],[Order Date]])</f>
        <v>2025</v>
      </c>
      <c r="D3957" s="2">
        <f>DATE(YEAR(OrdersTable[[#This Row],[Order Date]]),MONTH(OrdersTable[[#This Row],[Order Date]]),1)</f>
        <v>45901</v>
      </c>
      <c r="E3957">
        <f>MONTH(OrdersTable[[#This Row],[Order Date]])</f>
        <v>9</v>
      </c>
      <c r="F3957" t="s">
        <v>2556</v>
      </c>
      <c r="G3957" t="str">
        <f>IF(OrdersTable[[#This Row],[Order Date]]=_xlfn.MINIFS(Order_Date, Customer_ID, OrdersTable[[#This Row],[Customer ID]]), "New", "Repeat")</f>
        <v>Repeat</v>
      </c>
      <c r="H3957" t="s">
        <v>76</v>
      </c>
      <c r="I3957" t="str">
        <f>INDEX(State!B:B,MATCH(OrdersTable[[#This Row],[State]],State!A:A,0))</f>
        <v>UP</v>
      </c>
      <c r="J3957" t="str">
        <f>INDEX(State!C:C,MATCH(OrdersTable[[#This Row],[State Code]],State!B:B,0))</f>
        <v>North</v>
      </c>
      <c r="K3957" t="s">
        <v>77</v>
      </c>
      <c r="L3957" t="s">
        <v>65</v>
      </c>
      <c r="M3957" t="s">
        <v>45</v>
      </c>
      <c r="N3957" t="str">
        <f>INDEX(Products!B:B,MATCH(OrdersTable[[#This Row],[Product ID]],Products!A:A,0))</f>
        <v>Argan Shampoo</v>
      </c>
      <c r="O3957" t="str">
        <f>INDEX(Products!C:C,MATCH(OrdersTable[[#This Row],[Product ID]],Products!A:A,0))</f>
        <v>Haircare</v>
      </c>
      <c r="P3957">
        <v>2</v>
      </c>
      <c r="Q3957" s="5">
        <v>449</v>
      </c>
      <c r="R3957" s="74">
        <v>0.05</v>
      </c>
      <c r="S3957" s="75">
        <f>OrdersTable[[#This Row],[Quantity]]*OrdersTable[[#This Row],[Unit Price]]</f>
        <v>898</v>
      </c>
      <c r="T3957" s="5">
        <f>OrdersTable[[#This Row],[Gross Sale]]*OrdersTable[[#This Row],[Discount_Clean2]]</f>
        <v>44.900000000000006</v>
      </c>
      <c r="U3957" s="5">
        <f>OrdersTable[[#This Row],[Gross Sale]]-OrdersTable[[#This Row],[Discount Amount]]</f>
        <v>853.1</v>
      </c>
      <c r="V3957" s="77">
        <f>INDEX(Products!E:E,MATCH(OrdersTable[[#This Row],[Product ID]],Products!A:A,0))</f>
        <v>148</v>
      </c>
      <c r="W3957" s="77">
        <f>OrdersTable[[#This Row],[Quantity]]*OrdersTable[[#This Row],[Unit Cost]]</f>
        <v>296</v>
      </c>
      <c r="X3957" s="77">
        <f>'Dropdown Lists'!$I$2*(1+OrdersTable[[#This Row],[Returned]])</f>
        <v>60</v>
      </c>
      <c r="Y3957" s="76">
        <f>OrdersTable[[#This Row],[Net Revenue]]-OrdersTable[[#This Row],[COGS]]-OrdersTable[[#This Row],[Shipping Cost]]</f>
        <v>497.1</v>
      </c>
      <c r="Z3957" s="78">
        <f>IFERROR(OrdersTable[[#This Row],[Profit]]/OrdersTable[[#This Row],[Net Revenue]],0)</f>
        <v>0.58269839409213453</v>
      </c>
      <c r="AA3957" t="s">
        <v>2522</v>
      </c>
      <c r="AB3957" s="79">
        <v>45928</v>
      </c>
      <c r="AC3957">
        <f>OrdersTable[[#This Row],[Delivery Date]]-OrdersTable[[#This Row],[Order Date]]</f>
        <v>1</v>
      </c>
      <c r="AD3957" t="str">
        <f>IF(OrdersTable[[#This Row],[Delivery Days]]&lt;=2, "Express (≤2d)", IF(OrdersTable[[#This Row],[Delivery Days]]&lt;=4, "Standard (3-4d)", "Delayed (5d+)"))</f>
        <v>Express (≤2d)</v>
      </c>
      <c r="AE3957">
        <v>4</v>
      </c>
      <c r="AF3957">
        <v>0</v>
      </c>
    </row>
    <row r="3958" spans="1:32" ht="15" x14ac:dyDescent="0.35">
      <c r="A3958" t="s">
        <v>2027</v>
      </c>
      <c r="B3958" s="1">
        <v>45927</v>
      </c>
      <c r="C3958">
        <f>YEAR(OrdersTable[[#This Row],[Order Date]])</f>
        <v>2025</v>
      </c>
      <c r="D3958" s="2">
        <f>DATE(YEAR(OrdersTable[[#This Row],[Order Date]]),MONTH(OrdersTable[[#This Row],[Order Date]]),1)</f>
        <v>45901</v>
      </c>
      <c r="E3958">
        <f>MONTH(OrdersTable[[#This Row],[Order Date]])</f>
        <v>9</v>
      </c>
      <c r="F3958" t="s">
        <v>804</v>
      </c>
      <c r="G3958" t="str">
        <f>IF(OrdersTable[[#This Row],[Order Date]]=_xlfn.MINIFS(Order_Date, Customer_ID, OrdersTable[[#This Row],[Customer ID]]), "New", "Repeat")</f>
        <v>Repeat</v>
      </c>
      <c r="H3958" t="s">
        <v>37</v>
      </c>
      <c r="I3958" t="str">
        <f>INDEX(State!B:B,MATCH(OrdersTable[[#This Row],[State]],State!A:A,0))</f>
        <v>GJ</v>
      </c>
      <c r="J3958" t="str">
        <f>INDEX(State!C:C,MATCH(OrdersTable[[#This Row],[State Code]],State!B:B,0))</f>
        <v>West</v>
      </c>
      <c r="K3958" t="s">
        <v>38</v>
      </c>
      <c r="L3958" t="s">
        <v>39</v>
      </c>
      <c r="M3958" t="s">
        <v>40</v>
      </c>
      <c r="N3958" t="str">
        <f>INDEX(Products!B:B,MATCH(OrdersTable[[#This Row],[Product ID]],Products!A:A,0))</f>
        <v>Ashwagandha Capsules</v>
      </c>
      <c r="O3958" t="str">
        <f>INDEX(Products!C:C,MATCH(OrdersTable[[#This Row],[Product ID]],Products!A:A,0))</f>
        <v>Wellness</v>
      </c>
      <c r="P3958">
        <v>1</v>
      </c>
      <c r="Q3958" s="5">
        <v>499</v>
      </c>
      <c r="R3958" s="74">
        <v>0.05</v>
      </c>
      <c r="S3958" s="75">
        <f>OrdersTable[[#This Row],[Quantity]]*OrdersTable[[#This Row],[Unit Price]]</f>
        <v>499</v>
      </c>
      <c r="T3958" s="5">
        <f>OrdersTable[[#This Row],[Gross Sale]]*OrdersTable[[#This Row],[Discount_Clean2]]</f>
        <v>24.950000000000003</v>
      </c>
      <c r="U3958" s="5">
        <f>OrdersTable[[#This Row],[Gross Sale]]-OrdersTable[[#This Row],[Discount Amount]]</f>
        <v>474.05</v>
      </c>
      <c r="V3958" s="77">
        <f>INDEX(Products!E:E,MATCH(OrdersTable[[#This Row],[Product ID]],Products!A:A,0))</f>
        <v>150</v>
      </c>
      <c r="W3958" s="77">
        <f>OrdersTable[[#This Row],[Quantity]]*OrdersTable[[#This Row],[Unit Cost]]</f>
        <v>150</v>
      </c>
      <c r="X3958" s="77">
        <f>'Dropdown Lists'!$I$2*(1+OrdersTable[[#This Row],[Returned]])</f>
        <v>120</v>
      </c>
      <c r="Y3958" s="76">
        <f>OrdersTable[[#This Row],[Net Revenue]]-OrdersTable[[#This Row],[COGS]]-OrdersTable[[#This Row],[Shipping Cost]]</f>
        <v>204.05</v>
      </c>
      <c r="Z3958" s="78">
        <f>IFERROR(OrdersTable[[#This Row],[Profit]]/OrdersTable[[#This Row],[Net Revenue]],0)</f>
        <v>0.43043982702246597</v>
      </c>
      <c r="AA3958" t="s">
        <v>18</v>
      </c>
      <c r="AB3958" s="79">
        <v>45933</v>
      </c>
      <c r="AC3958">
        <f>OrdersTable[[#This Row],[Delivery Date]]-OrdersTable[[#This Row],[Order Date]]</f>
        <v>6</v>
      </c>
      <c r="AD3958" t="str">
        <f>IF(OrdersTable[[#This Row],[Delivery Days]]&lt;=2, "Express (≤2d)", IF(OrdersTable[[#This Row],[Delivery Days]]&lt;=4, "Standard (3-4d)", "Delayed (5d+)"))</f>
        <v>Delayed (5d+)</v>
      </c>
      <c r="AE3958">
        <v>3</v>
      </c>
      <c r="AF3958">
        <v>1</v>
      </c>
    </row>
    <row r="3959" spans="1:32" ht="15" x14ac:dyDescent="0.35">
      <c r="A3959" t="s">
        <v>2462</v>
      </c>
      <c r="B3959" s="1">
        <v>45927</v>
      </c>
      <c r="C3959">
        <f>YEAR(OrdersTable[[#This Row],[Order Date]])</f>
        <v>2025</v>
      </c>
      <c r="D3959" s="2">
        <f>DATE(YEAR(OrdersTable[[#This Row],[Order Date]]),MONTH(OrdersTable[[#This Row],[Order Date]]),1)</f>
        <v>45901</v>
      </c>
      <c r="E3959">
        <f>MONTH(OrdersTable[[#This Row],[Order Date]])</f>
        <v>9</v>
      </c>
      <c r="F3959" t="s">
        <v>2463</v>
      </c>
      <c r="G3959" t="str">
        <f>IF(OrdersTable[[#This Row],[Order Date]]=_xlfn.MINIFS(Order_Date, Customer_ID, OrdersTable[[#This Row],[Customer ID]]), "New", "Repeat")</f>
        <v>Repeat</v>
      </c>
      <c r="H3959" t="s">
        <v>71</v>
      </c>
      <c r="I3959" t="str">
        <f>INDEX(State!B:B,MATCH(OrdersTable[[#This Row],[State]],State!A:A,0))</f>
        <v>MH</v>
      </c>
      <c r="J3959" t="str">
        <f>INDEX(State!C:C,MATCH(OrdersTable[[#This Row],[State Code]],State!B:B,0))</f>
        <v>West</v>
      </c>
      <c r="K3959" t="s">
        <v>102</v>
      </c>
      <c r="L3959" t="s">
        <v>65</v>
      </c>
      <c r="M3959" t="s">
        <v>61</v>
      </c>
      <c r="N3959" t="str">
        <f>INDEX(Products!B:B,MATCH(OrdersTable[[#This Row],[Product ID]],Products!A:A,0))</f>
        <v>Multivitamin Gummies</v>
      </c>
      <c r="O3959" t="str">
        <f>INDEX(Products!C:C,MATCH(OrdersTable[[#This Row],[Product ID]],Products!A:A,0))</f>
        <v>Wellness</v>
      </c>
      <c r="P3959">
        <v>1</v>
      </c>
      <c r="Q3959" s="5">
        <v>699</v>
      </c>
      <c r="R3959" s="74">
        <v>0.3</v>
      </c>
      <c r="S3959" s="75">
        <f>OrdersTable[[#This Row],[Quantity]]*OrdersTable[[#This Row],[Unit Price]]</f>
        <v>699</v>
      </c>
      <c r="T3959" s="5">
        <f>OrdersTable[[#This Row],[Gross Sale]]*OrdersTable[[#This Row],[Discount_Clean2]]</f>
        <v>209.7</v>
      </c>
      <c r="U3959" s="5">
        <f>OrdersTable[[#This Row],[Gross Sale]]-OrdersTable[[#This Row],[Discount Amount]]</f>
        <v>489.3</v>
      </c>
      <c r="V3959" s="77">
        <f>INDEX(Products!E:E,MATCH(OrdersTable[[#This Row],[Product ID]],Products!A:A,0))</f>
        <v>238</v>
      </c>
      <c r="W3959" s="77">
        <f>OrdersTable[[#This Row],[Quantity]]*OrdersTable[[#This Row],[Unit Cost]]</f>
        <v>238</v>
      </c>
      <c r="X3959" s="77">
        <f>'Dropdown Lists'!$I$2*(1+OrdersTable[[#This Row],[Returned]])</f>
        <v>60</v>
      </c>
      <c r="Y3959" s="76">
        <f>OrdersTable[[#This Row],[Net Revenue]]-OrdersTable[[#This Row],[COGS]]-OrdersTable[[#This Row],[Shipping Cost]]</f>
        <v>191.3</v>
      </c>
      <c r="Z3959" s="78">
        <f>IFERROR(OrdersTable[[#This Row],[Profit]]/OrdersTable[[#This Row],[Net Revenue]],0)</f>
        <v>0.39096668710402616</v>
      </c>
      <c r="AA3959" t="s">
        <v>18</v>
      </c>
      <c r="AB3959" s="79">
        <v>45929</v>
      </c>
      <c r="AC3959">
        <f>OrdersTable[[#This Row],[Delivery Date]]-OrdersTable[[#This Row],[Order Date]]</f>
        <v>2</v>
      </c>
      <c r="AD3959" t="str">
        <f>IF(OrdersTable[[#This Row],[Delivery Days]]&lt;=2, "Express (≤2d)", IF(OrdersTable[[#This Row],[Delivery Days]]&lt;=4, "Standard (3-4d)", "Delayed (5d+)"))</f>
        <v>Express (≤2d)</v>
      </c>
      <c r="AE3959">
        <v>5</v>
      </c>
      <c r="AF3959">
        <v>0</v>
      </c>
    </row>
    <row r="3960" spans="1:32" ht="15" x14ac:dyDescent="0.35">
      <c r="A3960" t="s">
        <v>6619</v>
      </c>
      <c r="B3960" s="1">
        <v>45927</v>
      </c>
      <c r="C3960">
        <f>YEAR(OrdersTable[[#This Row],[Order Date]])</f>
        <v>2025</v>
      </c>
      <c r="D3960" s="2">
        <f>DATE(YEAR(OrdersTable[[#This Row],[Order Date]]),MONTH(OrdersTable[[#This Row],[Order Date]]),1)</f>
        <v>45901</v>
      </c>
      <c r="E3960">
        <f>MONTH(OrdersTable[[#This Row],[Order Date]])</f>
        <v>9</v>
      </c>
      <c r="F3960" t="s">
        <v>6620</v>
      </c>
      <c r="G3960" t="str">
        <f>IF(OrdersTable[[#This Row],[Order Date]]=_xlfn.MINIFS(Order_Date, Customer_ID, OrdersTable[[#This Row],[Customer ID]]), "New", "Repeat")</f>
        <v>New</v>
      </c>
      <c r="H3960" t="s">
        <v>71</v>
      </c>
      <c r="I3960" t="str">
        <f>INDEX(State!B:B,MATCH(OrdersTable[[#This Row],[State]],State!A:A,0))</f>
        <v>MH</v>
      </c>
      <c r="J3960" t="str">
        <f>INDEX(State!C:C,MATCH(OrdersTable[[#This Row],[State Code]],State!B:B,0))</f>
        <v>West</v>
      </c>
      <c r="K3960" t="s">
        <v>81</v>
      </c>
      <c r="L3960" t="s">
        <v>50</v>
      </c>
      <c r="M3960" t="s">
        <v>78</v>
      </c>
      <c r="N3960" t="str">
        <f>INDEX(Products!B:B,MATCH(OrdersTable[[#This Row],[Product ID]],Products!A:A,0))</f>
        <v>Retinol Night Cream</v>
      </c>
      <c r="O3960" t="str">
        <f>INDEX(Products!C:C,MATCH(OrdersTable[[#This Row],[Product ID]],Products!A:A,0))</f>
        <v>Skincare</v>
      </c>
      <c r="P3960">
        <v>3</v>
      </c>
      <c r="Q3960" s="5">
        <v>799</v>
      </c>
      <c r="R3960" s="74">
        <v>0.1</v>
      </c>
      <c r="S3960" s="75">
        <f>OrdersTable[[#This Row],[Quantity]]*OrdersTable[[#This Row],[Unit Price]]</f>
        <v>2397</v>
      </c>
      <c r="T3960" s="5">
        <f>OrdersTable[[#This Row],[Gross Sale]]*OrdersTable[[#This Row],[Discount_Clean2]]</f>
        <v>239.70000000000002</v>
      </c>
      <c r="U3960" s="5">
        <f>OrdersTable[[#This Row],[Gross Sale]]-OrdersTable[[#This Row],[Discount Amount]]</f>
        <v>2157.3000000000002</v>
      </c>
      <c r="V3960" s="77">
        <f>INDEX(Products!E:E,MATCH(OrdersTable[[#This Row],[Product ID]],Products!A:A,0))</f>
        <v>216</v>
      </c>
      <c r="W3960" s="77">
        <f>OrdersTable[[#This Row],[Quantity]]*OrdersTable[[#This Row],[Unit Cost]]</f>
        <v>648</v>
      </c>
      <c r="X3960" s="77">
        <f>'Dropdown Lists'!$I$2*(1+OrdersTable[[#This Row],[Returned]])</f>
        <v>60</v>
      </c>
      <c r="Y3960" s="76">
        <f>OrdersTable[[#This Row],[Net Revenue]]-OrdersTable[[#This Row],[COGS]]-OrdersTable[[#This Row],[Shipping Cost]]</f>
        <v>1449.3000000000002</v>
      </c>
      <c r="Z3960" s="78">
        <f>IFERROR(OrdersTable[[#This Row],[Profit]]/OrdersTable[[#This Row],[Net Revenue]],0)</f>
        <v>0.67181198720623003</v>
      </c>
      <c r="AA3960" t="s">
        <v>18</v>
      </c>
      <c r="AB3960" s="79">
        <v>45931</v>
      </c>
      <c r="AC3960">
        <f>OrdersTable[[#This Row],[Delivery Date]]-OrdersTable[[#This Row],[Order Date]]</f>
        <v>4</v>
      </c>
      <c r="AD3960" t="str">
        <f>IF(OrdersTable[[#This Row],[Delivery Days]]&lt;=2, "Express (≤2d)", IF(OrdersTable[[#This Row],[Delivery Days]]&lt;=4, "Standard (3-4d)", "Delayed (5d+)"))</f>
        <v>Standard (3-4d)</v>
      </c>
      <c r="AE3960">
        <v>3</v>
      </c>
      <c r="AF3960">
        <v>0</v>
      </c>
    </row>
    <row r="3961" spans="1:32" ht="15" x14ac:dyDescent="0.35">
      <c r="A3961" t="s">
        <v>373</v>
      </c>
      <c r="B3961" s="1">
        <v>45927</v>
      </c>
      <c r="C3961">
        <f>YEAR(OrdersTable[[#This Row],[Order Date]])</f>
        <v>2025</v>
      </c>
      <c r="D3961" s="2">
        <f>DATE(YEAR(OrdersTable[[#This Row],[Order Date]]),MONTH(OrdersTable[[#This Row],[Order Date]]),1)</f>
        <v>45901</v>
      </c>
      <c r="E3961">
        <f>MONTH(OrdersTable[[#This Row],[Order Date]])</f>
        <v>9</v>
      </c>
      <c r="F3961" t="s">
        <v>374</v>
      </c>
      <c r="G3961" t="str">
        <f>IF(OrdersTable[[#This Row],[Order Date]]=_xlfn.MINIFS(Order_Date, Customer_ID, OrdersTable[[#This Row],[Customer ID]]), "New", "Repeat")</f>
        <v>Repeat</v>
      </c>
      <c r="H3961" t="s">
        <v>95</v>
      </c>
      <c r="I3961" t="str">
        <f>INDEX(State!B:B,MATCH(OrdersTable[[#This Row],[State]],State!A:A,0))</f>
        <v>TG</v>
      </c>
      <c r="J3961" t="str">
        <f>INDEX(State!C:C,MATCH(OrdersTable[[#This Row],[State Code]],State!B:B,0))</f>
        <v>South</v>
      </c>
      <c r="K3961" t="s">
        <v>96</v>
      </c>
      <c r="L3961" t="s">
        <v>50</v>
      </c>
      <c r="M3961" t="s">
        <v>66</v>
      </c>
      <c r="N3961" t="str">
        <f>INDEX(Products!B:B,MATCH(OrdersTable[[#This Row],[Product ID]],Products!A:A,0))</f>
        <v>Sunscreen SPF 50</v>
      </c>
      <c r="O3961" t="str">
        <f>INDEX(Products!C:C,MATCH(OrdersTable[[#This Row],[Product ID]],Products!A:A,0))</f>
        <v>Skincare</v>
      </c>
      <c r="P3961">
        <v>1</v>
      </c>
      <c r="Q3961" s="5">
        <v>449</v>
      </c>
      <c r="R3961" s="74">
        <v>0.05</v>
      </c>
      <c r="S3961" s="75">
        <f>OrdersTable[[#This Row],[Quantity]]*OrdersTable[[#This Row],[Unit Price]]</f>
        <v>449</v>
      </c>
      <c r="T3961" s="5">
        <f>OrdersTable[[#This Row],[Gross Sale]]*OrdersTable[[#This Row],[Discount_Clean2]]</f>
        <v>22.450000000000003</v>
      </c>
      <c r="U3961" s="5">
        <f>OrdersTable[[#This Row],[Gross Sale]]-OrdersTable[[#This Row],[Discount Amount]]</f>
        <v>426.55</v>
      </c>
      <c r="V3961" s="77">
        <f>INDEX(Products!E:E,MATCH(OrdersTable[[#This Row],[Product ID]],Products!A:A,0))</f>
        <v>144</v>
      </c>
      <c r="W3961" s="77">
        <f>OrdersTable[[#This Row],[Quantity]]*OrdersTable[[#This Row],[Unit Cost]]</f>
        <v>144</v>
      </c>
      <c r="X3961" s="77">
        <f>'Dropdown Lists'!$I$2*(1+OrdersTable[[#This Row],[Returned]])</f>
        <v>60</v>
      </c>
      <c r="Y3961" s="76">
        <f>OrdersTable[[#This Row],[Net Revenue]]-OrdersTable[[#This Row],[COGS]]-OrdersTable[[#This Row],[Shipping Cost]]</f>
        <v>222.55</v>
      </c>
      <c r="Z3961" s="78">
        <f>IFERROR(OrdersTable[[#This Row],[Profit]]/OrdersTable[[#This Row],[Net Revenue]],0)</f>
        <v>0.52174422693705313</v>
      </c>
      <c r="AA3961" t="s">
        <v>18</v>
      </c>
      <c r="AB3961" s="79">
        <v>45928</v>
      </c>
      <c r="AC3961">
        <f>OrdersTable[[#This Row],[Delivery Date]]-OrdersTable[[#This Row],[Order Date]]</f>
        <v>1</v>
      </c>
      <c r="AD3961" t="str">
        <f>IF(OrdersTable[[#This Row],[Delivery Days]]&lt;=2, "Express (≤2d)", IF(OrdersTable[[#This Row],[Delivery Days]]&lt;=4, "Standard (3-4d)", "Delayed (5d+)"))</f>
        <v>Express (≤2d)</v>
      </c>
      <c r="AE3961">
        <v>4</v>
      </c>
      <c r="AF3961">
        <v>0</v>
      </c>
    </row>
    <row r="3962" spans="1:32" ht="15" x14ac:dyDescent="0.35">
      <c r="A3962" t="s">
        <v>3669</v>
      </c>
      <c r="B3962" s="1">
        <v>45927</v>
      </c>
      <c r="C3962">
        <f>YEAR(OrdersTable[[#This Row],[Order Date]])</f>
        <v>2025</v>
      </c>
      <c r="D3962" s="2">
        <f>DATE(YEAR(OrdersTable[[#This Row],[Order Date]]),MONTH(OrdersTable[[#This Row],[Order Date]]),1)</f>
        <v>45901</v>
      </c>
      <c r="E3962">
        <f>MONTH(OrdersTable[[#This Row],[Order Date]])</f>
        <v>9</v>
      </c>
      <c r="F3962" t="s">
        <v>2260</v>
      </c>
      <c r="G3962" t="str">
        <f>IF(OrdersTable[[#This Row],[Order Date]]=_xlfn.MINIFS(Order_Date, Customer_ID, OrdersTable[[#This Row],[Customer ID]]), "New", "Repeat")</f>
        <v>Repeat</v>
      </c>
      <c r="H3962" t="s">
        <v>95</v>
      </c>
      <c r="I3962" t="str">
        <f>INDEX(State!B:B,MATCH(OrdersTable[[#This Row],[State]],State!A:A,0))</f>
        <v>TG</v>
      </c>
      <c r="J3962" t="str">
        <f>INDEX(State!C:C,MATCH(OrdersTable[[#This Row],[State Code]],State!B:B,0))</f>
        <v>South</v>
      </c>
      <c r="K3962" t="s">
        <v>96</v>
      </c>
      <c r="L3962" t="s">
        <v>65</v>
      </c>
      <c r="M3962" t="s">
        <v>61</v>
      </c>
      <c r="N3962" t="str">
        <f>INDEX(Products!B:B,MATCH(OrdersTable[[#This Row],[Product ID]],Products!A:A,0))</f>
        <v>Multivitamin Gummies</v>
      </c>
      <c r="O3962" t="str">
        <f>INDEX(Products!C:C,MATCH(OrdersTable[[#This Row],[Product ID]],Products!A:A,0))</f>
        <v>Wellness</v>
      </c>
      <c r="P3962">
        <v>1</v>
      </c>
      <c r="Q3962" s="5">
        <v>699</v>
      </c>
      <c r="R3962" s="74">
        <v>0.2</v>
      </c>
      <c r="S3962" s="75">
        <f>OrdersTable[[#This Row],[Quantity]]*OrdersTable[[#This Row],[Unit Price]]</f>
        <v>699</v>
      </c>
      <c r="T3962" s="5">
        <f>OrdersTable[[#This Row],[Gross Sale]]*OrdersTable[[#This Row],[Discount_Clean2]]</f>
        <v>139.80000000000001</v>
      </c>
      <c r="U3962" s="5">
        <f>OrdersTable[[#This Row],[Gross Sale]]-OrdersTable[[#This Row],[Discount Amount]]</f>
        <v>559.20000000000005</v>
      </c>
      <c r="V3962" s="77">
        <f>INDEX(Products!E:E,MATCH(OrdersTable[[#This Row],[Product ID]],Products!A:A,0))</f>
        <v>238</v>
      </c>
      <c r="W3962" s="77">
        <f>OrdersTable[[#This Row],[Quantity]]*OrdersTable[[#This Row],[Unit Cost]]</f>
        <v>238</v>
      </c>
      <c r="X3962" s="77">
        <f>'Dropdown Lists'!$I$2*(1+OrdersTable[[#This Row],[Returned]])</f>
        <v>60</v>
      </c>
      <c r="Y3962" s="76">
        <f>OrdersTable[[#This Row],[Net Revenue]]-OrdersTable[[#This Row],[COGS]]-OrdersTable[[#This Row],[Shipping Cost]]</f>
        <v>261.20000000000005</v>
      </c>
      <c r="Z3962" s="78">
        <f>IFERROR(OrdersTable[[#This Row],[Profit]]/OrdersTable[[#This Row],[Net Revenue]],0)</f>
        <v>0.46709585121602293</v>
      </c>
      <c r="AA3962" t="s">
        <v>3495</v>
      </c>
      <c r="AB3962" s="79">
        <v>45929</v>
      </c>
      <c r="AC3962">
        <f>OrdersTable[[#This Row],[Delivery Date]]-OrdersTable[[#This Row],[Order Date]]</f>
        <v>2</v>
      </c>
      <c r="AD3962" t="str">
        <f>IF(OrdersTable[[#This Row],[Delivery Days]]&lt;=2, "Express (≤2d)", IF(OrdersTable[[#This Row],[Delivery Days]]&lt;=4, "Standard (3-4d)", "Delayed (5d+)"))</f>
        <v>Express (≤2d)</v>
      </c>
      <c r="AE3962">
        <v>4</v>
      </c>
      <c r="AF3962">
        <v>0</v>
      </c>
    </row>
    <row r="3963" spans="1:32" ht="15" x14ac:dyDescent="0.35">
      <c r="A3963" t="s">
        <v>3107</v>
      </c>
      <c r="B3963" s="1">
        <v>45927</v>
      </c>
      <c r="C3963">
        <f>YEAR(OrdersTable[[#This Row],[Order Date]])</f>
        <v>2025</v>
      </c>
      <c r="D3963" s="2">
        <f>DATE(YEAR(OrdersTable[[#This Row],[Order Date]]),MONTH(OrdersTable[[#This Row],[Order Date]]),1)</f>
        <v>45901</v>
      </c>
      <c r="E3963">
        <f>MONTH(OrdersTable[[#This Row],[Order Date]])</f>
        <v>9</v>
      </c>
      <c r="F3963" t="s">
        <v>230</v>
      </c>
      <c r="G3963" t="str">
        <f>IF(OrdersTable[[#This Row],[Order Date]]=_xlfn.MINIFS(Order_Date, Customer_ID, OrdersTable[[#This Row],[Customer ID]]), "New", "Repeat")</f>
        <v>Repeat</v>
      </c>
      <c r="H3963" t="s">
        <v>59</v>
      </c>
      <c r="I3963" t="str">
        <f>INDEX(State!B:B,MATCH(OrdersTable[[#This Row],[State]],State!A:A,0))</f>
        <v>TN</v>
      </c>
      <c r="J3963" t="str">
        <f>INDEX(State!C:C,MATCH(OrdersTable[[#This Row],[State Code]],State!B:B,0))</f>
        <v>South</v>
      </c>
      <c r="K3963" t="s">
        <v>60</v>
      </c>
      <c r="L3963" t="s">
        <v>50</v>
      </c>
      <c r="M3963" t="s">
        <v>106</v>
      </c>
      <c r="N3963" t="str">
        <f>INDEX(Products!B:B,MATCH(OrdersTable[[#This Row],[Product ID]],Products!A:A,0))</f>
        <v>Keratin Hair Mask</v>
      </c>
      <c r="O3963" t="str">
        <f>INDEX(Products!C:C,MATCH(OrdersTable[[#This Row],[Product ID]],Products!A:A,0))</f>
        <v>Haircare</v>
      </c>
      <c r="P3963">
        <v>1</v>
      </c>
      <c r="Q3963" s="5">
        <v>549</v>
      </c>
      <c r="R3963" s="74">
        <v>0.1</v>
      </c>
      <c r="S3963" s="75">
        <f>OrdersTable[[#This Row],[Quantity]]*OrdersTable[[#This Row],[Unit Price]]</f>
        <v>549</v>
      </c>
      <c r="T3963" s="5">
        <f>OrdersTable[[#This Row],[Gross Sale]]*OrdersTable[[#This Row],[Discount_Clean2]]</f>
        <v>54.900000000000006</v>
      </c>
      <c r="U3963" s="5">
        <f>OrdersTable[[#This Row],[Gross Sale]]-OrdersTable[[#This Row],[Discount Amount]]</f>
        <v>494.1</v>
      </c>
      <c r="V3963" s="77">
        <f>INDEX(Products!E:E,MATCH(OrdersTable[[#This Row],[Product ID]],Products!A:A,0))</f>
        <v>170</v>
      </c>
      <c r="W3963" s="77">
        <f>OrdersTable[[#This Row],[Quantity]]*OrdersTable[[#This Row],[Unit Cost]]</f>
        <v>170</v>
      </c>
      <c r="X3963" s="77">
        <f>'Dropdown Lists'!$I$2*(1+OrdersTable[[#This Row],[Returned]])</f>
        <v>60</v>
      </c>
      <c r="Y3963" s="76">
        <f>OrdersTable[[#This Row],[Net Revenue]]-OrdersTable[[#This Row],[COGS]]-OrdersTable[[#This Row],[Shipping Cost]]</f>
        <v>264.10000000000002</v>
      </c>
      <c r="Z3963" s="78">
        <f>IFERROR(OrdersTable[[#This Row],[Profit]]/OrdersTable[[#This Row],[Net Revenue]],0)</f>
        <v>0.53450718478040882</v>
      </c>
      <c r="AA3963" t="s">
        <v>2522</v>
      </c>
      <c r="AB3963" s="79">
        <v>45930</v>
      </c>
      <c r="AC3963">
        <f>OrdersTable[[#This Row],[Delivery Date]]-OrdersTable[[#This Row],[Order Date]]</f>
        <v>3</v>
      </c>
      <c r="AD3963" t="str">
        <f>IF(OrdersTable[[#This Row],[Delivery Days]]&lt;=2, "Express (≤2d)", IF(OrdersTable[[#This Row],[Delivery Days]]&lt;=4, "Standard (3-4d)", "Delayed (5d+)"))</f>
        <v>Standard (3-4d)</v>
      </c>
      <c r="AF3963">
        <v>0</v>
      </c>
    </row>
    <row r="3964" spans="1:32" ht="15" x14ac:dyDescent="0.35">
      <c r="A3964" t="s">
        <v>5032</v>
      </c>
      <c r="B3964" s="1">
        <v>45927</v>
      </c>
      <c r="C3964">
        <f>YEAR(OrdersTable[[#This Row],[Order Date]])</f>
        <v>2025</v>
      </c>
      <c r="D3964" s="2">
        <f>DATE(YEAR(OrdersTable[[#This Row],[Order Date]]),MONTH(OrdersTable[[#This Row],[Order Date]]),1)</f>
        <v>45901</v>
      </c>
      <c r="E3964">
        <f>MONTH(OrdersTable[[#This Row],[Order Date]])</f>
        <v>9</v>
      </c>
      <c r="F3964" t="s">
        <v>5033</v>
      </c>
      <c r="G3964" t="str">
        <f>IF(OrdersTable[[#This Row],[Order Date]]=_xlfn.MINIFS(Order_Date, Customer_ID, OrdersTable[[#This Row],[Customer ID]]), "New", "Repeat")</f>
        <v>New</v>
      </c>
      <c r="H3964" t="s">
        <v>59</v>
      </c>
      <c r="I3964" t="str">
        <f>INDEX(State!B:B,MATCH(OrdersTable[[#This Row],[State]],State!A:A,0))</f>
        <v>TN</v>
      </c>
      <c r="J3964" t="str">
        <f>INDEX(State!C:C,MATCH(OrdersTable[[#This Row],[State Code]],State!B:B,0))</f>
        <v>South</v>
      </c>
      <c r="K3964" t="s">
        <v>64</v>
      </c>
      <c r="L3964" t="s">
        <v>65</v>
      </c>
      <c r="M3964" t="s">
        <v>73</v>
      </c>
      <c r="N3964" t="str">
        <f>INDEX(Products!B:B,MATCH(OrdersTable[[#This Row],[Product ID]],Products!A:A,0))</f>
        <v>Hydrating Face Wash</v>
      </c>
      <c r="O3964" t="str">
        <f>INDEX(Products!C:C,MATCH(OrdersTable[[#This Row],[Product ID]],Products!A:A,0))</f>
        <v>Skincare</v>
      </c>
      <c r="P3964">
        <v>2</v>
      </c>
      <c r="Q3964" s="5">
        <v>299</v>
      </c>
      <c r="R3964" s="74">
        <v>0</v>
      </c>
      <c r="S3964" s="75">
        <f>OrdersTable[[#This Row],[Quantity]]*OrdersTable[[#This Row],[Unit Price]]</f>
        <v>598</v>
      </c>
      <c r="T3964" s="5">
        <f>OrdersTable[[#This Row],[Gross Sale]]*OrdersTable[[#This Row],[Discount_Clean2]]</f>
        <v>0</v>
      </c>
      <c r="U3964" s="5">
        <f>OrdersTable[[#This Row],[Gross Sale]]-OrdersTable[[#This Row],[Discount Amount]]</f>
        <v>598</v>
      </c>
      <c r="V3964" s="77">
        <f>INDEX(Products!E:E,MATCH(OrdersTable[[#This Row],[Product ID]],Products!A:A,0))</f>
        <v>90</v>
      </c>
      <c r="W3964" s="77">
        <f>OrdersTable[[#This Row],[Quantity]]*OrdersTable[[#This Row],[Unit Cost]]</f>
        <v>180</v>
      </c>
      <c r="X3964" s="77">
        <f>'Dropdown Lists'!$I$2*(1+OrdersTable[[#This Row],[Returned]])</f>
        <v>60</v>
      </c>
      <c r="Y3964" s="76">
        <f>OrdersTable[[#This Row],[Net Revenue]]-OrdersTable[[#This Row],[COGS]]-OrdersTable[[#This Row],[Shipping Cost]]</f>
        <v>358</v>
      </c>
      <c r="Z3964" s="78">
        <f>IFERROR(OrdersTable[[#This Row],[Profit]]/OrdersTable[[#This Row],[Net Revenue]],0)</f>
        <v>0.59866220735785958</v>
      </c>
      <c r="AA3964" t="s">
        <v>4074</v>
      </c>
      <c r="AB3964" s="79">
        <v>45930</v>
      </c>
      <c r="AC3964">
        <f>OrdersTable[[#This Row],[Delivery Date]]-OrdersTable[[#This Row],[Order Date]]</f>
        <v>3</v>
      </c>
      <c r="AD3964" t="str">
        <f>IF(OrdersTable[[#This Row],[Delivery Days]]&lt;=2, "Express (≤2d)", IF(OrdersTable[[#This Row],[Delivery Days]]&lt;=4, "Standard (3-4d)", "Delayed (5d+)"))</f>
        <v>Standard (3-4d)</v>
      </c>
      <c r="AE3964">
        <v>4</v>
      </c>
      <c r="AF3964">
        <v>0</v>
      </c>
    </row>
    <row r="3965" spans="1:32" ht="15" x14ac:dyDescent="0.35">
      <c r="A3965" t="s">
        <v>4726</v>
      </c>
      <c r="B3965" s="1">
        <v>45927</v>
      </c>
      <c r="C3965">
        <f>YEAR(OrdersTable[[#This Row],[Order Date]])</f>
        <v>2025</v>
      </c>
      <c r="D3965" s="2">
        <f>DATE(YEAR(OrdersTable[[#This Row],[Order Date]]),MONTH(OrdersTable[[#This Row],[Order Date]]),1)</f>
        <v>45901</v>
      </c>
      <c r="E3965">
        <f>MONTH(OrdersTable[[#This Row],[Order Date]])</f>
        <v>9</v>
      </c>
      <c r="F3965" t="s">
        <v>2014</v>
      </c>
      <c r="G3965" t="str">
        <f>IF(OrdersTable[[#This Row],[Order Date]]=_xlfn.MINIFS(Order_Date, Customer_ID, OrdersTable[[#This Row],[Customer ID]]), "New", "Repeat")</f>
        <v>Repeat</v>
      </c>
      <c r="H3965" t="s">
        <v>59</v>
      </c>
      <c r="I3965" t="str">
        <f>INDEX(State!B:B,MATCH(OrdersTable[[#This Row],[State]],State!A:A,0))</f>
        <v>TN</v>
      </c>
      <c r="J3965" t="str">
        <f>INDEX(State!C:C,MATCH(OrdersTable[[#This Row],[State Code]],State!B:B,0))</f>
        <v>South</v>
      </c>
      <c r="K3965" t="s">
        <v>64</v>
      </c>
      <c r="L3965" t="s">
        <v>65</v>
      </c>
      <c r="M3965" t="s">
        <v>565</v>
      </c>
      <c r="N3965" t="str">
        <f>INDEX(Products!B:B,MATCH(OrdersTable[[#This Row],[Product ID]],Products!A:A,0))</f>
        <v>Ceramic Dinner Set</v>
      </c>
      <c r="O3965" t="str">
        <f>INDEX(Products!C:C,MATCH(OrdersTable[[#This Row],[Product ID]],Products!A:A,0))</f>
        <v>Home &amp; Kitchen</v>
      </c>
      <c r="P3965">
        <v>1</v>
      </c>
      <c r="Q3965" s="5">
        <v>2499</v>
      </c>
      <c r="R3965" s="74">
        <v>0.3</v>
      </c>
      <c r="S3965" s="75">
        <f>OrdersTable[[#This Row],[Quantity]]*OrdersTable[[#This Row],[Unit Price]]</f>
        <v>2499</v>
      </c>
      <c r="T3965" s="5">
        <f>OrdersTable[[#This Row],[Gross Sale]]*OrdersTable[[#This Row],[Discount_Clean2]]</f>
        <v>749.69999999999993</v>
      </c>
      <c r="U3965" s="5">
        <f>OrdersTable[[#This Row],[Gross Sale]]-OrdersTable[[#This Row],[Discount Amount]]</f>
        <v>1749.3000000000002</v>
      </c>
      <c r="V3965" s="77">
        <f>INDEX(Products!E:E,MATCH(OrdersTable[[#This Row],[Product ID]],Products!A:A,0))</f>
        <v>1250</v>
      </c>
      <c r="W3965" s="77">
        <f>OrdersTable[[#This Row],[Quantity]]*OrdersTable[[#This Row],[Unit Cost]]</f>
        <v>1250</v>
      </c>
      <c r="X3965" s="77">
        <f>'Dropdown Lists'!$I$2*(1+OrdersTable[[#This Row],[Returned]])</f>
        <v>60</v>
      </c>
      <c r="Y3965" s="76">
        <f>OrdersTable[[#This Row],[Net Revenue]]-OrdersTable[[#This Row],[COGS]]-OrdersTable[[#This Row],[Shipping Cost]]</f>
        <v>439.30000000000018</v>
      </c>
      <c r="Z3965" s="78">
        <f>IFERROR(OrdersTable[[#This Row],[Profit]]/OrdersTable[[#This Row],[Net Revenue]],0)</f>
        <v>0.25112902303778661</v>
      </c>
      <c r="AA3965" t="s">
        <v>4450</v>
      </c>
      <c r="AB3965" s="79">
        <v>45929</v>
      </c>
      <c r="AC3965">
        <f>OrdersTable[[#This Row],[Delivery Date]]-OrdersTable[[#This Row],[Order Date]]</f>
        <v>2</v>
      </c>
      <c r="AD3965" t="str">
        <f>IF(OrdersTable[[#This Row],[Delivery Days]]&lt;=2, "Express (≤2d)", IF(OrdersTable[[#This Row],[Delivery Days]]&lt;=4, "Standard (3-4d)", "Delayed (5d+)"))</f>
        <v>Express (≤2d)</v>
      </c>
      <c r="AE3965">
        <v>5</v>
      </c>
      <c r="AF3965">
        <v>0</v>
      </c>
    </row>
    <row r="3966" spans="1:32" ht="15" x14ac:dyDescent="0.35">
      <c r="A3966" t="s">
        <v>2659</v>
      </c>
      <c r="B3966" s="1">
        <v>45928</v>
      </c>
      <c r="C3966">
        <f>YEAR(OrdersTable[[#This Row],[Order Date]])</f>
        <v>2025</v>
      </c>
      <c r="D3966" s="2">
        <f>DATE(YEAR(OrdersTable[[#This Row],[Order Date]]),MONTH(OrdersTable[[#This Row],[Order Date]]),1)</f>
        <v>45901</v>
      </c>
      <c r="E3966">
        <f>MONTH(OrdersTable[[#This Row],[Order Date]])</f>
        <v>9</v>
      </c>
      <c r="F3966" t="s">
        <v>86</v>
      </c>
      <c r="G3966" t="str">
        <f>IF(OrdersTable[[#This Row],[Order Date]]=_xlfn.MINIFS(Order_Date, Customer_ID, OrdersTable[[#This Row],[Customer ID]]), "New", "Repeat")</f>
        <v>Repeat</v>
      </c>
      <c r="H3966" t="s">
        <v>128</v>
      </c>
      <c r="I3966" t="str">
        <f>INDEX(State!B:B,MATCH(OrdersTable[[#This Row],[State]],State!A:A,0))</f>
        <v>DL</v>
      </c>
      <c r="J3966" t="str">
        <f>INDEX(State!C:C,MATCH(OrdersTable[[#This Row],[State Code]],State!B:B,0))</f>
        <v>North</v>
      </c>
      <c r="K3966" t="s">
        <v>129</v>
      </c>
      <c r="L3966" t="s">
        <v>65</v>
      </c>
      <c r="M3966" t="s">
        <v>34</v>
      </c>
      <c r="N3966" t="str">
        <f>INDEX(Products!B:B,MATCH(OrdersTable[[#This Row],[Product ID]],Products!A:A,0))</f>
        <v>Flip Flops</v>
      </c>
      <c r="O3966" t="str">
        <f>INDEX(Products!C:C,MATCH(OrdersTable[[#This Row],[Product ID]],Products!A:A,0))</f>
        <v>Footwear</v>
      </c>
      <c r="P3966">
        <v>1</v>
      </c>
      <c r="Q3966" s="5">
        <v>399</v>
      </c>
      <c r="R3966" s="74">
        <v>0.1</v>
      </c>
      <c r="S3966" s="75">
        <f>OrdersTable[[#This Row],[Quantity]]*OrdersTable[[#This Row],[Unit Price]]</f>
        <v>399</v>
      </c>
      <c r="T3966" s="5">
        <f>OrdersTable[[#This Row],[Gross Sale]]*OrdersTable[[#This Row],[Discount_Clean2]]</f>
        <v>39.900000000000006</v>
      </c>
      <c r="U3966" s="5">
        <f>OrdersTable[[#This Row],[Gross Sale]]-OrdersTable[[#This Row],[Discount Amount]]</f>
        <v>359.1</v>
      </c>
      <c r="V3966" s="77">
        <f>INDEX(Products!E:E,MATCH(OrdersTable[[#This Row],[Product ID]],Products!A:A,0))</f>
        <v>152</v>
      </c>
      <c r="W3966" s="77">
        <f>OrdersTable[[#This Row],[Quantity]]*OrdersTable[[#This Row],[Unit Cost]]</f>
        <v>152</v>
      </c>
      <c r="X3966" s="77">
        <f>'Dropdown Lists'!$I$2*(1+OrdersTable[[#This Row],[Returned]])</f>
        <v>60</v>
      </c>
      <c r="Y3966" s="76">
        <f>OrdersTable[[#This Row],[Net Revenue]]-OrdersTable[[#This Row],[COGS]]-OrdersTable[[#This Row],[Shipping Cost]]</f>
        <v>147.10000000000002</v>
      </c>
      <c r="Z3966" s="78">
        <f>IFERROR(OrdersTable[[#This Row],[Profit]]/OrdersTable[[#This Row],[Net Revenue]],0)</f>
        <v>0.40963519910888335</v>
      </c>
      <c r="AA3966" t="s">
        <v>2522</v>
      </c>
      <c r="AB3966" s="79">
        <v>45930</v>
      </c>
      <c r="AC3966">
        <f>OrdersTable[[#This Row],[Delivery Date]]-OrdersTable[[#This Row],[Order Date]]</f>
        <v>2</v>
      </c>
      <c r="AD3966" t="str">
        <f>IF(OrdersTable[[#This Row],[Delivery Days]]&lt;=2, "Express (≤2d)", IF(OrdersTable[[#This Row],[Delivery Days]]&lt;=4, "Standard (3-4d)", "Delayed (5d+)"))</f>
        <v>Express (≤2d)</v>
      </c>
      <c r="AE3966">
        <v>5</v>
      </c>
      <c r="AF3966">
        <v>0</v>
      </c>
    </row>
    <row r="3967" spans="1:32" ht="15" x14ac:dyDescent="0.35">
      <c r="A3967" t="s">
        <v>7026</v>
      </c>
      <c r="B3967" s="1">
        <v>45928</v>
      </c>
      <c r="C3967">
        <f>YEAR(OrdersTable[[#This Row],[Order Date]])</f>
        <v>2025</v>
      </c>
      <c r="D3967" s="2">
        <f>DATE(YEAR(OrdersTable[[#This Row],[Order Date]]),MONTH(OrdersTable[[#This Row],[Order Date]]),1)</f>
        <v>45901</v>
      </c>
      <c r="E3967">
        <f>MONTH(OrdersTable[[#This Row],[Order Date]])</f>
        <v>9</v>
      </c>
      <c r="F3967" t="s">
        <v>1220</v>
      </c>
      <c r="G3967" t="str">
        <f>IF(OrdersTable[[#This Row],[Order Date]]=_xlfn.MINIFS(Order_Date, Customer_ID, OrdersTable[[#This Row],[Customer ID]]), "New", "Repeat")</f>
        <v>Repeat</v>
      </c>
      <c r="H3967" t="s">
        <v>76</v>
      </c>
      <c r="I3967" t="str">
        <f>INDEX(State!B:B,MATCH(OrdersTable[[#This Row],[State]],State!A:A,0))</f>
        <v>UP</v>
      </c>
      <c r="J3967" t="str">
        <f>INDEX(State!C:C,MATCH(OrdersTable[[#This Row],[State Code]],State!B:B,0))</f>
        <v>North</v>
      </c>
      <c r="K3967" t="s">
        <v>105</v>
      </c>
      <c r="L3967" t="s">
        <v>16</v>
      </c>
      <c r="M3967" t="s">
        <v>92</v>
      </c>
      <c r="N3967" t="str">
        <f>INDEX(Products!B:B,MATCH(OrdersTable[[#This Row],[Product ID]],Products!A:A,0))</f>
        <v>Kolhapuri Sandals</v>
      </c>
      <c r="O3967" t="str">
        <f>INDEX(Products!C:C,MATCH(OrdersTable[[#This Row],[Product ID]],Products!A:A,0))</f>
        <v>Footwear</v>
      </c>
      <c r="P3967">
        <v>4</v>
      </c>
      <c r="Q3967" s="5">
        <v>999</v>
      </c>
      <c r="R3967" s="74">
        <v>0.15</v>
      </c>
      <c r="S3967" s="75">
        <f>OrdersTable[[#This Row],[Quantity]]*OrdersTable[[#This Row],[Unit Price]]</f>
        <v>3996</v>
      </c>
      <c r="T3967" s="5">
        <f>OrdersTable[[#This Row],[Gross Sale]]*OrdersTable[[#This Row],[Discount_Clean2]]</f>
        <v>599.4</v>
      </c>
      <c r="U3967" s="5">
        <f>OrdersTable[[#This Row],[Gross Sale]]-OrdersTable[[#This Row],[Discount Amount]]</f>
        <v>3396.6</v>
      </c>
      <c r="V3967" s="77">
        <f>INDEX(Products!E:E,MATCH(OrdersTable[[#This Row],[Product ID]],Products!A:A,0))</f>
        <v>400</v>
      </c>
      <c r="W3967" s="77">
        <f>OrdersTable[[#This Row],[Quantity]]*OrdersTable[[#This Row],[Unit Cost]]</f>
        <v>1600</v>
      </c>
      <c r="X3967" s="77">
        <f>'Dropdown Lists'!$I$2*(1+OrdersTable[[#This Row],[Returned]])</f>
        <v>60</v>
      </c>
      <c r="Y3967" s="76">
        <f>OrdersTable[[#This Row],[Net Revenue]]-OrdersTable[[#This Row],[COGS]]-OrdersTable[[#This Row],[Shipping Cost]]</f>
        <v>1736.6</v>
      </c>
      <c r="Z3967" s="78">
        <f>IFERROR(OrdersTable[[#This Row],[Profit]]/OrdersTable[[#This Row],[Net Revenue]],0)</f>
        <v>0.51127598186421719</v>
      </c>
      <c r="AA3967" t="s">
        <v>3495</v>
      </c>
      <c r="AB3967" s="79">
        <v>45932</v>
      </c>
      <c r="AC3967">
        <f>OrdersTable[[#This Row],[Delivery Date]]-OrdersTable[[#This Row],[Order Date]]</f>
        <v>4</v>
      </c>
      <c r="AD3967" t="str">
        <f>IF(OrdersTable[[#This Row],[Delivery Days]]&lt;=2, "Express (≤2d)", IF(OrdersTable[[#This Row],[Delivery Days]]&lt;=4, "Standard (3-4d)", "Delayed (5d+)"))</f>
        <v>Standard (3-4d)</v>
      </c>
      <c r="AE3967">
        <v>5</v>
      </c>
      <c r="AF3967">
        <v>0</v>
      </c>
    </row>
    <row r="3968" spans="1:32" ht="15" x14ac:dyDescent="0.35">
      <c r="A3968" t="s">
        <v>865</v>
      </c>
      <c r="B3968" s="1">
        <v>45928</v>
      </c>
      <c r="C3968">
        <f>YEAR(OrdersTable[[#This Row],[Order Date]])</f>
        <v>2025</v>
      </c>
      <c r="D3968" s="2">
        <f>DATE(YEAR(OrdersTable[[#This Row],[Order Date]]),MONTH(OrdersTable[[#This Row],[Order Date]]),1)</f>
        <v>45901</v>
      </c>
      <c r="E3968">
        <f>MONTH(OrdersTable[[#This Row],[Order Date]])</f>
        <v>9</v>
      </c>
      <c r="F3968" t="s">
        <v>866</v>
      </c>
      <c r="G3968" t="str">
        <f>IF(OrdersTable[[#This Row],[Order Date]]=_xlfn.MINIFS(Order_Date, Customer_ID, OrdersTable[[#This Row],[Customer ID]]), "New", "Repeat")</f>
        <v>New</v>
      </c>
      <c r="H3968" t="s">
        <v>27</v>
      </c>
      <c r="I3968" t="str">
        <f>INDEX(State!B:B,MATCH(OrdersTable[[#This Row],[State]],State!A:A,0))</f>
        <v>WB</v>
      </c>
      <c r="J3968" t="str">
        <f>INDEX(State!C:C,MATCH(OrdersTable[[#This Row],[State Code]],State!B:B,0))</f>
        <v>East</v>
      </c>
      <c r="K3968" t="s">
        <v>28</v>
      </c>
      <c r="L3968" t="s">
        <v>50</v>
      </c>
      <c r="M3968" t="s">
        <v>40</v>
      </c>
      <c r="N3968" t="str">
        <f>INDEX(Products!B:B,MATCH(OrdersTable[[#This Row],[Product ID]],Products!A:A,0))</f>
        <v>Ashwagandha Capsules</v>
      </c>
      <c r="O3968" t="str">
        <f>INDEX(Products!C:C,MATCH(OrdersTable[[#This Row],[Product ID]],Products!A:A,0))</f>
        <v>Wellness</v>
      </c>
      <c r="P3968">
        <v>1</v>
      </c>
      <c r="Q3968" s="5">
        <v>499</v>
      </c>
      <c r="R3968" s="74">
        <v>0</v>
      </c>
      <c r="S3968" s="75">
        <f>OrdersTable[[#This Row],[Quantity]]*OrdersTable[[#This Row],[Unit Price]]</f>
        <v>499</v>
      </c>
      <c r="T3968" s="5">
        <f>OrdersTable[[#This Row],[Gross Sale]]*OrdersTable[[#This Row],[Discount_Clean2]]</f>
        <v>0</v>
      </c>
      <c r="U3968" s="5">
        <f>OrdersTable[[#This Row],[Gross Sale]]-OrdersTable[[#This Row],[Discount Amount]]</f>
        <v>499</v>
      </c>
      <c r="V3968" s="77">
        <f>INDEX(Products!E:E,MATCH(OrdersTable[[#This Row],[Product ID]],Products!A:A,0))</f>
        <v>150</v>
      </c>
      <c r="W3968" s="77">
        <f>OrdersTable[[#This Row],[Quantity]]*OrdersTable[[#This Row],[Unit Cost]]</f>
        <v>150</v>
      </c>
      <c r="X3968" s="77">
        <f>'Dropdown Lists'!$I$2*(1+OrdersTable[[#This Row],[Returned]])</f>
        <v>60</v>
      </c>
      <c r="Y3968" s="76">
        <f>OrdersTable[[#This Row],[Net Revenue]]-OrdersTable[[#This Row],[COGS]]-OrdersTable[[#This Row],[Shipping Cost]]</f>
        <v>289</v>
      </c>
      <c r="Z3968" s="78">
        <f>IFERROR(OrdersTable[[#This Row],[Profit]]/OrdersTable[[#This Row],[Net Revenue]],0)</f>
        <v>0.57915831663326656</v>
      </c>
      <c r="AA3968" t="s">
        <v>18</v>
      </c>
      <c r="AB3968" s="79">
        <v>45933</v>
      </c>
      <c r="AC3968">
        <f>OrdersTable[[#This Row],[Delivery Date]]-OrdersTable[[#This Row],[Order Date]]</f>
        <v>5</v>
      </c>
      <c r="AD3968" t="str">
        <f>IF(OrdersTable[[#This Row],[Delivery Days]]&lt;=2, "Express (≤2d)", IF(OrdersTable[[#This Row],[Delivery Days]]&lt;=4, "Standard (3-4d)", "Delayed (5d+)"))</f>
        <v>Delayed (5d+)</v>
      </c>
      <c r="AE3968">
        <v>4</v>
      </c>
      <c r="AF3968">
        <v>0</v>
      </c>
    </row>
    <row r="3969" spans="1:32" ht="15" x14ac:dyDescent="0.35">
      <c r="A3969" t="s">
        <v>674</v>
      </c>
      <c r="B3969" s="1">
        <v>45928</v>
      </c>
      <c r="C3969">
        <f>YEAR(OrdersTable[[#This Row],[Order Date]])</f>
        <v>2025</v>
      </c>
      <c r="D3969" s="2">
        <f>DATE(YEAR(OrdersTable[[#This Row],[Order Date]]),MONTH(OrdersTable[[#This Row],[Order Date]]),1)</f>
        <v>45901</v>
      </c>
      <c r="E3969">
        <f>MONTH(OrdersTable[[#This Row],[Order Date]])</f>
        <v>9</v>
      </c>
      <c r="F3969" t="s">
        <v>305</v>
      </c>
      <c r="G3969" t="str">
        <f>IF(OrdersTable[[#This Row],[Order Date]]=_xlfn.MINIFS(Order_Date, Customer_ID, OrdersTable[[#This Row],[Customer ID]]), "New", "Repeat")</f>
        <v>Repeat</v>
      </c>
      <c r="H3969" t="s">
        <v>71</v>
      </c>
      <c r="I3969" t="str">
        <f>INDEX(State!B:B,MATCH(OrdersTable[[#This Row],[State]],State!A:A,0))</f>
        <v>MH</v>
      </c>
      <c r="J3969" t="str">
        <f>INDEX(State!C:C,MATCH(OrdersTable[[#This Row],[State Code]],State!B:B,0))</f>
        <v>West</v>
      </c>
      <c r="K3969" t="s">
        <v>102</v>
      </c>
      <c r="L3969" t="s">
        <v>39</v>
      </c>
      <c r="M3969" t="s">
        <v>160</v>
      </c>
      <c r="N3969" t="str">
        <f>INDEX(Products!B:B,MATCH(OrdersTable[[#This Row],[Product ID]],Products!A:A,0))</f>
        <v>Niacinamide Toner</v>
      </c>
      <c r="O3969" t="str">
        <f>INDEX(Products!C:C,MATCH(OrdersTable[[#This Row],[Product ID]],Products!A:A,0))</f>
        <v>Skincare</v>
      </c>
      <c r="P3969">
        <v>1</v>
      </c>
      <c r="Q3969" s="5">
        <v>399</v>
      </c>
      <c r="R3969" s="74">
        <v>0.25</v>
      </c>
      <c r="S3969" s="75">
        <f>OrdersTable[[#This Row],[Quantity]]*OrdersTable[[#This Row],[Unit Price]]</f>
        <v>399</v>
      </c>
      <c r="T3969" s="5">
        <f>OrdersTable[[#This Row],[Gross Sale]]*OrdersTable[[#This Row],[Discount_Clean2]]</f>
        <v>99.75</v>
      </c>
      <c r="U3969" s="5">
        <f>OrdersTable[[#This Row],[Gross Sale]]-OrdersTable[[#This Row],[Discount Amount]]</f>
        <v>299.25</v>
      </c>
      <c r="V3969" s="77">
        <f>INDEX(Products!E:E,MATCH(OrdersTable[[#This Row],[Product ID]],Products!A:A,0))</f>
        <v>112</v>
      </c>
      <c r="W3969" s="77">
        <f>OrdersTable[[#This Row],[Quantity]]*OrdersTable[[#This Row],[Unit Cost]]</f>
        <v>112</v>
      </c>
      <c r="X3969" s="77">
        <f>'Dropdown Lists'!$I$2*(1+OrdersTable[[#This Row],[Returned]])</f>
        <v>60</v>
      </c>
      <c r="Y3969" s="76">
        <f>OrdersTable[[#This Row],[Net Revenue]]-OrdersTable[[#This Row],[COGS]]-OrdersTable[[#This Row],[Shipping Cost]]</f>
        <v>127.25</v>
      </c>
      <c r="Z3969" s="78">
        <f>IFERROR(OrdersTable[[#This Row],[Profit]]/OrdersTable[[#This Row],[Net Revenue]],0)</f>
        <v>0.42522974101921468</v>
      </c>
      <c r="AA3969" t="s">
        <v>18</v>
      </c>
      <c r="AB3969" s="79">
        <v>45932</v>
      </c>
      <c r="AC3969">
        <f>OrdersTable[[#This Row],[Delivery Date]]-OrdersTable[[#This Row],[Order Date]]</f>
        <v>4</v>
      </c>
      <c r="AD3969" t="str">
        <f>IF(OrdersTable[[#This Row],[Delivery Days]]&lt;=2, "Express (≤2d)", IF(OrdersTable[[#This Row],[Delivery Days]]&lt;=4, "Standard (3-4d)", "Delayed (5d+)"))</f>
        <v>Standard (3-4d)</v>
      </c>
      <c r="AE3969">
        <v>4</v>
      </c>
      <c r="AF3969">
        <v>0</v>
      </c>
    </row>
    <row r="3970" spans="1:32" ht="15" x14ac:dyDescent="0.35">
      <c r="A3970" t="s">
        <v>5439</v>
      </c>
      <c r="B3970" s="1">
        <v>45928</v>
      </c>
      <c r="C3970">
        <f>YEAR(OrdersTable[[#This Row],[Order Date]])</f>
        <v>2025</v>
      </c>
      <c r="D3970" s="2">
        <f>DATE(YEAR(OrdersTable[[#This Row],[Order Date]]),MONTH(OrdersTable[[#This Row],[Order Date]]),1)</f>
        <v>45901</v>
      </c>
      <c r="E3970">
        <f>MONTH(OrdersTable[[#This Row],[Order Date]])</f>
        <v>9</v>
      </c>
      <c r="F3970" t="s">
        <v>5440</v>
      </c>
      <c r="G3970" t="str">
        <f>IF(OrdersTable[[#This Row],[Order Date]]=_xlfn.MINIFS(Order_Date, Customer_ID, OrdersTable[[#This Row],[Customer ID]]), "New", "Repeat")</f>
        <v>New</v>
      </c>
      <c r="H3970" t="s">
        <v>316</v>
      </c>
      <c r="I3970" t="str">
        <f>INDEX(State!B:B,MATCH(OrdersTable[[#This Row],[State]],State!A:A,0))</f>
        <v>KL</v>
      </c>
      <c r="J3970" t="str">
        <f>INDEX(State!C:C,MATCH(OrdersTable[[#This Row],[State Code]],State!B:B,0))</f>
        <v>South</v>
      </c>
      <c r="K3970" t="s">
        <v>317</v>
      </c>
      <c r="L3970" t="s">
        <v>39</v>
      </c>
      <c r="M3970" t="s">
        <v>173</v>
      </c>
      <c r="N3970" t="str">
        <f>INDEX(Products!B:B,MATCH(OrdersTable[[#This Row],[Product ID]],Products!A:A,0))</f>
        <v>Wireless Earbuds</v>
      </c>
      <c r="O3970" t="str">
        <f>INDEX(Products!C:C,MATCH(OrdersTable[[#This Row],[Product ID]],Products!A:A,0))</f>
        <v>Electronics</v>
      </c>
      <c r="P3970">
        <v>2</v>
      </c>
      <c r="Q3970" s="5">
        <v>1999</v>
      </c>
      <c r="R3970" s="74">
        <v>0.35</v>
      </c>
      <c r="S3970" s="75">
        <f>OrdersTable[[#This Row],[Quantity]]*OrdersTable[[#This Row],[Unit Price]]</f>
        <v>3998</v>
      </c>
      <c r="T3970" s="5">
        <f>OrdersTable[[#This Row],[Gross Sale]]*OrdersTable[[#This Row],[Discount_Clean2]]</f>
        <v>1399.3</v>
      </c>
      <c r="U3970" s="5">
        <f>OrdersTable[[#This Row],[Gross Sale]]-OrdersTable[[#This Row],[Discount Amount]]</f>
        <v>2598.6999999999998</v>
      </c>
      <c r="V3970" s="77">
        <f>INDEX(Products!E:E,MATCH(OrdersTable[[#This Row],[Product ID]],Products!A:A,0))</f>
        <v>1239</v>
      </c>
      <c r="W3970" s="77">
        <f>OrdersTable[[#This Row],[Quantity]]*OrdersTable[[#This Row],[Unit Cost]]</f>
        <v>2478</v>
      </c>
      <c r="X3970" s="77">
        <f>'Dropdown Lists'!$I$2*(1+OrdersTable[[#This Row],[Returned]])</f>
        <v>60</v>
      </c>
      <c r="Y3970" s="76">
        <f>OrdersTable[[#This Row],[Net Revenue]]-OrdersTable[[#This Row],[COGS]]-OrdersTable[[#This Row],[Shipping Cost]]</f>
        <v>60.699999999999818</v>
      </c>
      <c r="Z3970" s="78">
        <f>IFERROR(OrdersTable[[#This Row],[Profit]]/OrdersTable[[#This Row],[Net Revenue]],0)</f>
        <v>2.3357832762535044E-2</v>
      </c>
      <c r="AA3970" t="s">
        <v>2522</v>
      </c>
      <c r="AB3970" s="79">
        <v>45930</v>
      </c>
      <c r="AC3970">
        <f>OrdersTable[[#This Row],[Delivery Date]]-OrdersTable[[#This Row],[Order Date]]</f>
        <v>2</v>
      </c>
      <c r="AD3970" t="str">
        <f>IF(OrdersTable[[#This Row],[Delivery Days]]&lt;=2, "Express (≤2d)", IF(OrdersTable[[#This Row],[Delivery Days]]&lt;=4, "Standard (3-4d)", "Delayed (5d+)"))</f>
        <v>Express (≤2d)</v>
      </c>
      <c r="AE3970">
        <v>3</v>
      </c>
      <c r="AF3970">
        <v>0</v>
      </c>
    </row>
    <row r="3971" spans="1:32" ht="15" x14ac:dyDescent="0.35">
      <c r="A3971" t="s">
        <v>5226</v>
      </c>
      <c r="B3971" s="1">
        <v>45929</v>
      </c>
      <c r="C3971">
        <f>YEAR(OrdersTable[[#This Row],[Order Date]])</f>
        <v>2025</v>
      </c>
      <c r="D3971" s="2">
        <f>DATE(YEAR(OrdersTable[[#This Row],[Order Date]]),MONTH(OrdersTable[[#This Row],[Order Date]]),1)</f>
        <v>45901</v>
      </c>
      <c r="E3971">
        <f>MONTH(OrdersTable[[#This Row],[Order Date]])</f>
        <v>9</v>
      </c>
      <c r="F3971" t="s">
        <v>5227</v>
      </c>
      <c r="G3971" t="str">
        <f>IF(OrdersTable[[#This Row],[Order Date]]=_xlfn.MINIFS(Order_Date, Customer_ID, OrdersTable[[#This Row],[Customer ID]]), "New", "Repeat")</f>
        <v>New</v>
      </c>
      <c r="H3971" t="s">
        <v>76</v>
      </c>
      <c r="I3971" t="str">
        <f>INDEX(State!B:B,MATCH(OrdersTable[[#This Row],[State]],State!A:A,0))</f>
        <v>UP</v>
      </c>
      <c r="J3971" t="str">
        <f>INDEX(State!C:C,MATCH(OrdersTable[[#This Row],[State Code]],State!B:B,0))</f>
        <v>North</v>
      </c>
      <c r="K3971" t="s">
        <v>105</v>
      </c>
      <c r="L3971" t="s">
        <v>50</v>
      </c>
      <c r="M3971" t="s">
        <v>152</v>
      </c>
      <c r="N3971" t="str">
        <f>INDEX(Products!B:B,MATCH(OrdersTable[[#This Row],[Product ID]],Products!A:A,0))</f>
        <v>Green Tea (100 bags)</v>
      </c>
      <c r="O3971" t="str">
        <f>INDEX(Products!C:C,MATCH(OrdersTable[[#This Row],[Product ID]],Products!A:A,0))</f>
        <v>Wellness</v>
      </c>
      <c r="P3971">
        <v>2</v>
      </c>
      <c r="Q3971" s="5">
        <v>399</v>
      </c>
      <c r="R3971" s="74">
        <v>0.35</v>
      </c>
      <c r="S3971" s="75">
        <f>OrdersTable[[#This Row],[Quantity]]*OrdersTable[[#This Row],[Unit Price]]</f>
        <v>798</v>
      </c>
      <c r="T3971" s="5">
        <f>OrdersTable[[#This Row],[Gross Sale]]*OrdersTable[[#This Row],[Discount_Clean2]]</f>
        <v>279.29999999999995</v>
      </c>
      <c r="U3971" s="5">
        <f>OrdersTable[[#This Row],[Gross Sale]]-OrdersTable[[#This Row],[Discount Amount]]</f>
        <v>518.70000000000005</v>
      </c>
      <c r="V3971" s="77">
        <f>INDEX(Products!E:E,MATCH(OrdersTable[[#This Row],[Product ID]],Products!A:A,0))</f>
        <v>128</v>
      </c>
      <c r="W3971" s="77">
        <f>OrdersTable[[#This Row],[Quantity]]*OrdersTable[[#This Row],[Unit Cost]]</f>
        <v>256</v>
      </c>
      <c r="X3971" s="77">
        <f>'Dropdown Lists'!$I$2*(1+OrdersTable[[#This Row],[Returned]])</f>
        <v>60</v>
      </c>
      <c r="Y3971" s="76">
        <f>OrdersTable[[#This Row],[Net Revenue]]-OrdersTable[[#This Row],[COGS]]-OrdersTable[[#This Row],[Shipping Cost]]</f>
        <v>202.70000000000005</v>
      </c>
      <c r="Z3971" s="78">
        <f>IFERROR(OrdersTable[[#This Row],[Profit]]/OrdersTable[[#This Row],[Net Revenue]],0)</f>
        <v>0.39078465394254874</v>
      </c>
      <c r="AA3971" t="s">
        <v>3495</v>
      </c>
      <c r="AB3971" s="79">
        <v>45933</v>
      </c>
      <c r="AC3971">
        <f>OrdersTable[[#This Row],[Delivery Date]]-OrdersTable[[#This Row],[Order Date]]</f>
        <v>4</v>
      </c>
      <c r="AD3971" t="str">
        <f>IF(OrdersTable[[#This Row],[Delivery Days]]&lt;=2, "Express (≤2d)", IF(OrdersTable[[#This Row],[Delivery Days]]&lt;=4, "Standard (3-4d)", "Delayed (5d+)"))</f>
        <v>Standard (3-4d)</v>
      </c>
      <c r="AE3971">
        <v>3</v>
      </c>
      <c r="AF3971">
        <v>0</v>
      </c>
    </row>
    <row r="3972" spans="1:32" ht="15" x14ac:dyDescent="0.35">
      <c r="A3972" t="s">
        <v>3474</v>
      </c>
      <c r="B3972" s="1">
        <v>45929</v>
      </c>
      <c r="C3972">
        <f>YEAR(OrdersTable[[#This Row],[Order Date]])</f>
        <v>2025</v>
      </c>
      <c r="D3972" s="2">
        <f>DATE(YEAR(OrdersTable[[#This Row],[Order Date]]),MONTH(OrdersTable[[#This Row],[Order Date]]),1)</f>
        <v>45901</v>
      </c>
      <c r="E3972">
        <f>MONTH(OrdersTable[[#This Row],[Order Date]])</f>
        <v>9</v>
      </c>
      <c r="F3972" t="s">
        <v>3475</v>
      </c>
      <c r="G3972" t="str">
        <f>IF(OrdersTable[[#This Row],[Order Date]]=_xlfn.MINIFS(Order_Date, Customer_ID, OrdersTable[[#This Row],[Customer ID]]), "New", "Repeat")</f>
        <v>Repeat</v>
      </c>
      <c r="H3972" t="s">
        <v>76</v>
      </c>
      <c r="I3972" t="str">
        <f>INDEX(State!B:B,MATCH(OrdersTable[[#This Row],[State]],State!A:A,0))</f>
        <v>UP</v>
      </c>
      <c r="J3972" t="str">
        <f>INDEX(State!C:C,MATCH(OrdersTable[[#This Row],[State Code]],State!B:B,0))</f>
        <v>North</v>
      </c>
      <c r="K3972" t="s">
        <v>77</v>
      </c>
      <c r="L3972" t="s">
        <v>65</v>
      </c>
      <c r="M3972" t="s">
        <v>255</v>
      </c>
      <c r="N3972" t="str">
        <f>INDEX(Products!B:B,MATCH(OrdersTable[[#This Row],[Product ID]],Products!A:A,0))</f>
        <v>Cotton Oversized T-Shirt</v>
      </c>
      <c r="O3972" t="str">
        <f>INDEX(Products!C:C,MATCH(OrdersTable[[#This Row],[Product ID]],Products!A:A,0))</f>
        <v>Apparel</v>
      </c>
      <c r="P3972">
        <v>1</v>
      </c>
      <c r="Q3972" s="5">
        <v>799</v>
      </c>
      <c r="R3972" s="74">
        <v>0</v>
      </c>
      <c r="S3972" s="75">
        <f>OrdersTable[[#This Row],[Quantity]]*OrdersTable[[#This Row],[Unit Price]]</f>
        <v>799</v>
      </c>
      <c r="T3972" s="5">
        <f>OrdersTable[[#This Row],[Gross Sale]]*OrdersTable[[#This Row],[Discount_Clean2]]</f>
        <v>0</v>
      </c>
      <c r="U3972" s="5">
        <f>OrdersTable[[#This Row],[Gross Sale]]-OrdersTable[[#This Row],[Discount Amount]]</f>
        <v>799</v>
      </c>
      <c r="V3972" s="77">
        <f>INDEX(Products!E:E,MATCH(OrdersTable[[#This Row],[Product ID]],Products!A:A,0))</f>
        <v>320</v>
      </c>
      <c r="W3972" s="77">
        <f>OrdersTable[[#This Row],[Quantity]]*OrdersTable[[#This Row],[Unit Cost]]</f>
        <v>320</v>
      </c>
      <c r="X3972" s="77">
        <f>'Dropdown Lists'!$I$2*(1+OrdersTable[[#This Row],[Returned]])</f>
        <v>60</v>
      </c>
      <c r="Y3972" s="76">
        <f>OrdersTable[[#This Row],[Net Revenue]]-OrdersTable[[#This Row],[COGS]]-OrdersTable[[#This Row],[Shipping Cost]]</f>
        <v>419</v>
      </c>
      <c r="Z3972" s="78">
        <f>IFERROR(OrdersTable[[#This Row],[Profit]]/OrdersTable[[#This Row],[Net Revenue]],0)</f>
        <v>0.52440550688360454</v>
      </c>
      <c r="AA3972" t="s">
        <v>2522</v>
      </c>
      <c r="AB3972" s="79">
        <v>45931</v>
      </c>
      <c r="AC3972">
        <f>OrdersTable[[#This Row],[Delivery Date]]-OrdersTable[[#This Row],[Order Date]]</f>
        <v>2</v>
      </c>
      <c r="AD3972" t="str">
        <f>IF(OrdersTable[[#This Row],[Delivery Days]]&lt;=2, "Express (≤2d)", IF(OrdersTable[[#This Row],[Delivery Days]]&lt;=4, "Standard (3-4d)", "Delayed (5d+)"))</f>
        <v>Express (≤2d)</v>
      </c>
      <c r="AE3972">
        <v>4</v>
      </c>
      <c r="AF3972">
        <v>0</v>
      </c>
    </row>
    <row r="3973" spans="1:32" ht="15" x14ac:dyDescent="0.35">
      <c r="A3973" t="s">
        <v>375</v>
      </c>
      <c r="B3973" s="1">
        <v>45929</v>
      </c>
      <c r="C3973">
        <f>YEAR(OrdersTable[[#This Row],[Order Date]])</f>
        <v>2025</v>
      </c>
      <c r="D3973" s="2">
        <f>DATE(YEAR(OrdersTable[[#This Row],[Order Date]]),MONTH(OrdersTable[[#This Row],[Order Date]]),1)</f>
        <v>45901</v>
      </c>
      <c r="E3973">
        <f>MONTH(OrdersTable[[#This Row],[Order Date]])</f>
        <v>9</v>
      </c>
      <c r="F3973" t="s">
        <v>376</v>
      </c>
      <c r="G3973" t="str">
        <f>IF(OrdersTable[[#This Row],[Order Date]]=_xlfn.MINIFS(Order_Date, Customer_ID, OrdersTable[[#This Row],[Customer ID]]), "New", "Repeat")</f>
        <v>Repeat</v>
      </c>
      <c r="H3973" t="s">
        <v>43</v>
      </c>
      <c r="I3973" t="str">
        <f>INDEX(State!B:B,MATCH(OrdersTable[[#This Row],[State]],State!A:A,0))</f>
        <v>MP</v>
      </c>
      <c r="J3973" t="str">
        <f>INDEX(State!C:C,MATCH(OrdersTable[[#This Row],[State Code]],State!B:B,0))</f>
        <v>West</v>
      </c>
      <c r="K3973" t="s">
        <v>44</v>
      </c>
      <c r="L3973" t="s">
        <v>23</v>
      </c>
      <c r="M3973" t="s">
        <v>61</v>
      </c>
      <c r="N3973" t="str">
        <f>INDEX(Products!B:B,MATCH(OrdersTable[[#This Row],[Product ID]],Products!A:A,0))</f>
        <v>Multivitamin Gummies</v>
      </c>
      <c r="O3973" t="str">
        <f>INDEX(Products!C:C,MATCH(OrdersTable[[#This Row],[Product ID]],Products!A:A,0))</f>
        <v>Wellness</v>
      </c>
      <c r="P3973">
        <v>1</v>
      </c>
      <c r="Q3973" s="5">
        <v>699</v>
      </c>
      <c r="R3973" s="74">
        <v>0.15</v>
      </c>
      <c r="S3973" s="75">
        <f>OrdersTable[[#This Row],[Quantity]]*OrdersTable[[#This Row],[Unit Price]]</f>
        <v>699</v>
      </c>
      <c r="T3973" s="5">
        <f>OrdersTable[[#This Row],[Gross Sale]]*OrdersTable[[#This Row],[Discount_Clean2]]</f>
        <v>104.85</v>
      </c>
      <c r="U3973" s="5">
        <f>OrdersTable[[#This Row],[Gross Sale]]-OrdersTable[[#This Row],[Discount Amount]]</f>
        <v>594.15</v>
      </c>
      <c r="V3973" s="77">
        <f>INDEX(Products!E:E,MATCH(OrdersTable[[#This Row],[Product ID]],Products!A:A,0))</f>
        <v>238</v>
      </c>
      <c r="W3973" s="77">
        <f>OrdersTable[[#This Row],[Quantity]]*OrdersTable[[#This Row],[Unit Cost]]</f>
        <v>238</v>
      </c>
      <c r="X3973" s="77">
        <f>'Dropdown Lists'!$I$2*(1+OrdersTable[[#This Row],[Returned]])</f>
        <v>60</v>
      </c>
      <c r="Y3973" s="76">
        <f>OrdersTable[[#This Row],[Net Revenue]]-OrdersTable[[#This Row],[COGS]]-OrdersTable[[#This Row],[Shipping Cost]]</f>
        <v>296.14999999999998</v>
      </c>
      <c r="Z3973" s="78">
        <f>IFERROR(OrdersTable[[#This Row],[Profit]]/OrdersTable[[#This Row],[Net Revenue]],0)</f>
        <v>0.49844315408566858</v>
      </c>
      <c r="AA3973" t="s">
        <v>18</v>
      </c>
      <c r="AB3973" s="79">
        <v>45934</v>
      </c>
      <c r="AC3973">
        <f>OrdersTable[[#This Row],[Delivery Date]]-OrdersTable[[#This Row],[Order Date]]</f>
        <v>5</v>
      </c>
      <c r="AD3973" t="str">
        <f>IF(OrdersTable[[#This Row],[Delivery Days]]&lt;=2, "Express (≤2d)", IF(OrdersTable[[#This Row],[Delivery Days]]&lt;=4, "Standard (3-4d)", "Delayed (5d+)"))</f>
        <v>Delayed (5d+)</v>
      </c>
      <c r="AE3973">
        <v>4</v>
      </c>
      <c r="AF3973">
        <v>0</v>
      </c>
    </row>
    <row r="3974" spans="1:32" ht="15" x14ac:dyDescent="0.35">
      <c r="A3974" t="s">
        <v>6205</v>
      </c>
      <c r="B3974" s="1">
        <v>45929</v>
      </c>
      <c r="C3974">
        <f>YEAR(OrdersTable[[#This Row],[Order Date]])</f>
        <v>2025</v>
      </c>
      <c r="D3974" s="2">
        <f>DATE(YEAR(OrdersTable[[#This Row],[Order Date]]),MONTH(OrdersTable[[#This Row],[Order Date]]),1)</f>
        <v>45901</v>
      </c>
      <c r="E3974">
        <f>MONTH(OrdersTable[[#This Row],[Order Date]])</f>
        <v>9</v>
      </c>
      <c r="F3974" t="s">
        <v>6206</v>
      </c>
      <c r="G3974" t="str">
        <f>IF(OrdersTable[[#This Row],[Order Date]]=_xlfn.MINIFS(Order_Date, Customer_ID, OrdersTable[[#This Row],[Customer ID]]), "New", "Repeat")</f>
        <v>New</v>
      </c>
      <c r="H3974" t="s">
        <v>71</v>
      </c>
      <c r="I3974" t="str">
        <f>INDEX(State!B:B,MATCH(OrdersTable[[#This Row],[State]],State!A:A,0))</f>
        <v>MH</v>
      </c>
      <c r="J3974" t="str">
        <f>INDEX(State!C:C,MATCH(OrdersTable[[#This Row],[State Code]],State!B:B,0))</f>
        <v>West</v>
      </c>
      <c r="K3974" t="s">
        <v>102</v>
      </c>
      <c r="L3974" t="s">
        <v>16</v>
      </c>
      <c r="M3974" t="s">
        <v>87</v>
      </c>
      <c r="N3974" t="str">
        <f>INDEX(Products!B:B,MATCH(OrdersTable[[#This Row],[Product ID]],Products!A:A,0))</f>
        <v>Linen Kurta</v>
      </c>
      <c r="O3974" t="str">
        <f>INDEX(Products!C:C,MATCH(OrdersTable[[#This Row],[Product ID]],Products!A:A,0))</f>
        <v>Apparel</v>
      </c>
      <c r="P3974">
        <v>2</v>
      </c>
      <c r="Q3974" s="5">
        <v>1499</v>
      </c>
      <c r="R3974" s="74">
        <v>0.3</v>
      </c>
      <c r="S3974" s="75">
        <f>OrdersTable[[#This Row],[Quantity]]*OrdersTable[[#This Row],[Unit Price]]</f>
        <v>2998</v>
      </c>
      <c r="T3974" s="5">
        <f>OrdersTable[[#This Row],[Gross Sale]]*OrdersTable[[#This Row],[Discount_Clean2]]</f>
        <v>899.4</v>
      </c>
      <c r="U3974" s="5">
        <f>OrdersTable[[#This Row],[Gross Sale]]-OrdersTable[[#This Row],[Discount Amount]]</f>
        <v>2098.6</v>
      </c>
      <c r="V3974" s="77">
        <f>INDEX(Products!E:E,MATCH(OrdersTable[[#This Row],[Product ID]],Products!A:A,0))</f>
        <v>630</v>
      </c>
      <c r="W3974" s="77">
        <f>OrdersTable[[#This Row],[Quantity]]*OrdersTable[[#This Row],[Unit Cost]]</f>
        <v>1260</v>
      </c>
      <c r="X3974" s="77">
        <f>'Dropdown Lists'!$I$2*(1+OrdersTable[[#This Row],[Returned]])</f>
        <v>60</v>
      </c>
      <c r="Y3974" s="76">
        <f>OrdersTable[[#This Row],[Net Revenue]]-OrdersTable[[#This Row],[COGS]]-OrdersTable[[#This Row],[Shipping Cost]]</f>
        <v>778.59999999999991</v>
      </c>
      <c r="Z3974" s="78">
        <f>IFERROR(OrdersTable[[#This Row],[Profit]]/OrdersTable[[#This Row],[Net Revenue]],0)</f>
        <v>0.3710092442580768</v>
      </c>
      <c r="AA3974" t="s">
        <v>18</v>
      </c>
      <c r="AB3974" s="79">
        <v>45931</v>
      </c>
      <c r="AC3974">
        <f>OrdersTable[[#This Row],[Delivery Date]]-OrdersTable[[#This Row],[Order Date]]</f>
        <v>2</v>
      </c>
      <c r="AD3974" t="str">
        <f>IF(OrdersTable[[#This Row],[Delivery Days]]&lt;=2, "Express (≤2d)", IF(OrdersTable[[#This Row],[Delivery Days]]&lt;=4, "Standard (3-4d)", "Delayed (5d+)"))</f>
        <v>Express (≤2d)</v>
      </c>
      <c r="AE3974">
        <v>4</v>
      </c>
      <c r="AF3974">
        <v>0</v>
      </c>
    </row>
    <row r="3975" spans="1:32" ht="15" x14ac:dyDescent="0.35">
      <c r="A3975" t="s">
        <v>5034</v>
      </c>
      <c r="B3975" s="1">
        <v>45930</v>
      </c>
      <c r="C3975">
        <f>YEAR(OrdersTable[[#This Row],[Order Date]])</f>
        <v>2025</v>
      </c>
      <c r="D3975" s="2">
        <f>DATE(YEAR(OrdersTable[[#This Row],[Order Date]]),MONTH(OrdersTable[[#This Row],[Order Date]]),1)</f>
        <v>45901</v>
      </c>
      <c r="E3975">
        <f>MONTH(OrdersTable[[#This Row],[Order Date]])</f>
        <v>9</v>
      </c>
      <c r="F3975" t="s">
        <v>5035</v>
      </c>
      <c r="G3975" t="str">
        <f>IF(OrdersTable[[#This Row],[Order Date]]=_xlfn.MINIFS(Order_Date, Customer_ID, OrdersTable[[#This Row],[Customer ID]]), "New", "Repeat")</f>
        <v>Repeat</v>
      </c>
      <c r="H3975" t="s">
        <v>21</v>
      </c>
      <c r="I3975" t="str">
        <f>INDEX(State!B:B,MATCH(OrdersTable[[#This Row],[State]],State!A:A,0))</f>
        <v>PB</v>
      </c>
      <c r="J3975" t="str">
        <f>INDEX(State!C:C,MATCH(OrdersTable[[#This Row],[State Code]],State!B:B,0))</f>
        <v>North</v>
      </c>
      <c r="K3975" t="s">
        <v>22</v>
      </c>
      <c r="L3975" t="s">
        <v>65</v>
      </c>
      <c r="M3975" t="s">
        <v>51</v>
      </c>
      <c r="N3975" t="str">
        <f>INDEX(Products!B:B,MATCH(OrdersTable[[#This Row],[Product ID]],Products!A:A,0))</f>
        <v>Anti-Dandruff Conditioner</v>
      </c>
      <c r="O3975" t="str">
        <f>INDEX(Products!C:C,MATCH(OrdersTable[[#This Row],[Product ID]],Products!A:A,0))</f>
        <v>Haircare</v>
      </c>
      <c r="P3975">
        <v>2</v>
      </c>
      <c r="Q3975" s="5">
        <v>399</v>
      </c>
      <c r="R3975" s="74">
        <v>0.4</v>
      </c>
      <c r="S3975" s="75">
        <f>OrdersTable[[#This Row],[Quantity]]*OrdersTable[[#This Row],[Unit Price]]</f>
        <v>798</v>
      </c>
      <c r="T3975" s="5">
        <f>OrdersTable[[#This Row],[Gross Sale]]*OrdersTable[[#This Row],[Discount_Clean2]]</f>
        <v>319.20000000000005</v>
      </c>
      <c r="U3975" s="5">
        <f>OrdersTable[[#This Row],[Gross Sale]]-OrdersTable[[#This Row],[Discount Amount]]</f>
        <v>478.79999999999995</v>
      </c>
      <c r="V3975" s="77">
        <f>INDEX(Products!E:E,MATCH(OrdersTable[[#This Row],[Product ID]],Products!A:A,0))</f>
        <v>136</v>
      </c>
      <c r="W3975" s="77">
        <f>OrdersTable[[#This Row],[Quantity]]*OrdersTable[[#This Row],[Unit Cost]]</f>
        <v>272</v>
      </c>
      <c r="X3975" s="77">
        <f>'Dropdown Lists'!$I$2*(1+OrdersTable[[#This Row],[Returned]])</f>
        <v>60</v>
      </c>
      <c r="Y3975" s="76">
        <f>OrdersTable[[#This Row],[Net Revenue]]-OrdersTable[[#This Row],[COGS]]-OrdersTable[[#This Row],[Shipping Cost]]</f>
        <v>146.79999999999995</v>
      </c>
      <c r="Z3975" s="78">
        <f>IFERROR(OrdersTable[[#This Row],[Profit]]/OrdersTable[[#This Row],[Net Revenue]],0)</f>
        <v>0.30659983291562232</v>
      </c>
      <c r="AA3975" t="s">
        <v>4074</v>
      </c>
      <c r="AB3975" s="79">
        <v>45932</v>
      </c>
      <c r="AC3975">
        <f>OrdersTable[[#This Row],[Delivery Date]]-OrdersTable[[#This Row],[Order Date]]</f>
        <v>2</v>
      </c>
      <c r="AD3975" t="str">
        <f>IF(OrdersTable[[#This Row],[Delivery Days]]&lt;=2, "Express (≤2d)", IF(OrdersTable[[#This Row],[Delivery Days]]&lt;=4, "Standard (3-4d)", "Delayed (5d+)"))</f>
        <v>Express (≤2d)</v>
      </c>
      <c r="AE3975">
        <v>3</v>
      </c>
      <c r="AF3975">
        <v>0</v>
      </c>
    </row>
    <row r="3976" spans="1:32" ht="15" x14ac:dyDescent="0.35">
      <c r="A3976" t="s">
        <v>3930</v>
      </c>
      <c r="B3976" s="1">
        <v>45930</v>
      </c>
      <c r="C3976">
        <f>YEAR(OrdersTable[[#This Row],[Order Date]])</f>
        <v>2025</v>
      </c>
      <c r="D3976" s="2">
        <f>DATE(YEAR(OrdersTable[[#This Row],[Order Date]]),MONTH(OrdersTable[[#This Row],[Order Date]]),1)</f>
        <v>45901</v>
      </c>
      <c r="E3976">
        <f>MONTH(OrdersTable[[#This Row],[Order Date]])</f>
        <v>9</v>
      </c>
      <c r="F3976" t="s">
        <v>3931</v>
      </c>
      <c r="G3976" t="str">
        <f>IF(OrdersTable[[#This Row],[Order Date]]=_xlfn.MINIFS(Order_Date, Customer_ID, OrdersTable[[#This Row],[Customer ID]]), "New", "Repeat")</f>
        <v>Repeat</v>
      </c>
      <c r="H3976" t="s">
        <v>184</v>
      </c>
      <c r="I3976" t="str">
        <f>INDEX(State!B:B,MATCH(OrdersTable[[#This Row],[State]],State!A:A,0))</f>
        <v>UK</v>
      </c>
      <c r="J3976" t="str">
        <f>INDEX(State!C:C,MATCH(OrdersTable[[#This Row],[State Code]],State!B:B,0))</f>
        <v>North</v>
      </c>
      <c r="K3976" t="s">
        <v>185</v>
      </c>
      <c r="L3976" t="s">
        <v>65</v>
      </c>
      <c r="M3976" t="s">
        <v>92</v>
      </c>
      <c r="N3976" t="str">
        <f>INDEX(Products!B:B,MATCH(OrdersTable[[#This Row],[Product ID]],Products!A:A,0))</f>
        <v>Kolhapuri Sandals</v>
      </c>
      <c r="O3976" t="str">
        <f>INDEX(Products!C:C,MATCH(OrdersTable[[#This Row],[Product ID]],Products!A:A,0))</f>
        <v>Footwear</v>
      </c>
      <c r="P3976">
        <v>1</v>
      </c>
      <c r="Q3976" s="5">
        <v>999</v>
      </c>
      <c r="R3976" s="74">
        <v>0.05</v>
      </c>
      <c r="S3976" s="75">
        <f>OrdersTable[[#This Row],[Quantity]]*OrdersTable[[#This Row],[Unit Price]]</f>
        <v>999</v>
      </c>
      <c r="T3976" s="5">
        <f>OrdersTable[[#This Row],[Gross Sale]]*OrdersTable[[#This Row],[Discount_Clean2]]</f>
        <v>49.95</v>
      </c>
      <c r="U3976" s="5">
        <f>OrdersTable[[#This Row],[Gross Sale]]-OrdersTable[[#This Row],[Discount Amount]]</f>
        <v>949.05</v>
      </c>
      <c r="V3976" s="77">
        <f>INDEX(Products!E:E,MATCH(OrdersTable[[#This Row],[Product ID]],Products!A:A,0))</f>
        <v>400</v>
      </c>
      <c r="W3976" s="77">
        <f>OrdersTable[[#This Row],[Quantity]]*OrdersTable[[#This Row],[Unit Cost]]</f>
        <v>400</v>
      </c>
      <c r="X3976" s="77">
        <f>'Dropdown Lists'!$I$2*(1+OrdersTable[[#This Row],[Returned]])</f>
        <v>60</v>
      </c>
      <c r="Y3976" s="76">
        <f>OrdersTable[[#This Row],[Net Revenue]]-OrdersTable[[#This Row],[COGS]]-OrdersTable[[#This Row],[Shipping Cost]]</f>
        <v>489.04999999999995</v>
      </c>
      <c r="Z3976" s="78">
        <f>IFERROR(OrdersTable[[#This Row],[Profit]]/OrdersTable[[#This Row],[Net Revenue]],0)</f>
        <v>0.5153047784626732</v>
      </c>
      <c r="AA3976" t="s">
        <v>3495</v>
      </c>
      <c r="AB3976" s="79">
        <v>45934</v>
      </c>
      <c r="AC3976">
        <f>OrdersTable[[#This Row],[Delivery Date]]-OrdersTable[[#This Row],[Order Date]]</f>
        <v>4</v>
      </c>
      <c r="AD3976" t="str">
        <f>IF(OrdersTable[[#This Row],[Delivery Days]]&lt;=2, "Express (≤2d)", IF(OrdersTable[[#This Row],[Delivery Days]]&lt;=4, "Standard (3-4d)", "Delayed (5d+)"))</f>
        <v>Standard (3-4d)</v>
      </c>
      <c r="AE3976">
        <v>3</v>
      </c>
      <c r="AF3976">
        <v>0</v>
      </c>
    </row>
    <row r="3977" spans="1:32" ht="15" x14ac:dyDescent="0.35">
      <c r="A3977" t="s">
        <v>3932</v>
      </c>
      <c r="B3977" s="1">
        <v>45930</v>
      </c>
      <c r="C3977">
        <f>YEAR(OrdersTable[[#This Row],[Order Date]])</f>
        <v>2025</v>
      </c>
      <c r="D3977" s="2">
        <f>DATE(YEAR(OrdersTable[[#This Row],[Order Date]]),MONTH(OrdersTable[[#This Row],[Order Date]]),1)</f>
        <v>45901</v>
      </c>
      <c r="E3977">
        <f>MONTH(OrdersTable[[#This Row],[Order Date]])</f>
        <v>9</v>
      </c>
      <c r="F3977" t="s">
        <v>3933</v>
      </c>
      <c r="G3977" t="str">
        <f>IF(OrdersTable[[#This Row],[Order Date]]=_xlfn.MINIFS(Order_Date, Customer_ID, OrdersTable[[#This Row],[Customer ID]]), "New", "Repeat")</f>
        <v>New</v>
      </c>
      <c r="H3977" t="s">
        <v>76</v>
      </c>
      <c r="I3977" t="str">
        <f>INDEX(State!B:B,MATCH(OrdersTable[[#This Row],[State]],State!A:A,0))</f>
        <v>UP</v>
      </c>
      <c r="J3977" t="str">
        <f>INDEX(State!C:C,MATCH(OrdersTable[[#This Row],[State Code]],State!B:B,0))</f>
        <v>North</v>
      </c>
      <c r="K3977" t="s">
        <v>105</v>
      </c>
      <c r="L3977" t="s">
        <v>50</v>
      </c>
      <c r="M3977" t="s">
        <v>51</v>
      </c>
      <c r="N3977" t="str">
        <f>INDEX(Products!B:B,MATCH(OrdersTable[[#This Row],[Product ID]],Products!A:A,0))</f>
        <v>Anti-Dandruff Conditioner</v>
      </c>
      <c r="O3977" t="str">
        <f>INDEX(Products!C:C,MATCH(OrdersTable[[#This Row],[Product ID]],Products!A:A,0))</f>
        <v>Haircare</v>
      </c>
      <c r="P3977">
        <v>1</v>
      </c>
      <c r="Q3977" s="5">
        <v>399</v>
      </c>
      <c r="R3977" s="74">
        <v>0.3</v>
      </c>
      <c r="S3977" s="75">
        <f>OrdersTable[[#This Row],[Quantity]]*OrdersTable[[#This Row],[Unit Price]]</f>
        <v>399</v>
      </c>
      <c r="T3977" s="5">
        <f>OrdersTable[[#This Row],[Gross Sale]]*OrdersTable[[#This Row],[Discount_Clean2]]</f>
        <v>119.69999999999999</v>
      </c>
      <c r="U3977" s="5">
        <f>OrdersTable[[#This Row],[Gross Sale]]-OrdersTable[[#This Row],[Discount Amount]]</f>
        <v>279.3</v>
      </c>
      <c r="V3977" s="77">
        <f>INDEX(Products!E:E,MATCH(OrdersTable[[#This Row],[Product ID]],Products!A:A,0))</f>
        <v>136</v>
      </c>
      <c r="W3977" s="77">
        <f>OrdersTable[[#This Row],[Quantity]]*OrdersTable[[#This Row],[Unit Cost]]</f>
        <v>136</v>
      </c>
      <c r="X3977" s="77">
        <f>'Dropdown Lists'!$I$2*(1+OrdersTable[[#This Row],[Returned]])</f>
        <v>60</v>
      </c>
      <c r="Y3977" s="76">
        <f>OrdersTable[[#This Row],[Net Revenue]]-OrdersTable[[#This Row],[COGS]]-OrdersTable[[#This Row],[Shipping Cost]]</f>
        <v>83.300000000000011</v>
      </c>
      <c r="Z3977" s="78">
        <f>IFERROR(OrdersTable[[#This Row],[Profit]]/OrdersTable[[#This Row],[Net Revenue]],0)</f>
        <v>0.29824561403508776</v>
      </c>
      <c r="AA3977" t="s">
        <v>3495</v>
      </c>
      <c r="AB3977" s="79">
        <v>45934</v>
      </c>
      <c r="AC3977">
        <f>OrdersTable[[#This Row],[Delivery Date]]-OrdersTable[[#This Row],[Order Date]]</f>
        <v>4</v>
      </c>
      <c r="AD3977" t="str">
        <f>IF(OrdersTable[[#This Row],[Delivery Days]]&lt;=2, "Express (≤2d)", IF(OrdersTable[[#This Row],[Delivery Days]]&lt;=4, "Standard (3-4d)", "Delayed (5d+)"))</f>
        <v>Standard (3-4d)</v>
      </c>
      <c r="AE3977">
        <v>3</v>
      </c>
      <c r="AF3977">
        <v>0</v>
      </c>
    </row>
    <row r="3978" spans="1:32" ht="15" x14ac:dyDescent="0.35">
      <c r="A3978" t="s">
        <v>2028</v>
      </c>
      <c r="B3978" s="1">
        <v>45930</v>
      </c>
      <c r="C3978">
        <f>YEAR(OrdersTable[[#This Row],[Order Date]])</f>
        <v>2025</v>
      </c>
      <c r="D3978" s="2">
        <f>DATE(YEAR(OrdersTable[[#This Row],[Order Date]]),MONTH(OrdersTable[[#This Row],[Order Date]]),1)</f>
        <v>45901</v>
      </c>
      <c r="E3978">
        <f>MONTH(OrdersTable[[#This Row],[Order Date]])</f>
        <v>9</v>
      </c>
      <c r="F3978" t="s">
        <v>654</v>
      </c>
      <c r="G3978" t="str">
        <f>IF(OrdersTable[[#This Row],[Order Date]]=_xlfn.MINIFS(Order_Date, Customer_ID, OrdersTable[[#This Row],[Customer ID]]), "New", "Repeat")</f>
        <v>Repeat</v>
      </c>
      <c r="H3978" t="s">
        <v>32</v>
      </c>
      <c r="I3978" t="str">
        <f>INDEX(State!B:B,MATCH(OrdersTable[[#This Row],[State]],State!A:A,0))</f>
        <v>BR</v>
      </c>
      <c r="J3978" t="str">
        <f>INDEX(State!C:C,MATCH(OrdersTable[[#This Row],[State Code]],State!B:B,0))</f>
        <v>East</v>
      </c>
      <c r="K3978" t="s">
        <v>33</v>
      </c>
      <c r="L3978" t="s">
        <v>23</v>
      </c>
      <c r="M3978" t="s">
        <v>228</v>
      </c>
      <c r="N3978" t="str">
        <f>INDEX(Products!B:B,MATCH(OrdersTable[[#This Row],[Product ID]],Products!A:A,0))</f>
        <v>Fast Charger 33W</v>
      </c>
      <c r="O3978" t="str">
        <f>INDEX(Products!C:C,MATCH(OrdersTable[[#This Row],[Product ID]],Products!A:A,0))</f>
        <v>Electronics</v>
      </c>
      <c r="P3978">
        <v>1</v>
      </c>
      <c r="Q3978" s="5">
        <v>899</v>
      </c>
      <c r="R3978" s="74">
        <v>0.05</v>
      </c>
      <c r="S3978" s="75">
        <f>OrdersTable[[#This Row],[Quantity]]*OrdersTable[[#This Row],[Unit Price]]</f>
        <v>899</v>
      </c>
      <c r="T3978" s="5">
        <f>OrdersTable[[#This Row],[Gross Sale]]*OrdersTable[[#This Row],[Discount_Clean2]]</f>
        <v>44.95</v>
      </c>
      <c r="U3978" s="5">
        <f>OrdersTable[[#This Row],[Gross Sale]]-OrdersTable[[#This Row],[Discount Amount]]</f>
        <v>854.05</v>
      </c>
      <c r="V3978" s="77">
        <f>INDEX(Products!E:E,MATCH(OrdersTable[[#This Row],[Product ID]],Products!A:A,0))</f>
        <v>494</v>
      </c>
      <c r="W3978" s="77">
        <f>OrdersTable[[#This Row],[Quantity]]*OrdersTable[[#This Row],[Unit Cost]]</f>
        <v>494</v>
      </c>
      <c r="X3978" s="77">
        <f>'Dropdown Lists'!$I$2*(1+OrdersTable[[#This Row],[Returned]])</f>
        <v>60</v>
      </c>
      <c r="Y3978" s="76">
        <f>OrdersTable[[#This Row],[Net Revenue]]-OrdersTable[[#This Row],[COGS]]-OrdersTable[[#This Row],[Shipping Cost]]</f>
        <v>300.04999999999995</v>
      </c>
      <c r="Z3978" s="78">
        <f>IFERROR(OrdersTable[[#This Row],[Profit]]/OrdersTable[[#This Row],[Net Revenue]],0)</f>
        <v>0.35132603477548152</v>
      </c>
      <c r="AA3978" t="s">
        <v>18</v>
      </c>
      <c r="AB3978" s="79">
        <v>45935</v>
      </c>
      <c r="AC3978">
        <f>OrdersTable[[#This Row],[Delivery Date]]-OrdersTable[[#This Row],[Order Date]]</f>
        <v>5</v>
      </c>
      <c r="AD3978" t="str">
        <f>IF(OrdersTable[[#This Row],[Delivery Days]]&lt;=2, "Express (≤2d)", IF(OrdersTable[[#This Row],[Delivery Days]]&lt;=4, "Standard (3-4d)", "Delayed (5d+)"))</f>
        <v>Delayed (5d+)</v>
      </c>
      <c r="AE3978">
        <v>3</v>
      </c>
      <c r="AF3978">
        <v>0</v>
      </c>
    </row>
    <row r="3979" spans="1:32" ht="15" x14ac:dyDescent="0.35">
      <c r="A3979" t="s">
        <v>1782</v>
      </c>
      <c r="B3979" s="1">
        <v>45930</v>
      </c>
      <c r="C3979">
        <f>YEAR(OrdersTable[[#This Row],[Order Date]])</f>
        <v>2025</v>
      </c>
      <c r="D3979" s="2">
        <f>DATE(YEAR(OrdersTable[[#This Row],[Order Date]]),MONTH(OrdersTable[[#This Row],[Order Date]]),1)</f>
        <v>45901</v>
      </c>
      <c r="E3979">
        <f>MONTH(OrdersTable[[#This Row],[Order Date]])</f>
        <v>9</v>
      </c>
      <c r="F3979" t="s">
        <v>1783</v>
      </c>
      <c r="G3979" t="str">
        <f>IF(OrdersTable[[#This Row],[Order Date]]=_xlfn.MINIFS(Order_Date, Customer_ID, OrdersTable[[#This Row],[Customer ID]]), "New", "Repeat")</f>
        <v>Repeat</v>
      </c>
      <c r="H3979" t="s">
        <v>132</v>
      </c>
      <c r="I3979" t="str">
        <f>INDEX(State!B:B,MATCH(OrdersTable[[#This Row],[State]],State!A:A,0))</f>
        <v>AS</v>
      </c>
      <c r="J3979" t="str">
        <f>INDEX(State!C:C,MATCH(OrdersTable[[#This Row],[State Code]],State!B:B,0))</f>
        <v>East</v>
      </c>
      <c r="K3979" t="s">
        <v>133</v>
      </c>
      <c r="L3979" t="s">
        <v>65</v>
      </c>
      <c r="M3979" t="s">
        <v>78</v>
      </c>
      <c r="N3979" t="str">
        <f>INDEX(Products!B:B,MATCH(OrdersTable[[#This Row],[Product ID]],Products!A:A,0))</f>
        <v>Retinol Night Cream</v>
      </c>
      <c r="O3979" t="str">
        <f>INDEX(Products!C:C,MATCH(OrdersTable[[#This Row],[Product ID]],Products!A:A,0))</f>
        <v>Skincare</v>
      </c>
      <c r="P3979">
        <v>1</v>
      </c>
      <c r="Q3979" s="5">
        <v>799</v>
      </c>
      <c r="R3979" s="74">
        <v>0.1</v>
      </c>
      <c r="S3979" s="75">
        <f>OrdersTable[[#This Row],[Quantity]]*OrdersTable[[#This Row],[Unit Price]]</f>
        <v>799</v>
      </c>
      <c r="T3979" s="5">
        <f>OrdersTable[[#This Row],[Gross Sale]]*OrdersTable[[#This Row],[Discount_Clean2]]</f>
        <v>79.900000000000006</v>
      </c>
      <c r="U3979" s="5">
        <f>OrdersTable[[#This Row],[Gross Sale]]-OrdersTable[[#This Row],[Discount Amount]]</f>
        <v>719.1</v>
      </c>
      <c r="V3979" s="77">
        <f>INDEX(Products!E:E,MATCH(OrdersTable[[#This Row],[Product ID]],Products!A:A,0))</f>
        <v>216</v>
      </c>
      <c r="W3979" s="77">
        <f>OrdersTable[[#This Row],[Quantity]]*OrdersTable[[#This Row],[Unit Cost]]</f>
        <v>216</v>
      </c>
      <c r="X3979" s="77">
        <f>'Dropdown Lists'!$I$2*(1+OrdersTable[[#This Row],[Returned]])</f>
        <v>60</v>
      </c>
      <c r="Y3979" s="76">
        <f>OrdersTable[[#This Row],[Net Revenue]]-OrdersTable[[#This Row],[COGS]]-OrdersTable[[#This Row],[Shipping Cost]]</f>
        <v>443.1</v>
      </c>
      <c r="Z3979" s="78">
        <f>IFERROR(OrdersTable[[#This Row],[Profit]]/OrdersTable[[#This Row],[Net Revenue]],0)</f>
        <v>0.61618690029203171</v>
      </c>
      <c r="AA3979" t="s">
        <v>18</v>
      </c>
      <c r="AB3979" s="79">
        <v>45938</v>
      </c>
      <c r="AC3979">
        <f>OrdersTable[[#This Row],[Delivery Date]]-OrdersTable[[#This Row],[Order Date]]</f>
        <v>8</v>
      </c>
      <c r="AD3979" t="str">
        <f>IF(OrdersTable[[#This Row],[Delivery Days]]&lt;=2, "Express (≤2d)", IF(OrdersTable[[#This Row],[Delivery Days]]&lt;=4, "Standard (3-4d)", "Delayed (5d+)"))</f>
        <v>Delayed (5d+)</v>
      </c>
      <c r="AF3979">
        <v>0</v>
      </c>
    </row>
    <row r="3980" spans="1:32" ht="15" x14ac:dyDescent="0.35">
      <c r="A3980" t="s">
        <v>867</v>
      </c>
      <c r="B3980" s="1">
        <v>45930</v>
      </c>
      <c r="C3980">
        <f>YEAR(OrdersTable[[#This Row],[Order Date]])</f>
        <v>2025</v>
      </c>
      <c r="D3980" s="2">
        <f>DATE(YEAR(OrdersTable[[#This Row],[Order Date]]),MONTH(OrdersTable[[#This Row],[Order Date]]),1)</f>
        <v>45901</v>
      </c>
      <c r="E3980">
        <f>MONTH(OrdersTable[[#This Row],[Order Date]])</f>
        <v>9</v>
      </c>
      <c r="F3980" t="s">
        <v>868</v>
      </c>
      <c r="G3980" t="str">
        <f>IF(OrdersTable[[#This Row],[Order Date]]=_xlfn.MINIFS(Order_Date, Customer_ID, OrdersTable[[#This Row],[Customer ID]]), "New", "Repeat")</f>
        <v>Repeat</v>
      </c>
      <c r="H3980" t="s">
        <v>37</v>
      </c>
      <c r="I3980" t="str">
        <f>INDEX(State!B:B,MATCH(OrdersTable[[#This Row],[State]],State!A:A,0))</f>
        <v>GJ</v>
      </c>
      <c r="J3980" t="str">
        <f>INDEX(State!C:C,MATCH(OrdersTable[[#This Row],[State Code]],State!B:B,0))</f>
        <v>West</v>
      </c>
      <c r="K3980" t="s">
        <v>38</v>
      </c>
      <c r="L3980" t="s">
        <v>23</v>
      </c>
      <c r="M3980" t="s">
        <v>17</v>
      </c>
      <c r="N3980" t="str">
        <f>INDEX(Products!B:B,MATCH(OrdersTable[[#This Row],[Product ID]],Products!A:A,0))</f>
        <v>Casual Sneakers</v>
      </c>
      <c r="O3980" t="str">
        <f>INDEX(Products!C:C,MATCH(OrdersTable[[#This Row],[Product ID]],Products!A:A,0))</f>
        <v>Footwear</v>
      </c>
      <c r="P3980">
        <v>1</v>
      </c>
      <c r="Q3980" s="5">
        <v>2199</v>
      </c>
      <c r="R3980" s="74">
        <v>0.25</v>
      </c>
      <c r="S3980" s="75">
        <f>OrdersTable[[#This Row],[Quantity]]*OrdersTable[[#This Row],[Unit Price]]</f>
        <v>2199</v>
      </c>
      <c r="T3980" s="5">
        <f>OrdersTable[[#This Row],[Gross Sale]]*OrdersTable[[#This Row],[Discount_Clean2]]</f>
        <v>549.75</v>
      </c>
      <c r="U3980" s="5">
        <f>OrdersTable[[#This Row],[Gross Sale]]-OrdersTable[[#This Row],[Discount Amount]]</f>
        <v>1649.25</v>
      </c>
      <c r="V3980" s="77">
        <f>INDEX(Products!E:E,MATCH(OrdersTable[[#This Row],[Product ID]],Products!A:A,0))</f>
        <v>1034</v>
      </c>
      <c r="W3980" s="77">
        <f>OrdersTable[[#This Row],[Quantity]]*OrdersTable[[#This Row],[Unit Cost]]</f>
        <v>1034</v>
      </c>
      <c r="X3980" s="77">
        <f>'Dropdown Lists'!$I$2*(1+OrdersTable[[#This Row],[Returned]])</f>
        <v>60</v>
      </c>
      <c r="Y3980" s="76">
        <f>OrdersTable[[#This Row],[Net Revenue]]-OrdersTable[[#This Row],[COGS]]-OrdersTable[[#This Row],[Shipping Cost]]</f>
        <v>555.25</v>
      </c>
      <c r="Z3980" s="78">
        <f>IFERROR(OrdersTable[[#This Row],[Profit]]/OrdersTable[[#This Row],[Net Revenue]],0)</f>
        <v>0.33666818250720026</v>
      </c>
      <c r="AA3980" t="s">
        <v>18</v>
      </c>
      <c r="AB3980" s="79">
        <v>45933</v>
      </c>
      <c r="AC3980">
        <f>OrdersTable[[#This Row],[Delivery Date]]-OrdersTable[[#This Row],[Order Date]]</f>
        <v>3</v>
      </c>
      <c r="AD3980" t="str">
        <f>IF(OrdersTable[[#This Row],[Delivery Days]]&lt;=2, "Express (≤2d)", IF(OrdersTable[[#This Row],[Delivery Days]]&lt;=4, "Standard (3-4d)", "Delayed (5d+)"))</f>
        <v>Standard (3-4d)</v>
      </c>
      <c r="AE3980">
        <v>4</v>
      </c>
      <c r="AF3980">
        <v>0</v>
      </c>
    </row>
    <row r="3981" spans="1:32" ht="15" x14ac:dyDescent="0.35">
      <c r="A3981" t="s">
        <v>3344</v>
      </c>
      <c r="B3981" s="1">
        <v>45930</v>
      </c>
      <c r="C3981">
        <f>YEAR(OrdersTable[[#This Row],[Order Date]])</f>
        <v>2025</v>
      </c>
      <c r="D3981" s="2">
        <f>DATE(YEAR(OrdersTable[[#This Row],[Order Date]]),MONTH(OrdersTable[[#This Row],[Order Date]]),1)</f>
        <v>45901</v>
      </c>
      <c r="E3981">
        <f>MONTH(OrdersTable[[#This Row],[Order Date]])</f>
        <v>9</v>
      </c>
      <c r="F3981" t="s">
        <v>3345</v>
      </c>
      <c r="G3981" t="str">
        <f>IF(OrdersTable[[#This Row],[Order Date]]=_xlfn.MINIFS(Order_Date, Customer_ID, OrdersTable[[#This Row],[Customer ID]]), "New", "Repeat")</f>
        <v>Repeat</v>
      </c>
      <c r="H3981" t="s">
        <v>37</v>
      </c>
      <c r="I3981" t="str">
        <f>INDEX(State!B:B,MATCH(OrdersTable[[#This Row],[State]],State!A:A,0))</f>
        <v>GJ</v>
      </c>
      <c r="J3981" t="str">
        <f>INDEX(State!C:C,MATCH(OrdersTable[[#This Row],[State Code]],State!B:B,0))</f>
        <v>West</v>
      </c>
      <c r="K3981" t="s">
        <v>247</v>
      </c>
      <c r="L3981" t="s">
        <v>39</v>
      </c>
      <c r="M3981" t="s">
        <v>148</v>
      </c>
      <c r="N3981" t="str">
        <f>INDEX(Products!B:B,MATCH(OrdersTable[[#This Row],[Product ID]],Products!A:A,0))</f>
        <v>Smartwatch Strap</v>
      </c>
      <c r="O3981" t="str">
        <f>INDEX(Products!C:C,MATCH(OrdersTable[[#This Row],[Product ID]],Products!A:A,0))</f>
        <v>Electronics</v>
      </c>
      <c r="P3981">
        <v>1</v>
      </c>
      <c r="Q3981" s="5">
        <v>499</v>
      </c>
      <c r="R3981" s="74">
        <v>0.1</v>
      </c>
      <c r="S3981" s="75">
        <f>OrdersTable[[#This Row],[Quantity]]*OrdersTable[[#This Row],[Unit Price]]</f>
        <v>499</v>
      </c>
      <c r="T3981" s="5">
        <f>OrdersTable[[#This Row],[Gross Sale]]*OrdersTable[[#This Row],[Discount_Clean2]]</f>
        <v>49.900000000000006</v>
      </c>
      <c r="U3981" s="5">
        <f>OrdersTable[[#This Row],[Gross Sale]]-OrdersTable[[#This Row],[Discount Amount]]</f>
        <v>449.1</v>
      </c>
      <c r="V3981" s="77">
        <f>INDEX(Products!E:E,MATCH(OrdersTable[[#This Row],[Product ID]],Products!A:A,0))</f>
        <v>200</v>
      </c>
      <c r="W3981" s="77">
        <f>OrdersTable[[#This Row],[Quantity]]*OrdersTable[[#This Row],[Unit Cost]]</f>
        <v>200</v>
      </c>
      <c r="X3981" s="77">
        <f>'Dropdown Lists'!$I$2*(1+OrdersTable[[#This Row],[Returned]])</f>
        <v>60</v>
      </c>
      <c r="Y3981" s="76">
        <f>OrdersTable[[#This Row],[Net Revenue]]-OrdersTable[[#This Row],[COGS]]-OrdersTable[[#This Row],[Shipping Cost]]</f>
        <v>189.10000000000002</v>
      </c>
      <c r="Z3981" s="78">
        <f>IFERROR(OrdersTable[[#This Row],[Profit]]/OrdersTable[[#This Row],[Net Revenue]],0)</f>
        <v>0.42106435092407041</v>
      </c>
      <c r="AA3981" t="s">
        <v>2522</v>
      </c>
      <c r="AB3981" s="79">
        <v>45934</v>
      </c>
      <c r="AC3981">
        <f>OrdersTable[[#This Row],[Delivery Date]]-OrdersTable[[#This Row],[Order Date]]</f>
        <v>4</v>
      </c>
      <c r="AD3981" t="str">
        <f>IF(OrdersTable[[#This Row],[Delivery Days]]&lt;=2, "Express (≤2d)", IF(OrdersTable[[#This Row],[Delivery Days]]&lt;=4, "Standard (3-4d)", "Delayed (5d+)"))</f>
        <v>Standard (3-4d)</v>
      </c>
      <c r="AE3981">
        <v>4</v>
      </c>
      <c r="AF3981">
        <v>0</v>
      </c>
    </row>
    <row r="3982" spans="1:32" ht="15" x14ac:dyDescent="0.35">
      <c r="A3982" t="s">
        <v>675</v>
      </c>
      <c r="B3982" s="1">
        <v>45930</v>
      </c>
      <c r="C3982">
        <f>YEAR(OrdersTable[[#This Row],[Order Date]])</f>
        <v>2025</v>
      </c>
      <c r="D3982" s="2">
        <f>DATE(YEAR(OrdersTable[[#This Row],[Order Date]]),MONTH(OrdersTable[[#This Row],[Order Date]]),1)</f>
        <v>45901</v>
      </c>
      <c r="E3982">
        <f>MONTH(OrdersTable[[#This Row],[Order Date]])</f>
        <v>9</v>
      </c>
      <c r="F3982" t="s">
        <v>676</v>
      </c>
      <c r="G3982" t="str">
        <f>IF(OrdersTable[[#This Row],[Order Date]]=_xlfn.MINIFS(Order_Date, Customer_ID, OrdersTable[[#This Row],[Customer ID]]), "New", "Repeat")</f>
        <v>Repeat</v>
      </c>
      <c r="H3982" t="s">
        <v>37</v>
      </c>
      <c r="I3982" t="str">
        <f>INDEX(State!B:B,MATCH(OrdersTable[[#This Row],[State]],State!A:A,0))</f>
        <v>GJ</v>
      </c>
      <c r="J3982" t="str">
        <f>INDEX(State!C:C,MATCH(OrdersTable[[#This Row],[State Code]],State!B:B,0))</f>
        <v>West</v>
      </c>
      <c r="K3982" t="s">
        <v>247</v>
      </c>
      <c r="L3982" t="s">
        <v>23</v>
      </c>
      <c r="M3982" t="s">
        <v>61</v>
      </c>
      <c r="N3982" t="str">
        <f>INDEX(Products!B:B,MATCH(OrdersTable[[#This Row],[Product ID]],Products!A:A,0))</f>
        <v>Multivitamin Gummies</v>
      </c>
      <c r="O3982" t="str">
        <f>INDEX(Products!C:C,MATCH(OrdersTable[[#This Row],[Product ID]],Products!A:A,0))</f>
        <v>Wellness</v>
      </c>
      <c r="P3982">
        <v>1</v>
      </c>
      <c r="Q3982" s="5">
        <v>699</v>
      </c>
      <c r="R3982" s="74">
        <v>0.25</v>
      </c>
      <c r="S3982" s="75">
        <f>OrdersTable[[#This Row],[Quantity]]*OrdersTable[[#This Row],[Unit Price]]</f>
        <v>699</v>
      </c>
      <c r="T3982" s="5">
        <f>OrdersTable[[#This Row],[Gross Sale]]*OrdersTable[[#This Row],[Discount_Clean2]]</f>
        <v>174.75</v>
      </c>
      <c r="U3982" s="5">
        <f>OrdersTable[[#This Row],[Gross Sale]]-OrdersTable[[#This Row],[Discount Amount]]</f>
        <v>524.25</v>
      </c>
      <c r="V3982" s="77">
        <f>INDEX(Products!E:E,MATCH(OrdersTable[[#This Row],[Product ID]],Products!A:A,0))</f>
        <v>238</v>
      </c>
      <c r="W3982" s="77">
        <f>OrdersTable[[#This Row],[Quantity]]*OrdersTable[[#This Row],[Unit Cost]]</f>
        <v>238</v>
      </c>
      <c r="X3982" s="77">
        <f>'Dropdown Lists'!$I$2*(1+OrdersTable[[#This Row],[Returned]])</f>
        <v>60</v>
      </c>
      <c r="Y3982" s="76">
        <f>OrdersTable[[#This Row],[Net Revenue]]-OrdersTable[[#This Row],[COGS]]-OrdersTable[[#This Row],[Shipping Cost]]</f>
        <v>226.25</v>
      </c>
      <c r="Z3982" s="78">
        <f>IFERROR(OrdersTable[[#This Row],[Profit]]/OrdersTable[[#This Row],[Net Revenue]],0)</f>
        <v>0.43156890796375774</v>
      </c>
      <c r="AA3982" t="s">
        <v>18</v>
      </c>
      <c r="AB3982" s="79">
        <v>45934</v>
      </c>
      <c r="AC3982">
        <f>OrdersTable[[#This Row],[Delivery Date]]-OrdersTable[[#This Row],[Order Date]]</f>
        <v>4</v>
      </c>
      <c r="AD3982" t="str">
        <f>IF(OrdersTable[[#This Row],[Delivery Days]]&lt;=2, "Express (≤2d)", IF(OrdersTable[[#This Row],[Delivery Days]]&lt;=4, "Standard (3-4d)", "Delayed (5d+)"))</f>
        <v>Standard (3-4d)</v>
      </c>
      <c r="AE3982">
        <v>4</v>
      </c>
      <c r="AF3982">
        <v>0</v>
      </c>
    </row>
    <row r="3983" spans="1:32" ht="15" x14ac:dyDescent="0.35">
      <c r="A3983" t="s">
        <v>3346</v>
      </c>
      <c r="B3983" s="1">
        <v>45930</v>
      </c>
      <c r="C3983">
        <f>YEAR(OrdersTable[[#This Row],[Order Date]])</f>
        <v>2025</v>
      </c>
      <c r="D3983" s="2">
        <f>DATE(YEAR(OrdersTable[[#This Row],[Order Date]]),MONTH(OrdersTable[[#This Row],[Order Date]]),1)</f>
        <v>45901</v>
      </c>
      <c r="E3983">
        <f>MONTH(OrdersTable[[#This Row],[Order Date]])</f>
        <v>9</v>
      </c>
      <c r="F3983" t="s">
        <v>3347</v>
      </c>
      <c r="G3983" t="str">
        <f>IF(OrdersTable[[#This Row],[Order Date]]=_xlfn.MINIFS(Order_Date, Customer_ID, OrdersTable[[#This Row],[Customer ID]]), "New", "Repeat")</f>
        <v>Repeat</v>
      </c>
      <c r="H3983" t="s">
        <v>27</v>
      </c>
      <c r="I3983" t="str">
        <f>INDEX(State!B:B,MATCH(OrdersTable[[#This Row],[State]],State!A:A,0))</f>
        <v>WB</v>
      </c>
      <c r="J3983" t="str">
        <f>INDEX(State!C:C,MATCH(OrdersTable[[#This Row],[State Code]],State!B:B,0))</f>
        <v>East</v>
      </c>
      <c r="K3983" t="s">
        <v>28</v>
      </c>
      <c r="L3983" t="s">
        <v>16</v>
      </c>
      <c r="M3983" t="s">
        <v>205</v>
      </c>
      <c r="N3983" t="str">
        <f>INDEX(Products!B:B,MATCH(OrdersTable[[#This Row],[Product ID]],Products!A:A,0))</f>
        <v>Running Shoes</v>
      </c>
      <c r="O3983" t="str">
        <f>INDEX(Products!C:C,MATCH(OrdersTable[[#This Row],[Product ID]],Products!A:A,0))</f>
        <v>Footwear</v>
      </c>
      <c r="P3983">
        <v>1</v>
      </c>
      <c r="Q3983" s="5">
        <v>2999</v>
      </c>
      <c r="R3983" s="74">
        <v>0.25</v>
      </c>
      <c r="S3983" s="75">
        <f>OrdersTable[[#This Row],[Quantity]]*OrdersTable[[#This Row],[Unit Price]]</f>
        <v>2999</v>
      </c>
      <c r="T3983" s="5">
        <f>OrdersTable[[#This Row],[Gross Sale]]*OrdersTable[[#This Row],[Discount_Clean2]]</f>
        <v>749.75</v>
      </c>
      <c r="U3983" s="5">
        <f>OrdersTable[[#This Row],[Gross Sale]]-OrdersTable[[#This Row],[Discount Amount]]</f>
        <v>2249.25</v>
      </c>
      <c r="V3983" s="77">
        <f>INDEX(Products!E:E,MATCH(OrdersTable[[#This Row],[Product ID]],Products!A:A,0))</f>
        <v>1440</v>
      </c>
      <c r="W3983" s="77">
        <f>OrdersTable[[#This Row],[Quantity]]*OrdersTable[[#This Row],[Unit Cost]]</f>
        <v>1440</v>
      </c>
      <c r="X3983" s="77">
        <f>'Dropdown Lists'!$I$2*(1+OrdersTable[[#This Row],[Returned]])</f>
        <v>60</v>
      </c>
      <c r="Y3983" s="76">
        <f>OrdersTable[[#This Row],[Net Revenue]]-OrdersTable[[#This Row],[COGS]]-OrdersTable[[#This Row],[Shipping Cost]]</f>
        <v>749.25</v>
      </c>
      <c r="Z3983" s="78">
        <f>IFERROR(OrdersTable[[#This Row],[Profit]]/OrdersTable[[#This Row],[Net Revenue]],0)</f>
        <v>0.33311103701233746</v>
      </c>
      <c r="AA3983" t="s">
        <v>2522</v>
      </c>
      <c r="AB3983" s="79">
        <v>45933</v>
      </c>
      <c r="AC3983">
        <f>OrdersTable[[#This Row],[Delivery Date]]-OrdersTable[[#This Row],[Order Date]]</f>
        <v>3</v>
      </c>
      <c r="AD3983" t="str">
        <f>IF(OrdersTable[[#This Row],[Delivery Days]]&lt;=2, "Express (≤2d)", IF(OrdersTable[[#This Row],[Delivery Days]]&lt;=4, "Standard (3-4d)", "Delayed (5d+)"))</f>
        <v>Standard (3-4d)</v>
      </c>
      <c r="AE3983">
        <v>4</v>
      </c>
      <c r="AF3983">
        <v>0</v>
      </c>
    </row>
    <row r="3984" spans="1:32" ht="15" x14ac:dyDescent="0.35">
      <c r="A3984" t="s">
        <v>6405</v>
      </c>
      <c r="B3984" s="1">
        <v>45930</v>
      </c>
      <c r="C3984">
        <f>YEAR(OrdersTable[[#This Row],[Order Date]])</f>
        <v>2025</v>
      </c>
      <c r="D3984" s="2">
        <f>DATE(YEAR(OrdersTable[[#This Row],[Order Date]]),MONTH(OrdersTable[[#This Row],[Order Date]]),1)</f>
        <v>45901</v>
      </c>
      <c r="E3984">
        <f>MONTH(OrdersTable[[#This Row],[Order Date]])</f>
        <v>9</v>
      </c>
      <c r="F3984" t="s">
        <v>6406</v>
      </c>
      <c r="G3984" t="str">
        <f>IF(OrdersTable[[#This Row],[Order Date]]=_xlfn.MINIFS(Order_Date, Customer_ID, OrdersTable[[#This Row],[Customer ID]]), "New", "Repeat")</f>
        <v>New</v>
      </c>
      <c r="H3984" t="s">
        <v>71</v>
      </c>
      <c r="I3984" t="str">
        <f>INDEX(State!B:B,MATCH(OrdersTable[[#This Row],[State]],State!A:A,0))</f>
        <v>MH</v>
      </c>
      <c r="J3984" t="str">
        <f>INDEX(State!C:C,MATCH(OrdersTable[[#This Row],[State Code]],State!B:B,0))</f>
        <v>West</v>
      </c>
      <c r="K3984" t="s">
        <v>81</v>
      </c>
      <c r="L3984" t="s">
        <v>23</v>
      </c>
      <c r="M3984" t="s">
        <v>160</v>
      </c>
      <c r="N3984" t="str">
        <f>INDEX(Products!B:B,MATCH(OrdersTable[[#This Row],[Product ID]],Products!A:A,0))</f>
        <v>Niacinamide Toner</v>
      </c>
      <c r="O3984" t="str">
        <f>INDEX(Products!C:C,MATCH(OrdersTable[[#This Row],[Product ID]],Products!A:A,0))</f>
        <v>Skincare</v>
      </c>
      <c r="P3984">
        <v>2</v>
      </c>
      <c r="Q3984" s="5">
        <v>399</v>
      </c>
      <c r="R3984" s="74">
        <v>0.25</v>
      </c>
      <c r="S3984" s="75">
        <f>OrdersTable[[#This Row],[Quantity]]*OrdersTable[[#This Row],[Unit Price]]</f>
        <v>798</v>
      </c>
      <c r="T3984" s="5">
        <f>OrdersTable[[#This Row],[Gross Sale]]*OrdersTable[[#This Row],[Discount_Clean2]]</f>
        <v>199.5</v>
      </c>
      <c r="U3984" s="5">
        <f>OrdersTable[[#This Row],[Gross Sale]]-OrdersTable[[#This Row],[Discount Amount]]</f>
        <v>598.5</v>
      </c>
      <c r="V3984" s="77">
        <f>INDEX(Products!E:E,MATCH(OrdersTable[[#This Row],[Product ID]],Products!A:A,0))</f>
        <v>112</v>
      </c>
      <c r="W3984" s="77">
        <f>OrdersTable[[#This Row],[Quantity]]*OrdersTable[[#This Row],[Unit Cost]]</f>
        <v>224</v>
      </c>
      <c r="X3984" s="77">
        <f>'Dropdown Lists'!$I$2*(1+OrdersTable[[#This Row],[Returned]])</f>
        <v>60</v>
      </c>
      <c r="Y3984" s="76">
        <f>OrdersTable[[#This Row],[Net Revenue]]-OrdersTable[[#This Row],[COGS]]-OrdersTable[[#This Row],[Shipping Cost]]</f>
        <v>314.5</v>
      </c>
      <c r="Z3984" s="78">
        <f>IFERROR(OrdersTable[[#This Row],[Profit]]/OrdersTable[[#This Row],[Net Revenue]],0)</f>
        <v>0.52548036758563077</v>
      </c>
      <c r="AA3984" t="s">
        <v>18</v>
      </c>
      <c r="AB3984" s="79">
        <v>45932</v>
      </c>
      <c r="AC3984">
        <f>OrdersTable[[#This Row],[Delivery Date]]-OrdersTable[[#This Row],[Order Date]]</f>
        <v>2</v>
      </c>
      <c r="AD3984" t="str">
        <f>IF(OrdersTable[[#This Row],[Delivery Days]]&lt;=2, "Express (≤2d)", IF(OrdersTable[[#This Row],[Delivery Days]]&lt;=4, "Standard (3-4d)", "Delayed (5d+)"))</f>
        <v>Express (≤2d)</v>
      </c>
      <c r="AE3984">
        <v>5</v>
      </c>
      <c r="AF3984">
        <v>0</v>
      </c>
    </row>
    <row r="3985" spans="1:32" ht="15" x14ac:dyDescent="0.35">
      <c r="A3985" t="s">
        <v>4293</v>
      </c>
      <c r="B3985" s="1">
        <v>45930</v>
      </c>
      <c r="C3985">
        <f>YEAR(OrdersTable[[#This Row],[Order Date]])</f>
        <v>2025</v>
      </c>
      <c r="D3985" s="2">
        <f>DATE(YEAR(OrdersTable[[#This Row],[Order Date]]),MONTH(OrdersTable[[#This Row],[Order Date]]),1)</f>
        <v>45901</v>
      </c>
      <c r="E3985">
        <f>MONTH(OrdersTable[[#This Row],[Order Date]])</f>
        <v>9</v>
      </c>
      <c r="F3985" t="s">
        <v>3746</v>
      </c>
      <c r="G3985" t="str">
        <f>IF(OrdersTable[[#This Row],[Order Date]]=_xlfn.MINIFS(Order_Date, Customer_ID, OrdersTable[[#This Row],[Customer ID]]), "New", "Repeat")</f>
        <v>Repeat</v>
      </c>
      <c r="H3985" t="s">
        <v>167</v>
      </c>
      <c r="I3985" t="str">
        <f>INDEX(State!B:B,MATCH(OrdersTable[[#This Row],[State]],State!A:A,0))</f>
        <v>KA</v>
      </c>
      <c r="J3985" t="str">
        <f>INDEX(State!C:C,MATCH(OrdersTable[[#This Row],[State Code]],State!B:B,0))</f>
        <v>South</v>
      </c>
      <c r="K3985" t="s">
        <v>190</v>
      </c>
      <c r="L3985" t="s">
        <v>65</v>
      </c>
      <c r="M3985" t="s">
        <v>160</v>
      </c>
      <c r="N3985" t="str">
        <f>INDEX(Products!B:B,MATCH(OrdersTable[[#This Row],[Product ID]],Products!A:A,0))</f>
        <v>Niacinamide Toner</v>
      </c>
      <c r="O3985" t="str">
        <f>INDEX(Products!C:C,MATCH(OrdersTable[[#This Row],[Product ID]],Products!A:A,0))</f>
        <v>Skincare</v>
      </c>
      <c r="P3985">
        <v>1</v>
      </c>
      <c r="Q3985" s="5">
        <v>399</v>
      </c>
      <c r="R3985" s="74">
        <v>0.2</v>
      </c>
      <c r="S3985" s="75">
        <f>OrdersTable[[#This Row],[Quantity]]*OrdersTable[[#This Row],[Unit Price]]</f>
        <v>399</v>
      </c>
      <c r="T3985" s="5">
        <f>OrdersTable[[#This Row],[Gross Sale]]*OrdersTable[[#This Row],[Discount_Clean2]]</f>
        <v>79.800000000000011</v>
      </c>
      <c r="U3985" s="5">
        <f>OrdersTable[[#This Row],[Gross Sale]]-OrdersTable[[#This Row],[Discount Amount]]</f>
        <v>319.2</v>
      </c>
      <c r="V3985" s="77">
        <f>INDEX(Products!E:E,MATCH(OrdersTable[[#This Row],[Product ID]],Products!A:A,0))</f>
        <v>112</v>
      </c>
      <c r="W3985" s="77">
        <f>OrdersTable[[#This Row],[Quantity]]*OrdersTable[[#This Row],[Unit Cost]]</f>
        <v>112</v>
      </c>
      <c r="X3985" s="77">
        <f>'Dropdown Lists'!$I$2*(1+OrdersTable[[#This Row],[Returned]])</f>
        <v>60</v>
      </c>
      <c r="Y3985" s="76">
        <f>OrdersTable[[#This Row],[Net Revenue]]-OrdersTable[[#This Row],[COGS]]-OrdersTable[[#This Row],[Shipping Cost]]</f>
        <v>147.19999999999999</v>
      </c>
      <c r="Z3985" s="78">
        <f>IFERROR(OrdersTable[[#This Row],[Profit]]/OrdersTable[[#This Row],[Net Revenue]],0)</f>
        <v>0.46115288220551376</v>
      </c>
      <c r="AA3985" t="s">
        <v>4074</v>
      </c>
      <c r="AB3985" s="79">
        <v>45933</v>
      </c>
      <c r="AC3985">
        <f>OrdersTable[[#This Row],[Delivery Date]]-OrdersTable[[#This Row],[Order Date]]</f>
        <v>3</v>
      </c>
      <c r="AD3985" t="str">
        <f>IF(OrdersTable[[#This Row],[Delivery Days]]&lt;=2, "Express (≤2d)", IF(OrdersTable[[#This Row],[Delivery Days]]&lt;=4, "Standard (3-4d)", "Delayed (5d+)"))</f>
        <v>Standard (3-4d)</v>
      </c>
      <c r="AF3985">
        <v>0</v>
      </c>
    </row>
    <row r="3986" spans="1:32" ht="15" x14ac:dyDescent="0.35">
      <c r="A3986" t="s">
        <v>4538</v>
      </c>
      <c r="B3986" s="1">
        <v>45930</v>
      </c>
      <c r="C3986">
        <f>YEAR(OrdersTable[[#This Row],[Order Date]])</f>
        <v>2025</v>
      </c>
      <c r="D3986" s="2">
        <f>DATE(YEAR(OrdersTable[[#This Row],[Order Date]]),MONTH(OrdersTable[[#This Row],[Order Date]]),1)</f>
        <v>45901</v>
      </c>
      <c r="E3986">
        <f>MONTH(OrdersTable[[#This Row],[Order Date]])</f>
        <v>9</v>
      </c>
      <c r="F3986" t="s">
        <v>2697</v>
      </c>
      <c r="G3986" t="str">
        <f>IF(OrdersTable[[#This Row],[Order Date]]=_xlfn.MINIFS(Order_Date, Customer_ID, OrdersTable[[#This Row],[Customer ID]]), "New", "Repeat")</f>
        <v>Repeat</v>
      </c>
      <c r="H3986" t="s">
        <v>167</v>
      </c>
      <c r="I3986" t="str">
        <f>INDEX(State!B:B,MATCH(OrdersTable[[#This Row],[State]],State!A:A,0))</f>
        <v>KA</v>
      </c>
      <c r="J3986" t="str">
        <f>INDEX(State!C:C,MATCH(OrdersTable[[#This Row],[State Code]],State!B:B,0))</f>
        <v>South</v>
      </c>
      <c r="K3986" t="s">
        <v>168</v>
      </c>
      <c r="L3986" t="s">
        <v>39</v>
      </c>
      <c r="M3986" t="s">
        <v>51</v>
      </c>
      <c r="N3986" t="str">
        <f>INDEX(Products!B:B,MATCH(OrdersTable[[#This Row],[Product ID]],Products!A:A,0))</f>
        <v>Anti-Dandruff Conditioner</v>
      </c>
      <c r="O3986" t="str">
        <f>INDEX(Products!C:C,MATCH(OrdersTable[[#This Row],[Product ID]],Products!A:A,0))</f>
        <v>Haircare</v>
      </c>
      <c r="P3986">
        <v>1</v>
      </c>
      <c r="Q3986" s="5">
        <v>399</v>
      </c>
      <c r="R3986" s="74">
        <v>0.4</v>
      </c>
      <c r="S3986" s="75">
        <f>OrdersTable[[#This Row],[Quantity]]*OrdersTable[[#This Row],[Unit Price]]</f>
        <v>399</v>
      </c>
      <c r="T3986" s="5">
        <f>OrdersTable[[#This Row],[Gross Sale]]*OrdersTable[[#This Row],[Discount_Clean2]]</f>
        <v>159.60000000000002</v>
      </c>
      <c r="U3986" s="5">
        <f>OrdersTable[[#This Row],[Gross Sale]]-OrdersTable[[#This Row],[Discount Amount]]</f>
        <v>239.39999999999998</v>
      </c>
      <c r="V3986" s="77">
        <f>INDEX(Products!E:E,MATCH(OrdersTable[[#This Row],[Product ID]],Products!A:A,0))</f>
        <v>136</v>
      </c>
      <c r="W3986" s="77">
        <f>OrdersTable[[#This Row],[Quantity]]*OrdersTable[[#This Row],[Unit Cost]]</f>
        <v>136</v>
      </c>
      <c r="X3986" s="77">
        <f>'Dropdown Lists'!$I$2*(1+OrdersTable[[#This Row],[Returned]])</f>
        <v>60</v>
      </c>
      <c r="Y3986" s="76">
        <f>OrdersTable[[#This Row],[Net Revenue]]-OrdersTable[[#This Row],[COGS]]-OrdersTable[[#This Row],[Shipping Cost]]</f>
        <v>43.399999999999977</v>
      </c>
      <c r="Z3986" s="78">
        <f>IFERROR(OrdersTable[[#This Row],[Profit]]/OrdersTable[[#This Row],[Net Revenue]],0)</f>
        <v>0.18128654970760227</v>
      </c>
      <c r="AA3986" t="s">
        <v>4450</v>
      </c>
      <c r="AB3986" s="79">
        <v>45933</v>
      </c>
      <c r="AC3986">
        <f>OrdersTable[[#This Row],[Delivery Date]]-OrdersTable[[#This Row],[Order Date]]</f>
        <v>3</v>
      </c>
      <c r="AD3986" t="str">
        <f>IF(OrdersTable[[#This Row],[Delivery Days]]&lt;=2, "Express (≤2d)", IF(OrdersTable[[#This Row],[Delivery Days]]&lt;=4, "Standard (3-4d)", "Delayed (5d+)"))</f>
        <v>Standard (3-4d)</v>
      </c>
      <c r="AE3986">
        <v>4</v>
      </c>
      <c r="AF3986">
        <v>0</v>
      </c>
    </row>
    <row r="3987" spans="1:32" ht="15" x14ac:dyDescent="0.35">
      <c r="A3987" t="s">
        <v>3108</v>
      </c>
      <c r="B3987" s="1">
        <v>45930</v>
      </c>
      <c r="C3987">
        <f>YEAR(OrdersTable[[#This Row],[Order Date]])</f>
        <v>2025</v>
      </c>
      <c r="D3987" s="2">
        <f>DATE(YEAR(OrdersTable[[#This Row],[Order Date]]),MONTH(OrdersTable[[#This Row],[Order Date]]),1)</f>
        <v>45901</v>
      </c>
      <c r="E3987">
        <f>MONTH(OrdersTable[[#This Row],[Order Date]])</f>
        <v>9</v>
      </c>
      <c r="F3987" t="s">
        <v>3109</v>
      </c>
      <c r="G3987" t="str">
        <f>IF(OrdersTable[[#This Row],[Order Date]]=_xlfn.MINIFS(Order_Date, Customer_ID, OrdersTable[[#This Row],[Customer ID]]), "New", "Repeat")</f>
        <v>New</v>
      </c>
      <c r="H3987" t="s">
        <v>316</v>
      </c>
      <c r="I3987" t="str">
        <f>INDEX(State!B:B,MATCH(OrdersTable[[#This Row],[State]],State!A:A,0))</f>
        <v>KL</v>
      </c>
      <c r="J3987" t="str">
        <f>INDEX(State!C:C,MATCH(OrdersTable[[#This Row],[State Code]],State!B:B,0))</f>
        <v>South</v>
      </c>
      <c r="K3987" t="s">
        <v>317</v>
      </c>
      <c r="L3987" t="s">
        <v>65</v>
      </c>
      <c r="M3987" t="s">
        <v>17</v>
      </c>
      <c r="N3987" t="str">
        <f>INDEX(Products!B:B,MATCH(OrdersTable[[#This Row],[Product ID]],Products!A:A,0))</f>
        <v>Casual Sneakers</v>
      </c>
      <c r="O3987" t="str">
        <f>INDEX(Products!C:C,MATCH(OrdersTable[[#This Row],[Product ID]],Products!A:A,0))</f>
        <v>Footwear</v>
      </c>
      <c r="P3987">
        <v>1</v>
      </c>
      <c r="Q3987" s="5">
        <v>2199</v>
      </c>
      <c r="R3987" s="74">
        <v>0.2</v>
      </c>
      <c r="S3987" s="75">
        <f>OrdersTable[[#This Row],[Quantity]]*OrdersTable[[#This Row],[Unit Price]]</f>
        <v>2199</v>
      </c>
      <c r="T3987" s="5">
        <f>OrdersTable[[#This Row],[Gross Sale]]*OrdersTable[[#This Row],[Discount_Clean2]]</f>
        <v>439.8</v>
      </c>
      <c r="U3987" s="5">
        <f>OrdersTable[[#This Row],[Gross Sale]]-OrdersTable[[#This Row],[Discount Amount]]</f>
        <v>1759.2</v>
      </c>
      <c r="V3987" s="77">
        <f>INDEX(Products!E:E,MATCH(OrdersTable[[#This Row],[Product ID]],Products!A:A,0))</f>
        <v>1034</v>
      </c>
      <c r="W3987" s="77">
        <f>OrdersTable[[#This Row],[Quantity]]*OrdersTable[[#This Row],[Unit Cost]]</f>
        <v>1034</v>
      </c>
      <c r="X3987" s="77">
        <f>'Dropdown Lists'!$I$2*(1+OrdersTable[[#This Row],[Returned]])</f>
        <v>60</v>
      </c>
      <c r="Y3987" s="76">
        <f>OrdersTable[[#This Row],[Net Revenue]]-OrdersTable[[#This Row],[COGS]]-OrdersTable[[#This Row],[Shipping Cost]]</f>
        <v>665.2</v>
      </c>
      <c r="Z3987" s="78">
        <f>IFERROR(OrdersTable[[#This Row],[Profit]]/OrdersTable[[#This Row],[Net Revenue]],0)</f>
        <v>0.37812642110050027</v>
      </c>
      <c r="AA3987" t="s">
        <v>2522</v>
      </c>
      <c r="AB3987" s="79">
        <v>45934</v>
      </c>
      <c r="AC3987">
        <f>OrdersTable[[#This Row],[Delivery Date]]-OrdersTable[[#This Row],[Order Date]]</f>
        <v>4</v>
      </c>
      <c r="AD3987" t="str">
        <f>IF(OrdersTable[[#This Row],[Delivery Days]]&lt;=2, "Express (≤2d)", IF(OrdersTable[[#This Row],[Delivery Days]]&lt;=4, "Standard (3-4d)", "Delayed (5d+)"))</f>
        <v>Standard (3-4d)</v>
      </c>
      <c r="AF3987">
        <v>0</v>
      </c>
    </row>
    <row r="3988" spans="1:32" ht="15" x14ac:dyDescent="0.35">
      <c r="A3988" t="s">
        <v>377</v>
      </c>
      <c r="B3988" s="1">
        <v>45930</v>
      </c>
      <c r="C3988">
        <f>YEAR(OrdersTable[[#This Row],[Order Date]])</f>
        <v>2025</v>
      </c>
      <c r="D3988" s="2">
        <f>DATE(YEAR(OrdersTable[[#This Row],[Order Date]]),MONTH(OrdersTable[[#This Row],[Order Date]]),1)</f>
        <v>45901</v>
      </c>
      <c r="E3988">
        <f>MONTH(OrdersTable[[#This Row],[Order Date]])</f>
        <v>9</v>
      </c>
      <c r="F3988" t="s">
        <v>378</v>
      </c>
      <c r="G3988" t="str">
        <f>IF(OrdersTable[[#This Row],[Order Date]]=_xlfn.MINIFS(Order_Date, Customer_ID, OrdersTable[[#This Row],[Customer ID]]), "New", "Repeat")</f>
        <v>New</v>
      </c>
      <c r="H3988" t="s">
        <v>59</v>
      </c>
      <c r="I3988" t="str">
        <f>INDEX(State!B:B,MATCH(OrdersTable[[#This Row],[State]],State!A:A,0))</f>
        <v>TN</v>
      </c>
      <c r="J3988" t="str">
        <f>INDEX(State!C:C,MATCH(OrdersTable[[#This Row],[State Code]],State!B:B,0))</f>
        <v>South</v>
      </c>
      <c r="K3988" t="s">
        <v>60</v>
      </c>
      <c r="L3988" t="s">
        <v>65</v>
      </c>
      <c r="M3988" t="s">
        <v>152</v>
      </c>
      <c r="N3988" t="str">
        <f>INDEX(Products!B:B,MATCH(OrdersTable[[#This Row],[Product ID]],Products!A:A,0))</f>
        <v>Green Tea (100 bags)</v>
      </c>
      <c r="O3988" t="str">
        <f>INDEX(Products!C:C,MATCH(OrdersTable[[#This Row],[Product ID]],Products!A:A,0))</f>
        <v>Wellness</v>
      </c>
      <c r="P3988">
        <v>1</v>
      </c>
      <c r="Q3988" s="5">
        <v>399</v>
      </c>
      <c r="R3988" s="74">
        <v>0.45</v>
      </c>
      <c r="S3988" s="75">
        <f>OrdersTable[[#This Row],[Quantity]]*OrdersTable[[#This Row],[Unit Price]]</f>
        <v>399</v>
      </c>
      <c r="T3988" s="5">
        <f>OrdersTable[[#This Row],[Gross Sale]]*OrdersTable[[#This Row],[Discount_Clean2]]</f>
        <v>179.55</v>
      </c>
      <c r="U3988" s="5">
        <f>OrdersTable[[#This Row],[Gross Sale]]-OrdersTable[[#This Row],[Discount Amount]]</f>
        <v>219.45</v>
      </c>
      <c r="V3988" s="77">
        <f>INDEX(Products!E:E,MATCH(OrdersTable[[#This Row],[Product ID]],Products!A:A,0))</f>
        <v>128</v>
      </c>
      <c r="W3988" s="77">
        <f>OrdersTable[[#This Row],[Quantity]]*OrdersTable[[#This Row],[Unit Cost]]</f>
        <v>128</v>
      </c>
      <c r="X3988" s="77">
        <f>'Dropdown Lists'!$I$2*(1+OrdersTable[[#This Row],[Returned]])</f>
        <v>60</v>
      </c>
      <c r="Y3988" s="76">
        <f>OrdersTable[[#This Row],[Net Revenue]]-OrdersTable[[#This Row],[COGS]]-OrdersTable[[#This Row],[Shipping Cost]]</f>
        <v>31.449999999999989</v>
      </c>
      <c r="Z3988" s="78">
        <f>IFERROR(OrdersTable[[#This Row],[Profit]]/OrdersTable[[#This Row],[Net Revenue]],0)</f>
        <v>0.14331282752335381</v>
      </c>
      <c r="AA3988" t="s">
        <v>18</v>
      </c>
      <c r="AB3988" s="79">
        <v>45931</v>
      </c>
      <c r="AC3988">
        <f>OrdersTable[[#This Row],[Delivery Date]]-OrdersTable[[#This Row],[Order Date]]</f>
        <v>1</v>
      </c>
      <c r="AD3988" t="str">
        <f>IF(OrdersTable[[#This Row],[Delivery Days]]&lt;=2, "Express (≤2d)", IF(OrdersTable[[#This Row],[Delivery Days]]&lt;=4, "Standard (3-4d)", "Delayed (5d+)"))</f>
        <v>Express (≤2d)</v>
      </c>
      <c r="AE3988">
        <v>4</v>
      </c>
      <c r="AF3988">
        <v>0</v>
      </c>
    </row>
    <row r="3989" spans="1:32" ht="15" x14ac:dyDescent="0.35">
      <c r="A3989" t="s">
        <v>5983</v>
      </c>
      <c r="B3989" s="1">
        <v>45930</v>
      </c>
      <c r="C3989">
        <f>YEAR(OrdersTable[[#This Row],[Order Date]])</f>
        <v>2025</v>
      </c>
      <c r="D3989" s="2">
        <f>DATE(YEAR(OrdersTable[[#This Row],[Order Date]]),MONTH(OrdersTable[[#This Row],[Order Date]]),1)</f>
        <v>45901</v>
      </c>
      <c r="E3989">
        <f>MONTH(OrdersTable[[#This Row],[Order Date]])</f>
        <v>9</v>
      </c>
      <c r="F3989" t="s">
        <v>1235</v>
      </c>
      <c r="G3989" t="str">
        <f>IF(OrdersTable[[#This Row],[Order Date]]=_xlfn.MINIFS(Order_Date, Customer_ID, OrdersTable[[#This Row],[Customer ID]]), "New", "Repeat")</f>
        <v>Repeat</v>
      </c>
      <c r="H3989" t="s">
        <v>59</v>
      </c>
      <c r="I3989" t="str">
        <f>INDEX(State!B:B,MATCH(OrdersTable[[#This Row],[State]],State!A:A,0))</f>
        <v>TN</v>
      </c>
      <c r="J3989" t="str">
        <f>INDEX(State!C:C,MATCH(OrdersTable[[#This Row],[State Code]],State!B:B,0))</f>
        <v>South</v>
      </c>
      <c r="K3989" t="s">
        <v>60</v>
      </c>
      <c r="L3989" t="s">
        <v>23</v>
      </c>
      <c r="M3989" t="s">
        <v>92</v>
      </c>
      <c r="N3989" t="str">
        <f>INDEX(Products!B:B,MATCH(OrdersTable[[#This Row],[Product ID]],Products!A:A,0))</f>
        <v>Kolhapuri Sandals</v>
      </c>
      <c r="O3989" t="str">
        <f>INDEX(Products!C:C,MATCH(OrdersTable[[#This Row],[Product ID]],Products!A:A,0))</f>
        <v>Footwear</v>
      </c>
      <c r="P3989">
        <v>2</v>
      </c>
      <c r="Q3989" s="5">
        <v>999</v>
      </c>
      <c r="R3989" s="74">
        <v>0.05</v>
      </c>
      <c r="S3989" s="75">
        <f>OrdersTable[[#This Row],[Quantity]]*OrdersTable[[#This Row],[Unit Price]]</f>
        <v>1998</v>
      </c>
      <c r="T3989" s="5">
        <f>OrdersTable[[#This Row],[Gross Sale]]*OrdersTable[[#This Row],[Discount_Clean2]]</f>
        <v>99.9</v>
      </c>
      <c r="U3989" s="5">
        <f>OrdersTable[[#This Row],[Gross Sale]]-OrdersTable[[#This Row],[Discount Amount]]</f>
        <v>1898.1</v>
      </c>
      <c r="V3989" s="77">
        <f>INDEX(Products!E:E,MATCH(OrdersTable[[#This Row],[Product ID]],Products!A:A,0))</f>
        <v>400</v>
      </c>
      <c r="W3989" s="77">
        <f>OrdersTable[[#This Row],[Quantity]]*OrdersTable[[#This Row],[Unit Cost]]</f>
        <v>800</v>
      </c>
      <c r="X3989" s="77">
        <f>'Dropdown Lists'!$I$2*(1+OrdersTable[[#This Row],[Returned]])</f>
        <v>120</v>
      </c>
      <c r="Y3989" s="76">
        <f>OrdersTable[[#This Row],[Net Revenue]]-OrdersTable[[#This Row],[COGS]]-OrdersTable[[#This Row],[Shipping Cost]]</f>
        <v>978.09999999999991</v>
      </c>
      <c r="Z3989" s="78">
        <f>IFERROR(OrdersTable[[#This Row],[Profit]]/OrdersTable[[#This Row],[Net Revenue]],0)</f>
        <v>0.5153047784626732</v>
      </c>
      <c r="AA3989" t="s">
        <v>18</v>
      </c>
      <c r="AB3989" s="79">
        <v>45934</v>
      </c>
      <c r="AC3989">
        <f>OrdersTable[[#This Row],[Delivery Date]]-OrdersTable[[#This Row],[Order Date]]</f>
        <v>4</v>
      </c>
      <c r="AD3989" t="str">
        <f>IF(OrdersTable[[#This Row],[Delivery Days]]&lt;=2, "Express (≤2d)", IF(OrdersTable[[#This Row],[Delivery Days]]&lt;=4, "Standard (3-4d)", "Delayed (5d+)"))</f>
        <v>Standard (3-4d)</v>
      </c>
      <c r="AF3989">
        <v>1</v>
      </c>
    </row>
    <row r="3990" spans="1:32" ht="15" x14ac:dyDescent="0.35">
      <c r="A3990" t="s">
        <v>5984</v>
      </c>
      <c r="B3990" s="1">
        <v>45931</v>
      </c>
      <c r="C3990">
        <f>YEAR(OrdersTable[[#This Row],[Order Date]])</f>
        <v>2025</v>
      </c>
      <c r="D3990" s="2">
        <f>DATE(YEAR(OrdersTable[[#This Row],[Order Date]]),MONTH(OrdersTable[[#This Row],[Order Date]]),1)</f>
        <v>45931</v>
      </c>
      <c r="E3990">
        <f>MONTH(OrdersTable[[#This Row],[Order Date]])</f>
        <v>10</v>
      </c>
      <c r="F3990" t="s">
        <v>1190</v>
      </c>
      <c r="G3990" t="str">
        <f>IF(OrdersTable[[#This Row],[Order Date]]=_xlfn.MINIFS(Order_Date, Customer_ID, OrdersTable[[#This Row],[Customer ID]]), "New", "Repeat")</f>
        <v>Repeat</v>
      </c>
      <c r="H3990" t="s">
        <v>76</v>
      </c>
      <c r="I3990" t="str">
        <f>INDEX(State!B:B,MATCH(OrdersTable[[#This Row],[State]],State!A:A,0))</f>
        <v>UP</v>
      </c>
      <c r="J3990" t="str">
        <f>INDEX(State!C:C,MATCH(OrdersTable[[#This Row],[State Code]],State!B:B,0))</f>
        <v>North</v>
      </c>
      <c r="K3990" t="s">
        <v>118</v>
      </c>
      <c r="L3990" t="s">
        <v>50</v>
      </c>
      <c r="M3990" t="s">
        <v>73</v>
      </c>
      <c r="N3990" t="str">
        <f>INDEX(Products!B:B,MATCH(OrdersTable[[#This Row],[Product ID]],Products!A:A,0))</f>
        <v>Hydrating Face Wash</v>
      </c>
      <c r="O3990" t="str">
        <f>INDEX(Products!C:C,MATCH(OrdersTable[[#This Row],[Product ID]],Products!A:A,0))</f>
        <v>Skincare</v>
      </c>
      <c r="P3990">
        <v>2</v>
      </c>
      <c r="Q3990" s="5">
        <v>299</v>
      </c>
      <c r="R3990" s="74">
        <v>0.1</v>
      </c>
      <c r="S3990" s="75">
        <f>OrdersTable[[#This Row],[Quantity]]*OrdersTable[[#This Row],[Unit Price]]</f>
        <v>598</v>
      </c>
      <c r="T3990" s="5">
        <f>OrdersTable[[#This Row],[Gross Sale]]*OrdersTable[[#This Row],[Discount_Clean2]]</f>
        <v>59.800000000000004</v>
      </c>
      <c r="U3990" s="5">
        <f>OrdersTable[[#This Row],[Gross Sale]]-OrdersTable[[#This Row],[Discount Amount]]</f>
        <v>538.20000000000005</v>
      </c>
      <c r="V3990" s="77">
        <f>INDEX(Products!E:E,MATCH(OrdersTable[[#This Row],[Product ID]],Products!A:A,0))</f>
        <v>90</v>
      </c>
      <c r="W3990" s="77">
        <f>OrdersTable[[#This Row],[Quantity]]*OrdersTable[[#This Row],[Unit Cost]]</f>
        <v>180</v>
      </c>
      <c r="X3990" s="77">
        <f>'Dropdown Lists'!$I$2*(1+OrdersTable[[#This Row],[Returned]])</f>
        <v>60</v>
      </c>
      <c r="Y3990" s="76">
        <f>OrdersTable[[#This Row],[Net Revenue]]-OrdersTable[[#This Row],[COGS]]-OrdersTable[[#This Row],[Shipping Cost]]</f>
        <v>298.20000000000005</v>
      </c>
      <c r="Z3990" s="78">
        <f>IFERROR(OrdersTable[[#This Row],[Profit]]/OrdersTable[[#This Row],[Net Revenue]],0)</f>
        <v>0.55406911928651059</v>
      </c>
      <c r="AA3990" t="s">
        <v>18</v>
      </c>
      <c r="AB3990" s="79">
        <v>45934</v>
      </c>
      <c r="AC3990">
        <f>OrdersTable[[#This Row],[Delivery Date]]-OrdersTable[[#This Row],[Order Date]]</f>
        <v>3</v>
      </c>
      <c r="AD3990" t="str">
        <f>IF(OrdersTable[[#This Row],[Delivery Days]]&lt;=2, "Express (≤2d)", IF(OrdersTable[[#This Row],[Delivery Days]]&lt;=4, "Standard (3-4d)", "Delayed (5d+)"))</f>
        <v>Standard (3-4d)</v>
      </c>
      <c r="AF3990">
        <v>0</v>
      </c>
    </row>
    <row r="3991" spans="1:32" ht="15" x14ac:dyDescent="0.35">
      <c r="A3991" t="s">
        <v>6728</v>
      </c>
      <c r="B3991" s="1">
        <v>45931</v>
      </c>
      <c r="C3991">
        <f>YEAR(OrdersTable[[#This Row],[Order Date]])</f>
        <v>2025</v>
      </c>
      <c r="D3991" s="2">
        <f>DATE(YEAR(OrdersTable[[#This Row],[Order Date]]),MONTH(OrdersTable[[#This Row],[Order Date]]),1)</f>
        <v>45931</v>
      </c>
      <c r="E3991">
        <f>MONTH(OrdersTable[[#This Row],[Order Date]])</f>
        <v>10</v>
      </c>
      <c r="F3991" t="s">
        <v>4717</v>
      </c>
      <c r="G3991" t="str">
        <f>IF(OrdersTable[[#This Row],[Order Date]]=_xlfn.MINIFS(Order_Date, Customer_ID, OrdersTable[[#This Row],[Customer ID]]), "New", "Repeat")</f>
        <v>Repeat</v>
      </c>
      <c r="H3991" t="s">
        <v>76</v>
      </c>
      <c r="I3991" t="str">
        <f>INDEX(State!B:B,MATCH(OrdersTable[[#This Row],[State]],State!A:A,0))</f>
        <v>UP</v>
      </c>
      <c r="J3991" t="str">
        <f>INDEX(State!C:C,MATCH(OrdersTable[[#This Row],[State Code]],State!B:B,0))</f>
        <v>North</v>
      </c>
      <c r="K3991" t="s">
        <v>77</v>
      </c>
      <c r="L3991" t="s">
        <v>23</v>
      </c>
      <c r="M3991" t="s">
        <v>423</v>
      </c>
      <c r="N3991" t="str">
        <f>INDEX(Products!B:B,MATCH(OrdersTable[[#This Row],[Product ID]],Products!A:A,0))</f>
        <v>Power Bank 20000mAh</v>
      </c>
      <c r="O3991" t="str">
        <f>INDEX(Products!C:C,MATCH(OrdersTable[[#This Row],[Product ID]],Products!A:A,0))</f>
        <v>Electronics</v>
      </c>
      <c r="P3991">
        <v>3</v>
      </c>
      <c r="Q3991" s="5">
        <v>1799</v>
      </c>
      <c r="R3991" s="74">
        <v>0.6</v>
      </c>
      <c r="S3991" s="75">
        <f>OrdersTable[[#This Row],[Quantity]]*OrdersTable[[#This Row],[Unit Price]]</f>
        <v>5397</v>
      </c>
      <c r="T3991" s="5">
        <f>OrdersTable[[#This Row],[Gross Sale]]*OrdersTable[[#This Row],[Discount_Clean2]]</f>
        <v>3238.2</v>
      </c>
      <c r="U3991" s="5">
        <f>OrdersTable[[#This Row],[Gross Sale]]-OrdersTable[[#This Row],[Discount Amount]]</f>
        <v>2158.8000000000002</v>
      </c>
      <c r="V3991" s="77">
        <f>INDEX(Products!E:E,MATCH(OrdersTable[[#This Row],[Product ID]],Products!A:A,0))</f>
        <v>1079</v>
      </c>
      <c r="W3991" s="77">
        <f>OrdersTable[[#This Row],[Quantity]]*OrdersTable[[#This Row],[Unit Cost]]</f>
        <v>3237</v>
      </c>
      <c r="X3991" s="77">
        <f>'Dropdown Lists'!$I$2*(1+OrdersTable[[#This Row],[Returned]])</f>
        <v>120</v>
      </c>
      <c r="Y3991" s="76">
        <f>OrdersTable[[#This Row],[Net Revenue]]-OrdersTable[[#This Row],[COGS]]-OrdersTable[[#This Row],[Shipping Cost]]</f>
        <v>-1198.1999999999998</v>
      </c>
      <c r="Z3991" s="78">
        <f>IFERROR(OrdersTable[[#This Row],[Profit]]/OrdersTable[[#This Row],[Net Revenue]],0)</f>
        <v>-0.55503057254030008</v>
      </c>
      <c r="AA3991" t="s">
        <v>2522</v>
      </c>
      <c r="AB3991" s="79">
        <v>45936</v>
      </c>
      <c r="AC3991">
        <f>OrdersTable[[#This Row],[Delivery Date]]-OrdersTable[[#This Row],[Order Date]]</f>
        <v>5</v>
      </c>
      <c r="AD3991" t="str">
        <f>IF(OrdersTable[[#This Row],[Delivery Days]]&lt;=2, "Express (≤2d)", IF(OrdersTable[[#This Row],[Delivery Days]]&lt;=4, "Standard (3-4d)", "Delayed (5d+)"))</f>
        <v>Delayed (5d+)</v>
      </c>
      <c r="AF3991">
        <v>1</v>
      </c>
    </row>
    <row r="3992" spans="1:32" ht="15" x14ac:dyDescent="0.35">
      <c r="A3992" t="s">
        <v>5985</v>
      </c>
      <c r="B3992" s="1">
        <v>45931</v>
      </c>
      <c r="C3992">
        <f>YEAR(OrdersTable[[#This Row],[Order Date]])</f>
        <v>2025</v>
      </c>
      <c r="D3992" s="2">
        <f>DATE(YEAR(OrdersTable[[#This Row],[Order Date]]),MONTH(OrdersTable[[#This Row],[Order Date]]),1)</f>
        <v>45931</v>
      </c>
      <c r="E3992">
        <f>MONTH(OrdersTable[[#This Row],[Order Date]])</f>
        <v>10</v>
      </c>
      <c r="F3992" t="s">
        <v>4183</v>
      </c>
      <c r="G3992" t="str">
        <f>IF(OrdersTable[[#This Row],[Order Date]]=_xlfn.MINIFS(Order_Date, Customer_ID, OrdersTable[[#This Row],[Customer ID]]), "New", "Repeat")</f>
        <v>New</v>
      </c>
      <c r="H3992" t="s">
        <v>76</v>
      </c>
      <c r="I3992" t="str">
        <f>INDEX(State!B:B,MATCH(OrdersTable[[#This Row],[State]],State!A:A,0))</f>
        <v>UP</v>
      </c>
      <c r="J3992" t="str">
        <f>INDEX(State!C:C,MATCH(OrdersTable[[#This Row],[State Code]],State!B:B,0))</f>
        <v>North</v>
      </c>
      <c r="K3992" t="s">
        <v>77</v>
      </c>
      <c r="L3992" t="s">
        <v>23</v>
      </c>
      <c r="M3992" t="s">
        <v>148</v>
      </c>
      <c r="N3992" t="str">
        <f>INDEX(Products!B:B,MATCH(OrdersTable[[#This Row],[Product ID]],Products!A:A,0))</f>
        <v>Smartwatch Strap</v>
      </c>
      <c r="O3992" t="str">
        <f>INDEX(Products!C:C,MATCH(OrdersTable[[#This Row],[Product ID]],Products!A:A,0))</f>
        <v>Electronics</v>
      </c>
      <c r="P3992">
        <v>2</v>
      </c>
      <c r="Q3992" s="5">
        <v>499</v>
      </c>
      <c r="R3992" s="74">
        <v>0.25</v>
      </c>
      <c r="S3992" s="75">
        <f>OrdersTable[[#This Row],[Quantity]]*OrdersTable[[#This Row],[Unit Price]]</f>
        <v>998</v>
      </c>
      <c r="T3992" s="5">
        <f>OrdersTable[[#This Row],[Gross Sale]]*OrdersTable[[#This Row],[Discount_Clean2]]</f>
        <v>249.5</v>
      </c>
      <c r="U3992" s="5">
        <f>OrdersTable[[#This Row],[Gross Sale]]-OrdersTable[[#This Row],[Discount Amount]]</f>
        <v>748.5</v>
      </c>
      <c r="V3992" s="77">
        <f>INDEX(Products!E:E,MATCH(OrdersTable[[#This Row],[Product ID]],Products!A:A,0))</f>
        <v>200</v>
      </c>
      <c r="W3992" s="77">
        <f>OrdersTable[[#This Row],[Quantity]]*OrdersTable[[#This Row],[Unit Cost]]</f>
        <v>400</v>
      </c>
      <c r="X3992" s="77">
        <f>'Dropdown Lists'!$I$2*(1+OrdersTable[[#This Row],[Returned]])</f>
        <v>60</v>
      </c>
      <c r="Y3992" s="76">
        <f>OrdersTable[[#This Row],[Net Revenue]]-OrdersTable[[#This Row],[COGS]]-OrdersTable[[#This Row],[Shipping Cost]]</f>
        <v>288.5</v>
      </c>
      <c r="Z3992" s="78">
        <f>IFERROR(OrdersTable[[#This Row],[Profit]]/OrdersTable[[#This Row],[Net Revenue]],0)</f>
        <v>0.38543754175016698</v>
      </c>
      <c r="AA3992" t="s">
        <v>18</v>
      </c>
      <c r="AB3992" s="79">
        <v>45934</v>
      </c>
      <c r="AC3992">
        <f>OrdersTable[[#This Row],[Delivery Date]]-OrdersTable[[#This Row],[Order Date]]</f>
        <v>3</v>
      </c>
      <c r="AD3992" t="str">
        <f>IF(OrdersTable[[#This Row],[Delivery Days]]&lt;=2, "Express (≤2d)", IF(OrdersTable[[#This Row],[Delivery Days]]&lt;=4, "Standard (3-4d)", "Delayed (5d+)"))</f>
        <v>Standard (3-4d)</v>
      </c>
      <c r="AF3992">
        <v>0</v>
      </c>
    </row>
    <row r="3993" spans="1:32" ht="15" x14ac:dyDescent="0.35">
      <c r="A3993" t="s">
        <v>1191</v>
      </c>
      <c r="B3993" s="1">
        <v>45931</v>
      </c>
      <c r="C3993">
        <f>YEAR(OrdersTable[[#This Row],[Order Date]])</f>
        <v>2025</v>
      </c>
      <c r="D3993" s="2">
        <f>DATE(YEAR(OrdersTable[[#This Row],[Order Date]]),MONTH(OrdersTable[[#This Row],[Order Date]]),1)</f>
        <v>45931</v>
      </c>
      <c r="E3993">
        <f>MONTH(OrdersTable[[#This Row],[Order Date]])</f>
        <v>10</v>
      </c>
      <c r="F3993" t="s">
        <v>1192</v>
      </c>
      <c r="G3993" t="str">
        <f>IF(OrdersTable[[#This Row],[Order Date]]=_xlfn.MINIFS(Order_Date, Customer_ID, OrdersTable[[#This Row],[Customer ID]]), "New", "Repeat")</f>
        <v>Repeat</v>
      </c>
      <c r="H3993" t="s">
        <v>37</v>
      </c>
      <c r="I3993" t="str">
        <f>INDEX(State!B:B,MATCH(OrdersTable[[#This Row],[State]],State!A:A,0))</f>
        <v>GJ</v>
      </c>
      <c r="J3993" t="str">
        <f>INDEX(State!C:C,MATCH(OrdersTable[[#This Row],[State Code]],State!B:B,0))</f>
        <v>West</v>
      </c>
      <c r="K3993" t="s">
        <v>38</v>
      </c>
      <c r="L3993" t="s">
        <v>50</v>
      </c>
      <c r="M3993" t="s">
        <v>51</v>
      </c>
      <c r="N3993" t="str">
        <f>INDEX(Products!B:B,MATCH(OrdersTable[[#This Row],[Product ID]],Products!A:A,0))</f>
        <v>Anti-Dandruff Conditioner</v>
      </c>
      <c r="O3993" t="str">
        <f>INDEX(Products!C:C,MATCH(OrdersTable[[#This Row],[Product ID]],Products!A:A,0))</f>
        <v>Haircare</v>
      </c>
      <c r="P3993">
        <v>1</v>
      </c>
      <c r="Q3993" s="5">
        <v>399</v>
      </c>
      <c r="R3993" s="74">
        <v>0.4</v>
      </c>
      <c r="S3993" s="75">
        <f>OrdersTable[[#This Row],[Quantity]]*OrdersTable[[#This Row],[Unit Price]]</f>
        <v>399</v>
      </c>
      <c r="T3993" s="5">
        <f>OrdersTable[[#This Row],[Gross Sale]]*OrdersTable[[#This Row],[Discount_Clean2]]</f>
        <v>159.60000000000002</v>
      </c>
      <c r="U3993" s="5">
        <f>OrdersTable[[#This Row],[Gross Sale]]-OrdersTable[[#This Row],[Discount Amount]]</f>
        <v>239.39999999999998</v>
      </c>
      <c r="V3993" s="77">
        <f>INDEX(Products!E:E,MATCH(OrdersTable[[#This Row],[Product ID]],Products!A:A,0))</f>
        <v>136</v>
      </c>
      <c r="W3993" s="77">
        <f>OrdersTable[[#This Row],[Quantity]]*OrdersTable[[#This Row],[Unit Cost]]</f>
        <v>136</v>
      </c>
      <c r="X3993" s="77">
        <f>'Dropdown Lists'!$I$2*(1+OrdersTable[[#This Row],[Returned]])</f>
        <v>60</v>
      </c>
      <c r="Y3993" s="76">
        <f>OrdersTable[[#This Row],[Net Revenue]]-OrdersTable[[#This Row],[COGS]]-OrdersTable[[#This Row],[Shipping Cost]]</f>
        <v>43.399999999999977</v>
      </c>
      <c r="Z3993" s="78">
        <f>IFERROR(OrdersTable[[#This Row],[Profit]]/OrdersTable[[#This Row],[Net Revenue]],0)</f>
        <v>0.18128654970760227</v>
      </c>
      <c r="AA3993" t="s">
        <v>18</v>
      </c>
      <c r="AB3993" s="79">
        <v>45936</v>
      </c>
      <c r="AC3993">
        <f>OrdersTable[[#This Row],[Delivery Date]]-OrdersTable[[#This Row],[Order Date]]</f>
        <v>5</v>
      </c>
      <c r="AD3993" t="str">
        <f>IF(OrdersTable[[#This Row],[Delivery Days]]&lt;=2, "Express (≤2d)", IF(OrdersTable[[#This Row],[Delivery Days]]&lt;=4, "Standard (3-4d)", "Delayed (5d+)"))</f>
        <v>Delayed (5d+)</v>
      </c>
      <c r="AF3993">
        <v>0</v>
      </c>
    </row>
    <row r="3994" spans="1:32" ht="15" x14ac:dyDescent="0.35">
      <c r="A3994" t="s">
        <v>5228</v>
      </c>
      <c r="B3994" s="1">
        <v>45931</v>
      </c>
      <c r="C3994">
        <f>YEAR(OrdersTable[[#This Row],[Order Date]])</f>
        <v>2025</v>
      </c>
      <c r="D3994" s="2">
        <f>DATE(YEAR(OrdersTable[[#This Row],[Order Date]]),MONTH(OrdersTable[[#This Row],[Order Date]]),1)</f>
        <v>45931</v>
      </c>
      <c r="E3994">
        <f>MONTH(OrdersTable[[#This Row],[Order Date]])</f>
        <v>10</v>
      </c>
      <c r="F3994" t="s">
        <v>2975</v>
      </c>
      <c r="G3994" t="str">
        <f>IF(OrdersTable[[#This Row],[Order Date]]=_xlfn.MINIFS(Order_Date, Customer_ID, OrdersTable[[#This Row],[Customer ID]]), "New", "Repeat")</f>
        <v>Repeat</v>
      </c>
      <c r="H3994" t="s">
        <v>43</v>
      </c>
      <c r="I3994" t="str">
        <f>INDEX(State!B:B,MATCH(OrdersTable[[#This Row],[State]],State!A:A,0))</f>
        <v>MP</v>
      </c>
      <c r="J3994" t="str">
        <f>INDEX(State!C:C,MATCH(OrdersTable[[#This Row],[State Code]],State!B:B,0))</f>
        <v>West</v>
      </c>
      <c r="K3994" t="s">
        <v>44</v>
      </c>
      <c r="L3994" t="s">
        <v>23</v>
      </c>
      <c r="M3994" t="s">
        <v>78</v>
      </c>
      <c r="N3994" t="str">
        <f>INDEX(Products!B:B,MATCH(OrdersTable[[#This Row],[Product ID]],Products!A:A,0))</f>
        <v>Retinol Night Cream</v>
      </c>
      <c r="O3994" t="str">
        <f>INDEX(Products!C:C,MATCH(OrdersTable[[#This Row],[Product ID]],Products!A:A,0))</f>
        <v>Skincare</v>
      </c>
      <c r="P3994">
        <v>2</v>
      </c>
      <c r="Q3994" s="5">
        <v>799</v>
      </c>
      <c r="R3994" s="74">
        <v>0.1</v>
      </c>
      <c r="S3994" s="75">
        <f>OrdersTable[[#This Row],[Quantity]]*OrdersTable[[#This Row],[Unit Price]]</f>
        <v>1598</v>
      </c>
      <c r="T3994" s="5">
        <f>OrdersTable[[#This Row],[Gross Sale]]*OrdersTable[[#This Row],[Discount_Clean2]]</f>
        <v>159.80000000000001</v>
      </c>
      <c r="U3994" s="5">
        <f>OrdersTable[[#This Row],[Gross Sale]]-OrdersTable[[#This Row],[Discount Amount]]</f>
        <v>1438.2</v>
      </c>
      <c r="V3994" s="77">
        <f>INDEX(Products!E:E,MATCH(OrdersTable[[#This Row],[Product ID]],Products!A:A,0))</f>
        <v>216</v>
      </c>
      <c r="W3994" s="77">
        <f>OrdersTable[[#This Row],[Quantity]]*OrdersTable[[#This Row],[Unit Cost]]</f>
        <v>432</v>
      </c>
      <c r="X3994" s="77">
        <f>'Dropdown Lists'!$I$2*(1+OrdersTable[[#This Row],[Returned]])</f>
        <v>60</v>
      </c>
      <c r="Y3994" s="76">
        <f>OrdersTable[[#This Row],[Net Revenue]]-OrdersTable[[#This Row],[COGS]]-OrdersTable[[#This Row],[Shipping Cost]]</f>
        <v>946.2</v>
      </c>
      <c r="Z3994" s="78">
        <f>IFERROR(OrdersTable[[#This Row],[Profit]]/OrdersTable[[#This Row],[Net Revenue]],0)</f>
        <v>0.6579057154776804</v>
      </c>
      <c r="AA3994" t="s">
        <v>3495</v>
      </c>
      <c r="AB3994" s="79">
        <v>45938</v>
      </c>
      <c r="AC3994">
        <f>OrdersTable[[#This Row],[Delivery Date]]-OrdersTable[[#This Row],[Order Date]]</f>
        <v>7</v>
      </c>
      <c r="AD3994" t="str">
        <f>IF(OrdersTable[[#This Row],[Delivery Days]]&lt;=2, "Express (≤2d)", IF(OrdersTable[[#This Row],[Delivery Days]]&lt;=4, "Standard (3-4d)", "Delayed (5d+)"))</f>
        <v>Delayed (5d+)</v>
      </c>
      <c r="AE3994">
        <v>3</v>
      </c>
      <c r="AF3994">
        <v>0</v>
      </c>
    </row>
    <row r="3995" spans="1:32" ht="15" x14ac:dyDescent="0.35">
      <c r="A3995" t="s">
        <v>5036</v>
      </c>
      <c r="B3995" s="1">
        <v>45931</v>
      </c>
      <c r="C3995">
        <f>YEAR(OrdersTable[[#This Row],[Order Date]])</f>
        <v>2025</v>
      </c>
      <c r="D3995" s="2">
        <f>DATE(YEAR(OrdersTable[[#This Row],[Order Date]]),MONTH(OrdersTable[[#This Row],[Order Date]]),1)</f>
        <v>45931</v>
      </c>
      <c r="E3995">
        <f>MONTH(OrdersTable[[#This Row],[Order Date]])</f>
        <v>10</v>
      </c>
      <c r="F3995" t="s">
        <v>5037</v>
      </c>
      <c r="G3995" t="str">
        <f>IF(OrdersTable[[#This Row],[Order Date]]=_xlfn.MINIFS(Order_Date, Customer_ID, OrdersTable[[#This Row],[Customer ID]]), "New", "Repeat")</f>
        <v>Repeat</v>
      </c>
      <c r="H3995" t="s">
        <v>71</v>
      </c>
      <c r="I3995" t="str">
        <f>INDEX(State!B:B,MATCH(OrdersTable[[#This Row],[State]],State!A:A,0))</f>
        <v>MH</v>
      </c>
      <c r="J3995" t="str">
        <f>INDEX(State!C:C,MATCH(OrdersTable[[#This Row],[State Code]],State!B:B,0))</f>
        <v>West</v>
      </c>
      <c r="K3995" t="s">
        <v>81</v>
      </c>
      <c r="L3995" t="s">
        <v>65</v>
      </c>
      <c r="M3995" t="s">
        <v>34</v>
      </c>
      <c r="N3995" t="str">
        <f>INDEX(Products!B:B,MATCH(OrdersTable[[#This Row],[Product ID]],Products!A:A,0))</f>
        <v>Flip Flops</v>
      </c>
      <c r="O3995" t="str">
        <f>INDEX(Products!C:C,MATCH(OrdersTable[[#This Row],[Product ID]],Products!A:A,0))</f>
        <v>Footwear</v>
      </c>
      <c r="P3995">
        <v>2</v>
      </c>
      <c r="Q3995" s="5">
        <v>399</v>
      </c>
      <c r="R3995" s="74">
        <v>0.3</v>
      </c>
      <c r="S3995" s="75">
        <f>OrdersTable[[#This Row],[Quantity]]*OrdersTable[[#This Row],[Unit Price]]</f>
        <v>798</v>
      </c>
      <c r="T3995" s="5">
        <f>OrdersTable[[#This Row],[Gross Sale]]*OrdersTable[[#This Row],[Discount_Clean2]]</f>
        <v>239.39999999999998</v>
      </c>
      <c r="U3995" s="5">
        <f>OrdersTable[[#This Row],[Gross Sale]]-OrdersTable[[#This Row],[Discount Amount]]</f>
        <v>558.6</v>
      </c>
      <c r="V3995" s="77">
        <f>INDEX(Products!E:E,MATCH(OrdersTable[[#This Row],[Product ID]],Products!A:A,0))</f>
        <v>152</v>
      </c>
      <c r="W3995" s="77">
        <f>OrdersTable[[#This Row],[Quantity]]*OrdersTable[[#This Row],[Unit Cost]]</f>
        <v>304</v>
      </c>
      <c r="X3995" s="77">
        <f>'Dropdown Lists'!$I$2*(1+OrdersTable[[#This Row],[Returned]])</f>
        <v>60</v>
      </c>
      <c r="Y3995" s="76">
        <f>OrdersTable[[#This Row],[Net Revenue]]-OrdersTable[[#This Row],[COGS]]-OrdersTable[[#This Row],[Shipping Cost]]</f>
        <v>194.60000000000002</v>
      </c>
      <c r="Z3995" s="78">
        <f>IFERROR(OrdersTable[[#This Row],[Profit]]/OrdersTable[[#This Row],[Net Revenue]],0)</f>
        <v>0.34837092731829578</v>
      </c>
      <c r="AA3995" t="s">
        <v>4074</v>
      </c>
      <c r="AB3995" s="79">
        <v>45932</v>
      </c>
      <c r="AC3995">
        <f>OrdersTable[[#This Row],[Delivery Date]]-OrdersTable[[#This Row],[Order Date]]</f>
        <v>1</v>
      </c>
      <c r="AD3995" t="str">
        <f>IF(OrdersTable[[#This Row],[Delivery Days]]&lt;=2, "Express (≤2d)", IF(OrdersTable[[#This Row],[Delivery Days]]&lt;=4, "Standard (3-4d)", "Delayed (5d+)"))</f>
        <v>Express (≤2d)</v>
      </c>
      <c r="AF3995">
        <v>0</v>
      </c>
    </row>
    <row r="3996" spans="1:32" ht="15" x14ac:dyDescent="0.35">
      <c r="A3996" t="s">
        <v>6813</v>
      </c>
      <c r="B3996" s="1">
        <v>45931</v>
      </c>
      <c r="C3996">
        <f>YEAR(OrdersTable[[#This Row],[Order Date]])</f>
        <v>2025</v>
      </c>
      <c r="D3996" s="2">
        <f>DATE(YEAR(OrdersTable[[#This Row],[Order Date]]),MONTH(OrdersTable[[#This Row],[Order Date]]),1)</f>
        <v>45931</v>
      </c>
      <c r="E3996">
        <f>MONTH(OrdersTable[[#This Row],[Order Date]])</f>
        <v>10</v>
      </c>
      <c r="F3996" t="s">
        <v>2538</v>
      </c>
      <c r="G3996" t="str">
        <f>IF(OrdersTable[[#This Row],[Order Date]]=_xlfn.MINIFS(Order_Date, Customer_ID, OrdersTable[[#This Row],[Customer ID]]), "New", "Repeat")</f>
        <v>Repeat</v>
      </c>
      <c r="H3996" t="s">
        <v>167</v>
      </c>
      <c r="I3996" t="str">
        <f>INDEX(State!B:B,MATCH(OrdersTable[[#This Row],[State]],State!A:A,0))</f>
        <v>KA</v>
      </c>
      <c r="J3996" t="str">
        <f>INDEX(State!C:C,MATCH(OrdersTable[[#This Row],[State Code]],State!B:B,0))</f>
        <v>South</v>
      </c>
      <c r="K3996" t="s">
        <v>190</v>
      </c>
      <c r="L3996" t="s">
        <v>50</v>
      </c>
      <c r="M3996" t="s">
        <v>51</v>
      </c>
      <c r="N3996" t="str">
        <f>INDEX(Products!B:B,MATCH(OrdersTable[[#This Row],[Product ID]],Products!A:A,0))</f>
        <v>Anti-Dandruff Conditioner</v>
      </c>
      <c r="O3996" t="str">
        <f>INDEX(Products!C:C,MATCH(OrdersTable[[#This Row],[Product ID]],Products!A:A,0))</f>
        <v>Haircare</v>
      </c>
      <c r="P3996">
        <v>3</v>
      </c>
      <c r="Q3996" s="5">
        <v>399</v>
      </c>
      <c r="R3996" s="74">
        <v>0.4</v>
      </c>
      <c r="S3996" s="75">
        <f>OrdersTable[[#This Row],[Quantity]]*OrdersTable[[#This Row],[Unit Price]]</f>
        <v>1197</v>
      </c>
      <c r="T3996" s="5">
        <f>OrdersTable[[#This Row],[Gross Sale]]*OrdersTable[[#This Row],[Discount_Clean2]]</f>
        <v>478.8</v>
      </c>
      <c r="U3996" s="5">
        <f>OrdersTable[[#This Row],[Gross Sale]]-OrdersTable[[#This Row],[Discount Amount]]</f>
        <v>718.2</v>
      </c>
      <c r="V3996" s="77">
        <f>INDEX(Products!E:E,MATCH(OrdersTable[[#This Row],[Product ID]],Products!A:A,0))</f>
        <v>136</v>
      </c>
      <c r="W3996" s="77">
        <f>OrdersTable[[#This Row],[Quantity]]*OrdersTable[[#This Row],[Unit Cost]]</f>
        <v>408</v>
      </c>
      <c r="X3996" s="77">
        <f>'Dropdown Lists'!$I$2*(1+OrdersTable[[#This Row],[Returned]])</f>
        <v>60</v>
      </c>
      <c r="Y3996" s="76">
        <f>OrdersTable[[#This Row],[Net Revenue]]-OrdersTable[[#This Row],[COGS]]-OrdersTable[[#This Row],[Shipping Cost]]</f>
        <v>250.20000000000005</v>
      </c>
      <c r="Z3996" s="78">
        <f>IFERROR(OrdersTable[[#This Row],[Profit]]/OrdersTable[[#This Row],[Net Revenue]],0)</f>
        <v>0.34837092731829578</v>
      </c>
      <c r="AA3996" t="s">
        <v>3495</v>
      </c>
      <c r="AB3996" s="79">
        <v>45933</v>
      </c>
      <c r="AC3996">
        <f>OrdersTable[[#This Row],[Delivery Date]]-OrdersTable[[#This Row],[Order Date]]</f>
        <v>2</v>
      </c>
      <c r="AD3996" t="str">
        <f>IF(OrdersTable[[#This Row],[Delivery Days]]&lt;=2, "Express (≤2d)", IF(OrdersTable[[#This Row],[Delivery Days]]&lt;=4, "Standard (3-4d)", "Delayed (5d+)"))</f>
        <v>Express (≤2d)</v>
      </c>
      <c r="AF3996">
        <v>0</v>
      </c>
    </row>
    <row r="3997" spans="1:32" ht="15" x14ac:dyDescent="0.35">
      <c r="A3997" t="s">
        <v>2029</v>
      </c>
      <c r="B3997" s="1">
        <v>45931</v>
      </c>
      <c r="C3997">
        <f>YEAR(OrdersTable[[#This Row],[Order Date]])</f>
        <v>2025</v>
      </c>
      <c r="D3997" s="2">
        <f>DATE(YEAR(OrdersTable[[#This Row],[Order Date]]),MONTH(OrdersTable[[#This Row],[Order Date]]),1)</f>
        <v>45931</v>
      </c>
      <c r="E3997">
        <f>MONTH(OrdersTable[[#This Row],[Order Date]])</f>
        <v>10</v>
      </c>
      <c r="F3997" t="s">
        <v>1839</v>
      </c>
      <c r="G3997" t="str">
        <f>IF(OrdersTable[[#This Row],[Order Date]]=_xlfn.MINIFS(Order_Date, Customer_ID, OrdersTable[[#This Row],[Customer ID]]), "New", "Repeat")</f>
        <v>Repeat</v>
      </c>
      <c r="H3997" t="s">
        <v>275</v>
      </c>
      <c r="I3997" t="str">
        <f>INDEX(State!B:B,MATCH(OrdersTable[[#This Row],[State]],State!A:A,0))</f>
        <v>AP</v>
      </c>
      <c r="J3997" t="str">
        <f>INDEX(State!C:C,MATCH(OrdersTable[[#This Row],[State Code]],State!B:B,0))</f>
        <v>South</v>
      </c>
      <c r="K3997" t="s">
        <v>276</v>
      </c>
      <c r="L3997" t="s">
        <v>65</v>
      </c>
      <c r="M3997" t="s">
        <v>255</v>
      </c>
      <c r="N3997" t="str">
        <f>INDEX(Products!B:B,MATCH(OrdersTable[[#This Row],[Product ID]],Products!A:A,0))</f>
        <v>Cotton Oversized T-Shirt</v>
      </c>
      <c r="O3997" t="str">
        <f>INDEX(Products!C:C,MATCH(OrdersTable[[#This Row],[Product ID]],Products!A:A,0))</f>
        <v>Apparel</v>
      </c>
      <c r="P3997">
        <v>1</v>
      </c>
      <c r="Q3997" s="5">
        <v>799</v>
      </c>
      <c r="R3997" s="74">
        <v>0.2</v>
      </c>
      <c r="S3997" s="75">
        <f>OrdersTable[[#This Row],[Quantity]]*OrdersTable[[#This Row],[Unit Price]]</f>
        <v>799</v>
      </c>
      <c r="T3997" s="5">
        <f>OrdersTable[[#This Row],[Gross Sale]]*OrdersTable[[#This Row],[Discount_Clean2]]</f>
        <v>159.80000000000001</v>
      </c>
      <c r="U3997" s="5">
        <f>OrdersTable[[#This Row],[Gross Sale]]-OrdersTable[[#This Row],[Discount Amount]]</f>
        <v>639.20000000000005</v>
      </c>
      <c r="V3997" s="77">
        <f>INDEX(Products!E:E,MATCH(OrdersTable[[#This Row],[Product ID]],Products!A:A,0))</f>
        <v>320</v>
      </c>
      <c r="W3997" s="77">
        <f>OrdersTable[[#This Row],[Quantity]]*OrdersTable[[#This Row],[Unit Cost]]</f>
        <v>320</v>
      </c>
      <c r="X3997" s="77">
        <f>'Dropdown Lists'!$I$2*(1+OrdersTable[[#This Row],[Returned]])</f>
        <v>60</v>
      </c>
      <c r="Y3997" s="76">
        <f>OrdersTable[[#This Row],[Net Revenue]]-OrdersTable[[#This Row],[COGS]]-OrdersTable[[#This Row],[Shipping Cost]]</f>
        <v>259.20000000000005</v>
      </c>
      <c r="Z3997" s="78">
        <f>IFERROR(OrdersTable[[#This Row],[Profit]]/OrdersTable[[#This Row],[Net Revenue]],0)</f>
        <v>0.40550688360450565</v>
      </c>
      <c r="AA3997" t="s">
        <v>18</v>
      </c>
      <c r="AB3997" s="79">
        <v>45935</v>
      </c>
      <c r="AC3997">
        <f>OrdersTable[[#This Row],[Delivery Date]]-OrdersTable[[#This Row],[Order Date]]</f>
        <v>4</v>
      </c>
      <c r="AD3997" t="str">
        <f>IF(OrdersTable[[#This Row],[Delivery Days]]&lt;=2, "Express (≤2d)", IF(OrdersTable[[#This Row],[Delivery Days]]&lt;=4, "Standard (3-4d)", "Delayed (5d+)"))</f>
        <v>Standard (3-4d)</v>
      </c>
      <c r="AE3997">
        <v>3</v>
      </c>
      <c r="AF3997">
        <v>0</v>
      </c>
    </row>
    <row r="3998" spans="1:32" ht="15" x14ac:dyDescent="0.35">
      <c r="A3998" t="s">
        <v>5628</v>
      </c>
      <c r="B3998" s="1">
        <v>45931</v>
      </c>
      <c r="C3998">
        <f>YEAR(OrdersTable[[#This Row],[Order Date]])</f>
        <v>2025</v>
      </c>
      <c r="D3998" s="2">
        <f>DATE(YEAR(OrdersTable[[#This Row],[Order Date]]),MONTH(OrdersTable[[#This Row],[Order Date]]),1)</f>
        <v>45931</v>
      </c>
      <c r="E3998">
        <f>MONTH(OrdersTable[[#This Row],[Order Date]])</f>
        <v>10</v>
      </c>
      <c r="F3998" t="s">
        <v>1458</v>
      </c>
      <c r="G3998" t="str">
        <f>IF(OrdersTable[[#This Row],[Order Date]]=_xlfn.MINIFS(Order_Date, Customer_ID, OrdersTable[[#This Row],[Customer ID]]), "New", "Repeat")</f>
        <v>Repeat</v>
      </c>
      <c r="H3998" t="s">
        <v>316</v>
      </c>
      <c r="I3998" t="str">
        <f>INDEX(State!B:B,MATCH(OrdersTable[[#This Row],[State]],State!A:A,0))</f>
        <v>KL</v>
      </c>
      <c r="J3998" t="str">
        <f>INDEX(State!C:C,MATCH(OrdersTable[[#This Row],[State Code]],State!B:B,0))</f>
        <v>South</v>
      </c>
      <c r="K3998" t="s">
        <v>338</v>
      </c>
      <c r="L3998" t="s">
        <v>65</v>
      </c>
      <c r="M3998" t="s">
        <v>152</v>
      </c>
      <c r="N3998" t="str">
        <f>INDEX(Products!B:B,MATCH(OrdersTable[[#This Row],[Product ID]],Products!A:A,0))</f>
        <v>Green Tea (100 bags)</v>
      </c>
      <c r="O3998" t="str">
        <f>INDEX(Products!C:C,MATCH(OrdersTable[[#This Row],[Product ID]],Products!A:A,0))</f>
        <v>Wellness</v>
      </c>
      <c r="P3998">
        <v>2</v>
      </c>
      <c r="Q3998" s="5">
        <v>399</v>
      </c>
      <c r="R3998" s="74">
        <v>0.4</v>
      </c>
      <c r="S3998" s="75">
        <f>OrdersTable[[#This Row],[Quantity]]*OrdersTable[[#This Row],[Unit Price]]</f>
        <v>798</v>
      </c>
      <c r="T3998" s="5">
        <f>OrdersTable[[#This Row],[Gross Sale]]*OrdersTable[[#This Row],[Discount_Clean2]]</f>
        <v>319.20000000000005</v>
      </c>
      <c r="U3998" s="5">
        <f>OrdersTable[[#This Row],[Gross Sale]]-OrdersTable[[#This Row],[Discount Amount]]</f>
        <v>478.79999999999995</v>
      </c>
      <c r="V3998" s="77">
        <f>INDEX(Products!E:E,MATCH(OrdersTable[[#This Row],[Product ID]],Products!A:A,0))</f>
        <v>128</v>
      </c>
      <c r="W3998" s="77">
        <f>OrdersTable[[#This Row],[Quantity]]*OrdersTable[[#This Row],[Unit Cost]]</f>
        <v>256</v>
      </c>
      <c r="X3998" s="77">
        <f>'Dropdown Lists'!$I$2*(1+OrdersTable[[#This Row],[Returned]])</f>
        <v>120</v>
      </c>
      <c r="Y3998" s="76">
        <f>OrdersTable[[#This Row],[Net Revenue]]-OrdersTable[[#This Row],[COGS]]-OrdersTable[[#This Row],[Shipping Cost]]</f>
        <v>102.79999999999995</v>
      </c>
      <c r="Z3998" s="78">
        <f>IFERROR(OrdersTable[[#This Row],[Profit]]/OrdersTable[[#This Row],[Net Revenue]],0)</f>
        <v>0.21470342522974095</v>
      </c>
      <c r="AA3998" t="s">
        <v>2522</v>
      </c>
      <c r="AB3998" s="79">
        <v>45933</v>
      </c>
      <c r="AC3998">
        <f>OrdersTable[[#This Row],[Delivery Date]]-OrdersTable[[#This Row],[Order Date]]</f>
        <v>2</v>
      </c>
      <c r="AD3998" t="str">
        <f>IF(OrdersTable[[#This Row],[Delivery Days]]&lt;=2, "Express (≤2d)", IF(OrdersTable[[#This Row],[Delivery Days]]&lt;=4, "Standard (3-4d)", "Delayed (5d+)"))</f>
        <v>Express (≤2d)</v>
      </c>
      <c r="AE3998">
        <v>4</v>
      </c>
      <c r="AF3998">
        <v>1</v>
      </c>
    </row>
    <row r="3999" spans="1:32" ht="15" x14ac:dyDescent="0.35">
      <c r="A3999" t="s">
        <v>2835</v>
      </c>
      <c r="B3999" s="1">
        <v>45932</v>
      </c>
      <c r="C3999">
        <f>YEAR(OrdersTable[[#This Row],[Order Date]])</f>
        <v>2025</v>
      </c>
      <c r="D3999" s="2">
        <f>DATE(YEAR(OrdersTable[[#This Row],[Order Date]]),MONTH(OrdersTable[[#This Row],[Order Date]]),1)</f>
        <v>45931</v>
      </c>
      <c r="E3999">
        <f>MONTH(OrdersTable[[#This Row],[Order Date]])</f>
        <v>10</v>
      </c>
      <c r="F3999" t="s">
        <v>2836</v>
      </c>
      <c r="G3999" t="str">
        <f>IF(OrdersTable[[#This Row],[Order Date]]=_xlfn.MINIFS(Order_Date, Customer_ID, OrdersTable[[#This Row],[Customer ID]]), "New", "Repeat")</f>
        <v>Repeat</v>
      </c>
      <c r="H3999" t="s">
        <v>184</v>
      </c>
      <c r="I3999" t="str">
        <f>INDEX(State!B:B,MATCH(OrdersTable[[#This Row],[State]],State!A:A,0))</f>
        <v>UK</v>
      </c>
      <c r="J3999" t="str">
        <f>INDEX(State!C:C,MATCH(OrdersTable[[#This Row],[State Code]],State!B:B,0))</f>
        <v>North</v>
      </c>
      <c r="K3999" t="s">
        <v>185</v>
      </c>
      <c r="L3999" t="s">
        <v>23</v>
      </c>
      <c r="M3999" t="s">
        <v>160</v>
      </c>
      <c r="N3999" t="str">
        <f>INDEX(Products!B:B,MATCH(OrdersTable[[#This Row],[Product ID]],Products!A:A,0))</f>
        <v>Niacinamide Toner</v>
      </c>
      <c r="O3999" t="str">
        <f>INDEX(Products!C:C,MATCH(OrdersTable[[#This Row],[Product ID]],Products!A:A,0))</f>
        <v>Skincare</v>
      </c>
      <c r="P3999">
        <v>1</v>
      </c>
      <c r="Q3999" s="5">
        <v>399</v>
      </c>
      <c r="R3999" s="74">
        <v>0.3</v>
      </c>
      <c r="S3999" s="75">
        <f>OrdersTable[[#This Row],[Quantity]]*OrdersTable[[#This Row],[Unit Price]]</f>
        <v>399</v>
      </c>
      <c r="T3999" s="5">
        <f>OrdersTable[[#This Row],[Gross Sale]]*OrdersTable[[#This Row],[Discount_Clean2]]</f>
        <v>119.69999999999999</v>
      </c>
      <c r="U3999" s="5">
        <f>OrdersTable[[#This Row],[Gross Sale]]-OrdersTable[[#This Row],[Discount Amount]]</f>
        <v>279.3</v>
      </c>
      <c r="V3999" s="77">
        <f>INDEX(Products!E:E,MATCH(OrdersTable[[#This Row],[Product ID]],Products!A:A,0))</f>
        <v>112</v>
      </c>
      <c r="W3999" s="77">
        <f>OrdersTable[[#This Row],[Quantity]]*OrdersTable[[#This Row],[Unit Cost]]</f>
        <v>112</v>
      </c>
      <c r="X3999" s="77">
        <f>'Dropdown Lists'!$I$2*(1+OrdersTable[[#This Row],[Returned]])</f>
        <v>120</v>
      </c>
      <c r="Y3999" s="76">
        <f>OrdersTable[[#This Row],[Net Revenue]]-OrdersTable[[#This Row],[COGS]]-OrdersTable[[#This Row],[Shipping Cost]]</f>
        <v>47.300000000000011</v>
      </c>
      <c r="Z3999" s="78">
        <f>IFERROR(OrdersTable[[#This Row],[Profit]]/OrdersTable[[#This Row],[Net Revenue]],0)</f>
        <v>0.16935195130683856</v>
      </c>
      <c r="AA3999" t="s">
        <v>2522</v>
      </c>
      <c r="AB3999" s="79">
        <v>45936</v>
      </c>
      <c r="AC3999">
        <f>OrdersTable[[#This Row],[Delivery Date]]-OrdersTable[[#This Row],[Order Date]]</f>
        <v>4</v>
      </c>
      <c r="AD3999" t="str">
        <f>IF(OrdersTable[[#This Row],[Delivery Days]]&lt;=2, "Express (≤2d)", IF(OrdersTable[[#This Row],[Delivery Days]]&lt;=4, "Standard (3-4d)", "Delayed (5d+)"))</f>
        <v>Standard (3-4d)</v>
      </c>
      <c r="AE3999">
        <v>3</v>
      </c>
      <c r="AF3999">
        <v>1</v>
      </c>
    </row>
    <row r="4000" spans="1:32" ht="15" x14ac:dyDescent="0.35">
      <c r="A4000" t="s">
        <v>1193</v>
      </c>
      <c r="B4000" s="1">
        <v>45932</v>
      </c>
      <c r="C4000">
        <f>YEAR(OrdersTable[[#This Row],[Order Date]])</f>
        <v>2025</v>
      </c>
      <c r="D4000" s="2">
        <f>DATE(YEAR(OrdersTable[[#This Row],[Order Date]]),MONTH(OrdersTable[[#This Row],[Order Date]]),1)</f>
        <v>45931</v>
      </c>
      <c r="E4000">
        <f>MONTH(OrdersTable[[#This Row],[Order Date]])</f>
        <v>10</v>
      </c>
      <c r="F4000" t="s">
        <v>1194</v>
      </c>
      <c r="G4000" t="str">
        <f>IF(OrdersTable[[#This Row],[Order Date]]=_xlfn.MINIFS(Order_Date, Customer_ID, OrdersTable[[#This Row],[Customer ID]]), "New", "Repeat")</f>
        <v>New</v>
      </c>
      <c r="H4000" t="s">
        <v>54</v>
      </c>
      <c r="I4000" t="str">
        <f>INDEX(State!B:B,MATCH(OrdersTable[[#This Row],[State]],State!A:A,0))</f>
        <v>RJ</v>
      </c>
      <c r="J4000" t="str">
        <f>INDEX(State!C:C,MATCH(OrdersTable[[#This Row],[State Code]],State!B:B,0))</f>
        <v>North</v>
      </c>
      <c r="K4000" t="s">
        <v>55</v>
      </c>
      <c r="L4000" t="s">
        <v>50</v>
      </c>
      <c r="M4000" t="s">
        <v>61</v>
      </c>
      <c r="N4000" t="str">
        <f>INDEX(Products!B:B,MATCH(OrdersTable[[#This Row],[Product ID]],Products!A:A,0))</f>
        <v>Multivitamin Gummies</v>
      </c>
      <c r="O4000" t="str">
        <f>INDEX(Products!C:C,MATCH(OrdersTable[[#This Row],[Product ID]],Products!A:A,0))</f>
        <v>Wellness</v>
      </c>
      <c r="P4000">
        <v>1</v>
      </c>
      <c r="Q4000" s="5">
        <v>699</v>
      </c>
      <c r="R4000" s="74">
        <v>0.45</v>
      </c>
      <c r="S4000" s="75">
        <f>OrdersTable[[#This Row],[Quantity]]*OrdersTable[[#This Row],[Unit Price]]</f>
        <v>699</v>
      </c>
      <c r="T4000" s="5">
        <f>OrdersTable[[#This Row],[Gross Sale]]*OrdersTable[[#This Row],[Discount_Clean2]]</f>
        <v>314.55</v>
      </c>
      <c r="U4000" s="5">
        <f>OrdersTable[[#This Row],[Gross Sale]]-OrdersTable[[#This Row],[Discount Amount]]</f>
        <v>384.45</v>
      </c>
      <c r="V4000" s="77">
        <f>INDEX(Products!E:E,MATCH(OrdersTable[[#This Row],[Product ID]],Products!A:A,0))</f>
        <v>238</v>
      </c>
      <c r="W4000" s="77">
        <f>OrdersTable[[#This Row],[Quantity]]*OrdersTable[[#This Row],[Unit Cost]]</f>
        <v>238</v>
      </c>
      <c r="X4000" s="77">
        <f>'Dropdown Lists'!$I$2*(1+OrdersTable[[#This Row],[Returned]])</f>
        <v>60</v>
      </c>
      <c r="Y4000" s="76">
        <f>OrdersTable[[#This Row],[Net Revenue]]-OrdersTable[[#This Row],[COGS]]-OrdersTable[[#This Row],[Shipping Cost]]</f>
        <v>86.449999999999989</v>
      </c>
      <c r="Z4000" s="78">
        <f>IFERROR(OrdersTable[[#This Row],[Profit]]/OrdersTable[[#This Row],[Net Revenue]],0)</f>
        <v>0.22486669267785145</v>
      </c>
      <c r="AA4000" t="s">
        <v>18</v>
      </c>
      <c r="AB4000" s="79">
        <v>45937</v>
      </c>
      <c r="AC4000">
        <f>OrdersTable[[#This Row],[Delivery Date]]-OrdersTable[[#This Row],[Order Date]]</f>
        <v>5</v>
      </c>
      <c r="AD4000" t="str">
        <f>IF(OrdersTable[[#This Row],[Delivery Days]]&lt;=2, "Express (≤2d)", IF(OrdersTable[[#This Row],[Delivery Days]]&lt;=4, "Standard (3-4d)", "Delayed (5d+)"))</f>
        <v>Delayed (5d+)</v>
      </c>
      <c r="AF4000">
        <v>0</v>
      </c>
    </row>
    <row r="4001" spans="1:32" ht="15" x14ac:dyDescent="0.35">
      <c r="A4001" t="s">
        <v>5986</v>
      </c>
      <c r="B4001" s="1">
        <v>45932</v>
      </c>
      <c r="C4001">
        <f>YEAR(OrdersTable[[#This Row],[Order Date]])</f>
        <v>2025</v>
      </c>
      <c r="D4001" s="2">
        <f>DATE(YEAR(OrdersTable[[#This Row],[Order Date]]),MONTH(OrdersTable[[#This Row],[Order Date]]),1)</f>
        <v>45931</v>
      </c>
      <c r="E4001">
        <f>MONTH(OrdersTable[[#This Row],[Order Date]])</f>
        <v>10</v>
      </c>
      <c r="F4001" t="s">
        <v>1789</v>
      </c>
      <c r="G4001" t="str">
        <f>IF(OrdersTable[[#This Row],[Order Date]]=_xlfn.MINIFS(Order_Date, Customer_ID, OrdersTable[[#This Row],[Customer ID]]), "New", "Repeat")</f>
        <v>New</v>
      </c>
      <c r="H4001" t="s">
        <v>128</v>
      </c>
      <c r="I4001" t="str">
        <f>INDEX(State!B:B,MATCH(OrdersTable[[#This Row],[State]],State!A:A,0))</f>
        <v>DL</v>
      </c>
      <c r="J4001" t="str">
        <f>INDEX(State!C:C,MATCH(OrdersTable[[#This Row],[State Code]],State!B:B,0))</f>
        <v>North</v>
      </c>
      <c r="K4001" t="s">
        <v>129</v>
      </c>
      <c r="L4001" t="s">
        <v>16</v>
      </c>
      <c r="M4001" t="s">
        <v>87</v>
      </c>
      <c r="N4001" t="str">
        <f>INDEX(Products!B:B,MATCH(OrdersTable[[#This Row],[Product ID]],Products!A:A,0))</f>
        <v>Linen Kurta</v>
      </c>
      <c r="O4001" t="str">
        <f>INDEX(Products!C:C,MATCH(OrdersTable[[#This Row],[Product ID]],Products!A:A,0))</f>
        <v>Apparel</v>
      </c>
      <c r="P4001">
        <v>2</v>
      </c>
      <c r="Q4001" s="5">
        <v>1499</v>
      </c>
      <c r="R4001" s="74">
        <v>0.4</v>
      </c>
      <c r="S4001" s="75">
        <f>OrdersTable[[#This Row],[Quantity]]*OrdersTable[[#This Row],[Unit Price]]</f>
        <v>2998</v>
      </c>
      <c r="T4001" s="5">
        <f>OrdersTable[[#This Row],[Gross Sale]]*OrdersTable[[#This Row],[Discount_Clean2]]</f>
        <v>1199.2</v>
      </c>
      <c r="U4001" s="5">
        <f>OrdersTable[[#This Row],[Gross Sale]]-OrdersTable[[#This Row],[Discount Amount]]</f>
        <v>1798.8</v>
      </c>
      <c r="V4001" s="77">
        <f>INDEX(Products!E:E,MATCH(OrdersTable[[#This Row],[Product ID]],Products!A:A,0))</f>
        <v>630</v>
      </c>
      <c r="W4001" s="77">
        <f>OrdersTable[[#This Row],[Quantity]]*OrdersTable[[#This Row],[Unit Cost]]</f>
        <v>1260</v>
      </c>
      <c r="X4001" s="77">
        <f>'Dropdown Lists'!$I$2*(1+OrdersTable[[#This Row],[Returned]])</f>
        <v>60</v>
      </c>
      <c r="Y4001" s="76">
        <f>OrdersTable[[#This Row],[Net Revenue]]-OrdersTable[[#This Row],[COGS]]-OrdersTable[[#This Row],[Shipping Cost]]</f>
        <v>478.79999999999995</v>
      </c>
      <c r="Z4001" s="78">
        <f>IFERROR(OrdersTable[[#This Row],[Profit]]/OrdersTable[[#This Row],[Net Revenue]],0)</f>
        <v>0.26617745163442291</v>
      </c>
      <c r="AA4001" t="s">
        <v>18</v>
      </c>
      <c r="AB4001" s="79">
        <v>45935</v>
      </c>
      <c r="AC4001">
        <f>OrdersTable[[#This Row],[Delivery Date]]-OrdersTable[[#This Row],[Order Date]]</f>
        <v>3</v>
      </c>
      <c r="AD4001" t="str">
        <f>IF(OrdersTable[[#This Row],[Delivery Days]]&lt;=2, "Express (≤2d)", IF(OrdersTable[[#This Row],[Delivery Days]]&lt;=4, "Standard (3-4d)", "Delayed (5d+)"))</f>
        <v>Standard (3-4d)</v>
      </c>
      <c r="AF4001">
        <v>0</v>
      </c>
    </row>
    <row r="4002" spans="1:32" ht="15" x14ac:dyDescent="0.35">
      <c r="A4002" t="s">
        <v>5987</v>
      </c>
      <c r="B4002" s="1">
        <v>45932</v>
      </c>
      <c r="C4002">
        <f>YEAR(OrdersTable[[#This Row],[Order Date]])</f>
        <v>2025</v>
      </c>
      <c r="D4002" s="2">
        <f>DATE(YEAR(OrdersTable[[#This Row],[Order Date]]),MONTH(OrdersTable[[#This Row],[Order Date]]),1)</f>
        <v>45931</v>
      </c>
      <c r="E4002">
        <f>MONTH(OrdersTable[[#This Row],[Order Date]])</f>
        <v>10</v>
      </c>
      <c r="F4002" t="s">
        <v>4625</v>
      </c>
      <c r="G4002" t="str">
        <f>IF(OrdersTable[[#This Row],[Order Date]]=_xlfn.MINIFS(Order_Date, Customer_ID, OrdersTable[[#This Row],[Customer ID]]), "New", "Repeat")</f>
        <v>Repeat</v>
      </c>
      <c r="H4002" t="s">
        <v>128</v>
      </c>
      <c r="I4002" t="str">
        <f>INDEX(State!B:B,MATCH(OrdersTable[[#This Row],[State]],State!A:A,0))</f>
        <v>DL</v>
      </c>
      <c r="J4002" t="str">
        <f>INDEX(State!C:C,MATCH(OrdersTable[[#This Row],[State Code]],State!B:B,0))</f>
        <v>North</v>
      </c>
      <c r="K4002" t="s">
        <v>129</v>
      </c>
      <c r="L4002" t="s">
        <v>65</v>
      </c>
      <c r="M4002" t="s">
        <v>66</v>
      </c>
      <c r="N4002" t="str">
        <f>INDEX(Products!B:B,MATCH(OrdersTable[[#This Row],[Product ID]],Products!A:A,0))</f>
        <v>Sunscreen SPF 50</v>
      </c>
      <c r="O4002" t="str">
        <f>INDEX(Products!C:C,MATCH(OrdersTable[[#This Row],[Product ID]],Products!A:A,0))</f>
        <v>Skincare</v>
      </c>
      <c r="P4002">
        <v>2</v>
      </c>
      <c r="Q4002" s="5">
        <v>449</v>
      </c>
      <c r="R4002" s="74">
        <v>0.25</v>
      </c>
      <c r="S4002" s="75">
        <f>OrdersTable[[#This Row],[Quantity]]*OrdersTable[[#This Row],[Unit Price]]</f>
        <v>898</v>
      </c>
      <c r="T4002" s="5">
        <f>OrdersTable[[#This Row],[Gross Sale]]*OrdersTable[[#This Row],[Discount_Clean2]]</f>
        <v>224.5</v>
      </c>
      <c r="U4002" s="5">
        <f>OrdersTable[[#This Row],[Gross Sale]]-OrdersTable[[#This Row],[Discount Amount]]</f>
        <v>673.5</v>
      </c>
      <c r="V4002" s="77">
        <f>INDEX(Products!E:E,MATCH(OrdersTable[[#This Row],[Product ID]],Products!A:A,0))</f>
        <v>144</v>
      </c>
      <c r="W4002" s="77">
        <f>OrdersTable[[#This Row],[Quantity]]*OrdersTable[[#This Row],[Unit Cost]]</f>
        <v>288</v>
      </c>
      <c r="X4002" s="77">
        <f>'Dropdown Lists'!$I$2*(1+OrdersTable[[#This Row],[Returned]])</f>
        <v>60</v>
      </c>
      <c r="Y4002" s="76">
        <f>OrdersTable[[#This Row],[Net Revenue]]-OrdersTable[[#This Row],[COGS]]-OrdersTable[[#This Row],[Shipping Cost]]</f>
        <v>325.5</v>
      </c>
      <c r="Z4002" s="78">
        <f>IFERROR(OrdersTable[[#This Row],[Profit]]/OrdersTable[[#This Row],[Net Revenue]],0)</f>
        <v>0.48329621380846327</v>
      </c>
      <c r="AA4002" t="s">
        <v>18</v>
      </c>
      <c r="AB4002" s="79">
        <v>45933</v>
      </c>
      <c r="AC4002">
        <f>OrdersTable[[#This Row],[Delivery Date]]-OrdersTable[[#This Row],[Order Date]]</f>
        <v>1</v>
      </c>
      <c r="AD4002" t="str">
        <f>IF(OrdersTable[[#This Row],[Delivery Days]]&lt;=2, "Express (≤2d)", IF(OrdersTable[[#This Row],[Delivery Days]]&lt;=4, "Standard (3-4d)", "Delayed (5d+)"))</f>
        <v>Express (≤2d)</v>
      </c>
      <c r="AF4002">
        <v>0</v>
      </c>
    </row>
    <row r="4003" spans="1:32" ht="15" x14ac:dyDescent="0.35">
      <c r="A4003" t="s">
        <v>677</v>
      </c>
      <c r="B4003" s="1">
        <v>45932</v>
      </c>
      <c r="C4003">
        <f>YEAR(OrdersTable[[#This Row],[Order Date]])</f>
        <v>2025</v>
      </c>
      <c r="D4003" s="2">
        <f>DATE(YEAR(OrdersTable[[#This Row],[Order Date]]),MONTH(OrdersTable[[#This Row],[Order Date]]),1)</f>
        <v>45931</v>
      </c>
      <c r="E4003">
        <f>MONTH(OrdersTable[[#This Row],[Order Date]])</f>
        <v>10</v>
      </c>
      <c r="F4003" t="s">
        <v>678</v>
      </c>
      <c r="G4003" t="str">
        <f>IF(OrdersTable[[#This Row],[Order Date]]=_xlfn.MINIFS(Order_Date, Customer_ID, OrdersTable[[#This Row],[Customer ID]]), "New", "Repeat")</f>
        <v>Repeat</v>
      </c>
      <c r="H4003" t="s">
        <v>128</v>
      </c>
      <c r="I4003" t="str">
        <f>INDEX(State!B:B,MATCH(OrdersTable[[#This Row],[State]],State!A:A,0))</f>
        <v>DL</v>
      </c>
      <c r="J4003" t="str">
        <f>INDEX(State!C:C,MATCH(OrdersTable[[#This Row],[State Code]],State!B:B,0))</f>
        <v>North</v>
      </c>
      <c r="K4003" t="s">
        <v>129</v>
      </c>
      <c r="L4003" t="s">
        <v>39</v>
      </c>
      <c r="M4003" t="s">
        <v>40</v>
      </c>
      <c r="N4003" t="str">
        <f>INDEX(Products!B:B,MATCH(OrdersTable[[#This Row],[Product ID]],Products!A:A,0))</f>
        <v>Ashwagandha Capsules</v>
      </c>
      <c r="O4003" t="str">
        <f>INDEX(Products!C:C,MATCH(OrdersTable[[#This Row],[Product ID]],Products!A:A,0))</f>
        <v>Wellness</v>
      </c>
      <c r="P4003">
        <v>1</v>
      </c>
      <c r="Q4003" s="5">
        <v>499</v>
      </c>
      <c r="R4003" s="74">
        <v>0.15</v>
      </c>
      <c r="S4003" s="75">
        <f>OrdersTable[[#This Row],[Quantity]]*OrdersTable[[#This Row],[Unit Price]]</f>
        <v>499</v>
      </c>
      <c r="T4003" s="5">
        <f>OrdersTable[[#This Row],[Gross Sale]]*OrdersTable[[#This Row],[Discount_Clean2]]</f>
        <v>74.849999999999994</v>
      </c>
      <c r="U4003" s="5">
        <f>OrdersTable[[#This Row],[Gross Sale]]-OrdersTable[[#This Row],[Discount Amount]]</f>
        <v>424.15</v>
      </c>
      <c r="V4003" s="77">
        <f>INDEX(Products!E:E,MATCH(OrdersTable[[#This Row],[Product ID]],Products!A:A,0))</f>
        <v>150</v>
      </c>
      <c r="W4003" s="77">
        <f>OrdersTable[[#This Row],[Quantity]]*OrdersTable[[#This Row],[Unit Cost]]</f>
        <v>150</v>
      </c>
      <c r="X4003" s="77">
        <f>'Dropdown Lists'!$I$2*(1+OrdersTable[[#This Row],[Returned]])</f>
        <v>60</v>
      </c>
      <c r="Y4003" s="76">
        <f>OrdersTable[[#This Row],[Net Revenue]]-OrdersTable[[#This Row],[COGS]]-OrdersTable[[#This Row],[Shipping Cost]]</f>
        <v>214.14999999999998</v>
      </c>
      <c r="Z4003" s="78">
        <f>IFERROR(OrdersTable[[#This Row],[Profit]]/OrdersTable[[#This Row],[Net Revenue]],0)</f>
        <v>0.50489213721560766</v>
      </c>
      <c r="AA4003" t="s">
        <v>18</v>
      </c>
      <c r="AB4003" s="79">
        <v>45936</v>
      </c>
      <c r="AC4003">
        <f>OrdersTable[[#This Row],[Delivery Date]]-OrdersTable[[#This Row],[Order Date]]</f>
        <v>4</v>
      </c>
      <c r="AD4003" t="str">
        <f>IF(OrdersTable[[#This Row],[Delivery Days]]&lt;=2, "Express (≤2d)", IF(OrdersTable[[#This Row],[Delivery Days]]&lt;=4, "Standard (3-4d)", "Delayed (5d+)"))</f>
        <v>Standard (3-4d)</v>
      </c>
      <c r="AE4003">
        <v>4</v>
      </c>
      <c r="AF4003">
        <v>0</v>
      </c>
    </row>
    <row r="4004" spans="1:32" ht="15" x14ac:dyDescent="0.35">
      <c r="A4004" t="s">
        <v>6729</v>
      </c>
      <c r="B4004" s="1">
        <v>45932</v>
      </c>
      <c r="C4004">
        <f>YEAR(OrdersTable[[#This Row],[Order Date]])</f>
        <v>2025</v>
      </c>
      <c r="D4004" s="2">
        <f>DATE(YEAR(OrdersTable[[#This Row],[Order Date]]),MONTH(OrdersTable[[#This Row],[Order Date]]),1)</f>
        <v>45931</v>
      </c>
      <c r="E4004">
        <f>MONTH(OrdersTable[[#This Row],[Order Date]])</f>
        <v>10</v>
      </c>
      <c r="F4004" t="s">
        <v>6730</v>
      </c>
      <c r="G4004" t="str">
        <f>IF(OrdersTable[[#This Row],[Order Date]]=_xlfn.MINIFS(Order_Date, Customer_ID, OrdersTable[[#This Row],[Customer ID]]), "New", "Repeat")</f>
        <v>New</v>
      </c>
      <c r="H4004" t="s">
        <v>128</v>
      </c>
      <c r="I4004" t="str">
        <f>INDEX(State!B:B,MATCH(OrdersTable[[#This Row],[State]],State!A:A,0))</f>
        <v>DL</v>
      </c>
      <c r="J4004" t="str">
        <f>INDEX(State!C:C,MATCH(OrdersTable[[#This Row],[State Code]],State!B:B,0))</f>
        <v>North</v>
      </c>
      <c r="K4004" t="s">
        <v>129</v>
      </c>
      <c r="L4004" t="s">
        <v>50</v>
      </c>
      <c r="M4004" t="s">
        <v>40</v>
      </c>
      <c r="N4004" t="str">
        <f>INDEX(Products!B:B,MATCH(OrdersTable[[#This Row],[Product ID]],Products!A:A,0))</f>
        <v>Ashwagandha Capsules</v>
      </c>
      <c r="O4004" t="str">
        <f>INDEX(Products!C:C,MATCH(OrdersTable[[#This Row],[Product ID]],Products!A:A,0))</f>
        <v>Wellness</v>
      </c>
      <c r="P4004">
        <v>3</v>
      </c>
      <c r="Q4004" s="5">
        <v>499</v>
      </c>
      <c r="R4004" s="74">
        <v>0.15</v>
      </c>
      <c r="S4004" s="75">
        <f>OrdersTable[[#This Row],[Quantity]]*OrdersTable[[#This Row],[Unit Price]]</f>
        <v>1497</v>
      </c>
      <c r="T4004" s="5">
        <f>OrdersTable[[#This Row],[Gross Sale]]*OrdersTable[[#This Row],[Discount_Clean2]]</f>
        <v>224.54999999999998</v>
      </c>
      <c r="U4004" s="5">
        <f>OrdersTable[[#This Row],[Gross Sale]]-OrdersTable[[#This Row],[Discount Amount]]</f>
        <v>1272.45</v>
      </c>
      <c r="V4004" s="77">
        <f>INDEX(Products!E:E,MATCH(OrdersTable[[#This Row],[Product ID]],Products!A:A,0))</f>
        <v>150</v>
      </c>
      <c r="W4004" s="77">
        <f>OrdersTable[[#This Row],[Quantity]]*OrdersTable[[#This Row],[Unit Cost]]</f>
        <v>450</v>
      </c>
      <c r="X4004" s="77">
        <f>'Dropdown Lists'!$I$2*(1+OrdersTable[[#This Row],[Returned]])</f>
        <v>60</v>
      </c>
      <c r="Y4004" s="76">
        <f>OrdersTable[[#This Row],[Net Revenue]]-OrdersTable[[#This Row],[COGS]]-OrdersTable[[#This Row],[Shipping Cost]]</f>
        <v>762.45</v>
      </c>
      <c r="Z4004" s="78">
        <f>IFERROR(OrdersTable[[#This Row],[Profit]]/OrdersTable[[#This Row],[Net Revenue]],0)</f>
        <v>0.59919839679358722</v>
      </c>
      <c r="AA4004" t="s">
        <v>2522</v>
      </c>
      <c r="AB4004" s="79">
        <v>45933</v>
      </c>
      <c r="AC4004">
        <f>OrdersTable[[#This Row],[Delivery Date]]-OrdersTable[[#This Row],[Order Date]]</f>
        <v>1</v>
      </c>
      <c r="AD4004" t="str">
        <f>IF(OrdersTable[[#This Row],[Delivery Days]]&lt;=2, "Express (≤2d)", IF(OrdersTable[[#This Row],[Delivery Days]]&lt;=4, "Standard (3-4d)", "Delayed (5d+)"))</f>
        <v>Express (≤2d)</v>
      </c>
      <c r="AE4004">
        <v>4</v>
      </c>
      <c r="AF4004">
        <v>0</v>
      </c>
    </row>
    <row r="4005" spans="1:32" ht="15" x14ac:dyDescent="0.35">
      <c r="A4005" t="s">
        <v>5542</v>
      </c>
      <c r="B4005" s="1">
        <v>45932</v>
      </c>
      <c r="C4005">
        <f>YEAR(OrdersTable[[#This Row],[Order Date]])</f>
        <v>2025</v>
      </c>
      <c r="D4005" s="2">
        <f>DATE(YEAR(OrdersTable[[#This Row],[Order Date]]),MONTH(OrdersTable[[#This Row],[Order Date]]),1)</f>
        <v>45931</v>
      </c>
      <c r="E4005">
        <f>MONTH(OrdersTable[[#This Row],[Order Date]])</f>
        <v>10</v>
      </c>
      <c r="F4005" t="s">
        <v>1324</v>
      </c>
      <c r="G4005" t="str">
        <f>IF(OrdersTable[[#This Row],[Order Date]]=_xlfn.MINIFS(Order_Date, Customer_ID, OrdersTable[[#This Row],[Customer ID]]), "New", "Repeat")</f>
        <v>Repeat</v>
      </c>
      <c r="H4005" t="s">
        <v>76</v>
      </c>
      <c r="I4005" t="str">
        <f>INDEX(State!B:B,MATCH(OrdersTable[[#This Row],[State]],State!A:A,0))</f>
        <v>UP</v>
      </c>
      <c r="J4005" t="str">
        <f>INDEX(State!C:C,MATCH(OrdersTable[[#This Row],[State Code]],State!B:B,0))</f>
        <v>North</v>
      </c>
      <c r="K4005" t="s">
        <v>118</v>
      </c>
      <c r="L4005" t="s">
        <v>16</v>
      </c>
      <c r="M4005" t="s">
        <v>17</v>
      </c>
      <c r="N4005" t="str">
        <f>INDEX(Products!B:B,MATCH(OrdersTable[[#This Row],[Product ID]],Products!A:A,0))</f>
        <v>Casual Sneakers</v>
      </c>
      <c r="O4005" t="str">
        <f>INDEX(Products!C:C,MATCH(OrdersTable[[#This Row],[Product ID]],Products!A:A,0))</f>
        <v>Footwear</v>
      </c>
      <c r="P4005">
        <v>2</v>
      </c>
      <c r="Q4005" s="5">
        <v>2199</v>
      </c>
      <c r="R4005" s="74">
        <v>0.5</v>
      </c>
      <c r="S4005" s="75">
        <f>OrdersTable[[#This Row],[Quantity]]*OrdersTable[[#This Row],[Unit Price]]</f>
        <v>4398</v>
      </c>
      <c r="T4005" s="5">
        <f>OrdersTable[[#This Row],[Gross Sale]]*OrdersTable[[#This Row],[Discount_Clean2]]</f>
        <v>2199</v>
      </c>
      <c r="U4005" s="5">
        <f>OrdersTable[[#This Row],[Gross Sale]]-OrdersTable[[#This Row],[Discount Amount]]</f>
        <v>2199</v>
      </c>
      <c r="V4005" s="77">
        <f>INDEX(Products!E:E,MATCH(OrdersTable[[#This Row],[Product ID]],Products!A:A,0))</f>
        <v>1034</v>
      </c>
      <c r="W4005" s="77">
        <f>OrdersTable[[#This Row],[Quantity]]*OrdersTable[[#This Row],[Unit Cost]]</f>
        <v>2068</v>
      </c>
      <c r="X4005" s="77">
        <f>'Dropdown Lists'!$I$2*(1+OrdersTable[[#This Row],[Returned]])</f>
        <v>60</v>
      </c>
      <c r="Y4005" s="76">
        <f>OrdersTable[[#This Row],[Net Revenue]]-OrdersTable[[#This Row],[COGS]]-OrdersTable[[#This Row],[Shipping Cost]]</f>
        <v>71</v>
      </c>
      <c r="Z4005" s="78">
        <f>IFERROR(OrdersTable[[#This Row],[Profit]]/OrdersTable[[#This Row],[Net Revenue]],0)</f>
        <v>3.2287403365165987E-2</v>
      </c>
      <c r="AA4005" t="s">
        <v>2522</v>
      </c>
      <c r="AB4005" s="79">
        <v>45937</v>
      </c>
      <c r="AC4005">
        <f>OrdersTable[[#This Row],[Delivery Date]]-OrdersTable[[#This Row],[Order Date]]</f>
        <v>5</v>
      </c>
      <c r="AD4005" t="str">
        <f>IF(OrdersTable[[#This Row],[Delivery Days]]&lt;=2, "Express (≤2d)", IF(OrdersTable[[#This Row],[Delivery Days]]&lt;=4, "Standard (3-4d)", "Delayed (5d+)"))</f>
        <v>Delayed (5d+)</v>
      </c>
      <c r="AE4005">
        <v>4</v>
      </c>
      <c r="AF4005">
        <v>0</v>
      </c>
    </row>
    <row r="4006" spans="1:32" ht="15" x14ac:dyDescent="0.35">
      <c r="A4006" t="s">
        <v>7027</v>
      </c>
      <c r="B4006" s="1">
        <v>45932</v>
      </c>
      <c r="C4006">
        <f>YEAR(OrdersTable[[#This Row],[Order Date]])</f>
        <v>2025</v>
      </c>
      <c r="D4006" s="2">
        <f>DATE(YEAR(OrdersTable[[#This Row],[Order Date]]),MONTH(OrdersTable[[#This Row],[Order Date]]),1)</f>
        <v>45931</v>
      </c>
      <c r="E4006">
        <f>MONTH(OrdersTable[[#This Row],[Order Date]])</f>
        <v>10</v>
      </c>
      <c r="F4006" t="s">
        <v>5884</v>
      </c>
      <c r="G4006" t="str">
        <f>IF(OrdersTable[[#This Row],[Order Date]]=_xlfn.MINIFS(Order_Date, Customer_ID, OrdersTable[[#This Row],[Customer ID]]), "New", "Repeat")</f>
        <v>Repeat</v>
      </c>
      <c r="H4006" t="s">
        <v>76</v>
      </c>
      <c r="I4006" t="str">
        <f>INDEX(State!B:B,MATCH(OrdersTable[[#This Row],[State]],State!A:A,0))</f>
        <v>UP</v>
      </c>
      <c r="J4006" t="str">
        <f>INDEX(State!C:C,MATCH(OrdersTable[[#This Row],[State Code]],State!B:B,0))</f>
        <v>North</v>
      </c>
      <c r="K4006" t="s">
        <v>77</v>
      </c>
      <c r="L4006" t="s">
        <v>16</v>
      </c>
      <c r="M4006" t="s">
        <v>87</v>
      </c>
      <c r="N4006" t="str">
        <f>INDEX(Products!B:B,MATCH(OrdersTable[[#This Row],[Product ID]],Products!A:A,0))</f>
        <v>Linen Kurta</v>
      </c>
      <c r="O4006" t="str">
        <f>INDEX(Products!C:C,MATCH(OrdersTable[[#This Row],[Product ID]],Products!A:A,0))</f>
        <v>Apparel</v>
      </c>
      <c r="P4006">
        <v>4</v>
      </c>
      <c r="Q4006" s="5">
        <v>1499</v>
      </c>
      <c r="R4006" s="74">
        <v>0.5</v>
      </c>
      <c r="S4006" s="75">
        <f>OrdersTable[[#This Row],[Quantity]]*OrdersTable[[#This Row],[Unit Price]]</f>
        <v>5996</v>
      </c>
      <c r="T4006" s="5">
        <f>OrdersTable[[#This Row],[Gross Sale]]*OrdersTable[[#This Row],[Discount_Clean2]]</f>
        <v>2998</v>
      </c>
      <c r="U4006" s="5">
        <f>OrdersTable[[#This Row],[Gross Sale]]-OrdersTable[[#This Row],[Discount Amount]]</f>
        <v>2998</v>
      </c>
      <c r="V4006" s="77">
        <f>INDEX(Products!E:E,MATCH(OrdersTable[[#This Row],[Product ID]],Products!A:A,0))</f>
        <v>630</v>
      </c>
      <c r="W4006" s="77">
        <f>OrdersTable[[#This Row],[Quantity]]*OrdersTable[[#This Row],[Unit Cost]]</f>
        <v>2520</v>
      </c>
      <c r="X4006" s="77">
        <f>'Dropdown Lists'!$I$2*(1+OrdersTable[[#This Row],[Returned]])</f>
        <v>60</v>
      </c>
      <c r="Y4006" s="76">
        <f>OrdersTable[[#This Row],[Net Revenue]]-OrdersTable[[#This Row],[COGS]]-OrdersTable[[#This Row],[Shipping Cost]]</f>
        <v>418</v>
      </c>
      <c r="Z4006" s="78">
        <f>IFERROR(OrdersTable[[#This Row],[Profit]]/OrdersTable[[#This Row],[Net Revenue]],0)</f>
        <v>0.13942628418945963</v>
      </c>
      <c r="AA4006" t="s">
        <v>3495</v>
      </c>
      <c r="AB4006" s="79">
        <v>45934</v>
      </c>
      <c r="AC4006">
        <f>OrdersTable[[#This Row],[Delivery Date]]-OrdersTable[[#This Row],[Order Date]]</f>
        <v>2</v>
      </c>
      <c r="AD4006" t="str">
        <f>IF(OrdersTable[[#This Row],[Delivery Days]]&lt;=2, "Express (≤2d)", IF(OrdersTable[[#This Row],[Delivery Days]]&lt;=4, "Standard (3-4d)", "Delayed (5d+)"))</f>
        <v>Express (≤2d)</v>
      </c>
      <c r="AF4006">
        <v>0</v>
      </c>
    </row>
    <row r="4007" spans="1:32" ht="15" x14ac:dyDescent="0.35">
      <c r="A4007" t="s">
        <v>3934</v>
      </c>
      <c r="B4007" s="1">
        <v>45932</v>
      </c>
      <c r="C4007">
        <f>YEAR(OrdersTable[[#This Row],[Order Date]])</f>
        <v>2025</v>
      </c>
      <c r="D4007" s="2">
        <f>DATE(YEAR(OrdersTable[[#This Row],[Order Date]]),MONTH(OrdersTable[[#This Row],[Order Date]]),1)</f>
        <v>45931</v>
      </c>
      <c r="E4007">
        <f>MONTH(OrdersTable[[#This Row],[Order Date]])</f>
        <v>10</v>
      </c>
      <c r="F4007" t="s">
        <v>843</v>
      </c>
      <c r="G4007" t="str">
        <f>IF(OrdersTable[[#This Row],[Order Date]]=_xlfn.MINIFS(Order_Date, Customer_ID, OrdersTable[[#This Row],[Customer ID]]), "New", "Repeat")</f>
        <v>Repeat</v>
      </c>
      <c r="H4007" t="s">
        <v>37</v>
      </c>
      <c r="I4007" t="str">
        <f>INDEX(State!B:B,MATCH(OrdersTable[[#This Row],[State]],State!A:A,0))</f>
        <v>GJ</v>
      </c>
      <c r="J4007" t="str">
        <f>INDEX(State!C:C,MATCH(OrdersTable[[#This Row],[State Code]],State!B:B,0))</f>
        <v>West</v>
      </c>
      <c r="K4007" t="s">
        <v>38</v>
      </c>
      <c r="L4007" t="s">
        <v>23</v>
      </c>
      <c r="M4007" t="s">
        <v>29</v>
      </c>
      <c r="N4007" t="str">
        <f>INDEX(Products!B:B,MATCH(OrdersTable[[#This Row],[Product ID]],Products!A:A,0))</f>
        <v>Joggers</v>
      </c>
      <c r="O4007" t="str">
        <f>INDEX(Products!C:C,MATCH(OrdersTable[[#This Row],[Product ID]],Products!A:A,0))</f>
        <v>Apparel</v>
      </c>
      <c r="P4007">
        <v>1</v>
      </c>
      <c r="Q4007" s="5">
        <v>1199</v>
      </c>
      <c r="R4007" s="74">
        <v>0.25</v>
      </c>
      <c r="S4007" s="75">
        <f>OrdersTable[[#This Row],[Quantity]]*OrdersTable[[#This Row],[Unit Price]]</f>
        <v>1199</v>
      </c>
      <c r="T4007" s="5">
        <f>OrdersTable[[#This Row],[Gross Sale]]*OrdersTable[[#This Row],[Discount_Clean2]]</f>
        <v>299.75</v>
      </c>
      <c r="U4007" s="5">
        <f>OrdersTable[[#This Row],[Gross Sale]]-OrdersTable[[#This Row],[Discount Amount]]</f>
        <v>899.25</v>
      </c>
      <c r="V4007" s="77">
        <f>INDEX(Products!E:E,MATCH(OrdersTable[[#This Row],[Product ID]],Products!A:A,0))</f>
        <v>492</v>
      </c>
      <c r="W4007" s="77">
        <f>OrdersTable[[#This Row],[Quantity]]*OrdersTable[[#This Row],[Unit Cost]]</f>
        <v>492</v>
      </c>
      <c r="X4007" s="77">
        <f>'Dropdown Lists'!$I$2*(1+OrdersTable[[#This Row],[Returned]])</f>
        <v>120</v>
      </c>
      <c r="Y4007" s="76">
        <f>OrdersTable[[#This Row],[Net Revenue]]-OrdersTable[[#This Row],[COGS]]-OrdersTable[[#This Row],[Shipping Cost]]</f>
        <v>287.25</v>
      </c>
      <c r="Z4007" s="78">
        <f>IFERROR(OrdersTable[[#This Row],[Profit]]/OrdersTable[[#This Row],[Net Revenue]],0)</f>
        <v>0.3194328607172644</v>
      </c>
      <c r="AA4007" t="s">
        <v>3495</v>
      </c>
      <c r="AB4007" s="79">
        <v>45935</v>
      </c>
      <c r="AC4007">
        <f>OrdersTable[[#This Row],[Delivery Date]]-OrdersTable[[#This Row],[Order Date]]</f>
        <v>3</v>
      </c>
      <c r="AD4007" t="str">
        <f>IF(OrdersTable[[#This Row],[Delivery Days]]&lt;=2, "Express (≤2d)", IF(OrdersTable[[#This Row],[Delivery Days]]&lt;=4, "Standard (3-4d)", "Delayed (5d+)"))</f>
        <v>Standard (3-4d)</v>
      </c>
      <c r="AE4007">
        <v>3</v>
      </c>
      <c r="AF4007">
        <v>1</v>
      </c>
    </row>
    <row r="4008" spans="1:32" ht="15" x14ac:dyDescent="0.35">
      <c r="A4008" t="s">
        <v>4180</v>
      </c>
      <c r="B4008" s="1">
        <v>45932</v>
      </c>
      <c r="C4008">
        <f>YEAR(OrdersTable[[#This Row],[Order Date]])</f>
        <v>2025</v>
      </c>
      <c r="D4008" s="2">
        <f>DATE(YEAR(OrdersTable[[#This Row],[Order Date]]),MONTH(OrdersTable[[#This Row],[Order Date]]),1)</f>
        <v>45931</v>
      </c>
      <c r="E4008">
        <f>MONTH(OrdersTable[[#This Row],[Order Date]])</f>
        <v>10</v>
      </c>
      <c r="F4008" t="s">
        <v>4181</v>
      </c>
      <c r="G4008" t="str">
        <f>IF(OrdersTable[[#This Row],[Order Date]]=_xlfn.MINIFS(Order_Date, Customer_ID, OrdersTable[[#This Row],[Customer ID]]), "New", "Repeat")</f>
        <v>New</v>
      </c>
      <c r="H4008" t="s">
        <v>71</v>
      </c>
      <c r="I4008" t="str">
        <f>INDEX(State!B:B,MATCH(OrdersTable[[#This Row],[State]],State!A:A,0))</f>
        <v>MH</v>
      </c>
      <c r="J4008" t="str">
        <f>INDEX(State!C:C,MATCH(OrdersTable[[#This Row],[State Code]],State!B:B,0))</f>
        <v>West</v>
      </c>
      <c r="K4008" t="s">
        <v>102</v>
      </c>
      <c r="L4008" t="s">
        <v>65</v>
      </c>
      <c r="M4008" t="s">
        <v>78</v>
      </c>
      <c r="N4008" t="str">
        <f>INDEX(Products!B:B,MATCH(OrdersTable[[#This Row],[Product ID]],Products!A:A,0))</f>
        <v>Retinol Night Cream</v>
      </c>
      <c r="O4008" t="str">
        <f>INDEX(Products!C:C,MATCH(OrdersTable[[#This Row],[Product ID]],Products!A:A,0))</f>
        <v>Skincare</v>
      </c>
      <c r="P4008">
        <v>1</v>
      </c>
      <c r="Q4008" s="5">
        <v>799</v>
      </c>
      <c r="R4008" s="74">
        <v>0.25</v>
      </c>
      <c r="S4008" s="75">
        <f>OrdersTable[[#This Row],[Quantity]]*OrdersTable[[#This Row],[Unit Price]]</f>
        <v>799</v>
      </c>
      <c r="T4008" s="5">
        <f>OrdersTable[[#This Row],[Gross Sale]]*OrdersTable[[#This Row],[Discount_Clean2]]</f>
        <v>199.75</v>
      </c>
      <c r="U4008" s="5">
        <f>OrdersTable[[#This Row],[Gross Sale]]-OrdersTable[[#This Row],[Discount Amount]]</f>
        <v>599.25</v>
      </c>
      <c r="V4008" s="77">
        <f>INDEX(Products!E:E,MATCH(OrdersTable[[#This Row],[Product ID]],Products!A:A,0))</f>
        <v>216</v>
      </c>
      <c r="W4008" s="77">
        <f>OrdersTable[[#This Row],[Quantity]]*OrdersTable[[#This Row],[Unit Cost]]</f>
        <v>216</v>
      </c>
      <c r="X4008" s="77">
        <f>'Dropdown Lists'!$I$2*(1+OrdersTable[[#This Row],[Returned]])</f>
        <v>60</v>
      </c>
      <c r="Y4008" s="76">
        <f>OrdersTable[[#This Row],[Net Revenue]]-OrdersTable[[#This Row],[COGS]]-OrdersTable[[#This Row],[Shipping Cost]]</f>
        <v>323.25</v>
      </c>
      <c r="Z4008" s="78">
        <f>IFERROR(OrdersTable[[#This Row],[Profit]]/OrdersTable[[#This Row],[Net Revenue]],0)</f>
        <v>0.5394242803504381</v>
      </c>
      <c r="AA4008" t="s">
        <v>4074</v>
      </c>
      <c r="AB4008" s="79">
        <v>45935</v>
      </c>
      <c r="AC4008">
        <f>OrdersTable[[#This Row],[Delivery Date]]-OrdersTable[[#This Row],[Order Date]]</f>
        <v>3</v>
      </c>
      <c r="AD4008" t="str">
        <f>IF(OrdersTable[[#This Row],[Delivery Days]]&lt;=2, "Express (≤2d)", IF(OrdersTable[[#This Row],[Delivery Days]]&lt;=4, "Standard (3-4d)", "Delayed (5d+)"))</f>
        <v>Standard (3-4d)</v>
      </c>
      <c r="AE4008">
        <v>3</v>
      </c>
      <c r="AF4008">
        <v>0</v>
      </c>
    </row>
    <row r="4009" spans="1:32" ht="15" x14ac:dyDescent="0.35">
      <c r="A4009" t="s">
        <v>6621</v>
      </c>
      <c r="B4009" s="1">
        <v>45932</v>
      </c>
      <c r="C4009">
        <f>YEAR(OrdersTable[[#This Row],[Order Date]])</f>
        <v>2025</v>
      </c>
      <c r="D4009" s="2">
        <f>DATE(YEAR(OrdersTable[[#This Row],[Order Date]]),MONTH(OrdersTable[[#This Row],[Order Date]]),1)</f>
        <v>45931</v>
      </c>
      <c r="E4009">
        <f>MONTH(OrdersTable[[#This Row],[Order Date]])</f>
        <v>10</v>
      </c>
      <c r="F4009" t="s">
        <v>3573</v>
      </c>
      <c r="G4009" t="str">
        <f>IF(OrdersTable[[#This Row],[Order Date]]=_xlfn.MINIFS(Order_Date, Customer_ID, OrdersTable[[#This Row],[Customer ID]]), "New", "Repeat")</f>
        <v>Repeat</v>
      </c>
      <c r="H4009" t="s">
        <v>71</v>
      </c>
      <c r="I4009" t="str">
        <f>INDEX(State!B:B,MATCH(OrdersTable[[#This Row],[State]],State!A:A,0))</f>
        <v>MH</v>
      </c>
      <c r="J4009" t="str">
        <f>INDEX(State!C:C,MATCH(OrdersTable[[#This Row],[State Code]],State!B:B,0))</f>
        <v>West</v>
      </c>
      <c r="K4009" t="s">
        <v>81</v>
      </c>
      <c r="L4009" t="s">
        <v>65</v>
      </c>
      <c r="M4009" t="s">
        <v>24</v>
      </c>
      <c r="N4009" t="str">
        <f>INDEX(Products!B:B,MATCH(OrdersTable[[#This Row],[Product ID]],Products!A:A,0))</f>
        <v>Scented Candle Set</v>
      </c>
      <c r="O4009" t="str">
        <f>INDEX(Products!C:C,MATCH(OrdersTable[[#This Row],[Product ID]],Products!A:A,0))</f>
        <v>Home &amp; Kitchen</v>
      </c>
      <c r="P4009">
        <v>3</v>
      </c>
      <c r="Q4009" s="5">
        <v>699</v>
      </c>
      <c r="R4009" s="74">
        <v>0.35</v>
      </c>
      <c r="S4009" s="75">
        <f>OrdersTable[[#This Row],[Quantity]]*OrdersTable[[#This Row],[Unit Price]]</f>
        <v>2097</v>
      </c>
      <c r="T4009" s="5">
        <f>OrdersTable[[#This Row],[Gross Sale]]*OrdersTable[[#This Row],[Discount_Clean2]]</f>
        <v>733.94999999999993</v>
      </c>
      <c r="U4009" s="5">
        <f>OrdersTable[[#This Row],[Gross Sale]]-OrdersTable[[#This Row],[Discount Amount]]</f>
        <v>1363.0500000000002</v>
      </c>
      <c r="V4009" s="77">
        <f>INDEX(Products!E:E,MATCH(OrdersTable[[#This Row],[Product ID]],Products!A:A,0))</f>
        <v>245</v>
      </c>
      <c r="W4009" s="77">
        <f>OrdersTable[[#This Row],[Quantity]]*OrdersTable[[#This Row],[Unit Cost]]</f>
        <v>735</v>
      </c>
      <c r="X4009" s="77">
        <f>'Dropdown Lists'!$I$2*(1+OrdersTable[[#This Row],[Returned]])</f>
        <v>60</v>
      </c>
      <c r="Y4009" s="76">
        <f>OrdersTable[[#This Row],[Net Revenue]]-OrdersTable[[#This Row],[COGS]]-OrdersTable[[#This Row],[Shipping Cost]]</f>
        <v>568.05000000000018</v>
      </c>
      <c r="Z4009" s="78">
        <f>IFERROR(OrdersTable[[#This Row],[Profit]]/OrdersTable[[#This Row],[Net Revenue]],0)</f>
        <v>0.41674920215692757</v>
      </c>
      <c r="AA4009" t="s">
        <v>18</v>
      </c>
      <c r="AB4009" s="79">
        <v>45934</v>
      </c>
      <c r="AC4009">
        <f>OrdersTable[[#This Row],[Delivery Date]]-OrdersTable[[#This Row],[Order Date]]</f>
        <v>2</v>
      </c>
      <c r="AD4009" t="str">
        <f>IF(OrdersTable[[#This Row],[Delivery Days]]&lt;=2, "Express (≤2d)", IF(OrdersTable[[#This Row],[Delivery Days]]&lt;=4, "Standard (3-4d)", "Delayed (5d+)"))</f>
        <v>Express (≤2d)</v>
      </c>
      <c r="AE4009">
        <v>5</v>
      </c>
      <c r="AF4009">
        <v>0</v>
      </c>
    </row>
    <row r="4010" spans="1:32" ht="15" x14ac:dyDescent="0.35">
      <c r="A4010" t="s">
        <v>4539</v>
      </c>
      <c r="B4010" s="1">
        <v>45932</v>
      </c>
      <c r="C4010">
        <f>YEAR(OrdersTable[[#This Row],[Order Date]])</f>
        <v>2025</v>
      </c>
      <c r="D4010" s="2">
        <f>DATE(YEAR(OrdersTable[[#This Row],[Order Date]]),MONTH(OrdersTable[[#This Row],[Order Date]]),1)</f>
        <v>45931</v>
      </c>
      <c r="E4010">
        <f>MONTH(OrdersTable[[#This Row],[Order Date]])</f>
        <v>10</v>
      </c>
      <c r="F4010" t="s">
        <v>348</v>
      </c>
      <c r="G4010" t="str">
        <f>IF(OrdersTable[[#This Row],[Order Date]]=_xlfn.MINIFS(Order_Date, Customer_ID, OrdersTable[[#This Row],[Customer ID]]), "New", "Repeat")</f>
        <v>Repeat</v>
      </c>
      <c r="H4010" t="s">
        <v>95</v>
      </c>
      <c r="I4010" t="str">
        <f>INDEX(State!B:B,MATCH(OrdersTable[[#This Row],[State]],State!A:A,0))</f>
        <v>TG</v>
      </c>
      <c r="J4010" t="str">
        <f>INDEX(State!C:C,MATCH(OrdersTable[[#This Row],[State Code]],State!B:B,0))</f>
        <v>South</v>
      </c>
      <c r="K4010" t="s">
        <v>96</v>
      </c>
      <c r="L4010" t="s">
        <v>16</v>
      </c>
      <c r="M4010" t="s">
        <v>255</v>
      </c>
      <c r="N4010" t="str">
        <f>INDEX(Products!B:B,MATCH(OrdersTable[[#This Row],[Product ID]],Products!A:A,0))</f>
        <v>Cotton Oversized T-Shirt</v>
      </c>
      <c r="O4010" t="str">
        <f>INDEX(Products!C:C,MATCH(OrdersTable[[#This Row],[Product ID]],Products!A:A,0))</f>
        <v>Apparel</v>
      </c>
      <c r="P4010">
        <v>1</v>
      </c>
      <c r="Q4010" s="5">
        <v>799</v>
      </c>
      <c r="R4010" s="74">
        <v>0.25</v>
      </c>
      <c r="S4010" s="75">
        <f>OrdersTable[[#This Row],[Quantity]]*OrdersTable[[#This Row],[Unit Price]]</f>
        <v>799</v>
      </c>
      <c r="T4010" s="5">
        <f>OrdersTable[[#This Row],[Gross Sale]]*OrdersTable[[#This Row],[Discount_Clean2]]</f>
        <v>199.75</v>
      </c>
      <c r="U4010" s="5">
        <f>OrdersTable[[#This Row],[Gross Sale]]-OrdersTable[[#This Row],[Discount Amount]]</f>
        <v>599.25</v>
      </c>
      <c r="V4010" s="77">
        <f>INDEX(Products!E:E,MATCH(OrdersTable[[#This Row],[Product ID]],Products!A:A,0))</f>
        <v>320</v>
      </c>
      <c r="W4010" s="77">
        <f>OrdersTable[[#This Row],[Quantity]]*OrdersTable[[#This Row],[Unit Cost]]</f>
        <v>320</v>
      </c>
      <c r="X4010" s="77">
        <f>'Dropdown Lists'!$I$2*(1+OrdersTable[[#This Row],[Returned]])</f>
        <v>60</v>
      </c>
      <c r="Y4010" s="76">
        <f>OrdersTable[[#This Row],[Net Revenue]]-OrdersTable[[#This Row],[COGS]]-OrdersTable[[#This Row],[Shipping Cost]]</f>
        <v>219.25</v>
      </c>
      <c r="Z4010" s="78">
        <f>IFERROR(OrdersTable[[#This Row],[Profit]]/OrdersTable[[#This Row],[Net Revenue]],0)</f>
        <v>0.36587400917813934</v>
      </c>
      <c r="AA4010" t="s">
        <v>4450</v>
      </c>
      <c r="AB4010" s="79">
        <v>45935</v>
      </c>
      <c r="AC4010">
        <f>OrdersTable[[#This Row],[Delivery Date]]-OrdersTable[[#This Row],[Order Date]]</f>
        <v>3</v>
      </c>
      <c r="AD4010" t="str">
        <f>IF(OrdersTable[[#This Row],[Delivery Days]]&lt;=2, "Express (≤2d)", IF(OrdersTable[[#This Row],[Delivery Days]]&lt;=4, "Standard (3-4d)", "Delayed (5d+)"))</f>
        <v>Standard (3-4d)</v>
      </c>
      <c r="AE4010">
        <v>4</v>
      </c>
      <c r="AF4010">
        <v>0</v>
      </c>
    </row>
    <row r="4011" spans="1:32" ht="15" x14ac:dyDescent="0.35">
      <c r="A4011" t="s">
        <v>6814</v>
      </c>
      <c r="B4011" s="1">
        <v>45933</v>
      </c>
      <c r="C4011">
        <f>YEAR(OrdersTable[[#This Row],[Order Date]])</f>
        <v>2025</v>
      </c>
      <c r="D4011" s="2">
        <f>DATE(YEAR(OrdersTable[[#This Row],[Order Date]]),MONTH(OrdersTable[[#This Row],[Order Date]]),1)</f>
        <v>45931</v>
      </c>
      <c r="E4011">
        <f>MONTH(OrdersTable[[#This Row],[Order Date]])</f>
        <v>10</v>
      </c>
      <c r="F4011" t="s">
        <v>6575</v>
      </c>
      <c r="G4011" t="str">
        <f>IF(OrdersTable[[#This Row],[Order Date]]=_xlfn.MINIFS(Order_Date, Customer_ID, OrdersTable[[#This Row],[Customer ID]]), "New", "Repeat")</f>
        <v>Repeat</v>
      </c>
      <c r="H4011" t="s">
        <v>48</v>
      </c>
      <c r="I4011" t="str">
        <f>INDEX(State!B:B,MATCH(OrdersTable[[#This Row],[State]],State!A:A,0))</f>
        <v>HR</v>
      </c>
      <c r="J4011" t="str">
        <f>INDEX(State!C:C,MATCH(OrdersTable[[#This Row],[State Code]],State!B:B,0))</f>
        <v>North</v>
      </c>
      <c r="K4011" t="s">
        <v>151</v>
      </c>
      <c r="L4011" t="s">
        <v>23</v>
      </c>
      <c r="M4011" t="s">
        <v>576</v>
      </c>
      <c r="N4011" t="str">
        <f>INDEX(Products!B:B,MATCH(OrdersTable[[#This Row],[Product ID]],Products!A:A,0))</f>
        <v>Printed Saree</v>
      </c>
      <c r="O4011" t="str">
        <f>INDEX(Products!C:C,MATCH(OrdersTable[[#This Row],[Product ID]],Products!A:A,0))</f>
        <v>Apparel</v>
      </c>
      <c r="P4011">
        <v>3</v>
      </c>
      <c r="Q4011" s="5">
        <v>1999</v>
      </c>
      <c r="R4011" s="74">
        <v>0.25</v>
      </c>
      <c r="S4011" s="75">
        <f>OrdersTable[[#This Row],[Quantity]]*OrdersTable[[#This Row],[Unit Price]]</f>
        <v>5997</v>
      </c>
      <c r="T4011" s="5">
        <f>OrdersTable[[#This Row],[Gross Sale]]*OrdersTable[[#This Row],[Discount_Clean2]]</f>
        <v>1499.25</v>
      </c>
      <c r="U4011" s="5">
        <f>OrdersTable[[#This Row],[Gross Sale]]-OrdersTable[[#This Row],[Discount Amount]]</f>
        <v>4497.75</v>
      </c>
      <c r="V4011" s="77">
        <f>INDEX(Products!E:E,MATCH(OrdersTable[[#This Row],[Product ID]],Products!A:A,0))</f>
        <v>880</v>
      </c>
      <c r="W4011" s="77">
        <f>OrdersTable[[#This Row],[Quantity]]*OrdersTable[[#This Row],[Unit Cost]]</f>
        <v>2640</v>
      </c>
      <c r="X4011" s="77">
        <f>'Dropdown Lists'!$I$2*(1+OrdersTable[[#This Row],[Returned]])</f>
        <v>120</v>
      </c>
      <c r="Y4011" s="76">
        <f>OrdersTable[[#This Row],[Net Revenue]]-OrdersTable[[#This Row],[COGS]]-OrdersTable[[#This Row],[Shipping Cost]]</f>
        <v>1737.75</v>
      </c>
      <c r="Z4011" s="78">
        <f>IFERROR(OrdersTable[[#This Row],[Profit]]/OrdersTable[[#This Row],[Net Revenue]],0)</f>
        <v>0.38635984658996164</v>
      </c>
      <c r="AA4011" t="s">
        <v>3495</v>
      </c>
      <c r="AB4011" s="79">
        <v>45936</v>
      </c>
      <c r="AC4011">
        <f>OrdersTable[[#This Row],[Delivery Date]]-OrdersTable[[#This Row],[Order Date]]</f>
        <v>3</v>
      </c>
      <c r="AD4011" t="str">
        <f>IF(OrdersTable[[#This Row],[Delivery Days]]&lt;=2, "Express (≤2d)", IF(OrdersTable[[#This Row],[Delivery Days]]&lt;=4, "Standard (3-4d)", "Delayed (5d+)"))</f>
        <v>Standard (3-4d)</v>
      </c>
      <c r="AE4011">
        <v>4</v>
      </c>
      <c r="AF4011">
        <v>1</v>
      </c>
    </row>
    <row r="4012" spans="1:32" ht="15" x14ac:dyDescent="0.35">
      <c r="A4012" t="s">
        <v>4856</v>
      </c>
      <c r="B4012" s="1">
        <v>45933</v>
      </c>
      <c r="C4012">
        <f>YEAR(OrdersTable[[#This Row],[Order Date]])</f>
        <v>2025</v>
      </c>
      <c r="D4012" s="2">
        <f>DATE(YEAR(OrdersTable[[#This Row],[Order Date]]),MONTH(OrdersTable[[#This Row],[Order Date]]),1)</f>
        <v>45931</v>
      </c>
      <c r="E4012">
        <f>MONTH(OrdersTable[[#This Row],[Order Date]])</f>
        <v>10</v>
      </c>
      <c r="F4012" t="s">
        <v>1537</v>
      </c>
      <c r="G4012" t="str">
        <f>IF(OrdersTable[[#This Row],[Order Date]]=_xlfn.MINIFS(Order_Date, Customer_ID, OrdersTable[[#This Row],[Customer ID]]), "New", "Repeat")</f>
        <v>Repeat</v>
      </c>
      <c r="H4012" t="s">
        <v>128</v>
      </c>
      <c r="I4012" t="str">
        <f>INDEX(State!B:B,MATCH(OrdersTable[[#This Row],[State]],State!A:A,0))</f>
        <v>DL</v>
      </c>
      <c r="J4012" t="str">
        <f>INDEX(State!C:C,MATCH(OrdersTable[[#This Row],[State Code]],State!B:B,0))</f>
        <v>North</v>
      </c>
      <c r="K4012" t="s">
        <v>129</v>
      </c>
      <c r="L4012" t="s">
        <v>39</v>
      </c>
      <c r="M4012" t="s">
        <v>87</v>
      </c>
      <c r="N4012" t="str">
        <f>INDEX(Products!B:B,MATCH(OrdersTable[[#This Row],[Product ID]],Products!A:A,0))</f>
        <v>Linen Kurta</v>
      </c>
      <c r="O4012" t="str">
        <f>INDEX(Products!C:C,MATCH(OrdersTable[[#This Row],[Product ID]],Products!A:A,0))</f>
        <v>Apparel</v>
      </c>
      <c r="P4012">
        <v>2</v>
      </c>
      <c r="Q4012" s="5">
        <v>1499</v>
      </c>
      <c r="R4012" s="74">
        <v>0.45</v>
      </c>
      <c r="S4012" s="75">
        <f>OrdersTable[[#This Row],[Quantity]]*OrdersTable[[#This Row],[Unit Price]]</f>
        <v>2998</v>
      </c>
      <c r="T4012" s="5">
        <f>OrdersTable[[#This Row],[Gross Sale]]*OrdersTable[[#This Row],[Discount_Clean2]]</f>
        <v>1349.1000000000001</v>
      </c>
      <c r="U4012" s="5">
        <f>OrdersTable[[#This Row],[Gross Sale]]-OrdersTable[[#This Row],[Discount Amount]]</f>
        <v>1648.8999999999999</v>
      </c>
      <c r="V4012" s="77">
        <f>INDEX(Products!E:E,MATCH(OrdersTable[[#This Row],[Product ID]],Products!A:A,0))</f>
        <v>630</v>
      </c>
      <c r="W4012" s="77">
        <f>OrdersTable[[#This Row],[Quantity]]*OrdersTable[[#This Row],[Unit Cost]]</f>
        <v>1260</v>
      </c>
      <c r="X4012" s="77">
        <f>'Dropdown Lists'!$I$2*(1+OrdersTable[[#This Row],[Returned]])</f>
        <v>60</v>
      </c>
      <c r="Y4012" s="76">
        <f>OrdersTable[[#This Row],[Net Revenue]]-OrdersTable[[#This Row],[COGS]]-OrdersTable[[#This Row],[Shipping Cost]]</f>
        <v>328.89999999999986</v>
      </c>
      <c r="Z4012" s="78">
        <f>IFERROR(OrdersTable[[#This Row],[Profit]]/OrdersTable[[#This Row],[Net Revenue]],0)</f>
        <v>0.19946631087391586</v>
      </c>
      <c r="AA4012" t="s">
        <v>4450</v>
      </c>
      <c r="AB4012" s="79">
        <v>45937</v>
      </c>
      <c r="AC4012">
        <f>OrdersTable[[#This Row],[Delivery Date]]-OrdersTable[[#This Row],[Order Date]]</f>
        <v>4</v>
      </c>
      <c r="AD4012" t="str">
        <f>IF(OrdersTable[[#This Row],[Delivery Days]]&lt;=2, "Express (≤2d)", IF(OrdersTable[[#This Row],[Delivery Days]]&lt;=4, "Standard (3-4d)", "Delayed (5d+)"))</f>
        <v>Standard (3-4d)</v>
      </c>
      <c r="AF4012">
        <v>0</v>
      </c>
    </row>
    <row r="4013" spans="1:32" ht="15" x14ac:dyDescent="0.35">
      <c r="A4013" t="s">
        <v>4857</v>
      </c>
      <c r="B4013" s="1">
        <v>45933</v>
      </c>
      <c r="C4013">
        <f>YEAR(OrdersTable[[#This Row],[Order Date]])</f>
        <v>2025</v>
      </c>
      <c r="D4013" s="2">
        <f>DATE(YEAR(OrdersTable[[#This Row],[Order Date]]),MONTH(OrdersTable[[#This Row],[Order Date]]),1)</f>
        <v>45931</v>
      </c>
      <c r="E4013">
        <f>MONTH(OrdersTable[[#This Row],[Order Date]])</f>
        <v>10</v>
      </c>
      <c r="F4013" t="s">
        <v>313</v>
      </c>
      <c r="G4013" t="str">
        <f>IF(OrdersTable[[#This Row],[Order Date]]=_xlfn.MINIFS(Order_Date, Customer_ID, OrdersTable[[#This Row],[Customer ID]]), "New", "Repeat")</f>
        <v>Repeat</v>
      </c>
      <c r="H4013" t="s">
        <v>76</v>
      </c>
      <c r="I4013" t="str">
        <f>INDEX(State!B:B,MATCH(OrdersTable[[#This Row],[State]],State!A:A,0))</f>
        <v>UP</v>
      </c>
      <c r="J4013" t="str">
        <f>INDEX(State!C:C,MATCH(OrdersTable[[#This Row],[State Code]],State!B:B,0))</f>
        <v>North</v>
      </c>
      <c r="K4013" t="s">
        <v>118</v>
      </c>
      <c r="L4013" t="s">
        <v>39</v>
      </c>
      <c r="M4013" t="s">
        <v>84</v>
      </c>
      <c r="N4013" t="str">
        <f>INDEX(Products!B:B,MATCH(OrdersTable[[#This Row],[Product ID]],Products!A:A,0))</f>
        <v>Cotton Bedsheet</v>
      </c>
      <c r="O4013" t="str">
        <f>INDEX(Products!C:C,MATCH(OrdersTable[[#This Row],[Product ID]],Products!A:A,0))</f>
        <v>Home &amp; Kitchen</v>
      </c>
      <c r="P4013">
        <v>2</v>
      </c>
      <c r="Q4013" s="5">
        <v>1299</v>
      </c>
      <c r="R4013" s="74">
        <v>0.05</v>
      </c>
      <c r="S4013" s="75">
        <f>OrdersTable[[#This Row],[Quantity]]*OrdersTable[[#This Row],[Unit Price]]</f>
        <v>2598</v>
      </c>
      <c r="T4013" s="5">
        <f>OrdersTable[[#This Row],[Gross Sale]]*OrdersTable[[#This Row],[Discount_Clean2]]</f>
        <v>129.9</v>
      </c>
      <c r="U4013" s="5">
        <f>OrdersTable[[#This Row],[Gross Sale]]-OrdersTable[[#This Row],[Discount Amount]]</f>
        <v>2468.1</v>
      </c>
      <c r="V4013" s="77">
        <f>INDEX(Products!E:E,MATCH(OrdersTable[[#This Row],[Product ID]],Products!A:A,0))</f>
        <v>585</v>
      </c>
      <c r="W4013" s="77">
        <f>OrdersTable[[#This Row],[Quantity]]*OrdersTable[[#This Row],[Unit Cost]]</f>
        <v>1170</v>
      </c>
      <c r="X4013" s="77">
        <f>'Dropdown Lists'!$I$2*(1+OrdersTable[[#This Row],[Returned]])</f>
        <v>60</v>
      </c>
      <c r="Y4013" s="76">
        <f>OrdersTable[[#This Row],[Net Revenue]]-OrdersTable[[#This Row],[COGS]]-OrdersTable[[#This Row],[Shipping Cost]]</f>
        <v>1238.0999999999999</v>
      </c>
      <c r="Z4013" s="78">
        <f>IFERROR(OrdersTable[[#This Row],[Profit]]/OrdersTable[[#This Row],[Net Revenue]],0)</f>
        <v>0.50164093837364776</v>
      </c>
      <c r="AA4013" t="s">
        <v>4450</v>
      </c>
      <c r="AB4013" s="79">
        <v>45940</v>
      </c>
      <c r="AC4013">
        <f>OrdersTable[[#This Row],[Delivery Date]]-OrdersTable[[#This Row],[Order Date]]</f>
        <v>7</v>
      </c>
      <c r="AD4013" t="str">
        <f>IF(OrdersTable[[#This Row],[Delivery Days]]&lt;=2, "Express (≤2d)", IF(OrdersTable[[#This Row],[Delivery Days]]&lt;=4, "Standard (3-4d)", "Delayed (5d+)"))</f>
        <v>Delayed (5d+)</v>
      </c>
      <c r="AF4013">
        <v>0</v>
      </c>
    </row>
    <row r="4014" spans="1:32" ht="15" x14ac:dyDescent="0.35">
      <c r="A4014" t="s">
        <v>5988</v>
      </c>
      <c r="B4014" s="1">
        <v>45933</v>
      </c>
      <c r="C4014">
        <f>YEAR(OrdersTable[[#This Row],[Order Date]])</f>
        <v>2025</v>
      </c>
      <c r="D4014" s="2">
        <f>DATE(YEAR(OrdersTable[[#This Row],[Order Date]]),MONTH(OrdersTable[[#This Row],[Order Date]]),1)</f>
        <v>45931</v>
      </c>
      <c r="E4014">
        <f>MONTH(OrdersTable[[#This Row],[Order Date]])</f>
        <v>10</v>
      </c>
      <c r="F4014" t="s">
        <v>200</v>
      </c>
      <c r="G4014" t="str">
        <f>IF(OrdersTable[[#This Row],[Order Date]]=_xlfn.MINIFS(Order_Date, Customer_ID, OrdersTable[[#This Row],[Customer ID]]), "New", "Repeat")</f>
        <v>Repeat</v>
      </c>
      <c r="H4014" t="s">
        <v>32</v>
      </c>
      <c r="I4014" t="str">
        <f>INDEX(State!B:B,MATCH(OrdersTable[[#This Row],[State]],State!A:A,0))</f>
        <v>BR</v>
      </c>
      <c r="J4014" t="str">
        <f>INDEX(State!C:C,MATCH(OrdersTable[[#This Row],[State Code]],State!B:B,0))</f>
        <v>East</v>
      </c>
      <c r="K4014" t="s">
        <v>33</v>
      </c>
      <c r="L4014" t="s">
        <v>23</v>
      </c>
      <c r="M4014" t="s">
        <v>24</v>
      </c>
      <c r="N4014" t="str">
        <f>INDEX(Products!B:B,MATCH(OrdersTable[[#This Row],[Product ID]],Products!A:A,0))</f>
        <v>Scented Candle Set</v>
      </c>
      <c r="O4014" t="str">
        <f>INDEX(Products!C:C,MATCH(OrdersTable[[#This Row],[Product ID]],Products!A:A,0))</f>
        <v>Home &amp; Kitchen</v>
      </c>
      <c r="P4014">
        <v>2</v>
      </c>
      <c r="Q4014" s="5">
        <v>699</v>
      </c>
      <c r="R4014" s="74">
        <v>0.35</v>
      </c>
      <c r="S4014" s="75">
        <f>OrdersTable[[#This Row],[Quantity]]*OrdersTable[[#This Row],[Unit Price]]</f>
        <v>1398</v>
      </c>
      <c r="T4014" s="5">
        <f>OrdersTable[[#This Row],[Gross Sale]]*OrdersTable[[#This Row],[Discount_Clean2]]</f>
        <v>489.29999999999995</v>
      </c>
      <c r="U4014" s="5">
        <f>OrdersTable[[#This Row],[Gross Sale]]-OrdersTable[[#This Row],[Discount Amount]]</f>
        <v>908.7</v>
      </c>
      <c r="V4014" s="77">
        <f>INDEX(Products!E:E,MATCH(OrdersTable[[#This Row],[Product ID]],Products!A:A,0))</f>
        <v>245</v>
      </c>
      <c r="W4014" s="77">
        <f>OrdersTable[[#This Row],[Quantity]]*OrdersTable[[#This Row],[Unit Cost]]</f>
        <v>490</v>
      </c>
      <c r="X4014" s="77">
        <f>'Dropdown Lists'!$I$2*(1+OrdersTable[[#This Row],[Returned]])</f>
        <v>60</v>
      </c>
      <c r="Y4014" s="76">
        <f>OrdersTable[[#This Row],[Net Revenue]]-OrdersTable[[#This Row],[COGS]]-OrdersTable[[#This Row],[Shipping Cost]]</f>
        <v>358.70000000000005</v>
      </c>
      <c r="Z4014" s="78">
        <f>IFERROR(OrdersTable[[#This Row],[Profit]]/OrdersTable[[#This Row],[Net Revenue]],0)</f>
        <v>0.39473973808737761</v>
      </c>
      <c r="AA4014" t="s">
        <v>18</v>
      </c>
      <c r="AB4014" s="79">
        <v>45938</v>
      </c>
      <c r="AC4014">
        <f>OrdersTable[[#This Row],[Delivery Date]]-OrdersTable[[#This Row],[Order Date]]</f>
        <v>5</v>
      </c>
      <c r="AD4014" t="str">
        <f>IF(OrdersTable[[#This Row],[Delivery Days]]&lt;=2, "Express (≤2d)", IF(OrdersTable[[#This Row],[Delivery Days]]&lt;=4, "Standard (3-4d)", "Delayed (5d+)"))</f>
        <v>Delayed (5d+)</v>
      </c>
      <c r="AF4014">
        <v>0</v>
      </c>
    </row>
    <row r="4015" spans="1:32" ht="15" x14ac:dyDescent="0.35">
      <c r="A4015" t="s">
        <v>3348</v>
      </c>
      <c r="B4015" s="1">
        <v>45933</v>
      </c>
      <c r="C4015">
        <f>YEAR(OrdersTable[[#This Row],[Order Date]])</f>
        <v>2025</v>
      </c>
      <c r="D4015" s="2">
        <f>DATE(YEAR(OrdersTable[[#This Row],[Order Date]]),MONTH(OrdersTable[[#This Row],[Order Date]]),1)</f>
        <v>45931</v>
      </c>
      <c r="E4015">
        <f>MONTH(OrdersTable[[#This Row],[Order Date]])</f>
        <v>10</v>
      </c>
      <c r="F4015" t="s">
        <v>3349</v>
      </c>
      <c r="G4015" t="str">
        <f>IF(OrdersTable[[#This Row],[Order Date]]=_xlfn.MINIFS(Order_Date, Customer_ID, OrdersTable[[#This Row],[Customer ID]]), "New", "Repeat")</f>
        <v>Repeat</v>
      </c>
      <c r="H4015" t="s">
        <v>43</v>
      </c>
      <c r="I4015" t="str">
        <f>INDEX(State!B:B,MATCH(OrdersTable[[#This Row],[State]],State!A:A,0))</f>
        <v>MP</v>
      </c>
      <c r="J4015" t="str">
        <f>INDEX(State!C:C,MATCH(OrdersTable[[#This Row],[State Code]],State!B:B,0))</f>
        <v>West</v>
      </c>
      <c r="K4015" t="s">
        <v>44</v>
      </c>
      <c r="L4015" t="s">
        <v>39</v>
      </c>
      <c r="M4015" t="s">
        <v>84</v>
      </c>
      <c r="N4015" t="str">
        <f>INDEX(Products!B:B,MATCH(OrdersTable[[#This Row],[Product ID]],Products!A:A,0))</f>
        <v>Cotton Bedsheet</v>
      </c>
      <c r="O4015" t="str">
        <f>INDEX(Products!C:C,MATCH(OrdersTable[[#This Row],[Product ID]],Products!A:A,0))</f>
        <v>Home &amp; Kitchen</v>
      </c>
      <c r="P4015">
        <v>1</v>
      </c>
      <c r="Q4015" s="5">
        <v>1299</v>
      </c>
      <c r="R4015" s="74">
        <v>0.15</v>
      </c>
      <c r="S4015" s="75">
        <f>OrdersTable[[#This Row],[Quantity]]*OrdersTable[[#This Row],[Unit Price]]</f>
        <v>1299</v>
      </c>
      <c r="T4015" s="5">
        <f>OrdersTable[[#This Row],[Gross Sale]]*OrdersTable[[#This Row],[Discount_Clean2]]</f>
        <v>194.85</v>
      </c>
      <c r="U4015" s="5">
        <f>OrdersTable[[#This Row],[Gross Sale]]-OrdersTable[[#This Row],[Discount Amount]]</f>
        <v>1104.1500000000001</v>
      </c>
      <c r="V4015" s="77">
        <f>INDEX(Products!E:E,MATCH(OrdersTable[[#This Row],[Product ID]],Products!A:A,0))</f>
        <v>585</v>
      </c>
      <c r="W4015" s="77">
        <f>OrdersTable[[#This Row],[Quantity]]*OrdersTable[[#This Row],[Unit Cost]]</f>
        <v>585</v>
      </c>
      <c r="X4015" s="77">
        <f>'Dropdown Lists'!$I$2*(1+OrdersTable[[#This Row],[Returned]])</f>
        <v>60</v>
      </c>
      <c r="Y4015" s="76">
        <f>OrdersTable[[#This Row],[Net Revenue]]-OrdersTable[[#This Row],[COGS]]-OrdersTable[[#This Row],[Shipping Cost]]</f>
        <v>459.15000000000009</v>
      </c>
      <c r="Z4015" s="78">
        <f>IFERROR(OrdersTable[[#This Row],[Profit]]/OrdersTable[[#This Row],[Net Revenue]],0)</f>
        <v>0.41584023909794871</v>
      </c>
      <c r="AA4015" t="s">
        <v>2522</v>
      </c>
      <c r="AB4015" s="79">
        <v>45938</v>
      </c>
      <c r="AC4015">
        <f>OrdersTable[[#This Row],[Delivery Date]]-OrdersTable[[#This Row],[Order Date]]</f>
        <v>5</v>
      </c>
      <c r="AD4015" t="str">
        <f>IF(OrdersTable[[#This Row],[Delivery Days]]&lt;=2, "Express (≤2d)", IF(OrdersTable[[#This Row],[Delivery Days]]&lt;=4, "Standard (3-4d)", "Delayed (5d+)"))</f>
        <v>Delayed (5d+)</v>
      </c>
      <c r="AE4015">
        <v>4</v>
      </c>
      <c r="AF4015">
        <v>0</v>
      </c>
    </row>
    <row r="4016" spans="1:32" ht="15" x14ac:dyDescent="0.35">
      <c r="A4016" t="s">
        <v>4858</v>
      </c>
      <c r="B4016" s="1">
        <v>45933</v>
      </c>
      <c r="C4016">
        <f>YEAR(OrdersTable[[#This Row],[Order Date]])</f>
        <v>2025</v>
      </c>
      <c r="D4016" s="2">
        <f>DATE(YEAR(OrdersTable[[#This Row],[Order Date]]),MONTH(OrdersTable[[#This Row],[Order Date]]),1)</f>
        <v>45931</v>
      </c>
      <c r="E4016">
        <f>MONTH(OrdersTable[[#This Row],[Order Date]])</f>
        <v>10</v>
      </c>
      <c r="F4016" t="s">
        <v>4859</v>
      </c>
      <c r="G4016" t="str">
        <f>IF(OrdersTable[[#This Row],[Order Date]]=_xlfn.MINIFS(Order_Date, Customer_ID, OrdersTable[[#This Row],[Customer ID]]), "New", "Repeat")</f>
        <v>New</v>
      </c>
      <c r="H4016" t="s">
        <v>14</v>
      </c>
      <c r="I4016" t="str">
        <f>INDEX(State!B:B,MATCH(OrdersTable[[#This Row],[State]],State!A:A,0))</f>
        <v>OD</v>
      </c>
      <c r="J4016" t="str">
        <f>INDEX(State!C:C,MATCH(OrdersTable[[#This Row],[State Code]],State!B:B,0))</f>
        <v>East</v>
      </c>
      <c r="K4016" t="s">
        <v>15</v>
      </c>
      <c r="L4016" t="s">
        <v>65</v>
      </c>
      <c r="M4016" t="s">
        <v>87</v>
      </c>
      <c r="N4016" t="str">
        <f>INDEX(Products!B:B,MATCH(OrdersTable[[#This Row],[Product ID]],Products!A:A,0))</f>
        <v>Linen Kurta</v>
      </c>
      <c r="O4016" t="str">
        <f>INDEX(Products!C:C,MATCH(OrdersTable[[#This Row],[Product ID]],Products!A:A,0))</f>
        <v>Apparel</v>
      </c>
      <c r="P4016">
        <v>2</v>
      </c>
      <c r="Q4016" s="5">
        <v>1499</v>
      </c>
      <c r="R4016" s="74">
        <v>0.5</v>
      </c>
      <c r="S4016" s="75">
        <f>OrdersTable[[#This Row],[Quantity]]*OrdersTable[[#This Row],[Unit Price]]</f>
        <v>2998</v>
      </c>
      <c r="T4016" s="5">
        <f>OrdersTable[[#This Row],[Gross Sale]]*OrdersTable[[#This Row],[Discount_Clean2]]</f>
        <v>1499</v>
      </c>
      <c r="U4016" s="5">
        <f>OrdersTable[[#This Row],[Gross Sale]]-OrdersTable[[#This Row],[Discount Amount]]</f>
        <v>1499</v>
      </c>
      <c r="V4016" s="77">
        <f>INDEX(Products!E:E,MATCH(OrdersTable[[#This Row],[Product ID]],Products!A:A,0))</f>
        <v>630</v>
      </c>
      <c r="W4016" s="77">
        <f>OrdersTable[[#This Row],[Quantity]]*OrdersTable[[#This Row],[Unit Cost]]</f>
        <v>1260</v>
      </c>
      <c r="X4016" s="77">
        <f>'Dropdown Lists'!$I$2*(1+OrdersTable[[#This Row],[Returned]])</f>
        <v>60</v>
      </c>
      <c r="Y4016" s="76">
        <f>OrdersTable[[#This Row],[Net Revenue]]-OrdersTable[[#This Row],[COGS]]-OrdersTable[[#This Row],[Shipping Cost]]</f>
        <v>179</v>
      </c>
      <c r="Z4016" s="78">
        <f>IFERROR(OrdersTable[[#This Row],[Profit]]/OrdersTable[[#This Row],[Net Revenue]],0)</f>
        <v>0.11941294196130754</v>
      </c>
      <c r="AA4016" t="s">
        <v>4450</v>
      </c>
      <c r="AB4016" s="79">
        <v>45937</v>
      </c>
      <c r="AC4016">
        <f>OrdersTable[[#This Row],[Delivery Date]]-OrdersTable[[#This Row],[Order Date]]</f>
        <v>4</v>
      </c>
      <c r="AD4016" t="str">
        <f>IF(OrdersTable[[#This Row],[Delivery Days]]&lt;=2, "Express (≤2d)", IF(OrdersTable[[#This Row],[Delivery Days]]&lt;=4, "Standard (3-4d)", "Delayed (5d+)"))</f>
        <v>Standard (3-4d)</v>
      </c>
      <c r="AF4016">
        <v>0</v>
      </c>
    </row>
    <row r="4017" spans="1:32" ht="15" x14ac:dyDescent="0.35">
      <c r="A4017" t="s">
        <v>6731</v>
      </c>
      <c r="B4017" s="1">
        <v>45933</v>
      </c>
      <c r="C4017">
        <f>YEAR(OrdersTable[[#This Row],[Order Date]])</f>
        <v>2025</v>
      </c>
      <c r="D4017" s="2">
        <f>DATE(YEAR(OrdersTable[[#This Row],[Order Date]]),MONTH(OrdersTable[[#This Row],[Order Date]]),1)</f>
        <v>45931</v>
      </c>
      <c r="E4017">
        <f>MONTH(OrdersTable[[#This Row],[Order Date]])</f>
        <v>10</v>
      </c>
      <c r="F4017" t="s">
        <v>2628</v>
      </c>
      <c r="G4017" t="str">
        <f>IF(OrdersTable[[#This Row],[Order Date]]=_xlfn.MINIFS(Order_Date, Customer_ID, OrdersTable[[#This Row],[Customer ID]]), "New", "Repeat")</f>
        <v>Repeat</v>
      </c>
      <c r="H4017" t="s">
        <v>59</v>
      </c>
      <c r="I4017" t="str">
        <f>INDEX(State!B:B,MATCH(OrdersTable[[#This Row],[State]],State!A:A,0))</f>
        <v>TN</v>
      </c>
      <c r="J4017" t="str">
        <f>INDEX(State!C:C,MATCH(OrdersTable[[#This Row],[State Code]],State!B:B,0))</f>
        <v>South</v>
      </c>
      <c r="K4017" t="s">
        <v>64</v>
      </c>
      <c r="L4017" t="s">
        <v>65</v>
      </c>
      <c r="M4017" t="s">
        <v>160</v>
      </c>
      <c r="N4017" t="str">
        <f>INDEX(Products!B:B,MATCH(OrdersTable[[#This Row],[Product ID]],Products!A:A,0))</f>
        <v>Niacinamide Toner</v>
      </c>
      <c r="O4017" t="str">
        <f>INDEX(Products!C:C,MATCH(OrdersTable[[#This Row],[Product ID]],Products!A:A,0))</f>
        <v>Skincare</v>
      </c>
      <c r="P4017">
        <v>3</v>
      </c>
      <c r="Q4017" s="5">
        <v>399</v>
      </c>
      <c r="R4017" s="74">
        <v>0.35</v>
      </c>
      <c r="S4017" s="75">
        <f>OrdersTable[[#This Row],[Quantity]]*OrdersTable[[#This Row],[Unit Price]]</f>
        <v>1197</v>
      </c>
      <c r="T4017" s="5">
        <f>OrdersTable[[#This Row],[Gross Sale]]*OrdersTable[[#This Row],[Discount_Clean2]]</f>
        <v>418.95</v>
      </c>
      <c r="U4017" s="5">
        <f>OrdersTable[[#This Row],[Gross Sale]]-OrdersTable[[#This Row],[Discount Amount]]</f>
        <v>778.05</v>
      </c>
      <c r="V4017" s="77">
        <f>INDEX(Products!E:E,MATCH(OrdersTable[[#This Row],[Product ID]],Products!A:A,0))</f>
        <v>112</v>
      </c>
      <c r="W4017" s="77">
        <f>OrdersTable[[#This Row],[Quantity]]*OrdersTable[[#This Row],[Unit Cost]]</f>
        <v>336</v>
      </c>
      <c r="X4017" s="77">
        <f>'Dropdown Lists'!$I$2*(1+OrdersTable[[#This Row],[Returned]])</f>
        <v>60</v>
      </c>
      <c r="Y4017" s="76">
        <f>OrdersTable[[#This Row],[Net Revenue]]-OrdersTable[[#This Row],[COGS]]-OrdersTable[[#This Row],[Shipping Cost]]</f>
        <v>382.04999999999995</v>
      </c>
      <c r="Z4017" s="78">
        <f>IFERROR(OrdersTable[[#This Row],[Profit]]/OrdersTable[[#This Row],[Net Revenue]],0)</f>
        <v>0.49103528050896467</v>
      </c>
      <c r="AA4017" t="s">
        <v>2522</v>
      </c>
      <c r="AB4017" s="79">
        <v>45938</v>
      </c>
      <c r="AC4017">
        <f>OrdersTable[[#This Row],[Delivery Date]]-OrdersTable[[#This Row],[Order Date]]</f>
        <v>5</v>
      </c>
      <c r="AD4017" t="str">
        <f>IF(OrdersTable[[#This Row],[Delivery Days]]&lt;=2, "Express (≤2d)", IF(OrdersTable[[#This Row],[Delivery Days]]&lt;=4, "Standard (3-4d)", "Delayed (5d+)"))</f>
        <v>Delayed (5d+)</v>
      </c>
      <c r="AF4017">
        <v>0</v>
      </c>
    </row>
    <row r="4018" spans="1:32" ht="15" x14ac:dyDescent="0.35">
      <c r="A4018" t="s">
        <v>4860</v>
      </c>
      <c r="B4018" s="1">
        <v>45933</v>
      </c>
      <c r="C4018">
        <f>YEAR(OrdersTable[[#This Row],[Order Date]])</f>
        <v>2025</v>
      </c>
      <c r="D4018" s="2">
        <f>DATE(YEAR(OrdersTable[[#This Row],[Order Date]]),MONTH(OrdersTable[[#This Row],[Order Date]]),1)</f>
        <v>45931</v>
      </c>
      <c r="E4018">
        <f>MONTH(OrdersTable[[#This Row],[Order Date]])</f>
        <v>10</v>
      </c>
      <c r="F4018" t="s">
        <v>4498</v>
      </c>
      <c r="G4018" t="str">
        <f>IF(OrdersTable[[#This Row],[Order Date]]=_xlfn.MINIFS(Order_Date, Customer_ID, OrdersTable[[#This Row],[Customer ID]]), "New", "Repeat")</f>
        <v>Repeat</v>
      </c>
      <c r="H4018" t="s">
        <v>59</v>
      </c>
      <c r="I4018" t="str">
        <f>INDEX(State!B:B,MATCH(OrdersTable[[#This Row],[State]],State!A:A,0))</f>
        <v>TN</v>
      </c>
      <c r="J4018" t="str">
        <f>INDEX(State!C:C,MATCH(OrdersTable[[#This Row],[State Code]],State!B:B,0))</f>
        <v>South</v>
      </c>
      <c r="K4018" t="s">
        <v>64</v>
      </c>
      <c r="L4018" t="s">
        <v>23</v>
      </c>
      <c r="M4018" t="s">
        <v>66</v>
      </c>
      <c r="N4018" t="str">
        <f>INDEX(Products!B:B,MATCH(OrdersTable[[#This Row],[Product ID]],Products!A:A,0))</f>
        <v>Sunscreen SPF 50</v>
      </c>
      <c r="O4018" t="str">
        <f>INDEX(Products!C:C,MATCH(OrdersTable[[#This Row],[Product ID]],Products!A:A,0))</f>
        <v>Skincare</v>
      </c>
      <c r="P4018">
        <v>2</v>
      </c>
      <c r="Q4018" s="5">
        <v>449</v>
      </c>
      <c r="R4018" s="74">
        <v>0.15</v>
      </c>
      <c r="S4018" s="75">
        <f>OrdersTable[[#This Row],[Quantity]]*OrdersTable[[#This Row],[Unit Price]]</f>
        <v>898</v>
      </c>
      <c r="T4018" s="5">
        <f>OrdersTable[[#This Row],[Gross Sale]]*OrdersTable[[#This Row],[Discount_Clean2]]</f>
        <v>134.69999999999999</v>
      </c>
      <c r="U4018" s="5">
        <f>OrdersTable[[#This Row],[Gross Sale]]-OrdersTable[[#This Row],[Discount Amount]]</f>
        <v>763.3</v>
      </c>
      <c r="V4018" s="77">
        <f>INDEX(Products!E:E,MATCH(OrdersTable[[#This Row],[Product ID]],Products!A:A,0))</f>
        <v>144</v>
      </c>
      <c r="W4018" s="77">
        <f>OrdersTable[[#This Row],[Quantity]]*OrdersTable[[#This Row],[Unit Cost]]</f>
        <v>288</v>
      </c>
      <c r="X4018" s="77">
        <f>'Dropdown Lists'!$I$2*(1+OrdersTable[[#This Row],[Returned]])</f>
        <v>60</v>
      </c>
      <c r="Y4018" s="76">
        <f>OrdersTable[[#This Row],[Net Revenue]]-OrdersTable[[#This Row],[COGS]]-OrdersTable[[#This Row],[Shipping Cost]]</f>
        <v>415.29999999999995</v>
      </c>
      <c r="Z4018" s="78">
        <f>IFERROR(OrdersTable[[#This Row],[Profit]]/OrdersTable[[#This Row],[Net Revenue]],0)</f>
        <v>0.54408489453687936</v>
      </c>
      <c r="AA4018" t="s">
        <v>4450</v>
      </c>
      <c r="AB4018" s="79">
        <v>45936</v>
      </c>
      <c r="AC4018">
        <f>OrdersTable[[#This Row],[Delivery Date]]-OrdersTable[[#This Row],[Order Date]]</f>
        <v>3</v>
      </c>
      <c r="AD4018" t="str">
        <f>IF(OrdersTable[[#This Row],[Delivery Days]]&lt;=2, "Express (≤2d)", IF(OrdersTable[[#This Row],[Delivery Days]]&lt;=4, "Standard (3-4d)", "Delayed (5d+)"))</f>
        <v>Standard (3-4d)</v>
      </c>
      <c r="AE4018">
        <v>3</v>
      </c>
      <c r="AF4018">
        <v>0</v>
      </c>
    </row>
    <row r="4019" spans="1:32" ht="15" x14ac:dyDescent="0.35">
      <c r="A4019" t="s">
        <v>1020</v>
      </c>
      <c r="B4019" s="1">
        <v>45934</v>
      </c>
      <c r="C4019">
        <f>YEAR(OrdersTable[[#This Row],[Order Date]])</f>
        <v>2025</v>
      </c>
      <c r="D4019" s="2">
        <f>DATE(YEAR(OrdersTable[[#This Row],[Order Date]]),MONTH(OrdersTable[[#This Row],[Order Date]]),1)</f>
        <v>45931</v>
      </c>
      <c r="E4019">
        <f>MONTH(OrdersTable[[#This Row],[Order Date]])</f>
        <v>10</v>
      </c>
      <c r="F4019" t="s">
        <v>1021</v>
      </c>
      <c r="G4019" t="str">
        <f>IF(OrdersTable[[#This Row],[Order Date]]=_xlfn.MINIFS(Order_Date, Customer_ID, OrdersTable[[#This Row],[Customer ID]]), "New", "Repeat")</f>
        <v>Repeat</v>
      </c>
      <c r="H4019" t="s">
        <v>184</v>
      </c>
      <c r="I4019" t="str">
        <f>INDEX(State!B:B,MATCH(OrdersTable[[#This Row],[State]],State!A:A,0))</f>
        <v>UK</v>
      </c>
      <c r="J4019" t="str">
        <f>INDEX(State!C:C,MATCH(OrdersTable[[#This Row],[State Code]],State!B:B,0))</f>
        <v>North</v>
      </c>
      <c r="K4019" t="s">
        <v>185</v>
      </c>
      <c r="L4019" t="s">
        <v>23</v>
      </c>
      <c r="M4019" t="s">
        <v>78</v>
      </c>
      <c r="N4019" t="str">
        <f>INDEX(Products!B:B,MATCH(OrdersTable[[#This Row],[Product ID]],Products!A:A,0))</f>
        <v>Retinol Night Cream</v>
      </c>
      <c r="O4019" t="str">
        <f>INDEX(Products!C:C,MATCH(OrdersTable[[#This Row],[Product ID]],Products!A:A,0))</f>
        <v>Skincare</v>
      </c>
      <c r="P4019">
        <v>1</v>
      </c>
      <c r="Q4019" s="5">
        <v>799</v>
      </c>
      <c r="R4019" s="74">
        <v>0.2</v>
      </c>
      <c r="S4019" s="75">
        <f>OrdersTable[[#This Row],[Quantity]]*OrdersTable[[#This Row],[Unit Price]]</f>
        <v>799</v>
      </c>
      <c r="T4019" s="5">
        <f>OrdersTable[[#This Row],[Gross Sale]]*OrdersTable[[#This Row],[Discount_Clean2]]</f>
        <v>159.80000000000001</v>
      </c>
      <c r="U4019" s="5">
        <f>OrdersTable[[#This Row],[Gross Sale]]-OrdersTable[[#This Row],[Discount Amount]]</f>
        <v>639.20000000000005</v>
      </c>
      <c r="V4019" s="77">
        <f>INDEX(Products!E:E,MATCH(OrdersTable[[#This Row],[Product ID]],Products!A:A,0))</f>
        <v>216</v>
      </c>
      <c r="W4019" s="77">
        <f>OrdersTable[[#This Row],[Quantity]]*OrdersTable[[#This Row],[Unit Cost]]</f>
        <v>216</v>
      </c>
      <c r="X4019" s="77">
        <f>'Dropdown Lists'!$I$2*(1+OrdersTable[[#This Row],[Returned]])</f>
        <v>60</v>
      </c>
      <c r="Y4019" s="76">
        <f>OrdersTable[[#This Row],[Net Revenue]]-OrdersTable[[#This Row],[COGS]]-OrdersTable[[#This Row],[Shipping Cost]]</f>
        <v>363.20000000000005</v>
      </c>
      <c r="Z4019" s="78">
        <f>IFERROR(OrdersTable[[#This Row],[Profit]]/OrdersTable[[#This Row],[Net Revenue]],0)</f>
        <v>0.56821026282853571</v>
      </c>
      <c r="AA4019" t="s">
        <v>18</v>
      </c>
      <c r="AB4019" s="79">
        <v>45938</v>
      </c>
      <c r="AC4019">
        <f>OrdersTable[[#This Row],[Delivery Date]]-OrdersTable[[#This Row],[Order Date]]</f>
        <v>4</v>
      </c>
      <c r="AD4019" t="str">
        <f>IF(OrdersTable[[#This Row],[Delivery Days]]&lt;=2, "Express (≤2d)", IF(OrdersTable[[#This Row],[Delivery Days]]&lt;=4, "Standard (3-4d)", "Delayed (5d+)"))</f>
        <v>Standard (3-4d)</v>
      </c>
      <c r="AE4019">
        <v>4</v>
      </c>
      <c r="AF4019">
        <v>0</v>
      </c>
    </row>
    <row r="4020" spans="1:32" ht="15" x14ac:dyDescent="0.35">
      <c r="A4020" t="s">
        <v>6207</v>
      </c>
      <c r="B4020" s="1">
        <v>45934</v>
      </c>
      <c r="C4020">
        <f>YEAR(OrdersTable[[#This Row],[Order Date]])</f>
        <v>2025</v>
      </c>
      <c r="D4020" s="2">
        <f>DATE(YEAR(OrdersTable[[#This Row],[Order Date]]),MONTH(OrdersTable[[#This Row],[Order Date]]),1)</f>
        <v>45931</v>
      </c>
      <c r="E4020">
        <f>MONTH(OrdersTable[[#This Row],[Order Date]])</f>
        <v>10</v>
      </c>
      <c r="F4020" t="s">
        <v>5816</v>
      </c>
      <c r="G4020" t="str">
        <f>IF(OrdersTable[[#This Row],[Order Date]]=_xlfn.MINIFS(Order_Date, Customer_ID, OrdersTable[[#This Row],[Customer ID]]), "New", "Repeat")</f>
        <v>Repeat</v>
      </c>
      <c r="H4020" t="s">
        <v>54</v>
      </c>
      <c r="I4020" t="str">
        <f>INDEX(State!B:B,MATCH(OrdersTable[[#This Row],[State]],State!A:A,0))</f>
        <v>RJ</v>
      </c>
      <c r="J4020" t="str">
        <f>INDEX(State!C:C,MATCH(OrdersTable[[#This Row],[State Code]],State!B:B,0))</f>
        <v>North</v>
      </c>
      <c r="K4020" t="s">
        <v>55</v>
      </c>
      <c r="L4020" t="s">
        <v>65</v>
      </c>
      <c r="M4020" t="s">
        <v>109</v>
      </c>
      <c r="N4020" t="str">
        <f>INDEX(Products!B:B,MATCH(OrdersTable[[#This Row],[Product ID]],Products!A:A,0))</f>
        <v>Onion Hair Oil</v>
      </c>
      <c r="O4020" t="str">
        <f>INDEX(Products!C:C,MATCH(OrdersTable[[#This Row],[Product ID]],Products!A:A,0))</f>
        <v>Haircare</v>
      </c>
      <c r="P4020">
        <v>2</v>
      </c>
      <c r="Q4020" s="5">
        <v>349</v>
      </c>
      <c r="R4020" s="74">
        <v>0.45</v>
      </c>
      <c r="S4020" s="75">
        <f>OrdersTable[[#This Row],[Quantity]]*OrdersTable[[#This Row],[Unit Price]]</f>
        <v>698</v>
      </c>
      <c r="T4020" s="5">
        <f>OrdersTable[[#This Row],[Gross Sale]]*OrdersTable[[#This Row],[Discount_Clean2]]</f>
        <v>314.10000000000002</v>
      </c>
      <c r="U4020" s="5">
        <f>OrdersTable[[#This Row],[Gross Sale]]-OrdersTable[[#This Row],[Discount Amount]]</f>
        <v>383.9</v>
      </c>
      <c r="V4020" s="77">
        <f>INDEX(Products!E:E,MATCH(OrdersTable[[#This Row],[Product ID]],Products!A:A,0))</f>
        <v>105</v>
      </c>
      <c r="W4020" s="77">
        <f>OrdersTable[[#This Row],[Quantity]]*OrdersTable[[#This Row],[Unit Cost]]</f>
        <v>210</v>
      </c>
      <c r="X4020" s="77">
        <f>'Dropdown Lists'!$I$2*(1+OrdersTable[[#This Row],[Returned]])</f>
        <v>60</v>
      </c>
      <c r="Y4020" s="76">
        <f>OrdersTable[[#This Row],[Net Revenue]]-OrdersTable[[#This Row],[COGS]]-OrdersTable[[#This Row],[Shipping Cost]]</f>
        <v>113.89999999999998</v>
      </c>
      <c r="Z4020" s="78">
        <f>IFERROR(OrdersTable[[#This Row],[Profit]]/OrdersTable[[#This Row],[Net Revenue]],0)</f>
        <v>0.29669184683511329</v>
      </c>
      <c r="AA4020" t="s">
        <v>18</v>
      </c>
      <c r="AB4020" s="79">
        <v>45938</v>
      </c>
      <c r="AC4020">
        <f>OrdersTable[[#This Row],[Delivery Date]]-OrdersTable[[#This Row],[Order Date]]</f>
        <v>4</v>
      </c>
      <c r="AD4020" t="str">
        <f>IF(OrdersTable[[#This Row],[Delivery Days]]&lt;=2, "Express (≤2d)", IF(OrdersTable[[#This Row],[Delivery Days]]&lt;=4, "Standard (3-4d)", "Delayed (5d+)"))</f>
        <v>Standard (3-4d)</v>
      </c>
      <c r="AE4020">
        <v>4</v>
      </c>
      <c r="AF4020">
        <v>0</v>
      </c>
    </row>
    <row r="4021" spans="1:32" ht="15" x14ac:dyDescent="0.35">
      <c r="A4021" t="s">
        <v>3935</v>
      </c>
      <c r="B4021" s="1">
        <v>45934</v>
      </c>
      <c r="C4021">
        <f>YEAR(OrdersTable[[#This Row],[Order Date]])</f>
        <v>2025</v>
      </c>
      <c r="D4021" s="2">
        <f>DATE(YEAR(OrdersTable[[#This Row],[Order Date]]),MONTH(OrdersTable[[#This Row],[Order Date]]),1)</f>
        <v>45931</v>
      </c>
      <c r="E4021">
        <f>MONTH(OrdersTable[[#This Row],[Order Date]])</f>
        <v>10</v>
      </c>
      <c r="F4021" t="s">
        <v>717</v>
      </c>
      <c r="G4021" t="str">
        <f>IF(OrdersTable[[#This Row],[Order Date]]=_xlfn.MINIFS(Order_Date, Customer_ID, OrdersTable[[#This Row],[Customer ID]]), "New", "Repeat")</f>
        <v>Repeat</v>
      </c>
      <c r="H4021" t="s">
        <v>54</v>
      </c>
      <c r="I4021" t="str">
        <f>INDEX(State!B:B,MATCH(OrdersTable[[#This Row],[State]],State!A:A,0))</f>
        <v>RJ</v>
      </c>
      <c r="J4021" t="str">
        <f>INDEX(State!C:C,MATCH(OrdersTable[[#This Row],[State Code]],State!B:B,0))</f>
        <v>North</v>
      </c>
      <c r="K4021" t="s">
        <v>227</v>
      </c>
      <c r="L4021" t="s">
        <v>23</v>
      </c>
      <c r="M4021" t="s">
        <v>255</v>
      </c>
      <c r="N4021" t="str">
        <f>INDEX(Products!B:B,MATCH(OrdersTable[[#This Row],[Product ID]],Products!A:A,0))</f>
        <v>Cotton Oversized T-Shirt</v>
      </c>
      <c r="O4021" t="str">
        <f>INDEX(Products!C:C,MATCH(OrdersTable[[#This Row],[Product ID]],Products!A:A,0))</f>
        <v>Apparel</v>
      </c>
      <c r="P4021">
        <v>1</v>
      </c>
      <c r="Q4021" s="5">
        <v>799</v>
      </c>
      <c r="R4021" s="74">
        <v>0.2</v>
      </c>
      <c r="S4021" s="75">
        <f>OrdersTable[[#This Row],[Quantity]]*OrdersTable[[#This Row],[Unit Price]]</f>
        <v>799</v>
      </c>
      <c r="T4021" s="5">
        <f>OrdersTable[[#This Row],[Gross Sale]]*OrdersTable[[#This Row],[Discount_Clean2]]</f>
        <v>159.80000000000001</v>
      </c>
      <c r="U4021" s="5">
        <f>OrdersTable[[#This Row],[Gross Sale]]-OrdersTable[[#This Row],[Discount Amount]]</f>
        <v>639.20000000000005</v>
      </c>
      <c r="V4021" s="77">
        <f>INDEX(Products!E:E,MATCH(OrdersTable[[#This Row],[Product ID]],Products!A:A,0))</f>
        <v>320</v>
      </c>
      <c r="W4021" s="77">
        <f>OrdersTable[[#This Row],[Quantity]]*OrdersTable[[#This Row],[Unit Cost]]</f>
        <v>320</v>
      </c>
      <c r="X4021" s="77">
        <f>'Dropdown Lists'!$I$2*(1+OrdersTable[[#This Row],[Returned]])</f>
        <v>60</v>
      </c>
      <c r="Y4021" s="76">
        <f>OrdersTable[[#This Row],[Net Revenue]]-OrdersTable[[#This Row],[COGS]]-OrdersTable[[#This Row],[Shipping Cost]]</f>
        <v>259.20000000000005</v>
      </c>
      <c r="Z4021" s="78">
        <f>IFERROR(OrdersTable[[#This Row],[Profit]]/OrdersTable[[#This Row],[Net Revenue]],0)</f>
        <v>0.40550688360450565</v>
      </c>
      <c r="AA4021" t="s">
        <v>3495</v>
      </c>
      <c r="AB4021" s="79">
        <v>45938</v>
      </c>
      <c r="AC4021">
        <f>OrdersTable[[#This Row],[Delivery Date]]-OrdersTable[[#This Row],[Order Date]]</f>
        <v>4</v>
      </c>
      <c r="AD4021" t="str">
        <f>IF(OrdersTable[[#This Row],[Delivery Days]]&lt;=2, "Express (≤2d)", IF(OrdersTable[[#This Row],[Delivery Days]]&lt;=4, "Standard (3-4d)", "Delayed (5d+)"))</f>
        <v>Standard (3-4d)</v>
      </c>
      <c r="AE4021">
        <v>3</v>
      </c>
      <c r="AF4021">
        <v>0</v>
      </c>
    </row>
    <row r="4022" spans="1:32" ht="15" x14ac:dyDescent="0.35">
      <c r="A4022" t="s">
        <v>2837</v>
      </c>
      <c r="B4022" s="1">
        <v>45934</v>
      </c>
      <c r="C4022">
        <f>YEAR(OrdersTable[[#This Row],[Order Date]])</f>
        <v>2025</v>
      </c>
      <c r="D4022" s="2">
        <f>DATE(YEAR(OrdersTable[[#This Row],[Order Date]]),MONTH(OrdersTable[[#This Row],[Order Date]]),1)</f>
        <v>45931</v>
      </c>
      <c r="E4022">
        <f>MONTH(OrdersTable[[#This Row],[Order Date]])</f>
        <v>10</v>
      </c>
      <c r="F4022" t="s">
        <v>372</v>
      </c>
      <c r="G4022" t="str">
        <f>IF(OrdersTable[[#This Row],[Order Date]]=_xlfn.MINIFS(Order_Date, Customer_ID, OrdersTable[[#This Row],[Customer ID]]), "New", "Repeat")</f>
        <v>Repeat</v>
      </c>
      <c r="H4022" t="s">
        <v>128</v>
      </c>
      <c r="I4022" t="str">
        <f>INDEX(State!B:B,MATCH(OrdersTable[[#This Row],[State]],State!A:A,0))</f>
        <v>DL</v>
      </c>
      <c r="J4022" t="str">
        <f>INDEX(State!C:C,MATCH(OrdersTable[[#This Row],[State Code]],State!B:B,0))</f>
        <v>North</v>
      </c>
      <c r="K4022" t="s">
        <v>129</v>
      </c>
      <c r="L4022" t="s">
        <v>23</v>
      </c>
      <c r="M4022" t="s">
        <v>73</v>
      </c>
      <c r="N4022" t="str">
        <f>INDEX(Products!B:B,MATCH(OrdersTable[[#This Row],[Product ID]],Products!A:A,0))</f>
        <v>Hydrating Face Wash</v>
      </c>
      <c r="O4022" t="str">
        <f>INDEX(Products!C:C,MATCH(OrdersTable[[#This Row],[Product ID]],Products!A:A,0))</f>
        <v>Skincare</v>
      </c>
      <c r="P4022">
        <v>1</v>
      </c>
      <c r="Q4022" s="5">
        <v>299</v>
      </c>
      <c r="R4022" s="74">
        <v>0.1</v>
      </c>
      <c r="S4022" s="75">
        <f>OrdersTable[[#This Row],[Quantity]]*OrdersTable[[#This Row],[Unit Price]]</f>
        <v>299</v>
      </c>
      <c r="T4022" s="5">
        <f>OrdersTable[[#This Row],[Gross Sale]]*OrdersTable[[#This Row],[Discount_Clean2]]</f>
        <v>29.900000000000002</v>
      </c>
      <c r="U4022" s="5">
        <f>OrdersTable[[#This Row],[Gross Sale]]-OrdersTable[[#This Row],[Discount Amount]]</f>
        <v>269.10000000000002</v>
      </c>
      <c r="V4022" s="77">
        <f>INDEX(Products!E:E,MATCH(OrdersTable[[#This Row],[Product ID]],Products!A:A,0))</f>
        <v>90</v>
      </c>
      <c r="W4022" s="77">
        <f>OrdersTable[[#This Row],[Quantity]]*OrdersTable[[#This Row],[Unit Cost]]</f>
        <v>90</v>
      </c>
      <c r="X4022" s="77">
        <f>'Dropdown Lists'!$I$2*(1+OrdersTable[[#This Row],[Returned]])</f>
        <v>60</v>
      </c>
      <c r="Y4022" s="76">
        <f>OrdersTable[[#This Row],[Net Revenue]]-OrdersTable[[#This Row],[COGS]]-OrdersTable[[#This Row],[Shipping Cost]]</f>
        <v>119.10000000000002</v>
      </c>
      <c r="Z4022" s="78">
        <f>IFERROR(OrdersTable[[#This Row],[Profit]]/OrdersTable[[#This Row],[Net Revenue]],0)</f>
        <v>0.4425863991081383</v>
      </c>
      <c r="AA4022" t="s">
        <v>2522</v>
      </c>
      <c r="AB4022" s="79">
        <v>45936</v>
      </c>
      <c r="AC4022">
        <f>OrdersTable[[#This Row],[Delivery Date]]-OrdersTable[[#This Row],[Order Date]]</f>
        <v>2</v>
      </c>
      <c r="AD4022" t="str">
        <f>IF(OrdersTable[[#This Row],[Delivery Days]]&lt;=2, "Express (≤2d)", IF(OrdersTable[[#This Row],[Delivery Days]]&lt;=4, "Standard (3-4d)", "Delayed (5d+)"))</f>
        <v>Express (≤2d)</v>
      </c>
      <c r="AE4022">
        <v>3</v>
      </c>
      <c r="AF4022">
        <v>0</v>
      </c>
    </row>
    <row r="4023" spans="1:32" ht="15" x14ac:dyDescent="0.35">
      <c r="A4023" t="s">
        <v>4069</v>
      </c>
      <c r="B4023" s="1">
        <v>45934</v>
      </c>
      <c r="C4023">
        <f>YEAR(OrdersTable[[#This Row],[Order Date]])</f>
        <v>2025</v>
      </c>
      <c r="D4023" s="2">
        <f>DATE(YEAR(OrdersTable[[#This Row],[Order Date]]),MONTH(OrdersTable[[#This Row],[Order Date]]),1)</f>
        <v>45931</v>
      </c>
      <c r="E4023">
        <f>MONTH(OrdersTable[[#This Row],[Order Date]])</f>
        <v>10</v>
      </c>
      <c r="F4023" t="s">
        <v>4070</v>
      </c>
      <c r="G4023" t="str">
        <f>IF(OrdersTable[[#This Row],[Order Date]]=_xlfn.MINIFS(Order_Date, Customer_ID, OrdersTable[[#This Row],[Customer ID]]), "New", "Repeat")</f>
        <v>Repeat</v>
      </c>
      <c r="H4023" t="s">
        <v>37</v>
      </c>
      <c r="I4023" t="str">
        <f>INDEX(State!B:B,MATCH(OrdersTable[[#This Row],[State]],State!A:A,0))</f>
        <v>GJ</v>
      </c>
      <c r="J4023" t="str">
        <f>INDEX(State!C:C,MATCH(OrdersTable[[#This Row],[State Code]],State!B:B,0))</f>
        <v>West</v>
      </c>
      <c r="K4023" t="s">
        <v>247</v>
      </c>
      <c r="L4023" t="s">
        <v>39</v>
      </c>
      <c r="M4023" t="s">
        <v>106</v>
      </c>
      <c r="N4023" t="str">
        <f>INDEX(Products!B:B,MATCH(OrdersTable[[#This Row],[Product ID]],Products!A:A,0))</f>
        <v>Keratin Hair Mask</v>
      </c>
      <c r="O4023" t="str">
        <f>INDEX(Products!C:C,MATCH(OrdersTable[[#This Row],[Product ID]],Products!A:A,0))</f>
        <v>Haircare</v>
      </c>
      <c r="P4023">
        <v>1</v>
      </c>
      <c r="Q4023" s="5">
        <v>549</v>
      </c>
      <c r="R4023" s="74">
        <v>0.2</v>
      </c>
      <c r="S4023" s="75">
        <f>OrdersTable[[#This Row],[Quantity]]*OrdersTable[[#This Row],[Unit Price]]</f>
        <v>549</v>
      </c>
      <c r="T4023" s="5">
        <f>OrdersTable[[#This Row],[Gross Sale]]*OrdersTable[[#This Row],[Discount_Clean2]]</f>
        <v>109.80000000000001</v>
      </c>
      <c r="U4023" s="5">
        <f>OrdersTable[[#This Row],[Gross Sale]]-OrdersTable[[#This Row],[Discount Amount]]</f>
        <v>439.2</v>
      </c>
      <c r="V4023" s="77">
        <f>INDEX(Products!E:E,MATCH(OrdersTable[[#This Row],[Product ID]],Products!A:A,0))</f>
        <v>170</v>
      </c>
      <c r="W4023" s="77">
        <f>OrdersTable[[#This Row],[Quantity]]*OrdersTable[[#This Row],[Unit Cost]]</f>
        <v>170</v>
      </c>
      <c r="X4023" s="77">
        <f>'Dropdown Lists'!$I$2*(1+OrdersTable[[#This Row],[Returned]])</f>
        <v>60</v>
      </c>
      <c r="Y4023" s="76">
        <f>OrdersTable[[#This Row],[Net Revenue]]-OrdersTable[[#This Row],[COGS]]-OrdersTable[[#This Row],[Shipping Cost]]</f>
        <v>209.2</v>
      </c>
      <c r="Z4023" s="78">
        <f>IFERROR(OrdersTable[[#This Row],[Profit]]/OrdersTable[[#This Row],[Net Revenue]],0)</f>
        <v>0.47632058287795992</v>
      </c>
      <c r="AA4023" t="s">
        <v>3495</v>
      </c>
      <c r="AB4023" s="79">
        <v>45939</v>
      </c>
      <c r="AC4023">
        <f>OrdersTable[[#This Row],[Delivery Date]]-OrdersTable[[#This Row],[Order Date]]</f>
        <v>5</v>
      </c>
      <c r="AD4023" t="str">
        <f>IF(OrdersTable[[#This Row],[Delivery Days]]&lt;=2, "Express (≤2d)", IF(OrdersTable[[#This Row],[Delivery Days]]&lt;=4, "Standard (3-4d)", "Delayed (5d+)"))</f>
        <v>Delayed (5d+)</v>
      </c>
      <c r="AE4023">
        <v>2</v>
      </c>
      <c r="AF4023">
        <v>0</v>
      </c>
    </row>
    <row r="4024" spans="1:32" ht="15" x14ac:dyDescent="0.35">
      <c r="A4024" t="s">
        <v>6622</v>
      </c>
      <c r="B4024" s="1">
        <v>45934</v>
      </c>
      <c r="C4024">
        <f>YEAR(OrdersTable[[#This Row],[Order Date]])</f>
        <v>2025</v>
      </c>
      <c r="D4024" s="2">
        <f>DATE(YEAR(OrdersTable[[#This Row],[Order Date]]),MONTH(OrdersTable[[#This Row],[Order Date]]),1)</f>
        <v>45931</v>
      </c>
      <c r="E4024">
        <f>MONTH(OrdersTable[[#This Row],[Order Date]])</f>
        <v>10</v>
      </c>
      <c r="F4024" t="s">
        <v>2439</v>
      </c>
      <c r="G4024" t="str">
        <f>IF(OrdersTable[[#This Row],[Order Date]]=_xlfn.MINIFS(Order_Date, Customer_ID, OrdersTable[[#This Row],[Customer ID]]), "New", "Repeat")</f>
        <v>Repeat</v>
      </c>
      <c r="H4024" t="s">
        <v>37</v>
      </c>
      <c r="I4024" t="str">
        <f>INDEX(State!B:B,MATCH(OrdersTable[[#This Row],[State]],State!A:A,0))</f>
        <v>GJ</v>
      </c>
      <c r="J4024" t="str">
        <f>INDEX(State!C:C,MATCH(OrdersTable[[#This Row],[State Code]],State!B:B,0))</f>
        <v>West</v>
      </c>
      <c r="K4024" t="s">
        <v>247</v>
      </c>
      <c r="L4024" t="s">
        <v>39</v>
      </c>
      <c r="M4024" t="s">
        <v>24</v>
      </c>
      <c r="N4024" t="str">
        <f>INDEX(Products!B:B,MATCH(OrdersTable[[#This Row],[Product ID]],Products!A:A,0))</f>
        <v>Scented Candle Set</v>
      </c>
      <c r="O4024" t="str">
        <f>INDEX(Products!C:C,MATCH(OrdersTable[[#This Row],[Product ID]],Products!A:A,0))</f>
        <v>Home &amp; Kitchen</v>
      </c>
      <c r="P4024">
        <v>3</v>
      </c>
      <c r="Q4024" s="5">
        <v>699</v>
      </c>
      <c r="R4024" s="74">
        <v>0.3</v>
      </c>
      <c r="S4024" s="75">
        <f>OrdersTable[[#This Row],[Quantity]]*OrdersTable[[#This Row],[Unit Price]]</f>
        <v>2097</v>
      </c>
      <c r="T4024" s="5">
        <f>OrdersTable[[#This Row],[Gross Sale]]*OrdersTable[[#This Row],[Discount_Clean2]]</f>
        <v>629.1</v>
      </c>
      <c r="U4024" s="5">
        <f>OrdersTable[[#This Row],[Gross Sale]]-OrdersTable[[#This Row],[Discount Amount]]</f>
        <v>1467.9</v>
      </c>
      <c r="V4024" s="77">
        <f>INDEX(Products!E:E,MATCH(OrdersTable[[#This Row],[Product ID]],Products!A:A,0))</f>
        <v>245</v>
      </c>
      <c r="W4024" s="77">
        <f>OrdersTable[[#This Row],[Quantity]]*OrdersTable[[#This Row],[Unit Cost]]</f>
        <v>735</v>
      </c>
      <c r="X4024" s="77">
        <f>'Dropdown Lists'!$I$2*(1+OrdersTable[[#This Row],[Returned]])</f>
        <v>60</v>
      </c>
      <c r="Y4024" s="76">
        <f>OrdersTable[[#This Row],[Net Revenue]]-OrdersTable[[#This Row],[COGS]]-OrdersTable[[#This Row],[Shipping Cost]]</f>
        <v>672.90000000000009</v>
      </c>
      <c r="Z4024" s="78">
        <f>IFERROR(OrdersTable[[#This Row],[Profit]]/OrdersTable[[#This Row],[Net Revenue]],0)</f>
        <v>0.45840997343143269</v>
      </c>
      <c r="AA4024" t="s">
        <v>18</v>
      </c>
      <c r="AB4024" s="79">
        <v>45938</v>
      </c>
      <c r="AC4024">
        <f>OrdersTable[[#This Row],[Delivery Date]]-OrdersTable[[#This Row],[Order Date]]</f>
        <v>4</v>
      </c>
      <c r="AD4024" t="str">
        <f>IF(OrdersTable[[#This Row],[Delivery Days]]&lt;=2, "Express (≤2d)", IF(OrdersTable[[#This Row],[Delivery Days]]&lt;=4, "Standard (3-4d)", "Delayed (5d+)"))</f>
        <v>Standard (3-4d)</v>
      </c>
      <c r="AE4024">
        <v>5</v>
      </c>
      <c r="AF4024">
        <v>0</v>
      </c>
    </row>
    <row r="4025" spans="1:32" ht="15" x14ac:dyDescent="0.35">
      <c r="A4025" t="s">
        <v>5829</v>
      </c>
      <c r="B4025" s="1">
        <v>45934</v>
      </c>
      <c r="C4025">
        <f>YEAR(OrdersTable[[#This Row],[Order Date]])</f>
        <v>2025</v>
      </c>
      <c r="D4025" s="2">
        <f>DATE(YEAR(OrdersTable[[#This Row],[Order Date]]),MONTH(OrdersTable[[#This Row],[Order Date]]),1)</f>
        <v>45931</v>
      </c>
      <c r="E4025">
        <f>MONTH(OrdersTable[[#This Row],[Order Date]])</f>
        <v>10</v>
      </c>
      <c r="F4025" t="s">
        <v>2426</v>
      </c>
      <c r="G4025" t="str">
        <f>IF(OrdersTable[[#This Row],[Order Date]]=_xlfn.MINIFS(Order_Date, Customer_ID, OrdersTable[[#This Row],[Customer ID]]), "New", "Repeat")</f>
        <v>Repeat</v>
      </c>
      <c r="H4025" t="s">
        <v>37</v>
      </c>
      <c r="I4025" t="str">
        <f>INDEX(State!B:B,MATCH(OrdersTable[[#This Row],[State]],State!A:A,0))</f>
        <v>GJ</v>
      </c>
      <c r="J4025" t="str">
        <f>INDEX(State!C:C,MATCH(OrdersTable[[#This Row],[State Code]],State!B:B,0))</f>
        <v>West</v>
      </c>
      <c r="K4025" t="s">
        <v>38</v>
      </c>
      <c r="L4025" t="s">
        <v>39</v>
      </c>
      <c r="M4025" t="s">
        <v>109</v>
      </c>
      <c r="N4025" t="str">
        <f>INDEX(Products!B:B,MATCH(OrdersTable[[#This Row],[Product ID]],Products!A:A,0))</f>
        <v>Onion Hair Oil</v>
      </c>
      <c r="O4025" t="str">
        <f>INDEX(Products!C:C,MATCH(OrdersTable[[#This Row],[Product ID]],Products!A:A,0))</f>
        <v>Haircare</v>
      </c>
      <c r="P4025">
        <v>2</v>
      </c>
      <c r="Q4025" s="5">
        <v>349</v>
      </c>
      <c r="R4025" s="74">
        <v>0.35</v>
      </c>
      <c r="S4025" s="75">
        <f>OrdersTable[[#This Row],[Quantity]]*OrdersTable[[#This Row],[Unit Price]]</f>
        <v>698</v>
      </c>
      <c r="T4025" s="5">
        <f>OrdersTable[[#This Row],[Gross Sale]]*OrdersTable[[#This Row],[Discount_Clean2]]</f>
        <v>244.29999999999998</v>
      </c>
      <c r="U4025" s="5">
        <f>OrdersTable[[#This Row],[Gross Sale]]-OrdersTable[[#This Row],[Discount Amount]]</f>
        <v>453.70000000000005</v>
      </c>
      <c r="V4025" s="77">
        <f>INDEX(Products!E:E,MATCH(OrdersTable[[#This Row],[Product ID]],Products!A:A,0))</f>
        <v>105</v>
      </c>
      <c r="W4025" s="77">
        <f>OrdersTable[[#This Row],[Quantity]]*OrdersTable[[#This Row],[Unit Cost]]</f>
        <v>210</v>
      </c>
      <c r="X4025" s="77">
        <f>'Dropdown Lists'!$I$2*(1+OrdersTable[[#This Row],[Returned]])</f>
        <v>60</v>
      </c>
      <c r="Y4025" s="76">
        <f>OrdersTable[[#This Row],[Net Revenue]]-OrdersTable[[#This Row],[COGS]]-OrdersTable[[#This Row],[Shipping Cost]]</f>
        <v>183.70000000000005</v>
      </c>
      <c r="Z4025" s="78">
        <f>IFERROR(OrdersTable[[#This Row],[Profit]]/OrdersTable[[#This Row],[Net Revenue]],0)</f>
        <v>0.40489310116817284</v>
      </c>
      <c r="AA4025" t="s">
        <v>18</v>
      </c>
      <c r="AB4025" s="79">
        <v>45936</v>
      </c>
      <c r="AC4025">
        <f>OrdersTable[[#This Row],[Delivery Date]]-OrdersTable[[#This Row],[Order Date]]</f>
        <v>2</v>
      </c>
      <c r="AD4025" t="str">
        <f>IF(OrdersTable[[#This Row],[Delivery Days]]&lt;=2, "Express (≤2d)", IF(OrdersTable[[#This Row],[Delivery Days]]&lt;=4, "Standard (3-4d)", "Delayed (5d+)"))</f>
        <v>Express (≤2d)</v>
      </c>
      <c r="AE4025">
        <v>5</v>
      </c>
      <c r="AF4025">
        <v>0</v>
      </c>
    </row>
    <row r="4026" spans="1:32" ht="15" x14ac:dyDescent="0.35">
      <c r="A4026" t="s">
        <v>5038</v>
      </c>
      <c r="B4026" s="1">
        <v>45934</v>
      </c>
      <c r="C4026">
        <f>YEAR(OrdersTable[[#This Row],[Order Date]])</f>
        <v>2025</v>
      </c>
      <c r="D4026" s="2">
        <f>DATE(YEAR(OrdersTable[[#This Row],[Order Date]]),MONTH(OrdersTable[[#This Row],[Order Date]]),1)</f>
        <v>45931</v>
      </c>
      <c r="E4026">
        <f>MONTH(OrdersTable[[#This Row],[Order Date]])</f>
        <v>10</v>
      </c>
      <c r="F4026" t="s">
        <v>5039</v>
      </c>
      <c r="G4026" t="str">
        <f>IF(OrdersTable[[#This Row],[Order Date]]=_xlfn.MINIFS(Order_Date, Customer_ID, OrdersTable[[#This Row],[Customer ID]]), "New", "Repeat")</f>
        <v>New</v>
      </c>
      <c r="H4026" t="s">
        <v>43</v>
      </c>
      <c r="I4026" t="str">
        <f>INDEX(State!B:B,MATCH(OrdersTable[[#This Row],[State]],State!A:A,0))</f>
        <v>MP</v>
      </c>
      <c r="J4026" t="str">
        <f>INDEX(State!C:C,MATCH(OrdersTable[[#This Row],[State Code]],State!B:B,0))</f>
        <v>West</v>
      </c>
      <c r="K4026" t="s">
        <v>250</v>
      </c>
      <c r="L4026" t="s">
        <v>50</v>
      </c>
      <c r="M4026" t="s">
        <v>78</v>
      </c>
      <c r="N4026" t="str">
        <f>INDEX(Products!B:B,MATCH(OrdersTable[[#This Row],[Product ID]],Products!A:A,0))</f>
        <v>Retinol Night Cream</v>
      </c>
      <c r="O4026" t="str">
        <f>INDEX(Products!C:C,MATCH(OrdersTable[[#This Row],[Product ID]],Products!A:A,0))</f>
        <v>Skincare</v>
      </c>
      <c r="P4026">
        <v>2</v>
      </c>
      <c r="Q4026" s="5">
        <v>799</v>
      </c>
      <c r="R4026" s="74">
        <v>0.3</v>
      </c>
      <c r="S4026" s="75">
        <f>OrdersTable[[#This Row],[Quantity]]*OrdersTable[[#This Row],[Unit Price]]</f>
        <v>1598</v>
      </c>
      <c r="T4026" s="5">
        <f>OrdersTable[[#This Row],[Gross Sale]]*OrdersTable[[#This Row],[Discount_Clean2]]</f>
        <v>479.4</v>
      </c>
      <c r="U4026" s="5">
        <f>OrdersTable[[#This Row],[Gross Sale]]-OrdersTable[[#This Row],[Discount Amount]]</f>
        <v>1118.5999999999999</v>
      </c>
      <c r="V4026" s="77">
        <f>INDEX(Products!E:E,MATCH(OrdersTable[[#This Row],[Product ID]],Products!A:A,0))</f>
        <v>216</v>
      </c>
      <c r="W4026" s="77">
        <f>OrdersTable[[#This Row],[Quantity]]*OrdersTable[[#This Row],[Unit Cost]]</f>
        <v>432</v>
      </c>
      <c r="X4026" s="77">
        <f>'Dropdown Lists'!$I$2*(1+OrdersTable[[#This Row],[Returned]])</f>
        <v>60</v>
      </c>
      <c r="Y4026" s="76">
        <f>OrdersTable[[#This Row],[Net Revenue]]-OrdersTable[[#This Row],[COGS]]-OrdersTable[[#This Row],[Shipping Cost]]</f>
        <v>626.59999999999991</v>
      </c>
      <c r="Z4026" s="78">
        <f>IFERROR(OrdersTable[[#This Row],[Profit]]/OrdersTable[[#This Row],[Net Revenue]],0)</f>
        <v>0.56016449132844626</v>
      </c>
      <c r="AA4026" t="s">
        <v>4074</v>
      </c>
      <c r="AB4026" s="79">
        <v>45938</v>
      </c>
      <c r="AC4026">
        <f>OrdersTable[[#This Row],[Delivery Date]]-OrdersTable[[#This Row],[Order Date]]</f>
        <v>4</v>
      </c>
      <c r="AD4026" t="str">
        <f>IF(OrdersTable[[#This Row],[Delivery Days]]&lt;=2, "Express (≤2d)", IF(OrdersTable[[#This Row],[Delivery Days]]&lt;=4, "Standard (3-4d)", "Delayed (5d+)"))</f>
        <v>Standard (3-4d)</v>
      </c>
      <c r="AF4026">
        <v>0</v>
      </c>
    </row>
    <row r="4027" spans="1:32" ht="15" x14ac:dyDescent="0.35">
      <c r="A4027" t="s">
        <v>679</v>
      </c>
      <c r="B4027" s="1">
        <v>45934</v>
      </c>
      <c r="C4027">
        <f>YEAR(OrdersTable[[#This Row],[Order Date]])</f>
        <v>2025</v>
      </c>
      <c r="D4027" s="2">
        <f>DATE(YEAR(OrdersTable[[#This Row],[Order Date]]),MONTH(OrdersTable[[#This Row],[Order Date]]),1)</f>
        <v>45931</v>
      </c>
      <c r="E4027">
        <f>MONTH(OrdersTable[[#This Row],[Order Date]])</f>
        <v>10</v>
      </c>
      <c r="F4027" t="s">
        <v>680</v>
      </c>
      <c r="G4027" t="str">
        <f>IF(OrdersTable[[#This Row],[Order Date]]=_xlfn.MINIFS(Order_Date, Customer_ID, OrdersTable[[#This Row],[Customer ID]]), "New", "Repeat")</f>
        <v>New</v>
      </c>
      <c r="H4027" t="s">
        <v>482</v>
      </c>
      <c r="I4027" t="str">
        <f>INDEX(State!B:B,MATCH(OrdersTable[[#This Row],[State]],State!A:A,0))</f>
        <v>CG</v>
      </c>
      <c r="J4027" t="str">
        <f>INDEX(State!C:C,MATCH(OrdersTable[[#This Row],[State Code]],State!B:B,0))</f>
        <v>East</v>
      </c>
      <c r="K4027" t="s">
        <v>483</v>
      </c>
      <c r="L4027" t="s">
        <v>16</v>
      </c>
      <c r="M4027" t="s">
        <v>92</v>
      </c>
      <c r="N4027" t="str">
        <f>INDEX(Products!B:B,MATCH(OrdersTable[[#This Row],[Product ID]],Products!A:A,0))</f>
        <v>Kolhapuri Sandals</v>
      </c>
      <c r="O4027" t="str">
        <f>INDEX(Products!C:C,MATCH(OrdersTable[[#This Row],[Product ID]],Products!A:A,0))</f>
        <v>Footwear</v>
      </c>
      <c r="P4027">
        <v>1</v>
      </c>
      <c r="Q4027" s="5">
        <v>999</v>
      </c>
      <c r="R4027" s="74">
        <v>0.25</v>
      </c>
      <c r="S4027" s="75">
        <f>OrdersTable[[#This Row],[Quantity]]*OrdersTable[[#This Row],[Unit Price]]</f>
        <v>999</v>
      </c>
      <c r="T4027" s="5">
        <f>OrdersTable[[#This Row],[Gross Sale]]*OrdersTable[[#This Row],[Discount_Clean2]]</f>
        <v>249.75</v>
      </c>
      <c r="U4027" s="5">
        <f>OrdersTable[[#This Row],[Gross Sale]]-OrdersTable[[#This Row],[Discount Amount]]</f>
        <v>749.25</v>
      </c>
      <c r="V4027" s="77">
        <f>INDEX(Products!E:E,MATCH(OrdersTable[[#This Row],[Product ID]],Products!A:A,0))</f>
        <v>400</v>
      </c>
      <c r="W4027" s="77">
        <f>OrdersTable[[#This Row],[Quantity]]*OrdersTable[[#This Row],[Unit Cost]]</f>
        <v>400</v>
      </c>
      <c r="X4027" s="77">
        <f>'Dropdown Lists'!$I$2*(1+OrdersTable[[#This Row],[Returned]])</f>
        <v>60</v>
      </c>
      <c r="Y4027" s="76">
        <f>OrdersTable[[#This Row],[Net Revenue]]-OrdersTable[[#This Row],[COGS]]-OrdersTable[[#This Row],[Shipping Cost]]</f>
        <v>289.25</v>
      </c>
      <c r="Z4027" s="78">
        <f>IFERROR(OrdersTable[[#This Row],[Profit]]/OrdersTable[[#This Row],[Net Revenue]],0)</f>
        <v>0.38605271938605273</v>
      </c>
      <c r="AA4027" t="s">
        <v>18</v>
      </c>
      <c r="AB4027" s="79">
        <v>45939</v>
      </c>
      <c r="AC4027">
        <f>OrdersTable[[#This Row],[Delivery Date]]-OrdersTable[[#This Row],[Order Date]]</f>
        <v>5</v>
      </c>
      <c r="AD4027" t="str">
        <f>IF(OrdersTable[[#This Row],[Delivery Days]]&lt;=2, "Express (≤2d)", IF(OrdersTable[[#This Row],[Delivery Days]]&lt;=4, "Standard (3-4d)", "Delayed (5d+)"))</f>
        <v>Delayed (5d+)</v>
      </c>
      <c r="AE4027">
        <v>4</v>
      </c>
      <c r="AF4027">
        <v>0</v>
      </c>
    </row>
    <row r="4028" spans="1:32" ht="15" x14ac:dyDescent="0.35">
      <c r="A4028" t="s">
        <v>1300</v>
      </c>
      <c r="B4028" s="1">
        <v>45934</v>
      </c>
      <c r="C4028">
        <f>YEAR(OrdersTable[[#This Row],[Order Date]])</f>
        <v>2025</v>
      </c>
      <c r="D4028" s="2">
        <f>DATE(YEAR(OrdersTable[[#This Row],[Order Date]]),MONTH(OrdersTable[[#This Row],[Order Date]]),1)</f>
        <v>45931</v>
      </c>
      <c r="E4028">
        <f>MONTH(OrdersTable[[#This Row],[Order Date]])</f>
        <v>10</v>
      </c>
      <c r="F4028" t="s">
        <v>1301</v>
      </c>
      <c r="G4028" t="str">
        <f>IF(OrdersTable[[#This Row],[Order Date]]=_xlfn.MINIFS(Order_Date, Customer_ID, OrdersTable[[#This Row],[Customer ID]]), "New", "Repeat")</f>
        <v>Repeat</v>
      </c>
      <c r="H4028" t="s">
        <v>71</v>
      </c>
      <c r="I4028" t="str">
        <f>INDEX(State!B:B,MATCH(OrdersTable[[#This Row],[State]],State!A:A,0))</f>
        <v>MH</v>
      </c>
      <c r="J4028" t="str">
        <f>INDEX(State!C:C,MATCH(OrdersTable[[#This Row],[State Code]],State!B:B,0))</f>
        <v>West</v>
      </c>
      <c r="K4028" t="s">
        <v>81</v>
      </c>
      <c r="L4028" t="s">
        <v>16</v>
      </c>
      <c r="M4028" t="s">
        <v>176</v>
      </c>
      <c r="N4028" t="str">
        <f>INDEX(Products!B:B,MATCH(OrdersTable[[#This Row],[Product ID]],Products!A:A,0))</f>
        <v>Denim Jacket</v>
      </c>
      <c r="O4028" t="str">
        <f>INDEX(Products!C:C,MATCH(OrdersTable[[#This Row],[Product ID]],Products!A:A,0))</f>
        <v>Apparel</v>
      </c>
      <c r="P4028">
        <v>1</v>
      </c>
      <c r="Q4028" s="5">
        <v>2499</v>
      </c>
      <c r="R4028" s="74">
        <v>0.1</v>
      </c>
      <c r="S4028" s="75">
        <f>OrdersTable[[#This Row],[Quantity]]*OrdersTable[[#This Row],[Unit Price]]</f>
        <v>2499</v>
      </c>
      <c r="T4028" s="5">
        <f>OrdersTable[[#This Row],[Gross Sale]]*OrdersTable[[#This Row],[Discount_Clean2]]</f>
        <v>249.9</v>
      </c>
      <c r="U4028" s="5">
        <f>OrdersTable[[#This Row],[Gross Sale]]-OrdersTable[[#This Row],[Discount Amount]]</f>
        <v>2249.1</v>
      </c>
      <c r="V4028" s="77">
        <f>INDEX(Products!E:E,MATCH(OrdersTable[[#This Row],[Product ID]],Products!A:A,0))</f>
        <v>1125</v>
      </c>
      <c r="W4028" s="77">
        <f>OrdersTable[[#This Row],[Quantity]]*OrdersTable[[#This Row],[Unit Cost]]</f>
        <v>1125</v>
      </c>
      <c r="X4028" s="77">
        <f>'Dropdown Lists'!$I$2*(1+OrdersTable[[#This Row],[Returned]])</f>
        <v>60</v>
      </c>
      <c r="Y4028" s="76">
        <f>OrdersTable[[#This Row],[Net Revenue]]-OrdersTable[[#This Row],[COGS]]-OrdersTable[[#This Row],[Shipping Cost]]</f>
        <v>1064.0999999999999</v>
      </c>
      <c r="Z4028" s="78">
        <f>IFERROR(OrdersTable[[#This Row],[Profit]]/OrdersTable[[#This Row],[Net Revenue]],0)</f>
        <v>0.4731225823662798</v>
      </c>
      <c r="AA4028" t="s">
        <v>18</v>
      </c>
      <c r="AB4028" s="79">
        <v>45936</v>
      </c>
      <c r="AC4028">
        <f>OrdersTable[[#This Row],[Delivery Date]]-OrdersTable[[#This Row],[Order Date]]</f>
        <v>2</v>
      </c>
      <c r="AD4028" t="str">
        <f>IF(OrdersTable[[#This Row],[Delivery Days]]&lt;=2, "Express (≤2d)", IF(OrdersTable[[#This Row],[Delivery Days]]&lt;=4, "Standard (3-4d)", "Delayed (5d+)"))</f>
        <v>Express (≤2d)</v>
      </c>
      <c r="AF4028">
        <v>0</v>
      </c>
    </row>
    <row r="4029" spans="1:32" ht="15" x14ac:dyDescent="0.35">
      <c r="A4029" t="s">
        <v>5989</v>
      </c>
      <c r="B4029" s="1">
        <v>45934</v>
      </c>
      <c r="C4029">
        <f>YEAR(OrdersTable[[#This Row],[Order Date]])</f>
        <v>2025</v>
      </c>
      <c r="D4029" s="2">
        <f>DATE(YEAR(OrdersTable[[#This Row],[Order Date]]),MONTH(OrdersTable[[#This Row],[Order Date]]),1)</f>
        <v>45931</v>
      </c>
      <c r="E4029">
        <f>MONTH(OrdersTable[[#This Row],[Order Date]])</f>
        <v>10</v>
      </c>
      <c r="F4029" t="s">
        <v>5990</v>
      </c>
      <c r="G4029" t="str">
        <f>IF(OrdersTable[[#This Row],[Order Date]]=_xlfn.MINIFS(Order_Date, Customer_ID, OrdersTable[[#This Row],[Customer ID]]), "New", "Repeat")</f>
        <v>New</v>
      </c>
      <c r="H4029" t="s">
        <v>14</v>
      </c>
      <c r="I4029" t="str">
        <f>INDEX(State!B:B,MATCH(OrdersTable[[#This Row],[State]],State!A:A,0))</f>
        <v>OD</v>
      </c>
      <c r="J4029" t="str">
        <f>INDEX(State!C:C,MATCH(OrdersTable[[#This Row],[State Code]],State!B:B,0))</f>
        <v>East</v>
      </c>
      <c r="K4029" t="s">
        <v>15</v>
      </c>
      <c r="L4029" t="s">
        <v>23</v>
      </c>
      <c r="M4029" t="s">
        <v>66</v>
      </c>
      <c r="N4029" t="str">
        <f>INDEX(Products!B:B,MATCH(OrdersTable[[#This Row],[Product ID]],Products!A:A,0))</f>
        <v>Sunscreen SPF 50</v>
      </c>
      <c r="O4029" t="str">
        <f>INDEX(Products!C:C,MATCH(OrdersTable[[#This Row],[Product ID]],Products!A:A,0))</f>
        <v>Skincare</v>
      </c>
      <c r="P4029">
        <v>2</v>
      </c>
      <c r="Q4029" s="5">
        <v>449</v>
      </c>
      <c r="R4029" s="74">
        <v>0.2</v>
      </c>
      <c r="S4029" s="75">
        <f>OrdersTable[[#This Row],[Quantity]]*OrdersTable[[#This Row],[Unit Price]]</f>
        <v>898</v>
      </c>
      <c r="T4029" s="5">
        <f>OrdersTable[[#This Row],[Gross Sale]]*OrdersTable[[#This Row],[Discount_Clean2]]</f>
        <v>179.60000000000002</v>
      </c>
      <c r="U4029" s="5">
        <f>OrdersTable[[#This Row],[Gross Sale]]-OrdersTable[[#This Row],[Discount Amount]]</f>
        <v>718.4</v>
      </c>
      <c r="V4029" s="77">
        <f>INDEX(Products!E:E,MATCH(OrdersTable[[#This Row],[Product ID]],Products!A:A,0))</f>
        <v>144</v>
      </c>
      <c r="W4029" s="77">
        <f>OrdersTable[[#This Row],[Quantity]]*OrdersTable[[#This Row],[Unit Cost]]</f>
        <v>288</v>
      </c>
      <c r="X4029" s="77">
        <f>'Dropdown Lists'!$I$2*(1+OrdersTable[[#This Row],[Returned]])</f>
        <v>60</v>
      </c>
      <c r="Y4029" s="76">
        <f>OrdersTable[[#This Row],[Net Revenue]]-OrdersTable[[#This Row],[COGS]]-OrdersTable[[#This Row],[Shipping Cost]]</f>
        <v>370.4</v>
      </c>
      <c r="Z4029" s="78">
        <f>IFERROR(OrdersTable[[#This Row],[Profit]]/OrdersTable[[#This Row],[Net Revenue]],0)</f>
        <v>0.51559020044543424</v>
      </c>
      <c r="AA4029" t="s">
        <v>18</v>
      </c>
      <c r="AB4029" s="79">
        <v>45938</v>
      </c>
      <c r="AC4029">
        <f>OrdersTable[[#This Row],[Delivery Date]]-OrdersTable[[#This Row],[Order Date]]</f>
        <v>4</v>
      </c>
      <c r="AD4029" t="str">
        <f>IF(OrdersTable[[#This Row],[Delivery Days]]&lt;=2, "Express (≤2d)", IF(OrdersTable[[#This Row],[Delivery Days]]&lt;=4, "Standard (3-4d)", "Delayed (5d+)"))</f>
        <v>Standard (3-4d)</v>
      </c>
      <c r="AF4029">
        <v>0</v>
      </c>
    </row>
    <row r="4030" spans="1:32" ht="15" x14ac:dyDescent="0.35">
      <c r="A4030" t="s">
        <v>681</v>
      </c>
      <c r="B4030" s="1">
        <v>45934</v>
      </c>
      <c r="C4030">
        <f>YEAR(OrdersTable[[#This Row],[Order Date]])</f>
        <v>2025</v>
      </c>
      <c r="D4030" s="2">
        <f>DATE(YEAR(OrdersTable[[#This Row],[Order Date]]),MONTH(OrdersTable[[#This Row],[Order Date]]),1)</f>
        <v>45931</v>
      </c>
      <c r="E4030">
        <f>MONTH(OrdersTable[[#This Row],[Order Date]])</f>
        <v>10</v>
      </c>
      <c r="F4030" t="s">
        <v>682</v>
      </c>
      <c r="G4030" t="str">
        <f>IF(OrdersTable[[#This Row],[Order Date]]=_xlfn.MINIFS(Order_Date, Customer_ID, OrdersTable[[#This Row],[Customer ID]]), "New", "Repeat")</f>
        <v>Repeat</v>
      </c>
      <c r="H4030" t="s">
        <v>316</v>
      </c>
      <c r="I4030" t="str">
        <f>INDEX(State!B:B,MATCH(OrdersTable[[#This Row],[State]],State!A:A,0))</f>
        <v>KL</v>
      </c>
      <c r="J4030" t="str">
        <f>INDEX(State!C:C,MATCH(OrdersTable[[#This Row],[State Code]],State!B:B,0))</f>
        <v>South</v>
      </c>
      <c r="K4030" t="s">
        <v>317</v>
      </c>
      <c r="L4030" t="s">
        <v>65</v>
      </c>
      <c r="M4030" t="s">
        <v>73</v>
      </c>
      <c r="N4030" t="str">
        <f>INDEX(Products!B:B,MATCH(OrdersTable[[#This Row],[Product ID]],Products!A:A,0))</f>
        <v>Hydrating Face Wash</v>
      </c>
      <c r="O4030" t="str">
        <f>INDEX(Products!C:C,MATCH(OrdersTable[[#This Row],[Product ID]],Products!A:A,0))</f>
        <v>Skincare</v>
      </c>
      <c r="P4030">
        <v>1</v>
      </c>
      <c r="Q4030" s="5">
        <v>299</v>
      </c>
      <c r="R4030" s="74">
        <v>0.25</v>
      </c>
      <c r="S4030" s="75">
        <f>OrdersTable[[#This Row],[Quantity]]*OrdersTable[[#This Row],[Unit Price]]</f>
        <v>299</v>
      </c>
      <c r="T4030" s="5">
        <f>OrdersTable[[#This Row],[Gross Sale]]*OrdersTable[[#This Row],[Discount_Clean2]]</f>
        <v>74.75</v>
      </c>
      <c r="U4030" s="5">
        <f>OrdersTable[[#This Row],[Gross Sale]]-OrdersTable[[#This Row],[Discount Amount]]</f>
        <v>224.25</v>
      </c>
      <c r="V4030" s="77">
        <f>INDEX(Products!E:E,MATCH(OrdersTable[[#This Row],[Product ID]],Products!A:A,0))</f>
        <v>90</v>
      </c>
      <c r="W4030" s="77">
        <f>OrdersTable[[#This Row],[Quantity]]*OrdersTable[[#This Row],[Unit Cost]]</f>
        <v>90</v>
      </c>
      <c r="X4030" s="77">
        <f>'Dropdown Lists'!$I$2*(1+OrdersTable[[#This Row],[Returned]])</f>
        <v>60</v>
      </c>
      <c r="Y4030" s="76">
        <f>OrdersTable[[#This Row],[Net Revenue]]-OrdersTable[[#This Row],[COGS]]-OrdersTable[[#This Row],[Shipping Cost]]</f>
        <v>74.25</v>
      </c>
      <c r="Z4030" s="78">
        <f>IFERROR(OrdersTable[[#This Row],[Profit]]/OrdersTable[[#This Row],[Net Revenue]],0)</f>
        <v>0.33110367892976589</v>
      </c>
      <c r="AA4030" t="s">
        <v>18</v>
      </c>
      <c r="AB4030" s="79">
        <v>45936</v>
      </c>
      <c r="AC4030">
        <f>OrdersTable[[#This Row],[Delivery Date]]-OrdersTable[[#This Row],[Order Date]]</f>
        <v>2</v>
      </c>
      <c r="AD4030" t="str">
        <f>IF(OrdersTable[[#This Row],[Delivery Days]]&lt;=2, "Express (≤2d)", IF(OrdersTable[[#This Row],[Delivery Days]]&lt;=4, "Standard (3-4d)", "Delayed (5d+)"))</f>
        <v>Express (≤2d)</v>
      </c>
      <c r="AE4030">
        <v>4</v>
      </c>
      <c r="AF4030">
        <v>0</v>
      </c>
    </row>
    <row r="4031" spans="1:32" ht="15" x14ac:dyDescent="0.35">
      <c r="A4031" t="s">
        <v>6407</v>
      </c>
      <c r="B4031" s="1">
        <v>45934</v>
      </c>
      <c r="C4031">
        <f>YEAR(OrdersTable[[#This Row],[Order Date]])</f>
        <v>2025</v>
      </c>
      <c r="D4031" s="2">
        <f>DATE(YEAR(OrdersTable[[#This Row],[Order Date]]),MONTH(OrdersTable[[#This Row],[Order Date]]),1)</f>
        <v>45931</v>
      </c>
      <c r="E4031">
        <f>MONTH(OrdersTable[[#This Row],[Order Date]])</f>
        <v>10</v>
      </c>
      <c r="F4031" t="s">
        <v>2775</v>
      </c>
      <c r="G4031" t="str">
        <f>IF(OrdersTable[[#This Row],[Order Date]]=_xlfn.MINIFS(Order_Date, Customer_ID, OrdersTable[[#This Row],[Customer ID]]), "New", "Repeat")</f>
        <v>Repeat</v>
      </c>
      <c r="H4031" t="s">
        <v>59</v>
      </c>
      <c r="I4031" t="str">
        <f>INDEX(State!B:B,MATCH(OrdersTable[[#This Row],[State]],State!A:A,0))</f>
        <v>TN</v>
      </c>
      <c r="J4031" t="str">
        <f>INDEX(State!C:C,MATCH(OrdersTable[[#This Row],[State Code]],State!B:B,0))</f>
        <v>South</v>
      </c>
      <c r="K4031" t="s">
        <v>64</v>
      </c>
      <c r="L4031" t="s">
        <v>50</v>
      </c>
      <c r="M4031" t="s">
        <v>160</v>
      </c>
      <c r="N4031" t="str">
        <f>INDEX(Products!B:B,MATCH(OrdersTable[[#This Row],[Product ID]],Products!A:A,0))</f>
        <v>Niacinamide Toner</v>
      </c>
      <c r="O4031" t="str">
        <f>INDEX(Products!C:C,MATCH(OrdersTable[[#This Row],[Product ID]],Products!A:A,0))</f>
        <v>Skincare</v>
      </c>
      <c r="P4031">
        <v>2</v>
      </c>
      <c r="Q4031" s="5">
        <v>399</v>
      </c>
      <c r="R4031" s="74">
        <v>0.2</v>
      </c>
      <c r="S4031" s="75">
        <f>OrdersTable[[#This Row],[Quantity]]*OrdersTable[[#This Row],[Unit Price]]</f>
        <v>798</v>
      </c>
      <c r="T4031" s="5">
        <f>OrdersTable[[#This Row],[Gross Sale]]*OrdersTable[[#This Row],[Discount_Clean2]]</f>
        <v>159.60000000000002</v>
      </c>
      <c r="U4031" s="5">
        <f>OrdersTable[[#This Row],[Gross Sale]]-OrdersTable[[#This Row],[Discount Amount]]</f>
        <v>638.4</v>
      </c>
      <c r="V4031" s="77">
        <f>INDEX(Products!E:E,MATCH(OrdersTable[[#This Row],[Product ID]],Products!A:A,0))</f>
        <v>112</v>
      </c>
      <c r="W4031" s="77">
        <f>OrdersTable[[#This Row],[Quantity]]*OrdersTable[[#This Row],[Unit Cost]]</f>
        <v>224</v>
      </c>
      <c r="X4031" s="77">
        <f>'Dropdown Lists'!$I$2*(1+OrdersTable[[#This Row],[Returned]])</f>
        <v>60</v>
      </c>
      <c r="Y4031" s="76">
        <f>OrdersTable[[#This Row],[Net Revenue]]-OrdersTable[[#This Row],[COGS]]-OrdersTable[[#This Row],[Shipping Cost]]</f>
        <v>354.4</v>
      </c>
      <c r="Z4031" s="78">
        <f>IFERROR(OrdersTable[[#This Row],[Profit]]/OrdersTable[[#This Row],[Net Revenue]],0)</f>
        <v>0.55513784461152882</v>
      </c>
      <c r="AA4031" t="s">
        <v>18</v>
      </c>
      <c r="AB4031" s="79">
        <v>45938</v>
      </c>
      <c r="AC4031">
        <f>OrdersTable[[#This Row],[Delivery Date]]-OrdersTable[[#This Row],[Order Date]]</f>
        <v>4</v>
      </c>
      <c r="AD4031" t="str">
        <f>IF(OrdersTable[[#This Row],[Delivery Days]]&lt;=2, "Express (≤2d)", IF(OrdersTable[[#This Row],[Delivery Days]]&lt;=4, "Standard (3-4d)", "Delayed (5d+)"))</f>
        <v>Standard (3-4d)</v>
      </c>
      <c r="AE4031">
        <v>4</v>
      </c>
      <c r="AF4031">
        <v>0</v>
      </c>
    </row>
    <row r="4032" spans="1:32" ht="15" x14ac:dyDescent="0.35">
      <c r="A4032" t="s">
        <v>2838</v>
      </c>
      <c r="B4032" s="1">
        <v>45935</v>
      </c>
      <c r="C4032">
        <f>YEAR(OrdersTable[[#This Row],[Order Date]])</f>
        <v>2025</v>
      </c>
      <c r="D4032" s="2">
        <f>DATE(YEAR(OrdersTable[[#This Row],[Order Date]]),MONTH(OrdersTable[[#This Row],[Order Date]]),1)</f>
        <v>45931</v>
      </c>
      <c r="E4032">
        <f>MONTH(OrdersTable[[#This Row],[Order Date]])</f>
        <v>10</v>
      </c>
      <c r="F4032" t="s">
        <v>234</v>
      </c>
      <c r="G4032" t="str">
        <f>IF(OrdersTable[[#This Row],[Order Date]]=_xlfn.MINIFS(Order_Date, Customer_ID, OrdersTable[[#This Row],[Customer ID]]), "New", "Repeat")</f>
        <v>Repeat</v>
      </c>
      <c r="H4032" t="s">
        <v>158</v>
      </c>
      <c r="I4032" t="str">
        <f>INDEX(State!B:B,MATCH(OrdersTable[[#This Row],[State]],State!A:A,0))</f>
        <v>HP</v>
      </c>
      <c r="J4032" t="str">
        <f>INDEX(State!C:C,MATCH(OrdersTable[[#This Row],[State Code]],State!B:B,0))</f>
        <v>North</v>
      </c>
      <c r="K4032" t="s">
        <v>159</v>
      </c>
      <c r="L4032" t="s">
        <v>23</v>
      </c>
      <c r="M4032" t="s">
        <v>51</v>
      </c>
      <c r="N4032" t="str">
        <f>INDEX(Products!B:B,MATCH(OrdersTable[[#This Row],[Product ID]],Products!A:A,0))</f>
        <v>Anti-Dandruff Conditioner</v>
      </c>
      <c r="O4032" t="str">
        <f>INDEX(Products!C:C,MATCH(OrdersTable[[#This Row],[Product ID]],Products!A:A,0))</f>
        <v>Haircare</v>
      </c>
      <c r="P4032">
        <v>1</v>
      </c>
      <c r="Q4032" s="5">
        <v>399</v>
      </c>
      <c r="R4032" s="74">
        <v>0.6</v>
      </c>
      <c r="S4032" s="75">
        <f>OrdersTable[[#This Row],[Quantity]]*OrdersTable[[#This Row],[Unit Price]]</f>
        <v>399</v>
      </c>
      <c r="T4032" s="5">
        <f>OrdersTable[[#This Row],[Gross Sale]]*OrdersTable[[#This Row],[Discount_Clean2]]</f>
        <v>239.39999999999998</v>
      </c>
      <c r="U4032" s="5">
        <f>OrdersTable[[#This Row],[Gross Sale]]-OrdersTable[[#This Row],[Discount Amount]]</f>
        <v>159.60000000000002</v>
      </c>
      <c r="V4032" s="77">
        <f>INDEX(Products!E:E,MATCH(OrdersTable[[#This Row],[Product ID]],Products!A:A,0))</f>
        <v>136</v>
      </c>
      <c r="W4032" s="77">
        <f>OrdersTable[[#This Row],[Quantity]]*OrdersTable[[#This Row],[Unit Cost]]</f>
        <v>136</v>
      </c>
      <c r="X4032" s="77">
        <f>'Dropdown Lists'!$I$2*(1+OrdersTable[[#This Row],[Returned]])</f>
        <v>60</v>
      </c>
      <c r="Y4032" s="76">
        <f>OrdersTable[[#This Row],[Net Revenue]]-OrdersTable[[#This Row],[COGS]]-OrdersTable[[#This Row],[Shipping Cost]]</f>
        <v>-36.399999999999977</v>
      </c>
      <c r="Z4032" s="78">
        <f>IFERROR(OrdersTable[[#This Row],[Profit]]/OrdersTable[[#This Row],[Net Revenue]],0)</f>
        <v>-0.22807017543859631</v>
      </c>
      <c r="AA4032" t="s">
        <v>2522</v>
      </c>
      <c r="AB4032" s="79">
        <v>45941</v>
      </c>
      <c r="AC4032">
        <f>OrdersTable[[#This Row],[Delivery Date]]-OrdersTable[[#This Row],[Order Date]]</f>
        <v>6</v>
      </c>
      <c r="AD4032" t="str">
        <f>IF(OrdersTable[[#This Row],[Delivery Days]]&lt;=2, "Express (≤2d)", IF(OrdersTable[[#This Row],[Delivery Days]]&lt;=4, "Standard (3-4d)", "Delayed (5d+)"))</f>
        <v>Delayed (5d+)</v>
      </c>
      <c r="AE4032">
        <v>3</v>
      </c>
      <c r="AF4032">
        <v>0</v>
      </c>
    </row>
    <row r="4033" spans="1:32" ht="15" x14ac:dyDescent="0.35">
      <c r="A4033" t="s">
        <v>2660</v>
      </c>
      <c r="B4033" s="1">
        <v>45935</v>
      </c>
      <c r="C4033">
        <f>YEAR(OrdersTable[[#This Row],[Order Date]])</f>
        <v>2025</v>
      </c>
      <c r="D4033" s="2">
        <f>DATE(YEAR(OrdersTable[[#This Row],[Order Date]]),MONTH(OrdersTable[[#This Row],[Order Date]]),1)</f>
        <v>45931</v>
      </c>
      <c r="E4033">
        <f>MONTH(OrdersTable[[#This Row],[Order Date]])</f>
        <v>10</v>
      </c>
      <c r="F4033" t="s">
        <v>2014</v>
      </c>
      <c r="G4033" t="str">
        <f>IF(OrdersTable[[#This Row],[Order Date]]=_xlfn.MINIFS(Order_Date, Customer_ID, OrdersTable[[#This Row],[Customer ID]]), "New", "Repeat")</f>
        <v>Repeat</v>
      </c>
      <c r="H4033" t="s">
        <v>128</v>
      </c>
      <c r="I4033" t="str">
        <f>INDEX(State!B:B,MATCH(OrdersTable[[#This Row],[State]],State!A:A,0))</f>
        <v>DL</v>
      </c>
      <c r="J4033" t="str">
        <f>INDEX(State!C:C,MATCH(OrdersTable[[#This Row],[State Code]],State!B:B,0))</f>
        <v>North</v>
      </c>
      <c r="K4033" t="s">
        <v>129</v>
      </c>
      <c r="L4033" t="s">
        <v>50</v>
      </c>
      <c r="M4033" t="s">
        <v>73</v>
      </c>
      <c r="N4033" t="str">
        <f>INDEX(Products!B:B,MATCH(OrdersTable[[#This Row],[Product ID]],Products!A:A,0))</f>
        <v>Hydrating Face Wash</v>
      </c>
      <c r="O4033" t="str">
        <f>INDEX(Products!C:C,MATCH(OrdersTable[[#This Row],[Product ID]],Products!A:A,0))</f>
        <v>Skincare</v>
      </c>
      <c r="P4033">
        <v>1</v>
      </c>
      <c r="Q4033" s="5">
        <v>299</v>
      </c>
      <c r="R4033" s="74">
        <v>0.15</v>
      </c>
      <c r="S4033" s="75">
        <f>OrdersTable[[#This Row],[Quantity]]*OrdersTable[[#This Row],[Unit Price]]</f>
        <v>299</v>
      </c>
      <c r="T4033" s="5">
        <f>OrdersTable[[#This Row],[Gross Sale]]*OrdersTable[[#This Row],[Discount_Clean2]]</f>
        <v>44.85</v>
      </c>
      <c r="U4033" s="5">
        <f>OrdersTable[[#This Row],[Gross Sale]]-OrdersTable[[#This Row],[Discount Amount]]</f>
        <v>254.15</v>
      </c>
      <c r="V4033" s="77">
        <f>INDEX(Products!E:E,MATCH(OrdersTable[[#This Row],[Product ID]],Products!A:A,0))</f>
        <v>90</v>
      </c>
      <c r="W4033" s="77">
        <f>OrdersTable[[#This Row],[Quantity]]*OrdersTable[[#This Row],[Unit Cost]]</f>
        <v>90</v>
      </c>
      <c r="X4033" s="77">
        <f>'Dropdown Lists'!$I$2*(1+OrdersTable[[#This Row],[Returned]])</f>
        <v>60</v>
      </c>
      <c r="Y4033" s="76">
        <f>OrdersTable[[#This Row],[Net Revenue]]-OrdersTable[[#This Row],[COGS]]-OrdersTable[[#This Row],[Shipping Cost]]</f>
        <v>104.15</v>
      </c>
      <c r="Z4033" s="78">
        <f>IFERROR(OrdersTable[[#This Row],[Profit]]/OrdersTable[[#This Row],[Net Revenue]],0)</f>
        <v>0.40979736376155818</v>
      </c>
      <c r="AA4033" t="s">
        <v>2522</v>
      </c>
      <c r="AB4033" s="79">
        <v>45936</v>
      </c>
      <c r="AC4033">
        <f>OrdersTable[[#This Row],[Delivery Date]]-OrdersTable[[#This Row],[Order Date]]</f>
        <v>1</v>
      </c>
      <c r="AD4033" t="str">
        <f>IF(OrdersTable[[#This Row],[Delivery Days]]&lt;=2, "Express (≤2d)", IF(OrdersTable[[#This Row],[Delivery Days]]&lt;=4, "Standard (3-4d)", "Delayed (5d+)"))</f>
        <v>Express (≤2d)</v>
      </c>
      <c r="AE4033">
        <v>5</v>
      </c>
      <c r="AF4033">
        <v>0</v>
      </c>
    </row>
    <row r="4034" spans="1:32" ht="15" x14ac:dyDescent="0.35">
      <c r="A4034" t="s">
        <v>1302</v>
      </c>
      <c r="B4034" s="1">
        <v>45935</v>
      </c>
      <c r="C4034">
        <f>YEAR(OrdersTable[[#This Row],[Order Date]])</f>
        <v>2025</v>
      </c>
      <c r="D4034" s="2">
        <f>DATE(YEAR(OrdersTable[[#This Row],[Order Date]]),MONTH(OrdersTable[[#This Row],[Order Date]]),1)</f>
        <v>45931</v>
      </c>
      <c r="E4034">
        <f>MONTH(OrdersTable[[#This Row],[Order Date]])</f>
        <v>10</v>
      </c>
      <c r="F4034" t="s">
        <v>1303</v>
      </c>
      <c r="G4034" t="str">
        <f>IF(OrdersTable[[#This Row],[Order Date]]=_xlfn.MINIFS(Order_Date, Customer_ID, OrdersTable[[#This Row],[Customer ID]]), "New", "Repeat")</f>
        <v>New</v>
      </c>
      <c r="H4034" t="s">
        <v>76</v>
      </c>
      <c r="I4034" t="str">
        <f>INDEX(State!B:B,MATCH(OrdersTable[[#This Row],[State]],State!A:A,0))</f>
        <v>UP</v>
      </c>
      <c r="J4034" t="str">
        <f>INDEX(State!C:C,MATCH(OrdersTable[[#This Row],[State Code]],State!B:B,0))</f>
        <v>North</v>
      </c>
      <c r="K4034" t="s">
        <v>105</v>
      </c>
      <c r="L4034" t="s">
        <v>16</v>
      </c>
      <c r="M4034" t="s">
        <v>255</v>
      </c>
      <c r="N4034" t="str">
        <f>INDEX(Products!B:B,MATCH(OrdersTable[[#This Row],[Product ID]],Products!A:A,0))</f>
        <v>Cotton Oversized T-Shirt</v>
      </c>
      <c r="O4034" t="str">
        <f>INDEX(Products!C:C,MATCH(OrdersTable[[#This Row],[Product ID]],Products!A:A,0))</f>
        <v>Apparel</v>
      </c>
      <c r="P4034">
        <v>1</v>
      </c>
      <c r="Q4034" s="5">
        <v>799</v>
      </c>
      <c r="R4034" s="74">
        <v>0.1</v>
      </c>
      <c r="S4034" s="75">
        <f>OrdersTable[[#This Row],[Quantity]]*OrdersTable[[#This Row],[Unit Price]]</f>
        <v>799</v>
      </c>
      <c r="T4034" s="5">
        <f>OrdersTable[[#This Row],[Gross Sale]]*OrdersTable[[#This Row],[Discount_Clean2]]</f>
        <v>79.900000000000006</v>
      </c>
      <c r="U4034" s="5">
        <f>OrdersTable[[#This Row],[Gross Sale]]-OrdersTable[[#This Row],[Discount Amount]]</f>
        <v>719.1</v>
      </c>
      <c r="V4034" s="77">
        <f>INDEX(Products!E:E,MATCH(OrdersTable[[#This Row],[Product ID]],Products!A:A,0))</f>
        <v>320</v>
      </c>
      <c r="W4034" s="77">
        <f>OrdersTable[[#This Row],[Quantity]]*OrdersTable[[#This Row],[Unit Cost]]</f>
        <v>320</v>
      </c>
      <c r="X4034" s="77">
        <f>'Dropdown Lists'!$I$2*(1+OrdersTable[[#This Row],[Returned]])</f>
        <v>60</v>
      </c>
      <c r="Y4034" s="76">
        <f>OrdersTable[[#This Row],[Net Revenue]]-OrdersTable[[#This Row],[COGS]]-OrdersTable[[#This Row],[Shipping Cost]]</f>
        <v>339.1</v>
      </c>
      <c r="Z4034" s="78">
        <f>IFERROR(OrdersTable[[#This Row],[Profit]]/OrdersTable[[#This Row],[Net Revenue]],0)</f>
        <v>0.47156167431511614</v>
      </c>
      <c r="AA4034" t="s">
        <v>18</v>
      </c>
      <c r="AB4034" s="79">
        <v>45939</v>
      </c>
      <c r="AC4034">
        <f>OrdersTable[[#This Row],[Delivery Date]]-OrdersTable[[#This Row],[Order Date]]</f>
        <v>4</v>
      </c>
      <c r="AD4034" t="str">
        <f>IF(OrdersTable[[#This Row],[Delivery Days]]&lt;=2, "Express (≤2d)", IF(OrdersTable[[#This Row],[Delivery Days]]&lt;=4, "Standard (3-4d)", "Delayed (5d+)"))</f>
        <v>Standard (3-4d)</v>
      </c>
      <c r="AF4034">
        <v>0</v>
      </c>
    </row>
    <row r="4035" spans="1:32" ht="15" x14ac:dyDescent="0.35">
      <c r="A4035" t="s">
        <v>5040</v>
      </c>
      <c r="B4035" s="1">
        <v>45935</v>
      </c>
      <c r="C4035">
        <f>YEAR(OrdersTable[[#This Row],[Order Date]])</f>
        <v>2025</v>
      </c>
      <c r="D4035" s="2">
        <f>DATE(YEAR(OrdersTable[[#This Row],[Order Date]]),MONTH(OrdersTable[[#This Row],[Order Date]]),1)</f>
        <v>45931</v>
      </c>
      <c r="E4035">
        <f>MONTH(OrdersTable[[#This Row],[Order Date]])</f>
        <v>10</v>
      </c>
      <c r="F4035" t="s">
        <v>1060</v>
      </c>
      <c r="G4035" t="str">
        <f>IF(OrdersTable[[#This Row],[Order Date]]=_xlfn.MINIFS(Order_Date, Customer_ID, OrdersTable[[#This Row],[Customer ID]]), "New", "Repeat")</f>
        <v>Repeat</v>
      </c>
      <c r="H4035" t="s">
        <v>32</v>
      </c>
      <c r="I4035" t="str">
        <f>INDEX(State!B:B,MATCH(OrdersTable[[#This Row],[State]],State!A:A,0))</f>
        <v>BR</v>
      </c>
      <c r="J4035" t="str">
        <f>INDEX(State!C:C,MATCH(OrdersTable[[#This Row],[State Code]],State!B:B,0))</f>
        <v>East</v>
      </c>
      <c r="K4035" t="s">
        <v>33</v>
      </c>
      <c r="L4035" t="s">
        <v>39</v>
      </c>
      <c r="M4035" t="s">
        <v>17</v>
      </c>
      <c r="N4035" t="str">
        <f>INDEX(Products!B:B,MATCH(OrdersTable[[#This Row],[Product ID]],Products!A:A,0))</f>
        <v>Casual Sneakers</v>
      </c>
      <c r="O4035" t="str">
        <f>INDEX(Products!C:C,MATCH(OrdersTable[[#This Row],[Product ID]],Products!A:A,0))</f>
        <v>Footwear</v>
      </c>
      <c r="P4035">
        <v>2</v>
      </c>
      <c r="Q4035" s="5">
        <v>2199</v>
      </c>
      <c r="R4035" s="74">
        <v>0.3</v>
      </c>
      <c r="S4035" s="75">
        <f>OrdersTable[[#This Row],[Quantity]]*OrdersTable[[#This Row],[Unit Price]]</f>
        <v>4398</v>
      </c>
      <c r="T4035" s="5">
        <f>OrdersTable[[#This Row],[Gross Sale]]*OrdersTable[[#This Row],[Discount_Clean2]]</f>
        <v>1319.3999999999999</v>
      </c>
      <c r="U4035" s="5">
        <f>OrdersTable[[#This Row],[Gross Sale]]-OrdersTable[[#This Row],[Discount Amount]]</f>
        <v>3078.6000000000004</v>
      </c>
      <c r="V4035" s="77">
        <f>INDEX(Products!E:E,MATCH(OrdersTable[[#This Row],[Product ID]],Products!A:A,0))</f>
        <v>1034</v>
      </c>
      <c r="W4035" s="77">
        <f>OrdersTable[[#This Row],[Quantity]]*OrdersTable[[#This Row],[Unit Cost]]</f>
        <v>2068</v>
      </c>
      <c r="X4035" s="77">
        <f>'Dropdown Lists'!$I$2*(1+OrdersTable[[#This Row],[Returned]])</f>
        <v>120</v>
      </c>
      <c r="Y4035" s="76">
        <f>OrdersTable[[#This Row],[Net Revenue]]-OrdersTable[[#This Row],[COGS]]-OrdersTable[[#This Row],[Shipping Cost]]</f>
        <v>890.60000000000036</v>
      </c>
      <c r="Z4035" s="78">
        <f>IFERROR(OrdersTable[[#This Row],[Profit]]/OrdersTable[[#This Row],[Net Revenue]],0)</f>
        <v>0.28928733840057175</v>
      </c>
      <c r="AA4035" t="s">
        <v>4074</v>
      </c>
      <c r="AB4035" s="79">
        <v>45942</v>
      </c>
      <c r="AC4035">
        <f>OrdersTable[[#This Row],[Delivery Date]]-OrdersTable[[#This Row],[Order Date]]</f>
        <v>7</v>
      </c>
      <c r="AD4035" t="str">
        <f>IF(OrdersTable[[#This Row],[Delivery Days]]&lt;=2, "Express (≤2d)", IF(OrdersTable[[#This Row],[Delivery Days]]&lt;=4, "Standard (3-4d)", "Delayed (5d+)"))</f>
        <v>Delayed (5d+)</v>
      </c>
      <c r="AE4035">
        <v>2</v>
      </c>
      <c r="AF4035">
        <v>1</v>
      </c>
    </row>
    <row r="4036" spans="1:32" ht="15" x14ac:dyDescent="0.35">
      <c r="A4036" t="s">
        <v>6208</v>
      </c>
      <c r="B4036" s="1">
        <v>45935</v>
      </c>
      <c r="C4036">
        <f>YEAR(OrdersTable[[#This Row],[Order Date]])</f>
        <v>2025</v>
      </c>
      <c r="D4036" s="2">
        <f>DATE(YEAR(OrdersTable[[#This Row],[Order Date]]),MONTH(OrdersTable[[#This Row],[Order Date]]),1)</f>
        <v>45931</v>
      </c>
      <c r="E4036">
        <f>MONTH(OrdersTable[[#This Row],[Order Date]])</f>
        <v>10</v>
      </c>
      <c r="F4036" t="s">
        <v>3421</v>
      </c>
      <c r="G4036" t="str">
        <f>IF(OrdersTable[[#This Row],[Order Date]]=_xlfn.MINIFS(Order_Date, Customer_ID, OrdersTable[[#This Row],[Customer ID]]), "New", "Repeat")</f>
        <v>Repeat</v>
      </c>
      <c r="H4036" t="s">
        <v>132</v>
      </c>
      <c r="I4036" t="str">
        <f>INDEX(State!B:B,MATCH(OrdersTable[[#This Row],[State]],State!A:A,0))</f>
        <v>AS</v>
      </c>
      <c r="J4036" t="str">
        <f>INDEX(State!C:C,MATCH(OrdersTable[[#This Row],[State Code]],State!B:B,0))</f>
        <v>East</v>
      </c>
      <c r="K4036" t="s">
        <v>133</v>
      </c>
      <c r="L4036" t="s">
        <v>65</v>
      </c>
      <c r="M4036" t="s">
        <v>24</v>
      </c>
      <c r="N4036" t="str">
        <f>INDEX(Products!B:B,MATCH(OrdersTable[[#This Row],[Product ID]],Products!A:A,0))</f>
        <v>Scented Candle Set</v>
      </c>
      <c r="O4036" t="str">
        <f>INDEX(Products!C:C,MATCH(OrdersTable[[#This Row],[Product ID]],Products!A:A,0))</f>
        <v>Home &amp; Kitchen</v>
      </c>
      <c r="P4036">
        <v>2</v>
      </c>
      <c r="Q4036" s="5">
        <v>699</v>
      </c>
      <c r="R4036" s="74">
        <v>0.4</v>
      </c>
      <c r="S4036" s="75">
        <f>OrdersTable[[#This Row],[Quantity]]*OrdersTable[[#This Row],[Unit Price]]</f>
        <v>1398</v>
      </c>
      <c r="T4036" s="5">
        <f>OrdersTable[[#This Row],[Gross Sale]]*OrdersTable[[#This Row],[Discount_Clean2]]</f>
        <v>559.20000000000005</v>
      </c>
      <c r="U4036" s="5">
        <f>OrdersTable[[#This Row],[Gross Sale]]-OrdersTable[[#This Row],[Discount Amount]]</f>
        <v>838.8</v>
      </c>
      <c r="V4036" s="77">
        <f>INDEX(Products!E:E,MATCH(OrdersTable[[#This Row],[Product ID]],Products!A:A,0))</f>
        <v>245</v>
      </c>
      <c r="W4036" s="77">
        <f>OrdersTable[[#This Row],[Quantity]]*OrdersTable[[#This Row],[Unit Cost]]</f>
        <v>490</v>
      </c>
      <c r="X4036" s="77">
        <f>'Dropdown Lists'!$I$2*(1+OrdersTable[[#This Row],[Returned]])</f>
        <v>60</v>
      </c>
      <c r="Y4036" s="76">
        <f>OrdersTable[[#This Row],[Net Revenue]]-OrdersTable[[#This Row],[COGS]]-OrdersTable[[#This Row],[Shipping Cost]]</f>
        <v>288.79999999999995</v>
      </c>
      <c r="Z4036" s="78">
        <f>IFERROR(OrdersTable[[#This Row],[Profit]]/OrdersTable[[#This Row],[Net Revenue]],0)</f>
        <v>0.34430138292799234</v>
      </c>
      <c r="AA4036" t="s">
        <v>18</v>
      </c>
      <c r="AB4036" s="79">
        <v>45940</v>
      </c>
      <c r="AC4036">
        <f>OrdersTable[[#This Row],[Delivery Date]]-OrdersTable[[#This Row],[Order Date]]</f>
        <v>5</v>
      </c>
      <c r="AD4036" t="str">
        <f>IF(OrdersTable[[#This Row],[Delivery Days]]&lt;=2, "Express (≤2d)", IF(OrdersTable[[#This Row],[Delivery Days]]&lt;=4, "Standard (3-4d)", "Delayed (5d+)"))</f>
        <v>Delayed (5d+)</v>
      </c>
      <c r="AE4036">
        <v>4</v>
      </c>
      <c r="AF4036">
        <v>0</v>
      </c>
    </row>
    <row r="4037" spans="1:32" ht="15" x14ac:dyDescent="0.35">
      <c r="A4037" t="s">
        <v>4861</v>
      </c>
      <c r="B4037" s="1">
        <v>45935</v>
      </c>
      <c r="C4037">
        <f>YEAR(OrdersTable[[#This Row],[Order Date]])</f>
        <v>2025</v>
      </c>
      <c r="D4037" s="2">
        <f>DATE(YEAR(OrdersTable[[#This Row],[Order Date]]),MONTH(OrdersTable[[#This Row],[Order Date]]),1)</f>
        <v>45931</v>
      </c>
      <c r="E4037">
        <f>MONTH(OrdersTable[[#This Row],[Order Date]])</f>
        <v>10</v>
      </c>
      <c r="F4037" t="s">
        <v>4862</v>
      </c>
      <c r="G4037" t="str">
        <f>IF(OrdersTable[[#This Row],[Order Date]]=_xlfn.MINIFS(Order_Date, Customer_ID, OrdersTable[[#This Row],[Customer ID]]), "New", "Repeat")</f>
        <v>Repeat</v>
      </c>
      <c r="H4037" t="s">
        <v>316</v>
      </c>
      <c r="I4037" t="str">
        <f>INDEX(State!B:B,MATCH(OrdersTable[[#This Row],[State]],State!A:A,0))</f>
        <v>KL</v>
      </c>
      <c r="J4037" t="str">
        <f>INDEX(State!C:C,MATCH(OrdersTable[[#This Row],[State Code]],State!B:B,0))</f>
        <v>South</v>
      </c>
      <c r="K4037" t="s">
        <v>338</v>
      </c>
      <c r="L4037" t="s">
        <v>16</v>
      </c>
      <c r="M4037" t="s">
        <v>176</v>
      </c>
      <c r="N4037" t="str">
        <f>INDEX(Products!B:B,MATCH(OrdersTable[[#This Row],[Product ID]],Products!A:A,0))</f>
        <v>Denim Jacket</v>
      </c>
      <c r="O4037" t="str">
        <f>INDEX(Products!C:C,MATCH(OrdersTable[[#This Row],[Product ID]],Products!A:A,0))</f>
        <v>Apparel</v>
      </c>
      <c r="P4037">
        <v>2</v>
      </c>
      <c r="Q4037" s="5">
        <v>2499</v>
      </c>
      <c r="R4037" s="74">
        <v>0.1</v>
      </c>
      <c r="S4037" s="75">
        <f>OrdersTable[[#This Row],[Quantity]]*OrdersTable[[#This Row],[Unit Price]]</f>
        <v>4998</v>
      </c>
      <c r="T4037" s="5">
        <f>OrdersTable[[#This Row],[Gross Sale]]*OrdersTable[[#This Row],[Discount_Clean2]]</f>
        <v>499.8</v>
      </c>
      <c r="U4037" s="5">
        <f>OrdersTable[[#This Row],[Gross Sale]]-OrdersTable[[#This Row],[Discount Amount]]</f>
        <v>4498.2</v>
      </c>
      <c r="V4037" s="77">
        <f>INDEX(Products!E:E,MATCH(OrdersTable[[#This Row],[Product ID]],Products!A:A,0))</f>
        <v>1125</v>
      </c>
      <c r="W4037" s="77">
        <f>OrdersTable[[#This Row],[Quantity]]*OrdersTable[[#This Row],[Unit Cost]]</f>
        <v>2250</v>
      </c>
      <c r="X4037" s="77">
        <f>'Dropdown Lists'!$I$2*(1+OrdersTable[[#This Row],[Returned]])</f>
        <v>60</v>
      </c>
      <c r="Y4037" s="76">
        <f>OrdersTable[[#This Row],[Net Revenue]]-OrdersTable[[#This Row],[COGS]]-OrdersTable[[#This Row],[Shipping Cost]]</f>
        <v>2188.1999999999998</v>
      </c>
      <c r="Z4037" s="78">
        <f>IFERROR(OrdersTable[[#This Row],[Profit]]/OrdersTable[[#This Row],[Net Revenue]],0)</f>
        <v>0.48646125116713351</v>
      </c>
      <c r="AA4037" t="s">
        <v>4450</v>
      </c>
      <c r="AB4037" s="79">
        <v>45939</v>
      </c>
      <c r="AC4037">
        <f>OrdersTable[[#This Row],[Delivery Date]]-OrdersTable[[#This Row],[Order Date]]</f>
        <v>4</v>
      </c>
      <c r="AD4037" t="str">
        <f>IF(OrdersTable[[#This Row],[Delivery Days]]&lt;=2, "Express (≤2d)", IF(OrdersTable[[#This Row],[Delivery Days]]&lt;=4, "Standard (3-4d)", "Delayed (5d+)"))</f>
        <v>Standard (3-4d)</v>
      </c>
      <c r="AE4037">
        <v>4</v>
      </c>
      <c r="AF4037">
        <v>0</v>
      </c>
    </row>
    <row r="4038" spans="1:32" ht="15" x14ac:dyDescent="0.35">
      <c r="A4038" t="s">
        <v>2030</v>
      </c>
      <c r="B4038" s="1">
        <v>45935</v>
      </c>
      <c r="C4038">
        <f>YEAR(OrdersTable[[#This Row],[Order Date]])</f>
        <v>2025</v>
      </c>
      <c r="D4038" s="2">
        <f>DATE(YEAR(OrdersTable[[#This Row],[Order Date]]),MONTH(OrdersTable[[#This Row],[Order Date]]),1)</f>
        <v>45931</v>
      </c>
      <c r="E4038">
        <f>MONTH(OrdersTable[[#This Row],[Order Date]])</f>
        <v>10</v>
      </c>
      <c r="F4038" t="s">
        <v>1275</v>
      </c>
      <c r="G4038" t="str">
        <f>IF(OrdersTable[[#This Row],[Order Date]]=_xlfn.MINIFS(Order_Date, Customer_ID, OrdersTable[[#This Row],[Customer ID]]), "New", "Repeat")</f>
        <v>Repeat</v>
      </c>
      <c r="H4038" t="s">
        <v>59</v>
      </c>
      <c r="I4038" t="str">
        <f>INDEX(State!B:B,MATCH(OrdersTable[[#This Row],[State]],State!A:A,0))</f>
        <v>TN</v>
      </c>
      <c r="J4038" t="str">
        <f>INDEX(State!C:C,MATCH(OrdersTable[[#This Row],[State Code]],State!B:B,0))</f>
        <v>South</v>
      </c>
      <c r="K4038" t="s">
        <v>60</v>
      </c>
      <c r="L4038" t="s">
        <v>65</v>
      </c>
      <c r="M4038" t="s">
        <v>61</v>
      </c>
      <c r="N4038" t="str">
        <f>INDEX(Products!B:B,MATCH(OrdersTable[[#This Row],[Product ID]],Products!A:A,0))</f>
        <v>Multivitamin Gummies</v>
      </c>
      <c r="O4038" t="str">
        <f>INDEX(Products!C:C,MATCH(OrdersTable[[#This Row],[Product ID]],Products!A:A,0))</f>
        <v>Wellness</v>
      </c>
      <c r="P4038">
        <v>1</v>
      </c>
      <c r="Q4038" s="5">
        <v>699</v>
      </c>
      <c r="R4038" s="74">
        <v>0.35</v>
      </c>
      <c r="S4038" s="75">
        <f>OrdersTable[[#This Row],[Quantity]]*OrdersTable[[#This Row],[Unit Price]]</f>
        <v>699</v>
      </c>
      <c r="T4038" s="5">
        <f>OrdersTable[[#This Row],[Gross Sale]]*OrdersTable[[#This Row],[Discount_Clean2]]</f>
        <v>244.64999999999998</v>
      </c>
      <c r="U4038" s="5">
        <f>OrdersTable[[#This Row],[Gross Sale]]-OrdersTable[[#This Row],[Discount Amount]]</f>
        <v>454.35</v>
      </c>
      <c r="V4038" s="77">
        <f>INDEX(Products!E:E,MATCH(OrdersTable[[#This Row],[Product ID]],Products!A:A,0))</f>
        <v>238</v>
      </c>
      <c r="W4038" s="77">
        <f>OrdersTable[[#This Row],[Quantity]]*OrdersTable[[#This Row],[Unit Cost]]</f>
        <v>238</v>
      </c>
      <c r="X4038" s="77">
        <f>'Dropdown Lists'!$I$2*(1+OrdersTable[[#This Row],[Returned]])</f>
        <v>60</v>
      </c>
      <c r="Y4038" s="76">
        <f>OrdersTable[[#This Row],[Net Revenue]]-OrdersTable[[#This Row],[COGS]]-OrdersTable[[#This Row],[Shipping Cost]]</f>
        <v>156.35000000000002</v>
      </c>
      <c r="Z4038" s="78">
        <f>IFERROR(OrdersTable[[#This Row],[Profit]]/OrdersTable[[#This Row],[Net Revenue]],0)</f>
        <v>0.34411797072741285</v>
      </c>
      <c r="AA4038" t="s">
        <v>18</v>
      </c>
      <c r="AB4038" s="79">
        <v>45940</v>
      </c>
      <c r="AC4038">
        <f>OrdersTable[[#This Row],[Delivery Date]]-OrdersTable[[#This Row],[Order Date]]</f>
        <v>5</v>
      </c>
      <c r="AD4038" t="str">
        <f>IF(OrdersTable[[#This Row],[Delivery Days]]&lt;=2, "Express (≤2d)", IF(OrdersTable[[#This Row],[Delivery Days]]&lt;=4, "Standard (3-4d)", "Delayed (5d+)"))</f>
        <v>Delayed (5d+)</v>
      </c>
      <c r="AE4038">
        <v>3</v>
      </c>
      <c r="AF4038">
        <v>0</v>
      </c>
    </row>
    <row r="4039" spans="1:32" ht="15" x14ac:dyDescent="0.35">
      <c r="A4039" t="s">
        <v>869</v>
      </c>
      <c r="B4039" s="1">
        <v>45936</v>
      </c>
      <c r="C4039">
        <f>YEAR(OrdersTable[[#This Row],[Order Date]])</f>
        <v>2025</v>
      </c>
      <c r="D4039" s="2">
        <f>DATE(YEAR(OrdersTable[[#This Row],[Order Date]]),MONTH(OrdersTable[[#This Row],[Order Date]]),1)</f>
        <v>45931</v>
      </c>
      <c r="E4039">
        <f>MONTH(OrdersTable[[#This Row],[Order Date]])</f>
        <v>10</v>
      </c>
      <c r="F4039" t="s">
        <v>870</v>
      </c>
      <c r="G4039" t="str">
        <f>IF(OrdersTable[[#This Row],[Order Date]]=_xlfn.MINIFS(Order_Date, Customer_ID, OrdersTable[[#This Row],[Customer ID]]), "New", "Repeat")</f>
        <v>New</v>
      </c>
      <c r="H4039" t="s">
        <v>48</v>
      </c>
      <c r="I4039" t="str">
        <f>INDEX(State!B:B,MATCH(OrdersTable[[#This Row],[State]],State!A:A,0))</f>
        <v>HR</v>
      </c>
      <c r="J4039" t="str">
        <f>INDEX(State!C:C,MATCH(OrdersTable[[#This Row],[State Code]],State!B:B,0))</f>
        <v>North</v>
      </c>
      <c r="K4039" t="s">
        <v>151</v>
      </c>
      <c r="L4039" t="s">
        <v>39</v>
      </c>
      <c r="M4039" t="s">
        <v>423</v>
      </c>
      <c r="N4039" t="str">
        <f>INDEX(Products!B:B,MATCH(OrdersTable[[#This Row],[Product ID]],Products!A:A,0))</f>
        <v>Power Bank 20000mAh</v>
      </c>
      <c r="O4039" t="str">
        <f>INDEX(Products!C:C,MATCH(OrdersTable[[#This Row],[Product ID]],Products!A:A,0))</f>
        <v>Electronics</v>
      </c>
      <c r="P4039">
        <v>1</v>
      </c>
      <c r="Q4039" s="5">
        <v>1799</v>
      </c>
      <c r="R4039" s="74">
        <v>0.6</v>
      </c>
      <c r="S4039" s="75">
        <f>OrdersTable[[#This Row],[Quantity]]*OrdersTable[[#This Row],[Unit Price]]</f>
        <v>1799</v>
      </c>
      <c r="T4039" s="5">
        <f>OrdersTable[[#This Row],[Gross Sale]]*OrdersTable[[#This Row],[Discount_Clean2]]</f>
        <v>1079.3999999999999</v>
      </c>
      <c r="U4039" s="5">
        <f>OrdersTable[[#This Row],[Gross Sale]]-OrdersTable[[#This Row],[Discount Amount]]</f>
        <v>719.60000000000014</v>
      </c>
      <c r="V4039" s="77">
        <f>INDEX(Products!E:E,MATCH(OrdersTable[[#This Row],[Product ID]],Products!A:A,0))</f>
        <v>1079</v>
      </c>
      <c r="W4039" s="77">
        <f>OrdersTable[[#This Row],[Quantity]]*OrdersTable[[#This Row],[Unit Cost]]</f>
        <v>1079</v>
      </c>
      <c r="X4039" s="77">
        <f>'Dropdown Lists'!$I$2*(1+OrdersTable[[#This Row],[Returned]])</f>
        <v>60</v>
      </c>
      <c r="Y4039" s="76">
        <f>OrdersTable[[#This Row],[Net Revenue]]-OrdersTable[[#This Row],[COGS]]-OrdersTable[[#This Row],[Shipping Cost]]</f>
        <v>-419.39999999999986</v>
      </c>
      <c r="Z4039" s="78">
        <f>IFERROR(OrdersTable[[#This Row],[Profit]]/OrdersTable[[#This Row],[Net Revenue]],0)</f>
        <v>-0.58282379099499693</v>
      </c>
      <c r="AA4039" t="s">
        <v>18</v>
      </c>
      <c r="AB4039" s="79">
        <v>45941</v>
      </c>
      <c r="AC4039">
        <f>OrdersTable[[#This Row],[Delivery Date]]-OrdersTable[[#This Row],[Order Date]]</f>
        <v>5</v>
      </c>
      <c r="AD4039" t="str">
        <f>IF(OrdersTable[[#This Row],[Delivery Days]]&lt;=2, "Express (≤2d)", IF(OrdersTable[[#This Row],[Delivery Days]]&lt;=4, "Standard (3-4d)", "Delayed (5d+)"))</f>
        <v>Delayed (5d+)</v>
      </c>
      <c r="AE4039">
        <v>4</v>
      </c>
      <c r="AF4039">
        <v>0</v>
      </c>
    </row>
    <row r="4040" spans="1:32" ht="15" x14ac:dyDescent="0.35">
      <c r="A4040" t="s">
        <v>5543</v>
      </c>
      <c r="B4040" s="1">
        <v>45936</v>
      </c>
      <c r="C4040">
        <f>YEAR(OrdersTable[[#This Row],[Order Date]])</f>
        <v>2025</v>
      </c>
      <c r="D4040" s="2">
        <f>DATE(YEAR(OrdersTable[[#This Row],[Order Date]]),MONTH(OrdersTable[[#This Row],[Order Date]]),1)</f>
        <v>45931</v>
      </c>
      <c r="E4040">
        <f>MONTH(OrdersTable[[#This Row],[Order Date]])</f>
        <v>10</v>
      </c>
      <c r="F4040" t="s">
        <v>1653</v>
      </c>
      <c r="G4040" t="str">
        <f>IF(OrdersTable[[#This Row],[Order Date]]=_xlfn.MINIFS(Order_Date, Customer_ID, OrdersTable[[#This Row],[Customer ID]]), "New", "Repeat")</f>
        <v>Repeat</v>
      </c>
      <c r="H4040" t="s">
        <v>128</v>
      </c>
      <c r="I4040" t="str">
        <f>INDEX(State!B:B,MATCH(OrdersTable[[#This Row],[State]],State!A:A,0))</f>
        <v>DL</v>
      </c>
      <c r="J4040" t="str">
        <f>INDEX(State!C:C,MATCH(OrdersTable[[#This Row],[State Code]],State!B:B,0))</f>
        <v>North</v>
      </c>
      <c r="K4040" t="s">
        <v>129</v>
      </c>
      <c r="L4040" t="s">
        <v>23</v>
      </c>
      <c r="M4040" t="s">
        <v>40</v>
      </c>
      <c r="N4040" t="str">
        <f>INDEX(Products!B:B,MATCH(OrdersTable[[#This Row],[Product ID]],Products!A:A,0))</f>
        <v>Ashwagandha Capsules</v>
      </c>
      <c r="O4040" t="str">
        <f>INDEX(Products!C:C,MATCH(OrdersTable[[#This Row],[Product ID]],Products!A:A,0))</f>
        <v>Wellness</v>
      </c>
      <c r="P4040">
        <v>2</v>
      </c>
      <c r="Q4040" s="5">
        <v>499</v>
      </c>
      <c r="R4040" s="74">
        <v>0.05</v>
      </c>
      <c r="S4040" s="75">
        <f>OrdersTable[[#This Row],[Quantity]]*OrdersTable[[#This Row],[Unit Price]]</f>
        <v>998</v>
      </c>
      <c r="T4040" s="5">
        <f>OrdersTable[[#This Row],[Gross Sale]]*OrdersTable[[#This Row],[Discount_Clean2]]</f>
        <v>49.900000000000006</v>
      </c>
      <c r="U4040" s="5">
        <f>OrdersTable[[#This Row],[Gross Sale]]-OrdersTable[[#This Row],[Discount Amount]]</f>
        <v>948.1</v>
      </c>
      <c r="V4040" s="77">
        <f>INDEX(Products!E:E,MATCH(OrdersTable[[#This Row],[Product ID]],Products!A:A,0))</f>
        <v>150</v>
      </c>
      <c r="W4040" s="77">
        <f>OrdersTable[[#This Row],[Quantity]]*OrdersTable[[#This Row],[Unit Cost]]</f>
        <v>300</v>
      </c>
      <c r="X4040" s="77">
        <f>'Dropdown Lists'!$I$2*(1+OrdersTable[[#This Row],[Returned]])</f>
        <v>60</v>
      </c>
      <c r="Y4040" s="76">
        <f>OrdersTable[[#This Row],[Net Revenue]]-OrdersTable[[#This Row],[COGS]]-OrdersTable[[#This Row],[Shipping Cost]]</f>
        <v>588.1</v>
      </c>
      <c r="Z4040" s="78">
        <f>IFERROR(OrdersTable[[#This Row],[Profit]]/OrdersTable[[#This Row],[Net Revenue]],0)</f>
        <v>0.62029321801497728</v>
      </c>
      <c r="AA4040" t="s">
        <v>2522</v>
      </c>
      <c r="AB4040" s="79">
        <v>45938</v>
      </c>
      <c r="AC4040">
        <f>OrdersTable[[#This Row],[Delivery Date]]-OrdersTable[[#This Row],[Order Date]]</f>
        <v>2</v>
      </c>
      <c r="AD4040" t="str">
        <f>IF(OrdersTable[[#This Row],[Delivery Days]]&lt;=2, "Express (≤2d)", IF(OrdersTable[[#This Row],[Delivery Days]]&lt;=4, "Standard (3-4d)", "Delayed (5d+)"))</f>
        <v>Express (≤2d)</v>
      </c>
      <c r="AE4040">
        <v>4</v>
      </c>
      <c r="AF4040">
        <v>0</v>
      </c>
    </row>
    <row r="4041" spans="1:32" ht="15" x14ac:dyDescent="0.35">
      <c r="A4041" t="s">
        <v>3476</v>
      </c>
      <c r="B4041" s="1">
        <v>45936</v>
      </c>
      <c r="C4041">
        <f>YEAR(OrdersTable[[#This Row],[Order Date]])</f>
        <v>2025</v>
      </c>
      <c r="D4041" s="2">
        <f>DATE(YEAR(OrdersTable[[#This Row],[Order Date]]),MONTH(OrdersTable[[#This Row],[Order Date]]),1)</f>
        <v>45931</v>
      </c>
      <c r="E4041">
        <f>MONTH(OrdersTable[[#This Row],[Order Date]])</f>
        <v>10</v>
      </c>
      <c r="F4041" t="s">
        <v>3477</v>
      </c>
      <c r="G4041" t="str">
        <f>IF(OrdersTable[[#This Row],[Order Date]]=_xlfn.MINIFS(Order_Date, Customer_ID, OrdersTable[[#This Row],[Customer ID]]), "New", "Repeat")</f>
        <v>Repeat</v>
      </c>
      <c r="H4041" t="s">
        <v>128</v>
      </c>
      <c r="I4041" t="str">
        <f>INDEX(State!B:B,MATCH(OrdersTable[[#This Row],[State]],State!A:A,0))</f>
        <v>DL</v>
      </c>
      <c r="J4041" t="str">
        <f>INDEX(State!C:C,MATCH(OrdersTable[[#This Row],[State Code]],State!B:B,0))</f>
        <v>North</v>
      </c>
      <c r="K4041" t="s">
        <v>129</v>
      </c>
      <c r="L4041" t="s">
        <v>65</v>
      </c>
      <c r="M4041" t="s">
        <v>205</v>
      </c>
      <c r="N4041" t="str">
        <f>INDEX(Products!B:B,MATCH(OrdersTable[[#This Row],[Product ID]],Products!A:A,0))</f>
        <v>Running Shoes</v>
      </c>
      <c r="O4041" t="str">
        <f>INDEX(Products!C:C,MATCH(OrdersTable[[#This Row],[Product ID]],Products!A:A,0))</f>
        <v>Footwear</v>
      </c>
      <c r="P4041">
        <v>1</v>
      </c>
      <c r="Q4041" s="5">
        <v>2999</v>
      </c>
      <c r="R4041" s="74">
        <v>0.25</v>
      </c>
      <c r="S4041" s="75">
        <f>OrdersTable[[#This Row],[Quantity]]*OrdersTable[[#This Row],[Unit Price]]</f>
        <v>2999</v>
      </c>
      <c r="T4041" s="5">
        <f>OrdersTable[[#This Row],[Gross Sale]]*OrdersTable[[#This Row],[Discount_Clean2]]</f>
        <v>749.75</v>
      </c>
      <c r="U4041" s="5">
        <f>OrdersTable[[#This Row],[Gross Sale]]-OrdersTable[[#This Row],[Discount Amount]]</f>
        <v>2249.25</v>
      </c>
      <c r="V4041" s="77">
        <f>INDEX(Products!E:E,MATCH(OrdersTable[[#This Row],[Product ID]],Products!A:A,0))</f>
        <v>1440</v>
      </c>
      <c r="W4041" s="77">
        <f>OrdersTable[[#This Row],[Quantity]]*OrdersTable[[#This Row],[Unit Cost]]</f>
        <v>1440</v>
      </c>
      <c r="X4041" s="77">
        <f>'Dropdown Lists'!$I$2*(1+OrdersTable[[#This Row],[Returned]])</f>
        <v>60</v>
      </c>
      <c r="Y4041" s="76">
        <f>OrdersTable[[#This Row],[Net Revenue]]-OrdersTable[[#This Row],[COGS]]-OrdersTable[[#This Row],[Shipping Cost]]</f>
        <v>749.25</v>
      </c>
      <c r="Z4041" s="78">
        <f>IFERROR(OrdersTable[[#This Row],[Profit]]/OrdersTable[[#This Row],[Net Revenue]],0)</f>
        <v>0.33311103701233746</v>
      </c>
      <c r="AA4041" t="s">
        <v>2522</v>
      </c>
      <c r="AB4041" s="79">
        <v>45938</v>
      </c>
      <c r="AC4041">
        <f>OrdersTable[[#This Row],[Delivery Date]]-OrdersTable[[#This Row],[Order Date]]</f>
        <v>2</v>
      </c>
      <c r="AD4041" t="str">
        <f>IF(OrdersTable[[#This Row],[Delivery Days]]&lt;=2, "Express (≤2d)", IF(OrdersTable[[#This Row],[Delivery Days]]&lt;=4, "Standard (3-4d)", "Delayed (5d+)"))</f>
        <v>Express (≤2d)</v>
      </c>
      <c r="AE4041">
        <v>4</v>
      </c>
      <c r="AF4041">
        <v>0</v>
      </c>
    </row>
    <row r="4042" spans="1:32" ht="15" x14ac:dyDescent="0.35">
      <c r="A4042" t="s">
        <v>683</v>
      </c>
      <c r="B4042" s="1">
        <v>45936</v>
      </c>
      <c r="C4042">
        <f>YEAR(OrdersTable[[#This Row],[Order Date]])</f>
        <v>2025</v>
      </c>
      <c r="D4042" s="2">
        <f>DATE(YEAR(OrdersTable[[#This Row],[Order Date]]),MONTH(OrdersTable[[#This Row],[Order Date]]),1)</f>
        <v>45931</v>
      </c>
      <c r="E4042">
        <f>MONTH(OrdersTable[[#This Row],[Order Date]])</f>
        <v>10</v>
      </c>
      <c r="F4042" t="s">
        <v>684</v>
      </c>
      <c r="G4042" t="str">
        <f>IF(OrdersTable[[#This Row],[Order Date]]=_xlfn.MINIFS(Order_Date, Customer_ID, OrdersTable[[#This Row],[Customer ID]]), "New", "Repeat")</f>
        <v>Repeat</v>
      </c>
      <c r="H4042" t="s">
        <v>76</v>
      </c>
      <c r="I4042" t="str">
        <f>INDEX(State!B:B,MATCH(OrdersTable[[#This Row],[State]],State!A:A,0))</f>
        <v>UP</v>
      </c>
      <c r="J4042" t="str">
        <f>INDEX(State!C:C,MATCH(OrdersTable[[#This Row],[State Code]],State!B:B,0))</f>
        <v>North</v>
      </c>
      <c r="K4042" t="s">
        <v>105</v>
      </c>
      <c r="L4042" t="s">
        <v>65</v>
      </c>
      <c r="M4042" t="s">
        <v>148</v>
      </c>
      <c r="N4042" t="str">
        <f>INDEX(Products!B:B,MATCH(OrdersTable[[#This Row],[Product ID]],Products!A:A,0))</f>
        <v>Smartwatch Strap</v>
      </c>
      <c r="O4042" t="str">
        <f>INDEX(Products!C:C,MATCH(OrdersTable[[#This Row],[Product ID]],Products!A:A,0))</f>
        <v>Electronics</v>
      </c>
      <c r="P4042">
        <v>1</v>
      </c>
      <c r="Q4042" s="5">
        <v>499</v>
      </c>
      <c r="R4042" s="74">
        <v>0.2</v>
      </c>
      <c r="S4042" s="75">
        <f>OrdersTable[[#This Row],[Quantity]]*OrdersTable[[#This Row],[Unit Price]]</f>
        <v>499</v>
      </c>
      <c r="T4042" s="5">
        <f>OrdersTable[[#This Row],[Gross Sale]]*OrdersTable[[#This Row],[Discount_Clean2]]</f>
        <v>99.800000000000011</v>
      </c>
      <c r="U4042" s="5">
        <f>OrdersTable[[#This Row],[Gross Sale]]-OrdersTable[[#This Row],[Discount Amount]]</f>
        <v>399.2</v>
      </c>
      <c r="V4042" s="77">
        <f>INDEX(Products!E:E,MATCH(OrdersTable[[#This Row],[Product ID]],Products!A:A,0))</f>
        <v>200</v>
      </c>
      <c r="W4042" s="77">
        <f>OrdersTable[[#This Row],[Quantity]]*OrdersTable[[#This Row],[Unit Cost]]</f>
        <v>200</v>
      </c>
      <c r="X4042" s="77">
        <f>'Dropdown Lists'!$I$2*(1+OrdersTable[[#This Row],[Returned]])</f>
        <v>60</v>
      </c>
      <c r="Y4042" s="76">
        <f>OrdersTable[[#This Row],[Net Revenue]]-OrdersTable[[#This Row],[COGS]]-OrdersTable[[#This Row],[Shipping Cost]]</f>
        <v>139.19999999999999</v>
      </c>
      <c r="Z4042" s="78">
        <f>IFERROR(OrdersTable[[#This Row],[Profit]]/OrdersTable[[#This Row],[Net Revenue]],0)</f>
        <v>0.34869739478957912</v>
      </c>
      <c r="AA4042" t="s">
        <v>18</v>
      </c>
      <c r="AB4042" s="79">
        <v>45940</v>
      </c>
      <c r="AC4042">
        <f>OrdersTable[[#This Row],[Delivery Date]]-OrdersTable[[#This Row],[Order Date]]</f>
        <v>4</v>
      </c>
      <c r="AD4042" t="str">
        <f>IF(OrdersTable[[#This Row],[Delivery Days]]&lt;=2, "Express (≤2d)", IF(OrdersTable[[#This Row],[Delivery Days]]&lt;=4, "Standard (3-4d)", "Delayed (5d+)"))</f>
        <v>Standard (3-4d)</v>
      </c>
      <c r="AE4042">
        <v>4</v>
      </c>
      <c r="AF4042">
        <v>0</v>
      </c>
    </row>
    <row r="4043" spans="1:32" ht="15" x14ac:dyDescent="0.35">
      <c r="A4043" t="s">
        <v>5441</v>
      </c>
      <c r="B4043" s="1">
        <v>45936</v>
      </c>
      <c r="C4043">
        <f>YEAR(OrdersTable[[#This Row],[Order Date]])</f>
        <v>2025</v>
      </c>
      <c r="D4043" s="2">
        <f>DATE(YEAR(OrdersTable[[#This Row],[Order Date]]),MONTH(OrdersTable[[#This Row],[Order Date]]),1)</f>
        <v>45931</v>
      </c>
      <c r="E4043">
        <f>MONTH(OrdersTable[[#This Row],[Order Date]])</f>
        <v>10</v>
      </c>
      <c r="F4043" t="s">
        <v>2133</v>
      </c>
      <c r="G4043" t="str">
        <f>IF(OrdersTable[[#This Row],[Order Date]]=_xlfn.MINIFS(Order_Date, Customer_ID, OrdersTable[[#This Row],[Customer ID]]), "New", "Repeat")</f>
        <v>Repeat</v>
      </c>
      <c r="H4043" t="s">
        <v>32</v>
      </c>
      <c r="I4043" t="str">
        <f>INDEX(State!B:B,MATCH(OrdersTable[[#This Row],[State]],State!A:A,0))</f>
        <v>BR</v>
      </c>
      <c r="J4043" t="str">
        <f>INDEX(State!C:C,MATCH(OrdersTable[[#This Row],[State Code]],State!B:B,0))</f>
        <v>East</v>
      </c>
      <c r="K4043" t="s">
        <v>33</v>
      </c>
      <c r="L4043" t="s">
        <v>16</v>
      </c>
      <c r="M4043" t="s">
        <v>87</v>
      </c>
      <c r="N4043" t="str">
        <f>INDEX(Products!B:B,MATCH(OrdersTable[[#This Row],[Product ID]],Products!A:A,0))</f>
        <v>Linen Kurta</v>
      </c>
      <c r="O4043" t="str">
        <f>INDEX(Products!C:C,MATCH(OrdersTable[[#This Row],[Product ID]],Products!A:A,0))</f>
        <v>Apparel</v>
      </c>
      <c r="P4043">
        <v>2</v>
      </c>
      <c r="Q4043" s="5">
        <v>1499</v>
      </c>
      <c r="R4043" s="74">
        <v>0.45</v>
      </c>
      <c r="S4043" s="75">
        <f>OrdersTable[[#This Row],[Quantity]]*OrdersTable[[#This Row],[Unit Price]]</f>
        <v>2998</v>
      </c>
      <c r="T4043" s="5">
        <f>OrdersTable[[#This Row],[Gross Sale]]*OrdersTable[[#This Row],[Discount_Clean2]]</f>
        <v>1349.1000000000001</v>
      </c>
      <c r="U4043" s="5">
        <f>OrdersTable[[#This Row],[Gross Sale]]-OrdersTable[[#This Row],[Discount Amount]]</f>
        <v>1648.8999999999999</v>
      </c>
      <c r="V4043" s="77">
        <f>INDEX(Products!E:E,MATCH(OrdersTable[[#This Row],[Product ID]],Products!A:A,0))</f>
        <v>630</v>
      </c>
      <c r="W4043" s="77">
        <f>OrdersTable[[#This Row],[Quantity]]*OrdersTable[[#This Row],[Unit Cost]]</f>
        <v>1260</v>
      </c>
      <c r="X4043" s="77">
        <f>'Dropdown Lists'!$I$2*(1+OrdersTable[[#This Row],[Returned]])</f>
        <v>60</v>
      </c>
      <c r="Y4043" s="76">
        <f>OrdersTable[[#This Row],[Net Revenue]]-OrdersTable[[#This Row],[COGS]]-OrdersTable[[#This Row],[Shipping Cost]]</f>
        <v>328.89999999999986</v>
      </c>
      <c r="Z4043" s="78">
        <f>IFERROR(OrdersTable[[#This Row],[Profit]]/OrdersTable[[#This Row],[Net Revenue]],0)</f>
        <v>0.19946631087391586</v>
      </c>
      <c r="AA4043" t="s">
        <v>2522</v>
      </c>
      <c r="AB4043" s="79">
        <v>45941</v>
      </c>
      <c r="AC4043">
        <f>OrdersTable[[#This Row],[Delivery Date]]-OrdersTable[[#This Row],[Order Date]]</f>
        <v>5</v>
      </c>
      <c r="AD4043" t="str">
        <f>IF(OrdersTable[[#This Row],[Delivery Days]]&lt;=2, "Express (≤2d)", IF(OrdersTable[[#This Row],[Delivery Days]]&lt;=4, "Standard (3-4d)", "Delayed (5d+)"))</f>
        <v>Delayed (5d+)</v>
      </c>
      <c r="AF4043">
        <v>0</v>
      </c>
    </row>
    <row r="4044" spans="1:32" ht="15" x14ac:dyDescent="0.35">
      <c r="A4044" t="s">
        <v>3808</v>
      </c>
      <c r="B4044" s="1">
        <v>45936</v>
      </c>
      <c r="C4044">
        <f>YEAR(OrdersTable[[#This Row],[Order Date]])</f>
        <v>2025</v>
      </c>
      <c r="D4044" s="2">
        <f>DATE(YEAR(OrdersTable[[#This Row],[Order Date]]),MONTH(OrdersTable[[#This Row],[Order Date]]),1)</f>
        <v>45931</v>
      </c>
      <c r="E4044">
        <f>MONTH(OrdersTable[[#This Row],[Order Date]])</f>
        <v>10</v>
      </c>
      <c r="F4044" t="s">
        <v>3809</v>
      </c>
      <c r="G4044" t="str">
        <f>IF(OrdersTable[[#This Row],[Order Date]]=_xlfn.MINIFS(Order_Date, Customer_ID, OrdersTable[[#This Row],[Customer ID]]), "New", "Repeat")</f>
        <v>New</v>
      </c>
      <c r="H4044" t="s">
        <v>37</v>
      </c>
      <c r="I4044" t="str">
        <f>INDEX(State!B:B,MATCH(OrdersTable[[#This Row],[State]],State!A:A,0))</f>
        <v>GJ</v>
      </c>
      <c r="J4044" t="str">
        <f>INDEX(State!C:C,MATCH(OrdersTable[[#This Row],[State Code]],State!B:B,0))</f>
        <v>West</v>
      </c>
      <c r="K4044" t="s">
        <v>247</v>
      </c>
      <c r="L4044" t="s">
        <v>65</v>
      </c>
      <c r="M4044" t="s">
        <v>176</v>
      </c>
      <c r="N4044" t="str">
        <f>INDEX(Products!B:B,MATCH(OrdersTable[[#This Row],[Product ID]],Products!A:A,0))</f>
        <v>Denim Jacket</v>
      </c>
      <c r="O4044" t="str">
        <f>INDEX(Products!C:C,MATCH(OrdersTable[[#This Row],[Product ID]],Products!A:A,0))</f>
        <v>Apparel</v>
      </c>
      <c r="P4044">
        <v>1</v>
      </c>
      <c r="Q4044" s="5">
        <v>2499</v>
      </c>
      <c r="R4044" s="74">
        <v>0.15</v>
      </c>
      <c r="S4044" s="75">
        <f>OrdersTable[[#This Row],[Quantity]]*OrdersTable[[#This Row],[Unit Price]]</f>
        <v>2499</v>
      </c>
      <c r="T4044" s="5">
        <f>OrdersTable[[#This Row],[Gross Sale]]*OrdersTable[[#This Row],[Discount_Clean2]]</f>
        <v>374.84999999999997</v>
      </c>
      <c r="U4044" s="5">
        <f>OrdersTable[[#This Row],[Gross Sale]]-OrdersTable[[#This Row],[Discount Amount]]</f>
        <v>2124.15</v>
      </c>
      <c r="V4044" s="77">
        <f>INDEX(Products!E:E,MATCH(OrdersTable[[#This Row],[Product ID]],Products!A:A,0))</f>
        <v>1125</v>
      </c>
      <c r="W4044" s="77">
        <f>OrdersTable[[#This Row],[Quantity]]*OrdersTable[[#This Row],[Unit Cost]]</f>
        <v>1125</v>
      </c>
      <c r="X4044" s="77">
        <f>'Dropdown Lists'!$I$2*(1+OrdersTable[[#This Row],[Returned]])</f>
        <v>120</v>
      </c>
      <c r="Y4044" s="76">
        <f>OrdersTable[[#This Row],[Net Revenue]]-OrdersTable[[#This Row],[COGS]]-OrdersTable[[#This Row],[Shipping Cost]]</f>
        <v>879.15000000000009</v>
      </c>
      <c r="Z4044" s="78">
        <f>IFERROR(OrdersTable[[#This Row],[Profit]]/OrdersTable[[#This Row],[Net Revenue]],0)</f>
        <v>0.41388320033895915</v>
      </c>
      <c r="AA4044" t="s">
        <v>3495</v>
      </c>
      <c r="AB4044" s="79">
        <v>45939</v>
      </c>
      <c r="AC4044">
        <f>OrdersTable[[#This Row],[Delivery Date]]-OrdersTable[[#This Row],[Order Date]]</f>
        <v>3</v>
      </c>
      <c r="AD4044" t="str">
        <f>IF(OrdersTable[[#This Row],[Delivery Days]]&lt;=2, "Express (≤2d)", IF(OrdersTable[[#This Row],[Delivery Days]]&lt;=4, "Standard (3-4d)", "Delayed (5d+)"))</f>
        <v>Standard (3-4d)</v>
      </c>
      <c r="AF4044">
        <v>1</v>
      </c>
    </row>
    <row r="4045" spans="1:32" ht="15" x14ac:dyDescent="0.35">
      <c r="A4045" t="s">
        <v>4863</v>
      </c>
      <c r="B4045" s="1">
        <v>45936</v>
      </c>
      <c r="C4045">
        <f>YEAR(OrdersTable[[#This Row],[Order Date]])</f>
        <v>2025</v>
      </c>
      <c r="D4045" s="2">
        <f>DATE(YEAR(OrdersTable[[#This Row],[Order Date]]),MONTH(OrdersTable[[#This Row],[Order Date]]),1)</f>
        <v>45931</v>
      </c>
      <c r="E4045">
        <f>MONTH(OrdersTable[[#This Row],[Order Date]])</f>
        <v>10</v>
      </c>
      <c r="F4045" t="s">
        <v>1673</v>
      </c>
      <c r="G4045" t="str">
        <f>IF(OrdersTable[[#This Row],[Order Date]]=_xlfn.MINIFS(Order_Date, Customer_ID, OrdersTable[[#This Row],[Customer ID]]), "New", "Repeat")</f>
        <v>Repeat</v>
      </c>
      <c r="H4045" t="s">
        <v>275</v>
      </c>
      <c r="I4045" t="str">
        <f>INDEX(State!B:B,MATCH(OrdersTable[[#This Row],[State]],State!A:A,0))</f>
        <v>AP</v>
      </c>
      <c r="J4045" t="str">
        <f>INDEX(State!C:C,MATCH(OrdersTable[[#This Row],[State Code]],State!B:B,0))</f>
        <v>South</v>
      </c>
      <c r="K4045" t="s">
        <v>276</v>
      </c>
      <c r="L4045" t="s">
        <v>23</v>
      </c>
      <c r="M4045" t="s">
        <v>56</v>
      </c>
      <c r="N4045" t="str">
        <f>INDEX(Products!B:B,MATCH(OrdersTable[[#This Row],[Product ID]],Products!A:A,0))</f>
        <v>Vitamin C Face Serum</v>
      </c>
      <c r="O4045" t="str">
        <f>INDEX(Products!C:C,MATCH(OrdersTable[[#This Row],[Product ID]],Products!A:A,0))</f>
        <v>Skincare</v>
      </c>
      <c r="P4045">
        <v>2</v>
      </c>
      <c r="Q4045" s="5">
        <v>599</v>
      </c>
      <c r="R4045" s="74">
        <v>0.35</v>
      </c>
      <c r="S4045" s="75">
        <f>OrdersTable[[#This Row],[Quantity]]*OrdersTable[[#This Row],[Unit Price]]</f>
        <v>1198</v>
      </c>
      <c r="T4045" s="5">
        <f>OrdersTable[[#This Row],[Gross Sale]]*OrdersTable[[#This Row],[Discount_Clean2]]</f>
        <v>419.29999999999995</v>
      </c>
      <c r="U4045" s="5">
        <f>OrdersTable[[#This Row],[Gross Sale]]-OrdersTable[[#This Row],[Discount Amount]]</f>
        <v>778.7</v>
      </c>
      <c r="V4045" s="77">
        <f>INDEX(Products!E:E,MATCH(OrdersTable[[#This Row],[Product ID]],Products!A:A,0))</f>
        <v>180</v>
      </c>
      <c r="W4045" s="77">
        <f>OrdersTable[[#This Row],[Quantity]]*OrdersTable[[#This Row],[Unit Cost]]</f>
        <v>360</v>
      </c>
      <c r="X4045" s="77">
        <f>'Dropdown Lists'!$I$2*(1+OrdersTable[[#This Row],[Returned]])</f>
        <v>60</v>
      </c>
      <c r="Y4045" s="76">
        <f>OrdersTable[[#This Row],[Net Revenue]]-OrdersTable[[#This Row],[COGS]]-OrdersTable[[#This Row],[Shipping Cost]]</f>
        <v>358.70000000000005</v>
      </c>
      <c r="Z4045" s="78">
        <f>IFERROR(OrdersTable[[#This Row],[Profit]]/OrdersTable[[#This Row],[Net Revenue]],0)</f>
        <v>0.4606395274174907</v>
      </c>
      <c r="AA4045" t="s">
        <v>4450</v>
      </c>
      <c r="AB4045" s="79">
        <v>45942</v>
      </c>
      <c r="AC4045">
        <f>OrdersTable[[#This Row],[Delivery Date]]-OrdersTable[[#This Row],[Order Date]]</f>
        <v>6</v>
      </c>
      <c r="AD4045" t="str">
        <f>IF(OrdersTable[[#This Row],[Delivery Days]]&lt;=2, "Express (≤2d)", IF(OrdersTable[[#This Row],[Delivery Days]]&lt;=4, "Standard (3-4d)", "Delayed (5d+)"))</f>
        <v>Delayed (5d+)</v>
      </c>
      <c r="AE4045">
        <v>3</v>
      </c>
      <c r="AF4045">
        <v>0</v>
      </c>
    </row>
    <row r="4046" spans="1:32" ht="15" x14ac:dyDescent="0.35">
      <c r="A4046" t="s">
        <v>5229</v>
      </c>
      <c r="B4046" s="1">
        <v>45936</v>
      </c>
      <c r="C4046">
        <f>YEAR(OrdersTable[[#This Row],[Order Date]])</f>
        <v>2025</v>
      </c>
      <c r="D4046" s="2">
        <f>DATE(YEAR(OrdersTable[[#This Row],[Order Date]]),MONTH(OrdersTable[[#This Row],[Order Date]]),1)</f>
        <v>45931</v>
      </c>
      <c r="E4046">
        <f>MONTH(OrdersTable[[#This Row],[Order Date]])</f>
        <v>10</v>
      </c>
      <c r="F4046" t="s">
        <v>5230</v>
      </c>
      <c r="G4046" t="str">
        <f>IF(OrdersTable[[#This Row],[Order Date]]=_xlfn.MINIFS(Order_Date, Customer_ID, OrdersTable[[#This Row],[Customer ID]]), "New", "Repeat")</f>
        <v>Repeat</v>
      </c>
      <c r="H4046" t="s">
        <v>275</v>
      </c>
      <c r="I4046" t="str">
        <f>INDEX(State!B:B,MATCH(OrdersTable[[#This Row],[State]],State!A:A,0))</f>
        <v>AP</v>
      </c>
      <c r="J4046" t="str">
        <f>INDEX(State!C:C,MATCH(OrdersTable[[#This Row],[State Code]],State!B:B,0))</f>
        <v>South</v>
      </c>
      <c r="K4046" t="s">
        <v>276</v>
      </c>
      <c r="L4046" t="s">
        <v>16</v>
      </c>
      <c r="M4046" t="s">
        <v>205</v>
      </c>
      <c r="N4046" t="str">
        <f>INDEX(Products!B:B,MATCH(OrdersTable[[#This Row],[Product ID]],Products!A:A,0))</f>
        <v>Running Shoes</v>
      </c>
      <c r="O4046" t="str">
        <f>INDEX(Products!C:C,MATCH(OrdersTable[[#This Row],[Product ID]],Products!A:A,0))</f>
        <v>Footwear</v>
      </c>
      <c r="P4046">
        <v>2</v>
      </c>
      <c r="Q4046" s="5">
        <v>2999</v>
      </c>
      <c r="R4046" s="74">
        <v>0.35</v>
      </c>
      <c r="S4046" s="75">
        <f>OrdersTable[[#This Row],[Quantity]]*OrdersTable[[#This Row],[Unit Price]]</f>
        <v>5998</v>
      </c>
      <c r="T4046" s="5">
        <f>OrdersTable[[#This Row],[Gross Sale]]*OrdersTable[[#This Row],[Discount_Clean2]]</f>
        <v>2099.2999999999997</v>
      </c>
      <c r="U4046" s="5">
        <f>OrdersTable[[#This Row],[Gross Sale]]-OrdersTable[[#This Row],[Discount Amount]]</f>
        <v>3898.7000000000003</v>
      </c>
      <c r="V4046" s="77">
        <f>INDEX(Products!E:E,MATCH(OrdersTable[[#This Row],[Product ID]],Products!A:A,0))</f>
        <v>1440</v>
      </c>
      <c r="W4046" s="77">
        <f>OrdersTable[[#This Row],[Quantity]]*OrdersTable[[#This Row],[Unit Cost]]</f>
        <v>2880</v>
      </c>
      <c r="X4046" s="77">
        <f>'Dropdown Lists'!$I$2*(1+OrdersTable[[#This Row],[Returned]])</f>
        <v>120</v>
      </c>
      <c r="Y4046" s="76">
        <f>OrdersTable[[#This Row],[Net Revenue]]-OrdersTable[[#This Row],[COGS]]-OrdersTable[[#This Row],[Shipping Cost]]</f>
        <v>898.70000000000027</v>
      </c>
      <c r="Z4046" s="78">
        <f>IFERROR(OrdersTable[[#This Row],[Profit]]/OrdersTable[[#This Row],[Net Revenue]],0)</f>
        <v>0.23051273501423558</v>
      </c>
      <c r="AA4046" t="s">
        <v>3495</v>
      </c>
      <c r="AB4046" s="79">
        <v>45940</v>
      </c>
      <c r="AC4046">
        <f>OrdersTable[[#This Row],[Delivery Date]]-OrdersTable[[#This Row],[Order Date]]</f>
        <v>4</v>
      </c>
      <c r="AD4046" t="str">
        <f>IF(OrdersTable[[#This Row],[Delivery Days]]&lt;=2, "Express (≤2d)", IF(OrdersTable[[#This Row],[Delivery Days]]&lt;=4, "Standard (3-4d)", "Delayed (5d+)"))</f>
        <v>Standard (3-4d)</v>
      </c>
      <c r="AE4046">
        <v>2</v>
      </c>
      <c r="AF4046">
        <v>1</v>
      </c>
    </row>
    <row r="4047" spans="1:32" ht="15" x14ac:dyDescent="0.35">
      <c r="A4047" t="s">
        <v>5544</v>
      </c>
      <c r="B4047" s="1">
        <v>45936</v>
      </c>
      <c r="C4047">
        <f>YEAR(OrdersTable[[#This Row],[Order Date]])</f>
        <v>2025</v>
      </c>
      <c r="D4047" s="2">
        <f>DATE(YEAR(OrdersTable[[#This Row],[Order Date]]),MONTH(OrdersTable[[#This Row],[Order Date]]),1)</f>
        <v>45931</v>
      </c>
      <c r="E4047">
        <f>MONTH(OrdersTable[[#This Row],[Order Date]])</f>
        <v>10</v>
      </c>
      <c r="F4047" t="s">
        <v>5545</v>
      </c>
      <c r="G4047" t="str">
        <f>IF(OrdersTable[[#This Row],[Order Date]]=_xlfn.MINIFS(Order_Date, Customer_ID, OrdersTable[[#This Row],[Customer ID]]), "New", "Repeat")</f>
        <v>Repeat</v>
      </c>
      <c r="H4047" t="s">
        <v>275</v>
      </c>
      <c r="I4047" t="str">
        <f>INDEX(State!B:B,MATCH(OrdersTable[[#This Row],[State]],State!A:A,0))</f>
        <v>AP</v>
      </c>
      <c r="J4047" t="str">
        <f>INDEX(State!C:C,MATCH(OrdersTable[[#This Row],[State Code]],State!B:B,0))</f>
        <v>South</v>
      </c>
      <c r="K4047" t="s">
        <v>276</v>
      </c>
      <c r="L4047" t="s">
        <v>65</v>
      </c>
      <c r="M4047" t="s">
        <v>56</v>
      </c>
      <c r="N4047" t="str">
        <f>INDEX(Products!B:B,MATCH(OrdersTable[[#This Row],[Product ID]],Products!A:A,0))</f>
        <v>Vitamin C Face Serum</v>
      </c>
      <c r="O4047" t="str">
        <f>INDEX(Products!C:C,MATCH(OrdersTable[[#This Row],[Product ID]],Products!A:A,0))</f>
        <v>Skincare</v>
      </c>
      <c r="P4047">
        <v>2</v>
      </c>
      <c r="Q4047" s="5">
        <v>599</v>
      </c>
      <c r="R4047" s="74">
        <v>0.3</v>
      </c>
      <c r="S4047" s="75">
        <f>OrdersTable[[#This Row],[Quantity]]*OrdersTable[[#This Row],[Unit Price]]</f>
        <v>1198</v>
      </c>
      <c r="T4047" s="5">
        <f>OrdersTable[[#This Row],[Gross Sale]]*OrdersTable[[#This Row],[Discount_Clean2]]</f>
        <v>359.4</v>
      </c>
      <c r="U4047" s="5">
        <f>OrdersTable[[#This Row],[Gross Sale]]-OrdersTable[[#This Row],[Discount Amount]]</f>
        <v>838.6</v>
      </c>
      <c r="V4047" s="77">
        <f>INDEX(Products!E:E,MATCH(OrdersTable[[#This Row],[Product ID]],Products!A:A,0))</f>
        <v>180</v>
      </c>
      <c r="W4047" s="77">
        <f>OrdersTable[[#This Row],[Quantity]]*OrdersTable[[#This Row],[Unit Cost]]</f>
        <v>360</v>
      </c>
      <c r="X4047" s="77">
        <f>'Dropdown Lists'!$I$2*(1+OrdersTable[[#This Row],[Returned]])</f>
        <v>60</v>
      </c>
      <c r="Y4047" s="76">
        <f>OrdersTable[[#This Row],[Net Revenue]]-OrdersTable[[#This Row],[COGS]]-OrdersTable[[#This Row],[Shipping Cost]]</f>
        <v>418.6</v>
      </c>
      <c r="Z4047" s="78">
        <f>IFERROR(OrdersTable[[#This Row],[Profit]]/OrdersTable[[#This Row],[Net Revenue]],0)</f>
        <v>0.4991652754590985</v>
      </c>
      <c r="AA4047" t="s">
        <v>2522</v>
      </c>
      <c r="AB4047" s="79">
        <v>45939</v>
      </c>
      <c r="AC4047">
        <f>OrdersTable[[#This Row],[Delivery Date]]-OrdersTable[[#This Row],[Order Date]]</f>
        <v>3</v>
      </c>
      <c r="AD4047" t="str">
        <f>IF(OrdersTable[[#This Row],[Delivery Days]]&lt;=2, "Express (≤2d)", IF(OrdersTable[[#This Row],[Delivery Days]]&lt;=4, "Standard (3-4d)", "Delayed (5d+)"))</f>
        <v>Standard (3-4d)</v>
      </c>
      <c r="AE4047">
        <v>4</v>
      </c>
      <c r="AF4047">
        <v>0</v>
      </c>
    </row>
    <row r="4048" spans="1:32" ht="15" x14ac:dyDescent="0.35">
      <c r="A4048" t="s">
        <v>5991</v>
      </c>
      <c r="B4048" s="1">
        <v>45936</v>
      </c>
      <c r="C4048">
        <f>YEAR(OrdersTable[[#This Row],[Order Date]])</f>
        <v>2025</v>
      </c>
      <c r="D4048" s="2">
        <f>DATE(YEAR(OrdersTable[[#This Row],[Order Date]]),MONTH(OrdersTable[[#This Row],[Order Date]]),1)</f>
        <v>45931</v>
      </c>
      <c r="E4048">
        <f>MONTH(OrdersTable[[#This Row],[Order Date]])</f>
        <v>10</v>
      </c>
      <c r="F4048" t="s">
        <v>5992</v>
      </c>
      <c r="G4048" t="str">
        <f>IF(OrdersTable[[#This Row],[Order Date]]=_xlfn.MINIFS(Order_Date, Customer_ID, OrdersTable[[#This Row],[Customer ID]]), "New", "Repeat")</f>
        <v>New</v>
      </c>
      <c r="H4048" t="s">
        <v>316</v>
      </c>
      <c r="I4048" t="str">
        <f>INDEX(State!B:B,MATCH(OrdersTable[[#This Row],[State]],State!A:A,0))</f>
        <v>KL</v>
      </c>
      <c r="J4048" t="str">
        <f>INDEX(State!C:C,MATCH(OrdersTable[[#This Row],[State Code]],State!B:B,0))</f>
        <v>South</v>
      </c>
      <c r="K4048" t="s">
        <v>338</v>
      </c>
      <c r="L4048" t="s">
        <v>39</v>
      </c>
      <c r="M4048" t="s">
        <v>56</v>
      </c>
      <c r="N4048" t="str">
        <f>INDEX(Products!B:B,MATCH(OrdersTable[[#This Row],[Product ID]],Products!A:A,0))</f>
        <v>Vitamin C Face Serum</v>
      </c>
      <c r="O4048" t="str">
        <f>INDEX(Products!C:C,MATCH(OrdersTable[[#This Row],[Product ID]],Products!A:A,0))</f>
        <v>Skincare</v>
      </c>
      <c r="P4048">
        <v>2</v>
      </c>
      <c r="Q4048" s="5">
        <v>599</v>
      </c>
      <c r="R4048" s="74">
        <v>0.35</v>
      </c>
      <c r="S4048" s="75">
        <f>OrdersTable[[#This Row],[Quantity]]*OrdersTable[[#This Row],[Unit Price]]</f>
        <v>1198</v>
      </c>
      <c r="T4048" s="5">
        <f>OrdersTable[[#This Row],[Gross Sale]]*OrdersTable[[#This Row],[Discount_Clean2]]</f>
        <v>419.29999999999995</v>
      </c>
      <c r="U4048" s="5">
        <f>OrdersTable[[#This Row],[Gross Sale]]-OrdersTable[[#This Row],[Discount Amount]]</f>
        <v>778.7</v>
      </c>
      <c r="V4048" s="77">
        <f>INDEX(Products!E:E,MATCH(OrdersTable[[#This Row],[Product ID]],Products!A:A,0))</f>
        <v>180</v>
      </c>
      <c r="W4048" s="77">
        <f>OrdersTable[[#This Row],[Quantity]]*OrdersTable[[#This Row],[Unit Cost]]</f>
        <v>360</v>
      </c>
      <c r="X4048" s="77">
        <f>'Dropdown Lists'!$I$2*(1+OrdersTable[[#This Row],[Returned]])</f>
        <v>60</v>
      </c>
      <c r="Y4048" s="76">
        <f>OrdersTable[[#This Row],[Net Revenue]]-OrdersTable[[#This Row],[COGS]]-OrdersTable[[#This Row],[Shipping Cost]]</f>
        <v>358.70000000000005</v>
      </c>
      <c r="Z4048" s="78">
        <f>IFERROR(OrdersTable[[#This Row],[Profit]]/OrdersTable[[#This Row],[Net Revenue]],0)</f>
        <v>0.4606395274174907</v>
      </c>
      <c r="AA4048" t="s">
        <v>18</v>
      </c>
      <c r="AB4048" s="79">
        <v>45942</v>
      </c>
      <c r="AC4048">
        <f>OrdersTable[[#This Row],[Delivery Date]]-OrdersTable[[#This Row],[Order Date]]</f>
        <v>6</v>
      </c>
      <c r="AD4048" t="str">
        <f>IF(OrdersTable[[#This Row],[Delivery Days]]&lt;=2, "Express (≤2d)", IF(OrdersTable[[#This Row],[Delivery Days]]&lt;=4, "Standard (3-4d)", "Delayed (5d+)"))</f>
        <v>Delayed (5d+)</v>
      </c>
      <c r="AF4048">
        <v>0</v>
      </c>
    </row>
    <row r="4049" spans="1:32" ht="15" x14ac:dyDescent="0.35">
      <c r="A4049" t="s">
        <v>4540</v>
      </c>
      <c r="B4049" s="1">
        <v>45936</v>
      </c>
      <c r="C4049">
        <f>YEAR(OrdersTable[[#This Row],[Order Date]])</f>
        <v>2025</v>
      </c>
      <c r="D4049" s="2">
        <f>DATE(YEAR(OrdersTable[[#This Row],[Order Date]]),MONTH(OrdersTable[[#This Row],[Order Date]]),1)</f>
        <v>45931</v>
      </c>
      <c r="E4049">
        <f>MONTH(OrdersTable[[#This Row],[Order Date]])</f>
        <v>10</v>
      </c>
      <c r="F4049" t="s">
        <v>4541</v>
      </c>
      <c r="G4049" t="str">
        <f>IF(OrdersTable[[#This Row],[Order Date]]=_xlfn.MINIFS(Order_Date, Customer_ID, OrdersTable[[#This Row],[Customer ID]]), "New", "Repeat")</f>
        <v>Repeat</v>
      </c>
      <c r="H4049" t="s">
        <v>59</v>
      </c>
      <c r="I4049" t="str">
        <f>INDEX(State!B:B,MATCH(OrdersTable[[#This Row],[State]],State!A:A,0))</f>
        <v>TN</v>
      </c>
      <c r="J4049" t="str">
        <f>INDEX(State!C:C,MATCH(OrdersTable[[#This Row],[State Code]],State!B:B,0))</f>
        <v>South</v>
      </c>
      <c r="K4049" t="s">
        <v>60</v>
      </c>
      <c r="L4049" t="s">
        <v>65</v>
      </c>
      <c r="M4049" t="s">
        <v>176</v>
      </c>
      <c r="N4049" t="str">
        <f>INDEX(Products!B:B,MATCH(OrdersTable[[#This Row],[Product ID]],Products!A:A,0))</f>
        <v>Denim Jacket</v>
      </c>
      <c r="O4049" t="str">
        <f>INDEX(Products!C:C,MATCH(OrdersTable[[#This Row],[Product ID]],Products!A:A,0))</f>
        <v>Apparel</v>
      </c>
      <c r="P4049">
        <v>1</v>
      </c>
      <c r="Q4049" s="5">
        <v>2499</v>
      </c>
      <c r="R4049" s="74">
        <v>0.1</v>
      </c>
      <c r="S4049" s="75">
        <f>OrdersTable[[#This Row],[Quantity]]*OrdersTable[[#This Row],[Unit Price]]</f>
        <v>2499</v>
      </c>
      <c r="T4049" s="5">
        <f>OrdersTable[[#This Row],[Gross Sale]]*OrdersTable[[#This Row],[Discount_Clean2]]</f>
        <v>249.9</v>
      </c>
      <c r="U4049" s="5">
        <f>OrdersTable[[#This Row],[Gross Sale]]-OrdersTable[[#This Row],[Discount Amount]]</f>
        <v>2249.1</v>
      </c>
      <c r="V4049" s="77">
        <f>INDEX(Products!E:E,MATCH(OrdersTable[[#This Row],[Product ID]],Products!A:A,0))</f>
        <v>1125</v>
      </c>
      <c r="W4049" s="77">
        <f>OrdersTable[[#This Row],[Quantity]]*OrdersTable[[#This Row],[Unit Cost]]</f>
        <v>1125</v>
      </c>
      <c r="X4049" s="77">
        <f>'Dropdown Lists'!$I$2*(1+OrdersTable[[#This Row],[Returned]])</f>
        <v>60</v>
      </c>
      <c r="Y4049" s="76">
        <f>OrdersTable[[#This Row],[Net Revenue]]-OrdersTable[[#This Row],[COGS]]-OrdersTable[[#This Row],[Shipping Cost]]</f>
        <v>1064.0999999999999</v>
      </c>
      <c r="Z4049" s="78">
        <f>IFERROR(OrdersTable[[#This Row],[Profit]]/OrdersTable[[#This Row],[Net Revenue]],0)</f>
        <v>0.4731225823662798</v>
      </c>
      <c r="AA4049" t="s">
        <v>4450</v>
      </c>
      <c r="AB4049" s="79">
        <v>45940</v>
      </c>
      <c r="AC4049">
        <f>OrdersTable[[#This Row],[Delivery Date]]-OrdersTable[[#This Row],[Order Date]]</f>
        <v>4</v>
      </c>
      <c r="AD4049" t="str">
        <f>IF(OrdersTable[[#This Row],[Delivery Days]]&lt;=2, "Express (≤2d)", IF(OrdersTable[[#This Row],[Delivery Days]]&lt;=4, "Standard (3-4d)", "Delayed (5d+)"))</f>
        <v>Standard (3-4d)</v>
      </c>
      <c r="AE4049">
        <v>4</v>
      </c>
      <c r="AF4049">
        <v>0</v>
      </c>
    </row>
    <row r="4050" spans="1:32" ht="15" x14ac:dyDescent="0.35">
      <c r="A4050" t="s">
        <v>5728</v>
      </c>
      <c r="B4050" s="1">
        <v>45937</v>
      </c>
      <c r="C4050">
        <f>YEAR(OrdersTable[[#This Row],[Order Date]])</f>
        <v>2025</v>
      </c>
      <c r="D4050" s="2">
        <f>DATE(YEAR(OrdersTable[[#This Row],[Order Date]]),MONTH(OrdersTable[[#This Row],[Order Date]]),1)</f>
        <v>45931</v>
      </c>
      <c r="E4050">
        <f>MONTH(OrdersTable[[#This Row],[Order Date]])</f>
        <v>10</v>
      </c>
      <c r="F4050" t="s">
        <v>3150</v>
      </c>
      <c r="G4050" t="str">
        <f>IF(OrdersTable[[#This Row],[Order Date]]=_xlfn.MINIFS(Order_Date, Customer_ID, OrdersTable[[#This Row],[Customer ID]]), "New", "Repeat")</f>
        <v>Repeat</v>
      </c>
      <c r="H4050" t="s">
        <v>128</v>
      </c>
      <c r="I4050" t="str">
        <f>INDEX(State!B:B,MATCH(OrdersTable[[#This Row],[State]],State!A:A,0))</f>
        <v>DL</v>
      </c>
      <c r="J4050" t="str">
        <f>INDEX(State!C:C,MATCH(OrdersTable[[#This Row],[State Code]],State!B:B,0))</f>
        <v>North</v>
      </c>
      <c r="K4050" t="s">
        <v>129</v>
      </c>
      <c r="L4050" t="s">
        <v>50</v>
      </c>
      <c r="M4050" t="s">
        <v>45</v>
      </c>
      <c r="N4050" t="str">
        <f>INDEX(Products!B:B,MATCH(OrdersTable[[#This Row],[Product ID]],Products!A:A,0))</f>
        <v>Argan Shampoo</v>
      </c>
      <c r="O4050" t="str">
        <f>INDEX(Products!C:C,MATCH(OrdersTable[[#This Row],[Product ID]],Products!A:A,0))</f>
        <v>Haircare</v>
      </c>
      <c r="P4050">
        <v>2</v>
      </c>
      <c r="Q4050" s="5">
        <v>449</v>
      </c>
      <c r="R4050" s="74">
        <v>0.2</v>
      </c>
      <c r="S4050" s="75">
        <f>OrdersTable[[#This Row],[Quantity]]*OrdersTable[[#This Row],[Unit Price]]</f>
        <v>898</v>
      </c>
      <c r="T4050" s="5">
        <f>OrdersTable[[#This Row],[Gross Sale]]*OrdersTable[[#This Row],[Discount_Clean2]]</f>
        <v>179.60000000000002</v>
      </c>
      <c r="U4050" s="5">
        <f>OrdersTable[[#This Row],[Gross Sale]]-OrdersTable[[#This Row],[Discount Amount]]</f>
        <v>718.4</v>
      </c>
      <c r="V4050" s="77">
        <f>INDEX(Products!E:E,MATCH(OrdersTable[[#This Row],[Product ID]],Products!A:A,0))</f>
        <v>148</v>
      </c>
      <c r="W4050" s="77">
        <f>OrdersTable[[#This Row],[Quantity]]*OrdersTable[[#This Row],[Unit Cost]]</f>
        <v>296</v>
      </c>
      <c r="X4050" s="77">
        <f>'Dropdown Lists'!$I$2*(1+OrdersTable[[#This Row],[Returned]])</f>
        <v>60</v>
      </c>
      <c r="Y4050" s="76">
        <f>OrdersTable[[#This Row],[Net Revenue]]-OrdersTable[[#This Row],[COGS]]-OrdersTable[[#This Row],[Shipping Cost]]</f>
        <v>362.4</v>
      </c>
      <c r="Z4050" s="78">
        <f>IFERROR(OrdersTable[[#This Row],[Profit]]/OrdersTable[[#This Row],[Net Revenue]],0)</f>
        <v>0.50445434298440983</v>
      </c>
      <c r="AA4050" t="s">
        <v>18</v>
      </c>
      <c r="AB4050" s="79">
        <v>45941</v>
      </c>
      <c r="AC4050">
        <f>OrdersTable[[#This Row],[Delivery Date]]-OrdersTable[[#This Row],[Order Date]]</f>
        <v>4</v>
      </c>
      <c r="AD4050" t="str">
        <f>IF(OrdersTable[[#This Row],[Delivery Days]]&lt;=2, "Express (≤2d)", IF(OrdersTable[[#This Row],[Delivery Days]]&lt;=4, "Standard (3-4d)", "Delayed (5d+)"))</f>
        <v>Standard (3-4d)</v>
      </c>
      <c r="AE4050">
        <v>3</v>
      </c>
      <c r="AF4050">
        <v>0</v>
      </c>
    </row>
    <row r="4051" spans="1:32" ht="15" x14ac:dyDescent="0.35">
      <c r="A4051" t="s">
        <v>3670</v>
      </c>
      <c r="B4051" s="1">
        <v>45937</v>
      </c>
      <c r="C4051">
        <f>YEAR(OrdersTable[[#This Row],[Order Date]])</f>
        <v>2025</v>
      </c>
      <c r="D4051" s="2">
        <f>DATE(YEAR(OrdersTable[[#This Row],[Order Date]]),MONTH(OrdersTable[[#This Row],[Order Date]]),1)</f>
        <v>45931</v>
      </c>
      <c r="E4051">
        <f>MONTH(OrdersTable[[#This Row],[Order Date]])</f>
        <v>10</v>
      </c>
      <c r="F4051" t="s">
        <v>1887</v>
      </c>
      <c r="G4051" t="str">
        <f>IF(OrdersTable[[#This Row],[Order Date]]=_xlfn.MINIFS(Order_Date, Customer_ID, OrdersTable[[#This Row],[Customer ID]]), "New", "Repeat")</f>
        <v>Repeat</v>
      </c>
      <c r="H4051" t="s">
        <v>128</v>
      </c>
      <c r="I4051" t="str">
        <f>INDEX(State!B:B,MATCH(OrdersTable[[#This Row],[State]],State!A:A,0))</f>
        <v>DL</v>
      </c>
      <c r="J4051" t="str">
        <f>INDEX(State!C:C,MATCH(OrdersTable[[#This Row],[State Code]],State!B:B,0))</f>
        <v>North</v>
      </c>
      <c r="K4051" t="s">
        <v>129</v>
      </c>
      <c r="L4051" t="s">
        <v>50</v>
      </c>
      <c r="M4051" t="s">
        <v>56</v>
      </c>
      <c r="N4051" t="str">
        <f>INDEX(Products!B:B,MATCH(OrdersTable[[#This Row],[Product ID]],Products!A:A,0))</f>
        <v>Vitamin C Face Serum</v>
      </c>
      <c r="O4051" t="str">
        <f>INDEX(Products!C:C,MATCH(OrdersTable[[#This Row],[Product ID]],Products!A:A,0))</f>
        <v>Skincare</v>
      </c>
      <c r="P4051">
        <v>1</v>
      </c>
      <c r="Q4051" s="5">
        <v>599</v>
      </c>
      <c r="R4051" s="74">
        <v>0.25</v>
      </c>
      <c r="S4051" s="75">
        <f>OrdersTable[[#This Row],[Quantity]]*OrdersTable[[#This Row],[Unit Price]]</f>
        <v>599</v>
      </c>
      <c r="T4051" s="5">
        <f>OrdersTable[[#This Row],[Gross Sale]]*OrdersTable[[#This Row],[Discount_Clean2]]</f>
        <v>149.75</v>
      </c>
      <c r="U4051" s="5">
        <f>OrdersTable[[#This Row],[Gross Sale]]-OrdersTable[[#This Row],[Discount Amount]]</f>
        <v>449.25</v>
      </c>
      <c r="V4051" s="77">
        <f>INDEX(Products!E:E,MATCH(OrdersTable[[#This Row],[Product ID]],Products!A:A,0))</f>
        <v>180</v>
      </c>
      <c r="W4051" s="77">
        <f>OrdersTable[[#This Row],[Quantity]]*OrdersTable[[#This Row],[Unit Cost]]</f>
        <v>180</v>
      </c>
      <c r="X4051" s="77">
        <f>'Dropdown Lists'!$I$2*(1+OrdersTable[[#This Row],[Returned]])</f>
        <v>60</v>
      </c>
      <c r="Y4051" s="76">
        <f>OrdersTable[[#This Row],[Net Revenue]]-OrdersTable[[#This Row],[COGS]]-OrdersTable[[#This Row],[Shipping Cost]]</f>
        <v>209.25</v>
      </c>
      <c r="Z4051" s="78">
        <f>IFERROR(OrdersTable[[#This Row],[Profit]]/OrdersTable[[#This Row],[Net Revenue]],0)</f>
        <v>0.46577629382303842</v>
      </c>
      <c r="AA4051" t="s">
        <v>3495</v>
      </c>
      <c r="AB4051" s="79">
        <v>45940</v>
      </c>
      <c r="AC4051">
        <f>OrdersTable[[#This Row],[Delivery Date]]-OrdersTable[[#This Row],[Order Date]]</f>
        <v>3</v>
      </c>
      <c r="AD4051" t="str">
        <f>IF(OrdersTable[[#This Row],[Delivery Days]]&lt;=2, "Express (≤2d)", IF(OrdersTable[[#This Row],[Delivery Days]]&lt;=4, "Standard (3-4d)", "Delayed (5d+)"))</f>
        <v>Standard (3-4d)</v>
      </c>
      <c r="AE4051">
        <v>4</v>
      </c>
      <c r="AF4051">
        <v>0</v>
      </c>
    </row>
    <row r="4052" spans="1:32" ht="15" x14ac:dyDescent="0.35">
      <c r="A4052" t="s">
        <v>3671</v>
      </c>
      <c r="B4052" s="1">
        <v>45937</v>
      </c>
      <c r="C4052">
        <f>YEAR(OrdersTable[[#This Row],[Order Date]])</f>
        <v>2025</v>
      </c>
      <c r="D4052" s="2">
        <f>DATE(YEAR(OrdersTable[[#This Row],[Order Date]]),MONTH(OrdersTable[[#This Row],[Order Date]]),1)</f>
        <v>45931</v>
      </c>
      <c r="E4052">
        <f>MONTH(OrdersTable[[#This Row],[Order Date]])</f>
        <v>10</v>
      </c>
      <c r="F4052" t="s">
        <v>1793</v>
      </c>
      <c r="G4052" t="str">
        <f>IF(OrdersTable[[#This Row],[Order Date]]=_xlfn.MINIFS(Order_Date, Customer_ID, OrdersTable[[#This Row],[Customer ID]]), "New", "Repeat")</f>
        <v>Repeat</v>
      </c>
      <c r="H4052" t="s">
        <v>76</v>
      </c>
      <c r="I4052" t="str">
        <f>INDEX(State!B:B,MATCH(OrdersTable[[#This Row],[State]],State!A:A,0))</f>
        <v>UP</v>
      </c>
      <c r="J4052" t="str">
        <f>INDEX(State!C:C,MATCH(OrdersTable[[#This Row],[State Code]],State!B:B,0))</f>
        <v>North</v>
      </c>
      <c r="K4052" t="s">
        <v>77</v>
      </c>
      <c r="L4052" t="s">
        <v>65</v>
      </c>
      <c r="M4052" t="s">
        <v>109</v>
      </c>
      <c r="N4052" t="str">
        <f>INDEX(Products!B:B,MATCH(OrdersTable[[#This Row],[Product ID]],Products!A:A,0))</f>
        <v>Onion Hair Oil</v>
      </c>
      <c r="O4052" t="str">
        <f>INDEX(Products!C:C,MATCH(OrdersTable[[#This Row],[Product ID]],Products!A:A,0))</f>
        <v>Haircare</v>
      </c>
      <c r="P4052">
        <v>1</v>
      </c>
      <c r="Q4052" s="5">
        <v>349</v>
      </c>
      <c r="R4052" s="74">
        <v>0.5</v>
      </c>
      <c r="S4052" s="75">
        <f>OrdersTable[[#This Row],[Quantity]]*OrdersTable[[#This Row],[Unit Price]]</f>
        <v>349</v>
      </c>
      <c r="T4052" s="5">
        <f>OrdersTable[[#This Row],[Gross Sale]]*OrdersTable[[#This Row],[Discount_Clean2]]</f>
        <v>174.5</v>
      </c>
      <c r="U4052" s="5">
        <f>OrdersTable[[#This Row],[Gross Sale]]-OrdersTable[[#This Row],[Discount Amount]]</f>
        <v>174.5</v>
      </c>
      <c r="V4052" s="77">
        <f>INDEX(Products!E:E,MATCH(OrdersTable[[#This Row],[Product ID]],Products!A:A,0))</f>
        <v>105</v>
      </c>
      <c r="W4052" s="77">
        <f>OrdersTable[[#This Row],[Quantity]]*OrdersTable[[#This Row],[Unit Cost]]</f>
        <v>105</v>
      </c>
      <c r="X4052" s="77">
        <f>'Dropdown Lists'!$I$2*(1+OrdersTable[[#This Row],[Returned]])</f>
        <v>60</v>
      </c>
      <c r="Y4052" s="76">
        <f>OrdersTable[[#This Row],[Net Revenue]]-OrdersTable[[#This Row],[COGS]]-OrdersTable[[#This Row],[Shipping Cost]]</f>
        <v>9.5</v>
      </c>
      <c r="Z4052" s="78">
        <f>IFERROR(OrdersTable[[#This Row],[Profit]]/OrdersTable[[#This Row],[Net Revenue]],0)</f>
        <v>5.4441260744985676E-2</v>
      </c>
      <c r="AA4052" t="s">
        <v>3495</v>
      </c>
      <c r="AB4052" s="79">
        <v>45943</v>
      </c>
      <c r="AC4052">
        <f>OrdersTable[[#This Row],[Delivery Date]]-OrdersTable[[#This Row],[Order Date]]</f>
        <v>6</v>
      </c>
      <c r="AD4052" t="str">
        <f>IF(OrdersTable[[#This Row],[Delivery Days]]&lt;=2, "Express (≤2d)", IF(OrdersTable[[#This Row],[Delivery Days]]&lt;=4, "Standard (3-4d)", "Delayed (5d+)"))</f>
        <v>Delayed (5d+)</v>
      </c>
      <c r="AE4052">
        <v>4</v>
      </c>
      <c r="AF4052">
        <v>0</v>
      </c>
    </row>
    <row r="4053" spans="1:32" ht="15" x14ac:dyDescent="0.35">
      <c r="A4053" t="s">
        <v>3810</v>
      </c>
      <c r="B4053" s="1">
        <v>45937</v>
      </c>
      <c r="C4053">
        <f>YEAR(OrdersTable[[#This Row],[Order Date]])</f>
        <v>2025</v>
      </c>
      <c r="D4053" s="2">
        <f>DATE(YEAR(OrdersTable[[#This Row],[Order Date]]),MONTH(OrdersTable[[#This Row],[Order Date]]),1)</f>
        <v>45931</v>
      </c>
      <c r="E4053">
        <f>MONTH(OrdersTable[[#This Row],[Order Date]])</f>
        <v>10</v>
      </c>
      <c r="F4053" t="s">
        <v>346</v>
      </c>
      <c r="G4053" t="str">
        <f>IF(OrdersTable[[#This Row],[Order Date]]=_xlfn.MINIFS(Order_Date, Customer_ID, OrdersTable[[#This Row],[Customer ID]]), "New", "Repeat")</f>
        <v>Repeat</v>
      </c>
      <c r="H4053" t="s">
        <v>43</v>
      </c>
      <c r="I4053" t="str">
        <f>INDEX(State!B:B,MATCH(OrdersTable[[#This Row],[State]],State!A:A,0))</f>
        <v>MP</v>
      </c>
      <c r="J4053" t="str">
        <f>INDEX(State!C:C,MATCH(OrdersTable[[#This Row],[State Code]],State!B:B,0))</f>
        <v>West</v>
      </c>
      <c r="K4053" t="s">
        <v>250</v>
      </c>
      <c r="L4053" t="s">
        <v>23</v>
      </c>
      <c r="M4053" t="s">
        <v>24</v>
      </c>
      <c r="N4053" t="str">
        <f>INDEX(Products!B:B,MATCH(OrdersTable[[#This Row],[Product ID]],Products!A:A,0))</f>
        <v>Scented Candle Set</v>
      </c>
      <c r="O4053" t="str">
        <f>INDEX(Products!C:C,MATCH(OrdersTable[[#This Row],[Product ID]],Products!A:A,0))</f>
        <v>Home &amp; Kitchen</v>
      </c>
      <c r="P4053">
        <v>1</v>
      </c>
      <c r="Q4053" s="5">
        <v>699</v>
      </c>
      <c r="R4053" s="74">
        <v>0.35</v>
      </c>
      <c r="S4053" s="75">
        <f>OrdersTable[[#This Row],[Quantity]]*OrdersTable[[#This Row],[Unit Price]]</f>
        <v>699</v>
      </c>
      <c r="T4053" s="5">
        <f>OrdersTable[[#This Row],[Gross Sale]]*OrdersTable[[#This Row],[Discount_Clean2]]</f>
        <v>244.64999999999998</v>
      </c>
      <c r="U4053" s="5">
        <f>OrdersTable[[#This Row],[Gross Sale]]-OrdersTable[[#This Row],[Discount Amount]]</f>
        <v>454.35</v>
      </c>
      <c r="V4053" s="77">
        <f>INDEX(Products!E:E,MATCH(OrdersTable[[#This Row],[Product ID]],Products!A:A,0))</f>
        <v>245</v>
      </c>
      <c r="W4053" s="77">
        <f>OrdersTable[[#This Row],[Quantity]]*OrdersTable[[#This Row],[Unit Cost]]</f>
        <v>245</v>
      </c>
      <c r="X4053" s="77">
        <f>'Dropdown Lists'!$I$2*(1+OrdersTable[[#This Row],[Returned]])</f>
        <v>60</v>
      </c>
      <c r="Y4053" s="76">
        <f>OrdersTable[[#This Row],[Net Revenue]]-OrdersTable[[#This Row],[COGS]]-OrdersTable[[#This Row],[Shipping Cost]]</f>
        <v>149.35000000000002</v>
      </c>
      <c r="Z4053" s="78">
        <f>IFERROR(OrdersTable[[#This Row],[Profit]]/OrdersTable[[#This Row],[Net Revenue]],0)</f>
        <v>0.32871134587872791</v>
      </c>
      <c r="AA4053" t="s">
        <v>3495</v>
      </c>
      <c r="AB4053" s="79">
        <v>45939</v>
      </c>
      <c r="AC4053">
        <f>OrdersTable[[#This Row],[Delivery Date]]-OrdersTable[[#This Row],[Order Date]]</f>
        <v>2</v>
      </c>
      <c r="AD4053" t="str">
        <f>IF(OrdersTable[[#This Row],[Delivery Days]]&lt;=2, "Express (≤2d)", IF(OrdersTable[[#This Row],[Delivery Days]]&lt;=4, "Standard (3-4d)", "Delayed (5d+)"))</f>
        <v>Express (≤2d)</v>
      </c>
      <c r="AF4053">
        <v>0</v>
      </c>
    </row>
    <row r="4054" spans="1:32" ht="15" x14ac:dyDescent="0.35">
      <c r="A4054" t="s">
        <v>7118</v>
      </c>
      <c r="B4054" s="1">
        <v>45937</v>
      </c>
      <c r="C4054">
        <f>YEAR(OrdersTable[[#This Row],[Order Date]])</f>
        <v>2025</v>
      </c>
      <c r="D4054" s="2">
        <f>DATE(YEAR(OrdersTable[[#This Row],[Order Date]]),MONTH(OrdersTable[[#This Row],[Order Date]]),1)</f>
        <v>45931</v>
      </c>
      <c r="E4054">
        <f>MONTH(OrdersTable[[#This Row],[Order Date]])</f>
        <v>10</v>
      </c>
      <c r="F4054" t="s">
        <v>2511</v>
      </c>
      <c r="G4054" t="str">
        <f>IF(OrdersTable[[#This Row],[Order Date]]=_xlfn.MINIFS(Order_Date, Customer_ID, OrdersTable[[#This Row],[Customer ID]]), "New", "Repeat")</f>
        <v>Repeat</v>
      </c>
      <c r="H4054" t="s">
        <v>27</v>
      </c>
      <c r="I4054" t="str">
        <f>INDEX(State!B:B,MATCH(OrdersTable[[#This Row],[State]],State!A:A,0))</f>
        <v>WB</v>
      </c>
      <c r="J4054" t="str">
        <f>INDEX(State!C:C,MATCH(OrdersTable[[#This Row],[State Code]],State!B:B,0))</f>
        <v>East</v>
      </c>
      <c r="K4054" t="s">
        <v>28</v>
      </c>
      <c r="L4054" t="s">
        <v>65</v>
      </c>
      <c r="M4054" t="s">
        <v>73</v>
      </c>
      <c r="N4054" t="str">
        <f>INDEX(Products!B:B,MATCH(OrdersTable[[#This Row],[Product ID]],Products!A:A,0))</f>
        <v>Hydrating Face Wash</v>
      </c>
      <c r="O4054" t="str">
        <f>INDEX(Products!C:C,MATCH(OrdersTable[[#This Row],[Product ID]],Products!A:A,0))</f>
        <v>Skincare</v>
      </c>
      <c r="P4054">
        <v>4</v>
      </c>
      <c r="Q4054" s="5">
        <v>299</v>
      </c>
      <c r="R4054" s="74">
        <v>0.1</v>
      </c>
      <c r="S4054" s="75">
        <f>OrdersTable[[#This Row],[Quantity]]*OrdersTable[[#This Row],[Unit Price]]</f>
        <v>1196</v>
      </c>
      <c r="T4054" s="5">
        <f>OrdersTable[[#This Row],[Gross Sale]]*OrdersTable[[#This Row],[Discount_Clean2]]</f>
        <v>119.60000000000001</v>
      </c>
      <c r="U4054" s="5">
        <f>OrdersTable[[#This Row],[Gross Sale]]-OrdersTable[[#This Row],[Discount Amount]]</f>
        <v>1076.4000000000001</v>
      </c>
      <c r="V4054" s="77">
        <f>INDEX(Products!E:E,MATCH(OrdersTable[[#This Row],[Product ID]],Products!A:A,0))</f>
        <v>90</v>
      </c>
      <c r="W4054" s="77">
        <f>OrdersTable[[#This Row],[Quantity]]*OrdersTable[[#This Row],[Unit Cost]]</f>
        <v>360</v>
      </c>
      <c r="X4054" s="77">
        <f>'Dropdown Lists'!$I$2*(1+OrdersTable[[#This Row],[Returned]])</f>
        <v>60</v>
      </c>
      <c r="Y4054" s="76">
        <f>OrdersTable[[#This Row],[Net Revenue]]-OrdersTable[[#This Row],[COGS]]-OrdersTable[[#This Row],[Shipping Cost]]</f>
        <v>656.40000000000009</v>
      </c>
      <c r="Z4054" s="78">
        <f>IFERROR(OrdersTable[[#This Row],[Profit]]/OrdersTable[[#This Row],[Net Revenue]],0)</f>
        <v>0.60981047937569677</v>
      </c>
      <c r="AA4054" t="s">
        <v>18</v>
      </c>
      <c r="AB4054" s="79">
        <v>45941</v>
      </c>
      <c r="AC4054">
        <f>OrdersTable[[#This Row],[Delivery Date]]-OrdersTable[[#This Row],[Order Date]]</f>
        <v>4</v>
      </c>
      <c r="AD4054" t="str">
        <f>IF(OrdersTable[[#This Row],[Delivery Days]]&lt;=2, "Express (≤2d)", IF(OrdersTable[[#This Row],[Delivery Days]]&lt;=4, "Standard (3-4d)", "Delayed (5d+)"))</f>
        <v>Standard (3-4d)</v>
      </c>
      <c r="AE4054">
        <v>4</v>
      </c>
      <c r="AF4054">
        <v>0</v>
      </c>
    </row>
    <row r="4055" spans="1:32" ht="15" x14ac:dyDescent="0.35">
      <c r="A4055" t="s">
        <v>5231</v>
      </c>
      <c r="B4055" s="1">
        <v>45937</v>
      </c>
      <c r="C4055">
        <f>YEAR(OrdersTable[[#This Row],[Order Date]])</f>
        <v>2025</v>
      </c>
      <c r="D4055" s="2">
        <f>DATE(YEAR(OrdersTable[[#This Row],[Order Date]]),MONTH(OrdersTable[[#This Row],[Order Date]]),1)</f>
        <v>45931</v>
      </c>
      <c r="E4055">
        <f>MONTH(OrdersTable[[#This Row],[Order Date]])</f>
        <v>10</v>
      </c>
      <c r="F4055" t="s">
        <v>183</v>
      </c>
      <c r="G4055" t="str">
        <f>IF(OrdersTable[[#This Row],[Order Date]]=_xlfn.MINIFS(Order_Date, Customer_ID, OrdersTable[[#This Row],[Customer ID]]), "New", "Repeat")</f>
        <v>Repeat</v>
      </c>
      <c r="H4055" t="s">
        <v>71</v>
      </c>
      <c r="I4055" t="str">
        <f>INDEX(State!B:B,MATCH(OrdersTable[[#This Row],[State]],State!A:A,0))</f>
        <v>MH</v>
      </c>
      <c r="J4055" t="str">
        <f>INDEX(State!C:C,MATCH(OrdersTable[[#This Row],[State Code]],State!B:B,0))</f>
        <v>West</v>
      </c>
      <c r="K4055" t="s">
        <v>81</v>
      </c>
      <c r="L4055" t="s">
        <v>50</v>
      </c>
      <c r="M4055" t="s">
        <v>106</v>
      </c>
      <c r="N4055" t="str">
        <f>INDEX(Products!B:B,MATCH(OrdersTable[[#This Row],[Product ID]],Products!A:A,0))</f>
        <v>Keratin Hair Mask</v>
      </c>
      <c r="O4055" t="str">
        <f>INDEX(Products!C:C,MATCH(OrdersTable[[#This Row],[Product ID]],Products!A:A,0))</f>
        <v>Haircare</v>
      </c>
      <c r="P4055">
        <v>2</v>
      </c>
      <c r="Q4055" s="5">
        <v>549</v>
      </c>
      <c r="R4055" s="74">
        <v>0.3</v>
      </c>
      <c r="S4055" s="75">
        <f>OrdersTable[[#This Row],[Quantity]]*OrdersTable[[#This Row],[Unit Price]]</f>
        <v>1098</v>
      </c>
      <c r="T4055" s="5">
        <f>OrdersTable[[#This Row],[Gross Sale]]*OrdersTable[[#This Row],[Discount_Clean2]]</f>
        <v>329.4</v>
      </c>
      <c r="U4055" s="5">
        <f>OrdersTable[[#This Row],[Gross Sale]]-OrdersTable[[#This Row],[Discount Amount]]</f>
        <v>768.6</v>
      </c>
      <c r="V4055" s="77">
        <f>INDEX(Products!E:E,MATCH(OrdersTable[[#This Row],[Product ID]],Products!A:A,0))</f>
        <v>170</v>
      </c>
      <c r="W4055" s="77">
        <f>OrdersTable[[#This Row],[Quantity]]*OrdersTable[[#This Row],[Unit Cost]]</f>
        <v>340</v>
      </c>
      <c r="X4055" s="77">
        <f>'Dropdown Lists'!$I$2*(1+OrdersTable[[#This Row],[Returned]])</f>
        <v>60</v>
      </c>
      <c r="Y4055" s="76">
        <f>OrdersTable[[#This Row],[Net Revenue]]-OrdersTable[[#This Row],[COGS]]-OrdersTable[[#This Row],[Shipping Cost]]</f>
        <v>368.6</v>
      </c>
      <c r="Z4055" s="78">
        <f>IFERROR(OrdersTable[[#This Row],[Profit]]/OrdersTable[[#This Row],[Net Revenue]],0)</f>
        <v>0.47957325006505336</v>
      </c>
      <c r="AA4055" t="s">
        <v>3495</v>
      </c>
      <c r="AB4055" s="79">
        <v>45940</v>
      </c>
      <c r="AC4055">
        <f>OrdersTable[[#This Row],[Delivery Date]]-OrdersTable[[#This Row],[Order Date]]</f>
        <v>3</v>
      </c>
      <c r="AD4055" t="str">
        <f>IF(OrdersTable[[#This Row],[Delivery Days]]&lt;=2, "Express (≤2d)", IF(OrdersTable[[#This Row],[Delivery Days]]&lt;=4, "Standard (3-4d)", "Delayed (5d+)"))</f>
        <v>Standard (3-4d)</v>
      </c>
      <c r="AF4055">
        <v>0</v>
      </c>
    </row>
    <row r="4056" spans="1:32" ht="15" x14ac:dyDescent="0.35">
      <c r="A4056" t="s">
        <v>2031</v>
      </c>
      <c r="B4056" s="1">
        <v>45937</v>
      </c>
      <c r="C4056">
        <f>YEAR(OrdersTable[[#This Row],[Order Date]])</f>
        <v>2025</v>
      </c>
      <c r="D4056" s="2">
        <f>DATE(YEAR(OrdersTable[[#This Row],[Order Date]]),MONTH(OrdersTable[[#This Row],[Order Date]]),1)</f>
        <v>45931</v>
      </c>
      <c r="E4056">
        <f>MONTH(OrdersTable[[#This Row],[Order Date]])</f>
        <v>10</v>
      </c>
      <c r="F4056" t="s">
        <v>1011</v>
      </c>
      <c r="G4056" t="str">
        <f>IF(OrdersTable[[#This Row],[Order Date]]=_xlfn.MINIFS(Order_Date, Customer_ID, OrdersTable[[#This Row],[Customer ID]]), "New", "Repeat")</f>
        <v>Repeat</v>
      </c>
      <c r="H4056" t="s">
        <v>14</v>
      </c>
      <c r="I4056" t="str">
        <f>INDEX(State!B:B,MATCH(OrdersTable[[#This Row],[State]],State!A:A,0))</f>
        <v>OD</v>
      </c>
      <c r="J4056" t="str">
        <f>INDEX(State!C:C,MATCH(OrdersTable[[#This Row],[State Code]],State!B:B,0))</f>
        <v>East</v>
      </c>
      <c r="K4056" t="s">
        <v>15</v>
      </c>
      <c r="L4056" t="s">
        <v>23</v>
      </c>
      <c r="M4056" t="s">
        <v>87</v>
      </c>
      <c r="N4056" t="str">
        <f>INDEX(Products!B:B,MATCH(OrdersTable[[#This Row],[Product ID]],Products!A:A,0))</f>
        <v>Linen Kurta</v>
      </c>
      <c r="O4056" t="str">
        <f>INDEX(Products!C:C,MATCH(OrdersTable[[#This Row],[Product ID]],Products!A:A,0))</f>
        <v>Apparel</v>
      </c>
      <c r="P4056">
        <v>1</v>
      </c>
      <c r="Q4056" s="5">
        <v>1499</v>
      </c>
      <c r="R4056" s="74">
        <v>0.4</v>
      </c>
      <c r="S4056" s="75">
        <f>OrdersTable[[#This Row],[Quantity]]*OrdersTable[[#This Row],[Unit Price]]</f>
        <v>1499</v>
      </c>
      <c r="T4056" s="5">
        <f>OrdersTable[[#This Row],[Gross Sale]]*OrdersTable[[#This Row],[Discount_Clean2]]</f>
        <v>599.6</v>
      </c>
      <c r="U4056" s="5">
        <f>OrdersTable[[#This Row],[Gross Sale]]-OrdersTable[[#This Row],[Discount Amount]]</f>
        <v>899.4</v>
      </c>
      <c r="V4056" s="77">
        <f>INDEX(Products!E:E,MATCH(OrdersTable[[#This Row],[Product ID]],Products!A:A,0))</f>
        <v>630</v>
      </c>
      <c r="W4056" s="77">
        <f>OrdersTable[[#This Row],[Quantity]]*OrdersTable[[#This Row],[Unit Cost]]</f>
        <v>630</v>
      </c>
      <c r="X4056" s="77">
        <f>'Dropdown Lists'!$I$2*(1+OrdersTable[[#This Row],[Returned]])</f>
        <v>60</v>
      </c>
      <c r="Y4056" s="76">
        <f>OrdersTable[[#This Row],[Net Revenue]]-OrdersTable[[#This Row],[COGS]]-OrdersTable[[#This Row],[Shipping Cost]]</f>
        <v>209.39999999999998</v>
      </c>
      <c r="Z4056" s="78">
        <f>IFERROR(OrdersTable[[#This Row],[Profit]]/OrdersTable[[#This Row],[Net Revenue]],0)</f>
        <v>0.23282188125416942</v>
      </c>
      <c r="AA4056" t="s">
        <v>18</v>
      </c>
      <c r="AB4056" s="79">
        <v>45942</v>
      </c>
      <c r="AC4056">
        <f>OrdersTable[[#This Row],[Delivery Date]]-OrdersTable[[#This Row],[Order Date]]</f>
        <v>5</v>
      </c>
      <c r="AD4056" t="str">
        <f>IF(OrdersTable[[#This Row],[Delivery Days]]&lt;=2, "Express (≤2d)", IF(OrdersTable[[#This Row],[Delivery Days]]&lt;=4, "Standard (3-4d)", "Delayed (5d+)"))</f>
        <v>Delayed (5d+)</v>
      </c>
      <c r="AE4056">
        <v>3</v>
      </c>
      <c r="AF4056">
        <v>0</v>
      </c>
    </row>
    <row r="4057" spans="1:32" ht="15" x14ac:dyDescent="0.35">
      <c r="A4057" t="s">
        <v>6919</v>
      </c>
      <c r="B4057" s="1">
        <v>45938</v>
      </c>
      <c r="C4057">
        <f>YEAR(OrdersTable[[#This Row],[Order Date]])</f>
        <v>2025</v>
      </c>
      <c r="D4057" s="2">
        <f>DATE(YEAR(OrdersTable[[#This Row],[Order Date]]),MONTH(OrdersTable[[#This Row],[Order Date]]),1)</f>
        <v>45931</v>
      </c>
      <c r="E4057">
        <f>MONTH(OrdersTable[[#This Row],[Order Date]])</f>
        <v>10</v>
      </c>
      <c r="F4057" t="s">
        <v>6920</v>
      </c>
      <c r="G4057" t="str">
        <f>IF(OrdersTable[[#This Row],[Order Date]]=_xlfn.MINIFS(Order_Date, Customer_ID, OrdersTable[[#This Row],[Customer ID]]), "New", "Repeat")</f>
        <v>New</v>
      </c>
      <c r="H4057" t="s">
        <v>210</v>
      </c>
      <c r="I4057" t="str">
        <f>INDEX(State!B:B,MATCH(OrdersTable[[#This Row],[State]],State!A:A,0))</f>
        <v>JK</v>
      </c>
      <c r="J4057" t="str">
        <f>INDEX(State!C:C,MATCH(OrdersTable[[#This Row],[State Code]],State!B:B,0))</f>
        <v>North</v>
      </c>
      <c r="K4057" t="s">
        <v>211</v>
      </c>
      <c r="L4057" t="s">
        <v>50</v>
      </c>
      <c r="M4057" t="s">
        <v>109</v>
      </c>
      <c r="N4057" t="str">
        <f>INDEX(Products!B:B,MATCH(OrdersTable[[#This Row],[Product ID]],Products!A:A,0))</f>
        <v>Onion Hair Oil</v>
      </c>
      <c r="O4057" t="str">
        <f>INDEX(Products!C:C,MATCH(OrdersTable[[#This Row],[Product ID]],Products!A:A,0))</f>
        <v>Haircare</v>
      </c>
      <c r="P4057">
        <v>3</v>
      </c>
      <c r="Q4057" s="5">
        <v>349</v>
      </c>
      <c r="R4057" s="74">
        <v>0.4</v>
      </c>
      <c r="S4057" s="75">
        <f>OrdersTable[[#This Row],[Quantity]]*OrdersTable[[#This Row],[Unit Price]]</f>
        <v>1047</v>
      </c>
      <c r="T4057" s="5">
        <f>OrdersTable[[#This Row],[Gross Sale]]*OrdersTable[[#This Row],[Discount_Clean2]]</f>
        <v>418.8</v>
      </c>
      <c r="U4057" s="5">
        <f>OrdersTable[[#This Row],[Gross Sale]]-OrdersTable[[#This Row],[Discount Amount]]</f>
        <v>628.20000000000005</v>
      </c>
      <c r="V4057" s="77">
        <f>INDEX(Products!E:E,MATCH(OrdersTable[[#This Row],[Product ID]],Products!A:A,0))</f>
        <v>105</v>
      </c>
      <c r="W4057" s="77">
        <f>OrdersTable[[#This Row],[Quantity]]*OrdersTable[[#This Row],[Unit Cost]]</f>
        <v>315</v>
      </c>
      <c r="X4057" s="77">
        <f>'Dropdown Lists'!$I$2*(1+OrdersTable[[#This Row],[Returned]])</f>
        <v>60</v>
      </c>
      <c r="Y4057" s="76">
        <f>OrdersTable[[#This Row],[Net Revenue]]-OrdersTable[[#This Row],[COGS]]-OrdersTable[[#This Row],[Shipping Cost]]</f>
        <v>253.20000000000005</v>
      </c>
      <c r="Z4057" s="78">
        <f>IFERROR(OrdersTable[[#This Row],[Profit]]/OrdersTable[[#This Row],[Net Revenue]],0)</f>
        <v>0.40305635148042029</v>
      </c>
      <c r="AA4057" t="s">
        <v>4074</v>
      </c>
      <c r="AB4057" s="79">
        <v>45946</v>
      </c>
      <c r="AC4057">
        <f>OrdersTable[[#This Row],[Delivery Date]]-OrdersTable[[#This Row],[Order Date]]</f>
        <v>8</v>
      </c>
      <c r="AD4057" t="str">
        <f>IF(OrdersTable[[#This Row],[Delivery Days]]&lt;=2, "Express (≤2d)", IF(OrdersTable[[#This Row],[Delivery Days]]&lt;=4, "Standard (3-4d)", "Delayed (5d+)"))</f>
        <v>Delayed (5d+)</v>
      </c>
      <c r="AE4057">
        <v>2</v>
      </c>
      <c r="AF4057">
        <v>0</v>
      </c>
    </row>
    <row r="4058" spans="1:32" ht="15" x14ac:dyDescent="0.35">
      <c r="A4058" t="s">
        <v>5232</v>
      </c>
      <c r="B4058" s="1">
        <v>45938</v>
      </c>
      <c r="C4058">
        <f>YEAR(OrdersTable[[#This Row],[Order Date]])</f>
        <v>2025</v>
      </c>
      <c r="D4058" s="2">
        <f>DATE(YEAR(OrdersTable[[#This Row],[Order Date]]),MONTH(OrdersTable[[#This Row],[Order Date]]),1)</f>
        <v>45931</v>
      </c>
      <c r="E4058">
        <f>MONTH(OrdersTable[[#This Row],[Order Date]])</f>
        <v>10</v>
      </c>
      <c r="F4058" t="s">
        <v>5233</v>
      </c>
      <c r="G4058" t="str">
        <f>IF(OrdersTable[[#This Row],[Order Date]]=_xlfn.MINIFS(Order_Date, Customer_ID, OrdersTable[[#This Row],[Customer ID]]), "New", "Repeat")</f>
        <v>New</v>
      </c>
      <c r="H4058" t="s">
        <v>158</v>
      </c>
      <c r="I4058" t="str">
        <f>INDEX(State!B:B,MATCH(OrdersTable[[#This Row],[State]],State!A:A,0))</f>
        <v>HP</v>
      </c>
      <c r="J4058" t="str">
        <f>INDEX(State!C:C,MATCH(OrdersTable[[#This Row],[State Code]],State!B:B,0))</f>
        <v>North</v>
      </c>
      <c r="K4058" t="s">
        <v>159</v>
      </c>
      <c r="L4058" t="s">
        <v>16</v>
      </c>
      <c r="M4058" t="s">
        <v>87</v>
      </c>
      <c r="N4058" t="str">
        <f>INDEX(Products!B:B,MATCH(OrdersTable[[#This Row],[Product ID]],Products!A:A,0))</f>
        <v>Linen Kurta</v>
      </c>
      <c r="O4058" t="str">
        <f>INDEX(Products!C:C,MATCH(OrdersTable[[#This Row],[Product ID]],Products!A:A,0))</f>
        <v>Apparel</v>
      </c>
      <c r="P4058">
        <v>2</v>
      </c>
      <c r="Q4058" s="5">
        <v>1499</v>
      </c>
      <c r="R4058" s="74">
        <v>0.35</v>
      </c>
      <c r="S4058" s="75">
        <f>OrdersTable[[#This Row],[Quantity]]*OrdersTable[[#This Row],[Unit Price]]</f>
        <v>2998</v>
      </c>
      <c r="T4058" s="5">
        <f>OrdersTable[[#This Row],[Gross Sale]]*OrdersTable[[#This Row],[Discount_Clean2]]</f>
        <v>1049.3</v>
      </c>
      <c r="U4058" s="5">
        <f>OrdersTable[[#This Row],[Gross Sale]]-OrdersTable[[#This Row],[Discount Amount]]</f>
        <v>1948.7</v>
      </c>
      <c r="V4058" s="77">
        <f>INDEX(Products!E:E,MATCH(OrdersTable[[#This Row],[Product ID]],Products!A:A,0))</f>
        <v>630</v>
      </c>
      <c r="W4058" s="77">
        <f>OrdersTable[[#This Row],[Quantity]]*OrdersTable[[#This Row],[Unit Cost]]</f>
        <v>1260</v>
      </c>
      <c r="X4058" s="77">
        <f>'Dropdown Lists'!$I$2*(1+OrdersTable[[#This Row],[Returned]])</f>
        <v>60</v>
      </c>
      <c r="Y4058" s="76">
        <f>OrdersTable[[#This Row],[Net Revenue]]-OrdersTable[[#This Row],[COGS]]-OrdersTable[[#This Row],[Shipping Cost]]</f>
        <v>628.70000000000005</v>
      </c>
      <c r="Z4058" s="78">
        <f>IFERROR(OrdersTable[[#This Row],[Profit]]/OrdersTable[[#This Row],[Net Revenue]],0)</f>
        <v>0.32262533997023657</v>
      </c>
      <c r="AA4058" t="s">
        <v>3495</v>
      </c>
      <c r="AB4058" s="79">
        <v>45942</v>
      </c>
      <c r="AC4058">
        <f>OrdersTable[[#This Row],[Delivery Date]]-OrdersTable[[#This Row],[Order Date]]</f>
        <v>4</v>
      </c>
      <c r="AD4058" t="str">
        <f>IF(OrdersTable[[#This Row],[Delivery Days]]&lt;=2, "Express (≤2d)", IF(OrdersTable[[#This Row],[Delivery Days]]&lt;=4, "Standard (3-4d)", "Delayed (5d+)"))</f>
        <v>Standard (3-4d)</v>
      </c>
      <c r="AE4058">
        <v>4</v>
      </c>
      <c r="AF4058">
        <v>0</v>
      </c>
    </row>
    <row r="4059" spans="1:32" ht="15" x14ac:dyDescent="0.35">
      <c r="A4059" t="s">
        <v>4182</v>
      </c>
      <c r="B4059" s="1">
        <v>45938</v>
      </c>
      <c r="C4059">
        <f>YEAR(OrdersTable[[#This Row],[Order Date]])</f>
        <v>2025</v>
      </c>
      <c r="D4059" s="2">
        <f>DATE(YEAR(OrdersTable[[#This Row],[Order Date]]),MONTH(OrdersTable[[#This Row],[Order Date]]),1)</f>
        <v>45931</v>
      </c>
      <c r="E4059">
        <f>MONTH(OrdersTable[[#This Row],[Order Date]])</f>
        <v>10</v>
      </c>
      <c r="F4059" t="s">
        <v>4183</v>
      </c>
      <c r="G4059" t="str">
        <f>IF(OrdersTable[[#This Row],[Order Date]]=_xlfn.MINIFS(Order_Date, Customer_ID, OrdersTable[[#This Row],[Customer ID]]), "New", "Repeat")</f>
        <v>Repeat</v>
      </c>
      <c r="H4059" t="s">
        <v>48</v>
      </c>
      <c r="I4059" t="str">
        <f>INDEX(State!B:B,MATCH(OrdersTable[[#This Row],[State]],State!A:A,0))</f>
        <v>HR</v>
      </c>
      <c r="J4059" t="str">
        <f>INDEX(State!C:C,MATCH(OrdersTable[[#This Row],[State Code]],State!B:B,0))</f>
        <v>North</v>
      </c>
      <c r="K4059" t="s">
        <v>151</v>
      </c>
      <c r="L4059" t="s">
        <v>65</v>
      </c>
      <c r="M4059" t="s">
        <v>34</v>
      </c>
      <c r="N4059" t="str">
        <f>INDEX(Products!B:B,MATCH(OrdersTable[[#This Row],[Product ID]],Products!A:A,0))</f>
        <v>Flip Flops</v>
      </c>
      <c r="O4059" t="str">
        <f>INDEX(Products!C:C,MATCH(OrdersTable[[#This Row],[Product ID]],Products!A:A,0))</f>
        <v>Footwear</v>
      </c>
      <c r="P4059">
        <v>1</v>
      </c>
      <c r="Q4059" s="5">
        <v>399</v>
      </c>
      <c r="R4059" s="74">
        <v>0.25</v>
      </c>
      <c r="S4059" s="75">
        <f>OrdersTable[[#This Row],[Quantity]]*OrdersTable[[#This Row],[Unit Price]]</f>
        <v>399</v>
      </c>
      <c r="T4059" s="5">
        <f>OrdersTable[[#This Row],[Gross Sale]]*OrdersTable[[#This Row],[Discount_Clean2]]</f>
        <v>99.75</v>
      </c>
      <c r="U4059" s="5">
        <f>OrdersTable[[#This Row],[Gross Sale]]-OrdersTable[[#This Row],[Discount Amount]]</f>
        <v>299.25</v>
      </c>
      <c r="V4059" s="77">
        <f>INDEX(Products!E:E,MATCH(OrdersTable[[#This Row],[Product ID]],Products!A:A,0))</f>
        <v>152</v>
      </c>
      <c r="W4059" s="77">
        <f>OrdersTable[[#This Row],[Quantity]]*OrdersTable[[#This Row],[Unit Cost]]</f>
        <v>152</v>
      </c>
      <c r="X4059" s="77">
        <f>'Dropdown Lists'!$I$2*(1+OrdersTable[[#This Row],[Returned]])</f>
        <v>60</v>
      </c>
      <c r="Y4059" s="76">
        <f>OrdersTable[[#This Row],[Net Revenue]]-OrdersTable[[#This Row],[COGS]]-OrdersTable[[#This Row],[Shipping Cost]]</f>
        <v>87.25</v>
      </c>
      <c r="Z4059" s="78">
        <f>IFERROR(OrdersTable[[#This Row],[Profit]]/OrdersTable[[#This Row],[Net Revenue]],0)</f>
        <v>0.29156223893065997</v>
      </c>
      <c r="AA4059" t="s">
        <v>4074</v>
      </c>
      <c r="AB4059" s="79">
        <v>45942</v>
      </c>
      <c r="AC4059">
        <f>OrdersTable[[#This Row],[Delivery Date]]-OrdersTable[[#This Row],[Order Date]]</f>
        <v>4</v>
      </c>
      <c r="AD4059" t="str">
        <f>IF(OrdersTable[[#This Row],[Delivery Days]]&lt;=2, "Express (≤2d)", IF(OrdersTable[[#This Row],[Delivery Days]]&lt;=4, "Standard (3-4d)", "Delayed (5d+)"))</f>
        <v>Standard (3-4d)</v>
      </c>
      <c r="AE4059">
        <v>3</v>
      </c>
      <c r="AF4059">
        <v>0</v>
      </c>
    </row>
    <row r="4060" spans="1:32" ht="15" x14ac:dyDescent="0.35">
      <c r="A4060" t="s">
        <v>5234</v>
      </c>
      <c r="B4060" s="1">
        <v>45938</v>
      </c>
      <c r="C4060">
        <f>YEAR(OrdersTable[[#This Row],[Order Date]])</f>
        <v>2025</v>
      </c>
      <c r="D4060" s="2">
        <f>DATE(YEAR(OrdersTable[[#This Row],[Order Date]]),MONTH(OrdersTable[[#This Row],[Order Date]]),1)</f>
        <v>45931</v>
      </c>
      <c r="E4060">
        <f>MONTH(OrdersTable[[#This Row],[Order Date]])</f>
        <v>10</v>
      </c>
      <c r="F4060" t="s">
        <v>5235</v>
      </c>
      <c r="G4060" t="str">
        <f>IF(OrdersTable[[#This Row],[Order Date]]=_xlfn.MINIFS(Order_Date, Customer_ID, OrdersTable[[#This Row],[Customer ID]]), "New", "Repeat")</f>
        <v>New</v>
      </c>
      <c r="H4060" t="s">
        <v>128</v>
      </c>
      <c r="I4060" t="str">
        <f>INDEX(State!B:B,MATCH(OrdersTable[[#This Row],[State]],State!A:A,0))</f>
        <v>DL</v>
      </c>
      <c r="J4060" t="str">
        <f>INDEX(State!C:C,MATCH(OrdersTable[[#This Row],[State Code]],State!B:B,0))</f>
        <v>North</v>
      </c>
      <c r="K4060" t="s">
        <v>129</v>
      </c>
      <c r="L4060" t="s">
        <v>65</v>
      </c>
      <c r="M4060" t="s">
        <v>109</v>
      </c>
      <c r="N4060" t="str">
        <f>INDEX(Products!B:B,MATCH(OrdersTable[[#This Row],[Product ID]],Products!A:A,0))</f>
        <v>Onion Hair Oil</v>
      </c>
      <c r="O4060" t="str">
        <f>INDEX(Products!C:C,MATCH(OrdersTable[[#This Row],[Product ID]],Products!A:A,0))</f>
        <v>Haircare</v>
      </c>
      <c r="P4060">
        <v>2</v>
      </c>
      <c r="Q4060" s="5">
        <v>349</v>
      </c>
      <c r="R4060" s="74">
        <v>0.35</v>
      </c>
      <c r="S4060" s="75">
        <f>OrdersTable[[#This Row],[Quantity]]*OrdersTable[[#This Row],[Unit Price]]</f>
        <v>698</v>
      </c>
      <c r="T4060" s="5">
        <f>OrdersTable[[#This Row],[Gross Sale]]*OrdersTable[[#This Row],[Discount_Clean2]]</f>
        <v>244.29999999999998</v>
      </c>
      <c r="U4060" s="5">
        <f>OrdersTable[[#This Row],[Gross Sale]]-OrdersTable[[#This Row],[Discount Amount]]</f>
        <v>453.70000000000005</v>
      </c>
      <c r="V4060" s="77">
        <f>INDEX(Products!E:E,MATCH(OrdersTable[[#This Row],[Product ID]],Products!A:A,0))</f>
        <v>105</v>
      </c>
      <c r="W4060" s="77">
        <f>OrdersTable[[#This Row],[Quantity]]*OrdersTable[[#This Row],[Unit Cost]]</f>
        <v>210</v>
      </c>
      <c r="X4060" s="77">
        <f>'Dropdown Lists'!$I$2*(1+OrdersTable[[#This Row],[Returned]])</f>
        <v>60</v>
      </c>
      <c r="Y4060" s="76">
        <f>OrdersTable[[#This Row],[Net Revenue]]-OrdersTable[[#This Row],[COGS]]-OrdersTable[[#This Row],[Shipping Cost]]</f>
        <v>183.70000000000005</v>
      </c>
      <c r="Z4060" s="78">
        <f>IFERROR(OrdersTable[[#This Row],[Profit]]/OrdersTable[[#This Row],[Net Revenue]],0)</f>
        <v>0.40489310116817284</v>
      </c>
      <c r="AA4060" t="s">
        <v>3495</v>
      </c>
      <c r="AB4060" s="79">
        <v>45941</v>
      </c>
      <c r="AC4060">
        <f>OrdersTable[[#This Row],[Delivery Date]]-OrdersTable[[#This Row],[Order Date]]</f>
        <v>3</v>
      </c>
      <c r="AD4060" t="str">
        <f>IF(OrdersTable[[#This Row],[Delivery Days]]&lt;=2, "Express (≤2d)", IF(OrdersTable[[#This Row],[Delivery Days]]&lt;=4, "Standard (3-4d)", "Delayed (5d+)"))</f>
        <v>Standard (3-4d)</v>
      </c>
      <c r="AF4060">
        <v>0</v>
      </c>
    </row>
    <row r="4061" spans="1:32" ht="15" x14ac:dyDescent="0.35">
      <c r="A4061" t="s">
        <v>3350</v>
      </c>
      <c r="B4061" s="1">
        <v>45938</v>
      </c>
      <c r="C4061">
        <f>YEAR(OrdersTable[[#This Row],[Order Date]])</f>
        <v>2025</v>
      </c>
      <c r="D4061" s="2">
        <f>DATE(YEAR(OrdersTable[[#This Row],[Order Date]]),MONTH(OrdersTable[[#This Row],[Order Date]]),1)</f>
        <v>45931</v>
      </c>
      <c r="E4061">
        <f>MONTH(OrdersTable[[#This Row],[Order Date]])</f>
        <v>10</v>
      </c>
      <c r="F4061" t="s">
        <v>3351</v>
      </c>
      <c r="G4061" t="str">
        <f>IF(OrdersTable[[#This Row],[Order Date]]=_xlfn.MINIFS(Order_Date, Customer_ID, OrdersTable[[#This Row],[Customer ID]]), "New", "Repeat")</f>
        <v>New</v>
      </c>
      <c r="H4061" t="s">
        <v>128</v>
      </c>
      <c r="I4061" t="str">
        <f>INDEX(State!B:B,MATCH(OrdersTable[[#This Row],[State]],State!A:A,0))</f>
        <v>DL</v>
      </c>
      <c r="J4061" t="str">
        <f>INDEX(State!C:C,MATCH(OrdersTable[[#This Row],[State Code]],State!B:B,0))</f>
        <v>North</v>
      </c>
      <c r="K4061" t="s">
        <v>129</v>
      </c>
      <c r="L4061" t="s">
        <v>23</v>
      </c>
      <c r="M4061" t="s">
        <v>106</v>
      </c>
      <c r="N4061" t="str">
        <f>INDEX(Products!B:B,MATCH(OrdersTable[[#This Row],[Product ID]],Products!A:A,0))</f>
        <v>Keratin Hair Mask</v>
      </c>
      <c r="O4061" t="str">
        <f>INDEX(Products!C:C,MATCH(OrdersTable[[#This Row],[Product ID]],Products!A:A,0))</f>
        <v>Haircare</v>
      </c>
      <c r="P4061">
        <v>1</v>
      </c>
      <c r="Q4061" s="5">
        <v>549</v>
      </c>
      <c r="R4061" s="74">
        <v>0.2</v>
      </c>
      <c r="S4061" s="75">
        <f>OrdersTable[[#This Row],[Quantity]]*OrdersTable[[#This Row],[Unit Price]]</f>
        <v>549</v>
      </c>
      <c r="T4061" s="5">
        <f>OrdersTable[[#This Row],[Gross Sale]]*OrdersTable[[#This Row],[Discount_Clean2]]</f>
        <v>109.80000000000001</v>
      </c>
      <c r="U4061" s="5">
        <f>OrdersTable[[#This Row],[Gross Sale]]-OrdersTable[[#This Row],[Discount Amount]]</f>
        <v>439.2</v>
      </c>
      <c r="V4061" s="77">
        <f>INDEX(Products!E:E,MATCH(OrdersTable[[#This Row],[Product ID]],Products!A:A,0))</f>
        <v>170</v>
      </c>
      <c r="W4061" s="77">
        <f>OrdersTable[[#This Row],[Quantity]]*OrdersTable[[#This Row],[Unit Cost]]</f>
        <v>170</v>
      </c>
      <c r="X4061" s="77">
        <f>'Dropdown Lists'!$I$2*(1+OrdersTable[[#This Row],[Returned]])</f>
        <v>60</v>
      </c>
      <c r="Y4061" s="76">
        <f>OrdersTable[[#This Row],[Net Revenue]]-OrdersTable[[#This Row],[COGS]]-OrdersTable[[#This Row],[Shipping Cost]]</f>
        <v>209.2</v>
      </c>
      <c r="Z4061" s="78">
        <f>IFERROR(OrdersTable[[#This Row],[Profit]]/OrdersTable[[#This Row],[Net Revenue]],0)</f>
        <v>0.47632058287795992</v>
      </c>
      <c r="AA4061" t="s">
        <v>2522</v>
      </c>
      <c r="AB4061" s="79">
        <v>45939</v>
      </c>
      <c r="AC4061">
        <f>OrdersTable[[#This Row],[Delivery Date]]-OrdersTable[[#This Row],[Order Date]]</f>
        <v>1</v>
      </c>
      <c r="AD4061" t="str">
        <f>IF(OrdersTable[[#This Row],[Delivery Days]]&lt;=2, "Express (≤2d)", IF(OrdersTable[[#This Row],[Delivery Days]]&lt;=4, "Standard (3-4d)", "Delayed (5d+)"))</f>
        <v>Express (≤2d)</v>
      </c>
      <c r="AE4061">
        <v>4</v>
      </c>
      <c r="AF4061">
        <v>0</v>
      </c>
    </row>
    <row r="4062" spans="1:32" ht="15" x14ac:dyDescent="0.35">
      <c r="A4062" t="s">
        <v>3672</v>
      </c>
      <c r="B4062" s="1">
        <v>45938</v>
      </c>
      <c r="C4062">
        <f>YEAR(OrdersTable[[#This Row],[Order Date]])</f>
        <v>2025</v>
      </c>
      <c r="D4062" s="2">
        <f>DATE(YEAR(OrdersTable[[#This Row],[Order Date]]),MONTH(OrdersTable[[#This Row],[Order Date]]),1)</f>
        <v>45931</v>
      </c>
      <c r="E4062">
        <f>MONTH(OrdersTable[[#This Row],[Order Date]])</f>
        <v>10</v>
      </c>
      <c r="F4062" t="s">
        <v>2546</v>
      </c>
      <c r="G4062" t="str">
        <f>IF(OrdersTable[[#This Row],[Order Date]]=_xlfn.MINIFS(Order_Date, Customer_ID, OrdersTable[[#This Row],[Customer ID]]), "New", "Repeat")</f>
        <v>Repeat</v>
      </c>
      <c r="H4062" t="s">
        <v>128</v>
      </c>
      <c r="I4062" t="str">
        <f>INDEX(State!B:B,MATCH(OrdersTable[[#This Row],[State]],State!A:A,0))</f>
        <v>DL</v>
      </c>
      <c r="J4062" t="str">
        <f>INDEX(State!C:C,MATCH(OrdersTable[[#This Row],[State Code]],State!B:B,0))</f>
        <v>North</v>
      </c>
      <c r="K4062" t="s">
        <v>129</v>
      </c>
      <c r="L4062" t="s">
        <v>16</v>
      </c>
      <c r="M4062" t="s">
        <v>255</v>
      </c>
      <c r="N4062" t="str">
        <f>INDEX(Products!B:B,MATCH(OrdersTable[[#This Row],[Product ID]],Products!A:A,0))</f>
        <v>Cotton Oversized T-Shirt</v>
      </c>
      <c r="O4062" t="str">
        <f>INDEX(Products!C:C,MATCH(OrdersTable[[#This Row],[Product ID]],Products!A:A,0))</f>
        <v>Apparel</v>
      </c>
      <c r="P4062">
        <v>1</v>
      </c>
      <c r="Q4062" s="5">
        <v>799</v>
      </c>
      <c r="R4062" s="74">
        <v>0.15</v>
      </c>
      <c r="S4062" s="75">
        <f>OrdersTable[[#This Row],[Quantity]]*OrdersTable[[#This Row],[Unit Price]]</f>
        <v>799</v>
      </c>
      <c r="T4062" s="5">
        <f>OrdersTable[[#This Row],[Gross Sale]]*OrdersTable[[#This Row],[Discount_Clean2]]</f>
        <v>119.85</v>
      </c>
      <c r="U4062" s="5">
        <f>OrdersTable[[#This Row],[Gross Sale]]-OrdersTable[[#This Row],[Discount Amount]]</f>
        <v>679.15</v>
      </c>
      <c r="V4062" s="77">
        <f>INDEX(Products!E:E,MATCH(OrdersTable[[#This Row],[Product ID]],Products!A:A,0))</f>
        <v>320</v>
      </c>
      <c r="W4062" s="77">
        <f>OrdersTable[[#This Row],[Quantity]]*OrdersTable[[#This Row],[Unit Cost]]</f>
        <v>320</v>
      </c>
      <c r="X4062" s="77">
        <f>'Dropdown Lists'!$I$2*(1+OrdersTable[[#This Row],[Returned]])</f>
        <v>60</v>
      </c>
      <c r="Y4062" s="76">
        <f>OrdersTable[[#This Row],[Net Revenue]]-OrdersTable[[#This Row],[COGS]]-OrdersTable[[#This Row],[Shipping Cost]]</f>
        <v>299.14999999999998</v>
      </c>
      <c r="Z4062" s="78">
        <f>IFERROR(OrdersTable[[#This Row],[Profit]]/OrdersTable[[#This Row],[Net Revenue]],0)</f>
        <v>0.44047706692188765</v>
      </c>
      <c r="AA4062" t="s">
        <v>3495</v>
      </c>
      <c r="AB4062" s="79">
        <v>45941</v>
      </c>
      <c r="AC4062">
        <f>OrdersTable[[#This Row],[Delivery Date]]-OrdersTable[[#This Row],[Order Date]]</f>
        <v>3</v>
      </c>
      <c r="AD4062" t="str">
        <f>IF(OrdersTable[[#This Row],[Delivery Days]]&lt;=2, "Express (≤2d)", IF(OrdersTable[[#This Row],[Delivery Days]]&lt;=4, "Standard (3-4d)", "Delayed (5d+)"))</f>
        <v>Standard (3-4d)</v>
      </c>
      <c r="AE4062">
        <v>4</v>
      </c>
      <c r="AF4062">
        <v>0</v>
      </c>
    </row>
    <row r="4063" spans="1:32" ht="15" x14ac:dyDescent="0.35">
      <c r="A4063" t="s">
        <v>5546</v>
      </c>
      <c r="B4063" s="1">
        <v>45938</v>
      </c>
      <c r="C4063">
        <f>YEAR(OrdersTable[[#This Row],[Order Date]])</f>
        <v>2025</v>
      </c>
      <c r="D4063" s="2">
        <f>DATE(YEAR(OrdersTable[[#This Row],[Order Date]]),MONTH(OrdersTable[[#This Row],[Order Date]]),1)</f>
        <v>45931</v>
      </c>
      <c r="E4063">
        <f>MONTH(OrdersTable[[#This Row],[Order Date]])</f>
        <v>10</v>
      </c>
      <c r="F4063" t="s">
        <v>2674</v>
      </c>
      <c r="G4063" t="str">
        <f>IF(OrdersTable[[#This Row],[Order Date]]=_xlfn.MINIFS(Order_Date, Customer_ID, OrdersTable[[#This Row],[Customer ID]]), "New", "Repeat")</f>
        <v>Repeat</v>
      </c>
      <c r="H4063" t="s">
        <v>32</v>
      </c>
      <c r="I4063" t="str">
        <f>INDEX(State!B:B,MATCH(OrdersTable[[#This Row],[State]],State!A:A,0))</f>
        <v>BR</v>
      </c>
      <c r="J4063" t="str">
        <f>INDEX(State!C:C,MATCH(OrdersTable[[#This Row],[State Code]],State!B:B,0))</f>
        <v>East</v>
      </c>
      <c r="K4063" t="s">
        <v>33</v>
      </c>
      <c r="L4063" t="s">
        <v>65</v>
      </c>
      <c r="M4063" t="s">
        <v>78</v>
      </c>
      <c r="N4063" t="str">
        <f>INDEX(Products!B:B,MATCH(OrdersTable[[#This Row],[Product ID]],Products!A:A,0))</f>
        <v>Retinol Night Cream</v>
      </c>
      <c r="O4063" t="str">
        <f>INDEX(Products!C:C,MATCH(OrdersTable[[#This Row],[Product ID]],Products!A:A,0))</f>
        <v>Skincare</v>
      </c>
      <c r="P4063">
        <v>2</v>
      </c>
      <c r="Q4063" s="5">
        <v>799</v>
      </c>
      <c r="R4063" s="74">
        <v>0.25</v>
      </c>
      <c r="S4063" s="75">
        <f>OrdersTable[[#This Row],[Quantity]]*OrdersTable[[#This Row],[Unit Price]]</f>
        <v>1598</v>
      </c>
      <c r="T4063" s="5">
        <f>OrdersTable[[#This Row],[Gross Sale]]*OrdersTable[[#This Row],[Discount_Clean2]]</f>
        <v>399.5</v>
      </c>
      <c r="U4063" s="5">
        <f>OrdersTable[[#This Row],[Gross Sale]]-OrdersTable[[#This Row],[Discount Amount]]</f>
        <v>1198.5</v>
      </c>
      <c r="V4063" s="77">
        <f>INDEX(Products!E:E,MATCH(OrdersTable[[#This Row],[Product ID]],Products!A:A,0))</f>
        <v>216</v>
      </c>
      <c r="W4063" s="77">
        <f>OrdersTable[[#This Row],[Quantity]]*OrdersTable[[#This Row],[Unit Cost]]</f>
        <v>432</v>
      </c>
      <c r="X4063" s="77">
        <f>'Dropdown Lists'!$I$2*(1+OrdersTable[[#This Row],[Returned]])</f>
        <v>60</v>
      </c>
      <c r="Y4063" s="76">
        <f>OrdersTable[[#This Row],[Net Revenue]]-OrdersTable[[#This Row],[COGS]]-OrdersTable[[#This Row],[Shipping Cost]]</f>
        <v>706.5</v>
      </c>
      <c r="Z4063" s="78">
        <f>IFERROR(OrdersTable[[#This Row],[Profit]]/OrdersTable[[#This Row],[Net Revenue]],0)</f>
        <v>0.58948685857321648</v>
      </c>
      <c r="AA4063" t="s">
        <v>2522</v>
      </c>
      <c r="AB4063" s="79">
        <v>45944</v>
      </c>
      <c r="AC4063">
        <f>OrdersTable[[#This Row],[Delivery Date]]-OrdersTable[[#This Row],[Order Date]]</f>
        <v>6</v>
      </c>
      <c r="AD4063" t="str">
        <f>IF(OrdersTable[[#This Row],[Delivery Days]]&lt;=2, "Express (≤2d)", IF(OrdersTable[[#This Row],[Delivery Days]]&lt;=4, "Standard (3-4d)", "Delayed (5d+)"))</f>
        <v>Delayed (5d+)</v>
      </c>
      <c r="AE4063">
        <v>4</v>
      </c>
      <c r="AF4063">
        <v>0</v>
      </c>
    </row>
    <row r="4064" spans="1:32" ht="15" x14ac:dyDescent="0.35">
      <c r="A4064" t="s">
        <v>5442</v>
      </c>
      <c r="B4064" s="1">
        <v>45938</v>
      </c>
      <c r="C4064">
        <f>YEAR(OrdersTable[[#This Row],[Order Date]])</f>
        <v>2025</v>
      </c>
      <c r="D4064" s="2">
        <f>DATE(YEAR(OrdersTable[[#This Row],[Order Date]]),MONTH(OrdersTable[[#This Row],[Order Date]]),1)</f>
        <v>45931</v>
      </c>
      <c r="E4064">
        <f>MONTH(OrdersTable[[#This Row],[Order Date]])</f>
        <v>10</v>
      </c>
      <c r="F4064" t="s">
        <v>2503</v>
      </c>
      <c r="G4064" t="str">
        <f>IF(OrdersTable[[#This Row],[Order Date]]=_xlfn.MINIFS(Order_Date, Customer_ID, OrdersTable[[#This Row],[Customer ID]]), "New", "Repeat")</f>
        <v>Repeat</v>
      </c>
      <c r="H4064" t="s">
        <v>132</v>
      </c>
      <c r="I4064" t="str">
        <f>INDEX(State!B:B,MATCH(OrdersTable[[#This Row],[State]],State!A:A,0))</f>
        <v>AS</v>
      </c>
      <c r="J4064" t="str">
        <f>INDEX(State!C:C,MATCH(OrdersTable[[#This Row],[State Code]],State!B:B,0))</f>
        <v>East</v>
      </c>
      <c r="K4064" t="s">
        <v>133</v>
      </c>
      <c r="L4064" t="s">
        <v>23</v>
      </c>
      <c r="M4064" t="s">
        <v>565</v>
      </c>
      <c r="N4064" t="str">
        <f>INDEX(Products!B:B,MATCH(OrdersTable[[#This Row],[Product ID]],Products!A:A,0))</f>
        <v>Ceramic Dinner Set</v>
      </c>
      <c r="O4064" t="str">
        <f>INDEX(Products!C:C,MATCH(OrdersTable[[#This Row],[Product ID]],Products!A:A,0))</f>
        <v>Home &amp; Kitchen</v>
      </c>
      <c r="P4064">
        <v>2</v>
      </c>
      <c r="Q4064" s="5">
        <v>2499</v>
      </c>
      <c r="R4064" s="74">
        <v>0.5</v>
      </c>
      <c r="S4064" s="75">
        <f>OrdersTable[[#This Row],[Quantity]]*OrdersTable[[#This Row],[Unit Price]]</f>
        <v>4998</v>
      </c>
      <c r="T4064" s="5">
        <f>OrdersTable[[#This Row],[Gross Sale]]*OrdersTable[[#This Row],[Discount_Clean2]]</f>
        <v>2499</v>
      </c>
      <c r="U4064" s="5">
        <f>OrdersTable[[#This Row],[Gross Sale]]-OrdersTable[[#This Row],[Discount Amount]]</f>
        <v>2499</v>
      </c>
      <c r="V4064" s="77">
        <f>INDEX(Products!E:E,MATCH(OrdersTable[[#This Row],[Product ID]],Products!A:A,0))</f>
        <v>1250</v>
      </c>
      <c r="W4064" s="77">
        <f>OrdersTable[[#This Row],[Quantity]]*OrdersTable[[#This Row],[Unit Cost]]</f>
        <v>2500</v>
      </c>
      <c r="X4064" s="77">
        <f>'Dropdown Lists'!$I$2*(1+OrdersTable[[#This Row],[Returned]])</f>
        <v>60</v>
      </c>
      <c r="Y4064" s="76">
        <f>OrdersTable[[#This Row],[Net Revenue]]-OrdersTable[[#This Row],[COGS]]-OrdersTable[[#This Row],[Shipping Cost]]</f>
        <v>-61</v>
      </c>
      <c r="Z4064" s="78">
        <f>IFERROR(OrdersTable[[#This Row],[Profit]]/OrdersTable[[#This Row],[Net Revenue]],0)</f>
        <v>-2.4409763905562223E-2</v>
      </c>
      <c r="AA4064" t="s">
        <v>2522</v>
      </c>
      <c r="AB4064" s="79">
        <v>45945</v>
      </c>
      <c r="AC4064">
        <f>OrdersTable[[#This Row],[Delivery Date]]-OrdersTable[[#This Row],[Order Date]]</f>
        <v>7</v>
      </c>
      <c r="AD4064" t="str">
        <f>IF(OrdersTable[[#This Row],[Delivery Days]]&lt;=2, "Express (≤2d)", IF(OrdersTable[[#This Row],[Delivery Days]]&lt;=4, "Standard (3-4d)", "Delayed (5d+)"))</f>
        <v>Delayed (5d+)</v>
      </c>
      <c r="AE4064">
        <v>3</v>
      </c>
      <c r="AF4064">
        <v>0</v>
      </c>
    </row>
    <row r="4065" spans="1:32" ht="15" x14ac:dyDescent="0.35">
      <c r="A4065" t="s">
        <v>4184</v>
      </c>
      <c r="B4065" s="1">
        <v>45938</v>
      </c>
      <c r="C4065">
        <f>YEAR(OrdersTable[[#This Row],[Order Date]])</f>
        <v>2025</v>
      </c>
      <c r="D4065" s="2">
        <f>DATE(YEAR(OrdersTable[[#This Row],[Order Date]]),MONTH(OrdersTable[[#This Row],[Order Date]]),1)</f>
        <v>45931</v>
      </c>
      <c r="E4065">
        <f>MONTH(OrdersTable[[#This Row],[Order Date]])</f>
        <v>10</v>
      </c>
      <c r="F4065" t="s">
        <v>4185</v>
      </c>
      <c r="G4065" t="str">
        <f>IF(OrdersTable[[#This Row],[Order Date]]=_xlfn.MINIFS(Order_Date, Customer_ID, OrdersTable[[#This Row],[Customer ID]]), "New", "Repeat")</f>
        <v>Repeat</v>
      </c>
      <c r="H4065" t="s">
        <v>37</v>
      </c>
      <c r="I4065" t="str">
        <f>INDEX(State!B:B,MATCH(OrdersTable[[#This Row],[State]],State!A:A,0))</f>
        <v>GJ</v>
      </c>
      <c r="J4065" t="str">
        <f>INDEX(State!C:C,MATCH(OrdersTable[[#This Row],[State Code]],State!B:B,0))</f>
        <v>West</v>
      </c>
      <c r="K4065" t="s">
        <v>247</v>
      </c>
      <c r="L4065" t="s">
        <v>39</v>
      </c>
      <c r="M4065" t="s">
        <v>78</v>
      </c>
      <c r="N4065" t="str">
        <f>INDEX(Products!B:B,MATCH(OrdersTable[[#This Row],[Product ID]],Products!A:A,0))</f>
        <v>Retinol Night Cream</v>
      </c>
      <c r="O4065" t="str">
        <f>INDEX(Products!C:C,MATCH(OrdersTable[[#This Row],[Product ID]],Products!A:A,0))</f>
        <v>Skincare</v>
      </c>
      <c r="P4065">
        <v>1</v>
      </c>
      <c r="Q4065" s="5">
        <v>799</v>
      </c>
      <c r="R4065" s="74">
        <v>0.2</v>
      </c>
      <c r="S4065" s="75">
        <f>OrdersTable[[#This Row],[Quantity]]*OrdersTable[[#This Row],[Unit Price]]</f>
        <v>799</v>
      </c>
      <c r="T4065" s="5">
        <f>OrdersTable[[#This Row],[Gross Sale]]*OrdersTable[[#This Row],[Discount_Clean2]]</f>
        <v>159.80000000000001</v>
      </c>
      <c r="U4065" s="5">
        <f>OrdersTable[[#This Row],[Gross Sale]]-OrdersTable[[#This Row],[Discount Amount]]</f>
        <v>639.20000000000005</v>
      </c>
      <c r="V4065" s="77">
        <f>INDEX(Products!E:E,MATCH(OrdersTable[[#This Row],[Product ID]],Products!A:A,0))</f>
        <v>216</v>
      </c>
      <c r="W4065" s="77">
        <f>OrdersTable[[#This Row],[Quantity]]*OrdersTable[[#This Row],[Unit Cost]]</f>
        <v>216</v>
      </c>
      <c r="X4065" s="77">
        <f>'Dropdown Lists'!$I$2*(1+OrdersTable[[#This Row],[Returned]])</f>
        <v>60</v>
      </c>
      <c r="Y4065" s="76">
        <f>OrdersTable[[#This Row],[Net Revenue]]-OrdersTable[[#This Row],[COGS]]-OrdersTable[[#This Row],[Shipping Cost]]</f>
        <v>363.20000000000005</v>
      </c>
      <c r="Z4065" s="78">
        <f>IFERROR(OrdersTable[[#This Row],[Profit]]/OrdersTable[[#This Row],[Net Revenue]],0)</f>
        <v>0.56821026282853571</v>
      </c>
      <c r="AA4065" t="s">
        <v>4074</v>
      </c>
      <c r="AB4065" s="79">
        <v>45944</v>
      </c>
      <c r="AC4065">
        <f>OrdersTable[[#This Row],[Delivery Date]]-OrdersTable[[#This Row],[Order Date]]</f>
        <v>6</v>
      </c>
      <c r="AD4065" t="str">
        <f>IF(OrdersTable[[#This Row],[Delivery Days]]&lt;=2, "Express (≤2d)", IF(OrdersTable[[#This Row],[Delivery Days]]&lt;=4, "Standard (3-4d)", "Delayed (5d+)"))</f>
        <v>Delayed (5d+)</v>
      </c>
      <c r="AE4065">
        <v>3</v>
      </c>
      <c r="AF4065">
        <v>0</v>
      </c>
    </row>
    <row r="4066" spans="1:32" ht="15" x14ac:dyDescent="0.35">
      <c r="A4066" t="s">
        <v>7028</v>
      </c>
      <c r="B4066" s="1">
        <v>45938</v>
      </c>
      <c r="C4066">
        <f>YEAR(OrdersTable[[#This Row],[Order Date]])</f>
        <v>2025</v>
      </c>
      <c r="D4066" s="2">
        <f>DATE(YEAR(OrdersTable[[#This Row],[Order Date]]),MONTH(OrdersTable[[#This Row],[Order Date]]),1)</f>
        <v>45931</v>
      </c>
      <c r="E4066">
        <f>MONTH(OrdersTable[[#This Row],[Order Date]])</f>
        <v>10</v>
      </c>
      <c r="F4066" t="s">
        <v>821</v>
      </c>
      <c r="G4066" t="str">
        <f>IF(OrdersTable[[#This Row],[Order Date]]=_xlfn.MINIFS(Order_Date, Customer_ID, OrdersTable[[#This Row],[Customer ID]]), "New", "Repeat")</f>
        <v>Repeat</v>
      </c>
      <c r="H4066" t="s">
        <v>43</v>
      </c>
      <c r="I4066" t="str">
        <f>INDEX(State!B:B,MATCH(OrdersTable[[#This Row],[State]],State!A:A,0))</f>
        <v>MP</v>
      </c>
      <c r="J4066" t="str">
        <f>INDEX(State!C:C,MATCH(OrdersTable[[#This Row],[State Code]],State!B:B,0))</f>
        <v>West</v>
      </c>
      <c r="K4066" t="s">
        <v>250</v>
      </c>
      <c r="L4066" t="s">
        <v>39</v>
      </c>
      <c r="M4066" t="s">
        <v>205</v>
      </c>
      <c r="N4066" t="str">
        <f>INDEX(Products!B:B,MATCH(OrdersTable[[#This Row],[Product ID]],Products!A:A,0))</f>
        <v>Running Shoes</v>
      </c>
      <c r="O4066" t="str">
        <f>INDEX(Products!C:C,MATCH(OrdersTable[[#This Row],[Product ID]],Products!A:A,0))</f>
        <v>Footwear</v>
      </c>
      <c r="P4066">
        <v>4</v>
      </c>
      <c r="Q4066" s="5">
        <v>2999</v>
      </c>
      <c r="R4066" s="74">
        <v>0.2</v>
      </c>
      <c r="S4066" s="75">
        <f>OrdersTable[[#This Row],[Quantity]]*OrdersTable[[#This Row],[Unit Price]]</f>
        <v>11996</v>
      </c>
      <c r="T4066" s="5">
        <f>OrdersTable[[#This Row],[Gross Sale]]*OrdersTable[[#This Row],[Discount_Clean2]]</f>
        <v>2399.2000000000003</v>
      </c>
      <c r="U4066" s="5">
        <f>OrdersTable[[#This Row],[Gross Sale]]-OrdersTable[[#This Row],[Discount Amount]]</f>
        <v>9596.7999999999993</v>
      </c>
      <c r="V4066" s="77">
        <f>INDEX(Products!E:E,MATCH(OrdersTable[[#This Row],[Product ID]],Products!A:A,0))</f>
        <v>1440</v>
      </c>
      <c r="W4066" s="77">
        <f>OrdersTable[[#This Row],[Quantity]]*OrdersTable[[#This Row],[Unit Cost]]</f>
        <v>5760</v>
      </c>
      <c r="X4066" s="77">
        <f>'Dropdown Lists'!$I$2*(1+OrdersTable[[#This Row],[Returned]])</f>
        <v>60</v>
      </c>
      <c r="Y4066" s="76">
        <f>OrdersTable[[#This Row],[Net Revenue]]-OrdersTable[[#This Row],[COGS]]-OrdersTable[[#This Row],[Shipping Cost]]</f>
        <v>3776.7999999999993</v>
      </c>
      <c r="Z4066" s="78">
        <f>IFERROR(OrdersTable[[#This Row],[Profit]]/OrdersTable[[#This Row],[Net Revenue]],0)</f>
        <v>0.39354784928309433</v>
      </c>
      <c r="AA4066" t="s">
        <v>2522</v>
      </c>
      <c r="AB4066" s="79">
        <v>45944</v>
      </c>
      <c r="AC4066">
        <f>OrdersTable[[#This Row],[Delivery Date]]-OrdersTable[[#This Row],[Order Date]]</f>
        <v>6</v>
      </c>
      <c r="AD4066" t="str">
        <f>IF(OrdersTable[[#This Row],[Delivery Days]]&lt;=2, "Express (≤2d)", IF(OrdersTable[[#This Row],[Delivery Days]]&lt;=4, "Standard (3-4d)", "Delayed (5d+)"))</f>
        <v>Delayed (5d+)</v>
      </c>
      <c r="AE4066">
        <v>3</v>
      </c>
      <c r="AF4066">
        <v>0</v>
      </c>
    </row>
    <row r="4067" spans="1:32" ht="15" x14ac:dyDescent="0.35">
      <c r="A4067" t="s">
        <v>6732</v>
      </c>
      <c r="B4067" s="1">
        <v>45938</v>
      </c>
      <c r="C4067">
        <f>YEAR(OrdersTable[[#This Row],[Order Date]])</f>
        <v>2025</v>
      </c>
      <c r="D4067" s="2">
        <f>DATE(YEAR(OrdersTable[[#This Row],[Order Date]]),MONTH(OrdersTable[[#This Row],[Order Date]]),1)</f>
        <v>45931</v>
      </c>
      <c r="E4067">
        <f>MONTH(OrdersTable[[#This Row],[Order Date]])</f>
        <v>10</v>
      </c>
      <c r="F4067" t="s">
        <v>1694</v>
      </c>
      <c r="G4067" t="str">
        <f>IF(OrdersTable[[#This Row],[Order Date]]=_xlfn.MINIFS(Order_Date, Customer_ID, OrdersTable[[#This Row],[Customer ID]]), "New", "Repeat")</f>
        <v>Repeat</v>
      </c>
      <c r="H4067" t="s">
        <v>71</v>
      </c>
      <c r="I4067" t="str">
        <f>INDEX(State!B:B,MATCH(OrdersTable[[#This Row],[State]],State!A:A,0))</f>
        <v>MH</v>
      </c>
      <c r="J4067" t="str">
        <f>INDEX(State!C:C,MATCH(OrdersTable[[#This Row],[State Code]],State!B:B,0))</f>
        <v>West</v>
      </c>
      <c r="K4067" t="s">
        <v>81</v>
      </c>
      <c r="L4067" t="s">
        <v>39</v>
      </c>
      <c r="M4067" t="s">
        <v>106</v>
      </c>
      <c r="N4067" t="str">
        <f>INDEX(Products!B:B,MATCH(OrdersTable[[#This Row],[Product ID]],Products!A:A,0))</f>
        <v>Keratin Hair Mask</v>
      </c>
      <c r="O4067" t="str">
        <f>INDEX(Products!C:C,MATCH(OrdersTable[[#This Row],[Product ID]],Products!A:A,0))</f>
        <v>Haircare</v>
      </c>
      <c r="P4067">
        <v>3</v>
      </c>
      <c r="Q4067" s="5">
        <v>549</v>
      </c>
      <c r="R4067" s="74">
        <v>0.35</v>
      </c>
      <c r="S4067" s="75">
        <f>OrdersTable[[#This Row],[Quantity]]*OrdersTable[[#This Row],[Unit Price]]</f>
        <v>1647</v>
      </c>
      <c r="T4067" s="5">
        <f>OrdersTable[[#This Row],[Gross Sale]]*OrdersTable[[#This Row],[Discount_Clean2]]</f>
        <v>576.44999999999993</v>
      </c>
      <c r="U4067" s="5">
        <f>OrdersTable[[#This Row],[Gross Sale]]-OrdersTable[[#This Row],[Discount Amount]]</f>
        <v>1070.5500000000002</v>
      </c>
      <c r="V4067" s="77">
        <f>INDEX(Products!E:E,MATCH(OrdersTable[[#This Row],[Product ID]],Products!A:A,0))</f>
        <v>170</v>
      </c>
      <c r="W4067" s="77">
        <f>OrdersTable[[#This Row],[Quantity]]*OrdersTable[[#This Row],[Unit Cost]]</f>
        <v>510</v>
      </c>
      <c r="X4067" s="77">
        <f>'Dropdown Lists'!$I$2*(1+OrdersTable[[#This Row],[Returned]])</f>
        <v>60</v>
      </c>
      <c r="Y4067" s="76">
        <f>OrdersTable[[#This Row],[Net Revenue]]-OrdersTable[[#This Row],[COGS]]-OrdersTable[[#This Row],[Shipping Cost]]</f>
        <v>500.55000000000018</v>
      </c>
      <c r="Z4067" s="78">
        <f>IFERROR(OrdersTable[[#This Row],[Profit]]/OrdersTable[[#This Row],[Net Revenue]],0)</f>
        <v>0.46756340198963159</v>
      </c>
      <c r="AA4067" t="s">
        <v>2522</v>
      </c>
      <c r="AB4067" s="79">
        <v>45941</v>
      </c>
      <c r="AC4067">
        <f>OrdersTable[[#This Row],[Delivery Date]]-OrdersTable[[#This Row],[Order Date]]</f>
        <v>3</v>
      </c>
      <c r="AD4067" t="str">
        <f>IF(OrdersTable[[#This Row],[Delivery Days]]&lt;=2, "Express (≤2d)", IF(OrdersTable[[#This Row],[Delivery Days]]&lt;=4, "Standard (3-4d)", "Delayed (5d+)"))</f>
        <v>Standard (3-4d)</v>
      </c>
      <c r="AE4067">
        <v>4</v>
      </c>
      <c r="AF4067">
        <v>0</v>
      </c>
    </row>
    <row r="4068" spans="1:32" ht="15" x14ac:dyDescent="0.35">
      <c r="A4068" t="s">
        <v>6623</v>
      </c>
      <c r="B4068" s="1">
        <v>45938</v>
      </c>
      <c r="C4068">
        <f>YEAR(OrdersTable[[#This Row],[Order Date]])</f>
        <v>2025</v>
      </c>
      <c r="D4068" s="2">
        <f>DATE(YEAR(OrdersTable[[#This Row],[Order Date]]),MONTH(OrdersTable[[#This Row],[Order Date]]),1)</f>
        <v>45931</v>
      </c>
      <c r="E4068">
        <f>MONTH(OrdersTable[[#This Row],[Order Date]])</f>
        <v>10</v>
      </c>
      <c r="F4068" t="s">
        <v>388</v>
      </c>
      <c r="G4068" t="str">
        <f>IF(OrdersTable[[#This Row],[Order Date]]=_xlfn.MINIFS(Order_Date, Customer_ID, OrdersTable[[#This Row],[Customer ID]]), "New", "Repeat")</f>
        <v>Repeat</v>
      </c>
      <c r="H4068" t="s">
        <v>14</v>
      </c>
      <c r="I4068" t="str">
        <f>INDEX(State!B:B,MATCH(OrdersTable[[#This Row],[State]],State!A:A,0))</f>
        <v>OD</v>
      </c>
      <c r="J4068" t="str">
        <f>INDEX(State!C:C,MATCH(OrdersTable[[#This Row],[State Code]],State!B:B,0))</f>
        <v>East</v>
      </c>
      <c r="K4068" t="s">
        <v>15</v>
      </c>
      <c r="L4068" t="s">
        <v>23</v>
      </c>
      <c r="M4068" t="s">
        <v>160</v>
      </c>
      <c r="N4068" t="str">
        <f>INDEX(Products!B:B,MATCH(OrdersTable[[#This Row],[Product ID]],Products!A:A,0))</f>
        <v>Niacinamide Toner</v>
      </c>
      <c r="O4068" t="str">
        <f>INDEX(Products!C:C,MATCH(OrdersTable[[#This Row],[Product ID]],Products!A:A,0))</f>
        <v>Skincare</v>
      </c>
      <c r="P4068">
        <v>3</v>
      </c>
      <c r="Q4068" s="5">
        <v>399</v>
      </c>
      <c r="R4068" s="74">
        <v>0.4</v>
      </c>
      <c r="S4068" s="75">
        <f>OrdersTable[[#This Row],[Quantity]]*OrdersTable[[#This Row],[Unit Price]]</f>
        <v>1197</v>
      </c>
      <c r="T4068" s="5">
        <f>OrdersTable[[#This Row],[Gross Sale]]*OrdersTable[[#This Row],[Discount_Clean2]]</f>
        <v>478.8</v>
      </c>
      <c r="U4068" s="5">
        <f>OrdersTable[[#This Row],[Gross Sale]]-OrdersTable[[#This Row],[Discount Amount]]</f>
        <v>718.2</v>
      </c>
      <c r="V4068" s="77">
        <f>INDEX(Products!E:E,MATCH(OrdersTable[[#This Row],[Product ID]],Products!A:A,0))</f>
        <v>112</v>
      </c>
      <c r="W4068" s="77">
        <f>OrdersTable[[#This Row],[Quantity]]*OrdersTable[[#This Row],[Unit Cost]]</f>
        <v>336</v>
      </c>
      <c r="X4068" s="77">
        <f>'Dropdown Lists'!$I$2*(1+OrdersTable[[#This Row],[Returned]])</f>
        <v>60</v>
      </c>
      <c r="Y4068" s="76">
        <f>OrdersTable[[#This Row],[Net Revenue]]-OrdersTable[[#This Row],[COGS]]-OrdersTable[[#This Row],[Shipping Cost]]</f>
        <v>322.20000000000005</v>
      </c>
      <c r="Z4068" s="78">
        <f>IFERROR(OrdersTable[[#This Row],[Profit]]/OrdersTable[[#This Row],[Net Revenue]],0)</f>
        <v>0.44862155388471181</v>
      </c>
      <c r="AA4068" t="s">
        <v>18</v>
      </c>
      <c r="AB4068" s="79">
        <v>45943</v>
      </c>
      <c r="AC4068">
        <f>OrdersTable[[#This Row],[Delivery Date]]-OrdersTable[[#This Row],[Order Date]]</f>
        <v>5</v>
      </c>
      <c r="AD4068" t="str">
        <f>IF(OrdersTable[[#This Row],[Delivery Days]]&lt;=2, "Express (≤2d)", IF(OrdersTable[[#This Row],[Delivery Days]]&lt;=4, "Standard (3-4d)", "Delayed (5d+)"))</f>
        <v>Delayed (5d+)</v>
      </c>
      <c r="AE4068">
        <v>3</v>
      </c>
      <c r="AF4068">
        <v>0</v>
      </c>
    </row>
    <row r="4069" spans="1:32" ht="15" x14ac:dyDescent="0.35">
      <c r="A4069" t="s">
        <v>6624</v>
      </c>
      <c r="B4069" s="1">
        <v>45938</v>
      </c>
      <c r="C4069">
        <f>YEAR(OrdersTable[[#This Row],[Order Date]])</f>
        <v>2025</v>
      </c>
      <c r="D4069" s="2">
        <f>DATE(YEAR(OrdersTable[[#This Row],[Order Date]]),MONTH(OrdersTable[[#This Row],[Order Date]]),1)</f>
        <v>45931</v>
      </c>
      <c r="E4069">
        <f>MONTH(OrdersTable[[#This Row],[Order Date]])</f>
        <v>10</v>
      </c>
      <c r="F4069" t="s">
        <v>3573</v>
      </c>
      <c r="G4069" t="str">
        <f>IF(OrdersTable[[#This Row],[Order Date]]=_xlfn.MINIFS(Order_Date, Customer_ID, OrdersTable[[#This Row],[Customer ID]]), "New", "Repeat")</f>
        <v>Repeat</v>
      </c>
      <c r="H4069" t="s">
        <v>316</v>
      </c>
      <c r="I4069" t="str">
        <f>INDEX(State!B:B,MATCH(OrdersTable[[#This Row],[State]],State!A:A,0))</f>
        <v>KL</v>
      </c>
      <c r="J4069" t="str">
        <f>INDEX(State!C:C,MATCH(OrdersTable[[#This Row],[State Code]],State!B:B,0))</f>
        <v>South</v>
      </c>
      <c r="K4069" t="s">
        <v>317</v>
      </c>
      <c r="L4069" t="s">
        <v>50</v>
      </c>
      <c r="M4069" t="s">
        <v>109</v>
      </c>
      <c r="N4069" t="str">
        <f>INDEX(Products!B:B,MATCH(OrdersTable[[#This Row],[Product ID]],Products!A:A,0))</f>
        <v>Onion Hair Oil</v>
      </c>
      <c r="O4069" t="str">
        <f>INDEX(Products!C:C,MATCH(OrdersTable[[#This Row],[Product ID]],Products!A:A,0))</f>
        <v>Haircare</v>
      </c>
      <c r="P4069">
        <v>3</v>
      </c>
      <c r="Q4069" s="5">
        <v>349</v>
      </c>
      <c r="R4069" s="74">
        <v>0.5</v>
      </c>
      <c r="S4069" s="75">
        <f>OrdersTable[[#This Row],[Quantity]]*OrdersTable[[#This Row],[Unit Price]]</f>
        <v>1047</v>
      </c>
      <c r="T4069" s="5">
        <f>OrdersTable[[#This Row],[Gross Sale]]*OrdersTable[[#This Row],[Discount_Clean2]]</f>
        <v>523.5</v>
      </c>
      <c r="U4069" s="5">
        <f>OrdersTable[[#This Row],[Gross Sale]]-OrdersTable[[#This Row],[Discount Amount]]</f>
        <v>523.5</v>
      </c>
      <c r="V4069" s="77">
        <f>INDEX(Products!E:E,MATCH(OrdersTable[[#This Row],[Product ID]],Products!A:A,0))</f>
        <v>105</v>
      </c>
      <c r="W4069" s="77">
        <f>OrdersTable[[#This Row],[Quantity]]*OrdersTable[[#This Row],[Unit Cost]]</f>
        <v>315</v>
      </c>
      <c r="X4069" s="77">
        <f>'Dropdown Lists'!$I$2*(1+OrdersTable[[#This Row],[Returned]])</f>
        <v>60</v>
      </c>
      <c r="Y4069" s="76">
        <f>OrdersTable[[#This Row],[Net Revenue]]-OrdersTable[[#This Row],[COGS]]-OrdersTable[[#This Row],[Shipping Cost]]</f>
        <v>148.5</v>
      </c>
      <c r="Z4069" s="78">
        <f>IFERROR(OrdersTable[[#This Row],[Profit]]/OrdersTable[[#This Row],[Net Revenue]],0)</f>
        <v>0.28366762177650429</v>
      </c>
      <c r="AA4069" t="s">
        <v>18</v>
      </c>
      <c r="AB4069" s="79">
        <v>45942</v>
      </c>
      <c r="AC4069">
        <f>OrdersTable[[#This Row],[Delivery Date]]-OrdersTable[[#This Row],[Order Date]]</f>
        <v>4</v>
      </c>
      <c r="AD4069" t="str">
        <f>IF(OrdersTable[[#This Row],[Delivery Days]]&lt;=2, "Express (≤2d)", IF(OrdersTable[[#This Row],[Delivery Days]]&lt;=4, "Standard (3-4d)", "Delayed (5d+)"))</f>
        <v>Standard (3-4d)</v>
      </c>
      <c r="AE4069">
        <v>4</v>
      </c>
      <c r="AF4069">
        <v>0</v>
      </c>
    </row>
    <row r="4070" spans="1:32" ht="15" x14ac:dyDescent="0.35">
      <c r="A4070" t="s">
        <v>5830</v>
      </c>
      <c r="B4070" s="1">
        <v>45938</v>
      </c>
      <c r="C4070">
        <f>YEAR(OrdersTable[[#This Row],[Order Date]])</f>
        <v>2025</v>
      </c>
      <c r="D4070" s="2">
        <f>DATE(YEAR(OrdersTable[[#This Row],[Order Date]]),MONTH(OrdersTable[[#This Row],[Order Date]]),1)</f>
        <v>45931</v>
      </c>
      <c r="E4070">
        <f>MONTH(OrdersTable[[#This Row],[Order Date]])</f>
        <v>10</v>
      </c>
      <c r="F4070" t="s">
        <v>5831</v>
      </c>
      <c r="G4070" t="str">
        <f>IF(OrdersTable[[#This Row],[Order Date]]=_xlfn.MINIFS(Order_Date, Customer_ID, OrdersTable[[#This Row],[Customer ID]]), "New", "Repeat")</f>
        <v>New</v>
      </c>
      <c r="H4070" t="s">
        <v>59</v>
      </c>
      <c r="I4070" t="str">
        <f>INDEX(State!B:B,MATCH(OrdersTable[[#This Row],[State]],State!A:A,0))</f>
        <v>TN</v>
      </c>
      <c r="J4070" t="str">
        <f>INDEX(State!C:C,MATCH(OrdersTable[[#This Row],[State Code]],State!B:B,0))</f>
        <v>South</v>
      </c>
      <c r="K4070" t="s">
        <v>64</v>
      </c>
      <c r="L4070" t="s">
        <v>23</v>
      </c>
      <c r="M4070" t="s">
        <v>179</v>
      </c>
      <c r="N4070" t="str">
        <f>INDEX(Products!B:B,MATCH(OrdersTable[[#This Row],[Product ID]],Products!A:A,0))</f>
        <v>Whey Protein 1kg</v>
      </c>
      <c r="O4070" t="str">
        <f>INDEX(Products!C:C,MATCH(OrdersTable[[#This Row],[Product ID]],Products!A:A,0))</f>
        <v>Wellness</v>
      </c>
      <c r="P4070">
        <v>2</v>
      </c>
      <c r="Q4070" s="5">
        <v>2299</v>
      </c>
      <c r="R4070" s="74">
        <v>0.45</v>
      </c>
      <c r="S4070" s="75">
        <f>OrdersTable[[#This Row],[Quantity]]*OrdersTable[[#This Row],[Unit Price]]</f>
        <v>4598</v>
      </c>
      <c r="T4070" s="5">
        <f>OrdersTable[[#This Row],[Gross Sale]]*OrdersTable[[#This Row],[Discount_Clean2]]</f>
        <v>2069.1</v>
      </c>
      <c r="U4070" s="5">
        <f>OrdersTable[[#This Row],[Gross Sale]]-OrdersTable[[#This Row],[Discount Amount]]</f>
        <v>2528.9</v>
      </c>
      <c r="V4070" s="77">
        <f>INDEX(Products!E:E,MATCH(OrdersTable[[#This Row],[Product ID]],Products!A:A,0))</f>
        <v>1333</v>
      </c>
      <c r="W4070" s="77">
        <f>OrdersTable[[#This Row],[Quantity]]*OrdersTable[[#This Row],[Unit Cost]]</f>
        <v>2666</v>
      </c>
      <c r="X4070" s="77">
        <f>'Dropdown Lists'!$I$2*(1+OrdersTable[[#This Row],[Returned]])</f>
        <v>60</v>
      </c>
      <c r="Y4070" s="76">
        <f>OrdersTable[[#This Row],[Net Revenue]]-OrdersTable[[#This Row],[COGS]]-OrdersTable[[#This Row],[Shipping Cost]]</f>
        <v>-197.09999999999991</v>
      </c>
      <c r="Z4070" s="78">
        <f>IFERROR(OrdersTable[[#This Row],[Profit]]/OrdersTable[[#This Row],[Net Revenue]],0)</f>
        <v>-7.7939024872474158E-2</v>
      </c>
      <c r="AA4070" t="s">
        <v>18</v>
      </c>
      <c r="AB4070" s="79">
        <v>45940</v>
      </c>
      <c r="AC4070">
        <f>OrdersTable[[#This Row],[Delivery Date]]-OrdersTable[[#This Row],[Order Date]]</f>
        <v>2</v>
      </c>
      <c r="AD4070" t="str">
        <f>IF(OrdersTable[[#This Row],[Delivery Days]]&lt;=2, "Express (≤2d)", IF(OrdersTable[[#This Row],[Delivery Days]]&lt;=4, "Standard (3-4d)", "Delayed (5d+)"))</f>
        <v>Express (≤2d)</v>
      </c>
      <c r="AE4070">
        <v>5</v>
      </c>
      <c r="AF4070">
        <v>0</v>
      </c>
    </row>
    <row r="4071" spans="1:32" ht="15" x14ac:dyDescent="0.35">
      <c r="A4071" t="s">
        <v>5443</v>
      </c>
      <c r="B4071" s="1">
        <v>45938</v>
      </c>
      <c r="C4071">
        <f>YEAR(OrdersTable[[#This Row],[Order Date]])</f>
        <v>2025</v>
      </c>
      <c r="D4071" s="2">
        <f>DATE(YEAR(OrdersTable[[#This Row],[Order Date]]),MONTH(OrdersTable[[#This Row],[Order Date]]),1)</f>
        <v>45931</v>
      </c>
      <c r="E4071">
        <f>MONTH(OrdersTable[[#This Row],[Order Date]])</f>
        <v>10</v>
      </c>
      <c r="F4071" t="s">
        <v>5444</v>
      </c>
      <c r="G4071" t="str">
        <f>IF(OrdersTable[[#This Row],[Order Date]]=_xlfn.MINIFS(Order_Date, Customer_ID, OrdersTable[[#This Row],[Customer ID]]), "New", "Repeat")</f>
        <v>New</v>
      </c>
      <c r="H4071" t="s">
        <v>59</v>
      </c>
      <c r="I4071" t="str">
        <f>INDEX(State!B:B,MATCH(OrdersTable[[#This Row],[State]],State!A:A,0))</f>
        <v>TN</v>
      </c>
      <c r="J4071" t="str">
        <f>INDEX(State!C:C,MATCH(OrdersTable[[#This Row],[State Code]],State!B:B,0))</f>
        <v>South</v>
      </c>
      <c r="K4071" t="s">
        <v>60</v>
      </c>
      <c r="L4071" t="s">
        <v>50</v>
      </c>
      <c r="M4071" t="s">
        <v>61</v>
      </c>
      <c r="N4071" t="str">
        <f>INDEX(Products!B:B,MATCH(OrdersTable[[#This Row],[Product ID]],Products!A:A,0))</f>
        <v>Multivitamin Gummies</v>
      </c>
      <c r="O4071" t="str">
        <f>INDEX(Products!C:C,MATCH(OrdersTable[[#This Row],[Product ID]],Products!A:A,0))</f>
        <v>Wellness</v>
      </c>
      <c r="P4071">
        <v>2</v>
      </c>
      <c r="Q4071" s="5">
        <v>699</v>
      </c>
      <c r="R4071" s="74">
        <v>0.25</v>
      </c>
      <c r="S4071" s="75">
        <f>OrdersTable[[#This Row],[Quantity]]*OrdersTable[[#This Row],[Unit Price]]</f>
        <v>1398</v>
      </c>
      <c r="T4071" s="5">
        <f>OrdersTable[[#This Row],[Gross Sale]]*OrdersTable[[#This Row],[Discount_Clean2]]</f>
        <v>349.5</v>
      </c>
      <c r="U4071" s="5">
        <f>OrdersTable[[#This Row],[Gross Sale]]-OrdersTable[[#This Row],[Discount Amount]]</f>
        <v>1048.5</v>
      </c>
      <c r="V4071" s="77">
        <f>INDEX(Products!E:E,MATCH(OrdersTable[[#This Row],[Product ID]],Products!A:A,0))</f>
        <v>238</v>
      </c>
      <c r="W4071" s="77">
        <f>OrdersTable[[#This Row],[Quantity]]*OrdersTable[[#This Row],[Unit Cost]]</f>
        <v>476</v>
      </c>
      <c r="X4071" s="77">
        <f>'Dropdown Lists'!$I$2*(1+OrdersTable[[#This Row],[Returned]])</f>
        <v>60</v>
      </c>
      <c r="Y4071" s="76">
        <f>OrdersTable[[#This Row],[Net Revenue]]-OrdersTable[[#This Row],[COGS]]-OrdersTable[[#This Row],[Shipping Cost]]</f>
        <v>512.5</v>
      </c>
      <c r="Z4071" s="78">
        <f>IFERROR(OrdersTable[[#This Row],[Profit]]/OrdersTable[[#This Row],[Net Revenue]],0)</f>
        <v>0.48879351454458753</v>
      </c>
      <c r="AA4071" t="s">
        <v>2522</v>
      </c>
      <c r="AB4071" s="79">
        <v>45940</v>
      </c>
      <c r="AC4071">
        <f>OrdersTable[[#This Row],[Delivery Date]]-OrdersTable[[#This Row],[Order Date]]</f>
        <v>2</v>
      </c>
      <c r="AD4071" t="str">
        <f>IF(OrdersTable[[#This Row],[Delivery Days]]&lt;=2, "Express (≤2d)", IF(OrdersTable[[#This Row],[Delivery Days]]&lt;=4, "Standard (3-4d)", "Delayed (5d+)"))</f>
        <v>Express (≤2d)</v>
      </c>
      <c r="AF4071">
        <v>0</v>
      </c>
    </row>
    <row r="4072" spans="1:32" ht="15" x14ac:dyDescent="0.35">
      <c r="A4072" t="s">
        <v>5236</v>
      </c>
      <c r="B4072" s="1">
        <v>45939</v>
      </c>
      <c r="C4072">
        <f>YEAR(OrdersTable[[#This Row],[Order Date]])</f>
        <v>2025</v>
      </c>
      <c r="D4072" s="2">
        <f>DATE(YEAR(OrdersTable[[#This Row],[Order Date]]),MONTH(OrdersTable[[#This Row],[Order Date]]),1)</f>
        <v>45931</v>
      </c>
      <c r="E4072">
        <f>MONTH(OrdersTable[[#This Row],[Order Date]])</f>
        <v>10</v>
      </c>
      <c r="F4072" t="s">
        <v>5237</v>
      </c>
      <c r="G4072" t="str">
        <f>IF(OrdersTable[[#This Row],[Order Date]]=_xlfn.MINIFS(Order_Date, Customer_ID, OrdersTable[[#This Row],[Customer ID]]), "New", "Repeat")</f>
        <v>New</v>
      </c>
      <c r="H4072" t="s">
        <v>210</v>
      </c>
      <c r="I4072" t="str">
        <f>INDEX(State!B:B,MATCH(OrdersTable[[#This Row],[State]],State!A:A,0))</f>
        <v>JK</v>
      </c>
      <c r="J4072" t="str">
        <f>INDEX(State!C:C,MATCH(OrdersTable[[#This Row],[State Code]],State!B:B,0))</f>
        <v>North</v>
      </c>
      <c r="K4072" t="s">
        <v>211</v>
      </c>
      <c r="L4072" t="s">
        <v>65</v>
      </c>
      <c r="M4072" t="s">
        <v>51</v>
      </c>
      <c r="N4072" t="str">
        <f>INDEX(Products!B:B,MATCH(OrdersTable[[#This Row],[Product ID]],Products!A:A,0))</f>
        <v>Anti-Dandruff Conditioner</v>
      </c>
      <c r="O4072" t="str">
        <f>INDEX(Products!C:C,MATCH(OrdersTable[[#This Row],[Product ID]],Products!A:A,0))</f>
        <v>Haircare</v>
      </c>
      <c r="P4072">
        <v>2</v>
      </c>
      <c r="Q4072" s="5">
        <v>399</v>
      </c>
      <c r="R4072" s="74">
        <v>0.5</v>
      </c>
      <c r="S4072" s="75">
        <f>OrdersTable[[#This Row],[Quantity]]*OrdersTable[[#This Row],[Unit Price]]</f>
        <v>798</v>
      </c>
      <c r="T4072" s="5">
        <f>OrdersTable[[#This Row],[Gross Sale]]*OrdersTable[[#This Row],[Discount_Clean2]]</f>
        <v>399</v>
      </c>
      <c r="U4072" s="5">
        <f>OrdersTable[[#This Row],[Gross Sale]]-OrdersTable[[#This Row],[Discount Amount]]</f>
        <v>399</v>
      </c>
      <c r="V4072" s="77">
        <f>INDEX(Products!E:E,MATCH(OrdersTable[[#This Row],[Product ID]],Products!A:A,0))</f>
        <v>136</v>
      </c>
      <c r="W4072" s="77">
        <f>OrdersTable[[#This Row],[Quantity]]*OrdersTable[[#This Row],[Unit Cost]]</f>
        <v>272</v>
      </c>
      <c r="X4072" s="77">
        <f>'Dropdown Lists'!$I$2*(1+OrdersTable[[#This Row],[Returned]])</f>
        <v>60</v>
      </c>
      <c r="Y4072" s="76">
        <f>OrdersTable[[#This Row],[Net Revenue]]-OrdersTable[[#This Row],[COGS]]-OrdersTable[[#This Row],[Shipping Cost]]</f>
        <v>67</v>
      </c>
      <c r="Z4072" s="78">
        <f>IFERROR(OrdersTable[[#This Row],[Profit]]/OrdersTable[[#This Row],[Net Revenue]],0)</f>
        <v>0.16791979949874686</v>
      </c>
      <c r="AA4072" t="s">
        <v>3495</v>
      </c>
      <c r="AB4072" s="79">
        <v>45945</v>
      </c>
      <c r="AC4072">
        <f>OrdersTable[[#This Row],[Delivery Date]]-OrdersTable[[#This Row],[Order Date]]</f>
        <v>6</v>
      </c>
      <c r="AD4072" t="str">
        <f>IF(OrdersTable[[#This Row],[Delivery Days]]&lt;=2, "Express (≤2d)", IF(OrdersTable[[#This Row],[Delivery Days]]&lt;=4, "Standard (3-4d)", "Delayed (5d+)"))</f>
        <v>Delayed (5d+)</v>
      </c>
      <c r="AE4072">
        <v>4</v>
      </c>
      <c r="AF4072">
        <v>0</v>
      </c>
    </row>
    <row r="4073" spans="1:32" ht="15" x14ac:dyDescent="0.35">
      <c r="A4073" t="s">
        <v>6625</v>
      </c>
      <c r="B4073" s="1">
        <v>45939</v>
      </c>
      <c r="C4073">
        <f>YEAR(OrdersTable[[#This Row],[Order Date]])</f>
        <v>2025</v>
      </c>
      <c r="D4073" s="2">
        <f>DATE(YEAR(OrdersTable[[#This Row],[Order Date]]),MONTH(OrdersTable[[#This Row],[Order Date]]),1)</f>
        <v>45931</v>
      </c>
      <c r="E4073">
        <f>MONTH(OrdersTable[[#This Row],[Order Date]])</f>
        <v>10</v>
      </c>
      <c r="F4073" t="s">
        <v>2166</v>
      </c>
      <c r="G4073" t="str">
        <f>IF(OrdersTable[[#This Row],[Order Date]]=_xlfn.MINIFS(Order_Date, Customer_ID, OrdersTable[[#This Row],[Customer ID]]), "New", "Repeat")</f>
        <v>Repeat</v>
      </c>
      <c r="H4073" t="s">
        <v>54</v>
      </c>
      <c r="I4073" t="str">
        <f>INDEX(State!B:B,MATCH(OrdersTable[[#This Row],[State]],State!A:A,0))</f>
        <v>RJ</v>
      </c>
      <c r="J4073" t="str">
        <f>INDEX(State!C:C,MATCH(OrdersTable[[#This Row],[State Code]],State!B:B,0))</f>
        <v>North</v>
      </c>
      <c r="K4073" t="s">
        <v>227</v>
      </c>
      <c r="L4073" t="s">
        <v>50</v>
      </c>
      <c r="M4073" t="s">
        <v>160</v>
      </c>
      <c r="N4073" t="str">
        <f>INDEX(Products!B:B,MATCH(OrdersTable[[#This Row],[Product ID]],Products!A:A,0))</f>
        <v>Niacinamide Toner</v>
      </c>
      <c r="O4073" t="str">
        <f>INDEX(Products!C:C,MATCH(OrdersTable[[#This Row],[Product ID]],Products!A:A,0))</f>
        <v>Skincare</v>
      </c>
      <c r="P4073">
        <v>3</v>
      </c>
      <c r="Q4073" s="5">
        <v>399</v>
      </c>
      <c r="R4073" s="74">
        <v>0.45</v>
      </c>
      <c r="S4073" s="75">
        <f>OrdersTable[[#This Row],[Quantity]]*OrdersTable[[#This Row],[Unit Price]]</f>
        <v>1197</v>
      </c>
      <c r="T4073" s="5">
        <f>OrdersTable[[#This Row],[Gross Sale]]*OrdersTable[[#This Row],[Discount_Clean2]]</f>
        <v>538.65</v>
      </c>
      <c r="U4073" s="5">
        <f>OrdersTable[[#This Row],[Gross Sale]]-OrdersTable[[#This Row],[Discount Amount]]</f>
        <v>658.35</v>
      </c>
      <c r="V4073" s="77">
        <f>INDEX(Products!E:E,MATCH(OrdersTable[[#This Row],[Product ID]],Products!A:A,0))</f>
        <v>112</v>
      </c>
      <c r="W4073" s="77">
        <f>OrdersTable[[#This Row],[Quantity]]*OrdersTable[[#This Row],[Unit Cost]]</f>
        <v>336</v>
      </c>
      <c r="X4073" s="77">
        <f>'Dropdown Lists'!$I$2*(1+OrdersTable[[#This Row],[Returned]])</f>
        <v>60</v>
      </c>
      <c r="Y4073" s="76">
        <f>OrdersTable[[#This Row],[Net Revenue]]-OrdersTable[[#This Row],[COGS]]-OrdersTable[[#This Row],[Shipping Cost]]</f>
        <v>262.35000000000002</v>
      </c>
      <c r="Z4073" s="78">
        <f>IFERROR(OrdersTable[[#This Row],[Profit]]/OrdersTable[[#This Row],[Net Revenue]],0)</f>
        <v>0.39849624060150379</v>
      </c>
      <c r="AA4073" t="s">
        <v>18</v>
      </c>
      <c r="AB4073" s="79">
        <v>45943</v>
      </c>
      <c r="AC4073">
        <f>OrdersTable[[#This Row],[Delivery Date]]-OrdersTable[[#This Row],[Order Date]]</f>
        <v>4</v>
      </c>
      <c r="AD4073" t="str">
        <f>IF(OrdersTable[[#This Row],[Delivery Days]]&lt;=2, "Express (≤2d)", IF(OrdersTable[[#This Row],[Delivery Days]]&lt;=4, "Standard (3-4d)", "Delayed (5d+)"))</f>
        <v>Standard (3-4d)</v>
      </c>
      <c r="AE4073">
        <v>5</v>
      </c>
      <c r="AF4073">
        <v>0</v>
      </c>
    </row>
    <row r="4074" spans="1:32" ht="15" x14ac:dyDescent="0.35">
      <c r="A4074" t="s">
        <v>5629</v>
      </c>
      <c r="B4074" s="1">
        <v>45939</v>
      </c>
      <c r="C4074">
        <f>YEAR(OrdersTable[[#This Row],[Order Date]])</f>
        <v>2025</v>
      </c>
      <c r="D4074" s="2">
        <f>DATE(YEAR(OrdersTable[[#This Row],[Order Date]]),MONTH(OrdersTable[[#This Row],[Order Date]]),1)</f>
        <v>45931</v>
      </c>
      <c r="E4074">
        <f>MONTH(OrdersTable[[#This Row],[Order Date]])</f>
        <v>10</v>
      </c>
      <c r="F4074" t="s">
        <v>4901</v>
      </c>
      <c r="G4074" t="str">
        <f>IF(OrdersTable[[#This Row],[Order Date]]=_xlfn.MINIFS(Order_Date, Customer_ID, OrdersTable[[#This Row],[Customer ID]]), "New", "Repeat")</f>
        <v>Repeat</v>
      </c>
      <c r="H4074" t="s">
        <v>128</v>
      </c>
      <c r="I4074" t="str">
        <f>INDEX(State!B:B,MATCH(OrdersTable[[#This Row],[State]],State!A:A,0))</f>
        <v>DL</v>
      </c>
      <c r="J4074" t="str">
        <f>INDEX(State!C:C,MATCH(OrdersTable[[#This Row],[State Code]],State!B:B,0))</f>
        <v>North</v>
      </c>
      <c r="K4074" t="s">
        <v>129</v>
      </c>
      <c r="L4074" t="s">
        <v>16</v>
      </c>
      <c r="M4074" t="s">
        <v>34</v>
      </c>
      <c r="N4074" t="str">
        <f>INDEX(Products!B:B,MATCH(OrdersTable[[#This Row],[Product ID]],Products!A:A,0))</f>
        <v>Flip Flops</v>
      </c>
      <c r="O4074" t="str">
        <f>INDEX(Products!C:C,MATCH(OrdersTable[[#This Row],[Product ID]],Products!A:A,0))</f>
        <v>Footwear</v>
      </c>
      <c r="P4074">
        <v>2</v>
      </c>
      <c r="Q4074" s="5">
        <v>399</v>
      </c>
      <c r="R4074" s="74">
        <v>0.3</v>
      </c>
      <c r="S4074" s="75">
        <f>OrdersTable[[#This Row],[Quantity]]*OrdersTable[[#This Row],[Unit Price]]</f>
        <v>798</v>
      </c>
      <c r="T4074" s="5">
        <f>OrdersTable[[#This Row],[Gross Sale]]*OrdersTable[[#This Row],[Discount_Clean2]]</f>
        <v>239.39999999999998</v>
      </c>
      <c r="U4074" s="5">
        <f>OrdersTable[[#This Row],[Gross Sale]]-OrdersTable[[#This Row],[Discount Amount]]</f>
        <v>558.6</v>
      </c>
      <c r="V4074" s="77">
        <f>INDEX(Products!E:E,MATCH(OrdersTable[[#This Row],[Product ID]],Products!A:A,0))</f>
        <v>152</v>
      </c>
      <c r="W4074" s="77">
        <f>OrdersTable[[#This Row],[Quantity]]*OrdersTable[[#This Row],[Unit Cost]]</f>
        <v>304</v>
      </c>
      <c r="X4074" s="77">
        <f>'Dropdown Lists'!$I$2*(1+OrdersTable[[#This Row],[Returned]])</f>
        <v>60</v>
      </c>
      <c r="Y4074" s="76">
        <f>OrdersTable[[#This Row],[Net Revenue]]-OrdersTable[[#This Row],[COGS]]-OrdersTable[[#This Row],[Shipping Cost]]</f>
        <v>194.60000000000002</v>
      </c>
      <c r="Z4074" s="78">
        <f>IFERROR(OrdersTable[[#This Row],[Profit]]/OrdersTable[[#This Row],[Net Revenue]],0)</f>
        <v>0.34837092731829578</v>
      </c>
      <c r="AA4074" t="s">
        <v>2522</v>
      </c>
      <c r="AB4074" s="79">
        <v>45942</v>
      </c>
      <c r="AC4074">
        <f>OrdersTable[[#This Row],[Delivery Date]]-OrdersTable[[#This Row],[Order Date]]</f>
        <v>3</v>
      </c>
      <c r="AD4074" t="str">
        <f>IF(OrdersTable[[#This Row],[Delivery Days]]&lt;=2, "Express (≤2d)", IF(OrdersTable[[#This Row],[Delivery Days]]&lt;=4, "Standard (3-4d)", "Delayed (5d+)"))</f>
        <v>Standard (3-4d)</v>
      </c>
      <c r="AE4074">
        <v>4</v>
      </c>
      <c r="AF4074">
        <v>0</v>
      </c>
    </row>
    <row r="4075" spans="1:32" ht="15" x14ac:dyDescent="0.35">
      <c r="A4075" t="s">
        <v>3673</v>
      </c>
      <c r="B4075" s="1">
        <v>45939</v>
      </c>
      <c r="C4075">
        <f>YEAR(OrdersTable[[#This Row],[Order Date]])</f>
        <v>2025</v>
      </c>
      <c r="D4075" s="2">
        <f>DATE(YEAR(OrdersTable[[#This Row],[Order Date]]),MONTH(OrdersTable[[#This Row],[Order Date]]),1)</f>
        <v>45931</v>
      </c>
      <c r="E4075">
        <f>MONTH(OrdersTable[[#This Row],[Order Date]])</f>
        <v>10</v>
      </c>
      <c r="F4075" t="s">
        <v>3214</v>
      </c>
      <c r="G4075" t="str">
        <f>IF(OrdersTable[[#This Row],[Order Date]]=_xlfn.MINIFS(Order_Date, Customer_ID, OrdersTable[[#This Row],[Customer ID]]), "New", "Repeat")</f>
        <v>Repeat</v>
      </c>
      <c r="H4075" t="s">
        <v>128</v>
      </c>
      <c r="I4075" t="str">
        <f>INDEX(State!B:B,MATCH(OrdersTable[[#This Row],[State]],State!A:A,0))</f>
        <v>DL</v>
      </c>
      <c r="J4075" t="str">
        <f>INDEX(State!C:C,MATCH(OrdersTable[[#This Row],[State Code]],State!B:B,0))</f>
        <v>North</v>
      </c>
      <c r="K4075" t="s">
        <v>129</v>
      </c>
      <c r="L4075" t="s">
        <v>39</v>
      </c>
      <c r="M4075" t="s">
        <v>109</v>
      </c>
      <c r="N4075" t="str">
        <f>INDEX(Products!B:B,MATCH(OrdersTable[[#This Row],[Product ID]],Products!A:A,0))</f>
        <v>Onion Hair Oil</v>
      </c>
      <c r="O4075" t="str">
        <f>INDEX(Products!C:C,MATCH(OrdersTable[[#This Row],[Product ID]],Products!A:A,0))</f>
        <v>Haircare</v>
      </c>
      <c r="P4075">
        <v>1</v>
      </c>
      <c r="Q4075" s="5">
        <v>349</v>
      </c>
      <c r="R4075" s="74">
        <v>0.35</v>
      </c>
      <c r="S4075" s="75">
        <f>OrdersTable[[#This Row],[Quantity]]*OrdersTable[[#This Row],[Unit Price]]</f>
        <v>349</v>
      </c>
      <c r="T4075" s="5">
        <f>OrdersTable[[#This Row],[Gross Sale]]*OrdersTable[[#This Row],[Discount_Clean2]]</f>
        <v>122.14999999999999</v>
      </c>
      <c r="U4075" s="5">
        <f>OrdersTable[[#This Row],[Gross Sale]]-OrdersTable[[#This Row],[Discount Amount]]</f>
        <v>226.85000000000002</v>
      </c>
      <c r="V4075" s="77">
        <f>INDEX(Products!E:E,MATCH(OrdersTable[[#This Row],[Product ID]],Products!A:A,0))</f>
        <v>105</v>
      </c>
      <c r="W4075" s="77">
        <f>OrdersTable[[#This Row],[Quantity]]*OrdersTable[[#This Row],[Unit Cost]]</f>
        <v>105</v>
      </c>
      <c r="X4075" s="77">
        <f>'Dropdown Lists'!$I$2*(1+OrdersTable[[#This Row],[Returned]])</f>
        <v>60</v>
      </c>
      <c r="Y4075" s="76">
        <f>OrdersTable[[#This Row],[Net Revenue]]-OrdersTable[[#This Row],[COGS]]-OrdersTable[[#This Row],[Shipping Cost]]</f>
        <v>61.850000000000023</v>
      </c>
      <c r="Z4075" s="78">
        <f>IFERROR(OrdersTable[[#This Row],[Profit]]/OrdersTable[[#This Row],[Net Revenue]],0)</f>
        <v>0.27264712364998905</v>
      </c>
      <c r="AA4075" t="s">
        <v>3495</v>
      </c>
      <c r="AB4075" s="79">
        <v>45941</v>
      </c>
      <c r="AC4075">
        <f>OrdersTable[[#This Row],[Delivery Date]]-OrdersTable[[#This Row],[Order Date]]</f>
        <v>2</v>
      </c>
      <c r="AD4075" t="str">
        <f>IF(OrdersTable[[#This Row],[Delivery Days]]&lt;=2, "Express (≤2d)", IF(OrdersTable[[#This Row],[Delivery Days]]&lt;=4, "Standard (3-4d)", "Delayed (5d+)"))</f>
        <v>Express (≤2d)</v>
      </c>
      <c r="AE4075">
        <v>4</v>
      </c>
      <c r="AF4075">
        <v>0</v>
      </c>
    </row>
    <row r="4076" spans="1:32" ht="15" x14ac:dyDescent="0.35">
      <c r="A4076" t="s">
        <v>6815</v>
      </c>
      <c r="B4076" s="1">
        <v>45939</v>
      </c>
      <c r="C4076">
        <f>YEAR(OrdersTable[[#This Row],[Order Date]])</f>
        <v>2025</v>
      </c>
      <c r="D4076" s="2">
        <f>DATE(YEAR(OrdersTable[[#This Row],[Order Date]]),MONTH(OrdersTable[[#This Row],[Order Date]]),1)</f>
        <v>45931</v>
      </c>
      <c r="E4076">
        <f>MONTH(OrdersTable[[#This Row],[Order Date]])</f>
        <v>10</v>
      </c>
      <c r="F4076" t="s">
        <v>2591</v>
      </c>
      <c r="G4076" t="str">
        <f>IF(OrdersTable[[#This Row],[Order Date]]=_xlfn.MINIFS(Order_Date, Customer_ID, OrdersTable[[#This Row],[Customer ID]]), "New", "Repeat")</f>
        <v>Repeat</v>
      </c>
      <c r="H4076" t="s">
        <v>76</v>
      </c>
      <c r="I4076" t="str">
        <f>INDEX(State!B:B,MATCH(OrdersTable[[#This Row],[State]],State!A:A,0))</f>
        <v>UP</v>
      </c>
      <c r="J4076" t="str">
        <f>INDEX(State!C:C,MATCH(OrdersTable[[#This Row],[State Code]],State!B:B,0))</f>
        <v>North</v>
      </c>
      <c r="K4076" t="s">
        <v>105</v>
      </c>
      <c r="L4076" t="s">
        <v>39</v>
      </c>
      <c r="M4076" t="s">
        <v>78</v>
      </c>
      <c r="N4076" t="str">
        <f>INDEX(Products!B:B,MATCH(OrdersTable[[#This Row],[Product ID]],Products!A:A,0))</f>
        <v>Retinol Night Cream</v>
      </c>
      <c r="O4076" t="str">
        <f>INDEX(Products!C:C,MATCH(OrdersTable[[#This Row],[Product ID]],Products!A:A,0))</f>
        <v>Skincare</v>
      </c>
      <c r="P4076">
        <v>3</v>
      </c>
      <c r="Q4076" s="5">
        <v>799</v>
      </c>
      <c r="R4076" s="74">
        <v>0.2</v>
      </c>
      <c r="S4076" s="75">
        <f>OrdersTable[[#This Row],[Quantity]]*OrdersTable[[#This Row],[Unit Price]]</f>
        <v>2397</v>
      </c>
      <c r="T4076" s="5">
        <f>OrdersTable[[#This Row],[Gross Sale]]*OrdersTable[[#This Row],[Discount_Clean2]]</f>
        <v>479.40000000000003</v>
      </c>
      <c r="U4076" s="5">
        <f>OrdersTable[[#This Row],[Gross Sale]]-OrdersTable[[#This Row],[Discount Amount]]</f>
        <v>1917.6</v>
      </c>
      <c r="V4076" s="77">
        <f>INDEX(Products!E:E,MATCH(OrdersTable[[#This Row],[Product ID]],Products!A:A,0))</f>
        <v>216</v>
      </c>
      <c r="W4076" s="77">
        <f>OrdersTable[[#This Row],[Quantity]]*OrdersTable[[#This Row],[Unit Cost]]</f>
        <v>648</v>
      </c>
      <c r="X4076" s="77">
        <f>'Dropdown Lists'!$I$2*(1+OrdersTable[[#This Row],[Returned]])</f>
        <v>60</v>
      </c>
      <c r="Y4076" s="76">
        <f>OrdersTable[[#This Row],[Net Revenue]]-OrdersTable[[#This Row],[COGS]]-OrdersTable[[#This Row],[Shipping Cost]]</f>
        <v>1209.5999999999999</v>
      </c>
      <c r="Z4076" s="78">
        <f>IFERROR(OrdersTable[[#This Row],[Profit]]/OrdersTable[[#This Row],[Net Revenue]],0)</f>
        <v>0.63078848560700873</v>
      </c>
      <c r="AA4076" t="s">
        <v>3495</v>
      </c>
      <c r="AB4076" s="79">
        <v>45943</v>
      </c>
      <c r="AC4076">
        <f>OrdersTable[[#This Row],[Delivery Date]]-OrdersTable[[#This Row],[Order Date]]</f>
        <v>4</v>
      </c>
      <c r="AD4076" t="str">
        <f>IF(OrdersTable[[#This Row],[Delivery Days]]&lt;=2, "Express (≤2d)", IF(OrdersTable[[#This Row],[Delivery Days]]&lt;=4, "Standard (3-4d)", "Delayed (5d+)"))</f>
        <v>Standard (3-4d)</v>
      </c>
      <c r="AF4076">
        <v>0</v>
      </c>
    </row>
    <row r="4077" spans="1:32" ht="15" x14ac:dyDescent="0.35">
      <c r="A4077" t="s">
        <v>4294</v>
      </c>
      <c r="B4077" s="1">
        <v>45939</v>
      </c>
      <c r="C4077">
        <f>YEAR(OrdersTable[[#This Row],[Order Date]])</f>
        <v>2025</v>
      </c>
      <c r="D4077" s="2">
        <f>DATE(YEAR(OrdersTable[[#This Row],[Order Date]]),MONTH(OrdersTable[[#This Row],[Order Date]]),1)</f>
        <v>45931</v>
      </c>
      <c r="E4077">
        <f>MONTH(OrdersTable[[#This Row],[Order Date]])</f>
        <v>10</v>
      </c>
      <c r="F4077" t="s">
        <v>817</v>
      </c>
      <c r="G4077" t="str">
        <f>IF(OrdersTable[[#This Row],[Order Date]]=_xlfn.MINIFS(Order_Date, Customer_ID, OrdersTable[[#This Row],[Customer ID]]), "New", "Repeat")</f>
        <v>Repeat</v>
      </c>
      <c r="H4077" t="s">
        <v>32</v>
      </c>
      <c r="I4077" t="str">
        <f>INDEX(State!B:B,MATCH(OrdersTable[[#This Row],[State]],State!A:A,0))</f>
        <v>BR</v>
      </c>
      <c r="J4077" t="str">
        <f>INDEX(State!C:C,MATCH(OrdersTable[[#This Row],[State Code]],State!B:B,0))</f>
        <v>East</v>
      </c>
      <c r="K4077" t="s">
        <v>33</v>
      </c>
      <c r="L4077" t="s">
        <v>39</v>
      </c>
      <c r="M4077" t="s">
        <v>34</v>
      </c>
      <c r="N4077" t="str">
        <f>INDEX(Products!B:B,MATCH(OrdersTable[[#This Row],[Product ID]],Products!A:A,0))</f>
        <v>Flip Flops</v>
      </c>
      <c r="O4077" t="str">
        <f>INDEX(Products!C:C,MATCH(OrdersTable[[#This Row],[Product ID]],Products!A:A,0))</f>
        <v>Footwear</v>
      </c>
      <c r="P4077">
        <v>1</v>
      </c>
      <c r="Q4077" s="5">
        <v>399</v>
      </c>
      <c r="R4077" s="74">
        <v>0.2</v>
      </c>
      <c r="S4077" s="75">
        <f>OrdersTable[[#This Row],[Quantity]]*OrdersTable[[#This Row],[Unit Price]]</f>
        <v>399</v>
      </c>
      <c r="T4077" s="5">
        <f>OrdersTable[[#This Row],[Gross Sale]]*OrdersTable[[#This Row],[Discount_Clean2]]</f>
        <v>79.800000000000011</v>
      </c>
      <c r="U4077" s="5">
        <f>OrdersTable[[#This Row],[Gross Sale]]-OrdersTable[[#This Row],[Discount Amount]]</f>
        <v>319.2</v>
      </c>
      <c r="V4077" s="77">
        <f>INDEX(Products!E:E,MATCH(OrdersTable[[#This Row],[Product ID]],Products!A:A,0))</f>
        <v>152</v>
      </c>
      <c r="W4077" s="77">
        <f>OrdersTable[[#This Row],[Quantity]]*OrdersTable[[#This Row],[Unit Cost]]</f>
        <v>152</v>
      </c>
      <c r="X4077" s="77">
        <f>'Dropdown Lists'!$I$2*(1+OrdersTable[[#This Row],[Returned]])</f>
        <v>120</v>
      </c>
      <c r="Y4077" s="76">
        <f>OrdersTable[[#This Row],[Net Revenue]]-OrdersTable[[#This Row],[COGS]]-OrdersTable[[#This Row],[Shipping Cost]]</f>
        <v>47.199999999999989</v>
      </c>
      <c r="Z4077" s="78">
        <f>IFERROR(OrdersTable[[#This Row],[Profit]]/OrdersTable[[#This Row],[Net Revenue]],0)</f>
        <v>0.14786967418546362</v>
      </c>
      <c r="AA4077" t="s">
        <v>4074</v>
      </c>
      <c r="AB4077" s="79">
        <v>45945</v>
      </c>
      <c r="AC4077">
        <f>OrdersTable[[#This Row],[Delivery Date]]-OrdersTable[[#This Row],[Order Date]]</f>
        <v>6</v>
      </c>
      <c r="AD4077" t="str">
        <f>IF(OrdersTable[[#This Row],[Delivery Days]]&lt;=2, "Express (≤2d)", IF(OrdersTable[[#This Row],[Delivery Days]]&lt;=4, "Standard (3-4d)", "Delayed (5d+)"))</f>
        <v>Delayed (5d+)</v>
      </c>
      <c r="AF4077">
        <v>1</v>
      </c>
    </row>
    <row r="4078" spans="1:32" ht="15" x14ac:dyDescent="0.35">
      <c r="A4078" t="s">
        <v>6209</v>
      </c>
      <c r="B4078" s="1">
        <v>45939</v>
      </c>
      <c r="C4078">
        <f>YEAR(OrdersTable[[#This Row],[Order Date]])</f>
        <v>2025</v>
      </c>
      <c r="D4078" s="2">
        <f>DATE(YEAR(OrdersTable[[#This Row],[Order Date]]),MONTH(OrdersTable[[#This Row],[Order Date]]),1)</f>
        <v>45931</v>
      </c>
      <c r="E4078">
        <f>MONTH(OrdersTable[[#This Row],[Order Date]])</f>
        <v>10</v>
      </c>
      <c r="F4078" t="s">
        <v>4512</v>
      </c>
      <c r="G4078" t="str">
        <f>IF(OrdersTable[[#This Row],[Order Date]]=_xlfn.MINIFS(Order_Date, Customer_ID, OrdersTable[[#This Row],[Customer ID]]), "New", "Repeat")</f>
        <v>Repeat</v>
      </c>
      <c r="H4078" t="s">
        <v>37</v>
      </c>
      <c r="I4078" t="str">
        <f>INDEX(State!B:B,MATCH(OrdersTable[[#This Row],[State]],State!A:A,0))</f>
        <v>GJ</v>
      </c>
      <c r="J4078" t="str">
        <f>INDEX(State!C:C,MATCH(OrdersTable[[#This Row],[State Code]],State!B:B,0))</f>
        <v>West</v>
      </c>
      <c r="K4078" t="s">
        <v>247</v>
      </c>
      <c r="L4078" t="s">
        <v>16</v>
      </c>
      <c r="M4078" t="s">
        <v>29</v>
      </c>
      <c r="N4078" t="str">
        <f>INDEX(Products!B:B,MATCH(OrdersTable[[#This Row],[Product ID]],Products!A:A,0))</f>
        <v>Joggers</v>
      </c>
      <c r="O4078" t="str">
        <f>INDEX(Products!C:C,MATCH(OrdersTable[[#This Row],[Product ID]],Products!A:A,0))</f>
        <v>Apparel</v>
      </c>
      <c r="P4078">
        <v>2</v>
      </c>
      <c r="Q4078" s="5">
        <v>1199</v>
      </c>
      <c r="R4078" s="74">
        <v>0.3</v>
      </c>
      <c r="S4078" s="75">
        <f>OrdersTable[[#This Row],[Quantity]]*OrdersTable[[#This Row],[Unit Price]]</f>
        <v>2398</v>
      </c>
      <c r="T4078" s="5">
        <f>OrdersTable[[#This Row],[Gross Sale]]*OrdersTable[[#This Row],[Discount_Clean2]]</f>
        <v>719.4</v>
      </c>
      <c r="U4078" s="5">
        <f>OrdersTable[[#This Row],[Gross Sale]]-OrdersTable[[#This Row],[Discount Amount]]</f>
        <v>1678.6</v>
      </c>
      <c r="V4078" s="77">
        <f>INDEX(Products!E:E,MATCH(OrdersTable[[#This Row],[Product ID]],Products!A:A,0))</f>
        <v>492</v>
      </c>
      <c r="W4078" s="77">
        <f>OrdersTable[[#This Row],[Quantity]]*OrdersTable[[#This Row],[Unit Cost]]</f>
        <v>984</v>
      </c>
      <c r="X4078" s="77">
        <f>'Dropdown Lists'!$I$2*(1+OrdersTable[[#This Row],[Returned]])</f>
        <v>60</v>
      </c>
      <c r="Y4078" s="76">
        <f>OrdersTable[[#This Row],[Net Revenue]]-OrdersTable[[#This Row],[COGS]]-OrdersTable[[#This Row],[Shipping Cost]]</f>
        <v>634.59999999999991</v>
      </c>
      <c r="Z4078" s="78">
        <f>IFERROR(OrdersTable[[#This Row],[Profit]]/OrdersTable[[#This Row],[Net Revenue]],0)</f>
        <v>0.37805313952102937</v>
      </c>
      <c r="AA4078" t="s">
        <v>18</v>
      </c>
      <c r="AB4078" s="79">
        <v>45943</v>
      </c>
      <c r="AC4078">
        <f>OrdersTable[[#This Row],[Delivery Date]]-OrdersTable[[#This Row],[Order Date]]</f>
        <v>4</v>
      </c>
      <c r="AD4078" t="str">
        <f>IF(OrdersTable[[#This Row],[Delivery Days]]&lt;=2, "Express (≤2d)", IF(OrdersTable[[#This Row],[Delivery Days]]&lt;=4, "Standard (3-4d)", "Delayed (5d+)"))</f>
        <v>Standard (3-4d)</v>
      </c>
      <c r="AE4078">
        <v>4</v>
      </c>
      <c r="AF4078">
        <v>0</v>
      </c>
    </row>
    <row r="4079" spans="1:32" ht="15" x14ac:dyDescent="0.35">
      <c r="A4079" t="s">
        <v>6626</v>
      </c>
      <c r="B4079" s="1">
        <v>45939</v>
      </c>
      <c r="C4079">
        <f>YEAR(OrdersTable[[#This Row],[Order Date]])</f>
        <v>2025</v>
      </c>
      <c r="D4079" s="2">
        <f>DATE(YEAR(OrdersTable[[#This Row],[Order Date]]),MONTH(OrdersTable[[#This Row],[Order Date]]),1)</f>
        <v>45931</v>
      </c>
      <c r="E4079">
        <f>MONTH(OrdersTable[[#This Row],[Order Date]])</f>
        <v>10</v>
      </c>
      <c r="F4079" t="s">
        <v>6627</v>
      </c>
      <c r="G4079" t="str">
        <f>IF(OrdersTable[[#This Row],[Order Date]]=_xlfn.MINIFS(Order_Date, Customer_ID, OrdersTable[[#This Row],[Customer ID]]), "New", "Repeat")</f>
        <v>New</v>
      </c>
      <c r="H4079" t="s">
        <v>37</v>
      </c>
      <c r="I4079" t="str">
        <f>INDEX(State!B:B,MATCH(OrdersTable[[#This Row],[State]],State!A:A,0))</f>
        <v>GJ</v>
      </c>
      <c r="J4079" t="str">
        <f>INDEX(State!C:C,MATCH(OrdersTable[[#This Row],[State Code]],State!B:B,0))</f>
        <v>West</v>
      </c>
      <c r="K4079" t="s">
        <v>38</v>
      </c>
      <c r="L4079" t="s">
        <v>16</v>
      </c>
      <c r="M4079" t="s">
        <v>576</v>
      </c>
      <c r="N4079" t="str">
        <f>INDEX(Products!B:B,MATCH(OrdersTable[[#This Row],[Product ID]],Products!A:A,0))</f>
        <v>Printed Saree</v>
      </c>
      <c r="O4079" t="str">
        <f>INDEX(Products!C:C,MATCH(OrdersTable[[#This Row],[Product ID]],Products!A:A,0))</f>
        <v>Apparel</v>
      </c>
      <c r="P4079">
        <v>3</v>
      </c>
      <c r="Q4079" s="5">
        <v>1999</v>
      </c>
      <c r="R4079" s="74">
        <v>0.3</v>
      </c>
      <c r="S4079" s="75">
        <f>OrdersTable[[#This Row],[Quantity]]*OrdersTable[[#This Row],[Unit Price]]</f>
        <v>5997</v>
      </c>
      <c r="T4079" s="5">
        <f>OrdersTable[[#This Row],[Gross Sale]]*OrdersTable[[#This Row],[Discount_Clean2]]</f>
        <v>1799.1</v>
      </c>
      <c r="U4079" s="5">
        <f>OrdersTable[[#This Row],[Gross Sale]]-OrdersTable[[#This Row],[Discount Amount]]</f>
        <v>4197.8999999999996</v>
      </c>
      <c r="V4079" s="77">
        <f>INDEX(Products!E:E,MATCH(OrdersTable[[#This Row],[Product ID]],Products!A:A,0))</f>
        <v>880</v>
      </c>
      <c r="W4079" s="77">
        <f>OrdersTable[[#This Row],[Quantity]]*OrdersTable[[#This Row],[Unit Cost]]</f>
        <v>2640</v>
      </c>
      <c r="X4079" s="77">
        <f>'Dropdown Lists'!$I$2*(1+OrdersTable[[#This Row],[Returned]])</f>
        <v>60</v>
      </c>
      <c r="Y4079" s="76">
        <f>OrdersTable[[#This Row],[Net Revenue]]-OrdersTable[[#This Row],[COGS]]-OrdersTable[[#This Row],[Shipping Cost]]</f>
        <v>1497.8999999999996</v>
      </c>
      <c r="Z4079" s="78">
        <f>IFERROR(OrdersTable[[#This Row],[Profit]]/OrdersTable[[#This Row],[Net Revenue]],0)</f>
        <v>0.35682126777674544</v>
      </c>
      <c r="AA4079" t="s">
        <v>18</v>
      </c>
      <c r="AB4079" s="79">
        <v>45941</v>
      </c>
      <c r="AC4079">
        <f>OrdersTable[[#This Row],[Delivery Date]]-OrdersTable[[#This Row],[Order Date]]</f>
        <v>2</v>
      </c>
      <c r="AD4079" t="str">
        <f>IF(OrdersTable[[#This Row],[Delivery Days]]&lt;=2, "Express (≤2d)", IF(OrdersTable[[#This Row],[Delivery Days]]&lt;=4, "Standard (3-4d)", "Delayed (5d+)"))</f>
        <v>Express (≤2d)</v>
      </c>
      <c r="AE4079">
        <v>4</v>
      </c>
      <c r="AF4079">
        <v>0</v>
      </c>
    </row>
    <row r="4080" spans="1:32" ht="15" x14ac:dyDescent="0.35">
      <c r="A4080" t="s">
        <v>1195</v>
      </c>
      <c r="B4080" s="1">
        <v>45939</v>
      </c>
      <c r="C4080">
        <f>YEAR(OrdersTable[[#This Row],[Order Date]])</f>
        <v>2025</v>
      </c>
      <c r="D4080" s="2">
        <f>DATE(YEAR(OrdersTable[[#This Row],[Order Date]]),MONTH(OrdersTable[[#This Row],[Order Date]]),1)</f>
        <v>45931</v>
      </c>
      <c r="E4080">
        <f>MONTH(OrdersTable[[#This Row],[Order Date]])</f>
        <v>10</v>
      </c>
      <c r="F4080" t="s">
        <v>1196</v>
      </c>
      <c r="G4080" t="str">
        <f>IF(OrdersTable[[#This Row],[Order Date]]=_xlfn.MINIFS(Order_Date, Customer_ID, OrdersTable[[#This Row],[Customer ID]]), "New", "Repeat")</f>
        <v>Repeat</v>
      </c>
      <c r="H4080" t="s">
        <v>43</v>
      </c>
      <c r="I4080" t="str">
        <f>INDEX(State!B:B,MATCH(OrdersTable[[#This Row],[State]],State!A:A,0))</f>
        <v>MP</v>
      </c>
      <c r="J4080" t="str">
        <f>INDEX(State!C:C,MATCH(OrdersTable[[#This Row],[State Code]],State!B:B,0))</f>
        <v>West</v>
      </c>
      <c r="K4080" t="s">
        <v>250</v>
      </c>
      <c r="L4080" t="s">
        <v>50</v>
      </c>
      <c r="M4080" t="s">
        <v>160</v>
      </c>
      <c r="N4080" t="str">
        <f>INDEX(Products!B:B,MATCH(OrdersTable[[#This Row],[Product ID]],Products!A:A,0))</f>
        <v>Niacinamide Toner</v>
      </c>
      <c r="O4080" t="str">
        <f>INDEX(Products!C:C,MATCH(OrdersTable[[#This Row],[Product ID]],Products!A:A,0))</f>
        <v>Skincare</v>
      </c>
      <c r="P4080">
        <v>1</v>
      </c>
      <c r="Q4080" s="5">
        <v>399</v>
      </c>
      <c r="R4080" s="74">
        <v>0.25</v>
      </c>
      <c r="S4080" s="75">
        <f>OrdersTable[[#This Row],[Quantity]]*OrdersTable[[#This Row],[Unit Price]]</f>
        <v>399</v>
      </c>
      <c r="T4080" s="5">
        <f>OrdersTable[[#This Row],[Gross Sale]]*OrdersTable[[#This Row],[Discount_Clean2]]</f>
        <v>99.75</v>
      </c>
      <c r="U4080" s="5">
        <f>OrdersTable[[#This Row],[Gross Sale]]-OrdersTable[[#This Row],[Discount Amount]]</f>
        <v>299.25</v>
      </c>
      <c r="V4080" s="77">
        <f>INDEX(Products!E:E,MATCH(OrdersTable[[#This Row],[Product ID]],Products!A:A,0))</f>
        <v>112</v>
      </c>
      <c r="W4080" s="77">
        <f>OrdersTable[[#This Row],[Quantity]]*OrdersTable[[#This Row],[Unit Cost]]</f>
        <v>112</v>
      </c>
      <c r="X4080" s="77">
        <f>'Dropdown Lists'!$I$2*(1+OrdersTable[[#This Row],[Returned]])</f>
        <v>60</v>
      </c>
      <c r="Y4080" s="76">
        <f>OrdersTable[[#This Row],[Net Revenue]]-OrdersTable[[#This Row],[COGS]]-OrdersTable[[#This Row],[Shipping Cost]]</f>
        <v>127.25</v>
      </c>
      <c r="Z4080" s="78">
        <f>IFERROR(OrdersTable[[#This Row],[Profit]]/OrdersTable[[#This Row],[Net Revenue]],0)</f>
        <v>0.42522974101921468</v>
      </c>
      <c r="AA4080" t="s">
        <v>18</v>
      </c>
      <c r="AB4080" s="79">
        <v>45942</v>
      </c>
      <c r="AC4080">
        <f>OrdersTable[[#This Row],[Delivery Date]]-OrdersTable[[#This Row],[Order Date]]</f>
        <v>3</v>
      </c>
      <c r="AD4080" t="str">
        <f>IF(OrdersTable[[#This Row],[Delivery Days]]&lt;=2, "Express (≤2d)", IF(OrdersTable[[#This Row],[Delivery Days]]&lt;=4, "Standard (3-4d)", "Delayed (5d+)"))</f>
        <v>Standard (3-4d)</v>
      </c>
      <c r="AF4080">
        <v>0</v>
      </c>
    </row>
    <row r="4081" spans="1:32" ht="15" x14ac:dyDescent="0.35">
      <c r="A4081" t="s">
        <v>6628</v>
      </c>
      <c r="B4081" s="1">
        <v>45939</v>
      </c>
      <c r="C4081">
        <f>YEAR(OrdersTable[[#This Row],[Order Date]])</f>
        <v>2025</v>
      </c>
      <c r="D4081" s="2">
        <f>DATE(YEAR(OrdersTable[[#This Row],[Order Date]]),MONTH(OrdersTable[[#This Row],[Order Date]]),1)</f>
        <v>45931</v>
      </c>
      <c r="E4081">
        <f>MONTH(OrdersTable[[#This Row],[Order Date]])</f>
        <v>10</v>
      </c>
      <c r="F4081" t="s">
        <v>2981</v>
      </c>
      <c r="G4081" t="str">
        <f>IF(OrdersTable[[#This Row],[Order Date]]=_xlfn.MINIFS(Order_Date, Customer_ID, OrdersTable[[#This Row],[Customer ID]]), "New", "Repeat")</f>
        <v>Repeat</v>
      </c>
      <c r="H4081" t="s">
        <v>43</v>
      </c>
      <c r="I4081" t="str">
        <f>INDEX(State!B:B,MATCH(OrdersTable[[#This Row],[State]],State!A:A,0))</f>
        <v>MP</v>
      </c>
      <c r="J4081" t="str">
        <f>INDEX(State!C:C,MATCH(OrdersTable[[#This Row],[State Code]],State!B:B,0))</f>
        <v>West</v>
      </c>
      <c r="K4081" t="s">
        <v>250</v>
      </c>
      <c r="L4081" t="s">
        <v>65</v>
      </c>
      <c r="M4081" t="s">
        <v>24</v>
      </c>
      <c r="N4081" t="str">
        <f>INDEX(Products!B:B,MATCH(OrdersTable[[#This Row],[Product ID]],Products!A:A,0))</f>
        <v>Scented Candle Set</v>
      </c>
      <c r="O4081" t="str">
        <f>INDEX(Products!C:C,MATCH(OrdersTable[[#This Row],[Product ID]],Products!A:A,0))</f>
        <v>Home &amp; Kitchen</v>
      </c>
      <c r="P4081">
        <v>3</v>
      </c>
      <c r="Q4081" s="5">
        <v>699</v>
      </c>
      <c r="R4081" s="74">
        <v>0.35</v>
      </c>
      <c r="S4081" s="75">
        <f>OrdersTable[[#This Row],[Quantity]]*OrdersTable[[#This Row],[Unit Price]]</f>
        <v>2097</v>
      </c>
      <c r="T4081" s="5">
        <f>OrdersTable[[#This Row],[Gross Sale]]*OrdersTable[[#This Row],[Discount_Clean2]]</f>
        <v>733.94999999999993</v>
      </c>
      <c r="U4081" s="5">
        <f>OrdersTable[[#This Row],[Gross Sale]]-OrdersTable[[#This Row],[Discount Amount]]</f>
        <v>1363.0500000000002</v>
      </c>
      <c r="V4081" s="77">
        <f>INDEX(Products!E:E,MATCH(OrdersTable[[#This Row],[Product ID]],Products!A:A,0))</f>
        <v>245</v>
      </c>
      <c r="W4081" s="77">
        <f>OrdersTable[[#This Row],[Quantity]]*OrdersTable[[#This Row],[Unit Cost]]</f>
        <v>735</v>
      </c>
      <c r="X4081" s="77">
        <f>'Dropdown Lists'!$I$2*(1+OrdersTable[[#This Row],[Returned]])</f>
        <v>60</v>
      </c>
      <c r="Y4081" s="76">
        <f>OrdersTable[[#This Row],[Net Revenue]]-OrdersTable[[#This Row],[COGS]]-OrdersTable[[#This Row],[Shipping Cost]]</f>
        <v>568.05000000000018</v>
      </c>
      <c r="Z4081" s="78">
        <f>IFERROR(OrdersTable[[#This Row],[Profit]]/OrdersTable[[#This Row],[Net Revenue]],0)</f>
        <v>0.41674920215692757</v>
      </c>
      <c r="AA4081" t="s">
        <v>18</v>
      </c>
      <c r="AB4081" s="79">
        <v>45944</v>
      </c>
      <c r="AC4081">
        <f>OrdersTable[[#This Row],[Delivery Date]]-OrdersTable[[#This Row],[Order Date]]</f>
        <v>5</v>
      </c>
      <c r="AD4081" t="str">
        <f>IF(OrdersTable[[#This Row],[Delivery Days]]&lt;=2, "Express (≤2d)", IF(OrdersTable[[#This Row],[Delivery Days]]&lt;=4, "Standard (3-4d)", "Delayed (5d+)"))</f>
        <v>Delayed (5d+)</v>
      </c>
      <c r="AE4081">
        <v>4</v>
      </c>
      <c r="AF4081">
        <v>0</v>
      </c>
    </row>
    <row r="4082" spans="1:32" ht="15" x14ac:dyDescent="0.35">
      <c r="A4082" t="s">
        <v>5238</v>
      </c>
      <c r="B4082" s="1">
        <v>45939</v>
      </c>
      <c r="C4082">
        <f>YEAR(OrdersTable[[#This Row],[Order Date]])</f>
        <v>2025</v>
      </c>
      <c r="D4082" s="2">
        <f>DATE(YEAR(OrdersTable[[#This Row],[Order Date]]),MONTH(OrdersTable[[#This Row],[Order Date]]),1)</f>
        <v>45931</v>
      </c>
      <c r="E4082">
        <f>MONTH(OrdersTable[[#This Row],[Order Date]])</f>
        <v>10</v>
      </c>
      <c r="F4082" t="s">
        <v>5239</v>
      </c>
      <c r="G4082" t="str">
        <f>IF(OrdersTable[[#This Row],[Order Date]]=_xlfn.MINIFS(Order_Date, Customer_ID, OrdersTable[[#This Row],[Customer ID]]), "New", "Repeat")</f>
        <v>New</v>
      </c>
      <c r="H4082" t="s">
        <v>275</v>
      </c>
      <c r="I4082" t="str">
        <f>INDEX(State!B:B,MATCH(OrdersTable[[#This Row],[State]],State!A:A,0))</f>
        <v>AP</v>
      </c>
      <c r="J4082" t="str">
        <f>INDEX(State!C:C,MATCH(OrdersTable[[#This Row],[State Code]],State!B:B,0))</f>
        <v>South</v>
      </c>
      <c r="K4082" t="s">
        <v>491</v>
      </c>
      <c r="L4082" t="s">
        <v>50</v>
      </c>
      <c r="M4082" t="s">
        <v>78</v>
      </c>
      <c r="N4082" t="str">
        <f>INDEX(Products!B:B,MATCH(OrdersTable[[#This Row],[Product ID]],Products!A:A,0))</f>
        <v>Retinol Night Cream</v>
      </c>
      <c r="O4082" t="str">
        <f>INDEX(Products!C:C,MATCH(OrdersTable[[#This Row],[Product ID]],Products!A:A,0))</f>
        <v>Skincare</v>
      </c>
      <c r="P4082">
        <v>2</v>
      </c>
      <c r="Q4082" s="5">
        <v>799</v>
      </c>
      <c r="R4082" s="74">
        <v>0.35</v>
      </c>
      <c r="S4082" s="75">
        <f>OrdersTable[[#This Row],[Quantity]]*OrdersTable[[#This Row],[Unit Price]]</f>
        <v>1598</v>
      </c>
      <c r="T4082" s="5">
        <f>OrdersTable[[#This Row],[Gross Sale]]*OrdersTable[[#This Row],[Discount_Clean2]]</f>
        <v>559.29999999999995</v>
      </c>
      <c r="U4082" s="5">
        <f>OrdersTable[[#This Row],[Gross Sale]]-OrdersTable[[#This Row],[Discount Amount]]</f>
        <v>1038.7</v>
      </c>
      <c r="V4082" s="77">
        <f>INDEX(Products!E:E,MATCH(OrdersTable[[#This Row],[Product ID]],Products!A:A,0))</f>
        <v>216</v>
      </c>
      <c r="W4082" s="77">
        <f>OrdersTable[[#This Row],[Quantity]]*OrdersTable[[#This Row],[Unit Cost]]</f>
        <v>432</v>
      </c>
      <c r="X4082" s="77">
        <f>'Dropdown Lists'!$I$2*(1+OrdersTable[[#This Row],[Returned]])</f>
        <v>60</v>
      </c>
      <c r="Y4082" s="76">
        <f>OrdersTable[[#This Row],[Net Revenue]]-OrdersTable[[#This Row],[COGS]]-OrdersTable[[#This Row],[Shipping Cost]]</f>
        <v>546.70000000000005</v>
      </c>
      <c r="Z4082" s="78">
        <f>IFERROR(OrdersTable[[#This Row],[Profit]]/OrdersTable[[#This Row],[Net Revenue]],0)</f>
        <v>0.52633099066140365</v>
      </c>
      <c r="AA4082" t="s">
        <v>3495</v>
      </c>
      <c r="AB4082" s="79">
        <v>45942</v>
      </c>
      <c r="AC4082">
        <f>OrdersTable[[#This Row],[Delivery Date]]-OrdersTable[[#This Row],[Order Date]]</f>
        <v>3</v>
      </c>
      <c r="AD4082" t="str">
        <f>IF(OrdersTable[[#This Row],[Delivery Days]]&lt;=2, "Express (≤2d)", IF(OrdersTable[[#This Row],[Delivery Days]]&lt;=4, "Standard (3-4d)", "Delayed (5d+)"))</f>
        <v>Standard (3-4d)</v>
      </c>
      <c r="AF4082">
        <v>0</v>
      </c>
    </row>
    <row r="4083" spans="1:32" ht="15" x14ac:dyDescent="0.35">
      <c r="A4083" t="s">
        <v>3811</v>
      </c>
      <c r="B4083" s="1">
        <v>45939</v>
      </c>
      <c r="C4083">
        <f>YEAR(OrdersTable[[#This Row],[Order Date]])</f>
        <v>2025</v>
      </c>
      <c r="D4083" s="2">
        <f>DATE(YEAR(OrdersTable[[#This Row],[Order Date]]),MONTH(OrdersTable[[#This Row],[Order Date]]),1)</f>
        <v>45931</v>
      </c>
      <c r="E4083">
        <f>MONTH(OrdersTable[[#This Row],[Order Date]])</f>
        <v>10</v>
      </c>
      <c r="F4083" t="s">
        <v>1629</v>
      </c>
      <c r="G4083" t="str">
        <f>IF(OrdersTable[[#This Row],[Order Date]]=_xlfn.MINIFS(Order_Date, Customer_ID, OrdersTable[[#This Row],[Customer ID]]), "New", "Repeat")</f>
        <v>Repeat</v>
      </c>
      <c r="H4083" t="s">
        <v>275</v>
      </c>
      <c r="I4083" t="str">
        <f>INDEX(State!B:B,MATCH(OrdersTable[[#This Row],[State]],State!A:A,0))</f>
        <v>AP</v>
      </c>
      <c r="J4083" t="str">
        <f>INDEX(State!C:C,MATCH(OrdersTable[[#This Row],[State Code]],State!B:B,0))</f>
        <v>South</v>
      </c>
      <c r="K4083" t="s">
        <v>491</v>
      </c>
      <c r="L4083" t="s">
        <v>23</v>
      </c>
      <c r="M4083" t="s">
        <v>160</v>
      </c>
      <c r="N4083" t="str">
        <f>INDEX(Products!B:B,MATCH(OrdersTable[[#This Row],[Product ID]],Products!A:A,0))</f>
        <v>Niacinamide Toner</v>
      </c>
      <c r="O4083" t="str">
        <f>INDEX(Products!C:C,MATCH(OrdersTable[[#This Row],[Product ID]],Products!A:A,0))</f>
        <v>Skincare</v>
      </c>
      <c r="P4083">
        <v>1</v>
      </c>
      <c r="Q4083" s="5">
        <v>399</v>
      </c>
      <c r="R4083" s="74">
        <v>0.3</v>
      </c>
      <c r="S4083" s="75">
        <f>OrdersTable[[#This Row],[Quantity]]*OrdersTable[[#This Row],[Unit Price]]</f>
        <v>399</v>
      </c>
      <c r="T4083" s="5">
        <f>OrdersTable[[#This Row],[Gross Sale]]*OrdersTable[[#This Row],[Discount_Clean2]]</f>
        <v>119.69999999999999</v>
      </c>
      <c r="U4083" s="5">
        <f>OrdersTable[[#This Row],[Gross Sale]]-OrdersTable[[#This Row],[Discount Amount]]</f>
        <v>279.3</v>
      </c>
      <c r="V4083" s="77">
        <f>INDEX(Products!E:E,MATCH(OrdersTable[[#This Row],[Product ID]],Products!A:A,0))</f>
        <v>112</v>
      </c>
      <c r="W4083" s="77">
        <f>OrdersTable[[#This Row],[Quantity]]*OrdersTable[[#This Row],[Unit Cost]]</f>
        <v>112</v>
      </c>
      <c r="X4083" s="77">
        <f>'Dropdown Lists'!$I$2*(1+OrdersTable[[#This Row],[Returned]])</f>
        <v>120</v>
      </c>
      <c r="Y4083" s="76">
        <f>OrdersTable[[#This Row],[Net Revenue]]-OrdersTable[[#This Row],[COGS]]-OrdersTable[[#This Row],[Shipping Cost]]</f>
        <v>47.300000000000011</v>
      </c>
      <c r="Z4083" s="78">
        <f>IFERROR(OrdersTable[[#This Row],[Profit]]/OrdersTable[[#This Row],[Net Revenue]],0)</f>
        <v>0.16935195130683856</v>
      </c>
      <c r="AA4083" t="s">
        <v>3495</v>
      </c>
      <c r="AB4083" s="79">
        <v>45942</v>
      </c>
      <c r="AC4083">
        <f>OrdersTable[[#This Row],[Delivery Date]]-OrdersTable[[#This Row],[Order Date]]</f>
        <v>3</v>
      </c>
      <c r="AD4083" t="str">
        <f>IF(OrdersTable[[#This Row],[Delivery Days]]&lt;=2, "Express (≤2d)", IF(OrdersTable[[#This Row],[Delivery Days]]&lt;=4, "Standard (3-4d)", "Delayed (5d+)"))</f>
        <v>Standard (3-4d)</v>
      </c>
      <c r="AF4083">
        <v>1</v>
      </c>
    </row>
    <row r="4084" spans="1:32" ht="15" x14ac:dyDescent="0.35">
      <c r="A4084" t="s">
        <v>5547</v>
      </c>
      <c r="B4084" s="1">
        <v>45940</v>
      </c>
      <c r="C4084">
        <f>YEAR(OrdersTable[[#This Row],[Order Date]])</f>
        <v>2025</v>
      </c>
      <c r="D4084" s="2">
        <f>DATE(YEAR(OrdersTable[[#This Row],[Order Date]]),MONTH(OrdersTable[[#This Row],[Order Date]]),1)</f>
        <v>45931</v>
      </c>
      <c r="E4084">
        <f>MONTH(OrdersTable[[#This Row],[Order Date]])</f>
        <v>10</v>
      </c>
      <c r="F4084" t="s">
        <v>3397</v>
      </c>
      <c r="G4084" t="str">
        <f>IF(OrdersTable[[#This Row],[Order Date]]=_xlfn.MINIFS(Order_Date, Customer_ID, OrdersTable[[#This Row],[Customer ID]]), "New", "Repeat")</f>
        <v>Repeat</v>
      </c>
      <c r="H4084" t="s">
        <v>54</v>
      </c>
      <c r="I4084" t="str">
        <f>INDEX(State!B:B,MATCH(OrdersTable[[#This Row],[State]],State!A:A,0))</f>
        <v>RJ</v>
      </c>
      <c r="J4084" t="str">
        <f>INDEX(State!C:C,MATCH(OrdersTable[[#This Row],[State Code]],State!B:B,0))</f>
        <v>North</v>
      </c>
      <c r="K4084" t="s">
        <v>55</v>
      </c>
      <c r="L4084" t="s">
        <v>65</v>
      </c>
      <c r="M4084" t="s">
        <v>87</v>
      </c>
      <c r="N4084" t="str">
        <f>INDEX(Products!B:B,MATCH(OrdersTable[[#This Row],[Product ID]],Products!A:A,0))</f>
        <v>Linen Kurta</v>
      </c>
      <c r="O4084" t="str">
        <f>INDEX(Products!C:C,MATCH(OrdersTable[[#This Row],[Product ID]],Products!A:A,0))</f>
        <v>Apparel</v>
      </c>
      <c r="P4084">
        <v>2</v>
      </c>
      <c r="Q4084" s="5">
        <v>1499</v>
      </c>
      <c r="R4084" s="74">
        <v>0.5</v>
      </c>
      <c r="S4084" s="75">
        <f>OrdersTable[[#This Row],[Quantity]]*OrdersTable[[#This Row],[Unit Price]]</f>
        <v>2998</v>
      </c>
      <c r="T4084" s="5">
        <f>OrdersTable[[#This Row],[Gross Sale]]*OrdersTable[[#This Row],[Discount_Clean2]]</f>
        <v>1499</v>
      </c>
      <c r="U4084" s="5">
        <f>OrdersTable[[#This Row],[Gross Sale]]-OrdersTable[[#This Row],[Discount Amount]]</f>
        <v>1499</v>
      </c>
      <c r="V4084" s="77">
        <f>INDEX(Products!E:E,MATCH(OrdersTable[[#This Row],[Product ID]],Products!A:A,0))</f>
        <v>630</v>
      </c>
      <c r="W4084" s="77">
        <f>OrdersTable[[#This Row],[Quantity]]*OrdersTable[[#This Row],[Unit Cost]]</f>
        <v>1260</v>
      </c>
      <c r="X4084" s="77">
        <f>'Dropdown Lists'!$I$2*(1+OrdersTable[[#This Row],[Returned]])</f>
        <v>60</v>
      </c>
      <c r="Y4084" s="76">
        <f>OrdersTable[[#This Row],[Net Revenue]]-OrdersTable[[#This Row],[COGS]]-OrdersTable[[#This Row],[Shipping Cost]]</f>
        <v>179</v>
      </c>
      <c r="Z4084" s="78">
        <f>IFERROR(OrdersTable[[#This Row],[Profit]]/OrdersTable[[#This Row],[Net Revenue]],0)</f>
        <v>0.11941294196130754</v>
      </c>
      <c r="AA4084" t="s">
        <v>2522</v>
      </c>
      <c r="AB4084" s="79">
        <v>45944</v>
      </c>
      <c r="AC4084">
        <f>OrdersTable[[#This Row],[Delivery Date]]-OrdersTable[[#This Row],[Order Date]]</f>
        <v>4</v>
      </c>
      <c r="AD4084" t="str">
        <f>IF(OrdersTable[[#This Row],[Delivery Days]]&lt;=2, "Express (≤2d)", IF(OrdersTable[[#This Row],[Delivery Days]]&lt;=4, "Standard (3-4d)", "Delayed (5d+)"))</f>
        <v>Standard (3-4d)</v>
      </c>
      <c r="AE4084">
        <v>4</v>
      </c>
      <c r="AF4084">
        <v>0</v>
      </c>
    </row>
    <row r="4085" spans="1:32" ht="15" x14ac:dyDescent="0.35">
      <c r="A4085" t="s">
        <v>3674</v>
      </c>
      <c r="B4085" s="1">
        <v>45940</v>
      </c>
      <c r="C4085">
        <f>YEAR(OrdersTable[[#This Row],[Order Date]])</f>
        <v>2025</v>
      </c>
      <c r="D4085" s="2">
        <f>DATE(YEAR(OrdersTable[[#This Row],[Order Date]]),MONTH(OrdersTable[[#This Row],[Order Date]]),1)</f>
        <v>45931</v>
      </c>
      <c r="E4085">
        <f>MONTH(OrdersTable[[#This Row],[Order Date]])</f>
        <v>10</v>
      </c>
      <c r="F4085" t="s">
        <v>621</v>
      </c>
      <c r="G4085" t="str">
        <f>IF(OrdersTable[[#This Row],[Order Date]]=_xlfn.MINIFS(Order_Date, Customer_ID, OrdersTable[[#This Row],[Customer ID]]), "New", "Repeat")</f>
        <v>Repeat</v>
      </c>
      <c r="H4085" t="s">
        <v>48</v>
      </c>
      <c r="I4085" t="str">
        <f>INDEX(State!B:B,MATCH(OrdersTable[[#This Row],[State]],State!A:A,0))</f>
        <v>HR</v>
      </c>
      <c r="J4085" t="str">
        <f>INDEX(State!C:C,MATCH(OrdersTable[[#This Row],[State Code]],State!B:B,0))</f>
        <v>North</v>
      </c>
      <c r="K4085" t="s">
        <v>49</v>
      </c>
      <c r="L4085" t="s">
        <v>39</v>
      </c>
      <c r="M4085" t="s">
        <v>160</v>
      </c>
      <c r="N4085" t="str">
        <f>INDEX(Products!B:B,MATCH(OrdersTable[[#This Row],[Product ID]],Products!A:A,0))</f>
        <v>Niacinamide Toner</v>
      </c>
      <c r="O4085" t="str">
        <f>INDEX(Products!C:C,MATCH(OrdersTable[[#This Row],[Product ID]],Products!A:A,0))</f>
        <v>Skincare</v>
      </c>
      <c r="P4085">
        <v>1</v>
      </c>
      <c r="Q4085" s="5">
        <v>399</v>
      </c>
      <c r="R4085" s="74">
        <v>0.2</v>
      </c>
      <c r="S4085" s="75">
        <f>OrdersTable[[#This Row],[Quantity]]*OrdersTable[[#This Row],[Unit Price]]</f>
        <v>399</v>
      </c>
      <c r="T4085" s="5">
        <f>OrdersTable[[#This Row],[Gross Sale]]*OrdersTable[[#This Row],[Discount_Clean2]]</f>
        <v>79.800000000000011</v>
      </c>
      <c r="U4085" s="5">
        <f>OrdersTable[[#This Row],[Gross Sale]]-OrdersTable[[#This Row],[Discount Amount]]</f>
        <v>319.2</v>
      </c>
      <c r="V4085" s="77">
        <f>INDEX(Products!E:E,MATCH(OrdersTable[[#This Row],[Product ID]],Products!A:A,0))</f>
        <v>112</v>
      </c>
      <c r="W4085" s="77">
        <f>OrdersTable[[#This Row],[Quantity]]*OrdersTable[[#This Row],[Unit Cost]]</f>
        <v>112</v>
      </c>
      <c r="X4085" s="77">
        <f>'Dropdown Lists'!$I$2*(1+OrdersTable[[#This Row],[Returned]])</f>
        <v>60</v>
      </c>
      <c r="Y4085" s="76">
        <f>OrdersTable[[#This Row],[Net Revenue]]-OrdersTable[[#This Row],[COGS]]-OrdersTable[[#This Row],[Shipping Cost]]</f>
        <v>147.19999999999999</v>
      </c>
      <c r="Z4085" s="78">
        <f>IFERROR(OrdersTable[[#This Row],[Profit]]/OrdersTable[[#This Row],[Net Revenue]],0)</f>
        <v>0.46115288220551376</v>
      </c>
      <c r="AA4085" t="s">
        <v>3495</v>
      </c>
      <c r="AB4085" s="79">
        <v>45943</v>
      </c>
      <c r="AC4085">
        <f>OrdersTable[[#This Row],[Delivery Date]]-OrdersTable[[#This Row],[Order Date]]</f>
        <v>3</v>
      </c>
      <c r="AD4085" t="str">
        <f>IF(OrdersTable[[#This Row],[Delivery Days]]&lt;=2, "Express (≤2d)", IF(OrdersTable[[#This Row],[Delivery Days]]&lt;=4, "Standard (3-4d)", "Delayed (5d+)"))</f>
        <v>Standard (3-4d)</v>
      </c>
      <c r="AE4085">
        <v>4</v>
      </c>
      <c r="AF4085">
        <v>0</v>
      </c>
    </row>
    <row r="4086" spans="1:32" ht="15" x14ac:dyDescent="0.35">
      <c r="A4086" t="s">
        <v>5240</v>
      </c>
      <c r="B4086" s="1">
        <v>45940</v>
      </c>
      <c r="C4086">
        <f>YEAR(OrdersTable[[#This Row],[Order Date]])</f>
        <v>2025</v>
      </c>
      <c r="D4086" s="2">
        <f>DATE(YEAR(OrdersTable[[#This Row],[Order Date]]),MONTH(OrdersTable[[#This Row],[Order Date]]),1)</f>
        <v>45931</v>
      </c>
      <c r="E4086">
        <f>MONTH(OrdersTable[[#This Row],[Order Date]])</f>
        <v>10</v>
      </c>
      <c r="F4086" t="s">
        <v>5241</v>
      </c>
      <c r="G4086" t="str">
        <f>IF(OrdersTable[[#This Row],[Order Date]]=_xlfn.MINIFS(Order_Date, Customer_ID, OrdersTable[[#This Row],[Customer ID]]), "New", "Repeat")</f>
        <v>New</v>
      </c>
      <c r="H4086" t="s">
        <v>76</v>
      </c>
      <c r="I4086" t="str">
        <f>INDEX(State!B:B,MATCH(OrdersTable[[#This Row],[State]],State!A:A,0))</f>
        <v>UP</v>
      </c>
      <c r="J4086" t="str">
        <f>INDEX(State!C:C,MATCH(OrdersTable[[#This Row],[State Code]],State!B:B,0))</f>
        <v>North</v>
      </c>
      <c r="K4086" t="s">
        <v>105</v>
      </c>
      <c r="L4086" t="s">
        <v>39</v>
      </c>
      <c r="M4086" t="s">
        <v>423</v>
      </c>
      <c r="N4086" t="str">
        <f>INDEX(Products!B:B,MATCH(OrdersTable[[#This Row],[Product ID]],Products!A:A,0))</f>
        <v>Power Bank 20000mAh</v>
      </c>
      <c r="O4086" t="str">
        <f>INDEX(Products!C:C,MATCH(OrdersTable[[#This Row],[Product ID]],Products!A:A,0))</f>
        <v>Electronics</v>
      </c>
      <c r="P4086">
        <v>2</v>
      </c>
      <c r="Q4086" s="5">
        <v>1799</v>
      </c>
      <c r="R4086" s="74">
        <v>0.45</v>
      </c>
      <c r="S4086" s="75">
        <f>OrdersTable[[#This Row],[Quantity]]*OrdersTable[[#This Row],[Unit Price]]</f>
        <v>3598</v>
      </c>
      <c r="T4086" s="5">
        <f>OrdersTable[[#This Row],[Gross Sale]]*OrdersTable[[#This Row],[Discount_Clean2]]</f>
        <v>1619.1000000000001</v>
      </c>
      <c r="U4086" s="5">
        <f>OrdersTable[[#This Row],[Gross Sale]]-OrdersTable[[#This Row],[Discount Amount]]</f>
        <v>1978.8999999999999</v>
      </c>
      <c r="V4086" s="77">
        <f>INDEX(Products!E:E,MATCH(OrdersTable[[#This Row],[Product ID]],Products!A:A,0))</f>
        <v>1079</v>
      </c>
      <c r="W4086" s="77">
        <f>OrdersTable[[#This Row],[Quantity]]*OrdersTable[[#This Row],[Unit Cost]]</f>
        <v>2158</v>
      </c>
      <c r="X4086" s="77">
        <f>'Dropdown Lists'!$I$2*(1+OrdersTable[[#This Row],[Returned]])</f>
        <v>60</v>
      </c>
      <c r="Y4086" s="76">
        <f>OrdersTable[[#This Row],[Net Revenue]]-OrdersTable[[#This Row],[COGS]]-OrdersTable[[#This Row],[Shipping Cost]]</f>
        <v>-239.10000000000014</v>
      </c>
      <c r="Z4086" s="78">
        <f>IFERROR(OrdersTable[[#This Row],[Profit]]/OrdersTable[[#This Row],[Net Revenue]],0)</f>
        <v>-0.12082470059123764</v>
      </c>
      <c r="AA4086" t="s">
        <v>3495</v>
      </c>
      <c r="AB4086" s="79">
        <v>45944</v>
      </c>
      <c r="AC4086">
        <f>OrdersTable[[#This Row],[Delivery Date]]-OrdersTable[[#This Row],[Order Date]]</f>
        <v>4</v>
      </c>
      <c r="AD4086" t="str">
        <f>IF(OrdersTable[[#This Row],[Delivery Days]]&lt;=2, "Express (≤2d)", IF(OrdersTable[[#This Row],[Delivery Days]]&lt;=4, "Standard (3-4d)", "Delayed (5d+)"))</f>
        <v>Standard (3-4d)</v>
      </c>
      <c r="AE4086">
        <v>3</v>
      </c>
      <c r="AF4086">
        <v>0</v>
      </c>
    </row>
    <row r="4087" spans="1:32" ht="15" x14ac:dyDescent="0.35">
      <c r="A4087" t="s">
        <v>4052</v>
      </c>
      <c r="B4087" s="1">
        <v>45940</v>
      </c>
      <c r="C4087">
        <f>YEAR(OrdersTable[[#This Row],[Order Date]])</f>
        <v>2025</v>
      </c>
      <c r="D4087" s="2">
        <f>DATE(YEAR(OrdersTable[[#This Row],[Order Date]]),MONTH(OrdersTable[[#This Row],[Order Date]]),1)</f>
        <v>45931</v>
      </c>
      <c r="E4087">
        <f>MONTH(OrdersTable[[#This Row],[Order Date]])</f>
        <v>10</v>
      </c>
      <c r="F4087" t="s">
        <v>468</v>
      </c>
      <c r="G4087" t="str">
        <f>IF(OrdersTable[[#This Row],[Order Date]]=_xlfn.MINIFS(Order_Date, Customer_ID, OrdersTable[[#This Row],[Customer ID]]), "New", "Repeat")</f>
        <v>Repeat</v>
      </c>
      <c r="H4087" t="s">
        <v>76</v>
      </c>
      <c r="I4087" t="str">
        <f>INDEX(State!B:B,MATCH(OrdersTable[[#This Row],[State]],State!A:A,0))</f>
        <v>UP</v>
      </c>
      <c r="J4087" t="str">
        <f>INDEX(State!C:C,MATCH(OrdersTable[[#This Row],[State Code]],State!B:B,0))</f>
        <v>North</v>
      </c>
      <c r="K4087" t="s">
        <v>118</v>
      </c>
      <c r="L4087" t="s">
        <v>16</v>
      </c>
      <c r="M4087" t="s">
        <v>255</v>
      </c>
      <c r="N4087" t="str">
        <f>INDEX(Products!B:B,MATCH(OrdersTable[[#This Row],[Product ID]],Products!A:A,0))</f>
        <v>Cotton Oversized T-Shirt</v>
      </c>
      <c r="O4087" t="str">
        <f>INDEX(Products!C:C,MATCH(OrdersTable[[#This Row],[Product ID]],Products!A:A,0))</f>
        <v>Apparel</v>
      </c>
      <c r="P4087">
        <v>1</v>
      </c>
      <c r="Q4087" s="5">
        <v>799</v>
      </c>
      <c r="R4087" s="74">
        <v>0.2</v>
      </c>
      <c r="S4087" s="75">
        <f>OrdersTable[[#This Row],[Quantity]]*OrdersTable[[#This Row],[Unit Price]]</f>
        <v>799</v>
      </c>
      <c r="T4087" s="5">
        <f>OrdersTable[[#This Row],[Gross Sale]]*OrdersTable[[#This Row],[Discount_Clean2]]</f>
        <v>159.80000000000001</v>
      </c>
      <c r="U4087" s="5">
        <f>OrdersTable[[#This Row],[Gross Sale]]-OrdersTable[[#This Row],[Discount Amount]]</f>
        <v>639.20000000000005</v>
      </c>
      <c r="V4087" s="77">
        <f>INDEX(Products!E:E,MATCH(OrdersTable[[#This Row],[Product ID]],Products!A:A,0))</f>
        <v>320</v>
      </c>
      <c r="W4087" s="77">
        <f>OrdersTable[[#This Row],[Quantity]]*OrdersTable[[#This Row],[Unit Cost]]</f>
        <v>320</v>
      </c>
      <c r="X4087" s="77">
        <f>'Dropdown Lists'!$I$2*(1+OrdersTable[[#This Row],[Returned]])</f>
        <v>120</v>
      </c>
      <c r="Y4087" s="76">
        <f>OrdersTable[[#This Row],[Net Revenue]]-OrdersTable[[#This Row],[COGS]]-OrdersTable[[#This Row],[Shipping Cost]]</f>
        <v>199.20000000000005</v>
      </c>
      <c r="Z4087" s="78">
        <f>IFERROR(OrdersTable[[#This Row],[Profit]]/OrdersTable[[#This Row],[Net Revenue]],0)</f>
        <v>0.31163954943679606</v>
      </c>
      <c r="AA4087" t="s">
        <v>3495</v>
      </c>
      <c r="AB4087" s="79">
        <v>45944</v>
      </c>
      <c r="AC4087">
        <f>OrdersTable[[#This Row],[Delivery Date]]-OrdersTable[[#This Row],[Order Date]]</f>
        <v>4</v>
      </c>
      <c r="AD4087" t="str">
        <f>IF(OrdersTable[[#This Row],[Delivery Days]]&lt;=2, "Express (≤2d)", IF(OrdersTable[[#This Row],[Delivery Days]]&lt;=4, "Standard (3-4d)", "Delayed (5d+)"))</f>
        <v>Standard (3-4d)</v>
      </c>
      <c r="AE4087">
        <v>5</v>
      </c>
      <c r="AF4087">
        <v>1</v>
      </c>
    </row>
    <row r="4088" spans="1:32" ht="15" x14ac:dyDescent="0.35">
      <c r="A4088" t="s">
        <v>379</v>
      </c>
      <c r="B4088" s="1">
        <v>45940</v>
      </c>
      <c r="C4088">
        <f>YEAR(OrdersTable[[#This Row],[Order Date]])</f>
        <v>2025</v>
      </c>
      <c r="D4088" s="2">
        <f>DATE(YEAR(OrdersTable[[#This Row],[Order Date]]),MONTH(OrdersTable[[#This Row],[Order Date]]),1)</f>
        <v>45931</v>
      </c>
      <c r="E4088">
        <f>MONTH(OrdersTable[[#This Row],[Order Date]])</f>
        <v>10</v>
      </c>
      <c r="F4088" t="s">
        <v>380</v>
      </c>
      <c r="G4088" t="str">
        <f>IF(OrdersTable[[#This Row],[Order Date]]=_xlfn.MINIFS(Order_Date, Customer_ID, OrdersTable[[#This Row],[Customer ID]]), "New", "Repeat")</f>
        <v>Repeat</v>
      </c>
      <c r="H4088" t="s">
        <v>76</v>
      </c>
      <c r="I4088" t="str">
        <f>INDEX(State!B:B,MATCH(OrdersTable[[#This Row],[State]],State!A:A,0))</f>
        <v>UP</v>
      </c>
      <c r="J4088" t="str">
        <f>INDEX(State!C:C,MATCH(OrdersTable[[#This Row],[State Code]],State!B:B,0))</f>
        <v>North</v>
      </c>
      <c r="K4088" t="s">
        <v>118</v>
      </c>
      <c r="L4088" t="s">
        <v>65</v>
      </c>
      <c r="M4088" t="s">
        <v>66</v>
      </c>
      <c r="N4088" t="str">
        <f>INDEX(Products!B:B,MATCH(OrdersTable[[#This Row],[Product ID]],Products!A:A,0))</f>
        <v>Sunscreen SPF 50</v>
      </c>
      <c r="O4088" t="str">
        <f>INDEX(Products!C:C,MATCH(OrdersTable[[#This Row],[Product ID]],Products!A:A,0))</f>
        <v>Skincare</v>
      </c>
      <c r="P4088">
        <v>1</v>
      </c>
      <c r="Q4088" s="5">
        <v>449</v>
      </c>
      <c r="R4088" s="74">
        <v>0.3</v>
      </c>
      <c r="S4088" s="75">
        <f>OrdersTable[[#This Row],[Quantity]]*OrdersTable[[#This Row],[Unit Price]]</f>
        <v>449</v>
      </c>
      <c r="T4088" s="5">
        <f>OrdersTable[[#This Row],[Gross Sale]]*OrdersTable[[#This Row],[Discount_Clean2]]</f>
        <v>134.69999999999999</v>
      </c>
      <c r="U4088" s="5">
        <f>OrdersTable[[#This Row],[Gross Sale]]-OrdersTable[[#This Row],[Discount Amount]]</f>
        <v>314.3</v>
      </c>
      <c r="V4088" s="77">
        <f>INDEX(Products!E:E,MATCH(OrdersTable[[#This Row],[Product ID]],Products!A:A,0))</f>
        <v>144</v>
      </c>
      <c r="W4088" s="77">
        <f>OrdersTable[[#This Row],[Quantity]]*OrdersTable[[#This Row],[Unit Cost]]</f>
        <v>144</v>
      </c>
      <c r="X4088" s="77">
        <f>'Dropdown Lists'!$I$2*(1+OrdersTable[[#This Row],[Returned]])</f>
        <v>60</v>
      </c>
      <c r="Y4088" s="76">
        <f>OrdersTable[[#This Row],[Net Revenue]]-OrdersTable[[#This Row],[COGS]]-OrdersTable[[#This Row],[Shipping Cost]]</f>
        <v>110.30000000000001</v>
      </c>
      <c r="Z4088" s="78">
        <f>IFERROR(OrdersTable[[#This Row],[Profit]]/OrdersTable[[#This Row],[Net Revenue]],0)</f>
        <v>0.35093859370028635</v>
      </c>
      <c r="AA4088" t="s">
        <v>18</v>
      </c>
      <c r="AB4088" s="79">
        <v>45945</v>
      </c>
      <c r="AC4088">
        <f>OrdersTable[[#This Row],[Delivery Date]]-OrdersTable[[#This Row],[Order Date]]</f>
        <v>5</v>
      </c>
      <c r="AD4088" t="str">
        <f>IF(OrdersTable[[#This Row],[Delivery Days]]&lt;=2, "Express (≤2d)", IF(OrdersTable[[#This Row],[Delivery Days]]&lt;=4, "Standard (3-4d)", "Delayed (5d+)"))</f>
        <v>Delayed (5d+)</v>
      </c>
      <c r="AE4088">
        <v>4</v>
      </c>
      <c r="AF4088">
        <v>0</v>
      </c>
    </row>
    <row r="4089" spans="1:32" ht="15" x14ac:dyDescent="0.35">
      <c r="A4089" t="s">
        <v>4438</v>
      </c>
      <c r="B4089" s="1">
        <v>45940</v>
      </c>
      <c r="C4089">
        <f>YEAR(OrdersTable[[#This Row],[Order Date]])</f>
        <v>2025</v>
      </c>
      <c r="D4089" s="2">
        <f>DATE(YEAR(OrdersTable[[#This Row],[Order Date]]),MONTH(OrdersTable[[#This Row],[Order Date]]),1)</f>
        <v>45931</v>
      </c>
      <c r="E4089">
        <f>MONTH(OrdersTable[[#This Row],[Order Date]])</f>
        <v>10</v>
      </c>
      <c r="F4089" t="s">
        <v>3456</v>
      </c>
      <c r="G4089" t="str">
        <f>IF(OrdersTable[[#This Row],[Order Date]]=_xlfn.MINIFS(Order_Date, Customer_ID, OrdersTable[[#This Row],[Customer ID]]), "New", "Repeat")</f>
        <v>Repeat</v>
      </c>
      <c r="H4089" t="s">
        <v>32</v>
      </c>
      <c r="I4089" t="str">
        <f>INDEX(State!B:B,MATCH(OrdersTable[[#This Row],[State]],State!A:A,0))</f>
        <v>BR</v>
      </c>
      <c r="J4089" t="str">
        <f>INDEX(State!C:C,MATCH(OrdersTable[[#This Row],[State Code]],State!B:B,0))</f>
        <v>East</v>
      </c>
      <c r="K4089" t="s">
        <v>33</v>
      </c>
      <c r="L4089" t="s">
        <v>23</v>
      </c>
      <c r="M4089" t="s">
        <v>29</v>
      </c>
      <c r="N4089" t="str">
        <f>INDEX(Products!B:B,MATCH(OrdersTable[[#This Row],[Product ID]],Products!A:A,0))</f>
        <v>Joggers</v>
      </c>
      <c r="O4089" t="str">
        <f>INDEX(Products!C:C,MATCH(OrdersTable[[#This Row],[Product ID]],Products!A:A,0))</f>
        <v>Apparel</v>
      </c>
      <c r="P4089">
        <v>1</v>
      </c>
      <c r="Q4089" s="5">
        <v>1199</v>
      </c>
      <c r="R4089" s="74">
        <v>0.25</v>
      </c>
      <c r="S4089" s="75">
        <f>OrdersTable[[#This Row],[Quantity]]*OrdersTable[[#This Row],[Unit Price]]</f>
        <v>1199</v>
      </c>
      <c r="T4089" s="5">
        <f>OrdersTable[[#This Row],[Gross Sale]]*OrdersTable[[#This Row],[Discount_Clean2]]</f>
        <v>299.75</v>
      </c>
      <c r="U4089" s="5">
        <f>OrdersTable[[#This Row],[Gross Sale]]-OrdersTable[[#This Row],[Discount Amount]]</f>
        <v>899.25</v>
      </c>
      <c r="V4089" s="77">
        <f>INDEX(Products!E:E,MATCH(OrdersTable[[#This Row],[Product ID]],Products!A:A,0))</f>
        <v>492</v>
      </c>
      <c r="W4089" s="77">
        <f>OrdersTable[[#This Row],[Quantity]]*OrdersTable[[#This Row],[Unit Cost]]</f>
        <v>492</v>
      </c>
      <c r="X4089" s="77">
        <f>'Dropdown Lists'!$I$2*(1+OrdersTable[[#This Row],[Returned]])</f>
        <v>60</v>
      </c>
      <c r="Y4089" s="76">
        <f>OrdersTable[[#This Row],[Net Revenue]]-OrdersTable[[#This Row],[COGS]]-OrdersTable[[#This Row],[Shipping Cost]]</f>
        <v>347.25</v>
      </c>
      <c r="Z4089" s="78">
        <f>IFERROR(OrdersTable[[#This Row],[Profit]]/OrdersTable[[#This Row],[Net Revenue]],0)</f>
        <v>0.38615512927439533</v>
      </c>
      <c r="AA4089" t="s">
        <v>4074</v>
      </c>
      <c r="AB4089" s="79">
        <v>45945</v>
      </c>
      <c r="AC4089">
        <f>OrdersTable[[#This Row],[Delivery Date]]-OrdersTable[[#This Row],[Order Date]]</f>
        <v>5</v>
      </c>
      <c r="AD4089" t="str">
        <f>IF(OrdersTable[[#This Row],[Delivery Days]]&lt;=2, "Express (≤2d)", IF(OrdersTable[[#This Row],[Delivery Days]]&lt;=4, "Standard (3-4d)", "Delayed (5d+)"))</f>
        <v>Delayed (5d+)</v>
      </c>
      <c r="AE4089">
        <v>4</v>
      </c>
      <c r="AF4089">
        <v>0</v>
      </c>
    </row>
    <row r="4090" spans="1:32" ht="15" x14ac:dyDescent="0.35">
      <c r="A4090" t="s">
        <v>7029</v>
      </c>
      <c r="B4090" s="1">
        <v>45940</v>
      </c>
      <c r="C4090">
        <f>YEAR(OrdersTable[[#This Row],[Order Date]])</f>
        <v>2025</v>
      </c>
      <c r="D4090" s="2">
        <f>DATE(YEAR(OrdersTable[[#This Row],[Order Date]]),MONTH(OrdersTable[[#This Row],[Order Date]]),1)</f>
        <v>45931</v>
      </c>
      <c r="E4090">
        <f>MONTH(OrdersTable[[#This Row],[Order Date]])</f>
        <v>10</v>
      </c>
      <c r="F4090" t="s">
        <v>1629</v>
      </c>
      <c r="G4090" t="str">
        <f>IF(OrdersTable[[#This Row],[Order Date]]=_xlfn.MINIFS(Order_Date, Customer_ID, OrdersTable[[#This Row],[Customer ID]]), "New", "Repeat")</f>
        <v>Repeat</v>
      </c>
      <c r="H4090" t="s">
        <v>43</v>
      </c>
      <c r="I4090" t="str">
        <f>INDEX(State!B:B,MATCH(OrdersTable[[#This Row],[State]],State!A:A,0))</f>
        <v>MP</v>
      </c>
      <c r="J4090" t="str">
        <f>INDEX(State!C:C,MATCH(OrdersTable[[#This Row],[State Code]],State!B:B,0))</f>
        <v>West</v>
      </c>
      <c r="K4090" t="s">
        <v>250</v>
      </c>
      <c r="L4090" t="s">
        <v>23</v>
      </c>
      <c r="M4090" t="s">
        <v>160</v>
      </c>
      <c r="N4090" t="str">
        <f>INDEX(Products!B:B,MATCH(OrdersTable[[#This Row],[Product ID]],Products!A:A,0))</f>
        <v>Niacinamide Toner</v>
      </c>
      <c r="O4090" t="str">
        <f>INDEX(Products!C:C,MATCH(OrdersTable[[#This Row],[Product ID]],Products!A:A,0))</f>
        <v>Skincare</v>
      </c>
      <c r="P4090">
        <v>4</v>
      </c>
      <c r="Q4090" s="5">
        <v>399</v>
      </c>
      <c r="R4090" s="74">
        <v>0.4</v>
      </c>
      <c r="S4090" s="75">
        <f>OrdersTable[[#This Row],[Quantity]]*OrdersTable[[#This Row],[Unit Price]]</f>
        <v>1596</v>
      </c>
      <c r="T4090" s="5">
        <f>OrdersTable[[#This Row],[Gross Sale]]*OrdersTable[[#This Row],[Discount_Clean2]]</f>
        <v>638.40000000000009</v>
      </c>
      <c r="U4090" s="5">
        <f>OrdersTable[[#This Row],[Gross Sale]]-OrdersTable[[#This Row],[Discount Amount]]</f>
        <v>957.59999999999991</v>
      </c>
      <c r="V4090" s="77">
        <f>INDEX(Products!E:E,MATCH(OrdersTable[[#This Row],[Product ID]],Products!A:A,0))</f>
        <v>112</v>
      </c>
      <c r="W4090" s="77">
        <f>OrdersTable[[#This Row],[Quantity]]*OrdersTable[[#This Row],[Unit Cost]]</f>
        <v>448</v>
      </c>
      <c r="X4090" s="77">
        <f>'Dropdown Lists'!$I$2*(1+OrdersTable[[#This Row],[Returned]])</f>
        <v>60</v>
      </c>
      <c r="Y4090" s="76">
        <f>OrdersTable[[#This Row],[Net Revenue]]-OrdersTable[[#This Row],[COGS]]-OrdersTable[[#This Row],[Shipping Cost]]</f>
        <v>449.59999999999991</v>
      </c>
      <c r="Z4090" s="78">
        <f>IFERROR(OrdersTable[[#This Row],[Profit]]/OrdersTable[[#This Row],[Net Revenue]],0)</f>
        <v>0.46950710108604843</v>
      </c>
      <c r="AA4090" t="s">
        <v>2522</v>
      </c>
      <c r="AB4090" s="79">
        <v>45944</v>
      </c>
      <c r="AC4090">
        <f>OrdersTable[[#This Row],[Delivery Date]]-OrdersTable[[#This Row],[Order Date]]</f>
        <v>4</v>
      </c>
      <c r="AD4090" t="str">
        <f>IF(OrdersTable[[#This Row],[Delivery Days]]&lt;=2, "Express (≤2d)", IF(OrdersTable[[#This Row],[Delivery Days]]&lt;=4, "Standard (3-4d)", "Delayed (5d+)"))</f>
        <v>Standard (3-4d)</v>
      </c>
      <c r="AE4090">
        <v>4</v>
      </c>
      <c r="AF4090">
        <v>0</v>
      </c>
    </row>
    <row r="4091" spans="1:32" ht="15" x14ac:dyDescent="0.35">
      <c r="A4091" t="s">
        <v>3812</v>
      </c>
      <c r="B4091" s="1">
        <v>45940</v>
      </c>
      <c r="C4091">
        <f>YEAR(OrdersTable[[#This Row],[Order Date]])</f>
        <v>2025</v>
      </c>
      <c r="D4091" s="2">
        <f>DATE(YEAR(OrdersTable[[#This Row],[Order Date]]),MONTH(OrdersTable[[#This Row],[Order Date]]),1)</f>
        <v>45931</v>
      </c>
      <c r="E4091">
        <f>MONTH(OrdersTable[[#This Row],[Order Date]])</f>
        <v>10</v>
      </c>
      <c r="F4091" t="s">
        <v>2183</v>
      </c>
      <c r="G4091" t="str">
        <f>IF(OrdersTable[[#This Row],[Order Date]]=_xlfn.MINIFS(Order_Date, Customer_ID, OrdersTable[[#This Row],[Customer ID]]), "New", "Repeat")</f>
        <v>New</v>
      </c>
      <c r="H4091" t="s">
        <v>71</v>
      </c>
      <c r="I4091" t="str">
        <f>INDEX(State!B:B,MATCH(OrdersTable[[#This Row],[State]],State!A:A,0))</f>
        <v>MH</v>
      </c>
      <c r="J4091" t="str">
        <f>INDEX(State!C:C,MATCH(OrdersTable[[#This Row],[State Code]],State!B:B,0))</f>
        <v>West</v>
      </c>
      <c r="K4091" t="s">
        <v>72</v>
      </c>
      <c r="L4091" t="s">
        <v>65</v>
      </c>
      <c r="M4091" t="s">
        <v>56</v>
      </c>
      <c r="N4091" t="str">
        <f>INDEX(Products!B:B,MATCH(OrdersTable[[#This Row],[Product ID]],Products!A:A,0))</f>
        <v>Vitamin C Face Serum</v>
      </c>
      <c r="O4091" t="str">
        <f>INDEX(Products!C:C,MATCH(OrdersTable[[#This Row],[Product ID]],Products!A:A,0))</f>
        <v>Skincare</v>
      </c>
      <c r="P4091">
        <v>1</v>
      </c>
      <c r="Q4091" s="5">
        <v>599</v>
      </c>
      <c r="R4091" s="74">
        <v>0.3</v>
      </c>
      <c r="S4091" s="75">
        <f>OrdersTable[[#This Row],[Quantity]]*OrdersTable[[#This Row],[Unit Price]]</f>
        <v>599</v>
      </c>
      <c r="T4091" s="5">
        <f>OrdersTable[[#This Row],[Gross Sale]]*OrdersTable[[#This Row],[Discount_Clean2]]</f>
        <v>179.7</v>
      </c>
      <c r="U4091" s="5">
        <f>OrdersTable[[#This Row],[Gross Sale]]-OrdersTable[[#This Row],[Discount Amount]]</f>
        <v>419.3</v>
      </c>
      <c r="V4091" s="77">
        <f>INDEX(Products!E:E,MATCH(OrdersTable[[#This Row],[Product ID]],Products!A:A,0))</f>
        <v>180</v>
      </c>
      <c r="W4091" s="77">
        <f>OrdersTable[[#This Row],[Quantity]]*OrdersTable[[#This Row],[Unit Cost]]</f>
        <v>180</v>
      </c>
      <c r="X4091" s="77">
        <f>'Dropdown Lists'!$I$2*(1+OrdersTable[[#This Row],[Returned]])</f>
        <v>60</v>
      </c>
      <c r="Y4091" s="76">
        <f>OrdersTable[[#This Row],[Net Revenue]]-OrdersTable[[#This Row],[COGS]]-OrdersTable[[#This Row],[Shipping Cost]]</f>
        <v>179.3</v>
      </c>
      <c r="Z4091" s="78">
        <f>IFERROR(OrdersTable[[#This Row],[Profit]]/OrdersTable[[#This Row],[Net Revenue]],0)</f>
        <v>0.42761745766754117</v>
      </c>
      <c r="AA4091" t="s">
        <v>3495</v>
      </c>
      <c r="AB4091" s="79">
        <v>45943</v>
      </c>
      <c r="AC4091">
        <f>OrdersTable[[#This Row],[Delivery Date]]-OrdersTable[[#This Row],[Order Date]]</f>
        <v>3</v>
      </c>
      <c r="AD4091" t="str">
        <f>IF(OrdersTable[[#This Row],[Delivery Days]]&lt;=2, "Express (≤2d)", IF(OrdersTable[[#This Row],[Delivery Days]]&lt;=4, "Standard (3-4d)", "Delayed (5d+)"))</f>
        <v>Standard (3-4d)</v>
      </c>
      <c r="AF4091">
        <v>0</v>
      </c>
    </row>
    <row r="4092" spans="1:32" ht="15" x14ac:dyDescent="0.35">
      <c r="A4092" t="s">
        <v>381</v>
      </c>
      <c r="B4092" s="1">
        <v>45940</v>
      </c>
      <c r="C4092">
        <f>YEAR(OrdersTable[[#This Row],[Order Date]])</f>
        <v>2025</v>
      </c>
      <c r="D4092" s="2">
        <f>DATE(YEAR(OrdersTable[[#This Row],[Order Date]]),MONTH(OrdersTable[[#This Row],[Order Date]]),1)</f>
        <v>45931</v>
      </c>
      <c r="E4092">
        <f>MONTH(OrdersTable[[#This Row],[Order Date]])</f>
        <v>10</v>
      </c>
      <c r="F4092" t="s">
        <v>382</v>
      </c>
      <c r="G4092" t="str">
        <f>IF(OrdersTable[[#This Row],[Order Date]]=_xlfn.MINIFS(Order_Date, Customer_ID, OrdersTable[[#This Row],[Customer ID]]), "New", "Repeat")</f>
        <v>Repeat</v>
      </c>
      <c r="H4092" t="s">
        <v>167</v>
      </c>
      <c r="I4092" t="str">
        <f>INDEX(State!B:B,MATCH(OrdersTable[[#This Row],[State]],State!A:A,0))</f>
        <v>KA</v>
      </c>
      <c r="J4092" t="str">
        <f>INDEX(State!C:C,MATCH(OrdersTable[[#This Row],[State Code]],State!B:B,0))</f>
        <v>South</v>
      </c>
      <c r="K4092" t="s">
        <v>168</v>
      </c>
      <c r="L4092" t="s">
        <v>39</v>
      </c>
      <c r="M4092" t="s">
        <v>109</v>
      </c>
      <c r="N4092" t="str">
        <f>INDEX(Products!B:B,MATCH(OrdersTable[[#This Row],[Product ID]],Products!A:A,0))</f>
        <v>Onion Hair Oil</v>
      </c>
      <c r="O4092" t="str">
        <f>INDEX(Products!C:C,MATCH(OrdersTable[[#This Row],[Product ID]],Products!A:A,0))</f>
        <v>Haircare</v>
      </c>
      <c r="P4092">
        <v>1</v>
      </c>
      <c r="Q4092" s="5">
        <v>349</v>
      </c>
      <c r="R4092" s="74">
        <v>0.4</v>
      </c>
      <c r="S4092" s="75">
        <f>OrdersTable[[#This Row],[Quantity]]*OrdersTable[[#This Row],[Unit Price]]</f>
        <v>349</v>
      </c>
      <c r="T4092" s="5">
        <f>OrdersTable[[#This Row],[Gross Sale]]*OrdersTable[[#This Row],[Discount_Clean2]]</f>
        <v>139.6</v>
      </c>
      <c r="U4092" s="5">
        <f>OrdersTable[[#This Row],[Gross Sale]]-OrdersTable[[#This Row],[Discount Amount]]</f>
        <v>209.4</v>
      </c>
      <c r="V4092" s="77">
        <f>INDEX(Products!E:E,MATCH(OrdersTable[[#This Row],[Product ID]],Products!A:A,0))</f>
        <v>105</v>
      </c>
      <c r="W4092" s="77">
        <f>OrdersTable[[#This Row],[Quantity]]*OrdersTable[[#This Row],[Unit Cost]]</f>
        <v>105</v>
      </c>
      <c r="X4092" s="77">
        <f>'Dropdown Lists'!$I$2*(1+OrdersTable[[#This Row],[Returned]])</f>
        <v>60</v>
      </c>
      <c r="Y4092" s="76">
        <f>OrdersTable[[#This Row],[Net Revenue]]-OrdersTable[[#This Row],[COGS]]-OrdersTable[[#This Row],[Shipping Cost]]</f>
        <v>44.400000000000006</v>
      </c>
      <c r="Z4092" s="78">
        <f>IFERROR(OrdersTable[[#This Row],[Profit]]/OrdersTable[[#This Row],[Net Revenue]],0)</f>
        <v>0.21203438395415475</v>
      </c>
      <c r="AA4092" t="s">
        <v>18</v>
      </c>
      <c r="AB4092" s="79">
        <v>45944</v>
      </c>
      <c r="AC4092">
        <f>OrdersTable[[#This Row],[Delivery Date]]-OrdersTable[[#This Row],[Order Date]]</f>
        <v>4</v>
      </c>
      <c r="AD4092" t="str">
        <f>IF(OrdersTable[[#This Row],[Delivery Days]]&lt;=2, "Express (≤2d)", IF(OrdersTable[[#This Row],[Delivery Days]]&lt;=4, "Standard (3-4d)", "Delayed (5d+)"))</f>
        <v>Standard (3-4d)</v>
      </c>
      <c r="AE4092">
        <v>4</v>
      </c>
      <c r="AF4092">
        <v>0</v>
      </c>
    </row>
    <row r="4093" spans="1:32" ht="15" x14ac:dyDescent="0.35">
      <c r="A4093" t="s">
        <v>6408</v>
      </c>
      <c r="B4093" s="1">
        <v>45940</v>
      </c>
      <c r="C4093">
        <f>YEAR(OrdersTable[[#This Row],[Order Date]])</f>
        <v>2025</v>
      </c>
      <c r="D4093" s="2">
        <f>DATE(YEAR(OrdersTable[[#This Row],[Order Date]]),MONTH(OrdersTable[[#This Row],[Order Date]]),1)</f>
        <v>45931</v>
      </c>
      <c r="E4093">
        <f>MONTH(OrdersTable[[#This Row],[Order Date]])</f>
        <v>10</v>
      </c>
      <c r="F4093" t="s">
        <v>6409</v>
      </c>
      <c r="G4093" t="str">
        <f>IF(OrdersTable[[#This Row],[Order Date]]=_xlfn.MINIFS(Order_Date, Customer_ID, OrdersTable[[#This Row],[Customer ID]]), "New", "Repeat")</f>
        <v>New</v>
      </c>
      <c r="H4093" t="s">
        <v>275</v>
      </c>
      <c r="I4093" t="str">
        <f>INDEX(State!B:B,MATCH(OrdersTable[[#This Row],[State]],State!A:A,0))</f>
        <v>AP</v>
      </c>
      <c r="J4093" t="str">
        <f>INDEX(State!C:C,MATCH(OrdersTable[[#This Row],[State Code]],State!B:B,0))</f>
        <v>South</v>
      </c>
      <c r="K4093" t="s">
        <v>276</v>
      </c>
      <c r="L4093" t="s">
        <v>16</v>
      </c>
      <c r="M4093" t="s">
        <v>34</v>
      </c>
      <c r="N4093" t="str">
        <f>INDEX(Products!B:B,MATCH(OrdersTable[[#This Row],[Product ID]],Products!A:A,0))</f>
        <v>Flip Flops</v>
      </c>
      <c r="O4093" t="str">
        <f>INDEX(Products!C:C,MATCH(OrdersTable[[#This Row],[Product ID]],Products!A:A,0))</f>
        <v>Footwear</v>
      </c>
      <c r="P4093">
        <v>2</v>
      </c>
      <c r="Q4093" s="5">
        <v>399</v>
      </c>
      <c r="R4093" s="74">
        <v>0.35</v>
      </c>
      <c r="S4093" s="75">
        <f>OrdersTable[[#This Row],[Quantity]]*OrdersTable[[#This Row],[Unit Price]]</f>
        <v>798</v>
      </c>
      <c r="T4093" s="5">
        <f>OrdersTable[[#This Row],[Gross Sale]]*OrdersTable[[#This Row],[Discount_Clean2]]</f>
        <v>279.29999999999995</v>
      </c>
      <c r="U4093" s="5">
        <f>OrdersTable[[#This Row],[Gross Sale]]-OrdersTable[[#This Row],[Discount Amount]]</f>
        <v>518.70000000000005</v>
      </c>
      <c r="V4093" s="77">
        <f>INDEX(Products!E:E,MATCH(OrdersTable[[#This Row],[Product ID]],Products!A:A,0))</f>
        <v>152</v>
      </c>
      <c r="W4093" s="77">
        <f>OrdersTable[[#This Row],[Quantity]]*OrdersTable[[#This Row],[Unit Cost]]</f>
        <v>304</v>
      </c>
      <c r="X4093" s="77">
        <f>'Dropdown Lists'!$I$2*(1+OrdersTable[[#This Row],[Returned]])</f>
        <v>60</v>
      </c>
      <c r="Y4093" s="76">
        <f>OrdersTable[[#This Row],[Net Revenue]]-OrdersTable[[#This Row],[COGS]]-OrdersTable[[#This Row],[Shipping Cost]]</f>
        <v>154.70000000000005</v>
      </c>
      <c r="Z4093" s="78">
        <f>IFERROR(OrdersTable[[#This Row],[Profit]]/OrdersTable[[#This Row],[Net Revenue]],0)</f>
        <v>0.29824561403508776</v>
      </c>
      <c r="AA4093" t="s">
        <v>18</v>
      </c>
      <c r="AB4093" s="79">
        <v>45943</v>
      </c>
      <c r="AC4093">
        <f>OrdersTable[[#This Row],[Delivery Date]]-OrdersTable[[#This Row],[Order Date]]</f>
        <v>3</v>
      </c>
      <c r="AD4093" t="str">
        <f>IF(OrdersTable[[#This Row],[Delivery Days]]&lt;=2, "Express (≤2d)", IF(OrdersTable[[#This Row],[Delivery Days]]&lt;=4, "Standard (3-4d)", "Delayed (5d+)"))</f>
        <v>Standard (3-4d)</v>
      </c>
      <c r="AE4093">
        <v>4</v>
      </c>
      <c r="AF4093">
        <v>0</v>
      </c>
    </row>
    <row r="4094" spans="1:32" ht="15" x14ac:dyDescent="0.35">
      <c r="A4094" t="s">
        <v>6629</v>
      </c>
      <c r="B4094" s="1">
        <v>45941</v>
      </c>
      <c r="C4094">
        <f>YEAR(OrdersTable[[#This Row],[Order Date]])</f>
        <v>2025</v>
      </c>
      <c r="D4094" s="2">
        <f>DATE(YEAR(OrdersTable[[#This Row],[Order Date]]),MONTH(OrdersTable[[#This Row],[Order Date]]),1)</f>
        <v>45931</v>
      </c>
      <c r="E4094">
        <f>MONTH(OrdersTable[[#This Row],[Order Date]])</f>
        <v>10</v>
      </c>
      <c r="F4094" t="s">
        <v>6630</v>
      </c>
      <c r="G4094" t="str">
        <f>IF(OrdersTable[[#This Row],[Order Date]]=_xlfn.MINIFS(Order_Date, Customer_ID, OrdersTable[[#This Row],[Customer ID]]), "New", "Repeat")</f>
        <v>New</v>
      </c>
      <c r="H4094" t="s">
        <v>54</v>
      </c>
      <c r="I4094" t="str">
        <f>INDEX(State!B:B,MATCH(OrdersTable[[#This Row],[State]],State!A:A,0))</f>
        <v>RJ</v>
      </c>
      <c r="J4094" t="str">
        <f>INDEX(State!C:C,MATCH(OrdersTable[[#This Row],[State Code]],State!B:B,0))</f>
        <v>North</v>
      </c>
      <c r="K4094" t="s">
        <v>227</v>
      </c>
      <c r="L4094" t="s">
        <v>65</v>
      </c>
      <c r="M4094" t="s">
        <v>160</v>
      </c>
      <c r="N4094" t="str">
        <f>INDEX(Products!B:B,MATCH(OrdersTable[[#This Row],[Product ID]],Products!A:A,0))</f>
        <v>Niacinamide Toner</v>
      </c>
      <c r="O4094" t="str">
        <f>INDEX(Products!C:C,MATCH(OrdersTable[[#This Row],[Product ID]],Products!A:A,0))</f>
        <v>Skincare</v>
      </c>
      <c r="P4094">
        <v>3</v>
      </c>
      <c r="Q4094" s="5">
        <v>399</v>
      </c>
      <c r="R4094" s="74">
        <v>0.45</v>
      </c>
      <c r="S4094" s="75">
        <f>OrdersTable[[#This Row],[Quantity]]*OrdersTable[[#This Row],[Unit Price]]</f>
        <v>1197</v>
      </c>
      <c r="T4094" s="5">
        <f>OrdersTable[[#This Row],[Gross Sale]]*OrdersTable[[#This Row],[Discount_Clean2]]</f>
        <v>538.65</v>
      </c>
      <c r="U4094" s="5">
        <f>OrdersTable[[#This Row],[Gross Sale]]-OrdersTable[[#This Row],[Discount Amount]]</f>
        <v>658.35</v>
      </c>
      <c r="V4094" s="77">
        <f>INDEX(Products!E:E,MATCH(OrdersTable[[#This Row],[Product ID]],Products!A:A,0))</f>
        <v>112</v>
      </c>
      <c r="W4094" s="77">
        <f>OrdersTable[[#This Row],[Quantity]]*OrdersTable[[#This Row],[Unit Cost]]</f>
        <v>336</v>
      </c>
      <c r="X4094" s="77">
        <f>'Dropdown Lists'!$I$2*(1+OrdersTable[[#This Row],[Returned]])</f>
        <v>60</v>
      </c>
      <c r="Y4094" s="76">
        <f>OrdersTable[[#This Row],[Net Revenue]]-OrdersTable[[#This Row],[COGS]]-OrdersTable[[#This Row],[Shipping Cost]]</f>
        <v>262.35000000000002</v>
      </c>
      <c r="Z4094" s="78">
        <f>IFERROR(OrdersTable[[#This Row],[Profit]]/OrdersTable[[#This Row],[Net Revenue]],0)</f>
        <v>0.39849624060150379</v>
      </c>
      <c r="AA4094" t="s">
        <v>18</v>
      </c>
      <c r="AB4094" s="79">
        <v>45944</v>
      </c>
      <c r="AC4094">
        <f>OrdersTable[[#This Row],[Delivery Date]]-OrdersTable[[#This Row],[Order Date]]</f>
        <v>3</v>
      </c>
      <c r="AD4094" t="str">
        <f>IF(OrdersTable[[#This Row],[Delivery Days]]&lt;=2, "Express (≤2d)", IF(OrdersTable[[#This Row],[Delivery Days]]&lt;=4, "Standard (3-4d)", "Delayed (5d+)"))</f>
        <v>Standard (3-4d)</v>
      </c>
      <c r="AE4094">
        <v>3</v>
      </c>
      <c r="AF4094">
        <v>0</v>
      </c>
    </row>
    <row r="4095" spans="1:32" ht="15" x14ac:dyDescent="0.35">
      <c r="A4095" t="s">
        <v>3675</v>
      </c>
      <c r="B4095" s="1">
        <v>45941</v>
      </c>
      <c r="C4095">
        <f>YEAR(OrdersTable[[#This Row],[Order Date]])</f>
        <v>2025</v>
      </c>
      <c r="D4095" s="2">
        <f>DATE(YEAR(OrdersTable[[#This Row],[Order Date]]),MONTH(OrdersTable[[#This Row],[Order Date]]),1)</f>
        <v>45931</v>
      </c>
      <c r="E4095">
        <f>MONTH(OrdersTable[[#This Row],[Order Date]])</f>
        <v>10</v>
      </c>
      <c r="F4095" t="s">
        <v>1235</v>
      </c>
      <c r="G4095" t="str">
        <f>IF(OrdersTable[[#This Row],[Order Date]]=_xlfn.MINIFS(Order_Date, Customer_ID, OrdersTable[[#This Row],[Customer ID]]), "New", "Repeat")</f>
        <v>Repeat</v>
      </c>
      <c r="H4095" t="s">
        <v>128</v>
      </c>
      <c r="I4095" t="str">
        <f>INDEX(State!B:B,MATCH(OrdersTable[[#This Row],[State]],State!A:A,0))</f>
        <v>DL</v>
      </c>
      <c r="J4095" t="str">
        <f>INDEX(State!C:C,MATCH(OrdersTable[[#This Row],[State Code]],State!B:B,0))</f>
        <v>North</v>
      </c>
      <c r="K4095" t="s">
        <v>129</v>
      </c>
      <c r="L4095" t="s">
        <v>16</v>
      </c>
      <c r="M4095" t="s">
        <v>176</v>
      </c>
      <c r="N4095" t="str">
        <f>INDEX(Products!B:B,MATCH(OrdersTable[[#This Row],[Product ID]],Products!A:A,0))</f>
        <v>Denim Jacket</v>
      </c>
      <c r="O4095" t="str">
        <f>INDEX(Products!C:C,MATCH(OrdersTable[[#This Row],[Product ID]],Products!A:A,0))</f>
        <v>Apparel</v>
      </c>
      <c r="P4095">
        <v>1</v>
      </c>
      <c r="Q4095" s="5">
        <v>2499</v>
      </c>
      <c r="R4095" s="74">
        <v>0.15</v>
      </c>
      <c r="S4095" s="75">
        <f>OrdersTable[[#This Row],[Quantity]]*OrdersTable[[#This Row],[Unit Price]]</f>
        <v>2499</v>
      </c>
      <c r="T4095" s="5">
        <f>OrdersTable[[#This Row],[Gross Sale]]*OrdersTable[[#This Row],[Discount_Clean2]]</f>
        <v>374.84999999999997</v>
      </c>
      <c r="U4095" s="5">
        <f>OrdersTable[[#This Row],[Gross Sale]]-OrdersTable[[#This Row],[Discount Amount]]</f>
        <v>2124.15</v>
      </c>
      <c r="V4095" s="77">
        <f>INDEX(Products!E:E,MATCH(OrdersTable[[#This Row],[Product ID]],Products!A:A,0))</f>
        <v>1125</v>
      </c>
      <c r="W4095" s="77">
        <f>OrdersTable[[#This Row],[Quantity]]*OrdersTable[[#This Row],[Unit Cost]]</f>
        <v>1125</v>
      </c>
      <c r="X4095" s="77">
        <f>'Dropdown Lists'!$I$2*(1+OrdersTable[[#This Row],[Returned]])</f>
        <v>60</v>
      </c>
      <c r="Y4095" s="76">
        <f>OrdersTable[[#This Row],[Net Revenue]]-OrdersTable[[#This Row],[COGS]]-OrdersTable[[#This Row],[Shipping Cost]]</f>
        <v>939.15000000000009</v>
      </c>
      <c r="Z4095" s="78">
        <f>IFERROR(OrdersTable[[#This Row],[Profit]]/OrdersTable[[#This Row],[Net Revenue]],0)</f>
        <v>0.44212979309370809</v>
      </c>
      <c r="AA4095" t="s">
        <v>3495</v>
      </c>
      <c r="AB4095" s="79">
        <v>45944</v>
      </c>
      <c r="AC4095">
        <f>OrdersTable[[#This Row],[Delivery Date]]-OrdersTable[[#This Row],[Order Date]]</f>
        <v>3</v>
      </c>
      <c r="AD4095" t="str">
        <f>IF(OrdersTable[[#This Row],[Delivery Days]]&lt;=2, "Express (≤2d)", IF(OrdersTable[[#This Row],[Delivery Days]]&lt;=4, "Standard (3-4d)", "Delayed (5d+)"))</f>
        <v>Standard (3-4d)</v>
      </c>
      <c r="AE4095">
        <v>4</v>
      </c>
      <c r="AF4095">
        <v>0</v>
      </c>
    </row>
    <row r="4096" spans="1:32" ht="15" x14ac:dyDescent="0.35">
      <c r="A4096" t="s">
        <v>4727</v>
      </c>
      <c r="B4096" s="1">
        <v>45941</v>
      </c>
      <c r="C4096">
        <f>YEAR(OrdersTable[[#This Row],[Order Date]])</f>
        <v>2025</v>
      </c>
      <c r="D4096" s="2">
        <f>DATE(YEAR(OrdersTable[[#This Row],[Order Date]]),MONTH(OrdersTable[[#This Row],[Order Date]]),1)</f>
        <v>45931</v>
      </c>
      <c r="E4096">
        <f>MONTH(OrdersTable[[#This Row],[Order Date]])</f>
        <v>10</v>
      </c>
      <c r="F4096" t="s">
        <v>4728</v>
      </c>
      <c r="G4096" t="str">
        <f>IF(OrdersTable[[#This Row],[Order Date]]=_xlfn.MINIFS(Order_Date, Customer_ID, OrdersTable[[#This Row],[Customer ID]]), "New", "Repeat")</f>
        <v>New</v>
      </c>
      <c r="H4096" t="s">
        <v>128</v>
      </c>
      <c r="I4096" t="str">
        <f>INDEX(State!B:B,MATCH(OrdersTable[[#This Row],[State]],State!A:A,0))</f>
        <v>DL</v>
      </c>
      <c r="J4096" t="str">
        <f>INDEX(State!C:C,MATCH(OrdersTable[[#This Row],[State Code]],State!B:B,0))</f>
        <v>North</v>
      </c>
      <c r="K4096" t="s">
        <v>129</v>
      </c>
      <c r="L4096" t="s">
        <v>65</v>
      </c>
      <c r="M4096" t="s">
        <v>66</v>
      </c>
      <c r="N4096" t="str">
        <f>INDEX(Products!B:B,MATCH(OrdersTable[[#This Row],[Product ID]],Products!A:A,0))</f>
        <v>Sunscreen SPF 50</v>
      </c>
      <c r="O4096" t="str">
        <f>INDEX(Products!C:C,MATCH(OrdersTable[[#This Row],[Product ID]],Products!A:A,0))</f>
        <v>Skincare</v>
      </c>
      <c r="P4096">
        <v>1</v>
      </c>
      <c r="Q4096" s="5">
        <v>449</v>
      </c>
      <c r="R4096" s="74">
        <v>0.2</v>
      </c>
      <c r="S4096" s="75">
        <f>OrdersTable[[#This Row],[Quantity]]*OrdersTable[[#This Row],[Unit Price]]</f>
        <v>449</v>
      </c>
      <c r="T4096" s="5">
        <f>OrdersTable[[#This Row],[Gross Sale]]*OrdersTable[[#This Row],[Discount_Clean2]]</f>
        <v>89.800000000000011</v>
      </c>
      <c r="U4096" s="5">
        <f>OrdersTable[[#This Row],[Gross Sale]]-OrdersTable[[#This Row],[Discount Amount]]</f>
        <v>359.2</v>
      </c>
      <c r="V4096" s="77">
        <f>INDEX(Products!E:E,MATCH(OrdersTable[[#This Row],[Product ID]],Products!A:A,0))</f>
        <v>144</v>
      </c>
      <c r="W4096" s="77">
        <f>OrdersTable[[#This Row],[Quantity]]*OrdersTable[[#This Row],[Unit Cost]]</f>
        <v>144</v>
      </c>
      <c r="X4096" s="77">
        <f>'Dropdown Lists'!$I$2*(1+OrdersTable[[#This Row],[Returned]])</f>
        <v>60</v>
      </c>
      <c r="Y4096" s="76">
        <f>OrdersTable[[#This Row],[Net Revenue]]-OrdersTable[[#This Row],[COGS]]-OrdersTable[[#This Row],[Shipping Cost]]</f>
        <v>155.19999999999999</v>
      </c>
      <c r="Z4096" s="78">
        <f>IFERROR(OrdersTable[[#This Row],[Profit]]/OrdersTable[[#This Row],[Net Revenue]],0)</f>
        <v>0.43207126948775054</v>
      </c>
      <c r="AA4096" t="s">
        <v>4450</v>
      </c>
      <c r="AB4096" s="79">
        <v>45943</v>
      </c>
      <c r="AC4096">
        <f>OrdersTable[[#This Row],[Delivery Date]]-OrdersTable[[#This Row],[Order Date]]</f>
        <v>2</v>
      </c>
      <c r="AD4096" t="str">
        <f>IF(OrdersTable[[#This Row],[Delivery Days]]&lt;=2, "Express (≤2d)", IF(OrdersTable[[#This Row],[Delivery Days]]&lt;=4, "Standard (3-4d)", "Delayed (5d+)"))</f>
        <v>Express (≤2d)</v>
      </c>
      <c r="AE4096">
        <v>5</v>
      </c>
      <c r="AF4096">
        <v>0</v>
      </c>
    </row>
    <row r="4097" spans="1:32" ht="15" x14ac:dyDescent="0.35">
      <c r="A4097" t="s">
        <v>5729</v>
      </c>
      <c r="B4097" s="1">
        <v>45941</v>
      </c>
      <c r="C4097">
        <f>YEAR(OrdersTable[[#This Row],[Order Date]])</f>
        <v>2025</v>
      </c>
      <c r="D4097" s="2">
        <f>DATE(YEAR(OrdersTable[[#This Row],[Order Date]]),MONTH(OrdersTable[[#This Row],[Order Date]]),1)</f>
        <v>45931</v>
      </c>
      <c r="E4097">
        <f>MONTH(OrdersTable[[#This Row],[Order Date]])</f>
        <v>10</v>
      </c>
      <c r="F4097" t="s">
        <v>2094</v>
      </c>
      <c r="G4097" t="str">
        <f>IF(OrdersTable[[#This Row],[Order Date]]=_xlfn.MINIFS(Order_Date, Customer_ID, OrdersTable[[#This Row],[Customer ID]]), "New", "Repeat")</f>
        <v>Repeat</v>
      </c>
      <c r="H4097" t="s">
        <v>76</v>
      </c>
      <c r="I4097" t="str">
        <f>INDEX(State!B:B,MATCH(OrdersTable[[#This Row],[State]],State!A:A,0))</f>
        <v>UP</v>
      </c>
      <c r="J4097" t="str">
        <f>INDEX(State!C:C,MATCH(OrdersTable[[#This Row],[State Code]],State!B:B,0))</f>
        <v>North</v>
      </c>
      <c r="K4097" t="s">
        <v>77</v>
      </c>
      <c r="L4097" t="s">
        <v>65</v>
      </c>
      <c r="M4097" t="s">
        <v>87</v>
      </c>
      <c r="N4097" t="str">
        <f>INDEX(Products!B:B,MATCH(OrdersTable[[#This Row],[Product ID]],Products!A:A,0))</f>
        <v>Linen Kurta</v>
      </c>
      <c r="O4097" t="str">
        <f>INDEX(Products!C:C,MATCH(OrdersTable[[#This Row],[Product ID]],Products!A:A,0))</f>
        <v>Apparel</v>
      </c>
      <c r="P4097">
        <v>2</v>
      </c>
      <c r="Q4097" s="5">
        <v>1499</v>
      </c>
      <c r="R4097" s="74">
        <v>0.45</v>
      </c>
      <c r="S4097" s="75">
        <f>OrdersTable[[#This Row],[Quantity]]*OrdersTable[[#This Row],[Unit Price]]</f>
        <v>2998</v>
      </c>
      <c r="T4097" s="5">
        <f>OrdersTable[[#This Row],[Gross Sale]]*OrdersTable[[#This Row],[Discount_Clean2]]</f>
        <v>1349.1000000000001</v>
      </c>
      <c r="U4097" s="5">
        <f>OrdersTable[[#This Row],[Gross Sale]]-OrdersTable[[#This Row],[Discount Amount]]</f>
        <v>1648.8999999999999</v>
      </c>
      <c r="V4097" s="77">
        <f>INDEX(Products!E:E,MATCH(OrdersTable[[#This Row],[Product ID]],Products!A:A,0))</f>
        <v>630</v>
      </c>
      <c r="W4097" s="77">
        <f>OrdersTable[[#This Row],[Quantity]]*OrdersTable[[#This Row],[Unit Cost]]</f>
        <v>1260</v>
      </c>
      <c r="X4097" s="77">
        <f>'Dropdown Lists'!$I$2*(1+OrdersTable[[#This Row],[Returned]])</f>
        <v>60</v>
      </c>
      <c r="Y4097" s="76">
        <f>OrdersTable[[#This Row],[Net Revenue]]-OrdersTable[[#This Row],[COGS]]-OrdersTable[[#This Row],[Shipping Cost]]</f>
        <v>328.89999999999986</v>
      </c>
      <c r="Z4097" s="78">
        <f>IFERROR(OrdersTable[[#This Row],[Profit]]/OrdersTable[[#This Row],[Net Revenue]],0)</f>
        <v>0.19946631087391586</v>
      </c>
      <c r="AA4097" t="s">
        <v>18</v>
      </c>
      <c r="AB4097" s="79">
        <v>45944</v>
      </c>
      <c r="AC4097">
        <f>OrdersTable[[#This Row],[Delivery Date]]-OrdersTable[[#This Row],[Order Date]]</f>
        <v>3</v>
      </c>
      <c r="AD4097" t="str">
        <f>IF(OrdersTable[[#This Row],[Delivery Days]]&lt;=2, "Express (≤2d)", IF(OrdersTable[[#This Row],[Delivery Days]]&lt;=4, "Standard (3-4d)", "Delayed (5d+)"))</f>
        <v>Standard (3-4d)</v>
      </c>
      <c r="AE4097">
        <v>3</v>
      </c>
      <c r="AF4097">
        <v>0</v>
      </c>
    </row>
    <row r="4098" spans="1:32" ht="15" x14ac:dyDescent="0.35">
      <c r="A4098" t="s">
        <v>685</v>
      </c>
      <c r="B4098" s="1">
        <v>45941</v>
      </c>
      <c r="C4098">
        <f>YEAR(OrdersTable[[#This Row],[Order Date]])</f>
        <v>2025</v>
      </c>
      <c r="D4098" s="2">
        <f>DATE(YEAR(OrdersTable[[#This Row],[Order Date]]),MONTH(OrdersTable[[#This Row],[Order Date]]),1)</f>
        <v>45931</v>
      </c>
      <c r="E4098">
        <f>MONTH(OrdersTable[[#This Row],[Order Date]])</f>
        <v>10</v>
      </c>
      <c r="F4098" t="s">
        <v>686</v>
      </c>
      <c r="G4098" t="str">
        <f>IF(OrdersTable[[#This Row],[Order Date]]=_xlfn.MINIFS(Order_Date, Customer_ID, OrdersTable[[#This Row],[Customer ID]]), "New", "Repeat")</f>
        <v>Repeat</v>
      </c>
      <c r="H4098" t="s">
        <v>76</v>
      </c>
      <c r="I4098" t="str">
        <f>INDEX(State!B:B,MATCH(OrdersTable[[#This Row],[State]],State!A:A,0))</f>
        <v>UP</v>
      </c>
      <c r="J4098" t="str">
        <f>INDEX(State!C:C,MATCH(OrdersTable[[#This Row],[State Code]],State!B:B,0))</f>
        <v>North</v>
      </c>
      <c r="K4098" t="s">
        <v>77</v>
      </c>
      <c r="L4098" t="s">
        <v>65</v>
      </c>
      <c r="M4098" t="s">
        <v>255</v>
      </c>
      <c r="N4098" t="str">
        <f>INDEX(Products!B:B,MATCH(OrdersTable[[#This Row],[Product ID]],Products!A:A,0))</f>
        <v>Cotton Oversized T-Shirt</v>
      </c>
      <c r="O4098" t="str">
        <f>INDEX(Products!C:C,MATCH(OrdersTable[[#This Row],[Product ID]],Products!A:A,0))</f>
        <v>Apparel</v>
      </c>
      <c r="P4098">
        <v>1</v>
      </c>
      <c r="Q4098" s="5">
        <v>799</v>
      </c>
      <c r="R4098" s="74">
        <v>0.2</v>
      </c>
      <c r="S4098" s="75">
        <f>OrdersTable[[#This Row],[Quantity]]*OrdersTable[[#This Row],[Unit Price]]</f>
        <v>799</v>
      </c>
      <c r="T4098" s="5">
        <f>OrdersTable[[#This Row],[Gross Sale]]*OrdersTable[[#This Row],[Discount_Clean2]]</f>
        <v>159.80000000000001</v>
      </c>
      <c r="U4098" s="5">
        <f>OrdersTable[[#This Row],[Gross Sale]]-OrdersTable[[#This Row],[Discount Amount]]</f>
        <v>639.20000000000005</v>
      </c>
      <c r="V4098" s="77">
        <f>INDEX(Products!E:E,MATCH(OrdersTable[[#This Row],[Product ID]],Products!A:A,0))</f>
        <v>320</v>
      </c>
      <c r="W4098" s="77">
        <f>OrdersTable[[#This Row],[Quantity]]*OrdersTable[[#This Row],[Unit Cost]]</f>
        <v>320</v>
      </c>
      <c r="X4098" s="77">
        <f>'Dropdown Lists'!$I$2*(1+OrdersTable[[#This Row],[Returned]])</f>
        <v>60</v>
      </c>
      <c r="Y4098" s="76">
        <f>OrdersTable[[#This Row],[Net Revenue]]-OrdersTable[[#This Row],[COGS]]-OrdersTable[[#This Row],[Shipping Cost]]</f>
        <v>259.20000000000005</v>
      </c>
      <c r="Z4098" s="78">
        <f>IFERROR(OrdersTable[[#This Row],[Profit]]/OrdersTable[[#This Row],[Net Revenue]],0)</f>
        <v>0.40550688360450565</v>
      </c>
      <c r="AA4098" t="s">
        <v>18</v>
      </c>
      <c r="AB4098" s="79">
        <v>45945</v>
      </c>
      <c r="AC4098">
        <f>OrdersTable[[#This Row],[Delivery Date]]-OrdersTable[[#This Row],[Order Date]]</f>
        <v>4</v>
      </c>
      <c r="AD4098" t="str">
        <f>IF(OrdersTable[[#This Row],[Delivery Days]]&lt;=2, "Express (≤2d)", IF(OrdersTable[[#This Row],[Delivery Days]]&lt;=4, "Standard (3-4d)", "Delayed (5d+)"))</f>
        <v>Standard (3-4d)</v>
      </c>
      <c r="AE4098">
        <v>4</v>
      </c>
      <c r="AF4098">
        <v>0</v>
      </c>
    </row>
    <row r="4099" spans="1:32" ht="15" x14ac:dyDescent="0.35">
      <c r="A4099" t="s">
        <v>7030</v>
      </c>
      <c r="B4099" s="1">
        <v>45941</v>
      </c>
      <c r="C4099">
        <f>YEAR(OrdersTable[[#This Row],[Order Date]])</f>
        <v>2025</v>
      </c>
      <c r="D4099" s="2">
        <f>DATE(YEAR(OrdersTable[[#This Row],[Order Date]]),MONTH(OrdersTable[[#This Row],[Order Date]]),1)</f>
        <v>45931</v>
      </c>
      <c r="E4099">
        <f>MONTH(OrdersTable[[#This Row],[Order Date]])</f>
        <v>10</v>
      </c>
      <c r="F4099" t="s">
        <v>7031</v>
      </c>
      <c r="G4099" t="str">
        <f>IF(OrdersTable[[#This Row],[Order Date]]=_xlfn.MINIFS(Order_Date, Customer_ID, OrdersTable[[#This Row],[Customer ID]]), "New", "Repeat")</f>
        <v>New</v>
      </c>
      <c r="H4099" t="s">
        <v>76</v>
      </c>
      <c r="I4099" t="str">
        <f>INDEX(State!B:B,MATCH(OrdersTable[[#This Row],[State]],State!A:A,0))</f>
        <v>UP</v>
      </c>
      <c r="J4099" t="str">
        <f>INDEX(State!C:C,MATCH(OrdersTable[[#This Row],[State Code]],State!B:B,0))</f>
        <v>North</v>
      </c>
      <c r="K4099" t="s">
        <v>105</v>
      </c>
      <c r="L4099" t="s">
        <v>16</v>
      </c>
      <c r="M4099" t="s">
        <v>34</v>
      </c>
      <c r="N4099" t="str">
        <f>INDEX(Products!B:B,MATCH(OrdersTable[[#This Row],[Product ID]],Products!A:A,0))</f>
        <v>Flip Flops</v>
      </c>
      <c r="O4099" t="str">
        <f>INDEX(Products!C:C,MATCH(OrdersTable[[#This Row],[Product ID]],Products!A:A,0))</f>
        <v>Footwear</v>
      </c>
      <c r="P4099">
        <v>4</v>
      </c>
      <c r="Q4099" s="5">
        <v>399</v>
      </c>
      <c r="R4099" s="74">
        <v>0.2</v>
      </c>
      <c r="S4099" s="75">
        <f>OrdersTable[[#This Row],[Quantity]]*OrdersTable[[#This Row],[Unit Price]]</f>
        <v>1596</v>
      </c>
      <c r="T4099" s="5">
        <f>OrdersTable[[#This Row],[Gross Sale]]*OrdersTable[[#This Row],[Discount_Clean2]]</f>
        <v>319.20000000000005</v>
      </c>
      <c r="U4099" s="5">
        <f>OrdersTable[[#This Row],[Gross Sale]]-OrdersTable[[#This Row],[Discount Amount]]</f>
        <v>1276.8</v>
      </c>
      <c r="V4099" s="77">
        <f>INDEX(Products!E:E,MATCH(OrdersTable[[#This Row],[Product ID]],Products!A:A,0))</f>
        <v>152</v>
      </c>
      <c r="W4099" s="77">
        <f>OrdersTable[[#This Row],[Quantity]]*OrdersTable[[#This Row],[Unit Cost]]</f>
        <v>608</v>
      </c>
      <c r="X4099" s="77">
        <f>'Dropdown Lists'!$I$2*(1+OrdersTable[[#This Row],[Returned]])</f>
        <v>60</v>
      </c>
      <c r="Y4099" s="76">
        <f>OrdersTable[[#This Row],[Net Revenue]]-OrdersTable[[#This Row],[COGS]]-OrdersTable[[#This Row],[Shipping Cost]]</f>
        <v>608.79999999999995</v>
      </c>
      <c r="Z4099" s="78">
        <f>IFERROR(OrdersTable[[#This Row],[Profit]]/OrdersTable[[#This Row],[Net Revenue]],0)</f>
        <v>0.47681704260651625</v>
      </c>
      <c r="AA4099" t="s">
        <v>2522</v>
      </c>
      <c r="AB4099" s="79">
        <v>45944</v>
      </c>
      <c r="AC4099">
        <f>OrdersTable[[#This Row],[Delivery Date]]-OrdersTable[[#This Row],[Order Date]]</f>
        <v>3</v>
      </c>
      <c r="AD4099" t="str">
        <f>IF(OrdersTable[[#This Row],[Delivery Days]]&lt;=2, "Express (≤2d)", IF(OrdersTable[[#This Row],[Delivery Days]]&lt;=4, "Standard (3-4d)", "Delayed (5d+)"))</f>
        <v>Standard (3-4d)</v>
      </c>
      <c r="AE4099">
        <v>4</v>
      </c>
      <c r="AF4099">
        <v>0</v>
      </c>
    </row>
    <row r="4100" spans="1:32" ht="15" x14ac:dyDescent="0.35">
      <c r="A4100" t="s">
        <v>5445</v>
      </c>
      <c r="B4100" s="1">
        <v>45941</v>
      </c>
      <c r="C4100">
        <f>YEAR(OrdersTable[[#This Row],[Order Date]])</f>
        <v>2025</v>
      </c>
      <c r="D4100" s="2">
        <f>DATE(YEAR(OrdersTable[[#This Row],[Order Date]]),MONTH(OrdersTable[[#This Row],[Order Date]]),1)</f>
        <v>45931</v>
      </c>
      <c r="E4100">
        <f>MONTH(OrdersTable[[#This Row],[Order Date]])</f>
        <v>10</v>
      </c>
      <c r="F4100" t="s">
        <v>5446</v>
      </c>
      <c r="G4100" t="str">
        <f>IF(OrdersTable[[#This Row],[Order Date]]=_xlfn.MINIFS(Order_Date, Customer_ID, OrdersTable[[#This Row],[Customer ID]]), "New", "Repeat")</f>
        <v>New</v>
      </c>
      <c r="H4100" t="s">
        <v>32</v>
      </c>
      <c r="I4100" t="str">
        <f>INDEX(State!B:B,MATCH(OrdersTable[[#This Row],[State]],State!A:A,0))</f>
        <v>BR</v>
      </c>
      <c r="J4100" t="str">
        <f>INDEX(State!C:C,MATCH(OrdersTable[[#This Row],[State Code]],State!B:B,0))</f>
        <v>East</v>
      </c>
      <c r="K4100" t="s">
        <v>33</v>
      </c>
      <c r="L4100" t="s">
        <v>16</v>
      </c>
      <c r="M4100" t="s">
        <v>17</v>
      </c>
      <c r="N4100" t="str">
        <f>INDEX(Products!B:B,MATCH(OrdersTable[[#This Row],[Product ID]],Products!A:A,0))</f>
        <v>Casual Sneakers</v>
      </c>
      <c r="O4100" t="str">
        <f>INDEX(Products!C:C,MATCH(OrdersTable[[#This Row],[Product ID]],Products!A:A,0))</f>
        <v>Footwear</v>
      </c>
      <c r="P4100">
        <v>2</v>
      </c>
      <c r="Q4100" s="5">
        <v>2199</v>
      </c>
      <c r="R4100" s="74">
        <v>0.45</v>
      </c>
      <c r="S4100" s="75">
        <f>OrdersTable[[#This Row],[Quantity]]*OrdersTable[[#This Row],[Unit Price]]</f>
        <v>4398</v>
      </c>
      <c r="T4100" s="5">
        <f>OrdersTable[[#This Row],[Gross Sale]]*OrdersTable[[#This Row],[Discount_Clean2]]</f>
        <v>1979.1000000000001</v>
      </c>
      <c r="U4100" s="5">
        <f>OrdersTable[[#This Row],[Gross Sale]]-OrdersTable[[#This Row],[Discount Amount]]</f>
        <v>2418.8999999999996</v>
      </c>
      <c r="V4100" s="77">
        <f>INDEX(Products!E:E,MATCH(OrdersTable[[#This Row],[Product ID]],Products!A:A,0))</f>
        <v>1034</v>
      </c>
      <c r="W4100" s="77">
        <f>OrdersTable[[#This Row],[Quantity]]*OrdersTable[[#This Row],[Unit Cost]]</f>
        <v>2068</v>
      </c>
      <c r="X4100" s="77">
        <f>'Dropdown Lists'!$I$2*(1+OrdersTable[[#This Row],[Returned]])</f>
        <v>60</v>
      </c>
      <c r="Y4100" s="76">
        <f>OrdersTable[[#This Row],[Net Revenue]]-OrdersTable[[#This Row],[COGS]]-OrdersTable[[#This Row],[Shipping Cost]]</f>
        <v>290.89999999999964</v>
      </c>
      <c r="Z4100" s="78">
        <f>IFERROR(OrdersTable[[#This Row],[Profit]]/OrdersTable[[#This Row],[Net Revenue]],0)</f>
        <v>0.1202612757865144</v>
      </c>
      <c r="AA4100" t="s">
        <v>2522</v>
      </c>
      <c r="AB4100" s="79">
        <v>45947</v>
      </c>
      <c r="AC4100">
        <f>OrdersTable[[#This Row],[Delivery Date]]-OrdersTable[[#This Row],[Order Date]]</f>
        <v>6</v>
      </c>
      <c r="AD4100" t="str">
        <f>IF(OrdersTable[[#This Row],[Delivery Days]]&lt;=2, "Express (≤2d)", IF(OrdersTable[[#This Row],[Delivery Days]]&lt;=4, "Standard (3-4d)", "Delayed (5d+)"))</f>
        <v>Delayed (5d+)</v>
      </c>
      <c r="AE4100">
        <v>3</v>
      </c>
      <c r="AF4100">
        <v>0</v>
      </c>
    </row>
    <row r="4101" spans="1:32" ht="15" x14ac:dyDescent="0.35">
      <c r="A4101" t="s">
        <v>5242</v>
      </c>
      <c r="B4101" s="1">
        <v>45941</v>
      </c>
      <c r="C4101">
        <f>YEAR(OrdersTable[[#This Row],[Order Date]])</f>
        <v>2025</v>
      </c>
      <c r="D4101" s="2">
        <f>DATE(YEAR(OrdersTable[[#This Row],[Order Date]]),MONTH(OrdersTable[[#This Row],[Order Date]]),1)</f>
        <v>45931</v>
      </c>
      <c r="E4101">
        <f>MONTH(OrdersTable[[#This Row],[Order Date]])</f>
        <v>10</v>
      </c>
      <c r="F4101" t="s">
        <v>2584</v>
      </c>
      <c r="G4101" t="str">
        <f>IF(OrdersTable[[#This Row],[Order Date]]=_xlfn.MINIFS(Order_Date, Customer_ID, OrdersTable[[#This Row],[Customer ID]]), "New", "Repeat")</f>
        <v>Repeat</v>
      </c>
      <c r="H4101" t="s">
        <v>37</v>
      </c>
      <c r="I4101" t="str">
        <f>INDEX(State!B:B,MATCH(OrdersTable[[#This Row],[State]],State!A:A,0))</f>
        <v>GJ</v>
      </c>
      <c r="J4101" t="str">
        <f>INDEX(State!C:C,MATCH(OrdersTable[[#This Row],[State Code]],State!B:B,0))</f>
        <v>West</v>
      </c>
      <c r="K4101" t="s">
        <v>38</v>
      </c>
      <c r="L4101" t="s">
        <v>65</v>
      </c>
      <c r="M4101" t="s">
        <v>61</v>
      </c>
      <c r="N4101" t="str">
        <f>INDEX(Products!B:B,MATCH(OrdersTable[[#This Row],[Product ID]],Products!A:A,0))</f>
        <v>Multivitamin Gummies</v>
      </c>
      <c r="O4101" t="str">
        <f>INDEX(Products!C:C,MATCH(OrdersTable[[#This Row],[Product ID]],Products!A:A,0))</f>
        <v>Wellness</v>
      </c>
      <c r="P4101">
        <v>2</v>
      </c>
      <c r="Q4101" s="5">
        <v>699</v>
      </c>
      <c r="R4101" s="74">
        <v>0.5</v>
      </c>
      <c r="S4101" s="75">
        <f>OrdersTable[[#This Row],[Quantity]]*OrdersTable[[#This Row],[Unit Price]]</f>
        <v>1398</v>
      </c>
      <c r="T4101" s="5">
        <f>OrdersTable[[#This Row],[Gross Sale]]*OrdersTable[[#This Row],[Discount_Clean2]]</f>
        <v>699</v>
      </c>
      <c r="U4101" s="5">
        <f>OrdersTable[[#This Row],[Gross Sale]]-OrdersTable[[#This Row],[Discount Amount]]</f>
        <v>699</v>
      </c>
      <c r="V4101" s="77">
        <f>INDEX(Products!E:E,MATCH(OrdersTable[[#This Row],[Product ID]],Products!A:A,0))</f>
        <v>238</v>
      </c>
      <c r="W4101" s="77">
        <f>OrdersTable[[#This Row],[Quantity]]*OrdersTable[[#This Row],[Unit Cost]]</f>
        <v>476</v>
      </c>
      <c r="X4101" s="77">
        <f>'Dropdown Lists'!$I$2*(1+OrdersTable[[#This Row],[Returned]])</f>
        <v>60</v>
      </c>
      <c r="Y4101" s="76">
        <f>OrdersTable[[#This Row],[Net Revenue]]-OrdersTable[[#This Row],[COGS]]-OrdersTable[[#This Row],[Shipping Cost]]</f>
        <v>163</v>
      </c>
      <c r="Z4101" s="78">
        <f>IFERROR(OrdersTable[[#This Row],[Profit]]/OrdersTable[[#This Row],[Net Revenue]],0)</f>
        <v>0.23319027181688126</v>
      </c>
      <c r="AA4101" t="s">
        <v>3495</v>
      </c>
      <c r="AB4101" s="79">
        <v>45944</v>
      </c>
      <c r="AC4101">
        <f>OrdersTable[[#This Row],[Delivery Date]]-OrdersTable[[#This Row],[Order Date]]</f>
        <v>3</v>
      </c>
      <c r="AD4101" t="str">
        <f>IF(OrdersTable[[#This Row],[Delivery Days]]&lt;=2, "Express (≤2d)", IF(OrdersTable[[#This Row],[Delivery Days]]&lt;=4, "Standard (3-4d)", "Delayed (5d+)"))</f>
        <v>Standard (3-4d)</v>
      </c>
      <c r="AE4101">
        <v>5</v>
      </c>
      <c r="AF4101">
        <v>0</v>
      </c>
    </row>
    <row r="4102" spans="1:32" ht="15" x14ac:dyDescent="0.35">
      <c r="A4102" t="s">
        <v>4864</v>
      </c>
      <c r="B4102" s="1">
        <v>45941</v>
      </c>
      <c r="C4102">
        <f>YEAR(OrdersTable[[#This Row],[Order Date]])</f>
        <v>2025</v>
      </c>
      <c r="D4102" s="2">
        <f>DATE(YEAR(OrdersTable[[#This Row],[Order Date]]),MONTH(OrdersTable[[#This Row],[Order Date]]),1)</f>
        <v>45931</v>
      </c>
      <c r="E4102">
        <f>MONTH(OrdersTable[[#This Row],[Order Date]])</f>
        <v>10</v>
      </c>
      <c r="F4102" t="s">
        <v>4865</v>
      </c>
      <c r="G4102" t="str">
        <f>IF(OrdersTable[[#This Row],[Order Date]]=_xlfn.MINIFS(Order_Date, Customer_ID, OrdersTable[[#This Row],[Customer ID]]), "New", "Repeat")</f>
        <v>Repeat</v>
      </c>
      <c r="H4102" t="s">
        <v>123</v>
      </c>
      <c r="I4102" t="str">
        <f>INDEX(State!B:B,MATCH(OrdersTable[[#This Row],[State]],State!A:A,0))</f>
        <v>JH</v>
      </c>
      <c r="J4102" t="str">
        <f>INDEX(State!C:C,MATCH(OrdersTable[[#This Row],[State Code]],State!B:B,0))</f>
        <v>East</v>
      </c>
      <c r="K4102" t="s">
        <v>124</v>
      </c>
      <c r="L4102" t="s">
        <v>23</v>
      </c>
      <c r="M4102" t="s">
        <v>160</v>
      </c>
      <c r="N4102" t="str">
        <f>INDEX(Products!B:B,MATCH(OrdersTable[[#This Row],[Product ID]],Products!A:A,0))</f>
        <v>Niacinamide Toner</v>
      </c>
      <c r="O4102" t="str">
        <f>INDEX(Products!C:C,MATCH(OrdersTable[[#This Row],[Product ID]],Products!A:A,0))</f>
        <v>Skincare</v>
      </c>
      <c r="P4102">
        <v>2</v>
      </c>
      <c r="Q4102" s="5">
        <v>399</v>
      </c>
      <c r="R4102" s="74">
        <v>0.4</v>
      </c>
      <c r="S4102" s="75">
        <f>OrdersTable[[#This Row],[Quantity]]*OrdersTable[[#This Row],[Unit Price]]</f>
        <v>798</v>
      </c>
      <c r="T4102" s="5">
        <f>OrdersTable[[#This Row],[Gross Sale]]*OrdersTable[[#This Row],[Discount_Clean2]]</f>
        <v>319.20000000000005</v>
      </c>
      <c r="U4102" s="5">
        <f>OrdersTable[[#This Row],[Gross Sale]]-OrdersTable[[#This Row],[Discount Amount]]</f>
        <v>478.79999999999995</v>
      </c>
      <c r="V4102" s="77">
        <f>INDEX(Products!E:E,MATCH(OrdersTable[[#This Row],[Product ID]],Products!A:A,0))</f>
        <v>112</v>
      </c>
      <c r="W4102" s="77">
        <f>OrdersTable[[#This Row],[Quantity]]*OrdersTable[[#This Row],[Unit Cost]]</f>
        <v>224</v>
      </c>
      <c r="X4102" s="77">
        <f>'Dropdown Lists'!$I$2*(1+OrdersTable[[#This Row],[Returned]])</f>
        <v>60</v>
      </c>
      <c r="Y4102" s="76">
        <f>OrdersTable[[#This Row],[Net Revenue]]-OrdersTable[[#This Row],[COGS]]-OrdersTable[[#This Row],[Shipping Cost]]</f>
        <v>194.79999999999995</v>
      </c>
      <c r="Z4102" s="78">
        <f>IFERROR(OrdersTable[[#This Row],[Profit]]/OrdersTable[[#This Row],[Net Revenue]],0)</f>
        <v>0.40685045948203835</v>
      </c>
      <c r="AA4102" t="s">
        <v>4450</v>
      </c>
      <c r="AB4102" s="79">
        <v>45945</v>
      </c>
      <c r="AC4102">
        <f>OrdersTable[[#This Row],[Delivery Date]]-OrdersTable[[#This Row],[Order Date]]</f>
        <v>4</v>
      </c>
      <c r="AD4102" t="str">
        <f>IF(OrdersTable[[#This Row],[Delivery Days]]&lt;=2, "Express (≤2d)", IF(OrdersTable[[#This Row],[Delivery Days]]&lt;=4, "Standard (3-4d)", "Delayed (5d+)"))</f>
        <v>Standard (3-4d)</v>
      </c>
      <c r="AE4102">
        <v>3</v>
      </c>
      <c r="AF4102">
        <v>0</v>
      </c>
    </row>
    <row r="4103" spans="1:32" ht="15" x14ac:dyDescent="0.35">
      <c r="A4103" t="s">
        <v>871</v>
      </c>
      <c r="B4103" s="1">
        <v>45941</v>
      </c>
      <c r="C4103">
        <f>YEAR(OrdersTable[[#This Row],[Order Date]])</f>
        <v>2025</v>
      </c>
      <c r="D4103" s="2">
        <f>DATE(YEAR(OrdersTable[[#This Row],[Order Date]]),MONTH(OrdersTable[[#This Row],[Order Date]]),1)</f>
        <v>45931</v>
      </c>
      <c r="E4103">
        <f>MONTH(OrdersTable[[#This Row],[Order Date]])</f>
        <v>10</v>
      </c>
      <c r="F4103" t="s">
        <v>737</v>
      </c>
      <c r="G4103" t="str">
        <f>IF(OrdersTable[[#This Row],[Order Date]]=_xlfn.MINIFS(Order_Date, Customer_ID, OrdersTable[[#This Row],[Customer ID]]), "New", "Repeat")</f>
        <v>Repeat</v>
      </c>
      <c r="H4103" t="s">
        <v>71</v>
      </c>
      <c r="I4103" t="str">
        <f>INDEX(State!B:B,MATCH(OrdersTable[[#This Row],[State]],State!A:A,0))</f>
        <v>MH</v>
      </c>
      <c r="J4103" t="str">
        <f>INDEX(State!C:C,MATCH(OrdersTable[[#This Row],[State Code]],State!B:B,0))</f>
        <v>West</v>
      </c>
      <c r="K4103" t="s">
        <v>102</v>
      </c>
      <c r="L4103" t="s">
        <v>39</v>
      </c>
      <c r="M4103" t="s">
        <v>40</v>
      </c>
      <c r="N4103" t="str">
        <f>INDEX(Products!B:B,MATCH(OrdersTable[[#This Row],[Product ID]],Products!A:A,0))</f>
        <v>Ashwagandha Capsules</v>
      </c>
      <c r="O4103" t="str">
        <f>INDEX(Products!C:C,MATCH(OrdersTable[[#This Row],[Product ID]],Products!A:A,0))</f>
        <v>Wellness</v>
      </c>
      <c r="P4103">
        <v>1</v>
      </c>
      <c r="Q4103" s="5">
        <v>499</v>
      </c>
      <c r="R4103" s="74">
        <v>0.15</v>
      </c>
      <c r="S4103" s="75">
        <f>OrdersTable[[#This Row],[Quantity]]*OrdersTable[[#This Row],[Unit Price]]</f>
        <v>499</v>
      </c>
      <c r="T4103" s="5">
        <f>OrdersTable[[#This Row],[Gross Sale]]*OrdersTable[[#This Row],[Discount_Clean2]]</f>
        <v>74.849999999999994</v>
      </c>
      <c r="U4103" s="5">
        <f>OrdersTable[[#This Row],[Gross Sale]]-OrdersTable[[#This Row],[Discount Amount]]</f>
        <v>424.15</v>
      </c>
      <c r="V4103" s="77">
        <f>INDEX(Products!E:E,MATCH(OrdersTable[[#This Row],[Product ID]],Products!A:A,0))</f>
        <v>150</v>
      </c>
      <c r="W4103" s="77">
        <f>OrdersTable[[#This Row],[Quantity]]*OrdersTable[[#This Row],[Unit Cost]]</f>
        <v>150</v>
      </c>
      <c r="X4103" s="77">
        <f>'Dropdown Lists'!$I$2*(1+OrdersTable[[#This Row],[Returned]])</f>
        <v>60</v>
      </c>
      <c r="Y4103" s="76">
        <f>OrdersTable[[#This Row],[Net Revenue]]-OrdersTable[[#This Row],[COGS]]-OrdersTable[[#This Row],[Shipping Cost]]</f>
        <v>214.14999999999998</v>
      </c>
      <c r="Z4103" s="78">
        <f>IFERROR(OrdersTable[[#This Row],[Profit]]/OrdersTable[[#This Row],[Net Revenue]],0)</f>
        <v>0.50489213721560766</v>
      </c>
      <c r="AA4103" t="s">
        <v>18</v>
      </c>
      <c r="AB4103" s="79">
        <v>45942</v>
      </c>
      <c r="AC4103">
        <f>OrdersTable[[#This Row],[Delivery Date]]-OrdersTable[[#This Row],[Order Date]]</f>
        <v>1</v>
      </c>
      <c r="AD4103" t="str">
        <f>IF(OrdersTable[[#This Row],[Delivery Days]]&lt;=2, "Express (≤2d)", IF(OrdersTable[[#This Row],[Delivery Days]]&lt;=4, "Standard (3-4d)", "Delayed (5d+)"))</f>
        <v>Express (≤2d)</v>
      </c>
      <c r="AE4103">
        <v>4</v>
      </c>
      <c r="AF4103">
        <v>0</v>
      </c>
    </row>
    <row r="4104" spans="1:32" ht="15" x14ac:dyDescent="0.35">
      <c r="A4104" t="s">
        <v>687</v>
      </c>
      <c r="B4104" s="1">
        <v>45941</v>
      </c>
      <c r="C4104">
        <f>YEAR(OrdersTable[[#This Row],[Order Date]])</f>
        <v>2025</v>
      </c>
      <c r="D4104" s="2">
        <f>DATE(YEAR(OrdersTable[[#This Row],[Order Date]]),MONTH(OrdersTable[[#This Row],[Order Date]]),1)</f>
        <v>45931</v>
      </c>
      <c r="E4104">
        <f>MONTH(OrdersTable[[#This Row],[Order Date]])</f>
        <v>10</v>
      </c>
      <c r="F4104" t="s">
        <v>374</v>
      </c>
      <c r="G4104" t="str">
        <f>IF(OrdersTable[[#This Row],[Order Date]]=_xlfn.MINIFS(Order_Date, Customer_ID, OrdersTable[[#This Row],[Customer ID]]), "New", "Repeat")</f>
        <v>Repeat</v>
      </c>
      <c r="H4104" t="s">
        <v>71</v>
      </c>
      <c r="I4104" t="str">
        <f>INDEX(State!B:B,MATCH(OrdersTable[[#This Row],[State]],State!A:A,0))</f>
        <v>MH</v>
      </c>
      <c r="J4104" t="str">
        <f>INDEX(State!C:C,MATCH(OrdersTable[[#This Row],[State Code]],State!B:B,0))</f>
        <v>West</v>
      </c>
      <c r="K4104" t="s">
        <v>102</v>
      </c>
      <c r="L4104" t="s">
        <v>39</v>
      </c>
      <c r="M4104" t="s">
        <v>45</v>
      </c>
      <c r="N4104" t="str">
        <f>INDEX(Products!B:B,MATCH(OrdersTable[[#This Row],[Product ID]],Products!A:A,0))</f>
        <v>Argan Shampoo</v>
      </c>
      <c r="O4104" t="str">
        <f>INDEX(Products!C:C,MATCH(OrdersTable[[#This Row],[Product ID]],Products!A:A,0))</f>
        <v>Haircare</v>
      </c>
      <c r="P4104">
        <v>1</v>
      </c>
      <c r="Q4104" s="5">
        <v>449</v>
      </c>
      <c r="R4104" s="74">
        <v>0.2</v>
      </c>
      <c r="S4104" s="75">
        <f>OrdersTable[[#This Row],[Quantity]]*OrdersTable[[#This Row],[Unit Price]]</f>
        <v>449</v>
      </c>
      <c r="T4104" s="5">
        <f>OrdersTable[[#This Row],[Gross Sale]]*OrdersTable[[#This Row],[Discount_Clean2]]</f>
        <v>89.800000000000011</v>
      </c>
      <c r="U4104" s="5">
        <f>OrdersTable[[#This Row],[Gross Sale]]-OrdersTable[[#This Row],[Discount Amount]]</f>
        <v>359.2</v>
      </c>
      <c r="V4104" s="77">
        <f>INDEX(Products!E:E,MATCH(OrdersTable[[#This Row],[Product ID]],Products!A:A,0))</f>
        <v>148</v>
      </c>
      <c r="W4104" s="77">
        <f>OrdersTable[[#This Row],[Quantity]]*OrdersTable[[#This Row],[Unit Cost]]</f>
        <v>148</v>
      </c>
      <c r="X4104" s="77">
        <f>'Dropdown Lists'!$I$2*(1+OrdersTable[[#This Row],[Returned]])</f>
        <v>60</v>
      </c>
      <c r="Y4104" s="76">
        <f>OrdersTable[[#This Row],[Net Revenue]]-OrdersTable[[#This Row],[COGS]]-OrdersTable[[#This Row],[Shipping Cost]]</f>
        <v>151.19999999999999</v>
      </c>
      <c r="Z4104" s="78">
        <f>IFERROR(OrdersTable[[#This Row],[Profit]]/OrdersTable[[#This Row],[Net Revenue]],0)</f>
        <v>0.42093541202672602</v>
      </c>
      <c r="AA4104" t="s">
        <v>18</v>
      </c>
      <c r="AB4104" s="79">
        <v>45945</v>
      </c>
      <c r="AC4104">
        <f>OrdersTable[[#This Row],[Delivery Date]]-OrdersTable[[#This Row],[Order Date]]</f>
        <v>4</v>
      </c>
      <c r="AD4104" t="str">
        <f>IF(OrdersTable[[#This Row],[Delivery Days]]&lt;=2, "Express (≤2d)", IF(OrdersTable[[#This Row],[Delivery Days]]&lt;=4, "Standard (3-4d)", "Delayed (5d+)"))</f>
        <v>Standard (3-4d)</v>
      </c>
      <c r="AE4104">
        <v>4</v>
      </c>
      <c r="AF4104">
        <v>0</v>
      </c>
    </row>
    <row r="4105" spans="1:32" ht="15" x14ac:dyDescent="0.35">
      <c r="A4105" t="s">
        <v>1022</v>
      </c>
      <c r="B4105" s="1">
        <v>45941</v>
      </c>
      <c r="C4105">
        <f>YEAR(OrdersTable[[#This Row],[Order Date]])</f>
        <v>2025</v>
      </c>
      <c r="D4105" s="2">
        <f>DATE(YEAR(OrdersTable[[#This Row],[Order Date]]),MONTH(OrdersTable[[#This Row],[Order Date]]),1)</f>
        <v>45931</v>
      </c>
      <c r="E4105">
        <f>MONTH(OrdersTable[[#This Row],[Order Date]])</f>
        <v>10</v>
      </c>
      <c r="F4105" t="s">
        <v>1023</v>
      </c>
      <c r="G4105" t="str">
        <f>IF(OrdersTable[[#This Row],[Order Date]]=_xlfn.MINIFS(Order_Date, Customer_ID, OrdersTable[[#This Row],[Customer ID]]), "New", "Repeat")</f>
        <v>Repeat</v>
      </c>
      <c r="H4105" t="s">
        <v>59</v>
      </c>
      <c r="I4105" t="str">
        <f>INDEX(State!B:B,MATCH(OrdersTable[[#This Row],[State]],State!A:A,0))</f>
        <v>TN</v>
      </c>
      <c r="J4105" t="str">
        <f>INDEX(State!C:C,MATCH(OrdersTable[[#This Row],[State Code]],State!B:B,0))</f>
        <v>South</v>
      </c>
      <c r="K4105" t="s">
        <v>60</v>
      </c>
      <c r="L4105" t="s">
        <v>50</v>
      </c>
      <c r="M4105" t="s">
        <v>73</v>
      </c>
      <c r="N4105" t="str">
        <f>INDEX(Products!B:B,MATCH(OrdersTable[[#This Row],[Product ID]],Products!A:A,0))</f>
        <v>Hydrating Face Wash</v>
      </c>
      <c r="O4105" t="str">
        <f>INDEX(Products!C:C,MATCH(OrdersTable[[#This Row],[Product ID]],Products!A:A,0))</f>
        <v>Skincare</v>
      </c>
      <c r="P4105">
        <v>1</v>
      </c>
      <c r="Q4105" s="5">
        <v>299</v>
      </c>
      <c r="R4105" s="74">
        <v>0.25</v>
      </c>
      <c r="S4105" s="75">
        <f>OrdersTable[[#This Row],[Quantity]]*OrdersTable[[#This Row],[Unit Price]]</f>
        <v>299</v>
      </c>
      <c r="T4105" s="5">
        <f>OrdersTable[[#This Row],[Gross Sale]]*OrdersTable[[#This Row],[Discount_Clean2]]</f>
        <v>74.75</v>
      </c>
      <c r="U4105" s="5">
        <f>OrdersTable[[#This Row],[Gross Sale]]-OrdersTable[[#This Row],[Discount Amount]]</f>
        <v>224.25</v>
      </c>
      <c r="V4105" s="77">
        <f>INDEX(Products!E:E,MATCH(OrdersTable[[#This Row],[Product ID]],Products!A:A,0))</f>
        <v>90</v>
      </c>
      <c r="W4105" s="77">
        <f>OrdersTable[[#This Row],[Quantity]]*OrdersTable[[#This Row],[Unit Cost]]</f>
        <v>90</v>
      </c>
      <c r="X4105" s="77">
        <f>'Dropdown Lists'!$I$2*(1+OrdersTable[[#This Row],[Returned]])</f>
        <v>60</v>
      </c>
      <c r="Y4105" s="76">
        <f>OrdersTable[[#This Row],[Net Revenue]]-OrdersTable[[#This Row],[COGS]]-OrdersTable[[#This Row],[Shipping Cost]]</f>
        <v>74.25</v>
      </c>
      <c r="Z4105" s="78">
        <f>IFERROR(OrdersTable[[#This Row],[Profit]]/OrdersTable[[#This Row],[Net Revenue]],0)</f>
        <v>0.33110367892976589</v>
      </c>
      <c r="AA4105" t="s">
        <v>18</v>
      </c>
      <c r="AB4105" s="79">
        <v>45946</v>
      </c>
      <c r="AC4105">
        <f>OrdersTable[[#This Row],[Delivery Date]]-OrdersTable[[#This Row],[Order Date]]</f>
        <v>5</v>
      </c>
      <c r="AD4105" t="str">
        <f>IF(OrdersTable[[#This Row],[Delivery Days]]&lt;=2, "Express (≤2d)", IF(OrdersTable[[#This Row],[Delivery Days]]&lt;=4, "Standard (3-4d)", "Delayed (5d+)"))</f>
        <v>Delayed (5d+)</v>
      </c>
      <c r="AE4105">
        <v>4</v>
      </c>
      <c r="AF4105">
        <v>0</v>
      </c>
    </row>
    <row r="4106" spans="1:32" ht="15" x14ac:dyDescent="0.35">
      <c r="A4106" t="s">
        <v>688</v>
      </c>
      <c r="B4106" s="1">
        <v>45942</v>
      </c>
      <c r="C4106">
        <f>YEAR(OrdersTable[[#This Row],[Order Date]])</f>
        <v>2025</v>
      </c>
      <c r="D4106" s="2">
        <f>DATE(YEAR(OrdersTable[[#This Row],[Order Date]]),MONTH(OrdersTable[[#This Row],[Order Date]]),1)</f>
        <v>45931</v>
      </c>
      <c r="E4106">
        <f>MONTH(OrdersTable[[#This Row],[Order Date]])</f>
        <v>10</v>
      </c>
      <c r="F4106" t="s">
        <v>586</v>
      </c>
      <c r="G4106" t="str">
        <f>IF(OrdersTable[[#This Row],[Order Date]]=_xlfn.MINIFS(Order_Date, Customer_ID, OrdersTable[[#This Row],[Customer ID]]), "New", "Repeat")</f>
        <v>Repeat</v>
      </c>
      <c r="H4106" t="s">
        <v>54</v>
      </c>
      <c r="I4106" t="str">
        <f>INDEX(State!B:B,MATCH(OrdersTable[[#This Row],[State]],State!A:A,0))</f>
        <v>RJ</v>
      </c>
      <c r="J4106" t="str">
        <f>INDEX(State!C:C,MATCH(OrdersTable[[#This Row],[State Code]],State!B:B,0))</f>
        <v>North</v>
      </c>
      <c r="K4106" t="s">
        <v>55</v>
      </c>
      <c r="L4106" t="s">
        <v>65</v>
      </c>
      <c r="M4106" t="s">
        <v>34</v>
      </c>
      <c r="N4106" t="str">
        <f>INDEX(Products!B:B,MATCH(OrdersTable[[#This Row],[Product ID]],Products!A:A,0))</f>
        <v>Flip Flops</v>
      </c>
      <c r="O4106" t="str">
        <f>INDEX(Products!C:C,MATCH(OrdersTable[[#This Row],[Product ID]],Products!A:A,0))</f>
        <v>Footwear</v>
      </c>
      <c r="P4106">
        <v>1</v>
      </c>
      <c r="Q4106" s="5">
        <v>399</v>
      </c>
      <c r="R4106" s="74">
        <v>0.3</v>
      </c>
      <c r="S4106" s="75">
        <f>OrdersTable[[#This Row],[Quantity]]*OrdersTable[[#This Row],[Unit Price]]</f>
        <v>399</v>
      </c>
      <c r="T4106" s="5">
        <f>OrdersTable[[#This Row],[Gross Sale]]*OrdersTable[[#This Row],[Discount_Clean2]]</f>
        <v>119.69999999999999</v>
      </c>
      <c r="U4106" s="5">
        <f>OrdersTable[[#This Row],[Gross Sale]]-OrdersTable[[#This Row],[Discount Amount]]</f>
        <v>279.3</v>
      </c>
      <c r="V4106" s="77">
        <f>INDEX(Products!E:E,MATCH(OrdersTable[[#This Row],[Product ID]],Products!A:A,0))</f>
        <v>152</v>
      </c>
      <c r="W4106" s="77">
        <f>OrdersTable[[#This Row],[Quantity]]*OrdersTable[[#This Row],[Unit Cost]]</f>
        <v>152</v>
      </c>
      <c r="X4106" s="77">
        <f>'Dropdown Lists'!$I$2*(1+OrdersTable[[#This Row],[Returned]])</f>
        <v>60</v>
      </c>
      <c r="Y4106" s="76">
        <f>OrdersTable[[#This Row],[Net Revenue]]-OrdersTable[[#This Row],[COGS]]-OrdersTable[[#This Row],[Shipping Cost]]</f>
        <v>67.300000000000011</v>
      </c>
      <c r="Z4106" s="78">
        <f>IFERROR(OrdersTable[[#This Row],[Profit]]/OrdersTable[[#This Row],[Net Revenue]],0)</f>
        <v>0.24095954171142145</v>
      </c>
      <c r="AA4106" t="s">
        <v>18</v>
      </c>
      <c r="AB4106" s="79">
        <v>45947</v>
      </c>
      <c r="AC4106">
        <f>OrdersTable[[#This Row],[Delivery Date]]-OrdersTable[[#This Row],[Order Date]]</f>
        <v>5</v>
      </c>
      <c r="AD4106" t="str">
        <f>IF(OrdersTable[[#This Row],[Delivery Days]]&lt;=2, "Express (≤2d)", IF(OrdersTable[[#This Row],[Delivery Days]]&lt;=4, "Standard (3-4d)", "Delayed (5d+)"))</f>
        <v>Delayed (5d+)</v>
      </c>
      <c r="AE4106">
        <v>4</v>
      </c>
      <c r="AF4106">
        <v>0</v>
      </c>
    </row>
    <row r="4107" spans="1:32" ht="15" x14ac:dyDescent="0.35">
      <c r="A4107" t="s">
        <v>4186</v>
      </c>
      <c r="B4107" s="1">
        <v>45942</v>
      </c>
      <c r="C4107">
        <f>YEAR(OrdersTable[[#This Row],[Order Date]])</f>
        <v>2025</v>
      </c>
      <c r="D4107" s="2">
        <f>DATE(YEAR(OrdersTable[[#This Row],[Order Date]]),MONTH(OrdersTable[[#This Row],[Order Date]]),1)</f>
        <v>45931</v>
      </c>
      <c r="E4107">
        <f>MONTH(OrdersTable[[#This Row],[Order Date]])</f>
        <v>10</v>
      </c>
      <c r="F4107" t="s">
        <v>4187</v>
      </c>
      <c r="G4107" t="str">
        <f>IF(OrdersTable[[#This Row],[Order Date]]=_xlfn.MINIFS(Order_Date, Customer_ID, OrdersTable[[#This Row],[Customer ID]]), "New", "Repeat")</f>
        <v>New</v>
      </c>
      <c r="H4107" t="s">
        <v>48</v>
      </c>
      <c r="I4107" t="str">
        <f>INDEX(State!B:B,MATCH(OrdersTable[[#This Row],[State]],State!A:A,0))</f>
        <v>HR</v>
      </c>
      <c r="J4107" t="str">
        <f>INDEX(State!C:C,MATCH(OrdersTable[[#This Row],[State Code]],State!B:B,0))</f>
        <v>North</v>
      </c>
      <c r="K4107" t="s">
        <v>49</v>
      </c>
      <c r="L4107" t="s">
        <v>65</v>
      </c>
      <c r="M4107" t="s">
        <v>56</v>
      </c>
      <c r="N4107" t="str">
        <f>INDEX(Products!B:B,MATCH(OrdersTable[[#This Row],[Product ID]],Products!A:A,0))</f>
        <v>Vitamin C Face Serum</v>
      </c>
      <c r="O4107" t="str">
        <f>INDEX(Products!C:C,MATCH(OrdersTable[[#This Row],[Product ID]],Products!A:A,0))</f>
        <v>Skincare</v>
      </c>
      <c r="P4107">
        <v>1</v>
      </c>
      <c r="Q4107" s="5">
        <v>599</v>
      </c>
      <c r="R4107" s="74">
        <v>0.2</v>
      </c>
      <c r="S4107" s="75">
        <f>OrdersTable[[#This Row],[Quantity]]*OrdersTable[[#This Row],[Unit Price]]</f>
        <v>599</v>
      </c>
      <c r="T4107" s="5">
        <f>OrdersTable[[#This Row],[Gross Sale]]*OrdersTable[[#This Row],[Discount_Clean2]]</f>
        <v>119.80000000000001</v>
      </c>
      <c r="U4107" s="5">
        <f>OrdersTable[[#This Row],[Gross Sale]]-OrdersTable[[#This Row],[Discount Amount]]</f>
        <v>479.2</v>
      </c>
      <c r="V4107" s="77">
        <f>INDEX(Products!E:E,MATCH(OrdersTable[[#This Row],[Product ID]],Products!A:A,0))</f>
        <v>180</v>
      </c>
      <c r="W4107" s="77">
        <f>OrdersTable[[#This Row],[Quantity]]*OrdersTable[[#This Row],[Unit Cost]]</f>
        <v>180</v>
      </c>
      <c r="X4107" s="77">
        <f>'Dropdown Lists'!$I$2*(1+OrdersTable[[#This Row],[Returned]])</f>
        <v>60</v>
      </c>
      <c r="Y4107" s="76">
        <f>OrdersTable[[#This Row],[Net Revenue]]-OrdersTable[[#This Row],[COGS]]-OrdersTable[[#This Row],[Shipping Cost]]</f>
        <v>239.2</v>
      </c>
      <c r="Z4107" s="78">
        <f>IFERROR(OrdersTable[[#This Row],[Profit]]/OrdersTable[[#This Row],[Net Revenue]],0)</f>
        <v>0.4991652754590985</v>
      </c>
      <c r="AA4107" t="s">
        <v>4074</v>
      </c>
      <c r="AB4107" s="79">
        <v>45945</v>
      </c>
      <c r="AC4107">
        <f>OrdersTable[[#This Row],[Delivery Date]]-OrdersTable[[#This Row],[Order Date]]</f>
        <v>3</v>
      </c>
      <c r="AD4107" t="str">
        <f>IF(OrdersTable[[#This Row],[Delivery Days]]&lt;=2, "Express (≤2d)", IF(OrdersTable[[#This Row],[Delivery Days]]&lt;=4, "Standard (3-4d)", "Delayed (5d+)"))</f>
        <v>Standard (3-4d)</v>
      </c>
      <c r="AE4107">
        <v>3</v>
      </c>
      <c r="AF4107">
        <v>0</v>
      </c>
    </row>
    <row r="4108" spans="1:32" ht="15" x14ac:dyDescent="0.35">
      <c r="A4108" t="s">
        <v>872</v>
      </c>
      <c r="B4108" s="1">
        <v>45942</v>
      </c>
      <c r="C4108">
        <f>YEAR(OrdersTable[[#This Row],[Order Date]])</f>
        <v>2025</v>
      </c>
      <c r="D4108" s="2">
        <f>DATE(YEAR(OrdersTable[[#This Row],[Order Date]]),MONTH(OrdersTable[[#This Row],[Order Date]]),1)</f>
        <v>45931</v>
      </c>
      <c r="E4108">
        <f>MONTH(OrdersTable[[#This Row],[Order Date]])</f>
        <v>10</v>
      </c>
      <c r="F4108" t="s">
        <v>344</v>
      </c>
      <c r="G4108" t="str">
        <f>IF(OrdersTable[[#This Row],[Order Date]]=_xlfn.MINIFS(Order_Date, Customer_ID, OrdersTable[[#This Row],[Customer ID]]), "New", "Repeat")</f>
        <v>Repeat</v>
      </c>
      <c r="H4108" t="s">
        <v>128</v>
      </c>
      <c r="I4108" t="str">
        <f>INDEX(State!B:B,MATCH(OrdersTable[[#This Row],[State]],State!A:A,0))</f>
        <v>DL</v>
      </c>
      <c r="J4108" t="str">
        <f>INDEX(State!C:C,MATCH(OrdersTable[[#This Row],[State Code]],State!B:B,0))</f>
        <v>North</v>
      </c>
      <c r="K4108" t="s">
        <v>129</v>
      </c>
      <c r="L4108" t="s">
        <v>39</v>
      </c>
      <c r="M4108" t="s">
        <v>45</v>
      </c>
      <c r="N4108" t="str">
        <f>INDEX(Products!B:B,MATCH(OrdersTable[[#This Row],[Product ID]],Products!A:A,0))</f>
        <v>Argan Shampoo</v>
      </c>
      <c r="O4108" t="str">
        <f>INDEX(Products!C:C,MATCH(OrdersTable[[#This Row],[Product ID]],Products!A:A,0))</f>
        <v>Haircare</v>
      </c>
      <c r="P4108">
        <v>1</v>
      </c>
      <c r="Q4108" s="5">
        <v>449</v>
      </c>
      <c r="R4108" s="74">
        <v>0.3</v>
      </c>
      <c r="S4108" s="75">
        <f>OrdersTable[[#This Row],[Quantity]]*OrdersTable[[#This Row],[Unit Price]]</f>
        <v>449</v>
      </c>
      <c r="T4108" s="5">
        <f>OrdersTable[[#This Row],[Gross Sale]]*OrdersTable[[#This Row],[Discount_Clean2]]</f>
        <v>134.69999999999999</v>
      </c>
      <c r="U4108" s="5">
        <f>OrdersTable[[#This Row],[Gross Sale]]-OrdersTable[[#This Row],[Discount Amount]]</f>
        <v>314.3</v>
      </c>
      <c r="V4108" s="77">
        <f>INDEX(Products!E:E,MATCH(OrdersTable[[#This Row],[Product ID]],Products!A:A,0))</f>
        <v>148</v>
      </c>
      <c r="W4108" s="77">
        <f>OrdersTable[[#This Row],[Quantity]]*OrdersTable[[#This Row],[Unit Cost]]</f>
        <v>148</v>
      </c>
      <c r="X4108" s="77">
        <f>'Dropdown Lists'!$I$2*(1+OrdersTable[[#This Row],[Returned]])</f>
        <v>60</v>
      </c>
      <c r="Y4108" s="76">
        <f>OrdersTable[[#This Row],[Net Revenue]]-OrdersTable[[#This Row],[COGS]]-OrdersTable[[#This Row],[Shipping Cost]]</f>
        <v>106.30000000000001</v>
      </c>
      <c r="Z4108" s="78">
        <f>IFERROR(OrdersTable[[#This Row],[Profit]]/OrdersTable[[#This Row],[Net Revenue]],0)</f>
        <v>0.33821189945911551</v>
      </c>
      <c r="AA4108" t="s">
        <v>18</v>
      </c>
      <c r="AB4108" s="79">
        <v>45943</v>
      </c>
      <c r="AC4108">
        <f>OrdersTable[[#This Row],[Delivery Date]]-OrdersTable[[#This Row],[Order Date]]</f>
        <v>1</v>
      </c>
      <c r="AD4108" t="str">
        <f>IF(OrdersTable[[#This Row],[Delivery Days]]&lt;=2, "Express (≤2d)", IF(OrdersTable[[#This Row],[Delivery Days]]&lt;=4, "Standard (3-4d)", "Delayed (5d+)"))</f>
        <v>Express (≤2d)</v>
      </c>
      <c r="AE4108">
        <v>4</v>
      </c>
      <c r="AF4108">
        <v>0</v>
      </c>
    </row>
    <row r="4109" spans="1:32" ht="15" x14ac:dyDescent="0.35">
      <c r="A4109" t="s">
        <v>5243</v>
      </c>
      <c r="B4109" s="1">
        <v>45942</v>
      </c>
      <c r="C4109">
        <f>YEAR(OrdersTable[[#This Row],[Order Date]])</f>
        <v>2025</v>
      </c>
      <c r="D4109" s="2">
        <f>DATE(YEAR(OrdersTable[[#This Row],[Order Date]]),MONTH(OrdersTable[[#This Row],[Order Date]]),1)</f>
        <v>45931</v>
      </c>
      <c r="E4109">
        <f>MONTH(OrdersTable[[#This Row],[Order Date]])</f>
        <v>10</v>
      </c>
      <c r="F4109" t="s">
        <v>2049</v>
      </c>
      <c r="G4109" t="str">
        <f>IF(OrdersTable[[#This Row],[Order Date]]=_xlfn.MINIFS(Order_Date, Customer_ID, OrdersTable[[#This Row],[Customer ID]]), "New", "Repeat")</f>
        <v>Repeat</v>
      </c>
      <c r="H4109" t="s">
        <v>32</v>
      </c>
      <c r="I4109" t="str">
        <f>INDEX(State!B:B,MATCH(OrdersTable[[#This Row],[State]],State!A:A,0))</f>
        <v>BR</v>
      </c>
      <c r="J4109" t="str">
        <f>INDEX(State!C:C,MATCH(OrdersTable[[#This Row],[State Code]],State!B:B,0))</f>
        <v>East</v>
      </c>
      <c r="K4109" t="s">
        <v>33</v>
      </c>
      <c r="L4109" t="s">
        <v>65</v>
      </c>
      <c r="M4109" t="s">
        <v>24</v>
      </c>
      <c r="N4109" t="str">
        <f>INDEX(Products!B:B,MATCH(OrdersTable[[#This Row],[Product ID]],Products!A:A,0))</f>
        <v>Scented Candle Set</v>
      </c>
      <c r="O4109" t="str">
        <f>INDEX(Products!C:C,MATCH(OrdersTable[[#This Row],[Product ID]],Products!A:A,0))</f>
        <v>Home &amp; Kitchen</v>
      </c>
      <c r="P4109">
        <v>2</v>
      </c>
      <c r="Q4109" s="5">
        <v>699</v>
      </c>
      <c r="R4109" s="74">
        <v>0.4</v>
      </c>
      <c r="S4109" s="75">
        <f>OrdersTable[[#This Row],[Quantity]]*OrdersTable[[#This Row],[Unit Price]]</f>
        <v>1398</v>
      </c>
      <c r="T4109" s="5">
        <f>OrdersTable[[#This Row],[Gross Sale]]*OrdersTable[[#This Row],[Discount_Clean2]]</f>
        <v>559.20000000000005</v>
      </c>
      <c r="U4109" s="5">
        <f>OrdersTable[[#This Row],[Gross Sale]]-OrdersTable[[#This Row],[Discount Amount]]</f>
        <v>838.8</v>
      </c>
      <c r="V4109" s="77">
        <f>INDEX(Products!E:E,MATCH(OrdersTable[[#This Row],[Product ID]],Products!A:A,0))</f>
        <v>245</v>
      </c>
      <c r="W4109" s="77">
        <f>OrdersTable[[#This Row],[Quantity]]*OrdersTable[[#This Row],[Unit Cost]]</f>
        <v>490</v>
      </c>
      <c r="X4109" s="77">
        <f>'Dropdown Lists'!$I$2*(1+OrdersTable[[#This Row],[Returned]])</f>
        <v>60</v>
      </c>
      <c r="Y4109" s="76">
        <f>OrdersTable[[#This Row],[Net Revenue]]-OrdersTable[[#This Row],[COGS]]-OrdersTable[[#This Row],[Shipping Cost]]</f>
        <v>288.79999999999995</v>
      </c>
      <c r="Z4109" s="78">
        <f>IFERROR(OrdersTable[[#This Row],[Profit]]/OrdersTable[[#This Row],[Net Revenue]],0)</f>
        <v>0.34430138292799234</v>
      </c>
      <c r="AA4109" t="s">
        <v>3495</v>
      </c>
      <c r="AB4109" s="79">
        <v>45945</v>
      </c>
      <c r="AC4109">
        <f>OrdersTable[[#This Row],[Delivery Date]]-OrdersTable[[#This Row],[Order Date]]</f>
        <v>3</v>
      </c>
      <c r="AD4109" t="str">
        <f>IF(OrdersTable[[#This Row],[Delivery Days]]&lt;=2, "Express (≤2d)", IF(OrdersTable[[#This Row],[Delivery Days]]&lt;=4, "Standard (3-4d)", "Delayed (5d+)"))</f>
        <v>Standard (3-4d)</v>
      </c>
      <c r="AE4109">
        <v>4</v>
      </c>
      <c r="AF4109">
        <v>0</v>
      </c>
    </row>
    <row r="4110" spans="1:32" ht="15" x14ac:dyDescent="0.35">
      <c r="A4110" t="s">
        <v>6210</v>
      </c>
      <c r="B4110" s="1">
        <v>45942</v>
      </c>
      <c r="C4110">
        <f>YEAR(OrdersTable[[#This Row],[Order Date]])</f>
        <v>2025</v>
      </c>
      <c r="D4110" s="2">
        <f>DATE(YEAR(OrdersTable[[#This Row],[Order Date]]),MONTH(OrdersTable[[#This Row],[Order Date]]),1)</f>
        <v>45931</v>
      </c>
      <c r="E4110">
        <f>MONTH(OrdersTable[[#This Row],[Order Date]])</f>
        <v>10</v>
      </c>
      <c r="F4110" t="s">
        <v>6211</v>
      </c>
      <c r="G4110" t="str">
        <f>IF(OrdersTable[[#This Row],[Order Date]]=_xlfn.MINIFS(Order_Date, Customer_ID, OrdersTable[[#This Row],[Customer ID]]), "New", "Repeat")</f>
        <v>New</v>
      </c>
      <c r="H4110" t="s">
        <v>37</v>
      </c>
      <c r="I4110" t="str">
        <f>INDEX(State!B:B,MATCH(OrdersTable[[#This Row],[State]],State!A:A,0))</f>
        <v>GJ</v>
      </c>
      <c r="J4110" t="str">
        <f>INDEX(State!C:C,MATCH(OrdersTable[[#This Row],[State Code]],State!B:B,0))</f>
        <v>West</v>
      </c>
      <c r="K4110" t="s">
        <v>247</v>
      </c>
      <c r="L4110" t="s">
        <v>16</v>
      </c>
      <c r="M4110" t="s">
        <v>205</v>
      </c>
      <c r="N4110" t="str">
        <f>INDEX(Products!B:B,MATCH(OrdersTable[[#This Row],[Product ID]],Products!A:A,0))</f>
        <v>Running Shoes</v>
      </c>
      <c r="O4110" t="str">
        <f>INDEX(Products!C:C,MATCH(OrdersTable[[#This Row],[Product ID]],Products!A:A,0))</f>
        <v>Footwear</v>
      </c>
      <c r="P4110">
        <v>2</v>
      </c>
      <c r="Q4110" s="5">
        <v>2999</v>
      </c>
      <c r="R4110" s="74">
        <v>0.35</v>
      </c>
      <c r="S4110" s="75">
        <f>OrdersTable[[#This Row],[Quantity]]*OrdersTable[[#This Row],[Unit Price]]</f>
        <v>5998</v>
      </c>
      <c r="T4110" s="5">
        <f>OrdersTable[[#This Row],[Gross Sale]]*OrdersTable[[#This Row],[Discount_Clean2]]</f>
        <v>2099.2999999999997</v>
      </c>
      <c r="U4110" s="5">
        <f>OrdersTable[[#This Row],[Gross Sale]]-OrdersTable[[#This Row],[Discount Amount]]</f>
        <v>3898.7000000000003</v>
      </c>
      <c r="V4110" s="77">
        <f>INDEX(Products!E:E,MATCH(OrdersTable[[#This Row],[Product ID]],Products!A:A,0))</f>
        <v>1440</v>
      </c>
      <c r="W4110" s="77">
        <f>OrdersTable[[#This Row],[Quantity]]*OrdersTable[[#This Row],[Unit Cost]]</f>
        <v>2880</v>
      </c>
      <c r="X4110" s="77">
        <f>'Dropdown Lists'!$I$2*(1+OrdersTable[[#This Row],[Returned]])</f>
        <v>60</v>
      </c>
      <c r="Y4110" s="76">
        <f>OrdersTable[[#This Row],[Net Revenue]]-OrdersTable[[#This Row],[COGS]]-OrdersTable[[#This Row],[Shipping Cost]]</f>
        <v>958.70000000000027</v>
      </c>
      <c r="Z4110" s="78">
        <f>IFERROR(OrdersTable[[#This Row],[Profit]]/OrdersTable[[#This Row],[Net Revenue]],0)</f>
        <v>0.24590248031395084</v>
      </c>
      <c r="AA4110" t="s">
        <v>18</v>
      </c>
      <c r="AB4110" s="79">
        <v>45946</v>
      </c>
      <c r="AC4110">
        <f>OrdersTable[[#This Row],[Delivery Date]]-OrdersTable[[#This Row],[Order Date]]</f>
        <v>4</v>
      </c>
      <c r="AD4110" t="str">
        <f>IF(OrdersTable[[#This Row],[Delivery Days]]&lt;=2, "Express (≤2d)", IF(OrdersTable[[#This Row],[Delivery Days]]&lt;=4, "Standard (3-4d)", "Delayed (5d+)"))</f>
        <v>Standard (3-4d)</v>
      </c>
      <c r="AE4110">
        <v>4</v>
      </c>
      <c r="AF4110">
        <v>0</v>
      </c>
    </row>
    <row r="4111" spans="1:32" ht="15" x14ac:dyDescent="0.35">
      <c r="A4111" t="s">
        <v>3352</v>
      </c>
      <c r="B4111" s="1">
        <v>45942</v>
      </c>
      <c r="C4111">
        <f>YEAR(OrdersTable[[#This Row],[Order Date]])</f>
        <v>2025</v>
      </c>
      <c r="D4111" s="2">
        <f>DATE(YEAR(OrdersTable[[#This Row],[Order Date]]),MONTH(OrdersTable[[#This Row],[Order Date]]),1)</f>
        <v>45931</v>
      </c>
      <c r="E4111">
        <f>MONTH(OrdersTable[[#This Row],[Order Date]])</f>
        <v>10</v>
      </c>
      <c r="F4111" t="s">
        <v>3353</v>
      </c>
      <c r="G4111" t="str">
        <f>IF(OrdersTable[[#This Row],[Order Date]]=_xlfn.MINIFS(Order_Date, Customer_ID, OrdersTable[[#This Row],[Customer ID]]), "New", "Repeat")</f>
        <v>Repeat</v>
      </c>
      <c r="H4111" t="s">
        <v>37</v>
      </c>
      <c r="I4111" t="str">
        <f>INDEX(State!B:B,MATCH(OrdersTable[[#This Row],[State]],State!A:A,0))</f>
        <v>GJ</v>
      </c>
      <c r="J4111" t="str">
        <f>INDEX(State!C:C,MATCH(OrdersTable[[#This Row],[State Code]],State!B:B,0))</f>
        <v>West</v>
      </c>
      <c r="K4111" t="s">
        <v>247</v>
      </c>
      <c r="L4111" t="s">
        <v>23</v>
      </c>
      <c r="M4111" t="s">
        <v>84</v>
      </c>
      <c r="N4111" t="str">
        <f>INDEX(Products!B:B,MATCH(OrdersTable[[#This Row],[Product ID]],Products!A:A,0))</f>
        <v>Cotton Bedsheet</v>
      </c>
      <c r="O4111" t="str">
        <f>INDEX(Products!C:C,MATCH(OrdersTable[[#This Row],[Product ID]],Products!A:A,0))</f>
        <v>Home &amp; Kitchen</v>
      </c>
      <c r="P4111">
        <v>1</v>
      </c>
      <c r="Q4111" s="5">
        <v>1299</v>
      </c>
      <c r="R4111" s="74">
        <v>0.05</v>
      </c>
      <c r="S4111" s="75">
        <f>OrdersTable[[#This Row],[Quantity]]*OrdersTable[[#This Row],[Unit Price]]</f>
        <v>1299</v>
      </c>
      <c r="T4111" s="5">
        <f>OrdersTable[[#This Row],[Gross Sale]]*OrdersTable[[#This Row],[Discount_Clean2]]</f>
        <v>64.95</v>
      </c>
      <c r="U4111" s="5">
        <f>OrdersTable[[#This Row],[Gross Sale]]-OrdersTable[[#This Row],[Discount Amount]]</f>
        <v>1234.05</v>
      </c>
      <c r="V4111" s="77">
        <f>INDEX(Products!E:E,MATCH(OrdersTable[[#This Row],[Product ID]],Products!A:A,0))</f>
        <v>585</v>
      </c>
      <c r="W4111" s="77">
        <f>OrdersTable[[#This Row],[Quantity]]*OrdersTable[[#This Row],[Unit Cost]]</f>
        <v>585</v>
      </c>
      <c r="X4111" s="77">
        <f>'Dropdown Lists'!$I$2*(1+OrdersTable[[#This Row],[Returned]])</f>
        <v>60</v>
      </c>
      <c r="Y4111" s="76">
        <f>OrdersTable[[#This Row],[Net Revenue]]-OrdersTable[[#This Row],[COGS]]-OrdersTable[[#This Row],[Shipping Cost]]</f>
        <v>589.04999999999995</v>
      </c>
      <c r="Z4111" s="78">
        <f>IFERROR(OrdersTable[[#This Row],[Profit]]/OrdersTable[[#This Row],[Net Revenue]],0)</f>
        <v>0.47733074024553296</v>
      </c>
      <c r="AA4111" t="s">
        <v>2522</v>
      </c>
      <c r="AB4111" s="79">
        <v>45944</v>
      </c>
      <c r="AC4111">
        <f>OrdersTable[[#This Row],[Delivery Date]]-OrdersTable[[#This Row],[Order Date]]</f>
        <v>2</v>
      </c>
      <c r="AD4111" t="str">
        <f>IF(OrdersTable[[#This Row],[Delivery Days]]&lt;=2, "Express (≤2d)", IF(OrdersTable[[#This Row],[Delivery Days]]&lt;=4, "Standard (3-4d)", "Delayed (5d+)"))</f>
        <v>Express (≤2d)</v>
      </c>
      <c r="AE4111">
        <v>4</v>
      </c>
      <c r="AF4111">
        <v>0</v>
      </c>
    </row>
    <row r="4112" spans="1:32" ht="15" x14ac:dyDescent="0.35">
      <c r="A4112" t="s">
        <v>5548</v>
      </c>
      <c r="B4112" s="1">
        <v>45942</v>
      </c>
      <c r="C4112">
        <f>YEAR(OrdersTable[[#This Row],[Order Date]])</f>
        <v>2025</v>
      </c>
      <c r="D4112" s="2">
        <f>DATE(YEAR(OrdersTable[[#This Row],[Order Date]]),MONTH(OrdersTable[[#This Row],[Order Date]]),1)</f>
        <v>45931</v>
      </c>
      <c r="E4112">
        <f>MONTH(OrdersTable[[#This Row],[Order Date]])</f>
        <v>10</v>
      </c>
      <c r="F4112" t="s">
        <v>3280</v>
      </c>
      <c r="G4112" t="str">
        <f>IF(OrdersTable[[#This Row],[Order Date]]=_xlfn.MINIFS(Order_Date, Customer_ID, OrdersTable[[#This Row],[Customer ID]]), "New", "Repeat")</f>
        <v>Repeat</v>
      </c>
      <c r="H4112" t="s">
        <v>27</v>
      </c>
      <c r="I4112" t="str">
        <f>INDEX(State!B:B,MATCH(OrdersTable[[#This Row],[State]],State!A:A,0))</f>
        <v>WB</v>
      </c>
      <c r="J4112" t="str">
        <f>INDEX(State!C:C,MATCH(OrdersTable[[#This Row],[State Code]],State!B:B,0))</f>
        <v>East</v>
      </c>
      <c r="K4112" t="s">
        <v>28</v>
      </c>
      <c r="L4112" t="s">
        <v>65</v>
      </c>
      <c r="M4112" t="s">
        <v>61</v>
      </c>
      <c r="N4112" t="str">
        <f>INDEX(Products!B:B,MATCH(OrdersTable[[#This Row],[Product ID]],Products!A:A,0))</f>
        <v>Multivitamin Gummies</v>
      </c>
      <c r="O4112" t="str">
        <f>INDEX(Products!C:C,MATCH(OrdersTable[[#This Row],[Product ID]],Products!A:A,0))</f>
        <v>Wellness</v>
      </c>
      <c r="P4112">
        <v>2</v>
      </c>
      <c r="Q4112" s="5">
        <v>699</v>
      </c>
      <c r="R4112" s="74">
        <v>0.35</v>
      </c>
      <c r="S4112" s="75">
        <f>OrdersTable[[#This Row],[Quantity]]*OrdersTable[[#This Row],[Unit Price]]</f>
        <v>1398</v>
      </c>
      <c r="T4112" s="5">
        <f>OrdersTable[[#This Row],[Gross Sale]]*OrdersTable[[#This Row],[Discount_Clean2]]</f>
        <v>489.29999999999995</v>
      </c>
      <c r="U4112" s="5">
        <f>OrdersTable[[#This Row],[Gross Sale]]-OrdersTable[[#This Row],[Discount Amount]]</f>
        <v>908.7</v>
      </c>
      <c r="V4112" s="77">
        <f>INDEX(Products!E:E,MATCH(OrdersTable[[#This Row],[Product ID]],Products!A:A,0))</f>
        <v>238</v>
      </c>
      <c r="W4112" s="77">
        <f>OrdersTable[[#This Row],[Quantity]]*OrdersTable[[#This Row],[Unit Cost]]</f>
        <v>476</v>
      </c>
      <c r="X4112" s="77">
        <f>'Dropdown Lists'!$I$2*(1+OrdersTable[[#This Row],[Returned]])</f>
        <v>60</v>
      </c>
      <c r="Y4112" s="76">
        <f>OrdersTable[[#This Row],[Net Revenue]]-OrdersTable[[#This Row],[COGS]]-OrdersTable[[#This Row],[Shipping Cost]]</f>
        <v>372.70000000000005</v>
      </c>
      <c r="Z4112" s="78">
        <f>IFERROR(OrdersTable[[#This Row],[Profit]]/OrdersTable[[#This Row],[Net Revenue]],0)</f>
        <v>0.41014636293606255</v>
      </c>
      <c r="AA4112" t="s">
        <v>2522</v>
      </c>
      <c r="AB4112" s="79">
        <v>45945</v>
      </c>
      <c r="AC4112">
        <f>OrdersTable[[#This Row],[Delivery Date]]-OrdersTable[[#This Row],[Order Date]]</f>
        <v>3</v>
      </c>
      <c r="AD4112" t="str">
        <f>IF(OrdersTable[[#This Row],[Delivery Days]]&lt;=2, "Express (≤2d)", IF(OrdersTable[[#This Row],[Delivery Days]]&lt;=4, "Standard (3-4d)", "Delayed (5d+)"))</f>
        <v>Standard (3-4d)</v>
      </c>
      <c r="AE4112">
        <v>4</v>
      </c>
      <c r="AF4112">
        <v>0</v>
      </c>
    </row>
    <row r="4113" spans="1:32" ht="15" x14ac:dyDescent="0.35">
      <c r="A4113" t="s">
        <v>873</v>
      </c>
      <c r="B4113" s="1">
        <v>45942</v>
      </c>
      <c r="C4113">
        <f>YEAR(OrdersTable[[#This Row],[Order Date]])</f>
        <v>2025</v>
      </c>
      <c r="D4113" s="2">
        <f>DATE(YEAR(OrdersTable[[#This Row],[Order Date]]),MONTH(OrdersTable[[#This Row],[Order Date]]),1)</f>
        <v>45931</v>
      </c>
      <c r="E4113">
        <f>MONTH(OrdersTable[[#This Row],[Order Date]])</f>
        <v>10</v>
      </c>
      <c r="F4113" t="s">
        <v>874</v>
      </c>
      <c r="G4113" t="str">
        <f>IF(OrdersTable[[#This Row],[Order Date]]=_xlfn.MINIFS(Order_Date, Customer_ID, OrdersTable[[#This Row],[Customer ID]]), "New", "Repeat")</f>
        <v>Repeat</v>
      </c>
      <c r="H4113" t="s">
        <v>27</v>
      </c>
      <c r="I4113" t="str">
        <f>INDEX(State!B:B,MATCH(OrdersTable[[#This Row],[State]],State!A:A,0))</f>
        <v>WB</v>
      </c>
      <c r="J4113" t="str">
        <f>INDEX(State!C:C,MATCH(OrdersTable[[#This Row],[State Code]],State!B:B,0))</f>
        <v>East</v>
      </c>
      <c r="K4113" t="s">
        <v>28</v>
      </c>
      <c r="L4113" t="s">
        <v>16</v>
      </c>
      <c r="M4113" t="s">
        <v>34</v>
      </c>
      <c r="N4113" t="str">
        <f>INDEX(Products!B:B,MATCH(OrdersTable[[#This Row],[Product ID]],Products!A:A,0))</f>
        <v>Flip Flops</v>
      </c>
      <c r="O4113" t="str">
        <f>INDEX(Products!C:C,MATCH(OrdersTable[[#This Row],[Product ID]],Products!A:A,0))</f>
        <v>Footwear</v>
      </c>
      <c r="P4113">
        <v>1</v>
      </c>
      <c r="Q4113" s="5">
        <v>399</v>
      </c>
      <c r="R4113" s="74">
        <v>0.2</v>
      </c>
      <c r="S4113" s="75">
        <f>OrdersTable[[#This Row],[Quantity]]*OrdersTable[[#This Row],[Unit Price]]</f>
        <v>399</v>
      </c>
      <c r="T4113" s="5">
        <f>OrdersTable[[#This Row],[Gross Sale]]*OrdersTable[[#This Row],[Discount_Clean2]]</f>
        <v>79.800000000000011</v>
      </c>
      <c r="U4113" s="5">
        <f>OrdersTable[[#This Row],[Gross Sale]]-OrdersTable[[#This Row],[Discount Amount]]</f>
        <v>319.2</v>
      </c>
      <c r="V4113" s="77">
        <f>INDEX(Products!E:E,MATCH(OrdersTable[[#This Row],[Product ID]],Products!A:A,0))</f>
        <v>152</v>
      </c>
      <c r="W4113" s="77">
        <f>OrdersTable[[#This Row],[Quantity]]*OrdersTable[[#This Row],[Unit Cost]]</f>
        <v>152</v>
      </c>
      <c r="X4113" s="77">
        <f>'Dropdown Lists'!$I$2*(1+OrdersTable[[#This Row],[Returned]])</f>
        <v>60</v>
      </c>
      <c r="Y4113" s="76">
        <f>OrdersTable[[#This Row],[Net Revenue]]-OrdersTable[[#This Row],[COGS]]-OrdersTable[[#This Row],[Shipping Cost]]</f>
        <v>107.19999999999999</v>
      </c>
      <c r="Z4113" s="78">
        <f>IFERROR(OrdersTable[[#This Row],[Profit]]/OrdersTable[[#This Row],[Net Revenue]],0)</f>
        <v>0.33583959899749372</v>
      </c>
      <c r="AA4113" t="s">
        <v>18</v>
      </c>
      <c r="AB4113" s="79">
        <v>45945</v>
      </c>
      <c r="AC4113">
        <f>OrdersTable[[#This Row],[Delivery Date]]-OrdersTable[[#This Row],[Order Date]]</f>
        <v>3</v>
      </c>
      <c r="AD4113" t="str">
        <f>IF(OrdersTable[[#This Row],[Delivery Days]]&lt;=2, "Express (≤2d)", IF(OrdersTable[[#This Row],[Delivery Days]]&lt;=4, "Standard (3-4d)", "Delayed (5d+)"))</f>
        <v>Standard (3-4d)</v>
      </c>
      <c r="AE4113">
        <v>4</v>
      </c>
      <c r="AF4113">
        <v>0</v>
      </c>
    </row>
    <row r="4114" spans="1:32" ht="15" x14ac:dyDescent="0.35">
      <c r="A4114" t="s">
        <v>689</v>
      </c>
      <c r="B4114" s="1">
        <v>45942</v>
      </c>
      <c r="C4114">
        <f>YEAR(OrdersTable[[#This Row],[Order Date]])</f>
        <v>2025</v>
      </c>
      <c r="D4114" s="2">
        <f>DATE(YEAR(OrdersTable[[#This Row],[Order Date]]),MONTH(OrdersTable[[#This Row],[Order Date]]),1)</f>
        <v>45931</v>
      </c>
      <c r="E4114">
        <f>MONTH(OrdersTable[[#This Row],[Order Date]])</f>
        <v>10</v>
      </c>
      <c r="F4114" t="s">
        <v>690</v>
      </c>
      <c r="G4114" t="str">
        <f>IF(OrdersTable[[#This Row],[Order Date]]=_xlfn.MINIFS(Order_Date, Customer_ID, OrdersTable[[#This Row],[Customer ID]]), "New", "Repeat")</f>
        <v>Repeat</v>
      </c>
      <c r="H4114" t="s">
        <v>71</v>
      </c>
      <c r="I4114" t="str">
        <f>INDEX(State!B:B,MATCH(OrdersTable[[#This Row],[State]],State!A:A,0))</f>
        <v>MH</v>
      </c>
      <c r="J4114" t="str">
        <f>INDEX(State!C:C,MATCH(OrdersTable[[#This Row],[State Code]],State!B:B,0))</f>
        <v>West</v>
      </c>
      <c r="K4114" t="s">
        <v>81</v>
      </c>
      <c r="L4114" t="s">
        <v>39</v>
      </c>
      <c r="M4114" t="s">
        <v>106</v>
      </c>
      <c r="N4114" t="str">
        <f>INDEX(Products!B:B,MATCH(OrdersTable[[#This Row],[Product ID]],Products!A:A,0))</f>
        <v>Keratin Hair Mask</v>
      </c>
      <c r="O4114" t="str">
        <f>INDEX(Products!C:C,MATCH(OrdersTable[[#This Row],[Product ID]],Products!A:A,0))</f>
        <v>Haircare</v>
      </c>
      <c r="P4114">
        <v>1</v>
      </c>
      <c r="Q4114" s="5">
        <v>549</v>
      </c>
      <c r="R4114" s="74">
        <v>0.25</v>
      </c>
      <c r="S4114" s="75">
        <f>OrdersTable[[#This Row],[Quantity]]*OrdersTable[[#This Row],[Unit Price]]</f>
        <v>549</v>
      </c>
      <c r="T4114" s="5">
        <f>OrdersTable[[#This Row],[Gross Sale]]*OrdersTable[[#This Row],[Discount_Clean2]]</f>
        <v>137.25</v>
      </c>
      <c r="U4114" s="5">
        <f>OrdersTable[[#This Row],[Gross Sale]]-OrdersTable[[#This Row],[Discount Amount]]</f>
        <v>411.75</v>
      </c>
      <c r="V4114" s="77">
        <f>INDEX(Products!E:E,MATCH(OrdersTable[[#This Row],[Product ID]],Products!A:A,0))</f>
        <v>170</v>
      </c>
      <c r="W4114" s="77">
        <f>OrdersTable[[#This Row],[Quantity]]*OrdersTable[[#This Row],[Unit Cost]]</f>
        <v>170</v>
      </c>
      <c r="X4114" s="77">
        <f>'Dropdown Lists'!$I$2*(1+OrdersTable[[#This Row],[Returned]])</f>
        <v>60</v>
      </c>
      <c r="Y4114" s="76">
        <f>OrdersTable[[#This Row],[Net Revenue]]-OrdersTable[[#This Row],[COGS]]-OrdersTable[[#This Row],[Shipping Cost]]</f>
        <v>181.75</v>
      </c>
      <c r="Z4114" s="78">
        <f>IFERROR(OrdersTable[[#This Row],[Profit]]/OrdersTable[[#This Row],[Net Revenue]],0)</f>
        <v>0.44140862173649059</v>
      </c>
      <c r="AA4114" t="s">
        <v>18</v>
      </c>
      <c r="AB4114" s="79">
        <v>45945</v>
      </c>
      <c r="AC4114">
        <f>OrdersTable[[#This Row],[Delivery Date]]-OrdersTable[[#This Row],[Order Date]]</f>
        <v>3</v>
      </c>
      <c r="AD4114" t="str">
        <f>IF(OrdersTable[[#This Row],[Delivery Days]]&lt;=2, "Express (≤2d)", IF(OrdersTable[[#This Row],[Delivery Days]]&lt;=4, "Standard (3-4d)", "Delayed (5d+)"))</f>
        <v>Standard (3-4d)</v>
      </c>
      <c r="AE4114">
        <v>4</v>
      </c>
      <c r="AF4114">
        <v>0</v>
      </c>
    </row>
    <row r="4115" spans="1:32" ht="15" x14ac:dyDescent="0.35">
      <c r="A4115" t="s">
        <v>6631</v>
      </c>
      <c r="B4115" s="1">
        <v>45942</v>
      </c>
      <c r="C4115">
        <f>YEAR(OrdersTable[[#This Row],[Order Date]])</f>
        <v>2025</v>
      </c>
      <c r="D4115" s="2">
        <f>DATE(YEAR(OrdersTable[[#This Row],[Order Date]]),MONTH(OrdersTable[[#This Row],[Order Date]]),1)</f>
        <v>45931</v>
      </c>
      <c r="E4115">
        <f>MONTH(OrdersTable[[#This Row],[Order Date]])</f>
        <v>10</v>
      </c>
      <c r="F4115" t="s">
        <v>3353</v>
      </c>
      <c r="G4115" t="str">
        <f>IF(OrdersTable[[#This Row],[Order Date]]=_xlfn.MINIFS(Order_Date, Customer_ID, OrdersTable[[#This Row],[Customer ID]]), "New", "Repeat")</f>
        <v>Repeat</v>
      </c>
      <c r="H4115" t="s">
        <v>71</v>
      </c>
      <c r="I4115" t="str">
        <f>INDEX(State!B:B,MATCH(OrdersTable[[#This Row],[State]],State!A:A,0))</f>
        <v>MH</v>
      </c>
      <c r="J4115" t="str">
        <f>INDEX(State!C:C,MATCH(OrdersTable[[#This Row],[State Code]],State!B:B,0))</f>
        <v>West</v>
      </c>
      <c r="K4115" t="s">
        <v>81</v>
      </c>
      <c r="L4115" t="s">
        <v>65</v>
      </c>
      <c r="M4115" t="s">
        <v>423</v>
      </c>
      <c r="N4115" t="str">
        <f>INDEX(Products!B:B,MATCH(OrdersTable[[#This Row],[Product ID]],Products!A:A,0))</f>
        <v>Power Bank 20000mAh</v>
      </c>
      <c r="O4115" t="str">
        <f>INDEX(Products!C:C,MATCH(OrdersTable[[#This Row],[Product ID]],Products!A:A,0))</f>
        <v>Electronics</v>
      </c>
      <c r="P4115">
        <v>3</v>
      </c>
      <c r="Q4115" s="5">
        <v>1799</v>
      </c>
      <c r="R4115" s="74">
        <v>0.45</v>
      </c>
      <c r="S4115" s="75">
        <f>OrdersTable[[#This Row],[Quantity]]*OrdersTable[[#This Row],[Unit Price]]</f>
        <v>5397</v>
      </c>
      <c r="T4115" s="5">
        <f>OrdersTable[[#This Row],[Gross Sale]]*OrdersTable[[#This Row],[Discount_Clean2]]</f>
        <v>2428.65</v>
      </c>
      <c r="U4115" s="5">
        <f>OrdersTable[[#This Row],[Gross Sale]]-OrdersTable[[#This Row],[Discount Amount]]</f>
        <v>2968.35</v>
      </c>
      <c r="V4115" s="77">
        <f>INDEX(Products!E:E,MATCH(OrdersTable[[#This Row],[Product ID]],Products!A:A,0))</f>
        <v>1079</v>
      </c>
      <c r="W4115" s="77">
        <f>OrdersTable[[#This Row],[Quantity]]*OrdersTable[[#This Row],[Unit Cost]]</f>
        <v>3237</v>
      </c>
      <c r="X4115" s="77">
        <f>'Dropdown Lists'!$I$2*(1+OrdersTable[[#This Row],[Returned]])</f>
        <v>60</v>
      </c>
      <c r="Y4115" s="76">
        <f>OrdersTable[[#This Row],[Net Revenue]]-OrdersTable[[#This Row],[COGS]]-OrdersTable[[#This Row],[Shipping Cost]]</f>
        <v>-328.65000000000009</v>
      </c>
      <c r="Z4115" s="78">
        <f>IFERROR(OrdersTable[[#This Row],[Profit]]/OrdersTable[[#This Row],[Net Revenue]],0)</f>
        <v>-0.11071807569862048</v>
      </c>
      <c r="AA4115" t="s">
        <v>18</v>
      </c>
      <c r="AB4115" s="79">
        <v>45945</v>
      </c>
      <c r="AC4115">
        <f>OrdersTable[[#This Row],[Delivery Date]]-OrdersTable[[#This Row],[Order Date]]</f>
        <v>3</v>
      </c>
      <c r="AD4115" t="str">
        <f>IF(OrdersTable[[#This Row],[Delivery Days]]&lt;=2, "Express (≤2d)", IF(OrdersTable[[#This Row],[Delivery Days]]&lt;=4, "Standard (3-4d)", "Delayed (5d+)"))</f>
        <v>Standard (3-4d)</v>
      </c>
      <c r="AE4115">
        <v>4</v>
      </c>
      <c r="AF4115">
        <v>0</v>
      </c>
    </row>
    <row r="4116" spans="1:32" ht="15" x14ac:dyDescent="0.35">
      <c r="A4116" t="s">
        <v>1595</v>
      </c>
      <c r="B4116" s="1">
        <v>45942</v>
      </c>
      <c r="C4116">
        <f>YEAR(OrdersTable[[#This Row],[Order Date]])</f>
        <v>2025</v>
      </c>
      <c r="D4116" s="2">
        <f>DATE(YEAR(OrdersTable[[#This Row],[Order Date]]),MONTH(OrdersTable[[#This Row],[Order Date]]),1)</f>
        <v>45931</v>
      </c>
      <c r="E4116">
        <f>MONTH(OrdersTable[[#This Row],[Order Date]])</f>
        <v>10</v>
      </c>
      <c r="F4116" t="s">
        <v>1596</v>
      </c>
      <c r="G4116" t="str">
        <f>IF(OrdersTable[[#This Row],[Order Date]]=_xlfn.MINIFS(Order_Date, Customer_ID, OrdersTable[[#This Row],[Customer ID]]), "New", "Repeat")</f>
        <v>Repeat</v>
      </c>
      <c r="H4116" t="s">
        <v>71</v>
      </c>
      <c r="I4116" t="str">
        <f>INDEX(State!B:B,MATCH(OrdersTable[[#This Row],[State]],State!A:A,0))</f>
        <v>MH</v>
      </c>
      <c r="J4116" t="str">
        <f>INDEX(State!C:C,MATCH(OrdersTable[[#This Row],[State Code]],State!B:B,0))</f>
        <v>West</v>
      </c>
      <c r="K4116" t="s">
        <v>72</v>
      </c>
      <c r="L4116" t="s">
        <v>39</v>
      </c>
      <c r="M4116" t="s">
        <v>160</v>
      </c>
      <c r="N4116" t="str">
        <f>INDEX(Products!B:B,MATCH(OrdersTable[[#This Row],[Product ID]],Products!A:A,0))</f>
        <v>Niacinamide Toner</v>
      </c>
      <c r="O4116" t="str">
        <f>INDEX(Products!C:C,MATCH(OrdersTable[[#This Row],[Product ID]],Products!A:A,0))</f>
        <v>Skincare</v>
      </c>
      <c r="P4116">
        <v>1</v>
      </c>
      <c r="Q4116" s="5">
        <v>399</v>
      </c>
      <c r="R4116" s="74">
        <v>0.25</v>
      </c>
      <c r="S4116" s="75">
        <f>OrdersTable[[#This Row],[Quantity]]*OrdersTable[[#This Row],[Unit Price]]</f>
        <v>399</v>
      </c>
      <c r="T4116" s="5">
        <f>OrdersTable[[#This Row],[Gross Sale]]*OrdersTable[[#This Row],[Discount_Clean2]]</f>
        <v>99.75</v>
      </c>
      <c r="U4116" s="5">
        <f>OrdersTable[[#This Row],[Gross Sale]]-OrdersTable[[#This Row],[Discount Amount]]</f>
        <v>299.25</v>
      </c>
      <c r="V4116" s="77">
        <f>INDEX(Products!E:E,MATCH(OrdersTable[[#This Row],[Product ID]],Products!A:A,0))</f>
        <v>112</v>
      </c>
      <c r="W4116" s="77">
        <f>OrdersTable[[#This Row],[Quantity]]*OrdersTable[[#This Row],[Unit Cost]]</f>
        <v>112</v>
      </c>
      <c r="X4116" s="77">
        <f>'Dropdown Lists'!$I$2*(1+OrdersTable[[#This Row],[Returned]])</f>
        <v>60</v>
      </c>
      <c r="Y4116" s="76">
        <f>OrdersTable[[#This Row],[Net Revenue]]-OrdersTable[[#This Row],[COGS]]-OrdersTable[[#This Row],[Shipping Cost]]</f>
        <v>127.25</v>
      </c>
      <c r="Z4116" s="78">
        <f>IFERROR(OrdersTable[[#This Row],[Profit]]/OrdersTable[[#This Row],[Net Revenue]],0)</f>
        <v>0.42522974101921468</v>
      </c>
      <c r="AA4116" t="s">
        <v>18</v>
      </c>
      <c r="AB4116" s="79">
        <v>45944</v>
      </c>
      <c r="AC4116">
        <f>OrdersTable[[#This Row],[Delivery Date]]-OrdersTable[[#This Row],[Order Date]]</f>
        <v>2</v>
      </c>
      <c r="AD4116" t="str">
        <f>IF(OrdersTable[[#This Row],[Delivery Days]]&lt;=2, "Express (≤2d)", IF(OrdersTable[[#This Row],[Delivery Days]]&lt;=4, "Standard (3-4d)", "Delayed (5d+)"))</f>
        <v>Express (≤2d)</v>
      </c>
      <c r="AF4116">
        <v>0</v>
      </c>
    </row>
    <row r="4117" spans="1:32" ht="15" x14ac:dyDescent="0.35">
      <c r="A4117" t="s">
        <v>691</v>
      </c>
      <c r="B4117" s="1">
        <v>45942</v>
      </c>
      <c r="C4117">
        <f>YEAR(OrdersTable[[#This Row],[Order Date]])</f>
        <v>2025</v>
      </c>
      <c r="D4117" s="2">
        <f>DATE(YEAR(OrdersTable[[#This Row],[Order Date]]),MONTH(OrdersTable[[#This Row],[Order Date]]),1)</f>
        <v>45931</v>
      </c>
      <c r="E4117">
        <f>MONTH(OrdersTable[[#This Row],[Order Date]])</f>
        <v>10</v>
      </c>
      <c r="F4117" t="s">
        <v>692</v>
      </c>
      <c r="G4117" t="str">
        <f>IF(OrdersTable[[#This Row],[Order Date]]=_xlfn.MINIFS(Order_Date, Customer_ID, OrdersTable[[#This Row],[Customer ID]]), "New", "Repeat")</f>
        <v>New</v>
      </c>
      <c r="H4117" t="s">
        <v>71</v>
      </c>
      <c r="I4117" t="str">
        <f>INDEX(State!B:B,MATCH(OrdersTable[[#This Row],[State]],State!A:A,0))</f>
        <v>MH</v>
      </c>
      <c r="J4117" t="str">
        <f>INDEX(State!C:C,MATCH(OrdersTable[[#This Row],[State Code]],State!B:B,0))</f>
        <v>West</v>
      </c>
      <c r="K4117" t="s">
        <v>102</v>
      </c>
      <c r="L4117" t="s">
        <v>65</v>
      </c>
      <c r="M4117" t="s">
        <v>92</v>
      </c>
      <c r="N4117" t="str">
        <f>INDEX(Products!B:B,MATCH(OrdersTable[[#This Row],[Product ID]],Products!A:A,0))</f>
        <v>Kolhapuri Sandals</v>
      </c>
      <c r="O4117" t="str">
        <f>INDEX(Products!C:C,MATCH(OrdersTable[[#This Row],[Product ID]],Products!A:A,0))</f>
        <v>Footwear</v>
      </c>
      <c r="P4117">
        <v>1</v>
      </c>
      <c r="Q4117" s="5">
        <v>999</v>
      </c>
      <c r="R4117" s="74">
        <v>0.1</v>
      </c>
      <c r="S4117" s="75">
        <f>OrdersTable[[#This Row],[Quantity]]*OrdersTable[[#This Row],[Unit Price]]</f>
        <v>999</v>
      </c>
      <c r="T4117" s="5">
        <f>OrdersTable[[#This Row],[Gross Sale]]*OrdersTable[[#This Row],[Discount_Clean2]]</f>
        <v>99.9</v>
      </c>
      <c r="U4117" s="5">
        <f>OrdersTable[[#This Row],[Gross Sale]]-OrdersTable[[#This Row],[Discount Amount]]</f>
        <v>899.1</v>
      </c>
      <c r="V4117" s="77">
        <f>INDEX(Products!E:E,MATCH(OrdersTable[[#This Row],[Product ID]],Products!A:A,0))</f>
        <v>400</v>
      </c>
      <c r="W4117" s="77">
        <f>OrdersTable[[#This Row],[Quantity]]*OrdersTable[[#This Row],[Unit Cost]]</f>
        <v>400</v>
      </c>
      <c r="X4117" s="77">
        <f>'Dropdown Lists'!$I$2*(1+OrdersTable[[#This Row],[Returned]])</f>
        <v>60</v>
      </c>
      <c r="Y4117" s="76">
        <f>OrdersTable[[#This Row],[Net Revenue]]-OrdersTable[[#This Row],[COGS]]-OrdersTable[[#This Row],[Shipping Cost]]</f>
        <v>439.1</v>
      </c>
      <c r="Z4117" s="78">
        <f>IFERROR(OrdersTable[[#This Row],[Profit]]/OrdersTable[[#This Row],[Net Revenue]],0)</f>
        <v>0.48837726615504395</v>
      </c>
      <c r="AA4117" t="s">
        <v>18</v>
      </c>
      <c r="AB4117" s="79">
        <v>45944</v>
      </c>
      <c r="AC4117">
        <f>OrdersTable[[#This Row],[Delivery Date]]-OrdersTable[[#This Row],[Order Date]]</f>
        <v>2</v>
      </c>
      <c r="AD4117" t="str">
        <f>IF(OrdersTable[[#This Row],[Delivery Days]]&lt;=2, "Express (≤2d)", IF(OrdersTable[[#This Row],[Delivery Days]]&lt;=4, "Standard (3-4d)", "Delayed (5d+)"))</f>
        <v>Express (≤2d)</v>
      </c>
      <c r="AE4117">
        <v>4</v>
      </c>
      <c r="AF4117">
        <v>0</v>
      </c>
    </row>
    <row r="4118" spans="1:32" ht="15" x14ac:dyDescent="0.35">
      <c r="A4118" t="s">
        <v>5244</v>
      </c>
      <c r="B4118" s="1">
        <v>45942</v>
      </c>
      <c r="C4118">
        <f>YEAR(OrdersTable[[#This Row],[Order Date]])</f>
        <v>2025</v>
      </c>
      <c r="D4118" s="2">
        <f>DATE(YEAR(OrdersTable[[#This Row],[Order Date]]),MONTH(OrdersTable[[#This Row],[Order Date]]),1)</f>
        <v>45931</v>
      </c>
      <c r="E4118">
        <f>MONTH(OrdersTable[[#This Row],[Order Date]])</f>
        <v>10</v>
      </c>
      <c r="F4118" t="s">
        <v>1243</v>
      </c>
      <c r="G4118" t="str">
        <f>IF(OrdersTable[[#This Row],[Order Date]]=_xlfn.MINIFS(Order_Date, Customer_ID, OrdersTable[[#This Row],[Customer ID]]), "New", "Repeat")</f>
        <v>Repeat</v>
      </c>
      <c r="H4118" t="s">
        <v>71</v>
      </c>
      <c r="I4118" t="str">
        <f>INDEX(State!B:B,MATCH(OrdersTable[[#This Row],[State]],State!A:A,0))</f>
        <v>MH</v>
      </c>
      <c r="J4118" t="str">
        <f>INDEX(State!C:C,MATCH(OrdersTable[[#This Row],[State Code]],State!B:B,0))</f>
        <v>West</v>
      </c>
      <c r="K4118" t="s">
        <v>81</v>
      </c>
      <c r="L4118" t="s">
        <v>39</v>
      </c>
      <c r="M4118" t="s">
        <v>45</v>
      </c>
      <c r="N4118" t="str">
        <f>INDEX(Products!B:B,MATCH(OrdersTable[[#This Row],[Product ID]],Products!A:A,0))</f>
        <v>Argan Shampoo</v>
      </c>
      <c r="O4118" t="str">
        <f>INDEX(Products!C:C,MATCH(OrdersTable[[#This Row],[Product ID]],Products!A:A,0))</f>
        <v>Haircare</v>
      </c>
      <c r="P4118">
        <v>2</v>
      </c>
      <c r="Q4118" s="5">
        <v>449</v>
      </c>
      <c r="R4118" s="74">
        <v>0.05</v>
      </c>
      <c r="S4118" s="75">
        <f>OrdersTable[[#This Row],[Quantity]]*OrdersTable[[#This Row],[Unit Price]]</f>
        <v>898</v>
      </c>
      <c r="T4118" s="5">
        <f>OrdersTable[[#This Row],[Gross Sale]]*OrdersTable[[#This Row],[Discount_Clean2]]</f>
        <v>44.900000000000006</v>
      </c>
      <c r="U4118" s="5">
        <f>OrdersTable[[#This Row],[Gross Sale]]-OrdersTable[[#This Row],[Discount Amount]]</f>
        <v>853.1</v>
      </c>
      <c r="V4118" s="77">
        <f>INDEX(Products!E:E,MATCH(OrdersTable[[#This Row],[Product ID]],Products!A:A,0))</f>
        <v>148</v>
      </c>
      <c r="W4118" s="77">
        <f>OrdersTable[[#This Row],[Quantity]]*OrdersTable[[#This Row],[Unit Cost]]</f>
        <v>296</v>
      </c>
      <c r="X4118" s="77">
        <f>'Dropdown Lists'!$I$2*(1+OrdersTable[[#This Row],[Returned]])</f>
        <v>60</v>
      </c>
      <c r="Y4118" s="76">
        <f>OrdersTable[[#This Row],[Net Revenue]]-OrdersTable[[#This Row],[COGS]]-OrdersTable[[#This Row],[Shipping Cost]]</f>
        <v>497.1</v>
      </c>
      <c r="Z4118" s="78">
        <f>IFERROR(OrdersTable[[#This Row],[Profit]]/OrdersTable[[#This Row],[Net Revenue]],0)</f>
        <v>0.58269839409213453</v>
      </c>
      <c r="AA4118" t="s">
        <v>3495</v>
      </c>
      <c r="AB4118" s="79">
        <v>45946</v>
      </c>
      <c r="AC4118">
        <f>OrdersTable[[#This Row],[Delivery Date]]-OrdersTable[[#This Row],[Order Date]]</f>
        <v>4</v>
      </c>
      <c r="AD4118" t="str">
        <f>IF(OrdersTable[[#This Row],[Delivery Days]]&lt;=2, "Express (≤2d)", IF(OrdersTable[[#This Row],[Delivery Days]]&lt;=4, "Standard (3-4d)", "Delayed (5d+)"))</f>
        <v>Standard (3-4d)</v>
      </c>
      <c r="AE4118">
        <v>4</v>
      </c>
      <c r="AF4118">
        <v>0</v>
      </c>
    </row>
    <row r="4119" spans="1:32" ht="15" x14ac:dyDescent="0.35">
      <c r="A4119" t="s">
        <v>3813</v>
      </c>
      <c r="B4119" s="1">
        <v>45942</v>
      </c>
      <c r="C4119">
        <f>YEAR(OrdersTable[[#This Row],[Order Date]])</f>
        <v>2025</v>
      </c>
      <c r="D4119" s="2">
        <f>DATE(YEAR(OrdersTable[[#This Row],[Order Date]]),MONTH(OrdersTable[[#This Row],[Order Date]]),1)</f>
        <v>45931</v>
      </c>
      <c r="E4119">
        <f>MONTH(OrdersTable[[#This Row],[Order Date]])</f>
        <v>10</v>
      </c>
      <c r="F4119" t="s">
        <v>615</v>
      </c>
      <c r="G4119" t="str">
        <f>IF(OrdersTable[[#This Row],[Order Date]]=_xlfn.MINIFS(Order_Date, Customer_ID, OrdersTable[[#This Row],[Customer ID]]), "New", "Repeat")</f>
        <v>Repeat</v>
      </c>
      <c r="H4119" t="s">
        <v>95</v>
      </c>
      <c r="I4119" t="str">
        <f>INDEX(State!B:B,MATCH(OrdersTable[[#This Row],[State]],State!A:A,0))</f>
        <v>TG</v>
      </c>
      <c r="J4119" t="str">
        <f>INDEX(State!C:C,MATCH(OrdersTable[[#This Row],[State Code]],State!B:B,0))</f>
        <v>South</v>
      </c>
      <c r="K4119" t="s">
        <v>96</v>
      </c>
      <c r="L4119" t="s">
        <v>23</v>
      </c>
      <c r="M4119" t="s">
        <v>56</v>
      </c>
      <c r="N4119" t="str">
        <f>INDEX(Products!B:B,MATCH(OrdersTable[[#This Row],[Product ID]],Products!A:A,0))</f>
        <v>Vitamin C Face Serum</v>
      </c>
      <c r="O4119" t="str">
        <f>INDEX(Products!C:C,MATCH(OrdersTable[[#This Row],[Product ID]],Products!A:A,0))</f>
        <v>Skincare</v>
      </c>
      <c r="P4119">
        <v>1</v>
      </c>
      <c r="Q4119" s="5">
        <v>599</v>
      </c>
      <c r="R4119" s="74">
        <v>0.2</v>
      </c>
      <c r="S4119" s="75">
        <f>OrdersTable[[#This Row],[Quantity]]*OrdersTable[[#This Row],[Unit Price]]</f>
        <v>599</v>
      </c>
      <c r="T4119" s="5">
        <f>OrdersTable[[#This Row],[Gross Sale]]*OrdersTable[[#This Row],[Discount_Clean2]]</f>
        <v>119.80000000000001</v>
      </c>
      <c r="U4119" s="5">
        <f>OrdersTable[[#This Row],[Gross Sale]]-OrdersTable[[#This Row],[Discount Amount]]</f>
        <v>479.2</v>
      </c>
      <c r="V4119" s="77">
        <f>INDEX(Products!E:E,MATCH(OrdersTable[[#This Row],[Product ID]],Products!A:A,0))</f>
        <v>180</v>
      </c>
      <c r="W4119" s="77">
        <f>OrdersTable[[#This Row],[Quantity]]*OrdersTable[[#This Row],[Unit Cost]]</f>
        <v>180</v>
      </c>
      <c r="X4119" s="77">
        <f>'Dropdown Lists'!$I$2*(1+OrdersTable[[#This Row],[Returned]])</f>
        <v>60</v>
      </c>
      <c r="Y4119" s="76">
        <f>OrdersTable[[#This Row],[Net Revenue]]-OrdersTable[[#This Row],[COGS]]-OrdersTable[[#This Row],[Shipping Cost]]</f>
        <v>239.2</v>
      </c>
      <c r="Z4119" s="78">
        <f>IFERROR(OrdersTable[[#This Row],[Profit]]/OrdersTable[[#This Row],[Net Revenue]],0)</f>
        <v>0.4991652754590985</v>
      </c>
      <c r="AA4119" t="s">
        <v>3495</v>
      </c>
      <c r="AB4119" s="79">
        <v>45943</v>
      </c>
      <c r="AC4119">
        <f>OrdersTable[[#This Row],[Delivery Date]]-OrdersTable[[#This Row],[Order Date]]</f>
        <v>1</v>
      </c>
      <c r="AD4119" t="str">
        <f>IF(OrdersTable[[#This Row],[Delivery Days]]&lt;=2, "Express (≤2d)", IF(OrdersTable[[#This Row],[Delivery Days]]&lt;=4, "Standard (3-4d)", "Delayed (5d+)"))</f>
        <v>Express (≤2d)</v>
      </c>
      <c r="AF4119">
        <v>0</v>
      </c>
    </row>
    <row r="4120" spans="1:32" ht="15" x14ac:dyDescent="0.35">
      <c r="A4120" t="s">
        <v>6733</v>
      </c>
      <c r="B4120" s="1">
        <v>45942</v>
      </c>
      <c r="C4120">
        <f>YEAR(OrdersTable[[#This Row],[Order Date]])</f>
        <v>2025</v>
      </c>
      <c r="D4120" s="2">
        <f>DATE(YEAR(OrdersTable[[#This Row],[Order Date]]),MONTH(OrdersTable[[#This Row],[Order Date]]),1)</f>
        <v>45931</v>
      </c>
      <c r="E4120">
        <f>MONTH(OrdersTable[[#This Row],[Order Date]])</f>
        <v>10</v>
      </c>
      <c r="F4120" t="s">
        <v>2056</v>
      </c>
      <c r="G4120" t="str">
        <f>IF(OrdersTable[[#This Row],[Order Date]]=_xlfn.MINIFS(Order_Date, Customer_ID, OrdersTable[[#This Row],[Customer ID]]), "New", "Repeat")</f>
        <v>Repeat</v>
      </c>
      <c r="H4120" t="s">
        <v>95</v>
      </c>
      <c r="I4120" t="str">
        <f>INDEX(State!B:B,MATCH(OrdersTable[[#This Row],[State]],State!A:A,0))</f>
        <v>TG</v>
      </c>
      <c r="J4120" t="str">
        <f>INDEX(State!C:C,MATCH(OrdersTable[[#This Row],[State Code]],State!B:B,0))</f>
        <v>South</v>
      </c>
      <c r="K4120" t="s">
        <v>96</v>
      </c>
      <c r="L4120" t="s">
        <v>50</v>
      </c>
      <c r="M4120" t="s">
        <v>51</v>
      </c>
      <c r="N4120" t="str">
        <f>INDEX(Products!B:B,MATCH(OrdersTable[[#This Row],[Product ID]],Products!A:A,0))</f>
        <v>Anti-Dandruff Conditioner</v>
      </c>
      <c r="O4120" t="str">
        <f>INDEX(Products!C:C,MATCH(OrdersTable[[#This Row],[Product ID]],Products!A:A,0))</f>
        <v>Haircare</v>
      </c>
      <c r="P4120">
        <v>3</v>
      </c>
      <c r="Q4120" s="5">
        <v>399</v>
      </c>
      <c r="R4120" s="74">
        <v>0.45</v>
      </c>
      <c r="S4120" s="75">
        <f>OrdersTable[[#This Row],[Quantity]]*OrdersTable[[#This Row],[Unit Price]]</f>
        <v>1197</v>
      </c>
      <c r="T4120" s="5">
        <f>OrdersTable[[#This Row],[Gross Sale]]*OrdersTable[[#This Row],[Discount_Clean2]]</f>
        <v>538.65</v>
      </c>
      <c r="U4120" s="5">
        <f>OrdersTable[[#This Row],[Gross Sale]]-OrdersTable[[#This Row],[Discount Amount]]</f>
        <v>658.35</v>
      </c>
      <c r="V4120" s="77">
        <f>INDEX(Products!E:E,MATCH(OrdersTable[[#This Row],[Product ID]],Products!A:A,0))</f>
        <v>136</v>
      </c>
      <c r="W4120" s="77">
        <f>OrdersTable[[#This Row],[Quantity]]*OrdersTable[[#This Row],[Unit Cost]]</f>
        <v>408</v>
      </c>
      <c r="X4120" s="77">
        <f>'Dropdown Lists'!$I$2*(1+OrdersTable[[#This Row],[Returned]])</f>
        <v>120</v>
      </c>
      <c r="Y4120" s="76">
        <f>OrdersTable[[#This Row],[Net Revenue]]-OrdersTable[[#This Row],[COGS]]-OrdersTable[[#This Row],[Shipping Cost]]</f>
        <v>130.35000000000002</v>
      </c>
      <c r="Z4120" s="78">
        <f>IFERROR(OrdersTable[[#This Row],[Profit]]/OrdersTable[[#This Row],[Net Revenue]],0)</f>
        <v>0.1979949874686717</v>
      </c>
      <c r="AA4120" t="s">
        <v>2522</v>
      </c>
      <c r="AB4120" s="79">
        <v>45944</v>
      </c>
      <c r="AC4120">
        <f>OrdersTable[[#This Row],[Delivery Date]]-OrdersTable[[#This Row],[Order Date]]</f>
        <v>2</v>
      </c>
      <c r="AD4120" t="str">
        <f>IF(OrdersTable[[#This Row],[Delivery Days]]&lt;=2, "Express (≤2d)", IF(OrdersTable[[#This Row],[Delivery Days]]&lt;=4, "Standard (3-4d)", "Delayed (5d+)"))</f>
        <v>Express (≤2d)</v>
      </c>
      <c r="AE4120">
        <v>4</v>
      </c>
      <c r="AF4120">
        <v>1</v>
      </c>
    </row>
    <row r="4121" spans="1:32" ht="15" x14ac:dyDescent="0.35">
      <c r="A4121" t="s">
        <v>5549</v>
      </c>
      <c r="B4121" s="1">
        <v>45942</v>
      </c>
      <c r="C4121">
        <f>YEAR(OrdersTable[[#This Row],[Order Date]])</f>
        <v>2025</v>
      </c>
      <c r="D4121" s="2">
        <f>DATE(YEAR(OrdersTable[[#This Row],[Order Date]]),MONTH(OrdersTable[[#This Row],[Order Date]]),1)</f>
        <v>45931</v>
      </c>
      <c r="E4121">
        <f>MONTH(OrdersTable[[#This Row],[Order Date]])</f>
        <v>10</v>
      </c>
      <c r="F4121" t="s">
        <v>1073</v>
      </c>
      <c r="G4121" t="str">
        <f>IF(OrdersTable[[#This Row],[Order Date]]=_xlfn.MINIFS(Order_Date, Customer_ID, OrdersTable[[#This Row],[Customer ID]]), "New", "Repeat")</f>
        <v>Repeat</v>
      </c>
      <c r="H4121" t="s">
        <v>90</v>
      </c>
      <c r="I4121" t="str">
        <f>INDEX(State!B:B,MATCH(OrdersTable[[#This Row],[State]],State!A:A,0))</f>
        <v>GA</v>
      </c>
      <c r="J4121" t="str">
        <f>INDEX(State!C:C,MATCH(OrdersTable[[#This Row],[State Code]],State!B:B,0))</f>
        <v>West</v>
      </c>
      <c r="K4121" t="s">
        <v>91</v>
      </c>
      <c r="L4121" t="s">
        <v>50</v>
      </c>
      <c r="M4121" t="s">
        <v>56</v>
      </c>
      <c r="N4121" t="str">
        <f>INDEX(Products!B:B,MATCH(OrdersTable[[#This Row],[Product ID]],Products!A:A,0))</f>
        <v>Vitamin C Face Serum</v>
      </c>
      <c r="O4121" t="str">
        <f>INDEX(Products!C:C,MATCH(OrdersTable[[#This Row],[Product ID]],Products!A:A,0))</f>
        <v>Skincare</v>
      </c>
      <c r="P4121">
        <v>2</v>
      </c>
      <c r="Q4121" s="5">
        <v>599</v>
      </c>
      <c r="R4121" s="74">
        <v>0.35</v>
      </c>
      <c r="S4121" s="75">
        <f>OrdersTable[[#This Row],[Quantity]]*OrdersTable[[#This Row],[Unit Price]]</f>
        <v>1198</v>
      </c>
      <c r="T4121" s="5">
        <f>OrdersTable[[#This Row],[Gross Sale]]*OrdersTable[[#This Row],[Discount_Clean2]]</f>
        <v>419.29999999999995</v>
      </c>
      <c r="U4121" s="5">
        <f>OrdersTable[[#This Row],[Gross Sale]]-OrdersTable[[#This Row],[Discount Amount]]</f>
        <v>778.7</v>
      </c>
      <c r="V4121" s="77">
        <f>INDEX(Products!E:E,MATCH(OrdersTable[[#This Row],[Product ID]],Products!A:A,0))</f>
        <v>180</v>
      </c>
      <c r="W4121" s="77">
        <f>OrdersTable[[#This Row],[Quantity]]*OrdersTable[[#This Row],[Unit Cost]]</f>
        <v>360</v>
      </c>
      <c r="X4121" s="77">
        <f>'Dropdown Lists'!$I$2*(1+OrdersTable[[#This Row],[Returned]])</f>
        <v>60</v>
      </c>
      <c r="Y4121" s="76">
        <f>OrdersTable[[#This Row],[Net Revenue]]-OrdersTable[[#This Row],[COGS]]-OrdersTable[[#This Row],[Shipping Cost]]</f>
        <v>358.70000000000005</v>
      </c>
      <c r="Z4121" s="78">
        <f>IFERROR(OrdersTable[[#This Row],[Profit]]/OrdersTable[[#This Row],[Net Revenue]],0)</f>
        <v>0.4606395274174907</v>
      </c>
      <c r="AA4121" t="s">
        <v>2522</v>
      </c>
      <c r="AB4121" s="79">
        <v>45945</v>
      </c>
      <c r="AC4121">
        <f>OrdersTable[[#This Row],[Delivery Date]]-OrdersTable[[#This Row],[Order Date]]</f>
        <v>3</v>
      </c>
      <c r="AD4121" t="str">
        <f>IF(OrdersTable[[#This Row],[Delivery Days]]&lt;=2, "Express (≤2d)", IF(OrdersTable[[#This Row],[Delivery Days]]&lt;=4, "Standard (3-4d)", "Delayed (5d+)"))</f>
        <v>Standard (3-4d)</v>
      </c>
      <c r="AE4121">
        <v>4</v>
      </c>
      <c r="AF4121">
        <v>0</v>
      </c>
    </row>
    <row r="4122" spans="1:32" ht="15" x14ac:dyDescent="0.35">
      <c r="A4122" t="s">
        <v>6632</v>
      </c>
      <c r="B4122" s="1">
        <v>45942</v>
      </c>
      <c r="C4122">
        <f>YEAR(OrdersTable[[#This Row],[Order Date]])</f>
        <v>2025</v>
      </c>
      <c r="D4122" s="2">
        <f>DATE(YEAR(OrdersTable[[#This Row],[Order Date]]),MONTH(OrdersTable[[#This Row],[Order Date]]),1)</f>
        <v>45931</v>
      </c>
      <c r="E4122">
        <f>MONTH(OrdersTable[[#This Row],[Order Date]])</f>
        <v>10</v>
      </c>
      <c r="F4122" t="s">
        <v>36</v>
      </c>
      <c r="G4122" t="str">
        <f>IF(OrdersTable[[#This Row],[Order Date]]=_xlfn.MINIFS(Order_Date, Customer_ID, OrdersTable[[#This Row],[Customer ID]]), "New", "Repeat")</f>
        <v>Repeat</v>
      </c>
      <c r="H4122" t="s">
        <v>167</v>
      </c>
      <c r="I4122" t="str">
        <f>INDEX(State!B:B,MATCH(OrdersTable[[#This Row],[State]],State!A:A,0))</f>
        <v>KA</v>
      </c>
      <c r="J4122" t="str">
        <f>INDEX(State!C:C,MATCH(OrdersTable[[#This Row],[State Code]],State!B:B,0))</f>
        <v>South</v>
      </c>
      <c r="K4122" t="s">
        <v>168</v>
      </c>
      <c r="L4122" t="s">
        <v>23</v>
      </c>
      <c r="M4122" t="s">
        <v>24</v>
      </c>
      <c r="N4122" t="str">
        <f>INDEX(Products!B:B,MATCH(OrdersTable[[#This Row],[Product ID]],Products!A:A,0))</f>
        <v>Scented Candle Set</v>
      </c>
      <c r="O4122" t="str">
        <f>INDEX(Products!C:C,MATCH(OrdersTable[[#This Row],[Product ID]],Products!A:A,0))</f>
        <v>Home &amp; Kitchen</v>
      </c>
      <c r="P4122">
        <v>3</v>
      </c>
      <c r="Q4122" s="5">
        <v>699</v>
      </c>
      <c r="R4122" s="74">
        <v>0.35</v>
      </c>
      <c r="S4122" s="75">
        <f>OrdersTable[[#This Row],[Quantity]]*OrdersTable[[#This Row],[Unit Price]]</f>
        <v>2097</v>
      </c>
      <c r="T4122" s="5">
        <f>OrdersTable[[#This Row],[Gross Sale]]*OrdersTable[[#This Row],[Discount_Clean2]]</f>
        <v>733.94999999999993</v>
      </c>
      <c r="U4122" s="5">
        <f>OrdersTable[[#This Row],[Gross Sale]]-OrdersTable[[#This Row],[Discount Amount]]</f>
        <v>1363.0500000000002</v>
      </c>
      <c r="V4122" s="77">
        <f>INDEX(Products!E:E,MATCH(OrdersTable[[#This Row],[Product ID]],Products!A:A,0))</f>
        <v>245</v>
      </c>
      <c r="W4122" s="77">
        <f>OrdersTable[[#This Row],[Quantity]]*OrdersTable[[#This Row],[Unit Cost]]</f>
        <v>735</v>
      </c>
      <c r="X4122" s="77">
        <f>'Dropdown Lists'!$I$2*(1+OrdersTable[[#This Row],[Returned]])</f>
        <v>60</v>
      </c>
      <c r="Y4122" s="76">
        <f>OrdersTable[[#This Row],[Net Revenue]]-OrdersTable[[#This Row],[COGS]]-OrdersTable[[#This Row],[Shipping Cost]]</f>
        <v>568.05000000000018</v>
      </c>
      <c r="Z4122" s="78">
        <f>IFERROR(OrdersTable[[#This Row],[Profit]]/OrdersTable[[#This Row],[Net Revenue]],0)</f>
        <v>0.41674920215692757</v>
      </c>
      <c r="AA4122" t="s">
        <v>18</v>
      </c>
      <c r="AB4122" s="79">
        <v>45947</v>
      </c>
      <c r="AC4122">
        <f>OrdersTable[[#This Row],[Delivery Date]]-OrdersTable[[#This Row],[Order Date]]</f>
        <v>5</v>
      </c>
      <c r="AD4122" t="str">
        <f>IF(OrdersTable[[#This Row],[Delivery Days]]&lt;=2, "Express (≤2d)", IF(OrdersTable[[#This Row],[Delivery Days]]&lt;=4, "Standard (3-4d)", "Delayed (5d+)"))</f>
        <v>Delayed (5d+)</v>
      </c>
      <c r="AE4122">
        <v>4</v>
      </c>
      <c r="AF4122">
        <v>0</v>
      </c>
    </row>
    <row r="4123" spans="1:32" ht="15" x14ac:dyDescent="0.35">
      <c r="A4123" t="s">
        <v>6410</v>
      </c>
      <c r="B4123" s="1">
        <v>45942</v>
      </c>
      <c r="C4123">
        <f>YEAR(OrdersTable[[#This Row],[Order Date]])</f>
        <v>2025</v>
      </c>
      <c r="D4123" s="2">
        <f>DATE(YEAR(OrdersTable[[#This Row],[Order Date]]),MONTH(OrdersTable[[#This Row],[Order Date]]),1)</f>
        <v>45931</v>
      </c>
      <c r="E4123">
        <f>MONTH(OrdersTable[[#This Row],[Order Date]])</f>
        <v>10</v>
      </c>
      <c r="F4123" t="s">
        <v>2589</v>
      </c>
      <c r="G4123" t="str">
        <f>IF(OrdersTable[[#This Row],[Order Date]]=_xlfn.MINIFS(Order_Date, Customer_ID, OrdersTable[[#This Row],[Customer ID]]), "New", "Repeat")</f>
        <v>Repeat</v>
      </c>
      <c r="H4123" t="s">
        <v>59</v>
      </c>
      <c r="I4123" t="str">
        <f>INDEX(State!B:B,MATCH(OrdersTable[[#This Row],[State]],State!A:A,0))</f>
        <v>TN</v>
      </c>
      <c r="J4123" t="str">
        <f>INDEX(State!C:C,MATCH(OrdersTable[[#This Row],[State Code]],State!B:B,0))</f>
        <v>South</v>
      </c>
      <c r="K4123" t="s">
        <v>64</v>
      </c>
      <c r="L4123" t="s">
        <v>39</v>
      </c>
      <c r="M4123" t="s">
        <v>152</v>
      </c>
      <c r="N4123" t="str">
        <f>INDEX(Products!B:B,MATCH(OrdersTable[[#This Row],[Product ID]],Products!A:A,0))</f>
        <v>Green Tea (100 bags)</v>
      </c>
      <c r="O4123" t="str">
        <f>INDEX(Products!C:C,MATCH(OrdersTable[[#This Row],[Product ID]],Products!A:A,0))</f>
        <v>Wellness</v>
      </c>
      <c r="P4123">
        <v>2</v>
      </c>
      <c r="Q4123" s="5">
        <v>399</v>
      </c>
      <c r="R4123" s="74">
        <v>0.55000000000000004</v>
      </c>
      <c r="S4123" s="75">
        <f>OrdersTable[[#This Row],[Quantity]]*OrdersTable[[#This Row],[Unit Price]]</f>
        <v>798</v>
      </c>
      <c r="T4123" s="5">
        <f>OrdersTable[[#This Row],[Gross Sale]]*OrdersTable[[#This Row],[Discount_Clean2]]</f>
        <v>438.90000000000003</v>
      </c>
      <c r="U4123" s="5">
        <f>OrdersTable[[#This Row],[Gross Sale]]-OrdersTable[[#This Row],[Discount Amount]]</f>
        <v>359.09999999999997</v>
      </c>
      <c r="V4123" s="77">
        <f>INDEX(Products!E:E,MATCH(OrdersTable[[#This Row],[Product ID]],Products!A:A,0))</f>
        <v>128</v>
      </c>
      <c r="W4123" s="77">
        <f>OrdersTable[[#This Row],[Quantity]]*OrdersTable[[#This Row],[Unit Cost]]</f>
        <v>256</v>
      </c>
      <c r="X4123" s="77">
        <f>'Dropdown Lists'!$I$2*(1+OrdersTable[[#This Row],[Returned]])</f>
        <v>60</v>
      </c>
      <c r="Y4123" s="76">
        <f>OrdersTable[[#This Row],[Net Revenue]]-OrdersTable[[#This Row],[COGS]]-OrdersTable[[#This Row],[Shipping Cost]]</f>
        <v>43.099999999999966</v>
      </c>
      <c r="Z4123" s="78">
        <f>IFERROR(OrdersTable[[#This Row],[Profit]]/OrdersTable[[#This Row],[Net Revenue]],0)</f>
        <v>0.12002227791701467</v>
      </c>
      <c r="AA4123" t="s">
        <v>18</v>
      </c>
      <c r="AB4123" s="79">
        <v>45947</v>
      </c>
      <c r="AC4123">
        <f>OrdersTable[[#This Row],[Delivery Date]]-OrdersTable[[#This Row],[Order Date]]</f>
        <v>5</v>
      </c>
      <c r="AD4123" t="str">
        <f>IF(OrdersTable[[#This Row],[Delivery Days]]&lt;=2, "Express (≤2d)", IF(OrdersTable[[#This Row],[Delivery Days]]&lt;=4, "Standard (3-4d)", "Delayed (5d+)"))</f>
        <v>Delayed (5d+)</v>
      </c>
      <c r="AE4123">
        <v>4</v>
      </c>
      <c r="AF4123">
        <v>0</v>
      </c>
    </row>
    <row r="4124" spans="1:32" ht="15" x14ac:dyDescent="0.35">
      <c r="A4124" t="s">
        <v>4053</v>
      </c>
      <c r="B4124" s="1">
        <v>45943</v>
      </c>
      <c r="C4124">
        <f>YEAR(OrdersTable[[#This Row],[Order Date]])</f>
        <v>2025</v>
      </c>
      <c r="D4124" s="2">
        <f>DATE(YEAR(OrdersTable[[#This Row],[Order Date]]),MONTH(OrdersTable[[#This Row],[Order Date]]),1)</f>
        <v>45931</v>
      </c>
      <c r="E4124">
        <f>MONTH(OrdersTable[[#This Row],[Order Date]])</f>
        <v>10</v>
      </c>
      <c r="F4124" t="s">
        <v>4054</v>
      </c>
      <c r="G4124" t="str">
        <f>IF(OrdersTable[[#This Row],[Order Date]]=_xlfn.MINIFS(Order_Date, Customer_ID, OrdersTable[[#This Row],[Customer ID]]), "New", "Repeat")</f>
        <v>Repeat</v>
      </c>
      <c r="H4124" t="s">
        <v>54</v>
      </c>
      <c r="I4124" t="str">
        <f>INDEX(State!B:B,MATCH(OrdersTable[[#This Row],[State]],State!A:A,0))</f>
        <v>RJ</v>
      </c>
      <c r="J4124" t="str">
        <f>INDEX(State!C:C,MATCH(OrdersTable[[#This Row],[State Code]],State!B:B,0))</f>
        <v>North</v>
      </c>
      <c r="K4124" t="s">
        <v>227</v>
      </c>
      <c r="L4124" t="s">
        <v>65</v>
      </c>
      <c r="M4124" t="s">
        <v>84</v>
      </c>
      <c r="N4124" t="str">
        <f>INDEX(Products!B:B,MATCH(OrdersTable[[#This Row],[Product ID]],Products!A:A,0))</f>
        <v>Cotton Bedsheet</v>
      </c>
      <c r="O4124" t="str">
        <f>INDEX(Products!C:C,MATCH(OrdersTable[[#This Row],[Product ID]],Products!A:A,0))</f>
        <v>Home &amp; Kitchen</v>
      </c>
      <c r="P4124">
        <v>1</v>
      </c>
      <c r="Q4124" s="5">
        <v>1299</v>
      </c>
      <c r="R4124" s="74">
        <v>0.2</v>
      </c>
      <c r="S4124" s="75">
        <f>OrdersTable[[#This Row],[Quantity]]*OrdersTable[[#This Row],[Unit Price]]</f>
        <v>1299</v>
      </c>
      <c r="T4124" s="5">
        <f>OrdersTable[[#This Row],[Gross Sale]]*OrdersTable[[#This Row],[Discount_Clean2]]</f>
        <v>259.8</v>
      </c>
      <c r="U4124" s="5">
        <f>OrdersTable[[#This Row],[Gross Sale]]-OrdersTable[[#This Row],[Discount Amount]]</f>
        <v>1039.2</v>
      </c>
      <c r="V4124" s="77">
        <f>INDEX(Products!E:E,MATCH(OrdersTable[[#This Row],[Product ID]],Products!A:A,0))</f>
        <v>585</v>
      </c>
      <c r="W4124" s="77">
        <f>OrdersTable[[#This Row],[Quantity]]*OrdersTable[[#This Row],[Unit Cost]]</f>
        <v>585</v>
      </c>
      <c r="X4124" s="77">
        <f>'Dropdown Lists'!$I$2*(1+OrdersTable[[#This Row],[Returned]])</f>
        <v>60</v>
      </c>
      <c r="Y4124" s="76">
        <f>OrdersTable[[#This Row],[Net Revenue]]-OrdersTable[[#This Row],[COGS]]-OrdersTable[[#This Row],[Shipping Cost]]</f>
        <v>394.20000000000005</v>
      </c>
      <c r="Z4124" s="78">
        <f>IFERROR(OrdersTable[[#This Row],[Profit]]/OrdersTable[[#This Row],[Net Revenue]],0)</f>
        <v>0.37933025404157045</v>
      </c>
      <c r="AA4124" t="s">
        <v>3495</v>
      </c>
      <c r="AB4124" s="79">
        <v>45947</v>
      </c>
      <c r="AC4124">
        <f>OrdersTable[[#This Row],[Delivery Date]]-OrdersTable[[#This Row],[Order Date]]</f>
        <v>4</v>
      </c>
      <c r="AD4124" t="str">
        <f>IF(OrdersTable[[#This Row],[Delivery Days]]&lt;=2, "Express (≤2d)", IF(OrdersTable[[#This Row],[Delivery Days]]&lt;=4, "Standard (3-4d)", "Delayed (5d+)"))</f>
        <v>Standard (3-4d)</v>
      </c>
      <c r="AE4124">
        <v>5</v>
      </c>
      <c r="AF4124">
        <v>0</v>
      </c>
    </row>
    <row r="4125" spans="1:32" ht="15" x14ac:dyDescent="0.35">
      <c r="A4125" t="s">
        <v>3478</v>
      </c>
      <c r="B4125" s="1">
        <v>45943</v>
      </c>
      <c r="C4125">
        <f>YEAR(OrdersTable[[#This Row],[Order Date]])</f>
        <v>2025</v>
      </c>
      <c r="D4125" s="2">
        <f>DATE(YEAR(OrdersTable[[#This Row],[Order Date]]),MONTH(OrdersTable[[#This Row],[Order Date]]),1)</f>
        <v>45931</v>
      </c>
      <c r="E4125">
        <f>MONTH(OrdersTable[[#This Row],[Order Date]])</f>
        <v>10</v>
      </c>
      <c r="F4125" t="s">
        <v>3479</v>
      </c>
      <c r="G4125" t="str">
        <f>IF(OrdersTable[[#This Row],[Order Date]]=_xlfn.MINIFS(Order_Date, Customer_ID, OrdersTable[[#This Row],[Customer ID]]), "New", "Repeat")</f>
        <v>Repeat</v>
      </c>
      <c r="H4125" t="s">
        <v>48</v>
      </c>
      <c r="I4125" t="str">
        <f>INDEX(State!B:B,MATCH(OrdersTable[[#This Row],[State]],State!A:A,0))</f>
        <v>HR</v>
      </c>
      <c r="J4125" t="str">
        <f>INDEX(State!C:C,MATCH(OrdersTable[[#This Row],[State Code]],State!B:B,0))</f>
        <v>North</v>
      </c>
      <c r="K4125" t="s">
        <v>49</v>
      </c>
      <c r="L4125" t="s">
        <v>65</v>
      </c>
      <c r="M4125" t="s">
        <v>228</v>
      </c>
      <c r="N4125" t="str">
        <f>INDEX(Products!B:B,MATCH(OrdersTable[[#This Row],[Product ID]],Products!A:A,0))</f>
        <v>Fast Charger 33W</v>
      </c>
      <c r="O4125" t="str">
        <f>INDEX(Products!C:C,MATCH(OrdersTable[[#This Row],[Product ID]],Products!A:A,0))</f>
        <v>Electronics</v>
      </c>
      <c r="P4125">
        <v>1</v>
      </c>
      <c r="Q4125" s="5">
        <v>899</v>
      </c>
      <c r="R4125" s="74">
        <v>0.15</v>
      </c>
      <c r="S4125" s="75">
        <f>OrdersTable[[#This Row],[Quantity]]*OrdersTable[[#This Row],[Unit Price]]</f>
        <v>899</v>
      </c>
      <c r="T4125" s="5">
        <f>OrdersTable[[#This Row],[Gross Sale]]*OrdersTable[[#This Row],[Discount_Clean2]]</f>
        <v>134.85</v>
      </c>
      <c r="U4125" s="5">
        <f>OrdersTable[[#This Row],[Gross Sale]]-OrdersTable[[#This Row],[Discount Amount]]</f>
        <v>764.15</v>
      </c>
      <c r="V4125" s="77">
        <f>INDEX(Products!E:E,MATCH(OrdersTable[[#This Row],[Product ID]],Products!A:A,0))</f>
        <v>494</v>
      </c>
      <c r="W4125" s="77">
        <f>OrdersTable[[#This Row],[Quantity]]*OrdersTable[[#This Row],[Unit Cost]]</f>
        <v>494</v>
      </c>
      <c r="X4125" s="77">
        <f>'Dropdown Lists'!$I$2*(1+OrdersTable[[#This Row],[Returned]])</f>
        <v>60</v>
      </c>
      <c r="Y4125" s="76">
        <f>OrdersTable[[#This Row],[Net Revenue]]-OrdersTable[[#This Row],[COGS]]-OrdersTable[[#This Row],[Shipping Cost]]</f>
        <v>210.14999999999998</v>
      </c>
      <c r="Z4125" s="78">
        <f>IFERROR(OrdersTable[[#This Row],[Profit]]/OrdersTable[[#This Row],[Net Revenue]],0)</f>
        <v>0.27501145063142052</v>
      </c>
      <c r="AA4125" t="s">
        <v>2522</v>
      </c>
      <c r="AB4125" s="79">
        <v>45946</v>
      </c>
      <c r="AC4125">
        <f>OrdersTable[[#This Row],[Delivery Date]]-OrdersTable[[#This Row],[Order Date]]</f>
        <v>3</v>
      </c>
      <c r="AD4125" t="str">
        <f>IF(OrdersTable[[#This Row],[Delivery Days]]&lt;=2, "Express (≤2d)", IF(OrdersTable[[#This Row],[Delivery Days]]&lt;=4, "Standard (3-4d)", "Delayed (5d+)"))</f>
        <v>Standard (3-4d)</v>
      </c>
      <c r="AE4125">
        <v>4</v>
      </c>
      <c r="AF4125">
        <v>0</v>
      </c>
    </row>
    <row r="4126" spans="1:32" ht="15" x14ac:dyDescent="0.35">
      <c r="A4126" t="s">
        <v>4295</v>
      </c>
      <c r="B4126" s="1">
        <v>45943</v>
      </c>
      <c r="C4126">
        <f>YEAR(OrdersTable[[#This Row],[Order Date]])</f>
        <v>2025</v>
      </c>
      <c r="D4126" s="2">
        <f>DATE(YEAR(OrdersTable[[#This Row],[Order Date]]),MONTH(OrdersTable[[#This Row],[Order Date]]),1)</f>
        <v>45931</v>
      </c>
      <c r="E4126">
        <f>MONTH(OrdersTable[[#This Row],[Order Date]])</f>
        <v>10</v>
      </c>
      <c r="F4126" t="s">
        <v>3225</v>
      </c>
      <c r="G4126" t="str">
        <f>IF(OrdersTable[[#This Row],[Order Date]]=_xlfn.MINIFS(Order_Date, Customer_ID, OrdersTable[[#This Row],[Customer ID]]), "New", "Repeat")</f>
        <v>Repeat</v>
      </c>
      <c r="H4126" t="s">
        <v>128</v>
      </c>
      <c r="I4126" t="str">
        <f>INDEX(State!B:B,MATCH(OrdersTable[[#This Row],[State]],State!A:A,0))</f>
        <v>DL</v>
      </c>
      <c r="J4126" t="str">
        <f>INDEX(State!C:C,MATCH(OrdersTable[[#This Row],[State Code]],State!B:B,0))</f>
        <v>North</v>
      </c>
      <c r="K4126" t="s">
        <v>129</v>
      </c>
      <c r="L4126" t="s">
        <v>23</v>
      </c>
      <c r="M4126" t="s">
        <v>56</v>
      </c>
      <c r="N4126" t="str">
        <f>INDEX(Products!B:B,MATCH(OrdersTable[[#This Row],[Product ID]],Products!A:A,0))</f>
        <v>Vitamin C Face Serum</v>
      </c>
      <c r="O4126" t="str">
        <f>INDEX(Products!C:C,MATCH(OrdersTable[[#This Row],[Product ID]],Products!A:A,0))</f>
        <v>Skincare</v>
      </c>
      <c r="P4126">
        <v>1</v>
      </c>
      <c r="Q4126" s="5">
        <v>599</v>
      </c>
      <c r="R4126" s="74">
        <v>0.25</v>
      </c>
      <c r="S4126" s="75">
        <f>OrdersTable[[#This Row],[Quantity]]*OrdersTable[[#This Row],[Unit Price]]</f>
        <v>599</v>
      </c>
      <c r="T4126" s="5">
        <f>OrdersTable[[#This Row],[Gross Sale]]*OrdersTable[[#This Row],[Discount_Clean2]]</f>
        <v>149.75</v>
      </c>
      <c r="U4126" s="5">
        <f>OrdersTable[[#This Row],[Gross Sale]]-OrdersTable[[#This Row],[Discount Amount]]</f>
        <v>449.25</v>
      </c>
      <c r="V4126" s="77">
        <f>INDEX(Products!E:E,MATCH(OrdersTable[[#This Row],[Product ID]],Products!A:A,0))</f>
        <v>180</v>
      </c>
      <c r="W4126" s="77">
        <f>OrdersTable[[#This Row],[Quantity]]*OrdersTable[[#This Row],[Unit Cost]]</f>
        <v>180</v>
      </c>
      <c r="X4126" s="77">
        <f>'Dropdown Lists'!$I$2*(1+OrdersTable[[#This Row],[Returned]])</f>
        <v>60</v>
      </c>
      <c r="Y4126" s="76">
        <f>OrdersTable[[#This Row],[Net Revenue]]-OrdersTable[[#This Row],[COGS]]-OrdersTable[[#This Row],[Shipping Cost]]</f>
        <v>209.25</v>
      </c>
      <c r="Z4126" s="78">
        <f>IFERROR(OrdersTable[[#This Row],[Profit]]/OrdersTable[[#This Row],[Net Revenue]],0)</f>
        <v>0.46577629382303842</v>
      </c>
      <c r="AA4126" t="s">
        <v>4074</v>
      </c>
      <c r="AB4126" s="79">
        <v>45945</v>
      </c>
      <c r="AC4126">
        <f>OrdersTable[[#This Row],[Delivery Date]]-OrdersTable[[#This Row],[Order Date]]</f>
        <v>2</v>
      </c>
      <c r="AD4126" t="str">
        <f>IF(OrdersTable[[#This Row],[Delivery Days]]&lt;=2, "Express (≤2d)", IF(OrdersTable[[#This Row],[Delivery Days]]&lt;=4, "Standard (3-4d)", "Delayed (5d+)"))</f>
        <v>Express (≤2d)</v>
      </c>
      <c r="AF4126">
        <v>0</v>
      </c>
    </row>
    <row r="4127" spans="1:32" ht="15" x14ac:dyDescent="0.35">
      <c r="A4127" t="s">
        <v>5041</v>
      </c>
      <c r="B4127" s="1">
        <v>45943</v>
      </c>
      <c r="C4127">
        <f>YEAR(OrdersTable[[#This Row],[Order Date]])</f>
        <v>2025</v>
      </c>
      <c r="D4127" s="2">
        <f>DATE(YEAR(OrdersTable[[#This Row],[Order Date]]),MONTH(OrdersTable[[#This Row],[Order Date]]),1)</f>
        <v>45931</v>
      </c>
      <c r="E4127">
        <f>MONTH(OrdersTable[[#This Row],[Order Date]])</f>
        <v>10</v>
      </c>
      <c r="F4127" t="s">
        <v>637</v>
      </c>
      <c r="G4127" t="str">
        <f>IF(OrdersTable[[#This Row],[Order Date]]=_xlfn.MINIFS(Order_Date, Customer_ID, OrdersTable[[#This Row],[Customer ID]]), "New", "Repeat")</f>
        <v>Repeat</v>
      </c>
      <c r="H4127" t="s">
        <v>32</v>
      </c>
      <c r="I4127" t="str">
        <f>INDEX(State!B:B,MATCH(OrdersTable[[#This Row],[State]],State!A:A,0))</f>
        <v>BR</v>
      </c>
      <c r="J4127" t="str">
        <f>INDEX(State!C:C,MATCH(OrdersTable[[#This Row],[State Code]],State!B:B,0))</f>
        <v>East</v>
      </c>
      <c r="K4127" t="s">
        <v>33</v>
      </c>
      <c r="L4127" t="s">
        <v>65</v>
      </c>
      <c r="M4127" t="s">
        <v>29</v>
      </c>
      <c r="N4127" t="str">
        <f>INDEX(Products!B:B,MATCH(OrdersTable[[#This Row],[Product ID]],Products!A:A,0))</f>
        <v>Joggers</v>
      </c>
      <c r="O4127" t="str">
        <f>INDEX(Products!C:C,MATCH(OrdersTable[[#This Row],[Product ID]],Products!A:A,0))</f>
        <v>Apparel</v>
      </c>
      <c r="P4127">
        <v>2</v>
      </c>
      <c r="Q4127" s="5">
        <v>1199</v>
      </c>
      <c r="R4127" s="74">
        <v>0.35</v>
      </c>
      <c r="S4127" s="75">
        <f>OrdersTable[[#This Row],[Quantity]]*OrdersTable[[#This Row],[Unit Price]]</f>
        <v>2398</v>
      </c>
      <c r="T4127" s="5">
        <f>OrdersTable[[#This Row],[Gross Sale]]*OrdersTable[[#This Row],[Discount_Clean2]]</f>
        <v>839.3</v>
      </c>
      <c r="U4127" s="5">
        <f>OrdersTable[[#This Row],[Gross Sale]]-OrdersTable[[#This Row],[Discount Amount]]</f>
        <v>1558.7</v>
      </c>
      <c r="V4127" s="77">
        <f>INDEX(Products!E:E,MATCH(OrdersTable[[#This Row],[Product ID]],Products!A:A,0))</f>
        <v>492</v>
      </c>
      <c r="W4127" s="77">
        <f>OrdersTable[[#This Row],[Quantity]]*OrdersTable[[#This Row],[Unit Cost]]</f>
        <v>984</v>
      </c>
      <c r="X4127" s="77">
        <f>'Dropdown Lists'!$I$2*(1+OrdersTable[[#This Row],[Returned]])</f>
        <v>60</v>
      </c>
      <c r="Y4127" s="76">
        <f>OrdersTable[[#This Row],[Net Revenue]]-OrdersTable[[#This Row],[COGS]]-OrdersTable[[#This Row],[Shipping Cost]]</f>
        <v>514.70000000000005</v>
      </c>
      <c r="Z4127" s="78">
        <f>IFERROR(OrdersTable[[#This Row],[Profit]]/OrdersTable[[#This Row],[Net Revenue]],0)</f>
        <v>0.33021107333033939</v>
      </c>
      <c r="AA4127" t="s">
        <v>4074</v>
      </c>
      <c r="AB4127" s="79">
        <v>45948</v>
      </c>
      <c r="AC4127">
        <f>OrdersTable[[#This Row],[Delivery Date]]-OrdersTable[[#This Row],[Order Date]]</f>
        <v>5</v>
      </c>
      <c r="AD4127" t="str">
        <f>IF(OrdersTable[[#This Row],[Delivery Days]]&lt;=2, "Express (≤2d)", IF(OrdersTable[[#This Row],[Delivery Days]]&lt;=4, "Standard (3-4d)", "Delayed (5d+)"))</f>
        <v>Delayed (5d+)</v>
      </c>
      <c r="AE4127">
        <v>3</v>
      </c>
      <c r="AF4127">
        <v>0</v>
      </c>
    </row>
    <row r="4128" spans="1:32" ht="15" x14ac:dyDescent="0.35">
      <c r="A4128" t="s">
        <v>2464</v>
      </c>
      <c r="B4128" s="1">
        <v>45943</v>
      </c>
      <c r="C4128">
        <f>YEAR(OrdersTable[[#This Row],[Order Date]])</f>
        <v>2025</v>
      </c>
      <c r="D4128" s="2">
        <f>DATE(YEAR(OrdersTable[[#This Row],[Order Date]]),MONTH(OrdersTable[[#This Row],[Order Date]]),1)</f>
        <v>45931</v>
      </c>
      <c r="E4128">
        <f>MONTH(OrdersTable[[#This Row],[Order Date]])</f>
        <v>10</v>
      </c>
      <c r="F4128" t="s">
        <v>2465</v>
      </c>
      <c r="G4128" t="str">
        <f>IF(OrdersTable[[#This Row],[Order Date]]=_xlfn.MINIFS(Order_Date, Customer_ID, OrdersTable[[#This Row],[Customer ID]]), "New", "Repeat")</f>
        <v>New</v>
      </c>
      <c r="H4128" t="s">
        <v>37</v>
      </c>
      <c r="I4128" t="str">
        <f>INDEX(State!B:B,MATCH(OrdersTable[[#This Row],[State]],State!A:A,0))</f>
        <v>GJ</v>
      </c>
      <c r="J4128" t="str">
        <f>INDEX(State!C:C,MATCH(OrdersTable[[#This Row],[State Code]],State!B:B,0))</f>
        <v>West</v>
      </c>
      <c r="K4128" t="s">
        <v>247</v>
      </c>
      <c r="L4128" t="s">
        <v>50</v>
      </c>
      <c r="M4128" t="s">
        <v>45</v>
      </c>
      <c r="N4128" t="str">
        <f>INDEX(Products!B:B,MATCH(OrdersTable[[#This Row],[Product ID]],Products!A:A,0))</f>
        <v>Argan Shampoo</v>
      </c>
      <c r="O4128" t="str">
        <f>INDEX(Products!C:C,MATCH(OrdersTable[[#This Row],[Product ID]],Products!A:A,0))</f>
        <v>Haircare</v>
      </c>
      <c r="P4128">
        <v>1</v>
      </c>
      <c r="Q4128" s="5">
        <v>449</v>
      </c>
      <c r="R4128" s="74">
        <v>0.15</v>
      </c>
      <c r="S4128" s="75">
        <f>OrdersTable[[#This Row],[Quantity]]*OrdersTable[[#This Row],[Unit Price]]</f>
        <v>449</v>
      </c>
      <c r="T4128" s="5">
        <f>OrdersTable[[#This Row],[Gross Sale]]*OrdersTable[[#This Row],[Discount_Clean2]]</f>
        <v>67.349999999999994</v>
      </c>
      <c r="U4128" s="5">
        <f>OrdersTable[[#This Row],[Gross Sale]]-OrdersTable[[#This Row],[Discount Amount]]</f>
        <v>381.65</v>
      </c>
      <c r="V4128" s="77">
        <f>INDEX(Products!E:E,MATCH(OrdersTable[[#This Row],[Product ID]],Products!A:A,0))</f>
        <v>148</v>
      </c>
      <c r="W4128" s="77">
        <f>OrdersTable[[#This Row],[Quantity]]*OrdersTable[[#This Row],[Unit Cost]]</f>
        <v>148</v>
      </c>
      <c r="X4128" s="77">
        <f>'Dropdown Lists'!$I$2*(1+OrdersTable[[#This Row],[Returned]])</f>
        <v>60</v>
      </c>
      <c r="Y4128" s="76">
        <f>OrdersTable[[#This Row],[Net Revenue]]-OrdersTable[[#This Row],[COGS]]-OrdersTable[[#This Row],[Shipping Cost]]</f>
        <v>173.64999999999998</v>
      </c>
      <c r="Z4128" s="78">
        <f>IFERROR(OrdersTable[[#This Row],[Profit]]/OrdersTable[[#This Row],[Net Revenue]],0)</f>
        <v>0.45499803484868334</v>
      </c>
      <c r="AA4128" t="s">
        <v>18</v>
      </c>
      <c r="AB4128" s="79">
        <v>45946</v>
      </c>
      <c r="AC4128">
        <f>OrdersTable[[#This Row],[Delivery Date]]-OrdersTable[[#This Row],[Order Date]]</f>
        <v>3</v>
      </c>
      <c r="AD4128" t="str">
        <f>IF(OrdersTable[[#This Row],[Delivery Days]]&lt;=2, "Express (≤2d)", IF(OrdersTable[[#This Row],[Delivery Days]]&lt;=4, "Standard (3-4d)", "Delayed (5d+)"))</f>
        <v>Standard (3-4d)</v>
      </c>
      <c r="AE4128">
        <v>5</v>
      </c>
      <c r="AF4128">
        <v>0</v>
      </c>
    </row>
    <row r="4129" spans="1:32" ht="15" x14ac:dyDescent="0.35">
      <c r="A4129" t="s">
        <v>6734</v>
      </c>
      <c r="B4129" s="1">
        <v>45943</v>
      </c>
      <c r="C4129">
        <f>YEAR(OrdersTable[[#This Row],[Order Date]])</f>
        <v>2025</v>
      </c>
      <c r="D4129" s="2">
        <f>DATE(YEAR(OrdersTable[[#This Row],[Order Date]]),MONTH(OrdersTable[[#This Row],[Order Date]]),1)</f>
        <v>45931</v>
      </c>
      <c r="E4129">
        <f>MONTH(OrdersTable[[#This Row],[Order Date]])</f>
        <v>10</v>
      </c>
      <c r="F4129" t="s">
        <v>5339</v>
      </c>
      <c r="G4129" t="str">
        <f>IF(OrdersTable[[#This Row],[Order Date]]=_xlfn.MINIFS(Order_Date, Customer_ID, OrdersTable[[#This Row],[Customer ID]]), "New", "Repeat")</f>
        <v>Repeat</v>
      </c>
      <c r="H4129" t="s">
        <v>37</v>
      </c>
      <c r="I4129" t="str">
        <f>INDEX(State!B:B,MATCH(OrdersTable[[#This Row],[State]],State!A:A,0))</f>
        <v>GJ</v>
      </c>
      <c r="J4129" t="str">
        <f>INDEX(State!C:C,MATCH(OrdersTable[[#This Row],[State Code]],State!B:B,0))</f>
        <v>West</v>
      </c>
      <c r="K4129" t="s">
        <v>38</v>
      </c>
      <c r="L4129" t="s">
        <v>23</v>
      </c>
      <c r="M4129" t="s">
        <v>51</v>
      </c>
      <c r="N4129" t="str">
        <f>INDEX(Products!B:B,MATCH(OrdersTable[[#This Row],[Product ID]],Products!A:A,0))</f>
        <v>Anti-Dandruff Conditioner</v>
      </c>
      <c r="O4129" t="str">
        <f>INDEX(Products!C:C,MATCH(OrdersTable[[#This Row],[Product ID]],Products!A:A,0))</f>
        <v>Haircare</v>
      </c>
      <c r="P4129">
        <v>3</v>
      </c>
      <c r="Q4129" s="5">
        <v>399</v>
      </c>
      <c r="R4129" s="74">
        <v>0.6</v>
      </c>
      <c r="S4129" s="75">
        <f>OrdersTable[[#This Row],[Quantity]]*OrdersTable[[#This Row],[Unit Price]]</f>
        <v>1197</v>
      </c>
      <c r="T4129" s="5">
        <f>OrdersTable[[#This Row],[Gross Sale]]*OrdersTable[[#This Row],[Discount_Clean2]]</f>
        <v>718.19999999999993</v>
      </c>
      <c r="U4129" s="5">
        <f>OrdersTable[[#This Row],[Gross Sale]]-OrdersTable[[#This Row],[Discount Amount]]</f>
        <v>478.80000000000007</v>
      </c>
      <c r="V4129" s="77">
        <f>INDEX(Products!E:E,MATCH(OrdersTable[[#This Row],[Product ID]],Products!A:A,0))</f>
        <v>136</v>
      </c>
      <c r="W4129" s="77">
        <f>OrdersTable[[#This Row],[Quantity]]*OrdersTable[[#This Row],[Unit Cost]]</f>
        <v>408</v>
      </c>
      <c r="X4129" s="77">
        <f>'Dropdown Lists'!$I$2*(1+OrdersTable[[#This Row],[Returned]])</f>
        <v>60</v>
      </c>
      <c r="Y4129" s="76">
        <f>OrdersTable[[#This Row],[Net Revenue]]-OrdersTable[[#This Row],[COGS]]-OrdersTable[[#This Row],[Shipping Cost]]</f>
        <v>10.800000000000068</v>
      </c>
      <c r="Z4129" s="78">
        <f>IFERROR(OrdersTable[[#This Row],[Profit]]/OrdersTable[[#This Row],[Net Revenue]],0)</f>
        <v>2.2556390977443747E-2</v>
      </c>
      <c r="AA4129" t="s">
        <v>2522</v>
      </c>
      <c r="AB4129" s="79">
        <v>45949</v>
      </c>
      <c r="AC4129">
        <f>OrdersTable[[#This Row],[Delivery Date]]-OrdersTable[[#This Row],[Order Date]]</f>
        <v>6</v>
      </c>
      <c r="AD4129" t="str">
        <f>IF(OrdersTable[[#This Row],[Delivery Days]]&lt;=2, "Express (≤2d)", IF(OrdersTable[[#This Row],[Delivery Days]]&lt;=4, "Standard (3-4d)", "Delayed (5d+)"))</f>
        <v>Delayed (5d+)</v>
      </c>
      <c r="AE4129">
        <v>3</v>
      </c>
      <c r="AF4129">
        <v>0</v>
      </c>
    </row>
    <row r="4130" spans="1:32" ht="15" x14ac:dyDescent="0.35">
      <c r="A4130" t="s">
        <v>4439</v>
      </c>
      <c r="B4130" s="1">
        <v>45943</v>
      </c>
      <c r="C4130">
        <f>YEAR(OrdersTable[[#This Row],[Order Date]])</f>
        <v>2025</v>
      </c>
      <c r="D4130" s="2">
        <f>DATE(YEAR(OrdersTable[[#This Row],[Order Date]]),MONTH(OrdersTable[[#This Row],[Order Date]]),1)</f>
        <v>45931</v>
      </c>
      <c r="E4130">
        <f>MONTH(OrdersTable[[#This Row],[Order Date]])</f>
        <v>10</v>
      </c>
      <c r="F4130" t="s">
        <v>1889</v>
      </c>
      <c r="G4130" t="str">
        <f>IF(OrdersTable[[#This Row],[Order Date]]=_xlfn.MINIFS(Order_Date, Customer_ID, OrdersTable[[#This Row],[Customer ID]]), "New", "Repeat")</f>
        <v>Repeat</v>
      </c>
      <c r="H4130" t="s">
        <v>95</v>
      </c>
      <c r="I4130" t="str">
        <f>INDEX(State!B:B,MATCH(OrdersTable[[#This Row],[State]],State!A:A,0))</f>
        <v>TG</v>
      </c>
      <c r="J4130" t="str">
        <f>INDEX(State!C:C,MATCH(OrdersTable[[#This Row],[State Code]],State!B:B,0))</f>
        <v>South</v>
      </c>
      <c r="K4130" t="s">
        <v>96</v>
      </c>
      <c r="L4130" t="s">
        <v>39</v>
      </c>
      <c r="M4130" t="s">
        <v>106</v>
      </c>
      <c r="N4130" t="str">
        <f>INDEX(Products!B:B,MATCH(OrdersTable[[#This Row],[Product ID]],Products!A:A,0))</f>
        <v>Keratin Hair Mask</v>
      </c>
      <c r="O4130" t="str">
        <f>INDEX(Products!C:C,MATCH(OrdersTable[[#This Row],[Product ID]],Products!A:A,0))</f>
        <v>Haircare</v>
      </c>
      <c r="P4130">
        <v>1</v>
      </c>
      <c r="Q4130" s="5">
        <v>549</v>
      </c>
      <c r="R4130" s="74">
        <v>0.2</v>
      </c>
      <c r="S4130" s="75">
        <f>OrdersTable[[#This Row],[Quantity]]*OrdersTable[[#This Row],[Unit Price]]</f>
        <v>549</v>
      </c>
      <c r="T4130" s="5">
        <f>OrdersTable[[#This Row],[Gross Sale]]*OrdersTable[[#This Row],[Discount_Clean2]]</f>
        <v>109.80000000000001</v>
      </c>
      <c r="U4130" s="5">
        <f>OrdersTable[[#This Row],[Gross Sale]]-OrdersTable[[#This Row],[Discount Amount]]</f>
        <v>439.2</v>
      </c>
      <c r="V4130" s="77">
        <f>INDEX(Products!E:E,MATCH(OrdersTable[[#This Row],[Product ID]],Products!A:A,0))</f>
        <v>170</v>
      </c>
      <c r="W4130" s="77">
        <f>OrdersTable[[#This Row],[Quantity]]*OrdersTable[[#This Row],[Unit Cost]]</f>
        <v>170</v>
      </c>
      <c r="X4130" s="77">
        <f>'Dropdown Lists'!$I$2*(1+OrdersTable[[#This Row],[Returned]])</f>
        <v>60</v>
      </c>
      <c r="Y4130" s="76">
        <f>OrdersTable[[#This Row],[Net Revenue]]-OrdersTable[[#This Row],[COGS]]-OrdersTable[[#This Row],[Shipping Cost]]</f>
        <v>209.2</v>
      </c>
      <c r="Z4130" s="78">
        <f>IFERROR(OrdersTable[[#This Row],[Profit]]/OrdersTable[[#This Row],[Net Revenue]],0)</f>
        <v>0.47632058287795992</v>
      </c>
      <c r="AA4130" t="s">
        <v>4074</v>
      </c>
      <c r="AB4130" s="79">
        <v>45946</v>
      </c>
      <c r="AC4130">
        <f>OrdersTable[[#This Row],[Delivery Date]]-OrdersTable[[#This Row],[Order Date]]</f>
        <v>3</v>
      </c>
      <c r="AD4130" t="str">
        <f>IF(OrdersTable[[#This Row],[Delivery Days]]&lt;=2, "Express (≤2d)", IF(OrdersTable[[#This Row],[Delivery Days]]&lt;=4, "Standard (3-4d)", "Delayed (5d+)"))</f>
        <v>Standard (3-4d)</v>
      </c>
      <c r="AE4130">
        <v>4</v>
      </c>
      <c r="AF4130">
        <v>0</v>
      </c>
    </row>
    <row r="4131" spans="1:32" ht="15" x14ac:dyDescent="0.35">
      <c r="A4131" t="s">
        <v>6411</v>
      </c>
      <c r="B4131" s="1">
        <v>45943</v>
      </c>
      <c r="C4131">
        <f>YEAR(OrdersTable[[#This Row],[Order Date]])</f>
        <v>2025</v>
      </c>
      <c r="D4131" s="2">
        <f>DATE(YEAR(OrdersTable[[#This Row],[Order Date]]),MONTH(OrdersTable[[#This Row],[Order Date]]),1)</f>
        <v>45931</v>
      </c>
      <c r="E4131">
        <f>MONTH(OrdersTable[[#This Row],[Order Date]])</f>
        <v>10</v>
      </c>
      <c r="F4131" t="s">
        <v>325</v>
      </c>
      <c r="G4131" t="str">
        <f>IF(OrdersTable[[#This Row],[Order Date]]=_xlfn.MINIFS(Order_Date, Customer_ID, OrdersTable[[#This Row],[Customer ID]]), "New", "Repeat")</f>
        <v>Repeat</v>
      </c>
      <c r="H4131" t="s">
        <v>95</v>
      </c>
      <c r="I4131" t="str">
        <f>INDEX(State!B:B,MATCH(OrdersTable[[#This Row],[State]],State!A:A,0))</f>
        <v>TG</v>
      </c>
      <c r="J4131" t="str">
        <f>INDEX(State!C:C,MATCH(OrdersTable[[#This Row],[State Code]],State!B:B,0))</f>
        <v>South</v>
      </c>
      <c r="K4131" t="s">
        <v>96</v>
      </c>
      <c r="L4131" t="s">
        <v>39</v>
      </c>
      <c r="M4131" t="s">
        <v>51</v>
      </c>
      <c r="N4131" t="str">
        <f>INDEX(Products!B:B,MATCH(OrdersTable[[#This Row],[Product ID]],Products!A:A,0))</f>
        <v>Anti-Dandruff Conditioner</v>
      </c>
      <c r="O4131" t="str">
        <f>INDEX(Products!C:C,MATCH(OrdersTable[[#This Row],[Product ID]],Products!A:A,0))</f>
        <v>Haircare</v>
      </c>
      <c r="P4131">
        <v>2</v>
      </c>
      <c r="Q4131" s="5">
        <v>399</v>
      </c>
      <c r="R4131" s="74">
        <v>0.45</v>
      </c>
      <c r="S4131" s="75">
        <f>OrdersTable[[#This Row],[Quantity]]*OrdersTable[[#This Row],[Unit Price]]</f>
        <v>798</v>
      </c>
      <c r="T4131" s="5">
        <f>OrdersTable[[#This Row],[Gross Sale]]*OrdersTable[[#This Row],[Discount_Clean2]]</f>
        <v>359.1</v>
      </c>
      <c r="U4131" s="5">
        <f>OrdersTable[[#This Row],[Gross Sale]]-OrdersTable[[#This Row],[Discount Amount]]</f>
        <v>438.9</v>
      </c>
      <c r="V4131" s="77">
        <f>INDEX(Products!E:E,MATCH(OrdersTable[[#This Row],[Product ID]],Products!A:A,0))</f>
        <v>136</v>
      </c>
      <c r="W4131" s="77">
        <f>OrdersTable[[#This Row],[Quantity]]*OrdersTable[[#This Row],[Unit Cost]]</f>
        <v>272</v>
      </c>
      <c r="X4131" s="77">
        <f>'Dropdown Lists'!$I$2*(1+OrdersTable[[#This Row],[Returned]])</f>
        <v>60</v>
      </c>
      <c r="Y4131" s="76">
        <f>OrdersTable[[#This Row],[Net Revenue]]-OrdersTable[[#This Row],[COGS]]-OrdersTable[[#This Row],[Shipping Cost]]</f>
        <v>106.89999999999998</v>
      </c>
      <c r="Z4131" s="78">
        <f>IFERROR(OrdersTable[[#This Row],[Profit]]/OrdersTable[[#This Row],[Net Revenue]],0)</f>
        <v>0.24356345408976984</v>
      </c>
      <c r="AA4131" t="s">
        <v>18</v>
      </c>
      <c r="AB4131" s="79">
        <v>45948</v>
      </c>
      <c r="AC4131">
        <f>OrdersTable[[#This Row],[Delivery Date]]-OrdersTable[[#This Row],[Order Date]]</f>
        <v>5</v>
      </c>
      <c r="AD4131" t="str">
        <f>IF(OrdersTable[[#This Row],[Delivery Days]]&lt;=2, "Express (≤2d)", IF(OrdersTable[[#This Row],[Delivery Days]]&lt;=4, "Standard (3-4d)", "Delayed (5d+)"))</f>
        <v>Delayed (5d+)</v>
      </c>
      <c r="AF4131">
        <v>0</v>
      </c>
    </row>
    <row r="4132" spans="1:32" ht="15" x14ac:dyDescent="0.35">
      <c r="A4132" t="s">
        <v>6816</v>
      </c>
      <c r="B4132" s="1">
        <v>45943</v>
      </c>
      <c r="C4132">
        <f>YEAR(OrdersTable[[#This Row],[Order Date]])</f>
        <v>2025</v>
      </c>
      <c r="D4132" s="2">
        <f>DATE(YEAR(OrdersTable[[#This Row],[Order Date]]),MONTH(OrdersTable[[#This Row],[Order Date]]),1)</f>
        <v>45931</v>
      </c>
      <c r="E4132">
        <f>MONTH(OrdersTable[[#This Row],[Order Date]])</f>
        <v>10</v>
      </c>
      <c r="F4132" t="s">
        <v>2690</v>
      </c>
      <c r="G4132" t="str">
        <f>IF(OrdersTable[[#This Row],[Order Date]]=_xlfn.MINIFS(Order_Date, Customer_ID, OrdersTable[[#This Row],[Customer ID]]), "New", "Repeat")</f>
        <v>Repeat</v>
      </c>
      <c r="H4132" t="s">
        <v>167</v>
      </c>
      <c r="I4132" t="str">
        <f>INDEX(State!B:B,MATCH(OrdersTable[[#This Row],[State]],State!A:A,0))</f>
        <v>KA</v>
      </c>
      <c r="J4132" t="str">
        <f>INDEX(State!C:C,MATCH(OrdersTable[[#This Row],[State Code]],State!B:B,0))</f>
        <v>South</v>
      </c>
      <c r="K4132" t="s">
        <v>168</v>
      </c>
      <c r="L4132" t="s">
        <v>39</v>
      </c>
      <c r="M4132" t="s">
        <v>17</v>
      </c>
      <c r="N4132" t="str">
        <f>INDEX(Products!B:B,MATCH(OrdersTable[[#This Row],[Product ID]],Products!A:A,0))</f>
        <v>Casual Sneakers</v>
      </c>
      <c r="O4132" t="str">
        <f>INDEX(Products!C:C,MATCH(OrdersTable[[#This Row],[Product ID]],Products!A:A,0))</f>
        <v>Footwear</v>
      </c>
      <c r="P4132">
        <v>3</v>
      </c>
      <c r="Q4132" s="5">
        <v>2199</v>
      </c>
      <c r="R4132" s="74">
        <v>0.2</v>
      </c>
      <c r="S4132" s="75">
        <f>OrdersTable[[#This Row],[Quantity]]*OrdersTable[[#This Row],[Unit Price]]</f>
        <v>6597</v>
      </c>
      <c r="T4132" s="5">
        <f>OrdersTable[[#This Row],[Gross Sale]]*OrdersTable[[#This Row],[Discount_Clean2]]</f>
        <v>1319.4</v>
      </c>
      <c r="U4132" s="5">
        <f>OrdersTable[[#This Row],[Gross Sale]]-OrdersTable[[#This Row],[Discount Amount]]</f>
        <v>5277.6</v>
      </c>
      <c r="V4132" s="77">
        <f>INDEX(Products!E:E,MATCH(OrdersTable[[#This Row],[Product ID]],Products!A:A,0))</f>
        <v>1034</v>
      </c>
      <c r="W4132" s="77">
        <f>OrdersTable[[#This Row],[Quantity]]*OrdersTable[[#This Row],[Unit Cost]]</f>
        <v>3102</v>
      </c>
      <c r="X4132" s="77">
        <f>'Dropdown Lists'!$I$2*(1+OrdersTable[[#This Row],[Returned]])</f>
        <v>120</v>
      </c>
      <c r="Y4132" s="76">
        <f>OrdersTable[[#This Row],[Net Revenue]]-OrdersTable[[#This Row],[COGS]]-OrdersTable[[#This Row],[Shipping Cost]]</f>
        <v>2055.6000000000004</v>
      </c>
      <c r="Z4132" s="78">
        <f>IFERROR(OrdersTable[[#This Row],[Profit]]/OrdersTable[[#This Row],[Net Revenue]],0)</f>
        <v>0.38949522510231926</v>
      </c>
      <c r="AA4132" t="s">
        <v>3495</v>
      </c>
      <c r="AB4132" s="79">
        <v>45947</v>
      </c>
      <c r="AC4132">
        <f>OrdersTable[[#This Row],[Delivery Date]]-OrdersTable[[#This Row],[Order Date]]</f>
        <v>4</v>
      </c>
      <c r="AD4132" t="str">
        <f>IF(OrdersTable[[#This Row],[Delivery Days]]&lt;=2, "Express (≤2d)", IF(OrdersTable[[#This Row],[Delivery Days]]&lt;=4, "Standard (3-4d)", "Delayed (5d+)"))</f>
        <v>Standard (3-4d)</v>
      </c>
      <c r="AF4132">
        <v>1</v>
      </c>
    </row>
    <row r="4133" spans="1:32" ht="15" x14ac:dyDescent="0.35">
      <c r="A4133" t="s">
        <v>3110</v>
      </c>
      <c r="B4133" s="1">
        <v>45944</v>
      </c>
      <c r="C4133">
        <f>YEAR(OrdersTable[[#This Row],[Order Date]])</f>
        <v>2025</v>
      </c>
      <c r="D4133" s="2">
        <f>DATE(YEAR(OrdersTable[[#This Row],[Order Date]]),MONTH(OrdersTable[[#This Row],[Order Date]]),1)</f>
        <v>45931</v>
      </c>
      <c r="E4133">
        <f>MONTH(OrdersTable[[#This Row],[Order Date]])</f>
        <v>10</v>
      </c>
      <c r="F4133" t="s">
        <v>3111</v>
      </c>
      <c r="G4133" t="str">
        <f>IF(OrdersTable[[#This Row],[Order Date]]=_xlfn.MINIFS(Order_Date, Customer_ID, OrdersTable[[#This Row],[Customer ID]]), "New", "Repeat")</f>
        <v>Repeat</v>
      </c>
      <c r="H4133" t="s">
        <v>54</v>
      </c>
      <c r="I4133" t="str">
        <f>INDEX(State!B:B,MATCH(OrdersTable[[#This Row],[State]],State!A:A,0))</f>
        <v>RJ</v>
      </c>
      <c r="J4133" t="str">
        <f>INDEX(State!C:C,MATCH(OrdersTable[[#This Row],[State Code]],State!B:B,0))</f>
        <v>North</v>
      </c>
      <c r="K4133" t="s">
        <v>227</v>
      </c>
      <c r="L4133" t="s">
        <v>50</v>
      </c>
      <c r="M4133" t="s">
        <v>73</v>
      </c>
      <c r="N4133" t="str">
        <f>INDEX(Products!B:B,MATCH(OrdersTable[[#This Row],[Product ID]],Products!A:A,0))</f>
        <v>Hydrating Face Wash</v>
      </c>
      <c r="O4133" t="str">
        <f>INDEX(Products!C:C,MATCH(OrdersTable[[#This Row],[Product ID]],Products!A:A,0))</f>
        <v>Skincare</v>
      </c>
      <c r="P4133">
        <v>1</v>
      </c>
      <c r="Q4133" s="5">
        <v>299</v>
      </c>
      <c r="R4133" s="74">
        <v>0.2</v>
      </c>
      <c r="S4133" s="75">
        <f>OrdersTable[[#This Row],[Quantity]]*OrdersTable[[#This Row],[Unit Price]]</f>
        <v>299</v>
      </c>
      <c r="T4133" s="5">
        <f>OrdersTable[[#This Row],[Gross Sale]]*OrdersTable[[#This Row],[Discount_Clean2]]</f>
        <v>59.800000000000004</v>
      </c>
      <c r="U4133" s="5">
        <f>OrdersTable[[#This Row],[Gross Sale]]-OrdersTable[[#This Row],[Discount Amount]]</f>
        <v>239.2</v>
      </c>
      <c r="V4133" s="77">
        <f>INDEX(Products!E:E,MATCH(OrdersTable[[#This Row],[Product ID]],Products!A:A,0))</f>
        <v>90</v>
      </c>
      <c r="W4133" s="77">
        <f>OrdersTable[[#This Row],[Quantity]]*OrdersTable[[#This Row],[Unit Cost]]</f>
        <v>90</v>
      </c>
      <c r="X4133" s="77">
        <f>'Dropdown Lists'!$I$2*(1+OrdersTable[[#This Row],[Returned]])</f>
        <v>120</v>
      </c>
      <c r="Y4133" s="76">
        <f>OrdersTable[[#This Row],[Net Revenue]]-OrdersTable[[#This Row],[COGS]]-OrdersTable[[#This Row],[Shipping Cost]]</f>
        <v>29.199999999999989</v>
      </c>
      <c r="Z4133" s="78">
        <f>IFERROR(OrdersTable[[#This Row],[Profit]]/OrdersTable[[#This Row],[Net Revenue]],0)</f>
        <v>0.12207357859531769</v>
      </c>
      <c r="AA4133" t="s">
        <v>2522</v>
      </c>
      <c r="AB4133" s="79">
        <v>45949</v>
      </c>
      <c r="AC4133">
        <f>OrdersTable[[#This Row],[Delivery Date]]-OrdersTable[[#This Row],[Order Date]]</f>
        <v>5</v>
      </c>
      <c r="AD4133" t="str">
        <f>IF(OrdersTable[[#This Row],[Delivery Days]]&lt;=2, "Express (≤2d)", IF(OrdersTable[[#This Row],[Delivery Days]]&lt;=4, "Standard (3-4d)", "Delayed (5d+)"))</f>
        <v>Delayed (5d+)</v>
      </c>
      <c r="AF4133">
        <v>1</v>
      </c>
    </row>
    <row r="4134" spans="1:32" ht="15" x14ac:dyDescent="0.35">
      <c r="A4134" t="s">
        <v>2514</v>
      </c>
      <c r="B4134" s="1">
        <v>45944</v>
      </c>
      <c r="C4134">
        <f>YEAR(OrdersTable[[#This Row],[Order Date]])</f>
        <v>2025</v>
      </c>
      <c r="D4134" s="2">
        <f>DATE(YEAR(OrdersTable[[#This Row],[Order Date]]),MONTH(OrdersTable[[#This Row],[Order Date]]),1)</f>
        <v>45931</v>
      </c>
      <c r="E4134">
        <f>MONTH(OrdersTable[[#This Row],[Order Date]])</f>
        <v>10</v>
      </c>
      <c r="F4134" t="s">
        <v>2515</v>
      </c>
      <c r="G4134" t="str">
        <f>IF(OrdersTable[[#This Row],[Order Date]]=_xlfn.MINIFS(Order_Date, Customer_ID, OrdersTable[[#This Row],[Customer ID]]), "New", "Repeat")</f>
        <v>New</v>
      </c>
      <c r="H4134" t="s">
        <v>128</v>
      </c>
      <c r="I4134" t="str">
        <f>INDEX(State!B:B,MATCH(OrdersTable[[#This Row],[State]],State!A:A,0))</f>
        <v>DL</v>
      </c>
      <c r="J4134" t="str">
        <f>INDEX(State!C:C,MATCH(OrdersTable[[#This Row],[State Code]],State!B:B,0))</f>
        <v>North</v>
      </c>
      <c r="K4134" t="s">
        <v>129</v>
      </c>
      <c r="L4134" t="s">
        <v>39</v>
      </c>
      <c r="M4134" t="s">
        <v>51</v>
      </c>
      <c r="N4134" t="str">
        <f>INDEX(Products!B:B,MATCH(OrdersTable[[#This Row],[Product ID]],Products!A:A,0))</f>
        <v>Anti-Dandruff Conditioner</v>
      </c>
      <c r="O4134" t="str">
        <f>INDEX(Products!C:C,MATCH(OrdersTable[[#This Row],[Product ID]],Products!A:A,0))</f>
        <v>Haircare</v>
      </c>
      <c r="P4134">
        <v>1</v>
      </c>
      <c r="Q4134" s="5">
        <v>399</v>
      </c>
      <c r="R4134" s="74">
        <v>0.45</v>
      </c>
      <c r="S4134" s="75">
        <f>OrdersTable[[#This Row],[Quantity]]*OrdersTable[[#This Row],[Unit Price]]</f>
        <v>399</v>
      </c>
      <c r="T4134" s="5">
        <f>OrdersTable[[#This Row],[Gross Sale]]*OrdersTable[[#This Row],[Discount_Clean2]]</f>
        <v>179.55</v>
      </c>
      <c r="U4134" s="5">
        <f>OrdersTable[[#This Row],[Gross Sale]]-OrdersTable[[#This Row],[Discount Amount]]</f>
        <v>219.45</v>
      </c>
      <c r="V4134" s="77">
        <f>INDEX(Products!E:E,MATCH(OrdersTable[[#This Row],[Product ID]],Products!A:A,0))</f>
        <v>136</v>
      </c>
      <c r="W4134" s="77">
        <f>OrdersTable[[#This Row],[Quantity]]*OrdersTable[[#This Row],[Unit Cost]]</f>
        <v>136</v>
      </c>
      <c r="X4134" s="77">
        <f>'Dropdown Lists'!$I$2*(1+OrdersTable[[#This Row],[Returned]])</f>
        <v>60</v>
      </c>
      <c r="Y4134" s="76">
        <f>OrdersTable[[#This Row],[Net Revenue]]-OrdersTable[[#This Row],[COGS]]-OrdersTable[[#This Row],[Shipping Cost]]</f>
        <v>23.449999999999989</v>
      </c>
      <c r="Z4134" s="78">
        <f>IFERROR(OrdersTable[[#This Row],[Profit]]/OrdersTable[[#This Row],[Net Revenue]],0)</f>
        <v>0.10685805422647524</v>
      </c>
      <c r="AA4134" t="s">
        <v>18</v>
      </c>
      <c r="AB4134" s="79">
        <v>45949</v>
      </c>
      <c r="AC4134">
        <f>OrdersTable[[#This Row],[Delivery Date]]-OrdersTable[[#This Row],[Order Date]]</f>
        <v>5</v>
      </c>
      <c r="AD4134" t="str">
        <f>IF(OrdersTable[[#This Row],[Delivery Days]]&lt;=2, "Express (≤2d)", IF(OrdersTable[[#This Row],[Delivery Days]]&lt;=4, "Standard (3-4d)", "Delayed (5d+)"))</f>
        <v>Delayed (5d+)</v>
      </c>
      <c r="AE4134">
        <v>2</v>
      </c>
      <c r="AF4134">
        <v>0</v>
      </c>
    </row>
    <row r="4135" spans="1:32" ht="15" x14ac:dyDescent="0.35">
      <c r="A4135" t="s">
        <v>2839</v>
      </c>
      <c r="B4135" s="1">
        <v>45944</v>
      </c>
      <c r="C4135">
        <f>YEAR(OrdersTable[[#This Row],[Order Date]])</f>
        <v>2025</v>
      </c>
      <c r="D4135" s="2">
        <f>DATE(YEAR(OrdersTable[[#This Row],[Order Date]]),MONTH(OrdersTable[[#This Row],[Order Date]]),1)</f>
        <v>45931</v>
      </c>
      <c r="E4135">
        <f>MONTH(OrdersTable[[#This Row],[Order Date]])</f>
        <v>10</v>
      </c>
      <c r="F4135" t="s">
        <v>2840</v>
      </c>
      <c r="G4135" t="str">
        <f>IF(OrdersTable[[#This Row],[Order Date]]=_xlfn.MINIFS(Order_Date, Customer_ID, OrdersTable[[#This Row],[Customer ID]]), "New", "Repeat")</f>
        <v>Repeat</v>
      </c>
      <c r="H4135" t="s">
        <v>128</v>
      </c>
      <c r="I4135" t="str">
        <f>INDEX(State!B:B,MATCH(OrdersTable[[#This Row],[State]],State!A:A,0))</f>
        <v>DL</v>
      </c>
      <c r="J4135" t="str">
        <f>INDEX(State!C:C,MATCH(OrdersTable[[#This Row],[State Code]],State!B:B,0))</f>
        <v>North</v>
      </c>
      <c r="K4135" t="s">
        <v>129</v>
      </c>
      <c r="L4135" t="s">
        <v>39</v>
      </c>
      <c r="M4135" t="s">
        <v>148</v>
      </c>
      <c r="N4135" t="str">
        <f>INDEX(Products!B:B,MATCH(OrdersTable[[#This Row],[Product ID]],Products!A:A,0))</f>
        <v>Smartwatch Strap</v>
      </c>
      <c r="O4135" t="str">
        <f>INDEX(Products!C:C,MATCH(OrdersTable[[#This Row],[Product ID]],Products!A:A,0))</f>
        <v>Electronics</v>
      </c>
      <c r="P4135">
        <v>1</v>
      </c>
      <c r="Q4135" s="5">
        <v>499</v>
      </c>
      <c r="R4135" s="74">
        <v>0.15</v>
      </c>
      <c r="S4135" s="75">
        <f>OrdersTable[[#This Row],[Quantity]]*OrdersTable[[#This Row],[Unit Price]]</f>
        <v>499</v>
      </c>
      <c r="T4135" s="5">
        <f>OrdersTable[[#This Row],[Gross Sale]]*OrdersTable[[#This Row],[Discount_Clean2]]</f>
        <v>74.849999999999994</v>
      </c>
      <c r="U4135" s="5">
        <f>OrdersTable[[#This Row],[Gross Sale]]-OrdersTable[[#This Row],[Discount Amount]]</f>
        <v>424.15</v>
      </c>
      <c r="V4135" s="77">
        <f>INDEX(Products!E:E,MATCH(OrdersTable[[#This Row],[Product ID]],Products!A:A,0))</f>
        <v>200</v>
      </c>
      <c r="W4135" s="77">
        <f>OrdersTable[[#This Row],[Quantity]]*OrdersTable[[#This Row],[Unit Cost]]</f>
        <v>200</v>
      </c>
      <c r="X4135" s="77">
        <f>'Dropdown Lists'!$I$2*(1+OrdersTable[[#This Row],[Returned]])</f>
        <v>60</v>
      </c>
      <c r="Y4135" s="76">
        <f>OrdersTable[[#This Row],[Net Revenue]]-OrdersTable[[#This Row],[COGS]]-OrdersTable[[#This Row],[Shipping Cost]]</f>
        <v>164.14999999999998</v>
      </c>
      <c r="Z4135" s="78">
        <f>IFERROR(OrdersTable[[#This Row],[Profit]]/OrdersTable[[#This Row],[Net Revenue]],0)</f>
        <v>0.38700931274313327</v>
      </c>
      <c r="AA4135" t="s">
        <v>2522</v>
      </c>
      <c r="AB4135" s="79">
        <v>45948</v>
      </c>
      <c r="AC4135">
        <f>OrdersTable[[#This Row],[Delivery Date]]-OrdersTable[[#This Row],[Order Date]]</f>
        <v>4</v>
      </c>
      <c r="AD4135" t="str">
        <f>IF(OrdersTable[[#This Row],[Delivery Days]]&lt;=2, "Express (≤2d)", IF(OrdersTable[[#This Row],[Delivery Days]]&lt;=4, "Standard (3-4d)", "Delayed (5d+)"))</f>
        <v>Standard (3-4d)</v>
      </c>
      <c r="AE4135">
        <v>3</v>
      </c>
      <c r="AF4135">
        <v>0</v>
      </c>
    </row>
    <row r="4136" spans="1:32" ht="15" x14ac:dyDescent="0.35">
      <c r="A4136" t="s">
        <v>5447</v>
      </c>
      <c r="B4136" s="1">
        <v>45944</v>
      </c>
      <c r="C4136">
        <f>YEAR(OrdersTable[[#This Row],[Order Date]])</f>
        <v>2025</v>
      </c>
      <c r="D4136" s="2">
        <f>DATE(YEAR(OrdersTable[[#This Row],[Order Date]]),MONTH(OrdersTable[[#This Row],[Order Date]]),1)</f>
        <v>45931</v>
      </c>
      <c r="E4136">
        <f>MONTH(OrdersTable[[#This Row],[Order Date]])</f>
        <v>10</v>
      </c>
      <c r="F4136" t="s">
        <v>4262</v>
      </c>
      <c r="G4136" t="str">
        <f>IF(OrdersTable[[#This Row],[Order Date]]=_xlfn.MINIFS(Order_Date, Customer_ID, OrdersTable[[#This Row],[Customer ID]]), "New", "Repeat")</f>
        <v>Repeat</v>
      </c>
      <c r="H4136" t="s">
        <v>76</v>
      </c>
      <c r="I4136" t="str">
        <f>INDEX(State!B:B,MATCH(OrdersTable[[#This Row],[State]],State!A:A,0))</f>
        <v>UP</v>
      </c>
      <c r="J4136" t="str">
        <f>INDEX(State!C:C,MATCH(OrdersTable[[#This Row],[State Code]],State!B:B,0))</f>
        <v>North</v>
      </c>
      <c r="K4136" t="s">
        <v>77</v>
      </c>
      <c r="L4136" t="s">
        <v>50</v>
      </c>
      <c r="M4136" t="s">
        <v>109</v>
      </c>
      <c r="N4136" t="str">
        <f>INDEX(Products!B:B,MATCH(OrdersTable[[#This Row],[Product ID]],Products!A:A,0))</f>
        <v>Onion Hair Oil</v>
      </c>
      <c r="O4136" t="str">
        <f>INDEX(Products!C:C,MATCH(OrdersTable[[#This Row],[Product ID]],Products!A:A,0))</f>
        <v>Haircare</v>
      </c>
      <c r="P4136">
        <v>2</v>
      </c>
      <c r="Q4136" s="5">
        <v>349</v>
      </c>
      <c r="R4136" s="74">
        <v>0.6</v>
      </c>
      <c r="S4136" s="75">
        <f>OrdersTable[[#This Row],[Quantity]]*OrdersTable[[#This Row],[Unit Price]]</f>
        <v>698</v>
      </c>
      <c r="T4136" s="5">
        <f>OrdersTable[[#This Row],[Gross Sale]]*OrdersTable[[#This Row],[Discount_Clean2]]</f>
        <v>418.8</v>
      </c>
      <c r="U4136" s="5">
        <f>OrdersTable[[#This Row],[Gross Sale]]-OrdersTable[[#This Row],[Discount Amount]]</f>
        <v>279.2</v>
      </c>
      <c r="V4136" s="77">
        <f>INDEX(Products!E:E,MATCH(OrdersTable[[#This Row],[Product ID]],Products!A:A,0))</f>
        <v>105</v>
      </c>
      <c r="W4136" s="77">
        <f>OrdersTable[[#This Row],[Quantity]]*OrdersTable[[#This Row],[Unit Cost]]</f>
        <v>210</v>
      </c>
      <c r="X4136" s="77">
        <f>'Dropdown Lists'!$I$2*(1+OrdersTable[[#This Row],[Returned]])</f>
        <v>60</v>
      </c>
      <c r="Y4136" s="76">
        <f>OrdersTable[[#This Row],[Net Revenue]]-OrdersTable[[#This Row],[COGS]]-OrdersTable[[#This Row],[Shipping Cost]]</f>
        <v>9.1999999999999886</v>
      </c>
      <c r="Z4136" s="78">
        <f>IFERROR(OrdersTable[[#This Row],[Profit]]/OrdersTable[[#This Row],[Net Revenue]],0)</f>
        <v>3.2951289398280764E-2</v>
      </c>
      <c r="AA4136" t="s">
        <v>2522</v>
      </c>
      <c r="AB4136" s="79">
        <v>45948</v>
      </c>
      <c r="AC4136">
        <f>OrdersTable[[#This Row],[Delivery Date]]-OrdersTable[[#This Row],[Order Date]]</f>
        <v>4</v>
      </c>
      <c r="AD4136" t="str">
        <f>IF(OrdersTable[[#This Row],[Delivery Days]]&lt;=2, "Express (≤2d)", IF(OrdersTable[[#This Row],[Delivery Days]]&lt;=4, "Standard (3-4d)", "Delayed (5d+)"))</f>
        <v>Standard (3-4d)</v>
      </c>
      <c r="AE4136">
        <v>3</v>
      </c>
      <c r="AF4136">
        <v>0</v>
      </c>
    </row>
    <row r="4137" spans="1:32" ht="15" x14ac:dyDescent="0.35">
      <c r="A4137" t="s">
        <v>2032</v>
      </c>
      <c r="B4137" s="1">
        <v>45944</v>
      </c>
      <c r="C4137">
        <f>YEAR(OrdersTable[[#This Row],[Order Date]])</f>
        <v>2025</v>
      </c>
      <c r="D4137" s="2">
        <f>DATE(YEAR(OrdersTable[[#This Row],[Order Date]]),MONTH(OrdersTable[[#This Row],[Order Date]]),1)</f>
        <v>45931</v>
      </c>
      <c r="E4137">
        <f>MONTH(OrdersTable[[#This Row],[Order Date]])</f>
        <v>10</v>
      </c>
      <c r="F4137" t="s">
        <v>86</v>
      </c>
      <c r="G4137" t="str">
        <f>IF(OrdersTable[[#This Row],[Order Date]]=_xlfn.MINIFS(Order_Date, Customer_ID, OrdersTable[[#This Row],[Customer ID]]), "New", "Repeat")</f>
        <v>Repeat</v>
      </c>
      <c r="H4137" t="s">
        <v>37</v>
      </c>
      <c r="I4137" t="str">
        <f>INDEX(State!B:B,MATCH(OrdersTable[[#This Row],[State]],State!A:A,0))</f>
        <v>GJ</v>
      </c>
      <c r="J4137" t="str">
        <f>INDEX(State!C:C,MATCH(OrdersTable[[#This Row],[State Code]],State!B:B,0))</f>
        <v>West</v>
      </c>
      <c r="K4137" t="s">
        <v>247</v>
      </c>
      <c r="L4137" t="s">
        <v>50</v>
      </c>
      <c r="M4137" t="s">
        <v>40</v>
      </c>
      <c r="N4137" t="str">
        <f>INDEX(Products!B:B,MATCH(OrdersTable[[#This Row],[Product ID]],Products!A:A,0))</f>
        <v>Ashwagandha Capsules</v>
      </c>
      <c r="O4137" t="str">
        <f>INDEX(Products!C:C,MATCH(OrdersTable[[#This Row],[Product ID]],Products!A:A,0))</f>
        <v>Wellness</v>
      </c>
      <c r="P4137">
        <v>1</v>
      </c>
      <c r="Q4137" s="5">
        <v>499</v>
      </c>
      <c r="R4137" s="74">
        <v>0.1</v>
      </c>
      <c r="S4137" s="75">
        <f>OrdersTable[[#This Row],[Quantity]]*OrdersTable[[#This Row],[Unit Price]]</f>
        <v>499</v>
      </c>
      <c r="T4137" s="5">
        <f>OrdersTable[[#This Row],[Gross Sale]]*OrdersTable[[#This Row],[Discount_Clean2]]</f>
        <v>49.900000000000006</v>
      </c>
      <c r="U4137" s="5">
        <f>OrdersTable[[#This Row],[Gross Sale]]-OrdersTable[[#This Row],[Discount Amount]]</f>
        <v>449.1</v>
      </c>
      <c r="V4137" s="77">
        <f>INDEX(Products!E:E,MATCH(OrdersTable[[#This Row],[Product ID]],Products!A:A,0))</f>
        <v>150</v>
      </c>
      <c r="W4137" s="77">
        <f>OrdersTable[[#This Row],[Quantity]]*OrdersTable[[#This Row],[Unit Cost]]</f>
        <v>150</v>
      </c>
      <c r="X4137" s="77">
        <f>'Dropdown Lists'!$I$2*(1+OrdersTable[[#This Row],[Returned]])</f>
        <v>60</v>
      </c>
      <c r="Y4137" s="76">
        <f>OrdersTable[[#This Row],[Net Revenue]]-OrdersTable[[#This Row],[COGS]]-OrdersTable[[#This Row],[Shipping Cost]]</f>
        <v>239.10000000000002</v>
      </c>
      <c r="Z4137" s="78">
        <f>IFERROR(OrdersTable[[#This Row],[Profit]]/OrdersTable[[#This Row],[Net Revenue]],0)</f>
        <v>0.53239812959251842</v>
      </c>
      <c r="AA4137" t="s">
        <v>18</v>
      </c>
      <c r="AB4137" s="79">
        <v>45948</v>
      </c>
      <c r="AC4137">
        <f>OrdersTable[[#This Row],[Delivery Date]]-OrdersTable[[#This Row],[Order Date]]</f>
        <v>4</v>
      </c>
      <c r="AD4137" t="str">
        <f>IF(OrdersTable[[#This Row],[Delivery Days]]&lt;=2, "Express (≤2d)", IF(OrdersTable[[#This Row],[Delivery Days]]&lt;=4, "Standard (3-4d)", "Delayed (5d+)"))</f>
        <v>Standard (3-4d)</v>
      </c>
      <c r="AE4137">
        <v>3</v>
      </c>
      <c r="AF4137">
        <v>0</v>
      </c>
    </row>
    <row r="4138" spans="1:32" ht="15" x14ac:dyDescent="0.35">
      <c r="A4138" t="s">
        <v>3814</v>
      </c>
      <c r="B4138" s="1">
        <v>45944</v>
      </c>
      <c r="C4138">
        <f>YEAR(OrdersTable[[#This Row],[Order Date]])</f>
        <v>2025</v>
      </c>
      <c r="D4138" s="2">
        <f>DATE(YEAR(OrdersTable[[#This Row],[Order Date]]),MONTH(OrdersTable[[#This Row],[Order Date]]),1)</f>
        <v>45931</v>
      </c>
      <c r="E4138">
        <f>MONTH(OrdersTable[[#This Row],[Order Date]])</f>
        <v>10</v>
      </c>
      <c r="F4138" t="s">
        <v>2311</v>
      </c>
      <c r="G4138" t="str">
        <f>IF(OrdersTable[[#This Row],[Order Date]]=_xlfn.MINIFS(Order_Date, Customer_ID, OrdersTable[[#This Row],[Customer ID]]), "New", "Repeat")</f>
        <v>Repeat</v>
      </c>
      <c r="H4138" t="s">
        <v>37</v>
      </c>
      <c r="I4138" t="str">
        <f>INDEX(State!B:B,MATCH(OrdersTable[[#This Row],[State]],State!A:A,0))</f>
        <v>GJ</v>
      </c>
      <c r="J4138" t="str">
        <f>INDEX(State!C:C,MATCH(OrdersTable[[#This Row],[State Code]],State!B:B,0))</f>
        <v>West</v>
      </c>
      <c r="K4138" t="s">
        <v>38</v>
      </c>
      <c r="L4138" t="s">
        <v>23</v>
      </c>
      <c r="M4138" t="s">
        <v>92</v>
      </c>
      <c r="N4138" t="str">
        <f>INDEX(Products!B:B,MATCH(OrdersTable[[#This Row],[Product ID]],Products!A:A,0))</f>
        <v>Kolhapuri Sandals</v>
      </c>
      <c r="O4138" t="str">
        <f>INDEX(Products!C:C,MATCH(OrdersTable[[#This Row],[Product ID]],Products!A:A,0))</f>
        <v>Footwear</v>
      </c>
      <c r="P4138">
        <v>1</v>
      </c>
      <c r="Q4138" s="5">
        <v>999</v>
      </c>
      <c r="R4138" s="74">
        <v>0.25</v>
      </c>
      <c r="S4138" s="75">
        <f>OrdersTable[[#This Row],[Quantity]]*OrdersTable[[#This Row],[Unit Price]]</f>
        <v>999</v>
      </c>
      <c r="T4138" s="5">
        <f>OrdersTable[[#This Row],[Gross Sale]]*OrdersTable[[#This Row],[Discount_Clean2]]</f>
        <v>249.75</v>
      </c>
      <c r="U4138" s="5">
        <f>OrdersTable[[#This Row],[Gross Sale]]-OrdersTable[[#This Row],[Discount Amount]]</f>
        <v>749.25</v>
      </c>
      <c r="V4138" s="77">
        <f>INDEX(Products!E:E,MATCH(OrdersTable[[#This Row],[Product ID]],Products!A:A,0))</f>
        <v>400</v>
      </c>
      <c r="W4138" s="77">
        <f>OrdersTable[[#This Row],[Quantity]]*OrdersTable[[#This Row],[Unit Cost]]</f>
        <v>400</v>
      </c>
      <c r="X4138" s="77">
        <f>'Dropdown Lists'!$I$2*(1+OrdersTable[[#This Row],[Returned]])</f>
        <v>60</v>
      </c>
      <c r="Y4138" s="76">
        <f>OrdersTable[[#This Row],[Net Revenue]]-OrdersTable[[#This Row],[COGS]]-OrdersTable[[#This Row],[Shipping Cost]]</f>
        <v>289.25</v>
      </c>
      <c r="Z4138" s="78">
        <f>IFERROR(OrdersTable[[#This Row],[Profit]]/OrdersTable[[#This Row],[Net Revenue]],0)</f>
        <v>0.38605271938605273</v>
      </c>
      <c r="AA4138" t="s">
        <v>3495</v>
      </c>
      <c r="AB4138" s="79">
        <v>45948</v>
      </c>
      <c r="AC4138">
        <f>OrdersTable[[#This Row],[Delivery Date]]-OrdersTable[[#This Row],[Order Date]]</f>
        <v>4</v>
      </c>
      <c r="AD4138" t="str">
        <f>IF(OrdersTable[[#This Row],[Delivery Days]]&lt;=2, "Express (≤2d)", IF(OrdersTable[[#This Row],[Delivery Days]]&lt;=4, "Standard (3-4d)", "Delayed (5d+)"))</f>
        <v>Standard (3-4d)</v>
      </c>
      <c r="AF4138">
        <v>0</v>
      </c>
    </row>
    <row r="4139" spans="1:32" ht="15" x14ac:dyDescent="0.35">
      <c r="A4139" t="s">
        <v>6817</v>
      </c>
      <c r="B4139" s="1">
        <v>45944</v>
      </c>
      <c r="C4139">
        <f>YEAR(OrdersTable[[#This Row],[Order Date]])</f>
        <v>2025</v>
      </c>
      <c r="D4139" s="2">
        <f>DATE(YEAR(OrdersTable[[#This Row],[Order Date]]),MONTH(OrdersTable[[#This Row],[Order Date]]),1)</f>
        <v>45931</v>
      </c>
      <c r="E4139">
        <f>MONTH(OrdersTable[[#This Row],[Order Date]])</f>
        <v>10</v>
      </c>
      <c r="F4139" t="s">
        <v>6818</v>
      </c>
      <c r="G4139" t="str">
        <f>IF(OrdersTable[[#This Row],[Order Date]]=_xlfn.MINIFS(Order_Date, Customer_ID, OrdersTable[[#This Row],[Customer ID]]), "New", "Repeat")</f>
        <v>New</v>
      </c>
      <c r="H4139" t="s">
        <v>37</v>
      </c>
      <c r="I4139" t="str">
        <f>INDEX(State!B:B,MATCH(OrdersTable[[#This Row],[State]],State!A:A,0))</f>
        <v>GJ</v>
      </c>
      <c r="J4139" t="str">
        <f>INDEX(State!C:C,MATCH(OrdersTable[[#This Row],[State Code]],State!B:B,0))</f>
        <v>West</v>
      </c>
      <c r="K4139" t="s">
        <v>247</v>
      </c>
      <c r="L4139" t="s">
        <v>39</v>
      </c>
      <c r="M4139" t="s">
        <v>24</v>
      </c>
      <c r="N4139" t="str">
        <f>INDEX(Products!B:B,MATCH(OrdersTable[[#This Row],[Product ID]],Products!A:A,0))</f>
        <v>Scented Candle Set</v>
      </c>
      <c r="O4139" t="str">
        <f>INDEX(Products!C:C,MATCH(OrdersTable[[#This Row],[Product ID]],Products!A:A,0))</f>
        <v>Home &amp; Kitchen</v>
      </c>
      <c r="P4139">
        <v>3</v>
      </c>
      <c r="Q4139" s="5">
        <v>699</v>
      </c>
      <c r="R4139" s="74">
        <v>0.25</v>
      </c>
      <c r="S4139" s="75">
        <f>OrdersTable[[#This Row],[Quantity]]*OrdersTable[[#This Row],[Unit Price]]</f>
        <v>2097</v>
      </c>
      <c r="T4139" s="5">
        <f>OrdersTable[[#This Row],[Gross Sale]]*OrdersTable[[#This Row],[Discount_Clean2]]</f>
        <v>524.25</v>
      </c>
      <c r="U4139" s="5">
        <f>OrdersTable[[#This Row],[Gross Sale]]-OrdersTable[[#This Row],[Discount Amount]]</f>
        <v>1572.75</v>
      </c>
      <c r="V4139" s="77">
        <f>INDEX(Products!E:E,MATCH(OrdersTable[[#This Row],[Product ID]],Products!A:A,0))</f>
        <v>245</v>
      </c>
      <c r="W4139" s="77">
        <f>OrdersTable[[#This Row],[Quantity]]*OrdersTable[[#This Row],[Unit Cost]]</f>
        <v>735</v>
      </c>
      <c r="X4139" s="77">
        <f>'Dropdown Lists'!$I$2*(1+OrdersTable[[#This Row],[Returned]])</f>
        <v>60</v>
      </c>
      <c r="Y4139" s="76">
        <f>OrdersTable[[#This Row],[Net Revenue]]-OrdersTable[[#This Row],[COGS]]-OrdersTable[[#This Row],[Shipping Cost]]</f>
        <v>777.75</v>
      </c>
      <c r="Z4139" s="78">
        <f>IFERROR(OrdersTable[[#This Row],[Profit]]/OrdersTable[[#This Row],[Net Revenue]],0)</f>
        <v>0.49451597520267049</v>
      </c>
      <c r="AA4139" t="s">
        <v>3495</v>
      </c>
      <c r="AB4139" s="79">
        <v>45948</v>
      </c>
      <c r="AC4139">
        <f>OrdersTable[[#This Row],[Delivery Date]]-OrdersTable[[#This Row],[Order Date]]</f>
        <v>4</v>
      </c>
      <c r="AD4139" t="str">
        <f>IF(OrdersTable[[#This Row],[Delivery Days]]&lt;=2, "Express (≤2d)", IF(OrdersTable[[#This Row],[Delivery Days]]&lt;=4, "Standard (3-4d)", "Delayed (5d+)"))</f>
        <v>Standard (3-4d)</v>
      </c>
      <c r="AE4139">
        <v>4</v>
      </c>
      <c r="AF4139">
        <v>0</v>
      </c>
    </row>
    <row r="4140" spans="1:32" ht="15" x14ac:dyDescent="0.35">
      <c r="A4140" t="s">
        <v>2841</v>
      </c>
      <c r="B4140" s="1">
        <v>45944</v>
      </c>
      <c r="C4140">
        <f>YEAR(OrdersTable[[#This Row],[Order Date]])</f>
        <v>2025</v>
      </c>
      <c r="D4140" s="2">
        <f>DATE(YEAR(OrdersTable[[#This Row],[Order Date]]),MONTH(OrdersTable[[#This Row],[Order Date]]),1)</f>
        <v>45931</v>
      </c>
      <c r="E4140">
        <f>MONTH(OrdersTable[[#This Row],[Order Date]])</f>
        <v>10</v>
      </c>
      <c r="F4140" t="s">
        <v>2842</v>
      </c>
      <c r="G4140" t="str">
        <f>IF(OrdersTable[[#This Row],[Order Date]]=_xlfn.MINIFS(Order_Date, Customer_ID, OrdersTable[[#This Row],[Customer ID]]), "New", "Repeat")</f>
        <v>Repeat</v>
      </c>
      <c r="H4140" t="s">
        <v>43</v>
      </c>
      <c r="I4140" t="str">
        <f>INDEX(State!B:B,MATCH(OrdersTable[[#This Row],[State]],State!A:A,0))</f>
        <v>MP</v>
      </c>
      <c r="J4140" t="str">
        <f>INDEX(State!C:C,MATCH(OrdersTable[[#This Row],[State Code]],State!B:B,0))</f>
        <v>West</v>
      </c>
      <c r="K4140" t="s">
        <v>44</v>
      </c>
      <c r="L4140" t="s">
        <v>23</v>
      </c>
      <c r="M4140" t="s">
        <v>125</v>
      </c>
      <c r="N4140" t="str">
        <f>INDEX(Products!B:B,MATCH(OrdersTable[[#This Row],[Product ID]],Products!A:A,0))</f>
        <v>Copper Water Bottle</v>
      </c>
      <c r="O4140" t="str">
        <f>INDEX(Products!C:C,MATCH(OrdersTable[[#This Row],[Product ID]],Products!A:A,0))</f>
        <v>Home &amp; Kitchen</v>
      </c>
      <c r="P4140">
        <v>1</v>
      </c>
      <c r="Q4140" s="5">
        <v>899</v>
      </c>
      <c r="R4140" s="74">
        <v>0.1</v>
      </c>
      <c r="S4140" s="75">
        <f>OrdersTable[[#This Row],[Quantity]]*OrdersTable[[#This Row],[Unit Price]]</f>
        <v>899</v>
      </c>
      <c r="T4140" s="5">
        <f>OrdersTable[[#This Row],[Gross Sale]]*OrdersTable[[#This Row],[Discount_Clean2]]</f>
        <v>89.9</v>
      </c>
      <c r="U4140" s="5">
        <f>OrdersTable[[#This Row],[Gross Sale]]-OrdersTable[[#This Row],[Discount Amount]]</f>
        <v>809.1</v>
      </c>
      <c r="V4140" s="77">
        <f>INDEX(Products!E:E,MATCH(OrdersTable[[#This Row],[Product ID]],Products!A:A,0))</f>
        <v>378</v>
      </c>
      <c r="W4140" s="77">
        <f>OrdersTable[[#This Row],[Quantity]]*OrdersTable[[#This Row],[Unit Cost]]</f>
        <v>378</v>
      </c>
      <c r="X4140" s="77">
        <f>'Dropdown Lists'!$I$2*(1+OrdersTable[[#This Row],[Returned]])</f>
        <v>60</v>
      </c>
      <c r="Y4140" s="76">
        <f>OrdersTable[[#This Row],[Net Revenue]]-OrdersTable[[#This Row],[COGS]]-OrdersTable[[#This Row],[Shipping Cost]]</f>
        <v>371.1</v>
      </c>
      <c r="Z4140" s="78">
        <f>IFERROR(OrdersTable[[#This Row],[Profit]]/OrdersTable[[#This Row],[Net Revenue]],0)</f>
        <v>0.45865776789024842</v>
      </c>
      <c r="AA4140" t="s">
        <v>2522</v>
      </c>
      <c r="AB4140" s="79">
        <v>45948</v>
      </c>
      <c r="AC4140">
        <f>OrdersTable[[#This Row],[Delivery Date]]-OrdersTable[[#This Row],[Order Date]]</f>
        <v>4</v>
      </c>
      <c r="AD4140" t="str">
        <f>IF(OrdersTable[[#This Row],[Delivery Days]]&lt;=2, "Express (≤2d)", IF(OrdersTable[[#This Row],[Delivery Days]]&lt;=4, "Standard (3-4d)", "Delayed (5d+)"))</f>
        <v>Standard (3-4d)</v>
      </c>
      <c r="AE4140">
        <v>3</v>
      </c>
      <c r="AF4140">
        <v>0</v>
      </c>
    </row>
    <row r="4141" spans="1:32" ht="15" x14ac:dyDescent="0.35">
      <c r="A4141" t="s">
        <v>2661</v>
      </c>
      <c r="B4141" s="1">
        <v>45944</v>
      </c>
      <c r="C4141">
        <f>YEAR(OrdersTable[[#This Row],[Order Date]])</f>
        <v>2025</v>
      </c>
      <c r="D4141" s="2">
        <f>DATE(YEAR(OrdersTable[[#This Row],[Order Date]]),MONTH(OrdersTable[[#This Row],[Order Date]]),1)</f>
        <v>45931</v>
      </c>
      <c r="E4141">
        <f>MONTH(OrdersTable[[#This Row],[Order Date]])</f>
        <v>10</v>
      </c>
      <c r="F4141" t="s">
        <v>2662</v>
      </c>
      <c r="G4141" t="str">
        <f>IF(OrdersTable[[#This Row],[Order Date]]=_xlfn.MINIFS(Order_Date, Customer_ID, OrdersTable[[#This Row],[Customer ID]]), "New", "Repeat")</f>
        <v>Repeat</v>
      </c>
      <c r="H4141" t="s">
        <v>71</v>
      </c>
      <c r="I4141" t="str">
        <f>INDEX(State!B:B,MATCH(OrdersTable[[#This Row],[State]],State!A:A,0))</f>
        <v>MH</v>
      </c>
      <c r="J4141" t="str">
        <f>INDEX(State!C:C,MATCH(OrdersTable[[#This Row],[State Code]],State!B:B,0))</f>
        <v>West</v>
      </c>
      <c r="K4141" t="s">
        <v>72</v>
      </c>
      <c r="L4141" t="s">
        <v>50</v>
      </c>
      <c r="M4141" t="s">
        <v>66</v>
      </c>
      <c r="N4141" t="str">
        <f>INDEX(Products!B:B,MATCH(OrdersTable[[#This Row],[Product ID]],Products!A:A,0))</f>
        <v>Sunscreen SPF 50</v>
      </c>
      <c r="O4141" t="str">
        <f>INDEX(Products!C:C,MATCH(OrdersTable[[#This Row],[Product ID]],Products!A:A,0))</f>
        <v>Skincare</v>
      </c>
      <c r="P4141">
        <v>1</v>
      </c>
      <c r="Q4141" s="5">
        <v>449</v>
      </c>
      <c r="R4141" s="74">
        <v>0.25</v>
      </c>
      <c r="S4141" s="75">
        <f>OrdersTable[[#This Row],[Quantity]]*OrdersTable[[#This Row],[Unit Price]]</f>
        <v>449</v>
      </c>
      <c r="T4141" s="5">
        <f>OrdersTable[[#This Row],[Gross Sale]]*OrdersTable[[#This Row],[Discount_Clean2]]</f>
        <v>112.25</v>
      </c>
      <c r="U4141" s="5">
        <f>OrdersTable[[#This Row],[Gross Sale]]-OrdersTable[[#This Row],[Discount Amount]]</f>
        <v>336.75</v>
      </c>
      <c r="V4141" s="77">
        <f>INDEX(Products!E:E,MATCH(OrdersTable[[#This Row],[Product ID]],Products!A:A,0))</f>
        <v>144</v>
      </c>
      <c r="W4141" s="77">
        <f>OrdersTable[[#This Row],[Quantity]]*OrdersTable[[#This Row],[Unit Cost]]</f>
        <v>144</v>
      </c>
      <c r="X4141" s="77">
        <f>'Dropdown Lists'!$I$2*(1+OrdersTable[[#This Row],[Returned]])</f>
        <v>60</v>
      </c>
      <c r="Y4141" s="76">
        <f>OrdersTable[[#This Row],[Net Revenue]]-OrdersTable[[#This Row],[COGS]]-OrdersTable[[#This Row],[Shipping Cost]]</f>
        <v>132.75</v>
      </c>
      <c r="Z4141" s="78">
        <f>IFERROR(OrdersTable[[#This Row],[Profit]]/OrdersTable[[#This Row],[Net Revenue]],0)</f>
        <v>0.39420935412026725</v>
      </c>
      <c r="AA4141" t="s">
        <v>2522</v>
      </c>
      <c r="AB4141" s="79">
        <v>45946</v>
      </c>
      <c r="AC4141">
        <f>OrdersTable[[#This Row],[Delivery Date]]-OrdersTable[[#This Row],[Order Date]]</f>
        <v>2</v>
      </c>
      <c r="AD4141" t="str">
        <f>IF(OrdersTable[[#This Row],[Delivery Days]]&lt;=2, "Express (≤2d)", IF(OrdersTable[[#This Row],[Delivery Days]]&lt;=4, "Standard (3-4d)", "Delayed (5d+)"))</f>
        <v>Express (≤2d)</v>
      </c>
      <c r="AE4141">
        <v>5</v>
      </c>
      <c r="AF4141">
        <v>0</v>
      </c>
    </row>
    <row r="4142" spans="1:32" ht="15" x14ac:dyDescent="0.35">
      <c r="A4142" t="s">
        <v>3112</v>
      </c>
      <c r="B4142" s="1">
        <v>45944</v>
      </c>
      <c r="C4142">
        <f>YEAR(OrdersTable[[#This Row],[Order Date]])</f>
        <v>2025</v>
      </c>
      <c r="D4142" s="2">
        <f>DATE(YEAR(OrdersTable[[#This Row],[Order Date]]),MONTH(OrdersTable[[#This Row],[Order Date]]),1)</f>
        <v>45931</v>
      </c>
      <c r="E4142">
        <f>MONTH(OrdersTable[[#This Row],[Order Date]])</f>
        <v>10</v>
      </c>
      <c r="F4142" t="s">
        <v>31</v>
      </c>
      <c r="G4142" t="str">
        <f>IF(OrdersTable[[#This Row],[Order Date]]=_xlfn.MINIFS(Order_Date, Customer_ID, OrdersTable[[#This Row],[Customer ID]]), "New", "Repeat")</f>
        <v>Repeat</v>
      </c>
      <c r="H4142" t="s">
        <v>71</v>
      </c>
      <c r="I4142" t="str">
        <f>INDEX(State!B:B,MATCH(OrdersTable[[#This Row],[State]],State!A:A,0))</f>
        <v>MH</v>
      </c>
      <c r="J4142" t="str">
        <f>INDEX(State!C:C,MATCH(OrdersTable[[#This Row],[State Code]],State!B:B,0))</f>
        <v>West</v>
      </c>
      <c r="K4142" t="s">
        <v>102</v>
      </c>
      <c r="L4142" t="s">
        <v>23</v>
      </c>
      <c r="M4142" t="s">
        <v>160</v>
      </c>
      <c r="N4142" t="str">
        <f>INDEX(Products!B:B,MATCH(OrdersTable[[#This Row],[Product ID]],Products!A:A,0))</f>
        <v>Niacinamide Toner</v>
      </c>
      <c r="O4142" t="str">
        <f>INDEX(Products!C:C,MATCH(OrdersTable[[#This Row],[Product ID]],Products!A:A,0))</f>
        <v>Skincare</v>
      </c>
      <c r="P4142">
        <v>1</v>
      </c>
      <c r="Q4142" s="5">
        <v>399</v>
      </c>
      <c r="R4142" s="74">
        <v>0.4</v>
      </c>
      <c r="S4142" s="75">
        <f>OrdersTable[[#This Row],[Quantity]]*OrdersTable[[#This Row],[Unit Price]]</f>
        <v>399</v>
      </c>
      <c r="T4142" s="5">
        <f>OrdersTable[[#This Row],[Gross Sale]]*OrdersTable[[#This Row],[Discount_Clean2]]</f>
        <v>159.60000000000002</v>
      </c>
      <c r="U4142" s="5">
        <f>OrdersTable[[#This Row],[Gross Sale]]-OrdersTable[[#This Row],[Discount Amount]]</f>
        <v>239.39999999999998</v>
      </c>
      <c r="V4142" s="77">
        <f>INDEX(Products!E:E,MATCH(OrdersTable[[#This Row],[Product ID]],Products!A:A,0))</f>
        <v>112</v>
      </c>
      <c r="W4142" s="77">
        <f>OrdersTable[[#This Row],[Quantity]]*OrdersTable[[#This Row],[Unit Cost]]</f>
        <v>112</v>
      </c>
      <c r="X4142" s="77">
        <f>'Dropdown Lists'!$I$2*(1+OrdersTable[[#This Row],[Returned]])</f>
        <v>60</v>
      </c>
      <c r="Y4142" s="76">
        <f>OrdersTable[[#This Row],[Net Revenue]]-OrdersTable[[#This Row],[COGS]]-OrdersTable[[#This Row],[Shipping Cost]]</f>
        <v>67.399999999999977</v>
      </c>
      <c r="Z4142" s="78">
        <f>IFERROR(OrdersTable[[#This Row],[Profit]]/OrdersTable[[#This Row],[Net Revenue]],0)</f>
        <v>0.28153717627401831</v>
      </c>
      <c r="AA4142" t="s">
        <v>2522</v>
      </c>
      <c r="AB4142" s="79">
        <v>45948</v>
      </c>
      <c r="AC4142">
        <f>OrdersTable[[#This Row],[Delivery Date]]-OrdersTable[[#This Row],[Order Date]]</f>
        <v>4</v>
      </c>
      <c r="AD4142" t="str">
        <f>IF(OrdersTable[[#This Row],[Delivery Days]]&lt;=2, "Express (≤2d)", IF(OrdersTable[[#This Row],[Delivery Days]]&lt;=4, "Standard (3-4d)", "Delayed (5d+)"))</f>
        <v>Standard (3-4d)</v>
      </c>
      <c r="AF4142">
        <v>0</v>
      </c>
    </row>
    <row r="4143" spans="1:32" ht="15" x14ac:dyDescent="0.35">
      <c r="A4143" t="s">
        <v>3815</v>
      </c>
      <c r="B4143" s="1">
        <v>45944</v>
      </c>
      <c r="C4143">
        <f>YEAR(OrdersTable[[#This Row],[Order Date]])</f>
        <v>2025</v>
      </c>
      <c r="D4143" s="2">
        <f>DATE(YEAR(OrdersTable[[#This Row],[Order Date]]),MONTH(OrdersTable[[#This Row],[Order Date]]),1)</f>
        <v>45931</v>
      </c>
      <c r="E4143">
        <f>MONTH(OrdersTable[[#This Row],[Order Date]])</f>
        <v>10</v>
      </c>
      <c r="F4143" t="s">
        <v>3816</v>
      </c>
      <c r="G4143" t="str">
        <f>IF(OrdersTable[[#This Row],[Order Date]]=_xlfn.MINIFS(Order_Date, Customer_ID, OrdersTable[[#This Row],[Customer ID]]), "New", "Repeat")</f>
        <v>Repeat</v>
      </c>
      <c r="H4143" t="s">
        <v>167</v>
      </c>
      <c r="I4143" t="str">
        <f>INDEX(State!B:B,MATCH(OrdersTable[[#This Row],[State]],State!A:A,0))</f>
        <v>KA</v>
      </c>
      <c r="J4143" t="str">
        <f>INDEX(State!C:C,MATCH(OrdersTable[[#This Row],[State Code]],State!B:B,0))</f>
        <v>South</v>
      </c>
      <c r="K4143" t="s">
        <v>168</v>
      </c>
      <c r="L4143" t="s">
        <v>23</v>
      </c>
      <c r="M4143" t="s">
        <v>40</v>
      </c>
      <c r="N4143" t="str">
        <f>INDEX(Products!B:B,MATCH(OrdersTable[[#This Row],[Product ID]],Products!A:A,0))</f>
        <v>Ashwagandha Capsules</v>
      </c>
      <c r="O4143" t="str">
        <f>INDEX(Products!C:C,MATCH(OrdersTable[[#This Row],[Product ID]],Products!A:A,0))</f>
        <v>Wellness</v>
      </c>
      <c r="P4143">
        <v>1</v>
      </c>
      <c r="Q4143" s="5">
        <v>499</v>
      </c>
      <c r="R4143" s="74">
        <v>0.05</v>
      </c>
      <c r="S4143" s="75">
        <f>OrdersTable[[#This Row],[Quantity]]*OrdersTable[[#This Row],[Unit Price]]</f>
        <v>499</v>
      </c>
      <c r="T4143" s="5">
        <f>OrdersTable[[#This Row],[Gross Sale]]*OrdersTable[[#This Row],[Discount_Clean2]]</f>
        <v>24.950000000000003</v>
      </c>
      <c r="U4143" s="5">
        <f>OrdersTable[[#This Row],[Gross Sale]]-OrdersTable[[#This Row],[Discount Amount]]</f>
        <v>474.05</v>
      </c>
      <c r="V4143" s="77">
        <f>INDEX(Products!E:E,MATCH(OrdersTable[[#This Row],[Product ID]],Products!A:A,0))</f>
        <v>150</v>
      </c>
      <c r="W4143" s="77">
        <f>OrdersTable[[#This Row],[Quantity]]*OrdersTable[[#This Row],[Unit Cost]]</f>
        <v>150</v>
      </c>
      <c r="X4143" s="77">
        <f>'Dropdown Lists'!$I$2*(1+OrdersTable[[#This Row],[Returned]])</f>
        <v>60</v>
      </c>
      <c r="Y4143" s="76">
        <f>OrdersTable[[#This Row],[Net Revenue]]-OrdersTable[[#This Row],[COGS]]-OrdersTable[[#This Row],[Shipping Cost]]</f>
        <v>264.05</v>
      </c>
      <c r="Z4143" s="78">
        <f>IFERROR(OrdersTable[[#This Row],[Profit]]/OrdersTable[[#This Row],[Net Revenue]],0)</f>
        <v>0.55700875435080688</v>
      </c>
      <c r="AA4143" t="s">
        <v>3495</v>
      </c>
      <c r="AB4143" s="79">
        <v>45947</v>
      </c>
      <c r="AC4143">
        <f>OrdersTable[[#This Row],[Delivery Date]]-OrdersTable[[#This Row],[Order Date]]</f>
        <v>3</v>
      </c>
      <c r="AD4143" t="str">
        <f>IF(OrdersTable[[#This Row],[Delivery Days]]&lt;=2, "Express (≤2d)", IF(OrdersTable[[#This Row],[Delivery Days]]&lt;=4, "Standard (3-4d)", "Delayed (5d+)"))</f>
        <v>Standard (3-4d)</v>
      </c>
      <c r="AF4143">
        <v>0</v>
      </c>
    </row>
    <row r="4144" spans="1:32" ht="15" x14ac:dyDescent="0.35">
      <c r="A4144" t="s">
        <v>7119</v>
      </c>
      <c r="B4144" s="1">
        <v>45944</v>
      </c>
      <c r="C4144">
        <f>YEAR(OrdersTable[[#This Row],[Order Date]])</f>
        <v>2025</v>
      </c>
      <c r="D4144" s="2">
        <f>DATE(YEAR(OrdersTable[[#This Row],[Order Date]]),MONTH(OrdersTable[[#This Row],[Order Date]]),1)</f>
        <v>45931</v>
      </c>
      <c r="E4144">
        <f>MONTH(OrdersTable[[#This Row],[Order Date]])</f>
        <v>10</v>
      </c>
      <c r="F4144" t="s">
        <v>7120</v>
      </c>
      <c r="G4144" t="str">
        <f>IF(OrdersTable[[#This Row],[Order Date]]=_xlfn.MINIFS(Order_Date, Customer_ID, OrdersTable[[#This Row],[Customer ID]]), "New", "Repeat")</f>
        <v>New</v>
      </c>
      <c r="H4144" t="s">
        <v>316</v>
      </c>
      <c r="I4144" t="str">
        <f>INDEX(State!B:B,MATCH(OrdersTable[[#This Row],[State]],State!A:A,0))</f>
        <v>KL</v>
      </c>
      <c r="J4144" t="str">
        <f>INDEX(State!C:C,MATCH(OrdersTable[[#This Row],[State Code]],State!B:B,0))</f>
        <v>South</v>
      </c>
      <c r="K4144" t="s">
        <v>338</v>
      </c>
      <c r="L4144" t="s">
        <v>39</v>
      </c>
      <c r="M4144" t="s">
        <v>176</v>
      </c>
      <c r="N4144" t="str">
        <f>INDEX(Products!B:B,MATCH(OrdersTable[[#This Row],[Product ID]],Products!A:A,0))</f>
        <v>Denim Jacket</v>
      </c>
      <c r="O4144" t="str">
        <f>INDEX(Products!C:C,MATCH(OrdersTable[[#This Row],[Product ID]],Products!A:A,0))</f>
        <v>Apparel</v>
      </c>
      <c r="P4144">
        <v>4</v>
      </c>
      <c r="Q4144" s="5">
        <v>2499</v>
      </c>
      <c r="R4144" s="74">
        <v>0.2</v>
      </c>
      <c r="S4144" s="75">
        <f>OrdersTable[[#This Row],[Quantity]]*OrdersTable[[#This Row],[Unit Price]]</f>
        <v>9996</v>
      </c>
      <c r="T4144" s="5">
        <f>OrdersTable[[#This Row],[Gross Sale]]*OrdersTable[[#This Row],[Discount_Clean2]]</f>
        <v>1999.2</v>
      </c>
      <c r="U4144" s="5">
        <f>OrdersTable[[#This Row],[Gross Sale]]-OrdersTable[[#This Row],[Discount Amount]]</f>
        <v>7996.8</v>
      </c>
      <c r="V4144" s="77">
        <f>INDEX(Products!E:E,MATCH(OrdersTable[[#This Row],[Product ID]],Products!A:A,0))</f>
        <v>1125</v>
      </c>
      <c r="W4144" s="77">
        <f>OrdersTable[[#This Row],[Quantity]]*OrdersTable[[#This Row],[Unit Cost]]</f>
        <v>4500</v>
      </c>
      <c r="X4144" s="77">
        <f>'Dropdown Lists'!$I$2*(1+OrdersTable[[#This Row],[Returned]])</f>
        <v>60</v>
      </c>
      <c r="Y4144" s="76">
        <f>OrdersTable[[#This Row],[Net Revenue]]-OrdersTable[[#This Row],[COGS]]-OrdersTable[[#This Row],[Shipping Cost]]</f>
        <v>3436.8</v>
      </c>
      <c r="Z4144" s="78">
        <f>IFERROR(OrdersTable[[#This Row],[Profit]]/OrdersTable[[#This Row],[Net Revenue]],0)</f>
        <v>0.42977190876350541</v>
      </c>
      <c r="AA4144" t="s">
        <v>18</v>
      </c>
      <c r="AB4144" s="79">
        <v>45951</v>
      </c>
      <c r="AC4144">
        <f>OrdersTable[[#This Row],[Delivery Date]]-OrdersTable[[#This Row],[Order Date]]</f>
        <v>7</v>
      </c>
      <c r="AD4144" t="str">
        <f>IF(OrdersTable[[#This Row],[Delivery Days]]&lt;=2, "Express (≤2d)", IF(OrdersTable[[#This Row],[Delivery Days]]&lt;=4, "Standard (3-4d)", "Delayed (5d+)"))</f>
        <v>Delayed (5d+)</v>
      </c>
      <c r="AE4144">
        <v>4</v>
      </c>
      <c r="AF4144">
        <v>0</v>
      </c>
    </row>
    <row r="4145" spans="1:32" ht="15" x14ac:dyDescent="0.35">
      <c r="A4145" t="s">
        <v>2843</v>
      </c>
      <c r="B4145" s="1">
        <v>45944</v>
      </c>
      <c r="C4145">
        <f>YEAR(OrdersTable[[#This Row],[Order Date]])</f>
        <v>2025</v>
      </c>
      <c r="D4145" s="2">
        <f>DATE(YEAR(OrdersTable[[#This Row],[Order Date]]),MONTH(OrdersTable[[#This Row],[Order Date]]),1)</f>
        <v>45931</v>
      </c>
      <c r="E4145">
        <f>MONTH(OrdersTable[[#This Row],[Order Date]])</f>
        <v>10</v>
      </c>
      <c r="F4145" t="s">
        <v>2844</v>
      </c>
      <c r="G4145" t="str">
        <f>IF(OrdersTable[[#This Row],[Order Date]]=_xlfn.MINIFS(Order_Date, Customer_ID, OrdersTable[[#This Row],[Customer ID]]), "New", "Repeat")</f>
        <v>New</v>
      </c>
      <c r="H4145" t="s">
        <v>59</v>
      </c>
      <c r="I4145" t="str">
        <f>INDEX(State!B:B,MATCH(OrdersTable[[#This Row],[State]],State!A:A,0))</f>
        <v>TN</v>
      </c>
      <c r="J4145" t="str">
        <f>INDEX(State!C:C,MATCH(OrdersTable[[#This Row],[State Code]],State!B:B,0))</f>
        <v>South</v>
      </c>
      <c r="K4145" t="s">
        <v>60</v>
      </c>
      <c r="L4145" t="s">
        <v>39</v>
      </c>
      <c r="M4145" t="s">
        <v>66</v>
      </c>
      <c r="N4145" t="str">
        <f>INDEX(Products!B:B,MATCH(OrdersTable[[#This Row],[Product ID]],Products!A:A,0))</f>
        <v>Sunscreen SPF 50</v>
      </c>
      <c r="O4145" t="str">
        <f>INDEX(Products!C:C,MATCH(OrdersTable[[#This Row],[Product ID]],Products!A:A,0))</f>
        <v>Skincare</v>
      </c>
      <c r="P4145">
        <v>1</v>
      </c>
      <c r="Q4145" s="5">
        <v>449</v>
      </c>
      <c r="R4145" s="74">
        <v>0.2</v>
      </c>
      <c r="S4145" s="75">
        <f>OrdersTable[[#This Row],[Quantity]]*OrdersTable[[#This Row],[Unit Price]]</f>
        <v>449</v>
      </c>
      <c r="T4145" s="5">
        <f>OrdersTable[[#This Row],[Gross Sale]]*OrdersTable[[#This Row],[Discount_Clean2]]</f>
        <v>89.800000000000011</v>
      </c>
      <c r="U4145" s="5">
        <f>OrdersTable[[#This Row],[Gross Sale]]-OrdersTable[[#This Row],[Discount Amount]]</f>
        <v>359.2</v>
      </c>
      <c r="V4145" s="77">
        <f>INDEX(Products!E:E,MATCH(OrdersTable[[#This Row],[Product ID]],Products!A:A,0))</f>
        <v>144</v>
      </c>
      <c r="W4145" s="77">
        <f>OrdersTable[[#This Row],[Quantity]]*OrdersTable[[#This Row],[Unit Cost]]</f>
        <v>144</v>
      </c>
      <c r="X4145" s="77">
        <f>'Dropdown Lists'!$I$2*(1+OrdersTable[[#This Row],[Returned]])</f>
        <v>60</v>
      </c>
      <c r="Y4145" s="76">
        <f>OrdersTable[[#This Row],[Net Revenue]]-OrdersTable[[#This Row],[COGS]]-OrdersTable[[#This Row],[Shipping Cost]]</f>
        <v>155.19999999999999</v>
      </c>
      <c r="Z4145" s="78">
        <f>IFERROR(OrdersTable[[#This Row],[Profit]]/OrdersTable[[#This Row],[Net Revenue]],0)</f>
        <v>0.43207126948775054</v>
      </c>
      <c r="AA4145" t="s">
        <v>2522</v>
      </c>
      <c r="AB4145" s="79">
        <v>45949</v>
      </c>
      <c r="AC4145">
        <f>OrdersTable[[#This Row],[Delivery Date]]-OrdersTable[[#This Row],[Order Date]]</f>
        <v>5</v>
      </c>
      <c r="AD4145" t="str">
        <f>IF(OrdersTable[[#This Row],[Delivery Days]]&lt;=2, "Express (≤2d)", IF(OrdersTable[[#This Row],[Delivery Days]]&lt;=4, "Standard (3-4d)", "Delayed (5d+)"))</f>
        <v>Delayed (5d+)</v>
      </c>
      <c r="AE4145">
        <v>3</v>
      </c>
      <c r="AF4145">
        <v>0</v>
      </c>
    </row>
    <row r="4146" spans="1:32" ht="15" x14ac:dyDescent="0.35">
      <c r="A4146" t="s">
        <v>1784</v>
      </c>
      <c r="B4146" s="1">
        <v>45945</v>
      </c>
      <c r="C4146">
        <f>YEAR(OrdersTable[[#This Row],[Order Date]])</f>
        <v>2025</v>
      </c>
      <c r="D4146" s="2">
        <f>DATE(YEAR(OrdersTable[[#This Row],[Order Date]]),MONTH(OrdersTable[[#This Row],[Order Date]]),1)</f>
        <v>45931</v>
      </c>
      <c r="E4146">
        <f>MONTH(OrdersTable[[#This Row],[Order Date]])</f>
        <v>10</v>
      </c>
      <c r="F4146" t="s">
        <v>1785</v>
      </c>
      <c r="G4146" t="str">
        <f>IF(OrdersTable[[#This Row],[Order Date]]=_xlfn.MINIFS(Order_Date, Customer_ID, OrdersTable[[#This Row],[Customer ID]]), "New", "Repeat")</f>
        <v>New</v>
      </c>
      <c r="H4146" t="s">
        <v>76</v>
      </c>
      <c r="I4146" t="str">
        <f>INDEX(State!B:B,MATCH(OrdersTable[[#This Row],[State]],State!A:A,0))</f>
        <v>UP</v>
      </c>
      <c r="J4146" t="str">
        <f>INDEX(State!C:C,MATCH(OrdersTable[[#This Row],[State Code]],State!B:B,0))</f>
        <v>North</v>
      </c>
      <c r="K4146" t="s">
        <v>118</v>
      </c>
      <c r="L4146" t="s">
        <v>65</v>
      </c>
      <c r="M4146" t="s">
        <v>160</v>
      </c>
      <c r="N4146" t="str">
        <f>INDEX(Products!B:B,MATCH(OrdersTable[[#This Row],[Product ID]],Products!A:A,0))</f>
        <v>Niacinamide Toner</v>
      </c>
      <c r="O4146" t="str">
        <f>INDEX(Products!C:C,MATCH(OrdersTable[[#This Row],[Product ID]],Products!A:A,0))</f>
        <v>Skincare</v>
      </c>
      <c r="P4146">
        <v>1</v>
      </c>
      <c r="Q4146" s="5">
        <v>399</v>
      </c>
      <c r="R4146" s="74">
        <v>0.25</v>
      </c>
      <c r="S4146" s="75">
        <f>OrdersTable[[#This Row],[Quantity]]*OrdersTable[[#This Row],[Unit Price]]</f>
        <v>399</v>
      </c>
      <c r="T4146" s="5">
        <f>OrdersTable[[#This Row],[Gross Sale]]*OrdersTable[[#This Row],[Discount_Clean2]]</f>
        <v>99.75</v>
      </c>
      <c r="U4146" s="5">
        <f>OrdersTable[[#This Row],[Gross Sale]]-OrdersTable[[#This Row],[Discount Amount]]</f>
        <v>299.25</v>
      </c>
      <c r="V4146" s="77">
        <f>INDEX(Products!E:E,MATCH(OrdersTable[[#This Row],[Product ID]],Products!A:A,0))</f>
        <v>112</v>
      </c>
      <c r="W4146" s="77">
        <f>OrdersTable[[#This Row],[Quantity]]*OrdersTable[[#This Row],[Unit Cost]]</f>
        <v>112</v>
      </c>
      <c r="X4146" s="77">
        <f>'Dropdown Lists'!$I$2*(1+OrdersTable[[#This Row],[Returned]])</f>
        <v>60</v>
      </c>
      <c r="Y4146" s="76">
        <f>OrdersTable[[#This Row],[Net Revenue]]-OrdersTable[[#This Row],[COGS]]-OrdersTable[[#This Row],[Shipping Cost]]</f>
        <v>127.25</v>
      </c>
      <c r="Z4146" s="78">
        <f>IFERROR(OrdersTable[[#This Row],[Profit]]/OrdersTable[[#This Row],[Net Revenue]],0)</f>
        <v>0.42522974101921468</v>
      </c>
      <c r="AA4146" t="s">
        <v>18</v>
      </c>
      <c r="AB4146" s="79">
        <v>45949</v>
      </c>
      <c r="AC4146">
        <f>OrdersTable[[#This Row],[Delivery Date]]-OrdersTable[[#This Row],[Order Date]]</f>
        <v>4</v>
      </c>
      <c r="AD4146" t="str">
        <f>IF(OrdersTable[[#This Row],[Delivery Days]]&lt;=2, "Express (≤2d)", IF(OrdersTable[[#This Row],[Delivery Days]]&lt;=4, "Standard (3-4d)", "Delayed (5d+)"))</f>
        <v>Standard (3-4d)</v>
      </c>
      <c r="AF4146">
        <v>0</v>
      </c>
    </row>
    <row r="4147" spans="1:32" ht="15" x14ac:dyDescent="0.35">
      <c r="A4147" t="s">
        <v>7121</v>
      </c>
      <c r="B4147" s="1">
        <v>45945</v>
      </c>
      <c r="C4147">
        <f>YEAR(OrdersTable[[#This Row],[Order Date]])</f>
        <v>2025</v>
      </c>
      <c r="D4147" s="2">
        <f>DATE(YEAR(OrdersTable[[#This Row],[Order Date]]),MONTH(OrdersTable[[#This Row],[Order Date]]),1)</f>
        <v>45931</v>
      </c>
      <c r="E4147">
        <f>MONTH(OrdersTable[[#This Row],[Order Date]])</f>
        <v>10</v>
      </c>
      <c r="F4147" t="s">
        <v>2676</v>
      </c>
      <c r="G4147" t="str">
        <f>IF(OrdersTable[[#This Row],[Order Date]]=_xlfn.MINIFS(Order_Date, Customer_ID, OrdersTable[[#This Row],[Customer ID]]), "New", "Repeat")</f>
        <v>Repeat</v>
      </c>
      <c r="H4147" t="s">
        <v>76</v>
      </c>
      <c r="I4147" t="str">
        <f>INDEX(State!B:B,MATCH(OrdersTable[[#This Row],[State]],State!A:A,0))</f>
        <v>UP</v>
      </c>
      <c r="J4147" t="str">
        <f>INDEX(State!C:C,MATCH(OrdersTable[[#This Row],[State Code]],State!B:B,0))</f>
        <v>North</v>
      </c>
      <c r="K4147" t="s">
        <v>118</v>
      </c>
      <c r="L4147" t="s">
        <v>65</v>
      </c>
      <c r="M4147" t="s">
        <v>24</v>
      </c>
      <c r="N4147" t="str">
        <f>INDEX(Products!B:B,MATCH(OrdersTable[[#This Row],[Product ID]],Products!A:A,0))</f>
        <v>Scented Candle Set</v>
      </c>
      <c r="O4147" t="str">
        <f>INDEX(Products!C:C,MATCH(OrdersTable[[#This Row],[Product ID]],Products!A:A,0))</f>
        <v>Home &amp; Kitchen</v>
      </c>
      <c r="P4147">
        <v>4</v>
      </c>
      <c r="Q4147" s="5">
        <v>699</v>
      </c>
      <c r="R4147" s="74">
        <v>0.3</v>
      </c>
      <c r="S4147" s="75">
        <f>OrdersTable[[#This Row],[Quantity]]*OrdersTable[[#This Row],[Unit Price]]</f>
        <v>2796</v>
      </c>
      <c r="T4147" s="5">
        <f>OrdersTable[[#This Row],[Gross Sale]]*OrdersTable[[#This Row],[Discount_Clean2]]</f>
        <v>838.8</v>
      </c>
      <c r="U4147" s="5">
        <f>OrdersTable[[#This Row],[Gross Sale]]-OrdersTable[[#This Row],[Discount Amount]]</f>
        <v>1957.2</v>
      </c>
      <c r="V4147" s="77">
        <f>INDEX(Products!E:E,MATCH(OrdersTable[[#This Row],[Product ID]],Products!A:A,0))</f>
        <v>245</v>
      </c>
      <c r="W4147" s="77">
        <f>OrdersTable[[#This Row],[Quantity]]*OrdersTable[[#This Row],[Unit Cost]]</f>
        <v>980</v>
      </c>
      <c r="X4147" s="77">
        <f>'Dropdown Lists'!$I$2*(1+OrdersTable[[#This Row],[Returned]])</f>
        <v>60</v>
      </c>
      <c r="Y4147" s="76">
        <f>OrdersTable[[#This Row],[Net Revenue]]-OrdersTable[[#This Row],[COGS]]-OrdersTable[[#This Row],[Shipping Cost]]</f>
        <v>917.2</v>
      </c>
      <c r="Z4147" s="78">
        <f>IFERROR(OrdersTable[[#This Row],[Profit]]/OrdersTable[[#This Row],[Net Revenue]],0)</f>
        <v>0.46862865317800939</v>
      </c>
      <c r="AA4147" t="s">
        <v>18</v>
      </c>
      <c r="AB4147" s="79">
        <v>45949</v>
      </c>
      <c r="AC4147">
        <f>OrdersTable[[#This Row],[Delivery Date]]-OrdersTable[[#This Row],[Order Date]]</f>
        <v>4</v>
      </c>
      <c r="AD4147" t="str">
        <f>IF(OrdersTable[[#This Row],[Delivery Days]]&lt;=2, "Express (≤2d)", IF(OrdersTable[[#This Row],[Delivery Days]]&lt;=4, "Standard (3-4d)", "Delayed (5d+)"))</f>
        <v>Standard (3-4d)</v>
      </c>
      <c r="AE4147">
        <v>4</v>
      </c>
      <c r="AF4147">
        <v>0</v>
      </c>
    </row>
    <row r="4148" spans="1:32" ht="15" x14ac:dyDescent="0.35">
      <c r="A4148" t="s">
        <v>2033</v>
      </c>
      <c r="B4148" s="1">
        <v>45945</v>
      </c>
      <c r="C4148">
        <f>YEAR(OrdersTable[[#This Row],[Order Date]])</f>
        <v>2025</v>
      </c>
      <c r="D4148" s="2">
        <f>DATE(YEAR(OrdersTable[[#This Row],[Order Date]]),MONTH(OrdersTable[[#This Row],[Order Date]]),1)</f>
        <v>45931</v>
      </c>
      <c r="E4148">
        <f>MONTH(OrdersTable[[#This Row],[Order Date]])</f>
        <v>10</v>
      </c>
      <c r="F4148" t="s">
        <v>2034</v>
      </c>
      <c r="G4148" t="str">
        <f>IF(OrdersTable[[#This Row],[Order Date]]=_xlfn.MINIFS(Order_Date, Customer_ID, OrdersTable[[#This Row],[Customer ID]]), "New", "Repeat")</f>
        <v>Repeat</v>
      </c>
      <c r="H4148" t="s">
        <v>132</v>
      </c>
      <c r="I4148" t="str">
        <f>INDEX(State!B:B,MATCH(OrdersTable[[#This Row],[State]],State!A:A,0))</f>
        <v>AS</v>
      </c>
      <c r="J4148" t="str">
        <f>INDEX(State!C:C,MATCH(OrdersTable[[#This Row],[State Code]],State!B:B,0))</f>
        <v>East</v>
      </c>
      <c r="K4148" t="s">
        <v>133</v>
      </c>
      <c r="L4148" t="s">
        <v>65</v>
      </c>
      <c r="M4148" t="s">
        <v>40</v>
      </c>
      <c r="N4148" t="str">
        <f>INDEX(Products!B:B,MATCH(OrdersTable[[#This Row],[Product ID]],Products!A:A,0))</f>
        <v>Ashwagandha Capsules</v>
      </c>
      <c r="O4148" t="str">
        <f>INDEX(Products!C:C,MATCH(OrdersTable[[#This Row],[Product ID]],Products!A:A,0))</f>
        <v>Wellness</v>
      </c>
      <c r="P4148">
        <v>1</v>
      </c>
      <c r="Q4148" s="5">
        <v>499</v>
      </c>
      <c r="R4148" s="74">
        <v>0.2</v>
      </c>
      <c r="S4148" s="75">
        <f>OrdersTable[[#This Row],[Quantity]]*OrdersTable[[#This Row],[Unit Price]]</f>
        <v>499</v>
      </c>
      <c r="T4148" s="5">
        <f>OrdersTable[[#This Row],[Gross Sale]]*OrdersTable[[#This Row],[Discount_Clean2]]</f>
        <v>99.800000000000011</v>
      </c>
      <c r="U4148" s="5">
        <f>OrdersTable[[#This Row],[Gross Sale]]-OrdersTable[[#This Row],[Discount Amount]]</f>
        <v>399.2</v>
      </c>
      <c r="V4148" s="77">
        <f>INDEX(Products!E:E,MATCH(OrdersTable[[#This Row],[Product ID]],Products!A:A,0))</f>
        <v>150</v>
      </c>
      <c r="W4148" s="77">
        <f>OrdersTable[[#This Row],[Quantity]]*OrdersTable[[#This Row],[Unit Cost]]</f>
        <v>150</v>
      </c>
      <c r="X4148" s="77">
        <f>'Dropdown Lists'!$I$2*(1+OrdersTable[[#This Row],[Returned]])</f>
        <v>60</v>
      </c>
      <c r="Y4148" s="76">
        <f>OrdersTable[[#This Row],[Net Revenue]]-OrdersTable[[#This Row],[COGS]]-OrdersTable[[#This Row],[Shipping Cost]]</f>
        <v>189.2</v>
      </c>
      <c r="Z4148" s="78">
        <f>IFERROR(OrdersTable[[#This Row],[Profit]]/OrdersTable[[#This Row],[Net Revenue]],0)</f>
        <v>0.47394789579158314</v>
      </c>
      <c r="AA4148" t="s">
        <v>18</v>
      </c>
      <c r="AB4148" s="79">
        <v>45952</v>
      </c>
      <c r="AC4148">
        <f>OrdersTable[[#This Row],[Delivery Date]]-OrdersTable[[#This Row],[Order Date]]</f>
        <v>7</v>
      </c>
      <c r="AD4148" t="str">
        <f>IF(OrdersTable[[#This Row],[Delivery Days]]&lt;=2, "Express (≤2d)", IF(OrdersTable[[#This Row],[Delivery Days]]&lt;=4, "Standard (3-4d)", "Delayed (5d+)"))</f>
        <v>Delayed (5d+)</v>
      </c>
      <c r="AE4148">
        <v>3</v>
      </c>
      <c r="AF4148">
        <v>0</v>
      </c>
    </row>
    <row r="4149" spans="1:32" ht="15" x14ac:dyDescent="0.35">
      <c r="A4149" t="s">
        <v>693</v>
      </c>
      <c r="B4149" s="1">
        <v>45945</v>
      </c>
      <c r="C4149">
        <f>YEAR(OrdersTable[[#This Row],[Order Date]])</f>
        <v>2025</v>
      </c>
      <c r="D4149" s="2">
        <f>DATE(YEAR(OrdersTable[[#This Row],[Order Date]]),MONTH(OrdersTable[[#This Row],[Order Date]]),1)</f>
        <v>45931</v>
      </c>
      <c r="E4149">
        <f>MONTH(OrdersTable[[#This Row],[Order Date]])</f>
        <v>10</v>
      </c>
      <c r="F4149" t="s">
        <v>694</v>
      </c>
      <c r="G4149" t="str">
        <f>IF(OrdersTable[[#This Row],[Order Date]]=_xlfn.MINIFS(Order_Date, Customer_ID, OrdersTable[[#This Row],[Customer ID]]), "New", "Repeat")</f>
        <v>Repeat</v>
      </c>
      <c r="H4149" t="s">
        <v>37</v>
      </c>
      <c r="I4149" t="str">
        <f>INDEX(State!B:B,MATCH(OrdersTable[[#This Row],[State]],State!A:A,0))</f>
        <v>GJ</v>
      </c>
      <c r="J4149" t="str">
        <f>INDEX(State!C:C,MATCH(OrdersTable[[#This Row],[State Code]],State!B:B,0))</f>
        <v>West</v>
      </c>
      <c r="K4149" t="s">
        <v>247</v>
      </c>
      <c r="L4149" t="s">
        <v>65</v>
      </c>
      <c r="M4149" t="s">
        <v>40</v>
      </c>
      <c r="N4149" t="str">
        <f>INDEX(Products!B:B,MATCH(OrdersTable[[#This Row],[Product ID]],Products!A:A,0))</f>
        <v>Ashwagandha Capsules</v>
      </c>
      <c r="O4149" t="str">
        <f>INDEX(Products!C:C,MATCH(OrdersTable[[#This Row],[Product ID]],Products!A:A,0))</f>
        <v>Wellness</v>
      </c>
      <c r="P4149">
        <v>1</v>
      </c>
      <c r="Q4149" s="5">
        <v>499</v>
      </c>
      <c r="R4149" s="74">
        <v>0.1</v>
      </c>
      <c r="S4149" s="75">
        <f>OrdersTable[[#This Row],[Quantity]]*OrdersTable[[#This Row],[Unit Price]]</f>
        <v>499</v>
      </c>
      <c r="T4149" s="5">
        <f>OrdersTable[[#This Row],[Gross Sale]]*OrdersTable[[#This Row],[Discount_Clean2]]</f>
        <v>49.900000000000006</v>
      </c>
      <c r="U4149" s="5">
        <f>OrdersTable[[#This Row],[Gross Sale]]-OrdersTable[[#This Row],[Discount Amount]]</f>
        <v>449.1</v>
      </c>
      <c r="V4149" s="77">
        <f>INDEX(Products!E:E,MATCH(OrdersTable[[#This Row],[Product ID]],Products!A:A,0))</f>
        <v>150</v>
      </c>
      <c r="W4149" s="77">
        <f>OrdersTable[[#This Row],[Quantity]]*OrdersTable[[#This Row],[Unit Cost]]</f>
        <v>150</v>
      </c>
      <c r="X4149" s="77">
        <f>'Dropdown Lists'!$I$2*(1+OrdersTable[[#This Row],[Returned]])</f>
        <v>60</v>
      </c>
      <c r="Y4149" s="76">
        <f>OrdersTable[[#This Row],[Net Revenue]]-OrdersTable[[#This Row],[COGS]]-OrdersTable[[#This Row],[Shipping Cost]]</f>
        <v>239.10000000000002</v>
      </c>
      <c r="Z4149" s="78">
        <f>IFERROR(OrdersTable[[#This Row],[Profit]]/OrdersTable[[#This Row],[Net Revenue]],0)</f>
        <v>0.53239812959251842</v>
      </c>
      <c r="AA4149" t="s">
        <v>18</v>
      </c>
      <c r="AB4149" s="79">
        <v>45949</v>
      </c>
      <c r="AC4149">
        <f>OrdersTable[[#This Row],[Delivery Date]]-OrdersTable[[#This Row],[Order Date]]</f>
        <v>4</v>
      </c>
      <c r="AD4149" t="str">
        <f>IF(OrdersTable[[#This Row],[Delivery Days]]&lt;=2, "Express (≤2d)", IF(OrdersTable[[#This Row],[Delivery Days]]&lt;=4, "Standard (3-4d)", "Delayed (5d+)"))</f>
        <v>Standard (3-4d)</v>
      </c>
      <c r="AE4149">
        <v>4</v>
      </c>
      <c r="AF4149">
        <v>0</v>
      </c>
    </row>
    <row r="4150" spans="1:32" ht="15" x14ac:dyDescent="0.35">
      <c r="A4150" t="s">
        <v>695</v>
      </c>
      <c r="B4150" s="1">
        <v>45945</v>
      </c>
      <c r="C4150">
        <f>YEAR(OrdersTable[[#This Row],[Order Date]])</f>
        <v>2025</v>
      </c>
      <c r="D4150" s="2">
        <f>DATE(YEAR(OrdersTable[[#This Row],[Order Date]]),MONTH(OrdersTable[[#This Row],[Order Date]]),1)</f>
        <v>45931</v>
      </c>
      <c r="E4150">
        <f>MONTH(OrdersTable[[#This Row],[Order Date]])</f>
        <v>10</v>
      </c>
      <c r="F4150" t="s">
        <v>696</v>
      </c>
      <c r="G4150" t="str">
        <f>IF(OrdersTable[[#This Row],[Order Date]]=_xlfn.MINIFS(Order_Date, Customer_ID, OrdersTable[[#This Row],[Customer ID]]), "New", "Repeat")</f>
        <v>Repeat</v>
      </c>
      <c r="H4150" t="s">
        <v>27</v>
      </c>
      <c r="I4150" t="str">
        <f>INDEX(State!B:B,MATCH(OrdersTable[[#This Row],[State]],State!A:A,0))</f>
        <v>WB</v>
      </c>
      <c r="J4150" t="str">
        <f>INDEX(State!C:C,MATCH(OrdersTable[[#This Row],[State Code]],State!B:B,0))</f>
        <v>East</v>
      </c>
      <c r="K4150" t="s">
        <v>28</v>
      </c>
      <c r="L4150" t="s">
        <v>50</v>
      </c>
      <c r="M4150" t="s">
        <v>73</v>
      </c>
      <c r="N4150" t="str">
        <f>INDEX(Products!B:B,MATCH(OrdersTable[[#This Row],[Product ID]],Products!A:A,0))</f>
        <v>Hydrating Face Wash</v>
      </c>
      <c r="O4150" t="str">
        <f>INDEX(Products!C:C,MATCH(OrdersTable[[#This Row],[Product ID]],Products!A:A,0))</f>
        <v>Skincare</v>
      </c>
      <c r="P4150">
        <v>1</v>
      </c>
      <c r="Q4150" s="5">
        <v>299</v>
      </c>
      <c r="R4150" s="74">
        <v>0.15</v>
      </c>
      <c r="S4150" s="75">
        <f>OrdersTable[[#This Row],[Quantity]]*OrdersTable[[#This Row],[Unit Price]]</f>
        <v>299</v>
      </c>
      <c r="T4150" s="5">
        <f>OrdersTable[[#This Row],[Gross Sale]]*OrdersTable[[#This Row],[Discount_Clean2]]</f>
        <v>44.85</v>
      </c>
      <c r="U4150" s="5">
        <f>OrdersTable[[#This Row],[Gross Sale]]-OrdersTable[[#This Row],[Discount Amount]]</f>
        <v>254.15</v>
      </c>
      <c r="V4150" s="77">
        <f>INDEX(Products!E:E,MATCH(OrdersTable[[#This Row],[Product ID]],Products!A:A,0))</f>
        <v>90</v>
      </c>
      <c r="W4150" s="77">
        <f>OrdersTable[[#This Row],[Quantity]]*OrdersTable[[#This Row],[Unit Cost]]</f>
        <v>90</v>
      </c>
      <c r="X4150" s="77">
        <f>'Dropdown Lists'!$I$2*(1+OrdersTable[[#This Row],[Returned]])</f>
        <v>60</v>
      </c>
      <c r="Y4150" s="76">
        <f>OrdersTable[[#This Row],[Net Revenue]]-OrdersTable[[#This Row],[COGS]]-OrdersTable[[#This Row],[Shipping Cost]]</f>
        <v>104.15</v>
      </c>
      <c r="Z4150" s="78">
        <f>IFERROR(OrdersTable[[#This Row],[Profit]]/OrdersTable[[#This Row],[Net Revenue]],0)</f>
        <v>0.40979736376155818</v>
      </c>
      <c r="AA4150" t="s">
        <v>18</v>
      </c>
      <c r="AB4150" s="79">
        <v>45948</v>
      </c>
      <c r="AC4150">
        <f>OrdersTable[[#This Row],[Delivery Date]]-OrdersTable[[#This Row],[Order Date]]</f>
        <v>3</v>
      </c>
      <c r="AD4150" t="str">
        <f>IF(OrdersTable[[#This Row],[Delivery Days]]&lt;=2, "Express (≤2d)", IF(OrdersTable[[#This Row],[Delivery Days]]&lt;=4, "Standard (3-4d)", "Delayed (5d+)"))</f>
        <v>Standard (3-4d)</v>
      </c>
      <c r="AE4150">
        <v>4</v>
      </c>
      <c r="AF4150">
        <v>0</v>
      </c>
    </row>
    <row r="4151" spans="1:32" ht="15" x14ac:dyDescent="0.35">
      <c r="A4151" t="s">
        <v>6921</v>
      </c>
      <c r="B4151" s="1">
        <v>45945</v>
      </c>
      <c r="C4151">
        <f>YEAR(OrdersTable[[#This Row],[Order Date]])</f>
        <v>2025</v>
      </c>
      <c r="D4151" s="2">
        <f>DATE(YEAR(OrdersTable[[#This Row],[Order Date]]),MONTH(OrdersTable[[#This Row],[Order Date]]),1)</f>
        <v>45931</v>
      </c>
      <c r="E4151">
        <f>MONTH(OrdersTable[[#This Row],[Order Date]])</f>
        <v>10</v>
      </c>
      <c r="F4151" t="s">
        <v>3463</v>
      </c>
      <c r="G4151" t="str">
        <f>IF(OrdersTable[[#This Row],[Order Date]]=_xlfn.MINIFS(Order_Date, Customer_ID, OrdersTable[[#This Row],[Customer ID]]), "New", "Repeat")</f>
        <v>Repeat</v>
      </c>
      <c r="H4151" t="s">
        <v>14</v>
      </c>
      <c r="I4151" t="str">
        <f>INDEX(State!B:B,MATCH(OrdersTable[[#This Row],[State]],State!A:A,0))</f>
        <v>OD</v>
      </c>
      <c r="J4151" t="str">
        <f>INDEX(State!C:C,MATCH(OrdersTable[[#This Row],[State Code]],State!B:B,0))</f>
        <v>East</v>
      </c>
      <c r="K4151" t="s">
        <v>15</v>
      </c>
      <c r="L4151" t="s">
        <v>23</v>
      </c>
      <c r="M4151" t="s">
        <v>228</v>
      </c>
      <c r="N4151" t="str">
        <f>INDEX(Products!B:B,MATCH(OrdersTable[[#This Row],[Product ID]],Products!A:A,0))</f>
        <v>Fast Charger 33W</v>
      </c>
      <c r="O4151" t="str">
        <f>INDEX(Products!C:C,MATCH(OrdersTable[[#This Row],[Product ID]],Products!A:A,0))</f>
        <v>Electronics</v>
      </c>
      <c r="P4151">
        <v>3</v>
      </c>
      <c r="Q4151" s="5">
        <v>899</v>
      </c>
      <c r="R4151" s="74">
        <v>0.15</v>
      </c>
      <c r="S4151" s="75">
        <f>OrdersTable[[#This Row],[Quantity]]*OrdersTable[[#This Row],[Unit Price]]</f>
        <v>2697</v>
      </c>
      <c r="T4151" s="5">
        <f>OrdersTable[[#This Row],[Gross Sale]]*OrdersTable[[#This Row],[Discount_Clean2]]</f>
        <v>404.55</v>
      </c>
      <c r="U4151" s="5">
        <f>OrdersTable[[#This Row],[Gross Sale]]-OrdersTable[[#This Row],[Discount Amount]]</f>
        <v>2292.4499999999998</v>
      </c>
      <c r="V4151" s="77">
        <f>INDEX(Products!E:E,MATCH(OrdersTable[[#This Row],[Product ID]],Products!A:A,0))</f>
        <v>494</v>
      </c>
      <c r="W4151" s="77">
        <f>OrdersTable[[#This Row],[Quantity]]*OrdersTable[[#This Row],[Unit Cost]]</f>
        <v>1482</v>
      </c>
      <c r="X4151" s="77">
        <f>'Dropdown Lists'!$I$2*(1+OrdersTable[[#This Row],[Returned]])</f>
        <v>60</v>
      </c>
      <c r="Y4151" s="76">
        <f>OrdersTable[[#This Row],[Net Revenue]]-OrdersTable[[#This Row],[COGS]]-OrdersTable[[#This Row],[Shipping Cost]]</f>
        <v>750.44999999999982</v>
      </c>
      <c r="Z4151" s="78">
        <f>IFERROR(OrdersTable[[#This Row],[Profit]]/OrdersTable[[#This Row],[Net Revenue]],0)</f>
        <v>0.32735719426814103</v>
      </c>
      <c r="AA4151" t="s">
        <v>4074</v>
      </c>
      <c r="AB4151" s="79">
        <v>45949</v>
      </c>
      <c r="AC4151">
        <f>OrdersTable[[#This Row],[Delivery Date]]-OrdersTable[[#This Row],[Order Date]]</f>
        <v>4</v>
      </c>
      <c r="AD4151" t="str">
        <f>IF(OrdersTable[[#This Row],[Delivery Days]]&lt;=2, "Express (≤2d)", IF(OrdersTable[[#This Row],[Delivery Days]]&lt;=4, "Standard (3-4d)", "Delayed (5d+)"))</f>
        <v>Standard (3-4d)</v>
      </c>
      <c r="AF4151">
        <v>0</v>
      </c>
    </row>
    <row r="4152" spans="1:32" ht="15" x14ac:dyDescent="0.35">
      <c r="A4152" t="s">
        <v>697</v>
      </c>
      <c r="B4152" s="1">
        <v>45945</v>
      </c>
      <c r="C4152">
        <f>YEAR(OrdersTable[[#This Row],[Order Date]])</f>
        <v>2025</v>
      </c>
      <c r="D4152" s="2">
        <f>DATE(YEAR(OrdersTable[[#This Row],[Order Date]]),MONTH(OrdersTable[[#This Row],[Order Date]]),1)</f>
        <v>45931</v>
      </c>
      <c r="E4152">
        <f>MONTH(OrdersTable[[#This Row],[Order Date]])</f>
        <v>10</v>
      </c>
      <c r="F4152" t="s">
        <v>698</v>
      </c>
      <c r="G4152" t="str">
        <f>IF(OrdersTable[[#This Row],[Order Date]]=_xlfn.MINIFS(Order_Date, Customer_ID, OrdersTable[[#This Row],[Customer ID]]), "New", "Repeat")</f>
        <v>New</v>
      </c>
      <c r="H4152" t="s">
        <v>167</v>
      </c>
      <c r="I4152" t="str">
        <f>INDEX(State!B:B,MATCH(OrdersTable[[#This Row],[State]],State!A:A,0))</f>
        <v>KA</v>
      </c>
      <c r="J4152" t="str">
        <f>INDEX(State!C:C,MATCH(OrdersTable[[#This Row],[State Code]],State!B:B,0))</f>
        <v>South</v>
      </c>
      <c r="K4152" t="s">
        <v>168</v>
      </c>
      <c r="L4152" t="s">
        <v>50</v>
      </c>
      <c r="M4152" t="s">
        <v>73</v>
      </c>
      <c r="N4152" t="str">
        <f>INDEX(Products!B:B,MATCH(OrdersTable[[#This Row],[Product ID]],Products!A:A,0))</f>
        <v>Hydrating Face Wash</v>
      </c>
      <c r="O4152" t="str">
        <f>INDEX(Products!C:C,MATCH(OrdersTable[[#This Row],[Product ID]],Products!A:A,0))</f>
        <v>Skincare</v>
      </c>
      <c r="P4152">
        <v>1</v>
      </c>
      <c r="Q4152" s="5">
        <v>299</v>
      </c>
      <c r="R4152" s="74">
        <v>0.15</v>
      </c>
      <c r="S4152" s="75">
        <f>OrdersTable[[#This Row],[Quantity]]*OrdersTable[[#This Row],[Unit Price]]</f>
        <v>299</v>
      </c>
      <c r="T4152" s="5">
        <f>OrdersTable[[#This Row],[Gross Sale]]*OrdersTable[[#This Row],[Discount_Clean2]]</f>
        <v>44.85</v>
      </c>
      <c r="U4152" s="5">
        <f>OrdersTable[[#This Row],[Gross Sale]]-OrdersTable[[#This Row],[Discount Amount]]</f>
        <v>254.15</v>
      </c>
      <c r="V4152" s="77">
        <f>INDEX(Products!E:E,MATCH(OrdersTable[[#This Row],[Product ID]],Products!A:A,0))</f>
        <v>90</v>
      </c>
      <c r="W4152" s="77">
        <f>OrdersTable[[#This Row],[Quantity]]*OrdersTable[[#This Row],[Unit Cost]]</f>
        <v>90</v>
      </c>
      <c r="X4152" s="77">
        <f>'Dropdown Lists'!$I$2*(1+OrdersTable[[#This Row],[Returned]])</f>
        <v>60</v>
      </c>
      <c r="Y4152" s="76">
        <f>OrdersTable[[#This Row],[Net Revenue]]-OrdersTable[[#This Row],[COGS]]-OrdersTable[[#This Row],[Shipping Cost]]</f>
        <v>104.15</v>
      </c>
      <c r="Z4152" s="78">
        <f>IFERROR(OrdersTable[[#This Row],[Profit]]/OrdersTable[[#This Row],[Net Revenue]],0)</f>
        <v>0.40979736376155818</v>
      </c>
      <c r="AA4152" t="s">
        <v>18</v>
      </c>
      <c r="AB4152" s="79">
        <v>45948</v>
      </c>
      <c r="AC4152">
        <f>OrdersTable[[#This Row],[Delivery Date]]-OrdersTable[[#This Row],[Order Date]]</f>
        <v>3</v>
      </c>
      <c r="AD4152" t="str">
        <f>IF(OrdersTable[[#This Row],[Delivery Days]]&lt;=2, "Express (≤2d)", IF(OrdersTable[[#This Row],[Delivery Days]]&lt;=4, "Standard (3-4d)", "Delayed (5d+)"))</f>
        <v>Standard (3-4d)</v>
      </c>
      <c r="AE4152">
        <v>4</v>
      </c>
      <c r="AF4152">
        <v>0</v>
      </c>
    </row>
    <row r="4153" spans="1:32" ht="15" x14ac:dyDescent="0.35">
      <c r="A4153" t="s">
        <v>383</v>
      </c>
      <c r="B4153" s="1">
        <v>45945</v>
      </c>
      <c r="C4153">
        <f>YEAR(OrdersTable[[#This Row],[Order Date]])</f>
        <v>2025</v>
      </c>
      <c r="D4153" s="2">
        <f>DATE(YEAR(OrdersTable[[#This Row],[Order Date]]),MONTH(OrdersTable[[#This Row],[Order Date]]),1)</f>
        <v>45931</v>
      </c>
      <c r="E4153">
        <f>MONTH(OrdersTable[[#This Row],[Order Date]])</f>
        <v>10</v>
      </c>
      <c r="F4153" t="s">
        <v>384</v>
      </c>
      <c r="G4153" t="str">
        <f>IF(OrdersTable[[#This Row],[Order Date]]=_xlfn.MINIFS(Order_Date, Customer_ID, OrdersTable[[#This Row],[Customer ID]]), "New", "Repeat")</f>
        <v>Repeat</v>
      </c>
      <c r="H4153" t="s">
        <v>59</v>
      </c>
      <c r="I4153" t="str">
        <f>INDEX(State!B:B,MATCH(OrdersTable[[#This Row],[State]],State!A:A,0))</f>
        <v>TN</v>
      </c>
      <c r="J4153" t="str">
        <f>INDEX(State!C:C,MATCH(OrdersTable[[#This Row],[State Code]],State!B:B,0))</f>
        <v>South</v>
      </c>
      <c r="K4153" t="s">
        <v>60</v>
      </c>
      <c r="L4153" t="s">
        <v>65</v>
      </c>
      <c r="M4153" t="s">
        <v>109</v>
      </c>
      <c r="N4153" t="str">
        <f>INDEX(Products!B:B,MATCH(OrdersTable[[#This Row],[Product ID]],Products!A:A,0))</f>
        <v>Onion Hair Oil</v>
      </c>
      <c r="O4153" t="str">
        <f>INDEX(Products!C:C,MATCH(OrdersTable[[#This Row],[Product ID]],Products!A:A,0))</f>
        <v>Haircare</v>
      </c>
      <c r="P4153">
        <v>1</v>
      </c>
      <c r="Q4153" s="5">
        <v>349</v>
      </c>
      <c r="R4153" s="74">
        <v>0.45</v>
      </c>
      <c r="S4153" s="75">
        <f>OrdersTable[[#This Row],[Quantity]]*OrdersTable[[#This Row],[Unit Price]]</f>
        <v>349</v>
      </c>
      <c r="T4153" s="5">
        <f>OrdersTable[[#This Row],[Gross Sale]]*OrdersTable[[#This Row],[Discount_Clean2]]</f>
        <v>157.05000000000001</v>
      </c>
      <c r="U4153" s="5">
        <f>OrdersTable[[#This Row],[Gross Sale]]-OrdersTable[[#This Row],[Discount Amount]]</f>
        <v>191.95</v>
      </c>
      <c r="V4153" s="77">
        <f>INDEX(Products!E:E,MATCH(OrdersTable[[#This Row],[Product ID]],Products!A:A,0))</f>
        <v>105</v>
      </c>
      <c r="W4153" s="77">
        <f>OrdersTable[[#This Row],[Quantity]]*OrdersTable[[#This Row],[Unit Cost]]</f>
        <v>105</v>
      </c>
      <c r="X4153" s="77">
        <f>'Dropdown Lists'!$I$2*(1+OrdersTable[[#This Row],[Returned]])</f>
        <v>60</v>
      </c>
      <c r="Y4153" s="76">
        <f>OrdersTable[[#This Row],[Net Revenue]]-OrdersTable[[#This Row],[COGS]]-OrdersTable[[#This Row],[Shipping Cost]]</f>
        <v>26.949999999999989</v>
      </c>
      <c r="Z4153" s="78">
        <f>IFERROR(OrdersTable[[#This Row],[Profit]]/OrdersTable[[#This Row],[Net Revenue]],0)</f>
        <v>0.1404011461318051</v>
      </c>
      <c r="AA4153" t="s">
        <v>18</v>
      </c>
      <c r="AB4153" s="79">
        <v>45946</v>
      </c>
      <c r="AC4153">
        <f>OrdersTable[[#This Row],[Delivery Date]]-OrdersTable[[#This Row],[Order Date]]</f>
        <v>1</v>
      </c>
      <c r="AD4153" t="str">
        <f>IF(OrdersTable[[#This Row],[Delivery Days]]&lt;=2, "Express (≤2d)", IF(OrdersTable[[#This Row],[Delivery Days]]&lt;=4, "Standard (3-4d)", "Delayed (5d+)"))</f>
        <v>Express (≤2d)</v>
      </c>
      <c r="AE4153">
        <v>4</v>
      </c>
      <c r="AF4153">
        <v>0</v>
      </c>
    </row>
    <row r="4154" spans="1:32" ht="15" x14ac:dyDescent="0.35">
      <c r="A4154" t="s">
        <v>3113</v>
      </c>
      <c r="B4154" s="1">
        <v>45946</v>
      </c>
      <c r="C4154">
        <f>YEAR(OrdersTable[[#This Row],[Order Date]])</f>
        <v>2025</v>
      </c>
      <c r="D4154" s="2">
        <f>DATE(YEAR(OrdersTable[[#This Row],[Order Date]]),MONTH(OrdersTable[[#This Row],[Order Date]]),1)</f>
        <v>45931</v>
      </c>
      <c r="E4154">
        <f>MONTH(OrdersTable[[#This Row],[Order Date]])</f>
        <v>10</v>
      </c>
      <c r="F4154" t="s">
        <v>3114</v>
      </c>
      <c r="G4154" t="str">
        <f>IF(OrdersTable[[#This Row],[Order Date]]=_xlfn.MINIFS(Order_Date, Customer_ID, OrdersTable[[#This Row],[Customer ID]]), "New", "Repeat")</f>
        <v>Repeat</v>
      </c>
      <c r="H4154" t="s">
        <v>184</v>
      </c>
      <c r="I4154" t="str">
        <f>INDEX(State!B:B,MATCH(OrdersTable[[#This Row],[State]],State!A:A,0))</f>
        <v>UK</v>
      </c>
      <c r="J4154" t="str">
        <f>INDEX(State!C:C,MATCH(OrdersTable[[#This Row],[State Code]],State!B:B,0))</f>
        <v>North</v>
      </c>
      <c r="K4154" t="s">
        <v>185</v>
      </c>
      <c r="L4154" t="s">
        <v>65</v>
      </c>
      <c r="M4154" t="s">
        <v>45</v>
      </c>
      <c r="N4154" t="str">
        <f>INDEX(Products!B:B,MATCH(OrdersTable[[#This Row],[Product ID]],Products!A:A,0))</f>
        <v>Argan Shampoo</v>
      </c>
      <c r="O4154" t="str">
        <f>INDEX(Products!C:C,MATCH(OrdersTable[[#This Row],[Product ID]],Products!A:A,0))</f>
        <v>Haircare</v>
      </c>
      <c r="P4154">
        <v>1</v>
      </c>
      <c r="Q4154" s="5">
        <v>449</v>
      </c>
      <c r="R4154" s="74">
        <v>0.2</v>
      </c>
      <c r="S4154" s="75">
        <f>OrdersTable[[#This Row],[Quantity]]*OrdersTable[[#This Row],[Unit Price]]</f>
        <v>449</v>
      </c>
      <c r="T4154" s="5">
        <f>OrdersTable[[#This Row],[Gross Sale]]*OrdersTable[[#This Row],[Discount_Clean2]]</f>
        <v>89.800000000000011</v>
      </c>
      <c r="U4154" s="5">
        <f>OrdersTable[[#This Row],[Gross Sale]]-OrdersTable[[#This Row],[Discount Amount]]</f>
        <v>359.2</v>
      </c>
      <c r="V4154" s="77">
        <f>INDEX(Products!E:E,MATCH(OrdersTable[[#This Row],[Product ID]],Products!A:A,0))</f>
        <v>148</v>
      </c>
      <c r="W4154" s="77">
        <f>OrdersTable[[#This Row],[Quantity]]*OrdersTable[[#This Row],[Unit Cost]]</f>
        <v>148</v>
      </c>
      <c r="X4154" s="77">
        <f>'Dropdown Lists'!$I$2*(1+OrdersTable[[#This Row],[Returned]])</f>
        <v>60</v>
      </c>
      <c r="Y4154" s="76">
        <f>OrdersTable[[#This Row],[Net Revenue]]-OrdersTable[[#This Row],[COGS]]-OrdersTable[[#This Row],[Shipping Cost]]</f>
        <v>151.19999999999999</v>
      </c>
      <c r="Z4154" s="78">
        <f>IFERROR(OrdersTable[[#This Row],[Profit]]/OrdersTable[[#This Row],[Net Revenue]],0)</f>
        <v>0.42093541202672602</v>
      </c>
      <c r="AA4154" t="s">
        <v>2522</v>
      </c>
      <c r="AB4154" s="79">
        <v>45950</v>
      </c>
      <c r="AC4154">
        <f>OrdersTable[[#This Row],[Delivery Date]]-OrdersTable[[#This Row],[Order Date]]</f>
        <v>4</v>
      </c>
      <c r="AD4154" t="str">
        <f>IF(OrdersTable[[#This Row],[Delivery Days]]&lt;=2, "Express (≤2d)", IF(OrdersTable[[#This Row],[Delivery Days]]&lt;=4, "Standard (3-4d)", "Delayed (5d+)"))</f>
        <v>Standard (3-4d)</v>
      </c>
      <c r="AF4154">
        <v>0</v>
      </c>
    </row>
    <row r="4155" spans="1:32" ht="15" x14ac:dyDescent="0.35">
      <c r="A4155" t="s">
        <v>6212</v>
      </c>
      <c r="B4155" s="1">
        <v>45946</v>
      </c>
      <c r="C4155">
        <f>YEAR(OrdersTable[[#This Row],[Order Date]])</f>
        <v>2025</v>
      </c>
      <c r="D4155" s="2">
        <f>DATE(YEAR(OrdersTable[[#This Row],[Order Date]]),MONTH(OrdersTable[[#This Row],[Order Date]]),1)</f>
        <v>45931</v>
      </c>
      <c r="E4155">
        <f>MONTH(OrdersTable[[#This Row],[Order Date]])</f>
        <v>10</v>
      </c>
      <c r="F4155" t="s">
        <v>6213</v>
      </c>
      <c r="G4155" t="str">
        <f>IF(OrdersTable[[#This Row],[Order Date]]=_xlfn.MINIFS(Order_Date, Customer_ID, OrdersTable[[#This Row],[Customer ID]]), "New", "Repeat")</f>
        <v>New</v>
      </c>
      <c r="H4155" t="s">
        <v>76</v>
      </c>
      <c r="I4155" t="str">
        <f>INDEX(State!B:B,MATCH(OrdersTable[[#This Row],[State]],State!A:A,0))</f>
        <v>UP</v>
      </c>
      <c r="J4155" t="str">
        <f>INDEX(State!C:C,MATCH(OrdersTable[[#This Row],[State Code]],State!B:B,0))</f>
        <v>North</v>
      </c>
      <c r="K4155" t="s">
        <v>77</v>
      </c>
      <c r="L4155" t="s">
        <v>65</v>
      </c>
      <c r="M4155" t="s">
        <v>125</v>
      </c>
      <c r="N4155" t="str">
        <f>INDEX(Products!B:B,MATCH(OrdersTable[[#This Row],[Product ID]],Products!A:A,0))</f>
        <v>Copper Water Bottle</v>
      </c>
      <c r="O4155" t="str">
        <f>INDEX(Products!C:C,MATCH(OrdersTable[[#This Row],[Product ID]],Products!A:A,0))</f>
        <v>Home &amp; Kitchen</v>
      </c>
      <c r="P4155">
        <v>2</v>
      </c>
      <c r="Q4155" s="5">
        <v>899</v>
      </c>
      <c r="R4155" s="74">
        <v>0.3</v>
      </c>
      <c r="S4155" s="75">
        <f>OrdersTable[[#This Row],[Quantity]]*OrdersTable[[#This Row],[Unit Price]]</f>
        <v>1798</v>
      </c>
      <c r="T4155" s="5">
        <f>OrdersTable[[#This Row],[Gross Sale]]*OrdersTable[[#This Row],[Discount_Clean2]]</f>
        <v>539.4</v>
      </c>
      <c r="U4155" s="5">
        <f>OrdersTable[[#This Row],[Gross Sale]]-OrdersTable[[#This Row],[Discount Amount]]</f>
        <v>1258.5999999999999</v>
      </c>
      <c r="V4155" s="77">
        <f>INDEX(Products!E:E,MATCH(OrdersTable[[#This Row],[Product ID]],Products!A:A,0))</f>
        <v>378</v>
      </c>
      <c r="W4155" s="77">
        <f>OrdersTable[[#This Row],[Quantity]]*OrdersTable[[#This Row],[Unit Cost]]</f>
        <v>756</v>
      </c>
      <c r="X4155" s="77">
        <f>'Dropdown Lists'!$I$2*(1+OrdersTable[[#This Row],[Returned]])</f>
        <v>60</v>
      </c>
      <c r="Y4155" s="76">
        <f>OrdersTable[[#This Row],[Net Revenue]]-OrdersTable[[#This Row],[COGS]]-OrdersTable[[#This Row],[Shipping Cost]]</f>
        <v>442.59999999999991</v>
      </c>
      <c r="Z4155" s="78">
        <f>IFERROR(OrdersTable[[#This Row],[Profit]]/OrdersTable[[#This Row],[Net Revenue]],0)</f>
        <v>0.35166057524233268</v>
      </c>
      <c r="AA4155" t="s">
        <v>18</v>
      </c>
      <c r="AB4155" s="79">
        <v>45950</v>
      </c>
      <c r="AC4155">
        <f>OrdersTable[[#This Row],[Delivery Date]]-OrdersTable[[#This Row],[Order Date]]</f>
        <v>4</v>
      </c>
      <c r="AD4155" t="str">
        <f>IF(OrdersTable[[#This Row],[Delivery Days]]&lt;=2, "Express (≤2d)", IF(OrdersTable[[#This Row],[Delivery Days]]&lt;=4, "Standard (3-4d)", "Delayed (5d+)"))</f>
        <v>Standard (3-4d)</v>
      </c>
      <c r="AE4155">
        <v>4</v>
      </c>
      <c r="AF4155">
        <v>0</v>
      </c>
    </row>
    <row r="4156" spans="1:32" ht="15" x14ac:dyDescent="0.35">
      <c r="A4156" t="s">
        <v>6633</v>
      </c>
      <c r="B4156" s="1">
        <v>45946</v>
      </c>
      <c r="C4156">
        <f>YEAR(OrdersTable[[#This Row],[Order Date]])</f>
        <v>2025</v>
      </c>
      <c r="D4156" s="2">
        <f>DATE(YEAR(OrdersTable[[#This Row],[Order Date]]),MONTH(OrdersTable[[#This Row],[Order Date]]),1)</f>
        <v>45931</v>
      </c>
      <c r="E4156">
        <f>MONTH(OrdersTable[[#This Row],[Order Date]])</f>
        <v>10</v>
      </c>
      <c r="F4156" t="s">
        <v>2744</v>
      </c>
      <c r="G4156" t="str">
        <f>IF(OrdersTable[[#This Row],[Order Date]]=_xlfn.MINIFS(Order_Date, Customer_ID, OrdersTable[[#This Row],[Customer ID]]), "New", "Repeat")</f>
        <v>Repeat</v>
      </c>
      <c r="H4156" t="s">
        <v>37</v>
      </c>
      <c r="I4156" t="str">
        <f>INDEX(State!B:B,MATCH(OrdersTable[[#This Row],[State]],State!A:A,0))</f>
        <v>GJ</v>
      </c>
      <c r="J4156" t="str">
        <f>INDEX(State!C:C,MATCH(OrdersTable[[#This Row],[State Code]],State!B:B,0))</f>
        <v>West</v>
      </c>
      <c r="K4156" t="s">
        <v>247</v>
      </c>
      <c r="L4156" t="s">
        <v>39</v>
      </c>
      <c r="M4156" t="s">
        <v>152</v>
      </c>
      <c r="N4156" t="str">
        <f>INDEX(Products!B:B,MATCH(OrdersTable[[#This Row],[Product ID]],Products!A:A,0))</f>
        <v>Green Tea (100 bags)</v>
      </c>
      <c r="O4156" t="str">
        <f>INDEX(Products!C:C,MATCH(OrdersTable[[#This Row],[Product ID]],Products!A:A,0))</f>
        <v>Wellness</v>
      </c>
      <c r="P4156">
        <v>3</v>
      </c>
      <c r="Q4156" s="5">
        <v>399</v>
      </c>
      <c r="R4156" s="74">
        <v>0.4</v>
      </c>
      <c r="S4156" s="75">
        <f>OrdersTable[[#This Row],[Quantity]]*OrdersTable[[#This Row],[Unit Price]]</f>
        <v>1197</v>
      </c>
      <c r="T4156" s="5">
        <f>OrdersTable[[#This Row],[Gross Sale]]*OrdersTable[[#This Row],[Discount_Clean2]]</f>
        <v>478.8</v>
      </c>
      <c r="U4156" s="5">
        <f>OrdersTable[[#This Row],[Gross Sale]]-OrdersTable[[#This Row],[Discount Amount]]</f>
        <v>718.2</v>
      </c>
      <c r="V4156" s="77">
        <f>INDEX(Products!E:E,MATCH(OrdersTable[[#This Row],[Product ID]],Products!A:A,0))</f>
        <v>128</v>
      </c>
      <c r="W4156" s="77">
        <f>OrdersTable[[#This Row],[Quantity]]*OrdersTable[[#This Row],[Unit Cost]]</f>
        <v>384</v>
      </c>
      <c r="X4156" s="77">
        <f>'Dropdown Lists'!$I$2*(1+OrdersTable[[#This Row],[Returned]])</f>
        <v>120</v>
      </c>
      <c r="Y4156" s="76">
        <f>OrdersTable[[#This Row],[Net Revenue]]-OrdersTable[[#This Row],[COGS]]-OrdersTable[[#This Row],[Shipping Cost]]</f>
        <v>214.20000000000005</v>
      </c>
      <c r="Z4156" s="78">
        <f>IFERROR(OrdersTable[[#This Row],[Profit]]/OrdersTable[[#This Row],[Net Revenue]],0)</f>
        <v>0.29824561403508776</v>
      </c>
      <c r="AA4156" t="s">
        <v>18</v>
      </c>
      <c r="AB4156" s="79">
        <v>45953</v>
      </c>
      <c r="AC4156">
        <f>OrdersTable[[#This Row],[Delivery Date]]-OrdersTable[[#This Row],[Order Date]]</f>
        <v>7</v>
      </c>
      <c r="AD4156" t="str">
        <f>IF(OrdersTable[[#This Row],[Delivery Days]]&lt;=2, "Express (≤2d)", IF(OrdersTable[[#This Row],[Delivery Days]]&lt;=4, "Standard (3-4d)", "Delayed (5d+)"))</f>
        <v>Delayed (5d+)</v>
      </c>
      <c r="AE4156">
        <v>3</v>
      </c>
      <c r="AF4156">
        <v>1</v>
      </c>
    </row>
    <row r="4157" spans="1:32" ht="15" x14ac:dyDescent="0.35">
      <c r="A4157" t="s">
        <v>2663</v>
      </c>
      <c r="B4157" s="1">
        <v>45946</v>
      </c>
      <c r="C4157">
        <f>YEAR(OrdersTable[[#This Row],[Order Date]])</f>
        <v>2025</v>
      </c>
      <c r="D4157" s="2">
        <f>DATE(YEAR(OrdersTable[[#This Row],[Order Date]]),MONTH(OrdersTable[[#This Row],[Order Date]]),1)</f>
        <v>45931</v>
      </c>
      <c r="E4157">
        <f>MONTH(OrdersTable[[#This Row],[Order Date]])</f>
        <v>10</v>
      </c>
      <c r="F4157" t="s">
        <v>145</v>
      </c>
      <c r="G4157" t="str">
        <f>IF(OrdersTable[[#This Row],[Order Date]]=_xlfn.MINIFS(Order_Date, Customer_ID, OrdersTable[[#This Row],[Customer ID]]), "New", "Repeat")</f>
        <v>Repeat</v>
      </c>
      <c r="H4157" t="s">
        <v>37</v>
      </c>
      <c r="I4157" t="str">
        <f>INDEX(State!B:B,MATCH(OrdersTable[[#This Row],[State]],State!A:A,0))</f>
        <v>GJ</v>
      </c>
      <c r="J4157" t="str">
        <f>INDEX(State!C:C,MATCH(OrdersTable[[#This Row],[State Code]],State!B:B,0))</f>
        <v>West</v>
      </c>
      <c r="K4157" t="s">
        <v>38</v>
      </c>
      <c r="L4157" t="s">
        <v>16</v>
      </c>
      <c r="M4157" t="s">
        <v>29</v>
      </c>
      <c r="N4157" t="str">
        <f>INDEX(Products!B:B,MATCH(OrdersTable[[#This Row],[Product ID]],Products!A:A,0))</f>
        <v>Joggers</v>
      </c>
      <c r="O4157" t="str">
        <f>INDEX(Products!C:C,MATCH(OrdersTable[[#This Row],[Product ID]],Products!A:A,0))</f>
        <v>Apparel</v>
      </c>
      <c r="P4157">
        <v>1</v>
      </c>
      <c r="Q4157" s="5">
        <v>1199</v>
      </c>
      <c r="R4157" s="74">
        <v>0.15</v>
      </c>
      <c r="S4157" s="75">
        <f>OrdersTable[[#This Row],[Quantity]]*OrdersTable[[#This Row],[Unit Price]]</f>
        <v>1199</v>
      </c>
      <c r="T4157" s="5">
        <f>OrdersTable[[#This Row],[Gross Sale]]*OrdersTable[[#This Row],[Discount_Clean2]]</f>
        <v>179.85</v>
      </c>
      <c r="U4157" s="5">
        <f>OrdersTable[[#This Row],[Gross Sale]]-OrdersTable[[#This Row],[Discount Amount]]</f>
        <v>1019.15</v>
      </c>
      <c r="V4157" s="77">
        <f>INDEX(Products!E:E,MATCH(OrdersTable[[#This Row],[Product ID]],Products!A:A,0))</f>
        <v>492</v>
      </c>
      <c r="W4157" s="77">
        <f>OrdersTable[[#This Row],[Quantity]]*OrdersTable[[#This Row],[Unit Cost]]</f>
        <v>492</v>
      </c>
      <c r="X4157" s="77">
        <f>'Dropdown Lists'!$I$2*(1+OrdersTable[[#This Row],[Returned]])</f>
        <v>60</v>
      </c>
      <c r="Y4157" s="76">
        <f>OrdersTable[[#This Row],[Net Revenue]]-OrdersTable[[#This Row],[COGS]]-OrdersTable[[#This Row],[Shipping Cost]]</f>
        <v>467.15</v>
      </c>
      <c r="Z4157" s="78">
        <f>IFERROR(OrdersTable[[#This Row],[Profit]]/OrdersTable[[#This Row],[Net Revenue]],0)</f>
        <v>0.45837217288917231</v>
      </c>
      <c r="AA4157" t="s">
        <v>2522</v>
      </c>
      <c r="AB4157" s="79">
        <v>45950</v>
      </c>
      <c r="AC4157">
        <f>OrdersTable[[#This Row],[Delivery Date]]-OrdersTable[[#This Row],[Order Date]]</f>
        <v>4</v>
      </c>
      <c r="AD4157" t="str">
        <f>IF(OrdersTable[[#This Row],[Delivery Days]]&lt;=2, "Express (≤2d)", IF(OrdersTable[[#This Row],[Delivery Days]]&lt;=4, "Standard (3-4d)", "Delayed (5d+)"))</f>
        <v>Standard (3-4d)</v>
      </c>
      <c r="AE4157">
        <v>5</v>
      </c>
      <c r="AF4157">
        <v>0</v>
      </c>
    </row>
    <row r="4158" spans="1:32" ht="15" x14ac:dyDescent="0.35">
      <c r="A4158" t="s">
        <v>2845</v>
      </c>
      <c r="B4158" s="1">
        <v>45946</v>
      </c>
      <c r="C4158">
        <f>YEAR(OrdersTable[[#This Row],[Order Date]])</f>
        <v>2025</v>
      </c>
      <c r="D4158" s="2">
        <f>DATE(YEAR(OrdersTable[[#This Row],[Order Date]]),MONTH(OrdersTable[[#This Row],[Order Date]]),1)</f>
        <v>45931</v>
      </c>
      <c r="E4158">
        <f>MONTH(OrdersTable[[#This Row],[Order Date]])</f>
        <v>10</v>
      </c>
      <c r="F4158" t="s">
        <v>325</v>
      </c>
      <c r="G4158" t="str">
        <f>IF(OrdersTable[[#This Row],[Order Date]]=_xlfn.MINIFS(Order_Date, Customer_ID, OrdersTable[[#This Row],[Customer ID]]), "New", "Repeat")</f>
        <v>Repeat</v>
      </c>
      <c r="H4158" t="s">
        <v>37</v>
      </c>
      <c r="I4158" t="str">
        <f>INDEX(State!B:B,MATCH(OrdersTable[[#This Row],[State]],State!A:A,0))</f>
        <v>GJ</v>
      </c>
      <c r="J4158" t="str">
        <f>INDEX(State!C:C,MATCH(OrdersTable[[#This Row],[State Code]],State!B:B,0))</f>
        <v>West</v>
      </c>
      <c r="K4158" t="s">
        <v>247</v>
      </c>
      <c r="L4158" t="s">
        <v>65</v>
      </c>
      <c r="M4158" t="s">
        <v>125</v>
      </c>
      <c r="N4158" t="str">
        <f>INDEX(Products!B:B,MATCH(OrdersTable[[#This Row],[Product ID]],Products!A:A,0))</f>
        <v>Copper Water Bottle</v>
      </c>
      <c r="O4158" t="str">
        <f>INDEX(Products!C:C,MATCH(OrdersTable[[#This Row],[Product ID]],Products!A:A,0))</f>
        <v>Home &amp; Kitchen</v>
      </c>
      <c r="P4158">
        <v>1</v>
      </c>
      <c r="Q4158" s="5">
        <v>899</v>
      </c>
      <c r="R4158" s="74">
        <v>0.1</v>
      </c>
      <c r="S4158" s="75">
        <f>OrdersTable[[#This Row],[Quantity]]*OrdersTable[[#This Row],[Unit Price]]</f>
        <v>899</v>
      </c>
      <c r="T4158" s="5">
        <f>OrdersTable[[#This Row],[Gross Sale]]*OrdersTable[[#This Row],[Discount_Clean2]]</f>
        <v>89.9</v>
      </c>
      <c r="U4158" s="5">
        <f>OrdersTable[[#This Row],[Gross Sale]]-OrdersTable[[#This Row],[Discount Amount]]</f>
        <v>809.1</v>
      </c>
      <c r="V4158" s="77">
        <f>INDEX(Products!E:E,MATCH(OrdersTable[[#This Row],[Product ID]],Products!A:A,0))</f>
        <v>378</v>
      </c>
      <c r="W4158" s="77">
        <f>OrdersTable[[#This Row],[Quantity]]*OrdersTable[[#This Row],[Unit Cost]]</f>
        <v>378</v>
      </c>
      <c r="X4158" s="77">
        <f>'Dropdown Lists'!$I$2*(1+OrdersTable[[#This Row],[Returned]])</f>
        <v>60</v>
      </c>
      <c r="Y4158" s="76">
        <f>OrdersTable[[#This Row],[Net Revenue]]-OrdersTable[[#This Row],[COGS]]-OrdersTable[[#This Row],[Shipping Cost]]</f>
        <v>371.1</v>
      </c>
      <c r="Z4158" s="78">
        <f>IFERROR(OrdersTable[[#This Row],[Profit]]/OrdersTable[[#This Row],[Net Revenue]],0)</f>
        <v>0.45865776789024842</v>
      </c>
      <c r="AA4158" t="s">
        <v>2522</v>
      </c>
      <c r="AB4158" s="79">
        <v>45952</v>
      </c>
      <c r="AC4158">
        <f>OrdersTable[[#This Row],[Delivery Date]]-OrdersTable[[#This Row],[Order Date]]</f>
        <v>6</v>
      </c>
      <c r="AD4158" t="str">
        <f>IF(OrdersTable[[#This Row],[Delivery Days]]&lt;=2, "Express (≤2d)", IF(OrdersTable[[#This Row],[Delivery Days]]&lt;=4, "Standard (3-4d)", "Delayed (5d+)"))</f>
        <v>Delayed (5d+)</v>
      </c>
      <c r="AE4158">
        <v>3</v>
      </c>
      <c r="AF4158">
        <v>0</v>
      </c>
    </row>
    <row r="4159" spans="1:32" ht="15" x14ac:dyDescent="0.35">
      <c r="A4159" t="s">
        <v>3676</v>
      </c>
      <c r="B4159" s="1">
        <v>45946</v>
      </c>
      <c r="C4159">
        <f>YEAR(OrdersTable[[#This Row],[Order Date]])</f>
        <v>2025</v>
      </c>
      <c r="D4159" s="2">
        <f>DATE(YEAR(OrdersTable[[#This Row],[Order Date]]),MONTH(OrdersTable[[#This Row],[Order Date]]),1)</f>
        <v>45931</v>
      </c>
      <c r="E4159">
        <f>MONTH(OrdersTable[[#This Row],[Order Date]])</f>
        <v>10</v>
      </c>
      <c r="F4159" t="s">
        <v>3677</v>
      </c>
      <c r="G4159" t="str">
        <f>IF(OrdersTable[[#This Row],[Order Date]]=_xlfn.MINIFS(Order_Date, Customer_ID, OrdersTable[[#This Row],[Customer ID]]), "New", "Repeat")</f>
        <v>Repeat</v>
      </c>
      <c r="H4159" t="s">
        <v>27</v>
      </c>
      <c r="I4159" t="str">
        <f>INDEX(State!B:B,MATCH(OrdersTable[[#This Row],[State]],State!A:A,0))</f>
        <v>WB</v>
      </c>
      <c r="J4159" t="str">
        <f>INDEX(State!C:C,MATCH(OrdersTable[[#This Row],[State Code]],State!B:B,0))</f>
        <v>East</v>
      </c>
      <c r="K4159" t="s">
        <v>28</v>
      </c>
      <c r="L4159" t="s">
        <v>65</v>
      </c>
      <c r="M4159" t="s">
        <v>205</v>
      </c>
      <c r="N4159" t="str">
        <f>INDEX(Products!B:B,MATCH(OrdersTable[[#This Row],[Product ID]],Products!A:A,0))</f>
        <v>Running Shoes</v>
      </c>
      <c r="O4159" t="str">
        <f>INDEX(Products!C:C,MATCH(OrdersTable[[#This Row],[Product ID]],Products!A:A,0))</f>
        <v>Footwear</v>
      </c>
      <c r="P4159">
        <v>1</v>
      </c>
      <c r="Q4159" s="5">
        <v>2999</v>
      </c>
      <c r="R4159" s="74">
        <v>0.25</v>
      </c>
      <c r="S4159" s="75">
        <f>OrdersTable[[#This Row],[Quantity]]*OrdersTable[[#This Row],[Unit Price]]</f>
        <v>2999</v>
      </c>
      <c r="T4159" s="5">
        <f>OrdersTable[[#This Row],[Gross Sale]]*OrdersTable[[#This Row],[Discount_Clean2]]</f>
        <v>749.75</v>
      </c>
      <c r="U4159" s="5">
        <f>OrdersTable[[#This Row],[Gross Sale]]-OrdersTable[[#This Row],[Discount Amount]]</f>
        <v>2249.25</v>
      </c>
      <c r="V4159" s="77">
        <f>INDEX(Products!E:E,MATCH(OrdersTable[[#This Row],[Product ID]],Products!A:A,0))</f>
        <v>1440</v>
      </c>
      <c r="W4159" s="77">
        <f>OrdersTable[[#This Row],[Quantity]]*OrdersTable[[#This Row],[Unit Cost]]</f>
        <v>1440</v>
      </c>
      <c r="X4159" s="77">
        <f>'Dropdown Lists'!$I$2*(1+OrdersTable[[#This Row],[Returned]])</f>
        <v>60</v>
      </c>
      <c r="Y4159" s="76">
        <f>OrdersTable[[#This Row],[Net Revenue]]-OrdersTable[[#This Row],[COGS]]-OrdersTable[[#This Row],[Shipping Cost]]</f>
        <v>749.25</v>
      </c>
      <c r="Z4159" s="78">
        <f>IFERROR(OrdersTable[[#This Row],[Profit]]/OrdersTable[[#This Row],[Net Revenue]],0)</f>
        <v>0.33311103701233746</v>
      </c>
      <c r="AA4159" t="s">
        <v>3495</v>
      </c>
      <c r="AB4159" s="79">
        <v>45950</v>
      </c>
      <c r="AC4159">
        <f>OrdersTable[[#This Row],[Delivery Date]]-OrdersTable[[#This Row],[Order Date]]</f>
        <v>4</v>
      </c>
      <c r="AD4159" t="str">
        <f>IF(OrdersTable[[#This Row],[Delivery Days]]&lt;=2, "Express (≤2d)", IF(OrdersTable[[#This Row],[Delivery Days]]&lt;=4, "Standard (3-4d)", "Delayed (5d+)"))</f>
        <v>Standard (3-4d)</v>
      </c>
      <c r="AE4159">
        <v>4</v>
      </c>
      <c r="AF4159">
        <v>0</v>
      </c>
    </row>
    <row r="4160" spans="1:32" ht="15" x14ac:dyDescent="0.35">
      <c r="A4160" t="s">
        <v>3678</v>
      </c>
      <c r="B4160" s="1">
        <v>45946</v>
      </c>
      <c r="C4160">
        <f>YEAR(OrdersTable[[#This Row],[Order Date]])</f>
        <v>2025</v>
      </c>
      <c r="D4160" s="2">
        <f>DATE(YEAR(OrdersTable[[#This Row],[Order Date]]),MONTH(OrdersTable[[#This Row],[Order Date]]),1)</f>
        <v>45931</v>
      </c>
      <c r="E4160">
        <f>MONTH(OrdersTable[[#This Row],[Order Date]])</f>
        <v>10</v>
      </c>
      <c r="F4160" t="s">
        <v>2173</v>
      </c>
      <c r="G4160" t="str">
        <f>IF(OrdersTable[[#This Row],[Order Date]]=_xlfn.MINIFS(Order_Date, Customer_ID, OrdersTable[[#This Row],[Customer ID]]), "New", "Repeat")</f>
        <v>Repeat</v>
      </c>
      <c r="H4160" t="s">
        <v>71</v>
      </c>
      <c r="I4160" t="str">
        <f>INDEX(State!B:B,MATCH(OrdersTable[[#This Row],[State]],State!A:A,0))</f>
        <v>MH</v>
      </c>
      <c r="J4160" t="str">
        <f>INDEX(State!C:C,MATCH(OrdersTable[[#This Row],[State Code]],State!B:B,0))</f>
        <v>West</v>
      </c>
      <c r="K4160" t="s">
        <v>72</v>
      </c>
      <c r="L4160" t="s">
        <v>23</v>
      </c>
      <c r="M4160" t="s">
        <v>45</v>
      </c>
      <c r="N4160" t="str">
        <f>INDEX(Products!B:B,MATCH(OrdersTable[[#This Row],[Product ID]],Products!A:A,0))</f>
        <v>Argan Shampoo</v>
      </c>
      <c r="O4160" t="str">
        <f>INDEX(Products!C:C,MATCH(OrdersTable[[#This Row],[Product ID]],Products!A:A,0))</f>
        <v>Haircare</v>
      </c>
      <c r="P4160">
        <v>1</v>
      </c>
      <c r="Q4160" s="5">
        <v>449</v>
      </c>
      <c r="R4160" s="74">
        <v>0.2</v>
      </c>
      <c r="S4160" s="75">
        <f>OrdersTable[[#This Row],[Quantity]]*OrdersTable[[#This Row],[Unit Price]]</f>
        <v>449</v>
      </c>
      <c r="T4160" s="5">
        <f>OrdersTable[[#This Row],[Gross Sale]]*OrdersTable[[#This Row],[Discount_Clean2]]</f>
        <v>89.800000000000011</v>
      </c>
      <c r="U4160" s="5">
        <f>OrdersTable[[#This Row],[Gross Sale]]-OrdersTable[[#This Row],[Discount Amount]]</f>
        <v>359.2</v>
      </c>
      <c r="V4160" s="77">
        <f>INDEX(Products!E:E,MATCH(OrdersTable[[#This Row],[Product ID]],Products!A:A,0))</f>
        <v>148</v>
      </c>
      <c r="W4160" s="77">
        <f>OrdersTable[[#This Row],[Quantity]]*OrdersTable[[#This Row],[Unit Cost]]</f>
        <v>148</v>
      </c>
      <c r="X4160" s="77">
        <f>'Dropdown Lists'!$I$2*(1+OrdersTable[[#This Row],[Returned]])</f>
        <v>60</v>
      </c>
      <c r="Y4160" s="76">
        <f>OrdersTable[[#This Row],[Net Revenue]]-OrdersTable[[#This Row],[COGS]]-OrdersTable[[#This Row],[Shipping Cost]]</f>
        <v>151.19999999999999</v>
      </c>
      <c r="Z4160" s="78">
        <f>IFERROR(OrdersTable[[#This Row],[Profit]]/OrdersTable[[#This Row],[Net Revenue]],0)</f>
        <v>0.42093541202672602</v>
      </c>
      <c r="AA4160" t="s">
        <v>3495</v>
      </c>
      <c r="AB4160" s="79">
        <v>45948</v>
      </c>
      <c r="AC4160">
        <f>OrdersTable[[#This Row],[Delivery Date]]-OrdersTable[[#This Row],[Order Date]]</f>
        <v>2</v>
      </c>
      <c r="AD4160" t="str">
        <f>IF(OrdersTable[[#This Row],[Delivery Days]]&lt;=2, "Express (≤2d)", IF(OrdersTable[[#This Row],[Delivery Days]]&lt;=4, "Standard (3-4d)", "Delayed (5d+)"))</f>
        <v>Express (≤2d)</v>
      </c>
      <c r="AE4160">
        <v>4</v>
      </c>
      <c r="AF4160">
        <v>0</v>
      </c>
    </row>
    <row r="4161" spans="1:32" ht="15" x14ac:dyDescent="0.35">
      <c r="A4161" t="s">
        <v>5245</v>
      </c>
      <c r="B4161" s="1">
        <v>45946</v>
      </c>
      <c r="C4161">
        <f>YEAR(OrdersTable[[#This Row],[Order Date]])</f>
        <v>2025</v>
      </c>
      <c r="D4161" s="2">
        <f>DATE(YEAR(OrdersTable[[#This Row],[Order Date]]),MONTH(OrdersTable[[#This Row],[Order Date]]),1)</f>
        <v>45931</v>
      </c>
      <c r="E4161">
        <f>MONTH(OrdersTable[[#This Row],[Order Date]])</f>
        <v>10</v>
      </c>
      <c r="F4161" t="s">
        <v>4344</v>
      </c>
      <c r="G4161" t="str">
        <f>IF(OrdersTable[[#This Row],[Order Date]]=_xlfn.MINIFS(Order_Date, Customer_ID, OrdersTable[[#This Row],[Customer ID]]), "New", "Repeat")</f>
        <v>Repeat</v>
      </c>
      <c r="H4161" t="s">
        <v>95</v>
      </c>
      <c r="I4161" t="str">
        <f>INDEX(State!B:B,MATCH(OrdersTable[[#This Row],[State]],State!A:A,0))</f>
        <v>TG</v>
      </c>
      <c r="J4161" t="str">
        <f>INDEX(State!C:C,MATCH(OrdersTable[[#This Row],[State Code]],State!B:B,0))</f>
        <v>South</v>
      </c>
      <c r="K4161" t="s">
        <v>96</v>
      </c>
      <c r="L4161" t="s">
        <v>16</v>
      </c>
      <c r="M4161" t="s">
        <v>205</v>
      </c>
      <c r="N4161" t="str">
        <f>INDEX(Products!B:B,MATCH(OrdersTable[[#This Row],[Product ID]],Products!A:A,0))</f>
        <v>Running Shoes</v>
      </c>
      <c r="O4161" t="str">
        <f>INDEX(Products!C:C,MATCH(OrdersTable[[#This Row],[Product ID]],Products!A:A,0))</f>
        <v>Footwear</v>
      </c>
      <c r="P4161">
        <v>2</v>
      </c>
      <c r="Q4161" s="5">
        <v>2999</v>
      </c>
      <c r="R4161" s="74">
        <v>0.4</v>
      </c>
      <c r="S4161" s="75">
        <f>OrdersTable[[#This Row],[Quantity]]*OrdersTable[[#This Row],[Unit Price]]</f>
        <v>5998</v>
      </c>
      <c r="T4161" s="5">
        <f>OrdersTable[[#This Row],[Gross Sale]]*OrdersTable[[#This Row],[Discount_Clean2]]</f>
        <v>2399.2000000000003</v>
      </c>
      <c r="U4161" s="5">
        <f>OrdersTable[[#This Row],[Gross Sale]]-OrdersTable[[#This Row],[Discount Amount]]</f>
        <v>3598.7999999999997</v>
      </c>
      <c r="V4161" s="77">
        <f>INDEX(Products!E:E,MATCH(OrdersTable[[#This Row],[Product ID]],Products!A:A,0))</f>
        <v>1440</v>
      </c>
      <c r="W4161" s="77">
        <f>OrdersTable[[#This Row],[Quantity]]*OrdersTable[[#This Row],[Unit Cost]]</f>
        <v>2880</v>
      </c>
      <c r="X4161" s="77">
        <f>'Dropdown Lists'!$I$2*(1+OrdersTable[[#This Row],[Returned]])</f>
        <v>60</v>
      </c>
      <c r="Y4161" s="76">
        <f>OrdersTable[[#This Row],[Net Revenue]]-OrdersTable[[#This Row],[COGS]]-OrdersTable[[#This Row],[Shipping Cost]]</f>
        <v>658.79999999999973</v>
      </c>
      <c r="Z4161" s="78">
        <f>IFERROR(OrdersTable[[#This Row],[Profit]]/OrdersTable[[#This Row],[Net Revenue]],0)</f>
        <v>0.18306102034011332</v>
      </c>
      <c r="AA4161" t="s">
        <v>3495</v>
      </c>
      <c r="AB4161" s="79">
        <v>45950</v>
      </c>
      <c r="AC4161">
        <f>OrdersTable[[#This Row],[Delivery Date]]-OrdersTable[[#This Row],[Order Date]]</f>
        <v>4</v>
      </c>
      <c r="AD4161" t="str">
        <f>IF(OrdersTable[[#This Row],[Delivery Days]]&lt;=2, "Express (≤2d)", IF(OrdersTable[[#This Row],[Delivery Days]]&lt;=4, "Standard (3-4d)", "Delayed (5d+)"))</f>
        <v>Standard (3-4d)</v>
      </c>
      <c r="AE4161">
        <v>4</v>
      </c>
      <c r="AF4161">
        <v>0</v>
      </c>
    </row>
    <row r="4162" spans="1:32" ht="15" x14ac:dyDescent="0.35">
      <c r="A4162" t="s">
        <v>5832</v>
      </c>
      <c r="B4162" s="1">
        <v>45946</v>
      </c>
      <c r="C4162">
        <f>YEAR(OrdersTable[[#This Row],[Order Date]])</f>
        <v>2025</v>
      </c>
      <c r="D4162" s="2">
        <f>DATE(YEAR(OrdersTable[[#This Row],[Order Date]]),MONTH(OrdersTable[[#This Row],[Order Date]]),1)</f>
        <v>45931</v>
      </c>
      <c r="E4162">
        <f>MONTH(OrdersTable[[#This Row],[Order Date]])</f>
        <v>10</v>
      </c>
      <c r="F4162" t="s">
        <v>1653</v>
      </c>
      <c r="G4162" t="str">
        <f>IF(OrdersTable[[#This Row],[Order Date]]=_xlfn.MINIFS(Order_Date, Customer_ID, OrdersTable[[#This Row],[Customer ID]]), "New", "Repeat")</f>
        <v>Repeat</v>
      </c>
      <c r="H4162" t="s">
        <v>59</v>
      </c>
      <c r="I4162" t="str">
        <f>INDEX(State!B:B,MATCH(OrdersTable[[#This Row],[State]],State!A:A,0))</f>
        <v>TN</v>
      </c>
      <c r="J4162" t="str">
        <f>INDEX(State!C:C,MATCH(OrdersTable[[#This Row],[State Code]],State!B:B,0))</f>
        <v>South</v>
      </c>
      <c r="K4162" t="s">
        <v>64</v>
      </c>
      <c r="L4162" t="s">
        <v>16</v>
      </c>
      <c r="M4162" t="s">
        <v>255</v>
      </c>
      <c r="N4162" t="str">
        <f>INDEX(Products!B:B,MATCH(OrdersTable[[#This Row],[Product ID]],Products!A:A,0))</f>
        <v>Cotton Oversized T-Shirt</v>
      </c>
      <c r="O4162" t="str">
        <f>INDEX(Products!C:C,MATCH(OrdersTable[[#This Row],[Product ID]],Products!A:A,0))</f>
        <v>Apparel</v>
      </c>
      <c r="P4162">
        <v>2</v>
      </c>
      <c r="Q4162" s="5">
        <v>799</v>
      </c>
      <c r="R4162" s="74">
        <v>0.1</v>
      </c>
      <c r="S4162" s="75">
        <f>OrdersTable[[#This Row],[Quantity]]*OrdersTable[[#This Row],[Unit Price]]</f>
        <v>1598</v>
      </c>
      <c r="T4162" s="5">
        <f>OrdersTable[[#This Row],[Gross Sale]]*OrdersTable[[#This Row],[Discount_Clean2]]</f>
        <v>159.80000000000001</v>
      </c>
      <c r="U4162" s="5">
        <f>OrdersTable[[#This Row],[Gross Sale]]-OrdersTable[[#This Row],[Discount Amount]]</f>
        <v>1438.2</v>
      </c>
      <c r="V4162" s="77">
        <f>INDEX(Products!E:E,MATCH(OrdersTable[[#This Row],[Product ID]],Products!A:A,0))</f>
        <v>320</v>
      </c>
      <c r="W4162" s="77">
        <f>OrdersTable[[#This Row],[Quantity]]*OrdersTable[[#This Row],[Unit Cost]]</f>
        <v>640</v>
      </c>
      <c r="X4162" s="77">
        <f>'Dropdown Lists'!$I$2*(1+OrdersTable[[#This Row],[Returned]])</f>
        <v>60</v>
      </c>
      <c r="Y4162" s="76">
        <f>OrdersTable[[#This Row],[Net Revenue]]-OrdersTable[[#This Row],[COGS]]-OrdersTable[[#This Row],[Shipping Cost]]</f>
        <v>738.2</v>
      </c>
      <c r="Z4162" s="78">
        <f>IFERROR(OrdersTable[[#This Row],[Profit]]/OrdersTable[[#This Row],[Net Revenue]],0)</f>
        <v>0.51328048950076488</v>
      </c>
      <c r="AA4162" t="s">
        <v>18</v>
      </c>
      <c r="AB4162" s="79">
        <v>45949</v>
      </c>
      <c r="AC4162">
        <f>OrdersTable[[#This Row],[Delivery Date]]-OrdersTable[[#This Row],[Order Date]]</f>
        <v>3</v>
      </c>
      <c r="AD4162" t="str">
        <f>IF(OrdersTable[[#This Row],[Delivery Days]]&lt;=2, "Express (≤2d)", IF(OrdersTable[[#This Row],[Delivery Days]]&lt;=4, "Standard (3-4d)", "Delayed (5d+)"))</f>
        <v>Standard (3-4d)</v>
      </c>
      <c r="AE4162">
        <v>5</v>
      </c>
      <c r="AF4162">
        <v>0</v>
      </c>
    </row>
    <row r="4163" spans="1:32" ht="15" x14ac:dyDescent="0.35">
      <c r="A4163" t="s">
        <v>5730</v>
      </c>
      <c r="B4163" s="1">
        <v>45947</v>
      </c>
      <c r="C4163">
        <f>YEAR(OrdersTable[[#This Row],[Order Date]])</f>
        <v>2025</v>
      </c>
      <c r="D4163" s="2">
        <f>DATE(YEAR(OrdersTable[[#This Row],[Order Date]]),MONTH(OrdersTable[[#This Row],[Order Date]]),1)</f>
        <v>45931</v>
      </c>
      <c r="E4163">
        <f>MONTH(OrdersTable[[#This Row],[Order Date]])</f>
        <v>10</v>
      </c>
      <c r="F4163" t="s">
        <v>2955</v>
      </c>
      <c r="G4163" t="str">
        <f>IF(OrdersTable[[#This Row],[Order Date]]=_xlfn.MINIFS(Order_Date, Customer_ID, OrdersTable[[#This Row],[Customer ID]]), "New", "Repeat")</f>
        <v>Repeat</v>
      </c>
      <c r="H4163" t="s">
        <v>21</v>
      </c>
      <c r="I4163" t="str">
        <f>INDEX(State!B:B,MATCH(OrdersTable[[#This Row],[State]],State!A:A,0))</f>
        <v>PB</v>
      </c>
      <c r="J4163" t="str">
        <f>INDEX(State!C:C,MATCH(OrdersTable[[#This Row],[State Code]],State!B:B,0))</f>
        <v>North</v>
      </c>
      <c r="K4163" t="s">
        <v>260</v>
      </c>
      <c r="L4163" t="s">
        <v>39</v>
      </c>
      <c r="M4163" t="s">
        <v>56</v>
      </c>
      <c r="N4163" t="str">
        <f>INDEX(Products!B:B,MATCH(OrdersTable[[#This Row],[Product ID]],Products!A:A,0))</f>
        <v>Vitamin C Face Serum</v>
      </c>
      <c r="O4163" t="str">
        <f>INDEX(Products!C:C,MATCH(OrdersTable[[#This Row],[Product ID]],Products!A:A,0))</f>
        <v>Skincare</v>
      </c>
      <c r="P4163">
        <v>2</v>
      </c>
      <c r="Q4163" s="5">
        <v>599</v>
      </c>
      <c r="R4163" s="74">
        <v>0.35</v>
      </c>
      <c r="S4163" s="75">
        <f>OrdersTable[[#This Row],[Quantity]]*OrdersTable[[#This Row],[Unit Price]]</f>
        <v>1198</v>
      </c>
      <c r="T4163" s="5">
        <f>OrdersTable[[#This Row],[Gross Sale]]*OrdersTable[[#This Row],[Discount_Clean2]]</f>
        <v>419.29999999999995</v>
      </c>
      <c r="U4163" s="5">
        <f>OrdersTable[[#This Row],[Gross Sale]]-OrdersTable[[#This Row],[Discount Amount]]</f>
        <v>778.7</v>
      </c>
      <c r="V4163" s="77">
        <f>INDEX(Products!E:E,MATCH(OrdersTable[[#This Row],[Product ID]],Products!A:A,0))</f>
        <v>180</v>
      </c>
      <c r="W4163" s="77">
        <f>OrdersTable[[#This Row],[Quantity]]*OrdersTable[[#This Row],[Unit Cost]]</f>
        <v>360</v>
      </c>
      <c r="X4163" s="77">
        <f>'Dropdown Lists'!$I$2*(1+OrdersTable[[#This Row],[Returned]])</f>
        <v>60</v>
      </c>
      <c r="Y4163" s="76">
        <f>OrdersTable[[#This Row],[Net Revenue]]-OrdersTable[[#This Row],[COGS]]-OrdersTable[[#This Row],[Shipping Cost]]</f>
        <v>358.70000000000005</v>
      </c>
      <c r="Z4163" s="78">
        <f>IFERROR(OrdersTable[[#This Row],[Profit]]/OrdersTable[[#This Row],[Net Revenue]],0)</f>
        <v>0.4606395274174907</v>
      </c>
      <c r="AA4163" t="s">
        <v>18</v>
      </c>
      <c r="AB4163" s="79">
        <v>45951</v>
      </c>
      <c r="AC4163">
        <f>OrdersTable[[#This Row],[Delivery Date]]-OrdersTable[[#This Row],[Order Date]]</f>
        <v>4</v>
      </c>
      <c r="AD4163" t="str">
        <f>IF(OrdersTable[[#This Row],[Delivery Days]]&lt;=2, "Express (≤2d)", IF(OrdersTable[[#This Row],[Delivery Days]]&lt;=4, "Standard (3-4d)", "Delayed (5d+)"))</f>
        <v>Standard (3-4d)</v>
      </c>
      <c r="AE4163">
        <v>3</v>
      </c>
      <c r="AF4163">
        <v>0</v>
      </c>
    </row>
    <row r="4164" spans="1:32" ht="15" x14ac:dyDescent="0.35">
      <c r="A4164" t="s">
        <v>5042</v>
      </c>
      <c r="B4164" s="1">
        <v>45947</v>
      </c>
      <c r="C4164">
        <f>YEAR(OrdersTable[[#This Row],[Order Date]])</f>
        <v>2025</v>
      </c>
      <c r="D4164" s="2">
        <f>DATE(YEAR(OrdersTable[[#This Row],[Order Date]]),MONTH(OrdersTable[[#This Row],[Order Date]]),1)</f>
        <v>45931</v>
      </c>
      <c r="E4164">
        <f>MONTH(OrdersTable[[#This Row],[Order Date]])</f>
        <v>10</v>
      </c>
      <c r="F4164" t="s">
        <v>1163</v>
      </c>
      <c r="G4164" t="str">
        <f>IF(OrdersTable[[#This Row],[Order Date]]=_xlfn.MINIFS(Order_Date, Customer_ID, OrdersTable[[#This Row],[Customer ID]]), "New", "Repeat")</f>
        <v>Repeat</v>
      </c>
      <c r="H4164" t="s">
        <v>128</v>
      </c>
      <c r="I4164" t="str">
        <f>INDEX(State!B:B,MATCH(OrdersTable[[#This Row],[State]],State!A:A,0))</f>
        <v>DL</v>
      </c>
      <c r="J4164" t="str">
        <f>INDEX(State!C:C,MATCH(OrdersTable[[#This Row],[State Code]],State!B:B,0))</f>
        <v>North</v>
      </c>
      <c r="K4164" t="s">
        <v>129</v>
      </c>
      <c r="L4164" t="s">
        <v>65</v>
      </c>
      <c r="M4164" t="s">
        <v>106</v>
      </c>
      <c r="N4164" t="str">
        <f>INDEX(Products!B:B,MATCH(OrdersTable[[#This Row],[Product ID]],Products!A:A,0))</f>
        <v>Keratin Hair Mask</v>
      </c>
      <c r="O4164" t="str">
        <f>INDEX(Products!C:C,MATCH(OrdersTable[[#This Row],[Product ID]],Products!A:A,0))</f>
        <v>Haircare</v>
      </c>
      <c r="P4164">
        <v>2</v>
      </c>
      <c r="Q4164" s="5">
        <v>549</v>
      </c>
      <c r="R4164" s="74">
        <v>0.35</v>
      </c>
      <c r="S4164" s="75">
        <f>OrdersTable[[#This Row],[Quantity]]*OrdersTable[[#This Row],[Unit Price]]</f>
        <v>1098</v>
      </c>
      <c r="T4164" s="5">
        <f>OrdersTable[[#This Row],[Gross Sale]]*OrdersTable[[#This Row],[Discount_Clean2]]</f>
        <v>384.29999999999995</v>
      </c>
      <c r="U4164" s="5">
        <f>OrdersTable[[#This Row],[Gross Sale]]-OrdersTable[[#This Row],[Discount Amount]]</f>
        <v>713.7</v>
      </c>
      <c r="V4164" s="77">
        <f>INDEX(Products!E:E,MATCH(OrdersTable[[#This Row],[Product ID]],Products!A:A,0))</f>
        <v>170</v>
      </c>
      <c r="W4164" s="77">
        <f>OrdersTable[[#This Row],[Quantity]]*OrdersTable[[#This Row],[Unit Cost]]</f>
        <v>340</v>
      </c>
      <c r="X4164" s="77">
        <f>'Dropdown Lists'!$I$2*(1+OrdersTable[[#This Row],[Returned]])</f>
        <v>60</v>
      </c>
      <c r="Y4164" s="76">
        <f>OrdersTable[[#This Row],[Net Revenue]]-OrdersTable[[#This Row],[COGS]]-OrdersTable[[#This Row],[Shipping Cost]]</f>
        <v>313.70000000000005</v>
      </c>
      <c r="Z4164" s="78">
        <f>IFERROR(OrdersTable[[#This Row],[Profit]]/OrdersTable[[#This Row],[Net Revenue]],0)</f>
        <v>0.43954042314698055</v>
      </c>
      <c r="AA4164" t="s">
        <v>4074</v>
      </c>
      <c r="AB4164" s="79">
        <v>45950</v>
      </c>
      <c r="AC4164">
        <f>OrdersTable[[#This Row],[Delivery Date]]-OrdersTable[[#This Row],[Order Date]]</f>
        <v>3</v>
      </c>
      <c r="AD4164" t="str">
        <f>IF(OrdersTable[[#This Row],[Delivery Days]]&lt;=2, "Express (≤2d)", IF(OrdersTable[[#This Row],[Delivery Days]]&lt;=4, "Standard (3-4d)", "Delayed (5d+)"))</f>
        <v>Standard (3-4d)</v>
      </c>
      <c r="AE4164">
        <v>4</v>
      </c>
      <c r="AF4164">
        <v>0</v>
      </c>
    </row>
    <row r="4165" spans="1:32" ht="15" x14ac:dyDescent="0.35">
      <c r="A4165" t="s">
        <v>2664</v>
      </c>
      <c r="B4165" s="1">
        <v>45947</v>
      </c>
      <c r="C4165">
        <f>YEAR(OrdersTable[[#This Row],[Order Date]])</f>
        <v>2025</v>
      </c>
      <c r="D4165" s="2">
        <f>DATE(YEAR(OrdersTable[[#This Row],[Order Date]]),MONTH(OrdersTable[[#This Row],[Order Date]]),1)</f>
        <v>45931</v>
      </c>
      <c r="E4165">
        <f>MONTH(OrdersTable[[#This Row],[Order Date]])</f>
        <v>10</v>
      </c>
      <c r="F4165" t="s">
        <v>204</v>
      </c>
      <c r="G4165" t="str">
        <f>IF(OrdersTable[[#This Row],[Order Date]]=_xlfn.MINIFS(Order_Date, Customer_ID, OrdersTable[[#This Row],[Customer ID]]), "New", "Repeat")</f>
        <v>Repeat</v>
      </c>
      <c r="H4165" t="s">
        <v>128</v>
      </c>
      <c r="I4165" t="str">
        <f>INDEX(State!B:B,MATCH(OrdersTable[[#This Row],[State]],State!A:A,0))</f>
        <v>DL</v>
      </c>
      <c r="J4165" t="str">
        <f>INDEX(State!C:C,MATCH(OrdersTable[[#This Row],[State Code]],State!B:B,0))</f>
        <v>North</v>
      </c>
      <c r="K4165" t="s">
        <v>129</v>
      </c>
      <c r="L4165" t="s">
        <v>50</v>
      </c>
      <c r="M4165" t="s">
        <v>61</v>
      </c>
      <c r="N4165" t="str">
        <f>INDEX(Products!B:B,MATCH(OrdersTable[[#This Row],[Product ID]],Products!A:A,0))</f>
        <v>Multivitamin Gummies</v>
      </c>
      <c r="O4165" t="str">
        <f>INDEX(Products!C:C,MATCH(OrdersTable[[#This Row],[Product ID]],Products!A:A,0))</f>
        <v>Wellness</v>
      </c>
      <c r="P4165">
        <v>1</v>
      </c>
      <c r="Q4165" s="5">
        <v>699</v>
      </c>
      <c r="R4165" s="74">
        <v>0.3</v>
      </c>
      <c r="S4165" s="75">
        <f>OrdersTable[[#This Row],[Quantity]]*OrdersTable[[#This Row],[Unit Price]]</f>
        <v>699</v>
      </c>
      <c r="T4165" s="5">
        <f>OrdersTable[[#This Row],[Gross Sale]]*OrdersTable[[#This Row],[Discount_Clean2]]</f>
        <v>209.7</v>
      </c>
      <c r="U4165" s="5">
        <f>OrdersTable[[#This Row],[Gross Sale]]-OrdersTable[[#This Row],[Discount Amount]]</f>
        <v>489.3</v>
      </c>
      <c r="V4165" s="77">
        <f>INDEX(Products!E:E,MATCH(OrdersTable[[#This Row],[Product ID]],Products!A:A,0))</f>
        <v>238</v>
      </c>
      <c r="W4165" s="77">
        <f>OrdersTable[[#This Row],[Quantity]]*OrdersTable[[#This Row],[Unit Cost]]</f>
        <v>238</v>
      </c>
      <c r="X4165" s="77">
        <f>'Dropdown Lists'!$I$2*(1+OrdersTable[[#This Row],[Returned]])</f>
        <v>60</v>
      </c>
      <c r="Y4165" s="76">
        <f>OrdersTable[[#This Row],[Net Revenue]]-OrdersTable[[#This Row],[COGS]]-OrdersTable[[#This Row],[Shipping Cost]]</f>
        <v>191.3</v>
      </c>
      <c r="Z4165" s="78">
        <f>IFERROR(OrdersTable[[#This Row],[Profit]]/OrdersTable[[#This Row],[Net Revenue]],0)</f>
        <v>0.39096668710402616</v>
      </c>
      <c r="AA4165" t="s">
        <v>2522</v>
      </c>
      <c r="AB4165" s="79">
        <v>45948</v>
      </c>
      <c r="AC4165">
        <f>OrdersTable[[#This Row],[Delivery Date]]-OrdersTable[[#This Row],[Order Date]]</f>
        <v>1</v>
      </c>
      <c r="AD4165" t="str">
        <f>IF(OrdersTable[[#This Row],[Delivery Days]]&lt;=2, "Express (≤2d)", IF(OrdersTable[[#This Row],[Delivery Days]]&lt;=4, "Standard (3-4d)", "Delayed (5d+)"))</f>
        <v>Express (≤2d)</v>
      </c>
      <c r="AE4165">
        <v>5</v>
      </c>
      <c r="AF4165">
        <v>0</v>
      </c>
    </row>
    <row r="4166" spans="1:32" ht="15" x14ac:dyDescent="0.35">
      <c r="A4166" t="s">
        <v>1442</v>
      </c>
      <c r="B4166" s="1">
        <v>45947</v>
      </c>
      <c r="C4166">
        <f>YEAR(OrdersTable[[#This Row],[Order Date]])</f>
        <v>2025</v>
      </c>
      <c r="D4166" s="2">
        <f>DATE(YEAR(OrdersTable[[#This Row],[Order Date]]),MONTH(OrdersTable[[#This Row],[Order Date]]),1)</f>
        <v>45931</v>
      </c>
      <c r="E4166">
        <f>MONTH(OrdersTable[[#This Row],[Order Date]])</f>
        <v>10</v>
      </c>
      <c r="F4166" t="s">
        <v>1443</v>
      </c>
      <c r="G4166" t="str">
        <f>IF(OrdersTable[[#This Row],[Order Date]]=_xlfn.MINIFS(Order_Date, Customer_ID, OrdersTable[[#This Row],[Customer ID]]), "New", "Repeat")</f>
        <v>New</v>
      </c>
      <c r="H4166" t="s">
        <v>32</v>
      </c>
      <c r="I4166" t="str">
        <f>INDEX(State!B:B,MATCH(OrdersTable[[#This Row],[State]],State!A:A,0))</f>
        <v>BR</v>
      </c>
      <c r="J4166" t="str">
        <f>INDEX(State!C:C,MATCH(OrdersTable[[#This Row],[State Code]],State!B:B,0))</f>
        <v>East</v>
      </c>
      <c r="K4166" t="s">
        <v>33</v>
      </c>
      <c r="L4166" t="s">
        <v>23</v>
      </c>
      <c r="M4166" t="s">
        <v>148</v>
      </c>
      <c r="N4166" t="str">
        <f>INDEX(Products!B:B,MATCH(OrdersTable[[#This Row],[Product ID]],Products!A:A,0))</f>
        <v>Smartwatch Strap</v>
      </c>
      <c r="O4166" t="str">
        <f>INDEX(Products!C:C,MATCH(OrdersTable[[#This Row],[Product ID]],Products!A:A,0))</f>
        <v>Electronics</v>
      </c>
      <c r="P4166">
        <v>1</v>
      </c>
      <c r="Q4166" s="5">
        <v>499</v>
      </c>
      <c r="R4166" s="74">
        <v>0.25</v>
      </c>
      <c r="S4166" s="75">
        <f>OrdersTable[[#This Row],[Quantity]]*OrdersTable[[#This Row],[Unit Price]]</f>
        <v>499</v>
      </c>
      <c r="T4166" s="5">
        <f>OrdersTable[[#This Row],[Gross Sale]]*OrdersTable[[#This Row],[Discount_Clean2]]</f>
        <v>124.75</v>
      </c>
      <c r="U4166" s="5">
        <f>OrdersTable[[#This Row],[Gross Sale]]-OrdersTable[[#This Row],[Discount Amount]]</f>
        <v>374.25</v>
      </c>
      <c r="V4166" s="77">
        <f>INDEX(Products!E:E,MATCH(OrdersTable[[#This Row],[Product ID]],Products!A:A,0))</f>
        <v>200</v>
      </c>
      <c r="W4166" s="77">
        <f>OrdersTable[[#This Row],[Quantity]]*OrdersTable[[#This Row],[Unit Cost]]</f>
        <v>200</v>
      </c>
      <c r="X4166" s="77">
        <f>'Dropdown Lists'!$I$2*(1+OrdersTable[[#This Row],[Returned]])</f>
        <v>60</v>
      </c>
      <c r="Y4166" s="76">
        <f>OrdersTable[[#This Row],[Net Revenue]]-OrdersTable[[#This Row],[COGS]]-OrdersTable[[#This Row],[Shipping Cost]]</f>
        <v>114.25</v>
      </c>
      <c r="Z4166" s="78">
        <f>IFERROR(OrdersTable[[#This Row],[Profit]]/OrdersTable[[#This Row],[Net Revenue]],0)</f>
        <v>0.30527722110888444</v>
      </c>
      <c r="AA4166" t="s">
        <v>18</v>
      </c>
      <c r="AB4166" s="79">
        <v>45951</v>
      </c>
      <c r="AC4166">
        <f>OrdersTable[[#This Row],[Delivery Date]]-OrdersTable[[#This Row],[Order Date]]</f>
        <v>4</v>
      </c>
      <c r="AD4166" t="str">
        <f>IF(OrdersTable[[#This Row],[Delivery Days]]&lt;=2, "Express (≤2d)", IF(OrdersTable[[#This Row],[Delivery Days]]&lt;=4, "Standard (3-4d)", "Delayed (5d+)"))</f>
        <v>Standard (3-4d)</v>
      </c>
      <c r="AF4166">
        <v>0</v>
      </c>
    </row>
    <row r="4167" spans="1:32" ht="15" x14ac:dyDescent="0.35">
      <c r="A4167" t="s">
        <v>2516</v>
      </c>
      <c r="B4167" s="1">
        <v>45947</v>
      </c>
      <c r="C4167">
        <f>YEAR(OrdersTable[[#This Row],[Order Date]])</f>
        <v>2025</v>
      </c>
      <c r="D4167" s="2">
        <f>DATE(YEAR(OrdersTable[[#This Row],[Order Date]]),MONTH(OrdersTable[[#This Row],[Order Date]]),1)</f>
        <v>45931</v>
      </c>
      <c r="E4167">
        <f>MONTH(OrdersTable[[#This Row],[Order Date]])</f>
        <v>10</v>
      </c>
      <c r="F4167" t="s">
        <v>2046</v>
      </c>
      <c r="G4167" t="str">
        <f>IF(OrdersTable[[#This Row],[Order Date]]=_xlfn.MINIFS(Order_Date, Customer_ID, OrdersTable[[#This Row],[Customer ID]]), "New", "Repeat")</f>
        <v>New</v>
      </c>
      <c r="H4167" t="s">
        <v>132</v>
      </c>
      <c r="I4167" t="str">
        <f>INDEX(State!B:B,MATCH(OrdersTable[[#This Row],[State]],State!A:A,0))</f>
        <v>AS</v>
      </c>
      <c r="J4167" t="str">
        <f>INDEX(State!C:C,MATCH(OrdersTable[[#This Row],[State Code]],State!B:B,0))</f>
        <v>East</v>
      </c>
      <c r="K4167" t="s">
        <v>133</v>
      </c>
      <c r="L4167" t="s">
        <v>65</v>
      </c>
      <c r="M4167" t="s">
        <v>73</v>
      </c>
      <c r="N4167" t="str">
        <f>INDEX(Products!B:B,MATCH(OrdersTable[[#This Row],[Product ID]],Products!A:A,0))</f>
        <v>Hydrating Face Wash</v>
      </c>
      <c r="O4167" t="str">
        <f>INDEX(Products!C:C,MATCH(OrdersTable[[#This Row],[Product ID]],Products!A:A,0))</f>
        <v>Skincare</v>
      </c>
      <c r="P4167">
        <v>1</v>
      </c>
      <c r="Q4167" s="5">
        <v>299</v>
      </c>
      <c r="R4167" s="74">
        <v>0.25</v>
      </c>
      <c r="S4167" s="75">
        <f>OrdersTable[[#This Row],[Quantity]]*OrdersTable[[#This Row],[Unit Price]]</f>
        <v>299</v>
      </c>
      <c r="T4167" s="5">
        <f>OrdersTable[[#This Row],[Gross Sale]]*OrdersTable[[#This Row],[Discount_Clean2]]</f>
        <v>74.75</v>
      </c>
      <c r="U4167" s="5">
        <f>OrdersTable[[#This Row],[Gross Sale]]-OrdersTable[[#This Row],[Discount Amount]]</f>
        <v>224.25</v>
      </c>
      <c r="V4167" s="77">
        <f>INDEX(Products!E:E,MATCH(OrdersTable[[#This Row],[Product ID]],Products!A:A,0))</f>
        <v>90</v>
      </c>
      <c r="W4167" s="77">
        <f>OrdersTable[[#This Row],[Quantity]]*OrdersTable[[#This Row],[Unit Cost]]</f>
        <v>90</v>
      </c>
      <c r="X4167" s="77">
        <f>'Dropdown Lists'!$I$2*(1+OrdersTable[[#This Row],[Returned]])</f>
        <v>60</v>
      </c>
      <c r="Y4167" s="76">
        <f>OrdersTable[[#This Row],[Net Revenue]]-OrdersTable[[#This Row],[COGS]]-OrdersTable[[#This Row],[Shipping Cost]]</f>
        <v>74.25</v>
      </c>
      <c r="Z4167" s="78">
        <f>IFERROR(OrdersTable[[#This Row],[Profit]]/OrdersTable[[#This Row],[Net Revenue]],0)</f>
        <v>0.33110367892976589</v>
      </c>
      <c r="AA4167" t="s">
        <v>18</v>
      </c>
      <c r="AB4167" s="79">
        <v>45955</v>
      </c>
      <c r="AC4167">
        <f>OrdersTable[[#This Row],[Delivery Date]]-OrdersTable[[#This Row],[Order Date]]</f>
        <v>8</v>
      </c>
      <c r="AD4167" t="str">
        <f>IF(OrdersTable[[#This Row],[Delivery Days]]&lt;=2, "Express (≤2d)", IF(OrdersTable[[#This Row],[Delivery Days]]&lt;=4, "Standard (3-4d)", "Delayed (5d+)"))</f>
        <v>Delayed (5d+)</v>
      </c>
      <c r="AE4167">
        <v>2</v>
      </c>
      <c r="AF4167">
        <v>0</v>
      </c>
    </row>
    <row r="4168" spans="1:32" ht="15" x14ac:dyDescent="0.35">
      <c r="A4168" t="s">
        <v>5448</v>
      </c>
      <c r="B4168" s="1">
        <v>45947</v>
      </c>
      <c r="C4168">
        <f>YEAR(OrdersTable[[#This Row],[Order Date]])</f>
        <v>2025</v>
      </c>
      <c r="D4168" s="2">
        <f>DATE(YEAR(OrdersTable[[#This Row],[Order Date]]),MONTH(OrdersTable[[#This Row],[Order Date]]),1)</f>
        <v>45931</v>
      </c>
      <c r="E4168">
        <f>MONTH(OrdersTable[[#This Row],[Order Date]])</f>
        <v>10</v>
      </c>
      <c r="F4168" t="s">
        <v>1762</v>
      </c>
      <c r="G4168" t="str">
        <f>IF(OrdersTable[[#This Row],[Order Date]]=_xlfn.MINIFS(Order_Date, Customer_ID, OrdersTable[[#This Row],[Customer ID]]), "New", "Repeat")</f>
        <v>Repeat</v>
      </c>
      <c r="H4168" t="s">
        <v>37</v>
      </c>
      <c r="I4168" t="str">
        <f>INDEX(State!B:B,MATCH(OrdersTable[[#This Row],[State]],State!A:A,0))</f>
        <v>GJ</v>
      </c>
      <c r="J4168" t="str">
        <f>INDEX(State!C:C,MATCH(OrdersTable[[#This Row],[State Code]],State!B:B,0))</f>
        <v>West</v>
      </c>
      <c r="K4168" t="s">
        <v>247</v>
      </c>
      <c r="L4168" t="s">
        <v>16</v>
      </c>
      <c r="M4168" t="s">
        <v>87</v>
      </c>
      <c r="N4168" t="str">
        <f>INDEX(Products!B:B,MATCH(OrdersTable[[#This Row],[Product ID]],Products!A:A,0))</f>
        <v>Linen Kurta</v>
      </c>
      <c r="O4168" t="str">
        <f>INDEX(Products!C:C,MATCH(OrdersTable[[#This Row],[Product ID]],Products!A:A,0))</f>
        <v>Apparel</v>
      </c>
      <c r="P4168">
        <v>2</v>
      </c>
      <c r="Q4168" s="5">
        <v>1499</v>
      </c>
      <c r="R4168" s="74">
        <v>0.4</v>
      </c>
      <c r="S4168" s="75">
        <f>OrdersTable[[#This Row],[Quantity]]*OrdersTable[[#This Row],[Unit Price]]</f>
        <v>2998</v>
      </c>
      <c r="T4168" s="5">
        <f>OrdersTable[[#This Row],[Gross Sale]]*OrdersTable[[#This Row],[Discount_Clean2]]</f>
        <v>1199.2</v>
      </c>
      <c r="U4168" s="5">
        <f>OrdersTable[[#This Row],[Gross Sale]]-OrdersTable[[#This Row],[Discount Amount]]</f>
        <v>1798.8</v>
      </c>
      <c r="V4168" s="77">
        <f>INDEX(Products!E:E,MATCH(OrdersTable[[#This Row],[Product ID]],Products!A:A,0))</f>
        <v>630</v>
      </c>
      <c r="W4168" s="77">
        <f>OrdersTable[[#This Row],[Quantity]]*OrdersTable[[#This Row],[Unit Cost]]</f>
        <v>1260</v>
      </c>
      <c r="X4168" s="77">
        <f>'Dropdown Lists'!$I$2*(1+OrdersTable[[#This Row],[Returned]])</f>
        <v>120</v>
      </c>
      <c r="Y4168" s="76">
        <f>OrdersTable[[#This Row],[Net Revenue]]-OrdersTable[[#This Row],[COGS]]-OrdersTable[[#This Row],[Shipping Cost]]</f>
        <v>418.79999999999995</v>
      </c>
      <c r="Z4168" s="78">
        <f>IFERROR(OrdersTable[[#This Row],[Profit]]/OrdersTable[[#This Row],[Net Revenue]],0)</f>
        <v>0.23282188125416942</v>
      </c>
      <c r="AA4168" t="s">
        <v>2522</v>
      </c>
      <c r="AB4168" s="79">
        <v>45953</v>
      </c>
      <c r="AC4168">
        <f>OrdersTable[[#This Row],[Delivery Date]]-OrdersTable[[#This Row],[Order Date]]</f>
        <v>6</v>
      </c>
      <c r="AD4168" t="str">
        <f>IF(OrdersTable[[#This Row],[Delivery Days]]&lt;=2, "Express (≤2d)", IF(OrdersTable[[#This Row],[Delivery Days]]&lt;=4, "Standard (3-4d)", "Delayed (5d+)"))</f>
        <v>Delayed (5d+)</v>
      </c>
      <c r="AE4168">
        <v>3</v>
      </c>
      <c r="AF4168">
        <v>1</v>
      </c>
    </row>
    <row r="4169" spans="1:32" ht="15" x14ac:dyDescent="0.35">
      <c r="A4169" t="s">
        <v>3115</v>
      </c>
      <c r="B4169" s="1">
        <v>45947</v>
      </c>
      <c r="C4169">
        <f>YEAR(OrdersTable[[#This Row],[Order Date]])</f>
        <v>2025</v>
      </c>
      <c r="D4169" s="2">
        <f>DATE(YEAR(OrdersTable[[#This Row],[Order Date]]),MONTH(OrdersTable[[#This Row],[Order Date]]),1)</f>
        <v>45931</v>
      </c>
      <c r="E4169">
        <f>MONTH(OrdersTable[[#This Row],[Order Date]])</f>
        <v>10</v>
      </c>
      <c r="F4169" t="s">
        <v>2702</v>
      </c>
      <c r="G4169" t="str">
        <f>IF(OrdersTable[[#This Row],[Order Date]]=_xlfn.MINIFS(Order_Date, Customer_ID, OrdersTable[[#This Row],[Customer ID]]), "New", "Repeat")</f>
        <v>Repeat</v>
      </c>
      <c r="H4169" t="s">
        <v>37</v>
      </c>
      <c r="I4169" t="str">
        <f>INDEX(State!B:B,MATCH(OrdersTable[[#This Row],[State]],State!A:A,0))</f>
        <v>GJ</v>
      </c>
      <c r="J4169" t="str">
        <f>INDEX(State!C:C,MATCH(OrdersTable[[#This Row],[State Code]],State!B:B,0))</f>
        <v>West</v>
      </c>
      <c r="K4169" t="s">
        <v>247</v>
      </c>
      <c r="L4169" t="s">
        <v>50</v>
      </c>
      <c r="M4169" t="s">
        <v>45</v>
      </c>
      <c r="N4169" t="str">
        <f>INDEX(Products!B:B,MATCH(OrdersTable[[#This Row],[Product ID]],Products!A:A,0))</f>
        <v>Argan Shampoo</v>
      </c>
      <c r="O4169" t="str">
        <f>INDEX(Products!C:C,MATCH(OrdersTable[[#This Row],[Product ID]],Products!A:A,0))</f>
        <v>Haircare</v>
      </c>
      <c r="P4169">
        <v>1</v>
      </c>
      <c r="Q4169" s="5">
        <v>449</v>
      </c>
      <c r="R4169" s="74">
        <v>0.15</v>
      </c>
      <c r="S4169" s="75">
        <f>OrdersTable[[#This Row],[Quantity]]*OrdersTable[[#This Row],[Unit Price]]</f>
        <v>449</v>
      </c>
      <c r="T4169" s="5">
        <f>OrdersTable[[#This Row],[Gross Sale]]*OrdersTable[[#This Row],[Discount_Clean2]]</f>
        <v>67.349999999999994</v>
      </c>
      <c r="U4169" s="5">
        <f>OrdersTable[[#This Row],[Gross Sale]]-OrdersTable[[#This Row],[Discount Amount]]</f>
        <v>381.65</v>
      </c>
      <c r="V4169" s="77">
        <f>INDEX(Products!E:E,MATCH(OrdersTable[[#This Row],[Product ID]],Products!A:A,0))</f>
        <v>148</v>
      </c>
      <c r="W4169" s="77">
        <f>OrdersTable[[#This Row],[Quantity]]*OrdersTable[[#This Row],[Unit Cost]]</f>
        <v>148</v>
      </c>
      <c r="X4169" s="77">
        <f>'Dropdown Lists'!$I$2*(1+OrdersTable[[#This Row],[Returned]])</f>
        <v>60</v>
      </c>
      <c r="Y4169" s="76">
        <f>OrdersTable[[#This Row],[Net Revenue]]-OrdersTable[[#This Row],[COGS]]-OrdersTable[[#This Row],[Shipping Cost]]</f>
        <v>173.64999999999998</v>
      </c>
      <c r="Z4169" s="78">
        <f>IFERROR(OrdersTable[[#This Row],[Profit]]/OrdersTable[[#This Row],[Net Revenue]],0)</f>
        <v>0.45499803484868334</v>
      </c>
      <c r="AA4169" t="s">
        <v>2522</v>
      </c>
      <c r="AB4169" s="79">
        <v>45950</v>
      </c>
      <c r="AC4169">
        <f>OrdersTable[[#This Row],[Delivery Date]]-OrdersTable[[#This Row],[Order Date]]</f>
        <v>3</v>
      </c>
      <c r="AD4169" t="str">
        <f>IF(OrdersTable[[#This Row],[Delivery Days]]&lt;=2, "Express (≤2d)", IF(OrdersTable[[#This Row],[Delivery Days]]&lt;=4, "Standard (3-4d)", "Delayed (5d+)"))</f>
        <v>Standard (3-4d)</v>
      </c>
      <c r="AF4169">
        <v>0</v>
      </c>
    </row>
    <row r="4170" spans="1:32" ht="15" x14ac:dyDescent="0.35">
      <c r="A4170" t="s">
        <v>3679</v>
      </c>
      <c r="B4170" s="1">
        <v>45947</v>
      </c>
      <c r="C4170">
        <f>YEAR(OrdersTable[[#This Row],[Order Date]])</f>
        <v>2025</v>
      </c>
      <c r="D4170" s="2">
        <f>DATE(YEAR(OrdersTable[[#This Row],[Order Date]]),MONTH(OrdersTable[[#This Row],[Order Date]]),1)</f>
        <v>45931</v>
      </c>
      <c r="E4170">
        <f>MONTH(OrdersTable[[#This Row],[Order Date]])</f>
        <v>10</v>
      </c>
      <c r="F4170" t="s">
        <v>654</v>
      </c>
      <c r="G4170" t="str">
        <f>IF(OrdersTable[[#This Row],[Order Date]]=_xlfn.MINIFS(Order_Date, Customer_ID, OrdersTable[[#This Row],[Customer ID]]), "New", "Repeat")</f>
        <v>Repeat</v>
      </c>
      <c r="H4170" t="s">
        <v>43</v>
      </c>
      <c r="I4170" t="str">
        <f>INDEX(State!B:B,MATCH(OrdersTable[[#This Row],[State]],State!A:A,0))</f>
        <v>MP</v>
      </c>
      <c r="J4170" t="str">
        <f>INDEX(State!C:C,MATCH(OrdersTable[[#This Row],[State Code]],State!B:B,0))</f>
        <v>West</v>
      </c>
      <c r="K4170" t="s">
        <v>250</v>
      </c>
      <c r="L4170" t="s">
        <v>16</v>
      </c>
      <c r="M4170" t="s">
        <v>87</v>
      </c>
      <c r="N4170" t="str">
        <f>INDEX(Products!B:B,MATCH(OrdersTable[[#This Row],[Product ID]],Products!A:A,0))</f>
        <v>Linen Kurta</v>
      </c>
      <c r="O4170" t="str">
        <f>INDEX(Products!C:C,MATCH(OrdersTable[[#This Row],[Product ID]],Products!A:A,0))</f>
        <v>Apparel</v>
      </c>
      <c r="P4170">
        <v>1</v>
      </c>
      <c r="Q4170" s="5">
        <v>1499</v>
      </c>
      <c r="R4170" s="74">
        <v>0.35</v>
      </c>
      <c r="S4170" s="75">
        <f>OrdersTable[[#This Row],[Quantity]]*OrdersTable[[#This Row],[Unit Price]]</f>
        <v>1499</v>
      </c>
      <c r="T4170" s="5">
        <f>OrdersTable[[#This Row],[Gross Sale]]*OrdersTable[[#This Row],[Discount_Clean2]]</f>
        <v>524.65</v>
      </c>
      <c r="U4170" s="5">
        <f>OrdersTable[[#This Row],[Gross Sale]]-OrdersTable[[#This Row],[Discount Amount]]</f>
        <v>974.35</v>
      </c>
      <c r="V4170" s="77">
        <f>INDEX(Products!E:E,MATCH(OrdersTable[[#This Row],[Product ID]],Products!A:A,0))</f>
        <v>630</v>
      </c>
      <c r="W4170" s="77">
        <f>OrdersTable[[#This Row],[Quantity]]*OrdersTable[[#This Row],[Unit Cost]]</f>
        <v>630</v>
      </c>
      <c r="X4170" s="77">
        <f>'Dropdown Lists'!$I$2*(1+OrdersTable[[#This Row],[Returned]])</f>
        <v>60</v>
      </c>
      <c r="Y4170" s="76">
        <f>OrdersTable[[#This Row],[Net Revenue]]-OrdersTable[[#This Row],[COGS]]-OrdersTable[[#This Row],[Shipping Cost]]</f>
        <v>284.35000000000002</v>
      </c>
      <c r="Z4170" s="78">
        <f>IFERROR(OrdersTable[[#This Row],[Profit]]/OrdersTable[[#This Row],[Net Revenue]],0)</f>
        <v>0.29183558269615645</v>
      </c>
      <c r="AA4170" t="s">
        <v>3495</v>
      </c>
      <c r="AB4170" s="79">
        <v>45952</v>
      </c>
      <c r="AC4170">
        <f>OrdersTable[[#This Row],[Delivery Date]]-OrdersTable[[#This Row],[Order Date]]</f>
        <v>5</v>
      </c>
      <c r="AD4170" t="str">
        <f>IF(OrdersTable[[#This Row],[Delivery Days]]&lt;=2, "Express (≤2d)", IF(OrdersTable[[#This Row],[Delivery Days]]&lt;=4, "Standard (3-4d)", "Delayed (5d+)"))</f>
        <v>Delayed (5d+)</v>
      </c>
      <c r="AE4170">
        <v>4</v>
      </c>
      <c r="AF4170">
        <v>0</v>
      </c>
    </row>
    <row r="4171" spans="1:32" ht="15" x14ac:dyDescent="0.35">
      <c r="A4171" t="s">
        <v>6922</v>
      </c>
      <c r="B4171" s="1">
        <v>45947</v>
      </c>
      <c r="C4171">
        <f>YEAR(OrdersTable[[#This Row],[Order Date]])</f>
        <v>2025</v>
      </c>
      <c r="D4171" s="2">
        <f>DATE(YEAR(OrdersTable[[#This Row],[Order Date]]),MONTH(OrdersTable[[#This Row],[Order Date]]),1)</f>
        <v>45931</v>
      </c>
      <c r="E4171">
        <f>MONTH(OrdersTable[[#This Row],[Order Date]])</f>
        <v>10</v>
      </c>
      <c r="F4171" t="s">
        <v>2692</v>
      </c>
      <c r="G4171" t="str">
        <f>IF(OrdersTable[[#This Row],[Order Date]]=_xlfn.MINIFS(Order_Date, Customer_ID, OrdersTable[[#This Row],[Customer ID]]), "New", "Repeat")</f>
        <v>Repeat</v>
      </c>
      <c r="H4171" t="s">
        <v>71</v>
      </c>
      <c r="I4171" t="str">
        <f>INDEX(State!B:B,MATCH(OrdersTable[[#This Row],[State]],State!A:A,0))</f>
        <v>MH</v>
      </c>
      <c r="J4171" t="str">
        <f>INDEX(State!C:C,MATCH(OrdersTable[[#This Row],[State Code]],State!B:B,0))</f>
        <v>West</v>
      </c>
      <c r="K4171" t="s">
        <v>81</v>
      </c>
      <c r="L4171" t="s">
        <v>23</v>
      </c>
      <c r="M4171" t="s">
        <v>66</v>
      </c>
      <c r="N4171" t="str">
        <f>INDEX(Products!B:B,MATCH(OrdersTable[[#This Row],[Product ID]],Products!A:A,0))</f>
        <v>Sunscreen SPF 50</v>
      </c>
      <c r="O4171" t="str">
        <f>INDEX(Products!C:C,MATCH(OrdersTable[[#This Row],[Product ID]],Products!A:A,0))</f>
        <v>Skincare</v>
      </c>
      <c r="P4171">
        <v>3</v>
      </c>
      <c r="Q4171" s="5">
        <v>449</v>
      </c>
      <c r="R4171" s="74">
        <v>0.1</v>
      </c>
      <c r="S4171" s="75">
        <f>OrdersTable[[#This Row],[Quantity]]*OrdersTable[[#This Row],[Unit Price]]</f>
        <v>1347</v>
      </c>
      <c r="T4171" s="5">
        <f>OrdersTable[[#This Row],[Gross Sale]]*OrdersTable[[#This Row],[Discount_Clean2]]</f>
        <v>134.70000000000002</v>
      </c>
      <c r="U4171" s="5">
        <f>OrdersTable[[#This Row],[Gross Sale]]-OrdersTable[[#This Row],[Discount Amount]]</f>
        <v>1212.3</v>
      </c>
      <c r="V4171" s="77">
        <f>INDEX(Products!E:E,MATCH(OrdersTable[[#This Row],[Product ID]],Products!A:A,0))</f>
        <v>144</v>
      </c>
      <c r="W4171" s="77">
        <f>OrdersTable[[#This Row],[Quantity]]*OrdersTable[[#This Row],[Unit Cost]]</f>
        <v>432</v>
      </c>
      <c r="X4171" s="77">
        <f>'Dropdown Lists'!$I$2*(1+OrdersTable[[#This Row],[Returned]])</f>
        <v>60</v>
      </c>
      <c r="Y4171" s="76">
        <f>OrdersTable[[#This Row],[Net Revenue]]-OrdersTable[[#This Row],[COGS]]-OrdersTable[[#This Row],[Shipping Cost]]</f>
        <v>720.3</v>
      </c>
      <c r="Z4171" s="78">
        <f>IFERROR(OrdersTable[[#This Row],[Profit]]/OrdersTable[[#This Row],[Net Revenue]],0)</f>
        <v>0.59415986142044042</v>
      </c>
      <c r="AA4171" t="s">
        <v>4450</v>
      </c>
      <c r="AB4171" s="79">
        <v>45949</v>
      </c>
      <c r="AC4171">
        <f>OrdersTable[[#This Row],[Delivery Date]]-OrdersTable[[#This Row],[Order Date]]</f>
        <v>2</v>
      </c>
      <c r="AD4171" t="str">
        <f>IF(OrdersTable[[#This Row],[Delivery Days]]&lt;=2, "Express (≤2d)", IF(OrdersTable[[#This Row],[Delivery Days]]&lt;=4, "Standard (3-4d)", "Delayed (5d+)"))</f>
        <v>Express (≤2d)</v>
      </c>
      <c r="AE4171">
        <v>4</v>
      </c>
      <c r="AF4171">
        <v>0</v>
      </c>
    </row>
    <row r="4172" spans="1:32" ht="15" x14ac:dyDescent="0.35">
      <c r="A4172" t="s">
        <v>2466</v>
      </c>
      <c r="B4172" s="1">
        <v>45947</v>
      </c>
      <c r="C4172">
        <f>YEAR(OrdersTable[[#This Row],[Order Date]])</f>
        <v>2025</v>
      </c>
      <c r="D4172" s="2">
        <f>DATE(YEAR(OrdersTable[[#This Row],[Order Date]]),MONTH(OrdersTable[[#This Row],[Order Date]]),1)</f>
        <v>45931</v>
      </c>
      <c r="E4172">
        <f>MONTH(OrdersTable[[#This Row],[Order Date]])</f>
        <v>10</v>
      </c>
      <c r="F4172" t="s">
        <v>2467</v>
      </c>
      <c r="G4172" t="str">
        <f>IF(OrdersTable[[#This Row],[Order Date]]=_xlfn.MINIFS(Order_Date, Customer_ID, OrdersTable[[#This Row],[Customer ID]]), "New", "Repeat")</f>
        <v>New</v>
      </c>
      <c r="H4172" t="s">
        <v>167</v>
      </c>
      <c r="I4172" t="str">
        <f>INDEX(State!B:B,MATCH(OrdersTable[[#This Row],[State]],State!A:A,0))</f>
        <v>KA</v>
      </c>
      <c r="J4172" t="str">
        <f>INDEX(State!C:C,MATCH(OrdersTable[[#This Row],[State Code]],State!B:B,0))</f>
        <v>South</v>
      </c>
      <c r="K4172" t="s">
        <v>190</v>
      </c>
      <c r="L4172" t="s">
        <v>50</v>
      </c>
      <c r="M4172" t="s">
        <v>78</v>
      </c>
      <c r="N4172" t="str">
        <f>INDEX(Products!B:B,MATCH(OrdersTable[[#This Row],[Product ID]],Products!A:A,0))</f>
        <v>Retinol Night Cream</v>
      </c>
      <c r="O4172" t="str">
        <f>INDEX(Products!C:C,MATCH(OrdersTable[[#This Row],[Product ID]],Products!A:A,0))</f>
        <v>Skincare</v>
      </c>
      <c r="P4172">
        <v>1</v>
      </c>
      <c r="Q4172" s="5">
        <v>799</v>
      </c>
      <c r="R4172" s="74">
        <v>0.1</v>
      </c>
      <c r="S4172" s="75">
        <f>OrdersTable[[#This Row],[Quantity]]*OrdersTable[[#This Row],[Unit Price]]</f>
        <v>799</v>
      </c>
      <c r="T4172" s="5">
        <f>OrdersTable[[#This Row],[Gross Sale]]*OrdersTable[[#This Row],[Discount_Clean2]]</f>
        <v>79.900000000000006</v>
      </c>
      <c r="U4172" s="5">
        <f>OrdersTable[[#This Row],[Gross Sale]]-OrdersTable[[#This Row],[Discount Amount]]</f>
        <v>719.1</v>
      </c>
      <c r="V4172" s="77">
        <f>INDEX(Products!E:E,MATCH(OrdersTable[[#This Row],[Product ID]],Products!A:A,0))</f>
        <v>216</v>
      </c>
      <c r="W4172" s="77">
        <f>OrdersTable[[#This Row],[Quantity]]*OrdersTable[[#This Row],[Unit Cost]]</f>
        <v>216</v>
      </c>
      <c r="X4172" s="77">
        <f>'Dropdown Lists'!$I$2*(1+OrdersTable[[#This Row],[Returned]])</f>
        <v>60</v>
      </c>
      <c r="Y4172" s="76">
        <f>OrdersTable[[#This Row],[Net Revenue]]-OrdersTable[[#This Row],[COGS]]-OrdersTable[[#This Row],[Shipping Cost]]</f>
        <v>443.1</v>
      </c>
      <c r="Z4172" s="78">
        <f>IFERROR(OrdersTable[[#This Row],[Profit]]/OrdersTable[[#This Row],[Net Revenue]],0)</f>
        <v>0.61618690029203171</v>
      </c>
      <c r="AA4172" t="s">
        <v>18</v>
      </c>
      <c r="AB4172" s="79">
        <v>45948</v>
      </c>
      <c r="AC4172">
        <f>OrdersTable[[#This Row],[Delivery Date]]-OrdersTable[[#This Row],[Order Date]]</f>
        <v>1</v>
      </c>
      <c r="AD4172" t="str">
        <f>IF(OrdersTable[[#This Row],[Delivery Days]]&lt;=2, "Express (≤2d)", IF(OrdersTable[[#This Row],[Delivery Days]]&lt;=4, "Standard (3-4d)", "Delayed (5d+)"))</f>
        <v>Express (≤2d)</v>
      </c>
      <c r="AE4172">
        <v>5</v>
      </c>
      <c r="AF4172">
        <v>0</v>
      </c>
    </row>
    <row r="4173" spans="1:32" ht="15" x14ac:dyDescent="0.35">
      <c r="A4173" t="s">
        <v>5993</v>
      </c>
      <c r="B4173" s="1">
        <v>45947</v>
      </c>
      <c r="C4173">
        <f>YEAR(OrdersTable[[#This Row],[Order Date]])</f>
        <v>2025</v>
      </c>
      <c r="D4173" s="2">
        <f>DATE(YEAR(OrdersTable[[#This Row],[Order Date]]),MONTH(OrdersTable[[#This Row],[Order Date]]),1)</f>
        <v>45931</v>
      </c>
      <c r="E4173">
        <f>MONTH(OrdersTable[[#This Row],[Order Date]])</f>
        <v>10</v>
      </c>
      <c r="F4173" t="s">
        <v>3852</v>
      </c>
      <c r="G4173" t="str">
        <f>IF(OrdersTable[[#This Row],[Order Date]]=_xlfn.MINIFS(Order_Date, Customer_ID, OrdersTable[[#This Row],[Customer ID]]), "New", "Repeat")</f>
        <v>Repeat</v>
      </c>
      <c r="H4173" t="s">
        <v>59</v>
      </c>
      <c r="I4173" t="str">
        <f>INDEX(State!B:B,MATCH(OrdersTable[[#This Row],[State]],State!A:A,0))</f>
        <v>TN</v>
      </c>
      <c r="J4173" t="str">
        <f>INDEX(State!C:C,MATCH(OrdersTable[[#This Row],[State Code]],State!B:B,0))</f>
        <v>South</v>
      </c>
      <c r="K4173" t="s">
        <v>60</v>
      </c>
      <c r="L4173" t="s">
        <v>65</v>
      </c>
      <c r="M4173" t="s">
        <v>148</v>
      </c>
      <c r="N4173" t="str">
        <f>INDEX(Products!B:B,MATCH(OrdersTable[[#This Row],[Product ID]],Products!A:A,0))</f>
        <v>Smartwatch Strap</v>
      </c>
      <c r="O4173" t="str">
        <f>INDEX(Products!C:C,MATCH(OrdersTable[[#This Row],[Product ID]],Products!A:A,0))</f>
        <v>Electronics</v>
      </c>
      <c r="P4173">
        <v>2</v>
      </c>
      <c r="Q4173" s="5">
        <v>499</v>
      </c>
      <c r="R4173" s="74">
        <v>0.3</v>
      </c>
      <c r="S4173" s="75">
        <f>OrdersTable[[#This Row],[Quantity]]*OrdersTable[[#This Row],[Unit Price]]</f>
        <v>998</v>
      </c>
      <c r="T4173" s="5">
        <f>OrdersTable[[#This Row],[Gross Sale]]*OrdersTable[[#This Row],[Discount_Clean2]]</f>
        <v>299.39999999999998</v>
      </c>
      <c r="U4173" s="5">
        <f>OrdersTable[[#This Row],[Gross Sale]]-OrdersTable[[#This Row],[Discount Amount]]</f>
        <v>698.6</v>
      </c>
      <c r="V4173" s="77">
        <f>INDEX(Products!E:E,MATCH(OrdersTable[[#This Row],[Product ID]],Products!A:A,0))</f>
        <v>200</v>
      </c>
      <c r="W4173" s="77">
        <f>OrdersTable[[#This Row],[Quantity]]*OrdersTable[[#This Row],[Unit Cost]]</f>
        <v>400</v>
      </c>
      <c r="X4173" s="77">
        <f>'Dropdown Lists'!$I$2*(1+OrdersTable[[#This Row],[Returned]])</f>
        <v>60</v>
      </c>
      <c r="Y4173" s="76">
        <f>OrdersTable[[#This Row],[Net Revenue]]-OrdersTable[[#This Row],[COGS]]-OrdersTable[[#This Row],[Shipping Cost]]</f>
        <v>238.60000000000002</v>
      </c>
      <c r="Z4173" s="78">
        <f>IFERROR(OrdersTable[[#This Row],[Profit]]/OrdersTable[[#This Row],[Net Revenue]],0)</f>
        <v>0.34154022330375039</v>
      </c>
      <c r="AA4173" t="s">
        <v>18</v>
      </c>
      <c r="AB4173" s="79">
        <v>45950</v>
      </c>
      <c r="AC4173">
        <f>OrdersTable[[#This Row],[Delivery Date]]-OrdersTable[[#This Row],[Order Date]]</f>
        <v>3</v>
      </c>
      <c r="AD4173" t="str">
        <f>IF(OrdersTable[[#This Row],[Delivery Days]]&lt;=2, "Express (≤2d)", IF(OrdersTable[[#This Row],[Delivery Days]]&lt;=4, "Standard (3-4d)", "Delayed (5d+)"))</f>
        <v>Standard (3-4d)</v>
      </c>
      <c r="AF4173">
        <v>0</v>
      </c>
    </row>
    <row r="4174" spans="1:32" ht="15" x14ac:dyDescent="0.35">
      <c r="A4174" t="s">
        <v>6214</v>
      </c>
      <c r="B4174" s="1">
        <v>45947</v>
      </c>
      <c r="C4174">
        <f>YEAR(OrdersTable[[#This Row],[Order Date]])</f>
        <v>2025</v>
      </c>
      <c r="D4174" s="2">
        <f>DATE(YEAR(OrdersTable[[#This Row],[Order Date]]),MONTH(OrdersTable[[#This Row],[Order Date]]),1)</f>
        <v>45931</v>
      </c>
      <c r="E4174">
        <f>MONTH(OrdersTable[[#This Row],[Order Date]])</f>
        <v>10</v>
      </c>
      <c r="F4174" t="s">
        <v>6215</v>
      </c>
      <c r="G4174" t="str">
        <f>IF(OrdersTable[[#This Row],[Order Date]]=_xlfn.MINIFS(Order_Date, Customer_ID, OrdersTable[[#This Row],[Customer ID]]), "New", "Repeat")</f>
        <v>New</v>
      </c>
      <c r="H4174" t="s">
        <v>59</v>
      </c>
      <c r="I4174" t="str">
        <f>INDEX(State!B:B,MATCH(OrdersTable[[#This Row],[State]],State!A:A,0))</f>
        <v>TN</v>
      </c>
      <c r="J4174" t="str">
        <f>INDEX(State!C:C,MATCH(OrdersTable[[#This Row],[State Code]],State!B:B,0))</f>
        <v>South</v>
      </c>
      <c r="K4174" t="s">
        <v>64</v>
      </c>
      <c r="L4174" t="s">
        <v>65</v>
      </c>
      <c r="M4174" t="s">
        <v>87</v>
      </c>
      <c r="N4174" t="str">
        <f>INDEX(Products!B:B,MATCH(OrdersTable[[#This Row],[Product ID]],Products!A:A,0))</f>
        <v>Linen Kurta</v>
      </c>
      <c r="O4174" t="str">
        <f>INDEX(Products!C:C,MATCH(OrdersTable[[#This Row],[Product ID]],Products!A:A,0))</f>
        <v>Apparel</v>
      </c>
      <c r="P4174">
        <v>2</v>
      </c>
      <c r="Q4174" s="5">
        <v>1499</v>
      </c>
      <c r="R4174" s="74">
        <v>0.45</v>
      </c>
      <c r="S4174" s="75">
        <f>OrdersTable[[#This Row],[Quantity]]*OrdersTable[[#This Row],[Unit Price]]</f>
        <v>2998</v>
      </c>
      <c r="T4174" s="5">
        <f>OrdersTable[[#This Row],[Gross Sale]]*OrdersTable[[#This Row],[Discount_Clean2]]</f>
        <v>1349.1000000000001</v>
      </c>
      <c r="U4174" s="5">
        <f>OrdersTable[[#This Row],[Gross Sale]]-OrdersTable[[#This Row],[Discount Amount]]</f>
        <v>1648.8999999999999</v>
      </c>
      <c r="V4174" s="77">
        <f>INDEX(Products!E:E,MATCH(OrdersTable[[#This Row],[Product ID]],Products!A:A,0))</f>
        <v>630</v>
      </c>
      <c r="W4174" s="77">
        <f>OrdersTable[[#This Row],[Quantity]]*OrdersTable[[#This Row],[Unit Cost]]</f>
        <v>1260</v>
      </c>
      <c r="X4174" s="77">
        <f>'Dropdown Lists'!$I$2*(1+OrdersTable[[#This Row],[Returned]])</f>
        <v>60</v>
      </c>
      <c r="Y4174" s="76">
        <f>OrdersTable[[#This Row],[Net Revenue]]-OrdersTable[[#This Row],[COGS]]-OrdersTable[[#This Row],[Shipping Cost]]</f>
        <v>328.89999999999986</v>
      </c>
      <c r="Z4174" s="78">
        <f>IFERROR(OrdersTable[[#This Row],[Profit]]/OrdersTable[[#This Row],[Net Revenue]],0)</f>
        <v>0.19946631087391586</v>
      </c>
      <c r="AA4174" t="s">
        <v>18</v>
      </c>
      <c r="AB4174" s="79">
        <v>45952</v>
      </c>
      <c r="AC4174">
        <f>OrdersTable[[#This Row],[Delivery Date]]-OrdersTable[[#This Row],[Order Date]]</f>
        <v>5</v>
      </c>
      <c r="AD4174" t="str">
        <f>IF(OrdersTable[[#This Row],[Delivery Days]]&lt;=2, "Express (≤2d)", IF(OrdersTable[[#This Row],[Delivery Days]]&lt;=4, "Standard (3-4d)", "Delayed (5d+)"))</f>
        <v>Delayed (5d+)</v>
      </c>
      <c r="AE4174">
        <v>4</v>
      </c>
      <c r="AF4174">
        <v>0</v>
      </c>
    </row>
    <row r="4175" spans="1:32" ht="15" x14ac:dyDescent="0.35">
      <c r="A4175" t="s">
        <v>5731</v>
      </c>
      <c r="B4175" s="1">
        <v>45948</v>
      </c>
      <c r="C4175">
        <f>YEAR(OrdersTable[[#This Row],[Order Date]])</f>
        <v>2025</v>
      </c>
      <c r="D4175" s="2">
        <f>DATE(YEAR(OrdersTable[[#This Row],[Order Date]]),MONTH(OrdersTable[[#This Row],[Order Date]]),1)</f>
        <v>45931</v>
      </c>
      <c r="E4175">
        <f>MONTH(OrdersTable[[#This Row],[Order Date]])</f>
        <v>10</v>
      </c>
      <c r="F4175" t="s">
        <v>3956</v>
      </c>
      <c r="G4175" t="str">
        <f>IF(OrdersTable[[#This Row],[Order Date]]=_xlfn.MINIFS(Order_Date, Customer_ID, OrdersTable[[#This Row],[Customer ID]]), "New", "Repeat")</f>
        <v>Repeat</v>
      </c>
      <c r="H4175" t="s">
        <v>54</v>
      </c>
      <c r="I4175" t="str">
        <f>INDEX(State!B:B,MATCH(OrdersTable[[#This Row],[State]],State!A:A,0))</f>
        <v>RJ</v>
      </c>
      <c r="J4175" t="str">
        <f>INDEX(State!C:C,MATCH(OrdersTable[[#This Row],[State Code]],State!B:B,0))</f>
        <v>North</v>
      </c>
      <c r="K4175" t="s">
        <v>55</v>
      </c>
      <c r="L4175" t="s">
        <v>50</v>
      </c>
      <c r="M4175" t="s">
        <v>109</v>
      </c>
      <c r="N4175" t="str">
        <f>INDEX(Products!B:B,MATCH(OrdersTable[[#This Row],[Product ID]],Products!A:A,0))</f>
        <v>Onion Hair Oil</v>
      </c>
      <c r="O4175" t="str">
        <f>INDEX(Products!C:C,MATCH(OrdersTable[[#This Row],[Product ID]],Products!A:A,0))</f>
        <v>Haircare</v>
      </c>
      <c r="P4175">
        <v>2</v>
      </c>
      <c r="Q4175" s="5">
        <v>349</v>
      </c>
      <c r="R4175" s="74">
        <v>0.45</v>
      </c>
      <c r="S4175" s="75">
        <f>OrdersTable[[#This Row],[Quantity]]*OrdersTable[[#This Row],[Unit Price]]</f>
        <v>698</v>
      </c>
      <c r="T4175" s="5">
        <f>OrdersTable[[#This Row],[Gross Sale]]*OrdersTable[[#This Row],[Discount_Clean2]]</f>
        <v>314.10000000000002</v>
      </c>
      <c r="U4175" s="5">
        <f>OrdersTable[[#This Row],[Gross Sale]]-OrdersTable[[#This Row],[Discount Amount]]</f>
        <v>383.9</v>
      </c>
      <c r="V4175" s="77">
        <f>INDEX(Products!E:E,MATCH(OrdersTable[[#This Row],[Product ID]],Products!A:A,0))</f>
        <v>105</v>
      </c>
      <c r="W4175" s="77">
        <f>OrdersTable[[#This Row],[Quantity]]*OrdersTable[[#This Row],[Unit Cost]]</f>
        <v>210</v>
      </c>
      <c r="X4175" s="77">
        <f>'Dropdown Lists'!$I$2*(1+OrdersTable[[#This Row],[Returned]])</f>
        <v>60</v>
      </c>
      <c r="Y4175" s="76">
        <f>OrdersTable[[#This Row],[Net Revenue]]-OrdersTable[[#This Row],[COGS]]-OrdersTable[[#This Row],[Shipping Cost]]</f>
        <v>113.89999999999998</v>
      </c>
      <c r="Z4175" s="78">
        <f>IFERROR(OrdersTable[[#This Row],[Profit]]/OrdersTable[[#This Row],[Net Revenue]],0)</f>
        <v>0.29669184683511329</v>
      </c>
      <c r="AA4175" t="s">
        <v>18</v>
      </c>
      <c r="AB4175" s="79">
        <v>45954</v>
      </c>
      <c r="AC4175">
        <f>OrdersTable[[#This Row],[Delivery Date]]-OrdersTable[[#This Row],[Order Date]]</f>
        <v>6</v>
      </c>
      <c r="AD4175" t="str">
        <f>IF(OrdersTable[[#This Row],[Delivery Days]]&lt;=2, "Express (≤2d)", IF(OrdersTable[[#This Row],[Delivery Days]]&lt;=4, "Standard (3-4d)", "Delayed (5d+)"))</f>
        <v>Delayed (5d+)</v>
      </c>
      <c r="AE4175">
        <v>3</v>
      </c>
      <c r="AF4175">
        <v>0</v>
      </c>
    </row>
    <row r="4176" spans="1:32" ht="15" x14ac:dyDescent="0.35">
      <c r="A4176" t="s">
        <v>3354</v>
      </c>
      <c r="B4176" s="1">
        <v>45948</v>
      </c>
      <c r="C4176">
        <f>YEAR(OrdersTable[[#This Row],[Order Date]])</f>
        <v>2025</v>
      </c>
      <c r="D4176" s="2">
        <f>DATE(YEAR(OrdersTable[[#This Row],[Order Date]]),MONTH(OrdersTable[[#This Row],[Order Date]]),1)</f>
        <v>45931</v>
      </c>
      <c r="E4176">
        <f>MONTH(OrdersTable[[#This Row],[Order Date]])</f>
        <v>10</v>
      </c>
      <c r="F4176" t="s">
        <v>2690</v>
      </c>
      <c r="G4176" t="str">
        <f>IF(OrdersTable[[#This Row],[Order Date]]=_xlfn.MINIFS(Order_Date, Customer_ID, OrdersTable[[#This Row],[Customer ID]]), "New", "Repeat")</f>
        <v>Repeat</v>
      </c>
      <c r="H4176" t="s">
        <v>48</v>
      </c>
      <c r="I4176" t="str">
        <f>INDEX(State!B:B,MATCH(OrdersTable[[#This Row],[State]],State!A:A,0))</f>
        <v>HR</v>
      </c>
      <c r="J4176" t="str">
        <f>INDEX(State!C:C,MATCH(OrdersTable[[#This Row],[State Code]],State!B:B,0))</f>
        <v>North</v>
      </c>
      <c r="K4176" t="s">
        <v>151</v>
      </c>
      <c r="L4176" t="s">
        <v>23</v>
      </c>
      <c r="M4176" t="s">
        <v>255</v>
      </c>
      <c r="N4176" t="str">
        <f>INDEX(Products!B:B,MATCH(OrdersTable[[#This Row],[Product ID]],Products!A:A,0))</f>
        <v>Cotton Oversized T-Shirt</v>
      </c>
      <c r="O4176" t="str">
        <f>INDEX(Products!C:C,MATCH(OrdersTable[[#This Row],[Product ID]],Products!A:A,0))</f>
        <v>Apparel</v>
      </c>
      <c r="P4176">
        <v>1</v>
      </c>
      <c r="Q4176" s="5">
        <v>799</v>
      </c>
      <c r="R4176" s="74">
        <v>0.15</v>
      </c>
      <c r="S4176" s="75">
        <f>OrdersTable[[#This Row],[Quantity]]*OrdersTable[[#This Row],[Unit Price]]</f>
        <v>799</v>
      </c>
      <c r="T4176" s="5">
        <f>OrdersTable[[#This Row],[Gross Sale]]*OrdersTable[[#This Row],[Discount_Clean2]]</f>
        <v>119.85</v>
      </c>
      <c r="U4176" s="5">
        <f>OrdersTable[[#This Row],[Gross Sale]]-OrdersTable[[#This Row],[Discount Amount]]</f>
        <v>679.15</v>
      </c>
      <c r="V4176" s="77">
        <f>INDEX(Products!E:E,MATCH(OrdersTable[[#This Row],[Product ID]],Products!A:A,0))</f>
        <v>320</v>
      </c>
      <c r="W4176" s="77">
        <f>OrdersTable[[#This Row],[Quantity]]*OrdersTable[[#This Row],[Unit Cost]]</f>
        <v>320</v>
      </c>
      <c r="X4176" s="77">
        <f>'Dropdown Lists'!$I$2*(1+OrdersTable[[#This Row],[Returned]])</f>
        <v>60</v>
      </c>
      <c r="Y4176" s="76">
        <f>OrdersTable[[#This Row],[Net Revenue]]-OrdersTable[[#This Row],[COGS]]-OrdersTable[[#This Row],[Shipping Cost]]</f>
        <v>299.14999999999998</v>
      </c>
      <c r="Z4176" s="78">
        <f>IFERROR(OrdersTable[[#This Row],[Profit]]/OrdersTable[[#This Row],[Net Revenue]],0)</f>
        <v>0.44047706692188765</v>
      </c>
      <c r="AA4176" t="s">
        <v>2522</v>
      </c>
      <c r="AB4176" s="79">
        <v>45953</v>
      </c>
      <c r="AC4176">
        <f>OrdersTable[[#This Row],[Delivery Date]]-OrdersTable[[#This Row],[Order Date]]</f>
        <v>5</v>
      </c>
      <c r="AD4176" t="str">
        <f>IF(OrdersTable[[#This Row],[Delivery Days]]&lt;=2, "Express (≤2d)", IF(OrdersTable[[#This Row],[Delivery Days]]&lt;=4, "Standard (3-4d)", "Delayed (5d+)"))</f>
        <v>Delayed (5d+)</v>
      </c>
      <c r="AE4176">
        <v>4</v>
      </c>
      <c r="AF4176">
        <v>0</v>
      </c>
    </row>
    <row r="4177" spans="1:32" ht="15" x14ac:dyDescent="0.35">
      <c r="A4177" t="s">
        <v>1304</v>
      </c>
      <c r="B4177" s="1">
        <v>45948</v>
      </c>
      <c r="C4177">
        <f>YEAR(OrdersTable[[#This Row],[Order Date]])</f>
        <v>2025</v>
      </c>
      <c r="D4177" s="2">
        <f>DATE(YEAR(OrdersTable[[#This Row],[Order Date]]),MONTH(OrdersTable[[#This Row],[Order Date]]),1)</f>
        <v>45931</v>
      </c>
      <c r="E4177">
        <f>MONTH(OrdersTable[[#This Row],[Order Date]])</f>
        <v>10</v>
      </c>
      <c r="F4177" t="s">
        <v>1305</v>
      </c>
      <c r="G4177" t="str">
        <f>IF(OrdersTable[[#This Row],[Order Date]]=_xlfn.MINIFS(Order_Date, Customer_ID, OrdersTable[[#This Row],[Customer ID]]), "New", "Repeat")</f>
        <v>New</v>
      </c>
      <c r="H4177" t="s">
        <v>71</v>
      </c>
      <c r="I4177" t="str">
        <f>INDEX(State!B:B,MATCH(OrdersTable[[#This Row],[State]],State!A:A,0))</f>
        <v>MH</v>
      </c>
      <c r="J4177" t="str">
        <f>INDEX(State!C:C,MATCH(OrdersTable[[#This Row],[State Code]],State!B:B,0))</f>
        <v>West</v>
      </c>
      <c r="K4177" t="s">
        <v>72</v>
      </c>
      <c r="L4177" t="s">
        <v>16</v>
      </c>
      <c r="M4177" t="s">
        <v>576</v>
      </c>
      <c r="N4177" t="str">
        <f>INDEX(Products!B:B,MATCH(OrdersTable[[#This Row],[Product ID]],Products!A:A,0))</f>
        <v>Printed Saree</v>
      </c>
      <c r="O4177" t="str">
        <f>INDEX(Products!C:C,MATCH(OrdersTable[[#This Row],[Product ID]],Products!A:A,0))</f>
        <v>Apparel</v>
      </c>
      <c r="P4177">
        <v>1</v>
      </c>
      <c r="Q4177" s="5">
        <v>1999</v>
      </c>
      <c r="R4177" s="74">
        <v>0.1</v>
      </c>
      <c r="S4177" s="75">
        <f>OrdersTable[[#This Row],[Quantity]]*OrdersTable[[#This Row],[Unit Price]]</f>
        <v>1999</v>
      </c>
      <c r="T4177" s="5">
        <f>OrdersTable[[#This Row],[Gross Sale]]*OrdersTable[[#This Row],[Discount_Clean2]]</f>
        <v>199.9</v>
      </c>
      <c r="U4177" s="5">
        <f>OrdersTable[[#This Row],[Gross Sale]]-OrdersTable[[#This Row],[Discount Amount]]</f>
        <v>1799.1</v>
      </c>
      <c r="V4177" s="77">
        <f>INDEX(Products!E:E,MATCH(OrdersTable[[#This Row],[Product ID]],Products!A:A,0))</f>
        <v>880</v>
      </c>
      <c r="W4177" s="77">
        <f>OrdersTable[[#This Row],[Quantity]]*OrdersTable[[#This Row],[Unit Cost]]</f>
        <v>880</v>
      </c>
      <c r="X4177" s="77">
        <f>'Dropdown Lists'!$I$2*(1+OrdersTable[[#This Row],[Returned]])</f>
        <v>120</v>
      </c>
      <c r="Y4177" s="76">
        <f>OrdersTable[[#This Row],[Net Revenue]]-OrdersTable[[#This Row],[COGS]]-OrdersTable[[#This Row],[Shipping Cost]]</f>
        <v>799.09999999999991</v>
      </c>
      <c r="Z4177" s="78">
        <f>IFERROR(OrdersTable[[#This Row],[Profit]]/OrdersTable[[#This Row],[Net Revenue]],0)</f>
        <v>0.44416652770829856</v>
      </c>
      <c r="AA4177" t="s">
        <v>18</v>
      </c>
      <c r="AB4177" s="79">
        <v>45949</v>
      </c>
      <c r="AC4177">
        <f>OrdersTable[[#This Row],[Delivery Date]]-OrdersTable[[#This Row],[Order Date]]</f>
        <v>1</v>
      </c>
      <c r="AD4177" t="str">
        <f>IF(OrdersTable[[#This Row],[Delivery Days]]&lt;=2, "Express (≤2d)", IF(OrdersTable[[#This Row],[Delivery Days]]&lt;=4, "Standard (3-4d)", "Delayed (5d+)"))</f>
        <v>Express (≤2d)</v>
      </c>
      <c r="AF4177">
        <v>1</v>
      </c>
    </row>
    <row r="4178" spans="1:32" ht="15" x14ac:dyDescent="0.35">
      <c r="A4178" t="s">
        <v>4296</v>
      </c>
      <c r="B4178" s="1">
        <v>45948</v>
      </c>
      <c r="C4178">
        <f>YEAR(OrdersTable[[#This Row],[Order Date]])</f>
        <v>2025</v>
      </c>
      <c r="D4178" s="2">
        <f>DATE(YEAR(OrdersTable[[#This Row],[Order Date]]),MONTH(OrdersTable[[#This Row],[Order Date]]),1)</f>
        <v>45931</v>
      </c>
      <c r="E4178">
        <f>MONTH(OrdersTable[[#This Row],[Order Date]])</f>
        <v>10</v>
      </c>
      <c r="F4178" t="s">
        <v>3377</v>
      </c>
      <c r="G4178" t="str">
        <f>IF(OrdersTable[[#This Row],[Order Date]]=_xlfn.MINIFS(Order_Date, Customer_ID, OrdersTable[[#This Row],[Customer ID]]), "New", "Repeat")</f>
        <v>Repeat</v>
      </c>
      <c r="H4178" t="s">
        <v>71</v>
      </c>
      <c r="I4178" t="str">
        <f>INDEX(State!B:B,MATCH(OrdersTable[[#This Row],[State]],State!A:A,0))</f>
        <v>MH</v>
      </c>
      <c r="J4178" t="str">
        <f>INDEX(State!C:C,MATCH(OrdersTable[[#This Row],[State Code]],State!B:B,0))</f>
        <v>West</v>
      </c>
      <c r="K4178" t="s">
        <v>72</v>
      </c>
      <c r="L4178" t="s">
        <v>16</v>
      </c>
      <c r="M4178" t="s">
        <v>255</v>
      </c>
      <c r="N4178" t="str">
        <f>INDEX(Products!B:B,MATCH(OrdersTable[[#This Row],[Product ID]],Products!A:A,0))</f>
        <v>Cotton Oversized T-Shirt</v>
      </c>
      <c r="O4178" t="str">
        <f>INDEX(Products!C:C,MATCH(OrdersTable[[#This Row],[Product ID]],Products!A:A,0))</f>
        <v>Apparel</v>
      </c>
      <c r="P4178">
        <v>1</v>
      </c>
      <c r="Q4178" s="5">
        <v>799</v>
      </c>
      <c r="R4178" s="74">
        <v>0.1</v>
      </c>
      <c r="S4178" s="75">
        <f>OrdersTable[[#This Row],[Quantity]]*OrdersTable[[#This Row],[Unit Price]]</f>
        <v>799</v>
      </c>
      <c r="T4178" s="5">
        <f>OrdersTable[[#This Row],[Gross Sale]]*OrdersTable[[#This Row],[Discount_Clean2]]</f>
        <v>79.900000000000006</v>
      </c>
      <c r="U4178" s="5">
        <f>OrdersTable[[#This Row],[Gross Sale]]-OrdersTable[[#This Row],[Discount Amount]]</f>
        <v>719.1</v>
      </c>
      <c r="V4178" s="77">
        <f>INDEX(Products!E:E,MATCH(OrdersTable[[#This Row],[Product ID]],Products!A:A,0))</f>
        <v>320</v>
      </c>
      <c r="W4178" s="77">
        <f>OrdersTable[[#This Row],[Quantity]]*OrdersTable[[#This Row],[Unit Cost]]</f>
        <v>320</v>
      </c>
      <c r="X4178" s="77">
        <f>'Dropdown Lists'!$I$2*(1+OrdersTable[[#This Row],[Returned]])</f>
        <v>60</v>
      </c>
      <c r="Y4178" s="76">
        <f>OrdersTable[[#This Row],[Net Revenue]]-OrdersTable[[#This Row],[COGS]]-OrdersTable[[#This Row],[Shipping Cost]]</f>
        <v>339.1</v>
      </c>
      <c r="Z4178" s="78">
        <f>IFERROR(OrdersTable[[#This Row],[Profit]]/OrdersTable[[#This Row],[Net Revenue]],0)</f>
        <v>0.47156167431511614</v>
      </c>
      <c r="AA4178" t="s">
        <v>4074</v>
      </c>
      <c r="AB4178" s="79">
        <v>45950</v>
      </c>
      <c r="AC4178">
        <f>OrdersTable[[#This Row],[Delivery Date]]-OrdersTable[[#This Row],[Order Date]]</f>
        <v>2</v>
      </c>
      <c r="AD4178" t="str">
        <f>IF(OrdersTable[[#This Row],[Delivery Days]]&lt;=2, "Express (≤2d)", IF(OrdersTable[[#This Row],[Delivery Days]]&lt;=4, "Standard (3-4d)", "Delayed (5d+)"))</f>
        <v>Express (≤2d)</v>
      </c>
      <c r="AF4178">
        <v>0</v>
      </c>
    </row>
    <row r="4179" spans="1:32" ht="15" x14ac:dyDescent="0.35">
      <c r="A4179" t="s">
        <v>5833</v>
      </c>
      <c r="B4179" s="1">
        <v>45948</v>
      </c>
      <c r="C4179">
        <f>YEAR(OrdersTable[[#This Row],[Order Date]])</f>
        <v>2025</v>
      </c>
      <c r="D4179" s="2">
        <f>DATE(YEAR(OrdersTable[[#This Row],[Order Date]]),MONTH(OrdersTable[[#This Row],[Order Date]]),1)</f>
        <v>45931</v>
      </c>
      <c r="E4179">
        <f>MONTH(OrdersTable[[#This Row],[Order Date]])</f>
        <v>10</v>
      </c>
      <c r="F4179" t="s">
        <v>1035</v>
      </c>
      <c r="G4179" t="str">
        <f>IF(OrdersTable[[#This Row],[Order Date]]=_xlfn.MINIFS(Order_Date, Customer_ID, OrdersTable[[#This Row],[Customer ID]]), "New", "Repeat")</f>
        <v>Repeat</v>
      </c>
      <c r="H4179" t="s">
        <v>71</v>
      </c>
      <c r="I4179" t="str">
        <f>INDEX(State!B:B,MATCH(OrdersTable[[#This Row],[State]],State!A:A,0))</f>
        <v>MH</v>
      </c>
      <c r="J4179" t="str">
        <f>INDEX(State!C:C,MATCH(OrdersTable[[#This Row],[State Code]],State!B:B,0))</f>
        <v>West</v>
      </c>
      <c r="K4179" t="s">
        <v>72</v>
      </c>
      <c r="L4179" t="s">
        <v>65</v>
      </c>
      <c r="M4179" t="s">
        <v>78</v>
      </c>
      <c r="N4179" t="str">
        <f>INDEX(Products!B:B,MATCH(OrdersTable[[#This Row],[Product ID]],Products!A:A,0))</f>
        <v>Retinol Night Cream</v>
      </c>
      <c r="O4179" t="str">
        <f>INDEX(Products!C:C,MATCH(OrdersTable[[#This Row],[Product ID]],Products!A:A,0))</f>
        <v>Skincare</v>
      </c>
      <c r="P4179">
        <v>2</v>
      </c>
      <c r="Q4179" s="5">
        <v>799</v>
      </c>
      <c r="R4179" s="74">
        <v>0.2</v>
      </c>
      <c r="S4179" s="75">
        <f>OrdersTable[[#This Row],[Quantity]]*OrdersTable[[#This Row],[Unit Price]]</f>
        <v>1598</v>
      </c>
      <c r="T4179" s="5">
        <f>OrdersTable[[#This Row],[Gross Sale]]*OrdersTable[[#This Row],[Discount_Clean2]]</f>
        <v>319.60000000000002</v>
      </c>
      <c r="U4179" s="5">
        <f>OrdersTable[[#This Row],[Gross Sale]]-OrdersTable[[#This Row],[Discount Amount]]</f>
        <v>1278.4000000000001</v>
      </c>
      <c r="V4179" s="77">
        <f>INDEX(Products!E:E,MATCH(OrdersTable[[#This Row],[Product ID]],Products!A:A,0))</f>
        <v>216</v>
      </c>
      <c r="W4179" s="77">
        <f>OrdersTable[[#This Row],[Quantity]]*OrdersTable[[#This Row],[Unit Cost]]</f>
        <v>432</v>
      </c>
      <c r="X4179" s="77">
        <f>'Dropdown Lists'!$I$2*(1+OrdersTable[[#This Row],[Returned]])</f>
        <v>120</v>
      </c>
      <c r="Y4179" s="76">
        <f>OrdersTable[[#This Row],[Net Revenue]]-OrdersTable[[#This Row],[COGS]]-OrdersTable[[#This Row],[Shipping Cost]]</f>
        <v>726.40000000000009</v>
      </c>
      <c r="Z4179" s="78">
        <f>IFERROR(OrdersTable[[#This Row],[Profit]]/OrdersTable[[#This Row],[Net Revenue]],0)</f>
        <v>0.56821026282853571</v>
      </c>
      <c r="AA4179" t="s">
        <v>18</v>
      </c>
      <c r="AB4179" s="79">
        <v>45950</v>
      </c>
      <c r="AC4179">
        <f>OrdersTable[[#This Row],[Delivery Date]]-OrdersTable[[#This Row],[Order Date]]</f>
        <v>2</v>
      </c>
      <c r="AD4179" t="str">
        <f>IF(OrdersTable[[#This Row],[Delivery Days]]&lt;=2, "Express (≤2d)", IF(OrdersTable[[#This Row],[Delivery Days]]&lt;=4, "Standard (3-4d)", "Delayed (5d+)"))</f>
        <v>Express (≤2d)</v>
      </c>
      <c r="AE4179">
        <v>5</v>
      </c>
      <c r="AF4179">
        <v>1</v>
      </c>
    </row>
    <row r="4180" spans="1:32" ht="15" x14ac:dyDescent="0.35">
      <c r="A4180" t="s">
        <v>6819</v>
      </c>
      <c r="B4180" s="1">
        <v>45948</v>
      </c>
      <c r="C4180">
        <f>YEAR(OrdersTable[[#This Row],[Order Date]])</f>
        <v>2025</v>
      </c>
      <c r="D4180" s="2">
        <f>DATE(YEAR(OrdersTable[[#This Row],[Order Date]]),MONTH(OrdersTable[[#This Row],[Order Date]]),1)</f>
        <v>45931</v>
      </c>
      <c r="E4180">
        <f>MONTH(OrdersTable[[#This Row],[Order Date]])</f>
        <v>10</v>
      </c>
      <c r="F4180" t="s">
        <v>2889</v>
      </c>
      <c r="G4180" t="str">
        <f>IF(OrdersTable[[#This Row],[Order Date]]=_xlfn.MINIFS(Order_Date, Customer_ID, OrdersTable[[#This Row],[Customer ID]]), "New", "Repeat")</f>
        <v>Repeat</v>
      </c>
      <c r="H4180" t="s">
        <v>71</v>
      </c>
      <c r="I4180" t="str">
        <f>INDEX(State!B:B,MATCH(OrdersTable[[#This Row],[State]],State!A:A,0))</f>
        <v>MH</v>
      </c>
      <c r="J4180" t="str">
        <f>INDEX(State!C:C,MATCH(OrdersTable[[#This Row],[State Code]],State!B:B,0))</f>
        <v>West</v>
      </c>
      <c r="K4180" t="s">
        <v>72</v>
      </c>
      <c r="L4180" t="s">
        <v>23</v>
      </c>
      <c r="M4180" t="s">
        <v>152</v>
      </c>
      <c r="N4180" t="str">
        <f>INDEX(Products!B:B,MATCH(OrdersTable[[#This Row],[Product ID]],Products!A:A,0))</f>
        <v>Green Tea (100 bags)</v>
      </c>
      <c r="O4180" t="str">
        <f>INDEX(Products!C:C,MATCH(OrdersTable[[#This Row],[Product ID]],Products!A:A,0))</f>
        <v>Wellness</v>
      </c>
      <c r="P4180">
        <v>3</v>
      </c>
      <c r="Q4180" s="5">
        <v>399</v>
      </c>
      <c r="R4180" s="74">
        <v>0.45</v>
      </c>
      <c r="S4180" s="75">
        <f>OrdersTable[[#This Row],[Quantity]]*OrdersTable[[#This Row],[Unit Price]]</f>
        <v>1197</v>
      </c>
      <c r="T4180" s="5">
        <f>OrdersTable[[#This Row],[Gross Sale]]*OrdersTable[[#This Row],[Discount_Clean2]]</f>
        <v>538.65</v>
      </c>
      <c r="U4180" s="5">
        <f>OrdersTable[[#This Row],[Gross Sale]]-OrdersTable[[#This Row],[Discount Amount]]</f>
        <v>658.35</v>
      </c>
      <c r="V4180" s="77">
        <f>INDEX(Products!E:E,MATCH(OrdersTable[[#This Row],[Product ID]],Products!A:A,0))</f>
        <v>128</v>
      </c>
      <c r="W4180" s="77">
        <f>OrdersTable[[#This Row],[Quantity]]*OrdersTable[[#This Row],[Unit Cost]]</f>
        <v>384</v>
      </c>
      <c r="X4180" s="77">
        <f>'Dropdown Lists'!$I$2*(1+OrdersTable[[#This Row],[Returned]])</f>
        <v>60</v>
      </c>
      <c r="Y4180" s="76">
        <f>OrdersTable[[#This Row],[Net Revenue]]-OrdersTable[[#This Row],[COGS]]-OrdersTable[[#This Row],[Shipping Cost]]</f>
        <v>214.35000000000002</v>
      </c>
      <c r="Z4180" s="78">
        <f>IFERROR(OrdersTable[[#This Row],[Profit]]/OrdersTable[[#This Row],[Net Revenue]],0)</f>
        <v>0.32558669400774665</v>
      </c>
      <c r="AA4180" t="s">
        <v>3495</v>
      </c>
      <c r="AB4180" s="79">
        <v>45950</v>
      </c>
      <c r="AC4180">
        <f>OrdersTable[[#This Row],[Delivery Date]]-OrdersTable[[#This Row],[Order Date]]</f>
        <v>2</v>
      </c>
      <c r="AD4180" t="str">
        <f>IF(OrdersTable[[#This Row],[Delivery Days]]&lt;=2, "Express (≤2d)", IF(OrdersTable[[#This Row],[Delivery Days]]&lt;=4, "Standard (3-4d)", "Delayed (5d+)"))</f>
        <v>Express (≤2d)</v>
      </c>
      <c r="AE4180">
        <v>4</v>
      </c>
      <c r="AF4180">
        <v>0</v>
      </c>
    </row>
    <row r="4181" spans="1:32" ht="15" x14ac:dyDescent="0.35">
      <c r="A4181" t="s">
        <v>3355</v>
      </c>
      <c r="B4181" s="1">
        <v>45948</v>
      </c>
      <c r="C4181">
        <f>YEAR(OrdersTable[[#This Row],[Order Date]])</f>
        <v>2025</v>
      </c>
      <c r="D4181" s="2">
        <f>DATE(YEAR(OrdersTable[[#This Row],[Order Date]]),MONTH(OrdersTable[[#This Row],[Order Date]]),1)</f>
        <v>45931</v>
      </c>
      <c r="E4181">
        <f>MONTH(OrdersTable[[#This Row],[Order Date]])</f>
        <v>10</v>
      </c>
      <c r="F4181" t="s">
        <v>3356</v>
      </c>
      <c r="G4181" t="str">
        <f>IF(OrdersTable[[#This Row],[Order Date]]=_xlfn.MINIFS(Order_Date, Customer_ID, OrdersTable[[#This Row],[Customer ID]]), "New", "Repeat")</f>
        <v>Repeat</v>
      </c>
      <c r="H4181" t="s">
        <v>167</v>
      </c>
      <c r="I4181" t="str">
        <f>INDEX(State!B:B,MATCH(OrdersTable[[#This Row],[State]],State!A:A,0))</f>
        <v>KA</v>
      </c>
      <c r="J4181" t="str">
        <f>INDEX(State!C:C,MATCH(OrdersTable[[#This Row],[State Code]],State!B:B,0))</f>
        <v>South</v>
      </c>
      <c r="K4181" t="s">
        <v>168</v>
      </c>
      <c r="L4181" t="s">
        <v>16</v>
      </c>
      <c r="M4181" t="s">
        <v>92</v>
      </c>
      <c r="N4181" t="str">
        <f>INDEX(Products!B:B,MATCH(OrdersTable[[#This Row],[Product ID]],Products!A:A,0))</f>
        <v>Kolhapuri Sandals</v>
      </c>
      <c r="O4181" t="str">
        <f>INDEX(Products!C:C,MATCH(OrdersTable[[#This Row],[Product ID]],Products!A:A,0))</f>
        <v>Footwear</v>
      </c>
      <c r="P4181">
        <v>1</v>
      </c>
      <c r="Q4181" s="5">
        <v>999</v>
      </c>
      <c r="R4181" s="74">
        <v>0.2</v>
      </c>
      <c r="S4181" s="75">
        <f>OrdersTable[[#This Row],[Quantity]]*OrdersTable[[#This Row],[Unit Price]]</f>
        <v>999</v>
      </c>
      <c r="T4181" s="5">
        <f>OrdersTable[[#This Row],[Gross Sale]]*OrdersTable[[#This Row],[Discount_Clean2]]</f>
        <v>199.8</v>
      </c>
      <c r="U4181" s="5">
        <f>OrdersTable[[#This Row],[Gross Sale]]-OrdersTable[[#This Row],[Discount Amount]]</f>
        <v>799.2</v>
      </c>
      <c r="V4181" s="77">
        <f>INDEX(Products!E:E,MATCH(OrdersTable[[#This Row],[Product ID]],Products!A:A,0))</f>
        <v>400</v>
      </c>
      <c r="W4181" s="77">
        <f>OrdersTable[[#This Row],[Quantity]]*OrdersTable[[#This Row],[Unit Cost]]</f>
        <v>400</v>
      </c>
      <c r="X4181" s="77">
        <f>'Dropdown Lists'!$I$2*(1+OrdersTable[[#This Row],[Returned]])</f>
        <v>60</v>
      </c>
      <c r="Y4181" s="76">
        <f>OrdersTable[[#This Row],[Net Revenue]]-OrdersTable[[#This Row],[COGS]]-OrdersTable[[#This Row],[Shipping Cost]]</f>
        <v>339.20000000000005</v>
      </c>
      <c r="Z4181" s="78">
        <f>IFERROR(OrdersTable[[#This Row],[Profit]]/OrdersTable[[#This Row],[Net Revenue]],0)</f>
        <v>0.42442442442442446</v>
      </c>
      <c r="AA4181" t="s">
        <v>2522</v>
      </c>
      <c r="AB4181" s="79">
        <v>45952</v>
      </c>
      <c r="AC4181">
        <f>OrdersTable[[#This Row],[Delivery Date]]-OrdersTable[[#This Row],[Order Date]]</f>
        <v>4</v>
      </c>
      <c r="AD4181" t="str">
        <f>IF(OrdersTable[[#This Row],[Delivery Days]]&lt;=2, "Express (≤2d)", IF(OrdersTable[[#This Row],[Delivery Days]]&lt;=4, "Standard (3-4d)", "Delayed (5d+)"))</f>
        <v>Standard (3-4d)</v>
      </c>
      <c r="AE4181">
        <v>4</v>
      </c>
      <c r="AF4181">
        <v>0</v>
      </c>
    </row>
    <row r="4182" spans="1:32" ht="15" x14ac:dyDescent="0.35">
      <c r="A4182" t="s">
        <v>5043</v>
      </c>
      <c r="B4182" s="1">
        <v>45949</v>
      </c>
      <c r="C4182">
        <f>YEAR(OrdersTable[[#This Row],[Order Date]])</f>
        <v>2025</v>
      </c>
      <c r="D4182" s="2">
        <f>DATE(YEAR(OrdersTable[[#This Row],[Order Date]]),MONTH(OrdersTable[[#This Row],[Order Date]]),1)</f>
        <v>45931</v>
      </c>
      <c r="E4182">
        <f>MONTH(OrdersTable[[#This Row],[Order Date]])</f>
        <v>10</v>
      </c>
      <c r="F4182" t="s">
        <v>4430</v>
      </c>
      <c r="G4182" t="str">
        <f>IF(OrdersTable[[#This Row],[Order Date]]=_xlfn.MINIFS(Order_Date, Customer_ID, OrdersTable[[#This Row],[Customer ID]]), "New", "Repeat")</f>
        <v>Repeat</v>
      </c>
      <c r="H4182" t="s">
        <v>48</v>
      </c>
      <c r="I4182" t="str">
        <f>INDEX(State!B:B,MATCH(OrdersTable[[#This Row],[State]],State!A:A,0))</f>
        <v>HR</v>
      </c>
      <c r="J4182" t="str">
        <f>INDEX(State!C:C,MATCH(OrdersTable[[#This Row],[State Code]],State!B:B,0))</f>
        <v>North</v>
      </c>
      <c r="K4182" t="s">
        <v>49</v>
      </c>
      <c r="L4182" t="s">
        <v>65</v>
      </c>
      <c r="M4182" t="s">
        <v>40</v>
      </c>
      <c r="N4182" t="str">
        <f>INDEX(Products!B:B,MATCH(OrdersTable[[#This Row],[Product ID]],Products!A:A,0))</f>
        <v>Ashwagandha Capsules</v>
      </c>
      <c r="O4182" t="str">
        <f>INDEX(Products!C:C,MATCH(OrdersTable[[#This Row],[Product ID]],Products!A:A,0))</f>
        <v>Wellness</v>
      </c>
      <c r="P4182">
        <v>2</v>
      </c>
      <c r="Q4182" s="5">
        <v>499</v>
      </c>
      <c r="R4182" s="74">
        <v>0.05</v>
      </c>
      <c r="S4182" s="75">
        <f>OrdersTable[[#This Row],[Quantity]]*OrdersTable[[#This Row],[Unit Price]]</f>
        <v>998</v>
      </c>
      <c r="T4182" s="5">
        <f>OrdersTable[[#This Row],[Gross Sale]]*OrdersTable[[#This Row],[Discount_Clean2]]</f>
        <v>49.900000000000006</v>
      </c>
      <c r="U4182" s="5">
        <f>OrdersTable[[#This Row],[Gross Sale]]-OrdersTable[[#This Row],[Discount Amount]]</f>
        <v>948.1</v>
      </c>
      <c r="V4182" s="77">
        <f>INDEX(Products!E:E,MATCH(OrdersTable[[#This Row],[Product ID]],Products!A:A,0))</f>
        <v>150</v>
      </c>
      <c r="W4182" s="77">
        <f>OrdersTable[[#This Row],[Quantity]]*OrdersTable[[#This Row],[Unit Cost]]</f>
        <v>300</v>
      </c>
      <c r="X4182" s="77">
        <f>'Dropdown Lists'!$I$2*(1+OrdersTable[[#This Row],[Returned]])</f>
        <v>60</v>
      </c>
      <c r="Y4182" s="76">
        <f>OrdersTable[[#This Row],[Net Revenue]]-OrdersTable[[#This Row],[COGS]]-OrdersTable[[#This Row],[Shipping Cost]]</f>
        <v>588.1</v>
      </c>
      <c r="Z4182" s="78">
        <f>IFERROR(OrdersTable[[#This Row],[Profit]]/OrdersTable[[#This Row],[Net Revenue]],0)</f>
        <v>0.62029321801497728</v>
      </c>
      <c r="AA4182" t="s">
        <v>4074</v>
      </c>
      <c r="AB4182" s="79">
        <v>45952</v>
      </c>
      <c r="AC4182">
        <f>OrdersTable[[#This Row],[Delivery Date]]-OrdersTable[[#This Row],[Order Date]]</f>
        <v>3</v>
      </c>
      <c r="AD4182" t="str">
        <f>IF(OrdersTable[[#This Row],[Delivery Days]]&lt;=2, "Express (≤2d)", IF(OrdersTable[[#This Row],[Delivery Days]]&lt;=4, "Standard (3-4d)", "Delayed (5d+)"))</f>
        <v>Standard (3-4d)</v>
      </c>
      <c r="AE4182">
        <v>5</v>
      </c>
      <c r="AF4182">
        <v>0</v>
      </c>
    </row>
    <row r="4183" spans="1:32" ht="15" x14ac:dyDescent="0.35">
      <c r="A4183" t="s">
        <v>1786</v>
      </c>
      <c r="B4183" s="1">
        <v>45949</v>
      </c>
      <c r="C4183">
        <f>YEAR(OrdersTable[[#This Row],[Order Date]])</f>
        <v>2025</v>
      </c>
      <c r="D4183" s="2">
        <f>DATE(YEAR(OrdersTable[[#This Row],[Order Date]]),MONTH(OrdersTable[[#This Row],[Order Date]]),1)</f>
        <v>45931</v>
      </c>
      <c r="E4183">
        <f>MONTH(OrdersTable[[#This Row],[Order Date]])</f>
        <v>10</v>
      </c>
      <c r="F4183" t="s">
        <v>1787</v>
      </c>
      <c r="G4183" t="str">
        <f>IF(OrdersTable[[#This Row],[Order Date]]=_xlfn.MINIFS(Order_Date, Customer_ID, OrdersTable[[#This Row],[Customer ID]]), "New", "Repeat")</f>
        <v>New</v>
      </c>
      <c r="H4183" t="s">
        <v>128</v>
      </c>
      <c r="I4183" t="str">
        <f>INDEX(State!B:B,MATCH(OrdersTable[[#This Row],[State]],State!A:A,0))</f>
        <v>DL</v>
      </c>
      <c r="J4183" t="str">
        <f>INDEX(State!C:C,MATCH(OrdersTable[[#This Row],[State Code]],State!B:B,0))</f>
        <v>North</v>
      </c>
      <c r="K4183" t="s">
        <v>129</v>
      </c>
      <c r="L4183" t="s">
        <v>65</v>
      </c>
      <c r="M4183" t="s">
        <v>73</v>
      </c>
      <c r="N4183" t="str">
        <f>INDEX(Products!B:B,MATCH(OrdersTable[[#This Row],[Product ID]],Products!A:A,0))</f>
        <v>Hydrating Face Wash</v>
      </c>
      <c r="O4183" t="str">
        <f>INDEX(Products!C:C,MATCH(OrdersTable[[#This Row],[Product ID]],Products!A:A,0))</f>
        <v>Skincare</v>
      </c>
      <c r="P4183">
        <v>1</v>
      </c>
      <c r="Q4183" s="5">
        <v>299</v>
      </c>
      <c r="R4183" s="74">
        <v>0.15</v>
      </c>
      <c r="S4183" s="75">
        <f>OrdersTable[[#This Row],[Quantity]]*OrdersTable[[#This Row],[Unit Price]]</f>
        <v>299</v>
      </c>
      <c r="T4183" s="5">
        <f>OrdersTable[[#This Row],[Gross Sale]]*OrdersTable[[#This Row],[Discount_Clean2]]</f>
        <v>44.85</v>
      </c>
      <c r="U4183" s="5">
        <f>OrdersTable[[#This Row],[Gross Sale]]-OrdersTable[[#This Row],[Discount Amount]]</f>
        <v>254.15</v>
      </c>
      <c r="V4183" s="77">
        <f>INDEX(Products!E:E,MATCH(OrdersTable[[#This Row],[Product ID]],Products!A:A,0))</f>
        <v>90</v>
      </c>
      <c r="W4183" s="77">
        <f>OrdersTable[[#This Row],[Quantity]]*OrdersTable[[#This Row],[Unit Cost]]</f>
        <v>90</v>
      </c>
      <c r="X4183" s="77">
        <f>'Dropdown Lists'!$I$2*(1+OrdersTable[[#This Row],[Returned]])</f>
        <v>60</v>
      </c>
      <c r="Y4183" s="76">
        <f>OrdersTable[[#This Row],[Net Revenue]]-OrdersTable[[#This Row],[COGS]]-OrdersTable[[#This Row],[Shipping Cost]]</f>
        <v>104.15</v>
      </c>
      <c r="Z4183" s="78">
        <f>IFERROR(OrdersTable[[#This Row],[Profit]]/OrdersTable[[#This Row],[Net Revenue]],0)</f>
        <v>0.40979736376155818</v>
      </c>
      <c r="AA4183" t="s">
        <v>18</v>
      </c>
      <c r="AB4183" s="79">
        <v>45950</v>
      </c>
      <c r="AC4183">
        <f>OrdersTable[[#This Row],[Delivery Date]]-OrdersTable[[#This Row],[Order Date]]</f>
        <v>1</v>
      </c>
      <c r="AD4183" t="str">
        <f>IF(OrdersTable[[#This Row],[Delivery Days]]&lt;=2, "Express (≤2d)", IF(OrdersTable[[#This Row],[Delivery Days]]&lt;=4, "Standard (3-4d)", "Delayed (5d+)"))</f>
        <v>Express (≤2d)</v>
      </c>
      <c r="AF4183">
        <v>0</v>
      </c>
    </row>
    <row r="4184" spans="1:32" ht="15" x14ac:dyDescent="0.35">
      <c r="A4184" t="s">
        <v>1306</v>
      </c>
      <c r="B4184" s="1">
        <v>45949</v>
      </c>
      <c r="C4184">
        <f>YEAR(OrdersTable[[#This Row],[Order Date]])</f>
        <v>2025</v>
      </c>
      <c r="D4184" s="2">
        <f>DATE(YEAR(OrdersTable[[#This Row],[Order Date]]),MONTH(OrdersTable[[#This Row],[Order Date]]),1)</f>
        <v>45931</v>
      </c>
      <c r="E4184">
        <f>MONTH(OrdersTable[[#This Row],[Order Date]])</f>
        <v>10</v>
      </c>
      <c r="F4184" t="s">
        <v>1307</v>
      </c>
      <c r="G4184" t="str">
        <f>IF(OrdersTable[[#This Row],[Order Date]]=_xlfn.MINIFS(Order_Date, Customer_ID, OrdersTable[[#This Row],[Customer ID]]), "New", "Repeat")</f>
        <v>New</v>
      </c>
      <c r="H4184" t="s">
        <v>76</v>
      </c>
      <c r="I4184" t="str">
        <f>INDEX(State!B:B,MATCH(OrdersTable[[#This Row],[State]],State!A:A,0))</f>
        <v>UP</v>
      </c>
      <c r="J4184" t="str">
        <f>INDEX(State!C:C,MATCH(OrdersTable[[#This Row],[State Code]],State!B:B,0))</f>
        <v>North</v>
      </c>
      <c r="K4184" t="s">
        <v>118</v>
      </c>
      <c r="L4184" t="s">
        <v>16</v>
      </c>
      <c r="M4184" t="s">
        <v>255</v>
      </c>
      <c r="N4184" t="str">
        <f>INDEX(Products!B:B,MATCH(OrdersTable[[#This Row],[Product ID]],Products!A:A,0))</f>
        <v>Cotton Oversized T-Shirt</v>
      </c>
      <c r="O4184" t="str">
        <f>INDEX(Products!C:C,MATCH(OrdersTable[[#This Row],[Product ID]],Products!A:A,0))</f>
        <v>Apparel</v>
      </c>
      <c r="P4184">
        <v>1</v>
      </c>
      <c r="Q4184" s="5">
        <v>799</v>
      </c>
      <c r="R4184" s="74">
        <v>0.2</v>
      </c>
      <c r="S4184" s="75">
        <f>OrdersTable[[#This Row],[Quantity]]*OrdersTable[[#This Row],[Unit Price]]</f>
        <v>799</v>
      </c>
      <c r="T4184" s="5">
        <f>OrdersTable[[#This Row],[Gross Sale]]*OrdersTable[[#This Row],[Discount_Clean2]]</f>
        <v>159.80000000000001</v>
      </c>
      <c r="U4184" s="5">
        <f>OrdersTable[[#This Row],[Gross Sale]]-OrdersTable[[#This Row],[Discount Amount]]</f>
        <v>639.20000000000005</v>
      </c>
      <c r="V4184" s="77">
        <f>INDEX(Products!E:E,MATCH(OrdersTable[[#This Row],[Product ID]],Products!A:A,0))</f>
        <v>320</v>
      </c>
      <c r="W4184" s="77">
        <f>OrdersTable[[#This Row],[Quantity]]*OrdersTable[[#This Row],[Unit Cost]]</f>
        <v>320</v>
      </c>
      <c r="X4184" s="77">
        <f>'Dropdown Lists'!$I$2*(1+OrdersTable[[#This Row],[Returned]])</f>
        <v>60</v>
      </c>
      <c r="Y4184" s="76">
        <f>OrdersTable[[#This Row],[Net Revenue]]-OrdersTable[[#This Row],[COGS]]-OrdersTable[[#This Row],[Shipping Cost]]</f>
        <v>259.20000000000005</v>
      </c>
      <c r="Z4184" s="78">
        <f>IFERROR(OrdersTable[[#This Row],[Profit]]/OrdersTable[[#This Row],[Net Revenue]],0)</f>
        <v>0.40550688360450565</v>
      </c>
      <c r="AA4184" t="s">
        <v>18</v>
      </c>
      <c r="AB4184" s="79">
        <v>45952</v>
      </c>
      <c r="AC4184">
        <f>OrdersTable[[#This Row],[Delivery Date]]-OrdersTable[[#This Row],[Order Date]]</f>
        <v>3</v>
      </c>
      <c r="AD4184" t="str">
        <f>IF(OrdersTable[[#This Row],[Delivery Days]]&lt;=2, "Express (≤2d)", IF(OrdersTable[[#This Row],[Delivery Days]]&lt;=4, "Standard (3-4d)", "Delayed (5d+)"))</f>
        <v>Standard (3-4d)</v>
      </c>
      <c r="AF4184">
        <v>0</v>
      </c>
    </row>
    <row r="4185" spans="1:32" ht="15" x14ac:dyDescent="0.35">
      <c r="A4185" t="s">
        <v>5994</v>
      </c>
      <c r="B4185" s="1">
        <v>45949</v>
      </c>
      <c r="C4185">
        <f>YEAR(OrdersTable[[#This Row],[Order Date]])</f>
        <v>2025</v>
      </c>
      <c r="D4185" s="2">
        <f>DATE(YEAR(OrdersTable[[#This Row],[Order Date]]),MONTH(OrdersTable[[#This Row],[Order Date]]),1)</f>
        <v>45931</v>
      </c>
      <c r="E4185">
        <f>MONTH(OrdersTable[[#This Row],[Order Date]])</f>
        <v>10</v>
      </c>
      <c r="F4185" t="s">
        <v>5995</v>
      </c>
      <c r="G4185" t="str">
        <f>IF(OrdersTable[[#This Row],[Order Date]]=_xlfn.MINIFS(Order_Date, Customer_ID, OrdersTable[[#This Row],[Customer ID]]), "New", "Repeat")</f>
        <v>Repeat</v>
      </c>
      <c r="H4185" t="s">
        <v>32</v>
      </c>
      <c r="I4185" t="str">
        <f>INDEX(State!B:B,MATCH(OrdersTable[[#This Row],[State]],State!A:A,0))</f>
        <v>BR</v>
      </c>
      <c r="J4185" t="str">
        <f>INDEX(State!C:C,MATCH(OrdersTable[[#This Row],[State Code]],State!B:B,0))</f>
        <v>East</v>
      </c>
      <c r="K4185" t="s">
        <v>33</v>
      </c>
      <c r="L4185" t="s">
        <v>65</v>
      </c>
      <c r="M4185" t="s">
        <v>148</v>
      </c>
      <c r="N4185" t="str">
        <f>INDEX(Products!B:B,MATCH(OrdersTable[[#This Row],[Product ID]],Products!A:A,0))</f>
        <v>Smartwatch Strap</v>
      </c>
      <c r="O4185" t="str">
        <f>INDEX(Products!C:C,MATCH(OrdersTable[[#This Row],[Product ID]],Products!A:A,0))</f>
        <v>Electronics</v>
      </c>
      <c r="P4185">
        <v>2</v>
      </c>
      <c r="Q4185" s="5">
        <v>499</v>
      </c>
      <c r="R4185" s="74">
        <v>0.25</v>
      </c>
      <c r="S4185" s="75">
        <f>OrdersTable[[#This Row],[Quantity]]*OrdersTable[[#This Row],[Unit Price]]</f>
        <v>998</v>
      </c>
      <c r="T4185" s="5">
        <f>OrdersTable[[#This Row],[Gross Sale]]*OrdersTable[[#This Row],[Discount_Clean2]]</f>
        <v>249.5</v>
      </c>
      <c r="U4185" s="5">
        <f>OrdersTable[[#This Row],[Gross Sale]]-OrdersTable[[#This Row],[Discount Amount]]</f>
        <v>748.5</v>
      </c>
      <c r="V4185" s="77">
        <f>INDEX(Products!E:E,MATCH(OrdersTable[[#This Row],[Product ID]],Products!A:A,0))</f>
        <v>200</v>
      </c>
      <c r="W4185" s="77">
        <f>OrdersTable[[#This Row],[Quantity]]*OrdersTable[[#This Row],[Unit Cost]]</f>
        <v>400</v>
      </c>
      <c r="X4185" s="77">
        <f>'Dropdown Lists'!$I$2*(1+OrdersTable[[#This Row],[Returned]])</f>
        <v>60</v>
      </c>
      <c r="Y4185" s="76">
        <f>OrdersTable[[#This Row],[Net Revenue]]-OrdersTable[[#This Row],[COGS]]-OrdersTable[[#This Row],[Shipping Cost]]</f>
        <v>288.5</v>
      </c>
      <c r="Z4185" s="78">
        <f>IFERROR(OrdersTable[[#This Row],[Profit]]/OrdersTable[[#This Row],[Net Revenue]],0)</f>
        <v>0.38543754175016698</v>
      </c>
      <c r="AA4185" t="s">
        <v>18</v>
      </c>
      <c r="AB4185" s="79">
        <v>45955</v>
      </c>
      <c r="AC4185">
        <f>OrdersTable[[#This Row],[Delivery Date]]-OrdersTable[[#This Row],[Order Date]]</f>
        <v>6</v>
      </c>
      <c r="AD4185" t="str">
        <f>IF(OrdersTable[[#This Row],[Delivery Days]]&lt;=2, "Express (≤2d)", IF(OrdersTable[[#This Row],[Delivery Days]]&lt;=4, "Standard (3-4d)", "Delayed (5d+)"))</f>
        <v>Delayed (5d+)</v>
      </c>
      <c r="AF4185">
        <v>0</v>
      </c>
    </row>
    <row r="4186" spans="1:32" ht="15" x14ac:dyDescent="0.35">
      <c r="A4186" t="s">
        <v>6412</v>
      </c>
      <c r="B4186" s="1">
        <v>45949</v>
      </c>
      <c r="C4186">
        <f>YEAR(OrdersTable[[#This Row],[Order Date]])</f>
        <v>2025</v>
      </c>
      <c r="D4186" s="2">
        <f>DATE(YEAR(OrdersTable[[#This Row],[Order Date]]),MONTH(OrdersTable[[#This Row],[Order Date]]),1)</f>
        <v>45931</v>
      </c>
      <c r="E4186">
        <f>MONTH(OrdersTable[[#This Row],[Order Date]])</f>
        <v>10</v>
      </c>
      <c r="F4186" t="s">
        <v>4279</v>
      </c>
      <c r="G4186" t="str">
        <f>IF(OrdersTable[[#This Row],[Order Date]]=_xlfn.MINIFS(Order_Date, Customer_ID, OrdersTable[[#This Row],[Customer ID]]), "New", "Repeat")</f>
        <v>Repeat</v>
      </c>
      <c r="H4186" t="s">
        <v>43</v>
      </c>
      <c r="I4186" t="str">
        <f>INDEX(State!B:B,MATCH(OrdersTable[[#This Row],[State]],State!A:A,0))</f>
        <v>MP</v>
      </c>
      <c r="J4186" t="str">
        <f>INDEX(State!C:C,MATCH(OrdersTable[[#This Row],[State Code]],State!B:B,0))</f>
        <v>West</v>
      </c>
      <c r="K4186" t="s">
        <v>44</v>
      </c>
      <c r="L4186" t="s">
        <v>65</v>
      </c>
      <c r="M4186" t="s">
        <v>51</v>
      </c>
      <c r="N4186" t="str">
        <f>INDEX(Products!B:B,MATCH(OrdersTable[[#This Row],[Product ID]],Products!A:A,0))</f>
        <v>Anti-Dandruff Conditioner</v>
      </c>
      <c r="O4186" t="str">
        <f>INDEX(Products!C:C,MATCH(OrdersTable[[#This Row],[Product ID]],Products!A:A,0))</f>
        <v>Haircare</v>
      </c>
      <c r="P4186">
        <v>2</v>
      </c>
      <c r="Q4186" s="5">
        <v>399</v>
      </c>
      <c r="R4186" s="74">
        <v>0.55000000000000004</v>
      </c>
      <c r="S4186" s="75">
        <f>OrdersTable[[#This Row],[Quantity]]*OrdersTable[[#This Row],[Unit Price]]</f>
        <v>798</v>
      </c>
      <c r="T4186" s="5">
        <f>OrdersTable[[#This Row],[Gross Sale]]*OrdersTable[[#This Row],[Discount_Clean2]]</f>
        <v>438.90000000000003</v>
      </c>
      <c r="U4186" s="5">
        <f>OrdersTable[[#This Row],[Gross Sale]]-OrdersTable[[#This Row],[Discount Amount]]</f>
        <v>359.09999999999997</v>
      </c>
      <c r="V4186" s="77">
        <f>INDEX(Products!E:E,MATCH(OrdersTable[[#This Row],[Product ID]],Products!A:A,0))</f>
        <v>136</v>
      </c>
      <c r="W4186" s="77">
        <f>OrdersTable[[#This Row],[Quantity]]*OrdersTable[[#This Row],[Unit Cost]]</f>
        <v>272</v>
      </c>
      <c r="X4186" s="77">
        <f>'Dropdown Lists'!$I$2*(1+OrdersTable[[#This Row],[Returned]])</f>
        <v>60</v>
      </c>
      <c r="Y4186" s="76">
        <f>OrdersTable[[#This Row],[Net Revenue]]-OrdersTable[[#This Row],[COGS]]-OrdersTable[[#This Row],[Shipping Cost]]</f>
        <v>27.099999999999966</v>
      </c>
      <c r="Z4186" s="78">
        <f>IFERROR(OrdersTable[[#This Row],[Profit]]/OrdersTable[[#This Row],[Net Revenue]],0)</f>
        <v>7.5466443887496432E-2</v>
      </c>
      <c r="AA4186" t="s">
        <v>18</v>
      </c>
      <c r="AB4186" s="79">
        <v>45953</v>
      </c>
      <c r="AC4186">
        <f>OrdersTable[[#This Row],[Delivery Date]]-OrdersTable[[#This Row],[Order Date]]</f>
        <v>4</v>
      </c>
      <c r="AD4186" t="str">
        <f>IF(OrdersTable[[#This Row],[Delivery Days]]&lt;=2, "Express (≤2d)", IF(OrdersTable[[#This Row],[Delivery Days]]&lt;=4, "Standard (3-4d)", "Delayed (5d+)"))</f>
        <v>Standard (3-4d)</v>
      </c>
      <c r="AE4186">
        <v>3</v>
      </c>
      <c r="AF4186">
        <v>0</v>
      </c>
    </row>
    <row r="4187" spans="1:32" ht="15" x14ac:dyDescent="0.35">
      <c r="A4187" t="s">
        <v>3116</v>
      </c>
      <c r="B4187" s="1">
        <v>45949</v>
      </c>
      <c r="C4187">
        <f>YEAR(OrdersTable[[#This Row],[Order Date]])</f>
        <v>2025</v>
      </c>
      <c r="D4187" s="2">
        <f>DATE(YEAR(OrdersTable[[#This Row],[Order Date]]),MONTH(OrdersTable[[#This Row],[Order Date]]),1)</f>
        <v>45931</v>
      </c>
      <c r="E4187">
        <f>MONTH(OrdersTable[[#This Row],[Order Date]])</f>
        <v>10</v>
      </c>
      <c r="F4187" t="s">
        <v>3117</v>
      </c>
      <c r="G4187" t="str">
        <f>IF(OrdersTable[[#This Row],[Order Date]]=_xlfn.MINIFS(Order_Date, Customer_ID, OrdersTable[[#This Row],[Customer ID]]), "New", "Repeat")</f>
        <v>Repeat</v>
      </c>
      <c r="H4187" t="s">
        <v>95</v>
      </c>
      <c r="I4187" t="str">
        <f>INDEX(State!B:B,MATCH(OrdersTable[[#This Row],[State]],State!A:A,0))</f>
        <v>TG</v>
      </c>
      <c r="J4187" t="str">
        <f>INDEX(State!C:C,MATCH(OrdersTable[[#This Row],[State Code]],State!B:B,0))</f>
        <v>South</v>
      </c>
      <c r="K4187" t="s">
        <v>96</v>
      </c>
      <c r="L4187" t="s">
        <v>39</v>
      </c>
      <c r="M4187" t="s">
        <v>228</v>
      </c>
      <c r="N4187" t="str">
        <f>INDEX(Products!B:B,MATCH(OrdersTable[[#This Row],[Product ID]],Products!A:A,0))</f>
        <v>Fast Charger 33W</v>
      </c>
      <c r="O4187" t="str">
        <f>INDEX(Products!C:C,MATCH(OrdersTable[[#This Row],[Product ID]],Products!A:A,0))</f>
        <v>Electronics</v>
      </c>
      <c r="P4187">
        <v>1</v>
      </c>
      <c r="Q4187" s="5">
        <v>899</v>
      </c>
      <c r="R4187" s="74">
        <v>0.15</v>
      </c>
      <c r="S4187" s="75">
        <f>OrdersTable[[#This Row],[Quantity]]*OrdersTable[[#This Row],[Unit Price]]</f>
        <v>899</v>
      </c>
      <c r="T4187" s="5">
        <f>OrdersTable[[#This Row],[Gross Sale]]*OrdersTable[[#This Row],[Discount_Clean2]]</f>
        <v>134.85</v>
      </c>
      <c r="U4187" s="5">
        <f>OrdersTable[[#This Row],[Gross Sale]]-OrdersTable[[#This Row],[Discount Amount]]</f>
        <v>764.15</v>
      </c>
      <c r="V4187" s="77">
        <f>INDEX(Products!E:E,MATCH(OrdersTable[[#This Row],[Product ID]],Products!A:A,0))</f>
        <v>494</v>
      </c>
      <c r="W4187" s="77">
        <f>OrdersTable[[#This Row],[Quantity]]*OrdersTable[[#This Row],[Unit Cost]]</f>
        <v>494</v>
      </c>
      <c r="X4187" s="77">
        <f>'Dropdown Lists'!$I$2*(1+OrdersTable[[#This Row],[Returned]])</f>
        <v>60</v>
      </c>
      <c r="Y4187" s="76">
        <f>OrdersTable[[#This Row],[Net Revenue]]-OrdersTable[[#This Row],[COGS]]-OrdersTable[[#This Row],[Shipping Cost]]</f>
        <v>210.14999999999998</v>
      </c>
      <c r="Z4187" s="78">
        <f>IFERROR(OrdersTable[[#This Row],[Profit]]/OrdersTable[[#This Row],[Net Revenue]],0)</f>
        <v>0.27501145063142052</v>
      </c>
      <c r="AA4187" t="s">
        <v>2522</v>
      </c>
      <c r="AB4187" s="79">
        <v>45954</v>
      </c>
      <c r="AC4187">
        <f>OrdersTable[[#This Row],[Delivery Date]]-OrdersTable[[#This Row],[Order Date]]</f>
        <v>5</v>
      </c>
      <c r="AD4187" t="str">
        <f>IF(OrdersTable[[#This Row],[Delivery Days]]&lt;=2, "Express (≤2d)", IF(OrdersTable[[#This Row],[Delivery Days]]&lt;=4, "Standard (3-4d)", "Delayed (5d+)"))</f>
        <v>Delayed (5d+)</v>
      </c>
      <c r="AF4187">
        <v>0</v>
      </c>
    </row>
    <row r="4188" spans="1:32" ht="15" x14ac:dyDescent="0.35">
      <c r="A4188" t="s">
        <v>385</v>
      </c>
      <c r="B4188" s="1">
        <v>45949</v>
      </c>
      <c r="C4188">
        <f>YEAR(OrdersTable[[#This Row],[Order Date]])</f>
        <v>2025</v>
      </c>
      <c r="D4188" s="2">
        <f>DATE(YEAR(OrdersTable[[#This Row],[Order Date]]),MONTH(OrdersTable[[#This Row],[Order Date]]),1)</f>
        <v>45931</v>
      </c>
      <c r="E4188">
        <f>MONTH(OrdersTable[[#This Row],[Order Date]])</f>
        <v>10</v>
      </c>
      <c r="F4188" t="s">
        <v>386</v>
      </c>
      <c r="G4188" t="str">
        <f>IF(OrdersTable[[#This Row],[Order Date]]=_xlfn.MINIFS(Order_Date, Customer_ID, OrdersTable[[#This Row],[Customer ID]]), "New", "Repeat")</f>
        <v>Repeat</v>
      </c>
      <c r="H4188" t="s">
        <v>59</v>
      </c>
      <c r="I4188" t="str">
        <f>INDEX(State!B:B,MATCH(OrdersTable[[#This Row],[State]],State!A:A,0))</f>
        <v>TN</v>
      </c>
      <c r="J4188" t="str">
        <f>INDEX(State!C:C,MATCH(OrdersTable[[#This Row],[State Code]],State!B:B,0))</f>
        <v>South</v>
      </c>
      <c r="K4188" t="s">
        <v>64</v>
      </c>
      <c r="L4188" t="s">
        <v>23</v>
      </c>
      <c r="M4188" t="s">
        <v>160</v>
      </c>
      <c r="N4188" t="str">
        <f>INDEX(Products!B:B,MATCH(OrdersTable[[#This Row],[Product ID]],Products!A:A,0))</f>
        <v>Niacinamide Toner</v>
      </c>
      <c r="O4188" t="str">
        <f>INDEX(Products!C:C,MATCH(OrdersTable[[#This Row],[Product ID]],Products!A:A,0))</f>
        <v>Skincare</v>
      </c>
      <c r="P4188">
        <v>1</v>
      </c>
      <c r="Q4188" s="5">
        <v>399</v>
      </c>
      <c r="R4188" s="74">
        <v>0.35</v>
      </c>
      <c r="S4188" s="75">
        <f>OrdersTable[[#This Row],[Quantity]]*OrdersTable[[#This Row],[Unit Price]]</f>
        <v>399</v>
      </c>
      <c r="T4188" s="5">
        <f>OrdersTable[[#This Row],[Gross Sale]]*OrdersTable[[#This Row],[Discount_Clean2]]</f>
        <v>139.64999999999998</v>
      </c>
      <c r="U4188" s="5">
        <f>OrdersTable[[#This Row],[Gross Sale]]-OrdersTable[[#This Row],[Discount Amount]]</f>
        <v>259.35000000000002</v>
      </c>
      <c r="V4188" s="77">
        <f>INDEX(Products!E:E,MATCH(OrdersTable[[#This Row],[Product ID]],Products!A:A,0))</f>
        <v>112</v>
      </c>
      <c r="W4188" s="77">
        <f>OrdersTable[[#This Row],[Quantity]]*OrdersTable[[#This Row],[Unit Cost]]</f>
        <v>112</v>
      </c>
      <c r="X4188" s="77">
        <f>'Dropdown Lists'!$I$2*(1+OrdersTable[[#This Row],[Returned]])</f>
        <v>60</v>
      </c>
      <c r="Y4188" s="76">
        <f>OrdersTable[[#This Row],[Net Revenue]]-OrdersTable[[#This Row],[COGS]]-OrdersTable[[#This Row],[Shipping Cost]]</f>
        <v>87.350000000000023</v>
      </c>
      <c r="Z4188" s="78">
        <f>IFERROR(OrdersTable[[#This Row],[Profit]]/OrdersTable[[#This Row],[Net Revenue]],0)</f>
        <v>0.33680354732986317</v>
      </c>
      <c r="AA4188" t="s">
        <v>18</v>
      </c>
      <c r="AB4188" s="79">
        <v>45952</v>
      </c>
      <c r="AC4188">
        <f>OrdersTable[[#This Row],[Delivery Date]]-OrdersTable[[#This Row],[Order Date]]</f>
        <v>3</v>
      </c>
      <c r="AD4188" t="str">
        <f>IF(OrdersTable[[#This Row],[Delivery Days]]&lt;=2, "Express (≤2d)", IF(OrdersTable[[#This Row],[Delivery Days]]&lt;=4, "Standard (3-4d)", "Delayed (5d+)"))</f>
        <v>Standard (3-4d)</v>
      </c>
      <c r="AE4188">
        <v>4</v>
      </c>
      <c r="AF4188">
        <v>0</v>
      </c>
    </row>
    <row r="4189" spans="1:32" ht="15" x14ac:dyDescent="0.35">
      <c r="A4189" t="s">
        <v>7122</v>
      </c>
      <c r="B4189" s="1">
        <v>45949</v>
      </c>
      <c r="C4189">
        <f>YEAR(OrdersTable[[#This Row],[Order Date]])</f>
        <v>2025</v>
      </c>
      <c r="D4189" s="2">
        <f>DATE(YEAR(OrdersTable[[#This Row],[Order Date]]),MONTH(OrdersTable[[#This Row],[Order Date]]),1)</f>
        <v>45931</v>
      </c>
      <c r="E4189">
        <f>MONTH(OrdersTable[[#This Row],[Order Date]])</f>
        <v>10</v>
      </c>
      <c r="F4189" t="s">
        <v>4338</v>
      </c>
      <c r="G4189" t="str">
        <f>IF(OrdersTable[[#This Row],[Order Date]]=_xlfn.MINIFS(Order_Date, Customer_ID, OrdersTable[[#This Row],[Customer ID]]), "New", "Repeat")</f>
        <v>Repeat</v>
      </c>
      <c r="H4189" t="s">
        <v>59</v>
      </c>
      <c r="I4189" t="str">
        <f>INDEX(State!B:B,MATCH(OrdersTable[[#This Row],[State]],State!A:A,0))</f>
        <v>TN</v>
      </c>
      <c r="J4189" t="str">
        <f>INDEX(State!C:C,MATCH(OrdersTable[[#This Row],[State Code]],State!B:B,0))</f>
        <v>South</v>
      </c>
      <c r="K4189" t="s">
        <v>60</v>
      </c>
      <c r="L4189" t="s">
        <v>23</v>
      </c>
      <c r="M4189" t="s">
        <v>160</v>
      </c>
      <c r="N4189" t="str">
        <f>INDEX(Products!B:B,MATCH(OrdersTable[[#This Row],[Product ID]],Products!A:A,0))</f>
        <v>Niacinamide Toner</v>
      </c>
      <c r="O4189" t="str">
        <f>INDEX(Products!C:C,MATCH(OrdersTable[[#This Row],[Product ID]],Products!A:A,0))</f>
        <v>Skincare</v>
      </c>
      <c r="P4189">
        <v>4</v>
      </c>
      <c r="Q4189" s="5">
        <v>399</v>
      </c>
      <c r="R4189" s="74">
        <v>0.35</v>
      </c>
      <c r="S4189" s="75">
        <f>OrdersTable[[#This Row],[Quantity]]*OrdersTable[[#This Row],[Unit Price]]</f>
        <v>1596</v>
      </c>
      <c r="T4189" s="5">
        <f>OrdersTable[[#This Row],[Gross Sale]]*OrdersTable[[#This Row],[Discount_Clean2]]</f>
        <v>558.59999999999991</v>
      </c>
      <c r="U4189" s="5">
        <f>OrdersTable[[#This Row],[Gross Sale]]-OrdersTable[[#This Row],[Discount Amount]]</f>
        <v>1037.4000000000001</v>
      </c>
      <c r="V4189" s="77">
        <f>INDEX(Products!E:E,MATCH(OrdersTable[[#This Row],[Product ID]],Products!A:A,0))</f>
        <v>112</v>
      </c>
      <c r="W4189" s="77">
        <f>OrdersTable[[#This Row],[Quantity]]*OrdersTable[[#This Row],[Unit Cost]]</f>
        <v>448</v>
      </c>
      <c r="X4189" s="77">
        <f>'Dropdown Lists'!$I$2*(1+OrdersTable[[#This Row],[Returned]])</f>
        <v>60</v>
      </c>
      <c r="Y4189" s="76">
        <f>OrdersTable[[#This Row],[Net Revenue]]-OrdersTable[[#This Row],[COGS]]-OrdersTable[[#This Row],[Shipping Cost]]</f>
        <v>529.40000000000009</v>
      </c>
      <c r="Z4189" s="78">
        <f>IFERROR(OrdersTable[[#This Row],[Profit]]/OrdersTable[[#This Row],[Net Revenue]],0)</f>
        <v>0.51031424715635243</v>
      </c>
      <c r="AA4189" t="s">
        <v>18</v>
      </c>
      <c r="AB4189" s="79">
        <v>45953</v>
      </c>
      <c r="AC4189">
        <f>OrdersTable[[#This Row],[Delivery Date]]-OrdersTable[[#This Row],[Order Date]]</f>
        <v>4</v>
      </c>
      <c r="AD4189" t="str">
        <f>IF(OrdersTable[[#This Row],[Delivery Days]]&lt;=2, "Express (≤2d)", IF(OrdersTable[[#This Row],[Delivery Days]]&lt;=4, "Standard (3-4d)", "Delayed (5d+)"))</f>
        <v>Standard (3-4d)</v>
      </c>
      <c r="AF4189">
        <v>0</v>
      </c>
    </row>
    <row r="4190" spans="1:32" ht="15" x14ac:dyDescent="0.35">
      <c r="A4190" t="s">
        <v>6735</v>
      </c>
      <c r="B4190" s="1">
        <v>45950</v>
      </c>
      <c r="C4190">
        <f>YEAR(OrdersTable[[#This Row],[Order Date]])</f>
        <v>2025</v>
      </c>
      <c r="D4190" s="2">
        <f>DATE(YEAR(OrdersTable[[#This Row],[Order Date]]),MONTH(OrdersTable[[#This Row],[Order Date]]),1)</f>
        <v>45931</v>
      </c>
      <c r="E4190">
        <f>MONTH(OrdersTable[[#This Row],[Order Date]])</f>
        <v>10</v>
      </c>
      <c r="F4190" t="s">
        <v>506</v>
      </c>
      <c r="G4190" t="str">
        <f>IF(OrdersTable[[#This Row],[Order Date]]=_xlfn.MINIFS(Order_Date, Customer_ID, OrdersTable[[#This Row],[Customer ID]]), "New", "Repeat")</f>
        <v>Repeat</v>
      </c>
      <c r="H4190" t="s">
        <v>128</v>
      </c>
      <c r="I4190" t="str">
        <f>INDEX(State!B:B,MATCH(OrdersTable[[#This Row],[State]],State!A:A,0))</f>
        <v>DL</v>
      </c>
      <c r="J4190" t="str">
        <f>INDEX(State!C:C,MATCH(OrdersTable[[#This Row],[State Code]],State!B:B,0))</f>
        <v>North</v>
      </c>
      <c r="K4190" t="s">
        <v>129</v>
      </c>
      <c r="L4190" t="s">
        <v>39</v>
      </c>
      <c r="M4190" t="s">
        <v>106</v>
      </c>
      <c r="N4190" t="str">
        <f>INDEX(Products!B:B,MATCH(OrdersTable[[#This Row],[Product ID]],Products!A:A,0))</f>
        <v>Keratin Hair Mask</v>
      </c>
      <c r="O4190" t="str">
        <f>INDEX(Products!C:C,MATCH(OrdersTable[[#This Row],[Product ID]],Products!A:A,0))</f>
        <v>Haircare</v>
      </c>
      <c r="P4190">
        <v>3</v>
      </c>
      <c r="Q4190" s="5">
        <v>549</v>
      </c>
      <c r="R4190" s="74">
        <v>0.1</v>
      </c>
      <c r="S4190" s="75">
        <f>OrdersTable[[#This Row],[Quantity]]*OrdersTable[[#This Row],[Unit Price]]</f>
        <v>1647</v>
      </c>
      <c r="T4190" s="5">
        <f>OrdersTable[[#This Row],[Gross Sale]]*OrdersTable[[#This Row],[Discount_Clean2]]</f>
        <v>164.70000000000002</v>
      </c>
      <c r="U4190" s="5">
        <f>OrdersTable[[#This Row],[Gross Sale]]-OrdersTable[[#This Row],[Discount Amount]]</f>
        <v>1482.3</v>
      </c>
      <c r="V4190" s="77">
        <f>INDEX(Products!E:E,MATCH(OrdersTable[[#This Row],[Product ID]],Products!A:A,0))</f>
        <v>170</v>
      </c>
      <c r="W4190" s="77">
        <f>OrdersTable[[#This Row],[Quantity]]*OrdersTable[[#This Row],[Unit Cost]]</f>
        <v>510</v>
      </c>
      <c r="X4190" s="77">
        <f>'Dropdown Lists'!$I$2*(1+OrdersTable[[#This Row],[Returned]])</f>
        <v>60</v>
      </c>
      <c r="Y4190" s="76">
        <f>OrdersTable[[#This Row],[Net Revenue]]-OrdersTable[[#This Row],[COGS]]-OrdersTable[[#This Row],[Shipping Cost]]</f>
        <v>912.3</v>
      </c>
      <c r="Z4190" s="78">
        <f>IFERROR(OrdersTable[[#This Row],[Profit]]/OrdersTable[[#This Row],[Net Revenue]],0)</f>
        <v>0.61546245699251168</v>
      </c>
      <c r="AA4190" t="s">
        <v>2522</v>
      </c>
      <c r="AB4190" s="79">
        <v>45953</v>
      </c>
      <c r="AC4190">
        <f>OrdersTable[[#This Row],[Delivery Date]]-OrdersTable[[#This Row],[Order Date]]</f>
        <v>3</v>
      </c>
      <c r="AD4190" t="str">
        <f>IF(OrdersTable[[#This Row],[Delivery Days]]&lt;=2, "Express (≤2d)", IF(OrdersTable[[#This Row],[Delivery Days]]&lt;=4, "Standard (3-4d)", "Delayed (5d+)"))</f>
        <v>Standard (3-4d)</v>
      </c>
      <c r="AE4190">
        <v>5</v>
      </c>
      <c r="AF4190">
        <v>0</v>
      </c>
    </row>
    <row r="4191" spans="1:32" ht="15" x14ac:dyDescent="0.35">
      <c r="A4191" t="s">
        <v>3118</v>
      </c>
      <c r="B4191" s="1">
        <v>45950</v>
      </c>
      <c r="C4191">
        <f>YEAR(OrdersTable[[#This Row],[Order Date]])</f>
        <v>2025</v>
      </c>
      <c r="D4191" s="2">
        <f>DATE(YEAR(OrdersTable[[#This Row],[Order Date]]),MONTH(OrdersTable[[#This Row],[Order Date]]),1)</f>
        <v>45931</v>
      </c>
      <c r="E4191">
        <f>MONTH(OrdersTable[[#This Row],[Order Date]])</f>
        <v>10</v>
      </c>
      <c r="F4191" t="s">
        <v>3119</v>
      </c>
      <c r="G4191" t="str">
        <f>IF(OrdersTable[[#This Row],[Order Date]]=_xlfn.MINIFS(Order_Date, Customer_ID, OrdersTable[[#This Row],[Customer ID]]), "New", "Repeat")</f>
        <v>Repeat</v>
      </c>
      <c r="H4191" t="s">
        <v>76</v>
      </c>
      <c r="I4191" t="str">
        <f>INDEX(State!B:B,MATCH(OrdersTable[[#This Row],[State]],State!A:A,0))</f>
        <v>UP</v>
      </c>
      <c r="J4191" t="str">
        <f>INDEX(State!C:C,MATCH(OrdersTable[[#This Row],[State Code]],State!B:B,0))</f>
        <v>North</v>
      </c>
      <c r="K4191" t="s">
        <v>77</v>
      </c>
      <c r="L4191" t="s">
        <v>65</v>
      </c>
      <c r="M4191" t="s">
        <v>228</v>
      </c>
      <c r="N4191" t="str">
        <f>INDEX(Products!B:B,MATCH(OrdersTable[[#This Row],[Product ID]],Products!A:A,0))</f>
        <v>Fast Charger 33W</v>
      </c>
      <c r="O4191" t="str">
        <f>INDEX(Products!C:C,MATCH(OrdersTable[[#This Row],[Product ID]],Products!A:A,0))</f>
        <v>Electronics</v>
      </c>
      <c r="P4191">
        <v>1</v>
      </c>
      <c r="Q4191" s="5">
        <v>899</v>
      </c>
      <c r="R4191" s="74">
        <v>0.15</v>
      </c>
      <c r="S4191" s="75">
        <f>OrdersTable[[#This Row],[Quantity]]*OrdersTable[[#This Row],[Unit Price]]</f>
        <v>899</v>
      </c>
      <c r="T4191" s="5">
        <f>OrdersTable[[#This Row],[Gross Sale]]*OrdersTable[[#This Row],[Discount_Clean2]]</f>
        <v>134.85</v>
      </c>
      <c r="U4191" s="5">
        <f>OrdersTable[[#This Row],[Gross Sale]]-OrdersTable[[#This Row],[Discount Amount]]</f>
        <v>764.15</v>
      </c>
      <c r="V4191" s="77">
        <f>INDEX(Products!E:E,MATCH(OrdersTable[[#This Row],[Product ID]],Products!A:A,0))</f>
        <v>494</v>
      </c>
      <c r="W4191" s="77">
        <f>OrdersTable[[#This Row],[Quantity]]*OrdersTable[[#This Row],[Unit Cost]]</f>
        <v>494</v>
      </c>
      <c r="X4191" s="77">
        <f>'Dropdown Lists'!$I$2*(1+OrdersTable[[#This Row],[Returned]])</f>
        <v>60</v>
      </c>
      <c r="Y4191" s="76">
        <f>OrdersTable[[#This Row],[Net Revenue]]-OrdersTable[[#This Row],[COGS]]-OrdersTable[[#This Row],[Shipping Cost]]</f>
        <v>210.14999999999998</v>
      </c>
      <c r="Z4191" s="78">
        <f>IFERROR(OrdersTable[[#This Row],[Profit]]/OrdersTable[[#This Row],[Net Revenue]],0)</f>
        <v>0.27501145063142052</v>
      </c>
      <c r="AA4191" t="s">
        <v>2522</v>
      </c>
      <c r="AB4191" s="79">
        <v>45954</v>
      </c>
      <c r="AC4191">
        <f>OrdersTable[[#This Row],[Delivery Date]]-OrdersTable[[#This Row],[Order Date]]</f>
        <v>4</v>
      </c>
      <c r="AD4191" t="str">
        <f>IF(OrdersTable[[#This Row],[Delivery Days]]&lt;=2, "Express (≤2d)", IF(OrdersTable[[#This Row],[Delivery Days]]&lt;=4, "Standard (3-4d)", "Delayed (5d+)"))</f>
        <v>Standard (3-4d)</v>
      </c>
      <c r="AF4191">
        <v>0</v>
      </c>
    </row>
    <row r="4192" spans="1:32" ht="15" x14ac:dyDescent="0.35">
      <c r="A4192" t="s">
        <v>1024</v>
      </c>
      <c r="B4192" s="1">
        <v>45950</v>
      </c>
      <c r="C4192">
        <f>YEAR(OrdersTable[[#This Row],[Order Date]])</f>
        <v>2025</v>
      </c>
      <c r="D4192" s="2">
        <f>DATE(YEAR(OrdersTable[[#This Row],[Order Date]]),MONTH(OrdersTable[[#This Row],[Order Date]]),1)</f>
        <v>45931</v>
      </c>
      <c r="E4192">
        <f>MONTH(OrdersTable[[#This Row],[Order Date]])</f>
        <v>10</v>
      </c>
      <c r="F4192" t="s">
        <v>1025</v>
      </c>
      <c r="G4192" t="str">
        <f>IF(OrdersTable[[#This Row],[Order Date]]=_xlfn.MINIFS(Order_Date, Customer_ID, OrdersTable[[#This Row],[Customer ID]]), "New", "Repeat")</f>
        <v>Repeat</v>
      </c>
      <c r="H4192" t="s">
        <v>32</v>
      </c>
      <c r="I4192" t="str">
        <f>INDEX(State!B:B,MATCH(OrdersTable[[#This Row],[State]],State!A:A,0))</f>
        <v>BR</v>
      </c>
      <c r="J4192" t="str">
        <f>INDEX(State!C:C,MATCH(OrdersTable[[#This Row],[State Code]],State!B:B,0))</f>
        <v>East</v>
      </c>
      <c r="K4192" t="s">
        <v>33</v>
      </c>
      <c r="L4192" t="s">
        <v>39</v>
      </c>
      <c r="M4192" t="s">
        <v>61</v>
      </c>
      <c r="N4192" t="str">
        <f>INDEX(Products!B:B,MATCH(OrdersTable[[#This Row],[Product ID]],Products!A:A,0))</f>
        <v>Multivitamin Gummies</v>
      </c>
      <c r="O4192" t="str">
        <f>INDEX(Products!C:C,MATCH(OrdersTable[[#This Row],[Product ID]],Products!A:A,0))</f>
        <v>Wellness</v>
      </c>
      <c r="P4192">
        <v>1</v>
      </c>
      <c r="Q4192" s="5">
        <v>699</v>
      </c>
      <c r="R4192" s="74">
        <v>0.4</v>
      </c>
      <c r="S4192" s="75">
        <f>OrdersTable[[#This Row],[Quantity]]*OrdersTable[[#This Row],[Unit Price]]</f>
        <v>699</v>
      </c>
      <c r="T4192" s="5">
        <f>OrdersTable[[#This Row],[Gross Sale]]*OrdersTable[[#This Row],[Discount_Clean2]]</f>
        <v>279.60000000000002</v>
      </c>
      <c r="U4192" s="5">
        <f>OrdersTable[[#This Row],[Gross Sale]]-OrdersTable[[#This Row],[Discount Amount]]</f>
        <v>419.4</v>
      </c>
      <c r="V4192" s="77">
        <f>INDEX(Products!E:E,MATCH(OrdersTable[[#This Row],[Product ID]],Products!A:A,0))</f>
        <v>238</v>
      </c>
      <c r="W4192" s="77">
        <f>OrdersTable[[#This Row],[Quantity]]*OrdersTable[[#This Row],[Unit Cost]]</f>
        <v>238</v>
      </c>
      <c r="X4192" s="77">
        <f>'Dropdown Lists'!$I$2*(1+OrdersTable[[#This Row],[Returned]])</f>
        <v>60</v>
      </c>
      <c r="Y4192" s="76">
        <f>OrdersTable[[#This Row],[Net Revenue]]-OrdersTable[[#This Row],[COGS]]-OrdersTable[[#This Row],[Shipping Cost]]</f>
        <v>121.39999999999998</v>
      </c>
      <c r="Z4192" s="78">
        <f>IFERROR(OrdersTable[[#This Row],[Profit]]/OrdersTable[[#This Row],[Net Revenue]],0)</f>
        <v>0.28946113495469716</v>
      </c>
      <c r="AA4192" t="s">
        <v>18</v>
      </c>
      <c r="AB4192" s="79">
        <v>45956</v>
      </c>
      <c r="AC4192">
        <f>OrdersTable[[#This Row],[Delivery Date]]-OrdersTable[[#This Row],[Order Date]]</f>
        <v>6</v>
      </c>
      <c r="AD4192" t="str">
        <f>IF(OrdersTable[[#This Row],[Delivery Days]]&lt;=2, "Express (≤2d)", IF(OrdersTable[[#This Row],[Delivery Days]]&lt;=4, "Standard (3-4d)", "Delayed (5d+)"))</f>
        <v>Delayed (5d+)</v>
      </c>
      <c r="AE4192">
        <v>4</v>
      </c>
      <c r="AF4192">
        <v>0</v>
      </c>
    </row>
    <row r="4193" spans="1:32" ht="15" x14ac:dyDescent="0.35">
      <c r="A4193" t="s">
        <v>2468</v>
      </c>
      <c r="B4193" s="1">
        <v>45950</v>
      </c>
      <c r="C4193">
        <f>YEAR(OrdersTable[[#This Row],[Order Date]])</f>
        <v>2025</v>
      </c>
      <c r="D4193" s="2">
        <f>DATE(YEAR(OrdersTable[[#This Row],[Order Date]]),MONTH(OrdersTable[[#This Row],[Order Date]]),1)</f>
        <v>45931</v>
      </c>
      <c r="E4193">
        <f>MONTH(OrdersTable[[#This Row],[Order Date]])</f>
        <v>10</v>
      </c>
      <c r="F4193" t="s">
        <v>2469</v>
      </c>
      <c r="G4193" t="str">
        <f>IF(OrdersTable[[#This Row],[Order Date]]=_xlfn.MINIFS(Order_Date, Customer_ID, OrdersTable[[#This Row],[Customer ID]]), "New", "Repeat")</f>
        <v>New</v>
      </c>
      <c r="H4193" t="s">
        <v>32</v>
      </c>
      <c r="I4193" t="str">
        <f>INDEX(State!B:B,MATCH(OrdersTable[[#This Row],[State]],State!A:A,0))</f>
        <v>BR</v>
      </c>
      <c r="J4193" t="str">
        <f>INDEX(State!C:C,MATCH(OrdersTable[[#This Row],[State Code]],State!B:B,0))</f>
        <v>East</v>
      </c>
      <c r="K4193" t="s">
        <v>33</v>
      </c>
      <c r="L4193" t="s">
        <v>16</v>
      </c>
      <c r="M4193" t="s">
        <v>255</v>
      </c>
      <c r="N4193" t="str">
        <f>INDEX(Products!B:B,MATCH(OrdersTable[[#This Row],[Product ID]],Products!A:A,0))</f>
        <v>Cotton Oversized T-Shirt</v>
      </c>
      <c r="O4193" t="str">
        <f>INDEX(Products!C:C,MATCH(OrdersTable[[#This Row],[Product ID]],Products!A:A,0))</f>
        <v>Apparel</v>
      </c>
      <c r="P4193">
        <v>1</v>
      </c>
      <c r="Q4193" s="5">
        <v>799</v>
      </c>
      <c r="R4193" s="74">
        <v>0.25</v>
      </c>
      <c r="S4193" s="75">
        <f>OrdersTable[[#This Row],[Quantity]]*OrdersTable[[#This Row],[Unit Price]]</f>
        <v>799</v>
      </c>
      <c r="T4193" s="5">
        <f>OrdersTable[[#This Row],[Gross Sale]]*OrdersTable[[#This Row],[Discount_Clean2]]</f>
        <v>199.75</v>
      </c>
      <c r="U4193" s="5">
        <f>OrdersTable[[#This Row],[Gross Sale]]-OrdersTable[[#This Row],[Discount Amount]]</f>
        <v>599.25</v>
      </c>
      <c r="V4193" s="77">
        <f>INDEX(Products!E:E,MATCH(OrdersTable[[#This Row],[Product ID]],Products!A:A,0))</f>
        <v>320</v>
      </c>
      <c r="W4193" s="77">
        <f>OrdersTable[[#This Row],[Quantity]]*OrdersTable[[#This Row],[Unit Cost]]</f>
        <v>320</v>
      </c>
      <c r="X4193" s="77">
        <f>'Dropdown Lists'!$I$2*(1+OrdersTable[[#This Row],[Returned]])</f>
        <v>60</v>
      </c>
      <c r="Y4193" s="76">
        <f>OrdersTable[[#This Row],[Net Revenue]]-OrdersTable[[#This Row],[COGS]]-OrdersTable[[#This Row],[Shipping Cost]]</f>
        <v>219.25</v>
      </c>
      <c r="Z4193" s="78">
        <f>IFERROR(OrdersTable[[#This Row],[Profit]]/OrdersTable[[#This Row],[Net Revenue]],0)</f>
        <v>0.36587400917813934</v>
      </c>
      <c r="AA4193" t="s">
        <v>18</v>
      </c>
      <c r="AB4193" s="79">
        <v>45955</v>
      </c>
      <c r="AC4193">
        <f>OrdersTable[[#This Row],[Delivery Date]]-OrdersTable[[#This Row],[Order Date]]</f>
        <v>5</v>
      </c>
      <c r="AD4193" t="str">
        <f>IF(OrdersTable[[#This Row],[Delivery Days]]&lt;=2, "Express (≤2d)", IF(OrdersTable[[#This Row],[Delivery Days]]&lt;=4, "Standard (3-4d)", "Delayed (5d+)"))</f>
        <v>Delayed (5d+)</v>
      </c>
      <c r="AE4193">
        <v>5</v>
      </c>
      <c r="AF4193">
        <v>0</v>
      </c>
    </row>
    <row r="4194" spans="1:32" ht="15" x14ac:dyDescent="0.35">
      <c r="A4194" t="s">
        <v>2846</v>
      </c>
      <c r="B4194" s="1">
        <v>45950</v>
      </c>
      <c r="C4194">
        <f>YEAR(OrdersTable[[#This Row],[Order Date]])</f>
        <v>2025</v>
      </c>
      <c r="D4194" s="2">
        <f>DATE(YEAR(OrdersTable[[#This Row],[Order Date]]),MONTH(OrdersTable[[#This Row],[Order Date]]),1)</f>
        <v>45931</v>
      </c>
      <c r="E4194">
        <f>MONTH(OrdersTable[[#This Row],[Order Date]])</f>
        <v>10</v>
      </c>
      <c r="F4194" t="s">
        <v>631</v>
      </c>
      <c r="G4194" t="str">
        <f>IF(OrdersTable[[#This Row],[Order Date]]=_xlfn.MINIFS(Order_Date, Customer_ID, OrdersTable[[#This Row],[Customer ID]]), "New", "Repeat")</f>
        <v>Repeat</v>
      </c>
      <c r="H4194" t="s">
        <v>132</v>
      </c>
      <c r="I4194" t="str">
        <f>INDEX(State!B:B,MATCH(OrdersTable[[#This Row],[State]],State!A:A,0))</f>
        <v>AS</v>
      </c>
      <c r="J4194" t="str">
        <f>INDEX(State!C:C,MATCH(OrdersTable[[#This Row],[State Code]],State!B:B,0))</f>
        <v>East</v>
      </c>
      <c r="K4194" t="s">
        <v>133</v>
      </c>
      <c r="L4194" t="s">
        <v>23</v>
      </c>
      <c r="M4194" t="s">
        <v>228</v>
      </c>
      <c r="N4194" t="str">
        <f>INDEX(Products!B:B,MATCH(OrdersTable[[#This Row],[Product ID]],Products!A:A,0))</f>
        <v>Fast Charger 33W</v>
      </c>
      <c r="O4194" t="str">
        <f>INDEX(Products!C:C,MATCH(OrdersTable[[#This Row],[Product ID]],Products!A:A,0))</f>
        <v>Electronics</v>
      </c>
      <c r="P4194">
        <v>1</v>
      </c>
      <c r="Q4194" s="5">
        <v>899</v>
      </c>
      <c r="R4194" s="74">
        <v>0.25</v>
      </c>
      <c r="S4194" s="75">
        <f>OrdersTable[[#This Row],[Quantity]]*OrdersTable[[#This Row],[Unit Price]]</f>
        <v>899</v>
      </c>
      <c r="T4194" s="5">
        <f>OrdersTable[[#This Row],[Gross Sale]]*OrdersTable[[#This Row],[Discount_Clean2]]</f>
        <v>224.75</v>
      </c>
      <c r="U4194" s="5">
        <f>OrdersTable[[#This Row],[Gross Sale]]-OrdersTable[[#This Row],[Discount Amount]]</f>
        <v>674.25</v>
      </c>
      <c r="V4194" s="77">
        <f>INDEX(Products!E:E,MATCH(OrdersTable[[#This Row],[Product ID]],Products!A:A,0))</f>
        <v>494</v>
      </c>
      <c r="W4194" s="77">
        <f>OrdersTable[[#This Row],[Quantity]]*OrdersTable[[#This Row],[Unit Cost]]</f>
        <v>494</v>
      </c>
      <c r="X4194" s="77">
        <f>'Dropdown Lists'!$I$2*(1+OrdersTable[[#This Row],[Returned]])</f>
        <v>60</v>
      </c>
      <c r="Y4194" s="76">
        <f>OrdersTable[[#This Row],[Net Revenue]]-OrdersTable[[#This Row],[COGS]]-OrdersTable[[#This Row],[Shipping Cost]]</f>
        <v>120.25</v>
      </c>
      <c r="Z4194" s="78">
        <f>IFERROR(OrdersTable[[#This Row],[Profit]]/OrdersTable[[#This Row],[Net Revenue]],0)</f>
        <v>0.17834631071560994</v>
      </c>
      <c r="AA4194" t="s">
        <v>2522</v>
      </c>
      <c r="AB4194" s="79">
        <v>45955</v>
      </c>
      <c r="AC4194">
        <f>OrdersTable[[#This Row],[Delivery Date]]-OrdersTable[[#This Row],[Order Date]]</f>
        <v>5</v>
      </c>
      <c r="AD4194" t="str">
        <f>IF(OrdersTable[[#This Row],[Delivery Days]]&lt;=2, "Express (≤2d)", IF(OrdersTable[[#This Row],[Delivery Days]]&lt;=4, "Standard (3-4d)", "Delayed (5d+)"))</f>
        <v>Delayed (5d+)</v>
      </c>
      <c r="AE4194">
        <v>3</v>
      </c>
      <c r="AF4194">
        <v>0</v>
      </c>
    </row>
    <row r="4195" spans="1:32" ht="15" x14ac:dyDescent="0.35">
      <c r="A4195" t="s">
        <v>875</v>
      </c>
      <c r="B4195" s="1">
        <v>45950</v>
      </c>
      <c r="C4195">
        <f>YEAR(OrdersTable[[#This Row],[Order Date]])</f>
        <v>2025</v>
      </c>
      <c r="D4195" s="2">
        <f>DATE(YEAR(OrdersTable[[#This Row],[Order Date]]),MONTH(OrdersTable[[#This Row],[Order Date]]),1)</f>
        <v>45931</v>
      </c>
      <c r="E4195">
        <f>MONTH(OrdersTable[[#This Row],[Order Date]])</f>
        <v>10</v>
      </c>
      <c r="F4195" t="s">
        <v>479</v>
      </c>
      <c r="G4195" t="str">
        <f>IF(OrdersTable[[#This Row],[Order Date]]=_xlfn.MINIFS(Order_Date, Customer_ID, OrdersTable[[#This Row],[Customer ID]]), "New", "Repeat")</f>
        <v>Repeat</v>
      </c>
      <c r="H4195" t="s">
        <v>71</v>
      </c>
      <c r="I4195" t="str">
        <f>INDEX(State!B:B,MATCH(OrdersTable[[#This Row],[State]],State!A:A,0))</f>
        <v>MH</v>
      </c>
      <c r="J4195" t="str">
        <f>INDEX(State!C:C,MATCH(OrdersTable[[#This Row],[State Code]],State!B:B,0))</f>
        <v>West</v>
      </c>
      <c r="K4195" t="s">
        <v>102</v>
      </c>
      <c r="L4195" t="s">
        <v>65</v>
      </c>
      <c r="M4195" t="s">
        <v>84</v>
      </c>
      <c r="N4195" t="str">
        <f>INDEX(Products!B:B,MATCH(OrdersTable[[#This Row],[Product ID]],Products!A:A,0))</f>
        <v>Cotton Bedsheet</v>
      </c>
      <c r="O4195" t="str">
        <f>INDEX(Products!C:C,MATCH(OrdersTable[[#This Row],[Product ID]],Products!A:A,0))</f>
        <v>Home &amp; Kitchen</v>
      </c>
      <c r="P4195">
        <v>1</v>
      </c>
      <c r="Q4195" s="5">
        <v>1299</v>
      </c>
      <c r="R4195" s="74">
        <v>0.05</v>
      </c>
      <c r="S4195" s="75">
        <f>OrdersTable[[#This Row],[Quantity]]*OrdersTable[[#This Row],[Unit Price]]</f>
        <v>1299</v>
      </c>
      <c r="T4195" s="5">
        <f>OrdersTable[[#This Row],[Gross Sale]]*OrdersTable[[#This Row],[Discount_Clean2]]</f>
        <v>64.95</v>
      </c>
      <c r="U4195" s="5">
        <f>OrdersTable[[#This Row],[Gross Sale]]-OrdersTable[[#This Row],[Discount Amount]]</f>
        <v>1234.05</v>
      </c>
      <c r="V4195" s="77">
        <f>INDEX(Products!E:E,MATCH(OrdersTable[[#This Row],[Product ID]],Products!A:A,0))</f>
        <v>585</v>
      </c>
      <c r="W4195" s="77">
        <f>OrdersTable[[#This Row],[Quantity]]*OrdersTable[[#This Row],[Unit Cost]]</f>
        <v>585</v>
      </c>
      <c r="X4195" s="77">
        <f>'Dropdown Lists'!$I$2*(1+OrdersTable[[#This Row],[Returned]])</f>
        <v>60</v>
      </c>
      <c r="Y4195" s="76">
        <f>OrdersTable[[#This Row],[Net Revenue]]-OrdersTable[[#This Row],[COGS]]-OrdersTable[[#This Row],[Shipping Cost]]</f>
        <v>589.04999999999995</v>
      </c>
      <c r="Z4195" s="78">
        <f>IFERROR(OrdersTable[[#This Row],[Profit]]/OrdersTable[[#This Row],[Net Revenue]],0)</f>
        <v>0.47733074024553296</v>
      </c>
      <c r="AA4195" t="s">
        <v>18</v>
      </c>
      <c r="AB4195" s="79">
        <v>45952</v>
      </c>
      <c r="AC4195">
        <f>OrdersTable[[#This Row],[Delivery Date]]-OrdersTable[[#This Row],[Order Date]]</f>
        <v>2</v>
      </c>
      <c r="AD4195" t="str">
        <f>IF(OrdersTable[[#This Row],[Delivery Days]]&lt;=2, "Express (≤2d)", IF(OrdersTable[[#This Row],[Delivery Days]]&lt;=4, "Standard (3-4d)", "Delayed (5d+)"))</f>
        <v>Express (≤2d)</v>
      </c>
      <c r="AE4195">
        <v>4</v>
      </c>
      <c r="AF4195">
        <v>0</v>
      </c>
    </row>
    <row r="4196" spans="1:32" ht="15" x14ac:dyDescent="0.35">
      <c r="A4196" t="s">
        <v>1788</v>
      </c>
      <c r="B4196" s="1">
        <v>45950</v>
      </c>
      <c r="C4196">
        <f>YEAR(OrdersTable[[#This Row],[Order Date]])</f>
        <v>2025</v>
      </c>
      <c r="D4196" s="2">
        <f>DATE(YEAR(OrdersTable[[#This Row],[Order Date]]),MONTH(OrdersTable[[#This Row],[Order Date]]),1)</f>
        <v>45931</v>
      </c>
      <c r="E4196">
        <f>MONTH(OrdersTable[[#This Row],[Order Date]])</f>
        <v>10</v>
      </c>
      <c r="F4196" t="s">
        <v>1789</v>
      </c>
      <c r="G4196" t="str">
        <f>IF(OrdersTable[[#This Row],[Order Date]]=_xlfn.MINIFS(Order_Date, Customer_ID, OrdersTable[[#This Row],[Customer ID]]), "New", "Repeat")</f>
        <v>Repeat</v>
      </c>
      <c r="H4196" t="s">
        <v>95</v>
      </c>
      <c r="I4196" t="str">
        <f>INDEX(State!B:B,MATCH(OrdersTable[[#This Row],[State]],State!A:A,0))</f>
        <v>TG</v>
      </c>
      <c r="J4196" t="str">
        <f>INDEX(State!C:C,MATCH(OrdersTable[[#This Row],[State Code]],State!B:B,0))</f>
        <v>South</v>
      </c>
      <c r="K4196" t="s">
        <v>96</v>
      </c>
      <c r="L4196" t="s">
        <v>65</v>
      </c>
      <c r="M4196" t="s">
        <v>228</v>
      </c>
      <c r="N4196" t="str">
        <f>INDEX(Products!B:B,MATCH(OrdersTable[[#This Row],[Product ID]],Products!A:A,0))</f>
        <v>Fast Charger 33W</v>
      </c>
      <c r="O4196" t="str">
        <f>INDEX(Products!C:C,MATCH(OrdersTable[[#This Row],[Product ID]],Products!A:A,0))</f>
        <v>Electronics</v>
      </c>
      <c r="P4196">
        <v>1</v>
      </c>
      <c r="Q4196" s="5">
        <v>899</v>
      </c>
      <c r="R4196" s="74">
        <v>0.1</v>
      </c>
      <c r="S4196" s="75">
        <f>OrdersTable[[#This Row],[Quantity]]*OrdersTable[[#This Row],[Unit Price]]</f>
        <v>899</v>
      </c>
      <c r="T4196" s="5">
        <f>OrdersTable[[#This Row],[Gross Sale]]*OrdersTable[[#This Row],[Discount_Clean2]]</f>
        <v>89.9</v>
      </c>
      <c r="U4196" s="5">
        <f>OrdersTable[[#This Row],[Gross Sale]]-OrdersTable[[#This Row],[Discount Amount]]</f>
        <v>809.1</v>
      </c>
      <c r="V4196" s="77">
        <f>INDEX(Products!E:E,MATCH(OrdersTable[[#This Row],[Product ID]],Products!A:A,0))</f>
        <v>494</v>
      </c>
      <c r="W4196" s="77">
        <f>OrdersTable[[#This Row],[Quantity]]*OrdersTable[[#This Row],[Unit Cost]]</f>
        <v>494</v>
      </c>
      <c r="X4196" s="77">
        <f>'Dropdown Lists'!$I$2*(1+OrdersTable[[#This Row],[Returned]])</f>
        <v>60</v>
      </c>
      <c r="Y4196" s="76">
        <f>OrdersTable[[#This Row],[Net Revenue]]-OrdersTable[[#This Row],[COGS]]-OrdersTable[[#This Row],[Shipping Cost]]</f>
        <v>255.10000000000002</v>
      </c>
      <c r="Z4196" s="78">
        <f>IFERROR(OrdersTable[[#This Row],[Profit]]/OrdersTable[[#This Row],[Net Revenue]],0)</f>
        <v>0.31528859226300832</v>
      </c>
      <c r="AA4196" t="s">
        <v>18</v>
      </c>
      <c r="AB4196" s="79">
        <v>45954</v>
      </c>
      <c r="AC4196">
        <f>OrdersTable[[#This Row],[Delivery Date]]-OrdersTable[[#This Row],[Order Date]]</f>
        <v>4</v>
      </c>
      <c r="AD4196" t="str">
        <f>IF(OrdersTable[[#This Row],[Delivery Days]]&lt;=2, "Express (≤2d)", IF(OrdersTable[[#This Row],[Delivery Days]]&lt;=4, "Standard (3-4d)", "Delayed (5d+)"))</f>
        <v>Standard (3-4d)</v>
      </c>
      <c r="AF4196">
        <v>0</v>
      </c>
    </row>
    <row r="4197" spans="1:32" ht="15" x14ac:dyDescent="0.35">
      <c r="A4197" t="s">
        <v>4297</v>
      </c>
      <c r="B4197" s="1">
        <v>45950</v>
      </c>
      <c r="C4197">
        <f>YEAR(OrdersTable[[#This Row],[Order Date]])</f>
        <v>2025</v>
      </c>
      <c r="D4197" s="2">
        <f>DATE(YEAR(OrdersTable[[#This Row],[Order Date]]),MONTH(OrdersTable[[#This Row],[Order Date]]),1)</f>
        <v>45931</v>
      </c>
      <c r="E4197">
        <f>MONTH(OrdersTable[[#This Row],[Order Date]])</f>
        <v>10</v>
      </c>
      <c r="F4197" t="s">
        <v>3313</v>
      </c>
      <c r="G4197" t="str">
        <f>IF(OrdersTable[[#This Row],[Order Date]]=_xlfn.MINIFS(Order_Date, Customer_ID, OrdersTable[[#This Row],[Customer ID]]), "New", "Repeat")</f>
        <v>Repeat</v>
      </c>
      <c r="H4197" t="s">
        <v>59</v>
      </c>
      <c r="I4197" t="str">
        <f>INDEX(State!B:B,MATCH(OrdersTable[[#This Row],[State]],State!A:A,0))</f>
        <v>TN</v>
      </c>
      <c r="J4197" t="str">
        <f>INDEX(State!C:C,MATCH(OrdersTable[[#This Row],[State Code]],State!B:B,0))</f>
        <v>South</v>
      </c>
      <c r="K4197" t="s">
        <v>60</v>
      </c>
      <c r="L4197" t="s">
        <v>65</v>
      </c>
      <c r="M4197" t="s">
        <v>106</v>
      </c>
      <c r="N4197" t="str">
        <f>INDEX(Products!B:B,MATCH(OrdersTable[[#This Row],[Product ID]],Products!A:A,0))</f>
        <v>Keratin Hair Mask</v>
      </c>
      <c r="O4197" t="str">
        <f>INDEX(Products!C:C,MATCH(OrdersTable[[#This Row],[Product ID]],Products!A:A,0))</f>
        <v>Haircare</v>
      </c>
      <c r="P4197">
        <v>1</v>
      </c>
      <c r="Q4197" s="5">
        <v>549</v>
      </c>
      <c r="R4197" s="74">
        <v>0.3</v>
      </c>
      <c r="S4197" s="75">
        <f>OrdersTable[[#This Row],[Quantity]]*OrdersTable[[#This Row],[Unit Price]]</f>
        <v>549</v>
      </c>
      <c r="T4197" s="5">
        <f>OrdersTable[[#This Row],[Gross Sale]]*OrdersTable[[#This Row],[Discount_Clean2]]</f>
        <v>164.7</v>
      </c>
      <c r="U4197" s="5">
        <f>OrdersTable[[#This Row],[Gross Sale]]-OrdersTable[[#This Row],[Discount Amount]]</f>
        <v>384.3</v>
      </c>
      <c r="V4197" s="77">
        <f>INDEX(Products!E:E,MATCH(OrdersTable[[#This Row],[Product ID]],Products!A:A,0))</f>
        <v>170</v>
      </c>
      <c r="W4197" s="77">
        <f>OrdersTable[[#This Row],[Quantity]]*OrdersTable[[#This Row],[Unit Cost]]</f>
        <v>170</v>
      </c>
      <c r="X4197" s="77">
        <f>'Dropdown Lists'!$I$2*(1+OrdersTable[[#This Row],[Returned]])</f>
        <v>60</v>
      </c>
      <c r="Y4197" s="76">
        <f>OrdersTable[[#This Row],[Net Revenue]]-OrdersTable[[#This Row],[COGS]]-OrdersTable[[#This Row],[Shipping Cost]]</f>
        <v>154.30000000000001</v>
      </c>
      <c r="Z4197" s="78">
        <f>IFERROR(OrdersTable[[#This Row],[Profit]]/OrdersTable[[#This Row],[Net Revenue]],0)</f>
        <v>0.40150923757481138</v>
      </c>
      <c r="AA4197" t="s">
        <v>4074</v>
      </c>
      <c r="AB4197" s="79">
        <v>45953</v>
      </c>
      <c r="AC4197">
        <f>OrdersTable[[#This Row],[Delivery Date]]-OrdersTable[[#This Row],[Order Date]]</f>
        <v>3</v>
      </c>
      <c r="AD4197" t="str">
        <f>IF(OrdersTable[[#This Row],[Delivery Days]]&lt;=2, "Express (≤2d)", IF(OrdersTable[[#This Row],[Delivery Days]]&lt;=4, "Standard (3-4d)", "Delayed (5d+)"))</f>
        <v>Standard (3-4d)</v>
      </c>
      <c r="AF4197">
        <v>0</v>
      </c>
    </row>
    <row r="4198" spans="1:32" ht="15" x14ac:dyDescent="0.35">
      <c r="A4198" t="s">
        <v>2665</v>
      </c>
      <c r="B4198" s="1">
        <v>45950</v>
      </c>
      <c r="C4198">
        <f>YEAR(OrdersTable[[#This Row],[Order Date]])</f>
        <v>2025</v>
      </c>
      <c r="D4198" s="2">
        <f>DATE(YEAR(OrdersTable[[#This Row],[Order Date]]),MONTH(OrdersTable[[#This Row],[Order Date]]),1)</f>
        <v>45931</v>
      </c>
      <c r="E4198">
        <f>MONTH(OrdersTable[[#This Row],[Order Date]])</f>
        <v>10</v>
      </c>
      <c r="F4198" t="s">
        <v>2666</v>
      </c>
      <c r="G4198" t="str">
        <f>IF(OrdersTable[[#This Row],[Order Date]]=_xlfn.MINIFS(Order_Date, Customer_ID, OrdersTable[[#This Row],[Customer ID]]), "New", "Repeat")</f>
        <v>New</v>
      </c>
      <c r="H4198" t="s">
        <v>59</v>
      </c>
      <c r="I4198" t="str">
        <f>INDEX(State!B:B,MATCH(OrdersTable[[#This Row],[State]],State!A:A,0))</f>
        <v>TN</v>
      </c>
      <c r="J4198" t="str">
        <f>INDEX(State!C:C,MATCH(OrdersTable[[#This Row],[State Code]],State!B:B,0))</f>
        <v>South</v>
      </c>
      <c r="K4198" t="s">
        <v>64</v>
      </c>
      <c r="L4198" t="s">
        <v>23</v>
      </c>
      <c r="M4198" t="s">
        <v>92</v>
      </c>
      <c r="N4198" t="str">
        <f>INDEX(Products!B:B,MATCH(OrdersTable[[#This Row],[Product ID]],Products!A:A,0))</f>
        <v>Kolhapuri Sandals</v>
      </c>
      <c r="O4198" t="str">
        <f>INDEX(Products!C:C,MATCH(OrdersTable[[#This Row],[Product ID]],Products!A:A,0))</f>
        <v>Footwear</v>
      </c>
      <c r="P4198">
        <v>1</v>
      </c>
      <c r="Q4198" s="5">
        <v>999</v>
      </c>
      <c r="R4198" s="74">
        <v>0.2</v>
      </c>
      <c r="S4198" s="75">
        <f>OrdersTable[[#This Row],[Quantity]]*OrdersTable[[#This Row],[Unit Price]]</f>
        <v>999</v>
      </c>
      <c r="T4198" s="5">
        <f>OrdersTable[[#This Row],[Gross Sale]]*OrdersTable[[#This Row],[Discount_Clean2]]</f>
        <v>199.8</v>
      </c>
      <c r="U4198" s="5">
        <f>OrdersTable[[#This Row],[Gross Sale]]-OrdersTable[[#This Row],[Discount Amount]]</f>
        <v>799.2</v>
      </c>
      <c r="V4198" s="77">
        <f>INDEX(Products!E:E,MATCH(OrdersTable[[#This Row],[Product ID]],Products!A:A,0))</f>
        <v>400</v>
      </c>
      <c r="W4198" s="77">
        <f>OrdersTable[[#This Row],[Quantity]]*OrdersTable[[#This Row],[Unit Cost]]</f>
        <v>400</v>
      </c>
      <c r="X4198" s="77">
        <f>'Dropdown Lists'!$I$2*(1+OrdersTable[[#This Row],[Returned]])</f>
        <v>60</v>
      </c>
      <c r="Y4198" s="76">
        <f>OrdersTable[[#This Row],[Net Revenue]]-OrdersTable[[#This Row],[COGS]]-OrdersTable[[#This Row],[Shipping Cost]]</f>
        <v>339.20000000000005</v>
      </c>
      <c r="Z4198" s="78">
        <f>IFERROR(OrdersTable[[#This Row],[Profit]]/OrdersTable[[#This Row],[Net Revenue]],0)</f>
        <v>0.42442442442442446</v>
      </c>
      <c r="AA4198" t="s">
        <v>2522</v>
      </c>
      <c r="AB4198" s="79">
        <v>45952</v>
      </c>
      <c r="AC4198">
        <f>OrdersTable[[#This Row],[Delivery Date]]-OrdersTable[[#This Row],[Order Date]]</f>
        <v>2</v>
      </c>
      <c r="AD4198" t="str">
        <f>IF(OrdersTable[[#This Row],[Delivery Days]]&lt;=2, "Express (≤2d)", IF(OrdersTable[[#This Row],[Delivery Days]]&lt;=4, "Standard (3-4d)", "Delayed (5d+)"))</f>
        <v>Express (≤2d)</v>
      </c>
      <c r="AE4198">
        <v>5</v>
      </c>
      <c r="AF4198">
        <v>0</v>
      </c>
    </row>
    <row r="4199" spans="1:32" ht="15" x14ac:dyDescent="0.35">
      <c r="A4199" t="s">
        <v>7032</v>
      </c>
      <c r="B4199" s="1">
        <v>45951</v>
      </c>
      <c r="C4199">
        <f>YEAR(OrdersTable[[#This Row],[Order Date]])</f>
        <v>2025</v>
      </c>
      <c r="D4199" s="2">
        <f>DATE(YEAR(OrdersTable[[#This Row],[Order Date]]),MONTH(OrdersTable[[#This Row],[Order Date]]),1)</f>
        <v>45931</v>
      </c>
      <c r="E4199">
        <f>MONTH(OrdersTable[[#This Row],[Order Date]])</f>
        <v>10</v>
      </c>
      <c r="F4199" t="s">
        <v>4014</v>
      </c>
      <c r="G4199" t="str">
        <f>IF(OrdersTable[[#This Row],[Order Date]]=_xlfn.MINIFS(Order_Date, Customer_ID, OrdersTable[[#This Row],[Customer ID]]), "New", "Repeat")</f>
        <v>Repeat</v>
      </c>
      <c r="H4199" t="s">
        <v>167</v>
      </c>
      <c r="I4199" t="str">
        <f>INDEX(State!B:B,MATCH(OrdersTable[[#This Row],[State]],State!A:A,0))</f>
        <v>KA</v>
      </c>
      <c r="J4199" t="str">
        <f>INDEX(State!C:C,MATCH(OrdersTable[[#This Row],[State Code]],State!B:B,0))</f>
        <v>South</v>
      </c>
      <c r="K4199" t="s">
        <v>168</v>
      </c>
      <c r="L4199" t="s">
        <v>23</v>
      </c>
      <c r="M4199" t="s">
        <v>61</v>
      </c>
      <c r="N4199" t="str">
        <f>INDEX(Products!B:B,MATCH(OrdersTable[[#This Row],[Product ID]],Products!A:A,0))</f>
        <v>Multivitamin Gummies</v>
      </c>
      <c r="O4199" t="str">
        <f>INDEX(Products!C:C,MATCH(OrdersTable[[#This Row],[Product ID]],Products!A:A,0))</f>
        <v>Wellness</v>
      </c>
      <c r="P4199">
        <v>4</v>
      </c>
      <c r="Q4199" s="5">
        <v>699</v>
      </c>
      <c r="R4199" s="74">
        <v>0.25</v>
      </c>
      <c r="S4199" s="75">
        <f>OrdersTable[[#This Row],[Quantity]]*OrdersTable[[#This Row],[Unit Price]]</f>
        <v>2796</v>
      </c>
      <c r="T4199" s="5">
        <f>OrdersTable[[#This Row],[Gross Sale]]*OrdersTable[[#This Row],[Discount_Clean2]]</f>
        <v>699</v>
      </c>
      <c r="U4199" s="5">
        <f>OrdersTable[[#This Row],[Gross Sale]]-OrdersTable[[#This Row],[Discount Amount]]</f>
        <v>2097</v>
      </c>
      <c r="V4199" s="77">
        <f>INDEX(Products!E:E,MATCH(OrdersTable[[#This Row],[Product ID]],Products!A:A,0))</f>
        <v>238</v>
      </c>
      <c r="W4199" s="77">
        <f>OrdersTable[[#This Row],[Quantity]]*OrdersTable[[#This Row],[Unit Cost]]</f>
        <v>952</v>
      </c>
      <c r="X4199" s="77">
        <f>'Dropdown Lists'!$I$2*(1+OrdersTable[[#This Row],[Returned]])</f>
        <v>60</v>
      </c>
      <c r="Y4199" s="76">
        <f>OrdersTable[[#This Row],[Net Revenue]]-OrdersTable[[#This Row],[COGS]]-OrdersTable[[#This Row],[Shipping Cost]]</f>
        <v>1085</v>
      </c>
      <c r="Z4199" s="78">
        <f>IFERROR(OrdersTable[[#This Row],[Profit]]/OrdersTable[[#This Row],[Net Revenue]],0)</f>
        <v>0.51740581783500239</v>
      </c>
      <c r="AA4199" t="s">
        <v>3495</v>
      </c>
      <c r="AB4199" s="79">
        <v>45952</v>
      </c>
      <c r="AC4199">
        <f>OrdersTable[[#This Row],[Delivery Date]]-OrdersTable[[#This Row],[Order Date]]</f>
        <v>1</v>
      </c>
      <c r="AD4199" t="str">
        <f>IF(OrdersTable[[#This Row],[Delivery Days]]&lt;=2, "Express (≤2d)", IF(OrdersTable[[#This Row],[Delivery Days]]&lt;=4, "Standard (3-4d)", "Delayed (5d+)"))</f>
        <v>Express (≤2d)</v>
      </c>
      <c r="AE4199">
        <v>4</v>
      </c>
      <c r="AF4199">
        <v>0</v>
      </c>
    </row>
    <row r="4200" spans="1:32" ht="15" x14ac:dyDescent="0.35">
      <c r="A4200" t="s">
        <v>5630</v>
      </c>
      <c r="B4200" s="1">
        <v>45951</v>
      </c>
      <c r="C4200">
        <f>YEAR(OrdersTable[[#This Row],[Order Date]])</f>
        <v>2025</v>
      </c>
      <c r="D4200" s="2">
        <f>DATE(YEAR(OrdersTable[[#This Row],[Order Date]]),MONTH(OrdersTable[[#This Row],[Order Date]]),1)</f>
        <v>45931</v>
      </c>
      <c r="E4200">
        <f>MONTH(OrdersTable[[#This Row],[Order Date]])</f>
        <v>10</v>
      </c>
      <c r="F4200" t="s">
        <v>5006</v>
      </c>
      <c r="G4200" t="str">
        <f>IF(OrdersTable[[#This Row],[Order Date]]=_xlfn.MINIFS(Order_Date, Customer_ID, OrdersTable[[#This Row],[Customer ID]]), "New", "Repeat")</f>
        <v>Repeat</v>
      </c>
      <c r="H4200" t="s">
        <v>167</v>
      </c>
      <c r="I4200" t="str">
        <f>INDEX(State!B:B,MATCH(OrdersTable[[#This Row],[State]],State!A:A,0))</f>
        <v>KA</v>
      </c>
      <c r="J4200" t="str">
        <f>INDEX(State!C:C,MATCH(OrdersTable[[#This Row],[State Code]],State!B:B,0))</f>
        <v>South</v>
      </c>
      <c r="K4200" t="s">
        <v>190</v>
      </c>
      <c r="L4200" t="s">
        <v>65</v>
      </c>
      <c r="M4200" t="s">
        <v>51</v>
      </c>
      <c r="N4200" t="str">
        <f>INDEX(Products!B:B,MATCH(OrdersTable[[#This Row],[Product ID]],Products!A:A,0))</f>
        <v>Anti-Dandruff Conditioner</v>
      </c>
      <c r="O4200" t="str">
        <f>INDEX(Products!C:C,MATCH(OrdersTable[[#This Row],[Product ID]],Products!A:A,0))</f>
        <v>Haircare</v>
      </c>
      <c r="P4200">
        <v>2</v>
      </c>
      <c r="Q4200" s="5">
        <v>399</v>
      </c>
      <c r="R4200" s="74">
        <v>0.45</v>
      </c>
      <c r="S4200" s="75">
        <f>OrdersTable[[#This Row],[Quantity]]*OrdersTable[[#This Row],[Unit Price]]</f>
        <v>798</v>
      </c>
      <c r="T4200" s="5">
        <f>OrdersTable[[#This Row],[Gross Sale]]*OrdersTable[[#This Row],[Discount_Clean2]]</f>
        <v>359.1</v>
      </c>
      <c r="U4200" s="5">
        <f>OrdersTable[[#This Row],[Gross Sale]]-OrdersTable[[#This Row],[Discount Amount]]</f>
        <v>438.9</v>
      </c>
      <c r="V4200" s="77">
        <f>INDEX(Products!E:E,MATCH(OrdersTable[[#This Row],[Product ID]],Products!A:A,0))</f>
        <v>136</v>
      </c>
      <c r="W4200" s="77">
        <f>OrdersTable[[#This Row],[Quantity]]*OrdersTable[[#This Row],[Unit Cost]]</f>
        <v>272</v>
      </c>
      <c r="X4200" s="77">
        <f>'Dropdown Lists'!$I$2*(1+OrdersTable[[#This Row],[Returned]])</f>
        <v>60</v>
      </c>
      <c r="Y4200" s="76">
        <f>OrdersTable[[#This Row],[Net Revenue]]-OrdersTable[[#This Row],[COGS]]-OrdersTable[[#This Row],[Shipping Cost]]</f>
        <v>106.89999999999998</v>
      </c>
      <c r="Z4200" s="78">
        <f>IFERROR(OrdersTable[[#This Row],[Profit]]/OrdersTable[[#This Row],[Net Revenue]],0)</f>
        <v>0.24356345408976984</v>
      </c>
      <c r="AA4200" t="s">
        <v>2522</v>
      </c>
      <c r="AB4200" s="79">
        <v>45954</v>
      </c>
      <c r="AC4200">
        <f>OrdersTable[[#This Row],[Delivery Date]]-OrdersTable[[#This Row],[Order Date]]</f>
        <v>3</v>
      </c>
      <c r="AD4200" t="str">
        <f>IF(OrdersTable[[#This Row],[Delivery Days]]&lt;=2, "Express (≤2d)", IF(OrdersTable[[#This Row],[Delivery Days]]&lt;=4, "Standard (3-4d)", "Delayed (5d+)"))</f>
        <v>Standard (3-4d)</v>
      </c>
      <c r="AE4200">
        <v>4</v>
      </c>
      <c r="AF4200">
        <v>0</v>
      </c>
    </row>
    <row r="4201" spans="1:32" ht="15" x14ac:dyDescent="0.35">
      <c r="A4201" t="s">
        <v>5246</v>
      </c>
      <c r="B4201" s="1">
        <v>45952</v>
      </c>
      <c r="C4201">
        <f>YEAR(OrdersTable[[#This Row],[Order Date]])</f>
        <v>2025</v>
      </c>
      <c r="D4201" s="2">
        <f>DATE(YEAR(OrdersTable[[#This Row],[Order Date]]),MONTH(OrdersTable[[#This Row],[Order Date]]),1)</f>
        <v>45931</v>
      </c>
      <c r="E4201">
        <f>MONTH(OrdersTable[[#This Row],[Order Date]])</f>
        <v>10</v>
      </c>
      <c r="F4201" t="s">
        <v>5247</v>
      </c>
      <c r="G4201" t="str">
        <f>IF(OrdersTable[[#This Row],[Order Date]]=_xlfn.MINIFS(Order_Date, Customer_ID, OrdersTable[[#This Row],[Customer ID]]), "New", "Repeat")</f>
        <v>New</v>
      </c>
      <c r="H4201" t="s">
        <v>54</v>
      </c>
      <c r="I4201" t="str">
        <f>INDEX(State!B:B,MATCH(OrdersTable[[#This Row],[State]],State!A:A,0))</f>
        <v>RJ</v>
      </c>
      <c r="J4201" t="str">
        <f>INDEX(State!C:C,MATCH(OrdersTable[[#This Row],[State Code]],State!B:B,0))</f>
        <v>North</v>
      </c>
      <c r="K4201" t="s">
        <v>227</v>
      </c>
      <c r="L4201" t="s">
        <v>39</v>
      </c>
      <c r="M4201" t="s">
        <v>56</v>
      </c>
      <c r="N4201" t="str">
        <f>INDEX(Products!B:B,MATCH(OrdersTable[[#This Row],[Product ID]],Products!A:A,0))</f>
        <v>Vitamin C Face Serum</v>
      </c>
      <c r="O4201" t="str">
        <f>INDEX(Products!C:C,MATCH(OrdersTable[[#This Row],[Product ID]],Products!A:A,0))</f>
        <v>Skincare</v>
      </c>
      <c r="P4201">
        <v>2</v>
      </c>
      <c r="Q4201" s="5">
        <v>599</v>
      </c>
      <c r="R4201" s="74">
        <v>0.25</v>
      </c>
      <c r="S4201" s="75">
        <f>OrdersTable[[#This Row],[Quantity]]*OrdersTable[[#This Row],[Unit Price]]</f>
        <v>1198</v>
      </c>
      <c r="T4201" s="5">
        <f>OrdersTable[[#This Row],[Gross Sale]]*OrdersTable[[#This Row],[Discount_Clean2]]</f>
        <v>299.5</v>
      </c>
      <c r="U4201" s="5">
        <f>OrdersTable[[#This Row],[Gross Sale]]-OrdersTable[[#This Row],[Discount Amount]]</f>
        <v>898.5</v>
      </c>
      <c r="V4201" s="77">
        <f>INDEX(Products!E:E,MATCH(OrdersTable[[#This Row],[Product ID]],Products!A:A,0))</f>
        <v>180</v>
      </c>
      <c r="W4201" s="77">
        <f>OrdersTable[[#This Row],[Quantity]]*OrdersTable[[#This Row],[Unit Cost]]</f>
        <v>360</v>
      </c>
      <c r="X4201" s="77">
        <f>'Dropdown Lists'!$I$2*(1+OrdersTable[[#This Row],[Returned]])</f>
        <v>60</v>
      </c>
      <c r="Y4201" s="76">
        <f>OrdersTable[[#This Row],[Net Revenue]]-OrdersTable[[#This Row],[COGS]]-OrdersTable[[#This Row],[Shipping Cost]]</f>
        <v>478.5</v>
      </c>
      <c r="Z4201" s="78">
        <f>IFERROR(OrdersTable[[#This Row],[Profit]]/OrdersTable[[#This Row],[Net Revenue]],0)</f>
        <v>0.53255425709515858</v>
      </c>
      <c r="AA4201" t="s">
        <v>3495</v>
      </c>
      <c r="AB4201" s="79">
        <v>45958</v>
      </c>
      <c r="AC4201">
        <f>OrdersTable[[#This Row],[Delivery Date]]-OrdersTable[[#This Row],[Order Date]]</f>
        <v>6</v>
      </c>
      <c r="AD4201" t="str">
        <f>IF(OrdersTable[[#This Row],[Delivery Days]]&lt;=2, "Express (≤2d)", IF(OrdersTable[[#This Row],[Delivery Days]]&lt;=4, "Standard (3-4d)", "Delayed (5d+)"))</f>
        <v>Delayed (5d+)</v>
      </c>
      <c r="AE4201">
        <v>4</v>
      </c>
      <c r="AF4201">
        <v>0</v>
      </c>
    </row>
    <row r="4202" spans="1:32" ht="15" x14ac:dyDescent="0.35">
      <c r="A4202" t="s">
        <v>2667</v>
      </c>
      <c r="B4202" s="1">
        <v>45952</v>
      </c>
      <c r="C4202">
        <f>YEAR(OrdersTable[[#This Row],[Order Date]])</f>
        <v>2025</v>
      </c>
      <c r="D4202" s="2">
        <f>DATE(YEAR(OrdersTable[[#This Row],[Order Date]]),MONTH(OrdersTable[[#This Row],[Order Date]]),1)</f>
        <v>45931</v>
      </c>
      <c r="E4202">
        <f>MONTH(OrdersTable[[#This Row],[Order Date]])</f>
        <v>10</v>
      </c>
      <c r="F4202" t="s">
        <v>2175</v>
      </c>
      <c r="G4202" t="str">
        <f>IF(OrdersTable[[#This Row],[Order Date]]=_xlfn.MINIFS(Order_Date, Customer_ID, OrdersTable[[#This Row],[Customer ID]]), "New", "Repeat")</f>
        <v>Repeat</v>
      </c>
      <c r="H4202" t="s">
        <v>76</v>
      </c>
      <c r="I4202" t="str">
        <f>INDEX(State!B:B,MATCH(OrdersTable[[#This Row],[State]],State!A:A,0))</f>
        <v>UP</v>
      </c>
      <c r="J4202" t="str">
        <f>INDEX(State!C:C,MATCH(OrdersTable[[#This Row],[State Code]],State!B:B,0))</f>
        <v>North</v>
      </c>
      <c r="K4202" t="s">
        <v>77</v>
      </c>
      <c r="L4202" t="s">
        <v>16</v>
      </c>
      <c r="M4202" t="s">
        <v>17</v>
      </c>
      <c r="N4202" t="str">
        <f>INDEX(Products!B:B,MATCH(OrdersTable[[#This Row],[Product ID]],Products!A:A,0))</f>
        <v>Casual Sneakers</v>
      </c>
      <c r="O4202" t="str">
        <f>INDEX(Products!C:C,MATCH(OrdersTable[[#This Row],[Product ID]],Products!A:A,0))</f>
        <v>Footwear</v>
      </c>
      <c r="P4202">
        <v>1</v>
      </c>
      <c r="Q4202" s="5">
        <v>2199</v>
      </c>
      <c r="R4202" s="74">
        <v>0.45</v>
      </c>
      <c r="S4202" s="75">
        <f>OrdersTable[[#This Row],[Quantity]]*OrdersTable[[#This Row],[Unit Price]]</f>
        <v>2199</v>
      </c>
      <c r="T4202" s="5">
        <f>OrdersTable[[#This Row],[Gross Sale]]*OrdersTable[[#This Row],[Discount_Clean2]]</f>
        <v>989.55000000000007</v>
      </c>
      <c r="U4202" s="5">
        <f>OrdersTable[[#This Row],[Gross Sale]]-OrdersTable[[#This Row],[Discount Amount]]</f>
        <v>1209.4499999999998</v>
      </c>
      <c r="V4202" s="77">
        <f>INDEX(Products!E:E,MATCH(OrdersTable[[#This Row],[Product ID]],Products!A:A,0))</f>
        <v>1034</v>
      </c>
      <c r="W4202" s="77">
        <f>OrdersTable[[#This Row],[Quantity]]*OrdersTable[[#This Row],[Unit Cost]]</f>
        <v>1034</v>
      </c>
      <c r="X4202" s="77">
        <f>'Dropdown Lists'!$I$2*(1+OrdersTable[[#This Row],[Returned]])</f>
        <v>60</v>
      </c>
      <c r="Y4202" s="76">
        <f>OrdersTable[[#This Row],[Net Revenue]]-OrdersTable[[#This Row],[COGS]]-OrdersTable[[#This Row],[Shipping Cost]]</f>
        <v>115.44999999999982</v>
      </c>
      <c r="Z4202" s="78">
        <f>IFERROR(OrdersTable[[#This Row],[Profit]]/OrdersTable[[#This Row],[Net Revenue]],0)</f>
        <v>9.5456612509818378E-2</v>
      </c>
      <c r="AA4202" t="s">
        <v>2522</v>
      </c>
      <c r="AB4202" s="79">
        <v>45956</v>
      </c>
      <c r="AC4202">
        <f>OrdersTable[[#This Row],[Delivery Date]]-OrdersTable[[#This Row],[Order Date]]</f>
        <v>4</v>
      </c>
      <c r="AD4202" t="str">
        <f>IF(OrdersTable[[#This Row],[Delivery Days]]&lt;=2, "Express (≤2d)", IF(OrdersTable[[#This Row],[Delivery Days]]&lt;=4, "Standard (3-4d)", "Delayed (5d+)"))</f>
        <v>Standard (3-4d)</v>
      </c>
      <c r="AE4202">
        <v>5</v>
      </c>
      <c r="AF4202">
        <v>0</v>
      </c>
    </row>
    <row r="4203" spans="1:32" ht="15" x14ac:dyDescent="0.35">
      <c r="A4203" t="s">
        <v>5449</v>
      </c>
      <c r="B4203" s="1">
        <v>45952</v>
      </c>
      <c r="C4203">
        <f>YEAR(OrdersTable[[#This Row],[Order Date]])</f>
        <v>2025</v>
      </c>
      <c r="D4203" s="2">
        <f>DATE(YEAR(OrdersTable[[#This Row],[Order Date]]),MONTH(OrdersTable[[#This Row],[Order Date]]),1)</f>
        <v>45931</v>
      </c>
      <c r="E4203">
        <f>MONTH(OrdersTable[[#This Row],[Order Date]])</f>
        <v>10</v>
      </c>
      <c r="F4203" t="s">
        <v>5450</v>
      </c>
      <c r="G4203" t="str">
        <f>IF(OrdersTable[[#This Row],[Order Date]]=_xlfn.MINIFS(Order_Date, Customer_ID, OrdersTable[[#This Row],[Customer ID]]), "New", "Repeat")</f>
        <v>New</v>
      </c>
      <c r="H4203" t="s">
        <v>76</v>
      </c>
      <c r="I4203" t="str">
        <f>INDEX(State!B:B,MATCH(OrdersTable[[#This Row],[State]],State!A:A,0))</f>
        <v>UP</v>
      </c>
      <c r="J4203" t="str">
        <f>INDEX(State!C:C,MATCH(OrdersTable[[#This Row],[State Code]],State!B:B,0))</f>
        <v>North</v>
      </c>
      <c r="K4203" t="s">
        <v>105</v>
      </c>
      <c r="L4203" t="s">
        <v>23</v>
      </c>
      <c r="M4203" t="s">
        <v>87</v>
      </c>
      <c r="N4203" t="str">
        <f>INDEX(Products!B:B,MATCH(OrdersTable[[#This Row],[Product ID]],Products!A:A,0))</f>
        <v>Linen Kurta</v>
      </c>
      <c r="O4203" t="str">
        <f>INDEX(Products!C:C,MATCH(OrdersTable[[#This Row],[Product ID]],Products!A:A,0))</f>
        <v>Apparel</v>
      </c>
      <c r="P4203">
        <v>2</v>
      </c>
      <c r="Q4203" s="5">
        <v>1499</v>
      </c>
      <c r="R4203" s="74">
        <v>0.5</v>
      </c>
      <c r="S4203" s="75">
        <f>OrdersTable[[#This Row],[Quantity]]*OrdersTable[[#This Row],[Unit Price]]</f>
        <v>2998</v>
      </c>
      <c r="T4203" s="5">
        <f>OrdersTable[[#This Row],[Gross Sale]]*OrdersTable[[#This Row],[Discount_Clean2]]</f>
        <v>1499</v>
      </c>
      <c r="U4203" s="5">
        <f>OrdersTable[[#This Row],[Gross Sale]]-OrdersTable[[#This Row],[Discount Amount]]</f>
        <v>1499</v>
      </c>
      <c r="V4203" s="77">
        <f>INDEX(Products!E:E,MATCH(OrdersTable[[#This Row],[Product ID]],Products!A:A,0))</f>
        <v>630</v>
      </c>
      <c r="W4203" s="77">
        <f>OrdersTable[[#This Row],[Quantity]]*OrdersTable[[#This Row],[Unit Cost]]</f>
        <v>1260</v>
      </c>
      <c r="X4203" s="77">
        <f>'Dropdown Lists'!$I$2*(1+OrdersTable[[#This Row],[Returned]])</f>
        <v>60</v>
      </c>
      <c r="Y4203" s="76">
        <f>OrdersTable[[#This Row],[Net Revenue]]-OrdersTable[[#This Row],[COGS]]-OrdersTable[[#This Row],[Shipping Cost]]</f>
        <v>179</v>
      </c>
      <c r="Z4203" s="78">
        <f>IFERROR(OrdersTable[[#This Row],[Profit]]/OrdersTable[[#This Row],[Net Revenue]],0)</f>
        <v>0.11941294196130754</v>
      </c>
      <c r="AA4203" t="s">
        <v>2522</v>
      </c>
      <c r="AB4203" s="79">
        <v>45957</v>
      </c>
      <c r="AC4203">
        <f>OrdersTable[[#This Row],[Delivery Date]]-OrdersTable[[#This Row],[Order Date]]</f>
        <v>5</v>
      </c>
      <c r="AD4203" t="str">
        <f>IF(OrdersTable[[#This Row],[Delivery Days]]&lt;=2, "Express (≤2d)", IF(OrdersTable[[#This Row],[Delivery Days]]&lt;=4, "Standard (3-4d)", "Delayed (5d+)"))</f>
        <v>Delayed (5d+)</v>
      </c>
      <c r="AE4203">
        <v>3</v>
      </c>
      <c r="AF4203">
        <v>0</v>
      </c>
    </row>
    <row r="4204" spans="1:32" ht="15" x14ac:dyDescent="0.35">
      <c r="A4204" t="s">
        <v>2035</v>
      </c>
      <c r="B4204" s="1">
        <v>45952</v>
      </c>
      <c r="C4204">
        <f>YEAR(OrdersTable[[#This Row],[Order Date]])</f>
        <v>2025</v>
      </c>
      <c r="D4204" s="2">
        <f>DATE(YEAR(OrdersTable[[#This Row],[Order Date]]),MONTH(OrdersTable[[#This Row],[Order Date]]),1)</f>
        <v>45931</v>
      </c>
      <c r="E4204">
        <f>MONTH(OrdersTable[[#This Row],[Order Date]])</f>
        <v>10</v>
      </c>
      <c r="F4204" t="s">
        <v>2036</v>
      </c>
      <c r="G4204" t="str">
        <f>IF(OrdersTable[[#This Row],[Order Date]]=_xlfn.MINIFS(Order_Date, Customer_ID, OrdersTable[[#This Row],[Customer ID]]), "New", "Repeat")</f>
        <v>Repeat</v>
      </c>
      <c r="H4204" t="s">
        <v>132</v>
      </c>
      <c r="I4204" t="str">
        <f>INDEX(State!B:B,MATCH(OrdersTable[[#This Row],[State]],State!A:A,0))</f>
        <v>AS</v>
      </c>
      <c r="J4204" t="str">
        <f>INDEX(State!C:C,MATCH(OrdersTable[[#This Row],[State Code]],State!B:B,0))</f>
        <v>East</v>
      </c>
      <c r="K4204" t="s">
        <v>133</v>
      </c>
      <c r="L4204" t="s">
        <v>16</v>
      </c>
      <c r="M4204" t="s">
        <v>29</v>
      </c>
      <c r="N4204" t="str">
        <f>INDEX(Products!B:B,MATCH(OrdersTable[[#This Row],[Product ID]],Products!A:A,0))</f>
        <v>Joggers</v>
      </c>
      <c r="O4204" t="str">
        <f>INDEX(Products!C:C,MATCH(OrdersTable[[#This Row],[Product ID]],Products!A:A,0))</f>
        <v>Apparel</v>
      </c>
      <c r="P4204">
        <v>1</v>
      </c>
      <c r="Q4204" s="5">
        <v>1199</v>
      </c>
      <c r="R4204" s="74">
        <v>0.3</v>
      </c>
      <c r="S4204" s="75">
        <f>OrdersTable[[#This Row],[Quantity]]*OrdersTable[[#This Row],[Unit Price]]</f>
        <v>1199</v>
      </c>
      <c r="T4204" s="5">
        <f>OrdersTable[[#This Row],[Gross Sale]]*OrdersTable[[#This Row],[Discount_Clean2]]</f>
        <v>359.7</v>
      </c>
      <c r="U4204" s="5">
        <f>OrdersTable[[#This Row],[Gross Sale]]-OrdersTable[[#This Row],[Discount Amount]]</f>
        <v>839.3</v>
      </c>
      <c r="V4204" s="77">
        <f>INDEX(Products!E:E,MATCH(OrdersTable[[#This Row],[Product ID]],Products!A:A,0))</f>
        <v>492</v>
      </c>
      <c r="W4204" s="77">
        <f>OrdersTable[[#This Row],[Quantity]]*OrdersTable[[#This Row],[Unit Cost]]</f>
        <v>492</v>
      </c>
      <c r="X4204" s="77">
        <f>'Dropdown Lists'!$I$2*(1+OrdersTable[[#This Row],[Returned]])</f>
        <v>120</v>
      </c>
      <c r="Y4204" s="76">
        <f>OrdersTable[[#This Row],[Net Revenue]]-OrdersTable[[#This Row],[COGS]]-OrdersTable[[#This Row],[Shipping Cost]]</f>
        <v>227.29999999999995</v>
      </c>
      <c r="Z4204" s="78">
        <f>IFERROR(OrdersTable[[#This Row],[Profit]]/OrdersTable[[#This Row],[Net Revenue]],0)</f>
        <v>0.27082092219706894</v>
      </c>
      <c r="AA4204" t="s">
        <v>18</v>
      </c>
      <c r="AB4204" s="79">
        <v>45958</v>
      </c>
      <c r="AC4204">
        <f>OrdersTable[[#This Row],[Delivery Date]]-OrdersTable[[#This Row],[Order Date]]</f>
        <v>6</v>
      </c>
      <c r="AD4204" t="str">
        <f>IF(OrdersTable[[#This Row],[Delivery Days]]&lt;=2, "Express (≤2d)", IF(OrdersTable[[#This Row],[Delivery Days]]&lt;=4, "Standard (3-4d)", "Delayed (5d+)"))</f>
        <v>Delayed (5d+)</v>
      </c>
      <c r="AE4204">
        <v>3</v>
      </c>
      <c r="AF4204">
        <v>1</v>
      </c>
    </row>
    <row r="4205" spans="1:32" ht="15" x14ac:dyDescent="0.35">
      <c r="A4205" t="s">
        <v>2179</v>
      </c>
      <c r="B4205" s="1">
        <v>45952</v>
      </c>
      <c r="C4205">
        <f>YEAR(OrdersTable[[#This Row],[Order Date]])</f>
        <v>2025</v>
      </c>
      <c r="D4205" s="2">
        <f>DATE(YEAR(OrdersTable[[#This Row],[Order Date]]),MONTH(OrdersTable[[#This Row],[Order Date]]),1)</f>
        <v>45931</v>
      </c>
      <c r="E4205">
        <f>MONTH(OrdersTable[[#This Row],[Order Date]])</f>
        <v>10</v>
      </c>
      <c r="F4205" t="s">
        <v>770</v>
      </c>
      <c r="G4205" t="str">
        <f>IF(OrdersTable[[#This Row],[Order Date]]=_xlfn.MINIFS(Order_Date, Customer_ID, OrdersTable[[#This Row],[Customer ID]]), "New", "Repeat")</f>
        <v>Repeat</v>
      </c>
      <c r="H4205" t="s">
        <v>37</v>
      </c>
      <c r="I4205" t="str">
        <f>INDEX(State!B:B,MATCH(OrdersTable[[#This Row],[State]],State!A:A,0))</f>
        <v>GJ</v>
      </c>
      <c r="J4205" t="str">
        <f>INDEX(State!C:C,MATCH(OrdersTable[[#This Row],[State Code]],State!B:B,0))</f>
        <v>West</v>
      </c>
      <c r="K4205" t="s">
        <v>38</v>
      </c>
      <c r="L4205" t="s">
        <v>23</v>
      </c>
      <c r="M4205" t="s">
        <v>34</v>
      </c>
      <c r="N4205" t="str">
        <f>INDEX(Products!B:B,MATCH(OrdersTable[[#This Row],[Product ID]],Products!A:A,0))</f>
        <v>Flip Flops</v>
      </c>
      <c r="O4205" t="str">
        <f>INDEX(Products!C:C,MATCH(OrdersTable[[#This Row],[Product ID]],Products!A:A,0))</f>
        <v>Footwear</v>
      </c>
      <c r="P4205">
        <v>1</v>
      </c>
      <c r="Q4205" s="5">
        <v>399</v>
      </c>
      <c r="R4205" s="74">
        <v>0.2</v>
      </c>
      <c r="S4205" s="75">
        <f>OrdersTable[[#This Row],[Quantity]]*OrdersTable[[#This Row],[Unit Price]]</f>
        <v>399</v>
      </c>
      <c r="T4205" s="5">
        <f>OrdersTable[[#This Row],[Gross Sale]]*OrdersTable[[#This Row],[Discount_Clean2]]</f>
        <v>79.800000000000011</v>
      </c>
      <c r="U4205" s="5">
        <f>OrdersTable[[#This Row],[Gross Sale]]-OrdersTable[[#This Row],[Discount Amount]]</f>
        <v>319.2</v>
      </c>
      <c r="V4205" s="77">
        <f>INDEX(Products!E:E,MATCH(OrdersTable[[#This Row],[Product ID]],Products!A:A,0))</f>
        <v>152</v>
      </c>
      <c r="W4205" s="77">
        <f>OrdersTable[[#This Row],[Quantity]]*OrdersTable[[#This Row],[Unit Cost]]</f>
        <v>152</v>
      </c>
      <c r="X4205" s="77">
        <f>'Dropdown Lists'!$I$2*(1+OrdersTable[[#This Row],[Returned]])</f>
        <v>60</v>
      </c>
      <c r="Y4205" s="76">
        <f>OrdersTable[[#This Row],[Net Revenue]]-OrdersTable[[#This Row],[COGS]]-OrdersTable[[#This Row],[Shipping Cost]]</f>
        <v>107.19999999999999</v>
      </c>
      <c r="Z4205" s="78">
        <f>IFERROR(OrdersTable[[#This Row],[Profit]]/OrdersTable[[#This Row],[Net Revenue]],0)</f>
        <v>0.33583959899749372</v>
      </c>
      <c r="AA4205" t="s">
        <v>18</v>
      </c>
      <c r="AB4205" s="79">
        <v>45956</v>
      </c>
      <c r="AC4205">
        <f>OrdersTable[[#This Row],[Delivery Date]]-OrdersTable[[#This Row],[Order Date]]</f>
        <v>4</v>
      </c>
      <c r="AD4205" t="str">
        <f>IF(OrdersTable[[#This Row],[Delivery Days]]&lt;=2, "Express (≤2d)", IF(OrdersTable[[#This Row],[Delivery Days]]&lt;=4, "Standard (3-4d)", "Delayed (5d+)"))</f>
        <v>Standard (3-4d)</v>
      </c>
      <c r="AE4205">
        <v>3</v>
      </c>
      <c r="AF4205">
        <v>0</v>
      </c>
    </row>
    <row r="4206" spans="1:32" ht="15" x14ac:dyDescent="0.35">
      <c r="A4206" t="s">
        <v>1790</v>
      </c>
      <c r="B4206" s="1">
        <v>45952</v>
      </c>
      <c r="C4206">
        <f>YEAR(OrdersTable[[#This Row],[Order Date]])</f>
        <v>2025</v>
      </c>
      <c r="D4206" s="2">
        <f>DATE(YEAR(OrdersTable[[#This Row],[Order Date]]),MONTH(OrdersTable[[#This Row],[Order Date]]),1)</f>
        <v>45931</v>
      </c>
      <c r="E4206">
        <f>MONTH(OrdersTable[[#This Row],[Order Date]])</f>
        <v>10</v>
      </c>
      <c r="F4206" t="s">
        <v>1791</v>
      </c>
      <c r="G4206" t="str">
        <f>IF(OrdersTable[[#This Row],[Order Date]]=_xlfn.MINIFS(Order_Date, Customer_ID, OrdersTable[[#This Row],[Customer ID]]), "New", "Repeat")</f>
        <v>Repeat</v>
      </c>
      <c r="H4206" t="s">
        <v>37</v>
      </c>
      <c r="I4206" t="str">
        <f>INDEX(State!B:B,MATCH(OrdersTable[[#This Row],[State]],State!A:A,0))</f>
        <v>GJ</v>
      </c>
      <c r="J4206" t="str">
        <f>INDEX(State!C:C,MATCH(OrdersTable[[#This Row],[State Code]],State!B:B,0))</f>
        <v>West</v>
      </c>
      <c r="K4206" t="s">
        <v>38</v>
      </c>
      <c r="L4206" t="s">
        <v>65</v>
      </c>
      <c r="M4206" t="s">
        <v>29</v>
      </c>
      <c r="N4206" t="str">
        <f>INDEX(Products!B:B,MATCH(OrdersTable[[#This Row],[Product ID]],Products!A:A,0))</f>
        <v>Joggers</v>
      </c>
      <c r="O4206" t="str">
        <f>INDEX(Products!C:C,MATCH(OrdersTable[[#This Row],[Product ID]],Products!A:A,0))</f>
        <v>Apparel</v>
      </c>
      <c r="P4206">
        <v>1</v>
      </c>
      <c r="Q4206" s="5">
        <v>1199</v>
      </c>
      <c r="R4206" s="74">
        <v>0.15</v>
      </c>
      <c r="S4206" s="75">
        <f>OrdersTable[[#This Row],[Quantity]]*OrdersTable[[#This Row],[Unit Price]]</f>
        <v>1199</v>
      </c>
      <c r="T4206" s="5">
        <f>OrdersTable[[#This Row],[Gross Sale]]*OrdersTable[[#This Row],[Discount_Clean2]]</f>
        <v>179.85</v>
      </c>
      <c r="U4206" s="5">
        <f>OrdersTable[[#This Row],[Gross Sale]]-OrdersTable[[#This Row],[Discount Amount]]</f>
        <v>1019.15</v>
      </c>
      <c r="V4206" s="77">
        <f>INDEX(Products!E:E,MATCH(OrdersTable[[#This Row],[Product ID]],Products!A:A,0))</f>
        <v>492</v>
      </c>
      <c r="W4206" s="77">
        <f>OrdersTable[[#This Row],[Quantity]]*OrdersTable[[#This Row],[Unit Cost]]</f>
        <v>492</v>
      </c>
      <c r="X4206" s="77">
        <f>'Dropdown Lists'!$I$2*(1+OrdersTable[[#This Row],[Returned]])</f>
        <v>60</v>
      </c>
      <c r="Y4206" s="76">
        <f>OrdersTable[[#This Row],[Net Revenue]]-OrdersTable[[#This Row],[COGS]]-OrdersTable[[#This Row],[Shipping Cost]]</f>
        <v>467.15</v>
      </c>
      <c r="Z4206" s="78">
        <f>IFERROR(OrdersTable[[#This Row],[Profit]]/OrdersTable[[#This Row],[Net Revenue]],0)</f>
        <v>0.45837217288917231</v>
      </c>
      <c r="AA4206" t="s">
        <v>18</v>
      </c>
      <c r="AB4206" s="79">
        <v>45955</v>
      </c>
      <c r="AC4206">
        <f>OrdersTable[[#This Row],[Delivery Date]]-OrdersTable[[#This Row],[Order Date]]</f>
        <v>3</v>
      </c>
      <c r="AD4206" t="str">
        <f>IF(OrdersTable[[#This Row],[Delivery Days]]&lt;=2, "Express (≤2d)", IF(OrdersTable[[#This Row],[Delivery Days]]&lt;=4, "Standard (3-4d)", "Delayed (5d+)"))</f>
        <v>Standard (3-4d)</v>
      </c>
      <c r="AF4206">
        <v>0</v>
      </c>
    </row>
    <row r="4207" spans="1:32" ht="15" x14ac:dyDescent="0.35">
      <c r="A4207" t="s">
        <v>4298</v>
      </c>
      <c r="B4207" s="1">
        <v>45952</v>
      </c>
      <c r="C4207">
        <f>YEAR(OrdersTable[[#This Row],[Order Date]])</f>
        <v>2025</v>
      </c>
      <c r="D4207" s="2">
        <f>DATE(YEAR(OrdersTable[[#This Row],[Order Date]]),MONTH(OrdersTable[[#This Row],[Order Date]]),1)</f>
        <v>45931</v>
      </c>
      <c r="E4207">
        <f>MONTH(OrdersTable[[#This Row],[Order Date]])</f>
        <v>10</v>
      </c>
      <c r="F4207" t="s">
        <v>4299</v>
      </c>
      <c r="G4207" t="str">
        <f>IF(OrdersTable[[#This Row],[Order Date]]=_xlfn.MINIFS(Order_Date, Customer_ID, OrdersTable[[#This Row],[Customer ID]]), "New", "Repeat")</f>
        <v>Repeat</v>
      </c>
      <c r="H4207" t="s">
        <v>43</v>
      </c>
      <c r="I4207" t="str">
        <f>INDEX(State!B:B,MATCH(OrdersTable[[#This Row],[State]],State!A:A,0))</f>
        <v>MP</v>
      </c>
      <c r="J4207" t="str">
        <f>INDEX(State!C:C,MATCH(OrdersTable[[#This Row],[State Code]],State!B:B,0))</f>
        <v>West</v>
      </c>
      <c r="K4207" t="s">
        <v>44</v>
      </c>
      <c r="L4207" t="s">
        <v>16</v>
      </c>
      <c r="M4207" t="s">
        <v>576</v>
      </c>
      <c r="N4207" t="str">
        <f>INDEX(Products!B:B,MATCH(OrdersTable[[#This Row],[Product ID]],Products!A:A,0))</f>
        <v>Printed Saree</v>
      </c>
      <c r="O4207" t="str">
        <f>INDEX(Products!C:C,MATCH(OrdersTable[[#This Row],[Product ID]],Products!A:A,0))</f>
        <v>Apparel</v>
      </c>
      <c r="P4207">
        <v>1</v>
      </c>
      <c r="Q4207" s="5">
        <v>1999</v>
      </c>
      <c r="R4207" s="74">
        <v>0.25</v>
      </c>
      <c r="S4207" s="75">
        <f>OrdersTable[[#This Row],[Quantity]]*OrdersTable[[#This Row],[Unit Price]]</f>
        <v>1999</v>
      </c>
      <c r="T4207" s="5">
        <f>OrdersTable[[#This Row],[Gross Sale]]*OrdersTable[[#This Row],[Discount_Clean2]]</f>
        <v>499.75</v>
      </c>
      <c r="U4207" s="5">
        <f>OrdersTable[[#This Row],[Gross Sale]]-OrdersTable[[#This Row],[Discount Amount]]</f>
        <v>1499.25</v>
      </c>
      <c r="V4207" s="77">
        <f>INDEX(Products!E:E,MATCH(OrdersTable[[#This Row],[Product ID]],Products!A:A,0))</f>
        <v>880</v>
      </c>
      <c r="W4207" s="77">
        <f>OrdersTable[[#This Row],[Quantity]]*OrdersTable[[#This Row],[Unit Cost]]</f>
        <v>880</v>
      </c>
      <c r="X4207" s="77">
        <f>'Dropdown Lists'!$I$2*(1+OrdersTable[[#This Row],[Returned]])</f>
        <v>60</v>
      </c>
      <c r="Y4207" s="76">
        <f>OrdersTable[[#This Row],[Net Revenue]]-OrdersTable[[#This Row],[COGS]]-OrdersTable[[#This Row],[Shipping Cost]]</f>
        <v>559.25</v>
      </c>
      <c r="Z4207" s="78">
        <f>IFERROR(OrdersTable[[#This Row],[Profit]]/OrdersTable[[#This Row],[Net Revenue]],0)</f>
        <v>0.37301984325496079</v>
      </c>
      <c r="AA4207" t="s">
        <v>4074</v>
      </c>
      <c r="AB4207" s="79">
        <v>45956</v>
      </c>
      <c r="AC4207">
        <f>OrdersTable[[#This Row],[Delivery Date]]-OrdersTable[[#This Row],[Order Date]]</f>
        <v>4</v>
      </c>
      <c r="AD4207" t="str">
        <f>IF(OrdersTable[[#This Row],[Delivery Days]]&lt;=2, "Express (≤2d)", IF(OrdersTable[[#This Row],[Delivery Days]]&lt;=4, "Standard (3-4d)", "Delayed (5d+)"))</f>
        <v>Standard (3-4d)</v>
      </c>
      <c r="AF4207">
        <v>0</v>
      </c>
    </row>
    <row r="4208" spans="1:32" ht="15" x14ac:dyDescent="0.35">
      <c r="A4208" t="s">
        <v>2517</v>
      </c>
      <c r="B4208" s="1">
        <v>45952</v>
      </c>
      <c r="C4208">
        <f>YEAR(OrdersTable[[#This Row],[Order Date]])</f>
        <v>2025</v>
      </c>
      <c r="D4208" s="2">
        <f>DATE(YEAR(OrdersTable[[#This Row],[Order Date]]),MONTH(OrdersTable[[#This Row],[Order Date]]),1)</f>
        <v>45931</v>
      </c>
      <c r="E4208">
        <f>MONTH(OrdersTable[[#This Row],[Order Date]])</f>
        <v>10</v>
      </c>
      <c r="F4208" t="s">
        <v>1313</v>
      </c>
      <c r="G4208" t="str">
        <f>IF(OrdersTable[[#This Row],[Order Date]]=_xlfn.MINIFS(Order_Date, Customer_ID, OrdersTable[[#This Row],[Customer ID]]), "New", "Repeat")</f>
        <v>Repeat</v>
      </c>
      <c r="H4208" t="s">
        <v>27</v>
      </c>
      <c r="I4208" t="str">
        <f>INDEX(State!B:B,MATCH(OrdersTable[[#This Row],[State]],State!A:A,0))</f>
        <v>WB</v>
      </c>
      <c r="J4208" t="str">
        <f>INDEX(State!C:C,MATCH(OrdersTable[[#This Row],[State Code]],State!B:B,0))</f>
        <v>East</v>
      </c>
      <c r="K4208" t="s">
        <v>28</v>
      </c>
      <c r="L4208" t="s">
        <v>23</v>
      </c>
      <c r="M4208" t="s">
        <v>228</v>
      </c>
      <c r="N4208" t="str">
        <f>INDEX(Products!B:B,MATCH(OrdersTable[[#This Row],[Product ID]],Products!A:A,0))</f>
        <v>Fast Charger 33W</v>
      </c>
      <c r="O4208" t="str">
        <f>INDEX(Products!C:C,MATCH(OrdersTable[[#This Row],[Product ID]],Products!A:A,0))</f>
        <v>Electronics</v>
      </c>
      <c r="P4208">
        <v>1</v>
      </c>
      <c r="Q4208" s="5">
        <v>899</v>
      </c>
      <c r="R4208" s="74">
        <v>0.2</v>
      </c>
      <c r="S4208" s="75">
        <f>OrdersTable[[#This Row],[Quantity]]*OrdersTable[[#This Row],[Unit Price]]</f>
        <v>899</v>
      </c>
      <c r="T4208" s="5">
        <f>OrdersTable[[#This Row],[Gross Sale]]*OrdersTable[[#This Row],[Discount_Clean2]]</f>
        <v>179.8</v>
      </c>
      <c r="U4208" s="5">
        <f>OrdersTable[[#This Row],[Gross Sale]]-OrdersTable[[#This Row],[Discount Amount]]</f>
        <v>719.2</v>
      </c>
      <c r="V4208" s="77">
        <f>INDEX(Products!E:E,MATCH(OrdersTable[[#This Row],[Product ID]],Products!A:A,0))</f>
        <v>494</v>
      </c>
      <c r="W4208" s="77">
        <f>OrdersTable[[#This Row],[Quantity]]*OrdersTable[[#This Row],[Unit Cost]]</f>
        <v>494</v>
      </c>
      <c r="X4208" s="77">
        <f>'Dropdown Lists'!$I$2*(1+OrdersTable[[#This Row],[Returned]])</f>
        <v>60</v>
      </c>
      <c r="Y4208" s="76">
        <f>OrdersTable[[#This Row],[Net Revenue]]-OrdersTable[[#This Row],[COGS]]-OrdersTable[[#This Row],[Shipping Cost]]</f>
        <v>165.20000000000005</v>
      </c>
      <c r="Z4208" s="78">
        <f>IFERROR(OrdersTable[[#This Row],[Profit]]/OrdersTable[[#This Row],[Net Revenue]],0)</f>
        <v>0.22969966629588437</v>
      </c>
      <c r="AA4208" t="s">
        <v>18</v>
      </c>
      <c r="AB4208" s="79">
        <v>45958</v>
      </c>
      <c r="AC4208">
        <f>OrdersTable[[#This Row],[Delivery Date]]-OrdersTable[[#This Row],[Order Date]]</f>
        <v>6</v>
      </c>
      <c r="AD4208" t="str">
        <f>IF(OrdersTable[[#This Row],[Delivery Days]]&lt;=2, "Express (≤2d)", IF(OrdersTable[[#This Row],[Delivery Days]]&lt;=4, "Standard (3-4d)", "Delayed (5d+)"))</f>
        <v>Delayed (5d+)</v>
      </c>
      <c r="AE4208">
        <v>2</v>
      </c>
      <c r="AF4208">
        <v>0</v>
      </c>
    </row>
    <row r="4209" spans="1:32" ht="15" x14ac:dyDescent="0.35">
      <c r="A4209" t="s">
        <v>3480</v>
      </c>
      <c r="B4209" s="1">
        <v>45952</v>
      </c>
      <c r="C4209">
        <f>YEAR(OrdersTable[[#This Row],[Order Date]])</f>
        <v>2025</v>
      </c>
      <c r="D4209" s="2">
        <f>DATE(YEAR(OrdersTable[[#This Row],[Order Date]]),MONTH(OrdersTable[[#This Row],[Order Date]]),1)</f>
        <v>45931</v>
      </c>
      <c r="E4209">
        <f>MONTH(OrdersTable[[#This Row],[Order Date]])</f>
        <v>10</v>
      </c>
      <c r="F4209" t="s">
        <v>3481</v>
      </c>
      <c r="G4209" t="str">
        <f>IF(OrdersTable[[#This Row],[Order Date]]=_xlfn.MINIFS(Order_Date, Customer_ID, OrdersTable[[#This Row],[Customer ID]]), "New", "Repeat")</f>
        <v>New</v>
      </c>
      <c r="H4209" t="s">
        <v>27</v>
      </c>
      <c r="I4209" t="str">
        <f>INDEX(State!B:B,MATCH(OrdersTable[[#This Row],[State]],State!A:A,0))</f>
        <v>WB</v>
      </c>
      <c r="J4209" t="str">
        <f>INDEX(State!C:C,MATCH(OrdersTable[[#This Row],[State Code]],State!B:B,0))</f>
        <v>East</v>
      </c>
      <c r="K4209" t="s">
        <v>28</v>
      </c>
      <c r="L4209" t="s">
        <v>65</v>
      </c>
      <c r="M4209" t="s">
        <v>148</v>
      </c>
      <c r="N4209" t="str">
        <f>INDEX(Products!B:B,MATCH(OrdersTable[[#This Row],[Product ID]],Products!A:A,0))</f>
        <v>Smartwatch Strap</v>
      </c>
      <c r="O4209" t="str">
        <f>INDEX(Products!C:C,MATCH(OrdersTable[[#This Row],[Product ID]],Products!A:A,0))</f>
        <v>Electronics</v>
      </c>
      <c r="P4209">
        <v>1</v>
      </c>
      <c r="Q4209" s="5">
        <v>499</v>
      </c>
      <c r="R4209" s="74">
        <v>0.25</v>
      </c>
      <c r="S4209" s="75">
        <f>OrdersTable[[#This Row],[Quantity]]*OrdersTable[[#This Row],[Unit Price]]</f>
        <v>499</v>
      </c>
      <c r="T4209" s="5">
        <f>OrdersTable[[#This Row],[Gross Sale]]*OrdersTable[[#This Row],[Discount_Clean2]]</f>
        <v>124.75</v>
      </c>
      <c r="U4209" s="5">
        <f>OrdersTable[[#This Row],[Gross Sale]]-OrdersTable[[#This Row],[Discount Amount]]</f>
        <v>374.25</v>
      </c>
      <c r="V4209" s="77">
        <f>INDEX(Products!E:E,MATCH(OrdersTable[[#This Row],[Product ID]],Products!A:A,0))</f>
        <v>200</v>
      </c>
      <c r="W4209" s="77">
        <f>OrdersTable[[#This Row],[Quantity]]*OrdersTable[[#This Row],[Unit Cost]]</f>
        <v>200</v>
      </c>
      <c r="X4209" s="77">
        <f>'Dropdown Lists'!$I$2*(1+OrdersTable[[#This Row],[Returned]])</f>
        <v>60</v>
      </c>
      <c r="Y4209" s="76">
        <f>OrdersTable[[#This Row],[Net Revenue]]-OrdersTable[[#This Row],[COGS]]-OrdersTable[[#This Row],[Shipping Cost]]</f>
        <v>114.25</v>
      </c>
      <c r="Z4209" s="78">
        <f>IFERROR(OrdersTable[[#This Row],[Profit]]/OrdersTable[[#This Row],[Net Revenue]],0)</f>
        <v>0.30527722110888444</v>
      </c>
      <c r="AA4209" t="s">
        <v>2522</v>
      </c>
      <c r="AB4209" s="79">
        <v>45956</v>
      </c>
      <c r="AC4209">
        <f>OrdersTable[[#This Row],[Delivery Date]]-OrdersTable[[#This Row],[Order Date]]</f>
        <v>4</v>
      </c>
      <c r="AD4209" t="str">
        <f>IF(OrdersTable[[#This Row],[Delivery Days]]&lt;=2, "Express (≤2d)", IF(OrdersTable[[#This Row],[Delivery Days]]&lt;=4, "Standard (3-4d)", "Delayed (5d+)"))</f>
        <v>Standard (3-4d)</v>
      </c>
      <c r="AE4209">
        <v>4</v>
      </c>
      <c r="AF4209">
        <v>0</v>
      </c>
    </row>
    <row r="4210" spans="1:32" ht="15" x14ac:dyDescent="0.35">
      <c r="A4210" t="s">
        <v>2847</v>
      </c>
      <c r="B4210" s="1">
        <v>45952</v>
      </c>
      <c r="C4210">
        <f>YEAR(OrdersTable[[#This Row],[Order Date]])</f>
        <v>2025</v>
      </c>
      <c r="D4210" s="2">
        <f>DATE(YEAR(OrdersTable[[#This Row],[Order Date]]),MONTH(OrdersTable[[#This Row],[Order Date]]),1)</f>
        <v>45931</v>
      </c>
      <c r="E4210">
        <f>MONTH(OrdersTable[[#This Row],[Order Date]])</f>
        <v>10</v>
      </c>
      <c r="F4210" t="s">
        <v>933</v>
      </c>
      <c r="G4210" t="str">
        <f>IF(OrdersTable[[#This Row],[Order Date]]=_xlfn.MINIFS(Order_Date, Customer_ID, OrdersTable[[#This Row],[Customer ID]]), "New", "Repeat")</f>
        <v>Repeat</v>
      </c>
      <c r="H4210" t="s">
        <v>275</v>
      </c>
      <c r="I4210" t="str">
        <f>INDEX(State!B:B,MATCH(OrdersTable[[#This Row],[State]],State!A:A,0))</f>
        <v>AP</v>
      </c>
      <c r="J4210" t="str">
        <f>INDEX(State!C:C,MATCH(OrdersTable[[#This Row],[State Code]],State!B:B,0))</f>
        <v>South</v>
      </c>
      <c r="K4210" t="s">
        <v>491</v>
      </c>
      <c r="L4210" t="s">
        <v>39</v>
      </c>
      <c r="M4210" t="s">
        <v>92</v>
      </c>
      <c r="N4210" t="str">
        <f>INDEX(Products!B:B,MATCH(OrdersTable[[#This Row],[Product ID]],Products!A:A,0))</f>
        <v>Kolhapuri Sandals</v>
      </c>
      <c r="O4210" t="str">
        <f>INDEX(Products!C:C,MATCH(OrdersTable[[#This Row],[Product ID]],Products!A:A,0))</f>
        <v>Footwear</v>
      </c>
      <c r="P4210">
        <v>1</v>
      </c>
      <c r="Q4210" s="5">
        <v>999</v>
      </c>
      <c r="R4210" s="74">
        <v>0.1</v>
      </c>
      <c r="S4210" s="75">
        <f>OrdersTable[[#This Row],[Quantity]]*OrdersTable[[#This Row],[Unit Price]]</f>
        <v>999</v>
      </c>
      <c r="T4210" s="5">
        <f>OrdersTable[[#This Row],[Gross Sale]]*OrdersTable[[#This Row],[Discount_Clean2]]</f>
        <v>99.9</v>
      </c>
      <c r="U4210" s="5">
        <f>OrdersTable[[#This Row],[Gross Sale]]-OrdersTable[[#This Row],[Discount Amount]]</f>
        <v>899.1</v>
      </c>
      <c r="V4210" s="77">
        <f>INDEX(Products!E:E,MATCH(OrdersTable[[#This Row],[Product ID]],Products!A:A,0))</f>
        <v>400</v>
      </c>
      <c r="W4210" s="77">
        <f>OrdersTable[[#This Row],[Quantity]]*OrdersTable[[#This Row],[Unit Cost]]</f>
        <v>400</v>
      </c>
      <c r="X4210" s="77">
        <f>'Dropdown Lists'!$I$2*(1+OrdersTable[[#This Row],[Returned]])</f>
        <v>60</v>
      </c>
      <c r="Y4210" s="76">
        <f>OrdersTable[[#This Row],[Net Revenue]]-OrdersTable[[#This Row],[COGS]]-OrdersTable[[#This Row],[Shipping Cost]]</f>
        <v>439.1</v>
      </c>
      <c r="Z4210" s="78">
        <f>IFERROR(OrdersTable[[#This Row],[Profit]]/OrdersTable[[#This Row],[Net Revenue]],0)</f>
        <v>0.48837726615504395</v>
      </c>
      <c r="AA4210" t="s">
        <v>2522</v>
      </c>
      <c r="AB4210" s="79">
        <v>45957</v>
      </c>
      <c r="AC4210">
        <f>OrdersTable[[#This Row],[Delivery Date]]-OrdersTable[[#This Row],[Order Date]]</f>
        <v>5</v>
      </c>
      <c r="AD4210" t="str">
        <f>IF(OrdersTable[[#This Row],[Delivery Days]]&lt;=2, "Express (≤2d)", IF(OrdersTable[[#This Row],[Delivery Days]]&lt;=4, "Standard (3-4d)", "Delayed (5d+)"))</f>
        <v>Delayed (5d+)</v>
      </c>
      <c r="AE4210">
        <v>3</v>
      </c>
      <c r="AF4210">
        <v>0</v>
      </c>
    </row>
    <row r="4211" spans="1:32" ht="15" x14ac:dyDescent="0.35">
      <c r="A4211" t="s">
        <v>2848</v>
      </c>
      <c r="B4211" s="1">
        <v>45952</v>
      </c>
      <c r="C4211">
        <f>YEAR(OrdersTable[[#This Row],[Order Date]])</f>
        <v>2025</v>
      </c>
      <c r="D4211" s="2">
        <f>DATE(YEAR(OrdersTable[[#This Row],[Order Date]]),MONTH(OrdersTable[[#This Row],[Order Date]]),1)</f>
        <v>45931</v>
      </c>
      <c r="E4211">
        <f>MONTH(OrdersTable[[#This Row],[Order Date]])</f>
        <v>10</v>
      </c>
      <c r="F4211" t="s">
        <v>2849</v>
      </c>
      <c r="G4211" t="str">
        <f>IF(OrdersTable[[#This Row],[Order Date]]=_xlfn.MINIFS(Order_Date, Customer_ID, OrdersTable[[#This Row],[Customer ID]]), "New", "Repeat")</f>
        <v>Repeat</v>
      </c>
      <c r="H4211" t="s">
        <v>59</v>
      </c>
      <c r="I4211" t="str">
        <f>INDEX(State!B:B,MATCH(OrdersTable[[#This Row],[State]],State!A:A,0))</f>
        <v>TN</v>
      </c>
      <c r="J4211" t="str">
        <f>INDEX(State!C:C,MATCH(OrdersTable[[#This Row],[State Code]],State!B:B,0))</f>
        <v>South</v>
      </c>
      <c r="K4211" t="s">
        <v>60</v>
      </c>
      <c r="L4211" t="s">
        <v>39</v>
      </c>
      <c r="M4211" t="s">
        <v>148</v>
      </c>
      <c r="N4211" t="str">
        <f>INDEX(Products!B:B,MATCH(OrdersTable[[#This Row],[Product ID]],Products!A:A,0))</f>
        <v>Smartwatch Strap</v>
      </c>
      <c r="O4211" t="str">
        <f>INDEX(Products!C:C,MATCH(OrdersTable[[#This Row],[Product ID]],Products!A:A,0))</f>
        <v>Electronics</v>
      </c>
      <c r="P4211">
        <v>1</v>
      </c>
      <c r="Q4211" s="5">
        <v>499</v>
      </c>
      <c r="R4211" s="74">
        <v>0.25</v>
      </c>
      <c r="S4211" s="75">
        <f>OrdersTable[[#This Row],[Quantity]]*OrdersTable[[#This Row],[Unit Price]]</f>
        <v>499</v>
      </c>
      <c r="T4211" s="5">
        <f>OrdersTable[[#This Row],[Gross Sale]]*OrdersTable[[#This Row],[Discount_Clean2]]</f>
        <v>124.75</v>
      </c>
      <c r="U4211" s="5">
        <f>OrdersTable[[#This Row],[Gross Sale]]-OrdersTable[[#This Row],[Discount Amount]]</f>
        <v>374.25</v>
      </c>
      <c r="V4211" s="77">
        <f>INDEX(Products!E:E,MATCH(OrdersTable[[#This Row],[Product ID]],Products!A:A,0))</f>
        <v>200</v>
      </c>
      <c r="W4211" s="77">
        <f>OrdersTable[[#This Row],[Quantity]]*OrdersTable[[#This Row],[Unit Cost]]</f>
        <v>200</v>
      </c>
      <c r="X4211" s="77">
        <f>'Dropdown Lists'!$I$2*(1+OrdersTable[[#This Row],[Returned]])</f>
        <v>60</v>
      </c>
      <c r="Y4211" s="76">
        <f>OrdersTable[[#This Row],[Net Revenue]]-OrdersTable[[#This Row],[COGS]]-OrdersTable[[#This Row],[Shipping Cost]]</f>
        <v>114.25</v>
      </c>
      <c r="Z4211" s="78">
        <f>IFERROR(OrdersTable[[#This Row],[Profit]]/OrdersTable[[#This Row],[Net Revenue]],0)</f>
        <v>0.30527722110888444</v>
      </c>
      <c r="AA4211" t="s">
        <v>2522</v>
      </c>
      <c r="AB4211" s="79">
        <v>45955</v>
      </c>
      <c r="AC4211">
        <f>OrdersTable[[#This Row],[Delivery Date]]-OrdersTable[[#This Row],[Order Date]]</f>
        <v>3</v>
      </c>
      <c r="AD4211" t="str">
        <f>IF(OrdersTable[[#This Row],[Delivery Days]]&lt;=2, "Express (≤2d)", IF(OrdersTable[[#This Row],[Delivery Days]]&lt;=4, "Standard (3-4d)", "Delayed (5d+)"))</f>
        <v>Standard (3-4d)</v>
      </c>
      <c r="AE4211">
        <v>3</v>
      </c>
      <c r="AF4211">
        <v>0</v>
      </c>
    </row>
    <row r="4212" spans="1:32" ht="15" x14ac:dyDescent="0.35">
      <c r="A4212" t="s">
        <v>6413</v>
      </c>
      <c r="B4212" s="1">
        <v>45953</v>
      </c>
      <c r="C4212">
        <f>YEAR(OrdersTable[[#This Row],[Order Date]])</f>
        <v>2025</v>
      </c>
      <c r="D4212" s="2">
        <f>DATE(YEAR(OrdersTable[[#This Row],[Order Date]]),MONTH(OrdersTable[[#This Row],[Order Date]]),1)</f>
        <v>45931</v>
      </c>
      <c r="E4212">
        <f>MONTH(OrdersTable[[#This Row],[Order Date]])</f>
        <v>10</v>
      </c>
      <c r="F4212" t="s">
        <v>2088</v>
      </c>
      <c r="G4212" t="str">
        <f>IF(OrdersTable[[#This Row],[Order Date]]=_xlfn.MINIFS(Order_Date, Customer_ID, OrdersTable[[#This Row],[Customer ID]]), "New", "Repeat")</f>
        <v>Repeat</v>
      </c>
      <c r="H4212" t="s">
        <v>21</v>
      </c>
      <c r="I4212" t="str">
        <f>INDEX(State!B:B,MATCH(OrdersTable[[#This Row],[State]],State!A:A,0))</f>
        <v>PB</v>
      </c>
      <c r="J4212" t="str">
        <f>INDEX(State!C:C,MATCH(OrdersTable[[#This Row],[State Code]],State!B:B,0))</f>
        <v>North</v>
      </c>
      <c r="K4212" t="s">
        <v>22</v>
      </c>
      <c r="L4212" t="s">
        <v>39</v>
      </c>
      <c r="M4212" t="s">
        <v>34</v>
      </c>
      <c r="N4212" t="str">
        <f>INDEX(Products!B:B,MATCH(OrdersTable[[#This Row],[Product ID]],Products!A:A,0))</f>
        <v>Flip Flops</v>
      </c>
      <c r="O4212" t="str">
        <f>INDEX(Products!C:C,MATCH(OrdersTable[[#This Row],[Product ID]],Products!A:A,0))</f>
        <v>Footwear</v>
      </c>
      <c r="P4212">
        <v>2</v>
      </c>
      <c r="Q4212" s="5">
        <v>399</v>
      </c>
      <c r="R4212" s="74">
        <v>0.2</v>
      </c>
      <c r="S4212" s="75">
        <f>OrdersTable[[#This Row],[Quantity]]*OrdersTable[[#This Row],[Unit Price]]</f>
        <v>798</v>
      </c>
      <c r="T4212" s="5">
        <f>OrdersTable[[#This Row],[Gross Sale]]*OrdersTable[[#This Row],[Discount_Clean2]]</f>
        <v>159.60000000000002</v>
      </c>
      <c r="U4212" s="5">
        <f>OrdersTable[[#This Row],[Gross Sale]]-OrdersTable[[#This Row],[Discount Amount]]</f>
        <v>638.4</v>
      </c>
      <c r="V4212" s="77">
        <f>INDEX(Products!E:E,MATCH(OrdersTable[[#This Row],[Product ID]],Products!A:A,0))</f>
        <v>152</v>
      </c>
      <c r="W4212" s="77">
        <f>OrdersTable[[#This Row],[Quantity]]*OrdersTable[[#This Row],[Unit Cost]]</f>
        <v>304</v>
      </c>
      <c r="X4212" s="77">
        <f>'Dropdown Lists'!$I$2*(1+OrdersTable[[#This Row],[Returned]])</f>
        <v>120</v>
      </c>
      <c r="Y4212" s="76">
        <f>OrdersTable[[#This Row],[Net Revenue]]-OrdersTable[[#This Row],[COGS]]-OrdersTable[[#This Row],[Shipping Cost]]</f>
        <v>214.39999999999998</v>
      </c>
      <c r="Z4212" s="78">
        <f>IFERROR(OrdersTable[[#This Row],[Profit]]/OrdersTable[[#This Row],[Net Revenue]],0)</f>
        <v>0.33583959899749372</v>
      </c>
      <c r="AA4212" t="s">
        <v>18</v>
      </c>
      <c r="AB4212" s="79">
        <v>45957</v>
      </c>
      <c r="AC4212">
        <f>OrdersTable[[#This Row],[Delivery Date]]-OrdersTable[[#This Row],[Order Date]]</f>
        <v>4</v>
      </c>
      <c r="AD4212" t="str">
        <f>IF(OrdersTable[[#This Row],[Delivery Days]]&lt;=2, "Express (≤2d)", IF(OrdersTable[[#This Row],[Delivery Days]]&lt;=4, "Standard (3-4d)", "Delayed (5d+)"))</f>
        <v>Standard (3-4d)</v>
      </c>
      <c r="AE4212">
        <v>4</v>
      </c>
      <c r="AF4212">
        <v>1</v>
      </c>
    </row>
    <row r="4213" spans="1:32" ht="15" x14ac:dyDescent="0.35">
      <c r="A4213" t="s">
        <v>2470</v>
      </c>
      <c r="B4213" s="1">
        <v>45953</v>
      </c>
      <c r="C4213">
        <f>YEAR(OrdersTable[[#This Row],[Order Date]])</f>
        <v>2025</v>
      </c>
      <c r="D4213" s="2">
        <f>DATE(YEAR(OrdersTable[[#This Row],[Order Date]]),MONTH(OrdersTable[[#This Row],[Order Date]]),1)</f>
        <v>45931</v>
      </c>
      <c r="E4213">
        <f>MONTH(OrdersTable[[#This Row],[Order Date]])</f>
        <v>10</v>
      </c>
      <c r="F4213" t="s">
        <v>2471</v>
      </c>
      <c r="G4213" t="str">
        <f>IF(OrdersTable[[#This Row],[Order Date]]=_xlfn.MINIFS(Order_Date, Customer_ID, OrdersTable[[#This Row],[Customer ID]]), "New", "Repeat")</f>
        <v>New</v>
      </c>
      <c r="H4213" t="s">
        <v>128</v>
      </c>
      <c r="I4213" t="str">
        <f>INDEX(State!B:B,MATCH(OrdersTable[[#This Row],[State]],State!A:A,0))</f>
        <v>DL</v>
      </c>
      <c r="J4213" t="str">
        <f>INDEX(State!C:C,MATCH(OrdersTable[[#This Row],[State Code]],State!B:B,0))</f>
        <v>North</v>
      </c>
      <c r="K4213" t="s">
        <v>129</v>
      </c>
      <c r="L4213" t="s">
        <v>65</v>
      </c>
      <c r="M4213" t="s">
        <v>148</v>
      </c>
      <c r="N4213" t="str">
        <f>INDEX(Products!B:B,MATCH(OrdersTable[[#This Row],[Product ID]],Products!A:A,0))</f>
        <v>Smartwatch Strap</v>
      </c>
      <c r="O4213" t="str">
        <f>INDEX(Products!C:C,MATCH(OrdersTable[[#This Row],[Product ID]],Products!A:A,0))</f>
        <v>Electronics</v>
      </c>
      <c r="P4213">
        <v>1</v>
      </c>
      <c r="Q4213" s="5">
        <v>499</v>
      </c>
      <c r="R4213" s="74">
        <v>0.15</v>
      </c>
      <c r="S4213" s="75">
        <f>OrdersTable[[#This Row],[Quantity]]*OrdersTable[[#This Row],[Unit Price]]</f>
        <v>499</v>
      </c>
      <c r="T4213" s="5">
        <f>OrdersTable[[#This Row],[Gross Sale]]*OrdersTable[[#This Row],[Discount_Clean2]]</f>
        <v>74.849999999999994</v>
      </c>
      <c r="U4213" s="5">
        <f>OrdersTable[[#This Row],[Gross Sale]]-OrdersTable[[#This Row],[Discount Amount]]</f>
        <v>424.15</v>
      </c>
      <c r="V4213" s="77">
        <f>INDEX(Products!E:E,MATCH(OrdersTable[[#This Row],[Product ID]],Products!A:A,0))</f>
        <v>200</v>
      </c>
      <c r="W4213" s="77">
        <f>OrdersTable[[#This Row],[Quantity]]*OrdersTable[[#This Row],[Unit Cost]]</f>
        <v>200</v>
      </c>
      <c r="X4213" s="77">
        <f>'Dropdown Lists'!$I$2*(1+OrdersTable[[#This Row],[Returned]])</f>
        <v>60</v>
      </c>
      <c r="Y4213" s="76">
        <f>OrdersTable[[#This Row],[Net Revenue]]-OrdersTable[[#This Row],[COGS]]-OrdersTable[[#This Row],[Shipping Cost]]</f>
        <v>164.14999999999998</v>
      </c>
      <c r="Z4213" s="78">
        <f>IFERROR(OrdersTable[[#This Row],[Profit]]/OrdersTable[[#This Row],[Net Revenue]],0)</f>
        <v>0.38700931274313327</v>
      </c>
      <c r="AA4213" t="s">
        <v>18</v>
      </c>
      <c r="AB4213" s="79">
        <v>45954</v>
      </c>
      <c r="AC4213">
        <f>OrdersTable[[#This Row],[Delivery Date]]-OrdersTable[[#This Row],[Order Date]]</f>
        <v>1</v>
      </c>
      <c r="AD4213" t="str">
        <f>IF(OrdersTable[[#This Row],[Delivery Days]]&lt;=2, "Express (≤2d)", IF(OrdersTable[[#This Row],[Delivery Days]]&lt;=4, "Standard (3-4d)", "Delayed (5d+)"))</f>
        <v>Express (≤2d)</v>
      </c>
      <c r="AE4213">
        <v>5</v>
      </c>
      <c r="AF4213">
        <v>0</v>
      </c>
    </row>
    <row r="4214" spans="1:32" ht="15" x14ac:dyDescent="0.35">
      <c r="A4214" t="s">
        <v>5248</v>
      </c>
      <c r="B4214" s="1">
        <v>45953</v>
      </c>
      <c r="C4214">
        <f>YEAR(OrdersTable[[#This Row],[Order Date]])</f>
        <v>2025</v>
      </c>
      <c r="D4214" s="2">
        <f>DATE(YEAR(OrdersTable[[#This Row],[Order Date]]),MONTH(OrdersTable[[#This Row],[Order Date]]),1)</f>
        <v>45931</v>
      </c>
      <c r="E4214">
        <f>MONTH(OrdersTable[[#This Row],[Order Date]])</f>
        <v>10</v>
      </c>
      <c r="F4214" t="s">
        <v>3485</v>
      </c>
      <c r="G4214" t="str">
        <f>IF(OrdersTable[[#This Row],[Order Date]]=_xlfn.MINIFS(Order_Date, Customer_ID, OrdersTable[[#This Row],[Customer ID]]), "New", "Repeat")</f>
        <v>Repeat</v>
      </c>
      <c r="H4214" t="s">
        <v>128</v>
      </c>
      <c r="I4214" t="str">
        <f>INDEX(State!B:B,MATCH(OrdersTable[[#This Row],[State]],State!A:A,0))</f>
        <v>DL</v>
      </c>
      <c r="J4214" t="str">
        <f>INDEX(State!C:C,MATCH(OrdersTable[[#This Row],[State Code]],State!B:B,0))</f>
        <v>North</v>
      </c>
      <c r="K4214" t="s">
        <v>129</v>
      </c>
      <c r="L4214" t="s">
        <v>39</v>
      </c>
      <c r="M4214" t="s">
        <v>148</v>
      </c>
      <c r="N4214" t="str">
        <f>INDEX(Products!B:B,MATCH(OrdersTable[[#This Row],[Product ID]],Products!A:A,0))</f>
        <v>Smartwatch Strap</v>
      </c>
      <c r="O4214" t="str">
        <f>INDEX(Products!C:C,MATCH(OrdersTable[[#This Row],[Product ID]],Products!A:A,0))</f>
        <v>Electronics</v>
      </c>
      <c r="P4214">
        <v>2</v>
      </c>
      <c r="Q4214" s="5">
        <v>499</v>
      </c>
      <c r="R4214" s="74">
        <v>0.1</v>
      </c>
      <c r="S4214" s="75">
        <f>OrdersTable[[#This Row],[Quantity]]*OrdersTable[[#This Row],[Unit Price]]</f>
        <v>998</v>
      </c>
      <c r="T4214" s="5">
        <f>OrdersTable[[#This Row],[Gross Sale]]*OrdersTable[[#This Row],[Discount_Clean2]]</f>
        <v>99.800000000000011</v>
      </c>
      <c r="U4214" s="5">
        <f>OrdersTable[[#This Row],[Gross Sale]]-OrdersTable[[#This Row],[Discount Amount]]</f>
        <v>898.2</v>
      </c>
      <c r="V4214" s="77">
        <f>INDEX(Products!E:E,MATCH(OrdersTable[[#This Row],[Product ID]],Products!A:A,0))</f>
        <v>200</v>
      </c>
      <c r="W4214" s="77">
        <f>OrdersTable[[#This Row],[Quantity]]*OrdersTable[[#This Row],[Unit Cost]]</f>
        <v>400</v>
      </c>
      <c r="X4214" s="77">
        <f>'Dropdown Lists'!$I$2*(1+OrdersTable[[#This Row],[Returned]])</f>
        <v>60</v>
      </c>
      <c r="Y4214" s="76">
        <f>OrdersTable[[#This Row],[Net Revenue]]-OrdersTable[[#This Row],[COGS]]-OrdersTable[[#This Row],[Shipping Cost]]</f>
        <v>438.20000000000005</v>
      </c>
      <c r="Z4214" s="78">
        <f>IFERROR(OrdersTable[[#This Row],[Profit]]/OrdersTable[[#This Row],[Net Revenue]],0)</f>
        <v>0.4878646181251392</v>
      </c>
      <c r="AA4214" t="s">
        <v>3495</v>
      </c>
      <c r="AB4214" s="79">
        <v>45955</v>
      </c>
      <c r="AC4214">
        <f>OrdersTable[[#This Row],[Delivery Date]]-OrdersTable[[#This Row],[Order Date]]</f>
        <v>2</v>
      </c>
      <c r="AD4214" t="str">
        <f>IF(OrdersTable[[#This Row],[Delivery Days]]&lt;=2, "Express (≤2d)", IF(OrdersTable[[#This Row],[Delivery Days]]&lt;=4, "Standard (3-4d)", "Delayed (5d+)"))</f>
        <v>Express (≤2d)</v>
      </c>
      <c r="AE4214">
        <v>3</v>
      </c>
      <c r="AF4214">
        <v>0</v>
      </c>
    </row>
    <row r="4215" spans="1:32" ht="15" x14ac:dyDescent="0.35">
      <c r="A4215" t="s">
        <v>3120</v>
      </c>
      <c r="B4215" s="1">
        <v>45953</v>
      </c>
      <c r="C4215">
        <f>YEAR(OrdersTable[[#This Row],[Order Date]])</f>
        <v>2025</v>
      </c>
      <c r="D4215" s="2">
        <f>DATE(YEAR(OrdersTable[[#This Row],[Order Date]]),MONTH(OrdersTable[[#This Row],[Order Date]]),1)</f>
        <v>45931</v>
      </c>
      <c r="E4215">
        <f>MONTH(OrdersTable[[#This Row],[Order Date]])</f>
        <v>10</v>
      </c>
      <c r="F4215" t="s">
        <v>2304</v>
      </c>
      <c r="G4215" t="str">
        <f>IF(OrdersTable[[#This Row],[Order Date]]=_xlfn.MINIFS(Order_Date, Customer_ID, OrdersTable[[#This Row],[Customer ID]]), "New", "Repeat")</f>
        <v>Repeat</v>
      </c>
      <c r="H4215" t="s">
        <v>76</v>
      </c>
      <c r="I4215" t="str">
        <f>INDEX(State!B:B,MATCH(OrdersTable[[#This Row],[State]],State!A:A,0))</f>
        <v>UP</v>
      </c>
      <c r="J4215" t="str">
        <f>INDEX(State!C:C,MATCH(OrdersTable[[#This Row],[State Code]],State!B:B,0))</f>
        <v>North</v>
      </c>
      <c r="K4215" t="s">
        <v>77</v>
      </c>
      <c r="L4215" t="s">
        <v>65</v>
      </c>
      <c r="M4215" t="s">
        <v>205</v>
      </c>
      <c r="N4215" t="str">
        <f>INDEX(Products!B:B,MATCH(OrdersTable[[#This Row],[Product ID]],Products!A:A,0))</f>
        <v>Running Shoes</v>
      </c>
      <c r="O4215" t="str">
        <f>INDEX(Products!C:C,MATCH(OrdersTable[[#This Row],[Product ID]],Products!A:A,0))</f>
        <v>Footwear</v>
      </c>
      <c r="P4215">
        <v>1</v>
      </c>
      <c r="Q4215" s="5">
        <v>2999</v>
      </c>
      <c r="R4215" s="74">
        <v>0.4</v>
      </c>
      <c r="S4215" s="75">
        <f>OrdersTable[[#This Row],[Quantity]]*OrdersTable[[#This Row],[Unit Price]]</f>
        <v>2999</v>
      </c>
      <c r="T4215" s="5">
        <f>OrdersTable[[#This Row],[Gross Sale]]*OrdersTable[[#This Row],[Discount_Clean2]]</f>
        <v>1199.6000000000001</v>
      </c>
      <c r="U4215" s="5">
        <f>OrdersTable[[#This Row],[Gross Sale]]-OrdersTable[[#This Row],[Discount Amount]]</f>
        <v>1799.3999999999999</v>
      </c>
      <c r="V4215" s="77">
        <f>INDEX(Products!E:E,MATCH(OrdersTable[[#This Row],[Product ID]],Products!A:A,0))</f>
        <v>1440</v>
      </c>
      <c r="W4215" s="77">
        <f>OrdersTable[[#This Row],[Quantity]]*OrdersTable[[#This Row],[Unit Cost]]</f>
        <v>1440</v>
      </c>
      <c r="X4215" s="77">
        <f>'Dropdown Lists'!$I$2*(1+OrdersTable[[#This Row],[Returned]])</f>
        <v>120</v>
      </c>
      <c r="Y4215" s="76">
        <f>OrdersTable[[#This Row],[Net Revenue]]-OrdersTable[[#This Row],[COGS]]-OrdersTable[[#This Row],[Shipping Cost]]</f>
        <v>239.39999999999986</v>
      </c>
      <c r="Z4215" s="78">
        <f>IFERROR(OrdersTable[[#This Row],[Profit]]/OrdersTable[[#This Row],[Net Revenue]],0)</f>
        <v>0.1330443481160386</v>
      </c>
      <c r="AA4215" t="s">
        <v>2522</v>
      </c>
      <c r="AB4215" s="79">
        <v>45957</v>
      </c>
      <c r="AC4215">
        <f>OrdersTable[[#This Row],[Delivery Date]]-OrdersTable[[#This Row],[Order Date]]</f>
        <v>4</v>
      </c>
      <c r="AD4215" t="str">
        <f>IF(OrdersTable[[#This Row],[Delivery Days]]&lt;=2, "Express (≤2d)", IF(OrdersTable[[#This Row],[Delivery Days]]&lt;=4, "Standard (3-4d)", "Delayed (5d+)"))</f>
        <v>Standard (3-4d)</v>
      </c>
      <c r="AF4215">
        <v>1</v>
      </c>
    </row>
    <row r="4216" spans="1:32" ht="15" x14ac:dyDescent="0.35">
      <c r="A4216" t="s">
        <v>5249</v>
      </c>
      <c r="B4216" s="1">
        <v>45953</v>
      </c>
      <c r="C4216">
        <f>YEAR(OrdersTable[[#This Row],[Order Date]])</f>
        <v>2025</v>
      </c>
      <c r="D4216" s="2">
        <f>DATE(YEAR(OrdersTable[[#This Row],[Order Date]]),MONTH(OrdersTable[[#This Row],[Order Date]]),1)</f>
        <v>45931</v>
      </c>
      <c r="E4216">
        <f>MONTH(OrdersTable[[#This Row],[Order Date]])</f>
        <v>10</v>
      </c>
      <c r="F4216" t="s">
        <v>5250</v>
      </c>
      <c r="G4216" t="str">
        <f>IF(OrdersTable[[#This Row],[Order Date]]=_xlfn.MINIFS(Order_Date, Customer_ID, OrdersTable[[#This Row],[Customer ID]]), "New", "Repeat")</f>
        <v>New</v>
      </c>
      <c r="H4216" t="s">
        <v>37</v>
      </c>
      <c r="I4216" t="str">
        <f>INDEX(State!B:B,MATCH(OrdersTable[[#This Row],[State]],State!A:A,0))</f>
        <v>GJ</v>
      </c>
      <c r="J4216" t="str">
        <f>INDEX(State!C:C,MATCH(OrdersTable[[#This Row],[State Code]],State!B:B,0))</f>
        <v>West</v>
      </c>
      <c r="K4216" t="s">
        <v>247</v>
      </c>
      <c r="L4216" t="s">
        <v>65</v>
      </c>
      <c r="M4216" t="s">
        <v>29</v>
      </c>
      <c r="N4216" t="str">
        <f>INDEX(Products!B:B,MATCH(OrdersTable[[#This Row],[Product ID]],Products!A:A,0))</f>
        <v>Joggers</v>
      </c>
      <c r="O4216" t="str">
        <f>INDEX(Products!C:C,MATCH(OrdersTable[[#This Row],[Product ID]],Products!A:A,0))</f>
        <v>Apparel</v>
      </c>
      <c r="P4216">
        <v>2</v>
      </c>
      <c r="Q4216" s="5">
        <v>1199</v>
      </c>
      <c r="R4216" s="74">
        <v>0.25</v>
      </c>
      <c r="S4216" s="75">
        <f>OrdersTable[[#This Row],[Quantity]]*OrdersTable[[#This Row],[Unit Price]]</f>
        <v>2398</v>
      </c>
      <c r="T4216" s="5">
        <f>OrdersTable[[#This Row],[Gross Sale]]*OrdersTable[[#This Row],[Discount_Clean2]]</f>
        <v>599.5</v>
      </c>
      <c r="U4216" s="5">
        <f>OrdersTable[[#This Row],[Gross Sale]]-OrdersTable[[#This Row],[Discount Amount]]</f>
        <v>1798.5</v>
      </c>
      <c r="V4216" s="77">
        <f>INDEX(Products!E:E,MATCH(OrdersTable[[#This Row],[Product ID]],Products!A:A,0))</f>
        <v>492</v>
      </c>
      <c r="W4216" s="77">
        <f>OrdersTable[[#This Row],[Quantity]]*OrdersTable[[#This Row],[Unit Cost]]</f>
        <v>984</v>
      </c>
      <c r="X4216" s="77">
        <f>'Dropdown Lists'!$I$2*(1+OrdersTable[[#This Row],[Returned]])</f>
        <v>60</v>
      </c>
      <c r="Y4216" s="76">
        <f>OrdersTable[[#This Row],[Net Revenue]]-OrdersTable[[#This Row],[COGS]]-OrdersTable[[#This Row],[Shipping Cost]]</f>
        <v>754.5</v>
      </c>
      <c r="Z4216" s="78">
        <f>IFERROR(OrdersTable[[#This Row],[Profit]]/OrdersTable[[#This Row],[Net Revenue]],0)</f>
        <v>0.41951626355296079</v>
      </c>
      <c r="AA4216" t="s">
        <v>3495</v>
      </c>
      <c r="AB4216" s="79">
        <v>45956</v>
      </c>
      <c r="AC4216">
        <f>OrdersTable[[#This Row],[Delivery Date]]-OrdersTable[[#This Row],[Order Date]]</f>
        <v>3</v>
      </c>
      <c r="AD4216" t="str">
        <f>IF(OrdersTable[[#This Row],[Delivery Days]]&lt;=2, "Express (≤2d)", IF(OrdersTable[[#This Row],[Delivery Days]]&lt;=4, "Standard (3-4d)", "Delayed (5d+)"))</f>
        <v>Standard (3-4d)</v>
      </c>
      <c r="AF4216">
        <v>0</v>
      </c>
    </row>
    <row r="4217" spans="1:32" ht="15" x14ac:dyDescent="0.35">
      <c r="A4217" t="s">
        <v>4188</v>
      </c>
      <c r="B4217" s="1">
        <v>45953</v>
      </c>
      <c r="C4217">
        <f>YEAR(OrdersTable[[#This Row],[Order Date]])</f>
        <v>2025</v>
      </c>
      <c r="D4217" s="2">
        <f>DATE(YEAR(OrdersTable[[#This Row],[Order Date]]),MONTH(OrdersTable[[#This Row],[Order Date]]),1)</f>
        <v>45931</v>
      </c>
      <c r="E4217">
        <f>MONTH(OrdersTable[[#This Row],[Order Date]])</f>
        <v>10</v>
      </c>
      <c r="F4217" t="s">
        <v>348</v>
      </c>
      <c r="G4217" t="str">
        <f>IF(OrdersTable[[#This Row],[Order Date]]=_xlfn.MINIFS(Order_Date, Customer_ID, OrdersTable[[#This Row],[Customer ID]]), "New", "Repeat")</f>
        <v>Repeat</v>
      </c>
      <c r="H4217" t="s">
        <v>71</v>
      </c>
      <c r="I4217" t="str">
        <f>INDEX(State!B:B,MATCH(OrdersTable[[#This Row],[State]],State!A:A,0))</f>
        <v>MH</v>
      </c>
      <c r="J4217" t="str">
        <f>INDEX(State!C:C,MATCH(OrdersTable[[#This Row],[State Code]],State!B:B,0))</f>
        <v>West</v>
      </c>
      <c r="K4217" t="s">
        <v>81</v>
      </c>
      <c r="L4217" t="s">
        <v>23</v>
      </c>
      <c r="M4217" t="s">
        <v>176</v>
      </c>
      <c r="N4217" t="str">
        <f>INDEX(Products!B:B,MATCH(OrdersTable[[#This Row],[Product ID]],Products!A:A,0))</f>
        <v>Denim Jacket</v>
      </c>
      <c r="O4217" t="str">
        <f>INDEX(Products!C:C,MATCH(OrdersTable[[#This Row],[Product ID]],Products!A:A,0))</f>
        <v>Apparel</v>
      </c>
      <c r="P4217">
        <v>1</v>
      </c>
      <c r="Q4217" s="5">
        <v>2499</v>
      </c>
      <c r="R4217" s="74">
        <v>0.2</v>
      </c>
      <c r="S4217" s="75">
        <f>OrdersTable[[#This Row],[Quantity]]*OrdersTable[[#This Row],[Unit Price]]</f>
        <v>2499</v>
      </c>
      <c r="T4217" s="5">
        <f>OrdersTable[[#This Row],[Gross Sale]]*OrdersTable[[#This Row],[Discount_Clean2]]</f>
        <v>499.8</v>
      </c>
      <c r="U4217" s="5">
        <f>OrdersTable[[#This Row],[Gross Sale]]-OrdersTable[[#This Row],[Discount Amount]]</f>
        <v>1999.2</v>
      </c>
      <c r="V4217" s="77">
        <f>INDEX(Products!E:E,MATCH(OrdersTable[[#This Row],[Product ID]],Products!A:A,0))</f>
        <v>1125</v>
      </c>
      <c r="W4217" s="77">
        <f>OrdersTable[[#This Row],[Quantity]]*OrdersTable[[#This Row],[Unit Cost]]</f>
        <v>1125</v>
      </c>
      <c r="X4217" s="77">
        <f>'Dropdown Lists'!$I$2*(1+OrdersTable[[#This Row],[Returned]])</f>
        <v>120</v>
      </c>
      <c r="Y4217" s="76">
        <f>OrdersTable[[#This Row],[Net Revenue]]-OrdersTable[[#This Row],[COGS]]-OrdersTable[[#This Row],[Shipping Cost]]</f>
        <v>754.2</v>
      </c>
      <c r="Z4217" s="78">
        <f>IFERROR(OrdersTable[[#This Row],[Profit]]/OrdersTable[[#This Row],[Net Revenue]],0)</f>
        <v>0.37725090036014408</v>
      </c>
      <c r="AA4217" t="s">
        <v>4074</v>
      </c>
      <c r="AB4217" s="79">
        <v>45955</v>
      </c>
      <c r="AC4217">
        <f>OrdersTable[[#This Row],[Delivery Date]]-OrdersTable[[#This Row],[Order Date]]</f>
        <v>2</v>
      </c>
      <c r="AD4217" t="str">
        <f>IF(OrdersTable[[#This Row],[Delivery Days]]&lt;=2, "Express (≤2d)", IF(OrdersTable[[#This Row],[Delivery Days]]&lt;=4, "Standard (3-4d)", "Delayed (5d+)"))</f>
        <v>Express (≤2d)</v>
      </c>
      <c r="AE4217">
        <v>3</v>
      </c>
      <c r="AF4217">
        <v>1</v>
      </c>
    </row>
    <row r="4218" spans="1:32" ht="15" x14ac:dyDescent="0.35">
      <c r="A4218" t="s">
        <v>6634</v>
      </c>
      <c r="B4218" s="1">
        <v>45953</v>
      </c>
      <c r="C4218">
        <f>YEAR(OrdersTable[[#This Row],[Order Date]])</f>
        <v>2025</v>
      </c>
      <c r="D4218" s="2">
        <f>DATE(YEAR(OrdersTable[[#This Row],[Order Date]]),MONTH(OrdersTable[[#This Row],[Order Date]]),1)</f>
        <v>45931</v>
      </c>
      <c r="E4218">
        <f>MONTH(OrdersTable[[#This Row],[Order Date]])</f>
        <v>10</v>
      </c>
      <c r="F4218" t="s">
        <v>6635</v>
      </c>
      <c r="G4218" t="str">
        <f>IF(OrdersTable[[#This Row],[Order Date]]=_xlfn.MINIFS(Order_Date, Customer_ID, OrdersTable[[#This Row],[Customer ID]]), "New", "Repeat")</f>
        <v>New</v>
      </c>
      <c r="H4218" t="s">
        <v>95</v>
      </c>
      <c r="I4218" t="str">
        <f>INDEX(State!B:B,MATCH(OrdersTable[[#This Row],[State]],State!A:A,0))</f>
        <v>TG</v>
      </c>
      <c r="J4218" t="str">
        <f>INDEX(State!C:C,MATCH(OrdersTable[[#This Row],[State Code]],State!B:B,0))</f>
        <v>South</v>
      </c>
      <c r="K4218" t="s">
        <v>96</v>
      </c>
      <c r="L4218" t="s">
        <v>23</v>
      </c>
      <c r="M4218" t="s">
        <v>29</v>
      </c>
      <c r="N4218" t="str">
        <f>INDEX(Products!B:B,MATCH(OrdersTable[[#This Row],[Product ID]],Products!A:A,0))</f>
        <v>Joggers</v>
      </c>
      <c r="O4218" t="str">
        <f>INDEX(Products!C:C,MATCH(OrdersTable[[#This Row],[Product ID]],Products!A:A,0))</f>
        <v>Apparel</v>
      </c>
      <c r="P4218">
        <v>3</v>
      </c>
      <c r="Q4218" s="5">
        <v>1199</v>
      </c>
      <c r="R4218" s="74">
        <v>0.15</v>
      </c>
      <c r="S4218" s="75">
        <f>OrdersTable[[#This Row],[Quantity]]*OrdersTable[[#This Row],[Unit Price]]</f>
        <v>3597</v>
      </c>
      <c r="T4218" s="5">
        <f>OrdersTable[[#This Row],[Gross Sale]]*OrdersTable[[#This Row],[Discount_Clean2]]</f>
        <v>539.54999999999995</v>
      </c>
      <c r="U4218" s="5">
        <f>OrdersTable[[#This Row],[Gross Sale]]-OrdersTable[[#This Row],[Discount Amount]]</f>
        <v>3057.45</v>
      </c>
      <c r="V4218" s="77">
        <f>INDEX(Products!E:E,MATCH(OrdersTable[[#This Row],[Product ID]],Products!A:A,0))</f>
        <v>492</v>
      </c>
      <c r="W4218" s="77">
        <f>OrdersTable[[#This Row],[Quantity]]*OrdersTable[[#This Row],[Unit Cost]]</f>
        <v>1476</v>
      </c>
      <c r="X4218" s="77">
        <f>'Dropdown Lists'!$I$2*(1+OrdersTable[[#This Row],[Returned]])</f>
        <v>60</v>
      </c>
      <c r="Y4218" s="76">
        <f>OrdersTable[[#This Row],[Net Revenue]]-OrdersTable[[#This Row],[COGS]]-OrdersTable[[#This Row],[Shipping Cost]]</f>
        <v>1521.4499999999998</v>
      </c>
      <c r="Z4218" s="78">
        <f>IFERROR(OrdersTable[[#This Row],[Profit]]/OrdersTable[[#This Row],[Net Revenue]],0)</f>
        <v>0.49762056615807287</v>
      </c>
      <c r="AA4218" t="s">
        <v>18</v>
      </c>
      <c r="AB4218" s="79">
        <v>45955</v>
      </c>
      <c r="AC4218">
        <f>OrdersTable[[#This Row],[Delivery Date]]-OrdersTable[[#This Row],[Order Date]]</f>
        <v>2</v>
      </c>
      <c r="AD4218" t="str">
        <f>IF(OrdersTable[[#This Row],[Delivery Days]]&lt;=2, "Express (≤2d)", IF(OrdersTable[[#This Row],[Delivery Days]]&lt;=4, "Standard (3-4d)", "Delayed (5d+)"))</f>
        <v>Express (≤2d)</v>
      </c>
      <c r="AE4218">
        <v>4</v>
      </c>
      <c r="AF4218">
        <v>0</v>
      </c>
    </row>
    <row r="4219" spans="1:32" ht="15" x14ac:dyDescent="0.35">
      <c r="A4219" t="s">
        <v>7161</v>
      </c>
      <c r="B4219" s="1">
        <v>45953</v>
      </c>
      <c r="C4219">
        <f>YEAR(OrdersTable[[#This Row],[Order Date]])</f>
        <v>2025</v>
      </c>
      <c r="D4219" s="2">
        <f>DATE(YEAR(OrdersTable[[#This Row],[Order Date]]),MONTH(OrdersTable[[#This Row],[Order Date]]),1)</f>
        <v>45931</v>
      </c>
      <c r="E4219">
        <f>MONTH(OrdersTable[[#This Row],[Order Date]])</f>
        <v>10</v>
      </c>
      <c r="F4219" t="s">
        <v>7162</v>
      </c>
      <c r="G4219" t="str">
        <f>IF(OrdersTable[[#This Row],[Order Date]]=_xlfn.MINIFS(Order_Date, Customer_ID, OrdersTable[[#This Row],[Customer ID]]), "New", "Repeat")</f>
        <v>New</v>
      </c>
      <c r="H4219" t="s">
        <v>95</v>
      </c>
      <c r="I4219" t="str">
        <f>INDEX(State!B:B,MATCH(OrdersTable[[#This Row],[State]],State!A:A,0))</f>
        <v>TG</v>
      </c>
      <c r="J4219" t="str">
        <f>INDEX(State!C:C,MATCH(OrdersTable[[#This Row],[State Code]],State!B:B,0))</f>
        <v>South</v>
      </c>
      <c r="K4219" t="s">
        <v>96</v>
      </c>
      <c r="L4219" t="s">
        <v>23</v>
      </c>
      <c r="M4219" t="s">
        <v>61</v>
      </c>
      <c r="N4219" t="str">
        <f>INDEX(Products!B:B,MATCH(OrdersTable[[#This Row],[Product ID]],Products!A:A,0))</f>
        <v>Multivitamin Gummies</v>
      </c>
      <c r="O4219" t="str">
        <f>INDEX(Products!C:C,MATCH(OrdersTable[[#This Row],[Product ID]],Products!A:A,0))</f>
        <v>Wellness</v>
      </c>
      <c r="P4219">
        <v>5</v>
      </c>
      <c r="Q4219" s="5">
        <v>699</v>
      </c>
      <c r="R4219" s="74">
        <v>0.3</v>
      </c>
      <c r="S4219" s="75">
        <f>OrdersTable[[#This Row],[Quantity]]*OrdersTable[[#This Row],[Unit Price]]</f>
        <v>3495</v>
      </c>
      <c r="T4219" s="5">
        <f>OrdersTable[[#This Row],[Gross Sale]]*OrdersTable[[#This Row],[Discount_Clean2]]</f>
        <v>1048.5</v>
      </c>
      <c r="U4219" s="5">
        <f>OrdersTable[[#This Row],[Gross Sale]]-OrdersTable[[#This Row],[Discount Amount]]</f>
        <v>2446.5</v>
      </c>
      <c r="V4219" s="77">
        <f>INDEX(Products!E:E,MATCH(OrdersTable[[#This Row],[Product ID]],Products!A:A,0))</f>
        <v>238</v>
      </c>
      <c r="W4219" s="77">
        <f>OrdersTable[[#This Row],[Quantity]]*OrdersTable[[#This Row],[Unit Cost]]</f>
        <v>1190</v>
      </c>
      <c r="X4219" s="77">
        <f>'Dropdown Lists'!$I$2*(1+OrdersTable[[#This Row],[Returned]])</f>
        <v>60</v>
      </c>
      <c r="Y4219" s="76">
        <f>OrdersTable[[#This Row],[Net Revenue]]-OrdersTable[[#This Row],[COGS]]-OrdersTable[[#This Row],[Shipping Cost]]</f>
        <v>1196.5</v>
      </c>
      <c r="Z4219" s="78">
        <f>IFERROR(OrdersTable[[#This Row],[Profit]]/OrdersTable[[#This Row],[Net Revenue]],0)</f>
        <v>0.4890660126711629</v>
      </c>
      <c r="AA4219" t="s">
        <v>3495</v>
      </c>
      <c r="AB4219" s="79">
        <v>45957</v>
      </c>
      <c r="AC4219">
        <f>OrdersTable[[#This Row],[Delivery Date]]-OrdersTable[[#This Row],[Order Date]]</f>
        <v>4</v>
      </c>
      <c r="AD4219" t="str">
        <f>IF(OrdersTable[[#This Row],[Delivery Days]]&lt;=2, "Express (≤2d)", IF(OrdersTable[[#This Row],[Delivery Days]]&lt;=4, "Standard (3-4d)", "Delayed (5d+)"))</f>
        <v>Standard (3-4d)</v>
      </c>
      <c r="AE4219">
        <v>4</v>
      </c>
      <c r="AF4219">
        <v>0</v>
      </c>
    </row>
    <row r="4220" spans="1:32" ht="15" x14ac:dyDescent="0.35">
      <c r="A4220" t="s">
        <v>4866</v>
      </c>
      <c r="B4220" s="1">
        <v>45953</v>
      </c>
      <c r="C4220">
        <f>YEAR(OrdersTable[[#This Row],[Order Date]])</f>
        <v>2025</v>
      </c>
      <c r="D4220" s="2">
        <f>DATE(YEAR(OrdersTable[[#This Row],[Order Date]]),MONTH(OrdersTable[[#This Row],[Order Date]]),1)</f>
        <v>45931</v>
      </c>
      <c r="E4220">
        <f>MONTH(OrdersTable[[#This Row],[Order Date]])</f>
        <v>10</v>
      </c>
      <c r="F4220" t="s">
        <v>4867</v>
      </c>
      <c r="G4220" t="str">
        <f>IF(OrdersTable[[#This Row],[Order Date]]=_xlfn.MINIFS(Order_Date, Customer_ID, OrdersTable[[#This Row],[Customer ID]]), "New", "Repeat")</f>
        <v>Repeat</v>
      </c>
      <c r="H4220" t="s">
        <v>90</v>
      </c>
      <c r="I4220" t="str">
        <f>INDEX(State!B:B,MATCH(OrdersTable[[#This Row],[State]],State!A:A,0))</f>
        <v>GA</v>
      </c>
      <c r="J4220" t="str">
        <f>INDEX(State!C:C,MATCH(OrdersTable[[#This Row],[State Code]],State!B:B,0))</f>
        <v>West</v>
      </c>
      <c r="K4220" t="s">
        <v>91</v>
      </c>
      <c r="L4220" t="s">
        <v>23</v>
      </c>
      <c r="M4220" t="s">
        <v>92</v>
      </c>
      <c r="N4220" t="str">
        <f>INDEX(Products!B:B,MATCH(OrdersTable[[#This Row],[Product ID]],Products!A:A,0))</f>
        <v>Kolhapuri Sandals</v>
      </c>
      <c r="O4220" t="str">
        <f>INDEX(Products!C:C,MATCH(OrdersTable[[#This Row],[Product ID]],Products!A:A,0))</f>
        <v>Footwear</v>
      </c>
      <c r="P4220">
        <v>2</v>
      </c>
      <c r="Q4220" s="5">
        <v>999</v>
      </c>
      <c r="R4220" s="74">
        <v>0.35</v>
      </c>
      <c r="S4220" s="75">
        <f>OrdersTable[[#This Row],[Quantity]]*OrdersTable[[#This Row],[Unit Price]]</f>
        <v>1998</v>
      </c>
      <c r="T4220" s="5">
        <f>OrdersTable[[#This Row],[Gross Sale]]*OrdersTable[[#This Row],[Discount_Clean2]]</f>
        <v>699.3</v>
      </c>
      <c r="U4220" s="5">
        <f>OrdersTable[[#This Row],[Gross Sale]]-OrdersTable[[#This Row],[Discount Amount]]</f>
        <v>1298.7</v>
      </c>
      <c r="V4220" s="77">
        <f>INDEX(Products!E:E,MATCH(OrdersTable[[#This Row],[Product ID]],Products!A:A,0))</f>
        <v>400</v>
      </c>
      <c r="W4220" s="77">
        <f>OrdersTable[[#This Row],[Quantity]]*OrdersTable[[#This Row],[Unit Cost]]</f>
        <v>800</v>
      </c>
      <c r="X4220" s="77">
        <f>'Dropdown Lists'!$I$2*(1+OrdersTable[[#This Row],[Returned]])</f>
        <v>60</v>
      </c>
      <c r="Y4220" s="76">
        <f>OrdersTable[[#This Row],[Net Revenue]]-OrdersTable[[#This Row],[COGS]]-OrdersTable[[#This Row],[Shipping Cost]]</f>
        <v>438.70000000000005</v>
      </c>
      <c r="Z4220" s="78">
        <f>IFERROR(OrdersTable[[#This Row],[Profit]]/OrdersTable[[#This Row],[Net Revenue]],0)</f>
        <v>0.3377993377993378</v>
      </c>
      <c r="AA4220" t="s">
        <v>4450</v>
      </c>
      <c r="AB4220" s="79">
        <v>45955</v>
      </c>
      <c r="AC4220">
        <f>OrdersTable[[#This Row],[Delivery Date]]-OrdersTable[[#This Row],[Order Date]]</f>
        <v>2</v>
      </c>
      <c r="AD4220" t="str">
        <f>IF(OrdersTable[[#This Row],[Delivery Days]]&lt;=2, "Express (≤2d)", IF(OrdersTable[[#This Row],[Delivery Days]]&lt;=4, "Standard (3-4d)", "Delayed (5d+)"))</f>
        <v>Express (≤2d)</v>
      </c>
      <c r="AE4220">
        <v>4</v>
      </c>
      <c r="AF4220">
        <v>0</v>
      </c>
    </row>
    <row r="4221" spans="1:32" ht="15" x14ac:dyDescent="0.35">
      <c r="A4221" t="s">
        <v>6923</v>
      </c>
      <c r="B4221" s="1">
        <v>45953</v>
      </c>
      <c r="C4221">
        <f>YEAR(OrdersTable[[#This Row],[Order Date]])</f>
        <v>2025</v>
      </c>
      <c r="D4221" s="2">
        <f>DATE(YEAR(OrdersTable[[#This Row],[Order Date]]),MONTH(OrdersTable[[#This Row],[Order Date]]),1)</f>
        <v>45931</v>
      </c>
      <c r="E4221">
        <f>MONTH(OrdersTable[[#This Row],[Order Date]])</f>
        <v>10</v>
      </c>
      <c r="F4221" t="s">
        <v>588</v>
      </c>
      <c r="G4221" t="str">
        <f>IF(OrdersTable[[#This Row],[Order Date]]=_xlfn.MINIFS(Order_Date, Customer_ID, OrdersTable[[#This Row],[Customer ID]]), "New", "Repeat")</f>
        <v>Repeat</v>
      </c>
      <c r="H4221" t="s">
        <v>275</v>
      </c>
      <c r="I4221" t="str">
        <f>INDEX(State!B:B,MATCH(OrdersTable[[#This Row],[State]],State!A:A,0))</f>
        <v>AP</v>
      </c>
      <c r="J4221" t="str">
        <f>INDEX(State!C:C,MATCH(OrdersTable[[#This Row],[State Code]],State!B:B,0))</f>
        <v>South</v>
      </c>
      <c r="K4221" t="s">
        <v>276</v>
      </c>
      <c r="L4221" t="s">
        <v>65</v>
      </c>
      <c r="M4221" t="s">
        <v>56</v>
      </c>
      <c r="N4221" t="str">
        <f>INDEX(Products!B:B,MATCH(OrdersTable[[#This Row],[Product ID]],Products!A:A,0))</f>
        <v>Vitamin C Face Serum</v>
      </c>
      <c r="O4221" t="str">
        <f>INDEX(Products!C:C,MATCH(OrdersTable[[#This Row],[Product ID]],Products!A:A,0))</f>
        <v>Skincare</v>
      </c>
      <c r="P4221">
        <v>3</v>
      </c>
      <c r="Q4221" s="5">
        <v>599</v>
      </c>
      <c r="R4221" s="74">
        <v>0.25</v>
      </c>
      <c r="S4221" s="75">
        <f>OrdersTable[[#This Row],[Quantity]]*OrdersTable[[#This Row],[Unit Price]]</f>
        <v>1797</v>
      </c>
      <c r="T4221" s="5">
        <f>OrdersTable[[#This Row],[Gross Sale]]*OrdersTable[[#This Row],[Discount_Clean2]]</f>
        <v>449.25</v>
      </c>
      <c r="U4221" s="5">
        <f>OrdersTable[[#This Row],[Gross Sale]]-OrdersTable[[#This Row],[Discount Amount]]</f>
        <v>1347.75</v>
      </c>
      <c r="V4221" s="77">
        <f>INDEX(Products!E:E,MATCH(OrdersTable[[#This Row],[Product ID]],Products!A:A,0))</f>
        <v>180</v>
      </c>
      <c r="W4221" s="77">
        <f>OrdersTable[[#This Row],[Quantity]]*OrdersTable[[#This Row],[Unit Cost]]</f>
        <v>540</v>
      </c>
      <c r="X4221" s="77">
        <f>'Dropdown Lists'!$I$2*(1+OrdersTable[[#This Row],[Returned]])</f>
        <v>60</v>
      </c>
      <c r="Y4221" s="76">
        <f>OrdersTable[[#This Row],[Net Revenue]]-OrdersTable[[#This Row],[COGS]]-OrdersTable[[#This Row],[Shipping Cost]]</f>
        <v>747.75</v>
      </c>
      <c r="Z4221" s="78">
        <f>IFERROR(OrdersTable[[#This Row],[Profit]]/OrdersTable[[#This Row],[Net Revenue]],0)</f>
        <v>0.5548135781858653</v>
      </c>
      <c r="AA4221" t="s">
        <v>4450</v>
      </c>
      <c r="AB4221" s="79">
        <v>45957</v>
      </c>
      <c r="AC4221">
        <f>OrdersTable[[#This Row],[Delivery Date]]-OrdersTable[[#This Row],[Order Date]]</f>
        <v>4</v>
      </c>
      <c r="AD4221" t="str">
        <f>IF(OrdersTable[[#This Row],[Delivery Days]]&lt;=2, "Express (≤2d)", IF(OrdersTable[[#This Row],[Delivery Days]]&lt;=4, "Standard (3-4d)", "Delayed (5d+)"))</f>
        <v>Standard (3-4d)</v>
      </c>
      <c r="AE4221">
        <v>4</v>
      </c>
      <c r="AF4221">
        <v>0</v>
      </c>
    </row>
    <row r="4222" spans="1:32" ht="15" x14ac:dyDescent="0.35">
      <c r="A4222" t="s">
        <v>3357</v>
      </c>
      <c r="B4222" s="1">
        <v>45953</v>
      </c>
      <c r="C4222">
        <f>YEAR(OrdersTable[[#This Row],[Order Date]])</f>
        <v>2025</v>
      </c>
      <c r="D4222" s="2">
        <f>DATE(YEAR(OrdersTable[[#This Row],[Order Date]]),MONTH(OrdersTable[[#This Row],[Order Date]]),1)</f>
        <v>45931</v>
      </c>
      <c r="E4222">
        <f>MONTH(OrdersTable[[#This Row],[Order Date]])</f>
        <v>10</v>
      </c>
      <c r="F4222" t="s">
        <v>309</v>
      </c>
      <c r="G4222" t="str">
        <f>IF(OrdersTable[[#This Row],[Order Date]]=_xlfn.MINIFS(Order_Date, Customer_ID, OrdersTable[[#This Row],[Customer ID]]), "New", "Repeat")</f>
        <v>Repeat</v>
      </c>
      <c r="H4222" t="s">
        <v>316</v>
      </c>
      <c r="I4222" t="str">
        <f>INDEX(State!B:B,MATCH(OrdersTable[[#This Row],[State]],State!A:A,0))</f>
        <v>KL</v>
      </c>
      <c r="J4222" t="str">
        <f>INDEX(State!C:C,MATCH(OrdersTable[[#This Row],[State Code]],State!B:B,0))</f>
        <v>South</v>
      </c>
      <c r="K4222" t="s">
        <v>317</v>
      </c>
      <c r="L4222" t="s">
        <v>16</v>
      </c>
      <c r="M4222" t="s">
        <v>176</v>
      </c>
      <c r="N4222" t="str">
        <f>INDEX(Products!B:B,MATCH(OrdersTable[[#This Row],[Product ID]],Products!A:A,0))</f>
        <v>Denim Jacket</v>
      </c>
      <c r="O4222" t="str">
        <f>INDEX(Products!C:C,MATCH(OrdersTable[[#This Row],[Product ID]],Products!A:A,0))</f>
        <v>Apparel</v>
      </c>
      <c r="P4222">
        <v>1</v>
      </c>
      <c r="Q4222" s="5">
        <v>2499</v>
      </c>
      <c r="R4222" s="74">
        <v>0.1</v>
      </c>
      <c r="S4222" s="75">
        <f>OrdersTable[[#This Row],[Quantity]]*OrdersTable[[#This Row],[Unit Price]]</f>
        <v>2499</v>
      </c>
      <c r="T4222" s="5">
        <f>OrdersTable[[#This Row],[Gross Sale]]*OrdersTable[[#This Row],[Discount_Clean2]]</f>
        <v>249.9</v>
      </c>
      <c r="U4222" s="5">
        <f>OrdersTable[[#This Row],[Gross Sale]]-OrdersTable[[#This Row],[Discount Amount]]</f>
        <v>2249.1</v>
      </c>
      <c r="V4222" s="77">
        <f>INDEX(Products!E:E,MATCH(OrdersTable[[#This Row],[Product ID]],Products!A:A,0))</f>
        <v>1125</v>
      </c>
      <c r="W4222" s="77">
        <f>OrdersTable[[#This Row],[Quantity]]*OrdersTable[[#This Row],[Unit Cost]]</f>
        <v>1125</v>
      </c>
      <c r="X4222" s="77">
        <f>'Dropdown Lists'!$I$2*(1+OrdersTable[[#This Row],[Returned]])</f>
        <v>60</v>
      </c>
      <c r="Y4222" s="76">
        <f>OrdersTable[[#This Row],[Net Revenue]]-OrdersTable[[#This Row],[COGS]]-OrdersTable[[#This Row],[Shipping Cost]]</f>
        <v>1064.0999999999999</v>
      </c>
      <c r="Z4222" s="78">
        <f>IFERROR(OrdersTable[[#This Row],[Profit]]/OrdersTable[[#This Row],[Net Revenue]],0)</f>
        <v>0.4731225823662798</v>
      </c>
      <c r="AA4222" t="s">
        <v>2522</v>
      </c>
      <c r="AB4222" s="79">
        <v>45958</v>
      </c>
      <c r="AC4222">
        <f>OrdersTable[[#This Row],[Delivery Date]]-OrdersTable[[#This Row],[Order Date]]</f>
        <v>5</v>
      </c>
      <c r="AD4222" t="str">
        <f>IF(OrdersTable[[#This Row],[Delivery Days]]&lt;=2, "Express (≤2d)", IF(OrdersTable[[#This Row],[Delivery Days]]&lt;=4, "Standard (3-4d)", "Delayed (5d+)"))</f>
        <v>Delayed (5d+)</v>
      </c>
      <c r="AE4222">
        <v>4</v>
      </c>
      <c r="AF4222">
        <v>0</v>
      </c>
    </row>
    <row r="4223" spans="1:32" ht="15" x14ac:dyDescent="0.35">
      <c r="A4223" t="s">
        <v>2850</v>
      </c>
      <c r="B4223" s="1">
        <v>45954</v>
      </c>
      <c r="C4223">
        <f>YEAR(OrdersTable[[#This Row],[Order Date]])</f>
        <v>2025</v>
      </c>
      <c r="D4223" s="2">
        <f>DATE(YEAR(OrdersTable[[#This Row],[Order Date]]),MONTH(OrdersTable[[#This Row],[Order Date]]),1)</f>
        <v>45931</v>
      </c>
      <c r="E4223">
        <f>MONTH(OrdersTable[[#This Row],[Order Date]])</f>
        <v>10</v>
      </c>
      <c r="F4223" t="s">
        <v>2851</v>
      </c>
      <c r="G4223" t="str">
        <f>IF(OrdersTable[[#This Row],[Order Date]]=_xlfn.MINIFS(Order_Date, Customer_ID, OrdersTable[[#This Row],[Customer ID]]), "New", "Repeat")</f>
        <v>Repeat</v>
      </c>
      <c r="H4223" t="s">
        <v>210</v>
      </c>
      <c r="I4223" t="str">
        <f>INDEX(State!B:B,MATCH(OrdersTable[[#This Row],[State]],State!A:A,0))</f>
        <v>JK</v>
      </c>
      <c r="J4223" t="str">
        <f>INDEX(State!C:C,MATCH(OrdersTable[[#This Row],[State Code]],State!B:B,0))</f>
        <v>North</v>
      </c>
      <c r="K4223" t="s">
        <v>211</v>
      </c>
      <c r="L4223" t="s">
        <v>39</v>
      </c>
      <c r="M4223" t="s">
        <v>152</v>
      </c>
      <c r="N4223" t="str">
        <f>INDEX(Products!B:B,MATCH(OrdersTable[[#This Row],[Product ID]],Products!A:A,0))</f>
        <v>Green Tea (100 bags)</v>
      </c>
      <c r="O4223" t="str">
        <f>INDEX(Products!C:C,MATCH(OrdersTable[[#This Row],[Product ID]],Products!A:A,0))</f>
        <v>Wellness</v>
      </c>
      <c r="P4223">
        <v>1</v>
      </c>
      <c r="Q4223" s="5">
        <v>399</v>
      </c>
      <c r="R4223" s="74">
        <v>0.55000000000000004</v>
      </c>
      <c r="S4223" s="75">
        <f>OrdersTable[[#This Row],[Quantity]]*OrdersTable[[#This Row],[Unit Price]]</f>
        <v>399</v>
      </c>
      <c r="T4223" s="5">
        <f>OrdersTable[[#This Row],[Gross Sale]]*OrdersTable[[#This Row],[Discount_Clean2]]</f>
        <v>219.45000000000002</v>
      </c>
      <c r="U4223" s="5">
        <f>OrdersTable[[#This Row],[Gross Sale]]-OrdersTable[[#This Row],[Discount Amount]]</f>
        <v>179.54999999999998</v>
      </c>
      <c r="V4223" s="77">
        <f>INDEX(Products!E:E,MATCH(OrdersTable[[#This Row],[Product ID]],Products!A:A,0))</f>
        <v>128</v>
      </c>
      <c r="W4223" s="77">
        <f>OrdersTable[[#This Row],[Quantity]]*OrdersTable[[#This Row],[Unit Cost]]</f>
        <v>128</v>
      </c>
      <c r="X4223" s="77">
        <f>'Dropdown Lists'!$I$2*(1+OrdersTable[[#This Row],[Returned]])</f>
        <v>60</v>
      </c>
      <c r="Y4223" s="76">
        <f>OrdersTable[[#This Row],[Net Revenue]]-OrdersTable[[#This Row],[COGS]]-OrdersTable[[#This Row],[Shipping Cost]]</f>
        <v>-8.4500000000000171</v>
      </c>
      <c r="Z4223" s="78">
        <f>IFERROR(OrdersTable[[#This Row],[Profit]]/OrdersTable[[#This Row],[Net Revenue]],0)</f>
        <v>-4.7062099693678743E-2</v>
      </c>
      <c r="AA4223" t="s">
        <v>2522</v>
      </c>
      <c r="AB4223" s="79">
        <v>45959</v>
      </c>
      <c r="AC4223">
        <f>OrdersTable[[#This Row],[Delivery Date]]-OrdersTable[[#This Row],[Order Date]]</f>
        <v>5</v>
      </c>
      <c r="AD4223" t="str">
        <f>IF(OrdersTable[[#This Row],[Delivery Days]]&lt;=2, "Express (≤2d)", IF(OrdersTable[[#This Row],[Delivery Days]]&lt;=4, "Standard (3-4d)", "Delayed (5d+)"))</f>
        <v>Delayed (5d+)</v>
      </c>
      <c r="AE4223">
        <v>3</v>
      </c>
      <c r="AF4223">
        <v>0</v>
      </c>
    </row>
    <row r="4224" spans="1:32" ht="15" x14ac:dyDescent="0.35">
      <c r="A4224" t="s">
        <v>3358</v>
      </c>
      <c r="B4224" s="1">
        <v>45954</v>
      </c>
      <c r="C4224">
        <f>YEAR(OrdersTable[[#This Row],[Order Date]])</f>
        <v>2025</v>
      </c>
      <c r="D4224" s="2">
        <f>DATE(YEAR(OrdersTable[[#This Row],[Order Date]]),MONTH(OrdersTable[[#This Row],[Order Date]]),1)</f>
        <v>45931</v>
      </c>
      <c r="E4224">
        <f>MONTH(OrdersTable[[#This Row],[Order Date]])</f>
        <v>10</v>
      </c>
      <c r="F4224" t="s">
        <v>3278</v>
      </c>
      <c r="G4224" t="str">
        <f>IF(OrdersTable[[#This Row],[Order Date]]=_xlfn.MINIFS(Order_Date, Customer_ID, OrdersTable[[#This Row],[Customer ID]]), "New", "Repeat")</f>
        <v>Repeat</v>
      </c>
      <c r="H4224" t="s">
        <v>128</v>
      </c>
      <c r="I4224" t="str">
        <f>INDEX(State!B:B,MATCH(OrdersTable[[#This Row],[State]],State!A:A,0))</f>
        <v>DL</v>
      </c>
      <c r="J4224" t="str">
        <f>INDEX(State!C:C,MATCH(OrdersTable[[#This Row],[State Code]],State!B:B,0))</f>
        <v>North</v>
      </c>
      <c r="K4224" t="s">
        <v>129</v>
      </c>
      <c r="L4224" t="s">
        <v>23</v>
      </c>
      <c r="M4224" t="s">
        <v>73</v>
      </c>
      <c r="N4224" t="str">
        <f>INDEX(Products!B:B,MATCH(OrdersTable[[#This Row],[Product ID]],Products!A:A,0))</f>
        <v>Hydrating Face Wash</v>
      </c>
      <c r="O4224" t="str">
        <f>INDEX(Products!C:C,MATCH(OrdersTable[[#This Row],[Product ID]],Products!A:A,0))</f>
        <v>Skincare</v>
      </c>
      <c r="P4224">
        <v>1</v>
      </c>
      <c r="Q4224" s="5">
        <v>299</v>
      </c>
      <c r="R4224" s="74">
        <v>0.15</v>
      </c>
      <c r="S4224" s="75">
        <f>OrdersTable[[#This Row],[Quantity]]*OrdersTable[[#This Row],[Unit Price]]</f>
        <v>299</v>
      </c>
      <c r="T4224" s="5">
        <f>OrdersTable[[#This Row],[Gross Sale]]*OrdersTable[[#This Row],[Discount_Clean2]]</f>
        <v>44.85</v>
      </c>
      <c r="U4224" s="5">
        <f>OrdersTable[[#This Row],[Gross Sale]]-OrdersTable[[#This Row],[Discount Amount]]</f>
        <v>254.15</v>
      </c>
      <c r="V4224" s="77">
        <f>INDEX(Products!E:E,MATCH(OrdersTable[[#This Row],[Product ID]],Products!A:A,0))</f>
        <v>90</v>
      </c>
      <c r="W4224" s="77">
        <f>OrdersTable[[#This Row],[Quantity]]*OrdersTable[[#This Row],[Unit Cost]]</f>
        <v>90</v>
      </c>
      <c r="X4224" s="77">
        <f>'Dropdown Lists'!$I$2*(1+OrdersTable[[#This Row],[Returned]])</f>
        <v>60</v>
      </c>
      <c r="Y4224" s="76">
        <f>OrdersTable[[#This Row],[Net Revenue]]-OrdersTable[[#This Row],[COGS]]-OrdersTable[[#This Row],[Shipping Cost]]</f>
        <v>104.15</v>
      </c>
      <c r="Z4224" s="78">
        <f>IFERROR(OrdersTable[[#This Row],[Profit]]/OrdersTable[[#This Row],[Net Revenue]],0)</f>
        <v>0.40979736376155818</v>
      </c>
      <c r="AA4224" t="s">
        <v>2522</v>
      </c>
      <c r="AB4224" s="79">
        <v>45955</v>
      </c>
      <c r="AC4224">
        <f>OrdersTable[[#This Row],[Delivery Date]]-OrdersTable[[#This Row],[Order Date]]</f>
        <v>1</v>
      </c>
      <c r="AD4224" t="str">
        <f>IF(OrdersTable[[#This Row],[Delivery Days]]&lt;=2, "Express (≤2d)", IF(OrdersTable[[#This Row],[Delivery Days]]&lt;=4, "Standard (3-4d)", "Delayed (5d+)"))</f>
        <v>Express (≤2d)</v>
      </c>
      <c r="AE4224">
        <v>4</v>
      </c>
      <c r="AF4224">
        <v>0</v>
      </c>
    </row>
    <row r="4225" spans="1:32" ht="15" x14ac:dyDescent="0.35">
      <c r="A4225" t="s">
        <v>5251</v>
      </c>
      <c r="B4225" s="1">
        <v>45954</v>
      </c>
      <c r="C4225">
        <f>YEAR(OrdersTable[[#This Row],[Order Date]])</f>
        <v>2025</v>
      </c>
      <c r="D4225" s="2">
        <f>DATE(YEAR(OrdersTable[[#This Row],[Order Date]]),MONTH(OrdersTable[[#This Row],[Order Date]]),1)</f>
        <v>45931</v>
      </c>
      <c r="E4225">
        <f>MONTH(OrdersTable[[#This Row],[Order Date]])</f>
        <v>10</v>
      </c>
      <c r="F4225" t="s">
        <v>5252</v>
      </c>
      <c r="G4225" t="str">
        <f>IF(OrdersTable[[#This Row],[Order Date]]=_xlfn.MINIFS(Order_Date, Customer_ID, OrdersTable[[#This Row],[Customer ID]]), "New", "Repeat")</f>
        <v>New</v>
      </c>
      <c r="H4225" t="s">
        <v>43</v>
      </c>
      <c r="I4225" t="str">
        <f>INDEX(State!B:B,MATCH(OrdersTable[[#This Row],[State]],State!A:A,0))</f>
        <v>MP</v>
      </c>
      <c r="J4225" t="str">
        <f>INDEX(State!C:C,MATCH(OrdersTable[[#This Row],[State Code]],State!B:B,0))</f>
        <v>West</v>
      </c>
      <c r="K4225" t="s">
        <v>250</v>
      </c>
      <c r="L4225" t="s">
        <v>65</v>
      </c>
      <c r="M4225" t="s">
        <v>576</v>
      </c>
      <c r="N4225" t="str">
        <f>INDEX(Products!B:B,MATCH(OrdersTable[[#This Row],[Product ID]],Products!A:A,0))</f>
        <v>Printed Saree</v>
      </c>
      <c r="O4225" t="str">
        <f>INDEX(Products!C:C,MATCH(OrdersTable[[#This Row],[Product ID]],Products!A:A,0))</f>
        <v>Apparel</v>
      </c>
      <c r="P4225">
        <v>2</v>
      </c>
      <c r="Q4225" s="5">
        <v>1999</v>
      </c>
      <c r="R4225" s="74">
        <v>0.3</v>
      </c>
      <c r="S4225" s="75">
        <f>OrdersTable[[#This Row],[Quantity]]*OrdersTable[[#This Row],[Unit Price]]</f>
        <v>3998</v>
      </c>
      <c r="T4225" s="5">
        <f>OrdersTable[[#This Row],[Gross Sale]]*OrdersTable[[#This Row],[Discount_Clean2]]</f>
        <v>1199.3999999999999</v>
      </c>
      <c r="U4225" s="5">
        <f>OrdersTable[[#This Row],[Gross Sale]]-OrdersTable[[#This Row],[Discount Amount]]</f>
        <v>2798.6000000000004</v>
      </c>
      <c r="V4225" s="77">
        <f>INDEX(Products!E:E,MATCH(OrdersTable[[#This Row],[Product ID]],Products!A:A,0))</f>
        <v>880</v>
      </c>
      <c r="W4225" s="77">
        <f>OrdersTable[[#This Row],[Quantity]]*OrdersTable[[#This Row],[Unit Cost]]</f>
        <v>1760</v>
      </c>
      <c r="X4225" s="77">
        <f>'Dropdown Lists'!$I$2*(1+OrdersTable[[#This Row],[Returned]])</f>
        <v>60</v>
      </c>
      <c r="Y4225" s="76">
        <f>OrdersTable[[#This Row],[Net Revenue]]-OrdersTable[[#This Row],[COGS]]-OrdersTable[[#This Row],[Shipping Cost]]</f>
        <v>978.60000000000036</v>
      </c>
      <c r="Z4225" s="78">
        <f>IFERROR(OrdersTable[[#This Row],[Profit]]/OrdersTable[[#This Row],[Net Revenue]],0)</f>
        <v>0.34967483741870942</v>
      </c>
      <c r="AA4225" t="s">
        <v>3495</v>
      </c>
      <c r="AB4225" s="79">
        <v>45957</v>
      </c>
      <c r="AC4225">
        <f>OrdersTable[[#This Row],[Delivery Date]]-OrdersTable[[#This Row],[Order Date]]</f>
        <v>3</v>
      </c>
      <c r="AD4225" t="str">
        <f>IF(OrdersTable[[#This Row],[Delivery Days]]&lt;=2, "Express (≤2d)", IF(OrdersTable[[#This Row],[Delivery Days]]&lt;=4, "Standard (3-4d)", "Delayed (5d+)"))</f>
        <v>Standard (3-4d)</v>
      </c>
      <c r="AE4225">
        <v>4</v>
      </c>
      <c r="AF4225">
        <v>0</v>
      </c>
    </row>
    <row r="4226" spans="1:32" ht="15" x14ac:dyDescent="0.35">
      <c r="A4226" t="s">
        <v>6924</v>
      </c>
      <c r="B4226" s="1">
        <v>45954</v>
      </c>
      <c r="C4226">
        <f>YEAR(OrdersTable[[#This Row],[Order Date]])</f>
        <v>2025</v>
      </c>
      <c r="D4226" s="2">
        <f>DATE(YEAR(OrdersTable[[#This Row],[Order Date]]),MONTH(OrdersTable[[#This Row],[Order Date]]),1)</f>
        <v>45931</v>
      </c>
      <c r="E4226">
        <f>MONTH(OrdersTable[[#This Row],[Order Date]])</f>
        <v>10</v>
      </c>
      <c r="F4226" t="s">
        <v>6925</v>
      </c>
      <c r="G4226" t="str">
        <f>IF(OrdersTable[[#This Row],[Order Date]]=_xlfn.MINIFS(Order_Date, Customer_ID, OrdersTable[[#This Row],[Customer ID]]), "New", "Repeat")</f>
        <v>New</v>
      </c>
      <c r="H4226" t="s">
        <v>43</v>
      </c>
      <c r="I4226" t="str">
        <f>INDEX(State!B:B,MATCH(OrdersTable[[#This Row],[State]],State!A:A,0))</f>
        <v>MP</v>
      </c>
      <c r="J4226" t="str">
        <f>INDEX(State!C:C,MATCH(OrdersTable[[#This Row],[State Code]],State!B:B,0))</f>
        <v>West</v>
      </c>
      <c r="K4226" t="s">
        <v>250</v>
      </c>
      <c r="L4226" t="s">
        <v>65</v>
      </c>
      <c r="M4226" t="s">
        <v>78</v>
      </c>
      <c r="N4226" t="str">
        <f>INDEX(Products!B:B,MATCH(OrdersTable[[#This Row],[Product ID]],Products!A:A,0))</f>
        <v>Retinol Night Cream</v>
      </c>
      <c r="O4226" t="str">
        <f>INDEX(Products!C:C,MATCH(OrdersTable[[#This Row],[Product ID]],Products!A:A,0))</f>
        <v>Skincare</v>
      </c>
      <c r="P4226">
        <v>3</v>
      </c>
      <c r="Q4226" s="5">
        <v>799</v>
      </c>
      <c r="R4226" s="74">
        <v>0.3</v>
      </c>
      <c r="S4226" s="75">
        <f>OrdersTable[[#This Row],[Quantity]]*OrdersTable[[#This Row],[Unit Price]]</f>
        <v>2397</v>
      </c>
      <c r="T4226" s="5">
        <f>OrdersTable[[#This Row],[Gross Sale]]*OrdersTable[[#This Row],[Discount_Clean2]]</f>
        <v>719.1</v>
      </c>
      <c r="U4226" s="5">
        <f>OrdersTable[[#This Row],[Gross Sale]]-OrdersTable[[#This Row],[Discount Amount]]</f>
        <v>1677.9</v>
      </c>
      <c r="V4226" s="77">
        <f>INDEX(Products!E:E,MATCH(OrdersTable[[#This Row],[Product ID]],Products!A:A,0))</f>
        <v>216</v>
      </c>
      <c r="W4226" s="77">
        <f>OrdersTable[[#This Row],[Quantity]]*OrdersTable[[#This Row],[Unit Cost]]</f>
        <v>648</v>
      </c>
      <c r="X4226" s="77">
        <f>'Dropdown Lists'!$I$2*(1+OrdersTable[[#This Row],[Returned]])</f>
        <v>120</v>
      </c>
      <c r="Y4226" s="76">
        <f>OrdersTable[[#This Row],[Net Revenue]]-OrdersTable[[#This Row],[COGS]]-OrdersTable[[#This Row],[Shipping Cost]]</f>
        <v>909.90000000000009</v>
      </c>
      <c r="Z4226" s="78">
        <f>IFERROR(OrdersTable[[#This Row],[Profit]]/OrdersTable[[#This Row],[Net Revenue]],0)</f>
        <v>0.54228499910602546</v>
      </c>
      <c r="AA4226" t="s">
        <v>4074</v>
      </c>
      <c r="AB4226" s="79">
        <v>45958</v>
      </c>
      <c r="AC4226">
        <f>OrdersTable[[#This Row],[Delivery Date]]-OrdersTable[[#This Row],[Order Date]]</f>
        <v>4</v>
      </c>
      <c r="AD4226" t="str">
        <f>IF(OrdersTable[[#This Row],[Delivery Days]]&lt;=2, "Express (≤2d)", IF(OrdersTable[[#This Row],[Delivery Days]]&lt;=4, "Standard (3-4d)", "Delayed (5d+)"))</f>
        <v>Standard (3-4d)</v>
      </c>
      <c r="AF4226">
        <v>1</v>
      </c>
    </row>
    <row r="4227" spans="1:32" ht="15" x14ac:dyDescent="0.35">
      <c r="A4227" t="s">
        <v>5631</v>
      </c>
      <c r="B4227" s="1">
        <v>45954</v>
      </c>
      <c r="C4227">
        <f>YEAR(OrdersTable[[#This Row],[Order Date]])</f>
        <v>2025</v>
      </c>
      <c r="D4227" s="2">
        <f>DATE(YEAR(OrdersTable[[#This Row],[Order Date]]),MONTH(OrdersTable[[#This Row],[Order Date]]),1)</f>
        <v>45931</v>
      </c>
      <c r="E4227">
        <f>MONTH(OrdersTable[[#This Row],[Order Date]])</f>
        <v>10</v>
      </c>
      <c r="F4227" t="s">
        <v>3725</v>
      </c>
      <c r="G4227" t="str">
        <f>IF(OrdersTable[[#This Row],[Order Date]]=_xlfn.MINIFS(Order_Date, Customer_ID, OrdersTable[[#This Row],[Customer ID]]), "New", "Repeat")</f>
        <v>Repeat</v>
      </c>
      <c r="H4227" t="s">
        <v>27</v>
      </c>
      <c r="I4227" t="str">
        <f>INDEX(State!B:B,MATCH(OrdersTable[[#This Row],[State]],State!A:A,0))</f>
        <v>WB</v>
      </c>
      <c r="J4227" t="str">
        <f>INDEX(State!C:C,MATCH(OrdersTable[[#This Row],[State Code]],State!B:B,0))</f>
        <v>East</v>
      </c>
      <c r="K4227" t="s">
        <v>28</v>
      </c>
      <c r="L4227" t="s">
        <v>65</v>
      </c>
      <c r="M4227" t="s">
        <v>160</v>
      </c>
      <c r="N4227" t="str">
        <f>INDEX(Products!B:B,MATCH(OrdersTable[[#This Row],[Product ID]],Products!A:A,0))</f>
        <v>Niacinamide Toner</v>
      </c>
      <c r="O4227" t="str">
        <f>INDEX(Products!C:C,MATCH(OrdersTable[[#This Row],[Product ID]],Products!A:A,0))</f>
        <v>Skincare</v>
      </c>
      <c r="P4227">
        <v>2</v>
      </c>
      <c r="Q4227" s="5">
        <v>399</v>
      </c>
      <c r="R4227" s="74">
        <v>0.4</v>
      </c>
      <c r="S4227" s="75">
        <f>OrdersTable[[#This Row],[Quantity]]*OrdersTable[[#This Row],[Unit Price]]</f>
        <v>798</v>
      </c>
      <c r="T4227" s="5">
        <f>OrdersTable[[#This Row],[Gross Sale]]*OrdersTable[[#This Row],[Discount_Clean2]]</f>
        <v>319.20000000000005</v>
      </c>
      <c r="U4227" s="5">
        <f>OrdersTable[[#This Row],[Gross Sale]]-OrdersTable[[#This Row],[Discount Amount]]</f>
        <v>478.79999999999995</v>
      </c>
      <c r="V4227" s="77">
        <f>INDEX(Products!E:E,MATCH(OrdersTable[[#This Row],[Product ID]],Products!A:A,0))</f>
        <v>112</v>
      </c>
      <c r="W4227" s="77">
        <f>OrdersTable[[#This Row],[Quantity]]*OrdersTable[[#This Row],[Unit Cost]]</f>
        <v>224</v>
      </c>
      <c r="X4227" s="77">
        <f>'Dropdown Lists'!$I$2*(1+OrdersTable[[#This Row],[Returned]])</f>
        <v>120</v>
      </c>
      <c r="Y4227" s="76">
        <f>OrdersTable[[#This Row],[Net Revenue]]-OrdersTable[[#This Row],[COGS]]-OrdersTable[[#This Row],[Shipping Cost]]</f>
        <v>134.79999999999995</v>
      </c>
      <c r="Z4227" s="78">
        <f>IFERROR(OrdersTable[[#This Row],[Profit]]/OrdersTable[[#This Row],[Net Revenue]],0)</f>
        <v>0.28153717627401831</v>
      </c>
      <c r="AA4227" t="s">
        <v>2522</v>
      </c>
      <c r="AB4227" s="79">
        <v>45958</v>
      </c>
      <c r="AC4227">
        <f>OrdersTable[[#This Row],[Delivery Date]]-OrdersTable[[#This Row],[Order Date]]</f>
        <v>4</v>
      </c>
      <c r="AD4227" t="str">
        <f>IF(OrdersTable[[#This Row],[Delivery Days]]&lt;=2, "Express (≤2d)", IF(OrdersTable[[#This Row],[Delivery Days]]&lt;=4, "Standard (3-4d)", "Delayed (5d+)"))</f>
        <v>Standard (3-4d)</v>
      </c>
      <c r="AE4227">
        <v>4</v>
      </c>
      <c r="AF4227">
        <v>1</v>
      </c>
    </row>
    <row r="4228" spans="1:32" ht="15" x14ac:dyDescent="0.35">
      <c r="A4228" t="s">
        <v>7123</v>
      </c>
      <c r="B4228" s="1">
        <v>45954</v>
      </c>
      <c r="C4228">
        <f>YEAR(OrdersTable[[#This Row],[Order Date]])</f>
        <v>2025</v>
      </c>
      <c r="D4228" s="2">
        <f>DATE(YEAR(OrdersTable[[#This Row],[Order Date]]),MONTH(OrdersTable[[#This Row],[Order Date]]),1)</f>
        <v>45931</v>
      </c>
      <c r="E4228">
        <f>MONTH(OrdersTable[[#This Row],[Order Date]])</f>
        <v>10</v>
      </c>
      <c r="F4228" t="s">
        <v>5022</v>
      </c>
      <c r="G4228" t="str">
        <f>IF(OrdersTable[[#This Row],[Order Date]]=_xlfn.MINIFS(Order_Date, Customer_ID, OrdersTable[[#This Row],[Customer ID]]), "New", "Repeat")</f>
        <v>Repeat</v>
      </c>
      <c r="H4228" t="s">
        <v>71</v>
      </c>
      <c r="I4228" t="str">
        <f>INDEX(State!B:B,MATCH(OrdersTable[[#This Row],[State]],State!A:A,0))</f>
        <v>MH</v>
      </c>
      <c r="J4228" t="str">
        <f>INDEX(State!C:C,MATCH(OrdersTable[[#This Row],[State Code]],State!B:B,0))</f>
        <v>West</v>
      </c>
      <c r="K4228" t="s">
        <v>72</v>
      </c>
      <c r="L4228" t="s">
        <v>65</v>
      </c>
      <c r="M4228" t="s">
        <v>179</v>
      </c>
      <c r="N4228" t="str">
        <f>INDEX(Products!B:B,MATCH(OrdersTable[[#This Row],[Product ID]],Products!A:A,0))</f>
        <v>Whey Protein 1kg</v>
      </c>
      <c r="O4228" t="str">
        <f>INDEX(Products!C:C,MATCH(OrdersTable[[#This Row],[Product ID]],Products!A:A,0))</f>
        <v>Wellness</v>
      </c>
      <c r="P4228">
        <v>4</v>
      </c>
      <c r="Q4228" s="5">
        <v>2299</v>
      </c>
      <c r="R4228" s="74">
        <v>0.55000000000000004</v>
      </c>
      <c r="S4228" s="75">
        <f>OrdersTable[[#This Row],[Quantity]]*OrdersTable[[#This Row],[Unit Price]]</f>
        <v>9196</v>
      </c>
      <c r="T4228" s="5">
        <f>OrdersTable[[#This Row],[Gross Sale]]*OrdersTable[[#This Row],[Discount_Clean2]]</f>
        <v>5057.8</v>
      </c>
      <c r="U4228" s="5">
        <f>OrdersTable[[#This Row],[Gross Sale]]-OrdersTable[[#This Row],[Discount Amount]]</f>
        <v>4138.2</v>
      </c>
      <c r="V4228" s="77">
        <f>INDEX(Products!E:E,MATCH(OrdersTable[[#This Row],[Product ID]],Products!A:A,0))</f>
        <v>1333</v>
      </c>
      <c r="W4228" s="77">
        <f>OrdersTable[[#This Row],[Quantity]]*OrdersTable[[#This Row],[Unit Cost]]</f>
        <v>5332</v>
      </c>
      <c r="X4228" s="77">
        <f>'Dropdown Lists'!$I$2*(1+OrdersTable[[#This Row],[Returned]])</f>
        <v>60</v>
      </c>
      <c r="Y4228" s="76">
        <f>OrdersTable[[#This Row],[Net Revenue]]-OrdersTable[[#This Row],[COGS]]-OrdersTable[[#This Row],[Shipping Cost]]</f>
        <v>-1253.8000000000002</v>
      </c>
      <c r="Z4228" s="78">
        <f>IFERROR(OrdersTable[[#This Row],[Profit]]/OrdersTable[[#This Row],[Net Revenue]],0)</f>
        <v>-0.3029819728384322</v>
      </c>
      <c r="AA4228" t="s">
        <v>18</v>
      </c>
      <c r="AB4228" s="79">
        <v>45956</v>
      </c>
      <c r="AC4228">
        <f>OrdersTable[[#This Row],[Delivery Date]]-OrdersTable[[#This Row],[Order Date]]</f>
        <v>2</v>
      </c>
      <c r="AD4228" t="str">
        <f>IF(OrdersTable[[#This Row],[Delivery Days]]&lt;=2, "Express (≤2d)", IF(OrdersTable[[#This Row],[Delivery Days]]&lt;=4, "Standard (3-4d)", "Delayed (5d+)"))</f>
        <v>Express (≤2d)</v>
      </c>
      <c r="AE4228">
        <v>4</v>
      </c>
      <c r="AF4228">
        <v>0</v>
      </c>
    </row>
    <row r="4229" spans="1:32" ht="15" x14ac:dyDescent="0.35">
      <c r="A4229" t="s">
        <v>1026</v>
      </c>
      <c r="B4229" s="1">
        <v>45954</v>
      </c>
      <c r="C4229">
        <f>YEAR(OrdersTable[[#This Row],[Order Date]])</f>
        <v>2025</v>
      </c>
      <c r="D4229" s="2">
        <f>DATE(YEAR(OrdersTable[[#This Row],[Order Date]]),MONTH(OrdersTable[[#This Row],[Order Date]]),1)</f>
        <v>45931</v>
      </c>
      <c r="E4229">
        <f>MONTH(OrdersTable[[#This Row],[Order Date]])</f>
        <v>10</v>
      </c>
      <c r="F4229" t="s">
        <v>1027</v>
      </c>
      <c r="G4229" t="str">
        <f>IF(OrdersTable[[#This Row],[Order Date]]=_xlfn.MINIFS(Order_Date, Customer_ID, OrdersTable[[#This Row],[Customer ID]]), "New", "Repeat")</f>
        <v>Repeat</v>
      </c>
      <c r="H4229" t="s">
        <v>59</v>
      </c>
      <c r="I4229" t="str">
        <f>INDEX(State!B:B,MATCH(OrdersTable[[#This Row],[State]],State!A:A,0))</f>
        <v>TN</v>
      </c>
      <c r="J4229" t="str">
        <f>INDEX(State!C:C,MATCH(OrdersTable[[#This Row],[State Code]],State!B:B,0))</f>
        <v>South</v>
      </c>
      <c r="K4229" t="s">
        <v>60</v>
      </c>
      <c r="L4229" t="s">
        <v>39</v>
      </c>
      <c r="M4229" t="s">
        <v>40</v>
      </c>
      <c r="N4229" t="str">
        <f>INDEX(Products!B:B,MATCH(OrdersTable[[#This Row],[Product ID]],Products!A:A,0))</f>
        <v>Ashwagandha Capsules</v>
      </c>
      <c r="O4229" t="str">
        <f>INDEX(Products!C:C,MATCH(OrdersTable[[#This Row],[Product ID]],Products!A:A,0))</f>
        <v>Wellness</v>
      </c>
      <c r="P4229">
        <v>1</v>
      </c>
      <c r="Q4229" s="5">
        <v>499</v>
      </c>
      <c r="R4229" s="74">
        <v>0.1</v>
      </c>
      <c r="S4229" s="75">
        <f>OrdersTable[[#This Row],[Quantity]]*OrdersTable[[#This Row],[Unit Price]]</f>
        <v>499</v>
      </c>
      <c r="T4229" s="5">
        <f>OrdersTable[[#This Row],[Gross Sale]]*OrdersTable[[#This Row],[Discount_Clean2]]</f>
        <v>49.900000000000006</v>
      </c>
      <c r="U4229" s="5">
        <f>OrdersTable[[#This Row],[Gross Sale]]-OrdersTable[[#This Row],[Discount Amount]]</f>
        <v>449.1</v>
      </c>
      <c r="V4229" s="77">
        <f>INDEX(Products!E:E,MATCH(OrdersTable[[#This Row],[Product ID]],Products!A:A,0))</f>
        <v>150</v>
      </c>
      <c r="W4229" s="77">
        <f>OrdersTable[[#This Row],[Quantity]]*OrdersTable[[#This Row],[Unit Cost]]</f>
        <v>150</v>
      </c>
      <c r="X4229" s="77">
        <f>'Dropdown Lists'!$I$2*(1+OrdersTable[[#This Row],[Returned]])</f>
        <v>60</v>
      </c>
      <c r="Y4229" s="76">
        <f>OrdersTable[[#This Row],[Net Revenue]]-OrdersTable[[#This Row],[COGS]]-OrdersTable[[#This Row],[Shipping Cost]]</f>
        <v>239.10000000000002</v>
      </c>
      <c r="Z4229" s="78">
        <f>IFERROR(OrdersTable[[#This Row],[Profit]]/OrdersTable[[#This Row],[Net Revenue]],0)</f>
        <v>0.53239812959251842</v>
      </c>
      <c r="AA4229" t="s">
        <v>18</v>
      </c>
      <c r="AB4229" s="79">
        <v>45958</v>
      </c>
      <c r="AC4229">
        <f>OrdersTable[[#This Row],[Delivery Date]]-OrdersTable[[#This Row],[Order Date]]</f>
        <v>4</v>
      </c>
      <c r="AD4229" t="str">
        <f>IF(OrdersTable[[#This Row],[Delivery Days]]&lt;=2, "Express (≤2d)", IF(OrdersTable[[#This Row],[Delivery Days]]&lt;=4, "Standard (3-4d)", "Delayed (5d+)"))</f>
        <v>Standard (3-4d)</v>
      </c>
      <c r="AE4229">
        <v>4</v>
      </c>
      <c r="AF4229">
        <v>0</v>
      </c>
    </row>
    <row r="4230" spans="1:32" ht="15" x14ac:dyDescent="0.35">
      <c r="A4230" t="s">
        <v>5044</v>
      </c>
      <c r="B4230" s="1">
        <v>45955</v>
      </c>
      <c r="C4230">
        <f>YEAR(OrdersTable[[#This Row],[Order Date]])</f>
        <v>2025</v>
      </c>
      <c r="D4230" s="2">
        <f>DATE(YEAR(OrdersTable[[#This Row],[Order Date]]),MONTH(OrdersTable[[#This Row],[Order Date]]),1)</f>
        <v>45931</v>
      </c>
      <c r="E4230">
        <f>MONTH(OrdersTable[[#This Row],[Order Date]])</f>
        <v>10</v>
      </c>
      <c r="F4230" t="s">
        <v>3806</v>
      </c>
      <c r="G4230" t="str">
        <f>IF(OrdersTable[[#This Row],[Order Date]]=_xlfn.MINIFS(Order_Date, Customer_ID, OrdersTable[[#This Row],[Customer ID]]), "New", "Repeat")</f>
        <v>Repeat</v>
      </c>
      <c r="H4230" t="s">
        <v>54</v>
      </c>
      <c r="I4230" t="str">
        <f>INDEX(State!B:B,MATCH(OrdersTable[[#This Row],[State]],State!A:A,0))</f>
        <v>RJ</v>
      </c>
      <c r="J4230" t="str">
        <f>INDEX(State!C:C,MATCH(OrdersTable[[#This Row],[State Code]],State!B:B,0))</f>
        <v>North</v>
      </c>
      <c r="K4230" t="s">
        <v>55</v>
      </c>
      <c r="L4230" t="s">
        <v>16</v>
      </c>
      <c r="M4230" t="s">
        <v>29</v>
      </c>
      <c r="N4230" t="str">
        <f>INDEX(Products!B:B,MATCH(OrdersTable[[#This Row],[Product ID]],Products!A:A,0))</f>
        <v>Joggers</v>
      </c>
      <c r="O4230" t="str">
        <f>INDEX(Products!C:C,MATCH(OrdersTable[[#This Row],[Product ID]],Products!A:A,0))</f>
        <v>Apparel</v>
      </c>
      <c r="P4230">
        <v>2</v>
      </c>
      <c r="Q4230" s="5">
        <v>1199</v>
      </c>
      <c r="R4230" s="74">
        <v>0.3</v>
      </c>
      <c r="S4230" s="75">
        <f>OrdersTable[[#This Row],[Quantity]]*OrdersTable[[#This Row],[Unit Price]]</f>
        <v>2398</v>
      </c>
      <c r="T4230" s="5">
        <f>OrdersTable[[#This Row],[Gross Sale]]*OrdersTable[[#This Row],[Discount_Clean2]]</f>
        <v>719.4</v>
      </c>
      <c r="U4230" s="5">
        <f>OrdersTable[[#This Row],[Gross Sale]]-OrdersTable[[#This Row],[Discount Amount]]</f>
        <v>1678.6</v>
      </c>
      <c r="V4230" s="77">
        <f>INDEX(Products!E:E,MATCH(OrdersTable[[#This Row],[Product ID]],Products!A:A,0))</f>
        <v>492</v>
      </c>
      <c r="W4230" s="77">
        <f>OrdersTable[[#This Row],[Quantity]]*OrdersTable[[#This Row],[Unit Cost]]</f>
        <v>984</v>
      </c>
      <c r="X4230" s="77">
        <f>'Dropdown Lists'!$I$2*(1+OrdersTable[[#This Row],[Returned]])</f>
        <v>120</v>
      </c>
      <c r="Y4230" s="76">
        <f>OrdersTable[[#This Row],[Net Revenue]]-OrdersTable[[#This Row],[COGS]]-OrdersTable[[#This Row],[Shipping Cost]]</f>
        <v>574.59999999999991</v>
      </c>
      <c r="Z4230" s="78">
        <f>IFERROR(OrdersTable[[#This Row],[Profit]]/OrdersTable[[#This Row],[Net Revenue]],0)</f>
        <v>0.34230906707970926</v>
      </c>
      <c r="AA4230" t="s">
        <v>4074</v>
      </c>
      <c r="AB4230" s="79">
        <v>45960</v>
      </c>
      <c r="AC4230">
        <f>OrdersTable[[#This Row],[Delivery Date]]-OrdersTable[[#This Row],[Order Date]]</f>
        <v>5</v>
      </c>
      <c r="AD4230" t="str">
        <f>IF(OrdersTable[[#This Row],[Delivery Days]]&lt;=2, "Express (≤2d)", IF(OrdersTable[[#This Row],[Delivery Days]]&lt;=4, "Standard (3-4d)", "Delayed (5d+)"))</f>
        <v>Delayed (5d+)</v>
      </c>
      <c r="AE4230">
        <v>4</v>
      </c>
      <c r="AF4230">
        <v>1</v>
      </c>
    </row>
    <row r="4231" spans="1:32" ht="15" x14ac:dyDescent="0.35">
      <c r="A4231" t="s">
        <v>2180</v>
      </c>
      <c r="B4231" s="1">
        <v>45955</v>
      </c>
      <c r="C4231">
        <f>YEAR(OrdersTable[[#This Row],[Order Date]])</f>
        <v>2025</v>
      </c>
      <c r="D4231" s="2">
        <f>DATE(YEAR(OrdersTable[[#This Row],[Order Date]]),MONTH(OrdersTable[[#This Row],[Order Date]]),1)</f>
        <v>45931</v>
      </c>
      <c r="E4231">
        <f>MONTH(OrdersTable[[#This Row],[Order Date]])</f>
        <v>10</v>
      </c>
      <c r="F4231" t="s">
        <v>2181</v>
      </c>
      <c r="G4231" t="str">
        <f>IF(OrdersTable[[#This Row],[Order Date]]=_xlfn.MINIFS(Order_Date, Customer_ID, OrdersTable[[#This Row],[Customer ID]]), "New", "Repeat")</f>
        <v>Repeat</v>
      </c>
      <c r="H4231" t="s">
        <v>48</v>
      </c>
      <c r="I4231" t="str">
        <f>INDEX(State!B:B,MATCH(OrdersTable[[#This Row],[State]],State!A:A,0))</f>
        <v>HR</v>
      </c>
      <c r="J4231" t="str">
        <f>INDEX(State!C:C,MATCH(OrdersTable[[#This Row],[State Code]],State!B:B,0))</f>
        <v>North</v>
      </c>
      <c r="K4231" t="s">
        <v>49</v>
      </c>
      <c r="L4231" t="s">
        <v>23</v>
      </c>
      <c r="M4231" t="s">
        <v>56</v>
      </c>
      <c r="N4231" t="str">
        <f>INDEX(Products!B:B,MATCH(OrdersTable[[#This Row],[Product ID]],Products!A:A,0))</f>
        <v>Vitamin C Face Serum</v>
      </c>
      <c r="O4231" t="str">
        <f>INDEX(Products!C:C,MATCH(OrdersTable[[#This Row],[Product ID]],Products!A:A,0))</f>
        <v>Skincare</v>
      </c>
      <c r="P4231">
        <v>1</v>
      </c>
      <c r="Q4231" s="5">
        <v>599</v>
      </c>
      <c r="R4231" s="74">
        <v>0.2</v>
      </c>
      <c r="S4231" s="75">
        <f>OrdersTable[[#This Row],[Quantity]]*OrdersTable[[#This Row],[Unit Price]]</f>
        <v>599</v>
      </c>
      <c r="T4231" s="5">
        <f>OrdersTable[[#This Row],[Gross Sale]]*OrdersTable[[#This Row],[Discount_Clean2]]</f>
        <v>119.80000000000001</v>
      </c>
      <c r="U4231" s="5">
        <f>OrdersTable[[#This Row],[Gross Sale]]-OrdersTable[[#This Row],[Discount Amount]]</f>
        <v>479.2</v>
      </c>
      <c r="V4231" s="77">
        <f>INDEX(Products!E:E,MATCH(OrdersTable[[#This Row],[Product ID]],Products!A:A,0))</f>
        <v>180</v>
      </c>
      <c r="W4231" s="77">
        <f>OrdersTable[[#This Row],[Quantity]]*OrdersTable[[#This Row],[Unit Cost]]</f>
        <v>180</v>
      </c>
      <c r="X4231" s="77">
        <f>'Dropdown Lists'!$I$2*(1+OrdersTable[[#This Row],[Returned]])</f>
        <v>60</v>
      </c>
      <c r="Y4231" s="76">
        <f>OrdersTable[[#This Row],[Net Revenue]]-OrdersTable[[#This Row],[COGS]]-OrdersTable[[#This Row],[Shipping Cost]]</f>
        <v>239.2</v>
      </c>
      <c r="Z4231" s="78">
        <f>IFERROR(OrdersTable[[#This Row],[Profit]]/OrdersTable[[#This Row],[Net Revenue]],0)</f>
        <v>0.4991652754590985</v>
      </c>
      <c r="AA4231" t="s">
        <v>18</v>
      </c>
      <c r="AB4231" s="79">
        <v>45959</v>
      </c>
      <c r="AC4231">
        <f>OrdersTable[[#This Row],[Delivery Date]]-OrdersTable[[#This Row],[Order Date]]</f>
        <v>4</v>
      </c>
      <c r="AD4231" t="str">
        <f>IF(OrdersTable[[#This Row],[Delivery Days]]&lt;=2, "Express (≤2d)", IF(OrdersTable[[#This Row],[Delivery Days]]&lt;=4, "Standard (3-4d)", "Delayed (5d+)"))</f>
        <v>Standard (3-4d)</v>
      </c>
      <c r="AE4231">
        <v>3</v>
      </c>
      <c r="AF4231">
        <v>0</v>
      </c>
    </row>
    <row r="4232" spans="1:32" ht="15" x14ac:dyDescent="0.35">
      <c r="A4232" t="s">
        <v>4868</v>
      </c>
      <c r="B4232" s="1">
        <v>45955</v>
      </c>
      <c r="C4232">
        <f>YEAR(OrdersTable[[#This Row],[Order Date]])</f>
        <v>2025</v>
      </c>
      <c r="D4232" s="2">
        <f>DATE(YEAR(OrdersTable[[#This Row],[Order Date]]),MONTH(OrdersTable[[#This Row],[Order Date]]),1)</f>
        <v>45931</v>
      </c>
      <c r="E4232">
        <f>MONTH(OrdersTable[[#This Row],[Order Date]])</f>
        <v>10</v>
      </c>
      <c r="F4232" t="s">
        <v>4869</v>
      </c>
      <c r="G4232" t="str">
        <f>IF(OrdersTable[[#This Row],[Order Date]]=_xlfn.MINIFS(Order_Date, Customer_ID, OrdersTable[[#This Row],[Customer ID]]), "New", "Repeat")</f>
        <v>Repeat</v>
      </c>
      <c r="H4232" t="s">
        <v>128</v>
      </c>
      <c r="I4232" t="str">
        <f>INDEX(State!B:B,MATCH(OrdersTable[[#This Row],[State]],State!A:A,0))</f>
        <v>DL</v>
      </c>
      <c r="J4232" t="str">
        <f>INDEX(State!C:C,MATCH(OrdersTable[[#This Row],[State Code]],State!B:B,0))</f>
        <v>North</v>
      </c>
      <c r="K4232" t="s">
        <v>129</v>
      </c>
      <c r="L4232" t="s">
        <v>16</v>
      </c>
      <c r="M4232" t="s">
        <v>87</v>
      </c>
      <c r="N4232" t="str">
        <f>INDEX(Products!B:B,MATCH(OrdersTable[[#This Row],[Product ID]],Products!A:A,0))</f>
        <v>Linen Kurta</v>
      </c>
      <c r="O4232" t="str">
        <f>INDEX(Products!C:C,MATCH(OrdersTable[[#This Row],[Product ID]],Products!A:A,0))</f>
        <v>Apparel</v>
      </c>
      <c r="P4232">
        <v>2</v>
      </c>
      <c r="Q4232" s="5">
        <v>1499</v>
      </c>
      <c r="R4232" s="74">
        <v>0.5</v>
      </c>
      <c r="S4232" s="75">
        <f>OrdersTable[[#This Row],[Quantity]]*OrdersTable[[#This Row],[Unit Price]]</f>
        <v>2998</v>
      </c>
      <c r="T4232" s="5">
        <f>OrdersTable[[#This Row],[Gross Sale]]*OrdersTable[[#This Row],[Discount_Clean2]]</f>
        <v>1499</v>
      </c>
      <c r="U4232" s="5">
        <f>OrdersTable[[#This Row],[Gross Sale]]-OrdersTable[[#This Row],[Discount Amount]]</f>
        <v>1499</v>
      </c>
      <c r="V4232" s="77">
        <f>INDEX(Products!E:E,MATCH(OrdersTable[[#This Row],[Product ID]],Products!A:A,0))</f>
        <v>630</v>
      </c>
      <c r="W4232" s="77">
        <f>OrdersTable[[#This Row],[Quantity]]*OrdersTable[[#This Row],[Unit Cost]]</f>
        <v>1260</v>
      </c>
      <c r="X4232" s="77">
        <f>'Dropdown Lists'!$I$2*(1+OrdersTable[[#This Row],[Returned]])</f>
        <v>60</v>
      </c>
      <c r="Y4232" s="76">
        <f>OrdersTable[[#This Row],[Net Revenue]]-OrdersTable[[#This Row],[COGS]]-OrdersTable[[#This Row],[Shipping Cost]]</f>
        <v>179</v>
      </c>
      <c r="Z4232" s="78">
        <f>IFERROR(OrdersTable[[#This Row],[Profit]]/OrdersTable[[#This Row],[Net Revenue]],0)</f>
        <v>0.11941294196130754</v>
      </c>
      <c r="AA4232" t="s">
        <v>4450</v>
      </c>
      <c r="AB4232" s="79">
        <v>45956</v>
      </c>
      <c r="AC4232">
        <f>OrdersTable[[#This Row],[Delivery Date]]-OrdersTable[[#This Row],[Order Date]]</f>
        <v>1</v>
      </c>
      <c r="AD4232" t="str">
        <f>IF(OrdersTable[[#This Row],[Delivery Days]]&lt;=2, "Express (≤2d)", IF(OrdersTable[[#This Row],[Delivery Days]]&lt;=4, "Standard (3-4d)", "Delayed (5d+)"))</f>
        <v>Express (≤2d)</v>
      </c>
      <c r="AF4232">
        <v>0</v>
      </c>
    </row>
    <row r="4233" spans="1:32" ht="15" x14ac:dyDescent="0.35">
      <c r="A4233" t="s">
        <v>6414</v>
      </c>
      <c r="B4233" s="1">
        <v>45955</v>
      </c>
      <c r="C4233">
        <f>YEAR(OrdersTable[[#This Row],[Order Date]])</f>
        <v>2025</v>
      </c>
      <c r="D4233" s="2">
        <f>DATE(YEAR(OrdersTable[[#This Row],[Order Date]]),MONTH(OrdersTable[[#This Row],[Order Date]]),1)</f>
        <v>45931</v>
      </c>
      <c r="E4233">
        <f>MONTH(OrdersTable[[#This Row],[Order Date]])</f>
        <v>10</v>
      </c>
      <c r="F4233" t="s">
        <v>5217</v>
      </c>
      <c r="G4233" t="str">
        <f>IF(OrdersTable[[#This Row],[Order Date]]=_xlfn.MINIFS(Order_Date, Customer_ID, OrdersTable[[#This Row],[Customer ID]]), "New", "Repeat")</f>
        <v>Repeat</v>
      </c>
      <c r="H4233" t="s">
        <v>128</v>
      </c>
      <c r="I4233" t="str">
        <f>INDEX(State!B:B,MATCH(OrdersTable[[#This Row],[State]],State!A:A,0))</f>
        <v>DL</v>
      </c>
      <c r="J4233" t="str">
        <f>INDEX(State!C:C,MATCH(OrdersTable[[#This Row],[State Code]],State!B:B,0))</f>
        <v>North</v>
      </c>
      <c r="K4233" t="s">
        <v>129</v>
      </c>
      <c r="L4233" t="s">
        <v>50</v>
      </c>
      <c r="M4233" t="s">
        <v>51</v>
      </c>
      <c r="N4233" t="str">
        <f>INDEX(Products!B:B,MATCH(OrdersTable[[#This Row],[Product ID]],Products!A:A,0))</f>
        <v>Anti-Dandruff Conditioner</v>
      </c>
      <c r="O4233" t="str">
        <f>INDEX(Products!C:C,MATCH(OrdersTable[[#This Row],[Product ID]],Products!A:A,0))</f>
        <v>Haircare</v>
      </c>
      <c r="P4233">
        <v>2</v>
      </c>
      <c r="Q4233" s="5">
        <v>399</v>
      </c>
      <c r="R4233" s="74">
        <v>0.45</v>
      </c>
      <c r="S4233" s="75">
        <f>OrdersTable[[#This Row],[Quantity]]*OrdersTable[[#This Row],[Unit Price]]</f>
        <v>798</v>
      </c>
      <c r="T4233" s="5">
        <f>OrdersTable[[#This Row],[Gross Sale]]*OrdersTable[[#This Row],[Discount_Clean2]]</f>
        <v>359.1</v>
      </c>
      <c r="U4233" s="5">
        <f>OrdersTable[[#This Row],[Gross Sale]]-OrdersTable[[#This Row],[Discount Amount]]</f>
        <v>438.9</v>
      </c>
      <c r="V4233" s="77">
        <f>INDEX(Products!E:E,MATCH(OrdersTable[[#This Row],[Product ID]],Products!A:A,0))</f>
        <v>136</v>
      </c>
      <c r="W4233" s="77">
        <f>OrdersTable[[#This Row],[Quantity]]*OrdersTable[[#This Row],[Unit Cost]]</f>
        <v>272</v>
      </c>
      <c r="X4233" s="77">
        <f>'Dropdown Lists'!$I$2*(1+OrdersTable[[#This Row],[Returned]])</f>
        <v>60</v>
      </c>
      <c r="Y4233" s="76">
        <f>OrdersTable[[#This Row],[Net Revenue]]-OrdersTable[[#This Row],[COGS]]-OrdersTable[[#This Row],[Shipping Cost]]</f>
        <v>106.89999999999998</v>
      </c>
      <c r="Z4233" s="78">
        <f>IFERROR(OrdersTable[[#This Row],[Profit]]/OrdersTable[[#This Row],[Net Revenue]],0)</f>
        <v>0.24356345408976984</v>
      </c>
      <c r="AA4233" t="s">
        <v>18</v>
      </c>
      <c r="AB4233" s="79">
        <v>45959</v>
      </c>
      <c r="AC4233">
        <f>OrdersTable[[#This Row],[Delivery Date]]-OrdersTable[[#This Row],[Order Date]]</f>
        <v>4</v>
      </c>
      <c r="AD4233" t="str">
        <f>IF(OrdersTable[[#This Row],[Delivery Days]]&lt;=2, "Express (≤2d)", IF(OrdersTable[[#This Row],[Delivery Days]]&lt;=4, "Standard (3-4d)", "Delayed (5d+)"))</f>
        <v>Standard (3-4d)</v>
      </c>
      <c r="AE4233">
        <v>3</v>
      </c>
      <c r="AF4233">
        <v>0</v>
      </c>
    </row>
    <row r="4234" spans="1:32" ht="15" x14ac:dyDescent="0.35">
      <c r="A4234" t="s">
        <v>5253</v>
      </c>
      <c r="B4234" s="1">
        <v>45955</v>
      </c>
      <c r="C4234">
        <f>YEAR(OrdersTable[[#This Row],[Order Date]])</f>
        <v>2025</v>
      </c>
      <c r="D4234" s="2">
        <f>DATE(YEAR(OrdersTable[[#This Row],[Order Date]]),MONTH(OrdersTable[[#This Row],[Order Date]]),1)</f>
        <v>45931</v>
      </c>
      <c r="E4234">
        <f>MONTH(OrdersTable[[#This Row],[Order Date]])</f>
        <v>10</v>
      </c>
      <c r="F4234" t="s">
        <v>2505</v>
      </c>
      <c r="G4234" t="str">
        <f>IF(OrdersTable[[#This Row],[Order Date]]=_xlfn.MINIFS(Order_Date, Customer_ID, OrdersTable[[#This Row],[Customer ID]]), "New", "Repeat")</f>
        <v>Repeat</v>
      </c>
      <c r="H4234" t="s">
        <v>32</v>
      </c>
      <c r="I4234" t="str">
        <f>INDEX(State!B:B,MATCH(OrdersTable[[#This Row],[State]],State!A:A,0))</f>
        <v>BR</v>
      </c>
      <c r="J4234" t="str">
        <f>INDEX(State!C:C,MATCH(OrdersTable[[#This Row],[State Code]],State!B:B,0))</f>
        <v>East</v>
      </c>
      <c r="K4234" t="s">
        <v>33</v>
      </c>
      <c r="L4234" t="s">
        <v>65</v>
      </c>
      <c r="M4234" t="s">
        <v>179</v>
      </c>
      <c r="N4234" t="str">
        <f>INDEX(Products!B:B,MATCH(OrdersTable[[#This Row],[Product ID]],Products!A:A,0))</f>
        <v>Whey Protein 1kg</v>
      </c>
      <c r="O4234" t="str">
        <f>INDEX(Products!C:C,MATCH(OrdersTable[[#This Row],[Product ID]],Products!A:A,0))</f>
        <v>Wellness</v>
      </c>
      <c r="P4234">
        <v>2</v>
      </c>
      <c r="Q4234" s="5">
        <v>2299</v>
      </c>
      <c r="R4234" s="74">
        <v>0.5</v>
      </c>
      <c r="S4234" s="75">
        <f>OrdersTable[[#This Row],[Quantity]]*OrdersTable[[#This Row],[Unit Price]]</f>
        <v>4598</v>
      </c>
      <c r="T4234" s="5">
        <f>OrdersTable[[#This Row],[Gross Sale]]*OrdersTable[[#This Row],[Discount_Clean2]]</f>
        <v>2299</v>
      </c>
      <c r="U4234" s="5">
        <f>OrdersTable[[#This Row],[Gross Sale]]-OrdersTable[[#This Row],[Discount Amount]]</f>
        <v>2299</v>
      </c>
      <c r="V4234" s="77">
        <f>INDEX(Products!E:E,MATCH(OrdersTable[[#This Row],[Product ID]],Products!A:A,0))</f>
        <v>1333</v>
      </c>
      <c r="W4234" s="77">
        <f>OrdersTable[[#This Row],[Quantity]]*OrdersTable[[#This Row],[Unit Cost]]</f>
        <v>2666</v>
      </c>
      <c r="X4234" s="77">
        <f>'Dropdown Lists'!$I$2*(1+OrdersTable[[#This Row],[Returned]])</f>
        <v>60</v>
      </c>
      <c r="Y4234" s="76">
        <f>OrdersTable[[#This Row],[Net Revenue]]-OrdersTable[[#This Row],[COGS]]-OrdersTable[[#This Row],[Shipping Cost]]</f>
        <v>-427</v>
      </c>
      <c r="Z4234" s="78">
        <f>IFERROR(OrdersTable[[#This Row],[Profit]]/OrdersTable[[#This Row],[Net Revenue]],0)</f>
        <v>-0.18573292735972161</v>
      </c>
      <c r="AA4234" t="s">
        <v>3495</v>
      </c>
      <c r="AB4234" s="79">
        <v>45962</v>
      </c>
      <c r="AC4234">
        <f>OrdersTable[[#This Row],[Delivery Date]]-OrdersTable[[#This Row],[Order Date]]</f>
        <v>7</v>
      </c>
      <c r="AD4234" t="str">
        <f>IF(OrdersTable[[#This Row],[Delivery Days]]&lt;=2, "Express (≤2d)", IF(OrdersTable[[#This Row],[Delivery Days]]&lt;=4, "Standard (3-4d)", "Delayed (5d+)"))</f>
        <v>Delayed (5d+)</v>
      </c>
      <c r="AE4234">
        <v>3</v>
      </c>
      <c r="AF4234">
        <v>0</v>
      </c>
    </row>
    <row r="4235" spans="1:32" ht="15" x14ac:dyDescent="0.35">
      <c r="A4235" t="s">
        <v>3121</v>
      </c>
      <c r="B4235" s="1">
        <v>45955</v>
      </c>
      <c r="C4235">
        <f>YEAR(OrdersTable[[#This Row],[Order Date]])</f>
        <v>2025</v>
      </c>
      <c r="D4235" s="2">
        <f>DATE(YEAR(OrdersTable[[#This Row],[Order Date]]),MONTH(OrdersTable[[#This Row],[Order Date]]),1)</f>
        <v>45931</v>
      </c>
      <c r="E4235">
        <f>MONTH(OrdersTable[[#This Row],[Order Date]])</f>
        <v>10</v>
      </c>
      <c r="F4235" t="s">
        <v>335</v>
      </c>
      <c r="G4235" t="str">
        <f>IF(OrdersTable[[#This Row],[Order Date]]=_xlfn.MINIFS(Order_Date, Customer_ID, OrdersTable[[#This Row],[Customer ID]]), "New", "Repeat")</f>
        <v>Repeat</v>
      </c>
      <c r="H4235" t="s">
        <v>27</v>
      </c>
      <c r="I4235" t="str">
        <f>INDEX(State!B:B,MATCH(OrdersTable[[#This Row],[State]],State!A:A,0))</f>
        <v>WB</v>
      </c>
      <c r="J4235" t="str">
        <f>INDEX(State!C:C,MATCH(OrdersTable[[#This Row],[State Code]],State!B:B,0))</f>
        <v>East</v>
      </c>
      <c r="K4235" t="s">
        <v>28</v>
      </c>
      <c r="L4235" t="s">
        <v>50</v>
      </c>
      <c r="M4235" t="s">
        <v>73</v>
      </c>
      <c r="N4235" t="str">
        <f>INDEX(Products!B:B,MATCH(OrdersTable[[#This Row],[Product ID]],Products!A:A,0))</f>
        <v>Hydrating Face Wash</v>
      </c>
      <c r="O4235" t="str">
        <f>INDEX(Products!C:C,MATCH(OrdersTable[[#This Row],[Product ID]],Products!A:A,0))</f>
        <v>Skincare</v>
      </c>
      <c r="P4235">
        <v>1</v>
      </c>
      <c r="Q4235" s="5">
        <v>299</v>
      </c>
      <c r="R4235" s="74">
        <v>0.2</v>
      </c>
      <c r="S4235" s="75">
        <f>OrdersTable[[#This Row],[Quantity]]*OrdersTable[[#This Row],[Unit Price]]</f>
        <v>299</v>
      </c>
      <c r="T4235" s="5">
        <f>OrdersTable[[#This Row],[Gross Sale]]*OrdersTable[[#This Row],[Discount_Clean2]]</f>
        <v>59.800000000000004</v>
      </c>
      <c r="U4235" s="5">
        <f>OrdersTable[[#This Row],[Gross Sale]]-OrdersTable[[#This Row],[Discount Amount]]</f>
        <v>239.2</v>
      </c>
      <c r="V4235" s="77">
        <f>INDEX(Products!E:E,MATCH(OrdersTable[[#This Row],[Product ID]],Products!A:A,0))</f>
        <v>90</v>
      </c>
      <c r="W4235" s="77">
        <f>OrdersTable[[#This Row],[Quantity]]*OrdersTable[[#This Row],[Unit Cost]]</f>
        <v>90</v>
      </c>
      <c r="X4235" s="77">
        <f>'Dropdown Lists'!$I$2*(1+OrdersTable[[#This Row],[Returned]])</f>
        <v>60</v>
      </c>
      <c r="Y4235" s="76">
        <f>OrdersTable[[#This Row],[Net Revenue]]-OrdersTable[[#This Row],[COGS]]-OrdersTable[[#This Row],[Shipping Cost]]</f>
        <v>89.199999999999989</v>
      </c>
      <c r="Z4235" s="78">
        <f>IFERROR(OrdersTable[[#This Row],[Profit]]/OrdersTable[[#This Row],[Net Revenue]],0)</f>
        <v>0.37290969899665549</v>
      </c>
      <c r="AA4235" t="s">
        <v>2522</v>
      </c>
      <c r="AB4235" s="79">
        <v>45960</v>
      </c>
      <c r="AC4235">
        <f>OrdersTable[[#This Row],[Delivery Date]]-OrdersTable[[#This Row],[Order Date]]</f>
        <v>5</v>
      </c>
      <c r="AD4235" t="str">
        <f>IF(OrdersTable[[#This Row],[Delivery Days]]&lt;=2, "Express (≤2d)", IF(OrdersTable[[#This Row],[Delivery Days]]&lt;=4, "Standard (3-4d)", "Delayed (5d+)"))</f>
        <v>Delayed (5d+)</v>
      </c>
      <c r="AF4235">
        <v>0</v>
      </c>
    </row>
    <row r="4236" spans="1:32" ht="15" x14ac:dyDescent="0.35">
      <c r="A4236" t="s">
        <v>5834</v>
      </c>
      <c r="B4236" s="1">
        <v>45955</v>
      </c>
      <c r="C4236">
        <f>YEAR(OrdersTable[[#This Row],[Order Date]])</f>
        <v>2025</v>
      </c>
      <c r="D4236" s="2">
        <f>DATE(YEAR(OrdersTable[[#This Row],[Order Date]]),MONTH(OrdersTable[[#This Row],[Order Date]]),1)</f>
        <v>45931</v>
      </c>
      <c r="E4236">
        <f>MONTH(OrdersTable[[#This Row],[Order Date]])</f>
        <v>10</v>
      </c>
      <c r="F4236" t="s">
        <v>5602</v>
      </c>
      <c r="G4236" t="str">
        <f>IF(OrdersTable[[#This Row],[Order Date]]=_xlfn.MINIFS(Order_Date, Customer_ID, OrdersTable[[#This Row],[Customer ID]]), "New", "Repeat")</f>
        <v>Repeat</v>
      </c>
      <c r="H4236" t="s">
        <v>71</v>
      </c>
      <c r="I4236" t="str">
        <f>INDEX(State!B:B,MATCH(OrdersTable[[#This Row],[State]],State!A:A,0))</f>
        <v>MH</v>
      </c>
      <c r="J4236" t="str">
        <f>INDEX(State!C:C,MATCH(OrdersTable[[#This Row],[State Code]],State!B:B,0))</f>
        <v>West</v>
      </c>
      <c r="K4236" t="s">
        <v>72</v>
      </c>
      <c r="L4236" t="s">
        <v>39</v>
      </c>
      <c r="M4236" t="s">
        <v>106</v>
      </c>
      <c r="N4236" t="str">
        <f>INDEX(Products!B:B,MATCH(OrdersTable[[#This Row],[Product ID]],Products!A:A,0))</f>
        <v>Keratin Hair Mask</v>
      </c>
      <c r="O4236" t="str">
        <f>INDEX(Products!C:C,MATCH(OrdersTable[[#This Row],[Product ID]],Products!A:A,0))</f>
        <v>Haircare</v>
      </c>
      <c r="P4236">
        <v>2</v>
      </c>
      <c r="Q4236" s="5">
        <v>549</v>
      </c>
      <c r="R4236" s="74">
        <v>0.35</v>
      </c>
      <c r="S4236" s="75">
        <f>OrdersTable[[#This Row],[Quantity]]*OrdersTable[[#This Row],[Unit Price]]</f>
        <v>1098</v>
      </c>
      <c r="T4236" s="5">
        <f>OrdersTable[[#This Row],[Gross Sale]]*OrdersTable[[#This Row],[Discount_Clean2]]</f>
        <v>384.29999999999995</v>
      </c>
      <c r="U4236" s="5">
        <f>OrdersTable[[#This Row],[Gross Sale]]-OrdersTable[[#This Row],[Discount Amount]]</f>
        <v>713.7</v>
      </c>
      <c r="V4236" s="77">
        <f>INDEX(Products!E:E,MATCH(OrdersTable[[#This Row],[Product ID]],Products!A:A,0))</f>
        <v>170</v>
      </c>
      <c r="W4236" s="77">
        <f>OrdersTable[[#This Row],[Quantity]]*OrdersTable[[#This Row],[Unit Cost]]</f>
        <v>340</v>
      </c>
      <c r="X4236" s="77">
        <f>'Dropdown Lists'!$I$2*(1+OrdersTable[[#This Row],[Returned]])</f>
        <v>60</v>
      </c>
      <c r="Y4236" s="76">
        <f>OrdersTable[[#This Row],[Net Revenue]]-OrdersTable[[#This Row],[COGS]]-OrdersTable[[#This Row],[Shipping Cost]]</f>
        <v>313.70000000000005</v>
      </c>
      <c r="Z4236" s="78">
        <f>IFERROR(OrdersTable[[#This Row],[Profit]]/OrdersTable[[#This Row],[Net Revenue]],0)</f>
        <v>0.43954042314698055</v>
      </c>
      <c r="AA4236" t="s">
        <v>18</v>
      </c>
      <c r="AB4236" s="79">
        <v>45959</v>
      </c>
      <c r="AC4236">
        <f>OrdersTable[[#This Row],[Delivery Date]]-OrdersTable[[#This Row],[Order Date]]</f>
        <v>4</v>
      </c>
      <c r="AD4236" t="str">
        <f>IF(OrdersTable[[#This Row],[Delivery Days]]&lt;=2, "Express (≤2d)", IF(OrdersTable[[#This Row],[Delivery Days]]&lt;=4, "Standard (3-4d)", "Delayed (5d+)"))</f>
        <v>Standard (3-4d)</v>
      </c>
      <c r="AE4236">
        <v>5</v>
      </c>
      <c r="AF4236">
        <v>0</v>
      </c>
    </row>
    <row r="4237" spans="1:32" ht="15" x14ac:dyDescent="0.35">
      <c r="A4237" t="s">
        <v>387</v>
      </c>
      <c r="B4237" s="1">
        <v>45956</v>
      </c>
      <c r="C4237">
        <f>YEAR(OrdersTable[[#This Row],[Order Date]])</f>
        <v>2025</v>
      </c>
      <c r="D4237" s="2">
        <f>DATE(YEAR(OrdersTable[[#This Row],[Order Date]]),MONTH(OrdersTable[[#This Row],[Order Date]]),1)</f>
        <v>45931</v>
      </c>
      <c r="E4237">
        <f>MONTH(OrdersTable[[#This Row],[Order Date]])</f>
        <v>10</v>
      </c>
      <c r="F4237" t="s">
        <v>388</v>
      </c>
      <c r="G4237" t="str">
        <f>IF(OrdersTable[[#This Row],[Order Date]]=_xlfn.MINIFS(Order_Date, Customer_ID, OrdersTable[[#This Row],[Customer ID]]), "New", "Repeat")</f>
        <v>Repeat</v>
      </c>
      <c r="H4237" t="s">
        <v>128</v>
      </c>
      <c r="I4237" t="str">
        <f>INDEX(State!B:B,MATCH(OrdersTable[[#This Row],[State]],State!A:A,0))</f>
        <v>DL</v>
      </c>
      <c r="J4237" t="str">
        <f>INDEX(State!C:C,MATCH(OrdersTable[[#This Row],[State Code]],State!B:B,0))</f>
        <v>North</v>
      </c>
      <c r="K4237" t="s">
        <v>129</v>
      </c>
      <c r="L4237" t="s">
        <v>23</v>
      </c>
      <c r="M4237" t="s">
        <v>87</v>
      </c>
      <c r="N4237" t="str">
        <f>INDEX(Products!B:B,MATCH(OrdersTable[[#This Row],[Product ID]],Products!A:A,0))</f>
        <v>Linen Kurta</v>
      </c>
      <c r="O4237" t="str">
        <f>INDEX(Products!C:C,MATCH(OrdersTable[[#This Row],[Product ID]],Products!A:A,0))</f>
        <v>Apparel</v>
      </c>
      <c r="P4237">
        <v>1</v>
      </c>
      <c r="Q4237" s="5">
        <v>1499</v>
      </c>
      <c r="R4237" s="74">
        <v>0.4</v>
      </c>
      <c r="S4237" s="75">
        <f>OrdersTable[[#This Row],[Quantity]]*OrdersTable[[#This Row],[Unit Price]]</f>
        <v>1499</v>
      </c>
      <c r="T4237" s="5">
        <f>OrdersTable[[#This Row],[Gross Sale]]*OrdersTable[[#This Row],[Discount_Clean2]]</f>
        <v>599.6</v>
      </c>
      <c r="U4237" s="5">
        <f>OrdersTable[[#This Row],[Gross Sale]]-OrdersTable[[#This Row],[Discount Amount]]</f>
        <v>899.4</v>
      </c>
      <c r="V4237" s="77">
        <f>INDEX(Products!E:E,MATCH(OrdersTable[[#This Row],[Product ID]],Products!A:A,0))</f>
        <v>630</v>
      </c>
      <c r="W4237" s="77">
        <f>OrdersTable[[#This Row],[Quantity]]*OrdersTable[[#This Row],[Unit Cost]]</f>
        <v>630</v>
      </c>
      <c r="X4237" s="77">
        <f>'Dropdown Lists'!$I$2*(1+OrdersTable[[#This Row],[Returned]])</f>
        <v>60</v>
      </c>
      <c r="Y4237" s="76">
        <f>OrdersTable[[#This Row],[Net Revenue]]-OrdersTable[[#This Row],[COGS]]-OrdersTable[[#This Row],[Shipping Cost]]</f>
        <v>209.39999999999998</v>
      </c>
      <c r="Z4237" s="78">
        <f>IFERROR(OrdersTable[[#This Row],[Profit]]/OrdersTable[[#This Row],[Net Revenue]],0)</f>
        <v>0.23282188125416942</v>
      </c>
      <c r="AA4237" t="s">
        <v>18</v>
      </c>
      <c r="AB4237" s="79">
        <v>45958</v>
      </c>
      <c r="AC4237">
        <f>OrdersTable[[#This Row],[Delivery Date]]-OrdersTable[[#This Row],[Order Date]]</f>
        <v>2</v>
      </c>
      <c r="AD4237" t="str">
        <f>IF(OrdersTable[[#This Row],[Delivery Days]]&lt;=2, "Express (≤2d)", IF(OrdersTable[[#This Row],[Delivery Days]]&lt;=4, "Standard (3-4d)", "Delayed (5d+)"))</f>
        <v>Express (≤2d)</v>
      </c>
      <c r="AE4237">
        <v>4</v>
      </c>
      <c r="AF4237">
        <v>0</v>
      </c>
    </row>
    <row r="4238" spans="1:32" ht="15" x14ac:dyDescent="0.35">
      <c r="A4238" t="s">
        <v>6736</v>
      </c>
      <c r="B4238" s="1">
        <v>45956</v>
      </c>
      <c r="C4238">
        <f>YEAR(OrdersTable[[#This Row],[Order Date]])</f>
        <v>2025</v>
      </c>
      <c r="D4238" s="2">
        <f>DATE(YEAR(OrdersTable[[#This Row],[Order Date]]),MONTH(OrdersTable[[#This Row],[Order Date]]),1)</f>
        <v>45931</v>
      </c>
      <c r="E4238">
        <f>MONTH(OrdersTable[[#This Row],[Order Date]])</f>
        <v>10</v>
      </c>
      <c r="F4238" t="s">
        <v>3377</v>
      </c>
      <c r="G4238" t="str">
        <f>IF(OrdersTable[[#This Row],[Order Date]]=_xlfn.MINIFS(Order_Date, Customer_ID, OrdersTable[[#This Row],[Customer ID]]), "New", "Repeat")</f>
        <v>Repeat</v>
      </c>
      <c r="H4238" t="s">
        <v>128</v>
      </c>
      <c r="I4238" t="str">
        <f>INDEX(State!B:B,MATCH(OrdersTable[[#This Row],[State]],State!A:A,0))</f>
        <v>DL</v>
      </c>
      <c r="J4238" t="str">
        <f>INDEX(State!C:C,MATCH(OrdersTable[[#This Row],[State Code]],State!B:B,0))</f>
        <v>North</v>
      </c>
      <c r="K4238" t="s">
        <v>129</v>
      </c>
      <c r="L4238" t="s">
        <v>65</v>
      </c>
      <c r="M4238" t="s">
        <v>84</v>
      </c>
      <c r="N4238" t="str">
        <f>INDEX(Products!B:B,MATCH(OrdersTable[[#This Row],[Product ID]],Products!A:A,0))</f>
        <v>Cotton Bedsheet</v>
      </c>
      <c r="O4238" t="str">
        <f>INDEX(Products!C:C,MATCH(OrdersTable[[#This Row],[Product ID]],Products!A:A,0))</f>
        <v>Home &amp; Kitchen</v>
      </c>
      <c r="P4238">
        <v>3</v>
      </c>
      <c r="Q4238" s="5">
        <v>1299</v>
      </c>
      <c r="R4238" s="74">
        <v>0.1</v>
      </c>
      <c r="S4238" s="75">
        <f>OrdersTable[[#This Row],[Quantity]]*OrdersTable[[#This Row],[Unit Price]]</f>
        <v>3897</v>
      </c>
      <c r="T4238" s="5">
        <f>OrdersTable[[#This Row],[Gross Sale]]*OrdersTable[[#This Row],[Discount_Clean2]]</f>
        <v>389.70000000000005</v>
      </c>
      <c r="U4238" s="5">
        <f>OrdersTable[[#This Row],[Gross Sale]]-OrdersTable[[#This Row],[Discount Amount]]</f>
        <v>3507.3</v>
      </c>
      <c r="V4238" s="77">
        <f>INDEX(Products!E:E,MATCH(OrdersTable[[#This Row],[Product ID]],Products!A:A,0))</f>
        <v>585</v>
      </c>
      <c r="W4238" s="77">
        <f>OrdersTable[[#This Row],[Quantity]]*OrdersTable[[#This Row],[Unit Cost]]</f>
        <v>1755</v>
      </c>
      <c r="X4238" s="77">
        <f>'Dropdown Lists'!$I$2*(1+OrdersTable[[#This Row],[Returned]])</f>
        <v>60</v>
      </c>
      <c r="Y4238" s="76">
        <f>OrdersTable[[#This Row],[Net Revenue]]-OrdersTable[[#This Row],[COGS]]-OrdersTable[[#This Row],[Shipping Cost]]</f>
        <v>1692.3000000000002</v>
      </c>
      <c r="Z4238" s="78">
        <f>IFERROR(OrdersTable[[#This Row],[Profit]]/OrdersTable[[#This Row],[Net Revenue]],0)</f>
        <v>0.48250791206911303</v>
      </c>
      <c r="AA4238" t="s">
        <v>2522</v>
      </c>
      <c r="AB4238" s="79">
        <v>45958</v>
      </c>
      <c r="AC4238">
        <f>OrdersTable[[#This Row],[Delivery Date]]-OrdersTable[[#This Row],[Order Date]]</f>
        <v>2</v>
      </c>
      <c r="AD4238" t="str">
        <f>IF(OrdersTable[[#This Row],[Delivery Days]]&lt;=2, "Express (≤2d)", IF(OrdersTable[[#This Row],[Delivery Days]]&lt;=4, "Standard (3-4d)", "Delayed (5d+)"))</f>
        <v>Express (≤2d)</v>
      </c>
      <c r="AE4238">
        <v>4</v>
      </c>
      <c r="AF4238">
        <v>0</v>
      </c>
    </row>
    <row r="4239" spans="1:32" ht="15" x14ac:dyDescent="0.35">
      <c r="A4239" t="s">
        <v>4300</v>
      </c>
      <c r="B4239" s="1">
        <v>45956</v>
      </c>
      <c r="C4239">
        <f>YEAR(OrdersTable[[#This Row],[Order Date]])</f>
        <v>2025</v>
      </c>
      <c r="D4239" s="2">
        <f>DATE(YEAR(OrdersTable[[#This Row],[Order Date]]),MONTH(OrdersTable[[#This Row],[Order Date]]),1)</f>
        <v>45931</v>
      </c>
      <c r="E4239">
        <f>MONTH(OrdersTable[[#This Row],[Order Date]])</f>
        <v>10</v>
      </c>
      <c r="F4239" t="s">
        <v>4301</v>
      </c>
      <c r="G4239" t="str">
        <f>IF(OrdersTable[[#This Row],[Order Date]]=_xlfn.MINIFS(Order_Date, Customer_ID, OrdersTable[[#This Row],[Customer ID]]), "New", "Repeat")</f>
        <v>New</v>
      </c>
      <c r="H4239" t="s">
        <v>128</v>
      </c>
      <c r="I4239" t="str">
        <f>INDEX(State!B:B,MATCH(OrdersTable[[#This Row],[State]],State!A:A,0))</f>
        <v>DL</v>
      </c>
      <c r="J4239" t="str">
        <f>INDEX(State!C:C,MATCH(OrdersTable[[#This Row],[State Code]],State!B:B,0))</f>
        <v>North</v>
      </c>
      <c r="K4239" t="s">
        <v>129</v>
      </c>
      <c r="L4239" t="s">
        <v>39</v>
      </c>
      <c r="M4239" t="s">
        <v>160</v>
      </c>
      <c r="N4239" t="str">
        <f>INDEX(Products!B:B,MATCH(OrdersTable[[#This Row],[Product ID]],Products!A:A,0))</f>
        <v>Niacinamide Toner</v>
      </c>
      <c r="O4239" t="str">
        <f>INDEX(Products!C:C,MATCH(OrdersTable[[#This Row],[Product ID]],Products!A:A,0))</f>
        <v>Skincare</v>
      </c>
      <c r="P4239">
        <v>1</v>
      </c>
      <c r="Q4239" s="5">
        <v>399</v>
      </c>
      <c r="R4239" s="74">
        <v>0.15</v>
      </c>
      <c r="S4239" s="75">
        <f>OrdersTable[[#This Row],[Quantity]]*OrdersTable[[#This Row],[Unit Price]]</f>
        <v>399</v>
      </c>
      <c r="T4239" s="5">
        <f>OrdersTable[[#This Row],[Gross Sale]]*OrdersTable[[#This Row],[Discount_Clean2]]</f>
        <v>59.849999999999994</v>
      </c>
      <c r="U4239" s="5">
        <f>OrdersTable[[#This Row],[Gross Sale]]-OrdersTable[[#This Row],[Discount Amount]]</f>
        <v>339.15</v>
      </c>
      <c r="V4239" s="77">
        <f>INDEX(Products!E:E,MATCH(OrdersTable[[#This Row],[Product ID]],Products!A:A,0))</f>
        <v>112</v>
      </c>
      <c r="W4239" s="77">
        <f>OrdersTable[[#This Row],[Quantity]]*OrdersTable[[#This Row],[Unit Cost]]</f>
        <v>112</v>
      </c>
      <c r="X4239" s="77">
        <f>'Dropdown Lists'!$I$2*(1+OrdersTable[[#This Row],[Returned]])</f>
        <v>60</v>
      </c>
      <c r="Y4239" s="76">
        <f>OrdersTable[[#This Row],[Net Revenue]]-OrdersTable[[#This Row],[COGS]]-OrdersTable[[#This Row],[Shipping Cost]]</f>
        <v>167.14999999999998</v>
      </c>
      <c r="Z4239" s="78">
        <f>IFERROR(OrdersTable[[#This Row],[Profit]]/OrdersTable[[#This Row],[Net Revenue]],0)</f>
        <v>0.49284977148754233</v>
      </c>
      <c r="AA4239" t="s">
        <v>4074</v>
      </c>
      <c r="AB4239" s="79">
        <v>45960</v>
      </c>
      <c r="AC4239">
        <f>OrdersTable[[#This Row],[Delivery Date]]-OrdersTable[[#This Row],[Order Date]]</f>
        <v>4</v>
      </c>
      <c r="AD4239" t="str">
        <f>IF(OrdersTable[[#This Row],[Delivery Days]]&lt;=2, "Express (≤2d)", IF(OrdersTable[[#This Row],[Delivery Days]]&lt;=4, "Standard (3-4d)", "Delayed (5d+)"))</f>
        <v>Standard (3-4d)</v>
      </c>
      <c r="AF4239">
        <v>0</v>
      </c>
    </row>
    <row r="4240" spans="1:32" ht="15" x14ac:dyDescent="0.35">
      <c r="A4240" t="s">
        <v>6216</v>
      </c>
      <c r="B4240" s="1">
        <v>45956</v>
      </c>
      <c r="C4240">
        <f>YEAR(OrdersTable[[#This Row],[Order Date]])</f>
        <v>2025</v>
      </c>
      <c r="D4240" s="2">
        <f>DATE(YEAR(OrdersTable[[#This Row],[Order Date]]),MONTH(OrdersTable[[#This Row],[Order Date]]),1)</f>
        <v>45931</v>
      </c>
      <c r="E4240">
        <f>MONTH(OrdersTable[[#This Row],[Order Date]])</f>
        <v>10</v>
      </c>
      <c r="F4240" t="s">
        <v>5241</v>
      </c>
      <c r="G4240" t="str">
        <f>IF(OrdersTable[[#This Row],[Order Date]]=_xlfn.MINIFS(Order_Date, Customer_ID, OrdersTable[[#This Row],[Customer ID]]), "New", "Repeat")</f>
        <v>Repeat</v>
      </c>
      <c r="H4240" t="s">
        <v>95</v>
      </c>
      <c r="I4240" t="str">
        <f>INDEX(State!B:B,MATCH(OrdersTable[[#This Row],[State]],State!A:A,0))</f>
        <v>TG</v>
      </c>
      <c r="J4240" t="str">
        <f>INDEX(State!C:C,MATCH(OrdersTable[[#This Row],[State Code]],State!B:B,0))</f>
        <v>South</v>
      </c>
      <c r="K4240" t="s">
        <v>96</v>
      </c>
      <c r="L4240" t="s">
        <v>65</v>
      </c>
      <c r="M4240" t="s">
        <v>24</v>
      </c>
      <c r="N4240" t="str">
        <f>INDEX(Products!B:B,MATCH(OrdersTable[[#This Row],[Product ID]],Products!A:A,0))</f>
        <v>Scented Candle Set</v>
      </c>
      <c r="O4240" t="str">
        <f>INDEX(Products!C:C,MATCH(OrdersTable[[#This Row],[Product ID]],Products!A:A,0))</f>
        <v>Home &amp; Kitchen</v>
      </c>
      <c r="P4240">
        <v>2</v>
      </c>
      <c r="Q4240" s="5">
        <v>699</v>
      </c>
      <c r="R4240" s="74">
        <v>0.35</v>
      </c>
      <c r="S4240" s="75">
        <f>OrdersTable[[#This Row],[Quantity]]*OrdersTable[[#This Row],[Unit Price]]</f>
        <v>1398</v>
      </c>
      <c r="T4240" s="5">
        <f>OrdersTable[[#This Row],[Gross Sale]]*OrdersTable[[#This Row],[Discount_Clean2]]</f>
        <v>489.29999999999995</v>
      </c>
      <c r="U4240" s="5">
        <f>OrdersTable[[#This Row],[Gross Sale]]-OrdersTable[[#This Row],[Discount Amount]]</f>
        <v>908.7</v>
      </c>
      <c r="V4240" s="77">
        <f>INDEX(Products!E:E,MATCH(OrdersTable[[#This Row],[Product ID]],Products!A:A,0))</f>
        <v>245</v>
      </c>
      <c r="W4240" s="77">
        <f>OrdersTable[[#This Row],[Quantity]]*OrdersTable[[#This Row],[Unit Cost]]</f>
        <v>490</v>
      </c>
      <c r="X4240" s="77">
        <f>'Dropdown Lists'!$I$2*(1+OrdersTable[[#This Row],[Returned]])</f>
        <v>60</v>
      </c>
      <c r="Y4240" s="76">
        <f>OrdersTable[[#This Row],[Net Revenue]]-OrdersTable[[#This Row],[COGS]]-OrdersTable[[#This Row],[Shipping Cost]]</f>
        <v>358.70000000000005</v>
      </c>
      <c r="Z4240" s="78">
        <f>IFERROR(OrdersTable[[#This Row],[Profit]]/OrdersTable[[#This Row],[Net Revenue]],0)</f>
        <v>0.39473973808737761</v>
      </c>
      <c r="AA4240" t="s">
        <v>18</v>
      </c>
      <c r="AB4240" s="79">
        <v>45959</v>
      </c>
      <c r="AC4240">
        <f>OrdersTable[[#This Row],[Delivery Date]]-OrdersTable[[#This Row],[Order Date]]</f>
        <v>3</v>
      </c>
      <c r="AD4240" t="str">
        <f>IF(OrdersTable[[#This Row],[Delivery Days]]&lt;=2, "Express (≤2d)", IF(OrdersTable[[#This Row],[Delivery Days]]&lt;=4, "Standard (3-4d)", "Delayed (5d+)"))</f>
        <v>Standard (3-4d)</v>
      </c>
      <c r="AE4240">
        <v>4</v>
      </c>
      <c r="AF4240">
        <v>0</v>
      </c>
    </row>
    <row r="4241" spans="1:32" ht="15" x14ac:dyDescent="0.35">
      <c r="A4241" t="s">
        <v>3359</v>
      </c>
      <c r="B4241" s="1">
        <v>45956</v>
      </c>
      <c r="C4241">
        <f>YEAR(OrdersTable[[#This Row],[Order Date]])</f>
        <v>2025</v>
      </c>
      <c r="D4241" s="2">
        <f>DATE(YEAR(OrdersTable[[#This Row],[Order Date]]),MONTH(OrdersTable[[#This Row],[Order Date]]),1)</f>
        <v>45931</v>
      </c>
      <c r="E4241">
        <f>MONTH(OrdersTable[[#This Row],[Order Date]])</f>
        <v>10</v>
      </c>
      <c r="F4241" t="s">
        <v>3360</v>
      </c>
      <c r="G4241" t="str">
        <f>IF(OrdersTable[[#This Row],[Order Date]]=_xlfn.MINIFS(Order_Date, Customer_ID, OrdersTable[[#This Row],[Customer ID]]), "New", "Repeat")</f>
        <v>Repeat</v>
      </c>
      <c r="H4241" t="s">
        <v>95</v>
      </c>
      <c r="I4241" t="str">
        <f>INDEX(State!B:B,MATCH(OrdersTable[[#This Row],[State]],State!A:A,0))</f>
        <v>TG</v>
      </c>
      <c r="J4241" t="str">
        <f>INDEX(State!C:C,MATCH(OrdersTable[[#This Row],[State Code]],State!B:B,0))</f>
        <v>South</v>
      </c>
      <c r="K4241" t="s">
        <v>96</v>
      </c>
      <c r="L4241" t="s">
        <v>23</v>
      </c>
      <c r="M4241" t="s">
        <v>148</v>
      </c>
      <c r="N4241" t="str">
        <f>INDEX(Products!B:B,MATCH(OrdersTable[[#This Row],[Product ID]],Products!A:A,0))</f>
        <v>Smartwatch Strap</v>
      </c>
      <c r="O4241" t="str">
        <f>INDEX(Products!C:C,MATCH(OrdersTable[[#This Row],[Product ID]],Products!A:A,0))</f>
        <v>Electronics</v>
      </c>
      <c r="P4241">
        <v>1</v>
      </c>
      <c r="Q4241" s="5">
        <v>499</v>
      </c>
      <c r="R4241" s="74">
        <v>0.2</v>
      </c>
      <c r="S4241" s="75">
        <f>OrdersTable[[#This Row],[Quantity]]*OrdersTable[[#This Row],[Unit Price]]</f>
        <v>499</v>
      </c>
      <c r="T4241" s="5">
        <f>OrdersTable[[#This Row],[Gross Sale]]*OrdersTable[[#This Row],[Discount_Clean2]]</f>
        <v>99.800000000000011</v>
      </c>
      <c r="U4241" s="5">
        <f>OrdersTable[[#This Row],[Gross Sale]]-OrdersTable[[#This Row],[Discount Amount]]</f>
        <v>399.2</v>
      </c>
      <c r="V4241" s="77">
        <f>INDEX(Products!E:E,MATCH(OrdersTable[[#This Row],[Product ID]],Products!A:A,0))</f>
        <v>200</v>
      </c>
      <c r="W4241" s="77">
        <f>OrdersTable[[#This Row],[Quantity]]*OrdersTable[[#This Row],[Unit Cost]]</f>
        <v>200</v>
      </c>
      <c r="X4241" s="77">
        <f>'Dropdown Lists'!$I$2*(1+OrdersTable[[#This Row],[Returned]])</f>
        <v>60</v>
      </c>
      <c r="Y4241" s="76">
        <f>OrdersTable[[#This Row],[Net Revenue]]-OrdersTable[[#This Row],[COGS]]-OrdersTable[[#This Row],[Shipping Cost]]</f>
        <v>139.19999999999999</v>
      </c>
      <c r="Z4241" s="78">
        <f>IFERROR(OrdersTable[[#This Row],[Profit]]/OrdersTable[[#This Row],[Net Revenue]],0)</f>
        <v>0.34869739478957912</v>
      </c>
      <c r="AA4241" t="s">
        <v>2522</v>
      </c>
      <c r="AB4241" s="79">
        <v>45958</v>
      </c>
      <c r="AC4241">
        <f>OrdersTable[[#This Row],[Delivery Date]]-OrdersTable[[#This Row],[Order Date]]</f>
        <v>2</v>
      </c>
      <c r="AD4241" t="str">
        <f>IF(OrdersTable[[#This Row],[Delivery Days]]&lt;=2, "Express (≤2d)", IF(OrdersTable[[#This Row],[Delivery Days]]&lt;=4, "Standard (3-4d)", "Delayed (5d+)"))</f>
        <v>Express (≤2d)</v>
      </c>
      <c r="AE4241">
        <v>4</v>
      </c>
      <c r="AF4241">
        <v>0</v>
      </c>
    </row>
    <row r="4242" spans="1:32" ht="15" x14ac:dyDescent="0.35">
      <c r="A4242" t="s">
        <v>4729</v>
      </c>
      <c r="B4242" s="1">
        <v>45956</v>
      </c>
      <c r="C4242">
        <f>YEAR(OrdersTable[[#This Row],[Order Date]])</f>
        <v>2025</v>
      </c>
      <c r="D4242" s="2">
        <f>DATE(YEAR(OrdersTable[[#This Row],[Order Date]]),MONTH(OrdersTable[[#This Row],[Order Date]]),1)</f>
        <v>45931</v>
      </c>
      <c r="E4242">
        <f>MONTH(OrdersTable[[#This Row],[Order Date]])</f>
        <v>10</v>
      </c>
      <c r="F4242" t="s">
        <v>3677</v>
      </c>
      <c r="G4242" t="str">
        <f>IF(OrdersTable[[#This Row],[Order Date]]=_xlfn.MINIFS(Order_Date, Customer_ID, OrdersTable[[#This Row],[Customer ID]]), "New", "Repeat")</f>
        <v>Repeat</v>
      </c>
      <c r="H4242" t="s">
        <v>167</v>
      </c>
      <c r="I4242" t="str">
        <f>INDEX(State!B:B,MATCH(OrdersTable[[#This Row],[State]],State!A:A,0))</f>
        <v>KA</v>
      </c>
      <c r="J4242" t="str">
        <f>INDEX(State!C:C,MATCH(OrdersTable[[#This Row],[State Code]],State!B:B,0))</f>
        <v>South</v>
      </c>
      <c r="K4242" t="s">
        <v>168</v>
      </c>
      <c r="L4242" t="s">
        <v>23</v>
      </c>
      <c r="M4242" t="s">
        <v>40</v>
      </c>
      <c r="N4242" t="str">
        <f>INDEX(Products!B:B,MATCH(OrdersTable[[#This Row],[Product ID]],Products!A:A,0))</f>
        <v>Ashwagandha Capsules</v>
      </c>
      <c r="O4242" t="str">
        <f>INDEX(Products!C:C,MATCH(OrdersTable[[#This Row],[Product ID]],Products!A:A,0))</f>
        <v>Wellness</v>
      </c>
      <c r="P4242">
        <v>1</v>
      </c>
      <c r="Q4242" s="5">
        <v>499</v>
      </c>
      <c r="R4242" s="74">
        <v>0.15</v>
      </c>
      <c r="S4242" s="75">
        <f>OrdersTable[[#This Row],[Quantity]]*OrdersTable[[#This Row],[Unit Price]]</f>
        <v>499</v>
      </c>
      <c r="T4242" s="5">
        <f>OrdersTable[[#This Row],[Gross Sale]]*OrdersTable[[#This Row],[Discount_Clean2]]</f>
        <v>74.849999999999994</v>
      </c>
      <c r="U4242" s="5">
        <f>OrdersTable[[#This Row],[Gross Sale]]-OrdersTable[[#This Row],[Discount Amount]]</f>
        <v>424.15</v>
      </c>
      <c r="V4242" s="77">
        <f>INDEX(Products!E:E,MATCH(OrdersTable[[#This Row],[Product ID]],Products!A:A,0))</f>
        <v>150</v>
      </c>
      <c r="W4242" s="77">
        <f>OrdersTable[[#This Row],[Quantity]]*OrdersTable[[#This Row],[Unit Cost]]</f>
        <v>150</v>
      </c>
      <c r="X4242" s="77">
        <f>'Dropdown Lists'!$I$2*(1+OrdersTable[[#This Row],[Returned]])</f>
        <v>60</v>
      </c>
      <c r="Y4242" s="76">
        <f>OrdersTable[[#This Row],[Net Revenue]]-OrdersTable[[#This Row],[COGS]]-OrdersTable[[#This Row],[Shipping Cost]]</f>
        <v>214.14999999999998</v>
      </c>
      <c r="Z4242" s="78">
        <f>IFERROR(OrdersTable[[#This Row],[Profit]]/OrdersTable[[#This Row],[Net Revenue]],0)</f>
        <v>0.50489213721560766</v>
      </c>
      <c r="AA4242" t="s">
        <v>4450</v>
      </c>
      <c r="AB4242" s="79">
        <v>45958</v>
      </c>
      <c r="AC4242">
        <f>OrdersTable[[#This Row],[Delivery Date]]-OrdersTable[[#This Row],[Order Date]]</f>
        <v>2</v>
      </c>
      <c r="AD4242" t="str">
        <f>IF(OrdersTable[[#This Row],[Delivery Days]]&lt;=2, "Express (≤2d)", IF(OrdersTable[[#This Row],[Delivery Days]]&lt;=4, "Standard (3-4d)", "Delayed (5d+)"))</f>
        <v>Express (≤2d)</v>
      </c>
      <c r="AE4242">
        <v>5</v>
      </c>
      <c r="AF4242">
        <v>0</v>
      </c>
    </row>
    <row r="4243" spans="1:32" ht="15" x14ac:dyDescent="0.35">
      <c r="A4243" t="s">
        <v>6415</v>
      </c>
      <c r="B4243" s="1">
        <v>45956</v>
      </c>
      <c r="C4243">
        <f>YEAR(OrdersTable[[#This Row],[Order Date]])</f>
        <v>2025</v>
      </c>
      <c r="D4243" s="2">
        <f>DATE(YEAR(OrdersTable[[#This Row],[Order Date]]),MONTH(OrdersTable[[#This Row],[Order Date]]),1)</f>
        <v>45931</v>
      </c>
      <c r="E4243">
        <f>MONTH(OrdersTable[[#This Row],[Order Date]])</f>
        <v>10</v>
      </c>
      <c r="F4243" t="s">
        <v>2887</v>
      </c>
      <c r="G4243" t="str">
        <f>IF(OrdersTable[[#This Row],[Order Date]]=_xlfn.MINIFS(Order_Date, Customer_ID, OrdersTable[[#This Row],[Customer ID]]), "New", "Repeat")</f>
        <v>Repeat</v>
      </c>
      <c r="H4243" t="s">
        <v>167</v>
      </c>
      <c r="I4243" t="str">
        <f>INDEX(State!B:B,MATCH(OrdersTable[[#This Row],[State]],State!A:A,0))</f>
        <v>KA</v>
      </c>
      <c r="J4243" t="str">
        <f>INDEX(State!C:C,MATCH(OrdersTable[[#This Row],[State Code]],State!B:B,0))</f>
        <v>South</v>
      </c>
      <c r="K4243" t="s">
        <v>190</v>
      </c>
      <c r="L4243" t="s">
        <v>65</v>
      </c>
      <c r="M4243" t="s">
        <v>51</v>
      </c>
      <c r="N4243" t="str">
        <f>INDEX(Products!B:B,MATCH(OrdersTable[[#This Row],[Product ID]],Products!A:A,0))</f>
        <v>Anti-Dandruff Conditioner</v>
      </c>
      <c r="O4243" t="str">
        <f>INDEX(Products!C:C,MATCH(OrdersTable[[#This Row],[Product ID]],Products!A:A,0))</f>
        <v>Haircare</v>
      </c>
      <c r="P4243">
        <v>2</v>
      </c>
      <c r="Q4243" s="5">
        <v>399</v>
      </c>
      <c r="R4243" s="74">
        <v>0.5</v>
      </c>
      <c r="S4243" s="75">
        <f>OrdersTable[[#This Row],[Quantity]]*OrdersTable[[#This Row],[Unit Price]]</f>
        <v>798</v>
      </c>
      <c r="T4243" s="5">
        <f>OrdersTable[[#This Row],[Gross Sale]]*OrdersTable[[#This Row],[Discount_Clean2]]</f>
        <v>399</v>
      </c>
      <c r="U4243" s="5">
        <f>OrdersTable[[#This Row],[Gross Sale]]-OrdersTable[[#This Row],[Discount Amount]]</f>
        <v>399</v>
      </c>
      <c r="V4243" s="77">
        <f>INDEX(Products!E:E,MATCH(OrdersTable[[#This Row],[Product ID]],Products!A:A,0))</f>
        <v>136</v>
      </c>
      <c r="W4243" s="77">
        <f>OrdersTable[[#This Row],[Quantity]]*OrdersTable[[#This Row],[Unit Cost]]</f>
        <v>272</v>
      </c>
      <c r="X4243" s="77">
        <f>'Dropdown Lists'!$I$2*(1+OrdersTable[[#This Row],[Returned]])</f>
        <v>60</v>
      </c>
      <c r="Y4243" s="76">
        <f>OrdersTable[[#This Row],[Net Revenue]]-OrdersTable[[#This Row],[COGS]]-OrdersTable[[#This Row],[Shipping Cost]]</f>
        <v>67</v>
      </c>
      <c r="Z4243" s="78">
        <f>IFERROR(OrdersTable[[#This Row],[Profit]]/OrdersTable[[#This Row],[Net Revenue]],0)</f>
        <v>0.16791979949874686</v>
      </c>
      <c r="AA4243" t="s">
        <v>18</v>
      </c>
      <c r="AB4243" s="79">
        <v>45959</v>
      </c>
      <c r="AC4243">
        <f>OrdersTable[[#This Row],[Delivery Date]]-OrdersTable[[#This Row],[Order Date]]</f>
        <v>3</v>
      </c>
      <c r="AD4243" t="str">
        <f>IF(OrdersTable[[#This Row],[Delivery Days]]&lt;=2, "Express (≤2d)", IF(OrdersTable[[#This Row],[Delivery Days]]&lt;=4, "Standard (3-4d)", "Delayed (5d+)"))</f>
        <v>Standard (3-4d)</v>
      </c>
      <c r="AF4243">
        <v>0</v>
      </c>
    </row>
    <row r="4244" spans="1:32" ht="15" x14ac:dyDescent="0.35">
      <c r="A4244" t="s">
        <v>5632</v>
      </c>
      <c r="B4244" s="1">
        <v>45956</v>
      </c>
      <c r="C4244">
        <f>YEAR(OrdersTable[[#This Row],[Order Date]])</f>
        <v>2025</v>
      </c>
      <c r="D4244" s="2">
        <f>DATE(YEAR(OrdersTable[[#This Row],[Order Date]]),MONTH(OrdersTable[[#This Row],[Order Date]]),1)</f>
        <v>45931</v>
      </c>
      <c r="E4244">
        <f>MONTH(OrdersTable[[#This Row],[Order Date]])</f>
        <v>10</v>
      </c>
      <c r="F4244" t="s">
        <v>2375</v>
      </c>
      <c r="G4244" t="str">
        <f>IF(OrdersTable[[#This Row],[Order Date]]=_xlfn.MINIFS(Order_Date, Customer_ID, OrdersTable[[#This Row],[Customer ID]]), "New", "Repeat")</f>
        <v>Repeat</v>
      </c>
      <c r="H4244" t="s">
        <v>316</v>
      </c>
      <c r="I4244" t="str">
        <f>INDEX(State!B:B,MATCH(OrdersTable[[#This Row],[State]],State!A:A,0))</f>
        <v>KL</v>
      </c>
      <c r="J4244" t="str">
        <f>INDEX(State!C:C,MATCH(OrdersTable[[#This Row],[State Code]],State!B:B,0))</f>
        <v>South</v>
      </c>
      <c r="K4244" t="s">
        <v>338</v>
      </c>
      <c r="L4244" t="s">
        <v>16</v>
      </c>
      <c r="M4244" t="s">
        <v>34</v>
      </c>
      <c r="N4244" t="str">
        <f>INDEX(Products!B:B,MATCH(OrdersTable[[#This Row],[Product ID]],Products!A:A,0))</f>
        <v>Flip Flops</v>
      </c>
      <c r="O4244" t="str">
        <f>INDEX(Products!C:C,MATCH(OrdersTable[[#This Row],[Product ID]],Products!A:A,0))</f>
        <v>Footwear</v>
      </c>
      <c r="P4244">
        <v>2</v>
      </c>
      <c r="Q4244" s="5">
        <v>399</v>
      </c>
      <c r="R4244" s="74">
        <v>0.3</v>
      </c>
      <c r="S4244" s="75">
        <f>OrdersTable[[#This Row],[Quantity]]*OrdersTable[[#This Row],[Unit Price]]</f>
        <v>798</v>
      </c>
      <c r="T4244" s="5">
        <f>OrdersTable[[#This Row],[Gross Sale]]*OrdersTable[[#This Row],[Discount_Clean2]]</f>
        <v>239.39999999999998</v>
      </c>
      <c r="U4244" s="5">
        <f>OrdersTable[[#This Row],[Gross Sale]]-OrdersTable[[#This Row],[Discount Amount]]</f>
        <v>558.6</v>
      </c>
      <c r="V4244" s="77">
        <f>INDEX(Products!E:E,MATCH(OrdersTable[[#This Row],[Product ID]],Products!A:A,0))</f>
        <v>152</v>
      </c>
      <c r="W4244" s="77">
        <f>OrdersTable[[#This Row],[Quantity]]*OrdersTable[[#This Row],[Unit Cost]]</f>
        <v>304</v>
      </c>
      <c r="X4244" s="77">
        <f>'Dropdown Lists'!$I$2*(1+OrdersTable[[#This Row],[Returned]])</f>
        <v>60</v>
      </c>
      <c r="Y4244" s="76">
        <f>OrdersTable[[#This Row],[Net Revenue]]-OrdersTable[[#This Row],[COGS]]-OrdersTable[[#This Row],[Shipping Cost]]</f>
        <v>194.60000000000002</v>
      </c>
      <c r="Z4244" s="78">
        <f>IFERROR(OrdersTable[[#This Row],[Profit]]/OrdersTable[[#This Row],[Net Revenue]],0)</f>
        <v>0.34837092731829578</v>
      </c>
      <c r="AA4244" t="s">
        <v>2522</v>
      </c>
      <c r="AB4244" s="79">
        <v>45959</v>
      </c>
      <c r="AC4244">
        <f>OrdersTable[[#This Row],[Delivery Date]]-OrdersTable[[#This Row],[Order Date]]</f>
        <v>3</v>
      </c>
      <c r="AD4244" t="str">
        <f>IF(OrdersTable[[#This Row],[Delivery Days]]&lt;=2, "Express (≤2d)", IF(OrdersTable[[#This Row],[Delivery Days]]&lt;=4, "Standard (3-4d)", "Delayed (5d+)"))</f>
        <v>Standard (3-4d)</v>
      </c>
      <c r="AE4244">
        <v>4</v>
      </c>
      <c r="AF4244">
        <v>0</v>
      </c>
    </row>
    <row r="4245" spans="1:32" ht="15" x14ac:dyDescent="0.35">
      <c r="A4245" t="s">
        <v>4302</v>
      </c>
      <c r="B4245" s="1">
        <v>45956</v>
      </c>
      <c r="C4245">
        <f>YEAR(OrdersTable[[#This Row],[Order Date]])</f>
        <v>2025</v>
      </c>
      <c r="D4245" s="2">
        <f>DATE(YEAR(OrdersTable[[#This Row],[Order Date]]),MONTH(OrdersTable[[#This Row],[Order Date]]),1)</f>
        <v>45931</v>
      </c>
      <c r="E4245">
        <f>MONTH(OrdersTable[[#This Row],[Order Date]])</f>
        <v>10</v>
      </c>
      <c r="F4245" t="s">
        <v>1058</v>
      </c>
      <c r="G4245" t="str">
        <f>IF(OrdersTable[[#This Row],[Order Date]]=_xlfn.MINIFS(Order_Date, Customer_ID, OrdersTable[[#This Row],[Customer ID]]), "New", "Repeat")</f>
        <v>Repeat</v>
      </c>
      <c r="H4245" t="s">
        <v>59</v>
      </c>
      <c r="I4245" t="str">
        <f>INDEX(State!B:B,MATCH(OrdersTable[[#This Row],[State]],State!A:A,0))</f>
        <v>TN</v>
      </c>
      <c r="J4245" t="str">
        <f>INDEX(State!C:C,MATCH(OrdersTable[[#This Row],[State Code]],State!B:B,0))</f>
        <v>South</v>
      </c>
      <c r="K4245" t="s">
        <v>64</v>
      </c>
      <c r="L4245" t="s">
        <v>16</v>
      </c>
      <c r="M4245" t="s">
        <v>176</v>
      </c>
      <c r="N4245" t="str">
        <f>INDEX(Products!B:B,MATCH(OrdersTable[[#This Row],[Product ID]],Products!A:A,0))</f>
        <v>Denim Jacket</v>
      </c>
      <c r="O4245" t="str">
        <f>INDEX(Products!C:C,MATCH(OrdersTable[[#This Row],[Product ID]],Products!A:A,0))</f>
        <v>Apparel</v>
      </c>
      <c r="P4245">
        <v>1</v>
      </c>
      <c r="Q4245" s="5">
        <v>2499</v>
      </c>
      <c r="R4245" s="74">
        <v>0.15</v>
      </c>
      <c r="S4245" s="75">
        <f>OrdersTable[[#This Row],[Quantity]]*OrdersTable[[#This Row],[Unit Price]]</f>
        <v>2499</v>
      </c>
      <c r="T4245" s="5">
        <f>OrdersTable[[#This Row],[Gross Sale]]*OrdersTable[[#This Row],[Discount_Clean2]]</f>
        <v>374.84999999999997</v>
      </c>
      <c r="U4245" s="5">
        <f>OrdersTable[[#This Row],[Gross Sale]]-OrdersTable[[#This Row],[Discount Amount]]</f>
        <v>2124.15</v>
      </c>
      <c r="V4245" s="77">
        <f>INDEX(Products!E:E,MATCH(OrdersTable[[#This Row],[Product ID]],Products!A:A,0))</f>
        <v>1125</v>
      </c>
      <c r="W4245" s="77">
        <f>OrdersTable[[#This Row],[Quantity]]*OrdersTable[[#This Row],[Unit Cost]]</f>
        <v>1125</v>
      </c>
      <c r="X4245" s="77">
        <f>'Dropdown Lists'!$I$2*(1+OrdersTable[[#This Row],[Returned]])</f>
        <v>60</v>
      </c>
      <c r="Y4245" s="76">
        <f>OrdersTable[[#This Row],[Net Revenue]]-OrdersTable[[#This Row],[COGS]]-OrdersTable[[#This Row],[Shipping Cost]]</f>
        <v>939.15000000000009</v>
      </c>
      <c r="Z4245" s="78">
        <f>IFERROR(OrdersTable[[#This Row],[Profit]]/OrdersTable[[#This Row],[Net Revenue]],0)</f>
        <v>0.44212979309370809</v>
      </c>
      <c r="AA4245" t="s">
        <v>4074</v>
      </c>
      <c r="AB4245" s="79">
        <v>45959</v>
      </c>
      <c r="AC4245">
        <f>OrdersTable[[#This Row],[Delivery Date]]-OrdersTable[[#This Row],[Order Date]]</f>
        <v>3</v>
      </c>
      <c r="AD4245" t="str">
        <f>IF(OrdersTable[[#This Row],[Delivery Days]]&lt;=2, "Express (≤2d)", IF(OrdersTable[[#This Row],[Delivery Days]]&lt;=4, "Standard (3-4d)", "Delayed (5d+)"))</f>
        <v>Standard (3-4d)</v>
      </c>
      <c r="AF4245">
        <v>0</v>
      </c>
    </row>
    <row r="4246" spans="1:32" ht="15" x14ac:dyDescent="0.35">
      <c r="A4246" t="s">
        <v>4189</v>
      </c>
      <c r="B4246" s="1">
        <v>45957</v>
      </c>
      <c r="C4246">
        <f>YEAR(OrdersTable[[#This Row],[Order Date]])</f>
        <v>2025</v>
      </c>
      <c r="D4246" s="2">
        <f>DATE(YEAR(OrdersTable[[#This Row],[Order Date]]),MONTH(OrdersTable[[#This Row],[Order Date]]),1)</f>
        <v>45931</v>
      </c>
      <c r="E4246">
        <f>MONTH(OrdersTable[[#This Row],[Order Date]])</f>
        <v>10</v>
      </c>
      <c r="F4246" t="s">
        <v>4190</v>
      </c>
      <c r="G4246" t="str">
        <f>IF(OrdersTable[[#This Row],[Order Date]]=_xlfn.MINIFS(Order_Date, Customer_ID, OrdersTable[[#This Row],[Customer ID]]), "New", "Repeat")</f>
        <v>New</v>
      </c>
      <c r="H4246" t="s">
        <v>54</v>
      </c>
      <c r="I4246" t="str">
        <f>INDEX(State!B:B,MATCH(OrdersTable[[#This Row],[State]],State!A:A,0))</f>
        <v>RJ</v>
      </c>
      <c r="J4246" t="str">
        <f>INDEX(State!C:C,MATCH(OrdersTable[[#This Row],[State Code]],State!B:B,0))</f>
        <v>North</v>
      </c>
      <c r="K4246" t="s">
        <v>227</v>
      </c>
      <c r="L4246" t="s">
        <v>39</v>
      </c>
      <c r="M4246" t="s">
        <v>78</v>
      </c>
      <c r="N4246" t="str">
        <f>INDEX(Products!B:B,MATCH(OrdersTable[[#This Row],[Product ID]],Products!A:A,0))</f>
        <v>Retinol Night Cream</v>
      </c>
      <c r="O4246" t="str">
        <f>INDEX(Products!C:C,MATCH(OrdersTable[[#This Row],[Product ID]],Products!A:A,0))</f>
        <v>Skincare</v>
      </c>
      <c r="P4246">
        <v>1</v>
      </c>
      <c r="Q4246" s="5">
        <v>799</v>
      </c>
      <c r="R4246" s="74">
        <v>0.15</v>
      </c>
      <c r="S4246" s="75">
        <f>OrdersTable[[#This Row],[Quantity]]*OrdersTable[[#This Row],[Unit Price]]</f>
        <v>799</v>
      </c>
      <c r="T4246" s="5">
        <f>OrdersTable[[#This Row],[Gross Sale]]*OrdersTable[[#This Row],[Discount_Clean2]]</f>
        <v>119.85</v>
      </c>
      <c r="U4246" s="5">
        <f>OrdersTable[[#This Row],[Gross Sale]]-OrdersTable[[#This Row],[Discount Amount]]</f>
        <v>679.15</v>
      </c>
      <c r="V4246" s="77">
        <f>INDEX(Products!E:E,MATCH(OrdersTable[[#This Row],[Product ID]],Products!A:A,0))</f>
        <v>216</v>
      </c>
      <c r="W4246" s="77">
        <f>OrdersTable[[#This Row],[Quantity]]*OrdersTable[[#This Row],[Unit Cost]]</f>
        <v>216</v>
      </c>
      <c r="X4246" s="77">
        <f>'Dropdown Lists'!$I$2*(1+OrdersTable[[#This Row],[Returned]])</f>
        <v>60</v>
      </c>
      <c r="Y4246" s="76">
        <f>OrdersTable[[#This Row],[Net Revenue]]-OrdersTable[[#This Row],[COGS]]-OrdersTable[[#This Row],[Shipping Cost]]</f>
        <v>403.15</v>
      </c>
      <c r="Z4246" s="78">
        <f>IFERROR(OrdersTable[[#This Row],[Profit]]/OrdersTable[[#This Row],[Net Revenue]],0)</f>
        <v>0.59360965913273944</v>
      </c>
      <c r="AA4246" t="s">
        <v>4074</v>
      </c>
      <c r="AB4246" s="79">
        <v>45962</v>
      </c>
      <c r="AC4246">
        <f>OrdersTable[[#This Row],[Delivery Date]]-OrdersTable[[#This Row],[Order Date]]</f>
        <v>5</v>
      </c>
      <c r="AD4246" t="str">
        <f>IF(OrdersTable[[#This Row],[Delivery Days]]&lt;=2, "Express (≤2d)", IF(OrdersTable[[#This Row],[Delivery Days]]&lt;=4, "Standard (3-4d)", "Delayed (5d+)"))</f>
        <v>Delayed (5d+)</v>
      </c>
      <c r="AE4246">
        <v>2</v>
      </c>
      <c r="AF4246">
        <v>0</v>
      </c>
    </row>
    <row r="4247" spans="1:32" ht="15" x14ac:dyDescent="0.35">
      <c r="A4247" t="s">
        <v>1792</v>
      </c>
      <c r="B4247" s="1">
        <v>45957</v>
      </c>
      <c r="C4247">
        <f>YEAR(OrdersTable[[#This Row],[Order Date]])</f>
        <v>2025</v>
      </c>
      <c r="D4247" s="2">
        <f>DATE(YEAR(OrdersTable[[#This Row],[Order Date]]),MONTH(OrdersTable[[#This Row],[Order Date]]),1)</f>
        <v>45931</v>
      </c>
      <c r="E4247">
        <f>MONTH(OrdersTable[[#This Row],[Order Date]])</f>
        <v>10</v>
      </c>
      <c r="F4247" t="s">
        <v>1793</v>
      </c>
      <c r="G4247" t="str">
        <f>IF(OrdersTable[[#This Row],[Order Date]]=_xlfn.MINIFS(Order_Date, Customer_ID, OrdersTable[[#This Row],[Customer ID]]), "New", "Repeat")</f>
        <v>Repeat</v>
      </c>
      <c r="H4247" t="s">
        <v>128</v>
      </c>
      <c r="I4247" t="str">
        <f>INDEX(State!B:B,MATCH(OrdersTable[[#This Row],[State]],State!A:A,0))</f>
        <v>DL</v>
      </c>
      <c r="J4247" t="str">
        <f>INDEX(State!C:C,MATCH(OrdersTable[[#This Row],[State Code]],State!B:B,0))</f>
        <v>North</v>
      </c>
      <c r="K4247" t="s">
        <v>129</v>
      </c>
      <c r="L4247" t="s">
        <v>65</v>
      </c>
      <c r="M4247" t="s">
        <v>45</v>
      </c>
      <c r="N4247" t="str">
        <f>INDEX(Products!B:B,MATCH(OrdersTable[[#This Row],[Product ID]],Products!A:A,0))</f>
        <v>Argan Shampoo</v>
      </c>
      <c r="O4247" t="str">
        <f>INDEX(Products!C:C,MATCH(OrdersTable[[#This Row],[Product ID]],Products!A:A,0))</f>
        <v>Haircare</v>
      </c>
      <c r="P4247">
        <v>1</v>
      </c>
      <c r="Q4247" s="5">
        <v>449</v>
      </c>
      <c r="R4247" s="74">
        <v>0.1</v>
      </c>
      <c r="S4247" s="75">
        <f>OrdersTable[[#This Row],[Quantity]]*OrdersTable[[#This Row],[Unit Price]]</f>
        <v>449</v>
      </c>
      <c r="T4247" s="5">
        <f>OrdersTable[[#This Row],[Gross Sale]]*OrdersTable[[#This Row],[Discount_Clean2]]</f>
        <v>44.900000000000006</v>
      </c>
      <c r="U4247" s="5">
        <f>OrdersTable[[#This Row],[Gross Sale]]-OrdersTable[[#This Row],[Discount Amount]]</f>
        <v>404.1</v>
      </c>
      <c r="V4247" s="77">
        <f>INDEX(Products!E:E,MATCH(OrdersTable[[#This Row],[Product ID]],Products!A:A,0))</f>
        <v>148</v>
      </c>
      <c r="W4247" s="77">
        <f>OrdersTable[[#This Row],[Quantity]]*OrdersTable[[#This Row],[Unit Cost]]</f>
        <v>148</v>
      </c>
      <c r="X4247" s="77">
        <f>'Dropdown Lists'!$I$2*(1+OrdersTable[[#This Row],[Returned]])</f>
        <v>60</v>
      </c>
      <c r="Y4247" s="76">
        <f>OrdersTable[[#This Row],[Net Revenue]]-OrdersTable[[#This Row],[COGS]]-OrdersTable[[#This Row],[Shipping Cost]]</f>
        <v>196.10000000000002</v>
      </c>
      <c r="Z4247" s="78">
        <f>IFERROR(OrdersTable[[#This Row],[Profit]]/OrdersTable[[#This Row],[Net Revenue]],0)</f>
        <v>0.48527592180153428</v>
      </c>
      <c r="AA4247" t="s">
        <v>18</v>
      </c>
      <c r="AB4247" s="79">
        <v>45960</v>
      </c>
      <c r="AC4247">
        <f>OrdersTable[[#This Row],[Delivery Date]]-OrdersTable[[#This Row],[Order Date]]</f>
        <v>3</v>
      </c>
      <c r="AD4247" t="str">
        <f>IF(OrdersTable[[#This Row],[Delivery Days]]&lt;=2, "Express (≤2d)", IF(OrdersTable[[#This Row],[Delivery Days]]&lt;=4, "Standard (3-4d)", "Delayed (5d+)"))</f>
        <v>Standard (3-4d)</v>
      </c>
      <c r="AF4247">
        <v>0</v>
      </c>
    </row>
    <row r="4248" spans="1:32" ht="15" x14ac:dyDescent="0.35">
      <c r="A4248" t="s">
        <v>3122</v>
      </c>
      <c r="B4248" s="1">
        <v>45957</v>
      </c>
      <c r="C4248">
        <f>YEAR(OrdersTable[[#This Row],[Order Date]])</f>
        <v>2025</v>
      </c>
      <c r="D4248" s="2">
        <f>DATE(YEAR(OrdersTable[[#This Row],[Order Date]]),MONTH(OrdersTable[[#This Row],[Order Date]]),1)</f>
        <v>45931</v>
      </c>
      <c r="E4248">
        <f>MONTH(OrdersTable[[#This Row],[Order Date]])</f>
        <v>10</v>
      </c>
      <c r="F4248" t="s">
        <v>2195</v>
      </c>
      <c r="G4248" t="str">
        <f>IF(OrdersTable[[#This Row],[Order Date]]=_xlfn.MINIFS(Order_Date, Customer_ID, OrdersTable[[#This Row],[Customer ID]]), "New", "Repeat")</f>
        <v>Repeat</v>
      </c>
      <c r="H4248" t="s">
        <v>128</v>
      </c>
      <c r="I4248" t="str">
        <f>INDEX(State!B:B,MATCH(OrdersTable[[#This Row],[State]],State!A:A,0))</f>
        <v>DL</v>
      </c>
      <c r="J4248" t="str">
        <f>INDEX(State!C:C,MATCH(OrdersTable[[#This Row],[State Code]],State!B:B,0))</f>
        <v>North</v>
      </c>
      <c r="K4248" t="s">
        <v>129</v>
      </c>
      <c r="L4248" t="s">
        <v>65</v>
      </c>
      <c r="M4248" t="s">
        <v>29</v>
      </c>
      <c r="N4248" t="str">
        <f>INDEX(Products!B:B,MATCH(OrdersTable[[#This Row],[Product ID]],Products!A:A,0))</f>
        <v>Joggers</v>
      </c>
      <c r="O4248" t="str">
        <f>INDEX(Products!C:C,MATCH(OrdersTable[[#This Row],[Product ID]],Products!A:A,0))</f>
        <v>Apparel</v>
      </c>
      <c r="P4248">
        <v>1</v>
      </c>
      <c r="Q4248" s="5">
        <v>1199</v>
      </c>
      <c r="R4248" s="74">
        <v>0.25</v>
      </c>
      <c r="S4248" s="75">
        <f>OrdersTable[[#This Row],[Quantity]]*OrdersTable[[#This Row],[Unit Price]]</f>
        <v>1199</v>
      </c>
      <c r="T4248" s="5">
        <f>OrdersTable[[#This Row],[Gross Sale]]*OrdersTable[[#This Row],[Discount_Clean2]]</f>
        <v>299.75</v>
      </c>
      <c r="U4248" s="5">
        <f>OrdersTable[[#This Row],[Gross Sale]]-OrdersTable[[#This Row],[Discount Amount]]</f>
        <v>899.25</v>
      </c>
      <c r="V4248" s="77">
        <f>INDEX(Products!E:E,MATCH(OrdersTable[[#This Row],[Product ID]],Products!A:A,0))</f>
        <v>492</v>
      </c>
      <c r="W4248" s="77">
        <f>OrdersTable[[#This Row],[Quantity]]*OrdersTable[[#This Row],[Unit Cost]]</f>
        <v>492</v>
      </c>
      <c r="X4248" s="77">
        <f>'Dropdown Lists'!$I$2*(1+OrdersTable[[#This Row],[Returned]])</f>
        <v>60</v>
      </c>
      <c r="Y4248" s="76">
        <f>OrdersTable[[#This Row],[Net Revenue]]-OrdersTable[[#This Row],[COGS]]-OrdersTable[[#This Row],[Shipping Cost]]</f>
        <v>347.25</v>
      </c>
      <c r="Z4248" s="78">
        <f>IFERROR(OrdersTable[[#This Row],[Profit]]/OrdersTable[[#This Row],[Net Revenue]],0)</f>
        <v>0.38615512927439533</v>
      </c>
      <c r="AA4248" t="s">
        <v>2522</v>
      </c>
      <c r="AB4248" s="79">
        <v>45958</v>
      </c>
      <c r="AC4248">
        <f>OrdersTable[[#This Row],[Delivery Date]]-OrdersTable[[#This Row],[Order Date]]</f>
        <v>1</v>
      </c>
      <c r="AD4248" t="str">
        <f>IF(OrdersTable[[#This Row],[Delivery Days]]&lt;=2, "Express (≤2d)", IF(OrdersTable[[#This Row],[Delivery Days]]&lt;=4, "Standard (3-4d)", "Delayed (5d+)"))</f>
        <v>Express (≤2d)</v>
      </c>
      <c r="AF4248">
        <v>0</v>
      </c>
    </row>
    <row r="4249" spans="1:32" ht="15" x14ac:dyDescent="0.35">
      <c r="A4249" t="s">
        <v>5254</v>
      </c>
      <c r="B4249" s="1">
        <v>45957</v>
      </c>
      <c r="C4249">
        <f>YEAR(OrdersTable[[#This Row],[Order Date]])</f>
        <v>2025</v>
      </c>
      <c r="D4249" s="2">
        <f>DATE(YEAR(OrdersTable[[#This Row],[Order Date]]),MONTH(OrdersTable[[#This Row],[Order Date]]),1)</f>
        <v>45931</v>
      </c>
      <c r="E4249">
        <f>MONTH(OrdersTable[[#This Row],[Order Date]])</f>
        <v>10</v>
      </c>
      <c r="F4249" t="s">
        <v>3397</v>
      </c>
      <c r="G4249" t="str">
        <f>IF(OrdersTable[[#This Row],[Order Date]]=_xlfn.MINIFS(Order_Date, Customer_ID, OrdersTable[[#This Row],[Customer ID]]), "New", "Repeat")</f>
        <v>Repeat</v>
      </c>
      <c r="H4249" t="s">
        <v>76</v>
      </c>
      <c r="I4249" t="str">
        <f>INDEX(State!B:B,MATCH(OrdersTable[[#This Row],[State]],State!A:A,0))</f>
        <v>UP</v>
      </c>
      <c r="J4249" t="str">
        <f>INDEX(State!C:C,MATCH(OrdersTable[[#This Row],[State Code]],State!B:B,0))</f>
        <v>North</v>
      </c>
      <c r="K4249" t="s">
        <v>118</v>
      </c>
      <c r="L4249" t="s">
        <v>23</v>
      </c>
      <c r="M4249" t="s">
        <v>109</v>
      </c>
      <c r="N4249" t="str">
        <f>INDEX(Products!B:B,MATCH(OrdersTable[[#This Row],[Product ID]],Products!A:A,0))</f>
        <v>Onion Hair Oil</v>
      </c>
      <c r="O4249" t="str">
        <f>INDEX(Products!C:C,MATCH(OrdersTable[[#This Row],[Product ID]],Products!A:A,0))</f>
        <v>Haircare</v>
      </c>
      <c r="P4249">
        <v>2</v>
      </c>
      <c r="Q4249" s="5">
        <v>349</v>
      </c>
      <c r="R4249" s="74">
        <v>0.55000000000000004</v>
      </c>
      <c r="S4249" s="75">
        <f>OrdersTable[[#This Row],[Quantity]]*OrdersTable[[#This Row],[Unit Price]]</f>
        <v>698</v>
      </c>
      <c r="T4249" s="5">
        <f>OrdersTable[[#This Row],[Gross Sale]]*OrdersTable[[#This Row],[Discount_Clean2]]</f>
        <v>383.90000000000003</v>
      </c>
      <c r="U4249" s="5">
        <f>OrdersTable[[#This Row],[Gross Sale]]-OrdersTable[[#This Row],[Discount Amount]]</f>
        <v>314.09999999999997</v>
      </c>
      <c r="V4249" s="77">
        <f>INDEX(Products!E:E,MATCH(OrdersTable[[#This Row],[Product ID]],Products!A:A,0))</f>
        <v>105</v>
      </c>
      <c r="W4249" s="77">
        <f>OrdersTable[[#This Row],[Quantity]]*OrdersTable[[#This Row],[Unit Cost]]</f>
        <v>210</v>
      </c>
      <c r="X4249" s="77">
        <f>'Dropdown Lists'!$I$2*(1+OrdersTable[[#This Row],[Returned]])</f>
        <v>60</v>
      </c>
      <c r="Y4249" s="76">
        <f>OrdersTable[[#This Row],[Net Revenue]]-OrdersTable[[#This Row],[COGS]]-OrdersTable[[#This Row],[Shipping Cost]]</f>
        <v>44.099999999999966</v>
      </c>
      <c r="Z4249" s="78">
        <f>IFERROR(OrdersTable[[#This Row],[Profit]]/OrdersTable[[#This Row],[Net Revenue]],0)</f>
        <v>0.14040114613180507</v>
      </c>
      <c r="AA4249" t="s">
        <v>3495</v>
      </c>
      <c r="AB4249" s="79">
        <v>45961</v>
      </c>
      <c r="AC4249">
        <f>OrdersTable[[#This Row],[Delivery Date]]-OrdersTable[[#This Row],[Order Date]]</f>
        <v>4</v>
      </c>
      <c r="AD4249" t="str">
        <f>IF(OrdersTable[[#This Row],[Delivery Days]]&lt;=2, "Express (≤2d)", IF(OrdersTable[[#This Row],[Delivery Days]]&lt;=4, "Standard (3-4d)", "Delayed (5d+)"))</f>
        <v>Standard (3-4d)</v>
      </c>
      <c r="AF4249">
        <v>0</v>
      </c>
    </row>
    <row r="4250" spans="1:32" ht="15" x14ac:dyDescent="0.35">
      <c r="A4250" t="s">
        <v>4870</v>
      </c>
      <c r="B4250" s="1">
        <v>45957</v>
      </c>
      <c r="C4250">
        <f>YEAR(OrdersTable[[#This Row],[Order Date]])</f>
        <v>2025</v>
      </c>
      <c r="D4250" s="2">
        <f>DATE(YEAR(OrdersTable[[#This Row],[Order Date]]),MONTH(OrdersTable[[#This Row],[Order Date]]),1)</f>
        <v>45931</v>
      </c>
      <c r="E4250">
        <f>MONTH(OrdersTable[[#This Row],[Order Date]])</f>
        <v>10</v>
      </c>
      <c r="F4250" t="s">
        <v>4871</v>
      </c>
      <c r="G4250" t="str">
        <f>IF(OrdersTable[[#This Row],[Order Date]]=_xlfn.MINIFS(Order_Date, Customer_ID, OrdersTable[[#This Row],[Customer ID]]), "New", "Repeat")</f>
        <v>New</v>
      </c>
      <c r="H4250" t="s">
        <v>76</v>
      </c>
      <c r="I4250" t="str">
        <f>INDEX(State!B:B,MATCH(OrdersTable[[#This Row],[State]],State!A:A,0))</f>
        <v>UP</v>
      </c>
      <c r="J4250" t="str">
        <f>INDEX(State!C:C,MATCH(OrdersTable[[#This Row],[State Code]],State!B:B,0))</f>
        <v>North</v>
      </c>
      <c r="K4250" t="s">
        <v>77</v>
      </c>
      <c r="L4250" t="s">
        <v>23</v>
      </c>
      <c r="M4250" t="s">
        <v>29</v>
      </c>
      <c r="N4250" t="str">
        <f>INDEX(Products!B:B,MATCH(OrdersTable[[#This Row],[Product ID]],Products!A:A,0))</f>
        <v>Joggers</v>
      </c>
      <c r="O4250" t="str">
        <f>INDEX(Products!C:C,MATCH(OrdersTable[[#This Row],[Product ID]],Products!A:A,0))</f>
        <v>Apparel</v>
      </c>
      <c r="P4250">
        <v>2</v>
      </c>
      <c r="Q4250" s="5">
        <v>1199</v>
      </c>
      <c r="R4250" s="74">
        <v>0.1</v>
      </c>
      <c r="S4250" s="75">
        <f>OrdersTable[[#This Row],[Quantity]]*OrdersTable[[#This Row],[Unit Price]]</f>
        <v>2398</v>
      </c>
      <c r="T4250" s="5">
        <f>OrdersTable[[#This Row],[Gross Sale]]*OrdersTable[[#This Row],[Discount_Clean2]]</f>
        <v>239.8</v>
      </c>
      <c r="U4250" s="5">
        <f>OrdersTable[[#This Row],[Gross Sale]]-OrdersTable[[#This Row],[Discount Amount]]</f>
        <v>2158.1999999999998</v>
      </c>
      <c r="V4250" s="77">
        <f>INDEX(Products!E:E,MATCH(OrdersTable[[#This Row],[Product ID]],Products!A:A,0))</f>
        <v>492</v>
      </c>
      <c r="W4250" s="77">
        <f>OrdersTable[[#This Row],[Quantity]]*OrdersTable[[#This Row],[Unit Cost]]</f>
        <v>984</v>
      </c>
      <c r="X4250" s="77">
        <f>'Dropdown Lists'!$I$2*(1+OrdersTable[[#This Row],[Returned]])</f>
        <v>120</v>
      </c>
      <c r="Y4250" s="76">
        <f>OrdersTable[[#This Row],[Net Revenue]]-OrdersTable[[#This Row],[COGS]]-OrdersTable[[#This Row],[Shipping Cost]]</f>
        <v>1054.1999999999998</v>
      </c>
      <c r="Z4250" s="78">
        <f>IFERROR(OrdersTable[[#This Row],[Profit]]/OrdersTable[[#This Row],[Net Revenue]],0)</f>
        <v>0.48846260772866273</v>
      </c>
      <c r="AA4250" t="s">
        <v>4450</v>
      </c>
      <c r="AB4250" s="79">
        <v>45960</v>
      </c>
      <c r="AC4250">
        <f>OrdersTable[[#This Row],[Delivery Date]]-OrdersTable[[#This Row],[Order Date]]</f>
        <v>3</v>
      </c>
      <c r="AD4250" t="str">
        <f>IF(OrdersTable[[#This Row],[Delivery Days]]&lt;=2, "Express (≤2d)", IF(OrdersTable[[#This Row],[Delivery Days]]&lt;=4, "Standard (3-4d)", "Delayed (5d+)"))</f>
        <v>Standard (3-4d)</v>
      </c>
      <c r="AE4250">
        <v>4</v>
      </c>
      <c r="AF4250">
        <v>1</v>
      </c>
    </row>
    <row r="4251" spans="1:32" ht="15" x14ac:dyDescent="0.35">
      <c r="A4251" t="s">
        <v>3361</v>
      </c>
      <c r="B4251" s="1">
        <v>45957</v>
      </c>
      <c r="C4251">
        <f>YEAR(OrdersTable[[#This Row],[Order Date]])</f>
        <v>2025</v>
      </c>
      <c r="D4251" s="2">
        <f>DATE(YEAR(OrdersTable[[#This Row],[Order Date]]),MONTH(OrdersTable[[#This Row],[Order Date]]),1)</f>
        <v>45931</v>
      </c>
      <c r="E4251">
        <f>MONTH(OrdersTable[[#This Row],[Order Date]])</f>
        <v>10</v>
      </c>
      <c r="F4251" t="s">
        <v>3362</v>
      </c>
      <c r="G4251" t="str">
        <f>IF(OrdersTable[[#This Row],[Order Date]]=_xlfn.MINIFS(Order_Date, Customer_ID, OrdersTable[[#This Row],[Customer ID]]), "New", "Repeat")</f>
        <v>Repeat</v>
      </c>
      <c r="H4251" t="s">
        <v>32</v>
      </c>
      <c r="I4251" t="str">
        <f>INDEX(State!B:B,MATCH(OrdersTable[[#This Row],[State]],State!A:A,0))</f>
        <v>BR</v>
      </c>
      <c r="J4251" t="str">
        <f>INDEX(State!C:C,MATCH(OrdersTable[[#This Row],[State Code]],State!B:B,0))</f>
        <v>East</v>
      </c>
      <c r="K4251" t="s">
        <v>33</v>
      </c>
      <c r="L4251" t="s">
        <v>23</v>
      </c>
      <c r="M4251" t="s">
        <v>173</v>
      </c>
      <c r="N4251" t="str">
        <f>INDEX(Products!B:B,MATCH(OrdersTable[[#This Row],[Product ID]],Products!A:A,0))</f>
        <v>Wireless Earbuds</v>
      </c>
      <c r="O4251" t="str">
        <f>INDEX(Products!C:C,MATCH(OrdersTable[[#This Row],[Product ID]],Products!A:A,0))</f>
        <v>Electronics</v>
      </c>
      <c r="P4251">
        <v>1</v>
      </c>
      <c r="Q4251" s="5">
        <v>1999</v>
      </c>
      <c r="R4251" s="74">
        <v>0.4</v>
      </c>
      <c r="S4251" s="75">
        <f>OrdersTable[[#This Row],[Quantity]]*OrdersTable[[#This Row],[Unit Price]]</f>
        <v>1999</v>
      </c>
      <c r="T4251" s="5">
        <f>OrdersTable[[#This Row],[Gross Sale]]*OrdersTable[[#This Row],[Discount_Clean2]]</f>
        <v>799.6</v>
      </c>
      <c r="U4251" s="5">
        <f>OrdersTable[[#This Row],[Gross Sale]]-OrdersTable[[#This Row],[Discount Amount]]</f>
        <v>1199.4000000000001</v>
      </c>
      <c r="V4251" s="77">
        <f>INDEX(Products!E:E,MATCH(OrdersTable[[#This Row],[Product ID]],Products!A:A,0))</f>
        <v>1239</v>
      </c>
      <c r="W4251" s="77">
        <f>OrdersTable[[#This Row],[Quantity]]*OrdersTable[[#This Row],[Unit Cost]]</f>
        <v>1239</v>
      </c>
      <c r="X4251" s="77">
        <f>'Dropdown Lists'!$I$2*(1+OrdersTable[[#This Row],[Returned]])</f>
        <v>60</v>
      </c>
      <c r="Y4251" s="76">
        <f>OrdersTable[[#This Row],[Net Revenue]]-OrdersTable[[#This Row],[COGS]]-OrdersTable[[#This Row],[Shipping Cost]]</f>
        <v>-99.599999999999909</v>
      </c>
      <c r="Z4251" s="78">
        <f>IFERROR(OrdersTable[[#This Row],[Profit]]/OrdersTable[[#This Row],[Net Revenue]],0)</f>
        <v>-8.3041520760380114E-2</v>
      </c>
      <c r="AA4251" t="s">
        <v>2522</v>
      </c>
      <c r="AB4251" s="79">
        <v>45963</v>
      </c>
      <c r="AC4251">
        <f>OrdersTable[[#This Row],[Delivery Date]]-OrdersTable[[#This Row],[Order Date]]</f>
        <v>6</v>
      </c>
      <c r="AD4251" t="str">
        <f>IF(OrdersTable[[#This Row],[Delivery Days]]&lt;=2, "Express (≤2d)", IF(OrdersTable[[#This Row],[Delivery Days]]&lt;=4, "Standard (3-4d)", "Delayed (5d+)"))</f>
        <v>Delayed (5d+)</v>
      </c>
      <c r="AE4251">
        <v>4</v>
      </c>
      <c r="AF4251">
        <v>0</v>
      </c>
    </row>
    <row r="4252" spans="1:32" ht="15" x14ac:dyDescent="0.35">
      <c r="A4252" t="s">
        <v>876</v>
      </c>
      <c r="B4252" s="1">
        <v>45957</v>
      </c>
      <c r="C4252">
        <f>YEAR(OrdersTable[[#This Row],[Order Date]])</f>
        <v>2025</v>
      </c>
      <c r="D4252" s="2">
        <f>DATE(YEAR(OrdersTable[[#This Row],[Order Date]]),MONTH(OrdersTable[[#This Row],[Order Date]]),1)</f>
        <v>45931</v>
      </c>
      <c r="E4252">
        <f>MONTH(OrdersTable[[#This Row],[Order Date]])</f>
        <v>10</v>
      </c>
      <c r="F4252" t="s">
        <v>877</v>
      </c>
      <c r="G4252" t="str">
        <f>IF(OrdersTable[[#This Row],[Order Date]]=_xlfn.MINIFS(Order_Date, Customer_ID, OrdersTable[[#This Row],[Customer ID]]), "New", "Repeat")</f>
        <v>New</v>
      </c>
      <c r="H4252" t="s">
        <v>37</v>
      </c>
      <c r="I4252" t="str">
        <f>INDEX(State!B:B,MATCH(OrdersTable[[#This Row],[State]],State!A:A,0))</f>
        <v>GJ</v>
      </c>
      <c r="J4252" t="str">
        <f>INDEX(State!C:C,MATCH(OrdersTable[[#This Row],[State Code]],State!B:B,0))</f>
        <v>West</v>
      </c>
      <c r="K4252" t="s">
        <v>247</v>
      </c>
      <c r="L4252" t="s">
        <v>39</v>
      </c>
      <c r="M4252" t="s">
        <v>45</v>
      </c>
      <c r="N4252" t="str">
        <f>INDEX(Products!B:B,MATCH(OrdersTable[[#This Row],[Product ID]],Products!A:A,0))</f>
        <v>Argan Shampoo</v>
      </c>
      <c r="O4252" t="str">
        <f>INDEX(Products!C:C,MATCH(OrdersTable[[#This Row],[Product ID]],Products!A:A,0))</f>
        <v>Haircare</v>
      </c>
      <c r="P4252">
        <v>1</v>
      </c>
      <c r="Q4252" s="5">
        <v>449</v>
      </c>
      <c r="R4252" s="74">
        <v>0.25</v>
      </c>
      <c r="S4252" s="75">
        <f>OrdersTable[[#This Row],[Quantity]]*OrdersTable[[#This Row],[Unit Price]]</f>
        <v>449</v>
      </c>
      <c r="T4252" s="5">
        <f>OrdersTable[[#This Row],[Gross Sale]]*OrdersTable[[#This Row],[Discount_Clean2]]</f>
        <v>112.25</v>
      </c>
      <c r="U4252" s="5">
        <f>OrdersTable[[#This Row],[Gross Sale]]-OrdersTable[[#This Row],[Discount Amount]]</f>
        <v>336.75</v>
      </c>
      <c r="V4252" s="77">
        <f>INDEX(Products!E:E,MATCH(OrdersTable[[#This Row],[Product ID]],Products!A:A,0))</f>
        <v>148</v>
      </c>
      <c r="W4252" s="77">
        <f>OrdersTable[[#This Row],[Quantity]]*OrdersTable[[#This Row],[Unit Cost]]</f>
        <v>148</v>
      </c>
      <c r="X4252" s="77">
        <f>'Dropdown Lists'!$I$2*(1+OrdersTable[[#This Row],[Returned]])</f>
        <v>60</v>
      </c>
      <c r="Y4252" s="76">
        <f>OrdersTable[[#This Row],[Net Revenue]]-OrdersTable[[#This Row],[COGS]]-OrdersTable[[#This Row],[Shipping Cost]]</f>
        <v>128.75</v>
      </c>
      <c r="Z4252" s="78">
        <f>IFERROR(OrdersTable[[#This Row],[Profit]]/OrdersTable[[#This Row],[Net Revenue]],0)</f>
        <v>0.38233110616184113</v>
      </c>
      <c r="AA4252" t="s">
        <v>18</v>
      </c>
      <c r="AB4252" s="79">
        <v>45962</v>
      </c>
      <c r="AC4252">
        <f>OrdersTable[[#This Row],[Delivery Date]]-OrdersTable[[#This Row],[Order Date]]</f>
        <v>5</v>
      </c>
      <c r="AD4252" t="str">
        <f>IF(OrdersTable[[#This Row],[Delivery Days]]&lt;=2, "Express (≤2d)", IF(OrdersTable[[#This Row],[Delivery Days]]&lt;=4, "Standard (3-4d)", "Delayed (5d+)"))</f>
        <v>Delayed (5d+)</v>
      </c>
      <c r="AE4252">
        <v>4</v>
      </c>
      <c r="AF4252">
        <v>0</v>
      </c>
    </row>
    <row r="4253" spans="1:32" ht="15" x14ac:dyDescent="0.35">
      <c r="A4253" t="s">
        <v>4872</v>
      </c>
      <c r="B4253" s="1">
        <v>45957</v>
      </c>
      <c r="C4253">
        <f>YEAR(OrdersTable[[#This Row],[Order Date]])</f>
        <v>2025</v>
      </c>
      <c r="D4253" s="2">
        <f>DATE(YEAR(OrdersTable[[#This Row],[Order Date]]),MONTH(OrdersTable[[#This Row],[Order Date]]),1)</f>
        <v>45931</v>
      </c>
      <c r="E4253">
        <f>MONTH(OrdersTable[[#This Row],[Order Date]])</f>
        <v>10</v>
      </c>
      <c r="F4253" t="s">
        <v>1752</v>
      </c>
      <c r="G4253" t="str">
        <f>IF(OrdersTable[[#This Row],[Order Date]]=_xlfn.MINIFS(Order_Date, Customer_ID, OrdersTable[[#This Row],[Customer ID]]), "New", "Repeat")</f>
        <v>Repeat</v>
      </c>
      <c r="H4253" t="s">
        <v>37</v>
      </c>
      <c r="I4253" t="str">
        <f>INDEX(State!B:B,MATCH(OrdersTable[[#This Row],[State]],State!A:A,0))</f>
        <v>GJ</v>
      </c>
      <c r="J4253" t="str">
        <f>INDEX(State!C:C,MATCH(OrdersTable[[#This Row],[State Code]],State!B:B,0))</f>
        <v>West</v>
      </c>
      <c r="K4253" t="s">
        <v>38</v>
      </c>
      <c r="L4253" t="s">
        <v>65</v>
      </c>
      <c r="M4253" t="s">
        <v>56</v>
      </c>
      <c r="N4253" t="str">
        <f>INDEX(Products!B:B,MATCH(OrdersTable[[#This Row],[Product ID]],Products!A:A,0))</f>
        <v>Vitamin C Face Serum</v>
      </c>
      <c r="O4253" t="str">
        <f>INDEX(Products!C:C,MATCH(OrdersTable[[#This Row],[Product ID]],Products!A:A,0))</f>
        <v>Skincare</v>
      </c>
      <c r="P4253">
        <v>2</v>
      </c>
      <c r="Q4253" s="5">
        <v>599</v>
      </c>
      <c r="R4253" s="74">
        <v>0.35</v>
      </c>
      <c r="S4253" s="75">
        <f>OrdersTable[[#This Row],[Quantity]]*OrdersTable[[#This Row],[Unit Price]]</f>
        <v>1198</v>
      </c>
      <c r="T4253" s="5">
        <f>OrdersTable[[#This Row],[Gross Sale]]*OrdersTable[[#This Row],[Discount_Clean2]]</f>
        <v>419.29999999999995</v>
      </c>
      <c r="U4253" s="5">
        <f>OrdersTable[[#This Row],[Gross Sale]]-OrdersTable[[#This Row],[Discount Amount]]</f>
        <v>778.7</v>
      </c>
      <c r="V4253" s="77">
        <f>INDEX(Products!E:E,MATCH(OrdersTable[[#This Row],[Product ID]],Products!A:A,0))</f>
        <v>180</v>
      </c>
      <c r="W4253" s="77">
        <f>OrdersTable[[#This Row],[Quantity]]*OrdersTable[[#This Row],[Unit Cost]]</f>
        <v>360</v>
      </c>
      <c r="X4253" s="77">
        <f>'Dropdown Lists'!$I$2*(1+OrdersTable[[#This Row],[Returned]])</f>
        <v>60</v>
      </c>
      <c r="Y4253" s="76">
        <f>OrdersTable[[#This Row],[Net Revenue]]-OrdersTable[[#This Row],[COGS]]-OrdersTable[[#This Row],[Shipping Cost]]</f>
        <v>358.70000000000005</v>
      </c>
      <c r="Z4253" s="78">
        <f>IFERROR(OrdersTable[[#This Row],[Profit]]/OrdersTable[[#This Row],[Net Revenue]],0)</f>
        <v>0.4606395274174907</v>
      </c>
      <c r="AA4253" t="s">
        <v>4450</v>
      </c>
      <c r="AB4253" s="79">
        <v>45960</v>
      </c>
      <c r="AC4253">
        <f>OrdersTable[[#This Row],[Delivery Date]]-OrdersTable[[#This Row],[Order Date]]</f>
        <v>3</v>
      </c>
      <c r="AD4253" t="str">
        <f>IF(OrdersTable[[#This Row],[Delivery Days]]&lt;=2, "Express (≤2d)", IF(OrdersTable[[#This Row],[Delivery Days]]&lt;=4, "Standard (3-4d)", "Delayed (5d+)"))</f>
        <v>Standard (3-4d)</v>
      </c>
      <c r="AE4253">
        <v>3</v>
      </c>
      <c r="AF4253">
        <v>0</v>
      </c>
    </row>
    <row r="4254" spans="1:32" ht="15" x14ac:dyDescent="0.35">
      <c r="A4254" t="s">
        <v>4873</v>
      </c>
      <c r="B4254" s="1">
        <v>45957</v>
      </c>
      <c r="C4254">
        <f>YEAR(OrdersTable[[#This Row],[Order Date]])</f>
        <v>2025</v>
      </c>
      <c r="D4254" s="2">
        <f>DATE(YEAR(OrdersTable[[#This Row],[Order Date]]),MONTH(OrdersTable[[#This Row],[Order Date]]),1)</f>
        <v>45931</v>
      </c>
      <c r="E4254">
        <f>MONTH(OrdersTable[[#This Row],[Order Date]])</f>
        <v>10</v>
      </c>
      <c r="F4254" t="s">
        <v>3280</v>
      </c>
      <c r="G4254" t="str">
        <f>IF(OrdersTable[[#This Row],[Order Date]]=_xlfn.MINIFS(Order_Date, Customer_ID, OrdersTable[[#This Row],[Customer ID]]), "New", "Repeat")</f>
        <v>Repeat</v>
      </c>
      <c r="H4254" t="s">
        <v>43</v>
      </c>
      <c r="I4254" t="str">
        <f>INDEX(State!B:B,MATCH(OrdersTable[[#This Row],[State]],State!A:A,0))</f>
        <v>MP</v>
      </c>
      <c r="J4254" t="str">
        <f>INDEX(State!C:C,MATCH(OrdersTable[[#This Row],[State Code]],State!B:B,0))</f>
        <v>West</v>
      </c>
      <c r="K4254" t="s">
        <v>250</v>
      </c>
      <c r="L4254" t="s">
        <v>23</v>
      </c>
      <c r="M4254" t="s">
        <v>179</v>
      </c>
      <c r="N4254" t="str">
        <f>INDEX(Products!B:B,MATCH(OrdersTable[[#This Row],[Product ID]],Products!A:A,0))</f>
        <v>Whey Protein 1kg</v>
      </c>
      <c r="O4254" t="str">
        <f>INDEX(Products!C:C,MATCH(OrdersTable[[#This Row],[Product ID]],Products!A:A,0))</f>
        <v>Wellness</v>
      </c>
      <c r="P4254">
        <v>2</v>
      </c>
      <c r="Q4254" s="5">
        <v>2299</v>
      </c>
      <c r="R4254" s="74">
        <v>0.6</v>
      </c>
      <c r="S4254" s="75">
        <f>OrdersTable[[#This Row],[Quantity]]*OrdersTable[[#This Row],[Unit Price]]</f>
        <v>4598</v>
      </c>
      <c r="T4254" s="5">
        <f>OrdersTable[[#This Row],[Gross Sale]]*OrdersTable[[#This Row],[Discount_Clean2]]</f>
        <v>2758.7999999999997</v>
      </c>
      <c r="U4254" s="5">
        <f>OrdersTable[[#This Row],[Gross Sale]]-OrdersTable[[#This Row],[Discount Amount]]</f>
        <v>1839.2000000000003</v>
      </c>
      <c r="V4254" s="77">
        <f>INDEX(Products!E:E,MATCH(OrdersTable[[#This Row],[Product ID]],Products!A:A,0))</f>
        <v>1333</v>
      </c>
      <c r="W4254" s="77">
        <f>OrdersTable[[#This Row],[Quantity]]*OrdersTable[[#This Row],[Unit Cost]]</f>
        <v>2666</v>
      </c>
      <c r="X4254" s="77">
        <f>'Dropdown Lists'!$I$2*(1+OrdersTable[[#This Row],[Returned]])</f>
        <v>60</v>
      </c>
      <c r="Y4254" s="76">
        <f>OrdersTable[[#This Row],[Net Revenue]]-OrdersTable[[#This Row],[COGS]]-OrdersTable[[#This Row],[Shipping Cost]]</f>
        <v>-886.79999999999973</v>
      </c>
      <c r="Z4254" s="78">
        <f>IFERROR(OrdersTable[[#This Row],[Profit]]/OrdersTable[[#This Row],[Net Revenue]],0)</f>
        <v>-0.48216615919965178</v>
      </c>
      <c r="AA4254" t="s">
        <v>4450</v>
      </c>
      <c r="AB4254" s="79">
        <v>45962</v>
      </c>
      <c r="AC4254">
        <f>OrdersTable[[#This Row],[Delivery Date]]-OrdersTable[[#This Row],[Order Date]]</f>
        <v>5</v>
      </c>
      <c r="AD4254" t="str">
        <f>IF(OrdersTable[[#This Row],[Delivery Days]]&lt;=2, "Express (≤2d)", IF(OrdersTable[[#This Row],[Delivery Days]]&lt;=4, "Standard (3-4d)", "Delayed (5d+)"))</f>
        <v>Delayed (5d+)</v>
      </c>
      <c r="AE4254">
        <v>3</v>
      </c>
      <c r="AF4254">
        <v>0</v>
      </c>
    </row>
    <row r="4255" spans="1:32" ht="15" x14ac:dyDescent="0.35">
      <c r="A4255" t="s">
        <v>1118</v>
      </c>
      <c r="B4255" s="1">
        <v>45957</v>
      </c>
      <c r="C4255">
        <f>YEAR(OrdersTable[[#This Row],[Order Date]])</f>
        <v>2025</v>
      </c>
      <c r="D4255" s="2">
        <f>DATE(YEAR(OrdersTable[[#This Row],[Order Date]]),MONTH(OrdersTable[[#This Row],[Order Date]]),1)</f>
        <v>45931</v>
      </c>
      <c r="E4255">
        <f>MONTH(OrdersTable[[#This Row],[Order Date]])</f>
        <v>10</v>
      </c>
      <c r="F4255" t="s">
        <v>1119</v>
      </c>
      <c r="G4255" t="str">
        <f>IF(OrdersTable[[#This Row],[Order Date]]=_xlfn.MINIFS(Order_Date, Customer_ID, OrdersTable[[#This Row],[Customer ID]]), "New", "Repeat")</f>
        <v>Repeat</v>
      </c>
      <c r="H4255" t="s">
        <v>71</v>
      </c>
      <c r="I4255" t="str">
        <f>INDEX(State!B:B,MATCH(OrdersTable[[#This Row],[State]],State!A:A,0))</f>
        <v>MH</v>
      </c>
      <c r="J4255" t="str">
        <f>INDEX(State!C:C,MATCH(OrdersTable[[#This Row],[State Code]],State!B:B,0))</f>
        <v>West</v>
      </c>
      <c r="K4255" t="s">
        <v>72</v>
      </c>
      <c r="L4255" t="s">
        <v>16</v>
      </c>
      <c r="M4255" t="s">
        <v>87</v>
      </c>
      <c r="N4255" t="str">
        <f>INDEX(Products!B:B,MATCH(OrdersTable[[#This Row],[Product ID]],Products!A:A,0))</f>
        <v>Linen Kurta</v>
      </c>
      <c r="O4255" t="str">
        <f>INDEX(Products!C:C,MATCH(OrdersTable[[#This Row],[Product ID]],Products!A:A,0))</f>
        <v>Apparel</v>
      </c>
      <c r="P4255">
        <v>1</v>
      </c>
      <c r="Q4255" s="5">
        <v>1499</v>
      </c>
      <c r="R4255" s="74">
        <v>0.4</v>
      </c>
      <c r="S4255" s="75">
        <f>OrdersTable[[#This Row],[Quantity]]*OrdersTable[[#This Row],[Unit Price]]</f>
        <v>1499</v>
      </c>
      <c r="T4255" s="5">
        <f>OrdersTable[[#This Row],[Gross Sale]]*OrdersTable[[#This Row],[Discount_Clean2]]</f>
        <v>599.6</v>
      </c>
      <c r="U4255" s="5">
        <f>OrdersTable[[#This Row],[Gross Sale]]-OrdersTable[[#This Row],[Discount Amount]]</f>
        <v>899.4</v>
      </c>
      <c r="V4255" s="77">
        <f>INDEX(Products!E:E,MATCH(OrdersTable[[#This Row],[Product ID]],Products!A:A,0))</f>
        <v>630</v>
      </c>
      <c r="W4255" s="77">
        <f>OrdersTable[[#This Row],[Quantity]]*OrdersTable[[#This Row],[Unit Cost]]</f>
        <v>630</v>
      </c>
      <c r="X4255" s="77">
        <f>'Dropdown Lists'!$I$2*(1+OrdersTable[[#This Row],[Returned]])</f>
        <v>120</v>
      </c>
      <c r="Y4255" s="76">
        <f>OrdersTable[[#This Row],[Net Revenue]]-OrdersTable[[#This Row],[COGS]]-OrdersTable[[#This Row],[Shipping Cost]]</f>
        <v>149.39999999999998</v>
      </c>
      <c r="Z4255" s="78">
        <f>IFERROR(OrdersTable[[#This Row],[Profit]]/OrdersTable[[#This Row],[Net Revenue]],0)</f>
        <v>0.16611074049366242</v>
      </c>
      <c r="AA4255" t="s">
        <v>18</v>
      </c>
      <c r="AB4255" s="79">
        <v>45960</v>
      </c>
      <c r="AC4255">
        <f>OrdersTable[[#This Row],[Delivery Date]]-OrdersTable[[#This Row],[Order Date]]</f>
        <v>3</v>
      </c>
      <c r="AD4255" t="str">
        <f>IF(OrdersTable[[#This Row],[Delivery Days]]&lt;=2, "Express (≤2d)", IF(OrdersTable[[#This Row],[Delivery Days]]&lt;=4, "Standard (3-4d)", "Delayed (5d+)"))</f>
        <v>Standard (3-4d)</v>
      </c>
      <c r="AE4255">
        <v>4</v>
      </c>
      <c r="AF4255">
        <v>1</v>
      </c>
    </row>
    <row r="4256" spans="1:32" ht="15" x14ac:dyDescent="0.35">
      <c r="A4256" t="s">
        <v>6217</v>
      </c>
      <c r="B4256" s="1">
        <v>45957</v>
      </c>
      <c r="C4256">
        <f>YEAR(OrdersTable[[#This Row],[Order Date]])</f>
        <v>2025</v>
      </c>
      <c r="D4256" s="2">
        <f>DATE(YEAR(OrdersTable[[#This Row],[Order Date]]),MONTH(OrdersTable[[#This Row],[Order Date]]),1)</f>
        <v>45931</v>
      </c>
      <c r="E4256">
        <f>MONTH(OrdersTable[[#This Row],[Order Date]])</f>
        <v>10</v>
      </c>
      <c r="F4256" t="s">
        <v>6218</v>
      </c>
      <c r="G4256" t="str">
        <f>IF(OrdersTable[[#This Row],[Order Date]]=_xlfn.MINIFS(Order_Date, Customer_ID, OrdersTable[[#This Row],[Customer ID]]), "New", "Repeat")</f>
        <v>New</v>
      </c>
      <c r="H4256" t="s">
        <v>71</v>
      </c>
      <c r="I4256" t="str">
        <f>INDEX(State!B:B,MATCH(OrdersTable[[#This Row],[State]],State!A:A,0))</f>
        <v>MH</v>
      </c>
      <c r="J4256" t="str">
        <f>INDEX(State!C:C,MATCH(OrdersTable[[#This Row],[State Code]],State!B:B,0))</f>
        <v>West</v>
      </c>
      <c r="K4256" t="s">
        <v>102</v>
      </c>
      <c r="L4256" t="s">
        <v>23</v>
      </c>
      <c r="M4256" t="s">
        <v>40</v>
      </c>
      <c r="N4256" t="str">
        <f>INDEX(Products!B:B,MATCH(OrdersTable[[#This Row],[Product ID]],Products!A:A,0))</f>
        <v>Ashwagandha Capsules</v>
      </c>
      <c r="O4256" t="str">
        <f>INDEX(Products!C:C,MATCH(OrdersTable[[#This Row],[Product ID]],Products!A:A,0))</f>
        <v>Wellness</v>
      </c>
      <c r="P4256">
        <v>2</v>
      </c>
      <c r="Q4256" s="5">
        <v>499</v>
      </c>
      <c r="R4256" s="74">
        <v>0.1</v>
      </c>
      <c r="S4256" s="75">
        <f>OrdersTable[[#This Row],[Quantity]]*OrdersTable[[#This Row],[Unit Price]]</f>
        <v>998</v>
      </c>
      <c r="T4256" s="5">
        <f>OrdersTable[[#This Row],[Gross Sale]]*OrdersTable[[#This Row],[Discount_Clean2]]</f>
        <v>99.800000000000011</v>
      </c>
      <c r="U4256" s="5">
        <f>OrdersTable[[#This Row],[Gross Sale]]-OrdersTable[[#This Row],[Discount Amount]]</f>
        <v>898.2</v>
      </c>
      <c r="V4256" s="77">
        <f>INDEX(Products!E:E,MATCH(OrdersTable[[#This Row],[Product ID]],Products!A:A,0))</f>
        <v>150</v>
      </c>
      <c r="W4256" s="77">
        <f>OrdersTable[[#This Row],[Quantity]]*OrdersTable[[#This Row],[Unit Cost]]</f>
        <v>300</v>
      </c>
      <c r="X4256" s="77">
        <f>'Dropdown Lists'!$I$2*(1+OrdersTable[[#This Row],[Returned]])</f>
        <v>60</v>
      </c>
      <c r="Y4256" s="76">
        <f>OrdersTable[[#This Row],[Net Revenue]]-OrdersTable[[#This Row],[COGS]]-OrdersTable[[#This Row],[Shipping Cost]]</f>
        <v>538.20000000000005</v>
      </c>
      <c r="Z4256" s="78">
        <f>IFERROR(OrdersTable[[#This Row],[Profit]]/OrdersTable[[#This Row],[Net Revenue]],0)</f>
        <v>0.59919839679358722</v>
      </c>
      <c r="AA4256" t="s">
        <v>18</v>
      </c>
      <c r="AB4256" s="79">
        <v>45958</v>
      </c>
      <c r="AC4256">
        <f>OrdersTable[[#This Row],[Delivery Date]]-OrdersTable[[#This Row],[Order Date]]</f>
        <v>1</v>
      </c>
      <c r="AD4256" t="str">
        <f>IF(OrdersTable[[#This Row],[Delivery Days]]&lt;=2, "Express (≤2d)", IF(OrdersTable[[#This Row],[Delivery Days]]&lt;=4, "Standard (3-4d)", "Delayed (5d+)"))</f>
        <v>Express (≤2d)</v>
      </c>
      <c r="AE4256">
        <v>4</v>
      </c>
      <c r="AF4256">
        <v>0</v>
      </c>
    </row>
    <row r="4257" spans="1:32" ht="15" x14ac:dyDescent="0.35">
      <c r="A4257" t="s">
        <v>6219</v>
      </c>
      <c r="B4257" s="1">
        <v>45957</v>
      </c>
      <c r="C4257">
        <f>YEAR(OrdersTable[[#This Row],[Order Date]])</f>
        <v>2025</v>
      </c>
      <c r="D4257" s="2">
        <f>DATE(YEAR(OrdersTable[[#This Row],[Order Date]]),MONTH(OrdersTable[[#This Row],[Order Date]]),1)</f>
        <v>45931</v>
      </c>
      <c r="E4257">
        <f>MONTH(OrdersTable[[#This Row],[Order Date]])</f>
        <v>10</v>
      </c>
      <c r="F4257" t="s">
        <v>3106</v>
      </c>
      <c r="G4257" t="str">
        <f>IF(OrdersTable[[#This Row],[Order Date]]=_xlfn.MINIFS(Order_Date, Customer_ID, OrdersTable[[#This Row],[Customer ID]]), "New", "Repeat")</f>
        <v>Repeat</v>
      </c>
      <c r="H4257" t="s">
        <v>71</v>
      </c>
      <c r="I4257" t="str">
        <f>INDEX(State!B:B,MATCH(OrdersTable[[#This Row],[State]],State!A:A,0))</f>
        <v>MH</v>
      </c>
      <c r="J4257" t="str">
        <f>INDEX(State!C:C,MATCH(OrdersTable[[#This Row],[State Code]],State!B:B,0))</f>
        <v>West</v>
      </c>
      <c r="K4257" t="s">
        <v>72</v>
      </c>
      <c r="L4257" t="s">
        <v>65</v>
      </c>
      <c r="M4257" t="s">
        <v>255</v>
      </c>
      <c r="N4257" t="str">
        <f>INDEX(Products!B:B,MATCH(OrdersTable[[#This Row],[Product ID]],Products!A:A,0))</f>
        <v>Cotton Oversized T-Shirt</v>
      </c>
      <c r="O4257" t="str">
        <f>INDEX(Products!C:C,MATCH(OrdersTable[[#This Row],[Product ID]],Products!A:A,0))</f>
        <v>Apparel</v>
      </c>
      <c r="P4257">
        <v>2</v>
      </c>
      <c r="Q4257" s="5">
        <v>799</v>
      </c>
      <c r="R4257" s="74">
        <v>0.25</v>
      </c>
      <c r="S4257" s="75">
        <f>OrdersTable[[#This Row],[Quantity]]*OrdersTable[[#This Row],[Unit Price]]</f>
        <v>1598</v>
      </c>
      <c r="T4257" s="5">
        <f>OrdersTable[[#This Row],[Gross Sale]]*OrdersTable[[#This Row],[Discount_Clean2]]</f>
        <v>399.5</v>
      </c>
      <c r="U4257" s="5">
        <f>OrdersTable[[#This Row],[Gross Sale]]-OrdersTable[[#This Row],[Discount Amount]]</f>
        <v>1198.5</v>
      </c>
      <c r="V4257" s="77">
        <f>INDEX(Products!E:E,MATCH(OrdersTable[[#This Row],[Product ID]],Products!A:A,0))</f>
        <v>320</v>
      </c>
      <c r="W4257" s="77">
        <f>OrdersTable[[#This Row],[Quantity]]*OrdersTable[[#This Row],[Unit Cost]]</f>
        <v>640</v>
      </c>
      <c r="X4257" s="77">
        <f>'Dropdown Lists'!$I$2*(1+OrdersTable[[#This Row],[Returned]])</f>
        <v>60</v>
      </c>
      <c r="Y4257" s="76">
        <f>OrdersTable[[#This Row],[Net Revenue]]-OrdersTable[[#This Row],[COGS]]-OrdersTable[[#This Row],[Shipping Cost]]</f>
        <v>498.5</v>
      </c>
      <c r="Z4257" s="78">
        <f>IFERROR(OrdersTable[[#This Row],[Profit]]/OrdersTable[[#This Row],[Net Revenue]],0)</f>
        <v>0.41593658740091782</v>
      </c>
      <c r="AA4257" t="s">
        <v>18</v>
      </c>
      <c r="AB4257" s="79">
        <v>45960</v>
      </c>
      <c r="AC4257">
        <f>OrdersTable[[#This Row],[Delivery Date]]-OrdersTable[[#This Row],[Order Date]]</f>
        <v>3</v>
      </c>
      <c r="AD4257" t="str">
        <f>IF(OrdersTable[[#This Row],[Delivery Days]]&lt;=2, "Express (≤2d)", IF(OrdersTable[[#This Row],[Delivery Days]]&lt;=4, "Standard (3-4d)", "Delayed (5d+)"))</f>
        <v>Standard (3-4d)</v>
      </c>
      <c r="AE4257">
        <v>4</v>
      </c>
      <c r="AF4257">
        <v>0</v>
      </c>
    </row>
    <row r="4258" spans="1:32" ht="15" x14ac:dyDescent="0.35">
      <c r="A4258" t="s">
        <v>1597</v>
      </c>
      <c r="B4258" s="1">
        <v>45957</v>
      </c>
      <c r="C4258">
        <f>YEAR(OrdersTable[[#This Row],[Order Date]])</f>
        <v>2025</v>
      </c>
      <c r="D4258" s="2">
        <f>DATE(YEAR(OrdersTable[[#This Row],[Order Date]]),MONTH(OrdersTable[[#This Row],[Order Date]]),1)</f>
        <v>45931</v>
      </c>
      <c r="E4258">
        <f>MONTH(OrdersTable[[#This Row],[Order Date]])</f>
        <v>10</v>
      </c>
      <c r="F4258" t="s">
        <v>1598</v>
      </c>
      <c r="G4258" t="str">
        <f>IF(OrdersTable[[#This Row],[Order Date]]=_xlfn.MINIFS(Order_Date, Customer_ID, OrdersTable[[#This Row],[Customer ID]]), "New", "Repeat")</f>
        <v>Repeat</v>
      </c>
      <c r="H4258" t="s">
        <v>71</v>
      </c>
      <c r="I4258" t="str">
        <f>INDEX(State!B:B,MATCH(OrdersTable[[#This Row],[State]],State!A:A,0))</f>
        <v>MH</v>
      </c>
      <c r="J4258" t="str">
        <f>INDEX(State!C:C,MATCH(OrdersTable[[#This Row],[State Code]],State!B:B,0))</f>
        <v>West</v>
      </c>
      <c r="K4258" t="s">
        <v>81</v>
      </c>
      <c r="L4258" t="s">
        <v>39</v>
      </c>
      <c r="M4258" t="s">
        <v>148</v>
      </c>
      <c r="N4258" t="str">
        <f>INDEX(Products!B:B,MATCH(OrdersTable[[#This Row],[Product ID]],Products!A:A,0))</f>
        <v>Smartwatch Strap</v>
      </c>
      <c r="O4258" t="str">
        <f>INDEX(Products!C:C,MATCH(OrdersTable[[#This Row],[Product ID]],Products!A:A,0))</f>
        <v>Electronics</v>
      </c>
      <c r="P4258">
        <v>1</v>
      </c>
      <c r="Q4258" s="5">
        <v>499</v>
      </c>
      <c r="R4258" s="74">
        <v>0.2</v>
      </c>
      <c r="S4258" s="75">
        <f>OrdersTable[[#This Row],[Quantity]]*OrdersTable[[#This Row],[Unit Price]]</f>
        <v>499</v>
      </c>
      <c r="T4258" s="5">
        <f>OrdersTable[[#This Row],[Gross Sale]]*OrdersTable[[#This Row],[Discount_Clean2]]</f>
        <v>99.800000000000011</v>
      </c>
      <c r="U4258" s="5">
        <f>OrdersTable[[#This Row],[Gross Sale]]-OrdersTable[[#This Row],[Discount Amount]]</f>
        <v>399.2</v>
      </c>
      <c r="V4258" s="77">
        <f>INDEX(Products!E:E,MATCH(OrdersTable[[#This Row],[Product ID]],Products!A:A,0))</f>
        <v>200</v>
      </c>
      <c r="W4258" s="77">
        <f>OrdersTable[[#This Row],[Quantity]]*OrdersTable[[#This Row],[Unit Cost]]</f>
        <v>200</v>
      </c>
      <c r="X4258" s="77">
        <f>'Dropdown Lists'!$I$2*(1+OrdersTable[[#This Row],[Returned]])</f>
        <v>60</v>
      </c>
      <c r="Y4258" s="76">
        <f>OrdersTable[[#This Row],[Net Revenue]]-OrdersTable[[#This Row],[COGS]]-OrdersTable[[#This Row],[Shipping Cost]]</f>
        <v>139.19999999999999</v>
      </c>
      <c r="Z4258" s="78">
        <f>IFERROR(OrdersTable[[#This Row],[Profit]]/OrdersTable[[#This Row],[Net Revenue]],0)</f>
        <v>0.34869739478957912</v>
      </c>
      <c r="AA4258" t="s">
        <v>18</v>
      </c>
      <c r="AB4258" s="79">
        <v>45961</v>
      </c>
      <c r="AC4258">
        <f>OrdersTable[[#This Row],[Delivery Date]]-OrdersTable[[#This Row],[Order Date]]</f>
        <v>4</v>
      </c>
      <c r="AD4258" t="str">
        <f>IF(OrdersTable[[#This Row],[Delivery Days]]&lt;=2, "Express (≤2d)", IF(OrdersTable[[#This Row],[Delivery Days]]&lt;=4, "Standard (3-4d)", "Delayed (5d+)"))</f>
        <v>Standard (3-4d)</v>
      </c>
      <c r="AF4258">
        <v>0</v>
      </c>
    </row>
    <row r="4259" spans="1:32" ht="15" x14ac:dyDescent="0.35">
      <c r="A4259" t="s">
        <v>2037</v>
      </c>
      <c r="B4259" s="1">
        <v>45957</v>
      </c>
      <c r="C4259">
        <f>YEAR(OrdersTable[[#This Row],[Order Date]])</f>
        <v>2025</v>
      </c>
      <c r="D4259" s="2">
        <f>DATE(YEAR(OrdersTable[[#This Row],[Order Date]]),MONTH(OrdersTable[[#This Row],[Order Date]]),1)</f>
        <v>45931</v>
      </c>
      <c r="E4259">
        <f>MONTH(OrdersTable[[#This Row],[Order Date]])</f>
        <v>10</v>
      </c>
      <c r="F4259" t="s">
        <v>2038</v>
      </c>
      <c r="G4259" t="str">
        <f>IF(OrdersTable[[#This Row],[Order Date]]=_xlfn.MINIFS(Order_Date, Customer_ID, OrdersTable[[#This Row],[Customer ID]]), "New", "Repeat")</f>
        <v>Repeat</v>
      </c>
      <c r="H4259" t="s">
        <v>95</v>
      </c>
      <c r="I4259" t="str">
        <f>INDEX(State!B:B,MATCH(OrdersTable[[#This Row],[State]],State!A:A,0))</f>
        <v>TG</v>
      </c>
      <c r="J4259" t="str">
        <f>INDEX(State!C:C,MATCH(OrdersTable[[#This Row],[State Code]],State!B:B,0))</f>
        <v>South</v>
      </c>
      <c r="K4259" t="s">
        <v>96</v>
      </c>
      <c r="L4259" t="s">
        <v>39</v>
      </c>
      <c r="M4259" t="s">
        <v>92</v>
      </c>
      <c r="N4259" t="str">
        <f>INDEX(Products!B:B,MATCH(OrdersTable[[#This Row],[Product ID]],Products!A:A,0))</f>
        <v>Kolhapuri Sandals</v>
      </c>
      <c r="O4259" t="str">
        <f>INDEX(Products!C:C,MATCH(OrdersTable[[#This Row],[Product ID]],Products!A:A,0))</f>
        <v>Footwear</v>
      </c>
      <c r="P4259">
        <v>1</v>
      </c>
      <c r="Q4259" s="5">
        <v>999</v>
      </c>
      <c r="R4259" s="74">
        <v>0.05</v>
      </c>
      <c r="S4259" s="75">
        <f>OrdersTable[[#This Row],[Quantity]]*OrdersTable[[#This Row],[Unit Price]]</f>
        <v>999</v>
      </c>
      <c r="T4259" s="5">
        <f>OrdersTable[[#This Row],[Gross Sale]]*OrdersTable[[#This Row],[Discount_Clean2]]</f>
        <v>49.95</v>
      </c>
      <c r="U4259" s="5">
        <f>OrdersTable[[#This Row],[Gross Sale]]-OrdersTable[[#This Row],[Discount Amount]]</f>
        <v>949.05</v>
      </c>
      <c r="V4259" s="77">
        <f>INDEX(Products!E:E,MATCH(OrdersTable[[#This Row],[Product ID]],Products!A:A,0))</f>
        <v>400</v>
      </c>
      <c r="W4259" s="77">
        <f>OrdersTable[[#This Row],[Quantity]]*OrdersTable[[#This Row],[Unit Cost]]</f>
        <v>400</v>
      </c>
      <c r="X4259" s="77">
        <f>'Dropdown Lists'!$I$2*(1+OrdersTable[[#This Row],[Returned]])</f>
        <v>120</v>
      </c>
      <c r="Y4259" s="76">
        <f>OrdersTable[[#This Row],[Net Revenue]]-OrdersTable[[#This Row],[COGS]]-OrdersTable[[#This Row],[Shipping Cost]]</f>
        <v>429.04999999999995</v>
      </c>
      <c r="Z4259" s="78">
        <f>IFERROR(OrdersTable[[#This Row],[Profit]]/OrdersTable[[#This Row],[Net Revenue]],0)</f>
        <v>0.4520836626099784</v>
      </c>
      <c r="AA4259" t="s">
        <v>18</v>
      </c>
      <c r="AB4259" s="79">
        <v>45962</v>
      </c>
      <c r="AC4259">
        <f>OrdersTable[[#This Row],[Delivery Date]]-OrdersTable[[#This Row],[Order Date]]</f>
        <v>5</v>
      </c>
      <c r="AD4259" t="str">
        <f>IF(OrdersTable[[#This Row],[Delivery Days]]&lt;=2, "Express (≤2d)", IF(OrdersTable[[#This Row],[Delivery Days]]&lt;=4, "Standard (3-4d)", "Delayed (5d+)"))</f>
        <v>Delayed (5d+)</v>
      </c>
      <c r="AE4259">
        <v>3</v>
      </c>
      <c r="AF4259">
        <v>1</v>
      </c>
    </row>
    <row r="4260" spans="1:32" ht="15" x14ac:dyDescent="0.35">
      <c r="A4260" t="s">
        <v>2039</v>
      </c>
      <c r="B4260" s="1">
        <v>45957</v>
      </c>
      <c r="C4260">
        <f>YEAR(OrdersTable[[#This Row],[Order Date]])</f>
        <v>2025</v>
      </c>
      <c r="D4260" s="2">
        <f>DATE(YEAR(OrdersTable[[#This Row],[Order Date]]),MONTH(OrdersTable[[#This Row],[Order Date]]),1)</f>
        <v>45931</v>
      </c>
      <c r="E4260">
        <f>MONTH(OrdersTable[[#This Row],[Order Date]])</f>
        <v>10</v>
      </c>
      <c r="F4260" t="s">
        <v>2040</v>
      </c>
      <c r="G4260" t="str">
        <f>IF(OrdersTable[[#This Row],[Order Date]]=_xlfn.MINIFS(Order_Date, Customer_ID, OrdersTable[[#This Row],[Customer ID]]), "New", "Repeat")</f>
        <v>Repeat</v>
      </c>
      <c r="H4260" t="s">
        <v>14</v>
      </c>
      <c r="I4260" t="str">
        <f>INDEX(State!B:B,MATCH(OrdersTable[[#This Row],[State]],State!A:A,0))</f>
        <v>OD</v>
      </c>
      <c r="J4260" t="str">
        <f>INDEX(State!C:C,MATCH(OrdersTable[[#This Row],[State Code]],State!B:B,0))</f>
        <v>East</v>
      </c>
      <c r="K4260" t="s">
        <v>15</v>
      </c>
      <c r="L4260" t="s">
        <v>65</v>
      </c>
      <c r="M4260" t="s">
        <v>152</v>
      </c>
      <c r="N4260" t="str">
        <f>INDEX(Products!B:B,MATCH(OrdersTable[[#This Row],[Product ID]],Products!A:A,0))</f>
        <v>Green Tea (100 bags)</v>
      </c>
      <c r="O4260" t="str">
        <f>INDEX(Products!C:C,MATCH(OrdersTable[[#This Row],[Product ID]],Products!A:A,0))</f>
        <v>Wellness</v>
      </c>
      <c r="P4260">
        <v>1</v>
      </c>
      <c r="Q4260" s="5">
        <v>399</v>
      </c>
      <c r="R4260" s="74">
        <v>0.4</v>
      </c>
      <c r="S4260" s="75">
        <f>OrdersTable[[#This Row],[Quantity]]*OrdersTable[[#This Row],[Unit Price]]</f>
        <v>399</v>
      </c>
      <c r="T4260" s="5">
        <f>OrdersTable[[#This Row],[Gross Sale]]*OrdersTable[[#This Row],[Discount_Clean2]]</f>
        <v>159.60000000000002</v>
      </c>
      <c r="U4260" s="5">
        <f>OrdersTable[[#This Row],[Gross Sale]]-OrdersTable[[#This Row],[Discount Amount]]</f>
        <v>239.39999999999998</v>
      </c>
      <c r="V4260" s="77">
        <f>INDEX(Products!E:E,MATCH(OrdersTable[[#This Row],[Product ID]],Products!A:A,0))</f>
        <v>128</v>
      </c>
      <c r="W4260" s="77">
        <f>OrdersTable[[#This Row],[Quantity]]*OrdersTable[[#This Row],[Unit Cost]]</f>
        <v>128</v>
      </c>
      <c r="X4260" s="77">
        <f>'Dropdown Lists'!$I$2*(1+OrdersTable[[#This Row],[Returned]])</f>
        <v>60</v>
      </c>
      <c r="Y4260" s="76">
        <f>OrdersTable[[#This Row],[Net Revenue]]-OrdersTable[[#This Row],[COGS]]-OrdersTable[[#This Row],[Shipping Cost]]</f>
        <v>51.399999999999977</v>
      </c>
      <c r="Z4260" s="78">
        <f>IFERROR(OrdersTable[[#This Row],[Profit]]/OrdersTable[[#This Row],[Net Revenue]],0)</f>
        <v>0.21470342522974095</v>
      </c>
      <c r="AA4260" t="s">
        <v>18</v>
      </c>
      <c r="AB4260" s="79">
        <v>45962</v>
      </c>
      <c r="AC4260">
        <f>OrdersTable[[#This Row],[Delivery Date]]-OrdersTable[[#This Row],[Order Date]]</f>
        <v>5</v>
      </c>
      <c r="AD4260" t="str">
        <f>IF(OrdersTable[[#This Row],[Delivery Days]]&lt;=2, "Express (≤2d)", IF(OrdersTable[[#This Row],[Delivery Days]]&lt;=4, "Standard (3-4d)", "Delayed (5d+)"))</f>
        <v>Delayed (5d+)</v>
      </c>
      <c r="AE4260">
        <v>3</v>
      </c>
      <c r="AF4260">
        <v>0</v>
      </c>
    </row>
    <row r="4261" spans="1:32" ht="15" x14ac:dyDescent="0.35">
      <c r="A4261" t="s">
        <v>6636</v>
      </c>
      <c r="B4261" s="1">
        <v>45957</v>
      </c>
      <c r="C4261">
        <f>YEAR(OrdersTable[[#This Row],[Order Date]])</f>
        <v>2025</v>
      </c>
      <c r="D4261" s="2">
        <f>DATE(YEAR(OrdersTable[[#This Row],[Order Date]]),MONTH(OrdersTable[[#This Row],[Order Date]]),1)</f>
        <v>45931</v>
      </c>
      <c r="E4261">
        <f>MONTH(OrdersTable[[#This Row],[Order Date]])</f>
        <v>10</v>
      </c>
      <c r="F4261" t="s">
        <v>2463</v>
      </c>
      <c r="G4261" t="str">
        <f>IF(OrdersTable[[#This Row],[Order Date]]=_xlfn.MINIFS(Order_Date, Customer_ID, OrdersTable[[#This Row],[Customer ID]]), "New", "Repeat")</f>
        <v>Repeat</v>
      </c>
      <c r="H4261" t="s">
        <v>167</v>
      </c>
      <c r="I4261" t="str">
        <f>INDEX(State!B:B,MATCH(OrdersTable[[#This Row],[State]],State!A:A,0))</f>
        <v>KA</v>
      </c>
      <c r="J4261" t="str">
        <f>INDEX(State!C:C,MATCH(OrdersTable[[#This Row],[State Code]],State!B:B,0))</f>
        <v>South</v>
      </c>
      <c r="K4261" t="s">
        <v>168</v>
      </c>
      <c r="L4261" t="s">
        <v>16</v>
      </c>
      <c r="M4261" t="s">
        <v>34</v>
      </c>
      <c r="N4261" t="str">
        <f>INDEX(Products!B:B,MATCH(OrdersTable[[#This Row],[Product ID]],Products!A:A,0))</f>
        <v>Flip Flops</v>
      </c>
      <c r="O4261" t="str">
        <f>INDEX(Products!C:C,MATCH(OrdersTable[[#This Row],[Product ID]],Products!A:A,0))</f>
        <v>Footwear</v>
      </c>
      <c r="P4261">
        <v>3</v>
      </c>
      <c r="Q4261" s="5">
        <v>399</v>
      </c>
      <c r="R4261" s="74">
        <v>0.15</v>
      </c>
      <c r="S4261" s="75">
        <f>OrdersTable[[#This Row],[Quantity]]*OrdersTable[[#This Row],[Unit Price]]</f>
        <v>1197</v>
      </c>
      <c r="T4261" s="5">
        <f>OrdersTable[[#This Row],[Gross Sale]]*OrdersTable[[#This Row],[Discount_Clean2]]</f>
        <v>179.54999999999998</v>
      </c>
      <c r="U4261" s="5">
        <f>OrdersTable[[#This Row],[Gross Sale]]-OrdersTable[[#This Row],[Discount Amount]]</f>
        <v>1017.45</v>
      </c>
      <c r="V4261" s="77">
        <f>INDEX(Products!E:E,MATCH(OrdersTable[[#This Row],[Product ID]],Products!A:A,0))</f>
        <v>152</v>
      </c>
      <c r="W4261" s="77">
        <f>OrdersTable[[#This Row],[Quantity]]*OrdersTable[[#This Row],[Unit Cost]]</f>
        <v>456</v>
      </c>
      <c r="X4261" s="77">
        <f>'Dropdown Lists'!$I$2*(1+OrdersTable[[#This Row],[Returned]])</f>
        <v>60</v>
      </c>
      <c r="Y4261" s="76">
        <f>OrdersTable[[#This Row],[Net Revenue]]-OrdersTable[[#This Row],[COGS]]-OrdersTable[[#This Row],[Shipping Cost]]</f>
        <v>501.45000000000005</v>
      </c>
      <c r="Z4261" s="78">
        <f>IFERROR(OrdersTable[[#This Row],[Profit]]/OrdersTable[[#This Row],[Net Revenue]],0)</f>
        <v>0.49284977148754239</v>
      </c>
      <c r="AA4261" t="s">
        <v>18</v>
      </c>
      <c r="AB4261" s="79">
        <v>45959</v>
      </c>
      <c r="AC4261">
        <f>OrdersTable[[#This Row],[Delivery Date]]-OrdersTable[[#This Row],[Order Date]]</f>
        <v>2</v>
      </c>
      <c r="AD4261" t="str">
        <f>IF(OrdersTable[[#This Row],[Delivery Days]]&lt;=2, "Express (≤2d)", IF(OrdersTable[[#This Row],[Delivery Days]]&lt;=4, "Standard (3-4d)", "Delayed (5d+)"))</f>
        <v>Express (≤2d)</v>
      </c>
      <c r="AE4261">
        <v>5</v>
      </c>
      <c r="AF4261">
        <v>0</v>
      </c>
    </row>
    <row r="4262" spans="1:32" ht="15" x14ac:dyDescent="0.35">
      <c r="A4262" t="s">
        <v>1028</v>
      </c>
      <c r="B4262" s="1">
        <v>45957</v>
      </c>
      <c r="C4262">
        <f>YEAR(OrdersTable[[#This Row],[Order Date]])</f>
        <v>2025</v>
      </c>
      <c r="D4262" s="2">
        <f>DATE(YEAR(OrdersTable[[#This Row],[Order Date]]),MONTH(OrdersTable[[#This Row],[Order Date]]),1)</f>
        <v>45931</v>
      </c>
      <c r="E4262">
        <f>MONTH(OrdersTable[[#This Row],[Order Date]])</f>
        <v>10</v>
      </c>
      <c r="F4262" t="s">
        <v>1029</v>
      </c>
      <c r="G4262" t="str">
        <f>IF(OrdersTable[[#This Row],[Order Date]]=_xlfn.MINIFS(Order_Date, Customer_ID, OrdersTable[[#This Row],[Customer ID]]), "New", "Repeat")</f>
        <v>Repeat</v>
      </c>
      <c r="H4262" t="s">
        <v>59</v>
      </c>
      <c r="I4262" t="str">
        <f>INDEX(State!B:B,MATCH(OrdersTable[[#This Row],[State]],State!A:A,0))</f>
        <v>TN</v>
      </c>
      <c r="J4262" t="str">
        <f>INDEX(State!C:C,MATCH(OrdersTable[[#This Row],[State Code]],State!B:B,0))</f>
        <v>South</v>
      </c>
      <c r="K4262" t="s">
        <v>60</v>
      </c>
      <c r="L4262" t="s">
        <v>23</v>
      </c>
      <c r="M4262" t="s">
        <v>66</v>
      </c>
      <c r="N4262" t="str">
        <f>INDEX(Products!B:B,MATCH(OrdersTable[[#This Row],[Product ID]],Products!A:A,0))</f>
        <v>Sunscreen SPF 50</v>
      </c>
      <c r="O4262" t="str">
        <f>INDEX(Products!C:C,MATCH(OrdersTable[[#This Row],[Product ID]],Products!A:A,0))</f>
        <v>Skincare</v>
      </c>
      <c r="P4262">
        <v>1</v>
      </c>
      <c r="Q4262" s="5">
        <v>449</v>
      </c>
      <c r="R4262" s="74">
        <v>0.1</v>
      </c>
      <c r="S4262" s="75">
        <f>OrdersTable[[#This Row],[Quantity]]*OrdersTable[[#This Row],[Unit Price]]</f>
        <v>449</v>
      </c>
      <c r="T4262" s="5">
        <f>OrdersTable[[#This Row],[Gross Sale]]*OrdersTable[[#This Row],[Discount_Clean2]]</f>
        <v>44.900000000000006</v>
      </c>
      <c r="U4262" s="5">
        <f>OrdersTable[[#This Row],[Gross Sale]]-OrdersTable[[#This Row],[Discount Amount]]</f>
        <v>404.1</v>
      </c>
      <c r="V4262" s="77">
        <f>INDEX(Products!E:E,MATCH(OrdersTable[[#This Row],[Product ID]],Products!A:A,0))</f>
        <v>144</v>
      </c>
      <c r="W4262" s="77">
        <f>OrdersTable[[#This Row],[Quantity]]*OrdersTable[[#This Row],[Unit Cost]]</f>
        <v>144</v>
      </c>
      <c r="X4262" s="77">
        <f>'Dropdown Lists'!$I$2*(1+OrdersTable[[#This Row],[Returned]])</f>
        <v>60</v>
      </c>
      <c r="Y4262" s="76">
        <f>OrdersTable[[#This Row],[Net Revenue]]-OrdersTable[[#This Row],[COGS]]-OrdersTable[[#This Row],[Shipping Cost]]</f>
        <v>200.10000000000002</v>
      </c>
      <c r="Z4262" s="78">
        <f>IFERROR(OrdersTable[[#This Row],[Profit]]/OrdersTable[[#This Row],[Net Revenue]],0)</f>
        <v>0.4951744617668894</v>
      </c>
      <c r="AA4262" t="s">
        <v>18</v>
      </c>
      <c r="AB4262" s="79">
        <v>45962</v>
      </c>
      <c r="AC4262">
        <f>OrdersTable[[#This Row],[Delivery Date]]-OrdersTable[[#This Row],[Order Date]]</f>
        <v>5</v>
      </c>
      <c r="AD4262" t="str">
        <f>IF(OrdersTable[[#This Row],[Delivery Days]]&lt;=2, "Express (≤2d)", IF(OrdersTable[[#This Row],[Delivery Days]]&lt;=4, "Standard (3-4d)", "Delayed (5d+)"))</f>
        <v>Delayed (5d+)</v>
      </c>
      <c r="AE4262">
        <v>4</v>
      </c>
      <c r="AF4262">
        <v>0</v>
      </c>
    </row>
    <row r="4263" spans="1:32" ht="15" x14ac:dyDescent="0.35">
      <c r="A4263" t="s">
        <v>5255</v>
      </c>
      <c r="B4263" s="1">
        <v>45958</v>
      </c>
      <c r="C4263">
        <f>YEAR(OrdersTable[[#This Row],[Order Date]])</f>
        <v>2025</v>
      </c>
      <c r="D4263" s="2">
        <f>DATE(YEAR(OrdersTable[[#This Row],[Order Date]]),MONTH(OrdersTable[[#This Row],[Order Date]]),1)</f>
        <v>45931</v>
      </c>
      <c r="E4263">
        <f>MONTH(OrdersTable[[#This Row],[Order Date]])</f>
        <v>10</v>
      </c>
      <c r="F4263" t="s">
        <v>1222</v>
      </c>
      <c r="G4263" t="str">
        <f>IF(OrdersTable[[#This Row],[Order Date]]=_xlfn.MINIFS(Order_Date, Customer_ID, OrdersTable[[#This Row],[Customer ID]]), "New", "Repeat")</f>
        <v>Repeat</v>
      </c>
      <c r="H4263" t="s">
        <v>128</v>
      </c>
      <c r="I4263" t="str">
        <f>INDEX(State!B:B,MATCH(OrdersTable[[#This Row],[State]],State!A:A,0))</f>
        <v>DL</v>
      </c>
      <c r="J4263" t="str">
        <f>INDEX(State!C:C,MATCH(OrdersTable[[#This Row],[State Code]],State!B:B,0))</f>
        <v>North</v>
      </c>
      <c r="K4263" t="s">
        <v>129</v>
      </c>
      <c r="L4263" t="s">
        <v>50</v>
      </c>
      <c r="M4263" t="s">
        <v>73</v>
      </c>
      <c r="N4263" t="str">
        <f>INDEX(Products!B:B,MATCH(OrdersTable[[#This Row],[Product ID]],Products!A:A,0))</f>
        <v>Hydrating Face Wash</v>
      </c>
      <c r="O4263" t="str">
        <f>INDEX(Products!C:C,MATCH(OrdersTable[[#This Row],[Product ID]],Products!A:A,0))</f>
        <v>Skincare</v>
      </c>
      <c r="P4263">
        <v>2</v>
      </c>
      <c r="Q4263" s="5">
        <v>299</v>
      </c>
      <c r="R4263" s="74">
        <v>0.2</v>
      </c>
      <c r="S4263" s="75">
        <f>OrdersTable[[#This Row],[Quantity]]*OrdersTable[[#This Row],[Unit Price]]</f>
        <v>598</v>
      </c>
      <c r="T4263" s="5">
        <f>OrdersTable[[#This Row],[Gross Sale]]*OrdersTable[[#This Row],[Discount_Clean2]]</f>
        <v>119.60000000000001</v>
      </c>
      <c r="U4263" s="5">
        <f>OrdersTable[[#This Row],[Gross Sale]]-OrdersTable[[#This Row],[Discount Amount]]</f>
        <v>478.4</v>
      </c>
      <c r="V4263" s="77">
        <f>INDEX(Products!E:E,MATCH(OrdersTable[[#This Row],[Product ID]],Products!A:A,0))</f>
        <v>90</v>
      </c>
      <c r="W4263" s="77">
        <f>OrdersTable[[#This Row],[Quantity]]*OrdersTable[[#This Row],[Unit Cost]]</f>
        <v>180</v>
      </c>
      <c r="X4263" s="77">
        <f>'Dropdown Lists'!$I$2*(1+OrdersTable[[#This Row],[Returned]])</f>
        <v>60</v>
      </c>
      <c r="Y4263" s="76">
        <f>OrdersTable[[#This Row],[Net Revenue]]-OrdersTable[[#This Row],[COGS]]-OrdersTable[[#This Row],[Shipping Cost]]</f>
        <v>238.39999999999998</v>
      </c>
      <c r="Z4263" s="78">
        <f>IFERROR(OrdersTable[[#This Row],[Profit]]/OrdersTable[[#This Row],[Net Revenue]],0)</f>
        <v>0.49832775919732442</v>
      </c>
      <c r="AA4263" t="s">
        <v>3495</v>
      </c>
      <c r="AB4263" s="79">
        <v>45960</v>
      </c>
      <c r="AC4263">
        <f>OrdersTable[[#This Row],[Delivery Date]]-OrdersTable[[#This Row],[Order Date]]</f>
        <v>2</v>
      </c>
      <c r="AD4263" t="str">
        <f>IF(OrdersTable[[#This Row],[Delivery Days]]&lt;=2, "Express (≤2d)", IF(OrdersTable[[#This Row],[Delivery Days]]&lt;=4, "Standard (3-4d)", "Delayed (5d+)"))</f>
        <v>Express (≤2d)</v>
      </c>
      <c r="AE4263">
        <v>5</v>
      </c>
      <c r="AF4263">
        <v>0</v>
      </c>
    </row>
    <row r="4264" spans="1:32" ht="15" x14ac:dyDescent="0.35">
      <c r="A4264" t="s">
        <v>3680</v>
      </c>
      <c r="B4264" s="1">
        <v>45958</v>
      </c>
      <c r="C4264">
        <f>YEAR(OrdersTable[[#This Row],[Order Date]])</f>
        <v>2025</v>
      </c>
      <c r="D4264" s="2">
        <f>DATE(YEAR(OrdersTable[[#This Row],[Order Date]]),MONTH(OrdersTable[[#This Row],[Order Date]]),1)</f>
        <v>45931</v>
      </c>
      <c r="E4264">
        <f>MONTH(OrdersTable[[#This Row],[Order Date]])</f>
        <v>10</v>
      </c>
      <c r="F4264" t="s">
        <v>923</v>
      </c>
      <c r="G4264" t="str">
        <f>IF(OrdersTable[[#This Row],[Order Date]]=_xlfn.MINIFS(Order_Date, Customer_ID, OrdersTable[[#This Row],[Customer ID]]), "New", "Repeat")</f>
        <v>Repeat</v>
      </c>
      <c r="H4264" t="s">
        <v>76</v>
      </c>
      <c r="I4264" t="str">
        <f>INDEX(State!B:B,MATCH(OrdersTable[[#This Row],[State]],State!A:A,0))</f>
        <v>UP</v>
      </c>
      <c r="J4264" t="str">
        <f>INDEX(State!C:C,MATCH(OrdersTable[[#This Row],[State Code]],State!B:B,0))</f>
        <v>North</v>
      </c>
      <c r="K4264" t="s">
        <v>77</v>
      </c>
      <c r="L4264" t="s">
        <v>65</v>
      </c>
      <c r="M4264" t="s">
        <v>51</v>
      </c>
      <c r="N4264" t="str">
        <f>INDEX(Products!B:B,MATCH(OrdersTable[[#This Row],[Product ID]],Products!A:A,0))</f>
        <v>Anti-Dandruff Conditioner</v>
      </c>
      <c r="O4264" t="str">
        <f>INDEX(Products!C:C,MATCH(OrdersTable[[#This Row],[Product ID]],Products!A:A,0))</f>
        <v>Haircare</v>
      </c>
      <c r="P4264">
        <v>1</v>
      </c>
      <c r="Q4264" s="5">
        <v>399</v>
      </c>
      <c r="R4264" s="74">
        <v>0.4</v>
      </c>
      <c r="S4264" s="75">
        <f>OrdersTable[[#This Row],[Quantity]]*OrdersTable[[#This Row],[Unit Price]]</f>
        <v>399</v>
      </c>
      <c r="T4264" s="5">
        <f>OrdersTable[[#This Row],[Gross Sale]]*OrdersTable[[#This Row],[Discount_Clean2]]</f>
        <v>159.60000000000002</v>
      </c>
      <c r="U4264" s="5">
        <f>OrdersTable[[#This Row],[Gross Sale]]-OrdersTable[[#This Row],[Discount Amount]]</f>
        <v>239.39999999999998</v>
      </c>
      <c r="V4264" s="77">
        <f>INDEX(Products!E:E,MATCH(OrdersTable[[#This Row],[Product ID]],Products!A:A,0))</f>
        <v>136</v>
      </c>
      <c r="W4264" s="77">
        <f>OrdersTable[[#This Row],[Quantity]]*OrdersTable[[#This Row],[Unit Cost]]</f>
        <v>136</v>
      </c>
      <c r="X4264" s="77">
        <f>'Dropdown Lists'!$I$2*(1+OrdersTable[[#This Row],[Returned]])</f>
        <v>60</v>
      </c>
      <c r="Y4264" s="76">
        <f>OrdersTable[[#This Row],[Net Revenue]]-OrdersTable[[#This Row],[COGS]]-OrdersTable[[#This Row],[Shipping Cost]]</f>
        <v>43.399999999999977</v>
      </c>
      <c r="Z4264" s="78">
        <f>IFERROR(OrdersTable[[#This Row],[Profit]]/OrdersTable[[#This Row],[Net Revenue]],0)</f>
        <v>0.18128654970760227</v>
      </c>
      <c r="AA4264" t="s">
        <v>3495</v>
      </c>
      <c r="AB4264" s="79">
        <v>45962</v>
      </c>
      <c r="AC4264">
        <f>OrdersTable[[#This Row],[Delivery Date]]-OrdersTable[[#This Row],[Order Date]]</f>
        <v>4</v>
      </c>
      <c r="AD4264" t="str">
        <f>IF(OrdersTable[[#This Row],[Delivery Days]]&lt;=2, "Express (≤2d)", IF(OrdersTable[[#This Row],[Delivery Days]]&lt;=4, "Standard (3-4d)", "Delayed (5d+)"))</f>
        <v>Standard (3-4d)</v>
      </c>
      <c r="AE4264">
        <v>4</v>
      </c>
      <c r="AF4264">
        <v>0</v>
      </c>
    </row>
    <row r="4265" spans="1:32" ht="15" x14ac:dyDescent="0.35">
      <c r="A4265" t="s">
        <v>7124</v>
      </c>
      <c r="B4265" s="1">
        <v>45958</v>
      </c>
      <c r="C4265">
        <f>YEAR(OrdersTable[[#This Row],[Order Date]])</f>
        <v>2025</v>
      </c>
      <c r="D4265" s="2">
        <f>DATE(YEAR(OrdersTable[[#This Row],[Order Date]]),MONTH(OrdersTable[[#This Row],[Order Date]]),1)</f>
        <v>45931</v>
      </c>
      <c r="E4265">
        <f>MONTH(OrdersTable[[#This Row],[Order Date]])</f>
        <v>10</v>
      </c>
      <c r="F4265" t="s">
        <v>6090</v>
      </c>
      <c r="G4265" t="str">
        <f>IF(OrdersTable[[#This Row],[Order Date]]=_xlfn.MINIFS(Order_Date, Customer_ID, OrdersTable[[#This Row],[Customer ID]]), "New", "Repeat")</f>
        <v>Repeat</v>
      </c>
      <c r="H4265" t="s">
        <v>37</v>
      </c>
      <c r="I4265" t="str">
        <f>INDEX(State!B:B,MATCH(OrdersTable[[#This Row],[State]],State!A:A,0))</f>
        <v>GJ</v>
      </c>
      <c r="J4265" t="str">
        <f>INDEX(State!C:C,MATCH(OrdersTable[[#This Row],[State Code]],State!B:B,0))</f>
        <v>West</v>
      </c>
      <c r="K4265" t="s">
        <v>38</v>
      </c>
      <c r="L4265" t="s">
        <v>23</v>
      </c>
      <c r="M4265" t="s">
        <v>423</v>
      </c>
      <c r="N4265" t="str">
        <f>INDEX(Products!B:B,MATCH(OrdersTable[[#This Row],[Product ID]],Products!A:A,0))</f>
        <v>Power Bank 20000mAh</v>
      </c>
      <c r="O4265" t="str">
        <f>INDEX(Products!C:C,MATCH(OrdersTable[[#This Row],[Product ID]],Products!A:A,0))</f>
        <v>Electronics</v>
      </c>
      <c r="P4265">
        <v>4</v>
      </c>
      <c r="Q4265" s="5">
        <v>1799</v>
      </c>
      <c r="R4265" s="74">
        <v>0.6</v>
      </c>
      <c r="S4265" s="75">
        <f>OrdersTable[[#This Row],[Quantity]]*OrdersTable[[#This Row],[Unit Price]]</f>
        <v>7196</v>
      </c>
      <c r="T4265" s="5">
        <f>OrdersTable[[#This Row],[Gross Sale]]*OrdersTable[[#This Row],[Discount_Clean2]]</f>
        <v>4317.5999999999995</v>
      </c>
      <c r="U4265" s="5">
        <f>OrdersTable[[#This Row],[Gross Sale]]-OrdersTable[[#This Row],[Discount Amount]]</f>
        <v>2878.4000000000005</v>
      </c>
      <c r="V4265" s="77">
        <f>INDEX(Products!E:E,MATCH(OrdersTable[[#This Row],[Product ID]],Products!A:A,0))</f>
        <v>1079</v>
      </c>
      <c r="W4265" s="77">
        <f>OrdersTable[[#This Row],[Quantity]]*OrdersTable[[#This Row],[Unit Cost]]</f>
        <v>4316</v>
      </c>
      <c r="X4265" s="77">
        <f>'Dropdown Lists'!$I$2*(1+OrdersTable[[#This Row],[Returned]])</f>
        <v>60</v>
      </c>
      <c r="Y4265" s="76">
        <f>OrdersTable[[#This Row],[Net Revenue]]-OrdersTable[[#This Row],[COGS]]-OrdersTable[[#This Row],[Shipping Cost]]</f>
        <v>-1497.5999999999995</v>
      </c>
      <c r="Z4265" s="78">
        <f>IFERROR(OrdersTable[[#This Row],[Profit]]/OrdersTable[[#This Row],[Net Revenue]],0)</f>
        <v>-0.52028904947192856</v>
      </c>
      <c r="AA4265" t="s">
        <v>18</v>
      </c>
      <c r="AB4265" s="79">
        <v>45960</v>
      </c>
      <c r="AC4265">
        <f>OrdersTable[[#This Row],[Delivery Date]]-OrdersTable[[#This Row],[Order Date]]</f>
        <v>2</v>
      </c>
      <c r="AD4265" t="str">
        <f>IF(OrdersTable[[#This Row],[Delivery Days]]&lt;=2, "Express (≤2d)", IF(OrdersTable[[#This Row],[Delivery Days]]&lt;=4, "Standard (3-4d)", "Delayed (5d+)"))</f>
        <v>Express (≤2d)</v>
      </c>
      <c r="AF4265">
        <v>0</v>
      </c>
    </row>
    <row r="4266" spans="1:32" ht="15" x14ac:dyDescent="0.35">
      <c r="A4266" t="s">
        <v>1444</v>
      </c>
      <c r="B4266" s="1">
        <v>45958</v>
      </c>
      <c r="C4266">
        <f>YEAR(OrdersTable[[#This Row],[Order Date]])</f>
        <v>2025</v>
      </c>
      <c r="D4266" s="2">
        <f>DATE(YEAR(OrdersTable[[#This Row],[Order Date]]),MONTH(OrdersTable[[#This Row],[Order Date]]),1)</f>
        <v>45931</v>
      </c>
      <c r="E4266">
        <f>MONTH(OrdersTable[[#This Row],[Order Date]])</f>
        <v>10</v>
      </c>
      <c r="F4266" t="s">
        <v>1445</v>
      </c>
      <c r="G4266" t="str">
        <f>IF(OrdersTable[[#This Row],[Order Date]]=_xlfn.MINIFS(Order_Date, Customer_ID, OrdersTable[[#This Row],[Customer ID]]), "New", "Repeat")</f>
        <v>Repeat</v>
      </c>
      <c r="H4266" t="s">
        <v>27</v>
      </c>
      <c r="I4266" t="str">
        <f>INDEX(State!B:B,MATCH(OrdersTable[[#This Row],[State]],State!A:A,0))</f>
        <v>WB</v>
      </c>
      <c r="J4266" t="str">
        <f>INDEX(State!C:C,MATCH(OrdersTable[[#This Row],[State Code]],State!B:B,0))</f>
        <v>East</v>
      </c>
      <c r="K4266" t="s">
        <v>28</v>
      </c>
      <c r="L4266" t="s">
        <v>23</v>
      </c>
      <c r="M4266" t="s">
        <v>24</v>
      </c>
      <c r="N4266" t="str">
        <f>INDEX(Products!B:B,MATCH(OrdersTable[[#This Row],[Product ID]],Products!A:A,0))</f>
        <v>Scented Candle Set</v>
      </c>
      <c r="O4266" t="str">
        <f>INDEX(Products!C:C,MATCH(OrdersTable[[#This Row],[Product ID]],Products!A:A,0))</f>
        <v>Home &amp; Kitchen</v>
      </c>
      <c r="P4266">
        <v>1</v>
      </c>
      <c r="Q4266" s="5">
        <v>699</v>
      </c>
      <c r="R4266" s="74">
        <v>0.35</v>
      </c>
      <c r="S4266" s="75">
        <f>OrdersTable[[#This Row],[Quantity]]*OrdersTable[[#This Row],[Unit Price]]</f>
        <v>699</v>
      </c>
      <c r="T4266" s="5">
        <f>OrdersTable[[#This Row],[Gross Sale]]*OrdersTable[[#This Row],[Discount_Clean2]]</f>
        <v>244.64999999999998</v>
      </c>
      <c r="U4266" s="5">
        <f>OrdersTable[[#This Row],[Gross Sale]]-OrdersTable[[#This Row],[Discount Amount]]</f>
        <v>454.35</v>
      </c>
      <c r="V4266" s="77">
        <f>INDEX(Products!E:E,MATCH(OrdersTable[[#This Row],[Product ID]],Products!A:A,0))</f>
        <v>245</v>
      </c>
      <c r="W4266" s="77">
        <f>OrdersTable[[#This Row],[Quantity]]*OrdersTable[[#This Row],[Unit Cost]]</f>
        <v>245</v>
      </c>
      <c r="X4266" s="77">
        <f>'Dropdown Lists'!$I$2*(1+OrdersTable[[#This Row],[Returned]])</f>
        <v>60</v>
      </c>
      <c r="Y4266" s="76">
        <f>OrdersTable[[#This Row],[Net Revenue]]-OrdersTable[[#This Row],[COGS]]-OrdersTable[[#This Row],[Shipping Cost]]</f>
        <v>149.35000000000002</v>
      </c>
      <c r="Z4266" s="78">
        <f>IFERROR(OrdersTable[[#This Row],[Profit]]/OrdersTable[[#This Row],[Net Revenue]],0)</f>
        <v>0.32871134587872791</v>
      </c>
      <c r="AA4266" t="s">
        <v>18</v>
      </c>
      <c r="AB4266" s="79">
        <v>45962</v>
      </c>
      <c r="AC4266">
        <f>OrdersTable[[#This Row],[Delivery Date]]-OrdersTable[[#This Row],[Order Date]]</f>
        <v>4</v>
      </c>
      <c r="AD4266" t="str">
        <f>IF(OrdersTable[[#This Row],[Delivery Days]]&lt;=2, "Express (≤2d)", IF(OrdersTable[[#This Row],[Delivery Days]]&lt;=4, "Standard (3-4d)", "Delayed (5d+)"))</f>
        <v>Standard (3-4d)</v>
      </c>
      <c r="AF4266">
        <v>0</v>
      </c>
    </row>
    <row r="4267" spans="1:32" ht="15" x14ac:dyDescent="0.35">
      <c r="A4267" t="s">
        <v>6220</v>
      </c>
      <c r="B4267" s="1">
        <v>45958</v>
      </c>
      <c r="C4267">
        <f>YEAR(OrdersTable[[#This Row],[Order Date]])</f>
        <v>2025</v>
      </c>
      <c r="D4267" s="2">
        <f>DATE(YEAR(OrdersTable[[#This Row],[Order Date]]),MONTH(OrdersTable[[#This Row],[Order Date]]),1)</f>
        <v>45931</v>
      </c>
      <c r="E4267">
        <f>MONTH(OrdersTable[[#This Row],[Order Date]])</f>
        <v>10</v>
      </c>
      <c r="F4267" t="s">
        <v>6221</v>
      </c>
      <c r="G4267" t="str">
        <f>IF(OrdersTable[[#This Row],[Order Date]]=_xlfn.MINIFS(Order_Date, Customer_ID, OrdersTable[[#This Row],[Customer ID]]), "New", "Repeat")</f>
        <v>New</v>
      </c>
      <c r="H4267" t="s">
        <v>71</v>
      </c>
      <c r="I4267" t="str">
        <f>INDEX(State!B:B,MATCH(OrdersTable[[#This Row],[State]],State!A:A,0))</f>
        <v>MH</v>
      </c>
      <c r="J4267" t="str">
        <f>INDEX(State!C:C,MATCH(OrdersTable[[#This Row],[State Code]],State!B:B,0))</f>
        <v>West</v>
      </c>
      <c r="K4267" t="s">
        <v>81</v>
      </c>
      <c r="L4267" t="s">
        <v>23</v>
      </c>
      <c r="M4267" t="s">
        <v>56</v>
      </c>
      <c r="N4267" t="str">
        <f>INDEX(Products!B:B,MATCH(OrdersTable[[#This Row],[Product ID]],Products!A:A,0))</f>
        <v>Vitamin C Face Serum</v>
      </c>
      <c r="O4267" t="str">
        <f>INDEX(Products!C:C,MATCH(OrdersTable[[#This Row],[Product ID]],Products!A:A,0))</f>
        <v>Skincare</v>
      </c>
      <c r="P4267">
        <v>2</v>
      </c>
      <c r="Q4267" s="5">
        <v>599</v>
      </c>
      <c r="R4267" s="74">
        <v>0.4</v>
      </c>
      <c r="S4267" s="75">
        <f>OrdersTable[[#This Row],[Quantity]]*OrdersTable[[#This Row],[Unit Price]]</f>
        <v>1198</v>
      </c>
      <c r="T4267" s="5">
        <f>OrdersTable[[#This Row],[Gross Sale]]*OrdersTable[[#This Row],[Discount_Clean2]]</f>
        <v>479.20000000000005</v>
      </c>
      <c r="U4267" s="5">
        <f>OrdersTable[[#This Row],[Gross Sale]]-OrdersTable[[#This Row],[Discount Amount]]</f>
        <v>718.8</v>
      </c>
      <c r="V4267" s="77">
        <f>INDEX(Products!E:E,MATCH(OrdersTable[[#This Row],[Product ID]],Products!A:A,0))</f>
        <v>180</v>
      </c>
      <c r="W4267" s="77">
        <f>OrdersTable[[#This Row],[Quantity]]*OrdersTable[[#This Row],[Unit Cost]]</f>
        <v>360</v>
      </c>
      <c r="X4267" s="77">
        <f>'Dropdown Lists'!$I$2*(1+OrdersTable[[#This Row],[Returned]])</f>
        <v>60</v>
      </c>
      <c r="Y4267" s="76">
        <f>OrdersTable[[#This Row],[Net Revenue]]-OrdersTable[[#This Row],[COGS]]-OrdersTable[[#This Row],[Shipping Cost]]</f>
        <v>298.79999999999995</v>
      </c>
      <c r="Z4267" s="78">
        <f>IFERROR(OrdersTable[[#This Row],[Profit]]/OrdersTable[[#This Row],[Net Revenue]],0)</f>
        <v>0.4156928213689482</v>
      </c>
      <c r="AA4267" t="s">
        <v>18</v>
      </c>
      <c r="AB4267" s="79">
        <v>45961</v>
      </c>
      <c r="AC4267">
        <f>OrdersTable[[#This Row],[Delivery Date]]-OrdersTable[[#This Row],[Order Date]]</f>
        <v>3</v>
      </c>
      <c r="AD4267" t="str">
        <f>IF(OrdersTable[[#This Row],[Delivery Days]]&lt;=2, "Express (≤2d)", IF(OrdersTable[[#This Row],[Delivery Days]]&lt;=4, "Standard (3-4d)", "Delayed (5d+)"))</f>
        <v>Standard (3-4d)</v>
      </c>
      <c r="AE4267">
        <v>4</v>
      </c>
      <c r="AF4267">
        <v>0</v>
      </c>
    </row>
    <row r="4268" spans="1:32" ht="15" x14ac:dyDescent="0.35">
      <c r="A4268" t="s">
        <v>6416</v>
      </c>
      <c r="B4268" s="1">
        <v>45958</v>
      </c>
      <c r="C4268">
        <f>YEAR(OrdersTable[[#This Row],[Order Date]])</f>
        <v>2025</v>
      </c>
      <c r="D4268" s="2">
        <f>DATE(YEAR(OrdersTable[[#This Row],[Order Date]]),MONTH(OrdersTable[[#This Row],[Order Date]]),1)</f>
        <v>45931</v>
      </c>
      <c r="E4268">
        <f>MONTH(OrdersTable[[#This Row],[Order Date]])</f>
        <v>10</v>
      </c>
      <c r="F4268" t="s">
        <v>2981</v>
      </c>
      <c r="G4268" t="str">
        <f>IF(OrdersTable[[#This Row],[Order Date]]=_xlfn.MINIFS(Order_Date, Customer_ID, OrdersTable[[#This Row],[Customer ID]]), "New", "Repeat")</f>
        <v>Repeat</v>
      </c>
      <c r="H4268" t="s">
        <v>95</v>
      </c>
      <c r="I4268" t="str">
        <f>INDEX(State!B:B,MATCH(OrdersTable[[#This Row],[State]],State!A:A,0))</f>
        <v>TG</v>
      </c>
      <c r="J4268" t="str">
        <f>INDEX(State!C:C,MATCH(OrdersTable[[#This Row],[State Code]],State!B:B,0))</f>
        <v>South</v>
      </c>
      <c r="K4268" t="s">
        <v>96</v>
      </c>
      <c r="L4268" t="s">
        <v>23</v>
      </c>
      <c r="M4268" t="s">
        <v>51</v>
      </c>
      <c r="N4268" t="str">
        <f>INDEX(Products!B:B,MATCH(OrdersTable[[#This Row],[Product ID]],Products!A:A,0))</f>
        <v>Anti-Dandruff Conditioner</v>
      </c>
      <c r="O4268" t="str">
        <f>INDEX(Products!C:C,MATCH(OrdersTable[[#This Row],[Product ID]],Products!A:A,0))</f>
        <v>Haircare</v>
      </c>
      <c r="P4268">
        <v>2</v>
      </c>
      <c r="Q4268" s="5">
        <v>399</v>
      </c>
      <c r="R4268" s="74">
        <v>0.6</v>
      </c>
      <c r="S4268" s="75">
        <f>OrdersTable[[#This Row],[Quantity]]*OrdersTable[[#This Row],[Unit Price]]</f>
        <v>798</v>
      </c>
      <c r="T4268" s="5">
        <f>OrdersTable[[#This Row],[Gross Sale]]*OrdersTable[[#This Row],[Discount_Clean2]]</f>
        <v>478.79999999999995</v>
      </c>
      <c r="U4268" s="5">
        <f>OrdersTable[[#This Row],[Gross Sale]]-OrdersTable[[#This Row],[Discount Amount]]</f>
        <v>319.20000000000005</v>
      </c>
      <c r="V4268" s="77">
        <f>INDEX(Products!E:E,MATCH(OrdersTable[[#This Row],[Product ID]],Products!A:A,0))</f>
        <v>136</v>
      </c>
      <c r="W4268" s="77">
        <f>OrdersTable[[#This Row],[Quantity]]*OrdersTable[[#This Row],[Unit Cost]]</f>
        <v>272</v>
      </c>
      <c r="X4268" s="77">
        <f>'Dropdown Lists'!$I$2*(1+OrdersTable[[#This Row],[Returned]])</f>
        <v>60</v>
      </c>
      <c r="Y4268" s="76">
        <f>OrdersTable[[#This Row],[Net Revenue]]-OrdersTable[[#This Row],[COGS]]-OrdersTable[[#This Row],[Shipping Cost]]</f>
        <v>-12.799999999999955</v>
      </c>
      <c r="Z4268" s="78">
        <f>IFERROR(OrdersTable[[#This Row],[Profit]]/OrdersTable[[#This Row],[Net Revenue]],0)</f>
        <v>-4.0100250626566268E-2</v>
      </c>
      <c r="AA4268" t="s">
        <v>18</v>
      </c>
      <c r="AB4268" s="79">
        <v>45961</v>
      </c>
      <c r="AC4268">
        <f>OrdersTable[[#This Row],[Delivery Date]]-OrdersTable[[#This Row],[Order Date]]</f>
        <v>3</v>
      </c>
      <c r="AD4268" t="str">
        <f>IF(OrdersTable[[#This Row],[Delivery Days]]&lt;=2, "Express (≤2d)", IF(OrdersTable[[#This Row],[Delivery Days]]&lt;=4, "Standard (3-4d)", "Delayed (5d+)"))</f>
        <v>Standard (3-4d)</v>
      </c>
      <c r="AE4268">
        <v>3</v>
      </c>
      <c r="AF4268">
        <v>0</v>
      </c>
    </row>
    <row r="4269" spans="1:32" ht="15" x14ac:dyDescent="0.35">
      <c r="A4269" t="s">
        <v>6637</v>
      </c>
      <c r="B4269" s="1">
        <v>45958</v>
      </c>
      <c r="C4269">
        <f>YEAR(OrdersTable[[#This Row],[Order Date]])</f>
        <v>2025</v>
      </c>
      <c r="D4269" s="2">
        <f>DATE(YEAR(OrdersTable[[#This Row],[Order Date]]),MONTH(OrdersTable[[#This Row],[Order Date]]),1)</f>
        <v>45931</v>
      </c>
      <c r="E4269">
        <f>MONTH(OrdersTable[[#This Row],[Order Date]])</f>
        <v>10</v>
      </c>
      <c r="F4269" t="s">
        <v>6638</v>
      </c>
      <c r="G4269" t="str">
        <f>IF(OrdersTable[[#This Row],[Order Date]]=_xlfn.MINIFS(Order_Date, Customer_ID, OrdersTable[[#This Row],[Customer ID]]), "New", "Repeat")</f>
        <v>New</v>
      </c>
      <c r="H4269" t="s">
        <v>14</v>
      </c>
      <c r="I4269" t="str">
        <f>INDEX(State!B:B,MATCH(OrdersTable[[#This Row],[State]],State!A:A,0))</f>
        <v>OD</v>
      </c>
      <c r="J4269" t="str">
        <f>INDEX(State!C:C,MATCH(OrdersTable[[#This Row],[State Code]],State!B:B,0))</f>
        <v>East</v>
      </c>
      <c r="K4269" t="s">
        <v>15</v>
      </c>
      <c r="L4269" t="s">
        <v>39</v>
      </c>
      <c r="M4269" t="s">
        <v>160</v>
      </c>
      <c r="N4269" t="str">
        <f>INDEX(Products!B:B,MATCH(OrdersTable[[#This Row],[Product ID]],Products!A:A,0))</f>
        <v>Niacinamide Toner</v>
      </c>
      <c r="O4269" t="str">
        <f>INDEX(Products!C:C,MATCH(OrdersTable[[#This Row],[Product ID]],Products!A:A,0))</f>
        <v>Skincare</v>
      </c>
      <c r="P4269">
        <v>3</v>
      </c>
      <c r="Q4269" s="5">
        <v>399</v>
      </c>
      <c r="R4269" s="74">
        <v>0.3</v>
      </c>
      <c r="S4269" s="75">
        <f>OrdersTable[[#This Row],[Quantity]]*OrdersTable[[#This Row],[Unit Price]]</f>
        <v>1197</v>
      </c>
      <c r="T4269" s="5">
        <f>OrdersTable[[#This Row],[Gross Sale]]*OrdersTable[[#This Row],[Discount_Clean2]]</f>
        <v>359.09999999999997</v>
      </c>
      <c r="U4269" s="5">
        <f>OrdersTable[[#This Row],[Gross Sale]]-OrdersTable[[#This Row],[Discount Amount]]</f>
        <v>837.90000000000009</v>
      </c>
      <c r="V4269" s="77">
        <f>INDEX(Products!E:E,MATCH(OrdersTable[[#This Row],[Product ID]],Products!A:A,0))</f>
        <v>112</v>
      </c>
      <c r="W4269" s="77">
        <f>OrdersTable[[#This Row],[Quantity]]*OrdersTable[[#This Row],[Unit Cost]]</f>
        <v>336</v>
      </c>
      <c r="X4269" s="77">
        <f>'Dropdown Lists'!$I$2*(1+OrdersTable[[#This Row],[Returned]])</f>
        <v>120</v>
      </c>
      <c r="Y4269" s="76">
        <f>OrdersTable[[#This Row],[Net Revenue]]-OrdersTable[[#This Row],[COGS]]-OrdersTable[[#This Row],[Shipping Cost]]</f>
        <v>381.90000000000009</v>
      </c>
      <c r="Z4269" s="78">
        <f>IFERROR(OrdersTable[[#This Row],[Profit]]/OrdersTable[[#This Row],[Net Revenue]],0)</f>
        <v>0.45578231292517013</v>
      </c>
      <c r="AA4269" t="s">
        <v>18</v>
      </c>
      <c r="AB4269" s="79">
        <v>45963</v>
      </c>
      <c r="AC4269">
        <f>OrdersTable[[#This Row],[Delivery Date]]-OrdersTable[[#This Row],[Order Date]]</f>
        <v>5</v>
      </c>
      <c r="AD4269" t="str">
        <f>IF(OrdersTable[[#This Row],[Delivery Days]]&lt;=2, "Express (≤2d)", IF(OrdersTable[[#This Row],[Delivery Days]]&lt;=4, "Standard (3-4d)", "Delayed (5d+)"))</f>
        <v>Delayed (5d+)</v>
      </c>
      <c r="AE4269">
        <v>4</v>
      </c>
      <c r="AF4269">
        <v>1</v>
      </c>
    </row>
    <row r="4270" spans="1:32" ht="15" x14ac:dyDescent="0.35">
      <c r="A4270" t="s">
        <v>6639</v>
      </c>
      <c r="B4270" s="1">
        <v>45958</v>
      </c>
      <c r="C4270">
        <f>YEAR(OrdersTable[[#This Row],[Order Date]])</f>
        <v>2025</v>
      </c>
      <c r="D4270" s="2">
        <f>DATE(YEAR(OrdersTable[[#This Row],[Order Date]]),MONTH(OrdersTable[[#This Row],[Order Date]]),1)</f>
        <v>45931</v>
      </c>
      <c r="E4270">
        <f>MONTH(OrdersTable[[#This Row],[Order Date]])</f>
        <v>10</v>
      </c>
      <c r="F4270" t="s">
        <v>6064</v>
      </c>
      <c r="G4270" t="str">
        <f>IF(OrdersTable[[#This Row],[Order Date]]=_xlfn.MINIFS(Order_Date, Customer_ID, OrdersTable[[#This Row],[Customer ID]]), "New", "Repeat")</f>
        <v>Repeat</v>
      </c>
      <c r="H4270" t="s">
        <v>167</v>
      </c>
      <c r="I4270" t="str">
        <f>INDEX(State!B:B,MATCH(OrdersTable[[#This Row],[State]],State!A:A,0))</f>
        <v>KA</v>
      </c>
      <c r="J4270" t="str">
        <f>INDEX(State!C:C,MATCH(OrdersTable[[#This Row],[State Code]],State!B:B,0))</f>
        <v>South</v>
      </c>
      <c r="K4270" t="s">
        <v>190</v>
      </c>
      <c r="L4270" t="s">
        <v>16</v>
      </c>
      <c r="M4270" t="s">
        <v>205</v>
      </c>
      <c r="N4270" t="str">
        <f>INDEX(Products!B:B,MATCH(OrdersTable[[#This Row],[Product ID]],Products!A:A,0))</f>
        <v>Running Shoes</v>
      </c>
      <c r="O4270" t="str">
        <f>INDEX(Products!C:C,MATCH(OrdersTable[[#This Row],[Product ID]],Products!A:A,0))</f>
        <v>Footwear</v>
      </c>
      <c r="P4270">
        <v>3</v>
      </c>
      <c r="Q4270" s="5">
        <v>2999</v>
      </c>
      <c r="R4270" s="74">
        <v>0.35</v>
      </c>
      <c r="S4270" s="75">
        <f>OrdersTable[[#This Row],[Quantity]]*OrdersTable[[#This Row],[Unit Price]]</f>
        <v>8997</v>
      </c>
      <c r="T4270" s="5">
        <f>OrdersTable[[#This Row],[Gross Sale]]*OrdersTable[[#This Row],[Discount_Clean2]]</f>
        <v>3148.95</v>
      </c>
      <c r="U4270" s="5">
        <f>OrdersTable[[#This Row],[Gross Sale]]-OrdersTable[[#This Row],[Discount Amount]]</f>
        <v>5848.05</v>
      </c>
      <c r="V4270" s="77">
        <f>INDEX(Products!E:E,MATCH(OrdersTable[[#This Row],[Product ID]],Products!A:A,0))</f>
        <v>1440</v>
      </c>
      <c r="W4270" s="77">
        <f>OrdersTable[[#This Row],[Quantity]]*OrdersTable[[#This Row],[Unit Cost]]</f>
        <v>4320</v>
      </c>
      <c r="X4270" s="77">
        <f>'Dropdown Lists'!$I$2*(1+OrdersTable[[#This Row],[Returned]])</f>
        <v>120</v>
      </c>
      <c r="Y4270" s="76">
        <f>OrdersTable[[#This Row],[Net Revenue]]-OrdersTable[[#This Row],[COGS]]-OrdersTable[[#This Row],[Shipping Cost]]</f>
        <v>1408.0500000000002</v>
      </c>
      <c r="Z4270" s="78">
        <f>IFERROR(OrdersTable[[#This Row],[Profit]]/OrdersTable[[#This Row],[Net Revenue]],0)</f>
        <v>0.24077256521404572</v>
      </c>
      <c r="AA4270" t="s">
        <v>18</v>
      </c>
      <c r="AB4270" s="79">
        <v>45960</v>
      </c>
      <c r="AC4270">
        <f>OrdersTable[[#This Row],[Delivery Date]]-OrdersTable[[#This Row],[Order Date]]</f>
        <v>2</v>
      </c>
      <c r="AD4270" t="str">
        <f>IF(OrdersTable[[#This Row],[Delivery Days]]&lt;=2, "Express (≤2d)", IF(OrdersTable[[#This Row],[Delivery Days]]&lt;=4, "Standard (3-4d)", "Delayed (5d+)"))</f>
        <v>Express (≤2d)</v>
      </c>
      <c r="AF4270">
        <v>1</v>
      </c>
    </row>
    <row r="4271" spans="1:32" ht="15" x14ac:dyDescent="0.35">
      <c r="A4271" t="s">
        <v>3681</v>
      </c>
      <c r="B4271" s="1">
        <v>45958</v>
      </c>
      <c r="C4271">
        <f>YEAR(OrdersTable[[#This Row],[Order Date]])</f>
        <v>2025</v>
      </c>
      <c r="D4271" s="2">
        <f>DATE(YEAR(OrdersTable[[#This Row],[Order Date]]),MONTH(OrdersTable[[#This Row],[Order Date]]),1)</f>
        <v>45931</v>
      </c>
      <c r="E4271">
        <f>MONTH(OrdersTable[[#This Row],[Order Date]])</f>
        <v>10</v>
      </c>
      <c r="F4271" t="s">
        <v>3682</v>
      </c>
      <c r="G4271" t="str">
        <f>IF(OrdersTable[[#This Row],[Order Date]]=_xlfn.MINIFS(Order_Date, Customer_ID, OrdersTable[[#This Row],[Customer ID]]), "New", "Repeat")</f>
        <v>Repeat</v>
      </c>
      <c r="H4271" t="s">
        <v>59</v>
      </c>
      <c r="I4271" t="str">
        <f>INDEX(State!B:B,MATCH(OrdersTable[[#This Row],[State]],State!A:A,0))</f>
        <v>TN</v>
      </c>
      <c r="J4271" t="str">
        <f>INDEX(State!C:C,MATCH(OrdersTable[[#This Row],[State Code]],State!B:B,0))</f>
        <v>South</v>
      </c>
      <c r="K4271" t="s">
        <v>60</v>
      </c>
      <c r="L4271" t="s">
        <v>39</v>
      </c>
      <c r="M4271" t="s">
        <v>73</v>
      </c>
      <c r="N4271" t="str">
        <f>INDEX(Products!B:B,MATCH(OrdersTable[[#This Row],[Product ID]],Products!A:A,0))</f>
        <v>Hydrating Face Wash</v>
      </c>
      <c r="O4271" t="str">
        <f>INDEX(Products!C:C,MATCH(OrdersTable[[#This Row],[Product ID]],Products!A:A,0))</f>
        <v>Skincare</v>
      </c>
      <c r="P4271">
        <v>1</v>
      </c>
      <c r="Q4271" s="5">
        <v>299</v>
      </c>
      <c r="R4271" s="74">
        <v>0.2</v>
      </c>
      <c r="S4271" s="75">
        <f>OrdersTable[[#This Row],[Quantity]]*OrdersTable[[#This Row],[Unit Price]]</f>
        <v>299</v>
      </c>
      <c r="T4271" s="5">
        <f>OrdersTable[[#This Row],[Gross Sale]]*OrdersTable[[#This Row],[Discount_Clean2]]</f>
        <v>59.800000000000004</v>
      </c>
      <c r="U4271" s="5">
        <f>OrdersTable[[#This Row],[Gross Sale]]-OrdersTable[[#This Row],[Discount Amount]]</f>
        <v>239.2</v>
      </c>
      <c r="V4271" s="77">
        <f>INDEX(Products!E:E,MATCH(OrdersTable[[#This Row],[Product ID]],Products!A:A,0))</f>
        <v>90</v>
      </c>
      <c r="W4271" s="77">
        <f>OrdersTable[[#This Row],[Quantity]]*OrdersTable[[#This Row],[Unit Cost]]</f>
        <v>90</v>
      </c>
      <c r="X4271" s="77">
        <f>'Dropdown Lists'!$I$2*(1+OrdersTable[[#This Row],[Returned]])</f>
        <v>60</v>
      </c>
      <c r="Y4271" s="76">
        <f>OrdersTable[[#This Row],[Net Revenue]]-OrdersTable[[#This Row],[COGS]]-OrdersTable[[#This Row],[Shipping Cost]]</f>
        <v>89.199999999999989</v>
      </c>
      <c r="Z4271" s="78">
        <f>IFERROR(OrdersTable[[#This Row],[Profit]]/OrdersTable[[#This Row],[Net Revenue]],0)</f>
        <v>0.37290969899665549</v>
      </c>
      <c r="AA4271" t="s">
        <v>3495</v>
      </c>
      <c r="AB4271" s="79">
        <v>45963</v>
      </c>
      <c r="AC4271">
        <f>OrdersTable[[#This Row],[Delivery Date]]-OrdersTable[[#This Row],[Order Date]]</f>
        <v>5</v>
      </c>
      <c r="AD4271" t="str">
        <f>IF(OrdersTable[[#This Row],[Delivery Days]]&lt;=2, "Express (≤2d)", IF(OrdersTable[[#This Row],[Delivery Days]]&lt;=4, "Standard (3-4d)", "Delayed (5d+)"))</f>
        <v>Delayed (5d+)</v>
      </c>
      <c r="AE4271">
        <v>4</v>
      </c>
      <c r="AF4271">
        <v>0</v>
      </c>
    </row>
    <row r="4272" spans="1:32" ht="15" x14ac:dyDescent="0.35">
      <c r="A4272" t="s">
        <v>5835</v>
      </c>
      <c r="B4272" s="1">
        <v>45958</v>
      </c>
      <c r="C4272">
        <f>YEAR(OrdersTable[[#This Row],[Order Date]])</f>
        <v>2025</v>
      </c>
      <c r="D4272" s="2">
        <f>DATE(YEAR(OrdersTable[[#This Row],[Order Date]]),MONTH(OrdersTable[[#This Row],[Order Date]]),1)</f>
        <v>45931</v>
      </c>
      <c r="E4272">
        <f>MONTH(OrdersTable[[#This Row],[Order Date]])</f>
        <v>10</v>
      </c>
      <c r="F4272" t="s">
        <v>3018</v>
      </c>
      <c r="G4272" t="str">
        <f>IF(OrdersTable[[#This Row],[Order Date]]=_xlfn.MINIFS(Order_Date, Customer_ID, OrdersTable[[#This Row],[Customer ID]]), "New", "Repeat")</f>
        <v>Repeat</v>
      </c>
      <c r="H4272" t="s">
        <v>59</v>
      </c>
      <c r="I4272" t="str">
        <f>INDEX(State!B:B,MATCH(OrdersTable[[#This Row],[State]],State!A:A,0))</f>
        <v>TN</v>
      </c>
      <c r="J4272" t="str">
        <f>INDEX(State!C:C,MATCH(OrdersTable[[#This Row],[State Code]],State!B:B,0))</f>
        <v>South</v>
      </c>
      <c r="K4272" t="s">
        <v>64</v>
      </c>
      <c r="L4272" t="s">
        <v>65</v>
      </c>
      <c r="M4272" t="s">
        <v>106</v>
      </c>
      <c r="N4272" t="str">
        <f>INDEX(Products!B:B,MATCH(OrdersTable[[#This Row],[Product ID]],Products!A:A,0))</f>
        <v>Keratin Hair Mask</v>
      </c>
      <c r="O4272" t="str">
        <f>INDEX(Products!C:C,MATCH(OrdersTable[[#This Row],[Product ID]],Products!A:A,0))</f>
        <v>Haircare</v>
      </c>
      <c r="P4272">
        <v>2</v>
      </c>
      <c r="Q4272" s="5">
        <v>549</v>
      </c>
      <c r="R4272" s="74">
        <v>0.3</v>
      </c>
      <c r="S4272" s="75">
        <f>OrdersTable[[#This Row],[Quantity]]*OrdersTable[[#This Row],[Unit Price]]</f>
        <v>1098</v>
      </c>
      <c r="T4272" s="5">
        <f>OrdersTable[[#This Row],[Gross Sale]]*OrdersTable[[#This Row],[Discount_Clean2]]</f>
        <v>329.4</v>
      </c>
      <c r="U4272" s="5">
        <f>OrdersTable[[#This Row],[Gross Sale]]-OrdersTable[[#This Row],[Discount Amount]]</f>
        <v>768.6</v>
      </c>
      <c r="V4272" s="77">
        <f>INDEX(Products!E:E,MATCH(OrdersTable[[#This Row],[Product ID]],Products!A:A,0))</f>
        <v>170</v>
      </c>
      <c r="W4272" s="77">
        <f>OrdersTable[[#This Row],[Quantity]]*OrdersTable[[#This Row],[Unit Cost]]</f>
        <v>340</v>
      </c>
      <c r="X4272" s="77">
        <f>'Dropdown Lists'!$I$2*(1+OrdersTable[[#This Row],[Returned]])</f>
        <v>60</v>
      </c>
      <c r="Y4272" s="76">
        <f>OrdersTable[[#This Row],[Net Revenue]]-OrdersTable[[#This Row],[COGS]]-OrdersTable[[#This Row],[Shipping Cost]]</f>
        <v>368.6</v>
      </c>
      <c r="Z4272" s="78">
        <f>IFERROR(OrdersTable[[#This Row],[Profit]]/OrdersTable[[#This Row],[Net Revenue]],0)</f>
        <v>0.47957325006505336</v>
      </c>
      <c r="AA4272" t="s">
        <v>18</v>
      </c>
      <c r="AB4272" s="79">
        <v>45962</v>
      </c>
      <c r="AC4272">
        <f>OrdersTable[[#This Row],[Delivery Date]]-OrdersTable[[#This Row],[Order Date]]</f>
        <v>4</v>
      </c>
      <c r="AD4272" t="str">
        <f>IF(OrdersTable[[#This Row],[Delivery Days]]&lt;=2, "Express (≤2d)", IF(OrdersTable[[#This Row],[Delivery Days]]&lt;=4, "Standard (3-4d)", "Delayed (5d+)"))</f>
        <v>Standard (3-4d)</v>
      </c>
      <c r="AE4272">
        <v>5</v>
      </c>
      <c r="AF4272">
        <v>0</v>
      </c>
    </row>
    <row r="4273" spans="1:32" ht="15" x14ac:dyDescent="0.35">
      <c r="A4273" t="s">
        <v>5732</v>
      </c>
      <c r="B4273" s="1">
        <v>45959</v>
      </c>
      <c r="C4273">
        <f>YEAR(OrdersTable[[#This Row],[Order Date]])</f>
        <v>2025</v>
      </c>
      <c r="D4273" s="2">
        <f>DATE(YEAR(OrdersTable[[#This Row],[Order Date]]),MONTH(OrdersTable[[#This Row],[Order Date]]),1)</f>
        <v>45931</v>
      </c>
      <c r="E4273">
        <f>MONTH(OrdersTable[[#This Row],[Order Date]])</f>
        <v>10</v>
      </c>
      <c r="F4273" t="s">
        <v>58</v>
      </c>
      <c r="G4273" t="str">
        <f>IF(OrdersTable[[#This Row],[Order Date]]=_xlfn.MINIFS(Order_Date, Customer_ID, OrdersTable[[#This Row],[Customer ID]]), "New", "Repeat")</f>
        <v>Repeat</v>
      </c>
      <c r="H4273" t="s">
        <v>128</v>
      </c>
      <c r="I4273" t="str">
        <f>INDEX(State!B:B,MATCH(OrdersTable[[#This Row],[State]],State!A:A,0))</f>
        <v>DL</v>
      </c>
      <c r="J4273" t="str">
        <f>INDEX(State!C:C,MATCH(OrdersTable[[#This Row],[State Code]],State!B:B,0))</f>
        <v>North</v>
      </c>
      <c r="K4273" t="s">
        <v>129</v>
      </c>
      <c r="L4273" t="s">
        <v>23</v>
      </c>
      <c r="M4273" t="s">
        <v>56</v>
      </c>
      <c r="N4273" t="str">
        <f>INDEX(Products!B:B,MATCH(OrdersTable[[#This Row],[Product ID]],Products!A:A,0))</f>
        <v>Vitamin C Face Serum</v>
      </c>
      <c r="O4273" t="str">
        <f>INDEX(Products!C:C,MATCH(OrdersTable[[#This Row],[Product ID]],Products!A:A,0))</f>
        <v>Skincare</v>
      </c>
      <c r="P4273">
        <v>2</v>
      </c>
      <c r="Q4273" s="5">
        <v>599</v>
      </c>
      <c r="R4273" s="74">
        <v>0.3</v>
      </c>
      <c r="S4273" s="75">
        <f>OrdersTable[[#This Row],[Quantity]]*OrdersTable[[#This Row],[Unit Price]]</f>
        <v>1198</v>
      </c>
      <c r="T4273" s="5">
        <f>OrdersTable[[#This Row],[Gross Sale]]*OrdersTable[[#This Row],[Discount_Clean2]]</f>
        <v>359.4</v>
      </c>
      <c r="U4273" s="5">
        <f>OrdersTable[[#This Row],[Gross Sale]]-OrdersTable[[#This Row],[Discount Amount]]</f>
        <v>838.6</v>
      </c>
      <c r="V4273" s="77">
        <f>INDEX(Products!E:E,MATCH(OrdersTable[[#This Row],[Product ID]],Products!A:A,0))</f>
        <v>180</v>
      </c>
      <c r="W4273" s="77">
        <f>OrdersTable[[#This Row],[Quantity]]*OrdersTable[[#This Row],[Unit Cost]]</f>
        <v>360</v>
      </c>
      <c r="X4273" s="77">
        <f>'Dropdown Lists'!$I$2*(1+OrdersTable[[#This Row],[Returned]])</f>
        <v>60</v>
      </c>
      <c r="Y4273" s="76">
        <f>OrdersTable[[#This Row],[Net Revenue]]-OrdersTable[[#This Row],[COGS]]-OrdersTable[[#This Row],[Shipping Cost]]</f>
        <v>418.6</v>
      </c>
      <c r="Z4273" s="78">
        <f>IFERROR(OrdersTable[[#This Row],[Profit]]/OrdersTable[[#This Row],[Net Revenue]],0)</f>
        <v>0.4991652754590985</v>
      </c>
      <c r="AA4273" t="s">
        <v>18</v>
      </c>
      <c r="AB4273" s="79">
        <v>45961</v>
      </c>
      <c r="AC4273">
        <f>OrdersTable[[#This Row],[Delivery Date]]-OrdersTable[[#This Row],[Order Date]]</f>
        <v>2</v>
      </c>
      <c r="AD4273" t="str">
        <f>IF(OrdersTable[[#This Row],[Delivery Days]]&lt;=2, "Express (≤2d)", IF(OrdersTable[[#This Row],[Delivery Days]]&lt;=4, "Standard (3-4d)", "Delayed (5d+)"))</f>
        <v>Express (≤2d)</v>
      </c>
      <c r="AE4273">
        <v>3</v>
      </c>
      <c r="AF4273">
        <v>0</v>
      </c>
    </row>
    <row r="4274" spans="1:32" ht="15" x14ac:dyDescent="0.35">
      <c r="A4274" t="s">
        <v>6820</v>
      </c>
      <c r="B4274" s="1">
        <v>45959</v>
      </c>
      <c r="C4274">
        <f>YEAR(OrdersTable[[#This Row],[Order Date]])</f>
        <v>2025</v>
      </c>
      <c r="D4274" s="2">
        <f>DATE(YEAR(OrdersTable[[#This Row],[Order Date]]),MONTH(OrdersTable[[#This Row],[Order Date]]),1)</f>
        <v>45931</v>
      </c>
      <c r="E4274">
        <f>MONTH(OrdersTable[[#This Row],[Order Date]])</f>
        <v>10</v>
      </c>
      <c r="F4274" t="s">
        <v>3260</v>
      </c>
      <c r="G4274" t="str">
        <f>IF(OrdersTable[[#This Row],[Order Date]]=_xlfn.MINIFS(Order_Date, Customer_ID, OrdersTable[[#This Row],[Customer ID]]), "New", "Repeat")</f>
        <v>Repeat</v>
      </c>
      <c r="H4274" t="s">
        <v>128</v>
      </c>
      <c r="I4274" t="str">
        <f>INDEX(State!B:B,MATCH(OrdersTable[[#This Row],[State]],State!A:A,0))</f>
        <v>DL</v>
      </c>
      <c r="J4274" t="str">
        <f>INDEX(State!C:C,MATCH(OrdersTable[[#This Row],[State Code]],State!B:B,0))</f>
        <v>North</v>
      </c>
      <c r="K4274" t="s">
        <v>129</v>
      </c>
      <c r="L4274" t="s">
        <v>23</v>
      </c>
      <c r="M4274" t="s">
        <v>29</v>
      </c>
      <c r="N4274" t="str">
        <f>INDEX(Products!B:B,MATCH(OrdersTable[[#This Row],[Product ID]],Products!A:A,0))</f>
        <v>Joggers</v>
      </c>
      <c r="O4274" t="str">
        <f>INDEX(Products!C:C,MATCH(OrdersTable[[#This Row],[Product ID]],Products!A:A,0))</f>
        <v>Apparel</v>
      </c>
      <c r="P4274">
        <v>3</v>
      </c>
      <c r="Q4274" s="5">
        <v>1199</v>
      </c>
      <c r="R4274" s="74">
        <v>0.25</v>
      </c>
      <c r="S4274" s="75">
        <f>OrdersTable[[#This Row],[Quantity]]*OrdersTable[[#This Row],[Unit Price]]</f>
        <v>3597</v>
      </c>
      <c r="T4274" s="5">
        <f>OrdersTable[[#This Row],[Gross Sale]]*OrdersTable[[#This Row],[Discount_Clean2]]</f>
        <v>899.25</v>
      </c>
      <c r="U4274" s="5">
        <f>OrdersTable[[#This Row],[Gross Sale]]-OrdersTable[[#This Row],[Discount Amount]]</f>
        <v>2697.75</v>
      </c>
      <c r="V4274" s="77">
        <f>INDEX(Products!E:E,MATCH(OrdersTable[[#This Row],[Product ID]],Products!A:A,0))</f>
        <v>492</v>
      </c>
      <c r="W4274" s="77">
        <f>OrdersTable[[#This Row],[Quantity]]*OrdersTable[[#This Row],[Unit Cost]]</f>
        <v>1476</v>
      </c>
      <c r="X4274" s="77">
        <f>'Dropdown Lists'!$I$2*(1+OrdersTable[[#This Row],[Returned]])</f>
        <v>60</v>
      </c>
      <c r="Y4274" s="76">
        <f>OrdersTable[[#This Row],[Net Revenue]]-OrdersTable[[#This Row],[COGS]]-OrdersTable[[#This Row],[Shipping Cost]]</f>
        <v>1161.75</v>
      </c>
      <c r="Z4274" s="78">
        <f>IFERROR(OrdersTable[[#This Row],[Profit]]/OrdersTable[[#This Row],[Net Revenue]],0)</f>
        <v>0.43063664164581594</v>
      </c>
      <c r="AA4274" t="s">
        <v>3495</v>
      </c>
      <c r="AB4274" s="79">
        <v>45963</v>
      </c>
      <c r="AC4274">
        <f>OrdersTable[[#This Row],[Delivery Date]]-OrdersTable[[#This Row],[Order Date]]</f>
        <v>4</v>
      </c>
      <c r="AD4274" t="str">
        <f>IF(OrdersTable[[#This Row],[Delivery Days]]&lt;=2, "Express (≤2d)", IF(OrdersTable[[#This Row],[Delivery Days]]&lt;=4, "Standard (3-4d)", "Delayed (5d+)"))</f>
        <v>Standard (3-4d)</v>
      </c>
      <c r="AE4274">
        <v>5</v>
      </c>
      <c r="AF4274">
        <v>0</v>
      </c>
    </row>
    <row r="4275" spans="1:32" ht="15" x14ac:dyDescent="0.35">
      <c r="A4275" t="s">
        <v>6417</v>
      </c>
      <c r="B4275" s="1">
        <v>45959</v>
      </c>
      <c r="C4275">
        <f>YEAR(OrdersTable[[#This Row],[Order Date]])</f>
        <v>2025</v>
      </c>
      <c r="D4275" s="2">
        <f>DATE(YEAR(OrdersTable[[#This Row],[Order Date]]),MONTH(OrdersTable[[#This Row],[Order Date]]),1)</f>
        <v>45931</v>
      </c>
      <c r="E4275">
        <f>MONTH(OrdersTable[[#This Row],[Order Date]])</f>
        <v>10</v>
      </c>
      <c r="F4275" t="s">
        <v>6418</v>
      </c>
      <c r="G4275" t="str">
        <f>IF(OrdersTable[[#This Row],[Order Date]]=_xlfn.MINIFS(Order_Date, Customer_ID, OrdersTable[[#This Row],[Customer ID]]), "New", "Repeat")</f>
        <v>New</v>
      </c>
      <c r="H4275" t="s">
        <v>76</v>
      </c>
      <c r="I4275" t="str">
        <f>INDEX(State!B:B,MATCH(OrdersTable[[#This Row],[State]],State!A:A,0))</f>
        <v>UP</v>
      </c>
      <c r="J4275" t="str">
        <f>INDEX(State!C:C,MATCH(OrdersTable[[#This Row],[State Code]],State!B:B,0))</f>
        <v>North</v>
      </c>
      <c r="K4275" t="s">
        <v>105</v>
      </c>
      <c r="L4275" t="s">
        <v>16</v>
      </c>
      <c r="M4275" t="s">
        <v>34</v>
      </c>
      <c r="N4275" t="str">
        <f>INDEX(Products!B:B,MATCH(OrdersTable[[#This Row],[Product ID]],Products!A:A,0))</f>
        <v>Flip Flops</v>
      </c>
      <c r="O4275" t="str">
        <f>INDEX(Products!C:C,MATCH(OrdersTable[[#This Row],[Product ID]],Products!A:A,0))</f>
        <v>Footwear</v>
      </c>
      <c r="P4275">
        <v>2</v>
      </c>
      <c r="Q4275" s="5">
        <v>399</v>
      </c>
      <c r="R4275" s="74">
        <v>0.3</v>
      </c>
      <c r="S4275" s="75">
        <f>OrdersTable[[#This Row],[Quantity]]*OrdersTable[[#This Row],[Unit Price]]</f>
        <v>798</v>
      </c>
      <c r="T4275" s="5">
        <f>OrdersTable[[#This Row],[Gross Sale]]*OrdersTable[[#This Row],[Discount_Clean2]]</f>
        <v>239.39999999999998</v>
      </c>
      <c r="U4275" s="5">
        <f>OrdersTable[[#This Row],[Gross Sale]]-OrdersTable[[#This Row],[Discount Amount]]</f>
        <v>558.6</v>
      </c>
      <c r="V4275" s="77">
        <f>INDEX(Products!E:E,MATCH(OrdersTable[[#This Row],[Product ID]],Products!A:A,0))</f>
        <v>152</v>
      </c>
      <c r="W4275" s="77">
        <f>OrdersTable[[#This Row],[Quantity]]*OrdersTable[[#This Row],[Unit Cost]]</f>
        <v>304</v>
      </c>
      <c r="X4275" s="77">
        <f>'Dropdown Lists'!$I$2*(1+OrdersTable[[#This Row],[Returned]])</f>
        <v>60</v>
      </c>
      <c r="Y4275" s="76">
        <f>OrdersTable[[#This Row],[Net Revenue]]-OrdersTable[[#This Row],[COGS]]-OrdersTable[[#This Row],[Shipping Cost]]</f>
        <v>194.60000000000002</v>
      </c>
      <c r="Z4275" s="78">
        <f>IFERROR(OrdersTable[[#This Row],[Profit]]/OrdersTable[[#This Row],[Net Revenue]],0)</f>
        <v>0.34837092731829578</v>
      </c>
      <c r="AA4275" t="s">
        <v>18</v>
      </c>
      <c r="AB4275" s="79">
        <v>45961</v>
      </c>
      <c r="AC4275">
        <f>OrdersTable[[#This Row],[Delivery Date]]-OrdersTable[[#This Row],[Order Date]]</f>
        <v>2</v>
      </c>
      <c r="AD4275" t="str">
        <f>IF(OrdersTable[[#This Row],[Delivery Days]]&lt;=2, "Express (≤2d)", IF(OrdersTable[[#This Row],[Delivery Days]]&lt;=4, "Standard (3-4d)", "Delayed (5d+)"))</f>
        <v>Express (≤2d)</v>
      </c>
      <c r="AF4275">
        <v>0</v>
      </c>
    </row>
    <row r="4276" spans="1:32" ht="15" x14ac:dyDescent="0.35">
      <c r="A4276" t="s">
        <v>3817</v>
      </c>
      <c r="B4276" s="1">
        <v>45959</v>
      </c>
      <c r="C4276">
        <f>YEAR(OrdersTable[[#This Row],[Order Date]])</f>
        <v>2025</v>
      </c>
      <c r="D4276" s="2">
        <f>DATE(YEAR(OrdersTable[[#This Row],[Order Date]]),MONTH(OrdersTable[[#This Row],[Order Date]]),1)</f>
        <v>45931</v>
      </c>
      <c r="E4276">
        <f>MONTH(OrdersTable[[#This Row],[Order Date]])</f>
        <v>10</v>
      </c>
      <c r="F4276" t="s">
        <v>3818</v>
      </c>
      <c r="G4276" t="str">
        <f>IF(OrdersTable[[#This Row],[Order Date]]=_xlfn.MINIFS(Order_Date, Customer_ID, OrdersTable[[#This Row],[Customer ID]]), "New", "Repeat")</f>
        <v>New</v>
      </c>
      <c r="H4276" t="s">
        <v>76</v>
      </c>
      <c r="I4276" t="str">
        <f>INDEX(State!B:B,MATCH(OrdersTable[[#This Row],[State]],State!A:A,0))</f>
        <v>UP</v>
      </c>
      <c r="J4276" t="str">
        <f>INDEX(State!C:C,MATCH(OrdersTable[[#This Row],[State Code]],State!B:B,0))</f>
        <v>North</v>
      </c>
      <c r="K4276" t="s">
        <v>118</v>
      </c>
      <c r="L4276" t="s">
        <v>65</v>
      </c>
      <c r="M4276" t="s">
        <v>84</v>
      </c>
      <c r="N4276" t="str">
        <f>INDEX(Products!B:B,MATCH(OrdersTable[[#This Row],[Product ID]],Products!A:A,0))</f>
        <v>Cotton Bedsheet</v>
      </c>
      <c r="O4276" t="str">
        <f>INDEX(Products!C:C,MATCH(OrdersTable[[#This Row],[Product ID]],Products!A:A,0))</f>
        <v>Home &amp; Kitchen</v>
      </c>
      <c r="P4276">
        <v>1</v>
      </c>
      <c r="Q4276" s="5">
        <v>1299</v>
      </c>
      <c r="R4276" s="74">
        <v>0.2</v>
      </c>
      <c r="S4276" s="75">
        <f>OrdersTable[[#This Row],[Quantity]]*OrdersTable[[#This Row],[Unit Price]]</f>
        <v>1299</v>
      </c>
      <c r="T4276" s="5">
        <f>OrdersTable[[#This Row],[Gross Sale]]*OrdersTable[[#This Row],[Discount_Clean2]]</f>
        <v>259.8</v>
      </c>
      <c r="U4276" s="5">
        <f>OrdersTable[[#This Row],[Gross Sale]]-OrdersTable[[#This Row],[Discount Amount]]</f>
        <v>1039.2</v>
      </c>
      <c r="V4276" s="77">
        <f>INDEX(Products!E:E,MATCH(OrdersTable[[#This Row],[Product ID]],Products!A:A,0))</f>
        <v>585</v>
      </c>
      <c r="W4276" s="77">
        <f>OrdersTable[[#This Row],[Quantity]]*OrdersTable[[#This Row],[Unit Cost]]</f>
        <v>585</v>
      </c>
      <c r="X4276" s="77">
        <f>'Dropdown Lists'!$I$2*(1+OrdersTable[[#This Row],[Returned]])</f>
        <v>60</v>
      </c>
      <c r="Y4276" s="76">
        <f>OrdersTable[[#This Row],[Net Revenue]]-OrdersTable[[#This Row],[COGS]]-OrdersTable[[#This Row],[Shipping Cost]]</f>
        <v>394.20000000000005</v>
      </c>
      <c r="Z4276" s="78">
        <f>IFERROR(OrdersTable[[#This Row],[Profit]]/OrdersTable[[#This Row],[Net Revenue]],0)</f>
        <v>0.37933025404157045</v>
      </c>
      <c r="AA4276" t="s">
        <v>3495</v>
      </c>
      <c r="AB4276" s="79">
        <v>45965</v>
      </c>
      <c r="AC4276">
        <f>OrdersTable[[#This Row],[Delivery Date]]-OrdersTable[[#This Row],[Order Date]]</f>
        <v>6</v>
      </c>
      <c r="AD4276" t="str">
        <f>IF(OrdersTable[[#This Row],[Delivery Days]]&lt;=2, "Express (≤2d)", IF(OrdersTable[[#This Row],[Delivery Days]]&lt;=4, "Standard (3-4d)", "Delayed (5d+)"))</f>
        <v>Delayed (5d+)</v>
      </c>
      <c r="AF4276">
        <v>0</v>
      </c>
    </row>
    <row r="4277" spans="1:32" ht="15" x14ac:dyDescent="0.35">
      <c r="A4277" t="s">
        <v>1794</v>
      </c>
      <c r="B4277" s="1">
        <v>45959</v>
      </c>
      <c r="C4277">
        <f>YEAR(OrdersTable[[#This Row],[Order Date]])</f>
        <v>2025</v>
      </c>
      <c r="D4277" s="2">
        <f>DATE(YEAR(OrdersTable[[#This Row],[Order Date]]),MONTH(OrdersTable[[#This Row],[Order Date]]),1)</f>
        <v>45931</v>
      </c>
      <c r="E4277">
        <f>MONTH(OrdersTable[[#This Row],[Order Date]])</f>
        <v>10</v>
      </c>
      <c r="F4277" t="s">
        <v>1560</v>
      </c>
      <c r="G4277" t="str">
        <f>IF(OrdersTable[[#This Row],[Order Date]]=_xlfn.MINIFS(Order_Date, Customer_ID, OrdersTable[[#This Row],[Customer ID]]), "New", "Repeat")</f>
        <v>Repeat</v>
      </c>
      <c r="H4277" t="s">
        <v>76</v>
      </c>
      <c r="I4277" t="str">
        <f>INDEX(State!B:B,MATCH(OrdersTable[[#This Row],[State]],State!A:A,0))</f>
        <v>UP</v>
      </c>
      <c r="J4277" t="str">
        <f>INDEX(State!C:C,MATCH(OrdersTable[[#This Row],[State Code]],State!B:B,0))</f>
        <v>North</v>
      </c>
      <c r="K4277" t="s">
        <v>105</v>
      </c>
      <c r="L4277" t="s">
        <v>65</v>
      </c>
      <c r="M4277" t="s">
        <v>228</v>
      </c>
      <c r="N4277" t="str">
        <f>INDEX(Products!B:B,MATCH(OrdersTable[[#This Row],[Product ID]],Products!A:A,0))</f>
        <v>Fast Charger 33W</v>
      </c>
      <c r="O4277" t="str">
        <f>INDEX(Products!C:C,MATCH(OrdersTable[[#This Row],[Product ID]],Products!A:A,0))</f>
        <v>Electronics</v>
      </c>
      <c r="P4277">
        <v>1</v>
      </c>
      <c r="Q4277" s="5">
        <v>899</v>
      </c>
      <c r="R4277" s="74">
        <v>0.2</v>
      </c>
      <c r="S4277" s="75">
        <f>OrdersTable[[#This Row],[Quantity]]*OrdersTable[[#This Row],[Unit Price]]</f>
        <v>899</v>
      </c>
      <c r="T4277" s="5">
        <f>OrdersTable[[#This Row],[Gross Sale]]*OrdersTable[[#This Row],[Discount_Clean2]]</f>
        <v>179.8</v>
      </c>
      <c r="U4277" s="5">
        <f>OrdersTable[[#This Row],[Gross Sale]]-OrdersTable[[#This Row],[Discount Amount]]</f>
        <v>719.2</v>
      </c>
      <c r="V4277" s="77">
        <f>INDEX(Products!E:E,MATCH(OrdersTable[[#This Row],[Product ID]],Products!A:A,0))</f>
        <v>494</v>
      </c>
      <c r="W4277" s="77">
        <f>OrdersTable[[#This Row],[Quantity]]*OrdersTable[[#This Row],[Unit Cost]]</f>
        <v>494</v>
      </c>
      <c r="X4277" s="77">
        <f>'Dropdown Lists'!$I$2*(1+OrdersTable[[#This Row],[Returned]])</f>
        <v>60</v>
      </c>
      <c r="Y4277" s="76">
        <f>OrdersTable[[#This Row],[Net Revenue]]-OrdersTable[[#This Row],[COGS]]-OrdersTable[[#This Row],[Shipping Cost]]</f>
        <v>165.20000000000005</v>
      </c>
      <c r="Z4277" s="78">
        <f>IFERROR(OrdersTable[[#This Row],[Profit]]/OrdersTable[[#This Row],[Net Revenue]],0)</f>
        <v>0.22969966629588437</v>
      </c>
      <c r="AA4277" t="s">
        <v>18</v>
      </c>
      <c r="AB4277" s="79">
        <v>45963</v>
      </c>
      <c r="AC4277">
        <f>OrdersTable[[#This Row],[Delivery Date]]-OrdersTable[[#This Row],[Order Date]]</f>
        <v>4</v>
      </c>
      <c r="AD4277" t="str">
        <f>IF(OrdersTable[[#This Row],[Delivery Days]]&lt;=2, "Express (≤2d)", IF(OrdersTable[[#This Row],[Delivery Days]]&lt;=4, "Standard (3-4d)", "Delayed (5d+)"))</f>
        <v>Standard (3-4d)</v>
      </c>
      <c r="AF4277">
        <v>0</v>
      </c>
    </row>
    <row r="4278" spans="1:32" ht="15" x14ac:dyDescent="0.35">
      <c r="A4278" t="s">
        <v>4191</v>
      </c>
      <c r="B4278" s="1">
        <v>45959</v>
      </c>
      <c r="C4278">
        <f>YEAR(OrdersTable[[#This Row],[Order Date]])</f>
        <v>2025</v>
      </c>
      <c r="D4278" s="2">
        <f>DATE(YEAR(OrdersTable[[#This Row],[Order Date]]),MONTH(OrdersTable[[#This Row],[Order Date]]),1)</f>
        <v>45931</v>
      </c>
      <c r="E4278">
        <f>MONTH(OrdersTable[[#This Row],[Order Date]])</f>
        <v>10</v>
      </c>
      <c r="F4278" t="s">
        <v>1391</v>
      </c>
      <c r="G4278" t="str">
        <f>IF(OrdersTable[[#This Row],[Order Date]]=_xlfn.MINIFS(Order_Date, Customer_ID, OrdersTable[[#This Row],[Customer ID]]), "New", "Repeat")</f>
        <v>Repeat</v>
      </c>
      <c r="H4278" t="s">
        <v>43</v>
      </c>
      <c r="I4278" t="str">
        <f>INDEX(State!B:B,MATCH(OrdersTable[[#This Row],[State]],State!A:A,0))</f>
        <v>MP</v>
      </c>
      <c r="J4278" t="str">
        <f>INDEX(State!C:C,MATCH(OrdersTable[[#This Row],[State Code]],State!B:B,0))</f>
        <v>West</v>
      </c>
      <c r="K4278" t="s">
        <v>250</v>
      </c>
      <c r="L4278" t="s">
        <v>16</v>
      </c>
      <c r="M4278" t="s">
        <v>92</v>
      </c>
      <c r="N4278" t="str">
        <f>INDEX(Products!B:B,MATCH(OrdersTable[[#This Row],[Product ID]],Products!A:A,0))</f>
        <v>Kolhapuri Sandals</v>
      </c>
      <c r="O4278" t="str">
        <f>INDEX(Products!C:C,MATCH(OrdersTable[[#This Row],[Product ID]],Products!A:A,0))</f>
        <v>Footwear</v>
      </c>
      <c r="P4278">
        <v>1</v>
      </c>
      <c r="Q4278" s="5">
        <v>999</v>
      </c>
      <c r="R4278" s="74">
        <v>0.25</v>
      </c>
      <c r="S4278" s="75">
        <f>OrdersTable[[#This Row],[Quantity]]*OrdersTable[[#This Row],[Unit Price]]</f>
        <v>999</v>
      </c>
      <c r="T4278" s="5">
        <f>OrdersTable[[#This Row],[Gross Sale]]*OrdersTable[[#This Row],[Discount_Clean2]]</f>
        <v>249.75</v>
      </c>
      <c r="U4278" s="5">
        <f>OrdersTable[[#This Row],[Gross Sale]]-OrdersTable[[#This Row],[Discount Amount]]</f>
        <v>749.25</v>
      </c>
      <c r="V4278" s="77">
        <f>INDEX(Products!E:E,MATCH(OrdersTable[[#This Row],[Product ID]],Products!A:A,0))</f>
        <v>400</v>
      </c>
      <c r="W4278" s="77">
        <f>OrdersTable[[#This Row],[Quantity]]*OrdersTable[[#This Row],[Unit Cost]]</f>
        <v>400</v>
      </c>
      <c r="X4278" s="77">
        <f>'Dropdown Lists'!$I$2*(1+OrdersTable[[#This Row],[Returned]])</f>
        <v>60</v>
      </c>
      <c r="Y4278" s="76">
        <f>OrdersTable[[#This Row],[Net Revenue]]-OrdersTable[[#This Row],[COGS]]-OrdersTable[[#This Row],[Shipping Cost]]</f>
        <v>289.25</v>
      </c>
      <c r="Z4278" s="78">
        <f>IFERROR(OrdersTable[[#This Row],[Profit]]/OrdersTable[[#This Row],[Net Revenue]],0)</f>
        <v>0.38605271938605273</v>
      </c>
      <c r="AA4278" t="s">
        <v>4074</v>
      </c>
      <c r="AB4278" s="79">
        <v>45961</v>
      </c>
      <c r="AC4278">
        <f>OrdersTable[[#This Row],[Delivery Date]]-OrdersTable[[#This Row],[Order Date]]</f>
        <v>2</v>
      </c>
      <c r="AD4278" t="str">
        <f>IF(OrdersTable[[#This Row],[Delivery Days]]&lt;=2, "Express (≤2d)", IF(OrdersTable[[#This Row],[Delivery Days]]&lt;=4, "Standard (3-4d)", "Delayed (5d+)"))</f>
        <v>Express (≤2d)</v>
      </c>
      <c r="AE4278">
        <v>5</v>
      </c>
      <c r="AF4278">
        <v>0</v>
      </c>
    </row>
    <row r="4279" spans="1:32" ht="15" x14ac:dyDescent="0.35">
      <c r="A4279" t="s">
        <v>6419</v>
      </c>
      <c r="B4279" s="1">
        <v>45959</v>
      </c>
      <c r="C4279">
        <f>YEAR(OrdersTable[[#This Row],[Order Date]])</f>
        <v>2025</v>
      </c>
      <c r="D4279" s="2">
        <f>DATE(YEAR(OrdersTable[[#This Row],[Order Date]]),MONTH(OrdersTable[[#This Row],[Order Date]]),1)</f>
        <v>45931</v>
      </c>
      <c r="E4279">
        <f>MONTH(OrdersTable[[#This Row],[Order Date]])</f>
        <v>10</v>
      </c>
      <c r="F4279" t="s">
        <v>1539</v>
      </c>
      <c r="G4279" t="str">
        <f>IF(OrdersTable[[#This Row],[Order Date]]=_xlfn.MINIFS(Order_Date, Customer_ID, OrdersTable[[#This Row],[Customer ID]]), "New", "Repeat")</f>
        <v>Repeat</v>
      </c>
      <c r="H4279" t="s">
        <v>43</v>
      </c>
      <c r="I4279" t="str">
        <f>INDEX(State!B:B,MATCH(OrdersTable[[#This Row],[State]],State!A:A,0))</f>
        <v>MP</v>
      </c>
      <c r="J4279" t="str">
        <f>INDEX(State!C:C,MATCH(OrdersTable[[#This Row],[State Code]],State!B:B,0))</f>
        <v>West</v>
      </c>
      <c r="K4279" t="s">
        <v>44</v>
      </c>
      <c r="L4279" t="s">
        <v>23</v>
      </c>
      <c r="M4279" t="s">
        <v>34</v>
      </c>
      <c r="N4279" t="str">
        <f>INDEX(Products!B:B,MATCH(OrdersTable[[#This Row],[Product ID]],Products!A:A,0))</f>
        <v>Flip Flops</v>
      </c>
      <c r="O4279" t="str">
        <f>INDEX(Products!C:C,MATCH(OrdersTable[[#This Row],[Product ID]],Products!A:A,0))</f>
        <v>Footwear</v>
      </c>
      <c r="P4279">
        <v>2</v>
      </c>
      <c r="Q4279" s="5">
        <v>399</v>
      </c>
      <c r="R4279" s="74">
        <v>0.15</v>
      </c>
      <c r="S4279" s="75">
        <f>OrdersTable[[#This Row],[Quantity]]*OrdersTable[[#This Row],[Unit Price]]</f>
        <v>798</v>
      </c>
      <c r="T4279" s="5">
        <f>OrdersTable[[#This Row],[Gross Sale]]*OrdersTable[[#This Row],[Discount_Clean2]]</f>
        <v>119.69999999999999</v>
      </c>
      <c r="U4279" s="5">
        <f>OrdersTable[[#This Row],[Gross Sale]]-OrdersTable[[#This Row],[Discount Amount]]</f>
        <v>678.3</v>
      </c>
      <c r="V4279" s="77">
        <f>INDEX(Products!E:E,MATCH(OrdersTable[[#This Row],[Product ID]],Products!A:A,0))</f>
        <v>152</v>
      </c>
      <c r="W4279" s="77">
        <f>OrdersTable[[#This Row],[Quantity]]*OrdersTable[[#This Row],[Unit Cost]]</f>
        <v>304</v>
      </c>
      <c r="X4279" s="77">
        <f>'Dropdown Lists'!$I$2*(1+OrdersTable[[#This Row],[Returned]])</f>
        <v>60</v>
      </c>
      <c r="Y4279" s="76">
        <f>OrdersTable[[#This Row],[Net Revenue]]-OrdersTable[[#This Row],[COGS]]-OrdersTable[[#This Row],[Shipping Cost]]</f>
        <v>314.29999999999995</v>
      </c>
      <c r="Z4279" s="78">
        <f>IFERROR(OrdersTable[[#This Row],[Profit]]/OrdersTable[[#This Row],[Net Revenue]],0)</f>
        <v>0.4633642930856553</v>
      </c>
      <c r="AA4279" t="s">
        <v>18</v>
      </c>
      <c r="AB4279" s="79">
        <v>45963</v>
      </c>
      <c r="AC4279">
        <f>OrdersTable[[#This Row],[Delivery Date]]-OrdersTable[[#This Row],[Order Date]]</f>
        <v>4</v>
      </c>
      <c r="AD4279" t="str">
        <f>IF(OrdersTable[[#This Row],[Delivery Days]]&lt;=2, "Express (≤2d)", IF(OrdersTable[[#This Row],[Delivery Days]]&lt;=4, "Standard (3-4d)", "Delayed (5d+)"))</f>
        <v>Standard (3-4d)</v>
      </c>
      <c r="AE4279">
        <v>4</v>
      </c>
      <c r="AF4279">
        <v>0</v>
      </c>
    </row>
    <row r="4280" spans="1:32" ht="15" x14ac:dyDescent="0.35">
      <c r="A4280" t="s">
        <v>6640</v>
      </c>
      <c r="B4280" s="1">
        <v>45959</v>
      </c>
      <c r="C4280">
        <f>YEAR(OrdersTable[[#This Row],[Order Date]])</f>
        <v>2025</v>
      </c>
      <c r="D4280" s="2">
        <f>DATE(YEAR(OrdersTable[[#This Row],[Order Date]]),MONTH(OrdersTable[[#This Row],[Order Date]]),1)</f>
        <v>45931</v>
      </c>
      <c r="E4280">
        <f>MONTH(OrdersTable[[#This Row],[Order Date]])</f>
        <v>10</v>
      </c>
      <c r="F4280" t="s">
        <v>157</v>
      </c>
      <c r="G4280" t="str">
        <f>IF(OrdersTable[[#This Row],[Order Date]]=_xlfn.MINIFS(Order_Date, Customer_ID, OrdersTable[[#This Row],[Customer ID]]), "New", "Repeat")</f>
        <v>Repeat</v>
      </c>
      <c r="H4280" t="s">
        <v>316</v>
      </c>
      <c r="I4280" t="str">
        <f>INDEX(State!B:B,MATCH(OrdersTable[[#This Row],[State]],State!A:A,0))</f>
        <v>KL</v>
      </c>
      <c r="J4280" t="str">
        <f>INDEX(State!C:C,MATCH(OrdersTable[[#This Row],[State Code]],State!B:B,0))</f>
        <v>South</v>
      </c>
      <c r="K4280" t="s">
        <v>317</v>
      </c>
      <c r="L4280" t="s">
        <v>16</v>
      </c>
      <c r="M4280" t="s">
        <v>17</v>
      </c>
      <c r="N4280" t="str">
        <f>INDEX(Products!B:B,MATCH(OrdersTable[[#This Row],[Product ID]],Products!A:A,0))</f>
        <v>Casual Sneakers</v>
      </c>
      <c r="O4280" t="str">
        <f>INDEX(Products!C:C,MATCH(OrdersTable[[#This Row],[Product ID]],Products!A:A,0))</f>
        <v>Footwear</v>
      </c>
      <c r="P4280">
        <v>3</v>
      </c>
      <c r="Q4280" s="5">
        <v>2199</v>
      </c>
      <c r="R4280" s="74">
        <v>0.3</v>
      </c>
      <c r="S4280" s="75">
        <f>OrdersTable[[#This Row],[Quantity]]*OrdersTable[[#This Row],[Unit Price]]</f>
        <v>6597</v>
      </c>
      <c r="T4280" s="5">
        <f>OrdersTable[[#This Row],[Gross Sale]]*OrdersTable[[#This Row],[Discount_Clean2]]</f>
        <v>1979.1</v>
      </c>
      <c r="U4280" s="5">
        <f>OrdersTable[[#This Row],[Gross Sale]]-OrdersTable[[#This Row],[Discount Amount]]</f>
        <v>4617.8999999999996</v>
      </c>
      <c r="V4280" s="77">
        <f>INDEX(Products!E:E,MATCH(OrdersTable[[#This Row],[Product ID]],Products!A:A,0))</f>
        <v>1034</v>
      </c>
      <c r="W4280" s="77">
        <f>OrdersTable[[#This Row],[Quantity]]*OrdersTable[[#This Row],[Unit Cost]]</f>
        <v>3102</v>
      </c>
      <c r="X4280" s="77">
        <f>'Dropdown Lists'!$I$2*(1+OrdersTable[[#This Row],[Returned]])</f>
        <v>120</v>
      </c>
      <c r="Y4280" s="76">
        <f>OrdersTable[[#This Row],[Net Revenue]]-OrdersTable[[#This Row],[COGS]]-OrdersTable[[#This Row],[Shipping Cost]]</f>
        <v>1395.8999999999996</v>
      </c>
      <c r="Z4280" s="78">
        <f>IFERROR(OrdersTable[[#This Row],[Profit]]/OrdersTable[[#This Row],[Net Revenue]],0)</f>
        <v>0.30228025725979335</v>
      </c>
      <c r="AA4280" t="s">
        <v>18</v>
      </c>
      <c r="AB4280" s="79">
        <v>45965</v>
      </c>
      <c r="AC4280">
        <f>OrdersTable[[#This Row],[Delivery Date]]-OrdersTable[[#This Row],[Order Date]]</f>
        <v>6</v>
      </c>
      <c r="AD4280" t="str">
        <f>IF(OrdersTable[[#This Row],[Delivery Days]]&lt;=2, "Express (≤2d)", IF(OrdersTable[[#This Row],[Delivery Days]]&lt;=4, "Standard (3-4d)", "Delayed (5d+)"))</f>
        <v>Delayed (5d+)</v>
      </c>
      <c r="AE4280">
        <v>3</v>
      </c>
      <c r="AF4280">
        <v>1</v>
      </c>
    </row>
    <row r="4281" spans="1:32" ht="15" x14ac:dyDescent="0.35">
      <c r="A4281" t="s">
        <v>5550</v>
      </c>
      <c r="B4281" s="1">
        <v>45959</v>
      </c>
      <c r="C4281">
        <f>YEAR(OrdersTable[[#This Row],[Order Date]])</f>
        <v>2025</v>
      </c>
      <c r="D4281" s="2">
        <f>DATE(YEAR(OrdersTable[[#This Row],[Order Date]]),MONTH(OrdersTable[[#This Row],[Order Date]]),1)</f>
        <v>45931</v>
      </c>
      <c r="E4281">
        <f>MONTH(OrdersTable[[#This Row],[Order Date]])</f>
        <v>10</v>
      </c>
      <c r="F4281" t="s">
        <v>5551</v>
      </c>
      <c r="G4281" t="str">
        <f>IF(OrdersTable[[#This Row],[Order Date]]=_xlfn.MINIFS(Order_Date, Customer_ID, OrdersTable[[#This Row],[Customer ID]]), "New", "Repeat")</f>
        <v>New</v>
      </c>
      <c r="H4281" t="s">
        <v>59</v>
      </c>
      <c r="I4281" t="str">
        <f>INDEX(State!B:B,MATCH(OrdersTable[[#This Row],[State]],State!A:A,0))</f>
        <v>TN</v>
      </c>
      <c r="J4281" t="str">
        <f>INDEX(State!C:C,MATCH(OrdersTable[[#This Row],[State Code]],State!B:B,0))</f>
        <v>South</v>
      </c>
      <c r="K4281" t="s">
        <v>60</v>
      </c>
      <c r="L4281" t="s">
        <v>50</v>
      </c>
      <c r="M4281" t="s">
        <v>66</v>
      </c>
      <c r="N4281" t="str">
        <f>INDEX(Products!B:B,MATCH(OrdersTable[[#This Row],[Product ID]],Products!A:A,0))</f>
        <v>Sunscreen SPF 50</v>
      </c>
      <c r="O4281" t="str">
        <f>INDEX(Products!C:C,MATCH(OrdersTable[[#This Row],[Product ID]],Products!A:A,0))</f>
        <v>Skincare</v>
      </c>
      <c r="P4281">
        <v>2</v>
      </c>
      <c r="Q4281" s="5">
        <v>449</v>
      </c>
      <c r="R4281" s="74">
        <v>0.25</v>
      </c>
      <c r="S4281" s="75">
        <f>OrdersTable[[#This Row],[Quantity]]*OrdersTable[[#This Row],[Unit Price]]</f>
        <v>898</v>
      </c>
      <c r="T4281" s="5">
        <f>OrdersTable[[#This Row],[Gross Sale]]*OrdersTable[[#This Row],[Discount_Clean2]]</f>
        <v>224.5</v>
      </c>
      <c r="U4281" s="5">
        <f>OrdersTable[[#This Row],[Gross Sale]]-OrdersTable[[#This Row],[Discount Amount]]</f>
        <v>673.5</v>
      </c>
      <c r="V4281" s="77">
        <f>INDEX(Products!E:E,MATCH(OrdersTable[[#This Row],[Product ID]],Products!A:A,0))</f>
        <v>144</v>
      </c>
      <c r="W4281" s="77">
        <f>OrdersTable[[#This Row],[Quantity]]*OrdersTable[[#This Row],[Unit Cost]]</f>
        <v>288</v>
      </c>
      <c r="X4281" s="77">
        <f>'Dropdown Lists'!$I$2*(1+OrdersTable[[#This Row],[Returned]])</f>
        <v>60</v>
      </c>
      <c r="Y4281" s="76">
        <f>OrdersTable[[#This Row],[Net Revenue]]-OrdersTable[[#This Row],[COGS]]-OrdersTable[[#This Row],[Shipping Cost]]</f>
        <v>325.5</v>
      </c>
      <c r="Z4281" s="78">
        <f>IFERROR(OrdersTable[[#This Row],[Profit]]/OrdersTable[[#This Row],[Net Revenue]],0)</f>
        <v>0.48329621380846327</v>
      </c>
      <c r="AA4281" t="s">
        <v>2522</v>
      </c>
      <c r="AB4281" s="79">
        <v>45962</v>
      </c>
      <c r="AC4281">
        <f>OrdersTable[[#This Row],[Delivery Date]]-OrdersTable[[#This Row],[Order Date]]</f>
        <v>3</v>
      </c>
      <c r="AD4281" t="str">
        <f>IF(OrdersTable[[#This Row],[Delivery Days]]&lt;=2, "Express (≤2d)", IF(OrdersTable[[#This Row],[Delivery Days]]&lt;=4, "Standard (3-4d)", "Delayed (5d+)"))</f>
        <v>Standard (3-4d)</v>
      </c>
      <c r="AE4281">
        <v>4</v>
      </c>
      <c r="AF4281">
        <v>0</v>
      </c>
    </row>
    <row r="4282" spans="1:32" ht="15" x14ac:dyDescent="0.35">
      <c r="A4282" t="s">
        <v>2472</v>
      </c>
      <c r="B4282" s="1">
        <v>45960</v>
      </c>
      <c r="C4282">
        <f>YEAR(OrdersTable[[#This Row],[Order Date]])</f>
        <v>2025</v>
      </c>
      <c r="D4282" s="2">
        <f>DATE(YEAR(OrdersTable[[#This Row],[Order Date]]),MONTH(OrdersTable[[#This Row],[Order Date]]),1)</f>
        <v>45931</v>
      </c>
      <c r="E4282">
        <f>MONTH(OrdersTable[[#This Row],[Order Date]])</f>
        <v>10</v>
      </c>
      <c r="F4282" t="s">
        <v>2473</v>
      </c>
      <c r="G4282" t="str">
        <f>IF(OrdersTable[[#This Row],[Order Date]]=_xlfn.MINIFS(Order_Date, Customer_ID, OrdersTable[[#This Row],[Customer ID]]), "New", "Repeat")</f>
        <v>New</v>
      </c>
      <c r="H4282" t="s">
        <v>128</v>
      </c>
      <c r="I4282" t="str">
        <f>INDEX(State!B:B,MATCH(OrdersTable[[#This Row],[State]],State!A:A,0))</f>
        <v>DL</v>
      </c>
      <c r="J4282" t="str">
        <f>INDEX(State!C:C,MATCH(OrdersTable[[#This Row],[State Code]],State!B:B,0))</f>
        <v>North</v>
      </c>
      <c r="K4282" t="s">
        <v>129</v>
      </c>
      <c r="L4282" t="s">
        <v>23</v>
      </c>
      <c r="M4282" t="s">
        <v>106</v>
      </c>
      <c r="N4282" t="str">
        <f>INDEX(Products!B:B,MATCH(OrdersTable[[#This Row],[Product ID]],Products!A:A,0))</f>
        <v>Keratin Hair Mask</v>
      </c>
      <c r="O4282" t="str">
        <f>INDEX(Products!C:C,MATCH(OrdersTable[[#This Row],[Product ID]],Products!A:A,0))</f>
        <v>Haircare</v>
      </c>
      <c r="P4282">
        <v>1</v>
      </c>
      <c r="Q4282" s="5">
        <v>549</v>
      </c>
      <c r="R4282" s="74">
        <v>0.35</v>
      </c>
      <c r="S4282" s="75">
        <f>OrdersTable[[#This Row],[Quantity]]*OrdersTable[[#This Row],[Unit Price]]</f>
        <v>549</v>
      </c>
      <c r="T4282" s="5">
        <f>OrdersTable[[#This Row],[Gross Sale]]*OrdersTable[[#This Row],[Discount_Clean2]]</f>
        <v>192.14999999999998</v>
      </c>
      <c r="U4282" s="5">
        <f>OrdersTable[[#This Row],[Gross Sale]]-OrdersTable[[#This Row],[Discount Amount]]</f>
        <v>356.85</v>
      </c>
      <c r="V4282" s="77">
        <f>INDEX(Products!E:E,MATCH(OrdersTable[[#This Row],[Product ID]],Products!A:A,0))</f>
        <v>170</v>
      </c>
      <c r="W4282" s="77">
        <f>OrdersTable[[#This Row],[Quantity]]*OrdersTable[[#This Row],[Unit Cost]]</f>
        <v>170</v>
      </c>
      <c r="X4282" s="77">
        <f>'Dropdown Lists'!$I$2*(1+OrdersTable[[#This Row],[Returned]])</f>
        <v>60</v>
      </c>
      <c r="Y4282" s="76">
        <f>OrdersTable[[#This Row],[Net Revenue]]-OrdersTable[[#This Row],[COGS]]-OrdersTable[[#This Row],[Shipping Cost]]</f>
        <v>126.85000000000002</v>
      </c>
      <c r="Z4282" s="78">
        <f>IFERROR(OrdersTable[[#This Row],[Profit]]/OrdersTable[[#This Row],[Net Revenue]],0)</f>
        <v>0.35547148661902767</v>
      </c>
      <c r="AA4282" t="s">
        <v>18</v>
      </c>
      <c r="AB4282" s="79">
        <v>45961</v>
      </c>
      <c r="AC4282">
        <f>OrdersTable[[#This Row],[Delivery Date]]-OrdersTable[[#This Row],[Order Date]]</f>
        <v>1</v>
      </c>
      <c r="AD4282" t="str">
        <f>IF(OrdersTable[[#This Row],[Delivery Days]]&lt;=2, "Express (≤2d)", IF(OrdersTable[[#This Row],[Delivery Days]]&lt;=4, "Standard (3-4d)", "Delayed (5d+)"))</f>
        <v>Express (≤2d)</v>
      </c>
      <c r="AE4282">
        <v>5</v>
      </c>
      <c r="AF4282">
        <v>0</v>
      </c>
    </row>
    <row r="4283" spans="1:32" ht="15" x14ac:dyDescent="0.35">
      <c r="A4283" t="s">
        <v>5256</v>
      </c>
      <c r="B4283" s="1">
        <v>45960</v>
      </c>
      <c r="C4283">
        <f>YEAR(OrdersTable[[#This Row],[Order Date]])</f>
        <v>2025</v>
      </c>
      <c r="D4283" s="2">
        <f>DATE(YEAR(OrdersTable[[#This Row],[Order Date]]),MONTH(OrdersTable[[#This Row],[Order Date]]),1)</f>
        <v>45931</v>
      </c>
      <c r="E4283">
        <f>MONTH(OrdersTable[[#This Row],[Order Date]])</f>
        <v>10</v>
      </c>
      <c r="F4283" t="s">
        <v>384</v>
      </c>
      <c r="G4283" t="str">
        <f>IF(OrdersTable[[#This Row],[Order Date]]=_xlfn.MINIFS(Order_Date, Customer_ID, OrdersTable[[#This Row],[Customer ID]]), "New", "Repeat")</f>
        <v>Repeat</v>
      </c>
      <c r="H4283" t="s">
        <v>128</v>
      </c>
      <c r="I4283" t="str">
        <f>INDEX(State!B:B,MATCH(OrdersTable[[#This Row],[State]],State!A:A,0))</f>
        <v>DL</v>
      </c>
      <c r="J4283" t="str">
        <f>INDEX(State!C:C,MATCH(OrdersTable[[#This Row],[State Code]],State!B:B,0))</f>
        <v>North</v>
      </c>
      <c r="K4283" t="s">
        <v>129</v>
      </c>
      <c r="L4283" t="s">
        <v>39</v>
      </c>
      <c r="M4283" t="s">
        <v>565</v>
      </c>
      <c r="N4283" t="str">
        <f>INDEX(Products!B:B,MATCH(OrdersTable[[#This Row],[Product ID]],Products!A:A,0))</f>
        <v>Ceramic Dinner Set</v>
      </c>
      <c r="O4283" t="str">
        <f>INDEX(Products!C:C,MATCH(OrdersTable[[#This Row],[Product ID]],Products!A:A,0))</f>
        <v>Home &amp; Kitchen</v>
      </c>
      <c r="P4283">
        <v>2</v>
      </c>
      <c r="Q4283" s="5">
        <v>2499</v>
      </c>
      <c r="R4283" s="74">
        <v>0.4</v>
      </c>
      <c r="S4283" s="75">
        <f>OrdersTable[[#This Row],[Quantity]]*OrdersTable[[#This Row],[Unit Price]]</f>
        <v>4998</v>
      </c>
      <c r="T4283" s="5">
        <f>OrdersTable[[#This Row],[Gross Sale]]*OrdersTable[[#This Row],[Discount_Clean2]]</f>
        <v>1999.2</v>
      </c>
      <c r="U4283" s="5">
        <f>OrdersTable[[#This Row],[Gross Sale]]-OrdersTable[[#This Row],[Discount Amount]]</f>
        <v>2998.8</v>
      </c>
      <c r="V4283" s="77">
        <f>INDEX(Products!E:E,MATCH(OrdersTable[[#This Row],[Product ID]],Products!A:A,0))</f>
        <v>1250</v>
      </c>
      <c r="W4283" s="77">
        <f>OrdersTable[[#This Row],[Quantity]]*OrdersTable[[#This Row],[Unit Cost]]</f>
        <v>2500</v>
      </c>
      <c r="X4283" s="77">
        <f>'Dropdown Lists'!$I$2*(1+OrdersTable[[#This Row],[Returned]])</f>
        <v>60</v>
      </c>
      <c r="Y4283" s="76">
        <f>OrdersTable[[#This Row],[Net Revenue]]-OrdersTable[[#This Row],[COGS]]-OrdersTable[[#This Row],[Shipping Cost]]</f>
        <v>438.80000000000018</v>
      </c>
      <c r="Z4283" s="78">
        <f>IFERROR(OrdersTable[[#This Row],[Profit]]/OrdersTable[[#This Row],[Net Revenue]],0)</f>
        <v>0.14632519674536487</v>
      </c>
      <c r="AA4283" t="s">
        <v>3495</v>
      </c>
      <c r="AB4283" s="79">
        <v>45964</v>
      </c>
      <c r="AC4283">
        <f>OrdersTable[[#This Row],[Delivery Date]]-OrdersTable[[#This Row],[Order Date]]</f>
        <v>4</v>
      </c>
      <c r="AD4283" t="str">
        <f>IF(OrdersTable[[#This Row],[Delivery Days]]&lt;=2, "Express (≤2d)", IF(OrdersTable[[#This Row],[Delivery Days]]&lt;=4, "Standard (3-4d)", "Delayed (5d+)"))</f>
        <v>Standard (3-4d)</v>
      </c>
      <c r="AE4283">
        <v>4</v>
      </c>
      <c r="AF4283">
        <v>0</v>
      </c>
    </row>
    <row r="4284" spans="1:32" ht="15" x14ac:dyDescent="0.35">
      <c r="A4284" t="s">
        <v>1795</v>
      </c>
      <c r="B4284" s="1">
        <v>45960</v>
      </c>
      <c r="C4284">
        <f>YEAR(OrdersTable[[#This Row],[Order Date]])</f>
        <v>2025</v>
      </c>
      <c r="D4284" s="2">
        <f>DATE(YEAR(OrdersTable[[#This Row],[Order Date]]),MONTH(OrdersTable[[#This Row],[Order Date]]),1)</f>
        <v>45931</v>
      </c>
      <c r="E4284">
        <f>MONTH(OrdersTable[[#This Row],[Order Date]])</f>
        <v>10</v>
      </c>
      <c r="F4284" t="s">
        <v>1796</v>
      </c>
      <c r="G4284" t="str">
        <f>IF(OrdersTable[[#This Row],[Order Date]]=_xlfn.MINIFS(Order_Date, Customer_ID, OrdersTable[[#This Row],[Customer ID]]), "New", "Repeat")</f>
        <v>Repeat</v>
      </c>
      <c r="H4284" t="s">
        <v>128</v>
      </c>
      <c r="I4284" t="str">
        <f>INDEX(State!B:B,MATCH(OrdersTable[[#This Row],[State]],State!A:A,0))</f>
        <v>DL</v>
      </c>
      <c r="J4284" t="str">
        <f>INDEX(State!C:C,MATCH(OrdersTable[[#This Row],[State Code]],State!B:B,0))</f>
        <v>North</v>
      </c>
      <c r="K4284" t="s">
        <v>129</v>
      </c>
      <c r="L4284" t="s">
        <v>65</v>
      </c>
      <c r="M4284" t="s">
        <v>152</v>
      </c>
      <c r="N4284" t="str">
        <f>INDEX(Products!B:B,MATCH(OrdersTable[[#This Row],[Product ID]],Products!A:A,0))</f>
        <v>Green Tea (100 bags)</v>
      </c>
      <c r="O4284" t="str">
        <f>INDEX(Products!C:C,MATCH(OrdersTable[[#This Row],[Product ID]],Products!A:A,0))</f>
        <v>Wellness</v>
      </c>
      <c r="P4284">
        <v>1</v>
      </c>
      <c r="Q4284" s="5">
        <v>399</v>
      </c>
      <c r="R4284" s="74">
        <v>0.35</v>
      </c>
      <c r="S4284" s="75">
        <f>OrdersTable[[#This Row],[Quantity]]*OrdersTable[[#This Row],[Unit Price]]</f>
        <v>399</v>
      </c>
      <c r="T4284" s="5">
        <f>OrdersTable[[#This Row],[Gross Sale]]*OrdersTable[[#This Row],[Discount_Clean2]]</f>
        <v>139.64999999999998</v>
      </c>
      <c r="U4284" s="5">
        <f>OrdersTable[[#This Row],[Gross Sale]]-OrdersTable[[#This Row],[Discount Amount]]</f>
        <v>259.35000000000002</v>
      </c>
      <c r="V4284" s="77">
        <f>INDEX(Products!E:E,MATCH(OrdersTable[[#This Row],[Product ID]],Products!A:A,0))</f>
        <v>128</v>
      </c>
      <c r="W4284" s="77">
        <f>OrdersTable[[#This Row],[Quantity]]*OrdersTable[[#This Row],[Unit Cost]]</f>
        <v>128</v>
      </c>
      <c r="X4284" s="77">
        <f>'Dropdown Lists'!$I$2*(1+OrdersTable[[#This Row],[Returned]])</f>
        <v>60</v>
      </c>
      <c r="Y4284" s="76">
        <f>OrdersTable[[#This Row],[Net Revenue]]-OrdersTable[[#This Row],[COGS]]-OrdersTable[[#This Row],[Shipping Cost]]</f>
        <v>71.350000000000023</v>
      </c>
      <c r="Z4284" s="78">
        <f>IFERROR(OrdersTable[[#This Row],[Profit]]/OrdersTable[[#This Row],[Net Revenue]],0)</f>
        <v>0.27511085405822255</v>
      </c>
      <c r="AA4284" t="s">
        <v>18</v>
      </c>
      <c r="AB4284" s="79">
        <v>45963</v>
      </c>
      <c r="AC4284">
        <f>OrdersTable[[#This Row],[Delivery Date]]-OrdersTable[[#This Row],[Order Date]]</f>
        <v>3</v>
      </c>
      <c r="AD4284" t="str">
        <f>IF(OrdersTable[[#This Row],[Delivery Days]]&lt;=2, "Express (≤2d)", IF(OrdersTable[[#This Row],[Delivery Days]]&lt;=4, "Standard (3-4d)", "Delayed (5d+)"))</f>
        <v>Standard (3-4d)</v>
      </c>
      <c r="AF4284">
        <v>0</v>
      </c>
    </row>
    <row r="4285" spans="1:32" ht="15" x14ac:dyDescent="0.35">
      <c r="A4285" t="s">
        <v>6222</v>
      </c>
      <c r="B4285" s="1">
        <v>45960</v>
      </c>
      <c r="C4285">
        <f>YEAR(OrdersTable[[#This Row],[Order Date]])</f>
        <v>2025</v>
      </c>
      <c r="D4285" s="2">
        <f>DATE(YEAR(OrdersTable[[#This Row],[Order Date]]),MONTH(OrdersTable[[#This Row],[Order Date]]),1)</f>
        <v>45931</v>
      </c>
      <c r="E4285">
        <f>MONTH(OrdersTable[[#This Row],[Order Date]])</f>
        <v>10</v>
      </c>
      <c r="F4285" t="s">
        <v>1115</v>
      </c>
      <c r="G4285" t="str">
        <f>IF(OrdersTable[[#This Row],[Order Date]]=_xlfn.MINIFS(Order_Date, Customer_ID, OrdersTable[[#This Row],[Customer ID]]), "New", "Repeat")</f>
        <v>Repeat</v>
      </c>
      <c r="H4285" t="s">
        <v>128</v>
      </c>
      <c r="I4285" t="str">
        <f>INDEX(State!B:B,MATCH(OrdersTable[[#This Row],[State]],State!A:A,0))</f>
        <v>DL</v>
      </c>
      <c r="J4285" t="str">
        <f>INDEX(State!C:C,MATCH(OrdersTable[[#This Row],[State Code]],State!B:B,0))</f>
        <v>North</v>
      </c>
      <c r="K4285" t="s">
        <v>129</v>
      </c>
      <c r="L4285" t="s">
        <v>50</v>
      </c>
      <c r="M4285" t="s">
        <v>61</v>
      </c>
      <c r="N4285" t="str">
        <f>INDEX(Products!B:B,MATCH(OrdersTable[[#This Row],[Product ID]],Products!A:A,0))</f>
        <v>Multivitamin Gummies</v>
      </c>
      <c r="O4285" t="str">
        <f>INDEX(Products!C:C,MATCH(OrdersTable[[#This Row],[Product ID]],Products!A:A,0))</f>
        <v>Wellness</v>
      </c>
      <c r="P4285">
        <v>2</v>
      </c>
      <c r="Q4285" s="5">
        <v>699</v>
      </c>
      <c r="R4285" s="74">
        <v>0.4</v>
      </c>
      <c r="S4285" s="75">
        <f>OrdersTable[[#This Row],[Quantity]]*OrdersTable[[#This Row],[Unit Price]]</f>
        <v>1398</v>
      </c>
      <c r="T4285" s="5">
        <f>OrdersTable[[#This Row],[Gross Sale]]*OrdersTable[[#This Row],[Discount_Clean2]]</f>
        <v>559.20000000000005</v>
      </c>
      <c r="U4285" s="5">
        <f>OrdersTable[[#This Row],[Gross Sale]]-OrdersTable[[#This Row],[Discount Amount]]</f>
        <v>838.8</v>
      </c>
      <c r="V4285" s="77">
        <f>INDEX(Products!E:E,MATCH(OrdersTable[[#This Row],[Product ID]],Products!A:A,0))</f>
        <v>238</v>
      </c>
      <c r="W4285" s="77">
        <f>OrdersTable[[#This Row],[Quantity]]*OrdersTable[[#This Row],[Unit Cost]]</f>
        <v>476</v>
      </c>
      <c r="X4285" s="77">
        <f>'Dropdown Lists'!$I$2*(1+OrdersTable[[#This Row],[Returned]])</f>
        <v>120</v>
      </c>
      <c r="Y4285" s="76">
        <f>OrdersTable[[#This Row],[Net Revenue]]-OrdersTable[[#This Row],[COGS]]-OrdersTable[[#This Row],[Shipping Cost]]</f>
        <v>242.79999999999995</v>
      </c>
      <c r="Z4285" s="78">
        <f>IFERROR(OrdersTable[[#This Row],[Profit]]/OrdersTable[[#This Row],[Net Revenue]],0)</f>
        <v>0.28946113495469716</v>
      </c>
      <c r="AA4285" t="s">
        <v>18</v>
      </c>
      <c r="AB4285" s="79">
        <v>45963</v>
      </c>
      <c r="AC4285">
        <f>OrdersTable[[#This Row],[Delivery Date]]-OrdersTable[[#This Row],[Order Date]]</f>
        <v>3</v>
      </c>
      <c r="AD4285" t="str">
        <f>IF(OrdersTable[[#This Row],[Delivery Days]]&lt;=2, "Express (≤2d)", IF(OrdersTable[[#This Row],[Delivery Days]]&lt;=4, "Standard (3-4d)", "Delayed (5d+)"))</f>
        <v>Standard (3-4d)</v>
      </c>
      <c r="AE4285">
        <v>4</v>
      </c>
      <c r="AF4285">
        <v>1</v>
      </c>
    </row>
    <row r="4286" spans="1:32" ht="15" x14ac:dyDescent="0.35">
      <c r="A4286" t="s">
        <v>4874</v>
      </c>
      <c r="B4286" s="1">
        <v>45960</v>
      </c>
      <c r="C4286">
        <f>YEAR(OrdersTable[[#This Row],[Order Date]])</f>
        <v>2025</v>
      </c>
      <c r="D4286" s="2">
        <f>DATE(YEAR(OrdersTable[[#This Row],[Order Date]]),MONTH(OrdersTable[[#This Row],[Order Date]]),1)</f>
        <v>45931</v>
      </c>
      <c r="E4286">
        <f>MONTH(OrdersTable[[#This Row],[Order Date]])</f>
        <v>10</v>
      </c>
      <c r="F4286" t="s">
        <v>723</v>
      </c>
      <c r="G4286" t="str">
        <f>IF(OrdersTable[[#This Row],[Order Date]]=_xlfn.MINIFS(Order_Date, Customer_ID, OrdersTable[[#This Row],[Customer ID]]), "New", "Repeat")</f>
        <v>Repeat</v>
      </c>
      <c r="H4286" t="s">
        <v>76</v>
      </c>
      <c r="I4286" t="str">
        <f>INDEX(State!B:B,MATCH(OrdersTable[[#This Row],[State]],State!A:A,0))</f>
        <v>UP</v>
      </c>
      <c r="J4286" t="str">
        <f>INDEX(State!C:C,MATCH(OrdersTable[[#This Row],[State Code]],State!B:B,0))</f>
        <v>North</v>
      </c>
      <c r="K4286" t="s">
        <v>118</v>
      </c>
      <c r="L4286" t="s">
        <v>39</v>
      </c>
      <c r="M4286" t="s">
        <v>565</v>
      </c>
      <c r="N4286" t="str">
        <f>INDEX(Products!B:B,MATCH(OrdersTable[[#This Row],[Product ID]],Products!A:A,0))</f>
        <v>Ceramic Dinner Set</v>
      </c>
      <c r="O4286" t="str">
        <f>INDEX(Products!C:C,MATCH(OrdersTable[[#This Row],[Product ID]],Products!A:A,0))</f>
        <v>Home &amp; Kitchen</v>
      </c>
      <c r="P4286">
        <v>2</v>
      </c>
      <c r="Q4286" s="5">
        <v>2499</v>
      </c>
      <c r="R4286" s="74">
        <v>0.35</v>
      </c>
      <c r="S4286" s="75">
        <f>OrdersTable[[#This Row],[Quantity]]*OrdersTable[[#This Row],[Unit Price]]</f>
        <v>4998</v>
      </c>
      <c r="T4286" s="5">
        <f>OrdersTable[[#This Row],[Gross Sale]]*OrdersTable[[#This Row],[Discount_Clean2]]</f>
        <v>1749.3</v>
      </c>
      <c r="U4286" s="5">
        <f>OrdersTable[[#This Row],[Gross Sale]]-OrdersTable[[#This Row],[Discount Amount]]</f>
        <v>3248.7</v>
      </c>
      <c r="V4286" s="77">
        <f>INDEX(Products!E:E,MATCH(OrdersTable[[#This Row],[Product ID]],Products!A:A,0))</f>
        <v>1250</v>
      </c>
      <c r="W4286" s="77">
        <f>OrdersTable[[#This Row],[Quantity]]*OrdersTable[[#This Row],[Unit Cost]]</f>
        <v>2500</v>
      </c>
      <c r="X4286" s="77">
        <f>'Dropdown Lists'!$I$2*(1+OrdersTable[[#This Row],[Returned]])</f>
        <v>60</v>
      </c>
      <c r="Y4286" s="76">
        <f>OrdersTable[[#This Row],[Net Revenue]]-OrdersTable[[#This Row],[COGS]]-OrdersTable[[#This Row],[Shipping Cost]]</f>
        <v>688.69999999999982</v>
      </c>
      <c r="Z4286" s="78">
        <f>IFERROR(OrdersTable[[#This Row],[Profit]]/OrdersTable[[#This Row],[Net Revenue]],0)</f>
        <v>0.21199248930341363</v>
      </c>
      <c r="AA4286" t="s">
        <v>4450</v>
      </c>
      <c r="AB4286" s="79">
        <v>45964</v>
      </c>
      <c r="AC4286">
        <f>OrdersTable[[#This Row],[Delivery Date]]-OrdersTable[[#This Row],[Order Date]]</f>
        <v>4</v>
      </c>
      <c r="AD4286" t="str">
        <f>IF(OrdersTable[[#This Row],[Delivery Days]]&lt;=2, "Express (≤2d)", IF(OrdersTable[[#This Row],[Delivery Days]]&lt;=4, "Standard (3-4d)", "Delayed (5d+)"))</f>
        <v>Standard (3-4d)</v>
      </c>
      <c r="AE4286">
        <v>5</v>
      </c>
      <c r="AF4286">
        <v>0</v>
      </c>
    </row>
    <row r="4287" spans="1:32" ht="15" x14ac:dyDescent="0.35">
      <c r="A4287" t="s">
        <v>3936</v>
      </c>
      <c r="B4287" s="1">
        <v>45960</v>
      </c>
      <c r="C4287">
        <f>YEAR(OrdersTable[[#This Row],[Order Date]])</f>
        <v>2025</v>
      </c>
      <c r="D4287" s="2">
        <f>DATE(YEAR(OrdersTable[[#This Row],[Order Date]]),MONTH(OrdersTable[[#This Row],[Order Date]]),1)</f>
        <v>45931</v>
      </c>
      <c r="E4287">
        <f>MONTH(OrdersTable[[#This Row],[Order Date]])</f>
        <v>10</v>
      </c>
      <c r="F4287" t="s">
        <v>1854</v>
      </c>
      <c r="G4287" t="str">
        <f>IF(OrdersTable[[#This Row],[Order Date]]=_xlfn.MINIFS(Order_Date, Customer_ID, OrdersTable[[#This Row],[Customer ID]]), "New", "Repeat")</f>
        <v>Repeat</v>
      </c>
      <c r="H4287" t="s">
        <v>37</v>
      </c>
      <c r="I4287" t="str">
        <f>INDEX(State!B:B,MATCH(OrdersTable[[#This Row],[State]],State!A:A,0))</f>
        <v>GJ</v>
      </c>
      <c r="J4287" t="str">
        <f>INDEX(State!C:C,MATCH(OrdersTable[[#This Row],[State Code]],State!B:B,0))</f>
        <v>West</v>
      </c>
      <c r="K4287" t="s">
        <v>38</v>
      </c>
      <c r="L4287" t="s">
        <v>65</v>
      </c>
      <c r="M4287" t="s">
        <v>205</v>
      </c>
      <c r="N4287" t="str">
        <f>INDEX(Products!B:B,MATCH(OrdersTable[[#This Row],[Product ID]],Products!A:A,0))</f>
        <v>Running Shoes</v>
      </c>
      <c r="O4287" t="str">
        <f>INDEX(Products!C:C,MATCH(OrdersTable[[#This Row],[Product ID]],Products!A:A,0))</f>
        <v>Footwear</v>
      </c>
      <c r="P4287">
        <v>1</v>
      </c>
      <c r="Q4287" s="5">
        <v>2999</v>
      </c>
      <c r="R4287" s="74">
        <v>0.25</v>
      </c>
      <c r="S4287" s="75">
        <f>OrdersTable[[#This Row],[Quantity]]*OrdersTable[[#This Row],[Unit Price]]</f>
        <v>2999</v>
      </c>
      <c r="T4287" s="5">
        <f>OrdersTable[[#This Row],[Gross Sale]]*OrdersTable[[#This Row],[Discount_Clean2]]</f>
        <v>749.75</v>
      </c>
      <c r="U4287" s="5">
        <f>OrdersTable[[#This Row],[Gross Sale]]-OrdersTable[[#This Row],[Discount Amount]]</f>
        <v>2249.25</v>
      </c>
      <c r="V4287" s="77">
        <f>INDEX(Products!E:E,MATCH(OrdersTable[[#This Row],[Product ID]],Products!A:A,0))</f>
        <v>1440</v>
      </c>
      <c r="W4287" s="77">
        <f>OrdersTable[[#This Row],[Quantity]]*OrdersTable[[#This Row],[Unit Cost]]</f>
        <v>1440</v>
      </c>
      <c r="X4287" s="77">
        <f>'Dropdown Lists'!$I$2*(1+OrdersTable[[#This Row],[Returned]])</f>
        <v>120</v>
      </c>
      <c r="Y4287" s="76">
        <f>OrdersTable[[#This Row],[Net Revenue]]-OrdersTable[[#This Row],[COGS]]-OrdersTable[[#This Row],[Shipping Cost]]</f>
        <v>689.25</v>
      </c>
      <c r="Z4287" s="78">
        <f>IFERROR(OrdersTable[[#This Row],[Profit]]/OrdersTable[[#This Row],[Net Revenue]],0)</f>
        <v>0.30643547849283093</v>
      </c>
      <c r="AA4287" t="s">
        <v>3495</v>
      </c>
      <c r="AB4287" s="79">
        <v>45963</v>
      </c>
      <c r="AC4287">
        <f>OrdersTable[[#This Row],[Delivery Date]]-OrdersTable[[#This Row],[Order Date]]</f>
        <v>3</v>
      </c>
      <c r="AD4287" t="str">
        <f>IF(OrdersTable[[#This Row],[Delivery Days]]&lt;=2, "Express (≤2d)", IF(OrdersTable[[#This Row],[Delivery Days]]&lt;=4, "Standard (3-4d)", "Delayed (5d+)"))</f>
        <v>Standard (3-4d)</v>
      </c>
      <c r="AE4287">
        <v>3</v>
      </c>
      <c r="AF4287">
        <v>1</v>
      </c>
    </row>
    <row r="4288" spans="1:32" ht="15" x14ac:dyDescent="0.35">
      <c r="A4288" t="s">
        <v>6641</v>
      </c>
      <c r="B4288" s="1">
        <v>45960</v>
      </c>
      <c r="C4288">
        <f>YEAR(OrdersTable[[#This Row],[Order Date]])</f>
        <v>2025</v>
      </c>
      <c r="D4288" s="2">
        <f>DATE(YEAR(OrdersTable[[#This Row],[Order Date]]),MONTH(OrdersTable[[#This Row],[Order Date]]),1)</f>
        <v>45931</v>
      </c>
      <c r="E4288">
        <f>MONTH(OrdersTable[[#This Row],[Order Date]])</f>
        <v>10</v>
      </c>
      <c r="F4288" t="s">
        <v>6642</v>
      </c>
      <c r="G4288" t="str">
        <f>IF(OrdersTable[[#This Row],[Order Date]]=_xlfn.MINIFS(Order_Date, Customer_ID, OrdersTable[[#This Row],[Customer ID]]), "New", "Repeat")</f>
        <v>New</v>
      </c>
      <c r="H4288" t="s">
        <v>37</v>
      </c>
      <c r="I4288" t="str">
        <f>INDEX(State!B:B,MATCH(OrdersTable[[#This Row],[State]],State!A:A,0))</f>
        <v>GJ</v>
      </c>
      <c r="J4288" t="str">
        <f>INDEX(State!C:C,MATCH(OrdersTable[[#This Row],[State Code]],State!B:B,0))</f>
        <v>West</v>
      </c>
      <c r="K4288" t="s">
        <v>247</v>
      </c>
      <c r="L4288" t="s">
        <v>23</v>
      </c>
      <c r="M4288" t="s">
        <v>61</v>
      </c>
      <c r="N4288" t="str">
        <f>INDEX(Products!B:B,MATCH(OrdersTable[[#This Row],[Product ID]],Products!A:A,0))</f>
        <v>Multivitamin Gummies</v>
      </c>
      <c r="O4288" t="str">
        <f>INDEX(Products!C:C,MATCH(OrdersTable[[#This Row],[Product ID]],Products!A:A,0))</f>
        <v>Wellness</v>
      </c>
      <c r="P4288">
        <v>3</v>
      </c>
      <c r="Q4288" s="5">
        <v>699</v>
      </c>
      <c r="R4288" s="74">
        <v>0.45</v>
      </c>
      <c r="S4288" s="75">
        <f>OrdersTable[[#This Row],[Quantity]]*OrdersTable[[#This Row],[Unit Price]]</f>
        <v>2097</v>
      </c>
      <c r="T4288" s="5">
        <f>OrdersTable[[#This Row],[Gross Sale]]*OrdersTable[[#This Row],[Discount_Clean2]]</f>
        <v>943.65</v>
      </c>
      <c r="U4288" s="5">
        <f>OrdersTable[[#This Row],[Gross Sale]]-OrdersTable[[#This Row],[Discount Amount]]</f>
        <v>1153.3499999999999</v>
      </c>
      <c r="V4288" s="77">
        <f>INDEX(Products!E:E,MATCH(OrdersTable[[#This Row],[Product ID]],Products!A:A,0))</f>
        <v>238</v>
      </c>
      <c r="W4288" s="77">
        <f>OrdersTable[[#This Row],[Quantity]]*OrdersTable[[#This Row],[Unit Cost]]</f>
        <v>714</v>
      </c>
      <c r="X4288" s="77">
        <f>'Dropdown Lists'!$I$2*(1+OrdersTable[[#This Row],[Returned]])</f>
        <v>60</v>
      </c>
      <c r="Y4288" s="76">
        <f>OrdersTable[[#This Row],[Net Revenue]]-OrdersTable[[#This Row],[COGS]]-OrdersTable[[#This Row],[Shipping Cost]]</f>
        <v>379.34999999999991</v>
      </c>
      <c r="Z4288" s="78">
        <f>IFERROR(OrdersTable[[#This Row],[Profit]]/OrdersTable[[#This Row],[Net Revenue]],0)</f>
        <v>0.3289114319157237</v>
      </c>
      <c r="AA4288" t="s">
        <v>18</v>
      </c>
      <c r="AB4288" s="79">
        <v>45963</v>
      </c>
      <c r="AC4288">
        <f>OrdersTable[[#This Row],[Delivery Date]]-OrdersTable[[#This Row],[Order Date]]</f>
        <v>3</v>
      </c>
      <c r="AD4288" t="str">
        <f>IF(OrdersTable[[#This Row],[Delivery Days]]&lt;=2, "Express (≤2d)", IF(OrdersTable[[#This Row],[Delivery Days]]&lt;=4, "Standard (3-4d)", "Delayed (5d+)"))</f>
        <v>Standard (3-4d)</v>
      </c>
      <c r="AF4288">
        <v>0</v>
      </c>
    </row>
    <row r="4289" spans="1:32" ht="15" x14ac:dyDescent="0.35">
      <c r="A4289" t="s">
        <v>1446</v>
      </c>
      <c r="B4289" s="1">
        <v>45960</v>
      </c>
      <c r="C4289">
        <f>YEAR(OrdersTable[[#This Row],[Order Date]])</f>
        <v>2025</v>
      </c>
      <c r="D4289" s="2">
        <f>DATE(YEAR(OrdersTable[[#This Row],[Order Date]]),MONTH(OrdersTable[[#This Row],[Order Date]]),1)</f>
        <v>45931</v>
      </c>
      <c r="E4289">
        <f>MONTH(OrdersTable[[#This Row],[Order Date]])</f>
        <v>10</v>
      </c>
      <c r="F4289" t="s">
        <v>1447</v>
      </c>
      <c r="G4289" t="str">
        <f>IF(OrdersTable[[#This Row],[Order Date]]=_xlfn.MINIFS(Order_Date, Customer_ID, OrdersTable[[#This Row],[Customer ID]]), "New", "Repeat")</f>
        <v>New</v>
      </c>
      <c r="H4289" t="s">
        <v>37</v>
      </c>
      <c r="I4289" t="str">
        <f>INDEX(State!B:B,MATCH(OrdersTable[[#This Row],[State]],State!A:A,0))</f>
        <v>GJ</v>
      </c>
      <c r="J4289" t="str">
        <f>INDEX(State!C:C,MATCH(OrdersTable[[#This Row],[State Code]],State!B:B,0))</f>
        <v>West</v>
      </c>
      <c r="K4289" t="s">
        <v>38</v>
      </c>
      <c r="L4289" t="s">
        <v>23</v>
      </c>
      <c r="M4289" t="s">
        <v>61</v>
      </c>
      <c r="N4289" t="str">
        <f>INDEX(Products!B:B,MATCH(OrdersTable[[#This Row],[Product ID]],Products!A:A,0))</f>
        <v>Multivitamin Gummies</v>
      </c>
      <c r="O4289" t="str">
        <f>INDEX(Products!C:C,MATCH(OrdersTable[[#This Row],[Product ID]],Products!A:A,0))</f>
        <v>Wellness</v>
      </c>
      <c r="P4289">
        <v>1</v>
      </c>
      <c r="Q4289" s="5">
        <v>699</v>
      </c>
      <c r="R4289" s="74">
        <v>0.25</v>
      </c>
      <c r="S4289" s="75">
        <f>OrdersTable[[#This Row],[Quantity]]*OrdersTable[[#This Row],[Unit Price]]</f>
        <v>699</v>
      </c>
      <c r="T4289" s="5">
        <f>OrdersTable[[#This Row],[Gross Sale]]*OrdersTable[[#This Row],[Discount_Clean2]]</f>
        <v>174.75</v>
      </c>
      <c r="U4289" s="5">
        <f>OrdersTable[[#This Row],[Gross Sale]]-OrdersTable[[#This Row],[Discount Amount]]</f>
        <v>524.25</v>
      </c>
      <c r="V4289" s="77">
        <f>INDEX(Products!E:E,MATCH(OrdersTable[[#This Row],[Product ID]],Products!A:A,0))</f>
        <v>238</v>
      </c>
      <c r="W4289" s="77">
        <f>OrdersTable[[#This Row],[Quantity]]*OrdersTable[[#This Row],[Unit Cost]]</f>
        <v>238</v>
      </c>
      <c r="X4289" s="77">
        <f>'Dropdown Lists'!$I$2*(1+OrdersTable[[#This Row],[Returned]])</f>
        <v>60</v>
      </c>
      <c r="Y4289" s="76">
        <f>OrdersTable[[#This Row],[Net Revenue]]-OrdersTable[[#This Row],[COGS]]-OrdersTable[[#This Row],[Shipping Cost]]</f>
        <v>226.25</v>
      </c>
      <c r="Z4289" s="78">
        <f>IFERROR(OrdersTable[[#This Row],[Profit]]/OrdersTable[[#This Row],[Net Revenue]],0)</f>
        <v>0.43156890796375774</v>
      </c>
      <c r="AA4289" t="s">
        <v>18</v>
      </c>
      <c r="AB4289" s="79">
        <v>45963</v>
      </c>
      <c r="AC4289">
        <f>OrdersTable[[#This Row],[Delivery Date]]-OrdersTable[[#This Row],[Order Date]]</f>
        <v>3</v>
      </c>
      <c r="AD4289" t="str">
        <f>IF(OrdersTable[[#This Row],[Delivery Days]]&lt;=2, "Express (≤2d)", IF(OrdersTable[[#This Row],[Delivery Days]]&lt;=4, "Standard (3-4d)", "Delayed (5d+)"))</f>
        <v>Standard (3-4d)</v>
      </c>
      <c r="AF4289">
        <v>0</v>
      </c>
    </row>
    <row r="4290" spans="1:32" ht="15" x14ac:dyDescent="0.35">
      <c r="A4290" t="s">
        <v>5257</v>
      </c>
      <c r="B4290" s="1">
        <v>45960</v>
      </c>
      <c r="C4290">
        <f>YEAR(OrdersTable[[#This Row],[Order Date]])</f>
        <v>2025</v>
      </c>
      <c r="D4290" s="2">
        <f>DATE(YEAR(OrdersTable[[#This Row],[Order Date]]),MONTH(OrdersTable[[#This Row],[Order Date]]),1)</f>
        <v>45931</v>
      </c>
      <c r="E4290">
        <f>MONTH(OrdersTable[[#This Row],[Order Date]])</f>
        <v>10</v>
      </c>
      <c r="F4290" t="s">
        <v>1052</v>
      </c>
      <c r="G4290" t="str">
        <f>IF(OrdersTable[[#This Row],[Order Date]]=_xlfn.MINIFS(Order_Date, Customer_ID, OrdersTable[[#This Row],[Customer ID]]), "New", "Repeat")</f>
        <v>Repeat</v>
      </c>
      <c r="H4290" t="s">
        <v>43</v>
      </c>
      <c r="I4290" t="str">
        <f>INDEX(State!B:B,MATCH(OrdersTable[[#This Row],[State]],State!A:A,0))</f>
        <v>MP</v>
      </c>
      <c r="J4290" t="str">
        <f>INDEX(State!C:C,MATCH(OrdersTable[[#This Row],[State Code]],State!B:B,0))</f>
        <v>West</v>
      </c>
      <c r="K4290" t="s">
        <v>250</v>
      </c>
      <c r="L4290" t="s">
        <v>50</v>
      </c>
      <c r="M4290" t="s">
        <v>106</v>
      </c>
      <c r="N4290" t="str">
        <f>INDEX(Products!B:B,MATCH(OrdersTable[[#This Row],[Product ID]],Products!A:A,0))</f>
        <v>Keratin Hair Mask</v>
      </c>
      <c r="O4290" t="str">
        <f>INDEX(Products!C:C,MATCH(OrdersTable[[#This Row],[Product ID]],Products!A:A,0))</f>
        <v>Haircare</v>
      </c>
      <c r="P4290">
        <v>2</v>
      </c>
      <c r="Q4290" s="5">
        <v>549</v>
      </c>
      <c r="R4290" s="74">
        <v>0.3</v>
      </c>
      <c r="S4290" s="75">
        <f>OrdersTable[[#This Row],[Quantity]]*OrdersTable[[#This Row],[Unit Price]]</f>
        <v>1098</v>
      </c>
      <c r="T4290" s="5">
        <f>OrdersTable[[#This Row],[Gross Sale]]*OrdersTable[[#This Row],[Discount_Clean2]]</f>
        <v>329.4</v>
      </c>
      <c r="U4290" s="5">
        <f>OrdersTable[[#This Row],[Gross Sale]]-OrdersTable[[#This Row],[Discount Amount]]</f>
        <v>768.6</v>
      </c>
      <c r="V4290" s="77">
        <f>INDEX(Products!E:E,MATCH(OrdersTable[[#This Row],[Product ID]],Products!A:A,0))</f>
        <v>170</v>
      </c>
      <c r="W4290" s="77">
        <f>OrdersTable[[#This Row],[Quantity]]*OrdersTable[[#This Row],[Unit Cost]]</f>
        <v>340</v>
      </c>
      <c r="X4290" s="77">
        <f>'Dropdown Lists'!$I$2*(1+OrdersTable[[#This Row],[Returned]])</f>
        <v>60</v>
      </c>
      <c r="Y4290" s="76">
        <f>OrdersTable[[#This Row],[Net Revenue]]-OrdersTable[[#This Row],[COGS]]-OrdersTable[[#This Row],[Shipping Cost]]</f>
        <v>368.6</v>
      </c>
      <c r="Z4290" s="78">
        <f>IFERROR(OrdersTable[[#This Row],[Profit]]/OrdersTable[[#This Row],[Net Revenue]],0)</f>
        <v>0.47957325006505336</v>
      </c>
      <c r="AA4290" t="s">
        <v>3495</v>
      </c>
      <c r="AB4290" s="79">
        <v>45965</v>
      </c>
      <c r="AC4290">
        <f>OrdersTable[[#This Row],[Delivery Date]]-OrdersTable[[#This Row],[Order Date]]</f>
        <v>5</v>
      </c>
      <c r="AD4290" t="str">
        <f>IF(OrdersTable[[#This Row],[Delivery Days]]&lt;=2, "Express (≤2d)", IF(OrdersTable[[#This Row],[Delivery Days]]&lt;=4, "Standard (3-4d)", "Delayed (5d+)"))</f>
        <v>Delayed (5d+)</v>
      </c>
      <c r="AE4290">
        <v>4</v>
      </c>
      <c r="AF4290">
        <v>0</v>
      </c>
    </row>
    <row r="4291" spans="1:32" ht="15" x14ac:dyDescent="0.35">
      <c r="A4291" t="s">
        <v>5552</v>
      </c>
      <c r="B4291" s="1">
        <v>45960</v>
      </c>
      <c r="C4291">
        <f>YEAR(OrdersTable[[#This Row],[Order Date]])</f>
        <v>2025</v>
      </c>
      <c r="D4291" s="2">
        <f>DATE(YEAR(OrdersTable[[#This Row],[Order Date]]),MONTH(OrdersTable[[#This Row],[Order Date]]),1)</f>
        <v>45931</v>
      </c>
      <c r="E4291">
        <f>MONTH(OrdersTable[[#This Row],[Order Date]])</f>
        <v>10</v>
      </c>
      <c r="F4291" t="s">
        <v>5113</v>
      </c>
      <c r="G4291" t="str">
        <f>IF(OrdersTable[[#This Row],[Order Date]]=_xlfn.MINIFS(Order_Date, Customer_ID, OrdersTable[[#This Row],[Customer ID]]), "New", "Repeat")</f>
        <v>Repeat</v>
      </c>
      <c r="H4291" t="s">
        <v>71</v>
      </c>
      <c r="I4291" t="str">
        <f>INDEX(State!B:B,MATCH(OrdersTable[[#This Row],[State]],State!A:A,0))</f>
        <v>MH</v>
      </c>
      <c r="J4291" t="str">
        <f>INDEX(State!C:C,MATCH(OrdersTable[[#This Row],[State Code]],State!B:B,0))</f>
        <v>West</v>
      </c>
      <c r="K4291" t="s">
        <v>72</v>
      </c>
      <c r="L4291" t="s">
        <v>23</v>
      </c>
      <c r="M4291" t="s">
        <v>56</v>
      </c>
      <c r="N4291" t="str">
        <f>INDEX(Products!B:B,MATCH(OrdersTable[[#This Row],[Product ID]],Products!A:A,0))</f>
        <v>Vitamin C Face Serum</v>
      </c>
      <c r="O4291" t="str">
        <f>INDEX(Products!C:C,MATCH(OrdersTable[[#This Row],[Product ID]],Products!A:A,0))</f>
        <v>Skincare</v>
      </c>
      <c r="P4291">
        <v>2</v>
      </c>
      <c r="Q4291" s="5">
        <v>599</v>
      </c>
      <c r="R4291" s="74">
        <v>0.4</v>
      </c>
      <c r="S4291" s="75">
        <f>OrdersTable[[#This Row],[Quantity]]*OrdersTable[[#This Row],[Unit Price]]</f>
        <v>1198</v>
      </c>
      <c r="T4291" s="5">
        <f>OrdersTable[[#This Row],[Gross Sale]]*OrdersTable[[#This Row],[Discount_Clean2]]</f>
        <v>479.20000000000005</v>
      </c>
      <c r="U4291" s="5">
        <f>OrdersTable[[#This Row],[Gross Sale]]-OrdersTable[[#This Row],[Discount Amount]]</f>
        <v>718.8</v>
      </c>
      <c r="V4291" s="77">
        <f>INDEX(Products!E:E,MATCH(OrdersTable[[#This Row],[Product ID]],Products!A:A,0))</f>
        <v>180</v>
      </c>
      <c r="W4291" s="77">
        <f>OrdersTable[[#This Row],[Quantity]]*OrdersTable[[#This Row],[Unit Cost]]</f>
        <v>360</v>
      </c>
      <c r="X4291" s="77">
        <f>'Dropdown Lists'!$I$2*(1+OrdersTable[[#This Row],[Returned]])</f>
        <v>120</v>
      </c>
      <c r="Y4291" s="76">
        <f>OrdersTable[[#This Row],[Net Revenue]]-OrdersTable[[#This Row],[COGS]]-OrdersTable[[#This Row],[Shipping Cost]]</f>
        <v>238.79999999999995</v>
      </c>
      <c r="Z4291" s="78">
        <f>IFERROR(OrdersTable[[#This Row],[Profit]]/OrdersTable[[#This Row],[Net Revenue]],0)</f>
        <v>0.33222036727879795</v>
      </c>
      <c r="AA4291" t="s">
        <v>2522</v>
      </c>
      <c r="AB4291" s="79">
        <v>45963</v>
      </c>
      <c r="AC4291">
        <f>OrdersTable[[#This Row],[Delivery Date]]-OrdersTable[[#This Row],[Order Date]]</f>
        <v>3</v>
      </c>
      <c r="AD4291" t="str">
        <f>IF(OrdersTable[[#This Row],[Delivery Days]]&lt;=2, "Express (≤2d)", IF(OrdersTable[[#This Row],[Delivery Days]]&lt;=4, "Standard (3-4d)", "Delayed (5d+)"))</f>
        <v>Standard (3-4d)</v>
      </c>
      <c r="AE4291">
        <v>4</v>
      </c>
      <c r="AF4291">
        <v>1</v>
      </c>
    </row>
    <row r="4292" spans="1:32" ht="15" x14ac:dyDescent="0.35">
      <c r="A4292" t="s">
        <v>4875</v>
      </c>
      <c r="B4292" s="1">
        <v>45960</v>
      </c>
      <c r="C4292">
        <f>YEAR(OrdersTable[[#This Row],[Order Date]])</f>
        <v>2025</v>
      </c>
      <c r="D4292" s="2">
        <f>DATE(YEAR(OrdersTable[[#This Row],[Order Date]]),MONTH(OrdersTable[[#This Row],[Order Date]]),1)</f>
        <v>45931</v>
      </c>
      <c r="E4292">
        <f>MONTH(OrdersTable[[#This Row],[Order Date]])</f>
        <v>10</v>
      </c>
      <c r="F4292" t="s">
        <v>2744</v>
      </c>
      <c r="G4292" t="str">
        <f>IF(OrdersTable[[#This Row],[Order Date]]=_xlfn.MINIFS(Order_Date, Customer_ID, OrdersTable[[#This Row],[Customer ID]]), "New", "Repeat")</f>
        <v>Repeat</v>
      </c>
      <c r="H4292" t="s">
        <v>167</v>
      </c>
      <c r="I4292" t="str">
        <f>INDEX(State!B:B,MATCH(OrdersTable[[#This Row],[State]],State!A:A,0))</f>
        <v>KA</v>
      </c>
      <c r="J4292" t="str">
        <f>INDEX(State!C:C,MATCH(OrdersTable[[#This Row],[State Code]],State!B:B,0))</f>
        <v>South</v>
      </c>
      <c r="K4292" t="s">
        <v>168</v>
      </c>
      <c r="L4292" t="s">
        <v>39</v>
      </c>
      <c r="M4292" t="s">
        <v>205</v>
      </c>
      <c r="N4292" t="str">
        <f>INDEX(Products!B:B,MATCH(OrdersTable[[#This Row],[Product ID]],Products!A:A,0))</f>
        <v>Running Shoes</v>
      </c>
      <c r="O4292" t="str">
        <f>INDEX(Products!C:C,MATCH(OrdersTable[[#This Row],[Product ID]],Products!A:A,0))</f>
        <v>Footwear</v>
      </c>
      <c r="P4292">
        <v>2</v>
      </c>
      <c r="Q4292" s="5">
        <v>2999</v>
      </c>
      <c r="R4292" s="74">
        <v>0.25</v>
      </c>
      <c r="S4292" s="75">
        <f>OrdersTable[[#This Row],[Quantity]]*OrdersTable[[#This Row],[Unit Price]]</f>
        <v>5998</v>
      </c>
      <c r="T4292" s="5">
        <f>OrdersTable[[#This Row],[Gross Sale]]*OrdersTable[[#This Row],[Discount_Clean2]]</f>
        <v>1499.5</v>
      </c>
      <c r="U4292" s="5">
        <f>OrdersTable[[#This Row],[Gross Sale]]-OrdersTable[[#This Row],[Discount Amount]]</f>
        <v>4498.5</v>
      </c>
      <c r="V4292" s="77">
        <f>INDEX(Products!E:E,MATCH(OrdersTable[[#This Row],[Product ID]],Products!A:A,0))</f>
        <v>1440</v>
      </c>
      <c r="W4292" s="77">
        <f>OrdersTable[[#This Row],[Quantity]]*OrdersTable[[#This Row],[Unit Cost]]</f>
        <v>2880</v>
      </c>
      <c r="X4292" s="77">
        <f>'Dropdown Lists'!$I$2*(1+OrdersTable[[#This Row],[Returned]])</f>
        <v>60</v>
      </c>
      <c r="Y4292" s="76">
        <f>OrdersTable[[#This Row],[Net Revenue]]-OrdersTable[[#This Row],[COGS]]-OrdersTable[[#This Row],[Shipping Cost]]</f>
        <v>1558.5</v>
      </c>
      <c r="Z4292" s="78">
        <f>IFERROR(OrdersTable[[#This Row],[Profit]]/OrdersTable[[#This Row],[Net Revenue]],0)</f>
        <v>0.34644881627209068</v>
      </c>
      <c r="AA4292" t="s">
        <v>4450</v>
      </c>
      <c r="AB4292" s="79">
        <v>45964</v>
      </c>
      <c r="AC4292">
        <f>OrdersTable[[#This Row],[Delivery Date]]-OrdersTable[[#This Row],[Order Date]]</f>
        <v>4</v>
      </c>
      <c r="AD4292" t="str">
        <f>IF(OrdersTable[[#This Row],[Delivery Days]]&lt;=2, "Express (≤2d)", IF(OrdersTable[[#This Row],[Delivery Days]]&lt;=4, "Standard (3-4d)", "Delayed (5d+)"))</f>
        <v>Standard (3-4d)</v>
      </c>
      <c r="AE4292">
        <v>4</v>
      </c>
      <c r="AF4292">
        <v>0</v>
      </c>
    </row>
    <row r="4293" spans="1:32" ht="15" x14ac:dyDescent="0.35">
      <c r="A4293" t="s">
        <v>4876</v>
      </c>
      <c r="B4293" s="1">
        <v>45960</v>
      </c>
      <c r="C4293">
        <f>YEAR(OrdersTable[[#This Row],[Order Date]])</f>
        <v>2025</v>
      </c>
      <c r="D4293" s="2">
        <f>DATE(YEAR(OrdersTable[[#This Row],[Order Date]]),MONTH(OrdersTable[[#This Row],[Order Date]]),1)</f>
        <v>45931</v>
      </c>
      <c r="E4293">
        <f>MONTH(OrdersTable[[#This Row],[Order Date]])</f>
        <v>10</v>
      </c>
      <c r="F4293" t="s">
        <v>1671</v>
      </c>
      <c r="G4293" t="str">
        <f>IF(OrdersTable[[#This Row],[Order Date]]=_xlfn.MINIFS(Order_Date, Customer_ID, OrdersTable[[#This Row],[Customer ID]]), "New", "Repeat")</f>
        <v>Repeat</v>
      </c>
      <c r="H4293" t="s">
        <v>59</v>
      </c>
      <c r="I4293" t="str">
        <f>INDEX(State!B:B,MATCH(OrdersTable[[#This Row],[State]],State!A:A,0))</f>
        <v>TN</v>
      </c>
      <c r="J4293" t="str">
        <f>INDEX(State!C:C,MATCH(OrdersTable[[#This Row],[State Code]],State!B:B,0))</f>
        <v>South</v>
      </c>
      <c r="K4293" t="s">
        <v>60</v>
      </c>
      <c r="L4293" t="s">
        <v>23</v>
      </c>
      <c r="M4293" t="s">
        <v>29</v>
      </c>
      <c r="N4293" t="str">
        <f>INDEX(Products!B:B,MATCH(OrdersTable[[#This Row],[Product ID]],Products!A:A,0))</f>
        <v>Joggers</v>
      </c>
      <c r="O4293" t="str">
        <f>INDEX(Products!C:C,MATCH(OrdersTable[[#This Row],[Product ID]],Products!A:A,0))</f>
        <v>Apparel</v>
      </c>
      <c r="P4293">
        <v>2</v>
      </c>
      <c r="Q4293" s="5">
        <v>1199</v>
      </c>
      <c r="R4293" s="74">
        <v>0.15</v>
      </c>
      <c r="S4293" s="75">
        <f>OrdersTable[[#This Row],[Quantity]]*OrdersTable[[#This Row],[Unit Price]]</f>
        <v>2398</v>
      </c>
      <c r="T4293" s="5">
        <f>OrdersTable[[#This Row],[Gross Sale]]*OrdersTable[[#This Row],[Discount_Clean2]]</f>
        <v>359.7</v>
      </c>
      <c r="U4293" s="5">
        <f>OrdersTable[[#This Row],[Gross Sale]]-OrdersTable[[#This Row],[Discount Amount]]</f>
        <v>2038.3</v>
      </c>
      <c r="V4293" s="77">
        <f>INDEX(Products!E:E,MATCH(OrdersTable[[#This Row],[Product ID]],Products!A:A,0))</f>
        <v>492</v>
      </c>
      <c r="W4293" s="77">
        <f>OrdersTable[[#This Row],[Quantity]]*OrdersTable[[#This Row],[Unit Cost]]</f>
        <v>984</v>
      </c>
      <c r="X4293" s="77">
        <f>'Dropdown Lists'!$I$2*(1+OrdersTable[[#This Row],[Returned]])</f>
        <v>120</v>
      </c>
      <c r="Y4293" s="76">
        <f>OrdersTable[[#This Row],[Net Revenue]]-OrdersTable[[#This Row],[COGS]]-OrdersTable[[#This Row],[Shipping Cost]]</f>
        <v>934.3</v>
      </c>
      <c r="Z4293" s="78">
        <f>IFERROR(OrdersTable[[#This Row],[Profit]]/OrdersTable[[#This Row],[Net Revenue]],0)</f>
        <v>0.45837217288917231</v>
      </c>
      <c r="AA4293" t="s">
        <v>4450</v>
      </c>
      <c r="AB4293" s="79">
        <v>45962</v>
      </c>
      <c r="AC4293">
        <f>OrdersTable[[#This Row],[Delivery Date]]-OrdersTable[[#This Row],[Order Date]]</f>
        <v>2</v>
      </c>
      <c r="AD4293" t="str">
        <f>IF(OrdersTable[[#This Row],[Delivery Days]]&lt;=2, "Express (≤2d)", IF(OrdersTable[[#This Row],[Delivery Days]]&lt;=4, "Standard (3-4d)", "Delayed (5d+)"))</f>
        <v>Express (≤2d)</v>
      </c>
      <c r="AE4293">
        <v>5</v>
      </c>
      <c r="AF4293">
        <v>1</v>
      </c>
    </row>
    <row r="4294" spans="1:32" ht="15" x14ac:dyDescent="0.35">
      <c r="A4294" t="s">
        <v>3819</v>
      </c>
      <c r="B4294" s="1">
        <v>45961</v>
      </c>
      <c r="C4294">
        <f>YEAR(OrdersTable[[#This Row],[Order Date]])</f>
        <v>2025</v>
      </c>
      <c r="D4294" s="2">
        <f>DATE(YEAR(OrdersTable[[#This Row],[Order Date]]),MONTH(OrdersTable[[#This Row],[Order Date]]),1)</f>
        <v>45931</v>
      </c>
      <c r="E4294">
        <f>MONTH(OrdersTable[[#This Row],[Order Date]])</f>
        <v>10</v>
      </c>
      <c r="F4294" t="s">
        <v>2771</v>
      </c>
      <c r="G4294" t="str">
        <f>IF(OrdersTable[[#This Row],[Order Date]]=_xlfn.MINIFS(Order_Date, Customer_ID, OrdersTable[[#This Row],[Customer ID]]), "New", "Repeat")</f>
        <v>Repeat</v>
      </c>
      <c r="H4294" t="s">
        <v>128</v>
      </c>
      <c r="I4294" t="str">
        <f>INDEX(State!B:B,MATCH(OrdersTable[[#This Row],[State]],State!A:A,0))</f>
        <v>DL</v>
      </c>
      <c r="J4294" t="str">
        <f>INDEX(State!C:C,MATCH(OrdersTable[[#This Row],[State Code]],State!B:B,0))</f>
        <v>North</v>
      </c>
      <c r="K4294" t="s">
        <v>129</v>
      </c>
      <c r="L4294" t="s">
        <v>23</v>
      </c>
      <c r="M4294" t="s">
        <v>109</v>
      </c>
      <c r="N4294" t="str">
        <f>INDEX(Products!B:B,MATCH(OrdersTable[[#This Row],[Product ID]],Products!A:A,0))</f>
        <v>Onion Hair Oil</v>
      </c>
      <c r="O4294" t="str">
        <f>INDEX(Products!C:C,MATCH(OrdersTable[[#This Row],[Product ID]],Products!A:A,0))</f>
        <v>Haircare</v>
      </c>
      <c r="P4294">
        <v>1</v>
      </c>
      <c r="Q4294" s="5">
        <v>349</v>
      </c>
      <c r="R4294" s="74">
        <v>0.45</v>
      </c>
      <c r="S4294" s="75">
        <f>OrdersTable[[#This Row],[Quantity]]*OrdersTable[[#This Row],[Unit Price]]</f>
        <v>349</v>
      </c>
      <c r="T4294" s="5">
        <f>OrdersTable[[#This Row],[Gross Sale]]*OrdersTable[[#This Row],[Discount_Clean2]]</f>
        <v>157.05000000000001</v>
      </c>
      <c r="U4294" s="5">
        <f>OrdersTable[[#This Row],[Gross Sale]]-OrdersTable[[#This Row],[Discount Amount]]</f>
        <v>191.95</v>
      </c>
      <c r="V4294" s="77">
        <f>INDEX(Products!E:E,MATCH(OrdersTable[[#This Row],[Product ID]],Products!A:A,0))</f>
        <v>105</v>
      </c>
      <c r="W4294" s="77">
        <f>OrdersTable[[#This Row],[Quantity]]*OrdersTable[[#This Row],[Unit Cost]]</f>
        <v>105</v>
      </c>
      <c r="X4294" s="77">
        <f>'Dropdown Lists'!$I$2*(1+OrdersTable[[#This Row],[Returned]])</f>
        <v>60</v>
      </c>
      <c r="Y4294" s="76">
        <f>OrdersTable[[#This Row],[Net Revenue]]-OrdersTable[[#This Row],[COGS]]-OrdersTable[[#This Row],[Shipping Cost]]</f>
        <v>26.949999999999989</v>
      </c>
      <c r="Z4294" s="78">
        <f>IFERROR(OrdersTable[[#This Row],[Profit]]/OrdersTable[[#This Row],[Net Revenue]],0)</f>
        <v>0.1404011461318051</v>
      </c>
      <c r="AA4294" t="s">
        <v>3495</v>
      </c>
      <c r="AB4294" s="79">
        <v>45964</v>
      </c>
      <c r="AC4294">
        <f>OrdersTable[[#This Row],[Delivery Date]]-OrdersTable[[#This Row],[Order Date]]</f>
        <v>3</v>
      </c>
      <c r="AD4294" t="str">
        <f>IF(OrdersTable[[#This Row],[Delivery Days]]&lt;=2, "Express (≤2d)", IF(OrdersTable[[#This Row],[Delivery Days]]&lt;=4, "Standard (3-4d)", "Delayed (5d+)"))</f>
        <v>Standard (3-4d)</v>
      </c>
      <c r="AF4294">
        <v>0</v>
      </c>
    </row>
    <row r="4295" spans="1:32" ht="15" x14ac:dyDescent="0.35">
      <c r="A4295" t="s">
        <v>1797</v>
      </c>
      <c r="B4295" s="1">
        <v>45961</v>
      </c>
      <c r="C4295">
        <f>YEAR(OrdersTable[[#This Row],[Order Date]])</f>
        <v>2025</v>
      </c>
      <c r="D4295" s="2">
        <f>DATE(YEAR(OrdersTable[[#This Row],[Order Date]]),MONTH(OrdersTable[[#This Row],[Order Date]]),1)</f>
        <v>45931</v>
      </c>
      <c r="E4295">
        <f>MONTH(OrdersTable[[#This Row],[Order Date]])</f>
        <v>10</v>
      </c>
      <c r="F4295" t="s">
        <v>1260</v>
      </c>
      <c r="G4295" t="str">
        <f>IF(OrdersTable[[#This Row],[Order Date]]=_xlfn.MINIFS(Order_Date, Customer_ID, OrdersTable[[#This Row],[Customer ID]]), "New", "Repeat")</f>
        <v>Repeat</v>
      </c>
      <c r="H4295" t="s">
        <v>76</v>
      </c>
      <c r="I4295" t="str">
        <f>INDEX(State!B:B,MATCH(OrdersTable[[#This Row],[State]],State!A:A,0))</f>
        <v>UP</v>
      </c>
      <c r="J4295" t="str">
        <f>INDEX(State!C:C,MATCH(OrdersTable[[#This Row],[State Code]],State!B:B,0))</f>
        <v>North</v>
      </c>
      <c r="K4295" t="s">
        <v>118</v>
      </c>
      <c r="L4295" t="s">
        <v>65</v>
      </c>
      <c r="M4295" t="s">
        <v>56</v>
      </c>
      <c r="N4295" t="str">
        <f>INDEX(Products!B:B,MATCH(OrdersTable[[#This Row],[Product ID]],Products!A:A,0))</f>
        <v>Vitamin C Face Serum</v>
      </c>
      <c r="O4295" t="str">
        <f>INDEX(Products!C:C,MATCH(OrdersTable[[#This Row],[Product ID]],Products!A:A,0))</f>
        <v>Skincare</v>
      </c>
      <c r="P4295">
        <v>1</v>
      </c>
      <c r="Q4295" s="5">
        <v>599</v>
      </c>
      <c r="R4295" s="74">
        <v>0.35</v>
      </c>
      <c r="S4295" s="75">
        <f>OrdersTable[[#This Row],[Quantity]]*OrdersTable[[#This Row],[Unit Price]]</f>
        <v>599</v>
      </c>
      <c r="T4295" s="5">
        <f>OrdersTable[[#This Row],[Gross Sale]]*OrdersTable[[#This Row],[Discount_Clean2]]</f>
        <v>209.64999999999998</v>
      </c>
      <c r="U4295" s="5">
        <f>OrdersTable[[#This Row],[Gross Sale]]-OrdersTable[[#This Row],[Discount Amount]]</f>
        <v>389.35</v>
      </c>
      <c r="V4295" s="77">
        <f>INDEX(Products!E:E,MATCH(OrdersTable[[#This Row],[Product ID]],Products!A:A,0))</f>
        <v>180</v>
      </c>
      <c r="W4295" s="77">
        <f>OrdersTable[[#This Row],[Quantity]]*OrdersTable[[#This Row],[Unit Cost]]</f>
        <v>180</v>
      </c>
      <c r="X4295" s="77">
        <f>'Dropdown Lists'!$I$2*(1+OrdersTable[[#This Row],[Returned]])</f>
        <v>60</v>
      </c>
      <c r="Y4295" s="76">
        <f>OrdersTable[[#This Row],[Net Revenue]]-OrdersTable[[#This Row],[COGS]]-OrdersTable[[#This Row],[Shipping Cost]]</f>
        <v>149.35000000000002</v>
      </c>
      <c r="Z4295" s="78">
        <f>IFERROR(OrdersTable[[#This Row],[Profit]]/OrdersTable[[#This Row],[Net Revenue]],0)</f>
        <v>0.3835880313342751</v>
      </c>
      <c r="AA4295" t="s">
        <v>18</v>
      </c>
      <c r="AB4295" s="79">
        <v>45963</v>
      </c>
      <c r="AC4295">
        <f>OrdersTable[[#This Row],[Delivery Date]]-OrdersTable[[#This Row],[Order Date]]</f>
        <v>2</v>
      </c>
      <c r="AD4295" t="str">
        <f>IF(OrdersTable[[#This Row],[Delivery Days]]&lt;=2, "Express (≤2d)", IF(OrdersTable[[#This Row],[Delivery Days]]&lt;=4, "Standard (3-4d)", "Delayed (5d+)"))</f>
        <v>Express (≤2d)</v>
      </c>
      <c r="AF4295">
        <v>0</v>
      </c>
    </row>
    <row r="4296" spans="1:32" ht="15" x14ac:dyDescent="0.35">
      <c r="A4296" t="s">
        <v>6223</v>
      </c>
      <c r="B4296" s="1">
        <v>45961</v>
      </c>
      <c r="C4296">
        <f>YEAR(OrdersTable[[#This Row],[Order Date]])</f>
        <v>2025</v>
      </c>
      <c r="D4296" s="2">
        <f>DATE(YEAR(OrdersTable[[#This Row],[Order Date]]),MONTH(OrdersTable[[#This Row],[Order Date]]),1)</f>
        <v>45931</v>
      </c>
      <c r="E4296">
        <f>MONTH(OrdersTable[[#This Row],[Order Date]])</f>
        <v>10</v>
      </c>
      <c r="F4296" t="s">
        <v>2316</v>
      </c>
      <c r="G4296" t="str">
        <f>IF(OrdersTable[[#This Row],[Order Date]]=_xlfn.MINIFS(Order_Date, Customer_ID, OrdersTable[[#This Row],[Customer ID]]), "New", "Repeat")</f>
        <v>Repeat</v>
      </c>
      <c r="H4296" t="s">
        <v>76</v>
      </c>
      <c r="I4296" t="str">
        <f>INDEX(State!B:B,MATCH(OrdersTable[[#This Row],[State]],State!A:A,0))</f>
        <v>UP</v>
      </c>
      <c r="J4296" t="str">
        <f>INDEX(State!C:C,MATCH(OrdersTable[[#This Row],[State Code]],State!B:B,0))</f>
        <v>North</v>
      </c>
      <c r="K4296" t="s">
        <v>77</v>
      </c>
      <c r="L4296" t="s">
        <v>39</v>
      </c>
      <c r="M4296" t="s">
        <v>205</v>
      </c>
      <c r="N4296" t="str">
        <f>INDEX(Products!B:B,MATCH(OrdersTable[[#This Row],[Product ID]],Products!A:A,0))</f>
        <v>Running Shoes</v>
      </c>
      <c r="O4296" t="str">
        <f>INDEX(Products!C:C,MATCH(OrdersTable[[#This Row],[Product ID]],Products!A:A,0))</f>
        <v>Footwear</v>
      </c>
      <c r="P4296">
        <v>2</v>
      </c>
      <c r="Q4296" s="5">
        <v>2999</v>
      </c>
      <c r="R4296" s="74">
        <v>0.2</v>
      </c>
      <c r="S4296" s="75">
        <f>OrdersTable[[#This Row],[Quantity]]*OrdersTable[[#This Row],[Unit Price]]</f>
        <v>5998</v>
      </c>
      <c r="T4296" s="5">
        <f>OrdersTable[[#This Row],[Gross Sale]]*OrdersTable[[#This Row],[Discount_Clean2]]</f>
        <v>1199.6000000000001</v>
      </c>
      <c r="U4296" s="5">
        <f>OrdersTable[[#This Row],[Gross Sale]]-OrdersTable[[#This Row],[Discount Amount]]</f>
        <v>4798.3999999999996</v>
      </c>
      <c r="V4296" s="77">
        <f>INDEX(Products!E:E,MATCH(OrdersTable[[#This Row],[Product ID]],Products!A:A,0))</f>
        <v>1440</v>
      </c>
      <c r="W4296" s="77">
        <f>OrdersTable[[#This Row],[Quantity]]*OrdersTable[[#This Row],[Unit Cost]]</f>
        <v>2880</v>
      </c>
      <c r="X4296" s="77">
        <f>'Dropdown Lists'!$I$2*(1+OrdersTable[[#This Row],[Returned]])</f>
        <v>60</v>
      </c>
      <c r="Y4296" s="76">
        <f>OrdersTable[[#This Row],[Net Revenue]]-OrdersTable[[#This Row],[COGS]]-OrdersTable[[#This Row],[Shipping Cost]]</f>
        <v>1858.3999999999996</v>
      </c>
      <c r="Z4296" s="78">
        <f>IFERROR(OrdersTable[[#This Row],[Profit]]/OrdersTable[[#This Row],[Net Revenue]],0)</f>
        <v>0.38729576525508497</v>
      </c>
      <c r="AA4296" t="s">
        <v>18</v>
      </c>
      <c r="AB4296" s="79">
        <v>45965</v>
      </c>
      <c r="AC4296">
        <f>OrdersTable[[#This Row],[Delivery Date]]-OrdersTable[[#This Row],[Order Date]]</f>
        <v>4</v>
      </c>
      <c r="AD4296" t="str">
        <f>IF(OrdersTable[[#This Row],[Delivery Days]]&lt;=2, "Express (≤2d)", IF(OrdersTable[[#This Row],[Delivery Days]]&lt;=4, "Standard (3-4d)", "Delayed (5d+)"))</f>
        <v>Standard (3-4d)</v>
      </c>
      <c r="AE4296">
        <v>4</v>
      </c>
      <c r="AF4296">
        <v>0</v>
      </c>
    </row>
    <row r="4297" spans="1:32" ht="15" x14ac:dyDescent="0.35">
      <c r="A4297" t="s">
        <v>5633</v>
      </c>
      <c r="B4297" s="1">
        <v>45961</v>
      </c>
      <c r="C4297">
        <f>YEAR(OrdersTable[[#This Row],[Order Date]])</f>
        <v>2025</v>
      </c>
      <c r="D4297" s="2">
        <f>DATE(YEAR(OrdersTable[[#This Row],[Order Date]]),MONTH(OrdersTable[[#This Row],[Order Date]]),1)</f>
        <v>45931</v>
      </c>
      <c r="E4297">
        <f>MONTH(OrdersTable[[#This Row],[Order Date]])</f>
        <v>10</v>
      </c>
      <c r="F4297" t="s">
        <v>5634</v>
      </c>
      <c r="G4297" t="str">
        <f>IF(OrdersTable[[#This Row],[Order Date]]=_xlfn.MINIFS(Order_Date, Customer_ID, OrdersTable[[#This Row],[Customer ID]]), "New", "Repeat")</f>
        <v>New</v>
      </c>
      <c r="H4297" t="s">
        <v>76</v>
      </c>
      <c r="I4297" t="str">
        <f>INDEX(State!B:B,MATCH(OrdersTable[[#This Row],[State]],State!A:A,0))</f>
        <v>UP</v>
      </c>
      <c r="J4297" t="str">
        <f>INDEX(State!C:C,MATCH(OrdersTable[[#This Row],[State Code]],State!B:B,0))</f>
        <v>North</v>
      </c>
      <c r="K4297" t="s">
        <v>77</v>
      </c>
      <c r="L4297" t="s">
        <v>65</v>
      </c>
      <c r="M4297" t="s">
        <v>160</v>
      </c>
      <c r="N4297" t="str">
        <f>INDEX(Products!B:B,MATCH(OrdersTable[[#This Row],[Product ID]],Products!A:A,0))</f>
        <v>Niacinamide Toner</v>
      </c>
      <c r="O4297" t="str">
        <f>INDEX(Products!C:C,MATCH(OrdersTable[[#This Row],[Product ID]],Products!A:A,0))</f>
        <v>Skincare</v>
      </c>
      <c r="P4297">
        <v>2</v>
      </c>
      <c r="Q4297" s="5">
        <v>399</v>
      </c>
      <c r="R4297" s="74">
        <v>0.3</v>
      </c>
      <c r="S4297" s="75">
        <f>OrdersTable[[#This Row],[Quantity]]*OrdersTable[[#This Row],[Unit Price]]</f>
        <v>798</v>
      </c>
      <c r="T4297" s="5">
        <f>OrdersTable[[#This Row],[Gross Sale]]*OrdersTable[[#This Row],[Discount_Clean2]]</f>
        <v>239.39999999999998</v>
      </c>
      <c r="U4297" s="5">
        <f>OrdersTable[[#This Row],[Gross Sale]]-OrdersTable[[#This Row],[Discount Amount]]</f>
        <v>558.6</v>
      </c>
      <c r="V4297" s="77">
        <f>INDEX(Products!E:E,MATCH(OrdersTable[[#This Row],[Product ID]],Products!A:A,0))</f>
        <v>112</v>
      </c>
      <c r="W4297" s="77">
        <f>OrdersTable[[#This Row],[Quantity]]*OrdersTable[[#This Row],[Unit Cost]]</f>
        <v>224</v>
      </c>
      <c r="X4297" s="77">
        <f>'Dropdown Lists'!$I$2*(1+OrdersTable[[#This Row],[Returned]])</f>
        <v>60</v>
      </c>
      <c r="Y4297" s="76">
        <f>OrdersTable[[#This Row],[Net Revenue]]-OrdersTable[[#This Row],[COGS]]-OrdersTable[[#This Row],[Shipping Cost]]</f>
        <v>274.60000000000002</v>
      </c>
      <c r="Z4297" s="78">
        <f>IFERROR(OrdersTable[[#This Row],[Profit]]/OrdersTable[[#This Row],[Net Revenue]],0)</f>
        <v>0.49158610812746151</v>
      </c>
      <c r="AA4297" t="s">
        <v>2522</v>
      </c>
      <c r="AB4297" s="79">
        <v>45964</v>
      </c>
      <c r="AC4297">
        <f>OrdersTable[[#This Row],[Delivery Date]]-OrdersTable[[#This Row],[Order Date]]</f>
        <v>3</v>
      </c>
      <c r="AD4297" t="str">
        <f>IF(OrdersTable[[#This Row],[Delivery Days]]&lt;=2, "Express (≤2d)", IF(OrdersTable[[#This Row],[Delivery Days]]&lt;=4, "Standard (3-4d)", "Delayed (5d+)"))</f>
        <v>Standard (3-4d)</v>
      </c>
      <c r="AE4297">
        <v>4</v>
      </c>
      <c r="AF4297">
        <v>0</v>
      </c>
    </row>
    <row r="4298" spans="1:32" ht="15" x14ac:dyDescent="0.35">
      <c r="A4298" t="s">
        <v>699</v>
      </c>
      <c r="B4298" s="1">
        <v>45961</v>
      </c>
      <c r="C4298">
        <f>YEAR(OrdersTable[[#This Row],[Order Date]])</f>
        <v>2025</v>
      </c>
      <c r="D4298" s="2">
        <f>DATE(YEAR(OrdersTable[[#This Row],[Order Date]]),MONTH(OrdersTable[[#This Row],[Order Date]]),1)</f>
        <v>45931</v>
      </c>
      <c r="E4298">
        <f>MONTH(OrdersTable[[#This Row],[Order Date]])</f>
        <v>10</v>
      </c>
      <c r="F4298" t="s">
        <v>323</v>
      </c>
      <c r="G4298" t="str">
        <f>IF(OrdersTable[[#This Row],[Order Date]]=_xlfn.MINIFS(Order_Date, Customer_ID, OrdersTable[[#This Row],[Customer ID]]), "New", "Repeat")</f>
        <v>Repeat</v>
      </c>
      <c r="H4298" t="s">
        <v>76</v>
      </c>
      <c r="I4298" t="str">
        <f>INDEX(State!B:B,MATCH(OrdersTable[[#This Row],[State]],State!A:A,0))</f>
        <v>UP</v>
      </c>
      <c r="J4298" t="str">
        <f>INDEX(State!C:C,MATCH(OrdersTable[[#This Row],[State Code]],State!B:B,0))</f>
        <v>North</v>
      </c>
      <c r="K4298" t="s">
        <v>77</v>
      </c>
      <c r="L4298" t="s">
        <v>23</v>
      </c>
      <c r="M4298" t="s">
        <v>205</v>
      </c>
      <c r="N4298" t="str">
        <f>INDEX(Products!B:B,MATCH(OrdersTable[[#This Row],[Product ID]],Products!A:A,0))</f>
        <v>Running Shoes</v>
      </c>
      <c r="O4298" t="str">
        <f>INDEX(Products!C:C,MATCH(OrdersTable[[#This Row],[Product ID]],Products!A:A,0))</f>
        <v>Footwear</v>
      </c>
      <c r="P4298">
        <v>1</v>
      </c>
      <c r="Q4298" s="5">
        <v>2999</v>
      </c>
      <c r="R4298" s="74">
        <v>0.3</v>
      </c>
      <c r="S4298" s="75">
        <f>OrdersTable[[#This Row],[Quantity]]*OrdersTable[[#This Row],[Unit Price]]</f>
        <v>2999</v>
      </c>
      <c r="T4298" s="5">
        <f>OrdersTable[[#This Row],[Gross Sale]]*OrdersTable[[#This Row],[Discount_Clean2]]</f>
        <v>899.69999999999993</v>
      </c>
      <c r="U4298" s="5">
        <f>OrdersTable[[#This Row],[Gross Sale]]-OrdersTable[[#This Row],[Discount Amount]]</f>
        <v>2099.3000000000002</v>
      </c>
      <c r="V4298" s="77">
        <f>INDEX(Products!E:E,MATCH(OrdersTable[[#This Row],[Product ID]],Products!A:A,0))</f>
        <v>1440</v>
      </c>
      <c r="W4298" s="77">
        <f>OrdersTable[[#This Row],[Quantity]]*OrdersTable[[#This Row],[Unit Cost]]</f>
        <v>1440</v>
      </c>
      <c r="X4298" s="77">
        <f>'Dropdown Lists'!$I$2*(1+OrdersTable[[#This Row],[Returned]])</f>
        <v>60</v>
      </c>
      <c r="Y4298" s="76">
        <f>OrdersTable[[#This Row],[Net Revenue]]-OrdersTable[[#This Row],[COGS]]-OrdersTable[[#This Row],[Shipping Cost]]</f>
        <v>599.30000000000018</v>
      </c>
      <c r="Z4298" s="78">
        <f>IFERROR(OrdersTable[[#This Row],[Profit]]/OrdersTable[[#This Row],[Net Revenue]],0)</f>
        <v>0.28547611108464732</v>
      </c>
      <c r="AA4298" t="s">
        <v>18</v>
      </c>
      <c r="AB4298" s="79">
        <v>45963</v>
      </c>
      <c r="AC4298">
        <f>OrdersTable[[#This Row],[Delivery Date]]-OrdersTable[[#This Row],[Order Date]]</f>
        <v>2</v>
      </c>
      <c r="AD4298" t="str">
        <f>IF(OrdersTable[[#This Row],[Delivery Days]]&lt;=2, "Express (≤2d)", IF(OrdersTable[[#This Row],[Delivery Days]]&lt;=4, "Standard (3-4d)", "Delayed (5d+)"))</f>
        <v>Express (≤2d)</v>
      </c>
      <c r="AE4298">
        <v>4</v>
      </c>
      <c r="AF4298">
        <v>0</v>
      </c>
    </row>
    <row r="4299" spans="1:32" ht="15" x14ac:dyDescent="0.35">
      <c r="A4299" t="s">
        <v>5451</v>
      </c>
      <c r="B4299" s="1">
        <v>45961</v>
      </c>
      <c r="C4299">
        <f>YEAR(OrdersTable[[#This Row],[Order Date]])</f>
        <v>2025</v>
      </c>
      <c r="D4299" s="2">
        <f>DATE(YEAR(OrdersTable[[#This Row],[Order Date]]),MONTH(OrdersTable[[#This Row],[Order Date]]),1)</f>
        <v>45931</v>
      </c>
      <c r="E4299">
        <f>MONTH(OrdersTable[[#This Row],[Order Date]])</f>
        <v>10</v>
      </c>
      <c r="F4299" t="s">
        <v>5452</v>
      </c>
      <c r="G4299" t="str">
        <f>IF(OrdersTable[[#This Row],[Order Date]]=_xlfn.MINIFS(Order_Date, Customer_ID, OrdersTable[[#This Row],[Customer ID]]), "New", "Repeat")</f>
        <v>Repeat</v>
      </c>
      <c r="H4299" t="s">
        <v>27</v>
      </c>
      <c r="I4299" t="str">
        <f>INDEX(State!B:B,MATCH(OrdersTable[[#This Row],[State]],State!A:A,0))</f>
        <v>WB</v>
      </c>
      <c r="J4299" t="str">
        <f>INDEX(State!C:C,MATCH(OrdersTable[[#This Row],[State Code]],State!B:B,0))</f>
        <v>East</v>
      </c>
      <c r="K4299" t="s">
        <v>28</v>
      </c>
      <c r="L4299" t="s">
        <v>50</v>
      </c>
      <c r="M4299" t="s">
        <v>179</v>
      </c>
      <c r="N4299" t="str">
        <f>INDEX(Products!B:B,MATCH(OrdersTable[[#This Row],[Product ID]],Products!A:A,0))</f>
        <v>Whey Protein 1kg</v>
      </c>
      <c r="O4299" t="str">
        <f>INDEX(Products!C:C,MATCH(OrdersTable[[#This Row],[Product ID]],Products!A:A,0))</f>
        <v>Wellness</v>
      </c>
      <c r="P4299">
        <v>2</v>
      </c>
      <c r="Q4299" s="5">
        <v>2299</v>
      </c>
      <c r="R4299" s="74">
        <v>0.45</v>
      </c>
      <c r="S4299" s="75">
        <f>OrdersTable[[#This Row],[Quantity]]*OrdersTable[[#This Row],[Unit Price]]</f>
        <v>4598</v>
      </c>
      <c r="T4299" s="5">
        <f>OrdersTable[[#This Row],[Gross Sale]]*OrdersTable[[#This Row],[Discount_Clean2]]</f>
        <v>2069.1</v>
      </c>
      <c r="U4299" s="5">
        <f>OrdersTable[[#This Row],[Gross Sale]]-OrdersTable[[#This Row],[Discount Amount]]</f>
        <v>2528.9</v>
      </c>
      <c r="V4299" s="77">
        <f>INDEX(Products!E:E,MATCH(OrdersTable[[#This Row],[Product ID]],Products!A:A,0))</f>
        <v>1333</v>
      </c>
      <c r="W4299" s="77">
        <f>OrdersTable[[#This Row],[Quantity]]*OrdersTable[[#This Row],[Unit Cost]]</f>
        <v>2666</v>
      </c>
      <c r="X4299" s="77">
        <f>'Dropdown Lists'!$I$2*(1+OrdersTable[[#This Row],[Returned]])</f>
        <v>120</v>
      </c>
      <c r="Y4299" s="76">
        <f>OrdersTable[[#This Row],[Net Revenue]]-OrdersTable[[#This Row],[COGS]]-OrdersTable[[#This Row],[Shipping Cost]]</f>
        <v>-257.09999999999991</v>
      </c>
      <c r="Z4299" s="78">
        <f>IFERROR(OrdersTable[[#This Row],[Profit]]/OrdersTable[[#This Row],[Net Revenue]],0)</f>
        <v>-0.10166475542726082</v>
      </c>
      <c r="AA4299" t="s">
        <v>2522</v>
      </c>
      <c r="AB4299" s="79">
        <v>45967</v>
      </c>
      <c r="AC4299">
        <f>OrdersTable[[#This Row],[Delivery Date]]-OrdersTable[[#This Row],[Order Date]]</f>
        <v>6</v>
      </c>
      <c r="AD4299" t="str">
        <f>IF(OrdersTable[[#This Row],[Delivery Days]]&lt;=2, "Express (≤2d)", IF(OrdersTable[[#This Row],[Delivery Days]]&lt;=4, "Standard (3-4d)", "Delayed (5d+)"))</f>
        <v>Delayed (5d+)</v>
      </c>
      <c r="AE4299">
        <v>3</v>
      </c>
      <c r="AF4299">
        <v>1</v>
      </c>
    </row>
    <row r="4300" spans="1:32" ht="15" x14ac:dyDescent="0.35">
      <c r="A4300" t="s">
        <v>7125</v>
      </c>
      <c r="B4300" s="1">
        <v>45961</v>
      </c>
      <c r="C4300">
        <f>YEAR(OrdersTable[[#This Row],[Order Date]])</f>
        <v>2025</v>
      </c>
      <c r="D4300" s="2">
        <f>DATE(YEAR(OrdersTable[[#This Row],[Order Date]]),MONTH(OrdersTable[[#This Row],[Order Date]]),1)</f>
        <v>45931</v>
      </c>
      <c r="E4300">
        <f>MONTH(OrdersTable[[#This Row],[Order Date]])</f>
        <v>10</v>
      </c>
      <c r="F4300" t="s">
        <v>2760</v>
      </c>
      <c r="G4300" t="str">
        <f>IF(OrdersTable[[#This Row],[Order Date]]=_xlfn.MINIFS(Order_Date, Customer_ID, OrdersTable[[#This Row],[Customer ID]]), "New", "Repeat")</f>
        <v>Repeat</v>
      </c>
      <c r="H4300" t="s">
        <v>95</v>
      </c>
      <c r="I4300" t="str">
        <f>INDEX(State!B:B,MATCH(OrdersTable[[#This Row],[State]],State!A:A,0))</f>
        <v>TG</v>
      </c>
      <c r="J4300" t="str">
        <f>INDEX(State!C:C,MATCH(OrdersTable[[#This Row],[State Code]],State!B:B,0))</f>
        <v>South</v>
      </c>
      <c r="K4300" t="s">
        <v>96</v>
      </c>
      <c r="L4300" t="s">
        <v>50</v>
      </c>
      <c r="M4300" t="s">
        <v>160</v>
      </c>
      <c r="N4300" t="str">
        <f>INDEX(Products!B:B,MATCH(OrdersTable[[#This Row],[Product ID]],Products!A:A,0))</f>
        <v>Niacinamide Toner</v>
      </c>
      <c r="O4300" t="str">
        <f>INDEX(Products!C:C,MATCH(OrdersTable[[#This Row],[Product ID]],Products!A:A,0))</f>
        <v>Skincare</v>
      </c>
      <c r="P4300">
        <v>4</v>
      </c>
      <c r="Q4300" s="5">
        <v>399</v>
      </c>
      <c r="R4300" s="74">
        <v>0.45</v>
      </c>
      <c r="S4300" s="75">
        <f>OrdersTable[[#This Row],[Quantity]]*OrdersTable[[#This Row],[Unit Price]]</f>
        <v>1596</v>
      </c>
      <c r="T4300" s="5">
        <f>OrdersTable[[#This Row],[Gross Sale]]*OrdersTable[[#This Row],[Discount_Clean2]]</f>
        <v>718.2</v>
      </c>
      <c r="U4300" s="5">
        <f>OrdersTable[[#This Row],[Gross Sale]]-OrdersTable[[#This Row],[Discount Amount]]</f>
        <v>877.8</v>
      </c>
      <c r="V4300" s="77">
        <f>INDEX(Products!E:E,MATCH(OrdersTable[[#This Row],[Product ID]],Products!A:A,0))</f>
        <v>112</v>
      </c>
      <c r="W4300" s="77">
        <f>OrdersTable[[#This Row],[Quantity]]*OrdersTable[[#This Row],[Unit Cost]]</f>
        <v>448</v>
      </c>
      <c r="X4300" s="77">
        <f>'Dropdown Lists'!$I$2*(1+OrdersTable[[#This Row],[Returned]])</f>
        <v>60</v>
      </c>
      <c r="Y4300" s="76">
        <f>OrdersTable[[#This Row],[Net Revenue]]-OrdersTable[[#This Row],[COGS]]-OrdersTable[[#This Row],[Shipping Cost]]</f>
        <v>369.79999999999995</v>
      </c>
      <c r="Z4300" s="78">
        <f>IFERROR(OrdersTable[[#This Row],[Profit]]/OrdersTable[[#This Row],[Net Revenue]],0)</f>
        <v>0.42128047391205281</v>
      </c>
      <c r="AA4300" t="s">
        <v>18</v>
      </c>
      <c r="AB4300" s="79">
        <v>45965</v>
      </c>
      <c r="AC4300">
        <f>OrdersTable[[#This Row],[Delivery Date]]-OrdersTable[[#This Row],[Order Date]]</f>
        <v>4</v>
      </c>
      <c r="AD4300" t="str">
        <f>IF(OrdersTable[[#This Row],[Delivery Days]]&lt;=2, "Express (≤2d)", IF(OrdersTable[[#This Row],[Delivery Days]]&lt;=4, "Standard (3-4d)", "Delayed (5d+)"))</f>
        <v>Standard (3-4d)</v>
      </c>
      <c r="AF4300">
        <v>0</v>
      </c>
    </row>
    <row r="4301" spans="1:32" ht="15" x14ac:dyDescent="0.35">
      <c r="A4301" t="s">
        <v>7163</v>
      </c>
      <c r="B4301" s="1">
        <v>45961</v>
      </c>
      <c r="C4301">
        <f>YEAR(OrdersTable[[#This Row],[Order Date]])</f>
        <v>2025</v>
      </c>
      <c r="D4301" s="2">
        <f>DATE(YEAR(OrdersTable[[#This Row],[Order Date]]),MONTH(OrdersTable[[#This Row],[Order Date]]),1)</f>
        <v>45931</v>
      </c>
      <c r="E4301">
        <f>MONTH(OrdersTable[[#This Row],[Order Date]])</f>
        <v>10</v>
      </c>
      <c r="F4301" t="s">
        <v>440</v>
      </c>
      <c r="G4301" t="str">
        <f>IF(OrdersTable[[#This Row],[Order Date]]=_xlfn.MINIFS(Order_Date, Customer_ID, OrdersTable[[#This Row],[Customer ID]]), "New", "Repeat")</f>
        <v>Repeat</v>
      </c>
      <c r="H4301" t="s">
        <v>59</v>
      </c>
      <c r="I4301" t="str">
        <f>INDEX(State!B:B,MATCH(OrdersTable[[#This Row],[State]],State!A:A,0))</f>
        <v>TN</v>
      </c>
      <c r="J4301" t="str">
        <f>INDEX(State!C:C,MATCH(OrdersTable[[#This Row],[State Code]],State!B:B,0))</f>
        <v>South</v>
      </c>
      <c r="K4301" t="s">
        <v>64</v>
      </c>
      <c r="L4301" t="s">
        <v>23</v>
      </c>
      <c r="M4301" t="s">
        <v>87</v>
      </c>
      <c r="N4301" t="str">
        <f>INDEX(Products!B:B,MATCH(OrdersTable[[#This Row],[Product ID]],Products!A:A,0))</f>
        <v>Linen Kurta</v>
      </c>
      <c r="O4301" t="str">
        <f>INDEX(Products!C:C,MATCH(OrdersTable[[#This Row],[Product ID]],Products!A:A,0))</f>
        <v>Apparel</v>
      </c>
      <c r="P4301">
        <v>5</v>
      </c>
      <c r="Q4301" s="5">
        <v>1499</v>
      </c>
      <c r="R4301" s="74">
        <v>0.5</v>
      </c>
      <c r="S4301" s="75">
        <f>OrdersTable[[#This Row],[Quantity]]*OrdersTable[[#This Row],[Unit Price]]</f>
        <v>7495</v>
      </c>
      <c r="T4301" s="5">
        <f>OrdersTable[[#This Row],[Gross Sale]]*OrdersTable[[#This Row],[Discount_Clean2]]</f>
        <v>3747.5</v>
      </c>
      <c r="U4301" s="5">
        <f>OrdersTable[[#This Row],[Gross Sale]]-OrdersTable[[#This Row],[Discount Amount]]</f>
        <v>3747.5</v>
      </c>
      <c r="V4301" s="77">
        <f>INDEX(Products!E:E,MATCH(OrdersTable[[#This Row],[Product ID]],Products!A:A,0))</f>
        <v>630</v>
      </c>
      <c r="W4301" s="77">
        <f>OrdersTable[[#This Row],[Quantity]]*OrdersTable[[#This Row],[Unit Cost]]</f>
        <v>3150</v>
      </c>
      <c r="X4301" s="77">
        <f>'Dropdown Lists'!$I$2*(1+OrdersTable[[#This Row],[Returned]])</f>
        <v>60</v>
      </c>
      <c r="Y4301" s="76">
        <f>OrdersTable[[#This Row],[Net Revenue]]-OrdersTable[[#This Row],[COGS]]-OrdersTable[[#This Row],[Shipping Cost]]</f>
        <v>537.5</v>
      </c>
      <c r="Z4301" s="78">
        <f>IFERROR(OrdersTable[[#This Row],[Profit]]/OrdersTable[[#This Row],[Net Revenue]],0)</f>
        <v>0.14342895263509006</v>
      </c>
      <c r="AA4301" t="s">
        <v>2522</v>
      </c>
      <c r="AB4301" s="79">
        <v>45963</v>
      </c>
      <c r="AC4301">
        <f>OrdersTable[[#This Row],[Delivery Date]]-OrdersTable[[#This Row],[Order Date]]</f>
        <v>2</v>
      </c>
      <c r="AD4301" t="str">
        <f>IF(OrdersTable[[#This Row],[Delivery Days]]&lt;=2, "Express (≤2d)", IF(OrdersTable[[#This Row],[Delivery Days]]&lt;=4, "Standard (3-4d)", "Delayed (5d+)"))</f>
        <v>Express (≤2d)</v>
      </c>
      <c r="AF4301">
        <v>0</v>
      </c>
    </row>
    <row r="4302" spans="1:32" ht="15" x14ac:dyDescent="0.35">
      <c r="A4302" t="s">
        <v>2852</v>
      </c>
      <c r="B4302" s="1">
        <v>45962</v>
      </c>
      <c r="C4302">
        <f>YEAR(OrdersTable[[#This Row],[Order Date]])</f>
        <v>2025</v>
      </c>
      <c r="D4302" s="2">
        <f>DATE(YEAR(OrdersTable[[#This Row],[Order Date]]),MONTH(OrdersTable[[#This Row],[Order Date]]),1)</f>
        <v>45962</v>
      </c>
      <c r="E4302">
        <f>MONTH(OrdersTable[[#This Row],[Order Date]])</f>
        <v>11</v>
      </c>
      <c r="F4302" t="s">
        <v>2853</v>
      </c>
      <c r="G4302" t="str">
        <f>IF(OrdersTable[[#This Row],[Order Date]]=_xlfn.MINIFS(Order_Date, Customer_ID, OrdersTable[[#This Row],[Customer ID]]), "New", "Repeat")</f>
        <v>New</v>
      </c>
      <c r="H4302" t="s">
        <v>21</v>
      </c>
      <c r="I4302" t="str">
        <f>INDEX(State!B:B,MATCH(OrdersTable[[#This Row],[State]],State!A:A,0))</f>
        <v>PB</v>
      </c>
      <c r="J4302" t="str">
        <f>INDEX(State!C:C,MATCH(OrdersTable[[#This Row],[State Code]],State!B:B,0))</f>
        <v>North</v>
      </c>
      <c r="K4302" t="s">
        <v>260</v>
      </c>
      <c r="L4302" t="s">
        <v>65</v>
      </c>
      <c r="M4302" t="s">
        <v>228</v>
      </c>
      <c r="N4302" t="str">
        <f>INDEX(Products!B:B,MATCH(OrdersTable[[#This Row],[Product ID]],Products!A:A,0))</f>
        <v>Fast Charger 33W</v>
      </c>
      <c r="O4302" t="str">
        <f>INDEX(Products!C:C,MATCH(OrdersTable[[#This Row],[Product ID]],Products!A:A,0))</f>
        <v>Electronics</v>
      </c>
      <c r="P4302">
        <v>1</v>
      </c>
      <c r="Q4302" s="5">
        <v>899</v>
      </c>
      <c r="R4302" s="74">
        <v>0.2</v>
      </c>
      <c r="S4302" s="75">
        <f>OrdersTable[[#This Row],[Quantity]]*OrdersTable[[#This Row],[Unit Price]]</f>
        <v>899</v>
      </c>
      <c r="T4302" s="5">
        <f>OrdersTable[[#This Row],[Gross Sale]]*OrdersTable[[#This Row],[Discount_Clean2]]</f>
        <v>179.8</v>
      </c>
      <c r="U4302" s="5">
        <f>OrdersTable[[#This Row],[Gross Sale]]-OrdersTable[[#This Row],[Discount Amount]]</f>
        <v>719.2</v>
      </c>
      <c r="V4302" s="77">
        <f>INDEX(Products!E:E,MATCH(OrdersTable[[#This Row],[Product ID]],Products!A:A,0))</f>
        <v>494</v>
      </c>
      <c r="W4302" s="77">
        <f>OrdersTable[[#This Row],[Quantity]]*OrdersTable[[#This Row],[Unit Cost]]</f>
        <v>494</v>
      </c>
      <c r="X4302" s="77">
        <f>'Dropdown Lists'!$I$2*(1+OrdersTable[[#This Row],[Returned]])</f>
        <v>60</v>
      </c>
      <c r="Y4302" s="76">
        <f>OrdersTable[[#This Row],[Net Revenue]]-OrdersTable[[#This Row],[COGS]]-OrdersTable[[#This Row],[Shipping Cost]]</f>
        <v>165.20000000000005</v>
      </c>
      <c r="Z4302" s="78">
        <f>IFERROR(OrdersTable[[#This Row],[Profit]]/OrdersTable[[#This Row],[Net Revenue]],0)</f>
        <v>0.22969966629588437</v>
      </c>
      <c r="AA4302" t="s">
        <v>2522</v>
      </c>
      <c r="AB4302" s="79">
        <v>45968</v>
      </c>
      <c r="AC4302">
        <f>OrdersTable[[#This Row],[Delivery Date]]-OrdersTable[[#This Row],[Order Date]]</f>
        <v>6</v>
      </c>
      <c r="AD4302" t="str">
        <f>IF(OrdersTable[[#This Row],[Delivery Days]]&lt;=2, "Express (≤2d)", IF(OrdersTable[[#This Row],[Delivery Days]]&lt;=4, "Standard (3-4d)", "Delayed (5d+)"))</f>
        <v>Delayed (5d+)</v>
      </c>
      <c r="AE4302">
        <v>3</v>
      </c>
      <c r="AF4302">
        <v>0</v>
      </c>
    </row>
    <row r="4303" spans="1:32" ht="15" x14ac:dyDescent="0.35">
      <c r="A4303" t="s">
        <v>1030</v>
      </c>
      <c r="B4303" s="1">
        <v>45962</v>
      </c>
      <c r="C4303">
        <f>YEAR(OrdersTable[[#This Row],[Order Date]])</f>
        <v>2025</v>
      </c>
      <c r="D4303" s="2">
        <f>DATE(YEAR(OrdersTable[[#This Row],[Order Date]]),MONTH(OrdersTable[[#This Row],[Order Date]]),1)</f>
        <v>45962</v>
      </c>
      <c r="E4303">
        <f>MONTH(OrdersTable[[#This Row],[Order Date]])</f>
        <v>11</v>
      </c>
      <c r="F4303" t="s">
        <v>1031</v>
      </c>
      <c r="G4303" t="str">
        <f>IF(OrdersTable[[#This Row],[Order Date]]=_xlfn.MINIFS(Order_Date, Customer_ID, OrdersTable[[#This Row],[Customer ID]]), "New", "Repeat")</f>
        <v>New</v>
      </c>
      <c r="H4303" t="s">
        <v>48</v>
      </c>
      <c r="I4303" t="str">
        <f>INDEX(State!B:B,MATCH(OrdersTable[[#This Row],[State]],State!A:A,0))</f>
        <v>HR</v>
      </c>
      <c r="J4303" t="str">
        <f>INDEX(State!C:C,MATCH(OrdersTable[[#This Row],[State Code]],State!B:B,0))</f>
        <v>North</v>
      </c>
      <c r="K4303" t="s">
        <v>151</v>
      </c>
      <c r="L4303" t="s">
        <v>50</v>
      </c>
      <c r="M4303" t="s">
        <v>152</v>
      </c>
      <c r="N4303" t="str">
        <f>INDEX(Products!B:B,MATCH(OrdersTable[[#This Row],[Product ID]],Products!A:A,0))</f>
        <v>Green Tea (100 bags)</v>
      </c>
      <c r="O4303" t="str">
        <f>INDEX(Products!C:C,MATCH(OrdersTable[[#This Row],[Product ID]],Products!A:A,0))</f>
        <v>Wellness</v>
      </c>
      <c r="P4303">
        <v>1</v>
      </c>
      <c r="Q4303" s="5">
        <v>399</v>
      </c>
      <c r="R4303" s="74">
        <v>0.5</v>
      </c>
      <c r="S4303" s="75">
        <f>OrdersTable[[#This Row],[Quantity]]*OrdersTable[[#This Row],[Unit Price]]</f>
        <v>399</v>
      </c>
      <c r="T4303" s="5">
        <f>OrdersTable[[#This Row],[Gross Sale]]*OrdersTable[[#This Row],[Discount_Clean2]]</f>
        <v>199.5</v>
      </c>
      <c r="U4303" s="5">
        <f>OrdersTable[[#This Row],[Gross Sale]]-OrdersTable[[#This Row],[Discount Amount]]</f>
        <v>199.5</v>
      </c>
      <c r="V4303" s="77">
        <f>INDEX(Products!E:E,MATCH(OrdersTable[[#This Row],[Product ID]],Products!A:A,0))</f>
        <v>128</v>
      </c>
      <c r="W4303" s="77">
        <f>OrdersTable[[#This Row],[Quantity]]*OrdersTable[[#This Row],[Unit Cost]]</f>
        <v>128</v>
      </c>
      <c r="X4303" s="77">
        <f>'Dropdown Lists'!$I$2*(1+OrdersTable[[#This Row],[Returned]])</f>
        <v>60</v>
      </c>
      <c r="Y4303" s="76">
        <f>OrdersTable[[#This Row],[Net Revenue]]-OrdersTable[[#This Row],[COGS]]-OrdersTable[[#This Row],[Shipping Cost]]</f>
        <v>11.5</v>
      </c>
      <c r="Z4303" s="78">
        <f>IFERROR(OrdersTable[[#This Row],[Profit]]/OrdersTable[[#This Row],[Net Revenue]],0)</f>
        <v>5.764411027568922E-2</v>
      </c>
      <c r="AA4303" t="s">
        <v>18</v>
      </c>
      <c r="AB4303" s="79">
        <v>45965</v>
      </c>
      <c r="AC4303">
        <f>OrdersTable[[#This Row],[Delivery Date]]-OrdersTable[[#This Row],[Order Date]]</f>
        <v>3</v>
      </c>
      <c r="AD4303" t="str">
        <f>IF(OrdersTable[[#This Row],[Delivery Days]]&lt;=2, "Express (≤2d)", IF(OrdersTable[[#This Row],[Delivery Days]]&lt;=4, "Standard (3-4d)", "Delayed (5d+)"))</f>
        <v>Standard (3-4d)</v>
      </c>
      <c r="AE4303">
        <v>4</v>
      </c>
      <c r="AF4303">
        <v>0</v>
      </c>
    </row>
    <row r="4304" spans="1:32" ht="15" x14ac:dyDescent="0.35">
      <c r="A4304" t="s">
        <v>6737</v>
      </c>
      <c r="B4304" s="1">
        <v>45962</v>
      </c>
      <c r="C4304">
        <f>YEAR(OrdersTable[[#This Row],[Order Date]])</f>
        <v>2025</v>
      </c>
      <c r="D4304" s="2">
        <f>DATE(YEAR(OrdersTable[[#This Row],[Order Date]]),MONTH(OrdersTable[[#This Row],[Order Date]]),1)</f>
        <v>45962</v>
      </c>
      <c r="E4304">
        <f>MONTH(OrdersTable[[#This Row],[Order Date]])</f>
        <v>11</v>
      </c>
      <c r="F4304" t="s">
        <v>1923</v>
      </c>
      <c r="G4304" t="str">
        <f>IF(OrdersTable[[#This Row],[Order Date]]=_xlfn.MINIFS(Order_Date, Customer_ID, OrdersTable[[#This Row],[Customer ID]]), "New", "Repeat")</f>
        <v>Repeat</v>
      </c>
      <c r="H4304" t="s">
        <v>128</v>
      </c>
      <c r="I4304" t="str">
        <f>INDEX(State!B:B,MATCH(OrdersTable[[#This Row],[State]],State!A:A,0))</f>
        <v>DL</v>
      </c>
      <c r="J4304" t="str">
        <f>INDEX(State!C:C,MATCH(OrdersTable[[#This Row],[State Code]],State!B:B,0))</f>
        <v>North</v>
      </c>
      <c r="K4304" t="s">
        <v>129</v>
      </c>
      <c r="L4304" t="s">
        <v>65</v>
      </c>
      <c r="M4304" t="s">
        <v>17</v>
      </c>
      <c r="N4304" t="str">
        <f>INDEX(Products!B:B,MATCH(OrdersTable[[#This Row],[Product ID]],Products!A:A,0))</f>
        <v>Casual Sneakers</v>
      </c>
      <c r="O4304" t="str">
        <f>INDEX(Products!C:C,MATCH(OrdersTable[[#This Row],[Product ID]],Products!A:A,0))</f>
        <v>Footwear</v>
      </c>
      <c r="P4304">
        <v>3</v>
      </c>
      <c r="Q4304" s="5">
        <v>2199</v>
      </c>
      <c r="R4304" s="74">
        <v>0.4</v>
      </c>
      <c r="S4304" s="75">
        <f>OrdersTable[[#This Row],[Quantity]]*OrdersTable[[#This Row],[Unit Price]]</f>
        <v>6597</v>
      </c>
      <c r="T4304" s="5">
        <f>OrdersTable[[#This Row],[Gross Sale]]*OrdersTable[[#This Row],[Discount_Clean2]]</f>
        <v>2638.8</v>
      </c>
      <c r="U4304" s="5">
        <f>OrdersTable[[#This Row],[Gross Sale]]-OrdersTable[[#This Row],[Discount Amount]]</f>
        <v>3958.2</v>
      </c>
      <c r="V4304" s="77">
        <f>INDEX(Products!E:E,MATCH(OrdersTable[[#This Row],[Product ID]],Products!A:A,0))</f>
        <v>1034</v>
      </c>
      <c r="W4304" s="77">
        <f>OrdersTable[[#This Row],[Quantity]]*OrdersTable[[#This Row],[Unit Cost]]</f>
        <v>3102</v>
      </c>
      <c r="X4304" s="77">
        <f>'Dropdown Lists'!$I$2*(1+OrdersTable[[#This Row],[Returned]])</f>
        <v>60</v>
      </c>
      <c r="Y4304" s="76">
        <f>OrdersTable[[#This Row],[Net Revenue]]-OrdersTable[[#This Row],[COGS]]-OrdersTable[[#This Row],[Shipping Cost]]</f>
        <v>796.19999999999982</v>
      </c>
      <c r="Z4304" s="78">
        <f>IFERROR(OrdersTable[[#This Row],[Profit]]/OrdersTable[[#This Row],[Net Revenue]],0)</f>
        <v>0.20115203880551763</v>
      </c>
      <c r="AA4304" t="s">
        <v>2522</v>
      </c>
      <c r="AB4304" s="79">
        <v>45964</v>
      </c>
      <c r="AC4304">
        <f>OrdersTable[[#This Row],[Delivery Date]]-OrdersTable[[#This Row],[Order Date]]</f>
        <v>2</v>
      </c>
      <c r="AD4304" t="str">
        <f>IF(OrdersTable[[#This Row],[Delivery Days]]&lt;=2, "Express (≤2d)", IF(OrdersTable[[#This Row],[Delivery Days]]&lt;=4, "Standard (3-4d)", "Delayed (5d+)"))</f>
        <v>Express (≤2d)</v>
      </c>
      <c r="AF4304">
        <v>0</v>
      </c>
    </row>
    <row r="4305" spans="1:32" ht="15" x14ac:dyDescent="0.35">
      <c r="A4305" t="s">
        <v>4877</v>
      </c>
      <c r="B4305" s="1">
        <v>45962</v>
      </c>
      <c r="C4305">
        <f>YEAR(OrdersTable[[#This Row],[Order Date]])</f>
        <v>2025</v>
      </c>
      <c r="D4305" s="2">
        <f>DATE(YEAR(OrdersTable[[#This Row],[Order Date]]),MONTH(OrdersTable[[#This Row],[Order Date]]),1)</f>
        <v>45962</v>
      </c>
      <c r="E4305">
        <f>MONTH(OrdersTable[[#This Row],[Order Date]])</f>
        <v>11</v>
      </c>
      <c r="F4305" t="s">
        <v>1127</v>
      </c>
      <c r="G4305" t="str">
        <f>IF(OrdersTable[[#This Row],[Order Date]]=_xlfn.MINIFS(Order_Date, Customer_ID, OrdersTable[[#This Row],[Customer ID]]), "New", "Repeat")</f>
        <v>Repeat</v>
      </c>
      <c r="H4305" t="s">
        <v>43</v>
      </c>
      <c r="I4305" t="str">
        <f>INDEX(State!B:B,MATCH(OrdersTable[[#This Row],[State]],State!A:A,0))</f>
        <v>MP</v>
      </c>
      <c r="J4305" t="str">
        <f>INDEX(State!C:C,MATCH(OrdersTable[[#This Row],[State Code]],State!B:B,0))</f>
        <v>West</v>
      </c>
      <c r="K4305" t="s">
        <v>250</v>
      </c>
      <c r="L4305" t="s">
        <v>50</v>
      </c>
      <c r="M4305" t="s">
        <v>56</v>
      </c>
      <c r="N4305" t="str">
        <f>INDEX(Products!B:B,MATCH(OrdersTable[[#This Row],[Product ID]],Products!A:A,0))</f>
        <v>Vitamin C Face Serum</v>
      </c>
      <c r="O4305" t="str">
        <f>INDEX(Products!C:C,MATCH(OrdersTable[[#This Row],[Product ID]],Products!A:A,0))</f>
        <v>Skincare</v>
      </c>
      <c r="P4305">
        <v>2</v>
      </c>
      <c r="Q4305" s="5">
        <v>599</v>
      </c>
      <c r="R4305" s="74">
        <v>0.3</v>
      </c>
      <c r="S4305" s="75">
        <f>OrdersTable[[#This Row],[Quantity]]*OrdersTable[[#This Row],[Unit Price]]</f>
        <v>1198</v>
      </c>
      <c r="T4305" s="5">
        <f>OrdersTable[[#This Row],[Gross Sale]]*OrdersTable[[#This Row],[Discount_Clean2]]</f>
        <v>359.4</v>
      </c>
      <c r="U4305" s="5">
        <f>OrdersTable[[#This Row],[Gross Sale]]-OrdersTable[[#This Row],[Discount Amount]]</f>
        <v>838.6</v>
      </c>
      <c r="V4305" s="77">
        <f>INDEX(Products!E:E,MATCH(OrdersTable[[#This Row],[Product ID]],Products!A:A,0))</f>
        <v>180</v>
      </c>
      <c r="W4305" s="77">
        <f>OrdersTable[[#This Row],[Quantity]]*OrdersTable[[#This Row],[Unit Cost]]</f>
        <v>360</v>
      </c>
      <c r="X4305" s="77">
        <f>'Dropdown Lists'!$I$2*(1+OrdersTable[[#This Row],[Returned]])</f>
        <v>60</v>
      </c>
      <c r="Y4305" s="76">
        <f>OrdersTable[[#This Row],[Net Revenue]]-OrdersTable[[#This Row],[COGS]]-OrdersTable[[#This Row],[Shipping Cost]]</f>
        <v>418.6</v>
      </c>
      <c r="Z4305" s="78">
        <f>IFERROR(OrdersTable[[#This Row],[Profit]]/OrdersTable[[#This Row],[Net Revenue]],0)</f>
        <v>0.4991652754590985</v>
      </c>
      <c r="AA4305" t="s">
        <v>4450</v>
      </c>
      <c r="AB4305" s="79">
        <v>45966</v>
      </c>
      <c r="AC4305">
        <f>OrdersTable[[#This Row],[Delivery Date]]-OrdersTable[[#This Row],[Order Date]]</f>
        <v>4</v>
      </c>
      <c r="AD4305" t="str">
        <f>IF(OrdersTable[[#This Row],[Delivery Days]]&lt;=2, "Express (≤2d)", IF(OrdersTable[[#This Row],[Delivery Days]]&lt;=4, "Standard (3-4d)", "Delayed (5d+)"))</f>
        <v>Standard (3-4d)</v>
      </c>
      <c r="AF4305">
        <v>0</v>
      </c>
    </row>
    <row r="4306" spans="1:32" ht="15" x14ac:dyDescent="0.35">
      <c r="A4306" t="s">
        <v>7126</v>
      </c>
      <c r="B4306" s="1">
        <v>45962</v>
      </c>
      <c r="C4306">
        <f>YEAR(OrdersTable[[#This Row],[Order Date]])</f>
        <v>2025</v>
      </c>
      <c r="D4306" s="2">
        <f>DATE(YEAR(OrdersTable[[#This Row],[Order Date]]),MONTH(OrdersTable[[#This Row],[Order Date]]),1)</f>
        <v>45962</v>
      </c>
      <c r="E4306">
        <f>MONTH(OrdersTable[[#This Row],[Order Date]])</f>
        <v>11</v>
      </c>
      <c r="F4306" t="s">
        <v>2849</v>
      </c>
      <c r="G4306" t="str">
        <f>IF(OrdersTable[[#This Row],[Order Date]]=_xlfn.MINIFS(Order_Date, Customer_ID, OrdersTable[[#This Row],[Customer ID]]), "New", "Repeat")</f>
        <v>Repeat</v>
      </c>
      <c r="H4306" t="s">
        <v>123</v>
      </c>
      <c r="I4306" t="str">
        <f>INDEX(State!B:B,MATCH(OrdersTable[[#This Row],[State]],State!A:A,0))</f>
        <v>JH</v>
      </c>
      <c r="J4306" t="str">
        <f>INDEX(State!C:C,MATCH(OrdersTable[[#This Row],[State Code]],State!B:B,0))</f>
        <v>East</v>
      </c>
      <c r="K4306" t="s">
        <v>124</v>
      </c>
      <c r="L4306" t="s">
        <v>23</v>
      </c>
      <c r="M4306" t="s">
        <v>51</v>
      </c>
      <c r="N4306" t="str">
        <f>INDEX(Products!B:B,MATCH(OrdersTable[[#This Row],[Product ID]],Products!A:A,0))</f>
        <v>Anti-Dandruff Conditioner</v>
      </c>
      <c r="O4306" t="str">
        <f>INDEX(Products!C:C,MATCH(OrdersTable[[#This Row],[Product ID]],Products!A:A,0))</f>
        <v>Haircare</v>
      </c>
      <c r="P4306">
        <v>4</v>
      </c>
      <c r="Q4306" s="5">
        <v>399</v>
      </c>
      <c r="R4306" s="74">
        <v>0.4</v>
      </c>
      <c r="S4306" s="75">
        <f>OrdersTable[[#This Row],[Quantity]]*OrdersTable[[#This Row],[Unit Price]]</f>
        <v>1596</v>
      </c>
      <c r="T4306" s="5">
        <f>OrdersTable[[#This Row],[Gross Sale]]*OrdersTable[[#This Row],[Discount_Clean2]]</f>
        <v>638.40000000000009</v>
      </c>
      <c r="U4306" s="5">
        <f>OrdersTable[[#This Row],[Gross Sale]]-OrdersTable[[#This Row],[Discount Amount]]</f>
        <v>957.59999999999991</v>
      </c>
      <c r="V4306" s="77">
        <f>INDEX(Products!E:E,MATCH(OrdersTable[[#This Row],[Product ID]],Products!A:A,0))</f>
        <v>136</v>
      </c>
      <c r="W4306" s="77">
        <f>OrdersTable[[#This Row],[Quantity]]*OrdersTable[[#This Row],[Unit Cost]]</f>
        <v>544</v>
      </c>
      <c r="X4306" s="77">
        <f>'Dropdown Lists'!$I$2*(1+OrdersTable[[#This Row],[Returned]])</f>
        <v>60</v>
      </c>
      <c r="Y4306" s="76">
        <f>OrdersTable[[#This Row],[Net Revenue]]-OrdersTable[[#This Row],[COGS]]-OrdersTable[[#This Row],[Shipping Cost]]</f>
        <v>353.59999999999991</v>
      </c>
      <c r="Z4306" s="78">
        <f>IFERROR(OrdersTable[[#This Row],[Profit]]/OrdersTable[[#This Row],[Net Revenue]],0)</f>
        <v>0.36925647451963234</v>
      </c>
      <c r="AA4306" t="s">
        <v>18</v>
      </c>
      <c r="AB4306" s="79">
        <v>45965</v>
      </c>
      <c r="AC4306">
        <f>OrdersTable[[#This Row],[Delivery Date]]-OrdersTable[[#This Row],[Order Date]]</f>
        <v>3</v>
      </c>
      <c r="AD4306" t="str">
        <f>IF(OrdersTable[[#This Row],[Delivery Days]]&lt;=2, "Express (≤2d)", IF(OrdersTable[[#This Row],[Delivery Days]]&lt;=4, "Standard (3-4d)", "Delayed (5d+)"))</f>
        <v>Standard (3-4d)</v>
      </c>
      <c r="AE4306">
        <v>4</v>
      </c>
      <c r="AF4306">
        <v>0</v>
      </c>
    </row>
    <row r="4307" spans="1:32" ht="15" x14ac:dyDescent="0.35">
      <c r="A4307" t="s">
        <v>5733</v>
      </c>
      <c r="B4307" s="1">
        <v>45962</v>
      </c>
      <c r="C4307">
        <f>YEAR(OrdersTable[[#This Row],[Order Date]])</f>
        <v>2025</v>
      </c>
      <c r="D4307" s="2">
        <f>DATE(YEAR(OrdersTable[[#This Row],[Order Date]]),MONTH(OrdersTable[[#This Row],[Order Date]]),1)</f>
        <v>45962</v>
      </c>
      <c r="E4307">
        <f>MONTH(OrdersTable[[#This Row],[Order Date]])</f>
        <v>11</v>
      </c>
      <c r="F4307" t="s">
        <v>5734</v>
      </c>
      <c r="G4307" t="str">
        <f>IF(OrdersTable[[#This Row],[Order Date]]=_xlfn.MINIFS(Order_Date, Customer_ID, OrdersTable[[#This Row],[Customer ID]]), "New", "Repeat")</f>
        <v>Repeat</v>
      </c>
      <c r="H4307" t="s">
        <v>27</v>
      </c>
      <c r="I4307" t="str">
        <f>INDEX(State!B:B,MATCH(OrdersTable[[#This Row],[State]],State!A:A,0))</f>
        <v>WB</v>
      </c>
      <c r="J4307" t="str">
        <f>INDEX(State!C:C,MATCH(OrdersTable[[#This Row],[State Code]],State!B:B,0))</f>
        <v>East</v>
      </c>
      <c r="K4307" t="s">
        <v>28</v>
      </c>
      <c r="L4307" t="s">
        <v>16</v>
      </c>
      <c r="M4307" t="s">
        <v>17</v>
      </c>
      <c r="N4307" t="str">
        <f>INDEX(Products!B:B,MATCH(OrdersTable[[#This Row],[Product ID]],Products!A:A,0))</f>
        <v>Casual Sneakers</v>
      </c>
      <c r="O4307" t="str">
        <f>INDEX(Products!C:C,MATCH(OrdersTable[[#This Row],[Product ID]],Products!A:A,0))</f>
        <v>Footwear</v>
      </c>
      <c r="P4307">
        <v>2</v>
      </c>
      <c r="Q4307" s="5">
        <v>2199</v>
      </c>
      <c r="R4307" s="74">
        <v>0.3</v>
      </c>
      <c r="S4307" s="75">
        <f>OrdersTable[[#This Row],[Quantity]]*OrdersTable[[#This Row],[Unit Price]]</f>
        <v>4398</v>
      </c>
      <c r="T4307" s="5">
        <f>OrdersTable[[#This Row],[Gross Sale]]*OrdersTable[[#This Row],[Discount_Clean2]]</f>
        <v>1319.3999999999999</v>
      </c>
      <c r="U4307" s="5">
        <f>OrdersTable[[#This Row],[Gross Sale]]-OrdersTable[[#This Row],[Discount Amount]]</f>
        <v>3078.6000000000004</v>
      </c>
      <c r="V4307" s="77">
        <f>INDEX(Products!E:E,MATCH(OrdersTable[[#This Row],[Product ID]],Products!A:A,0))</f>
        <v>1034</v>
      </c>
      <c r="W4307" s="77">
        <f>OrdersTable[[#This Row],[Quantity]]*OrdersTable[[#This Row],[Unit Cost]]</f>
        <v>2068</v>
      </c>
      <c r="X4307" s="77">
        <f>'Dropdown Lists'!$I$2*(1+OrdersTable[[#This Row],[Returned]])</f>
        <v>60</v>
      </c>
      <c r="Y4307" s="76">
        <f>OrdersTable[[#This Row],[Net Revenue]]-OrdersTable[[#This Row],[COGS]]-OrdersTable[[#This Row],[Shipping Cost]]</f>
        <v>950.60000000000036</v>
      </c>
      <c r="Z4307" s="78">
        <f>IFERROR(OrdersTable[[#This Row],[Profit]]/OrdersTable[[#This Row],[Net Revenue]],0)</f>
        <v>0.30877671668940437</v>
      </c>
      <c r="AA4307" t="s">
        <v>18</v>
      </c>
      <c r="AB4307" s="79">
        <v>45968</v>
      </c>
      <c r="AC4307">
        <f>OrdersTable[[#This Row],[Delivery Date]]-OrdersTable[[#This Row],[Order Date]]</f>
        <v>6</v>
      </c>
      <c r="AD4307" t="str">
        <f>IF(OrdersTable[[#This Row],[Delivery Days]]&lt;=2, "Express (≤2d)", IF(OrdersTable[[#This Row],[Delivery Days]]&lt;=4, "Standard (3-4d)", "Delayed (5d+)"))</f>
        <v>Delayed (5d+)</v>
      </c>
      <c r="AE4307">
        <v>3</v>
      </c>
      <c r="AF4307">
        <v>0</v>
      </c>
    </row>
    <row r="4308" spans="1:32" ht="15" x14ac:dyDescent="0.35">
      <c r="A4308" t="s">
        <v>700</v>
      </c>
      <c r="B4308" s="1">
        <v>45962</v>
      </c>
      <c r="C4308">
        <f>YEAR(OrdersTable[[#This Row],[Order Date]])</f>
        <v>2025</v>
      </c>
      <c r="D4308" s="2">
        <f>DATE(YEAR(OrdersTable[[#This Row],[Order Date]]),MONTH(OrdersTable[[#This Row],[Order Date]]),1)</f>
        <v>45962</v>
      </c>
      <c r="E4308">
        <f>MONTH(OrdersTable[[#This Row],[Order Date]])</f>
        <v>11</v>
      </c>
      <c r="F4308" t="s">
        <v>701</v>
      </c>
      <c r="G4308" t="str">
        <f>IF(OrdersTable[[#This Row],[Order Date]]=_xlfn.MINIFS(Order_Date, Customer_ID, OrdersTable[[#This Row],[Customer ID]]), "New", "Repeat")</f>
        <v>New</v>
      </c>
      <c r="H4308" t="s">
        <v>90</v>
      </c>
      <c r="I4308" t="str">
        <f>INDEX(State!B:B,MATCH(OrdersTable[[#This Row],[State]],State!A:A,0))</f>
        <v>GA</v>
      </c>
      <c r="J4308" t="str">
        <f>INDEX(State!C:C,MATCH(OrdersTable[[#This Row],[State Code]],State!B:B,0))</f>
        <v>West</v>
      </c>
      <c r="K4308" t="s">
        <v>91</v>
      </c>
      <c r="L4308" t="s">
        <v>23</v>
      </c>
      <c r="M4308" t="s">
        <v>255</v>
      </c>
      <c r="N4308" t="str">
        <f>INDEX(Products!B:B,MATCH(OrdersTable[[#This Row],[Product ID]],Products!A:A,0))</f>
        <v>Cotton Oversized T-Shirt</v>
      </c>
      <c r="O4308" t="str">
        <f>INDEX(Products!C:C,MATCH(OrdersTable[[#This Row],[Product ID]],Products!A:A,0))</f>
        <v>Apparel</v>
      </c>
      <c r="P4308">
        <v>1</v>
      </c>
      <c r="Q4308" s="5">
        <v>799</v>
      </c>
      <c r="R4308" s="74">
        <v>0.05</v>
      </c>
      <c r="S4308" s="75">
        <f>OrdersTable[[#This Row],[Quantity]]*OrdersTable[[#This Row],[Unit Price]]</f>
        <v>799</v>
      </c>
      <c r="T4308" s="5">
        <f>OrdersTable[[#This Row],[Gross Sale]]*OrdersTable[[#This Row],[Discount_Clean2]]</f>
        <v>39.950000000000003</v>
      </c>
      <c r="U4308" s="5">
        <f>OrdersTable[[#This Row],[Gross Sale]]-OrdersTable[[#This Row],[Discount Amount]]</f>
        <v>759.05</v>
      </c>
      <c r="V4308" s="77">
        <f>INDEX(Products!E:E,MATCH(OrdersTable[[#This Row],[Product ID]],Products!A:A,0))</f>
        <v>320</v>
      </c>
      <c r="W4308" s="77">
        <f>OrdersTable[[#This Row],[Quantity]]*OrdersTable[[#This Row],[Unit Cost]]</f>
        <v>320</v>
      </c>
      <c r="X4308" s="77">
        <f>'Dropdown Lists'!$I$2*(1+OrdersTable[[#This Row],[Returned]])</f>
        <v>60</v>
      </c>
      <c r="Y4308" s="76">
        <f>OrdersTable[[#This Row],[Net Revenue]]-OrdersTable[[#This Row],[COGS]]-OrdersTable[[#This Row],[Shipping Cost]]</f>
        <v>379.04999999999995</v>
      </c>
      <c r="Z4308" s="78">
        <f>IFERROR(OrdersTable[[#This Row],[Profit]]/OrdersTable[[#This Row],[Net Revenue]],0)</f>
        <v>0.49937421777221525</v>
      </c>
      <c r="AA4308" t="s">
        <v>18</v>
      </c>
      <c r="AB4308" s="79">
        <v>45966</v>
      </c>
      <c r="AC4308">
        <f>OrdersTable[[#This Row],[Delivery Date]]-OrdersTable[[#This Row],[Order Date]]</f>
        <v>4</v>
      </c>
      <c r="AD4308" t="str">
        <f>IF(OrdersTable[[#This Row],[Delivery Days]]&lt;=2, "Express (≤2d)", IF(OrdersTable[[#This Row],[Delivery Days]]&lt;=4, "Standard (3-4d)", "Delayed (5d+)"))</f>
        <v>Standard (3-4d)</v>
      </c>
      <c r="AE4308">
        <v>4</v>
      </c>
      <c r="AF4308">
        <v>0</v>
      </c>
    </row>
    <row r="4309" spans="1:32" ht="15" x14ac:dyDescent="0.35">
      <c r="A4309" t="s">
        <v>2668</v>
      </c>
      <c r="B4309" s="1">
        <v>45962</v>
      </c>
      <c r="C4309">
        <f>YEAR(OrdersTable[[#This Row],[Order Date]])</f>
        <v>2025</v>
      </c>
      <c r="D4309" s="2">
        <f>DATE(YEAR(OrdersTable[[#This Row],[Order Date]]),MONTH(OrdersTable[[#This Row],[Order Date]]),1)</f>
        <v>45962</v>
      </c>
      <c r="E4309">
        <f>MONTH(OrdersTable[[#This Row],[Order Date]])</f>
        <v>11</v>
      </c>
      <c r="F4309" t="s">
        <v>2669</v>
      </c>
      <c r="G4309" t="str">
        <f>IF(OrdersTable[[#This Row],[Order Date]]=_xlfn.MINIFS(Order_Date, Customer_ID, OrdersTable[[#This Row],[Customer ID]]), "New", "Repeat")</f>
        <v>Repeat</v>
      </c>
      <c r="H4309" t="s">
        <v>167</v>
      </c>
      <c r="I4309" t="str">
        <f>INDEX(State!B:B,MATCH(OrdersTable[[#This Row],[State]],State!A:A,0))</f>
        <v>KA</v>
      </c>
      <c r="J4309" t="str">
        <f>INDEX(State!C:C,MATCH(OrdersTable[[#This Row],[State Code]],State!B:B,0))</f>
        <v>South</v>
      </c>
      <c r="K4309" t="s">
        <v>168</v>
      </c>
      <c r="L4309" t="s">
        <v>23</v>
      </c>
      <c r="M4309" t="s">
        <v>148</v>
      </c>
      <c r="N4309" t="str">
        <f>INDEX(Products!B:B,MATCH(OrdersTable[[#This Row],[Product ID]],Products!A:A,0))</f>
        <v>Smartwatch Strap</v>
      </c>
      <c r="O4309" t="str">
        <f>INDEX(Products!C:C,MATCH(OrdersTable[[#This Row],[Product ID]],Products!A:A,0))</f>
        <v>Electronics</v>
      </c>
      <c r="P4309">
        <v>1</v>
      </c>
      <c r="Q4309" s="5">
        <v>499</v>
      </c>
      <c r="R4309" s="74">
        <v>0.25</v>
      </c>
      <c r="S4309" s="75">
        <f>OrdersTable[[#This Row],[Quantity]]*OrdersTable[[#This Row],[Unit Price]]</f>
        <v>499</v>
      </c>
      <c r="T4309" s="5">
        <f>OrdersTable[[#This Row],[Gross Sale]]*OrdersTable[[#This Row],[Discount_Clean2]]</f>
        <v>124.75</v>
      </c>
      <c r="U4309" s="5">
        <f>OrdersTable[[#This Row],[Gross Sale]]-OrdersTable[[#This Row],[Discount Amount]]</f>
        <v>374.25</v>
      </c>
      <c r="V4309" s="77">
        <f>INDEX(Products!E:E,MATCH(OrdersTable[[#This Row],[Product ID]],Products!A:A,0))</f>
        <v>200</v>
      </c>
      <c r="W4309" s="77">
        <f>OrdersTable[[#This Row],[Quantity]]*OrdersTable[[#This Row],[Unit Cost]]</f>
        <v>200</v>
      </c>
      <c r="X4309" s="77">
        <f>'Dropdown Lists'!$I$2*(1+OrdersTable[[#This Row],[Returned]])</f>
        <v>60</v>
      </c>
      <c r="Y4309" s="76">
        <f>OrdersTable[[#This Row],[Net Revenue]]-OrdersTable[[#This Row],[COGS]]-OrdersTable[[#This Row],[Shipping Cost]]</f>
        <v>114.25</v>
      </c>
      <c r="Z4309" s="78">
        <f>IFERROR(OrdersTable[[#This Row],[Profit]]/OrdersTable[[#This Row],[Net Revenue]],0)</f>
        <v>0.30527722110888444</v>
      </c>
      <c r="AA4309" t="s">
        <v>2522</v>
      </c>
      <c r="AB4309" s="79">
        <v>45963</v>
      </c>
      <c r="AC4309">
        <f>OrdersTable[[#This Row],[Delivery Date]]-OrdersTable[[#This Row],[Order Date]]</f>
        <v>1</v>
      </c>
      <c r="AD4309" t="str">
        <f>IF(OrdersTable[[#This Row],[Delivery Days]]&lt;=2, "Express (≤2d)", IF(OrdersTable[[#This Row],[Delivery Days]]&lt;=4, "Standard (3-4d)", "Delayed (5d+)"))</f>
        <v>Express (≤2d)</v>
      </c>
      <c r="AE4309">
        <v>5</v>
      </c>
      <c r="AF4309">
        <v>0</v>
      </c>
    </row>
    <row r="4310" spans="1:32" ht="15" x14ac:dyDescent="0.35">
      <c r="A4310" t="s">
        <v>5553</v>
      </c>
      <c r="B4310" s="1">
        <v>45962</v>
      </c>
      <c r="C4310">
        <f>YEAR(OrdersTable[[#This Row],[Order Date]])</f>
        <v>2025</v>
      </c>
      <c r="D4310" s="2">
        <f>DATE(YEAR(OrdersTable[[#This Row],[Order Date]]),MONTH(OrdersTable[[#This Row],[Order Date]]),1)</f>
        <v>45962</v>
      </c>
      <c r="E4310">
        <f>MONTH(OrdersTable[[#This Row],[Order Date]])</f>
        <v>11</v>
      </c>
      <c r="F4310" t="s">
        <v>1135</v>
      </c>
      <c r="G4310" t="str">
        <f>IF(OrdersTable[[#This Row],[Order Date]]=_xlfn.MINIFS(Order_Date, Customer_ID, OrdersTable[[#This Row],[Customer ID]]), "New", "Repeat")</f>
        <v>Repeat</v>
      </c>
      <c r="H4310" t="s">
        <v>275</v>
      </c>
      <c r="I4310" t="str">
        <f>INDEX(State!B:B,MATCH(OrdersTable[[#This Row],[State]],State!A:A,0))</f>
        <v>AP</v>
      </c>
      <c r="J4310" t="str">
        <f>INDEX(State!C:C,MATCH(OrdersTable[[#This Row],[State Code]],State!B:B,0))</f>
        <v>South</v>
      </c>
      <c r="K4310" t="s">
        <v>276</v>
      </c>
      <c r="L4310" t="s">
        <v>39</v>
      </c>
      <c r="M4310" t="s">
        <v>73</v>
      </c>
      <c r="N4310" t="str">
        <f>INDEX(Products!B:B,MATCH(OrdersTable[[#This Row],[Product ID]],Products!A:A,0))</f>
        <v>Hydrating Face Wash</v>
      </c>
      <c r="O4310" t="str">
        <f>INDEX(Products!C:C,MATCH(OrdersTable[[#This Row],[Product ID]],Products!A:A,0))</f>
        <v>Skincare</v>
      </c>
      <c r="P4310">
        <v>2</v>
      </c>
      <c r="Q4310" s="5">
        <v>299</v>
      </c>
      <c r="R4310" s="74">
        <v>0.1</v>
      </c>
      <c r="S4310" s="75">
        <f>OrdersTable[[#This Row],[Quantity]]*OrdersTable[[#This Row],[Unit Price]]</f>
        <v>598</v>
      </c>
      <c r="T4310" s="5">
        <f>OrdersTable[[#This Row],[Gross Sale]]*OrdersTable[[#This Row],[Discount_Clean2]]</f>
        <v>59.800000000000004</v>
      </c>
      <c r="U4310" s="5">
        <f>OrdersTable[[#This Row],[Gross Sale]]-OrdersTable[[#This Row],[Discount Amount]]</f>
        <v>538.20000000000005</v>
      </c>
      <c r="V4310" s="77">
        <f>INDEX(Products!E:E,MATCH(OrdersTable[[#This Row],[Product ID]],Products!A:A,0))</f>
        <v>90</v>
      </c>
      <c r="W4310" s="77">
        <f>OrdersTable[[#This Row],[Quantity]]*OrdersTable[[#This Row],[Unit Cost]]</f>
        <v>180</v>
      </c>
      <c r="X4310" s="77">
        <f>'Dropdown Lists'!$I$2*(1+OrdersTable[[#This Row],[Returned]])</f>
        <v>60</v>
      </c>
      <c r="Y4310" s="76">
        <f>OrdersTable[[#This Row],[Net Revenue]]-OrdersTable[[#This Row],[COGS]]-OrdersTable[[#This Row],[Shipping Cost]]</f>
        <v>298.20000000000005</v>
      </c>
      <c r="Z4310" s="78">
        <f>IFERROR(OrdersTable[[#This Row],[Profit]]/OrdersTable[[#This Row],[Net Revenue]],0)</f>
        <v>0.55406911928651059</v>
      </c>
      <c r="AA4310" t="s">
        <v>2522</v>
      </c>
      <c r="AB4310" s="79">
        <v>45967</v>
      </c>
      <c r="AC4310">
        <f>OrdersTable[[#This Row],[Delivery Date]]-OrdersTable[[#This Row],[Order Date]]</f>
        <v>5</v>
      </c>
      <c r="AD4310" t="str">
        <f>IF(OrdersTable[[#This Row],[Delivery Days]]&lt;=2, "Express (≤2d)", IF(OrdersTable[[#This Row],[Delivery Days]]&lt;=4, "Standard (3-4d)", "Delayed (5d+)"))</f>
        <v>Delayed (5d+)</v>
      </c>
      <c r="AE4310">
        <v>4</v>
      </c>
      <c r="AF4310">
        <v>0</v>
      </c>
    </row>
    <row r="4311" spans="1:32" ht="15" x14ac:dyDescent="0.35">
      <c r="A4311" t="s">
        <v>3363</v>
      </c>
      <c r="B4311" s="1">
        <v>45963</v>
      </c>
      <c r="C4311">
        <f>YEAR(OrdersTable[[#This Row],[Order Date]])</f>
        <v>2025</v>
      </c>
      <c r="D4311" s="2">
        <f>DATE(YEAR(OrdersTable[[#This Row],[Order Date]]),MONTH(OrdersTable[[#This Row],[Order Date]]),1)</f>
        <v>45962</v>
      </c>
      <c r="E4311">
        <f>MONTH(OrdersTable[[#This Row],[Order Date]])</f>
        <v>11</v>
      </c>
      <c r="F4311" t="s">
        <v>323</v>
      </c>
      <c r="G4311" t="str">
        <f>IF(OrdersTable[[#This Row],[Order Date]]=_xlfn.MINIFS(Order_Date, Customer_ID, OrdersTable[[#This Row],[Customer ID]]), "New", "Repeat")</f>
        <v>Repeat</v>
      </c>
      <c r="H4311" t="s">
        <v>21</v>
      </c>
      <c r="I4311" t="str">
        <f>INDEX(State!B:B,MATCH(OrdersTable[[#This Row],[State]],State!A:A,0))</f>
        <v>PB</v>
      </c>
      <c r="J4311" t="str">
        <f>INDEX(State!C:C,MATCH(OrdersTable[[#This Row],[State Code]],State!B:B,0))</f>
        <v>North</v>
      </c>
      <c r="K4311" t="s">
        <v>22</v>
      </c>
      <c r="L4311" t="s">
        <v>16</v>
      </c>
      <c r="M4311" t="s">
        <v>17</v>
      </c>
      <c r="N4311" t="str">
        <f>INDEX(Products!B:B,MATCH(OrdersTable[[#This Row],[Product ID]],Products!A:A,0))</f>
        <v>Casual Sneakers</v>
      </c>
      <c r="O4311" t="str">
        <f>INDEX(Products!C:C,MATCH(OrdersTable[[#This Row],[Product ID]],Products!A:A,0))</f>
        <v>Footwear</v>
      </c>
      <c r="P4311">
        <v>1</v>
      </c>
      <c r="Q4311" s="5">
        <v>2199</v>
      </c>
      <c r="R4311" s="74">
        <v>0.45</v>
      </c>
      <c r="S4311" s="75">
        <f>OrdersTable[[#This Row],[Quantity]]*OrdersTable[[#This Row],[Unit Price]]</f>
        <v>2199</v>
      </c>
      <c r="T4311" s="5">
        <f>OrdersTable[[#This Row],[Gross Sale]]*OrdersTable[[#This Row],[Discount_Clean2]]</f>
        <v>989.55000000000007</v>
      </c>
      <c r="U4311" s="5">
        <f>OrdersTable[[#This Row],[Gross Sale]]-OrdersTable[[#This Row],[Discount Amount]]</f>
        <v>1209.4499999999998</v>
      </c>
      <c r="V4311" s="77">
        <f>INDEX(Products!E:E,MATCH(OrdersTable[[#This Row],[Product ID]],Products!A:A,0))</f>
        <v>1034</v>
      </c>
      <c r="W4311" s="77">
        <f>OrdersTable[[#This Row],[Quantity]]*OrdersTable[[#This Row],[Unit Cost]]</f>
        <v>1034</v>
      </c>
      <c r="X4311" s="77">
        <f>'Dropdown Lists'!$I$2*(1+OrdersTable[[#This Row],[Returned]])</f>
        <v>60</v>
      </c>
      <c r="Y4311" s="76">
        <f>OrdersTable[[#This Row],[Net Revenue]]-OrdersTable[[#This Row],[COGS]]-OrdersTable[[#This Row],[Shipping Cost]]</f>
        <v>115.44999999999982</v>
      </c>
      <c r="Z4311" s="78">
        <f>IFERROR(OrdersTable[[#This Row],[Profit]]/OrdersTable[[#This Row],[Net Revenue]],0)</f>
        <v>9.5456612509818378E-2</v>
      </c>
      <c r="AA4311" t="s">
        <v>2522</v>
      </c>
      <c r="AB4311" s="79">
        <v>45967</v>
      </c>
      <c r="AC4311">
        <f>OrdersTable[[#This Row],[Delivery Date]]-OrdersTable[[#This Row],[Order Date]]</f>
        <v>4</v>
      </c>
      <c r="AD4311" t="str">
        <f>IF(OrdersTable[[#This Row],[Delivery Days]]&lt;=2, "Express (≤2d)", IF(OrdersTable[[#This Row],[Delivery Days]]&lt;=4, "Standard (3-4d)", "Delayed (5d+)"))</f>
        <v>Standard (3-4d)</v>
      </c>
      <c r="AE4311">
        <v>4</v>
      </c>
      <c r="AF4311">
        <v>0</v>
      </c>
    </row>
    <row r="4312" spans="1:32" ht="15" x14ac:dyDescent="0.35">
      <c r="A4312" t="s">
        <v>7127</v>
      </c>
      <c r="B4312" s="1">
        <v>45963</v>
      </c>
      <c r="C4312">
        <f>YEAR(OrdersTable[[#This Row],[Order Date]])</f>
        <v>2025</v>
      </c>
      <c r="D4312" s="2">
        <f>DATE(YEAR(OrdersTable[[#This Row],[Order Date]]),MONTH(OrdersTable[[#This Row],[Order Date]]),1)</f>
        <v>45962</v>
      </c>
      <c r="E4312">
        <f>MONTH(OrdersTable[[#This Row],[Order Date]])</f>
        <v>11</v>
      </c>
      <c r="F4312" t="s">
        <v>7128</v>
      </c>
      <c r="G4312" t="str">
        <f>IF(OrdersTable[[#This Row],[Order Date]]=_xlfn.MINIFS(Order_Date, Customer_ID, OrdersTable[[#This Row],[Customer ID]]), "New", "Repeat")</f>
        <v>New</v>
      </c>
      <c r="H4312" t="s">
        <v>54</v>
      </c>
      <c r="I4312" t="str">
        <f>INDEX(State!B:B,MATCH(OrdersTable[[#This Row],[State]],State!A:A,0))</f>
        <v>RJ</v>
      </c>
      <c r="J4312" t="str">
        <f>INDEX(State!C:C,MATCH(OrdersTable[[#This Row],[State Code]],State!B:B,0))</f>
        <v>North</v>
      </c>
      <c r="K4312" t="s">
        <v>227</v>
      </c>
      <c r="L4312" t="s">
        <v>65</v>
      </c>
      <c r="M4312" t="s">
        <v>24</v>
      </c>
      <c r="N4312" t="str">
        <f>INDEX(Products!B:B,MATCH(OrdersTable[[#This Row],[Product ID]],Products!A:A,0))</f>
        <v>Scented Candle Set</v>
      </c>
      <c r="O4312" t="str">
        <f>INDEX(Products!C:C,MATCH(OrdersTable[[#This Row],[Product ID]],Products!A:A,0))</f>
        <v>Home &amp; Kitchen</v>
      </c>
      <c r="P4312">
        <v>4</v>
      </c>
      <c r="Q4312" s="5">
        <v>699</v>
      </c>
      <c r="R4312" s="74">
        <v>0.35</v>
      </c>
      <c r="S4312" s="75">
        <f>OrdersTable[[#This Row],[Quantity]]*OrdersTable[[#This Row],[Unit Price]]</f>
        <v>2796</v>
      </c>
      <c r="T4312" s="5">
        <f>OrdersTable[[#This Row],[Gross Sale]]*OrdersTable[[#This Row],[Discount_Clean2]]</f>
        <v>978.59999999999991</v>
      </c>
      <c r="U4312" s="5">
        <f>OrdersTable[[#This Row],[Gross Sale]]-OrdersTable[[#This Row],[Discount Amount]]</f>
        <v>1817.4</v>
      </c>
      <c r="V4312" s="77">
        <f>INDEX(Products!E:E,MATCH(OrdersTable[[#This Row],[Product ID]],Products!A:A,0))</f>
        <v>245</v>
      </c>
      <c r="W4312" s="77">
        <f>OrdersTable[[#This Row],[Quantity]]*OrdersTable[[#This Row],[Unit Cost]]</f>
        <v>980</v>
      </c>
      <c r="X4312" s="77">
        <f>'Dropdown Lists'!$I$2*(1+OrdersTable[[#This Row],[Returned]])</f>
        <v>60</v>
      </c>
      <c r="Y4312" s="76">
        <f>OrdersTable[[#This Row],[Net Revenue]]-OrdersTable[[#This Row],[COGS]]-OrdersTable[[#This Row],[Shipping Cost]]</f>
        <v>777.40000000000009</v>
      </c>
      <c r="Z4312" s="78">
        <f>IFERROR(OrdersTable[[#This Row],[Profit]]/OrdersTable[[#This Row],[Net Revenue]],0)</f>
        <v>0.42775393419170243</v>
      </c>
      <c r="AA4312" t="s">
        <v>18</v>
      </c>
      <c r="AB4312" s="79">
        <v>45966</v>
      </c>
      <c r="AC4312">
        <f>OrdersTable[[#This Row],[Delivery Date]]-OrdersTable[[#This Row],[Order Date]]</f>
        <v>3</v>
      </c>
      <c r="AD4312" t="str">
        <f>IF(OrdersTable[[#This Row],[Delivery Days]]&lt;=2, "Express (≤2d)", IF(OrdersTable[[#This Row],[Delivery Days]]&lt;=4, "Standard (3-4d)", "Delayed (5d+)"))</f>
        <v>Standard (3-4d)</v>
      </c>
      <c r="AE4312">
        <v>4</v>
      </c>
      <c r="AF4312">
        <v>0</v>
      </c>
    </row>
    <row r="4313" spans="1:32" ht="15" x14ac:dyDescent="0.35">
      <c r="A4313" t="s">
        <v>4303</v>
      </c>
      <c r="B4313" s="1">
        <v>45963</v>
      </c>
      <c r="C4313">
        <f>YEAR(OrdersTable[[#This Row],[Order Date]])</f>
        <v>2025</v>
      </c>
      <c r="D4313" s="2">
        <f>DATE(YEAR(OrdersTable[[#This Row],[Order Date]]),MONTH(OrdersTable[[#This Row],[Order Date]]),1)</f>
        <v>45962</v>
      </c>
      <c r="E4313">
        <f>MONTH(OrdersTable[[#This Row],[Order Date]])</f>
        <v>11</v>
      </c>
      <c r="F4313" t="s">
        <v>3321</v>
      </c>
      <c r="G4313" t="str">
        <f>IF(OrdersTable[[#This Row],[Order Date]]=_xlfn.MINIFS(Order_Date, Customer_ID, OrdersTable[[#This Row],[Customer ID]]), "New", "Repeat")</f>
        <v>Repeat</v>
      </c>
      <c r="H4313" t="s">
        <v>48</v>
      </c>
      <c r="I4313" t="str">
        <f>INDEX(State!B:B,MATCH(OrdersTable[[#This Row],[State]],State!A:A,0))</f>
        <v>HR</v>
      </c>
      <c r="J4313" t="str">
        <f>INDEX(State!C:C,MATCH(OrdersTable[[#This Row],[State Code]],State!B:B,0))</f>
        <v>North</v>
      </c>
      <c r="K4313" t="s">
        <v>49</v>
      </c>
      <c r="L4313" t="s">
        <v>65</v>
      </c>
      <c r="M4313" t="s">
        <v>576</v>
      </c>
      <c r="N4313" t="str">
        <f>INDEX(Products!B:B,MATCH(OrdersTable[[#This Row],[Product ID]],Products!A:A,0))</f>
        <v>Printed Saree</v>
      </c>
      <c r="O4313" t="str">
        <f>INDEX(Products!C:C,MATCH(OrdersTable[[#This Row],[Product ID]],Products!A:A,0))</f>
        <v>Apparel</v>
      </c>
      <c r="P4313">
        <v>1</v>
      </c>
      <c r="Q4313" s="5">
        <v>1999</v>
      </c>
      <c r="R4313" s="74">
        <v>0.15</v>
      </c>
      <c r="S4313" s="75">
        <f>OrdersTable[[#This Row],[Quantity]]*OrdersTable[[#This Row],[Unit Price]]</f>
        <v>1999</v>
      </c>
      <c r="T4313" s="5">
        <f>OrdersTable[[#This Row],[Gross Sale]]*OrdersTable[[#This Row],[Discount_Clean2]]</f>
        <v>299.84999999999997</v>
      </c>
      <c r="U4313" s="5">
        <f>OrdersTable[[#This Row],[Gross Sale]]-OrdersTable[[#This Row],[Discount Amount]]</f>
        <v>1699.15</v>
      </c>
      <c r="V4313" s="77">
        <f>INDEX(Products!E:E,MATCH(OrdersTable[[#This Row],[Product ID]],Products!A:A,0))</f>
        <v>880</v>
      </c>
      <c r="W4313" s="77">
        <f>OrdersTable[[#This Row],[Quantity]]*OrdersTable[[#This Row],[Unit Cost]]</f>
        <v>880</v>
      </c>
      <c r="X4313" s="77">
        <f>'Dropdown Lists'!$I$2*(1+OrdersTable[[#This Row],[Returned]])</f>
        <v>60</v>
      </c>
      <c r="Y4313" s="76">
        <f>OrdersTable[[#This Row],[Net Revenue]]-OrdersTable[[#This Row],[COGS]]-OrdersTable[[#This Row],[Shipping Cost]]</f>
        <v>759.15000000000009</v>
      </c>
      <c r="Z4313" s="78">
        <f>IFERROR(OrdersTable[[#This Row],[Profit]]/OrdersTable[[#This Row],[Net Revenue]],0)</f>
        <v>0.44678221463673018</v>
      </c>
      <c r="AA4313" t="s">
        <v>4074</v>
      </c>
      <c r="AB4313" s="79">
        <v>45966</v>
      </c>
      <c r="AC4313">
        <f>OrdersTable[[#This Row],[Delivery Date]]-OrdersTable[[#This Row],[Order Date]]</f>
        <v>3</v>
      </c>
      <c r="AD4313" t="str">
        <f>IF(OrdersTable[[#This Row],[Delivery Days]]&lt;=2, "Express (≤2d)", IF(OrdersTable[[#This Row],[Delivery Days]]&lt;=4, "Standard (3-4d)", "Delayed (5d+)"))</f>
        <v>Standard (3-4d)</v>
      </c>
      <c r="AF4313">
        <v>0</v>
      </c>
    </row>
    <row r="4314" spans="1:32" ht="15" x14ac:dyDescent="0.35">
      <c r="A4314" t="s">
        <v>5635</v>
      </c>
      <c r="B4314" s="1">
        <v>45963</v>
      </c>
      <c r="C4314">
        <f>YEAR(OrdersTable[[#This Row],[Order Date]])</f>
        <v>2025</v>
      </c>
      <c r="D4314" s="2">
        <f>DATE(YEAR(OrdersTable[[#This Row],[Order Date]]),MONTH(OrdersTable[[#This Row],[Order Date]]),1)</f>
        <v>45962</v>
      </c>
      <c r="E4314">
        <f>MONTH(OrdersTable[[#This Row],[Order Date]])</f>
        <v>11</v>
      </c>
      <c r="F4314" t="s">
        <v>5636</v>
      </c>
      <c r="G4314" t="str">
        <f>IF(OrdersTable[[#This Row],[Order Date]]=_xlfn.MINIFS(Order_Date, Customer_ID, OrdersTable[[#This Row],[Customer ID]]), "New", "Repeat")</f>
        <v>New</v>
      </c>
      <c r="H4314" t="s">
        <v>128</v>
      </c>
      <c r="I4314" t="str">
        <f>INDEX(State!B:B,MATCH(OrdersTable[[#This Row],[State]],State!A:A,0))</f>
        <v>DL</v>
      </c>
      <c r="J4314" t="str">
        <f>INDEX(State!C:C,MATCH(OrdersTable[[#This Row],[State Code]],State!B:B,0))</f>
        <v>North</v>
      </c>
      <c r="K4314" t="s">
        <v>129</v>
      </c>
      <c r="L4314" t="s">
        <v>23</v>
      </c>
      <c r="M4314" t="s">
        <v>51</v>
      </c>
      <c r="N4314" t="str">
        <f>INDEX(Products!B:B,MATCH(OrdersTable[[#This Row],[Product ID]],Products!A:A,0))</f>
        <v>Anti-Dandruff Conditioner</v>
      </c>
      <c r="O4314" t="str">
        <f>INDEX(Products!C:C,MATCH(OrdersTable[[#This Row],[Product ID]],Products!A:A,0))</f>
        <v>Haircare</v>
      </c>
      <c r="P4314">
        <v>2</v>
      </c>
      <c r="Q4314" s="5">
        <v>399</v>
      </c>
      <c r="R4314" s="74">
        <v>0.5</v>
      </c>
      <c r="S4314" s="75">
        <f>OrdersTable[[#This Row],[Quantity]]*OrdersTable[[#This Row],[Unit Price]]</f>
        <v>798</v>
      </c>
      <c r="T4314" s="5">
        <f>OrdersTable[[#This Row],[Gross Sale]]*OrdersTable[[#This Row],[Discount_Clean2]]</f>
        <v>399</v>
      </c>
      <c r="U4314" s="5">
        <f>OrdersTable[[#This Row],[Gross Sale]]-OrdersTable[[#This Row],[Discount Amount]]</f>
        <v>399</v>
      </c>
      <c r="V4314" s="77">
        <f>INDEX(Products!E:E,MATCH(OrdersTable[[#This Row],[Product ID]],Products!A:A,0))</f>
        <v>136</v>
      </c>
      <c r="W4314" s="77">
        <f>OrdersTable[[#This Row],[Quantity]]*OrdersTable[[#This Row],[Unit Cost]]</f>
        <v>272</v>
      </c>
      <c r="X4314" s="77">
        <f>'Dropdown Lists'!$I$2*(1+OrdersTable[[#This Row],[Returned]])</f>
        <v>60</v>
      </c>
      <c r="Y4314" s="76">
        <f>OrdersTable[[#This Row],[Net Revenue]]-OrdersTable[[#This Row],[COGS]]-OrdersTable[[#This Row],[Shipping Cost]]</f>
        <v>67</v>
      </c>
      <c r="Z4314" s="78">
        <f>IFERROR(OrdersTable[[#This Row],[Profit]]/OrdersTable[[#This Row],[Net Revenue]],0)</f>
        <v>0.16791979949874686</v>
      </c>
      <c r="AA4314" t="s">
        <v>2522</v>
      </c>
      <c r="AB4314" s="79">
        <v>45965</v>
      </c>
      <c r="AC4314">
        <f>OrdersTable[[#This Row],[Delivery Date]]-OrdersTable[[#This Row],[Order Date]]</f>
        <v>2</v>
      </c>
      <c r="AD4314" t="str">
        <f>IF(OrdersTable[[#This Row],[Delivery Days]]&lt;=2, "Express (≤2d)", IF(OrdersTable[[#This Row],[Delivery Days]]&lt;=4, "Standard (3-4d)", "Delayed (5d+)"))</f>
        <v>Express (≤2d)</v>
      </c>
      <c r="AE4314">
        <v>4</v>
      </c>
      <c r="AF4314">
        <v>0</v>
      </c>
    </row>
    <row r="4315" spans="1:32" ht="15" x14ac:dyDescent="0.35">
      <c r="A4315" t="s">
        <v>6821</v>
      </c>
      <c r="B4315" s="1">
        <v>45963</v>
      </c>
      <c r="C4315">
        <f>YEAR(OrdersTable[[#This Row],[Order Date]])</f>
        <v>2025</v>
      </c>
      <c r="D4315" s="2">
        <f>DATE(YEAR(OrdersTable[[#This Row],[Order Date]]),MONTH(OrdersTable[[#This Row],[Order Date]]),1)</f>
        <v>45962</v>
      </c>
      <c r="E4315">
        <f>MONTH(OrdersTable[[#This Row],[Order Date]])</f>
        <v>11</v>
      </c>
      <c r="F4315" t="s">
        <v>6822</v>
      </c>
      <c r="G4315" t="str">
        <f>IF(OrdersTable[[#This Row],[Order Date]]=_xlfn.MINIFS(Order_Date, Customer_ID, OrdersTable[[#This Row],[Customer ID]]), "New", "Repeat")</f>
        <v>New</v>
      </c>
      <c r="H4315" t="s">
        <v>32</v>
      </c>
      <c r="I4315" t="str">
        <f>INDEX(State!B:B,MATCH(OrdersTable[[#This Row],[State]],State!A:A,0))</f>
        <v>BR</v>
      </c>
      <c r="J4315" t="str">
        <f>INDEX(State!C:C,MATCH(OrdersTable[[#This Row],[State Code]],State!B:B,0))</f>
        <v>East</v>
      </c>
      <c r="K4315" t="s">
        <v>33</v>
      </c>
      <c r="L4315" t="s">
        <v>65</v>
      </c>
      <c r="M4315" t="s">
        <v>109</v>
      </c>
      <c r="N4315" t="str">
        <f>INDEX(Products!B:B,MATCH(OrdersTable[[#This Row],[Product ID]],Products!A:A,0))</f>
        <v>Onion Hair Oil</v>
      </c>
      <c r="O4315" t="str">
        <f>INDEX(Products!C:C,MATCH(OrdersTable[[#This Row],[Product ID]],Products!A:A,0))</f>
        <v>Haircare</v>
      </c>
      <c r="P4315">
        <v>3</v>
      </c>
      <c r="Q4315" s="5">
        <v>349</v>
      </c>
      <c r="R4315" s="74">
        <v>0.45</v>
      </c>
      <c r="S4315" s="75">
        <f>OrdersTable[[#This Row],[Quantity]]*OrdersTable[[#This Row],[Unit Price]]</f>
        <v>1047</v>
      </c>
      <c r="T4315" s="5">
        <f>OrdersTable[[#This Row],[Gross Sale]]*OrdersTable[[#This Row],[Discount_Clean2]]</f>
        <v>471.15000000000003</v>
      </c>
      <c r="U4315" s="5">
        <f>OrdersTable[[#This Row],[Gross Sale]]-OrdersTable[[#This Row],[Discount Amount]]</f>
        <v>575.84999999999991</v>
      </c>
      <c r="V4315" s="77">
        <f>INDEX(Products!E:E,MATCH(OrdersTable[[#This Row],[Product ID]],Products!A:A,0))</f>
        <v>105</v>
      </c>
      <c r="W4315" s="77">
        <f>OrdersTable[[#This Row],[Quantity]]*OrdersTable[[#This Row],[Unit Cost]]</f>
        <v>315</v>
      </c>
      <c r="X4315" s="77">
        <f>'Dropdown Lists'!$I$2*(1+OrdersTable[[#This Row],[Returned]])</f>
        <v>60</v>
      </c>
      <c r="Y4315" s="76">
        <f>OrdersTable[[#This Row],[Net Revenue]]-OrdersTable[[#This Row],[COGS]]-OrdersTable[[#This Row],[Shipping Cost]]</f>
        <v>200.84999999999991</v>
      </c>
      <c r="Z4315" s="78">
        <f>IFERROR(OrdersTable[[#This Row],[Profit]]/OrdersTable[[#This Row],[Net Revenue]],0)</f>
        <v>0.34878874706954927</v>
      </c>
      <c r="AA4315" t="s">
        <v>3495</v>
      </c>
      <c r="AB4315" s="79">
        <v>45968</v>
      </c>
      <c r="AC4315">
        <f>OrdersTable[[#This Row],[Delivery Date]]-OrdersTable[[#This Row],[Order Date]]</f>
        <v>5</v>
      </c>
      <c r="AD4315" t="str">
        <f>IF(OrdersTable[[#This Row],[Delivery Days]]&lt;=2, "Express (≤2d)", IF(OrdersTable[[#This Row],[Delivery Days]]&lt;=4, "Standard (3-4d)", "Delayed (5d+)"))</f>
        <v>Delayed (5d+)</v>
      </c>
      <c r="AE4315">
        <v>3</v>
      </c>
      <c r="AF4315">
        <v>0</v>
      </c>
    </row>
    <row r="4316" spans="1:32" ht="15" x14ac:dyDescent="0.35">
      <c r="A4316" t="s">
        <v>6420</v>
      </c>
      <c r="B4316" s="1">
        <v>45963</v>
      </c>
      <c r="C4316">
        <f>YEAR(OrdersTable[[#This Row],[Order Date]])</f>
        <v>2025</v>
      </c>
      <c r="D4316" s="2">
        <f>DATE(YEAR(OrdersTable[[#This Row],[Order Date]]),MONTH(OrdersTable[[#This Row],[Order Date]]),1)</f>
        <v>45962</v>
      </c>
      <c r="E4316">
        <f>MONTH(OrdersTable[[#This Row],[Order Date]])</f>
        <v>11</v>
      </c>
      <c r="F4316" t="s">
        <v>3637</v>
      </c>
      <c r="G4316" t="str">
        <f>IF(OrdersTable[[#This Row],[Order Date]]=_xlfn.MINIFS(Order_Date, Customer_ID, OrdersTable[[#This Row],[Customer ID]]), "New", "Repeat")</f>
        <v>Repeat</v>
      </c>
      <c r="H4316" t="s">
        <v>43</v>
      </c>
      <c r="I4316" t="str">
        <f>INDEX(State!B:B,MATCH(OrdersTable[[#This Row],[State]],State!A:A,0))</f>
        <v>MP</v>
      </c>
      <c r="J4316" t="str">
        <f>INDEX(State!C:C,MATCH(OrdersTable[[#This Row],[State Code]],State!B:B,0))</f>
        <v>West</v>
      </c>
      <c r="K4316" t="s">
        <v>44</v>
      </c>
      <c r="L4316" t="s">
        <v>50</v>
      </c>
      <c r="M4316" t="s">
        <v>160</v>
      </c>
      <c r="N4316" t="str">
        <f>INDEX(Products!B:B,MATCH(OrdersTable[[#This Row],[Product ID]],Products!A:A,0))</f>
        <v>Niacinamide Toner</v>
      </c>
      <c r="O4316" t="str">
        <f>INDEX(Products!C:C,MATCH(OrdersTable[[#This Row],[Product ID]],Products!A:A,0))</f>
        <v>Skincare</v>
      </c>
      <c r="P4316">
        <v>2</v>
      </c>
      <c r="Q4316" s="5">
        <v>399</v>
      </c>
      <c r="R4316" s="74">
        <v>0.4</v>
      </c>
      <c r="S4316" s="75">
        <f>OrdersTable[[#This Row],[Quantity]]*OrdersTable[[#This Row],[Unit Price]]</f>
        <v>798</v>
      </c>
      <c r="T4316" s="5">
        <f>OrdersTable[[#This Row],[Gross Sale]]*OrdersTable[[#This Row],[Discount_Clean2]]</f>
        <v>319.20000000000005</v>
      </c>
      <c r="U4316" s="5">
        <f>OrdersTable[[#This Row],[Gross Sale]]-OrdersTable[[#This Row],[Discount Amount]]</f>
        <v>478.79999999999995</v>
      </c>
      <c r="V4316" s="77">
        <f>INDEX(Products!E:E,MATCH(OrdersTable[[#This Row],[Product ID]],Products!A:A,0))</f>
        <v>112</v>
      </c>
      <c r="W4316" s="77">
        <f>OrdersTable[[#This Row],[Quantity]]*OrdersTable[[#This Row],[Unit Cost]]</f>
        <v>224</v>
      </c>
      <c r="X4316" s="77">
        <f>'Dropdown Lists'!$I$2*(1+OrdersTable[[#This Row],[Returned]])</f>
        <v>60</v>
      </c>
      <c r="Y4316" s="76">
        <f>OrdersTable[[#This Row],[Net Revenue]]-OrdersTable[[#This Row],[COGS]]-OrdersTable[[#This Row],[Shipping Cost]]</f>
        <v>194.79999999999995</v>
      </c>
      <c r="Z4316" s="78">
        <f>IFERROR(OrdersTable[[#This Row],[Profit]]/OrdersTable[[#This Row],[Net Revenue]],0)</f>
        <v>0.40685045948203835</v>
      </c>
      <c r="AA4316" t="s">
        <v>18</v>
      </c>
      <c r="AB4316" s="79">
        <v>45968</v>
      </c>
      <c r="AC4316">
        <f>OrdersTable[[#This Row],[Delivery Date]]-OrdersTable[[#This Row],[Order Date]]</f>
        <v>5</v>
      </c>
      <c r="AD4316" t="str">
        <f>IF(OrdersTable[[#This Row],[Delivery Days]]&lt;=2, "Express (≤2d)", IF(OrdersTable[[#This Row],[Delivery Days]]&lt;=4, "Standard (3-4d)", "Delayed (5d+)"))</f>
        <v>Delayed (5d+)</v>
      </c>
      <c r="AE4316">
        <v>3</v>
      </c>
      <c r="AF4316">
        <v>0</v>
      </c>
    </row>
    <row r="4317" spans="1:32" ht="15" x14ac:dyDescent="0.35">
      <c r="A4317" t="s">
        <v>7129</v>
      </c>
      <c r="B4317" s="1">
        <v>45963</v>
      </c>
      <c r="C4317">
        <f>YEAR(OrdersTable[[#This Row],[Order Date]])</f>
        <v>2025</v>
      </c>
      <c r="D4317" s="2">
        <f>DATE(YEAR(OrdersTable[[#This Row],[Order Date]]),MONTH(OrdersTable[[#This Row],[Order Date]]),1)</f>
        <v>45962</v>
      </c>
      <c r="E4317">
        <f>MONTH(OrdersTable[[#This Row],[Order Date]])</f>
        <v>11</v>
      </c>
      <c r="F4317" t="s">
        <v>5099</v>
      </c>
      <c r="G4317" t="str">
        <f>IF(OrdersTable[[#This Row],[Order Date]]=_xlfn.MINIFS(Order_Date, Customer_ID, OrdersTable[[#This Row],[Customer ID]]), "New", "Repeat")</f>
        <v>Repeat</v>
      </c>
      <c r="H4317" t="s">
        <v>123</v>
      </c>
      <c r="I4317" t="str">
        <f>INDEX(State!B:B,MATCH(OrdersTable[[#This Row],[State]],State!A:A,0))</f>
        <v>JH</v>
      </c>
      <c r="J4317" t="str">
        <f>INDEX(State!C:C,MATCH(OrdersTable[[#This Row],[State Code]],State!B:B,0))</f>
        <v>East</v>
      </c>
      <c r="K4317" t="s">
        <v>124</v>
      </c>
      <c r="L4317" t="s">
        <v>23</v>
      </c>
      <c r="M4317" t="s">
        <v>66</v>
      </c>
      <c r="N4317" t="str">
        <f>INDEX(Products!B:B,MATCH(OrdersTable[[#This Row],[Product ID]],Products!A:A,0))</f>
        <v>Sunscreen SPF 50</v>
      </c>
      <c r="O4317" t="str">
        <f>INDEX(Products!C:C,MATCH(OrdersTable[[#This Row],[Product ID]],Products!A:A,0))</f>
        <v>Skincare</v>
      </c>
      <c r="P4317">
        <v>4</v>
      </c>
      <c r="Q4317" s="5">
        <v>449</v>
      </c>
      <c r="R4317" s="74">
        <v>0.15</v>
      </c>
      <c r="S4317" s="75">
        <f>OrdersTable[[#This Row],[Quantity]]*OrdersTable[[#This Row],[Unit Price]]</f>
        <v>1796</v>
      </c>
      <c r="T4317" s="5">
        <f>OrdersTable[[#This Row],[Gross Sale]]*OrdersTable[[#This Row],[Discount_Clean2]]</f>
        <v>269.39999999999998</v>
      </c>
      <c r="U4317" s="5">
        <f>OrdersTable[[#This Row],[Gross Sale]]-OrdersTable[[#This Row],[Discount Amount]]</f>
        <v>1526.6</v>
      </c>
      <c r="V4317" s="77">
        <f>INDEX(Products!E:E,MATCH(OrdersTable[[#This Row],[Product ID]],Products!A:A,0))</f>
        <v>144</v>
      </c>
      <c r="W4317" s="77">
        <f>OrdersTable[[#This Row],[Quantity]]*OrdersTable[[#This Row],[Unit Cost]]</f>
        <v>576</v>
      </c>
      <c r="X4317" s="77">
        <f>'Dropdown Lists'!$I$2*(1+OrdersTable[[#This Row],[Returned]])</f>
        <v>60</v>
      </c>
      <c r="Y4317" s="76">
        <f>OrdersTable[[#This Row],[Net Revenue]]-OrdersTable[[#This Row],[COGS]]-OrdersTable[[#This Row],[Shipping Cost]]</f>
        <v>890.59999999999991</v>
      </c>
      <c r="Z4317" s="78">
        <f>IFERROR(OrdersTable[[#This Row],[Profit]]/OrdersTable[[#This Row],[Net Revenue]],0)</f>
        <v>0.58338792086990698</v>
      </c>
      <c r="AA4317" t="s">
        <v>18</v>
      </c>
      <c r="AB4317" s="79">
        <v>45969</v>
      </c>
      <c r="AC4317">
        <f>OrdersTable[[#This Row],[Delivery Date]]-OrdersTable[[#This Row],[Order Date]]</f>
        <v>6</v>
      </c>
      <c r="AD4317" t="str">
        <f>IF(OrdersTable[[#This Row],[Delivery Days]]&lt;=2, "Express (≤2d)", IF(OrdersTable[[#This Row],[Delivery Days]]&lt;=4, "Standard (3-4d)", "Delayed (5d+)"))</f>
        <v>Delayed (5d+)</v>
      </c>
      <c r="AF4317">
        <v>0</v>
      </c>
    </row>
    <row r="4318" spans="1:32" ht="15" x14ac:dyDescent="0.35">
      <c r="A4318" t="s">
        <v>6926</v>
      </c>
      <c r="B4318" s="1">
        <v>45963</v>
      </c>
      <c r="C4318">
        <f>YEAR(OrdersTable[[#This Row],[Order Date]])</f>
        <v>2025</v>
      </c>
      <c r="D4318" s="2">
        <f>DATE(YEAR(OrdersTable[[#This Row],[Order Date]]),MONTH(OrdersTable[[#This Row],[Order Date]]),1)</f>
        <v>45962</v>
      </c>
      <c r="E4318">
        <f>MONTH(OrdersTable[[#This Row],[Order Date]])</f>
        <v>11</v>
      </c>
      <c r="F4318" t="s">
        <v>6927</v>
      </c>
      <c r="G4318" t="str">
        <f>IF(OrdersTable[[#This Row],[Order Date]]=_xlfn.MINIFS(Order_Date, Customer_ID, OrdersTable[[#This Row],[Customer ID]]), "New", "Repeat")</f>
        <v>New</v>
      </c>
      <c r="H4318" t="s">
        <v>27</v>
      </c>
      <c r="I4318" t="str">
        <f>INDEX(State!B:B,MATCH(OrdersTable[[#This Row],[State]],State!A:A,0))</f>
        <v>WB</v>
      </c>
      <c r="J4318" t="str">
        <f>INDEX(State!C:C,MATCH(OrdersTable[[#This Row],[State Code]],State!B:B,0))</f>
        <v>East</v>
      </c>
      <c r="K4318" t="s">
        <v>28</v>
      </c>
      <c r="L4318" t="s">
        <v>50</v>
      </c>
      <c r="M4318" t="s">
        <v>56</v>
      </c>
      <c r="N4318" t="str">
        <f>INDEX(Products!B:B,MATCH(OrdersTable[[#This Row],[Product ID]],Products!A:A,0))</f>
        <v>Vitamin C Face Serum</v>
      </c>
      <c r="O4318" t="str">
        <f>INDEX(Products!C:C,MATCH(OrdersTable[[#This Row],[Product ID]],Products!A:A,0))</f>
        <v>Skincare</v>
      </c>
      <c r="P4318">
        <v>3</v>
      </c>
      <c r="Q4318" s="5">
        <v>599</v>
      </c>
      <c r="R4318" s="74">
        <v>0.35</v>
      </c>
      <c r="S4318" s="75">
        <f>OrdersTable[[#This Row],[Quantity]]*OrdersTable[[#This Row],[Unit Price]]</f>
        <v>1797</v>
      </c>
      <c r="T4318" s="5">
        <f>OrdersTable[[#This Row],[Gross Sale]]*OrdersTable[[#This Row],[Discount_Clean2]]</f>
        <v>628.94999999999993</v>
      </c>
      <c r="U4318" s="5">
        <f>OrdersTable[[#This Row],[Gross Sale]]-OrdersTable[[#This Row],[Discount Amount]]</f>
        <v>1168.0500000000002</v>
      </c>
      <c r="V4318" s="77">
        <f>INDEX(Products!E:E,MATCH(OrdersTable[[#This Row],[Product ID]],Products!A:A,0))</f>
        <v>180</v>
      </c>
      <c r="W4318" s="77">
        <f>OrdersTable[[#This Row],[Quantity]]*OrdersTable[[#This Row],[Unit Cost]]</f>
        <v>540</v>
      </c>
      <c r="X4318" s="77">
        <f>'Dropdown Lists'!$I$2*(1+OrdersTable[[#This Row],[Returned]])</f>
        <v>60</v>
      </c>
      <c r="Y4318" s="76">
        <f>OrdersTable[[#This Row],[Net Revenue]]-OrdersTable[[#This Row],[COGS]]-OrdersTable[[#This Row],[Shipping Cost]]</f>
        <v>568.05000000000018</v>
      </c>
      <c r="Z4318" s="78">
        <f>IFERROR(OrdersTable[[#This Row],[Profit]]/OrdersTable[[#This Row],[Net Revenue]],0)</f>
        <v>0.48632335944522931</v>
      </c>
      <c r="AA4318" t="s">
        <v>4450</v>
      </c>
      <c r="AB4318" s="79">
        <v>45968</v>
      </c>
      <c r="AC4318">
        <f>OrdersTable[[#This Row],[Delivery Date]]-OrdersTable[[#This Row],[Order Date]]</f>
        <v>5</v>
      </c>
      <c r="AD4318" t="str">
        <f>IF(OrdersTable[[#This Row],[Delivery Days]]&lt;=2, "Express (≤2d)", IF(OrdersTable[[#This Row],[Delivery Days]]&lt;=4, "Standard (3-4d)", "Delayed (5d+)"))</f>
        <v>Delayed (5d+)</v>
      </c>
      <c r="AE4318">
        <v>4</v>
      </c>
      <c r="AF4318">
        <v>0</v>
      </c>
    </row>
    <row r="4319" spans="1:32" ht="15" x14ac:dyDescent="0.35">
      <c r="A4319" t="s">
        <v>2670</v>
      </c>
      <c r="B4319" s="1">
        <v>45963</v>
      </c>
      <c r="C4319">
        <f>YEAR(OrdersTable[[#This Row],[Order Date]])</f>
        <v>2025</v>
      </c>
      <c r="D4319" s="2">
        <f>DATE(YEAR(OrdersTable[[#This Row],[Order Date]]),MONTH(OrdersTable[[#This Row],[Order Date]]),1)</f>
        <v>45962</v>
      </c>
      <c r="E4319">
        <f>MONTH(OrdersTable[[#This Row],[Order Date]])</f>
        <v>11</v>
      </c>
      <c r="F4319" t="s">
        <v>1458</v>
      </c>
      <c r="G4319" t="str">
        <f>IF(OrdersTable[[#This Row],[Order Date]]=_xlfn.MINIFS(Order_Date, Customer_ID, OrdersTable[[#This Row],[Customer ID]]), "New", "Repeat")</f>
        <v>Repeat</v>
      </c>
      <c r="H4319" t="s">
        <v>95</v>
      </c>
      <c r="I4319" t="str">
        <f>INDEX(State!B:B,MATCH(OrdersTable[[#This Row],[State]],State!A:A,0))</f>
        <v>TG</v>
      </c>
      <c r="J4319" t="str">
        <f>INDEX(State!C:C,MATCH(OrdersTable[[#This Row],[State Code]],State!B:B,0))</f>
        <v>South</v>
      </c>
      <c r="K4319" t="s">
        <v>96</v>
      </c>
      <c r="L4319" t="s">
        <v>23</v>
      </c>
      <c r="M4319" t="s">
        <v>45</v>
      </c>
      <c r="N4319" t="str">
        <f>INDEX(Products!B:B,MATCH(OrdersTable[[#This Row],[Product ID]],Products!A:A,0))</f>
        <v>Argan Shampoo</v>
      </c>
      <c r="O4319" t="str">
        <f>INDEX(Products!C:C,MATCH(OrdersTable[[#This Row],[Product ID]],Products!A:A,0))</f>
        <v>Haircare</v>
      </c>
      <c r="P4319">
        <v>1</v>
      </c>
      <c r="Q4319" s="5">
        <v>449</v>
      </c>
      <c r="R4319" s="74">
        <v>0.15</v>
      </c>
      <c r="S4319" s="75">
        <f>OrdersTable[[#This Row],[Quantity]]*OrdersTable[[#This Row],[Unit Price]]</f>
        <v>449</v>
      </c>
      <c r="T4319" s="5">
        <f>OrdersTable[[#This Row],[Gross Sale]]*OrdersTable[[#This Row],[Discount_Clean2]]</f>
        <v>67.349999999999994</v>
      </c>
      <c r="U4319" s="5">
        <f>OrdersTable[[#This Row],[Gross Sale]]-OrdersTable[[#This Row],[Discount Amount]]</f>
        <v>381.65</v>
      </c>
      <c r="V4319" s="77">
        <f>INDEX(Products!E:E,MATCH(OrdersTable[[#This Row],[Product ID]],Products!A:A,0))</f>
        <v>148</v>
      </c>
      <c r="W4319" s="77">
        <f>OrdersTable[[#This Row],[Quantity]]*OrdersTable[[#This Row],[Unit Cost]]</f>
        <v>148</v>
      </c>
      <c r="X4319" s="77">
        <f>'Dropdown Lists'!$I$2*(1+OrdersTable[[#This Row],[Returned]])</f>
        <v>60</v>
      </c>
      <c r="Y4319" s="76">
        <f>OrdersTable[[#This Row],[Net Revenue]]-OrdersTable[[#This Row],[COGS]]-OrdersTable[[#This Row],[Shipping Cost]]</f>
        <v>173.64999999999998</v>
      </c>
      <c r="Z4319" s="78">
        <f>IFERROR(OrdersTable[[#This Row],[Profit]]/OrdersTable[[#This Row],[Net Revenue]],0)</f>
        <v>0.45499803484868334</v>
      </c>
      <c r="AA4319" t="s">
        <v>2522</v>
      </c>
      <c r="AB4319" s="79">
        <v>45964</v>
      </c>
      <c r="AC4319">
        <f>OrdersTable[[#This Row],[Delivery Date]]-OrdersTable[[#This Row],[Order Date]]</f>
        <v>1</v>
      </c>
      <c r="AD4319" t="str">
        <f>IF(OrdersTable[[#This Row],[Delivery Days]]&lt;=2, "Express (≤2d)", IF(OrdersTable[[#This Row],[Delivery Days]]&lt;=4, "Standard (3-4d)", "Delayed (5d+)"))</f>
        <v>Express (≤2d)</v>
      </c>
      <c r="AE4319">
        <v>5</v>
      </c>
      <c r="AF4319">
        <v>0</v>
      </c>
    </row>
    <row r="4320" spans="1:32" ht="15" x14ac:dyDescent="0.35">
      <c r="A4320" t="s">
        <v>4055</v>
      </c>
      <c r="B4320" s="1">
        <v>45963</v>
      </c>
      <c r="C4320">
        <f>YEAR(OrdersTable[[#This Row],[Order Date]])</f>
        <v>2025</v>
      </c>
      <c r="D4320" s="2">
        <f>DATE(YEAR(OrdersTable[[#This Row],[Order Date]]),MONTH(OrdersTable[[#This Row],[Order Date]]),1)</f>
        <v>45962</v>
      </c>
      <c r="E4320">
        <f>MONTH(OrdersTable[[#This Row],[Order Date]])</f>
        <v>11</v>
      </c>
      <c r="F4320" t="s">
        <v>4056</v>
      </c>
      <c r="G4320" t="str">
        <f>IF(OrdersTable[[#This Row],[Order Date]]=_xlfn.MINIFS(Order_Date, Customer_ID, OrdersTable[[#This Row],[Customer ID]]), "New", "Repeat")</f>
        <v>Repeat</v>
      </c>
      <c r="H4320" t="s">
        <v>275</v>
      </c>
      <c r="I4320" t="str">
        <f>INDEX(State!B:B,MATCH(OrdersTable[[#This Row],[State]],State!A:A,0))</f>
        <v>AP</v>
      </c>
      <c r="J4320" t="str">
        <f>INDEX(State!C:C,MATCH(OrdersTable[[#This Row],[State Code]],State!B:B,0))</f>
        <v>South</v>
      </c>
      <c r="K4320" t="s">
        <v>276</v>
      </c>
      <c r="L4320" t="s">
        <v>65</v>
      </c>
      <c r="M4320" t="s">
        <v>125</v>
      </c>
      <c r="N4320" t="str">
        <f>INDEX(Products!B:B,MATCH(OrdersTable[[#This Row],[Product ID]],Products!A:A,0))</f>
        <v>Copper Water Bottle</v>
      </c>
      <c r="O4320" t="str">
        <f>INDEX(Products!C:C,MATCH(OrdersTable[[#This Row],[Product ID]],Products!A:A,0))</f>
        <v>Home &amp; Kitchen</v>
      </c>
      <c r="P4320">
        <v>1</v>
      </c>
      <c r="Q4320" s="5">
        <v>899</v>
      </c>
      <c r="R4320" s="74">
        <v>0.3</v>
      </c>
      <c r="S4320" s="75">
        <f>OrdersTable[[#This Row],[Quantity]]*OrdersTable[[#This Row],[Unit Price]]</f>
        <v>899</v>
      </c>
      <c r="T4320" s="5">
        <f>OrdersTable[[#This Row],[Gross Sale]]*OrdersTable[[#This Row],[Discount_Clean2]]</f>
        <v>269.7</v>
      </c>
      <c r="U4320" s="5">
        <f>OrdersTable[[#This Row],[Gross Sale]]-OrdersTable[[#This Row],[Discount Amount]]</f>
        <v>629.29999999999995</v>
      </c>
      <c r="V4320" s="77">
        <f>INDEX(Products!E:E,MATCH(OrdersTable[[#This Row],[Product ID]],Products!A:A,0))</f>
        <v>378</v>
      </c>
      <c r="W4320" s="77">
        <f>OrdersTable[[#This Row],[Quantity]]*OrdersTable[[#This Row],[Unit Cost]]</f>
        <v>378</v>
      </c>
      <c r="X4320" s="77">
        <f>'Dropdown Lists'!$I$2*(1+OrdersTable[[#This Row],[Returned]])</f>
        <v>60</v>
      </c>
      <c r="Y4320" s="76">
        <f>OrdersTable[[#This Row],[Net Revenue]]-OrdersTable[[#This Row],[COGS]]-OrdersTable[[#This Row],[Shipping Cost]]</f>
        <v>191.29999999999995</v>
      </c>
      <c r="Z4320" s="78">
        <f>IFERROR(OrdersTable[[#This Row],[Profit]]/OrdersTable[[#This Row],[Net Revenue]],0)</f>
        <v>0.30398855871603364</v>
      </c>
      <c r="AA4320" t="s">
        <v>3495</v>
      </c>
      <c r="AB4320" s="79">
        <v>45967</v>
      </c>
      <c r="AC4320">
        <f>OrdersTable[[#This Row],[Delivery Date]]-OrdersTable[[#This Row],[Order Date]]</f>
        <v>4</v>
      </c>
      <c r="AD4320" t="str">
        <f>IF(OrdersTable[[#This Row],[Delivery Days]]&lt;=2, "Express (≤2d)", IF(OrdersTable[[#This Row],[Delivery Days]]&lt;=4, "Standard (3-4d)", "Delayed (5d+)"))</f>
        <v>Standard (3-4d)</v>
      </c>
      <c r="AE4320">
        <v>5</v>
      </c>
      <c r="AF4320">
        <v>0</v>
      </c>
    </row>
    <row r="4321" spans="1:32" ht="15" x14ac:dyDescent="0.35">
      <c r="A4321" t="s">
        <v>702</v>
      </c>
      <c r="B4321" s="1">
        <v>45964</v>
      </c>
      <c r="C4321">
        <f>YEAR(OrdersTable[[#This Row],[Order Date]])</f>
        <v>2025</v>
      </c>
      <c r="D4321" s="2">
        <f>DATE(YEAR(OrdersTable[[#This Row],[Order Date]]),MONTH(OrdersTable[[#This Row],[Order Date]]),1)</f>
        <v>45962</v>
      </c>
      <c r="E4321">
        <f>MONTH(OrdersTable[[#This Row],[Order Date]])</f>
        <v>11</v>
      </c>
      <c r="F4321" t="s">
        <v>703</v>
      </c>
      <c r="G4321" t="str">
        <f>IF(OrdersTable[[#This Row],[Order Date]]=_xlfn.MINIFS(Order_Date, Customer_ID, OrdersTable[[#This Row],[Customer ID]]), "New", "Repeat")</f>
        <v>Repeat</v>
      </c>
      <c r="H4321" t="s">
        <v>54</v>
      </c>
      <c r="I4321" t="str">
        <f>INDEX(State!B:B,MATCH(OrdersTable[[#This Row],[State]],State!A:A,0))</f>
        <v>RJ</v>
      </c>
      <c r="J4321" t="str">
        <f>INDEX(State!C:C,MATCH(OrdersTable[[#This Row],[State Code]],State!B:B,0))</f>
        <v>North</v>
      </c>
      <c r="K4321" t="s">
        <v>55</v>
      </c>
      <c r="L4321" t="s">
        <v>39</v>
      </c>
      <c r="M4321" t="s">
        <v>92</v>
      </c>
      <c r="N4321" t="str">
        <f>INDEX(Products!B:B,MATCH(OrdersTable[[#This Row],[Product ID]],Products!A:A,0))</f>
        <v>Kolhapuri Sandals</v>
      </c>
      <c r="O4321" t="str">
        <f>INDEX(Products!C:C,MATCH(OrdersTable[[#This Row],[Product ID]],Products!A:A,0))</f>
        <v>Footwear</v>
      </c>
      <c r="P4321">
        <v>1</v>
      </c>
      <c r="Q4321" s="5">
        <v>999</v>
      </c>
      <c r="R4321" s="74">
        <v>0.2</v>
      </c>
      <c r="S4321" s="75">
        <f>OrdersTable[[#This Row],[Quantity]]*OrdersTable[[#This Row],[Unit Price]]</f>
        <v>999</v>
      </c>
      <c r="T4321" s="5">
        <f>OrdersTable[[#This Row],[Gross Sale]]*OrdersTable[[#This Row],[Discount_Clean2]]</f>
        <v>199.8</v>
      </c>
      <c r="U4321" s="5">
        <f>OrdersTable[[#This Row],[Gross Sale]]-OrdersTable[[#This Row],[Discount Amount]]</f>
        <v>799.2</v>
      </c>
      <c r="V4321" s="77">
        <f>INDEX(Products!E:E,MATCH(OrdersTable[[#This Row],[Product ID]],Products!A:A,0))</f>
        <v>400</v>
      </c>
      <c r="W4321" s="77">
        <f>OrdersTable[[#This Row],[Quantity]]*OrdersTable[[#This Row],[Unit Cost]]</f>
        <v>400</v>
      </c>
      <c r="X4321" s="77">
        <f>'Dropdown Lists'!$I$2*(1+OrdersTable[[#This Row],[Returned]])</f>
        <v>60</v>
      </c>
      <c r="Y4321" s="76">
        <f>OrdersTable[[#This Row],[Net Revenue]]-OrdersTable[[#This Row],[COGS]]-OrdersTable[[#This Row],[Shipping Cost]]</f>
        <v>339.20000000000005</v>
      </c>
      <c r="Z4321" s="78">
        <f>IFERROR(OrdersTable[[#This Row],[Profit]]/OrdersTable[[#This Row],[Net Revenue]],0)</f>
        <v>0.42442442442442446</v>
      </c>
      <c r="AA4321" t="s">
        <v>18</v>
      </c>
      <c r="AB4321" s="79">
        <v>45968</v>
      </c>
      <c r="AC4321">
        <f>OrdersTable[[#This Row],[Delivery Date]]-OrdersTable[[#This Row],[Order Date]]</f>
        <v>4</v>
      </c>
      <c r="AD4321" t="str">
        <f>IF(OrdersTable[[#This Row],[Delivery Days]]&lt;=2, "Express (≤2d)", IF(OrdersTable[[#This Row],[Delivery Days]]&lt;=4, "Standard (3-4d)", "Delayed (5d+)"))</f>
        <v>Standard (3-4d)</v>
      </c>
      <c r="AE4321">
        <v>4</v>
      </c>
      <c r="AF4321">
        <v>0</v>
      </c>
    </row>
    <row r="4322" spans="1:32" ht="15" x14ac:dyDescent="0.35">
      <c r="A4322" t="s">
        <v>5637</v>
      </c>
      <c r="B4322" s="1">
        <v>45964</v>
      </c>
      <c r="C4322">
        <f>YEAR(OrdersTable[[#This Row],[Order Date]])</f>
        <v>2025</v>
      </c>
      <c r="D4322" s="2">
        <f>DATE(YEAR(OrdersTable[[#This Row],[Order Date]]),MONTH(OrdersTable[[#This Row],[Order Date]]),1)</f>
        <v>45962</v>
      </c>
      <c r="E4322">
        <f>MONTH(OrdersTable[[#This Row],[Order Date]])</f>
        <v>11</v>
      </c>
      <c r="F4322" t="s">
        <v>1031</v>
      </c>
      <c r="G4322" t="str">
        <f>IF(OrdersTable[[#This Row],[Order Date]]=_xlfn.MINIFS(Order_Date, Customer_ID, OrdersTable[[#This Row],[Customer ID]]), "New", "Repeat")</f>
        <v>Repeat</v>
      </c>
      <c r="H4322" t="s">
        <v>48</v>
      </c>
      <c r="I4322" t="str">
        <f>INDEX(State!B:B,MATCH(OrdersTable[[#This Row],[State]],State!A:A,0))</f>
        <v>HR</v>
      </c>
      <c r="J4322" t="str">
        <f>INDEX(State!C:C,MATCH(OrdersTable[[#This Row],[State Code]],State!B:B,0))</f>
        <v>North</v>
      </c>
      <c r="K4322" t="s">
        <v>151</v>
      </c>
      <c r="L4322" t="s">
        <v>50</v>
      </c>
      <c r="M4322" t="s">
        <v>152</v>
      </c>
      <c r="N4322" t="str">
        <f>INDEX(Products!B:B,MATCH(OrdersTable[[#This Row],[Product ID]],Products!A:A,0))</f>
        <v>Green Tea (100 bags)</v>
      </c>
      <c r="O4322" t="str">
        <f>INDEX(Products!C:C,MATCH(OrdersTable[[#This Row],[Product ID]],Products!A:A,0))</f>
        <v>Wellness</v>
      </c>
      <c r="P4322">
        <v>2</v>
      </c>
      <c r="Q4322" s="5">
        <v>399</v>
      </c>
      <c r="R4322" s="74">
        <v>0.6</v>
      </c>
      <c r="S4322" s="75">
        <f>OrdersTable[[#This Row],[Quantity]]*OrdersTable[[#This Row],[Unit Price]]</f>
        <v>798</v>
      </c>
      <c r="T4322" s="5">
        <f>OrdersTable[[#This Row],[Gross Sale]]*OrdersTable[[#This Row],[Discount_Clean2]]</f>
        <v>478.79999999999995</v>
      </c>
      <c r="U4322" s="5">
        <f>OrdersTable[[#This Row],[Gross Sale]]-OrdersTable[[#This Row],[Discount Amount]]</f>
        <v>319.20000000000005</v>
      </c>
      <c r="V4322" s="77">
        <f>INDEX(Products!E:E,MATCH(OrdersTable[[#This Row],[Product ID]],Products!A:A,0))</f>
        <v>128</v>
      </c>
      <c r="W4322" s="77">
        <f>OrdersTable[[#This Row],[Quantity]]*OrdersTable[[#This Row],[Unit Cost]]</f>
        <v>256</v>
      </c>
      <c r="X4322" s="77">
        <f>'Dropdown Lists'!$I$2*(1+OrdersTable[[#This Row],[Returned]])</f>
        <v>60</v>
      </c>
      <c r="Y4322" s="76">
        <f>OrdersTable[[#This Row],[Net Revenue]]-OrdersTable[[#This Row],[COGS]]-OrdersTable[[#This Row],[Shipping Cost]]</f>
        <v>3.2000000000000455</v>
      </c>
      <c r="Z4322" s="78">
        <f>IFERROR(OrdersTable[[#This Row],[Profit]]/OrdersTable[[#This Row],[Net Revenue]],0)</f>
        <v>1.0025062656641746E-2</v>
      </c>
      <c r="AA4322" t="s">
        <v>2522</v>
      </c>
      <c r="AB4322" s="79">
        <v>45966</v>
      </c>
      <c r="AC4322">
        <f>OrdersTable[[#This Row],[Delivery Date]]-OrdersTable[[#This Row],[Order Date]]</f>
        <v>2</v>
      </c>
      <c r="AD4322" t="str">
        <f>IF(OrdersTable[[#This Row],[Delivery Days]]&lt;=2, "Express (≤2d)", IF(OrdersTable[[#This Row],[Delivery Days]]&lt;=4, "Standard (3-4d)", "Delayed (5d+)"))</f>
        <v>Express (≤2d)</v>
      </c>
      <c r="AF4322">
        <v>0</v>
      </c>
    </row>
    <row r="4323" spans="1:32" ht="15" x14ac:dyDescent="0.35">
      <c r="A4323" t="s">
        <v>7033</v>
      </c>
      <c r="B4323" s="1">
        <v>45964</v>
      </c>
      <c r="C4323">
        <f>YEAR(OrdersTable[[#This Row],[Order Date]])</f>
        <v>2025</v>
      </c>
      <c r="D4323" s="2">
        <f>DATE(YEAR(OrdersTable[[#This Row],[Order Date]]),MONTH(OrdersTable[[#This Row],[Order Date]]),1)</f>
        <v>45962</v>
      </c>
      <c r="E4323">
        <f>MONTH(OrdersTable[[#This Row],[Order Date]])</f>
        <v>11</v>
      </c>
      <c r="F4323" t="s">
        <v>1486</v>
      </c>
      <c r="G4323" t="str">
        <f>IF(OrdersTable[[#This Row],[Order Date]]=_xlfn.MINIFS(Order_Date, Customer_ID, OrdersTable[[#This Row],[Customer ID]]), "New", "Repeat")</f>
        <v>Repeat</v>
      </c>
      <c r="H4323" t="s">
        <v>48</v>
      </c>
      <c r="I4323" t="str">
        <f>INDEX(State!B:B,MATCH(OrdersTable[[#This Row],[State]],State!A:A,0))</f>
        <v>HR</v>
      </c>
      <c r="J4323" t="str">
        <f>INDEX(State!C:C,MATCH(OrdersTable[[#This Row],[State Code]],State!B:B,0))</f>
        <v>North</v>
      </c>
      <c r="K4323" t="s">
        <v>151</v>
      </c>
      <c r="L4323" t="s">
        <v>39</v>
      </c>
      <c r="M4323" t="s">
        <v>73</v>
      </c>
      <c r="N4323" t="str">
        <f>INDEX(Products!B:B,MATCH(OrdersTable[[#This Row],[Product ID]],Products!A:A,0))</f>
        <v>Hydrating Face Wash</v>
      </c>
      <c r="O4323" t="str">
        <f>INDEX(Products!C:C,MATCH(OrdersTable[[#This Row],[Product ID]],Products!A:A,0))</f>
        <v>Skincare</v>
      </c>
      <c r="P4323">
        <v>4</v>
      </c>
      <c r="Q4323" s="5">
        <v>299</v>
      </c>
      <c r="R4323" s="74">
        <v>0.05</v>
      </c>
      <c r="S4323" s="75">
        <f>OrdersTable[[#This Row],[Quantity]]*OrdersTable[[#This Row],[Unit Price]]</f>
        <v>1196</v>
      </c>
      <c r="T4323" s="5">
        <f>OrdersTable[[#This Row],[Gross Sale]]*OrdersTable[[#This Row],[Discount_Clean2]]</f>
        <v>59.800000000000004</v>
      </c>
      <c r="U4323" s="5">
        <f>OrdersTable[[#This Row],[Gross Sale]]-OrdersTable[[#This Row],[Discount Amount]]</f>
        <v>1136.2</v>
      </c>
      <c r="V4323" s="77">
        <f>INDEX(Products!E:E,MATCH(OrdersTable[[#This Row],[Product ID]],Products!A:A,0))</f>
        <v>90</v>
      </c>
      <c r="W4323" s="77">
        <f>OrdersTable[[#This Row],[Quantity]]*OrdersTable[[#This Row],[Unit Cost]]</f>
        <v>360</v>
      </c>
      <c r="X4323" s="77">
        <f>'Dropdown Lists'!$I$2*(1+OrdersTable[[#This Row],[Returned]])</f>
        <v>60</v>
      </c>
      <c r="Y4323" s="76">
        <f>OrdersTable[[#This Row],[Net Revenue]]-OrdersTable[[#This Row],[COGS]]-OrdersTable[[#This Row],[Shipping Cost]]</f>
        <v>716.2</v>
      </c>
      <c r="Z4323" s="78">
        <f>IFERROR(OrdersTable[[#This Row],[Profit]]/OrdersTable[[#This Row],[Net Revenue]],0)</f>
        <v>0.6303467699348706</v>
      </c>
      <c r="AA4323" t="s">
        <v>4450</v>
      </c>
      <c r="AB4323" s="79">
        <v>45967</v>
      </c>
      <c r="AC4323">
        <f>OrdersTable[[#This Row],[Delivery Date]]-OrdersTable[[#This Row],[Order Date]]</f>
        <v>3</v>
      </c>
      <c r="AD4323" t="str">
        <f>IF(OrdersTable[[#This Row],[Delivery Days]]&lt;=2, "Express (≤2d)", IF(OrdersTable[[#This Row],[Delivery Days]]&lt;=4, "Standard (3-4d)", "Delayed (5d+)"))</f>
        <v>Standard (3-4d)</v>
      </c>
      <c r="AF4323">
        <v>0</v>
      </c>
    </row>
    <row r="4324" spans="1:32" ht="15" x14ac:dyDescent="0.35">
      <c r="A4324" t="s">
        <v>6738</v>
      </c>
      <c r="B4324" s="1">
        <v>45964</v>
      </c>
      <c r="C4324">
        <f>YEAR(OrdersTable[[#This Row],[Order Date]])</f>
        <v>2025</v>
      </c>
      <c r="D4324" s="2">
        <f>DATE(YEAR(OrdersTable[[#This Row],[Order Date]]),MONTH(OrdersTable[[#This Row],[Order Date]]),1)</f>
        <v>45962</v>
      </c>
      <c r="E4324">
        <f>MONTH(OrdersTable[[#This Row],[Order Date]])</f>
        <v>11</v>
      </c>
      <c r="F4324" t="s">
        <v>4425</v>
      </c>
      <c r="G4324" t="str">
        <f>IF(OrdersTable[[#This Row],[Order Date]]=_xlfn.MINIFS(Order_Date, Customer_ID, OrdersTable[[#This Row],[Customer ID]]), "New", "Repeat")</f>
        <v>Repeat</v>
      </c>
      <c r="H4324" t="s">
        <v>48</v>
      </c>
      <c r="I4324" t="str">
        <f>INDEX(State!B:B,MATCH(OrdersTable[[#This Row],[State]],State!A:A,0))</f>
        <v>HR</v>
      </c>
      <c r="J4324" t="str">
        <f>INDEX(State!C:C,MATCH(OrdersTable[[#This Row],[State Code]],State!B:B,0))</f>
        <v>North</v>
      </c>
      <c r="K4324" t="s">
        <v>49</v>
      </c>
      <c r="L4324" t="s">
        <v>23</v>
      </c>
      <c r="M4324" t="s">
        <v>160</v>
      </c>
      <c r="N4324" t="str">
        <f>INDEX(Products!B:B,MATCH(OrdersTable[[#This Row],[Product ID]],Products!A:A,0))</f>
        <v>Niacinamide Toner</v>
      </c>
      <c r="O4324" t="str">
        <f>INDEX(Products!C:C,MATCH(OrdersTable[[#This Row],[Product ID]],Products!A:A,0))</f>
        <v>Skincare</v>
      </c>
      <c r="P4324">
        <v>3</v>
      </c>
      <c r="Q4324" s="5">
        <v>399</v>
      </c>
      <c r="R4324" s="74">
        <v>0.35</v>
      </c>
      <c r="S4324" s="75">
        <f>OrdersTable[[#This Row],[Quantity]]*OrdersTable[[#This Row],[Unit Price]]</f>
        <v>1197</v>
      </c>
      <c r="T4324" s="5">
        <f>OrdersTable[[#This Row],[Gross Sale]]*OrdersTable[[#This Row],[Discount_Clean2]]</f>
        <v>418.95</v>
      </c>
      <c r="U4324" s="5">
        <f>OrdersTable[[#This Row],[Gross Sale]]-OrdersTable[[#This Row],[Discount Amount]]</f>
        <v>778.05</v>
      </c>
      <c r="V4324" s="77">
        <f>INDEX(Products!E:E,MATCH(OrdersTable[[#This Row],[Product ID]],Products!A:A,0))</f>
        <v>112</v>
      </c>
      <c r="W4324" s="77">
        <f>OrdersTable[[#This Row],[Quantity]]*OrdersTable[[#This Row],[Unit Cost]]</f>
        <v>336</v>
      </c>
      <c r="X4324" s="77">
        <f>'Dropdown Lists'!$I$2*(1+OrdersTable[[#This Row],[Returned]])</f>
        <v>60</v>
      </c>
      <c r="Y4324" s="76">
        <f>OrdersTable[[#This Row],[Net Revenue]]-OrdersTable[[#This Row],[COGS]]-OrdersTable[[#This Row],[Shipping Cost]]</f>
        <v>382.04999999999995</v>
      </c>
      <c r="Z4324" s="78">
        <f>IFERROR(OrdersTable[[#This Row],[Profit]]/OrdersTable[[#This Row],[Net Revenue]],0)</f>
        <v>0.49103528050896467</v>
      </c>
      <c r="AA4324" t="s">
        <v>2522</v>
      </c>
      <c r="AB4324" s="79">
        <v>45968</v>
      </c>
      <c r="AC4324">
        <f>OrdersTable[[#This Row],[Delivery Date]]-OrdersTable[[#This Row],[Order Date]]</f>
        <v>4</v>
      </c>
      <c r="AD4324" t="str">
        <f>IF(OrdersTable[[#This Row],[Delivery Days]]&lt;=2, "Express (≤2d)", IF(OrdersTable[[#This Row],[Delivery Days]]&lt;=4, "Standard (3-4d)", "Delayed (5d+)"))</f>
        <v>Standard (3-4d)</v>
      </c>
      <c r="AE4324">
        <v>4</v>
      </c>
      <c r="AF4324">
        <v>0</v>
      </c>
    </row>
    <row r="4325" spans="1:32" ht="15" x14ac:dyDescent="0.35">
      <c r="A4325" t="s">
        <v>1448</v>
      </c>
      <c r="B4325" s="1">
        <v>45964</v>
      </c>
      <c r="C4325">
        <f>YEAR(OrdersTable[[#This Row],[Order Date]])</f>
        <v>2025</v>
      </c>
      <c r="D4325" s="2">
        <f>DATE(YEAR(OrdersTable[[#This Row],[Order Date]]),MONTH(OrdersTable[[#This Row],[Order Date]]),1)</f>
        <v>45962</v>
      </c>
      <c r="E4325">
        <f>MONTH(OrdersTable[[#This Row],[Order Date]])</f>
        <v>11</v>
      </c>
      <c r="F4325" t="s">
        <v>1183</v>
      </c>
      <c r="G4325" t="str">
        <f>IF(OrdersTable[[#This Row],[Order Date]]=_xlfn.MINIFS(Order_Date, Customer_ID, OrdersTable[[#This Row],[Customer ID]]), "New", "Repeat")</f>
        <v>Repeat</v>
      </c>
      <c r="H4325" t="s">
        <v>32</v>
      </c>
      <c r="I4325" t="str">
        <f>INDEX(State!B:B,MATCH(OrdersTable[[#This Row],[State]],State!A:A,0))</f>
        <v>BR</v>
      </c>
      <c r="J4325" t="str">
        <f>INDEX(State!C:C,MATCH(OrdersTable[[#This Row],[State Code]],State!B:B,0))</f>
        <v>East</v>
      </c>
      <c r="K4325" t="s">
        <v>33</v>
      </c>
      <c r="L4325" t="s">
        <v>23</v>
      </c>
      <c r="M4325" t="s">
        <v>29</v>
      </c>
      <c r="N4325" t="str">
        <f>INDEX(Products!B:B,MATCH(OrdersTable[[#This Row],[Product ID]],Products!A:A,0))</f>
        <v>Joggers</v>
      </c>
      <c r="O4325" t="str">
        <f>INDEX(Products!C:C,MATCH(OrdersTable[[#This Row],[Product ID]],Products!A:A,0))</f>
        <v>Apparel</v>
      </c>
      <c r="P4325">
        <v>1</v>
      </c>
      <c r="Q4325" s="5">
        <v>1199</v>
      </c>
      <c r="R4325" s="74">
        <v>0.3</v>
      </c>
      <c r="S4325" s="75">
        <f>OrdersTable[[#This Row],[Quantity]]*OrdersTable[[#This Row],[Unit Price]]</f>
        <v>1199</v>
      </c>
      <c r="T4325" s="5">
        <f>OrdersTable[[#This Row],[Gross Sale]]*OrdersTable[[#This Row],[Discount_Clean2]]</f>
        <v>359.7</v>
      </c>
      <c r="U4325" s="5">
        <f>OrdersTable[[#This Row],[Gross Sale]]-OrdersTable[[#This Row],[Discount Amount]]</f>
        <v>839.3</v>
      </c>
      <c r="V4325" s="77">
        <f>INDEX(Products!E:E,MATCH(OrdersTable[[#This Row],[Product ID]],Products!A:A,0))</f>
        <v>492</v>
      </c>
      <c r="W4325" s="77">
        <f>OrdersTable[[#This Row],[Quantity]]*OrdersTable[[#This Row],[Unit Cost]]</f>
        <v>492</v>
      </c>
      <c r="X4325" s="77">
        <f>'Dropdown Lists'!$I$2*(1+OrdersTable[[#This Row],[Returned]])</f>
        <v>60</v>
      </c>
      <c r="Y4325" s="76">
        <f>OrdersTable[[#This Row],[Net Revenue]]-OrdersTable[[#This Row],[COGS]]-OrdersTable[[#This Row],[Shipping Cost]]</f>
        <v>287.29999999999995</v>
      </c>
      <c r="Z4325" s="78">
        <f>IFERROR(OrdersTable[[#This Row],[Profit]]/OrdersTable[[#This Row],[Net Revenue]],0)</f>
        <v>0.34230906707970926</v>
      </c>
      <c r="AA4325" t="s">
        <v>18</v>
      </c>
      <c r="AB4325" s="79">
        <v>45969</v>
      </c>
      <c r="AC4325">
        <f>OrdersTable[[#This Row],[Delivery Date]]-OrdersTable[[#This Row],[Order Date]]</f>
        <v>5</v>
      </c>
      <c r="AD4325" t="str">
        <f>IF(OrdersTable[[#This Row],[Delivery Days]]&lt;=2, "Express (≤2d)", IF(OrdersTable[[#This Row],[Delivery Days]]&lt;=4, "Standard (3-4d)", "Delayed (5d+)"))</f>
        <v>Delayed (5d+)</v>
      </c>
      <c r="AF4325">
        <v>0</v>
      </c>
    </row>
    <row r="4326" spans="1:32" ht="15" x14ac:dyDescent="0.35">
      <c r="A4326" t="s">
        <v>6739</v>
      </c>
      <c r="B4326" s="1">
        <v>45964</v>
      </c>
      <c r="C4326">
        <f>YEAR(OrdersTable[[#This Row],[Order Date]])</f>
        <v>2025</v>
      </c>
      <c r="D4326" s="2">
        <f>DATE(YEAR(OrdersTable[[#This Row],[Order Date]]),MONTH(OrdersTable[[#This Row],[Order Date]]),1)</f>
        <v>45962</v>
      </c>
      <c r="E4326">
        <f>MONTH(OrdersTable[[#This Row],[Order Date]])</f>
        <v>11</v>
      </c>
      <c r="F4326" t="s">
        <v>6740</v>
      </c>
      <c r="G4326" t="str">
        <f>IF(OrdersTable[[#This Row],[Order Date]]=_xlfn.MINIFS(Order_Date, Customer_ID, OrdersTable[[#This Row],[Customer ID]]), "New", "Repeat")</f>
        <v>New</v>
      </c>
      <c r="H4326" t="s">
        <v>123</v>
      </c>
      <c r="I4326" t="str">
        <f>INDEX(State!B:B,MATCH(OrdersTable[[#This Row],[State]],State!A:A,0))</f>
        <v>JH</v>
      </c>
      <c r="J4326" t="str">
        <f>INDEX(State!C:C,MATCH(OrdersTable[[#This Row],[State Code]],State!B:B,0))</f>
        <v>East</v>
      </c>
      <c r="K4326" t="s">
        <v>124</v>
      </c>
      <c r="L4326" t="s">
        <v>65</v>
      </c>
      <c r="M4326" t="s">
        <v>66</v>
      </c>
      <c r="N4326" t="str">
        <f>INDEX(Products!B:B,MATCH(OrdersTable[[#This Row],[Product ID]],Products!A:A,0))</f>
        <v>Sunscreen SPF 50</v>
      </c>
      <c r="O4326" t="str">
        <f>INDEX(Products!C:C,MATCH(OrdersTable[[#This Row],[Product ID]],Products!A:A,0))</f>
        <v>Skincare</v>
      </c>
      <c r="P4326">
        <v>3</v>
      </c>
      <c r="Q4326" s="5">
        <v>449</v>
      </c>
      <c r="R4326" s="74">
        <v>0.2</v>
      </c>
      <c r="S4326" s="75">
        <f>OrdersTable[[#This Row],[Quantity]]*OrdersTable[[#This Row],[Unit Price]]</f>
        <v>1347</v>
      </c>
      <c r="T4326" s="5">
        <f>OrdersTable[[#This Row],[Gross Sale]]*OrdersTable[[#This Row],[Discount_Clean2]]</f>
        <v>269.40000000000003</v>
      </c>
      <c r="U4326" s="5">
        <f>OrdersTable[[#This Row],[Gross Sale]]-OrdersTable[[#This Row],[Discount Amount]]</f>
        <v>1077.5999999999999</v>
      </c>
      <c r="V4326" s="77">
        <f>INDEX(Products!E:E,MATCH(OrdersTable[[#This Row],[Product ID]],Products!A:A,0))</f>
        <v>144</v>
      </c>
      <c r="W4326" s="77">
        <f>OrdersTable[[#This Row],[Quantity]]*OrdersTable[[#This Row],[Unit Cost]]</f>
        <v>432</v>
      </c>
      <c r="X4326" s="77">
        <f>'Dropdown Lists'!$I$2*(1+OrdersTable[[#This Row],[Returned]])</f>
        <v>60</v>
      </c>
      <c r="Y4326" s="76">
        <f>OrdersTable[[#This Row],[Net Revenue]]-OrdersTable[[#This Row],[COGS]]-OrdersTable[[#This Row],[Shipping Cost]]</f>
        <v>585.59999999999991</v>
      </c>
      <c r="Z4326" s="78">
        <f>IFERROR(OrdersTable[[#This Row],[Profit]]/OrdersTable[[#This Row],[Net Revenue]],0)</f>
        <v>0.54342984409799555</v>
      </c>
      <c r="AA4326" t="s">
        <v>2522</v>
      </c>
      <c r="AB4326" s="79">
        <v>45969</v>
      </c>
      <c r="AC4326">
        <f>OrdersTable[[#This Row],[Delivery Date]]-OrdersTable[[#This Row],[Order Date]]</f>
        <v>5</v>
      </c>
      <c r="AD4326" t="str">
        <f>IF(OrdersTable[[#This Row],[Delivery Days]]&lt;=2, "Express (≤2d)", IF(OrdersTable[[#This Row],[Delivery Days]]&lt;=4, "Standard (3-4d)", "Delayed (5d+)"))</f>
        <v>Delayed (5d+)</v>
      </c>
      <c r="AE4326">
        <v>4</v>
      </c>
      <c r="AF4326">
        <v>0</v>
      </c>
    </row>
    <row r="4327" spans="1:32" ht="15" x14ac:dyDescent="0.35">
      <c r="A4327" t="s">
        <v>5258</v>
      </c>
      <c r="B4327" s="1">
        <v>45964</v>
      </c>
      <c r="C4327">
        <f>YEAR(OrdersTable[[#This Row],[Order Date]])</f>
        <v>2025</v>
      </c>
      <c r="D4327" s="2">
        <f>DATE(YEAR(OrdersTable[[#This Row],[Order Date]]),MONTH(OrdersTable[[#This Row],[Order Date]]),1)</f>
        <v>45962</v>
      </c>
      <c r="E4327">
        <f>MONTH(OrdersTable[[#This Row],[Order Date]])</f>
        <v>11</v>
      </c>
      <c r="F4327" t="s">
        <v>5259</v>
      </c>
      <c r="G4327" t="str">
        <f>IF(OrdersTable[[#This Row],[Order Date]]=_xlfn.MINIFS(Order_Date, Customer_ID, OrdersTable[[#This Row],[Customer ID]]), "New", "Repeat")</f>
        <v>New</v>
      </c>
      <c r="H4327" t="s">
        <v>71</v>
      </c>
      <c r="I4327" t="str">
        <f>INDEX(State!B:B,MATCH(OrdersTable[[#This Row],[State]],State!A:A,0))</f>
        <v>MH</v>
      </c>
      <c r="J4327" t="str">
        <f>INDEX(State!C:C,MATCH(OrdersTable[[#This Row],[State Code]],State!B:B,0))</f>
        <v>West</v>
      </c>
      <c r="K4327" t="s">
        <v>81</v>
      </c>
      <c r="L4327" t="s">
        <v>50</v>
      </c>
      <c r="M4327" t="s">
        <v>106</v>
      </c>
      <c r="N4327" t="str">
        <f>INDEX(Products!B:B,MATCH(OrdersTable[[#This Row],[Product ID]],Products!A:A,0))</f>
        <v>Keratin Hair Mask</v>
      </c>
      <c r="O4327" t="str">
        <f>INDEX(Products!C:C,MATCH(OrdersTable[[#This Row],[Product ID]],Products!A:A,0))</f>
        <v>Haircare</v>
      </c>
      <c r="P4327">
        <v>2</v>
      </c>
      <c r="Q4327" s="5">
        <v>549</v>
      </c>
      <c r="R4327" s="74">
        <v>0.3</v>
      </c>
      <c r="S4327" s="75">
        <f>OrdersTable[[#This Row],[Quantity]]*OrdersTable[[#This Row],[Unit Price]]</f>
        <v>1098</v>
      </c>
      <c r="T4327" s="5">
        <f>OrdersTable[[#This Row],[Gross Sale]]*OrdersTable[[#This Row],[Discount_Clean2]]</f>
        <v>329.4</v>
      </c>
      <c r="U4327" s="5">
        <f>OrdersTable[[#This Row],[Gross Sale]]-OrdersTable[[#This Row],[Discount Amount]]</f>
        <v>768.6</v>
      </c>
      <c r="V4327" s="77">
        <f>INDEX(Products!E:E,MATCH(OrdersTable[[#This Row],[Product ID]],Products!A:A,0))</f>
        <v>170</v>
      </c>
      <c r="W4327" s="77">
        <f>OrdersTable[[#This Row],[Quantity]]*OrdersTable[[#This Row],[Unit Cost]]</f>
        <v>340</v>
      </c>
      <c r="X4327" s="77">
        <f>'Dropdown Lists'!$I$2*(1+OrdersTable[[#This Row],[Returned]])</f>
        <v>60</v>
      </c>
      <c r="Y4327" s="76">
        <f>OrdersTable[[#This Row],[Net Revenue]]-OrdersTable[[#This Row],[COGS]]-OrdersTable[[#This Row],[Shipping Cost]]</f>
        <v>368.6</v>
      </c>
      <c r="Z4327" s="78">
        <f>IFERROR(OrdersTable[[#This Row],[Profit]]/OrdersTable[[#This Row],[Net Revenue]],0)</f>
        <v>0.47957325006505336</v>
      </c>
      <c r="AA4327" t="s">
        <v>3495</v>
      </c>
      <c r="AB4327" s="79">
        <v>45966</v>
      </c>
      <c r="AC4327">
        <f>OrdersTable[[#This Row],[Delivery Date]]-OrdersTable[[#This Row],[Order Date]]</f>
        <v>2</v>
      </c>
      <c r="AD4327" t="str">
        <f>IF(OrdersTable[[#This Row],[Delivery Days]]&lt;=2, "Express (≤2d)", IF(OrdersTable[[#This Row],[Delivery Days]]&lt;=4, "Standard (3-4d)", "Delayed (5d+)"))</f>
        <v>Express (≤2d)</v>
      </c>
      <c r="AE4327">
        <v>4</v>
      </c>
      <c r="AF4327">
        <v>0</v>
      </c>
    </row>
    <row r="4328" spans="1:32" ht="15" x14ac:dyDescent="0.35">
      <c r="A4328" t="s">
        <v>6421</v>
      </c>
      <c r="B4328" s="1">
        <v>45964</v>
      </c>
      <c r="C4328">
        <f>YEAR(OrdersTable[[#This Row],[Order Date]])</f>
        <v>2025</v>
      </c>
      <c r="D4328" s="2">
        <f>DATE(YEAR(OrdersTable[[#This Row],[Order Date]]),MONTH(OrdersTable[[#This Row],[Order Date]]),1)</f>
        <v>45962</v>
      </c>
      <c r="E4328">
        <f>MONTH(OrdersTable[[#This Row],[Order Date]])</f>
        <v>11</v>
      </c>
      <c r="F4328" t="s">
        <v>5452</v>
      </c>
      <c r="G4328" t="str">
        <f>IF(OrdersTable[[#This Row],[Order Date]]=_xlfn.MINIFS(Order_Date, Customer_ID, OrdersTable[[#This Row],[Customer ID]]), "New", "Repeat")</f>
        <v>Repeat</v>
      </c>
      <c r="H4328" t="s">
        <v>316</v>
      </c>
      <c r="I4328" t="str">
        <f>INDEX(State!B:B,MATCH(OrdersTable[[#This Row],[State]],State!A:A,0))</f>
        <v>KL</v>
      </c>
      <c r="J4328" t="str">
        <f>INDEX(State!C:C,MATCH(OrdersTable[[#This Row],[State Code]],State!B:B,0))</f>
        <v>South</v>
      </c>
      <c r="K4328" t="s">
        <v>338</v>
      </c>
      <c r="L4328" t="s">
        <v>16</v>
      </c>
      <c r="M4328" t="s">
        <v>34</v>
      </c>
      <c r="N4328" t="str">
        <f>INDEX(Products!B:B,MATCH(OrdersTable[[#This Row],[Product ID]],Products!A:A,0))</f>
        <v>Flip Flops</v>
      </c>
      <c r="O4328" t="str">
        <f>INDEX(Products!C:C,MATCH(OrdersTable[[#This Row],[Product ID]],Products!A:A,0))</f>
        <v>Footwear</v>
      </c>
      <c r="P4328">
        <v>2</v>
      </c>
      <c r="Q4328" s="5">
        <v>399</v>
      </c>
      <c r="R4328" s="74">
        <v>0.2</v>
      </c>
      <c r="S4328" s="75">
        <f>OrdersTable[[#This Row],[Quantity]]*OrdersTable[[#This Row],[Unit Price]]</f>
        <v>798</v>
      </c>
      <c r="T4328" s="5">
        <f>OrdersTable[[#This Row],[Gross Sale]]*OrdersTable[[#This Row],[Discount_Clean2]]</f>
        <v>159.60000000000002</v>
      </c>
      <c r="U4328" s="5">
        <f>OrdersTable[[#This Row],[Gross Sale]]-OrdersTable[[#This Row],[Discount Amount]]</f>
        <v>638.4</v>
      </c>
      <c r="V4328" s="77">
        <f>INDEX(Products!E:E,MATCH(OrdersTable[[#This Row],[Product ID]],Products!A:A,0))</f>
        <v>152</v>
      </c>
      <c r="W4328" s="77">
        <f>OrdersTable[[#This Row],[Quantity]]*OrdersTable[[#This Row],[Unit Cost]]</f>
        <v>304</v>
      </c>
      <c r="X4328" s="77">
        <f>'Dropdown Lists'!$I$2*(1+OrdersTable[[#This Row],[Returned]])</f>
        <v>60</v>
      </c>
      <c r="Y4328" s="76">
        <f>OrdersTable[[#This Row],[Net Revenue]]-OrdersTable[[#This Row],[COGS]]-OrdersTable[[#This Row],[Shipping Cost]]</f>
        <v>274.39999999999998</v>
      </c>
      <c r="Z4328" s="78">
        <f>IFERROR(OrdersTable[[#This Row],[Profit]]/OrdersTable[[#This Row],[Net Revenue]],0)</f>
        <v>0.42982456140350878</v>
      </c>
      <c r="AA4328" t="s">
        <v>18</v>
      </c>
      <c r="AB4328" s="79">
        <v>45966</v>
      </c>
      <c r="AC4328">
        <f>OrdersTable[[#This Row],[Delivery Date]]-OrdersTable[[#This Row],[Order Date]]</f>
        <v>2</v>
      </c>
      <c r="AD4328" t="str">
        <f>IF(OrdersTable[[#This Row],[Delivery Days]]&lt;=2, "Express (≤2d)", IF(OrdersTable[[#This Row],[Delivery Days]]&lt;=4, "Standard (3-4d)", "Delayed (5d+)"))</f>
        <v>Express (≤2d)</v>
      </c>
      <c r="AE4328">
        <v>4</v>
      </c>
      <c r="AF4328">
        <v>0</v>
      </c>
    </row>
    <row r="4329" spans="1:32" ht="15" x14ac:dyDescent="0.35">
      <c r="A4329" t="s">
        <v>4542</v>
      </c>
      <c r="B4329" s="1">
        <v>45965</v>
      </c>
      <c r="C4329">
        <f>YEAR(OrdersTable[[#This Row],[Order Date]])</f>
        <v>2025</v>
      </c>
      <c r="D4329" s="2">
        <f>DATE(YEAR(OrdersTable[[#This Row],[Order Date]]),MONTH(OrdersTable[[#This Row],[Order Date]]),1)</f>
        <v>45962</v>
      </c>
      <c r="E4329">
        <f>MONTH(OrdersTable[[#This Row],[Order Date]])</f>
        <v>11</v>
      </c>
      <c r="F4329" t="s">
        <v>4543</v>
      </c>
      <c r="G4329" t="str">
        <f>IF(OrdersTable[[#This Row],[Order Date]]=_xlfn.MINIFS(Order_Date, Customer_ID, OrdersTable[[#This Row],[Customer ID]]), "New", "Repeat")</f>
        <v>Repeat</v>
      </c>
      <c r="H4329" t="s">
        <v>21</v>
      </c>
      <c r="I4329" t="str">
        <f>INDEX(State!B:B,MATCH(OrdersTable[[#This Row],[State]],State!A:A,0))</f>
        <v>PB</v>
      </c>
      <c r="J4329" t="str">
        <f>INDEX(State!C:C,MATCH(OrdersTable[[#This Row],[State Code]],State!B:B,0))</f>
        <v>North</v>
      </c>
      <c r="K4329" t="s">
        <v>260</v>
      </c>
      <c r="L4329" t="s">
        <v>65</v>
      </c>
      <c r="M4329" t="s">
        <v>125</v>
      </c>
      <c r="N4329" t="str">
        <f>INDEX(Products!B:B,MATCH(OrdersTable[[#This Row],[Product ID]],Products!A:A,0))</f>
        <v>Copper Water Bottle</v>
      </c>
      <c r="O4329" t="str">
        <f>INDEX(Products!C:C,MATCH(OrdersTable[[#This Row],[Product ID]],Products!A:A,0))</f>
        <v>Home &amp; Kitchen</v>
      </c>
      <c r="P4329">
        <v>1</v>
      </c>
      <c r="Q4329" s="5">
        <v>899</v>
      </c>
      <c r="R4329" s="74">
        <v>0.05</v>
      </c>
      <c r="S4329" s="75">
        <f>OrdersTable[[#This Row],[Quantity]]*OrdersTable[[#This Row],[Unit Price]]</f>
        <v>899</v>
      </c>
      <c r="T4329" s="5">
        <f>OrdersTable[[#This Row],[Gross Sale]]*OrdersTable[[#This Row],[Discount_Clean2]]</f>
        <v>44.95</v>
      </c>
      <c r="U4329" s="5">
        <f>OrdersTable[[#This Row],[Gross Sale]]-OrdersTable[[#This Row],[Discount Amount]]</f>
        <v>854.05</v>
      </c>
      <c r="V4329" s="77">
        <f>INDEX(Products!E:E,MATCH(OrdersTable[[#This Row],[Product ID]],Products!A:A,0))</f>
        <v>378</v>
      </c>
      <c r="W4329" s="77">
        <f>OrdersTable[[#This Row],[Quantity]]*OrdersTable[[#This Row],[Unit Cost]]</f>
        <v>378</v>
      </c>
      <c r="X4329" s="77">
        <f>'Dropdown Lists'!$I$2*(1+OrdersTable[[#This Row],[Returned]])</f>
        <v>60</v>
      </c>
      <c r="Y4329" s="76">
        <f>OrdersTable[[#This Row],[Net Revenue]]-OrdersTable[[#This Row],[COGS]]-OrdersTable[[#This Row],[Shipping Cost]]</f>
        <v>416.04999999999995</v>
      </c>
      <c r="Z4329" s="78">
        <f>IFERROR(OrdersTable[[#This Row],[Profit]]/OrdersTable[[#This Row],[Net Revenue]],0)</f>
        <v>0.48714946431707745</v>
      </c>
      <c r="AA4329" t="s">
        <v>4450</v>
      </c>
      <c r="AB4329" s="79">
        <v>45968</v>
      </c>
      <c r="AC4329">
        <f>OrdersTable[[#This Row],[Delivery Date]]-OrdersTable[[#This Row],[Order Date]]</f>
        <v>3</v>
      </c>
      <c r="AD4329" t="str">
        <f>IF(OrdersTable[[#This Row],[Delivery Days]]&lt;=2, "Express (≤2d)", IF(OrdersTable[[#This Row],[Delivery Days]]&lt;=4, "Standard (3-4d)", "Delayed (5d+)"))</f>
        <v>Standard (3-4d)</v>
      </c>
      <c r="AE4329">
        <v>4</v>
      </c>
      <c r="AF4329">
        <v>0</v>
      </c>
    </row>
    <row r="4330" spans="1:32" ht="15" x14ac:dyDescent="0.35">
      <c r="A4330" t="s">
        <v>7130</v>
      </c>
      <c r="B4330" s="1">
        <v>45965</v>
      </c>
      <c r="C4330">
        <f>YEAR(OrdersTable[[#This Row],[Order Date]])</f>
        <v>2025</v>
      </c>
      <c r="D4330" s="2">
        <f>DATE(YEAR(OrdersTable[[#This Row],[Order Date]]),MONTH(OrdersTable[[#This Row],[Order Date]]),1)</f>
        <v>45962</v>
      </c>
      <c r="E4330">
        <f>MONTH(OrdersTable[[#This Row],[Order Date]])</f>
        <v>11</v>
      </c>
      <c r="F4330" t="s">
        <v>7131</v>
      </c>
      <c r="G4330" t="str">
        <f>IF(OrdersTable[[#This Row],[Order Date]]=_xlfn.MINIFS(Order_Date, Customer_ID, OrdersTable[[#This Row],[Customer ID]]), "New", "Repeat")</f>
        <v>New</v>
      </c>
      <c r="H4330" t="s">
        <v>76</v>
      </c>
      <c r="I4330" t="str">
        <f>INDEX(State!B:B,MATCH(OrdersTable[[#This Row],[State]],State!A:A,0))</f>
        <v>UP</v>
      </c>
      <c r="J4330" t="str">
        <f>INDEX(State!C:C,MATCH(OrdersTable[[#This Row],[State Code]],State!B:B,0))</f>
        <v>North</v>
      </c>
      <c r="K4330" t="s">
        <v>105</v>
      </c>
      <c r="L4330" t="s">
        <v>16</v>
      </c>
      <c r="M4330" t="s">
        <v>205</v>
      </c>
      <c r="N4330" t="str">
        <f>INDEX(Products!B:B,MATCH(OrdersTable[[#This Row],[Product ID]],Products!A:A,0))</f>
        <v>Running Shoes</v>
      </c>
      <c r="O4330" t="str">
        <f>INDEX(Products!C:C,MATCH(OrdersTable[[#This Row],[Product ID]],Products!A:A,0))</f>
        <v>Footwear</v>
      </c>
      <c r="P4330">
        <v>4</v>
      </c>
      <c r="Q4330" s="5">
        <v>2999</v>
      </c>
      <c r="R4330" s="74">
        <v>0.45</v>
      </c>
      <c r="S4330" s="75">
        <f>OrdersTable[[#This Row],[Quantity]]*OrdersTable[[#This Row],[Unit Price]]</f>
        <v>11996</v>
      </c>
      <c r="T4330" s="5">
        <f>OrdersTable[[#This Row],[Gross Sale]]*OrdersTable[[#This Row],[Discount_Clean2]]</f>
        <v>5398.2</v>
      </c>
      <c r="U4330" s="5">
        <f>OrdersTable[[#This Row],[Gross Sale]]-OrdersTable[[#This Row],[Discount Amount]]</f>
        <v>6597.8</v>
      </c>
      <c r="V4330" s="77">
        <f>INDEX(Products!E:E,MATCH(OrdersTable[[#This Row],[Product ID]],Products!A:A,0))</f>
        <v>1440</v>
      </c>
      <c r="W4330" s="77">
        <f>OrdersTable[[#This Row],[Quantity]]*OrdersTable[[#This Row],[Unit Cost]]</f>
        <v>5760</v>
      </c>
      <c r="X4330" s="77">
        <f>'Dropdown Lists'!$I$2*(1+OrdersTable[[#This Row],[Returned]])</f>
        <v>60</v>
      </c>
      <c r="Y4330" s="76">
        <f>OrdersTable[[#This Row],[Net Revenue]]-OrdersTable[[#This Row],[COGS]]-OrdersTable[[#This Row],[Shipping Cost]]</f>
        <v>777.80000000000018</v>
      </c>
      <c r="Z4330" s="78">
        <f>IFERROR(OrdersTable[[#This Row],[Profit]]/OrdersTable[[#This Row],[Net Revenue]],0)</f>
        <v>0.11788778077541001</v>
      </c>
      <c r="AA4330" t="s">
        <v>18</v>
      </c>
      <c r="AB4330" s="79">
        <v>45967</v>
      </c>
      <c r="AC4330">
        <f>OrdersTable[[#This Row],[Delivery Date]]-OrdersTable[[#This Row],[Order Date]]</f>
        <v>2</v>
      </c>
      <c r="AD4330" t="str">
        <f>IF(OrdersTable[[#This Row],[Delivery Days]]&lt;=2, "Express (≤2d)", IF(OrdersTable[[#This Row],[Delivery Days]]&lt;=4, "Standard (3-4d)", "Delayed (5d+)"))</f>
        <v>Express (≤2d)</v>
      </c>
      <c r="AE4330">
        <v>4</v>
      </c>
      <c r="AF4330">
        <v>0</v>
      </c>
    </row>
    <row r="4331" spans="1:32" ht="15" x14ac:dyDescent="0.35">
      <c r="A4331" t="s">
        <v>5638</v>
      </c>
      <c r="B4331" s="1">
        <v>45965</v>
      </c>
      <c r="C4331">
        <f>YEAR(OrdersTable[[#This Row],[Order Date]])</f>
        <v>2025</v>
      </c>
      <c r="D4331" s="2">
        <f>DATE(YEAR(OrdersTable[[#This Row],[Order Date]]),MONTH(OrdersTable[[#This Row],[Order Date]]),1)</f>
        <v>45962</v>
      </c>
      <c r="E4331">
        <f>MONTH(OrdersTable[[#This Row],[Order Date]])</f>
        <v>11</v>
      </c>
      <c r="F4331" t="s">
        <v>5639</v>
      </c>
      <c r="G4331" t="str">
        <f>IF(OrdersTable[[#This Row],[Order Date]]=_xlfn.MINIFS(Order_Date, Customer_ID, OrdersTable[[#This Row],[Customer ID]]), "New", "Repeat")</f>
        <v>New</v>
      </c>
      <c r="H4331" t="s">
        <v>43</v>
      </c>
      <c r="I4331" t="str">
        <f>INDEX(State!B:B,MATCH(OrdersTable[[#This Row],[State]],State!A:A,0))</f>
        <v>MP</v>
      </c>
      <c r="J4331" t="str">
        <f>INDEX(State!C:C,MATCH(OrdersTable[[#This Row],[State Code]],State!B:B,0))</f>
        <v>West</v>
      </c>
      <c r="K4331" t="s">
        <v>250</v>
      </c>
      <c r="L4331" t="s">
        <v>65</v>
      </c>
      <c r="M4331" t="s">
        <v>160</v>
      </c>
      <c r="N4331" t="str">
        <f>INDEX(Products!B:B,MATCH(OrdersTable[[#This Row],[Product ID]],Products!A:A,0))</f>
        <v>Niacinamide Toner</v>
      </c>
      <c r="O4331" t="str">
        <f>INDEX(Products!C:C,MATCH(OrdersTable[[#This Row],[Product ID]],Products!A:A,0))</f>
        <v>Skincare</v>
      </c>
      <c r="P4331">
        <v>2</v>
      </c>
      <c r="Q4331" s="5">
        <v>399</v>
      </c>
      <c r="R4331" s="74">
        <v>0.3</v>
      </c>
      <c r="S4331" s="75">
        <f>OrdersTable[[#This Row],[Quantity]]*OrdersTable[[#This Row],[Unit Price]]</f>
        <v>798</v>
      </c>
      <c r="T4331" s="5">
        <f>OrdersTable[[#This Row],[Gross Sale]]*OrdersTable[[#This Row],[Discount_Clean2]]</f>
        <v>239.39999999999998</v>
      </c>
      <c r="U4331" s="5">
        <f>OrdersTable[[#This Row],[Gross Sale]]-OrdersTable[[#This Row],[Discount Amount]]</f>
        <v>558.6</v>
      </c>
      <c r="V4331" s="77">
        <f>INDEX(Products!E:E,MATCH(OrdersTable[[#This Row],[Product ID]],Products!A:A,0))</f>
        <v>112</v>
      </c>
      <c r="W4331" s="77">
        <f>OrdersTable[[#This Row],[Quantity]]*OrdersTable[[#This Row],[Unit Cost]]</f>
        <v>224</v>
      </c>
      <c r="X4331" s="77">
        <f>'Dropdown Lists'!$I$2*(1+OrdersTable[[#This Row],[Returned]])</f>
        <v>60</v>
      </c>
      <c r="Y4331" s="76">
        <f>OrdersTable[[#This Row],[Net Revenue]]-OrdersTable[[#This Row],[COGS]]-OrdersTable[[#This Row],[Shipping Cost]]</f>
        <v>274.60000000000002</v>
      </c>
      <c r="Z4331" s="78">
        <f>IFERROR(OrdersTable[[#This Row],[Profit]]/OrdersTable[[#This Row],[Net Revenue]],0)</f>
        <v>0.49158610812746151</v>
      </c>
      <c r="AA4331" t="s">
        <v>2522</v>
      </c>
      <c r="AB4331" s="79">
        <v>45970</v>
      </c>
      <c r="AC4331">
        <f>OrdersTable[[#This Row],[Delivery Date]]-OrdersTable[[#This Row],[Order Date]]</f>
        <v>5</v>
      </c>
      <c r="AD4331" t="str">
        <f>IF(OrdersTable[[#This Row],[Delivery Days]]&lt;=2, "Express (≤2d)", IF(OrdersTable[[#This Row],[Delivery Days]]&lt;=4, "Standard (3-4d)", "Delayed (5d+)"))</f>
        <v>Delayed (5d+)</v>
      </c>
      <c r="AE4331">
        <v>3</v>
      </c>
      <c r="AF4331">
        <v>0</v>
      </c>
    </row>
    <row r="4332" spans="1:32" ht="15" x14ac:dyDescent="0.35">
      <c r="A4332" t="s">
        <v>6422</v>
      </c>
      <c r="B4332" s="1">
        <v>45965</v>
      </c>
      <c r="C4332">
        <f>YEAR(OrdersTable[[#This Row],[Order Date]])</f>
        <v>2025</v>
      </c>
      <c r="D4332" s="2">
        <f>DATE(YEAR(OrdersTable[[#This Row],[Order Date]]),MONTH(OrdersTable[[#This Row],[Order Date]]),1)</f>
        <v>45962</v>
      </c>
      <c r="E4332">
        <f>MONTH(OrdersTable[[#This Row],[Order Date]])</f>
        <v>11</v>
      </c>
      <c r="F4332" t="s">
        <v>6423</v>
      </c>
      <c r="G4332" t="str">
        <f>IF(OrdersTable[[#This Row],[Order Date]]=_xlfn.MINIFS(Order_Date, Customer_ID, OrdersTable[[#This Row],[Customer ID]]), "New", "Repeat")</f>
        <v>New</v>
      </c>
      <c r="H4332" t="s">
        <v>71</v>
      </c>
      <c r="I4332" t="str">
        <f>INDEX(State!B:B,MATCH(OrdersTable[[#This Row],[State]],State!A:A,0))</f>
        <v>MH</v>
      </c>
      <c r="J4332" t="str">
        <f>INDEX(State!C:C,MATCH(OrdersTable[[#This Row],[State Code]],State!B:B,0))</f>
        <v>West</v>
      </c>
      <c r="K4332" t="s">
        <v>81</v>
      </c>
      <c r="L4332" t="s">
        <v>23</v>
      </c>
      <c r="M4332" t="s">
        <v>160</v>
      </c>
      <c r="N4332" t="str">
        <f>INDEX(Products!B:B,MATCH(OrdersTable[[#This Row],[Product ID]],Products!A:A,0))</f>
        <v>Niacinamide Toner</v>
      </c>
      <c r="O4332" t="str">
        <f>INDEX(Products!C:C,MATCH(OrdersTable[[#This Row],[Product ID]],Products!A:A,0))</f>
        <v>Skincare</v>
      </c>
      <c r="P4332">
        <v>2</v>
      </c>
      <c r="Q4332" s="5">
        <v>399</v>
      </c>
      <c r="R4332" s="74">
        <v>0.5</v>
      </c>
      <c r="S4332" s="75">
        <f>OrdersTable[[#This Row],[Quantity]]*OrdersTable[[#This Row],[Unit Price]]</f>
        <v>798</v>
      </c>
      <c r="T4332" s="5">
        <f>OrdersTable[[#This Row],[Gross Sale]]*OrdersTable[[#This Row],[Discount_Clean2]]</f>
        <v>399</v>
      </c>
      <c r="U4332" s="5">
        <f>OrdersTable[[#This Row],[Gross Sale]]-OrdersTable[[#This Row],[Discount Amount]]</f>
        <v>399</v>
      </c>
      <c r="V4332" s="77">
        <f>INDEX(Products!E:E,MATCH(OrdersTable[[#This Row],[Product ID]],Products!A:A,0))</f>
        <v>112</v>
      </c>
      <c r="W4332" s="77">
        <f>OrdersTable[[#This Row],[Quantity]]*OrdersTable[[#This Row],[Unit Cost]]</f>
        <v>224</v>
      </c>
      <c r="X4332" s="77">
        <f>'Dropdown Lists'!$I$2*(1+OrdersTable[[#This Row],[Returned]])</f>
        <v>60</v>
      </c>
      <c r="Y4332" s="76">
        <f>OrdersTable[[#This Row],[Net Revenue]]-OrdersTable[[#This Row],[COGS]]-OrdersTable[[#This Row],[Shipping Cost]]</f>
        <v>115</v>
      </c>
      <c r="Z4332" s="78">
        <f>IFERROR(OrdersTable[[#This Row],[Profit]]/OrdersTable[[#This Row],[Net Revenue]],0)</f>
        <v>0.2882205513784461</v>
      </c>
      <c r="AA4332" t="s">
        <v>18</v>
      </c>
      <c r="AB4332" s="79">
        <v>45966</v>
      </c>
      <c r="AC4332">
        <f>OrdersTable[[#This Row],[Delivery Date]]-OrdersTable[[#This Row],[Order Date]]</f>
        <v>1</v>
      </c>
      <c r="AD4332" t="str">
        <f>IF(OrdersTable[[#This Row],[Delivery Days]]&lt;=2, "Express (≤2d)", IF(OrdersTable[[#This Row],[Delivery Days]]&lt;=4, "Standard (3-4d)", "Delayed (5d+)"))</f>
        <v>Express (≤2d)</v>
      </c>
      <c r="AF4332">
        <v>0</v>
      </c>
    </row>
    <row r="4333" spans="1:32" ht="15" x14ac:dyDescent="0.35">
      <c r="A4333" t="s">
        <v>4192</v>
      </c>
      <c r="B4333" s="1">
        <v>45965</v>
      </c>
      <c r="C4333">
        <f>YEAR(OrdersTable[[#This Row],[Order Date]])</f>
        <v>2025</v>
      </c>
      <c r="D4333" s="2">
        <f>DATE(YEAR(OrdersTable[[#This Row],[Order Date]]),MONTH(OrdersTable[[#This Row],[Order Date]]),1)</f>
        <v>45962</v>
      </c>
      <c r="E4333">
        <f>MONTH(OrdersTable[[#This Row],[Order Date]])</f>
        <v>11</v>
      </c>
      <c r="F4333" t="s">
        <v>4193</v>
      </c>
      <c r="G4333" t="str">
        <f>IF(OrdersTable[[#This Row],[Order Date]]=_xlfn.MINIFS(Order_Date, Customer_ID, OrdersTable[[#This Row],[Customer ID]]), "New", "Repeat")</f>
        <v>Repeat</v>
      </c>
      <c r="H4333" t="s">
        <v>71</v>
      </c>
      <c r="I4333" t="str">
        <f>INDEX(State!B:B,MATCH(OrdersTable[[#This Row],[State]],State!A:A,0))</f>
        <v>MH</v>
      </c>
      <c r="J4333" t="str">
        <f>INDEX(State!C:C,MATCH(OrdersTable[[#This Row],[State Code]],State!B:B,0))</f>
        <v>West</v>
      </c>
      <c r="K4333" t="s">
        <v>72</v>
      </c>
      <c r="L4333" t="s">
        <v>39</v>
      </c>
      <c r="M4333" t="s">
        <v>66</v>
      </c>
      <c r="N4333" t="str">
        <f>INDEX(Products!B:B,MATCH(OrdersTable[[#This Row],[Product ID]],Products!A:A,0))</f>
        <v>Sunscreen SPF 50</v>
      </c>
      <c r="O4333" t="str">
        <f>INDEX(Products!C:C,MATCH(OrdersTable[[#This Row],[Product ID]],Products!A:A,0))</f>
        <v>Skincare</v>
      </c>
      <c r="P4333">
        <v>1</v>
      </c>
      <c r="Q4333" s="5">
        <v>449</v>
      </c>
      <c r="R4333" s="74">
        <v>0.1</v>
      </c>
      <c r="S4333" s="75">
        <f>OrdersTable[[#This Row],[Quantity]]*OrdersTable[[#This Row],[Unit Price]]</f>
        <v>449</v>
      </c>
      <c r="T4333" s="5">
        <f>OrdersTable[[#This Row],[Gross Sale]]*OrdersTable[[#This Row],[Discount_Clean2]]</f>
        <v>44.900000000000006</v>
      </c>
      <c r="U4333" s="5">
        <f>OrdersTable[[#This Row],[Gross Sale]]-OrdersTable[[#This Row],[Discount Amount]]</f>
        <v>404.1</v>
      </c>
      <c r="V4333" s="77">
        <f>INDEX(Products!E:E,MATCH(OrdersTable[[#This Row],[Product ID]],Products!A:A,0))</f>
        <v>144</v>
      </c>
      <c r="W4333" s="77">
        <f>OrdersTable[[#This Row],[Quantity]]*OrdersTable[[#This Row],[Unit Cost]]</f>
        <v>144</v>
      </c>
      <c r="X4333" s="77">
        <f>'Dropdown Lists'!$I$2*(1+OrdersTable[[#This Row],[Returned]])</f>
        <v>60</v>
      </c>
      <c r="Y4333" s="76">
        <f>OrdersTable[[#This Row],[Net Revenue]]-OrdersTable[[#This Row],[COGS]]-OrdersTable[[#This Row],[Shipping Cost]]</f>
        <v>200.10000000000002</v>
      </c>
      <c r="Z4333" s="78">
        <f>IFERROR(OrdersTable[[#This Row],[Profit]]/OrdersTable[[#This Row],[Net Revenue]],0)</f>
        <v>0.4951744617668894</v>
      </c>
      <c r="AA4333" t="s">
        <v>4074</v>
      </c>
      <c r="AB4333" s="79">
        <v>45968</v>
      </c>
      <c r="AC4333">
        <f>OrdersTable[[#This Row],[Delivery Date]]-OrdersTable[[#This Row],[Order Date]]</f>
        <v>3</v>
      </c>
      <c r="AD4333" t="str">
        <f>IF(OrdersTable[[#This Row],[Delivery Days]]&lt;=2, "Express (≤2d)", IF(OrdersTable[[#This Row],[Delivery Days]]&lt;=4, "Standard (3-4d)", "Delayed (5d+)"))</f>
        <v>Standard (3-4d)</v>
      </c>
      <c r="AE4333">
        <v>5</v>
      </c>
      <c r="AF4333">
        <v>0</v>
      </c>
    </row>
    <row r="4334" spans="1:32" ht="15" x14ac:dyDescent="0.35">
      <c r="A4334" t="s">
        <v>3482</v>
      </c>
      <c r="B4334" s="1">
        <v>45965</v>
      </c>
      <c r="C4334">
        <f>YEAR(OrdersTable[[#This Row],[Order Date]])</f>
        <v>2025</v>
      </c>
      <c r="D4334" s="2">
        <f>DATE(YEAR(OrdersTable[[#This Row],[Order Date]]),MONTH(OrdersTable[[#This Row],[Order Date]]),1)</f>
        <v>45962</v>
      </c>
      <c r="E4334">
        <f>MONTH(OrdersTable[[#This Row],[Order Date]])</f>
        <v>11</v>
      </c>
      <c r="F4334" t="s">
        <v>3483</v>
      </c>
      <c r="G4334" t="str">
        <f>IF(OrdersTable[[#This Row],[Order Date]]=_xlfn.MINIFS(Order_Date, Customer_ID, OrdersTable[[#This Row],[Customer ID]]), "New", "Repeat")</f>
        <v>New</v>
      </c>
      <c r="H4334" t="s">
        <v>71</v>
      </c>
      <c r="I4334" t="str">
        <f>INDEX(State!B:B,MATCH(OrdersTable[[#This Row],[State]],State!A:A,0))</f>
        <v>MH</v>
      </c>
      <c r="J4334" t="str">
        <f>INDEX(State!C:C,MATCH(OrdersTable[[#This Row],[State Code]],State!B:B,0))</f>
        <v>West</v>
      </c>
      <c r="K4334" t="s">
        <v>72</v>
      </c>
      <c r="L4334" t="s">
        <v>65</v>
      </c>
      <c r="M4334" t="s">
        <v>51</v>
      </c>
      <c r="N4334" t="str">
        <f>INDEX(Products!B:B,MATCH(OrdersTable[[#This Row],[Product ID]],Products!A:A,0))</f>
        <v>Anti-Dandruff Conditioner</v>
      </c>
      <c r="O4334" t="str">
        <f>INDEX(Products!C:C,MATCH(OrdersTable[[#This Row],[Product ID]],Products!A:A,0))</f>
        <v>Haircare</v>
      </c>
      <c r="P4334">
        <v>1</v>
      </c>
      <c r="Q4334" s="5">
        <v>399</v>
      </c>
      <c r="R4334" s="74">
        <v>0.55000000000000004</v>
      </c>
      <c r="S4334" s="75">
        <f>OrdersTable[[#This Row],[Quantity]]*OrdersTable[[#This Row],[Unit Price]]</f>
        <v>399</v>
      </c>
      <c r="T4334" s="5">
        <f>OrdersTable[[#This Row],[Gross Sale]]*OrdersTable[[#This Row],[Discount_Clean2]]</f>
        <v>219.45000000000002</v>
      </c>
      <c r="U4334" s="5">
        <f>OrdersTable[[#This Row],[Gross Sale]]-OrdersTable[[#This Row],[Discount Amount]]</f>
        <v>179.54999999999998</v>
      </c>
      <c r="V4334" s="77">
        <f>INDEX(Products!E:E,MATCH(OrdersTable[[#This Row],[Product ID]],Products!A:A,0))</f>
        <v>136</v>
      </c>
      <c r="W4334" s="77">
        <f>OrdersTable[[#This Row],[Quantity]]*OrdersTable[[#This Row],[Unit Cost]]</f>
        <v>136</v>
      </c>
      <c r="X4334" s="77">
        <f>'Dropdown Lists'!$I$2*(1+OrdersTable[[#This Row],[Returned]])</f>
        <v>120</v>
      </c>
      <c r="Y4334" s="76">
        <f>OrdersTable[[#This Row],[Net Revenue]]-OrdersTable[[#This Row],[COGS]]-OrdersTable[[#This Row],[Shipping Cost]]</f>
        <v>-76.450000000000017</v>
      </c>
      <c r="Z4334" s="78">
        <f>IFERROR(OrdersTable[[#This Row],[Profit]]/OrdersTable[[#This Row],[Net Revenue]],0)</f>
        <v>-0.42578668894458382</v>
      </c>
      <c r="AA4334" t="s">
        <v>2522</v>
      </c>
      <c r="AB4334" s="79">
        <v>45967</v>
      </c>
      <c r="AC4334">
        <f>OrdersTable[[#This Row],[Delivery Date]]-OrdersTable[[#This Row],[Order Date]]</f>
        <v>2</v>
      </c>
      <c r="AD4334" t="str">
        <f>IF(OrdersTable[[#This Row],[Delivery Days]]&lt;=2, "Express (≤2d)", IF(OrdersTable[[#This Row],[Delivery Days]]&lt;=4, "Standard (3-4d)", "Delayed (5d+)"))</f>
        <v>Express (≤2d)</v>
      </c>
      <c r="AE4334">
        <v>4</v>
      </c>
      <c r="AF4334">
        <v>1</v>
      </c>
    </row>
    <row r="4335" spans="1:32" ht="15" x14ac:dyDescent="0.35">
      <c r="A4335" t="s">
        <v>1599</v>
      </c>
      <c r="B4335" s="1">
        <v>45965</v>
      </c>
      <c r="C4335">
        <f>YEAR(OrdersTable[[#This Row],[Order Date]])</f>
        <v>2025</v>
      </c>
      <c r="D4335" s="2">
        <f>DATE(YEAR(OrdersTable[[#This Row],[Order Date]]),MONTH(OrdersTable[[#This Row],[Order Date]]),1)</f>
        <v>45962</v>
      </c>
      <c r="E4335">
        <f>MONTH(OrdersTable[[#This Row],[Order Date]])</f>
        <v>11</v>
      </c>
      <c r="F4335" t="s">
        <v>1600</v>
      </c>
      <c r="G4335" t="str">
        <f>IF(OrdersTable[[#This Row],[Order Date]]=_xlfn.MINIFS(Order_Date, Customer_ID, OrdersTable[[#This Row],[Customer ID]]), "New", "Repeat")</f>
        <v>Repeat</v>
      </c>
      <c r="H4335" t="s">
        <v>316</v>
      </c>
      <c r="I4335" t="str">
        <f>INDEX(State!B:B,MATCH(OrdersTable[[#This Row],[State]],State!A:A,0))</f>
        <v>KL</v>
      </c>
      <c r="J4335" t="str">
        <f>INDEX(State!C:C,MATCH(OrdersTable[[#This Row],[State Code]],State!B:B,0))</f>
        <v>South</v>
      </c>
      <c r="K4335" t="s">
        <v>338</v>
      </c>
      <c r="L4335" t="s">
        <v>39</v>
      </c>
      <c r="M4335" t="s">
        <v>24</v>
      </c>
      <c r="N4335" t="str">
        <f>INDEX(Products!B:B,MATCH(OrdersTable[[#This Row],[Product ID]],Products!A:A,0))</f>
        <v>Scented Candle Set</v>
      </c>
      <c r="O4335" t="str">
        <f>INDEX(Products!C:C,MATCH(OrdersTable[[#This Row],[Product ID]],Products!A:A,0))</f>
        <v>Home &amp; Kitchen</v>
      </c>
      <c r="P4335">
        <v>1</v>
      </c>
      <c r="Q4335" s="5">
        <v>699</v>
      </c>
      <c r="R4335" s="74">
        <v>0.25</v>
      </c>
      <c r="S4335" s="75">
        <f>OrdersTable[[#This Row],[Quantity]]*OrdersTable[[#This Row],[Unit Price]]</f>
        <v>699</v>
      </c>
      <c r="T4335" s="5">
        <f>OrdersTable[[#This Row],[Gross Sale]]*OrdersTable[[#This Row],[Discount_Clean2]]</f>
        <v>174.75</v>
      </c>
      <c r="U4335" s="5">
        <f>OrdersTable[[#This Row],[Gross Sale]]-OrdersTable[[#This Row],[Discount Amount]]</f>
        <v>524.25</v>
      </c>
      <c r="V4335" s="77">
        <f>INDEX(Products!E:E,MATCH(OrdersTable[[#This Row],[Product ID]],Products!A:A,0))</f>
        <v>245</v>
      </c>
      <c r="W4335" s="77">
        <f>OrdersTable[[#This Row],[Quantity]]*OrdersTable[[#This Row],[Unit Cost]]</f>
        <v>245</v>
      </c>
      <c r="X4335" s="77">
        <f>'Dropdown Lists'!$I$2*(1+OrdersTable[[#This Row],[Returned]])</f>
        <v>60</v>
      </c>
      <c r="Y4335" s="76">
        <f>OrdersTable[[#This Row],[Net Revenue]]-OrdersTable[[#This Row],[COGS]]-OrdersTable[[#This Row],[Shipping Cost]]</f>
        <v>219.25</v>
      </c>
      <c r="Z4335" s="78">
        <f>IFERROR(OrdersTable[[#This Row],[Profit]]/OrdersTable[[#This Row],[Net Revenue]],0)</f>
        <v>0.41821649976156416</v>
      </c>
      <c r="AA4335" t="s">
        <v>18</v>
      </c>
      <c r="AB4335" s="79">
        <v>45970</v>
      </c>
      <c r="AC4335">
        <f>OrdersTable[[#This Row],[Delivery Date]]-OrdersTable[[#This Row],[Order Date]]</f>
        <v>5</v>
      </c>
      <c r="AD4335" t="str">
        <f>IF(OrdersTable[[#This Row],[Delivery Days]]&lt;=2, "Express (≤2d)", IF(OrdersTable[[#This Row],[Delivery Days]]&lt;=4, "Standard (3-4d)", "Delayed (5d+)"))</f>
        <v>Delayed (5d+)</v>
      </c>
      <c r="AF4335">
        <v>0</v>
      </c>
    </row>
    <row r="4336" spans="1:32" ht="15" x14ac:dyDescent="0.35">
      <c r="A4336" t="s">
        <v>7034</v>
      </c>
      <c r="B4336" s="1">
        <v>45965</v>
      </c>
      <c r="C4336">
        <f>YEAR(OrdersTable[[#This Row],[Order Date]])</f>
        <v>2025</v>
      </c>
      <c r="D4336" s="2">
        <f>DATE(YEAR(OrdersTable[[#This Row],[Order Date]]),MONTH(OrdersTable[[#This Row],[Order Date]]),1)</f>
        <v>45962</v>
      </c>
      <c r="E4336">
        <f>MONTH(OrdersTable[[#This Row],[Order Date]])</f>
        <v>11</v>
      </c>
      <c r="F4336" t="s">
        <v>4022</v>
      </c>
      <c r="G4336" t="str">
        <f>IF(OrdersTable[[#This Row],[Order Date]]=_xlfn.MINIFS(Order_Date, Customer_ID, OrdersTable[[#This Row],[Customer ID]]), "New", "Repeat")</f>
        <v>Repeat</v>
      </c>
      <c r="H4336" t="s">
        <v>59</v>
      </c>
      <c r="I4336" t="str">
        <f>INDEX(State!B:B,MATCH(OrdersTable[[#This Row],[State]],State!A:A,0))</f>
        <v>TN</v>
      </c>
      <c r="J4336" t="str">
        <f>INDEX(State!C:C,MATCH(OrdersTable[[#This Row],[State Code]],State!B:B,0))</f>
        <v>South</v>
      </c>
      <c r="K4336" t="s">
        <v>64</v>
      </c>
      <c r="L4336" t="s">
        <v>23</v>
      </c>
      <c r="M4336" t="s">
        <v>40</v>
      </c>
      <c r="N4336" t="str">
        <f>INDEX(Products!B:B,MATCH(OrdersTable[[#This Row],[Product ID]],Products!A:A,0))</f>
        <v>Ashwagandha Capsules</v>
      </c>
      <c r="O4336" t="str">
        <f>INDEX(Products!C:C,MATCH(OrdersTable[[#This Row],[Product ID]],Products!A:A,0))</f>
        <v>Wellness</v>
      </c>
      <c r="P4336">
        <v>4</v>
      </c>
      <c r="Q4336" s="5">
        <v>499</v>
      </c>
      <c r="R4336" s="74">
        <v>0.15</v>
      </c>
      <c r="S4336" s="75">
        <f>OrdersTable[[#This Row],[Quantity]]*OrdersTable[[#This Row],[Unit Price]]</f>
        <v>1996</v>
      </c>
      <c r="T4336" s="5">
        <f>OrdersTable[[#This Row],[Gross Sale]]*OrdersTable[[#This Row],[Discount_Clean2]]</f>
        <v>299.39999999999998</v>
      </c>
      <c r="U4336" s="5">
        <f>OrdersTable[[#This Row],[Gross Sale]]-OrdersTable[[#This Row],[Discount Amount]]</f>
        <v>1696.6</v>
      </c>
      <c r="V4336" s="77">
        <f>INDEX(Products!E:E,MATCH(OrdersTable[[#This Row],[Product ID]],Products!A:A,0))</f>
        <v>150</v>
      </c>
      <c r="W4336" s="77">
        <f>OrdersTable[[#This Row],[Quantity]]*OrdersTable[[#This Row],[Unit Cost]]</f>
        <v>600</v>
      </c>
      <c r="X4336" s="77">
        <f>'Dropdown Lists'!$I$2*(1+OrdersTable[[#This Row],[Returned]])</f>
        <v>60</v>
      </c>
      <c r="Y4336" s="76">
        <f>OrdersTable[[#This Row],[Net Revenue]]-OrdersTable[[#This Row],[COGS]]-OrdersTable[[#This Row],[Shipping Cost]]</f>
        <v>1036.5999999999999</v>
      </c>
      <c r="Z4336" s="78">
        <f>IFERROR(OrdersTable[[#This Row],[Profit]]/OrdersTable[[#This Row],[Net Revenue]],0)</f>
        <v>0.61098667924083461</v>
      </c>
      <c r="AA4336" t="s">
        <v>2522</v>
      </c>
      <c r="AB4336" s="79">
        <v>45970</v>
      </c>
      <c r="AC4336">
        <f>OrdersTable[[#This Row],[Delivery Date]]-OrdersTable[[#This Row],[Order Date]]</f>
        <v>5</v>
      </c>
      <c r="AD4336" t="str">
        <f>IF(OrdersTable[[#This Row],[Delivery Days]]&lt;=2, "Express (≤2d)", IF(OrdersTable[[#This Row],[Delivery Days]]&lt;=4, "Standard (3-4d)", "Delayed (5d+)"))</f>
        <v>Delayed (5d+)</v>
      </c>
      <c r="AE4336">
        <v>5</v>
      </c>
      <c r="AF4336">
        <v>0</v>
      </c>
    </row>
    <row r="4337" spans="1:32" ht="15" x14ac:dyDescent="0.35">
      <c r="A4337" t="s">
        <v>6424</v>
      </c>
      <c r="B4337" s="1">
        <v>45965</v>
      </c>
      <c r="C4337">
        <f>YEAR(OrdersTable[[#This Row],[Order Date]])</f>
        <v>2025</v>
      </c>
      <c r="D4337" s="2">
        <f>DATE(YEAR(OrdersTable[[#This Row],[Order Date]]),MONTH(OrdersTable[[#This Row],[Order Date]]),1)</f>
        <v>45962</v>
      </c>
      <c r="E4337">
        <f>MONTH(OrdersTable[[#This Row],[Order Date]])</f>
        <v>11</v>
      </c>
      <c r="F4337" t="s">
        <v>6363</v>
      </c>
      <c r="G4337" t="str">
        <f>IF(OrdersTable[[#This Row],[Order Date]]=_xlfn.MINIFS(Order_Date, Customer_ID, OrdersTable[[#This Row],[Customer ID]]), "New", "Repeat")</f>
        <v>Repeat</v>
      </c>
      <c r="H4337" t="s">
        <v>59</v>
      </c>
      <c r="I4337" t="str">
        <f>INDEX(State!B:B,MATCH(OrdersTable[[#This Row],[State]],State!A:A,0))</f>
        <v>TN</v>
      </c>
      <c r="J4337" t="str">
        <f>INDEX(State!C:C,MATCH(OrdersTable[[#This Row],[State Code]],State!B:B,0))</f>
        <v>South</v>
      </c>
      <c r="K4337" t="s">
        <v>64</v>
      </c>
      <c r="L4337" t="s">
        <v>23</v>
      </c>
      <c r="M4337" t="s">
        <v>34</v>
      </c>
      <c r="N4337" t="str">
        <f>INDEX(Products!B:B,MATCH(OrdersTable[[#This Row],[Product ID]],Products!A:A,0))</f>
        <v>Flip Flops</v>
      </c>
      <c r="O4337" t="str">
        <f>INDEX(Products!C:C,MATCH(OrdersTable[[#This Row],[Product ID]],Products!A:A,0))</f>
        <v>Footwear</v>
      </c>
      <c r="P4337">
        <v>2</v>
      </c>
      <c r="Q4337" s="5">
        <v>399</v>
      </c>
      <c r="R4337" s="74">
        <v>0.2</v>
      </c>
      <c r="S4337" s="75">
        <f>OrdersTable[[#This Row],[Quantity]]*OrdersTable[[#This Row],[Unit Price]]</f>
        <v>798</v>
      </c>
      <c r="T4337" s="5">
        <f>OrdersTable[[#This Row],[Gross Sale]]*OrdersTable[[#This Row],[Discount_Clean2]]</f>
        <v>159.60000000000002</v>
      </c>
      <c r="U4337" s="5">
        <f>OrdersTable[[#This Row],[Gross Sale]]-OrdersTable[[#This Row],[Discount Amount]]</f>
        <v>638.4</v>
      </c>
      <c r="V4337" s="77">
        <f>INDEX(Products!E:E,MATCH(OrdersTable[[#This Row],[Product ID]],Products!A:A,0))</f>
        <v>152</v>
      </c>
      <c r="W4337" s="77">
        <f>OrdersTable[[#This Row],[Quantity]]*OrdersTable[[#This Row],[Unit Cost]]</f>
        <v>304</v>
      </c>
      <c r="X4337" s="77">
        <f>'Dropdown Lists'!$I$2*(1+OrdersTable[[#This Row],[Returned]])</f>
        <v>60</v>
      </c>
      <c r="Y4337" s="76">
        <f>OrdersTable[[#This Row],[Net Revenue]]-OrdersTable[[#This Row],[COGS]]-OrdersTable[[#This Row],[Shipping Cost]]</f>
        <v>274.39999999999998</v>
      </c>
      <c r="Z4337" s="78">
        <f>IFERROR(OrdersTable[[#This Row],[Profit]]/OrdersTable[[#This Row],[Net Revenue]],0)</f>
        <v>0.42982456140350878</v>
      </c>
      <c r="AA4337" t="s">
        <v>18</v>
      </c>
      <c r="AB4337" s="79">
        <v>45968</v>
      </c>
      <c r="AC4337">
        <f>OrdersTable[[#This Row],[Delivery Date]]-OrdersTable[[#This Row],[Order Date]]</f>
        <v>3</v>
      </c>
      <c r="AD4337" t="str">
        <f>IF(OrdersTable[[#This Row],[Delivery Days]]&lt;=2, "Express (≤2d)", IF(OrdersTable[[#This Row],[Delivery Days]]&lt;=4, "Standard (3-4d)", "Delayed (5d+)"))</f>
        <v>Standard (3-4d)</v>
      </c>
      <c r="AE4337">
        <v>3</v>
      </c>
      <c r="AF4337">
        <v>0</v>
      </c>
    </row>
    <row r="4338" spans="1:32" ht="15" x14ac:dyDescent="0.35">
      <c r="A4338" t="s">
        <v>1601</v>
      </c>
      <c r="B4338" s="1">
        <v>45966</v>
      </c>
      <c r="C4338">
        <f>YEAR(OrdersTable[[#This Row],[Order Date]])</f>
        <v>2025</v>
      </c>
      <c r="D4338" s="2">
        <f>DATE(YEAR(OrdersTable[[#This Row],[Order Date]]),MONTH(OrdersTable[[#This Row],[Order Date]]),1)</f>
        <v>45962</v>
      </c>
      <c r="E4338">
        <f>MONTH(OrdersTable[[#This Row],[Order Date]])</f>
        <v>11</v>
      </c>
      <c r="F4338" t="s">
        <v>1602</v>
      </c>
      <c r="G4338" t="str">
        <f>IF(OrdersTable[[#This Row],[Order Date]]=_xlfn.MINIFS(Order_Date, Customer_ID, OrdersTable[[#This Row],[Customer ID]]), "New", "Repeat")</f>
        <v>New</v>
      </c>
      <c r="H4338" t="s">
        <v>128</v>
      </c>
      <c r="I4338" t="str">
        <f>INDEX(State!B:B,MATCH(OrdersTable[[#This Row],[State]],State!A:A,0))</f>
        <v>DL</v>
      </c>
      <c r="J4338" t="str">
        <f>INDEX(State!C:C,MATCH(OrdersTable[[#This Row],[State Code]],State!B:B,0))</f>
        <v>North</v>
      </c>
      <c r="K4338" t="s">
        <v>129</v>
      </c>
      <c r="L4338" t="s">
        <v>39</v>
      </c>
      <c r="M4338" t="s">
        <v>66</v>
      </c>
      <c r="N4338" t="str">
        <f>INDEX(Products!B:B,MATCH(OrdersTable[[#This Row],[Product ID]],Products!A:A,0))</f>
        <v>Sunscreen SPF 50</v>
      </c>
      <c r="O4338" t="str">
        <f>INDEX(Products!C:C,MATCH(OrdersTable[[#This Row],[Product ID]],Products!A:A,0))</f>
        <v>Skincare</v>
      </c>
      <c r="P4338">
        <v>1</v>
      </c>
      <c r="Q4338" s="5">
        <v>449</v>
      </c>
      <c r="R4338" s="74">
        <v>0.1</v>
      </c>
      <c r="S4338" s="75">
        <f>OrdersTable[[#This Row],[Quantity]]*OrdersTable[[#This Row],[Unit Price]]</f>
        <v>449</v>
      </c>
      <c r="T4338" s="5">
        <f>OrdersTable[[#This Row],[Gross Sale]]*OrdersTable[[#This Row],[Discount_Clean2]]</f>
        <v>44.900000000000006</v>
      </c>
      <c r="U4338" s="5">
        <f>OrdersTable[[#This Row],[Gross Sale]]-OrdersTable[[#This Row],[Discount Amount]]</f>
        <v>404.1</v>
      </c>
      <c r="V4338" s="77">
        <f>INDEX(Products!E:E,MATCH(OrdersTable[[#This Row],[Product ID]],Products!A:A,0))</f>
        <v>144</v>
      </c>
      <c r="W4338" s="77">
        <f>OrdersTable[[#This Row],[Quantity]]*OrdersTable[[#This Row],[Unit Cost]]</f>
        <v>144</v>
      </c>
      <c r="X4338" s="77">
        <f>'Dropdown Lists'!$I$2*(1+OrdersTable[[#This Row],[Returned]])</f>
        <v>60</v>
      </c>
      <c r="Y4338" s="76">
        <f>OrdersTable[[#This Row],[Net Revenue]]-OrdersTable[[#This Row],[COGS]]-OrdersTable[[#This Row],[Shipping Cost]]</f>
        <v>200.10000000000002</v>
      </c>
      <c r="Z4338" s="78">
        <f>IFERROR(OrdersTable[[#This Row],[Profit]]/OrdersTable[[#This Row],[Net Revenue]],0)</f>
        <v>0.4951744617668894</v>
      </c>
      <c r="AA4338" t="s">
        <v>18</v>
      </c>
      <c r="AB4338" s="79">
        <v>45970</v>
      </c>
      <c r="AC4338">
        <f>OrdersTable[[#This Row],[Delivery Date]]-OrdersTable[[#This Row],[Order Date]]</f>
        <v>4</v>
      </c>
      <c r="AD4338" t="str">
        <f>IF(OrdersTable[[#This Row],[Delivery Days]]&lt;=2, "Express (≤2d)", IF(OrdersTable[[#This Row],[Delivery Days]]&lt;=4, "Standard (3-4d)", "Delayed (5d+)"))</f>
        <v>Standard (3-4d)</v>
      </c>
      <c r="AF4338">
        <v>0</v>
      </c>
    </row>
    <row r="4339" spans="1:32" ht="15" x14ac:dyDescent="0.35">
      <c r="A4339" t="s">
        <v>2671</v>
      </c>
      <c r="B4339" s="1">
        <v>45966</v>
      </c>
      <c r="C4339">
        <f>YEAR(OrdersTable[[#This Row],[Order Date]])</f>
        <v>2025</v>
      </c>
      <c r="D4339" s="2">
        <f>DATE(YEAR(OrdersTable[[#This Row],[Order Date]]),MONTH(OrdersTable[[#This Row],[Order Date]]),1)</f>
        <v>45962</v>
      </c>
      <c r="E4339">
        <f>MONTH(OrdersTable[[#This Row],[Order Date]])</f>
        <v>11</v>
      </c>
      <c r="F4339" t="s">
        <v>1241</v>
      </c>
      <c r="G4339" t="str">
        <f>IF(OrdersTable[[#This Row],[Order Date]]=_xlfn.MINIFS(Order_Date, Customer_ID, OrdersTable[[#This Row],[Customer ID]]), "New", "Repeat")</f>
        <v>Repeat</v>
      </c>
      <c r="H4339" t="s">
        <v>43</v>
      </c>
      <c r="I4339" t="str">
        <f>INDEX(State!B:B,MATCH(OrdersTable[[#This Row],[State]],State!A:A,0))</f>
        <v>MP</v>
      </c>
      <c r="J4339" t="str">
        <f>INDEX(State!C:C,MATCH(OrdersTable[[#This Row],[State Code]],State!B:B,0))</f>
        <v>West</v>
      </c>
      <c r="K4339" t="s">
        <v>250</v>
      </c>
      <c r="L4339" t="s">
        <v>39</v>
      </c>
      <c r="M4339" t="s">
        <v>34</v>
      </c>
      <c r="N4339" t="str">
        <f>INDEX(Products!B:B,MATCH(OrdersTable[[#This Row],[Product ID]],Products!A:A,0))</f>
        <v>Flip Flops</v>
      </c>
      <c r="O4339" t="str">
        <f>INDEX(Products!C:C,MATCH(OrdersTable[[#This Row],[Product ID]],Products!A:A,0))</f>
        <v>Footwear</v>
      </c>
      <c r="P4339">
        <v>1</v>
      </c>
      <c r="Q4339" s="5">
        <v>399</v>
      </c>
      <c r="R4339" s="74">
        <v>0.15</v>
      </c>
      <c r="S4339" s="75">
        <f>OrdersTable[[#This Row],[Quantity]]*OrdersTable[[#This Row],[Unit Price]]</f>
        <v>399</v>
      </c>
      <c r="T4339" s="5">
        <f>OrdersTable[[#This Row],[Gross Sale]]*OrdersTable[[#This Row],[Discount_Clean2]]</f>
        <v>59.849999999999994</v>
      </c>
      <c r="U4339" s="5">
        <f>OrdersTable[[#This Row],[Gross Sale]]-OrdersTable[[#This Row],[Discount Amount]]</f>
        <v>339.15</v>
      </c>
      <c r="V4339" s="77">
        <f>INDEX(Products!E:E,MATCH(OrdersTable[[#This Row],[Product ID]],Products!A:A,0))</f>
        <v>152</v>
      </c>
      <c r="W4339" s="77">
        <f>OrdersTable[[#This Row],[Quantity]]*OrdersTable[[#This Row],[Unit Cost]]</f>
        <v>152</v>
      </c>
      <c r="X4339" s="77">
        <f>'Dropdown Lists'!$I$2*(1+OrdersTable[[#This Row],[Returned]])</f>
        <v>120</v>
      </c>
      <c r="Y4339" s="76">
        <f>OrdersTable[[#This Row],[Net Revenue]]-OrdersTable[[#This Row],[COGS]]-OrdersTable[[#This Row],[Shipping Cost]]</f>
        <v>67.149999999999977</v>
      </c>
      <c r="Z4339" s="78">
        <f>IFERROR(OrdersTable[[#This Row],[Profit]]/OrdersTable[[#This Row],[Net Revenue]],0)</f>
        <v>0.19799498746867161</v>
      </c>
      <c r="AA4339" t="s">
        <v>2522</v>
      </c>
      <c r="AB4339" s="79">
        <v>45971</v>
      </c>
      <c r="AC4339">
        <f>OrdersTable[[#This Row],[Delivery Date]]-OrdersTable[[#This Row],[Order Date]]</f>
        <v>5</v>
      </c>
      <c r="AD4339" t="str">
        <f>IF(OrdersTable[[#This Row],[Delivery Days]]&lt;=2, "Express (≤2d)", IF(OrdersTable[[#This Row],[Delivery Days]]&lt;=4, "Standard (3-4d)", "Delayed (5d+)"))</f>
        <v>Delayed (5d+)</v>
      </c>
      <c r="AE4339">
        <v>5</v>
      </c>
      <c r="AF4339">
        <v>1</v>
      </c>
    </row>
    <row r="4340" spans="1:32" ht="15" x14ac:dyDescent="0.35">
      <c r="A4340" t="s">
        <v>1308</v>
      </c>
      <c r="B4340" s="1">
        <v>45966</v>
      </c>
      <c r="C4340">
        <f>YEAR(OrdersTable[[#This Row],[Order Date]])</f>
        <v>2025</v>
      </c>
      <c r="D4340" s="2">
        <f>DATE(YEAR(OrdersTable[[#This Row],[Order Date]]),MONTH(OrdersTable[[#This Row],[Order Date]]),1)</f>
        <v>45962</v>
      </c>
      <c r="E4340">
        <f>MONTH(OrdersTable[[#This Row],[Order Date]])</f>
        <v>11</v>
      </c>
      <c r="F4340" t="s">
        <v>1025</v>
      </c>
      <c r="G4340" t="str">
        <f>IF(OrdersTable[[#This Row],[Order Date]]=_xlfn.MINIFS(Order_Date, Customer_ID, OrdersTable[[#This Row],[Customer ID]]), "New", "Repeat")</f>
        <v>Repeat</v>
      </c>
      <c r="H4340" t="s">
        <v>43</v>
      </c>
      <c r="I4340" t="str">
        <f>INDEX(State!B:B,MATCH(OrdersTable[[#This Row],[State]],State!A:A,0))</f>
        <v>MP</v>
      </c>
      <c r="J4340" t="str">
        <f>INDEX(State!C:C,MATCH(OrdersTable[[#This Row],[State Code]],State!B:B,0))</f>
        <v>West</v>
      </c>
      <c r="K4340" t="s">
        <v>250</v>
      </c>
      <c r="L4340" t="s">
        <v>16</v>
      </c>
      <c r="M4340" t="s">
        <v>29</v>
      </c>
      <c r="N4340" t="str">
        <f>INDEX(Products!B:B,MATCH(OrdersTable[[#This Row],[Product ID]],Products!A:A,0))</f>
        <v>Joggers</v>
      </c>
      <c r="O4340" t="str">
        <f>INDEX(Products!C:C,MATCH(OrdersTable[[#This Row],[Product ID]],Products!A:A,0))</f>
        <v>Apparel</v>
      </c>
      <c r="P4340">
        <v>1</v>
      </c>
      <c r="Q4340" s="5">
        <v>1199</v>
      </c>
      <c r="R4340" s="74">
        <v>0.25</v>
      </c>
      <c r="S4340" s="75">
        <f>OrdersTable[[#This Row],[Quantity]]*OrdersTable[[#This Row],[Unit Price]]</f>
        <v>1199</v>
      </c>
      <c r="T4340" s="5">
        <f>OrdersTable[[#This Row],[Gross Sale]]*OrdersTable[[#This Row],[Discount_Clean2]]</f>
        <v>299.75</v>
      </c>
      <c r="U4340" s="5">
        <f>OrdersTable[[#This Row],[Gross Sale]]-OrdersTable[[#This Row],[Discount Amount]]</f>
        <v>899.25</v>
      </c>
      <c r="V4340" s="77">
        <f>INDEX(Products!E:E,MATCH(OrdersTable[[#This Row],[Product ID]],Products!A:A,0))</f>
        <v>492</v>
      </c>
      <c r="W4340" s="77">
        <f>OrdersTable[[#This Row],[Quantity]]*OrdersTable[[#This Row],[Unit Cost]]</f>
        <v>492</v>
      </c>
      <c r="X4340" s="77">
        <f>'Dropdown Lists'!$I$2*(1+OrdersTable[[#This Row],[Returned]])</f>
        <v>60</v>
      </c>
      <c r="Y4340" s="76">
        <f>OrdersTable[[#This Row],[Net Revenue]]-OrdersTable[[#This Row],[COGS]]-OrdersTable[[#This Row],[Shipping Cost]]</f>
        <v>347.25</v>
      </c>
      <c r="Z4340" s="78">
        <f>IFERROR(OrdersTable[[#This Row],[Profit]]/OrdersTable[[#This Row],[Net Revenue]],0)</f>
        <v>0.38615512927439533</v>
      </c>
      <c r="AA4340" t="s">
        <v>18</v>
      </c>
      <c r="AB4340" s="79">
        <v>45971</v>
      </c>
      <c r="AC4340">
        <f>OrdersTable[[#This Row],[Delivery Date]]-OrdersTable[[#This Row],[Order Date]]</f>
        <v>5</v>
      </c>
      <c r="AD4340" t="str">
        <f>IF(OrdersTable[[#This Row],[Delivery Days]]&lt;=2, "Express (≤2d)", IF(OrdersTable[[#This Row],[Delivery Days]]&lt;=4, "Standard (3-4d)", "Delayed (5d+)"))</f>
        <v>Delayed (5d+)</v>
      </c>
      <c r="AF4340">
        <v>0</v>
      </c>
    </row>
    <row r="4341" spans="1:32" ht="15" x14ac:dyDescent="0.35">
      <c r="A4341" t="s">
        <v>6643</v>
      </c>
      <c r="B4341" s="1">
        <v>45966</v>
      </c>
      <c r="C4341">
        <f>YEAR(OrdersTable[[#This Row],[Order Date]])</f>
        <v>2025</v>
      </c>
      <c r="D4341" s="2">
        <f>DATE(YEAR(OrdersTable[[#This Row],[Order Date]]),MONTH(OrdersTable[[#This Row],[Order Date]]),1)</f>
        <v>45962</v>
      </c>
      <c r="E4341">
        <f>MONTH(OrdersTable[[#This Row],[Order Date]])</f>
        <v>11</v>
      </c>
      <c r="F4341" t="s">
        <v>1963</v>
      </c>
      <c r="G4341" t="str">
        <f>IF(OrdersTable[[#This Row],[Order Date]]=_xlfn.MINIFS(Order_Date, Customer_ID, OrdersTable[[#This Row],[Customer ID]]), "New", "Repeat")</f>
        <v>Repeat</v>
      </c>
      <c r="H4341" t="s">
        <v>482</v>
      </c>
      <c r="I4341" t="str">
        <f>INDEX(State!B:B,MATCH(OrdersTable[[#This Row],[State]],State!A:A,0))</f>
        <v>CG</v>
      </c>
      <c r="J4341" t="str">
        <f>INDEX(State!C:C,MATCH(OrdersTable[[#This Row],[State Code]],State!B:B,0))</f>
        <v>East</v>
      </c>
      <c r="K4341" t="s">
        <v>483</v>
      </c>
      <c r="L4341" t="s">
        <v>39</v>
      </c>
      <c r="M4341" t="s">
        <v>24</v>
      </c>
      <c r="N4341" t="str">
        <f>INDEX(Products!B:B,MATCH(OrdersTable[[#This Row],[Product ID]],Products!A:A,0))</f>
        <v>Scented Candle Set</v>
      </c>
      <c r="O4341" t="str">
        <f>INDEX(Products!C:C,MATCH(OrdersTable[[#This Row],[Product ID]],Products!A:A,0))</f>
        <v>Home &amp; Kitchen</v>
      </c>
      <c r="P4341">
        <v>3</v>
      </c>
      <c r="Q4341" s="5">
        <v>699</v>
      </c>
      <c r="R4341" s="74">
        <v>0.4</v>
      </c>
      <c r="S4341" s="75">
        <f>OrdersTable[[#This Row],[Quantity]]*OrdersTable[[#This Row],[Unit Price]]</f>
        <v>2097</v>
      </c>
      <c r="T4341" s="5">
        <f>OrdersTable[[#This Row],[Gross Sale]]*OrdersTable[[#This Row],[Discount_Clean2]]</f>
        <v>838.80000000000007</v>
      </c>
      <c r="U4341" s="5">
        <f>OrdersTable[[#This Row],[Gross Sale]]-OrdersTable[[#This Row],[Discount Amount]]</f>
        <v>1258.1999999999998</v>
      </c>
      <c r="V4341" s="77">
        <f>INDEX(Products!E:E,MATCH(OrdersTable[[#This Row],[Product ID]],Products!A:A,0))</f>
        <v>245</v>
      </c>
      <c r="W4341" s="77">
        <f>OrdersTable[[#This Row],[Quantity]]*OrdersTable[[#This Row],[Unit Cost]]</f>
        <v>735</v>
      </c>
      <c r="X4341" s="77">
        <f>'Dropdown Lists'!$I$2*(1+OrdersTable[[#This Row],[Returned]])</f>
        <v>60</v>
      </c>
      <c r="Y4341" s="76">
        <f>OrdersTable[[#This Row],[Net Revenue]]-OrdersTable[[#This Row],[COGS]]-OrdersTable[[#This Row],[Shipping Cost]]</f>
        <v>463.19999999999982</v>
      </c>
      <c r="Z4341" s="78">
        <f>IFERROR(OrdersTable[[#This Row],[Profit]]/OrdersTable[[#This Row],[Net Revenue]],0)</f>
        <v>0.36814496900333799</v>
      </c>
      <c r="AA4341" t="s">
        <v>18</v>
      </c>
      <c r="AB4341" s="79">
        <v>45971</v>
      </c>
      <c r="AC4341">
        <f>OrdersTable[[#This Row],[Delivery Date]]-OrdersTable[[#This Row],[Order Date]]</f>
        <v>5</v>
      </c>
      <c r="AD4341" t="str">
        <f>IF(OrdersTable[[#This Row],[Delivery Days]]&lt;=2, "Express (≤2d)", IF(OrdersTable[[#This Row],[Delivery Days]]&lt;=4, "Standard (3-4d)", "Delayed (5d+)"))</f>
        <v>Delayed (5d+)</v>
      </c>
      <c r="AE4341">
        <v>4</v>
      </c>
      <c r="AF4341">
        <v>0</v>
      </c>
    </row>
    <row r="4342" spans="1:32" ht="15" x14ac:dyDescent="0.35">
      <c r="A4342" t="s">
        <v>4057</v>
      </c>
      <c r="B4342" s="1">
        <v>45966</v>
      </c>
      <c r="C4342">
        <f>YEAR(OrdersTable[[#This Row],[Order Date]])</f>
        <v>2025</v>
      </c>
      <c r="D4342" s="2">
        <f>DATE(YEAR(OrdersTable[[#This Row],[Order Date]]),MONTH(OrdersTable[[#This Row],[Order Date]]),1)</f>
        <v>45962</v>
      </c>
      <c r="E4342">
        <f>MONTH(OrdersTable[[#This Row],[Order Date]])</f>
        <v>11</v>
      </c>
      <c r="F4342" t="s">
        <v>194</v>
      </c>
      <c r="G4342" t="str">
        <f>IF(OrdersTable[[#This Row],[Order Date]]=_xlfn.MINIFS(Order_Date, Customer_ID, OrdersTable[[#This Row],[Customer ID]]), "New", "Repeat")</f>
        <v>Repeat</v>
      </c>
      <c r="H4342" t="s">
        <v>95</v>
      </c>
      <c r="I4342" t="str">
        <f>INDEX(State!B:B,MATCH(OrdersTable[[#This Row],[State]],State!A:A,0))</f>
        <v>TG</v>
      </c>
      <c r="J4342" t="str">
        <f>INDEX(State!C:C,MATCH(OrdersTable[[#This Row],[State Code]],State!B:B,0))</f>
        <v>South</v>
      </c>
      <c r="K4342" t="s">
        <v>96</v>
      </c>
      <c r="L4342" t="s">
        <v>23</v>
      </c>
      <c r="M4342" t="s">
        <v>66</v>
      </c>
      <c r="N4342" t="str">
        <f>INDEX(Products!B:B,MATCH(OrdersTable[[#This Row],[Product ID]],Products!A:A,0))</f>
        <v>Sunscreen SPF 50</v>
      </c>
      <c r="O4342" t="str">
        <f>INDEX(Products!C:C,MATCH(OrdersTable[[#This Row],[Product ID]],Products!A:A,0))</f>
        <v>Skincare</v>
      </c>
      <c r="P4342">
        <v>1</v>
      </c>
      <c r="Q4342" s="5">
        <v>449</v>
      </c>
      <c r="R4342" s="74">
        <v>0.2</v>
      </c>
      <c r="S4342" s="75">
        <f>OrdersTable[[#This Row],[Quantity]]*OrdersTable[[#This Row],[Unit Price]]</f>
        <v>449</v>
      </c>
      <c r="T4342" s="5">
        <f>OrdersTable[[#This Row],[Gross Sale]]*OrdersTable[[#This Row],[Discount_Clean2]]</f>
        <v>89.800000000000011</v>
      </c>
      <c r="U4342" s="5">
        <f>OrdersTable[[#This Row],[Gross Sale]]-OrdersTable[[#This Row],[Discount Amount]]</f>
        <v>359.2</v>
      </c>
      <c r="V4342" s="77">
        <f>INDEX(Products!E:E,MATCH(OrdersTable[[#This Row],[Product ID]],Products!A:A,0))</f>
        <v>144</v>
      </c>
      <c r="W4342" s="77">
        <f>OrdersTable[[#This Row],[Quantity]]*OrdersTable[[#This Row],[Unit Cost]]</f>
        <v>144</v>
      </c>
      <c r="X4342" s="77">
        <f>'Dropdown Lists'!$I$2*(1+OrdersTable[[#This Row],[Returned]])</f>
        <v>60</v>
      </c>
      <c r="Y4342" s="76">
        <f>OrdersTable[[#This Row],[Net Revenue]]-OrdersTable[[#This Row],[COGS]]-OrdersTable[[#This Row],[Shipping Cost]]</f>
        <v>155.19999999999999</v>
      </c>
      <c r="Z4342" s="78">
        <f>IFERROR(OrdersTable[[#This Row],[Profit]]/OrdersTable[[#This Row],[Net Revenue]],0)</f>
        <v>0.43207126948775054</v>
      </c>
      <c r="AA4342" t="s">
        <v>3495</v>
      </c>
      <c r="AB4342" s="79">
        <v>45968</v>
      </c>
      <c r="AC4342">
        <f>OrdersTable[[#This Row],[Delivery Date]]-OrdersTable[[#This Row],[Order Date]]</f>
        <v>2</v>
      </c>
      <c r="AD4342" t="str">
        <f>IF(OrdersTable[[#This Row],[Delivery Days]]&lt;=2, "Express (≤2d)", IF(OrdersTable[[#This Row],[Delivery Days]]&lt;=4, "Standard (3-4d)", "Delayed (5d+)"))</f>
        <v>Express (≤2d)</v>
      </c>
      <c r="AE4342">
        <v>5</v>
      </c>
      <c r="AF4342">
        <v>0</v>
      </c>
    </row>
    <row r="4343" spans="1:32" ht="15" x14ac:dyDescent="0.35">
      <c r="A4343" t="s">
        <v>7035</v>
      </c>
      <c r="B4343" s="1">
        <v>45966</v>
      </c>
      <c r="C4343">
        <f>YEAR(OrdersTable[[#This Row],[Order Date]])</f>
        <v>2025</v>
      </c>
      <c r="D4343" s="2">
        <f>DATE(YEAR(OrdersTable[[#This Row],[Order Date]]),MONTH(OrdersTable[[#This Row],[Order Date]]),1)</f>
        <v>45962</v>
      </c>
      <c r="E4343">
        <f>MONTH(OrdersTable[[#This Row],[Order Date]])</f>
        <v>11</v>
      </c>
      <c r="F4343" t="s">
        <v>7036</v>
      </c>
      <c r="G4343" t="str">
        <f>IF(OrdersTable[[#This Row],[Order Date]]=_xlfn.MINIFS(Order_Date, Customer_ID, OrdersTable[[#This Row],[Customer ID]]), "New", "Repeat")</f>
        <v>New</v>
      </c>
      <c r="H4343" t="s">
        <v>59</v>
      </c>
      <c r="I4343" t="str">
        <f>INDEX(State!B:B,MATCH(OrdersTable[[#This Row],[State]],State!A:A,0))</f>
        <v>TN</v>
      </c>
      <c r="J4343" t="str">
        <f>INDEX(State!C:C,MATCH(OrdersTable[[#This Row],[State Code]],State!B:B,0))</f>
        <v>South</v>
      </c>
      <c r="K4343" t="s">
        <v>64</v>
      </c>
      <c r="L4343" t="s">
        <v>65</v>
      </c>
      <c r="M4343" t="s">
        <v>84</v>
      </c>
      <c r="N4343" t="str">
        <f>INDEX(Products!B:B,MATCH(OrdersTable[[#This Row],[Product ID]],Products!A:A,0))</f>
        <v>Cotton Bedsheet</v>
      </c>
      <c r="O4343" t="str">
        <f>INDEX(Products!C:C,MATCH(OrdersTable[[#This Row],[Product ID]],Products!A:A,0))</f>
        <v>Home &amp; Kitchen</v>
      </c>
      <c r="P4343">
        <v>4</v>
      </c>
      <c r="Q4343" s="5">
        <v>1299</v>
      </c>
      <c r="R4343" s="74">
        <v>0.15</v>
      </c>
      <c r="S4343" s="75">
        <f>OrdersTable[[#This Row],[Quantity]]*OrdersTable[[#This Row],[Unit Price]]</f>
        <v>5196</v>
      </c>
      <c r="T4343" s="5">
        <f>OrdersTable[[#This Row],[Gross Sale]]*OrdersTable[[#This Row],[Discount_Clean2]]</f>
        <v>779.4</v>
      </c>
      <c r="U4343" s="5">
        <f>OrdersTable[[#This Row],[Gross Sale]]-OrdersTable[[#This Row],[Discount Amount]]</f>
        <v>4416.6000000000004</v>
      </c>
      <c r="V4343" s="77">
        <f>INDEX(Products!E:E,MATCH(OrdersTable[[#This Row],[Product ID]],Products!A:A,0))</f>
        <v>585</v>
      </c>
      <c r="W4343" s="77">
        <f>OrdersTable[[#This Row],[Quantity]]*OrdersTable[[#This Row],[Unit Cost]]</f>
        <v>2340</v>
      </c>
      <c r="X4343" s="77">
        <f>'Dropdown Lists'!$I$2*(1+OrdersTable[[#This Row],[Returned]])</f>
        <v>60</v>
      </c>
      <c r="Y4343" s="76">
        <f>OrdersTable[[#This Row],[Net Revenue]]-OrdersTable[[#This Row],[COGS]]-OrdersTable[[#This Row],[Shipping Cost]]</f>
        <v>2016.6000000000004</v>
      </c>
      <c r="Z4343" s="78">
        <f>IFERROR(OrdersTable[[#This Row],[Profit]]/OrdersTable[[#This Row],[Net Revenue]],0)</f>
        <v>0.45659557125390576</v>
      </c>
      <c r="AA4343" t="s">
        <v>3495</v>
      </c>
      <c r="AB4343" s="79">
        <v>45970</v>
      </c>
      <c r="AC4343">
        <f>OrdersTable[[#This Row],[Delivery Date]]-OrdersTable[[#This Row],[Order Date]]</f>
        <v>4</v>
      </c>
      <c r="AD4343" t="str">
        <f>IF(OrdersTable[[#This Row],[Delivery Days]]&lt;=2, "Express (≤2d)", IF(OrdersTable[[#This Row],[Delivery Days]]&lt;=4, "Standard (3-4d)", "Delayed (5d+)"))</f>
        <v>Standard (3-4d)</v>
      </c>
      <c r="AE4343">
        <v>3</v>
      </c>
      <c r="AF4343">
        <v>0</v>
      </c>
    </row>
    <row r="4344" spans="1:32" ht="15" x14ac:dyDescent="0.35">
      <c r="A4344" t="s">
        <v>4440</v>
      </c>
      <c r="B4344" s="1">
        <v>45967</v>
      </c>
      <c r="C4344">
        <f>YEAR(OrdersTable[[#This Row],[Order Date]])</f>
        <v>2025</v>
      </c>
      <c r="D4344" s="2">
        <f>DATE(YEAR(OrdersTable[[#This Row],[Order Date]]),MONTH(OrdersTable[[#This Row],[Order Date]]),1)</f>
        <v>45962</v>
      </c>
      <c r="E4344">
        <f>MONTH(OrdersTable[[#This Row],[Order Date]])</f>
        <v>11</v>
      </c>
      <c r="F4344" t="s">
        <v>664</v>
      </c>
      <c r="G4344" t="str">
        <f>IF(OrdersTable[[#This Row],[Order Date]]=_xlfn.MINIFS(Order_Date, Customer_ID, OrdersTable[[#This Row],[Customer ID]]), "New", "Repeat")</f>
        <v>Repeat</v>
      </c>
      <c r="H4344" t="s">
        <v>37</v>
      </c>
      <c r="I4344" t="str">
        <f>INDEX(State!B:B,MATCH(OrdersTable[[#This Row],[State]],State!A:A,0))</f>
        <v>GJ</v>
      </c>
      <c r="J4344" t="str">
        <f>INDEX(State!C:C,MATCH(OrdersTable[[#This Row],[State Code]],State!B:B,0))</f>
        <v>West</v>
      </c>
      <c r="K4344" t="s">
        <v>38</v>
      </c>
      <c r="L4344" t="s">
        <v>65</v>
      </c>
      <c r="M4344" t="s">
        <v>73</v>
      </c>
      <c r="N4344" t="str">
        <f>INDEX(Products!B:B,MATCH(OrdersTable[[#This Row],[Product ID]],Products!A:A,0))</f>
        <v>Hydrating Face Wash</v>
      </c>
      <c r="O4344" t="str">
        <f>INDEX(Products!C:C,MATCH(OrdersTable[[#This Row],[Product ID]],Products!A:A,0))</f>
        <v>Skincare</v>
      </c>
      <c r="P4344">
        <v>1</v>
      </c>
      <c r="Q4344" s="5">
        <v>299</v>
      </c>
      <c r="R4344" s="74">
        <v>0.15</v>
      </c>
      <c r="S4344" s="75">
        <f>OrdersTable[[#This Row],[Quantity]]*OrdersTable[[#This Row],[Unit Price]]</f>
        <v>299</v>
      </c>
      <c r="T4344" s="5">
        <f>OrdersTable[[#This Row],[Gross Sale]]*OrdersTable[[#This Row],[Discount_Clean2]]</f>
        <v>44.85</v>
      </c>
      <c r="U4344" s="5">
        <f>OrdersTable[[#This Row],[Gross Sale]]-OrdersTable[[#This Row],[Discount Amount]]</f>
        <v>254.15</v>
      </c>
      <c r="V4344" s="77">
        <f>INDEX(Products!E:E,MATCH(OrdersTable[[#This Row],[Product ID]],Products!A:A,0))</f>
        <v>90</v>
      </c>
      <c r="W4344" s="77">
        <f>OrdersTable[[#This Row],[Quantity]]*OrdersTable[[#This Row],[Unit Cost]]</f>
        <v>90</v>
      </c>
      <c r="X4344" s="77">
        <f>'Dropdown Lists'!$I$2*(1+OrdersTable[[#This Row],[Returned]])</f>
        <v>120</v>
      </c>
      <c r="Y4344" s="76">
        <f>OrdersTable[[#This Row],[Net Revenue]]-OrdersTable[[#This Row],[COGS]]-OrdersTable[[#This Row],[Shipping Cost]]</f>
        <v>44.150000000000006</v>
      </c>
      <c r="Z4344" s="78">
        <f>IFERROR(OrdersTable[[#This Row],[Profit]]/OrdersTable[[#This Row],[Net Revenue]],0)</f>
        <v>0.1737163092661814</v>
      </c>
      <c r="AA4344" t="s">
        <v>4074</v>
      </c>
      <c r="AB4344" s="79">
        <v>45971</v>
      </c>
      <c r="AC4344">
        <f>OrdersTable[[#This Row],[Delivery Date]]-OrdersTable[[#This Row],[Order Date]]</f>
        <v>4</v>
      </c>
      <c r="AD4344" t="str">
        <f>IF(OrdersTable[[#This Row],[Delivery Days]]&lt;=2, "Express (≤2d)", IF(OrdersTable[[#This Row],[Delivery Days]]&lt;=4, "Standard (3-4d)", "Delayed (5d+)"))</f>
        <v>Standard (3-4d)</v>
      </c>
      <c r="AE4344">
        <v>4</v>
      </c>
      <c r="AF4344">
        <v>1</v>
      </c>
    </row>
    <row r="4345" spans="1:32" ht="15" x14ac:dyDescent="0.35">
      <c r="A4345" t="s">
        <v>6741</v>
      </c>
      <c r="B4345" s="1">
        <v>45967</v>
      </c>
      <c r="C4345">
        <f>YEAR(OrdersTable[[#This Row],[Order Date]])</f>
        <v>2025</v>
      </c>
      <c r="D4345" s="2">
        <f>DATE(YEAR(OrdersTable[[#This Row],[Order Date]]),MONTH(OrdersTable[[#This Row],[Order Date]]),1)</f>
        <v>45962</v>
      </c>
      <c r="E4345">
        <f>MONTH(OrdersTable[[#This Row],[Order Date]])</f>
        <v>11</v>
      </c>
      <c r="F4345" t="s">
        <v>6742</v>
      </c>
      <c r="G4345" t="str">
        <f>IF(OrdersTable[[#This Row],[Order Date]]=_xlfn.MINIFS(Order_Date, Customer_ID, OrdersTable[[#This Row],[Customer ID]]), "New", "Repeat")</f>
        <v>New</v>
      </c>
      <c r="H4345" t="s">
        <v>43</v>
      </c>
      <c r="I4345" t="str">
        <f>INDEX(State!B:B,MATCH(OrdersTable[[#This Row],[State]],State!A:A,0))</f>
        <v>MP</v>
      </c>
      <c r="J4345" t="str">
        <f>INDEX(State!C:C,MATCH(OrdersTable[[#This Row],[State Code]],State!B:B,0))</f>
        <v>West</v>
      </c>
      <c r="K4345" t="s">
        <v>44</v>
      </c>
      <c r="L4345" t="s">
        <v>23</v>
      </c>
      <c r="M4345" t="s">
        <v>179</v>
      </c>
      <c r="N4345" t="str">
        <f>INDEX(Products!B:B,MATCH(OrdersTable[[#This Row],[Product ID]],Products!A:A,0))</f>
        <v>Whey Protein 1kg</v>
      </c>
      <c r="O4345" t="str">
        <f>INDEX(Products!C:C,MATCH(OrdersTable[[#This Row],[Product ID]],Products!A:A,0))</f>
        <v>Wellness</v>
      </c>
      <c r="P4345">
        <v>3</v>
      </c>
      <c r="Q4345" s="5">
        <v>2299</v>
      </c>
      <c r="R4345" s="74">
        <v>0.55000000000000004</v>
      </c>
      <c r="S4345" s="75">
        <f>OrdersTable[[#This Row],[Quantity]]*OrdersTable[[#This Row],[Unit Price]]</f>
        <v>6897</v>
      </c>
      <c r="T4345" s="5">
        <f>OrdersTable[[#This Row],[Gross Sale]]*OrdersTable[[#This Row],[Discount_Clean2]]</f>
        <v>3793.3500000000004</v>
      </c>
      <c r="U4345" s="5">
        <f>OrdersTable[[#This Row],[Gross Sale]]-OrdersTable[[#This Row],[Discount Amount]]</f>
        <v>3103.6499999999996</v>
      </c>
      <c r="V4345" s="77">
        <f>INDEX(Products!E:E,MATCH(OrdersTable[[#This Row],[Product ID]],Products!A:A,0))</f>
        <v>1333</v>
      </c>
      <c r="W4345" s="77">
        <f>OrdersTable[[#This Row],[Quantity]]*OrdersTable[[#This Row],[Unit Cost]]</f>
        <v>3999</v>
      </c>
      <c r="X4345" s="77">
        <f>'Dropdown Lists'!$I$2*(1+OrdersTable[[#This Row],[Returned]])</f>
        <v>60</v>
      </c>
      <c r="Y4345" s="76">
        <f>OrdersTable[[#This Row],[Net Revenue]]-OrdersTable[[#This Row],[COGS]]-OrdersTable[[#This Row],[Shipping Cost]]</f>
        <v>-955.35000000000036</v>
      </c>
      <c r="Z4345" s="78">
        <f>IFERROR(OrdersTable[[#This Row],[Profit]]/OrdersTable[[#This Row],[Net Revenue]],0)</f>
        <v>-0.30781499202551849</v>
      </c>
      <c r="AA4345" t="s">
        <v>2522</v>
      </c>
      <c r="AB4345" s="79">
        <v>45971</v>
      </c>
      <c r="AC4345">
        <f>OrdersTable[[#This Row],[Delivery Date]]-OrdersTable[[#This Row],[Order Date]]</f>
        <v>4</v>
      </c>
      <c r="AD4345" t="str">
        <f>IF(OrdersTable[[#This Row],[Delivery Days]]&lt;=2, "Express (≤2d)", IF(OrdersTable[[#This Row],[Delivery Days]]&lt;=4, "Standard (3-4d)", "Delayed (5d+)"))</f>
        <v>Standard (3-4d)</v>
      </c>
      <c r="AF4345">
        <v>0</v>
      </c>
    </row>
    <row r="4346" spans="1:32" ht="15" x14ac:dyDescent="0.35">
      <c r="A4346" t="s">
        <v>4544</v>
      </c>
      <c r="B4346" s="1">
        <v>45967</v>
      </c>
      <c r="C4346">
        <f>YEAR(OrdersTable[[#This Row],[Order Date]])</f>
        <v>2025</v>
      </c>
      <c r="D4346" s="2">
        <f>DATE(YEAR(OrdersTable[[#This Row],[Order Date]]),MONTH(OrdersTable[[#This Row],[Order Date]]),1)</f>
        <v>45962</v>
      </c>
      <c r="E4346">
        <f>MONTH(OrdersTable[[#This Row],[Order Date]])</f>
        <v>11</v>
      </c>
      <c r="F4346" t="s">
        <v>723</v>
      </c>
      <c r="G4346" t="str">
        <f>IF(OrdersTable[[#This Row],[Order Date]]=_xlfn.MINIFS(Order_Date, Customer_ID, OrdersTable[[#This Row],[Customer ID]]), "New", "Repeat")</f>
        <v>Repeat</v>
      </c>
      <c r="H4346" t="s">
        <v>43</v>
      </c>
      <c r="I4346" t="str">
        <f>INDEX(State!B:B,MATCH(OrdersTable[[#This Row],[State]],State!A:A,0))</f>
        <v>MP</v>
      </c>
      <c r="J4346" t="str">
        <f>INDEX(State!C:C,MATCH(OrdersTable[[#This Row],[State Code]],State!B:B,0))</f>
        <v>West</v>
      </c>
      <c r="K4346" t="s">
        <v>44</v>
      </c>
      <c r="L4346" t="s">
        <v>23</v>
      </c>
      <c r="M4346" t="s">
        <v>176</v>
      </c>
      <c r="N4346" t="str">
        <f>INDEX(Products!B:B,MATCH(OrdersTable[[#This Row],[Product ID]],Products!A:A,0))</f>
        <v>Denim Jacket</v>
      </c>
      <c r="O4346" t="str">
        <f>INDEX(Products!C:C,MATCH(OrdersTable[[#This Row],[Product ID]],Products!A:A,0))</f>
        <v>Apparel</v>
      </c>
      <c r="P4346">
        <v>1</v>
      </c>
      <c r="Q4346" s="5">
        <v>2499</v>
      </c>
      <c r="R4346" s="74">
        <v>0.25</v>
      </c>
      <c r="S4346" s="75">
        <f>OrdersTable[[#This Row],[Quantity]]*OrdersTable[[#This Row],[Unit Price]]</f>
        <v>2499</v>
      </c>
      <c r="T4346" s="5">
        <f>OrdersTable[[#This Row],[Gross Sale]]*OrdersTable[[#This Row],[Discount_Clean2]]</f>
        <v>624.75</v>
      </c>
      <c r="U4346" s="5">
        <f>OrdersTable[[#This Row],[Gross Sale]]-OrdersTable[[#This Row],[Discount Amount]]</f>
        <v>1874.25</v>
      </c>
      <c r="V4346" s="77">
        <f>INDEX(Products!E:E,MATCH(OrdersTable[[#This Row],[Product ID]],Products!A:A,0))</f>
        <v>1125</v>
      </c>
      <c r="W4346" s="77">
        <f>OrdersTable[[#This Row],[Quantity]]*OrdersTable[[#This Row],[Unit Cost]]</f>
        <v>1125</v>
      </c>
      <c r="X4346" s="77">
        <f>'Dropdown Lists'!$I$2*(1+OrdersTable[[#This Row],[Returned]])</f>
        <v>60</v>
      </c>
      <c r="Y4346" s="76">
        <f>OrdersTable[[#This Row],[Net Revenue]]-OrdersTable[[#This Row],[COGS]]-OrdersTable[[#This Row],[Shipping Cost]]</f>
        <v>689.25</v>
      </c>
      <c r="Z4346" s="78">
        <f>IFERROR(OrdersTable[[#This Row],[Profit]]/OrdersTable[[#This Row],[Net Revenue]],0)</f>
        <v>0.36774709883953582</v>
      </c>
      <c r="AA4346" t="s">
        <v>4450</v>
      </c>
      <c r="AB4346" s="79">
        <v>45971</v>
      </c>
      <c r="AC4346">
        <f>OrdersTable[[#This Row],[Delivery Date]]-OrdersTable[[#This Row],[Order Date]]</f>
        <v>4</v>
      </c>
      <c r="AD4346" t="str">
        <f>IF(OrdersTable[[#This Row],[Delivery Days]]&lt;=2, "Express (≤2d)", IF(OrdersTable[[#This Row],[Delivery Days]]&lt;=4, "Standard (3-4d)", "Delayed (5d+)"))</f>
        <v>Standard (3-4d)</v>
      </c>
      <c r="AE4346">
        <v>4</v>
      </c>
      <c r="AF4346">
        <v>0</v>
      </c>
    </row>
    <row r="4347" spans="1:32" ht="15" x14ac:dyDescent="0.35">
      <c r="A4347" t="s">
        <v>6425</v>
      </c>
      <c r="B4347" s="1">
        <v>45967</v>
      </c>
      <c r="C4347">
        <f>YEAR(OrdersTable[[#This Row],[Order Date]])</f>
        <v>2025</v>
      </c>
      <c r="D4347" s="2">
        <f>DATE(YEAR(OrdersTable[[#This Row],[Order Date]]),MONTH(OrdersTable[[#This Row],[Order Date]]),1)</f>
        <v>45962</v>
      </c>
      <c r="E4347">
        <f>MONTH(OrdersTable[[#This Row],[Order Date]])</f>
        <v>11</v>
      </c>
      <c r="F4347" t="s">
        <v>6426</v>
      </c>
      <c r="G4347" t="str">
        <f>IF(OrdersTable[[#This Row],[Order Date]]=_xlfn.MINIFS(Order_Date, Customer_ID, OrdersTable[[#This Row],[Customer ID]]), "New", "Repeat")</f>
        <v>Repeat</v>
      </c>
      <c r="H4347" t="s">
        <v>482</v>
      </c>
      <c r="I4347" t="str">
        <f>INDEX(State!B:B,MATCH(OrdersTable[[#This Row],[State]],State!A:A,0))</f>
        <v>CG</v>
      </c>
      <c r="J4347" t="str">
        <f>INDEX(State!C:C,MATCH(OrdersTable[[#This Row],[State Code]],State!B:B,0))</f>
        <v>East</v>
      </c>
      <c r="K4347" t="s">
        <v>483</v>
      </c>
      <c r="L4347" t="s">
        <v>65</v>
      </c>
      <c r="M4347" t="s">
        <v>51</v>
      </c>
      <c r="N4347" t="str">
        <f>INDEX(Products!B:B,MATCH(OrdersTable[[#This Row],[Product ID]],Products!A:A,0))</f>
        <v>Anti-Dandruff Conditioner</v>
      </c>
      <c r="O4347" t="str">
        <f>INDEX(Products!C:C,MATCH(OrdersTable[[#This Row],[Product ID]],Products!A:A,0))</f>
        <v>Haircare</v>
      </c>
      <c r="P4347">
        <v>2</v>
      </c>
      <c r="Q4347" s="5">
        <v>399</v>
      </c>
      <c r="R4347" s="74">
        <v>0.45</v>
      </c>
      <c r="S4347" s="75">
        <f>OrdersTable[[#This Row],[Quantity]]*OrdersTable[[#This Row],[Unit Price]]</f>
        <v>798</v>
      </c>
      <c r="T4347" s="5">
        <f>OrdersTable[[#This Row],[Gross Sale]]*OrdersTable[[#This Row],[Discount_Clean2]]</f>
        <v>359.1</v>
      </c>
      <c r="U4347" s="5">
        <f>OrdersTable[[#This Row],[Gross Sale]]-OrdersTable[[#This Row],[Discount Amount]]</f>
        <v>438.9</v>
      </c>
      <c r="V4347" s="77">
        <f>INDEX(Products!E:E,MATCH(OrdersTable[[#This Row],[Product ID]],Products!A:A,0))</f>
        <v>136</v>
      </c>
      <c r="W4347" s="77">
        <f>OrdersTable[[#This Row],[Quantity]]*OrdersTable[[#This Row],[Unit Cost]]</f>
        <v>272</v>
      </c>
      <c r="X4347" s="77">
        <f>'Dropdown Lists'!$I$2*(1+OrdersTable[[#This Row],[Returned]])</f>
        <v>60</v>
      </c>
      <c r="Y4347" s="76">
        <f>OrdersTable[[#This Row],[Net Revenue]]-OrdersTable[[#This Row],[COGS]]-OrdersTable[[#This Row],[Shipping Cost]]</f>
        <v>106.89999999999998</v>
      </c>
      <c r="Z4347" s="78">
        <f>IFERROR(OrdersTable[[#This Row],[Profit]]/OrdersTable[[#This Row],[Net Revenue]],0)</f>
        <v>0.24356345408976984</v>
      </c>
      <c r="AA4347" t="s">
        <v>18</v>
      </c>
      <c r="AB4347" s="79">
        <v>45971</v>
      </c>
      <c r="AC4347">
        <f>OrdersTable[[#This Row],[Delivery Date]]-OrdersTable[[#This Row],[Order Date]]</f>
        <v>4</v>
      </c>
      <c r="AD4347" t="str">
        <f>IF(OrdersTable[[#This Row],[Delivery Days]]&lt;=2, "Express (≤2d)", IF(OrdersTable[[#This Row],[Delivery Days]]&lt;=4, "Standard (3-4d)", "Delayed (5d+)"))</f>
        <v>Standard (3-4d)</v>
      </c>
      <c r="AE4347">
        <v>4</v>
      </c>
      <c r="AF4347">
        <v>0</v>
      </c>
    </row>
    <row r="4348" spans="1:32" ht="15" x14ac:dyDescent="0.35">
      <c r="A4348" t="s">
        <v>6427</v>
      </c>
      <c r="B4348" s="1">
        <v>45967</v>
      </c>
      <c r="C4348">
        <f>YEAR(OrdersTable[[#This Row],[Order Date]])</f>
        <v>2025</v>
      </c>
      <c r="D4348" s="2">
        <f>DATE(YEAR(OrdersTable[[#This Row],[Order Date]]),MONTH(OrdersTable[[#This Row],[Order Date]]),1)</f>
        <v>45962</v>
      </c>
      <c r="E4348">
        <f>MONTH(OrdersTable[[#This Row],[Order Date]])</f>
        <v>11</v>
      </c>
      <c r="F4348" t="s">
        <v>2960</v>
      </c>
      <c r="G4348" t="str">
        <f>IF(OrdersTable[[#This Row],[Order Date]]=_xlfn.MINIFS(Order_Date, Customer_ID, OrdersTable[[#This Row],[Customer ID]]), "New", "Repeat")</f>
        <v>Repeat</v>
      </c>
      <c r="H4348" t="s">
        <v>71</v>
      </c>
      <c r="I4348" t="str">
        <f>INDEX(State!B:B,MATCH(OrdersTable[[#This Row],[State]],State!A:A,0))</f>
        <v>MH</v>
      </c>
      <c r="J4348" t="str">
        <f>INDEX(State!C:C,MATCH(OrdersTable[[#This Row],[State Code]],State!B:B,0))</f>
        <v>West</v>
      </c>
      <c r="K4348" t="s">
        <v>72</v>
      </c>
      <c r="L4348" t="s">
        <v>23</v>
      </c>
      <c r="M4348" t="s">
        <v>160</v>
      </c>
      <c r="N4348" t="str">
        <f>INDEX(Products!B:B,MATCH(OrdersTable[[#This Row],[Product ID]],Products!A:A,0))</f>
        <v>Niacinamide Toner</v>
      </c>
      <c r="O4348" t="str">
        <f>INDEX(Products!C:C,MATCH(OrdersTable[[#This Row],[Product ID]],Products!A:A,0))</f>
        <v>Skincare</v>
      </c>
      <c r="P4348">
        <v>2</v>
      </c>
      <c r="Q4348" s="5">
        <v>399</v>
      </c>
      <c r="R4348" s="74">
        <v>0.45</v>
      </c>
      <c r="S4348" s="75">
        <f>OrdersTable[[#This Row],[Quantity]]*OrdersTable[[#This Row],[Unit Price]]</f>
        <v>798</v>
      </c>
      <c r="T4348" s="5">
        <f>OrdersTable[[#This Row],[Gross Sale]]*OrdersTable[[#This Row],[Discount_Clean2]]</f>
        <v>359.1</v>
      </c>
      <c r="U4348" s="5">
        <f>OrdersTable[[#This Row],[Gross Sale]]-OrdersTable[[#This Row],[Discount Amount]]</f>
        <v>438.9</v>
      </c>
      <c r="V4348" s="77">
        <f>INDEX(Products!E:E,MATCH(OrdersTable[[#This Row],[Product ID]],Products!A:A,0))</f>
        <v>112</v>
      </c>
      <c r="W4348" s="77">
        <f>OrdersTable[[#This Row],[Quantity]]*OrdersTable[[#This Row],[Unit Cost]]</f>
        <v>224</v>
      </c>
      <c r="X4348" s="77">
        <f>'Dropdown Lists'!$I$2*(1+OrdersTable[[#This Row],[Returned]])</f>
        <v>60</v>
      </c>
      <c r="Y4348" s="76">
        <f>OrdersTable[[#This Row],[Net Revenue]]-OrdersTable[[#This Row],[COGS]]-OrdersTable[[#This Row],[Shipping Cost]]</f>
        <v>154.89999999999998</v>
      </c>
      <c r="Z4348" s="78">
        <f>IFERROR(OrdersTable[[#This Row],[Profit]]/OrdersTable[[#This Row],[Net Revenue]],0)</f>
        <v>0.35292777398040553</v>
      </c>
      <c r="AA4348" t="s">
        <v>18</v>
      </c>
      <c r="AB4348" s="79">
        <v>45971</v>
      </c>
      <c r="AC4348">
        <f>OrdersTable[[#This Row],[Delivery Date]]-OrdersTable[[#This Row],[Order Date]]</f>
        <v>4</v>
      </c>
      <c r="AD4348" t="str">
        <f>IF(OrdersTable[[#This Row],[Delivery Days]]&lt;=2, "Express (≤2d)", IF(OrdersTable[[#This Row],[Delivery Days]]&lt;=4, "Standard (3-4d)", "Delayed (5d+)"))</f>
        <v>Standard (3-4d)</v>
      </c>
      <c r="AE4348">
        <v>3</v>
      </c>
      <c r="AF4348">
        <v>0</v>
      </c>
    </row>
    <row r="4349" spans="1:32" ht="15" x14ac:dyDescent="0.35">
      <c r="A4349" t="s">
        <v>6224</v>
      </c>
      <c r="B4349" s="1">
        <v>45967</v>
      </c>
      <c r="C4349">
        <f>YEAR(OrdersTable[[#This Row],[Order Date]])</f>
        <v>2025</v>
      </c>
      <c r="D4349" s="2">
        <f>DATE(YEAR(OrdersTable[[#This Row],[Order Date]]),MONTH(OrdersTable[[#This Row],[Order Date]]),1)</f>
        <v>45962</v>
      </c>
      <c r="E4349">
        <f>MONTH(OrdersTable[[#This Row],[Order Date]])</f>
        <v>11</v>
      </c>
      <c r="F4349" t="s">
        <v>1516</v>
      </c>
      <c r="G4349" t="str">
        <f>IF(OrdersTable[[#This Row],[Order Date]]=_xlfn.MINIFS(Order_Date, Customer_ID, OrdersTable[[#This Row],[Customer ID]]), "New", "Repeat")</f>
        <v>Repeat</v>
      </c>
      <c r="H4349" t="s">
        <v>95</v>
      </c>
      <c r="I4349" t="str">
        <f>INDEX(State!B:B,MATCH(OrdersTable[[#This Row],[State]],State!A:A,0))</f>
        <v>TG</v>
      </c>
      <c r="J4349" t="str">
        <f>INDEX(State!C:C,MATCH(OrdersTable[[#This Row],[State Code]],State!B:B,0))</f>
        <v>South</v>
      </c>
      <c r="K4349" t="s">
        <v>96</v>
      </c>
      <c r="L4349" t="s">
        <v>50</v>
      </c>
      <c r="M4349" t="s">
        <v>66</v>
      </c>
      <c r="N4349" t="str">
        <f>INDEX(Products!B:B,MATCH(OrdersTable[[#This Row],[Product ID]],Products!A:A,0))</f>
        <v>Sunscreen SPF 50</v>
      </c>
      <c r="O4349" t="str">
        <f>INDEX(Products!C:C,MATCH(OrdersTable[[#This Row],[Product ID]],Products!A:A,0))</f>
        <v>Skincare</v>
      </c>
      <c r="P4349">
        <v>2</v>
      </c>
      <c r="Q4349" s="5">
        <v>449</v>
      </c>
      <c r="R4349" s="74">
        <v>0.3</v>
      </c>
      <c r="S4349" s="75">
        <f>OrdersTable[[#This Row],[Quantity]]*OrdersTable[[#This Row],[Unit Price]]</f>
        <v>898</v>
      </c>
      <c r="T4349" s="5">
        <f>OrdersTable[[#This Row],[Gross Sale]]*OrdersTable[[#This Row],[Discount_Clean2]]</f>
        <v>269.39999999999998</v>
      </c>
      <c r="U4349" s="5">
        <f>OrdersTable[[#This Row],[Gross Sale]]-OrdersTable[[#This Row],[Discount Amount]]</f>
        <v>628.6</v>
      </c>
      <c r="V4349" s="77">
        <f>INDEX(Products!E:E,MATCH(OrdersTable[[#This Row],[Product ID]],Products!A:A,0))</f>
        <v>144</v>
      </c>
      <c r="W4349" s="77">
        <f>OrdersTable[[#This Row],[Quantity]]*OrdersTable[[#This Row],[Unit Cost]]</f>
        <v>288</v>
      </c>
      <c r="X4349" s="77">
        <f>'Dropdown Lists'!$I$2*(1+OrdersTable[[#This Row],[Returned]])</f>
        <v>60</v>
      </c>
      <c r="Y4349" s="76">
        <f>OrdersTable[[#This Row],[Net Revenue]]-OrdersTable[[#This Row],[COGS]]-OrdersTable[[#This Row],[Shipping Cost]]</f>
        <v>280.60000000000002</v>
      </c>
      <c r="Z4349" s="78">
        <f>IFERROR(OrdersTable[[#This Row],[Profit]]/OrdersTable[[#This Row],[Net Revenue]],0)</f>
        <v>0.44638880050906776</v>
      </c>
      <c r="AA4349" t="s">
        <v>18</v>
      </c>
      <c r="AB4349" s="79">
        <v>45971</v>
      </c>
      <c r="AC4349">
        <f>OrdersTable[[#This Row],[Delivery Date]]-OrdersTable[[#This Row],[Order Date]]</f>
        <v>4</v>
      </c>
      <c r="AD4349" t="str">
        <f>IF(OrdersTable[[#This Row],[Delivery Days]]&lt;=2, "Express (≤2d)", IF(OrdersTable[[#This Row],[Delivery Days]]&lt;=4, "Standard (3-4d)", "Delayed (5d+)"))</f>
        <v>Standard (3-4d)</v>
      </c>
      <c r="AE4349">
        <v>4</v>
      </c>
      <c r="AF4349">
        <v>0</v>
      </c>
    </row>
    <row r="4350" spans="1:32" ht="15" x14ac:dyDescent="0.35">
      <c r="A4350" t="s">
        <v>5996</v>
      </c>
      <c r="B4350" s="1">
        <v>45967</v>
      </c>
      <c r="C4350">
        <f>YEAR(OrdersTable[[#This Row],[Order Date]])</f>
        <v>2025</v>
      </c>
      <c r="D4350" s="2">
        <f>DATE(YEAR(OrdersTable[[#This Row],[Order Date]]),MONTH(OrdersTable[[#This Row],[Order Date]]),1)</f>
        <v>45962</v>
      </c>
      <c r="E4350">
        <f>MONTH(OrdersTable[[#This Row],[Order Date]])</f>
        <v>11</v>
      </c>
      <c r="F4350" t="s">
        <v>3739</v>
      </c>
      <c r="G4350" t="str">
        <f>IF(OrdersTable[[#This Row],[Order Date]]=_xlfn.MINIFS(Order_Date, Customer_ID, OrdersTable[[#This Row],[Customer ID]]), "New", "Repeat")</f>
        <v>Repeat</v>
      </c>
      <c r="H4350" t="s">
        <v>167</v>
      </c>
      <c r="I4350" t="str">
        <f>INDEX(State!B:B,MATCH(OrdersTable[[#This Row],[State]],State!A:A,0))</f>
        <v>KA</v>
      </c>
      <c r="J4350" t="str">
        <f>INDEX(State!C:C,MATCH(OrdersTable[[#This Row],[State Code]],State!B:B,0))</f>
        <v>South</v>
      </c>
      <c r="K4350" t="s">
        <v>168</v>
      </c>
      <c r="L4350" t="s">
        <v>23</v>
      </c>
      <c r="M4350" t="s">
        <v>92</v>
      </c>
      <c r="N4350" t="str">
        <f>INDEX(Products!B:B,MATCH(OrdersTable[[#This Row],[Product ID]],Products!A:A,0))</f>
        <v>Kolhapuri Sandals</v>
      </c>
      <c r="O4350" t="str">
        <f>INDEX(Products!C:C,MATCH(OrdersTable[[#This Row],[Product ID]],Products!A:A,0))</f>
        <v>Footwear</v>
      </c>
      <c r="P4350">
        <v>2</v>
      </c>
      <c r="Q4350" s="5">
        <v>999</v>
      </c>
      <c r="R4350" s="74">
        <v>0.2</v>
      </c>
      <c r="S4350" s="75">
        <f>OrdersTable[[#This Row],[Quantity]]*OrdersTable[[#This Row],[Unit Price]]</f>
        <v>1998</v>
      </c>
      <c r="T4350" s="5">
        <f>OrdersTable[[#This Row],[Gross Sale]]*OrdersTable[[#This Row],[Discount_Clean2]]</f>
        <v>399.6</v>
      </c>
      <c r="U4350" s="5">
        <f>OrdersTable[[#This Row],[Gross Sale]]-OrdersTable[[#This Row],[Discount Amount]]</f>
        <v>1598.4</v>
      </c>
      <c r="V4350" s="77">
        <f>INDEX(Products!E:E,MATCH(OrdersTable[[#This Row],[Product ID]],Products!A:A,0))</f>
        <v>400</v>
      </c>
      <c r="W4350" s="77">
        <f>OrdersTable[[#This Row],[Quantity]]*OrdersTable[[#This Row],[Unit Cost]]</f>
        <v>800</v>
      </c>
      <c r="X4350" s="77">
        <f>'Dropdown Lists'!$I$2*(1+OrdersTable[[#This Row],[Returned]])</f>
        <v>60</v>
      </c>
      <c r="Y4350" s="76">
        <f>OrdersTable[[#This Row],[Net Revenue]]-OrdersTable[[#This Row],[COGS]]-OrdersTable[[#This Row],[Shipping Cost]]</f>
        <v>738.40000000000009</v>
      </c>
      <c r="Z4350" s="78">
        <f>IFERROR(OrdersTable[[#This Row],[Profit]]/OrdersTable[[#This Row],[Net Revenue]],0)</f>
        <v>0.46196196196196199</v>
      </c>
      <c r="AA4350" t="s">
        <v>18</v>
      </c>
      <c r="AB4350" s="79">
        <v>45971</v>
      </c>
      <c r="AC4350">
        <f>OrdersTable[[#This Row],[Delivery Date]]-OrdersTable[[#This Row],[Order Date]]</f>
        <v>4</v>
      </c>
      <c r="AD4350" t="str">
        <f>IF(OrdersTable[[#This Row],[Delivery Days]]&lt;=2, "Express (≤2d)", IF(OrdersTable[[#This Row],[Delivery Days]]&lt;=4, "Standard (3-4d)", "Delayed (5d+)"))</f>
        <v>Standard (3-4d)</v>
      </c>
      <c r="AF4350">
        <v>0</v>
      </c>
    </row>
    <row r="4351" spans="1:32" ht="15" x14ac:dyDescent="0.35">
      <c r="A4351" t="s">
        <v>2041</v>
      </c>
      <c r="B4351" s="1">
        <v>45967</v>
      </c>
      <c r="C4351">
        <f>YEAR(OrdersTable[[#This Row],[Order Date]])</f>
        <v>2025</v>
      </c>
      <c r="D4351" s="2">
        <f>DATE(YEAR(OrdersTable[[#This Row],[Order Date]]),MONTH(OrdersTable[[#This Row],[Order Date]]),1)</f>
        <v>45962</v>
      </c>
      <c r="E4351">
        <f>MONTH(OrdersTable[[#This Row],[Order Date]])</f>
        <v>11</v>
      </c>
      <c r="F4351" t="s">
        <v>1766</v>
      </c>
      <c r="G4351" t="str">
        <f>IF(OrdersTable[[#This Row],[Order Date]]=_xlfn.MINIFS(Order_Date, Customer_ID, OrdersTable[[#This Row],[Customer ID]]), "New", "Repeat")</f>
        <v>Repeat</v>
      </c>
      <c r="H4351" t="s">
        <v>275</v>
      </c>
      <c r="I4351" t="str">
        <f>INDEX(State!B:B,MATCH(OrdersTable[[#This Row],[State]],State!A:A,0))</f>
        <v>AP</v>
      </c>
      <c r="J4351" t="str">
        <f>INDEX(State!C:C,MATCH(OrdersTable[[#This Row],[State Code]],State!B:B,0))</f>
        <v>South</v>
      </c>
      <c r="K4351" t="s">
        <v>491</v>
      </c>
      <c r="L4351" t="s">
        <v>39</v>
      </c>
      <c r="M4351" t="s">
        <v>56</v>
      </c>
      <c r="N4351" t="str">
        <f>INDEX(Products!B:B,MATCH(OrdersTable[[#This Row],[Product ID]],Products!A:A,0))</f>
        <v>Vitamin C Face Serum</v>
      </c>
      <c r="O4351" t="str">
        <f>INDEX(Products!C:C,MATCH(OrdersTable[[#This Row],[Product ID]],Products!A:A,0))</f>
        <v>Skincare</v>
      </c>
      <c r="P4351">
        <v>1</v>
      </c>
      <c r="Q4351" s="5">
        <v>599</v>
      </c>
      <c r="R4351" s="74">
        <v>0.25</v>
      </c>
      <c r="S4351" s="75">
        <f>OrdersTable[[#This Row],[Quantity]]*OrdersTable[[#This Row],[Unit Price]]</f>
        <v>599</v>
      </c>
      <c r="T4351" s="5">
        <f>OrdersTable[[#This Row],[Gross Sale]]*OrdersTable[[#This Row],[Discount_Clean2]]</f>
        <v>149.75</v>
      </c>
      <c r="U4351" s="5">
        <f>OrdersTable[[#This Row],[Gross Sale]]-OrdersTable[[#This Row],[Discount Amount]]</f>
        <v>449.25</v>
      </c>
      <c r="V4351" s="77">
        <f>INDEX(Products!E:E,MATCH(OrdersTable[[#This Row],[Product ID]],Products!A:A,0))</f>
        <v>180</v>
      </c>
      <c r="W4351" s="77">
        <f>OrdersTable[[#This Row],[Quantity]]*OrdersTable[[#This Row],[Unit Cost]]</f>
        <v>180</v>
      </c>
      <c r="X4351" s="77">
        <f>'Dropdown Lists'!$I$2*(1+OrdersTable[[#This Row],[Returned]])</f>
        <v>60</v>
      </c>
      <c r="Y4351" s="76">
        <f>OrdersTable[[#This Row],[Net Revenue]]-OrdersTable[[#This Row],[COGS]]-OrdersTable[[#This Row],[Shipping Cost]]</f>
        <v>209.25</v>
      </c>
      <c r="Z4351" s="78">
        <f>IFERROR(OrdersTable[[#This Row],[Profit]]/OrdersTable[[#This Row],[Net Revenue]],0)</f>
        <v>0.46577629382303842</v>
      </c>
      <c r="AA4351" t="s">
        <v>18</v>
      </c>
      <c r="AB4351" s="79">
        <v>45971</v>
      </c>
      <c r="AC4351">
        <f>OrdersTable[[#This Row],[Delivery Date]]-OrdersTable[[#This Row],[Order Date]]</f>
        <v>4</v>
      </c>
      <c r="AD4351" t="str">
        <f>IF(OrdersTable[[#This Row],[Delivery Days]]&lt;=2, "Express (≤2d)", IF(OrdersTable[[#This Row],[Delivery Days]]&lt;=4, "Standard (3-4d)", "Delayed (5d+)"))</f>
        <v>Standard (3-4d)</v>
      </c>
      <c r="AE4351">
        <v>3</v>
      </c>
      <c r="AF4351">
        <v>0</v>
      </c>
    </row>
    <row r="4352" spans="1:32" ht="15" x14ac:dyDescent="0.35">
      <c r="A4352" t="s">
        <v>4878</v>
      </c>
      <c r="B4352" s="1">
        <v>45967</v>
      </c>
      <c r="C4352">
        <f>YEAR(OrdersTable[[#This Row],[Order Date]])</f>
        <v>2025</v>
      </c>
      <c r="D4352" s="2">
        <f>DATE(YEAR(OrdersTable[[#This Row],[Order Date]]),MONTH(OrdersTable[[#This Row],[Order Date]]),1)</f>
        <v>45962</v>
      </c>
      <c r="E4352">
        <f>MONTH(OrdersTable[[#This Row],[Order Date]])</f>
        <v>11</v>
      </c>
      <c r="F4352" t="s">
        <v>588</v>
      </c>
      <c r="G4352" t="str">
        <f>IF(OrdersTable[[#This Row],[Order Date]]=_xlfn.MINIFS(Order_Date, Customer_ID, OrdersTable[[#This Row],[Customer ID]]), "New", "Repeat")</f>
        <v>Repeat</v>
      </c>
      <c r="H4352" t="s">
        <v>59</v>
      </c>
      <c r="I4352" t="str">
        <f>INDEX(State!B:B,MATCH(OrdersTable[[#This Row],[State]],State!A:A,0))</f>
        <v>TN</v>
      </c>
      <c r="J4352" t="str">
        <f>INDEX(State!C:C,MATCH(OrdersTable[[#This Row],[State Code]],State!B:B,0))</f>
        <v>South</v>
      </c>
      <c r="K4352" t="s">
        <v>60</v>
      </c>
      <c r="L4352" t="s">
        <v>65</v>
      </c>
      <c r="M4352" t="s">
        <v>24</v>
      </c>
      <c r="N4352" t="str">
        <f>INDEX(Products!B:B,MATCH(OrdersTable[[#This Row],[Product ID]],Products!A:A,0))</f>
        <v>Scented Candle Set</v>
      </c>
      <c r="O4352" t="str">
        <f>INDEX(Products!C:C,MATCH(OrdersTable[[#This Row],[Product ID]],Products!A:A,0))</f>
        <v>Home &amp; Kitchen</v>
      </c>
      <c r="P4352">
        <v>2</v>
      </c>
      <c r="Q4352" s="5">
        <v>699</v>
      </c>
      <c r="R4352" s="74">
        <v>0.45</v>
      </c>
      <c r="S4352" s="75">
        <f>OrdersTable[[#This Row],[Quantity]]*OrdersTable[[#This Row],[Unit Price]]</f>
        <v>1398</v>
      </c>
      <c r="T4352" s="5">
        <f>OrdersTable[[#This Row],[Gross Sale]]*OrdersTable[[#This Row],[Discount_Clean2]]</f>
        <v>629.1</v>
      </c>
      <c r="U4352" s="5">
        <f>OrdersTable[[#This Row],[Gross Sale]]-OrdersTable[[#This Row],[Discount Amount]]</f>
        <v>768.9</v>
      </c>
      <c r="V4352" s="77">
        <f>INDEX(Products!E:E,MATCH(OrdersTable[[#This Row],[Product ID]],Products!A:A,0))</f>
        <v>245</v>
      </c>
      <c r="W4352" s="77">
        <f>OrdersTable[[#This Row],[Quantity]]*OrdersTable[[#This Row],[Unit Cost]]</f>
        <v>490</v>
      </c>
      <c r="X4352" s="77">
        <f>'Dropdown Lists'!$I$2*(1+OrdersTable[[#This Row],[Returned]])</f>
        <v>60</v>
      </c>
      <c r="Y4352" s="76">
        <f>OrdersTable[[#This Row],[Net Revenue]]-OrdersTable[[#This Row],[COGS]]-OrdersTable[[#This Row],[Shipping Cost]]</f>
        <v>218.89999999999998</v>
      </c>
      <c r="Z4352" s="78">
        <f>IFERROR(OrdersTable[[#This Row],[Profit]]/OrdersTable[[#This Row],[Net Revenue]],0)</f>
        <v>0.284692417739628</v>
      </c>
      <c r="AA4352" t="s">
        <v>4450</v>
      </c>
      <c r="AB4352" s="79">
        <v>45971</v>
      </c>
      <c r="AC4352">
        <f>OrdersTable[[#This Row],[Delivery Date]]-OrdersTable[[#This Row],[Order Date]]</f>
        <v>4</v>
      </c>
      <c r="AD4352" t="str">
        <f>IF(OrdersTable[[#This Row],[Delivery Days]]&lt;=2, "Express (≤2d)", IF(OrdersTable[[#This Row],[Delivery Days]]&lt;=4, "Standard (3-4d)", "Delayed (5d+)"))</f>
        <v>Standard (3-4d)</v>
      </c>
      <c r="AE4352">
        <v>3</v>
      </c>
      <c r="AF4352">
        <v>0</v>
      </c>
    </row>
    <row r="4353" spans="1:32" ht="15" x14ac:dyDescent="0.35">
      <c r="A4353" t="s">
        <v>4879</v>
      </c>
      <c r="B4353" s="1">
        <v>45968</v>
      </c>
      <c r="C4353">
        <f>YEAR(OrdersTable[[#This Row],[Order Date]])</f>
        <v>2025</v>
      </c>
      <c r="D4353" s="2">
        <f>DATE(YEAR(OrdersTable[[#This Row],[Order Date]]),MONTH(OrdersTable[[#This Row],[Order Date]]),1)</f>
        <v>45962</v>
      </c>
      <c r="E4353">
        <f>MONTH(OrdersTable[[#This Row],[Order Date]])</f>
        <v>11</v>
      </c>
      <c r="F4353" t="s">
        <v>4880</v>
      </c>
      <c r="G4353" t="str">
        <f>IF(OrdersTable[[#This Row],[Order Date]]=_xlfn.MINIFS(Order_Date, Customer_ID, OrdersTable[[#This Row],[Customer ID]]), "New", "Repeat")</f>
        <v>Repeat</v>
      </c>
      <c r="H4353" t="s">
        <v>210</v>
      </c>
      <c r="I4353" t="str">
        <f>INDEX(State!B:B,MATCH(OrdersTable[[#This Row],[State]],State!A:A,0))</f>
        <v>JK</v>
      </c>
      <c r="J4353" t="str">
        <f>INDEX(State!C:C,MATCH(OrdersTable[[#This Row],[State Code]],State!B:B,0))</f>
        <v>North</v>
      </c>
      <c r="K4353" t="s">
        <v>211</v>
      </c>
      <c r="L4353" t="s">
        <v>23</v>
      </c>
      <c r="M4353" t="s">
        <v>148</v>
      </c>
      <c r="N4353" t="str">
        <f>INDEX(Products!B:B,MATCH(OrdersTable[[#This Row],[Product ID]],Products!A:A,0))</f>
        <v>Smartwatch Strap</v>
      </c>
      <c r="O4353" t="str">
        <f>INDEX(Products!C:C,MATCH(OrdersTable[[#This Row],[Product ID]],Products!A:A,0))</f>
        <v>Electronics</v>
      </c>
      <c r="P4353">
        <v>2</v>
      </c>
      <c r="Q4353" s="5">
        <v>499</v>
      </c>
      <c r="R4353" s="74">
        <v>0.3</v>
      </c>
      <c r="S4353" s="75">
        <f>OrdersTable[[#This Row],[Quantity]]*OrdersTable[[#This Row],[Unit Price]]</f>
        <v>998</v>
      </c>
      <c r="T4353" s="5">
        <f>OrdersTable[[#This Row],[Gross Sale]]*OrdersTable[[#This Row],[Discount_Clean2]]</f>
        <v>299.39999999999998</v>
      </c>
      <c r="U4353" s="5">
        <f>OrdersTable[[#This Row],[Gross Sale]]-OrdersTable[[#This Row],[Discount Amount]]</f>
        <v>698.6</v>
      </c>
      <c r="V4353" s="77">
        <f>INDEX(Products!E:E,MATCH(OrdersTable[[#This Row],[Product ID]],Products!A:A,0))</f>
        <v>200</v>
      </c>
      <c r="W4353" s="77">
        <f>OrdersTable[[#This Row],[Quantity]]*OrdersTable[[#This Row],[Unit Cost]]</f>
        <v>400</v>
      </c>
      <c r="X4353" s="77">
        <f>'Dropdown Lists'!$I$2*(1+OrdersTable[[#This Row],[Returned]])</f>
        <v>60</v>
      </c>
      <c r="Y4353" s="76">
        <f>OrdersTable[[#This Row],[Net Revenue]]-OrdersTable[[#This Row],[COGS]]-OrdersTable[[#This Row],[Shipping Cost]]</f>
        <v>238.60000000000002</v>
      </c>
      <c r="Z4353" s="78">
        <f>IFERROR(OrdersTable[[#This Row],[Profit]]/OrdersTable[[#This Row],[Net Revenue]],0)</f>
        <v>0.34154022330375039</v>
      </c>
      <c r="AA4353" t="s">
        <v>4450</v>
      </c>
      <c r="AB4353" s="79">
        <v>45976</v>
      </c>
      <c r="AC4353">
        <f>OrdersTable[[#This Row],[Delivery Date]]-OrdersTable[[#This Row],[Order Date]]</f>
        <v>8</v>
      </c>
      <c r="AD4353" t="str">
        <f>IF(OrdersTable[[#This Row],[Delivery Days]]&lt;=2, "Express (≤2d)", IF(OrdersTable[[#This Row],[Delivery Days]]&lt;=4, "Standard (3-4d)", "Delayed (5d+)"))</f>
        <v>Delayed (5d+)</v>
      </c>
      <c r="AE4353">
        <v>3</v>
      </c>
      <c r="AF4353">
        <v>0</v>
      </c>
    </row>
    <row r="4354" spans="1:32" ht="15" x14ac:dyDescent="0.35">
      <c r="A4354" t="s">
        <v>5554</v>
      </c>
      <c r="B4354" s="1">
        <v>45968</v>
      </c>
      <c r="C4354">
        <f>YEAR(OrdersTable[[#This Row],[Order Date]])</f>
        <v>2025</v>
      </c>
      <c r="D4354" s="2">
        <f>DATE(YEAR(OrdersTable[[#This Row],[Order Date]]),MONTH(OrdersTable[[#This Row],[Order Date]]),1)</f>
        <v>45962</v>
      </c>
      <c r="E4354">
        <f>MONTH(OrdersTable[[#This Row],[Order Date]])</f>
        <v>11</v>
      </c>
      <c r="F4354" t="s">
        <v>3445</v>
      </c>
      <c r="G4354" t="str">
        <f>IF(OrdersTable[[#This Row],[Order Date]]=_xlfn.MINIFS(Order_Date, Customer_ID, OrdersTable[[#This Row],[Customer ID]]), "New", "Repeat")</f>
        <v>Repeat</v>
      </c>
      <c r="H4354" t="s">
        <v>21</v>
      </c>
      <c r="I4354" t="str">
        <f>INDEX(State!B:B,MATCH(OrdersTable[[#This Row],[State]],State!A:A,0))</f>
        <v>PB</v>
      </c>
      <c r="J4354" t="str">
        <f>INDEX(State!C:C,MATCH(OrdersTable[[#This Row],[State Code]],State!B:B,0))</f>
        <v>North</v>
      </c>
      <c r="K4354" t="s">
        <v>260</v>
      </c>
      <c r="L4354" t="s">
        <v>39</v>
      </c>
      <c r="M4354" t="s">
        <v>24</v>
      </c>
      <c r="N4354" t="str">
        <f>INDEX(Products!B:B,MATCH(OrdersTable[[#This Row],[Product ID]],Products!A:A,0))</f>
        <v>Scented Candle Set</v>
      </c>
      <c r="O4354" t="str">
        <f>INDEX(Products!C:C,MATCH(OrdersTable[[#This Row],[Product ID]],Products!A:A,0))</f>
        <v>Home &amp; Kitchen</v>
      </c>
      <c r="P4354">
        <v>2</v>
      </c>
      <c r="Q4354" s="5">
        <v>699</v>
      </c>
      <c r="R4354" s="74">
        <v>0.45</v>
      </c>
      <c r="S4354" s="75">
        <f>OrdersTable[[#This Row],[Quantity]]*OrdersTable[[#This Row],[Unit Price]]</f>
        <v>1398</v>
      </c>
      <c r="T4354" s="5">
        <f>OrdersTable[[#This Row],[Gross Sale]]*OrdersTable[[#This Row],[Discount_Clean2]]</f>
        <v>629.1</v>
      </c>
      <c r="U4354" s="5">
        <f>OrdersTable[[#This Row],[Gross Sale]]-OrdersTable[[#This Row],[Discount Amount]]</f>
        <v>768.9</v>
      </c>
      <c r="V4354" s="77">
        <f>INDEX(Products!E:E,MATCH(OrdersTable[[#This Row],[Product ID]],Products!A:A,0))</f>
        <v>245</v>
      </c>
      <c r="W4354" s="77">
        <f>OrdersTable[[#This Row],[Quantity]]*OrdersTable[[#This Row],[Unit Cost]]</f>
        <v>490</v>
      </c>
      <c r="X4354" s="77">
        <f>'Dropdown Lists'!$I$2*(1+OrdersTable[[#This Row],[Returned]])</f>
        <v>60</v>
      </c>
      <c r="Y4354" s="76">
        <f>OrdersTable[[#This Row],[Net Revenue]]-OrdersTable[[#This Row],[COGS]]-OrdersTable[[#This Row],[Shipping Cost]]</f>
        <v>218.89999999999998</v>
      </c>
      <c r="Z4354" s="78">
        <f>IFERROR(OrdersTable[[#This Row],[Profit]]/OrdersTable[[#This Row],[Net Revenue]],0)</f>
        <v>0.284692417739628</v>
      </c>
      <c r="AA4354" t="s">
        <v>2522</v>
      </c>
      <c r="AB4354" s="79">
        <v>45973</v>
      </c>
      <c r="AC4354">
        <f>OrdersTable[[#This Row],[Delivery Date]]-OrdersTable[[#This Row],[Order Date]]</f>
        <v>5</v>
      </c>
      <c r="AD4354" t="str">
        <f>IF(OrdersTable[[#This Row],[Delivery Days]]&lt;=2, "Express (≤2d)", IF(OrdersTable[[#This Row],[Delivery Days]]&lt;=4, "Standard (3-4d)", "Delayed (5d+)"))</f>
        <v>Delayed (5d+)</v>
      </c>
      <c r="AE4354">
        <v>4</v>
      </c>
      <c r="AF4354">
        <v>0</v>
      </c>
    </row>
    <row r="4355" spans="1:32" ht="15" x14ac:dyDescent="0.35">
      <c r="A4355" t="s">
        <v>6428</v>
      </c>
      <c r="B4355" s="1">
        <v>45968</v>
      </c>
      <c r="C4355">
        <f>YEAR(OrdersTable[[#This Row],[Order Date]])</f>
        <v>2025</v>
      </c>
      <c r="D4355" s="2">
        <f>DATE(YEAR(OrdersTable[[#This Row],[Order Date]]),MONTH(OrdersTable[[#This Row],[Order Date]]),1)</f>
        <v>45962</v>
      </c>
      <c r="E4355">
        <f>MONTH(OrdersTable[[#This Row],[Order Date]])</f>
        <v>11</v>
      </c>
      <c r="F4355" t="s">
        <v>1735</v>
      </c>
      <c r="G4355" t="str">
        <f>IF(OrdersTable[[#This Row],[Order Date]]=_xlfn.MINIFS(Order_Date, Customer_ID, OrdersTable[[#This Row],[Customer ID]]), "New", "Repeat")</f>
        <v>Repeat</v>
      </c>
      <c r="H4355" t="s">
        <v>48</v>
      </c>
      <c r="I4355" t="str">
        <f>INDEX(State!B:B,MATCH(OrdersTable[[#This Row],[State]],State!A:A,0))</f>
        <v>HR</v>
      </c>
      <c r="J4355" t="str">
        <f>INDEX(State!C:C,MATCH(OrdersTable[[#This Row],[State Code]],State!B:B,0))</f>
        <v>North</v>
      </c>
      <c r="K4355" t="s">
        <v>151</v>
      </c>
      <c r="L4355" t="s">
        <v>23</v>
      </c>
      <c r="M4355" t="s">
        <v>152</v>
      </c>
      <c r="N4355" t="str">
        <f>INDEX(Products!B:B,MATCH(OrdersTable[[#This Row],[Product ID]],Products!A:A,0))</f>
        <v>Green Tea (100 bags)</v>
      </c>
      <c r="O4355" t="str">
        <f>INDEX(Products!C:C,MATCH(OrdersTable[[#This Row],[Product ID]],Products!A:A,0))</f>
        <v>Wellness</v>
      </c>
      <c r="P4355">
        <v>2</v>
      </c>
      <c r="Q4355" s="5">
        <v>399</v>
      </c>
      <c r="R4355" s="74">
        <v>0.45</v>
      </c>
      <c r="S4355" s="75">
        <f>OrdersTable[[#This Row],[Quantity]]*OrdersTable[[#This Row],[Unit Price]]</f>
        <v>798</v>
      </c>
      <c r="T4355" s="5">
        <f>OrdersTable[[#This Row],[Gross Sale]]*OrdersTable[[#This Row],[Discount_Clean2]]</f>
        <v>359.1</v>
      </c>
      <c r="U4355" s="5">
        <f>OrdersTable[[#This Row],[Gross Sale]]-OrdersTable[[#This Row],[Discount Amount]]</f>
        <v>438.9</v>
      </c>
      <c r="V4355" s="77">
        <f>INDEX(Products!E:E,MATCH(OrdersTable[[#This Row],[Product ID]],Products!A:A,0))</f>
        <v>128</v>
      </c>
      <c r="W4355" s="77">
        <f>OrdersTable[[#This Row],[Quantity]]*OrdersTable[[#This Row],[Unit Cost]]</f>
        <v>256</v>
      </c>
      <c r="X4355" s="77">
        <f>'Dropdown Lists'!$I$2*(1+OrdersTable[[#This Row],[Returned]])</f>
        <v>60</v>
      </c>
      <c r="Y4355" s="76">
        <f>OrdersTable[[#This Row],[Net Revenue]]-OrdersTable[[#This Row],[COGS]]-OrdersTable[[#This Row],[Shipping Cost]]</f>
        <v>122.89999999999998</v>
      </c>
      <c r="Z4355" s="78">
        <f>IFERROR(OrdersTable[[#This Row],[Profit]]/OrdersTable[[#This Row],[Net Revenue]],0)</f>
        <v>0.28001822738664839</v>
      </c>
      <c r="AA4355" t="s">
        <v>18</v>
      </c>
      <c r="AB4355" s="79">
        <v>45970</v>
      </c>
      <c r="AC4355">
        <f>OrdersTable[[#This Row],[Delivery Date]]-OrdersTable[[#This Row],[Order Date]]</f>
        <v>2</v>
      </c>
      <c r="AD4355" t="str">
        <f>IF(OrdersTable[[#This Row],[Delivery Days]]&lt;=2, "Express (≤2d)", IF(OrdersTable[[#This Row],[Delivery Days]]&lt;=4, "Standard (3-4d)", "Delayed (5d+)"))</f>
        <v>Express (≤2d)</v>
      </c>
      <c r="AF4355">
        <v>0</v>
      </c>
    </row>
    <row r="4356" spans="1:32" ht="15" x14ac:dyDescent="0.35">
      <c r="A4356" t="s">
        <v>389</v>
      </c>
      <c r="B4356" s="1">
        <v>45968</v>
      </c>
      <c r="C4356">
        <f>YEAR(OrdersTable[[#This Row],[Order Date]])</f>
        <v>2025</v>
      </c>
      <c r="D4356" s="2">
        <f>DATE(YEAR(OrdersTable[[#This Row],[Order Date]]),MONTH(OrdersTable[[#This Row],[Order Date]]),1)</f>
        <v>45962</v>
      </c>
      <c r="E4356">
        <f>MONTH(OrdersTable[[#This Row],[Order Date]])</f>
        <v>11</v>
      </c>
      <c r="F4356" t="s">
        <v>390</v>
      </c>
      <c r="G4356" t="str">
        <f>IF(OrdersTable[[#This Row],[Order Date]]=_xlfn.MINIFS(Order_Date, Customer_ID, OrdersTable[[#This Row],[Customer ID]]), "New", "Repeat")</f>
        <v>New</v>
      </c>
      <c r="H4356" t="s">
        <v>48</v>
      </c>
      <c r="I4356" t="str">
        <f>INDEX(State!B:B,MATCH(OrdersTable[[#This Row],[State]],State!A:A,0))</f>
        <v>HR</v>
      </c>
      <c r="J4356" t="str">
        <f>INDEX(State!C:C,MATCH(OrdersTable[[#This Row],[State Code]],State!B:B,0))</f>
        <v>North</v>
      </c>
      <c r="K4356" t="s">
        <v>151</v>
      </c>
      <c r="L4356" t="s">
        <v>39</v>
      </c>
      <c r="M4356" t="s">
        <v>228</v>
      </c>
      <c r="N4356" t="str">
        <f>INDEX(Products!B:B,MATCH(OrdersTable[[#This Row],[Product ID]],Products!A:A,0))</f>
        <v>Fast Charger 33W</v>
      </c>
      <c r="O4356" t="str">
        <f>INDEX(Products!C:C,MATCH(OrdersTable[[#This Row],[Product ID]],Products!A:A,0))</f>
        <v>Electronics</v>
      </c>
      <c r="P4356">
        <v>1</v>
      </c>
      <c r="Q4356" s="5">
        <v>899</v>
      </c>
      <c r="R4356" s="74">
        <v>0.15</v>
      </c>
      <c r="S4356" s="75">
        <f>OrdersTable[[#This Row],[Quantity]]*OrdersTable[[#This Row],[Unit Price]]</f>
        <v>899</v>
      </c>
      <c r="T4356" s="5">
        <f>OrdersTable[[#This Row],[Gross Sale]]*OrdersTable[[#This Row],[Discount_Clean2]]</f>
        <v>134.85</v>
      </c>
      <c r="U4356" s="5">
        <f>OrdersTable[[#This Row],[Gross Sale]]-OrdersTable[[#This Row],[Discount Amount]]</f>
        <v>764.15</v>
      </c>
      <c r="V4356" s="77">
        <f>INDEX(Products!E:E,MATCH(OrdersTable[[#This Row],[Product ID]],Products!A:A,0))</f>
        <v>494</v>
      </c>
      <c r="W4356" s="77">
        <f>OrdersTable[[#This Row],[Quantity]]*OrdersTable[[#This Row],[Unit Cost]]</f>
        <v>494</v>
      </c>
      <c r="X4356" s="77">
        <f>'Dropdown Lists'!$I$2*(1+OrdersTable[[#This Row],[Returned]])</f>
        <v>60</v>
      </c>
      <c r="Y4356" s="76">
        <f>OrdersTable[[#This Row],[Net Revenue]]-OrdersTable[[#This Row],[COGS]]-OrdersTable[[#This Row],[Shipping Cost]]</f>
        <v>210.14999999999998</v>
      </c>
      <c r="Z4356" s="78">
        <f>IFERROR(OrdersTable[[#This Row],[Profit]]/OrdersTable[[#This Row],[Net Revenue]],0)</f>
        <v>0.27501145063142052</v>
      </c>
      <c r="AA4356" t="s">
        <v>18</v>
      </c>
      <c r="AB4356" s="79">
        <v>45971</v>
      </c>
      <c r="AC4356">
        <f>OrdersTable[[#This Row],[Delivery Date]]-OrdersTable[[#This Row],[Order Date]]</f>
        <v>3</v>
      </c>
      <c r="AD4356" t="str">
        <f>IF(OrdersTable[[#This Row],[Delivery Days]]&lt;=2, "Express (≤2d)", IF(OrdersTable[[#This Row],[Delivery Days]]&lt;=4, "Standard (3-4d)", "Delayed (5d+)"))</f>
        <v>Standard (3-4d)</v>
      </c>
      <c r="AE4356">
        <v>4</v>
      </c>
      <c r="AF4356">
        <v>0</v>
      </c>
    </row>
    <row r="4357" spans="1:32" ht="15" x14ac:dyDescent="0.35">
      <c r="A4357" t="s">
        <v>6743</v>
      </c>
      <c r="B4357" s="1">
        <v>45968</v>
      </c>
      <c r="C4357">
        <f>YEAR(OrdersTable[[#This Row],[Order Date]])</f>
        <v>2025</v>
      </c>
      <c r="D4357" s="2">
        <f>DATE(YEAR(OrdersTable[[#This Row],[Order Date]]),MONTH(OrdersTable[[#This Row],[Order Date]]),1)</f>
        <v>45962</v>
      </c>
      <c r="E4357">
        <f>MONTH(OrdersTable[[#This Row],[Order Date]])</f>
        <v>11</v>
      </c>
      <c r="F4357" t="s">
        <v>4793</v>
      </c>
      <c r="G4357" t="str">
        <f>IF(OrdersTable[[#This Row],[Order Date]]=_xlfn.MINIFS(Order_Date, Customer_ID, OrdersTable[[#This Row],[Customer ID]]), "New", "Repeat")</f>
        <v>Repeat</v>
      </c>
      <c r="H4357" t="s">
        <v>128</v>
      </c>
      <c r="I4357" t="str">
        <f>INDEX(State!B:B,MATCH(OrdersTable[[#This Row],[State]],State!A:A,0))</f>
        <v>DL</v>
      </c>
      <c r="J4357" t="str">
        <f>INDEX(State!C:C,MATCH(OrdersTable[[#This Row],[State Code]],State!B:B,0))</f>
        <v>North</v>
      </c>
      <c r="K4357" t="s">
        <v>129</v>
      </c>
      <c r="L4357" t="s">
        <v>50</v>
      </c>
      <c r="M4357" t="s">
        <v>51</v>
      </c>
      <c r="N4357" t="str">
        <f>INDEX(Products!B:B,MATCH(OrdersTable[[#This Row],[Product ID]],Products!A:A,0))</f>
        <v>Anti-Dandruff Conditioner</v>
      </c>
      <c r="O4357" t="str">
        <f>INDEX(Products!C:C,MATCH(OrdersTable[[#This Row],[Product ID]],Products!A:A,0))</f>
        <v>Haircare</v>
      </c>
      <c r="P4357">
        <v>3</v>
      </c>
      <c r="Q4357" s="5">
        <v>399</v>
      </c>
      <c r="R4357" s="74">
        <v>0.55000000000000004</v>
      </c>
      <c r="S4357" s="75">
        <f>OrdersTable[[#This Row],[Quantity]]*OrdersTable[[#This Row],[Unit Price]]</f>
        <v>1197</v>
      </c>
      <c r="T4357" s="5">
        <f>OrdersTable[[#This Row],[Gross Sale]]*OrdersTable[[#This Row],[Discount_Clean2]]</f>
        <v>658.35</v>
      </c>
      <c r="U4357" s="5">
        <f>OrdersTable[[#This Row],[Gross Sale]]-OrdersTable[[#This Row],[Discount Amount]]</f>
        <v>538.65</v>
      </c>
      <c r="V4357" s="77">
        <f>INDEX(Products!E:E,MATCH(OrdersTable[[#This Row],[Product ID]],Products!A:A,0))</f>
        <v>136</v>
      </c>
      <c r="W4357" s="77">
        <f>OrdersTable[[#This Row],[Quantity]]*OrdersTable[[#This Row],[Unit Cost]]</f>
        <v>408</v>
      </c>
      <c r="X4357" s="77">
        <f>'Dropdown Lists'!$I$2*(1+OrdersTable[[#This Row],[Returned]])</f>
        <v>60</v>
      </c>
      <c r="Y4357" s="76">
        <f>OrdersTable[[#This Row],[Net Revenue]]-OrdersTable[[#This Row],[COGS]]-OrdersTable[[#This Row],[Shipping Cost]]</f>
        <v>70.649999999999977</v>
      </c>
      <c r="Z4357" s="78">
        <f>IFERROR(OrdersTable[[#This Row],[Profit]]/OrdersTable[[#This Row],[Net Revenue]],0)</f>
        <v>0.13116123642439428</v>
      </c>
      <c r="AA4357" t="s">
        <v>2522</v>
      </c>
      <c r="AB4357" s="79">
        <v>45970</v>
      </c>
      <c r="AC4357">
        <f>OrdersTable[[#This Row],[Delivery Date]]-OrdersTable[[#This Row],[Order Date]]</f>
        <v>2</v>
      </c>
      <c r="AD4357" t="str">
        <f>IF(OrdersTable[[#This Row],[Delivery Days]]&lt;=2, "Express (≤2d)", IF(OrdersTable[[#This Row],[Delivery Days]]&lt;=4, "Standard (3-4d)", "Delayed (5d+)"))</f>
        <v>Express (≤2d)</v>
      </c>
      <c r="AF4357">
        <v>0</v>
      </c>
    </row>
    <row r="4358" spans="1:32" ht="15" x14ac:dyDescent="0.35">
      <c r="A4358" t="s">
        <v>6429</v>
      </c>
      <c r="B4358" s="1">
        <v>45968</v>
      </c>
      <c r="C4358">
        <f>YEAR(OrdersTable[[#This Row],[Order Date]])</f>
        <v>2025</v>
      </c>
      <c r="D4358" s="2">
        <f>DATE(YEAR(OrdersTable[[#This Row],[Order Date]]),MONTH(OrdersTable[[#This Row],[Order Date]]),1)</f>
        <v>45962</v>
      </c>
      <c r="E4358">
        <f>MONTH(OrdersTable[[#This Row],[Order Date]])</f>
        <v>11</v>
      </c>
      <c r="F4358" t="s">
        <v>575</v>
      </c>
      <c r="G4358" t="str">
        <f>IF(OrdersTable[[#This Row],[Order Date]]=_xlfn.MINIFS(Order_Date, Customer_ID, OrdersTable[[#This Row],[Customer ID]]), "New", "Repeat")</f>
        <v>Repeat</v>
      </c>
      <c r="H4358" t="s">
        <v>43</v>
      </c>
      <c r="I4358" t="str">
        <f>INDEX(State!B:B,MATCH(OrdersTable[[#This Row],[State]],State!A:A,0))</f>
        <v>MP</v>
      </c>
      <c r="J4358" t="str">
        <f>INDEX(State!C:C,MATCH(OrdersTable[[#This Row],[State Code]],State!B:B,0))</f>
        <v>West</v>
      </c>
      <c r="K4358" t="s">
        <v>250</v>
      </c>
      <c r="L4358" t="s">
        <v>65</v>
      </c>
      <c r="M4358" t="s">
        <v>160</v>
      </c>
      <c r="N4358" t="str">
        <f>INDEX(Products!B:B,MATCH(OrdersTable[[#This Row],[Product ID]],Products!A:A,0))</f>
        <v>Niacinamide Toner</v>
      </c>
      <c r="O4358" t="str">
        <f>INDEX(Products!C:C,MATCH(OrdersTable[[#This Row],[Product ID]],Products!A:A,0))</f>
        <v>Skincare</v>
      </c>
      <c r="P4358">
        <v>2</v>
      </c>
      <c r="Q4358" s="5">
        <v>399</v>
      </c>
      <c r="R4358" s="74">
        <v>0.45</v>
      </c>
      <c r="S4358" s="75">
        <f>OrdersTable[[#This Row],[Quantity]]*OrdersTable[[#This Row],[Unit Price]]</f>
        <v>798</v>
      </c>
      <c r="T4358" s="5">
        <f>OrdersTable[[#This Row],[Gross Sale]]*OrdersTable[[#This Row],[Discount_Clean2]]</f>
        <v>359.1</v>
      </c>
      <c r="U4358" s="5">
        <f>OrdersTable[[#This Row],[Gross Sale]]-OrdersTable[[#This Row],[Discount Amount]]</f>
        <v>438.9</v>
      </c>
      <c r="V4358" s="77">
        <f>INDEX(Products!E:E,MATCH(OrdersTable[[#This Row],[Product ID]],Products!A:A,0))</f>
        <v>112</v>
      </c>
      <c r="W4358" s="77">
        <f>OrdersTable[[#This Row],[Quantity]]*OrdersTable[[#This Row],[Unit Cost]]</f>
        <v>224</v>
      </c>
      <c r="X4358" s="77">
        <f>'Dropdown Lists'!$I$2*(1+OrdersTable[[#This Row],[Returned]])</f>
        <v>60</v>
      </c>
      <c r="Y4358" s="76">
        <f>OrdersTable[[#This Row],[Net Revenue]]-OrdersTable[[#This Row],[COGS]]-OrdersTable[[#This Row],[Shipping Cost]]</f>
        <v>154.89999999999998</v>
      </c>
      <c r="Z4358" s="78">
        <f>IFERROR(OrdersTable[[#This Row],[Profit]]/OrdersTable[[#This Row],[Net Revenue]],0)</f>
        <v>0.35292777398040553</v>
      </c>
      <c r="AA4358" t="s">
        <v>18</v>
      </c>
      <c r="AB4358" s="79">
        <v>45975</v>
      </c>
      <c r="AC4358">
        <f>OrdersTable[[#This Row],[Delivery Date]]-OrdersTable[[#This Row],[Order Date]]</f>
        <v>7</v>
      </c>
      <c r="AD4358" t="str">
        <f>IF(OrdersTable[[#This Row],[Delivery Days]]&lt;=2, "Express (≤2d)", IF(OrdersTable[[#This Row],[Delivery Days]]&lt;=4, "Standard (3-4d)", "Delayed (5d+)"))</f>
        <v>Delayed (5d+)</v>
      </c>
      <c r="AE4358">
        <v>3</v>
      </c>
      <c r="AF4358">
        <v>0</v>
      </c>
    </row>
    <row r="4359" spans="1:32" ht="15" x14ac:dyDescent="0.35">
      <c r="A4359" t="s">
        <v>5997</v>
      </c>
      <c r="B4359" s="1">
        <v>45968</v>
      </c>
      <c r="C4359">
        <f>YEAR(OrdersTable[[#This Row],[Order Date]])</f>
        <v>2025</v>
      </c>
      <c r="D4359" s="2">
        <f>DATE(YEAR(OrdersTable[[#This Row],[Order Date]]),MONTH(OrdersTable[[#This Row],[Order Date]]),1)</f>
        <v>45962</v>
      </c>
      <c r="E4359">
        <f>MONTH(OrdersTable[[#This Row],[Order Date]])</f>
        <v>11</v>
      </c>
      <c r="F4359" t="s">
        <v>1396</v>
      </c>
      <c r="G4359" t="str">
        <f>IF(OrdersTable[[#This Row],[Order Date]]=_xlfn.MINIFS(Order_Date, Customer_ID, OrdersTable[[#This Row],[Customer ID]]), "New", "Repeat")</f>
        <v>Repeat</v>
      </c>
      <c r="H4359" t="s">
        <v>123</v>
      </c>
      <c r="I4359" t="str">
        <f>INDEX(State!B:B,MATCH(OrdersTable[[#This Row],[State]],State!A:A,0))</f>
        <v>JH</v>
      </c>
      <c r="J4359" t="str">
        <f>INDEX(State!C:C,MATCH(OrdersTable[[#This Row],[State Code]],State!B:B,0))</f>
        <v>East</v>
      </c>
      <c r="K4359" t="s">
        <v>124</v>
      </c>
      <c r="L4359" t="s">
        <v>65</v>
      </c>
      <c r="M4359" t="s">
        <v>24</v>
      </c>
      <c r="N4359" t="str">
        <f>INDEX(Products!B:B,MATCH(OrdersTable[[#This Row],[Product ID]],Products!A:A,0))</f>
        <v>Scented Candle Set</v>
      </c>
      <c r="O4359" t="str">
        <f>INDEX(Products!C:C,MATCH(OrdersTable[[#This Row],[Product ID]],Products!A:A,0))</f>
        <v>Home &amp; Kitchen</v>
      </c>
      <c r="P4359">
        <v>2</v>
      </c>
      <c r="Q4359" s="5">
        <v>699</v>
      </c>
      <c r="R4359" s="74">
        <v>0.35</v>
      </c>
      <c r="S4359" s="75">
        <f>OrdersTable[[#This Row],[Quantity]]*OrdersTable[[#This Row],[Unit Price]]</f>
        <v>1398</v>
      </c>
      <c r="T4359" s="5">
        <f>OrdersTable[[#This Row],[Gross Sale]]*OrdersTable[[#This Row],[Discount_Clean2]]</f>
        <v>489.29999999999995</v>
      </c>
      <c r="U4359" s="5">
        <f>OrdersTable[[#This Row],[Gross Sale]]-OrdersTable[[#This Row],[Discount Amount]]</f>
        <v>908.7</v>
      </c>
      <c r="V4359" s="77">
        <f>INDEX(Products!E:E,MATCH(OrdersTable[[#This Row],[Product ID]],Products!A:A,0))</f>
        <v>245</v>
      </c>
      <c r="W4359" s="77">
        <f>OrdersTable[[#This Row],[Quantity]]*OrdersTable[[#This Row],[Unit Cost]]</f>
        <v>490</v>
      </c>
      <c r="X4359" s="77">
        <f>'Dropdown Lists'!$I$2*(1+OrdersTable[[#This Row],[Returned]])</f>
        <v>60</v>
      </c>
      <c r="Y4359" s="76">
        <f>OrdersTable[[#This Row],[Net Revenue]]-OrdersTable[[#This Row],[COGS]]-OrdersTable[[#This Row],[Shipping Cost]]</f>
        <v>358.70000000000005</v>
      </c>
      <c r="Z4359" s="78">
        <f>IFERROR(OrdersTable[[#This Row],[Profit]]/OrdersTable[[#This Row],[Net Revenue]],0)</f>
        <v>0.39473973808737761</v>
      </c>
      <c r="AA4359" t="s">
        <v>18</v>
      </c>
      <c r="AB4359" s="79">
        <v>45975</v>
      </c>
      <c r="AC4359">
        <f>OrdersTable[[#This Row],[Delivery Date]]-OrdersTable[[#This Row],[Order Date]]</f>
        <v>7</v>
      </c>
      <c r="AD4359" t="str">
        <f>IF(OrdersTable[[#This Row],[Delivery Days]]&lt;=2, "Express (≤2d)", IF(OrdersTable[[#This Row],[Delivery Days]]&lt;=4, "Standard (3-4d)", "Delayed (5d+)"))</f>
        <v>Delayed (5d+)</v>
      </c>
      <c r="AF4359">
        <v>0</v>
      </c>
    </row>
    <row r="4360" spans="1:32" ht="15" x14ac:dyDescent="0.35">
      <c r="A4360" t="s">
        <v>4441</v>
      </c>
      <c r="B4360" s="1">
        <v>45968</v>
      </c>
      <c r="C4360">
        <f>YEAR(OrdersTable[[#This Row],[Order Date]])</f>
        <v>2025</v>
      </c>
      <c r="D4360" s="2">
        <f>DATE(YEAR(OrdersTable[[#This Row],[Order Date]]),MONTH(OrdersTable[[#This Row],[Order Date]]),1)</f>
        <v>45962</v>
      </c>
      <c r="E4360">
        <f>MONTH(OrdersTable[[#This Row],[Order Date]])</f>
        <v>11</v>
      </c>
      <c r="F4360" t="s">
        <v>3236</v>
      </c>
      <c r="G4360" t="str">
        <f>IF(OrdersTable[[#This Row],[Order Date]]=_xlfn.MINIFS(Order_Date, Customer_ID, OrdersTable[[#This Row],[Customer ID]]), "New", "Repeat")</f>
        <v>Repeat</v>
      </c>
      <c r="H4360" t="s">
        <v>71</v>
      </c>
      <c r="I4360" t="str">
        <f>INDEX(State!B:B,MATCH(OrdersTable[[#This Row],[State]],State!A:A,0))</f>
        <v>MH</v>
      </c>
      <c r="J4360" t="str">
        <f>INDEX(State!C:C,MATCH(OrdersTable[[#This Row],[State Code]],State!B:B,0))</f>
        <v>West</v>
      </c>
      <c r="K4360" t="s">
        <v>102</v>
      </c>
      <c r="L4360" t="s">
        <v>23</v>
      </c>
      <c r="M4360" t="s">
        <v>40</v>
      </c>
      <c r="N4360" t="str">
        <f>INDEX(Products!B:B,MATCH(OrdersTable[[#This Row],[Product ID]],Products!A:A,0))</f>
        <v>Ashwagandha Capsules</v>
      </c>
      <c r="O4360" t="str">
        <f>INDEX(Products!C:C,MATCH(OrdersTable[[#This Row],[Product ID]],Products!A:A,0))</f>
        <v>Wellness</v>
      </c>
      <c r="P4360">
        <v>1</v>
      </c>
      <c r="Q4360" s="5">
        <v>499</v>
      </c>
      <c r="R4360" s="74">
        <v>0.1</v>
      </c>
      <c r="S4360" s="75">
        <f>OrdersTable[[#This Row],[Quantity]]*OrdersTable[[#This Row],[Unit Price]]</f>
        <v>499</v>
      </c>
      <c r="T4360" s="5">
        <f>OrdersTable[[#This Row],[Gross Sale]]*OrdersTable[[#This Row],[Discount_Clean2]]</f>
        <v>49.900000000000006</v>
      </c>
      <c r="U4360" s="5">
        <f>OrdersTable[[#This Row],[Gross Sale]]-OrdersTable[[#This Row],[Discount Amount]]</f>
        <v>449.1</v>
      </c>
      <c r="V4360" s="77">
        <f>INDEX(Products!E:E,MATCH(OrdersTable[[#This Row],[Product ID]],Products!A:A,0))</f>
        <v>150</v>
      </c>
      <c r="W4360" s="77">
        <f>OrdersTable[[#This Row],[Quantity]]*OrdersTable[[#This Row],[Unit Cost]]</f>
        <v>150</v>
      </c>
      <c r="X4360" s="77">
        <f>'Dropdown Lists'!$I$2*(1+OrdersTable[[#This Row],[Returned]])</f>
        <v>60</v>
      </c>
      <c r="Y4360" s="76">
        <f>OrdersTable[[#This Row],[Net Revenue]]-OrdersTable[[#This Row],[COGS]]-OrdersTable[[#This Row],[Shipping Cost]]</f>
        <v>239.10000000000002</v>
      </c>
      <c r="Z4360" s="78">
        <f>IFERROR(OrdersTable[[#This Row],[Profit]]/OrdersTable[[#This Row],[Net Revenue]],0)</f>
        <v>0.53239812959251842</v>
      </c>
      <c r="AA4360" t="s">
        <v>4074</v>
      </c>
      <c r="AB4360" s="79">
        <v>45971</v>
      </c>
      <c r="AC4360">
        <f>OrdersTable[[#This Row],[Delivery Date]]-OrdersTable[[#This Row],[Order Date]]</f>
        <v>3</v>
      </c>
      <c r="AD4360" t="str">
        <f>IF(OrdersTable[[#This Row],[Delivery Days]]&lt;=2, "Express (≤2d)", IF(OrdersTable[[#This Row],[Delivery Days]]&lt;=4, "Standard (3-4d)", "Delayed (5d+)"))</f>
        <v>Standard (3-4d)</v>
      </c>
      <c r="AE4360">
        <v>4</v>
      </c>
      <c r="AF4360">
        <v>0</v>
      </c>
    </row>
    <row r="4361" spans="1:32" ht="15" x14ac:dyDescent="0.35">
      <c r="A4361" t="s">
        <v>1798</v>
      </c>
      <c r="B4361" s="1">
        <v>45968</v>
      </c>
      <c r="C4361">
        <f>YEAR(OrdersTable[[#This Row],[Order Date]])</f>
        <v>2025</v>
      </c>
      <c r="D4361" s="2">
        <f>DATE(YEAR(OrdersTable[[#This Row],[Order Date]]),MONTH(OrdersTable[[#This Row],[Order Date]]),1)</f>
        <v>45962</v>
      </c>
      <c r="E4361">
        <f>MONTH(OrdersTable[[#This Row],[Order Date]])</f>
        <v>11</v>
      </c>
      <c r="F4361" t="s">
        <v>1799</v>
      </c>
      <c r="G4361" t="str">
        <f>IF(OrdersTable[[#This Row],[Order Date]]=_xlfn.MINIFS(Order_Date, Customer_ID, OrdersTable[[#This Row],[Customer ID]]), "New", "Repeat")</f>
        <v>Repeat</v>
      </c>
      <c r="H4361" t="s">
        <v>95</v>
      </c>
      <c r="I4361" t="str">
        <f>INDEX(State!B:B,MATCH(OrdersTable[[#This Row],[State]],State!A:A,0))</f>
        <v>TG</v>
      </c>
      <c r="J4361" t="str">
        <f>INDEX(State!C:C,MATCH(OrdersTable[[#This Row],[State Code]],State!B:B,0))</f>
        <v>South</v>
      </c>
      <c r="K4361" t="s">
        <v>96</v>
      </c>
      <c r="L4361" t="s">
        <v>65</v>
      </c>
      <c r="M4361" t="s">
        <v>73</v>
      </c>
      <c r="N4361" t="str">
        <f>INDEX(Products!B:B,MATCH(OrdersTable[[#This Row],[Product ID]],Products!A:A,0))</f>
        <v>Hydrating Face Wash</v>
      </c>
      <c r="O4361" t="str">
        <f>INDEX(Products!C:C,MATCH(OrdersTable[[#This Row],[Product ID]],Products!A:A,0))</f>
        <v>Skincare</v>
      </c>
      <c r="P4361">
        <v>1</v>
      </c>
      <c r="Q4361" s="5">
        <v>299</v>
      </c>
      <c r="R4361" s="74">
        <v>0.2</v>
      </c>
      <c r="S4361" s="75">
        <f>OrdersTable[[#This Row],[Quantity]]*OrdersTable[[#This Row],[Unit Price]]</f>
        <v>299</v>
      </c>
      <c r="T4361" s="5">
        <f>OrdersTable[[#This Row],[Gross Sale]]*OrdersTable[[#This Row],[Discount_Clean2]]</f>
        <v>59.800000000000004</v>
      </c>
      <c r="U4361" s="5">
        <f>OrdersTable[[#This Row],[Gross Sale]]-OrdersTable[[#This Row],[Discount Amount]]</f>
        <v>239.2</v>
      </c>
      <c r="V4361" s="77">
        <f>INDEX(Products!E:E,MATCH(OrdersTable[[#This Row],[Product ID]],Products!A:A,0))</f>
        <v>90</v>
      </c>
      <c r="W4361" s="77">
        <f>OrdersTable[[#This Row],[Quantity]]*OrdersTable[[#This Row],[Unit Cost]]</f>
        <v>90</v>
      </c>
      <c r="X4361" s="77">
        <f>'Dropdown Lists'!$I$2*(1+OrdersTable[[#This Row],[Returned]])</f>
        <v>60</v>
      </c>
      <c r="Y4361" s="76">
        <f>OrdersTable[[#This Row],[Net Revenue]]-OrdersTable[[#This Row],[COGS]]-OrdersTable[[#This Row],[Shipping Cost]]</f>
        <v>89.199999999999989</v>
      </c>
      <c r="Z4361" s="78">
        <f>IFERROR(OrdersTable[[#This Row],[Profit]]/OrdersTable[[#This Row],[Net Revenue]],0)</f>
        <v>0.37290969899665549</v>
      </c>
      <c r="AA4361" t="s">
        <v>18</v>
      </c>
      <c r="AB4361" s="79">
        <v>45972</v>
      </c>
      <c r="AC4361">
        <f>OrdersTable[[#This Row],[Delivery Date]]-OrdersTable[[#This Row],[Order Date]]</f>
        <v>4</v>
      </c>
      <c r="AD4361" t="str">
        <f>IF(OrdersTable[[#This Row],[Delivery Days]]&lt;=2, "Express (≤2d)", IF(OrdersTable[[#This Row],[Delivery Days]]&lt;=4, "Standard (3-4d)", "Delayed (5d+)"))</f>
        <v>Standard (3-4d)</v>
      </c>
      <c r="AF4361">
        <v>0</v>
      </c>
    </row>
    <row r="4362" spans="1:32" ht="15" x14ac:dyDescent="0.35">
      <c r="A4362" t="s">
        <v>5998</v>
      </c>
      <c r="B4362" s="1">
        <v>45968</v>
      </c>
      <c r="C4362">
        <f>YEAR(OrdersTable[[#This Row],[Order Date]])</f>
        <v>2025</v>
      </c>
      <c r="D4362" s="2">
        <f>DATE(YEAR(OrdersTable[[#This Row],[Order Date]]),MONTH(OrdersTable[[#This Row],[Order Date]]),1)</f>
        <v>45962</v>
      </c>
      <c r="E4362">
        <f>MONTH(OrdersTable[[#This Row],[Order Date]])</f>
        <v>11</v>
      </c>
      <c r="F4362" t="s">
        <v>5999</v>
      </c>
      <c r="G4362" t="str">
        <f>IF(OrdersTable[[#This Row],[Order Date]]=_xlfn.MINIFS(Order_Date, Customer_ID, OrdersTable[[#This Row],[Customer ID]]), "New", "Repeat")</f>
        <v>New</v>
      </c>
      <c r="H4362" t="s">
        <v>95</v>
      </c>
      <c r="I4362" t="str">
        <f>INDEX(State!B:B,MATCH(OrdersTable[[#This Row],[State]],State!A:A,0))</f>
        <v>TG</v>
      </c>
      <c r="J4362" t="str">
        <f>INDEX(State!C:C,MATCH(OrdersTable[[#This Row],[State Code]],State!B:B,0))</f>
        <v>South</v>
      </c>
      <c r="K4362" t="s">
        <v>96</v>
      </c>
      <c r="L4362" t="s">
        <v>50</v>
      </c>
      <c r="M4362" t="s">
        <v>109</v>
      </c>
      <c r="N4362" t="str">
        <f>INDEX(Products!B:B,MATCH(OrdersTable[[#This Row],[Product ID]],Products!A:A,0))</f>
        <v>Onion Hair Oil</v>
      </c>
      <c r="O4362" t="str">
        <f>INDEX(Products!C:C,MATCH(OrdersTable[[#This Row],[Product ID]],Products!A:A,0))</f>
        <v>Haircare</v>
      </c>
      <c r="P4362">
        <v>2</v>
      </c>
      <c r="Q4362" s="5">
        <v>349</v>
      </c>
      <c r="R4362" s="74">
        <v>0.5</v>
      </c>
      <c r="S4362" s="75">
        <f>OrdersTable[[#This Row],[Quantity]]*OrdersTable[[#This Row],[Unit Price]]</f>
        <v>698</v>
      </c>
      <c r="T4362" s="5">
        <f>OrdersTable[[#This Row],[Gross Sale]]*OrdersTable[[#This Row],[Discount_Clean2]]</f>
        <v>349</v>
      </c>
      <c r="U4362" s="5">
        <f>OrdersTable[[#This Row],[Gross Sale]]-OrdersTable[[#This Row],[Discount Amount]]</f>
        <v>349</v>
      </c>
      <c r="V4362" s="77">
        <f>INDEX(Products!E:E,MATCH(OrdersTable[[#This Row],[Product ID]],Products!A:A,0))</f>
        <v>105</v>
      </c>
      <c r="W4362" s="77">
        <f>OrdersTable[[#This Row],[Quantity]]*OrdersTable[[#This Row],[Unit Cost]]</f>
        <v>210</v>
      </c>
      <c r="X4362" s="77">
        <f>'Dropdown Lists'!$I$2*(1+OrdersTable[[#This Row],[Returned]])</f>
        <v>60</v>
      </c>
      <c r="Y4362" s="76">
        <f>OrdersTable[[#This Row],[Net Revenue]]-OrdersTable[[#This Row],[COGS]]-OrdersTable[[#This Row],[Shipping Cost]]</f>
        <v>79</v>
      </c>
      <c r="Z4362" s="78">
        <f>IFERROR(OrdersTable[[#This Row],[Profit]]/OrdersTable[[#This Row],[Net Revenue]],0)</f>
        <v>0.22636103151862463</v>
      </c>
      <c r="AA4362" t="s">
        <v>18</v>
      </c>
      <c r="AB4362" s="79">
        <v>45970</v>
      </c>
      <c r="AC4362">
        <f>OrdersTable[[#This Row],[Delivery Date]]-OrdersTable[[#This Row],[Order Date]]</f>
        <v>2</v>
      </c>
      <c r="AD4362" t="str">
        <f>IF(OrdersTable[[#This Row],[Delivery Days]]&lt;=2, "Express (≤2d)", IF(OrdersTable[[#This Row],[Delivery Days]]&lt;=4, "Standard (3-4d)", "Delayed (5d+)"))</f>
        <v>Express (≤2d)</v>
      </c>
      <c r="AF4362">
        <v>0</v>
      </c>
    </row>
    <row r="4363" spans="1:32" ht="15" x14ac:dyDescent="0.35">
      <c r="A4363" t="s">
        <v>4194</v>
      </c>
      <c r="B4363" s="1">
        <v>45968</v>
      </c>
      <c r="C4363">
        <f>YEAR(OrdersTable[[#This Row],[Order Date]])</f>
        <v>2025</v>
      </c>
      <c r="D4363" s="2">
        <f>DATE(YEAR(OrdersTable[[#This Row],[Order Date]]),MONTH(OrdersTable[[#This Row],[Order Date]]),1)</f>
        <v>45962</v>
      </c>
      <c r="E4363">
        <f>MONTH(OrdersTable[[#This Row],[Order Date]])</f>
        <v>11</v>
      </c>
      <c r="F4363" t="s">
        <v>3961</v>
      </c>
      <c r="G4363" t="str">
        <f>IF(OrdersTable[[#This Row],[Order Date]]=_xlfn.MINIFS(Order_Date, Customer_ID, OrdersTable[[#This Row],[Customer ID]]), "New", "Repeat")</f>
        <v>Repeat</v>
      </c>
      <c r="H4363" t="s">
        <v>95</v>
      </c>
      <c r="I4363" t="str">
        <f>INDEX(State!B:B,MATCH(OrdersTable[[#This Row],[State]],State!A:A,0))</f>
        <v>TG</v>
      </c>
      <c r="J4363" t="str">
        <f>INDEX(State!C:C,MATCH(OrdersTable[[#This Row],[State Code]],State!B:B,0))</f>
        <v>South</v>
      </c>
      <c r="K4363" t="s">
        <v>96</v>
      </c>
      <c r="L4363" t="s">
        <v>65</v>
      </c>
      <c r="M4363" t="s">
        <v>109</v>
      </c>
      <c r="N4363" t="str">
        <f>INDEX(Products!B:B,MATCH(OrdersTable[[#This Row],[Product ID]],Products!A:A,0))</f>
        <v>Onion Hair Oil</v>
      </c>
      <c r="O4363" t="str">
        <f>INDEX(Products!C:C,MATCH(OrdersTable[[#This Row],[Product ID]],Products!A:A,0))</f>
        <v>Haircare</v>
      </c>
      <c r="P4363">
        <v>1</v>
      </c>
      <c r="Q4363" s="5">
        <v>349</v>
      </c>
      <c r="R4363" s="74">
        <v>0.5</v>
      </c>
      <c r="S4363" s="75">
        <f>OrdersTable[[#This Row],[Quantity]]*OrdersTable[[#This Row],[Unit Price]]</f>
        <v>349</v>
      </c>
      <c r="T4363" s="5">
        <f>OrdersTable[[#This Row],[Gross Sale]]*OrdersTable[[#This Row],[Discount_Clean2]]</f>
        <v>174.5</v>
      </c>
      <c r="U4363" s="5">
        <f>OrdersTable[[#This Row],[Gross Sale]]-OrdersTable[[#This Row],[Discount Amount]]</f>
        <v>174.5</v>
      </c>
      <c r="V4363" s="77">
        <f>INDEX(Products!E:E,MATCH(OrdersTable[[#This Row],[Product ID]],Products!A:A,0))</f>
        <v>105</v>
      </c>
      <c r="W4363" s="77">
        <f>OrdersTable[[#This Row],[Quantity]]*OrdersTable[[#This Row],[Unit Cost]]</f>
        <v>105</v>
      </c>
      <c r="X4363" s="77">
        <f>'Dropdown Lists'!$I$2*(1+OrdersTable[[#This Row],[Returned]])</f>
        <v>60</v>
      </c>
      <c r="Y4363" s="76">
        <f>OrdersTable[[#This Row],[Net Revenue]]-OrdersTable[[#This Row],[COGS]]-OrdersTable[[#This Row],[Shipping Cost]]</f>
        <v>9.5</v>
      </c>
      <c r="Z4363" s="78">
        <f>IFERROR(OrdersTable[[#This Row],[Profit]]/OrdersTable[[#This Row],[Net Revenue]],0)</f>
        <v>5.4441260744985676E-2</v>
      </c>
      <c r="AA4363" t="s">
        <v>4074</v>
      </c>
      <c r="AB4363" s="79">
        <v>45971</v>
      </c>
      <c r="AC4363">
        <f>OrdersTable[[#This Row],[Delivery Date]]-OrdersTable[[#This Row],[Order Date]]</f>
        <v>3</v>
      </c>
      <c r="AD4363" t="str">
        <f>IF(OrdersTable[[#This Row],[Delivery Days]]&lt;=2, "Express (≤2d)", IF(OrdersTable[[#This Row],[Delivery Days]]&lt;=4, "Standard (3-4d)", "Delayed (5d+)"))</f>
        <v>Standard (3-4d)</v>
      </c>
      <c r="AE4363">
        <v>3</v>
      </c>
      <c r="AF4363">
        <v>0</v>
      </c>
    </row>
    <row r="4364" spans="1:32" ht="15" x14ac:dyDescent="0.35">
      <c r="A4364" t="s">
        <v>4545</v>
      </c>
      <c r="B4364" s="1">
        <v>45968</v>
      </c>
      <c r="C4364">
        <f>YEAR(OrdersTable[[#This Row],[Order Date]])</f>
        <v>2025</v>
      </c>
      <c r="D4364" s="2">
        <f>DATE(YEAR(OrdersTable[[#This Row],[Order Date]]),MONTH(OrdersTable[[#This Row],[Order Date]]),1)</f>
        <v>45962</v>
      </c>
      <c r="E4364">
        <f>MONTH(OrdersTable[[#This Row],[Order Date]])</f>
        <v>11</v>
      </c>
      <c r="F4364" t="s">
        <v>3663</v>
      </c>
      <c r="G4364" t="str">
        <f>IF(OrdersTable[[#This Row],[Order Date]]=_xlfn.MINIFS(Order_Date, Customer_ID, OrdersTable[[#This Row],[Customer ID]]), "New", "Repeat")</f>
        <v>Repeat</v>
      </c>
      <c r="H4364" t="s">
        <v>90</v>
      </c>
      <c r="I4364" t="str">
        <f>INDEX(State!B:B,MATCH(OrdersTable[[#This Row],[State]],State!A:A,0))</f>
        <v>GA</v>
      </c>
      <c r="J4364" t="str">
        <f>INDEX(State!C:C,MATCH(OrdersTable[[#This Row],[State Code]],State!B:B,0))</f>
        <v>West</v>
      </c>
      <c r="K4364" t="s">
        <v>91</v>
      </c>
      <c r="L4364" t="s">
        <v>65</v>
      </c>
      <c r="M4364" t="s">
        <v>45</v>
      </c>
      <c r="N4364" t="str">
        <f>INDEX(Products!B:B,MATCH(OrdersTable[[#This Row],[Product ID]],Products!A:A,0))</f>
        <v>Argan Shampoo</v>
      </c>
      <c r="O4364" t="str">
        <f>INDEX(Products!C:C,MATCH(OrdersTable[[#This Row],[Product ID]],Products!A:A,0))</f>
        <v>Haircare</v>
      </c>
      <c r="P4364">
        <v>1</v>
      </c>
      <c r="Q4364" s="5">
        <v>449</v>
      </c>
      <c r="R4364" s="74">
        <v>0.1</v>
      </c>
      <c r="S4364" s="75">
        <f>OrdersTable[[#This Row],[Quantity]]*OrdersTable[[#This Row],[Unit Price]]</f>
        <v>449</v>
      </c>
      <c r="T4364" s="5">
        <f>OrdersTable[[#This Row],[Gross Sale]]*OrdersTable[[#This Row],[Discount_Clean2]]</f>
        <v>44.900000000000006</v>
      </c>
      <c r="U4364" s="5">
        <f>OrdersTable[[#This Row],[Gross Sale]]-OrdersTable[[#This Row],[Discount Amount]]</f>
        <v>404.1</v>
      </c>
      <c r="V4364" s="77">
        <f>INDEX(Products!E:E,MATCH(OrdersTable[[#This Row],[Product ID]],Products!A:A,0))</f>
        <v>148</v>
      </c>
      <c r="W4364" s="77">
        <f>OrdersTable[[#This Row],[Quantity]]*OrdersTable[[#This Row],[Unit Cost]]</f>
        <v>148</v>
      </c>
      <c r="X4364" s="77">
        <f>'Dropdown Lists'!$I$2*(1+OrdersTable[[#This Row],[Returned]])</f>
        <v>60</v>
      </c>
      <c r="Y4364" s="76">
        <f>OrdersTable[[#This Row],[Net Revenue]]-OrdersTable[[#This Row],[COGS]]-OrdersTable[[#This Row],[Shipping Cost]]</f>
        <v>196.10000000000002</v>
      </c>
      <c r="Z4364" s="78">
        <f>IFERROR(OrdersTable[[#This Row],[Profit]]/OrdersTable[[#This Row],[Net Revenue]],0)</f>
        <v>0.48527592180153428</v>
      </c>
      <c r="AA4364" t="s">
        <v>4450</v>
      </c>
      <c r="AB4364" s="79">
        <v>45971</v>
      </c>
      <c r="AC4364">
        <f>OrdersTable[[#This Row],[Delivery Date]]-OrdersTable[[#This Row],[Order Date]]</f>
        <v>3</v>
      </c>
      <c r="AD4364" t="str">
        <f>IF(OrdersTable[[#This Row],[Delivery Days]]&lt;=2, "Express (≤2d)", IF(OrdersTable[[#This Row],[Delivery Days]]&lt;=4, "Standard (3-4d)", "Delayed (5d+)"))</f>
        <v>Standard (3-4d)</v>
      </c>
      <c r="AE4364">
        <v>4</v>
      </c>
      <c r="AF4364">
        <v>0</v>
      </c>
    </row>
    <row r="4365" spans="1:32" ht="15" x14ac:dyDescent="0.35">
      <c r="A4365" t="s">
        <v>5045</v>
      </c>
      <c r="B4365" s="1">
        <v>45968</v>
      </c>
      <c r="C4365">
        <f>YEAR(OrdersTable[[#This Row],[Order Date]])</f>
        <v>2025</v>
      </c>
      <c r="D4365" s="2">
        <f>DATE(YEAR(OrdersTable[[#This Row],[Order Date]]),MONTH(OrdersTable[[#This Row],[Order Date]]),1)</f>
        <v>45962</v>
      </c>
      <c r="E4365">
        <f>MONTH(OrdersTable[[#This Row],[Order Date]])</f>
        <v>11</v>
      </c>
      <c r="F4365" t="s">
        <v>2625</v>
      </c>
      <c r="G4365" t="str">
        <f>IF(OrdersTable[[#This Row],[Order Date]]=_xlfn.MINIFS(Order_Date, Customer_ID, OrdersTable[[#This Row],[Customer ID]]), "New", "Repeat")</f>
        <v>Repeat</v>
      </c>
      <c r="H4365" t="s">
        <v>90</v>
      </c>
      <c r="I4365" t="str">
        <f>INDEX(State!B:B,MATCH(OrdersTable[[#This Row],[State]],State!A:A,0))</f>
        <v>GA</v>
      </c>
      <c r="J4365" t="str">
        <f>INDEX(State!C:C,MATCH(OrdersTable[[#This Row],[State Code]],State!B:B,0))</f>
        <v>West</v>
      </c>
      <c r="K4365" t="s">
        <v>91</v>
      </c>
      <c r="L4365" t="s">
        <v>65</v>
      </c>
      <c r="M4365" t="s">
        <v>56</v>
      </c>
      <c r="N4365" t="str">
        <f>INDEX(Products!B:B,MATCH(OrdersTable[[#This Row],[Product ID]],Products!A:A,0))</f>
        <v>Vitamin C Face Serum</v>
      </c>
      <c r="O4365" t="str">
        <f>INDEX(Products!C:C,MATCH(OrdersTable[[#This Row],[Product ID]],Products!A:A,0))</f>
        <v>Skincare</v>
      </c>
      <c r="P4365">
        <v>2</v>
      </c>
      <c r="Q4365" s="5">
        <v>599</v>
      </c>
      <c r="R4365" s="74">
        <v>0.3</v>
      </c>
      <c r="S4365" s="75">
        <f>OrdersTable[[#This Row],[Quantity]]*OrdersTable[[#This Row],[Unit Price]]</f>
        <v>1198</v>
      </c>
      <c r="T4365" s="5">
        <f>OrdersTable[[#This Row],[Gross Sale]]*OrdersTable[[#This Row],[Discount_Clean2]]</f>
        <v>359.4</v>
      </c>
      <c r="U4365" s="5">
        <f>OrdersTable[[#This Row],[Gross Sale]]-OrdersTable[[#This Row],[Discount Amount]]</f>
        <v>838.6</v>
      </c>
      <c r="V4365" s="77">
        <f>INDEX(Products!E:E,MATCH(OrdersTable[[#This Row],[Product ID]],Products!A:A,0))</f>
        <v>180</v>
      </c>
      <c r="W4365" s="77">
        <f>OrdersTable[[#This Row],[Quantity]]*OrdersTable[[#This Row],[Unit Cost]]</f>
        <v>360</v>
      </c>
      <c r="X4365" s="77">
        <f>'Dropdown Lists'!$I$2*(1+OrdersTable[[#This Row],[Returned]])</f>
        <v>60</v>
      </c>
      <c r="Y4365" s="76">
        <f>OrdersTable[[#This Row],[Net Revenue]]-OrdersTable[[#This Row],[COGS]]-OrdersTable[[#This Row],[Shipping Cost]]</f>
        <v>418.6</v>
      </c>
      <c r="Z4365" s="78">
        <f>IFERROR(OrdersTable[[#This Row],[Profit]]/OrdersTable[[#This Row],[Net Revenue]],0)</f>
        <v>0.4991652754590985</v>
      </c>
      <c r="AA4365" t="s">
        <v>4074</v>
      </c>
      <c r="AB4365" s="79">
        <v>45972</v>
      </c>
      <c r="AC4365">
        <f>OrdersTable[[#This Row],[Delivery Date]]-OrdersTable[[#This Row],[Order Date]]</f>
        <v>4</v>
      </c>
      <c r="AD4365" t="str">
        <f>IF(OrdersTable[[#This Row],[Delivery Days]]&lt;=2, "Express (≤2d)", IF(OrdersTable[[#This Row],[Delivery Days]]&lt;=4, "Standard (3-4d)", "Delayed (5d+)"))</f>
        <v>Standard (3-4d)</v>
      </c>
      <c r="AF4365">
        <v>0</v>
      </c>
    </row>
    <row r="4366" spans="1:32" ht="15" x14ac:dyDescent="0.35">
      <c r="A4366" t="s">
        <v>4730</v>
      </c>
      <c r="B4366" s="1">
        <v>45968</v>
      </c>
      <c r="C4366">
        <f>YEAR(OrdersTable[[#This Row],[Order Date]])</f>
        <v>2025</v>
      </c>
      <c r="D4366" s="2">
        <f>DATE(YEAR(OrdersTable[[#This Row],[Order Date]]),MONTH(OrdersTable[[#This Row],[Order Date]]),1)</f>
        <v>45962</v>
      </c>
      <c r="E4366">
        <f>MONTH(OrdersTable[[#This Row],[Order Date]])</f>
        <v>11</v>
      </c>
      <c r="F4366" t="s">
        <v>4731</v>
      </c>
      <c r="G4366" t="str">
        <f>IF(OrdersTable[[#This Row],[Order Date]]=_xlfn.MINIFS(Order_Date, Customer_ID, OrdersTable[[#This Row],[Customer ID]]), "New", "Repeat")</f>
        <v>New</v>
      </c>
      <c r="H4366" t="s">
        <v>90</v>
      </c>
      <c r="I4366" t="str">
        <f>INDEX(State!B:B,MATCH(OrdersTable[[#This Row],[State]],State!A:A,0))</f>
        <v>GA</v>
      </c>
      <c r="J4366" t="str">
        <f>INDEX(State!C:C,MATCH(OrdersTable[[#This Row],[State Code]],State!B:B,0))</f>
        <v>West</v>
      </c>
      <c r="K4366" t="s">
        <v>91</v>
      </c>
      <c r="L4366" t="s">
        <v>65</v>
      </c>
      <c r="M4366" t="s">
        <v>148</v>
      </c>
      <c r="N4366" t="str">
        <f>INDEX(Products!B:B,MATCH(OrdersTable[[#This Row],[Product ID]],Products!A:A,0))</f>
        <v>Smartwatch Strap</v>
      </c>
      <c r="O4366" t="str">
        <f>INDEX(Products!C:C,MATCH(OrdersTable[[#This Row],[Product ID]],Products!A:A,0))</f>
        <v>Electronics</v>
      </c>
      <c r="P4366">
        <v>1</v>
      </c>
      <c r="Q4366" s="5">
        <v>499</v>
      </c>
      <c r="R4366" s="74">
        <v>0.2</v>
      </c>
      <c r="S4366" s="75">
        <f>OrdersTable[[#This Row],[Quantity]]*OrdersTable[[#This Row],[Unit Price]]</f>
        <v>499</v>
      </c>
      <c r="T4366" s="5">
        <f>OrdersTable[[#This Row],[Gross Sale]]*OrdersTable[[#This Row],[Discount_Clean2]]</f>
        <v>99.800000000000011</v>
      </c>
      <c r="U4366" s="5">
        <f>OrdersTable[[#This Row],[Gross Sale]]-OrdersTable[[#This Row],[Discount Amount]]</f>
        <v>399.2</v>
      </c>
      <c r="V4366" s="77">
        <f>INDEX(Products!E:E,MATCH(OrdersTable[[#This Row],[Product ID]],Products!A:A,0))</f>
        <v>200</v>
      </c>
      <c r="W4366" s="77">
        <f>OrdersTable[[#This Row],[Quantity]]*OrdersTable[[#This Row],[Unit Cost]]</f>
        <v>200</v>
      </c>
      <c r="X4366" s="77">
        <f>'Dropdown Lists'!$I$2*(1+OrdersTable[[#This Row],[Returned]])</f>
        <v>60</v>
      </c>
      <c r="Y4366" s="76">
        <f>OrdersTable[[#This Row],[Net Revenue]]-OrdersTable[[#This Row],[COGS]]-OrdersTable[[#This Row],[Shipping Cost]]</f>
        <v>139.19999999999999</v>
      </c>
      <c r="Z4366" s="78">
        <f>IFERROR(OrdersTable[[#This Row],[Profit]]/OrdersTable[[#This Row],[Net Revenue]],0)</f>
        <v>0.34869739478957912</v>
      </c>
      <c r="AA4366" t="s">
        <v>4450</v>
      </c>
      <c r="AB4366" s="79">
        <v>45972</v>
      </c>
      <c r="AC4366">
        <f>OrdersTable[[#This Row],[Delivery Date]]-OrdersTable[[#This Row],[Order Date]]</f>
        <v>4</v>
      </c>
      <c r="AD4366" t="str">
        <f>IF(OrdersTable[[#This Row],[Delivery Days]]&lt;=2, "Express (≤2d)", IF(OrdersTable[[#This Row],[Delivery Days]]&lt;=4, "Standard (3-4d)", "Delayed (5d+)"))</f>
        <v>Standard (3-4d)</v>
      </c>
      <c r="AE4366">
        <v>3</v>
      </c>
      <c r="AF4366">
        <v>0</v>
      </c>
    </row>
    <row r="4367" spans="1:32" ht="15" x14ac:dyDescent="0.35">
      <c r="A4367" t="s">
        <v>6000</v>
      </c>
      <c r="B4367" s="1">
        <v>45968</v>
      </c>
      <c r="C4367">
        <f>YEAR(OrdersTable[[#This Row],[Order Date]])</f>
        <v>2025</v>
      </c>
      <c r="D4367" s="2">
        <f>DATE(YEAR(OrdersTable[[#This Row],[Order Date]]),MONTH(OrdersTable[[#This Row],[Order Date]]),1)</f>
        <v>45962</v>
      </c>
      <c r="E4367">
        <f>MONTH(OrdersTable[[#This Row],[Order Date]])</f>
        <v>11</v>
      </c>
      <c r="F4367" t="s">
        <v>4315</v>
      </c>
      <c r="G4367" t="str">
        <f>IF(OrdersTable[[#This Row],[Order Date]]=_xlfn.MINIFS(Order_Date, Customer_ID, OrdersTable[[#This Row],[Customer ID]]), "New", "Repeat")</f>
        <v>New</v>
      </c>
      <c r="H4367" t="s">
        <v>167</v>
      </c>
      <c r="I4367" t="str">
        <f>INDEX(State!B:B,MATCH(OrdersTable[[#This Row],[State]],State!A:A,0))</f>
        <v>KA</v>
      </c>
      <c r="J4367" t="str">
        <f>INDEX(State!C:C,MATCH(OrdersTable[[#This Row],[State Code]],State!B:B,0))</f>
        <v>South</v>
      </c>
      <c r="K4367" t="s">
        <v>168</v>
      </c>
      <c r="L4367" t="s">
        <v>39</v>
      </c>
      <c r="M4367" t="s">
        <v>17</v>
      </c>
      <c r="N4367" t="str">
        <f>INDEX(Products!B:B,MATCH(OrdersTable[[#This Row],[Product ID]],Products!A:A,0))</f>
        <v>Casual Sneakers</v>
      </c>
      <c r="O4367" t="str">
        <f>INDEX(Products!C:C,MATCH(OrdersTable[[#This Row],[Product ID]],Products!A:A,0))</f>
        <v>Footwear</v>
      </c>
      <c r="P4367">
        <v>2</v>
      </c>
      <c r="Q4367" s="5">
        <v>2199</v>
      </c>
      <c r="R4367" s="74">
        <v>0.3</v>
      </c>
      <c r="S4367" s="75">
        <f>OrdersTable[[#This Row],[Quantity]]*OrdersTable[[#This Row],[Unit Price]]</f>
        <v>4398</v>
      </c>
      <c r="T4367" s="5">
        <f>OrdersTable[[#This Row],[Gross Sale]]*OrdersTable[[#This Row],[Discount_Clean2]]</f>
        <v>1319.3999999999999</v>
      </c>
      <c r="U4367" s="5">
        <f>OrdersTable[[#This Row],[Gross Sale]]-OrdersTable[[#This Row],[Discount Amount]]</f>
        <v>3078.6000000000004</v>
      </c>
      <c r="V4367" s="77">
        <f>INDEX(Products!E:E,MATCH(OrdersTable[[#This Row],[Product ID]],Products!A:A,0))</f>
        <v>1034</v>
      </c>
      <c r="W4367" s="77">
        <f>OrdersTable[[#This Row],[Quantity]]*OrdersTable[[#This Row],[Unit Cost]]</f>
        <v>2068</v>
      </c>
      <c r="X4367" s="77">
        <f>'Dropdown Lists'!$I$2*(1+OrdersTable[[#This Row],[Returned]])</f>
        <v>120</v>
      </c>
      <c r="Y4367" s="76">
        <f>OrdersTable[[#This Row],[Net Revenue]]-OrdersTable[[#This Row],[COGS]]-OrdersTable[[#This Row],[Shipping Cost]]</f>
        <v>890.60000000000036</v>
      </c>
      <c r="Z4367" s="78">
        <f>IFERROR(OrdersTable[[#This Row],[Profit]]/OrdersTable[[#This Row],[Net Revenue]],0)</f>
        <v>0.28928733840057175</v>
      </c>
      <c r="AA4367" t="s">
        <v>18</v>
      </c>
      <c r="AB4367" s="79">
        <v>45973</v>
      </c>
      <c r="AC4367">
        <f>OrdersTable[[#This Row],[Delivery Date]]-OrdersTable[[#This Row],[Order Date]]</f>
        <v>5</v>
      </c>
      <c r="AD4367" t="str">
        <f>IF(OrdersTable[[#This Row],[Delivery Days]]&lt;=2, "Express (≤2d)", IF(OrdersTable[[#This Row],[Delivery Days]]&lt;=4, "Standard (3-4d)", "Delayed (5d+)"))</f>
        <v>Delayed (5d+)</v>
      </c>
      <c r="AF4367">
        <v>1</v>
      </c>
    </row>
    <row r="4368" spans="1:32" ht="15" x14ac:dyDescent="0.35">
      <c r="A4368" t="s">
        <v>6225</v>
      </c>
      <c r="B4368" s="1">
        <v>45968</v>
      </c>
      <c r="C4368">
        <f>YEAR(OrdersTable[[#This Row],[Order Date]])</f>
        <v>2025</v>
      </c>
      <c r="D4368" s="2">
        <f>DATE(YEAR(OrdersTable[[#This Row],[Order Date]]),MONTH(OrdersTable[[#This Row],[Order Date]]),1)</f>
        <v>45962</v>
      </c>
      <c r="E4368">
        <f>MONTH(OrdersTable[[#This Row],[Order Date]])</f>
        <v>11</v>
      </c>
      <c r="F4368" t="s">
        <v>539</v>
      </c>
      <c r="G4368" t="str">
        <f>IF(OrdersTable[[#This Row],[Order Date]]=_xlfn.MINIFS(Order_Date, Customer_ID, OrdersTable[[#This Row],[Customer ID]]), "New", "Repeat")</f>
        <v>Repeat</v>
      </c>
      <c r="H4368" t="s">
        <v>167</v>
      </c>
      <c r="I4368" t="str">
        <f>INDEX(State!B:B,MATCH(OrdersTable[[#This Row],[State]],State!A:A,0))</f>
        <v>KA</v>
      </c>
      <c r="J4368" t="str">
        <f>INDEX(State!C:C,MATCH(OrdersTable[[#This Row],[State Code]],State!B:B,0))</f>
        <v>South</v>
      </c>
      <c r="K4368" t="s">
        <v>190</v>
      </c>
      <c r="L4368" t="s">
        <v>23</v>
      </c>
      <c r="M4368" t="s">
        <v>78</v>
      </c>
      <c r="N4368" t="str">
        <f>INDEX(Products!B:B,MATCH(OrdersTable[[#This Row],[Product ID]],Products!A:A,0))</f>
        <v>Retinol Night Cream</v>
      </c>
      <c r="O4368" t="str">
        <f>INDEX(Products!C:C,MATCH(OrdersTable[[#This Row],[Product ID]],Products!A:A,0))</f>
        <v>Skincare</v>
      </c>
      <c r="P4368">
        <v>2</v>
      </c>
      <c r="Q4368" s="5">
        <v>799</v>
      </c>
      <c r="R4368" s="74">
        <v>0.3</v>
      </c>
      <c r="S4368" s="75">
        <f>OrdersTable[[#This Row],[Quantity]]*OrdersTable[[#This Row],[Unit Price]]</f>
        <v>1598</v>
      </c>
      <c r="T4368" s="5">
        <f>OrdersTable[[#This Row],[Gross Sale]]*OrdersTable[[#This Row],[Discount_Clean2]]</f>
        <v>479.4</v>
      </c>
      <c r="U4368" s="5">
        <f>OrdersTable[[#This Row],[Gross Sale]]-OrdersTable[[#This Row],[Discount Amount]]</f>
        <v>1118.5999999999999</v>
      </c>
      <c r="V4368" s="77">
        <f>INDEX(Products!E:E,MATCH(OrdersTable[[#This Row],[Product ID]],Products!A:A,0))</f>
        <v>216</v>
      </c>
      <c r="W4368" s="77">
        <f>OrdersTable[[#This Row],[Quantity]]*OrdersTable[[#This Row],[Unit Cost]]</f>
        <v>432</v>
      </c>
      <c r="X4368" s="77">
        <f>'Dropdown Lists'!$I$2*(1+OrdersTable[[#This Row],[Returned]])</f>
        <v>60</v>
      </c>
      <c r="Y4368" s="76">
        <f>OrdersTable[[#This Row],[Net Revenue]]-OrdersTable[[#This Row],[COGS]]-OrdersTable[[#This Row],[Shipping Cost]]</f>
        <v>626.59999999999991</v>
      </c>
      <c r="Z4368" s="78">
        <f>IFERROR(OrdersTable[[#This Row],[Profit]]/OrdersTable[[#This Row],[Net Revenue]],0)</f>
        <v>0.56016449132844626</v>
      </c>
      <c r="AA4368" t="s">
        <v>18</v>
      </c>
      <c r="AB4368" s="79">
        <v>45970</v>
      </c>
      <c r="AC4368">
        <f>OrdersTable[[#This Row],[Delivery Date]]-OrdersTable[[#This Row],[Order Date]]</f>
        <v>2</v>
      </c>
      <c r="AD4368" t="str">
        <f>IF(OrdersTable[[#This Row],[Delivery Days]]&lt;=2, "Express (≤2d)", IF(OrdersTable[[#This Row],[Delivery Days]]&lt;=4, "Standard (3-4d)", "Delayed (5d+)"))</f>
        <v>Express (≤2d)</v>
      </c>
      <c r="AE4368">
        <v>4</v>
      </c>
      <c r="AF4368">
        <v>0</v>
      </c>
    </row>
    <row r="4369" spans="1:32" ht="15" x14ac:dyDescent="0.35">
      <c r="A4369" t="s">
        <v>7037</v>
      </c>
      <c r="B4369" s="1">
        <v>45968</v>
      </c>
      <c r="C4369">
        <f>YEAR(OrdersTable[[#This Row],[Order Date]])</f>
        <v>2025</v>
      </c>
      <c r="D4369" s="2">
        <f>DATE(YEAR(OrdersTable[[#This Row],[Order Date]]),MONTH(OrdersTable[[#This Row],[Order Date]]),1)</f>
        <v>45962</v>
      </c>
      <c r="E4369">
        <f>MONTH(OrdersTable[[#This Row],[Order Date]])</f>
        <v>11</v>
      </c>
      <c r="F4369" t="s">
        <v>512</v>
      </c>
      <c r="G4369" t="str">
        <f>IF(OrdersTable[[#This Row],[Order Date]]=_xlfn.MINIFS(Order_Date, Customer_ID, OrdersTable[[#This Row],[Customer ID]]), "New", "Repeat")</f>
        <v>Repeat</v>
      </c>
      <c r="H4369" t="s">
        <v>275</v>
      </c>
      <c r="I4369" t="str">
        <f>INDEX(State!B:B,MATCH(OrdersTable[[#This Row],[State]],State!A:A,0))</f>
        <v>AP</v>
      </c>
      <c r="J4369" t="str">
        <f>INDEX(State!C:C,MATCH(OrdersTable[[#This Row],[State Code]],State!B:B,0))</f>
        <v>South</v>
      </c>
      <c r="K4369" t="s">
        <v>491</v>
      </c>
      <c r="L4369" t="s">
        <v>65</v>
      </c>
      <c r="M4369" t="s">
        <v>34</v>
      </c>
      <c r="N4369" t="str">
        <f>INDEX(Products!B:B,MATCH(OrdersTable[[#This Row],[Product ID]],Products!A:A,0))</f>
        <v>Flip Flops</v>
      </c>
      <c r="O4369" t="str">
        <f>INDEX(Products!C:C,MATCH(OrdersTable[[#This Row],[Product ID]],Products!A:A,0))</f>
        <v>Footwear</v>
      </c>
      <c r="P4369">
        <v>4</v>
      </c>
      <c r="Q4369" s="5">
        <v>399</v>
      </c>
      <c r="R4369" s="74">
        <v>0.3</v>
      </c>
      <c r="S4369" s="75">
        <f>OrdersTable[[#This Row],[Quantity]]*OrdersTable[[#This Row],[Unit Price]]</f>
        <v>1596</v>
      </c>
      <c r="T4369" s="5">
        <f>OrdersTable[[#This Row],[Gross Sale]]*OrdersTable[[#This Row],[Discount_Clean2]]</f>
        <v>478.79999999999995</v>
      </c>
      <c r="U4369" s="5">
        <f>OrdersTable[[#This Row],[Gross Sale]]-OrdersTable[[#This Row],[Discount Amount]]</f>
        <v>1117.2</v>
      </c>
      <c r="V4369" s="77">
        <f>INDEX(Products!E:E,MATCH(OrdersTable[[#This Row],[Product ID]],Products!A:A,0))</f>
        <v>152</v>
      </c>
      <c r="W4369" s="77">
        <f>OrdersTable[[#This Row],[Quantity]]*OrdersTable[[#This Row],[Unit Cost]]</f>
        <v>608</v>
      </c>
      <c r="X4369" s="77">
        <f>'Dropdown Lists'!$I$2*(1+OrdersTable[[#This Row],[Returned]])</f>
        <v>60</v>
      </c>
      <c r="Y4369" s="76">
        <f>OrdersTable[[#This Row],[Net Revenue]]-OrdersTable[[#This Row],[COGS]]-OrdersTable[[#This Row],[Shipping Cost]]</f>
        <v>449.20000000000005</v>
      </c>
      <c r="Z4369" s="78">
        <f>IFERROR(OrdersTable[[#This Row],[Profit]]/OrdersTable[[#This Row],[Net Revenue]],0)</f>
        <v>0.40207662012173295</v>
      </c>
      <c r="AA4369" t="s">
        <v>2522</v>
      </c>
      <c r="AB4369" s="79">
        <v>45971</v>
      </c>
      <c r="AC4369">
        <f>OrdersTable[[#This Row],[Delivery Date]]-OrdersTable[[#This Row],[Order Date]]</f>
        <v>3</v>
      </c>
      <c r="AD4369" t="str">
        <f>IF(OrdersTable[[#This Row],[Delivery Days]]&lt;=2, "Express (≤2d)", IF(OrdersTable[[#This Row],[Delivery Days]]&lt;=4, "Standard (3-4d)", "Delayed (5d+)"))</f>
        <v>Standard (3-4d)</v>
      </c>
      <c r="AE4369">
        <v>4</v>
      </c>
      <c r="AF4369">
        <v>0</v>
      </c>
    </row>
    <row r="4370" spans="1:32" ht="15" x14ac:dyDescent="0.35">
      <c r="A4370" t="s">
        <v>6823</v>
      </c>
      <c r="B4370" s="1">
        <v>45968</v>
      </c>
      <c r="C4370">
        <f>YEAR(OrdersTable[[#This Row],[Order Date]])</f>
        <v>2025</v>
      </c>
      <c r="D4370" s="2">
        <f>DATE(YEAR(OrdersTable[[#This Row],[Order Date]]),MONTH(OrdersTable[[#This Row],[Order Date]]),1)</f>
        <v>45962</v>
      </c>
      <c r="E4370">
        <f>MONTH(OrdersTable[[#This Row],[Order Date]])</f>
        <v>11</v>
      </c>
      <c r="F4370" t="s">
        <v>2026</v>
      </c>
      <c r="G4370" t="str">
        <f>IF(OrdersTable[[#This Row],[Order Date]]=_xlfn.MINIFS(Order_Date, Customer_ID, OrdersTable[[#This Row],[Customer ID]]), "New", "Repeat")</f>
        <v>Repeat</v>
      </c>
      <c r="H4370" t="s">
        <v>316</v>
      </c>
      <c r="I4370" t="str">
        <f>INDEX(State!B:B,MATCH(OrdersTable[[#This Row],[State]],State!A:A,0))</f>
        <v>KL</v>
      </c>
      <c r="J4370" t="str">
        <f>INDEX(State!C:C,MATCH(OrdersTable[[#This Row],[State Code]],State!B:B,0))</f>
        <v>South</v>
      </c>
      <c r="K4370" t="s">
        <v>338</v>
      </c>
      <c r="L4370" t="s">
        <v>65</v>
      </c>
      <c r="M4370" t="s">
        <v>56</v>
      </c>
      <c r="N4370" t="str">
        <f>INDEX(Products!B:B,MATCH(OrdersTable[[#This Row],[Product ID]],Products!A:A,0))</f>
        <v>Vitamin C Face Serum</v>
      </c>
      <c r="O4370" t="str">
        <f>INDEX(Products!C:C,MATCH(OrdersTable[[#This Row],[Product ID]],Products!A:A,0))</f>
        <v>Skincare</v>
      </c>
      <c r="P4370">
        <v>3</v>
      </c>
      <c r="Q4370" s="5">
        <v>599</v>
      </c>
      <c r="R4370" s="74">
        <v>0.3</v>
      </c>
      <c r="S4370" s="75">
        <f>OrdersTable[[#This Row],[Quantity]]*OrdersTable[[#This Row],[Unit Price]]</f>
        <v>1797</v>
      </c>
      <c r="T4370" s="5">
        <f>OrdersTable[[#This Row],[Gross Sale]]*OrdersTable[[#This Row],[Discount_Clean2]]</f>
        <v>539.1</v>
      </c>
      <c r="U4370" s="5">
        <f>OrdersTable[[#This Row],[Gross Sale]]-OrdersTable[[#This Row],[Discount Amount]]</f>
        <v>1257.9000000000001</v>
      </c>
      <c r="V4370" s="77">
        <f>INDEX(Products!E:E,MATCH(OrdersTable[[#This Row],[Product ID]],Products!A:A,0))</f>
        <v>180</v>
      </c>
      <c r="W4370" s="77">
        <f>OrdersTable[[#This Row],[Quantity]]*OrdersTable[[#This Row],[Unit Cost]]</f>
        <v>540</v>
      </c>
      <c r="X4370" s="77">
        <f>'Dropdown Lists'!$I$2*(1+OrdersTable[[#This Row],[Returned]])</f>
        <v>60</v>
      </c>
      <c r="Y4370" s="76">
        <f>OrdersTable[[#This Row],[Net Revenue]]-OrdersTable[[#This Row],[COGS]]-OrdersTable[[#This Row],[Shipping Cost]]</f>
        <v>657.90000000000009</v>
      </c>
      <c r="Z4370" s="78">
        <f>IFERROR(OrdersTable[[#This Row],[Profit]]/OrdersTable[[#This Row],[Net Revenue]],0)</f>
        <v>0.52301454805628433</v>
      </c>
      <c r="AA4370" t="s">
        <v>3495</v>
      </c>
      <c r="AB4370" s="79">
        <v>45972</v>
      </c>
      <c r="AC4370">
        <f>OrdersTable[[#This Row],[Delivery Date]]-OrdersTable[[#This Row],[Order Date]]</f>
        <v>4</v>
      </c>
      <c r="AD4370" t="str">
        <f>IF(OrdersTable[[#This Row],[Delivery Days]]&lt;=2, "Express (≤2d)", IF(OrdersTable[[#This Row],[Delivery Days]]&lt;=4, "Standard (3-4d)", "Delayed (5d+)"))</f>
        <v>Standard (3-4d)</v>
      </c>
      <c r="AE4370">
        <v>4</v>
      </c>
      <c r="AF4370">
        <v>0</v>
      </c>
    </row>
    <row r="4371" spans="1:32" ht="15" x14ac:dyDescent="0.35">
      <c r="A4371" t="s">
        <v>5260</v>
      </c>
      <c r="B4371" s="1">
        <v>45968</v>
      </c>
      <c r="C4371">
        <f>YEAR(OrdersTable[[#This Row],[Order Date]])</f>
        <v>2025</v>
      </c>
      <c r="D4371" s="2">
        <f>DATE(YEAR(OrdersTable[[#This Row],[Order Date]]),MONTH(OrdersTable[[#This Row],[Order Date]]),1)</f>
        <v>45962</v>
      </c>
      <c r="E4371">
        <f>MONTH(OrdersTable[[#This Row],[Order Date]])</f>
        <v>11</v>
      </c>
      <c r="F4371" t="s">
        <v>723</v>
      </c>
      <c r="G4371" t="str">
        <f>IF(OrdersTable[[#This Row],[Order Date]]=_xlfn.MINIFS(Order_Date, Customer_ID, OrdersTable[[#This Row],[Customer ID]]), "New", "Repeat")</f>
        <v>Repeat</v>
      </c>
      <c r="H4371" t="s">
        <v>316</v>
      </c>
      <c r="I4371" t="str">
        <f>INDEX(State!B:B,MATCH(OrdersTable[[#This Row],[State]],State!A:A,0))</f>
        <v>KL</v>
      </c>
      <c r="J4371" t="str">
        <f>INDEX(State!C:C,MATCH(OrdersTable[[#This Row],[State Code]],State!B:B,0))</f>
        <v>South</v>
      </c>
      <c r="K4371" t="s">
        <v>317</v>
      </c>
      <c r="L4371" t="s">
        <v>39</v>
      </c>
      <c r="M4371" t="s">
        <v>61</v>
      </c>
      <c r="N4371" t="str">
        <f>INDEX(Products!B:B,MATCH(OrdersTable[[#This Row],[Product ID]],Products!A:A,0))</f>
        <v>Multivitamin Gummies</v>
      </c>
      <c r="O4371" t="str">
        <f>INDEX(Products!C:C,MATCH(OrdersTable[[#This Row],[Product ID]],Products!A:A,0))</f>
        <v>Wellness</v>
      </c>
      <c r="P4371">
        <v>2</v>
      </c>
      <c r="Q4371" s="5">
        <v>699</v>
      </c>
      <c r="R4371" s="74">
        <v>0.25</v>
      </c>
      <c r="S4371" s="75">
        <f>OrdersTable[[#This Row],[Quantity]]*OrdersTable[[#This Row],[Unit Price]]</f>
        <v>1398</v>
      </c>
      <c r="T4371" s="5">
        <f>OrdersTable[[#This Row],[Gross Sale]]*OrdersTable[[#This Row],[Discount_Clean2]]</f>
        <v>349.5</v>
      </c>
      <c r="U4371" s="5">
        <f>OrdersTable[[#This Row],[Gross Sale]]-OrdersTable[[#This Row],[Discount Amount]]</f>
        <v>1048.5</v>
      </c>
      <c r="V4371" s="77">
        <f>INDEX(Products!E:E,MATCH(OrdersTable[[#This Row],[Product ID]],Products!A:A,0))</f>
        <v>238</v>
      </c>
      <c r="W4371" s="77">
        <f>OrdersTable[[#This Row],[Quantity]]*OrdersTable[[#This Row],[Unit Cost]]</f>
        <v>476</v>
      </c>
      <c r="X4371" s="77">
        <f>'Dropdown Lists'!$I$2*(1+OrdersTable[[#This Row],[Returned]])</f>
        <v>60</v>
      </c>
      <c r="Y4371" s="76">
        <f>OrdersTable[[#This Row],[Net Revenue]]-OrdersTable[[#This Row],[COGS]]-OrdersTable[[#This Row],[Shipping Cost]]</f>
        <v>512.5</v>
      </c>
      <c r="Z4371" s="78">
        <f>IFERROR(OrdersTable[[#This Row],[Profit]]/OrdersTable[[#This Row],[Net Revenue]],0)</f>
        <v>0.48879351454458753</v>
      </c>
      <c r="AA4371" t="s">
        <v>3495</v>
      </c>
      <c r="AB4371" s="79">
        <v>45972</v>
      </c>
      <c r="AC4371">
        <f>OrdersTable[[#This Row],[Delivery Date]]-OrdersTable[[#This Row],[Order Date]]</f>
        <v>4</v>
      </c>
      <c r="AD4371" t="str">
        <f>IF(OrdersTable[[#This Row],[Delivery Days]]&lt;=2, "Express (≤2d)", IF(OrdersTable[[#This Row],[Delivery Days]]&lt;=4, "Standard (3-4d)", "Delayed (5d+)"))</f>
        <v>Standard (3-4d)</v>
      </c>
      <c r="AF4371">
        <v>0</v>
      </c>
    </row>
    <row r="4372" spans="1:32" ht="15" x14ac:dyDescent="0.35">
      <c r="A4372" t="s">
        <v>7132</v>
      </c>
      <c r="B4372" s="1">
        <v>45968</v>
      </c>
      <c r="C4372">
        <f>YEAR(OrdersTable[[#This Row],[Order Date]])</f>
        <v>2025</v>
      </c>
      <c r="D4372" s="2">
        <f>DATE(YEAR(OrdersTable[[#This Row],[Order Date]]),MONTH(OrdersTable[[#This Row],[Order Date]]),1)</f>
        <v>45962</v>
      </c>
      <c r="E4372">
        <f>MONTH(OrdersTable[[#This Row],[Order Date]])</f>
        <v>11</v>
      </c>
      <c r="F4372" t="s">
        <v>2692</v>
      </c>
      <c r="G4372" t="str">
        <f>IF(OrdersTable[[#This Row],[Order Date]]=_xlfn.MINIFS(Order_Date, Customer_ID, OrdersTable[[#This Row],[Customer ID]]), "New", "Repeat")</f>
        <v>Repeat</v>
      </c>
      <c r="H4372" t="s">
        <v>59</v>
      </c>
      <c r="I4372" t="str">
        <f>INDEX(State!B:B,MATCH(OrdersTable[[#This Row],[State]],State!A:A,0))</f>
        <v>TN</v>
      </c>
      <c r="J4372" t="str">
        <f>INDEX(State!C:C,MATCH(OrdersTable[[#This Row],[State Code]],State!B:B,0))</f>
        <v>South</v>
      </c>
      <c r="K4372" t="s">
        <v>64</v>
      </c>
      <c r="L4372" t="s">
        <v>23</v>
      </c>
      <c r="M4372" t="s">
        <v>34</v>
      </c>
      <c r="N4372" t="str">
        <f>INDEX(Products!B:B,MATCH(OrdersTable[[#This Row],[Product ID]],Products!A:A,0))</f>
        <v>Flip Flops</v>
      </c>
      <c r="O4372" t="str">
        <f>INDEX(Products!C:C,MATCH(OrdersTable[[#This Row],[Product ID]],Products!A:A,0))</f>
        <v>Footwear</v>
      </c>
      <c r="P4372">
        <v>4</v>
      </c>
      <c r="Q4372" s="5">
        <v>399</v>
      </c>
      <c r="R4372" s="74">
        <v>0.25</v>
      </c>
      <c r="S4372" s="75">
        <f>OrdersTable[[#This Row],[Quantity]]*OrdersTable[[#This Row],[Unit Price]]</f>
        <v>1596</v>
      </c>
      <c r="T4372" s="5">
        <f>OrdersTable[[#This Row],[Gross Sale]]*OrdersTable[[#This Row],[Discount_Clean2]]</f>
        <v>399</v>
      </c>
      <c r="U4372" s="5">
        <f>OrdersTable[[#This Row],[Gross Sale]]-OrdersTable[[#This Row],[Discount Amount]]</f>
        <v>1197</v>
      </c>
      <c r="V4372" s="77">
        <f>INDEX(Products!E:E,MATCH(OrdersTable[[#This Row],[Product ID]],Products!A:A,0))</f>
        <v>152</v>
      </c>
      <c r="W4372" s="77">
        <f>OrdersTable[[#This Row],[Quantity]]*OrdersTable[[#This Row],[Unit Cost]]</f>
        <v>608</v>
      </c>
      <c r="X4372" s="77">
        <f>'Dropdown Lists'!$I$2*(1+OrdersTable[[#This Row],[Returned]])</f>
        <v>60</v>
      </c>
      <c r="Y4372" s="76">
        <f>OrdersTable[[#This Row],[Net Revenue]]-OrdersTable[[#This Row],[COGS]]-OrdersTable[[#This Row],[Shipping Cost]]</f>
        <v>529</v>
      </c>
      <c r="Z4372" s="78">
        <f>IFERROR(OrdersTable[[#This Row],[Profit]]/OrdersTable[[#This Row],[Net Revenue]],0)</f>
        <v>0.44193817878028402</v>
      </c>
      <c r="AA4372" t="s">
        <v>18</v>
      </c>
      <c r="AB4372" s="79">
        <v>45969</v>
      </c>
      <c r="AC4372">
        <f>OrdersTable[[#This Row],[Delivery Date]]-OrdersTable[[#This Row],[Order Date]]</f>
        <v>1</v>
      </c>
      <c r="AD4372" t="str">
        <f>IF(OrdersTable[[#This Row],[Delivery Days]]&lt;=2, "Express (≤2d)", IF(OrdersTable[[#This Row],[Delivery Days]]&lt;=4, "Standard (3-4d)", "Delayed (5d+)"))</f>
        <v>Express (≤2d)</v>
      </c>
      <c r="AF4372">
        <v>0</v>
      </c>
    </row>
    <row r="4373" spans="1:32" ht="15" x14ac:dyDescent="0.35">
      <c r="A4373" t="s">
        <v>6226</v>
      </c>
      <c r="B4373" s="1">
        <v>45969</v>
      </c>
      <c r="C4373">
        <f>YEAR(OrdersTable[[#This Row],[Order Date]])</f>
        <v>2025</v>
      </c>
      <c r="D4373" s="2">
        <f>DATE(YEAR(OrdersTable[[#This Row],[Order Date]]),MONTH(OrdersTable[[#This Row],[Order Date]]),1)</f>
        <v>45962</v>
      </c>
      <c r="E4373">
        <f>MONTH(OrdersTable[[#This Row],[Order Date]])</f>
        <v>11</v>
      </c>
      <c r="F4373" t="s">
        <v>3025</v>
      </c>
      <c r="G4373" t="str">
        <f>IF(OrdersTable[[#This Row],[Order Date]]=_xlfn.MINIFS(Order_Date, Customer_ID, OrdersTable[[#This Row],[Customer ID]]), "New", "Repeat")</f>
        <v>Repeat</v>
      </c>
      <c r="H4373" t="s">
        <v>128</v>
      </c>
      <c r="I4373" t="str">
        <f>INDEX(State!B:B,MATCH(OrdersTable[[#This Row],[State]],State!A:A,0))</f>
        <v>DL</v>
      </c>
      <c r="J4373" t="str">
        <f>INDEX(State!C:C,MATCH(OrdersTable[[#This Row],[State Code]],State!B:B,0))</f>
        <v>North</v>
      </c>
      <c r="K4373" t="s">
        <v>129</v>
      </c>
      <c r="L4373" t="s">
        <v>65</v>
      </c>
      <c r="M4373" t="s">
        <v>87</v>
      </c>
      <c r="N4373" t="str">
        <f>INDEX(Products!B:B,MATCH(OrdersTable[[#This Row],[Product ID]],Products!A:A,0))</f>
        <v>Linen Kurta</v>
      </c>
      <c r="O4373" t="str">
        <f>INDEX(Products!C:C,MATCH(OrdersTable[[#This Row],[Product ID]],Products!A:A,0))</f>
        <v>Apparel</v>
      </c>
      <c r="P4373">
        <v>2</v>
      </c>
      <c r="Q4373" s="5">
        <v>1499</v>
      </c>
      <c r="R4373" s="74">
        <v>0.4</v>
      </c>
      <c r="S4373" s="75">
        <f>OrdersTable[[#This Row],[Quantity]]*OrdersTable[[#This Row],[Unit Price]]</f>
        <v>2998</v>
      </c>
      <c r="T4373" s="5">
        <f>OrdersTable[[#This Row],[Gross Sale]]*OrdersTable[[#This Row],[Discount_Clean2]]</f>
        <v>1199.2</v>
      </c>
      <c r="U4373" s="5">
        <f>OrdersTable[[#This Row],[Gross Sale]]-OrdersTable[[#This Row],[Discount Amount]]</f>
        <v>1798.8</v>
      </c>
      <c r="V4373" s="77">
        <f>INDEX(Products!E:E,MATCH(OrdersTable[[#This Row],[Product ID]],Products!A:A,0))</f>
        <v>630</v>
      </c>
      <c r="W4373" s="77">
        <f>OrdersTable[[#This Row],[Quantity]]*OrdersTable[[#This Row],[Unit Cost]]</f>
        <v>1260</v>
      </c>
      <c r="X4373" s="77">
        <f>'Dropdown Lists'!$I$2*(1+OrdersTable[[#This Row],[Returned]])</f>
        <v>120</v>
      </c>
      <c r="Y4373" s="76">
        <f>OrdersTable[[#This Row],[Net Revenue]]-OrdersTable[[#This Row],[COGS]]-OrdersTable[[#This Row],[Shipping Cost]]</f>
        <v>418.79999999999995</v>
      </c>
      <c r="Z4373" s="78">
        <f>IFERROR(OrdersTable[[#This Row],[Profit]]/OrdersTable[[#This Row],[Net Revenue]],0)</f>
        <v>0.23282188125416942</v>
      </c>
      <c r="AA4373" t="s">
        <v>18</v>
      </c>
      <c r="AB4373" s="79">
        <v>45972</v>
      </c>
      <c r="AC4373">
        <f>OrdersTable[[#This Row],[Delivery Date]]-OrdersTable[[#This Row],[Order Date]]</f>
        <v>3</v>
      </c>
      <c r="AD4373" t="str">
        <f>IF(OrdersTable[[#This Row],[Delivery Days]]&lt;=2, "Express (≤2d)", IF(OrdersTable[[#This Row],[Delivery Days]]&lt;=4, "Standard (3-4d)", "Delayed (5d+)"))</f>
        <v>Standard (3-4d)</v>
      </c>
      <c r="AE4373">
        <v>4</v>
      </c>
      <c r="AF4373">
        <v>1</v>
      </c>
    </row>
    <row r="4374" spans="1:32" ht="15" x14ac:dyDescent="0.35">
      <c r="A4374" t="s">
        <v>1197</v>
      </c>
      <c r="B4374" s="1">
        <v>45969</v>
      </c>
      <c r="C4374">
        <f>YEAR(OrdersTable[[#This Row],[Order Date]])</f>
        <v>2025</v>
      </c>
      <c r="D4374" s="2">
        <f>DATE(YEAR(OrdersTable[[#This Row],[Order Date]]),MONTH(OrdersTable[[#This Row],[Order Date]]),1)</f>
        <v>45962</v>
      </c>
      <c r="E4374">
        <f>MONTH(OrdersTable[[#This Row],[Order Date]])</f>
        <v>11</v>
      </c>
      <c r="F4374" t="s">
        <v>1198</v>
      </c>
      <c r="G4374" t="str">
        <f>IF(OrdersTable[[#This Row],[Order Date]]=_xlfn.MINIFS(Order_Date, Customer_ID, OrdersTable[[#This Row],[Customer ID]]), "New", "Repeat")</f>
        <v>Repeat</v>
      </c>
      <c r="H4374" t="s">
        <v>43</v>
      </c>
      <c r="I4374" t="str">
        <f>INDEX(State!B:B,MATCH(OrdersTable[[#This Row],[State]],State!A:A,0))</f>
        <v>MP</v>
      </c>
      <c r="J4374" t="str">
        <f>INDEX(State!C:C,MATCH(OrdersTable[[#This Row],[State Code]],State!B:B,0))</f>
        <v>West</v>
      </c>
      <c r="K4374" t="s">
        <v>250</v>
      </c>
      <c r="L4374" t="s">
        <v>50</v>
      </c>
      <c r="M4374" t="s">
        <v>40</v>
      </c>
      <c r="N4374" t="str">
        <f>INDEX(Products!B:B,MATCH(OrdersTable[[#This Row],[Product ID]],Products!A:A,0))</f>
        <v>Ashwagandha Capsules</v>
      </c>
      <c r="O4374" t="str">
        <f>INDEX(Products!C:C,MATCH(OrdersTable[[#This Row],[Product ID]],Products!A:A,0))</f>
        <v>Wellness</v>
      </c>
      <c r="P4374">
        <v>1</v>
      </c>
      <c r="Q4374" s="5">
        <v>499</v>
      </c>
      <c r="R4374" s="74">
        <v>0.2</v>
      </c>
      <c r="S4374" s="75">
        <f>OrdersTable[[#This Row],[Quantity]]*OrdersTable[[#This Row],[Unit Price]]</f>
        <v>499</v>
      </c>
      <c r="T4374" s="5">
        <f>OrdersTable[[#This Row],[Gross Sale]]*OrdersTable[[#This Row],[Discount_Clean2]]</f>
        <v>99.800000000000011</v>
      </c>
      <c r="U4374" s="5">
        <f>OrdersTable[[#This Row],[Gross Sale]]-OrdersTable[[#This Row],[Discount Amount]]</f>
        <v>399.2</v>
      </c>
      <c r="V4374" s="77">
        <f>INDEX(Products!E:E,MATCH(OrdersTable[[#This Row],[Product ID]],Products!A:A,0))</f>
        <v>150</v>
      </c>
      <c r="W4374" s="77">
        <f>OrdersTable[[#This Row],[Quantity]]*OrdersTable[[#This Row],[Unit Cost]]</f>
        <v>150</v>
      </c>
      <c r="X4374" s="77">
        <f>'Dropdown Lists'!$I$2*(1+OrdersTable[[#This Row],[Returned]])</f>
        <v>60</v>
      </c>
      <c r="Y4374" s="76">
        <f>OrdersTable[[#This Row],[Net Revenue]]-OrdersTable[[#This Row],[COGS]]-OrdersTable[[#This Row],[Shipping Cost]]</f>
        <v>189.2</v>
      </c>
      <c r="Z4374" s="78">
        <f>IFERROR(OrdersTable[[#This Row],[Profit]]/OrdersTable[[#This Row],[Net Revenue]],0)</f>
        <v>0.47394789579158314</v>
      </c>
      <c r="AA4374" t="s">
        <v>18</v>
      </c>
      <c r="AB4374" s="79">
        <v>45973</v>
      </c>
      <c r="AC4374">
        <f>OrdersTable[[#This Row],[Delivery Date]]-OrdersTable[[#This Row],[Order Date]]</f>
        <v>4</v>
      </c>
      <c r="AD4374" t="str">
        <f>IF(OrdersTable[[#This Row],[Delivery Days]]&lt;=2, "Express (≤2d)", IF(OrdersTable[[#This Row],[Delivery Days]]&lt;=4, "Standard (3-4d)", "Delayed (5d+)"))</f>
        <v>Standard (3-4d)</v>
      </c>
      <c r="AF4374">
        <v>0</v>
      </c>
    </row>
    <row r="4375" spans="1:32" ht="15" x14ac:dyDescent="0.35">
      <c r="A4375" t="s">
        <v>2854</v>
      </c>
      <c r="B4375" s="1">
        <v>45969</v>
      </c>
      <c r="C4375">
        <f>YEAR(OrdersTable[[#This Row],[Order Date]])</f>
        <v>2025</v>
      </c>
      <c r="D4375" s="2">
        <f>DATE(YEAR(OrdersTable[[#This Row],[Order Date]]),MONTH(OrdersTable[[#This Row],[Order Date]]),1)</f>
        <v>45962</v>
      </c>
      <c r="E4375">
        <f>MONTH(OrdersTable[[#This Row],[Order Date]])</f>
        <v>11</v>
      </c>
      <c r="F4375" t="s">
        <v>1510</v>
      </c>
      <c r="G4375" t="str">
        <f>IF(OrdersTable[[#This Row],[Order Date]]=_xlfn.MINIFS(Order_Date, Customer_ID, OrdersTable[[#This Row],[Customer ID]]), "New", "Repeat")</f>
        <v>Repeat</v>
      </c>
      <c r="H4375" t="s">
        <v>43</v>
      </c>
      <c r="I4375" t="str">
        <f>INDEX(State!B:B,MATCH(OrdersTable[[#This Row],[State]],State!A:A,0))</f>
        <v>MP</v>
      </c>
      <c r="J4375" t="str">
        <f>INDEX(State!C:C,MATCH(OrdersTable[[#This Row],[State Code]],State!B:B,0))</f>
        <v>West</v>
      </c>
      <c r="K4375" t="s">
        <v>44</v>
      </c>
      <c r="L4375" t="s">
        <v>16</v>
      </c>
      <c r="M4375" t="s">
        <v>29</v>
      </c>
      <c r="N4375" t="str">
        <f>INDEX(Products!B:B,MATCH(OrdersTable[[#This Row],[Product ID]],Products!A:A,0))</f>
        <v>Joggers</v>
      </c>
      <c r="O4375" t="str">
        <f>INDEX(Products!C:C,MATCH(OrdersTable[[#This Row],[Product ID]],Products!A:A,0))</f>
        <v>Apparel</v>
      </c>
      <c r="P4375">
        <v>1</v>
      </c>
      <c r="Q4375" s="5">
        <v>1199</v>
      </c>
      <c r="R4375" s="74">
        <v>0.25</v>
      </c>
      <c r="S4375" s="75">
        <f>OrdersTable[[#This Row],[Quantity]]*OrdersTable[[#This Row],[Unit Price]]</f>
        <v>1199</v>
      </c>
      <c r="T4375" s="5">
        <f>OrdersTable[[#This Row],[Gross Sale]]*OrdersTable[[#This Row],[Discount_Clean2]]</f>
        <v>299.75</v>
      </c>
      <c r="U4375" s="5">
        <f>OrdersTable[[#This Row],[Gross Sale]]-OrdersTable[[#This Row],[Discount Amount]]</f>
        <v>899.25</v>
      </c>
      <c r="V4375" s="77">
        <f>INDEX(Products!E:E,MATCH(OrdersTable[[#This Row],[Product ID]],Products!A:A,0))</f>
        <v>492</v>
      </c>
      <c r="W4375" s="77">
        <f>OrdersTable[[#This Row],[Quantity]]*OrdersTable[[#This Row],[Unit Cost]]</f>
        <v>492</v>
      </c>
      <c r="X4375" s="77">
        <f>'Dropdown Lists'!$I$2*(1+OrdersTable[[#This Row],[Returned]])</f>
        <v>60</v>
      </c>
      <c r="Y4375" s="76">
        <f>OrdersTable[[#This Row],[Net Revenue]]-OrdersTable[[#This Row],[COGS]]-OrdersTable[[#This Row],[Shipping Cost]]</f>
        <v>347.25</v>
      </c>
      <c r="Z4375" s="78">
        <f>IFERROR(OrdersTable[[#This Row],[Profit]]/OrdersTable[[#This Row],[Net Revenue]],0)</f>
        <v>0.38615512927439533</v>
      </c>
      <c r="AA4375" t="s">
        <v>2522</v>
      </c>
      <c r="AB4375" s="79">
        <v>45974</v>
      </c>
      <c r="AC4375">
        <f>OrdersTable[[#This Row],[Delivery Date]]-OrdersTable[[#This Row],[Order Date]]</f>
        <v>5</v>
      </c>
      <c r="AD4375" t="str">
        <f>IF(OrdersTable[[#This Row],[Delivery Days]]&lt;=2, "Express (≤2d)", IF(OrdersTable[[#This Row],[Delivery Days]]&lt;=4, "Standard (3-4d)", "Delayed (5d+)"))</f>
        <v>Delayed (5d+)</v>
      </c>
      <c r="AE4375">
        <v>3</v>
      </c>
      <c r="AF4375">
        <v>0</v>
      </c>
    </row>
    <row r="4376" spans="1:32" ht="15" x14ac:dyDescent="0.35">
      <c r="A4376" t="s">
        <v>2855</v>
      </c>
      <c r="B4376" s="1">
        <v>45969</v>
      </c>
      <c r="C4376">
        <f>YEAR(OrdersTable[[#This Row],[Order Date]])</f>
        <v>2025</v>
      </c>
      <c r="D4376" s="2">
        <f>DATE(YEAR(OrdersTable[[#This Row],[Order Date]]),MONTH(OrdersTable[[#This Row],[Order Date]]),1)</f>
        <v>45962</v>
      </c>
      <c r="E4376">
        <f>MONTH(OrdersTable[[#This Row],[Order Date]])</f>
        <v>11</v>
      </c>
      <c r="F4376" t="s">
        <v>2856</v>
      </c>
      <c r="G4376" t="str">
        <f>IF(OrdersTable[[#This Row],[Order Date]]=_xlfn.MINIFS(Order_Date, Customer_ID, OrdersTable[[#This Row],[Customer ID]]), "New", "Repeat")</f>
        <v>New</v>
      </c>
      <c r="H4376" t="s">
        <v>43</v>
      </c>
      <c r="I4376" t="str">
        <f>INDEX(State!B:B,MATCH(OrdersTable[[#This Row],[State]],State!A:A,0))</f>
        <v>MP</v>
      </c>
      <c r="J4376" t="str">
        <f>INDEX(State!C:C,MATCH(OrdersTable[[#This Row],[State Code]],State!B:B,0))</f>
        <v>West</v>
      </c>
      <c r="K4376" t="s">
        <v>44</v>
      </c>
      <c r="L4376" t="s">
        <v>65</v>
      </c>
      <c r="M4376" t="s">
        <v>152</v>
      </c>
      <c r="N4376" t="str">
        <f>INDEX(Products!B:B,MATCH(OrdersTable[[#This Row],[Product ID]],Products!A:A,0))</f>
        <v>Green Tea (100 bags)</v>
      </c>
      <c r="O4376" t="str">
        <f>INDEX(Products!C:C,MATCH(OrdersTable[[#This Row],[Product ID]],Products!A:A,0))</f>
        <v>Wellness</v>
      </c>
      <c r="P4376">
        <v>1</v>
      </c>
      <c r="Q4376" s="5">
        <v>399</v>
      </c>
      <c r="R4376" s="74">
        <v>0.5</v>
      </c>
      <c r="S4376" s="75">
        <f>OrdersTable[[#This Row],[Quantity]]*OrdersTable[[#This Row],[Unit Price]]</f>
        <v>399</v>
      </c>
      <c r="T4376" s="5">
        <f>OrdersTable[[#This Row],[Gross Sale]]*OrdersTable[[#This Row],[Discount_Clean2]]</f>
        <v>199.5</v>
      </c>
      <c r="U4376" s="5">
        <f>OrdersTable[[#This Row],[Gross Sale]]-OrdersTable[[#This Row],[Discount Amount]]</f>
        <v>199.5</v>
      </c>
      <c r="V4376" s="77">
        <f>INDEX(Products!E:E,MATCH(OrdersTable[[#This Row],[Product ID]],Products!A:A,0))</f>
        <v>128</v>
      </c>
      <c r="W4376" s="77">
        <f>OrdersTable[[#This Row],[Quantity]]*OrdersTable[[#This Row],[Unit Cost]]</f>
        <v>128</v>
      </c>
      <c r="X4376" s="77">
        <f>'Dropdown Lists'!$I$2*(1+OrdersTable[[#This Row],[Returned]])</f>
        <v>60</v>
      </c>
      <c r="Y4376" s="76">
        <f>OrdersTable[[#This Row],[Net Revenue]]-OrdersTable[[#This Row],[COGS]]-OrdersTable[[#This Row],[Shipping Cost]]</f>
        <v>11.5</v>
      </c>
      <c r="Z4376" s="78">
        <f>IFERROR(OrdersTable[[#This Row],[Profit]]/OrdersTable[[#This Row],[Net Revenue]],0)</f>
        <v>5.764411027568922E-2</v>
      </c>
      <c r="AA4376" t="s">
        <v>2522</v>
      </c>
      <c r="AB4376" s="79">
        <v>45973</v>
      </c>
      <c r="AC4376">
        <f>OrdersTable[[#This Row],[Delivery Date]]-OrdersTable[[#This Row],[Order Date]]</f>
        <v>4</v>
      </c>
      <c r="AD4376" t="str">
        <f>IF(OrdersTable[[#This Row],[Delivery Days]]&lt;=2, "Express (≤2d)", IF(OrdersTable[[#This Row],[Delivery Days]]&lt;=4, "Standard (3-4d)", "Delayed (5d+)"))</f>
        <v>Standard (3-4d)</v>
      </c>
      <c r="AE4376">
        <v>3</v>
      </c>
      <c r="AF4376">
        <v>0</v>
      </c>
    </row>
    <row r="4377" spans="1:32" ht="15" x14ac:dyDescent="0.35">
      <c r="A4377" t="s">
        <v>3123</v>
      </c>
      <c r="B4377" s="1">
        <v>45969</v>
      </c>
      <c r="C4377">
        <f>YEAR(OrdersTable[[#This Row],[Order Date]])</f>
        <v>2025</v>
      </c>
      <c r="D4377" s="2">
        <f>DATE(YEAR(OrdersTable[[#This Row],[Order Date]]),MONTH(OrdersTable[[#This Row],[Order Date]]),1)</f>
        <v>45962</v>
      </c>
      <c r="E4377">
        <f>MONTH(OrdersTable[[#This Row],[Order Date]])</f>
        <v>11</v>
      </c>
      <c r="F4377" t="s">
        <v>2765</v>
      </c>
      <c r="G4377" t="str">
        <f>IF(OrdersTable[[#This Row],[Order Date]]=_xlfn.MINIFS(Order_Date, Customer_ID, OrdersTable[[#This Row],[Customer ID]]), "New", "Repeat")</f>
        <v>Repeat</v>
      </c>
      <c r="H4377" t="s">
        <v>71</v>
      </c>
      <c r="I4377" t="str">
        <f>INDEX(State!B:B,MATCH(OrdersTable[[#This Row],[State]],State!A:A,0))</f>
        <v>MH</v>
      </c>
      <c r="J4377" t="str">
        <f>INDEX(State!C:C,MATCH(OrdersTable[[#This Row],[State Code]],State!B:B,0))</f>
        <v>West</v>
      </c>
      <c r="K4377" t="s">
        <v>81</v>
      </c>
      <c r="L4377" t="s">
        <v>23</v>
      </c>
      <c r="M4377" t="s">
        <v>29</v>
      </c>
      <c r="N4377" t="str">
        <f>INDEX(Products!B:B,MATCH(OrdersTable[[#This Row],[Product ID]],Products!A:A,0))</f>
        <v>Joggers</v>
      </c>
      <c r="O4377" t="str">
        <f>INDEX(Products!C:C,MATCH(OrdersTable[[#This Row],[Product ID]],Products!A:A,0))</f>
        <v>Apparel</v>
      </c>
      <c r="P4377">
        <v>1</v>
      </c>
      <c r="Q4377" s="5">
        <v>1199</v>
      </c>
      <c r="R4377" s="74">
        <v>0.35</v>
      </c>
      <c r="S4377" s="75">
        <f>OrdersTable[[#This Row],[Quantity]]*OrdersTable[[#This Row],[Unit Price]]</f>
        <v>1199</v>
      </c>
      <c r="T4377" s="5">
        <f>OrdersTable[[#This Row],[Gross Sale]]*OrdersTable[[#This Row],[Discount_Clean2]]</f>
        <v>419.65</v>
      </c>
      <c r="U4377" s="5">
        <f>OrdersTable[[#This Row],[Gross Sale]]-OrdersTable[[#This Row],[Discount Amount]]</f>
        <v>779.35</v>
      </c>
      <c r="V4377" s="77">
        <f>INDEX(Products!E:E,MATCH(OrdersTable[[#This Row],[Product ID]],Products!A:A,0))</f>
        <v>492</v>
      </c>
      <c r="W4377" s="77">
        <f>OrdersTable[[#This Row],[Quantity]]*OrdersTable[[#This Row],[Unit Cost]]</f>
        <v>492</v>
      </c>
      <c r="X4377" s="77">
        <f>'Dropdown Lists'!$I$2*(1+OrdersTable[[#This Row],[Returned]])</f>
        <v>60</v>
      </c>
      <c r="Y4377" s="76">
        <f>OrdersTable[[#This Row],[Net Revenue]]-OrdersTable[[#This Row],[COGS]]-OrdersTable[[#This Row],[Shipping Cost]]</f>
        <v>227.35000000000002</v>
      </c>
      <c r="Z4377" s="78">
        <f>IFERROR(OrdersTable[[#This Row],[Profit]]/OrdersTable[[#This Row],[Net Revenue]],0)</f>
        <v>0.29171745685507156</v>
      </c>
      <c r="AA4377" t="s">
        <v>2522</v>
      </c>
      <c r="AB4377" s="79">
        <v>45972</v>
      </c>
      <c r="AC4377">
        <f>OrdersTable[[#This Row],[Delivery Date]]-OrdersTable[[#This Row],[Order Date]]</f>
        <v>3</v>
      </c>
      <c r="AD4377" t="str">
        <f>IF(OrdersTable[[#This Row],[Delivery Days]]&lt;=2, "Express (≤2d)", IF(OrdersTable[[#This Row],[Delivery Days]]&lt;=4, "Standard (3-4d)", "Delayed (5d+)"))</f>
        <v>Standard (3-4d)</v>
      </c>
      <c r="AF4377">
        <v>0</v>
      </c>
    </row>
    <row r="4378" spans="1:32" ht="15" x14ac:dyDescent="0.35">
      <c r="A4378" t="s">
        <v>1199</v>
      </c>
      <c r="B4378" s="1">
        <v>45969</v>
      </c>
      <c r="C4378">
        <f>YEAR(OrdersTable[[#This Row],[Order Date]])</f>
        <v>2025</v>
      </c>
      <c r="D4378" s="2">
        <f>DATE(YEAR(OrdersTable[[#This Row],[Order Date]]),MONTH(OrdersTable[[#This Row],[Order Date]]),1)</f>
        <v>45962</v>
      </c>
      <c r="E4378">
        <f>MONTH(OrdersTable[[#This Row],[Order Date]])</f>
        <v>11</v>
      </c>
      <c r="F4378" t="s">
        <v>1200</v>
      </c>
      <c r="G4378" t="str">
        <f>IF(OrdersTable[[#This Row],[Order Date]]=_xlfn.MINIFS(Order_Date, Customer_ID, OrdersTable[[#This Row],[Customer ID]]), "New", "Repeat")</f>
        <v>Repeat</v>
      </c>
      <c r="H4378" t="s">
        <v>95</v>
      </c>
      <c r="I4378" t="str">
        <f>INDEX(State!B:B,MATCH(OrdersTable[[#This Row],[State]],State!A:A,0))</f>
        <v>TG</v>
      </c>
      <c r="J4378" t="str">
        <f>INDEX(State!C:C,MATCH(OrdersTable[[#This Row],[State Code]],State!B:B,0))</f>
        <v>South</v>
      </c>
      <c r="K4378" t="s">
        <v>96</v>
      </c>
      <c r="L4378" t="s">
        <v>50</v>
      </c>
      <c r="M4378" t="s">
        <v>40</v>
      </c>
      <c r="N4378" t="str">
        <f>INDEX(Products!B:B,MATCH(OrdersTable[[#This Row],[Product ID]],Products!A:A,0))</f>
        <v>Ashwagandha Capsules</v>
      </c>
      <c r="O4378" t="str">
        <f>INDEX(Products!C:C,MATCH(OrdersTable[[#This Row],[Product ID]],Products!A:A,0))</f>
        <v>Wellness</v>
      </c>
      <c r="P4378">
        <v>1</v>
      </c>
      <c r="Q4378" s="5">
        <v>499</v>
      </c>
      <c r="R4378" s="74">
        <v>0.05</v>
      </c>
      <c r="S4378" s="75">
        <f>OrdersTable[[#This Row],[Quantity]]*OrdersTable[[#This Row],[Unit Price]]</f>
        <v>499</v>
      </c>
      <c r="T4378" s="5">
        <f>OrdersTable[[#This Row],[Gross Sale]]*OrdersTable[[#This Row],[Discount_Clean2]]</f>
        <v>24.950000000000003</v>
      </c>
      <c r="U4378" s="5">
        <f>OrdersTable[[#This Row],[Gross Sale]]-OrdersTable[[#This Row],[Discount Amount]]</f>
        <v>474.05</v>
      </c>
      <c r="V4378" s="77">
        <f>INDEX(Products!E:E,MATCH(OrdersTable[[#This Row],[Product ID]],Products!A:A,0))</f>
        <v>150</v>
      </c>
      <c r="W4378" s="77">
        <f>OrdersTable[[#This Row],[Quantity]]*OrdersTable[[#This Row],[Unit Cost]]</f>
        <v>150</v>
      </c>
      <c r="X4378" s="77">
        <f>'Dropdown Lists'!$I$2*(1+OrdersTable[[#This Row],[Returned]])</f>
        <v>60</v>
      </c>
      <c r="Y4378" s="76">
        <f>OrdersTable[[#This Row],[Net Revenue]]-OrdersTable[[#This Row],[COGS]]-OrdersTable[[#This Row],[Shipping Cost]]</f>
        <v>264.05</v>
      </c>
      <c r="Z4378" s="78">
        <f>IFERROR(OrdersTable[[#This Row],[Profit]]/OrdersTable[[#This Row],[Net Revenue]],0)</f>
        <v>0.55700875435080688</v>
      </c>
      <c r="AA4378" t="s">
        <v>18</v>
      </c>
      <c r="AB4378" s="79">
        <v>45971</v>
      </c>
      <c r="AC4378">
        <f>OrdersTable[[#This Row],[Delivery Date]]-OrdersTable[[#This Row],[Order Date]]</f>
        <v>2</v>
      </c>
      <c r="AD4378" t="str">
        <f>IF(OrdersTable[[#This Row],[Delivery Days]]&lt;=2, "Express (≤2d)", IF(OrdersTable[[#This Row],[Delivery Days]]&lt;=4, "Standard (3-4d)", "Delayed (5d+)"))</f>
        <v>Express (≤2d)</v>
      </c>
      <c r="AF4378">
        <v>0</v>
      </c>
    </row>
    <row r="4379" spans="1:32" ht="15" x14ac:dyDescent="0.35">
      <c r="A4379" t="s">
        <v>2474</v>
      </c>
      <c r="B4379" s="1">
        <v>45969</v>
      </c>
      <c r="C4379">
        <f>YEAR(OrdersTable[[#This Row],[Order Date]])</f>
        <v>2025</v>
      </c>
      <c r="D4379" s="2">
        <f>DATE(YEAR(OrdersTable[[#This Row],[Order Date]]),MONTH(OrdersTable[[#This Row],[Order Date]]),1)</f>
        <v>45962</v>
      </c>
      <c r="E4379">
        <f>MONTH(OrdersTable[[#This Row],[Order Date]])</f>
        <v>11</v>
      </c>
      <c r="F4379" t="s">
        <v>1571</v>
      </c>
      <c r="G4379" t="str">
        <f>IF(OrdersTable[[#This Row],[Order Date]]=_xlfn.MINIFS(Order_Date, Customer_ID, OrdersTable[[#This Row],[Customer ID]]), "New", "Repeat")</f>
        <v>Repeat</v>
      </c>
      <c r="H4379" t="s">
        <v>95</v>
      </c>
      <c r="I4379" t="str">
        <f>INDEX(State!B:B,MATCH(OrdersTable[[#This Row],[State]],State!A:A,0))</f>
        <v>TG</v>
      </c>
      <c r="J4379" t="str">
        <f>INDEX(State!C:C,MATCH(OrdersTable[[#This Row],[State Code]],State!B:B,0))</f>
        <v>South</v>
      </c>
      <c r="K4379" t="s">
        <v>96</v>
      </c>
      <c r="L4379" t="s">
        <v>65</v>
      </c>
      <c r="M4379" t="s">
        <v>34</v>
      </c>
      <c r="N4379" t="str">
        <f>INDEX(Products!B:B,MATCH(OrdersTable[[#This Row],[Product ID]],Products!A:A,0))</f>
        <v>Flip Flops</v>
      </c>
      <c r="O4379" t="str">
        <f>INDEX(Products!C:C,MATCH(OrdersTable[[#This Row],[Product ID]],Products!A:A,0))</f>
        <v>Footwear</v>
      </c>
      <c r="P4379">
        <v>1</v>
      </c>
      <c r="Q4379" s="5">
        <v>399</v>
      </c>
      <c r="R4379" s="74">
        <v>0.3</v>
      </c>
      <c r="S4379" s="75">
        <f>OrdersTable[[#This Row],[Quantity]]*OrdersTable[[#This Row],[Unit Price]]</f>
        <v>399</v>
      </c>
      <c r="T4379" s="5">
        <f>OrdersTable[[#This Row],[Gross Sale]]*OrdersTable[[#This Row],[Discount_Clean2]]</f>
        <v>119.69999999999999</v>
      </c>
      <c r="U4379" s="5">
        <f>OrdersTable[[#This Row],[Gross Sale]]-OrdersTable[[#This Row],[Discount Amount]]</f>
        <v>279.3</v>
      </c>
      <c r="V4379" s="77">
        <f>INDEX(Products!E:E,MATCH(OrdersTable[[#This Row],[Product ID]],Products!A:A,0))</f>
        <v>152</v>
      </c>
      <c r="W4379" s="77">
        <f>OrdersTable[[#This Row],[Quantity]]*OrdersTable[[#This Row],[Unit Cost]]</f>
        <v>152</v>
      </c>
      <c r="X4379" s="77">
        <f>'Dropdown Lists'!$I$2*(1+OrdersTable[[#This Row],[Returned]])</f>
        <v>60</v>
      </c>
      <c r="Y4379" s="76">
        <f>OrdersTable[[#This Row],[Net Revenue]]-OrdersTable[[#This Row],[COGS]]-OrdersTable[[#This Row],[Shipping Cost]]</f>
        <v>67.300000000000011</v>
      </c>
      <c r="Z4379" s="78">
        <f>IFERROR(OrdersTable[[#This Row],[Profit]]/OrdersTable[[#This Row],[Net Revenue]],0)</f>
        <v>0.24095954171142145</v>
      </c>
      <c r="AA4379" t="s">
        <v>18</v>
      </c>
      <c r="AB4379" s="79">
        <v>45973</v>
      </c>
      <c r="AC4379">
        <f>OrdersTable[[#This Row],[Delivery Date]]-OrdersTable[[#This Row],[Order Date]]</f>
        <v>4</v>
      </c>
      <c r="AD4379" t="str">
        <f>IF(OrdersTable[[#This Row],[Delivery Days]]&lt;=2, "Express (≤2d)", IF(OrdersTable[[#This Row],[Delivery Days]]&lt;=4, "Standard (3-4d)", "Delayed (5d+)"))</f>
        <v>Standard (3-4d)</v>
      </c>
      <c r="AE4379">
        <v>5</v>
      </c>
      <c r="AF4379">
        <v>0</v>
      </c>
    </row>
    <row r="4380" spans="1:32" ht="15" x14ac:dyDescent="0.35">
      <c r="A4380" t="s">
        <v>2182</v>
      </c>
      <c r="B4380" s="1">
        <v>45969</v>
      </c>
      <c r="C4380">
        <f>YEAR(OrdersTable[[#This Row],[Order Date]])</f>
        <v>2025</v>
      </c>
      <c r="D4380" s="2">
        <f>DATE(YEAR(OrdersTable[[#This Row],[Order Date]]),MONTH(OrdersTable[[#This Row],[Order Date]]),1)</f>
        <v>45962</v>
      </c>
      <c r="E4380">
        <f>MONTH(OrdersTable[[#This Row],[Order Date]])</f>
        <v>11</v>
      </c>
      <c r="F4380" t="s">
        <v>2183</v>
      </c>
      <c r="G4380" t="str">
        <f>IF(OrdersTable[[#This Row],[Order Date]]=_xlfn.MINIFS(Order_Date, Customer_ID, OrdersTable[[#This Row],[Customer ID]]), "New", "Repeat")</f>
        <v>Repeat</v>
      </c>
      <c r="H4380" t="s">
        <v>95</v>
      </c>
      <c r="I4380" t="str">
        <f>INDEX(State!B:B,MATCH(OrdersTable[[#This Row],[State]],State!A:A,0))</f>
        <v>TG</v>
      </c>
      <c r="J4380" t="str">
        <f>INDEX(State!C:C,MATCH(OrdersTable[[#This Row],[State Code]],State!B:B,0))</f>
        <v>South</v>
      </c>
      <c r="K4380" t="s">
        <v>96</v>
      </c>
      <c r="L4380" t="s">
        <v>39</v>
      </c>
      <c r="M4380" t="s">
        <v>40</v>
      </c>
      <c r="N4380" t="str">
        <f>INDEX(Products!B:B,MATCH(OrdersTable[[#This Row],[Product ID]],Products!A:A,0))</f>
        <v>Ashwagandha Capsules</v>
      </c>
      <c r="O4380" t="str">
        <f>INDEX(Products!C:C,MATCH(OrdersTable[[#This Row],[Product ID]],Products!A:A,0))</f>
        <v>Wellness</v>
      </c>
      <c r="P4380">
        <v>1</v>
      </c>
      <c r="Q4380" s="5">
        <v>499</v>
      </c>
      <c r="R4380" s="74">
        <v>0.1</v>
      </c>
      <c r="S4380" s="75">
        <f>OrdersTable[[#This Row],[Quantity]]*OrdersTable[[#This Row],[Unit Price]]</f>
        <v>499</v>
      </c>
      <c r="T4380" s="5">
        <f>OrdersTable[[#This Row],[Gross Sale]]*OrdersTable[[#This Row],[Discount_Clean2]]</f>
        <v>49.900000000000006</v>
      </c>
      <c r="U4380" s="5">
        <f>OrdersTable[[#This Row],[Gross Sale]]-OrdersTable[[#This Row],[Discount Amount]]</f>
        <v>449.1</v>
      </c>
      <c r="V4380" s="77">
        <f>INDEX(Products!E:E,MATCH(OrdersTable[[#This Row],[Product ID]],Products!A:A,0))</f>
        <v>150</v>
      </c>
      <c r="W4380" s="77">
        <f>OrdersTable[[#This Row],[Quantity]]*OrdersTable[[#This Row],[Unit Cost]]</f>
        <v>150</v>
      </c>
      <c r="X4380" s="77">
        <f>'Dropdown Lists'!$I$2*(1+OrdersTable[[#This Row],[Returned]])</f>
        <v>60</v>
      </c>
      <c r="Y4380" s="76">
        <f>OrdersTable[[#This Row],[Net Revenue]]-OrdersTable[[#This Row],[COGS]]-OrdersTable[[#This Row],[Shipping Cost]]</f>
        <v>239.10000000000002</v>
      </c>
      <c r="Z4380" s="78">
        <f>IFERROR(OrdersTable[[#This Row],[Profit]]/OrdersTable[[#This Row],[Net Revenue]],0)</f>
        <v>0.53239812959251842</v>
      </c>
      <c r="AA4380" t="s">
        <v>18</v>
      </c>
      <c r="AB4380" s="79">
        <v>45974</v>
      </c>
      <c r="AC4380">
        <f>OrdersTable[[#This Row],[Delivery Date]]-OrdersTable[[#This Row],[Order Date]]</f>
        <v>5</v>
      </c>
      <c r="AD4380" t="str">
        <f>IF(OrdersTable[[#This Row],[Delivery Days]]&lt;=2, "Express (≤2d)", IF(OrdersTable[[#This Row],[Delivery Days]]&lt;=4, "Standard (3-4d)", "Delayed (5d+)"))</f>
        <v>Delayed (5d+)</v>
      </c>
      <c r="AE4380">
        <v>3</v>
      </c>
      <c r="AF4380">
        <v>0</v>
      </c>
    </row>
    <row r="4381" spans="1:32" ht="15" x14ac:dyDescent="0.35">
      <c r="A4381" t="s">
        <v>7133</v>
      </c>
      <c r="B4381" s="1">
        <v>45969</v>
      </c>
      <c r="C4381">
        <f>YEAR(OrdersTable[[#This Row],[Order Date]])</f>
        <v>2025</v>
      </c>
      <c r="D4381" s="2">
        <f>DATE(YEAR(OrdersTable[[#This Row],[Order Date]]),MONTH(OrdersTable[[#This Row],[Order Date]]),1)</f>
        <v>45962</v>
      </c>
      <c r="E4381">
        <f>MONTH(OrdersTable[[#This Row],[Order Date]])</f>
        <v>11</v>
      </c>
      <c r="F4381" t="s">
        <v>621</v>
      </c>
      <c r="G4381" t="str">
        <f>IF(OrdersTable[[#This Row],[Order Date]]=_xlfn.MINIFS(Order_Date, Customer_ID, OrdersTable[[#This Row],[Customer ID]]), "New", "Repeat")</f>
        <v>Repeat</v>
      </c>
      <c r="H4381" t="s">
        <v>275</v>
      </c>
      <c r="I4381" t="str">
        <f>INDEX(State!B:B,MATCH(OrdersTable[[#This Row],[State]],State!A:A,0))</f>
        <v>AP</v>
      </c>
      <c r="J4381" t="str">
        <f>INDEX(State!C:C,MATCH(OrdersTable[[#This Row],[State Code]],State!B:B,0))</f>
        <v>South</v>
      </c>
      <c r="K4381" t="s">
        <v>276</v>
      </c>
      <c r="L4381" t="s">
        <v>23</v>
      </c>
      <c r="M4381" t="s">
        <v>51</v>
      </c>
      <c r="N4381" t="str">
        <f>INDEX(Products!B:B,MATCH(OrdersTable[[#This Row],[Product ID]],Products!A:A,0))</f>
        <v>Anti-Dandruff Conditioner</v>
      </c>
      <c r="O4381" t="str">
        <f>INDEX(Products!C:C,MATCH(OrdersTable[[#This Row],[Product ID]],Products!A:A,0))</f>
        <v>Haircare</v>
      </c>
      <c r="P4381">
        <v>4</v>
      </c>
      <c r="Q4381" s="5">
        <v>399</v>
      </c>
      <c r="R4381" s="74">
        <v>0.5</v>
      </c>
      <c r="S4381" s="75">
        <f>OrdersTable[[#This Row],[Quantity]]*OrdersTable[[#This Row],[Unit Price]]</f>
        <v>1596</v>
      </c>
      <c r="T4381" s="5">
        <f>OrdersTable[[#This Row],[Gross Sale]]*OrdersTable[[#This Row],[Discount_Clean2]]</f>
        <v>798</v>
      </c>
      <c r="U4381" s="5">
        <f>OrdersTable[[#This Row],[Gross Sale]]-OrdersTable[[#This Row],[Discount Amount]]</f>
        <v>798</v>
      </c>
      <c r="V4381" s="77">
        <f>INDEX(Products!E:E,MATCH(OrdersTable[[#This Row],[Product ID]],Products!A:A,0))</f>
        <v>136</v>
      </c>
      <c r="W4381" s="77">
        <f>OrdersTable[[#This Row],[Quantity]]*OrdersTable[[#This Row],[Unit Cost]]</f>
        <v>544</v>
      </c>
      <c r="X4381" s="77">
        <f>'Dropdown Lists'!$I$2*(1+OrdersTable[[#This Row],[Returned]])</f>
        <v>60</v>
      </c>
      <c r="Y4381" s="76">
        <f>OrdersTable[[#This Row],[Net Revenue]]-OrdersTable[[#This Row],[COGS]]-OrdersTable[[#This Row],[Shipping Cost]]</f>
        <v>194</v>
      </c>
      <c r="Z4381" s="78">
        <f>IFERROR(OrdersTable[[#This Row],[Profit]]/OrdersTable[[#This Row],[Net Revenue]],0)</f>
        <v>0.24310776942355888</v>
      </c>
      <c r="AA4381" t="s">
        <v>18</v>
      </c>
      <c r="AB4381" s="79">
        <v>45973</v>
      </c>
      <c r="AC4381">
        <f>OrdersTable[[#This Row],[Delivery Date]]-OrdersTable[[#This Row],[Order Date]]</f>
        <v>4</v>
      </c>
      <c r="AD4381" t="str">
        <f>IF(OrdersTable[[#This Row],[Delivery Days]]&lt;=2, "Express (≤2d)", IF(OrdersTable[[#This Row],[Delivery Days]]&lt;=4, "Standard (3-4d)", "Delayed (5d+)"))</f>
        <v>Standard (3-4d)</v>
      </c>
      <c r="AE4381">
        <v>4</v>
      </c>
      <c r="AF4381">
        <v>0</v>
      </c>
    </row>
    <row r="4382" spans="1:32" ht="15" x14ac:dyDescent="0.35">
      <c r="A4382" t="s">
        <v>6227</v>
      </c>
      <c r="B4382" s="1">
        <v>45969</v>
      </c>
      <c r="C4382">
        <f>YEAR(OrdersTable[[#This Row],[Order Date]])</f>
        <v>2025</v>
      </c>
      <c r="D4382" s="2">
        <f>DATE(YEAR(OrdersTable[[#This Row],[Order Date]]),MONTH(OrdersTable[[#This Row],[Order Date]]),1)</f>
        <v>45962</v>
      </c>
      <c r="E4382">
        <f>MONTH(OrdersTable[[#This Row],[Order Date]])</f>
        <v>11</v>
      </c>
      <c r="F4382" t="s">
        <v>6228</v>
      </c>
      <c r="G4382" t="str">
        <f>IF(OrdersTable[[#This Row],[Order Date]]=_xlfn.MINIFS(Order_Date, Customer_ID, OrdersTable[[#This Row],[Customer ID]]), "New", "Repeat")</f>
        <v>Repeat</v>
      </c>
      <c r="H4382" t="s">
        <v>59</v>
      </c>
      <c r="I4382" t="str">
        <f>INDEX(State!B:B,MATCH(OrdersTable[[#This Row],[State]],State!A:A,0))</f>
        <v>TN</v>
      </c>
      <c r="J4382" t="str">
        <f>INDEX(State!C:C,MATCH(OrdersTable[[#This Row],[State Code]],State!B:B,0))</f>
        <v>South</v>
      </c>
      <c r="K4382" t="s">
        <v>60</v>
      </c>
      <c r="L4382" t="s">
        <v>23</v>
      </c>
      <c r="M4382" t="s">
        <v>73</v>
      </c>
      <c r="N4382" t="str">
        <f>INDEX(Products!B:B,MATCH(OrdersTable[[#This Row],[Product ID]],Products!A:A,0))</f>
        <v>Hydrating Face Wash</v>
      </c>
      <c r="O4382" t="str">
        <f>INDEX(Products!C:C,MATCH(OrdersTable[[#This Row],[Product ID]],Products!A:A,0))</f>
        <v>Skincare</v>
      </c>
      <c r="P4382">
        <v>2</v>
      </c>
      <c r="Q4382" s="5">
        <v>299</v>
      </c>
      <c r="R4382" s="74">
        <v>0.15</v>
      </c>
      <c r="S4382" s="75">
        <f>OrdersTable[[#This Row],[Quantity]]*OrdersTable[[#This Row],[Unit Price]]</f>
        <v>598</v>
      </c>
      <c r="T4382" s="5">
        <f>OrdersTable[[#This Row],[Gross Sale]]*OrdersTable[[#This Row],[Discount_Clean2]]</f>
        <v>89.7</v>
      </c>
      <c r="U4382" s="5">
        <f>OrdersTable[[#This Row],[Gross Sale]]-OrdersTable[[#This Row],[Discount Amount]]</f>
        <v>508.3</v>
      </c>
      <c r="V4382" s="77">
        <f>INDEX(Products!E:E,MATCH(OrdersTable[[#This Row],[Product ID]],Products!A:A,0))</f>
        <v>90</v>
      </c>
      <c r="W4382" s="77">
        <f>OrdersTable[[#This Row],[Quantity]]*OrdersTable[[#This Row],[Unit Cost]]</f>
        <v>180</v>
      </c>
      <c r="X4382" s="77">
        <f>'Dropdown Lists'!$I$2*(1+OrdersTable[[#This Row],[Returned]])</f>
        <v>60</v>
      </c>
      <c r="Y4382" s="76">
        <f>OrdersTable[[#This Row],[Net Revenue]]-OrdersTable[[#This Row],[COGS]]-OrdersTable[[#This Row],[Shipping Cost]]</f>
        <v>268.3</v>
      </c>
      <c r="Z4382" s="78">
        <f>IFERROR(OrdersTable[[#This Row],[Profit]]/OrdersTable[[#This Row],[Net Revenue]],0)</f>
        <v>0.5278378910092465</v>
      </c>
      <c r="AA4382" t="s">
        <v>18</v>
      </c>
      <c r="AB4382" s="79">
        <v>45973</v>
      </c>
      <c r="AC4382">
        <f>OrdersTable[[#This Row],[Delivery Date]]-OrdersTable[[#This Row],[Order Date]]</f>
        <v>4</v>
      </c>
      <c r="AD4382" t="str">
        <f>IF(OrdersTable[[#This Row],[Delivery Days]]&lt;=2, "Express (≤2d)", IF(OrdersTable[[#This Row],[Delivery Days]]&lt;=4, "Standard (3-4d)", "Delayed (5d+)"))</f>
        <v>Standard (3-4d)</v>
      </c>
      <c r="AE4382">
        <v>4</v>
      </c>
      <c r="AF4382">
        <v>0</v>
      </c>
    </row>
    <row r="4383" spans="1:32" ht="15" x14ac:dyDescent="0.35">
      <c r="A4383" t="s">
        <v>2042</v>
      </c>
      <c r="B4383" s="1">
        <v>45969</v>
      </c>
      <c r="C4383">
        <f>YEAR(OrdersTable[[#This Row],[Order Date]])</f>
        <v>2025</v>
      </c>
      <c r="D4383" s="2">
        <f>DATE(YEAR(OrdersTable[[#This Row],[Order Date]]),MONTH(OrdersTable[[#This Row],[Order Date]]),1)</f>
        <v>45962</v>
      </c>
      <c r="E4383">
        <f>MONTH(OrdersTable[[#This Row],[Order Date]])</f>
        <v>11</v>
      </c>
      <c r="F4383" t="s">
        <v>2043</v>
      </c>
      <c r="G4383" t="str">
        <f>IF(OrdersTable[[#This Row],[Order Date]]=_xlfn.MINIFS(Order_Date, Customer_ID, OrdersTable[[#This Row],[Customer ID]]), "New", "Repeat")</f>
        <v>New</v>
      </c>
      <c r="H4383" t="s">
        <v>59</v>
      </c>
      <c r="I4383" t="str">
        <f>INDEX(State!B:B,MATCH(OrdersTable[[#This Row],[State]],State!A:A,0))</f>
        <v>TN</v>
      </c>
      <c r="J4383" t="str">
        <f>INDEX(State!C:C,MATCH(OrdersTable[[#This Row],[State Code]],State!B:B,0))</f>
        <v>South</v>
      </c>
      <c r="K4383" t="s">
        <v>60</v>
      </c>
      <c r="L4383" t="s">
        <v>50</v>
      </c>
      <c r="M4383" t="s">
        <v>51</v>
      </c>
      <c r="N4383" t="str">
        <f>INDEX(Products!B:B,MATCH(OrdersTable[[#This Row],[Product ID]],Products!A:A,0))</f>
        <v>Anti-Dandruff Conditioner</v>
      </c>
      <c r="O4383" t="str">
        <f>INDEX(Products!C:C,MATCH(OrdersTable[[#This Row],[Product ID]],Products!A:A,0))</f>
        <v>Haircare</v>
      </c>
      <c r="P4383">
        <v>1</v>
      </c>
      <c r="Q4383" s="5">
        <v>399</v>
      </c>
      <c r="R4383" s="74">
        <v>0.45</v>
      </c>
      <c r="S4383" s="75">
        <f>OrdersTable[[#This Row],[Quantity]]*OrdersTable[[#This Row],[Unit Price]]</f>
        <v>399</v>
      </c>
      <c r="T4383" s="5">
        <f>OrdersTable[[#This Row],[Gross Sale]]*OrdersTable[[#This Row],[Discount_Clean2]]</f>
        <v>179.55</v>
      </c>
      <c r="U4383" s="5">
        <f>OrdersTable[[#This Row],[Gross Sale]]-OrdersTable[[#This Row],[Discount Amount]]</f>
        <v>219.45</v>
      </c>
      <c r="V4383" s="77">
        <f>INDEX(Products!E:E,MATCH(OrdersTable[[#This Row],[Product ID]],Products!A:A,0))</f>
        <v>136</v>
      </c>
      <c r="W4383" s="77">
        <f>OrdersTable[[#This Row],[Quantity]]*OrdersTable[[#This Row],[Unit Cost]]</f>
        <v>136</v>
      </c>
      <c r="X4383" s="77">
        <f>'Dropdown Lists'!$I$2*(1+OrdersTable[[#This Row],[Returned]])</f>
        <v>120</v>
      </c>
      <c r="Y4383" s="76">
        <f>OrdersTable[[#This Row],[Net Revenue]]-OrdersTable[[#This Row],[COGS]]-OrdersTable[[#This Row],[Shipping Cost]]</f>
        <v>-36.550000000000011</v>
      </c>
      <c r="Z4383" s="78">
        <f>IFERROR(OrdersTable[[#This Row],[Profit]]/OrdersTable[[#This Row],[Net Revenue]],0)</f>
        <v>-0.16655274550011398</v>
      </c>
      <c r="AA4383" t="s">
        <v>18</v>
      </c>
      <c r="AB4383" s="79">
        <v>45971</v>
      </c>
      <c r="AC4383">
        <f>OrdersTable[[#This Row],[Delivery Date]]-OrdersTable[[#This Row],[Order Date]]</f>
        <v>2</v>
      </c>
      <c r="AD4383" t="str">
        <f>IF(OrdersTable[[#This Row],[Delivery Days]]&lt;=2, "Express (≤2d)", IF(OrdersTable[[#This Row],[Delivery Days]]&lt;=4, "Standard (3-4d)", "Delayed (5d+)"))</f>
        <v>Express (≤2d)</v>
      </c>
      <c r="AE4383">
        <v>3</v>
      </c>
      <c r="AF4383">
        <v>1</v>
      </c>
    </row>
    <row r="4384" spans="1:32" ht="15" x14ac:dyDescent="0.35">
      <c r="A4384" t="s">
        <v>6824</v>
      </c>
      <c r="B4384" s="1">
        <v>45970</v>
      </c>
      <c r="C4384">
        <f>YEAR(OrdersTable[[#This Row],[Order Date]])</f>
        <v>2025</v>
      </c>
      <c r="D4384" s="2">
        <f>DATE(YEAR(OrdersTable[[#This Row],[Order Date]]),MONTH(OrdersTable[[#This Row],[Order Date]]),1)</f>
        <v>45962</v>
      </c>
      <c r="E4384">
        <f>MONTH(OrdersTable[[#This Row],[Order Date]])</f>
        <v>11</v>
      </c>
      <c r="F4384" t="s">
        <v>6825</v>
      </c>
      <c r="G4384" t="str">
        <f>IF(OrdersTable[[#This Row],[Order Date]]=_xlfn.MINIFS(Order_Date, Customer_ID, OrdersTable[[#This Row],[Customer ID]]), "New", "Repeat")</f>
        <v>New</v>
      </c>
      <c r="H4384" t="s">
        <v>21</v>
      </c>
      <c r="I4384" t="str">
        <f>INDEX(State!B:B,MATCH(OrdersTable[[#This Row],[State]],State!A:A,0))</f>
        <v>PB</v>
      </c>
      <c r="J4384" t="str">
        <f>INDEX(State!C:C,MATCH(OrdersTable[[#This Row],[State Code]],State!B:B,0))</f>
        <v>North</v>
      </c>
      <c r="K4384" t="s">
        <v>260</v>
      </c>
      <c r="L4384" t="s">
        <v>23</v>
      </c>
      <c r="M4384" t="s">
        <v>61</v>
      </c>
      <c r="N4384" t="str">
        <f>INDEX(Products!B:B,MATCH(OrdersTable[[#This Row],[Product ID]],Products!A:A,0))</f>
        <v>Multivitamin Gummies</v>
      </c>
      <c r="O4384" t="str">
        <f>INDEX(Products!C:C,MATCH(OrdersTable[[#This Row],[Product ID]],Products!A:A,0))</f>
        <v>Wellness</v>
      </c>
      <c r="P4384">
        <v>3</v>
      </c>
      <c r="Q4384" s="5">
        <v>699</v>
      </c>
      <c r="R4384" s="74">
        <v>0.2</v>
      </c>
      <c r="S4384" s="75">
        <f>OrdersTable[[#This Row],[Quantity]]*OrdersTable[[#This Row],[Unit Price]]</f>
        <v>2097</v>
      </c>
      <c r="T4384" s="5">
        <f>OrdersTable[[#This Row],[Gross Sale]]*OrdersTable[[#This Row],[Discount_Clean2]]</f>
        <v>419.40000000000003</v>
      </c>
      <c r="U4384" s="5">
        <f>OrdersTable[[#This Row],[Gross Sale]]-OrdersTable[[#This Row],[Discount Amount]]</f>
        <v>1677.6</v>
      </c>
      <c r="V4384" s="77">
        <f>INDEX(Products!E:E,MATCH(OrdersTable[[#This Row],[Product ID]],Products!A:A,0))</f>
        <v>238</v>
      </c>
      <c r="W4384" s="77">
        <f>OrdersTable[[#This Row],[Quantity]]*OrdersTable[[#This Row],[Unit Cost]]</f>
        <v>714</v>
      </c>
      <c r="X4384" s="77">
        <f>'Dropdown Lists'!$I$2*(1+OrdersTable[[#This Row],[Returned]])</f>
        <v>60</v>
      </c>
      <c r="Y4384" s="76">
        <f>OrdersTable[[#This Row],[Net Revenue]]-OrdersTable[[#This Row],[COGS]]-OrdersTable[[#This Row],[Shipping Cost]]</f>
        <v>903.59999999999991</v>
      </c>
      <c r="Z4384" s="78">
        <f>IFERROR(OrdersTable[[#This Row],[Profit]]/OrdersTable[[#This Row],[Net Revenue]],0)</f>
        <v>0.53862660944206009</v>
      </c>
      <c r="AA4384" t="s">
        <v>3495</v>
      </c>
      <c r="AB4384" s="79">
        <v>45971</v>
      </c>
      <c r="AC4384">
        <f>OrdersTable[[#This Row],[Delivery Date]]-OrdersTable[[#This Row],[Order Date]]</f>
        <v>1</v>
      </c>
      <c r="AD4384" t="str">
        <f>IF(OrdersTable[[#This Row],[Delivery Days]]&lt;=2, "Express (≤2d)", IF(OrdersTable[[#This Row],[Delivery Days]]&lt;=4, "Standard (3-4d)", "Delayed (5d+)"))</f>
        <v>Express (≤2d)</v>
      </c>
      <c r="AF4384">
        <v>0</v>
      </c>
    </row>
    <row r="4385" spans="1:32" ht="15" x14ac:dyDescent="0.35">
      <c r="A4385" t="s">
        <v>391</v>
      </c>
      <c r="B4385" s="1">
        <v>45970</v>
      </c>
      <c r="C4385">
        <f>YEAR(OrdersTable[[#This Row],[Order Date]])</f>
        <v>2025</v>
      </c>
      <c r="D4385" s="2">
        <f>DATE(YEAR(OrdersTable[[#This Row],[Order Date]]),MONTH(OrdersTable[[#This Row],[Order Date]]),1)</f>
        <v>45962</v>
      </c>
      <c r="E4385">
        <f>MONTH(OrdersTable[[#This Row],[Order Date]])</f>
        <v>11</v>
      </c>
      <c r="F4385" t="s">
        <v>392</v>
      </c>
      <c r="G4385" t="str">
        <f>IF(OrdersTable[[#This Row],[Order Date]]=_xlfn.MINIFS(Order_Date, Customer_ID, OrdersTable[[#This Row],[Customer ID]]), "New", "Repeat")</f>
        <v>Repeat</v>
      </c>
      <c r="H4385" t="s">
        <v>128</v>
      </c>
      <c r="I4385" t="str">
        <f>INDEX(State!B:B,MATCH(OrdersTable[[#This Row],[State]],State!A:A,0))</f>
        <v>DL</v>
      </c>
      <c r="J4385" t="str">
        <f>INDEX(State!C:C,MATCH(OrdersTable[[#This Row],[State Code]],State!B:B,0))</f>
        <v>North</v>
      </c>
      <c r="K4385" t="s">
        <v>129</v>
      </c>
      <c r="L4385" t="s">
        <v>39</v>
      </c>
      <c r="M4385" t="s">
        <v>73</v>
      </c>
      <c r="N4385" t="str">
        <f>INDEX(Products!B:B,MATCH(OrdersTable[[#This Row],[Product ID]],Products!A:A,0))</f>
        <v>Hydrating Face Wash</v>
      </c>
      <c r="O4385" t="str">
        <f>INDEX(Products!C:C,MATCH(OrdersTable[[#This Row],[Product ID]],Products!A:A,0))</f>
        <v>Skincare</v>
      </c>
      <c r="P4385">
        <v>1</v>
      </c>
      <c r="Q4385" s="5">
        <v>299</v>
      </c>
      <c r="R4385" s="74">
        <v>0.2</v>
      </c>
      <c r="S4385" s="75">
        <f>OrdersTable[[#This Row],[Quantity]]*OrdersTable[[#This Row],[Unit Price]]</f>
        <v>299</v>
      </c>
      <c r="T4385" s="5">
        <f>OrdersTable[[#This Row],[Gross Sale]]*OrdersTable[[#This Row],[Discount_Clean2]]</f>
        <v>59.800000000000004</v>
      </c>
      <c r="U4385" s="5">
        <f>OrdersTable[[#This Row],[Gross Sale]]-OrdersTable[[#This Row],[Discount Amount]]</f>
        <v>239.2</v>
      </c>
      <c r="V4385" s="77">
        <f>INDEX(Products!E:E,MATCH(OrdersTable[[#This Row],[Product ID]],Products!A:A,0))</f>
        <v>90</v>
      </c>
      <c r="W4385" s="77">
        <f>OrdersTable[[#This Row],[Quantity]]*OrdersTable[[#This Row],[Unit Cost]]</f>
        <v>90</v>
      </c>
      <c r="X4385" s="77">
        <f>'Dropdown Lists'!$I$2*(1+OrdersTable[[#This Row],[Returned]])</f>
        <v>60</v>
      </c>
      <c r="Y4385" s="76">
        <f>OrdersTable[[#This Row],[Net Revenue]]-OrdersTable[[#This Row],[COGS]]-OrdersTable[[#This Row],[Shipping Cost]]</f>
        <v>89.199999999999989</v>
      </c>
      <c r="Z4385" s="78">
        <f>IFERROR(OrdersTable[[#This Row],[Profit]]/OrdersTable[[#This Row],[Net Revenue]],0)</f>
        <v>0.37290969899665549</v>
      </c>
      <c r="AA4385" t="s">
        <v>18</v>
      </c>
      <c r="AB4385" s="79">
        <v>45973</v>
      </c>
      <c r="AC4385">
        <f>OrdersTable[[#This Row],[Delivery Date]]-OrdersTable[[#This Row],[Order Date]]</f>
        <v>3</v>
      </c>
      <c r="AD4385" t="str">
        <f>IF(OrdersTable[[#This Row],[Delivery Days]]&lt;=2, "Express (≤2d)", IF(OrdersTable[[#This Row],[Delivery Days]]&lt;=4, "Standard (3-4d)", "Delayed (5d+)"))</f>
        <v>Standard (3-4d)</v>
      </c>
      <c r="AE4385">
        <v>4</v>
      </c>
      <c r="AF4385">
        <v>0</v>
      </c>
    </row>
    <row r="4386" spans="1:32" ht="15" x14ac:dyDescent="0.35">
      <c r="A4386" t="s">
        <v>7038</v>
      </c>
      <c r="B4386" s="1">
        <v>45970</v>
      </c>
      <c r="C4386">
        <f>YEAR(OrdersTable[[#This Row],[Order Date]])</f>
        <v>2025</v>
      </c>
      <c r="D4386" s="2">
        <f>DATE(YEAR(OrdersTable[[#This Row],[Order Date]]),MONTH(OrdersTable[[#This Row],[Order Date]]),1)</f>
        <v>45962</v>
      </c>
      <c r="E4386">
        <f>MONTH(OrdersTable[[#This Row],[Order Date]])</f>
        <v>11</v>
      </c>
      <c r="F4386" t="s">
        <v>1108</v>
      </c>
      <c r="G4386" t="str">
        <f>IF(OrdersTable[[#This Row],[Order Date]]=_xlfn.MINIFS(Order_Date, Customer_ID, OrdersTable[[#This Row],[Customer ID]]), "New", "Repeat")</f>
        <v>Repeat</v>
      </c>
      <c r="H4386" t="s">
        <v>76</v>
      </c>
      <c r="I4386" t="str">
        <f>INDEX(State!B:B,MATCH(OrdersTable[[#This Row],[State]],State!A:A,0))</f>
        <v>UP</v>
      </c>
      <c r="J4386" t="str">
        <f>INDEX(State!C:C,MATCH(OrdersTable[[#This Row],[State Code]],State!B:B,0))</f>
        <v>North</v>
      </c>
      <c r="K4386" t="s">
        <v>77</v>
      </c>
      <c r="L4386" t="s">
        <v>65</v>
      </c>
      <c r="M4386" t="s">
        <v>66</v>
      </c>
      <c r="N4386" t="str">
        <f>INDEX(Products!B:B,MATCH(OrdersTable[[#This Row],[Product ID]],Products!A:A,0))</f>
        <v>Sunscreen SPF 50</v>
      </c>
      <c r="O4386" t="str">
        <f>INDEX(Products!C:C,MATCH(OrdersTable[[#This Row],[Product ID]],Products!A:A,0))</f>
        <v>Skincare</v>
      </c>
      <c r="P4386">
        <v>4</v>
      </c>
      <c r="Q4386" s="5">
        <v>449</v>
      </c>
      <c r="R4386" s="74">
        <v>0.2</v>
      </c>
      <c r="S4386" s="75">
        <f>OrdersTable[[#This Row],[Quantity]]*OrdersTable[[#This Row],[Unit Price]]</f>
        <v>1796</v>
      </c>
      <c r="T4386" s="5">
        <f>OrdersTable[[#This Row],[Gross Sale]]*OrdersTable[[#This Row],[Discount_Clean2]]</f>
        <v>359.20000000000005</v>
      </c>
      <c r="U4386" s="5">
        <f>OrdersTable[[#This Row],[Gross Sale]]-OrdersTable[[#This Row],[Discount Amount]]</f>
        <v>1436.8</v>
      </c>
      <c r="V4386" s="77">
        <f>INDEX(Products!E:E,MATCH(OrdersTable[[#This Row],[Product ID]],Products!A:A,0))</f>
        <v>144</v>
      </c>
      <c r="W4386" s="77">
        <f>OrdersTable[[#This Row],[Quantity]]*OrdersTable[[#This Row],[Unit Cost]]</f>
        <v>576</v>
      </c>
      <c r="X4386" s="77">
        <f>'Dropdown Lists'!$I$2*(1+OrdersTable[[#This Row],[Returned]])</f>
        <v>60</v>
      </c>
      <c r="Y4386" s="76">
        <f>OrdersTable[[#This Row],[Net Revenue]]-OrdersTable[[#This Row],[COGS]]-OrdersTable[[#This Row],[Shipping Cost]]</f>
        <v>800.8</v>
      </c>
      <c r="Z4386" s="78">
        <f>IFERROR(OrdersTable[[#This Row],[Profit]]/OrdersTable[[#This Row],[Net Revenue]],0)</f>
        <v>0.55734966592427615</v>
      </c>
      <c r="AA4386" t="s">
        <v>2522</v>
      </c>
      <c r="AB4386" s="79">
        <v>45974</v>
      </c>
      <c r="AC4386">
        <f>OrdersTable[[#This Row],[Delivery Date]]-OrdersTable[[#This Row],[Order Date]]</f>
        <v>4</v>
      </c>
      <c r="AD4386" t="str">
        <f>IF(OrdersTable[[#This Row],[Delivery Days]]&lt;=2, "Express (≤2d)", IF(OrdersTable[[#This Row],[Delivery Days]]&lt;=4, "Standard (3-4d)", "Delayed (5d+)"))</f>
        <v>Standard (3-4d)</v>
      </c>
      <c r="AE4386">
        <v>4</v>
      </c>
      <c r="AF4386">
        <v>0</v>
      </c>
    </row>
    <row r="4387" spans="1:32" ht="15" x14ac:dyDescent="0.35">
      <c r="A4387" t="s">
        <v>6430</v>
      </c>
      <c r="B4387" s="1">
        <v>45970</v>
      </c>
      <c r="C4387">
        <f>YEAR(OrdersTable[[#This Row],[Order Date]])</f>
        <v>2025</v>
      </c>
      <c r="D4387" s="2">
        <f>DATE(YEAR(OrdersTable[[#This Row],[Order Date]]),MONTH(OrdersTable[[#This Row],[Order Date]]),1)</f>
        <v>45962</v>
      </c>
      <c r="E4387">
        <f>MONTH(OrdersTable[[#This Row],[Order Date]])</f>
        <v>11</v>
      </c>
      <c r="F4387" t="s">
        <v>3463</v>
      </c>
      <c r="G4387" t="str">
        <f>IF(OrdersTable[[#This Row],[Order Date]]=_xlfn.MINIFS(Order_Date, Customer_ID, OrdersTable[[#This Row],[Customer ID]]), "New", "Repeat")</f>
        <v>Repeat</v>
      </c>
      <c r="H4387" t="s">
        <v>27</v>
      </c>
      <c r="I4387" t="str">
        <f>INDEX(State!B:B,MATCH(OrdersTable[[#This Row],[State]],State!A:A,0))</f>
        <v>WB</v>
      </c>
      <c r="J4387" t="str">
        <f>INDEX(State!C:C,MATCH(OrdersTable[[#This Row],[State Code]],State!B:B,0))</f>
        <v>East</v>
      </c>
      <c r="K4387" t="s">
        <v>28</v>
      </c>
      <c r="L4387" t="s">
        <v>16</v>
      </c>
      <c r="M4387" t="s">
        <v>34</v>
      </c>
      <c r="N4387" t="str">
        <f>INDEX(Products!B:B,MATCH(OrdersTable[[#This Row],[Product ID]],Products!A:A,0))</f>
        <v>Flip Flops</v>
      </c>
      <c r="O4387" t="str">
        <f>INDEX(Products!C:C,MATCH(OrdersTable[[#This Row],[Product ID]],Products!A:A,0))</f>
        <v>Footwear</v>
      </c>
      <c r="P4387">
        <v>2</v>
      </c>
      <c r="Q4387" s="5">
        <v>399</v>
      </c>
      <c r="R4387" s="74">
        <v>0.15</v>
      </c>
      <c r="S4387" s="75">
        <f>OrdersTable[[#This Row],[Quantity]]*OrdersTable[[#This Row],[Unit Price]]</f>
        <v>798</v>
      </c>
      <c r="T4387" s="5">
        <f>OrdersTable[[#This Row],[Gross Sale]]*OrdersTable[[#This Row],[Discount_Clean2]]</f>
        <v>119.69999999999999</v>
      </c>
      <c r="U4387" s="5">
        <f>OrdersTable[[#This Row],[Gross Sale]]-OrdersTable[[#This Row],[Discount Amount]]</f>
        <v>678.3</v>
      </c>
      <c r="V4387" s="77">
        <f>INDEX(Products!E:E,MATCH(OrdersTable[[#This Row],[Product ID]],Products!A:A,0))</f>
        <v>152</v>
      </c>
      <c r="W4387" s="77">
        <f>OrdersTable[[#This Row],[Quantity]]*OrdersTable[[#This Row],[Unit Cost]]</f>
        <v>304</v>
      </c>
      <c r="X4387" s="77">
        <f>'Dropdown Lists'!$I$2*(1+OrdersTable[[#This Row],[Returned]])</f>
        <v>60</v>
      </c>
      <c r="Y4387" s="76">
        <f>OrdersTable[[#This Row],[Net Revenue]]-OrdersTable[[#This Row],[COGS]]-OrdersTable[[#This Row],[Shipping Cost]]</f>
        <v>314.29999999999995</v>
      </c>
      <c r="Z4387" s="78">
        <f>IFERROR(OrdersTable[[#This Row],[Profit]]/OrdersTable[[#This Row],[Net Revenue]],0)</f>
        <v>0.4633642930856553</v>
      </c>
      <c r="AA4387" t="s">
        <v>18</v>
      </c>
      <c r="AB4387" s="79">
        <v>45974</v>
      </c>
      <c r="AC4387">
        <f>OrdersTable[[#This Row],[Delivery Date]]-OrdersTable[[#This Row],[Order Date]]</f>
        <v>4</v>
      </c>
      <c r="AD4387" t="str">
        <f>IF(OrdersTable[[#This Row],[Delivery Days]]&lt;=2, "Express (≤2d)", IF(OrdersTable[[#This Row],[Delivery Days]]&lt;=4, "Standard (3-4d)", "Delayed (5d+)"))</f>
        <v>Standard (3-4d)</v>
      </c>
      <c r="AE4387">
        <v>5</v>
      </c>
      <c r="AF4387">
        <v>0</v>
      </c>
    </row>
    <row r="4388" spans="1:32" ht="15" x14ac:dyDescent="0.35">
      <c r="A4388" t="s">
        <v>1309</v>
      </c>
      <c r="B4388" s="1">
        <v>45970</v>
      </c>
      <c r="C4388">
        <f>YEAR(OrdersTable[[#This Row],[Order Date]])</f>
        <v>2025</v>
      </c>
      <c r="D4388" s="2">
        <f>DATE(YEAR(OrdersTable[[#This Row],[Order Date]]),MONTH(OrdersTable[[#This Row],[Order Date]]),1)</f>
        <v>45962</v>
      </c>
      <c r="E4388">
        <f>MONTH(OrdersTable[[#This Row],[Order Date]])</f>
        <v>11</v>
      </c>
      <c r="F4388" t="s">
        <v>1310</v>
      </c>
      <c r="G4388" t="str">
        <f>IF(OrdersTable[[#This Row],[Order Date]]=_xlfn.MINIFS(Order_Date, Customer_ID, OrdersTable[[#This Row],[Customer ID]]), "New", "Repeat")</f>
        <v>New</v>
      </c>
      <c r="H4388" t="s">
        <v>27</v>
      </c>
      <c r="I4388" t="str">
        <f>INDEX(State!B:B,MATCH(OrdersTable[[#This Row],[State]],State!A:A,0))</f>
        <v>WB</v>
      </c>
      <c r="J4388" t="str">
        <f>INDEX(State!C:C,MATCH(OrdersTable[[#This Row],[State Code]],State!B:B,0))</f>
        <v>East</v>
      </c>
      <c r="K4388" t="s">
        <v>28</v>
      </c>
      <c r="L4388" t="s">
        <v>16</v>
      </c>
      <c r="M4388" t="s">
        <v>255</v>
      </c>
      <c r="N4388" t="str">
        <f>INDEX(Products!B:B,MATCH(OrdersTable[[#This Row],[Product ID]],Products!A:A,0))</f>
        <v>Cotton Oversized T-Shirt</v>
      </c>
      <c r="O4388" t="str">
        <f>INDEX(Products!C:C,MATCH(OrdersTable[[#This Row],[Product ID]],Products!A:A,0))</f>
        <v>Apparel</v>
      </c>
      <c r="P4388">
        <v>1</v>
      </c>
      <c r="Q4388" s="5">
        <v>799</v>
      </c>
      <c r="R4388" s="74">
        <v>0.2</v>
      </c>
      <c r="S4388" s="75">
        <f>OrdersTable[[#This Row],[Quantity]]*OrdersTable[[#This Row],[Unit Price]]</f>
        <v>799</v>
      </c>
      <c r="T4388" s="5">
        <f>OrdersTable[[#This Row],[Gross Sale]]*OrdersTable[[#This Row],[Discount_Clean2]]</f>
        <v>159.80000000000001</v>
      </c>
      <c r="U4388" s="5">
        <f>OrdersTable[[#This Row],[Gross Sale]]-OrdersTable[[#This Row],[Discount Amount]]</f>
        <v>639.20000000000005</v>
      </c>
      <c r="V4388" s="77">
        <f>INDEX(Products!E:E,MATCH(OrdersTable[[#This Row],[Product ID]],Products!A:A,0))</f>
        <v>320</v>
      </c>
      <c r="W4388" s="77">
        <f>OrdersTable[[#This Row],[Quantity]]*OrdersTable[[#This Row],[Unit Cost]]</f>
        <v>320</v>
      </c>
      <c r="X4388" s="77">
        <f>'Dropdown Lists'!$I$2*(1+OrdersTable[[#This Row],[Returned]])</f>
        <v>60</v>
      </c>
      <c r="Y4388" s="76">
        <f>OrdersTable[[#This Row],[Net Revenue]]-OrdersTable[[#This Row],[COGS]]-OrdersTable[[#This Row],[Shipping Cost]]</f>
        <v>259.20000000000005</v>
      </c>
      <c r="Z4388" s="78">
        <f>IFERROR(OrdersTable[[#This Row],[Profit]]/OrdersTable[[#This Row],[Net Revenue]],0)</f>
        <v>0.40550688360450565</v>
      </c>
      <c r="AA4388" t="s">
        <v>18</v>
      </c>
      <c r="AB4388" s="79">
        <v>45973</v>
      </c>
      <c r="AC4388">
        <f>OrdersTable[[#This Row],[Delivery Date]]-OrdersTable[[#This Row],[Order Date]]</f>
        <v>3</v>
      </c>
      <c r="AD4388" t="str">
        <f>IF(OrdersTable[[#This Row],[Delivery Days]]&lt;=2, "Express (≤2d)", IF(OrdersTable[[#This Row],[Delivery Days]]&lt;=4, "Standard (3-4d)", "Delayed (5d+)"))</f>
        <v>Standard (3-4d)</v>
      </c>
      <c r="AF4388">
        <v>0</v>
      </c>
    </row>
    <row r="4389" spans="1:32" ht="15" x14ac:dyDescent="0.35">
      <c r="A4389" t="s">
        <v>1201</v>
      </c>
      <c r="B4389" s="1">
        <v>45970</v>
      </c>
      <c r="C4389">
        <f>YEAR(OrdersTable[[#This Row],[Order Date]])</f>
        <v>2025</v>
      </c>
      <c r="D4389" s="2">
        <f>DATE(YEAR(OrdersTable[[#This Row],[Order Date]]),MONTH(OrdersTable[[#This Row],[Order Date]]),1)</f>
        <v>45962</v>
      </c>
      <c r="E4389">
        <f>MONTH(OrdersTable[[#This Row],[Order Date]])</f>
        <v>11</v>
      </c>
      <c r="F4389" t="s">
        <v>1202</v>
      </c>
      <c r="G4389" t="str">
        <f>IF(OrdersTable[[#This Row],[Order Date]]=_xlfn.MINIFS(Order_Date, Customer_ID, OrdersTable[[#This Row],[Customer ID]]), "New", "Repeat")</f>
        <v>New</v>
      </c>
      <c r="H4389" t="s">
        <v>71</v>
      </c>
      <c r="I4389" t="str">
        <f>INDEX(State!B:B,MATCH(OrdersTable[[#This Row],[State]],State!A:A,0))</f>
        <v>MH</v>
      </c>
      <c r="J4389" t="str">
        <f>INDEX(State!C:C,MATCH(OrdersTable[[#This Row],[State Code]],State!B:B,0))</f>
        <v>West</v>
      </c>
      <c r="K4389" t="s">
        <v>102</v>
      </c>
      <c r="L4389" t="s">
        <v>50</v>
      </c>
      <c r="M4389" t="s">
        <v>56</v>
      </c>
      <c r="N4389" t="str">
        <f>INDEX(Products!B:B,MATCH(OrdersTable[[#This Row],[Product ID]],Products!A:A,0))</f>
        <v>Vitamin C Face Serum</v>
      </c>
      <c r="O4389" t="str">
        <f>INDEX(Products!C:C,MATCH(OrdersTable[[#This Row],[Product ID]],Products!A:A,0))</f>
        <v>Skincare</v>
      </c>
      <c r="P4389">
        <v>1</v>
      </c>
      <c r="Q4389" s="5">
        <v>599</v>
      </c>
      <c r="R4389" s="74">
        <v>0.25</v>
      </c>
      <c r="S4389" s="75">
        <f>OrdersTable[[#This Row],[Quantity]]*OrdersTable[[#This Row],[Unit Price]]</f>
        <v>599</v>
      </c>
      <c r="T4389" s="5">
        <f>OrdersTable[[#This Row],[Gross Sale]]*OrdersTable[[#This Row],[Discount_Clean2]]</f>
        <v>149.75</v>
      </c>
      <c r="U4389" s="5">
        <f>OrdersTable[[#This Row],[Gross Sale]]-OrdersTable[[#This Row],[Discount Amount]]</f>
        <v>449.25</v>
      </c>
      <c r="V4389" s="77">
        <f>INDEX(Products!E:E,MATCH(OrdersTable[[#This Row],[Product ID]],Products!A:A,0))</f>
        <v>180</v>
      </c>
      <c r="W4389" s="77">
        <f>OrdersTable[[#This Row],[Quantity]]*OrdersTable[[#This Row],[Unit Cost]]</f>
        <v>180</v>
      </c>
      <c r="X4389" s="77">
        <f>'Dropdown Lists'!$I$2*(1+OrdersTable[[#This Row],[Returned]])</f>
        <v>60</v>
      </c>
      <c r="Y4389" s="76">
        <f>OrdersTable[[#This Row],[Net Revenue]]-OrdersTable[[#This Row],[COGS]]-OrdersTable[[#This Row],[Shipping Cost]]</f>
        <v>209.25</v>
      </c>
      <c r="Z4389" s="78">
        <f>IFERROR(OrdersTable[[#This Row],[Profit]]/OrdersTable[[#This Row],[Net Revenue]],0)</f>
        <v>0.46577629382303842</v>
      </c>
      <c r="AA4389" t="s">
        <v>18</v>
      </c>
      <c r="AB4389" s="79">
        <v>45974</v>
      </c>
      <c r="AC4389">
        <f>OrdersTable[[#This Row],[Delivery Date]]-OrdersTable[[#This Row],[Order Date]]</f>
        <v>4</v>
      </c>
      <c r="AD4389" t="str">
        <f>IF(OrdersTable[[#This Row],[Delivery Days]]&lt;=2, "Express (≤2d)", IF(OrdersTable[[#This Row],[Delivery Days]]&lt;=4, "Standard (3-4d)", "Delayed (5d+)"))</f>
        <v>Standard (3-4d)</v>
      </c>
      <c r="AF4389">
        <v>0</v>
      </c>
    </row>
    <row r="4390" spans="1:32" ht="15" x14ac:dyDescent="0.35">
      <c r="A4390" t="s">
        <v>704</v>
      </c>
      <c r="B4390" s="1">
        <v>45970</v>
      </c>
      <c r="C4390">
        <f>YEAR(OrdersTable[[#This Row],[Order Date]])</f>
        <v>2025</v>
      </c>
      <c r="D4390" s="2">
        <f>DATE(YEAR(OrdersTable[[#This Row],[Order Date]]),MONTH(OrdersTable[[#This Row],[Order Date]]),1)</f>
        <v>45962</v>
      </c>
      <c r="E4390">
        <f>MONTH(OrdersTable[[#This Row],[Order Date]])</f>
        <v>11</v>
      </c>
      <c r="F4390" t="s">
        <v>376</v>
      </c>
      <c r="G4390" t="str">
        <f>IF(OrdersTable[[#This Row],[Order Date]]=_xlfn.MINIFS(Order_Date, Customer_ID, OrdersTable[[#This Row],[Customer ID]]), "New", "Repeat")</f>
        <v>Repeat</v>
      </c>
      <c r="H4390" t="s">
        <v>95</v>
      </c>
      <c r="I4390" t="str">
        <f>INDEX(State!B:B,MATCH(OrdersTable[[#This Row],[State]],State!A:A,0))</f>
        <v>TG</v>
      </c>
      <c r="J4390" t="str">
        <f>INDEX(State!C:C,MATCH(OrdersTable[[#This Row],[State Code]],State!B:B,0))</f>
        <v>South</v>
      </c>
      <c r="K4390" t="s">
        <v>96</v>
      </c>
      <c r="L4390" t="s">
        <v>50</v>
      </c>
      <c r="M4390" t="s">
        <v>152</v>
      </c>
      <c r="N4390" t="str">
        <f>INDEX(Products!B:B,MATCH(OrdersTable[[#This Row],[Product ID]],Products!A:A,0))</f>
        <v>Green Tea (100 bags)</v>
      </c>
      <c r="O4390" t="str">
        <f>INDEX(Products!C:C,MATCH(OrdersTable[[#This Row],[Product ID]],Products!A:A,0))</f>
        <v>Wellness</v>
      </c>
      <c r="P4390">
        <v>1</v>
      </c>
      <c r="Q4390" s="5">
        <v>399</v>
      </c>
      <c r="R4390" s="74">
        <v>0.4</v>
      </c>
      <c r="S4390" s="75">
        <f>OrdersTable[[#This Row],[Quantity]]*OrdersTable[[#This Row],[Unit Price]]</f>
        <v>399</v>
      </c>
      <c r="T4390" s="5">
        <f>OrdersTable[[#This Row],[Gross Sale]]*OrdersTable[[#This Row],[Discount_Clean2]]</f>
        <v>159.60000000000002</v>
      </c>
      <c r="U4390" s="5">
        <f>OrdersTable[[#This Row],[Gross Sale]]-OrdersTable[[#This Row],[Discount Amount]]</f>
        <v>239.39999999999998</v>
      </c>
      <c r="V4390" s="77">
        <f>INDEX(Products!E:E,MATCH(OrdersTable[[#This Row],[Product ID]],Products!A:A,0))</f>
        <v>128</v>
      </c>
      <c r="W4390" s="77">
        <f>OrdersTable[[#This Row],[Quantity]]*OrdersTable[[#This Row],[Unit Cost]]</f>
        <v>128</v>
      </c>
      <c r="X4390" s="77">
        <f>'Dropdown Lists'!$I$2*(1+OrdersTable[[#This Row],[Returned]])</f>
        <v>60</v>
      </c>
      <c r="Y4390" s="76">
        <f>OrdersTable[[#This Row],[Net Revenue]]-OrdersTable[[#This Row],[COGS]]-OrdersTable[[#This Row],[Shipping Cost]]</f>
        <v>51.399999999999977</v>
      </c>
      <c r="Z4390" s="78">
        <f>IFERROR(OrdersTable[[#This Row],[Profit]]/OrdersTable[[#This Row],[Net Revenue]],0)</f>
        <v>0.21470342522974095</v>
      </c>
      <c r="AA4390" t="s">
        <v>18</v>
      </c>
      <c r="AB4390" s="79">
        <v>45973</v>
      </c>
      <c r="AC4390">
        <f>OrdersTable[[#This Row],[Delivery Date]]-OrdersTable[[#This Row],[Order Date]]</f>
        <v>3</v>
      </c>
      <c r="AD4390" t="str">
        <f>IF(OrdersTable[[#This Row],[Delivery Days]]&lt;=2, "Express (≤2d)", IF(OrdersTable[[#This Row],[Delivery Days]]&lt;=4, "Standard (3-4d)", "Delayed (5d+)"))</f>
        <v>Standard (3-4d)</v>
      </c>
      <c r="AE4390">
        <v>4</v>
      </c>
      <c r="AF4390">
        <v>0</v>
      </c>
    </row>
    <row r="4391" spans="1:32" ht="15" x14ac:dyDescent="0.35">
      <c r="A4391" t="s">
        <v>2044</v>
      </c>
      <c r="B4391" s="1">
        <v>45970</v>
      </c>
      <c r="C4391">
        <f>YEAR(OrdersTable[[#This Row],[Order Date]])</f>
        <v>2025</v>
      </c>
      <c r="D4391" s="2">
        <f>DATE(YEAR(OrdersTable[[#This Row],[Order Date]]),MONTH(OrdersTable[[#This Row],[Order Date]]),1)</f>
        <v>45962</v>
      </c>
      <c r="E4391">
        <f>MONTH(OrdersTable[[#This Row],[Order Date]])</f>
        <v>11</v>
      </c>
      <c r="F4391" t="s">
        <v>1269</v>
      </c>
      <c r="G4391" t="str">
        <f>IF(OrdersTable[[#This Row],[Order Date]]=_xlfn.MINIFS(Order_Date, Customer_ID, OrdersTable[[#This Row],[Customer ID]]), "New", "Repeat")</f>
        <v>Repeat</v>
      </c>
      <c r="H4391" t="s">
        <v>167</v>
      </c>
      <c r="I4391" t="str">
        <f>INDEX(State!B:B,MATCH(OrdersTable[[#This Row],[State]],State!A:A,0))</f>
        <v>KA</v>
      </c>
      <c r="J4391" t="str">
        <f>INDEX(State!C:C,MATCH(OrdersTable[[#This Row],[State Code]],State!B:B,0))</f>
        <v>South</v>
      </c>
      <c r="K4391" t="s">
        <v>190</v>
      </c>
      <c r="L4391" t="s">
        <v>50</v>
      </c>
      <c r="M4391" t="s">
        <v>179</v>
      </c>
      <c r="N4391" t="str">
        <f>INDEX(Products!B:B,MATCH(OrdersTable[[#This Row],[Product ID]],Products!A:A,0))</f>
        <v>Whey Protein 1kg</v>
      </c>
      <c r="O4391" t="str">
        <f>INDEX(Products!C:C,MATCH(OrdersTable[[#This Row],[Product ID]],Products!A:A,0))</f>
        <v>Wellness</v>
      </c>
      <c r="P4391">
        <v>1</v>
      </c>
      <c r="Q4391" s="5">
        <v>2299</v>
      </c>
      <c r="R4391" s="74">
        <v>0.4</v>
      </c>
      <c r="S4391" s="75">
        <f>OrdersTable[[#This Row],[Quantity]]*OrdersTable[[#This Row],[Unit Price]]</f>
        <v>2299</v>
      </c>
      <c r="T4391" s="5">
        <f>OrdersTable[[#This Row],[Gross Sale]]*OrdersTable[[#This Row],[Discount_Clean2]]</f>
        <v>919.6</v>
      </c>
      <c r="U4391" s="5">
        <f>OrdersTable[[#This Row],[Gross Sale]]-OrdersTable[[#This Row],[Discount Amount]]</f>
        <v>1379.4</v>
      </c>
      <c r="V4391" s="77">
        <f>INDEX(Products!E:E,MATCH(OrdersTable[[#This Row],[Product ID]],Products!A:A,0))</f>
        <v>1333</v>
      </c>
      <c r="W4391" s="77">
        <f>OrdersTable[[#This Row],[Quantity]]*OrdersTable[[#This Row],[Unit Cost]]</f>
        <v>1333</v>
      </c>
      <c r="X4391" s="77">
        <f>'Dropdown Lists'!$I$2*(1+OrdersTable[[#This Row],[Returned]])</f>
        <v>60</v>
      </c>
      <c r="Y4391" s="76">
        <f>OrdersTable[[#This Row],[Net Revenue]]-OrdersTable[[#This Row],[COGS]]-OrdersTable[[#This Row],[Shipping Cost]]</f>
        <v>-13.599999999999909</v>
      </c>
      <c r="Z4391" s="78">
        <f>IFERROR(OrdersTable[[#This Row],[Profit]]/OrdersTable[[#This Row],[Net Revenue]],0)</f>
        <v>-9.8593591416557252E-3</v>
      </c>
      <c r="AA4391" t="s">
        <v>18</v>
      </c>
      <c r="AB4391" s="79">
        <v>45973</v>
      </c>
      <c r="AC4391">
        <f>OrdersTable[[#This Row],[Delivery Date]]-OrdersTable[[#This Row],[Order Date]]</f>
        <v>3</v>
      </c>
      <c r="AD4391" t="str">
        <f>IF(OrdersTable[[#This Row],[Delivery Days]]&lt;=2, "Express (≤2d)", IF(OrdersTable[[#This Row],[Delivery Days]]&lt;=4, "Standard (3-4d)", "Delayed (5d+)"))</f>
        <v>Standard (3-4d)</v>
      </c>
      <c r="AE4391">
        <v>3</v>
      </c>
      <c r="AF4391">
        <v>0</v>
      </c>
    </row>
    <row r="4392" spans="1:32" ht="15" x14ac:dyDescent="0.35">
      <c r="A4392" t="s">
        <v>4634</v>
      </c>
      <c r="B4392" s="1">
        <v>45970</v>
      </c>
      <c r="C4392">
        <f>YEAR(OrdersTable[[#This Row],[Order Date]])</f>
        <v>2025</v>
      </c>
      <c r="D4392" s="2">
        <f>DATE(YEAR(OrdersTable[[#This Row],[Order Date]]),MONTH(OrdersTable[[#This Row],[Order Date]]),1)</f>
        <v>45962</v>
      </c>
      <c r="E4392">
        <f>MONTH(OrdersTable[[#This Row],[Order Date]])</f>
        <v>11</v>
      </c>
      <c r="F4392" t="s">
        <v>2205</v>
      </c>
      <c r="G4392" t="str">
        <f>IF(OrdersTable[[#This Row],[Order Date]]=_xlfn.MINIFS(Order_Date, Customer_ID, OrdersTable[[#This Row],[Customer ID]]), "New", "Repeat")</f>
        <v>Repeat</v>
      </c>
      <c r="H4392" t="s">
        <v>167</v>
      </c>
      <c r="I4392" t="str">
        <f>INDEX(State!B:B,MATCH(OrdersTable[[#This Row],[State]],State!A:A,0))</f>
        <v>KA</v>
      </c>
      <c r="J4392" t="str">
        <f>INDEX(State!C:C,MATCH(OrdersTable[[#This Row],[State Code]],State!B:B,0))</f>
        <v>South</v>
      </c>
      <c r="K4392" t="s">
        <v>168</v>
      </c>
      <c r="L4392" t="s">
        <v>16</v>
      </c>
      <c r="M4392" t="s">
        <v>255</v>
      </c>
      <c r="N4392" t="str">
        <f>INDEX(Products!B:B,MATCH(OrdersTable[[#This Row],[Product ID]],Products!A:A,0))</f>
        <v>Cotton Oversized T-Shirt</v>
      </c>
      <c r="O4392" t="str">
        <f>INDEX(Products!C:C,MATCH(OrdersTable[[#This Row],[Product ID]],Products!A:A,0))</f>
        <v>Apparel</v>
      </c>
      <c r="P4392">
        <v>1</v>
      </c>
      <c r="Q4392" s="5">
        <v>799</v>
      </c>
      <c r="R4392" s="74">
        <v>0.2</v>
      </c>
      <c r="S4392" s="75">
        <f>OrdersTable[[#This Row],[Quantity]]*OrdersTable[[#This Row],[Unit Price]]</f>
        <v>799</v>
      </c>
      <c r="T4392" s="5">
        <f>OrdersTable[[#This Row],[Gross Sale]]*OrdersTable[[#This Row],[Discount_Clean2]]</f>
        <v>159.80000000000001</v>
      </c>
      <c r="U4392" s="5">
        <f>OrdersTable[[#This Row],[Gross Sale]]-OrdersTable[[#This Row],[Discount Amount]]</f>
        <v>639.20000000000005</v>
      </c>
      <c r="V4392" s="77">
        <f>INDEX(Products!E:E,MATCH(OrdersTable[[#This Row],[Product ID]],Products!A:A,0))</f>
        <v>320</v>
      </c>
      <c r="W4392" s="77">
        <f>OrdersTable[[#This Row],[Quantity]]*OrdersTable[[#This Row],[Unit Cost]]</f>
        <v>320</v>
      </c>
      <c r="X4392" s="77">
        <f>'Dropdown Lists'!$I$2*(1+OrdersTable[[#This Row],[Returned]])</f>
        <v>60</v>
      </c>
      <c r="Y4392" s="76">
        <f>OrdersTable[[#This Row],[Net Revenue]]-OrdersTable[[#This Row],[COGS]]-OrdersTable[[#This Row],[Shipping Cost]]</f>
        <v>259.20000000000005</v>
      </c>
      <c r="Z4392" s="78">
        <f>IFERROR(OrdersTable[[#This Row],[Profit]]/OrdersTable[[#This Row],[Net Revenue]],0)</f>
        <v>0.40550688360450565</v>
      </c>
      <c r="AA4392" t="s">
        <v>4450</v>
      </c>
      <c r="AB4392" s="79">
        <v>45971</v>
      </c>
      <c r="AC4392">
        <f>OrdersTable[[#This Row],[Delivery Date]]-OrdersTable[[#This Row],[Order Date]]</f>
        <v>1</v>
      </c>
      <c r="AD4392" t="str">
        <f>IF(OrdersTable[[#This Row],[Delivery Days]]&lt;=2, "Express (≤2d)", IF(OrdersTable[[#This Row],[Delivery Days]]&lt;=4, "Standard (3-4d)", "Delayed (5d+)"))</f>
        <v>Express (≤2d)</v>
      </c>
      <c r="AF4392">
        <v>0</v>
      </c>
    </row>
    <row r="4393" spans="1:32" ht="15" x14ac:dyDescent="0.35">
      <c r="A4393" t="s">
        <v>1032</v>
      </c>
      <c r="B4393" s="1">
        <v>45970</v>
      </c>
      <c r="C4393">
        <f>YEAR(OrdersTable[[#This Row],[Order Date]])</f>
        <v>2025</v>
      </c>
      <c r="D4393" s="2">
        <f>DATE(YEAR(OrdersTable[[#This Row],[Order Date]]),MONTH(OrdersTable[[#This Row],[Order Date]]),1)</f>
        <v>45962</v>
      </c>
      <c r="E4393">
        <f>MONTH(OrdersTable[[#This Row],[Order Date]])</f>
        <v>11</v>
      </c>
      <c r="F4393" t="s">
        <v>1033</v>
      </c>
      <c r="G4393" t="str">
        <f>IF(OrdersTable[[#This Row],[Order Date]]=_xlfn.MINIFS(Order_Date, Customer_ID, OrdersTable[[#This Row],[Customer ID]]), "New", "Repeat")</f>
        <v>Repeat</v>
      </c>
      <c r="H4393" t="s">
        <v>275</v>
      </c>
      <c r="I4393" t="str">
        <f>INDEX(State!B:B,MATCH(OrdersTable[[#This Row],[State]],State!A:A,0))</f>
        <v>AP</v>
      </c>
      <c r="J4393" t="str">
        <f>INDEX(State!C:C,MATCH(OrdersTable[[#This Row],[State Code]],State!B:B,0))</f>
        <v>South</v>
      </c>
      <c r="K4393" t="s">
        <v>491</v>
      </c>
      <c r="L4393" t="s">
        <v>50</v>
      </c>
      <c r="M4393" t="s">
        <v>106</v>
      </c>
      <c r="N4393" t="str">
        <f>INDEX(Products!B:B,MATCH(OrdersTable[[#This Row],[Product ID]],Products!A:A,0))</f>
        <v>Keratin Hair Mask</v>
      </c>
      <c r="O4393" t="str">
        <f>INDEX(Products!C:C,MATCH(OrdersTable[[#This Row],[Product ID]],Products!A:A,0))</f>
        <v>Haircare</v>
      </c>
      <c r="P4393">
        <v>1</v>
      </c>
      <c r="Q4393" s="5">
        <v>549</v>
      </c>
      <c r="R4393" s="74">
        <v>0.2</v>
      </c>
      <c r="S4393" s="75">
        <f>OrdersTable[[#This Row],[Quantity]]*OrdersTable[[#This Row],[Unit Price]]</f>
        <v>549</v>
      </c>
      <c r="T4393" s="5">
        <f>OrdersTable[[#This Row],[Gross Sale]]*OrdersTable[[#This Row],[Discount_Clean2]]</f>
        <v>109.80000000000001</v>
      </c>
      <c r="U4393" s="5">
        <f>OrdersTable[[#This Row],[Gross Sale]]-OrdersTable[[#This Row],[Discount Amount]]</f>
        <v>439.2</v>
      </c>
      <c r="V4393" s="77">
        <f>INDEX(Products!E:E,MATCH(OrdersTable[[#This Row],[Product ID]],Products!A:A,0))</f>
        <v>170</v>
      </c>
      <c r="W4393" s="77">
        <f>OrdersTable[[#This Row],[Quantity]]*OrdersTable[[#This Row],[Unit Cost]]</f>
        <v>170</v>
      </c>
      <c r="X4393" s="77">
        <f>'Dropdown Lists'!$I$2*(1+OrdersTable[[#This Row],[Returned]])</f>
        <v>60</v>
      </c>
      <c r="Y4393" s="76">
        <f>OrdersTable[[#This Row],[Net Revenue]]-OrdersTable[[#This Row],[COGS]]-OrdersTable[[#This Row],[Shipping Cost]]</f>
        <v>209.2</v>
      </c>
      <c r="Z4393" s="78">
        <f>IFERROR(OrdersTable[[#This Row],[Profit]]/OrdersTable[[#This Row],[Net Revenue]],0)</f>
        <v>0.47632058287795992</v>
      </c>
      <c r="AA4393" t="s">
        <v>18</v>
      </c>
      <c r="AB4393" s="79">
        <v>45975</v>
      </c>
      <c r="AC4393">
        <f>OrdersTable[[#This Row],[Delivery Date]]-OrdersTable[[#This Row],[Order Date]]</f>
        <v>5</v>
      </c>
      <c r="AD4393" t="str">
        <f>IF(OrdersTable[[#This Row],[Delivery Days]]&lt;=2, "Express (≤2d)", IF(OrdersTable[[#This Row],[Delivery Days]]&lt;=4, "Standard (3-4d)", "Delayed (5d+)"))</f>
        <v>Delayed (5d+)</v>
      </c>
      <c r="AE4393">
        <v>4</v>
      </c>
      <c r="AF4393">
        <v>0</v>
      </c>
    </row>
    <row r="4394" spans="1:32" ht="15" x14ac:dyDescent="0.35">
      <c r="A4394" t="s">
        <v>6229</v>
      </c>
      <c r="B4394" s="1">
        <v>45970</v>
      </c>
      <c r="C4394">
        <f>YEAR(OrdersTable[[#This Row],[Order Date]])</f>
        <v>2025</v>
      </c>
      <c r="D4394" s="2">
        <f>DATE(YEAR(OrdersTable[[#This Row],[Order Date]]),MONTH(OrdersTable[[#This Row],[Order Date]]),1)</f>
        <v>45962</v>
      </c>
      <c r="E4394">
        <f>MONTH(OrdersTable[[#This Row],[Order Date]])</f>
        <v>11</v>
      </c>
      <c r="F4394" t="s">
        <v>929</v>
      </c>
      <c r="G4394" t="str">
        <f>IF(OrdersTable[[#This Row],[Order Date]]=_xlfn.MINIFS(Order_Date, Customer_ID, OrdersTable[[#This Row],[Customer ID]]), "New", "Repeat")</f>
        <v>Repeat</v>
      </c>
      <c r="H4394" t="s">
        <v>275</v>
      </c>
      <c r="I4394" t="str">
        <f>INDEX(State!B:B,MATCH(OrdersTable[[#This Row],[State]],State!A:A,0))</f>
        <v>AP</v>
      </c>
      <c r="J4394" t="str">
        <f>INDEX(State!C:C,MATCH(OrdersTable[[#This Row],[State Code]],State!B:B,0))</f>
        <v>South</v>
      </c>
      <c r="K4394" t="s">
        <v>491</v>
      </c>
      <c r="L4394" t="s">
        <v>50</v>
      </c>
      <c r="M4394" t="s">
        <v>73</v>
      </c>
      <c r="N4394" t="str">
        <f>INDEX(Products!B:B,MATCH(OrdersTable[[#This Row],[Product ID]],Products!A:A,0))</f>
        <v>Hydrating Face Wash</v>
      </c>
      <c r="O4394" t="str">
        <f>INDEX(Products!C:C,MATCH(OrdersTable[[#This Row],[Product ID]],Products!A:A,0))</f>
        <v>Skincare</v>
      </c>
      <c r="P4394">
        <v>2</v>
      </c>
      <c r="Q4394" s="5">
        <v>299</v>
      </c>
      <c r="R4394" s="74">
        <v>0.3</v>
      </c>
      <c r="S4394" s="75">
        <f>OrdersTable[[#This Row],[Quantity]]*OrdersTable[[#This Row],[Unit Price]]</f>
        <v>598</v>
      </c>
      <c r="T4394" s="5">
        <f>OrdersTable[[#This Row],[Gross Sale]]*OrdersTable[[#This Row],[Discount_Clean2]]</f>
        <v>179.4</v>
      </c>
      <c r="U4394" s="5">
        <f>OrdersTable[[#This Row],[Gross Sale]]-OrdersTable[[#This Row],[Discount Amount]]</f>
        <v>418.6</v>
      </c>
      <c r="V4394" s="77">
        <f>INDEX(Products!E:E,MATCH(OrdersTable[[#This Row],[Product ID]],Products!A:A,0))</f>
        <v>90</v>
      </c>
      <c r="W4394" s="77">
        <f>OrdersTable[[#This Row],[Quantity]]*OrdersTable[[#This Row],[Unit Cost]]</f>
        <v>180</v>
      </c>
      <c r="X4394" s="77">
        <f>'Dropdown Lists'!$I$2*(1+OrdersTable[[#This Row],[Returned]])</f>
        <v>60</v>
      </c>
      <c r="Y4394" s="76">
        <f>OrdersTable[[#This Row],[Net Revenue]]-OrdersTable[[#This Row],[COGS]]-OrdersTable[[#This Row],[Shipping Cost]]</f>
        <v>178.60000000000002</v>
      </c>
      <c r="Z4394" s="78">
        <f>IFERROR(OrdersTable[[#This Row],[Profit]]/OrdersTable[[#This Row],[Net Revenue]],0)</f>
        <v>0.42666029622551366</v>
      </c>
      <c r="AA4394" t="s">
        <v>18</v>
      </c>
      <c r="AB4394" s="79">
        <v>45975</v>
      </c>
      <c r="AC4394">
        <f>OrdersTable[[#This Row],[Delivery Date]]-OrdersTable[[#This Row],[Order Date]]</f>
        <v>5</v>
      </c>
      <c r="AD4394" t="str">
        <f>IF(OrdersTable[[#This Row],[Delivery Days]]&lt;=2, "Express (≤2d)", IF(OrdersTable[[#This Row],[Delivery Days]]&lt;=4, "Standard (3-4d)", "Delayed (5d+)"))</f>
        <v>Delayed (5d+)</v>
      </c>
      <c r="AE4394">
        <v>4</v>
      </c>
      <c r="AF4394">
        <v>0</v>
      </c>
    </row>
    <row r="4395" spans="1:32" ht="15" x14ac:dyDescent="0.35">
      <c r="A4395" t="s">
        <v>3364</v>
      </c>
      <c r="B4395" s="1">
        <v>45970</v>
      </c>
      <c r="C4395">
        <f>YEAR(OrdersTable[[#This Row],[Order Date]])</f>
        <v>2025</v>
      </c>
      <c r="D4395" s="2">
        <f>DATE(YEAR(OrdersTable[[#This Row],[Order Date]]),MONTH(OrdersTable[[#This Row],[Order Date]]),1)</f>
        <v>45962</v>
      </c>
      <c r="E4395">
        <f>MONTH(OrdersTable[[#This Row],[Order Date]])</f>
        <v>11</v>
      </c>
      <c r="F4395" t="s">
        <v>1811</v>
      </c>
      <c r="G4395" t="str">
        <f>IF(OrdersTable[[#This Row],[Order Date]]=_xlfn.MINIFS(Order_Date, Customer_ID, OrdersTable[[#This Row],[Customer ID]]), "New", "Repeat")</f>
        <v>Repeat</v>
      </c>
      <c r="H4395" t="s">
        <v>275</v>
      </c>
      <c r="I4395" t="str">
        <f>INDEX(State!B:B,MATCH(OrdersTable[[#This Row],[State]],State!A:A,0))</f>
        <v>AP</v>
      </c>
      <c r="J4395" t="str">
        <f>INDEX(State!C:C,MATCH(OrdersTable[[#This Row],[State Code]],State!B:B,0))</f>
        <v>South</v>
      </c>
      <c r="K4395" t="s">
        <v>491</v>
      </c>
      <c r="L4395" t="s">
        <v>23</v>
      </c>
      <c r="M4395" t="s">
        <v>56</v>
      </c>
      <c r="N4395" t="str">
        <f>INDEX(Products!B:B,MATCH(OrdersTable[[#This Row],[Product ID]],Products!A:A,0))</f>
        <v>Vitamin C Face Serum</v>
      </c>
      <c r="O4395" t="str">
        <f>INDEX(Products!C:C,MATCH(OrdersTable[[#This Row],[Product ID]],Products!A:A,0))</f>
        <v>Skincare</v>
      </c>
      <c r="P4395">
        <v>1</v>
      </c>
      <c r="Q4395" s="5">
        <v>599</v>
      </c>
      <c r="R4395" s="74">
        <v>0.25</v>
      </c>
      <c r="S4395" s="75">
        <f>OrdersTable[[#This Row],[Quantity]]*OrdersTable[[#This Row],[Unit Price]]</f>
        <v>599</v>
      </c>
      <c r="T4395" s="5">
        <f>OrdersTable[[#This Row],[Gross Sale]]*OrdersTable[[#This Row],[Discount_Clean2]]</f>
        <v>149.75</v>
      </c>
      <c r="U4395" s="5">
        <f>OrdersTable[[#This Row],[Gross Sale]]-OrdersTable[[#This Row],[Discount Amount]]</f>
        <v>449.25</v>
      </c>
      <c r="V4395" s="77">
        <f>INDEX(Products!E:E,MATCH(OrdersTable[[#This Row],[Product ID]],Products!A:A,0))</f>
        <v>180</v>
      </c>
      <c r="W4395" s="77">
        <f>OrdersTable[[#This Row],[Quantity]]*OrdersTable[[#This Row],[Unit Cost]]</f>
        <v>180</v>
      </c>
      <c r="X4395" s="77">
        <f>'Dropdown Lists'!$I$2*(1+OrdersTable[[#This Row],[Returned]])</f>
        <v>60</v>
      </c>
      <c r="Y4395" s="76">
        <f>OrdersTable[[#This Row],[Net Revenue]]-OrdersTable[[#This Row],[COGS]]-OrdersTable[[#This Row],[Shipping Cost]]</f>
        <v>209.25</v>
      </c>
      <c r="Z4395" s="78">
        <f>IFERROR(OrdersTable[[#This Row],[Profit]]/OrdersTable[[#This Row],[Net Revenue]],0)</f>
        <v>0.46577629382303842</v>
      </c>
      <c r="AA4395" t="s">
        <v>2522</v>
      </c>
      <c r="AB4395" s="79">
        <v>45976</v>
      </c>
      <c r="AC4395">
        <f>OrdersTable[[#This Row],[Delivery Date]]-OrdersTable[[#This Row],[Order Date]]</f>
        <v>6</v>
      </c>
      <c r="AD4395" t="str">
        <f>IF(OrdersTable[[#This Row],[Delivery Days]]&lt;=2, "Express (≤2d)", IF(OrdersTable[[#This Row],[Delivery Days]]&lt;=4, "Standard (3-4d)", "Delayed (5d+)"))</f>
        <v>Delayed (5d+)</v>
      </c>
      <c r="AE4395">
        <v>4</v>
      </c>
      <c r="AF4395">
        <v>0</v>
      </c>
    </row>
    <row r="4396" spans="1:32" ht="15" x14ac:dyDescent="0.35">
      <c r="A4396" t="s">
        <v>6744</v>
      </c>
      <c r="B4396" s="1">
        <v>45970</v>
      </c>
      <c r="C4396">
        <f>YEAR(OrdersTable[[#This Row],[Order Date]])</f>
        <v>2025</v>
      </c>
      <c r="D4396" s="2">
        <f>DATE(YEAR(OrdersTable[[#This Row],[Order Date]]),MONTH(OrdersTable[[#This Row],[Order Date]]),1)</f>
        <v>45962</v>
      </c>
      <c r="E4396">
        <f>MONTH(OrdersTable[[#This Row],[Order Date]])</f>
        <v>11</v>
      </c>
      <c r="F4396" t="s">
        <v>3057</v>
      </c>
      <c r="G4396" t="str">
        <f>IF(OrdersTable[[#This Row],[Order Date]]=_xlfn.MINIFS(Order_Date, Customer_ID, OrdersTable[[#This Row],[Customer ID]]), "New", "Repeat")</f>
        <v>Repeat</v>
      </c>
      <c r="H4396" t="s">
        <v>316</v>
      </c>
      <c r="I4396" t="str">
        <f>INDEX(State!B:B,MATCH(OrdersTable[[#This Row],[State]],State!A:A,0))</f>
        <v>KL</v>
      </c>
      <c r="J4396" t="str">
        <f>INDEX(State!C:C,MATCH(OrdersTable[[#This Row],[State Code]],State!B:B,0))</f>
        <v>South</v>
      </c>
      <c r="K4396" t="s">
        <v>338</v>
      </c>
      <c r="L4396" t="s">
        <v>50</v>
      </c>
      <c r="M4396" t="s">
        <v>109</v>
      </c>
      <c r="N4396" t="str">
        <f>INDEX(Products!B:B,MATCH(OrdersTable[[#This Row],[Product ID]],Products!A:A,0))</f>
        <v>Onion Hair Oil</v>
      </c>
      <c r="O4396" t="str">
        <f>INDEX(Products!C:C,MATCH(OrdersTable[[#This Row],[Product ID]],Products!A:A,0))</f>
        <v>Haircare</v>
      </c>
      <c r="P4396">
        <v>3</v>
      </c>
      <c r="Q4396" s="5">
        <v>349</v>
      </c>
      <c r="R4396" s="74">
        <v>0.3</v>
      </c>
      <c r="S4396" s="75">
        <f>OrdersTable[[#This Row],[Quantity]]*OrdersTable[[#This Row],[Unit Price]]</f>
        <v>1047</v>
      </c>
      <c r="T4396" s="5">
        <f>OrdersTable[[#This Row],[Gross Sale]]*OrdersTable[[#This Row],[Discount_Clean2]]</f>
        <v>314.09999999999997</v>
      </c>
      <c r="U4396" s="5">
        <f>OrdersTable[[#This Row],[Gross Sale]]-OrdersTable[[#This Row],[Discount Amount]]</f>
        <v>732.90000000000009</v>
      </c>
      <c r="V4396" s="77">
        <f>INDEX(Products!E:E,MATCH(OrdersTable[[#This Row],[Product ID]],Products!A:A,0))</f>
        <v>105</v>
      </c>
      <c r="W4396" s="77">
        <f>OrdersTable[[#This Row],[Quantity]]*OrdersTable[[#This Row],[Unit Cost]]</f>
        <v>315</v>
      </c>
      <c r="X4396" s="77">
        <f>'Dropdown Lists'!$I$2*(1+OrdersTable[[#This Row],[Returned]])</f>
        <v>60</v>
      </c>
      <c r="Y4396" s="76">
        <f>OrdersTable[[#This Row],[Net Revenue]]-OrdersTable[[#This Row],[COGS]]-OrdersTable[[#This Row],[Shipping Cost]]</f>
        <v>357.90000000000009</v>
      </c>
      <c r="Z4396" s="78">
        <f>IFERROR(OrdersTable[[#This Row],[Profit]]/OrdersTable[[#This Row],[Net Revenue]],0)</f>
        <v>0.48833401555464601</v>
      </c>
      <c r="AA4396" t="s">
        <v>2522</v>
      </c>
      <c r="AB4396" s="79">
        <v>45973</v>
      </c>
      <c r="AC4396">
        <f>OrdersTable[[#This Row],[Delivery Date]]-OrdersTable[[#This Row],[Order Date]]</f>
        <v>3</v>
      </c>
      <c r="AD4396" t="str">
        <f>IF(OrdersTable[[#This Row],[Delivery Days]]&lt;=2, "Express (≤2d)", IF(OrdersTable[[#This Row],[Delivery Days]]&lt;=4, "Standard (3-4d)", "Delayed (5d+)"))</f>
        <v>Standard (3-4d)</v>
      </c>
      <c r="AF4396">
        <v>0</v>
      </c>
    </row>
    <row r="4397" spans="1:32" ht="15" x14ac:dyDescent="0.35">
      <c r="A4397" t="s">
        <v>878</v>
      </c>
      <c r="B4397" s="1">
        <v>45971</v>
      </c>
      <c r="C4397">
        <f>YEAR(OrdersTable[[#This Row],[Order Date]])</f>
        <v>2025</v>
      </c>
      <c r="D4397" s="2">
        <f>DATE(YEAR(OrdersTable[[#This Row],[Order Date]]),MONTH(OrdersTable[[#This Row],[Order Date]]),1)</f>
        <v>45962</v>
      </c>
      <c r="E4397">
        <f>MONTH(OrdersTable[[#This Row],[Order Date]])</f>
        <v>11</v>
      </c>
      <c r="F4397" t="s">
        <v>879</v>
      </c>
      <c r="G4397" t="str">
        <f>IF(OrdersTable[[#This Row],[Order Date]]=_xlfn.MINIFS(Order_Date, Customer_ID, OrdersTable[[#This Row],[Customer ID]]), "New", "Repeat")</f>
        <v>Repeat</v>
      </c>
      <c r="H4397" t="s">
        <v>21</v>
      </c>
      <c r="I4397" t="str">
        <f>INDEX(State!B:B,MATCH(OrdersTable[[#This Row],[State]],State!A:A,0))</f>
        <v>PB</v>
      </c>
      <c r="J4397" t="str">
        <f>INDEX(State!C:C,MATCH(OrdersTable[[#This Row],[State Code]],State!B:B,0))</f>
        <v>North</v>
      </c>
      <c r="K4397" t="s">
        <v>22</v>
      </c>
      <c r="L4397" t="s">
        <v>50</v>
      </c>
      <c r="M4397" t="s">
        <v>61</v>
      </c>
      <c r="N4397" t="str">
        <f>INDEX(Products!B:B,MATCH(OrdersTable[[#This Row],[Product ID]],Products!A:A,0))</f>
        <v>Multivitamin Gummies</v>
      </c>
      <c r="O4397" t="str">
        <f>INDEX(Products!C:C,MATCH(OrdersTable[[#This Row],[Product ID]],Products!A:A,0))</f>
        <v>Wellness</v>
      </c>
      <c r="P4397">
        <v>1</v>
      </c>
      <c r="Q4397" s="5">
        <v>699</v>
      </c>
      <c r="R4397" s="74">
        <v>0.45</v>
      </c>
      <c r="S4397" s="75">
        <f>OrdersTable[[#This Row],[Quantity]]*OrdersTable[[#This Row],[Unit Price]]</f>
        <v>699</v>
      </c>
      <c r="T4397" s="5">
        <f>OrdersTable[[#This Row],[Gross Sale]]*OrdersTable[[#This Row],[Discount_Clean2]]</f>
        <v>314.55</v>
      </c>
      <c r="U4397" s="5">
        <f>OrdersTable[[#This Row],[Gross Sale]]-OrdersTable[[#This Row],[Discount Amount]]</f>
        <v>384.45</v>
      </c>
      <c r="V4397" s="77">
        <f>INDEX(Products!E:E,MATCH(OrdersTable[[#This Row],[Product ID]],Products!A:A,0))</f>
        <v>238</v>
      </c>
      <c r="W4397" s="77">
        <f>OrdersTable[[#This Row],[Quantity]]*OrdersTable[[#This Row],[Unit Cost]]</f>
        <v>238</v>
      </c>
      <c r="X4397" s="77">
        <f>'Dropdown Lists'!$I$2*(1+OrdersTable[[#This Row],[Returned]])</f>
        <v>60</v>
      </c>
      <c r="Y4397" s="76">
        <f>OrdersTable[[#This Row],[Net Revenue]]-OrdersTable[[#This Row],[COGS]]-OrdersTable[[#This Row],[Shipping Cost]]</f>
        <v>86.449999999999989</v>
      </c>
      <c r="Z4397" s="78">
        <f>IFERROR(OrdersTable[[#This Row],[Profit]]/OrdersTable[[#This Row],[Net Revenue]],0)</f>
        <v>0.22486669267785145</v>
      </c>
      <c r="AA4397" t="s">
        <v>18</v>
      </c>
      <c r="AB4397" s="79">
        <v>45977</v>
      </c>
      <c r="AC4397">
        <f>OrdersTable[[#This Row],[Delivery Date]]-OrdersTable[[#This Row],[Order Date]]</f>
        <v>6</v>
      </c>
      <c r="AD4397" t="str">
        <f>IF(OrdersTable[[#This Row],[Delivery Days]]&lt;=2, "Express (≤2d)", IF(OrdersTable[[#This Row],[Delivery Days]]&lt;=4, "Standard (3-4d)", "Delayed (5d+)"))</f>
        <v>Delayed (5d+)</v>
      </c>
      <c r="AE4397">
        <v>4</v>
      </c>
      <c r="AF4397">
        <v>0</v>
      </c>
    </row>
    <row r="4398" spans="1:32" ht="15" x14ac:dyDescent="0.35">
      <c r="A4398" t="s">
        <v>3365</v>
      </c>
      <c r="B4398" s="1">
        <v>45971</v>
      </c>
      <c r="C4398">
        <f>YEAR(OrdersTable[[#This Row],[Order Date]])</f>
        <v>2025</v>
      </c>
      <c r="D4398" s="2">
        <f>DATE(YEAR(OrdersTable[[#This Row],[Order Date]]),MONTH(OrdersTable[[#This Row],[Order Date]]),1)</f>
        <v>45962</v>
      </c>
      <c r="E4398">
        <f>MONTH(OrdersTable[[#This Row],[Order Date]])</f>
        <v>11</v>
      </c>
      <c r="F4398" t="s">
        <v>521</v>
      </c>
      <c r="G4398" t="str">
        <f>IF(OrdersTable[[#This Row],[Order Date]]=_xlfn.MINIFS(Order_Date, Customer_ID, OrdersTable[[#This Row],[Customer ID]]), "New", "Repeat")</f>
        <v>Repeat</v>
      </c>
      <c r="H4398" t="s">
        <v>54</v>
      </c>
      <c r="I4398" t="str">
        <f>INDEX(State!B:B,MATCH(OrdersTable[[#This Row],[State]],State!A:A,0))</f>
        <v>RJ</v>
      </c>
      <c r="J4398" t="str">
        <f>INDEX(State!C:C,MATCH(OrdersTable[[#This Row],[State Code]],State!B:B,0))</f>
        <v>North</v>
      </c>
      <c r="K4398" t="s">
        <v>227</v>
      </c>
      <c r="L4398" t="s">
        <v>39</v>
      </c>
      <c r="M4398" t="s">
        <v>78</v>
      </c>
      <c r="N4398" t="str">
        <f>INDEX(Products!B:B,MATCH(OrdersTable[[#This Row],[Product ID]],Products!A:A,0))</f>
        <v>Retinol Night Cream</v>
      </c>
      <c r="O4398" t="str">
        <f>INDEX(Products!C:C,MATCH(OrdersTable[[#This Row],[Product ID]],Products!A:A,0))</f>
        <v>Skincare</v>
      </c>
      <c r="P4398">
        <v>1</v>
      </c>
      <c r="Q4398" s="5">
        <v>799</v>
      </c>
      <c r="R4398" s="74">
        <v>0.2</v>
      </c>
      <c r="S4398" s="75">
        <f>OrdersTable[[#This Row],[Quantity]]*OrdersTable[[#This Row],[Unit Price]]</f>
        <v>799</v>
      </c>
      <c r="T4398" s="5">
        <f>OrdersTable[[#This Row],[Gross Sale]]*OrdersTable[[#This Row],[Discount_Clean2]]</f>
        <v>159.80000000000001</v>
      </c>
      <c r="U4398" s="5">
        <f>OrdersTable[[#This Row],[Gross Sale]]-OrdersTable[[#This Row],[Discount Amount]]</f>
        <v>639.20000000000005</v>
      </c>
      <c r="V4398" s="77">
        <f>INDEX(Products!E:E,MATCH(OrdersTable[[#This Row],[Product ID]],Products!A:A,0))</f>
        <v>216</v>
      </c>
      <c r="W4398" s="77">
        <f>OrdersTable[[#This Row],[Quantity]]*OrdersTable[[#This Row],[Unit Cost]]</f>
        <v>216</v>
      </c>
      <c r="X4398" s="77">
        <f>'Dropdown Lists'!$I$2*(1+OrdersTable[[#This Row],[Returned]])</f>
        <v>60</v>
      </c>
      <c r="Y4398" s="76">
        <f>OrdersTable[[#This Row],[Net Revenue]]-OrdersTable[[#This Row],[COGS]]-OrdersTable[[#This Row],[Shipping Cost]]</f>
        <v>363.20000000000005</v>
      </c>
      <c r="Z4398" s="78">
        <f>IFERROR(OrdersTable[[#This Row],[Profit]]/OrdersTable[[#This Row],[Net Revenue]],0)</f>
        <v>0.56821026282853571</v>
      </c>
      <c r="AA4398" t="s">
        <v>2522</v>
      </c>
      <c r="AB4398" s="79">
        <v>45977</v>
      </c>
      <c r="AC4398">
        <f>OrdersTable[[#This Row],[Delivery Date]]-OrdersTable[[#This Row],[Order Date]]</f>
        <v>6</v>
      </c>
      <c r="AD4398" t="str">
        <f>IF(OrdersTable[[#This Row],[Delivery Days]]&lt;=2, "Express (≤2d)", IF(OrdersTable[[#This Row],[Delivery Days]]&lt;=4, "Standard (3-4d)", "Delayed (5d+)"))</f>
        <v>Delayed (5d+)</v>
      </c>
      <c r="AE4398">
        <v>4</v>
      </c>
      <c r="AF4398">
        <v>0</v>
      </c>
    </row>
    <row r="4399" spans="1:32" ht="15" x14ac:dyDescent="0.35">
      <c r="A4399" t="s">
        <v>6001</v>
      </c>
      <c r="B4399" s="1">
        <v>45971</v>
      </c>
      <c r="C4399">
        <f>YEAR(OrdersTable[[#This Row],[Order Date]])</f>
        <v>2025</v>
      </c>
      <c r="D4399" s="2">
        <f>DATE(YEAR(OrdersTable[[#This Row],[Order Date]]),MONTH(OrdersTable[[#This Row],[Order Date]]),1)</f>
        <v>45962</v>
      </c>
      <c r="E4399">
        <f>MONTH(OrdersTable[[#This Row],[Order Date]])</f>
        <v>11</v>
      </c>
      <c r="F4399" t="s">
        <v>3195</v>
      </c>
      <c r="G4399" t="str">
        <f>IF(OrdersTable[[#This Row],[Order Date]]=_xlfn.MINIFS(Order_Date, Customer_ID, OrdersTable[[#This Row],[Customer ID]]), "New", "Repeat")</f>
        <v>Repeat</v>
      </c>
      <c r="H4399" t="s">
        <v>48</v>
      </c>
      <c r="I4399" t="str">
        <f>INDEX(State!B:B,MATCH(OrdersTable[[#This Row],[State]],State!A:A,0))</f>
        <v>HR</v>
      </c>
      <c r="J4399" t="str">
        <f>INDEX(State!C:C,MATCH(OrdersTable[[#This Row],[State Code]],State!B:B,0))</f>
        <v>North</v>
      </c>
      <c r="K4399" t="s">
        <v>151</v>
      </c>
      <c r="L4399" t="s">
        <v>23</v>
      </c>
      <c r="M4399" t="s">
        <v>109</v>
      </c>
      <c r="N4399" t="str">
        <f>INDEX(Products!B:B,MATCH(OrdersTable[[#This Row],[Product ID]],Products!A:A,0))</f>
        <v>Onion Hair Oil</v>
      </c>
      <c r="O4399" t="str">
        <f>INDEX(Products!C:C,MATCH(OrdersTable[[#This Row],[Product ID]],Products!A:A,0))</f>
        <v>Haircare</v>
      </c>
      <c r="P4399">
        <v>2</v>
      </c>
      <c r="Q4399" s="5">
        <v>349</v>
      </c>
      <c r="R4399" s="74">
        <v>0.45</v>
      </c>
      <c r="S4399" s="75">
        <f>OrdersTable[[#This Row],[Quantity]]*OrdersTable[[#This Row],[Unit Price]]</f>
        <v>698</v>
      </c>
      <c r="T4399" s="5">
        <f>OrdersTable[[#This Row],[Gross Sale]]*OrdersTable[[#This Row],[Discount_Clean2]]</f>
        <v>314.10000000000002</v>
      </c>
      <c r="U4399" s="5">
        <f>OrdersTable[[#This Row],[Gross Sale]]-OrdersTable[[#This Row],[Discount Amount]]</f>
        <v>383.9</v>
      </c>
      <c r="V4399" s="77">
        <f>INDEX(Products!E:E,MATCH(OrdersTable[[#This Row],[Product ID]],Products!A:A,0))</f>
        <v>105</v>
      </c>
      <c r="W4399" s="77">
        <f>OrdersTable[[#This Row],[Quantity]]*OrdersTable[[#This Row],[Unit Cost]]</f>
        <v>210</v>
      </c>
      <c r="X4399" s="77">
        <f>'Dropdown Lists'!$I$2*(1+OrdersTable[[#This Row],[Returned]])</f>
        <v>60</v>
      </c>
      <c r="Y4399" s="76">
        <f>OrdersTable[[#This Row],[Net Revenue]]-OrdersTable[[#This Row],[COGS]]-OrdersTable[[#This Row],[Shipping Cost]]</f>
        <v>113.89999999999998</v>
      </c>
      <c r="Z4399" s="78">
        <f>IFERROR(OrdersTable[[#This Row],[Profit]]/OrdersTable[[#This Row],[Net Revenue]],0)</f>
        <v>0.29669184683511329</v>
      </c>
      <c r="AA4399" t="s">
        <v>18</v>
      </c>
      <c r="AB4399" s="79">
        <v>45974</v>
      </c>
      <c r="AC4399">
        <f>OrdersTable[[#This Row],[Delivery Date]]-OrdersTable[[#This Row],[Order Date]]</f>
        <v>3</v>
      </c>
      <c r="AD4399" t="str">
        <f>IF(OrdersTable[[#This Row],[Delivery Days]]&lt;=2, "Express (≤2d)", IF(OrdersTable[[#This Row],[Delivery Days]]&lt;=4, "Standard (3-4d)", "Delayed (5d+)"))</f>
        <v>Standard (3-4d)</v>
      </c>
      <c r="AF4399">
        <v>0</v>
      </c>
    </row>
    <row r="4400" spans="1:32" ht="15" x14ac:dyDescent="0.35">
      <c r="A4400" t="s">
        <v>6002</v>
      </c>
      <c r="B4400" s="1">
        <v>45971</v>
      </c>
      <c r="C4400">
        <f>YEAR(OrdersTable[[#This Row],[Order Date]])</f>
        <v>2025</v>
      </c>
      <c r="D4400" s="2">
        <f>DATE(YEAR(OrdersTable[[#This Row],[Order Date]]),MONTH(OrdersTable[[#This Row],[Order Date]]),1)</f>
        <v>45962</v>
      </c>
      <c r="E4400">
        <f>MONTH(OrdersTable[[#This Row],[Order Date]])</f>
        <v>11</v>
      </c>
      <c r="F4400" t="s">
        <v>6003</v>
      </c>
      <c r="G4400" t="str">
        <f>IF(OrdersTable[[#This Row],[Order Date]]=_xlfn.MINIFS(Order_Date, Customer_ID, OrdersTable[[#This Row],[Customer ID]]), "New", "Repeat")</f>
        <v>New</v>
      </c>
      <c r="H4400" t="s">
        <v>48</v>
      </c>
      <c r="I4400" t="str">
        <f>INDEX(State!B:B,MATCH(OrdersTable[[#This Row],[State]],State!A:A,0))</f>
        <v>HR</v>
      </c>
      <c r="J4400" t="str">
        <f>INDEX(State!C:C,MATCH(OrdersTable[[#This Row],[State Code]],State!B:B,0))</f>
        <v>North</v>
      </c>
      <c r="K4400" t="s">
        <v>49</v>
      </c>
      <c r="L4400" t="s">
        <v>16</v>
      </c>
      <c r="M4400" t="s">
        <v>205</v>
      </c>
      <c r="N4400" t="str">
        <f>INDEX(Products!B:B,MATCH(OrdersTable[[#This Row],[Product ID]],Products!A:A,0))</f>
        <v>Running Shoes</v>
      </c>
      <c r="O4400" t="str">
        <f>INDEX(Products!C:C,MATCH(OrdersTable[[#This Row],[Product ID]],Products!A:A,0))</f>
        <v>Footwear</v>
      </c>
      <c r="P4400">
        <v>2</v>
      </c>
      <c r="Q4400" s="5">
        <v>2999</v>
      </c>
      <c r="R4400" s="74">
        <v>0.35</v>
      </c>
      <c r="S4400" s="75">
        <f>OrdersTable[[#This Row],[Quantity]]*OrdersTable[[#This Row],[Unit Price]]</f>
        <v>5998</v>
      </c>
      <c r="T4400" s="5">
        <f>OrdersTable[[#This Row],[Gross Sale]]*OrdersTable[[#This Row],[Discount_Clean2]]</f>
        <v>2099.2999999999997</v>
      </c>
      <c r="U4400" s="5">
        <f>OrdersTable[[#This Row],[Gross Sale]]-OrdersTable[[#This Row],[Discount Amount]]</f>
        <v>3898.7000000000003</v>
      </c>
      <c r="V4400" s="77">
        <f>INDEX(Products!E:E,MATCH(OrdersTable[[#This Row],[Product ID]],Products!A:A,0))</f>
        <v>1440</v>
      </c>
      <c r="W4400" s="77">
        <f>OrdersTable[[#This Row],[Quantity]]*OrdersTable[[#This Row],[Unit Cost]]</f>
        <v>2880</v>
      </c>
      <c r="X4400" s="77">
        <f>'Dropdown Lists'!$I$2*(1+OrdersTable[[#This Row],[Returned]])</f>
        <v>120</v>
      </c>
      <c r="Y4400" s="76">
        <f>OrdersTable[[#This Row],[Net Revenue]]-OrdersTable[[#This Row],[COGS]]-OrdersTable[[#This Row],[Shipping Cost]]</f>
        <v>898.70000000000027</v>
      </c>
      <c r="Z4400" s="78">
        <f>IFERROR(OrdersTable[[#This Row],[Profit]]/OrdersTable[[#This Row],[Net Revenue]],0)</f>
        <v>0.23051273501423558</v>
      </c>
      <c r="AA4400" t="s">
        <v>18</v>
      </c>
      <c r="AB4400" s="79">
        <v>45976</v>
      </c>
      <c r="AC4400">
        <f>OrdersTable[[#This Row],[Delivery Date]]-OrdersTable[[#This Row],[Order Date]]</f>
        <v>5</v>
      </c>
      <c r="AD4400" t="str">
        <f>IF(OrdersTable[[#This Row],[Delivery Days]]&lt;=2, "Express (≤2d)", IF(OrdersTable[[#This Row],[Delivery Days]]&lt;=4, "Standard (3-4d)", "Delayed (5d+)"))</f>
        <v>Delayed (5d+)</v>
      </c>
      <c r="AF4400">
        <v>1</v>
      </c>
    </row>
    <row r="4401" spans="1:32" ht="15" x14ac:dyDescent="0.35">
      <c r="A4401" t="s">
        <v>3937</v>
      </c>
      <c r="B4401" s="1">
        <v>45971</v>
      </c>
      <c r="C4401">
        <f>YEAR(OrdersTable[[#This Row],[Order Date]])</f>
        <v>2025</v>
      </c>
      <c r="D4401" s="2">
        <f>DATE(YEAR(OrdersTable[[#This Row],[Order Date]]),MONTH(OrdersTable[[#This Row],[Order Date]]),1)</f>
        <v>45962</v>
      </c>
      <c r="E4401">
        <f>MONTH(OrdersTable[[#This Row],[Order Date]])</f>
        <v>11</v>
      </c>
      <c r="F4401" t="s">
        <v>1091</v>
      </c>
      <c r="G4401" t="str">
        <f>IF(OrdersTable[[#This Row],[Order Date]]=_xlfn.MINIFS(Order_Date, Customer_ID, OrdersTable[[#This Row],[Customer ID]]), "New", "Repeat")</f>
        <v>Repeat</v>
      </c>
      <c r="H4401" t="s">
        <v>128</v>
      </c>
      <c r="I4401" t="str">
        <f>INDEX(State!B:B,MATCH(OrdersTable[[#This Row],[State]],State!A:A,0))</f>
        <v>DL</v>
      </c>
      <c r="J4401" t="str">
        <f>INDEX(State!C:C,MATCH(OrdersTable[[#This Row],[State Code]],State!B:B,0))</f>
        <v>North</v>
      </c>
      <c r="K4401" t="s">
        <v>129</v>
      </c>
      <c r="L4401" t="s">
        <v>50</v>
      </c>
      <c r="M4401" t="s">
        <v>109</v>
      </c>
      <c r="N4401" t="str">
        <f>INDEX(Products!B:B,MATCH(OrdersTable[[#This Row],[Product ID]],Products!A:A,0))</f>
        <v>Onion Hair Oil</v>
      </c>
      <c r="O4401" t="str">
        <f>INDEX(Products!C:C,MATCH(OrdersTable[[#This Row],[Product ID]],Products!A:A,0))</f>
        <v>Haircare</v>
      </c>
      <c r="P4401">
        <v>1</v>
      </c>
      <c r="Q4401" s="5">
        <v>349</v>
      </c>
      <c r="R4401" s="74">
        <v>0.55000000000000004</v>
      </c>
      <c r="S4401" s="75">
        <f>OrdersTable[[#This Row],[Quantity]]*OrdersTable[[#This Row],[Unit Price]]</f>
        <v>349</v>
      </c>
      <c r="T4401" s="5">
        <f>OrdersTable[[#This Row],[Gross Sale]]*OrdersTable[[#This Row],[Discount_Clean2]]</f>
        <v>191.95000000000002</v>
      </c>
      <c r="U4401" s="5">
        <f>OrdersTable[[#This Row],[Gross Sale]]-OrdersTable[[#This Row],[Discount Amount]]</f>
        <v>157.04999999999998</v>
      </c>
      <c r="V4401" s="77">
        <f>INDEX(Products!E:E,MATCH(OrdersTable[[#This Row],[Product ID]],Products!A:A,0))</f>
        <v>105</v>
      </c>
      <c r="W4401" s="77">
        <f>OrdersTable[[#This Row],[Quantity]]*OrdersTable[[#This Row],[Unit Cost]]</f>
        <v>105</v>
      </c>
      <c r="X4401" s="77">
        <f>'Dropdown Lists'!$I$2*(1+OrdersTable[[#This Row],[Returned]])</f>
        <v>60</v>
      </c>
      <c r="Y4401" s="76">
        <f>OrdersTable[[#This Row],[Net Revenue]]-OrdersTable[[#This Row],[COGS]]-OrdersTable[[#This Row],[Shipping Cost]]</f>
        <v>-7.9500000000000171</v>
      </c>
      <c r="Z4401" s="78">
        <f>IFERROR(OrdersTable[[#This Row],[Profit]]/OrdersTable[[#This Row],[Net Revenue]],0)</f>
        <v>-5.0620821394460475E-2</v>
      </c>
      <c r="AA4401" t="s">
        <v>3495</v>
      </c>
      <c r="AB4401" s="79">
        <v>45975</v>
      </c>
      <c r="AC4401">
        <f>OrdersTable[[#This Row],[Delivery Date]]-OrdersTable[[#This Row],[Order Date]]</f>
        <v>4</v>
      </c>
      <c r="AD4401" t="str">
        <f>IF(OrdersTable[[#This Row],[Delivery Days]]&lt;=2, "Express (≤2d)", IF(OrdersTable[[#This Row],[Delivery Days]]&lt;=4, "Standard (3-4d)", "Delayed (5d+)"))</f>
        <v>Standard (3-4d)</v>
      </c>
      <c r="AE4401">
        <v>3</v>
      </c>
      <c r="AF4401">
        <v>0</v>
      </c>
    </row>
    <row r="4402" spans="1:32" ht="15" x14ac:dyDescent="0.35">
      <c r="A4402" t="s">
        <v>6745</v>
      </c>
      <c r="B4402" s="1">
        <v>45971</v>
      </c>
      <c r="C4402">
        <f>YEAR(OrdersTable[[#This Row],[Order Date]])</f>
        <v>2025</v>
      </c>
      <c r="D4402" s="2">
        <f>DATE(YEAR(OrdersTable[[#This Row],[Order Date]]),MONTH(OrdersTable[[#This Row],[Order Date]]),1)</f>
        <v>45962</v>
      </c>
      <c r="E4402">
        <f>MONTH(OrdersTable[[#This Row],[Order Date]])</f>
        <v>11</v>
      </c>
      <c r="F4402" t="s">
        <v>384</v>
      </c>
      <c r="G4402" t="str">
        <f>IF(OrdersTable[[#This Row],[Order Date]]=_xlfn.MINIFS(Order_Date, Customer_ID, OrdersTable[[#This Row],[Customer ID]]), "New", "Repeat")</f>
        <v>Repeat</v>
      </c>
      <c r="H4402" t="s">
        <v>128</v>
      </c>
      <c r="I4402" t="str">
        <f>INDEX(State!B:B,MATCH(OrdersTable[[#This Row],[State]],State!A:A,0))</f>
        <v>DL</v>
      </c>
      <c r="J4402" t="str">
        <f>INDEX(State!C:C,MATCH(OrdersTable[[#This Row],[State Code]],State!B:B,0))</f>
        <v>North</v>
      </c>
      <c r="K4402" t="s">
        <v>129</v>
      </c>
      <c r="L4402" t="s">
        <v>39</v>
      </c>
      <c r="M4402" t="s">
        <v>106</v>
      </c>
      <c r="N4402" t="str">
        <f>INDEX(Products!B:B,MATCH(OrdersTable[[#This Row],[Product ID]],Products!A:A,0))</f>
        <v>Keratin Hair Mask</v>
      </c>
      <c r="O4402" t="str">
        <f>INDEX(Products!C:C,MATCH(OrdersTable[[#This Row],[Product ID]],Products!A:A,0))</f>
        <v>Haircare</v>
      </c>
      <c r="P4402">
        <v>3</v>
      </c>
      <c r="Q4402" s="5">
        <v>549</v>
      </c>
      <c r="R4402" s="74">
        <v>0.3</v>
      </c>
      <c r="S4402" s="75">
        <f>OrdersTable[[#This Row],[Quantity]]*OrdersTable[[#This Row],[Unit Price]]</f>
        <v>1647</v>
      </c>
      <c r="T4402" s="5">
        <f>OrdersTable[[#This Row],[Gross Sale]]*OrdersTable[[#This Row],[Discount_Clean2]]</f>
        <v>494.09999999999997</v>
      </c>
      <c r="U4402" s="5">
        <f>OrdersTable[[#This Row],[Gross Sale]]-OrdersTable[[#This Row],[Discount Amount]]</f>
        <v>1152.9000000000001</v>
      </c>
      <c r="V4402" s="77">
        <f>INDEX(Products!E:E,MATCH(OrdersTable[[#This Row],[Product ID]],Products!A:A,0))</f>
        <v>170</v>
      </c>
      <c r="W4402" s="77">
        <f>OrdersTable[[#This Row],[Quantity]]*OrdersTable[[#This Row],[Unit Cost]]</f>
        <v>510</v>
      </c>
      <c r="X4402" s="77">
        <f>'Dropdown Lists'!$I$2*(1+OrdersTable[[#This Row],[Returned]])</f>
        <v>60</v>
      </c>
      <c r="Y4402" s="76">
        <f>OrdersTable[[#This Row],[Net Revenue]]-OrdersTable[[#This Row],[COGS]]-OrdersTable[[#This Row],[Shipping Cost]]</f>
        <v>582.90000000000009</v>
      </c>
      <c r="Z4402" s="78">
        <f>IFERROR(OrdersTable[[#This Row],[Profit]]/OrdersTable[[#This Row],[Net Revenue]],0)</f>
        <v>0.50559458756180076</v>
      </c>
      <c r="AA4402" t="s">
        <v>2522</v>
      </c>
      <c r="AB4402" s="79">
        <v>45973</v>
      </c>
      <c r="AC4402">
        <f>OrdersTable[[#This Row],[Delivery Date]]-OrdersTable[[#This Row],[Order Date]]</f>
        <v>2</v>
      </c>
      <c r="AD4402" t="str">
        <f>IF(OrdersTable[[#This Row],[Delivery Days]]&lt;=2, "Express (≤2d)", IF(OrdersTable[[#This Row],[Delivery Days]]&lt;=4, "Standard (3-4d)", "Delayed (5d+)"))</f>
        <v>Express (≤2d)</v>
      </c>
      <c r="AE4402">
        <v>5</v>
      </c>
      <c r="AF4402">
        <v>0</v>
      </c>
    </row>
    <row r="4403" spans="1:32" ht="15" x14ac:dyDescent="0.35">
      <c r="A4403" t="s">
        <v>705</v>
      </c>
      <c r="B4403" s="1">
        <v>45971</v>
      </c>
      <c r="C4403">
        <f>YEAR(OrdersTable[[#This Row],[Order Date]])</f>
        <v>2025</v>
      </c>
      <c r="D4403" s="2">
        <f>DATE(YEAR(OrdersTable[[#This Row],[Order Date]]),MONTH(OrdersTable[[#This Row],[Order Date]]),1)</f>
        <v>45962</v>
      </c>
      <c r="E4403">
        <f>MONTH(OrdersTable[[#This Row],[Order Date]])</f>
        <v>11</v>
      </c>
      <c r="F4403" t="s">
        <v>274</v>
      </c>
      <c r="G4403" t="str">
        <f>IF(OrdersTable[[#This Row],[Order Date]]=_xlfn.MINIFS(Order_Date, Customer_ID, OrdersTable[[#This Row],[Customer ID]]), "New", "Repeat")</f>
        <v>Repeat</v>
      </c>
      <c r="H4403" t="s">
        <v>32</v>
      </c>
      <c r="I4403" t="str">
        <f>INDEX(State!B:B,MATCH(OrdersTable[[#This Row],[State]],State!A:A,0))</f>
        <v>BR</v>
      </c>
      <c r="J4403" t="str">
        <f>INDEX(State!C:C,MATCH(OrdersTable[[#This Row],[State Code]],State!B:B,0))</f>
        <v>East</v>
      </c>
      <c r="K4403" t="s">
        <v>33</v>
      </c>
      <c r="L4403" t="s">
        <v>16</v>
      </c>
      <c r="M4403" t="s">
        <v>205</v>
      </c>
      <c r="N4403" t="str">
        <f>INDEX(Products!B:B,MATCH(OrdersTable[[#This Row],[Product ID]],Products!A:A,0))</f>
        <v>Running Shoes</v>
      </c>
      <c r="O4403" t="str">
        <f>INDEX(Products!C:C,MATCH(OrdersTable[[#This Row],[Product ID]],Products!A:A,0))</f>
        <v>Footwear</v>
      </c>
      <c r="P4403">
        <v>1</v>
      </c>
      <c r="Q4403" s="5">
        <v>2999</v>
      </c>
      <c r="R4403" s="74">
        <v>0.35</v>
      </c>
      <c r="S4403" s="75">
        <f>OrdersTable[[#This Row],[Quantity]]*OrdersTable[[#This Row],[Unit Price]]</f>
        <v>2999</v>
      </c>
      <c r="T4403" s="5">
        <f>OrdersTable[[#This Row],[Gross Sale]]*OrdersTable[[#This Row],[Discount_Clean2]]</f>
        <v>1049.6499999999999</v>
      </c>
      <c r="U4403" s="5">
        <f>OrdersTable[[#This Row],[Gross Sale]]-OrdersTable[[#This Row],[Discount Amount]]</f>
        <v>1949.3500000000001</v>
      </c>
      <c r="V4403" s="77">
        <f>INDEX(Products!E:E,MATCH(OrdersTable[[#This Row],[Product ID]],Products!A:A,0))</f>
        <v>1440</v>
      </c>
      <c r="W4403" s="77">
        <f>OrdersTable[[#This Row],[Quantity]]*OrdersTable[[#This Row],[Unit Cost]]</f>
        <v>1440</v>
      </c>
      <c r="X4403" s="77">
        <f>'Dropdown Lists'!$I$2*(1+OrdersTable[[#This Row],[Returned]])</f>
        <v>60</v>
      </c>
      <c r="Y4403" s="76">
        <f>OrdersTable[[#This Row],[Net Revenue]]-OrdersTable[[#This Row],[COGS]]-OrdersTable[[#This Row],[Shipping Cost]]</f>
        <v>449.35000000000014</v>
      </c>
      <c r="Z4403" s="78">
        <f>IFERROR(OrdersTable[[#This Row],[Profit]]/OrdersTable[[#This Row],[Net Revenue]],0)</f>
        <v>0.23051273501423558</v>
      </c>
      <c r="AA4403" t="s">
        <v>18</v>
      </c>
      <c r="AB4403" s="79">
        <v>45973</v>
      </c>
      <c r="AC4403">
        <f>OrdersTable[[#This Row],[Delivery Date]]-OrdersTable[[#This Row],[Order Date]]</f>
        <v>2</v>
      </c>
      <c r="AD4403" t="str">
        <f>IF(OrdersTable[[#This Row],[Delivery Days]]&lt;=2, "Express (≤2d)", IF(OrdersTable[[#This Row],[Delivery Days]]&lt;=4, "Standard (3-4d)", "Delayed (5d+)"))</f>
        <v>Express (≤2d)</v>
      </c>
      <c r="AE4403">
        <v>4</v>
      </c>
      <c r="AF4403">
        <v>0</v>
      </c>
    </row>
    <row r="4404" spans="1:32" ht="15" x14ac:dyDescent="0.35">
      <c r="A4404" t="s">
        <v>5735</v>
      </c>
      <c r="B4404" s="1">
        <v>45971</v>
      </c>
      <c r="C4404">
        <f>YEAR(OrdersTable[[#This Row],[Order Date]])</f>
        <v>2025</v>
      </c>
      <c r="D4404" s="2">
        <f>DATE(YEAR(OrdersTable[[#This Row],[Order Date]]),MONTH(OrdersTable[[#This Row],[Order Date]]),1)</f>
        <v>45962</v>
      </c>
      <c r="E4404">
        <f>MONTH(OrdersTable[[#This Row],[Order Date]])</f>
        <v>11</v>
      </c>
      <c r="F4404" t="s">
        <v>1965</v>
      </c>
      <c r="G4404" t="str">
        <f>IF(OrdersTable[[#This Row],[Order Date]]=_xlfn.MINIFS(Order_Date, Customer_ID, OrdersTable[[#This Row],[Customer ID]]), "New", "Repeat")</f>
        <v>Repeat</v>
      </c>
      <c r="H4404" t="s">
        <v>32</v>
      </c>
      <c r="I4404" t="str">
        <f>INDEX(State!B:B,MATCH(OrdersTable[[#This Row],[State]],State!A:A,0))</f>
        <v>BR</v>
      </c>
      <c r="J4404" t="str">
        <f>INDEX(State!C:C,MATCH(OrdersTable[[#This Row],[State Code]],State!B:B,0))</f>
        <v>East</v>
      </c>
      <c r="K4404" t="s">
        <v>33</v>
      </c>
      <c r="L4404" t="s">
        <v>50</v>
      </c>
      <c r="M4404" t="s">
        <v>56</v>
      </c>
      <c r="N4404" t="str">
        <f>INDEX(Products!B:B,MATCH(OrdersTable[[#This Row],[Product ID]],Products!A:A,0))</f>
        <v>Vitamin C Face Serum</v>
      </c>
      <c r="O4404" t="str">
        <f>INDEX(Products!C:C,MATCH(OrdersTable[[#This Row],[Product ID]],Products!A:A,0))</f>
        <v>Skincare</v>
      </c>
      <c r="P4404">
        <v>2</v>
      </c>
      <c r="Q4404" s="5">
        <v>599</v>
      </c>
      <c r="R4404" s="74">
        <v>0.4</v>
      </c>
      <c r="S4404" s="75">
        <f>OrdersTable[[#This Row],[Quantity]]*OrdersTable[[#This Row],[Unit Price]]</f>
        <v>1198</v>
      </c>
      <c r="T4404" s="5">
        <f>OrdersTable[[#This Row],[Gross Sale]]*OrdersTable[[#This Row],[Discount_Clean2]]</f>
        <v>479.20000000000005</v>
      </c>
      <c r="U4404" s="5">
        <f>OrdersTable[[#This Row],[Gross Sale]]-OrdersTable[[#This Row],[Discount Amount]]</f>
        <v>718.8</v>
      </c>
      <c r="V4404" s="77">
        <f>INDEX(Products!E:E,MATCH(OrdersTable[[#This Row],[Product ID]],Products!A:A,0))</f>
        <v>180</v>
      </c>
      <c r="W4404" s="77">
        <f>OrdersTable[[#This Row],[Quantity]]*OrdersTable[[#This Row],[Unit Cost]]</f>
        <v>360</v>
      </c>
      <c r="X4404" s="77">
        <f>'Dropdown Lists'!$I$2*(1+OrdersTable[[#This Row],[Returned]])</f>
        <v>60</v>
      </c>
      <c r="Y4404" s="76">
        <f>OrdersTable[[#This Row],[Net Revenue]]-OrdersTable[[#This Row],[COGS]]-OrdersTable[[#This Row],[Shipping Cost]]</f>
        <v>298.79999999999995</v>
      </c>
      <c r="Z4404" s="78">
        <f>IFERROR(OrdersTable[[#This Row],[Profit]]/OrdersTable[[#This Row],[Net Revenue]],0)</f>
        <v>0.4156928213689482</v>
      </c>
      <c r="AA4404" t="s">
        <v>18</v>
      </c>
      <c r="AB4404" s="79">
        <v>45976</v>
      </c>
      <c r="AC4404">
        <f>OrdersTable[[#This Row],[Delivery Date]]-OrdersTable[[#This Row],[Order Date]]</f>
        <v>5</v>
      </c>
      <c r="AD4404" t="str">
        <f>IF(OrdersTable[[#This Row],[Delivery Days]]&lt;=2, "Express (≤2d)", IF(OrdersTable[[#This Row],[Delivery Days]]&lt;=4, "Standard (3-4d)", "Delayed (5d+)"))</f>
        <v>Delayed (5d+)</v>
      </c>
      <c r="AE4404">
        <v>3</v>
      </c>
      <c r="AF4404">
        <v>0</v>
      </c>
    </row>
    <row r="4405" spans="1:32" ht="15" x14ac:dyDescent="0.35">
      <c r="A4405" t="s">
        <v>6746</v>
      </c>
      <c r="B4405" s="1">
        <v>45971</v>
      </c>
      <c r="C4405">
        <f>YEAR(OrdersTable[[#This Row],[Order Date]])</f>
        <v>2025</v>
      </c>
      <c r="D4405" s="2">
        <f>DATE(YEAR(OrdersTable[[#This Row],[Order Date]]),MONTH(OrdersTable[[#This Row],[Order Date]]),1)</f>
        <v>45962</v>
      </c>
      <c r="E4405">
        <f>MONTH(OrdersTable[[#This Row],[Order Date]])</f>
        <v>11</v>
      </c>
      <c r="F4405" t="s">
        <v>4627</v>
      </c>
      <c r="G4405" t="str">
        <f>IF(OrdersTable[[#This Row],[Order Date]]=_xlfn.MINIFS(Order_Date, Customer_ID, OrdersTable[[#This Row],[Customer ID]]), "New", "Repeat")</f>
        <v>Repeat</v>
      </c>
      <c r="H4405" t="s">
        <v>37</v>
      </c>
      <c r="I4405" t="str">
        <f>INDEX(State!B:B,MATCH(OrdersTable[[#This Row],[State]],State!A:A,0))</f>
        <v>GJ</v>
      </c>
      <c r="J4405" t="str">
        <f>INDEX(State!C:C,MATCH(OrdersTable[[#This Row],[State Code]],State!B:B,0))</f>
        <v>West</v>
      </c>
      <c r="K4405" t="s">
        <v>38</v>
      </c>
      <c r="L4405" t="s">
        <v>23</v>
      </c>
      <c r="M4405" t="s">
        <v>24</v>
      </c>
      <c r="N4405" t="str">
        <f>INDEX(Products!B:B,MATCH(OrdersTable[[#This Row],[Product ID]],Products!A:A,0))</f>
        <v>Scented Candle Set</v>
      </c>
      <c r="O4405" t="str">
        <f>INDEX(Products!C:C,MATCH(OrdersTable[[#This Row],[Product ID]],Products!A:A,0))</f>
        <v>Home &amp; Kitchen</v>
      </c>
      <c r="P4405">
        <v>3</v>
      </c>
      <c r="Q4405" s="5">
        <v>699</v>
      </c>
      <c r="R4405" s="74">
        <v>0.25</v>
      </c>
      <c r="S4405" s="75">
        <f>OrdersTable[[#This Row],[Quantity]]*OrdersTable[[#This Row],[Unit Price]]</f>
        <v>2097</v>
      </c>
      <c r="T4405" s="5">
        <f>OrdersTable[[#This Row],[Gross Sale]]*OrdersTable[[#This Row],[Discount_Clean2]]</f>
        <v>524.25</v>
      </c>
      <c r="U4405" s="5">
        <f>OrdersTable[[#This Row],[Gross Sale]]-OrdersTable[[#This Row],[Discount Amount]]</f>
        <v>1572.75</v>
      </c>
      <c r="V4405" s="77">
        <f>INDEX(Products!E:E,MATCH(OrdersTable[[#This Row],[Product ID]],Products!A:A,0))</f>
        <v>245</v>
      </c>
      <c r="W4405" s="77">
        <f>OrdersTable[[#This Row],[Quantity]]*OrdersTable[[#This Row],[Unit Cost]]</f>
        <v>735</v>
      </c>
      <c r="X4405" s="77">
        <f>'Dropdown Lists'!$I$2*(1+OrdersTable[[#This Row],[Returned]])</f>
        <v>60</v>
      </c>
      <c r="Y4405" s="76">
        <f>OrdersTable[[#This Row],[Net Revenue]]-OrdersTable[[#This Row],[COGS]]-OrdersTable[[#This Row],[Shipping Cost]]</f>
        <v>777.75</v>
      </c>
      <c r="Z4405" s="78">
        <f>IFERROR(OrdersTable[[#This Row],[Profit]]/OrdersTable[[#This Row],[Net Revenue]],0)</f>
        <v>0.49451597520267049</v>
      </c>
      <c r="AA4405" t="s">
        <v>2522</v>
      </c>
      <c r="AB4405" s="79">
        <v>45973</v>
      </c>
      <c r="AC4405">
        <f>OrdersTable[[#This Row],[Delivery Date]]-OrdersTable[[#This Row],[Order Date]]</f>
        <v>2</v>
      </c>
      <c r="AD4405" t="str">
        <f>IF(OrdersTable[[#This Row],[Delivery Days]]&lt;=2, "Express (≤2d)", IF(OrdersTable[[#This Row],[Delivery Days]]&lt;=4, "Standard (3-4d)", "Delayed (5d+)"))</f>
        <v>Express (≤2d)</v>
      </c>
      <c r="AF4405">
        <v>0</v>
      </c>
    </row>
    <row r="4406" spans="1:32" ht="15" x14ac:dyDescent="0.35">
      <c r="A4406" t="s">
        <v>2184</v>
      </c>
      <c r="B4406" s="1">
        <v>45971</v>
      </c>
      <c r="C4406">
        <f>YEAR(OrdersTable[[#This Row],[Order Date]])</f>
        <v>2025</v>
      </c>
      <c r="D4406" s="2">
        <f>DATE(YEAR(OrdersTable[[#This Row],[Order Date]]),MONTH(OrdersTable[[#This Row],[Order Date]]),1)</f>
        <v>45962</v>
      </c>
      <c r="E4406">
        <f>MONTH(OrdersTable[[#This Row],[Order Date]])</f>
        <v>11</v>
      </c>
      <c r="F4406" t="s">
        <v>36</v>
      </c>
      <c r="G4406" t="str">
        <f>IF(OrdersTable[[#This Row],[Order Date]]=_xlfn.MINIFS(Order_Date, Customer_ID, OrdersTable[[#This Row],[Customer ID]]), "New", "Repeat")</f>
        <v>Repeat</v>
      </c>
      <c r="H4406" t="s">
        <v>43</v>
      </c>
      <c r="I4406" t="str">
        <f>INDEX(State!B:B,MATCH(OrdersTable[[#This Row],[State]],State!A:A,0))</f>
        <v>MP</v>
      </c>
      <c r="J4406" t="str">
        <f>INDEX(State!C:C,MATCH(OrdersTable[[#This Row],[State Code]],State!B:B,0))</f>
        <v>West</v>
      </c>
      <c r="K4406" t="s">
        <v>250</v>
      </c>
      <c r="L4406" t="s">
        <v>50</v>
      </c>
      <c r="M4406" t="s">
        <v>106</v>
      </c>
      <c r="N4406" t="str">
        <f>INDEX(Products!B:B,MATCH(OrdersTable[[#This Row],[Product ID]],Products!A:A,0))</f>
        <v>Keratin Hair Mask</v>
      </c>
      <c r="O4406" t="str">
        <f>INDEX(Products!C:C,MATCH(OrdersTable[[#This Row],[Product ID]],Products!A:A,0))</f>
        <v>Haircare</v>
      </c>
      <c r="P4406">
        <v>1</v>
      </c>
      <c r="Q4406" s="5">
        <v>549</v>
      </c>
      <c r="R4406" s="74">
        <v>0.25</v>
      </c>
      <c r="S4406" s="75">
        <f>OrdersTable[[#This Row],[Quantity]]*OrdersTable[[#This Row],[Unit Price]]</f>
        <v>549</v>
      </c>
      <c r="T4406" s="5">
        <f>OrdersTable[[#This Row],[Gross Sale]]*OrdersTable[[#This Row],[Discount_Clean2]]</f>
        <v>137.25</v>
      </c>
      <c r="U4406" s="5">
        <f>OrdersTable[[#This Row],[Gross Sale]]-OrdersTable[[#This Row],[Discount Amount]]</f>
        <v>411.75</v>
      </c>
      <c r="V4406" s="77">
        <f>INDEX(Products!E:E,MATCH(OrdersTable[[#This Row],[Product ID]],Products!A:A,0))</f>
        <v>170</v>
      </c>
      <c r="W4406" s="77">
        <f>OrdersTable[[#This Row],[Quantity]]*OrdersTable[[#This Row],[Unit Cost]]</f>
        <v>170</v>
      </c>
      <c r="X4406" s="77">
        <f>'Dropdown Lists'!$I$2*(1+OrdersTable[[#This Row],[Returned]])</f>
        <v>60</v>
      </c>
      <c r="Y4406" s="76">
        <f>OrdersTable[[#This Row],[Net Revenue]]-OrdersTable[[#This Row],[COGS]]-OrdersTable[[#This Row],[Shipping Cost]]</f>
        <v>181.75</v>
      </c>
      <c r="Z4406" s="78">
        <f>IFERROR(OrdersTable[[#This Row],[Profit]]/OrdersTable[[#This Row],[Net Revenue]],0)</f>
        <v>0.44140862173649059</v>
      </c>
      <c r="AA4406" t="s">
        <v>18</v>
      </c>
      <c r="AB4406" s="79">
        <v>45978</v>
      </c>
      <c r="AC4406">
        <f>OrdersTable[[#This Row],[Delivery Date]]-OrdersTable[[#This Row],[Order Date]]</f>
        <v>7</v>
      </c>
      <c r="AD4406" t="str">
        <f>IF(OrdersTable[[#This Row],[Delivery Days]]&lt;=2, "Express (≤2d)", IF(OrdersTable[[#This Row],[Delivery Days]]&lt;=4, "Standard (3-4d)", "Delayed (5d+)"))</f>
        <v>Delayed (5d+)</v>
      </c>
      <c r="AE4406">
        <v>3</v>
      </c>
      <c r="AF4406">
        <v>0</v>
      </c>
    </row>
    <row r="4407" spans="1:32" ht="15" x14ac:dyDescent="0.35">
      <c r="A4407" t="s">
        <v>393</v>
      </c>
      <c r="B4407" s="1">
        <v>45971</v>
      </c>
      <c r="C4407">
        <f>YEAR(OrdersTable[[#This Row],[Order Date]])</f>
        <v>2025</v>
      </c>
      <c r="D4407" s="2">
        <f>DATE(YEAR(OrdersTable[[#This Row],[Order Date]]),MONTH(OrdersTable[[#This Row],[Order Date]]),1)</f>
        <v>45962</v>
      </c>
      <c r="E4407">
        <f>MONTH(OrdersTable[[#This Row],[Order Date]])</f>
        <v>11</v>
      </c>
      <c r="F4407" t="s">
        <v>394</v>
      </c>
      <c r="G4407" t="str">
        <f>IF(OrdersTable[[#This Row],[Order Date]]=_xlfn.MINIFS(Order_Date, Customer_ID, OrdersTable[[#This Row],[Customer ID]]), "New", "Repeat")</f>
        <v>Repeat</v>
      </c>
      <c r="H4407" t="s">
        <v>43</v>
      </c>
      <c r="I4407" t="str">
        <f>INDEX(State!B:B,MATCH(OrdersTable[[#This Row],[State]],State!A:A,0))</f>
        <v>MP</v>
      </c>
      <c r="J4407" t="str">
        <f>INDEX(State!C:C,MATCH(OrdersTable[[#This Row],[State Code]],State!B:B,0))</f>
        <v>West</v>
      </c>
      <c r="K4407" t="s">
        <v>44</v>
      </c>
      <c r="L4407" t="s">
        <v>39</v>
      </c>
      <c r="M4407" t="s">
        <v>148</v>
      </c>
      <c r="N4407" t="str">
        <f>INDEX(Products!B:B,MATCH(OrdersTable[[#This Row],[Product ID]],Products!A:A,0))</f>
        <v>Smartwatch Strap</v>
      </c>
      <c r="O4407" t="str">
        <f>INDEX(Products!C:C,MATCH(OrdersTable[[#This Row],[Product ID]],Products!A:A,0))</f>
        <v>Electronics</v>
      </c>
      <c r="P4407">
        <v>1</v>
      </c>
      <c r="Q4407" s="5">
        <v>499</v>
      </c>
      <c r="R4407" s="74">
        <v>0.2</v>
      </c>
      <c r="S4407" s="75">
        <f>OrdersTable[[#This Row],[Quantity]]*OrdersTable[[#This Row],[Unit Price]]</f>
        <v>499</v>
      </c>
      <c r="T4407" s="5">
        <f>OrdersTable[[#This Row],[Gross Sale]]*OrdersTable[[#This Row],[Discount_Clean2]]</f>
        <v>99.800000000000011</v>
      </c>
      <c r="U4407" s="5">
        <f>OrdersTable[[#This Row],[Gross Sale]]-OrdersTable[[#This Row],[Discount Amount]]</f>
        <v>399.2</v>
      </c>
      <c r="V4407" s="77">
        <f>INDEX(Products!E:E,MATCH(OrdersTable[[#This Row],[Product ID]],Products!A:A,0))</f>
        <v>200</v>
      </c>
      <c r="W4407" s="77">
        <f>OrdersTable[[#This Row],[Quantity]]*OrdersTable[[#This Row],[Unit Cost]]</f>
        <v>200</v>
      </c>
      <c r="X4407" s="77">
        <f>'Dropdown Lists'!$I$2*(1+OrdersTable[[#This Row],[Returned]])</f>
        <v>60</v>
      </c>
      <c r="Y4407" s="76">
        <f>OrdersTable[[#This Row],[Net Revenue]]-OrdersTable[[#This Row],[COGS]]-OrdersTable[[#This Row],[Shipping Cost]]</f>
        <v>139.19999999999999</v>
      </c>
      <c r="Z4407" s="78">
        <f>IFERROR(OrdersTable[[#This Row],[Profit]]/OrdersTable[[#This Row],[Net Revenue]],0)</f>
        <v>0.34869739478957912</v>
      </c>
      <c r="AA4407" t="s">
        <v>18</v>
      </c>
      <c r="AB4407" s="79">
        <v>45977</v>
      </c>
      <c r="AC4407">
        <f>OrdersTable[[#This Row],[Delivery Date]]-OrdersTable[[#This Row],[Order Date]]</f>
        <v>6</v>
      </c>
      <c r="AD4407" t="str">
        <f>IF(OrdersTable[[#This Row],[Delivery Days]]&lt;=2, "Express (≤2d)", IF(OrdersTable[[#This Row],[Delivery Days]]&lt;=4, "Standard (3-4d)", "Delayed (5d+)"))</f>
        <v>Delayed (5d+)</v>
      </c>
      <c r="AE4407">
        <v>4</v>
      </c>
      <c r="AF4407">
        <v>0</v>
      </c>
    </row>
    <row r="4408" spans="1:32" ht="15" x14ac:dyDescent="0.35">
      <c r="A4408" t="s">
        <v>4881</v>
      </c>
      <c r="B4408" s="1">
        <v>45971</v>
      </c>
      <c r="C4408">
        <f>YEAR(OrdersTable[[#This Row],[Order Date]])</f>
        <v>2025</v>
      </c>
      <c r="D4408" s="2">
        <f>DATE(YEAR(OrdersTable[[#This Row],[Order Date]]),MONTH(OrdersTable[[#This Row],[Order Date]]),1)</f>
        <v>45962</v>
      </c>
      <c r="E4408">
        <f>MONTH(OrdersTable[[#This Row],[Order Date]])</f>
        <v>11</v>
      </c>
      <c r="F4408" t="s">
        <v>1785</v>
      </c>
      <c r="G4408" t="str">
        <f>IF(OrdersTable[[#This Row],[Order Date]]=_xlfn.MINIFS(Order_Date, Customer_ID, OrdersTable[[#This Row],[Customer ID]]), "New", "Repeat")</f>
        <v>Repeat</v>
      </c>
      <c r="H4408" t="s">
        <v>27</v>
      </c>
      <c r="I4408" t="str">
        <f>INDEX(State!B:B,MATCH(OrdersTable[[#This Row],[State]],State!A:A,0))</f>
        <v>WB</v>
      </c>
      <c r="J4408" t="str">
        <f>INDEX(State!C:C,MATCH(OrdersTable[[#This Row],[State Code]],State!B:B,0))</f>
        <v>East</v>
      </c>
      <c r="K4408" t="s">
        <v>28</v>
      </c>
      <c r="L4408" t="s">
        <v>16</v>
      </c>
      <c r="M4408" t="s">
        <v>34</v>
      </c>
      <c r="N4408" t="str">
        <f>INDEX(Products!B:B,MATCH(OrdersTable[[#This Row],[Product ID]],Products!A:A,0))</f>
        <v>Flip Flops</v>
      </c>
      <c r="O4408" t="str">
        <f>INDEX(Products!C:C,MATCH(OrdersTable[[#This Row],[Product ID]],Products!A:A,0))</f>
        <v>Footwear</v>
      </c>
      <c r="P4408">
        <v>2</v>
      </c>
      <c r="Q4408" s="5">
        <v>399</v>
      </c>
      <c r="R4408" s="74">
        <v>0.1</v>
      </c>
      <c r="S4408" s="75">
        <f>OrdersTable[[#This Row],[Quantity]]*OrdersTable[[#This Row],[Unit Price]]</f>
        <v>798</v>
      </c>
      <c r="T4408" s="5">
        <f>OrdersTable[[#This Row],[Gross Sale]]*OrdersTable[[#This Row],[Discount_Clean2]]</f>
        <v>79.800000000000011</v>
      </c>
      <c r="U4408" s="5">
        <f>OrdersTable[[#This Row],[Gross Sale]]-OrdersTable[[#This Row],[Discount Amount]]</f>
        <v>718.2</v>
      </c>
      <c r="V4408" s="77">
        <f>INDEX(Products!E:E,MATCH(OrdersTable[[#This Row],[Product ID]],Products!A:A,0))</f>
        <v>152</v>
      </c>
      <c r="W4408" s="77">
        <f>OrdersTable[[#This Row],[Quantity]]*OrdersTable[[#This Row],[Unit Cost]]</f>
        <v>304</v>
      </c>
      <c r="X4408" s="77">
        <f>'Dropdown Lists'!$I$2*(1+OrdersTable[[#This Row],[Returned]])</f>
        <v>120</v>
      </c>
      <c r="Y4408" s="76">
        <f>OrdersTable[[#This Row],[Net Revenue]]-OrdersTable[[#This Row],[COGS]]-OrdersTable[[#This Row],[Shipping Cost]]</f>
        <v>294.20000000000005</v>
      </c>
      <c r="Z4408" s="78">
        <f>IFERROR(OrdersTable[[#This Row],[Profit]]/OrdersTable[[#This Row],[Net Revenue]],0)</f>
        <v>0.40963519910888335</v>
      </c>
      <c r="AA4408" t="s">
        <v>4450</v>
      </c>
      <c r="AB4408" s="79">
        <v>45975</v>
      </c>
      <c r="AC4408">
        <f>OrdersTable[[#This Row],[Delivery Date]]-OrdersTable[[#This Row],[Order Date]]</f>
        <v>4</v>
      </c>
      <c r="AD4408" t="str">
        <f>IF(OrdersTable[[#This Row],[Delivery Days]]&lt;=2, "Express (≤2d)", IF(OrdersTable[[#This Row],[Delivery Days]]&lt;=4, "Standard (3-4d)", "Delayed (5d+)"))</f>
        <v>Standard (3-4d)</v>
      </c>
      <c r="AF4408">
        <v>1</v>
      </c>
    </row>
    <row r="4409" spans="1:32" ht="15" x14ac:dyDescent="0.35">
      <c r="A4409" t="s">
        <v>5453</v>
      </c>
      <c r="B4409" s="1">
        <v>45971</v>
      </c>
      <c r="C4409">
        <f>YEAR(OrdersTable[[#This Row],[Order Date]])</f>
        <v>2025</v>
      </c>
      <c r="D4409" s="2">
        <f>DATE(YEAR(OrdersTable[[#This Row],[Order Date]]),MONTH(OrdersTable[[#This Row],[Order Date]]),1)</f>
        <v>45962</v>
      </c>
      <c r="E4409">
        <f>MONTH(OrdersTable[[#This Row],[Order Date]])</f>
        <v>11</v>
      </c>
      <c r="F4409" t="s">
        <v>1606</v>
      </c>
      <c r="G4409" t="str">
        <f>IF(OrdersTable[[#This Row],[Order Date]]=_xlfn.MINIFS(Order_Date, Customer_ID, OrdersTable[[#This Row],[Customer ID]]), "New", "Repeat")</f>
        <v>New</v>
      </c>
      <c r="H4409" t="s">
        <v>27</v>
      </c>
      <c r="I4409" t="str">
        <f>INDEX(State!B:B,MATCH(OrdersTable[[#This Row],[State]],State!A:A,0))</f>
        <v>WB</v>
      </c>
      <c r="J4409" t="str">
        <f>INDEX(State!C:C,MATCH(OrdersTable[[#This Row],[State Code]],State!B:B,0))</f>
        <v>East</v>
      </c>
      <c r="K4409" t="s">
        <v>28</v>
      </c>
      <c r="L4409" t="s">
        <v>39</v>
      </c>
      <c r="M4409" t="s">
        <v>56</v>
      </c>
      <c r="N4409" t="str">
        <f>INDEX(Products!B:B,MATCH(OrdersTable[[#This Row],[Product ID]],Products!A:A,0))</f>
        <v>Vitamin C Face Serum</v>
      </c>
      <c r="O4409" t="str">
        <f>INDEX(Products!C:C,MATCH(OrdersTable[[#This Row],[Product ID]],Products!A:A,0))</f>
        <v>Skincare</v>
      </c>
      <c r="P4409">
        <v>2</v>
      </c>
      <c r="Q4409" s="5">
        <v>599</v>
      </c>
      <c r="R4409" s="74">
        <v>0.3</v>
      </c>
      <c r="S4409" s="75">
        <f>OrdersTable[[#This Row],[Quantity]]*OrdersTable[[#This Row],[Unit Price]]</f>
        <v>1198</v>
      </c>
      <c r="T4409" s="5">
        <f>OrdersTable[[#This Row],[Gross Sale]]*OrdersTable[[#This Row],[Discount_Clean2]]</f>
        <v>359.4</v>
      </c>
      <c r="U4409" s="5">
        <f>OrdersTable[[#This Row],[Gross Sale]]-OrdersTable[[#This Row],[Discount Amount]]</f>
        <v>838.6</v>
      </c>
      <c r="V4409" s="77">
        <f>INDEX(Products!E:E,MATCH(OrdersTable[[#This Row],[Product ID]],Products!A:A,0))</f>
        <v>180</v>
      </c>
      <c r="W4409" s="77">
        <f>OrdersTable[[#This Row],[Quantity]]*OrdersTable[[#This Row],[Unit Cost]]</f>
        <v>360</v>
      </c>
      <c r="X4409" s="77">
        <f>'Dropdown Lists'!$I$2*(1+OrdersTable[[#This Row],[Returned]])</f>
        <v>60</v>
      </c>
      <c r="Y4409" s="76">
        <f>OrdersTable[[#This Row],[Net Revenue]]-OrdersTable[[#This Row],[COGS]]-OrdersTable[[#This Row],[Shipping Cost]]</f>
        <v>418.6</v>
      </c>
      <c r="Z4409" s="78">
        <f>IFERROR(OrdersTable[[#This Row],[Profit]]/OrdersTable[[#This Row],[Net Revenue]],0)</f>
        <v>0.4991652754590985</v>
      </c>
      <c r="AA4409" t="s">
        <v>2522</v>
      </c>
      <c r="AB4409" s="79">
        <v>45976</v>
      </c>
      <c r="AC4409">
        <f>OrdersTable[[#This Row],[Delivery Date]]-OrdersTable[[#This Row],[Order Date]]</f>
        <v>5</v>
      </c>
      <c r="AD4409" t="str">
        <f>IF(OrdersTable[[#This Row],[Delivery Days]]&lt;=2, "Express (≤2d)", IF(OrdersTable[[#This Row],[Delivery Days]]&lt;=4, "Standard (3-4d)", "Delayed (5d+)"))</f>
        <v>Delayed (5d+)</v>
      </c>
      <c r="AE4409">
        <v>5</v>
      </c>
      <c r="AF4409">
        <v>0</v>
      </c>
    </row>
    <row r="4410" spans="1:32" ht="15" x14ac:dyDescent="0.35">
      <c r="A4410" t="s">
        <v>1603</v>
      </c>
      <c r="B4410" s="1">
        <v>45971</v>
      </c>
      <c r="C4410">
        <f>YEAR(OrdersTable[[#This Row],[Order Date]])</f>
        <v>2025</v>
      </c>
      <c r="D4410" s="2">
        <f>DATE(YEAR(OrdersTable[[#This Row],[Order Date]]),MONTH(OrdersTable[[#This Row],[Order Date]]),1)</f>
        <v>45962</v>
      </c>
      <c r="E4410">
        <f>MONTH(OrdersTable[[#This Row],[Order Date]])</f>
        <v>11</v>
      </c>
      <c r="F4410" t="s">
        <v>1604</v>
      </c>
      <c r="G4410" t="str">
        <f>IF(OrdersTable[[#This Row],[Order Date]]=_xlfn.MINIFS(Order_Date, Customer_ID, OrdersTable[[#This Row],[Customer ID]]), "New", "Repeat")</f>
        <v>Repeat</v>
      </c>
      <c r="H4410" t="s">
        <v>95</v>
      </c>
      <c r="I4410" t="str">
        <f>INDEX(State!B:B,MATCH(OrdersTable[[#This Row],[State]],State!A:A,0))</f>
        <v>TG</v>
      </c>
      <c r="J4410" t="str">
        <f>INDEX(State!C:C,MATCH(OrdersTable[[#This Row],[State Code]],State!B:B,0))</f>
        <v>South</v>
      </c>
      <c r="K4410" t="s">
        <v>96</v>
      </c>
      <c r="L4410" t="s">
        <v>39</v>
      </c>
      <c r="M4410" t="s">
        <v>45</v>
      </c>
      <c r="N4410" t="str">
        <f>INDEX(Products!B:B,MATCH(OrdersTable[[#This Row],[Product ID]],Products!A:A,0))</f>
        <v>Argan Shampoo</v>
      </c>
      <c r="O4410" t="str">
        <f>INDEX(Products!C:C,MATCH(OrdersTable[[#This Row],[Product ID]],Products!A:A,0))</f>
        <v>Haircare</v>
      </c>
      <c r="P4410">
        <v>1</v>
      </c>
      <c r="Q4410" s="5">
        <v>449</v>
      </c>
      <c r="R4410" s="74">
        <v>0.05</v>
      </c>
      <c r="S4410" s="75">
        <f>OrdersTable[[#This Row],[Quantity]]*OrdersTable[[#This Row],[Unit Price]]</f>
        <v>449</v>
      </c>
      <c r="T4410" s="5">
        <f>OrdersTable[[#This Row],[Gross Sale]]*OrdersTable[[#This Row],[Discount_Clean2]]</f>
        <v>22.450000000000003</v>
      </c>
      <c r="U4410" s="5">
        <f>OrdersTable[[#This Row],[Gross Sale]]-OrdersTable[[#This Row],[Discount Amount]]</f>
        <v>426.55</v>
      </c>
      <c r="V4410" s="77">
        <f>INDEX(Products!E:E,MATCH(OrdersTable[[#This Row],[Product ID]],Products!A:A,0))</f>
        <v>148</v>
      </c>
      <c r="W4410" s="77">
        <f>OrdersTable[[#This Row],[Quantity]]*OrdersTable[[#This Row],[Unit Cost]]</f>
        <v>148</v>
      </c>
      <c r="X4410" s="77">
        <f>'Dropdown Lists'!$I$2*(1+OrdersTable[[#This Row],[Returned]])</f>
        <v>60</v>
      </c>
      <c r="Y4410" s="76">
        <f>OrdersTable[[#This Row],[Net Revenue]]-OrdersTable[[#This Row],[COGS]]-OrdersTable[[#This Row],[Shipping Cost]]</f>
        <v>218.55</v>
      </c>
      <c r="Z4410" s="78">
        <f>IFERROR(OrdersTable[[#This Row],[Profit]]/OrdersTable[[#This Row],[Net Revenue]],0)</f>
        <v>0.51236666275934828</v>
      </c>
      <c r="AA4410" t="s">
        <v>18</v>
      </c>
      <c r="AB4410" s="79">
        <v>45973</v>
      </c>
      <c r="AC4410">
        <f>OrdersTable[[#This Row],[Delivery Date]]-OrdersTable[[#This Row],[Order Date]]</f>
        <v>2</v>
      </c>
      <c r="AD4410" t="str">
        <f>IF(OrdersTable[[#This Row],[Delivery Days]]&lt;=2, "Express (≤2d)", IF(OrdersTable[[#This Row],[Delivery Days]]&lt;=4, "Standard (3-4d)", "Delayed (5d+)"))</f>
        <v>Express (≤2d)</v>
      </c>
      <c r="AF4410">
        <v>0</v>
      </c>
    </row>
    <row r="4411" spans="1:32" ht="15" x14ac:dyDescent="0.35">
      <c r="A4411" t="s">
        <v>395</v>
      </c>
      <c r="B4411" s="1">
        <v>45971</v>
      </c>
      <c r="C4411">
        <f>YEAR(OrdersTable[[#This Row],[Order Date]])</f>
        <v>2025</v>
      </c>
      <c r="D4411" s="2">
        <f>DATE(YEAR(OrdersTable[[#This Row],[Order Date]]),MONTH(OrdersTable[[#This Row],[Order Date]]),1)</f>
        <v>45962</v>
      </c>
      <c r="E4411">
        <f>MONTH(OrdersTable[[#This Row],[Order Date]])</f>
        <v>11</v>
      </c>
      <c r="F4411" t="s">
        <v>394</v>
      </c>
      <c r="G4411" t="str">
        <f>IF(OrdersTable[[#This Row],[Order Date]]=_xlfn.MINIFS(Order_Date, Customer_ID, OrdersTable[[#This Row],[Customer ID]]), "New", "Repeat")</f>
        <v>Repeat</v>
      </c>
      <c r="H4411" t="s">
        <v>167</v>
      </c>
      <c r="I4411" t="str">
        <f>INDEX(State!B:B,MATCH(OrdersTable[[#This Row],[State]],State!A:A,0))</f>
        <v>KA</v>
      </c>
      <c r="J4411" t="str">
        <f>INDEX(State!C:C,MATCH(OrdersTable[[#This Row],[State Code]],State!B:B,0))</f>
        <v>South</v>
      </c>
      <c r="K4411" t="s">
        <v>190</v>
      </c>
      <c r="L4411" t="s">
        <v>50</v>
      </c>
      <c r="M4411" t="s">
        <v>106</v>
      </c>
      <c r="N4411" t="str">
        <f>INDEX(Products!B:B,MATCH(OrdersTable[[#This Row],[Product ID]],Products!A:A,0))</f>
        <v>Keratin Hair Mask</v>
      </c>
      <c r="O4411" t="str">
        <f>INDEX(Products!C:C,MATCH(OrdersTable[[#This Row],[Product ID]],Products!A:A,0))</f>
        <v>Haircare</v>
      </c>
      <c r="P4411">
        <v>1</v>
      </c>
      <c r="Q4411" s="5">
        <v>549</v>
      </c>
      <c r="R4411" s="74">
        <v>0.35</v>
      </c>
      <c r="S4411" s="75">
        <f>OrdersTable[[#This Row],[Quantity]]*OrdersTable[[#This Row],[Unit Price]]</f>
        <v>549</v>
      </c>
      <c r="T4411" s="5">
        <f>OrdersTable[[#This Row],[Gross Sale]]*OrdersTable[[#This Row],[Discount_Clean2]]</f>
        <v>192.14999999999998</v>
      </c>
      <c r="U4411" s="5">
        <f>OrdersTable[[#This Row],[Gross Sale]]-OrdersTable[[#This Row],[Discount Amount]]</f>
        <v>356.85</v>
      </c>
      <c r="V4411" s="77">
        <f>INDEX(Products!E:E,MATCH(OrdersTable[[#This Row],[Product ID]],Products!A:A,0))</f>
        <v>170</v>
      </c>
      <c r="W4411" s="77">
        <f>OrdersTable[[#This Row],[Quantity]]*OrdersTable[[#This Row],[Unit Cost]]</f>
        <v>170</v>
      </c>
      <c r="X4411" s="77">
        <f>'Dropdown Lists'!$I$2*(1+OrdersTable[[#This Row],[Returned]])</f>
        <v>60</v>
      </c>
      <c r="Y4411" s="76">
        <f>OrdersTable[[#This Row],[Net Revenue]]-OrdersTable[[#This Row],[COGS]]-OrdersTable[[#This Row],[Shipping Cost]]</f>
        <v>126.85000000000002</v>
      </c>
      <c r="Z4411" s="78">
        <f>IFERROR(OrdersTable[[#This Row],[Profit]]/OrdersTable[[#This Row],[Net Revenue]],0)</f>
        <v>0.35547148661902767</v>
      </c>
      <c r="AA4411" t="s">
        <v>18</v>
      </c>
      <c r="AB4411" s="79">
        <v>45973</v>
      </c>
      <c r="AC4411">
        <f>OrdersTable[[#This Row],[Delivery Date]]-OrdersTable[[#This Row],[Order Date]]</f>
        <v>2</v>
      </c>
      <c r="AD4411" t="str">
        <f>IF(OrdersTable[[#This Row],[Delivery Days]]&lt;=2, "Express (≤2d)", IF(OrdersTable[[#This Row],[Delivery Days]]&lt;=4, "Standard (3-4d)", "Delayed (5d+)"))</f>
        <v>Express (≤2d)</v>
      </c>
      <c r="AE4411">
        <v>4</v>
      </c>
      <c r="AF4411">
        <v>0</v>
      </c>
    </row>
    <row r="4412" spans="1:32" ht="15" x14ac:dyDescent="0.35">
      <c r="A4412" t="s">
        <v>5836</v>
      </c>
      <c r="B4412" s="1">
        <v>45971</v>
      </c>
      <c r="C4412">
        <f>YEAR(OrdersTable[[#This Row],[Order Date]])</f>
        <v>2025</v>
      </c>
      <c r="D4412" s="2">
        <f>DATE(YEAR(OrdersTable[[#This Row],[Order Date]]),MONTH(OrdersTable[[#This Row],[Order Date]]),1)</f>
        <v>45962</v>
      </c>
      <c r="E4412">
        <f>MONTH(OrdersTable[[#This Row],[Order Date]])</f>
        <v>11</v>
      </c>
      <c r="F4412" t="s">
        <v>5837</v>
      </c>
      <c r="G4412" t="str">
        <f>IF(OrdersTable[[#This Row],[Order Date]]=_xlfn.MINIFS(Order_Date, Customer_ID, OrdersTable[[#This Row],[Customer ID]]), "New", "Repeat")</f>
        <v>Repeat</v>
      </c>
      <c r="H4412" t="s">
        <v>167</v>
      </c>
      <c r="I4412" t="str">
        <f>INDEX(State!B:B,MATCH(OrdersTable[[#This Row],[State]],State!A:A,0))</f>
        <v>KA</v>
      </c>
      <c r="J4412" t="str">
        <f>INDEX(State!C:C,MATCH(OrdersTable[[#This Row],[State Code]],State!B:B,0))</f>
        <v>South</v>
      </c>
      <c r="K4412" t="s">
        <v>190</v>
      </c>
      <c r="L4412" t="s">
        <v>65</v>
      </c>
      <c r="M4412" t="s">
        <v>56</v>
      </c>
      <c r="N4412" t="str">
        <f>INDEX(Products!B:B,MATCH(OrdersTable[[#This Row],[Product ID]],Products!A:A,0))</f>
        <v>Vitamin C Face Serum</v>
      </c>
      <c r="O4412" t="str">
        <f>INDEX(Products!C:C,MATCH(OrdersTable[[#This Row],[Product ID]],Products!A:A,0))</f>
        <v>Skincare</v>
      </c>
      <c r="P4412">
        <v>2</v>
      </c>
      <c r="Q4412" s="5">
        <v>599</v>
      </c>
      <c r="R4412" s="74">
        <v>0.25</v>
      </c>
      <c r="S4412" s="75">
        <f>OrdersTable[[#This Row],[Quantity]]*OrdersTable[[#This Row],[Unit Price]]</f>
        <v>1198</v>
      </c>
      <c r="T4412" s="5">
        <f>OrdersTable[[#This Row],[Gross Sale]]*OrdersTable[[#This Row],[Discount_Clean2]]</f>
        <v>299.5</v>
      </c>
      <c r="U4412" s="5">
        <f>OrdersTable[[#This Row],[Gross Sale]]-OrdersTable[[#This Row],[Discount Amount]]</f>
        <v>898.5</v>
      </c>
      <c r="V4412" s="77">
        <f>INDEX(Products!E:E,MATCH(OrdersTable[[#This Row],[Product ID]],Products!A:A,0))</f>
        <v>180</v>
      </c>
      <c r="W4412" s="77">
        <f>OrdersTable[[#This Row],[Quantity]]*OrdersTable[[#This Row],[Unit Cost]]</f>
        <v>360</v>
      </c>
      <c r="X4412" s="77">
        <f>'Dropdown Lists'!$I$2*(1+OrdersTable[[#This Row],[Returned]])</f>
        <v>60</v>
      </c>
      <c r="Y4412" s="76">
        <f>OrdersTable[[#This Row],[Net Revenue]]-OrdersTable[[#This Row],[COGS]]-OrdersTable[[#This Row],[Shipping Cost]]</f>
        <v>478.5</v>
      </c>
      <c r="Z4412" s="78">
        <f>IFERROR(OrdersTable[[#This Row],[Profit]]/OrdersTable[[#This Row],[Net Revenue]],0)</f>
        <v>0.53255425709515858</v>
      </c>
      <c r="AA4412" t="s">
        <v>18</v>
      </c>
      <c r="AB4412" s="79">
        <v>45975</v>
      </c>
      <c r="AC4412">
        <f>OrdersTable[[#This Row],[Delivery Date]]-OrdersTable[[#This Row],[Order Date]]</f>
        <v>4</v>
      </c>
      <c r="AD4412" t="str">
        <f>IF(OrdersTable[[#This Row],[Delivery Days]]&lt;=2, "Express (≤2d)", IF(OrdersTable[[#This Row],[Delivery Days]]&lt;=4, "Standard (3-4d)", "Delayed (5d+)"))</f>
        <v>Standard (3-4d)</v>
      </c>
      <c r="AE4412">
        <v>5</v>
      </c>
      <c r="AF4412">
        <v>0</v>
      </c>
    </row>
    <row r="4413" spans="1:32" ht="15" x14ac:dyDescent="0.35">
      <c r="A4413" t="s">
        <v>5046</v>
      </c>
      <c r="B4413" s="1">
        <v>45972</v>
      </c>
      <c r="C4413">
        <f>YEAR(OrdersTable[[#This Row],[Order Date]])</f>
        <v>2025</v>
      </c>
      <c r="D4413" s="2">
        <f>DATE(YEAR(OrdersTable[[#This Row],[Order Date]]),MONTH(OrdersTable[[#This Row],[Order Date]]),1)</f>
        <v>45962</v>
      </c>
      <c r="E4413">
        <f>MONTH(OrdersTable[[#This Row],[Order Date]])</f>
        <v>11</v>
      </c>
      <c r="F4413" t="s">
        <v>5047</v>
      </c>
      <c r="G4413" t="str">
        <f>IF(OrdersTable[[#This Row],[Order Date]]=_xlfn.MINIFS(Order_Date, Customer_ID, OrdersTable[[#This Row],[Customer ID]]), "New", "Repeat")</f>
        <v>New</v>
      </c>
      <c r="H4413" t="s">
        <v>210</v>
      </c>
      <c r="I4413" t="str">
        <f>INDEX(State!B:B,MATCH(OrdersTable[[#This Row],[State]],State!A:A,0))</f>
        <v>JK</v>
      </c>
      <c r="J4413" t="str">
        <f>INDEX(State!C:C,MATCH(OrdersTable[[#This Row],[State Code]],State!B:B,0))</f>
        <v>North</v>
      </c>
      <c r="K4413" t="s">
        <v>211</v>
      </c>
      <c r="L4413" t="s">
        <v>23</v>
      </c>
      <c r="M4413" t="s">
        <v>106</v>
      </c>
      <c r="N4413" t="str">
        <f>INDEX(Products!B:B,MATCH(OrdersTable[[#This Row],[Product ID]],Products!A:A,0))</f>
        <v>Keratin Hair Mask</v>
      </c>
      <c r="O4413" t="str">
        <f>INDEX(Products!C:C,MATCH(OrdersTable[[#This Row],[Product ID]],Products!A:A,0))</f>
        <v>Haircare</v>
      </c>
      <c r="P4413">
        <v>2</v>
      </c>
      <c r="Q4413" s="5">
        <v>549</v>
      </c>
      <c r="R4413" s="74">
        <v>0.3</v>
      </c>
      <c r="S4413" s="75">
        <f>OrdersTable[[#This Row],[Quantity]]*OrdersTable[[#This Row],[Unit Price]]</f>
        <v>1098</v>
      </c>
      <c r="T4413" s="5">
        <f>OrdersTable[[#This Row],[Gross Sale]]*OrdersTable[[#This Row],[Discount_Clean2]]</f>
        <v>329.4</v>
      </c>
      <c r="U4413" s="5">
        <f>OrdersTable[[#This Row],[Gross Sale]]-OrdersTable[[#This Row],[Discount Amount]]</f>
        <v>768.6</v>
      </c>
      <c r="V4413" s="77">
        <f>INDEX(Products!E:E,MATCH(OrdersTable[[#This Row],[Product ID]],Products!A:A,0))</f>
        <v>170</v>
      </c>
      <c r="W4413" s="77">
        <f>OrdersTable[[#This Row],[Quantity]]*OrdersTable[[#This Row],[Unit Cost]]</f>
        <v>340</v>
      </c>
      <c r="X4413" s="77">
        <f>'Dropdown Lists'!$I$2*(1+OrdersTable[[#This Row],[Returned]])</f>
        <v>60</v>
      </c>
      <c r="Y4413" s="76">
        <f>OrdersTable[[#This Row],[Net Revenue]]-OrdersTable[[#This Row],[COGS]]-OrdersTable[[#This Row],[Shipping Cost]]</f>
        <v>368.6</v>
      </c>
      <c r="Z4413" s="78">
        <f>IFERROR(OrdersTable[[#This Row],[Profit]]/OrdersTable[[#This Row],[Net Revenue]],0)</f>
        <v>0.47957325006505336</v>
      </c>
      <c r="AA4413" t="s">
        <v>4074</v>
      </c>
      <c r="AB4413" s="79">
        <v>45978</v>
      </c>
      <c r="AC4413">
        <f>OrdersTable[[#This Row],[Delivery Date]]-OrdersTable[[#This Row],[Order Date]]</f>
        <v>6</v>
      </c>
      <c r="AD4413" t="str">
        <f>IF(OrdersTable[[#This Row],[Delivery Days]]&lt;=2, "Express (≤2d)", IF(OrdersTable[[#This Row],[Delivery Days]]&lt;=4, "Standard (3-4d)", "Delayed (5d+)"))</f>
        <v>Delayed (5d+)</v>
      </c>
      <c r="AE4413">
        <v>3</v>
      </c>
      <c r="AF4413">
        <v>0</v>
      </c>
    </row>
    <row r="4414" spans="1:32" ht="15" x14ac:dyDescent="0.35">
      <c r="A4414" t="s">
        <v>6431</v>
      </c>
      <c r="B4414" s="1">
        <v>45972</v>
      </c>
      <c r="C4414">
        <f>YEAR(OrdersTable[[#This Row],[Order Date]])</f>
        <v>2025</v>
      </c>
      <c r="D4414" s="2">
        <f>DATE(YEAR(OrdersTable[[#This Row],[Order Date]]),MONTH(OrdersTable[[#This Row],[Order Date]]),1)</f>
        <v>45962</v>
      </c>
      <c r="E4414">
        <f>MONTH(OrdersTable[[#This Row],[Order Date]])</f>
        <v>11</v>
      </c>
      <c r="F4414" t="s">
        <v>6432</v>
      </c>
      <c r="G4414" t="str">
        <f>IF(OrdersTable[[#This Row],[Order Date]]=_xlfn.MINIFS(Order_Date, Customer_ID, OrdersTable[[#This Row],[Customer ID]]), "New", "Repeat")</f>
        <v>New</v>
      </c>
      <c r="H4414" t="s">
        <v>128</v>
      </c>
      <c r="I4414" t="str">
        <f>INDEX(State!B:B,MATCH(OrdersTable[[#This Row],[State]],State!A:A,0))</f>
        <v>DL</v>
      </c>
      <c r="J4414" t="str">
        <f>INDEX(State!C:C,MATCH(OrdersTable[[#This Row],[State Code]],State!B:B,0))</f>
        <v>North</v>
      </c>
      <c r="K4414" t="s">
        <v>129</v>
      </c>
      <c r="L4414" t="s">
        <v>23</v>
      </c>
      <c r="M4414" t="s">
        <v>51</v>
      </c>
      <c r="N4414" t="str">
        <f>INDEX(Products!B:B,MATCH(OrdersTable[[#This Row],[Product ID]],Products!A:A,0))</f>
        <v>Anti-Dandruff Conditioner</v>
      </c>
      <c r="O4414" t="str">
        <f>INDEX(Products!C:C,MATCH(OrdersTable[[#This Row],[Product ID]],Products!A:A,0))</f>
        <v>Haircare</v>
      </c>
      <c r="P4414">
        <v>2</v>
      </c>
      <c r="Q4414" s="5">
        <v>399</v>
      </c>
      <c r="R4414" s="74">
        <v>0.35</v>
      </c>
      <c r="S4414" s="75">
        <f>OrdersTable[[#This Row],[Quantity]]*OrdersTable[[#This Row],[Unit Price]]</f>
        <v>798</v>
      </c>
      <c r="T4414" s="5">
        <f>OrdersTable[[#This Row],[Gross Sale]]*OrdersTable[[#This Row],[Discount_Clean2]]</f>
        <v>279.29999999999995</v>
      </c>
      <c r="U4414" s="5">
        <f>OrdersTable[[#This Row],[Gross Sale]]-OrdersTable[[#This Row],[Discount Amount]]</f>
        <v>518.70000000000005</v>
      </c>
      <c r="V4414" s="77">
        <f>INDEX(Products!E:E,MATCH(OrdersTable[[#This Row],[Product ID]],Products!A:A,0))</f>
        <v>136</v>
      </c>
      <c r="W4414" s="77">
        <f>OrdersTable[[#This Row],[Quantity]]*OrdersTable[[#This Row],[Unit Cost]]</f>
        <v>272</v>
      </c>
      <c r="X4414" s="77">
        <f>'Dropdown Lists'!$I$2*(1+OrdersTable[[#This Row],[Returned]])</f>
        <v>60</v>
      </c>
      <c r="Y4414" s="76">
        <f>OrdersTable[[#This Row],[Net Revenue]]-OrdersTable[[#This Row],[COGS]]-OrdersTable[[#This Row],[Shipping Cost]]</f>
        <v>186.70000000000005</v>
      </c>
      <c r="Z4414" s="78">
        <f>IFERROR(OrdersTable[[#This Row],[Profit]]/OrdersTable[[#This Row],[Net Revenue]],0)</f>
        <v>0.35993830730672843</v>
      </c>
      <c r="AA4414" t="s">
        <v>18</v>
      </c>
      <c r="AB4414" s="79">
        <v>45974</v>
      </c>
      <c r="AC4414">
        <f>OrdersTable[[#This Row],[Delivery Date]]-OrdersTable[[#This Row],[Order Date]]</f>
        <v>2</v>
      </c>
      <c r="AD4414" t="str">
        <f>IF(OrdersTable[[#This Row],[Delivery Days]]&lt;=2, "Express (≤2d)", IF(OrdersTable[[#This Row],[Delivery Days]]&lt;=4, "Standard (3-4d)", "Delayed (5d+)"))</f>
        <v>Express (≤2d)</v>
      </c>
      <c r="AE4414">
        <v>4</v>
      </c>
      <c r="AF4414">
        <v>0</v>
      </c>
    </row>
    <row r="4415" spans="1:32" ht="15" x14ac:dyDescent="0.35">
      <c r="A4415" t="s">
        <v>1605</v>
      </c>
      <c r="B4415" s="1">
        <v>45972</v>
      </c>
      <c r="C4415">
        <f>YEAR(OrdersTable[[#This Row],[Order Date]])</f>
        <v>2025</v>
      </c>
      <c r="D4415" s="2">
        <f>DATE(YEAR(OrdersTable[[#This Row],[Order Date]]),MONTH(OrdersTable[[#This Row],[Order Date]]),1)</f>
        <v>45962</v>
      </c>
      <c r="E4415">
        <f>MONTH(OrdersTable[[#This Row],[Order Date]])</f>
        <v>11</v>
      </c>
      <c r="F4415" t="s">
        <v>1606</v>
      </c>
      <c r="G4415" t="str">
        <f>IF(OrdersTable[[#This Row],[Order Date]]=_xlfn.MINIFS(Order_Date, Customer_ID, OrdersTable[[#This Row],[Customer ID]]), "New", "Repeat")</f>
        <v>Repeat</v>
      </c>
      <c r="H4415" t="s">
        <v>76</v>
      </c>
      <c r="I4415" t="str">
        <f>INDEX(State!B:B,MATCH(OrdersTable[[#This Row],[State]],State!A:A,0))</f>
        <v>UP</v>
      </c>
      <c r="J4415" t="str">
        <f>INDEX(State!C:C,MATCH(OrdersTable[[#This Row],[State Code]],State!B:B,0))</f>
        <v>North</v>
      </c>
      <c r="K4415" t="s">
        <v>105</v>
      </c>
      <c r="L4415" t="s">
        <v>39</v>
      </c>
      <c r="M4415" t="s">
        <v>255</v>
      </c>
      <c r="N4415" t="str">
        <f>INDEX(Products!B:B,MATCH(OrdersTable[[#This Row],[Product ID]],Products!A:A,0))</f>
        <v>Cotton Oversized T-Shirt</v>
      </c>
      <c r="O4415" t="str">
        <f>INDEX(Products!C:C,MATCH(OrdersTable[[#This Row],[Product ID]],Products!A:A,0))</f>
        <v>Apparel</v>
      </c>
      <c r="P4415">
        <v>1</v>
      </c>
      <c r="Q4415" s="5">
        <v>799</v>
      </c>
      <c r="R4415" s="74">
        <v>0.1</v>
      </c>
      <c r="S4415" s="75">
        <f>OrdersTable[[#This Row],[Quantity]]*OrdersTable[[#This Row],[Unit Price]]</f>
        <v>799</v>
      </c>
      <c r="T4415" s="5">
        <f>OrdersTable[[#This Row],[Gross Sale]]*OrdersTable[[#This Row],[Discount_Clean2]]</f>
        <v>79.900000000000006</v>
      </c>
      <c r="U4415" s="5">
        <f>OrdersTable[[#This Row],[Gross Sale]]-OrdersTable[[#This Row],[Discount Amount]]</f>
        <v>719.1</v>
      </c>
      <c r="V4415" s="77">
        <f>INDEX(Products!E:E,MATCH(OrdersTable[[#This Row],[Product ID]],Products!A:A,0))</f>
        <v>320</v>
      </c>
      <c r="W4415" s="77">
        <f>OrdersTable[[#This Row],[Quantity]]*OrdersTable[[#This Row],[Unit Cost]]</f>
        <v>320</v>
      </c>
      <c r="X4415" s="77">
        <f>'Dropdown Lists'!$I$2*(1+OrdersTable[[#This Row],[Returned]])</f>
        <v>60</v>
      </c>
      <c r="Y4415" s="76">
        <f>OrdersTable[[#This Row],[Net Revenue]]-OrdersTable[[#This Row],[COGS]]-OrdersTable[[#This Row],[Shipping Cost]]</f>
        <v>339.1</v>
      </c>
      <c r="Z4415" s="78">
        <f>IFERROR(OrdersTable[[#This Row],[Profit]]/OrdersTable[[#This Row],[Net Revenue]],0)</f>
        <v>0.47156167431511614</v>
      </c>
      <c r="AA4415" t="s">
        <v>18</v>
      </c>
      <c r="AB4415" s="79">
        <v>45978</v>
      </c>
      <c r="AC4415">
        <f>OrdersTable[[#This Row],[Delivery Date]]-OrdersTable[[#This Row],[Order Date]]</f>
        <v>6</v>
      </c>
      <c r="AD4415" t="str">
        <f>IF(OrdersTable[[#This Row],[Delivery Days]]&lt;=2, "Express (≤2d)", IF(OrdersTable[[#This Row],[Delivery Days]]&lt;=4, "Standard (3-4d)", "Delayed (5d+)"))</f>
        <v>Delayed (5d+)</v>
      </c>
      <c r="AF4415">
        <v>0</v>
      </c>
    </row>
    <row r="4416" spans="1:32" ht="15" x14ac:dyDescent="0.35">
      <c r="A4416" t="s">
        <v>2857</v>
      </c>
      <c r="B4416" s="1">
        <v>45972</v>
      </c>
      <c r="C4416">
        <f>YEAR(OrdersTable[[#This Row],[Order Date]])</f>
        <v>2025</v>
      </c>
      <c r="D4416" s="2">
        <f>DATE(YEAR(OrdersTable[[#This Row],[Order Date]]),MONTH(OrdersTable[[#This Row],[Order Date]]),1)</f>
        <v>45962</v>
      </c>
      <c r="E4416">
        <f>MONTH(OrdersTable[[#This Row],[Order Date]])</f>
        <v>11</v>
      </c>
      <c r="F4416" t="s">
        <v>2380</v>
      </c>
      <c r="G4416" t="str">
        <f>IF(OrdersTable[[#This Row],[Order Date]]=_xlfn.MINIFS(Order_Date, Customer_ID, OrdersTable[[#This Row],[Customer ID]]), "New", "Repeat")</f>
        <v>Repeat</v>
      </c>
      <c r="H4416" t="s">
        <v>37</v>
      </c>
      <c r="I4416" t="str">
        <f>INDEX(State!B:B,MATCH(OrdersTable[[#This Row],[State]],State!A:A,0))</f>
        <v>GJ</v>
      </c>
      <c r="J4416" t="str">
        <f>INDEX(State!C:C,MATCH(OrdersTable[[#This Row],[State Code]],State!B:B,0))</f>
        <v>West</v>
      </c>
      <c r="K4416" t="s">
        <v>38</v>
      </c>
      <c r="L4416" t="s">
        <v>16</v>
      </c>
      <c r="M4416" t="s">
        <v>92</v>
      </c>
      <c r="N4416" t="str">
        <f>INDEX(Products!B:B,MATCH(OrdersTable[[#This Row],[Product ID]],Products!A:A,0))</f>
        <v>Kolhapuri Sandals</v>
      </c>
      <c r="O4416" t="str">
        <f>INDEX(Products!C:C,MATCH(OrdersTable[[#This Row],[Product ID]],Products!A:A,0))</f>
        <v>Footwear</v>
      </c>
      <c r="P4416">
        <v>1</v>
      </c>
      <c r="Q4416" s="5">
        <v>999</v>
      </c>
      <c r="R4416" s="74">
        <v>0.25</v>
      </c>
      <c r="S4416" s="75">
        <f>OrdersTable[[#This Row],[Quantity]]*OrdersTable[[#This Row],[Unit Price]]</f>
        <v>999</v>
      </c>
      <c r="T4416" s="5">
        <f>OrdersTable[[#This Row],[Gross Sale]]*OrdersTable[[#This Row],[Discount_Clean2]]</f>
        <v>249.75</v>
      </c>
      <c r="U4416" s="5">
        <f>OrdersTable[[#This Row],[Gross Sale]]-OrdersTable[[#This Row],[Discount Amount]]</f>
        <v>749.25</v>
      </c>
      <c r="V4416" s="77">
        <f>INDEX(Products!E:E,MATCH(OrdersTable[[#This Row],[Product ID]],Products!A:A,0))</f>
        <v>400</v>
      </c>
      <c r="W4416" s="77">
        <f>OrdersTable[[#This Row],[Quantity]]*OrdersTable[[#This Row],[Unit Cost]]</f>
        <v>400</v>
      </c>
      <c r="X4416" s="77">
        <f>'Dropdown Lists'!$I$2*(1+OrdersTable[[#This Row],[Returned]])</f>
        <v>60</v>
      </c>
      <c r="Y4416" s="76">
        <f>OrdersTable[[#This Row],[Net Revenue]]-OrdersTable[[#This Row],[COGS]]-OrdersTable[[#This Row],[Shipping Cost]]</f>
        <v>289.25</v>
      </c>
      <c r="Z4416" s="78">
        <f>IFERROR(OrdersTable[[#This Row],[Profit]]/OrdersTable[[#This Row],[Net Revenue]],0)</f>
        <v>0.38605271938605273</v>
      </c>
      <c r="AA4416" t="s">
        <v>2522</v>
      </c>
      <c r="AB4416" s="79">
        <v>45976</v>
      </c>
      <c r="AC4416">
        <f>OrdersTable[[#This Row],[Delivery Date]]-OrdersTable[[#This Row],[Order Date]]</f>
        <v>4</v>
      </c>
      <c r="AD4416" t="str">
        <f>IF(OrdersTable[[#This Row],[Delivery Days]]&lt;=2, "Express (≤2d)", IF(OrdersTable[[#This Row],[Delivery Days]]&lt;=4, "Standard (3-4d)", "Delayed (5d+)"))</f>
        <v>Standard (3-4d)</v>
      </c>
      <c r="AE4416">
        <v>3</v>
      </c>
      <c r="AF4416">
        <v>0</v>
      </c>
    </row>
    <row r="4417" spans="1:32" ht="15" x14ac:dyDescent="0.35">
      <c r="A4417" t="s">
        <v>2045</v>
      </c>
      <c r="B4417" s="1">
        <v>45972</v>
      </c>
      <c r="C4417">
        <f>YEAR(OrdersTable[[#This Row],[Order Date]])</f>
        <v>2025</v>
      </c>
      <c r="D4417" s="2">
        <f>DATE(YEAR(OrdersTable[[#This Row],[Order Date]]),MONTH(OrdersTable[[#This Row],[Order Date]]),1)</f>
        <v>45962</v>
      </c>
      <c r="E4417">
        <f>MONTH(OrdersTable[[#This Row],[Order Date]])</f>
        <v>11</v>
      </c>
      <c r="F4417" t="s">
        <v>2046</v>
      </c>
      <c r="G4417" t="str">
        <f>IF(OrdersTable[[#This Row],[Order Date]]=_xlfn.MINIFS(Order_Date, Customer_ID, OrdersTable[[#This Row],[Customer ID]]), "New", "Repeat")</f>
        <v>Repeat</v>
      </c>
      <c r="H4417" t="s">
        <v>37</v>
      </c>
      <c r="I4417" t="str">
        <f>INDEX(State!B:B,MATCH(OrdersTable[[#This Row],[State]],State!A:A,0))</f>
        <v>GJ</v>
      </c>
      <c r="J4417" t="str">
        <f>INDEX(State!C:C,MATCH(OrdersTable[[#This Row],[State Code]],State!B:B,0))</f>
        <v>West</v>
      </c>
      <c r="K4417" t="s">
        <v>38</v>
      </c>
      <c r="L4417" t="s">
        <v>39</v>
      </c>
      <c r="M4417" t="s">
        <v>109</v>
      </c>
      <c r="N4417" t="str">
        <f>INDEX(Products!B:B,MATCH(OrdersTable[[#This Row],[Product ID]],Products!A:A,0))</f>
        <v>Onion Hair Oil</v>
      </c>
      <c r="O4417" t="str">
        <f>INDEX(Products!C:C,MATCH(OrdersTable[[#This Row],[Product ID]],Products!A:A,0))</f>
        <v>Haircare</v>
      </c>
      <c r="P4417">
        <v>1</v>
      </c>
      <c r="Q4417" s="5">
        <v>349</v>
      </c>
      <c r="R4417" s="74">
        <v>0.45</v>
      </c>
      <c r="S4417" s="75">
        <f>OrdersTable[[#This Row],[Quantity]]*OrdersTable[[#This Row],[Unit Price]]</f>
        <v>349</v>
      </c>
      <c r="T4417" s="5">
        <f>OrdersTable[[#This Row],[Gross Sale]]*OrdersTable[[#This Row],[Discount_Clean2]]</f>
        <v>157.05000000000001</v>
      </c>
      <c r="U4417" s="5">
        <f>OrdersTable[[#This Row],[Gross Sale]]-OrdersTable[[#This Row],[Discount Amount]]</f>
        <v>191.95</v>
      </c>
      <c r="V4417" s="77">
        <f>INDEX(Products!E:E,MATCH(OrdersTable[[#This Row],[Product ID]],Products!A:A,0))</f>
        <v>105</v>
      </c>
      <c r="W4417" s="77">
        <f>OrdersTable[[#This Row],[Quantity]]*OrdersTable[[#This Row],[Unit Cost]]</f>
        <v>105</v>
      </c>
      <c r="X4417" s="77">
        <f>'Dropdown Lists'!$I$2*(1+OrdersTable[[#This Row],[Returned]])</f>
        <v>60</v>
      </c>
      <c r="Y4417" s="76">
        <f>OrdersTable[[#This Row],[Net Revenue]]-OrdersTable[[#This Row],[COGS]]-OrdersTable[[#This Row],[Shipping Cost]]</f>
        <v>26.949999999999989</v>
      </c>
      <c r="Z4417" s="78">
        <f>IFERROR(OrdersTable[[#This Row],[Profit]]/OrdersTable[[#This Row],[Net Revenue]],0)</f>
        <v>0.1404011461318051</v>
      </c>
      <c r="AA4417" t="s">
        <v>18</v>
      </c>
      <c r="AB4417" s="79">
        <v>45978</v>
      </c>
      <c r="AC4417">
        <f>OrdersTable[[#This Row],[Delivery Date]]-OrdersTable[[#This Row],[Order Date]]</f>
        <v>6</v>
      </c>
      <c r="AD4417" t="str">
        <f>IF(OrdersTable[[#This Row],[Delivery Days]]&lt;=2, "Express (≤2d)", IF(OrdersTable[[#This Row],[Delivery Days]]&lt;=4, "Standard (3-4d)", "Delayed (5d+)"))</f>
        <v>Delayed (5d+)</v>
      </c>
      <c r="AE4417">
        <v>3</v>
      </c>
      <c r="AF4417">
        <v>0</v>
      </c>
    </row>
    <row r="4418" spans="1:32" ht="15" x14ac:dyDescent="0.35">
      <c r="A4418" t="s">
        <v>5640</v>
      </c>
      <c r="B4418" s="1">
        <v>45972</v>
      </c>
      <c r="C4418">
        <f>YEAR(OrdersTable[[#This Row],[Order Date]])</f>
        <v>2025</v>
      </c>
      <c r="D4418" s="2">
        <f>DATE(YEAR(OrdersTable[[#This Row],[Order Date]]),MONTH(OrdersTable[[#This Row],[Order Date]]),1)</f>
        <v>45962</v>
      </c>
      <c r="E4418">
        <f>MONTH(OrdersTable[[#This Row],[Order Date]])</f>
        <v>11</v>
      </c>
      <c r="F4418" t="s">
        <v>5641</v>
      </c>
      <c r="G4418" t="str">
        <f>IF(OrdersTable[[#This Row],[Order Date]]=_xlfn.MINIFS(Order_Date, Customer_ID, OrdersTable[[#This Row],[Customer ID]]), "New", "Repeat")</f>
        <v>New</v>
      </c>
      <c r="H4418" t="s">
        <v>27</v>
      </c>
      <c r="I4418" t="str">
        <f>INDEX(State!B:B,MATCH(OrdersTable[[#This Row],[State]],State!A:A,0))</f>
        <v>WB</v>
      </c>
      <c r="J4418" t="str">
        <f>INDEX(State!C:C,MATCH(OrdersTable[[#This Row],[State Code]],State!B:B,0))</f>
        <v>East</v>
      </c>
      <c r="K4418" t="s">
        <v>28</v>
      </c>
      <c r="L4418" t="s">
        <v>65</v>
      </c>
      <c r="M4418" t="s">
        <v>152</v>
      </c>
      <c r="N4418" t="str">
        <f>INDEX(Products!B:B,MATCH(OrdersTable[[#This Row],[Product ID]],Products!A:A,0))</f>
        <v>Green Tea (100 bags)</v>
      </c>
      <c r="O4418" t="str">
        <f>INDEX(Products!C:C,MATCH(OrdersTable[[#This Row],[Product ID]],Products!A:A,0))</f>
        <v>Wellness</v>
      </c>
      <c r="P4418">
        <v>2</v>
      </c>
      <c r="Q4418" s="5">
        <v>399</v>
      </c>
      <c r="R4418" s="74">
        <v>0.55000000000000004</v>
      </c>
      <c r="S4418" s="75">
        <f>OrdersTable[[#This Row],[Quantity]]*OrdersTable[[#This Row],[Unit Price]]</f>
        <v>798</v>
      </c>
      <c r="T4418" s="5">
        <f>OrdersTable[[#This Row],[Gross Sale]]*OrdersTable[[#This Row],[Discount_Clean2]]</f>
        <v>438.90000000000003</v>
      </c>
      <c r="U4418" s="5">
        <f>OrdersTable[[#This Row],[Gross Sale]]-OrdersTable[[#This Row],[Discount Amount]]</f>
        <v>359.09999999999997</v>
      </c>
      <c r="V4418" s="77">
        <f>INDEX(Products!E:E,MATCH(OrdersTable[[#This Row],[Product ID]],Products!A:A,0))</f>
        <v>128</v>
      </c>
      <c r="W4418" s="77">
        <f>OrdersTable[[#This Row],[Quantity]]*OrdersTable[[#This Row],[Unit Cost]]</f>
        <v>256</v>
      </c>
      <c r="X4418" s="77">
        <f>'Dropdown Lists'!$I$2*(1+OrdersTable[[#This Row],[Returned]])</f>
        <v>60</v>
      </c>
      <c r="Y4418" s="76">
        <f>OrdersTable[[#This Row],[Net Revenue]]-OrdersTable[[#This Row],[COGS]]-OrdersTable[[#This Row],[Shipping Cost]]</f>
        <v>43.099999999999966</v>
      </c>
      <c r="Z4418" s="78">
        <f>IFERROR(OrdersTable[[#This Row],[Profit]]/OrdersTable[[#This Row],[Net Revenue]],0)</f>
        <v>0.12002227791701467</v>
      </c>
      <c r="AA4418" t="s">
        <v>2522</v>
      </c>
      <c r="AB4418" s="79">
        <v>45976</v>
      </c>
      <c r="AC4418">
        <f>OrdersTable[[#This Row],[Delivery Date]]-OrdersTable[[#This Row],[Order Date]]</f>
        <v>4</v>
      </c>
      <c r="AD4418" t="str">
        <f>IF(OrdersTable[[#This Row],[Delivery Days]]&lt;=2, "Express (≤2d)", IF(OrdersTable[[#This Row],[Delivery Days]]&lt;=4, "Standard (3-4d)", "Delayed (5d+)"))</f>
        <v>Standard (3-4d)</v>
      </c>
      <c r="AF4418">
        <v>0</v>
      </c>
    </row>
    <row r="4419" spans="1:32" ht="15" x14ac:dyDescent="0.35">
      <c r="A4419" t="s">
        <v>1800</v>
      </c>
      <c r="B4419" s="1">
        <v>45972</v>
      </c>
      <c r="C4419">
        <f>YEAR(OrdersTable[[#This Row],[Order Date]])</f>
        <v>2025</v>
      </c>
      <c r="D4419" s="2">
        <f>DATE(YEAR(OrdersTable[[#This Row],[Order Date]]),MONTH(OrdersTable[[#This Row],[Order Date]]),1)</f>
        <v>45962</v>
      </c>
      <c r="E4419">
        <f>MONTH(OrdersTable[[#This Row],[Order Date]])</f>
        <v>11</v>
      </c>
      <c r="F4419" t="s">
        <v>1801</v>
      </c>
      <c r="G4419" t="str">
        <f>IF(OrdersTable[[#This Row],[Order Date]]=_xlfn.MINIFS(Order_Date, Customer_ID, OrdersTable[[#This Row],[Customer ID]]), "New", "Repeat")</f>
        <v>Repeat</v>
      </c>
      <c r="H4419" t="s">
        <v>71</v>
      </c>
      <c r="I4419" t="str">
        <f>INDEX(State!B:B,MATCH(OrdersTable[[#This Row],[State]],State!A:A,0))</f>
        <v>MH</v>
      </c>
      <c r="J4419" t="str">
        <f>INDEX(State!C:C,MATCH(OrdersTable[[#This Row],[State Code]],State!B:B,0))</f>
        <v>West</v>
      </c>
      <c r="K4419" t="s">
        <v>81</v>
      </c>
      <c r="L4419" t="s">
        <v>65</v>
      </c>
      <c r="M4419" t="s">
        <v>56</v>
      </c>
      <c r="N4419" t="str">
        <f>INDEX(Products!B:B,MATCH(OrdersTable[[#This Row],[Product ID]],Products!A:A,0))</f>
        <v>Vitamin C Face Serum</v>
      </c>
      <c r="O4419" t="str">
        <f>INDEX(Products!C:C,MATCH(OrdersTable[[#This Row],[Product ID]],Products!A:A,0))</f>
        <v>Skincare</v>
      </c>
      <c r="P4419">
        <v>1</v>
      </c>
      <c r="Q4419" s="5">
        <v>599</v>
      </c>
      <c r="R4419" s="74">
        <v>0.3</v>
      </c>
      <c r="S4419" s="75">
        <f>OrdersTable[[#This Row],[Quantity]]*OrdersTable[[#This Row],[Unit Price]]</f>
        <v>599</v>
      </c>
      <c r="T4419" s="5">
        <f>OrdersTable[[#This Row],[Gross Sale]]*OrdersTable[[#This Row],[Discount_Clean2]]</f>
        <v>179.7</v>
      </c>
      <c r="U4419" s="5">
        <f>OrdersTable[[#This Row],[Gross Sale]]-OrdersTable[[#This Row],[Discount Amount]]</f>
        <v>419.3</v>
      </c>
      <c r="V4419" s="77">
        <f>INDEX(Products!E:E,MATCH(OrdersTable[[#This Row],[Product ID]],Products!A:A,0))</f>
        <v>180</v>
      </c>
      <c r="W4419" s="77">
        <f>OrdersTable[[#This Row],[Quantity]]*OrdersTable[[#This Row],[Unit Cost]]</f>
        <v>180</v>
      </c>
      <c r="X4419" s="77">
        <f>'Dropdown Lists'!$I$2*(1+OrdersTable[[#This Row],[Returned]])</f>
        <v>60</v>
      </c>
      <c r="Y4419" s="76">
        <f>OrdersTable[[#This Row],[Net Revenue]]-OrdersTable[[#This Row],[COGS]]-OrdersTable[[#This Row],[Shipping Cost]]</f>
        <v>179.3</v>
      </c>
      <c r="Z4419" s="78">
        <f>IFERROR(OrdersTable[[#This Row],[Profit]]/OrdersTable[[#This Row],[Net Revenue]],0)</f>
        <v>0.42761745766754117</v>
      </c>
      <c r="AA4419" t="s">
        <v>18</v>
      </c>
      <c r="AB4419" s="79">
        <v>45974</v>
      </c>
      <c r="AC4419">
        <f>OrdersTable[[#This Row],[Delivery Date]]-OrdersTable[[#This Row],[Order Date]]</f>
        <v>2</v>
      </c>
      <c r="AD4419" t="str">
        <f>IF(OrdersTable[[#This Row],[Delivery Days]]&lt;=2, "Express (≤2d)", IF(OrdersTable[[#This Row],[Delivery Days]]&lt;=4, "Standard (3-4d)", "Delayed (5d+)"))</f>
        <v>Express (≤2d)</v>
      </c>
      <c r="AF4419">
        <v>0</v>
      </c>
    </row>
    <row r="4420" spans="1:32" ht="15" x14ac:dyDescent="0.35">
      <c r="A4420" t="s">
        <v>1120</v>
      </c>
      <c r="B4420" s="1">
        <v>45972</v>
      </c>
      <c r="C4420">
        <f>YEAR(OrdersTable[[#This Row],[Order Date]])</f>
        <v>2025</v>
      </c>
      <c r="D4420" s="2">
        <f>DATE(YEAR(OrdersTable[[#This Row],[Order Date]]),MONTH(OrdersTable[[#This Row],[Order Date]]),1)</f>
        <v>45962</v>
      </c>
      <c r="E4420">
        <f>MONTH(OrdersTable[[#This Row],[Order Date]])</f>
        <v>11</v>
      </c>
      <c r="F4420" t="s">
        <v>1121</v>
      </c>
      <c r="G4420" t="str">
        <f>IF(OrdersTable[[#This Row],[Order Date]]=_xlfn.MINIFS(Order_Date, Customer_ID, OrdersTable[[#This Row],[Customer ID]]), "New", "Repeat")</f>
        <v>Repeat</v>
      </c>
      <c r="H4420" t="s">
        <v>71</v>
      </c>
      <c r="I4420" t="str">
        <f>INDEX(State!B:B,MATCH(OrdersTable[[#This Row],[State]],State!A:A,0))</f>
        <v>MH</v>
      </c>
      <c r="J4420" t="str">
        <f>INDEX(State!C:C,MATCH(OrdersTable[[#This Row],[State Code]],State!B:B,0))</f>
        <v>West</v>
      </c>
      <c r="K4420" t="s">
        <v>72</v>
      </c>
      <c r="L4420" t="s">
        <v>65</v>
      </c>
      <c r="M4420" t="s">
        <v>34</v>
      </c>
      <c r="N4420" t="str">
        <f>INDEX(Products!B:B,MATCH(OrdersTable[[#This Row],[Product ID]],Products!A:A,0))</f>
        <v>Flip Flops</v>
      </c>
      <c r="O4420" t="str">
        <f>INDEX(Products!C:C,MATCH(OrdersTable[[#This Row],[Product ID]],Products!A:A,0))</f>
        <v>Footwear</v>
      </c>
      <c r="P4420">
        <v>1</v>
      </c>
      <c r="Q4420" s="5">
        <v>399</v>
      </c>
      <c r="R4420" s="74">
        <v>0.3</v>
      </c>
      <c r="S4420" s="75">
        <f>OrdersTable[[#This Row],[Quantity]]*OrdersTable[[#This Row],[Unit Price]]</f>
        <v>399</v>
      </c>
      <c r="T4420" s="5">
        <f>OrdersTable[[#This Row],[Gross Sale]]*OrdersTable[[#This Row],[Discount_Clean2]]</f>
        <v>119.69999999999999</v>
      </c>
      <c r="U4420" s="5">
        <f>OrdersTable[[#This Row],[Gross Sale]]-OrdersTable[[#This Row],[Discount Amount]]</f>
        <v>279.3</v>
      </c>
      <c r="V4420" s="77">
        <f>INDEX(Products!E:E,MATCH(OrdersTable[[#This Row],[Product ID]],Products!A:A,0))</f>
        <v>152</v>
      </c>
      <c r="W4420" s="77">
        <f>OrdersTable[[#This Row],[Quantity]]*OrdersTable[[#This Row],[Unit Cost]]</f>
        <v>152</v>
      </c>
      <c r="X4420" s="77">
        <f>'Dropdown Lists'!$I$2*(1+OrdersTable[[#This Row],[Returned]])</f>
        <v>120</v>
      </c>
      <c r="Y4420" s="76">
        <f>OrdersTable[[#This Row],[Net Revenue]]-OrdersTable[[#This Row],[COGS]]-OrdersTable[[#This Row],[Shipping Cost]]</f>
        <v>7.3000000000000114</v>
      </c>
      <c r="Z4420" s="78">
        <f>IFERROR(OrdersTable[[#This Row],[Profit]]/OrdersTable[[#This Row],[Net Revenue]],0)</f>
        <v>2.6136770497672792E-2</v>
      </c>
      <c r="AA4420" t="s">
        <v>18</v>
      </c>
      <c r="AB4420" s="79">
        <v>45975</v>
      </c>
      <c r="AC4420">
        <f>OrdersTable[[#This Row],[Delivery Date]]-OrdersTable[[#This Row],[Order Date]]</f>
        <v>3</v>
      </c>
      <c r="AD4420" t="str">
        <f>IF(OrdersTable[[#This Row],[Delivery Days]]&lt;=2, "Express (≤2d)", IF(OrdersTable[[#This Row],[Delivery Days]]&lt;=4, "Standard (3-4d)", "Delayed (5d+)"))</f>
        <v>Standard (3-4d)</v>
      </c>
      <c r="AE4420">
        <v>4</v>
      </c>
      <c r="AF4420">
        <v>1</v>
      </c>
    </row>
    <row r="4421" spans="1:32" ht="15" x14ac:dyDescent="0.35">
      <c r="A4421" t="s">
        <v>2672</v>
      </c>
      <c r="B4421" s="1">
        <v>45972</v>
      </c>
      <c r="C4421">
        <f>YEAR(OrdersTable[[#This Row],[Order Date]])</f>
        <v>2025</v>
      </c>
      <c r="D4421" s="2">
        <f>DATE(YEAR(OrdersTable[[#This Row],[Order Date]]),MONTH(OrdersTable[[#This Row],[Order Date]]),1)</f>
        <v>45962</v>
      </c>
      <c r="E4421">
        <f>MONTH(OrdersTable[[#This Row],[Order Date]])</f>
        <v>11</v>
      </c>
      <c r="F4421" t="s">
        <v>573</v>
      </c>
      <c r="G4421" t="str">
        <f>IF(OrdersTable[[#This Row],[Order Date]]=_xlfn.MINIFS(Order_Date, Customer_ID, OrdersTable[[#This Row],[Customer ID]]), "New", "Repeat")</f>
        <v>Repeat</v>
      </c>
      <c r="H4421" t="s">
        <v>167</v>
      </c>
      <c r="I4421" t="str">
        <f>INDEX(State!B:B,MATCH(OrdersTable[[#This Row],[State]],State!A:A,0))</f>
        <v>KA</v>
      </c>
      <c r="J4421" t="str">
        <f>INDEX(State!C:C,MATCH(OrdersTable[[#This Row],[State Code]],State!B:B,0))</f>
        <v>South</v>
      </c>
      <c r="K4421" t="s">
        <v>168</v>
      </c>
      <c r="L4421" t="s">
        <v>39</v>
      </c>
      <c r="M4421" t="s">
        <v>40</v>
      </c>
      <c r="N4421" t="str">
        <f>INDEX(Products!B:B,MATCH(OrdersTable[[#This Row],[Product ID]],Products!A:A,0))</f>
        <v>Ashwagandha Capsules</v>
      </c>
      <c r="O4421" t="str">
        <f>INDEX(Products!C:C,MATCH(OrdersTable[[#This Row],[Product ID]],Products!A:A,0))</f>
        <v>Wellness</v>
      </c>
      <c r="P4421">
        <v>1</v>
      </c>
      <c r="Q4421" s="5">
        <v>499</v>
      </c>
      <c r="R4421" s="74">
        <v>0.05</v>
      </c>
      <c r="S4421" s="75">
        <f>OrdersTable[[#This Row],[Quantity]]*OrdersTable[[#This Row],[Unit Price]]</f>
        <v>499</v>
      </c>
      <c r="T4421" s="5">
        <f>OrdersTable[[#This Row],[Gross Sale]]*OrdersTable[[#This Row],[Discount_Clean2]]</f>
        <v>24.950000000000003</v>
      </c>
      <c r="U4421" s="5">
        <f>OrdersTable[[#This Row],[Gross Sale]]-OrdersTable[[#This Row],[Discount Amount]]</f>
        <v>474.05</v>
      </c>
      <c r="V4421" s="77">
        <f>INDEX(Products!E:E,MATCH(OrdersTable[[#This Row],[Product ID]],Products!A:A,0))</f>
        <v>150</v>
      </c>
      <c r="W4421" s="77">
        <f>OrdersTable[[#This Row],[Quantity]]*OrdersTable[[#This Row],[Unit Cost]]</f>
        <v>150</v>
      </c>
      <c r="X4421" s="77">
        <f>'Dropdown Lists'!$I$2*(1+OrdersTable[[#This Row],[Returned]])</f>
        <v>60</v>
      </c>
      <c r="Y4421" s="76">
        <f>OrdersTable[[#This Row],[Net Revenue]]-OrdersTable[[#This Row],[COGS]]-OrdersTable[[#This Row],[Shipping Cost]]</f>
        <v>264.05</v>
      </c>
      <c r="Z4421" s="78">
        <f>IFERROR(OrdersTable[[#This Row],[Profit]]/OrdersTable[[#This Row],[Net Revenue]],0)</f>
        <v>0.55700875435080688</v>
      </c>
      <c r="AA4421" t="s">
        <v>2522</v>
      </c>
      <c r="AB4421" s="79">
        <v>45975</v>
      </c>
      <c r="AC4421">
        <f>OrdersTable[[#This Row],[Delivery Date]]-OrdersTable[[#This Row],[Order Date]]</f>
        <v>3</v>
      </c>
      <c r="AD4421" t="str">
        <f>IF(OrdersTable[[#This Row],[Delivery Days]]&lt;=2, "Express (≤2d)", IF(OrdersTable[[#This Row],[Delivery Days]]&lt;=4, "Standard (3-4d)", "Delayed (5d+)"))</f>
        <v>Standard (3-4d)</v>
      </c>
      <c r="AE4421">
        <v>5</v>
      </c>
      <c r="AF4421">
        <v>0</v>
      </c>
    </row>
    <row r="4422" spans="1:32" ht="15" x14ac:dyDescent="0.35">
      <c r="A4422" t="s">
        <v>396</v>
      </c>
      <c r="B4422" s="1">
        <v>45972</v>
      </c>
      <c r="C4422">
        <f>YEAR(OrdersTable[[#This Row],[Order Date]])</f>
        <v>2025</v>
      </c>
      <c r="D4422" s="2">
        <f>DATE(YEAR(OrdersTable[[#This Row],[Order Date]]),MONTH(OrdersTable[[#This Row],[Order Date]]),1)</f>
        <v>45962</v>
      </c>
      <c r="E4422">
        <f>MONTH(OrdersTable[[#This Row],[Order Date]])</f>
        <v>11</v>
      </c>
      <c r="F4422" t="s">
        <v>397</v>
      </c>
      <c r="G4422" t="str">
        <f>IF(OrdersTable[[#This Row],[Order Date]]=_xlfn.MINIFS(Order_Date, Customer_ID, OrdersTable[[#This Row],[Customer ID]]), "New", "Repeat")</f>
        <v>Repeat</v>
      </c>
      <c r="H4422" t="s">
        <v>275</v>
      </c>
      <c r="I4422" t="str">
        <f>INDEX(State!B:B,MATCH(OrdersTable[[#This Row],[State]],State!A:A,0))</f>
        <v>AP</v>
      </c>
      <c r="J4422" t="str">
        <f>INDEX(State!C:C,MATCH(OrdersTable[[#This Row],[State Code]],State!B:B,0))</f>
        <v>South</v>
      </c>
      <c r="K4422" t="s">
        <v>276</v>
      </c>
      <c r="L4422" t="s">
        <v>23</v>
      </c>
      <c r="M4422" t="s">
        <v>51</v>
      </c>
      <c r="N4422" t="str">
        <f>INDEX(Products!B:B,MATCH(OrdersTable[[#This Row],[Product ID]],Products!A:A,0))</f>
        <v>Anti-Dandruff Conditioner</v>
      </c>
      <c r="O4422" t="str">
        <f>INDEX(Products!C:C,MATCH(OrdersTable[[#This Row],[Product ID]],Products!A:A,0))</f>
        <v>Haircare</v>
      </c>
      <c r="P4422">
        <v>1</v>
      </c>
      <c r="Q4422" s="5">
        <v>399</v>
      </c>
      <c r="R4422" s="74">
        <v>0.6</v>
      </c>
      <c r="S4422" s="75">
        <f>OrdersTable[[#This Row],[Quantity]]*OrdersTable[[#This Row],[Unit Price]]</f>
        <v>399</v>
      </c>
      <c r="T4422" s="5">
        <f>OrdersTable[[#This Row],[Gross Sale]]*OrdersTable[[#This Row],[Discount_Clean2]]</f>
        <v>239.39999999999998</v>
      </c>
      <c r="U4422" s="5">
        <f>OrdersTable[[#This Row],[Gross Sale]]-OrdersTable[[#This Row],[Discount Amount]]</f>
        <v>159.60000000000002</v>
      </c>
      <c r="V4422" s="77">
        <f>INDEX(Products!E:E,MATCH(OrdersTable[[#This Row],[Product ID]],Products!A:A,0))</f>
        <v>136</v>
      </c>
      <c r="W4422" s="77">
        <f>OrdersTable[[#This Row],[Quantity]]*OrdersTable[[#This Row],[Unit Cost]]</f>
        <v>136</v>
      </c>
      <c r="X4422" s="77">
        <f>'Dropdown Lists'!$I$2*(1+OrdersTable[[#This Row],[Returned]])</f>
        <v>60</v>
      </c>
      <c r="Y4422" s="76">
        <f>OrdersTable[[#This Row],[Net Revenue]]-OrdersTable[[#This Row],[COGS]]-OrdersTable[[#This Row],[Shipping Cost]]</f>
        <v>-36.399999999999977</v>
      </c>
      <c r="Z4422" s="78">
        <f>IFERROR(OrdersTable[[#This Row],[Profit]]/OrdersTable[[#This Row],[Net Revenue]],0)</f>
        <v>-0.22807017543859631</v>
      </c>
      <c r="AA4422" t="s">
        <v>18</v>
      </c>
      <c r="AB4422" s="79">
        <v>45976</v>
      </c>
      <c r="AC4422">
        <f>OrdersTable[[#This Row],[Delivery Date]]-OrdersTable[[#This Row],[Order Date]]</f>
        <v>4</v>
      </c>
      <c r="AD4422" t="str">
        <f>IF(OrdersTable[[#This Row],[Delivery Days]]&lt;=2, "Express (≤2d)", IF(OrdersTable[[#This Row],[Delivery Days]]&lt;=4, "Standard (3-4d)", "Delayed (5d+)"))</f>
        <v>Standard (3-4d)</v>
      </c>
      <c r="AE4422">
        <v>4</v>
      </c>
      <c r="AF4422">
        <v>0</v>
      </c>
    </row>
    <row r="4423" spans="1:32" ht="15" x14ac:dyDescent="0.35">
      <c r="A4423" t="s">
        <v>5736</v>
      </c>
      <c r="B4423" s="1">
        <v>45972</v>
      </c>
      <c r="C4423">
        <f>YEAR(OrdersTable[[#This Row],[Order Date]])</f>
        <v>2025</v>
      </c>
      <c r="D4423" s="2">
        <f>DATE(YEAR(OrdersTable[[#This Row],[Order Date]]),MONTH(OrdersTable[[#This Row],[Order Date]]),1)</f>
        <v>45962</v>
      </c>
      <c r="E4423">
        <f>MONTH(OrdersTable[[#This Row],[Order Date]])</f>
        <v>11</v>
      </c>
      <c r="F4423" t="s">
        <v>5737</v>
      </c>
      <c r="G4423" t="str">
        <f>IF(OrdersTable[[#This Row],[Order Date]]=_xlfn.MINIFS(Order_Date, Customer_ID, OrdersTable[[#This Row],[Customer ID]]), "New", "Repeat")</f>
        <v>New</v>
      </c>
      <c r="H4423" t="s">
        <v>316</v>
      </c>
      <c r="I4423" t="str">
        <f>INDEX(State!B:B,MATCH(OrdersTable[[#This Row],[State]],State!A:A,0))</f>
        <v>KL</v>
      </c>
      <c r="J4423" t="str">
        <f>INDEX(State!C:C,MATCH(OrdersTable[[#This Row],[State Code]],State!B:B,0))</f>
        <v>South</v>
      </c>
      <c r="K4423" t="s">
        <v>338</v>
      </c>
      <c r="L4423" t="s">
        <v>65</v>
      </c>
      <c r="M4423" t="s">
        <v>87</v>
      </c>
      <c r="N4423" t="str">
        <f>INDEX(Products!B:B,MATCH(OrdersTable[[#This Row],[Product ID]],Products!A:A,0))</f>
        <v>Linen Kurta</v>
      </c>
      <c r="O4423" t="str">
        <f>INDEX(Products!C:C,MATCH(OrdersTable[[#This Row],[Product ID]],Products!A:A,0))</f>
        <v>Apparel</v>
      </c>
      <c r="P4423">
        <v>2</v>
      </c>
      <c r="Q4423" s="5">
        <v>1499</v>
      </c>
      <c r="R4423" s="74">
        <v>0.5</v>
      </c>
      <c r="S4423" s="75">
        <f>OrdersTable[[#This Row],[Quantity]]*OrdersTable[[#This Row],[Unit Price]]</f>
        <v>2998</v>
      </c>
      <c r="T4423" s="5">
        <f>OrdersTable[[#This Row],[Gross Sale]]*OrdersTable[[#This Row],[Discount_Clean2]]</f>
        <v>1499</v>
      </c>
      <c r="U4423" s="5">
        <f>OrdersTable[[#This Row],[Gross Sale]]-OrdersTable[[#This Row],[Discount Amount]]</f>
        <v>1499</v>
      </c>
      <c r="V4423" s="77">
        <f>INDEX(Products!E:E,MATCH(OrdersTable[[#This Row],[Product ID]],Products!A:A,0))</f>
        <v>630</v>
      </c>
      <c r="W4423" s="77">
        <f>OrdersTable[[#This Row],[Quantity]]*OrdersTable[[#This Row],[Unit Cost]]</f>
        <v>1260</v>
      </c>
      <c r="X4423" s="77">
        <f>'Dropdown Lists'!$I$2*(1+OrdersTable[[#This Row],[Returned]])</f>
        <v>60</v>
      </c>
      <c r="Y4423" s="76">
        <f>OrdersTable[[#This Row],[Net Revenue]]-OrdersTable[[#This Row],[COGS]]-OrdersTable[[#This Row],[Shipping Cost]]</f>
        <v>179</v>
      </c>
      <c r="Z4423" s="78">
        <f>IFERROR(OrdersTable[[#This Row],[Profit]]/OrdersTable[[#This Row],[Net Revenue]],0)</f>
        <v>0.11941294196130754</v>
      </c>
      <c r="AA4423" t="s">
        <v>18</v>
      </c>
      <c r="AB4423" s="79">
        <v>45974</v>
      </c>
      <c r="AC4423">
        <f>OrdersTable[[#This Row],[Delivery Date]]-OrdersTable[[#This Row],[Order Date]]</f>
        <v>2</v>
      </c>
      <c r="AD4423" t="str">
        <f>IF(OrdersTable[[#This Row],[Delivery Days]]&lt;=2, "Express (≤2d)", IF(OrdersTable[[#This Row],[Delivery Days]]&lt;=4, "Standard (3-4d)", "Delayed (5d+)"))</f>
        <v>Express (≤2d)</v>
      </c>
      <c r="AE4423">
        <v>3</v>
      </c>
      <c r="AF4423">
        <v>0</v>
      </c>
    </row>
    <row r="4424" spans="1:32" ht="15" x14ac:dyDescent="0.35">
      <c r="A4424" t="s">
        <v>6004</v>
      </c>
      <c r="B4424" s="1">
        <v>45972</v>
      </c>
      <c r="C4424">
        <f>YEAR(OrdersTable[[#This Row],[Order Date]])</f>
        <v>2025</v>
      </c>
      <c r="D4424" s="2">
        <f>DATE(YEAR(OrdersTable[[#This Row],[Order Date]]),MONTH(OrdersTable[[#This Row],[Order Date]]),1)</f>
        <v>45962</v>
      </c>
      <c r="E4424">
        <f>MONTH(OrdersTable[[#This Row],[Order Date]])</f>
        <v>11</v>
      </c>
      <c r="F4424" t="s">
        <v>3983</v>
      </c>
      <c r="G4424" t="str">
        <f>IF(OrdersTable[[#This Row],[Order Date]]=_xlfn.MINIFS(Order_Date, Customer_ID, OrdersTable[[#This Row],[Customer ID]]), "New", "Repeat")</f>
        <v>Repeat</v>
      </c>
      <c r="H4424" t="s">
        <v>316</v>
      </c>
      <c r="I4424" t="str">
        <f>INDEX(State!B:B,MATCH(OrdersTable[[#This Row],[State]],State!A:A,0))</f>
        <v>KL</v>
      </c>
      <c r="J4424" t="str">
        <f>INDEX(State!C:C,MATCH(OrdersTable[[#This Row],[State Code]],State!B:B,0))</f>
        <v>South</v>
      </c>
      <c r="K4424" t="s">
        <v>338</v>
      </c>
      <c r="L4424" t="s">
        <v>65</v>
      </c>
      <c r="M4424" t="s">
        <v>173</v>
      </c>
      <c r="N4424" t="str">
        <f>INDEX(Products!B:B,MATCH(OrdersTable[[#This Row],[Product ID]],Products!A:A,0))</f>
        <v>Wireless Earbuds</v>
      </c>
      <c r="O4424" t="str">
        <f>INDEX(Products!C:C,MATCH(OrdersTable[[#This Row],[Product ID]],Products!A:A,0))</f>
        <v>Electronics</v>
      </c>
      <c r="P4424">
        <v>2</v>
      </c>
      <c r="Q4424" s="5">
        <v>1999</v>
      </c>
      <c r="R4424" s="74">
        <v>0.5</v>
      </c>
      <c r="S4424" s="75">
        <f>OrdersTable[[#This Row],[Quantity]]*OrdersTable[[#This Row],[Unit Price]]</f>
        <v>3998</v>
      </c>
      <c r="T4424" s="5">
        <f>OrdersTable[[#This Row],[Gross Sale]]*OrdersTable[[#This Row],[Discount_Clean2]]</f>
        <v>1999</v>
      </c>
      <c r="U4424" s="5">
        <f>OrdersTable[[#This Row],[Gross Sale]]-OrdersTable[[#This Row],[Discount Amount]]</f>
        <v>1999</v>
      </c>
      <c r="V4424" s="77">
        <f>INDEX(Products!E:E,MATCH(OrdersTable[[#This Row],[Product ID]],Products!A:A,0))</f>
        <v>1239</v>
      </c>
      <c r="W4424" s="77">
        <f>OrdersTable[[#This Row],[Quantity]]*OrdersTable[[#This Row],[Unit Cost]]</f>
        <v>2478</v>
      </c>
      <c r="X4424" s="77">
        <f>'Dropdown Lists'!$I$2*(1+OrdersTable[[#This Row],[Returned]])</f>
        <v>60</v>
      </c>
      <c r="Y4424" s="76">
        <f>OrdersTable[[#This Row],[Net Revenue]]-OrdersTable[[#This Row],[COGS]]-OrdersTable[[#This Row],[Shipping Cost]]</f>
        <v>-539</v>
      </c>
      <c r="Z4424" s="78">
        <f>IFERROR(OrdersTable[[#This Row],[Profit]]/OrdersTable[[#This Row],[Net Revenue]],0)</f>
        <v>-0.26963481740870437</v>
      </c>
      <c r="AA4424" t="s">
        <v>18</v>
      </c>
      <c r="AB4424" s="79">
        <v>45976</v>
      </c>
      <c r="AC4424">
        <f>OrdersTable[[#This Row],[Delivery Date]]-OrdersTable[[#This Row],[Order Date]]</f>
        <v>4</v>
      </c>
      <c r="AD4424" t="str">
        <f>IF(OrdersTable[[#This Row],[Delivery Days]]&lt;=2, "Express (≤2d)", IF(OrdersTable[[#This Row],[Delivery Days]]&lt;=4, "Standard (3-4d)", "Delayed (5d+)"))</f>
        <v>Standard (3-4d)</v>
      </c>
      <c r="AF4424">
        <v>0</v>
      </c>
    </row>
    <row r="4425" spans="1:32" ht="15" x14ac:dyDescent="0.35">
      <c r="A4425" t="s">
        <v>398</v>
      </c>
      <c r="B4425" s="1">
        <v>45972</v>
      </c>
      <c r="C4425">
        <f>YEAR(OrdersTable[[#This Row],[Order Date]])</f>
        <v>2025</v>
      </c>
      <c r="D4425" s="2">
        <f>DATE(YEAR(OrdersTable[[#This Row],[Order Date]]),MONTH(OrdersTable[[#This Row],[Order Date]]),1)</f>
        <v>45962</v>
      </c>
      <c r="E4425">
        <f>MONTH(OrdersTable[[#This Row],[Order Date]])</f>
        <v>11</v>
      </c>
      <c r="F4425" t="s">
        <v>399</v>
      </c>
      <c r="G4425" t="str">
        <f>IF(OrdersTable[[#This Row],[Order Date]]=_xlfn.MINIFS(Order_Date, Customer_ID, OrdersTable[[#This Row],[Customer ID]]), "New", "Repeat")</f>
        <v>Repeat</v>
      </c>
      <c r="H4425" t="s">
        <v>59</v>
      </c>
      <c r="I4425" t="str">
        <f>INDEX(State!B:B,MATCH(OrdersTable[[#This Row],[State]],State!A:A,0))</f>
        <v>TN</v>
      </c>
      <c r="J4425" t="str">
        <f>INDEX(State!C:C,MATCH(OrdersTable[[#This Row],[State Code]],State!B:B,0))</f>
        <v>South</v>
      </c>
      <c r="K4425" t="s">
        <v>64</v>
      </c>
      <c r="L4425" t="s">
        <v>39</v>
      </c>
      <c r="M4425" t="s">
        <v>56</v>
      </c>
      <c r="N4425" t="str">
        <f>INDEX(Products!B:B,MATCH(OrdersTable[[#This Row],[Product ID]],Products!A:A,0))</f>
        <v>Vitamin C Face Serum</v>
      </c>
      <c r="O4425" t="str">
        <f>INDEX(Products!C:C,MATCH(OrdersTable[[#This Row],[Product ID]],Products!A:A,0))</f>
        <v>Skincare</v>
      </c>
      <c r="P4425">
        <v>1</v>
      </c>
      <c r="Q4425" s="5">
        <v>599</v>
      </c>
      <c r="R4425" s="74">
        <v>0.4</v>
      </c>
      <c r="S4425" s="75">
        <f>OrdersTable[[#This Row],[Quantity]]*OrdersTable[[#This Row],[Unit Price]]</f>
        <v>599</v>
      </c>
      <c r="T4425" s="5">
        <f>OrdersTable[[#This Row],[Gross Sale]]*OrdersTable[[#This Row],[Discount_Clean2]]</f>
        <v>239.60000000000002</v>
      </c>
      <c r="U4425" s="5">
        <f>OrdersTable[[#This Row],[Gross Sale]]-OrdersTable[[#This Row],[Discount Amount]]</f>
        <v>359.4</v>
      </c>
      <c r="V4425" s="77">
        <f>INDEX(Products!E:E,MATCH(OrdersTable[[#This Row],[Product ID]],Products!A:A,0))</f>
        <v>180</v>
      </c>
      <c r="W4425" s="77">
        <f>OrdersTable[[#This Row],[Quantity]]*OrdersTable[[#This Row],[Unit Cost]]</f>
        <v>180</v>
      </c>
      <c r="X4425" s="77">
        <f>'Dropdown Lists'!$I$2*(1+OrdersTable[[#This Row],[Returned]])</f>
        <v>60</v>
      </c>
      <c r="Y4425" s="76">
        <f>OrdersTable[[#This Row],[Net Revenue]]-OrdersTable[[#This Row],[COGS]]-OrdersTable[[#This Row],[Shipping Cost]]</f>
        <v>119.39999999999998</v>
      </c>
      <c r="Z4425" s="78">
        <f>IFERROR(OrdersTable[[#This Row],[Profit]]/OrdersTable[[#This Row],[Net Revenue]],0)</f>
        <v>0.33222036727879795</v>
      </c>
      <c r="AA4425" t="s">
        <v>18</v>
      </c>
      <c r="AB4425" s="79">
        <v>45975</v>
      </c>
      <c r="AC4425">
        <f>OrdersTable[[#This Row],[Delivery Date]]-OrdersTable[[#This Row],[Order Date]]</f>
        <v>3</v>
      </c>
      <c r="AD4425" t="str">
        <f>IF(OrdersTable[[#This Row],[Delivery Days]]&lt;=2, "Express (≤2d)", IF(OrdersTable[[#This Row],[Delivery Days]]&lt;=4, "Standard (3-4d)", "Delayed (5d+)"))</f>
        <v>Standard (3-4d)</v>
      </c>
      <c r="AE4425">
        <v>4</v>
      </c>
      <c r="AF4425">
        <v>0</v>
      </c>
    </row>
    <row r="4426" spans="1:32" ht="15" x14ac:dyDescent="0.35">
      <c r="A4426" t="s">
        <v>6826</v>
      </c>
      <c r="B4426" s="1">
        <v>45972</v>
      </c>
      <c r="C4426">
        <f>YEAR(OrdersTable[[#This Row],[Order Date]])</f>
        <v>2025</v>
      </c>
      <c r="D4426" s="2">
        <f>DATE(YEAR(OrdersTable[[#This Row],[Order Date]]),MONTH(OrdersTable[[#This Row],[Order Date]]),1)</f>
        <v>45962</v>
      </c>
      <c r="E4426">
        <f>MONTH(OrdersTable[[#This Row],[Order Date]])</f>
        <v>11</v>
      </c>
      <c r="F4426" t="s">
        <v>560</v>
      </c>
      <c r="G4426" t="str">
        <f>IF(OrdersTable[[#This Row],[Order Date]]=_xlfn.MINIFS(Order_Date, Customer_ID, OrdersTable[[#This Row],[Customer ID]]), "New", "Repeat")</f>
        <v>Repeat</v>
      </c>
      <c r="H4426" t="s">
        <v>59</v>
      </c>
      <c r="I4426" t="str">
        <f>INDEX(State!B:B,MATCH(OrdersTable[[#This Row],[State]],State!A:A,0))</f>
        <v>TN</v>
      </c>
      <c r="J4426" t="str">
        <f>INDEX(State!C:C,MATCH(OrdersTable[[#This Row],[State Code]],State!B:B,0))</f>
        <v>South</v>
      </c>
      <c r="K4426" t="s">
        <v>64</v>
      </c>
      <c r="L4426" t="s">
        <v>39</v>
      </c>
      <c r="M4426" t="s">
        <v>73</v>
      </c>
      <c r="N4426" t="str">
        <f>INDEX(Products!B:B,MATCH(OrdersTable[[#This Row],[Product ID]],Products!A:A,0))</f>
        <v>Hydrating Face Wash</v>
      </c>
      <c r="O4426" t="str">
        <f>INDEX(Products!C:C,MATCH(OrdersTable[[#This Row],[Product ID]],Products!A:A,0))</f>
        <v>Skincare</v>
      </c>
      <c r="P4426">
        <v>3</v>
      </c>
      <c r="Q4426" s="5">
        <v>299</v>
      </c>
      <c r="R4426" s="74">
        <v>0.1</v>
      </c>
      <c r="S4426" s="75">
        <f>OrdersTable[[#This Row],[Quantity]]*OrdersTable[[#This Row],[Unit Price]]</f>
        <v>897</v>
      </c>
      <c r="T4426" s="5">
        <f>OrdersTable[[#This Row],[Gross Sale]]*OrdersTable[[#This Row],[Discount_Clean2]]</f>
        <v>89.7</v>
      </c>
      <c r="U4426" s="5">
        <f>OrdersTable[[#This Row],[Gross Sale]]-OrdersTable[[#This Row],[Discount Amount]]</f>
        <v>807.3</v>
      </c>
      <c r="V4426" s="77">
        <f>INDEX(Products!E:E,MATCH(OrdersTable[[#This Row],[Product ID]],Products!A:A,0))</f>
        <v>90</v>
      </c>
      <c r="W4426" s="77">
        <f>OrdersTable[[#This Row],[Quantity]]*OrdersTable[[#This Row],[Unit Cost]]</f>
        <v>270</v>
      </c>
      <c r="X4426" s="77">
        <f>'Dropdown Lists'!$I$2*(1+OrdersTable[[#This Row],[Returned]])</f>
        <v>60</v>
      </c>
      <c r="Y4426" s="76">
        <f>OrdersTable[[#This Row],[Net Revenue]]-OrdersTable[[#This Row],[COGS]]-OrdersTable[[#This Row],[Shipping Cost]]</f>
        <v>477.29999999999995</v>
      </c>
      <c r="Z4426" s="78">
        <f>IFERROR(OrdersTable[[#This Row],[Profit]]/OrdersTable[[#This Row],[Net Revenue]],0)</f>
        <v>0.59123002601263464</v>
      </c>
      <c r="AA4426" t="s">
        <v>3495</v>
      </c>
      <c r="AB4426" s="79">
        <v>45977</v>
      </c>
      <c r="AC4426">
        <f>OrdersTable[[#This Row],[Delivery Date]]-OrdersTable[[#This Row],[Order Date]]</f>
        <v>5</v>
      </c>
      <c r="AD4426" t="str">
        <f>IF(OrdersTable[[#This Row],[Delivery Days]]&lt;=2, "Express (≤2d)", IF(OrdersTable[[#This Row],[Delivery Days]]&lt;=4, "Standard (3-4d)", "Delayed (5d+)"))</f>
        <v>Delayed (5d+)</v>
      </c>
      <c r="AE4426">
        <v>3</v>
      </c>
      <c r="AF4426">
        <v>0</v>
      </c>
    </row>
    <row r="4427" spans="1:32" ht="15" x14ac:dyDescent="0.35">
      <c r="A4427" t="s">
        <v>3683</v>
      </c>
      <c r="B4427" s="1">
        <v>45973</v>
      </c>
      <c r="C4427">
        <f>YEAR(OrdersTable[[#This Row],[Order Date]])</f>
        <v>2025</v>
      </c>
      <c r="D4427" s="2">
        <f>DATE(YEAR(OrdersTable[[#This Row],[Order Date]]),MONTH(OrdersTable[[#This Row],[Order Date]]),1)</f>
        <v>45962</v>
      </c>
      <c r="E4427">
        <f>MONTH(OrdersTable[[#This Row],[Order Date]])</f>
        <v>11</v>
      </c>
      <c r="F4427" t="s">
        <v>1744</v>
      </c>
      <c r="G4427" t="str">
        <f>IF(OrdersTable[[#This Row],[Order Date]]=_xlfn.MINIFS(Order_Date, Customer_ID, OrdersTable[[#This Row],[Customer ID]]), "New", "Repeat")</f>
        <v>Repeat</v>
      </c>
      <c r="H4427" t="s">
        <v>21</v>
      </c>
      <c r="I4427" t="str">
        <f>INDEX(State!B:B,MATCH(OrdersTable[[#This Row],[State]],State!A:A,0))</f>
        <v>PB</v>
      </c>
      <c r="J4427" t="str">
        <f>INDEX(State!C:C,MATCH(OrdersTable[[#This Row],[State Code]],State!B:B,0))</f>
        <v>North</v>
      </c>
      <c r="K4427" t="s">
        <v>260</v>
      </c>
      <c r="L4427" t="s">
        <v>23</v>
      </c>
      <c r="M4427" t="s">
        <v>87</v>
      </c>
      <c r="N4427" t="str">
        <f>INDEX(Products!B:B,MATCH(OrdersTable[[#This Row],[Product ID]],Products!A:A,0))</f>
        <v>Linen Kurta</v>
      </c>
      <c r="O4427" t="str">
        <f>INDEX(Products!C:C,MATCH(OrdersTable[[#This Row],[Product ID]],Products!A:A,0))</f>
        <v>Apparel</v>
      </c>
      <c r="P4427">
        <v>1</v>
      </c>
      <c r="Q4427" s="5">
        <v>1499</v>
      </c>
      <c r="R4427" s="74">
        <v>0.45</v>
      </c>
      <c r="S4427" s="75">
        <f>OrdersTable[[#This Row],[Quantity]]*OrdersTable[[#This Row],[Unit Price]]</f>
        <v>1499</v>
      </c>
      <c r="T4427" s="5">
        <f>OrdersTable[[#This Row],[Gross Sale]]*OrdersTable[[#This Row],[Discount_Clean2]]</f>
        <v>674.55000000000007</v>
      </c>
      <c r="U4427" s="5">
        <f>OrdersTable[[#This Row],[Gross Sale]]-OrdersTable[[#This Row],[Discount Amount]]</f>
        <v>824.44999999999993</v>
      </c>
      <c r="V4427" s="77">
        <f>INDEX(Products!E:E,MATCH(OrdersTable[[#This Row],[Product ID]],Products!A:A,0))</f>
        <v>630</v>
      </c>
      <c r="W4427" s="77">
        <f>OrdersTable[[#This Row],[Quantity]]*OrdersTable[[#This Row],[Unit Cost]]</f>
        <v>630</v>
      </c>
      <c r="X4427" s="77">
        <f>'Dropdown Lists'!$I$2*(1+OrdersTable[[#This Row],[Returned]])</f>
        <v>60</v>
      </c>
      <c r="Y4427" s="76">
        <f>OrdersTable[[#This Row],[Net Revenue]]-OrdersTable[[#This Row],[COGS]]-OrdersTable[[#This Row],[Shipping Cost]]</f>
        <v>134.44999999999993</v>
      </c>
      <c r="Z4427" s="78">
        <f>IFERROR(OrdersTable[[#This Row],[Profit]]/OrdersTable[[#This Row],[Net Revenue]],0)</f>
        <v>0.16307841591363934</v>
      </c>
      <c r="AA4427" t="s">
        <v>3495</v>
      </c>
      <c r="AB4427" s="79">
        <v>45977</v>
      </c>
      <c r="AC4427">
        <f>OrdersTable[[#This Row],[Delivery Date]]-OrdersTable[[#This Row],[Order Date]]</f>
        <v>4</v>
      </c>
      <c r="AD4427" t="str">
        <f>IF(OrdersTable[[#This Row],[Delivery Days]]&lt;=2, "Express (≤2d)", IF(OrdersTable[[#This Row],[Delivery Days]]&lt;=4, "Standard (3-4d)", "Delayed (5d+)"))</f>
        <v>Standard (3-4d)</v>
      </c>
      <c r="AE4427">
        <v>4</v>
      </c>
      <c r="AF4427">
        <v>0</v>
      </c>
    </row>
    <row r="4428" spans="1:32" ht="15" x14ac:dyDescent="0.35">
      <c r="A4428" t="s">
        <v>2047</v>
      </c>
      <c r="B4428" s="1">
        <v>45973</v>
      </c>
      <c r="C4428">
        <f>YEAR(OrdersTable[[#This Row],[Order Date]])</f>
        <v>2025</v>
      </c>
      <c r="D4428" s="2">
        <f>DATE(YEAR(OrdersTable[[#This Row],[Order Date]]),MONTH(OrdersTable[[#This Row],[Order Date]]),1)</f>
        <v>45962</v>
      </c>
      <c r="E4428">
        <f>MONTH(OrdersTable[[#This Row],[Order Date]])</f>
        <v>11</v>
      </c>
      <c r="F4428" t="s">
        <v>313</v>
      </c>
      <c r="G4428" t="str">
        <f>IF(OrdersTable[[#This Row],[Order Date]]=_xlfn.MINIFS(Order_Date, Customer_ID, OrdersTable[[#This Row],[Customer ID]]), "New", "Repeat")</f>
        <v>Repeat</v>
      </c>
      <c r="H4428" t="s">
        <v>158</v>
      </c>
      <c r="I4428" t="str">
        <f>INDEX(State!B:B,MATCH(OrdersTable[[#This Row],[State]],State!A:A,0))</f>
        <v>HP</v>
      </c>
      <c r="J4428" t="str">
        <f>INDEX(State!C:C,MATCH(OrdersTable[[#This Row],[State Code]],State!B:B,0))</f>
        <v>North</v>
      </c>
      <c r="K4428" t="s">
        <v>159</v>
      </c>
      <c r="L4428" t="s">
        <v>16</v>
      </c>
      <c r="M4428" t="s">
        <v>255</v>
      </c>
      <c r="N4428" t="str">
        <f>INDEX(Products!B:B,MATCH(OrdersTable[[#This Row],[Product ID]],Products!A:A,0))</f>
        <v>Cotton Oversized T-Shirt</v>
      </c>
      <c r="O4428" t="str">
        <f>INDEX(Products!C:C,MATCH(OrdersTable[[#This Row],[Product ID]],Products!A:A,0))</f>
        <v>Apparel</v>
      </c>
      <c r="P4428">
        <v>1</v>
      </c>
      <c r="Q4428" s="5">
        <v>799</v>
      </c>
      <c r="R4428" s="74">
        <v>0.05</v>
      </c>
      <c r="S4428" s="75">
        <f>OrdersTable[[#This Row],[Quantity]]*OrdersTable[[#This Row],[Unit Price]]</f>
        <v>799</v>
      </c>
      <c r="T4428" s="5">
        <f>OrdersTable[[#This Row],[Gross Sale]]*OrdersTable[[#This Row],[Discount_Clean2]]</f>
        <v>39.950000000000003</v>
      </c>
      <c r="U4428" s="5">
        <f>OrdersTable[[#This Row],[Gross Sale]]-OrdersTable[[#This Row],[Discount Amount]]</f>
        <v>759.05</v>
      </c>
      <c r="V4428" s="77">
        <f>INDEX(Products!E:E,MATCH(OrdersTable[[#This Row],[Product ID]],Products!A:A,0))</f>
        <v>320</v>
      </c>
      <c r="W4428" s="77">
        <f>OrdersTable[[#This Row],[Quantity]]*OrdersTable[[#This Row],[Unit Cost]]</f>
        <v>320</v>
      </c>
      <c r="X4428" s="77">
        <f>'Dropdown Lists'!$I$2*(1+OrdersTable[[#This Row],[Returned]])</f>
        <v>60</v>
      </c>
      <c r="Y4428" s="76">
        <f>OrdersTable[[#This Row],[Net Revenue]]-OrdersTable[[#This Row],[COGS]]-OrdersTable[[#This Row],[Shipping Cost]]</f>
        <v>379.04999999999995</v>
      </c>
      <c r="Z4428" s="78">
        <f>IFERROR(OrdersTable[[#This Row],[Profit]]/OrdersTable[[#This Row],[Net Revenue]],0)</f>
        <v>0.49937421777221525</v>
      </c>
      <c r="AA4428" t="s">
        <v>18</v>
      </c>
      <c r="AB4428" s="79">
        <v>45978</v>
      </c>
      <c r="AC4428">
        <f>OrdersTable[[#This Row],[Delivery Date]]-OrdersTable[[#This Row],[Order Date]]</f>
        <v>5</v>
      </c>
      <c r="AD4428" t="str">
        <f>IF(OrdersTable[[#This Row],[Delivery Days]]&lt;=2, "Express (≤2d)", IF(OrdersTable[[#This Row],[Delivery Days]]&lt;=4, "Standard (3-4d)", "Delayed (5d+)"))</f>
        <v>Delayed (5d+)</v>
      </c>
      <c r="AE4428">
        <v>3</v>
      </c>
      <c r="AF4428">
        <v>0</v>
      </c>
    </row>
    <row r="4429" spans="1:32" ht="15" x14ac:dyDescent="0.35">
      <c r="A4429" t="s">
        <v>400</v>
      </c>
      <c r="B4429" s="1">
        <v>45973</v>
      </c>
      <c r="C4429">
        <f>YEAR(OrdersTable[[#This Row],[Order Date]])</f>
        <v>2025</v>
      </c>
      <c r="D4429" s="2">
        <f>DATE(YEAR(OrdersTable[[#This Row],[Order Date]]),MONTH(OrdersTable[[#This Row],[Order Date]]),1)</f>
        <v>45962</v>
      </c>
      <c r="E4429">
        <f>MONTH(OrdersTable[[#This Row],[Order Date]])</f>
        <v>11</v>
      </c>
      <c r="F4429" t="s">
        <v>401</v>
      </c>
      <c r="G4429" t="str">
        <f>IF(OrdersTable[[#This Row],[Order Date]]=_xlfn.MINIFS(Order_Date, Customer_ID, OrdersTable[[#This Row],[Customer ID]]), "New", "Repeat")</f>
        <v>Repeat</v>
      </c>
      <c r="H4429" t="s">
        <v>48</v>
      </c>
      <c r="I4429" t="str">
        <f>INDEX(State!B:B,MATCH(OrdersTable[[#This Row],[State]],State!A:A,0))</f>
        <v>HR</v>
      </c>
      <c r="J4429" t="str">
        <f>INDEX(State!C:C,MATCH(OrdersTable[[#This Row],[State Code]],State!B:B,0))</f>
        <v>North</v>
      </c>
      <c r="K4429" t="s">
        <v>49</v>
      </c>
      <c r="L4429" t="s">
        <v>50</v>
      </c>
      <c r="M4429" t="s">
        <v>152</v>
      </c>
      <c r="N4429" t="str">
        <f>INDEX(Products!B:B,MATCH(OrdersTable[[#This Row],[Product ID]],Products!A:A,0))</f>
        <v>Green Tea (100 bags)</v>
      </c>
      <c r="O4429" t="str">
        <f>INDEX(Products!C:C,MATCH(OrdersTable[[#This Row],[Product ID]],Products!A:A,0))</f>
        <v>Wellness</v>
      </c>
      <c r="P4429">
        <v>1</v>
      </c>
      <c r="Q4429" s="5">
        <v>399</v>
      </c>
      <c r="R4429" s="74">
        <v>0.4</v>
      </c>
      <c r="S4429" s="75">
        <f>OrdersTable[[#This Row],[Quantity]]*OrdersTable[[#This Row],[Unit Price]]</f>
        <v>399</v>
      </c>
      <c r="T4429" s="5">
        <f>OrdersTable[[#This Row],[Gross Sale]]*OrdersTable[[#This Row],[Discount_Clean2]]</f>
        <v>159.60000000000002</v>
      </c>
      <c r="U4429" s="5">
        <f>OrdersTable[[#This Row],[Gross Sale]]-OrdersTable[[#This Row],[Discount Amount]]</f>
        <v>239.39999999999998</v>
      </c>
      <c r="V4429" s="77">
        <f>INDEX(Products!E:E,MATCH(OrdersTable[[#This Row],[Product ID]],Products!A:A,0))</f>
        <v>128</v>
      </c>
      <c r="W4429" s="77">
        <f>OrdersTable[[#This Row],[Quantity]]*OrdersTable[[#This Row],[Unit Cost]]</f>
        <v>128</v>
      </c>
      <c r="X4429" s="77">
        <f>'Dropdown Lists'!$I$2*(1+OrdersTable[[#This Row],[Returned]])</f>
        <v>60</v>
      </c>
      <c r="Y4429" s="76">
        <f>OrdersTable[[#This Row],[Net Revenue]]-OrdersTable[[#This Row],[COGS]]-OrdersTable[[#This Row],[Shipping Cost]]</f>
        <v>51.399999999999977</v>
      </c>
      <c r="Z4429" s="78">
        <f>IFERROR(OrdersTable[[#This Row],[Profit]]/OrdersTable[[#This Row],[Net Revenue]],0)</f>
        <v>0.21470342522974095</v>
      </c>
      <c r="AA4429" t="s">
        <v>18</v>
      </c>
      <c r="AB4429" s="79">
        <v>45976</v>
      </c>
      <c r="AC4429">
        <f>OrdersTable[[#This Row],[Delivery Date]]-OrdersTable[[#This Row],[Order Date]]</f>
        <v>3</v>
      </c>
      <c r="AD4429" t="str">
        <f>IF(OrdersTable[[#This Row],[Delivery Days]]&lt;=2, "Express (≤2d)", IF(OrdersTable[[#This Row],[Delivery Days]]&lt;=4, "Standard (3-4d)", "Delayed (5d+)"))</f>
        <v>Standard (3-4d)</v>
      </c>
      <c r="AE4429">
        <v>4</v>
      </c>
      <c r="AF4429">
        <v>0</v>
      </c>
    </row>
    <row r="4430" spans="1:32" ht="15" x14ac:dyDescent="0.35">
      <c r="A4430" t="s">
        <v>4195</v>
      </c>
      <c r="B4430" s="1">
        <v>45973</v>
      </c>
      <c r="C4430">
        <f>YEAR(OrdersTable[[#This Row],[Order Date]])</f>
        <v>2025</v>
      </c>
      <c r="D4430" s="2">
        <f>DATE(YEAR(OrdersTable[[#This Row],[Order Date]]),MONTH(OrdersTable[[#This Row],[Order Date]]),1)</f>
        <v>45962</v>
      </c>
      <c r="E4430">
        <f>MONTH(OrdersTable[[#This Row],[Order Date]])</f>
        <v>11</v>
      </c>
      <c r="F4430" t="s">
        <v>2928</v>
      </c>
      <c r="G4430" t="str">
        <f>IF(OrdersTable[[#This Row],[Order Date]]=_xlfn.MINIFS(Order_Date, Customer_ID, OrdersTable[[#This Row],[Customer ID]]), "New", "Repeat")</f>
        <v>Repeat</v>
      </c>
      <c r="H4430" t="s">
        <v>76</v>
      </c>
      <c r="I4430" t="str">
        <f>INDEX(State!B:B,MATCH(OrdersTable[[#This Row],[State]],State!A:A,0))</f>
        <v>UP</v>
      </c>
      <c r="J4430" t="str">
        <f>INDEX(State!C:C,MATCH(OrdersTable[[#This Row],[State Code]],State!B:B,0))</f>
        <v>North</v>
      </c>
      <c r="K4430" t="s">
        <v>105</v>
      </c>
      <c r="L4430" t="s">
        <v>23</v>
      </c>
      <c r="M4430" t="s">
        <v>106</v>
      </c>
      <c r="N4430" t="str">
        <f>INDEX(Products!B:B,MATCH(OrdersTable[[#This Row],[Product ID]],Products!A:A,0))</f>
        <v>Keratin Hair Mask</v>
      </c>
      <c r="O4430" t="str">
        <f>INDEX(Products!C:C,MATCH(OrdersTable[[#This Row],[Product ID]],Products!A:A,0))</f>
        <v>Haircare</v>
      </c>
      <c r="P4430">
        <v>1</v>
      </c>
      <c r="Q4430" s="5">
        <v>549</v>
      </c>
      <c r="R4430" s="74">
        <v>0.15</v>
      </c>
      <c r="S4430" s="75">
        <f>OrdersTable[[#This Row],[Quantity]]*OrdersTable[[#This Row],[Unit Price]]</f>
        <v>549</v>
      </c>
      <c r="T4430" s="5">
        <f>OrdersTable[[#This Row],[Gross Sale]]*OrdersTable[[#This Row],[Discount_Clean2]]</f>
        <v>82.35</v>
      </c>
      <c r="U4430" s="5">
        <f>OrdersTable[[#This Row],[Gross Sale]]-OrdersTable[[#This Row],[Discount Amount]]</f>
        <v>466.65</v>
      </c>
      <c r="V4430" s="77">
        <f>INDEX(Products!E:E,MATCH(OrdersTable[[#This Row],[Product ID]],Products!A:A,0))</f>
        <v>170</v>
      </c>
      <c r="W4430" s="77">
        <f>OrdersTable[[#This Row],[Quantity]]*OrdersTable[[#This Row],[Unit Cost]]</f>
        <v>170</v>
      </c>
      <c r="X4430" s="77">
        <f>'Dropdown Lists'!$I$2*(1+OrdersTable[[#This Row],[Returned]])</f>
        <v>60</v>
      </c>
      <c r="Y4430" s="76">
        <f>OrdersTable[[#This Row],[Net Revenue]]-OrdersTable[[#This Row],[COGS]]-OrdersTable[[#This Row],[Shipping Cost]]</f>
        <v>236.64999999999998</v>
      </c>
      <c r="Z4430" s="78">
        <f>IFERROR(OrdersTable[[#This Row],[Profit]]/OrdersTable[[#This Row],[Net Revenue]],0)</f>
        <v>0.50712525447337398</v>
      </c>
      <c r="AA4430" t="s">
        <v>4074</v>
      </c>
      <c r="AB4430" s="79">
        <v>45975</v>
      </c>
      <c r="AC4430">
        <f>OrdersTable[[#This Row],[Delivery Date]]-OrdersTable[[#This Row],[Order Date]]</f>
        <v>2</v>
      </c>
      <c r="AD4430" t="str">
        <f>IF(OrdersTable[[#This Row],[Delivery Days]]&lt;=2, "Express (≤2d)", IF(OrdersTable[[#This Row],[Delivery Days]]&lt;=4, "Standard (3-4d)", "Delayed (5d+)"))</f>
        <v>Express (≤2d)</v>
      </c>
      <c r="AE4430">
        <v>5</v>
      </c>
      <c r="AF4430">
        <v>0</v>
      </c>
    </row>
    <row r="4431" spans="1:32" ht="15" x14ac:dyDescent="0.35">
      <c r="A4431" t="s">
        <v>2048</v>
      </c>
      <c r="B4431" s="1">
        <v>45973</v>
      </c>
      <c r="C4431">
        <f>YEAR(OrdersTable[[#This Row],[Order Date]])</f>
        <v>2025</v>
      </c>
      <c r="D4431" s="2">
        <f>DATE(YEAR(OrdersTable[[#This Row],[Order Date]]),MONTH(OrdersTable[[#This Row],[Order Date]]),1)</f>
        <v>45962</v>
      </c>
      <c r="E4431">
        <f>MONTH(OrdersTable[[#This Row],[Order Date]])</f>
        <v>11</v>
      </c>
      <c r="F4431" t="s">
        <v>2049</v>
      </c>
      <c r="G4431" t="str">
        <f>IF(OrdersTable[[#This Row],[Order Date]]=_xlfn.MINIFS(Order_Date, Customer_ID, OrdersTable[[#This Row],[Customer ID]]), "New", "Repeat")</f>
        <v>Repeat</v>
      </c>
      <c r="H4431" t="s">
        <v>27</v>
      </c>
      <c r="I4431" t="str">
        <f>INDEX(State!B:B,MATCH(OrdersTable[[#This Row],[State]],State!A:A,0))</f>
        <v>WB</v>
      </c>
      <c r="J4431" t="str">
        <f>INDEX(State!C:C,MATCH(OrdersTable[[#This Row],[State Code]],State!B:B,0))</f>
        <v>East</v>
      </c>
      <c r="K4431" t="s">
        <v>28</v>
      </c>
      <c r="L4431" t="s">
        <v>23</v>
      </c>
      <c r="M4431" t="s">
        <v>176</v>
      </c>
      <c r="N4431" t="str">
        <f>INDEX(Products!B:B,MATCH(OrdersTable[[#This Row],[Product ID]],Products!A:A,0))</f>
        <v>Denim Jacket</v>
      </c>
      <c r="O4431" t="str">
        <f>INDEX(Products!C:C,MATCH(OrdersTable[[#This Row],[Product ID]],Products!A:A,0))</f>
        <v>Apparel</v>
      </c>
      <c r="P4431">
        <v>1</v>
      </c>
      <c r="Q4431" s="5">
        <v>2499</v>
      </c>
      <c r="R4431" s="74">
        <v>0.1</v>
      </c>
      <c r="S4431" s="75">
        <f>OrdersTable[[#This Row],[Quantity]]*OrdersTable[[#This Row],[Unit Price]]</f>
        <v>2499</v>
      </c>
      <c r="T4431" s="5">
        <f>OrdersTable[[#This Row],[Gross Sale]]*OrdersTable[[#This Row],[Discount_Clean2]]</f>
        <v>249.9</v>
      </c>
      <c r="U4431" s="5">
        <f>OrdersTable[[#This Row],[Gross Sale]]-OrdersTable[[#This Row],[Discount Amount]]</f>
        <v>2249.1</v>
      </c>
      <c r="V4431" s="77">
        <f>INDEX(Products!E:E,MATCH(OrdersTable[[#This Row],[Product ID]],Products!A:A,0))</f>
        <v>1125</v>
      </c>
      <c r="W4431" s="77">
        <f>OrdersTable[[#This Row],[Quantity]]*OrdersTable[[#This Row],[Unit Cost]]</f>
        <v>1125</v>
      </c>
      <c r="X4431" s="77">
        <f>'Dropdown Lists'!$I$2*(1+OrdersTable[[#This Row],[Returned]])</f>
        <v>120</v>
      </c>
      <c r="Y4431" s="76">
        <f>OrdersTable[[#This Row],[Net Revenue]]-OrdersTable[[#This Row],[COGS]]-OrdersTable[[#This Row],[Shipping Cost]]</f>
        <v>1004.0999999999999</v>
      </c>
      <c r="Z4431" s="78">
        <f>IFERROR(OrdersTable[[#This Row],[Profit]]/OrdersTable[[#This Row],[Net Revenue]],0)</f>
        <v>0.44644524476457248</v>
      </c>
      <c r="AA4431" t="s">
        <v>18</v>
      </c>
      <c r="AB4431" s="79">
        <v>45978</v>
      </c>
      <c r="AC4431">
        <f>OrdersTable[[#This Row],[Delivery Date]]-OrdersTable[[#This Row],[Order Date]]</f>
        <v>5</v>
      </c>
      <c r="AD4431" t="str">
        <f>IF(OrdersTable[[#This Row],[Delivery Days]]&lt;=2, "Express (≤2d)", IF(OrdersTable[[#This Row],[Delivery Days]]&lt;=4, "Standard (3-4d)", "Delayed (5d+)"))</f>
        <v>Delayed (5d+)</v>
      </c>
      <c r="AE4431">
        <v>3</v>
      </c>
      <c r="AF4431">
        <v>1</v>
      </c>
    </row>
    <row r="4432" spans="1:32" ht="15" x14ac:dyDescent="0.35">
      <c r="A4432" t="s">
        <v>5738</v>
      </c>
      <c r="B4432" s="1">
        <v>45973</v>
      </c>
      <c r="C4432">
        <f>YEAR(OrdersTable[[#This Row],[Order Date]])</f>
        <v>2025</v>
      </c>
      <c r="D4432" s="2">
        <f>DATE(YEAR(OrdersTable[[#This Row],[Order Date]]),MONTH(OrdersTable[[#This Row],[Order Date]]),1)</f>
        <v>45962</v>
      </c>
      <c r="E4432">
        <f>MONTH(OrdersTable[[#This Row],[Order Date]])</f>
        <v>11</v>
      </c>
      <c r="F4432" t="s">
        <v>613</v>
      </c>
      <c r="G4432" t="str">
        <f>IF(OrdersTable[[#This Row],[Order Date]]=_xlfn.MINIFS(Order_Date, Customer_ID, OrdersTable[[#This Row],[Customer ID]]), "New", "Repeat")</f>
        <v>Repeat</v>
      </c>
      <c r="H4432" t="s">
        <v>71</v>
      </c>
      <c r="I4432" t="str">
        <f>INDEX(State!B:B,MATCH(OrdersTable[[#This Row],[State]],State!A:A,0))</f>
        <v>MH</v>
      </c>
      <c r="J4432" t="str">
        <f>INDEX(State!C:C,MATCH(OrdersTable[[#This Row],[State Code]],State!B:B,0))</f>
        <v>West</v>
      </c>
      <c r="K4432" t="s">
        <v>81</v>
      </c>
      <c r="L4432" t="s">
        <v>16</v>
      </c>
      <c r="M4432" t="s">
        <v>255</v>
      </c>
      <c r="N4432" t="str">
        <f>INDEX(Products!B:B,MATCH(OrdersTable[[#This Row],[Product ID]],Products!A:A,0))</f>
        <v>Cotton Oversized T-Shirt</v>
      </c>
      <c r="O4432" t="str">
        <f>INDEX(Products!C:C,MATCH(OrdersTable[[#This Row],[Product ID]],Products!A:A,0))</f>
        <v>Apparel</v>
      </c>
      <c r="P4432">
        <v>2</v>
      </c>
      <c r="Q4432" s="5">
        <v>799</v>
      </c>
      <c r="R4432" s="74">
        <v>0.05</v>
      </c>
      <c r="S4432" s="75">
        <f>OrdersTable[[#This Row],[Quantity]]*OrdersTable[[#This Row],[Unit Price]]</f>
        <v>1598</v>
      </c>
      <c r="T4432" s="5">
        <f>OrdersTable[[#This Row],[Gross Sale]]*OrdersTable[[#This Row],[Discount_Clean2]]</f>
        <v>79.900000000000006</v>
      </c>
      <c r="U4432" s="5">
        <f>OrdersTable[[#This Row],[Gross Sale]]-OrdersTable[[#This Row],[Discount Amount]]</f>
        <v>1518.1</v>
      </c>
      <c r="V4432" s="77">
        <f>INDEX(Products!E:E,MATCH(OrdersTable[[#This Row],[Product ID]],Products!A:A,0))</f>
        <v>320</v>
      </c>
      <c r="W4432" s="77">
        <f>OrdersTable[[#This Row],[Quantity]]*OrdersTable[[#This Row],[Unit Cost]]</f>
        <v>640</v>
      </c>
      <c r="X4432" s="77">
        <f>'Dropdown Lists'!$I$2*(1+OrdersTable[[#This Row],[Returned]])</f>
        <v>60</v>
      </c>
      <c r="Y4432" s="76">
        <f>OrdersTable[[#This Row],[Net Revenue]]-OrdersTable[[#This Row],[COGS]]-OrdersTable[[#This Row],[Shipping Cost]]</f>
        <v>818.09999999999991</v>
      </c>
      <c r="Z4432" s="78">
        <f>IFERROR(OrdersTable[[#This Row],[Profit]]/OrdersTable[[#This Row],[Net Revenue]],0)</f>
        <v>0.5388973058428298</v>
      </c>
      <c r="AA4432" t="s">
        <v>18</v>
      </c>
      <c r="AB4432" s="79">
        <v>45976</v>
      </c>
      <c r="AC4432">
        <f>OrdersTable[[#This Row],[Delivery Date]]-OrdersTable[[#This Row],[Order Date]]</f>
        <v>3</v>
      </c>
      <c r="AD4432" t="str">
        <f>IF(OrdersTable[[#This Row],[Delivery Days]]&lt;=2, "Express (≤2d)", IF(OrdersTable[[#This Row],[Delivery Days]]&lt;=4, "Standard (3-4d)", "Delayed (5d+)"))</f>
        <v>Standard (3-4d)</v>
      </c>
      <c r="AE4432">
        <v>3</v>
      </c>
      <c r="AF4432">
        <v>0</v>
      </c>
    </row>
    <row r="4433" spans="1:32" ht="15" x14ac:dyDescent="0.35">
      <c r="A4433" t="s">
        <v>1122</v>
      </c>
      <c r="B4433" s="1">
        <v>45973</v>
      </c>
      <c r="C4433">
        <f>YEAR(OrdersTable[[#This Row],[Order Date]])</f>
        <v>2025</v>
      </c>
      <c r="D4433" s="2">
        <f>DATE(YEAR(OrdersTable[[#This Row],[Order Date]]),MONTH(OrdersTable[[#This Row],[Order Date]]),1)</f>
        <v>45962</v>
      </c>
      <c r="E4433">
        <f>MONTH(OrdersTable[[#This Row],[Order Date]])</f>
        <v>11</v>
      </c>
      <c r="F4433" t="s">
        <v>1123</v>
      </c>
      <c r="G4433" t="str">
        <f>IF(OrdersTable[[#This Row],[Order Date]]=_xlfn.MINIFS(Order_Date, Customer_ID, OrdersTable[[#This Row],[Customer ID]]), "New", "Repeat")</f>
        <v>New</v>
      </c>
      <c r="H4433" t="s">
        <v>95</v>
      </c>
      <c r="I4433" t="str">
        <f>INDEX(State!B:B,MATCH(OrdersTable[[#This Row],[State]],State!A:A,0))</f>
        <v>TG</v>
      </c>
      <c r="J4433" t="str">
        <f>INDEX(State!C:C,MATCH(OrdersTable[[#This Row],[State Code]],State!B:B,0))</f>
        <v>South</v>
      </c>
      <c r="K4433" t="s">
        <v>96</v>
      </c>
      <c r="L4433" t="s">
        <v>65</v>
      </c>
      <c r="M4433" t="s">
        <v>109</v>
      </c>
      <c r="N4433" t="str">
        <f>INDEX(Products!B:B,MATCH(OrdersTable[[#This Row],[Product ID]],Products!A:A,0))</f>
        <v>Onion Hair Oil</v>
      </c>
      <c r="O4433" t="str">
        <f>INDEX(Products!C:C,MATCH(OrdersTable[[#This Row],[Product ID]],Products!A:A,0))</f>
        <v>Haircare</v>
      </c>
      <c r="P4433">
        <v>1</v>
      </c>
      <c r="Q4433" s="5">
        <v>349</v>
      </c>
      <c r="R4433" s="74">
        <v>0.5</v>
      </c>
      <c r="S4433" s="75">
        <f>OrdersTable[[#This Row],[Quantity]]*OrdersTable[[#This Row],[Unit Price]]</f>
        <v>349</v>
      </c>
      <c r="T4433" s="5">
        <f>OrdersTable[[#This Row],[Gross Sale]]*OrdersTable[[#This Row],[Discount_Clean2]]</f>
        <v>174.5</v>
      </c>
      <c r="U4433" s="5">
        <f>OrdersTable[[#This Row],[Gross Sale]]-OrdersTable[[#This Row],[Discount Amount]]</f>
        <v>174.5</v>
      </c>
      <c r="V4433" s="77">
        <f>INDEX(Products!E:E,MATCH(OrdersTable[[#This Row],[Product ID]],Products!A:A,0))</f>
        <v>105</v>
      </c>
      <c r="W4433" s="77">
        <f>OrdersTable[[#This Row],[Quantity]]*OrdersTable[[#This Row],[Unit Cost]]</f>
        <v>105</v>
      </c>
      <c r="X4433" s="77">
        <f>'Dropdown Lists'!$I$2*(1+OrdersTable[[#This Row],[Returned]])</f>
        <v>120</v>
      </c>
      <c r="Y4433" s="76">
        <f>OrdersTable[[#This Row],[Net Revenue]]-OrdersTable[[#This Row],[COGS]]-OrdersTable[[#This Row],[Shipping Cost]]</f>
        <v>-50.5</v>
      </c>
      <c r="Z4433" s="78">
        <f>IFERROR(OrdersTable[[#This Row],[Profit]]/OrdersTable[[#This Row],[Net Revenue]],0)</f>
        <v>-0.28939828080229224</v>
      </c>
      <c r="AA4433" t="s">
        <v>18</v>
      </c>
      <c r="AB4433" s="79">
        <v>45975</v>
      </c>
      <c r="AC4433">
        <f>OrdersTable[[#This Row],[Delivery Date]]-OrdersTable[[#This Row],[Order Date]]</f>
        <v>2</v>
      </c>
      <c r="AD4433" t="str">
        <f>IF(OrdersTable[[#This Row],[Delivery Days]]&lt;=2, "Express (≤2d)", IF(OrdersTable[[#This Row],[Delivery Days]]&lt;=4, "Standard (3-4d)", "Delayed (5d+)"))</f>
        <v>Express (≤2d)</v>
      </c>
      <c r="AE4433">
        <v>4</v>
      </c>
      <c r="AF4433">
        <v>1</v>
      </c>
    </row>
    <row r="4434" spans="1:32" ht="15" x14ac:dyDescent="0.35">
      <c r="A4434" t="s">
        <v>6433</v>
      </c>
      <c r="B4434" s="1">
        <v>45973</v>
      </c>
      <c r="C4434">
        <f>YEAR(OrdersTable[[#This Row],[Order Date]])</f>
        <v>2025</v>
      </c>
      <c r="D4434" s="2">
        <f>DATE(YEAR(OrdersTable[[#This Row],[Order Date]]),MONTH(OrdersTable[[#This Row],[Order Date]]),1)</f>
        <v>45962</v>
      </c>
      <c r="E4434">
        <f>MONTH(OrdersTable[[#This Row],[Order Date]])</f>
        <v>11</v>
      </c>
      <c r="F4434" t="s">
        <v>6434</v>
      </c>
      <c r="G4434" t="str">
        <f>IF(OrdersTable[[#This Row],[Order Date]]=_xlfn.MINIFS(Order_Date, Customer_ID, OrdersTable[[#This Row],[Customer ID]]), "New", "Repeat")</f>
        <v>New</v>
      </c>
      <c r="H4434" t="s">
        <v>59</v>
      </c>
      <c r="I4434" t="str">
        <f>INDEX(State!B:B,MATCH(OrdersTable[[#This Row],[State]],State!A:A,0))</f>
        <v>TN</v>
      </c>
      <c r="J4434" t="str">
        <f>INDEX(State!C:C,MATCH(OrdersTable[[#This Row],[State Code]],State!B:B,0))</f>
        <v>South</v>
      </c>
      <c r="K4434" t="s">
        <v>60</v>
      </c>
      <c r="L4434" t="s">
        <v>16</v>
      </c>
      <c r="M4434" t="s">
        <v>34</v>
      </c>
      <c r="N4434" t="str">
        <f>INDEX(Products!B:B,MATCH(OrdersTable[[#This Row],[Product ID]],Products!A:A,0))</f>
        <v>Flip Flops</v>
      </c>
      <c r="O4434" t="str">
        <f>INDEX(Products!C:C,MATCH(OrdersTable[[#This Row],[Product ID]],Products!A:A,0))</f>
        <v>Footwear</v>
      </c>
      <c r="P4434">
        <v>2</v>
      </c>
      <c r="Q4434" s="5">
        <v>399</v>
      </c>
      <c r="R4434" s="74">
        <v>0.2</v>
      </c>
      <c r="S4434" s="75">
        <f>OrdersTable[[#This Row],[Quantity]]*OrdersTable[[#This Row],[Unit Price]]</f>
        <v>798</v>
      </c>
      <c r="T4434" s="5">
        <f>OrdersTable[[#This Row],[Gross Sale]]*OrdersTable[[#This Row],[Discount_Clean2]]</f>
        <v>159.60000000000002</v>
      </c>
      <c r="U4434" s="5">
        <f>OrdersTable[[#This Row],[Gross Sale]]-OrdersTable[[#This Row],[Discount Amount]]</f>
        <v>638.4</v>
      </c>
      <c r="V4434" s="77">
        <f>INDEX(Products!E:E,MATCH(OrdersTable[[#This Row],[Product ID]],Products!A:A,0))</f>
        <v>152</v>
      </c>
      <c r="W4434" s="77">
        <f>OrdersTable[[#This Row],[Quantity]]*OrdersTable[[#This Row],[Unit Cost]]</f>
        <v>304</v>
      </c>
      <c r="X4434" s="77">
        <f>'Dropdown Lists'!$I$2*(1+OrdersTable[[#This Row],[Returned]])</f>
        <v>120</v>
      </c>
      <c r="Y4434" s="76">
        <f>OrdersTable[[#This Row],[Net Revenue]]-OrdersTable[[#This Row],[COGS]]-OrdersTable[[#This Row],[Shipping Cost]]</f>
        <v>214.39999999999998</v>
      </c>
      <c r="Z4434" s="78">
        <f>IFERROR(OrdersTable[[#This Row],[Profit]]/OrdersTable[[#This Row],[Net Revenue]],0)</f>
        <v>0.33583959899749372</v>
      </c>
      <c r="AA4434" t="s">
        <v>18</v>
      </c>
      <c r="AB4434" s="79">
        <v>45976</v>
      </c>
      <c r="AC4434">
        <f>OrdersTable[[#This Row],[Delivery Date]]-OrdersTable[[#This Row],[Order Date]]</f>
        <v>3</v>
      </c>
      <c r="AD4434" t="str">
        <f>IF(OrdersTable[[#This Row],[Delivery Days]]&lt;=2, "Express (≤2d)", IF(OrdersTable[[#This Row],[Delivery Days]]&lt;=4, "Standard (3-4d)", "Delayed (5d+)"))</f>
        <v>Standard (3-4d)</v>
      </c>
      <c r="AF4434">
        <v>1</v>
      </c>
    </row>
    <row r="4435" spans="1:32" ht="15" x14ac:dyDescent="0.35">
      <c r="A4435" t="s">
        <v>3684</v>
      </c>
      <c r="B4435" s="1">
        <v>45973</v>
      </c>
      <c r="C4435">
        <f>YEAR(OrdersTable[[#This Row],[Order Date]])</f>
        <v>2025</v>
      </c>
      <c r="D4435" s="2">
        <f>DATE(YEAR(OrdersTable[[#This Row],[Order Date]]),MONTH(OrdersTable[[#This Row],[Order Date]]),1)</f>
        <v>45962</v>
      </c>
      <c r="E4435">
        <f>MONTH(OrdersTable[[#This Row],[Order Date]])</f>
        <v>11</v>
      </c>
      <c r="F4435" t="s">
        <v>3685</v>
      </c>
      <c r="G4435" t="str">
        <f>IF(OrdersTable[[#This Row],[Order Date]]=_xlfn.MINIFS(Order_Date, Customer_ID, OrdersTable[[#This Row],[Customer ID]]), "New", "Repeat")</f>
        <v>Repeat</v>
      </c>
      <c r="H4435" t="s">
        <v>59</v>
      </c>
      <c r="I4435" t="str">
        <f>INDEX(State!B:B,MATCH(OrdersTable[[#This Row],[State]],State!A:A,0))</f>
        <v>TN</v>
      </c>
      <c r="J4435" t="str">
        <f>INDEX(State!C:C,MATCH(OrdersTable[[#This Row],[State Code]],State!B:B,0))</f>
        <v>South</v>
      </c>
      <c r="K4435" t="s">
        <v>60</v>
      </c>
      <c r="L4435" t="s">
        <v>39</v>
      </c>
      <c r="M4435" t="s">
        <v>576</v>
      </c>
      <c r="N4435" t="str">
        <f>INDEX(Products!B:B,MATCH(OrdersTable[[#This Row],[Product ID]],Products!A:A,0))</f>
        <v>Printed Saree</v>
      </c>
      <c r="O4435" t="str">
        <f>INDEX(Products!C:C,MATCH(OrdersTable[[#This Row],[Product ID]],Products!A:A,0))</f>
        <v>Apparel</v>
      </c>
      <c r="P4435">
        <v>1</v>
      </c>
      <c r="Q4435" s="5">
        <v>1999</v>
      </c>
      <c r="R4435" s="74">
        <v>0.15</v>
      </c>
      <c r="S4435" s="75">
        <f>OrdersTable[[#This Row],[Quantity]]*OrdersTable[[#This Row],[Unit Price]]</f>
        <v>1999</v>
      </c>
      <c r="T4435" s="5">
        <f>OrdersTable[[#This Row],[Gross Sale]]*OrdersTable[[#This Row],[Discount_Clean2]]</f>
        <v>299.84999999999997</v>
      </c>
      <c r="U4435" s="5">
        <f>OrdersTable[[#This Row],[Gross Sale]]-OrdersTable[[#This Row],[Discount Amount]]</f>
        <v>1699.15</v>
      </c>
      <c r="V4435" s="77">
        <f>INDEX(Products!E:E,MATCH(OrdersTable[[#This Row],[Product ID]],Products!A:A,0))</f>
        <v>880</v>
      </c>
      <c r="W4435" s="77">
        <f>OrdersTable[[#This Row],[Quantity]]*OrdersTable[[#This Row],[Unit Cost]]</f>
        <v>880</v>
      </c>
      <c r="X4435" s="77">
        <f>'Dropdown Lists'!$I$2*(1+OrdersTable[[#This Row],[Returned]])</f>
        <v>60</v>
      </c>
      <c r="Y4435" s="76">
        <f>OrdersTable[[#This Row],[Net Revenue]]-OrdersTable[[#This Row],[COGS]]-OrdersTable[[#This Row],[Shipping Cost]]</f>
        <v>759.15000000000009</v>
      </c>
      <c r="Z4435" s="78">
        <f>IFERROR(OrdersTable[[#This Row],[Profit]]/OrdersTable[[#This Row],[Net Revenue]],0)</f>
        <v>0.44678221463673018</v>
      </c>
      <c r="AA4435" t="s">
        <v>3495</v>
      </c>
      <c r="AB4435" s="79">
        <v>45975</v>
      </c>
      <c r="AC4435">
        <f>OrdersTable[[#This Row],[Delivery Date]]-OrdersTable[[#This Row],[Order Date]]</f>
        <v>2</v>
      </c>
      <c r="AD4435" t="str">
        <f>IF(OrdersTable[[#This Row],[Delivery Days]]&lt;=2, "Express (≤2d)", IF(OrdersTable[[#This Row],[Delivery Days]]&lt;=4, "Standard (3-4d)", "Delayed (5d+)"))</f>
        <v>Express (≤2d)</v>
      </c>
      <c r="AE4435">
        <v>4</v>
      </c>
      <c r="AF4435">
        <v>0</v>
      </c>
    </row>
    <row r="4436" spans="1:32" ht="15" x14ac:dyDescent="0.35">
      <c r="A4436" t="s">
        <v>1203</v>
      </c>
      <c r="B4436" s="1">
        <v>45973</v>
      </c>
      <c r="C4436">
        <f>YEAR(OrdersTable[[#This Row],[Order Date]])</f>
        <v>2025</v>
      </c>
      <c r="D4436" s="2">
        <f>DATE(YEAR(OrdersTable[[#This Row],[Order Date]]),MONTH(OrdersTable[[#This Row],[Order Date]]),1)</f>
        <v>45962</v>
      </c>
      <c r="E4436">
        <f>MONTH(OrdersTable[[#This Row],[Order Date]])</f>
        <v>11</v>
      </c>
      <c r="F4436" t="s">
        <v>1204</v>
      </c>
      <c r="G4436" t="str">
        <f>IF(OrdersTable[[#This Row],[Order Date]]=_xlfn.MINIFS(Order_Date, Customer_ID, OrdersTable[[#This Row],[Customer ID]]), "New", "Repeat")</f>
        <v>New</v>
      </c>
      <c r="H4436" t="s">
        <v>59</v>
      </c>
      <c r="I4436" t="str">
        <f>INDEX(State!B:B,MATCH(OrdersTable[[#This Row],[State]],State!A:A,0))</f>
        <v>TN</v>
      </c>
      <c r="J4436" t="str">
        <f>INDEX(State!C:C,MATCH(OrdersTable[[#This Row],[State Code]],State!B:B,0))</f>
        <v>South</v>
      </c>
      <c r="K4436" t="s">
        <v>64</v>
      </c>
      <c r="L4436" t="s">
        <v>50</v>
      </c>
      <c r="M4436" t="s">
        <v>73</v>
      </c>
      <c r="N4436" t="str">
        <f>INDEX(Products!B:B,MATCH(OrdersTable[[#This Row],[Product ID]],Products!A:A,0))</f>
        <v>Hydrating Face Wash</v>
      </c>
      <c r="O4436" t="str">
        <f>INDEX(Products!C:C,MATCH(OrdersTable[[#This Row],[Product ID]],Products!A:A,0))</f>
        <v>Skincare</v>
      </c>
      <c r="P4436">
        <v>1</v>
      </c>
      <c r="Q4436" s="5">
        <v>299</v>
      </c>
      <c r="R4436" s="74">
        <v>0.05</v>
      </c>
      <c r="S4436" s="75">
        <f>OrdersTable[[#This Row],[Quantity]]*OrdersTable[[#This Row],[Unit Price]]</f>
        <v>299</v>
      </c>
      <c r="T4436" s="5">
        <f>OrdersTable[[#This Row],[Gross Sale]]*OrdersTable[[#This Row],[Discount_Clean2]]</f>
        <v>14.950000000000001</v>
      </c>
      <c r="U4436" s="5">
        <f>OrdersTable[[#This Row],[Gross Sale]]-OrdersTable[[#This Row],[Discount Amount]]</f>
        <v>284.05</v>
      </c>
      <c r="V4436" s="77">
        <f>INDEX(Products!E:E,MATCH(OrdersTable[[#This Row],[Product ID]],Products!A:A,0))</f>
        <v>90</v>
      </c>
      <c r="W4436" s="77">
        <f>OrdersTable[[#This Row],[Quantity]]*OrdersTable[[#This Row],[Unit Cost]]</f>
        <v>90</v>
      </c>
      <c r="X4436" s="77">
        <f>'Dropdown Lists'!$I$2*(1+OrdersTable[[#This Row],[Returned]])</f>
        <v>60</v>
      </c>
      <c r="Y4436" s="76">
        <f>OrdersTable[[#This Row],[Net Revenue]]-OrdersTable[[#This Row],[COGS]]-OrdersTable[[#This Row],[Shipping Cost]]</f>
        <v>134.05000000000001</v>
      </c>
      <c r="Z4436" s="78">
        <f>IFERROR(OrdersTable[[#This Row],[Profit]]/OrdersTable[[#This Row],[Net Revenue]],0)</f>
        <v>0.47192395704981521</v>
      </c>
      <c r="AA4436" t="s">
        <v>18</v>
      </c>
      <c r="AB4436" s="79">
        <v>45977</v>
      </c>
      <c r="AC4436">
        <f>OrdersTable[[#This Row],[Delivery Date]]-OrdersTable[[#This Row],[Order Date]]</f>
        <v>4</v>
      </c>
      <c r="AD4436" t="str">
        <f>IF(OrdersTable[[#This Row],[Delivery Days]]&lt;=2, "Express (≤2d)", IF(OrdersTable[[#This Row],[Delivery Days]]&lt;=4, "Standard (3-4d)", "Delayed (5d+)"))</f>
        <v>Standard (3-4d)</v>
      </c>
      <c r="AF4436">
        <v>0</v>
      </c>
    </row>
    <row r="4437" spans="1:32" ht="15" x14ac:dyDescent="0.35">
      <c r="A4437" t="s">
        <v>5652</v>
      </c>
      <c r="B4437" s="1">
        <v>45974</v>
      </c>
      <c r="C4437">
        <f>YEAR(OrdersTable[[#This Row],[Order Date]])</f>
        <v>2025</v>
      </c>
      <c r="D4437" s="2">
        <f>DATE(YEAR(OrdersTable[[#This Row],[Order Date]]),MONTH(OrdersTable[[#This Row],[Order Date]]),1)</f>
        <v>45962</v>
      </c>
      <c r="E4437">
        <f>MONTH(OrdersTable[[#This Row],[Order Date]])</f>
        <v>11</v>
      </c>
      <c r="F4437" t="s">
        <v>2171</v>
      </c>
      <c r="G4437" t="str">
        <f>IF(OrdersTable[[#This Row],[Order Date]]=_xlfn.MINIFS(Order_Date, Customer_ID, OrdersTable[[#This Row],[Customer ID]]), "New", "Repeat")</f>
        <v>Repeat</v>
      </c>
      <c r="H4437" t="s">
        <v>210</v>
      </c>
      <c r="I4437" t="str">
        <f>INDEX(State!B:B,MATCH(OrdersTable[[#This Row],[State]],State!A:A,0))</f>
        <v>JK</v>
      </c>
      <c r="J4437" t="str">
        <f>INDEX(State!C:C,MATCH(OrdersTable[[#This Row],[State Code]],State!B:B,0))</f>
        <v>North</v>
      </c>
      <c r="K4437" t="s">
        <v>211</v>
      </c>
      <c r="L4437" t="s">
        <v>65</v>
      </c>
      <c r="M4437" t="s">
        <v>173</v>
      </c>
      <c r="N4437" t="str">
        <f>INDEX(Products!B:B,MATCH(OrdersTable[[#This Row],[Product ID]],Products!A:A,0))</f>
        <v>Wireless Earbuds</v>
      </c>
      <c r="O4437" t="str">
        <f>INDEX(Products!C:C,MATCH(OrdersTable[[#This Row],[Product ID]],Products!A:A,0))</f>
        <v>Electronics</v>
      </c>
      <c r="P4437">
        <v>2</v>
      </c>
      <c r="Q4437" s="5">
        <v>1999</v>
      </c>
      <c r="R4437" s="74">
        <v>0.55000000000000004</v>
      </c>
      <c r="S4437" s="75">
        <f>OrdersTable[[#This Row],[Quantity]]*OrdersTable[[#This Row],[Unit Price]]</f>
        <v>3998</v>
      </c>
      <c r="T4437" s="5">
        <f>OrdersTable[[#This Row],[Gross Sale]]*OrdersTable[[#This Row],[Discount_Clean2]]</f>
        <v>2198.9</v>
      </c>
      <c r="U4437" s="5">
        <f>OrdersTable[[#This Row],[Gross Sale]]-OrdersTable[[#This Row],[Discount Amount]]</f>
        <v>1799.1</v>
      </c>
      <c r="V4437" s="77">
        <f>INDEX(Products!E:E,MATCH(OrdersTable[[#This Row],[Product ID]],Products!A:A,0))</f>
        <v>1239</v>
      </c>
      <c r="W4437" s="77">
        <f>OrdersTable[[#This Row],[Quantity]]*OrdersTable[[#This Row],[Unit Cost]]</f>
        <v>2478</v>
      </c>
      <c r="X4437" s="77">
        <f>'Dropdown Lists'!$I$2*(1+OrdersTable[[#This Row],[Returned]])</f>
        <v>60</v>
      </c>
      <c r="Y4437" s="76">
        <f>OrdersTable[[#This Row],[Net Revenue]]-OrdersTable[[#This Row],[COGS]]-OrdersTable[[#This Row],[Shipping Cost]]</f>
        <v>-738.90000000000009</v>
      </c>
      <c r="Z4437" s="78">
        <f>IFERROR(OrdersTable[[#This Row],[Profit]]/OrdersTable[[#This Row],[Net Revenue]],0)</f>
        <v>-0.41070535267633823</v>
      </c>
      <c r="AA4437" t="s">
        <v>18</v>
      </c>
      <c r="AB4437" s="79">
        <v>45982</v>
      </c>
      <c r="AC4437">
        <f>OrdersTable[[#This Row],[Delivery Date]]-OrdersTable[[#This Row],[Order Date]]</f>
        <v>8</v>
      </c>
      <c r="AD4437" t="str">
        <f>IF(OrdersTable[[#This Row],[Delivery Days]]&lt;=2, "Express (≤2d)", IF(OrdersTable[[#This Row],[Delivery Days]]&lt;=4, "Standard (3-4d)", "Delayed (5d+)"))</f>
        <v>Delayed (5d+)</v>
      </c>
      <c r="AE4437">
        <v>2</v>
      </c>
      <c r="AF4437">
        <v>0</v>
      </c>
    </row>
    <row r="4438" spans="1:32" ht="15" x14ac:dyDescent="0.35">
      <c r="A4438" t="s">
        <v>6005</v>
      </c>
      <c r="B4438" s="1">
        <v>45974</v>
      </c>
      <c r="C4438">
        <f>YEAR(OrdersTable[[#This Row],[Order Date]])</f>
        <v>2025</v>
      </c>
      <c r="D4438" s="2">
        <f>DATE(YEAR(OrdersTable[[#This Row],[Order Date]]),MONTH(OrdersTable[[#This Row],[Order Date]]),1)</f>
        <v>45962</v>
      </c>
      <c r="E4438">
        <f>MONTH(OrdersTable[[#This Row],[Order Date]])</f>
        <v>11</v>
      </c>
      <c r="F4438" t="s">
        <v>240</v>
      </c>
      <c r="G4438" t="str">
        <f>IF(OrdersTable[[#This Row],[Order Date]]=_xlfn.MINIFS(Order_Date, Customer_ID, OrdersTable[[#This Row],[Customer ID]]), "New", "Repeat")</f>
        <v>Repeat</v>
      </c>
      <c r="H4438" t="s">
        <v>54</v>
      </c>
      <c r="I4438" t="str">
        <f>INDEX(State!B:B,MATCH(OrdersTable[[#This Row],[State]],State!A:A,0))</f>
        <v>RJ</v>
      </c>
      <c r="J4438" t="str">
        <f>INDEX(State!C:C,MATCH(OrdersTable[[#This Row],[State Code]],State!B:B,0))</f>
        <v>North</v>
      </c>
      <c r="K4438" t="s">
        <v>227</v>
      </c>
      <c r="L4438" t="s">
        <v>65</v>
      </c>
      <c r="M4438" t="s">
        <v>56</v>
      </c>
      <c r="N4438" t="str">
        <f>INDEX(Products!B:B,MATCH(OrdersTable[[#This Row],[Product ID]],Products!A:A,0))</f>
        <v>Vitamin C Face Serum</v>
      </c>
      <c r="O4438" t="str">
        <f>INDEX(Products!C:C,MATCH(OrdersTable[[#This Row],[Product ID]],Products!A:A,0))</f>
        <v>Skincare</v>
      </c>
      <c r="P4438">
        <v>2</v>
      </c>
      <c r="Q4438" s="5">
        <v>599</v>
      </c>
      <c r="R4438" s="74">
        <v>0.3</v>
      </c>
      <c r="S4438" s="75">
        <f>OrdersTable[[#This Row],[Quantity]]*OrdersTable[[#This Row],[Unit Price]]</f>
        <v>1198</v>
      </c>
      <c r="T4438" s="5">
        <f>OrdersTable[[#This Row],[Gross Sale]]*OrdersTable[[#This Row],[Discount_Clean2]]</f>
        <v>359.4</v>
      </c>
      <c r="U4438" s="5">
        <f>OrdersTable[[#This Row],[Gross Sale]]-OrdersTable[[#This Row],[Discount Amount]]</f>
        <v>838.6</v>
      </c>
      <c r="V4438" s="77">
        <f>INDEX(Products!E:E,MATCH(OrdersTable[[#This Row],[Product ID]],Products!A:A,0))</f>
        <v>180</v>
      </c>
      <c r="W4438" s="77">
        <f>OrdersTable[[#This Row],[Quantity]]*OrdersTable[[#This Row],[Unit Cost]]</f>
        <v>360</v>
      </c>
      <c r="X4438" s="77">
        <f>'Dropdown Lists'!$I$2*(1+OrdersTable[[#This Row],[Returned]])</f>
        <v>60</v>
      </c>
      <c r="Y4438" s="76">
        <f>OrdersTable[[#This Row],[Net Revenue]]-OrdersTable[[#This Row],[COGS]]-OrdersTable[[#This Row],[Shipping Cost]]</f>
        <v>418.6</v>
      </c>
      <c r="Z4438" s="78">
        <f>IFERROR(OrdersTable[[#This Row],[Profit]]/OrdersTable[[#This Row],[Net Revenue]],0)</f>
        <v>0.4991652754590985</v>
      </c>
      <c r="AA4438" t="s">
        <v>18</v>
      </c>
      <c r="AB4438" s="79">
        <v>45978</v>
      </c>
      <c r="AC4438">
        <f>OrdersTable[[#This Row],[Delivery Date]]-OrdersTable[[#This Row],[Order Date]]</f>
        <v>4</v>
      </c>
      <c r="AD4438" t="str">
        <f>IF(OrdersTable[[#This Row],[Delivery Days]]&lt;=2, "Express (≤2d)", IF(OrdersTable[[#This Row],[Delivery Days]]&lt;=4, "Standard (3-4d)", "Delayed (5d+)"))</f>
        <v>Standard (3-4d)</v>
      </c>
      <c r="AF4438">
        <v>0</v>
      </c>
    </row>
    <row r="4439" spans="1:32" ht="15" x14ac:dyDescent="0.35">
      <c r="A4439" t="s">
        <v>3820</v>
      </c>
      <c r="B4439" s="1">
        <v>45974</v>
      </c>
      <c r="C4439">
        <f>YEAR(OrdersTable[[#This Row],[Order Date]])</f>
        <v>2025</v>
      </c>
      <c r="D4439" s="2">
        <f>DATE(YEAR(OrdersTable[[#This Row],[Order Date]]),MONTH(OrdersTable[[#This Row],[Order Date]]),1)</f>
        <v>45962</v>
      </c>
      <c r="E4439">
        <f>MONTH(OrdersTable[[#This Row],[Order Date]])</f>
        <v>11</v>
      </c>
      <c r="F4439" t="s">
        <v>3821</v>
      </c>
      <c r="G4439" t="str">
        <f>IF(OrdersTable[[#This Row],[Order Date]]=_xlfn.MINIFS(Order_Date, Customer_ID, OrdersTable[[#This Row],[Customer ID]]), "New", "Repeat")</f>
        <v>Repeat</v>
      </c>
      <c r="H4439" t="s">
        <v>128</v>
      </c>
      <c r="I4439" t="str">
        <f>INDEX(State!B:B,MATCH(OrdersTable[[#This Row],[State]],State!A:A,0))</f>
        <v>DL</v>
      </c>
      <c r="J4439" t="str">
        <f>INDEX(State!C:C,MATCH(OrdersTable[[#This Row],[State Code]],State!B:B,0))</f>
        <v>North</v>
      </c>
      <c r="K4439" t="s">
        <v>129</v>
      </c>
      <c r="L4439" t="s">
        <v>65</v>
      </c>
      <c r="M4439" t="s">
        <v>109</v>
      </c>
      <c r="N4439" t="str">
        <f>INDEX(Products!B:B,MATCH(OrdersTable[[#This Row],[Product ID]],Products!A:A,0))</f>
        <v>Onion Hair Oil</v>
      </c>
      <c r="O4439" t="str">
        <f>INDEX(Products!C:C,MATCH(OrdersTable[[#This Row],[Product ID]],Products!A:A,0))</f>
        <v>Haircare</v>
      </c>
      <c r="P4439">
        <v>1</v>
      </c>
      <c r="Q4439" s="5">
        <v>349</v>
      </c>
      <c r="R4439" s="74">
        <v>0.35</v>
      </c>
      <c r="S4439" s="75">
        <f>OrdersTable[[#This Row],[Quantity]]*OrdersTable[[#This Row],[Unit Price]]</f>
        <v>349</v>
      </c>
      <c r="T4439" s="5">
        <f>OrdersTable[[#This Row],[Gross Sale]]*OrdersTable[[#This Row],[Discount_Clean2]]</f>
        <v>122.14999999999999</v>
      </c>
      <c r="U4439" s="5">
        <f>OrdersTable[[#This Row],[Gross Sale]]-OrdersTable[[#This Row],[Discount Amount]]</f>
        <v>226.85000000000002</v>
      </c>
      <c r="V4439" s="77">
        <f>INDEX(Products!E:E,MATCH(OrdersTable[[#This Row],[Product ID]],Products!A:A,0))</f>
        <v>105</v>
      </c>
      <c r="W4439" s="77">
        <f>OrdersTable[[#This Row],[Quantity]]*OrdersTable[[#This Row],[Unit Cost]]</f>
        <v>105</v>
      </c>
      <c r="X4439" s="77">
        <f>'Dropdown Lists'!$I$2*(1+OrdersTable[[#This Row],[Returned]])</f>
        <v>60</v>
      </c>
      <c r="Y4439" s="76">
        <f>OrdersTable[[#This Row],[Net Revenue]]-OrdersTable[[#This Row],[COGS]]-OrdersTable[[#This Row],[Shipping Cost]]</f>
        <v>61.850000000000023</v>
      </c>
      <c r="Z4439" s="78">
        <f>IFERROR(OrdersTable[[#This Row],[Profit]]/OrdersTable[[#This Row],[Net Revenue]],0)</f>
        <v>0.27264712364998905</v>
      </c>
      <c r="AA4439" t="s">
        <v>3495</v>
      </c>
      <c r="AB4439" s="79">
        <v>45977</v>
      </c>
      <c r="AC4439">
        <f>OrdersTable[[#This Row],[Delivery Date]]-OrdersTable[[#This Row],[Order Date]]</f>
        <v>3</v>
      </c>
      <c r="AD4439" t="str">
        <f>IF(OrdersTable[[#This Row],[Delivery Days]]&lt;=2, "Express (≤2d)", IF(OrdersTable[[#This Row],[Delivery Days]]&lt;=4, "Standard (3-4d)", "Delayed (5d+)"))</f>
        <v>Standard (3-4d)</v>
      </c>
      <c r="AF4439">
        <v>0</v>
      </c>
    </row>
    <row r="4440" spans="1:32" ht="15" x14ac:dyDescent="0.35">
      <c r="A4440" t="s">
        <v>1034</v>
      </c>
      <c r="B4440" s="1">
        <v>45974</v>
      </c>
      <c r="C4440">
        <f>YEAR(OrdersTable[[#This Row],[Order Date]])</f>
        <v>2025</v>
      </c>
      <c r="D4440" s="2">
        <f>DATE(YEAR(OrdersTable[[#This Row],[Order Date]]),MONTH(OrdersTable[[#This Row],[Order Date]]),1)</f>
        <v>45962</v>
      </c>
      <c r="E4440">
        <f>MONTH(OrdersTable[[#This Row],[Order Date]])</f>
        <v>11</v>
      </c>
      <c r="F4440" t="s">
        <v>1035</v>
      </c>
      <c r="G4440" t="str">
        <f>IF(OrdersTable[[#This Row],[Order Date]]=_xlfn.MINIFS(Order_Date, Customer_ID, OrdersTable[[#This Row],[Customer ID]]), "New", "Repeat")</f>
        <v>Repeat</v>
      </c>
      <c r="H4440" t="s">
        <v>43</v>
      </c>
      <c r="I4440" t="str">
        <f>INDEX(State!B:B,MATCH(OrdersTable[[#This Row],[State]],State!A:A,0))</f>
        <v>MP</v>
      </c>
      <c r="J4440" t="str">
        <f>INDEX(State!C:C,MATCH(OrdersTable[[#This Row],[State Code]],State!B:B,0))</f>
        <v>West</v>
      </c>
      <c r="K4440" t="s">
        <v>250</v>
      </c>
      <c r="L4440" t="s">
        <v>39</v>
      </c>
      <c r="M4440" t="s">
        <v>92</v>
      </c>
      <c r="N4440" t="str">
        <f>INDEX(Products!B:B,MATCH(OrdersTable[[#This Row],[Product ID]],Products!A:A,0))</f>
        <v>Kolhapuri Sandals</v>
      </c>
      <c r="O4440" t="str">
        <f>INDEX(Products!C:C,MATCH(OrdersTable[[#This Row],[Product ID]],Products!A:A,0))</f>
        <v>Footwear</v>
      </c>
      <c r="P4440">
        <v>1</v>
      </c>
      <c r="Q4440" s="5">
        <v>999</v>
      </c>
      <c r="R4440" s="74">
        <v>0.25</v>
      </c>
      <c r="S4440" s="75">
        <f>OrdersTable[[#This Row],[Quantity]]*OrdersTable[[#This Row],[Unit Price]]</f>
        <v>999</v>
      </c>
      <c r="T4440" s="5">
        <f>OrdersTable[[#This Row],[Gross Sale]]*OrdersTable[[#This Row],[Discount_Clean2]]</f>
        <v>249.75</v>
      </c>
      <c r="U4440" s="5">
        <f>OrdersTable[[#This Row],[Gross Sale]]-OrdersTable[[#This Row],[Discount Amount]]</f>
        <v>749.25</v>
      </c>
      <c r="V4440" s="77">
        <f>INDEX(Products!E:E,MATCH(OrdersTable[[#This Row],[Product ID]],Products!A:A,0))</f>
        <v>400</v>
      </c>
      <c r="W4440" s="77">
        <f>OrdersTable[[#This Row],[Quantity]]*OrdersTable[[#This Row],[Unit Cost]]</f>
        <v>400</v>
      </c>
      <c r="X4440" s="77">
        <f>'Dropdown Lists'!$I$2*(1+OrdersTable[[#This Row],[Returned]])</f>
        <v>60</v>
      </c>
      <c r="Y4440" s="76">
        <f>OrdersTable[[#This Row],[Net Revenue]]-OrdersTable[[#This Row],[COGS]]-OrdersTable[[#This Row],[Shipping Cost]]</f>
        <v>289.25</v>
      </c>
      <c r="Z4440" s="78">
        <f>IFERROR(OrdersTable[[#This Row],[Profit]]/OrdersTable[[#This Row],[Net Revenue]],0)</f>
        <v>0.38605271938605273</v>
      </c>
      <c r="AA4440" t="s">
        <v>18</v>
      </c>
      <c r="AB4440" s="79">
        <v>45979</v>
      </c>
      <c r="AC4440">
        <f>OrdersTable[[#This Row],[Delivery Date]]-OrdersTable[[#This Row],[Order Date]]</f>
        <v>5</v>
      </c>
      <c r="AD4440" t="str">
        <f>IF(OrdersTable[[#This Row],[Delivery Days]]&lt;=2, "Express (≤2d)", IF(OrdersTable[[#This Row],[Delivery Days]]&lt;=4, "Standard (3-4d)", "Delayed (5d+)"))</f>
        <v>Delayed (5d+)</v>
      </c>
      <c r="AE4440">
        <v>4</v>
      </c>
      <c r="AF4440">
        <v>0</v>
      </c>
    </row>
    <row r="4441" spans="1:32" ht="15" x14ac:dyDescent="0.35">
      <c r="A4441" t="s">
        <v>6644</v>
      </c>
      <c r="B4441" s="1">
        <v>45974</v>
      </c>
      <c r="C4441">
        <f>YEAR(OrdersTable[[#This Row],[Order Date]])</f>
        <v>2025</v>
      </c>
      <c r="D4441" s="2">
        <f>DATE(YEAR(OrdersTable[[#This Row],[Order Date]]),MONTH(OrdersTable[[#This Row],[Order Date]]),1)</f>
        <v>45962</v>
      </c>
      <c r="E4441">
        <f>MONTH(OrdersTable[[#This Row],[Order Date]])</f>
        <v>11</v>
      </c>
      <c r="F4441" t="s">
        <v>6645</v>
      </c>
      <c r="G4441" t="str">
        <f>IF(OrdersTable[[#This Row],[Order Date]]=_xlfn.MINIFS(Order_Date, Customer_ID, OrdersTable[[#This Row],[Customer ID]]), "New", "Repeat")</f>
        <v>New</v>
      </c>
      <c r="H4441" t="s">
        <v>43</v>
      </c>
      <c r="I4441" t="str">
        <f>INDEX(State!B:B,MATCH(OrdersTable[[#This Row],[State]],State!A:A,0))</f>
        <v>MP</v>
      </c>
      <c r="J4441" t="str">
        <f>INDEX(State!C:C,MATCH(OrdersTable[[#This Row],[State Code]],State!B:B,0))</f>
        <v>West</v>
      </c>
      <c r="K4441" t="s">
        <v>44</v>
      </c>
      <c r="L4441" t="s">
        <v>65</v>
      </c>
      <c r="M4441" t="s">
        <v>66</v>
      </c>
      <c r="N4441" t="str">
        <f>INDEX(Products!B:B,MATCH(OrdersTable[[#This Row],[Product ID]],Products!A:A,0))</f>
        <v>Sunscreen SPF 50</v>
      </c>
      <c r="O4441" t="str">
        <f>INDEX(Products!C:C,MATCH(OrdersTable[[#This Row],[Product ID]],Products!A:A,0))</f>
        <v>Skincare</v>
      </c>
      <c r="P4441">
        <v>3</v>
      </c>
      <c r="Q4441" s="5">
        <v>449</v>
      </c>
      <c r="R4441" s="74">
        <v>0.2</v>
      </c>
      <c r="S4441" s="75">
        <f>OrdersTable[[#This Row],[Quantity]]*OrdersTable[[#This Row],[Unit Price]]</f>
        <v>1347</v>
      </c>
      <c r="T4441" s="5">
        <f>OrdersTable[[#This Row],[Gross Sale]]*OrdersTable[[#This Row],[Discount_Clean2]]</f>
        <v>269.40000000000003</v>
      </c>
      <c r="U4441" s="5">
        <f>OrdersTable[[#This Row],[Gross Sale]]-OrdersTable[[#This Row],[Discount Amount]]</f>
        <v>1077.5999999999999</v>
      </c>
      <c r="V4441" s="77">
        <f>INDEX(Products!E:E,MATCH(OrdersTable[[#This Row],[Product ID]],Products!A:A,0))</f>
        <v>144</v>
      </c>
      <c r="W4441" s="77">
        <f>OrdersTable[[#This Row],[Quantity]]*OrdersTable[[#This Row],[Unit Cost]]</f>
        <v>432</v>
      </c>
      <c r="X4441" s="77">
        <f>'Dropdown Lists'!$I$2*(1+OrdersTable[[#This Row],[Returned]])</f>
        <v>60</v>
      </c>
      <c r="Y4441" s="76">
        <f>OrdersTable[[#This Row],[Net Revenue]]-OrdersTable[[#This Row],[COGS]]-OrdersTable[[#This Row],[Shipping Cost]]</f>
        <v>585.59999999999991</v>
      </c>
      <c r="Z4441" s="78">
        <f>IFERROR(OrdersTable[[#This Row],[Profit]]/OrdersTable[[#This Row],[Net Revenue]],0)</f>
        <v>0.54342984409799555</v>
      </c>
      <c r="AA4441" t="s">
        <v>18</v>
      </c>
      <c r="AB4441" s="79">
        <v>45982</v>
      </c>
      <c r="AC4441">
        <f>OrdersTable[[#This Row],[Delivery Date]]-OrdersTable[[#This Row],[Order Date]]</f>
        <v>8</v>
      </c>
      <c r="AD4441" t="str">
        <f>IF(OrdersTable[[#This Row],[Delivery Days]]&lt;=2, "Express (≤2d)", IF(OrdersTable[[#This Row],[Delivery Days]]&lt;=4, "Standard (3-4d)", "Delayed (5d+)"))</f>
        <v>Delayed (5d+)</v>
      </c>
      <c r="AE4441">
        <v>3</v>
      </c>
      <c r="AF4441">
        <v>0</v>
      </c>
    </row>
    <row r="4442" spans="1:32" ht="15" x14ac:dyDescent="0.35">
      <c r="A4442" t="s">
        <v>5261</v>
      </c>
      <c r="B4442" s="1">
        <v>45974</v>
      </c>
      <c r="C4442">
        <f>YEAR(OrdersTable[[#This Row],[Order Date]])</f>
        <v>2025</v>
      </c>
      <c r="D4442" s="2">
        <f>DATE(YEAR(OrdersTable[[#This Row],[Order Date]]),MONTH(OrdersTable[[#This Row],[Order Date]]),1)</f>
        <v>45962</v>
      </c>
      <c r="E4442">
        <f>MONTH(OrdersTable[[#This Row],[Order Date]])</f>
        <v>11</v>
      </c>
      <c r="F4442" t="s">
        <v>5262</v>
      </c>
      <c r="G4442" t="str">
        <f>IF(OrdersTable[[#This Row],[Order Date]]=_xlfn.MINIFS(Order_Date, Customer_ID, OrdersTable[[#This Row],[Customer ID]]), "New", "Repeat")</f>
        <v>Repeat</v>
      </c>
      <c r="H4442" t="s">
        <v>95</v>
      </c>
      <c r="I4442" t="str">
        <f>INDEX(State!B:B,MATCH(OrdersTable[[#This Row],[State]],State!A:A,0))</f>
        <v>TG</v>
      </c>
      <c r="J4442" t="str">
        <f>INDEX(State!C:C,MATCH(OrdersTable[[#This Row],[State Code]],State!B:B,0))</f>
        <v>South</v>
      </c>
      <c r="K4442" t="s">
        <v>96</v>
      </c>
      <c r="L4442" t="s">
        <v>65</v>
      </c>
      <c r="M4442" t="s">
        <v>109</v>
      </c>
      <c r="N4442" t="str">
        <f>INDEX(Products!B:B,MATCH(OrdersTable[[#This Row],[Product ID]],Products!A:A,0))</f>
        <v>Onion Hair Oil</v>
      </c>
      <c r="O4442" t="str">
        <f>INDEX(Products!C:C,MATCH(OrdersTable[[#This Row],[Product ID]],Products!A:A,0))</f>
        <v>Haircare</v>
      </c>
      <c r="P4442">
        <v>2</v>
      </c>
      <c r="Q4442" s="5">
        <v>349</v>
      </c>
      <c r="R4442" s="74">
        <v>0.45</v>
      </c>
      <c r="S4442" s="75">
        <f>OrdersTable[[#This Row],[Quantity]]*OrdersTable[[#This Row],[Unit Price]]</f>
        <v>698</v>
      </c>
      <c r="T4442" s="5">
        <f>OrdersTable[[#This Row],[Gross Sale]]*OrdersTable[[#This Row],[Discount_Clean2]]</f>
        <v>314.10000000000002</v>
      </c>
      <c r="U4442" s="5">
        <f>OrdersTable[[#This Row],[Gross Sale]]-OrdersTable[[#This Row],[Discount Amount]]</f>
        <v>383.9</v>
      </c>
      <c r="V4442" s="77">
        <f>INDEX(Products!E:E,MATCH(OrdersTable[[#This Row],[Product ID]],Products!A:A,0))</f>
        <v>105</v>
      </c>
      <c r="W4442" s="77">
        <f>OrdersTable[[#This Row],[Quantity]]*OrdersTable[[#This Row],[Unit Cost]]</f>
        <v>210</v>
      </c>
      <c r="X4442" s="77">
        <f>'Dropdown Lists'!$I$2*(1+OrdersTable[[#This Row],[Returned]])</f>
        <v>60</v>
      </c>
      <c r="Y4442" s="76">
        <f>OrdersTable[[#This Row],[Net Revenue]]-OrdersTable[[#This Row],[COGS]]-OrdersTable[[#This Row],[Shipping Cost]]</f>
        <v>113.89999999999998</v>
      </c>
      <c r="Z4442" s="78">
        <f>IFERROR(OrdersTable[[#This Row],[Profit]]/OrdersTable[[#This Row],[Net Revenue]],0)</f>
        <v>0.29669184683511329</v>
      </c>
      <c r="AA4442" t="s">
        <v>3495</v>
      </c>
      <c r="AB4442" s="79">
        <v>45976</v>
      </c>
      <c r="AC4442">
        <f>OrdersTable[[#This Row],[Delivery Date]]-OrdersTable[[#This Row],[Order Date]]</f>
        <v>2</v>
      </c>
      <c r="AD4442" t="str">
        <f>IF(OrdersTable[[#This Row],[Delivery Days]]&lt;=2, "Express (≤2d)", IF(OrdersTable[[#This Row],[Delivery Days]]&lt;=4, "Standard (3-4d)", "Delayed (5d+)"))</f>
        <v>Express (≤2d)</v>
      </c>
      <c r="AE4442">
        <v>4</v>
      </c>
      <c r="AF4442">
        <v>0</v>
      </c>
    </row>
    <row r="4443" spans="1:32" ht="15" x14ac:dyDescent="0.35">
      <c r="A4443" t="s">
        <v>2673</v>
      </c>
      <c r="B4443" s="1">
        <v>45974</v>
      </c>
      <c r="C4443">
        <f>YEAR(OrdersTable[[#This Row],[Order Date]])</f>
        <v>2025</v>
      </c>
      <c r="D4443" s="2">
        <f>DATE(YEAR(OrdersTable[[#This Row],[Order Date]]),MONTH(OrdersTable[[#This Row],[Order Date]]),1)</f>
        <v>45962</v>
      </c>
      <c r="E4443">
        <f>MONTH(OrdersTable[[#This Row],[Order Date]])</f>
        <v>11</v>
      </c>
      <c r="F4443" t="s">
        <v>2674</v>
      </c>
      <c r="G4443" t="str">
        <f>IF(OrdersTable[[#This Row],[Order Date]]=_xlfn.MINIFS(Order_Date, Customer_ID, OrdersTable[[#This Row],[Customer ID]]), "New", "Repeat")</f>
        <v>Repeat</v>
      </c>
      <c r="H4443" t="s">
        <v>95</v>
      </c>
      <c r="I4443" t="str">
        <f>INDEX(State!B:B,MATCH(OrdersTable[[#This Row],[State]],State!A:A,0))</f>
        <v>TG</v>
      </c>
      <c r="J4443" t="str">
        <f>INDEX(State!C:C,MATCH(OrdersTable[[#This Row],[State Code]],State!B:B,0))</f>
        <v>South</v>
      </c>
      <c r="K4443" t="s">
        <v>96</v>
      </c>
      <c r="L4443" t="s">
        <v>23</v>
      </c>
      <c r="M4443" t="s">
        <v>84</v>
      </c>
      <c r="N4443" t="str">
        <f>INDEX(Products!B:B,MATCH(OrdersTable[[#This Row],[Product ID]],Products!A:A,0))</f>
        <v>Cotton Bedsheet</v>
      </c>
      <c r="O4443" t="str">
        <f>INDEX(Products!C:C,MATCH(OrdersTable[[#This Row],[Product ID]],Products!A:A,0))</f>
        <v>Home &amp; Kitchen</v>
      </c>
      <c r="P4443">
        <v>1</v>
      </c>
      <c r="Q4443" s="5">
        <v>1299</v>
      </c>
      <c r="R4443" s="74">
        <v>0.1</v>
      </c>
      <c r="S4443" s="75">
        <f>OrdersTable[[#This Row],[Quantity]]*OrdersTable[[#This Row],[Unit Price]]</f>
        <v>1299</v>
      </c>
      <c r="T4443" s="5">
        <f>OrdersTable[[#This Row],[Gross Sale]]*OrdersTable[[#This Row],[Discount_Clean2]]</f>
        <v>129.9</v>
      </c>
      <c r="U4443" s="5">
        <f>OrdersTable[[#This Row],[Gross Sale]]-OrdersTable[[#This Row],[Discount Amount]]</f>
        <v>1169.0999999999999</v>
      </c>
      <c r="V4443" s="77">
        <f>INDEX(Products!E:E,MATCH(OrdersTable[[#This Row],[Product ID]],Products!A:A,0))</f>
        <v>585</v>
      </c>
      <c r="W4443" s="77">
        <f>OrdersTable[[#This Row],[Quantity]]*OrdersTable[[#This Row],[Unit Cost]]</f>
        <v>585</v>
      </c>
      <c r="X4443" s="77">
        <f>'Dropdown Lists'!$I$2*(1+OrdersTable[[#This Row],[Returned]])</f>
        <v>60</v>
      </c>
      <c r="Y4443" s="76">
        <f>OrdersTable[[#This Row],[Net Revenue]]-OrdersTable[[#This Row],[COGS]]-OrdersTable[[#This Row],[Shipping Cost]]</f>
        <v>524.09999999999991</v>
      </c>
      <c r="Z4443" s="78">
        <f>IFERROR(OrdersTable[[#This Row],[Profit]]/OrdersTable[[#This Row],[Net Revenue]],0)</f>
        <v>0.44829355914806257</v>
      </c>
      <c r="AA4443" t="s">
        <v>2522</v>
      </c>
      <c r="AB4443" s="79">
        <v>45977</v>
      </c>
      <c r="AC4443">
        <f>OrdersTable[[#This Row],[Delivery Date]]-OrdersTable[[#This Row],[Order Date]]</f>
        <v>3</v>
      </c>
      <c r="AD4443" t="str">
        <f>IF(OrdersTable[[#This Row],[Delivery Days]]&lt;=2, "Express (≤2d)", IF(OrdersTable[[#This Row],[Delivery Days]]&lt;=4, "Standard (3-4d)", "Delayed (5d+)"))</f>
        <v>Standard (3-4d)</v>
      </c>
      <c r="AE4443">
        <v>5</v>
      </c>
      <c r="AF4443">
        <v>0</v>
      </c>
    </row>
    <row r="4444" spans="1:32" ht="15" x14ac:dyDescent="0.35">
      <c r="A4444" t="s">
        <v>4882</v>
      </c>
      <c r="B4444" s="1">
        <v>45974</v>
      </c>
      <c r="C4444">
        <f>YEAR(OrdersTable[[#This Row],[Order Date]])</f>
        <v>2025</v>
      </c>
      <c r="D4444" s="2">
        <f>DATE(YEAR(OrdersTable[[#This Row],[Order Date]]),MONTH(OrdersTable[[#This Row],[Order Date]]),1)</f>
        <v>45962</v>
      </c>
      <c r="E4444">
        <f>MONTH(OrdersTable[[#This Row],[Order Date]])</f>
        <v>11</v>
      </c>
      <c r="F4444" t="s">
        <v>2621</v>
      </c>
      <c r="G4444" t="str">
        <f>IF(OrdersTable[[#This Row],[Order Date]]=_xlfn.MINIFS(Order_Date, Customer_ID, OrdersTable[[#This Row],[Customer ID]]), "New", "Repeat")</f>
        <v>Repeat</v>
      </c>
      <c r="H4444" t="s">
        <v>167</v>
      </c>
      <c r="I4444" t="str">
        <f>INDEX(State!B:B,MATCH(OrdersTable[[#This Row],[State]],State!A:A,0))</f>
        <v>KA</v>
      </c>
      <c r="J4444" t="str">
        <f>INDEX(State!C:C,MATCH(OrdersTable[[#This Row],[State Code]],State!B:B,0))</f>
        <v>South</v>
      </c>
      <c r="K4444" t="s">
        <v>190</v>
      </c>
      <c r="L4444" t="s">
        <v>65</v>
      </c>
      <c r="M4444" t="s">
        <v>565</v>
      </c>
      <c r="N4444" t="str">
        <f>INDEX(Products!B:B,MATCH(OrdersTable[[#This Row],[Product ID]],Products!A:A,0))</f>
        <v>Ceramic Dinner Set</v>
      </c>
      <c r="O4444" t="str">
        <f>INDEX(Products!C:C,MATCH(OrdersTable[[#This Row],[Product ID]],Products!A:A,0))</f>
        <v>Home &amp; Kitchen</v>
      </c>
      <c r="P4444">
        <v>2</v>
      </c>
      <c r="Q4444" s="5">
        <v>2499</v>
      </c>
      <c r="R4444" s="74">
        <v>0.4</v>
      </c>
      <c r="S4444" s="75">
        <f>OrdersTable[[#This Row],[Quantity]]*OrdersTable[[#This Row],[Unit Price]]</f>
        <v>4998</v>
      </c>
      <c r="T4444" s="5">
        <f>OrdersTable[[#This Row],[Gross Sale]]*OrdersTable[[#This Row],[Discount_Clean2]]</f>
        <v>1999.2</v>
      </c>
      <c r="U4444" s="5">
        <f>OrdersTable[[#This Row],[Gross Sale]]-OrdersTable[[#This Row],[Discount Amount]]</f>
        <v>2998.8</v>
      </c>
      <c r="V4444" s="77">
        <f>INDEX(Products!E:E,MATCH(OrdersTable[[#This Row],[Product ID]],Products!A:A,0))</f>
        <v>1250</v>
      </c>
      <c r="W4444" s="77">
        <f>OrdersTable[[#This Row],[Quantity]]*OrdersTable[[#This Row],[Unit Cost]]</f>
        <v>2500</v>
      </c>
      <c r="X4444" s="77">
        <f>'Dropdown Lists'!$I$2*(1+OrdersTable[[#This Row],[Returned]])</f>
        <v>60</v>
      </c>
      <c r="Y4444" s="76">
        <f>OrdersTable[[#This Row],[Net Revenue]]-OrdersTable[[#This Row],[COGS]]-OrdersTable[[#This Row],[Shipping Cost]]</f>
        <v>438.80000000000018</v>
      </c>
      <c r="Z4444" s="78">
        <f>IFERROR(OrdersTable[[#This Row],[Profit]]/OrdersTable[[#This Row],[Net Revenue]],0)</f>
        <v>0.14632519674536487</v>
      </c>
      <c r="AA4444" t="s">
        <v>4450</v>
      </c>
      <c r="AB4444" s="79">
        <v>45976</v>
      </c>
      <c r="AC4444">
        <f>OrdersTable[[#This Row],[Delivery Date]]-OrdersTable[[#This Row],[Order Date]]</f>
        <v>2</v>
      </c>
      <c r="AD4444" t="str">
        <f>IF(OrdersTable[[#This Row],[Delivery Days]]&lt;=2, "Express (≤2d)", IF(OrdersTable[[#This Row],[Delivery Days]]&lt;=4, "Standard (3-4d)", "Delayed (5d+)"))</f>
        <v>Express (≤2d)</v>
      </c>
      <c r="AE4444">
        <v>3</v>
      </c>
      <c r="AF4444">
        <v>0</v>
      </c>
    </row>
    <row r="4445" spans="1:32" ht="15" x14ac:dyDescent="0.35">
      <c r="A4445" t="s">
        <v>5263</v>
      </c>
      <c r="B4445" s="1">
        <v>45974</v>
      </c>
      <c r="C4445">
        <f>YEAR(OrdersTable[[#This Row],[Order Date]])</f>
        <v>2025</v>
      </c>
      <c r="D4445" s="2">
        <f>DATE(YEAR(OrdersTable[[#This Row],[Order Date]]),MONTH(OrdersTable[[#This Row],[Order Date]]),1)</f>
        <v>45962</v>
      </c>
      <c r="E4445">
        <f>MONTH(OrdersTable[[#This Row],[Order Date]])</f>
        <v>11</v>
      </c>
      <c r="F4445" t="s">
        <v>5264</v>
      </c>
      <c r="G4445" t="str">
        <f>IF(OrdersTable[[#This Row],[Order Date]]=_xlfn.MINIFS(Order_Date, Customer_ID, OrdersTable[[#This Row],[Customer ID]]), "New", "Repeat")</f>
        <v>New</v>
      </c>
      <c r="H4445" t="s">
        <v>275</v>
      </c>
      <c r="I4445" t="str">
        <f>INDEX(State!B:B,MATCH(OrdersTable[[#This Row],[State]],State!A:A,0))</f>
        <v>AP</v>
      </c>
      <c r="J4445" t="str">
        <f>INDEX(State!C:C,MATCH(OrdersTable[[#This Row],[State Code]],State!B:B,0))</f>
        <v>South</v>
      </c>
      <c r="K4445" t="s">
        <v>491</v>
      </c>
      <c r="L4445" t="s">
        <v>39</v>
      </c>
      <c r="M4445" t="s">
        <v>84</v>
      </c>
      <c r="N4445" t="str">
        <f>INDEX(Products!B:B,MATCH(OrdersTable[[#This Row],[Product ID]],Products!A:A,0))</f>
        <v>Cotton Bedsheet</v>
      </c>
      <c r="O4445" t="str">
        <f>INDEX(Products!C:C,MATCH(OrdersTable[[#This Row],[Product ID]],Products!A:A,0))</f>
        <v>Home &amp; Kitchen</v>
      </c>
      <c r="P4445">
        <v>2</v>
      </c>
      <c r="Q4445" s="5">
        <v>1299</v>
      </c>
      <c r="R4445" s="74">
        <v>0.05</v>
      </c>
      <c r="S4445" s="75">
        <f>OrdersTable[[#This Row],[Quantity]]*OrdersTable[[#This Row],[Unit Price]]</f>
        <v>2598</v>
      </c>
      <c r="T4445" s="5">
        <f>OrdersTable[[#This Row],[Gross Sale]]*OrdersTable[[#This Row],[Discount_Clean2]]</f>
        <v>129.9</v>
      </c>
      <c r="U4445" s="5">
        <f>OrdersTable[[#This Row],[Gross Sale]]-OrdersTable[[#This Row],[Discount Amount]]</f>
        <v>2468.1</v>
      </c>
      <c r="V4445" s="77">
        <f>INDEX(Products!E:E,MATCH(OrdersTable[[#This Row],[Product ID]],Products!A:A,0))</f>
        <v>585</v>
      </c>
      <c r="W4445" s="77">
        <f>OrdersTable[[#This Row],[Quantity]]*OrdersTable[[#This Row],[Unit Cost]]</f>
        <v>1170</v>
      </c>
      <c r="X4445" s="77">
        <f>'Dropdown Lists'!$I$2*(1+OrdersTable[[#This Row],[Returned]])</f>
        <v>60</v>
      </c>
      <c r="Y4445" s="76">
        <f>OrdersTable[[#This Row],[Net Revenue]]-OrdersTable[[#This Row],[COGS]]-OrdersTable[[#This Row],[Shipping Cost]]</f>
        <v>1238.0999999999999</v>
      </c>
      <c r="Z4445" s="78">
        <f>IFERROR(OrdersTable[[#This Row],[Profit]]/OrdersTable[[#This Row],[Net Revenue]],0)</f>
        <v>0.50164093837364776</v>
      </c>
      <c r="AA4445" t="s">
        <v>3495</v>
      </c>
      <c r="AB4445" s="79">
        <v>45979</v>
      </c>
      <c r="AC4445">
        <f>OrdersTable[[#This Row],[Delivery Date]]-OrdersTable[[#This Row],[Order Date]]</f>
        <v>5</v>
      </c>
      <c r="AD4445" t="str">
        <f>IF(OrdersTable[[#This Row],[Delivery Days]]&lt;=2, "Express (≤2d)", IF(OrdersTable[[#This Row],[Delivery Days]]&lt;=4, "Standard (3-4d)", "Delayed (5d+)"))</f>
        <v>Delayed (5d+)</v>
      </c>
      <c r="AE4445">
        <v>3</v>
      </c>
      <c r="AF4445">
        <v>0</v>
      </c>
    </row>
    <row r="4446" spans="1:32" ht="15" x14ac:dyDescent="0.35">
      <c r="A4446" t="s">
        <v>6006</v>
      </c>
      <c r="B4446" s="1">
        <v>45974</v>
      </c>
      <c r="C4446">
        <f>YEAR(OrdersTable[[#This Row],[Order Date]])</f>
        <v>2025</v>
      </c>
      <c r="D4446" s="2">
        <f>DATE(YEAR(OrdersTable[[#This Row],[Order Date]]),MONTH(OrdersTable[[#This Row],[Order Date]]),1)</f>
        <v>45962</v>
      </c>
      <c r="E4446">
        <f>MONTH(OrdersTable[[#This Row],[Order Date]])</f>
        <v>11</v>
      </c>
      <c r="F4446" t="s">
        <v>6007</v>
      </c>
      <c r="G4446" t="str">
        <f>IF(OrdersTable[[#This Row],[Order Date]]=_xlfn.MINIFS(Order_Date, Customer_ID, OrdersTable[[#This Row],[Customer ID]]), "New", "Repeat")</f>
        <v>New</v>
      </c>
      <c r="H4446" t="s">
        <v>316</v>
      </c>
      <c r="I4446" t="str">
        <f>INDEX(State!B:B,MATCH(OrdersTable[[#This Row],[State]],State!A:A,0))</f>
        <v>KL</v>
      </c>
      <c r="J4446" t="str">
        <f>INDEX(State!C:C,MATCH(OrdersTable[[#This Row],[State Code]],State!B:B,0))</f>
        <v>South</v>
      </c>
      <c r="K4446" t="s">
        <v>317</v>
      </c>
      <c r="L4446" t="s">
        <v>23</v>
      </c>
      <c r="M4446" t="s">
        <v>87</v>
      </c>
      <c r="N4446" t="str">
        <f>INDEX(Products!B:B,MATCH(OrdersTable[[#This Row],[Product ID]],Products!A:A,0))</f>
        <v>Linen Kurta</v>
      </c>
      <c r="O4446" t="str">
        <f>INDEX(Products!C:C,MATCH(OrdersTable[[#This Row],[Product ID]],Products!A:A,0))</f>
        <v>Apparel</v>
      </c>
      <c r="P4446">
        <v>2</v>
      </c>
      <c r="Q4446" s="5">
        <v>1499</v>
      </c>
      <c r="R4446" s="74">
        <v>0.5</v>
      </c>
      <c r="S4446" s="75">
        <f>OrdersTable[[#This Row],[Quantity]]*OrdersTable[[#This Row],[Unit Price]]</f>
        <v>2998</v>
      </c>
      <c r="T4446" s="5">
        <f>OrdersTable[[#This Row],[Gross Sale]]*OrdersTable[[#This Row],[Discount_Clean2]]</f>
        <v>1499</v>
      </c>
      <c r="U4446" s="5">
        <f>OrdersTable[[#This Row],[Gross Sale]]-OrdersTable[[#This Row],[Discount Amount]]</f>
        <v>1499</v>
      </c>
      <c r="V4446" s="77">
        <f>INDEX(Products!E:E,MATCH(OrdersTable[[#This Row],[Product ID]],Products!A:A,0))</f>
        <v>630</v>
      </c>
      <c r="W4446" s="77">
        <f>OrdersTable[[#This Row],[Quantity]]*OrdersTable[[#This Row],[Unit Cost]]</f>
        <v>1260</v>
      </c>
      <c r="X4446" s="77">
        <f>'Dropdown Lists'!$I$2*(1+OrdersTable[[#This Row],[Returned]])</f>
        <v>60</v>
      </c>
      <c r="Y4446" s="76">
        <f>OrdersTable[[#This Row],[Net Revenue]]-OrdersTable[[#This Row],[COGS]]-OrdersTable[[#This Row],[Shipping Cost]]</f>
        <v>179</v>
      </c>
      <c r="Z4446" s="78">
        <f>IFERROR(OrdersTable[[#This Row],[Profit]]/OrdersTable[[#This Row],[Net Revenue]],0)</f>
        <v>0.11941294196130754</v>
      </c>
      <c r="AA4446" t="s">
        <v>18</v>
      </c>
      <c r="AB4446" s="79">
        <v>45979</v>
      </c>
      <c r="AC4446">
        <f>OrdersTable[[#This Row],[Delivery Date]]-OrdersTable[[#This Row],[Order Date]]</f>
        <v>5</v>
      </c>
      <c r="AD4446" t="str">
        <f>IF(OrdersTable[[#This Row],[Delivery Days]]&lt;=2, "Express (≤2d)", IF(OrdersTable[[#This Row],[Delivery Days]]&lt;=4, "Standard (3-4d)", "Delayed (5d+)"))</f>
        <v>Delayed (5d+)</v>
      </c>
      <c r="AF4446">
        <v>0</v>
      </c>
    </row>
    <row r="4447" spans="1:32" ht="15" x14ac:dyDescent="0.35">
      <c r="A4447" t="s">
        <v>402</v>
      </c>
      <c r="B4447" s="1">
        <v>45974</v>
      </c>
      <c r="C4447">
        <f>YEAR(OrdersTable[[#This Row],[Order Date]])</f>
        <v>2025</v>
      </c>
      <c r="D4447" s="2">
        <f>DATE(YEAR(OrdersTable[[#This Row],[Order Date]]),MONTH(OrdersTable[[#This Row],[Order Date]]),1)</f>
        <v>45962</v>
      </c>
      <c r="E4447">
        <f>MONTH(OrdersTable[[#This Row],[Order Date]])</f>
        <v>11</v>
      </c>
      <c r="F4447" t="s">
        <v>403</v>
      </c>
      <c r="G4447" t="str">
        <f>IF(OrdersTable[[#This Row],[Order Date]]=_xlfn.MINIFS(Order_Date, Customer_ID, OrdersTable[[#This Row],[Customer ID]]), "New", "Repeat")</f>
        <v>New</v>
      </c>
      <c r="H4447" t="s">
        <v>59</v>
      </c>
      <c r="I4447" t="str">
        <f>INDEX(State!B:B,MATCH(OrdersTable[[#This Row],[State]],State!A:A,0))</f>
        <v>TN</v>
      </c>
      <c r="J4447" t="str">
        <f>INDEX(State!C:C,MATCH(OrdersTable[[#This Row],[State Code]],State!B:B,0))</f>
        <v>South</v>
      </c>
      <c r="K4447" t="s">
        <v>60</v>
      </c>
      <c r="L4447" t="s">
        <v>23</v>
      </c>
      <c r="M4447" t="s">
        <v>40</v>
      </c>
      <c r="N4447" t="str">
        <f>INDEX(Products!B:B,MATCH(OrdersTable[[#This Row],[Product ID]],Products!A:A,0))</f>
        <v>Ashwagandha Capsules</v>
      </c>
      <c r="O4447" t="str">
        <f>INDEX(Products!C:C,MATCH(OrdersTable[[#This Row],[Product ID]],Products!A:A,0))</f>
        <v>Wellness</v>
      </c>
      <c r="P4447">
        <v>1</v>
      </c>
      <c r="Q4447" s="5">
        <v>499</v>
      </c>
      <c r="R4447" s="74">
        <v>0.2</v>
      </c>
      <c r="S4447" s="75">
        <f>OrdersTable[[#This Row],[Quantity]]*OrdersTable[[#This Row],[Unit Price]]</f>
        <v>499</v>
      </c>
      <c r="T4447" s="5">
        <f>OrdersTable[[#This Row],[Gross Sale]]*OrdersTable[[#This Row],[Discount_Clean2]]</f>
        <v>99.800000000000011</v>
      </c>
      <c r="U4447" s="5">
        <f>OrdersTable[[#This Row],[Gross Sale]]-OrdersTable[[#This Row],[Discount Amount]]</f>
        <v>399.2</v>
      </c>
      <c r="V4447" s="77">
        <f>INDEX(Products!E:E,MATCH(OrdersTable[[#This Row],[Product ID]],Products!A:A,0))</f>
        <v>150</v>
      </c>
      <c r="W4447" s="77">
        <f>OrdersTable[[#This Row],[Quantity]]*OrdersTable[[#This Row],[Unit Cost]]</f>
        <v>150</v>
      </c>
      <c r="X4447" s="77">
        <f>'Dropdown Lists'!$I$2*(1+OrdersTable[[#This Row],[Returned]])</f>
        <v>60</v>
      </c>
      <c r="Y4447" s="76">
        <f>OrdersTable[[#This Row],[Net Revenue]]-OrdersTable[[#This Row],[COGS]]-OrdersTable[[#This Row],[Shipping Cost]]</f>
        <v>189.2</v>
      </c>
      <c r="Z4447" s="78">
        <f>IFERROR(OrdersTable[[#This Row],[Profit]]/OrdersTable[[#This Row],[Net Revenue]],0)</f>
        <v>0.47394789579158314</v>
      </c>
      <c r="AA4447" t="s">
        <v>18</v>
      </c>
      <c r="AB4447" s="79">
        <v>45977</v>
      </c>
      <c r="AC4447">
        <f>OrdersTable[[#This Row],[Delivery Date]]-OrdersTable[[#This Row],[Order Date]]</f>
        <v>3</v>
      </c>
      <c r="AD4447" t="str">
        <f>IF(OrdersTable[[#This Row],[Delivery Days]]&lt;=2, "Express (≤2d)", IF(OrdersTable[[#This Row],[Delivery Days]]&lt;=4, "Standard (3-4d)", "Delayed (5d+)"))</f>
        <v>Standard (3-4d)</v>
      </c>
      <c r="AE4447">
        <v>4</v>
      </c>
      <c r="AF4447">
        <v>0</v>
      </c>
    </row>
    <row r="4448" spans="1:32" ht="15" x14ac:dyDescent="0.35">
      <c r="A4448" t="s">
        <v>404</v>
      </c>
      <c r="B4448" s="1">
        <v>45975</v>
      </c>
      <c r="C4448">
        <f>YEAR(OrdersTable[[#This Row],[Order Date]])</f>
        <v>2025</v>
      </c>
      <c r="D4448" s="2">
        <f>DATE(YEAR(OrdersTable[[#This Row],[Order Date]]),MONTH(OrdersTable[[#This Row],[Order Date]]),1)</f>
        <v>45962</v>
      </c>
      <c r="E4448">
        <f>MONTH(OrdersTable[[#This Row],[Order Date]])</f>
        <v>11</v>
      </c>
      <c r="F4448" t="s">
        <v>405</v>
      </c>
      <c r="G4448" t="str">
        <f>IF(OrdersTable[[#This Row],[Order Date]]=_xlfn.MINIFS(Order_Date, Customer_ID, OrdersTable[[#This Row],[Customer ID]]), "New", "Repeat")</f>
        <v>Repeat</v>
      </c>
      <c r="H4448" t="s">
        <v>128</v>
      </c>
      <c r="I4448" t="str">
        <f>INDEX(State!B:B,MATCH(OrdersTable[[#This Row],[State]],State!A:A,0))</f>
        <v>DL</v>
      </c>
      <c r="J4448" t="str">
        <f>INDEX(State!C:C,MATCH(OrdersTable[[#This Row],[State Code]],State!B:B,0))</f>
        <v>North</v>
      </c>
      <c r="K4448" t="s">
        <v>129</v>
      </c>
      <c r="L4448" t="s">
        <v>65</v>
      </c>
      <c r="M4448" t="s">
        <v>228</v>
      </c>
      <c r="N4448" t="str">
        <f>INDEX(Products!B:B,MATCH(OrdersTable[[#This Row],[Product ID]],Products!A:A,0))</f>
        <v>Fast Charger 33W</v>
      </c>
      <c r="O4448" t="str">
        <f>INDEX(Products!C:C,MATCH(OrdersTable[[#This Row],[Product ID]],Products!A:A,0))</f>
        <v>Electronics</v>
      </c>
      <c r="P4448">
        <v>1</v>
      </c>
      <c r="Q4448" s="5">
        <v>899</v>
      </c>
      <c r="R4448" s="74">
        <v>0.15</v>
      </c>
      <c r="S4448" s="75">
        <f>OrdersTable[[#This Row],[Quantity]]*OrdersTable[[#This Row],[Unit Price]]</f>
        <v>899</v>
      </c>
      <c r="T4448" s="5">
        <f>OrdersTable[[#This Row],[Gross Sale]]*OrdersTable[[#This Row],[Discount_Clean2]]</f>
        <v>134.85</v>
      </c>
      <c r="U4448" s="5">
        <f>OrdersTable[[#This Row],[Gross Sale]]-OrdersTable[[#This Row],[Discount Amount]]</f>
        <v>764.15</v>
      </c>
      <c r="V4448" s="77">
        <f>INDEX(Products!E:E,MATCH(OrdersTable[[#This Row],[Product ID]],Products!A:A,0))</f>
        <v>494</v>
      </c>
      <c r="W4448" s="77">
        <f>OrdersTable[[#This Row],[Quantity]]*OrdersTable[[#This Row],[Unit Cost]]</f>
        <v>494</v>
      </c>
      <c r="X4448" s="77">
        <f>'Dropdown Lists'!$I$2*(1+OrdersTable[[#This Row],[Returned]])</f>
        <v>60</v>
      </c>
      <c r="Y4448" s="76">
        <f>OrdersTable[[#This Row],[Net Revenue]]-OrdersTable[[#This Row],[COGS]]-OrdersTable[[#This Row],[Shipping Cost]]</f>
        <v>210.14999999999998</v>
      </c>
      <c r="Z4448" s="78">
        <f>IFERROR(OrdersTable[[#This Row],[Profit]]/OrdersTable[[#This Row],[Net Revenue]],0)</f>
        <v>0.27501145063142052</v>
      </c>
      <c r="AA4448" t="s">
        <v>18</v>
      </c>
      <c r="AB4448" s="79">
        <v>45978</v>
      </c>
      <c r="AC4448">
        <f>OrdersTable[[#This Row],[Delivery Date]]-OrdersTable[[#This Row],[Order Date]]</f>
        <v>3</v>
      </c>
      <c r="AD4448" t="str">
        <f>IF(OrdersTable[[#This Row],[Delivery Days]]&lt;=2, "Express (≤2d)", IF(OrdersTable[[#This Row],[Delivery Days]]&lt;=4, "Standard (3-4d)", "Delayed (5d+)"))</f>
        <v>Standard (3-4d)</v>
      </c>
      <c r="AE4448">
        <v>4</v>
      </c>
      <c r="AF4448">
        <v>0</v>
      </c>
    </row>
    <row r="4449" spans="1:32" ht="15" x14ac:dyDescent="0.35">
      <c r="A4449" t="s">
        <v>3938</v>
      </c>
      <c r="B4449" s="1">
        <v>45975</v>
      </c>
      <c r="C4449">
        <f>YEAR(OrdersTable[[#This Row],[Order Date]])</f>
        <v>2025</v>
      </c>
      <c r="D4449" s="2">
        <f>DATE(YEAR(OrdersTable[[#This Row],[Order Date]]),MONTH(OrdersTable[[#This Row],[Order Date]]),1)</f>
        <v>45962</v>
      </c>
      <c r="E4449">
        <f>MONTH(OrdersTable[[#This Row],[Order Date]])</f>
        <v>11</v>
      </c>
      <c r="F4449" t="s">
        <v>641</v>
      </c>
      <c r="G4449" t="str">
        <f>IF(OrdersTable[[#This Row],[Order Date]]=_xlfn.MINIFS(Order_Date, Customer_ID, OrdersTable[[#This Row],[Customer ID]]), "New", "Repeat")</f>
        <v>Repeat</v>
      </c>
      <c r="H4449" t="s">
        <v>37</v>
      </c>
      <c r="I4449" t="str">
        <f>INDEX(State!B:B,MATCH(OrdersTable[[#This Row],[State]],State!A:A,0))</f>
        <v>GJ</v>
      </c>
      <c r="J4449" t="str">
        <f>INDEX(State!C:C,MATCH(OrdersTable[[#This Row],[State Code]],State!B:B,0))</f>
        <v>West</v>
      </c>
      <c r="K4449" t="s">
        <v>38</v>
      </c>
      <c r="L4449" t="s">
        <v>65</v>
      </c>
      <c r="M4449" t="s">
        <v>61</v>
      </c>
      <c r="N4449" t="str">
        <f>INDEX(Products!B:B,MATCH(OrdersTable[[#This Row],[Product ID]],Products!A:A,0))</f>
        <v>Multivitamin Gummies</v>
      </c>
      <c r="O4449" t="str">
        <f>INDEX(Products!C:C,MATCH(OrdersTable[[#This Row],[Product ID]],Products!A:A,0))</f>
        <v>Wellness</v>
      </c>
      <c r="P4449">
        <v>1</v>
      </c>
      <c r="Q4449" s="5">
        <v>699</v>
      </c>
      <c r="R4449" s="74">
        <v>0.45</v>
      </c>
      <c r="S4449" s="75">
        <f>OrdersTable[[#This Row],[Quantity]]*OrdersTable[[#This Row],[Unit Price]]</f>
        <v>699</v>
      </c>
      <c r="T4449" s="5">
        <f>OrdersTable[[#This Row],[Gross Sale]]*OrdersTable[[#This Row],[Discount_Clean2]]</f>
        <v>314.55</v>
      </c>
      <c r="U4449" s="5">
        <f>OrdersTable[[#This Row],[Gross Sale]]-OrdersTable[[#This Row],[Discount Amount]]</f>
        <v>384.45</v>
      </c>
      <c r="V4449" s="77">
        <f>INDEX(Products!E:E,MATCH(OrdersTable[[#This Row],[Product ID]],Products!A:A,0))</f>
        <v>238</v>
      </c>
      <c r="W4449" s="77">
        <f>OrdersTable[[#This Row],[Quantity]]*OrdersTable[[#This Row],[Unit Cost]]</f>
        <v>238</v>
      </c>
      <c r="X4449" s="77">
        <f>'Dropdown Lists'!$I$2*(1+OrdersTable[[#This Row],[Returned]])</f>
        <v>60</v>
      </c>
      <c r="Y4449" s="76">
        <f>OrdersTable[[#This Row],[Net Revenue]]-OrdersTable[[#This Row],[COGS]]-OrdersTable[[#This Row],[Shipping Cost]]</f>
        <v>86.449999999999989</v>
      </c>
      <c r="Z4449" s="78">
        <f>IFERROR(OrdersTable[[#This Row],[Profit]]/OrdersTable[[#This Row],[Net Revenue]],0)</f>
        <v>0.22486669267785145</v>
      </c>
      <c r="AA4449" t="s">
        <v>3495</v>
      </c>
      <c r="AB4449" s="79">
        <v>45979</v>
      </c>
      <c r="AC4449">
        <f>OrdersTable[[#This Row],[Delivery Date]]-OrdersTable[[#This Row],[Order Date]]</f>
        <v>4</v>
      </c>
      <c r="AD4449" t="str">
        <f>IF(OrdersTable[[#This Row],[Delivery Days]]&lt;=2, "Express (≤2d)", IF(OrdersTable[[#This Row],[Delivery Days]]&lt;=4, "Standard (3-4d)", "Delayed (5d+)"))</f>
        <v>Standard (3-4d)</v>
      </c>
      <c r="AE4449">
        <v>3</v>
      </c>
      <c r="AF4449">
        <v>0</v>
      </c>
    </row>
    <row r="4450" spans="1:32" ht="15" x14ac:dyDescent="0.35">
      <c r="A4450" t="s">
        <v>3686</v>
      </c>
      <c r="B4450" s="1">
        <v>45975</v>
      </c>
      <c r="C4450">
        <f>YEAR(OrdersTable[[#This Row],[Order Date]])</f>
        <v>2025</v>
      </c>
      <c r="D4450" s="2">
        <f>DATE(YEAR(OrdersTable[[#This Row],[Order Date]]),MONTH(OrdersTable[[#This Row],[Order Date]]),1)</f>
        <v>45962</v>
      </c>
      <c r="E4450">
        <f>MONTH(OrdersTable[[#This Row],[Order Date]])</f>
        <v>11</v>
      </c>
      <c r="F4450" t="s">
        <v>560</v>
      </c>
      <c r="G4450" t="str">
        <f>IF(OrdersTable[[#This Row],[Order Date]]=_xlfn.MINIFS(Order_Date, Customer_ID, OrdersTable[[#This Row],[Customer ID]]), "New", "Repeat")</f>
        <v>Repeat</v>
      </c>
      <c r="H4450" t="s">
        <v>37</v>
      </c>
      <c r="I4450" t="str">
        <f>INDEX(State!B:B,MATCH(OrdersTable[[#This Row],[State]],State!A:A,0))</f>
        <v>GJ</v>
      </c>
      <c r="J4450" t="str">
        <f>INDEX(State!C:C,MATCH(OrdersTable[[#This Row],[State Code]],State!B:B,0))</f>
        <v>West</v>
      </c>
      <c r="K4450" t="s">
        <v>38</v>
      </c>
      <c r="L4450" t="s">
        <v>16</v>
      </c>
      <c r="M4450" t="s">
        <v>34</v>
      </c>
      <c r="N4450" t="str">
        <f>INDEX(Products!B:B,MATCH(OrdersTable[[#This Row],[Product ID]],Products!A:A,0))</f>
        <v>Flip Flops</v>
      </c>
      <c r="O4450" t="str">
        <f>INDEX(Products!C:C,MATCH(OrdersTable[[#This Row],[Product ID]],Products!A:A,0))</f>
        <v>Footwear</v>
      </c>
      <c r="P4450">
        <v>1</v>
      </c>
      <c r="Q4450" s="5">
        <v>399</v>
      </c>
      <c r="R4450" s="74">
        <v>0.3</v>
      </c>
      <c r="S4450" s="75">
        <f>OrdersTable[[#This Row],[Quantity]]*OrdersTable[[#This Row],[Unit Price]]</f>
        <v>399</v>
      </c>
      <c r="T4450" s="5">
        <f>OrdersTable[[#This Row],[Gross Sale]]*OrdersTable[[#This Row],[Discount_Clean2]]</f>
        <v>119.69999999999999</v>
      </c>
      <c r="U4450" s="5">
        <f>OrdersTable[[#This Row],[Gross Sale]]-OrdersTable[[#This Row],[Discount Amount]]</f>
        <v>279.3</v>
      </c>
      <c r="V4450" s="77">
        <f>INDEX(Products!E:E,MATCH(OrdersTable[[#This Row],[Product ID]],Products!A:A,0))</f>
        <v>152</v>
      </c>
      <c r="W4450" s="77">
        <f>OrdersTable[[#This Row],[Quantity]]*OrdersTable[[#This Row],[Unit Cost]]</f>
        <v>152</v>
      </c>
      <c r="X4450" s="77">
        <f>'Dropdown Lists'!$I$2*(1+OrdersTable[[#This Row],[Returned]])</f>
        <v>60</v>
      </c>
      <c r="Y4450" s="76">
        <f>OrdersTable[[#This Row],[Net Revenue]]-OrdersTable[[#This Row],[COGS]]-OrdersTable[[#This Row],[Shipping Cost]]</f>
        <v>67.300000000000011</v>
      </c>
      <c r="Z4450" s="78">
        <f>IFERROR(OrdersTable[[#This Row],[Profit]]/OrdersTable[[#This Row],[Net Revenue]],0)</f>
        <v>0.24095954171142145</v>
      </c>
      <c r="AA4450" t="s">
        <v>3495</v>
      </c>
      <c r="AB4450" s="79">
        <v>45979</v>
      </c>
      <c r="AC4450">
        <f>OrdersTable[[#This Row],[Delivery Date]]-OrdersTable[[#This Row],[Order Date]]</f>
        <v>4</v>
      </c>
      <c r="AD4450" t="str">
        <f>IF(OrdersTable[[#This Row],[Delivery Days]]&lt;=2, "Express (≤2d)", IF(OrdersTable[[#This Row],[Delivery Days]]&lt;=4, "Standard (3-4d)", "Delayed (5d+)"))</f>
        <v>Standard (3-4d)</v>
      </c>
      <c r="AE4450">
        <v>4</v>
      </c>
      <c r="AF4450">
        <v>0</v>
      </c>
    </row>
    <row r="4451" spans="1:32" ht="15" x14ac:dyDescent="0.35">
      <c r="A4451" t="s">
        <v>3687</v>
      </c>
      <c r="B4451" s="1">
        <v>45975</v>
      </c>
      <c r="C4451">
        <f>YEAR(OrdersTable[[#This Row],[Order Date]])</f>
        <v>2025</v>
      </c>
      <c r="D4451" s="2">
        <f>DATE(YEAR(OrdersTable[[#This Row],[Order Date]]),MONTH(OrdersTable[[#This Row],[Order Date]]),1)</f>
        <v>45962</v>
      </c>
      <c r="E4451">
        <f>MONTH(OrdersTable[[#This Row],[Order Date]])</f>
        <v>11</v>
      </c>
      <c r="F4451" t="s">
        <v>3688</v>
      </c>
      <c r="G4451" t="str">
        <f>IF(OrdersTable[[#This Row],[Order Date]]=_xlfn.MINIFS(Order_Date, Customer_ID, OrdersTable[[#This Row],[Customer ID]]), "New", "Repeat")</f>
        <v>Repeat</v>
      </c>
      <c r="H4451" t="s">
        <v>43</v>
      </c>
      <c r="I4451" t="str">
        <f>INDEX(State!B:B,MATCH(OrdersTable[[#This Row],[State]],State!A:A,0))</f>
        <v>MP</v>
      </c>
      <c r="J4451" t="str">
        <f>INDEX(State!C:C,MATCH(OrdersTable[[#This Row],[State Code]],State!B:B,0))</f>
        <v>West</v>
      </c>
      <c r="K4451" t="s">
        <v>250</v>
      </c>
      <c r="L4451" t="s">
        <v>39</v>
      </c>
      <c r="M4451" t="s">
        <v>29</v>
      </c>
      <c r="N4451" t="str">
        <f>INDEX(Products!B:B,MATCH(OrdersTable[[#This Row],[Product ID]],Products!A:A,0))</f>
        <v>Joggers</v>
      </c>
      <c r="O4451" t="str">
        <f>INDEX(Products!C:C,MATCH(OrdersTable[[#This Row],[Product ID]],Products!A:A,0))</f>
        <v>Apparel</v>
      </c>
      <c r="P4451">
        <v>1</v>
      </c>
      <c r="Q4451" s="5">
        <v>1199</v>
      </c>
      <c r="R4451" s="74">
        <v>0.15</v>
      </c>
      <c r="S4451" s="75">
        <f>OrdersTable[[#This Row],[Quantity]]*OrdersTable[[#This Row],[Unit Price]]</f>
        <v>1199</v>
      </c>
      <c r="T4451" s="5">
        <f>OrdersTable[[#This Row],[Gross Sale]]*OrdersTable[[#This Row],[Discount_Clean2]]</f>
        <v>179.85</v>
      </c>
      <c r="U4451" s="5">
        <f>OrdersTable[[#This Row],[Gross Sale]]-OrdersTable[[#This Row],[Discount Amount]]</f>
        <v>1019.15</v>
      </c>
      <c r="V4451" s="77">
        <f>INDEX(Products!E:E,MATCH(OrdersTable[[#This Row],[Product ID]],Products!A:A,0))</f>
        <v>492</v>
      </c>
      <c r="W4451" s="77">
        <f>OrdersTable[[#This Row],[Quantity]]*OrdersTable[[#This Row],[Unit Cost]]</f>
        <v>492</v>
      </c>
      <c r="X4451" s="77">
        <f>'Dropdown Lists'!$I$2*(1+OrdersTable[[#This Row],[Returned]])</f>
        <v>60</v>
      </c>
      <c r="Y4451" s="76">
        <f>OrdersTable[[#This Row],[Net Revenue]]-OrdersTable[[#This Row],[COGS]]-OrdersTable[[#This Row],[Shipping Cost]]</f>
        <v>467.15</v>
      </c>
      <c r="Z4451" s="78">
        <f>IFERROR(OrdersTable[[#This Row],[Profit]]/OrdersTable[[#This Row],[Net Revenue]],0)</f>
        <v>0.45837217288917231</v>
      </c>
      <c r="AA4451" t="s">
        <v>3495</v>
      </c>
      <c r="AB4451" s="79">
        <v>45980</v>
      </c>
      <c r="AC4451">
        <f>OrdersTable[[#This Row],[Delivery Date]]-OrdersTable[[#This Row],[Order Date]]</f>
        <v>5</v>
      </c>
      <c r="AD4451" t="str">
        <f>IF(OrdersTable[[#This Row],[Delivery Days]]&lt;=2, "Express (≤2d)", IF(OrdersTable[[#This Row],[Delivery Days]]&lt;=4, "Standard (3-4d)", "Delayed (5d+)"))</f>
        <v>Delayed (5d+)</v>
      </c>
      <c r="AE4451">
        <v>4</v>
      </c>
      <c r="AF4451">
        <v>0</v>
      </c>
    </row>
    <row r="4452" spans="1:32" ht="15" x14ac:dyDescent="0.35">
      <c r="A4452" t="s">
        <v>6747</v>
      </c>
      <c r="B4452" s="1">
        <v>45975</v>
      </c>
      <c r="C4452">
        <f>YEAR(OrdersTable[[#This Row],[Order Date]])</f>
        <v>2025</v>
      </c>
      <c r="D4452" s="2">
        <f>DATE(YEAR(OrdersTable[[#This Row],[Order Date]]),MONTH(OrdersTable[[#This Row],[Order Date]]),1)</f>
        <v>45962</v>
      </c>
      <c r="E4452">
        <f>MONTH(OrdersTable[[#This Row],[Order Date]])</f>
        <v>11</v>
      </c>
      <c r="F4452" t="s">
        <v>5421</v>
      </c>
      <c r="G4452" t="str">
        <f>IF(OrdersTable[[#This Row],[Order Date]]=_xlfn.MINIFS(Order_Date, Customer_ID, OrdersTable[[#This Row],[Customer ID]]), "New", "Repeat")</f>
        <v>Repeat</v>
      </c>
      <c r="H4452" t="s">
        <v>27</v>
      </c>
      <c r="I4452" t="str">
        <f>INDEX(State!B:B,MATCH(OrdersTable[[#This Row],[State]],State!A:A,0))</f>
        <v>WB</v>
      </c>
      <c r="J4452" t="str">
        <f>INDEX(State!C:C,MATCH(OrdersTable[[#This Row],[State Code]],State!B:B,0))</f>
        <v>East</v>
      </c>
      <c r="K4452" t="s">
        <v>28</v>
      </c>
      <c r="L4452" t="s">
        <v>65</v>
      </c>
      <c r="M4452" t="s">
        <v>78</v>
      </c>
      <c r="N4452" t="str">
        <f>INDEX(Products!B:B,MATCH(OrdersTable[[#This Row],[Product ID]],Products!A:A,0))</f>
        <v>Retinol Night Cream</v>
      </c>
      <c r="O4452" t="str">
        <f>INDEX(Products!C:C,MATCH(OrdersTable[[#This Row],[Product ID]],Products!A:A,0))</f>
        <v>Skincare</v>
      </c>
      <c r="P4452">
        <v>3</v>
      </c>
      <c r="Q4452" s="5">
        <v>799</v>
      </c>
      <c r="R4452" s="74">
        <v>0.15</v>
      </c>
      <c r="S4452" s="75">
        <f>OrdersTable[[#This Row],[Quantity]]*OrdersTable[[#This Row],[Unit Price]]</f>
        <v>2397</v>
      </c>
      <c r="T4452" s="5">
        <f>OrdersTable[[#This Row],[Gross Sale]]*OrdersTable[[#This Row],[Discount_Clean2]]</f>
        <v>359.55</v>
      </c>
      <c r="U4452" s="5">
        <f>OrdersTable[[#This Row],[Gross Sale]]-OrdersTable[[#This Row],[Discount Amount]]</f>
        <v>2037.45</v>
      </c>
      <c r="V4452" s="77">
        <f>INDEX(Products!E:E,MATCH(OrdersTable[[#This Row],[Product ID]],Products!A:A,0))</f>
        <v>216</v>
      </c>
      <c r="W4452" s="77">
        <f>OrdersTable[[#This Row],[Quantity]]*OrdersTable[[#This Row],[Unit Cost]]</f>
        <v>648</v>
      </c>
      <c r="X4452" s="77">
        <f>'Dropdown Lists'!$I$2*(1+OrdersTable[[#This Row],[Returned]])</f>
        <v>60</v>
      </c>
      <c r="Y4452" s="76">
        <f>OrdersTable[[#This Row],[Net Revenue]]-OrdersTable[[#This Row],[COGS]]-OrdersTable[[#This Row],[Shipping Cost]]</f>
        <v>1329.45</v>
      </c>
      <c r="Z4452" s="78">
        <f>IFERROR(OrdersTable[[#This Row],[Profit]]/OrdersTable[[#This Row],[Net Revenue]],0)</f>
        <v>0.65250680998306709</v>
      </c>
      <c r="AA4452" t="s">
        <v>2522</v>
      </c>
      <c r="AB4452" s="79">
        <v>45979</v>
      </c>
      <c r="AC4452">
        <f>OrdersTable[[#This Row],[Delivery Date]]-OrdersTable[[#This Row],[Order Date]]</f>
        <v>4</v>
      </c>
      <c r="AD4452" t="str">
        <f>IF(OrdersTable[[#This Row],[Delivery Days]]&lt;=2, "Express (≤2d)", IF(OrdersTable[[#This Row],[Delivery Days]]&lt;=4, "Standard (3-4d)", "Delayed (5d+)"))</f>
        <v>Standard (3-4d)</v>
      </c>
      <c r="AF4452">
        <v>0</v>
      </c>
    </row>
    <row r="4453" spans="1:32" ht="15" x14ac:dyDescent="0.35">
      <c r="A4453" t="s">
        <v>1449</v>
      </c>
      <c r="B4453" s="1">
        <v>45975</v>
      </c>
      <c r="C4453">
        <f>YEAR(OrdersTable[[#This Row],[Order Date]])</f>
        <v>2025</v>
      </c>
      <c r="D4453" s="2">
        <f>DATE(YEAR(OrdersTable[[#This Row],[Order Date]]),MONTH(OrdersTable[[#This Row],[Order Date]]),1)</f>
        <v>45962</v>
      </c>
      <c r="E4453">
        <f>MONTH(OrdersTable[[#This Row],[Order Date]])</f>
        <v>11</v>
      </c>
      <c r="F4453" t="s">
        <v>1450</v>
      </c>
      <c r="G4453" t="str">
        <f>IF(OrdersTable[[#This Row],[Order Date]]=_xlfn.MINIFS(Order_Date, Customer_ID, OrdersTable[[#This Row],[Customer ID]]), "New", "Repeat")</f>
        <v>New</v>
      </c>
      <c r="H4453" t="s">
        <v>27</v>
      </c>
      <c r="I4453" t="str">
        <f>INDEX(State!B:B,MATCH(OrdersTable[[#This Row],[State]],State!A:A,0))</f>
        <v>WB</v>
      </c>
      <c r="J4453" t="str">
        <f>INDEX(State!C:C,MATCH(OrdersTable[[#This Row],[State Code]],State!B:B,0))</f>
        <v>East</v>
      </c>
      <c r="K4453" t="s">
        <v>28</v>
      </c>
      <c r="L4453" t="s">
        <v>23</v>
      </c>
      <c r="M4453" t="s">
        <v>34</v>
      </c>
      <c r="N4453" t="str">
        <f>INDEX(Products!B:B,MATCH(OrdersTable[[#This Row],[Product ID]],Products!A:A,0))</f>
        <v>Flip Flops</v>
      </c>
      <c r="O4453" t="str">
        <f>INDEX(Products!C:C,MATCH(OrdersTable[[#This Row],[Product ID]],Products!A:A,0))</f>
        <v>Footwear</v>
      </c>
      <c r="P4453">
        <v>1</v>
      </c>
      <c r="Q4453" s="5">
        <v>399</v>
      </c>
      <c r="R4453" s="74">
        <v>0.15</v>
      </c>
      <c r="S4453" s="75">
        <f>OrdersTable[[#This Row],[Quantity]]*OrdersTable[[#This Row],[Unit Price]]</f>
        <v>399</v>
      </c>
      <c r="T4453" s="5">
        <f>OrdersTable[[#This Row],[Gross Sale]]*OrdersTable[[#This Row],[Discount_Clean2]]</f>
        <v>59.849999999999994</v>
      </c>
      <c r="U4453" s="5">
        <f>OrdersTable[[#This Row],[Gross Sale]]-OrdersTable[[#This Row],[Discount Amount]]</f>
        <v>339.15</v>
      </c>
      <c r="V4453" s="77">
        <f>INDEX(Products!E:E,MATCH(OrdersTable[[#This Row],[Product ID]],Products!A:A,0))</f>
        <v>152</v>
      </c>
      <c r="W4453" s="77">
        <f>OrdersTable[[#This Row],[Quantity]]*OrdersTable[[#This Row],[Unit Cost]]</f>
        <v>152</v>
      </c>
      <c r="X4453" s="77">
        <f>'Dropdown Lists'!$I$2*(1+OrdersTable[[#This Row],[Returned]])</f>
        <v>60</v>
      </c>
      <c r="Y4453" s="76">
        <f>OrdersTable[[#This Row],[Net Revenue]]-OrdersTable[[#This Row],[COGS]]-OrdersTable[[#This Row],[Shipping Cost]]</f>
        <v>127.14999999999998</v>
      </c>
      <c r="Z4453" s="78">
        <f>IFERROR(OrdersTable[[#This Row],[Profit]]/OrdersTable[[#This Row],[Net Revenue]],0)</f>
        <v>0.37490785787999409</v>
      </c>
      <c r="AA4453" t="s">
        <v>18</v>
      </c>
      <c r="AB4453" s="79">
        <v>45978</v>
      </c>
      <c r="AC4453">
        <f>OrdersTable[[#This Row],[Delivery Date]]-OrdersTable[[#This Row],[Order Date]]</f>
        <v>3</v>
      </c>
      <c r="AD4453" t="str">
        <f>IF(OrdersTable[[#This Row],[Delivery Days]]&lt;=2, "Express (≤2d)", IF(OrdersTable[[#This Row],[Delivery Days]]&lt;=4, "Standard (3-4d)", "Delayed (5d+)"))</f>
        <v>Standard (3-4d)</v>
      </c>
      <c r="AF4453">
        <v>0</v>
      </c>
    </row>
    <row r="4454" spans="1:32" ht="15" x14ac:dyDescent="0.35">
      <c r="A4454" t="s">
        <v>2050</v>
      </c>
      <c r="B4454" s="1">
        <v>45975</v>
      </c>
      <c r="C4454">
        <f>YEAR(OrdersTable[[#This Row],[Order Date]])</f>
        <v>2025</v>
      </c>
      <c r="D4454" s="2">
        <f>DATE(YEAR(OrdersTable[[#This Row],[Order Date]]),MONTH(OrdersTable[[#This Row],[Order Date]]),1)</f>
        <v>45962</v>
      </c>
      <c r="E4454">
        <f>MONTH(OrdersTable[[#This Row],[Order Date]])</f>
        <v>11</v>
      </c>
      <c r="F4454" t="s">
        <v>2051</v>
      </c>
      <c r="G4454" t="str">
        <f>IF(OrdersTable[[#This Row],[Order Date]]=_xlfn.MINIFS(Order_Date, Customer_ID, OrdersTable[[#This Row],[Customer ID]]), "New", "Repeat")</f>
        <v>New</v>
      </c>
      <c r="H4454" t="s">
        <v>95</v>
      </c>
      <c r="I4454" t="str">
        <f>INDEX(State!B:B,MATCH(OrdersTable[[#This Row],[State]],State!A:A,0))</f>
        <v>TG</v>
      </c>
      <c r="J4454" t="str">
        <f>INDEX(State!C:C,MATCH(OrdersTable[[#This Row],[State Code]],State!B:B,0))</f>
        <v>South</v>
      </c>
      <c r="K4454" t="s">
        <v>96</v>
      </c>
      <c r="L4454" t="s">
        <v>65</v>
      </c>
      <c r="M4454" t="s">
        <v>56</v>
      </c>
      <c r="N4454" t="str">
        <f>INDEX(Products!B:B,MATCH(OrdersTable[[#This Row],[Product ID]],Products!A:A,0))</f>
        <v>Vitamin C Face Serum</v>
      </c>
      <c r="O4454" t="str">
        <f>INDEX(Products!C:C,MATCH(OrdersTable[[#This Row],[Product ID]],Products!A:A,0))</f>
        <v>Skincare</v>
      </c>
      <c r="P4454">
        <v>1</v>
      </c>
      <c r="Q4454" s="5">
        <v>599</v>
      </c>
      <c r="R4454" s="74">
        <v>0.4</v>
      </c>
      <c r="S4454" s="75">
        <f>OrdersTable[[#This Row],[Quantity]]*OrdersTable[[#This Row],[Unit Price]]</f>
        <v>599</v>
      </c>
      <c r="T4454" s="5">
        <f>OrdersTable[[#This Row],[Gross Sale]]*OrdersTable[[#This Row],[Discount_Clean2]]</f>
        <v>239.60000000000002</v>
      </c>
      <c r="U4454" s="5">
        <f>OrdersTable[[#This Row],[Gross Sale]]-OrdersTable[[#This Row],[Discount Amount]]</f>
        <v>359.4</v>
      </c>
      <c r="V4454" s="77">
        <f>INDEX(Products!E:E,MATCH(OrdersTable[[#This Row],[Product ID]],Products!A:A,0))</f>
        <v>180</v>
      </c>
      <c r="W4454" s="77">
        <f>OrdersTable[[#This Row],[Quantity]]*OrdersTable[[#This Row],[Unit Cost]]</f>
        <v>180</v>
      </c>
      <c r="X4454" s="77">
        <f>'Dropdown Lists'!$I$2*(1+OrdersTable[[#This Row],[Returned]])</f>
        <v>60</v>
      </c>
      <c r="Y4454" s="76">
        <f>OrdersTable[[#This Row],[Net Revenue]]-OrdersTable[[#This Row],[COGS]]-OrdersTable[[#This Row],[Shipping Cost]]</f>
        <v>119.39999999999998</v>
      </c>
      <c r="Z4454" s="78">
        <f>IFERROR(OrdersTable[[#This Row],[Profit]]/OrdersTable[[#This Row],[Net Revenue]],0)</f>
        <v>0.33222036727879795</v>
      </c>
      <c r="AA4454" t="s">
        <v>18</v>
      </c>
      <c r="AB4454" s="79">
        <v>45979</v>
      </c>
      <c r="AC4454">
        <f>OrdersTable[[#This Row],[Delivery Date]]-OrdersTable[[#This Row],[Order Date]]</f>
        <v>4</v>
      </c>
      <c r="AD4454" t="str">
        <f>IF(OrdersTable[[#This Row],[Delivery Days]]&lt;=2, "Express (≤2d)", IF(OrdersTable[[#This Row],[Delivery Days]]&lt;=4, "Standard (3-4d)", "Delayed (5d+)"))</f>
        <v>Standard (3-4d)</v>
      </c>
      <c r="AE4454">
        <v>3</v>
      </c>
      <c r="AF4454">
        <v>0</v>
      </c>
    </row>
    <row r="4455" spans="1:32" ht="15" x14ac:dyDescent="0.35">
      <c r="A4455" t="s">
        <v>4732</v>
      </c>
      <c r="B4455" s="1">
        <v>45975</v>
      </c>
      <c r="C4455">
        <f>YEAR(OrdersTable[[#This Row],[Order Date]])</f>
        <v>2025</v>
      </c>
      <c r="D4455" s="2">
        <f>DATE(YEAR(OrdersTable[[#This Row],[Order Date]]),MONTH(OrdersTable[[#This Row],[Order Date]]),1)</f>
        <v>45962</v>
      </c>
      <c r="E4455">
        <f>MONTH(OrdersTable[[#This Row],[Order Date]])</f>
        <v>11</v>
      </c>
      <c r="F4455" t="s">
        <v>1824</v>
      </c>
      <c r="G4455" t="str">
        <f>IF(OrdersTable[[#This Row],[Order Date]]=_xlfn.MINIFS(Order_Date, Customer_ID, OrdersTable[[#This Row],[Customer ID]]), "New", "Repeat")</f>
        <v>Repeat</v>
      </c>
      <c r="H4455" t="s">
        <v>167</v>
      </c>
      <c r="I4455" t="str">
        <f>INDEX(State!B:B,MATCH(OrdersTable[[#This Row],[State]],State!A:A,0))</f>
        <v>KA</v>
      </c>
      <c r="J4455" t="str">
        <f>INDEX(State!C:C,MATCH(OrdersTable[[#This Row],[State Code]],State!B:B,0))</f>
        <v>South</v>
      </c>
      <c r="K4455" t="s">
        <v>190</v>
      </c>
      <c r="L4455" t="s">
        <v>23</v>
      </c>
      <c r="M4455" t="s">
        <v>45</v>
      </c>
      <c r="N4455" t="str">
        <f>INDEX(Products!B:B,MATCH(OrdersTable[[#This Row],[Product ID]],Products!A:A,0))</f>
        <v>Argan Shampoo</v>
      </c>
      <c r="O4455" t="str">
        <f>INDEX(Products!C:C,MATCH(OrdersTable[[#This Row],[Product ID]],Products!A:A,0))</f>
        <v>Haircare</v>
      </c>
      <c r="P4455">
        <v>1</v>
      </c>
      <c r="Q4455" s="5">
        <v>449</v>
      </c>
      <c r="R4455" s="74">
        <v>0.15</v>
      </c>
      <c r="S4455" s="75">
        <f>OrdersTable[[#This Row],[Quantity]]*OrdersTable[[#This Row],[Unit Price]]</f>
        <v>449</v>
      </c>
      <c r="T4455" s="5">
        <f>OrdersTable[[#This Row],[Gross Sale]]*OrdersTable[[#This Row],[Discount_Clean2]]</f>
        <v>67.349999999999994</v>
      </c>
      <c r="U4455" s="5">
        <f>OrdersTable[[#This Row],[Gross Sale]]-OrdersTable[[#This Row],[Discount Amount]]</f>
        <v>381.65</v>
      </c>
      <c r="V4455" s="77">
        <f>INDEX(Products!E:E,MATCH(OrdersTable[[#This Row],[Product ID]],Products!A:A,0))</f>
        <v>148</v>
      </c>
      <c r="W4455" s="77">
        <f>OrdersTable[[#This Row],[Quantity]]*OrdersTable[[#This Row],[Unit Cost]]</f>
        <v>148</v>
      </c>
      <c r="X4455" s="77">
        <f>'Dropdown Lists'!$I$2*(1+OrdersTable[[#This Row],[Returned]])</f>
        <v>60</v>
      </c>
      <c r="Y4455" s="76">
        <f>OrdersTable[[#This Row],[Net Revenue]]-OrdersTable[[#This Row],[COGS]]-OrdersTable[[#This Row],[Shipping Cost]]</f>
        <v>173.64999999999998</v>
      </c>
      <c r="Z4455" s="78">
        <f>IFERROR(OrdersTable[[#This Row],[Profit]]/OrdersTable[[#This Row],[Net Revenue]],0)</f>
        <v>0.45499803484868334</v>
      </c>
      <c r="AA4455" t="s">
        <v>4450</v>
      </c>
      <c r="AB4455" s="79">
        <v>45979</v>
      </c>
      <c r="AC4455">
        <f>OrdersTable[[#This Row],[Delivery Date]]-OrdersTable[[#This Row],[Order Date]]</f>
        <v>4</v>
      </c>
      <c r="AD4455" t="str">
        <f>IF(OrdersTable[[#This Row],[Delivery Days]]&lt;=2, "Express (≤2d)", IF(OrdersTable[[#This Row],[Delivery Days]]&lt;=4, "Standard (3-4d)", "Delayed (5d+)"))</f>
        <v>Standard (3-4d)</v>
      </c>
      <c r="AE4455">
        <v>3</v>
      </c>
      <c r="AF4455">
        <v>0</v>
      </c>
    </row>
    <row r="4456" spans="1:32" ht="15" x14ac:dyDescent="0.35">
      <c r="A4456" t="s">
        <v>6435</v>
      </c>
      <c r="B4456" s="1">
        <v>45976</v>
      </c>
      <c r="C4456">
        <f>YEAR(OrdersTable[[#This Row],[Order Date]])</f>
        <v>2025</v>
      </c>
      <c r="D4456" s="2">
        <f>DATE(YEAR(OrdersTable[[#This Row],[Order Date]]),MONTH(OrdersTable[[#This Row],[Order Date]]),1)</f>
        <v>45962</v>
      </c>
      <c r="E4456">
        <f>MONTH(OrdersTable[[#This Row],[Order Date]])</f>
        <v>11</v>
      </c>
      <c r="F4456" t="s">
        <v>5107</v>
      </c>
      <c r="G4456" t="str">
        <f>IF(OrdersTable[[#This Row],[Order Date]]=_xlfn.MINIFS(Order_Date, Customer_ID, OrdersTable[[#This Row],[Customer ID]]), "New", "Repeat")</f>
        <v>Repeat</v>
      </c>
      <c r="H4456" t="s">
        <v>21</v>
      </c>
      <c r="I4456" t="str">
        <f>INDEX(State!B:B,MATCH(OrdersTable[[#This Row],[State]],State!A:A,0))</f>
        <v>PB</v>
      </c>
      <c r="J4456" t="str">
        <f>INDEX(State!C:C,MATCH(OrdersTable[[#This Row],[State Code]],State!B:B,0))</f>
        <v>North</v>
      </c>
      <c r="K4456" t="s">
        <v>260</v>
      </c>
      <c r="L4456" t="s">
        <v>39</v>
      </c>
      <c r="M4456" t="s">
        <v>160</v>
      </c>
      <c r="N4456" t="str">
        <f>INDEX(Products!B:B,MATCH(OrdersTable[[#This Row],[Product ID]],Products!A:A,0))</f>
        <v>Niacinamide Toner</v>
      </c>
      <c r="O4456" t="str">
        <f>INDEX(Products!C:C,MATCH(OrdersTable[[#This Row],[Product ID]],Products!A:A,0))</f>
        <v>Skincare</v>
      </c>
      <c r="P4456">
        <v>2</v>
      </c>
      <c r="Q4456" s="5">
        <v>399</v>
      </c>
      <c r="R4456" s="74">
        <v>0.35</v>
      </c>
      <c r="S4456" s="75">
        <f>OrdersTable[[#This Row],[Quantity]]*OrdersTable[[#This Row],[Unit Price]]</f>
        <v>798</v>
      </c>
      <c r="T4456" s="5">
        <f>OrdersTable[[#This Row],[Gross Sale]]*OrdersTable[[#This Row],[Discount_Clean2]]</f>
        <v>279.29999999999995</v>
      </c>
      <c r="U4456" s="5">
        <f>OrdersTable[[#This Row],[Gross Sale]]-OrdersTable[[#This Row],[Discount Amount]]</f>
        <v>518.70000000000005</v>
      </c>
      <c r="V4456" s="77">
        <f>INDEX(Products!E:E,MATCH(OrdersTable[[#This Row],[Product ID]],Products!A:A,0))</f>
        <v>112</v>
      </c>
      <c r="W4456" s="77">
        <f>OrdersTable[[#This Row],[Quantity]]*OrdersTable[[#This Row],[Unit Cost]]</f>
        <v>224</v>
      </c>
      <c r="X4456" s="77">
        <f>'Dropdown Lists'!$I$2*(1+OrdersTable[[#This Row],[Returned]])</f>
        <v>60</v>
      </c>
      <c r="Y4456" s="76">
        <f>OrdersTable[[#This Row],[Net Revenue]]-OrdersTable[[#This Row],[COGS]]-OrdersTable[[#This Row],[Shipping Cost]]</f>
        <v>234.70000000000005</v>
      </c>
      <c r="Z4456" s="78">
        <f>IFERROR(OrdersTable[[#This Row],[Profit]]/OrdersTable[[#This Row],[Net Revenue]],0)</f>
        <v>0.45247734721418936</v>
      </c>
      <c r="AA4456" t="s">
        <v>18</v>
      </c>
      <c r="AB4456" s="79">
        <v>45981</v>
      </c>
      <c r="AC4456">
        <f>OrdersTable[[#This Row],[Delivery Date]]-OrdersTable[[#This Row],[Order Date]]</f>
        <v>5</v>
      </c>
      <c r="AD4456" t="str">
        <f>IF(OrdersTable[[#This Row],[Delivery Days]]&lt;=2, "Express (≤2d)", IF(OrdersTable[[#This Row],[Delivery Days]]&lt;=4, "Standard (3-4d)", "Delayed (5d+)"))</f>
        <v>Delayed (5d+)</v>
      </c>
      <c r="AE4456">
        <v>4</v>
      </c>
      <c r="AF4456">
        <v>0</v>
      </c>
    </row>
    <row r="4457" spans="1:32" ht="15" x14ac:dyDescent="0.35">
      <c r="A4457" t="s">
        <v>4442</v>
      </c>
      <c r="B4457" s="1">
        <v>45976</v>
      </c>
      <c r="C4457">
        <f>YEAR(OrdersTable[[#This Row],[Order Date]])</f>
        <v>2025</v>
      </c>
      <c r="D4457" s="2">
        <f>DATE(YEAR(OrdersTable[[#This Row],[Order Date]]),MONTH(OrdersTable[[#This Row],[Order Date]]),1)</f>
        <v>45962</v>
      </c>
      <c r="E4457">
        <f>MONTH(OrdersTable[[#This Row],[Order Date]])</f>
        <v>11</v>
      </c>
      <c r="F4457" t="s">
        <v>4443</v>
      </c>
      <c r="G4457" t="str">
        <f>IF(OrdersTable[[#This Row],[Order Date]]=_xlfn.MINIFS(Order_Date, Customer_ID, OrdersTable[[#This Row],[Customer ID]]), "New", "Repeat")</f>
        <v>New</v>
      </c>
      <c r="H4457" t="s">
        <v>128</v>
      </c>
      <c r="I4457" t="str">
        <f>INDEX(State!B:B,MATCH(OrdersTable[[#This Row],[State]],State!A:A,0))</f>
        <v>DL</v>
      </c>
      <c r="J4457" t="str">
        <f>INDEX(State!C:C,MATCH(OrdersTable[[#This Row],[State Code]],State!B:B,0))</f>
        <v>North</v>
      </c>
      <c r="K4457" t="s">
        <v>129</v>
      </c>
      <c r="L4457" t="s">
        <v>65</v>
      </c>
      <c r="M4457" t="s">
        <v>255</v>
      </c>
      <c r="N4457" t="str">
        <f>INDEX(Products!B:B,MATCH(OrdersTable[[#This Row],[Product ID]],Products!A:A,0))</f>
        <v>Cotton Oversized T-Shirt</v>
      </c>
      <c r="O4457" t="str">
        <f>INDEX(Products!C:C,MATCH(OrdersTable[[#This Row],[Product ID]],Products!A:A,0))</f>
        <v>Apparel</v>
      </c>
      <c r="P4457">
        <v>1</v>
      </c>
      <c r="Q4457" s="5">
        <v>799</v>
      </c>
      <c r="R4457" s="74">
        <v>0.25</v>
      </c>
      <c r="S4457" s="75">
        <f>OrdersTable[[#This Row],[Quantity]]*OrdersTable[[#This Row],[Unit Price]]</f>
        <v>799</v>
      </c>
      <c r="T4457" s="5">
        <f>OrdersTable[[#This Row],[Gross Sale]]*OrdersTable[[#This Row],[Discount_Clean2]]</f>
        <v>199.75</v>
      </c>
      <c r="U4457" s="5">
        <f>OrdersTable[[#This Row],[Gross Sale]]-OrdersTable[[#This Row],[Discount Amount]]</f>
        <v>599.25</v>
      </c>
      <c r="V4457" s="77">
        <f>INDEX(Products!E:E,MATCH(OrdersTable[[#This Row],[Product ID]],Products!A:A,0))</f>
        <v>320</v>
      </c>
      <c r="W4457" s="77">
        <f>OrdersTable[[#This Row],[Quantity]]*OrdersTable[[#This Row],[Unit Cost]]</f>
        <v>320</v>
      </c>
      <c r="X4457" s="77">
        <f>'Dropdown Lists'!$I$2*(1+OrdersTable[[#This Row],[Returned]])</f>
        <v>120</v>
      </c>
      <c r="Y4457" s="76">
        <f>OrdersTable[[#This Row],[Net Revenue]]-OrdersTable[[#This Row],[COGS]]-OrdersTable[[#This Row],[Shipping Cost]]</f>
        <v>159.25</v>
      </c>
      <c r="Z4457" s="78">
        <f>IFERROR(OrdersTable[[#This Row],[Profit]]/OrdersTable[[#This Row],[Net Revenue]],0)</f>
        <v>0.26574885273258242</v>
      </c>
      <c r="AA4457" t="s">
        <v>4074</v>
      </c>
      <c r="AB4457" s="79">
        <v>45977</v>
      </c>
      <c r="AC4457">
        <f>OrdersTable[[#This Row],[Delivery Date]]-OrdersTable[[#This Row],[Order Date]]</f>
        <v>1</v>
      </c>
      <c r="AD4457" t="str">
        <f>IF(OrdersTable[[#This Row],[Delivery Days]]&lt;=2, "Express (≤2d)", IF(OrdersTable[[#This Row],[Delivery Days]]&lt;=4, "Standard (3-4d)", "Delayed (5d+)"))</f>
        <v>Express (≤2d)</v>
      </c>
      <c r="AE4457">
        <v>4</v>
      </c>
      <c r="AF4457">
        <v>1</v>
      </c>
    </row>
    <row r="4458" spans="1:32" ht="15" x14ac:dyDescent="0.35">
      <c r="A4458" t="s">
        <v>4304</v>
      </c>
      <c r="B4458" s="1">
        <v>45976</v>
      </c>
      <c r="C4458">
        <f>YEAR(OrdersTable[[#This Row],[Order Date]])</f>
        <v>2025</v>
      </c>
      <c r="D4458" s="2">
        <f>DATE(YEAR(OrdersTable[[#This Row],[Order Date]]),MONTH(OrdersTable[[#This Row],[Order Date]]),1)</f>
        <v>45962</v>
      </c>
      <c r="E4458">
        <f>MONTH(OrdersTable[[#This Row],[Order Date]])</f>
        <v>11</v>
      </c>
      <c r="F4458" t="s">
        <v>3660</v>
      </c>
      <c r="G4458" t="str">
        <f>IF(OrdersTable[[#This Row],[Order Date]]=_xlfn.MINIFS(Order_Date, Customer_ID, OrdersTable[[#This Row],[Customer ID]]), "New", "Repeat")</f>
        <v>Repeat</v>
      </c>
      <c r="H4458" t="s">
        <v>37</v>
      </c>
      <c r="I4458" t="str">
        <f>INDEX(State!B:B,MATCH(OrdersTable[[#This Row],[State]],State!A:A,0))</f>
        <v>GJ</v>
      </c>
      <c r="J4458" t="str">
        <f>INDEX(State!C:C,MATCH(OrdersTable[[#This Row],[State Code]],State!B:B,0))</f>
        <v>West</v>
      </c>
      <c r="K4458" t="s">
        <v>247</v>
      </c>
      <c r="L4458" t="s">
        <v>50</v>
      </c>
      <c r="M4458" t="s">
        <v>152</v>
      </c>
      <c r="N4458" t="str">
        <f>INDEX(Products!B:B,MATCH(OrdersTable[[#This Row],[Product ID]],Products!A:A,0))</f>
        <v>Green Tea (100 bags)</v>
      </c>
      <c r="O4458" t="str">
        <f>INDEX(Products!C:C,MATCH(OrdersTable[[#This Row],[Product ID]],Products!A:A,0))</f>
        <v>Wellness</v>
      </c>
      <c r="P4458">
        <v>1</v>
      </c>
      <c r="Q4458" s="5">
        <v>399</v>
      </c>
      <c r="R4458" s="74">
        <v>0.55000000000000004</v>
      </c>
      <c r="S4458" s="75">
        <f>OrdersTable[[#This Row],[Quantity]]*OrdersTable[[#This Row],[Unit Price]]</f>
        <v>399</v>
      </c>
      <c r="T4458" s="5">
        <f>OrdersTable[[#This Row],[Gross Sale]]*OrdersTable[[#This Row],[Discount_Clean2]]</f>
        <v>219.45000000000002</v>
      </c>
      <c r="U4458" s="5">
        <f>OrdersTable[[#This Row],[Gross Sale]]-OrdersTable[[#This Row],[Discount Amount]]</f>
        <v>179.54999999999998</v>
      </c>
      <c r="V4458" s="77">
        <f>INDEX(Products!E:E,MATCH(OrdersTable[[#This Row],[Product ID]],Products!A:A,0))</f>
        <v>128</v>
      </c>
      <c r="W4458" s="77">
        <f>OrdersTable[[#This Row],[Quantity]]*OrdersTable[[#This Row],[Unit Cost]]</f>
        <v>128</v>
      </c>
      <c r="X4458" s="77">
        <f>'Dropdown Lists'!$I$2*(1+OrdersTable[[#This Row],[Returned]])</f>
        <v>60</v>
      </c>
      <c r="Y4458" s="76">
        <f>OrdersTable[[#This Row],[Net Revenue]]-OrdersTable[[#This Row],[COGS]]-OrdersTable[[#This Row],[Shipping Cost]]</f>
        <v>-8.4500000000000171</v>
      </c>
      <c r="Z4458" s="78">
        <f>IFERROR(OrdersTable[[#This Row],[Profit]]/OrdersTable[[#This Row],[Net Revenue]],0)</f>
        <v>-4.7062099693678743E-2</v>
      </c>
      <c r="AA4458" t="s">
        <v>4074</v>
      </c>
      <c r="AB4458" s="79">
        <v>45980</v>
      </c>
      <c r="AC4458">
        <f>OrdersTable[[#This Row],[Delivery Date]]-OrdersTable[[#This Row],[Order Date]]</f>
        <v>4</v>
      </c>
      <c r="AD4458" t="str">
        <f>IF(OrdersTable[[#This Row],[Delivery Days]]&lt;=2, "Express (≤2d)", IF(OrdersTable[[#This Row],[Delivery Days]]&lt;=4, "Standard (3-4d)", "Delayed (5d+)"))</f>
        <v>Standard (3-4d)</v>
      </c>
      <c r="AF4458">
        <v>0</v>
      </c>
    </row>
    <row r="4459" spans="1:32" ht="15" x14ac:dyDescent="0.35">
      <c r="A4459" t="s">
        <v>6436</v>
      </c>
      <c r="B4459" s="1">
        <v>45976</v>
      </c>
      <c r="C4459">
        <f>YEAR(OrdersTable[[#This Row],[Order Date]])</f>
        <v>2025</v>
      </c>
      <c r="D4459" s="2">
        <f>DATE(YEAR(OrdersTable[[#This Row],[Order Date]]),MONTH(OrdersTable[[#This Row],[Order Date]]),1)</f>
        <v>45962</v>
      </c>
      <c r="E4459">
        <f>MONTH(OrdersTable[[#This Row],[Order Date]])</f>
        <v>11</v>
      </c>
      <c r="F4459" t="s">
        <v>1915</v>
      </c>
      <c r="G4459" t="str">
        <f>IF(OrdersTable[[#This Row],[Order Date]]=_xlfn.MINIFS(Order_Date, Customer_ID, OrdersTable[[#This Row],[Customer ID]]), "New", "Repeat")</f>
        <v>Repeat</v>
      </c>
      <c r="H4459" t="s">
        <v>27</v>
      </c>
      <c r="I4459" t="str">
        <f>INDEX(State!B:B,MATCH(OrdersTable[[#This Row],[State]],State!A:A,0))</f>
        <v>WB</v>
      </c>
      <c r="J4459" t="str">
        <f>INDEX(State!C:C,MATCH(OrdersTable[[#This Row],[State Code]],State!B:B,0))</f>
        <v>East</v>
      </c>
      <c r="K4459" t="s">
        <v>28</v>
      </c>
      <c r="L4459" t="s">
        <v>50</v>
      </c>
      <c r="M4459" t="s">
        <v>152</v>
      </c>
      <c r="N4459" t="str">
        <f>INDEX(Products!B:B,MATCH(OrdersTable[[#This Row],[Product ID]],Products!A:A,0))</f>
        <v>Green Tea (100 bags)</v>
      </c>
      <c r="O4459" t="str">
        <f>INDEX(Products!C:C,MATCH(OrdersTable[[#This Row],[Product ID]],Products!A:A,0))</f>
        <v>Wellness</v>
      </c>
      <c r="P4459">
        <v>2</v>
      </c>
      <c r="Q4459" s="5">
        <v>399</v>
      </c>
      <c r="R4459" s="74">
        <v>0.6</v>
      </c>
      <c r="S4459" s="75">
        <f>OrdersTable[[#This Row],[Quantity]]*OrdersTable[[#This Row],[Unit Price]]</f>
        <v>798</v>
      </c>
      <c r="T4459" s="5">
        <f>OrdersTable[[#This Row],[Gross Sale]]*OrdersTable[[#This Row],[Discount_Clean2]]</f>
        <v>478.79999999999995</v>
      </c>
      <c r="U4459" s="5">
        <f>OrdersTable[[#This Row],[Gross Sale]]-OrdersTable[[#This Row],[Discount Amount]]</f>
        <v>319.20000000000005</v>
      </c>
      <c r="V4459" s="77">
        <f>INDEX(Products!E:E,MATCH(OrdersTable[[#This Row],[Product ID]],Products!A:A,0))</f>
        <v>128</v>
      </c>
      <c r="W4459" s="77">
        <f>OrdersTable[[#This Row],[Quantity]]*OrdersTable[[#This Row],[Unit Cost]]</f>
        <v>256</v>
      </c>
      <c r="X4459" s="77">
        <f>'Dropdown Lists'!$I$2*(1+OrdersTable[[#This Row],[Returned]])</f>
        <v>60</v>
      </c>
      <c r="Y4459" s="76">
        <f>OrdersTable[[#This Row],[Net Revenue]]-OrdersTable[[#This Row],[COGS]]-OrdersTable[[#This Row],[Shipping Cost]]</f>
        <v>3.2000000000000455</v>
      </c>
      <c r="Z4459" s="78">
        <f>IFERROR(OrdersTable[[#This Row],[Profit]]/OrdersTable[[#This Row],[Net Revenue]],0)</f>
        <v>1.0025062656641746E-2</v>
      </c>
      <c r="AA4459" t="s">
        <v>18</v>
      </c>
      <c r="AB4459" s="79">
        <v>45980</v>
      </c>
      <c r="AC4459">
        <f>OrdersTable[[#This Row],[Delivery Date]]-OrdersTable[[#This Row],[Order Date]]</f>
        <v>4</v>
      </c>
      <c r="AD4459" t="str">
        <f>IF(OrdersTable[[#This Row],[Delivery Days]]&lt;=2, "Express (≤2d)", IF(OrdersTable[[#This Row],[Delivery Days]]&lt;=4, "Standard (3-4d)", "Delayed (5d+)"))</f>
        <v>Standard (3-4d)</v>
      </c>
      <c r="AF4459">
        <v>0</v>
      </c>
    </row>
    <row r="4460" spans="1:32" ht="15" x14ac:dyDescent="0.35">
      <c r="A4460" t="s">
        <v>5265</v>
      </c>
      <c r="B4460" s="1">
        <v>45976</v>
      </c>
      <c r="C4460">
        <f>YEAR(OrdersTable[[#This Row],[Order Date]])</f>
        <v>2025</v>
      </c>
      <c r="D4460" s="2">
        <f>DATE(YEAR(OrdersTable[[#This Row],[Order Date]]),MONTH(OrdersTable[[#This Row],[Order Date]]),1)</f>
        <v>45962</v>
      </c>
      <c r="E4460">
        <f>MONTH(OrdersTable[[#This Row],[Order Date]])</f>
        <v>11</v>
      </c>
      <c r="F4460" t="s">
        <v>4022</v>
      </c>
      <c r="G4460" t="str">
        <f>IF(OrdersTable[[#This Row],[Order Date]]=_xlfn.MINIFS(Order_Date, Customer_ID, OrdersTable[[#This Row],[Customer ID]]), "New", "Repeat")</f>
        <v>Repeat</v>
      </c>
      <c r="H4460" t="s">
        <v>14</v>
      </c>
      <c r="I4460" t="str">
        <f>INDEX(State!B:B,MATCH(OrdersTable[[#This Row],[State]],State!A:A,0))</f>
        <v>OD</v>
      </c>
      <c r="J4460" t="str">
        <f>INDEX(State!C:C,MATCH(OrdersTable[[#This Row],[State Code]],State!B:B,0))</f>
        <v>East</v>
      </c>
      <c r="K4460" t="s">
        <v>15</v>
      </c>
      <c r="L4460" t="s">
        <v>23</v>
      </c>
      <c r="M4460" t="s">
        <v>51</v>
      </c>
      <c r="N4460" t="str">
        <f>INDEX(Products!B:B,MATCH(OrdersTable[[#This Row],[Product ID]],Products!A:A,0))</f>
        <v>Anti-Dandruff Conditioner</v>
      </c>
      <c r="O4460" t="str">
        <f>INDEX(Products!C:C,MATCH(OrdersTable[[#This Row],[Product ID]],Products!A:A,0))</f>
        <v>Haircare</v>
      </c>
      <c r="P4460">
        <v>2</v>
      </c>
      <c r="Q4460" s="5">
        <v>399</v>
      </c>
      <c r="R4460" s="74">
        <v>0.55000000000000004</v>
      </c>
      <c r="S4460" s="75">
        <f>OrdersTable[[#This Row],[Quantity]]*OrdersTable[[#This Row],[Unit Price]]</f>
        <v>798</v>
      </c>
      <c r="T4460" s="5">
        <f>OrdersTable[[#This Row],[Gross Sale]]*OrdersTable[[#This Row],[Discount_Clean2]]</f>
        <v>438.90000000000003</v>
      </c>
      <c r="U4460" s="5">
        <f>OrdersTable[[#This Row],[Gross Sale]]-OrdersTable[[#This Row],[Discount Amount]]</f>
        <v>359.09999999999997</v>
      </c>
      <c r="V4460" s="77">
        <f>INDEX(Products!E:E,MATCH(OrdersTable[[#This Row],[Product ID]],Products!A:A,0))</f>
        <v>136</v>
      </c>
      <c r="W4460" s="77">
        <f>OrdersTable[[#This Row],[Quantity]]*OrdersTable[[#This Row],[Unit Cost]]</f>
        <v>272</v>
      </c>
      <c r="X4460" s="77">
        <f>'Dropdown Lists'!$I$2*(1+OrdersTable[[#This Row],[Returned]])</f>
        <v>60</v>
      </c>
      <c r="Y4460" s="76">
        <f>OrdersTable[[#This Row],[Net Revenue]]-OrdersTable[[#This Row],[COGS]]-OrdersTable[[#This Row],[Shipping Cost]]</f>
        <v>27.099999999999966</v>
      </c>
      <c r="Z4460" s="78">
        <f>IFERROR(OrdersTable[[#This Row],[Profit]]/OrdersTable[[#This Row],[Net Revenue]],0)</f>
        <v>7.5466443887496432E-2</v>
      </c>
      <c r="AA4460" t="s">
        <v>3495</v>
      </c>
      <c r="AB4460" s="79">
        <v>45982</v>
      </c>
      <c r="AC4460">
        <f>OrdersTable[[#This Row],[Delivery Date]]-OrdersTable[[#This Row],[Order Date]]</f>
        <v>6</v>
      </c>
      <c r="AD4460" t="str">
        <f>IF(OrdersTable[[#This Row],[Delivery Days]]&lt;=2, "Express (≤2d)", IF(OrdersTable[[#This Row],[Delivery Days]]&lt;=4, "Standard (3-4d)", "Delayed (5d+)"))</f>
        <v>Delayed (5d+)</v>
      </c>
      <c r="AE4460">
        <v>3</v>
      </c>
      <c r="AF4460">
        <v>0</v>
      </c>
    </row>
    <row r="4461" spans="1:32" ht="15" x14ac:dyDescent="0.35">
      <c r="A4461" t="s">
        <v>4196</v>
      </c>
      <c r="B4461" s="1">
        <v>45976</v>
      </c>
      <c r="C4461">
        <f>YEAR(OrdersTable[[#This Row],[Order Date]])</f>
        <v>2025</v>
      </c>
      <c r="D4461" s="2">
        <f>DATE(YEAR(OrdersTable[[#This Row],[Order Date]]),MONTH(OrdersTable[[#This Row],[Order Date]]),1)</f>
        <v>45962</v>
      </c>
      <c r="E4461">
        <f>MONTH(OrdersTable[[#This Row],[Order Date]])</f>
        <v>11</v>
      </c>
      <c r="F4461" t="s">
        <v>4197</v>
      </c>
      <c r="G4461" t="str">
        <f>IF(OrdersTable[[#This Row],[Order Date]]=_xlfn.MINIFS(Order_Date, Customer_ID, OrdersTable[[#This Row],[Customer ID]]), "New", "Repeat")</f>
        <v>Repeat</v>
      </c>
      <c r="H4461" t="s">
        <v>167</v>
      </c>
      <c r="I4461" t="str">
        <f>INDEX(State!B:B,MATCH(OrdersTable[[#This Row],[State]],State!A:A,0))</f>
        <v>KA</v>
      </c>
      <c r="J4461" t="str">
        <f>INDEX(State!C:C,MATCH(OrdersTable[[#This Row],[State Code]],State!B:B,0))</f>
        <v>South</v>
      </c>
      <c r="K4461" t="s">
        <v>190</v>
      </c>
      <c r="L4461" t="s">
        <v>65</v>
      </c>
      <c r="M4461" t="s">
        <v>45</v>
      </c>
      <c r="N4461" t="str">
        <f>INDEX(Products!B:B,MATCH(OrdersTable[[#This Row],[Product ID]],Products!A:A,0))</f>
        <v>Argan Shampoo</v>
      </c>
      <c r="O4461" t="str">
        <f>INDEX(Products!C:C,MATCH(OrdersTable[[#This Row],[Product ID]],Products!A:A,0))</f>
        <v>Haircare</v>
      </c>
      <c r="P4461">
        <v>1</v>
      </c>
      <c r="Q4461" s="5">
        <v>449</v>
      </c>
      <c r="R4461" s="74">
        <v>0.1</v>
      </c>
      <c r="S4461" s="75">
        <f>OrdersTable[[#This Row],[Quantity]]*OrdersTable[[#This Row],[Unit Price]]</f>
        <v>449</v>
      </c>
      <c r="T4461" s="5">
        <f>OrdersTable[[#This Row],[Gross Sale]]*OrdersTable[[#This Row],[Discount_Clean2]]</f>
        <v>44.900000000000006</v>
      </c>
      <c r="U4461" s="5">
        <f>OrdersTable[[#This Row],[Gross Sale]]-OrdersTable[[#This Row],[Discount Amount]]</f>
        <v>404.1</v>
      </c>
      <c r="V4461" s="77">
        <f>INDEX(Products!E:E,MATCH(OrdersTable[[#This Row],[Product ID]],Products!A:A,0))</f>
        <v>148</v>
      </c>
      <c r="W4461" s="77">
        <f>OrdersTable[[#This Row],[Quantity]]*OrdersTable[[#This Row],[Unit Cost]]</f>
        <v>148</v>
      </c>
      <c r="X4461" s="77">
        <f>'Dropdown Lists'!$I$2*(1+OrdersTable[[#This Row],[Returned]])</f>
        <v>60</v>
      </c>
      <c r="Y4461" s="76">
        <f>OrdersTable[[#This Row],[Net Revenue]]-OrdersTable[[#This Row],[COGS]]-OrdersTable[[#This Row],[Shipping Cost]]</f>
        <v>196.10000000000002</v>
      </c>
      <c r="Z4461" s="78">
        <f>IFERROR(OrdersTable[[#This Row],[Profit]]/OrdersTable[[#This Row],[Net Revenue]],0)</f>
        <v>0.48527592180153428</v>
      </c>
      <c r="AA4461" t="s">
        <v>4074</v>
      </c>
      <c r="AB4461" s="79">
        <v>45980</v>
      </c>
      <c r="AC4461">
        <f>OrdersTable[[#This Row],[Delivery Date]]-OrdersTable[[#This Row],[Order Date]]</f>
        <v>4</v>
      </c>
      <c r="AD4461" t="str">
        <f>IF(OrdersTable[[#This Row],[Delivery Days]]&lt;=2, "Express (≤2d)", IF(OrdersTable[[#This Row],[Delivery Days]]&lt;=4, "Standard (3-4d)", "Delayed (5d+)"))</f>
        <v>Standard (3-4d)</v>
      </c>
      <c r="AE4461">
        <v>2</v>
      </c>
      <c r="AF4461">
        <v>0</v>
      </c>
    </row>
    <row r="4462" spans="1:32" ht="15" x14ac:dyDescent="0.35">
      <c r="A4462" t="s">
        <v>6827</v>
      </c>
      <c r="B4462" s="1">
        <v>45976</v>
      </c>
      <c r="C4462">
        <f>YEAR(OrdersTable[[#This Row],[Order Date]])</f>
        <v>2025</v>
      </c>
      <c r="D4462" s="2">
        <f>DATE(YEAR(OrdersTable[[#This Row],[Order Date]]),MONTH(OrdersTable[[#This Row],[Order Date]]),1)</f>
        <v>45962</v>
      </c>
      <c r="E4462">
        <f>MONTH(OrdersTable[[#This Row],[Order Date]])</f>
        <v>11</v>
      </c>
      <c r="F4462" t="s">
        <v>2168</v>
      </c>
      <c r="G4462" t="str">
        <f>IF(OrdersTable[[#This Row],[Order Date]]=_xlfn.MINIFS(Order_Date, Customer_ID, OrdersTable[[#This Row],[Customer ID]]), "New", "Repeat")</f>
        <v>Repeat</v>
      </c>
      <c r="H4462" t="s">
        <v>275</v>
      </c>
      <c r="I4462" t="str">
        <f>INDEX(State!B:B,MATCH(OrdersTable[[#This Row],[State]],State!A:A,0))</f>
        <v>AP</v>
      </c>
      <c r="J4462" t="str">
        <f>INDEX(State!C:C,MATCH(OrdersTable[[#This Row],[State Code]],State!B:B,0))</f>
        <v>South</v>
      </c>
      <c r="K4462" t="s">
        <v>276</v>
      </c>
      <c r="L4462" t="s">
        <v>16</v>
      </c>
      <c r="M4462" t="s">
        <v>17</v>
      </c>
      <c r="N4462" t="str">
        <f>INDEX(Products!B:B,MATCH(OrdersTable[[#This Row],[Product ID]],Products!A:A,0))</f>
        <v>Casual Sneakers</v>
      </c>
      <c r="O4462" t="str">
        <f>INDEX(Products!C:C,MATCH(OrdersTable[[#This Row],[Product ID]],Products!A:A,0))</f>
        <v>Footwear</v>
      </c>
      <c r="P4462">
        <v>3</v>
      </c>
      <c r="Q4462" s="5">
        <v>2199</v>
      </c>
      <c r="R4462" s="74">
        <v>0.3</v>
      </c>
      <c r="S4462" s="75">
        <f>OrdersTable[[#This Row],[Quantity]]*OrdersTable[[#This Row],[Unit Price]]</f>
        <v>6597</v>
      </c>
      <c r="T4462" s="5">
        <f>OrdersTable[[#This Row],[Gross Sale]]*OrdersTable[[#This Row],[Discount_Clean2]]</f>
        <v>1979.1</v>
      </c>
      <c r="U4462" s="5">
        <f>OrdersTable[[#This Row],[Gross Sale]]-OrdersTable[[#This Row],[Discount Amount]]</f>
        <v>4617.8999999999996</v>
      </c>
      <c r="V4462" s="77">
        <f>INDEX(Products!E:E,MATCH(OrdersTable[[#This Row],[Product ID]],Products!A:A,0))</f>
        <v>1034</v>
      </c>
      <c r="W4462" s="77">
        <f>OrdersTable[[#This Row],[Quantity]]*OrdersTable[[#This Row],[Unit Cost]]</f>
        <v>3102</v>
      </c>
      <c r="X4462" s="77">
        <f>'Dropdown Lists'!$I$2*(1+OrdersTable[[#This Row],[Returned]])</f>
        <v>60</v>
      </c>
      <c r="Y4462" s="76">
        <f>OrdersTable[[#This Row],[Net Revenue]]-OrdersTable[[#This Row],[COGS]]-OrdersTable[[#This Row],[Shipping Cost]]</f>
        <v>1455.8999999999996</v>
      </c>
      <c r="Z4462" s="78">
        <f>IFERROR(OrdersTable[[#This Row],[Profit]]/OrdersTable[[#This Row],[Net Revenue]],0)</f>
        <v>0.31527317611901506</v>
      </c>
      <c r="AA4462" t="s">
        <v>3495</v>
      </c>
      <c r="AB4462" s="79">
        <v>45978</v>
      </c>
      <c r="AC4462">
        <f>OrdersTable[[#This Row],[Delivery Date]]-OrdersTable[[#This Row],[Order Date]]</f>
        <v>2</v>
      </c>
      <c r="AD4462" t="str">
        <f>IF(OrdersTable[[#This Row],[Delivery Days]]&lt;=2, "Express (≤2d)", IF(OrdersTable[[#This Row],[Delivery Days]]&lt;=4, "Standard (3-4d)", "Delayed (5d+)"))</f>
        <v>Express (≤2d)</v>
      </c>
      <c r="AF4462">
        <v>0</v>
      </c>
    </row>
    <row r="4463" spans="1:32" ht="15" x14ac:dyDescent="0.35">
      <c r="A4463" t="s">
        <v>1311</v>
      </c>
      <c r="B4463" s="1">
        <v>45976</v>
      </c>
      <c r="C4463">
        <f>YEAR(OrdersTable[[#This Row],[Order Date]])</f>
        <v>2025</v>
      </c>
      <c r="D4463" s="2">
        <f>DATE(YEAR(OrdersTable[[#This Row],[Order Date]]),MONTH(OrdersTable[[#This Row],[Order Date]]),1)</f>
        <v>45962</v>
      </c>
      <c r="E4463">
        <f>MONTH(OrdersTable[[#This Row],[Order Date]])</f>
        <v>11</v>
      </c>
      <c r="F4463" t="s">
        <v>739</v>
      </c>
      <c r="G4463" t="str">
        <f>IF(OrdersTable[[#This Row],[Order Date]]=_xlfn.MINIFS(Order_Date, Customer_ID, OrdersTable[[#This Row],[Customer ID]]), "New", "Repeat")</f>
        <v>Repeat</v>
      </c>
      <c r="H4463" t="s">
        <v>59</v>
      </c>
      <c r="I4463" t="str">
        <f>INDEX(State!B:B,MATCH(OrdersTable[[#This Row],[State]],State!A:A,0))</f>
        <v>TN</v>
      </c>
      <c r="J4463" t="str">
        <f>INDEX(State!C:C,MATCH(OrdersTable[[#This Row],[State Code]],State!B:B,0))</f>
        <v>South</v>
      </c>
      <c r="K4463" t="s">
        <v>64</v>
      </c>
      <c r="L4463" t="s">
        <v>16</v>
      </c>
      <c r="M4463" t="s">
        <v>92</v>
      </c>
      <c r="N4463" t="str">
        <f>INDEX(Products!B:B,MATCH(OrdersTable[[#This Row],[Product ID]],Products!A:A,0))</f>
        <v>Kolhapuri Sandals</v>
      </c>
      <c r="O4463" t="str">
        <f>INDEX(Products!C:C,MATCH(OrdersTable[[#This Row],[Product ID]],Products!A:A,0))</f>
        <v>Footwear</v>
      </c>
      <c r="P4463">
        <v>1</v>
      </c>
      <c r="Q4463" s="5">
        <v>999</v>
      </c>
      <c r="R4463" s="74">
        <v>0.3</v>
      </c>
      <c r="S4463" s="75">
        <f>OrdersTable[[#This Row],[Quantity]]*OrdersTable[[#This Row],[Unit Price]]</f>
        <v>999</v>
      </c>
      <c r="T4463" s="5">
        <f>OrdersTable[[#This Row],[Gross Sale]]*OrdersTable[[#This Row],[Discount_Clean2]]</f>
        <v>299.7</v>
      </c>
      <c r="U4463" s="5">
        <f>OrdersTable[[#This Row],[Gross Sale]]-OrdersTable[[#This Row],[Discount Amount]]</f>
        <v>699.3</v>
      </c>
      <c r="V4463" s="77">
        <f>INDEX(Products!E:E,MATCH(OrdersTable[[#This Row],[Product ID]],Products!A:A,0))</f>
        <v>400</v>
      </c>
      <c r="W4463" s="77">
        <f>OrdersTable[[#This Row],[Quantity]]*OrdersTable[[#This Row],[Unit Cost]]</f>
        <v>400</v>
      </c>
      <c r="X4463" s="77">
        <f>'Dropdown Lists'!$I$2*(1+OrdersTable[[#This Row],[Returned]])</f>
        <v>60</v>
      </c>
      <c r="Y4463" s="76">
        <f>OrdersTable[[#This Row],[Net Revenue]]-OrdersTable[[#This Row],[COGS]]-OrdersTable[[#This Row],[Shipping Cost]]</f>
        <v>239.29999999999995</v>
      </c>
      <c r="Z4463" s="78">
        <f>IFERROR(OrdersTable[[#This Row],[Profit]]/OrdersTable[[#This Row],[Net Revenue]],0)</f>
        <v>0.34219934219934217</v>
      </c>
      <c r="AA4463" t="s">
        <v>18</v>
      </c>
      <c r="AB4463" s="79">
        <v>45980</v>
      </c>
      <c r="AC4463">
        <f>OrdersTable[[#This Row],[Delivery Date]]-OrdersTable[[#This Row],[Order Date]]</f>
        <v>4</v>
      </c>
      <c r="AD4463" t="str">
        <f>IF(OrdersTable[[#This Row],[Delivery Days]]&lt;=2, "Express (≤2d)", IF(OrdersTable[[#This Row],[Delivery Days]]&lt;=4, "Standard (3-4d)", "Delayed (5d+)"))</f>
        <v>Standard (3-4d)</v>
      </c>
      <c r="AF4463">
        <v>0</v>
      </c>
    </row>
    <row r="4464" spans="1:32" ht="15" x14ac:dyDescent="0.35">
      <c r="A4464" t="s">
        <v>5266</v>
      </c>
      <c r="B4464" s="1">
        <v>45976</v>
      </c>
      <c r="C4464">
        <f>YEAR(OrdersTable[[#This Row],[Order Date]])</f>
        <v>2025</v>
      </c>
      <c r="D4464" s="2">
        <f>DATE(YEAR(OrdersTable[[#This Row],[Order Date]]),MONTH(OrdersTable[[#This Row],[Order Date]]),1)</f>
        <v>45962</v>
      </c>
      <c r="E4464">
        <f>MONTH(OrdersTable[[#This Row],[Order Date]])</f>
        <v>11</v>
      </c>
      <c r="F4464" t="s">
        <v>1129</v>
      </c>
      <c r="G4464" t="str">
        <f>IF(OrdersTable[[#This Row],[Order Date]]=_xlfn.MINIFS(Order_Date, Customer_ID, OrdersTable[[#This Row],[Customer ID]]), "New", "Repeat")</f>
        <v>Repeat</v>
      </c>
      <c r="H4464" t="s">
        <v>59</v>
      </c>
      <c r="I4464" t="str">
        <f>INDEX(State!B:B,MATCH(OrdersTable[[#This Row],[State]],State!A:A,0))</f>
        <v>TN</v>
      </c>
      <c r="J4464" t="str">
        <f>INDEX(State!C:C,MATCH(OrdersTable[[#This Row],[State Code]],State!B:B,0))</f>
        <v>South</v>
      </c>
      <c r="K4464" t="s">
        <v>60</v>
      </c>
      <c r="L4464" t="s">
        <v>23</v>
      </c>
      <c r="M4464" t="s">
        <v>61</v>
      </c>
      <c r="N4464" t="str">
        <f>INDEX(Products!B:B,MATCH(OrdersTable[[#This Row],[Product ID]],Products!A:A,0))</f>
        <v>Multivitamin Gummies</v>
      </c>
      <c r="O4464" t="str">
        <f>INDEX(Products!C:C,MATCH(OrdersTable[[#This Row],[Product ID]],Products!A:A,0))</f>
        <v>Wellness</v>
      </c>
      <c r="P4464">
        <v>2</v>
      </c>
      <c r="Q4464" s="5">
        <v>699</v>
      </c>
      <c r="R4464" s="74">
        <v>0.4</v>
      </c>
      <c r="S4464" s="75">
        <f>OrdersTable[[#This Row],[Quantity]]*OrdersTable[[#This Row],[Unit Price]]</f>
        <v>1398</v>
      </c>
      <c r="T4464" s="5">
        <f>OrdersTable[[#This Row],[Gross Sale]]*OrdersTable[[#This Row],[Discount_Clean2]]</f>
        <v>559.20000000000005</v>
      </c>
      <c r="U4464" s="5">
        <f>OrdersTable[[#This Row],[Gross Sale]]-OrdersTable[[#This Row],[Discount Amount]]</f>
        <v>838.8</v>
      </c>
      <c r="V4464" s="77">
        <f>INDEX(Products!E:E,MATCH(OrdersTable[[#This Row],[Product ID]],Products!A:A,0))</f>
        <v>238</v>
      </c>
      <c r="W4464" s="77">
        <f>OrdersTable[[#This Row],[Quantity]]*OrdersTable[[#This Row],[Unit Cost]]</f>
        <v>476</v>
      </c>
      <c r="X4464" s="77">
        <f>'Dropdown Lists'!$I$2*(1+OrdersTable[[#This Row],[Returned]])</f>
        <v>60</v>
      </c>
      <c r="Y4464" s="76">
        <f>OrdersTable[[#This Row],[Net Revenue]]-OrdersTable[[#This Row],[COGS]]-OrdersTable[[#This Row],[Shipping Cost]]</f>
        <v>302.79999999999995</v>
      </c>
      <c r="Z4464" s="78">
        <f>IFERROR(OrdersTable[[#This Row],[Profit]]/OrdersTable[[#This Row],[Net Revenue]],0)</f>
        <v>0.36099189318073432</v>
      </c>
      <c r="AA4464" t="s">
        <v>3495</v>
      </c>
      <c r="AB4464" s="79">
        <v>45979</v>
      </c>
      <c r="AC4464">
        <f>OrdersTable[[#This Row],[Delivery Date]]-OrdersTable[[#This Row],[Order Date]]</f>
        <v>3</v>
      </c>
      <c r="AD4464" t="str">
        <f>IF(OrdersTable[[#This Row],[Delivery Days]]&lt;=2, "Express (≤2d)", IF(OrdersTable[[#This Row],[Delivery Days]]&lt;=4, "Standard (3-4d)", "Delayed (5d+)"))</f>
        <v>Standard (3-4d)</v>
      </c>
      <c r="AE4464">
        <v>3</v>
      </c>
      <c r="AF4464">
        <v>0</v>
      </c>
    </row>
    <row r="4465" spans="1:32" ht="15" x14ac:dyDescent="0.35">
      <c r="A4465" t="s">
        <v>5454</v>
      </c>
      <c r="B4465" s="1">
        <v>45976</v>
      </c>
      <c r="C4465">
        <f>YEAR(OrdersTable[[#This Row],[Order Date]])</f>
        <v>2025</v>
      </c>
      <c r="D4465" s="2">
        <f>DATE(YEAR(OrdersTable[[#This Row],[Order Date]]),MONTH(OrdersTable[[#This Row],[Order Date]]),1)</f>
        <v>45962</v>
      </c>
      <c r="E4465">
        <f>MONTH(OrdersTable[[#This Row],[Order Date]])</f>
        <v>11</v>
      </c>
      <c r="F4465" t="s">
        <v>2730</v>
      </c>
      <c r="G4465" t="str">
        <f>IF(OrdersTable[[#This Row],[Order Date]]=_xlfn.MINIFS(Order_Date, Customer_ID, OrdersTable[[#This Row],[Customer ID]]), "New", "Repeat")</f>
        <v>Repeat</v>
      </c>
      <c r="H4465" t="s">
        <v>59</v>
      </c>
      <c r="I4465" t="str">
        <f>INDEX(State!B:B,MATCH(OrdersTable[[#This Row],[State]],State!A:A,0))</f>
        <v>TN</v>
      </c>
      <c r="J4465" t="str">
        <f>INDEX(State!C:C,MATCH(OrdersTable[[#This Row],[State Code]],State!B:B,0))</f>
        <v>South</v>
      </c>
      <c r="K4465" t="s">
        <v>60</v>
      </c>
      <c r="L4465" t="s">
        <v>65</v>
      </c>
      <c r="M4465" t="s">
        <v>148</v>
      </c>
      <c r="N4465" t="str">
        <f>INDEX(Products!B:B,MATCH(OrdersTable[[#This Row],[Product ID]],Products!A:A,0))</f>
        <v>Smartwatch Strap</v>
      </c>
      <c r="O4465" t="str">
        <f>INDEX(Products!C:C,MATCH(OrdersTable[[#This Row],[Product ID]],Products!A:A,0))</f>
        <v>Electronics</v>
      </c>
      <c r="P4465">
        <v>2</v>
      </c>
      <c r="Q4465" s="5">
        <v>499</v>
      </c>
      <c r="R4465" s="74">
        <v>0.3</v>
      </c>
      <c r="S4465" s="75">
        <f>OrdersTable[[#This Row],[Quantity]]*OrdersTable[[#This Row],[Unit Price]]</f>
        <v>998</v>
      </c>
      <c r="T4465" s="5">
        <f>OrdersTable[[#This Row],[Gross Sale]]*OrdersTable[[#This Row],[Discount_Clean2]]</f>
        <v>299.39999999999998</v>
      </c>
      <c r="U4465" s="5">
        <f>OrdersTable[[#This Row],[Gross Sale]]-OrdersTable[[#This Row],[Discount Amount]]</f>
        <v>698.6</v>
      </c>
      <c r="V4465" s="77">
        <f>INDEX(Products!E:E,MATCH(OrdersTable[[#This Row],[Product ID]],Products!A:A,0))</f>
        <v>200</v>
      </c>
      <c r="W4465" s="77">
        <f>OrdersTable[[#This Row],[Quantity]]*OrdersTable[[#This Row],[Unit Cost]]</f>
        <v>400</v>
      </c>
      <c r="X4465" s="77">
        <f>'Dropdown Lists'!$I$2*(1+OrdersTable[[#This Row],[Returned]])</f>
        <v>60</v>
      </c>
      <c r="Y4465" s="76">
        <f>OrdersTable[[#This Row],[Net Revenue]]-OrdersTable[[#This Row],[COGS]]-OrdersTable[[#This Row],[Shipping Cost]]</f>
        <v>238.60000000000002</v>
      </c>
      <c r="Z4465" s="78">
        <f>IFERROR(OrdersTable[[#This Row],[Profit]]/OrdersTable[[#This Row],[Net Revenue]],0)</f>
        <v>0.34154022330375039</v>
      </c>
      <c r="AA4465" t="s">
        <v>2522</v>
      </c>
      <c r="AB4465" s="79">
        <v>45978</v>
      </c>
      <c r="AC4465">
        <f>OrdersTable[[#This Row],[Delivery Date]]-OrdersTable[[#This Row],[Order Date]]</f>
        <v>2</v>
      </c>
      <c r="AD4465" t="str">
        <f>IF(OrdersTable[[#This Row],[Delivery Days]]&lt;=2, "Express (≤2d)", IF(OrdersTable[[#This Row],[Delivery Days]]&lt;=4, "Standard (3-4d)", "Delayed (5d+)"))</f>
        <v>Express (≤2d)</v>
      </c>
      <c r="AE4465">
        <v>5</v>
      </c>
      <c r="AF4465">
        <v>0</v>
      </c>
    </row>
    <row r="4466" spans="1:32" ht="15" x14ac:dyDescent="0.35">
      <c r="A4466" t="s">
        <v>2185</v>
      </c>
      <c r="B4466" s="1">
        <v>45977</v>
      </c>
      <c r="C4466">
        <f>YEAR(OrdersTable[[#This Row],[Order Date]])</f>
        <v>2025</v>
      </c>
      <c r="D4466" s="2">
        <f>DATE(YEAR(OrdersTable[[#This Row],[Order Date]]),MONTH(OrdersTable[[#This Row],[Order Date]]),1)</f>
        <v>45962</v>
      </c>
      <c r="E4466">
        <f>MONTH(OrdersTable[[#This Row],[Order Date]])</f>
        <v>11</v>
      </c>
      <c r="F4466" t="s">
        <v>2186</v>
      </c>
      <c r="G4466" t="str">
        <f>IF(OrdersTable[[#This Row],[Order Date]]=_xlfn.MINIFS(Order_Date, Customer_ID, OrdersTable[[#This Row],[Customer ID]]), "New", "Repeat")</f>
        <v>New</v>
      </c>
      <c r="H4466" t="s">
        <v>210</v>
      </c>
      <c r="I4466" t="str">
        <f>INDEX(State!B:B,MATCH(OrdersTable[[#This Row],[State]],State!A:A,0))</f>
        <v>JK</v>
      </c>
      <c r="J4466" t="str">
        <f>INDEX(State!C:C,MATCH(OrdersTable[[#This Row],[State Code]],State!B:B,0))</f>
        <v>North</v>
      </c>
      <c r="K4466" t="s">
        <v>211</v>
      </c>
      <c r="L4466" t="s">
        <v>65</v>
      </c>
      <c r="M4466" t="s">
        <v>45</v>
      </c>
      <c r="N4466" t="str">
        <f>INDEX(Products!B:B,MATCH(OrdersTable[[#This Row],[Product ID]],Products!A:A,0))</f>
        <v>Argan Shampoo</v>
      </c>
      <c r="O4466" t="str">
        <f>INDEX(Products!C:C,MATCH(OrdersTable[[#This Row],[Product ID]],Products!A:A,0))</f>
        <v>Haircare</v>
      </c>
      <c r="P4466">
        <v>1</v>
      </c>
      <c r="Q4466" s="5">
        <v>449</v>
      </c>
      <c r="R4466" s="74">
        <v>0.2</v>
      </c>
      <c r="S4466" s="75">
        <f>OrdersTable[[#This Row],[Quantity]]*OrdersTable[[#This Row],[Unit Price]]</f>
        <v>449</v>
      </c>
      <c r="T4466" s="5">
        <f>OrdersTable[[#This Row],[Gross Sale]]*OrdersTable[[#This Row],[Discount_Clean2]]</f>
        <v>89.800000000000011</v>
      </c>
      <c r="U4466" s="5">
        <f>OrdersTable[[#This Row],[Gross Sale]]-OrdersTable[[#This Row],[Discount Amount]]</f>
        <v>359.2</v>
      </c>
      <c r="V4466" s="77">
        <f>INDEX(Products!E:E,MATCH(OrdersTable[[#This Row],[Product ID]],Products!A:A,0))</f>
        <v>148</v>
      </c>
      <c r="W4466" s="77">
        <f>OrdersTable[[#This Row],[Quantity]]*OrdersTable[[#This Row],[Unit Cost]]</f>
        <v>148</v>
      </c>
      <c r="X4466" s="77">
        <f>'Dropdown Lists'!$I$2*(1+OrdersTable[[#This Row],[Returned]])</f>
        <v>60</v>
      </c>
      <c r="Y4466" s="76">
        <f>OrdersTable[[#This Row],[Net Revenue]]-OrdersTable[[#This Row],[COGS]]-OrdersTable[[#This Row],[Shipping Cost]]</f>
        <v>151.19999999999999</v>
      </c>
      <c r="Z4466" s="78">
        <f>IFERROR(OrdersTable[[#This Row],[Profit]]/OrdersTable[[#This Row],[Net Revenue]],0)</f>
        <v>0.42093541202672602</v>
      </c>
      <c r="AA4466" t="s">
        <v>18</v>
      </c>
      <c r="AB4466" s="79">
        <v>45983</v>
      </c>
      <c r="AC4466">
        <f>OrdersTable[[#This Row],[Delivery Date]]-OrdersTable[[#This Row],[Order Date]]</f>
        <v>6</v>
      </c>
      <c r="AD4466" t="str">
        <f>IF(OrdersTable[[#This Row],[Delivery Days]]&lt;=2, "Express (≤2d)", IF(OrdersTable[[#This Row],[Delivery Days]]&lt;=4, "Standard (3-4d)", "Delayed (5d+)"))</f>
        <v>Delayed (5d+)</v>
      </c>
      <c r="AE4466">
        <v>3</v>
      </c>
      <c r="AF4466">
        <v>0</v>
      </c>
    </row>
    <row r="4467" spans="1:32" ht="15" x14ac:dyDescent="0.35">
      <c r="A4467" t="s">
        <v>6008</v>
      </c>
      <c r="B4467" s="1">
        <v>45977</v>
      </c>
      <c r="C4467">
        <f>YEAR(OrdersTable[[#This Row],[Order Date]])</f>
        <v>2025</v>
      </c>
      <c r="D4467" s="2">
        <f>DATE(YEAR(OrdersTable[[#This Row],[Order Date]]),MONTH(OrdersTable[[#This Row],[Order Date]]),1)</f>
        <v>45962</v>
      </c>
      <c r="E4467">
        <f>MONTH(OrdersTable[[#This Row],[Order Date]])</f>
        <v>11</v>
      </c>
      <c r="F4467" t="s">
        <v>6009</v>
      </c>
      <c r="G4467" t="str">
        <f>IF(OrdersTable[[#This Row],[Order Date]]=_xlfn.MINIFS(Order_Date, Customer_ID, OrdersTable[[#This Row],[Customer ID]]), "New", "Repeat")</f>
        <v>New</v>
      </c>
      <c r="H4467" t="s">
        <v>76</v>
      </c>
      <c r="I4467" t="str">
        <f>INDEX(State!B:B,MATCH(OrdersTable[[#This Row],[State]],State!A:A,0))</f>
        <v>UP</v>
      </c>
      <c r="J4467" t="str">
        <f>INDEX(State!C:C,MATCH(OrdersTable[[#This Row],[State Code]],State!B:B,0))</f>
        <v>North</v>
      </c>
      <c r="K4467" t="s">
        <v>105</v>
      </c>
      <c r="L4467" t="s">
        <v>16</v>
      </c>
      <c r="M4467" t="s">
        <v>29</v>
      </c>
      <c r="N4467" t="str">
        <f>INDEX(Products!B:B,MATCH(OrdersTable[[#This Row],[Product ID]],Products!A:A,0))</f>
        <v>Joggers</v>
      </c>
      <c r="O4467" t="str">
        <f>INDEX(Products!C:C,MATCH(OrdersTable[[#This Row],[Product ID]],Products!A:A,0))</f>
        <v>Apparel</v>
      </c>
      <c r="P4467">
        <v>2</v>
      </c>
      <c r="Q4467" s="5">
        <v>1199</v>
      </c>
      <c r="R4467" s="74">
        <v>0.35</v>
      </c>
      <c r="S4467" s="75">
        <f>OrdersTable[[#This Row],[Quantity]]*OrdersTable[[#This Row],[Unit Price]]</f>
        <v>2398</v>
      </c>
      <c r="T4467" s="5">
        <f>OrdersTable[[#This Row],[Gross Sale]]*OrdersTable[[#This Row],[Discount_Clean2]]</f>
        <v>839.3</v>
      </c>
      <c r="U4467" s="5">
        <f>OrdersTable[[#This Row],[Gross Sale]]-OrdersTable[[#This Row],[Discount Amount]]</f>
        <v>1558.7</v>
      </c>
      <c r="V4467" s="77">
        <f>INDEX(Products!E:E,MATCH(OrdersTable[[#This Row],[Product ID]],Products!A:A,0))</f>
        <v>492</v>
      </c>
      <c r="W4467" s="77">
        <f>OrdersTable[[#This Row],[Quantity]]*OrdersTable[[#This Row],[Unit Cost]]</f>
        <v>984</v>
      </c>
      <c r="X4467" s="77">
        <f>'Dropdown Lists'!$I$2*(1+OrdersTable[[#This Row],[Returned]])</f>
        <v>120</v>
      </c>
      <c r="Y4467" s="76">
        <f>OrdersTable[[#This Row],[Net Revenue]]-OrdersTable[[#This Row],[COGS]]-OrdersTable[[#This Row],[Shipping Cost]]</f>
        <v>454.70000000000005</v>
      </c>
      <c r="Z4467" s="78">
        <f>IFERROR(OrdersTable[[#This Row],[Profit]]/OrdersTable[[#This Row],[Net Revenue]],0)</f>
        <v>0.29171745685507156</v>
      </c>
      <c r="AA4467" t="s">
        <v>18</v>
      </c>
      <c r="AB4467" s="79">
        <v>45981</v>
      </c>
      <c r="AC4467">
        <f>OrdersTable[[#This Row],[Delivery Date]]-OrdersTable[[#This Row],[Order Date]]</f>
        <v>4</v>
      </c>
      <c r="AD4467" t="str">
        <f>IF(OrdersTable[[#This Row],[Delivery Days]]&lt;=2, "Express (≤2d)", IF(OrdersTable[[#This Row],[Delivery Days]]&lt;=4, "Standard (3-4d)", "Delayed (5d+)"))</f>
        <v>Standard (3-4d)</v>
      </c>
      <c r="AF4467">
        <v>1</v>
      </c>
    </row>
    <row r="4468" spans="1:32" ht="15" x14ac:dyDescent="0.35">
      <c r="A4468" t="s">
        <v>2052</v>
      </c>
      <c r="B4468" s="1">
        <v>45977</v>
      </c>
      <c r="C4468">
        <f>YEAR(OrdersTable[[#This Row],[Order Date]])</f>
        <v>2025</v>
      </c>
      <c r="D4468" s="2">
        <f>DATE(YEAR(OrdersTable[[#This Row],[Order Date]]),MONTH(OrdersTable[[#This Row],[Order Date]]),1)</f>
        <v>45962</v>
      </c>
      <c r="E4468">
        <f>MONTH(OrdersTable[[#This Row],[Order Date]])</f>
        <v>11</v>
      </c>
      <c r="F4468" t="s">
        <v>399</v>
      </c>
      <c r="G4468" t="str">
        <f>IF(OrdersTable[[#This Row],[Order Date]]=_xlfn.MINIFS(Order_Date, Customer_ID, OrdersTable[[#This Row],[Customer ID]]), "New", "Repeat")</f>
        <v>Repeat</v>
      </c>
      <c r="H4468" t="s">
        <v>43</v>
      </c>
      <c r="I4468" t="str">
        <f>INDEX(State!B:B,MATCH(OrdersTable[[#This Row],[State]],State!A:A,0))</f>
        <v>MP</v>
      </c>
      <c r="J4468" t="str">
        <f>INDEX(State!C:C,MATCH(OrdersTable[[#This Row],[State Code]],State!B:B,0))</f>
        <v>West</v>
      </c>
      <c r="K4468" t="s">
        <v>44</v>
      </c>
      <c r="L4468" t="s">
        <v>39</v>
      </c>
      <c r="M4468" t="s">
        <v>40</v>
      </c>
      <c r="N4468" t="str">
        <f>INDEX(Products!B:B,MATCH(OrdersTable[[#This Row],[Product ID]],Products!A:A,0))</f>
        <v>Ashwagandha Capsules</v>
      </c>
      <c r="O4468" t="str">
        <f>INDEX(Products!C:C,MATCH(OrdersTable[[#This Row],[Product ID]],Products!A:A,0))</f>
        <v>Wellness</v>
      </c>
      <c r="P4468">
        <v>1</v>
      </c>
      <c r="Q4468" s="5">
        <v>499</v>
      </c>
      <c r="R4468" s="74">
        <v>0.15</v>
      </c>
      <c r="S4468" s="75">
        <f>OrdersTable[[#This Row],[Quantity]]*OrdersTable[[#This Row],[Unit Price]]</f>
        <v>499</v>
      </c>
      <c r="T4468" s="5">
        <f>OrdersTable[[#This Row],[Gross Sale]]*OrdersTable[[#This Row],[Discount_Clean2]]</f>
        <v>74.849999999999994</v>
      </c>
      <c r="U4468" s="5">
        <f>OrdersTable[[#This Row],[Gross Sale]]-OrdersTable[[#This Row],[Discount Amount]]</f>
        <v>424.15</v>
      </c>
      <c r="V4468" s="77">
        <f>INDEX(Products!E:E,MATCH(OrdersTable[[#This Row],[Product ID]],Products!A:A,0))</f>
        <v>150</v>
      </c>
      <c r="W4468" s="77">
        <f>OrdersTable[[#This Row],[Quantity]]*OrdersTable[[#This Row],[Unit Cost]]</f>
        <v>150</v>
      </c>
      <c r="X4468" s="77">
        <f>'Dropdown Lists'!$I$2*(1+OrdersTable[[#This Row],[Returned]])</f>
        <v>60</v>
      </c>
      <c r="Y4468" s="76">
        <f>OrdersTable[[#This Row],[Net Revenue]]-OrdersTable[[#This Row],[COGS]]-OrdersTable[[#This Row],[Shipping Cost]]</f>
        <v>214.14999999999998</v>
      </c>
      <c r="Z4468" s="78">
        <f>IFERROR(OrdersTable[[#This Row],[Profit]]/OrdersTable[[#This Row],[Net Revenue]],0)</f>
        <v>0.50489213721560766</v>
      </c>
      <c r="AA4468" t="s">
        <v>18</v>
      </c>
      <c r="AB4468" s="79">
        <v>45983</v>
      </c>
      <c r="AC4468">
        <f>OrdersTable[[#This Row],[Delivery Date]]-OrdersTable[[#This Row],[Order Date]]</f>
        <v>6</v>
      </c>
      <c r="AD4468" t="str">
        <f>IF(OrdersTable[[#This Row],[Delivery Days]]&lt;=2, "Express (≤2d)", IF(OrdersTable[[#This Row],[Delivery Days]]&lt;=4, "Standard (3-4d)", "Delayed (5d+)"))</f>
        <v>Delayed (5d+)</v>
      </c>
      <c r="AE4468">
        <v>3</v>
      </c>
      <c r="AF4468">
        <v>0</v>
      </c>
    </row>
    <row r="4469" spans="1:32" ht="15" x14ac:dyDescent="0.35">
      <c r="A4469" t="s">
        <v>7134</v>
      </c>
      <c r="B4469" s="1">
        <v>45977</v>
      </c>
      <c r="C4469">
        <f>YEAR(OrdersTable[[#This Row],[Order Date]])</f>
        <v>2025</v>
      </c>
      <c r="D4469" s="2">
        <f>DATE(YEAR(OrdersTable[[#This Row],[Order Date]]),MONTH(OrdersTable[[#This Row],[Order Date]]),1)</f>
        <v>45962</v>
      </c>
      <c r="E4469">
        <f>MONTH(OrdersTable[[#This Row],[Order Date]])</f>
        <v>11</v>
      </c>
      <c r="F4469" t="s">
        <v>7135</v>
      </c>
      <c r="G4469" t="str">
        <f>IF(OrdersTable[[#This Row],[Order Date]]=_xlfn.MINIFS(Order_Date, Customer_ID, OrdersTable[[#This Row],[Customer ID]]), "New", "Repeat")</f>
        <v>New</v>
      </c>
      <c r="H4469" t="s">
        <v>482</v>
      </c>
      <c r="I4469" t="str">
        <f>INDEX(State!B:B,MATCH(OrdersTable[[#This Row],[State]],State!A:A,0))</f>
        <v>CG</v>
      </c>
      <c r="J4469" t="str">
        <f>INDEX(State!C:C,MATCH(OrdersTable[[#This Row],[State Code]],State!B:B,0))</f>
        <v>East</v>
      </c>
      <c r="K4469" t="s">
        <v>483</v>
      </c>
      <c r="L4469" t="s">
        <v>65</v>
      </c>
      <c r="M4469" t="s">
        <v>66</v>
      </c>
      <c r="N4469" t="str">
        <f>INDEX(Products!B:B,MATCH(OrdersTable[[#This Row],[Product ID]],Products!A:A,0))</f>
        <v>Sunscreen SPF 50</v>
      </c>
      <c r="O4469" t="str">
        <f>INDEX(Products!C:C,MATCH(OrdersTable[[#This Row],[Product ID]],Products!A:A,0))</f>
        <v>Skincare</v>
      </c>
      <c r="P4469">
        <v>4</v>
      </c>
      <c r="Q4469" s="5">
        <v>449</v>
      </c>
      <c r="R4469" s="74">
        <v>0.25</v>
      </c>
      <c r="S4469" s="75">
        <f>OrdersTable[[#This Row],[Quantity]]*OrdersTable[[#This Row],[Unit Price]]</f>
        <v>1796</v>
      </c>
      <c r="T4469" s="5">
        <f>OrdersTable[[#This Row],[Gross Sale]]*OrdersTable[[#This Row],[Discount_Clean2]]</f>
        <v>449</v>
      </c>
      <c r="U4469" s="5">
        <f>OrdersTable[[#This Row],[Gross Sale]]-OrdersTable[[#This Row],[Discount Amount]]</f>
        <v>1347</v>
      </c>
      <c r="V4469" s="77">
        <f>INDEX(Products!E:E,MATCH(OrdersTable[[#This Row],[Product ID]],Products!A:A,0))</f>
        <v>144</v>
      </c>
      <c r="W4469" s="77">
        <f>OrdersTable[[#This Row],[Quantity]]*OrdersTable[[#This Row],[Unit Cost]]</f>
        <v>576</v>
      </c>
      <c r="X4469" s="77">
        <f>'Dropdown Lists'!$I$2*(1+OrdersTable[[#This Row],[Returned]])</f>
        <v>60</v>
      </c>
      <c r="Y4469" s="76">
        <f>OrdersTable[[#This Row],[Net Revenue]]-OrdersTable[[#This Row],[COGS]]-OrdersTable[[#This Row],[Shipping Cost]]</f>
        <v>711</v>
      </c>
      <c r="Z4469" s="78">
        <f>IFERROR(OrdersTable[[#This Row],[Profit]]/OrdersTable[[#This Row],[Net Revenue]],0)</f>
        <v>0.5278396436525612</v>
      </c>
      <c r="AA4469" t="s">
        <v>18</v>
      </c>
      <c r="AB4469" s="79">
        <v>45981</v>
      </c>
      <c r="AC4469">
        <f>OrdersTable[[#This Row],[Delivery Date]]-OrdersTable[[#This Row],[Order Date]]</f>
        <v>4</v>
      </c>
      <c r="AD4469" t="str">
        <f>IF(OrdersTable[[#This Row],[Delivery Days]]&lt;=2, "Express (≤2d)", IF(OrdersTable[[#This Row],[Delivery Days]]&lt;=4, "Standard (3-4d)", "Delayed (5d+)"))</f>
        <v>Standard (3-4d)</v>
      </c>
      <c r="AF4469">
        <v>0</v>
      </c>
    </row>
    <row r="4470" spans="1:32" ht="15" x14ac:dyDescent="0.35">
      <c r="A4470" t="s">
        <v>3484</v>
      </c>
      <c r="B4470" s="1">
        <v>45977</v>
      </c>
      <c r="C4470">
        <f>YEAR(OrdersTable[[#This Row],[Order Date]])</f>
        <v>2025</v>
      </c>
      <c r="D4470" s="2">
        <f>DATE(YEAR(OrdersTable[[#This Row],[Order Date]]),MONTH(OrdersTable[[#This Row],[Order Date]]),1)</f>
        <v>45962</v>
      </c>
      <c r="E4470">
        <f>MONTH(OrdersTable[[#This Row],[Order Date]])</f>
        <v>11</v>
      </c>
      <c r="F4470" t="s">
        <v>3485</v>
      </c>
      <c r="G4470" t="str">
        <f>IF(OrdersTable[[#This Row],[Order Date]]=_xlfn.MINIFS(Order_Date, Customer_ID, OrdersTable[[#This Row],[Customer ID]]), "New", "Repeat")</f>
        <v>Repeat</v>
      </c>
      <c r="H4470" t="s">
        <v>123</v>
      </c>
      <c r="I4470" t="str">
        <f>INDEX(State!B:B,MATCH(OrdersTable[[#This Row],[State]],State!A:A,0))</f>
        <v>JH</v>
      </c>
      <c r="J4470" t="str">
        <f>INDEX(State!C:C,MATCH(OrdersTable[[#This Row],[State Code]],State!B:B,0))</f>
        <v>East</v>
      </c>
      <c r="K4470" t="s">
        <v>124</v>
      </c>
      <c r="L4470" t="s">
        <v>65</v>
      </c>
      <c r="M4470" t="s">
        <v>92</v>
      </c>
      <c r="N4470" t="str">
        <f>INDEX(Products!B:B,MATCH(OrdersTable[[#This Row],[Product ID]],Products!A:A,0))</f>
        <v>Kolhapuri Sandals</v>
      </c>
      <c r="O4470" t="str">
        <f>INDEX(Products!C:C,MATCH(OrdersTable[[#This Row],[Product ID]],Products!A:A,0))</f>
        <v>Footwear</v>
      </c>
      <c r="P4470">
        <v>1</v>
      </c>
      <c r="Q4470" s="5">
        <v>999</v>
      </c>
      <c r="R4470" s="74">
        <v>0.15</v>
      </c>
      <c r="S4470" s="75">
        <f>OrdersTable[[#This Row],[Quantity]]*OrdersTable[[#This Row],[Unit Price]]</f>
        <v>999</v>
      </c>
      <c r="T4470" s="5">
        <f>OrdersTable[[#This Row],[Gross Sale]]*OrdersTable[[#This Row],[Discount_Clean2]]</f>
        <v>149.85</v>
      </c>
      <c r="U4470" s="5">
        <f>OrdersTable[[#This Row],[Gross Sale]]-OrdersTable[[#This Row],[Discount Amount]]</f>
        <v>849.15</v>
      </c>
      <c r="V4470" s="77">
        <f>INDEX(Products!E:E,MATCH(OrdersTable[[#This Row],[Product ID]],Products!A:A,0))</f>
        <v>400</v>
      </c>
      <c r="W4470" s="77">
        <f>OrdersTable[[#This Row],[Quantity]]*OrdersTable[[#This Row],[Unit Cost]]</f>
        <v>400</v>
      </c>
      <c r="X4470" s="77">
        <f>'Dropdown Lists'!$I$2*(1+OrdersTable[[#This Row],[Returned]])</f>
        <v>120</v>
      </c>
      <c r="Y4470" s="76">
        <f>OrdersTable[[#This Row],[Net Revenue]]-OrdersTable[[#This Row],[COGS]]-OrdersTable[[#This Row],[Shipping Cost]]</f>
        <v>329.15</v>
      </c>
      <c r="Z4470" s="78">
        <f>IFERROR(OrdersTable[[#This Row],[Profit]]/OrdersTable[[#This Row],[Net Revenue]],0)</f>
        <v>0.38762291703468171</v>
      </c>
      <c r="AA4470" t="s">
        <v>2522</v>
      </c>
      <c r="AB4470" s="79">
        <v>45982</v>
      </c>
      <c r="AC4470">
        <f>OrdersTable[[#This Row],[Delivery Date]]-OrdersTable[[#This Row],[Order Date]]</f>
        <v>5</v>
      </c>
      <c r="AD4470" t="str">
        <f>IF(OrdersTable[[#This Row],[Delivery Days]]&lt;=2, "Express (≤2d)", IF(OrdersTable[[#This Row],[Delivery Days]]&lt;=4, "Standard (3-4d)", "Delayed (5d+)"))</f>
        <v>Delayed (5d+)</v>
      </c>
      <c r="AE4470">
        <v>4</v>
      </c>
      <c r="AF4470">
        <v>1</v>
      </c>
    </row>
    <row r="4471" spans="1:32" ht="15" x14ac:dyDescent="0.35">
      <c r="A4471" t="s">
        <v>2053</v>
      </c>
      <c r="B4471" s="1">
        <v>45977</v>
      </c>
      <c r="C4471">
        <f>YEAR(OrdersTable[[#This Row],[Order Date]])</f>
        <v>2025</v>
      </c>
      <c r="D4471" s="2">
        <f>DATE(YEAR(OrdersTable[[#This Row],[Order Date]]),MONTH(OrdersTable[[#This Row],[Order Date]]),1)</f>
        <v>45962</v>
      </c>
      <c r="E4471">
        <f>MONTH(OrdersTable[[#This Row],[Order Date]])</f>
        <v>11</v>
      </c>
      <c r="F4471" t="s">
        <v>2054</v>
      </c>
      <c r="G4471" t="str">
        <f>IF(OrdersTable[[#This Row],[Order Date]]=_xlfn.MINIFS(Order_Date, Customer_ID, OrdersTable[[#This Row],[Customer ID]]), "New", "Repeat")</f>
        <v>New</v>
      </c>
      <c r="H4471" t="s">
        <v>27</v>
      </c>
      <c r="I4471" t="str">
        <f>INDEX(State!B:B,MATCH(OrdersTable[[#This Row],[State]],State!A:A,0))</f>
        <v>WB</v>
      </c>
      <c r="J4471" t="str">
        <f>INDEX(State!C:C,MATCH(OrdersTable[[#This Row],[State Code]],State!B:B,0))</f>
        <v>East</v>
      </c>
      <c r="K4471" t="s">
        <v>28</v>
      </c>
      <c r="L4471" t="s">
        <v>50</v>
      </c>
      <c r="M4471" t="s">
        <v>66</v>
      </c>
      <c r="N4471" t="str">
        <f>INDEX(Products!B:B,MATCH(OrdersTable[[#This Row],[Product ID]],Products!A:A,0))</f>
        <v>Sunscreen SPF 50</v>
      </c>
      <c r="O4471" t="str">
        <f>INDEX(Products!C:C,MATCH(OrdersTable[[#This Row],[Product ID]],Products!A:A,0))</f>
        <v>Skincare</v>
      </c>
      <c r="P4471">
        <v>1</v>
      </c>
      <c r="Q4471" s="5">
        <v>449</v>
      </c>
      <c r="R4471" s="74">
        <v>0.25</v>
      </c>
      <c r="S4471" s="75">
        <f>OrdersTable[[#This Row],[Quantity]]*OrdersTable[[#This Row],[Unit Price]]</f>
        <v>449</v>
      </c>
      <c r="T4471" s="5">
        <f>OrdersTable[[#This Row],[Gross Sale]]*OrdersTable[[#This Row],[Discount_Clean2]]</f>
        <v>112.25</v>
      </c>
      <c r="U4471" s="5">
        <f>OrdersTable[[#This Row],[Gross Sale]]-OrdersTable[[#This Row],[Discount Amount]]</f>
        <v>336.75</v>
      </c>
      <c r="V4471" s="77">
        <f>INDEX(Products!E:E,MATCH(OrdersTable[[#This Row],[Product ID]],Products!A:A,0))</f>
        <v>144</v>
      </c>
      <c r="W4471" s="77">
        <f>OrdersTable[[#This Row],[Quantity]]*OrdersTable[[#This Row],[Unit Cost]]</f>
        <v>144</v>
      </c>
      <c r="X4471" s="77">
        <f>'Dropdown Lists'!$I$2*(1+OrdersTable[[#This Row],[Returned]])</f>
        <v>60</v>
      </c>
      <c r="Y4471" s="76">
        <f>OrdersTable[[#This Row],[Net Revenue]]-OrdersTable[[#This Row],[COGS]]-OrdersTable[[#This Row],[Shipping Cost]]</f>
        <v>132.75</v>
      </c>
      <c r="Z4471" s="78">
        <f>IFERROR(OrdersTable[[#This Row],[Profit]]/OrdersTable[[#This Row],[Net Revenue]],0)</f>
        <v>0.39420935412026725</v>
      </c>
      <c r="AA4471" t="s">
        <v>18</v>
      </c>
      <c r="AB4471" s="79">
        <v>45982</v>
      </c>
      <c r="AC4471">
        <f>OrdersTable[[#This Row],[Delivery Date]]-OrdersTable[[#This Row],[Order Date]]</f>
        <v>5</v>
      </c>
      <c r="AD4471" t="str">
        <f>IF(OrdersTable[[#This Row],[Delivery Days]]&lt;=2, "Express (≤2d)", IF(OrdersTable[[#This Row],[Delivery Days]]&lt;=4, "Standard (3-4d)", "Delayed (5d+)"))</f>
        <v>Delayed (5d+)</v>
      </c>
      <c r="AE4471">
        <v>3</v>
      </c>
      <c r="AF4471">
        <v>0</v>
      </c>
    </row>
    <row r="4472" spans="1:32" ht="15" x14ac:dyDescent="0.35">
      <c r="A4472" t="s">
        <v>2475</v>
      </c>
      <c r="B4472" s="1">
        <v>45977</v>
      </c>
      <c r="C4472">
        <f>YEAR(OrdersTable[[#This Row],[Order Date]])</f>
        <v>2025</v>
      </c>
      <c r="D4472" s="2">
        <f>DATE(YEAR(OrdersTable[[#This Row],[Order Date]]),MONTH(OrdersTable[[#This Row],[Order Date]]),1)</f>
        <v>45962</v>
      </c>
      <c r="E4472">
        <f>MONTH(OrdersTable[[#This Row],[Order Date]])</f>
        <v>11</v>
      </c>
      <c r="F4472" t="s">
        <v>2476</v>
      </c>
      <c r="G4472" t="str">
        <f>IF(OrdersTable[[#This Row],[Order Date]]=_xlfn.MINIFS(Order_Date, Customer_ID, OrdersTable[[#This Row],[Customer ID]]), "New", "Repeat")</f>
        <v>New</v>
      </c>
      <c r="H4472" t="s">
        <v>27</v>
      </c>
      <c r="I4472" t="str">
        <f>INDEX(State!B:B,MATCH(OrdersTable[[#This Row],[State]],State!A:A,0))</f>
        <v>WB</v>
      </c>
      <c r="J4472" t="str">
        <f>INDEX(State!C:C,MATCH(OrdersTable[[#This Row],[State Code]],State!B:B,0))</f>
        <v>East</v>
      </c>
      <c r="K4472" t="s">
        <v>28</v>
      </c>
      <c r="L4472" t="s">
        <v>16</v>
      </c>
      <c r="M4472" t="s">
        <v>255</v>
      </c>
      <c r="N4472" t="str">
        <f>INDEX(Products!B:B,MATCH(OrdersTable[[#This Row],[Product ID]],Products!A:A,0))</f>
        <v>Cotton Oversized T-Shirt</v>
      </c>
      <c r="O4472" t="str">
        <f>INDEX(Products!C:C,MATCH(OrdersTable[[#This Row],[Product ID]],Products!A:A,0))</f>
        <v>Apparel</v>
      </c>
      <c r="P4472">
        <v>1</v>
      </c>
      <c r="Q4472" s="5">
        <v>799</v>
      </c>
      <c r="R4472" s="74">
        <v>0.15</v>
      </c>
      <c r="S4472" s="75">
        <f>OrdersTable[[#This Row],[Quantity]]*OrdersTable[[#This Row],[Unit Price]]</f>
        <v>799</v>
      </c>
      <c r="T4472" s="5">
        <f>OrdersTable[[#This Row],[Gross Sale]]*OrdersTable[[#This Row],[Discount_Clean2]]</f>
        <v>119.85</v>
      </c>
      <c r="U4472" s="5">
        <f>OrdersTable[[#This Row],[Gross Sale]]-OrdersTable[[#This Row],[Discount Amount]]</f>
        <v>679.15</v>
      </c>
      <c r="V4472" s="77">
        <f>INDEX(Products!E:E,MATCH(OrdersTable[[#This Row],[Product ID]],Products!A:A,0))</f>
        <v>320</v>
      </c>
      <c r="W4472" s="77">
        <f>OrdersTable[[#This Row],[Quantity]]*OrdersTable[[#This Row],[Unit Cost]]</f>
        <v>320</v>
      </c>
      <c r="X4472" s="77">
        <f>'Dropdown Lists'!$I$2*(1+OrdersTable[[#This Row],[Returned]])</f>
        <v>60</v>
      </c>
      <c r="Y4472" s="76">
        <f>OrdersTable[[#This Row],[Net Revenue]]-OrdersTable[[#This Row],[COGS]]-OrdersTable[[#This Row],[Shipping Cost]]</f>
        <v>299.14999999999998</v>
      </c>
      <c r="Z4472" s="78">
        <f>IFERROR(OrdersTable[[#This Row],[Profit]]/OrdersTable[[#This Row],[Net Revenue]],0)</f>
        <v>0.44047706692188765</v>
      </c>
      <c r="AA4472" t="s">
        <v>18</v>
      </c>
      <c r="AB4472" s="79">
        <v>45979</v>
      </c>
      <c r="AC4472">
        <f>OrdersTable[[#This Row],[Delivery Date]]-OrdersTable[[#This Row],[Order Date]]</f>
        <v>2</v>
      </c>
      <c r="AD4472" t="str">
        <f>IF(OrdersTable[[#This Row],[Delivery Days]]&lt;=2, "Express (≤2d)", IF(OrdersTable[[#This Row],[Delivery Days]]&lt;=4, "Standard (3-4d)", "Delayed (5d+)"))</f>
        <v>Express (≤2d)</v>
      </c>
      <c r="AE4472">
        <v>5</v>
      </c>
      <c r="AF4472">
        <v>0</v>
      </c>
    </row>
    <row r="4473" spans="1:32" ht="15" x14ac:dyDescent="0.35">
      <c r="A4473" t="s">
        <v>4883</v>
      </c>
      <c r="B4473" s="1">
        <v>45977</v>
      </c>
      <c r="C4473">
        <f>YEAR(OrdersTable[[#This Row],[Order Date]])</f>
        <v>2025</v>
      </c>
      <c r="D4473" s="2">
        <f>DATE(YEAR(OrdersTable[[#This Row],[Order Date]]),MONTH(OrdersTable[[#This Row],[Order Date]]),1)</f>
        <v>45962</v>
      </c>
      <c r="E4473">
        <f>MONTH(OrdersTable[[#This Row],[Order Date]])</f>
        <v>11</v>
      </c>
      <c r="F4473" t="s">
        <v>2836</v>
      </c>
      <c r="G4473" t="str">
        <f>IF(OrdersTable[[#This Row],[Order Date]]=_xlfn.MINIFS(Order_Date, Customer_ID, OrdersTable[[#This Row],[Customer ID]]), "New", "Repeat")</f>
        <v>Repeat</v>
      </c>
      <c r="H4473" t="s">
        <v>27</v>
      </c>
      <c r="I4473" t="str">
        <f>INDEX(State!B:B,MATCH(OrdersTable[[#This Row],[State]],State!A:A,0))</f>
        <v>WB</v>
      </c>
      <c r="J4473" t="str">
        <f>INDEX(State!C:C,MATCH(OrdersTable[[#This Row],[State Code]],State!B:B,0))</f>
        <v>East</v>
      </c>
      <c r="K4473" t="s">
        <v>28</v>
      </c>
      <c r="L4473" t="s">
        <v>16</v>
      </c>
      <c r="M4473" t="s">
        <v>87</v>
      </c>
      <c r="N4473" t="str">
        <f>INDEX(Products!B:B,MATCH(OrdersTable[[#This Row],[Product ID]],Products!A:A,0))</f>
        <v>Linen Kurta</v>
      </c>
      <c r="O4473" t="str">
        <f>INDEX(Products!C:C,MATCH(OrdersTable[[#This Row],[Product ID]],Products!A:A,0))</f>
        <v>Apparel</v>
      </c>
      <c r="P4473">
        <v>2</v>
      </c>
      <c r="Q4473" s="5">
        <v>1499</v>
      </c>
      <c r="R4473" s="74">
        <v>0.55000000000000004</v>
      </c>
      <c r="S4473" s="75">
        <f>OrdersTable[[#This Row],[Quantity]]*OrdersTable[[#This Row],[Unit Price]]</f>
        <v>2998</v>
      </c>
      <c r="T4473" s="5">
        <f>OrdersTable[[#This Row],[Gross Sale]]*OrdersTable[[#This Row],[Discount_Clean2]]</f>
        <v>1648.9</v>
      </c>
      <c r="U4473" s="5">
        <f>OrdersTable[[#This Row],[Gross Sale]]-OrdersTable[[#This Row],[Discount Amount]]</f>
        <v>1349.1</v>
      </c>
      <c r="V4473" s="77">
        <f>INDEX(Products!E:E,MATCH(OrdersTable[[#This Row],[Product ID]],Products!A:A,0))</f>
        <v>630</v>
      </c>
      <c r="W4473" s="77">
        <f>OrdersTable[[#This Row],[Quantity]]*OrdersTable[[#This Row],[Unit Cost]]</f>
        <v>1260</v>
      </c>
      <c r="X4473" s="77">
        <f>'Dropdown Lists'!$I$2*(1+OrdersTable[[#This Row],[Returned]])</f>
        <v>60</v>
      </c>
      <c r="Y4473" s="76">
        <f>OrdersTable[[#This Row],[Net Revenue]]-OrdersTable[[#This Row],[COGS]]-OrdersTable[[#This Row],[Shipping Cost]]</f>
        <v>29.099999999999909</v>
      </c>
      <c r="Z4473" s="78">
        <f>IFERROR(OrdersTable[[#This Row],[Profit]]/OrdersTable[[#This Row],[Net Revenue]],0)</f>
        <v>2.1569935512563865E-2</v>
      </c>
      <c r="AA4473" t="s">
        <v>4450</v>
      </c>
      <c r="AB4473" s="79">
        <v>45981</v>
      </c>
      <c r="AC4473">
        <f>OrdersTable[[#This Row],[Delivery Date]]-OrdersTable[[#This Row],[Order Date]]</f>
        <v>4</v>
      </c>
      <c r="AD4473" t="str">
        <f>IF(OrdersTable[[#This Row],[Delivery Days]]&lt;=2, "Express (≤2d)", IF(OrdersTable[[#This Row],[Delivery Days]]&lt;=4, "Standard (3-4d)", "Delayed (5d+)"))</f>
        <v>Standard (3-4d)</v>
      </c>
      <c r="AE4473">
        <v>4</v>
      </c>
      <c r="AF4473">
        <v>0</v>
      </c>
    </row>
    <row r="4474" spans="1:32" ht="15" x14ac:dyDescent="0.35">
      <c r="A4474" t="s">
        <v>6010</v>
      </c>
      <c r="B4474" s="1">
        <v>45977</v>
      </c>
      <c r="C4474">
        <f>YEAR(OrdersTable[[#This Row],[Order Date]])</f>
        <v>2025</v>
      </c>
      <c r="D4474" s="2">
        <f>DATE(YEAR(OrdersTable[[#This Row],[Order Date]]),MONTH(OrdersTable[[#This Row],[Order Date]]),1)</f>
        <v>45962</v>
      </c>
      <c r="E4474">
        <f>MONTH(OrdersTable[[#This Row],[Order Date]])</f>
        <v>11</v>
      </c>
      <c r="F4474" t="s">
        <v>525</v>
      </c>
      <c r="G4474" t="str">
        <f>IF(OrdersTable[[#This Row],[Order Date]]=_xlfn.MINIFS(Order_Date, Customer_ID, OrdersTable[[#This Row],[Customer ID]]), "New", "Repeat")</f>
        <v>Repeat</v>
      </c>
      <c r="H4474" t="s">
        <v>59</v>
      </c>
      <c r="I4474" t="str">
        <f>INDEX(State!B:B,MATCH(OrdersTable[[#This Row],[State]],State!A:A,0))</f>
        <v>TN</v>
      </c>
      <c r="J4474" t="str">
        <f>INDEX(State!C:C,MATCH(OrdersTable[[#This Row],[State Code]],State!B:B,0))</f>
        <v>South</v>
      </c>
      <c r="K4474" t="s">
        <v>64</v>
      </c>
      <c r="L4474" t="s">
        <v>23</v>
      </c>
      <c r="M4474" t="s">
        <v>73</v>
      </c>
      <c r="N4474" t="str">
        <f>INDEX(Products!B:B,MATCH(OrdersTable[[#This Row],[Product ID]],Products!A:A,0))</f>
        <v>Hydrating Face Wash</v>
      </c>
      <c r="O4474" t="str">
        <f>INDEX(Products!C:C,MATCH(OrdersTable[[#This Row],[Product ID]],Products!A:A,0))</f>
        <v>Skincare</v>
      </c>
      <c r="P4474">
        <v>2</v>
      </c>
      <c r="Q4474" s="5">
        <v>299</v>
      </c>
      <c r="R4474" s="74">
        <v>0.25</v>
      </c>
      <c r="S4474" s="75">
        <f>OrdersTable[[#This Row],[Quantity]]*OrdersTable[[#This Row],[Unit Price]]</f>
        <v>598</v>
      </c>
      <c r="T4474" s="5">
        <f>OrdersTable[[#This Row],[Gross Sale]]*OrdersTable[[#This Row],[Discount_Clean2]]</f>
        <v>149.5</v>
      </c>
      <c r="U4474" s="5">
        <f>OrdersTable[[#This Row],[Gross Sale]]-OrdersTable[[#This Row],[Discount Amount]]</f>
        <v>448.5</v>
      </c>
      <c r="V4474" s="77">
        <f>INDEX(Products!E:E,MATCH(OrdersTable[[#This Row],[Product ID]],Products!A:A,0))</f>
        <v>90</v>
      </c>
      <c r="W4474" s="77">
        <f>OrdersTable[[#This Row],[Quantity]]*OrdersTable[[#This Row],[Unit Cost]]</f>
        <v>180</v>
      </c>
      <c r="X4474" s="77">
        <f>'Dropdown Lists'!$I$2*(1+OrdersTable[[#This Row],[Returned]])</f>
        <v>60</v>
      </c>
      <c r="Y4474" s="76">
        <f>OrdersTable[[#This Row],[Net Revenue]]-OrdersTable[[#This Row],[COGS]]-OrdersTable[[#This Row],[Shipping Cost]]</f>
        <v>208.5</v>
      </c>
      <c r="Z4474" s="78">
        <f>IFERROR(OrdersTable[[#This Row],[Profit]]/OrdersTable[[#This Row],[Net Revenue]],0)</f>
        <v>0.46488294314381273</v>
      </c>
      <c r="AA4474" t="s">
        <v>18</v>
      </c>
      <c r="AB4474" s="79">
        <v>45980</v>
      </c>
      <c r="AC4474">
        <f>OrdersTable[[#This Row],[Delivery Date]]-OrdersTable[[#This Row],[Order Date]]</f>
        <v>3</v>
      </c>
      <c r="AD4474" t="str">
        <f>IF(OrdersTable[[#This Row],[Delivery Days]]&lt;=2, "Express (≤2d)", IF(OrdersTable[[#This Row],[Delivery Days]]&lt;=4, "Standard (3-4d)", "Delayed (5d+)"))</f>
        <v>Standard (3-4d)</v>
      </c>
      <c r="AF4474">
        <v>0</v>
      </c>
    </row>
    <row r="4475" spans="1:32" ht="15" x14ac:dyDescent="0.35">
      <c r="A4475" t="s">
        <v>5838</v>
      </c>
      <c r="B4475" s="1">
        <v>45977</v>
      </c>
      <c r="C4475">
        <f>YEAR(OrdersTable[[#This Row],[Order Date]])</f>
        <v>2025</v>
      </c>
      <c r="D4475" s="2">
        <f>DATE(YEAR(OrdersTable[[#This Row],[Order Date]]),MONTH(OrdersTable[[#This Row],[Order Date]]),1)</f>
        <v>45962</v>
      </c>
      <c r="E4475">
        <f>MONTH(OrdersTable[[#This Row],[Order Date]])</f>
        <v>11</v>
      </c>
      <c r="F4475" t="s">
        <v>346</v>
      </c>
      <c r="G4475" t="str">
        <f>IF(OrdersTable[[#This Row],[Order Date]]=_xlfn.MINIFS(Order_Date, Customer_ID, OrdersTable[[#This Row],[Customer ID]]), "New", "Repeat")</f>
        <v>Repeat</v>
      </c>
      <c r="H4475" t="s">
        <v>59</v>
      </c>
      <c r="I4475" t="str">
        <f>INDEX(State!B:B,MATCH(OrdersTable[[#This Row],[State]],State!A:A,0))</f>
        <v>TN</v>
      </c>
      <c r="J4475" t="str">
        <f>INDEX(State!C:C,MATCH(OrdersTable[[#This Row],[State Code]],State!B:B,0))</f>
        <v>South</v>
      </c>
      <c r="K4475" t="s">
        <v>60</v>
      </c>
      <c r="L4475" t="s">
        <v>65</v>
      </c>
      <c r="M4475" t="s">
        <v>179</v>
      </c>
      <c r="N4475" t="str">
        <f>INDEX(Products!B:B,MATCH(OrdersTable[[#This Row],[Product ID]],Products!A:A,0))</f>
        <v>Whey Protein 1kg</v>
      </c>
      <c r="O4475" t="str">
        <f>INDEX(Products!C:C,MATCH(OrdersTable[[#This Row],[Product ID]],Products!A:A,0))</f>
        <v>Wellness</v>
      </c>
      <c r="P4475">
        <v>2</v>
      </c>
      <c r="Q4475" s="5">
        <v>2299</v>
      </c>
      <c r="R4475" s="74">
        <v>0.5</v>
      </c>
      <c r="S4475" s="75">
        <f>OrdersTable[[#This Row],[Quantity]]*OrdersTable[[#This Row],[Unit Price]]</f>
        <v>4598</v>
      </c>
      <c r="T4475" s="5">
        <f>OrdersTable[[#This Row],[Gross Sale]]*OrdersTable[[#This Row],[Discount_Clean2]]</f>
        <v>2299</v>
      </c>
      <c r="U4475" s="5">
        <f>OrdersTable[[#This Row],[Gross Sale]]-OrdersTable[[#This Row],[Discount Amount]]</f>
        <v>2299</v>
      </c>
      <c r="V4475" s="77">
        <f>INDEX(Products!E:E,MATCH(OrdersTable[[#This Row],[Product ID]],Products!A:A,0))</f>
        <v>1333</v>
      </c>
      <c r="W4475" s="77">
        <f>OrdersTable[[#This Row],[Quantity]]*OrdersTable[[#This Row],[Unit Cost]]</f>
        <v>2666</v>
      </c>
      <c r="X4475" s="77">
        <f>'Dropdown Lists'!$I$2*(1+OrdersTable[[#This Row],[Returned]])</f>
        <v>60</v>
      </c>
      <c r="Y4475" s="76">
        <f>OrdersTable[[#This Row],[Net Revenue]]-OrdersTable[[#This Row],[COGS]]-OrdersTable[[#This Row],[Shipping Cost]]</f>
        <v>-427</v>
      </c>
      <c r="Z4475" s="78">
        <f>IFERROR(OrdersTable[[#This Row],[Profit]]/OrdersTable[[#This Row],[Net Revenue]],0)</f>
        <v>-0.18573292735972161</v>
      </c>
      <c r="AA4475" t="s">
        <v>18</v>
      </c>
      <c r="AB4475" s="79">
        <v>45980</v>
      </c>
      <c r="AC4475">
        <f>OrdersTable[[#This Row],[Delivery Date]]-OrdersTable[[#This Row],[Order Date]]</f>
        <v>3</v>
      </c>
      <c r="AD4475" t="str">
        <f>IF(OrdersTable[[#This Row],[Delivery Days]]&lt;=2, "Express (≤2d)", IF(OrdersTable[[#This Row],[Delivery Days]]&lt;=4, "Standard (3-4d)", "Delayed (5d+)"))</f>
        <v>Standard (3-4d)</v>
      </c>
      <c r="AE4475">
        <v>5</v>
      </c>
      <c r="AF4475">
        <v>0</v>
      </c>
    </row>
    <row r="4476" spans="1:32" ht="15" x14ac:dyDescent="0.35">
      <c r="A4476" t="s">
        <v>1802</v>
      </c>
      <c r="B4476" s="1">
        <v>45978</v>
      </c>
      <c r="C4476">
        <f>YEAR(OrdersTable[[#This Row],[Order Date]])</f>
        <v>2025</v>
      </c>
      <c r="D4476" s="2">
        <f>DATE(YEAR(OrdersTable[[#This Row],[Order Date]]),MONTH(OrdersTable[[#This Row],[Order Date]]),1)</f>
        <v>45962</v>
      </c>
      <c r="E4476">
        <f>MONTH(OrdersTable[[#This Row],[Order Date]])</f>
        <v>11</v>
      </c>
      <c r="F4476" t="s">
        <v>1596</v>
      </c>
      <c r="G4476" t="str">
        <f>IF(OrdersTable[[#This Row],[Order Date]]=_xlfn.MINIFS(Order_Date, Customer_ID, OrdersTable[[#This Row],[Customer ID]]), "New", "Repeat")</f>
        <v>Repeat</v>
      </c>
      <c r="H4476" t="s">
        <v>21</v>
      </c>
      <c r="I4476" t="str">
        <f>INDEX(State!B:B,MATCH(OrdersTable[[#This Row],[State]],State!A:A,0))</f>
        <v>PB</v>
      </c>
      <c r="J4476" t="str">
        <f>INDEX(State!C:C,MATCH(OrdersTable[[#This Row],[State Code]],State!B:B,0))</f>
        <v>North</v>
      </c>
      <c r="K4476" t="s">
        <v>260</v>
      </c>
      <c r="L4476" t="s">
        <v>65</v>
      </c>
      <c r="M4476" t="s">
        <v>106</v>
      </c>
      <c r="N4476" t="str">
        <f>INDEX(Products!B:B,MATCH(OrdersTable[[#This Row],[Product ID]],Products!A:A,0))</f>
        <v>Keratin Hair Mask</v>
      </c>
      <c r="O4476" t="str">
        <f>INDEX(Products!C:C,MATCH(OrdersTable[[#This Row],[Product ID]],Products!A:A,0))</f>
        <v>Haircare</v>
      </c>
      <c r="P4476">
        <v>1</v>
      </c>
      <c r="Q4476" s="5">
        <v>549</v>
      </c>
      <c r="R4476" s="74">
        <v>0.2</v>
      </c>
      <c r="S4476" s="75">
        <f>OrdersTable[[#This Row],[Quantity]]*OrdersTable[[#This Row],[Unit Price]]</f>
        <v>549</v>
      </c>
      <c r="T4476" s="5">
        <f>OrdersTable[[#This Row],[Gross Sale]]*OrdersTable[[#This Row],[Discount_Clean2]]</f>
        <v>109.80000000000001</v>
      </c>
      <c r="U4476" s="5">
        <f>OrdersTable[[#This Row],[Gross Sale]]-OrdersTable[[#This Row],[Discount Amount]]</f>
        <v>439.2</v>
      </c>
      <c r="V4476" s="77">
        <f>INDEX(Products!E:E,MATCH(OrdersTable[[#This Row],[Product ID]],Products!A:A,0))</f>
        <v>170</v>
      </c>
      <c r="W4476" s="77">
        <f>OrdersTable[[#This Row],[Quantity]]*OrdersTable[[#This Row],[Unit Cost]]</f>
        <v>170</v>
      </c>
      <c r="X4476" s="77">
        <f>'Dropdown Lists'!$I$2*(1+OrdersTable[[#This Row],[Returned]])</f>
        <v>60</v>
      </c>
      <c r="Y4476" s="76">
        <f>OrdersTable[[#This Row],[Net Revenue]]-OrdersTable[[#This Row],[COGS]]-OrdersTable[[#This Row],[Shipping Cost]]</f>
        <v>209.2</v>
      </c>
      <c r="Z4476" s="78">
        <f>IFERROR(OrdersTable[[#This Row],[Profit]]/OrdersTable[[#This Row],[Net Revenue]],0)</f>
        <v>0.47632058287795992</v>
      </c>
      <c r="AA4476" t="s">
        <v>18</v>
      </c>
      <c r="AB4476" s="79">
        <v>45982</v>
      </c>
      <c r="AC4476">
        <f>OrdersTable[[#This Row],[Delivery Date]]-OrdersTable[[#This Row],[Order Date]]</f>
        <v>4</v>
      </c>
      <c r="AD4476" t="str">
        <f>IF(OrdersTable[[#This Row],[Delivery Days]]&lt;=2, "Express (≤2d)", IF(OrdersTable[[#This Row],[Delivery Days]]&lt;=4, "Standard (3-4d)", "Delayed (5d+)"))</f>
        <v>Standard (3-4d)</v>
      </c>
      <c r="AF4476">
        <v>0</v>
      </c>
    </row>
    <row r="4477" spans="1:32" ht="15" x14ac:dyDescent="0.35">
      <c r="A4477" t="s">
        <v>7164</v>
      </c>
      <c r="B4477" s="1">
        <v>45978</v>
      </c>
      <c r="C4477">
        <f>YEAR(OrdersTable[[#This Row],[Order Date]])</f>
        <v>2025</v>
      </c>
      <c r="D4477" s="2">
        <f>DATE(YEAR(OrdersTable[[#This Row],[Order Date]]),MONTH(OrdersTable[[#This Row],[Order Date]]),1)</f>
        <v>45962</v>
      </c>
      <c r="E4477">
        <f>MONTH(OrdersTable[[#This Row],[Order Date]])</f>
        <v>11</v>
      </c>
      <c r="F4477" t="s">
        <v>183</v>
      </c>
      <c r="G4477" t="str">
        <f>IF(OrdersTable[[#This Row],[Order Date]]=_xlfn.MINIFS(Order_Date, Customer_ID, OrdersTable[[#This Row],[Customer ID]]), "New", "Repeat")</f>
        <v>Repeat</v>
      </c>
      <c r="H4477" t="s">
        <v>54</v>
      </c>
      <c r="I4477" t="str">
        <f>INDEX(State!B:B,MATCH(OrdersTable[[#This Row],[State]],State!A:A,0))</f>
        <v>RJ</v>
      </c>
      <c r="J4477" t="str">
        <f>INDEX(State!C:C,MATCH(OrdersTable[[#This Row],[State Code]],State!B:B,0))</f>
        <v>North</v>
      </c>
      <c r="K4477" t="s">
        <v>227</v>
      </c>
      <c r="L4477" t="s">
        <v>65</v>
      </c>
      <c r="M4477" t="s">
        <v>51</v>
      </c>
      <c r="N4477" t="str">
        <f>INDEX(Products!B:B,MATCH(OrdersTable[[#This Row],[Product ID]],Products!A:A,0))</f>
        <v>Anti-Dandruff Conditioner</v>
      </c>
      <c r="O4477" t="str">
        <f>INDEX(Products!C:C,MATCH(OrdersTable[[#This Row],[Product ID]],Products!A:A,0))</f>
        <v>Haircare</v>
      </c>
      <c r="P4477">
        <v>5</v>
      </c>
      <c r="Q4477" s="5">
        <v>399</v>
      </c>
      <c r="R4477" s="74">
        <v>0.5</v>
      </c>
      <c r="S4477" s="75">
        <f>OrdersTable[[#This Row],[Quantity]]*OrdersTable[[#This Row],[Unit Price]]</f>
        <v>1995</v>
      </c>
      <c r="T4477" s="5">
        <f>OrdersTable[[#This Row],[Gross Sale]]*OrdersTable[[#This Row],[Discount_Clean2]]</f>
        <v>997.5</v>
      </c>
      <c r="U4477" s="5">
        <f>OrdersTable[[#This Row],[Gross Sale]]-OrdersTable[[#This Row],[Discount Amount]]</f>
        <v>997.5</v>
      </c>
      <c r="V4477" s="77">
        <f>INDEX(Products!E:E,MATCH(OrdersTable[[#This Row],[Product ID]],Products!A:A,0))</f>
        <v>136</v>
      </c>
      <c r="W4477" s="77">
        <f>OrdersTable[[#This Row],[Quantity]]*OrdersTable[[#This Row],[Unit Cost]]</f>
        <v>680</v>
      </c>
      <c r="X4477" s="77">
        <f>'Dropdown Lists'!$I$2*(1+OrdersTable[[#This Row],[Returned]])</f>
        <v>60</v>
      </c>
      <c r="Y4477" s="76">
        <f>OrdersTable[[#This Row],[Net Revenue]]-OrdersTable[[#This Row],[COGS]]-OrdersTable[[#This Row],[Shipping Cost]]</f>
        <v>257.5</v>
      </c>
      <c r="Z4477" s="78">
        <f>IFERROR(OrdersTable[[#This Row],[Profit]]/OrdersTable[[#This Row],[Net Revenue]],0)</f>
        <v>0.25814536340852129</v>
      </c>
      <c r="AA4477" t="s">
        <v>18</v>
      </c>
      <c r="AB4477" s="79">
        <v>45983</v>
      </c>
      <c r="AC4477">
        <f>OrdersTable[[#This Row],[Delivery Date]]-OrdersTable[[#This Row],[Order Date]]</f>
        <v>5</v>
      </c>
      <c r="AD4477" t="str">
        <f>IF(OrdersTable[[#This Row],[Delivery Days]]&lt;=2, "Express (≤2d)", IF(OrdersTable[[#This Row],[Delivery Days]]&lt;=4, "Standard (3-4d)", "Delayed (5d+)"))</f>
        <v>Delayed (5d+)</v>
      </c>
      <c r="AE4477">
        <v>3</v>
      </c>
      <c r="AF4477">
        <v>0</v>
      </c>
    </row>
    <row r="4478" spans="1:32" ht="15" x14ac:dyDescent="0.35">
      <c r="A4478" t="s">
        <v>7136</v>
      </c>
      <c r="B4478" s="1">
        <v>45978</v>
      </c>
      <c r="C4478">
        <f>YEAR(OrdersTable[[#This Row],[Order Date]])</f>
        <v>2025</v>
      </c>
      <c r="D4478" s="2">
        <f>DATE(YEAR(OrdersTable[[#This Row],[Order Date]]),MONTH(OrdersTable[[#This Row],[Order Date]]),1)</f>
        <v>45962</v>
      </c>
      <c r="E4478">
        <f>MONTH(OrdersTable[[#This Row],[Order Date]])</f>
        <v>11</v>
      </c>
      <c r="F4478" t="s">
        <v>7137</v>
      </c>
      <c r="G4478" t="str">
        <f>IF(OrdersTable[[#This Row],[Order Date]]=_xlfn.MINIFS(Order_Date, Customer_ID, OrdersTable[[#This Row],[Customer ID]]), "New", "Repeat")</f>
        <v>New</v>
      </c>
      <c r="H4478" t="s">
        <v>32</v>
      </c>
      <c r="I4478" t="str">
        <f>INDEX(State!B:B,MATCH(OrdersTable[[#This Row],[State]],State!A:A,0))</f>
        <v>BR</v>
      </c>
      <c r="J4478" t="str">
        <f>INDEX(State!C:C,MATCH(OrdersTable[[#This Row],[State Code]],State!B:B,0))</f>
        <v>East</v>
      </c>
      <c r="K4478" t="s">
        <v>33</v>
      </c>
      <c r="L4478" t="s">
        <v>39</v>
      </c>
      <c r="M4478" t="s">
        <v>51</v>
      </c>
      <c r="N4478" t="str">
        <f>INDEX(Products!B:B,MATCH(OrdersTable[[#This Row],[Product ID]],Products!A:A,0))</f>
        <v>Anti-Dandruff Conditioner</v>
      </c>
      <c r="O4478" t="str">
        <f>INDEX(Products!C:C,MATCH(OrdersTable[[#This Row],[Product ID]],Products!A:A,0))</f>
        <v>Haircare</v>
      </c>
      <c r="P4478">
        <v>4</v>
      </c>
      <c r="Q4478" s="5">
        <v>399</v>
      </c>
      <c r="R4478" s="74">
        <v>0.35</v>
      </c>
      <c r="S4478" s="75">
        <f>OrdersTable[[#This Row],[Quantity]]*OrdersTable[[#This Row],[Unit Price]]</f>
        <v>1596</v>
      </c>
      <c r="T4478" s="5">
        <f>OrdersTable[[#This Row],[Gross Sale]]*OrdersTable[[#This Row],[Discount_Clean2]]</f>
        <v>558.59999999999991</v>
      </c>
      <c r="U4478" s="5">
        <f>OrdersTable[[#This Row],[Gross Sale]]-OrdersTable[[#This Row],[Discount Amount]]</f>
        <v>1037.4000000000001</v>
      </c>
      <c r="V4478" s="77">
        <f>INDEX(Products!E:E,MATCH(OrdersTable[[#This Row],[Product ID]],Products!A:A,0))</f>
        <v>136</v>
      </c>
      <c r="W4478" s="77">
        <f>OrdersTable[[#This Row],[Quantity]]*OrdersTable[[#This Row],[Unit Cost]]</f>
        <v>544</v>
      </c>
      <c r="X4478" s="77">
        <f>'Dropdown Lists'!$I$2*(1+OrdersTable[[#This Row],[Returned]])</f>
        <v>60</v>
      </c>
      <c r="Y4478" s="76">
        <f>OrdersTable[[#This Row],[Net Revenue]]-OrdersTable[[#This Row],[COGS]]-OrdersTable[[#This Row],[Shipping Cost]]</f>
        <v>433.40000000000009</v>
      </c>
      <c r="Z4478" s="78">
        <f>IFERROR(OrdersTable[[#This Row],[Profit]]/OrdersTable[[#This Row],[Net Revenue]],0)</f>
        <v>0.4177752072488915</v>
      </c>
      <c r="AA4478" t="s">
        <v>18</v>
      </c>
      <c r="AB4478" s="79">
        <v>45983</v>
      </c>
      <c r="AC4478">
        <f>OrdersTable[[#This Row],[Delivery Date]]-OrdersTable[[#This Row],[Order Date]]</f>
        <v>5</v>
      </c>
      <c r="AD4478" t="str">
        <f>IF(OrdersTable[[#This Row],[Delivery Days]]&lt;=2, "Express (≤2d)", IF(OrdersTable[[#This Row],[Delivery Days]]&lt;=4, "Standard (3-4d)", "Delayed (5d+)"))</f>
        <v>Delayed (5d+)</v>
      </c>
      <c r="AF4478">
        <v>0</v>
      </c>
    </row>
    <row r="4479" spans="1:32" ht="15" x14ac:dyDescent="0.35">
      <c r="A4479" t="s">
        <v>1312</v>
      </c>
      <c r="B4479" s="1">
        <v>45978</v>
      </c>
      <c r="C4479">
        <f>YEAR(OrdersTable[[#This Row],[Order Date]])</f>
        <v>2025</v>
      </c>
      <c r="D4479" s="2">
        <f>DATE(YEAR(OrdersTable[[#This Row],[Order Date]]),MONTH(OrdersTable[[#This Row],[Order Date]]),1)</f>
        <v>45962</v>
      </c>
      <c r="E4479">
        <f>MONTH(OrdersTable[[#This Row],[Order Date]])</f>
        <v>11</v>
      </c>
      <c r="F4479" t="s">
        <v>1313</v>
      </c>
      <c r="G4479" t="str">
        <f>IF(OrdersTable[[#This Row],[Order Date]]=_xlfn.MINIFS(Order_Date, Customer_ID, OrdersTable[[#This Row],[Customer ID]]), "New", "Repeat")</f>
        <v>Repeat</v>
      </c>
      <c r="H4479" t="s">
        <v>95</v>
      </c>
      <c r="I4479" t="str">
        <f>INDEX(State!B:B,MATCH(OrdersTable[[#This Row],[State]],State!A:A,0))</f>
        <v>TG</v>
      </c>
      <c r="J4479" t="str">
        <f>INDEX(State!C:C,MATCH(OrdersTable[[#This Row],[State Code]],State!B:B,0))</f>
        <v>South</v>
      </c>
      <c r="K4479" t="s">
        <v>96</v>
      </c>
      <c r="L4479" t="s">
        <v>16</v>
      </c>
      <c r="M4479" t="s">
        <v>34</v>
      </c>
      <c r="N4479" t="str">
        <f>INDEX(Products!B:B,MATCH(OrdersTable[[#This Row],[Product ID]],Products!A:A,0))</f>
        <v>Flip Flops</v>
      </c>
      <c r="O4479" t="str">
        <f>INDEX(Products!C:C,MATCH(OrdersTable[[#This Row],[Product ID]],Products!A:A,0))</f>
        <v>Footwear</v>
      </c>
      <c r="P4479">
        <v>1</v>
      </c>
      <c r="Q4479" s="5">
        <v>399</v>
      </c>
      <c r="R4479" s="74">
        <v>0.1</v>
      </c>
      <c r="S4479" s="75">
        <f>OrdersTable[[#This Row],[Quantity]]*OrdersTable[[#This Row],[Unit Price]]</f>
        <v>399</v>
      </c>
      <c r="T4479" s="5">
        <f>OrdersTable[[#This Row],[Gross Sale]]*OrdersTable[[#This Row],[Discount_Clean2]]</f>
        <v>39.900000000000006</v>
      </c>
      <c r="U4479" s="5">
        <f>OrdersTable[[#This Row],[Gross Sale]]-OrdersTable[[#This Row],[Discount Amount]]</f>
        <v>359.1</v>
      </c>
      <c r="V4479" s="77">
        <f>INDEX(Products!E:E,MATCH(OrdersTable[[#This Row],[Product ID]],Products!A:A,0))</f>
        <v>152</v>
      </c>
      <c r="W4479" s="77">
        <f>OrdersTable[[#This Row],[Quantity]]*OrdersTable[[#This Row],[Unit Cost]]</f>
        <v>152</v>
      </c>
      <c r="X4479" s="77">
        <f>'Dropdown Lists'!$I$2*(1+OrdersTable[[#This Row],[Returned]])</f>
        <v>120</v>
      </c>
      <c r="Y4479" s="76">
        <f>OrdersTable[[#This Row],[Net Revenue]]-OrdersTable[[#This Row],[COGS]]-OrdersTable[[#This Row],[Shipping Cost]]</f>
        <v>87.100000000000023</v>
      </c>
      <c r="Z4479" s="78">
        <f>IFERROR(OrdersTable[[#This Row],[Profit]]/OrdersTable[[#This Row],[Net Revenue]],0)</f>
        <v>0.24255082149818996</v>
      </c>
      <c r="AA4479" t="s">
        <v>18</v>
      </c>
      <c r="AB4479" s="79">
        <v>45979</v>
      </c>
      <c r="AC4479">
        <f>OrdersTable[[#This Row],[Delivery Date]]-OrdersTable[[#This Row],[Order Date]]</f>
        <v>1</v>
      </c>
      <c r="AD4479" t="str">
        <f>IF(OrdersTable[[#This Row],[Delivery Days]]&lt;=2, "Express (≤2d)", IF(OrdersTable[[#This Row],[Delivery Days]]&lt;=4, "Standard (3-4d)", "Delayed (5d+)"))</f>
        <v>Express (≤2d)</v>
      </c>
      <c r="AF4479">
        <v>1</v>
      </c>
    </row>
    <row r="4480" spans="1:32" ht="15" x14ac:dyDescent="0.35">
      <c r="A4480" t="s">
        <v>6011</v>
      </c>
      <c r="B4480" s="1">
        <v>45978</v>
      </c>
      <c r="C4480">
        <f>YEAR(OrdersTable[[#This Row],[Order Date]])</f>
        <v>2025</v>
      </c>
      <c r="D4480" s="2">
        <f>DATE(YEAR(OrdersTable[[#This Row],[Order Date]]),MONTH(OrdersTable[[#This Row],[Order Date]]),1)</f>
        <v>45962</v>
      </c>
      <c r="E4480">
        <f>MONTH(OrdersTable[[#This Row],[Order Date]])</f>
        <v>11</v>
      </c>
      <c r="F4480" t="s">
        <v>4244</v>
      </c>
      <c r="G4480" t="str">
        <f>IF(OrdersTable[[#This Row],[Order Date]]=_xlfn.MINIFS(Order_Date, Customer_ID, OrdersTable[[#This Row],[Customer ID]]), "New", "Repeat")</f>
        <v>Repeat</v>
      </c>
      <c r="H4480" t="s">
        <v>95</v>
      </c>
      <c r="I4480" t="str">
        <f>INDEX(State!B:B,MATCH(OrdersTable[[#This Row],[State]],State!A:A,0))</f>
        <v>TG</v>
      </c>
      <c r="J4480" t="str">
        <f>INDEX(State!C:C,MATCH(OrdersTable[[#This Row],[State Code]],State!B:B,0))</f>
        <v>South</v>
      </c>
      <c r="K4480" t="s">
        <v>96</v>
      </c>
      <c r="L4480" t="s">
        <v>65</v>
      </c>
      <c r="M4480" t="s">
        <v>92</v>
      </c>
      <c r="N4480" t="str">
        <f>INDEX(Products!B:B,MATCH(OrdersTable[[#This Row],[Product ID]],Products!A:A,0))</f>
        <v>Kolhapuri Sandals</v>
      </c>
      <c r="O4480" t="str">
        <f>INDEX(Products!C:C,MATCH(OrdersTable[[#This Row],[Product ID]],Products!A:A,0))</f>
        <v>Footwear</v>
      </c>
      <c r="P4480">
        <v>2</v>
      </c>
      <c r="Q4480" s="5">
        <v>999</v>
      </c>
      <c r="R4480" s="74">
        <v>0.1</v>
      </c>
      <c r="S4480" s="75">
        <f>OrdersTable[[#This Row],[Quantity]]*OrdersTable[[#This Row],[Unit Price]]</f>
        <v>1998</v>
      </c>
      <c r="T4480" s="5">
        <f>OrdersTable[[#This Row],[Gross Sale]]*OrdersTable[[#This Row],[Discount_Clean2]]</f>
        <v>199.8</v>
      </c>
      <c r="U4480" s="5">
        <f>OrdersTable[[#This Row],[Gross Sale]]-OrdersTable[[#This Row],[Discount Amount]]</f>
        <v>1798.2</v>
      </c>
      <c r="V4480" s="77">
        <f>INDEX(Products!E:E,MATCH(OrdersTable[[#This Row],[Product ID]],Products!A:A,0))</f>
        <v>400</v>
      </c>
      <c r="W4480" s="77">
        <f>OrdersTable[[#This Row],[Quantity]]*OrdersTable[[#This Row],[Unit Cost]]</f>
        <v>800</v>
      </c>
      <c r="X4480" s="77">
        <f>'Dropdown Lists'!$I$2*(1+OrdersTable[[#This Row],[Returned]])</f>
        <v>60</v>
      </c>
      <c r="Y4480" s="76">
        <f>OrdersTable[[#This Row],[Net Revenue]]-OrdersTable[[#This Row],[COGS]]-OrdersTable[[#This Row],[Shipping Cost]]</f>
        <v>938.2</v>
      </c>
      <c r="Z4480" s="78">
        <f>IFERROR(OrdersTable[[#This Row],[Profit]]/OrdersTable[[#This Row],[Net Revenue]],0)</f>
        <v>0.52174396618841068</v>
      </c>
      <c r="AA4480" t="s">
        <v>18</v>
      </c>
      <c r="AB4480" s="79">
        <v>45981</v>
      </c>
      <c r="AC4480">
        <f>OrdersTable[[#This Row],[Delivery Date]]-OrdersTable[[#This Row],[Order Date]]</f>
        <v>3</v>
      </c>
      <c r="AD4480" t="str">
        <f>IF(OrdersTable[[#This Row],[Delivery Days]]&lt;=2, "Express (≤2d)", IF(OrdersTable[[#This Row],[Delivery Days]]&lt;=4, "Standard (3-4d)", "Delayed (5d+)"))</f>
        <v>Standard (3-4d)</v>
      </c>
      <c r="AF4480">
        <v>0</v>
      </c>
    </row>
    <row r="4481" spans="1:32" ht="15" x14ac:dyDescent="0.35">
      <c r="A4481" t="s">
        <v>5267</v>
      </c>
      <c r="B4481" s="1">
        <v>45978</v>
      </c>
      <c r="C4481">
        <f>YEAR(OrdersTable[[#This Row],[Order Date]])</f>
        <v>2025</v>
      </c>
      <c r="D4481" s="2">
        <f>DATE(YEAR(OrdersTable[[#This Row],[Order Date]]),MONTH(OrdersTable[[#This Row],[Order Date]]),1)</f>
        <v>45962</v>
      </c>
      <c r="E4481">
        <f>MONTH(OrdersTable[[#This Row],[Order Date]])</f>
        <v>11</v>
      </c>
      <c r="F4481" t="s">
        <v>5268</v>
      </c>
      <c r="G4481" t="str">
        <f>IF(OrdersTable[[#This Row],[Order Date]]=_xlfn.MINIFS(Order_Date, Customer_ID, OrdersTable[[#This Row],[Customer ID]]), "New", "Repeat")</f>
        <v>New</v>
      </c>
      <c r="H4481" t="s">
        <v>167</v>
      </c>
      <c r="I4481" t="str">
        <f>INDEX(State!B:B,MATCH(OrdersTable[[#This Row],[State]],State!A:A,0))</f>
        <v>KA</v>
      </c>
      <c r="J4481" t="str">
        <f>INDEX(State!C:C,MATCH(OrdersTable[[#This Row],[State Code]],State!B:B,0))</f>
        <v>South</v>
      </c>
      <c r="K4481" t="s">
        <v>190</v>
      </c>
      <c r="L4481" t="s">
        <v>23</v>
      </c>
      <c r="M4481" t="s">
        <v>66</v>
      </c>
      <c r="N4481" t="str">
        <f>INDEX(Products!B:B,MATCH(OrdersTable[[#This Row],[Product ID]],Products!A:A,0))</f>
        <v>Sunscreen SPF 50</v>
      </c>
      <c r="O4481" t="str">
        <f>INDEX(Products!C:C,MATCH(OrdersTable[[#This Row],[Product ID]],Products!A:A,0))</f>
        <v>Skincare</v>
      </c>
      <c r="P4481">
        <v>2</v>
      </c>
      <c r="Q4481" s="5">
        <v>449</v>
      </c>
      <c r="R4481" s="74">
        <v>0.15</v>
      </c>
      <c r="S4481" s="75">
        <f>OrdersTable[[#This Row],[Quantity]]*OrdersTable[[#This Row],[Unit Price]]</f>
        <v>898</v>
      </c>
      <c r="T4481" s="5">
        <f>OrdersTable[[#This Row],[Gross Sale]]*OrdersTable[[#This Row],[Discount_Clean2]]</f>
        <v>134.69999999999999</v>
      </c>
      <c r="U4481" s="5">
        <f>OrdersTable[[#This Row],[Gross Sale]]-OrdersTable[[#This Row],[Discount Amount]]</f>
        <v>763.3</v>
      </c>
      <c r="V4481" s="77">
        <f>INDEX(Products!E:E,MATCH(OrdersTable[[#This Row],[Product ID]],Products!A:A,0))</f>
        <v>144</v>
      </c>
      <c r="W4481" s="77">
        <f>OrdersTable[[#This Row],[Quantity]]*OrdersTable[[#This Row],[Unit Cost]]</f>
        <v>288</v>
      </c>
      <c r="X4481" s="77">
        <f>'Dropdown Lists'!$I$2*(1+OrdersTable[[#This Row],[Returned]])</f>
        <v>60</v>
      </c>
      <c r="Y4481" s="76">
        <f>OrdersTable[[#This Row],[Net Revenue]]-OrdersTable[[#This Row],[COGS]]-OrdersTable[[#This Row],[Shipping Cost]]</f>
        <v>415.29999999999995</v>
      </c>
      <c r="Z4481" s="78">
        <f>IFERROR(OrdersTable[[#This Row],[Profit]]/OrdersTable[[#This Row],[Net Revenue]],0)</f>
        <v>0.54408489453687936</v>
      </c>
      <c r="AA4481" t="s">
        <v>3495</v>
      </c>
      <c r="AB4481" s="79">
        <v>45980</v>
      </c>
      <c r="AC4481">
        <f>OrdersTable[[#This Row],[Delivery Date]]-OrdersTable[[#This Row],[Order Date]]</f>
        <v>2</v>
      </c>
      <c r="AD4481" t="str">
        <f>IF(OrdersTable[[#This Row],[Delivery Days]]&lt;=2, "Express (≤2d)", IF(OrdersTable[[#This Row],[Delivery Days]]&lt;=4, "Standard (3-4d)", "Delayed (5d+)"))</f>
        <v>Express (≤2d)</v>
      </c>
      <c r="AE4481">
        <v>4</v>
      </c>
      <c r="AF4481">
        <v>0</v>
      </c>
    </row>
    <row r="4482" spans="1:32" ht="15" x14ac:dyDescent="0.35">
      <c r="A4482" t="s">
        <v>1803</v>
      </c>
      <c r="B4482" s="1">
        <v>45978</v>
      </c>
      <c r="C4482">
        <f>YEAR(OrdersTable[[#This Row],[Order Date]])</f>
        <v>2025</v>
      </c>
      <c r="D4482" s="2">
        <f>DATE(YEAR(OrdersTable[[#This Row],[Order Date]]),MONTH(OrdersTable[[#This Row],[Order Date]]),1)</f>
        <v>45962</v>
      </c>
      <c r="E4482">
        <f>MONTH(OrdersTable[[#This Row],[Order Date]])</f>
        <v>11</v>
      </c>
      <c r="F4482" t="s">
        <v>1804</v>
      </c>
      <c r="G4482" t="str">
        <f>IF(OrdersTable[[#This Row],[Order Date]]=_xlfn.MINIFS(Order_Date, Customer_ID, OrdersTable[[#This Row],[Customer ID]]), "New", "Repeat")</f>
        <v>Repeat</v>
      </c>
      <c r="H4482" t="s">
        <v>275</v>
      </c>
      <c r="I4482" t="str">
        <f>INDEX(State!B:B,MATCH(OrdersTable[[#This Row],[State]],State!A:A,0))</f>
        <v>AP</v>
      </c>
      <c r="J4482" t="str">
        <f>INDEX(State!C:C,MATCH(OrdersTable[[#This Row],[State Code]],State!B:B,0))</f>
        <v>South</v>
      </c>
      <c r="K4482" t="s">
        <v>276</v>
      </c>
      <c r="L4482" t="s">
        <v>65</v>
      </c>
      <c r="M4482" t="s">
        <v>148</v>
      </c>
      <c r="N4482" t="str">
        <f>INDEX(Products!B:B,MATCH(OrdersTable[[#This Row],[Product ID]],Products!A:A,0))</f>
        <v>Smartwatch Strap</v>
      </c>
      <c r="O4482" t="str">
        <f>INDEX(Products!C:C,MATCH(OrdersTable[[#This Row],[Product ID]],Products!A:A,0))</f>
        <v>Electronics</v>
      </c>
      <c r="P4482">
        <v>1</v>
      </c>
      <c r="Q4482" s="5">
        <v>499</v>
      </c>
      <c r="R4482" s="74">
        <v>0.3</v>
      </c>
      <c r="S4482" s="75">
        <f>OrdersTable[[#This Row],[Quantity]]*OrdersTable[[#This Row],[Unit Price]]</f>
        <v>499</v>
      </c>
      <c r="T4482" s="5">
        <f>OrdersTable[[#This Row],[Gross Sale]]*OrdersTable[[#This Row],[Discount_Clean2]]</f>
        <v>149.69999999999999</v>
      </c>
      <c r="U4482" s="5">
        <f>OrdersTable[[#This Row],[Gross Sale]]-OrdersTable[[#This Row],[Discount Amount]]</f>
        <v>349.3</v>
      </c>
      <c r="V4482" s="77">
        <f>INDEX(Products!E:E,MATCH(OrdersTable[[#This Row],[Product ID]],Products!A:A,0))</f>
        <v>200</v>
      </c>
      <c r="W4482" s="77">
        <f>OrdersTable[[#This Row],[Quantity]]*OrdersTable[[#This Row],[Unit Cost]]</f>
        <v>200</v>
      </c>
      <c r="X4482" s="77">
        <f>'Dropdown Lists'!$I$2*(1+OrdersTable[[#This Row],[Returned]])</f>
        <v>60</v>
      </c>
      <c r="Y4482" s="76">
        <f>OrdersTable[[#This Row],[Net Revenue]]-OrdersTable[[#This Row],[COGS]]-OrdersTable[[#This Row],[Shipping Cost]]</f>
        <v>89.300000000000011</v>
      </c>
      <c r="Z4482" s="78">
        <f>IFERROR(OrdersTable[[#This Row],[Profit]]/OrdersTable[[#This Row],[Net Revenue]],0)</f>
        <v>0.25565416547380476</v>
      </c>
      <c r="AA4482" t="s">
        <v>18</v>
      </c>
      <c r="AB4482" s="79">
        <v>45982</v>
      </c>
      <c r="AC4482">
        <f>OrdersTable[[#This Row],[Delivery Date]]-OrdersTable[[#This Row],[Order Date]]</f>
        <v>4</v>
      </c>
      <c r="AD4482" t="str">
        <f>IF(OrdersTable[[#This Row],[Delivery Days]]&lt;=2, "Express (≤2d)", IF(OrdersTable[[#This Row],[Delivery Days]]&lt;=4, "Standard (3-4d)", "Delayed (5d+)"))</f>
        <v>Standard (3-4d)</v>
      </c>
      <c r="AF4482">
        <v>0</v>
      </c>
    </row>
    <row r="4483" spans="1:32" ht="15" x14ac:dyDescent="0.35">
      <c r="A4483" t="s">
        <v>6012</v>
      </c>
      <c r="B4483" s="1">
        <v>45978</v>
      </c>
      <c r="C4483">
        <f>YEAR(OrdersTable[[#This Row],[Order Date]])</f>
        <v>2025</v>
      </c>
      <c r="D4483" s="2">
        <f>DATE(YEAR(OrdersTable[[#This Row],[Order Date]]),MONTH(OrdersTable[[#This Row],[Order Date]]),1)</f>
        <v>45962</v>
      </c>
      <c r="E4483">
        <f>MONTH(OrdersTable[[#This Row],[Order Date]])</f>
        <v>11</v>
      </c>
      <c r="F4483" t="s">
        <v>6013</v>
      </c>
      <c r="G4483" t="str">
        <f>IF(OrdersTable[[#This Row],[Order Date]]=_xlfn.MINIFS(Order_Date, Customer_ID, OrdersTable[[#This Row],[Customer ID]]), "New", "Repeat")</f>
        <v>New</v>
      </c>
      <c r="H4483" t="s">
        <v>316</v>
      </c>
      <c r="I4483" t="str">
        <f>INDEX(State!B:B,MATCH(OrdersTable[[#This Row],[State]],State!A:A,0))</f>
        <v>KL</v>
      </c>
      <c r="J4483" t="str">
        <f>INDEX(State!C:C,MATCH(OrdersTable[[#This Row],[State Code]],State!B:B,0))</f>
        <v>South</v>
      </c>
      <c r="K4483" t="s">
        <v>338</v>
      </c>
      <c r="L4483" t="s">
        <v>16</v>
      </c>
      <c r="M4483" t="s">
        <v>87</v>
      </c>
      <c r="N4483" t="str">
        <f>INDEX(Products!B:B,MATCH(OrdersTable[[#This Row],[Product ID]],Products!A:A,0))</f>
        <v>Linen Kurta</v>
      </c>
      <c r="O4483" t="str">
        <f>INDEX(Products!C:C,MATCH(OrdersTable[[#This Row],[Product ID]],Products!A:A,0))</f>
        <v>Apparel</v>
      </c>
      <c r="P4483">
        <v>2</v>
      </c>
      <c r="Q4483" s="5">
        <v>1499</v>
      </c>
      <c r="R4483" s="74">
        <v>0.45</v>
      </c>
      <c r="S4483" s="75">
        <f>OrdersTable[[#This Row],[Quantity]]*OrdersTable[[#This Row],[Unit Price]]</f>
        <v>2998</v>
      </c>
      <c r="T4483" s="5">
        <f>OrdersTable[[#This Row],[Gross Sale]]*OrdersTable[[#This Row],[Discount_Clean2]]</f>
        <v>1349.1000000000001</v>
      </c>
      <c r="U4483" s="5">
        <f>OrdersTable[[#This Row],[Gross Sale]]-OrdersTable[[#This Row],[Discount Amount]]</f>
        <v>1648.8999999999999</v>
      </c>
      <c r="V4483" s="77">
        <f>INDEX(Products!E:E,MATCH(OrdersTable[[#This Row],[Product ID]],Products!A:A,0))</f>
        <v>630</v>
      </c>
      <c r="W4483" s="77">
        <f>OrdersTable[[#This Row],[Quantity]]*OrdersTable[[#This Row],[Unit Cost]]</f>
        <v>1260</v>
      </c>
      <c r="X4483" s="77">
        <f>'Dropdown Lists'!$I$2*(1+OrdersTable[[#This Row],[Returned]])</f>
        <v>60</v>
      </c>
      <c r="Y4483" s="76">
        <f>OrdersTable[[#This Row],[Net Revenue]]-OrdersTable[[#This Row],[COGS]]-OrdersTable[[#This Row],[Shipping Cost]]</f>
        <v>328.89999999999986</v>
      </c>
      <c r="Z4483" s="78">
        <f>IFERROR(OrdersTable[[#This Row],[Profit]]/OrdersTable[[#This Row],[Net Revenue]],0)</f>
        <v>0.19946631087391586</v>
      </c>
      <c r="AA4483" t="s">
        <v>18</v>
      </c>
      <c r="AB4483" s="79">
        <v>45981</v>
      </c>
      <c r="AC4483">
        <f>OrdersTable[[#This Row],[Delivery Date]]-OrdersTable[[#This Row],[Order Date]]</f>
        <v>3</v>
      </c>
      <c r="AD4483" t="str">
        <f>IF(OrdersTable[[#This Row],[Delivery Days]]&lt;=2, "Express (≤2d)", IF(OrdersTable[[#This Row],[Delivery Days]]&lt;=4, "Standard (3-4d)", "Delayed (5d+)"))</f>
        <v>Standard (3-4d)</v>
      </c>
      <c r="AF4483">
        <v>0</v>
      </c>
    </row>
    <row r="4484" spans="1:32" ht="15" x14ac:dyDescent="0.35">
      <c r="A4484" t="s">
        <v>2532</v>
      </c>
      <c r="B4484" s="1">
        <v>45979</v>
      </c>
      <c r="C4484">
        <f>YEAR(OrdersTable[[#This Row],[Order Date]])</f>
        <v>2025</v>
      </c>
      <c r="D4484" s="2">
        <f>DATE(YEAR(OrdersTable[[#This Row],[Order Date]]),MONTH(OrdersTable[[#This Row],[Order Date]]),1)</f>
        <v>45962</v>
      </c>
      <c r="E4484">
        <f>MONTH(OrdersTable[[#This Row],[Order Date]])</f>
        <v>11</v>
      </c>
      <c r="F4484" t="s">
        <v>2533</v>
      </c>
      <c r="G4484" t="str">
        <f>IF(OrdersTable[[#This Row],[Order Date]]=_xlfn.MINIFS(Order_Date, Customer_ID, OrdersTable[[#This Row],[Customer ID]]), "New", "Repeat")</f>
        <v>New</v>
      </c>
      <c r="H4484" t="s">
        <v>48</v>
      </c>
      <c r="I4484" t="str">
        <f>INDEX(State!B:B,MATCH(OrdersTable[[#This Row],[State]],State!A:A,0))</f>
        <v>HR</v>
      </c>
      <c r="J4484" t="str">
        <f>INDEX(State!C:C,MATCH(OrdersTable[[#This Row],[State Code]],State!B:B,0))</f>
        <v>North</v>
      </c>
      <c r="K4484" t="s">
        <v>49</v>
      </c>
      <c r="L4484" t="s">
        <v>23</v>
      </c>
      <c r="M4484" t="s">
        <v>87</v>
      </c>
      <c r="N4484" t="str">
        <f>INDEX(Products!B:B,MATCH(OrdersTable[[#This Row],[Product ID]],Products!A:A,0))</f>
        <v>Linen Kurta</v>
      </c>
      <c r="O4484" t="str">
        <f>INDEX(Products!C:C,MATCH(OrdersTable[[#This Row],[Product ID]],Products!A:A,0))</f>
        <v>Apparel</v>
      </c>
      <c r="P4484">
        <v>1</v>
      </c>
      <c r="Q4484" s="5">
        <v>1499</v>
      </c>
      <c r="R4484" s="74">
        <v>0.4</v>
      </c>
      <c r="S4484" s="75">
        <f>OrdersTable[[#This Row],[Quantity]]*OrdersTable[[#This Row],[Unit Price]]</f>
        <v>1499</v>
      </c>
      <c r="T4484" s="5">
        <f>OrdersTable[[#This Row],[Gross Sale]]*OrdersTable[[#This Row],[Discount_Clean2]]</f>
        <v>599.6</v>
      </c>
      <c r="U4484" s="5">
        <f>OrdersTable[[#This Row],[Gross Sale]]-OrdersTable[[#This Row],[Discount Amount]]</f>
        <v>899.4</v>
      </c>
      <c r="V4484" s="77">
        <f>INDEX(Products!E:E,MATCH(OrdersTable[[#This Row],[Product ID]],Products!A:A,0))</f>
        <v>630</v>
      </c>
      <c r="W4484" s="77">
        <f>OrdersTable[[#This Row],[Quantity]]*OrdersTable[[#This Row],[Unit Cost]]</f>
        <v>630</v>
      </c>
      <c r="X4484" s="77">
        <f>'Dropdown Lists'!$I$2*(1+OrdersTable[[#This Row],[Returned]])</f>
        <v>60</v>
      </c>
      <c r="Y4484" s="76">
        <f>OrdersTable[[#This Row],[Net Revenue]]-OrdersTable[[#This Row],[COGS]]-OrdersTable[[#This Row],[Shipping Cost]]</f>
        <v>209.39999999999998</v>
      </c>
      <c r="Z4484" s="78">
        <f>IFERROR(OrdersTable[[#This Row],[Profit]]/OrdersTable[[#This Row],[Net Revenue]],0)</f>
        <v>0.23282188125416942</v>
      </c>
      <c r="AA4484" t="s">
        <v>2522</v>
      </c>
      <c r="AB4484" s="79">
        <v>45983</v>
      </c>
      <c r="AC4484">
        <f>OrdersTable[[#This Row],[Delivery Date]]-OrdersTable[[#This Row],[Order Date]]</f>
        <v>4</v>
      </c>
      <c r="AD4484" t="str">
        <f>IF(OrdersTable[[#This Row],[Delivery Days]]&lt;=2, "Express (≤2d)", IF(OrdersTable[[#This Row],[Delivery Days]]&lt;=4, "Standard (3-4d)", "Delayed (5d+)"))</f>
        <v>Standard (3-4d)</v>
      </c>
      <c r="AE4484">
        <v>2</v>
      </c>
      <c r="AF4484">
        <v>0</v>
      </c>
    </row>
    <row r="4485" spans="1:32" ht="15" x14ac:dyDescent="0.35">
      <c r="A4485" t="s">
        <v>6014</v>
      </c>
      <c r="B4485" s="1">
        <v>45979</v>
      </c>
      <c r="C4485">
        <f>YEAR(OrdersTable[[#This Row],[Order Date]])</f>
        <v>2025</v>
      </c>
      <c r="D4485" s="2">
        <f>DATE(YEAR(OrdersTable[[#This Row],[Order Date]]),MONTH(OrdersTable[[#This Row],[Order Date]]),1)</f>
        <v>45962</v>
      </c>
      <c r="E4485">
        <f>MONTH(OrdersTable[[#This Row],[Order Date]])</f>
        <v>11</v>
      </c>
      <c r="F4485" t="s">
        <v>3985</v>
      </c>
      <c r="G4485" t="str">
        <f>IF(OrdersTable[[#This Row],[Order Date]]=_xlfn.MINIFS(Order_Date, Customer_ID, OrdersTable[[#This Row],[Customer ID]]), "New", "Repeat")</f>
        <v>Repeat</v>
      </c>
      <c r="H4485" t="s">
        <v>48</v>
      </c>
      <c r="I4485" t="str">
        <f>INDEX(State!B:B,MATCH(OrdersTable[[#This Row],[State]],State!A:A,0))</f>
        <v>HR</v>
      </c>
      <c r="J4485" t="str">
        <f>INDEX(State!C:C,MATCH(OrdersTable[[#This Row],[State Code]],State!B:B,0))</f>
        <v>North</v>
      </c>
      <c r="K4485" t="s">
        <v>151</v>
      </c>
      <c r="L4485" t="s">
        <v>65</v>
      </c>
      <c r="M4485" t="s">
        <v>40</v>
      </c>
      <c r="N4485" t="str">
        <f>INDEX(Products!B:B,MATCH(OrdersTable[[#This Row],[Product ID]],Products!A:A,0))</f>
        <v>Ashwagandha Capsules</v>
      </c>
      <c r="O4485" t="str">
        <f>INDEX(Products!C:C,MATCH(OrdersTable[[#This Row],[Product ID]],Products!A:A,0))</f>
        <v>Wellness</v>
      </c>
      <c r="P4485">
        <v>2</v>
      </c>
      <c r="Q4485" s="5">
        <v>499</v>
      </c>
      <c r="R4485" s="74">
        <v>0.2</v>
      </c>
      <c r="S4485" s="75">
        <f>OrdersTable[[#This Row],[Quantity]]*OrdersTable[[#This Row],[Unit Price]]</f>
        <v>998</v>
      </c>
      <c r="T4485" s="5">
        <f>OrdersTable[[#This Row],[Gross Sale]]*OrdersTable[[#This Row],[Discount_Clean2]]</f>
        <v>199.60000000000002</v>
      </c>
      <c r="U4485" s="5">
        <f>OrdersTable[[#This Row],[Gross Sale]]-OrdersTable[[#This Row],[Discount Amount]]</f>
        <v>798.4</v>
      </c>
      <c r="V4485" s="77">
        <f>INDEX(Products!E:E,MATCH(OrdersTable[[#This Row],[Product ID]],Products!A:A,0))</f>
        <v>150</v>
      </c>
      <c r="W4485" s="77">
        <f>OrdersTable[[#This Row],[Quantity]]*OrdersTable[[#This Row],[Unit Cost]]</f>
        <v>300</v>
      </c>
      <c r="X4485" s="77">
        <f>'Dropdown Lists'!$I$2*(1+OrdersTable[[#This Row],[Returned]])</f>
        <v>60</v>
      </c>
      <c r="Y4485" s="76">
        <f>OrdersTable[[#This Row],[Net Revenue]]-OrdersTable[[#This Row],[COGS]]-OrdersTable[[#This Row],[Shipping Cost]]</f>
        <v>438.4</v>
      </c>
      <c r="Z4485" s="78">
        <f>IFERROR(OrdersTable[[#This Row],[Profit]]/OrdersTable[[#This Row],[Net Revenue]],0)</f>
        <v>0.54909819639278556</v>
      </c>
      <c r="AA4485" t="s">
        <v>18</v>
      </c>
      <c r="AB4485" s="79">
        <v>45983</v>
      </c>
      <c r="AC4485">
        <f>OrdersTable[[#This Row],[Delivery Date]]-OrdersTable[[#This Row],[Order Date]]</f>
        <v>4</v>
      </c>
      <c r="AD4485" t="str">
        <f>IF(OrdersTable[[#This Row],[Delivery Days]]&lt;=2, "Express (≤2d)", IF(OrdersTable[[#This Row],[Delivery Days]]&lt;=4, "Standard (3-4d)", "Delayed (5d+)"))</f>
        <v>Standard (3-4d)</v>
      </c>
      <c r="AF4485">
        <v>0</v>
      </c>
    </row>
    <row r="4486" spans="1:32" ht="15" x14ac:dyDescent="0.35">
      <c r="A4486" t="s">
        <v>4733</v>
      </c>
      <c r="B4486" s="1">
        <v>45979</v>
      </c>
      <c r="C4486">
        <f>YEAR(OrdersTable[[#This Row],[Order Date]])</f>
        <v>2025</v>
      </c>
      <c r="D4486" s="2">
        <f>DATE(YEAR(OrdersTable[[#This Row],[Order Date]]),MONTH(OrdersTable[[#This Row],[Order Date]]),1)</f>
        <v>45962</v>
      </c>
      <c r="E4486">
        <f>MONTH(OrdersTable[[#This Row],[Order Date]])</f>
        <v>11</v>
      </c>
      <c r="F4486" t="s">
        <v>407</v>
      </c>
      <c r="G4486" t="str">
        <f>IF(OrdersTable[[#This Row],[Order Date]]=_xlfn.MINIFS(Order_Date, Customer_ID, OrdersTable[[#This Row],[Customer ID]]), "New", "Repeat")</f>
        <v>Repeat</v>
      </c>
      <c r="H4486" t="s">
        <v>128</v>
      </c>
      <c r="I4486" t="str">
        <f>INDEX(State!B:B,MATCH(OrdersTable[[#This Row],[State]],State!A:A,0))</f>
        <v>DL</v>
      </c>
      <c r="J4486" t="str">
        <f>INDEX(State!C:C,MATCH(OrdersTable[[#This Row],[State Code]],State!B:B,0))</f>
        <v>North</v>
      </c>
      <c r="K4486" t="s">
        <v>129</v>
      </c>
      <c r="L4486" t="s">
        <v>65</v>
      </c>
      <c r="M4486" t="s">
        <v>152</v>
      </c>
      <c r="N4486" t="str">
        <f>INDEX(Products!B:B,MATCH(OrdersTable[[#This Row],[Product ID]],Products!A:A,0))</f>
        <v>Green Tea (100 bags)</v>
      </c>
      <c r="O4486" t="str">
        <f>INDEX(Products!C:C,MATCH(OrdersTable[[#This Row],[Product ID]],Products!A:A,0))</f>
        <v>Wellness</v>
      </c>
      <c r="P4486">
        <v>1</v>
      </c>
      <c r="Q4486" s="5">
        <v>399</v>
      </c>
      <c r="R4486" s="74">
        <v>0.4</v>
      </c>
      <c r="S4486" s="75">
        <f>OrdersTable[[#This Row],[Quantity]]*OrdersTable[[#This Row],[Unit Price]]</f>
        <v>399</v>
      </c>
      <c r="T4486" s="5">
        <f>OrdersTable[[#This Row],[Gross Sale]]*OrdersTable[[#This Row],[Discount_Clean2]]</f>
        <v>159.60000000000002</v>
      </c>
      <c r="U4486" s="5">
        <f>OrdersTable[[#This Row],[Gross Sale]]-OrdersTable[[#This Row],[Discount Amount]]</f>
        <v>239.39999999999998</v>
      </c>
      <c r="V4486" s="77">
        <f>INDEX(Products!E:E,MATCH(OrdersTable[[#This Row],[Product ID]],Products!A:A,0))</f>
        <v>128</v>
      </c>
      <c r="W4486" s="77">
        <f>OrdersTable[[#This Row],[Quantity]]*OrdersTable[[#This Row],[Unit Cost]]</f>
        <v>128</v>
      </c>
      <c r="X4486" s="77">
        <f>'Dropdown Lists'!$I$2*(1+OrdersTable[[#This Row],[Returned]])</f>
        <v>60</v>
      </c>
      <c r="Y4486" s="76">
        <f>OrdersTable[[#This Row],[Net Revenue]]-OrdersTable[[#This Row],[COGS]]-OrdersTable[[#This Row],[Shipping Cost]]</f>
        <v>51.399999999999977</v>
      </c>
      <c r="Z4486" s="78">
        <f>IFERROR(OrdersTable[[#This Row],[Profit]]/OrdersTable[[#This Row],[Net Revenue]],0)</f>
        <v>0.21470342522974095</v>
      </c>
      <c r="AA4486" t="s">
        <v>4450</v>
      </c>
      <c r="AB4486" s="79">
        <v>45983</v>
      </c>
      <c r="AC4486">
        <f>OrdersTable[[#This Row],[Delivery Date]]-OrdersTable[[#This Row],[Order Date]]</f>
        <v>4</v>
      </c>
      <c r="AD4486" t="str">
        <f>IF(OrdersTable[[#This Row],[Delivery Days]]&lt;=2, "Express (≤2d)", IF(OrdersTable[[#This Row],[Delivery Days]]&lt;=4, "Standard (3-4d)", "Delayed (5d+)"))</f>
        <v>Standard (3-4d)</v>
      </c>
      <c r="AE4486">
        <v>3</v>
      </c>
      <c r="AF4486">
        <v>0</v>
      </c>
    </row>
    <row r="4487" spans="1:32" ht="15" x14ac:dyDescent="0.35">
      <c r="A4487" t="s">
        <v>6015</v>
      </c>
      <c r="B4487" s="1">
        <v>45979</v>
      </c>
      <c r="C4487">
        <f>YEAR(OrdersTable[[#This Row],[Order Date]])</f>
        <v>2025</v>
      </c>
      <c r="D4487" s="2">
        <f>DATE(YEAR(OrdersTable[[#This Row],[Order Date]]),MONTH(OrdersTable[[#This Row],[Order Date]]),1)</f>
        <v>45962</v>
      </c>
      <c r="E4487">
        <f>MONTH(OrdersTable[[#This Row],[Order Date]])</f>
        <v>11</v>
      </c>
      <c r="F4487" t="s">
        <v>6016</v>
      </c>
      <c r="G4487" t="str">
        <f>IF(OrdersTable[[#This Row],[Order Date]]=_xlfn.MINIFS(Order_Date, Customer_ID, OrdersTable[[#This Row],[Customer ID]]), "New", "Repeat")</f>
        <v>New</v>
      </c>
      <c r="H4487" t="s">
        <v>32</v>
      </c>
      <c r="I4487" t="str">
        <f>INDEX(State!B:B,MATCH(OrdersTable[[#This Row],[State]],State!A:A,0))</f>
        <v>BR</v>
      </c>
      <c r="J4487" t="str">
        <f>INDEX(State!C:C,MATCH(OrdersTable[[#This Row],[State Code]],State!B:B,0))</f>
        <v>East</v>
      </c>
      <c r="K4487" t="s">
        <v>33</v>
      </c>
      <c r="L4487" t="s">
        <v>23</v>
      </c>
      <c r="M4487" t="s">
        <v>205</v>
      </c>
      <c r="N4487" t="str">
        <f>INDEX(Products!B:B,MATCH(OrdersTable[[#This Row],[Product ID]],Products!A:A,0))</f>
        <v>Running Shoes</v>
      </c>
      <c r="O4487" t="str">
        <f>INDEX(Products!C:C,MATCH(OrdersTable[[#This Row],[Product ID]],Products!A:A,0))</f>
        <v>Footwear</v>
      </c>
      <c r="P4487">
        <v>2</v>
      </c>
      <c r="Q4487" s="5">
        <v>2999</v>
      </c>
      <c r="R4487" s="74">
        <v>0.3</v>
      </c>
      <c r="S4487" s="75">
        <f>OrdersTable[[#This Row],[Quantity]]*OrdersTable[[#This Row],[Unit Price]]</f>
        <v>5998</v>
      </c>
      <c r="T4487" s="5">
        <f>OrdersTable[[#This Row],[Gross Sale]]*OrdersTable[[#This Row],[Discount_Clean2]]</f>
        <v>1799.3999999999999</v>
      </c>
      <c r="U4487" s="5">
        <f>OrdersTable[[#This Row],[Gross Sale]]-OrdersTable[[#This Row],[Discount Amount]]</f>
        <v>4198.6000000000004</v>
      </c>
      <c r="V4487" s="77">
        <f>INDEX(Products!E:E,MATCH(OrdersTable[[#This Row],[Product ID]],Products!A:A,0))</f>
        <v>1440</v>
      </c>
      <c r="W4487" s="77">
        <f>OrdersTable[[#This Row],[Quantity]]*OrdersTable[[#This Row],[Unit Cost]]</f>
        <v>2880</v>
      </c>
      <c r="X4487" s="77">
        <f>'Dropdown Lists'!$I$2*(1+OrdersTable[[#This Row],[Returned]])</f>
        <v>60</v>
      </c>
      <c r="Y4487" s="76">
        <f>OrdersTable[[#This Row],[Net Revenue]]-OrdersTable[[#This Row],[COGS]]-OrdersTable[[#This Row],[Shipping Cost]]</f>
        <v>1258.6000000000004</v>
      </c>
      <c r="Z4487" s="78">
        <f>IFERROR(OrdersTable[[#This Row],[Profit]]/OrdersTable[[#This Row],[Net Revenue]],0)</f>
        <v>0.29976658886295438</v>
      </c>
      <c r="AA4487" t="s">
        <v>18</v>
      </c>
      <c r="AB4487" s="79">
        <v>45984</v>
      </c>
      <c r="AC4487">
        <f>OrdersTable[[#This Row],[Delivery Date]]-OrdersTable[[#This Row],[Order Date]]</f>
        <v>5</v>
      </c>
      <c r="AD4487" t="str">
        <f>IF(OrdersTable[[#This Row],[Delivery Days]]&lt;=2, "Express (≤2d)", IF(OrdersTable[[#This Row],[Delivery Days]]&lt;=4, "Standard (3-4d)", "Delayed (5d+)"))</f>
        <v>Delayed (5d+)</v>
      </c>
      <c r="AF4487">
        <v>0</v>
      </c>
    </row>
    <row r="4488" spans="1:32" ht="15" x14ac:dyDescent="0.35">
      <c r="A4488" t="s">
        <v>406</v>
      </c>
      <c r="B4488" s="1">
        <v>45979</v>
      </c>
      <c r="C4488">
        <f>YEAR(OrdersTable[[#This Row],[Order Date]])</f>
        <v>2025</v>
      </c>
      <c r="D4488" s="2">
        <f>DATE(YEAR(OrdersTable[[#This Row],[Order Date]]),MONTH(OrdersTable[[#This Row],[Order Date]]),1)</f>
        <v>45962</v>
      </c>
      <c r="E4488">
        <f>MONTH(OrdersTable[[#This Row],[Order Date]])</f>
        <v>11</v>
      </c>
      <c r="F4488" t="s">
        <v>407</v>
      </c>
      <c r="G4488" t="str">
        <f>IF(OrdersTable[[#This Row],[Order Date]]=_xlfn.MINIFS(Order_Date, Customer_ID, OrdersTable[[#This Row],[Customer ID]]), "New", "Repeat")</f>
        <v>Repeat</v>
      </c>
      <c r="H4488" t="s">
        <v>27</v>
      </c>
      <c r="I4488" t="str">
        <f>INDEX(State!B:B,MATCH(OrdersTable[[#This Row],[State]],State!A:A,0))</f>
        <v>WB</v>
      </c>
      <c r="J4488" t="str">
        <f>INDEX(State!C:C,MATCH(OrdersTable[[#This Row],[State Code]],State!B:B,0))</f>
        <v>East</v>
      </c>
      <c r="K4488" t="s">
        <v>28</v>
      </c>
      <c r="L4488" t="s">
        <v>65</v>
      </c>
      <c r="M4488" t="s">
        <v>176</v>
      </c>
      <c r="N4488" t="str">
        <f>INDEX(Products!B:B,MATCH(OrdersTable[[#This Row],[Product ID]],Products!A:A,0))</f>
        <v>Denim Jacket</v>
      </c>
      <c r="O4488" t="str">
        <f>INDEX(Products!C:C,MATCH(OrdersTable[[#This Row],[Product ID]],Products!A:A,0))</f>
        <v>Apparel</v>
      </c>
      <c r="P4488">
        <v>1</v>
      </c>
      <c r="Q4488" s="5">
        <v>2499</v>
      </c>
      <c r="R4488" s="74">
        <v>0.15</v>
      </c>
      <c r="S4488" s="75">
        <f>OrdersTable[[#This Row],[Quantity]]*OrdersTable[[#This Row],[Unit Price]]</f>
        <v>2499</v>
      </c>
      <c r="T4488" s="5">
        <f>OrdersTable[[#This Row],[Gross Sale]]*OrdersTable[[#This Row],[Discount_Clean2]]</f>
        <v>374.84999999999997</v>
      </c>
      <c r="U4488" s="5">
        <f>OrdersTable[[#This Row],[Gross Sale]]-OrdersTable[[#This Row],[Discount Amount]]</f>
        <v>2124.15</v>
      </c>
      <c r="V4488" s="77">
        <f>INDEX(Products!E:E,MATCH(OrdersTable[[#This Row],[Product ID]],Products!A:A,0))</f>
        <v>1125</v>
      </c>
      <c r="W4488" s="77">
        <f>OrdersTable[[#This Row],[Quantity]]*OrdersTable[[#This Row],[Unit Cost]]</f>
        <v>1125</v>
      </c>
      <c r="X4488" s="77">
        <f>'Dropdown Lists'!$I$2*(1+OrdersTable[[#This Row],[Returned]])</f>
        <v>60</v>
      </c>
      <c r="Y4488" s="76">
        <f>OrdersTable[[#This Row],[Net Revenue]]-OrdersTable[[#This Row],[COGS]]-OrdersTable[[#This Row],[Shipping Cost]]</f>
        <v>939.15000000000009</v>
      </c>
      <c r="Z4488" s="78">
        <f>IFERROR(OrdersTable[[#This Row],[Profit]]/OrdersTable[[#This Row],[Net Revenue]],0)</f>
        <v>0.44212979309370809</v>
      </c>
      <c r="AA4488" t="s">
        <v>18</v>
      </c>
      <c r="AB4488" s="79">
        <v>45983</v>
      </c>
      <c r="AC4488">
        <f>OrdersTable[[#This Row],[Delivery Date]]-OrdersTable[[#This Row],[Order Date]]</f>
        <v>4</v>
      </c>
      <c r="AD4488" t="str">
        <f>IF(OrdersTable[[#This Row],[Delivery Days]]&lt;=2, "Express (≤2d)", IF(OrdersTable[[#This Row],[Delivery Days]]&lt;=4, "Standard (3-4d)", "Delayed (5d+)"))</f>
        <v>Standard (3-4d)</v>
      </c>
      <c r="AE4488">
        <v>4</v>
      </c>
      <c r="AF4488">
        <v>0</v>
      </c>
    </row>
    <row r="4489" spans="1:32" ht="15" x14ac:dyDescent="0.35">
      <c r="A4489" t="s">
        <v>5555</v>
      </c>
      <c r="B4489" s="1">
        <v>45979</v>
      </c>
      <c r="C4489">
        <f>YEAR(OrdersTable[[#This Row],[Order Date]])</f>
        <v>2025</v>
      </c>
      <c r="D4489" s="2">
        <f>DATE(YEAR(OrdersTable[[#This Row],[Order Date]]),MONTH(OrdersTable[[#This Row],[Order Date]]),1)</f>
        <v>45962</v>
      </c>
      <c r="E4489">
        <f>MONTH(OrdersTable[[#This Row],[Order Date]])</f>
        <v>11</v>
      </c>
      <c r="F4489" t="s">
        <v>5556</v>
      </c>
      <c r="G4489" t="str">
        <f>IF(OrdersTable[[#This Row],[Order Date]]=_xlfn.MINIFS(Order_Date, Customer_ID, OrdersTable[[#This Row],[Customer ID]]), "New", "Repeat")</f>
        <v>New</v>
      </c>
      <c r="H4489" t="s">
        <v>95</v>
      </c>
      <c r="I4489" t="str">
        <f>INDEX(State!B:B,MATCH(OrdersTable[[#This Row],[State]],State!A:A,0))</f>
        <v>TG</v>
      </c>
      <c r="J4489" t="str">
        <f>INDEX(State!C:C,MATCH(OrdersTable[[#This Row],[State Code]],State!B:B,0))</f>
        <v>South</v>
      </c>
      <c r="K4489" t="s">
        <v>96</v>
      </c>
      <c r="L4489" t="s">
        <v>23</v>
      </c>
      <c r="M4489" t="s">
        <v>173</v>
      </c>
      <c r="N4489" t="str">
        <f>INDEX(Products!B:B,MATCH(OrdersTable[[#This Row],[Product ID]],Products!A:A,0))</f>
        <v>Wireless Earbuds</v>
      </c>
      <c r="O4489" t="str">
        <f>INDEX(Products!C:C,MATCH(OrdersTable[[#This Row],[Product ID]],Products!A:A,0))</f>
        <v>Electronics</v>
      </c>
      <c r="P4489">
        <v>2</v>
      </c>
      <c r="Q4489" s="5">
        <v>1999</v>
      </c>
      <c r="R4489" s="74">
        <v>0.6</v>
      </c>
      <c r="S4489" s="75">
        <f>OrdersTable[[#This Row],[Quantity]]*OrdersTable[[#This Row],[Unit Price]]</f>
        <v>3998</v>
      </c>
      <c r="T4489" s="5">
        <f>OrdersTable[[#This Row],[Gross Sale]]*OrdersTable[[#This Row],[Discount_Clean2]]</f>
        <v>2398.7999999999997</v>
      </c>
      <c r="U4489" s="5">
        <f>OrdersTable[[#This Row],[Gross Sale]]-OrdersTable[[#This Row],[Discount Amount]]</f>
        <v>1599.2000000000003</v>
      </c>
      <c r="V4489" s="77">
        <f>INDEX(Products!E:E,MATCH(OrdersTable[[#This Row],[Product ID]],Products!A:A,0))</f>
        <v>1239</v>
      </c>
      <c r="W4489" s="77">
        <f>OrdersTable[[#This Row],[Quantity]]*OrdersTable[[#This Row],[Unit Cost]]</f>
        <v>2478</v>
      </c>
      <c r="X4489" s="77">
        <f>'Dropdown Lists'!$I$2*(1+OrdersTable[[#This Row],[Returned]])</f>
        <v>120</v>
      </c>
      <c r="Y4489" s="76">
        <f>OrdersTable[[#This Row],[Net Revenue]]-OrdersTable[[#This Row],[COGS]]-OrdersTable[[#This Row],[Shipping Cost]]</f>
        <v>-998.79999999999973</v>
      </c>
      <c r="Z4489" s="78">
        <f>IFERROR(OrdersTable[[#This Row],[Profit]]/OrdersTable[[#This Row],[Net Revenue]],0)</f>
        <v>-0.62456228114057</v>
      </c>
      <c r="AA4489" t="s">
        <v>2522</v>
      </c>
      <c r="AB4489" s="79">
        <v>45982</v>
      </c>
      <c r="AC4489">
        <f>OrdersTable[[#This Row],[Delivery Date]]-OrdersTable[[#This Row],[Order Date]]</f>
        <v>3</v>
      </c>
      <c r="AD4489" t="str">
        <f>IF(OrdersTable[[#This Row],[Delivery Days]]&lt;=2, "Express (≤2d)", IF(OrdersTable[[#This Row],[Delivery Days]]&lt;=4, "Standard (3-4d)", "Delayed (5d+)"))</f>
        <v>Standard (3-4d)</v>
      </c>
      <c r="AE4489">
        <v>4</v>
      </c>
      <c r="AF4489">
        <v>1</v>
      </c>
    </row>
    <row r="4490" spans="1:32" ht="15" x14ac:dyDescent="0.35">
      <c r="A4490" t="s">
        <v>1805</v>
      </c>
      <c r="B4490" s="1">
        <v>45979</v>
      </c>
      <c r="C4490">
        <f>YEAR(OrdersTable[[#This Row],[Order Date]])</f>
        <v>2025</v>
      </c>
      <c r="D4490" s="2">
        <f>DATE(YEAR(OrdersTable[[#This Row],[Order Date]]),MONTH(OrdersTable[[#This Row],[Order Date]]),1)</f>
        <v>45962</v>
      </c>
      <c r="E4490">
        <f>MONTH(OrdersTable[[#This Row],[Order Date]])</f>
        <v>11</v>
      </c>
      <c r="F4490" t="s">
        <v>1806</v>
      </c>
      <c r="G4490" t="str">
        <f>IF(OrdersTable[[#This Row],[Order Date]]=_xlfn.MINIFS(Order_Date, Customer_ID, OrdersTable[[#This Row],[Customer ID]]), "New", "Repeat")</f>
        <v>New</v>
      </c>
      <c r="H4490" t="s">
        <v>167</v>
      </c>
      <c r="I4490" t="str">
        <f>INDEX(State!B:B,MATCH(OrdersTable[[#This Row],[State]],State!A:A,0))</f>
        <v>KA</v>
      </c>
      <c r="J4490" t="str">
        <f>INDEX(State!C:C,MATCH(OrdersTable[[#This Row],[State Code]],State!B:B,0))</f>
        <v>South</v>
      </c>
      <c r="K4490" t="s">
        <v>190</v>
      </c>
      <c r="L4490" t="s">
        <v>65</v>
      </c>
      <c r="M4490" t="s">
        <v>228</v>
      </c>
      <c r="N4490" t="str">
        <f>INDEX(Products!B:B,MATCH(OrdersTable[[#This Row],[Product ID]],Products!A:A,0))</f>
        <v>Fast Charger 33W</v>
      </c>
      <c r="O4490" t="str">
        <f>INDEX(Products!C:C,MATCH(OrdersTable[[#This Row],[Product ID]],Products!A:A,0))</f>
        <v>Electronics</v>
      </c>
      <c r="P4490">
        <v>1</v>
      </c>
      <c r="Q4490" s="5">
        <v>899</v>
      </c>
      <c r="R4490" s="74">
        <v>0.1</v>
      </c>
      <c r="S4490" s="75">
        <f>OrdersTable[[#This Row],[Quantity]]*OrdersTable[[#This Row],[Unit Price]]</f>
        <v>899</v>
      </c>
      <c r="T4490" s="5">
        <f>OrdersTable[[#This Row],[Gross Sale]]*OrdersTable[[#This Row],[Discount_Clean2]]</f>
        <v>89.9</v>
      </c>
      <c r="U4490" s="5">
        <f>OrdersTable[[#This Row],[Gross Sale]]-OrdersTable[[#This Row],[Discount Amount]]</f>
        <v>809.1</v>
      </c>
      <c r="V4490" s="77">
        <f>INDEX(Products!E:E,MATCH(OrdersTable[[#This Row],[Product ID]],Products!A:A,0))</f>
        <v>494</v>
      </c>
      <c r="W4490" s="77">
        <f>OrdersTable[[#This Row],[Quantity]]*OrdersTable[[#This Row],[Unit Cost]]</f>
        <v>494</v>
      </c>
      <c r="X4490" s="77">
        <f>'Dropdown Lists'!$I$2*(1+OrdersTable[[#This Row],[Returned]])</f>
        <v>60</v>
      </c>
      <c r="Y4490" s="76">
        <f>OrdersTable[[#This Row],[Net Revenue]]-OrdersTable[[#This Row],[COGS]]-OrdersTable[[#This Row],[Shipping Cost]]</f>
        <v>255.10000000000002</v>
      </c>
      <c r="Z4490" s="78">
        <f>IFERROR(OrdersTable[[#This Row],[Profit]]/OrdersTable[[#This Row],[Net Revenue]],0)</f>
        <v>0.31528859226300832</v>
      </c>
      <c r="AA4490" t="s">
        <v>18</v>
      </c>
      <c r="AB4490" s="79">
        <v>45981</v>
      </c>
      <c r="AC4490">
        <f>OrdersTable[[#This Row],[Delivery Date]]-OrdersTable[[#This Row],[Order Date]]</f>
        <v>2</v>
      </c>
      <c r="AD4490" t="str">
        <f>IF(OrdersTable[[#This Row],[Delivery Days]]&lt;=2, "Express (≤2d)", IF(OrdersTable[[#This Row],[Delivery Days]]&lt;=4, "Standard (3-4d)", "Delayed (5d+)"))</f>
        <v>Express (≤2d)</v>
      </c>
      <c r="AF4490">
        <v>0</v>
      </c>
    </row>
    <row r="4491" spans="1:32" ht="15" x14ac:dyDescent="0.35">
      <c r="A4491" t="s">
        <v>6230</v>
      </c>
      <c r="B4491" s="1">
        <v>45979</v>
      </c>
      <c r="C4491">
        <f>YEAR(OrdersTable[[#This Row],[Order Date]])</f>
        <v>2025</v>
      </c>
      <c r="D4491" s="2">
        <f>DATE(YEAR(OrdersTable[[#This Row],[Order Date]]),MONTH(OrdersTable[[#This Row],[Order Date]]),1)</f>
        <v>45962</v>
      </c>
      <c r="E4491">
        <f>MONTH(OrdersTable[[#This Row],[Order Date]])</f>
        <v>11</v>
      </c>
      <c r="F4491" t="s">
        <v>2075</v>
      </c>
      <c r="G4491" t="str">
        <f>IF(OrdersTable[[#This Row],[Order Date]]=_xlfn.MINIFS(Order_Date, Customer_ID, OrdersTable[[#This Row],[Customer ID]]), "New", "Repeat")</f>
        <v>Repeat</v>
      </c>
      <c r="H4491" t="s">
        <v>316</v>
      </c>
      <c r="I4491" t="str">
        <f>INDEX(State!B:B,MATCH(OrdersTable[[#This Row],[State]],State!A:A,0))</f>
        <v>KL</v>
      </c>
      <c r="J4491" t="str">
        <f>INDEX(State!C:C,MATCH(OrdersTable[[#This Row],[State Code]],State!B:B,0))</f>
        <v>South</v>
      </c>
      <c r="K4491" t="s">
        <v>317</v>
      </c>
      <c r="L4491" t="s">
        <v>65</v>
      </c>
      <c r="M4491" t="s">
        <v>109</v>
      </c>
      <c r="N4491" t="str">
        <f>INDEX(Products!B:B,MATCH(OrdersTable[[#This Row],[Product ID]],Products!A:A,0))</f>
        <v>Onion Hair Oil</v>
      </c>
      <c r="O4491" t="str">
        <f>INDEX(Products!C:C,MATCH(OrdersTable[[#This Row],[Product ID]],Products!A:A,0))</f>
        <v>Haircare</v>
      </c>
      <c r="P4491">
        <v>2</v>
      </c>
      <c r="Q4491" s="5">
        <v>349</v>
      </c>
      <c r="R4491" s="74">
        <v>0.5</v>
      </c>
      <c r="S4491" s="75">
        <f>OrdersTable[[#This Row],[Quantity]]*OrdersTable[[#This Row],[Unit Price]]</f>
        <v>698</v>
      </c>
      <c r="T4491" s="5">
        <f>OrdersTable[[#This Row],[Gross Sale]]*OrdersTable[[#This Row],[Discount_Clean2]]</f>
        <v>349</v>
      </c>
      <c r="U4491" s="5">
        <f>OrdersTable[[#This Row],[Gross Sale]]-OrdersTable[[#This Row],[Discount Amount]]</f>
        <v>349</v>
      </c>
      <c r="V4491" s="77">
        <f>INDEX(Products!E:E,MATCH(OrdersTable[[#This Row],[Product ID]],Products!A:A,0))</f>
        <v>105</v>
      </c>
      <c r="W4491" s="77">
        <f>OrdersTable[[#This Row],[Quantity]]*OrdersTable[[#This Row],[Unit Cost]]</f>
        <v>210</v>
      </c>
      <c r="X4491" s="77">
        <f>'Dropdown Lists'!$I$2*(1+OrdersTable[[#This Row],[Returned]])</f>
        <v>60</v>
      </c>
      <c r="Y4491" s="76">
        <f>OrdersTable[[#This Row],[Net Revenue]]-OrdersTable[[#This Row],[COGS]]-OrdersTable[[#This Row],[Shipping Cost]]</f>
        <v>79</v>
      </c>
      <c r="Z4491" s="78">
        <f>IFERROR(OrdersTable[[#This Row],[Profit]]/OrdersTable[[#This Row],[Net Revenue]],0)</f>
        <v>0.22636103151862463</v>
      </c>
      <c r="AA4491" t="s">
        <v>18</v>
      </c>
      <c r="AB4491" s="79">
        <v>45984</v>
      </c>
      <c r="AC4491">
        <f>OrdersTable[[#This Row],[Delivery Date]]-OrdersTable[[#This Row],[Order Date]]</f>
        <v>5</v>
      </c>
      <c r="AD4491" t="str">
        <f>IF(OrdersTable[[#This Row],[Delivery Days]]&lt;=2, "Express (≤2d)", IF(OrdersTable[[#This Row],[Delivery Days]]&lt;=4, "Standard (3-4d)", "Delayed (5d+)"))</f>
        <v>Delayed (5d+)</v>
      </c>
      <c r="AE4491">
        <v>4</v>
      </c>
      <c r="AF4491">
        <v>0</v>
      </c>
    </row>
    <row r="4492" spans="1:32" ht="15" x14ac:dyDescent="0.35">
      <c r="A4492" t="s">
        <v>6928</v>
      </c>
      <c r="B4492" s="1">
        <v>45979</v>
      </c>
      <c r="C4492">
        <f>YEAR(OrdersTable[[#This Row],[Order Date]])</f>
        <v>2025</v>
      </c>
      <c r="D4492" s="2">
        <f>DATE(YEAR(OrdersTable[[#This Row],[Order Date]]),MONTH(OrdersTable[[#This Row],[Order Date]]),1)</f>
        <v>45962</v>
      </c>
      <c r="E4492">
        <f>MONTH(OrdersTable[[#This Row],[Order Date]])</f>
        <v>11</v>
      </c>
      <c r="F4492" t="s">
        <v>4083</v>
      </c>
      <c r="G4492" t="str">
        <f>IF(OrdersTable[[#This Row],[Order Date]]=_xlfn.MINIFS(Order_Date, Customer_ID, OrdersTable[[#This Row],[Customer ID]]), "New", "Repeat")</f>
        <v>Repeat</v>
      </c>
      <c r="H4492" t="s">
        <v>59</v>
      </c>
      <c r="I4492" t="str">
        <f>INDEX(State!B:B,MATCH(OrdersTable[[#This Row],[State]],State!A:A,0))</f>
        <v>TN</v>
      </c>
      <c r="J4492" t="str">
        <f>INDEX(State!C:C,MATCH(OrdersTable[[#This Row],[State Code]],State!B:B,0))</f>
        <v>South</v>
      </c>
      <c r="K4492" t="s">
        <v>60</v>
      </c>
      <c r="L4492" t="s">
        <v>39</v>
      </c>
      <c r="M4492" t="s">
        <v>125</v>
      </c>
      <c r="N4492" t="str">
        <f>INDEX(Products!B:B,MATCH(OrdersTable[[#This Row],[Product ID]],Products!A:A,0))</f>
        <v>Copper Water Bottle</v>
      </c>
      <c r="O4492" t="str">
        <f>INDEX(Products!C:C,MATCH(OrdersTable[[#This Row],[Product ID]],Products!A:A,0))</f>
        <v>Home &amp; Kitchen</v>
      </c>
      <c r="P4492">
        <v>3</v>
      </c>
      <c r="Q4492" s="5">
        <v>899</v>
      </c>
      <c r="R4492" s="74">
        <v>0.2</v>
      </c>
      <c r="S4492" s="75">
        <f>OrdersTable[[#This Row],[Quantity]]*OrdersTable[[#This Row],[Unit Price]]</f>
        <v>2697</v>
      </c>
      <c r="T4492" s="5">
        <f>OrdersTable[[#This Row],[Gross Sale]]*OrdersTable[[#This Row],[Discount_Clean2]]</f>
        <v>539.4</v>
      </c>
      <c r="U4492" s="5">
        <f>OrdersTable[[#This Row],[Gross Sale]]-OrdersTable[[#This Row],[Discount Amount]]</f>
        <v>2157.6</v>
      </c>
      <c r="V4492" s="77">
        <f>INDEX(Products!E:E,MATCH(OrdersTable[[#This Row],[Product ID]],Products!A:A,0))</f>
        <v>378</v>
      </c>
      <c r="W4492" s="77">
        <f>OrdersTable[[#This Row],[Quantity]]*OrdersTable[[#This Row],[Unit Cost]]</f>
        <v>1134</v>
      </c>
      <c r="X4492" s="77">
        <f>'Dropdown Lists'!$I$2*(1+OrdersTable[[#This Row],[Returned]])</f>
        <v>60</v>
      </c>
      <c r="Y4492" s="76">
        <f>OrdersTable[[#This Row],[Net Revenue]]-OrdersTable[[#This Row],[COGS]]-OrdersTable[[#This Row],[Shipping Cost]]</f>
        <v>963.59999999999991</v>
      </c>
      <c r="Z4492" s="78">
        <f>IFERROR(OrdersTable[[#This Row],[Profit]]/OrdersTable[[#This Row],[Net Revenue]],0)</f>
        <v>0.44660734149054504</v>
      </c>
      <c r="AA4492" t="s">
        <v>4074</v>
      </c>
      <c r="AB4492" s="79">
        <v>45983</v>
      </c>
      <c r="AC4492">
        <f>OrdersTable[[#This Row],[Delivery Date]]-OrdersTable[[#This Row],[Order Date]]</f>
        <v>4</v>
      </c>
      <c r="AD4492" t="str">
        <f>IF(OrdersTable[[#This Row],[Delivery Days]]&lt;=2, "Express (≤2d)", IF(OrdersTable[[#This Row],[Delivery Days]]&lt;=4, "Standard (3-4d)", "Delayed (5d+)"))</f>
        <v>Standard (3-4d)</v>
      </c>
      <c r="AE4492">
        <v>4</v>
      </c>
      <c r="AF4492">
        <v>0</v>
      </c>
    </row>
    <row r="4493" spans="1:32" ht="15" x14ac:dyDescent="0.35">
      <c r="A4493" t="s">
        <v>5739</v>
      </c>
      <c r="B4493" s="1">
        <v>45979</v>
      </c>
      <c r="C4493">
        <f>YEAR(OrdersTable[[#This Row],[Order Date]])</f>
        <v>2025</v>
      </c>
      <c r="D4493" s="2">
        <f>DATE(YEAR(OrdersTable[[#This Row],[Order Date]]),MONTH(OrdersTable[[#This Row],[Order Date]]),1)</f>
        <v>45962</v>
      </c>
      <c r="E4493">
        <f>MONTH(OrdersTable[[#This Row],[Order Date]])</f>
        <v>11</v>
      </c>
      <c r="F4493" t="s">
        <v>1976</v>
      </c>
      <c r="G4493" t="str">
        <f>IF(OrdersTable[[#This Row],[Order Date]]=_xlfn.MINIFS(Order_Date, Customer_ID, OrdersTable[[#This Row],[Customer ID]]), "New", "Repeat")</f>
        <v>Repeat</v>
      </c>
      <c r="H4493" t="s">
        <v>59</v>
      </c>
      <c r="I4493" t="str">
        <f>INDEX(State!B:B,MATCH(OrdersTable[[#This Row],[State]],State!A:A,0))</f>
        <v>TN</v>
      </c>
      <c r="J4493" t="str">
        <f>INDEX(State!C:C,MATCH(OrdersTable[[#This Row],[State Code]],State!B:B,0))</f>
        <v>South</v>
      </c>
      <c r="K4493" t="s">
        <v>60</v>
      </c>
      <c r="L4493" t="s">
        <v>50</v>
      </c>
      <c r="M4493" t="s">
        <v>179</v>
      </c>
      <c r="N4493" t="str">
        <f>INDEX(Products!B:B,MATCH(OrdersTable[[#This Row],[Product ID]],Products!A:A,0))</f>
        <v>Whey Protein 1kg</v>
      </c>
      <c r="O4493" t="str">
        <f>INDEX(Products!C:C,MATCH(OrdersTable[[#This Row],[Product ID]],Products!A:A,0))</f>
        <v>Wellness</v>
      </c>
      <c r="P4493">
        <v>2</v>
      </c>
      <c r="Q4493" s="5">
        <v>2299</v>
      </c>
      <c r="R4493" s="74">
        <v>0.5</v>
      </c>
      <c r="S4493" s="75">
        <f>OrdersTable[[#This Row],[Quantity]]*OrdersTable[[#This Row],[Unit Price]]</f>
        <v>4598</v>
      </c>
      <c r="T4493" s="5">
        <f>OrdersTable[[#This Row],[Gross Sale]]*OrdersTable[[#This Row],[Discount_Clean2]]</f>
        <v>2299</v>
      </c>
      <c r="U4493" s="5">
        <f>OrdersTable[[#This Row],[Gross Sale]]-OrdersTable[[#This Row],[Discount Amount]]</f>
        <v>2299</v>
      </c>
      <c r="V4493" s="77">
        <f>INDEX(Products!E:E,MATCH(OrdersTable[[#This Row],[Product ID]],Products!A:A,0))</f>
        <v>1333</v>
      </c>
      <c r="W4493" s="77">
        <f>OrdersTable[[#This Row],[Quantity]]*OrdersTable[[#This Row],[Unit Cost]]</f>
        <v>2666</v>
      </c>
      <c r="X4493" s="77">
        <f>'Dropdown Lists'!$I$2*(1+OrdersTable[[#This Row],[Returned]])</f>
        <v>60</v>
      </c>
      <c r="Y4493" s="76">
        <f>OrdersTable[[#This Row],[Net Revenue]]-OrdersTable[[#This Row],[COGS]]-OrdersTable[[#This Row],[Shipping Cost]]</f>
        <v>-427</v>
      </c>
      <c r="Z4493" s="78">
        <f>IFERROR(OrdersTable[[#This Row],[Profit]]/OrdersTable[[#This Row],[Net Revenue]],0)</f>
        <v>-0.18573292735972161</v>
      </c>
      <c r="AA4493" t="s">
        <v>18</v>
      </c>
      <c r="AB4493" s="79">
        <v>45983</v>
      </c>
      <c r="AC4493">
        <f>OrdersTable[[#This Row],[Delivery Date]]-OrdersTable[[#This Row],[Order Date]]</f>
        <v>4</v>
      </c>
      <c r="AD4493" t="str">
        <f>IF(OrdersTable[[#This Row],[Delivery Days]]&lt;=2, "Express (≤2d)", IF(OrdersTable[[#This Row],[Delivery Days]]&lt;=4, "Standard (3-4d)", "Delayed (5d+)"))</f>
        <v>Standard (3-4d)</v>
      </c>
      <c r="AE4493">
        <v>3</v>
      </c>
      <c r="AF4493">
        <v>0</v>
      </c>
    </row>
    <row r="4494" spans="1:32" ht="15" x14ac:dyDescent="0.35">
      <c r="A4494" t="s">
        <v>4058</v>
      </c>
      <c r="B4494" s="1">
        <v>45979</v>
      </c>
      <c r="C4494">
        <f>YEAR(OrdersTable[[#This Row],[Order Date]])</f>
        <v>2025</v>
      </c>
      <c r="D4494" s="2">
        <f>DATE(YEAR(OrdersTable[[#This Row],[Order Date]]),MONTH(OrdersTable[[#This Row],[Order Date]]),1)</f>
        <v>45962</v>
      </c>
      <c r="E4494">
        <f>MONTH(OrdersTable[[#This Row],[Order Date]])</f>
        <v>11</v>
      </c>
      <c r="F4494" t="s">
        <v>4059</v>
      </c>
      <c r="G4494" t="str">
        <f>IF(OrdersTable[[#This Row],[Order Date]]=_xlfn.MINIFS(Order_Date, Customer_ID, OrdersTable[[#This Row],[Customer ID]]), "New", "Repeat")</f>
        <v>New</v>
      </c>
      <c r="H4494" t="s">
        <v>59</v>
      </c>
      <c r="I4494" t="str">
        <f>INDEX(State!B:B,MATCH(OrdersTable[[#This Row],[State]],State!A:A,0))</f>
        <v>TN</v>
      </c>
      <c r="J4494" t="str">
        <f>INDEX(State!C:C,MATCH(OrdersTable[[#This Row],[State Code]],State!B:B,0))</f>
        <v>South</v>
      </c>
      <c r="K4494" t="s">
        <v>60</v>
      </c>
      <c r="L4494" t="s">
        <v>16</v>
      </c>
      <c r="M4494" t="s">
        <v>576</v>
      </c>
      <c r="N4494" t="str">
        <f>INDEX(Products!B:B,MATCH(OrdersTable[[#This Row],[Product ID]],Products!A:A,0))</f>
        <v>Printed Saree</v>
      </c>
      <c r="O4494" t="str">
        <f>INDEX(Products!C:C,MATCH(OrdersTable[[#This Row],[Product ID]],Products!A:A,0))</f>
        <v>Apparel</v>
      </c>
      <c r="P4494">
        <v>1</v>
      </c>
      <c r="Q4494" s="5">
        <v>1999</v>
      </c>
      <c r="R4494" s="74">
        <v>0.25</v>
      </c>
      <c r="S4494" s="75">
        <f>OrdersTable[[#This Row],[Quantity]]*OrdersTable[[#This Row],[Unit Price]]</f>
        <v>1999</v>
      </c>
      <c r="T4494" s="5">
        <f>OrdersTable[[#This Row],[Gross Sale]]*OrdersTable[[#This Row],[Discount_Clean2]]</f>
        <v>499.75</v>
      </c>
      <c r="U4494" s="5">
        <f>OrdersTable[[#This Row],[Gross Sale]]-OrdersTable[[#This Row],[Discount Amount]]</f>
        <v>1499.25</v>
      </c>
      <c r="V4494" s="77">
        <f>INDEX(Products!E:E,MATCH(OrdersTable[[#This Row],[Product ID]],Products!A:A,0))</f>
        <v>880</v>
      </c>
      <c r="W4494" s="77">
        <f>OrdersTable[[#This Row],[Quantity]]*OrdersTable[[#This Row],[Unit Cost]]</f>
        <v>880</v>
      </c>
      <c r="X4494" s="77">
        <f>'Dropdown Lists'!$I$2*(1+OrdersTable[[#This Row],[Returned]])</f>
        <v>60</v>
      </c>
      <c r="Y4494" s="76">
        <f>OrdersTable[[#This Row],[Net Revenue]]-OrdersTable[[#This Row],[COGS]]-OrdersTable[[#This Row],[Shipping Cost]]</f>
        <v>559.25</v>
      </c>
      <c r="Z4494" s="78">
        <f>IFERROR(OrdersTable[[#This Row],[Profit]]/OrdersTable[[#This Row],[Net Revenue]],0)</f>
        <v>0.37301984325496079</v>
      </c>
      <c r="AA4494" t="s">
        <v>3495</v>
      </c>
      <c r="AB4494" s="79">
        <v>45980</v>
      </c>
      <c r="AC4494">
        <f>OrdersTable[[#This Row],[Delivery Date]]-OrdersTable[[#This Row],[Order Date]]</f>
        <v>1</v>
      </c>
      <c r="AD4494" t="str">
        <f>IF(OrdersTable[[#This Row],[Delivery Days]]&lt;=2, "Express (≤2d)", IF(OrdersTable[[#This Row],[Delivery Days]]&lt;=4, "Standard (3-4d)", "Delayed (5d+)"))</f>
        <v>Express (≤2d)</v>
      </c>
      <c r="AE4494">
        <v>5</v>
      </c>
      <c r="AF4494">
        <v>0</v>
      </c>
    </row>
    <row r="4495" spans="1:32" ht="15" x14ac:dyDescent="0.35">
      <c r="A4495" t="s">
        <v>4305</v>
      </c>
      <c r="B4495" s="1">
        <v>45980</v>
      </c>
      <c r="C4495">
        <f>YEAR(OrdersTable[[#This Row],[Order Date]])</f>
        <v>2025</v>
      </c>
      <c r="D4495" s="2">
        <f>DATE(YEAR(OrdersTable[[#This Row],[Order Date]]),MONTH(OrdersTable[[#This Row],[Order Date]]),1)</f>
        <v>45962</v>
      </c>
      <c r="E4495">
        <f>MONTH(OrdersTable[[#This Row],[Order Date]])</f>
        <v>11</v>
      </c>
      <c r="F4495" t="s">
        <v>2690</v>
      </c>
      <c r="G4495" t="str">
        <f>IF(OrdersTable[[#This Row],[Order Date]]=_xlfn.MINIFS(Order_Date, Customer_ID, OrdersTable[[#This Row],[Customer ID]]), "New", "Repeat")</f>
        <v>Repeat</v>
      </c>
      <c r="H4495" t="s">
        <v>48</v>
      </c>
      <c r="I4495" t="str">
        <f>INDEX(State!B:B,MATCH(OrdersTable[[#This Row],[State]],State!A:A,0))</f>
        <v>HR</v>
      </c>
      <c r="J4495" t="str">
        <f>INDEX(State!C:C,MATCH(OrdersTable[[#This Row],[State Code]],State!B:B,0))</f>
        <v>North</v>
      </c>
      <c r="K4495" t="s">
        <v>151</v>
      </c>
      <c r="L4495" t="s">
        <v>23</v>
      </c>
      <c r="M4495" t="s">
        <v>66</v>
      </c>
      <c r="N4495" t="str">
        <f>INDEX(Products!B:B,MATCH(OrdersTable[[#This Row],[Product ID]],Products!A:A,0))</f>
        <v>Sunscreen SPF 50</v>
      </c>
      <c r="O4495" t="str">
        <f>INDEX(Products!C:C,MATCH(OrdersTable[[#This Row],[Product ID]],Products!A:A,0))</f>
        <v>Skincare</v>
      </c>
      <c r="P4495">
        <v>1</v>
      </c>
      <c r="Q4495" s="5">
        <v>449</v>
      </c>
      <c r="R4495" s="74">
        <v>0.25</v>
      </c>
      <c r="S4495" s="75">
        <f>OrdersTable[[#This Row],[Quantity]]*OrdersTable[[#This Row],[Unit Price]]</f>
        <v>449</v>
      </c>
      <c r="T4495" s="5">
        <f>OrdersTable[[#This Row],[Gross Sale]]*OrdersTable[[#This Row],[Discount_Clean2]]</f>
        <v>112.25</v>
      </c>
      <c r="U4495" s="5">
        <f>OrdersTable[[#This Row],[Gross Sale]]-OrdersTable[[#This Row],[Discount Amount]]</f>
        <v>336.75</v>
      </c>
      <c r="V4495" s="77">
        <f>INDEX(Products!E:E,MATCH(OrdersTable[[#This Row],[Product ID]],Products!A:A,0))</f>
        <v>144</v>
      </c>
      <c r="W4495" s="77">
        <f>OrdersTable[[#This Row],[Quantity]]*OrdersTable[[#This Row],[Unit Cost]]</f>
        <v>144</v>
      </c>
      <c r="X4495" s="77">
        <f>'Dropdown Lists'!$I$2*(1+OrdersTable[[#This Row],[Returned]])</f>
        <v>60</v>
      </c>
      <c r="Y4495" s="76">
        <f>OrdersTable[[#This Row],[Net Revenue]]-OrdersTable[[#This Row],[COGS]]-OrdersTable[[#This Row],[Shipping Cost]]</f>
        <v>132.75</v>
      </c>
      <c r="Z4495" s="78">
        <f>IFERROR(OrdersTable[[#This Row],[Profit]]/OrdersTable[[#This Row],[Net Revenue]],0)</f>
        <v>0.39420935412026725</v>
      </c>
      <c r="AA4495" t="s">
        <v>4074</v>
      </c>
      <c r="AB4495" s="79">
        <v>45985</v>
      </c>
      <c r="AC4495">
        <f>OrdersTable[[#This Row],[Delivery Date]]-OrdersTable[[#This Row],[Order Date]]</f>
        <v>5</v>
      </c>
      <c r="AD4495" t="str">
        <f>IF(OrdersTable[[#This Row],[Delivery Days]]&lt;=2, "Express (≤2d)", IF(OrdersTable[[#This Row],[Delivery Days]]&lt;=4, "Standard (3-4d)", "Delayed (5d+)"))</f>
        <v>Delayed (5d+)</v>
      </c>
      <c r="AF4495">
        <v>0</v>
      </c>
    </row>
    <row r="4496" spans="1:32" ht="15" x14ac:dyDescent="0.35">
      <c r="A4496" t="s">
        <v>1205</v>
      </c>
      <c r="B4496" s="1">
        <v>45980</v>
      </c>
      <c r="C4496">
        <f>YEAR(OrdersTable[[#This Row],[Order Date]])</f>
        <v>2025</v>
      </c>
      <c r="D4496" s="2">
        <f>DATE(YEAR(OrdersTable[[#This Row],[Order Date]]),MONTH(OrdersTable[[#This Row],[Order Date]]),1)</f>
        <v>45962</v>
      </c>
      <c r="E4496">
        <f>MONTH(OrdersTable[[#This Row],[Order Date]])</f>
        <v>11</v>
      </c>
      <c r="F4496" t="s">
        <v>1206</v>
      </c>
      <c r="G4496" t="str">
        <f>IF(OrdersTable[[#This Row],[Order Date]]=_xlfn.MINIFS(Order_Date, Customer_ID, OrdersTable[[#This Row],[Customer ID]]), "New", "Repeat")</f>
        <v>Repeat</v>
      </c>
      <c r="H4496" t="s">
        <v>43</v>
      </c>
      <c r="I4496" t="str">
        <f>INDEX(State!B:B,MATCH(OrdersTable[[#This Row],[State]],State!A:A,0))</f>
        <v>MP</v>
      </c>
      <c r="J4496" t="str">
        <f>INDEX(State!C:C,MATCH(OrdersTable[[#This Row],[State Code]],State!B:B,0))</f>
        <v>West</v>
      </c>
      <c r="K4496" t="s">
        <v>250</v>
      </c>
      <c r="L4496" t="s">
        <v>50</v>
      </c>
      <c r="M4496" t="s">
        <v>160</v>
      </c>
      <c r="N4496" t="str">
        <f>INDEX(Products!B:B,MATCH(OrdersTable[[#This Row],[Product ID]],Products!A:A,0))</f>
        <v>Niacinamide Toner</v>
      </c>
      <c r="O4496" t="str">
        <f>INDEX(Products!C:C,MATCH(OrdersTable[[#This Row],[Product ID]],Products!A:A,0))</f>
        <v>Skincare</v>
      </c>
      <c r="P4496">
        <v>1</v>
      </c>
      <c r="Q4496" s="5">
        <v>399</v>
      </c>
      <c r="R4496" s="74">
        <v>0.25</v>
      </c>
      <c r="S4496" s="75">
        <f>OrdersTable[[#This Row],[Quantity]]*OrdersTable[[#This Row],[Unit Price]]</f>
        <v>399</v>
      </c>
      <c r="T4496" s="5">
        <f>OrdersTable[[#This Row],[Gross Sale]]*OrdersTable[[#This Row],[Discount_Clean2]]</f>
        <v>99.75</v>
      </c>
      <c r="U4496" s="5">
        <f>OrdersTable[[#This Row],[Gross Sale]]-OrdersTable[[#This Row],[Discount Amount]]</f>
        <v>299.25</v>
      </c>
      <c r="V4496" s="77">
        <f>INDEX(Products!E:E,MATCH(OrdersTable[[#This Row],[Product ID]],Products!A:A,0))</f>
        <v>112</v>
      </c>
      <c r="W4496" s="77">
        <f>OrdersTable[[#This Row],[Quantity]]*OrdersTable[[#This Row],[Unit Cost]]</f>
        <v>112</v>
      </c>
      <c r="X4496" s="77">
        <f>'Dropdown Lists'!$I$2*(1+OrdersTable[[#This Row],[Returned]])</f>
        <v>60</v>
      </c>
      <c r="Y4496" s="76">
        <f>OrdersTable[[#This Row],[Net Revenue]]-OrdersTable[[#This Row],[COGS]]-OrdersTable[[#This Row],[Shipping Cost]]</f>
        <v>127.25</v>
      </c>
      <c r="Z4496" s="78">
        <f>IFERROR(OrdersTable[[#This Row],[Profit]]/OrdersTable[[#This Row],[Net Revenue]],0)</f>
        <v>0.42522974101921468</v>
      </c>
      <c r="AA4496" t="s">
        <v>18</v>
      </c>
      <c r="AB4496" s="79">
        <v>45983</v>
      </c>
      <c r="AC4496">
        <f>OrdersTable[[#This Row],[Delivery Date]]-OrdersTable[[#This Row],[Order Date]]</f>
        <v>3</v>
      </c>
      <c r="AD4496" t="str">
        <f>IF(OrdersTable[[#This Row],[Delivery Days]]&lt;=2, "Express (≤2d)", IF(OrdersTable[[#This Row],[Delivery Days]]&lt;=4, "Standard (3-4d)", "Delayed (5d+)"))</f>
        <v>Standard (3-4d)</v>
      </c>
      <c r="AF4496">
        <v>0</v>
      </c>
    </row>
    <row r="4497" spans="1:32" ht="15" x14ac:dyDescent="0.35">
      <c r="A4497" t="s">
        <v>3822</v>
      </c>
      <c r="B4497" s="1">
        <v>45980</v>
      </c>
      <c r="C4497">
        <f>YEAR(OrdersTable[[#This Row],[Order Date]])</f>
        <v>2025</v>
      </c>
      <c r="D4497" s="2">
        <f>DATE(YEAR(OrdersTable[[#This Row],[Order Date]]),MONTH(OrdersTable[[#This Row],[Order Date]]),1)</f>
        <v>45962</v>
      </c>
      <c r="E4497">
        <f>MONTH(OrdersTable[[#This Row],[Order Date]])</f>
        <v>11</v>
      </c>
      <c r="F4497" t="s">
        <v>3594</v>
      </c>
      <c r="G4497" t="str">
        <f>IF(OrdersTable[[#This Row],[Order Date]]=_xlfn.MINIFS(Order_Date, Customer_ID, OrdersTable[[#This Row],[Customer ID]]), "New", "Repeat")</f>
        <v>Repeat</v>
      </c>
      <c r="H4497" t="s">
        <v>43</v>
      </c>
      <c r="I4497" t="str">
        <f>INDEX(State!B:B,MATCH(OrdersTable[[#This Row],[State]],State!A:A,0))</f>
        <v>MP</v>
      </c>
      <c r="J4497" t="str">
        <f>INDEX(State!C:C,MATCH(OrdersTable[[#This Row],[State Code]],State!B:B,0))</f>
        <v>West</v>
      </c>
      <c r="K4497" t="s">
        <v>250</v>
      </c>
      <c r="L4497" t="s">
        <v>65</v>
      </c>
      <c r="M4497" t="s">
        <v>228</v>
      </c>
      <c r="N4497" t="str">
        <f>INDEX(Products!B:B,MATCH(OrdersTable[[#This Row],[Product ID]],Products!A:A,0))</f>
        <v>Fast Charger 33W</v>
      </c>
      <c r="O4497" t="str">
        <f>INDEX(Products!C:C,MATCH(OrdersTable[[#This Row],[Product ID]],Products!A:A,0))</f>
        <v>Electronics</v>
      </c>
      <c r="P4497">
        <v>1</v>
      </c>
      <c r="Q4497" s="5">
        <v>899</v>
      </c>
      <c r="R4497" s="74">
        <v>0.1</v>
      </c>
      <c r="S4497" s="75">
        <f>OrdersTable[[#This Row],[Quantity]]*OrdersTable[[#This Row],[Unit Price]]</f>
        <v>899</v>
      </c>
      <c r="T4497" s="5">
        <f>OrdersTable[[#This Row],[Gross Sale]]*OrdersTable[[#This Row],[Discount_Clean2]]</f>
        <v>89.9</v>
      </c>
      <c r="U4497" s="5">
        <f>OrdersTable[[#This Row],[Gross Sale]]-OrdersTable[[#This Row],[Discount Amount]]</f>
        <v>809.1</v>
      </c>
      <c r="V4497" s="77">
        <f>INDEX(Products!E:E,MATCH(OrdersTable[[#This Row],[Product ID]],Products!A:A,0))</f>
        <v>494</v>
      </c>
      <c r="W4497" s="77">
        <f>OrdersTable[[#This Row],[Quantity]]*OrdersTable[[#This Row],[Unit Cost]]</f>
        <v>494</v>
      </c>
      <c r="X4497" s="77">
        <f>'Dropdown Lists'!$I$2*(1+OrdersTable[[#This Row],[Returned]])</f>
        <v>60</v>
      </c>
      <c r="Y4497" s="76">
        <f>OrdersTable[[#This Row],[Net Revenue]]-OrdersTable[[#This Row],[COGS]]-OrdersTable[[#This Row],[Shipping Cost]]</f>
        <v>255.10000000000002</v>
      </c>
      <c r="Z4497" s="78">
        <f>IFERROR(OrdersTable[[#This Row],[Profit]]/OrdersTable[[#This Row],[Net Revenue]],0)</f>
        <v>0.31528859226300832</v>
      </c>
      <c r="AA4497" t="s">
        <v>3495</v>
      </c>
      <c r="AB4497" s="79">
        <v>45987</v>
      </c>
      <c r="AC4497">
        <f>OrdersTable[[#This Row],[Delivery Date]]-OrdersTable[[#This Row],[Order Date]]</f>
        <v>7</v>
      </c>
      <c r="AD4497" t="str">
        <f>IF(OrdersTable[[#This Row],[Delivery Days]]&lt;=2, "Express (≤2d)", IF(OrdersTable[[#This Row],[Delivery Days]]&lt;=4, "Standard (3-4d)", "Delayed (5d+)"))</f>
        <v>Delayed (5d+)</v>
      </c>
      <c r="AF4497">
        <v>0</v>
      </c>
    </row>
    <row r="4498" spans="1:32" ht="15" x14ac:dyDescent="0.35">
      <c r="A4498" t="s">
        <v>4546</v>
      </c>
      <c r="B4498" s="1">
        <v>45980</v>
      </c>
      <c r="C4498">
        <f>YEAR(OrdersTable[[#This Row],[Order Date]])</f>
        <v>2025</v>
      </c>
      <c r="D4498" s="2">
        <f>DATE(YEAR(OrdersTable[[#This Row],[Order Date]]),MONTH(OrdersTable[[#This Row],[Order Date]]),1)</f>
        <v>45962</v>
      </c>
      <c r="E4498">
        <f>MONTH(OrdersTable[[#This Row],[Order Date]])</f>
        <v>11</v>
      </c>
      <c r="F4498" t="s">
        <v>1669</v>
      </c>
      <c r="G4498" t="str">
        <f>IF(OrdersTable[[#This Row],[Order Date]]=_xlfn.MINIFS(Order_Date, Customer_ID, OrdersTable[[#This Row],[Customer ID]]), "New", "Repeat")</f>
        <v>Repeat</v>
      </c>
      <c r="H4498" t="s">
        <v>167</v>
      </c>
      <c r="I4498" t="str">
        <f>INDEX(State!B:B,MATCH(OrdersTable[[#This Row],[State]],State!A:A,0))</f>
        <v>KA</v>
      </c>
      <c r="J4498" t="str">
        <f>INDEX(State!C:C,MATCH(OrdersTable[[#This Row],[State Code]],State!B:B,0))</f>
        <v>South</v>
      </c>
      <c r="K4498" t="s">
        <v>190</v>
      </c>
      <c r="L4498" t="s">
        <v>16</v>
      </c>
      <c r="M4498" t="s">
        <v>87</v>
      </c>
      <c r="N4498" t="str">
        <f>INDEX(Products!B:B,MATCH(OrdersTable[[#This Row],[Product ID]],Products!A:A,0))</f>
        <v>Linen Kurta</v>
      </c>
      <c r="O4498" t="str">
        <f>INDEX(Products!C:C,MATCH(OrdersTable[[#This Row],[Product ID]],Products!A:A,0))</f>
        <v>Apparel</v>
      </c>
      <c r="P4498">
        <v>1</v>
      </c>
      <c r="Q4498" s="5">
        <v>1499</v>
      </c>
      <c r="R4498" s="74">
        <v>0.55000000000000004</v>
      </c>
      <c r="S4498" s="75">
        <f>OrdersTable[[#This Row],[Quantity]]*OrdersTable[[#This Row],[Unit Price]]</f>
        <v>1499</v>
      </c>
      <c r="T4498" s="5">
        <f>OrdersTable[[#This Row],[Gross Sale]]*OrdersTable[[#This Row],[Discount_Clean2]]</f>
        <v>824.45</v>
      </c>
      <c r="U4498" s="5">
        <f>OrdersTable[[#This Row],[Gross Sale]]-OrdersTable[[#This Row],[Discount Amount]]</f>
        <v>674.55</v>
      </c>
      <c r="V4498" s="77">
        <f>INDEX(Products!E:E,MATCH(OrdersTable[[#This Row],[Product ID]],Products!A:A,0))</f>
        <v>630</v>
      </c>
      <c r="W4498" s="77">
        <f>OrdersTable[[#This Row],[Quantity]]*OrdersTable[[#This Row],[Unit Cost]]</f>
        <v>630</v>
      </c>
      <c r="X4498" s="77">
        <f>'Dropdown Lists'!$I$2*(1+OrdersTable[[#This Row],[Returned]])</f>
        <v>60</v>
      </c>
      <c r="Y4498" s="76">
        <f>OrdersTable[[#This Row],[Net Revenue]]-OrdersTable[[#This Row],[COGS]]-OrdersTable[[#This Row],[Shipping Cost]]</f>
        <v>-15.450000000000045</v>
      </c>
      <c r="Z4498" s="78">
        <f>IFERROR(OrdersTable[[#This Row],[Profit]]/OrdersTable[[#This Row],[Net Revenue]],0)</f>
        <v>-2.2904158327774142E-2</v>
      </c>
      <c r="AA4498" t="s">
        <v>4450</v>
      </c>
      <c r="AB4498" s="79">
        <v>45983</v>
      </c>
      <c r="AC4498">
        <f>OrdersTable[[#This Row],[Delivery Date]]-OrdersTable[[#This Row],[Order Date]]</f>
        <v>3</v>
      </c>
      <c r="AD4498" t="str">
        <f>IF(OrdersTable[[#This Row],[Delivery Days]]&lt;=2, "Express (≤2d)", IF(OrdersTable[[#This Row],[Delivery Days]]&lt;=4, "Standard (3-4d)", "Delayed (5d+)"))</f>
        <v>Standard (3-4d)</v>
      </c>
      <c r="AE4498">
        <v>4</v>
      </c>
      <c r="AF4498">
        <v>0</v>
      </c>
    </row>
    <row r="4499" spans="1:32" ht="15" x14ac:dyDescent="0.35">
      <c r="A4499" t="s">
        <v>5269</v>
      </c>
      <c r="B4499" s="1">
        <v>45980</v>
      </c>
      <c r="C4499">
        <f>YEAR(OrdersTable[[#This Row],[Order Date]])</f>
        <v>2025</v>
      </c>
      <c r="D4499" s="2">
        <f>DATE(YEAR(OrdersTable[[#This Row],[Order Date]]),MONTH(OrdersTable[[#This Row],[Order Date]]),1)</f>
        <v>45962</v>
      </c>
      <c r="E4499">
        <f>MONTH(OrdersTable[[#This Row],[Order Date]])</f>
        <v>11</v>
      </c>
      <c r="F4499" t="s">
        <v>1281</v>
      </c>
      <c r="G4499" t="str">
        <f>IF(OrdersTable[[#This Row],[Order Date]]=_xlfn.MINIFS(Order_Date, Customer_ID, OrdersTable[[#This Row],[Customer ID]]), "New", "Repeat")</f>
        <v>Repeat</v>
      </c>
      <c r="H4499" t="s">
        <v>275</v>
      </c>
      <c r="I4499" t="str">
        <f>INDEX(State!B:B,MATCH(OrdersTable[[#This Row],[State]],State!A:A,0))</f>
        <v>AP</v>
      </c>
      <c r="J4499" t="str">
        <f>INDEX(State!C:C,MATCH(OrdersTable[[#This Row],[State Code]],State!B:B,0))</f>
        <v>South</v>
      </c>
      <c r="K4499" t="s">
        <v>276</v>
      </c>
      <c r="L4499" t="s">
        <v>23</v>
      </c>
      <c r="M4499" t="s">
        <v>148</v>
      </c>
      <c r="N4499" t="str">
        <f>INDEX(Products!B:B,MATCH(OrdersTable[[#This Row],[Product ID]],Products!A:A,0))</f>
        <v>Smartwatch Strap</v>
      </c>
      <c r="O4499" t="str">
        <f>INDEX(Products!C:C,MATCH(OrdersTable[[#This Row],[Product ID]],Products!A:A,0))</f>
        <v>Electronics</v>
      </c>
      <c r="P4499">
        <v>2</v>
      </c>
      <c r="Q4499" s="5">
        <v>499</v>
      </c>
      <c r="R4499" s="74">
        <v>0.25</v>
      </c>
      <c r="S4499" s="75">
        <f>OrdersTable[[#This Row],[Quantity]]*OrdersTable[[#This Row],[Unit Price]]</f>
        <v>998</v>
      </c>
      <c r="T4499" s="5">
        <f>OrdersTable[[#This Row],[Gross Sale]]*OrdersTable[[#This Row],[Discount_Clean2]]</f>
        <v>249.5</v>
      </c>
      <c r="U4499" s="5">
        <f>OrdersTable[[#This Row],[Gross Sale]]-OrdersTable[[#This Row],[Discount Amount]]</f>
        <v>748.5</v>
      </c>
      <c r="V4499" s="77">
        <f>INDEX(Products!E:E,MATCH(OrdersTable[[#This Row],[Product ID]],Products!A:A,0))</f>
        <v>200</v>
      </c>
      <c r="W4499" s="77">
        <f>OrdersTable[[#This Row],[Quantity]]*OrdersTable[[#This Row],[Unit Cost]]</f>
        <v>400</v>
      </c>
      <c r="X4499" s="77">
        <f>'Dropdown Lists'!$I$2*(1+OrdersTable[[#This Row],[Returned]])</f>
        <v>60</v>
      </c>
      <c r="Y4499" s="76">
        <f>OrdersTable[[#This Row],[Net Revenue]]-OrdersTable[[#This Row],[COGS]]-OrdersTable[[#This Row],[Shipping Cost]]</f>
        <v>288.5</v>
      </c>
      <c r="Z4499" s="78">
        <f>IFERROR(OrdersTable[[#This Row],[Profit]]/OrdersTable[[#This Row],[Net Revenue]],0)</f>
        <v>0.38543754175016698</v>
      </c>
      <c r="AA4499" t="s">
        <v>3495</v>
      </c>
      <c r="AB4499" s="79">
        <v>45982</v>
      </c>
      <c r="AC4499">
        <f>OrdersTable[[#This Row],[Delivery Date]]-OrdersTable[[#This Row],[Order Date]]</f>
        <v>2</v>
      </c>
      <c r="AD4499" t="str">
        <f>IF(OrdersTable[[#This Row],[Delivery Days]]&lt;=2, "Express (≤2d)", IF(OrdersTable[[#This Row],[Delivery Days]]&lt;=4, "Standard (3-4d)", "Delayed (5d+)"))</f>
        <v>Express (≤2d)</v>
      </c>
      <c r="AE4499">
        <v>5</v>
      </c>
      <c r="AF4499">
        <v>0</v>
      </c>
    </row>
    <row r="4500" spans="1:32" ht="15" x14ac:dyDescent="0.35">
      <c r="A4500" t="s">
        <v>5270</v>
      </c>
      <c r="B4500" s="1">
        <v>45980</v>
      </c>
      <c r="C4500">
        <f>YEAR(OrdersTable[[#This Row],[Order Date]])</f>
        <v>2025</v>
      </c>
      <c r="D4500" s="2">
        <f>DATE(YEAR(OrdersTable[[#This Row],[Order Date]]),MONTH(OrdersTable[[#This Row],[Order Date]]),1)</f>
        <v>45962</v>
      </c>
      <c r="E4500">
        <f>MONTH(OrdersTable[[#This Row],[Order Date]])</f>
        <v>11</v>
      </c>
      <c r="F4500" t="s">
        <v>2787</v>
      </c>
      <c r="G4500" t="str">
        <f>IF(OrdersTable[[#This Row],[Order Date]]=_xlfn.MINIFS(Order_Date, Customer_ID, OrdersTable[[#This Row],[Customer ID]]), "New", "Repeat")</f>
        <v>Repeat</v>
      </c>
      <c r="H4500" t="s">
        <v>59</v>
      </c>
      <c r="I4500" t="str">
        <f>INDEX(State!B:B,MATCH(OrdersTable[[#This Row],[State]],State!A:A,0))</f>
        <v>TN</v>
      </c>
      <c r="J4500" t="str">
        <f>INDEX(State!C:C,MATCH(OrdersTable[[#This Row],[State Code]],State!B:B,0))</f>
        <v>South</v>
      </c>
      <c r="K4500" t="s">
        <v>64</v>
      </c>
      <c r="L4500" t="s">
        <v>16</v>
      </c>
      <c r="M4500" t="s">
        <v>87</v>
      </c>
      <c r="N4500" t="str">
        <f>INDEX(Products!B:B,MATCH(OrdersTable[[#This Row],[Product ID]],Products!A:A,0))</f>
        <v>Linen Kurta</v>
      </c>
      <c r="O4500" t="str">
        <f>INDEX(Products!C:C,MATCH(OrdersTable[[#This Row],[Product ID]],Products!A:A,0))</f>
        <v>Apparel</v>
      </c>
      <c r="P4500">
        <v>2</v>
      </c>
      <c r="Q4500" s="5">
        <v>1499</v>
      </c>
      <c r="R4500" s="74">
        <v>0.45</v>
      </c>
      <c r="S4500" s="75">
        <f>OrdersTable[[#This Row],[Quantity]]*OrdersTable[[#This Row],[Unit Price]]</f>
        <v>2998</v>
      </c>
      <c r="T4500" s="5">
        <f>OrdersTable[[#This Row],[Gross Sale]]*OrdersTable[[#This Row],[Discount_Clean2]]</f>
        <v>1349.1000000000001</v>
      </c>
      <c r="U4500" s="5">
        <f>OrdersTable[[#This Row],[Gross Sale]]-OrdersTable[[#This Row],[Discount Amount]]</f>
        <v>1648.8999999999999</v>
      </c>
      <c r="V4500" s="77">
        <f>INDEX(Products!E:E,MATCH(OrdersTable[[#This Row],[Product ID]],Products!A:A,0))</f>
        <v>630</v>
      </c>
      <c r="W4500" s="77">
        <f>OrdersTable[[#This Row],[Quantity]]*OrdersTable[[#This Row],[Unit Cost]]</f>
        <v>1260</v>
      </c>
      <c r="X4500" s="77">
        <f>'Dropdown Lists'!$I$2*(1+OrdersTable[[#This Row],[Returned]])</f>
        <v>60</v>
      </c>
      <c r="Y4500" s="76">
        <f>OrdersTable[[#This Row],[Net Revenue]]-OrdersTable[[#This Row],[COGS]]-OrdersTable[[#This Row],[Shipping Cost]]</f>
        <v>328.89999999999986</v>
      </c>
      <c r="Z4500" s="78">
        <f>IFERROR(OrdersTable[[#This Row],[Profit]]/OrdersTable[[#This Row],[Net Revenue]],0)</f>
        <v>0.19946631087391586</v>
      </c>
      <c r="AA4500" t="s">
        <v>3495</v>
      </c>
      <c r="AB4500" s="79">
        <v>45983</v>
      </c>
      <c r="AC4500">
        <f>OrdersTable[[#This Row],[Delivery Date]]-OrdersTable[[#This Row],[Order Date]]</f>
        <v>3</v>
      </c>
      <c r="AD4500" t="str">
        <f>IF(OrdersTable[[#This Row],[Delivery Days]]&lt;=2, "Express (≤2d)", IF(OrdersTable[[#This Row],[Delivery Days]]&lt;=4, "Standard (3-4d)", "Delayed (5d+)"))</f>
        <v>Standard (3-4d)</v>
      </c>
      <c r="AE4500">
        <v>4</v>
      </c>
      <c r="AF4500">
        <v>0</v>
      </c>
    </row>
    <row r="4501" spans="1:32" ht="15" x14ac:dyDescent="0.35">
      <c r="A4501" t="s">
        <v>5839</v>
      </c>
      <c r="B4501" s="1">
        <v>45981</v>
      </c>
      <c r="C4501">
        <f>YEAR(OrdersTable[[#This Row],[Order Date]])</f>
        <v>2025</v>
      </c>
      <c r="D4501" s="2">
        <f>DATE(YEAR(OrdersTable[[#This Row],[Order Date]]),MONTH(OrdersTable[[#This Row],[Order Date]]),1)</f>
        <v>45962</v>
      </c>
      <c r="E4501">
        <f>MONTH(OrdersTable[[#This Row],[Order Date]])</f>
        <v>11</v>
      </c>
      <c r="F4501" t="s">
        <v>1497</v>
      </c>
      <c r="G4501" t="str">
        <f>IF(OrdersTable[[#This Row],[Order Date]]=_xlfn.MINIFS(Order_Date, Customer_ID, OrdersTable[[#This Row],[Customer ID]]), "New", "Repeat")</f>
        <v>Repeat</v>
      </c>
      <c r="H4501" t="s">
        <v>21</v>
      </c>
      <c r="I4501" t="str">
        <f>INDEX(State!B:B,MATCH(OrdersTable[[#This Row],[State]],State!A:A,0))</f>
        <v>PB</v>
      </c>
      <c r="J4501" t="str">
        <f>INDEX(State!C:C,MATCH(OrdersTable[[#This Row],[State Code]],State!B:B,0))</f>
        <v>North</v>
      </c>
      <c r="K4501" t="s">
        <v>22</v>
      </c>
      <c r="L4501" t="s">
        <v>16</v>
      </c>
      <c r="M4501" t="s">
        <v>576</v>
      </c>
      <c r="N4501" t="str">
        <f>INDEX(Products!B:B,MATCH(OrdersTable[[#This Row],[Product ID]],Products!A:A,0))</f>
        <v>Printed Saree</v>
      </c>
      <c r="O4501" t="str">
        <f>INDEX(Products!C:C,MATCH(OrdersTable[[#This Row],[Product ID]],Products!A:A,0))</f>
        <v>Apparel</v>
      </c>
      <c r="P4501">
        <v>2</v>
      </c>
      <c r="Q4501" s="5">
        <v>1999</v>
      </c>
      <c r="R4501" s="74">
        <v>0.15</v>
      </c>
      <c r="S4501" s="75">
        <f>OrdersTable[[#This Row],[Quantity]]*OrdersTable[[#This Row],[Unit Price]]</f>
        <v>3998</v>
      </c>
      <c r="T4501" s="5">
        <f>OrdersTable[[#This Row],[Gross Sale]]*OrdersTable[[#This Row],[Discount_Clean2]]</f>
        <v>599.69999999999993</v>
      </c>
      <c r="U4501" s="5">
        <f>OrdersTable[[#This Row],[Gross Sale]]-OrdersTable[[#This Row],[Discount Amount]]</f>
        <v>3398.3</v>
      </c>
      <c r="V4501" s="77">
        <f>INDEX(Products!E:E,MATCH(OrdersTable[[#This Row],[Product ID]],Products!A:A,0))</f>
        <v>880</v>
      </c>
      <c r="W4501" s="77">
        <f>OrdersTable[[#This Row],[Quantity]]*OrdersTable[[#This Row],[Unit Cost]]</f>
        <v>1760</v>
      </c>
      <c r="X4501" s="77">
        <f>'Dropdown Lists'!$I$2*(1+OrdersTable[[#This Row],[Returned]])</f>
        <v>60</v>
      </c>
      <c r="Y4501" s="76">
        <f>OrdersTable[[#This Row],[Net Revenue]]-OrdersTable[[#This Row],[COGS]]-OrdersTable[[#This Row],[Shipping Cost]]</f>
        <v>1578.3000000000002</v>
      </c>
      <c r="Z4501" s="78">
        <f>IFERROR(OrdersTable[[#This Row],[Profit]]/OrdersTable[[#This Row],[Net Revenue]],0)</f>
        <v>0.464438101403643</v>
      </c>
      <c r="AA4501" t="s">
        <v>18</v>
      </c>
      <c r="AB4501" s="79">
        <v>45985</v>
      </c>
      <c r="AC4501">
        <f>OrdersTable[[#This Row],[Delivery Date]]-OrdersTable[[#This Row],[Order Date]]</f>
        <v>4</v>
      </c>
      <c r="AD4501" t="str">
        <f>IF(OrdersTable[[#This Row],[Delivery Days]]&lt;=2, "Express (≤2d)", IF(OrdersTable[[#This Row],[Delivery Days]]&lt;=4, "Standard (3-4d)", "Delayed (5d+)"))</f>
        <v>Standard (3-4d)</v>
      </c>
      <c r="AE4501">
        <v>5</v>
      </c>
      <c r="AF4501">
        <v>0</v>
      </c>
    </row>
    <row r="4502" spans="1:32" ht="15" x14ac:dyDescent="0.35">
      <c r="A4502" t="s">
        <v>6437</v>
      </c>
      <c r="B4502" s="1">
        <v>45981</v>
      </c>
      <c r="C4502">
        <f>YEAR(OrdersTable[[#This Row],[Order Date]])</f>
        <v>2025</v>
      </c>
      <c r="D4502" s="2">
        <f>DATE(YEAR(OrdersTable[[#This Row],[Order Date]]),MONTH(OrdersTable[[#This Row],[Order Date]]),1)</f>
        <v>45962</v>
      </c>
      <c r="E4502">
        <f>MONTH(OrdersTable[[#This Row],[Order Date]])</f>
        <v>11</v>
      </c>
      <c r="F4502" t="s">
        <v>6438</v>
      </c>
      <c r="G4502" t="str">
        <f>IF(OrdersTable[[#This Row],[Order Date]]=_xlfn.MINIFS(Order_Date, Customer_ID, OrdersTable[[#This Row],[Customer ID]]), "New", "Repeat")</f>
        <v>New</v>
      </c>
      <c r="H4502" t="s">
        <v>128</v>
      </c>
      <c r="I4502" t="str">
        <f>INDEX(State!B:B,MATCH(OrdersTable[[#This Row],[State]],State!A:A,0))</f>
        <v>DL</v>
      </c>
      <c r="J4502" t="str">
        <f>INDEX(State!C:C,MATCH(OrdersTable[[#This Row],[State Code]],State!B:B,0))</f>
        <v>North</v>
      </c>
      <c r="K4502" t="s">
        <v>129</v>
      </c>
      <c r="L4502" t="s">
        <v>39</v>
      </c>
      <c r="M4502" t="s">
        <v>160</v>
      </c>
      <c r="N4502" t="str">
        <f>INDEX(Products!B:B,MATCH(OrdersTable[[#This Row],[Product ID]],Products!A:A,0))</f>
        <v>Niacinamide Toner</v>
      </c>
      <c r="O4502" t="str">
        <f>INDEX(Products!C:C,MATCH(OrdersTable[[#This Row],[Product ID]],Products!A:A,0))</f>
        <v>Skincare</v>
      </c>
      <c r="P4502">
        <v>2</v>
      </c>
      <c r="Q4502" s="5">
        <v>399</v>
      </c>
      <c r="R4502" s="74">
        <v>0.4</v>
      </c>
      <c r="S4502" s="75">
        <f>OrdersTable[[#This Row],[Quantity]]*OrdersTable[[#This Row],[Unit Price]]</f>
        <v>798</v>
      </c>
      <c r="T4502" s="5">
        <f>OrdersTable[[#This Row],[Gross Sale]]*OrdersTable[[#This Row],[Discount_Clean2]]</f>
        <v>319.20000000000005</v>
      </c>
      <c r="U4502" s="5">
        <f>OrdersTable[[#This Row],[Gross Sale]]-OrdersTable[[#This Row],[Discount Amount]]</f>
        <v>478.79999999999995</v>
      </c>
      <c r="V4502" s="77">
        <f>INDEX(Products!E:E,MATCH(OrdersTable[[#This Row],[Product ID]],Products!A:A,0))</f>
        <v>112</v>
      </c>
      <c r="W4502" s="77">
        <f>OrdersTable[[#This Row],[Quantity]]*OrdersTable[[#This Row],[Unit Cost]]</f>
        <v>224</v>
      </c>
      <c r="X4502" s="77">
        <f>'Dropdown Lists'!$I$2*(1+OrdersTable[[#This Row],[Returned]])</f>
        <v>60</v>
      </c>
      <c r="Y4502" s="76">
        <f>OrdersTable[[#This Row],[Net Revenue]]-OrdersTable[[#This Row],[COGS]]-OrdersTable[[#This Row],[Shipping Cost]]</f>
        <v>194.79999999999995</v>
      </c>
      <c r="Z4502" s="78">
        <f>IFERROR(OrdersTable[[#This Row],[Profit]]/OrdersTable[[#This Row],[Net Revenue]],0)</f>
        <v>0.40685045948203835</v>
      </c>
      <c r="AA4502" t="s">
        <v>18</v>
      </c>
      <c r="AB4502" s="79">
        <v>45984</v>
      </c>
      <c r="AC4502">
        <f>OrdersTable[[#This Row],[Delivery Date]]-OrdersTable[[#This Row],[Order Date]]</f>
        <v>3</v>
      </c>
      <c r="AD4502" t="str">
        <f>IF(OrdersTable[[#This Row],[Delivery Days]]&lt;=2, "Express (≤2d)", IF(OrdersTable[[#This Row],[Delivery Days]]&lt;=4, "Standard (3-4d)", "Delayed (5d+)"))</f>
        <v>Standard (3-4d)</v>
      </c>
      <c r="AE4502">
        <v>3</v>
      </c>
      <c r="AF4502">
        <v>0</v>
      </c>
    </row>
    <row r="4503" spans="1:32" ht="15" x14ac:dyDescent="0.35">
      <c r="A4503" t="s">
        <v>5048</v>
      </c>
      <c r="B4503" s="1">
        <v>45981</v>
      </c>
      <c r="C4503">
        <f>YEAR(OrdersTable[[#This Row],[Order Date]])</f>
        <v>2025</v>
      </c>
      <c r="D4503" s="2">
        <f>DATE(YEAR(OrdersTable[[#This Row],[Order Date]]),MONTH(OrdersTable[[#This Row],[Order Date]]),1)</f>
        <v>45962</v>
      </c>
      <c r="E4503">
        <f>MONTH(OrdersTable[[#This Row],[Order Date]])</f>
        <v>11</v>
      </c>
      <c r="F4503" t="s">
        <v>1025</v>
      </c>
      <c r="G4503" t="str">
        <f>IF(OrdersTable[[#This Row],[Order Date]]=_xlfn.MINIFS(Order_Date, Customer_ID, OrdersTable[[#This Row],[Customer ID]]), "New", "Repeat")</f>
        <v>Repeat</v>
      </c>
      <c r="H4503" t="s">
        <v>128</v>
      </c>
      <c r="I4503" t="str">
        <f>INDEX(State!B:B,MATCH(OrdersTable[[#This Row],[State]],State!A:A,0))</f>
        <v>DL</v>
      </c>
      <c r="J4503" t="str">
        <f>INDEX(State!C:C,MATCH(OrdersTable[[#This Row],[State Code]],State!B:B,0))</f>
        <v>North</v>
      </c>
      <c r="K4503" t="s">
        <v>129</v>
      </c>
      <c r="L4503" t="s">
        <v>16</v>
      </c>
      <c r="M4503" t="s">
        <v>34</v>
      </c>
      <c r="N4503" t="str">
        <f>INDEX(Products!B:B,MATCH(OrdersTable[[#This Row],[Product ID]],Products!A:A,0))</f>
        <v>Flip Flops</v>
      </c>
      <c r="O4503" t="str">
        <f>INDEX(Products!C:C,MATCH(OrdersTable[[#This Row],[Product ID]],Products!A:A,0))</f>
        <v>Footwear</v>
      </c>
      <c r="P4503">
        <v>2</v>
      </c>
      <c r="Q4503" s="5">
        <v>399</v>
      </c>
      <c r="R4503" s="74">
        <v>0.3</v>
      </c>
      <c r="S4503" s="75">
        <f>OrdersTable[[#This Row],[Quantity]]*OrdersTable[[#This Row],[Unit Price]]</f>
        <v>798</v>
      </c>
      <c r="T4503" s="5">
        <f>OrdersTable[[#This Row],[Gross Sale]]*OrdersTable[[#This Row],[Discount_Clean2]]</f>
        <v>239.39999999999998</v>
      </c>
      <c r="U4503" s="5">
        <f>OrdersTable[[#This Row],[Gross Sale]]-OrdersTable[[#This Row],[Discount Amount]]</f>
        <v>558.6</v>
      </c>
      <c r="V4503" s="77">
        <f>INDEX(Products!E:E,MATCH(OrdersTable[[#This Row],[Product ID]],Products!A:A,0))</f>
        <v>152</v>
      </c>
      <c r="W4503" s="77">
        <f>OrdersTable[[#This Row],[Quantity]]*OrdersTable[[#This Row],[Unit Cost]]</f>
        <v>304</v>
      </c>
      <c r="X4503" s="77">
        <f>'Dropdown Lists'!$I$2*(1+OrdersTable[[#This Row],[Returned]])</f>
        <v>60</v>
      </c>
      <c r="Y4503" s="76">
        <f>OrdersTable[[#This Row],[Net Revenue]]-OrdersTable[[#This Row],[COGS]]-OrdersTable[[#This Row],[Shipping Cost]]</f>
        <v>194.60000000000002</v>
      </c>
      <c r="Z4503" s="78">
        <f>IFERROR(OrdersTable[[#This Row],[Profit]]/OrdersTable[[#This Row],[Net Revenue]],0)</f>
        <v>0.34837092731829578</v>
      </c>
      <c r="AA4503" t="s">
        <v>4074</v>
      </c>
      <c r="AB4503" s="79">
        <v>45982</v>
      </c>
      <c r="AC4503">
        <f>OrdersTable[[#This Row],[Delivery Date]]-OrdersTable[[#This Row],[Order Date]]</f>
        <v>1</v>
      </c>
      <c r="AD4503" t="str">
        <f>IF(OrdersTable[[#This Row],[Delivery Days]]&lt;=2, "Express (≤2d)", IF(OrdersTable[[#This Row],[Delivery Days]]&lt;=4, "Standard (3-4d)", "Delayed (5d+)"))</f>
        <v>Express (≤2d)</v>
      </c>
      <c r="AE4503">
        <v>5</v>
      </c>
      <c r="AF4503">
        <v>0</v>
      </c>
    </row>
    <row r="4504" spans="1:32" ht="15" x14ac:dyDescent="0.35">
      <c r="A4504" t="s">
        <v>6017</v>
      </c>
      <c r="B4504" s="1">
        <v>45981</v>
      </c>
      <c r="C4504">
        <f>YEAR(OrdersTable[[#This Row],[Order Date]])</f>
        <v>2025</v>
      </c>
      <c r="D4504" s="2">
        <f>DATE(YEAR(OrdersTable[[#This Row],[Order Date]]),MONTH(OrdersTable[[#This Row],[Order Date]]),1)</f>
        <v>45962</v>
      </c>
      <c r="E4504">
        <f>MONTH(OrdersTable[[#This Row],[Order Date]])</f>
        <v>11</v>
      </c>
      <c r="F4504" t="s">
        <v>3256</v>
      </c>
      <c r="G4504" t="str">
        <f>IF(OrdersTable[[#This Row],[Order Date]]=_xlfn.MINIFS(Order_Date, Customer_ID, OrdersTable[[#This Row],[Customer ID]]), "New", "Repeat")</f>
        <v>Repeat</v>
      </c>
      <c r="H4504" t="s">
        <v>128</v>
      </c>
      <c r="I4504" t="str">
        <f>INDEX(State!B:B,MATCH(OrdersTable[[#This Row],[State]],State!A:A,0))</f>
        <v>DL</v>
      </c>
      <c r="J4504" t="str">
        <f>INDEX(State!C:C,MATCH(OrdersTable[[#This Row],[State Code]],State!B:B,0))</f>
        <v>North</v>
      </c>
      <c r="K4504" t="s">
        <v>129</v>
      </c>
      <c r="L4504" t="s">
        <v>39</v>
      </c>
      <c r="M4504" t="s">
        <v>87</v>
      </c>
      <c r="N4504" t="str">
        <f>INDEX(Products!B:B,MATCH(OrdersTable[[#This Row],[Product ID]],Products!A:A,0))</f>
        <v>Linen Kurta</v>
      </c>
      <c r="O4504" t="str">
        <f>INDEX(Products!C:C,MATCH(OrdersTable[[#This Row],[Product ID]],Products!A:A,0))</f>
        <v>Apparel</v>
      </c>
      <c r="P4504">
        <v>2</v>
      </c>
      <c r="Q4504" s="5">
        <v>1499</v>
      </c>
      <c r="R4504" s="74">
        <v>0.4</v>
      </c>
      <c r="S4504" s="75">
        <f>OrdersTable[[#This Row],[Quantity]]*OrdersTable[[#This Row],[Unit Price]]</f>
        <v>2998</v>
      </c>
      <c r="T4504" s="5">
        <f>OrdersTable[[#This Row],[Gross Sale]]*OrdersTable[[#This Row],[Discount_Clean2]]</f>
        <v>1199.2</v>
      </c>
      <c r="U4504" s="5">
        <f>OrdersTable[[#This Row],[Gross Sale]]-OrdersTable[[#This Row],[Discount Amount]]</f>
        <v>1798.8</v>
      </c>
      <c r="V4504" s="77">
        <f>INDEX(Products!E:E,MATCH(OrdersTable[[#This Row],[Product ID]],Products!A:A,0))</f>
        <v>630</v>
      </c>
      <c r="W4504" s="77">
        <f>OrdersTable[[#This Row],[Quantity]]*OrdersTable[[#This Row],[Unit Cost]]</f>
        <v>1260</v>
      </c>
      <c r="X4504" s="77">
        <f>'Dropdown Lists'!$I$2*(1+OrdersTable[[#This Row],[Returned]])</f>
        <v>60</v>
      </c>
      <c r="Y4504" s="76">
        <f>OrdersTable[[#This Row],[Net Revenue]]-OrdersTable[[#This Row],[COGS]]-OrdersTable[[#This Row],[Shipping Cost]]</f>
        <v>478.79999999999995</v>
      </c>
      <c r="Z4504" s="78">
        <f>IFERROR(OrdersTable[[#This Row],[Profit]]/OrdersTable[[#This Row],[Net Revenue]],0)</f>
        <v>0.26617745163442291</v>
      </c>
      <c r="AA4504" t="s">
        <v>18</v>
      </c>
      <c r="AB4504" s="79">
        <v>45984</v>
      </c>
      <c r="AC4504">
        <f>OrdersTable[[#This Row],[Delivery Date]]-OrdersTable[[#This Row],[Order Date]]</f>
        <v>3</v>
      </c>
      <c r="AD4504" t="str">
        <f>IF(OrdersTable[[#This Row],[Delivery Days]]&lt;=2, "Express (≤2d)", IF(OrdersTable[[#This Row],[Delivery Days]]&lt;=4, "Standard (3-4d)", "Delayed (5d+)"))</f>
        <v>Standard (3-4d)</v>
      </c>
      <c r="AF4504">
        <v>0</v>
      </c>
    </row>
    <row r="4505" spans="1:32" ht="15" x14ac:dyDescent="0.35">
      <c r="A4505" t="s">
        <v>5642</v>
      </c>
      <c r="B4505" s="1">
        <v>45981</v>
      </c>
      <c r="C4505">
        <f>YEAR(OrdersTable[[#This Row],[Order Date]])</f>
        <v>2025</v>
      </c>
      <c r="D4505" s="2">
        <f>DATE(YEAR(OrdersTable[[#This Row],[Order Date]]),MONTH(OrdersTable[[#This Row],[Order Date]]),1)</f>
        <v>45962</v>
      </c>
      <c r="E4505">
        <f>MONTH(OrdersTable[[#This Row],[Order Date]])</f>
        <v>11</v>
      </c>
      <c r="F4505" t="s">
        <v>1380</v>
      </c>
      <c r="G4505" t="str">
        <f>IF(OrdersTable[[#This Row],[Order Date]]=_xlfn.MINIFS(Order_Date, Customer_ID, OrdersTable[[#This Row],[Customer ID]]), "New", "Repeat")</f>
        <v>Repeat</v>
      </c>
      <c r="H4505" t="s">
        <v>32</v>
      </c>
      <c r="I4505" t="str">
        <f>INDEX(State!B:B,MATCH(OrdersTable[[#This Row],[State]],State!A:A,0))</f>
        <v>BR</v>
      </c>
      <c r="J4505" t="str">
        <f>INDEX(State!C:C,MATCH(OrdersTable[[#This Row],[State Code]],State!B:B,0))</f>
        <v>East</v>
      </c>
      <c r="K4505" t="s">
        <v>33</v>
      </c>
      <c r="L4505" t="s">
        <v>65</v>
      </c>
      <c r="M4505" t="s">
        <v>51</v>
      </c>
      <c r="N4505" t="str">
        <f>INDEX(Products!B:B,MATCH(OrdersTable[[#This Row],[Product ID]],Products!A:A,0))</f>
        <v>Anti-Dandruff Conditioner</v>
      </c>
      <c r="O4505" t="str">
        <f>INDEX(Products!C:C,MATCH(OrdersTable[[#This Row],[Product ID]],Products!A:A,0))</f>
        <v>Haircare</v>
      </c>
      <c r="P4505">
        <v>2</v>
      </c>
      <c r="Q4505" s="5">
        <v>399</v>
      </c>
      <c r="R4505" s="74">
        <v>0.4</v>
      </c>
      <c r="S4505" s="75">
        <f>OrdersTable[[#This Row],[Quantity]]*OrdersTable[[#This Row],[Unit Price]]</f>
        <v>798</v>
      </c>
      <c r="T4505" s="5">
        <f>OrdersTable[[#This Row],[Gross Sale]]*OrdersTable[[#This Row],[Discount_Clean2]]</f>
        <v>319.20000000000005</v>
      </c>
      <c r="U4505" s="5">
        <f>OrdersTable[[#This Row],[Gross Sale]]-OrdersTable[[#This Row],[Discount Amount]]</f>
        <v>478.79999999999995</v>
      </c>
      <c r="V4505" s="77">
        <f>INDEX(Products!E:E,MATCH(OrdersTable[[#This Row],[Product ID]],Products!A:A,0))</f>
        <v>136</v>
      </c>
      <c r="W4505" s="77">
        <f>OrdersTable[[#This Row],[Quantity]]*OrdersTable[[#This Row],[Unit Cost]]</f>
        <v>272</v>
      </c>
      <c r="X4505" s="77">
        <f>'Dropdown Lists'!$I$2*(1+OrdersTable[[#This Row],[Returned]])</f>
        <v>120</v>
      </c>
      <c r="Y4505" s="76">
        <f>OrdersTable[[#This Row],[Net Revenue]]-OrdersTable[[#This Row],[COGS]]-OrdersTable[[#This Row],[Shipping Cost]]</f>
        <v>86.799999999999955</v>
      </c>
      <c r="Z4505" s="78">
        <f>IFERROR(OrdersTable[[#This Row],[Profit]]/OrdersTable[[#This Row],[Net Revenue]],0)</f>
        <v>0.18128654970760227</v>
      </c>
      <c r="AA4505" t="s">
        <v>2522</v>
      </c>
      <c r="AB4505" s="79">
        <v>45984</v>
      </c>
      <c r="AC4505">
        <f>OrdersTable[[#This Row],[Delivery Date]]-OrdersTable[[#This Row],[Order Date]]</f>
        <v>3</v>
      </c>
      <c r="AD4505" t="str">
        <f>IF(OrdersTable[[#This Row],[Delivery Days]]&lt;=2, "Express (≤2d)", IF(OrdersTable[[#This Row],[Delivery Days]]&lt;=4, "Standard (3-4d)", "Delayed (5d+)"))</f>
        <v>Standard (3-4d)</v>
      </c>
      <c r="AF4505">
        <v>1</v>
      </c>
    </row>
    <row r="4506" spans="1:32" ht="15" x14ac:dyDescent="0.35">
      <c r="A4506" t="s">
        <v>4547</v>
      </c>
      <c r="B4506" s="1">
        <v>45981</v>
      </c>
      <c r="C4506">
        <f>YEAR(OrdersTable[[#This Row],[Order Date]])</f>
        <v>2025</v>
      </c>
      <c r="D4506" s="2">
        <f>DATE(YEAR(OrdersTable[[#This Row],[Order Date]]),MONTH(OrdersTable[[#This Row],[Order Date]]),1)</f>
        <v>45962</v>
      </c>
      <c r="E4506">
        <f>MONTH(OrdersTable[[#This Row],[Order Date]])</f>
        <v>11</v>
      </c>
      <c r="F4506" t="s">
        <v>4548</v>
      </c>
      <c r="G4506" t="str">
        <f>IF(OrdersTable[[#This Row],[Order Date]]=_xlfn.MINIFS(Order_Date, Customer_ID, OrdersTable[[#This Row],[Customer ID]]), "New", "Repeat")</f>
        <v>Repeat</v>
      </c>
      <c r="H4506" t="s">
        <v>43</v>
      </c>
      <c r="I4506" t="str">
        <f>INDEX(State!B:B,MATCH(OrdersTable[[#This Row],[State]],State!A:A,0))</f>
        <v>MP</v>
      </c>
      <c r="J4506" t="str">
        <f>INDEX(State!C:C,MATCH(OrdersTable[[#This Row],[State Code]],State!B:B,0))</f>
        <v>West</v>
      </c>
      <c r="K4506" t="s">
        <v>44</v>
      </c>
      <c r="L4506" t="s">
        <v>65</v>
      </c>
      <c r="M4506" t="s">
        <v>34</v>
      </c>
      <c r="N4506" t="str">
        <f>INDEX(Products!B:B,MATCH(OrdersTable[[#This Row],[Product ID]],Products!A:A,0))</f>
        <v>Flip Flops</v>
      </c>
      <c r="O4506" t="str">
        <f>INDEX(Products!C:C,MATCH(OrdersTable[[#This Row],[Product ID]],Products!A:A,0))</f>
        <v>Footwear</v>
      </c>
      <c r="P4506">
        <v>1</v>
      </c>
      <c r="Q4506" s="5">
        <v>399</v>
      </c>
      <c r="R4506" s="74">
        <v>0.1</v>
      </c>
      <c r="S4506" s="75">
        <f>OrdersTable[[#This Row],[Quantity]]*OrdersTable[[#This Row],[Unit Price]]</f>
        <v>399</v>
      </c>
      <c r="T4506" s="5">
        <f>OrdersTable[[#This Row],[Gross Sale]]*OrdersTable[[#This Row],[Discount_Clean2]]</f>
        <v>39.900000000000006</v>
      </c>
      <c r="U4506" s="5">
        <f>OrdersTable[[#This Row],[Gross Sale]]-OrdersTable[[#This Row],[Discount Amount]]</f>
        <v>359.1</v>
      </c>
      <c r="V4506" s="77">
        <f>INDEX(Products!E:E,MATCH(OrdersTable[[#This Row],[Product ID]],Products!A:A,0))</f>
        <v>152</v>
      </c>
      <c r="W4506" s="77">
        <f>OrdersTable[[#This Row],[Quantity]]*OrdersTable[[#This Row],[Unit Cost]]</f>
        <v>152</v>
      </c>
      <c r="X4506" s="77">
        <f>'Dropdown Lists'!$I$2*(1+OrdersTable[[#This Row],[Returned]])</f>
        <v>120</v>
      </c>
      <c r="Y4506" s="76">
        <f>OrdersTable[[#This Row],[Net Revenue]]-OrdersTable[[#This Row],[COGS]]-OrdersTable[[#This Row],[Shipping Cost]]</f>
        <v>87.100000000000023</v>
      </c>
      <c r="Z4506" s="78">
        <f>IFERROR(OrdersTable[[#This Row],[Profit]]/OrdersTable[[#This Row],[Net Revenue]],0)</f>
        <v>0.24255082149818996</v>
      </c>
      <c r="AA4506" t="s">
        <v>4450</v>
      </c>
      <c r="AB4506" s="79">
        <v>45984</v>
      </c>
      <c r="AC4506">
        <f>OrdersTable[[#This Row],[Delivery Date]]-OrdersTable[[#This Row],[Order Date]]</f>
        <v>3</v>
      </c>
      <c r="AD4506" t="str">
        <f>IF(OrdersTable[[#This Row],[Delivery Days]]&lt;=2, "Express (≤2d)", IF(OrdersTable[[#This Row],[Delivery Days]]&lt;=4, "Standard (3-4d)", "Delayed (5d+)"))</f>
        <v>Standard (3-4d)</v>
      </c>
      <c r="AE4506">
        <v>4</v>
      </c>
      <c r="AF4506">
        <v>1</v>
      </c>
    </row>
    <row r="4507" spans="1:32" ht="15" x14ac:dyDescent="0.35">
      <c r="A4507" t="s">
        <v>5455</v>
      </c>
      <c r="B4507" s="1">
        <v>45981</v>
      </c>
      <c r="C4507">
        <f>YEAR(OrdersTable[[#This Row],[Order Date]])</f>
        <v>2025</v>
      </c>
      <c r="D4507" s="2">
        <f>DATE(YEAR(OrdersTable[[#This Row],[Order Date]]),MONTH(OrdersTable[[#This Row],[Order Date]]),1)</f>
        <v>45962</v>
      </c>
      <c r="E4507">
        <f>MONTH(OrdersTable[[#This Row],[Order Date]])</f>
        <v>11</v>
      </c>
      <c r="F4507" t="s">
        <v>3080</v>
      </c>
      <c r="G4507" t="str">
        <f>IF(OrdersTable[[#This Row],[Order Date]]=_xlfn.MINIFS(Order_Date, Customer_ID, OrdersTable[[#This Row],[Customer ID]]), "New", "Repeat")</f>
        <v>Repeat</v>
      </c>
      <c r="H4507" t="s">
        <v>71</v>
      </c>
      <c r="I4507" t="str">
        <f>INDEX(State!B:B,MATCH(OrdersTable[[#This Row],[State]],State!A:A,0))</f>
        <v>MH</v>
      </c>
      <c r="J4507" t="str">
        <f>INDEX(State!C:C,MATCH(OrdersTable[[#This Row],[State Code]],State!B:B,0))</f>
        <v>West</v>
      </c>
      <c r="K4507" t="s">
        <v>102</v>
      </c>
      <c r="L4507" t="s">
        <v>65</v>
      </c>
      <c r="M4507" t="s">
        <v>173</v>
      </c>
      <c r="N4507" t="str">
        <f>INDEX(Products!B:B,MATCH(OrdersTable[[#This Row],[Product ID]],Products!A:A,0))</f>
        <v>Wireless Earbuds</v>
      </c>
      <c r="O4507" t="str">
        <f>INDEX(Products!C:C,MATCH(OrdersTable[[#This Row],[Product ID]],Products!A:A,0))</f>
        <v>Electronics</v>
      </c>
      <c r="P4507">
        <v>2</v>
      </c>
      <c r="Q4507" s="5">
        <v>1999</v>
      </c>
      <c r="R4507" s="74">
        <v>0.45</v>
      </c>
      <c r="S4507" s="75">
        <f>OrdersTable[[#This Row],[Quantity]]*OrdersTable[[#This Row],[Unit Price]]</f>
        <v>3998</v>
      </c>
      <c r="T4507" s="5">
        <f>OrdersTable[[#This Row],[Gross Sale]]*OrdersTable[[#This Row],[Discount_Clean2]]</f>
        <v>1799.1000000000001</v>
      </c>
      <c r="U4507" s="5">
        <f>OrdersTable[[#This Row],[Gross Sale]]-OrdersTable[[#This Row],[Discount Amount]]</f>
        <v>2198.8999999999996</v>
      </c>
      <c r="V4507" s="77">
        <f>INDEX(Products!E:E,MATCH(OrdersTable[[#This Row],[Product ID]],Products!A:A,0))</f>
        <v>1239</v>
      </c>
      <c r="W4507" s="77">
        <f>OrdersTable[[#This Row],[Quantity]]*OrdersTable[[#This Row],[Unit Cost]]</f>
        <v>2478</v>
      </c>
      <c r="X4507" s="77">
        <f>'Dropdown Lists'!$I$2*(1+OrdersTable[[#This Row],[Returned]])</f>
        <v>60</v>
      </c>
      <c r="Y4507" s="76">
        <f>OrdersTable[[#This Row],[Net Revenue]]-OrdersTable[[#This Row],[COGS]]-OrdersTable[[#This Row],[Shipping Cost]]</f>
        <v>-339.10000000000036</v>
      </c>
      <c r="Z4507" s="78">
        <f>IFERROR(OrdersTable[[#This Row],[Profit]]/OrdersTable[[#This Row],[Net Revenue]],0)</f>
        <v>-0.15421347037154962</v>
      </c>
      <c r="AA4507" t="s">
        <v>2522</v>
      </c>
      <c r="AB4507" s="79">
        <v>45983</v>
      </c>
      <c r="AC4507">
        <f>OrdersTable[[#This Row],[Delivery Date]]-OrdersTable[[#This Row],[Order Date]]</f>
        <v>2</v>
      </c>
      <c r="AD4507" t="str">
        <f>IF(OrdersTable[[#This Row],[Delivery Days]]&lt;=2, "Express (≤2d)", IF(OrdersTable[[#This Row],[Delivery Days]]&lt;=4, "Standard (3-4d)", "Delayed (5d+)"))</f>
        <v>Express (≤2d)</v>
      </c>
      <c r="AF4507">
        <v>0</v>
      </c>
    </row>
    <row r="4508" spans="1:32" ht="15" x14ac:dyDescent="0.35">
      <c r="A4508" t="s">
        <v>6828</v>
      </c>
      <c r="B4508" s="1">
        <v>45981</v>
      </c>
      <c r="C4508">
        <f>YEAR(OrdersTable[[#This Row],[Order Date]])</f>
        <v>2025</v>
      </c>
      <c r="D4508" s="2">
        <f>DATE(YEAR(OrdersTable[[#This Row],[Order Date]]),MONTH(OrdersTable[[#This Row],[Order Date]]),1)</f>
        <v>45962</v>
      </c>
      <c r="E4508">
        <f>MONTH(OrdersTable[[#This Row],[Order Date]])</f>
        <v>11</v>
      </c>
      <c r="F4508" t="s">
        <v>2005</v>
      </c>
      <c r="G4508" t="str">
        <f>IF(OrdersTable[[#This Row],[Order Date]]=_xlfn.MINIFS(Order_Date, Customer_ID, OrdersTable[[#This Row],[Customer ID]]), "New", "Repeat")</f>
        <v>Repeat</v>
      </c>
      <c r="H4508" t="s">
        <v>95</v>
      </c>
      <c r="I4508" t="str">
        <f>INDEX(State!B:B,MATCH(OrdersTable[[#This Row],[State]],State!A:A,0))</f>
        <v>TG</v>
      </c>
      <c r="J4508" t="str">
        <f>INDEX(State!C:C,MATCH(OrdersTable[[#This Row],[State Code]],State!B:B,0))</f>
        <v>South</v>
      </c>
      <c r="K4508" t="s">
        <v>96</v>
      </c>
      <c r="L4508" t="s">
        <v>65</v>
      </c>
      <c r="M4508" t="s">
        <v>228</v>
      </c>
      <c r="N4508" t="str">
        <f>INDEX(Products!B:B,MATCH(OrdersTable[[#This Row],[Product ID]],Products!A:A,0))</f>
        <v>Fast Charger 33W</v>
      </c>
      <c r="O4508" t="str">
        <f>INDEX(Products!C:C,MATCH(OrdersTable[[#This Row],[Product ID]],Products!A:A,0))</f>
        <v>Electronics</v>
      </c>
      <c r="P4508">
        <v>3</v>
      </c>
      <c r="Q4508" s="5">
        <v>899</v>
      </c>
      <c r="R4508" s="74">
        <v>0.25</v>
      </c>
      <c r="S4508" s="75">
        <f>OrdersTable[[#This Row],[Quantity]]*OrdersTable[[#This Row],[Unit Price]]</f>
        <v>2697</v>
      </c>
      <c r="T4508" s="5">
        <f>OrdersTable[[#This Row],[Gross Sale]]*OrdersTable[[#This Row],[Discount_Clean2]]</f>
        <v>674.25</v>
      </c>
      <c r="U4508" s="5">
        <f>OrdersTable[[#This Row],[Gross Sale]]-OrdersTable[[#This Row],[Discount Amount]]</f>
        <v>2022.75</v>
      </c>
      <c r="V4508" s="77">
        <f>INDEX(Products!E:E,MATCH(OrdersTable[[#This Row],[Product ID]],Products!A:A,0))</f>
        <v>494</v>
      </c>
      <c r="W4508" s="77">
        <f>OrdersTable[[#This Row],[Quantity]]*OrdersTable[[#This Row],[Unit Cost]]</f>
        <v>1482</v>
      </c>
      <c r="X4508" s="77">
        <f>'Dropdown Lists'!$I$2*(1+OrdersTable[[#This Row],[Returned]])</f>
        <v>60</v>
      </c>
      <c r="Y4508" s="76">
        <f>OrdersTable[[#This Row],[Net Revenue]]-OrdersTable[[#This Row],[COGS]]-OrdersTable[[#This Row],[Shipping Cost]]</f>
        <v>480.75</v>
      </c>
      <c r="Z4508" s="78">
        <f>IFERROR(OrdersTable[[#This Row],[Profit]]/OrdersTable[[#This Row],[Net Revenue]],0)</f>
        <v>0.23767148683722655</v>
      </c>
      <c r="AA4508" t="s">
        <v>3495</v>
      </c>
      <c r="AB4508" s="79">
        <v>45983</v>
      </c>
      <c r="AC4508">
        <f>OrdersTable[[#This Row],[Delivery Date]]-OrdersTable[[#This Row],[Order Date]]</f>
        <v>2</v>
      </c>
      <c r="AD4508" t="str">
        <f>IF(OrdersTable[[#This Row],[Delivery Days]]&lt;=2, "Express (≤2d)", IF(OrdersTable[[#This Row],[Delivery Days]]&lt;=4, "Standard (3-4d)", "Delayed (5d+)"))</f>
        <v>Express (≤2d)</v>
      </c>
      <c r="AF4508">
        <v>0</v>
      </c>
    </row>
    <row r="4509" spans="1:32" ht="15" x14ac:dyDescent="0.35">
      <c r="A4509" t="s">
        <v>6018</v>
      </c>
      <c r="B4509" s="1">
        <v>45982</v>
      </c>
      <c r="C4509">
        <f>YEAR(OrdersTable[[#This Row],[Order Date]])</f>
        <v>2025</v>
      </c>
      <c r="D4509" s="2">
        <f>DATE(YEAR(OrdersTable[[#This Row],[Order Date]]),MONTH(OrdersTable[[#This Row],[Order Date]]),1)</f>
        <v>45962</v>
      </c>
      <c r="E4509">
        <f>MONTH(OrdersTable[[#This Row],[Order Date]])</f>
        <v>11</v>
      </c>
      <c r="F4509" t="s">
        <v>5190</v>
      </c>
      <c r="G4509" t="str">
        <f>IF(OrdersTable[[#This Row],[Order Date]]=_xlfn.MINIFS(Order_Date, Customer_ID, OrdersTable[[#This Row],[Customer ID]]), "New", "Repeat")</f>
        <v>Repeat</v>
      </c>
      <c r="H4509" t="s">
        <v>21</v>
      </c>
      <c r="I4509" t="str">
        <f>INDEX(State!B:B,MATCH(OrdersTable[[#This Row],[State]],State!A:A,0))</f>
        <v>PB</v>
      </c>
      <c r="J4509" t="str">
        <f>INDEX(State!C:C,MATCH(OrdersTable[[#This Row],[State Code]],State!B:B,0))</f>
        <v>North</v>
      </c>
      <c r="K4509" t="s">
        <v>260</v>
      </c>
      <c r="L4509" t="s">
        <v>65</v>
      </c>
      <c r="M4509" t="s">
        <v>92</v>
      </c>
      <c r="N4509" t="str">
        <f>INDEX(Products!B:B,MATCH(OrdersTable[[#This Row],[Product ID]],Products!A:A,0))</f>
        <v>Kolhapuri Sandals</v>
      </c>
      <c r="O4509" t="str">
        <f>INDEX(Products!C:C,MATCH(OrdersTable[[#This Row],[Product ID]],Products!A:A,0))</f>
        <v>Footwear</v>
      </c>
      <c r="P4509">
        <v>2</v>
      </c>
      <c r="Q4509" s="5">
        <v>999</v>
      </c>
      <c r="R4509" s="74">
        <v>0.25</v>
      </c>
      <c r="S4509" s="75">
        <f>OrdersTable[[#This Row],[Quantity]]*OrdersTable[[#This Row],[Unit Price]]</f>
        <v>1998</v>
      </c>
      <c r="T4509" s="5">
        <f>OrdersTable[[#This Row],[Gross Sale]]*OrdersTable[[#This Row],[Discount_Clean2]]</f>
        <v>499.5</v>
      </c>
      <c r="U4509" s="5">
        <f>OrdersTable[[#This Row],[Gross Sale]]-OrdersTable[[#This Row],[Discount Amount]]</f>
        <v>1498.5</v>
      </c>
      <c r="V4509" s="77">
        <f>INDEX(Products!E:E,MATCH(OrdersTable[[#This Row],[Product ID]],Products!A:A,0))</f>
        <v>400</v>
      </c>
      <c r="W4509" s="77">
        <f>OrdersTable[[#This Row],[Quantity]]*OrdersTable[[#This Row],[Unit Cost]]</f>
        <v>800</v>
      </c>
      <c r="X4509" s="77">
        <f>'Dropdown Lists'!$I$2*(1+OrdersTable[[#This Row],[Returned]])</f>
        <v>60</v>
      </c>
      <c r="Y4509" s="76">
        <f>OrdersTable[[#This Row],[Net Revenue]]-OrdersTable[[#This Row],[COGS]]-OrdersTable[[#This Row],[Shipping Cost]]</f>
        <v>638.5</v>
      </c>
      <c r="Z4509" s="78">
        <f>IFERROR(OrdersTable[[#This Row],[Profit]]/OrdersTable[[#This Row],[Net Revenue]],0)</f>
        <v>0.42609275942609276</v>
      </c>
      <c r="AA4509" t="s">
        <v>18</v>
      </c>
      <c r="AB4509" s="79">
        <v>45987</v>
      </c>
      <c r="AC4509">
        <f>OrdersTable[[#This Row],[Delivery Date]]-OrdersTable[[#This Row],[Order Date]]</f>
        <v>5</v>
      </c>
      <c r="AD4509" t="str">
        <f>IF(OrdersTable[[#This Row],[Delivery Days]]&lt;=2, "Express (≤2d)", IF(OrdersTable[[#This Row],[Delivery Days]]&lt;=4, "Standard (3-4d)", "Delayed (5d+)"))</f>
        <v>Delayed (5d+)</v>
      </c>
      <c r="AF4509">
        <v>0</v>
      </c>
    </row>
    <row r="4510" spans="1:32" ht="15" x14ac:dyDescent="0.35">
      <c r="A4510" t="s">
        <v>6748</v>
      </c>
      <c r="B4510" s="1">
        <v>45982</v>
      </c>
      <c r="C4510">
        <f>YEAR(OrdersTable[[#This Row],[Order Date]])</f>
        <v>2025</v>
      </c>
      <c r="D4510" s="2">
        <f>DATE(YEAR(OrdersTable[[#This Row],[Order Date]]),MONTH(OrdersTable[[#This Row],[Order Date]]),1)</f>
        <v>45962</v>
      </c>
      <c r="E4510">
        <f>MONTH(OrdersTable[[#This Row],[Order Date]])</f>
        <v>11</v>
      </c>
      <c r="F4510" t="s">
        <v>3280</v>
      </c>
      <c r="G4510" t="str">
        <f>IF(OrdersTable[[#This Row],[Order Date]]=_xlfn.MINIFS(Order_Date, Customer_ID, OrdersTable[[#This Row],[Customer ID]]), "New", "Repeat")</f>
        <v>Repeat</v>
      </c>
      <c r="H4510" t="s">
        <v>158</v>
      </c>
      <c r="I4510" t="str">
        <f>INDEX(State!B:B,MATCH(OrdersTable[[#This Row],[State]],State!A:A,0))</f>
        <v>HP</v>
      </c>
      <c r="J4510" t="str">
        <f>INDEX(State!C:C,MATCH(OrdersTable[[#This Row],[State Code]],State!B:B,0))</f>
        <v>North</v>
      </c>
      <c r="K4510" t="s">
        <v>159</v>
      </c>
      <c r="L4510" t="s">
        <v>50</v>
      </c>
      <c r="M4510" t="s">
        <v>51</v>
      </c>
      <c r="N4510" t="str">
        <f>INDEX(Products!B:B,MATCH(OrdersTable[[#This Row],[Product ID]],Products!A:A,0))</f>
        <v>Anti-Dandruff Conditioner</v>
      </c>
      <c r="O4510" t="str">
        <f>INDEX(Products!C:C,MATCH(OrdersTable[[#This Row],[Product ID]],Products!A:A,0))</f>
        <v>Haircare</v>
      </c>
      <c r="P4510">
        <v>3</v>
      </c>
      <c r="Q4510" s="5">
        <v>399</v>
      </c>
      <c r="R4510" s="74">
        <v>0.5</v>
      </c>
      <c r="S4510" s="75">
        <f>OrdersTable[[#This Row],[Quantity]]*OrdersTable[[#This Row],[Unit Price]]</f>
        <v>1197</v>
      </c>
      <c r="T4510" s="5">
        <f>OrdersTable[[#This Row],[Gross Sale]]*OrdersTable[[#This Row],[Discount_Clean2]]</f>
        <v>598.5</v>
      </c>
      <c r="U4510" s="5">
        <f>OrdersTable[[#This Row],[Gross Sale]]-OrdersTable[[#This Row],[Discount Amount]]</f>
        <v>598.5</v>
      </c>
      <c r="V4510" s="77">
        <f>INDEX(Products!E:E,MATCH(OrdersTable[[#This Row],[Product ID]],Products!A:A,0))</f>
        <v>136</v>
      </c>
      <c r="W4510" s="77">
        <f>OrdersTable[[#This Row],[Quantity]]*OrdersTable[[#This Row],[Unit Cost]]</f>
        <v>408</v>
      </c>
      <c r="X4510" s="77">
        <f>'Dropdown Lists'!$I$2*(1+OrdersTable[[#This Row],[Returned]])</f>
        <v>60</v>
      </c>
      <c r="Y4510" s="76">
        <f>OrdersTable[[#This Row],[Net Revenue]]-OrdersTable[[#This Row],[COGS]]-OrdersTable[[#This Row],[Shipping Cost]]</f>
        <v>130.5</v>
      </c>
      <c r="Z4510" s="78">
        <f>IFERROR(OrdersTable[[#This Row],[Profit]]/OrdersTable[[#This Row],[Net Revenue]],0)</f>
        <v>0.21804511278195488</v>
      </c>
      <c r="AA4510" t="s">
        <v>2522</v>
      </c>
      <c r="AB4510" s="79">
        <v>45987</v>
      </c>
      <c r="AC4510">
        <f>OrdersTable[[#This Row],[Delivery Date]]-OrdersTable[[#This Row],[Order Date]]</f>
        <v>5</v>
      </c>
      <c r="AD4510" t="str">
        <f>IF(OrdersTable[[#This Row],[Delivery Days]]&lt;=2, "Express (≤2d)", IF(OrdersTable[[#This Row],[Delivery Days]]&lt;=4, "Standard (3-4d)", "Delayed (5d+)"))</f>
        <v>Delayed (5d+)</v>
      </c>
      <c r="AE4510">
        <v>4</v>
      </c>
      <c r="AF4510">
        <v>0</v>
      </c>
    </row>
    <row r="4511" spans="1:32" ht="15" x14ac:dyDescent="0.35">
      <c r="A4511" t="s">
        <v>3366</v>
      </c>
      <c r="B4511" s="1">
        <v>45982</v>
      </c>
      <c r="C4511">
        <f>YEAR(OrdersTable[[#This Row],[Order Date]])</f>
        <v>2025</v>
      </c>
      <c r="D4511" s="2">
        <f>DATE(YEAR(OrdersTable[[#This Row],[Order Date]]),MONTH(OrdersTable[[#This Row],[Order Date]]),1)</f>
        <v>45962</v>
      </c>
      <c r="E4511">
        <f>MONTH(OrdersTable[[#This Row],[Order Date]])</f>
        <v>11</v>
      </c>
      <c r="F4511" t="s">
        <v>3367</v>
      </c>
      <c r="G4511" t="str">
        <f>IF(OrdersTable[[#This Row],[Order Date]]=_xlfn.MINIFS(Order_Date, Customer_ID, OrdersTable[[#This Row],[Customer ID]]), "New", "Repeat")</f>
        <v>New</v>
      </c>
      <c r="H4511" t="s">
        <v>48</v>
      </c>
      <c r="I4511" t="str">
        <f>INDEX(State!B:B,MATCH(OrdersTable[[#This Row],[State]],State!A:A,0))</f>
        <v>HR</v>
      </c>
      <c r="J4511" t="str">
        <f>INDEX(State!C:C,MATCH(OrdersTable[[#This Row],[State Code]],State!B:B,0))</f>
        <v>North</v>
      </c>
      <c r="K4511" t="s">
        <v>151</v>
      </c>
      <c r="L4511" t="s">
        <v>23</v>
      </c>
      <c r="M4511" t="s">
        <v>56</v>
      </c>
      <c r="N4511" t="str">
        <f>INDEX(Products!B:B,MATCH(OrdersTable[[#This Row],[Product ID]],Products!A:A,0))</f>
        <v>Vitamin C Face Serum</v>
      </c>
      <c r="O4511" t="str">
        <f>INDEX(Products!C:C,MATCH(OrdersTable[[#This Row],[Product ID]],Products!A:A,0))</f>
        <v>Skincare</v>
      </c>
      <c r="P4511">
        <v>1</v>
      </c>
      <c r="Q4511" s="5">
        <v>599</v>
      </c>
      <c r="R4511" s="74">
        <v>0.4</v>
      </c>
      <c r="S4511" s="75">
        <f>OrdersTable[[#This Row],[Quantity]]*OrdersTable[[#This Row],[Unit Price]]</f>
        <v>599</v>
      </c>
      <c r="T4511" s="5">
        <f>OrdersTable[[#This Row],[Gross Sale]]*OrdersTable[[#This Row],[Discount_Clean2]]</f>
        <v>239.60000000000002</v>
      </c>
      <c r="U4511" s="5">
        <f>OrdersTable[[#This Row],[Gross Sale]]-OrdersTable[[#This Row],[Discount Amount]]</f>
        <v>359.4</v>
      </c>
      <c r="V4511" s="77">
        <f>INDEX(Products!E:E,MATCH(OrdersTable[[#This Row],[Product ID]],Products!A:A,0))</f>
        <v>180</v>
      </c>
      <c r="W4511" s="77">
        <f>OrdersTable[[#This Row],[Quantity]]*OrdersTable[[#This Row],[Unit Cost]]</f>
        <v>180</v>
      </c>
      <c r="X4511" s="77">
        <f>'Dropdown Lists'!$I$2*(1+OrdersTable[[#This Row],[Returned]])</f>
        <v>120</v>
      </c>
      <c r="Y4511" s="76">
        <f>OrdersTable[[#This Row],[Net Revenue]]-OrdersTable[[#This Row],[COGS]]-OrdersTable[[#This Row],[Shipping Cost]]</f>
        <v>59.399999999999977</v>
      </c>
      <c r="Z4511" s="78">
        <f>IFERROR(OrdersTable[[#This Row],[Profit]]/OrdersTable[[#This Row],[Net Revenue]],0)</f>
        <v>0.16527545909849745</v>
      </c>
      <c r="AA4511" t="s">
        <v>2522</v>
      </c>
      <c r="AB4511" s="79">
        <v>45986</v>
      </c>
      <c r="AC4511">
        <f>OrdersTable[[#This Row],[Delivery Date]]-OrdersTable[[#This Row],[Order Date]]</f>
        <v>4</v>
      </c>
      <c r="AD4511" t="str">
        <f>IF(OrdersTable[[#This Row],[Delivery Days]]&lt;=2, "Express (≤2d)", IF(OrdersTable[[#This Row],[Delivery Days]]&lt;=4, "Standard (3-4d)", "Delayed (5d+)"))</f>
        <v>Standard (3-4d)</v>
      </c>
      <c r="AE4511">
        <v>4</v>
      </c>
      <c r="AF4511">
        <v>1</v>
      </c>
    </row>
    <row r="4512" spans="1:32" ht="15" x14ac:dyDescent="0.35">
      <c r="A4512" t="s">
        <v>6019</v>
      </c>
      <c r="B4512" s="1">
        <v>45982</v>
      </c>
      <c r="C4512">
        <f>YEAR(OrdersTable[[#This Row],[Order Date]])</f>
        <v>2025</v>
      </c>
      <c r="D4512" s="2">
        <f>DATE(YEAR(OrdersTable[[#This Row],[Order Date]]),MONTH(OrdersTable[[#This Row],[Order Date]]),1)</f>
        <v>45962</v>
      </c>
      <c r="E4512">
        <f>MONTH(OrdersTable[[#This Row],[Order Date]])</f>
        <v>11</v>
      </c>
      <c r="F4512" t="s">
        <v>6020</v>
      </c>
      <c r="G4512" t="str">
        <f>IF(OrdersTable[[#This Row],[Order Date]]=_xlfn.MINIFS(Order_Date, Customer_ID, OrdersTable[[#This Row],[Customer ID]]), "New", "Repeat")</f>
        <v>New</v>
      </c>
      <c r="H4512" t="s">
        <v>32</v>
      </c>
      <c r="I4512" t="str">
        <f>INDEX(State!B:B,MATCH(OrdersTable[[#This Row],[State]],State!A:A,0))</f>
        <v>BR</v>
      </c>
      <c r="J4512" t="str">
        <f>INDEX(State!C:C,MATCH(OrdersTable[[#This Row],[State Code]],State!B:B,0))</f>
        <v>East</v>
      </c>
      <c r="K4512" t="s">
        <v>33</v>
      </c>
      <c r="L4512" t="s">
        <v>50</v>
      </c>
      <c r="M4512" t="s">
        <v>40</v>
      </c>
      <c r="N4512" t="str">
        <f>INDEX(Products!B:B,MATCH(OrdersTable[[#This Row],[Product ID]],Products!A:A,0))</f>
        <v>Ashwagandha Capsules</v>
      </c>
      <c r="O4512" t="str">
        <f>INDEX(Products!C:C,MATCH(OrdersTable[[#This Row],[Product ID]],Products!A:A,0))</f>
        <v>Wellness</v>
      </c>
      <c r="P4512">
        <v>2</v>
      </c>
      <c r="Q4512" s="5">
        <v>499</v>
      </c>
      <c r="R4512" s="74">
        <v>0.2</v>
      </c>
      <c r="S4512" s="75">
        <f>OrdersTable[[#This Row],[Quantity]]*OrdersTable[[#This Row],[Unit Price]]</f>
        <v>998</v>
      </c>
      <c r="T4512" s="5">
        <f>OrdersTable[[#This Row],[Gross Sale]]*OrdersTable[[#This Row],[Discount_Clean2]]</f>
        <v>199.60000000000002</v>
      </c>
      <c r="U4512" s="5">
        <f>OrdersTable[[#This Row],[Gross Sale]]-OrdersTable[[#This Row],[Discount Amount]]</f>
        <v>798.4</v>
      </c>
      <c r="V4512" s="77">
        <f>INDEX(Products!E:E,MATCH(OrdersTable[[#This Row],[Product ID]],Products!A:A,0))</f>
        <v>150</v>
      </c>
      <c r="W4512" s="77">
        <f>OrdersTable[[#This Row],[Quantity]]*OrdersTable[[#This Row],[Unit Cost]]</f>
        <v>300</v>
      </c>
      <c r="X4512" s="77">
        <f>'Dropdown Lists'!$I$2*(1+OrdersTable[[#This Row],[Returned]])</f>
        <v>60</v>
      </c>
      <c r="Y4512" s="76">
        <f>OrdersTable[[#This Row],[Net Revenue]]-OrdersTable[[#This Row],[COGS]]-OrdersTable[[#This Row],[Shipping Cost]]</f>
        <v>438.4</v>
      </c>
      <c r="Z4512" s="78">
        <f>IFERROR(OrdersTable[[#This Row],[Profit]]/OrdersTable[[#This Row],[Net Revenue]],0)</f>
        <v>0.54909819639278556</v>
      </c>
      <c r="AA4512" t="s">
        <v>18</v>
      </c>
      <c r="AB4512" s="79">
        <v>45988</v>
      </c>
      <c r="AC4512">
        <f>OrdersTable[[#This Row],[Delivery Date]]-OrdersTable[[#This Row],[Order Date]]</f>
        <v>6</v>
      </c>
      <c r="AD4512" t="str">
        <f>IF(OrdersTable[[#This Row],[Delivery Days]]&lt;=2, "Express (≤2d)", IF(OrdersTable[[#This Row],[Delivery Days]]&lt;=4, "Standard (3-4d)", "Delayed (5d+)"))</f>
        <v>Delayed (5d+)</v>
      </c>
      <c r="AF4512">
        <v>0</v>
      </c>
    </row>
    <row r="4513" spans="1:32" ht="15" x14ac:dyDescent="0.35">
      <c r="A4513" t="s">
        <v>3486</v>
      </c>
      <c r="B4513" s="1">
        <v>45982</v>
      </c>
      <c r="C4513">
        <f>YEAR(OrdersTable[[#This Row],[Order Date]])</f>
        <v>2025</v>
      </c>
      <c r="D4513" s="2">
        <f>DATE(YEAR(OrdersTable[[#This Row],[Order Date]]),MONTH(OrdersTable[[#This Row],[Order Date]]),1)</f>
        <v>45962</v>
      </c>
      <c r="E4513">
        <f>MONTH(OrdersTable[[#This Row],[Order Date]])</f>
        <v>11</v>
      </c>
      <c r="F4513" t="s">
        <v>987</v>
      </c>
      <c r="G4513" t="str">
        <f>IF(OrdersTable[[#This Row],[Order Date]]=_xlfn.MINIFS(Order_Date, Customer_ID, OrdersTable[[#This Row],[Customer ID]]), "New", "Repeat")</f>
        <v>Repeat</v>
      </c>
      <c r="H4513" t="s">
        <v>132</v>
      </c>
      <c r="I4513" t="str">
        <f>INDEX(State!B:B,MATCH(OrdersTable[[#This Row],[State]],State!A:A,0))</f>
        <v>AS</v>
      </c>
      <c r="J4513" t="str">
        <f>INDEX(State!C:C,MATCH(OrdersTable[[#This Row],[State Code]],State!B:B,0))</f>
        <v>East</v>
      </c>
      <c r="K4513" t="s">
        <v>133</v>
      </c>
      <c r="L4513" t="s">
        <v>65</v>
      </c>
      <c r="M4513" t="s">
        <v>51</v>
      </c>
      <c r="N4513" t="str">
        <f>INDEX(Products!B:B,MATCH(OrdersTable[[#This Row],[Product ID]],Products!A:A,0))</f>
        <v>Anti-Dandruff Conditioner</v>
      </c>
      <c r="O4513" t="str">
        <f>INDEX(Products!C:C,MATCH(OrdersTable[[#This Row],[Product ID]],Products!A:A,0))</f>
        <v>Haircare</v>
      </c>
      <c r="P4513">
        <v>1</v>
      </c>
      <c r="Q4513" s="5">
        <v>399</v>
      </c>
      <c r="R4513" s="74">
        <v>0.45</v>
      </c>
      <c r="S4513" s="75">
        <f>OrdersTable[[#This Row],[Quantity]]*OrdersTable[[#This Row],[Unit Price]]</f>
        <v>399</v>
      </c>
      <c r="T4513" s="5">
        <f>OrdersTable[[#This Row],[Gross Sale]]*OrdersTable[[#This Row],[Discount_Clean2]]</f>
        <v>179.55</v>
      </c>
      <c r="U4513" s="5">
        <f>OrdersTable[[#This Row],[Gross Sale]]-OrdersTable[[#This Row],[Discount Amount]]</f>
        <v>219.45</v>
      </c>
      <c r="V4513" s="77">
        <f>INDEX(Products!E:E,MATCH(OrdersTable[[#This Row],[Product ID]],Products!A:A,0))</f>
        <v>136</v>
      </c>
      <c r="W4513" s="77">
        <f>OrdersTable[[#This Row],[Quantity]]*OrdersTable[[#This Row],[Unit Cost]]</f>
        <v>136</v>
      </c>
      <c r="X4513" s="77">
        <f>'Dropdown Lists'!$I$2*(1+OrdersTable[[#This Row],[Returned]])</f>
        <v>60</v>
      </c>
      <c r="Y4513" s="76">
        <f>OrdersTable[[#This Row],[Net Revenue]]-OrdersTable[[#This Row],[COGS]]-OrdersTable[[#This Row],[Shipping Cost]]</f>
        <v>23.449999999999989</v>
      </c>
      <c r="Z4513" s="78">
        <f>IFERROR(OrdersTable[[#This Row],[Profit]]/OrdersTable[[#This Row],[Net Revenue]],0)</f>
        <v>0.10685805422647524</v>
      </c>
      <c r="AA4513" t="s">
        <v>2522</v>
      </c>
      <c r="AB4513" s="79">
        <v>45988</v>
      </c>
      <c r="AC4513">
        <f>OrdersTable[[#This Row],[Delivery Date]]-OrdersTable[[#This Row],[Order Date]]</f>
        <v>6</v>
      </c>
      <c r="AD4513" t="str">
        <f>IF(OrdersTable[[#This Row],[Delivery Days]]&lt;=2, "Express (≤2d)", IF(OrdersTable[[#This Row],[Delivery Days]]&lt;=4, "Standard (3-4d)", "Delayed (5d+)"))</f>
        <v>Delayed (5d+)</v>
      </c>
      <c r="AE4513">
        <v>4</v>
      </c>
      <c r="AF4513">
        <v>0</v>
      </c>
    </row>
    <row r="4514" spans="1:32" ht="15" x14ac:dyDescent="0.35">
      <c r="A4514" t="s">
        <v>3939</v>
      </c>
      <c r="B4514" s="1">
        <v>45982</v>
      </c>
      <c r="C4514">
        <f>YEAR(OrdersTable[[#This Row],[Order Date]])</f>
        <v>2025</v>
      </c>
      <c r="D4514" s="2">
        <f>DATE(YEAR(OrdersTable[[#This Row],[Order Date]]),MONTH(OrdersTable[[#This Row],[Order Date]]),1)</f>
        <v>45962</v>
      </c>
      <c r="E4514">
        <f>MONTH(OrdersTable[[#This Row],[Order Date]])</f>
        <v>11</v>
      </c>
      <c r="F4514" t="s">
        <v>284</v>
      </c>
      <c r="G4514" t="str">
        <f>IF(OrdersTable[[#This Row],[Order Date]]=_xlfn.MINIFS(Order_Date, Customer_ID, OrdersTable[[#This Row],[Customer ID]]), "New", "Repeat")</f>
        <v>Repeat</v>
      </c>
      <c r="H4514" t="s">
        <v>132</v>
      </c>
      <c r="I4514" t="str">
        <f>INDEX(State!B:B,MATCH(OrdersTable[[#This Row],[State]],State!A:A,0))</f>
        <v>AS</v>
      </c>
      <c r="J4514" t="str">
        <f>INDEX(State!C:C,MATCH(OrdersTable[[#This Row],[State Code]],State!B:B,0))</f>
        <v>East</v>
      </c>
      <c r="K4514" t="s">
        <v>133</v>
      </c>
      <c r="L4514" t="s">
        <v>65</v>
      </c>
      <c r="M4514" t="s">
        <v>56</v>
      </c>
      <c r="N4514" t="str">
        <f>INDEX(Products!B:B,MATCH(OrdersTable[[#This Row],[Product ID]],Products!A:A,0))</f>
        <v>Vitamin C Face Serum</v>
      </c>
      <c r="O4514" t="str">
        <f>INDEX(Products!C:C,MATCH(OrdersTable[[#This Row],[Product ID]],Products!A:A,0))</f>
        <v>Skincare</v>
      </c>
      <c r="P4514">
        <v>1</v>
      </c>
      <c r="Q4514" s="5">
        <v>599</v>
      </c>
      <c r="R4514" s="74">
        <v>0.25</v>
      </c>
      <c r="S4514" s="75">
        <f>OrdersTable[[#This Row],[Quantity]]*OrdersTable[[#This Row],[Unit Price]]</f>
        <v>599</v>
      </c>
      <c r="T4514" s="5">
        <f>OrdersTable[[#This Row],[Gross Sale]]*OrdersTable[[#This Row],[Discount_Clean2]]</f>
        <v>149.75</v>
      </c>
      <c r="U4514" s="5">
        <f>OrdersTable[[#This Row],[Gross Sale]]-OrdersTable[[#This Row],[Discount Amount]]</f>
        <v>449.25</v>
      </c>
      <c r="V4514" s="77">
        <f>INDEX(Products!E:E,MATCH(OrdersTable[[#This Row],[Product ID]],Products!A:A,0))</f>
        <v>180</v>
      </c>
      <c r="W4514" s="77">
        <f>OrdersTable[[#This Row],[Quantity]]*OrdersTable[[#This Row],[Unit Cost]]</f>
        <v>180</v>
      </c>
      <c r="X4514" s="77">
        <f>'Dropdown Lists'!$I$2*(1+OrdersTable[[#This Row],[Returned]])</f>
        <v>60</v>
      </c>
      <c r="Y4514" s="76">
        <f>OrdersTable[[#This Row],[Net Revenue]]-OrdersTable[[#This Row],[COGS]]-OrdersTable[[#This Row],[Shipping Cost]]</f>
        <v>209.25</v>
      </c>
      <c r="Z4514" s="78">
        <f>IFERROR(OrdersTable[[#This Row],[Profit]]/OrdersTable[[#This Row],[Net Revenue]],0)</f>
        <v>0.46577629382303842</v>
      </c>
      <c r="AA4514" t="s">
        <v>3495</v>
      </c>
      <c r="AB4514" s="79">
        <v>45989</v>
      </c>
      <c r="AC4514">
        <f>OrdersTable[[#This Row],[Delivery Date]]-OrdersTable[[#This Row],[Order Date]]</f>
        <v>7</v>
      </c>
      <c r="AD4514" t="str">
        <f>IF(OrdersTable[[#This Row],[Delivery Days]]&lt;=2, "Express (≤2d)", IF(OrdersTable[[#This Row],[Delivery Days]]&lt;=4, "Standard (3-4d)", "Delayed (5d+)"))</f>
        <v>Delayed (5d+)</v>
      </c>
      <c r="AE4514">
        <v>3</v>
      </c>
      <c r="AF4514">
        <v>0</v>
      </c>
    </row>
    <row r="4515" spans="1:32" ht="15" x14ac:dyDescent="0.35">
      <c r="A4515" t="s">
        <v>6021</v>
      </c>
      <c r="B4515" s="1">
        <v>45982</v>
      </c>
      <c r="C4515">
        <f>YEAR(OrdersTable[[#This Row],[Order Date]])</f>
        <v>2025</v>
      </c>
      <c r="D4515" s="2">
        <f>DATE(YEAR(OrdersTable[[#This Row],[Order Date]]),MONTH(OrdersTable[[#This Row],[Order Date]]),1)</f>
        <v>45962</v>
      </c>
      <c r="E4515">
        <f>MONTH(OrdersTable[[#This Row],[Order Date]])</f>
        <v>11</v>
      </c>
      <c r="F4515" t="s">
        <v>6022</v>
      </c>
      <c r="G4515" t="str">
        <f>IF(OrdersTable[[#This Row],[Order Date]]=_xlfn.MINIFS(Order_Date, Customer_ID, OrdersTable[[#This Row],[Customer ID]]), "New", "Repeat")</f>
        <v>New</v>
      </c>
      <c r="H4515" t="s">
        <v>43</v>
      </c>
      <c r="I4515" t="str">
        <f>INDEX(State!B:B,MATCH(OrdersTable[[#This Row],[State]],State!A:A,0))</f>
        <v>MP</v>
      </c>
      <c r="J4515" t="str">
        <f>INDEX(State!C:C,MATCH(OrdersTable[[#This Row],[State Code]],State!B:B,0))</f>
        <v>West</v>
      </c>
      <c r="K4515" t="s">
        <v>250</v>
      </c>
      <c r="L4515" t="s">
        <v>50</v>
      </c>
      <c r="M4515" t="s">
        <v>78</v>
      </c>
      <c r="N4515" t="str">
        <f>INDEX(Products!B:B,MATCH(OrdersTable[[#This Row],[Product ID]],Products!A:A,0))</f>
        <v>Retinol Night Cream</v>
      </c>
      <c r="O4515" t="str">
        <f>INDEX(Products!C:C,MATCH(OrdersTable[[#This Row],[Product ID]],Products!A:A,0))</f>
        <v>Skincare</v>
      </c>
      <c r="P4515">
        <v>2</v>
      </c>
      <c r="Q4515" s="5">
        <v>799</v>
      </c>
      <c r="R4515" s="74">
        <v>0.15</v>
      </c>
      <c r="S4515" s="75">
        <f>OrdersTable[[#This Row],[Quantity]]*OrdersTable[[#This Row],[Unit Price]]</f>
        <v>1598</v>
      </c>
      <c r="T4515" s="5">
        <f>OrdersTable[[#This Row],[Gross Sale]]*OrdersTable[[#This Row],[Discount_Clean2]]</f>
        <v>239.7</v>
      </c>
      <c r="U4515" s="5">
        <f>OrdersTable[[#This Row],[Gross Sale]]-OrdersTable[[#This Row],[Discount Amount]]</f>
        <v>1358.3</v>
      </c>
      <c r="V4515" s="77">
        <f>INDEX(Products!E:E,MATCH(OrdersTable[[#This Row],[Product ID]],Products!A:A,0))</f>
        <v>216</v>
      </c>
      <c r="W4515" s="77">
        <f>OrdersTable[[#This Row],[Quantity]]*OrdersTable[[#This Row],[Unit Cost]]</f>
        <v>432</v>
      </c>
      <c r="X4515" s="77">
        <f>'Dropdown Lists'!$I$2*(1+OrdersTable[[#This Row],[Returned]])</f>
        <v>60</v>
      </c>
      <c r="Y4515" s="76">
        <f>OrdersTable[[#This Row],[Net Revenue]]-OrdersTable[[#This Row],[COGS]]-OrdersTable[[#This Row],[Shipping Cost]]</f>
        <v>866.3</v>
      </c>
      <c r="Z4515" s="78">
        <f>IFERROR(OrdersTable[[#This Row],[Profit]]/OrdersTable[[#This Row],[Net Revenue]],0)</f>
        <v>0.63778252227048515</v>
      </c>
      <c r="AA4515" t="s">
        <v>18</v>
      </c>
      <c r="AB4515" s="79">
        <v>45987</v>
      </c>
      <c r="AC4515">
        <f>OrdersTable[[#This Row],[Delivery Date]]-OrdersTable[[#This Row],[Order Date]]</f>
        <v>5</v>
      </c>
      <c r="AD4515" t="str">
        <f>IF(OrdersTable[[#This Row],[Delivery Days]]&lt;=2, "Express (≤2d)", IF(OrdersTable[[#This Row],[Delivery Days]]&lt;=4, "Standard (3-4d)", "Delayed (5d+)"))</f>
        <v>Delayed (5d+)</v>
      </c>
      <c r="AF4515">
        <v>0</v>
      </c>
    </row>
    <row r="4516" spans="1:32" ht="15" x14ac:dyDescent="0.35">
      <c r="A4516" t="s">
        <v>3940</v>
      </c>
      <c r="B4516" s="1">
        <v>45982</v>
      </c>
      <c r="C4516">
        <f>YEAR(OrdersTable[[#This Row],[Order Date]])</f>
        <v>2025</v>
      </c>
      <c r="D4516" s="2">
        <f>DATE(YEAR(OrdersTable[[#This Row],[Order Date]]),MONTH(OrdersTable[[#This Row],[Order Date]]),1)</f>
        <v>45962</v>
      </c>
      <c r="E4516">
        <f>MONTH(OrdersTable[[#This Row],[Order Date]])</f>
        <v>11</v>
      </c>
      <c r="F4516" t="s">
        <v>1530</v>
      </c>
      <c r="G4516" t="str">
        <f>IF(OrdersTable[[#This Row],[Order Date]]=_xlfn.MINIFS(Order_Date, Customer_ID, OrdersTable[[#This Row],[Customer ID]]), "New", "Repeat")</f>
        <v>Repeat</v>
      </c>
      <c r="H4516" t="s">
        <v>482</v>
      </c>
      <c r="I4516" t="str">
        <f>INDEX(State!B:B,MATCH(OrdersTable[[#This Row],[State]],State!A:A,0))</f>
        <v>CG</v>
      </c>
      <c r="J4516" t="str">
        <f>INDEX(State!C:C,MATCH(OrdersTable[[#This Row],[State Code]],State!B:B,0))</f>
        <v>East</v>
      </c>
      <c r="K4516" t="s">
        <v>483</v>
      </c>
      <c r="L4516" t="s">
        <v>65</v>
      </c>
      <c r="M4516" t="s">
        <v>205</v>
      </c>
      <c r="N4516" t="str">
        <f>INDEX(Products!B:B,MATCH(OrdersTable[[#This Row],[Product ID]],Products!A:A,0))</f>
        <v>Running Shoes</v>
      </c>
      <c r="O4516" t="str">
        <f>INDEX(Products!C:C,MATCH(OrdersTable[[#This Row],[Product ID]],Products!A:A,0))</f>
        <v>Footwear</v>
      </c>
      <c r="P4516">
        <v>1</v>
      </c>
      <c r="Q4516" s="5">
        <v>2999</v>
      </c>
      <c r="R4516" s="74">
        <v>0.3</v>
      </c>
      <c r="S4516" s="75">
        <f>OrdersTable[[#This Row],[Quantity]]*OrdersTable[[#This Row],[Unit Price]]</f>
        <v>2999</v>
      </c>
      <c r="T4516" s="5">
        <f>OrdersTable[[#This Row],[Gross Sale]]*OrdersTable[[#This Row],[Discount_Clean2]]</f>
        <v>899.69999999999993</v>
      </c>
      <c r="U4516" s="5">
        <f>OrdersTable[[#This Row],[Gross Sale]]-OrdersTable[[#This Row],[Discount Amount]]</f>
        <v>2099.3000000000002</v>
      </c>
      <c r="V4516" s="77">
        <f>INDEX(Products!E:E,MATCH(OrdersTable[[#This Row],[Product ID]],Products!A:A,0))</f>
        <v>1440</v>
      </c>
      <c r="W4516" s="77">
        <f>OrdersTable[[#This Row],[Quantity]]*OrdersTable[[#This Row],[Unit Cost]]</f>
        <v>1440</v>
      </c>
      <c r="X4516" s="77">
        <f>'Dropdown Lists'!$I$2*(1+OrdersTable[[#This Row],[Returned]])</f>
        <v>60</v>
      </c>
      <c r="Y4516" s="76">
        <f>OrdersTable[[#This Row],[Net Revenue]]-OrdersTable[[#This Row],[COGS]]-OrdersTable[[#This Row],[Shipping Cost]]</f>
        <v>599.30000000000018</v>
      </c>
      <c r="Z4516" s="78">
        <f>IFERROR(OrdersTable[[#This Row],[Profit]]/OrdersTable[[#This Row],[Net Revenue]],0)</f>
        <v>0.28547611108464732</v>
      </c>
      <c r="AA4516" t="s">
        <v>3495</v>
      </c>
      <c r="AB4516" s="79">
        <v>45988</v>
      </c>
      <c r="AC4516">
        <f>OrdersTable[[#This Row],[Delivery Date]]-OrdersTable[[#This Row],[Order Date]]</f>
        <v>6</v>
      </c>
      <c r="AD4516" t="str">
        <f>IF(OrdersTable[[#This Row],[Delivery Days]]&lt;=2, "Express (≤2d)", IF(OrdersTable[[#This Row],[Delivery Days]]&lt;=4, "Standard (3-4d)", "Delayed (5d+)"))</f>
        <v>Delayed (5d+)</v>
      </c>
      <c r="AE4516">
        <v>3</v>
      </c>
      <c r="AF4516">
        <v>0</v>
      </c>
    </row>
    <row r="4517" spans="1:32" ht="15" x14ac:dyDescent="0.35">
      <c r="A4517" t="s">
        <v>880</v>
      </c>
      <c r="B4517" s="1">
        <v>45982</v>
      </c>
      <c r="C4517">
        <f>YEAR(OrdersTable[[#This Row],[Order Date]])</f>
        <v>2025</v>
      </c>
      <c r="D4517" s="2">
        <f>DATE(YEAR(OrdersTable[[#This Row],[Order Date]]),MONTH(OrdersTable[[#This Row],[Order Date]]),1)</f>
        <v>45962</v>
      </c>
      <c r="E4517">
        <f>MONTH(OrdersTable[[#This Row],[Order Date]])</f>
        <v>11</v>
      </c>
      <c r="F4517" t="s">
        <v>881</v>
      </c>
      <c r="G4517" t="str">
        <f>IF(OrdersTable[[#This Row],[Order Date]]=_xlfn.MINIFS(Order_Date, Customer_ID, OrdersTable[[#This Row],[Customer ID]]), "New", "Repeat")</f>
        <v>Repeat</v>
      </c>
      <c r="H4517" t="s">
        <v>95</v>
      </c>
      <c r="I4517" t="str">
        <f>INDEX(State!B:B,MATCH(OrdersTable[[#This Row],[State]],State!A:A,0))</f>
        <v>TG</v>
      </c>
      <c r="J4517" t="str">
        <f>INDEX(State!C:C,MATCH(OrdersTable[[#This Row],[State Code]],State!B:B,0))</f>
        <v>South</v>
      </c>
      <c r="K4517" t="s">
        <v>96</v>
      </c>
      <c r="L4517" t="s">
        <v>16</v>
      </c>
      <c r="M4517" t="s">
        <v>255</v>
      </c>
      <c r="N4517" t="str">
        <f>INDEX(Products!B:B,MATCH(OrdersTable[[#This Row],[Product ID]],Products!A:A,0))</f>
        <v>Cotton Oversized T-Shirt</v>
      </c>
      <c r="O4517" t="str">
        <f>INDEX(Products!C:C,MATCH(OrdersTable[[#This Row],[Product ID]],Products!A:A,0))</f>
        <v>Apparel</v>
      </c>
      <c r="P4517">
        <v>1</v>
      </c>
      <c r="Q4517" s="5">
        <v>799</v>
      </c>
      <c r="R4517" s="74">
        <v>0.1</v>
      </c>
      <c r="S4517" s="75">
        <f>OrdersTable[[#This Row],[Quantity]]*OrdersTable[[#This Row],[Unit Price]]</f>
        <v>799</v>
      </c>
      <c r="T4517" s="5">
        <f>OrdersTable[[#This Row],[Gross Sale]]*OrdersTable[[#This Row],[Discount_Clean2]]</f>
        <v>79.900000000000006</v>
      </c>
      <c r="U4517" s="5">
        <f>OrdersTable[[#This Row],[Gross Sale]]-OrdersTable[[#This Row],[Discount Amount]]</f>
        <v>719.1</v>
      </c>
      <c r="V4517" s="77">
        <f>INDEX(Products!E:E,MATCH(OrdersTable[[#This Row],[Product ID]],Products!A:A,0))</f>
        <v>320</v>
      </c>
      <c r="W4517" s="77">
        <f>OrdersTable[[#This Row],[Quantity]]*OrdersTable[[#This Row],[Unit Cost]]</f>
        <v>320</v>
      </c>
      <c r="X4517" s="77">
        <f>'Dropdown Lists'!$I$2*(1+OrdersTable[[#This Row],[Returned]])</f>
        <v>60</v>
      </c>
      <c r="Y4517" s="76">
        <f>OrdersTable[[#This Row],[Net Revenue]]-OrdersTable[[#This Row],[COGS]]-OrdersTable[[#This Row],[Shipping Cost]]</f>
        <v>339.1</v>
      </c>
      <c r="Z4517" s="78">
        <f>IFERROR(OrdersTable[[#This Row],[Profit]]/OrdersTable[[#This Row],[Net Revenue]],0)</f>
        <v>0.47156167431511614</v>
      </c>
      <c r="AA4517" t="s">
        <v>18</v>
      </c>
      <c r="AB4517" s="79">
        <v>45984</v>
      </c>
      <c r="AC4517">
        <f>OrdersTable[[#This Row],[Delivery Date]]-OrdersTable[[#This Row],[Order Date]]</f>
        <v>2</v>
      </c>
      <c r="AD4517" t="str">
        <f>IF(OrdersTable[[#This Row],[Delivery Days]]&lt;=2, "Express (≤2d)", IF(OrdersTable[[#This Row],[Delivery Days]]&lt;=4, "Standard (3-4d)", "Delayed (5d+)"))</f>
        <v>Express (≤2d)</v>
      </c>
      <c r="AE4517">
        <v>4</v>
      </c>
      <c r="AF4517">
        <v>0</v>
      </c>
    </row>
    <row r="4518" spans="1:32" ht="15" x14ac:dyDescent="0.35">
      <c r="A4518" t="s">
        <v>6829</v>
      </c>
      <c r="B4518" s="1">
        <v>45982</v>
      </c>
      <c r="C4518">
        <f>YEAR(OrdersTable[[#This Row],[Order Date]])</f>
        <v>2025</v>
      </c>
      <c r="D4518" s="2">
        <f>DATE(YEAR(OrdersTable[[#This Row],[Order Date]]),MONTH(OrdersTable[[#This Row],[Order Date]]),1)</f>
        <v>45962</v>
      </c>
      <c r="E4518">
        <f>MONTH(OrdersTable[[#This Row],[Order Date]])</f>
        <v>11</v>
      </c>
      <c r="F4518" t="s">
        <v>6830</v>
      </c>
      <c r="G4518" t="str">
        <f>IF(OrdersTable[[#This Row],[Order Date]]=_xlfn.MINIFS(Order_Date, Customer_ID, OrdersTable[[#This Row],[Customer ID]]), "New", "Repeat")</f>
        <v>New</v>
      </c>
      <c r="H4518" t="s">
        <v>95</v>
      </c>
      <c r="I4518" t="str">
        <f>INDEX(State!B:B,MATCH(OrdersTable[[#This Row],[State]],State!A:A,0))</f>
        <v>TG</v>
      </c>
      <c r="J4518" t="str">
        <f>INDEX(State!C:C,MATCH(OrdersTable[[#This Row],[State Code]],State!B:B,0))</f>
        <v>South</v>
      </c>
      <c r="K4518" t="s">
        <v>96</v>
      </c>
      <c r="L4518" t="s">
        <v>23</v>
      </c>
      <c r="M4518" t="s">
        <v>152</v>
      </c>
      <c r="N4518" t="str">
        <f>INDEX(Products!B:B,MATCH(OrdersTable[[#This Row],[Product ID]],Products!A:A,0))</f>
        <v>Green Tea (100 bags)</v>
      </c>
      <c r="O4518" t="str">
        <f>INDEX(Products!C:C,MATCH(OrdersTable[[#This Row],[Product ID]],Products!A:A,0))</f>
        <v>Wellness</v>
      </c>
      <c r="P4518">
        <v>3</v>
      </c>
      <c r="Q4518" s="5">
        <v>399</v>
      </c>
      <c r="R4518" s="74">
        <v>0.55000000000000004</v>
      </c>
      <c r="S4518" s="75">
        <f>OrdersTable[[#This Row],[Quantity]]*OrdersTable[[#This Row],[Unit Price]]</f>
        <v>1197</v>
      </c>
      <c r="T4518" s="5">
        <f>OrdersTable[[#This Row],[Gross Sale]]*OrdersTable[[#This Row],[Discount_Clean2]]</f>
        <v>658.35</v>
      </c>
      <c r="U4518" s="5">
        <f>OrdersTable[[#This Row],[Gross Sale]]-OrdersTable[[#This Row],[Discount Amount]]</f>
        <v>538.65</v>
      </c>
      <c r="V4518" s="77">
        <f>INDEX(Products!E:E,MATCH(OrdersTable[[#This Row],[Product ID]],Products!A:A,0))</f>
        <v>128</v>
      </c>
      <c r="W4518" s="77">
        <f>OrdersTable[[#This Row],[Quantity]]*OrdersTable[[#This Row],[Unit Cost]]</f>
        <v>384</v>
      </c>
      <c r="X4518" s="77">
        <f>'Dropdown Lists'!$I$2*(1+OrdersTable[[#This Row],[Returned]])</f>
        <v>60</v>
      </c>
      <c r="Y4518" s="76">
        <f>OrdersTable[[#This Row],[Net Revenue]]-OrdersTable[[#This Row],[COGS]]-OrdersTable[[#This Row],[Shipping Cost]]</f>
        <v>94.649999999999977</v>
      </c>
      <c r="Z4518" s="78">
        <f>IFERROR(OrdersTable[[#This Row],[Profit]]/OrdersTable[[#This Row],[Net Revenue]],0)</f>
        <v>0.17571707045391252</v>
      </c>
      <c r="AA4518" t="s">
        <v>3495</v>
      </c>
      <c r="AB4518" s="79">
        <v>45986</v>
      </c>
      <c r="AC4518">
        <f>OrdersTable[[#This Row],[Delivery Date]]-OrdersTable[[#This Row],[Order Date]]</f>
        <v>4</v>
      </c>
      <c r="AD4518" t="str">
        <f>IF(OrdersTable[[#This Row],[Delivery Days]]&lt;=2, "Express (≤2d)", IF(OrdersTable[[#This Row],[Delivery Days]]&lt;=4, "Standard (3-4d)", "Delayed (5d+)"))</f>
        <v>Standard (3-4d)</v>
      </c>
      <c r="AF4518">
        <v>0</v>
      </c>
    </row>
    <row r="4519" spans="1:32" ht="15" x14ac:dyDescent="0.35">
      <c r="A4519" t="s">
        <v>6231</v>
      </c>
      <c r="B4519" s="1">
        <v>45982</v>
      </c>
      <c r="C4519">
        <f>YEAR(OrdersTable[[#This Row],[Order Date]])</f>
        <v>2025</v>
      </c>
      <c r="D4519" s="2">
        <f>DATE(YEAR(OrdersTable[[#This Row],[Order Date]]),MONTH(OrdersTable[[#This Row],[Order Date]]),1)</f>
        <v>45962</v>
      </c>
      <c r="E4519">
        <f>MONTH(OrdersTable[[#This Row],[Order Date]])</f>
        <v>11</v>
      </c>
      <c r="F4519" t="s">
        <v>1789</v>
      </c>
      <c r="G4519" t="str">
        <f>IF(OrdersTable[[#This Row],[Order Date]]=_xlfn.MINIFS(Order_Date, Customer_ID, OrdersTable[[#This Row],[Customer ID]]), "New", "Repeat")</f>
        <v>Repeat</v>
      </c>
      <c r="H4519" t="s">
        <v>167</v>
      </c>
      <c r="I4519" t="str">
        <f>INDEX(State!B:B,MATCH(OrdersTable[[#This Row],[State]],State!A:A,0))</f>
        <v>KA</v>
      </c>
      <c r="J4519" t="str">
        <f>INDEX(State!C:C,MATCH(OrdersTable[[#This Row],[State Code]],State!B:B,0))</f>
        <v>South</v>
      </c>
      <c r="K4519" t="s">
        <v>190</v>
      </c>
      <c r="L4519" t="s">
        <v>65</v>
      </c>
      <c r="M4519" t="s">
        <v>78</v>
      </c>
      <c r="N4519" t="str">
        <f>INDEX(Products!B:B,MATCH(OrdersTable[[#This Row],[Product ID]],Products!A:A,0))</f>
        <v>Retinol Night Cream</v>
      </c>
      <c r="O4519" t="str">
        <f>INDEX(Products!C:C,MATCH(OrdersTable[[#This Row],[Product ID]],Products!A:A,0))</f>
        <v>Skincare</v>
      </c>
      <c r="P4519">
        <v>2</v>
      </c>
      <c r="Q4519" s="5">
        <v>799</v>
      </c>
      <c r="R4519" s="74">
        <v>0.2</v>
      </c>
      <c r="S4519" s="75">
        <f>OrdersTable[[#This Row],[Quantity]]*OrdersTable[[#This Row],[Unit Price]]</f>
        <v>1598</v>
      </c>
      <c r="T4519" s="5">
        <f>OrdersTable[[#This Row],[Gross Sale]]*OrdersTable[[#This Row],[Discount_Clean2]]</f>
        <v>319.60000000000002</v>
      </c>
      <c r="U4519" s="5">
        <f>OrdersTable[[#This Row],[Gross Sale]]-OrdersTable[[#This Row],[Discount Amount]]</f>
        <v>1278.4000000000001</v>
      </c>
      <c r="V4519" s="77">
        <f>INDEX(Products!E:E,MATCH(OrdersTable[[#This Row],[Product ID]],Products!A:A,0))</f>
        <v>216</v>
      </c>
      <c r="W4519" s="77">
        <f>OrdersTable[[#This Row],[Quantity]]*OrdersTable[[#This Row],[Unit Cost]]</f>
        <v>432</v>
      </c>
      <c r="X4519" s="77">
        <f>'Dropdown Lists'!$I$2*(1+OrdersTable[[#This Row],[Returned]])</f>
        <v>60</v>
      </c>
      <c r="Y4519" s="76">
        <f>OrdersTable[[#This Row],[Net Revenue]]-OrdersTable[[#This Row],[COGS]]-OrdersTable[[#This Row],[Shipping Cost]]</f>
        <v>786.40000000000009</v>
      </c>
      <c r="Z4519" s="78">
        <f>IFERROR(OrdersTable[[#This Row],[Profit]]/OrdersTable[[#This Row],[Net Revenue]],0)</f>
        <v>0.61514392991239053</v>
      </c>
      <c r="AA4519" t="s">
        <v>18</v>
      </c>
      <c r="AB4519" s="79">
        <v>45985</v>
      </c>
      <c r="AC4519">
        <f>OrdersTable[[#This Row],[Delivery Date]]-OrdersTable[[#This Row],[Order Date]]</f>
        <v>3</v>
      </c>
      <c r="AD4519" t="str">
        <f>IF(OrdersTable[[#This Row],[Delivery Days]]&lt;=2, "Express (≤2d)", IF(OrdersTable[[#This Row],[Delivery Days]]&lt;=4, "Standard (3-4d)", "Delayed (5d+)"))</f>
        <v>Standard (3-4d)</v>
      </c>
      <c r="AE4519">
        <v>4</v>
      </c>
      <c r="AF4519">
        <v>0</v>
      </c>
    </row>
    <row r="4520" spans="1:32" ht="15" x14ac:dyDescent="0.35">
      <c r="A4520" t="s">
        <v>706</v>
      </c>
      <c r="B4520" s="1">
        <v>45982</v>
      </c>
      <c r="C4520">
        <f>YEAR(OrdersTable[[#This Row],[Order Date]])</f>
        <v>2025</v>
      </c>
      <c r="D4520" s="2">
        <f>DATE(YEAR(OrdersTable[[#This Row],[Order Date]]),MONTH(OrdersTable[[#This Row],[Order Date]]),1)</f>
        <v>45962</v>
      </c>
      <c r="E4520">
        <f>MONTH(OrdersTable[[#This Row],[Order Date]])</f>
        <v>11</v>
      </c>
      <c r="F4520" t="s">
        <v>707</v>
      </c>
      <c r="G4520" t="str">
        <f>IF(OrdersTable[[#This Row],[Order Date]]=_xlfn.MINIFS(Order_Date, Customer_ID, OrdersTable[[#This Row],[Customer ID]]), "New", "Repeat")</f>
        <v>Repeat</v>
      </c>
      <c r="H4520" t="s">
        <v>275</v>
      </c>
      <c r="I4520" t="str">
        <f>INDEX(State!B:B,MATCH(OrdersTable[[#This Row],[State]],State!A:A,0))</f>
        <v>AP</v>
      </c>
      <c r="J4520" t="str">
        <f>INDEX(State!C:C,MATCH(OrdersTable[[#This Row],[State Code]],State!B:B,0))</f>
        <v>South</v>
      </c>
      <c r="K4520" t="s">
        <v>491</v>
      </c>
      <c r="L4520" t="s">
        <v>23</v>
      </c>
      <c r="M4520" t="s">
        <v>92</v>
      </c>
      <c r="N4520" t="str">
        <f>INDEX(Products!B:B,MATCH(OrdersTable[[#This Row],[Product ID]],Products!A:A,0))</f>
        <v>Kolhapuri Sandals</v>
      </c>
      <c r="O4520" t="str">
        <f>INDEX(Products!C:C,MATCH(OrdersTable[[#This Row],[Product ID]],Products!A:A,0))</f>
        <v>Footwear</v>
      </c>
      <c r="P4520">
        <v>1</v>
      </c>
      <c r="Q4520" s="5">
        <v>999</v>
      </c>
      <c r="R4520" s="74">
        <v>0.05</v>
      </c>
      <c r="S4520" s="75">
        <f>OrdersTable[[#This Row],[Quantity]]*OrdersTable[[#This Row],[Unit Price]]</f>
        <v>999</v>
      </c>
      <c r="T4520" s="5">
        <f>OrdersTable[[#This Row],[Gross Sale]]*OrdersTable[[#This Row],[Discount_Clean2]]</f>
        <v>49.95</v>
      </c>
      <c r="U4520" s="5">
        <f>OrdersTable[[#This Row],[Gross Sale]]-OrdersTable[[#This Row],[Discount Amount]]</f>
        <v>949.05</v>
      </c>
      <c r="V4520" s="77">
        <f>INDEX(Products!E:E,MATCH(OrdersTable[[#This Row],[Product ID]],Products!A:A,0))</f>
        <v>400</v>
      </c>
      <c r="W4520" s="77">
        <f>OrdersTable[[#This Row],[Quantity]]*OrdersTable[[#This Row],[Unit Cost]]</f>
        <v>400</v>
      </c>
      <c r="X4520" s="77">
        <f>'Dropdown Lists'!$I$2*(1+OrdersTable[[#This Row],[Returned]])</f>
        <v>60</v>
      </c>
      <c r="Y4520" s="76">
        <f>OrdersTable[[#This Row],[Net Revenue]]-OrdersTable[[#This Row],[COGS]]-OrdersTable[[#This Row],[Shipping Cost]]</f>
        <v>489.04999999999995</v>
      </c>
      <c r="Z4520" s="78">
        <f>IFERROR(OrdersTable[[#This Row],[Profit]]/OrdersTable[[#This Row],[Net Revenue]],0)</f>
        <v>0.5153047784626732</v>
      </c>
      <c r="AA4520" t="s">
        <v>18</v>
      </c>
      <c r="AB4520" s="79">
        <v>45986</v>
      </c>
      <c r="AC4520">
        <f>OrdersTable[[#This Row],[Delivery Date]]-OrdersTable[[#This Row],[Order Date]]</f>
        <v>4</v>
      </c>
      <c r="AD4520" t="str">
        <f>IF(OrdersTable[[#This Row],[Delivery Days]]&lt;=2, "Express (≤2d)", IF(OrdersTable[[#This Row],[Delivery Days]]&lt;=4, "Standard (3-4d)", "Delayed (5d+)"))</f>
        <v>Standard (3-4d)</v>
      </c>
      <c r="AE4520">
        <v>4</v>
      </c>
      <c r="AF4520">
        <v>0</v>
      </c>
    </row>
    <row r="4521" spans="1:32" ht="15" x14ac:dyDescent="0.35">
      <c r="A4521" t="s">
        <v>5456</v>
      </c>
      <c r="B4521" s="1">
        <v>45982</v>
      </c>
      <c r="C4521">
        <f>YEAR(OrdersTable[[#This Row],[Order Date]])</f>
        <v>2025</v>
      </c>
      <c r="D4521" s="2">
        <f>DATE(YEAR(OrdersTable[[#This Row],[Order Date]]),MONTH(OrdersTable[[#This Row],[Order Date]]),1)</f>
        <v>45962</v>
      </c>
      <c r="E4521">
        <f>MONTH(OrdersTable[[#This Row],[Order Date]])</f>
        <v>11</v>
      </c>
      <c r="F4521" t="s">
        <v>4496</v>
      </c>
      <c r="G4521" t="str">
        <f>IF(OrdersTable[[#This Row],[Order Date]]=_xlfn.MINIFS(Order_Date, Customer_ID, OrdersTable[[#This Row],[Customer ID]]), "New", "Repeat")</f>
        <v>Repeat</v>
      </c>
      <c r="H4521" t="s">
        <v>275</v>
      </c>
      <c r="I4521" t="str">
        <f>INDEX(State!B:B,MATCH(OrdersTable[[#This Row],[State]],State!A:A,0))</f>
        <v>AP</v>
      </c>
      <c r="J4521" t="str">
        <f>INDEX(State!C:C,MATCH(OrdersTable[[#This Row],[State Code]],State!B:B,0))</f>
        <v>South</v>
      </c>
      <c r="K4521" t="s">
        <v>491</v>
      </c>
      <c r="L4521" t="s">
        <v>65</v>
      </c>
      <c r="M4521" t="s">
        <v>87</v>
      </c>
      <c r="N4521" t="str">
        <f>INDEX(Products!B:B,MATCH(OrdersTable[[#This Row],[Product ID]],Products!A:A,0))</f>
        <v>Linen Kurta</v>
      </c>
      <c r="O4521" t="str">
        <f>INDEX(Products!C:C,MATCH(OrdersTable[[#This Row],[Product ID]],Products!A:A,0))</f>
        <v>Apparel</v>
      </c>
      <c r="P4521">
        <v>2</v>
      </c>
      <c r="Q4521" s="5">
        <v>1499</v>
      </c>
      <c r="R4521" s="74">
        <v>0.3</v>
      </c>
      <c r="S4521" s="75">
        <f>OrdersTable[[#This Row],[Quantity]]*OrdersTable[[#This Row],[Unit Price]]</f>
        <v>2998</v>
      </c>
      <c r="T4521" s="5">
        <f>OrdersTable[[#This Row],[Gross Sale]]*OrdersTable[[#This Row],[Discount_Clean2]]</f>
        <v>899.4</v>
      </c>
      <c r="U4521" s="5">
        <f>OrdersTable[[#This Row],[Gross Sale]]-OrdersTable[[#This Row],[Discount Amount]]</f>
        <v>2098.6</v>
      </c>
      <c r="V4521" s="77">
        <f>INDEX(Products!E:E,MATCH(OrdersTable[[#This Row],[Product ID]],Products!A:A,0))</f>
        <v>630</v>
      </c>
      <c r="W4521" s="77">
        <f>OrdersTable[[#This Row],[Quantity]]*OrdersTable[[#This Row],[Unit Cost]]</f>
        <v>1260</v>
      </c>
      <c r="X4521" s="77">
        <f>'Dropdown Lists'!$I$2*(1+OrdersTable[[#This Row],[Returned]])</f>
        <v>120</v>
      </c>
      <c r="Y4521" s="76">
        <f>OrdersTable[[#This Row],[Net Revenue]]-OrdersTable[[#This Row],[COGS]]-OrdersTable[[#This Row],[Shipping Cost]]</f>
        <v>718.59999999999991</v>
      </c>
      <c r="Z4521" s="78">
        <f>IFERROR(OrdersTable[[#This Row],[Profit]]/OrdersTable[[#This Row],[Net Revenue]],0)</f>
        <v>0.34241875536071664</v>
      </c>
      <c r="AA4521" t="s">
        <v>2522</v>
      </c>
      <c r="AB4521" s="79">
        <v>45987</v>
      </c>
      <c r="AC4521">
        <f>OrdersTable[[#This Row],[Delivery Date]]-OrdersTable[[#This Row],[Order Date]]</f>
        <v>5</v>
      </c>
      <c r="AD4521" t="str">
        <f>IF(OrdersTable[[#This Row],[Delivery Days]]&lt;=2, "Express (≤2d)", IF(OrdersTable[[#This Row],[Delivery Days]]&lt;=4, "Standard (3-4d)", "Delayed (5d+)"))</f>
        <v>Delayed (5d+)</v>
      </c>
      <c r="AF4521">
        <v>1</v>
      </c>
    </row>
    <row r="4522" spans="1:32" ht="15" x14ac:dyDescent="0.35">
      <c r="A4522" t="s">
        <v>6232</v>
      </c>
      <c r="B4522" s="1">
        <v>45982</v>
      </c>
      <c r="C4522">
        <f>YEAR(OrdersTable[[#This Row],[Order Date]])</f>
        <v>2025</v>
      </c>
      <c r="D4522" s="2">
        <f>DATE(YEAR(OrdersTable[[#This Row],[Order Date]]),MONTH(OrdersTable[[#This Row],[Order Date]]),1)</f>
        <v>45962</v>
      </c>
      <c r="E4522">
        <f>MONTH(OrdersTable[[#This Row],[Order Date]])</f>
        <v>11</v>
      </c>
      <c r="F4522" t="s">
        <v>2513</v>
      </c>
      <c r="G4522" t="str">
        <f>IF(OrdersTable[[#This Row],[Order Date]]=_xlfn.MINIFS(Order_Date, Customer_ID, OrdersTable[[#This Row],[Customer ID]]), "New", "Repeat")</f>
        <v>Repeat</v>
      </c>
      <c r="H4522" t="s">
        <v>316</v>
      </c>
      <c r="I4522" t="str">
        <f>INDEX(State!B:B,MATCH(OrdersTable[[#This Row],[State]],State!A:A,0))</f>
        <v>KL</v>
      </c>
      <c r="J4522" t="str">
        <f>INDEX(State!C:C,MATCH(OrdersTable[[#This Row],[State Code]],State!B:B,0))</f>
        <v>South</v>
      </c>
      <c r="K4522" t="s">
        <v>317</v>
      </c>
      <c r="L4522" t="s">
        <v>16</v>
      </c>
      <c r="M4522" t="s">
        <v>87</v>
      </c>
      <c r="N4522" t="str">
        <f>INDEX(Products!B:B,MATCH(OrdersTable[[#This Row],[Product ID]],Products!A:A,0))</f>
        <v>Linen Kurta</v>
      </c>
      <c r="O4522" t="str">
        <f>INDEX(Products!C:C,MATCH(OrdersTable[[#This Row],[Product ID]],Products!A:A,0))</f>
        <v>Apparel</v>
      </c>
      <c r="P4522">
        <v>2</v>
      </c>
      <c r="Q4522" s="5">
        <v>1499</v>
      </c>
      <c r="R4522" s="74">
        <v>0.6</v>
      </c>
      <c r="S4522" s="75">
        <f>OrdersTable[[#This Row],[Quantity]]*OrdersTable[[#This Row],[Unit Price]]</f>
        <v>2998</v>
      </c>
      <c r="T4522" s="5">
        <f>OrdersTable[[#This Row],[Gross Sale]]*OrdersTable[[#This Row],[Discount_Clean2]]</f>
        <v>1798.8</v>
      </c>
      <c r="U4522" s="5">
        <f>OrdersTable[[#This Row],[Gross Sale]]-OrdersTable[[#This Row],[Discount Amount]]</f>
        <v>1199.2</v>
      </c>
      <c r="V4522" s="77">
        <f>INDEX(Products!E:E,MATCH(OrdersTable[[#This Row],[Product ID]],Products!A:A,0))</f>
        <v>630</v>
      </c>
      <c r="W4522" s="77">
        <f>OrdersTable[[#This Row],[Quantity]]*OrdersTable[[#This Row],[Unit Cost]]</f>
        <v>1260</v>
      </c>
      <c r="X4522" s="77">
        <f>'Dropdown Lists'!$I$2*(1+OrdersTable[[#This Row],[Returned]])</f>
        <v>60</v>
      </c>
      <c r="Y4522" s="76">
        <f>OrdersTable[[#This Row],[Net Revenue]]-OrdersTable[[#This Row],[COGS]]-OrdersTable[[#This Row],[Shipping Cost]]</f>
        <v>-120.79999999999995</v>
      </c>
      <c r="Z4522" s="78">
        <f>IFERROR(OrdersTable[[#This Row],[Profit]]/OrdersTable[[#This Row],[Net Revenue]],0)</f>
        <v>-0.10073382254836553</v>
      </c>
      <c r="AA4522" t="s">
        <v>18</v>
      </c>
      <c r="AB4522" s="79">
        <v>45985</v>
      </c>
      <c r="AC4522">
        <f>OrdersTable[[#This Row],[Delivery Date]]-OrdersTable[[#This Row],[Order Date]]</f>
        <v>3</v>
      </c>
      <c r="AD4522" t="str">
        <f>IF(OrdersTable[[#This Row],[Delivery Days]]&lt;=2, "Express (≤2d)", IF(OrdersTable[[#This Row],[Delivery Days]]&lt;=4, "Standard (3-4d)", "Delayed (5d+)"))</f>
        <v>Standard (3-4d)</v>
      </c>
      <c r="AE4522">
        <v>4</v>
      </c>
      <c r="AF4522">
        <v>0</v>
      </c>
    </row>
    <row r="4523" spans="1:32" ht="15" x14ac:dyDescent="0.35">
      <c r="A4523" t="s">
        <v>6023</v>
      </c>
      <c r="B4523" s="1">
        <v>45983</v>
      </c>
      <c r="C4523">
        <f>YEAR(OrdersTable[[#This Row],[Order Date]])</f>
        <v>2025</v>
      </c>
      <c r="D4523" s="2">
        <f>DATE(YEAR(OrdersTable[[#This Row],[Order Date]]),MONTH(OrdersTable[[#This Row],[Order Date]]),1)</f>
        <v>45962</v>
      </c>
      <c r="E4523">
        <f>MONTH(OrdersTable[[#This Row],[Order Date]])</f>
        <v>11</v>
      </c>
      <c r="F4523" t="s">
        <v>4022</v>
      </c>
      <c r="G4523" t="str">
        <f>IF(OrdersTable[[#This Row],[Order Date]]=_xlfn.MINIFS(Order_Date, Customer_ID, OrdersTable[[#This Row],[Customer ID]]), "New", "Repeat")</f>
        <v>Repeat</v>
      </c>
      <c r="H4523" t="s">
        <v>37</v>
      </c>
      <c r="I4523" t="str">
        <f>INDEX(State!B:B,MATCH(OrdersTable[[#This Row],[State]],State!A:A,0))</f>
        <v>GJ</v>
      </c>
      <c r="J4523" t="str">
        <f>INDEX(State!C:C,MATCH(OrdersTable[[#This Row],[State Code]],State!B:B,0))</f>
        <v>West</v>
      </c>
      <c r="K4523" t="s">
        <v>38</v>
      </c>
      <c r="L4523" t="s">
        <v>23</v>
      </c>
      <c r="M4523" t="s">
        <v>29</v>
      </c>
      <c r="N4523" t="str">
        <f>INDEX(Products!B:B,MATCH(OrdersTable[[#This Row],[Product ID]],Products!A:A,0))</f>
        <v>Joggers</v>
      </c>
      <c r="O4523" t="str">
        <f>INDEX(Products!C:C,MATCH(OrdersTable[[#This Row],[Product ID]],Products!A:A,0))</f>
        <v>Apparel</v>
      </c>
      <c r="P4523">
        <v>2</v>
      </c>
      <c r="Q4523" s="5">
        <v>1199</v>
      </c>
      <c r="R4523" s="74">
        <v>0.25</v>
      </c>
      <c r="S4523" s="75">
        <f>OrdersTable[[#This Row],[Quantity]]*OrdersTable[[#This Row],[Unit Price]]</f>
        <v>2398</v>
      </c>
      <c r="T4523" s="5">
        <f>OrdersTable[[#This Row],[Gross Sale]]*OrdersTable[[#This Row],[Discount_Clean2]]</f>
        <v>599.5</v>
      </c>
      <c r="U4523" s="5">
        <f>OrdersTable[[#This Row],[Gross Sale]]-OrdersTable[[#This Row],[Discount Amount]]</f>
        <v>1798.5</v>
      </c>
      <c r="V4523" s="77">
        <f>INDEX(Products!E:E,MATCH(OrdersTable[[#This Row],[Product ID]],Products!A:A,0))</f>
        <v>492</v>
      </c>
      <c r="W4523" s="77">
        <f>OrdersTable[[#This Row],[Quantity]]*OrdersTable[[#This Row],[Unit Cost]]</f>
        <v>984</v>
      </c>
      <c r="X4523" s="77">
        <f>'Dropdown Lists'!$I$2*(1+OrdersTable[[#This Row],[Returned]])</f>
        <v>60</v>
      </c>
      <c r="Y4523" s="76">
        <f>OrdersTable[[#This Row],[Net Revenue]]-OrdersTable[[#This Row],[COGS]]-OrdersTable[[#This Row],[Shipping Cost]]</f>
        <v>754.5</v>
      </c>
      <c r="Z4523" s="78">
        <f>IFERROR(OrdersTable[[#This Row],[Profit]]/OrdersTable[[#This Row],[Net Revenue]],0)</f>
        <v>0.41951626355296079</v>
      </c>
      <c r="AA4523" t="s">
        <v>18</v>
      </c>
      <c r="AB4523" s="79">
        <v>45985</v>
      </c>
      <c r="AC4523">
        <f>OrdersTable[[#This Row],[Delivery Date]]-OrdersTable[[#This Row],[Order Date]]</f>
        <v>2</v>
      </c>
      <c r="AD4523" t="str">
        <f>IF(OrdersTable[[#This Row],[Delivery Days]]&lt;=2, "Express (≤2d)", IF(OrdersTable[[#This Row],[Delivery Days]]&lt;=4, "Standard (3-4d)", "Delayed (5d+)"))</f>
        <v>Express (≤2d)</v>
      </c>
      <c r="AF4523">
        <v>0</v>
      </c>
    </row>
    <row r="4524" spans="1:32" ht="15" x14ac:dyDescent="0.35">
      <c r="A4524" t="s">
        <v>6439</v>
      </c>
      <c r="B4524" s="1">
        <v>45983</v>
      </c>
      <c r="C4524">
        <f>YEAR(OrdersTable[[#This Row],[Order Date]])</f>
        <v>2025</v>
      </c>
      <c r="D4524" s="2">
        <f>DATE(YEAR(OrdersTable[[#This Row],[Order Date]]),MONTH(OrdersTable[[#This Row],[Order Date]]),1)</f>
        <v>45962</v>
      </c>
      <c r="E4524">
        <f>MONTH(OrdersTable[[#This Row],[Order Date]])</f>
        <v>11</v>
      </c>
      <c r="F4524" t="s">
        <v>1021</v>
      </c>
      <c r="G4524" t="str">
        <f>IF(OrdersTable[[#This Row],[Order Date]]=_xlfn.MINIFS(Order_Date, Customer_ID, OrdersTable[[#This Row],[Customer ID]]), "New", "Repeat")</f>
        <v>Repeat</v>
      </c>
      <c r="H4524" t="s">
        <v>27</v>
      </c>
      <c r="I4524" t="str">
        <f>INDEX(State!B:B,MATCH(OrdersTable[[#This Row],[State]],State!A:A,0))</f>
        <v>WB</v>
      </c>
      <c r="J4524" t="str">
        <f>INDEX(State!C:C,MATCH(OrdersTable[[#This Row],[State Code]],State!B:B,0))</f>
        <v>East</v>
      </c>
      <c r="K4524" t="s">
        <v>28</v>
      </c>
      <c r="L4524" t="s">
        <v>39</v>
      </c>
      <c r="M4524" t="s">
        <v>34</v>
      </c>
      <c r="N4524" t="str">
        <f>INDEX(Products!B:B,MATCH(OrdersTable[[#This Row],[Product ID]],Products!A:A,0))</f>
        <v>Flip Flops</v>
      </c>
      <c r="O4524" t="str">
        <f>INDEX(Products!C:C,MATCH(OrdersTable[[#This Row],[Product ID]],Products!A:A,0))</f>
        <v>Footwear</v>
      </c>
      <c r="P4524">
        <v>2</v>
      </c>
      <c r="Q4524" s="5">
        <v>399</v>
      </c>
      <c r="R4524" s="74">
        <v>0.25</v>
      </c>
      <c r="S4524" s="75">
        <f>OrdersTable[[#This Row],[Quantity]]*OrdersTable[[#This Row],[Unit Price]]</f>
        <v>798</v>
      </c>
      <c r="T4524" s="5">
        <f>OrdersTable[[#This Row],[Gross Sale]]*OrdersTable[[#This Row],[Discount_Clean2]]</f>
        <v>199.5</v>
      </c>
      <c r="U4524" s="5">
        <f>OrdersTable[[#This Row],[Gross Sale]]-OrdersTable[[#This Row],[Discount Amount]]</f>
        <v>598.5</v>
      </c>
      <c r="V4524" s="77">
        <f>INDEX(Products!E:E,MATCH(OrdersTable[[#This Row],[Product ID]],Products!A:A,0))</f>
        <v>152</v>
      </c>
      <c r="W4524" s="77">
        <f>OrdersTable[[#This Row],[Quantity]]*OrdersTable[[#This Row],[Unit Cost]]</f>
        <v>304</v>
      </c>
      <c r="X4524" s="77">
        <f>'Dropdown Lists'!$I$2*(1+OrdersTable[[#This Row],[Returned]])</f>
        <v>60</v>
      </c>
      <c r="Y4524" s="76">
        <f>OrdersTable[[#This Row],[Net Revenue]]-OrdersTable[[#This Row],[COGS]]-OrdersTable[[#This Row],[Shipping Cost]]</f>
        <v>234.5</v>
      </c>
      <c r="Z4524" s="78">
        <f>IFERROR(OrdersTable[[#This Row],[Profit]]/OrdersTable[[#This Row],[Net Revenue]],0)</f>
        <v>0.391812865497076</v>
      </c>
      <c r="AA4524" t="s">
        <v>18</v>
      </c>
      <c r="AB4524" s="79">
        <v>45988</v>
      </c>
      <c r="AC4524">
        <f>OrdersTable[[#This Row],[Delivery Date]]-OrdersTable[[#This Row],[Order Date]]</f>
        <v>5</v>
      </c>
      <c r="AD4524" t="str">
        <f>IF(OrdersTable[[#This Row],[Delivery Days]]&lt;=2, "Express (≤2d)", IF(OrdersTable[[#This Row],[Delivery Days]]&lt;=4, "Standard (3-4d)", "Delayed (5d+)"))</f>
        <v>Delayed (5d+)</v>
      </c>
      <c r="AE4524">
        <v>3</v>
      </c>
      <c r="AF4524">
        <v>0</v>
      </c>
    </row>
    <row r="4525" spans="1:32" ht="15" x14ac:dyDescent="0.35">
      <c r="A4525" t="s">
        <v>2477</v>
      </c>
      <c r="B4525" s="1">
        <v>45983</v>
      </c>
      <c r="C4525">
        <f>YEAR(OrdersTable[[#This Row],[Order Date]])</f>
        <v>2025</v>
      </c>
      <c r="D4525" s="2">
        <f>DATE(YEAR(OrdersTable[[#This Row],[Order Date]]),MONTH(OrdersTable[[#This Row],[Order Date]]),1)</f>
        <v>45962</v>
      </c>
      <c r="E4525">
        <f>MONTH(OrdersTable[[#This Row],[Order Date]])</f>
        <v>11</v>
      </c>
      <c r="F4525" t="s">
        <v>2478</v>
      </c>
      <c r="G4525" t="str">
        <f>IF(OrdersTable[[#This Row],[Order Date]]=_xlfn.MINIFS(Order_Date, Customer_ID, OrdersTable[[#This Row],[Customer ID]]), "New", "Repeat")</f>
        <v>Repeat</v>
      </c>
      <c r="H4525" t="s">
        <v>27</v>
      </c>
      <c r="I4525" t="str">
        <f>INDEX(State!B:B,MATCH(OrdersTable[[#This Row],[State]],State!A:A,0))</f>
        <v>WB</v>
      </c>
      <c r="J4525" t="str">
        <f>INDEX(State!C:C,MATCH(OrdersTable[[#This Row],[State Code]],State!B:B,0))</f>
        <v>East</v>
      </c>
      <c r="K4525" t="s">
        <v>28</v>
      </c>
      <c r="L4525" t="s">
        <v>23</v>
      </c>
      <c r="M4525" t="s">
        <v>228</v>
      </c>
      <c r="N4525" t="str">
        <f>INDEX(Products!B:B,MATCH(OrdersTable[[#This Row],[Product ID]],Products!A:A,0))</f>
        <v>Fast Charger 33W</v>
      </c>
      <c r="O4525" t="str">
        <f>INDEX(Products!C:C,MATCH(OrdersTable[[#This Row],[Product ID]],Products!A:A,0))</f>
        <v>Electronics</v>
      </c>
      <c r="P4525">
        <v>1</v>
      </c>
      <c r="Q4525" s="5">
        <v>899</v>
      </c>
      <c r="R4525" s="74">
        <v>0.05</v>
      </c>
      <c r="S4525" s="75">
        <f>OrdersTable[[#This Row],[Quantity]]*OrdersTable[[#This Row],[Unit Price]]</f>
        <v>899</v>
      </c>
      <c r="T4525" s="5">
        <f>OrdersTable[[#This Row],[Gross Sale]]*OrdersTable[[#This Row],[Discount_Clean2]]</f>
        <v>44.95</v>
      </c>
      <c r="U4525" s="5">
        <f>OrdersTable[[#This Row],[Gross Sale]]-OrdersTable[[#This Row],[Discount Amount]]</f>
        <v>854.05</v>
      </c>
      <c r="V4525" s="77">
        <f>INDEX(Products!E:E,MATCH(OrdersTable[[#This Row],[Product ID]],Products!A:A,0))</f>
        <v>494</v>
      </c>
      <c r="W4525" s="77">
        <f>OrdersTable[[#This Row],[Quantity]]*OrdersTable[[#This Row],[Unit Cost]]</f>
        <v>494</v>
      </c>
      <c r="X4525" s="77">
        <f>'Dropdown Lists'!$I$2*(1+OrdersTable[[#This Row],[Returned]])</f>
        <v>60</v>
      </c>
      <c r="Y4525" s="76">
        <f>OrdersTable[[#This Row],[Net Revenue]]-OrdersTable[[#This Row],[COGS]]-OrdersTable[[#This Row],[Shipping Cost]]</f>
        <v>300.04999999999995</v>
      </c>
      <c r="Z4525" s="78">
        <f>IFERROR(OrdersTable[[#This Row],[Profit]]/OrdersTable[[#This Row],[Net Revenue]],0)</f>
        <v>0.35132603477548152</v>
      </c>
      <c r="AA4525" t="s">
        <v>18</v>
      </c>
      <c r="AB4525" s="79">
        <v>45986</v>
      </c>
      <c r="AC4525">
        <f>OrdersTable[[#This Row],[Delivery Date]]-OrdersTable[[#This Row],[Order Date]]</f>
        <v>3</v>
      </c>
      <c r="AD4525" t="str">
        <f>IF(OrdersTable[[#This Row],[Delivery Days]]&lt;=2, "Express (≤2d)", IF(OrdersTable[[#This Row],[Delivery Days]]&lt;=4, "Standard (3-4d)", "Delayed (5d+)"))</f>
        <v>Standard (3-4d)</v>
      </c>
      <c r="AE4525">
        <v>5</v>
      </c>
      <c r="AF4525">
        <v>0</v>
      </c>
    </row>
    <row r="4526" spans="1:32" ht="15" x14ac:dyDescent="0.35">
      <c r="A4526" t="s">
        <v>1807</v>
      </c>
      <c r="B4526" s="1">
        <v>45983</v>
      </c>
      <c r="C4526">
        <f>YEAR(OrdersTable[[#This Row],[Order Date]])</f>
        <v>2025</v>
      </c>
      <c r="D4526" s="2">
        <f>DATE(YEAR(OrdersTable[[#This Row],[Order Date]]),MONTH(OrdersTable[[#This Row],[Order Date]]),1)</f>
        <v>45962</v>
      </c>
      <c r="E4526">
        <f>MONTH(OrdersTable[[#This Row],[Order Date]])</f>
        <v>11</v>
      </c>
      <c r="F4526" t="s">
        <v>1808</v>
      </c>
      <c r="G4526" t="str">
        <f>IF(OrdersTable[[#This Row],[Order Date]]=_xlfn.MINIFS(Order_Date, Customer_ID, OrdersTable[[#This Row],[Customer ID]]), "New", "Repeat")</f>
        <v>Repeat</v>
      </c>
      <c r="H4526" t="s">
        <v>95</v>
      </c>
      <c r="I4526" t="str">
        <f>INDEX(State!B:B,MATCH(OrdersTable[[#This Row],[State]],State!A:A,0))</f>
        <v>TG</v>
      </c>
      <c r="J4526" t="str">
        <f>INDEX(State!C:C,MATCH(OrdersTable[[#This Row],[State Code]],State!B:B,0))</f>
        <v>South</v>
      </c>
      <c r="K4526" t="s">
        <v>96</v>
      </c>
      <c r="L4526" t="s">
        <v>65</v>
      </c>
      <c r="M4526" t="s">
        <v>160</v>
      </c>
      <c r="N4526" t="str">
        <f>INDEX(Products!B:B,MATCH(OrdersTable[[#This Row],[Product ID]],Products!A:A,0))</f>
        <v>Niacinamide Toner</v>
      </c>
      <c r="O4526" t="str">
        <f>INDEX(Products!C:C,MATCH(OrdersTable[[#This Row],[Product ID]],Products!A:A,0))</f>
        <v>Skincare</v>
      </c>
      <c r="P4526">
        <v>1</v>
      </c>
      <c r="Q4526" s="5">
        <v>399</v>
      </c>
      <c r="R4526" s="74">
        <v>0.35</v>
      </c>
      <c r="S4526" s="75">
        <f>OrdersTable[[#This Row],[Quantity]]*OrdersTable[[#This Row],[Unit Price]]</f>
        <v>399</v>
      </c>
      <c r="T4526" s="5">
        <f>OrdersTable[[#This Row],[Gross Sale]]*OrdersTable[[#This Row],[Discount_Clean2]]</f>
        <v>139.64999999999998</v>
      </c>
      <c r="U4526" s="5">
        <f>OrdersTable[[#This Row],[Gross Sale]]-OrdersTable[[#This Row],[Discount Amount]]</f>
        <v>259.35000000000002</v>
      </c>
      <c r="V4526" s="77">
        <f>INDEX(Products!E:E,MATCH(OrdersTable[[#This Row],[Product ID]],Products!A:A,0))</f>
        <v>112</v>
      </c>
      <c r="W4526" s="77">
        <f>OrdersTable[[#This Row],[Quantity]]*OrdersTable[[#This Row],[Unit Cost]]</f>
        <v>112</v>
      </c>
      <c r="X4526" s="77">
        <f>'Dropdown Lists'!$I$2*(1+OrdersTable[[#This Row],[Returned]])</f>
        <v>60</v>
      </c>
      <c r="Y4526" s="76">
        <f>OrdersTable[[#This Row],[Net Revenue]]-OrdersTable[[#This Row],[COGS]]-OrdersTable[[#This Row],[Shipping Cost]]</f>
        <v>87.350000000000023</v>
      </c>
      <c r="Z4526" s="78">
        <f>IFERROR(OrdersTable[[#This Row],[Profit]]/OrdersTable[[#This Row],[Net Revenue]],0)</f>
        <v>0.33680354732986317</v>
      </c>
      <c r="AA4526" t="s">
        <v>18</v>
      </c>
      <c r="AB4526" s="79">
        <v>45985</v>
      </c>
      <c r="AC4526">
        <f>OrdersTable[[#This Row],[Delivery Date]]-OrdersTable[[#This Row],[Order Date]]</f>
        <v>2</v>
      </c>
      <c r="AD4526" t="str">
        <f>IF(OrdersTable[[#This Row],[Delivery Days]]&lt;=2, "Express (≤2d)", IF(OrdersTable[[#This Row],[Delivery Days]]&lt;=4, "Standard (3-4d)", "Delayed (5d+)"))</f>
        <v>Express (≤2d)</v>
      </c>
      <c r="AF4526">
        <v>0</v>
      </c>
    </row>
    <row r="4527" spans="1:32" ht="15" x14ac:dyDescent="0.35">
      <c r="A4527" t="s">
        <v>7039</v>
      </c>
      <c r="B4527" s="1">
        <v>45983</v>
      </c>
      <c r="C4527">
        <f>YEAR(OrdersTable[[#This Row],[Order Date]])</f>
        <v>2025</v>
      </c>
      <c r="D4527" s="2">
        <f>DATE(YEAR(OrdersTable[[#This Row],[Order Date]]),MONTH(OrdersTable[[#This Row],[Order Date]]),1)</f>
        <v>45962</v>
      </c>
      <c r="E4527">
        <f>MONTH(OrdersTable[[#This Row],[Order Date]])</f>
        <v>11</v>
      </c>
      <c r="F4527" t="s">
        <v>772</v>
      </c>
      <c r="G4527" t="str">
        <f>IF(OrdersTable[[#This Row],[Order Date]]=_xlfn.MINIFS(Order_Date, Customer_ID, OrdersTable[[#This Row],[Customer ID]]), "New", "Repeat")</f>
        <v>Repeat</v>
      </c>
      <c r="H4527" t="s">
        <v>316</v>
      </c>
      <c r="I4527" t="str">
        <f>INDEX(State!B:B,MATCH(OrdersTable[[#This Row],[State]],State!A:A,0))</f>
        <v>KL</v>
      </c>
      <c r="J4527" t="str">
        <f>INDEX(State!C:C,MATCH(OrdersTable[[#This Row],[State Code]],State!B:B,0))</f>
        <v>South</v>
      </c>
      <c r="K4527" t="s">
        <v>317</v>
      </c>
      <c r="L4527" t="s">
        <v>16</v>
      </c>
      <c r="M4527" t="s">
        <v>92</v>
      </c>
      <c r="N4527" t="str">
        <f>INDEX(Products!B:B,MATCH(OrdersTable[[#This Row],[Product ID]],Products!A:A,0))</f>
        <v>Kolhapuri Sandals</v>
      </c>
      <c r="O4527" t="str">
        <f>INDEX(Products!C:C,MATCH(OrdersTable[[#This Row],[Product ID]],Products!A:A,0))</f>
        <v>Footwear</v>
      </c>
      <c r="P4527">
        <v>4</v>
      </c>
      <c r="Q4527" s="5">
        <v>999</v>
      </c>
      <c r="R4527" s="74">
        <v>0.2</v>
      </c>
      <c r="S4527" s="75">
        <f>OrdersTable[[#This Row],[Quantity]]*OrdersTable[[#This Row],[Unit Price]]</f>
        <v>3996</v>
      </c>
      <c r="T4527" s="5">
        <f>OrdersTable[[#This Row],[Gross Sale]]*OrdersTable[[#This Row],[Discount_Clean2]]</f>
        <v>799.2</v>
      </c>
      <c r="U4527" s="5">
        <f>OrdersTable[[#This Row],[Gross Sale]]-OrdersTable[[#This Row],[Discount Amount]]</f>
        <v>3196.8</v>
      </c>
      <c r="V4527" s="77">
        <f>INDEX(Products!E:E,MATCH(OrdersTable[[#This Row],[Product ID]],Products!A:A,0))</f>
        <v>400</v>
      </c>
      <c r="W4527" s="77">
        <f>OrdersTable[[#This Row],[Quantity]]*OrdersTable[[#This Row],[Unit Cost]]</f>
        <v>1600</v>
      </c>
      <c r="X4527" s="77">
        <f>'Dropdown Lists'!$I$2*(1+OrdersTable[[#This Row],[Returned]])</f>
        <v>60</v>
      </c>
      <c r="Y4527" s="76">
        <f>OrdersTable[[#This Row],[Net Revenue]]-OrdersTable[[#This Row],[COGS]]-OrdersTable[[#This Row],[Shipping Cost]]</f>
        <v>1536.8000000000002</v>
      </c>
      <c r="Z4527" s="78">
        <f>IFERROR(OrdersTable[[#This Row],[Profit]]/OrdersTable[[#This Row],[Net Revenue]],0)</f>
        <v>0.48073073073073075</v>
      </c>
      <c r="AA4527" t="s">
        <v>3495</v>
      </c>
      <c r="AB4527" s="79">
        <v>45987</v>
      </c>
      <c r="AC4527">
        <f>OrdersTable[[#This Row],[Delivery Date]]-OrdersTable[[#This Row],[Order Date]]</f>
        <v>4</v>
      </c>
      <c r="AD4527" t="str">
        <f>IF(OrdersTable[[#This Row],[Delivery Days]]&lt;=2, "Express (≤2d)", IF(OrdersTable[[#This Row],[Delivery Days]]&lt;=4, "Standard (3-4d)", "Delayed (5d+)"))</f>
        <v>Standard (3-4d)</v>
      </c>
      <c r="AE4527">
        <v>4</v>
      </c>
      <c r="AF4527">
        <v>0</v>
      </c>
    </row>
    <row r="4528" spans="1:32" ht="15" x14ac:dyDescent="0.35">
      <c r="A4528" t="s">
        <v>2055</v>
      </c>
      <c r="B4528" s="1">
        <v>45983</v>
      </c>
      <c r="C4528">
        <f>YEAR(OrdersTable[[#This Row],[Order Date]])</f>
        <v>2025</v>
      </c>
      <c r="D4528" s="2">
        <f>DATE(YEAR(OrdersTable[[#This Row],[Order Date]]),MONTH(OrdersTable[[#This Row],[Order Date]]),1)</f>
        <v>45962</v>
      </c>
      <c r="E4528">
        <f>MONTH(OrdersTable[[#This Row],[Order Date]])</f>
        <v>11</v>
      </c>
      <c r="F4528" t="s">
        <v>2056</v>
      </c>
      <c r="G4528" t="str">
        <f>IF(OrdersTable[[#This Row],[Order Date]]=_xlfn.MINIFS(Order_Date, Customer_ID, OrdersTable[[#This Row],[Customer ID]]), "New", "Repeat")</f>
        <v>Repeat</v>
      </c>
      <c r="H4528" t="s">
        <v>316</v>
      </c>
      <c r="I4528" t="str">
        <f>INDEX(State!B:B,MATCH(OrdersTable[[#This Row],[State]],State!A:A,0))</f>
        <v>KL</v>
      </c>
      <c r="J4528" t="str">
        <f>INDEX(State!C:C,MATCH(OrdersTable[[#This Row],[State Code]],State!B:B,0))</f>
        <v>South</v>
      </c>
      <c r="K4528" t="s">
        <v>317</v>
      </c>
      <c r="L4528" t="s">
        <v>23</v>
      </c>
      <c r="M4528" t="s">
        <v>565</v>
      </c>
      <c r="N4528" t="str">
        <f>INDEX(Products!B:B,MATCH(OrdersTable[[#This Row],[Product ID]],Products!A:A,0))</f>
        <v>Ceramic Dinner Set</v>
      </c>
      <c r="O4528" t="str">
        <f>INDEX(Products!C:C,MATCH(OrdersTable[[#This Row],[Product ID]],Products!A:A,0))</f>
        <v>Home &amp; Kitchen</v>
      </c>
      <c r="P4528">
        <v>1</v>
      </c>
      <c r="Q4528" s="5">
        <v>2499</v>
      </c>
      <c r="R4528" s="74">
        <v>0.3</v>
      </c>
      <c r="S4528" s="75">
        <f>OrdersTable[[#This Row],[Quantity]]*OrdersTable[[#This Row],[Unit Price]]</f>
        <v>2499</v>
      </c>
      <c r="T4528" s="5">
        <f>OrdersTable[[#This Row],[Gross Sale]]*OrdersTable[[#This Row],[Discount_Clean2]]</f>
        <v>749.69999999999993</v>
      </c>
      <c r="U4528" s="5">
        <f>OrdersTable[[#This Row],[Gross Sale]]-OrdersTable[[#This Row],[Discount Amount]]</f>
        <v>1749.3000000000002</v>
      </c>
      <c r="V4528" s="77">
        <f>INDEX(Products!E:E,MATCH(OrdersTable[[#This Row],[Product ID]],Products!A:A,0))</f>
        <v>1250</v>
      </c>
      <c r="W4528" s="77">
        <f>OrdersTable[[#This Row],[Quantity]]*OrdersTable[[#This Row],[Unit Cost]]</f>
        <v>1250</v>
      </c>
      <c r="X4528" s="77">
        <f>'Dropdown Lists'!$I$2*(1+OrdersTable[[#This Row],[Returned]])</f>
        <v>60</v>
      </c>
      <c r="Y4528" s="76">
        <f>OrdersTable[[#This Row],[Net Revenue]]-OrdersTable[[#This Row],[COGS]]-OrdersTable[[#This Row],[Shipping Cost]]</f>
        <v>439.30000000000018</v>
      </c>
      <c r="Z4528" s="78">
        <f>IFERROR(OrdersTable[[#This Row],[Profit]]/OrdersTable[[#This Row],[Net Revenue]],0)</f>
        <v>0.25112902303778661</v>
      </c>
      <c r="AA4528" t="s">
        <v>18</v>
      </c>
      <c r="AB4528" s="79">
        <v>45987</v>
      </c>
      <c r="AC4528">
        <f>OrdersTable[[#This Row],[Delivery Date]]-OrdersTable[[#This Row],[Order Date]]</f>
        <v>4</v>
      </c>
      <c r="AD4528" t="str">
        <f>IF(OrdersTable[[#This Row],[Delivery Days]]&lt;=2, "Express (≤2d)", IF(OrdersTable[[#This Row],[Delivery Days]]&lt;=4, "Standard (3-4d)", "Delayed (5d+)"))</f>
        <v>Standard (3-4d)</v>
      </c>
      <c r="AE4528">
        <v>3</v>
      </c>
      <c r="AF4528">
        <v>0</v>
      </c>
    </row>
    <row r="4529" spans="1:32" ht="15" x14ac:dyDescent="0.35">
      <c r="A4529" t="s">
        <v>3124</v>
      </c>
      <c r="B4529" s="1">
        <v>45984</v>
      </c>
      <c r="C4529">
        <f>YEAR(OrdersTable[[#This Row],[Order Date]])</f>
        <v>2025</v>
      </c>
      <c r="D4529" s="2">
        <f>DATE(YEAR(OrdersTable[[#This Row],[Order Date]]),MONTH(OrdersTable[[#This Row],[Order Date]]),1)</f>
        <v>45962</v>
      </c>
      <c r="E4529">
        <f>MONTH(OrdersTable[[#This Row],[Order Date]])</f>
        <v>11</v>
      </c>
      <c r="F4529" t="s">
        <v>1846</v>
      </c>
      <c r="G4529" t="str">
        <f>IF(OrdersTable[[#This Row],[Order Date]]=_xlfn.MINIFS(Order_Date, Customer_ID, OrdersTable[[#This Row],[Customer ID]]), "New", "Repeat")</f>
        <v>Repeat</v>
      </c>
      <c r="H4529" t="s">
        <v>21</v>
      </c>
      <c r="I4529" t="str">
        <f>INDEX(State!B:B,MATCH(OrdersTable[[#This Row],[State]],State!A:A,0))</f>
        <v>PB</v>
      </c>
      <c r="J4529" t="str">
        <f>INDEX(State!C:C,MATCH(OrdersTable[[#This Row],[State Code]],State!B:B,0))</f>
        <v>North</v>
      </c>
      <c r="K4529" t="s">
        <v>22</v>
      </c>
      <c r="L4529" t="s">
        <v>65</v>
      </c>
      <c r="M4529" t="s">
        <v>51</v>
      </c>
      <c r="N4529" t="str">
        <f>INDEX(Products!B:B,MATCH(OrdersTable[[#This Row],[Product ID]],Products!A:A,0))</f>
        <v>Anti-Dandruff Conditioner</v>
      </c>
      <c r="O4529" t="str">
        <f>INDEX(Products!C:C,MATCH(OrdersTable[[#This Row],[Product ID]],Products!A:A,0))</f>
        <v>Haircare</v>
      </c>
      <c r="P4529">
        <v>1</v>
      </c>
      <c r="Q4529" s="5">
        <v>399</v>
      </c>
      <c r="R4529" s="74">
        <v>0.4</v>
      </c>
      <c r="S4529" s="75">
        <f>OrdersTable[[#This Row],[Quantity]]*OrdersTable[[#This Row],[Unit Price]]</f>
        <v>399</v>
      </c>
      <c r="T4529" s="5">
        <f>OrdersTable[[#This Row],[Gross Sale]]*OrdersTable[[#This Row],[Discount_Clean2]]</f>
        <v>159.60000000000002</v>
      </c>
      <c r="U4529" s="5">
        <f>OrdersTable[[#This Row],[Gross Sale]]-OrdersTable[[#This Row],[Discount Amount]]</f>
        <v>239.39999999999998</v>
      </c>
      <c r="V4529" s="77">
        <f>INDEX(Products!E:E,MATCH(OrdersTable[[#This Row],[Product ID]],Products!A:A,0))</f>
        <v>136</v>
      </c>
      <c r="W4529" s="77">
        <f>OrdersTable[[#This Row],[Quantity]]*OrdersTable[[#This Row],[Unit Cost]]</f>
        <v>136</v>
      </c>
      <c r="X4529" s="77">
        <f>'Dropdown Lists'!$I$2*(1+OrdersTable[[#This Row],[Returned]])</f>
        <v>60</v>
      </c>
      <c r="Y4529" s="76">
        <f>OrdersTable[[#This Row],[Net Revenue]]-OrdersTable[[#This Row],[COGS]]-OrdersTable[[#This Row],[Shipping Cost]]</f>
        <v>43.399999999999977</v>
      </c>
      <c r="Z4529" s="78">
        <f>IFERROR(OrdersTable[[#This Row],[Profit]]/OrdersTable[[#This Row],[Net Revenue]],0)</f>
        <v>0.18128654970760227</v>
      </c>
      <c r="AA4529" t="s">
        <v>2522</v>
      </c>
      <c r="AB4529" s="79">
        <v>45985</v>
      </c>
      <c r="AC4529">
        <f>OrdersTable[[#This Row],[Delivery Date]]-OrdersTable[[#This Row],[Order Date]]</f>
        <v>1</v>
      </c>
      <c r="AD4529" t="str">
        <f>IF(OrdersTable[[#This Row],[Delivery Days]]&lt;=2, "Express (≤2d)", IF(OrdersTable[[#This Row],[Delivery Days]]&lt;=4, "Standard (3-4d)", "Delayed (5d+)"))</f>
        <v>Express (≤2d)</v>
      </c>
      <c r="AF4529">
        <v>0</v>
      </c>
    </row>
    <row r="4530" spans="1:32" ht="15" x14ac:dyDescent="0.35">
      <c r="A4530" t="s">
        <v>6831</v>
      </c>
      <c r="B4530" s="1">
        <v>45984</v>
      </c>
      <c r="C4530">
        <f>YEAR(OrdersTable[[#This Row],[Order Date]])</f>
        <v>2025</v>
      </c>
      <c r="D4530" s="2">
        <f>DATE(YEAR(OrdersTable[[#This Row],[Order Date]]),MONTH(OrdersTable[[#This Row],[Order Date]]),1)</f>
        <v>45962</v>
      </c>
      <c r="E4530">
        <f>MONTH(OrdersTable[[#This Row],[Order Date]])</f>
        <v>11</v>
      </c>
      <c r="F4530" t="s">
        <v>3307</v>
      </c>
      <c r="G4530" t="str">
        <f>IF(OrdersTable[[#This Row],[Order Date]]=_xlfn.MINIFS(Order_Date, Customer_ID, OrdersTable[[#This Row],[Customer ID]]), "New", "Repeat")</f>
        <v>Repeat</v>
      </c>
      <c r="H4530" t="s">
        <v>54</v>
      </c>
      <c r="I4530" t="str">
        <f>INDEX(State!B:B,MATCH(OrdersTable[[#This Row],[State]],State!A:A,0))</f>
        <v>RJ</v>
      </c>
      <c r="J4530" t="str">
        <f>INDEX(State!C:C,MATCH(OrdersTable[[#This Row],[State Code]],State!B:B,0))</f>
        <v>North</v>
      </c>
      <c r="K4530" t="s">
        <v>227</v>
      </c>
      <c r="L4530" t="s">
        <v>50</v>
      </c>
      <c r="M4530" t="s">
        <v>40</v>
      </c>
      <c r="N4530" t="str">
        <f>INDEX(Products!B:B,MATCH(OrdersTable[[#This Row],[Product ID]],Products!A:A,0))</f>
        <v>Ashwagandha Capsules</v>
      </c>
      <c r="O4530" t="str">
        <f>INDEX(Products!C:C,MATCH(OrdersTable[[#This Row],[Product ID]],Products!A:A,0))</f>
        <v>Wellness</v>
      </c>
      <c r="P4530">
        <v>3</v>
      </c>
      <c r="Q4530" s="5">
        <v>499</v>
      </c>
      <c r="R4530" s="74">
        <v>0.2</v>
      </c>
      <c r="S4530" s="75">
        <f>OrdersTable[[#This Row],[Quantity]]*OrdersTable[[#This Row],[Unit Price]]</f>
        <v>1497</v>
      </c>
      <c r="T4530" s="5">
        <f>OrdersTable[[#This Row],[Gross Sale]]*OrdersTable[[#This Row],[Discount_Clean2]]</f>
        <v>299.40000000000003</v>
      </c>
      <c r="U4530" s="5">
        <f>OrdersTable[[#This Row],[Gross Sale]]-OrdersTable[[#This Row],[Discount Amount]]</f>
        <v>1197.5999999999999</v>
      </c>
      <c r="V4530" s="77">
        <f>INDEX(Products!E:E,MATCH(OrdersTable[[#This Row],[Product ID]],Products!A:A,0))</f>
        <v>150</v>
      </c>
      <c r="W4530" s="77">
        <f>OrdersTable[[#This Row],[Quantity]]*OrdersTable[[#This Row],[Unit Cost]]</f>
        <v>450</v>
      </c>
      <c r="X4530" s="77">
        <f>'Dropdown Lists'!$I$2*(1+OrdersTable[[#This Row],[Returned]])</f>
        <v>60</v>
      </c>
      <c r="Y4530" s="76">
        <f>OrdersTable[[#This Row],[Net Revenue]]-OrdersTable[[#This Row],[COGS]]-OrdersTable[[#This Row],[Shipping Cost]]</f>
        <v>687.59999999999991</v>
      </c>
      <c r="Z4530" s="78">
        <f>IFERROR(OrdersTable[[#This Row],[Profit]]/OrdersTable[[#This Row],[Net Revenue]],0)</f>
        <v>0.57414829659318634</v>
      </c>
      <c r="AA4530" t="s">
        <v>3495</v>
      </c>
      <c r="AB4530" s="79">
        <v>45987</v>
      </c>
      <c r="AC4530">
        <f>OrdersTable[[#This Row],[Delivery Date]]-OrdersTable[[#This Row],[Order Date]]</f>
        <v>3</v>
      </c>
      <c r="AD4530" t="str">
        <f>IF(OrdersTable[[#This Row],[Delivery Days]]&lt;=2, "Express (≤2d)", IF(OrdersTable[[#This Row],[Delivery Days]]&lt;=4, "Standard (3-4d)", "Delayed (5d+)"))</f>
        <v>Standard (3-4d)</v>
      </c>
      <c r="AE4530">
        <v>4</v>
      </c>
      <c r="AF4530">
        <v>0</v>
      </c>
    </row>
    <row r="4531" spans="1:32" ht="15" x14ac:dyDescent="0.35">
      <c r="A4531" t="s">
        <v>708</v>
      </c>
      <c r="B4531" s="1">
        <v>45984</v>
      </c>
      <c r="C4531">
        <f>YEAR(OrdersTable[[#This Row],[Order Date]])</f>
        <v>2025</v>
      </c>
      <c r="D4531" s="2">
        <f>DATE(YEAR(OrdersTable[[#This Row],[Order Date]]),MONTH(OrdersTable[[#This Row],[Order Date]]),1)</f>
        <v>45962</v>
      </c>
      <c r="E4531">
        <f>MONTH(OrdersTable[[#This Row],[Order Date]])</f>
        <v>11</v>
      </c>
      <c r="F4531" t="s">
        <v>311</v>
      </c>
      <c r="G4531" t="str">
        <f>IF(OrdersTable[[#This Row],[Order Date]]=_xlfn.MINIFS(Order_Date, Customer_ID, OrdersTable[[#This Row],[Customer ID]]), "New", "Repeat")</f>
        <v>Repeat</v>
      </c>
      <c r="H4531" t="s">
        <v>48</v>
      </c>
      <c r="I4531" t="str">
        <f>INDEX(State!B:B,MATCH(OrdersTable[[#This Row],[State]],State!A:A,0))</f>
        <v>HR</v>
      </c>
      <c r="J4531" t="str">
        <f>INDEX(State!C:C,MATCH(OrdersTable[[#This Row],[State Code]],State!B:B,0))</f>
        <v>North</v>
      </c>
      <c r="K4531" t="s">
        <v>49</v>
      </c>
      <c r="L4531" t="s">
        <v>50</v>
      </c>
      <c r="M4531" t="s">
        <v>40</v>
      </c>
      <c r="N4531" t="str">
        <f>INDEX(Products!B:B,MATCH(OrdersTable[[#This Row],[Product ID]],Products!A:A,0))</f>
        <v>Ashwagandha Capsules</v>
      </c>
      <c r="O4531" t="str">
        <f>INDEX(Products!C:C,MATCH(OrdersTable[[#This Row],[Product ID]],Products!A:A,0))</f>
        <v>Wellness</v>
      </c>
      <c r="P4531">
        <v>1</v>
      </c>
      <c r="Q4531" s="5">
        <v>499</v>
      </c>
      <c r="R4531" s="74">
        <v>0.2</v>
      </c>
      <c r="S4531" s="75">
        <f>OrdersTable[[#This Row],[Quantity]]*OrdersTable[[#This Row],[Unit Price]]</f>
        <v>499</v>
      </c>
      <c r="T4531" s="5">
        <f>OrdersTable[[#This Row],[Gross Sale]]*OrdersTable[[#This Row],[Discount_Clean2]]</f>
        <v>99.800000000000011</v>
      </c>
      <c r="U4531" s="5">
        <f>OrdersTable[[#This Row],[Gross Sale]]-OrdersTable[[#This Row],[Discount Amount]]</f>
        <v>399.2</v>
      </c>
      <c r="V4531" s="77">
        <f>INDEX(Products!E:E,MATCH(OrdersTable[[#This Row],[Product ID]],Products!A:A,0))</f>
        <v>150</v>
      </c>
      <c r="W4531" s="77">
        <f>OrdersTable[[#This Row],[Quantity]]*OrdersTable[[#This Row],[Unit Cost]]</f>
        <v>150</v>
      </c>
      <c r="X4531" s="77">
        <f>'Dropdown Lists'!$I$2*(1+OrdersTable[[#This Row],[Returned]])</f>
        <v>60</v>
      </c>
      <c r="Y4531" s="76">
        <f>OrdersTable[[#This Row],[Net Revenue]]-OrdersTable[[#This Row],[COGS]]-OrdersTable[[#This Row],[Shipping Cost]]</f>
        <v>189.2</v>
      </c>
      <c r="Z4531" s="78">
        <f>IFERROR(OrdersTable[[#This Row],[Profit]]/OrdersTable[[#This Row],[Net Revenue]],0)</f>
        <v>0.47394789579158314</v>
      </c>
      <c r="AA4531" t="s">
        <v>18</v>
      </c>
      <c r="AB4531" s="79">
        <v>45986</v>
      </c>
      <c r="AC4531">
        <f>OrdersTable[[#This Row],[Delivery Date]]-OrdersTable[[#This Row],[Order Date]]</f>
        <v>2</v>
      </c>
      <c r="AD4531" t="str">
        <f>IF(OrdersTable[[#This Row],[Delivery Days]]&lt;=2, "Express (≤2d)", IF(OrdersTable[[#This Row],[Delivery Days]]&lt;=4, "Standard (3-4d)", "Delayed (5d+)"))</f>
        <v>Express (≤2d)</v>
      </c>
      <c r="AE4531">
        <v>4</v>
      </c>
      <c r="AF4531">
        <v>0</v>
      </c>
    </row>
    <row r="4532" spans="1:32" ht="15" x14ac:dyDescent="0.35">
      <c r="A4532" t="s">
        <v>5271</v>
      </c>
      <c r="B4532" s="1">
        <v>45984</v>
      </c>
      <c r="C4532">
        <f>YEAR(OrdersTable[[#This Row],[Order Date]])</f>
        <v>2025</v>
      </c>
      <c r="D4532" s="2">
        <f>DATE(YEAR(OrdersTable[[#This Row],[Order Date]]),MONTH(OrdersTable[[#This Row],[Order Date]]),1)</f>
        <v>45962</v>
      </c>
      <c r="E4532">
        <f>MONTH(OrdersTable[[#This Row],[Order Date]])</f>
        <v>11</v>
      </c>
      <c r="F4532" t="s">
        <v>5272</v>
      </c>
      <c r="G4532" t="str">
        <f>IF(OrdersTable[[#This Row],[Order Date]]=_xlfn.MINIFS(Order_Date, Customer_ID, OrdersTable[[#This Row],[Customer ID]]), "New", "Repeat")</f>
        <v>New</v>
      </c>
      <c r="H4532" t="s">
        <v>128</v>
      </c>
      <c r="I4532" t="str">
        <f>INDEX(State!B:B,MATCH(OrdersTable[[#This Row],[State]],State!A:A,0))</f>
        <v>DL</v>
      </c>
      <c r="J4532" t="str">
        <f>INDEX(State!C:C,MATCH(OrdersTable[[#This Row],[State Code]],State!B:B,0))</f>
        <v>North</v>
      </c>
      <c r="K4532" t="s">
        <v>129</v>
      </c>
      <c r="L4532" t="s">
        <v>65</v>
      </c>
      <c r="M4532" t="s">
        <v>179</v>
      </c>
      <c r="N4532" t="str">
        <f>INDEX(Products!B:B,MATCH(OrdersTable[[#This Row],[Product ID]],Products!A:A,0))</f>
        <v>Whey Protein 1kg</v>
      </c>
      <c r="O4532" t="str">
        <f>INDEX(Products!C:C,MATCH(OrdersTable[[#This Row],[Product ID]],Products!A:A,0))</f>
        <v>Wellness</v>
      </c>
      <c r="P4532">
        <v>2</v>
      </c>
      <c r="Q4532" s="5">
        <v>2299</v>
      </c>
      <c r="R4532" s="74">
        <v>0.5</v>
      </c>
      <c r="S4532" s="75">
        <f>OrdersTable[[#This Row],[Quantity]]*OrdersTable[[#This Row],[Unit Price]]</f>
        <v>4598</v>
      </c>
      <c r="T4532" s="5">
        <f>OrdersTable[[#This Row],[Gross Sale]]*OrdersTable[[#This Row],[Discount_Clean2]]</f>
        <v>2299</v>
      </c>
      <c r="U4532" s="5">
        <f>OrdersTable[[#This Row],[Gross Sale]]-OrdersTable[[#This Row],[Discount Amount]]</f>
        <v>2299</v>
      </c>
      <c r="V4532" s="77">
        <f>INDEX(Products!E:E,MATCH(OrdersTable[[#This Row],[Product ID]],Products!A:A,0))</f>
        <v>1333</v>
      </c>
      <c r="W4532" s="77">
        <f>OrdersTable[[#This Row],[Quantity]]*OrdersTable[[#This Row],[Unit Cost]]</f>
        <v>2666</v>
      </c>
      <c r="X4532" s="77">
        <f>'Dropdown Lists'!$I$2*(1+OrdersTable[[#This Row],[Returned]])</f>
        <v>60</v>
      </c>
      <c r="Y4532" s="76">
        <f>OrdersTable[[#This Row],[Net Revenue]]-OrdersTable[[#This Row],[COGS]]-OrdersTable[[#This Row],[Shipping Cost]]</f>
        <v>-427</v>
      </c>
      <c r="Z4532" s="78">
        <f>IFERROR(OrdersTable[[#This Row],[Profit]]/OrdersTable[[#This Row],[Net Revenue]],0)</f>
        <v>-0.18573292735972161</v>
      </c>
      <c r="AA4532" t="s">
        <v>3495</v>
      </c>
      <c r="AB4532" s="79">
        <v>45986</v>
      </c>
      <c r="AC4532">
        <f>OrdersTable[[#This Row],[Delivery Date]]-OrdersTable[[#This Row],[Order Date]]</f>
        <v>2</v>
      </c>
      <c r="AD4532" t="str">
        <f>IF(OrdersTable[[#This Row],[Delivery Days]]&lt;=2, "Express (≤2d)", IF(OrdersTable[[#This Row],[Delivery Days]]&lt;=4, "Standard (3-4d)", "Delayed (5d+)"))</f>
        <v>Express (≤2d)</v>
      </c>
      <c r="AE4532">
        <v>4</v>
      </c>
      <c r="AF4532">
        <v>0</v>
      </c>
    </row>
    <row r="4533" spans="1:32" ht="15" x14ac:dyDescent="0.35">
      <c r="A4533" t="s">
        <v>6024</v>
      </c>
      <c r="B4533" s="1">
        <v>45984</v>
      </c>
      <c r="C4533">
        <f>YEAR(OrdersTable[[#This Row],[Order Date]])</f>
        <v>2025</v>
      </c>
      <c r="D4533" s="2">
        <f>DATE(YEAR(OrdersTable[[#This Row],[Order Date]]),MONTH(OrdersTable[[#This Row],[Order Date]]),1)</f>
        <v>45962</v>
      </c>
      <c r="E4533">
        <f>MONTH(OrdersTable[[#This Row],[Order Date]])</f>
        <v>11</v>
      </c>
      <c r="F4533" t="s">
        <v>3126</v>
      </c>
      <c r="G4533" t="str">
        <f>IF(OrdersTable[[#This Row],[Order Date]]=_xlfn.MINIFS(Order_Date, Customer_ID, OrdersTable[[#This Row],[Customer ID]]), "New", "Repeat")</f>
        <v>New</v>
      </c>
      <c r="H4533" t="s">
        <v>76</v>
      </c>
      <c r="I4533" t="str">
        <f>INDEX(State!B:B,MATCH(OrdersTable[[#This Row],[State]],State!A:A,0))</f>
        <v>UP</v>
      </c>
      <c r="J4533" t="str">
        <f>INDEX(State!C:C,MATCH(OrdersTable[[#This Row],[State Code]],State!B:B,0))</f>
        <v>North</v>
      </c>
      <c r="K4533" t="s">
        <v>77</v>
      </c>
      <c r="L4533" t="s">
        <v>39</v>
      </c>
      <c r="M4533" t="s">
        <v>24</v>
      </c>
      <c r="N4533" t="str">
        <f>INDEX(Products!B:B,MATCH(OrdersTable[[#This Row],[Product ID]],Products!A:A,0))</f>
        <v>Scented Candle Set</v>
      </c>
      <c r="O4533" t="str">
        <f>INDEX(Products!C:C,MATCH(OrdersTable[[#This Row],[Product ID]],Products!A:A,0))</f>
        <v>Home &amp; Kitchen</v>
      </c>
      <c r="P4533">
        <v>2</v>
      </c>
      <c r="Q4533" s="5">
        <v>699</v>
      </c>
      <c r="R4533" s="74">
        <v>0.25</v>
      </c>
      <c r="S4533" s="75">
        <f>OrdersTable[[#This Row],[Quantity]]*OrdersTable[[#This Row],[Unit Price]]</f>
        <v>1398</v>
      </c>
      <c r="T4533" s="5">
        <f>OrdersTable[[#This Row],[Gross Sale]]*OrdersTable[[#This Row],[Discount_Clean2]]</f>
        <v>349.5</v>
      </c>
      <c r="U4533" s="5">
        <f>OrdersTable[[#This Row],[Gross Sale]]-OrdersTable[[#This Row],[Discount Amount]]</f>
        <v>1048.5</v>
      </c>
      <c r="V4533" s="77">
        <f>INDEX(Products!E:E,MATCH(OrdersTable[[#This Row],[Product ID]],Products!A:A,0))</f>
        <v>245</v>
      </c>
      <c r="W4533" s="77">
        <f>OrdersTable[[#This Row],[Quantity]]*OrdersTable[[#This Row],[Unit Cost]]</f>
        <v>490</v>
      </c>
      <c r="X4533" s="77">
        <f>'Dropdown Lists'!$I$2*(1+OrdersTable[[#This Row],[Returned]])</f>
        <v>60</v>
      </c>
      <c r="Y4533" s="76">
        <f>OrdersTable[[#This Row],[Net Revenue]]-OrdersTable[[#This Row],[COGS]]-OrdersTable[[#This Row],[Shipping Cost]]</f>
        <v>498.5</v>
      </c>
      <c r="Z4533" s="78">
        <f>IFERROR(OrdersTable[[#This Row],[Profit]]/OrdersTable[[#This Row],[Net Revenue]],0)</f>
        <v>0.47544110634239389</v>
      </c>
      <c r="AA4533" t="s">
        <v>18</v>
      </c>
      <c r="AB4533" s="79">
        <v>45989</v>
      </c>
      <c r="AC4533">
        <f>OrdersTable[[#This Row],[Delivery Date]]-OrdersTable[[#This Row],[Order Date]]</f>
        <v>5</v>
      </c>
      <c r="AD4533" t="str">
        <f>IF(OrdersTable[[#This Row],[Delivery Days]]&lt;=2, "Express (≤2d)", IF(OrdersTable[[#This Row],[Delivery Days]]&lt;=4, "Standard (3-4d)", "Delayed (5d+)"))</f>
        <v>Delayed (5d+)</v>
      </c>
      <c r="AF4533">
        <v>0</v>
      </c>
    </row>
    <row r="4534" spans="1:32" ht="15" x14ac:dyDescent="0.35">
      <c r="A4534" t="s">
        <v>6832</v>
      </c>
      <c r="B4534" s="1">
        <v>45984</v>
      </c>
      <c r="C4534">
        <f>YEAR(OrdersTable[[#This Row],[Order Date]])</f>
        <v>2025</v>
      </c>
      <c r="D4534" s="2">
        <f>DATE(YEAR(OrdersTable[[#This Row],[Order Date]]),MONTH(OrdersTable[[#This Row],[Order Date]]),1)</f>
        <v>45962</v>
      </c>
      <c r="E4534">
        <f>MONTH(OrdersTable[[#This Row],[Order Date]])</f>
        <v>11</v>
      </c>
      <c r="F4534" t="s">
        <v>473</v>
      </c>
      <c r="G4534" t="str">
        <f>IF(OrdersTable[[#This Row],[Order Date]]=_xlfn.MINIFS(Order_Date, Customer_ID, OrdersTable[[#This Row],[Customer ID]]), "New", "Repeat")</f>
        <v>Repeat</v>
      </c>
      <c r="H4534" t="s">
        <v>32</v>
      </c>
      <c r="I4534" t="str">
        <f>INDEX(State!B:B,MATCH(OrdersTable[[#This Row],[State]],State!A:A,0))</f>
        <v>BR</v>
      </c>
      <c r="J4534" t="str">
        <f>INDEX(State!C:C,MATCH(OrdersTable[[#This Row],[State Code]],State!B:B,0))</f>
        <v>East</v>
      </c>
      <c r="K4534" t="s">
        <v>33</v>
      </c>
      <c r="L4534" t="s">
        <v>50</v>
      </c>
      <c r="M4534" t="s">
        <v>61</v>
      </c>
      <c r="N4534" t="str">
        <f>INDEX(Products!B:B,MATCH(OrdersTable[[#This Row],[Product ID]],Products!A:A,0))</f>
        <v>Multivitamin Gummies</v>
      </c>
      <c r="O4534" t="str">
        <f>INDEX(Products!C:C,MATCH(OrdersTable[[#This Row],[Product ID]],Products!A:A,0))</f>
        <v>Wellness</v>
      </c>
      <c r="P4534">
        <v>3</v>
      </c>
      <c r="Q4534" s="5">
        <v>699</v>
      </c>
      <c r="R4534" s="74">
        <v>0.4</v>
      </c>
      <c r="S4534" s="75">
        <f>OrdersTable[[#This Row],[Quantity]]*OrdersTable[[#This Row],[Unit Price]]</f>
        <v>2097</v>
      </c>
      <c r="T4534" s="5">
        <f>OrdersTable[[#This Row],[Gross Sale]]*OrdersTable[[#This Row],[Discount_Clean2]]</f>
        <v>838.80000000000007</v>
      </c>
      <c r="U4534" s="5">
        <f>OrdersTable[[#This Row],[Gross Sale]]-OrdersTable[[#This Row],[Discount Amount]]</f>
        <v>1258.1999999999998</v>
      </c>
      <c r="V4534" s="77">
        <f>INDEX(Products!E:E,MATCH(OrdersTable[[#This Row],[Product ID]],Products!A:A,0))</f>
        <v>238</v>
      </c>
      <c r="W4534" s="77">
        <f>OrdersTable[[#This Row],[Quantity]]*OrdersTable[[#This Row],[Unit Cost]]</f>
        <v>714</v>
      </c>
      <c r="X4534" s="77">
        <f>'Dropdown Lists'!$I$2*(1+OrdersTable[[#This Row],[Returned]])</f>
        <v>60</v>
      </c>
      <c r="Y4534" s="76">
        <f>OrdersTable[[#This Row],[Net Revenue]]-OrdersTable[[#This Row],[COGS]]-OrdersTable[[#This Row],[Shipping Cost]]</f>
        <v>484.19999999999982</v>
      </c>
      <c r="Z4534" s="78">
        <f>IFERROR(OrdersTable[[#This Row],[Profit]]/OrdersTable[[#This Row],[Net Revenue]],0)</f>
        <v>0.38483547925608003</v>
      </c>
      <c r="AA4534" t="s">
        <v>3495</v>
      </c>
      <c r="AB4534" s="79">
        <v>45989</v>
      </c>
      <c r="AC4534">
        <f>OrdersTable[[#This Row],[Delivery Date]]-OrdersTable[[#This Row],[Order Date]]</f>
        <v>5</v>
      </c>
      <c r="AD4534" t="str">
        <f>IF(OrdersTable[[#This Row],[Delivery Days]]&lt;=2, "Express (≤2d)", IF(OrdersTable[[#This Row],[Delivery Days]]&lt;=4, "Standard (3-4d)", "Delayed (5d+)"))</f>
        <v>Delayed (5d+)</v>
      </c>
      <c r="AF4534">
        <v>0</v>
      </c>
    </row>
    <row r="4535" spans="1:32" ht="15" x14ac:dyDescent="0.35">
      <c r="A4535" t="s">
        <v>6025</v>
      </c>
      <c r="B4535" s="1">
        <v>45984</v>
      </c>
      <c r="C4535">
        <f>YEAR(OrdersTable[[#This Row],[Order Date]])</f>
        <v>2025</v>
      </c>
      <c r="D4535" s="2">
        <f>DATE(YEAR(OrdersTable[[#This Row],[Order Date]]),MONTH(OrdersTable[[#This Row],[Order Date]]),1)</f>
        <v>45962</v>
      </c>
      <c r="E4535">
        <f>MONTH(OrdersTable[[#This Row],[Order Date]])</f>
        <v>11</v>
      </c>
      <c r="F4535" t="s">
        <v>4826</v>
      </c>
      <c r="G4535" t="str">
        <f>IF(OrdersTable[[#This Row],[Order Date]]=_xlfn.MINIFS(Order_Date, Customer_ID, OrdersTable[[#This Row],[Customer ID]]), "New", "Repeat")</f>
        <v>Repeat</v>
      </c>
      <c r="H4535" t="s">
        <v>32</v>
      </c>
      <c r="I4535" t="str">
        <f>INDEX(State!B:B,MATCH(OrdersTable[[#This Row],[State]],State!A:A,0))</f>
        <v>BR</v>
      </c>
      <c r="J4535" t="str">
        <f>INDEX(State!C:C,MATCH(OrdersTable[[#This Row],[State Code]],State!B:B,0))</f>
        <v>East</v>
      </c>
      <c r="K4535" t="s">
        <v>33</v>
      </c>
      <c r="L4535" t="s">
        <v>39</v>
      </c>
      <c r="M4535" t="s">
        <v>56</v>
      </c>
      <c r="N4535" t="str">
        <f>INDEX(Products!B:B,MATCH(OrdersTable[[#This Row],[Product ID]],Products!A:A,0))</f>
        <v>Vitamin C Face Serum</v>
      </c>
      <c r="O4535" t="str">
        <f>INDEX(Products!C:C,MATCH(OrdersTable[[#This Row],[Product ID]],Products!A:A,0))</f>
        <v>Skincare</v>
      </c>
      <c r="P4535">
        <v>2</v>
      </c>
      <c r="Q4535" s="5">
        <v>599</v>
      </c>
      <c r="R4535" s="74">
        <v>0.2</v>
      </c>
      <c r="S4535" s="75">
        <f>OrdersTable[[#This Row],[Quantity]]*OrdersTable[[#This Row],[Unit Price]]</f>
        <v>1198</v>
      </c>
      <c r="T4535" s="5">
        <f>OrdersTable[[#This Row],[Gross Sale]]*OrdersTable[[#This Row],[Discount_Clean2]]</f>
        <v>239.60000000000002</v>
      </c>
      <c r="U4535" s="5">
        <f>OrdersTable[[#This Row],[Gross Sale]]-OrdersTable[[#This Row],[Discount Amount]]</f>
        <v>958.4</v>
      </c>
      <c r="V4535" s="77">
        <f>INDEX(Products!E:E,MATCH(OrdersTable[[#This Row],[Product ID]],Products!A:A,0))</f>
        <v>180</v>
      </c>
      <c r="W4535" s="77">
        <f>OrdersTable[[#This Row],[Quantity]]*OrdersTable[[#This Row],[Unit Cost]]</f>
        <v>360</v>
      </c>
      <c r="X4535" s="77">
        <f>'Dropdown Lists'!$I$2*(1+OrdersTable[[#This Row],[Returned]])</f>
        <v>60</v>
      </c>
      <c r="Y4535" s="76">
        <f>OrdersTable[[#This Row],[Net Revenue]]-OrdersTable[[#This Row],[COGS]]-OrdersTable[[#This Row],[Shipping Cost]]</f>
        <v>538.4</v>
      </c>
      <c r="Z4535" s="78">
        <f>IFERROR(OrdersTable[[#This Row],[Profit]]/OrdersTable[[#This Row],[Net Revenue]],0)</f>
        <v>0.56176961602671116</v>
      </c>
      <c r="AA4535" t="s">
        <v>18</v>
      </c>
      <c r="AB4535" s="79">
        <v>45990</v>
      </c>
      <c r="AC4535">
        <f>OrdersTable[[#This Row],[Delivery Date]]-OrdersTable[[#This Row],[Order Date]]</f>
        <v>6</v>
      </c>
      <c r="AD4535" t="str">
        <f>IF(OrdersTable[[#This Row],[Delivery Days]]&lt;=2, "Express (≤2d)", IF(OrdersTable[[#This Row],[Delivery Days]]&lt;=4, "Standard (3-4d)", "Delayed (5d+)"))</f>
        <v>Delayed (5d+)</v>
      </c>
      <c r="AF4535">
        <v>0</v>
      </c>
    </row>
    <row r="4536" spans="1:32" ht="15" x14ac:dyDescent="0.35">
      <c r="A4536" t="s">
        <v>5273</v>
      </c>
      <c r="B4536" s="1">
        <v>45984</v>
      </c>
      <c r="C4536">
        <f>YEAR(OrdersTable[[#This Row],[Order Date]])</f>
        <v>2025</v>
      </c>
      <c r="D4536" s="2">
        <f>DATE(YEAR(OrdersTable[[#This Row],[Order Date]]),MONTH(OrdersTable[[#This Row],[Order Date]]),1)</f>
        <v>45962</v>
      </c>
      <c r="E4536">
        <f>MONTH(OrdersTable[[#This Row],[Order Date]])</f>
        <v>11</v>
      </c>
      <c r="F4536" t="s">
        <v>684</v>
      </c>
      <c r="G4536" t="str">
        <f>IF(OrdersTable[[#This Row],[Order Date]]=_xlfn.MINIFS(Order_Date, Customer_ID, OrdersTable[[#This Row],[Customer ID]]), "New", "Repeat")</f>
        <v>Repeat</v>
      </c>
      <c r="H4536" t="s">
        <v>37</v>
      </c>
      <c r="I4536" t="str">
        <f>INDEX(State!B:B,MATCH(OrdersTable[[#This Row],[State]],State!A:A,0))</f>
        <v>GJ</v>
      </c>
      <c r="J4536" t="str">
        <f>INDEX(State!C:C,MATCH(OrdersTable[[#This Row],[State Code]],State!B:B,0))</f>
        <v>West</v>
      </c>
      <c r="K4536" t="s">
        <v>247</v>
      </c>
      <c r="L4536" t="s">
        <v>39</v>
      </c>
      <c r="M4536" t="s">
        <v>565</v>
      </c>
      <c r="N4536" t="str">
        <f>INDEX(Products!B:B,MATCH(OrdersTable[[#This Row],[Product ID]],Products!A:A,0))</f>
        <v>Ceramic Dinner Set</v>
      </c>
      <c r="O4536" t="str">
        <f>INDEX(Products!C:C,MATCH(OrdersTable[[#This Row],[Product ID]],Products!A:A,0))</f>
        <v>Home &amp; Kitchen</v>
      </c>
      <c r="P4536">
        <v>2</v>
      </c>
      <c r="Q4536" s="5">
        <v>2499</v>
      </c>
      <c r="R4536" s="74">
        <v>0.45</v>
      </c>
      <c r="S4536" s="75">
        <f>OrdersTable[[#This Row],[Quantity]]*OrdersTable[[#This Row],[Unit Price]]</f>
        <v>4998</v>
      </c>
      <c r="T4536" s="5">
        <f>OrdersTable[[#This Row],[Gross Sale]]*OrdersTable[[#This Row],[Discount_Clean2]]</f>
        <v>2249.1</v>
      </c>
      <c r="U4536" s="5">
        <f>OrdersTable[[#This Row],[Gross Sale]]-OrdersTable[[#This Row],[Discount Amount]]</f>
        <v>2748.9</v>
      </c>
      <c r="V4536" s="77">
        <f>INDEX(Products!E:E,MATCH(OrdersTable[[#This Row],[Product ID]],Products!A:A,0))</f>
        <v>1250</v>
      </c>
      <c r="W4536" s="77">
        <f>OrdersTable[[#This Row],[Quantity]]*OrdersTable[[#This Row],[Unit Cost]]</f>
        <v>2500</v>
      </c>
      <c r="X4536" s="77">
        <f>'Dropdown Lists'!$I$2*(1+OrdersTable[[#This Row],[Returned]])</f>
        <v>60</v>
      </c>
      <c r="Y4536" s="76">
        <f>OrdersTable[[#This Row],[Net Revenue]]-OrdersTable[[#This Row],[COGS]]-OrdersTable[[#This Row],[Shipping Cost]]</f>
        <v>188.90000000000009</v>
      </c>
      <c r="Z4536" s="78">
        <f>IFERROR(OrdersTable[[#This Row],[Profit]]/OrdersTable[[#This Row],[Net Revenue]],0)</f>
        <v>6.8718396449488919E-2</v>
      </c>
      <c r="AA4536" t="s">
        <v>3495</v>
      </c>
      <c r="AB4536" s="79">
        <v>45987</v>
      </c>
      <c r="AC4536">
        <f>OrdersTable[[#This Row],[Delivery Date]]-OrdersTable[[#This Row],[Order Date]]</f>
        <v>3</v>
      </c>
      <c r="AD4536" t="str">
        <f>IF(OrdersTable[[#This Row],[Delivery Days]]&lt;=2, "Express (≤2d)", IF(OrdersTable[[#This Row],[Delivery Days]]&lt;=4, "Standard (3-4d)", "Delayed (5d+)"))</f>
        <v>Standard (3-4d)</v>
      </c>
      <c r="AF4536">
        <v>0</v>
      </c>
    </row>
    <row r="4537" spans="1:32" ht="15" x14ac:dyDescent="0.35">
      <c r="A4537" t="s">
        <v>408</v>
      </c>
      <c r="B4537" s="1">
        <v>45984</v>
      </c>
      <c r="C4537">
        <f>YEAR(OrdersTable[[#This Row],[Order Date]])</f>
        <v>2025</v>
      </c>
      <c r="D4537" s="2">
        <f>DATE(YEAR(OrdersTable[[#This Row],[Order Date]]),MONTH(OrdersTable[[#This Row],[Order Date]]),1)</f>
        <v>45962</v>
      </c>
      <c r="E4537">
        <f>MONTH(OrdersTable[[#This Row],[Order Date]])</f>
        <v>11</v>
      </c>
      <c r="F4537" t="s">
        <v>409</v>
      </c>
      <c r="G4537" t="str">
        <f>IF(OrdersTable[[#This Row],[Order Date]]=_xlfn.MINIFS(Order_Date, Customer_ID, OrdersTable[[#This Row],[Customer ID]]), "New", "Repeat")</f>
        <v>New</v>
      </c>
      <c r="H4537" t="s">
        <v>43</v>
      </c>
      <c r="I4537" t="str">
        <f>INDEX(State!B:B,MATCH(OrdersTable[[#This Row],[State]],State!A:A,0))</f>
        <v>MP</v>
      </c>
      <c r="J4537" t="str">
        <f>INDEX(State!C:C,MATCH(OrdersTable[[#This Row],[State Code]],State!B:B,0))</f>
        <v>West</v>
      </c>
      <c r="K4537" t="s">
        <v>44</v>
      </c>
      <c r="L4537" t="s">
        <v>16</v>
      </c>
      <c r="M4537" t="s">
        <v>255</v>
      </c>
      <c r="N4537" t="str">
        <f>INDEX(Products!B:B,MATCH(OrdersTable[[#This Row],[Product ID]],Products!A:A,0))</f>
        <v>Cotton Oversized T-Shirt</v>
      </c>
      <c r="O4537" t="str">
        <f>INDEX(Products!C:C,MATCH(OrdersTable[[#This Row],[Product ID]],Products!A:A,0))</f>
        <v>Apparel</v>
      </c>
      <c r="P4537">
        <v>1</v>
      </c>
      <c r="Q4537" s="5">
        <v>799</v>
      </c>
      <c r="R4537" s="74">
        <v>0.25</v>
      </c>
      <c r="S4537" s="75">
        <f>OrdersTable[[#This Row],[Quantity]]*OrdersTable[[#This Row],[Unit Price]]</f>
        <v>799</v>
      </c>
      <c r="T4537" s="5">
        <f>OrdersTable[[#This Row],[Gross Sale]]*OrdersTable[[#This Row],[Discount_Clean2]]</f>
        <v>199.75</v>
      </c>
      <c r="U4537" s="5">
        <f>OrdersTable[[#This Row],[Gross Sale]]-OrdersTable[[#This Row],[Discount Amount]]</f>
        <v>599.25</v>
      </c>
      <c r="V4537" s="77">
        <f>INDEX(Products!E:E,MATCH(OrdersTable[[#This Row],[Product ID]],Products!A:A,0))</f>
        <v>320</v>
      </c>
      <c r="W4537" s="77">
        <f>OrdersTable[[#This Row],[Quantity]]*OrdersTable[[#This Row],[Unit Cost]]</f>
        <v>320</v>
      </c>
      <c r="X4537" s="77">
        <f>'Dropdown Lists'!$I$2*(1+OrdersTable[[#This Row],[Returned]])</f>
        <v>60</v>
      </c>
      <c r="Y4537" s="76">
        <f>OrdersTable[[#This Row],[Net Revenue]]-OrdersTable[[#This Row],[COGS]]-OrdersTable[[#This Row],[Shipping Cost]]</f>
        <v>219.25</v>
      </c>
      <c r="Z4537" s="78">
        <f>IFERROR(OrdersTable[[#This Row],[Profit]]/OrdersTable[[#This Row],[Net Revenue]],0)</f>
        <v>0.36587400917813934</v>
      </c>
      <c r="AA4537" t="s">
        <v>18</v>
      </c>
      <c r="AB4537" s="79">
        <v>45986</v>
      </c>
      <c r="AC4537">
        <f>OrdersTable[[#This Row],[Delivery Date]]-OrdersTable[[#This Row],[Order Date]]</f>
        <v>2</v>
      </c>
      <c r="AD4537" t="str">
        <f>IF(OrdersTable[[#This Row],[Delivery Days]]&lt;=2, "Express (≤2d)", IF(OrdersTable[[#This Row],[Delivery Days]]&lt;=4, "Standard (3-4d)", "Delayed (5d+)"))</f>
        <v>Express (≤2d)</v>
      </c>
      <c r="AE4537">
        <v>4</v>
      </c>
      <c r="AF4537">
        <v>0</v>
      </c>
    </row>
    <row r="4538" spans="1:32" ht="15" x14ac:dyDescent="0.35">
      <c r="A4538" t="s">
        <v>6749</v>
      </c>
      <c r="B4538" s="1">
        <v>45984</v>
      </c>
      <c r="C4538">
        <f>YEAR(OrdersTable[[#This Row],[Order Date]])</f>
        <v>2025</v>
      </c>
      <c r="D4538" s="2">
        <f>DATE(YEAR(OrdersTable[[#This Row],[Order Date]]),MONTH(OrdersTable[[#This Row],[Order Date]]),1)</f>
        <v>45962</v>
      </c>
      <c r="E4538">
        <f>MONTH(OrdersTable[[#This Row],[Order Date]])</f>
        <v>11</v>
      </c>
      <c r="F4538" t="s">
        <v>2049</v>
      </c>
      <c r="G4538" t="str">
        <f>IF(OrdersTable[[#This Row],[Order Date]]=_xlfn.MINIFS(Order_Date, Customer_ID, OrdersTable[[#This Row],[Customer ID]]), "New", "Repeat")</f>
        <v>Repeat</v>
      </c>
      <c r="H4538" t="s">
        <v>43</v>
      </c>
      <c r="I4538" t="str">
        <f>INDEX(State!B:B,MATCH(OrdersTable[[#This Row],[State]],State!A:A,0))</f>
        <v>MP</v>
      </c>
      <c r="J4538" t="str">
        <f>INDEX(State!C:C,MATCH(OrdersTable[[#This Row],[State Code]],State!B:B,0))</f>
        <v>West</v>
      </c>
      <c r="K4538" t="s">
        <v>44</v>
      </c>
      <c r="L4538" t="s">
        <v>16</v>
      </c>
      <c r="M4538" t="s">
        <v>87</v>
      </c>
      <c r="N4538" t="str">
        <f>INDEX(Products!B:B,MATCH(OrdersTable[[#This Row],[Product ID]],Products!A:A,0))</f>
        <v>Linen Kurta</v>
      </c>
      <c r="O4538" t="str">
        <f>INDEX(Products!C:C,MATCH(OrdersTable[[#This Row],[Product ID]],Products!A:A,0))</f>
        <v>Apparel</v>
      </c>
      <c r="P4538">
        <v>3</v>
      </c>
      <c r="Q4538" s="5">
        <v>1499</v>
      </c>
      <c r="R4538" s="74">
        <v>0.35</v>
      </c>
      <c r="S4538" s="75">
        <f>OrdersTable[[#This Row],[Quantity]]*OrdersTable[[#This Row],[Unit Price]]</f>
        <v>4497</v>
      </c>
      <c r="T4538" s="5">
        <f>OrdersTable[[#This Row],[Gross Sale]]*OrdersTable[[#This Row],[Discount_Clean2]]</f>
        <v>1573.9499999999998</v>
      </c>
      <c r="U4538" s="5">
        <f>OrdersTable[[#This Row],[Gross Sale]]-OrdersTable[[#This Row],[Discount Amount]]</f>
        <v>2923.05</v>
      </c>
      <c r="V4538" s="77">
        <f>INDEX(Products!E:E,MATCH(OrdersTable[[#This Row],[Product ID]],Products!A:A,0))</f>
        <v>630</v>
      </c>
      <c r="W4538" s="77">
        <f>OrdersTable[[#This Row],[Quantity]]*OrdersTable[[#This Row],[Unit Cost]]</f>
        <v>1890</v>
      </c>
      <c r="X4538" s="77">
        <f>'Dropdown Lists'!$I$2*(1+OrdersTable[[#This Row],[Returned]])</f>
        <v>120</v>
      </c>
      <c r="Y4538" s="76">
        <f>OrdersTable[[#This Row],[Net Revenue]]-OrdersTable[[#This Row],[COGS]]-OrdersTable[[#This Row],[Shipping Cost]]</f>
        <v>913.05000000000018</v>
      </c>
      <c r="Z4538" s="78">
        <f>IFERROR(OrdersTable[[#This Row],[Profit]]/OrdersTable[[#This Row],[Net Revenue]],0)</f>
        <v>0.31236208754554323</v>
      </c>
      <c r="AA4538" t="s">
        <v>2522</v>
      </c>
      <c r="AB4538" s="79">
        <v>45988</v>
      </c>
      <c r="AC4538">
        <f>OrdersTable[[#This Row],[Delivery Date]]-OrdersTable[[#This Row],[Order Date]]</f>
        <v>4</v>
      </c>
      <c r="AD4538" t="str">
        <f>IF(OrdersTable[[#This Row],[Delivery Days]]&lt;=2, "Express (≤2d)", IF(OrdersTable[[#This Row],[Delivery Days]]&lt;=4, "Standard (3-4d)", "Delayed (5d+)"))</f>
        <v>Standard (3-4d)</v>
      </c>
      <c r="AE4538">
        <v>5</v>
      </c>
      <c r="AF4538">
        <v>1</v>
      </c>
    </row>
    <row r="4539" spans="1:32" ht="15" x14ac:dyDescent="0.35">
      <c r="A4539" t="s">
        <v>7165</v>
      </c>
      <c r="B4539" s="1">
        <v>45984</v>
      </c>
      <c r="C4539">
        <f>YEAR(OrdersTable[[#This Row],[Order Date]])</f>
        <v>2025</v>
      </c>
      <c r="D4539" s="2">
        <f>DATE(YEAR(OrdersTable[[#This Row],[Order Date]]),MONTH(OrdersTable[[#This Row],[Order Date]]),1)</f>
        <v>45962</v>
      </c>
      <c r="E4539">
        <f>MONTH(OrdersTable[[#This Row],[Order Date]])</f>
        <v>11</v>
      </c>
      <c r="F4539" t="s">
        <v>7166</v>
      </c>
      <c r="G4539" t="str">
        <f>IF(OrdersTable[[#This Row],[Order Date]]=_xlfn.MINIFS(Order_Date, Customer_ID, OrdersTable[[#This Row],[Customer ID]]), "New", "Repeat")</f>
        <v>New</v>
      </c>
      <c r="H4539" t="s">
        <v>123</v>
      </c>
      <c r="I4539" t="str">
        <f>INDEX(State!B:B,MATCH(OrdersTable[[#This Row],[State]],State!A:A,0))</f>
        <v>JH</v>
      </c>
      <c r="J4539" t="str">
        <f>INDEX(State!C:C,MATCH(OrdersTable[[#This Row],[State Code]],State!B:B,0))</f>
        <v>East</v>
      </c>
      <c r="K4539" t="s">
        <v>124</v>
      </c>
      <c r="L4539" t="s">
        <v>65</v>
      </c>
      <c r="M4539" t="s">
        <v>423</v>
      </c>
      <c r="N4539" t="str">
        <f>INDEX(Products!B:B,MATCH(OrdersTable[[#This Row],[Product ID]],Products!A:A,0))</f>
        <v>Power Bank 20000mAh</v>
      </c>
      <c r="O4539" t="str">
        <f>INDEX(Products!C:C,MATCH(OrdersTable[[#This Row],[Product ID]],Products!A:A,0))</f>
        <v>Electronics</v>
      </c>
      <c r="P4539">
        <v>5</v>
      </c>
      <c r="Q4539" s="5">
        <v>1799</v>
      </c>
      <c r="R4539" s="74">
        <v>0.4</v>
      </c>
      <c r="S4539" s="75">
        <f>OrdersTable[[#This Row],[Quantity]]*OrdersTable[[#This Row],[Unit Price]]</f>
        <v>8995</v>
      </c>
      <c r="T4539" s="5">
        <f>OrdersTable[[#This Row],[Gross Sale]]*OrdersTable[[#This Row],[Discount_Clean2]]</f>
        <v>3598</v>
      </c>
      <c r="U4539" s="5">
        <f>OrdersTable[[#This Row],[Gross Sale]]-OrdersTable[[#This Row],[Discount Amount]]</f>
        <v>5397</v>
      </c>
      <c r="V4539" s="77">
        <f>INDEX(Products!E:E,MATCH(OrdersTable[[#This Row],[Product ID]],Products!A:A,0))</f>
        <v>1079</v>
      </c>
      <c r="W4539" s="77">
        <f>OrdersTable[[#This Row],[Quantity]]*OrdersTable[[#This Row],[Unit Cost]]</f>
        <v>5395</v>
      </c>
      <c r="X4539" s="77">
        <f>'Dropdown Lists'!$I$2*(1+OrdersTable[[#This Row],[Returned]])</f>
        <v>60</v>
      </c>
      <c r="Y4539" s="76">
        <f>OrdersTable[[#This Row],[Net Revenue]]-OrdersTable[[#This Row],[COGS]]-OrdersTable[[#This Row],[Shipping Cost]]</f>
        <v>-58</v>
      </c>
      <c r="Z4539" s="78">
        <f>IFERROR(OrdersTable[[#This Row],[Profit]]/OrdersTable[[#This Row],[Net Revenue]],0)</f>
        <v>-1.0746711135816194E-2</v>
      </c>
      <c r="AA4539" t="s">
        <v>18</v>
      </c>
      <c r="AB4539" s="79">
        <v>45991</v>
      </c>
      <c r="AC4539">
        <f>OrdersTable[[#This Row],[Delivery Date]]-OrdersTable[[#This Row],[Order Date]]</f>
        <v>7</v>
      </c>
      <c r="AD4539" t="str">
        <f>IF(OrdersTable[[#This Row],[Delivery Days]]&lt;=2, "Express (≤2d)", IF(OrdersTable[[#This Row],[Delivery Days]]&lt;=4, "Standard (3-4d)", "Delayed (5d+)"))</f>
        <v>Delayed (5d+)</v>
      </c>
      <c r="AF4539">
        <v>0</v>
      </c>
    </row>
    <row r="4540" spans="1:32" ht="15" x14ac:dyDescent="0.35">
      <c r="A4540" t="s">
        <v>2057</v>
      </c>
      <c r="B4540" s="1">
        <v>45984</v>
      </c>
      <c r="C4540">
        <f>YEAR(OrdersTable[[#This Row],[Order Date]])</f>
        <v>2025</v>
      </c>
      <c r="D4540" s="2">
        <f>DATE(YEAR(OrdersTable[[#This Row],[Order Date]]),MONTH(OrdersTable[[#This Row],[Order Date]]),1)</f>
        <v>45962</v>
      </c>
      <c r="E4540">
        <f>MONTH(OrdersTable[[#This Row],[Order Date]])</f>
        <v>11</v>
      </c>
      <c r="F4540" t="s">
        <v>2058</v>
      </c>
      <c r="G4540" t="str">
        <f>IF(OrdersTable[[#This Row],[Order Date]]=_xlfn.MINIFS(Order_Date, Customer_ID, OrdersTable[[#This Row],[Customer ID]]), "New", "Repeat")</f>
        <v>Repeat</v>
      </c>
      <c r="H4540" t="s">
        <v>95</v>
      </c>
      <c r="I4540" t="str">
        <f>INDEX(State!B:B,MATCH(OrdersTable[[#This Row],[State]],State!A:A,0))</f>
        <v>TG</v>
      </c>
      <c r="J4540" t="str">
        <f>INDEX(State!C:C,MATCH(OrdersTable[[#This Row],[State Code]],State!B:B,0))</f>
        <v>South</v>
      </c>
      <c r="K4540" t="s">
        <v>96</v>
      </c>
      <c r="L4540" t="s">
        <v>23</v>
      </c>
      <c r="M4540" t="s">
        <v>61</v>
      </c>
      <c r="N4540" t="str">
        <f>INDEX(Products!B:B,MATCH(OrdersTable[[#This Row],[Product ID]],Products!A:A,0))</f>
        <v>Multivitamin Gummies</v>
      </c>
      <c r="O4540" t="str">
        <f>INDEX(Products!C:C,MATCH(OrdersTable[[#This Row],[Product ID]],Products!A:A,0))</f>
        <v>Wellness</v>
      </c>
      <c r="P4540">
        <v>1</v>
      </c>
      <c r="Q4540" s="5">
        <v>699</v>
      </c>
      <c r="R4540" s="74">
        <v>0.5</v>
      </c>
      <c r="S4540" s="75">
        <f>OrdersTable[[#This Row],[Quantity]]*OrdersTable[[#This Row],[Unit Price]]</f>
        <v>699</v>
      </c>
      <c r="T4540" s="5">
        <f>OrdersTable[[#This Row],[Gross Sale]]*OrdersTable[[#This Row],[Discount_Clean2]]</f>
        <v>349.5</v>
      </c>
      <c r="U4540" s="5">
        <f>OrdersTable[[#This Row],[Gross Sale]]-OrdersTable[[#This Row],[Discount Amount]]</f>
        <v>349.5</v>
      </c>
      <c r="V4540" s="77">
        <f>INDEX(Products!E:E,MATCH(OrdersTable[[#This Row],[Product ID]],Products!A:A,0))</f>
        <v>238</v>
      </c>
      <c r="W4540" s="77">
        <f>OrdersTable[[#This Row],[Quantity]]*OrdersTable[[#This Row],[Unit Cost]]</f>
        <v>238</v>
      </c>
      <c r="X4540" s="77">
        <f>'Dropdown Lists'!$I$2*(1+OrdersTable[[#This Row],[Returned]])</f>
        <v>60</v>
      </c>
      <c r="Y4540" s="76">
        <f>OrdersTable[[#This Row],[Net Revenue]]-OrdersTable[[#This Row],[COGS]]-OrdersTable[[#This Row],[Shipping Cost]]</f>
        <v>51.5</v>
      </c>
      <c r="Z4540" s="78">
        <f>IFERROR(OrdersTable[[#This Row],[Profit]]/OrdersTable[[#This Row],[Net Revenue]],0)</f>
        <v>0.14735336194563661</v>
      </c>
      <c r="AA4540" t="s">
        <v>18</v>
      </c>
      <c r="AB4540" s="79">
        <v>45988</v>
      </c>
      <c r="AC4540">
        <f>OrdersTable[[#This Row],[Delivery Date]]-OrdersTable[[#This Row],[Order Date]]</f>
        <v>4</v>
      </c>
      <c r="AD4540" t="str">
        <f>IF(OrdersTable[[#This Row],[Delivery Days]]&lt;=2, "Express (≤2d)", IF(OrdersTable[[#This Row],[Delivery Days]]&lt;=4, "Standard (3-4d)", "Delayed (5d+)"))</f>
        <v>Standard (3-4d)</v>
      </c>
      <c r="AE4540">
        <v>3</v>
      </c>
      <c r="AF4540">
        <v>0</v>
      </c>
    </row>
    <row r="4541" spans="1:32" ht="15" x14ac:dyDescent="0.35">
      <c r="A4541" t="s">
        <v>5840</v>
      </c>
      <c r="B4541" s="1">
        <v>45984</v>
      </c>
      <c r="C4541">
        <f>YEAR(OrdersTable[[#This Row],[Order Date]])</f>
        <v>2025</v>
      </c>
      <c r="D4541" s="2">
        <f>DATE(YEAR(OrdersTable[[#This Row],[Order Date]]),MONTH(OrdersTable[[#This Row],[Order Date]]),1)</f>
        <v>45962</v>
      </c>
      <c r="E4541">
        <f>MONTH(OrdersTable[[#This Row],[Order Date]])</f>
        <v>11</v>
      </c>
      <c r="F4541" t="s">
        <v>1363</v>
      </c>
      <c r="G4541" t="str">
        <f>IF(OrdersTable[[#This Row],[Order Date]]=_xlfn.MINIFS(Order_Date, Customer_ID, OrdersTable[[#This Row],[Customer ID]]), "New", "Repeat")</f>
        <v>Repeat</v>
      </c>
      <c r="H4541" t="s">
        <v>167</v>
      </c>
      <c r="I4541" t="str">
        <f>INDEX(State!B:B,MATCH(OrdersTable[[#This Row],[State]],State!A:A,0))</f>
        <v>KA</v>
      </c>
      <c r="J4541" t="str">
        <f>INDEX(State!C:C,MATCH(OrdersTable[[#This Row],[State Code]],State!B:B,0))</f>
        <v>South</v>
      </c>
      <c r="K4541" t="s">
        <v>168</v>
      </c>
      <c r="L4541" t="s">
        <v>65</v>
      </c>
      <c r="M4541" t="s">
        <v>56</v>
      </c>
      <c r="N4541" t="str">
        <f>INDEX(Products!B:B,MATCH(OrdersTable[[#This Row],[Product ID]],Products!A:A,0))</f>
        <v>Vitamin C Face Serum</v>
      </c>
      <c r="O4541" t="str">
        <f>INDEX(Products!C:C,MATCH(OrdersTable[[#This Row],[Product ID]],Products!A:A,0))</f>
        <v>Skincare</v>
      </c>
      <c r="P4541">
        <v>2</v>
      </c>
      <c r="Q4541" s="5">
        <v>599</v>
      </c>
      <c r="R4541" s="74">
        <v>0.35</v>
      </c>
      <c r="S4541" s="75">
        <f>OrdersTable[[#This Row],[Quantity]]*OrdersTable[[#This Row],[Unit Price]]</f>
        <v>1198</v>
      </c>
      <c r="T4541" s="5">
        <f>OrdersTable[[#This Row],[Gross Sale]]*OrdersTable[[#This Row],[Discount_Clean2]]</f>
        <v>419.29999999999995</v>
      </c>
      <c r="U4541" s="5">
        <f>OrdersTable[[#This Row],[Gross Sale]]-OrdersTable[[#This Row],[Discount Amount]]</f>
        <v>778.7</v>
      </c>
      <c r="V4541" s="77">
        <f>INDEX(Products!E:E,MATCH(OrdersTable[[#This Row],[Product ID]],Products!A:A,0))</f>
        <v>180</v>
      </c>
      <c r="W4541" s="77">
        <f>OrdersTable[[#This Row],[Quantity]]*OrdersTable[[#This Row],[Unit Cost]]</f>
        <v>360</v>
      </c>
      <c r="X4541" s="77">
        <f>'Dropdown Lists'!$I$2*(1+OrdersTable[[#This Row],[Returned]])</f>
        <v>60</v>
      </c>
      <c r="Y4541" s="76">
        <f>OrdersTable[[#This Row],[Net Revenue]]-OrdersTable[[#This Row],[COGS]]-OrdersTable[[#This Row],[Shipping Cost]]</f>
        <v>358.70000000000005</v>
      </c>
      <c r="Z4541" s="78">
        <f>IFERROR(OrdersTable[[#This Row],[Profit]]/OrdersTable[[#This Row],[Net Revenue]],0)</f>
        <v>0.4606395274174907</v>
      </c>
      <c r="AA4541" t="s">
        <v>18</v>
      </c>
      <c r="AB4541" s="79">
        <v>45985</v>
      </c>
      <c r="AC4541">
        <f>OrdersTable[[#This Row],[Delivery Date]]-OrdersTable[[#This Row],[Order Date]]</f>
        <v>1</v>
      </c>
      <c r="AD4541" t="str">
        <f>IF(OrdersTable[[#This Row],[Delivery Days]]&lt;=2, "Express (≤2d)", IF(OrdersTable[[#This Row],[Delivery Days]]&lt;=4, "Standard (3-4d)", "Delayed (5d+)"))</f>
        <v>Express (≤2d)</v>
      </c>
      <c r="AE4541">
        <v>5</v>
      </c>
      <c r="AF4541">
        <v>0</v>
      </c>
    </row>
    <row r="4542" spans="1:32" ht="15" x14ac:dyDescent="0.35">
      <c r="A4542" t="s">
        <v>5274</v>
      </c>
      <c r="B4542" s="1">
        <v>45984</v>
      </c>
      <c r="C4542">
        <f>YEAR(OrdersTable[[#This Row],[Order Date]])</f>
        <v>2025</v>
      </c>
      <c r="D4542" s="2">
        <f>DATE(YEAR(OrdersTable[[#This Row],[Order Date]]),MONTH(OrdersTable[[#This Row],[Order Date]]),1)</f>
        <v>45962</v>
      </c>
      <c r="E4542">
        <f>MONTH(OrdersTable[[#This Row],[Order Date]])</f>
        <v>11</v>
      </c>
      <c r="F4542" t="s">
        <v>5275</v>
      </c>
      <c r="G4542" t="str">
        <f>IF(OrdersTable[[#This Row],[Order Date]]=_xlfn.MINIFS(Order_Date, Customer_ID, OrdersTable[[#This Row],[Customer ID]]), "New", "Repeat")</f>
        <v>New</v>
      </c>
      <c r="H4542" t="s">
        <v>167</v>
      </c>
      <c r="I4542" t="str">
        <f>INDEX(State!B:B,MATCH(OrdersTable[[#This Row],[State]],State!A:A,0))</f>
        <v>KA</v>
      </c>
      <c r="J4542" t="str">
        <f>INDEX(State!C:C,MATCH(OrdersTable[[#This Row],[State Code]],State!B:B,0))</f>
        <v>South</v>
      </c>
      <c r="K4542" t="s">
        <v>190</v>
      </c>
      <c r="L4542" t="s">
        <v>65</v>
      </c>
      <c r="M4542" t="s">
        <v>205</v>
      </c>
      <c r="N4542" t="str">
        <f>INDEX(Products!B:B,MATCH(OrdersTable[[#This Row],[Product ID]],Products!A:A,0))</f>
        <v>Running Shoes</v>
      </c>
      <c r="O4542" t="str">
        <f>INDEX(Products!C:C,MATCH(OrdersTable[[#This Row],[Product ID]],Products!A:A,0))</f>
        <v>Footwear</v>
      </c>
      <c r="P4542">
        <v>2</v>
      </c>
      <c r="Q4542" s="5">
        <v>2999</v>
      </c>
      <c r="R4542" s="74">
        <v>0.35</v>
      </c>
      <c r="S4542" s="75">
        <f>OrdersTable[[#This Row],[Quantity]]*OrdersTable[[#This Row],[Unit Price]]</f>
        <v>5998</v>
      </c>
      <c r="T4542" s="5">
        <f>OrdersTable[[#This Row],[Gross Sale]]*OrdersTable[[#This Row],[Discount_Clean2]]</f>
        <v>2099.2999999999997</v>
      </c>
      <c r="U4542" s="5">
        <f>OrdersTable[[#This Row],[Gross Sale]]-OrdersTable[[#This Row],[Discount Amount]]</f>
        <v>3898.7000000000003</v>
      </c>
      <c r="V4542" s="77">
        <f>INDEX(Products!E:E,MATCH(OrdersTable[[#This Row],[Product ID]],Products!A:A,0))</f>
        <v>1440</v>
      </c>
      <c r="W4542" s="77">
        <f>OrdersTable[[#This Row],[Quantity]]*OrdersTable[[#This Row],[Unit Cost]]</f>
        <v>2880</v>
      </c>
      <c r="X4542" s="77">
        <f>'Dropdown Lists'!$I$2*(1+OrdersTable[[#This Row],[Returned]])</f>
        <v>60</v>
      </c>
      <c r="Y4542" s="76">
        <f>OrdersTable[[#This Row],[Net Revenue]]-OrdersTable[[#This Row],[COGS]]-OrdersTable[[#This Row],[Shipping Cost]]</f>
        <v>958.70000000000027</v>
      </c>
      <c r="Z4542" s="78">
        <f>IFERROR(OrdersTable[[#This Row],[Profit]]/OrdersTable[[#This Row],[Net Revenue]],0)</f>
        <v>0.24590248031395084</v>
      </c>
      <c r="AA4542" t="s">
        <v>3495</v>
      </c>
      <c r="AB4542" s="79">
        <v>45986</v>
      </c>
      <c r="AC4542">
        <f>OrdersTable[[#This Row],[Delivery Date]]-OrdersTable[[#This Row],[Order Date]]</f>
        <v>2</v>
      </c>
      <c r="AD4542" t="str">
        <f>IF(OrdersTable[[#This Row],[Delivery Days]]&lt;=2, "Express (≤2d)", IF(OrdersTable[[#This Row],[Delivery Days]]&lt;=4, "Standard (3-4d)", "Delayed (5d+)"))</f>
        <v>Express (≤2d)</v>
      </c>
      <c r="AF4542">
        <v>0</v>
      </c>
    </row>
    <row r="4543" spans="1:32" ht="15" x14ac:dyDescent="0.35">
      <c r="A4543" t="s">
        <v>6646</v>
      </c>
      <c r="B4543" s="1">
        <v>45984</v>
      </c>
      <c r="C4543">
        <f>YEAR(OrdersTable[[#This Row],[Order Date]])</f>
        <v>2025</v>
      </c>
      <c r="D4543" s="2">
        <f>DATE(YEAR(OrdersTable[[#This Row],[Order Date]]),MONTH(OrdersTable[[#This Row],[Order Date]]),1)</f>
        <v>45962</v>
      </c>
      <c r="E4543">
        <f>MONTH(OrdersTable[[#This Row],[Order Date]])</f>
        <v>11</v>
      </c>
      <c r="F4543" t="s">
        <v>390</v>
      </c>
      <c r="G4543" t="str">
        <f>IF(OrdersTable[[#This Row],[Order Date]]=_xlfn.MINIFS(Order_Date, Customer_ID, OrdersTable[[#This Row],[Customer ID]]), "New", "Repeat")</f>
        <v>Repeat</v>
      </c>
      <c r="H4543" t="s">
        <v>167</v>
      </c>
      <c r="I4543" t="str">
        <f>INDEX(State!B:B,MATCH(OrdersTable[[#This Row],[State]],State!A:A,0))</f>
        <v>KA</v>
      </c>
      <c r="J4543" t="str">
        <f>INDEX(State!C:C,MATCH(OrdersTable[[#This Row],[State Code]],State!B:B,0))</f>
        <v>South</v>
      </c>
      <c r="K4543" t="s">
        <v>168</v>
      </c>
      <c r="L4543" t="s">
        <v>65</v>
      </c>
      <c r="M4543" t="s">
        <v>17</v>
      </c>
      <c r="N4543" t="str">
        <f>INDEX(Products!B:B,MATCH(OrdersTable[[#This Row],[Product ID]],Products!A:A,0))</f>
        <v>Casual Sneakers</v>
      </c>
      <c r="O4543" t="str">
        <f>INDEX(Products!C:C,MATCH(OrdersTable[[#This Row],[Product ID]],Products!A:A,0))</f>
        <v>Footwear</v>
      </c>
      <c r="P4543">
        <v>3</v>
      </c>
      <c r="Q4543" s="5">
        <v>2199</v>
      </c>
      <c r="R4543" s="74">
        <v>0.25</v>
      </c>
      <c r="S4543" s="75">
        <f>OrdersTable[[#This Row],[Quantity]]*OrdersTable[[#This Row],[Unit Price]]</f>
        <v>6597</v>
      </c>
      <c r="T4543" s="5">
        <f>OrdersTable[[#This Row],[Gross Sale]]*OrdersTable[[#This Row],[Discount_Clean2]]</f>
        <v>1649.25</v>
      </c>
      <c r="U4543" s="5">
        <f>OrdersTable[[#This Row],[Gross Sale]]-OrdersTable[[#This Row],[Discount Amount]]</f>
        <v>4947.75</v>
      </c>
      <c r="V4543" s="77">
        <f>INDEX(Products!E:E,MATCH(OrdersTable[[#This Row],[Product ID]],Products!A:A,0))</f>
        <v>1034</v>
      </c>
      <c r="W4543" s="77">
        <f>OrdersTable[[#This Row],[Quantity]]*OrdersTable[[#This Row],[Unit Cost]]</f>
        <v>3102</v>
      </c>
      <c r="X4543" s="77">
        <f>'Dropdown Lists'!$I$2*(1+OrdersTable[[#This Row],[Returned]])</f>
        <v>60</v>
      </c>
      <c r="Y4543" s="76">
        <f>OrdersTable[[#This Row],[Net Revenue]]-OrdersTable[[#This Row],[COGS]]-OrdersTable[[#This Row],[Shipping Cost]]</f>
        <v>1785.75</v>
      </c>
      <c r="Z4543" s="78">
        <f>IFERROR(OrdersTable[[#This Row],[Profit]]/OrdersTable[[#This Row],[Net Revenue]],0)</f>
        <v>0.3609216310444141</v>
      </c>
      <c r="AA4543" t="s">
        <v>18</v>
      </c>
      <c r="AB4543" s="79">
        <v>45985</v>
      </c>
      <c r="AC4543">
        <f>OrdersTable[[#This Row],[Delivery Date]]-OrdersTable[[#This Row],[Order Date]]</f>
        <v>1</v>
      </c>
      <c r="AD4543" t="str">
        <f>IF(OrdersTable[[#This Row],[Delivery Days]]&lt;=2, "Express (≤2d)", IF(OrdersTable[[#This Row],[Delivery Days]]&lt;=4, "Standard (3-4d)", "Delayed (5d+)"))</f>
        <v>Express (≤2d)</v>
      </c>
      <c r="AF4543">
        <v>0</v>
      </c>
    </row>
    <row r="4544" spans="1:32" ht="15" x14ac:dyDescent="0.35">
      <c r="A4544" t="s">
        <v>3823</v>
      </c>
      <c r="B4544" s="1">
        <v>45984</v>
      </c>
      <c r="C4544">
        <f>YEAR(OrdersTable[[#This Row],[Order Date]])</f>
        <v>2025</v>
      </c>
      <c r="D4544" s="2">
        <f>DATE(YEAR(OrdersTable[[#This Row],[Order Date]]),MONTH(OrdersTable[[#This Row],[Order Date]]),1)</f>
        <v>45962</v>
      </c>
      <c r="E4544">
        <f>MONTH(OrdersTable[[#This Row],[Order Date]])</f>
        <v>11</v>
      </c>
      <c r="F4544" t="s">
        <v>2380</v>
      </c>
      <c r="G4544" t="str">
        <f>IF(OrdersTable[[#This Row],[Order Date]]=_xlfn.MINIFS(Order_Date, Customer_ID, OrdersTable[[#This Row],[Customer ID]]), "New", "Repeat")</f>
        <v>Repeat</v>
      </c>
      <c r="H4544" t="s">
        <v>167</v>
      </c>
      <c r="I4544" t="str">
        <f>INDEX(State!B:B,MATCH(OrdersTable[[#This Row],[State]],State!A:A,0))</f>
        <v>KA</v>
      </c>
      <c r="J4544" t="str">
        <f>INDEX(State!C:C,MATCH(OrdersTable[[#This Row],[State Code]],State!B:B,0))</f>
        <v>South</v>
      </c>
      <c r="K4544" t="s">
        <v>168</v>
      </c>
      <c r="L4544" t="s">
        <v>23</v>
      </c>
      <c r="M4544" t="s">
        <v>29</v>
      </c>
      <c r="N4544" t="str">
        <f>INDEX(Products!B:B,MATCH(OrdersTable[[#This Row],[Product ID]],Products!A:A,0))</f>
        <v>Joggers</v>
      </c>
      <c r="O4544" t="str">
        <f>INDEX(Products!C:C,MATCH(OrdersTable[[#This Row],[Product ID]],Products!A:A,0))</f>
        <v>Apparel</v>
      </c>
      <c r="P4544">
        <v>1</v>
      </c>
      <c r="Q4544" s="5">
        <v>1199</v>
      </c>
      <c r="R4544" s="74">
        <v>0.25</v>
      </c>
      <c r="S4544" s="75">
        <f>OrdersTable[[#This Row],[Quantity]]*OrdersTable[[#This Row],[Unit Price]]</f>
        <v>1199</v>
      </c>
      <c r="T4544" s="5">
        <f>OrdersTable[[#This Row],[Gross Sale]]*OrdersTable[[#This Row],[Discount_Clean2]]</f>
        <v>299.75</v>
      </c>
      <c r="U4544" s="5">
        <f>OrdersTable[[#This Row],[Gross Sale]]-OrdersTable[[#This Row],[Discount Amount]]</f>
        <v>899.25</v>
      </c>
      <c r="V4544" s="77">
        <f>INDEX(Products!E:E,MATCH(OrdersTable[[#This Row],[Product ID]],Products!A:A,0))</f>
        <v>492</v>
      </c>
      <c r="W4544" s="77">
        <f>OrdersTable[[#This Row],[Quantity]]*OrdersTable[[#This Row],[Unit Cost]]</f>
        <v>492</v>
      </c>
      <c r="X4544" s="77">
        <f>'Dropdown Lists'!$I$2*(1+OrdersTable[[#This Row],[Returned]])</f>
        <v>60</v>
      </c>
      <c r="Y4544" s="76">
        <f>OrdersTable[[#This Row],[Net Revenue]]-OrdersTable[[#This Row],[COGS]]-OrdersTable[[#This Row],[Shipping Cost]]</f>
        <v>347.25</v>
      </c>
      <c r="Z4544" s="78">
        <f>IFERROR(OrdersTable[[#This Row],[Profit]]/OrdersTable[[#This Row],[Net Revenue]],0)</f>
        <v>0.38615512927439533</v>
      </c>
      <c r="AA4544" t="s">
        <v>3495</v>
      </c>
      <c r="AB4544" s="79">
        <v>45988</v>
      </c>
      <c r="AC4544">
        <f>OrdersTable[[#This Row],[Delivery Date]]-OrdersTable[[#This Row],[Order Date]]</f>
        <v>4</v>
      </c>
      <c r="AD4544" t="str">
        <f>IF(OrdersTable[[#This Row],[Delivery Days]]&lt;=2, "Express (≤2d)", IF(OrdersTable[[#This Row],[Delivery Days]]&lt;=4, "Standard (3-4d)", "Delayed (5d+)"))</f>
        <v>Standard (3-4d)</v>
      </c>
      <c r="AF4544">
        <v>0</v>
      </c>
    </row>
    <row r="4545" spans="1:32" ht="15" x14ac:dyDescent="0.35">
      <c r="A4545" t="s">
        <v>2059</v>
      </c>
      <c r="B4545" s="1">
        <v>45984</v>
      </c>
      <c r="C4545">
        <f>YEAR(OrdersTable[[#This Row],[Order Date]])</f>
        <v>2025</v>
      </c>
      <c r="D4545" s="2">
        <f>DATE(YEAR(OrdersTable[[#This Row],[Order Date]]),MONTH(OrdersTable[[#This Row],[Order Date]]),1)</f>
        <v>45962</v>
      </c>
      <c r="E4545">
        <f>MONTH(OrdersTable[[#This Row],[Order Date]])</f>
        <v>11</v>
      </c>
      <c r="F4545" t="s">
        <v>1332</v>
      </c>
      <c r="G4545" t="str">
        <f>IF(OrdersTable[[#This Row],[Order Date]]=_xlfn.MINIFS(Order_Date, Customer_ID, OrdersTable[[#This Row],[Customer ID]]), "New", "Repeat")</f>
        <v>Repeat</v>
      </c>
      <c r="H4545" t="s">
        <v>275</v>
      </c>
      <c r="I4545" t="str">
        <f>INDEX(State!B:B,MATCH(OrdersTable[[#This Row],[State]],State!A:A,0))</f>
        <v>AP</v>
      </c>
      <c r="J4545" t="str">
        <f>INDEX(State!C:C,MATCH(OrdersTable[[#This Row],[State Code]],State!B:B,0))</f>
        <v>South</v>
      </c>
      <c r="K4545" t="s">
        <v>276</v>
      </c>
      <c r="L4545" t="s">
        <v>65</v>
      </c>
      <c r="M4545" t="s">
        <v>66</v>
      </c>
      <c r="N4545" t="str">
        <f>INDEX(Products!B:B,MATCH(OrdersTable[[#This Row],[Product ID]],Products!A:A,0))</f>
        <v>Sunscreen SPF 50</v>
      </c>
      <c r="O4545" t="str">
        <f>INDEX(Products!C:C,MATCH(OrdersTable[[#This Row],[Product ID]],Products!A:A,0))</f>
        <v>Skincare</v>
      </c>
      <c r="P4545">
        <v>1</v>
      </c>
      <c r="Q4545" s="5">
        <v>449</v>
      </c>
      <c r="R4545" s="74">
        <v>0.15</v>
      </c>
      <c r="S4545" s="75">
        <f>OrdersTable[[#This Row],[Quantity]]*OrdersTable[[#This Row],[Unit Price]]</f>
        <v>449</v>
      </c>
      <c r="T4545" s="5">
        <f>OrdersTable[[#This Row],[Gross Sale]]*OrdersTable[[#This Row],[Discount_Clean2]]</f>
        <v>67.349999999999994</v>
      </c>
      <c r="U4545" s="5">
        <f>OrdersTable[[#This Row],[Gross Sale]]-OrdersTable[[#This Row],[Discount Amount]]</f>
        <v>381.65</v>
      </c>
      <c r="V4545" s="77">
        <f>INDEX(Products!E:E,MATCH(OrdersTable[[#This Row],[Product ID]],Products!A:A,0))</f>
        <v>144</v>
      </c>
      <c r="W4545" s="77">
        <f>OrdersTable[[#This Row],[Quantity]]*OrdersTable[[#This Row],[Unit Cost]]</f>
        <v>144</v>
      </c>
      <c r="X4545" s="77">
        <f>'Dropdown Lists'!$I$2*(1+OrdersTable[[#This Row],[Returned]])</f>
        <v>120</v>
      </c>
      <c r="Y4545" s="76">
        <f>OrdersTable[[#This Row],[Net Revenue]]-OrdersTable[[#This Row],[COGS]]-OrdersTable[[#This Row],[Shipping Cost]]</f>
        <v>117.64999999999998</v>
      </c>
      <c r="Z4545" s="78">
        <f>IFERROR(OrdersTable[[#This Row],[Profit]]/OrdersTable[[#This Row],[Net Revenue]],0)</f>
        <v>0.30826673653871345</v>
      </c>
      <c r="AA4545" t="s">
        <v>18</v>
      </c>
      <c r="AB4545" s="79">
        <v>45990</v>
      </c>
      <c r="AC4545">
        <f>OrdersTable[[#This Row],[Delivery Date]]-OrdersTable[[#This Row],[Order Date]]</f>
        <v>6</v>
      </c>
      <c r="AD4545" t="str">
        <f>IF(OrdersTable[[#This Row],[Delivery Days]]&lt;=2, "Express (≤2d)", IF(OrdersTable[[#This Row],[Delivery Days]]&lt;=4, "Standard (3-4d)", "Delayed (5d+)"))</f>
        <v>Delayed (5d+)</v>
      </c>
      <c r="AE4545">
        <v>3</v>
      </c>
      <c r="AF4545">
        <v>1</v>
      </c>
    </row>
    <row r="4546" spans="1:32" ht="15" x14ac:dyDescent="0.35">
      <c r="A4546" t="s">
        <v>4884</v>
      </c>
      <c r="B4546" s="1">
        <v>45984</v>
      </c>
      <c r="C4546">
        <f>YEAR(OrdersTable[[#This Row],[Order Date]])</f>
        <v>2025</v>
      </c>
      <c r="D4546" s="2">
        <f>DATE(YEAR(OrdersTable[[#This Row],[Order Date]]),MONTH(OrdersTable[[#This Row],[Order Date]]),1)</f>
        <v>45962</v>
      </c>
      <c r="E4546">
        <f>MONTH(OrdersTable[[#This Row],[Order Date]])</f>
        <v>11</v>
      </c>
      <c r="F4546" t="s">
        <v>1580</v>
      </c>
      <c r="G4546" t="str">
        <f>IF(OrdersTable[[#This Row],[Order Date]]=_xlfn.MINIFS(Order_Date, Customer_ID, OrdersTable[[#This Row],[Customer ID]]), "New", "Repeat")</f>
        <v>Repeat</v>
      </c>
      <c r="H4546" t="s">
        <v>316</v>
      </c>
      <c r="I4546" t="str">
        <f>INDEX(State!B:B,MATCH(OrdersTable[[#This Row],[State]],State!A:A,0))</f>
        <v>KL</v>
      </c>
      <c r="J4546" t="str">
        <f>INDEX(State!C:C,MATCH(OrdersTable[[#This Row],[State Code]],State!B:B,0))</f>
        <v>South</v>
      </c>
      <c r="K4546" t="s">
        <v>317</v>
      </c>
      <c r="L4546" t="s">
        <v>23</v>
      </c>
      <c r="M4546" t="s">
        <v>34</v>
      </c>
      <c r="N4546" t="str">
        <f>INDEX(Products!B:B,MATCH(OrdersTable[[#This Row],[Product ID]],Products!A:A,0))</f>
        <v>Flip Flops</v>
      </c>
      <c r="O4546" t="str">
        <f>INDEX(Products!C:C,MATCH(OrdersTable[[#This Row],[Product ID]],Products!A:A,0))</f>
        <v>Footwear</v>
      </c>
      <c r="P4546">
        <v>2</v>
      </c>
      <c r="Q4546" s="5">
        <v>399</v>
      </c>
      <c r="R4546" s="74">
        <v>0.3</v>
      </c>
      <c r="S4546" s="75">
        <f>OrdersTable[[#This Row],[Quantity]]*OrdersTable[[#This Row],[Unit Price]]</f>
        <v>798</v>
      </c>
      <c r="T4546" s="5">
        <f>OrdersTable[[#This Row],[Gross Sale]]*OrdersTable[[#This Row],[Discount_Clean2]]</f>
        <v>239.39999999999998</v>
      </c>
      <c r="U4546" s="5">
        <f>OrdersTable[[#This Row],[Gross Sale]]-OrdersTable[[#This Row],[Discount Amount]]</f>
        <v>558.6</v>
      </c>
      <c r="V4546" s="77">
        <f>INDEX(Products!E:E,MATCH(OrdersTable[[#This Row],[Product ID]],Products!A:A,0))</f>
        <v>152</v>
      </c>
      <c r="W4546" s="77">
        <f>OrdersTable[[#This Row],[Quantity]]*OrdersTable[[#This Row],[Unit Cost]]</f>
        <v>304</v>
      </c>
      <c r="X4546" s="77">
        <f>'Dropdown Lists'!$I$2*(1+OrdersTable[[#This Row],[Returned]])</f>
        <v>60</v>
      </c>
      <c r="Y4546" s="76">
        <f>OrdersTable[[#This Row],[Net Revenue]]-OrdersTable[[#This Row],[COGS]]-OrdersTable[[#This Row],[Shipping Cost]]</f>
        <v>194.60000000000002</v>
      </c>
      <c r="Z4546" s="78">
        <f>IFERROR(OrdersTable[[#This Row],[Profit]]/OrdersTable[[#This Row],[Net Revenue]],0)</f>
        <v>0.34837092731829578</v>
      </c>
      <c r="AA4546" t="s">
        <v>4450</v>
      </c>
      <c r="AB4546" s="79">
        <v>45988</v>
      </c>
      <c r="AC4546">
        <f>OrdersTable[[#This Row],[Delivery Date]]-OrdersTable[[#This Row],[Order Date]]</f>
        <v>4</v>
      </c>
      <c r="AD4546" t="str">
        <f>IF(OrdersTable[[#This Row],[Delivery Days]]&lt;=2, "Express (≤2d)", IF(OrdersTable[[#This Row],[Delivery Days]]&lt;=4, "Standard (3-4d)", "Delayed (5d+)"))</f>
        <v>Standard (3-4d)</v>
      </c>
      <c r="AF4546">
        <v>0</v>
      </c>
    </row>
    <row r="4547" spans="1:32" ht="15" x14ac:dyDescent="0.35">
      <c r="A4547" t="s">
        <v>3689</v>
      </c>
      <c r="B4547" s="1">
        <v>45985</v>
      </c>
      <c r="C4547">
        <f>YEAR(OrdersTable[[#This Row],[Order Date]])</f>
        <v>2025</v>
      </c>
      <c r="D4547" s="2">
        <f>DATE(YEAR(OrdersTable[[#This Row],[Order Date]]),MONTH(OrdersTable[[#This Row],[Order Date]]),1)</f>
        <v>45962</v>
      </c>
      <c r="E4547">
        <f>MONTH(OrdersTable[[#This Row],[Order Date]])</f>
        <v>11</v>
      </c>
      <c r="F4547" t="s">
        <v>3690</v>
      </c>
      <c r="G4547" t="str">
        <f>IF(OrdersTable[[#This Row],[Order Date]]=_xlfn.MINIFS(Order_Date, Customer_ID, OrdersTable[[#This Row],[Customer ID]]), "New", "Repeat")</f>
        <v>New</v>
      </c>
      <c r="H4547" t="s">
        <v>158</v>
      </c>
      <c r="I4547" t="str">
        <f>INDEX(State!B:B,MATCH(OrdersTable[[#This Row],[State]],State!A:A,0))</f>
        <v>HP</v>
      </c>
      <c r="J4547" t="str">
        <f>INDEX(State!C:C,MATCH(OrdersTable[[#This Row],[State Code]],State!B:B,0))</f>
        <v>North</v>
      </c>
      <c r="K4547" t="s">
        <v>159</v>
      </c>
      <c r="L4547" t="s">
        <v>23</v>
      </c>
      <c r="M4547" t="s">
        <v>34</v>
      </c>
      <c r="N4547" t="str">
        <f>INDEX(Products!B:B,MATCH(OrdersTable[[#This Row],[Product ID]],Products!A:A,0))</f>
        <v>Flip Flops</v>
      </c>
      <c r="O4547" t="str">
        <f>INDEX(Products!C:C,MATCH(OrdersTable[[#This Row],[Product ID]],Products!A:A,0))</f>
        <v>Footwear</v>
      </c>
      <c r="P4547">
        <v>1</v>
      </c>
      <c r="Q4547" s="5">
        <v>399</v>
      </c>
      <c r="R4547" s="74">
        <v>0.25</v>
      </c>
      <c r="S4547" s="75">
        <f>OrdersTable[[#This Row],[Quantity]]*OrdersTable[[#This Row],[Unit Price]]</f>
        <v>399</v>
      </c>
      <c r="T4547" s="5">
        <f>OrdersTable[[#This Row],[Gross Sale]]*OrdersTable[[#This Row],[Discount_Clean2]]</f>
        <v>99.75</v>
      </c>
      <c r="U4547" s="5">
        <f>OrdersTable[[#This Row],[Gross Sale]]-OrdersTable[[#This Row],[Discount Amount]]</f>
        <v>299.25</v>
      </c>
      <c r="V4547" s="77">
        <f>INDEX(Products!E:E,MATCH(OrdersTable[[#This Row],[Product ID]],Products!A:A,0))</f>
        <v>152</v>
      </c>
      <c r="W4547" s="77">
        <f>OrdersTable[[#This Row],[Quantity]]*OrdersTable[[#This Row],[Unit Cost]]</f>
        <v>152</v>
      </c>
      <c r="X4547" s="77">
        <f>'Dropdown Lists'!$I$2*(1+OrdersTable[[#This Row],[Returned]])</f>
        <v>120</v>
      </c>
      <c r="Y4547" s="76">
        <f>OrdersTable[[#This Row],[Net Revenue]]-OrdersTable[[#This Row],[COGS]]-OrdersTable[[#This Row],[Shipping Cost]]</f>
        <v>27.25</v>
      </c>
      <c r="Z4547" s="78">
        <f>IFERROR(OrdersTable[[#This Row],[Profit]]/OrdersTable[[#This Row],[Net Revenue]],0)</f>
        <v>9.1060985797827898E-2</v>
      </c>
      <c r="AA4547" t="s">
        <v>3495</v>
      </c>
      <c r="AB4547" s="79">
        <v>45990</v>
      </c>
      <c r="AC4547">
        <f>OrdersTable[[#This Row],[Delivery Date]]-OrdersTable[[#This Row],[Order Date]]</f>
        <v>5</v>
      </c>
      <c r="AD4547" t="str">
        <f>IF(OrdersTable[[#This Row],[Delivery Days]]&lt;=2, "Express (≤2d)", IF(OrdersTable[[#This Row],[Delivery Days]]&lt;=4, "Standard (3-4d)", "Delayed (5d+)"))</f>
        <v>Delayed (5d+)</v>
      </c>
      <c r="AE4547">
        <v>4</v>
      </c>
      <c r="AF4547">
        <v>1</v>
      </c>
    </row>
    <row r="4548" spans="1:32" ht="15" x14ac:dyDescent="0.35">
      <c r="A4548" t="s">
        <v>6440</v>
      </c>
      <c r="B4548" s="1">
        <v>45985</v>
      </c>
      <c r="C4548">
        <f>YEAR(OrdersTable[[#This Row],[Order Date]])</f>
        <v>2025</v>
      </c>
      <c r="D4548" s="2">
        <f>DATE(YEAR(OrdersTable[[#This Row],[Order Date]]),MONTH(OrdersTable[[#This Row],[Order Date]]),1)</f>
        <v>45962</v>
      </c>
      <c r="E4548">
        <f>MONTH(OrdersTable[[#This Row],[Order Date]])</f>
        <v>11</v>
      </c>
      <c r="F4548" t="s">
        <v>204</v>
      </c>
      <c r="G4548" t="str">
        <f>IF(OrdersTable[[#This Row],[Order Date]]=_xlfn.MINIFS(Order_Date, Customer_ID, OrdersTable[[#This Row],[Customer ID]]), "New", "Repeat")</f>
        <v>Repeat</v>
      </c>
      <c r="H4548" t="s">
        <v>184</v>
      </c>
      <c r="I4548" t="str">
        <f>INDEX(State!B:B,MATCH(OrdersTable[[#This Row],[State]],State!A:A,0))</f>
        <v>UK</v>
      </c>
      <c r="J4548" t="str">
        <f>INDEX(State!C:C,MATCH(OrdersTable[[#This Row],[State Code]],State!B:B,0))</f>
        <v>North</v>
      </c>
      <c r="K4548" t="s">
        <v>185</v>
      </c>
      <c r="L4548" t="s">
        <v>65</v>
      </c>
      <c r="M4548" t="s">
        <v>160</v>
      </c>
      <c r="N4548" t="str">
        <f>INDEX(Products!B:B,MATCH(OrdersTable[[#This Row],[Product ID]],Products!A:A,0))</f>
        <v>Niacinamide Toner</v>
      </c>
      <c r="O4548" t="str">
        <f>INDEX(Products!C:C,MATCH(OrdersTable[[#This Row],[Product ID]],Products!A:A,0))</f>
        <v>Skincare</v>
      </c>
      <c r="P4548">
        <v>2</v>
      </c>
      <c r="Q4548" s="5">
        <v>399</v>
      </c>
      <c r="R4548" s="74">
        <v>0.25</v>
      </c>
      <c r="S4548" s="75">
        <f>OrdersTable[[#This Row],[Quantity]]*OrdersTable[[#This Row],[Unit Price]]</f>
        <v>798</v>
      </c>
      <c r="T4548" s="5">
        <f>OrdersTable[[#This Row],[Gross Sale]]*OrdersTable[[#This Row],[Discount_Clean2]]</f>
        <v>199.5</v>
      </c>
      <c r="U4548" s="5">
        <f>OrdersTable[[#This Row],[Gross Sale]]-OrdersTable[[#This Row],[Discount Amount]]</f>
        <v>598.5</v>
      </c>
      <c r="V4548" s="77">
        <f>INDEX(Products!E:E,MATCH(OrdersTable[[#This Row],[Product ID]],Products!A:A,0))</f>
        <v>112</v>
      </c>
      <c r="W4548" s="77">
        <f>OrdersTable[[#This Row],[Quantity]]*OrdersTable[[#This Row],[Unit Cost]]</f>
        <v>224</v>
      </c>
      <c r="X4548" s="77">
        <f>'Dropdown Lists'!$I$2*(1+OrdersTable[[#This Row],[Returned]])</f>
        <v>60</v>
      </c>
      <c r="Y4548" s="76">
        <f>OrdersTable[[#This Row],[Net Revenue]]-OrdersTable[[#This Row],[COGS]]-OrdersTable[[#This Row],[Shipping Cost]]</f>
        <v>314.5</v>
      </c>
      <c r="Z4548" s="78">
        <f>IFERROR(OrdersTable[[#This Row],[Profit]]/OrdersTable[[#This Row],[Net Revenue]],0)</f>
        <v>0.52548036758563077</v>
      </c>
      <c r="AA4548" t="s">
        <v>18</v>
      </c>
      <c r="AB4548" s="79">
        <v>45990</v>
      </c>
      <c r="AC4548">
        <f>OrdersTable[[#This Row],[Delivery Date]]-OrdersTable[[#This Row],[Order Date]]</f>
        <v>5</v>
      </c>
      <c r="AD4548" t="str">
        <f>IF(OrdersTable[[#This Row],[Delivery Days]]&lt;=2, "Express (≤2d)", IF(OrdersTable[[#This Row],[Delivery Days]]&lt;=4, "Standard (3-4d)", "Delayed (5d+)"))</f>
        <v>Delayed (5d+)</v>
      </c>
      <c r="AE4548">
        <v>4</v>
      </c>
      <c r="AF4548">
        <v>0</v>
      </c>
    </row>
    <row r="4549" spans="1:32" ht="15" x14ac:dyDescent="0.35">
      <c r="A4549" t="s">
        <v>5276</v>
      </c>
      <c r="B4549" s="1">
        <v>45985</v>
      </c>
      <c r="C4549">
        <f>YEAR(OrdersTable[[#This Row],[Order Date]])</f>
        <v>2025</v>
      </c>
      <c r="D4549" s="2">
        <f>DATE(YEAR(OrdersTable[[#This Row],[Order Date]]),MONTH(OrdersTable[[#This Row],[Order Date]]),1)</f>
        <v>45962</v>
      </c>
      <c r="E4549">
        <f>MONTH(OrdersTable[[#This Row],[Order Date]])</f>
        <v>11</v>
      </c>
      <c r="F4549" t="s">
        <v>3164</v>
      </c>
      <c r="G4549" t="str">
        <f>IF(OrdersTable[[#This Row],[Order Date]]=_xlfn.MINIFS(Order_Date, Customer_ID, OrdersTable[[#This Row],[Customer ID]]), "New", "Repeat")</f>
        <v>Repeat</v>
      </c>
      <c r="H4549" t="s">
        <v>76</v>
      </c>
      <c r="I4549" t="str">
        <f>INDEX(State!B:B,MATCH(OrdersTable[[#This Row],[State]],State!A:A,0))</f>
        <v>UP</v>
      </c>
      <c r="J4549" t="str">
        <f>INDEX(State!C:C,MATCH(OrdersTable[[#This Row],[State Code]],State!B:B,0))</f>
        <v>North</v>
      </c>
      <c r="K4549" t="s">
        <v>105</v>
      </c>
      <c r="L4549" t="s">
        <v>65</v>
      </c>
      <c r="M4549" t="s">
        <v>34</v>
      </c>
      <c r="N4549" t="str">
        <f>INDEX(Products!B:B,MATCH(OrdersTable[[#This Row],[Product ID]],Products!A:A,0))</f>
        <v>Flip Flops</v>
      </c>
      <c r="O4549" t="str">
        <f>INDEX(Products!C:C,MATCH(OrdersTable[[#This Row],[Product ID]],Products!A:A,0))</f>
        <v>Footwear</v>
      </c>
      <c r="P4549">
        <v>2</v>
      </c>
      <c r="Q4549" s="5">
        <v>399</v>
      </c>
      <c r="R4549" s="74">
        <v>0.4</v>
      </c>
      <c r="S4549" s="75">
        <f>OrdersTable[[#This Row],[Quantity]]*OrdersTable[[#This Row],[Unit Price]]</f>
        <v>798</v>
      </c>
      <c r="T4549" s="5">
        <f>OrdersTable[[#This Row],[Gross Sale]]*OrdersTable[[#This Row],[Discount_Clean2]]</f>
        <v>319.20000000000005</v>
      </c>
      <c r="U4549" s="5">
        <f>OrdersTable[[#This Row],[Gross Sale]]-OrdersTable[[#This Row],[Discount Amount]]</f>
        <v>478.79999999999995</v>
      </c>
      <c r="V4549" s="77">
        <f>INDEX(Products!E:E,MATCH(OrdersTable[[#This Row],[Product ID]],Products!A:A,0))</f>
        <v>152</v>
      </c>
      <c r="W4549" s="77">
        <f>OrdersTable[[#This Row],[Quantity]]*OrdersTable[[#This Row],[Unit Cost]]</f>
        <v>304</v>
      </c>
      <c r="X4549" s="77">
        <f>'Dropdown Lists'!$I$2*(1+OrdersTable[[#This Row],[Returned]])</f>
        <v>60</v>
      </c>
      <c r="Y4549" s="76">
        <f>OrdersTable[[#This Row],[Net Revenue]]-OrdersTable[[#This Row],[COGS]]-OrdersTable[[#This Row],[Shipping Cost]]</f>
        <v>114.79999999999995</v>
      </c>
      <c r="Z4549" s="78">
        <f>IFERROR(OrdersTable[[#This Row],[Profit]]/OrdersTable[[#This Row],[Net Revenue]],0)</f>
        <v>0.23976608187134496</v>
      </c>
      <c r="AA4549" t="s">
        <v>3495</v>
      </c>
      <c r="AB4549" s="79">
        <v>45990</v>
      </c>
      <c r="AC4549">
        <f>OrdersTable[[#This Row],[Delivery Date]]-OrdersTable[[#This Row],[Order Date]]</f>
        <v>5</v>
      </c>
      <c r="AD4549" t="str">
        <f>IF(OrdersTable[[#This Row],[Delivery Days]]&lt;=2, "Express (≤2d)", IF(OrdersTable[[#This Row],[Delivery Days]]&lt;=4, "Standard (3-4d)", "Delayed (5d+)"))</f>
        <v>Delayed (5d+)</v>
      </c>
      <c r="AE4549">
        <v>3</v>
      </c>
      <c r="AF4549">
        <v>0</v>
      </c>
    </row>
    <row r="4550" spans="1:32" ht="15" x14ac:dyDescent="0.35">
      <c r="A4550" t="s">
        <v>6233</v>
      </c>
      <c r="B4550" s="1">
        <v>45985</v>
      </c>
      <c r="C4550">
        <f>YEAR(OrdersTable[[#This Row],[Order Date]])</f>
        <v>2025</v>
      </c>
      <c r="D4550" s="2">
        <f>DATE(YEAR(OrdersTable[[#This Row],[Order Date]]),MONTH(OrdersTable[[#This Row],[Order Date]]),1)</f>
        <v>45962</v>
      </c>
      <c r="E4550">
        <f>MONTH(OrdersTable[[#This Row],[Order Date]])</f>
        <v>11</v>
      </c>
      <c r="F4550" t="s">
        <v>1573</v>
      </c>
      <c r="G4550" t="str">
        <f>IF(OrdersTable[[#This Row],[Order Date]]=_xlfn.MINIFS(Order_Date, Customer_ID, OrdersTable[[#This Row],[Customer ID]]), "New", "Repeat")</f>
        <v>Repeat</v>
      </c>
      <c r="H4550" t="s">
        <v>43</v>
      </c>
      <c r="I4550" t="str">
        <f>INDEX(State!B:B,MATCH(OrdersTable[[#This Row],[State]],State!A:A,0))</f>
        <v>MP</v>
      </c>
      <c r="J4550" t="str">
        <f>INDEX(State!C:C,MATCH(OrdersTable[[#This Row],[State Code]],State!B:B,0))</f>
        <v>West</v>
      </c>
      <c r="K4550" t="s">
        <v>44</v>
      </c>
      <c r="L4550" t="s">
        <v>16</v>
      </c>
      <c r="M4550" t="s">
        <v>29</v>
      </c>
      <c r="N4550" t="str">
        <f>INDEX(Products!B:B,MATCH(OrdersTable[[#This Row],[Product ID]],Products!A:A,0))</f>
        <v>Joggers</v>
      </c>
      <c r="O4550" t="str">
        <f>INDEX(Products!C:C,MATCH(OrdersTable[[#This Row],[Product ID]],Products!A:A,0))</f>
        <v>Apparel</v>
      </c>
      <c r="P4550">
        <v>2</v>
      </c>
      <c r="Q4550" s="5">
        <v>1199</v>
      </c>
      <c r="R4550" s="74">
        <v>0.3</v>
      </c>
      <c r="S4550" s="75">
        <f>OrdersTable[[#This Row],[Quantity]]*OrdersTable[[#This Row],[Unit Price]]</f>
        <v>2398</v>
      </c>
      <c r="T4550" s="5">
        <f>OrdersTable[[#This Row],[Gross Sale]]*OrdersTable[[#This Row],[Discount_Clean2]]</f>
        <v>719.4</v>
      </c>
      <c r="U4550" s="5">
        <f>OrdersTable[[#This Row],[Gross Sale]]-OrdersTable[[#This Row],[Discount Amount]]</f>
        <v>1678.6</v>
      </c>
      <c r="V4550" s="77">
        <f>INDEX(Products!E:E,MATCH(OrdersTable[[#This Row],[Product ID]],Products!A:A,0))</f>
        <v>492</v>
      </c>
      <c r="W4550" s="77">
        <f>OrdersTable[[#This Row],[Quantity]]*OrdersTable[[#This Row],[Unit Cost]]</f>
        <v>984</v>
      </c>
      <c r="X4550" s="77">
        <f>'Dropdown Lists'!$I$2*(1+OrdersTable[[#This Row],[Returned]])</f>
        <v>60</v>
      </c>
      <c r="Y4550" s="76">
        <f>OrdersTable[[#This Row],[Net Revenue]]-OrdersTable[[#This Row],[COGS]]-OrdersTable[[#This Row],[Shipping Cost]]</f>
        <v>634.59999999999991</v>
      </c>
      <c r="Z4550" s="78">
        <f>IFERROR(OrdersTable[[#This Row],[Profit]]/OrdersTable[[#This Row],[Net Revenue]],0)</f>
        <v>0.37805313952102937</v>
      </c>
      <c r="AA4550" t="s">
        <v>18</v>
      </c>
      <c r="AB4550" s="79">
        <v>45989</v>
      </c>
      <c r="AC4550">
        <f>OrdersTable[[#This Row],[Delivery Date]]-OrdersTable[[#This Row],[Order Date]]</f>
        <v>4</v>
      </c>
      <c r="AD4550" t="str">
        <f>IF(OrdersTable[[#This Row],[Delivery Days]]&lt;=2, "Express (≤2d)", IF(OrdersTable[[#This Row],[Delivery Days]]&lt;=4, "Standard (3-4d)", "Delayed (5d+)"))</f>
        <v>Standard (3-4d)</v>
      </c>
      <c r="AE4550">
        <v>4</v>
      </c>
      <c r="AF4550">
        <v>0</v>
      </c>
    </row>
    <row r="4551" spans="1:32" ht="15" x14ac:dyDescent="0.35">
      <c r="A4551" t="s">
        <v>6441</v>
      </c>
      <c r="B4551" s="1">
        <v>45985</v>
      </c>
      <c r="C4551">
        <f>YEAR(OrdersTable[[#This Row],[Order Date]])</f>
        <v>2025</v>
      </c>
      <c r="D4551" s="2">
        <f>DATE(YEAR(OrdersTable[[#This Row],[Order Date]]),MONTH(OrdersTable[[#This Row],[Order Date]]),1)</f>
        <v>45962</v>
      </c>
      <c r="E4551">
        <f>MONTH(OrdersTable[[#This Row],[Order Date]])</f>
        <v>11</v>
      </c>
      <c r="F4551" t="s">
        <v>1368</v>
      </c>
      <c r="G4551" t="str">
        <f>IF(OrdersTable[[#This Row],[Order Date]]=_xlfn.MINIFS(Order_Date, Customer_ID, OrdersTable[[#This Row],[Customer ID]]), "New", "Repeat")</f>
        <v>Repeat</v>
      </c>
      <c r="H4551" t="s">
        <v>123</v>
      </c>
      <c r="I4551" t="str">
        <f>INDEX(State!B:B,MATCH(OrdersTable[[#This Row],[State]],State!A:A,0))</f>
        <v>JH</v>
      </c>
      <c r="J4551" t="str">
        <f>INDEX(State!C:C,MATCH(OrdersTable[[#This Row],[State Code]],State!B:B,0))</f>
        <v>East</v>
      </c>
      <c r="K4551" t="s">
        <v>124</v>
      </c>
      <c r="L4551" t="s">
        <v>50</v>
      </c>
      <c r="M4551" t="s">
        <v>160</v>
      </c>
      <c r="N4551" t="str">
        <f>INDEX(Products!B:B,MATCH(OrdersTable[[#This Row],[Product ID]],Products!A:A,0))</f>
        <v>Niacinamide Toner</v>
      </c>
      <c r="O4551" t="str">
        <f>INDEX(Products!C:C,MATCH(OrdersTable[[#This Row],[Product ID]],Products!A:A,0))</f>
        <v>Skincare</v>
      </c>
      <c r="P4551">
        <v>2</v>
      </c>
      <c r="Q4551" s="5">
        <v>399</v>
      </c>
      <c r="R4551" s="74">
        <v>0.4</v>
      </c>
      <c r="S4551" s="75">
        <f>OrdersTable[[#This Row],[Quantity]]*OrdersTable[[#This Row],[Unit Price]]</f>
        <v>798</v>
      </c>
      <c r="T4551" s="5">
        <f>OrdersTable[[#This Row],[Gross Sale]]*OrdersTable[[#This Row],[Discount_Clean2]]</f>
        <v>319.20000000000005</v>
      </c>
      <c r="U4551" s="5">
        <f>OrdersTable[[#This Row],[Gross Sale]]-OrdersTable[[#This Row],[Discount Amount]]</f>
        <v>478.79999999999995</v>
      </c>
      <c r="V4551" s="77">
        <f>INDEX(Products!E:E,MATCH(OrdersTable[[#This Row],[Product ID]],Products!A:A,0))</f>
        <v>112</v>
      </c>
      <c r="W4551" s="77">
        <f>OrdersTable[[#This Row],[Quantity]]*OrdersTable[[#This Row],[Unit Cost]]</f>
        <v>224</v>
      </c>
      <c r="X4551" s="77">
        <f>'Dropdown Lists'!$I$2*(1+OrdersTable[[#This Row],[Returned]])</f>
        <v>60</v>
      </c>
      <c r="Y4551" s="76">
        <f>OrdersTable[[#This Row],[Net Revenue]]-OrdersTable[[#This Row],[COGS]]-OrdersTable[[#This Row],[Shipping Cost]]</f>
        <v>194.79999999999995</v>
      </c>
      <c r="Z4551" s="78">
        <f>IFERROR(OrdersTable[[#This Row],[Profit]]/OrdersTable[[#This Row],[Net Revenue]],0)</f>
        <v>0.40685045948203835</v>
      </c>
      <c r="AA4551" t="s">
        <v>18</v>
      </c>
      <c r="AB4551" s="79">
        <v>45990</v>
      </c>
      <c r="AC4551">
        <f>OrdersTable[[#This Row],[Delivery Date]]-OrdersTable[[#This Row],[Order Date]]</f>
        <v>5</v>
      </c>
      <c r="AD4551" t="str">
        <f>IF(OrdersTable[[#This Row],[Delivery Days]]&lt;=2, "Express (≤2d)", IF(OrdersTable[[#This Row],[Delivery Days]]&lt;=4, "Standard (3-4d)", "Delayed (5d+)"))</f>
        <v>Delayed (5d+)</v>
      </c>
      <c r="AF4551">
        <v>0</v>
      </c>
    </row>
    <row r="4552" spans="1:32" ht="15" x14ac:dyDescent="0.35">
      <c r="A4552" t="s">
        <v>6026</v>
      </c>
      <c r="B4552" s="1">
        <v>45985</v>
      </c>
      <c r="C4552">
        <f>YEAR(OrdersTable[[#This Row],[Order Date]])</f>
        <v>2025</v>
      </c>
      <c r="D4552" s="2">
        <f>DATE(YEAR(OrdersTable[[#This Row],[Order Date]]),MONTH(OrdersTable[[#This Row],[Order Date]]),1)</f>
        <v>45962</v>
      </c>
      <c r="E4552">
        <f>MONTH(OrdersTable[[#This Row],[Order Date]])</f>
        <v>11</v>
      </c>
      <c r="F4552" t="s">
        <v>6027</v>
      </c>
      <c r="G4552" t="str">
        <f>IF(OrdersTable[[#This Row],[Order Date]]=_xlfn.MINIFS(Order_Date, Customer_ID, OrdersTable[[#This Row],[Customer ID]]), "New", "Repeat")</f>
        <v>New</v>
      </c>
      <c r="H4552" t="s">
        <v>27</v>
      </c>
      <c r="I4552" t="str">
        <f>INDEX(State!B:B,MATCH(OrdersTable[[#This Row],[State]],State!A:A,0))</f>
        <v>WB</v>
      </c>
      <c r="J4552" t="str">
        <f>INDEX(State!C:C,MATCH(OrdersTable[[#This Row],[State Code]],State!B:B,0))</f>
        <v>East</v>
      </c>
      <c r="K4552" t="s">
        <v>28</v>
      </c>
      <c r="L4552" t="s">
        <v>23</v>
      </c>
      <c r="M4552" t="s">
        <v>148</v>
      </c>
      <c r="N4552" t="str">
        <f>INDEX(Products!B:B,MATCH(OrdersTable[[#This Row],[Product ID]],Products!A:A,0))</f>
        <v>Smartwatch Strap</v>
      </c>
      <c r="O4552" t="str">
        <f>INDEX(Products!C:C,MATCH(OrdersTable[[#This Row],[Product ID]],Products!A:A,0))</f>
        <v>Electronics</v>
      </c>
      <c r="P4552">
        <v>2</v>
      </c>
      <c r="Q4552" s="5">
        <v>499</v>
      </c>
      <c r="R4552" s="74">
        <v>0.4</v>
      </c>
      <c r="S4552" s="75">
        <f>OrdersTable[[#This Row],[Quantity]]*OrdersTable[[#This Row],[Unit Price]]</f>
        <v>998</v>
      </c>
      <c r="T4552" s="5">
        <f>OrdersTable[[#This Row],[Gross Sale]]*OrdersTable[[#This Row],[Discount_Clean2]]</f>
        <v>399.20000000000005</v>
      </c>
      <c r="U4552" s="5">
        <f>OrdersTable[[#This Row],[Gross Sale]]-OrdersTable[[#This Row],[Discount Amount]]</f>
        <v>598.79999999999995</v>
      </c>
      <c r="V4552" s="77">
        <f>INDEX(Products!E:E,MATCH(OrdersTable[[#This Row],[Product ID]],Products!A:A,0))</f>
        <v>200</v>
      </c>
      <c r="W4552" s="77">
        <f>OrdersTable[[#This Row],[Quantity]]*OrdersTable[[#This Row],[Unit Cost]]</f>
        <v>400</v>
      </c>
      <c r="X4552" s="77">
        <f>'Dropdown Lists'!$I$2*(1+OrdersTable[[#This Row],[Returned]])</f>
        <v>60</v>
      </c>
      <c r="Y4552" s="76">
        <f>OrdersTable[[#This Row],[Net Revenue]]-OrdersTable[[#This Row],[COGS]]-OrdersTable[[#This Row],[Shipping Cost]]</f>
        <v>138.79999999999995</v>
      </c>
      <c r="Z4552" s="78">
        <f>IFERROR(OrdersTable[[#This Row],[Profit]]/OrdersTable[[#This Row],[Net Revenue]],0)</f>
        <v>0.2317969271877087</v>
      </c>
      <c r="AA4552" t="s">
        <v>18</v>
      </c>
      <c r="AB4552" s="79">
        <v>45990</v>
      </c>
      <c r="AC4552">
        <f>OrdersTable[[#This Row],[Delivery Date]]-OrdersTable[[#This Row],[Order Date]]</f>
        <v>5</v>
      </c>
      <c r="AD4552" t="str">
        <f>IF(OrdersTable[[#This Row],[Delivery Days]]&lt;=2, "Express (≤2d)", IF(OrdersTable[[#This Row],[Delivery Days]]&lt;=4, "Standard (3-4d)", "Delayed (5d+)"))</f>
        <v>Delayed (5d+)</v>
      </c>
      <c r="AF4552">
        <v>0</v>
      </c>
    </row>
    <row r="4553" spans="1:32" ht="15" x14ac:dyDescent="0.35">
      <c r="A4553" t="s">
        <v>1451</v>
      </c>
      <c r="B4553" s="1">
        <v>45985</v>
      </c>
      <c r="C4553">
        <f>YEAR(OrdersTable[[#This Row],[Order Date]])</f>
        <v>2025</v>
      </c>
      <c r="D4553" s="2">
        <f>DATE(YEAR(OrdersTable[[#This Row],[Order Date]]),MONTH(OrdersTable[[#This Row],[Order Date]]),1)</f>
        <v>45962</v>
      </c>
      <c r="E4553">
        <f>MONTH(OrdersTable[[#This Row],[Order Date]])</f>
        <v>11</v>
      </c>
      <c r="F4553" t="s">
        <v>1452</v>
      </c>
      <c r="G4553" t="str">
        <f>IF(OrdersTable[[#This Row],[Order Date]]=_xlfn.MINIFS(Order_Date, Customer_ID, OrdersTable[[#This Row],[Customer ID]]), "New", "Repeat")</f>
        <v>Repeat</v>
      </c>
      <c r="H4553" t="s">
        <v>95</v>
      </c>
      <c r="I4553" t="str">
        <f>INDEX(State!B:B,MATCH(OrdersTable[[#This Row],[State]],State!A:A,0))</f>
        <v>TG</v>
      </c>
      <c r="J4553" t="str">
        <f>INDEX(State!C:C,MATCH(OrdersTable[[#This Row],[State Code]],State!B:B,0))</f>
        <v>South</v>
      </c>
      <c r="K4553" t="s">
        <v>96</v>
      </c>
      <c r="L4553" t="s">
        <v>23</v>
      </c>
      <c r="M4553" t="s">
        <v>87</v>
      </c>
      <c r="N4553" t="str">
        <f>INDEX(Products!B:B,MATCH(OrdersTable[[#This Row],[Product ID]],Products!A:A,0))</f>
        <v>Linen Kurta</v>
      </c>
      <c r="O4553" t="str">
        <f>INDEX(Products!C:C,MATCH(OrdersTable[[#This Row],[Product ID]],Products!A:A,0))</f>
        <v>Apparel</v>
      </c>
      <c r="P4553">
        <v>1</v>
      </c>
      <c r="Q4553" s="5">
        <v>1499</v>
      </c>
      <c r="R4553" s="74">
        <v>0.35</v>
      </c>
      <c r="S4553" s="75">
        <f>OrdersTable[[#This Row],[Quantity]]*OrdersTable[[#This Row],[Unit Price]]</f>
        <v>1499</v>
      </c>
      <c r="T4553" s="5">
        <f>OrdersTable[[#This Row],[Gross Sale]]*OrdersTable[[#This Row],[Discount_Clean2]]</f>
        <v>524.65</v>
      </c>
      <c r="U4553" s="5">
        <f>OrdersTable[[#This Row],[Gross Sale]]-OrdersTable[[#This Row],[Discount Amount]]</f>
        <v>974.35</v>
      </c>
      <c r="V4553" s="77">
        <f>INDEX(Products!E:E,MATCH(OrdersTable[[#This Row],[Product ID]],Products!A:A,0))</f>
        <v>630</v>
      </c>
      <c r="W4553" s="77">
        <f>OrdersTable[[#This Row],[Quantity]]*OrdersTable[[#This Row],[Unit Cost]]</f>
        <v>630</v>
      </c>
      <c r="X4553" s="77">
        <f>'Dropdown Lists'!$I$2*(1+OrdersTable[[#This Row],[Returned]])</f>
        <v>60</v>
      </c>
      <c r="Y4553" s="76">
        <f>OrdersTable[[#This Row],[Net Revenue]]-OrdersTable[[#This Row],[COGS]]-OrdersTable[[#This Row],[Shipping Cost]]</f>
        <v>284.35000000000002</v>
      </c>
      <c r="Z4553" s="78">
        <f>IFERROR(OrdersTable[[#This Row],[Profit]]/OrdersTable[[#This Row],[Net Revenue]],0)</f>
        <v>0.29183558269615645</v>
      </c>
      <c r="AA4553" t="s">
        <v>18</v>
      </c>
      <c r="AB4553" s="79">
        <v>45987</v>
      </c>
      <c r="AC4553">
        <f>OrdersTable[[#This Row],[Delivery Date]]-OrdersTable[[#This Row],[Order Date]]</f>
        <v>2</v>
      </c>
      <c r="AD4553" t="str">
        <f>IF(OrdersTable[[#This Row],[Delivery Days]]&lt;=2, "Express (≤2d)", IF(OrdersTable[[#This Row],[Delivery Days]]&lt;=4, "Standard (3-4d)", "Delayed (5d+)"))</f>
        <v>Express (≤2d)</v>
      </c>
      <c r="AF4553">
        <v>0</v>
      </c>
    </row>
    <row r="4554" spans="1:32" ht="15" x14ac:dyDescent="0.35">
      <c r="A4554" t="s">
        <v>4198</v>
      </c>
      <c r="B4554" s="1">
        <v>45985</v>
      </c>
      <c r="C4554">
        <f>YEAR(OrdersTable[[#This Row],[Order Date]])</f>
        <v>2025</v>
      </c>
      <c r="D4554" s="2">
        <f>DATE(YEAR(OrdersTable[[#This Row],[Order Date]]),MONTH(OrdersTable[[#This Row],[Order Date]]),1)</f>
        <v>45962</v>
      </c>
      <c r="E4554">
        <f>MONTH(OrdersTable[[#This Row],[Order Date]])</f>
        <v>11</v>
      </c>
      <c r="F4554" t="s">
        <v>3251</v>
      </c>
      <c r="G4554" t="str">
        <f>IF(OrdersTable[[#This Row],[Order Date]]=_xlfn.MINIFS(Order_Date, Customer_ID, OrdersTable[[#This Row],[Customer ID]]), "New", "Repeat")</f>
        <v>Repeat</v>
      </c>
      <c r="H4554" t="s">
        <v>95</v>
      </c>
      <c r="I4554" t="str">
        <f>INDEX(State!B:B,MATCH(OrdersTable[[#This Row],[State]],State!A:A,0))</f>
        <v>TG</v>
      </c>
      <c r="J4554" t="str">
        <f>INDEX(State!C:C,MATCH(OrdersTable[[#This Row],[State Code]],State!B:B,0))</f>
        <v>South</v>
      </c>
      <c r="K4554" t="s">
        <v>96</v>
      </c>
      <c r="L4554" t="s">
        <v>16</v>
      </c>
      <c r="M4554" t="s">
        <v>92</v>
      </c>
      <c r="N4554" t="str">
        <f>INDEX(Products!B:B,MATCH(OrdersTable[[#This Row],[Product ID]],Products!A:A,0))</f>
        <v>Kolhapuri Sandals</v>
      </c>
      <c r="O4554" t="str">
        <f>INDEX(Products!C:C,MATCH(OrdersTable[[#This Row],[Product ID]],Products!A:A,0))</f>
        <v>Footwear</v>
      </c>
      <c r="P4554">
        <v>1</v>
      </c>
      <c r="Q4554" s="5">
        <v>999</v>
      </c>
      <c r="R4554" s="74">
        <v>0.2</v>
      </c>
      <c r="S4554" s="75">
        <f>OrdersTable[[#This Row],[Quantity]]*OrdersTable[[#This Row],[Unit Price]]</f>
        <v>999</v>
      </c>
      <c r="T4554" s="5">
        <f>OrdersTable[[#This Row],[Gross Sale]]*OrdersTable[[#This Row],[Discount_Clean2]]</f>
        <v>199.8</v>
      </c>
      <c r="U4554" s="5">
        <f>OrdersTable[[#This Row],[Gross Sale]]-OrdersTable[[#This Row],[Discount Amount]]</f>
        <v>799.2</v>
      </c>
      <c r="V4554" s="77">
        <f>INDEX(Products!E:E,MATCH(OrdersTable[[#This Row],[Product ID]],Products!A:A,0))</f>
        <v>400</v>
      </c>
      <c r="W4554" s="77">
        <f>OrdersTable[[#This Row],[Quantity]]*OrdersTable[[#This Row],[Unit Cost]]</f>
        <v>400</v>
      </c>
      <c r="X4554" s="77">
        <f>'Dropdown Lists'!$I$2*(1+OrdersTable[[#This Row],[Returned]])</f>
        <v>60</v>
      </c>
      <c r="Y4554" s="76">
        <f>OrdersTable[[#This Row],[Net Revenue]]-OrdersTable[[#This Row],[COGS]]-OrdersTable[[#This Row],[Shipping Cost]]</f>
        <v>339.20000000000005</v>
      </c>
      <c r="Z4554" s="78">
        <f>IFERROR(OrdersTable[[#This Row],[Profit]]/OrdersTable[[#This Row],[Net Revenue]],0)</f>
        <v>0.42442442442442446</v>
      </c>
      <c r="AA4554" t="s">
        <v>4074</v>
      </c>
      <c r="AB4554" s="79">
        <v>45988</v>
      </c>
      <c r="AC4554">
        <f>OrdersTable[[#This Row],[Delivery Date]]-OrdersTable[[#This Row],[Order Date]]</f>
        <v>3</v>
      </c>
      <c r="AD4554" t="str">
        <f>IF(OrdersTable[[#This Row],[Delivery Days]]&lt;=2, "Express (≤2d)", IF(OrdersTable[[#This Row],[Delivery Days]]&lt;=4, "Standard (3-4d)", "Delayed (5d+)"))</f>
        <v>Standard (3-4d)</v>
      </c>
      <c r="AE4554">
        <v>5</v>
      </c>
      <c r="AF4554">
        <v>0</v>
      </c>
    </row>
    <row r="4555" spans="1:32" ht="15" x14ac:dyDescent="0.35">
      <c r="A4555" t="s">
        <v>6647</v>
      </c>
      <c r="B4555" s="1">
        <v>45985</v>
      </c>
      <c r="C4555">
        <f>YEAR(OrdersTable[[#This Row],[Order Date]])</f>
        <v>2025</v>
      </c>
      <c r="D4555" s="2">
        <f>DATE(YEAR(OrdersTable[[#This Row],[Order Date]]),MONTH(OrdersTable[[#This Row],[Order Date]]),1)</f>
        <v>45962</v>
      </c>
      <c r="E4555">
        <f>MONTH(OrdersTable[[#This Row],[Order Date]])</f>
        <v>11</v>
      </c>
      <c r="F4555" t="s">
        <v>1541</v>
      </c>
      <c r="G4555" t="str">
        <f>IF(OrdersTable[[#This Row],[Order Date]]=_xlfn.MINIFS(Order_Date, Customer_ID, OrdersTable[[#This Row],[Customer ID]]), "New", "Repeat")</f>
        <v>Repeat</v>
      </c>
      <c r="H4555" t="s">
        <v>95</v>
      </c>
      <c r="I4555" t="str">
        <f>INDEX(State!B:B,MATCH(OrdersTable[[#This Row],[State]],State!A:A,0))</f>
        <v>TG</v>
      </c>
      <c r="J4555" t="str">
        <f>INDEX(State!C:C,MATCH(OrdersTable[[#This Row],[State Code]],State!B:B,0))</f>
        <v>South</v>
      </c>
      <c r="K4555" t="s">
        <v>96</v>
      </c>
      <c r="L4555" t="s">
        <v>23</v>
      </c>
      <c r="M4555" t="s">
        <v>160</v>
      </c>
      <c r="N4555" t="str">
        <f>INDEX(Products!B:B,MATCH(OrdersTable[[#This Row],[Product ID]],Products!A:A,0))</f>
        <v>Niacinamide Toner</v>
      </c>
      <c r="O4555" t="str">
        <f>INDEX(Products!C:C,MATCH(OrdersTable[[#This Row],[Product ID]],Products!A:A,0))</f>
        <v>Skincare</v>
      </c>
      <c r="P4555">
        <v>3</v>
      </c>
      <c r="Q4555" s="5">
        <v>399</v>
      </c>
      <c r="R4555" s="74">
        <v>0.3</v>
      </c>
      <c r="S4555" s="75">
        <f>OrdersTable[[#This Row],[Quantity]]*OrdersTable[[#This Row],[Unit Price]]</f>
        <v>1197</v>
      </c>
      <c r="T4555" s="5">
        <f>OrdersTable[[#This Row],[Gross Sale]]*OrdersTable[[#This Row],[Discount_Clean2]]</f>
        <v>359.09999999999997</v>
      </c>
      <c r="U4555" s="5">
        <f>OrdersTable[[#This Row],[Gross Sale]]-OrdersTable[[#This Row],[Discount Amount]]</f>
        <v>837.90000000000009</v>
      </c>
      <c r="V4555" s="77">
        <f>INDEX(Products!E:E,MATCH(OrdersTable[[#This Row],[Product ID]],Products!A:A,0))</f>
        <v>112</v>
      </c>
      <c r="W4555" s="77">
        <f>OrdersTable[[#This Row],[Quantity]]*OrdersTable[[#This Row],[Unit Cost]]</f>
        <v>336</v>
      </c>
      <c r="X4555" s="77">
        <f>'Dropdown Lists'!$I$2*(1+OrdersTable[[#This Row],[Returned]])</f>
        <v>60</v>
      </c>
      <c r="Y4555" s="76">
        <f>OrdersTable[[#This Row],[Net Revenue]]-OrdersTable[[#This Row],[COGS]]-OrdersTable[[#This Row],[Shipping Cost]]</f>
        <v>441.90000000000009</v>
      </c>
      <c r="Z4555" s="78">
        <f>IFERROR(OrdersTable[[#This Row],[Profit]]/OrdersTable[[#This Row],[Net Revenue]],0)</f>
        <v>0.527389903329753</v>
      </c>
      <c r="AA4555" t="s">
        <v>18</v>
      </c>
      <c r="AB4555" s="79">
        <v>45987</v>
      </c>
      <c r="AC4555">
        <f>OrdersTable[[#This Row],[Delivery Date]]-OrdersTable[[#This Row],[Order Date]]</f>
        <v>2</v>
      </c>
      <c r="AD4555" t="str">
        <f>IF(OrdersTable[[#This Row],[Delivery Days]]&lt;=2, "Express (≤2d)", IF(OrdersTable[[#This Row],[Delivery Days]]&lt;=4, "Standard (3-4d)", "Delayed (5d+)"))</f>
        <v>Express (≤2d)</v>
      </c>
      <c r="AE4555">
        <v>5</v>
      </c>
      <c r="AF4555">
        <v>0</v>
      </c>
    </row>
    <row r="4556" spans="1:32" ht="15" x14ac:dyDescent="0.35">
      <c r="A4556" t="s">
        <v>5557</v>
      </c>
      <c r="B4556" s="1">
        <v>45985</v>
      </c>
      <c r="C4556">
        <f>YEAR(OrdersTable[[#This Row],[Order Date]])</f>
        <v>2025</v>
      </c>
      <c r="D4556" s="2">
        <f>DATE(YEAR(OrdersTable[[#This Row],[Order Date]]),MONTH(OrdersTable[[#This Row],[Order Date]]),1)</f>
        <v>45962</v>
      </c>
      <c r="E4556">
        <f>MONTH(OrdersTable[[#This Row],[Order Date]])</f>
        <v>11</v>
      </c>
      <c r="F4556" t="s">
        <v>2577</v>
      </c>
      <c r="G4556" t="str">
        <f>IF(OrdersTable[[#This Row],[Order Date]]=_xlfn.MINIFS(Order_Date, Customer_ID, OrdersTable[[#This Row],[Customer ID]]), "New", "Repeat")</f>
        <v>Repeat</v>
      </c>
      <c r="H4556" t="s">
        <v>167</v>
      </c>
      <c r="I4556" t="str">
        <f>INDEX(State!B:B,MATCH(OrdersTable[[#This Row],[State]],State!A:A,0))</f>
        <v>KA</v>
      </c>
      <c r="J4556" t="str">
        <f>INDEX(State!C:C,MATCH(OrdersTable[[#This Row],[State Code]],State!B:B,0))</f>
        <v>South</v>
      </c>
      <c r="K4556" t="s">
        <v>168</v>
      </c>
      <c r="L4556" t="s">
        <v>50</v>
      </c>
      <c r="M4556" t="s">
        <v>40</v>
      </c>
      <c r="N4556" t="str">
        <f>INDEX(Products!B:B,MATCH(OrdersTable[[#This Row],[Product ID]],Products!A:A,0))</f>
        <v>Ashwagandha Capsules</v>
      </c>
      <c r="O4556" t="str">
        <f>INDEX(Products!C:C,MATCH(OrdersTable[[#This Row],[Product ID]],Products!A:A,0))</f>
        <v>Wellness</v>
      </c>
      <c r="P4556">
        <v>2</v>
      </c>
      <c r="Q4556" s="5">
        <v>499</v>
      </c>
      <c r="R4556" s="74">
        <v>0.15</v>
      </c>
      <c r="S4556" s="75">
        <f>OrdersTable[[#This Row],[Quantity]]*OrdersTable[[#This Row],[Unit Price]]</f>
        <v>998</v>
      </c>
      <c r="T4556" s="5">
        <f>OrdersTable[[#This Row],[Gross Sale]]*OrdersTable[[#This Row],[Discount_Clean2]]</f>
        <v>149.69999999999999</v>
      </c>
      <c r="U4556" s="5">
        <f>OrdersTable[[#This Row],[Gross Sale]]-OrdersTable[[#This Row],[Discount Amount]]</f>
        <v>848.3</v>
      </c>
      <c r="V4556" s="77">
        <f>INDEX(Products!E:E,MATCH(OrdersTable[[#This Row],[Product ID]],Products!A:A,0))</f>
        <v>150</v>
      </c>
      <c r="W4556" s="77">
        <f>OrdersTable[[#This Row],[Quantity]]*OrdersTable[[#This Row],[Unit Cost]]</f>
        <v>300</v>
      </c>
      <c r="X4556" s="77">
        <f>'Dropdown Lists'!$I$2*(1+OrdersTable[[#This Row],[Returned]])</f>
        <v>60</v>
      </c>
      <c r="Y4556" s="76">
        <f>OrdersTable[[#This Row],[Net Revenue]]-OrdersTable[[#This Row],[COGS]]-OrdersTable[[#This Row],[Shipping Cost]]</f>
        <v>488.29999999999995</v>
      </c>
      <c r="Z4556" s="78">
        <f>IFERROR(OrdersTable[[#This Row],[Profit]]/OrdersTable[[#This Row],[Net Revenue]],0)</f>
        <v>0.57562183189909233</v>
      </c>
      <c r="AA4556" t="s">
        <v>2522</v>
      </c>
      <c r="AB4556" s="79">
        <v>45986</v>
      </c>
      <c r="AC4556">
        <f>OrdersTable[[#This Row],[Delivery Date]]-OrdersTable[[#This Row],[Order Date]]</f>
        <v>1</v>
      </c>
      <c r="AD4556" t="str">
        <f>IF(OrdersTable[[#This Row],[Delivery Days]]&lt;=2, "Express (≤2d)", IF(OrdersTable[[#This Row],[Delivery Days]]&lt;=4, "Standard (3-4d)", "Delayed (5d+)"))</f>
        <v>Express (≤2d)</v>
      </c>
      <c r="AE4556">
        <v>4</v>
      </c>
      <c r="AF4556">
        <v>0</v>
      </c>
    </row>
    <row r="4557" spans="1:32" ht="15" x14ac:dyDescent="0.35">
      <c r="A4557" t="s">
        <v>5457</v>
      </c>
      <c r="B4557" s="1">
        <v>45985</v>
      </c>
      <c r="C4557">
        <f>YEAR(OrdersTable[[#This Row],[Order Date]])</f>
        <v>2025</v>
      </c>
      <c r="D4557" s="2">
        <f>DATE(YEAR(OrdersTable[[#This Row],[Order Date]]),MONTH(OrdersTable[[#This Row],[Order Date]]),1)</f>
        <v>45962</v>
      </c>
      <c r="E4557">
        <f>MONTH(OrdersTable[[#This Row],[Order Date]])</f>
        <v>11</v>
      </c>
      <c r="F4557" t="s">
        <v>5458</v>
      </c>
      <c r="G4557" t="str">
        <f>IF(OrdersTable[[#This Row],[Order Date]]=_xlfn.MINIFS(Order_Date, Customer_ID, OrdersTable[[#This Row],[Customer ID]]), "New", "Repeat")</f>
        <v>New</v>
      </c>
      <c r="H4557" t="s">
        <v>167</v>
      </c>
      <c r="I4557" t="str">
        <f>INDEX(State!B:B,MATCH(OrdersTable[[#This Row],[State]],State!A:A,0))</f>
        <v>KA</v>
      </c>
      <c r="J4557" t="str">
        <f>INDEX(State!C:C,MATCH(OrdersTable[[#This Row],[State Code]],State!B:B,0))</f>
        <v>South</v>
      </c>
      <c r="K4557" t="s">
        <v>168</v>
      </c>
      <c r="L4557" t="s">
        <v>16</v>
      </c>
      <c r="M4557" t="s">
        <v>87</v>
      </c>
      <c r="N4557" t="str">
        <f>INDEX(Products!B:B,MATCH(OrdersTable[[#This Row],[Product ID]],Products!A:A,0))</f>
        <v>Linen Kurta</v>
      </c>
      <c r="O4557" t="str">
        <f>INDEX(Products!C:C,MATCH(OrdersTable[[#This Row],[Product ID]],Products!A:A,0))</f>
        <v>Apparel</v>
      </c>
      <c r="P4557">
        <v>2</v>
      </c>
      <c r="Q4557" s="5">
        <v>1499</v>
      </c>
      <c r="R4557" s="74">
        <v>0.5</v>
      </c>
      <c r="S4557" s="75">
        <f>OrdersTable[[#This Row],[Quantity]]*OrdersTable[[#This Row],[Unit Price]]</f>
        <v>2998</v>
      </c>
      <c r="T4557" s="5">
        <f>OrdersTable[[#This Row],[Gross Sale]]*OrdersTable[[#This Row],[Discount_Clean2]]</f>
        <v>1499</v>
      </c>
      <c r="U4557" s="5">
        <f>OrdersTable[[#This Row],[Gross Sale]]-OrdersTable[[#This Row],[Discount Amount]]</f>
        <v>1499</v>
      </c>
      <c r="V4557" s="77">
        <f>INDEX(Products!E:E,MATCH(OrdersTable[[#This Row],[Product ID]],Products!A:A,0))</f>
        <v>630</v>
      </c>
      <c r="W4557" s="77">
        <f>OrdersTable[[#This Row],[Quantity]]*OrdersTable[[#This Row],[Unit Cost]]</f>
        <v>1260</v>
      </c>
      <c r="X4557" s="77">
        <f>'Dropdown Lists'!$I$2*(1+OrdersTable[[#This Row],[Returned]])</f>
        <v>60</v>
      </c>
      <c r="Y4557" s="76">
        <f>OrdersTable[[#This Row],[Net Revenue]]-OrdersTable[[#This Row],[COGS]]-OrdersTable[[#This Row],[Shipping Cost]]</f>
        <v>179</v>
      </c>
      <c r="Z4557" s="78">
        <f>IFERROR(OrdersTable[[#This Row],[Profit]]/OrdersTable[[#This Row],[Net Revenue]],0)</f>
        <v>0.11941294196130754</v>
      </c>
      <c r="AA4557" t="s">
        <v>2522</v>
      </c>
      <c r="AB4557" s="79">
        <v>45988</v>
      </c>
      <c r="AC4557">
        <f>OrdersTable[[#This Row],[Delivery Date]]-OrdersTable[[#This Row],[Order Date]]</f>
        <v>3</v>
      </c>
      <c r="AD4557" t="str">
        <f>IF(OrdersTable[[#This Row],[Delivery Days]]&lt;=2, "Express (≤2d)", IF(OrdersTable[[#This Row],[Delivery Days]]&lt;=4, "Standard (3-4d)", "Delayed (5d+)"))</f>
        <v>Standard (3-4d)</v>
      </c>
      <c r="AE4557">
        <v>5</v>
      </c>
      <c r="AF4557">
        <v>0</v>
      </c>
    </row>
    <row r="4558" spans="1:32" ht="15" x14ac:dyDescent="0.35">
      <c r="A4558" t="s">
        <v>2675</v>
      </c>
      <c r="B4558" s="1">
        <v>45985</v>
      </c>
      <c r="C4558">
        <f>YEAR(OrdersTable[[#This Row],[Order Date]])</f>
        <v>2025</v>
      </c>
      <c r="D4558" s="2">
        <f>DATE(YEAR(OrdersTable[[#This Row],[Order Date]]),MONTH(OrdersTable[[#This Row],[Order Date]]),1)</f>
        <v>45962</v>
      </c>
      <c r="E4558">
        <f>MONTH(OrdersTable[[#This Row],[Order Date]])</f>
        <v>11</v>
      </c>
      <c r="F4558" t="s">
        <v>2676</v>
      </c>
      <c r="G4558" t="str">
        <f>IF(OrdersTable[[#This Row],[Order Date]]=_xlfn.MINIFS(Order_Date, Customer_ID, OrdersTable[[#This Row],[Customer ID]]), "New", "Repeat")</f>
        <v>Repeat</v>
      </c>
      <c r="H4558" t="s">
        <v>275</v>
      </c>
      <c r="I4558" t="str">
        <f>INDEX(State!B:B,MATCH(OrdersTable[[#This Row],[State]],State!A:A,0))</f>
        <v>AP</v>
      </c>
      <c r="J4558" t="str">
        <f>INDEX(State!C:C,MATCH(OrdersTable[[#This Row],[State Code]],State!B:B,0))</f>
        <v>South</v>
      </c>
      <c r="K4558" t="s">
        <v>491</v>
      </c>
      <c r="L4558" t="s">
        <v>23</v>
      </c>
      <c r="M4558" t="s">
        <v>40</v>
      </c>
      <c r="N4558" t="str">
        <f>INDEX(Products!B:B,MATCH(OrdersTable[[#This Row],[Product ID]],Products!A:A,0))</f>
        <v>Ashwagandha Capsules</v>
      </c>
      <c r="O4558" t="str">
        <f>INDEX(Products!C:C,MATCH(OrdersTable[[#This Row],[Product ID]],Products!A:A,0))</f>
        <v>Wellness</v>
      </c>
      <c r="P4558">
        <v>1</v>
      </c>
      <c r="Q4558" s="5">
        <v>499</v>
      </c>
      <c r="R4558" s="74">
        <v>0.2</v>
      </c>
      <c r="S4558" s="75">
        <f>OrdersTable[[#This Row],[Quantity]]*OrdersTable[[#This Row],[Unit Price]]</f>
        <v>499</v>
      </c>
      <c r="T4558" s="5">
        <f>OrdersTable[[#This Row],[Gross Sale]]*OrdersTable[[#This Row],[Discount_Clean2]]</f>
        <v>99.800000000000011</v>
      </c>
      <c r="U4558" s="5">
        <f>OrdersTable[[#This Row],[Gross Sale]]-OrdersTable[[#This Row],[Discount Amount]]</f>
        <v>399.2</v>
      </c>
      <c r="V4558" s="77">
        <f>INDEX(Products!E:E,MATCH(OrdersTable[[#This Row],[Product ID]],Products!A:A,0))</f>
        <v>150</v>
      </c>
      <c r="W4558" s="77">
        <f>OrdersTable[[#This Row],[Quantity]]*OrdersTable[[#This Row],[Unit Cost]]</f>
        <v>150</v>
      </c>
      <c r="X4558" s="77">
        <f>'Dropdown Lists'!$I$2*(1+OrdersTable[[#This Row],[Returned]])</f>
        <v>60</v>
      </c>
      <c r="Y4558" s="76">
        <f>OrdersTable[[#This Row],[Net Revenue]]-OrdersTable[[#This Row],[COGS]]-OrdersTable[[#This Row],[Shipping Cost]]</f>
        <v>189.2</v>
      </c>
      <c r="Z4558" s="78">
        <f>IFERROR(OrdersTable[[#This Row],[Profit]]/OrdersTable[[#This Row],[Net Revenue]],0)</f>
        <v>0.47394789579158314</v>
      </c>
      <c r="AA4558" t="s">
        <v>2522</v>
      </c>
      <c r="AB4558" s="79">
        <v>45988</v>
      </c>
      <c r="AC4558">
        <f>OrdersTable[[#This Row],[Delivery Date]]-OrdersTable[[#This Row],[Order Date]]</f>
        <v>3</v>
      </c>
      <c r="AD4558" t="str">
        <f>IF(OrdersTable[[#This Row],[Delivery Days]]&lt;=2, "Express (≤2d)", IF(OrdersTable[[#This Row],[Delivery Days]]&lt;=4, "Standard (3-4d)", "Delayed (5d+)"))</f>
        <v>Standard (3-4d)</v>
      </c>
      <c r="AE4558">
        <v>5</v>
      </c>
      <c r="AF4558">
        <v>0</v>
      </c>
    </row>
    <row r="4559" spans="1:32" ht="15" x14ac:dyDescent="0.35">
      <c r="A4559" t="s">
        <v>5740</v>
      </c>
      <c r="B4559" s="1">
        <v>45986</v>
      </c>
      <c r="C4559">
        <f>YEAR(OrdersTable[[#This Row],[Order Date]])</f>
        <v>2025</v>
      </c>
      <c r="D4559" s="2">
        <f>DATE(YEAR(OrdersTable[[#This Row],[Order Date]]),MONTH(OrdersTable[[#This Row],[Order Date]]),1)</f>
        <v>45962</v>
      </c>
      <c r="E4559">
        <f>MONTH(OrdersTable[[#This Row],[Order Date]])</f>
        <v>11</v>
      </c>
      <c r="F4559" t="s">
        <v>3880</v>
      </c>
      <c r="G4559" t="str">
        <f>IF(OrdersTable[[#This Row],[Order Date]]=_xlfn.MINIFS(Order_Date, Customer_ID, OrdersTable[[#This Row],[Customer ID]]), "New", "Repeat")</f>
        <v>Repeat</v>
      </c>
      <c r="H4559" t="s">
        <v>54</v>
      </c>
      <c r="I4559" t="str">
        <f>INDEX(State!B:B,MATCH(OrdersTable[[#This Row],[State]],State!A:A,0))</f>
        <v>RJ</v>
      </c>
      <c r="J4559" t="str">
        <f>INDEX(State!C:C,MATCH(OrdersTable[[#This Row],[State Code]],State!B:B,0))</f>
        <v>North</v>
      </c>
      <c r="K4559" t="s">
        <v>227</v>
      </c>
      <c r="L4559" t="s">
        <v>16</v>
      </c>
      <c r="M4559" t="s">
        <v>255</v>
      </c>
      <c r="N4559" t="str">
        <f>INDEX(Products!B:B,MATCH(OrdersTable[[#This Row],[Product ID]],Products!A:A,0))</f>
        <v>Cotton Oversized T-Shirt</v>
      </c>
      <c r="O4559" t="str">
        <f>INDEX(Products!C:C,MATCH(OrdersTable[[#This Row],[Product ID]],Products!A:A,0))</f>
        <v>Apparel</v>
      </c>
      <c r="P4559">
        <v>2</v>
      </c>
      <c r="Q4559" s="5">
        <v>799</v>
      </c>
      <c r="R4559" s="74">
        <v>0.3</v>
      </c>
      <c r="S4559" s="75">
        <f>OrdersTable[[#This Row],[Quantity]]*OrdersTable[[#This Row],[Unit Price]]</f>
        <v>1598</v>
      </c>
      <c r="T4559" s="5">
        <f>OrdersTable[[#This Row],[Gross Sale]]*OrdersTable[[#This Row],[Discount_Clean2]]</f>
        <v>479.4</v>
      </c>
      <c r="U4559" s="5">
        <f>OrdersTable[[#This Row],[Gross Sale]]-OrdersTable[[#This Row],[Discount Amount]]</f>
        <v>1118.5999999999999</v>
      </c>
      <c r="V4559" s="77">
        <f>INDEX(Products!E:E,MATCH(OrdersTable[[#This Row],[Product ID]],Products!A:A,0))</f>
        <v>320</v>
      </c>
      <c r="W4559" s="77">
        <f>OrdersTable[[#This Row],[Quantity]]*OrdersTable[[#This Row],[Unit Cost]]</f>
        <v>640</v>
      </c>
      <c r="X4559" s="77">
        <f>'Dropdown Lists'!$I$2*(1+OrdersTable[[#This Row],[Returned]])</f>
        <v>60</v>
      </c>
      <c r="Y4559" s="76">
        <f>OrdersTable[[#This Row],[Net Revenue]]-OrdersTable[[#This Row],[COGS]]-OrdersTable[[#This Row],[Shipping Cost]]</f>
        <v>418.59999999999991</v>
      </c>
      <c r="Z4559" s="78">
        <f>IFERROR(OrdersTable[[#This Row],[Profit]]/OrdersTable[[#This Row],[Net Revenue]],0)</f>
        <v>0.37421777221526903</v>
      </c>
      <c r="AA4559" t="s">
        <v>18</v>
      </c>
      <c r="AB4559" s="79">
        <v>45989</v>
      </c>
      <c r="AC4559">
        <f>OrdersTable[[#This Row],[Delivery Date]]-OrdersTable[[#This Row],[Order Date]]</f>
        <v>3</v>
      </c>
      <c r="AD4559" t="str">
        <f>IF(OrdersTable[[#This Row],[Delivery Days]]&lt;=2, "Express (≤2d)", IF(OrdersTable[[#This Row],[Delivery Days]]&lt;=4, "Standard (3-4d)", "Delayed (5d+)"))</f>
        <v>Standard (3-4d)</v>
      </c>
      <c r="AE4559">
        <v>3</v>
      </c>
      <c r="AF4559">
        <v>0</v>
      </c>
    </row>
    <row r="4560" spans="1:32" ht="15" x14ac:dyDescent="0.35">
      <c r="A4560" t="s">
        <v>3824</v>
      </c>
      <c r="B4560" s="1">
        <v>45986</v>
      </c>
      <c r="C4560">
        <f>YEAR(OrdersTable[[#This Row],[Order Date]])</f>
        <v>2025</v>
      </c>
      <c r="D4560" s="2">
        <f>DATE(YEAR(OrdersTable[[#This Row],[Order Date]]),MONTH(OrdersTable[[#This Row],[Order Date]]),1)</f>
        <v>45962</v>
      </c>
      <c r="E4560">
        <f>MONTH(OrdersTable[[#This Row],[Order Date]])</f>
        <v>11</v>
      </c>
      <c r="F4560" t="s">
        <v>3825</v>
      </c>
      <c r="G4560" t="str">
        <f>IF(OrdersTable[[#This Row],[Order Date]]=_xlfn.MINIFS(Order_Date, Customer_ID, OrdersTable[[#This Row],[Customer ID]]), "New", "Repeat")</f>
        <v>New</v>
      </c>
      <c r="H4560" t="s">
        <v>128</v>
      </c>
      <c r="I4560" t="str">
        <f>INDEX(State!B:B,MATCH(OrdersTable[[#This Row],[State]],State!A:A,0))</f>
        <v>DL</v>
      </c>
      <c r="J4560" t="str">
        <f>INDEX(State!C:C,MATCH(OrdersTable[[#This Row],[State Code]],State!B:B,0))</f>
        <v>North</v>
      </c>
      <c r="K4560" t="s">
        <v>129</v>
      </c>
      <c r="L4560" t="s">
        <v>65</v>
      </c>
      <c r="M4560" t="s">
        <v>109</v>
      </c>
      <c r="N4560" t="str">
        <f>INDEX(Products!B:B,MATCH(OrdersTable[[#This Row],[Product ID]],Products!A:A,0))</f>
        <v>Onion Hair Oil</v>
      </c>
      <c r="O4560" t="str">
        <f>INDEX(Products!C:C,MATCH(OrdersTable[[#This Row],[Product ID]],Products!A:A,0))</f>
        <v>Haircare</v>
      </c>
      <c r="P4560">
        <v>1</v>
      </c>
      <c r="Q4560" s="5">
        <v>349</v>
      </c>
      <c r="R4560" s="74">
        <v>0.4</v>
      </c>
      <c r="S4560" s="75">
        <f>OrdersTable[[#This Row],[Quantity]]*OrdersTable[[#This Row],[Unit Price]]</f>
        <v>349</v>
      </c>
      <c r="T4560" s="5">
        <f>OrdersTable[[#This Row],[Gross Sale]]*OrdersTable[[#This Row],[Discount_Clean2]]</f>
        <v>139.6</v>
      </c>
      <c r="U4560" s="5">
        <f>OrdersTable[[#This Row],[Gross Sale]]-OrdersTable[[#This Row],[Discount Amount]]</f>
        <v>209.4</v>
      </c>
      <c r="V4560" s="77">
        <f>INDEX(Products!E:E,MATCH(OrdersTable[[#This Row],[Product ID]],Products!A:A,0))</f>
        <v>105</v>
      </c>
      <c r="W4560" s="77">
        <f>OrdersTable[[#This Row],[Quantity]]*OrdersTable[[#This Row],[Unit Cost]]</f>
        <v>105</v>
      </c>
      <c r="X4560" s="77">
        <f>'Dropdown Lists'!$I$2*(1+OrdersTable[[#This Row],[Returned]])</f>
        <v>120</v>
      </c>
      <c r="Y4560" s="76">
        <f>OrdersTable[[#This Row],[Net Revenue]]-OrdersTable[[#This Row],[COGS]]-OrdersTable[[#This Row],[Shipping Cost]]</f>
        <v>-15.599999999999994</v>
      </c>
      <c r="Z4560" s="78">
        <f>IFERROR(OrdersTable[[#This Row],[Profit]]/OrdersTable[[#This Row],[Net Revenue]],0)</f>
        <v>-7.4498567335243529E-2</v>
      </c>
      <c r="AA4560" t="s">
        <v>3495</v>
      </c>
      <c r="AB4560" s="79">
        <v>45990</v>
      </c>
      <c r="AC4560">
        <f>OrdersTable[[#This Row],[Delivery Date]]-OrdersTable[[#This Row],[Order Date]]</f>
        <v>4</v>
      </c>
      <c r="AD4560" t="str">
        <f>IF(OrdersTable[[#This Row],[Delivery Days]]&lt;=2, "Express (≤2d)", IF(OrdersTable[[#This Row],[Delivery Days]]&lt;=4, "Standard (3-4d)", "Delayed (5d+)"))</f>
        <v>Standard (3-4d)</v>
      </c>
      <c r="AF4560">
        <v>1</v>
      </c>
    </row>
    <row r="4561" spans="1:32" ht="15" x14ac:dyDescent="0.35">
      <c r="A4561" t="s">
        <v>4885</v>
      </c>
      <c r="B4561" s="1">
        <v>45986</v>
      </c>
      <c r="C4561">
        <f>YEAR(OrdersTable[[#This Row],[Order Date]])</f>
        <v>2025</v>
      </c>
      <c r="D4561" s="2">
        <f>DATE(YEAR(OrdersTable[[#This Row],[Order Date]]),MONTH(OrdersTable[[#This Row],[Order Date]]),1)</f>
        <v>45962</v>
      </c>
      <c r="E4561">
        <f>MONTH(OrdersTable[[#This Row],[Order Date]])</f>
        <v>11</v>
      </c>
      <c r="F4561" t="s">
        <v>4886</v>
      </c>
      <c r="G4561" t="str">
        <f>IF(OrdersTable[[#This Row],[Order Date]]=_xlfn.MINIFS(Order_Date, Customer_ID, OrdersTable[[#This Row],[Customer ID]]), "New", "Repeat")</f>
        <v>New</v>
      </c>
      <c r="H4561" t="s">
        <v>76</v>
      </c>
      <c r="I4561" t="str">
        <f>INDEX(State!B:B,MATCH(OrdersTable[[#This Row],[State]],State!A:A,0))</f>
        <v>UP</v>
      </c>
      <c r="J4561" t="str">
        <f>INDEX(State!C:C,MATCH(OrdersTable[[#This Row],[State Code]],State!B:B,0))</f>
        <v>North</v>
      </c>
      <c r="K4561" t="s">
        <v>105</v>
      </c>
      <c r="L4561" t="s">
        <v>23</v>
      </c>
      <c r="M4561" t="s">
        <v>78</v>
      </c>
      <c r="N4561" t="str">
        <f>INDEX(Products!B:B,MATCH(OrdersTable[[#This Row],[Product ID]],Products!A:A,0))</f>
        <v>Retinol Night Cream</v>
      </c>
      <c r="O4561" t="str">
        <f>INDEX(Products!C:C,MATCH(OrdersTable[[#This Row],[Product ID]],Products!A:A,0))</f>
        <v>Skincare</v>
      </c>
      <c r="P4561">
        <v>2</v>
      </c>
      <c r="Q4561" s="5">
        <v>799</v>
      </c>
      <c r="R4561" s="74">
        <v>0.1</v>
      </c>
      <c r="S4561" s="75">
        <f>OrdersTable[[#This Row],[Quantity]]*OrdersTable[[#This Row],[Unit Price]]</f>
        <v>1598</v>
      </c>
      <c r="T4561" s="5">
        <f>OrdersTable[[#This Row],[Gross Sale]]*OrdersTable[[#This Row],[Discount_Clean2]]</f>
        <v>159.80000000000001</v>
      </c>
      <c r="U4561" s="5">
        <f>OrdersTable[[#This Row],[Gross Sale]]-OrdersTable[[#This Row],[Discount Amount]]</f>
        <v>1438.2</v>
      </c>
      <c r="V4561" s="77">
        <f>INDEX(Products!E:E,MATCH(OrdersTable[[#This Row],[Product ID]],Products!A:A,0))</f>
        <v>216</v>
      </c>
      <c r="W4561" s="77">
        <f>OrdersTable[[#This Row],[Quantity]]*OrdersTable[[#This Row],[Unit Cost]]</f>
        <v>432</v>
      </c>
      <c r="X4561" s="77">
        <f>'Dropdown Lists'!$I$2*(1+OrdersTable[[#This Row],[Returned]])</f>
        <v>60</v>
      </c>
      <c r="Y4561" s="76">
        <f>OrdersTable[[#This Row],[Net Revenue]]-OrdersTable[[#This Row],[COGS]]-OrdersTable[[#This Row],[Shipping Cost]]</f>
        <v>946.2</v>
      </c>
      <c r="Z4561" s="78">
        <f>IFERROR(OrdersTable[[#This Row],[Profit]]/OrdersTable[[#This Row],[Net Revenue]],0)</f>
        <v>0.6579057154776804</v>
      </c>
      <c r="AA4561" t="s">
        <v>4450</v>
      </c>
      <c r="AB4561" s="79">
        <v>45991</v>
      </c>
      <c r="AC4561">
        <f>OrdersTable[[#This Row],[Delivery Date]]-OrdersTable[[#This Row],[Order Date]]</f>
        <v>5</v>
      </c>
      <c r="AD4561" t="str">
        <f>IF(OrdersTable[[#This Row],[Delivery Days]]&lt;=2, "Express (≤2d)", IF(OrdersTable[[#This Row],[Delivery Days]]&lt;=4, "Standard (3-4d)", "Delayed (5d+)"))</f>
        <v>Delayed (5d+)</v>
      </c>
      <c r="AE4561">
        <v>3</v>
      </c>
      <c r="AF4561">
        <v>0</v>
      </c>
    </row>
    <row r="4562" spans="1:32" ht="15" x14ac:dyDescent="0.35">
      <c r="A4562" t="s">
        <v>2479</v>
      </c>
      <c r="B4562" s="1">
        <v>45986</v>
      </c>
      <c r="C4562">
        <f>YEAR(OrdersTable[[#This Row],[Order Date]])</f>
        <v>2025</v>
      </c>
      <c r="D4562" s="2">
        <f>DATE(YEAR(OrdersTable[[#This Row],[Order Date]]),MONTH(OrdersTable[[#This Row],[Order Date]]),1)</f>
        <v>45962</v>
      </c>
      <c r="E4562">
        <f>MONTH(OrdersTable[[#This Row],[Order Date]])</f>
        <v>11</v>
      </c>
      <c r="F4562" t="s">
        <v>2480</v>
      </c>
      <c r="G4562" t="str">
        <f>IF(OrdersTable[[#This Row],[Order Date]]=_xlfn.MINIFS(Order_Date, Customer_ID, OrdersTable[[#This Row],[Customer ID]]), "New", "Repeat")</f>
        <v>New</v>
      </c>
      <c r="H4562" t="s">
        <v>37</v>
      </c>
      <c r="I4562" t="str">
        <f>INDEX(State!B:B,MATCH(OrdersTable[[#This Row],[State]],State!A:A,0))</f>
        <v>GJ</v>
      </c>
      <c r="J4562" t="str">
        <f>INDEX(State!C:C,MATCH(OrdersTable[[#This Row],[State Code]],State!B:B,0))</f>
        <v>West</v>
      </c>
      <c r="K4562" t="s">
        <v>247</v>
      </c>
      <c r="L4562" t="s">
        <v>23</v>
      </c>
      <c r="M4562" t="s">
        <v>228</v>
      </c>
      <c r="N4562" t="str">
        <f>INDEX(Products!B:B,MATCH(OrdersTable[[#This Row],[Product ID]],Products!A:A,0))</f>
        <v>Fast Charger 33W</v>
      </c>
      <c r="O4562" t="str">
        <f>INDEX(Products!C:C,MATCH(OrdersTable[[#This Row],[Product ID]],Products!A:A,0))</f>
        <v>Electronics</v>
      </c>
      <c r="P4562">
        <v>1</v>
      </c>
      <c r="Q4562" s="5">
        <v>899</v>
      </c>
      <c r="R4562" s="74">
        <v>0.15</v>
      </c>
      <c r="S4562" s="75">
        <f>OrdersTable[[#This Row],[Quantity]]*OrdersTable[[#This Row],[Unit Price]]</f>
        <v>899</v>
      </c>
      <c r="T4562" s="5">
        <f>OrdersTable[[#This Row],[Gross Sale]]*OrdersTable[[#This Row],[Discount_Clean2]]</f>
        <v>134.85</v>
      </c>
      <c r="U4562" s="5">
        <f>OrdersTable[[#This Row],[Gross Sale]]-OrdersTable[[#This Row],[Discount Amount]]</f>
        <v>764.15</v>
      </c>
      <c r="V4562" s="77">
        <f>INDEX(Products!E:E,MATCH(OrdersTable[[#This Row],[Product ID]],Products!A:A,0))</f>
        <v>494</v>
      </c>
      <c r="W4562" s="77">
        <f>OrdersTable[[#This Row],[Quantity]]*OrdersTable[[#This Row],[Unit Cost]]</f>
        <v>494</v>
      </c>
      <c r="X4562" s="77">
        <f>'Dropdown Lists'!$I$2*(1+OrdersTable[[#This Row],[Returned]])</f>
        <v>120</v>
      </c>
      <c r="Y4562" s="76">
        <f>OrdersTable[[#This Row],[Net Revenue]]-OrdersTable[[#This Row],[COGS]]-OrdersTable[[#This Row],[Shipping Cost]]</f>
        <v>150.14999999999998</v>
      </c>
      <c r="Z4562" s="78">
        <f>IFERROR(OrdersTable[[#This Row],[Profit]]/OrdersTable[[#This Row],[Net Revenue]],0)</f>
        <v>0.1964928351763397</v>
      </c>
      <c r="AA4562" t="s">
        <v>18</v>
      </c>
      <c r="AB4562" s="79">
        <v>45990</v>
      </c>
      <c r="AC4562">
        <f>OrdersTable[[#This Row],[Delivery Date]]-OrdersTable[[#This Row],[Order Date]]</f>
        <v>4</v>
      </c>
      <c r="AD4562" t="str">
        <f>IF(OrdersTable[[#This Row],[Delivery Days]]&lt;=2, "Express (≤2d)", IF(OrdersTable[[#This Row],[Delivery Days]]&lt;=4, "Standard (3-4d)", "Delayed (5d+)"))</f>
        <v>Standard (3-4d)</v>
      </c>
      <c r="AE4562">
        <v>5</v>
      </c>
      <c r="AF4562">
        <v>1</v>
      </c>
    </row>
    <row r="4563" spans="1:32" ht="15" x14ac:dyDescent="0.35">
      <c r="A4563" t="s">
        <v>410</v>
      </c>
      <c r="B4563" s="1">
        <v>45986</v>
      </c>
      <c r="C4563">
        <f>YEAR(OrdersTable[[#This Row],[Order Date]])</f>
        <v>2025</v>
      </c>
      <c r="D4563" s="2">
        <f>DATE(YEAR(OrdersTable[[#This Row],[Order Date]]),MONTH(OrdersTable[[#This Row],[Order Date]]),1)</f>
        <v>45962</v>
      </c>
      <c r="E4563">
        <f>MONTH(OrdersTable[[#This Row],[Order Date]])</f>
        <v>11</v>
      </c>
      <c r="F4563" t="s">
        <v>411</v>
      </c>
      <c r="G4563" t="str">
        <f>IF(OrdersTable[[#This Row],[Order Date]]=_xlfn.MINIFS(Order_Date, Customer_ID, OrdersTable[[#This Row],[Customer ID]]), "New", "Repeat")</f>
        <v>Repeat</v>
      </c>
      <c r="H4563" t="s">
        <v>43</v>
      </c>
      <c r="I4563" t="str">
        <f>INDEX(State!B:B,MATCH(OrdersTable[[#This Row],[State]],State!A:A,0))</f>
        <v>MP</v>
      </c>
      <c r="J4563" t="str">
        <f>INDEX(State!C:C,MATCH(OrdersTable[[#This Row],[State Code]],State!B:B,0))</f>
        <v>West</v>
      </c>
      <c r="K4563" t="s">
        <v>250</v>
      </c>
      <c r="L4563" t="s">
        <v>23</v>
      </c>
      <c r="M4563" t="s">
        <v>40</v>
      </c>
      <c r="N4563" t="str">
        <f>INDEX(Products!B:B,MATCH(OrdersTable[[#This Row],[Product ID]],Products!A:A,0))</f>
        <v>Ashwagandha Capsules</v>
      </c>
      <c r="O4563" t="str">
        <f>INDEX(Products!C:C,MATCH(OrdersTable[[#This Row],[Product ID]],Products!A:A,0))</f>
        <v>Wellness</v>
      </c>
      <c r="P4563">
        <v>1</v>
      </c>
      <c r="Q4563" s="5">
        <v>499</v>
      </c>
      <c r="R4563" s="74">
        <v>0.2</v>
      </c>
      <c r="S4563" s="75">
        <f>OrdersTable[[#This Row],[Quantity]]*OrdersTable[[#This Row],[Unit Price]]</f>
        <v>499</v>
      </c>
      <c r="T4563" s="5">
        <f>OrdersTable[[#This Row],[Gross Sale]]*OrdersTable[[#This Row],[Discount_Clean2]]</f>
        <v>99.800000000000011</v>
      </c>
      <c r="U4563" s="5">
        <f>OrdersTable[[#This Row],[Gross Sale]]-OrdersTable[[#This Row],[Discount Amount]]</f>
        <v>399.2</v>
      </c>
      <c r="V4563" s="77">
        <f>INDEX(Products!E:E,MATCH(OrdersTable[[#This Row],[Product ID]],Products!A:A,0))</f>
        <v>150</v>
      </c>
      <c r="W4563" s="77">
        <f>OrdersTable[[#This Row],[Quantity]]*OrdersTable[[#This Row],[Unit Cost]]</f>
        <v>150</v>
      </c>
      <c r="X4563" s="77">
        <f>'Dropdown Lists'!$I$2*(1+OrdersTable[[#This Row],[Returned]])</f>
        <v>60</v>
      </c>
      <c r="Y4563" s="76">
        <f>OrdersTable[[#This Row],[Net Revenue]]-OrdersTable[[#This Row],[COGS]]-OrdersTable[[#This Row],[Shipping Cost]]</f>
        <v>189.2</v>
      </c>
      <c r="Z4563" s="78">
        <f>IFERROR(OrdersTable[[#This Row],[Profit]]/OrdersTable[[#This Row],[Net Revenue]],0)</f>
        <v>0.47394789579158314</v>
      </c>
      <c r="AA4563" t="s">
        <v>18</v>
      </c>
      <c r="AB4563" s="79">
        <v>45989</v>
      </c>
      <c r="AC4563">
        <f>OrdersTable[[#This Row],[Delivery Date]]-OrdersTable[[#This Row],[Order Date]]</f>
        <v>3</v>
      </c>
      <c r="AD4563" t="str">
        <f>IF(OrdersTable[[#This Row],[Delivery Days]]&lt;=2, "Express (≤2d)", IF(OrdersTable[[#This Row],[Delivery Days]]&lt;=4, "Standard (3-4d)", "Delayed (5d+)"))</f>
        <v>Standard (3-4d)</v>
      </c>
      <c r="AE4563">
        <v>4</v>
      </c>
      <c r="AF4563">
        <v>0</v>
      </c>
    </row>
    <row r="4564" spans="1:32" ht="15" x14ac:dyDescent="0.35">
      <c r="A4564" t="s">
        <v>5643</v>
      </c>
      <c r="B4564" s="1">
        <v>45986</v>
      </c>
      <c r="C4564">
        <f>YEAR(OrdersTable[[#This Row],[Order Date]])</f>
        <v>2025</v>
      </c>
      <c r="D4564" s="2">
        <f>DATE(YEAR(OrdersTable[[#This Row],[Order Date]]),MONTH(OrdersTable[[#This Row],[Order Date]]),1)</f>
        <v>45962</v>
      </c>
      <c r="E4564">
        <f>MONTH(OrdersTable[[#This Row],[Order Date]])</f>
        <v>11</v>
      </c>
      <c r="F4564" t="s">
        <v>2503</v>
      </c>
      <c r="G4564" t="str">
        <f>IF(OrdersTable[[#This Row],[Order Date]]=_xlfn.MINIFS(Order_Date, Customer_ID, OrdersTable[[#This Row],[Customer ID]]), "New", "Repeat")</f>
        <v>Repeat</v>
      </c>
      <c r="H4564" t="s">
        <v>43</v>
      </c>
      <c r="I4564" t="str">
        <f>INDEX(State!B:B,MATCH(OrdersTable[[#This Row],[State]],State!A:A,0))</f>
        <v>MP</v>
      </c>
      <c r="J4564" t="str">
        <f>INDEX(State!C:C,MATCH(OrdersTable[[#This Row],[State Code]],State!B:B,0))</f>
        <v>West</v>
      </c>
      <c r="K4564" t="s">
        <v>250</v>
      </c>
      <c r="L4564" t="s">
        <v>16</v>
      </c>
      <c r="M4564" t="s">
        <v>34</v>
      </c>
      <c r="N4564" t="str">
        <f>INDEX(Products!B:B,MATCH(OrdersTable[[#This Row],[Product ID]],Products!A:A,0))</f>
        <v>Flip Flops</v>
      </c>
      <c r="O4564" t="str">
        <f>INDEX(Products!C:C,MATCH(OrdersTable[[#This Row],[Product ID]],Products!A:A,0))</f>
        <v>Footwear</v>
      </c>
      <c r="P4564">
        <v>2</v>
      </c>
      <c r="Q4564" s="5">
        <v>399</v>
      </c>
      <c r="R4564" s="74">
        <v>0.3</v>
      </c>
      <c r="S4564" s="75">
        <f>OrdersTable[[#This Row],[Quantity]]*OrdersTable[[#This Row],[Unit Price]]</f>
        <v>798</v>
      </c>
      <c r="T4564" s="5">
        <f>OrdersTable[[#This Row],[Gross Sale]]*OrdersTable[[#This Row],[Discount_Clean2]]</f>
        <v>239.39999999999998</v>
      </c>
      <c r="U4564" s="5">
        <f>OrdersTable[[#This Row],[Gross Sale]]-OrdersTable[[#This Row],[Discount Amount]]</f>
        <v>558.6</v>
      </c>
      <c r="V4564" s="77">
        <f>INDEX(Products!E:E,MATCH(OrdersTable[[#This Row],[Product ID]],Products!A:A,0))</f>
        <v>152</v>
      </c>
      <c r="W4564" s="77">
        <f>OrdersTable[[#This Row],[Quantity]]*OrdersTable[[#This Row],[Unit Cost]]</f>
        <v>304</v>
      </c>
      <c r="X4564" s="77">
        <f>'Dropdown Lists'!$I$2*(1+OrdersTable[[#This Row],[Returned]])</f>
        <v>120</v>
      </c>
      <c r="Y4564" s="76">
        <f>OrdersTable[[#This Row],[Net Revenue]]-OrdersTable[[#This Row],[COGS]]-OrdersTable[[#This Row],[Shipping Cost]]</f>
        <v>134.60000000000002</v>
      </c>
      <c r="Z4564" s="78">
        <f>IFERROR(OrdersTable[[#This Row],[Profit]]/OrdersTable[[#This Row],[Net Revenue]],0)</f>
        <v>0.24095954171142145</v>
      </c>
      <c r="AA4564" t="s">
        <v>2522</v>
      </c>
      <c r="AB4564" s="79">
        <v>45991</v>
      </c>
      <c r="AC4564">
        <f>OrdersTable[[#This Row],[Delivery Date]]-OrdersTable[[#This Row],[Order Date]]</f>
        <v>5</v>
      </c>
      <c r="AD4564" t="str">
        <f>IF(OrdersTable[[#This Row],[Delivery Days]]&lt;=2, "Express (≤2d)", IF(OrdersTable[[#This Row],[Delivery Days]]&lt;=4, "Standard (3-4d)", "Delayed (5d+)"))</f>
        <v>Delayed (5d+)</v>
      </c>
      <c r="AE4564">
        <v>3</v>
      </c>
      <c r="AF4564">
        <v>1</v>
      </c>
    </row>
    <row r="4565" spans="1:32" ht="15" x14ac:dyDescent="0.35">
      <c r="A4565" t="s">
        <v>4199</v>
      </c>
      <c r="B4565" s="1">
        <v>45986</v>
      </c>
      <c r="C4565">
        <f>YEAR(OrdersTable[[#This Row],[Order Date]])</f>
        <v>2025</v>
      </c>
      <c r="D4565" s="2">
        <f>DATE(YEAR(OrdersTable[[#This Row],[Order Date]]),MONTH(OrdersTable[[#This Row],[Order Date]]),1)</f>
        <v>45962</v>
      </c>
      <c r="E4565">
        <f>MONTH(OrdersTable[[#This Row],[Order Date]])</f>
        <v>11</v>
      </c>
      <c r="F4565" t="s">
        <v>444</v>
      </c>
      <c r="G4565" t="str">
        <f>IF(OrdersTable[[#This Row],[Order Date]]=_xlfn.MINIFS(Order_Date, Customer_ID, OrdersTable[[#This Row],[Customer ID]]), "New", "Repeat")</f>
        <v>Repeat</v>
      </c>
      <c r="H4565" t="s">
        <v>95</v>
      </c>
      <c r="I4565" t="str">
        <f>INDEX(State!B:B,MATCH(OrdersTable[[#This Row],[State]],State!A:A,0))</f>
        <v>TG</v>
      </c>
      <c r="J4565" t="str">
        <f>INDEX(State!C:C,MATCH(OrdersTable[[#This Row],[State Code]],State!B:B,0))</f>
        <v>South</v>
      </c>
      <c r="K4565" t="s">
        <v>96</v>
      </c>
      <c r="L4565" t="s">
        <v>23</v>
      </c>
      <c r="M4565" t="s">
        <v>148</v>
      </c>
      <c r="N4565" t="str">
        <f>INDEX(Products!B:B,MATCH(OrdersTable[[#This Row],[Product ID]],Products!A:A,0))</f>
        <v>Smartwatch Strap</v>
      </c>
      <c r="O4565" t="str">
        <f>INDEX(Products!C:C,MATCH(OrdersTable[[#This Row],[Product ID]],Products!A:A,0))</f>
        <v>Electronics</v>
      </c>
      <c r="P4565">
        <v>1</v>
      </c>
      <c r="Q4565" s="5">
        <v>499</v>
      </c>
      <c r="R4565" s="74">
        <v>0.25</v>
      </c>
      <c r="S4565" s="75">
        <f>OrdersTable[[#This Row],[Quantity]]*OrdersTable[[#This Row],[Unit Price]]</f>
        <v>499</v>
      </c>
      <c r="T4565" s="5">
        <f>OrdersTable[[#This Row],[Gross Sale]]*OrdersTable[[#This Row],[Discount_Clean2]]</f>
        <v>124.75</v>
      </c>
      <c r="U4565" s="5">
        <f>OrdersTable[[#This Row],[Gross Sale]]-OrdersTable[[#This Row],[Discount Amount]]</f>
        <v>374.25</v>
      </c>
      <c r="V4565" s="77">
        <f>INDEX(Products!E:E,MATCH(OrdersTable[[#This Row],[Product ID]],Products!A:A,0))</f>
        <v>200</v>
      </c>
      <c r="W4565" s="77">
        <f>OrdersTable[[#This Row],[Quantity]]*OrdersTable[[#This Row],[Unit Cost]]</f>
        <v>200</v>
      </c>
      <c r="X4565" s="77">
        <f>'Dropdown Lists'!$I$2*(1+OrdersTable[[#This Row],[Returned]])</f>
        <v>60</v>
      </c>
      <c r="Y4565" s="76">
        <f>OrdersTable[[#This Row],[Net Revenue]]-OrdersTable[[#This Row],[COGS]]-OrdersTable[[#This Row],[Shipping Cost]]</f>
        <v>114.25</v>
      </c>
      <c r="Z4565" s="78">
        <f>IFERROR(OrdersTable[[#This Row],[Profit]]/OrdersTable[[#This Row],[Net Revenue]],0)</f>
        <v>0.30527722110888444</v>
      </c>
      <c r="AA4565" t="s">
        <v>4074</v>
      </c>
      <c r="AB4565" s="79">
        <v>45991</v>
      </c>
      <c r="AC4565">
        <f>OrdersTable[[#This Row],[Delivery Date]]-OrdersTable[[#This Row],[Order Date]]</f>
        <v>5</v>
      </c>
      <c r="AD4565" t="str">
        <f>IF(OrdersTable[[#This Row],[Delivery Days]]&lt;=2, "Express (≤2d)", IF(OrdersTable[[#This Row],[Delivery Days]]&lt;=4, "Standard (3-4d)", "Delayed (5d+)"))</f>
        <v>Delayed (5d+)</v>
      </c>
      <c r="AE4565">
        <v>3</v>
      </c>
      <c r="AF4565">
        <v>0</v>
      </c>
    </row>
    <row r="4566" spans="1:32" ht="15" x14ac:dyDescent="0.35">
      <c r="A4566" t="s">
        <v>3826</v>
      </c>
      <c r="B4566" s="1">
        <v>45986</v>
      </c>
      <c r="C4566">
        <f>YEAR(OrdersTable[[#This Row],[Order Date]])</f>
        <v>2025</v>
      </c>
      <c r="D4566" s="2">
        <f>DATE(YEAR(OrdersTable[[#This Row],[Order Date]]),MONTH(OrdersTable[[#This Row],[Order Date]]),1)</f>
        <v>45962</v>
      </c>
      <c r="E4566">
        <f>MONTH(OrdersTable[[#This Row],[Order Date]])</f>
        <v>11</v>
      </c>
      <c r="F4566" t="s">
        <v>3827</v>
      </c>
      <c r="G4566" t="str">
        <f>IF(OrdersTable[[#This Row],[Order Date]]=_xlfn.MINIFS(Order_Date, Customer_ID, OrdersTable[[#This Row],[Customer ID]]), "New", "Repeat")</f>
        <v>New</v>
      </c>
      <c r="H4566" t="s">
        <v>167</v>
      </c>
      <c r="I4566" t="str">
        <f>INDEX(State!B:B,MATCH(OrdersTable[[#This Row],[State]],State!A:A,0))</f>
        <v>KA</v>
      </c>
      <c r="J4566" t="str">
        <f>INDEX(State!C:C,MATCH(OrdersTable[[#This Row],[State Code]],State!B:B,0))</f>
        <v>South</v>
      </c>
      <c r="K4566" t="s">
        <v>168</v>
      </c>
      <c r="L4566" t="s">
        <v>50</v>
      </c>
      <c r="M4566" t="s">
        <v>73</v>
      </c>
      <c r="N4566" t="str">
        <f>INDEX(Products!B:B,MATCH(OrdersTable[[#This Row],[Product ID]],Products!A:A,0))</f>
        <v>Hydrating Face Wash</v>
      </c>
      <c r="O4566" t="str">
        <f>INDEX(Products!C:C,MATCH(OrdersTable[[#This Row],[Product ID]],Products!A:A,0))</f>
        <v>Skincare</v>
      </c>
      <c r="P4566">
        <v>1</v>
      </c>
      <c r="Q4566" s="5">
        <v>299</v>
      </c>
      <c r="R4566" s="74">
        <v>0.15</v>
      </c>
      <c r="S4566" s="75">
        <f>OrdersTable[[#This Row],[Quantity]]*OrdersTable[[#This Row],[Unit Price]]</f>
        <v>299</v>
      </c>
      <c r="T4566" s="5">
        <f>OrdersTable[[#This Row],[Gross Sale]]*OrdersTable[[#This Row],[Discount_Clean2]]</f>
        <v>44.85</v>
      </c>
      <c r="U4566" s="5">
        <f>OrdersTable[[#This Row],[Gross Sale]]-OrdersTable[[#This Row],[Discount Amount]]</f>
        <v>254.15</v>
      </c>
      <c r="V4566" s="77">
        <f>INDEX(Products!E:E,MATCH(OrdersTable[[#This Row],[Product ID]],Products!A:A,0))</f>
        <v>90</v>
      </c>
      <c r="W4566" s="77">
        <f>OrdersTable[[#This Row],[Quantity]]*OrdersTable[[#This Row],[Unit Cost]]</f>
        <v>90</v>
      </c>
      <c r="X4566" s="77">
        <f>'Dropdown Lists'!$I$2*(1+OrdersTable[[#This Row],[Returned]])</f>
        <v>60</v>
      </c>
      <c r="Y4566" s="76">
        <f>OrdersTable[[#This Row],[Net Revenue]]-OrdersTable[[#This Row],[COGS]]-OrdersTable[[#This Row],[Shipping Cost]]</f>
        <v>104.15</v>
      </c>
      <c r="Z4566" s="78">
        <f>IFERROR(OrdersTable[[#This Row],[Profit]]/OrdersTable[[#This Row],[Net Revenue]],0)</f>
        <v>0.40979736376155818</v>
      </c>
      <c r="AA4566" t="s">
        <v>3495</v>
      </c>
      <c r="AB4566" s="79">
        <v>45988</v>
      </c>
      <c r="AC4566">
        <f>OrdersTable[[#This Row],[Delivery Date]]-OrdersTable[[#This Row],[Order Date]]</f>
        <v>2</v>
      </c>
      <c r="AD4566" t="str">
        <f>IF(OrdersTable[[#This Row],[Delivery Days]]&lt;=2, "Express (≤2d)", IF(OrdersTable[[#This Row],[Delivery Days]]&lt;=4, "Standard (3-4d)", "Delayed (5d+)"))</f>
        <v>Express (≤2d)</v>
      </c>
      <c r="AF4566">
        <v>0</v>
      </c>
    </row>
    <row r="4567" spans="1:32" ht="15" x14ac:dyDescent="0.35">
      <c r="A4567" t="s">
        <v>3691</v>
      </c>
      <c r="B4567" s="1">
        <v>45986</v>
      </c>
      <c r="C4567">
        <f>YEAR(OrdersTable[[#This Row],[Order Date]])</f>
        <v>2025</v>
      </c>
      <c r="D4567" s="2">
        <f>DATE(YEAR(OrdersTable[[#This Row],[Order Date]]),MONTH(OrdersTable[[#This Row],[Order Date]]),1)</f>
        <v>45962</v>
      </c>
      <c r="E4567">
        <f>MONTH(OrdersTable[[#This Row],[Order Date]])</f>
        <v>11</v>
      </c>
      <c r="F4567" t="s">
        <v>3692</v>
      </c>
      <c r="G4567" t="str">
        <f>IF(OrdersTable[[#This Row],[Order Date]]=_xlfn.MINIFS(Order_Date, Customer_ID, OrdersTable[[#This Row],[Customer ID]]), "New", "Repeat")</f>
        <v>New</v>
      </c>
      <c r="H4567" t="s">
        <v>316</v>
      </c>
      <c r="I4567" t="str">
        <f>INDEX(State!B:B,MATCH(OrdersTable[[#This Row],[State]],State!A:A,0))</f>
        <v>KL</v>
      </c>
      <c r="J4567" t="str">
        <f>INDEX(State!C:C,MATCH(OrdersTable[[#This Row],[State Code]],State!B:B,0))</f>
        <v>South</v>
      </c>
      <c r="K4567" t="s">
        <v>317</v>
      </c>
      <c r="L4567" t="s">
        <v>65</v>
      </c>
      <c r="M4567" t="s">
        <v>29</v>
      </c>
      <c r="N4567" t="str">
        <f>INDEX(Products!B:B,MATCH(OrdersTable[[#This Row],[Product ID]],Products!A:A,0))</f>
        <v>Joggers</v>
      </c>
      <c r="O4567" t="str">
        <f>INDEX(Products!C:C,MATCH(OrdersTable[[#This Row],[Product ID]],Products!A:A,0))</f>
        <v>Apparel</v>
      </c>
      <c r="P4567">
        <v>1</v>
      </c>
      <c r="Q4567" s="5">
        <v>1199</v>
      </c>
      <c r="R4567" s="74">
        <v>0.35</v>
      </c>
      <c r="S4567" s="75">
        <f>OrdersTable[[#This Row],[Quantity]]*OrdersTable[[#This Row],[Unit Price]]</f>
        <v>1199</v>
      </c>
      <c r="T4567" s="5">
        <f>OrdersTable[[#This Row],[Gross Sale]]*OrdersTable[[#This Row],[Discount_Clean2]]</f>
        <v>419.65</v>
      </c>
      <c r="U4567" s="5">
        <f>OrdersTable[[#This Row],[Gross Sale]]-OrdersTable[[#This Row],[Discount Amount]]</f>
        <v>779.35</v>
      </c>
      <c r="V4567" s="77">
        <f>INDEX(Products!E:E,MATCH(OrdersTable[[#This Row],[Product ID]],Products!A:A,0))</f>
        <v>492</v>
      </c>
      <c r="W4567" s="77">
        <f>OrdersTable[[#This Row],[Quantity]]*OrdersTable[[#This Row],[Unit Cost]]</f>
        <v>492</v>
      </c>
      <c r="X4567" s="77">
        <f>'Dropdown Lists'!$I$2*(1+OrdersTable[[#This Row],[Returned]])</f>
        <v>60</v>
      </c>
      <c r="Y4567" s="76">
        <f>OrdersTable[[#This Row],[Net Revenue]]-OrdersTable[[#This Row],[COGS]]-OrdersTable[[#This Row],[Shipping Cost]]</f>
        <v>227.35000000000002</v>
      </c>
      <c r="Z4567" s="78">
        <f>IFERROR(OrdersTable[[#This Row],[Profit]]/OrdersTable[[#This Row],[Net Revenue]],0)</f>
        <v>0.29171745685507156</v>
      </c>
      <c r="AA4567" t="s">
        <v>3495</v>
      </c>
      <c r="AB4567" s="79">
        <v>45992</v>
      </c>
      <c r="AC4567">
        <f>OrdersTable[[#This Row],[Delivery Date]]-OrdersTable[[#This Row],[Order Date]]</f>
        <v>6</v>
      </c>
      <c r="AD4567" t="str">
        <f>IF(OrdersTable[[#This Row],[Delivery Days]]&lt;=2, "Express (≤2d)", IF(OrdersTable[[#This Row],[Delivery Days]]&lt;=4, "Standard (3-4d)", "Delayed (5d+)"))</f>
        <v>Delayed (5d+)</v>
      </c>
      <c r="AE4567">
        <v>4</v>
      </c>
      <c r="AF4567">
        <v>0</v>
      </c>
    </row>
    <row r="4568" spans="1:32" ht="15" x14ac:dyDescent="0.35">
      <c r="A4568" t="s">
        <v>5644</v>
      </c>
      <c r="B4568" s="1">
        <v>45986</v>
      </c>
      <c r="C4568">
        <f>YEAR(OrdersTable[[#This Row],[Order Date]])</f>
        <v>2025</v>
      </c>
      <c r="D4568" s="2">
        <f>DATE(YEAR(OrdersTable[[#This Row],[Order Date]]),MONTH(OrdersTable[[#This Row],[Order Date]]),1)</f>
        <v>45962</v>
      </c>
      <c r="E4568">
        <f>MONTH(OrdersTable[[#This Row],[Order Date]])</f>
        <v>11</v>
      </c>
      <c r="F4568" t="s">
        <v>1332</v>
      </c>
      <c r="G4568" t="str">
        <f>IF(OrdersTable[[#This Row],[Order Date]]=_xlfn.MINIFS(Order_Date, Customer_ID, OrdersTable[[#This Row],[Customer ID]]), "New", "Repeat")</f>
        <v>Repeat</v>
      </c>
      <c r="H4568" t="s">
        <v>59</v>
      </c>
      <c r="I4568" t="str">
        <f>INDEX(State!B:B,MATCH(OrdersTable[[#This Row],[State]],State!A:A,0))</f>
        <v>TN</v>
      </c>
      <c r="J4568" t="str">
        <f>INDEX(State!C:C,MATCH(OrdersTable[[#This Row],[State Code]],State!B:B,0))</f>
        <v>South</v>
      </c>
      <c r="K4568" t="s">
        <v>64</v>
      </c>
      <c r="L4568" t="s">
        <v>16</v>
      </c>
      <c r="M4568" t="s">
        <v>34</v>
      </c>
      <c r="N4568" t="str">
        <f>INDEX(Products!B:B,MATCH(OrdersTable[[#This Row],[Product ID]],Products!A:A,0))</f>
        <v>Flip Flops</v>
      </c>
      <c r="O4568" t="str">
        <f>INDEX(Products!C:C,MATCH(OrdersTable[[#This Row],[Product ID]],Products!A:A,0))</f>
        <v>Footwear</v>
      </c>
      <c r="P4568">
        <v>2</v>
      </c>
      <c r="Q4568" s="5">
        <v>399</v>
      </c>
      <c r="R4568" s="74">
        <v>0.4</v>
      </c>
      <c r="S4568" s="75">
        <f>OrdersTable[[#This Row],[Quantity]]*OrdersTable[[#This Row],[Unit Price]]</f>
        <v>798</v>
      </c>
      <c r="T4568" s="5">
        <f>OrdersTable[[#This Row],[Gross Sale]]*OrdersTable[[#This Row],[Discount_Clean2]]</f>
        <v>319.20000000000005</v>
      </c>
      <c r="U4568" s="5">
        <f>OrdersTable[[#This Row],[Gross Sale]]-OrdersTable[[#This Row],[Discount Amount]]</f>
        <v>478.79999999999995</v>
      </c>
      <c r="V4568" s="77">
        <f>INDEX(Products!E:E,MATCH(OrdersTable[[#This Row],[Product ID]],Products!A:A,0))</f>
        <v>152</v>
      </c>
      <c r="W4568" s="77">
        <f>OrdersTable[[#This Row],[Quantity]]*OrdersTable[[#This Row],[Unit Cost]]</f>
        <v>304</v>
      </c>
      <c r="X4568" s="77">
        <f>'Dropdown Lists'!$I$2*(1+OrdersTable[[#This Row],[Returned]])</f>
        <v>60</v>
      </c>
      <c r="Y4568" s="76">
        <f>OrdersTable[[#This Row],[Net Revenue]]-OrdersTable[[#This Row],[COGS]]-OrdersTable[[#This Row],[Shipping Cost]]</f>
        <v>114.79999999999995</v>
      </c>
      <c r="Z4568" s="78">
        <f>IFERROR(OrdersTable[[#This Row],[Profit]]/OrdersTable[[#This Row],[Net Revenue]],0)</f>
        <v>0.23976608187134496</v>
      </c>
      <c r="AA4568" t="s">
        <v>2522</v>
      </c>
      <c r="AB4568" s="79">
        <v>45989</v>
      </c>
      <c r="AC4568">
        <f>OrdersTable[[#This Row],[Delivery Date]]-OrdersTable[[#This Row],[Order Date]]</f>
        <v>3</v>
      </c>
      <c r="AD4568" t="str">
        <f>IF(OrdersTable[[#This Row],[Delivery Days]]&lt;=2, "Express (≤2d)", IF(OrdersTable[[#This Row],[Delivery Days]]&lt;=4, "Standard (3-4d)", "Delayed (5d+)"))</f>
        <v>Standard (3-4d)</v>
      </c>
      <c r="AE4568">
        <v>4</v>
      </c>
      <c r="AF4568">
        <v>0</v>
      </c>
    </row>
    <row r="4569" spans="1:32" ht="15" x14ac:dyDescent="0.35">
      <c r="A4569" t="s">
        <v>4887</v>
      </c>
      <c r="B4569" s="1">
        <v>45987</v>
      </c>
      <c r="C4569">
        <f>YEAR(OrdersTable[[#This Row],[Order Date]])</f>
        <v>2025</v>
      </c>
      <c r="D4569" s="2">
        <f>DATE(YEAR(OrdersTable[[#This Row],[Order Date]]),MONTH(OrdersTable[[#This Row],[Order Date]]),1)</f>
        <v>45962</v>
      </c>
      <c r="E4569">
        <f>MONTH(OrdersTable[[#This Row],[Order Date]])</f>
        <v>11</v>
      </c>
      <c r="F4569" t="s">
        <v>2026</v>
      </c>
      <c r="G4569" t="str">
        <f>IF(OrdersTable[[#This Row],[Order Date]]=_xlfn.MINIFS(Order_Date, Customer_ID, OrdersTable[[#This Row],[Customer ID]]), "New", "Repeat")</f>
        <v>Repeat</v>
      </c>
      <c r="H4569" t="s">
        <v>128</v>
      </c>
      <c r="I4569" t="str">
        <f>INDEX(State!B:B,MATCH(OrdersTable[[#This Row],[State]],State!A:A,0))</f>
        <v>DL</v>
      </c>
      <c r="J4569" t="str">
        <f>INDEX(State!C:C,MATCH(OrdersTable[[#This Row],[State Code]],State!B:B,0))</f>
        <v>North</v>
      </c>
      <c r="K4569" t="s">
        <v>129</v>
      </c>
      <c r="L4569" t="s">
        <v>65</v>
      </c>
      <c r="M4569" t="s">
        <v>45</v>
      </c>
      <c r="N4569" t="str">
        <f>INDEX(Products!B:B,MATCH(OrdersTable[[#This Row],[Product ID]],Products!A:A,0))</f>
        <v>Argan Shampoo</v>
      </c>
      <c r="O4569" t="str">
        <f>INDEX(Products!C:C,MATCH(OrdersTable[[#This Row],[Product ID]],Products!A:A,0))</f>
        <v>Haircare</v>
      </c>
      <c r="P4569">
        <v>2</v>
      </c>
      <c r="Q4569" s="5">
        <v>449</v>
      </c>
      <c r="R4569" s="74">
        <v>0.3</v>
      </c>
      <c r="S4569" s="75">
        <f>OrdersTable[[#This Row],[Quantity]]*OrdersTable[[#This Row],[Unit Price]]</f>
        <v>898</v>
      </c>
      <c r="T4569" s="5">
        <f>OrdersTable[[#This Row],[Gross Sale]]*OrdersTable[[#This Row],[Discount_Clean2]]</f>
        <v>269.39999999999998</v>
      </c>
      <c r="U4569" s="5">
        <f>OrdersTable[[#This Row],[Gross Sale]]-OrdersTable[[#This Row],[Discount Amount]]</f>
        <v>628.6</v>
      </c>
      <c r="V4569" s="77">
        <f>INDEX(Products!E:E,MATCH(OrdersTable[[#This Row],[Product ID]],Products!A:A,0))</f>
        <v>148</v>
      </c>
      <c r="W4569" s="77">
        <f>OrdersTable[[#This Row],[Quantity]]*OrdersTable[[#This Row],[Unit Cost]]</f>
        <v>296</v>
      </c>
      <c r="X4569" s="77">
        <f>'Dropdown Lists'!$I$2*(1+OrdersTable[[#This Row],[Returned]])</f>
        <v>60</v>
      </c>
      <c r="Y4569" s="76">
        <f>OrdersTable[[#This Row],[Net Revenue]]-OrdersTable[[#This Row],[COGS]]-OrdersTable[[#This Row],[Shipping Cost]]</f>
        <v>272.60000000000002</v>
      </c>
      <c r="Z4569" s="78">
        <f>IFERROR(OrdersTable[[#This Row],[Profit]]/OrdersTable[[#This Row],[Net Revenue]],0)</f>
        <v>0.43366210626789692</v>
      </c>
      <c r="AA4569" t="s">
        <v>4450</v>
      </c>
      <c r="AB4569" s="79">
        <v>45991</v>
      </c>
      <c r="AC4569">
        <f>OrdersTable[[#This Row],[Delivery Date]]-OrdersTable[[#This Row],[Order Date]]</f>
        <v>4</v>
      </c>
      <c r="AD4569" t="str">
        <f>IF(OrdersTable[[#This Row],[Delivery Days]]&lt;=2, "Express (≤2d)", IF(OrdersTable[[#This Row],[Delivery Days]]&lt;=4, "Standard (3-4d)", "Delayed (5d+)"))</f>
        <v>Standard (3-4d)</v>
      </c>
      <c r="AE4569">
        <v>5</v>
      </c>
      <c r="AF4569">
        <v>0</v>
      </c>
    </row>
    <row r="4570" spans="1:32" ht="15" x14ac:dyDescent="0.35">
      <c r="A4570" t="s">
        <v>3828</v>
      </c>
      <c r="B4570" s="1">
        <v>45987</v>
      </c>
      <c r="C4570">
        <f>YEAR(OrdersTable[[#This Row],[Order Date]])</f>
        <v>2025</v>
      </c>
      <c r="D4570" s="2">
        <f>DATE(YEAR(OrdersTable[[#This Row],[Order Date]]),MONTH(OrdersTable[[#This Row],[Order Date]]),1)</f>
        <v>45962</v>
      </c>
      <c r="E4570">
        <f>MONTH(OrdersTable[[#This Row],[Order Date]])</f>
        <v>11</v>
      </c>
      <c r="F4570" t="s">
        <v>935</v>
      </c>
      <c r="G4570" t="str">
        <f>IF(OrdersTable[[#This Row],[Order Date]]=_xlfn.MINIFS(Order_Date, Customer_ID, OrdersTable[[#This Row],[Customer ID]]), "New", "Repeat")</f>
        <v>Repeat</v>
      </c>
      <c r="H4570" t="s">
        <v>76</v>
      </c>
      <c r="I4570" t="str">
        <f>INDEX(State!B:B,MATCH(OrdersTable[[#This Row],[State]],State!A:A,0))</f>
        <v>UP</v>
      </c>
      <c r="J4570" t="str">
        <f>INDEX(State!C:C,MATCH(OrdersTable[[#This Row],[State Code]],State!B:B,0))</f>
        <v>North</v>
      </c>
      <c r="K4570" t="s">
        <v>105</v>
      </c>
      <c r="L4570" t="s">
        <v>23</v>
      </c>
      <c r="M4570" t="s">
        <v>66</v>
      </c>
      <c r="N4570" t="str">
        <f>INDEX(Products!B:B,MATCH(OrdersTable[[#This Row],[Product ID]],Products!A:A,0))</f>
        <v>Sunscreen SPF 50</v>
      </c>
      <c r="O4570" t="str">
        <f>INDEX(Products!C:C,MATCH(OrdersTable[[#This Row],[Product ID]],Products!A:A,0))</f>
        <v>Skincare</v>
      </c>
      <c r="P4570">
        <v>1</v>
      </c>
      <c r="Q4570" s="5">
        <v>449</v>
      </c>
      <c r="R4570" s="74">
        <v>0.25</v>
      </c>
      <c r="S4570" s="75">
        <f>OrdersTable[[#This Row],[Quantity]]*OrdersTable[[#This Row],[Unit Price]]</f>
        <v>449</v>
      </c>
      <c r="T4570" s="5">
        <f>OrdersTable[[#This Row],[Gross Sale]]*OrdersTable[[#This Row],[Discount_Clean2]]</f>
        <v>112.25</v>
      </c>
      <c r="U4570" s="5">
        <f>OrdersTable[[#This Row],[Gross Sale]]-OrdersTable[[#This Row],[Discount Amount]]</f>
        <v>336.75</v>
      </c>
      <c r="V4570" s="77">
        <f>INDEX(Products!E:E,MATCH(OrdersTable[[#This Row],[Product ID]],Products!A:A,0))</f>
        <v>144</v>
      </c>
      <c r="W4570" s="77">
        <f>OrdersTable[[#This Row],[Quantity]]*OrdersTable[[#This Row],[Unit Cost]]</f>
        <v>144</v>
      </c>
      <c r="X4570" s="77">
        <f>'Dropdown Lists'!$I$2*(1+OrdersTable[[#This Row],[Returned]])</f>
        <v>60</v>
      </c>
      <c r="Y4570" s="76">
        <f>OrdersTable[[#This Row],[Net Revenue]]-OrdersTable[[#This Row],[COGS]]-OrdersTable[[#This Row],[Shipping Cost]]</f>
        <v>132.75</v>
      </c>
      <c r="Z4570" s="78">
        <f>IFERROR(OrdersTable[[#This Row],[Profit]]/OrdersTable[[#This Row],[Net Revenue]],0)</f>
        <v>0.39420935412026725</v>
      </c>
      <c r="AA4570" t="s">
        <v>3495</v>
      </c>
      <c r="AB4570" s="79">
        <v>45991</v>
      </c>
      <c r="AC4570">
        <f>OrdersTable[[#This Row],[Delivery Date]]-OrdersTable[[#This Row],[Order Date]]</f>
        <v>4</v>
      </c>
      <c r="AD4570" t="str">
        <f>IF(OrdersTable[[#This Row],[Delivery Days]]&lt;=2, "Express (≤2d)", IF(OrdersTable[[#This Row],[Delivery Days]]&lt;=4, "Standard (3-4d)", "Delayed (5d+)"))</f>
        <v>Standard (3-4d)</v>
      </c>
      <c r="AF4570">
        <v>0</v>
      </c>
    </row>
    <row r="4571" spans="1:32" ht="15" x14ac:dyDescent="0.35">
      <c r="A4571" t="s">
        <v>5558</v>
      </c>
      <c r="B4571" s="1">
        <v>45987</v>
      </c>
      <c r="C4571">
        <f>YEAR(OrdersTable[[#This Row],[Order Date]])</f>
        <v>2025</v>
      </c>
      <c r="D4571" s="2">
        <f>DATE(YEAR(OrdersTable[[#This Row],[Order Date]]),MONTH(OrdersTable[[#This Row],[Order Date]]),1)</f>
        <v>45962</v>
      </c>
      <c r="E4571">
        <f>MONTH(OrdersTable[[#This Row],[Order Date]])</f>
        <v>11</v>
      </c>
      <c r="F4571" t="s">
        <v>1326</v>
      </c>
      <c r="G4571" t="str">
        <f>IF(OrdersTable[[#This Row],[Order Date]]=_xlfn.MINIFS(Order_Date, Customer_ID, OrdersTable[[#This Row],[Customer ID]]), "New", "Repeat")</f>
        <v>New</v>
      </c>
      <c r="H4571" t="s">
        <v>32</v>
      </c>
      <c r="I4571" t="str">
        <f>INDEX(State!B:B,MATCH(OrdersTable[[#This Row],[State]],State!A:A,0))</f>
        <v>BR</v>
      </c>
      <c r="J4571" t="str">
        <f>INDEX(State!C:C,MATCH(OrdersTable[[#This Row],[State Code]],State!B:B,0))</f>
        <v>East</v>
      </c>
      <c r="K4571" t="s">
        <v>33</v>
      </c>
      <c r="L4571" t="s">
        <v>65</v>
      </c>
      <c r="M4571" t="s">
        <v>78</v>
      </c>
      <c r="N4571" t="str">
        <f>INDEX(Products!B:B,MATCH(OrdersTable[[#This Row],[Product ID]],Products!A:A,0))</f>
        <v>Retinol Night Cream</v>
      </c>
      <c r="O4571" t="str">
        <f>INDEX(Products!C:C,MATCH(OrdersTable[[#This Row],[Product ID]],Products!A:A,0))</f>
        <v>Skincare</v>
      </c>
      <c r="P4571">
        <v>2</v>
      </c>
      <c r="Q4571" s="5">
        <v>799</v>
      </c>
      <c r="R4571" s="74">
        <v>0.15</v>
      </c>
      <c r="S4571" s="75">
        <f>OrdersTable[[#This Row],[Quantity]]*OrdersTable[[#This Row],[Unit Price]]</f>
        <v>1598</v>
      </c>
      <c r="T4571" s="5">
        <f>OrdersTable[[#This Row],[Gross Sale]]*OrdersTable[[#This Row],[Discount_Clean2]]</f>
        <v>239.7</v>
      </c>
      <c r="U4571" s="5">
        <f>OrdersTable[[#This Row],[Gross Sale]]-OrdersTable[[#This Row],[Discount Amount]]</f>
        <v>1358.3</v>
      </c>
      <c r="V4571" s="77">
        <f>INDEX(Products!E:E,MATCH(OrdersTable[[#This Row],[Product ID]],Products!A:A,0))</f>
        <v>216</v>
      </c>
      <c r="W4571" s="77">
        <f>OrdersTable[[#This Row],[Quantity]]*OrdersTable[[#This Row],[Unit Cost]]</f>
        <v>432</v>
      </c>
      <c r="X4571" s="77">
        <f>'Dropdown Lists'!$I$2*(1+OrdersTable[[#This Row],[Returned]])</f>
        <v>120</v>
      </c>
      <c r="Y4571" s="76">
        <f>OrdersTable[[#This Row],[Net Revenue]]-OrdersTable[[#This Row],[COGS]]-OrdersTable[[#This Row],[Shipping Cost]]</f>
        <v>806.3</v>
      </c>
      <c r="Z4571" s="78">
        <f>IFERROR(OrdersTable[[#This Row],[Profit]]/OrdersTable[[#This Row],[Net Revenue]],0)</f>
        <v>0.59360965913273944</v>
      </c>
      <c r="AA4571" t="s">
        <v>2522</v>
      </c>
      <c r="AB4571" s="79">
        <v>45993</v>
      </c>
      <c r="AC4571">
        <f>OrdersTable[[#This Row],[Delivery Date]]-OrdersTable[[#This Row],[Order Date]]</f>
        <v>6</v>
      </c>
      <c r="AD4571" t="str">
        <f>IF(OrdersTable[[#This Row],[Delivery Days]]&lt;=2, "Express (≤2d)", IF(OrdersTable[[#This Row],[Delivery Days]]&lt;=4, "Standard (3-4d)", "Delayed (5d+)"))</f>
        <v>Delayed (5d+)</v>
      </c>
      <c r="AE4571">
        <v>4</v>
      </c>
      <c r="AF4571">
        <v>1</v>
      </c>
    </row>
    <row r="4572" spans="1:32" ht="15" x14ac:dyDescent="0.35">
      <c r="A4572" t="s">
        <v>1314</v>
      </c>
      <c r="B4572" s="1">
        <v>45987</v>
      </c>
      <c r="C4572">
        <f>YEAR(OrdersTable[[#This Row],[Order Date]])</f>
        <v>2025</v>
      </c>
      <c r="D4572" s="2">
        <f>DATE(YEAR(OrdersTable[[#This Row],[Order Date]]),MONTH(OrdersTable[[#This Row],[Order Date]]),1)</f>
        <v>45962</v>
      </c>
      <c r="E4572">
        <f>MONTH(OrdersTable[[#This Row],[Order Date]])</f>
        <v>11</v>
      </c>
      <c r="F4572" t="s">
        <v>1315</v>
      </c>
      <c r="G4572" t="str">
        <f>IF(OrdersTable[[#This Row],[Order Date]]=_xlfn.MINIFS(Order_Date, Customer_ID, OrdersTable[[#This Row],[Customer ID]]), "New", "Repeat")</f>
        <v>Repeat</v>
      </c>
      <c r="H4572" t="s">
        <v>32</v>
      </c>
      <c r="I4572" t="str">
        <f>INDEX(State!B:B,MATCH(OrdersTable[[#This Row],[State]],State!A:A,0))</f>
        <v>BR</v>
      </c>
      <c r="J4572" t="str">
        <f>INDEX(State!C:C,MATCH(OrdersTable[[#This Row],[State Code]],State!B:B,0))</f>
        <v>East</v>
      </c>
      <c r="K4572" t="s">
        <v>33</v>
      </c>
      <c r="L4572" t="s">
        <v>16</v>
      </c>
      <c r="M4572" t="s">
        <v>29</v>
      </c>
      <c r="N4572" t="str">
        <f>INDEX(Products!B:B,MATCH(OrdersTable[[#This Row],[Product ID]],Products!A:A,0))</f>
        <v>Joggers</v>
      </c>
      <c r="O4572" t="str">
        <f>INDEX(Products!C:C,MATCH(OrdersTable[[#This Row],[Product ID]],Products!A:A,0))</f>
        <v>Apparel</v>
      </c>
      <c r="P4572">
        <v>1</v>
      </c>
      <c r="Q4572" s="5">
        <v>1199</v>
      </c>
      <c r="R4572" s="74">
        <v>0.2</v>
      </c>
      <c r="S4572" s="75">
        <f>OrdersTable[[#This Row],[Quantity]]*OrdersTable[[#This Row],[Unit Price]]</f>
        <v>1199</v>
      </c>
      <c r="T4572" s="5">
        <f>OrdersTable[[#This Row],[Gross Sale]]*OrdersTable[[#This Row],[Discount_Clean2]]</f>
        <v>239.8</v>
      </c>
      <c r="U4572" s="5">
        <f>OrdersTable[[#This Row],[Gross Sale]]-OrdersTable[[#This Row],[Discount Amount]]</f>
        <v>959.2</v>
      </c>
      <c r="V4572" s="77">
        <f>INDEX(Products!E:E,MATCH(OrdersTable[[#This Row],[Product ID]],Products!A:A,0))</f>
        <v>492</v>
      </c>
      <c r="W4572" s="77">
        <f>OrdersTable[[#This Row],[Quantity]]*OrdersTable[[#This Row],[Unit Cost]]</f>
        <v>492</v>
      </c>
      <c r="X4572" s="77">
        <f>'Dropdown Lists'!$I$2*(1+OrdersTable[[#This Row],[Returned]])</f>
        <v>60</v>
      </c>
      <c r="Y4572" s="76">
        <f>OrdersTable[[#This Row],[Net Revenue]]-OrdersTable[[#This Row],[COGS]]-OrdersTable[[#This Row],[Shipping Cost]]</f>
        <v>407.20000000000005</v>
      </c>
      <c r="Z4572" s="78">
        <f>IFERROR(OrdersTable[[#This Row],[Profit]]/OrdersTable[[#This Row],[Net Revenue]],0)</f>
        <v>0.42452043369474562</v>
      </c>
      <c r="AA4572" t="s">
        <v>18</v>
      </c>
      <c r="AB4572" s="79">
        <v>45991</v>
      </c>
      <c r="AC4572">
        <f>OrdersTable[[#This Row],[Delivery Date]]-OrdersTable[[#This Row],[Order Date]]</f>
        <v>4</v>
      </c>
      <c r="AD4572" t="str">
        <f>IF(OrdersTable[[#This Row],[Delivery Days]]&lt;=2, "Express (≤2d)", IF(OrdersTable[[#This Row],[Delivery Days]]&lt;=4, "Standard (3-4d)", "Delayed (5d+)"))</f>
        <v>Standard (3-4d)</v>
      </c>
      <c r="AF4572">
        <v>0</v>
      </c>
    </row>
    <row r="4573" spans="1:32" ht="15" x14ac:dyDescent="0.35">
      <c r="A4573" t="s">
        <v>2481</v>
      </c>
      <c r="B4573" s="1">
        <v>45987</v>
      </c>
      <c r="C4573">
        <f>YEAR(OrdersTable[[#This Row],[Order Date]])</f>
        <v>2025</v>
      </c>
      <c r="D4573" s="2">
        <f>DATE(YEAR(OrdersTable[[#This Row],[Order Date]]),MONTH(OrdersTable[[#This Row],[Order Date]]),1)</f>
        <v>45962</v>
      </c>
      <c r="E4573">
        <f>MONTH(OrdersTable[[#This Row],[Order Date]])</f>
        <v>11</v>
      </c>
      <c r="F4573" t="s">
        <v>2482</v>
      </c>
      <c r="G4573" t="str">
        <f>IF(OrdersTable[[#This Row],[Order Date]]=_xlfn.MINIFS(Order_Date, Customer_ID, OrdersTable[[#This Row],[Customer ID]]), "New", "Repeat")</f>
        <v>Repeat</v>
      </c>
      <c r="H4573" t="s">
        <v>37</v>
      </c>
      <c r="I4573" t="str">
        <f>INDEX(State!B:B,MATCH(OrdersTable[[#This Row],[State]],State!A:A,0))</f>
        <v>GJ</v>
      </c>
      <c r="J4573" t="str">
        <f>INDEX(State!C:C,MATCH(OrdersTable[[#This Row],[State Code]],State!B:B,0))</f>
        <v>West</v>
      </c>
      <c r="K4573" t="s">
        <v>38</v>
      </c>
      <c r="L4573" t="s">
        <v>23</v>
      </c>
      <c r="M4573" t="s">
        <v>106</v>
      </c>
      <c r="N4573" t="str">
        <f>INDEX(Products!B:B,MATCH(OrdersTable[[#This Row],[Product ID]],Products!A:A,0))</f>
        <v>Keratin Hair Mask</v>
      </c>
      <c r="O4573" t="str">
        <f>INDEX(Products!C:C,MATCH(OrdersTable[[#This Row],[Product ID]],Products!A:A,0))</f>
        <v>Haircare</v>
      </c>
      <c r="P4573">
        <v>1</v>
      </c>
      <c r="Q4573" s="5">
        <v>549</v>
      </c>
      <c r="R4573" s="74">
        <v>0.15</v>
      </c>
      <c r="S4573" s="75">
        <f>OrdersTable[[#This Row],[Quantity]]*OrdersTable[[#This Row],[Unit Price]]</f>
        <v>549</v>
      </c>
      <c r="T4573" s="5">
        <f>OrdersTable[[#This Row],[Gross Sale]]*OrdersTable[[#This Row],[Discount_Clean2]]</f>
        <v>82.35</v>
      </c>
      <c r="U4573" s="5">
        <f>OrdersTable[[#This Row],[Gross Sale]]-OrdersTable[[#This Row],[Discount Amount]]</f>
        <v>466.65</v>
      </c>
      <c r="V4573" s="77">
        <f>INDEX(Products!E:E,MATCH(OrdersTable[[#This Row],[Product ID]],Products!A:A,0))</f>
        <v>170</v>
      </c>
      <c r="W4573" s="77">
        <f>OrdersTable[[#This Row],[Quantity]]*OrdersTable[[#This Row],[Unit Cost]]</f>
        <v>170</v>
      </c>
      <c r="X4573" s="77">
        <f>'Dropdown Lists'!$I$2*(1+OrdersTable[[#This Row],[Returned]])</f>
        <v>60</v>
      </c>
      <c r="Y4573" s="76">
        <f>OrdersTable[[#This Row],[Net Revenue]]-OrdersTable[[#This Row],[COGS]]-OrdersTable[[#This Row],[Shipping Cost]]</f>
        <v>236.64999999999998</v>
      </c>
      <c r="Z4573" s="78">
        <f>IFERROR(OrdersTable[[#This Row],[Profit]]/OrdersTable[[#This Row],[Net Revenue]],0)</f>
        <v>0.50712525447337398</v>
      </c>
      <c r="AA4573" t="s">
        <v>18</v>
      </c>
      <c r="AB4573" s="79">
        <v>45990</v>
      </c>
      <c r="AC4573">
        <f>OrdersTable[[#This Row],[Delivery Date]]-OrdersTable[[#This Row],[Order Date]]</f>
        <v>3</v>
      </c>
      <c r="AD4573" t="str">
        <f>IF(OrdersTable[[#This Row],[Delivery Days]]&lt;=2, "Express (≤2d)", IF(OrdersTable[[#This Row],[Delivery Days]]&lt;=4, "Standard (3-4d)", "Delayed (5d+)"))</f>
        <v>Standard (3-4d)</v>
      </c>
      <c r="AE4573">
        <v>5</v>
      </c>
      <c r="AF4573">
        <v>0</v>
      </c>
    </row>
    <row r="4574" spans="1:32" ht="15" x14ac:dyDescent="0.35">
      <c r="A4574" t="s">
        <v>5841</v>
      </c>
      <c r="B4574" s="1">
        <v>45987</v>
      </c>
      <c r="C4574">
        <f>YEAR(OrdersTable[[#This Row],[Order Date]])</f>
        <v>2025</v>
      </c>
      <c r="D4574" s="2">
        <f>DATE(YEAR(OrdersTable[[#This Row],[Order Date]]),MONTH(OrdersTable[[#This Row],[Order Date]]),1)</f>
        <v>45962</v>
      </c>
      <c r="E4574">
        <f>MONTH(OrdersTable[[#This Row],[Order Date]])</f>
        <v>11</v>
      </c>
      <c r="F4574" t="s">
        <v>1904</v>
      </c>
      <c r="G4574" t="str">
        <f>IF(OrdersTable[[#This Row],[Order Date]]=_xlfn.MINIFS(Order_Date, Customer_ID, OrdersTable[[#This Row],[Customer ID]]), "New", "Repeat")</f>
        <v>Repeat</v>
      </c>
      <c r="H4574" t="s">
        <v>43</v>
      </c>
      <c r="I4574" t="str">
        <f>INDEX(State!B:B,MATCH(OrdersTable[[#This Row],[State]],State!A:A,0))</f>
        <v>MP</v>
      </c>
      <c r="J4574" t="str">
        <f>INDEX(State!C:C,MATCH(OrdersTable[[#This Row],[State Code]],State!B:B,0))</f>
        <v>West</v>
      </c>
      <c r="K4574" t="s">
        <v>250</v>
      </c>
      <c r="L4574" t="s">
        <v>65</v>
      </c>
      <c r="M4574" t="s">
        <v>255</v>
      </c>
      <c r="N4574" t="str">
        <f>INDEX(Products!B:B,MATCH(OrdersTable[[#This Row],[Product ID]],Products!A:A,0))</f>
        <v>Cotton Oversized T-Shirt</v>
      </c>
      <c r="O4574" t="str">
        <f>INDEX(Products!C:C,MATCH(OrdersTable[[#This Row],[Product ID]],Products!A:A,0))</f>
        <v>Apparel</v>
      </c>
      <c r="P4574">
        <v>2</v>
      </c>
      <c r="Q4574" s="5">
        <v>799</v>
      </c>
      <c r="R4574" s="74">
        <v>0.15</v>
      </c>
      <c r="S4574" s="75">
        <f>OrdersTable[[#This Row],[Quantity]]*OrdersTable[[#This Row],[Unit Price]]</f>
        <v>1598</v>
      </c>
      <c r="T4574" s="5">
        <f>OrdersTable[[#This Row],[Gross Sale]]*OrdersTable[[#This Row],[Discount_Clean2]]</f>
        <v>239.7</v>
      </c>
      <c r="U4574" s="5">
        <f>OrdersTable[[#This Row],[Gross Sale]]-OrdersTable[[#This Row],[Discount Amount]]</f>
        <v>1358.3</v>
      </c>
      <c r="V4574" s="77">
        <f>INDEX(Products!E:E,MATCH(OrdersTable[[#This Row],[Product ID]],Products!A:A,0))</f>
        <v>320</v>
      </c>
      <c r="W4574" s="77">
        <f>OrdersTable[[#This Row],[Quantity]]*OrdersTable[[#This Row],[Unit Cost]]</f>
        <v>640</v>
      </c>
      <c r="X4574" s="77">
        <f>'Dropdown Lists'!$I$2*(1+OrdersTable[[#This Row],[Returned]])</f>
        <v>60</v>
      </c>
      <c r="Y4574" s="76">
        <f>OrdersTable[[#This Row],[Net Revenue]]-OrdersTable[[#This Row],[COGS]]-OrdersTable[[#This Row],[Shipping Cost]]</f>
        <v>658.3</v>
      </c>
      <c r="Z4574" s="78">
        <f>IFERROR(OrdersTable[[#This Row],[Profit]]/OrdersTable[[#This Row],[Net Revenue]],0)</f>
        <v>0.48464993005963336</v>
      </c>
      <c r="AA4574" t="s">
        <v>18</v>
      </c>
      <c r="AB4574" s="79">
        <v>45991</v>
      </c>
      <c r="AC4574">
        <f>OrdersTable[[#This Row],[Delivery Date]]-OrdersTable[[#This Row],[Order Date]]</f>
        <v>4</v>
      </c>
      <c r="AD4574" t="str">
        <f>IF(OrdersTable[[#This Row],[Delivery Days]]&lt;=2, "Express (≤2d)", IF(OrdersTable[[#This Row],[Delivery Days]]&lt;=4, "Standard (3-4d)", "Delayed (5d+)"))</f>
        <v>Standard (3-4d)</v>
      </c>
      <c r="AE4574">
        <v>5</v>
      </c>
      <c r="AF4574">
        <v>0</v>
      </c>
    </row>
    <row r="4575" spans="1:32" ht="15" x14ac:dyDescent="0.35">
      <c r="A4575" t="s">
        <v>6234</v>
      </c>
      <c r="B4575" s="1">
        <v>45987</v>
      </c>
      <c r="C4575">
        <f>YEAR(OrdersTable[[#This Row],[Order Date]])</f>
        <v>2025</v>
      </c>
      <c r="D4575" s="2">
        <f>DATE(YEAR(OrdersTable[[#This Row],[Order Date]]),MONTH(OrdersTable[[#This Row],[Order Date]]),1)</f>
        <v>45962</v>
      </c>
      <c r="E4575">
        <f>MONTH(OrdersTable[[#This Row],[Order Date]])</f>
        <v>11</v>
      </c>
      <c r="F4575" t="s">
        <v>3041</v>
      </c>
      <c r="G4575" t="str">
        <f>IF(OrdersTable[[#This Row],[Order Date]]=_xlfn.MINIFS(Order_Date, Customer_ID, OrdersTable[[#This Row],[Customer ID]]), "New", "Repeat")</f>
        <v>Repeat</v>
      </c>
      <c r="H4575" t="s">
        <v>43</v>
      </c>
      <c r="I4575" t="str">
        <f>INDEX(State!B:B,MATCH(OrdersTable[[#This Row],[State]],State!A:A,0))</f>
        <v>MP</v>
      </c>
      <c r="J4575" t="str">
        <f>INDEX(State!C:C,MATCH(OrdersTable[[#This Row],[State Code]],State!B:B,0))</f>
        <v>West</v>
      </c>
      <c r="K4575" t="s">
        <v>250</v>
      </c>
      <c r="L4575" t="s">
        <v>23</v>
      </c>
      <c r="M4575" t="s">
        <v>45</v>
      </c>
      <c r="N4575" t="str">
        <f>INDEX(Products!B:B,MATCH(OrdersTable[[#This Row],[Product ID]],Products!A:A,0))</f>
        <v>Argan Shampoo</v>
      </c>
      <c r="O4575" t="str">
        <f>INDEX(Products!C:C,MATCH(OrdersTable[[#This Row],[Product ID]],Products!A:A,0))</f>
        <v>Haircare</v>
      </c>
      <c r="P4575">
        <v>2</v>
      </c>
      <c r="Q4575" s="5">
        <v>449</v>
      </c>
      <c r="R4575" s="74">
        <v>0.2</v>
      </c>
      <c r="S4575" s="75">
        <f>OrdersTable[[#This Row],[Quantity]]*OrdersTable[[#This Row],[Unit Price]]</f>
        <v>898</v>
      </c>
      <c r="T4575" s="5">
        <f>OrdersTable[[#This Row],[Gross Sale]]*OrdersTable[[#This Row],[Discount_Clean2]]</f>
        <v>179.60000000000002</v>
      </c>
      <c r="U4575" s="5">
        <f>OrdersTable[[#This Row],[Gross Sale]]-OrdersTable[[#This Row],[Discount Amount]]</f>
        <v>718.4</v>
      </c>
      <c r="V4575" s="77">
        <f>INDEX(Products!E:E,MATCH(OrdersTable[[#This Row],[Product ID]],Products!A:A,0))</f>
        <v>148</v>
      </c>
      <c r="W4575" s="77">
        <f>OrdersTable[[#This Row],[Quantity]]*OrdersTable[[#This Row],[Unit Cost]]</f>
        <v>296</v>
      </c>
      <c r="X4575" s="77">
        <f>'Dropdown Lists'!$I$2*(1+OrdersTable[[#This Row],[Returned]])</f>
        <v>60</v>
      </c>
      <c r="Y4575" s="76">
        <f>OrdersTable[[#This Row],[Net Revenue]]-OrdersTable[[#This Row],[COGS]]-OrdersTable[[#This Row],[Shipping Cost]]</f>
        <v>362.4</v>
      </c>
      <c r="Z4575" s="78">
        <f>IFERROR(OrdersTable[[#This Row],[Profit]]/OrdersTable[[#This Row],[Net Revenue]],0)</f>
        <v>0.50445434298440983</v>
      </c>
      <c r="AA4575" t="s">
        <v>18</v>
      </c>
      <c r="AB4575" s="79">
        <v>45991</v>
      </c>
      <c r="AC4575">
        <f>OrdersTable[[#This Row],[Delivery Date]]-OrdersTable[[#This Row],[Order Date]]</f>
        <v>4</v>
      </c>
      <c r="AD4575" t="str">
        <f>IF(OrdersTable[[#This Row],[Delivery Days]]&lt;=2, "Express (≤2d)", IF(OrdersTable[[#This Row],[Delivery Days]]&lt;=4, "Standard (3-4d)", "Delayed (5d+)"))</f>
        <v>Standard (3-4d)</v>
      </c>
      <c r="AE4575">
        <v>4</v>
      </c>
      <c r="AF4575">
        <v>0</v>
      </c>
    </row>
    <row r="4576" spans="1:32" ht="15" x14ac:dyDescent="0.35">
      <c r="A4576" t="s">
        <v>5559</v>
      </c>
      <c r="B4576" s="1">
        <v>45987</v>
      </c>
      <c r="C4576">
        <f>YEAR(OrdersTable[[#This Row],[Order Date]])</f>
        <v>2025</v>
      </c>
      <c r="D4576" s="2">
        <f>DATE(YEAR(OrdersTable[[#This Row],[Order Date]]),MONTH(OrdersTable[[#This Row],[Order Date]]),1)</f>
        <v>45962</v>
      </c>
      <c r="E4576">
        <f>MONTH(OrdersTable[[#This Row],[Order Date]])</f>
        <v>11</v>
      </c>
      <c r="F4576" t="s">
        <v>2775</v>
      </c>
      <c r="G4576" t="str">
        <f>IF(OrdersTable[[#This Row],[Order Date]]=_xlfn.MINIFS(Order_Date, Customer_ID, OrdersTable[[#This Row],[Customer ID]]), "New", "Repeat")</f>
        <v>Repeat</v>
      </c>
      <c r="H4576" t="s">
        <v>123</v>
      </c>
      <c r="I4576" t="str">
        <f>INDEX(State!B:B,MATCH(OrdersTable[[#This Row],[State]],State!A:A,0))</f>
        <v>JH</v>
      </c>
      <c r="J4576" t="str">
        <f>INDEX(State!C:C,MATCH(OrdersTable[[#This Row],[State Code]],State!B:B,0))</f>
        <v>East</v>
      </c>
      <c r="K4576" t="s">
        <v>124</v>
      </c>
      <c r="L4576" t="s">
        <v>65</v>
      </c>
      <c r="M4576" t="s">
        <v>423</v>
      </c>
      <c r="N4576" t="str">
        <f>INDEX(Products!B:B,MATCH(OrdersTable[[#This Row],[Product ID]],Products!A:A,0))</f>
        <v>Power Bank 20000mAh</v>
      </c>
      <c r="O4576" t="str">
        <f>INDEX(Products!C:C,MATCH(OrdersTable[[#This Row],[Product ID]],Products!A:A,0))</f>
        <v>Electronics</v>
      </c>
      <c r="P4576">
        <v>2</v>
      </c>
      <c r="Q4576" s="5">
        <v>1799</v>
      </c>
      <c r="R4576" s="74">
        <v>0.5</v>
      </c>
      <c r="S4576" s="75">
        <f>OrdersTable[[#This Row],[Quantity]]*OrdersTable[[#This Row],[Unit Price]]</f>
        <v>3598</v>
      </c>
      <c r="T4576" s="5">
        <f>OrdersTable[[#This Row],[Gross Sale]]*OrdersTable[[#This Row],[Discount_Clean2]]</f>
        <v>1799</v>
      </c>
      <c r="U4576" s="5">
        <f>OrdersTable[[#This Row],[Gross Sale]]-OrdersTable[[#This Row],[Discount Amount]]</f>
        <v>1799</v>
      </c>
      <c r="V4576" s="77">
        <f>INDEX(Products!E:E,MATCH(OrdersTable[[#This Row],[Product ID]],Products!A:A,0))</f>
        <v>1079</v>
      </c>
      <c r="W4576" s="77">
        <f>OrdersTable[[#This Row],[Quantity]]*OrdersTable[[#This Row],[Unit Cost]]</f>
        <v>2158</v>
      </c>
      <c r="X4576" s="77">
        <f>'Dropdown Lists'!$I$2*(1+OrdersTable[[#This Row],[Returned]])</f>
        <v>60</v>
      </c>
      <c r="Y4576" s="76">
        <f>OrdersTable[[#This Row],[Net Revenue]]-OrdersTable[[#This Row],[COGS]]-OrdersTable[[#This Row],[Shipping Cost]]</f>
        <v>-419</v>
      </c>
      <c r="Z4576" s="78">
        <f>IFERROR(OrdersTable[[#This Row],[Profit]]/OrdersTable[[#This Row],[Net Revenue]],0)</f>
        <v>-0.23290717065036132</v>
      </c>
      <c r="AA4576" t="s">
        <v>2522</v>
      </c>
      <c r="AB4576" s="79">
        <v>45990</v>
      </c>
      <c r="AC4576">
        <f>OrdersTable[[#This Row],[Delivery Date]]-OrdersTable[[#This Row],[Order Date]]</f>
        <v>3</v>
      </c>
      <c r="AD4576" t="str">
        <f>IF(OrdersTable[[#This Row],[Delivery Days]]&lt;=2, "Express (≤2d)", IF(OrdersTable[[#This Row],[Delivery Days]]&lt;=4, "Standard (3-4d)", "Delayed (5d+)"))</f>
        <v>Standard (3-4d)</v>
      </c>
      <c r="AE4576">
        <v>4</v>
      </c>
      <c r="AF4576">
        <v>0</v>
      </c>
    </row>
    <row r="4577" spans="1:32" ht="15" x14ac:dyDescent="0.35">
      <c r="A4577" t="s">
        <v>6648</v>
      </c>
      <c r="B4577" s="1">
        <v>45987</v>
      </c>
      <c r="C4577">
        <f>YEAR(OrdersTable[[#This Row],[Order Date]])</f>
        <v>2025</v>
      </c>
      <c r="D4577" s="2">
        <f>DATE(YEAR(OrdersTable[[#This Row],[Order Date]]),MONTH(OrdersTable[[#This Row],[Order Date]]),1)</f>
        <v>45962</v>
      </c>
      <c r="E4577">
        <f>MONTH(OrdersTable[[#This Row],[Order Date]])</f>
        <v>11</v>
      </c>
      <c r="F4577" t="s">
        <v>915</v>
      </c>
      <c r="G4577" t="str">
        <f>IF(OrdersTable[[#This Row],[Order Date]]=_xlfn.MINIFS(Order_Date, Customer_ID, OrdersTable[[#This Row],[Customer ID]]), "New", "Repeat")</f>
        <v>Repeat</v>
      </c>
      <c r="H4577" t="s">
        <v>90</v>
      </c>
      <c r="I4577" t="str">
        <f>INDEX(State!B:B,MATCH(OrdersTable[[#This Row],[State]],State!A:A,0))</f>
        <v>GA</v>
      </c>
      <c r="J4577" t="str">
        <f>INDEX(State!C:C,MATCH(OrdersTable[[#This Row],[State Code]],State!B:B,0))</f>
        <v>West</v>
      </c>
      <c r="K4577" t="s">
        <v>91</v>
      </c>
      <c r="L4577" t="s">
        <v>50</v>
      </c>
      <c r="M4577" t="s">
        <v>66</v>
      </c>
      <c r="N4577" t="str">
        <f>INDEX(Products!B:B,MATCH(OrdersTable[[#This Row],[Product ID]],Products!A:A,0))</f>
        <v>Sunscreen SPF 50</v>
      </c>
      <c r="O4577" t="str">
        <f>INDEX(Products!C:C,MATCH(OrdersTable[[#This Row],[Product ID]],Products!A:A,0))</f>
        <v>Skincare</v>
      </c>
      <c r="P4577">
        <v>3</v>
      </c>
      <c r="Q4577" s="5">
        <v>449</v>
      </c>
      <c r="R4577" s="74">
        <v>0.15</v>
      </c>
      <c r="S4577" s="75">
        <f>OrdersTable[[#This Row],[Quantity]]*OrdersTable[[#This Row],[Unit Price]]</f>
        <v>1347</v>
      </c>
      <c r="T4577" s="5">
        <f>OrdersTable[[#This Row],[Gross Sale]]*OrdersTable[[#This Row],[Discount_Clean2]]</f>
        <v>202.04999999999998</v>
      </c>
      <c r="U4577" s="5">
        <f>OrdersTable[[#This Row],[Gross Sale]]-OrdersTable[[#This Row],[Discount Amount]]</f>
        <v>1144.95</v>
      </c>
      <c r="V4577" s="77">
        <f>INDEX(Products!E:E,MATCH(OrdersTable[[#This Row],[Product ID]],Products!A:A,0))</f>
        <v>144</v>
      </c>
      <c r="W4577" s="77">
        <f>OrdersTable[[#This Row],[Quantity]]*OrdersTable[[#This Row],[Unit Cost]]</f>
        <v>432</v>
      </c>
      <c r="X4577" s="77">
        <f>'Dropdown Lists'!$I$2*(1+OrdersTable[[#This Row],[Returned]])</f>
        <v>60</v>
      </c>
      <c r="Y4577" s="76">
        <f>OrdersTable[[#This Row],[Net Revenue]]-OrdersTable[[#This Row],[COGS]]-OrdersTable[[#This Row],[Shipping Cost]]</f>
        <v>652.95000000000005</v>
      </c>
      <c r="Z4577" s="78">
        <f>IFERROR(OrdersTable[[#This Row],[Profit]]/OrdersTable[[#This Row],[Net Revenue]],0)</f>
        <v>0.57028691209223115</v>
      </c>
      <c r="AA4577" t="s">
        <v>18</v>
      </c>
      <c r="AB4577" s="79">
        <v>45992</v>
      </c>
      <c r="AC4577">
        <f>OrdersTable[[#This Row],[Delivery Date]]-OrdersTable[[#This Row],[Order Date]]</f>
        <v>5</v>
      </c>
      <c r="AD4577" t="str">
        <f>IF(OrdersTable[[#This Row],[Delivery Days]]&lt;=2, "Express (≤2d)", IF(OrdersTable[[#This Row],[Delivery Days]]&lt;=4, "Standard (3-4d)", "Delayed (5d+)"))</f>
        <v>Delayed (5d+)</v>
      </c>
      <c r="AE4577">
        <v>4</v>
      </c>
      <c r="AF4577">
        <v>0</v>
      </c>
    </row>
    <row r="4578" spans="1:32" ht="15" x14ac:dyDescent="0.35">
      <c r="A4578" t="s">
        <v>3487</v>
      </c>
      <c r="B4578" s="1">
        <v>45987</v>
      </c>
      <c r="C4578">
        <f>YEAR(OrdersTable[[#This Row],[Order Date]])</f>
        <v>2025</v>
      </c>
      <c r="D4578" s="2">
        <f>DATE(YEAR(OrdersTable[[#This Row],[Order Date]]),MONTH(OrdersTable[[#This Row],[Order Date]]),1)</f>
        <v>45962</v>
      </c>
      <c r="E4578">
        <f>MONTH(OrdersTable[[#This Row],[Order Date]])</f>
        <v>11</v>
      </c>
      <c r="F4578" t="s">
        <v>3488</v>
      </c>
      <c r="G4578" t="str">
        <f>IF(OrdersTable[[#This Row],[Order Date]]=_xlfn.MINIFS(Order_Date, Customer_ID, OrdersTable[[#This Row],[Customer ID]]), "New", "Repeat")</f>
        <v>New</v>
      </c>
      <c r="H4578" t="s">
        <v>275</v>
      </c>
      <c r="I4578" t="str">
        <f>INDEX(State!B:B,MATCH(OrdersTable[[#This Row],[State]],State!A:A,0))</f>
        <v>AP</v>
      </c>
      <c r="J4578" t="str">
        <f>INDEX(State!C:C,MATCH(OrdersTable[[#This Row],[State Code]],State!B:B,0))</f>
        <v>South</v>
      </c>
      <c r="K4578" t="s">
        <v>491</v>
      </c>
      <c r="L4578" t="s">
        <v>65</v>
      </c>
      <c r="M4578" t="s">
        <v>29</v>
      </c>
      <c r="N4578" t="str">
        <f>INDEX(Products!B:B,MATCH(OrdersTable[[#This Row],[Product ID]],Products!A:A,0))</f>
        <v>Joggers</v>
      </c>
      <c r="O4578" t="str">
        <f>INDEX(Products!C:C,MATCH(OrdersTable[[#This Row],[Product ID]],Products!A:A,0))</f>
        <v>Apparel</v>
      </c>
      <c r="P4578">
        <v>1</v>
      </c>
      <c r="Q4578" s="5">
        <v>1199</v>
      </c>
      <c r="R4578" s="74">
        <v>0.25</v>
      </c>
      <c r="S4578" s="75">
        <f>OrdersTable[[#This Row],[Quantity]]*OrdersTable[[#This Row],[Unit Price]]</f>
        <v>1199</v>
      </c>
      <c r="T4578" s="5">
        <f>OrdersTable[[#This Row],[Gross Sale]]*OrdersTable[[#This Row],[Discount_Clean2]]</f>
        <v>299.75</v>
      </c>
      <c r="U4578" s="5">
        <f>OrdersTable[[#This Row],[Gross Sale]]-OrdersTable[[#This Row],[Discount Amount]]</f>
        <v>899.25</v>
      </c>
      <c r="V4578" s="77">
        <f>INDEX(Products!E:E,MATCH(OrdersTable[[#This Row],[Product ID]],Products!A:A,0))</f>
        <v>492</v>
      </c>
      <c r="W4578" s="77">
        <f>OrdersTable[[#This Row],[Quantity]]*OrdersTable[[#This Row],[Unit Cost]]</f>
        <v>492</v>
      </c>
      <c r="X4578" s="77">
        <f>'Dropdown Lists'!$I$2*(1+OrdersTable[[#This Row],[Returned]])</f>
        <v>60</v>
      </c>
      <c r="Y4578" s="76">
        <f>OrdersTable[[#This Row],[Net Revenue]]-OrdersTable[[#This Row],[COGS]]-OrdersTable[[#This Row],[Shipping Cost]]</f>
        <v>347.25</v>
      </c>
      <c r="Z4578" s="78">
        <f>IFERROR(OrdersTable[[#This Row],[Profit]]/OrdersTable[[#This Row],[Net Revenue]],0)</f>
        <v>0.38615512927439533</v>
      </c>
      <c r="AA4578" t="s">
        <v>2522</v>
      </c>
      <c r="AB4578" s="79">
        <v>45991</v>
      </c>
      <c r="AC4578">
        <f>OrdersTable[[#This Row],[Delivery Date]]-OrdersTable[[#This Row],[Order Date]]</f>
        <v>4</v>
      </c>
      <c r="AD4578" t="str">
        <f>IF(OrdersTable[[#This Row],[Delivery Days]]&lt;=2, "Express (≤2d)", IF(OrdersTable[[#This Row],[Delivery Days]]&lt;=4, "Standard (3-4d)", "Delayed (5d+)"))</f>
        <v>Standard (3-4d)</v>
      </c>
      <c r="AE4578">
        <v>4</v>
      </c>
      <c r="AF4578">
        <v>0</v>
      </c>
    </row>
    <row r="4579" spans="1:32" ht="15" x14ac:dyDescent="0.35">
      <c r="A4579" t="s">
        <v>3489</v>
      </c>
      <c r="B4579" s="1">
        <v>45987</v>
      </c>
      <c r="C4579">
        <f>YEAR(OrdersTable[[#This Row],[Order Date]])</f>
        <v>2025</v>
      </c>
      <c r="D4579" s="2">
        <f>DATE(YEAR(OrdersTable[[#This Row],[Order Date]]),MONTH(OrdersTable[[#This Row],[Order Date]]),1)</f>
        <v>45962</v>
      </c>
      <c r="E4579">
        <f>MONTH(OrdersTable[[#This Row],[Order Date]])</f>
        <v>11</v>
      </c>
      <c r="F4579" t="s">
        <v>3211</v>
      </c>
      <c r="G4579" t="str">
        <f>IF(OrdersTable[[#This Row],[Order Date]]=_xlfn.MINIFS(Order_Date, Customer_ID, OrdersTable[[#This Row],[Customer ID]]), "New", "Repeat")</f>
        <v>Repeat</v>
      </c>
      <c r="H4579" t="s">
        <v>316</v>
      </c>
      <c r="I4579" t="str">
        <f>INDEX(State!B:B,MATCH(OrdersTable[[#This Row],[State]],State!A:A,0))</f>
        <v>KL</v>
      </c>
      <c r="J4579" t="str">
        <f>INDEX(State!C:C,MATCH(OrdersTable[[#This Row],[State Code]],State!B:B,0))</f>
        <v>South</v>
      </c>
      <c r="K4579" t="s">
        <v>338</v>
      </c>
      <c r="L4579" t="s">
        <v>65</v>
      </c>
      <c r="M4579" t="s">
        <v>29</v>
      </c>
      <c r="N4579" t="str">
        <f>INDEX(Products!B:B,MATCH(OrdersTable[[#This Row],[Product ID]],Products!A:A,0))</f>
        <v>Joggers</v>
      </c>
      <c r="O4579" t="str">
        <f>INDEX(Products!C:C,MATCH(OrdersTable[[#This Row],[Product ID]],Products!A:A,0))</f>
        <v>Apparel</v>
      </c>
      <c r="P4579">
        <v>1</v>
      </c>
      <c r="Q4579" s="5">
        <v>1199</v>
      </c>
      <c r="R4579" s="74">
        <v>0.25</v>
      </c>
      <c r="S4579" s="75">
        <f>OrdersTable[[#This Row],[Quantity]]*OrdersTable[[#This Row],[Unit Price]]</f>
        <v>1199</v>
      </c>
      <c r="T4579" s="5">
        <f>OrdersTable[[#This Row],[Gross Sale]]*OrdersTable[[#This Row],[Discount_Clean2]]</f>
        <v>299.75</v>
      </c>
      <c r="U4579" s="5">
        <f>OrdersTable[[#This Row],[Gross Sale]]-OrdersTable[[#This Row],[Discount Amount]]</f>
        <v>899.25</v>
      </c>
      <c r="V4579" s="77">
        <f>INDEX(Products!E:E,MATCH(OrdersTable[[#This Row],[Product ID]],Products!A:A,0))</f>
        <v>492</v>
      </c>
      <c r="W4579" s="77">
        <f>OrdersTable[[#This Row],[Quantity]]*OrdersTable[[#This Row],[Unit Cost]]</f>
        <v>492</v>
      </c>
      <c r="X4579" s="77">
        <f>'Dropdown Lists'!$I$2*(1+OrdersTable[[#This Row],[Returned]])</f>
        <v>60</v>
      </c>
      <c r="Y4579" s="76">
        <f>OrdersTable[[#This Row],[Net Revenue]]-OrdersTable[[#This Row],[COGS]]-OrdersTable[[#This Row],[Shipping Cost]]</f>
        <v>347.25</v>
      </c>
      <c r="Z4579" s="78">
        <f>IFERROR(OrdersTable[[#This Row],[Profit]]/OrdersTable[[#This Row],[Net Revenue]],0)</f>
        <v>0.38615512927439533</v>
      </c>
      <c r="AA4579" t="s">
        <v>2522</v>
      </c>
      <c r="AB4579" s="79">
        <v>45993</v>
      </c>
      <c r="AC4579">
        <f>OrdersTable[[#This Row],[Delivery Date]]-OrdersTable[[#This Row],[Order Date]]</f>
        <v>6</v>
      </c>
      <c r="AD4579" t="str">
        <f>IF(OrdersTable[[#This Row],[Delivery Days]]&lt;=2, "Express (≤2d)", IF(OrdersTable[[#This Row],[Delivery Days]]&lt;=4, "Standard (3-4d)", "Delayed (5d+)"))</f>
        <v>Delayed (5d+)</v>
      </c>
      <c r="AE4579">
        <v>4</v>
      </c>
      <c r="AF4579">
        <v>0</v>
      </c>
    </row>
    <row r="4580" spans="1:32" ht="15" x14ac:dyDescent="0.35">
      <c r="A4580" t="s">
        <v>3693</v>
      </c>
      <c r="B4580" s="1">
        <v>45987</v>
      </c>
      <c r="C4580">
        <f>YEAR(OrdersTable[[#This Row],[Order Date]])</f>
        <v>2025</v>
      </c>
      <c r="D4580" s="2">
        <f>DATE(YEAR(OrdersTable[[#This Row],[Order Date]]),MONTH(OrdersTable[[#This Row],[Order Date]]),1)</f>
        <v>45962</v>
      </c>
      <c r="E4580">
        <f>MONTH(OrdersTable[[#This Row],[Order Date]])</f>
        <v>11</v>
      </c>
      <c r="F4580" t="s">
        <v>3694</v>
      </c>
      <c r="G4580" t="str">
        <f>IF(OrdersTable[[#This Row],[Order Date]]=_xlfn.MINIFS(Order_Date, Customer_ID, OrdersTable[[#This Row],[Customer ID]]), "New", "Repeat")</f>
        <v>Repeat</v>
      </c>
      <c r="H4580" t="s">
        <v>316</v>
      </c>
      <c r="I4580" t="str">
        <f>INDEX(State!B:B,MATCH(OrdersTable[[#This Row],[State]],State!A:A,0))</f>
        <v>KL</v>
      </c>
      <c r="J4580" t="str">
        <f>INDEX(State!C:C,MATCH(OrdersTable[[#This Row],[State Code]],State!B:B,0))</f>
        <v>South</v>
      </c>
      <c r="K4580" t="s">
        <v>317</v>
      </c>
      <c r="L4580" t="s">
        <v>23</v>
      </c>
      <c r="M4580" t="s">
        <v>66</v>
      </c>
      <c r="N4580" t="str">
        <f>INDEX(Products!B:B,MATCH(OrdersTable[[#This Row],[Product ID]],Products!A:A,0))</f>
        <v>Sunscreen SPF 50</v>
      </c>
      <c r="O4580" t="str">
        <f>INDEX(Products!C:C,MATCH(OrdersTable[[#This Row],[Product ID]],Products!A:A,0))</f>
        <v>Skincare</v>
      </c>
      <c r="P4580">
        <v>1</v>
      </c>
      <c r="Q4580" s="5">
        <v>449</v>
      </c>
      <c r="R4580" s="74">
        <v>0.3</v>
      </c>
      <c r="S4580" s="75">
        <f>OrdersTable[[#This Row],[Quantity]]*OrdersTable[[#This Row],[Unit Price]]</f>
        <v>449</v>
      </c>
      <c r="T4580" s="5">
        <f>OrdersTable[[#This Row],[Gross Sale]]*OrdersTable[[#This Row],[Discount_Clean2]]</f>
        <v>134.69999999999999</v>
      </c>
      <c r="U4580" s="5">
        <f>OrdersTable[[#This Row],[Gross Sale]]-OrdersTable[[#This Row],[Discount Amount]]</f>
        <v>314.3</v>
      </c>
      <c r="V4580" s="77">
        <f>INDEX(Products!E:E,MATCH(OrdersTable[[#This Row],[Product ID]],Products!A:A,0))</f>
        <v>144</v>
      </c>
      <c r="W4580" s="77">
        <f>OrdersTable[[#This Row],[Quantity]]*OrdersTable[[#This Row],[Unit Cost]]</f>
        <v>144</v>
      </c>
      <c r="X4580" s="77">
        <f>'Dropdown Lists'!$I$2*(1+OrdersTable[[#This Row],[Returned]])</f>
        <v>60</v>
      </c>
      <c r="Y4580" s="76">
        <f>OrdersTable[[#This Row],[Net Revenue]]-OrdersTable[[#This Row],[COGS]]-OrdersTable[[#This Row],[Shipping Cost]]</f>
        <v>110.30000000000001</v>
      </c>
      <c r="Z4580" s="78">
        <f>IFERROR(OrdersTable[[#This Row],[Profit]]/OrdersTable[[#This Row],[Net Revenue]],0)</f>
        <v>0.35093859370028635</v>
      </c>
      <c r="AA4580" t="s">
        <v>3495</v>
      </c>
      <c r="AB4580" s="79">
        <v>45989</v>
      </c>
      <c r="AC4580">
        <f>OrdersTable[[#This Row],[Delivery Date]]-OrdersTable[[#This Row],[Order Date]]</f>
        <v>2</v>
      </c>
      <c r="AD4580" t="str">
        <f>IF(OrdersTable[[#This Row],[Delivery Days]]&lt;=2, "Express (≤2d)", IF(OrdersTable[[#This Row],[Delivery Days]]&lt;=4, "Standard (3-4d)", "Delayed (5d+)"))</f>
        <v>Express (≤2d)</v>
      </c>
      <c r="AE4580">
        <v>4</v>
      </c>
      <c r="AF4580">
        <v>0</v>
      </c>
    </row>
    <row r="4581" spans="1:32" ht="15" x14ac:dyDescent="0.35">
      <c r="A4581" t="s">
        <v>6235</v>
      </c>
      <c r="B4581" s="1">
        <v>45987</v>
      </c>
      <c r="C4581">
        <f>YEAR(OrdersTable[[#This Row],[Order Date]])</f>
        <v>2025</v>
      </c>
      <c r="D4581" s="2">
        <f>DATE(YEAR(OrdersTable[[#This Row],[Order Date]]),MONTH(OrdersTable[[#This Row],[Order Date]]),1)</f>
        <v>45962</v>
      </c>
      <c r="E4581">
        <f>MONTH(OrdersTable[[#This Row],[Order Date]])</f>
        <v>11</v>
      </c>
      <c r="F4581" t="s">
        <v>6236</v>
      </c>
      <c r="G4581" t="str">
        <f>IF(OrdersTable[[#This Row],[Order Date]]=_xlfn.MINIFS(Order_Date, Customer_ID, OrdersTable[[#This Row],[Customer ID]]), "New", "Repeat")</f>
        <v>New</v>
      </c>
      <c r="H4581" t="s">
        <v>59</v>
      </c>
      <c r="I4581" t="str">
        <f>INDEX(State!B:B,MATCH(OrdersTable[[#This Row],[State]],State!A:A,0))</f>
        <v>TN</v>
      </c>
      <c r="J4581" t="str">
        <f>INDEX(State!C:C,MATCH(OrdersTable[[#This Row],[State Code]],State!B:B,0))</f>
        <v>South</v>
      </c>
      <c r="K4581" t="s">
        <v>64</v>
      </c>
      <c r="L4581" t="s">
        <v>39</v>
      </c>
      <c r="M4581" t="s">
        <v>106</v>
      </c>
      <c r="N4581" t="str">
        <f>INDEX(Products!B:B,MATCH(OrdersTable[[#This Row],[Product ID]],Products!A:A,0))</f>
        <v>Keratin Hair Mask</v>
      </c>
      <c r="O4581" t="str">
        <f>INDEX(Products!C:C,MATCH(OrdersTable[[#This Row],[Product ID]],Products!A:A,0))</f>
        <v>Haircare</v>
      </c>
      <c r="P4581">
        <v>2</v>
      </c>
      <c r="Q4581" s="5">
        <v>549</v>
      </c>
      <c r="R4581" s="74">
        <v>0.35</v>
      </c>
      <c r="S4581" s="75">
        <f>OrdersTable[[#This Row],[Quantity]]*OrdersTable[[#This Row],[Unit Price]]</f>
        <v>1098</v>
      </c>
      <c r="T4581" s="5">
        <f>OrdersTable[[#This Row],[Gross Sale]]*OrdersTable[[#This Row],[Discount_Clean2]]</f>
        <v>384.29999999999995</v>
      </c>
      <c r="U4581" s="5">
        <f>OrdersTable[[#This Row],[Gross Sale]]-OrdersTable[[#This Row],[Discount Amount]]</f>
        <v>713.7</v>
      </c>
      <c r="V4581" s="77">
        <f>INDEX(Products!E:E,MATCH(OrdersTable[[#This Row],[Product ID]],Products!A:A,0))</f>
        <v>170</v>
      </c>
      <c r="W4581" s="77">
        <f>OrdersTable[[#This Row],[Quantity]]*OrdersTable[[#This Row],[Unit Cost]]</f>
        <v>340</v>
      </c>
      <c r="X4581" s="77">
        <f>'Dropdown Lists'!$I$2*(1+OrdersTable[[#This Row],[Returned]])</f>
        <v>60</v>
      </c>
      <c r="Y4581" s="76">
        <f>OrdersTable[[#This Row],[Net Revenue]]-OrdersTable[[#This Row],[COGS]]-OrdersTable[[#This Row],[Shipping Cost]]</f>
        <v>313.70000000000005</v>
      </c>
      <c r="Z4581" s="78">
        <f>IFERROR(OrdersTable[[#This Row],[Profit]]/OrdersTable[[#This Row],[Net Revenue]],0)</f>
        <v>0.43954042314698055</v>
      </c>
      <c r="AA4581" t="s">
        <v>18</v>
      </c>
      <c r="AB4581" s="79">
        <v>45989</v>
      </c>
      <c r="AC4581">
        <f>OrdersTable[[#This Row],[Delivery Date]]-OrdersTable[[#This Row],[Order Date]]</f>
        <v>2</v>
      </c>
      <c r="AD4581" t="str">
        <f>IF(OrdersTable[[#This Row],[Delivery Days]]&lt;=2, "Express (≤2d)", IF(OrdersTable[[#This Row],[Delivery Days]]&lt;=4, "Standard (3-4d)", "Delayed (5d+)"))</f>
        <v>Express (≤2d)</v>
      </c>
      <c r="AE4581">
        <v>4</v>
      </c>
      <c r="AF4581">
        <v>0</v>
      </c>
    </row>
    <row r="4582" spans="1:32" ht="15" x14ac:dyDescent="0.35">
      <c r="A4582" t="s">
        <v>5277</v>
      </c>
      <c r="B4582" s="1">
        <v>45987</v>
      </c>
      <c r="C4582">
        <f>YEAR(OrdersTable[[#This Row],[Order Date]])</f>
        <v>2025</v>
      </c>
      <c r="D4582" s="2">
        <f>DATE(YEAR(OrdersTable[[#This Row],[Order Date]]),MONTH(OrdersTable[[#This Row],[Order Date]]),1)</f>
        <v>45962</v>
      </c>
      <c r="E4582">
        <f>MONTH(OrdersTable[[#This Row],[Order Date]])</f>
        <v>11</v>
      </c>
      <c r="F4582" t="s">
        <v>2579</v>
      </c>
      <c r="G4582" t="str">
        <f>IF(OrdersTable[[#This Row],[Order Date]]=_xlfn.MINIFS(Order_Date, Customer_ID, OrdersTable[[#This Row],[Customer ID]]), "New", "Repeat")</f>
        <v>Repeat</v>
      </c>
      <c r="H4582" t="s">
        <v>59</v>
      </c>
      <c r="I4582" t="str">
        <f>INDEX(State!B:B,MATCH(OrdersTable[[#This Row],[State]],State!A:A,0))</f>
        <v>TN</v>
      </c>
      <c r="J4582" t="str">
        <f>INDEX(State!C:C,MATCH(OrdersTable[[#This Row],[State Code]],State!B:B,0))</f>
        <v>South</v>
      </c>
      <c r="K4582" t="s">
        <v>60</v>
      </c>
      <c r="L4582" t="s">
        <v>65</v>
      </c>
      <c r="M4582" t="s">
        <v>152</v>
      </c>
      <c r="N4582" t="str">
        <f>INDEX(Products!B:B,MATCH(OrdersTable[[#This Row],[Product ID]],Products!A:A,0))</f>
        <v>Green Tea (100 bags)</v>
      </c>
      <c r="O4582" t="str">
        <f>INDEX(Products!C:C,MATCH(OrdersTable[[#This Row],[Product ID]],Products!A:A,0))</f>
        <v>Wellness</v>
      </c>
      <c r="P4582">
        <v>2</v>
      </c>
      <c r="Q4582" s="5">
        <v>399</v>
      </c>
      <c r="R4582" s="74">
        <v>0.5</v>
      </c>
      <c r="S4582" s="75">
        <f>OrdersTable[[#This Row],[Quantity]]*OrdersTable[[#This Row],[Unit Price]]</f>
        <v>798</v>
      </c>
      <c r="T4582" s="5">
        <f>OrdersTable[[#This Row],[Gross Sale]]*OrdersTable[[#This Row],[Discount_Clean2]]</f>
        <v>399</v>
      </c>
      <c r="U4582" s="5">
        <f>OrdersTable[[#This Row],[Gross Sale]]-OrdersTable[[#This Row],[Discount Amount]]</f>
        <v>399</v>
      </c>
      <c r="V4582" s="77">
        <f>INDEX(Products!E:E,MATCH(OrdersTable[[#This Row],[Product ID]],Products!A:A,0))</f>
        <v>128</v>
      </c>
      <c r="W4582" s="77">
        <f>OrdersTable[[#This Row],[Quantity]]*OrdersTable[[#This Row],[Unit Cost]]</f>
        <v>256</v>
      </c>
      <c r="X4582" s="77">
        <f>'Dropdown Lists'!$I$2*(1+OrdersTable[[#This Row],[Returned]])</f>
        <v>60</v>
      </c>
      <c r="Y4582" s="76">
        <f>OrdersTable[[#This Row],[Net Revenue]]-OrdersTable[[#This Row],[COGS]]-OrdersTable[[#This Row],[Shipping Cost]]</f>
        <v>83</v>
      </c>
      <c r="Z4582" s="78">
        <f>IFERROR(OrdersTable[[#This Row],[Profit]]/OrdersTable[[#This Row],[Net Revenue]],0)</f>
        <v>0.20802005012531327</v>
      </c>
      <c r="AA4582" t="s">
        <v>3495</v>
      </c>
      <c r="AB4582" s="79">
        <v>45990</v>
      </c>
      <c r="AC4582">
        <f>OrdersTable[[#This Row],[Delivery Date]]-OrdersTable[[#This Row],[Order Date]]</f>
        <v>3</v>
      </c>
      <c r="AD4582" t="str">
        <f>IF(OrdersTable[[#This Row],[Delivery Days]]&lt;=2, "Express (≤2d)", IF(OrdersTable[[#This Row],[Delivery Days]]&lt;=4, "Standard (3-4d)", "Delayed (5d+)"))</f>
        <v>Standard (3-4d)</v>
      </c>
      <c r="AF4582">
        <v>0</v>
      </c>
    </row>
    <row r="4583" spans="1:32" ht="15" x14ac:dyDescent="0.35">
      <c r="A4583" t="s">
        <v>6929</v>
      </c>
      <c r="B4583" s="1">
        <v>45988</v>
      </c>
      <c r="C4583">
        <f>YEAR(OrdersTable[[#This Row],[Order Date]])</f>
        <v>2025</v>
      </c>
      <c r="D4583" s="2">
        <f>DATE(YEAR(OrdersTable[[#This Row],[Order Date]]),MONTH(OrdersTable[[#This Row],[Order Date]]),1)</f>
        <v>45962</v>
      </c>
      <c r="E4583">
        <f>MONTH(OrdersTable[[#This Row],[Order Date]])</f>
        <v>11</v>
      </c>
      <c r="F4583" t="s">
        <v>6930</v>
      </c>
      <c r="G4583" t="str">
        <f>IF(OrdersTable[[#This Row],[Order Date]]=_xlfn.MINIFS(Order_Date, Customer_ID, OrdersTable[[#This Row],[Customer ID]]), "New", "Repeat")</f>
        <v>New</v>
      </c>
      <c r="H4583" t="s">
        <v>21</v>
      </c>
      <c r="I4583" t="str">
        <f>INDEX(State!B:B,MATCH(OrdersTable[[#This Row],[State]],State!A:A,0))</f>
        <v>PB</v>
      </c>
      <c r="J4583" t="str">
        <f>INDEX(State!C:C,MATCH(OrdersTable[[#This Row],[State Code]],State!B:B,0))</f>
        <v>North</v>
      </c>
      <c r="K4583" t="s">
        <v>260</v>
      </c>
      <c r="L4583" t="s">
        <v>65</v>
      </c>
      <c r="M4583" t="s">
        <v>92</v>
      </c>
      <c r="N4583" t="str">
        <f>INDEX(Products!B:B,MATCH(OrdersTable[[#This Row],[Product ID]],Products!A:A,0))</f>
        <v>Kolhapuri Sandals</v>
      </c>
      <c r="O4583" t="str">
        <f>INDEX(Products!C:C,MATCH(OrdersTable[[#This Row],[Product ID]],Products!A:A,0))</f>
        <v>Footwear</v>
      </c>
      <c r="P4583">
        <v>3</v>
      </c>
      <c r="Q4583" s="5">
        <v>999</v>
      </c>
      <c r="R4583" s="74">
        <v>0.15</v>
      </c>
      <c r="S4583" s="75">
        <f>OrdersTable[[#This Row],[Quantity]]*OrdersTable[[#This Row],[Unit Price]]</f>
        <v>2997</v>
      </c>
      <c r="T4583" s="5">
        <f>OrdersTable[[#This Row],[Gross Sale]]*OrdersTable[[#This Row],[Discount_Clean2]]</f>
        <v>449.55</v>
      </c>
      <c r="U4583" s="5">
        <f>OrdersTable[[#This Row],[Gross Sale]]-OrdersTable[[#This Row],[Discount Amount]]</f>
        <v>2547.4499999999998</v>
      </c>
      <c r="V4583" s="77">
        <f>INDEX(Products!E:E,MATCH(OrdersTable[[#This Row],[Product ID]],Products!A:A,0))</f>
        <v>400</v>
      </c>
      <c r="W4583" s="77">
        <f>OrdersTable[[#This Row],[Quantity]]*OrdersTable[[#This Row],[Unit Cost]]</f>
        <v>1200</v>
      </c>
      <c r="X4583" s="77">
        <f>'Dropdown Lists'!$I$2*(1+OrdersTable[[#This Row],[Returned]])</f>
        <v>60</v>
      </c>
      <c r="Y4583" s="76">
        <f>OrdersTable[[#This Row],[Net Revenue]]-OrdersTable[[#This Row],[COGS]]-OrdersTable[[#This Row],[Shipping Cost]]</f>
        <v>1287.4499999999998</v>
      </c>
      <c r="Z4583" s="78">
        <f>IFERROR(OrdersTable[[#This Row],[Profit]]/OrdersTable[[#This Row],[Net Revenue]],0)</f>
        <v>0.50538774068185832</v>
      </c>
      <c r="AA4583" t="s">
        <v>4450</v>
      </c>
      <c r="AB4583" s="79">
        <v>45991</v>
      </c>
      <c r="AC4583">
        <f>OrdersTable[[#This Row],[Delivery Date]]-OrdersTable[[#This Row],[Order Date]]</f>
        <v>3</v>
      </c>
      <c r="AD4583" t="str">
        <f>IF(OrdersTable[[#This Row],[Delivery Days]]&lt;=2, "Express (≤2d)", IF(OrdersTable[[#This Row],[Delivery Days]]&lt;=4, "Standard (3-4d)", "Delayed (5d+)"))</f>
        <v>Standard (3-4d)</v>
      </c>
      <c r="AE4583">
        <v>5</v>
      </c>
      <c r="AF4583">
        <v>0</v>
      </c>
    </row>
    <row r="4584" spans="1:32" ht="15" x14ac:dyDescent="0.35">
      <c r="A4584" t="s">
        <v>4888</v>
      </c>
      <c r="B4584" s="1">
        <v>45988</v>
      </c>
      <c r="C4584">
        <f>YEAR(OrdersTable[[#This Row],[Order Date]])</f>
        <v>2025</v>
      </c>
      <c r="D4584" s="2">
        <f>DATE(YEAR(OrdersTable[[#This Row],[Order Date]]),MONTH(OrdersTable[[#This Row],[Order Date]]),1)</f>
        <v>45962</v>
      </c>
      <c r="E4584">
        <f>MONTH(OrdersTable[[#This Row],[Order Date]])</f>
        <v>11</v>
      </c>
      <c r="F4584" t="s">
        <v>2690</v>
      </c>
      <c r="G4584" t="str">
        <f>IF(OrdersTable[[#This Row],[Order Date]]=_xlfn.MINIFS(Order_Date, Customer_ID, OrdersTable[[#This Row],[Customer ID]]), "New", "Repeat")</f>
        <v>Repeat</v>
      </c>
      <c r="H4584" t="s">
        <v>54</v>
      </c>
      <c r="I4584" t="str">
        <f>INDEX(State!B:B,MATCH(OrdersTable[[#This Row],[State]],State!A:A,0))</f>
        <v>RJ</v>
      </c>
      <c r="J4584" t="str">
        <f>INDEX(State!C:C,MATCH(OrdersTable[[#This Row],[State Code]],State!B:B,0))</f>
        <v>North</v>
      </c>
      <c r="K4584" t="s">
        <v>227</v>
      </c>
      <c r="L4584" t="s">
        <v>65</v>
      </c>
      <c r="M4584" t="s">
        <v>228</v>
      </c>
      <c r="N4584" t="str">
        <f>INDEX(Products!B:B,MATCH(OrdersTable[[#This Row],[Product ID]],Products!A:A,0))</f>
        <v>Fast Charger 33W</v>
      </c>
      <c r="O4584" t="str">
        <f>INDEX(Products!C:C,MATCH(OrdersTable[[#This Row],[Product ID]],Products!A:A,0))</f>
        <v>Electronics</v>
      </c>
      <c r="P4584">
        <v>2</v>
      </c>
      <c r="Q4584" s="5">
        <v>899</v>
      </c>
      <c r="R4584" s="74">
        <v>0.3</v>
      </c>
      <c r="S4584" s="75">
        <f>OrdersTable[[#This Row],[Quantity]]*OrdersTable[[#This Row],[Unit Price]]</f>
        <v>1798</v>
      </c>
      <c r="T4584" s="5">
        <f>OrdersTable[[#This Row],[Gross Sale]]*OrdersTable[[#This Row],[Discount_Clean2]]</f>
        <v>539.4</v>
      </c>
      <c r="U4584" s="5">
        <f>OrdersTable[[#This Row],[Gross Sale]]-OrdersTable[[#This Row],[Discount Amount]]</f>
        <v>1258.5999999999999</v>
      </c>
      <c r="V4584" s="77">
        <f>INDEX(Products!E:E,MATCH(OrdersTable[[#This Row],[Product ID]],Products!A:A,0))</f>
        <v>494</v>
      </c>
      <c r="W4584" s="77">
        <f>OrdersTable[[#This Row],[Quantity]]*OrdersTable[[#This Row],[Unit Cost]]</f>
        <v>988</v>
      </c>
      <c r="X4584" s="77">
        <f>'Dropdown Lists'!$I$2*(1+OrdersTable[[#This Row],[Returned]])</f>
        <v>60</v>
      </c>
      <c r="Y4584" s="76">
        <f>OrdersTable[[#This Row],[Net Revenue]]-OrdersTable[[#This Row],[COGS]]-OrdersTable[[#This Row],[Shipping Cost]]</f>
        <v>210.59999999999991</v>
      </c>
      <c r="Z4584" s="78">
        <f>IFERROR(OrdersTable[[#This Row],[Profit]]/OrdersTable[[#This Row],[Net Revenue]],0)</f>
        <v>0.16732877800730964</v>
      </c>
      <c r="AA4584" t="s">
        <v>4450</v>
      </c>
      <c r="AB4584" s="79">
        <v>45991</v>
      </c>
      <c r="AC4584">
        <f>OrdersTable[[#This Row],[Delivery Date]]-OrdersTable[[#This Row],[Order Date]]</f>
        <v>3</v>
      </c>
      <c r="AD4584" t="str">
        <f>IF(OrdersTable[[#This Row],[Delivery Days]]&lt;=2, "Express (≤2d)", IF(OrdersTable[[#This Row],[Delivery Days]]&lt;=4, "Standard (3-4d)", "Delayed (5d+)"))</f>
        <v>Standard (3-4d)</v>
      </c>
      <c r="AE4584">
        <v>4</v>
      </c>
      <c r="AF4584">
        <v>0</v>
      </c>
    </row>
    <row r="4585" spans="1:32" ht="15" x14ac:dyDescent="0.35">
      <c r="A4585" t="s">
        <v>4306</v>
      </c>
      <c r="B4585" s="1">
        <v>45988</v>
      </c>
      <c r="C4585">
        <f>YEAR(OrdersTable[[#This Row],[Order Date]])</f>
        <v>2025</v>
      </c>
      <c r="D4585" s="2">
        <f>DATE(YEAR(OrdersTable[[#This Row],[Order Date]]),MONTH(OrdersTable[[#This Row],[Order Date]]),1)</f>
        <v>45962</v>
      </c>
      <c r="E4585">
        <f>MONTH(OrdersTable[[#This Row],[Order Date]])</f>
        <v>11</v>
      </c>
      <c r="F4585" t="s">
        <v>4307</v>
      </c>
      <c r="G4585" t="str">
        <f>IF(OrdersTable[[#This Row],[Order Date]]=_xlfn.MINIFS(Order_Date, Customer_ID, OrdersTable[[#This Row],[Customer ID]]), "New", "Repeat")</f>
        <v>New</v>
      </c>
      <c r="H4585" t="s">
        <v>128</v>
      </c>
      <c r="I4585" t="str">
        <f>INDEX(State!B:B,MATCH(OrdersTable[[#This Row],[State]],State!A:A,0))</f>
        <v>DL</v>
      </c>
      <c r="J4585" t="str">
        <f>INDEX(State!C:C,MATCH(OrdersTable[[#This Row],[State Code]],State!B:B,0))</f>
        <v>North</v>
      </c>
      <c r="K4585" t="s">
        <v>129</v>
      </c>
      <c r="L4585" t="s">
        <v>65</v>
      </c>
      <c r="M4585" t="s">
        <v>576</v>
      </c>
      <c r="N4585" t="str">
        <f>INDEX(Products!B:B,MATCH(OrdersTable[[#This Row],[Product ID]],Products!A:A,0))</f>
        <v>Printed Saree</v>
      </c>
      <c r="O4585" t="str">
        <f>INDEX(Products!C:C,MATCH(OrdersTable[[#This Row],[Product ID]],Products!A:A,0))</f>
        <v>Apparel</v>
      </c>
      <c r="P4585">
        <v>1</v>
      </c>
      <c r="Q4585" s="5">
        <v>1999</v>
      </c>
      <c r="R4585" s="74">
        <v>0.2</v>
      </c>
      <c r="S4585" s="75">
        <f>OrdersTable[[#This Row],[Quantity]]*OrdersTable[[#This Row],[Unit Price]]</f>
        <v>1999</v>
      </c>
      <c r="T4585" s="5">
        <f>OrdersTable[[#This Row],[Gross Sale]]*OrdersTable[[#This Row],[Discount_Clean2]]</f>
        <v>399.8</v>
      </c>
      <c r="U4585" s="5">
        <f>OrdersTable[[#This Row],[Gross Sale]]-OrdersTable[[#This Row],[Discount Amount]]</f>
        <v>1599.2</v>
      </c>
      <c r="V4585" s="77">
        <f>INDEX(Products!E:E,MATCH(OrdersTable[[#This Row],[Product ID]],Products!A:A,0))</f>
        <v>880</v>
      </c>
      <c r="W4585" s="77">
        <f>OrdersTable[[#This Row],[Quantity]]*OrdersTable[[#This Row],[Unit Cost]]</f>
        <v>880</v>
      </c>
      <c r="X4585" s="77">
        <f>'Dropdown Lists'!$I$2*(1+OrdersTable[[#This Row],[Returned]])</f>
        <v>60</v>
      </c>
      <c r="Y4585" s="76">
        <f>OrdersTable[[#This Row],[Net Revenue]]-OrdersTable[[#This Row],[COGS]]-OrdersTable[[#This Row],[Shipping Cost]]</f>
        <v>659.2</v>
      </c>
      <c r="Z4585" s="78">
        <f>IFERROR(OrdersTable[[#This Row],[Profit]]/OrdersTable[[#This Row],[Net Revenue]],0)</f>
        <v>0.41220610305152577</v>
      </c>
      <c r="AA4585" t="s">
        <v>4074</v>
      </c>
      <c r="AB4585" s="79">
        <v>45991</v>
      </c>
      <c r="AC4585">
        <f>OrdersTable[[#This Row],[Delivery Date]]-OrdersTable[[#This Row],[Order Date]]</f>
        <v>3</v>
      </c>
      <c r="AD4585" t="str">
        <f>IF(OrdersTable[[#This Row],[Delivery Days]]&lt;=2, "Express (≤2d)", IF(OrdersTable[[#This Row],[Delivery Days]]&lt;=4, "Standard (3-4d)", "Delayed (5d+)"))</f>
        <v>Standard (3-4d)</v>
      </c>
      <c r="AF4585">
        <v>0</v>
      </c>
    </row>
    <row r="4586" spans="1:32" ht="15" x14ac:dyDescent="0.35">
      <c r="A4586" t="s">
        <v>5459</v>
      </c>
      <c r="B4586" s="1">
        <v>45988</v>
      </c>
      <c r="C4586">
        <f>YEAR(OrdersTable[[#This Row],[Order Date]])</f>
        <v>2025</v>
      </c>
      <c r="D4586" s="2">
        <f>DATE(YEAR(OrdersTable[[#This Row],[Order Date]]),MONTH(OrdersTable[[#This Row],[Order Date]]),1)</f>
        <v>45962</v>
      </c>
      <c r="E4586">
        <f>MONTH(OrdersTable[[#This Row],[Order Date]])</f>
        <v>11</v>
      </c>
      <c r="F4586" t="s">
        <v>1785</v>
      </c>
      <c r="G4586" t="str">
        <f>IF(OrdersTable[[#This Row],[Order Date]]=_xlfn.MINIFS(Order_Date, Customer_ID, OrdersTable[[#This Row],[Customer ID]]), "New", "Repeat")</f>
        <v>Repeat</v>
      </c>
      <c r="H4586" t="s">
        <v>128</v>
      </c>
      <c r="I4586" t="str">
        <f>INDEX(State!B:B,MATCH(OrdersTable[[#This Row],[State]],State!A:A,0))</f>
        <v>DL</v>
      </c>
      <c r="J4586" t="str">
        <f>INDEX(State!C:C,MATCH(OrdersTable[[#This Row],[State Code]],State!B:B,0))</f>
        <v>North</v>
      </c>
      <c r="K4586" t="s">
        <v>129</v>
      </c>
      <c r="L4586" t="s">
        <v>23</v>
      </c>
      <c r="M4586" t="s">
        <v>148</v>
      </c>
      <c r="N4586" t="str">
        <f>INDEX(Products!B:B,MATCH(OrdersTable[[#This Row],[Product ID]],Products!A:A,0))</f>
        <v>Smartwatch Strap</v>
      </c>
      <c r="O4586" t="str">
        <f>INDEX(Products!C:C,MATCH(OrdersTable[[#This Row],[Product ID]],Products!A:A,0))</f>
        <v>Electronics</v>
      </c>
      <c r="P4586">
        <v>2</v>
      </c>
      <c r="Q4586" s="5">
        <v>499</v>
      </c>
      <c r="R4586" s="74">
        <v>0.3</v>
      </c>
      <c r="S4586" s="75">
        <f>OrdersTable[[#This Row],[Quantity]]*OrdersTable[[#This Row],[Unit Price]]</f>
        <v>998</v>
      </c>
      <c r="T4586" s="5">
        <f>OrdersTable[[#This Row],[Gross Sale]]*OrdersTable[[#This Row],[Discount_Clean2]]</f>
        <v>299.39999999999998</v>
      </c>
      <c r="U4586" s="5">
        <f>OrdersTable[[#This Row],[Gross Sale]]-OrdersTable[[#This Row],[Discount Amount]]</f>
        <v>698.6</v>
      </c>
      <c r="V4586" s="77">
        <f>INDEX(Products!E:E,MATCH(OrdersTable[[#This Row],[Product ID]],Products!A:A,0))</f>
        <v>200</v>
      </c>
      <c r="W4586" s="77">
        <f>OrdersTable[[#This Row],[Quantity]]*OrdersTable[[#This Row],[Unit Cost]]</f>
        <v>400</v>
      </c>
      <c r="X4586" s="77">
        <f>'Dropdown Lists'!$I$2*(1+OrdersTable[[#This Row],[Returned]])</f>
        <v>60</v>
      </c>
      <c r="Y4586" s="76">
        <f>OrdersTable[[#This Row],[Net Revenue]]-OrdersTable[[#This Row],[COGS]]-OrdersTable[[#This Row],[Shipping Cost]]</f>
        <v>238.60000000000002</v>
      </c>
      <c r="Z4586" s="78">
        <f>IFERROR(OrdersTable[[#This Row],[Profit]]/OrdersTable[[#This Row],[Net Revenue]],0)</f>
        <v>0.34154022330375039</v>
      </c>
      <c r="AA4586" t="s">
        <v>2522</v>
      </c>
      <c r="AB4586" s="79">
        <v>45989</v>
      </c>
      <c r="AC4586">
        <f>OrdersTable[[#This Row],[Delivery Date]]-OrdersTable[[#This Row],[Order Date]]</f>
        <v>1</v>
      </c>
      <c r="AD4586" t="str">
        <f>IF(OrdersTable[[#This Row],[Delivery Days]]&lt;=2, "Express (≤2d)", IF(OrdersTable[[#This Row],[Delivery Days]]&lt;=4, "Standard (3-4d)", "Delayed (5d+)"))</f>
        <v>Express (≤2d)</v>
      </c>
      <c r="AE4586">
        <v>5</v>
      </c>
      <c r="AF4586">
        <v>0</v>
      </c>
    </row>
    <row r="4587" spans="1:32" ht="15" x14ac:dyDescent="0.35">
      <c r="A4587" t="s">
        <v>3125</v>
      </c>
      <c r="B4587" s="1">
        <v>45988</v>
      </c>
      <c r="C4587">
        <f>YEAR(OrdersTable[[#This Row],[Order Date]])</f>
        <v>2025</v>
      </c>
      <c r="D4587" s="2">
        <f>DATE(YEAR(OrdersTable[[#This Row],[Order Date]]),MONTH(OrdersTable[[#This Row],[Order Date]]),1)</f>
        <v>45962</v>
      </c>
      <c r="E4587">
        <f>MONTH(OrdersTable[[#This Row],[Order Date]])</f>
        <v>11</v>
      </c>
      <c r="F4587" t="s">
        <v>3126</v>
      </c>
      <c r="G4587" t="str">
        <f>IF(OrdersTable[[#This Row],[Order Date]]=_xlfn.MINIFS(Order_Date, Customer_ID, OrdersTable[[#This Row],[Customer ID]]), "New", "Repeat")</f>
        <v>Repeat</v>
      </c>
      <c r="H4587" t="s">
        <v>128</v>
      </c>
      <c r="I4587" t="str">
        <f>INDEX(State!B:B,MATCH(OrdersTable[[#This Row],[State]],State!A:A,0))</f>
        <v>DL</v>
      </c>
      <c r="J4587" t="str">
        <f>INDEX(State!C:C,MATCH(OrdersTable[[#This Row],[State Code]],State!B:B,0))</f>
        <v>North</v>
      </c>
      <c r="K4587" t="s">
        <v>129</v>
      </c>
      <c r="L4587" t="s">
        <v>39</v>
      </c>
      <c r="M4587" t="s">
        <v>45</v>
      </c>
      <c r="N4587" t="str">
        <f>INDEX(Products!B:B,MATCH(OrdersTable[[#This Row],[Product ID]],Products!A:A,0))</f>
        <v>Argan Shampoo</v>
      </c>
      <c r="O4587" t="str">
        <f>INDEX(Products!C:C,MATCH(OrdersTable[[#This Row],[Product ID]],Products!A:A,0))</f>
        <v>Haircare</v>
      </c>
      <c r="P4587">
        <v>1</v>
      </c>
      <c r="Q4587" s="5">
        <v>449</v>
      </c>
      <c r="R4587" s="74">
        <v>0.2</v>
      </c>
      <c r="S4587" s="75">
        <f>OrdersTable[[#This Row],[Quantity]]*OrdersTable[[#This Row],[Unit Price]]</f>
        <v>449</v>
      </c>
      <c r="T4587" s="5">
        <f>OrdersTable[[#This Row],[Gross Sale]]*OrdersTable[[#This Row],[Discount_Clean2]]</f>
        <v>89.800000000000011</v>
      </c>
      <c r="U4587" s="5">
        <f>OrdersTable[[#This Row],[Gross Sale]]-OrdersTable[[#This Row],[Discount Amount]]</f>
        <v>359.2</v>
      </c>
      <c r="V4587" s="77">
        <f>INDEX(Products!E:E,MATCH(OrdersTable[[#This Row],[Product ID]],Products!A:A,0))</f>
        <v>148</v>
      </c>
      <c r="W4587" s="77">
        <f>OrdersTable[[#This Row],[Quantity]]*OrdersTable[[#This Row],[Unit Cost]]</f>
        <v>148</v>
      </c>
      <c r="X4587" s="77">
        <f>'Dropdown Lists'!$I$2*(1+OrdersTable[[#This Row],[Returned]])</f>
        <v>60</v>
      </c>
      <c r="Y4587" s="76">
        <f>OrdersTable[[#This Row],[Net Revenue]]-OrdersTable[[#This Row],[COGS]]-OrdersTable[[#This Row],[Shipping Cost]]</f>
        <v>151.19999999999999</v>
      </c>
      <c r="Z4587" s="78">
        <f>IFERROR(OrdersTable[[#This Row],[Profit]]/OrdersTable[[#This Row],[Net Revenue]],0)</f>
        <v>0.42093541202672602</v>
      </c>
      <c r="AA4587" t="s">
        <v>2522</v>
      </c>
      <c r="AB4587" s="79">
        <v>45990</v>
      </c>
      <c r="AC4587">
        <f>OrdersTable[[#This Row],[Delivery Date]]-OrdersTable[[#This Row],[Order Date]]</f>
        <v>2</v>
      </c>
      <c r="AD4587" t="str">
        <f>IF(OrdersTable[[#This Row],[Delivery Days]]&lt;=2, "Express (≤2d)", IF(OrdersTable[[#This Row],[Delivery Days]]&lt;=4, "Standard (3-4d)", "Delayed (5d+)"))</f>
        <v>Express (≤2d)</v>
      </c>
      <c r="AF4587">
        <v>0</v>
      </c>
    </row>
    <row r="4588" spans="1:32" ht="15" x14ac:dyDescent="0.35">
      <c r="A4588" t="s">
        <v>5741</v>
      </c>
      <c r="B4588" s="1">
        <v>45988</v>
      </c>
      <c r="C4588">
        <f>YEAR(OrdersTable[[#This Row],[Order Date]])</f>
        <v>2025</v>
      </c>
      <c r="D4588" s="2">
        <f>DATE(YEAR(OrdersTable[[#This Row],[Order Date]]),MONTH(OrdersTable[[#This Row],[Order Date]]),1)</f>
        <v>45962</v>
      </c>
      <c r="E4588">
        <f>MONTH(OrdersTable[[#This Row],[Order Date]])</f>
        <v>11</v>
      </c>
      <c r="F4588" t="s">
        <v>5742</v>
      </c>
      <c r="G4588" t="str">
        <f>IF(OrdersTable[[#This Row],[Order Date]]=_xlfn.MINIFS(Order_Date, Customer_ID, OrdersTable[[#This Row],[Customer ID]]), "New", "Repeat")</f>
        <v>New</v>
      </c>
      <c r="H4588" t="s">
        <v>482</v>
      </c>
      <c r="I4588" t="str">
        <f>INDEX(State!B:B,MATCH(OrdersTable[[#This Row],[State]],State!A:A,0))</f>
        <v>CG</v>
      </c>
      <c r="J4588" t="str">
        <f>INDEX(State!C:C,MATCH(OrdersTable[[#This Row],[State Code]],State!B:B,0))</f>
        <v>East</v>
      </c>
      <c r="K4588" t="s">
        <v>483</v>
      </c>
      <c r="L4588" t="s">
        <v>65</v>
      </c>
      <c r="M4588" t="s">
        <v>17</v>
      </c>
      <c r="N4588" t="str">
        <f>INDEX(Products!B:B,MATCH(OrdersTable[[#This Row],[Product ID]],Products!A:A,0))</f>
        <v>Casual Sneakers</v>
      </c>
      <c r="O4588" t="str">
        <f>INDEX(Products!C:C,MATCH(OrdersTable[[#This Row],[Product ID]],Products!A:A,0))</f>
        <v>Footwear</v>
      </c>
      <c r="P4588">
        <v>2</v>
      </c>
      <c r="Q4588" s="5">
        <v>2199</v>
      </c>
      <c r="R4588" s="74">
        <v>0.4</v>
      </c>
      <c r="S4588" s="75">
        <f>OrdersTable[[#This Row],[Quantity]]*OrdersTable[[#This Row],[Unit Price]]</f>
        <v>4398</v>
      </c>
      <c r="T4588" s="5">
        <f>OrdersTable[[#This Row],[Gross Sale]]*OrdersTable[[#This Row],[Discount_Clean2]]</f>
        <v>1759.2</v>
      </c>
      <c r="U4588" s="5">
        <f>OrdersTable[[#This Row],[Gross Sale]]-OrdersTable[[#This Row],[Discount Amount]]</f>
        <v>2638.8</v>
      </c>
      <c r="V4588" s="77">
        <f>INDEX(Products!E:E,MATCH(OrdersTable[[#This Row],[Product ID]],Products!A:A,0))</f>
        <v>1034</v>
      </c>
      <c r="W4588" s="77">
        <f>OrdersTable[[#This Row],[Quantity]]*OrdersTable[[#This Row],[Unit Cost]]</f>
        <v>2068</v>
      </c>
      <c r="X4588" s="77">
        <f>'Dropdown Lists'!$I$2*(1+OrdersTable[[#This Row],[Returned]])</f>
        <v>60</v>
      </c>
      <c r="Y4588" s="76">
        <f>OrdersTable[[#This Row],[Net Revenue]]-OrdersTable[[#This Row],[COGS]]-OrdersTable[[#This Row],[Shipping Cost]]</f>
        <v>510.80000000000018</v>
      </c>
      <c r="Z4588" s="78">
        <f>IFERROR(OrdersTable[[#This Row],[Profit]]/OrdersTable[[#This Row],[Net Revenue]],0)</f>
        <v>0.19357283613763837</v>
      </c>
      <c r="AA4588" t="s">
        <v>18</v>
      </c>
      <c r="AB4588" s="79">
        <v>45994</v>
      </c>
      <c r="AC4588">
        <f>OrdersTable[[#This Row],[Delivery Date]]-OrdersTable[[#This Row],[Order Date]]</f>
        <v>6</v>
      </c>
      <c r="AD4588" t="str">
        <f>IF(OrdersTable[[#This Row],[Delivery Days]]&lt;=2, "Express (≤2d)", IF(OrdersTable[[#This Row],[Delivery Days]]&lt;=4, "Standard (3-4d)", "Delayed (5d+)"))</f>
        <v>Delayed (5d+)</v>
      </c>
      <c r="AE4588">
        <v>3</v>
      </c>
      <c r="AF4588">
        <v>0</v>
      </c>
    </row>
    <row r="4589" spans="1:32" ht="15" x14ac:dyDescent="0.35">
      <c r="A4589" t="s">
        <v>5278</v>
      </c>
      <c r="B4589" s="1">
        <v>45988</v>
      </c>
      <c r="C4589">
        <f>YEAR(OrdersTable[[#This Row],[Order Date]])</f>
        <v>2025</v>
      </c>
      <c r="D4589" s="2">
        <f>DATE(YEAR(OrdersTable[[#This Row],[Order Date]]),MONTH(OrdersTable[[#This Row],[Order Date]]),1)</f>
        <v>45962</v>
      </c>
      <c r="E4589">
        <f>MONTH(OrdersTable[[#This Row],[Order Date]])</f>
        <v>11</v>
      </c>
      <c r="F4589" t="s">
        <v>1198</v>
      </c>
      <c r="G4589" t="str">
        <f>IF(OrdersTable[[#This Row],[Order Date]]=_xlfn.MINIFS(Order_Date, Customer_ID, OrdersTable[[#This Row],[Customer ID]]), "New", "Repeat")</f>
        <v>Repeat</v>
      </c>
      <c r="H4589" t="s">
        <v>123</v>
      </c>
      <c r="I4589" t="str">
        <f>INDEX(State!B:B,MATCH(OrdersTable[[#This Row],[State]],State!A:A,0))</f>
        <v>JH</v>
      </c>
      <c r="J4589" t="str">
        <f>INDEX(State!C:C,MATCH(OrdersTable[[#This Row],[State Code]],State!B:B,0))</f>
        <v>East</v>
      </c>
      <c r="K4589" t="s">
        <v>124</v>
      </c>
      <c r="L4589" t="s">
        <v>23</v>
      </c>
      <c r="M4589" t="s">
        <v>51</v>
      </c>
      <c r="N4589" t="str">
        <f>INDEX(Products!B:B,MATCH(OrdersTable[[#This Row],[Product ID]],Products!A:A,0))</f>
        <v>Anti-Dandruff Conditioner</v>
      </c>
      <c r="O4589" t="str">
        <f>INDEX(Products!C:C,MATCH(OrdersTable[[#This Row],[Product ID]],Products!A:A,0))</f>
        <v>Haircare</v>
      </c>
      <c r="P4589">
        <v>2</v>
      </c>
      <c r="Q4589" s="5">
        <v>399</v>
      </c>
      <c r="R4589" s="74">
        <v>0.5</v>
      </c>
      <c r="S4589" s="75">
        <f>OrdersTable[[#This Row],[Quantity]]*OrdersTable[[#This Row],[Unit Price]]</f>
        <v>798</v>
      </c>
      <c r="T4589" s="5">
        <f>OrdersTable[[#This Row],[Gross Sale]]*OrdersTable[[#This Row],[Discount_Clean2]]</f>
        <v>399</v>
      </c>
      <c r="U4589" s="5">
        <f>OrdersTable[[#This Row],[Gross Sale]]-OrdersTable[[#This Row],[Discount Amount]]</f>
        <v>399</v>
      </c>
      <c r="V4589" s="77">
        <f>INDEX(Products!E:E,MATCH(OrdersTable[[#This Row],[Product ID]],Products!A:A,0))</f>
        <v>136</v>
      </c>
      <c r="W4589" s="77">
        <f>OrdersTable[[#This Row],[Quantity]]*OrdersTable[[#This Row],[Unit Cost]]</f>
        <v>272</v>
      </c>
      <c r="X4589" s="77">
        <f>'Dropdown Lists'!$I$2*(1+OrdersTable[[#This Row],[Returned]])</f>
        <v>60</v>
      </c>
      <c r="Y4589" s="76">
        <f>OrdersTable[[#This Row],[Net Revenue]]-OrdersTable[[#This Row],[COGS]]-OrdersTable[[#This Row],[Shipping Cost]]</f>
        <v>67</v>
      </c>
      <c r="Z4589" s="78">
        <f>IFERROR(OrdersTable[[#This Row],[Profit]]/OrdersTable[[#This Row],[Net Revenue]],0)</f>
        <v>0.16791979949874686</v>
      </c>
      <c r="AA4589" t="s">
        <v>3495</v>
      </c>
      <c r="AB4589" s="79">
        <v>45994</v>
      </c>
      <c r="AC4589">
        <f>OrdersTable[[#This Row],[Delivery Date]]-OrdersTable[[#This Row],[Order Date]]</f>
        <v>6</v>
      </c>
      <c r="AD4589" t="str">
        <f>IF(OrdersTable[[#This Row],[Delivery Days]]&lt;=2, "Express (≤2d)", IF(OrdersTable[[#This Row],[Delivery Days]]&lt;=4, "Standard (3-4d)", "Delayed (5d+)"))</f>
        <v>Delayed (5d+)</v>
      </c>
      <c r="AE4589">
        <v>2</v>
      </c>
      <c r="AF4589">
        <v>0</v>
      </c>
    </row>
    <row r="4590" spans="1:32" ht="15" x14ac:dyDescent="0.35">
      <c r="A4590" t="s">
        <v>4308</v>
      </c>
      <c r="B4590" s="1">
        <v>45988</v>
      </c>
      <c r="C4590">
        <f>YEAR(OrdersTable[[#This Row],[Order Date]])</f>
        <v>2025</v>
      </c>
      <c r="D4590" s="2">
        <f>DATE(YEAR(OrdersTable[[#This Row],[Order Date]]),MONTH(OrdersTable[[#This Row],[Order Date]]),1)</f>
        <v>45962</v>
      </c>
      <c r="E4590">
        <f>MONTH(OrdersTable[[#This Row],[Order Date]])</f>
        <v>11</v>
      </c>
      <c r="F4590" t="s">
        <v>3380</v>
      </c>
      <c r="G4590" t="str">
        <f>IF(OrdersTable[[#This Row],[Order Date]]=_xlfn.MINIFS(Order_Date, Customer_ID, OrdersTable[[#This Row],[Customer ID]]), "New", "Repeat")</f>
        <v>New</v>
      </c>
      <c r="H4590" t="s">
        <v>71</v>
      </c>
      <c r="I4590" t="str">
        <f>INDEX(State!B:B,MATCH(OrdersTable[[#This Row],[State]],State!A:A,0))</f>
        <v>MH</v>
      </c>
      <c r="J4590" t="str">
        <f>INDEX(State!C:C,MATCH(OrdersTable[[#This Row],[State Code]],State!B:B,0))</f>
        <v>West</v>
      </c>
      <c r="K4590" t="s">
        <v>81</v>
      </c>
      <c r="L4590" t="s">
        <v>65</v>
      </c>
      <c r="M4590" t="s">
        <v>109</v>
      </c>
      <c r="N4590" t="str">
        <f>INDEX(Products!B:B,MATCH(OrdersTable[[#This Row],[Product ID]],Products!A:A,0))</f>
        <v>Onion Hair Oil</v>
      </c>
      <c r="O4590" t="str">
        <f>INDEX(Products!C:C,MATCH(OrdersTable[[#This Row],[Product ID]],Products!A:A,0))</f>
        <v>Haircare</v>
      </c>
      <c r="P4590">
        <v>1</v>
      </c>
      <c r="Q4590" s="5">
        <v>349</v>
      </c>
      <c r="R4590" s="74">
        <v>0.4</v>
      </c>
      <c r="S4590" s="75">
        <f>OrdersTable[[#This Row],[Quantity]]*OrdersTable[[#This Row],[Unit Price]]</f>
        <v>349</v>
      </c>
      <c r="T4590" s="5">
        <f>OrdersTable[[#This Row],[Gross Sale]]*OrdersTable[[#This Row],[Discount_Clean2]]</f>
        <v>139.6</v>
      </c>
      <c r="U4590" s="5">
        <f>OrdersTable[[#This Row],[Gross Sale]]-OrdersTable[[#This Row],[Discount Amount]]</f>
        <v>209.4</v>
      </c>
      <c r="V4590" s="77">
        <f>INDEX(Products!E:E,MATCH(OrdersTable[[#This Row],[Product ID]],Products!A:A,0))</f>
        <v>105</v>
      </c>
      <c r="W4590" s="77">
        <f>OrdersTable[[#This Row],[Quantity]]*OrdersTable[[#This Row],[Unit Cost]]</f>
        <v>105</v>
      </c>
      <c r="X4590" s="77">
        <f>'Dropdown Lists'!$I$2*(1+OrdersTable[[#This Row],[Returned]])</f>
        <v>60</v>
      </c>
      <c r="Y4590" s="76">
        <f>OrdersTable[[#This Row],[Net Revenue]]-OrdersTable[[#This Row],[COGS]]-OrdersTable[[#This Row],[Shipping Cost]]</f>
        <v>44.400000000000006</v>
      </c>
      <c r="Z4590" s="78">
        <f>IFERROR(OrdersTable[[#This Row],[Profit]]/OrdersTable[[#This Row],[Net Revenue]],0)</f>
        <v>0.21203438395415475</v>
      </c>
      <c r="AA4590" t="s">
        <v>4074</v>
      </c>
      <c r="AB4590" s="79">
        <v>45991</v>
      </c>
      <c r="AC4590">
        <f>OrdersTable[[#This Row],[Delivery Date]]-OrdersTable[[#This Row],[Order Date]]</f>
        <v>3</v>
      </c>
      <c r="AD4590" t="str">
        <f>IF(OrdersTable[[#This Row],[Delivery Days]]&lt;=2, "Express (≤2d)", IF(OrdersTable[[#This Row],[Delivery Days]]&lt;=4, "Standard (3-4d)", "Delayed (5d+)"))</f>
        <v>Standard (3-4d)</v>
      </c>
      <c r="AF4590">
        <v>0</v>
      </c>
    </row>
    <row r="4591" spans="1:32" ht="15" x14ac:dyDescent="0.35">
      <c r="A4591" t="s">
        <v>3127</v>
      </c>
      <c r="B4591" s="1">
        <v>45988</v>
      </c>
      <c r="C4591">
        <f>YEAR(OrdersTable[[#This Row],[Order Date]])</f>
        <v>2025</v>
      </c>
      <c r="D4591" s="2">
        <f>DATE(YEAR(OrdersTable[[#This Row],[Order Date]]),MONTH(OrdersTable[[#This Row],[Order Date]]),1)</f>
        <v>45962</v>
      </c>
      <c r="E4591">
        <f>MONTH(OrdersTable[[#This Row],[Order Date]])</f>
        <v>11</v>
      </c>
      <c r="F4591" t="s">
        <v>2260</v>
      </c>
      <c r="G4591" t="str">
        <f>IF(OrdersTable[[#This Row],[Order Date]]=_xlfn.MINIFS(Order_Date, Customer_ID, OrdersTable[[#This Row],[Customer ID]]), "New", "Repeat")</f>
        <v>Repeat</v>
      </c>
      <c r="H4591" t="s">
        <v>95</v>
      </c>
      <c r="I4591" t="str">
        <f>INDEX(State!B:B,MATCH(OrdersTable[[#This Row],[State]],State!A:A,0))</f>
        <v>TG</v>
      </c>
      <c r="J4591" t="str">
        <f>INDEX(State!C:C,MATCH(OrdersTable[[#This Row],[State Code]],State!B:B,0))</f>
        <v>South</v>
      </c>
      <c r="K4591" t="s">
        <v>96</v>
      </c>
      <c r="L4591" t="s">
        <v>39</v>
      </c>
      <c r="M4591" t="s">
        <v>125</v>
      </c>
      <c r="N4591" t="str">
        <f>INDEX(Products!B:B,MATCH(OrdersTable[[#This Row],[Product ID]],Products!A:A,0))</f>
        <v>Copper Water Bottle</v>
      </c>
      <c r="O4591" t="str">
        <f>INDEX(Products!C:C,MATCH(OrdersTable[[#This Row],[Product ID]],Products!A:A,0))</f>
        <v>Home &amp; Kitchen</v>
      </c>
      <c r="P4591">
        <v>1</v>
      </c>
      <c r="Q4591" s="5">
        <v>899</v>
      </c>
      <c r="R4591" s="74">
        <v>0.15</v>
      </c>
      <c r="S4591" s="75">
        <f>OrdersTable[[#This Row],[Quantity]]*OrdersTable[[#This Row],[Unit Price]]</f>
        <v>899</v>
      </c>
      <c r="T4591" s="5">
        <f>OrdersTable[[#This Row],[Gross Sale]]*OrdersTable[[#This Row],[Discount_Clean2]]</f>
        <v>134.85</v>
      </c>
      <c r="U4591" s="5">
        <f>OrdersTable[[#This Row],[Gross Sale]]-OrdersTable[[#This Row],[Discount Amount]]</f>
        <v>764.15</v>
      </c>
      <c r="V4591" s="77">
        <f>INDEX(Products!E:E,MATCH(OrdersTable[[#This Row],[Product ID]],Products!A:A,0))</f>
        <v>378</v>
      </c>
      <c r="W4591" s="77">
        <f>OrdersTable[[#This Row],[Quantity]]*OrdersTable[[#This Row],[Unit Cost]]</f>
        <v>378</v>
      </c>
      <c r="X4591" s="77">
        <f>'Dropdown Lists'!$I$2*(1+OrdersTable[[#This Row],[Returned]])</f>
        <v>60</v>
      </c>
      <c r="Y4591" s="76">
        <f>OrdersTable[[#This Row],[Net Revenue]]-OrdersTable[[#This Row],[COGS]]-OrdersTable[[#This Row],[Shipping Cost]]</f>
        <v>326.14999999999998</v>
      </c>
      <c r="Z4591" s="78">
        <f>IFERROR(OrdersTable[[#This Row],[Profit]]/OrdersTable[[#This Row],[Net Revenue]],0)</f>
        <v>0.42681410717791007</v>
      </c>
      <c r="AA4591" t="s">
        <v>2522</v>
      </c>
      <c r="AB4591" s="79">
        <v>45990</v>
      </c>
      <c r="AC4591">
        <f>OrdersTable[[#This Row],[Delivery Date]]-OrdersTable[[#This Row],[Order Date]]</f>
        <v>2</v>
      </c>
      <c r="AD4591" t="str">
        <f>IF(OrdersTable[[#This Row],[Delivery Days]]&lt;=2, "Express (≤2d)", IF(OrdersTable[[#This Row],[Delivery Days]]&lt;=4, "Standard (3-4d)", "Delayed (5d+)"))</f>
        <v>Express (≤2d)</v>
      </c>
      <c r="AF4591">
        <v>0</v>
      </c>
    </row>
    <row r="4592" spans="1:32" ht="15" x14ac:dyDescent="0.35">
      <c r="A4592" t="s">
        <v>6028</v>
      </c>
      <c r="B4592" s="1">
        <v>45988</v>
      </c>
      <c r="C4592">
        <f>YEAR(OrdersTable[[#This Row],[Order Date]])</f>
        <v>2025</v>
      </c>
      <c r="D4592" s="2">
        <f>DATE(YEAR(OrdersTable[[#This Row],[Order Date]]),MONTH(OrdersTable[[#This Row],[Order Date]]),1)</f>
        <v>45962</v>
      </c>
      <c r="E4592">
        <f>MONTH(OrdersTable[[#This Row],[Order Date]])</f>
        <v>11</v>
      </c>
      <c r="F4592" t="s">
        <v>1322</v>
      </c>
      <c r="G4592" t="str">
        <f>IF(OrdersTable[[#This Row],[Order Date]]=_xlfn.MINIFS(Order_Date, Customer_ID, OrdersTable[[#This Row],[Customer ID]]), "New", "Repeat")</f>
        <v>New</v>
      </c>
      <c r="H4592" t="s">
        <v>167</v>
      </c>
      <c r="I4592" t="str">
        <f>INDEX(State!B:B,MATCH(OrdersTable[[#This Row],[State]],State!A:A,0))</f>
        <v>KA</v>
      </c>
      <c r="J4592" t="str">
        <f>INDEX(State!C:C,MATCH(OrdersTable[[#This Row],[State Code]],State!B:B,0))</f>
        <v>South</v>
      </c>
      <c r="K4592" t="s">
        <v>168</v>
      </c>
      <c r="L4592" t="s">
        <v>65</v>
      </c>
      <c r="M4592" t="s">
        <v>109</v>
      </c>
      <c r="N4592" t="str">
        <f>INDEX(Products!B:B,MATCH(OrdersTable[[#This Row],[Product ID]],Products!A:A,0))</f>
        <v>Onion Hair Oil</v>
      </c>
      <c r="O4592" t="str">
        <f>INDEX(Products!C:C,MATCH(OrdersTable[[#This Row],[Product ID]],Products!A:A,0))</f>
        <v>Haircare</v>
      </c>
      <c r="P4592">
        <v>2</v>
      </c>
      <c r="Q4592" s="5">
        <v>349</v>
      </c>
      <c r="R4592" s="74">
        <v>0.35</v>
      </c>
      <c r="S4592" s="75">
        <f>OrdersTable[[#This Row],[Quantity]]*OrdersTable[[#This Row],[Unit Price]]</f>
        <v>698</v>
      </c>
      <c r="T4592" s="5">
        <f>OrdersTable[[#This Row],[Gross Sale]]*OrdersTable[[#This Row],[Discount_Clean2]]</f>
        <v>244.29999999999998</v>
      </c>
      <c r="U4592" s="5">
        <f>OrdersTable[[#This Row],[Gross Sale]]-OrdersTable[[#This Row],[Discount Amount]]</f>
        <v>453.70000000000005</v>
      </c>
      <c r="V4592" s="77">
        <f>INDEX(Products!E:E,MATCH(OrdersTable[[#This Row],[Product ID]],Products!A:A,0))</f>
        <v>105</v>
      </c>
      <c r="W4592" s="77">
        <f>OrdersTable[[#This Row],[Quantity]]*OrdersTable[[#This Row],[Unit Cost]]</f>
        <v>210</v>
      </c>
      <c r="X4592" s="77">
        <f>'Dropdown Lists'!$I$2*(1+OrdersTable[[#This Row],[Returned]])</f>
        <v>60</v>
      </c>
      <c r="Y4592" s="76">
        <f>OrdersTable[[#This Row],[Net Revenue]]-OrdersTable[[#This Row],[COGS]]-OrdersTable[[#This Row],[Shipping Cost]]</f>
        <v>183.70000000000005</v>
      </c>
      <c r="Z4592" s="78">
        <f>IFERROR(OrdersTable[[#This Row],[Profit]]/OrdersTable[[#This Row],[Net Revenue]],0)</f>
        <v>0.40489310116817284</v>
      </c>
      <c r="AA4592" t="s">
        <v>18</v>
      </c>
      <c r="AB4592" s="79">
        <v>45991</v>
      </c>
      <c r="AC4592">
        <f>OrdersTable[[#This Row],[Delivery Date]]-OrdersTable[[#This Row],[Order Date]]</f>
        <v>3</v>
      </c>
      <c r="AD4592" t="str">
        <f>IF(OrdersTable[[#This Row],[Delivery Days]]&lt;=2, "Express (≤2d)", IF(OrdersTable[[#This Row],[Delivery Days]]&lt;=4, "Standard (3-4d)", "Delayed (5d+)"))</f>
        <v>Standard (3-4d)</v>
      </c>
      <c r="AF4592">
        <v>0</v>
      </c>
    </row>
    <row r="4593" spans="1:32" ht="15" x14ac:dyDescent="0.35">
      <c r="A4593" t="s">
        <v>3941</v>
      </c>
      <c r="B4593" s="1">
        <v>45988</v>
      </c>
      <c r="C4593">
        <f>YEAR(OrdersTable[[#This Row],[Order Date]])</f>
        <v>2025</v>
      </c>
      <c r="D4593" s="2">
        <f>DATE(YEAR(OrdersTable[[#This Row],[Order Date]]),MONTH(OrdersTable[[#This Row],[Order Date]]),1)</f>
        <v>45962</v>
      </c>
      <c r="E4593">
        <f>MONTH(OrdersTable[[#This Row],[Order Date]])</f>
        <v>11</v>
      </c>
      <c r="F4593" t="s">
        <v>3942</v>
      </c>
      <c r="G4593" t="str">
        <f>IF(OrdersTable[[#This Row],[Order Date]]=_xlfn.MINIFS(Order_Date, Customer_ID, OrdersTable[[#This Row],[Customer ID]]), "New", "Repeat")</f>
        <v>Repeat</v>
      </c>
      <c r="H4593" t="s">
        <v>167</v>
      </c>
      <c r="I4593" t="str">
        <f>INDEX(State!B:B,MATCH(OrdersTable[[#This Row],[State]],State!A:A,0))</f>
        <v>KA</v>
      </c>
      <c r="J4593" t="str">
        <f>INDEX(State!C:C,MATCH(OrdersTable[[#This Row],[State Code]],State!B:B,0))</f>
        <v>South</v>
      </c>
      <c r="K4593" t="s">
        <v>168</v>
      </c>
      <c r="L4593" t="s">
        <v>50</v>
      </c>
      <c r="M4593" t="s">
        <v>56</v>
      </c>
      <c r="N4593" t="str">
        <f>INDEX(Products!B:B,MATCH(OrdersTable[[#This Row],[Product ID]],Products!A:A,0))</f>
        <v>Vitamin C Face Serum</v>
      </c>
      <c r="O4593" t="str">
        <f>INDEX(Products!C:C,MATCH(OrdersTable[[#This Row],[Product ID]],Products!A:A,0))</f>
        <v>Skincare</v>
      </c>
      <c r="P4593">
        <v>1</v>
      </c>
      <c r="Q4593" s="5">
        <v>599</v>
      </c>
      <c r="R4593" s="74">
        <v>0.25</v>
      </c>
      <c r="S4593" s="75">
        <f>OrdersTable[[#This Row],[Quantity]]*OrdersTable[[#This Row],[Unit Price]]</f>
        <v>599</v>
      </c>
      <c r="T4593" s="5">
        <f>OrdersTable[[#This Row],[Gross Sale]]*OrdersTable[[#This Row],[Discount_Clean2]]</f>
        <v>149.75</v>
      </c>
      <c r="U4593" s="5">
        <f>OrdersTable[[#This Row],[Gross Sale]]-OrdersTable[[#This Row],[Discount Amount]]</f>
        <v>449.25</v>
      </c>
      <c r="V4593" s="77">
        <f>INDEX(Products!E:E,MATCH(OrdersTable[[#This Row],[Product ID]],Products!A:A,0))</f>
        <v>180</v>
      </c>
      <c r="W4593" s="77">
        <f>OrdersTable[[#This Row],[Quantity]]*OrdersTable[[#This Row],[Unit Cost]]</f>
        <v>180</v>
      </c>
      <c r="X4593" s="77">
        <f>'Dropdown Lists'!$I$2*(1+OrdersTable[[#This Row],[Returned]])</f>
        <v>60</v>
      </c>
      <c r="Y4593" s="76">
        <f>OrdersTable[[#This Row],[Net Revenue]]-OrdersTable[[#This Row],[COGS]]-OrdersTable[[#This Row],[Shipping Cost]]</f>
        <v>209.25</v>
      </c>
      <c r="Z4593" s="78">
        <f>IFERROR(OrdersTable[[#This Row],[Profit]]/OrdersTable[[#This Row],[Net Revenue]],0)</f>
        <v>0.46577629382303842</v>
      </c>
      <c r="AA4593" t="s">
        <v>3495</v>
      </c>
      <c r="AB4593" s="79">
        <v>45990</v>
      </c>
      <c r="AC4593">
        <f>OrdersTable[[#This Row],[Delivery Date]]-OrdersTable[[#This Row],[Order Date]]</f>
        <v>2</v>
      </c>
      <c r="AD4593" t="str">
        <f>IF(OrdersTable[[#This Row],[Delivery Days]]&lt;=2, "Express (≤2d)", IF(OrdersTable[[#This Row],[Delivery Days]]&lt;=4, "Standard (3-4d)", "Delayed (5d+)"))</f>
        <v>Express (≤2d)</v>
      </c>
      <c r="AE4593">
        <v>3</v>
      </c>
      <c r="AF4593">
        <v>0</v>
      </c>
    </row>
    <row r="4594" spans="1:32" ht="15" x14ac:dyDescent="0.35">
      <c r="A4594" t="s">
        <v>6029</v>
      </c>
      <c r="B4594" s="1">
        <v>45988</v>
      </c>
      <c r="C4594">
        <f>YEAR(OrdersTable[[#This Row],[Order Date]])</f>
        <v>2025</v>
      </c>
      <c r="D4594" s="2">
        <f>DATE(YEAR(OrdersTable[[#This Row],[Order Date]]),MONTH(OrdersTable[[#This Row],[Order Date]]),1)</f>
        <v>45962</v>
      </c>
      <c r="E4594">
        <f>MONTH(OrdersTable[[#This Row],[Order Date]])</f>
        <v>11</v>
      </c>
      <c r="F4594" t="s">
        <v>2215</v>
      </c>
      <c r="G4594" t="str">
        <f>IF(OrdersTable[[#This Row],[Order Date]]=_xlfn.MINIFS(Order_Date, Customer_ID, OrdersTable[[#This Row],[Customer ID]]), "New", "Repeat")</f>
        <v>Repeat</v>
      </c>
      <c r="H4594" t="s">
        <v>275</v>
      </c>
      <c r="I4594" t="str">
        <f>INDEX(State!B:B,MATCH(OrdersTable[[#This Row],[State]],State!A:A,0))</f>
        <v>AP</v>
      </c>
      <c r="J4594" t="str">
        <f>INDEX(State!C:C,MATCH(OrdersTable[[#This Row],[State Code]],State!B:B,0))</f>
        <v>South</v>
      </c>
      <c r="K4594" t="s">
        <v>491</v>
      </c>
      <c r="L4594" t="s">
        <v>39</v>
      </c>
      <c r="M4594" t="s">
        <v>87</v>
      </c>
      <c r="N4594" t="str">
        <f>INDEX(Products!B:B,MATCH(OrdersTable[[#This Row],[Product ID]],Products!A:A,0))</f>
        <v>Linen Kurta</v>
      </c>
      <c r="O4594" t="str">
        <f>INDEX(Products!C:C,MATCH(OrdersTable[[#This Row],[Product ID]],Products!A:A,0))</f>
        <v>Apparel</v>
      </c>
      <c r="P4594">
        <v>2</v>
      </c>
      <c r="Q4594" s="5">
        <v>1499</v>
      </c>
      <c r="R4594" s="74">
        <v>0.35</v>
      </c>
      <c r="S4594" s="75">
        <f>OrdersTable[[#This Row],[Quantity]]*OrdersTable[[#This Row],[Unit Price]]</f>
        <v>2998</v>
      </c>
      <c r="T4594" s="5">
        <f>OrdersTable[[#This Row],[Gross Sale]]*OrdersTable[[#This Row],[Discount_Clean2]]</f>
        <v>1049.3</v>
      </c>
      <c r="U4594" s="5">
        <f>OrdersTable[[#This Row],[Gross Sale]]-OrdersTable[[#This Row],[Discount Amount]]</f>
        <v>1948.7</v>
      </c>
      <c r="V4594" s="77">
        <f>INDEX(Products!E:E,MATCH(OrdersTable[[#This Row],[Product ID]],Products!A:A,0))</f>
        <v>630</v>
      </c>
      <c r="W4594" s="77">
        <f>OrdersTable[[#This Row],[Quantity]]*OrdersTable[[#This Row],[Unit Cost]]</f>
        <v>1260</v>
      </c>
      <c r="X4594" s="77">
        <f>'Dropdown Lists'!$I$2*(1+OrdersTable[[#This Row],[Returned]])</f>
        <v>60</v>
      </c>
      <c r="Y4594" s="76">
        <f>OrdersTable[[#This Row],[Net Revenue]]-OrdersTable[[#This Row],[COGS]]-OrdersTable[[#This Row],[Shipping Cost]]</f>
        <v>628.70000000000005</v>
      </c>
      <c r="Z4594" s="78">
        <f>IFERROR(OrdersTable[[#This Row],[Profit]]/OrdersTable[[#This Row],[Net Revenue]],0)</f>
        <v>0.32262533997023657</v>
      </c>
      <c r="AA4594" t="s">
        <v>18</v>
      </c>
      <c r="AB4594" s="79">
        <v>45991</v>
      </c>
      <c r="AC4594">
        <f>OrdersTable[[#This Row],[Delivery Date]]-OrdersTable[[#This Row],[Order Date]]</f>
        <v>3</v>
      </c>
      <c r="AD4594" t="str">
        <f>IF(OrdersTable[[#This Row],[Delivery Days]]&lt;=2, "Express (≤2d)", IF(OrdersTable[[#This Row],[Delivery Days]]&lt;=4, "Standard (3-4d)", "Delayed (5d+)"))</f>
        <v>Standard (3-4d)</v>
      </c>
      <c r="AF4594">
        <v>0</v>
      </c>
    </row>
    <row r="4595" spans="1:32" ht="15" x14ac:dyDescent="0.35">
      <c r="A4595" t="s">
        <v>3943</v>
      </c>
      <c r="B4595" s="1">
        <v>45988</v>
      </c>
      <c r="C4595">
        <f>YEAR(OrdersTable[[#This Row],[Order Date]])</f>
        <v>2025</v>
      </c>
      <c r="D4595" s="2">
        <f>DATE(YEAR(OrdersTable[[#This Row],[Order Date]]),MONTH(OrdersTable[[#This Row],[Order Date]]),1)</f>
        <v>45962</v>
      </c>
      <c r="E4595">
        <f>MONTH(OrdersTable[[#This Row],[Order Date]])</f>
        <v>11</v>
      </c>
      <c r="F4595" t="s">
        <v>3944</v>
      </c>
      <c r="G4595" t="str">
        <f>IF(OrdersTable[[#This Row],[Order Date]]=_xlfn.MINIFS(Order_Date, Customer_ID, OrdersTable[[#This Row],[Customer ID]]), "New", "Repeat")</f>
        <v>New</v>
      </c>
      <c r="H4595" t="s">
        <v>316</v>
      </c>
      <c r="I4595" t="str">
        <f>INDEX(State!B:B,MATCH(OrdersTable[[#This Row],[State]],State!A:A,0))</f>
        <v>KL</v>
      </c>
      <c r="J4595" t="str">
        <f>INDEX(State!C:C,MATCH(OrdersTable[[#This Row],[State Code]],State!B:B,0))</f>
        <v>South</v>
      </c>
      <c r="K4595" t="s">
        <v>338</v>
      </c>
      <c r="L4595" t="s">
        <v>50</v>
      </c>
      <c r="M4595" t="s">
        <v>109</v>
      </c>
      <c r="N4595" t="str">
        <f>INDEX(Products!B:B,MATCH(OrdersTable[[#This Row],[Product ID]],Products!A:A,0))</f>
        <v>Onion Hair Oil</v>
      </c>
      <c r="O4595" t="str">
        <f>INDEX(Products!C:C,MATCH(OrdersTable[[#This Row],[Product ID]],Products!A:A,0))</f>
        <v>Haircare</v>
      </c>
      <c r="P4595">
        <v>1</v>
      </c>
      <c r="Q4595" s="5">
        <v>349</v>
      </c>
      <c r="R4595" s="74">
        <v>0.45</v>
      </c>
      <c r="S4595" s="75">
        <f>OrdersTable[[#This Row],[Quantity]]*OrdersTable[[#This Row],[Unit Price]]</f>
        <v>349</v>
      </c>
      <c r="T4595" s="5">
        <f>OrdersTable[[#This Row],[Gross Sale]]*OrdersTable[[#This Row],[Discount_Clean2]]</f>
        <v>157.05000000000001</v>
      </c>
      <c r="U4595" s="5">
        <f>OrdersTable[[#This Row],[Gross Sale]]-OrdersTable[[#This Row],[Discount Amount]]</f>
        <v>191.95</v>
      </c>
      <c r="V4595" s="77">
        <f>INDEX(Products!E:E,MATCH(OrdersTable[[#This Row],[Product ID]],Products!A:A,0))</f>
        <v>105</v>
      </c>
      <c r="W4595" s="77">
        <f>OrdersTable[[#This Row],[Quantity]]*OrdersTable[[#This Row],[Unit Cost]]</f>
        <v>105</v>
      </c>
      <c r="X4595" s="77">
        <f>'Dropdown Lists'!$I$2*(1+OrdersTable[[#This Row],[Returned]])</f>
        <v>60</v>
      </c>
      <c r="Y4595" s="76">
        <f>OrdersTable[[#This Row],[Net Revenue]]-OrdersTable[[#This Row],[COGS]]-OrdersTable[[#This Row],[Shipping Cost]]</f>
        <v>26.949999999999989</v>
      </c>
      <c r="Z4595" s="78">
        <f>IFERROR(OrdersTable[[#This Row],[Profit]]/OrdersTable[[#This Row],[Net Revenue]],0)</f>
        <v>0.1404011461318051</v>
      </c>
      <c r="AA4595" t="s">
        <v>3495</v>
      </c>
      <c r="AB4595" s="79">
        <v>45991</v>
      </c>
      <c r="AC4595">
        <f>OrdersTable[[#This Row],[Delivery Date]]-OrdersTable[[#This Row],[Order Date]]</f>
        <v>3</v>
      </c>
      <c r="AD4595" t="str">
        <f>IF(OrdersTable[[#This Row],[Delivery Days]]&lt;=2, "Express (≤2d)", IF(OrdersTable[[#This Row],[Delivery Days]]&lt;=4, "Standard (3-4d)", "Delayed (5d+)"))</f>
        <v>Standard (3-4d)</v>
      </c>
      <c r="AE4595">
        <v>3</v>
      </c>
      <c r="AF4595">
        <v>0</v>
      </c>
    </row>
    <row r="4596" spans="1:32" ht="15" x14ac:dyDescent="0.35">
      <c r="A4596" t="s">
        <v>3368</v>
      </c>
      <c r="B4596" s="1">
        <v>45988</v>
      </c>
      <c r="C4596">
        <f>YEAR(OrdersTable[[#This Row],[Order Date]])</f>
        <v>2025</v>
      </c>
      <c r="D4596" s="2">
        <f>DATE(YEAR(OrdersTable[[#This Row],[Order Date]]),MONTH(OrdersTable[[#This Row],[Order Date]]),1)</f>
        <v>45962</v>
      </c>
      <c r="E4596">
        <f>MONTH(OrdersTable[[#This Row],[Order Date]])</f>
        <v>11</v>
      </c>
      <c r="F4596" t="s">
        <v>3369</v>
      </c>
      <c r="G4596" t="str">
        <f>IF(OrdersTable[[#This Row],[Order Date]]=_xlfn.MINIFS(Order_Date, Customer_ID, OrdersTable[[#This Row],[Customer ID]]), "New", "Repeat")</f>
        <v>New</v>
      </c>
      <c r="H4596" t="s">
        <v>59</v>
      </c>
      <c r="I4596" t="str">
        <f>INDEX(State!B:B,MATCH(OrdersTable[[#This Row],[State]],State!A:A,0))</f>
        <v>TN</v>
      </c>
      <c r="J4596" t="str">
        <f>INDEX(State!C:C,MATCH(OrdersTable[[#This Row],[State Code]],State!B:B,0))</f>
        <v>South</v>
      </c>
      <c r="K4596" t="s">
        <v>64</v>
      </c>
      <c r="L4596" t="s">
        <v>23</v>
      </c>
      <c r="M4596" t="s">
        <v>78</v>
      </c>
      <c r="N4596" t="str">
        <f>INDEX(Products!B:B,MATCH(OrdersTable[[#This Row],[Product ID]],Products!A:A,0))</f>
        <v>Retinol Night Cream</v>
      </c>
      <c r="O4596" t="str">
        <f>INDEX(Products!C:C,MATCH(OrdersTable[[#This Row],[Product ID]],Products!A:A,0))</f>
        <v>Skincare</v>
      </c>
      <c r="P4596">
        <v>1</v>
      </c>
      <c r="Q4596" s="5">
        <v>799</v>
      </c>
      <c r="R4596" s="74">
        <v>0.25</v>
      </c>
      <c r="S4596" s="75">
        <f>OrdersTable[[#This Row],[Quantity]]*OrdersTable[[#This Row],[Unit Price]]</f>
        <v>799</v>
      </c>
      <c r="T4596" s="5">
        <f>OrdersTable[[#This Row],[Gross Sale]]*OrdersTable[[#This Row],[Discount_Clean2]]</f>
        <v>199.75</v>
      </c>
      <c r="U4596" s="5">
        <f>OrdersTable[[#This Row],[Gross Sale]]-OrdersTable[[#This Row],[Discount Amount]]</f>
        <v>599.25</v>
      </c>
      <c r="V4596" s="77">
        <f>INDEX(Products!E:E,MATCH(OrdersTable[[#This Row],[Product ID]],Products!A:A,0))</f>
        <v>216</v>
      </c>
      <c r="W4596" s="77">
        <f>OrdersTable[[#This Row],[Quantity]]*OrdersTable[[#This Row],[Unit Cost]]</f>
        <v>216</v>
      </c>
      <c r="X4596" s="77">
        <f>'Dropdown Lists'!$I$2*(1+OrdersTable[[#This Row],[Returned]])</f>
        <v>60</v>
      </c>
      <c r="Y4596" s="76">
        <f>OrdersTable[[#This Row],[Net Revenue]]-OrdersTable[[#This Row],[COGS]]-OrdersTable[[#This Row],[Shipping Cost]]</f>
        <v>323.25</v>
      </c>
      <c r="Z4596" s="78">
        <f>IFERROR(OrdersTable[[#This Row],[Profit]]/OrdersTable[[#This Row],[Net Revenue]],0)</f>
        <v>0.5394242803504381</v>
      </c>
      <c r="AA4596" t="s">
        <v>2522</v>
      </c>
      <c r="AB4596" s="79">
        <v>45993</v>
      </c>
      <c r="AC4596">
        <f>OrdersTable[[#This Row],[Delivery Date]]-OrdersTable[[#This Row],[Order Date]]</f>
        <v>5</v>
      </c>
      <c r="AD4596" t="str">
        <f>IF(OrdersTable[[#This Row],[Delivery Days]]&lt;=2, "Express (≤2d)", IF(OrdersTable[[#This Row],[Delivery Days]]&lt;=4, "Standard (3-4d)", "Delayed (5d+)"))</f>
        <v>Delayed (5d+)</v>
      </c>
      <c r="AE4596">
        <v>4</v>
      </c>
      <c r="AF4596">
        <v>0</v>
      </c>
    </row>
    <row r="4597" spans="1:32" ht="15" x14ac:dyDescent="0.35">
      <c r="A4597" t="s">
        <v>6833</v>
      </c>
      <c r="B4597" s="1">
        <v>45988</v>
      </c>
      <c r="C4597">
        <f>YEAR(OrdersTable[[#This Row],[Order Date]])</f>
        <v>2025</v>
      </c>
      <c r="D4597" s="2">
        <f>DATE(YEAR(OrdersTable[[#This Row],[Order Date]]),MONTH(OrdersTable[[#This Row],[Order Date]]),1)</f>
        <v>45962</v>
      </c>
      <c r="E4597">
        <f>MONTH(OrdersTable[[#This Row],[Order Date]])</f>
        <v>11</v>
      </c>
      <c r="F4597" t="s">
        <v>6112</v>
      </c>
      <c r="G4597" t="str">
        <f>IF(OrdersTable[[#This Row],[Order Date]]=_xlfn.MINIFS(Order_Date, Customer_ID, OrdersTable[[#This Row],[Customer ID]]), "New", "Repeat")</f>
        <v>Repeat</v>
      </c>
      <c r="H4597" t="s">
        <v>59</v>
      </c>
      <c r="I4597" t="str">
        <f>INDEX(State!B:B,MATCH(OrdersTable[[#This Row],[State]],State!A:A,0))</f>
        <v>TN</v>
      </c>
      <c r="J4597" t="str">
        <f>INDEX(State!C:C,MATCH(OrdersTable[[#This Row],[State Code]],State!B:B,0))</f>
        <v>South</v>
      </c>
      <c r="K4597" t="s">
        <v>64</v>
      </c>
      <c r="L4597" t="s">
        <v>39</v>
      </c>
      <c r="M4597" t="s">
        <v>78</v>
      </c>
      <c r="N4597" t="str">
        <f>INDEX(Products!B:B,MATCH(OrdersTable[[#This Row],[Product ID]],Products!A:A,0))</f>
        <v>Retinol Night Cream</v>
      </c>
      <c r="O4597" t="str">
        <f>INDEX(Products!C:C,MATCH(OrdersTable[[#This Row],[Product ID]],Products!A:A,0))</f>
        <v>Skincare</v>
      </c>
      <c r="P4597">
        <v>3</v>
      </c>
      <c r="Q4597" s="5">
        <v>799</v>
      </c>
      <c r="R4597" s="74">
        <v>0.2</v>
      </c>
      <c r="S4597" s="75">
        <f>OrdersTable[[#This Row],[Quantity]]*OrdersTable[[#This Row],[Unit Price]]</f>
        <v>2397</v>
      </c>
      <c r="T4597" s="5">
        <f>OrdersTable[[#This Row],[Gross Sale]]*OrdersTable[[#This Row],[Discount_Clean2]]</f>
        <v>479.40000000000003</v>
      </c>
      <c r="U4597" s="5">
        <f>OrdersTable[[#This Row],[Gross Sale]]-OrdersTable[[#This Row],[Discount Amount]]</f>
        <v>1917.6</v>
      </c>
      <c r="V4597" s="77">
        <f>INDEX(Products!E:E,MATCH(OrdersTable[[#This Row],[Product ID]],Products!A:A,0))</f>
        <v>216</v>
      </c>
      <c r="W4597" s="77">
        <f>OrdersTable[[#This Row],[Quantity]]*OrdersTable[[#This Row],[Unit Cost]]</f>
        <v>648</v>
      </c>
      <c r="X4597" s="77">
        <f>'Dropdown Lists'!$I$2*(1+OrdersTable[[#This Row],[Returned]])</f>
        <v>60</v>
      </c>
      <c r="Y4597" s="76">
        <f>OrdersTable[[#This Row],[Net Revenue]]-OrdersTable[[#This Row],[COGS]]-OrdersTable[[#This Row],[Shipping Cost]]</f>
        <v>1209.5999999999999</v>
      </c>
      <c r="Z4597" s="78">
        <f>IFERROR(OrdersTable[[#This Row],[Profit]]/OrdersTable[[#This Row],[Net Revenue]],0)</f>
        <v>0.63078848560700873</v>
      </c>
      <c r="AA4597" t="s">
        <v>3495</v>
      </c>
      <c r="AB4597" s="79">
        <v>45992</v>
      </c>
      <c r="AC4597">
        <f>OrdersTable[[#This Row],[Delivery Date]]-OrdersTable[[#This Row],[Order Date]]</f>
        <v>4</v>
      </c>
      <c r="AD4597" t="str">
        <f>IF(OrdersTable[[#This Row],[Delivery Days]]&lt;=2, "Express (≤2d)", IF(OrdersTable[[#This Row],[Delivery Days]]&lt;=4, "Standard (3-4d)", "Delayed (5d+)"))</f>
        <v>Standard (3-4d)</v>
      </c>
      <c r="AE4597">
        <v>4</v>
      </c>
      <c r="AF4597">
        <v>0</v>
      </c>
    </row>
    <row r="4598" spans="1:32" ht="15" x14ac:dyDescent="0.35">
      <c r="A4598" t="s">
        <v>1316</v>
      </c>
      <c r="B4598" s="1">
        <v>45989</v>
      </c>
      <c r="C4598">
        <f>YEAR(OrdersTable[[#This Row],[Order Date]])</f>
        <v>2025</v>
      </c>
      <c r="D4598" s="2">
        <f>DATE(YEAR(OrdersTable[[#This Row],[Order Date]]),MONTH(OrdersTable[[#This Row],[Order Date]]),1)</f>
        <v>45962</v>
      </c>
      <c r="E4598">
        <f>MONTH(OrdersTable[[#This Row],[Order Date]])</f>
        <v>11</v>
      </c>
      <c r="F4598" t="s">
        <v>1317</v>
      </c>
      <c r="G4598" t="str">
        <f>IF(OrdersTable[[#This Row],[Order Date]]=_xlfn.MINIFS(Order_Date, Customer_ID, OrdersTable[[#This Row],[Customer ID]]), "New", "Repeat")</f>
        <v>Repeat</v>
      </c>
      <c r="H4598" t="s">
        <v>37</v>
      </c>
      <c r="I4598" t="str">
        <f>INDEX(State!B:B,MATCH(OrdersTable[[#This Row],[State]],State!A:A,0))</f>
        <v>GJ</v>
      </c>
      <c r="J4598" t="str">
        <f>INDEX(State!C:C,MATCH(OrdersTable[[#This Row],[State Code]],State!B:B,0))</f>
        <v>West</v>
      </c>
      <c r="K4598" t="s">
        <v>38</v>
      </c>
      <c r="L4598" t="s">
        <v>16</v>
      </c>
      <c r="M4598" t="s">
        <v>34</v>
      </c>
      <c r="N4598" t="str">
        <f>INDEX(Products!B:B,MATCH(OrdersTable[[#This Row],[Product ID]],Products!A:A,0))</f>
        <v>Flip Flops</v>
      </c>
      <c r="O4598" t="str">
        <f>INDEX(Products!C:C,MATCH(OrdersTable[[#This Row],[Product ID]],Products!A:A,0))</f>
        <v>Footwear</v>
      </c>
      <c r="P4598">
        <v>1</v>
      </c>
      <c r="Q4598" s="5">
        <v>399</v>
      </c>
      <c r="R4598" s="74">
        <v>0.3</v>
      </c>
      <c r="S4598" s="75">
        <f>OrdersTable[[#This Row],[Quantity]]*OrdersTable[[#This Row],[Unit Price]]</f>
        <v>399</v>
      </c>
      <c r="T4598" s="5">
        <f>OrdersTable[[#This Row],[Gross Sale]]*OrdersTable[[#This Row],[Discount_Clean2]]</f>
        <v>119.69999999999999</v>
      </c>
      <c r="U4598" s="5">
        <f>OrdersTable[[#This Row],[Gross Sale]]-OrdersTable[[#This Row],[Discount Amount]]</f>
        <v>279.3</v>
      </c>
      <c r="V4598" s="77">
        <f>INDEX(Products!E:E,MATCH(OrdersTable[[#This Row],[Product ID]],Products!A:A,0))</f>
        <v>152</v>
      </c>
      <c r="W4598" s="77">
        <f>OrdersTable[[#This Row],[Quantity]]*OrdersTable[[#This Row],[Unit Cost]]</f>
        <v>152</v>
      </c>
      <c r="X4598" s="77">
        <f>'Dropdown Lists'!$I$2*(1+OrdersTable[[#This Row],[Returned]])</f>
        <v>60</v>
      </c>
      <c r="Y4598" s="76">
        <f>OrdersTable[[#This Row],[Net Revenue]]-OrdersTable[[#This Row],[COGS]]-OrdersTable[[#This Row],[Shipping Cost]]</f>
        <v>67.300000000000011</v>
      </c>
      <c r="Z4598" s="78">
        <f>IFERROR(OrdersTable[[#This Row],[Profit]]/OrdersTable[[#This Row],[Net Revenue]],0)</f>
        <v>0.24095954171142145</v>
      </c>
      <c r="AA4598" t="s">
        <v>18</v>
      </c>
      <c r="AB4598" s="79">
        <v>45991</v>
      </c>
      <c r="AC4598">
        <f>OrdersTable[[#This Row],[Delivery Date]]-OrdersTable[[#This Row],[Order Date]]</f>
        <v>2</v>
      </c>
      <c r="AD4598" t="str">
        <f>IF(OrdersTable[[#This Row],[Delivery Days]]&lt;=2, "Express (≤2d)", IF(OrdersTable[[#This Row],[Delivery Days]]&lt;=4, "Standard (3-4d)", "Delayed (5d+)"))</f>
        <v>Express (≤2d)</v>
      </c>
      <c r="AF4598">
        <v>0</v>
      </c>
    </row>
    <row r="4599" spans="1:32" ht="15" x14ac:dyDescent="0.35">
      <c r="A4599" t="s">
        <v>5049</v>
      </c>
      <c r="B4599" s="1">
        <v>45989</v>
      </c>
      <c r="C4599">
        <f>YEAR(OrdersTable[[#This Row],[Order Date]])</f>
        <v>2025</v>
      </c>
      <c r="D4599" s="2">
        <f>DATE(YEAR(OrdersTable[[#This Row],[Order Date]]),MONTH(OrdersTable[[#This Row],[Order Date]]),1)</f>
        <v>45962</v>
      </c>
      <c r="E4599">
        <f>MONTH(OrdersTable[[#This Row],[Order Date]])</f>
        <v>11</v>
      </c>
      <c r="F4599" t="s">
        <v>5050</v>
      </c>
      <c r="G4599" t="str">
        <f>IF(OrdersTable[[#This Row],[Order Date]]=_xlfn.MINIFS(Order_Date, Customer_ID, OrdersTable[[#This Row],[Customer ID]]), "New", "Repeat")</f>
        <v>New</v>
      </c>
      <c r="H4599" t="s">
        <v>27</v>
      </c>
      <c r="I4599" t="str">
        <f>INDEX(State!B:B,MATCH(OrdersTable[[#This Row],[State]],State!A:A,0))</f>
        <v>WB</v>
      </c>
      <c r="J4599" t="str">
        <f>INDEX(State!C:C,MATCH(OrdersTable[[#This Row],[State Code]],State!B:B,0))</f>
        <v>East</v>
      </c>
      <c r="K4599" t="s">
        <v>28</v>
      </c>
      <c r="L4599" t="s">
        <v>39</v>
      </c>
      <c r="M4599" t="s">
        <v>152</v>
      </c>
      <c r="N4599" t="str">
        <f>INDEX(Products!B:B,MATCH(OrdersTable[[#This Row],[Product ID]],Products!A:A,0))</f>
        <v>Green Tea (100 bags)</v>
      </c>
      <c r="O4599" t="str">
        <f>INDEX(Products!C:C,MATCH(OrdersTable[[#This Row],[Product ID]],Products!A:A,0))</f>
        <v>Wellness</v>
      </c>
      <c r="P4599">
        <v>2</v>
      </c>
      <c r="Q4599" s="5">
        <v>399</v>
      </c>
      <c r="R4599" s="74">
        <v>0.55000000000000004</v>
      </c>
      <c r="S4599" s="75">
        <f>OrdersTable[[#This Row],[Quantity]]*OrdersTable[[#This Row],[Unit Price]]</f>
        <v>798</v>
      </c>
      <c r="T4599" s="5">
        <f>OrdersTable[[#This Row],[Gross Sale]]*OrdersTable[[#This Row],[Discount_Clean2]]</f>
        <v>438.90000000000003</v>
      </c>
      <c r="U4599" s="5">
        <f>OrdersTable[[#This Row],[Gross Sale]]-OrdersTable[[#This Row],[Discount Amount]]</f>
        <v>359.09999999999997</v>
      </c>
      <c r="V4599" s="77">
        <f>INDEX(Products!E:E,MATCH(OrdersTable[[#This Row],[Product ID]],Products!A:A,0))</f>
        <v>128</v>
      </c>
      <c r="W4599" s="77">
        <f>OrdersTable[[#This Row],[Quantity]]*OrdersTable[[#This Row],[Unit Cost]]</f>
        <v>256</v>
      </c>
      <c r="X4599" s="77">
        <f>'Dropdown Lists'!$I$2*(1+OrdersTable[[#This Row],[Returned]])</f>
        <v>60</v>
      </c>
      <c r="Y4599" s="76">
        <f>OrdersTable[[#This Row],[Net Revenue]]-OrdersTable[[#This Row],[COGS]]-OrdersTable[[#This Row],[Shipping Cost]]</f>
        <v>43.099999999999966</v>
      </c>
      <c r="Z4599" s="78">
        <f>IFERROR(OrdersTable[[#This Row],[Profit]]/OrdersTable[[#This Row],[Net Revenue]],0)</f>
        <v>0.12002227791701467</v>
      </c>
      <c r="AA4599" t="s">
        <v>4074</v>
      </c>
      <c r="AB4599" s="79">
        <v>45993</v>
      </c>
      <c r="AC4599">
        <f>OrdersTable[[#This Row],[Delivery Date]]-OrdersTable[[#This Row],[Order Date]]</f>
        <v>4</v>
      </c>
      <c r="AD4599" t="str">
        <f>IF(OrdersTable[[#This Row],[Delivery Days]]&lt;=2, "Express (≤2d)", IF(OrdersTable[[#This Row],[Delivery Days]]&lt;=4, "Standard (3-4d)", "Delayed (5d+)"))</f>
        <v>Standard (3-4d)</v>
      </c>
      <c r="AF4599">
        <v>0</v>
      </c>
    </row>
    <row r="4600" spans="1:32" ht="15" x14ac:dyDescent="0.35">
      <c r="A4600" t="s">
        <v>4071</v>
      </c>
      <c r="B4600" s="1">
        <v>45989</v>
      </c>
      <c r="C4600">
        <f>YEAR(OrdersTable[[#This Row],[Order Date]])</f>
        <v>2025</v>
      </c>
      <c r="D4600" s="2">
        <f>DATE(YEAR(OrdersTable[[#This Row],[Order Date]]),MONTH(OrdersTable[[#This Row],[Order Date]]),1)</f>
        <v>45962</v>
      </c>
      <c r="E4600">
        <f>MONTH(OrdersTable[[#This Row],[Order Date]])</f>
        <v>11</v>
      </c>
      <c r="F4600" t="s">
        <v>1226</v>
      </c>
      <c r="G4600" t="str">
        <f>IF(OrdersTable[[#This Row],[Order Date]]=_xlfn.MINIFS(Order_Date, Customer_ID, OrdersTable[[#This Row],[Customer ID]]), "New", "Repeat")</f>
        <v>Repeat</v>
      </c>
      <c r="H4600" t="s">
        <v>27</v>
      </c>
      <c r="I4600" t="str">
        <f>INDEX(State!B:B,MATCH(OrdersTable[[#This Row],[State]],State!A:A,0))</f>
        <v>WB</v>
      </c>
      <c r="J4600" t="str">
        <f>INDEX(State!C:C,MATCH(OrdersTable[[#This Row],[State Code]],State!B:B,0))</f>
        <v>East</v>
      </c>
      <c r="K4600" t="s">
        <v>28</v>
      </c>
      <c r="L4600" t="s">
        <v>50</v>
      </c>
      <c r="M4600" t="s">
        <v>152</v>
      </c>
      <c r="N4600" t="str">
        <f>INDEX(Products!B:B,MATCH(OrdersTable[[#This Row],[Product ID]],Products!A:A,0))</f>
        <v>Green Tea (100 bags)</v>
      </c>
      <c r="O4600" t="str">
        <f>INDEX(Products!C:C,MATCH(OrdersTable[[#This Row],[Product ID]],Products!A:A,0))</f>
        <v>Wellness</v>
      </c>
      <c r="P4600">
        <v>1</v>
      </c>
      <c r="Q4600" s="5">
        <v>399</v>
      </c>
      <c r="R4600" s="74">
        <v>0.5</v>
      </c>
      <c r="S4600" s="75">
        <f>OrdersTable[[#This Row],[Quantity]]*OrdersTable[[#This Row],[Unit Price]]</f>
        <v>399</v>
      </c>
      <c r="T4600" s="5">
        <f>OrdersTable[[#This Row],[Gross Sale]]*OrdersTable[[#This Row],[Discount_Clean2]]</f>
        <v>199.5</v>
      </c>
      <c r="U4600" s="5">
        <f>OrdersTable[[#This Row],[Gross Sale]]-OrdersTable[[#This Row],[Discount Amount]]</f>
        <v>199.5</v>
      </c>
      <c r="V4600" s="77">
        <f>INDEX(Products!E:E,MATCH(OrdersTable[[#This Row],[Product ID]],Products!A:A,0))</f>
        <v>128</v>
      </c>
      <c r="W4600" s="77">
        <f>OrdersTable[[#This Row],[Quantity]]*OrdersTable[[#This Row],[Unit Cost]]</f>
        <v>128</v>
      </c>
      <c r="X4600" s="77">
        <f>'Dropdown Lists'!$I$2*(1+OrdersTable[[#This Row],[Returned]])</f>
        <v>60</v>
      </c>
      <c r="Y4600" s="76">
        <f>OrdersTable[[#This Row],[Net Revenue]]-OrdersTable[[#This Row],[COGS]]-OrdersTable[[#This Row],[Shipping Cost]]</f>
        <v>11.5</v>
      </c>
      <c r="Z4600" s="78">
        <f>IFERROR(OrdersTable[[#This Row],[Profit]]/OrdersTable[[#This Row],[Net Revenue]],0)</f>
        <v>5.764411027568922E-2</v>
      </c>
      <c r="AA4600" t="s">
        <v>3495</v>
      </c>
      <c r="AB4600" s="79">
        <v>45992</v>
      </c>
      <c r="AC4600">
        <f>OrdersTable[[#This Row],[Delivery Date]]-OrdersTable[[#This Row],[Order Date]]</f>
        <v>3</v>
      </c>
      <c r="AD4600" t="str">
        <f>IF(OrdersTable[[#This Row],[Delivery Days]]&lt;=2, "Express (≤2d)", IF(OrdersTable[[#This Row],[Delivery Days]]&lt;=4, "Standard (3-4d)", "Delayed (5d+)"))</f>
        <v>Standard (3-4d)</v>
      </c>
      <c r="AE4600">
        <v>2</v>
      </c>
      <c r="AF4600">
        <v>0</v>
      </c>
    </row>
    <row r="4601" spans="1:32" ht="15" x14ac:dyDescent="0.35">
      <c r="A4601" t="s">
        <v>5279</v>
      </c>
      <c r="B4601" s="1">
        <v>45989</v>
      </c>
      <c r="C4601">
        <f>YEAR(OrdersTable[[#This Row],[Order Date]])</f>
        <v>2025</v>
      </c>
      <c r="D4601" s="2">
        <f>DATE(YEAR(OrdersTable[[#This Row],[Order Date]]),MONTH(OrdersTable[[#This Row],[Order Date]]),1)</f>
        <v>45962</v>
      </c>
      <c r="E4601">
        <f>MONTH(OrdersTable[[#This Row],[Order Date]])</f>
        <v>11</v>
      </c>
      <c r="F4601" t="s">
        <v>5280</v>
      </c>
      <c r="G4601" t="str">
        <f>IF(OrdersTable[[#This Row],[Order Date]]=_xlfn.MINIFS(Order_Date, Customer_ID, OrdersTable[[#This Row],[Customer ID]]), "New", "Repeat")</f>
        <v>New</v>
      </c>
      <c r="H4601" t="s">
        <v>71</v>
      </c>
      <c r="I4601" t="str">
        <f>INDEX(State!B:B,MATCH(OrdersTable[[#This Row],[State]],State!A:A,0))</f>
        <v>MH</v>
      </c>
      <c r="J4601" t="str">
        <f>INDEX(State!C:C,MATCH(OrdersTable[[#This Row],[State Code]],State!B:B,0))</f>
        <v>West</v>
      </c>
      <c r="K4601" t="s">
        <v>102</v>
      </c>
      <c r="L4601" t="s">
        <v>65</v>
      </c>
      <c r="M4601" t="s">
        <v>29</v>
      </c>
      <c r="N4601" t="str">
        <f>INDEX(Products!B:B,MATCH(OrdersTable[[#This Row],[Product ID]],Products!A:A,0))</f>
        <v>Joggers</v>
      </c>
      <c r="O4601" t="str">
        <f>INDEX(Products!C:C,MATCH(OrdersTable[[#This Row],[Product ID]],Products!A:A,0))</f>
        <v>Apparel</v>
      </c>
      <c r="P4601">
        <v>2</v>
      </c>
      <c r="Q4601" s="5">
        <v>1199</v>
      </c>
      <c r="R4601" s="74">
        <v>0.2</v>
      </c>
      <c r="S4601" s="75">
        <f>OrdersTable[[#This Row],[Quantity]]*OrdersTable[[#This Row],[Unit Price]]</f>
        <v>2398</v>
      </c>
      <c r="T4601" s="5">
        <f>OrdersTable[[#This Row],[Gross Sale]]*OrdersTable[[#This Row],[Discount_Clean2]]</f>
        <v>479.6</v>
      </c>
      <c r="U4601" s="5">
        <f>OrdersTable[[#This Row],[Gross Sale]]-OrdersTable[[#This Row],[Discount Amount]]</f>
        <v>1918.4</v>
      </c>
      <c r="V4601" s="77">
        <f>INDEX(Products!E:E,MATCH(OrdersTable[[#This Row],[Product ID]],Products!A:A,0))</f>
        <v>492</v>
      </c>
      <c r="W4601" s="77">
        <f>OrdersTable[[#This Row],[Quantity]]*OrdersTable[[#This Row],[Unit Cost]]</f>
        <v>984</v>
      </c>
      <c r="X4601" s="77">
        <f>'Dropdown Lists'!$I$2*(1+OrdersTable[[#This Row],[Returned]])</f>
        <v>60</v>
      </c>
      <c r="Y4601" s="76">
        <f>OrdersTable[[#This Row],[Net Revenue]]-OrdersTable[[#This Row],[COGS]]-OrdersTable[[#This Row],[Shipping Cost]]</f>
        <v>874.40000000000009</v>
      </c>
      <c r="Z4601" s="78">
        <f>IFERROR(OrdersTable[[#This Row],[Profit]]/OrdersTable[[#This Row],[Net Revenue]],0)</f>
        <v>0.45579649708090075</v>
      </c>
      <c r="AA4601" t="s">
        <v>3495</v>
      </c>
      <c r="AB4601" s="79">
        <v>45991</v>
      </c>
      <c r="AC4601">
        <f>OrdersTable[[#This Row],[Delivery Date]]-OrdersTable[[#This Row],[Order Date]]</f>
        <v>2</v>
      </c>
      <c r="AD4601" t="str">
        <f>IF(OrdersTable[[#This Row],[Delivery Days]]&lt;=2, "Express (≤2d)", IF(OrdersTable[[#This Row],[Delivery Days]]&lt;=4, "Standard (3-4d)", "Delayed (5d+)"))</f>
        <v>Express (≤2d)</v>
      </c>
      <c r="AE4601">
        <v>5</v>
      </c>
      <c r="AF4601">
        <v>0</v>
      </c>
    </row>
    <row r="4602" spans="1:32" ht="15" x14ac:dyDescent="0.35">
      <c r="A4602" t="s">
        <v>4889</v>
      </c>
      <c r="B4602" s="1">
        <v>45989</v>
      </c>
      <c r="C4602">
        <f>YEAR(OrdersTable[[#This Row],[Order Date]])</f>
        <v>2025</v>
      </c>
      <c r="D4602" s="2">
        <f>DATE(YEAR(OrdersTable[[#This Row],[Order Date]]),MONTH(OrdersTable[[#This Row],[Order Date]]),1)</f>
        <v>45962</v>
      </c>
      <c r="E4602">
        <f>MONTH(OrdersTable[[#This Row],[Order Date]])</f>
        <v>11</v>
      </c>
      <c r="F4602" t="s">
        <v>1322</v>
      </c>
      <c r="G4602" t="str">
        <f>IF(OrdersTable[[#This Row],[Order Date]]=_xlfn.MINIFS(Order_Date, Customer_ID, OrdersTable[[#This Row],[Customer ID]]), "New", "Repeat")</f>
        <v>Repeat</v>
      </c>
      <c r="H4602" t="s">
        <v>14</v>
      </c>
      <c r="I4602" t="str">
        <f>INDEX(State!B:B,MATCH(OrdersTable[[#This Row],[State]],State!A:A,0))</f>
        <v>OD</v>
      </c>
      <c r="J4602" t="str">
        <f>INDEX(State!C:C,MATCH(OrdersTable[[#This Row],[State Code]],State!B:B,0))</f>
        <v>East</v>
      </c>
      <c r="K4602" t="s">
        <v>15</v>
      </c>
      <c r="L4602" t="s">
        <v>16</v>
      </c>
      <c r="M4602" t="s">
        <v>17</v>
      </c>
      <c r="N4602" t="str">
        <f>INDEX(Products!B:B,MATCH(OrdersTable[[#This Row],[Product ID]],Products!A:A,0))</f>
        <v>Casual Sneakers</v>
      </c>
      <c r="O4602" t="str">
        <f>INDEX(Products!C:C,MATCH(OrdersTable[[#This Row],[Product ID]],Products!A:A,0))</f>
        <v>Footwear</v>
      </c>
      <c r="P4602">
        <v>2</v>
      </c>
      <c r="Q4602" s="5">
        <v>2199</v>
      </c>
      <c r="R4602" s="74">
        <v>0.45</v>
      </c>
      <c r="S4602" s="75">
        <f>OrdersTable[[#This Row],[Quantity]]*OrdersTable[[#This Row],[Unit Price]]</f>
        <v>4398</v>
      </c>
      <c r="T4602" s="5">
        <f>OrdersTable[[#This Row],[Gross Sale]]*OrdersTable[[#This Row],[Discount_Clean2]]</f>
        <v>1979.1000000000001</v>
      </c>
      <c r="U4602" s="5">
        <f>OrdersTable[[#This Row],[Gross Sale]]-OrdersTable[[#This Row],[Discount Amount]]</f>
        <v>2418.8999999999996</v>
      </c>
      <c r="V4602" s="77">
        <f>INDEX(Products!E:E,MATCH(OrdersTable[[#This Row],[Product ID]],Products!A:A,0))</f>
        <v>1034</v>
      </c>
      <c r="W4602" s="77">
        <f>OrdersTable[[#This Row],[Quantity]]*OrdersTable[[#This Row],[Unit Cost]]</f>
        <v>2068</v>
      </c>
      <c r="X4602" s="77">
        <f>'Dropdown Lists'!$I$2*(1+OrdersTable[[#This Row],[Returned]])</f>
        <v>60</v>
      </c>
      <c r="Y4602" s="76">
        <f>OrdersTable[[#This Row],[Net Revenue]]-OrdersTable[[#This Row],[COGS]]-OrdersTable[[#This Row],[Shipping Cost]]</f>
        <v>290.89999999999964</v>
      </c>
      <c r="Z4602" s="78">
        <f>IFERROR(OrdersTable[[#This Row],[Profit]]/OrdersTable[[#This Row],[Net Revenue]],0)</f>
        <v>0.1202612757865144</v>
      </c>
      <c r="AA4602" t="s">
        <v>4450</v>
      </c>
      <c r="AB4602" s="79">
        <v>45993</v>
      </c>
      <c r="AC4602">
        <f>OrdersTable[[#This Row],[Delivery Date]]-OrdersTable[[#This Row],[Order Date]]</f>
        <v>4</v>
      </c>
      <c r="AD4602" t="str">
        <f>IF(OrdersTable[[#This Row],[Delivery Days]]&lt;=2, "Express (≤2d)", IF(OrdersTable[[#This Row],[Delivery Days]]&lt;=4, "Standard (3-4d)", "Delayed (5d+)"))</f>
        <v>Standard (3-4d)</v>
      </c>
      <c r="AF4602">
        <v>0</v>
      </c>
    </row>
    <row r="4603" spans="1:32" ht="15" x14ac:dyDescent="0.35">
      <c r="A4603" t="s">
        <v>7138</v>
      </c>
      <c r="B4603" s="1">
        <v>45989</v>
      </c>
      <c r="C4603">
        <f>YEAR(OrdersTable[[#This Row],[Order Date]])</f>
        <v>2025</v>
      </c>
      <c r="D4603" s="2">
        <f>DATE(YEAR(OrdersTable[[#This Row],[Order Date]]),MONTH(OrdersTable[[#This Row],[Order Date]]),1)</f>
        <v>45962</v>
      </c>
      <c r="E4603">
        <f>MONTH(OrdersTable[[#This Row],[Order Date]])</f>
        <v>11</v>
      </c>
      <c r="F4603" t="s">
        <v>7139</v>
      </c>
      <c r="G4603" t="str">
        <f>IF(OrdersTable[[#This Row],[Order Date]]=_xlfn.MINIFS(Order_Date, Customer_ID, OrdersTable[[#This Row],[Customer ID]]), "New", "Repeat")</f>
        <v>New</v>
      </c>
      <c r="H4603" t="s">
        <v>167</v>
      </c>
      <c r="I4603" t="str">
        <f>INDEX(State!B:B,MATCH(OrdersTable[[#This Row],[State]],State!A:A,0))</f>
        <v>KA</v>
      </c>
      <c r="J4603" t="str">
        <f>INDEX(State!C:C,MATCH(OrdersTable[[#This Row],[State Code]],State!B:B,0))</f>
        <v>South</v>
      </c>
      <c r="K4603" t="s">
        <v>168</v>
      </c>
      <c r="L4603" t="s">
        <v>23</v>
      </c>
      <c r="M4603" t="s">
        <v>84</v>
      </c>
      <c r="N4603" t="str">
        <f>INDEX(Products!B:B,MATCH(OrdersTable[[#This Row],[Product ID]],Products!A:A,0))</f>
        <v>Cotton Bedsheet</v>
      </c>
      <c r="O4603" t="str">
        <f>INDEX(Products!C:C,MATCH(OrdersTable[[#This Row],[Product ID]],Products!A:A,0))</f>
        <v>Home &amp; Kitchen</v>
      </c>
      <c r="P4603">
        <v>4</v>
      </c>
      <c r="Q4603" s="5">
        <v>1299</v>
      </c>
      <c r="R4603" s="74">
        <v>0.15</v>
      </c>
      <c r="S4603" s="75">
        <f>OrdersTable[[#This Row],[Quantity]]*OrdersTable[[#This Row],[Unit Price]]</f>
        <v>5196</v>
      </c>
      <c r="T4603" s="5">
        <f>OrdersTable[[#This Row],[Gross Sale]]*OrdersTable[[#This Row],[Discount_Clean2]]</f>
        <v>779.4</v>
      </c>
      <c r="U4603" s="5">
        <f>OrdersTable[[#This Row],[Gross Sale]]-OrdersTable[[#This Row],[Discount Amount]]</f>
        <v>4416.6000000000004</v>
      </c>
      <c r="V4603" s="77">
        <f>INDEX(Products!E:E,MATCH(OrdersTable[[#This Row],[Product ID]],Products!A:A,0))</f>
        <v>585</v>
      </c>
      <c r="W4603" s="77">
        <f>OrdersTable[[#This Row],[Quantity]]*OrdersTable[[#This Row],[Unit Cost]]</f>
        <v>2340</v>
      </c>
      <c r="X4603" s="77">
        <f>'Dropdown Lists'!$I$2*(1+OrdersTable[[#This Row],[Returned]])</f>
        <v>60</v>
      </c>
      <c r="Y4603" s="76">
        <f>OrdersTable[[#This Row],[Net Revenue]]-OrdersTable[[#This Row],[COGS]]-OrdersTable[[#This Row],[Shipping Cost]]</f>
        <v>2016.6000000000004</v>
      </c>
      <c r="Z4603" s="78">
        <f>IFERROR(OrdersTable[[#This Row],[Profit]]/OrdersTable[[#This Row],[Net Revenue]],0)</f>
        <v>0.45659557125390576</v>
      </c>
      <c r="AA4603" t="s">
        <v>18</v>
      </c>
      <c r="AB4603" s="79">
        <v>45992</v>
      </c>
      <c r="AC4603">
        <f>OrdersTable[[#This Row],[Delivery Date]]-OrdersTable[[#This Row],[Order Date]]</f>
        <v>3</v>
      </c>
      <c r="AD4603" t="str">
        <f>IF(OrdersTable[[#This Row],[Delivery Days]]&lt;=2, "Express (≤2d)", IF(OrdersTable[[#This Row],[Delivery Days]]&lt;=4, "Standard (3-4d)", "Delayed (5d+)"))</f>
        <v>Standard (3-4d)</v>
      </c>
      <c r="AE4603">
        <v>4</v>
      </c>
      <c r="AF4603">
        <v>0</v>
      </c>
    </row>
    <row r="4604" spans="1:32" ht="15" x14ac:dyDescent="0.35">
      <c r="A4604" t="s">
        <v>6649</v>
      </c>
      <c r="B4604" s="1">
        <v>45989</v>
      </c>
      <c r="C4604">
        <f>YEAR(OrdersTable[[#This Row],[Order Date]])</f>
        <v>2025</v>
      </c>
      <c r="D4604" s="2">
        <f>DATE(YEAR(OrdersTable[[#This Row],[Order Date]]),MONTH(OrdersTable[[#This Row],[Order Date]]),1)</f>
        <v>45962</v>
      </c>
      <c r="E4604">
        <f>MONTH(OrdersTable[[#This Row],[Order Date]])</f>
        <v>11</v>
      </c>
      <c r="F4604" t="s">
        <v>386</v>
      </c>
      <c r="G4604" t="str">
        <f>IF(OrdersTable[[#This Row],[Order Date]]=_xlfn.MINIFS(Order_Date, Customer_ID, OrdersTable[[#This Row],[Customer ID]]), "New", "Repeat")</f>
        <v>Repeat</v>
      </c>
      <c r="H4604" t="s">
        <v>275</v>
      </c>
      <c r="I4604" t="str">
        <f>INDEX(State!B:B,MATCH(OrdersTable[[#This Row],[State]],State!A:A,0))</f>
        <v>AP</v>
      </c>
      <c r="J4604" t="str">
        <f>INDEX(State!C:C,MATCH(OrdersTable[[#This Row],[State Code]],State!B:B,0))</f>
        <v>South</v>
      </c>
      <c r="K4604" t="s">
        <v>491</v>
      </c>
      <c r="L4604" t="s">
        <v>23</v>
      </c>
      <c r="M4604" t="s">
        <v>78</v>
      </c>
      <c r="N4604" t="str">
        <f>INDEX(Products!B:B,MATCH(OrdersTable[[#This Row],[Product ID]],Products!A:A,0))</f>
        <v>Retinol Night Cream</v>
      </c>
      <c r="O4604" t="str">
        <f>INDEX(Products!C:C,MATCH(OrdersTable[[#This Row],[Product ID]],Products!A:A,0))</f>
        <v>Skincare</v>
      </c>
      <c r="P4604">
        <v>3</v>
      </c>
      <c r="Q4604" s="5">
        <v>799</v>
      </c>
      <c r="R4604" s="74">
        <v>0.15</v>
      </c>
      <c r="S4604" s="75">
        <f>OrdersTable[[#This Row],[Quantity]]*OrdersTable[[#This Row],[Unit Price]]</f>
        <v>2397</v>
      </c>
      <c r="T4604" s="5">
        <f>OrdersTable[[#This Row],[Gross Sale]]*OrdersTable[[#This Row],[Discount_Clean2]]</f>
        <v>359.55</v>
      </c>
      <c r="U4604" s="5">
        <f>OrdersTable[[#This Row],[Gross Sale]]-OrdersTable[[#This Row],[Discount Amount]]</f>
        <v>2037.45</v>
      </c>
      <c r="V4604" s="77">
        <f>INDEX(Products!E:E,MATCH(OrdersTable[[#This Row],[Product ID]],Products!A:A,0))</f>
        <v>216</v>
      </c>
      <c r="W4604" s="77">
        <f>OrdersTable[[#This Row],[Quantity]]*OrdersTable[[#This Row],[Unit Cost]]</f>
        <v>648</v>
      </c>
      <c r="X4604" s="77">
        <f>'Dropdown Lists'!$I$2*(1+OrdersTable[[#This Row],[Returned]])</f>
        <v>60</v>
      </c>
      <c r="Y4604" s="76">
        <f>OrdersTable[[#This Row],[Net Revenue]]-OrdersTable[[#This Row],[COGS]]-OrdersTable[[#This Row],[Shipping Cost]]</f>
        <v>1329.45</v>
      </c>
      <c r="Z4604" s="78">
        <f>IFERROR(OrdersTable[[#This Row],[Profit]]/OrdersTable[[#This Row],[Net Revenue]],0)</f>
        <v>0.65250680998306709</v>
      </c>
      <c r="AA4604" t="s">
        <v>18</v>
      </c>
      <c r="AB4604" s="79">
        <v>45995</v>
      </c>
      <c r="AC4604">
        <f>OrdersTable[[#This Row],[Delivery Date]]-OrdersTable[[#This Row],[Order Date]]</f>
        <v>6</v>
      </c>
      <c r="AD4604" t="str">
        <f>IF(OrdersTable[[#This Row],[Delivery Days]]&lt;=2, "Express (≤2d)", IF(OrdersTable[[#This Row],[Delivery Days]]&lt;=4, "Standard (3-4d)", "Delayed (5d+)"))</f>
        <v>Delayed (5d+)</v>
      </c>
      <c r="AE4604">
        <v>3</v>
      </c>
      <c r="AF4604">
        <v>0</v>
      </c>
    </row>
    <row r="4605" spans="1:32" ht="15" x14ac:dyDescent="0.35">
      <c r="A4605" t="s">
        <v>7140</v>
      </c>
      <c r="B4605" s="1">
        <v>45989</v>
      </c>
      <c r="C4605">
        <f>YEAR(OrdersTable[[#This Row],[Order Date]])</f>
        <v>2025</v>
      </c>
      <c r="D4605" s="2">
        <f>DATE(YEAR(OrdersTable[[#This Row],[Order Date]]),MONTH(OrdersTable[[#This Row],[Order Date]]),1)</f>
        <v>45962</v>
      </c>
      <c r="E4605">
        <f>MONTH(OrdersTable[[#This Row],[Order Date]])</f>
        <v>11</v>
      </c>
      <c r="F4605" t="s">
        <v>1671</v>
      </c>
      <c r="G4605" t="str">
        <f>IF(OrdersTable[[#This Row],[Order Date]]=_xlfn.MINIFS(Order_Date, Customer_ID, OrdersTable[[#This Row],[Customer ID]]), "New", "Repeat")</f>
        <v>Repeat</v>
      </c>
      <c r="H4605" t="s">
        <v>59</v>
      </c>
      <c r="I4605" t="str">
        <f>INDEX(State!B:B,MATCH(OrdersTable[[#This Row],[State]],State!A:A,0))</f>
        <v>TN</v>
      </c>
      <c r="J4605" t="str">
        <f>INDEX(State!C:C,MATCH(OrdersTable[[#This Row],[State Code]],State!B:B,0))</f>
        <v>South</v>
      </c>
      <c r="K4605" t="s">
        <v>64</v>
      </c>
      <c r="L4605" t="s">
        <v>39</v>
      </c>
      <c r="M4605" t="s">
        <v>92</v>
      </c>
      <c r="N4605" t="str">
        <f>INDEX(Products!B:B,MATCH(OrdersTable[[#This Row],[Product ID]],Products!A:A,0))</f>
        <v>Kolhapuri Sandals</v>
      </c>
      <c r="O4605" t="str">
        <f>INDEX(Products!C:C,MATCH(OrdersTable[[#This Row],[Product ID]],Products!A:A,0))</f>
        <v>Footwear</v>
      </c>
      <c r="P4605">
        <v>4</v>
      </c>
      <c r="Q4605" s="5">
        <v>999</v>
      </c>
      <c r="R4605" s="74">
        <v>0.15</v>
      </c>
      <c r="S4605" s="75">
        <f>OrdersTable[[#This Row],[Quantity]]*OrdersTable[[#This Row],[Unit Price]]</f>
        <v>3996</v>
      </c>
      <c r="T4605" s="5">
        <f>OrdersTable[[#This Row],[Gross Sale]]*OrdersTable[[#This Row],[Discount_Clean2]]</f>
        <v>599.4</v>
      </c>
      <c r="U4605" s="5">
        <f>OrdersTable[[#This Row],[Gross Sale]]-OrdersTable[[#This Row],[Discount Amount]]</f>
        <v>3396.6</v>
      </c>
      <c r="V4605" s="77">
        <f>INDEX(Products!E:E,MATCH(OrdersTable[[#This Row],[Product ID]],Products!A:A,0))</f>
        <v>400</v>
      </c>
      <c r="W4605" s="77">
        <f>OrdersTable[[#This Row],[Quantity]]*OrdersTable[[#This Row],[Unit Cost]]</f>
        <v>1600</v>
      </c>
      <c r="X4605" s="77">
        <f>'Dropdown Lists'!$I$2*(1+OrdersTable[[#This Row],[Returned]])</f>
        <v>60</v>
      </c>
      <c r="Y4605" s="76">
        <f>OrdersTable[[#This Row],[Net Revenue]]-OrdersTable[[#This Row],[COGS]]-OrdersTable[[#This Row],[Shipping Cost]]</f>
        <v>1736.6</v>
      </c>
      <c r="Z4605" s="78">
        <f>IFERROR(OrdersTable[[#This Row],[Profit]]/OrdersTable[[#This Row],[Net Revenue]],0)</f>
        <v>0.51127598186421719</v>
      </c>
      <c r="AA4605" t="s">
        <v>18</v>
      </c>
      <c r="AB4605" s="79">
        <v>45992</v>
      </c>
      <c r="AC4605">
        <f>OrdersTable[[#This Row],[Delivery Date]]-OrdersTable[[#This Row],[Order Date]]</f>
        <v>3</v>
      </c>
      <c r="AD4605" t="str">
        <f>IF(OrdersTable[[#This Row],[Delivery Days]]&lt;=2, "Express (≤2d)", IF(OrdersTable[[#This Row],[Delivery Days]]&lt;=4, "Standard (3-4d)", "Delayed (5d+)"))</f>
        <v>Standard (3-4d)</v>
      </c>
      <c r="AE4605">
        <v>4</v>
      </c>
      <c r="AF4605">
        <v>0</v>
      </c>
    </row>
    <row r="4606" spans="1:32" ht="15" x14ac:dyDescent="0.35">
      <c r="A4606" t="s">
        <v>3128</v>
      </c>
      <c r="B4606" s="1">
        <v>45990</v>
      </c>
      <c r="C4606">
        <f>YEAR(OrdersTable[[#This Row],[Order Date]])</f>
        <v>2025</v>
      </c>
      <c r="D4606" s="2">
        <f>DATE(YEAR(OrdersTable[[#This Row],[Order Date]]),MONTH(OrdersTable[[#This Row],[Order Date]]),1)</f>
        <v>45962</v>
      </c>
      <c r="E4606">
        <f>MONTH(OrdersTable[[#This Row],[Order Date]])</f>
        <v>11</v>
      </c>
      <c r="F4606" t="s">
        <v>3129</v>
      </c>
      <c r="G4606" t="str">
        <f>IF(OrdersTable[[#This Row],[Order Date]]=_xlfn.MINIFS(Order_Date, Customer_ID, OrdersTable[[#This Row],[Customer ID]]), "New", "Repeat")</f>
        <v>Repeat</v>
      </c>
      <c r="H4606" t="s">
        <v>21</v>
      </c>
      <c r="I4606" t="str">
        <f>INDEX(State!B:B,MATCH(OrdersTable[[#This Row],[State]],State!A:A,0))</f>
        <v>PB</v>
      </c>
      <c r="J4606" t="str">
        <f>INDEX(State!C:C,MATCH(OrdersTable[[#This Row],[State Code]],State!B:B,0))</f>
        <v>North</v>
      </c>
      <c r="K4606" t="s">
        <v>22</v>
      </c>
      <c r="L4606" t="s">
        <v>39</v>
      </c>
      <c r="M4606" t="s">
        <v>34</v>
      </c>
      <c r="N4606" t="str">
        <f>INDEX(Products!B:B,MATCH(OrdersTable[[#This Row],[Product ID]],Products!A:A,0))</f>
        <v>Flip Flops</v>
      </c>
      <c r="O4606" t="str">
        <f>INDEX(Products!C:C,MATCH(OrdersTable[[#This Row],[Product ID]],Products!A:A,0))</f>
        <v>Footwear</v>
      </c>
      <c r="P4606">
        <v>1</v>
      </c>
      <c r="Q4606" s="5">
        <v>399</v>
      </c>
      <c r="R4606" s="74">
        <v>0.15</v>
      </c>
      <c r="S4606" s="75">
        <f>OrdersTable[[#This Row],[Quantity]]*OrdersTable[[#This Row],[Unit Price]]</f>
        <v>399</v>
      </c>
      <c r="T4606" s="5">
        <f>OrdersTable[[#This Row],[Gross Sale]]*OrdersTable[[#This Row],[Discount_Clean2]]</f>
        <v>59.849999999999994</v>
      </c>
      <c r="U4606" s="5">
        <f>OrdersTable[[#This Row],[Gross Sale]]-OrdersTable[[#This Row],[Discount Amount]]</f>
        <v>339.15</v>
      </c>
      <c r="V4606" s="77">
        <f>INDEX(Products!E:E,MATCH(OrdersTable[[#This Row],[Product ID]],Products!A:A,0))</f>
        <v>152</v>
      </c>
      <c r="W4606" s="77">
        <f>OrdersTable[[#This Row],[Quantity]]*OrdersTable[[#This Row],[Unit Cost]]</f>
        <v>152</v>
      </c>
      <c r="X4606" s="77">
        <f>'Dropdown Lists'!$I$2*(1+OrdersTable[[#This Row],[Returned]])</f>
        <v>60</v>
      </c>
      <c r="Y4606" s="76">
        <f>OrdersTable[[#This Row],[Net Revenue]]-OrdersTable[[#This Row],[COGS]]-OrdersTable[[#This Row],[Shipping Cost]]</f>
        <v>127.14999999999998</v>
      </c>
      <c r="Z4606" s="78">
        <f>IFERROR(OrdersTable[[#This Row],[Profit]]/OrdersTable[[#This Row],[Net Revenue]],0)</f>
        <v>0.37490785787999409</v>
      </c>
      <c r="AA4606" t="s">
        <v>2522</v>
      </c>
      <c r="AB4606" s="79">
        <v>45995</v>
      </c>
      <c r="AC4606">
        <f>OrdersTable[[#This Row],[Delivery Date]]-OrdersTable[[#This Row],[Order Date]]</f>
        <v>5</v>
      </c>
      <c r="AD4606" t="str">
        <f>IF(OrdersTable[[#This Row],[Delivery Days]]&lt;=2, "Express (≤2d)", IF(OrdersTable[[#This Row],[Delivery Days]]&lt;=4, "Standard (3-4d)", "Delayed (5d+)"))</f>
        <v>Delayed (5d+)</v>
      </c>
      <c r="AF4606">
        <v>0</v>
      </c>
    </row>
    <row r="4607" spans="1:32" ht="15" x14ac:dyDescent="0.35">
      <c r="A4607" t="s">
        <v>4309</v>
      </c>
      <c r="B4607" s="1">
        <v>45990</v>
      </c>
      <c r="C4607">
        <f>YEAR(OrdersTable[[#This Row],[Order Date]])</f>
        <v>2025</v>
      </c>
      <c r="D4607" s="2">
        <f>DATE(YEAR(OrdersTable[[#This Row],[Order Date]]),MONTH(OrdersTable[[#This Row],[Order Date]]),1)</f>
        <v>45962</v>
      </c>
      <c r="E4607">
        <f>MONTH(OrdersTable[[#This Row],[Order Date]])</f>
        <v>11</v>
      </c>
      <c r="F4607" t="s">
        <v>254</v>
      </c>
      <c r="G4607" t="str">
        <f>IF(OrdersTable[[#This Row],[Order Date]]=_xlfn.MINIFS(Order_Date, Customer_ID, OrdersTable[[#This Row],[Customer ID]]), "New", "Repeat")</f>
        <v>Repeat</v>
      </c>
      <c r="H4607" t="s">
        <v>48</v>
      </c>
      <c r="I4607" t="str">
        <f>INDEX(State!B:B,MATCH(OrdersTable[[#This Row],[State]],State!A:A,0))</f>
        <v>HR</v>
      </c>
      <c r="J4607" t="str">
        <f>INDEX(State!C:C,MATCH(OrdersTable[[#This Row],[State Code]],State!B:B,0))</f>
        <v>North</v>
      </c>
      <c r="K4607" t="s">
        <v>49</v>
      </c>
      <c r="L4607" t="s">
        <v>23</v>
      </c>
      <c r="M4607" t="s">
        <v>125</v>
      </c>
      <c r="N4607" t="str">
        <f>INDEX(Products!B:B,MATCH(OrdersTable[[#This Row],[Product ID]],Products!A:A,0))</f>
        <v>Copper Water Bottle</v>
      </c>
      <c r="O4607" t="str">
        <f>INDEX(Products!C:C,MATCH(OrdersTable[[#This Row],[Product ID]],Products!A:A,0))</f>
        <v>Home &amp; Kitchen</v>
      </c>
      <c r="P4607">
        <v>1</v>
      </c>
      <c r="Q4607" s="5">
        <v>899</v>
      </c>
      <c r="R4607" s="74">
        <v>0.1</v>
      </c>
      <c r="S4607" s="75">
        <f>OrdersTable[[#This Row],[Quantity]]*OrdersTable[[#This Row],[Unit Price]]</f>
        <v>899</v>
      </c>
      <c r="T4607" s="5">
        <f>OrdersTable[[#This Row],[Gross Sale]]*OrdersTable[[#This Row],[Discount_Clean2]]</f>
        <v>89.9</v>
      </c>
      <c r="U4607" s="5">
        <f>OrdersTable[[#This Row],[Gross Sale]]-OrdersTable[[#This Row],[Discount Amount]]</f>
        <v>809.1</v>
      </c>
      <c r="V4607" s="77">
        <f>INDEX(Products!E:E,MATCH(OrdersTable[[#This Row],[Product ID]],Products!A:A,0))</f>
        <v>378</v>
      </c>
      <c r="W4607" s="77">
        <f>OrdersTable[[#This Row],[Quantity]]*OrdersTable[[#This Row],[Unit Cost]]</f>
        <v>378</v>
      </c>
      <c r="X4607" s="77">
        <f>'Dropdown Lists'!$I$2*(1+OrdersTable[[#This Row],[Returned]])</f>
        <v>60</v>
      </c>
      <c r="Y4607" s="76">
        <f>OrdersTable[[#This Row],[Net Revenue]]-OrdersTable[[#This Row],[COGS]]-OrdersTable[[#This Row],[Shipping Cost]]</f>
        <v>371.1</v>
      </c>
      <c r="Z4607" s="78">
        <f>IFERROR(OrdersTable[[#This Row],[Profit]]/OrdersTable[[#This Row],[Net Revenue]],0)</f>
        <v>0.45865776789024842</v>
      </c>
      <c r="AA4607" t="s">
        <v>4074</v>
      </c>
      <c r="AB4607" s="79">
        <v>45993</v>
      </c>
      <c r="AC4607">
        <f>OrdersTable[[#This Row],[Delivery Date]]-OrdersTable[[#This Row],[Order Date]]</f>
        <v>3</v>
      </c>
      <c r="AD4607" t="str">
        <f>IF(OrdersTable[[#This Row],[Delivery Days]]&lt;=2, "Express (≤2d)", IF(OrdersTable[[#This Row],[Delivery Days]]&lt;=4, "Standard (3-4d)", "Delayed (5d+)"))</f>
        <v>Standard (3-4d)</v>
      </c>
      <c r="AF4607">
        <v>0</v>
      </c>
    </row>
    <row r="4608" spans="1:32" ht="15" x14ac:dyDescent="0.35">
      <c r="A4608" t="s">
        <v>5051</v>
      </c>
      <c r="B4608" s="1">
        <v>45990</v>
      </c>
      <c r="C4608">
        <f>YEAR(OrdersTable[[#This Row],[Order Date]])</f>
        <v>2025</v>
      </c>
      <c r="D4608" s="2">
        <f>DATE(YEAR(OrdersTable[[#This Row],[Order Date]]),MONTH(OrdersTable[[#This Row],[Order Date]]),1)</f>
        <v>45962</v>
      </c>
      <c r="E4608">
        <f>MONTH(OrdersTable[[#This Row],[Order Date]])</f>
        <v>11</v>
      </c>
      <c r="F4608" t="s">
        <v>3053</v>
      </c>
      <c r="G4608" t="str">
        <f>IF(OrdersTable[[#This Row],[Order Date]]=_xlfn.MINIFS(Order_Date, Customer_ID, OrdersTable[[#This Row],[Customer ID]]), "New", "Repeat")</f>
        <v>Repeat</v>
      </c>
      <c r="H4608" t="s">
        <v>128</v>
      </c>
      <c r="I4608" t="str">
        <f>INDEX(State!B:B,MATCH(OrdersTable[[#This Row],[State]],State!A:A,0))</f>
        <v>DL</v>
      </c>
      <c r="J4608" t="str">
        <f>INDEX(State!C:C,MATCH(OrdersTable[[#This Row],[State Code]],State!B:B,0))</f>
        <v>North</v>
      </c>
      <c r="K4608" t="s">
        <v>129</v>
      </c>
      <c r="L4608" t="s">
        <v>23</v>
      </c>
      <c r="M4608" t="s">
        <v>176</v>
      </c>
      <c r="N4608" t="str">
        <f>INDEX(Products!B:B,MATCH(OrdersTable[[#This Row],[Product ID]],Products!A:A,0))</f>
        <v>Denim Jacket</v>
      </c>
      <c r="O4608" t="str">
        <f>INDEX(Products!C:C,MATCH(OrdersTable[[#This Row],[Product ID]],Products!A:A,0))</f>
        <v>Apparel</v>
      </c>
      <c r="P4608">
        <v>2</v>
      </c>
      <c r="Q4608" s="5">
        <v>2499</v>
      </c>
      <c r="R4608" s="74">
        <v>0.2</v>
      </c>
      <c r="S4608" s="75">
        <f>OrdersTable[[#This Row],[Quantity]]*OrdersTable[[#This Row],[Unit Price]]</f>
        <v>4998</v>
      </c>
      <c r="T4608" s="5">
        <f>OrdersTable[[#This Row],[Gross Sale]]*OrdersTable[[#This Row],[Discount_Clean2]]</f>
        <v>999.6</v>
      </c>
      <c r="U4608" s="5">
        <f>OrdersTable[[#This Row],[Gross Sale]]-OrdersTable[[#This Row],[Discount Amount]]</f>
        <v>3998.4</v>
      </c>
      <c r="V4608" s="77">
        <f>INDEX(Products!E:E,MATCH(OrdersTable[[#This Row],[Product ID]],Products!A:A,0))</f>
        <v>1125</v>
      </c>
      <c r="W4608" s="77">
        <f>OrdersTable[[#This Row],[Quantity]]*OrdersTable[[#This Row],[Unit Cost]]</f>
        <v>2250</v>
      </c>
      <c r="X4608" s="77">
        <f>'Dropdown Lists'!$I$2*(1+OrdersTable[[#This Row],[Returned]])</f>
        <v>60</v>
      </c>
      <c r="Y4608" s="76">
        <f>OrdersTable[[#This Row],[Net Revenue]]-OrdersTable[[#This Row],[COGS]]-OrdersTable[[#This Row],[Shipping Cost]]</f>
        <v>1688.4</v>
      </c>
      <c r="Z4608" s="78">
        <f>IFERROR(OrdersTable[[#This Row],[Profit]]/OrdersTable[[#This Row],[Net Revenue]],0)</f>
        <v>0.42226890756302521</v>
      </c>
      <c r="AA4608" t="s">
        <v>4074</v>
      </c>
      <c r="AB4608" s="79">
        <v>45993</v>
      </c>
      <c r="AC4608">
        <f>OrdersTable[[#This Row],[Delivery Date]]-OrdersTable[[#This Row],[Order Date]]</f>
        <v>3</v>
      </c>
      <c r="AD4608" t="str">
        <f>IF(OrdersTable[[#This Row],[Delivery Days]]&lt;=2, "Express (≤2d)", IF(OrdersTable[[#This Row],[Delivery Days]]&lt;=4, "Standard (3-4d)", "Delayed (5d+)"))</f>
        <v>Standard (3-4d)</v>
      </c>
      <c r="AE4608">
        <v>4</v>
      </c>
      <c r="AF4608">
        <v>0</v>
      </c>
    </row>
    <row r="4609" spans="1:32" ht="15" x14ac:dyDescent="0.35">
      <c r="A4609" t="s">
        <v>882</v>
      </c>
      <c r="B4609" s="1">
        <v>45990</v>
      </c>
      <c r="C4609">
        <f>YEAR(OrdersTable[[#This Row],[Order Date]])</f>
        <v>2025</v>
      </c>
      <c r="D4609" s="2">
        <f>DATE(YEAR(OrdersTable[[#This Row],[Order Date]]),MONTH(OrdersTable[[#This Row],[Order Date]]),1)</f>
        <v>45962</v>
      </c>
      <c r="E4609">
        <f>MONTH(OrdersTable[[#This Row],[Order Date]])</f>
        <v>11</v>
      </c>
      <c r="F4609" t="s">
        <v>883</v>
      </c>
      <c r="G4609" t="str">
        <f>IF(OrdersTable[[#This Row],[Order Date]]=_xlfn.MINIFS(Order_Date, Customer_ID, OrdersTable[[#This Row],[Customer ID]]), "New", "Repeat")</f>
        <v>Repeat</v>
      </c>
      <c r="H4609" t="s">
        <v>128</v>
      </c>
      <c r="I4609" t="str">
        <f>INDEX(State!B:B,MATCH(OrdersTable[[#This Row],[State]],State!A:A,0))</f>
        <v>DL</v>
      </c>
      <c r="J4609" t="str">
        <f>INDEX(State!C:C,MATCH(OrdersTable[[#This Row],[State Code]],State!B:B,0))</f>
        <v>North</v>
      </c>
      <c r="K4609" t="s">
        <v>129</v>
      </c>
      <c r="L4609" t="s">
        <v>16</v>
      </c>
      <c r="M4609" t="s">
        <v>92</v>
      </c>
      <c r="N4609" t="str">
        <f>INDEX(Products!B:B,MATCH(OrdersTable[[#This Row],[Product ID]],Products!A:A,0))</f>
        <v>Kolhapuri Sandals</v>
      </c>
      <c r="O4609" t="str">
        <f>INDEX(Products!C:C,MATCH(OrdersTable[[#This Row],[Product ID]],Products!A:A,0))</f>
        <v>Footwear</v>
      </c>
      <c r="P4609">
        <v>1</v>
      </c>
      <c r="Q4609" s="5">
        <v>999</v>
      </c>
      <c r="R4609" s="74">
        <v>0.3</v>
      </c>
      <c r="S4609" s="75">
        <f>OrdersTable[[#This Row],[Quantity]]*OrdersTable[[#This Row],[Unit Price]]</f>
        <v>999</v>
      </c>
      <c r="T4609" s="5">
        <f>OrdersTable[[#This Row],[Gross Sale]]*OrdersTable[[#This Row],[Discount_Clean2]]</f>
        <v>299.7</v>
      </c>
      <c r="U4609" s="5">
        <f>OrdersTable[[#This Row],[Gross Sale]]-OrdersTable[[#This Row],[Discount Amount]]</f>
        <v>699.3</v>
      </c>
      <c r="V4609" s="77">
        <f>INDEX(Products!E:E,MATCH(OrdersTable[[#This Row],[Product ID]],Products!A:A,0))</f>
        <v>400</v>
      </c>
      <c r="W4609" s="77">
        <f>OrdersTable[[#This Row],[Quantity]]*OrdersTable[[#This Row],[Unit Cost]]</f>
        <v>400</v>
      </c>
      <c r="X4609" s="77">
        <f>'Dropdown Lists'!$I$2*(1+OrdersTable[[#This Row],[Returned]])</f>
        <v>60</v>
      </c>
      <c r="Y4609" s="76">
        <f>OrdersTable[[#This Row],[Net Revenue]]-OrdersTable[[#This Row],[COGS]]-OrdersTable[[#This Row],[Shipping Cost]]</f>
        <v>239.29999999999995</v>
      </c>
      <c r="Z4609" s="78">
        <f>IFERROR(OrdersTable[[#This Row],[Profit]]/OrdersTable[[#This Row],[Net Revenue]],0)</f>
        <v>0.34219934219934217</v>
      </c>
      <c r="AA4609" t="s">
        <v>18</v>
      </c>
      <c r="AB4609" s="79">
        <v>45994</v>
      </c>
      <c r="AC4609">
        <f>OrdersTable[[#This Row],[Delivery Date]]-OrdersTable[[#This Row],[Order Date]]</f>
        <v>4</v>
      </c>
      <c r="AD4609" t="str">
        <f>IF(OrdersTable[[#This Row],[Delivery Days]]&lt;=2, "Express (≤2d)", IF(OrdersTable[[#This Row],[Delivery Days]]&lt;=4, "Standard (3-4d)", "Delayed (5d+)"))</f>
        <v>Standard (3-4d)</v>
      </c>
      <c r="AE4609">
        <v>4</v>
      </c>
      <c r="AF4609">
        <v>0</v>
      </c>
    </row>
    <row r="4610" spans="1:32" ht="15" x14ac:dyDescent="0.35">
      <c r="A4610" t="s">
        <v>5281</v>
      </c>
      <c r="B4610" s="1">
        <v>45990</v>
      </c>
      <c r="C4610">
        <f>YEAR(OrdersTable[[#This Row],[Order Date]])</f>
        <v>2025</v>
      </c>
      <c r="D4610" s="2">
        <f>DATE(YEAR(OrdersTable[[#This Row],[Order Date]]),MONTH(OrdersTable[[#This Row],[Order Date]]),1)</f>
        <v>45962</v>
      </c>
      <c r="E4610">
        <f>MONTH(OrdersTable[[#This Row],[Order Date]])</f>
        <v>11</v>
      </c>
      <c r="F4610" t="s">
        <v>145</v>
      </c>
      <c r="G4610" t="str">
        <f>IF(OrdersTable[[#This Row],[Order Date]]=_xlfn.MINIFS(Order_Date, Customer_ID, OrdersTable[[#This Row],[Customer ID]]), "New", "Repeat")</f>
        <v>Repeat</v>
      </c>
      <c r="H4610" t="s">
        <v>32</v>
      </c>
      <c r="I4610" t="str">
        <f>INDEX(State!B:B,MATCH(OrdersTable[[#This Row],[State]],State!A:A,0))</f>
        <v>BR</v>
      </c>
      <c r="J4610" t="str">
        <f>INDEX(State!C:C,MATCH(OrdersTable[[#This Row],[State Code]],State!B:B,0))</f>
        <v>East</v>
      </c>
      <c r="K4610" t="s">
        <v>33</v>
      </c>
      <c r="L4610" t="s">
        <v>23</v>
      </c>
      <c r="M4610" t="s">
        <v>66</v>
      </c>
      <c r="N4610" t="str">
        <f>INDEX(Products!B:B,MATCH(OrdersTable[[#This Row],[Product ID]],Products!A:A,0))</f>
        <v>Sunscreen SPF 50</v>
      </c>
      <c r="O4610" t="str">
        <f>INDEX(Products!C:C,MATCH(OrdersTable[[#This Row],[Product ID]],Products!A:A,0))</f>
        <v>Skincare</v>
      </c>
      <c r="P4610">
        <v>2</v>
      </c>
      <c r="Q4610" s="5">
        <v>449</v>
      </c>
      <c r="R4610" s="74">
        <v>0.2</v>
      </c>
      <c r="S4610" s="75">
        <f>OrdersTable[[#This Row],[Quantity]]*OrdersTable[[#This Row],[Unit Price]]</f>
        <v>898</v>
      </c>
      <c r="T4610" s="5">
        <f>OrdersTable[[#This Row],[Gross Sale]]*OrdersTable[[#This Row],[Discount_Clean2]]</f>
        <v>179.60000000000002</v>
      </c>
      <c r="U4610" s="5">
        <f>OrdersTable[[#This Row],[Gross Sale]]-OrdersTable[[#This Row],[Discount Amount]]</f>
        <v>718.4</v>
      </c>
      <c r="V4610" s="77">
        <f>INDEX(Products!E:E,MATCH(OrdersTable[[#This Row],[Product ID]],Products!A:A,0))</f>
        <v>144</v>
      </c>
      <c r="W4610" s="77">
        <f>OrdersTable[[#This Row],[Quantity]]*OrdersTable[[#This Row],[Unit Cost]]</f>
        <v>288</v>
      </c>
      <c r="X4610" s="77">
        <f>'Dropdown Lists'!$I$2*(1+OrdersTable[[#This Row],[Returned]])</f>
        <v>60</v>
      </c>
      <c r="Y4610" s="76">
        <f>OrdersTable[[#This Row],[Net Revenue]]-OrdersTable[[#This Row],[COGS]]-OrdersTable[[#This Row],[Shipping Cost]]</f>
        <v>370.4</v>
      </c>
      <c r="Z4610" s="78">
        <f>IFERROR(OrdersTable[[#This Row],[Profit]]/OrdersTable[[#This Row],[Net Revenue]],0)</f>
        <v>0.51559020044543424</v>
      </c>
      <c r="AA4610" t="s">
        <v>3495</v>
      </c>
      <c r="AB4610" s="79">
        <v>45997</v>
      </c>
      <c r="AC4610">
        <f>OrdersTable[[#This Row],[Delivery Date]]-OrdersTable[[#This Row],[Order Date]]</f>
        <v>7</v>
      </c>
      <c r="AD4610" t="str">
        <f>IF(OrdersTable[[#This Row],[Delivery Days]]&lt;=2, "Express (≤2d)", IF(OrdersTable[[#This Row],[Delivery Days]]&lt;=4, "Standard (3-4d)", "Delayed (5d+)"))</f>
        <v>Delayed (5d+)</v>
      </c>
      <c r="AE4610">
        <v>4</v>
      </c>
      <c r="AF4610">
        <v>0</v>
      </c>
    </row>
    <row r="4611" spans="1:32" ht="15" x14ac:dyDescent="0.35">
      <c r="A4611" t="s">
        <v>4734</v>
      </c>
      <c r="B4611" s="1">
        <v>45990</v>
      </c>
      <c r="C4611">
        <f>YEAR(OrdersTable[[#This Row],[Order Date]])</f>
        <v>2025</v>
      </c>
      <c r="D4611" s="2">
        <f>DATE(YEAR(OrdersTable[[#This Row],[Order Date]]),MONTH(OrdersTable[[#This Row],[Order Date]]),1)</f>
        <v>45962</v>
      </c>
      <c r="E4611">
        <f>MONTH(OrdersTable[[#This Row],[Order Date]])</f>
        <v>11</v>
      </c>
      <c r="F4611" t="s">
        <v>4151</v>
      </c>
      <c r="G4611" t="str">
        <f>IF(OrdersTable[[#This Row],[Order Date]]=_xlfn.MINIFS(Order_Date, Customer_ID, OrdersTable[[#This Row],[Customer ID]]), "New", "Repeat")</f>
        <v>Repeat</v>
      </c>
      <c r="H4611" t="s">
        <v>43</v>
      </c>
      <c r="I4611" t="str">
        <f>INDEX(State!B:B,MATCH(OrdersTable[[#This Row],[State]],State!A:A,0))</f>
        <v>MP</v>
      </c>
      <c r="J4611" t="str">
        <f>INDEX(State!C:C,MATCH(OrdersTable[[#This Row],[State Code]],State!B:B,0))</f>
        <v>West</v>
      </c>
      <c r="K4611" t="s">
        <v>250</v>
      </c>
      <c r="L4611" t="s">
        <v>39</v>
      </c>
      <c r="M4611" t="s">
        <v>40</v>
      </c>
      <c r="N4611" t="str">
        <f>INDEX(Products!B:B,MATCH(OrdersTable[[#This Row],[Product ID]],Products!A:A,0))</f>
        <v>Ashwagandha Capsules</v>
      </c>
      <c r="O4611" t="str">
        <f>INDEX(Products!C:C,MATCH(OrdersTable[[#This Row],[Product ID]],Products!A:A,0))</f>
        <v>Wellness</v>
      </c>
      <c r="P4611">
        <v>1</v>
      </c>
      <c r="Q4611" s="5">
        <v>499</v>
      </c>
      <c r="R4611" s="74">
        <v>0.25</v>
      </c>
      <c r="S4611" s="75">
        <f>OrdersTable[[#This Row],[Quantity]]*OrdersTable[[#This Row],[Unit Price]]</f>
        <v>499</v>
      </c>
      <c r="T4611" s="5">
        <f>OrdersTable[[#This Row],[Gross Sale]]*OrdersTable[[#This Row],[Discount_Clean2]]</f>
        <v>124.75</v>
      </c>
      <c r="U4611" s="5">
        <f>OrdersTable[[#This Row],[Gross Sale]]-OrdersTable[[#This Row],[Discount Amount]]</f>
        <v>374.25</v>
      </c>
      <c r="V4611" s="77">
        <f>INDEX(Products!E:E,MATCH(OrdersTable[[#This Row],[Product ID]],Products!A:A,0))</f>
        <v>150</v>
      </c>
      <c r="W4611" s="77">
        <f>OrdersTable[[#This Row],[Quantity]]*OrdersTable[[#This Row],[Unit Cost]]</f>
        <v>150</v>
      </c>
      <c r="X4611" s="77">
        <f>'Dropdown Lists'!$I$2*(1+OrdersTable[[#This Row],[Returned]])</f>
        <v>60</v>
      </c>
      <c r="Y4611" s="76">
        <f>OrdersTable[[#This Row],[Net Revenue]]-OrdersTable[[#This Row],[COGS]]-OrdersTable[[#This Row],[Shipping Cost]]</f>
        <v>164.25</v>
      </c>
      <c r="Z4611" s="78">
        <f>IFERROR(OrdersTable[[#This Row],[Profit]]/OrdersTable[[#This Row],[Net Revenue]],0)</f>
        <v>0.43887775551102204</v>
      </c>
      <c r="AA4611" t="s">
        <v>4450</v>
      </c>
      <c r="AB4611" s="79">
        <v>45995</v>
      </c>
      <c r="AC4611">
        <f>OrdersTable[[#This Row],[Delivery Date]]-OrdersTable[[#This Row],[Order Date]]</f>
        <v>5</v>
      </c>
      <c r="AD4611" t="str">
        <f>IF(OrdersTable[[#This Row],[Delivery Days]]&lt;=2, "Express (≤2d)", IF(OrdersTable[[#This Row],[Delivery Days]]&lt;=4, "Standard (3-4d)", "Delayed (5d+)"))</f>
        <v>Delayed (5d+)</v>
      </c>
      <c r="AE4611">
        <v>3</v>
      </c>
      <c r="AF4611">
        <v>0</v>
      </c>
    </row>
    <row r="4612" spans="1:32" ht="15" x14ac:dyDescent="0.35">
      <c r="A4612" t="s">
        <v>1809</v>
      </c>
      <c r="B4612" s="1">
        <v>45990</v>
      </c>
      <c r="C4612">
        <f>YEAR(OrdersTable[[#This Row],[Order Date]])</f>
        <v>2025</v>
      </c>
      <c r="D4612" s="2">
        <f>DATE(YEAR(OrdersTable[[#This Row],[Order Date]]),MONTH(OrdersTable[[#This Row],[Order Date]]),1)</f>
        <v>45962</v>
      </c>
      <c r="E4612">
        <f>MONTH(OrdersTable[[#This Row],[Order Date]])</f>
        <v>11</v>
      </c>
      <c r="F4612" t="s">
        <v>352</v>
      </c>
      <c r="G4612" t="str">
        <f>IF(OrdersTable[[#This Row],[Order Date]]=_xlfn.MINIFS(Order_Date, Customer_ID, OrdersTable[[#This Row],[Customer ID]]), "New", "Repeat")</f>
        <v>Repeat</v>
      </c>
      <c r="H4612" t="s">
        <v>123</v>
      </c>
      <c r="I4612" t="str">
        <f>INDEX(State!B:B,MATCH(OrdersTable[[#This Row],[State]],State!A:A,0))</f>
        <v>JH</v>
      </c>
      <c r="J4612" t="str">
        <f>INDEX(State!C:C,MATCH(OrdersTable[[#This Row],[State Code]],State!B:B,0))</f>
        <v>East</v>
      </c>
      <c r="K4612" t="s">
        <v>124</v>
      </c>
      <c r="L4612" t="s">
        <v>65</v>
      </c>
      <c r="M4612" t="s">
        <v>66</v>
      </c>
      <c r="N4612" t="str">
        <f>INDEX(Products!B:B,MATCH(OrdersTable[[#This Row],[Product ID]],Products!A:A,0))</f>
        <v>Sunscreen SPF 50</v>
      </c>
      <c r="O4612" t="str">
        <f>INDEX(Products!C:C,MATCH(OrdersTable[[#This Row],[Product ID]],Products!A:A,0))</f>
        <v>Skincare</v>
      </c>
      <c r="P4612">
        <v>1</v>
      </c>
      <c r="Q4612" s="5">
        <v>449</v>
      </c>
      <c r="R4612" s="74">
        <v>0.1</v>
      </c>
      <c r="S4612" s="75">
        <f>OrdersTable[[#This Row],[Quantity]]*OrdersTable[[#This Row],[Unit Price]]</f>
        <v>449</v>
      </c>
      <c r="T4612" s="5">
        <f>OrdersTable[[#This Row],[Gross Sale]]*OrdersTable[[#This Row],[Discount_Clean2]]</f>
        <v>44.900000000000006</v>
      </c>
      <c r="U4612" s="5">
        <f>OrdersTable[[#This Row],[Gross Sale]]-OrdersTable[[#This Row],[Discount Amount]]</f>
        <v>404.1</v>
      </c>
      <c r="V4612" s="77">
        <f>INDEX(Products!E:E,MATCH(OrdersTable[[#This Row],[Product ID]],Products!A:A,0))</f>
        <v>144</v>
      </c>
      <c r="W4612" s="77">
        <f>OrdersTable[[#This Row],[Quantity]]*OrdersTable[[#This Row],[Unit Cost]]</f>
        <v>144</v>
      </c>
      <c r="X4612" s="77">
        <f>'Dropdown Lists'!$I$2*(1+OrdersTable[[#This Row],[Returned]])</f>
        <v>60</v>
      </c>
      <c r="Y4612" s="76">
        <f>OrdersTable[[#This Row],[Net Revenue]]-OrdersTable[[#This Row],[COGS]]-OrdersTable[[#This Row],[Shipping Cost]]</f>
        <v>200.10000000000002</v>
      </c>
      <c r="Z4612" s="78">
        <f>IFERROR(OrdersTable[[#This Row],[Profit]]/OrdersTable[[#This Row],[Net Revenue]],0)</f>
        <v>0.4951744617668894</v>
      </c>
      <c r="AA4612" t="s">
        <v>18</v>
      </c>
      <c r="AB4612" s="79">
        <v>45995</v>
      </c>
      <c r="AC4612">
        <f>OrdersTable[[#This Row],[Delivery Date]]-OrdersTable[[#This Row],[Order Date]]</f>
        <v>5</v>
      </c>
      <c r="AD4612" t="str">
        <f>IF(OrdersTable[[#This Row],[Delivery Days]]&lt;=2, "Express (≤2d)", IF(OrdersTable[[#This Row],[Delivery Days]]&lt;=4, "Standard (3-4d)", "Delayed (5d+)"))</f>
        <v>Delayed (5d+)</v>
      </c>
      <c r="AF4612">
        <v>0</v>
      </c>
    </row>
    <row r="4613" spans="1:32" ht="15" x14ac:dyDescent="0.35">
      <c r="A4613" t="s">
        <v>3829</v>
      </c>
      <c r="B4613" s="1">
        <v>45990</v>
      </c>
      <c r="C4613">
        <f>YEAR(OrdersTable[[#This Row],[Order Date]])</f>
        <v>2025</v>
      </c>
      <c r="D4613" s="2">
        <f>DATE(YEAR(OrdersTable[[#This Row],[Order Date]]),MONTH(OrdersTable[[#This Row],[Order Date]]),1)</f>
        <v>45962</v>
      </c>
      <c r="E4613">
        <f>MONTH(OrdersTable[[#This Row],[Order Date]])</f>
        <v>11</v>
      </c>
      <c r="F4613" t="s">
        <v>972</v>
      </c>
      <c r="G4613" t="str">
        <f>IF(OrdersTable[[#This Row],[Order Date]]=_xlfn.MINIFS(Order_Date, Customer_ID, OrdersTable[[#This Row],[Customer ID]]), "New", "Repeat")</f>
        <v>Repeat</v>
      </c>
      <c r="H4613" t="s">
        <v>27</v>
      </c>
      <c r="I4613" t="str">
        <f>INDEX(State!B:B,MATCH(OrdersTable[[#This Row],[State]],State!A:A,0))</f>
        <v>WB</v>
      </c>
      <c r="J4613" t="str">
        <f>INDEX(State!C:C,MATCH(OrdersTable[[#This Row],[State Code]],State!B:B,0))</f>
        <v>East</v>
      </c>
      <c r="K4613" t="s">
        <v>28</v>
      </c>
      <c r="L4613" t="s">
        <v>16</v>
      </c>
      <c r="M4613" t="s">
        <v>176</v>
      </c>
      <c r="N4613" t="str">
        <f>INDEX(Products!B:B,MATCH(OrdersTable[[#This Row],[Product ID]],Products!A:A,0))</f>
        <v>Denim Jacket</v>
      </c>
      <c r="O4613" t="str">
        <f>INDEX(Products!C:C,MATCH(OrdersTable[[#This Row],[Product ID]],Products!A:A,0))</f>
        <v>Apparel</v>
      </c>
      <c r="P4613">
        <v>1</v>
      </c>
      <c r="Q4613" s="5">
        <v>2499</v>
      </c>
      <c r="R4613" s="74">
        <v>0.1</v>
      </c>
      <c r="S4613" s="75">
        <f>OrdersTable[[#This Row],[Quantity]]*OrdersTable[[#This Row],[Unit Price]]</f>
        <v>2499</v>
      </c>
      <c r="T4613" s="5">
        <f>OrdersTable[[#This Row],[Gross Sale]]*OrdersTable[[#This Row],[Discount_Clean2]]</f>
        <v>249.9</v>
      </c>
      <c r="U4613" s="5">
        <f>OrdersTable[[#This Row],[Gross Sale]]-OrdersTable[[#This Row],[Discount Amount]]</f>
        <v>2249.1</v>
      </c>
      <c r="V4613" s="77">
        <f>INDEX(Products!E:E,MATCH(OrdersTable[[#This Row],[Product ID]],Products!A:A,0))</f>
        <v>1125</v>
      </c>
      <c r="W4613" s="77">
        <f>OrdersTable[[#This Row],[Quantity]]*OrdersTable[[#This Row],[Unit Cost]]</f>
        <v>1125</v>
      </c>
      <c r="X4613" s="77">
        <f>'Dropdown Lists'!$I$2*(1+OrdersTable[[#This Row],[Returned]])</f>
        <v>60</v>
      </c>
      <c r="Y4613" s="76">
        <f>OrdersTable[[#This Row],[Net Revenue]]-OrdersTable[[#This Row],[COGS]]-OrdersTable[[#This Row],[Shipping Cost]]</f>
        <v>1064.0999999999999</v>
      </c>
      <c r="Z4613" s="78">
        <f>IFERROR(OrdersTable[[#This Row],[Profit]]/OrdersTable[[#This Row],[Net Revenue]],0)</f>
        <v>0.4731225823662798</v>
      </c>
      <c r="AA4613" t="s">
        <v>3495</v>
      </c>
      <c r="AB4613" s="79">
        <v>45993</v>
      </c>
      <c r="AC4613">
        <f>OrdersTable[[#This Row],[Delivery Date]]-OrdersTable[[#This Row],[Order Date]]</f>
        <v>3</v>
      </c>
      <c r="AD4613" t="str">
        <f>IF(OrdersTable[[#This Row],[Delivery Days]]&lt;=2, "Express (≤2d)", IF(OrdersTable[[#This Row],[Delivery Days]]&lt;=4, "Standard (3-4d)", "Delayed (5d+)"))</f>
        <v>Standard (3-4d)</v>
      </c>
      <c r="AF4613">
        <v>0</v>
      </c>
    </row>
    <row r="4614" spans="1:32" ht="15" x14ac:dyDescent="0.35">
      <c r="A4614" t="s">
        <v>6442</v>
      </c>
      <c r="B4614" s="1">
        <v>45990</v>
      </c>
      <c r="C4614">
        <f>YEAR(OrdersTable[[#This Row],[Order Date]])</f>
        <v>2025</v>
      </c>
      <c r="D4614" s="2">
        <f>DATE(YEAR(OrdersTable[[#This Row],[Order Date]]),MONTH(OrdersTable[[#This Row],[Order Date]]),1)</f>
        <v>45962</v>
      </c>
      <c r="E4614">
        <f>MONTH(OrdersTable[[#This Row],[Order Date]])</f>
        <v>11</v>
      </c>
      <c r="F4614" t="s">
        <v>3475</v>
      </c>
      <c r="G4614" t="str">
        <f>IF(OrdersTable[[#This Row],[Order Date]]=_xlfn.MINIFS(Order_Date, Customer_ID, OrdersTable[[#This Row],[Customer ID]]), "New", "Repeat")</f>
        <v>Repeat</v>
      </c>
      <c r="H4614" t="s">
        <v>27</v>
      </c>
      <c r="I4614" t="str">
        <f>INDEX(State!B:B,MATCH(OrdersTable[[#This Row],[State]],State!A:A,0))</f>
        <v>WB</v>
      </c>
      <c r="J4614" t="str">
        <f>INDEX(State!C:C,MATCH(OrdersTable[[#This Row],[State Code]],State!B:B,0))</f>
        <v>East</v>
      </c>
      <c r="K4614" t="s">
        <v>28</v>
      </c>
      <c r="L4614" t="s">
        <v>50</v>
      </c>
      <c r="M4614" t="s">
        <v>51</v>
      </c>
      <c r="N4614" t="str">
        <f>INDEX(Products!B:B,MATCH(OrdersTable[[#This Row],[Product ID]],Products!A:A,0))</f>
        <v>Anti-Dandruff Conditioner</v>
      </c>
      <c r="O4614" t="str">
        <f>INDEX(Products!C:C,MATCH(OrdersTable[[#This Row],[Product ID]],Products!A:A,0))</f>
        <v>Haircare</v>
      </c>
      <c r="P4614">
        <v>2</v>
      </c>
      <c r="Q4614" s="5">
        <v>399</v>
      </c>
      <c r="R4614" s="74">
        <v>0.55000000000000004</v>
      </c>
      <c r="S4614" s="75">
        <f>OrdersTable[[#This Row],[Quantity]]*OrdersTable[[#This Row],[Unit Price]]</f>
        <v>798</v>
      </c>
      <c r="T4614" s="5">
        <f>OrdersTable[[#This Row],[Gross Sale]]*OrdersTable[[#This Row],[Discount_Clean2]]</f>
        <v>438.90000000000003</v>
      </c>
      <c r="U4614" s="5">
        <f>OrdersTable[[#This Row],[Gross Sale]]-OrdersTable[[#This Row],[Discount Amount]]</f>
        <v>359.09999999999997</v>
      </c>
      <c r="V4614" s="77">
        <f>INDEX(Products!E:E,MATCH(OrdersTable[[#This Row],[Product ID]],Products!A:A,0))</f>
        <v>136</v>
      </c>
      <c r="W4614" s="77">
        <f>OrdersTable[[#This Row],[Quantity]]*OrdersTable[[#This Row],[Unit Cost]]</f>
        <v>272</v>
      </c>
      <c r="X4614" s="77">
        <f>'Dropdown Lists'!$I$2*(1+OrdersTable[[#This Row],[Returned]])</f>
        <v>60</v>
      </c>
      <c r="Y4614" s="76">
        <f>OrdersTable[[#This Row],[Net Revenue]]-OrdersTable[[#This Row],[COGS]]-OrdersTable[[#This Row],[Shipping Cost]]</f>
        <v>27.099999999999966</v>
      </c>
      <c r="Z4614" s="78">
        <f>IFERROR(OrdersTable[[#This Row],[Profit]]/OrdersTable[[#This Row],[Net Revenue]],0)</f>
        <v>7.5466443887496432E-2</v>
      </c>
      <c r="AA4614" t="s">
        <v>18</v>
      </c>
      <c r="AB4614" s="79">
        <v>45995</v>
      </c>
      <c r="AC4614">
        <f>OrdersTable[[#This Row],[Delivery Date]]-OrdersTable[[#This Row],[Order Date]]</f>
        <v>5</v>
      </c>
      <c r="AD4614" t="str">
        <f>IF(OrdersTable[[#This Row],[Delivery Days]]&lt;=2, "Express (≤2d)", IF(OrdersTable[[#This Row],[Delivery Days]]&lt;=4, "Standard (3-4d)", "Delayed (5d+)"))</f>
        <v>Delayed (5d+)</v>
      </c>
      <c r="AE4614">
        <v>3</v>
      </c>
      <c r="AF4614">
        <v>0</v>
      </c>
    </row>
    <row r="4615" spans="1:32" ht="15" x14ac:dyDescent="0.35">
      <c r="A4615" t="s">
        <v>3130</v>
      </c>
      <c r="B4615" s="1">
        <v>45990</v>
      </c>
      <c r="C4615">
        <f>YEAR(OrdersTable[[#This Row],[Order Date]])</f>
        <v>2025</v>
      </c>
      <c r="D4615" s="2">
        <f>DATE(YEAR(OrdersTable[[#This Row],[Order Date]]),MONTH(OrdersTable[[#This Row],[Order Date]]),1)</f>
        <v>45962</v>
      </c>
      <c r="E4615">
        <f>MONTH(OrdersTable[[#This Row],[Order Date]])</f>
        <v>11</v>
      </c>
      <c r="F4615" t="s">
        <v>3131</v>
      </c>
      <c r="G4615" t="str">
        <f>IF(OrdersTable[[#This Row],[Order Date]]=_xlfn.MINIFS(Order_Date, Customer_ID, OrdersTable[[#This Row],[Customer ID]]), "New", "Repeat")</f>
        <v>Repeat</v>
      </c>
      <c r="H4615" t="s">
        <v>275</v>
      </c>
      <c r="I4615" t="str">
        <f>INDEX(State!B:B,MATCH(OrdersTable[[#This Row],[State]],State!A:A,0))</f>
        <v>AP</v>
      </c>
      <c r="J4615" t="str">
        <f>INDEX(State!C:C,MATCH(OrdersTable[[#This Row],[State Code]],State!B:B,0))</f>
        <v>South</v>
      </c>
      <c r="K4615" t="s">
        <v>276</v>
      </c>
      <c r="L4615" t="s">
        <v>23</v>
      </c>
      <c r="M4615" t="s">
        <v>92</v>
      </c>
      <c r="N4615" t="str">
        <f>INDEX(Products!B:B,MATCH(OrdersTable[[#This Row],[Product ID]],Products!A:A,0))</f>
        <v>Kolhapuri Sandals</v>
      </c>
      <c r="O4615" t="str">
        <f>INDEX(Products!C:C,MATCH(OrdersTable[[#This Row],[Product ID]],Products!A:A,0))</f>
        <v>Footwear</v>
      </c>
      <c r="P4615">
        <v>1</v>
      </c>
      <c r="Q4615" s="5">
        <v>999</v>
      </c>
      <c r="R4615" s="74">
        <v>0.25</v>
      </c>
      <c r="S4615" s="75">
        <f>OrdersTable[[#This Row],[Quantity]]*OrdersTable[[#This Row],[Unit Price]]</f>
        <v>999</v>
      </c>
      <c r="T4615" s="5">
        <f>OrdersTable[[#This Row],[Gross Sale]]*OrdersTable[[#This Row],[Discount_Clean2]]</f>
        <v>249.75</v>
      </c>
      <c r="U4615" s="5">
        <f>OrdersTable[[#This Row],[Gross Sale]]-OrdersTable[[#This Row],[Discount Amount]]</f>
        <v>749.25</v>
      </c>
      <c r="V4615" s="77">
        <f>INDEX(Products!E:E,MATCH(OrdersTable[[#This Row],[Product ID]],Products!A:A,0))</f>
        <v>400</v>
      </c>
      <c r="W4615" s="77">
        <f>OrdersTable[[#This Row],[Quantity]]*OrdersTable[[#This Row],[Unit Cost]]</f>
        <v>400</v>
      </c>
      <c r="X4615" s="77">
        <f>'Dropdown Lists'!$I$2*(1+OrdersTable[[#This Row],[Returned]])</f>
        <v>120</v>
      </c>
      <c r="Y4615" s="76">
        <f>OrdersTable[[#This Row],[Net Revenue]]-OrdersTable[[#This Row],[COGS]]-OrdersTable[[#This Row],[Shipping Cost]]</f>
        <v>229.25</v>
      </c>
      <c r="Z4615" s="78">
        <f>IFERROR(OrdersTable[[#This Row],[Profit]]/OrdersTable[[#This Row],[Net Revenue]],0)</f>
        <v>0.30597263930597263</v>
      </c>
      <c r="AA4615" t="s">
        <v>2522</v>
      </c>
      <c r="AB4615" s="79">
        <v>45995</v>
      </c>
      <c r="AC4615">
        <f>OrdersTable[[#This Row],[Delivery Date]]-OrdersTable[[#This Row],[Order Date]]</f>
        <v>5</v>
      </c>
      <c r="AD4615" t="str">
        <f>IF(OrdersTable[[#This Row],[Delivery Days]]&lt;=2, "Express (≤2d)", IF(OrdersTable[[#This Row],[Delivery Days]]&lt;=4, "Standard (3-4d)", "Delayed (5d+)"))</f>
        <v>Delayed (5d+)</v>
      </c>
      <c r="AF4615">
        <v>1</v>
      </c>
    </row>
    <row r="4616" spans="1:32" ht="15" x14ac:dyDescent="0.35">
      <c r="A4616" t="s">
        <v>412</v>
      </c>
      <c r="B4616" s="1">
        <v>45990</v>
      </c>
      <c r="C4616">
        <f>YEAR(OrdersTable[[#This Row],[Order Date]])</f>
        <v>2025</v>
      </c>
      <c r="D4616" s="2">
        <f>DATE(YEAR(OrdersTable[[#This Row],[Order Date]]),MONTH(OrdersTable[[#This Row],[Order Date]]),1)</f>
        <v>45962</v>
      </c>
      <c r="E4616">
        <f>MONTH(OrdersTable[[#This Row],[Order Date]])</f>
        <v>11</v>
      </c>
      <c r="F4616" t="s">
        <v>262</v>
      </c>
      <c r="G4616" t="str">
        <f>IF(OrdersTable[[#This Row],[Order Date]]=_xlfn.MINIFS(Order_Date, Customer_ID, OrdersTable[[#This Row],[Customer ID]]), "New", "Repeat")</f>
        <v>Repeat</v>
      </c>
      <c r="H4616" t="s">
        <v>275</v>
      </c>
      <c r="I4616" t="str">
        <f>INDEX(State!B:B,MATCH(OrdersTable[[#This Row],[State]],State!A:A,0))</f>
        <v>AP</v>
      </c>
      <c r="J4616" t="str">
        <f>INDEX(State!C:C,MATCH(OrdersTable[[#This Row],[State Code]],State!B:B,0))</f>
        <v>South</v>
      </c>
      <c r="K4616" t="s">
        <v>276</v>
      </c>
      <c r="L4616" t="s">
        <v>23</v>
      </c>
      <c r="M4616" t="s">
        <v>56</v>
      </c>
      <c r="N4616" t="str">
        <f>INDEX(Products!B:B,MATCH(OrdersTable[[#This Row],[Product ID]],Products!A:A,0))</f>
        <v>Vitamin C Face Serum</v>
      </c>
      <c r="O4616" t="str">
        <f>INDEX(Products!C:C,MATCH(OrdersTable[[#This Row],[Product ID]],Products!A:A,0))</f>
        <v>Skincare</v>
      </c>
      <c r="P4616">
        <v>1</v>
      </c>
      <c r="Q4616" s="5">
        <v>599</v>
      </c>
      <c r="R4616" s="74">
        <v>0.25</v>
      </c>
      <c r="S4616" s="75">
        <f>OrdersTable[[#This Row],[Quantity]]*OrdersTable[[#This Row],[Unit Price]]</f>
        <v>599</v>
      </c>
      <c r="T4616" s="5">
        <f>OrdersTable[[#This Row],[Gross Sale]]*OrdersTable[[#This Row],[Discount_Clean2]]</f>
        <v>149.75</v>
      </c>
      <c r="U4616" s="5">
        <f>OrdersTable[[#This Row],[Gross Sale]]-OrdersTable[[#This Row],[Discount Amount]]</f>
        <v>449.25</v>
      </c>
      <c r="V4616" s="77">
        <f>INDEX(Products!E:E,MATCH(OrdersTable[[#This Row],[Product ID]],Products!A:A,0))</f>
        <v>180</v>
      </c>
      <c r="W4616" s="77">
        <f>OrdersTable[[#This Row],[Quantity]]*OrdersTable[[#This Row],[Unit Cost]]</f>
        <v>180</v>
      </c>
      <c r="X4616" s="77">
        <f>'Dropdown Lists'!$I$2*(1+OrdersTable[[#This Row],[Returned]])</f>
        <v>60</v>
      </c>
      <c r="Y4616" s="76">
        <f>OrdersTable[[#This Row],[Net Revenue]]-OrdersTable[[#This Row],[COGS]]-OrdersTable[[#This Row],[Shipping Cost]]</f>
        <v>209.25</v>
      </c>
      <c r="Z4616" s="78">
        <f>IFERROR(OrdersTable[[#This Row],[Profit]]/OrdersTable[[#This Row],[Net Revenue]],0)</f>
        <v>0.46577629382303842</v>
      </c>
      <c r="AA4616" t="s">
        <v>18</v>
      </c>
      <c r="AB4616" s="79">
        <v>45993</v>
      </c>
      <c r="AC4616">
        <f>OrdersTable[[#This Row],[Delivery Date]]-OrdersTable[[#This Row],[Order Date]]</f>
        <v>3</v>
      </c>
      <c r="AD4616" t="str">
        <f>IF(OrdersTable[[#This Row],[Delivery Days]]&lt;=2, "Express (≤2d)", IF(OrdersTable[[#This Row],[Delivery Days]]&lt;=4, "Standard (3-4d)", "Delayed (5d+)"))</f>
        <v>Standard (3-4d)</v>
      </c>
      <c r="AE4616">
        <v>4</v>
      </c>
      <c r="AF4616">
        <v>0</v>
      </c>
    </row>
    <row r="4617" spans="1:32" ht="15" x14ac:dyDescent="0.35">
      <c r="A4617" t="s">
        <v>4890</v>
      </c>
      <c r="B4617" s="1">
        <v>45990</v>
      </c>
      <c r="C4617">
        <f>YEAR(OrdersTable[[#This Row],[Order Date]])</f>
        <v>2025</v>
      </c>
      <c r="D4617" s="2">
        <f>DATE(YEAR(OrdersTable[[#This Row],[Order Date]]),MONTH(OrdersTable[[#This Row],[Order Date]]),1)</f>
        <v>45962</v>
      </c>
      <c r="E4617">
        <f>MONTH(OrdersTable[[#This Row],[Order Date]])</f>
        <v>11</v>
      </c>
      <c r="F4617" t="s">
        <v>2494</v>
      </c>
      <c r="G4617" t="str">
        <f>IF(OrdersTable[[#This Row],[Order Date]]=_xlfn.MINIFS(Order_Date, Customer_ID, OrdersTable[[#This Row],[Customer ID]]), "New", "Repeat")</f>
        <v>Repeat</v>
      </c>
      <c r="H4617" t="s">
        <v>316</v>
      </c>
      <c r="I4617" t="str">
        <f>INDEX(State!B:B,MATCH(OrdersTable[[#This Row],[State]],State!A:A,0))</f>
        <v>KL</v>
      </c>
      <c r="J4617" t="str">
        <f>INDEX(State!C:C,MATCH(OrdersTable[[#This Row],[State Code]],State!B:B,0))</f>
        <v>South</v>
      </c>
      <c r="K4617" t="s">
        <v>338</v>
      </c>
      <c r="L4617" t="s">
        <v>50</v>
      </c>
      <c r="M4617" t="s">
        <v>51</v>
      </c>
      <c r="N4617" t="str">
        <f>INDEX(Products!B:B,MATCH(OrdersTable[[#This Row],[Product ID]],Products!A:A,0))</f>
        <v>Anti-Dandruff Conditioner</v>
      </c>
      <c r="O4617" t="str">
        <f>INDEX(Products!C:C,MATCH(OrdersTable[[#This Row],[Product ID]],Products!A:A,0))</f>
        <v>Haircare</v>
      </c>
      <c r="P4617">
        <v>2</v>
      </c>
      <c r="Q4617" s="5">
        <v>399</v>
      </c>
      <c r="R4617" s="74">
        <v>0.55000000000000004</v>
      </c>
      <c r="S4617" s="75">
        <f>OrdersTable[[#This Row],[Quantity]]*OrdersTable[[#This Row],[Unit Price]]</f>
        <v>798</v>
      </c>
      <c r="T4617" s="5">
        <f>OrdersTable[[#This Row],[Gross Sale]]*OrdersTable[[#This Row],[Discount_Clean2]]</f>
        <v>438.90000000000003</v>
      </c>
      <c r="U4617" s="5">
        <f>OrdersTable[[#This Row],[Gross Sale]]-OrdersTable[[#This Row],[Discount Amount]]</f>
        <v>359.09999999999997</v>
      </c>
      <c r="V4617" s="77">
        <f>INDEX(Products!E:E,MATCH(OrdersTable[[#This Row],[Product ID]],Products!A:A,0))</f>
        <v>136</v>
      </c>
      <c r="W4617" s="77">
        <f>OrdersTable[[#This Row],[Quantity]]*OrdersTable[[#This Row],[Unit Cost]]</f>
        <v>272</v>
      </c>
      <c r="X4617" s="77">
        <f>'Dropdown Lists'!$I$2*(1+OrdersTable[[#This Row],[Returned]])</f>
        <v>120</v>
      </c>
      <c r="Y4617" s="76">
        <f>OrdersTable[[#This Row],[Net Revenue]]-OrdersTable[[#This Row],[COGS]]-OrdersTable[[#This Row],[Shipping Cost]]</f>
        <v>-32.900000000000034</v>
      </c>
      <c r="Z4617" s="78">
        <f>IFERROR(OrdersTable[[#This Row],[Profit]]/OrdersTable[[#This Row],[Net Revenue]],0)</f>
        <v>-9.1617933723196987E-2</v>
      </c>
      <c r="AA4617" t="s">
        <v>4450</v>
      </c>
      <c r="AB4617" s="79">
        <v>45996</v>
      </c>
      <c r="AC4617">
        <f>OrdersTable[[#This Row],[Delivery Date]]-OrdersTable[[#This Row],[Order Date]]</f>
        <v>6</v>
      </c>
      <c r="AD4617" t="str">
        <f>IF(OrdersTable[[#This Row],[Delivery Days]]&lt;=2, "Express (≤2d)", IF(OrdersTable[[#This Row],[Delivery Days]]&lt;=4, "Standard (3-4d)", "Delayed (5d+)"))</f>
        <v>Delayed (5d+)</v>
      </c>
      <c r="AE4617">
        <v>3</v>
      </c>
      <c r="AF4617">
        <v>1</v>
      </c>
    </row>
    <row r="4618" spans="1:32" ht="15" x14ac:dyDescent="0.35">
      <c r="A4618" t="s">
        <v>6931</v>
      </c>
      <c r="B4618" s="1">
        <v>45991</v>
      </c>
      <c r="C4618">
        <f>YEAR(OrdersTable[[#This Row],[Order Date]])</f>
        <v>2025</v>
      </c>
      <c r="D4618" s="2">
        <f>DATE(YEAR(OrdersTable[[#This Row],[Order Date]]),MONTH(OrdersTable[[#This Row],[Order Date]]),1)</f>
        <v>45962</v>
      </c>
      <c r="E4618">
        <f>MONTH(OrdersTable[[#This Row],[Order Date]])</f>
        <v>11</v>
      </c>
      <c r="F4618" t="s">
        <v>6932</v>
      </c>
      <c r="G4618" t="str">
        <f>IF(OrdersTable[[#This Row],[Order Date]]=_xlfn.MINIFS(Order_Date, Customer_ID, OrdersTable[[#This Row],[Customer ID]]), "New", "Repeat")</f>
        <v>New</v>
      </c>
      <c r="H4618" t="s">
        <v>158</v>
      </c>
      <c r="I4618" t="str">
        <f>INDEX(State!B:B,MATCH(OrdersTable[[#This Row],[State]],State!A:A,0))</f>
        <v>HP</v>
      </c>
      <c r="J4618" t="str">
        <f>INDEX(State!C:C,MATCH(OrdersTable[[#This Row],[State Code]],State!B:B,0))</f>
        <v>North</v>
      </c>
      <c r="K4618" t="s">
        <v>159</v>
      </c>
      <c r="L4618" t="s">
        <v>50</v>
      </c>
      <c r="M4618" t="s">
        <v>106</v>
      </c>
      <c r="N4618" t="str">
        <f>INDEX(Products!B:B,MATCH(OrdersTable[[#This Row],[Product ID]],Products!A:A,0))</f>
        <v>Keratin Hair Mask</v>
      </c>
      <c r="O4618" t="str">
        <f>INDEX(Products!C:C,MATCH(OrdersTable[[#This Row],[Product ID]],Products!A:A,0))</f>
        <v>Haircare</v>
      </c>
      <c r="P4618">
        <v>3</v>
      </c>
      <c r="Q4618" s="5">
        <v>549</v>
      </c>
      <c r="R4618" s="74">
        <v>0.2</v>
      </c>
      <c r="S4618" s="75">
        <f>OrdersTable[[#This Row],[Quantity]]*OrdersTable[[#This Row],[Unit Price]]</f>
        <v>1647</v>
      </c>
      <c r="T4618" s="5">
        <f>OrdersTable[[#This Row],[Gross Sale]]*OrdersTable[[#This Row],[Discount_Clean2]]</f>
        <v>329.40000000000003</v>
      </c>
      <c r="U4618" s="5">
        <f>OrdersTable[[#This Row],[Gross Sale]]-OrdersTable[[#This Row],[Discount Amount]]</f>
        <v>1317.6</v>
      </c>
      <c r="V4618" s="77">
        <f>INDEX(Products!E:E,MATCH(OrdersTable[[#This Row],[Product ID]],Products!A:A,0))</f>
        <v>170</v>
      </c>
      <c r="W4618" s="77">
        <f>OrdersTable[[#This Row],[Quantity]]*OrdersTable[[#This Row],[Unit Cost]]</f>
        <v>510</v>
      </c>
      <c r="X4618" s="77">
        <f>'Dropdown Lists'!$I$2*(1+OrdersTable[[#This Row],[Returned]])</f>
        <v>60</v>
      </c>
      <c r="Y4618" s="76">
        <f>OrdersTable[[#This Row],[Net Revenue]]-OrdersTable[[#This Row],[COGS]]-OrdersTable[[#This Row],[Shipping Cost]]</f>
        <v>747.59999999999991</v>
      </c>
      <c r="Z4618" s="78">
        <f>IFERROR(OrdersTable[[#This Row],[Profit]]/OrdersTable[[#This Row],[Net Revenue]],0)</f>
        <v>0.56739526411657559</v>
      </c>
      <c r="AA4618" t="s">
        <v>4074</v>
      </c>
      <c r="AB4618" s="79">
        <v>45997</v>
      </c>
      <c r="AC4618">
        <f>OrdersTable[[#This Row],[Delivery Date]]-OrdersTable[[#This Row],[Order Date]]</f>
        <v>6</v>
      </c>
      <c r="AD4618" t="str">
        <f>IF(OrdersTable[[#This Row],[Delivery Days]]&lt;=2, "Express (≤2d)", IF(OrdersTable[[#This Row],[Delivery Days]]&lt;=4, "Standard (3-4d)", "Delayed (5d+)"))</f>
        <v>Delayed (5d+)</v>
      </c>
      <c r="AF4618">
        <v>0</v>
      </c>
    </row>
    <row r="4619" spans="1:32" ht="15" x14ac:dyDescent="0.35">
      <c r="A4619" t="s">
        <v>1453</v>
      </c>
      <c r="B4619" s="1">
        <v>45991</v>
      </c>
      <c r="C4619">
        <f>YEAR(OrdersTable[[#This Row],[Order Date]])</f>
        <v>2025</v>
      </c>
      <c r="D4619" s="2">
        <f>DATE(YEAR(OrdersTable[[#This Row],[Order Date]]),MONTH(OrdersTable[[#This Row],[Order Date]]),1)</f>
        <v>45962</v>
      </c>
      <c r="E4619">
        <f>MONTH(OrdersTable[[#This Row],[Order Date]])</f>
        <v>11</v>
      </c>
      <c r="F4619" t="s">
        <v>1454</v>
      </c>
      <c r="G4619" t="str">
        <f>IF(OrdersTable[[#This Row],[Order Date]]=_xlfn.MINIFS(Order_Date, Customer_ID, OrdersTable[[#This Row],[Customer ID]]), "New", "Repeat")</f>
        <v>Repeat</v>
      </c>
      <c r="H4619" t="s">
        <v>128</v>
      </c>
      <c r="I4619" t="str">
        <f>INDEX(State!B:B,MATCH(OrdersTable[[#This Row],[State]],State!A:A,0))</f>
        <v>DL</v>
      </c>
      <c r="J4619" t="str">
        <f>INDEX(State!C:C,MATCH(OrdersTable[[#This Row],[State Code]],State!B:B,0))</f>
        <v>North</v>
      </c>
      <c r="K4619" t="s">
        <v>129</v>
      </c>
      <c r="L4619" t="s">
        <v>23</v>
      </c>
      <c r="M4619" t="s">
        <v>173</v>
      </c>
      <c r="N4619" t="str">
        <f>INDEX(Products!B:B,MATCH(OrdersTable[[#This Row],[Product ID]],Products!A:A,0))</f>
        <v>Wireless Earbuds</v>
      </c>
      <c r="O4619" t="str">
        <f>INDEX(Products!C:C,MATCH(OrdersTable[[#This Row],[Product ID]],Products!A:A,0))</f>
        <v>Electronics</v>
      </c>
      <c r="P4619">
        <v>1</v>
      </c>
      <c r="Q4619" s="5">
        <v>1999</v>
      </c>
      <c r="R4619" s="74">
        <v>0.4</v>
      </c>
      <c r="S4619" s="75">
        <f>OrdersTable[[#This Row],[Quantity]]*OrdersTable[[#This Row],[Unit Price]]</f>
        <v>1999</v>
      </c>
      <c r="T4619" s="5">
        <f>OrdersTable[[#This Row],[Gross Sale]]*OrdersTable[[#This Row],[Discount_Clean2]]</f>
        <v>799.6</v>
      </c>
      <c r="U4619" s="5">
        <f>OrdersTable[[#This Row],[Gross Sale]]-OrdersTable[[#This Row],[Discount Amount]]</f>
        <v>1199.4000000000001</v>
      </c>
      <c r="V4619" s="77">
        <f>INDEX(Products!E:E,MATCH(OrdersTable[[#This Row],[Product ID]],Products!A:A,0))</f>
        <v>1239</v>
      </c>
      <c r="W4619" s="77">
        <f>OrdersTable[[#This Row],[Quantity]]*OrdersTable[[#This Row],[Unit Cost]]</f>
        <v>1239</v>
      </c>
      <c r="X4619" s="77">
        <f>'Dropdown Lists'!$I$2*(1+OrdersTable[[#This Row],[Returned]])</f>
        <v>60</v>
      </c>
      <c r="Y4619" s="76">
        <f>OrdersTable[[#This Row],[Net Revenue]]-OrdersTable[[#This Row],[COGS]]-OrdersTable[[#This Row],[Shipping Cost]]</f>
        <v>-99.599999999999909</v>
      </c>
      <c r="Z4619" s="78">
        <f>IFERROR(OrdersTable[[#This Row],[Profit]]/OrdersTable[[#This Row],[Net Revenue]],0)</f>
        <v>-8.3041520760380114E-2</v>
      </c>
      <c r="AA4619" t="s">
        <v>18</v>
      </c>
      <c r="AB4619" s="79">
        <v>45993</v>
      </c>
      <c r="AC4619">
        <f>OrdersTable[[#This Row],[Delivery Date]]-OrdersTable[[#This Row],[Order Date]]</f>
        <v>2</v>
      </c>
      <c r="AD4619" t="str">
        <f>IF(OrdersTable[[#This Row],[Delivery Days]]&lt;=2, "Express (≤2d)", IF(OrdersTable[[#This Row],[Delivery Days]]&lt;=4, "Standard (3-4d)", "Delayed (5d+)"))</f>
        <v>Express (≤2d)</v>
      </c>
      <c r="AF4619">
        <v>0</v>
      </c>
    </row>
    <row r="4620" spans="1:32" ht="15" x14ac:dyDescent="0.35">
      <c r="A4620" t="s">
        <v>4735</v>
      </c>
      <c r="B4620" s="1">
        <v>45991</v>
      </c>
      <c r="C4620">
        <f>YEAR(OrdersTable[[#This Row],[Order Date]])</f>
        <v>2025</v>
      </c>
      <c r="D4620" s="2">
        <f>DATE(YEAR(OrdersTable[[#This Row],[Order Date]]),MONTH(OrdersTable[[#This Row],[Order Date]]),1)</f>
        <v>45962</v>
      </c>
      <c r="E4620">
        <f>MONTH(OrdersTable[[#This Row],[Order Date]])</f>
        <v>11</v>
      </c>
      <c r="F4620" t="s">
        <v>4101</v>
      </c>
      <c r="G4620" t="str">
        <f>IF(OrdersTable[[#This Row],[Order Date]]=_xlfn.MINIFS(Order_Date, Customer_ID, OrdersTable[[#This Row],[Customer ID]]), "New", "Repeat")</f>
        <v>Repeat</v>
      </c>
      <c r="H4620" t="s">
        <v>128</v>
      </c>
      <c r="I4620" t="str">
        <f>INDEX(State!B:B,MATCH(OrdersTable[[#This Row],[State]],State!A:A,0))</f>
        <v>DL</v>
      </c>
      <c r="J4620" t="str">
        <f>INDEX(State!C:C,MATCH(OrdersTable[[#This Row],[State Code]],State!B:B,0))</f>
        <v>North</v>
      </c>
      <c r="K4620" t="s">
        <v>129</v>
      </c>
      <c r="L4620" t="s">
        <v>65</v>
      </c>
      <c r="M4620" t="s">
        <v>423</v>
      </c>
      <c r="N4620" t="str">
        <f>INDEX(Products!B:B,MATCH(OrdersTable[[#This Row],[Product ID]],Products!A:A,0))</f>
        <v>Power Bank 20000mAh</v>
      </c>
      <c r="O4620" t="str">
        <f>INDEX(Products!C:C,MATCH(OrdersTable[[#This Row],[Product ID]],Products!A:A,0))</f>
        <v>Electronics</v>
      </c>
      <c r="P4620">
        <v>1</v>
      </c>
      <c r="Q4620" s="5">
        <v>1799</v>
      </c>
      <c r="R4620" s="74">
        <v>0.45</v>
      </c>
      <c r="S4620" s="75">
        <f>OrdersTable[[#This Row],[Quantity]]*OrdersTable[[#This Row],[Unit Price]]</f>
        <v>1799</v>
      </c>
      <c r="T4620" s="5">
        <f>OrdersTable[[#This Row],[Gross Sale]]*OrdersTable[[#This Row],[Discount_Clean2]]</f>
        <v>809.55000000000007</v>
      </c>
      <c r="U4620" s="5">
        <f>OrdersTable[[#This Row],[Gross Sale]]-OrdersTable[[#This Row],[Discount Amount]]</f>
        <v>989.44999999999993</v>
      </c>
      <c r="V4620" s="77">
        <f>INDEX(Products!E:E,MATCH(OrdersTable[[#This Row],[Product ID]],Products!A:A,0))</f>
        <v>1079</v>
      </c>
      <c r="W4620" s="77">
        <f>OrdersTable[[#This Row],[Quantity]]*OrdersTable[[#This Row],[Unit Cost]]</f>
        <v>1079</v>
      </c>
      <c r="X4620" s="77">
        <f>'Dropdown Lists'!$I$2*(1+OrdersTable[[#This Row],[Returned]])</f>
        <v>60</v>
      </c>
      <c r="Y4620" s="76">
        <f>OrdersTable[[#This Row],[Net Revenue]]-OrdersTable[[#This Row],[COGS]]-OrdersTable[[#This Row],[Shipping Cost]]</f>
        <v>-149.55000000000007</v>
      </c>
      <c r="Z4620" s="78">
        <f>IFERROR(OrdersTable[[#This Row],[Profit]]/OrdersTable[[#This Row],[Net Revenue]],0)</f>
        <v>-0.15114457526908898</v>
      </c>
      <c r="AA4620" t="s">
        <v>4450</v>
      </c>
      <c r="AB4620" s="79">
        <v>45997</v>
      </c>
      <c r="AC4620">
        <f>OrdersTable[[#This Row],[Delivery Date]]-OrdersTable[[#This Row],[Order Date]]</f>
        <v>6</v>
      </c>
      <c r="AD4620" t="str">
        <f>IF(OrdersTable[[#This Row],[Delivery Days]]&lt;=2, "Express (≤2d)", IF(OrdersTable[[#This Row],[Delivery Days]]&lt;=4, "Standard (3-4d)", "Delayed (5d+)"))</f>
        <v>Delayed (5d+)</v>
      </c>
      <c r="AE4620">
        <v>3</v>
      </c>
      <c r="AF4620">
        <v>0</v>
      </c>
    </row>
    <row r="4621" spans="1:32" ht="15" x14ac:dyDescent="0.35">
      <c r="A4621" t="s">
        <v>1810</v>
      </c>
      <c r="B4621" s="1">
        <v>45991</v>
      </c>
      <c r="C4621">
        <f>YEAR(OrdersTable[[#This Row],[Order Date]])</f>
        <v>2025</v>
      </c>
      <c r="D4621" s="2">
        <f>DATE(YEAR(OrdersTable[[#This Row],[Order Date]]),MONTH(OrdersTable[[#This Row],[Order Date]]),1)</f>
        <v>45962</v>
      </c>
      <c r="E4621">
        <f>MONTH(OrdersTable[[#This Row],[Order Date]])</f>
        <v>11</v>
      </c>
      <c r="F4621" t="s">
        <v>1811</v>
      </c>
      <c r="G4621" t="str">
        <f>IF(OrdersTable[[#This Row],[Order Date]]=_xlfn.MINIFS(Order_Date, Customer_ID, OrdersTable[[#This Row],[Customer ID]]), "New", "Repeat")</f>
        <v>Repeat</v>
      </c>
      <c r="H4621" t="s">
        <v>32</v>
      </c>
      <c r="I4621" t="str">
        <f>INDEX(State!B:B,MATCH(OrdersTable[[#This Row],[State]],State!A:A,0))</f>
        <v>BR</v>
      </c>
      <c r="J4621" t="str">
        <f>INDEX(State!C:C,MATCH(OrdersTable[[#This Row],[State Code]],State!B:B,0))</f>
        <v>East</v>
      </c>
      <c r="K4621" t="s">
        <v>33</v>
      </c>
      <c r="L4621" t="s">
        <v>65</v>
      </c>
      <c r="M4621" t="s">
        <v>56</v>
      </c>
      <c r="N4621" t="str">
        <f>INDEX(Products!B:B,MATCH(OrdersTable[[#This Row],[Product ID]],Products!A:A,0))</f>
        <v>Vitamin C Face Serum</v>
      </c>
      <c r="O4621" t="str">
        <f>INDEX(Products!C:C,MATCH(OrdersTable[[#This Row],[Product ID]],Products!A:A,0))</f>
        <v>Skincare</v>
      </c>
      <c r="P4621">
        <v>1</v>
      </c>
      <c r="Q4621" s="5">
        <v>599</v>
      </c>
      <c r="R4621" s="74">
        <v>0.35</v>
      </c>
      <c r="S4621" s="75">
        <f>OrdersTable[[#This Row],[Quantity]]*OrdersTable[[#This Row],[Unit Price]]</f>
        <v>599</v>
      </c>
      <c r="T4621" s="5">
        <f>OrdersTable[[#This Row],[Gross Sale]]*OrdersTable[[#This Row],[Discount_Clean2]]</f>
        <v>209.64999999999998</v>
      </c>
      <c r="U4621" s="5">
        <f>OrdersTable[[#This Row],[Gross Sale]]-OrdersTable[[#This Row],[Discount Amount]]</f>
        <v>389.35</v>
      </c>
      <c r="V4621" s="77">
        <f>INDEX(Products!E:E,MATCH(OrdersTable[[#This Row],[Product ID]],Products!A:A,0))</f>
        <v>180</v>
      </c>
      <c r="W4621" s="77">
        <f>OrdersTable[[#This Row],[Quantity]]*OrdersTable[[#This Row],[Unit Cost]]</f>
        <v>180</v>
      </c>
      <c r="X4621" s="77">
        <f>'Dropdown Lists'!$I$2*(1+OrdersTable[[#This Row],[Returned]])</f>
        <v>60</v>
      </c>
      <c r="Y4621" s="76">
        <f>OrdersTable[[#This Row],[Net Revenue]]-OrdersTable[[#This Row],[COGS]]-OrdersTable[[#This Row],[Shipping Cost]]</f>
        <v>149.35000000000002</v>
      </c>
      <c r="Z4621" s="78">
        <f>IFERROR(OrdersTable[[#This Row],[Profit]]/OrdersTable[[#This Row],[Net Revenue]],0)</f>
        <v>0.3835880313342751</v>
      </c>
      <c r="AA4621" t="s">
        <v>18</v>
      </c>
      <c r="AB4621" s="79">
        <v>45995</v>
      </c>
      <c r="AC4621">
        <f>OrdersTable[[#This Row],[Delivery Date]]-OrdersTable[[#This Row],[Order Date]]</f>
        <v>4</v>
      </c>
      <c r="AD4621" t="str">
        <f>IF(OrdersTable[[#This Row],[Delivery Days]]&lt;=2, "Express (≤2d)", IF(OrdersTable[[#This Row],[Delivery Days]]&lt;=4, "Standard (3-4d)", "Delayed (5d+)"))</f>
        <v>Standard (3-4d)</v>
      </c>
      <c r="AF4621">
        <v>0</v>
      </c>
    </row>
    <row r="4622" spans="1:32" ht="15" x14ac:dyDescent="0.35">
      <c r="A4622" t="s">
        <v>4200</v>
      </c>
      <c r="B4622" s="1">
        <v>45991</v>
      </c>
      <c r="C4622">
        <f>YEAR(OrdersTable[[#This Row],[Order Date]])</f>
        <v>2025</v>
      </c>
      <c r="D4622" s="2">
        <f>DATE(YEAR(OrdersTable[[#This Row],[Order Date]]),MONTH(OrdersTable[[#This Row],[Order Date]]),1)</f>
        <v>45962</v>
      </c>
      <c r="E4622">
        <f>MONTH(OrdersTable[[#This Row],[Order Date]])</f>
        <v>11</v>
      </c>
      <c r="F4622" t="s">
        <v>4201</v>
      </c>
      <c r="G4622" t="str">
        <f>IF(OrdersTable[[#This Row],[Order Date]]=_xlfn.MINIFS(Order_Date, Customer_ID, OrdersTable[[#This Row],[Customer ID]]), "New", "Repeat")</f>
        <v>New</v>
      </c>
      <c r="H4622" t="s">
        <v>32</v>
      </c>
      <c r="I4622" t="str">
        <f>INDEX(State!B:B,MATCH(OrdersTable[[#This Row],[State]],State!A:A,0))</f>
        <v>BR</v>
      </c>
      <c r="J4622" t="str">
        <f>INDEX(State!C:C,MATCH(OrdersTable[[#This Row],[State Code]],State!B:B,0))</f>
        <v>East</v>
      </c>
      <c r="K4622" t="s">
        <v>33</v>
      </c>
      <c r="L4622" t="s">
        <v>65</v>
      </c>
      <c r="M4622" t="s">
        <v>228</v>
      </c>
      <c r="N4622" t="str">
        <f>INDEX(Products!B:B,MATCH(OrdersTable[[#This Row],[Product ID]],Products!A:A,0))</f>
        <v>Fast Charger 33W</v>
      </c>
      <c r="O4622" t="str">
        <f>INDEX(Products!C:C,MATCH(OrdersTable[[#This Row],[Product ID]],Products!A:A,0))</f>
        <v>Electronics</v>
      </c>
      <c r="P4622">
        <v>1</v>
      </c>
      <c r="Q4622" s="5">
        <v>899</v>
      </c>
      <c r="R4622" s="74">
        <v>0.3</v>
      </c>
      <c r="S4622" s="75">
        <f>OrdersTable[[#This Row],[Quantity]]*OrdersTable[[#This Row],[Unit Price]]</f>
        <v>899</v>
      </c>
      <c r="T4622" s="5">
        <f>OrdersTable[[#This Row],[Gross Sale]]*OrdersTable[[#This Row],[Discount_Clean2]]</f>
        <v>269.7</v>
      </c>
      <c r="U4622" s="5">
        <f>OrdersTable[[#This Row],[Gross Sale]]-OrdersTable[[#This Row],[Discount Amount]]</f>
        <v>629.29999999999995</v>
      </c>
      <c r="V4622" s="77">
        <f>INDEX(Products!E:E,MATCH(OrdersTable[[#This Row],[Product ID]],Products!A:A,0))</f>
        <v>494</v>
      </c>
      <c r="W4622" s="77">
        <f>OrdersTable[[#This Row],[Quantity]]*OrdersTable[[#This Row],[Unit Cost]]</f>
        <v>494</v>
      </c>
      <c r="X4622" s="77">
        <f>'Dropdown Lists'!$I$2*(1+OrdersTable[[#This Row],[Returned]])</f>
        <v>60</v>
      </c>
      <c r="Y4622" s="76">
        <f>OrdersTable[[#This Row],[Net Revenue]]-OrdersTable[[#This Row],[COGS]]-OrdersTable[[#This Row],[Shipping Cost]]</f>
        <v>75.299999999999955</v>
      </c>
      <c r="Z4622" s="78">
        <f>IFERROR(OrdersTable[[#This Row],[Profit]]/OrdersTable[[#This Row],[Net Revenue]],0)</f>
        <v>0.11965676148101058</v>
      </c>
      <c r="AA4622" t="s">
        <v>4074</v>
      </c>
      <c r="AB4622" s="79">
        <v>45996</v>
      </c>
      <c r="AC4622">
        <f>OrdersTable[[#This Row],[Delivery Date]]-OrdersTable[[#This Row],[Order Date]]</f>
        <v>5</v>
      </c>
      <c r="AD4622" t="str">
        <f>IF(OrdersTable[[#This Row],[Delivery Days]]&lt;=2, "Express (≤2d)", IF(OrdersTable[[#This Row],[Delivery Days]]&lt;=4, "Standard (3-4d)", "Delayed (5d+)"))</f>
        <v>Delayed (5d+)</v>
      </c>
      <c r="AE4622">
        <v>3</v>
      </c>
      <c r="AF4622">
        <v>0</v>
      </c>
    </row>
    <row r="4623" spans="1:32" ht="15" x14ac:dyDescent="0.35">
      <c r="A4623" t="s">
        <v>6443</v>
      </c>
      <c r="B4623" s="1">
        <v>45991</v>
      </c>
      <c r="C4623">
        <f>YEAR(OrdersTable[[#This Row],[Order Date]])</f>
        <v>2025</v>
      </c>
      <c r="D4623" s="2">
        <f>DATE(YEAR(OrdersTable[[#This Row],[Order Date]]),MONTH(OrdersTable[[#This Row],[Order Date]]),1)</f>
        <v>45962</v>
      </c>
      <c r="E4623">
        <f>MONTH(OrdersTable[[#This Row],[Order Date]])</f>
        <v>11</v>
      </c>
      <c r="F4623" t="s">
        <v>6444</v>
      </c>
      <c r="G4623" t="str">
        <f>IF(OrdersTable[[#This Row],[Order Date]]=_xlfn.MINIFS(Order_Date, Customer_ID, OrdersTable[[#This Row],[Customer ID]]), "New", "Repeat")</f>
        <v>New</v>
      </c>
      <c r="H4623" t="s">
        <v>43</v>
      </c>
      <c r="I4623" t="str">
        <f>INDEX(State!B:B,MATCH(OrdersTable[[#This Row],[State]],State!A:A,0))</f>
        <v>MP</v>
      </c>
      <c r="J4623" t="str">
        <f>INDEX(State!C:C,MATCH(OrdersTable[[#This Row],[State Code]],State!B:B,0))</f>
        <v>West</v>
      </c>
      <c r="K4623" t="s">
        <v>250</v>
      </c>
      <c r="L4623" t="s">
        <v>23</v>
      </c>
      <c r="M4623" t="s">
        <v>152</v>
      </c>
      <c r="N4623" t="str">
        <f>INDEX(Products!B:B,MATCH(OrdersTable[[#This Row],[Product ID]],Products!A:A,0))</f>
        <v>Green Tea (100 bags)</v>
      </c>
      <c r="O4623" t="str">
        <f>INDEX(Products!C:C,MATCH(OrdersTable[[#This Row],[Product ID]],Products!A:A,0))</f>
        <v>Wellness</v>
      </c>
      <c r="P4623">
        <v>2</v>
      </c>
      <c r="Q4623" s="5">
        <v>399</v>
      </c>
      <c r="R4623" s="74">
        <v>0.45</v>
      </c>
      <c r="S4623" s="75">
        <f>OrdersTable[[#This Row],[Quantity]]*OrdersTable[[#This Row],[Unit Price]]</f>
        <v>798</v>
      </c>
      <c r="T4623" s="5">
        <f>OrdersTable[[#This Row],[Gross Sale]]*OrdersTable[[#This Row],[Discount_Clean2]]</f>
        <v>359.1</v>
      </c>
      <c r="U4623" s="5">
        <f>OrdersTable[[#This Row],[Gross Sale]]-OrdersTable[[#This Row],[Discount Amount]]</f>
        <v>438.9</v>
      </c>
      <c r="V4623" s="77">
        <f>INDEX(Products!E:E,MATCH(OrdersTable[[#This Row],[Product ID]],Products!A:A,0))</f>
        <v>128</v>
      </c>
      <c r="W4623" s="77">
        <f>OrdersTable[[#This Row],[Quantity]]*OrdersTable[[#This Row],[Unit Cost]]</f>
        <v>256</v>
      </c>
      <c r="X4623" s="77">
        <f>'Dropdown Lists'!$I$2*(1+OrdersTable[[#This Row],[Returned]])</f>
        <v>60</v>
      </c>
      <c r="Y4623" s="76">
        <f>OrdersTable[[#This Row],[Net Revenue]]-OrdersTable[[#This Row],[COGS]]-OrdersTable[[#This Row],[Shipping Cost]]</f>
        <v>122.89999999999998</v>
      </c>
      <c r="Z4623" s="78">
        <f>IFERROR(OrdersTable[[#This Row],[Profit]]/OrdersTable[[#This Row],[Net Revenue]],0)</f>
        <v>0.28001822738664839</v>
      </c>
      <c r="AA4623" t="s">
        <v>18</v>
      </c>
      <c r="AB4623" s="79">
        <v>45996</v>
      </c>
      <c r="AC4623">
        <f>OrdersTable[[#This Row],[Delivery Date]]-OrdersTable[[#This Row],[Order Date]]</f>
        <v>5</v>
      </c>
      <c r="AD4623" t="str">
        <f>IF(OrdersTable[[#This Row],[Delivery Days]]&lt;=2, "Express (≤2d)", IF(OrdersTable[[#This Row],[Delivery Days]]&lt;=4, "Standard (3-4d)", "Delayed (5d+)"))</f>
        <v>Delayed (5d+)</v>
      </c>
      <c r="AF4623">
        <v>0</v>
      </c>
    </row>
    <row r="4624" spans="1:32" ht="15" x14ac:dyDescent="0.35">
      <c r="A4624" t="s">
        <v>2060</v>
      </c>
      <c r="B4624" s="1">
        <v>45991</v>
      </c>
      <c r="C4624">
        <f>YEAR(OrdersTable[[#This Row],[Order Date]])</f>
        <v>2025</v>
      </c>
      <c r="D4624" s="2">
        <f>DATE(YEAR(OrdersTable[[#This Row],[Order Date]]),MONTH(OrdersTable[[#This Row],[Order Date]]),1)</f>
        <v>45962</v>
      </c>
      <c r="E4624">
        <f>MONTH(OrdersTable[[#This Row],[Order Date]])</f>
        <v>11</v>
      </c>
      <c r="F4624" t="s">
        <v>1273</v>
      </c>
      <c r="G4624" t="str">
        <f>IF(OrdersTable[[#This Row],[Order Date]]=_xlfn.MINIFS(Order_Date, Customer_ID, OrdersTable[[#This Row],[Customer ID]]), "New", "Repeat")</f>
        <v>Repeat</v>
      </c>
      <c r="H4624" t="s">
        <v>43</v>
      </c>
      <c r="I4624" t="str">
        <f>INDEX(State!B:B,MATCH(OrdersTable[[#This Row],[State]],State!A:A,0))</f>
        <v>MP</v>
      </c>
      <c r="J4624" t="str">
        <f>INDEX(State!C:C,MATCH(OrdersTable[[#This Row],[State Code]],State!B:B,0))</f>
        <v>West</v>
      </c>
      <c r="K4624" t="s">
        <v>250</v>
      </c>
      <c r="L4624" t="s">
        <v>39</v>
      </c>
      <c r="M4624" t="s">
        <v>66</v>
      </c>
      <c r="N4624" t="str">
        <f>INDEX(Products!B:B,MATCH(OrdersTable[[#This Row],[Product ID]],Products!A:A,0))</f>
        <v>Sunscreen SPF 50</v>
      </c>
      <c r="O4624" t="str">
        <f>INDEX(Products!C:C,MATCH(OrdersTable[[#This Row],[Product ID]],Products!A:A,0))</f>
        <v>Skincare</v>
      </c>
      <c r="P4624">
        <v>1</v>
      </c>
      <c r="Q4624" s="5">
        <v>449</v>
      </c>
      <c r="R4624" s="74">
        <v>0.1</v>
      </c>
      <c r="S4624" s="75">
        <f>OrdersTable[[#This Row],[Quantity]]*OrdersTable[[#This Row],[Unit Price]]</f>
        <v>449</v>
      </c>
      <c r="T4624" s="5">
        <f>OrdersTable[[#This Row],[Gross Sale]]*OrdersTable[[#This Row],[Discount_Clean2]]</f>
        <v>44.900000000000006</v>
      </c>
      <c r="U4624" s="5">
        <f>OrdersTable[[#This Row],[Gross Sale]]-OrdersTable[[#This Row],[Discount Amount]]</f>
        <v>404.1</v>
      </c>
      <c r="V4624" s="77">
        <f>INDEX(Products!E:E,MATCH(OrdersTable[[#This Row],[Product ID]],Products!A:A,0))</f>
        <v>144</v>
      </c>
      <c r="W4624" s="77">
        <f>OrdersTable[[#This Row],[Quantity]]*OrdersTable[[#This Row],[Unit Cost]]</f>
        <v>144</v>
      </c>
      <c r="X4624" s="77">
        <f>'Dropdown Lists'!$I$2*(1+OrdersTable[[#This Row],[Returned]])</f>
        <v>60</v>
      </c>
      <c r="Y4624" s="76">
        <f>OrdersTable[[#This Row],[Net Revenue]]-OrdersTable[[#This Row],[COGS]]-OrdersTable[[#This Row],[Shipping Cost]]</f>
        <v>200.10000000000002</v>
      </c>
      <c r="Z4624" s="78">
        <f>IFERROR(OrdersTable[[#This Row],[Profit]]/OrdersTable[[#This Row],[Net Revenue]],0)</f>
        <v>0.4951744617668894</v>
      </c>
      <c r="AA4624" t="s">
        <v>18</v>
      </c>
      <c r="AB4624" s="79">
        <v>45996</v>
      </c>
      <c r="AC4624">
        <f>OrdersTable[[#This Row],[Delivery Date]]-OrdersTable[[#This Row],[Order Date]]</f>
        <v>5</v>
      </c>
      <c r="AD4624" t="str">
        <f>IF(OrdersTable[[#This Row],[Delivery Days]]&lt;=2, "Express (≤2d)", IF(OrdersTable[[#This Row],[Delivery Days]]&lt;=4, "Standard (3-4d)", "Delayed (5d+)"))</f>
        <v>Delayed (5d+)</v>
      </c>
      <c r="AE4624">
        <v>3</v>
      </c>
      <c r="AF4624">
        <v>0</v>
      </c>
    </row>
    <row r="4625" spans="1:32" ht="15" x14ac:dyDescent="0.35">
      <c r="A4625" t="s">
        <v>2483</v>
      </c>
      <c r="B4625" s="1">
        <v>45991</v>
      </c>
      <c r="C4625">
        <f>YEAR(OrdersTable[[#This Row],[Order Date]])</f>
        <v>2025</v>
      </c>
      <c r="D4625" s="2">
        <f>DATE(YEAR(OrdersTable[[#This Row],[Order Date]]),MONTH(OrdersTable[[#This Row],[Order Date]]),1)</f>
        <v>45962</v>
      </c>
      <c r="E4625">
        <f>MONTH(OrdersTable[[#This Row],[Order Date]])</f>
        <v>11</v>
      </c>
      <c r="F4625" t="s">
        <v>2484</v>
      </c>
      <c r="G4625" t="str">
        <f>IF(OrdersTable[[#This Row],[Order Date]]=_xlfn.MINIFS(Order_Date, Customer_ID, OrdersTable[[#This Row],[Customer ID]]), "New", "Repeat")</f>
        <v>Repeat</v>
      </c>
      <c r="H4625" t="s">
        <v>43</v>
      </c>
      <c r="I4625" t="str">
        <f>INDEX(State!B:B,MATCH(OrdersTable[[#This Row],[State]],State!A:A,0))</f>
        <v>MP</v>
      </c>
      <c r="J4625" t="str">
        <f>INDEX(State!C:C,MATCH(OrdersTable[[#This Row],[State Code]],State!B:B,0))</f>
        <v>West</v>
      </c>
      <c r="K4625" t="s">
        <v>250</v>
      </c>
      <c r="L4625" t="s">
        <v>65</v>
      </c>
      <c r="M4625" t="s">
        <v>73</v>
      </c>
      <c r="N4625" t="str">
        <f>INDEX(Products!B:B,MATCH(OrdersTable[[#This Row],[Product ID]],Products!A:A,0))</f>
        <v>Hydrating Face Wash</v>
      </c>
      <c r="O4625" t="str">
        <f>INDEX(Products!C:C,MATCH(OrdersTable[[#This Row],[Product ID]],Products!A:A,0))</f>
        <v>Skincare</v>
      </c>
      <c r="P4625">
        <v>1</v>
      </c>
      <c r="Q4625" s="5">
        <v>299</v>
      </c>
      <c r="R4625" s="74">
        <v>0.15</v>
      </c>
      <c r="S4625" s="75">
        <f>OrdersTable[[#This Row],[Quantity]]*OrdersTable[[#This Row],[Unit Price]]</f>
        <v>299</v>
      </c>
      <c r="T4625" s="5">
        <f>OrdersTable[[#This Row],[Gross Sale]]*OrdersTable[[#This Row],[Discount_Clean2]]</f>
        <v>44.85</v>
      </c>
      <c r="U4625" s="5">
        <f>OrdersTable[[#This Row],[Gross Sale]]-OrdersTable[[#This Row],[Discount Amount]]</f>
        <v>254.15</v>
      </c>
      <c r="V4625" s="77">
        <f>INDEX(Products!E:E,MATCH(OrdersTable[[#This Row],[Product ID]],Products!A:A,0))</f>
        <v>90</v>
      </c>
      <c r="W4625" s="77">
        <f>OrdersTable[[#This Row],[Quantity]]*OrdersTable[[#This Row],[Unit Cost]]</f>
        <v>90</v>
      </c>
      <c r="X4625" s="77">
        <f>'Dropdown Lists'!$I$2*(1+OrdersTable[[#This Row],[Returned]])</f>
        <v>60</v>
      </c>
      <c r="Y4625" s="76">
        <f>OrdersTable[[#This Row],[Net Revenue]]-OrdersTable[[#This Row],[COGS]]-OrdersTable[[#This Row],[Shipping Cost]]</f>
        <v>104.15</v>
      </c>
      <c r="Z4625" s="78">
        <f>IFERROR(OrdersTable[[#This Row],[Profit]]/OrdersTable[[#This Row],[Net Revenue]],0)</f>
        <v>0.40979736376155818</v>
      </c>
      <c r="AA4625" t="s">
        <v>18</v>
      </c>
      <c r="AB4625" s="79">
        <v>45995</v>
      </c>
      <c r="AC4625">
        <f>OrdersTable[[#This Row],[Delivery Date]]-OrdersTable[[#This Row],[Order Date]]</f>
        <v>4</v>
      </c>
      <c r="AD4625" t="str">
        <f>IF(OrdersTable[[#This Row],[Delivery Days]]&lt;=2, "Express (≤2d)", IF(OrdersTable[[#This Row],[Delivery Days]]&lt;=4, "Standard (3-4d)", "Delayed (5d+)"))</f>
        <v>Standard (3-4d)</v>
      </c>
      <c r="AE4625">
        <v>5</v>
      </c>
      <c r="AF4625">
        <v>0</v>
      </c>
    </row>
    <row r="4626" spans="1:32" ht="15" x14ac:dyDescent="0.35">
      <c r="A4626" t="s">
        <v>3132</v>
      </c>
      <c r="B4626" s="1">
        <v>45991</v>
      </c>
      <c r="C4626">
        <f>YEAR(OrdersTable[[#This Row],[Order Date]])</f>
        <v>2025</v>
      </c>
      <c r="D4626" s="2">
        <f>DATE(YEAR(OrdersTable[[#This Row],[Order Date]]),MONTH(OrdersTable[[#This Row],[Order Date]]),1)</f>
        <v>45962</v>
      </c>
      <c r="E4626">
        <f>MONTH(OrdersTable[[#This Row],[Order Date]])</f>
        <v>11</v>
      </c>
      <c r="F4626" t="s">
        <v>348</v>
      </c>
      <c r="G4626" t="str">
        <f>IF(OrdersTable[[#This Row],[Order Date]]=_xlfn.MINIFS(Order_Date, Customer_ID, OrdersTable[[#This Row],[Customer ID]]), "New", "Repeat")</f>
        <v>Repeat</v>
      </c>
      <c r="H4626" t="s">
        <v>27</v>
      </c>
      <c r="I4626" t="str">
        <f>INDEX(State!B:B,MATCH(OrdersTable[[#This Row],[State]],State!A:A,0))</f>
        <v>WB</v>
      </c>
      <c r="J4626" t="str">
        <f>INDEX(State!C:C,MATCH(OrdersTable[[#This Row],[State Code]],State!B:B,0))</f>
        <v>East</v>
      </c>
      <c r="K4626" t="s">
        <v>28</v>
      </c>
      <c r="L4626" t="s">
        <v>39</v>
      </c>
      <c r="M4626" t="s">
        <v>29</v>
      </c>
      <c r="N4626" t="str">
        <f>INDEX(Products!B:B,MATCH(OrdersTable[[#This Row],[Product ID]],Products!A:A,0))</f>
        <v>Joggers</v>
      </c>
      <c r="O4626" t="str">
        <f>INDEX(Products!C:C,MATCH(OrdersTable[[#This Row],[Product ID]],Products!A:A,0))</f>
        <v>Apparel</v>
      </c>
      <c r="P4626">
        <v>1</v>
      </c>
      <c r="Q4626" s="5">
        <v>1199</v>
      </c>
      <c r="R4626" s="74">
        <v>0.2</v>
      </c>
      <c r="S4626" s="75">
        <f>OrdersTable[[#This Row],[Quantity]]*OrdersTable[[#This Row],[Unit Price]]</f>
        <v>1199</v>
      </c>
      <c r="T4626" s="5">
        <f>OrdersTable[[#This Row],[Gross Sale]]*OrdersTable[[#This Row],[Discount_Clean2]]</f>
        <v>239.8</v>
      </c>
      <c r="U4626" s="5">
        <f>OrdersTable[[#This Row],[Gross Sale]]-OrdersTable[[#This Row],[Discount Amount]]</f>
        <v>959.2</v>
      </c>
      <c r="V4626" s="77">
        <f>INDEX(Products!E:E,MATCH(OrdersTable[[#This Row],[Product ID]],Products!A:A,0))</f>
        <v>492</v>
      </c>
      <c r="W4626" s="77">
        <f>OrdersTable[[#This Row],[Quantity]]*OrdersTable[[#This Row],[Unit Cost]]</f>
        <v>492</v>
      </c>
      <c r="X4626" s="77">
        <f>'Dropdown Lists'!$I$2*(1+OrdersTable[[#This Row],[Returned]])</f>
        <v>60</v>
      </c>
      <c r="Y4626" s="76">
        <f>OrdersTable[[#This Row],[Net Revenue]]-OrdersTable[[#This Row],[COGS]]-OrdersTable[[#This Row],[Shipping Cost]]</f>
        <v>407.20000000000005</v>
      </c>
      <c r="Z4626" s="78">
        <f>IFERROR(OrdersTable[[#This Row],[Profit]]/OrdersTable[[#This Row],[Net Revenue]],0)</f>
        <v>0.42452043369474562</v>
      </c>
      <c r="AA4626" t="s">
        <v>2522</v>
      </c>
      <c r="AB4626" s="79">
        <v>45997</v>
      </c>
      <c r="AC4626">
        <f>OrdersTable[[#This Row],[Delivery Date]]-OrdersTable[[#This Row],[Order Date]]</f>
        <v>6</v>
      </c>
      <c r="AD4626" t="str">
        <f>IF(OrdersTable[[#This Row],[Delivery Days]]&lt;=2, "Express (≤2d)", IF(OrdersTable[[#This Row],[Delivery Days]]&lt;=4, "Standard (3-4d)", "Delayed (5d+)"))</f>
        <v>Delayed (5d+)</v>
      </c>
      <c r="AF4626">
        <v>0</v>
      </c>
    </row>
    <row r="4627" spans="1:32" ht="15" x14ac:dyDescent="0.35">
      <c r="A4627" t="s">
        <v>5282</v>
      </c>
      <c r="B4627" s="1">
        <v>45991</v>
      </c>
      <c r="C4627">
        <f>YEAR(OrdersTable[[#This Row],[Order Date]])</f>
        <v>2025</v>
      </c>
      <c r="D4627" s="2">
        <f>DATE(YEAR(OrdersTable[[#This Row],[Order Date]]),MONTH(OrdersTable[[#This Row],[Order Date]]),1)</f>
        <v>45962</v>
      </c>
      <c r="E4627">
        <f>MONTH(OrdersTable[[#This Row],[Order Date]])</f>
        <v>11</v>
      </c>
      <c r="F4627" t="s">
        <v>5283</v>
      </c>
      <c r="G4627" t="str">
        <f>IF(OrdersTable[[#This Row],[Order Date]]=_xlfn.MINIFS(Order_Date, Customer_ID, OrdersTable[[#This Row],[Customer ID]]), "New", "Repeat")</f>
        <v>New</v>
      </c>
      <c r="H4627" t="s">
        <v>71</v>
      </c>
      <c r="I4627" t="str">
        <f>INDEX(State!B:B,MATCH(OrdersTable[[#This Row],[State]],State!A:A,0))</f>
        <v>MH</v>
      </c>
      <c r="J4627" t="str">
        <f>INDEX(State!C:C,MATCH(OrdersTable[[#This Row],[State Code]],State!B:B,0))</f>
        <v>West</v>
      </c>
      <c r="K4627" t="s">
        <v>72</v>
      </c>
      <c r="L4627" t="s">
        <v>23</v>
      </c>
      <c r="M4627" t="s">
        <v>152</v>
      </c>
      <c r="N4627" t="str">
        <f>INDEX(Products!B:B,MATCH(OrdersTable[[#This Row],[Product ID]],Products!A:A,0))</f>
        <v>Green Tea (100 bags)</v>
      </c>
      <c r="O4627" t="str">
        <f>INDEX(Products!C:C,MATCH(OrdersTable[[#This Row],[Product ID]],Products!A:A,0))</f>
        <v>Wellness</v>
      </c>
      <c r="P4627">
        <v>2</v>
      </c>
      <c r="Q4627" s="5">
        <v>399</v>
      </c>
      <c r="R4627" s="74">
        <v>0.45</v>
      </c>
      <c r="S4627" s="75">
        <f>OrdersTable[[#This Row],[Quantity]]*OrdersTable[[#This Row],[Unit Price]]</f>
        <v>798</v>
      </c>
      <c r="T4627" s="5">
        <f>OrdersTable[[#This Row],[Gross Sale]]*OrdersTable[[#This Row],[Discount_Clean2]]</f>
        <v>359.1</v>
      </c>
      <c r="U4627" s="5">
        <f>OrdersTable[[#This Row],[Gross Sale]]-OrdersTable[[#This Row],[Discount Amount]]</f>
        <v>438.9</v>
      </c>
      <c r="V4627" s="77">
        <f>INDEX(Products!E:E,MATCH(OrdersTable[[#This Row],[Product ID]],Products!A:A,0))</f>
        <v>128</v>
      </c>
      <c r="W4627" s="77">
        <f>OrdersTable[[#This Row],[Quantity]]*OrdersTable[[#This Row],[Unit Cost]]</f>
        <v>256</v>
      </c>
      <c r="X4627" s="77">
        <f>'Dropdown Lists'!$I$2*(1+OrdersTable[[#This Row],[Returned]])</f>
        <v>60</v>
      </c>
      <c r="Y4627" s="76">
        <f>OrdersTable[[#This Row],[Net Revenue]]-OrdersTable[[#This Row],[COGS]]-OrdersTable[[#This Row],[Shipping Cost]]</f>
        <v>122.89999999999998</v>
      </c>
      <c r="Z4627" s="78">
        <f>IFERROR(OrdersTable[[#This Row],[Profit]]/OrdersTable[[#This Row],[Net Revenue]],0)</f>
        <v>0.28001822738664839</v>
      </c>
      <c r="AA4627" t="s">
        <v>3495</v>
      </c>
      <c r="AB4627" s="79">
        <v>45995</v>
      </c>
      <c r="AC4627">
        <f>OrdersTable[[#This Row],[Delivery Date]]-OrdersTable[[#This Row],[Order Date]]</f>
        <v>4</v>
      </c>
      <c r="AD4627" t="str">
        <f>IF(OrdersTable[[#This Row],[Delivery Days]]&lt;=2, "Express (≤2d)", IF(OrdersTable[[#This Row],[Delivery Days]]&lt;=4, "Standard (3-4d)", "Delayed (5d+)"))</f>
        <v>Standard (3-4d)</v>
      </c>
      <c r="AE4627">
        <v>4</v>
      </c>
      <c r="AF4627">
        <v>0</v>
      </c>
    </row>
    <row r="4628" spans="1:32" ht="15" x14ac:dyDescent="0.35">
      <c r="A4628" t="s">
        <v>3133</v>
      </c>
      <c r="B4628" s="1">
        <v>45991</v>
      </c>
      <c r="C4628">
        <f>YEAR(OrdersTable[[#This Row],[Order Date]])</f>
        <v>2025</v>
      </c>
      <c r="D4628" s="2">
        <f>DATE(YEAR(OrdersTable[[#This Row],[Order Date]]),MONTH(OrdersTable[[#This Row],[Order Date]]),1)</f>
        <v>45962</v>
      </c>
      <c r="E4628">
        <f>MONTH(OrdersTable[[#This Row],[Order Date]])</f>
        <v>11</v>
      </c>
      <c r="F4628" t="s">
        <v>3134</v>
      </c>
      <c r="G4628" t="str">
        <f>IF(OrdersTable[[#This Row],[Order Date]]=_xlfn.MINIFS(Order_Date, Customer_ID, OrdersTable[[#This Row],[Customer ID]]), "New", "Repeat")</f>
        <v>Repeat</v>
      </c>
      <c r="H4628" t="s">
        <v>71</v>
      </c>
      <c r="I4628" t="str">
        <f>INDEX(State!B:B,MATCH(OrdersTable[[#This Row],[State]],State!A:A,0))</f>
        <v>MH</v>
      </c>
      <c r="J4628" t="str">
        <f>INDEX(State!C:C,MATCH(OrdersTable[[#This Row],[State Code]],State!B:B,0))</f>
        <v>West</v>
      </c>
      <c r="K4628" t="s">
        <v>72</v>
      </c>
      <c r="L4628" t="s">
        <v>39</v>
      </c>
      <c r="M4628" t="s">
        <v>565</v>
      </c>
      <c r="N4628" t="str">
        <f>INDEX(Products!B:B,MATCH(OrdersTable[[#This Row],[Product ID]],Products!A:A,0))</f>
        <v>Ceramic Dinner Set</v>
      </c>
      <c r="O4628" t="str">
        <f>INDEX(Products!C:C,MATCH(OrdersTable[[#This Row],[Product ID]],Products!A:A,0))</f>
        <v>Home &amp; Kitchen</v>
      </c>
      <c r="P4628">
        <v>1</v>
      </c>
      <c r="Q4628" s="5">
        <v>2499</v>
      </c>
      <c r="R4628" s="74">
        <v>0.3</v>
      </c>
      <c r="S4628" s="75">
        <f>OrdersTable[[#This Row],[Quantity]]*OrdersTable[[#This Row],[Unit Price]]</f>
        <v>2499</v>
      </c>
      <c r="T4628" s="5">
        <f>OrdersTable[[#This Row],[Gross Sale]]*OrdersTable[[#This Row],[Discount_Clean2]]</f>
        <v>749.69999999999993</v>
      </c>
      <c r="U4628" s="5">
        <f>OrdersTable[[#This Row],[Gross Sale]]-OrdersTable[[#This Row],[Discount Amount]]</f>
        <v>1749.3000000000002</v>
      </c>
      <c r="V4628" s="77">
        <f>INDEX(Products!E:E,MATCH(OrdersTable[[#This Row],[Product ID]],Products!A:A,0))</f>
        <v>1250</v>
      </c>
      <c r="W4628" s="77">
        <f>OrdersTable[[#This Row],[Quantity]]*OrdersTable[[#This Row],[Unit Cost]]</f>
        <v>1250</v>
      </c>
      <c r="X4628" s="77">
        <f>'Dropdown Lists'!$I$2*(1+OrdersTable[[#This Row],[Returned]])</f>
        <v>60</v>
      </c>
      <c r="Y4628" s="76">
        <f>OrdersTable[[#This Row],[Net Revenue]]-OrdersTable[[#This Row],[COGS]]-OrdersTable[[#This Row],[Shipping Cost]]</f>
        <v>439.30000000000018</v>
      </c>
      <c r="Z4628" s="78">
        <f>IFERROR(OrdersTable[[#This Row],[Profit]]/OrdersTable[[#This Row],[Net Revenue]],0)</f>
        <v>0.25112902303778661</v>
      </c>
      <c r="AA4628" t="s">
        <v>2522</v>
      </c>
      <c r="AB4628" s="79">
        <v>45995</v>
      </c>
      <c r="AC4628">
        <f>OrdersTable[[#This Row],[Delivery Date]]-OrdersTable[[#This Row],[Order Date]]</f>
        <v>4</v>
      </c>
      <c r="AD4628" t="str">
        <f>IF(OrdersTable[[#This Row],[Delivery Days]]&lt;=2, "Express (≤2d)", IF(OrdersTable[[#This Row],[Delivery Days]]&lt;=4, "Standard (3-4d)", "Delayed (5d+)"))</f>
        <v>Standard (3-4d)</v>
      </c>
      <c r="AF4628">
        <v>0</v>
      </c>
    </row>
    <row r="4629" spans="1:32" ht="15" x14ac:dyDescent="0.35">
      <c r="A4629" t="s">
        <v>4635</v>
      </c>
      <c r="B4629" s="1">
        <v>45991</v>
      </c>
      <c r="C4629">
        <f>YEAR(OrdersTable[[#This Row],[Order Date]])</f>
        <v>2025</v>
      </c>
      <c r="D4629" s="2">
        <f>DATE(YEAR(OrdersTable[[#This Row],[Order Date]]),MONTH(OrdersTable[[#This Row],[Order Date]]),1)</f>
        <v>45962</v>
      </c>
      <c r="E4629">
        <f>MONTH(OrdersTable[[#This Row],[Order Date]])</f>
        <v>11</v>
      </c>
      <c r="F4629" t="s">
        <v>703</v>
      </c>
      <c r="G4629" t="str">
        <f>IF(OrdersTable[[#This Row],[Order Date]]=_xlfn.MINIFS(Order_Date, Customer_ID, OrdersTable[[#This Row],[Customer ID]]), "New", "Repeat")</f>
        <v>Repeat</v>
      </c>
      <c r="H4629" t="s">
        <v>95</v>
      </c>
      <c r="I4629" t="str">
        <f>INDEX(State!B:B,MATCH(OrdersTable[[#This Row],[State]],State!A:A,0))</f>
        <v>TG</v>
      </c>
      <c r="J4629" t="str">
        <f>INDEX(State!C:C,MATCH(OrdersTable[[#This Row],[State Code]],State!B:B,0))</f>
        <v>South</v>
      </c>
      <c r="K4629" t="s">
        <v>96</v>
      </c>
      <c r="L4629" t="s">
        <v>50</v>
      </c>
      <c r="M4629" t="s">
        <v>45</v>
      </c>
      <c r="N4629" t="str">
        <f>INDEX(Products!B:B,MATCH(OrdersTable[[#This Row],[Product ID]],Products!A:A,0))</f>
        <v>Argan Shampoo</v>
      </c>
      <c r="O4629" t="str">
        <f>INDEX(Products!C:C,MATCH(OrdersTable[[#This Row],[Product ID]],Products!A:A,0))</f>
        <v>Haircare</v>
      </c>
      <c r="P4629">
        <v>1</v>
      </c>
      <c r="Q4629" s="5">
        <v>449</v>
      </c>
      <c r="R4629" s="74">
        <v>0.05</v>
      </c>
      <c r="S4629" s="75">
        <f>OrdersTable[[#This Row],[Quantity]]*OrdersTable[[#This Row],[Unit Price]]</f>
        <v>449</v>
      </c>
      <c r="T4629" s="5">
        <f>OrdersTable[[#This Row],[Gross Sale]]*OrdersTable[[#This Row],[Discount_Clean2]]</f>
        <v>22.450000000000003</v>
      </c>
      <c r="U4629" s="5">
        <f>OrdersTable[[#This Row],[Gross Sale]]-OrdersTable[[#This Row],[Discount Amount]]</f>
        <v>426.55</v>
      </c>
      <c r="V4629" s="77">
        <f>INDEX(Products!E:E,MATCH(OrdersTable[[#This Row],[Product ID]],Products!A:A,0))</f>
        <v>148</v>
      </c>
      <c r="W4629" s="77">
        <f>OrdersTable[[#This Row],[Quantity]]*OrdersTable[[#This Row],[Unit Cost]]</f>
        <v>148</v>
      </c>
      <c r="X4629" s="77">
        <f>'Dropdown Lists'!$I$2*(1+OrdersTable[[#This Row],[Returned]])</f>
        <v>60</v>
      </c>
      <c r="Y4629" s="76">
        <f>OrdersTable[[#This Row],[Net Revenue]]-OrdersTable[[#This Row],[COGS]]-OrdersTable[[#This Row],[Shipping Cost]]</f>
        <v>218.55</v>
      </c>
      <c r="Z4629" s="78">
        <f>IFERROR(OrdersTable[[#This Row],[Profit]]/OrdersTable[[#This Row],[Net Revenue]],0)</f>
        <v>0.51236666275934828</v>
      </c>
      <c r="AA4629" t="s">
        <v>4450</v>
      </c>
      <c r="AB4629" s="79">
        <v>45994</v>
      </c>
      <c r="AC4629">
        <f>OrdersTable[[#This Row],[Delivery Date]]-OrdersTable[[#This Row],[Order Date]]</f>
        <v>3</v>
      </c>
      <c r="AD4629" t="str">
        <f>IF(OrdersTable[[#This Row],[Delivery Days]]&lt;=2, "Express (≤2d)", IF(OrdersTable[[#This Row],[Delivery Days]]&lt;=4, "Standard (3-4d)", "Delayed (5d+)"))</f>
        <v>Standard (3-4d)</v>
      </c>
      <c r="AF4629">
        <v>0</v>
      </c>
    </row>
    <row r="4630" spans="1:32" ht="15" x14ac:dyDescent="0.35">
      <c r="A4630" t="s">
        <v>1812</v>
      </c>
      <c r="B4630" s="1">
        <v>45991</v>
      </c>
      <c r="C4630">
        <f>YEAR(OrdersTable[[#This Row],[Order Date]])</f>
        <v>2025</v>
      </c>
      <c r="D4630" s="2">
        <f>DATE(YEAR(OrdersTable[[#This Row],[Order Date]]),MONTH(OrdersTable[[#This Row],[Order Date]]),1)</f>
        <v>45962</v>
      </c>
      <c r="E4630">
        <f>MONTH(OrdersTable[[#This Row],[Order Date]])</f>
        <v>11</v>
      </c>
      <c r="F4630" t="s">
        <v>1813</v>
      </c>
      <c r="G4630" t="str">
        <f>IF(OrdersTable[[#This Row],[Order Date]]=_xlfn.MINIFS(Order_Date, Customer_ID, OrdersTable[[#This Row],[Customer ID]]), "New", "Repeat")</f>
        <v>Repeat</v>
      </c>
      <c r="H4630" t="s">
        <v>95</v>
      </c>
      <c r="I4630" t="str">
        <f>INDEX(State!B:B,MATCH(OrdersTable[[#This Row],[State]],State!A:A,0))</f>
        <v>TG</v>
      </c>
      <c r="J4630" t="str">
        <f>INDEX(State!C:C,MATCH(OrdersTable[[#This Row],[State Code]],State!B:B,0))</f>
        <v>South</v>
      </c>
      <c r="K4630" t="s">
        <v>96</v>
      </c>
      <c r="L4630" t="s">
        <v>65</v>
      </c>
      <c r="M4630" t="s">
        <v>73</v>
      </c>
      <c r="N4630" t="str">
        <f>INDEX(Products!B:B,MATCH(OrdersTable[[#This Row],[Product ID]],Products!A:A,0))</f>
        <v>Hydrating Face Wash</v>
      </c>
      <c r="O4630" t="str">
        <f>INDEX(Products!C:C,MATCH(OrdersTable[[#This Row],[Product ID]],Products!A:A,0))</f>
        <v>Skincare</v>
      </c>
      <c r="P4630">
        <v>1</v>
      </c>
      <c r="Q4630" s="5">
        <v>299</v>
      </c>
      <c r="R4630" s="74">
        <v>0.15</v>
      </c>
      <c r="S4630" s="75">
        <f>OrdersTable[[#This Row],[Quantity]]*OrdersTable[[#This Row],[Unit Price]]</f>
        <v>299</v>
      </c>
      <c r="T4630" s="5">
        <f>OrdersTable[[#This Row],[Gross Sale]]*OrdersTable[[#This Row],[Discount_Clean2]]</f>
        <v>44.85</v>
      </c>
      <c r="U4630" s="5">
        <f>OrdersTable[[#This Row],[Gross Sale]]-OrdersTable[[#This Row],[Discount Amount]]</f>
        <v>254.15</v>
      </c>
      <c r="V4630" s="77">
        <f>INDEX(Products!E:E,MATCH(OrdersTable[[#This Row],[Product ID]],Products!A:A,0))</f>
        <v>90</v>
      </c>
      <c r="W4630" s="77">
        <f>OrdersTable[[#This Row],[Quantity]]*OrdersTable[[#This Row],[Unit Cost]]</f>
        <v>90</v>
      </c>
      <c r="X4630" s="77">
        <f>'Dropdown Lists'!$I$2*(1+OrdersTable[[#This Row],[Returned]])</f>
        <v>120</v>
      </c>
      <c r="Y4630" s="76">
        <f>OrdersTable[[#This Row],[Net Revenue]]-OrdersTable[[#This Row],[COGS]]-OrdersTable[[#This Row],[Shipping Cost]]</f>
        <v>44.150000000000006</v>
      </c>
      <c r="Z4630" s="78">
        <f>IFERROR(OrdersTable[[#This Row],[Profit]]/OrdersTable[[#This Row],[Net Revenue]],0)</f>
        <v>0.1737163092661814</v>
      </c>
      <c r="AA4630" t="s">
        <v>18</v>
      </c>
      <c r="AB4630" s="79">
        <v>45995</v>
      </c>
      <c r="AC4630">
        <f>OrdersTable[[#This Row],[Delivery Date]]-OrdersTable[[#This Row],[Order Date]]</f>
        <v>4</v>
      </c>
      <c r="AD4630" t="str">
        <f>IF(OrdersTable[[#This Row],[Delivery Days]]&lt;=2, "Express (≤2d)", IF(OrdersTable[[#This Row],[Delivery Days]]&lt;=4, "Standard (3-4d)", "Delayed (5d+)"))</f>
        <v>Standard (3-4d)</v>
      </c>
      <c r="AF4630">
        <v>1</v>
      </c>
    </row>
    <row r="4631" spans="1:32" ht="15" x14ac:dyDescent="0.35">
      <c r="A4631" t="s">
        <v>3830</v>
      </c>
      <c r="B4631" s="1">
        <v>45991</v>
      </c>
      <c r="C4631">
        <f>YEAR(OrdersTable[[#This Row],[Order Date]])</f>
        <v>2025</v>
      </c>
      <c r="D4631" s="2">
        <f>DATE(YEAR(OrdersTable[[#This Row],[Order Date]]),MONTH(OrdersTable[[#This Row],[Order Date]]),1)</f>
        <v>45962</v>
      </c>
      <c r="E4631">
        <f>MONTH(OrdersTable[[#This Row],[Order Date]])</f>
        <v>11</v>
      </c>
      <c r="F4631" t="s">
        <v>3804</v>
      </c>
      <c r="G4631" t="str">
        <f>IF(OrdersTable[[#This Row],[Order Date]]=_xlfn.MINIFS(Order_Date, Customer_ID, OrdersTable[[#This Row],[Customer ID]]), "New", "Repeat")</f>
        <v>Repeat</v>
      </c>
      <c r="H4631" t="s">
        <v>316</v>
      </c>
      <c r="I4631" t="str">
        <f>INDEX(State!B:B,MATCH(OrdersTable[[#This Row],[State]],State!A:A,0))</f>
        <v>KL</v>
      </c>
      <c r="J4631" t="str">
        <f>INDEX(State!C:C,MATCH(OrdersTable[[#This Row],[State Code]],State!B:B,0))</f>
        <v>South</v>
      </c>
      <c r="K4631" t="s">
        <v>338</v>
      </c>
      <c r="L4631" t="s">
        <v>23</v>
      </c>
      <c r="M4631" t="s">
        <v>148</v>
      </c>
      <c r="N4631" t="str">
        <f>INDEX(Products!B:B,MATCH(OrdersTable[[#This Row],[Product ID]],Products!A:A,0))</f>
        <v>Smartwatch Strap</v>
      </c>
      <c r="O4631" t="str">
        <f>INDEX(Products!C:C,MATCH(OrdersTable[[#This Row],[Product ID]],Products!A:A,0))</f>
        <v>Electronics</v>
      </c>
      <c r="P4631">
        <v>1</v>
      </c>
      <c r="Q4631" s="5">
        <v>499</v>
      </c>
      <c r="R4631" s="74">
        <v>0.2</v>
      </c>
      <c r="S4631" s="75">
        <f>OrdersTable[[#This Row],[Quantity]]*OrdersTable[[#This Row],[Unit Price]]</f>
        <v>499</v>
      </c>
      <c r="T4631" s="5">
        <f>OrdersTable[[#This Row],[Gross Sale]]*OrdersTable[[#This Row],[Discount_Clean2]]</f>
        <v>99.800000000000011</v>
      </c>
      <c r="U4631" s="5">
        <f>OrdersTable[[#This Row],[Gross Sale]]-OrdersTable[[#This Row],[Discount Amount]]</f>
        <v>399.2</v>
      </c>
      <c r="V4631" s="77">
        <f>INDEX(Products!E:E,MATCH(OrdersTable[[#This Row],[Product ID]],Products!A:A,0))</f>
        <v>200</v>
      </c>
      <c r="W4631" s="77">
        <f>OrdersTable[[#This Row],[Quantity]]*OrdersTable[[#This Row],[Unit Cost]]</f>
        <v>200</v>
      </c>
      <c r="X4631" s="77">
        <f>'Dropdown Lists'!$I$2*(1+OrdersTable[[#This Row],[Returned]])</f>
        <v>60</v>
      </c>
      <c r="Y4631" s="76">
        <f>OrdersTable[[#This Row],[Net Revenue]]-OrdersTable[[#This Row],[COGS]]-OrdersTable[[#This Row],[Shipping Cost]]</f>
        <v>139.19999999999999</v>
      </c>
      <c r="Z4631" s="78">
        <f>IFERROR(OrdersTable[[#This Row],[Profit]]/OrdersTable[[#This Row],[Net Revenue]],0)</f>
        <v>0.34869739478957912</v>
      </c>
      <c r="AA4631" t="s">
        <v>3495</v>
      </c>
      <c r="AB4631" s="79">
        <v>45996</v>
      </c>
      <c r="AC4631">
        <f>OrdersTable[[#This Row],[Delivery Date]]-OrdersTable[[#This Row],[Order Date]]</f>
        <v>5</v>
      </c>
      <c r="AD4631" t="str">
        <f>IF(OrdersTable[[#This Row],[Delivery Days]]&lt;=2, "Express (≤2d)", IF(OrdersTable[[#This Row],[Delivery Days]]&lt;=4, "Standard (3-4d)", "Delayed (5d+)"))</f>
        <v>Delayed (5d+)</v>
      </c>
      <c r="AF4631">
        <v>0</v>
      </c>
    </row>
    <row r="4632" spans="1:32" ht="15" x14ac:dyDescent="0.35">
      <c r="A4632" t="s">
        <v>3135</v>
      </c>
      <c r="B4632" s="1">
        <v>45991</v>
      </c>
      <c r="C4632">
        <f>YEAR(OrdersTable[[#This Row],[Order Date]])</f>
        <v>2025</v>
      </c>
      <c r="D4632" s="2">
        <f>DATE(YEAR(OrdersTable[[#This Row],[Order Date]]),MONTH(OrdersTable[[#This Row],[Order Date]]),1)</f>
        <v>45962</v>
      </c>
      <c r="E4632">
        <f>MONTH(OrdersTable[[#This Row],[Order Date]])</f>
        <v>11</v>
      </c>
      <c r="F4632" t="s">
        <v>238</v>
      </c>
      <c r="G4632" t="str">
        <f>IF(OrdersTable[[#This Row],[Order Date]]=_xlfn.MINIFS(Order_Date, Customer_ID, OrdersTable[[#This Row],[Customer ID]]), "New", "Repeat")</f>
        <v>Repeat</v>
      </c>
      <c r="H4632" t="s">
        <v>59</v>
      </c>
      <c r="I4632" t="str">
        <f>INDEX(State!B:B,MATCH(OrdersTable[[#This Row],[State]],State!A:A,0))</f>
        <v>TN</v>
      </c>
      <c r="J4632" t="str">
        <f>INDEX(State!C:C,MATCH(OrdersTable[[#This Row],[State Code]],State!B:B,0))</f>
        <v>South</v>
      </c>
      <c r="K4632" t="s">
        <v>64</v>
      </c>
      <c r="L4632" t="s">
        <v>65</v>
      </c>
      <c r="M4632" t="s">
        <v>255</v>
      </c>
      <c r="N4632" t="str">
        <f>INDEX(Products!B:B,MATCH(OrdersTable[[#This Row],[Product ID]],Products!A:A,0))</f>
        <v>Cotton Oversized T-Shirt</v>
      </c>
      <c r="O4632" t="str">
        <f>INDEX(Products!C:C,MATCH(OrdersTable[[#This Row],[Product ID]],Products!A:A,0))</f>
        <v>Apparel</v>
      </c>
      <c r="P4632">
        <v>1</v>
      </c>
      <c r="Q4632" s="5">
        <v>799</v>
      </c>
      <c r="R4632" s="74">
        <v>0.05</v>
      </c>
      <c r="S4632" s="75">
        <f>OrdersTable[[#This Row],[Quantity]]*OrdersTable[[#This Row],[Unit Price]]</f>
        <v>799</v>
      </c>
      <c r="T4632" s="5">
        <f>OrdersTable[[#This Row],[Gross Sale]]*OrdersTable[[#This Row],[Discount_Clean2]]</f>
        <v>39.950000000000003</v>
      </c>
      <c r="U4632" s="5">
        <f>OrdersTable[[#This Row],[Gross Sale]]-OrdersTable[[#This Row],[Discount Amount]]</f>
        <v>759.05</v>
      </c>
      <c r="V4632" s="77">
        <f>INDEX(Products!E:E,MATCH(OrdersTable[[#This Row],[Product ID]],Products!A:A,0))</f>
        <v>320</v>
      </c>
      <c r="W4632" s="77">
        <f>OrdersTable[[#This Row],[Quantity]]*OrdersTable[[#This Row],[Unit Cost]]</f>
        <v>320</v>
      </c>
      <c r="X4632" s="77">
        <f>'Dropdown Lists'!$I$2*(1+OrdersTable[[#This Row],[Returned]])</f>
        <v>60</v>
      </c>
      <c r="Y4632" s="76">
        <f>OrdersTable[[#This Row],[Net Revenue]]-OrdersTable[[#This Row],[COGS]]-OrdersTable[[#This Row],[Shipping Cost]]</f>
        <v>379.04999999999995</v>
      </c>
      <c r="Z4632" s="78">
        <f>IFERROR(OrdersTable[[#This Row],[Profit]]/OrdersTable[[#This Row],[Net Revenue]],0)</f>
        <v>0.49937421777221525</v>
      </c>
      <c r="AA4632" t="s">
        <v>2522</v>
      </c>
      <c r="AB4632" s="79">
        <v>45992</v>
      </c>
      <c r="AC4632">
        <f>OrdersTable[[#This Row],[Delivery Date]]-OrdersTable[[#This Row],[Order Date]]</f>
        <v>1</v>
      </c>
      <c r="AD4632" t="str">
        <f>IF(OrdersTable[[#This Row],[Delivery Days]]&lt;=2, "Express (≤2d)", IF(OrdersTable[[#This Row],[Delivery Days]]&lt;=4, "Standard (3-4d)", "Delayed (5d+)"))</f>
        <v>Express (≤2d)</v>
      </c>
      <c r="AF4632">
        <v>0</v>
      </c>
    </row>
    <row r="4633" spans="1:32" ht="15" x14ac:dyDescent="0.35">
      <c r="A4633" t="s">
        <v>1318</v>
      </c>
      <c r="B4633" s="1">
        <v>45991</v>
      </c>
      <c r="C4633">
        <f>YEAR(OrdersTable[[#This Row],[Order Date]])</f>
        <v>2025</v>
      </c>
      <c r="D4633" s="2">
        <f>DATE(YEAR(OrdersTable[[#This Row],[Order Date]]),MONTH(OrdersTable[[#This Row],[Order Date]]),1)</f>
        <v>45962</v>
      </c>
      <c r="E4633">
        <f>MONTH(OrdersTable[[#This Row],[Order Date]])</f>
        <v>11</v>
      </c>
      <c r="F4633" t="s">
        <v>1025</v>
      </c>
      <c r="G4633" t="str">
        <f>IF(OrdersTable[[#This Row],[Order Date]]=_xlfn.MINIFS(Order_Date, Customer_ID, OrdersTable[[#This Row],[Customer ID]]), "New", "Repeat")</f>
        <v>Repeat</v>
      </c>
      <c r="H4633" t="s">
        <v>59</v>
      </c>
      <c r="I4633" t="str">
        <f>INDEX(State!B:B,MATCH(OrdersTable[[#This Row],[State]],State!A:A,0))</f>
        <v>TN</v>
      </c>
      <c r="J4633" t="str">
        <f>INDEX(State!C:C,MATCH(OrdersTable[[#This Row],[State Code]],State!B:B,0))</f>
        <v>South</v>
      </c>
      <c r="K4633" t="s">
        <v>64</v>
      </c>
      <c r="L4633" t="s">
        <v>16</v>
      </c>
      <c r="M4633" t="s">
        <v>29</v>
      </c>
      <c r="N4633" t="str">
        <f>INDEX(Products!B:B,MATCH(OrdersTable[[#This Row],[Product ID]],Products!A:A,0))</f>
        <v>Joggers</v>
      </c>
      <c r="O4633" t="str">
        <f>INDEX(Products!C:C,MATCH(OrdersTable[[#This Row],[Product ID]],Products!A:A,0))</f>
        <v>Apparel</v>
      </c>
      <c r="P4633">
        <v>1</v>
      </c>
      <c r="Q4633" s="5">
        <v>1199</v>
      </c>
      <c r="R4633" s="74">
        <v>0.25</v>
      </c>
      <c r="S4633" s="75">
        <f>OrdersTable[[#This Row],[Quantity]]*OrdersTable[[#This Row],[Unit Price]]</f>
        <v>1199</v>
      </c>
      <c r="T4633" s="5">
        <f>OrdersTable[[#This Row],[Gross Sale]]*OrdersTable[[#This Row],[Discount_Clean2]]</f>
        <v>299.75</v>
      </c>
      <c r="U4633" s="5">
        <f>OrdersTable[[#This Row],[Gross Sale]]-OrdersTable[[#This Row],[Discount Amount]]</f>
        <v>899.25</v>
      </c>
      <c r="V4633" s="77">
        <f>INDEX(Products!E:E,MATCH(OrdersTable[[#This Row],[Product ID]],Products!A:A,0))</f>
        <v>492</v>
      </c>
      <c r="W4633" s="77">
        <f>OrdersTable[[#This Row],[Quantity]]*OrdersTable[[#This Row],[Unit Cost]]</f>
        <v>492</v>
      </c>
      <c r="X4633" s="77">
        <f>'Dropdown Lists'!$I$2*(1+OrdersTable[[#This Row],[Returned]])</f>
        <v>60</v>
      </c>
      <c r="Y4633" s="76">
        <f>OrdersTable[[#This Row],[Net Revenue]]-OrdersTable[[#This Row],[COGS]]-OrdersTable[[#This Row],[Shipping Cost]]</f>
        <v>347.25</v>
      </c>
      <c r="Z4633" s="78">
        <f>IFERROR(OrdersTable[[#This Row],[Profit]]/OrdersTable[[#This Row],[Net Revenue]],0)</f>
        <v>0.38615512927439533</v>
      </c>
      <c r="AA4633" t="s">
        <v>18</v>
      </c>
      <c r="AB4633" s="79">
        <v>45992</v>
      </c>
      <c r="AC4633">
        <f>OrdersTable[[#This Row],[Delivery Date]]-OrdersTable[[#This Row],[Order Date]]</f>
        <v>1</v>
      </c>
      <c r="AD4633" t="str">
        <f>IF(OrdersTable[[#This Row],[Delivery Days]]&lt;=2, "Express (≤2d)", IF(OrdersTable[[#This Row],[Delivery Days]]&lt;=4, "Standard (3-4d)", "Delayed (5d+)"))</f>
        <v>Express (≤2d)</v>
      </c>
      <c r="AF4633">
        <v>0</v>
      </c>
    </row>
    <row r="4634" spans="1:32" ht="15" x14ac:dyDescent="0.35">
      <c r="A4634" t="s">
        <v>1124</v>
      </c>
      <c r="B4634" s="1">
        <v>45992</v>
      </c>
      <c r="C4634">
        <f>YEAR(OrdersTable[[#This Row],[Order Date]])</f>
        <v>2025</v>
      </c>
      <c r="D4634" s="2">
        <f>DATE(YEAR(OrdersTable[[#This Row],[Order Date]]),MONTH(OrdersTable[[#This Row],[Order Date]]),1)</f>
        <v>45992</v>
      </c>
      <c r="E4634">
        <f>MONTH(OrdersTable[[#This Row],[Order Date]])</f>
        <v>12</v>
      </c>
      <c r="F4634" t="s">
        <v>1125</v>
      </c>
      <c r="G4634" t="str">
        <f>IF(OrdersTable[[#This Row],[Order Date]]=_xlfn.MINIFS(Order_Date, Customer_ID, OrdersTable[[#This Row],[Customer ID]]), "New", "Repeat")</f>
        <v>New</v>
      </c>
      <c r="H4634" t="s">
        <v>210</v>
      </c>
      <c r="I4634" t="str">
        <f>INDEX(State!B:B,MATCH(OrdersTable[[#This Row],[State]],State!A:A,0))</f>
        <v>JK</v>
      </c>
      <c r="J4634" t="str">
        <f>INDEX(State!C:C,MATCH(OrdersTable[[#This Row],[State Code]],State!B:B,0))</f>
        <v>North</v>
      </c>
      <c r="K4634" t="s">
        <v>211</v>
      </c>
      <c r="L4634" t="s">
        <v>16</v>
      </c>
      <c r="M4634" t="s">
        <v>87</v>
      </c>
      <c r="N4634" t="str">
        <f>INDEX(Products!B:B,MATCH(OrdersTable[[#This Row],[Product ID]],Products!A:A,0))</f>
        <v>Linen Kurta</v>
      </c>
      <c r="O4634" t="str">
        <f>INDEX(Products!C:C,MATCH(OrdersTable[[#This Row],[Product ID]],Products!A:A,0))</f>
        <v>Apparel</v>
      </c>
      <c r="P4634">
        <v>1</v>
      </c>
      <c r="Q4634" s="5">
        <v>1499</v>
      </c>
      <c r="R4634" s="74">
        <v>0.25</v>
      </c>
      <c r="S4634" s="75">
        <f>OrdersTable[[#This Row],[Quantity]]*OrdersTable[[#This Row],[Unit Price]]</f>
        <v>1499</v>
      </c>
      <c r="T4634" s="5">
        <f>OrdersTable[[#This Row],[Gross Sale]]*OrdersTable[[#This Row],[Discount_Clean2]]</f>
        <v>374.75</v>
      </c>
      <c r="U4634" s="5">
        <f>OrdersTable[[#This Row],[Gross Sale]]-OrdersTable[[#This Row],[Discount Amount]]</f>
        <v>1124.25</v>
      </c>
      <c r="V4634" s="77">
        <f>INDEX(Products!E:E,MATCH(OrdersTable[[#This Row],[Product ID]],Products!A:A,0))</f>
        <v>630</v>
      </c>
      <c r="W4634" s="77">
        <f>OrdersTable[[#This Row],[Quantity]]*OrdersTable[[#This Row],[Unit Cost]]</f>
        <v>630</v>
      </c>
      <c r="X4634" s="77">
        <f>'Dropdown Lists'!$I$2*(1+OrdersTable[[#This Row],[Returned]])</f>
        <v>120</v>
      </c>
      <c r="Y4634" s="76">
        <f>OrdersTable[[#This Row],[Net Revenue]]-OrdersTable[[#This Row],[COGS]]-OrdersTable[[#This Row],[Shipping Cost]]</f>
        <v>374.25</v>
      </c>
      <c r="Z4634" s="78">
        <f>IFERROR(OrdersTable[[#This Row],[Profit]]/OrdersTable[[#This Row],[Net Revenue]],0)</f>
        <v>0.33288859239492996</v>
      </c>
      <c r="AA4634" t="s">
        <v>18</v>
      </c>
      <c r="AB4634" s="79">
        <v>45997</v>
      </c>
      <c r="AC4634">
        <f>OrdersTable[[#This Row],[Delivery Date]]-OrdersTable[[#This Row],[Order Date]]</f>
        <v>5</v>
      </c>
      <c r="AD4634" t="str">
        <f>IF(OrdersTable[[#This Row],[Delivery Days]]&lt;=2, "Express (≤2d)", IF(OrdersTable[[#This Row],[Delivery Days]]&lt;=4, "Standard (3-4d)", "Delayed (5d+)"))</f>
        <v>Delayed (5d+)</v>
      </c>
      <c r="AE4634">
        <v>4</v>
      </c>
      <c r="AF4634">
        <v>1</v>
      </c>
    </row>
    <row r="4635" spans="1:32" ht="15" x14ac:dyDescent="0.35">
      <c r="A4635" t="s">
        <v>4891</v>
      </c>
      <c r="B4635" s="1">
        <v>45992</v>
      </c>
      <c r="C4635">
        <f>YEAR(OrdersTable[[#This Row],[Order Date]])</f>
        <v>2025</v>
      </c>
      <c r="D4635" s="2">
        <f>DATE(YEAR(OrdersTable[[#This Row],[Order Date]]),MONTH(OrdersTable[[#This Row],[Order Date]]),1)</f>
        <v>45992</v>
      </c>
      <c r="E4635">
        <f>MONTH(OrdersTable[[#This Row],[Order Date]])</f>
        <v>12</v>
      </c>
      <c r="F4635" t="s">
        <v>2811</v>
      </c>
      <c r="G4635" t="str">
        <f>IF(OrdersTable[[#This Row],[Order Date]]=_xlfn.MINIFS(Order_Date, Customer_ID, OrdersTable[[#This Row],[Customer ID]]), "New", "Repeat")</f>
        <v>Repeat</v>
      </c>
      <c r="H4635" t="s">
        <v>48</v>
      </c>
      <c r="I4635" t="str">
        <f>INDEX(State!B:B,MATCH(OrdersTable[[#This Row],[State]],State!A:A,0))</f>
        <v>HR</v>
      </c>
      <c r="J4635" t="str">
        <f>INDEX(State!C:C,MATCH(OrdersTable[[#This Row],[State Code]],State!B:B,0))</f>
        <v>North</v>
      </c>
      <c r="K4635" t="s">
        <v>151</v>
      </c>
      <c r="L4635" t="s">
        <v>65</v>
      </c>
      <c r="M4635" t="s">
        <v>160</v>
      </c>
      <c r="N4635" t="str">
        <f>INDEX(Products!B:B,MATCH(OrdersTable[[#This Row],[Product ID]],Products!A:A,0))</f>
        <v>Niacinamide Toner</v>
      </c>
      <c r="O4635" t="str">
        <f>INDEX(Products!C:C,MATCH(OrdersTable[[#This Row],[Product ID]],Products!A:A,0))</f>
        <v>Skincare</v>
      </c>
      <c r="P4635">
        <v>2</v>
      </c>
      <c r="Q4635" s="5">
        <v>399</v>
      </c>
      <c r="R4635" s="74">
        <v>0.3</v>
      </c>
      <c r="S4635" s="75">
        <f>OrdersTable[[#This Row],[Quantity]]*OrdersTable[[#This Row],[Unit Price]]</f>
        <v>798</v>
      </c>
      <c r="T4635" s="5">
        <f>OrdersTable[[#This Row],[Gross Sale]]*OrdersTable[[#This Row],[Discount_Clean2]]</f>
        <v>239.39999999999998</v>
      </c>
      <c r="U4635" s="5">
        <f>OrdersTable[[#This Row],[Gross Sale]]-OrdersTable[[#This Row],[Discount Amount]]</f>
        <v>558.6</v>
      </c>
      <c r="V4635" s="77">
        <f>INDEX(Products!E:E,MATCH(OrdersTable[[#This Row],[Product ID]],Products!A:A,0))</f>
        <v>112</v>
      </c>
      <c r="W4635" s="77">
        <f>OrdersTable[[#This Row],[Quantity]]*OrdersTable[[#This Row],[Unit Cost]]</f>
        <v>224</v>
      </c>
      <c r="X4635" s="77">
        <f>'Dropdown Lists'!$I$2*(1+OrdersTable[[#This Row],[Returned]])</f>
        <v>60</v>
      </c>
      <c r="Y4635" s="76">
        <f>OrdersTable[[#This Row],[Net Revenue]]-OrdersTable[[#This Row],[COGS]]-OrdersTable[[#This Row],[Shipping Cost]]</f>
        <v>274.60000000000002</v>
      </c>
      <c r="Z4635" s="78">
        <f>IFERROR(OrdersTable[[#This Row],[Profit]]/OrdersTable[[#This Row],[Net Revenue]],0)</f>
        <v>0.49158610812746151</v>
      </c>
      <c r="AA4635" t="s">
        <v>4450</v>
      </c>
      <c r="AB4635" s="79">
        <v>45993</v>
      </c>
      <c r="AC4635">
        <f>OrdersTable[[#This Row],[Delivery Date]]-OrdersTable[[#This Row],[Order Date]]</f>
        <v>1</v>
      </c>
      <c r="AD4635" t="str">
        <f>IF(OrdersTable[[#This Row],[Delivery Days]]&lt;=2, "Express (≤2d)", IF(OrdersTable[[#This Row],[Delivery Days]]&lt;=4, "Standard (3-4d)", "Delayed (5d+)"))</f>
        <v>Express (≤2d)</v>
      </c>
      <c r="AF4635">
        <v>0</v>
      </c>
    </row>
    <row r="4636" spans="1:32" ht="15" x14ac:dyDescent="0.35">
      <c r="A4636" t="s">
        <v>3370</v>
      </c>
      <c r="B4636" s="1">
        <v>45992</v>
      </c>
      <c r="C4636">
        <f>YEAR(OrdersTable[[#This Row],[Order Date]])</f>
        <v>2025</v>
      </c>
      <c r="D4636" s="2">
        <f>DATE(YEAR(OrdersTable[[#This Row],[Order Date]]),MONTH(OrdersTable[[#This Row],[Order Date]]),1)</f>
        <v>45992</v>
      </c>
      <c r="E4636">
        <f>MONTH(OrdersTable[[#This Row],[Order Date]])</f>
        <v>12</v>
      </c>
      <c r="F4636" t="s">
        <v>3371</v>
      </c>
      <c r="G4636" t="str">
        <f>IF(OrdersTable[[#This Row],[Order Date]]=_xlfn.MINIFS(Order_Date, Customer_ID, OrdersTable[[#This Row],[Customer ID]]), "New", "Repeat")</f>
        <v>Repeat</v>
      </c>
      <c r="H4636" t="s">
        <v>32</v>
      </c>
      <c r="I4636" t="str">
        <f>INDEX(State!B:B,MATCH(OrdersTable[[#This Row],[State]],State!A:A,0))</f>
        <v>BR</v>
      </c>
      <c r="J4636" t="str">
        <f>INDEX(State!C:C,MATCH(OrdersTable[[#This Row],[State Code]],State!B:B,0))</f>
        <v>East</v>
      </c>
      <c r="K4636" t="s">
        <v>33</v>
      </c>
      <c r="L4636" t="s">
        <v>50</v>
      </c>
      <c r="M4636" t="s">
        <v>61</v>
      </c>
      <c r="N4636" t="str">
        <f>INDEX(Products!B:B,MATCH(OrdersTable[[#This Row],[Product ID]],Products!A:A,0))</f>
        <v>Multivitamin Gummies</v>
      </c>
      <c r="O4636" t="str">
        <f>INDEX(Products!C:C,MATCH(OrdersTable[[#This Row],[Product ID]],Products!A:A,0))</f>
        <v>Wellness</v>
      </c>
      <c r="P4636">
        <v>1</v>
      </c>
      <c r="Q4636" s="5">
        <v>699</v>
      </c>
      <c r="R4636" s="74">
        <v>0.25</v>
      </c>
      <c r="S4636" s="75">
        <f>OrdersTable[[#This Row],[Quantity]]*OrdersTable[[#This Row],[Unit Price]]</f>
        <v>699</v>
      </c>
      <c r="T4636" s="5">
        <f>OrdersTable[[#This Row],[Gross Sale]]*OrdersTable[[#This Row],[Discount_Clean2]]</f>
        <v>174.75</v>
      </c>
      <c r="U4636" s="5">
        <f>OrdersTable[[#This Row],[Gross Sale]]-OrdersTable[[#This Row],[Discount Amount]]</f>
        <v>524.25</v>
      </c>
      <c r="V4636" s="77">
        <f>INDEX(Products!E:E,MATCH(OrdersTable[[#This Row],[Product ID]],Products!A:A,0))</f>
        <v>238</v>
      </c>
      <c r="W4636" s="77">
        <f>OrdersTable[[#This Row],[Quantity]]*OrdersTable[[#This Row],[Unit Cost]]</f>
        <v>238</v>
      </c>
      <c r="X4636" s="77">
        <f>'Dropdown Lists'!$I$2*(1+OrdersTable[[#This Row],[Returned]])</f>
        <v>60</v>
      </c>
      <c r="Y4636" s="76">
        <f>OrdersTable[[#This Row],[Net Revenue]]-OrdersTable[[#This Row],[COGS]]-OrdersTable[[#This Row],[Shipping Cost]]</f>
        <v>226.25</v>
      </c>
      <c r="Z4636" s="78">
        <f>IFERROR(OrdersTable[[#This Row],[Profit]]/OrdersTable[[#This Row],[Net Revenue]],0)</f>
        <v>0.43156890796375774</v>
      </c>
      <c r="AA4636" t="s">
        <v>2522</v>
      </c>
      <c r="AB4636" s="79">
        <v>45995</v>
      </c>
      <c r="AC4636">
        <f>OrdersTable[[#This Row],[Delivery Date]]-OrdersTable[[#This Row],[Order Date]]</f>
        <v>3</v>
      </c>
      <c r="AD4636" t="str">
        <f>IF(OrdersTable[[#This Row],[Delivery Days]]&lt;=2, "Express (≤2d)", IF(OrdersTable[[#This Row],[Delivery Days]]&lt;=4, "Standard (3-4d)", "Delayed (5d+)"))</f>
        <v>Standard (3-4d)</v>
      </c>
      <c r="AE4636">
        <v>4</v>
      </c>
      <c r="AF4636">
        <v>0</v>
      </c>
    </row>
    <row r="4637" spans="1:32" ht="15" x14ac:dyDescent="0.35">
      <c r="A4637" t="s">
        <v>4310</v>
      </c>
      <c r="B4637" s="1">
        <v>45992</v>
      </c>
      <c r="C4637">
        <f>YEAR(OrdersTable[[#This Row],[Order Date]])</f>
        <v>2025</v>
      </c>
      <c r="D4637" s="2">
        <f>DATE(YEAR(OrdersTable[[#This Row],[Order Date]]),MONTH(OrdersTable[[#This Row],[Order Date]]),1)</f>
        <v>45992</v>
      </c>
      <c r="E4637">
        <f>MONTH(OrdersTable[[#This Row],[Order Date]])</f>
        <v>12</v>
      </c>
      <c r="F4637" t="s">
        <v>1971</v>
      </c>
      <c r="G4637" t="str">
        <f>IF(OrdersTable[[#This Row],[Order Date]]=_xlfn.MINIFS(Order_Date, Customer_ID, OrdersTable[[#This Row],[Customer ID]]), "New", "Repeat")</f>
        <v>Repeat</v>
      </c>
      <c r="H4637" t="s">
        <v>37</v>
      </c>
      <c r="I4637" t="str">
        <f>INDEX(State!B:B,MATCH(OrdersTable[[#This Row],[State]],State!A:A,0))</f>
        <v>GJ</v>
      </c>
      <c r="J4637" t="str">
        <f>INDEX(State!C:C,MATCH(OrdersTable[[#This Row],[State Code]],State!B:B,0))</f>
        <v>West</v>
      </c>
      <c r="K4637" t="s">
        <v>247</v>
      </c>
      <c r="L4637" t="s">
        <v>65</v>
      </c>
      <c r="M4637" t="s">
        <v>148</v>
      </c>
      <c r="N4637" t="str">
        <f>INDEX(Products!B:B,MATCH(OrdersTable[[#This Row],[Product ID]],Products!A:A,0))</f>
        <v>Smartwatch Strap</v>
      </c>
      <c r="O4637" t="str">
        <f>INDEX(Products!C:C,MATCH(OrdersTable[[#This Row],[Product ID]],Products!A:A,0))</f>
        <v>Electronics</v>
      </c>
      <c r="P4637">
        <v>1</v>
      </c>
      <c r="Q4637" s="5">
        <v>499</v>
      </c>
      <c r="R4637" s="74">
        <v>0.1</v>
      </c>
      <c r="S4637" s="75">
        <f>OrdersTable[[#This Row],[Quantity]]*OrdersTable[[#This Row],[Unit Price]]</f>
        <v>499</v>
      </c>
      <c r="T4637" s="5">
        <f>OrdersTable[[#This Row],[Gross Sale]]*OrdersTable[[#This Row],[Discount_Clean2]]</f>
        <v>49.900000000000006</v>
      </c>
      <c r="U4637" s="5">
        <f>OrdersTable[[#This Row],[Gross Sale]]-OrdersTable[[#This Row],[Discount Amount]]</f>
        <v>449.1</v>
      </c>
      <c r="V4637" s="77">
        <f>INDEX(Products!E:E,MATCH(OrdersTable[[#This Row],[Product ID]],Products!A:A,0))</f>
        <v>200</v>
      </c>
      <c r="W4637" s="77">
        <f>OrdersTable[[#This Row],[Quantity]]*OrdersTable[[#This Row],[Unit Cost]]</f>
        <v>200</v>
      </c>
      <c r="X4637" s="77">
        <f>'Dropdown Lists'!$I$2*(1+OrdersTable[[#This Row],[Returned]])</f>
        <v>60</v>
      </c>
      <c r="Y4637" s="76">
        <f>OrdersTable[[#This Row],[Net Revenue]]-OrdersTable[[#This Row],[COGS]]-OrdersTable[[#This Row],[Shipping Cost]]</f>
        <v>189.10000000000002</v>
      </c>
      <c r="Z4637" s="78">
        <f>IFERROR(OrdersTable[[#This Row],[Profit]]/OrdersTable[[#This Row],[Net Revenue]],0)</f>
        <v>0.42106435092407041</v>
      </c>
      <c r="AA4637" t="s">
        <v>4074</v>
      </c>
      <c r="AB4637" s="79">
        <v>45996</v>
      </c>
      <c r="AC4637">
        <f>OrdersTable[[#This Row],[Delivery Date]]-OrdersTable[[#This Row],[Order Date]]</f>
        <v>4</v>
      </c>
      <c r="AD4637" t="str">
        <f>IF(OrdersTable[[#This Row],[Delivery Days]]&lt;=2, "Express (≤2d)", IF(OrdersTable[[#This Row],[Delivery Days]]&lt;=4, "Standard (3-4d)", "Delayed (5d+)"))</f>
        <v>Standard (3-4d)</v>
      </c>
      <c r="AF4637">
        <v>0</v>
      </c>
    </row>
    <row r="4638" spans="1:32" ht="15" x14ac:dyDescent="0.35">
      <c r="A4638" t="s">
        <v>1607</v>
      </c>
      <c r="B4638" s="1">
        <v>45992</v>
      </c>
      <c r="C4638">
        <f>YEAR(OrdersTable[[#This Row],[Order Date]])</f>
        <v>2025</v>
      </c>
      <c r="D4638" s="2">
        <f>DATE(YEAR(OrdersTable[[#This Row],[Order Date]]),MONTH(OrdersTable[[#This Row],[Order Date]]),1)</f>
        <v>45992</v>
      </c>
      <c r="E4638">
        <f>MONTH(OrdersTable[[#This Row],[Order Date]])</f>
        <v>12</v>
      </c>
      <c r="F4638" t="s">
        <v>1608</v>
      </c>
      <c r="G4638" t="str">
        <f>IF(OrdersTable[[#This Row],[Order Date]]=_xlfn.MINIFS(Order_Date, Customer_ID, OrdersTable[[#This Row],[Customer ID]]), "New", "Repeat")</f>
        <v>Repeat</v>
      </c>
      <c r="H4638" t="s">
        <v>482</v>
      </c>
      <c r="I4638" t="str">
        <f>INDEX(State!B:B,MATCH(OrdersTable[[#This Row],[State]],State!A:A,0))</f>
        <v>CG</v>
      </c>
      <c r="J4638" t="str">
        <f>INDEX(State!C:C,MATCH(OrdersTable[[#This Row],[State Code]],State!B:B,0))</f>
        <v>East</v>
      </c>
      <c r="K4638" t="s">
        <v>483</v>
      </c>
      <c r="L4638" t="s">
        <v>39</v>
      </c>
      <c r="M4638" t="s">
        <v>61</v>
      </c>
      <c r="N4638" t="str">
        <f>INDEX(Products!B:B,MATCH(OrdersTable[[#This Row],[Product ID]],Products!A:A,0))</f>
        <v>Multivitamin Gummies</v>
      </c>
      <c r="O4638" t="str">
        <f>INDEX(Products!C:C,MATCH(OrdersTable[[#This Row],[Product ID]],Products!A:A,0))</f>
        <v>Wellness</v>
      </c>
      <c r="P4638">
        <v>1</v>
      </c>
      <c r="Q4638" s="5">
        <v>699</v>
      </c>
      <c r="R4638" s="74">
        <v>0.15</v>
      </c>
      <c r="S4638" s="75">
        <f>OrdersTable[[#This Row],[Quantity]]*OrdersTable[[#This Row],[Unit Price]]</f>
        <v>699</v>
      </c>
      <c r="T4638" s="5">
        <f>OrdersTable[[#This Row],[Gross Sale]]*OrdersTable[[#This Row],[Discount_Clean2]]</f>
        <v>104.85</v>
      </c>
      <c r="U4638" s="5">
        <f>OrdersTable[[#This Row],[Gross Sale]]-OrdersTable[[#This Row],[Discount Amount]]</f>
        <v>594.15</v>
      </c>
      <c r="V4638" s="77">
        <f>INDEX(Products!E:E,MATCH(OrdersTable[[#This Row],[Product ID]],Products!A:A,0))</f>
        <v>238</v>
      </c>
      <c r="W4638" s="77">
        <f>OrdersTable[[#This Row],[Quantity]]*OrdersTable[[#This Row],[Unit Cost]]</f>
        <v>238</v>
      </c>
      <c r="X4638" s="77">
        <f>'Dropdown Lists'!$I$2*(1+OrdersTable[[#This Row],[Returned]])</f>
        <v>60</v>
      </c>
      <c r="Y4638" s="76">
        <f>OrdersTable[[#This Row],[Net Revenue]]-OrdersTable[[#This Row],[COGS]]-OrdersTable[[#This Row],[Shipping Cost]]</f>
        <v>296.14999999999998</v>
      </c>
      <c r="Z4638" s="78">
        <f>IFERROR(OrdersTable[[#This Row],[Profit]]/OrdersTable[[#This Row],[Net Revenue]],0)</f>
        <v>0.49844315408566858</v>
      </c>
      <c r="AA4638" t="s">
        <v>18</v>
      </c>
      <c r="AB4638" s="79">
        <v>45997</v>
      </c>
      <c r="AC4638">
        <f>OrdersTable[[#This Row],[Delivery Date]]-OrdersTable[[#This Row],[Order Date]]</f>
        <v>5</v>
      </c>
      <c r="AD4638" t="str">
        <f>IF(OrdersTable[[#This Row],[Delivery Days]]&lt;=2, "Express (≤2d)", IF(OrdersTable[[#This Row],[Delivery Days]]&lt;=4, "Standard (3-4d)", "Delayed (5d+)"))</f>
        <v>Delayed (5d+)</v>
      </c>
      <c r="AF4638">
        <v>0</v>
      </c>
    </row>
    <row r="4639" spans="1:32" ht="15" x14ac:dyDescent="0.35">
      <c r="A4639" t="s">
        <v>4202</v>
      </c>
      <c r="B4639" s="1">
        <v>45992</v>
      </c>
      <c r="C4639">
        <f>YEAR(OrdersTable[[#This Row],[Order Date]])</f>
        <v>2025</v>
      </c>
      <c r="D4639" s="2">
        <f>DATE(YEAR(OrdersTable[[#This Row],[Order Date]]),MONTH(OrdersTable[[#This Row],[Order Date]]),1)</f>
        <v>45992</v>
      </c>
      <c r="E4639">
        <f>MONTH(OrdersTable[[#This Row],[Order Date]])</f>
        <v>12</v>
      </c>
      <c r="F4639" t="s">
        <v>4141</v>
      </c>
      <c r="G4639" t="str">
        <f>IF(OrdersTable[[#This Row],[Order Date]]=_xlfn.MINIFS(Order_Date, Customer_ID, OrdersTable[[#This Row],[Customer ID]]), "New", "Repeat")</f>
        <v>Repeat</v>
      </c>
      <c r="H4639" t="s">
        <v>90</v>
      </c>
      <c r="I4639" t="str">
        <f>INDEX(State!B:B,MATCH(OrdersTable[[#This Row],[State]],State!A:A,0))</f>
        <v>GA</v>
      </c>
      <c r="J4639" t="str">
        <f>INDEX(State!C:C,MATCH(OrdersTable[[#This Row],[State Code]],State!B:B,0))</f>
        <v>West</v>
      </c>
      <c r="K4639" t="s">
        <v>91</v>
      </c>
      <c r="L4639" t="s">
        <v>50</v>
      </c>
      <c r="M4639" t="s">
        <v>66</v>
      </c>
      <c r="N4639" t="str">
        <f>INDEX(Products!B:B,MATCH(OrdersTable[[#This Row],[Product ID]],Products!A:A,0))</f>
        <v>Sunscreen SPF 50</v>
      </c>
      <c r="O4639" t="str">
        <f>INDEX(Products!C:C,MATCH(OrdersTable[[#This Row],[Product ID]],Products!A:A,0))</f>
        <v>Skincare</v>
      </c>
      <c r="P4639">
        <v>1</v>
      </c>
      <c r="Q4639" s="5">
        <v>449</v>
      </c>
      <c r="R4639" s="74">
        <v>0.1</v>
      </c>
      <c r="S4639" s="75">
        <f>OrdersTable[[#This Row],[Quantity]]*OrdersTable[[#This Row],[Unit Price]]</f>
        <v>449</v>
      </c>
      <c r="T4639" s="5">
        <f>OrdersTable[[#This Row],[Gross Sale]]*OrdersTable[[#This Row],[Discount_Clean2]]</f>
        <v>44.900000000000006</v>
      </c>
      <c r="U4639" s="5">
        <f>OrdersTable[[#This Row],[Gross Sale]]-OrdersTable[[#This Row],[Discount Amount]]</f>
        <v>404.1</v>
      </c>
      <c r="V4639" s="77">
        <f>INDEX(Products!E:E,MATCH(OrdersTable[[#This Row],[Product ID]],Products!A:A,0))</f>
        <v>144</v>
      </c>
      <c r="W4639" s="77">
        <f>OrdersTable[[#This Row],[Quantity]]*OrdersTable[[#This Row],[Unit Cost]]</f>
        <v>144</v>
      </c>
      <c r="X4639" s="77">
        <f>'Dropdown Lists'!$I$2*(1+OrdersTable[[#This Row],[Returned]])</f>
        <v>60</v>
      </c>
      <c r="Y4639" s="76">
        <f>OrdersTable[[#This Row],[Net Revenue]]-OrdersTable[[#This Row],[COGS]]-OrdersTable[[#This Row],[Shipping Cost]]</f>
        <v>200.10000000000002</v>
      </c>
      <c r="Z4639" s="78">
        <f>IFERROR(OrdersTable[[#This Row],[Profit]]/OrdersTable[[#This Row],[Net Revenue]],0)</f>
        <v>0.4951744617668894</v>
      </c>
      <c r="AA4639" t="s">
        <v>4074</v>
      </c>
      <c r="AB4639" s="79">
        <v>45994</v>
      </c>
      <c r="AC4639">
        <f>OrdersTable[[#This Row],[Delivery Date]]-OrdersTable[[#This Row],[Order Date]]</f>
        <v>2</v>
      </c>
      <c r="AD4639" t="str">
        <f>IF(OrdersTable[[#This Row],[Delivery Days]]&lt;=2, "Express (≤2d)", IF(OrdersTable[[#This Row],[Delivery Days]]&lt;=4, "Standard (3-4d)", "Delayed (5d+)"))</f>
        <v>Express (≤2d)</v>
      </c>
      <c r="AE4639">
        <v>5</v>
      </c>
      <c r="AF4639">
        <v>0</v>
      </c>
    </row>
    <row r="4640" spans="1:32" ht="15" x14ac:dyDescent="0.35">
      <c r="A4640" t="s">
        <v>1319</v>
      </c>
      <c r="B4640" s="1">
        <v>45992</v>
      </c>
      <c r="C4640">
        <f>YEAR(OrdersTable[[#This Row],[Order Date]])</f>
        <v>2025</v>
      </c>
      <c r="D4640" s="2">
        <f>DATE(YEAR(OrdersTable[[#This Row],[Order Date]]),MONTH(OrdersTable[[#This Row],[Order Date]]),1)</f>
        <v>45992</v>
      </c>
      <c r="E4640">
        <f>MONTH(OrdersTable[[#This Row],[Order Date]])</f>
        <v>12</v>
      </c>
      <c r="F4640" t="s">
        <v>1320</v>
      </c>
      <c r="G4640" t="str">
        <f>IF(OrdersTable[[#This Row],[Order Date]]=_xlfn.MINIFS(Order_Date, Customer_ID, OrdersTable[[#This Row],[Customer ID]]), "New", "Repeat")</f>
        <v>Repeat</v>
      </c>
      <c r="H4640" t="s">
        <v>167</v>
      </c>
      <c r="I4640" t="str">
        <f>INDEX(State!B:B,MATCH(OrdersTable[[#This Row],[State]],State!A:A,0))</f>
        <v>KA</v>
      </c>
      <c r="J4640" t="str">
        <f>INDEX(State!C:C,MATCH(OrdersTable[[#This Row],[State Code]],State!B:B,0))</f>
        <v>South</v>
      </c>
      <c r="K4640" t="s">
        <v>168</v>
      </c>
      <c r="L4640" t="s">
        <v>16</v>
      </c>
      <c r="M4640" t="s">
        <v>205</v>
      </c>
      <c r="N4640" t="str">
        <f>INDEX(Products!B:B,MATCH(OrdersTable[[#This Row],[Product ID]],Products!A:A,0))</f>
        <v>Running Shoes</v>
      </c>
      <c r="O4640" t="str">
        <f>INDEX(Products!C:C,MATCH(OrdersTable[[#This Row],[Product ID]],Products!A:A,0))</f>
        <v>Footwear</v>
      </c>
      <c r="P4640">
        <v>1</v>
      </c>
      <c r="Q4640" s="5">
        <v>2999</v>
      </c>
      <c r="R4640" s="74">
        <v>0.2</v>
      </c>
      <c r="S4640" s="75">
        <f>OrdersTable[[#This Row],[Quantity]]*OrdersTable[[#This Row],[Unit Price]]</f>
        <v>2999</v>
      </c>
      <c r="T4640" s="5">
        <f>OrdersTable[[#This Row],[Gross Sale]]*OrdersTable[[#This Row],[Discount_Clean2]]</f>
        <v>599.80000000000007</v>
      </c>
      <c r="U4640" s="5">
        <f>OrdersTable[[#This Row],[Gross Sale]]-OrdersTable[[#This Row],[Discount Amount]]</f>
        <v>2399.1999999999998</v>
      </c>
      <c r="V4640" s="77">
        <f>INDEX(Products!E:E,MATCH(OrdersTable[[#This Row],[Product ID]],Products!A:A,0))</f>
        <v>1440</v>
      </c>
      <c r="W4640" s="77">
        <f>OrdersTable[[#This Row],[Quantity]]*OrdersTable[[#This Row],[Unit Cost]]</f>
        <v>1440</v>
      </c>
      <c r="X4640" s="77">
        <f>'Dropdown Lists'!$I$2*(1+OrdersTable[[#This Row],[Returned]])</f>
        <v>120</v>
      </c>
      <c r="Y4640" s="76">
        <f>OrdersTable[[#This Row],[Net Revenue]]-OrdersTable[[#This Row],[COGS]]-OrdersTable[[#This Row],[Shipping Cost]]</f>
        <v>839.19999999999982</v>
      </c>
      <c r="Z4640" s="78">
        <f>IFERROR(OrdersTable[[#This Row],[Profit]]/OrdersTable[[#This Row],[Net Revenue]],0)</f>
        <v>0.34978326108702895</v>
      </c>
      <c r="AA4640" t="s">
        <v>18</v>
      </c>
      <c r="AB4640" s="79">
        <v>45994</v>
      </c>
      <c r="AC4640">
        <f>OrdersTable[[#This Row],[Delivery Date]]-OrdersTable[[#This Row],[Order Date]]</f>
        <v>2</v>
      </c>
      <c r="AD4640" t="str">
        <f>IF(OrdersTable[[#This Row],[Delivery Days]]&lt;=2, "Express (≤2d)", IF(OrdersTable[[#This Row],[Delivery Days]]&lt;=4, "Standard (3-4d)", "Delayed (5d+)"))</f>
        <v>Express (≤2d)</v>
      </c>
      <c r="AF4640">
        <v>1</v>
      </c>
    </row>
    <row r="4641" spans="1:32" ht="15" x14ac:dyDescent="0.35">
      <c r="A4641" t="s">
        <v>3695</v>
      </c>
      <c r="B4641" s="1">
        <v>45992</v>
      </c>
      <c r="C4641">
        <f>YEAR(OrdersTable[[#This Row],[Order Date]])</f>
        <v>2025</v>
      </c>
      <c r="D4641" s="2">
        <f>DATE(YEAR(OrdersTable[[#This Row],[Order Date]]),MONTH(OrdersTable[[#This Row],[Order Date]]),1)</f>
        <v>45992</v>
      </c>
      <c r="E4641">
        <f>MONTH(OrdersTable[[#This Row],[Order Date]])</f>
        <v>12</v>
      </c>
      <c r="F4641" t="s">
        <v>2209</v>
      </c>
      <c r="G4641" t="str">
        <f>IF(OrdersTable[[#This Row],[Order Date]]=_xlfn.MINIFS(Order_Date, Customer_ID, OrdersTable[[#This Row],[Customer ID]]), "New", "Repeat")</f>
        <v>Repeat</v>
      </c>
      <c r="H4641" t="s">
        <v>316</v>
      </c>
      <c r="I4641" t="str">
        <f>INDEX(State!B:B,MATCH(OrdersTable[[#This Row],[State]],State!A:A,0))</f>
        <v>KL</v>
      </c>
      <c r="J4641" t="str">
        <f>INDEX(State!C:C,MATCH(OrdersTable[[#This Row],[State Code]],State!B:B,0))</f>
        <v>South</v>
      </c>
      <c r="K4641" t="s">
        <v>317</v>
      </c>
      <c r="L4641" t="s">
        <v>16</v>
      </c>
      <c r="M4641" t="s">
        <v>34</v>
      </c>
      <c r="N4641" t="str">
        <f>INDEX(Products!B:B,MATCH(OrdersTable[[#This Row],[Product ID]],Products!A:A,0))</f>
        <v>Flip Flops</v>
      </c>
      <c r="O4641" t="str">
        <f>INDEX(Products!C:C,MATCH(OrdersTable[[#This Row],[Product ID]],Products!A:A,0))</f>
        <v>Footwear</v>
      </c>
      <c r="P4641">
        <v>1</v>
      </c>
      <c r="Q4641" s="5">
        <v>399</v>
      </c>
      <c r="R4641" s="74">
        <v>0.05</v>
      </c>
      <c r="S4641" s="75">
        <f>OrdersTable[[#This Row],[Quantity]]*OrdersTable[[#This Row],[Unit Price]]</f>
        <v>399</v>
      </c>
      <c r="T4641" s="5">
        <f>OrdersTable[[#This Row],[Gross Sale]]*OrdersTable[[#This Row],[Discount_Clean2]]</f>
        <v>19.950000000000003</v>
      </c>
      <c r="U4641" s="5">
        <f>OrdersTable[[#This Row],[Gross Sale]]-OrdersTable[[#This Row],[Discount Amount]]</f>
        <v>379.05</v>
      </c>
      <c r="V4641" s="77">
        <f>INDEX(Products!E:E,MATCH(OrdersTable[[#This Row],[Product ID]],Products!A:A,0))</f>
        <v>152</v>
      </c>
      <c r="W4641" s="77">
        <f>OrdersTable[[#This Row],[Quantity]]*OrdersTable[[#This Row],[Unit Cost]]</f>
        <v>152</v>
      </c>
      <c r="X4641" s="77">
        <f>'Dropdown Lists'!$I$2*(1+OrdersTable[[#This Row],[Returned]])</f>
        <v>60</v>
      </c>
      <c r="Y4641" s="76">
        <f>OrdersTable[[#This Row],[Net Revenue]]-OrdersTable[[#This Row],[COGS]]-OrdersTable[[#This Row],[Shipping Cost]]</f>
        <v>167.05</v>
      </c>
      <c r="Z4641" s="78">
        <f>IFERROR(OrdersTable[[#This Row],[Profit]]/OrdersTable[[#This Row],[Net Revenue]],0)</f>
        <v>0.44070703073473161</v>
      </c>
      <c r="AA4641" t="s">
        <v>3495</v>
      </c>
      <c r="AB4641" s="79">
        <v>45995</v>
      </c>
      <c r="AC4641">
        <f>OrdersTable[[#This Row],[Delivery Date]]-OrdersTable[[#This Row],[Order Date]]</f>
        <v>3</v>
      </c>
      <c r="AD4641" t="str">
        <f>IF(OrdersTable[[#This Row],[Delivery Days]]&lt;=2, "Express (≤2d)", IF(OrdersTable[[#This Row],[Delivery Days]]&lt;=4, "Standard (3-4d)", "Delayed (5d+)"))</f>
        <v>Standard (3-4d)</v>
      </c>
      <c r="AE4641">
        <v>4</v>
      </c>
      <c r="AF4641">
        <v>0</v>
      </c>
    </row>
    <row r="4642" spans="1:32" ht="15" x14ac:dyDescent="0.35">
      <c r="A4642" t="s">
        <v>3831</v>
      </c>
      <c r="B4642" s="1">
        <v>45993</v>
      </c>
      <c r="C4642">
        <f>YEAR(OrdersTable[[#This Row],[Order Date]])</f>
        <v>2025</v>
      </c>
      <c r="D4642" s="2">
        <f>DATE(YEAR(OrdersTable[[#This Row],[Order Date]]),MONTH(OrdersTable[[#This Row],[Order Date]]),1)</f>
        <v>45992</v>
      </c>
      <c r="E4642">
        <f>MONTH(OrdersTable[[#This Row],[Order Date]])</f>
        <v>12</v>
      </c>
      <c r="F4642" t="s">
        <v>2014</v>
      </c>
      <c r="G4642" t="str">
        <f>IF(OrdersTable[[#This Row],[Order Date]]=_xlfn.MINIFS(Order_Date, Customer_ID, OrdersTable[[#This Row],[Customer ID]]), "New", "Repeat")</f>
        <v>Repeat</v>
      </c>
      <c r="H4642" t="s">
        <v>184</v>
      </c>
      <c r="I4642" t="str">
        <f>INDEX(State!B:B,MATCH(OrdersTable[[#This Row],[State]],State!A:A,0))</f>
        <v>UK</v>
      </c>
      <c r="J4642" t="str">
        <f>INDEX(State!C:C,MATCH(OrdersTable[[#This Row],[State Code]],State!B:B,0))</f>
        <v>North</v>
      </c>
      <c r="K4642" t="s">
        <v>185</v>
      </c>
      <c r="L4642" t="s">
        <v>39</v>
      </c>
      <c r="M4642" t="s">
        <v>576</v>
      </c>
      <c r="N4642" t="str">
        <f>INDEX(Products!B:B,MATCH(OrdersTable[[#This Row],[Product ID]],Products!A:A,0))</f>
        <v>Printed Saree</v>
      </c>
      <c r="O4642" t="str">
        <f>INDEX(Products!C:C,MATCH(OrdersTable[[#This Row],[Product ID]],Products!A:A,0))</f>
        <v>Apparel</v>
      </c>
      <c r="P4642">
        <v>1</v>
      </c>
      <c r="Q4642" s="5">
        <v>1999</v>
      </c>
      <c r="R4642" s="74">
        <v>0</v>
      </c>
      <c r="S4642" s="75">
        <f>OrdersTable[[#This Row],[Quantity]]*OrdersTable[[#This Row],[Unit Price]]</f>
        <v>1999</v>
      </c>
      <c r="T4642" s="5">
        <f>OrdersTable[[#This Row],[Gross Sale]]*OrdersTable[[#This Row],[Discount_Clean2]]</f>
        <v>0</v>
      </c>
      <c r="U4642" s="5">
        <f>OrdersTable[[#This Row],[Gross Sale]]-OrdersTable[[#This Row],[Discount Amount]]</f>
        <v>1999</v>
      </c>
      <c r="V4642" s="77">
        <f>INDEX(Products!E:E,MATCH(OrdersTable[[#This Row],[Product ID]],Products!A:A,0))</f>
        <v>880</v>
      </c>
      <c r="W4642" s="77">
        <f>OrdersTable[[#This Row],[Quantity]]*OrdersTable[[#This Row],[Unit Cost]]</f>
        <v>880</v>
      </c>
      <c r="X4642" s="77">
        <f>'Dropdown Lists'!$I$2*(1+OrdersTable[[#This Row],[Returned]])</f>
        <v>60</v>
      </c>
      <c r="Y4642" s="76">
        <f>OrdersTable[[#This Row],[Net Revenue]]-OrdersTable[[#This Row],[COGS]]-OrdersTable[[#This Row],[Shipping Cost]]</f>
        <v>1059</v>
      </c>
      <c r="Z4642" s="78">
        <f>IFERROR(OrdersTable[[#This Row],[Profit]]/OrdersTable[[#This Row],[Net Revenue]],0)</f>
        <v>0.52976488244122066</v>
      </c>
      <c r="AA4642" t="s">
        <v>3495</v>
      </c>
      <c r="AB4642" s="79">
        <v>45998</v>
      </c>
      <c r="AC4642">
        <f>OrdersTable[[#This Row],[Delivery Date]]-OrdersTable[[#This Row],[Order Date]]</f>
        <v>5</v>
      </c>
      <c r="AD4642" t="str">
        <f>IF(OrdersTable[[#This Row],[Delivery Days]]&lt;=2, "Express (≤2d)", IF(OrdersTable[[#This Row],[Delivery Days]]&lt;=4, "Standard (3-4d)", "Delayed (5d+)"))</f>
        <v>Delayed (5d+)</v>
      </c>
      <c r="AF4642">
        <v>0</v>
      </c>
    </row>
    <row r="4643" spans="1:32" ht="15" x14ac:dyDescent="0.35">
      <c r="A4643" t="s">
        <v>709</v>
      </c>
      <c r="B4643" s="1">
        <v>45993</v>
      </c>
      <c r="C4643">
        <f>YEAR(OrdersTable[[#This Row],[Order Date]])</f>
        <v>2025</v>
      </c>
      <c r="D4643" s="2">
        <f>DATE(YEAR(OrdersTable[[#This Row],[Order Date]]),MONTH(OrdersTable[[#This Row],[Order Date]]),1)</f>
        <v>45992</v>
      </c>
      <c r="E4643">
        <f>MONTH(OrdersTable[[#This Row],[Order Date]])</f>
        <v>12</v>
      </c>
      <c r="F4643" t="s">
        <v>710</v>
      </c>
      <c r="G4643" t="str">
        <f>IF(OrdersTable[[#This Row],[Order Date]]=_xlfn.MINIFS(Order_Date, Customer_ID, OrdersTable[[#This Row],[Customer ID]]), "New", "Repeat")</f>
        <v>Repeat</v>
      </c>
      <c r="H4643" t="s">
        <v>48</v>
      </c>
      <c r="I4643" t="str">
        <f>INDEX(State!B:B,MATCH(OrdersTable[[#This Row],[State]],State!A:A,0))</f>
        <v>HR</v>
      </c>
      <c r="J4643" t="str">
        <f>INDEX(State!C:C,MATCH(OrdersTable[[#This Row],[State Code]],State!B:B,0))</f>
        <v>North</v>
      </c>
      <c r="K4643" t="s">
        <v>49</v>
      </c>
      <c r="L4643" t="s">
        <v>39</v>
      </c>
      <c r="M4643" t="s">
        <v>106</v>
      </c>
      <c r="N4643" t="str">
        <f>INDEX(Products!B:B,MATCH(OrdersTable[[#This Row],[Product ID]],Products!A:A,0))</f>
        <v>Keratin Hair Mask</v>
      </c>
      <c r="O4643" t="str">
        <f>INDEX(Products!C:C,MATCH(OrdersTable[[#This Row],[Product ID]],Products!A:A,0))</f>
        <v>Haircare</v>
      </c>
      <c r="P4643">
        <v>1</v>
      </c>
      <c r="Q4643" s="5">
        <v>549</v>
      </c>
      <c r="R4643" s="74">
        <v>0.05</v>
      </c>
      <c r="S4643" s="75">
        <f>OrdersTable[[#This Row],[Quantity]]*OrdersTable[[#This Row],[Unit Price]]</f>
        <v>549</v>
      </c>
      <c r="T4643" s="5">
        <f>OrdersTable[[#This Row],[Gross Sale]]*OrdersTable[[#This Row],[Discount_Clean2]]</f>
        <v>27.450000000000003</v>
      </c>
      <c r="U4643" s="5">
        <f>OrdersTable[[#This Row],[Gross Sale]]-OrdersTable[[#This Row],[Discount Amount]]</f>
        <v>521.54999999999995</v>
      </c>
      <c r="V4643" s="77">
        <f>INDEX(Products!E:E,MATCH(OrdersTable[[#This Row],[Product ID]],Products!A:A,0))</f>
        <v>170</v>
      </c>
      <c r="W4643" s="77">
        <f>OrdersTable[[#This Row],[Quantity]]*OrdersTable[[#This Row],[Unit Cost]]</f>
        <v>170</v>
      </c>
      <c r="X4643" s="77">
        <f>'Dropdown Lists'!$I$2*(1+OrdersTable[[#This Row],[Returned]])</f>
        <v>60</v>
      </c>
      <c r="Y4643" s="76">
        <f>OrdersTable[[#This Row],[Net Revenue]]-OrdersTable[[#This Row],[COGS]]-OrdersTable[[#This Row],[Shipping Cost]]</f>
        <v>291.54999999999995</v>
      </c>
      <c r="Z4643" s="78">
        <f>IFERROR(OrdersTable[[#This Row],[Profit]]/OrdersTable[[#This Row],[Net Revenue]],0)</f>
        <v>0.55900680663407143</v>
      </c>
      <c r="AA4643" t="s">
        <v>18</v>
      </c>
      <c r="AB4643" s="79">
        <v>45995</v>
      </c>
      <c r="AC4643">
        <f>OrdersTable[[#This Row],[Delivery Date]]-OrdersTable[[#This Row],[Order Date]]</f>
        <v>2</v>
      </c>
      <c r="AD4643" t="str">
        <f>IF(OrdersTable[[#This Row],[Delivery Days]]&lt;=2, "Express (≤2d)", IF(OrdersTable[[#This Row],[Delivery Days]]&lt;=4, "Standard (3-4d)", "Delayed (5d+)"))</f>
        <v>Express (≤2d)</v>
      </c>
      <c r="AE4643">
        <v>4</v>
      </c>
      <c r="AF4643">
        <v>0</v>
      </c>
    </row>
    <row r="4644" spans="1:32" ht="15" x14ac:dyDescent="0.35">
      <c r="A4644" t="s">
        <v>6030</v>
      </c>
      <c r="B4644" s="1">
        <v>45993</v>
      </c>
      <c r="C4644">
        <f>YEAR(OrdersTable[[#This Row],[Order Date]])</f>
        <v>2025</v>
      </c>
      <c r="D4644" s="2">
        <f>DATE(YEAR(OrdersTable[[#This Row],[Order Date]]),MONTH(OrdersTable[[#This Row],[Order Date]]),1)</f>
        <v>45992</v>
      </c>
      <c r="E4644">
        <f>MONTH(OrdersTable[[#This Row],[Order Date]])</f>
        <v>12</v>
      </c>
      <c r="F4644" t="s">
        <v>6031</v>
      </c>
      <c r="G4644" t="str">
        <f>IF(OrdersTable[[#This Row],[Order Date]]=_xlfn.MINIFS(Order_Date, Customer_ID, OrdersTable[[#This Row],[Customer ID]]), "New", "Repeat")</f>
        <v>New</v>
      </c>
      <c r="H4644" t="s">
        <v>128</v>
      </c>
      <c r="I4644" t="str">
        <f>INDEX(State!B:B,MATCH(OrdersTable[[#This Row],[State]],State!A:A,0))</f>
        <v>DL</v>
      </c>
      <c r="J4644" t="str">
        <f>INDEX(State!C:C,MATCH(OrdersTable[[#This Row],[State Code]],State!B:B,0))</f>
        <v>North</v>
      </c>
      <c r="K4644" t="s">
        <v>129</v>
      </c>
      <c r="L4644" t="s">
        <v>65</v>
      </c>
      <c r="M4644" t="s">
        <v>179</v>
      </c>
      <c r="N4644" t="str">
        <f>INDEX(Products!B:B,MATCH(OrdersTable[[#This Row],[Product ID]],Products!A:A,0))</f>
        <v>Whey Protein 1kg</v>
      </c>
      <c r="O4644" t="str">
        <f>INDEX(Products!C:C,MATCH(OrdersTable[[#This Row],[Product ID]],Products!A:A,0))</f>
        <v>Wellness</v>
      </c>
      <c r="P4644">
        <v>2</v>
      </c>
      <c r="Q4644" s="5">
        <v>2299</v>
      </c>
      <c r="R4644" s="74">
        <v>0.4</v>
      </c>
      <c r="S4644" s="75">
        <f>OrdersTable[[#This Row],[Quantity]]*OrdersTable[[#This Row],[Unit Price]]</f>
        <v>4598</v>
      </c>
      <c r="T4644" s="5">
        <f>OrdersTable[[#This Row],[Gross Sale]]*OrdersTable[[#This Row],[Discount_Clean2]]</f>
        <v>1839.2</v>
      </c>
      <c r="U4644" s="5">
        <f>OrdersTable[[#This Row],[Gross Sale]]-OrdersTable[[#This Row],[Discount Amount]]</f>
        <v>2758.8</v>
      </c>
      <c r="V4644" s="77">
        <f>INDEX(Products!E:E,MATCH(OrdersTable[[#This Row],[Product ID]],Products!A:A,0))</f>
        <v>1333</v>
      </c>
      <c r="W4644" s="77">
        <f>OrdersTable[[#This Row],[Quantity]]*OrdersTable[[#This Row],[Unit Cost]]</f>
        <v>2666</v>
      </c>
      <c r="X4644" s="77">
        <f>'Dropdown Lists'!$I$2*(1+OrdersTable[[#This Row],[Returned]])</f>
        <v>60</v>
      </c>
      <c r="Y4644" s="76">
        <f>OrdersTable[[#This Row],[Net Revenue]]-OrdersTable[[#This Row],[COGS]]-OrdersTable[[#This Row],[Shipping Cost]]</f>
        <v>32.800000000000182</v>
      </c>
      <c r="Z4644" s="78">
        <f>IFERROR(OrdersTable[[#This Row],[Profit]]/OrdersTable[[#This Row],[Net Revenue]],0)</f>
        <v>1.188922720023205E-2</v>
      </c>
      <c r="AA4644" t="s">
        <v>18</v>
      </c>
      <c r="AB4644" s="79">
        <v>45994</v>
      </c>
      <c r="AC4644">
        <f>OrdersTable[[#This Row],[Delivery Date]]-OrdersTable[[#This Row],[Order Date]]</f>
        <v>1</v>
      </c>
      <c r="AD4644" t="str">
        <f>IF(OrdersTable[[#This Row],[Delivery Days]]&lt;=2, "Express (≤2d)", IF(OrdersTable[[#This Row],[Delivery Days]]&lt;=4, "Standard (3-4d)", "Delayed (5d+)"))</f>
        <v>Express (≤2d)</v>
      </c>
      <c r="AF4644">
        <v>0</v>
      </c>
    </row>
    <row r="4645" spans="1:32" ht="15" x14ac:dyDescent="0.35">
      <c r="A4645" t="s">
        <v>1609</v>
      </c>
      <c r="B4645" s="1">
        <v>45993</v>
      </c>
      <c r="C4645">
        <f>YEAR(OrdersTable[[#This Row],[Order Date]])</f>
        <v>2025</v>
      </c>
      <c r="D4645" s="2">
        <f>DATE(YEAR(OrdersTable[[#This Row],[Order Date]]),MONTH(OrdersTable[[#This Row],[Order Date]]),1)</f>
        <v>45992</v>
      </c>
      <c r="E4645">
        <f>MONTH(OrdersTable[[#This Row],[Order Date]])</f>
        <v>12</v>
      </c>
      <c r="F4645" t="s">
        <v>947</v>
      </c>
      <c r="G4645" t="str">
        <f>IF(OrdersTable[[#This Row],[Order Date]]=_xlfn.MINIFS(Order_Date, Customer_ID, OrdersTable[[#This Row],[Customer ID]]), "New", "Repeat")</f>
        <v>Repeat</v>
      </c>
      <c r="H4645" t="s">
        <v>32</v>
      </c>
      <c r="I4645" t="str">
        <f>INDEX(State!B:B,MATCH(OrdersTable[[#This Row],[State]],State!A:A,0))</f>
        <v>BR</v>
      </c>
      <c r="J4645" t="str">
        <f>INDEX(State!C:C,MATCH(OrdersTable[[#This Row],[State Code]],State!B:B,0))</f>
        <v>East</v>
      </c>
      <c r="K4645" t="s">
        <v>33</v>
      </c>
      <c r="L4645" t="s">
        <v>39</v>
      </c>
      <c r="M4645" t="s">
        <v>56</v>
      </c>
      <c r="N4645" t="str">
        <f>INDEX(Products!B:B,MATCH(OrdersTable[[#This Row],[Product ID]],Products!A:A,0))</f>
        <v>Vitamin C Face Serum</v>
      </c>
      <c r="O4645" t="str">
        <f>INDEX(Products!C:C,MATCH(OrdersTable[[#This Row],[Product ID]],Products!A:A,0))</f>
        <v>Skincare</v>
      </c>
      <c r="P4645">
        <v>1</v>
      </c>
      <c r="Q4645" s="5">
        <v>599</v>
      </c>
      <c r="R4645" s="74">
        <v>0.15</v>
      </c>
      <c r="S4645" s="75">
        <f>OrdersTable[[#This Row],[Quantity]]*OrdersTable[[#This Row],[Unit Price]]</f>
        <v>599</v>
      </c>
      <c r="T4645" s="5">
        <f>OrdersTable[[#This Row],[Gross Sale]]*OrdersTable[[#This Row],[Discount_Clean2]]</f>
        <v>89.85</v>
      </c>
      <c r="U4645" s="5">
        <f>OrdersTable[[#This Row],[Gross Sale]]-OrdersTable[[#This Row],[Discount Amount]]</f>
        <v>509.15</v>
      </c>
      <c r="V4645" s="77">
        <f>INDEX(Products!E:E,MATCH(OrdersTable[[#This Row],[Product ID]],Products!A:A,0))</f>
        <v>180</v>
      </c>
      <c r="W4645" s="77">
        <f>OrdersTable[[#This Row],[Quantity]]*OrdersTable[[#This Row],[Unit Cost]]</f>
        <v>180</v>
      </c>
      <c r="X4645" s="77">
        <f>'Dropdown Lists'!$I$2*(1+OrdersTable[[#This Row],[Returned]])</f>
        <v>60</v>
      </c>
      <c r="Y4645" s="76">
        <f>OrdersTable[[#This Row],[Net Revenue]]-OrdersTable[[#This Row],[COGS]]-OrdersTable[[#This Row],[Shipping Cost]]</f>
        <v>269.14999999999998</v>
      </c>
      <c r="Z4645" s="78">
        <f>IFERROR(OrdersTable[[#This Row],[Profit]]/OrdersTable[[#This Row],[Net Revenue]],0)</f>
        <v>0.52862614160856325</v>
      </c>
      <c r="AA4645" t="s">
        <v>18</v>
      </c>
      <c r="AB4645" s="79">
        <v>45996</v>
      </c>
      <c r="AC4645">
        <f>OrdersTable[[#This Row],[Delivery Date]]-OrdersTable[[#This Row],[Order Date]]</f>
        <v>3</v>
      </c>
      <c r="AD4645" t="str">
        <f>IF(OrdersTable[[#This Row],[Delivery Days]]&lt;=2, "Express (≤2d)", IF(OrdersTable[[#This Row],[Delivery Days]]&lt;=4, "Standard (3-4d)", "Delayed (5d+)"))</f>
        <v>Standard (3-4d)</v>
      </c>
      <c r="AF4645">
        <v>0</v>
      </c>
    </row>
    <row r="4646" spans="1:32" ht="15" x14ac:dyDescent="0.35">
      <c r="A4646" t="s">
        <v>1610</v>
      </c>
      <c r="B4646" s="1">
        <v>45993</v>
      </c>
      <c r="C4646">
        <f>YEAR(OrdersTable[[#This Row],[Order Date]])</f>
        <v>2025</v>
      </c>
      <c r="D4646" s="2">
        <f>DATE(YEAR(OrdersTable[[#This Row],[Order Date]]),MONTH(OrdersTable[[#This Row],[Order Date]]),1)</f>
        <v>45992</v>
      </c>
      <c r="E4646">
        <f>MONTH(OrdersTable[[#This Row],[Order Date]])</f>
        <v>12</v>
      </c>
      <c r="F4646" t="s">
        <v>1611</v>
      </c>
      <c r="G4646" t="str">
        <f>IF(OrdersTable[[#This Row],[Order Date]]=_xlfn.MINIFS(Order_Date, Customer_ID, OrdersTable[[#This Row],[Customer ID]]), "New", "Repeat")</f>
        <v>Repeat</v>
      </c>
      <c r="H4646" t="s">
        <v>43</v>
      </c>
      <c r="I4646" t="str">
        <f>INDEX(State!B:B,MATCH(OrdersTable[[#This Row],[State]],State!A:A,0))</f>
        <v>MP</v>
      </c>
      <c r="J4646" t="str">
        <f>INDEX(State!C:C,MATCH(OrdersTable[[#This Row],[State Code]],State!B:B,0))</f>
        <v>West</v>
      </c>
      <c r="K4646" t="s">
        <v>44</v>
      </c>
      <c r="L4646" t="s">
        <v>39</v>
      </c>
      <c r="M4646" t="s">
        <v>179</v>
      </c>
      <c r="N4646" t="str">
        <f>INDEX(Products!B:B,MATCH(OrdersTable[[#This Row],[Product ID]],Products!A:A,0))</f>
        <v>Whey Protein 1kg</v>
      </c>
      <c r="O4646" t="str">
        <f>INDEX(Products!C:C,MATCH(OrdersTable[[#This Row],[Product ID]],Products!A:A,0))</f>
        <v>Wellness</v>
      </c>
      <c r="P4646">
        <v>1</v>
      </c>
      <c r="Q4646" s="5">
        <v>2299</v>
      </c>
      <c r="R4646" s="74">
        <v>0.4</v>
      </c>
      <c r="S4646" s="75">
        <f>OrdersTable[[#This Row],[Quantity]]*OrdersTable[[#This Row],[Unit Price]]</f>
        <v>2299</v>
      </c>
      <c r="T4646" s="5">
        <f>OrdersTable[[#This Row],[Gross Sale]]*OrdersTable[[#This Row],[Discount_Clean2]]</f>
        <v>919.6</v>
      </c>
      <c r="U4646" s="5">
        <f>OrdersTable[[#This Row],[Gross Sale]]-OrdersTable[[#This Row],[Discount Amount]]</f>
        <v>1379.4</v>
      </c>
      <c r="V4646" s="77">
        <f>INDEX(Products!E:E,MATCH(OrdersTable[[#This Row],[Product ID]],Products!A:A,0))</f>
        <v>1333</v>
      </c>
      <c r="W4646" s="77">
        <f>OrdersTable[[#This Row],[Quantity]]*OrdersTable[[#This Row],[Unit Cost]]</f>
        <v>1333</v>
      </c>
      <c r="X4646" s="77">
        <f>'Dropdown Lists'!$I$2*(1+OrdersTable[[#This Row],[Returned]])</f>
        <v>60</v>
      </c>
      <c r="Y4646" s="76">
        <f>OrdersTable[[#This Row],[Net Revenue]]-OrdersTable[[#This Row],[COGS]]-OrdersTable[[#This Row],[Shipping Cost]]</f>
        <v>-13.599999999999909</v>
      </c>
      <c r="Z4646" s="78">
        <f>IFERROR(OrdersTable[[#This Row],[Profit]]/OrdersTable[[#This Row],[Net Revenue]],0)</f>
        <v>-9.8593591416557252E-3</v>
      </c>
      <c r="AA4646" t="s">
        <v>18</v>
      </c>
      <c r="AB4646" s="79">
        <v>45999</v>
      </c>
      <c r="AC4646">
        <f>OrdersTable[[#This Row],[Delivery Date]]-OrdersTable[[#This Row],[Order Date]]</f>
        <v>6</v>
      </c>
      <c r="AD4646" t="str">
        <f>IF(OrdersTable[[#This Row],[Delivery Days]]&lt;=2, "Express (≤2d)", IF(OrdersTable[[#This Row],[Delivery Days]]&lt;=4, "Standard (3-4d)", "Delayed (5d+)"))</f>
        <v>Delayed (5d+)</v>
      </c>
      <c r="AF4646">
        <v>0</v>
      </c>
    </row>
    <row r="4647" spans="1:32" ht="15" x14ac:dyDescent="0.35">
      <c r="A4647" t="s">
        <v>5460</v>
      </c>
      <c r="B4647" s="1">
        <v>45993</v>
      </c>
      <c r="C4647">
        <f>YEAR(OrdersTable[[#This Row],[Order Date]])</f>
        <v>2025</v>
      </c>
      <c r="D4647" s="2">
        <f>DATE(YEAR(OrdersTable[[#This Row],[Order Date]]),MONTH(OrdersTable[[#This Row],[Order Date]]),1)</f>
        <v>45992</v>
      </c>
      <c r="E4647">
        <f>MONTH(OrdersTable[[#This Row],[Order Date]])</f>
        <v>12</v>
      </c>
      <c r="F4647" t="s">
        <v>707</v>
      </c>
      <c r="G4647" t="str">
        <f>IF(OrdersTable[[#This Row],[Order Date]]=_xlfn.MINIFS(Order_Date, Customer_ID, OrdersTable[[#This Row],[Customer ID]]), "New", "Repeat")</f>
        <v>Repeat</v>
      </c>
      <c r="H4647" t="s">
        <v>27</v>
      </c>
      <c r="I4647" t="str">
        <f>INDEX(State!B:B,MATCH(OrdersTable[[#This Row],[State]],State!A:A,0))</f>
        <v>WB</v>
      </c>
      <c r="J4647" t="str">
        <f>INDEX(State!C:C,MATCH(OrdersTable[[#This Row],[State Code]],State!B:B,0))</f>
        <v>East</v>
      </c>
      <c r="K4647" t="s">
        <v>28</v>
      </c>
      <c r="L4647" t="s">
        <v>23</v>
      </c>
      <c r="M4647" t="s">
        <v>84</v>
      </c>
      <c r="N4647" t="str">
        <f>INDEX(Products!B:B,MATCH(OrdersTable[[#This Row],[Product ID]],Products!A:A,0))</f>
        <v>Cotton Bedsheet</v>
      </c>
      <c r="O4647" t="str">
        <f>INDEX(Products!C:C,MATCH(OrdersTable[[#This Row],[Product ID]],Products!A:A,0))</f>
        <v>Home &amp; Kitchen</v>
      </c>
      <c r="P4647">
        <v>2</v>
      </c>
      <c r="Q4647" s="5">
        <v>1299</v>
      </c>
      <c r="R4647" s="74">
        <v>0.05</v>
      </c>
      <c r="S4647" s="75">
        <f>OrdersTable[[#This Row],[Quantity]]*OrdersTable[[#This Row],[Unit Price]]</f>
        <v>2598</v>
      </c>
      <c r="T4647" s="5">
        <f>OrdersTable[[#This Row],[Gross Sale]]*OrdersTable[[#This Row],[Discount_Clean2]]</f>
        <v>129.9</v>
      </c>
      <c r="U4647" s="5">
        <f>OrdersTable[[#This Row],[Gross Sale]]-OrdersTable[[#This Row],[Discount Amount]]</f>
        <v>2468.1</v>
      </c>
      <c r="V4647" s="77">
        <f>INDEX(Products!E:E,MATCH(OrdersTable[[#This Row],[Product ID]],Products!A:A,0))</f>
        <v>585</v>
      </c>
      <c r="W4647" s="77">
        <f>OrdersTable[[#This Row],[Quantity]]*OrdersTable[[#This Row],[Unit Cost]]</f>
        <v>1170</v>
      </c>
      <c r="X4647" s="77">
        <f>'Dropdown Lists'!$I$2*(1+OrdersTable[[#This Row],[Returned]])</f>
        <v>120</v>
      </c>
      <c r="Y4647" s="76">
        <f>OrdersTable[[#This Row],[Net Revenue]]-OrdersTable[[#This Row],[COGS]]-OrdersTable[[#This Row],[Shipping Cost]]</f>
        <v>1178.0999999999999</v>
      </c>
      <c r="Z4647" s="78">
        <f>IFERROR(OrdersTable[[#This Row],[Profit]]/OrdersTable[[#This Row],[Net Revenue]],0)</f>
        <v>0.47733074024553296</v>
      </c>
      <c r="AA4647" t="s">
        <v>2522</v>
      </c>
      <c r="AB4647" s="79">
        <v>45995</v>
      </c>
      <c r="AC4647">
        <f>OrdersTable[[#This Row],[Delivery Date]]-OrdersTable[[#This Row],[Order Date]]</f>
        <v>2</v>
      </c>
      <c r="AD4647" t="str">
        <f>IF(OrdersTable[[#This Row],[Delivery Days]]&lt;=2, "Express (≤2d)", IF(OrdersTable[[#This Row],[Delivery Days]]&lt;=4, "Standard (3-4d)", "Delayed (5d+)"))</f>
        <v>Express (≤2d)</v>
      </c>
      <c r="AE4647">
        <v>5</v>
      </c>
      <c r="AF4647">
        <v>1</v>
      </c>
    </row>
    <row r="4648" spans="1:32" ht="15" x14ac:dyDescent="0.35">
      <c r="A4648" t="s">
        <v>2061</v>
      </c>
      <c r="B4648" s="1">
        <v>45993</v>
      </c>
      <c r="C4648">
        <f>YEAR(OrdersTable[[#This Row],[Order Date]])</f>
        <v>2025</v>
      </c>
      <c r="D4648" s="2">
        <f>DATE(YEAR(OrdersTable[[#This Row],[Order Date]]),MONTH(OrdersTable[[#This Row],[Order Date]]),1)</f>
        <v>45992</v>
      </c>
      <c r="E4648">
        <f>MONTH(OrdersTable[[#This Row],[Order Date]])</f>
        <v>12</v>
      </c>
      <c r="F4648" t="s">
        <v>2062</v>
      </c>
      <c r="G4648" t="str">
        <f>IF(OrdersTable[[#This Row],[Order Date]]=_xlfn.MINIFS(Order_Date, Customer_ID, OrdersTable[[#This Row],[Customer ID]]), "New", "Repeat")</f>
        <v>Repeat</v>
      </c>
      <c r="H4648" t="s">
        <v>71</v>
      </c>
      <c r="I4648" t="str">
        <f>INDEX(State!B:B,MATCH(OrdersTable[[#This Row],[State]],State!A:A,0))</f>
        <v>MH</v>
      </c>
      <c r="J4648" t="str">
        <f>INDEX(State!C:C,MATCH(OrdersTable[[#This Row],[State Code]],State!B:B,0))</f>
        <v>West</v>
      </c>
      <c r="K4648" t="s">
        <v>81</v>
      </c>
      <c r="L4648" t="s">
        <v>16</v>
      </c>
      <c r="M4648" t="s">
        <v>34</v>
      </c>
      <c r="N4648" t="str">
        <f>INDEX(Products!B:B,MATCH(OrdersTable[[#This Row],[Product ID]],Products!A:A,0))</f>
        <v>Flip Flops</v>
      </c>
      <c r="O4648" t="str">
        <f>INDEX(Products!C:C,MATCH(OrdersTable[[#This Row],[Product ID]],Products!A:A,0))</f>
        <v>Footwear</v>
      </c>
      <c r="P4648">
        <v>1</v>
      </c>
      <c r="Q4648" s="5">
        <v>399</v>
      </c>
      <c r="R4648" s="74">
        <v>0.05</v>
      </c>
      <c r="S4648" s="75">
        <f>OrdersTable[[#This Row],[Quantity]]*OrdersTable[[#This Row],[Unit Price]]</f>
        <v>399</v>
      </c>
      <c r="T4648" s="5">
        <f>OrdersTable[[#This Row],[Gross Sale]]*OrdersTable[[#This Row],[Discount_Clean2]]</f>
        <v>19.950000000000003</v>
      </c>
      <c r="U4648" s="5">
        <f>OrdersTable[[#This Row],[Gross Sale]]-OrdersTable[[#This Row],[Discount Amount]]</f>
        <v>379.05</v>
      </c>
      <c r="V4648" s="77">
        <f>INDEX(Products!E:E,MATCH(OrdersTable[[#This Row],[Product ID]],Products!A:A,0))</f>
        <v>152</v>
      </c>
      <c r="W4648" s="77">
        <f>OrdersTable[[#This Row],[Quantity]]*OrdersTable[[#This Row],[Unit Cost]]</f>
        <v>152</v>
      </c>
      <c r="X4648" s="77">
        <f>'Dropdown Lists'!$I$2*(1+OrdersTable[[#This Row],[Returned]])</f>
        <v>60</v>
      </c>
      <c r="Y4648" s="76">
        <f>OrdersTable[[#This Row],[Net Revenue]]-OrdersTable[[#This Row],[COGS]]-OrdersTable[[#This Row],[Shipping Cost]]</f>
        <v>167.05</v>
      </c>
      <c r="Z4648" s="78">
        <f>IFERROR(OrdersTable[[#This Row],[Profit]]/OrdersTable[[#This Row],[Net Revenue]],0)</f>
        <v>0.44070703073473161</v>
      </c>
      <c r="AA4648" t="s">
        <v>18</v>
      </c>
      <c r="AB4648" s="79">
        <v>45996</v>
      </c>
      <c r="AC4648">
        <f>OrdersTable[[#This Row],[Delivery Date]]-OrdersTable[[#This Row],[Order Date]]</f>
        <v>3</v>
      </c>
      <c r="AD4648" t="str">
        <f>IF(OrdersTable[[#This Row],[Delivery Days]]&lt;=2, "Express (≤2d)", IF(OrdersTable[[#This Row],[Delivery Days]]&lt;=4, "Standard (3-4d)", "Delayed (5d+)"))</f>
        <v>Standard (3-4d)</v>
      </c>
      <c r="AE4648">
        <v>3</v>
      </c>
      <c r="AF4648">
        <v>0</v>
      </c>
    </row>
    <row r="4649" spans="1:32" ht="15" x14ac:dyDescent="0.35">
      <c r="A4649" t="s">
        <v>5284</v>
      </c>
      <c r="B4649" s="1">
        <v>45993</v>
      </c>
      <c r="C4649">
        <f>YEAR(OrdersTable[[#This Row],[Order Date]])</f>
        <v>2025</v>
      </c>
      <c r="D4649" s="2">
        <f>DATE(YEAR(OrdersTable[[#This Row],[Order Date]]),MONTH(OrdersTable[[#This Row],[Order Date]]),1)</f>
        <v>45992</v>
      </c>
      <c r="E4649">
        <f>MONTH(OrdersTable[[#This Row],[Order Date]])</f>
        <v>12</v>
      </c>
      <c r="F4649" t="s">
        <v>1431</v>
      </c>
      <c r="G4649" t="str">
        <f>IF(OrdersTable[[#This Row],[Order Date]]=_xlfn.MINIFS(Order_Date, Customer_ID, OrdersTable[[#This Row],[Customer ID]]), "New", "Repeat")</f>
        <v>Repeat</v>
      </c>
      <c r="H4649" t="s">
        <v>14</v>
      </c>
      <c r="I4649" t="str">
        <f>INDEX(State!B:B,MATCH(OrdersTable[[#This Row],[State]],State!A:A,0))</f>
        <v>OD</v>
      </c>
      <c r="J4649" t="str">
        <f>INDEX(State!C:C,MATCH(OrdersTable[[#This Row],[State Code]],State!B:B,0))</f>
        <v>East</v>
      </c>
      <c r="K4649" t="s">
        <v>15</v>
      </c>
      <c r="L4649" t="s">
        <v>50</v>
      </c>
      <c r="M4649" t="s">
        <v>56</v>
      </c>
      <c r="N4649" t="str">
        <f>INDEX(Products!B:B,MATCH(OrdersTable[[#This Row],[Product ID]],Products!A:A,0))</f>
        <v>Vitamin C Face Serum</v>
      </c>
      <c r="O4649" t="str">
        <f>INDEX(Products!C:C,MATCH(OrdersTable[[#This Row],[Product ID]],Products!A:A,0))</f>
        <v>Skincare</v>
      </c>
      <c r="P4649">
        <v>2</v>
      </c>
      <c r="Q4649" s="5">
        <v>599</v>
      </c>
      <c r="R4649" s="74">
        <v>0.15</v>
      </c>
      <c r="S4649" s="75">
        <f>OrdersTable[[#This Row],[Quantity]]*OrdersTable[[#This Row],[Unit Price]]</f>
        <v>1198</v>
      </c>
      <c r="T4649" s="5">
        <f>OrdersTable[[#This Row],[Gross Sale]]*OrdersTable[[#This Row],[Discount_Clean2]]</f>
        <v>179.7</v>
      </c>
      <c r="U4649" s="5">
        <f>OrdersTable[[#This Row],[Gross Sale]]-OrdersTable[[#This Row],[Discount Amount]]</f>
        <v>1018.3</v>
      </c>
      <c r="V4649" s="77">
        <f>INDEX(Products!E:E,MATCH(OrdersTable[[#This Row],[Product ID]],Products!A:A,0))</f>
        <v>180</v>
      </c>
      <c r="W4649" s="77">
        <f>OrdersTable[[#This Row],[Quantity]]*OrdersTable[[#This Row],[Unit Cost]]</f>
        <v>360</v>
      </c>
      <c r="X4649" s="77">
        <f>'Dropdown Lists'!$I$2*(1+OrdersTable[[#This Row],[Returned]])</f>
        <v>60</v>
      </c>
      <c r="Y4649" s="76">
        <f>OrdersTable[[#This Row],[Net Revenue]]-OrdersTable[[#This Row],[COGS]]-OrdersTable[[#This Row],[Shipping Cost]]</f>
        <v>598.29999999999995</v>
      </c>
      <c r="Z4649" s="78">
        <f>IFERROR(OrdersTable[[#This Row],[Profit]]/OrdersTable[[#This Row],[Net Revenue]],0)</f>
        <v>0.58754787390749286</v>
      </c>
      <c r="AA4649" t="s">
        <v>3495</v>
      </c>
      <c r="AB4649" s="79">
        <v>45997</v>
      </c>
      <c r="AC4649">
        <f>OrdersTable[[#This Row],[Delivery Date]]-OrdersTable[[#This Row],[Order Date]]</f>
        <v>4</v>
      </c>
      <c r="AD4649" t="str">
        <f>IF(OrdersTable[[#This Row],[Delivery Days]]&lt;=2, "Express (≤2d)", IF(OrdersTable[[#This Row],[Delivery Days]]&lt;=4, "Standard (3-4d)", "Delayed (5d+)"))</f>
        <v>Standard (3-4d)</v>
      </c>
      <c r="AE4649">
        <v>4</v>
      </c>
      <c r="AF4649">
        <v>0</v>
      </c>
    </row>
    <row r="4650" spans="1:32" ht="15" x14ac:dyDescent="0.35">
      <c r="A4650" t="s">
        <v>5052</v>
      </c>
      <c r="B4650" s="1">
        <v>45993</v>
      </c>
      <c r="C4650">
        <f>YEAR(OrdersTable[[#This Row],[Order Date]])</f>
        <v>2025</v>
      </c>
      <c r="D4650" s="2">
        <f>DATE(YEAR(OrdersTable[[#This Row],[Order Date]]),MONTH(OrdersTable[[#This Row],[Order Date]]),1)</f>
        <v>45992</v>
      </c>
      <c r="E4650">
        <f>MONTH(OrdersTable[[#This Row],[Order Date]])</f>
        <v>12</v>
      </c>
      <c r="F4650" t="s">
        <v>5053</v>
      </c>
      <c r="G4650" t="str">
        <f>IF(OrdersTable[[#This Row],[Order Date]]=_xlfn.MINIFS(Order_Date, Customer_ID, OrdersTable[[#This Row],[Customer ID]]), "New", "Repeat")</f>
        <v>New</v>
      </c>
      <c r="H4650" t="s">
        <v>275</v>
      </c>
      <c r="I4650" t="str">
        <f>INDEX(State!B:B,MATCH(OrdersTable[[#This Row],[State]],State!A:A,0))</f>
        <v>AP</v>
      </c>
      <c r="J4650" t="str">
        <f>INDEX(State!C:C,MATCH(OrdersTable[[#This Row],[State Code]],State!B:B,0))</f>
        <v>South</v>
      </c>
      <c r="K4650" t="s">
        <v>491</v>
      </c>
      <c r="L4650" t="s">
        <v>16</v>
      </c>
      <c r="M4650" t="s">
        <v>92</v>
      </c>
      <c r="N4650" t="str">
        <f>INDEX(Products!B:B,MATCH(OrdersTable[[#This Row],[Product ID]],Products!A:A,0))</f>
        <v>Kolhapuri Sandals</v>
      </c>
      <c r="O4650" t="str">
        <f>INDEX(Products!C:C,MATCH(OrdersTable[[#This Row],[Product ID]],Products!A:A,0))</f>
        <v>Footwear</v>
      </c>
      <c r="P4650">
        <v>2</v>
      </c>
      <c r="Q4650" s="5">
        <v>999</v>
      </c>
      <c r="R4650" s="74">
        <v>0.15</v>
      </c>
      <c r="S4650" s="75">
        <f>OrdersTable[[#This Row],[Quantity]]*OrdersTable[[#This Row],[Unit Price]]</f>
        <v>1998</v>
      </c>
      <c r="T4650" s="5">
        <f>OrdersTable[[#This Row],[Gross Sale]]*OrdersTable[[#This Row],[Discount_Clean2]]</f>
        <v>299.7</v>
      </c>
      <c r="U4650" s="5">
        <f>OrdersTable[[#This Row],[Gross Sale]]-OrdersTable[[#This Row],[Discount Amount]]</f>
        <v>1698.3</v>
      </c>
      <c r="V4650" s="77">
        <f>INDEX(Products!E:E,MATCH(OrdersTable[[#This Row],[Product ID]],Products!A:A,0))</f>
        <v>400</v>
      </c>
      <c r="W4650" s="77">
        <f>OrdersTable[[#This Row],[Quantity]]*OrdersTable[[#This Row],[Unit Cost]]</f>
        <v>800</v>
      </c>
      <c r="X4650" s="77">
        <f>'Dropdown Lists'!$I$2*(1+OrdersTable[[#This Row],[Returned]])</f>
        <v>120</v>
      </c>
      <c r="Y4650" s="76">
        <f>OrdersTable[[#This Row],[Net Revenue]]-OrdersTable[[#This Row],[COGS]]-OrdersTable[[#This Row],[Shipping Cost]]</f>
        <v>778.3</v>
      </c>
      <c r="Z4650" s="78">
        <f>IFERROR(OrdersTable[[#This Row],[Profit]]/OrdersTable[[#This Row],[Net Revenue]],0)</f>
        <v>0.45828181122298767</v>
      </c>
      <c r="AA4650" t="s">
        <v>4074</v>
      </c>
      <c r="AB4650" s="79">
        <v>45998</v>
      </c>
      <c r="AC4650">
        <f>OrdersTable[[#This Row],[Delivery Date]]-OrdersTable[[#This Row],[Order Date]]</f>
        <v>5</v>
      </c>
      <c r="AD4650" t="str">
        <f>IF(OrdersTable[[#This Row],[Delivery Days]]&lt;=2, "Express (≤2d)", IF(OrdersTable[[#This Row],[Delivery Days]]&lt;=4, "Standard (3-4d)", "Delayed (5d+)"))</f>
        <v>Delayed (5d+)</v>
      </c>
      <c r="AE4650">
        <v>4</v>
      </c>
      <c r="AF4650">
        <v>1</v>
      </c>
    </row>
    <row r="4651" spans="1:32" ht="15" x14ac:dyDescent="0.35">
      <c r="A4651" t="s">
        <v>2485</v>
      </c>
      <c r="B4651" s="1">
        <v>45994</v>
      </c>
      <c r="C4651">
        <f>YEAR(OrdersTable[[#This Row],[Order Date]])</f>
        <v>2025</v>
      </c>
      <c r="D4651" s="2">
        <f>DATE(YEAR(OrdersTable[[#This Row],[Order Date]]),MONTH(OrdersTable[[#This Row],[Order Date]]),1)</f>
        <v>45992</v>
      </c>
      <c r="E4651">
        <f>MONTH(OrdersTable[[#This Row],[Order Date]])</f>
        <v>12</v>
      </c>
      <c r="F4651" t="s">
        <v>2486</v>
      </c>
      <c r="G4651" t="str">
        <f>IF(OrdersTable[[#This Row],[Order Date]]=_xlfn.MINIFS(Order_Date, Customer_ID, OrdersTable[[#This Row],[Customer ID]]), "New", "Repeat")</f>
        <v>New</v>
      </c>
      <c r="H4651" t="s">
        <v>48</v>
      </c>
      <c r="I4651" t="str">
        <f>INDEX(State!B:B,MATCH(OrdersTable[[#This Row],[State]],State!A:A,0))</f>
        <v>HR</v>
      </c>
      <c r="J4651" t="str">
        <f>INDEX(State!C:C,MATCH(OrdersTable[[#This Row],[State Code]],State!B:B,0))</f>
        <v>North</v>
      </c>
      <c r="K4651" t="s">
        <v>151</v>
      </c>
      <c r="L4651" t="s">
        <v>65</v>
      </c>
      <c r="M4651" t="s">
        <v>29</v>
      </c>
      <c r="N4651" t="str">
        <f>INDEX(Products!B:B,MATCH(OrdersTable[[#This Row],[Product ID]],Products!A:A,0))</f>
        <v>Joggers</v>
      </c>
      <c r="O4651" t="str">
        <f>INDEX(Products!C:C,MATCH(OrdersTable[[#This Row],[Product ID]],Products!A:A,0))</f>
        <v>Apparel</v>
      </c>
      <c r="P4651">
        <v>1</v>
      </c>
      <c r="Q4651" s="5">
        <v>1199</v>
      </c>
      <c r="R4651" s="74">
        <v>0.1</v>
      </c>
      <c r="S4651" s="75">
        <f>OrdersTable[[#This Row],[Quantity]]*OrdersTable[[#This Row],[Unit Price]]</f>
        <v>1199</v>
      </c>
      <c r="T4651" s="5">
        <f>OrdersTable[[#This Row],[Gross Sale]]*OrdersTable[[#This Row],[Discount_Clean2]]</f>
        <v>119.9</v>
      </c>
      <c r="U4651" s="5">
        <f>OrdersTable[[#This Row],[Gross Sale]]-OrdersTable[[#This Row],[Discount Amount]]</f>
        <v>1079.0999999999999</v>
      </c>
      <c r="V4651" s="77">
        <f>INDEX(Products!E:E,MATCH(OrdersTable[[#This Row],[Product ID]],Products!A:A,0))</f>
        <v>492</v>
      </c>
      <c r="W4651" s="77">
        <f>OrdersTable[[#This Row],[Quantity]]*OrdersTable[[#This Row],[Unit Cost]]</f>
        <v>492</v>
      </c>
      <c r="X4651" s="77">
        <f>'Dropdown Lists'!$I$2*(1+OrdersTable[[#This Row],[Returned]])</f>
        <v>60</v>
      </c>
      <c r="Y4651" s="76">
        <f>OrdersTable[[#This Row],[Net Revenue]]-OrdersTable[[#This Row],[COGS]]-OrdersTable[[#This Row],[Shipping Cost]]</f>
        <v>527.09999999999991</v>
      </c>
      <c r="Z4651" s="78">
        <f>IFERROR(OrdersTable[[#This Row],[Profit]]/OrdersTable[[#This Row],[Net Revenue]],0)</f>
        <v>0.48846260772866273</v>
      </c>
      <c r="AA4651" t="s">
        <v>18</v>
      </c>
      <c r="AB4651" s="79">
        <v>45995</v>
      </c>
      <c r="AC4651">
        <f>OrdersTable[[#This Row],[Delivery Date]]-OrdersTable[[#This Row],[Order Date]]</f>
        <v>1</v>
      </c>
      <c r="AD4651" t="str">
        <f>IF(OrdersTable[[#This Row],[Delivery Days]]&lt;=2, "Express (≤2d)", IF(OrdersTable[[#This Row],[Delivery Days]]&lt;=4, "Standard (3-4d)", "Delayed (5d+)"))</f>
        <v>Express (≤2d)</v>
      </c>
      <c r="AE4651">
        <v>5</v>
      </c>
      <c r="AF4651">
        <v>0</v>
      </c>
    </row>
    <row r="4652" spans="1:32" ht="15" x14ac:dyDescent="0.35">
      <c r="A4652" t="s">
        <v>6750</v>
      </c>
      <c r="B4652" s="1">
        <v>45994</v>
      </c>
      <c r="C4652">
        <f>YEAR(OrdersTable[[#This Row],[Order Date]])</f>
        <v>2025</v>
      </c>
      <c r="D4652" s="2">
        <f>DATE(YEAR(OrdersTable[[#This Row],[Order Date]]),MONTH(OrdersTable[[#This Row],[Order Date]]),1)</f>
        <v>45992</v>
      </c>
      <c r="E4652">
        <f>MONTH(OrdersTable[[#This Row],[Order Date]])</f>
        <v>12</v>
      </c>
      <c r="F4652" t="s">
        <v>3119</v>
      </c>
      <c r="G4652" t="str">
        <f>IF(OrdersTable[[#This Row],[Order Date]]=_xlfn.MINIFS(Order_Date, Customer_ID, OrdersTable[[#This Row],[Customer ID]]), "New", "Repeat")</f>
        <v>Repeat</v>
      </c>
      <c r="H4652" t="s">
        <v>167</v>
      </c>
      <c r="I4652" t="str">
        <f>INDEX(State!B:B,MATCH(OrdersTable[[#This Row],[State]],State!A:A,0))</f>
        <v>KA</v>
      </c>
      <c r="J4652" t="str">
        <f>INDEX(State!C:C,MATCH(OrdersTable[[#This Row],[State Code]],State!B:B,0))</f>
        <v>South</v>
      </c>
      <c r="K4652" t="s">
        <v>190</v>
      </c>
      <c r="L4652" t="s">
        <v>23</v>
      </c>
      <c r="M4652" t="s">
        <v>51</v>
      </c>
      <c r="N4652" t="str">
        <f>INDEX(Products!B:B,MATCH(OrdersTable[[#This Row],[Product ID]],Products!A:A,0))</f>
        <v>Anti-Dandruff Conditioner</v>
      </c>
      <c r="O4652" t="str">
        <f>INDEX(Products!C:C,MATCH(OrdersTable[[#This Row],[Product ID]],Products!A:A,0))</f>
        <v>Haircare</v>
      </c>
      <c r="P4652">
        <v>3</v>
      </c>
      <c r="Q4652" s="5">
        <v>399</v>
      </c>
      <c r="R4652" s="74">
        <v>0.35</v>
      </c>
      <c r="S4652" s="75">
        <f>OrdersTable[[#This Row],[Quantity]]*OrdersTable[[#This Row],[Unit Price]]</f>
        <v>1197</v>
      </c>
      <c r="T4652" s="5">
        <f>OrdersTable[[#This Row],[Gross Sale]]*OrdersTable[[#This Row],[Discount_Clean2]]</f>
        <v>418.95</v>
      </c>
      <c r="U4652" s="5">
        <f>OrdersTable[[#This Row],[Gross Sale]]-OrdersTable[[#This Row],[Discount Amount]]</f>
        <v>778.05</v>
      </c>
      <c r="V4652" s="77">
        <f>INDEX(Products!E:E,MATCH(OrdersTable[[#This Row],[Product ID]],Products!A:A,0))</f>
        <v>136</v>
      </c>
      <c r="W4652" s="77">
        <f>OrdersTable[[#This Row],[Quantity]]*OrdersTable[[#This Row],[Unit Cost]]</f>
        <v>408</v>
      </c>
      <c r="X4652" s="77">
        <f>'Dropdown Lists'!$I$2*(1+OrdersTable[[#This Row],[Returned]])</f>
        <v>60</v>
      </c>
      <c r="Y4652" s="76">
        <f>OrdersTable[[#This Row],[Net Revenue]]-OrdersTable[[#This Row],[COGS]]-OrdersTable[[#This Row],[Shipping Cost]]</f>
        <v>310.04999999999995</v>
      </c>
      <c r="Z4652" s="78">
        <f>IFERROR(OrdersTable[[#This Row],[Profit]]/OrdersTable[[#This Row],[Net Revenue]],0)</f>
        <v>0.39849624060150374</v>
      </c>
      <c r="AA4652" t="s">
        <v>2522</v>
      </c>
      <c r="AB4652" s="79">
        <v>45996</v>
      </c>
      <c r="AC4652">
        <f>OrdersTable[[#This Row],[Delivery Date]]-OrdersTable[[#This Row],[Order Date]]</f>
        <v>2</v>
      </c>
      <c r="AD4652" t="str">
        <f>IF(OrdersTable[[#This Row],[Delivery Days]]&lt;=2, "Express (≤2d)", IF(OrdersTable[[#This Row],[Delivery Days]]&lt;=4, "Standard (3-4d)", "Delayed (5d+)"))</f>
        <v>Express (≤2d)</v>
      </c>
      <c r="AF4652">
        <v>0</v>
      </c>
    </row>
    <row r="4653" spans="1:32" ht="15" x14ac:dyDescent="0.35">
      <c r="A4653" t="s">
        <v>5461</v>
      </c>
      <c r="B4653" s="1">
        <v>45994</v>
      </c>
      <c r="C4653">
        <f>YEAR(OrdersTable[[#This Row],[Order Date]])</f>
        <v>2025</v>
      </c>
      <c r="D4653" s="2">
        <f>DATE(YEAR(OrdersTable[[#This Row],[Order Date]]),MONTH(OrdersTable[[#This Row],[Order Date]]),1)</f>
        <v>45992</v>
      </c>
      <c r="E4653">
        <f>MONTH(OrdersTable[[#This Row],[Order Date]])</f>
        <v>12</v>
      </c>
      <c r="F4653" t="s">
        <v>3743</v>
      </c>
      <c r="G4653" t="str">
        <f>IF(OrdersTable[[#This Row],[Order Date]]=_xlfn.MINIFS(Order_Date, Customer_ID, OrdersTable[[#This Row],[Customer ID]]), "New", "Repeat")</f>
        <v>Repeat</v>
      </c>
      <c r="H4653" t="s">
        <v>275</v>
      </c>
      <c r="I4653" t="str">
        <f>INDEX(State!B:B,MATCH(OrdersTable[[#This Row],[State]],State!A:A,0))</f>
        <v>AP</v>
      </c>
      <c r="J4653" t="str">
        <f>INDEX(State!C:C,MATCH(OrdersTable[[#This Row],[State Code]],State!B:B,0))</f>
        <v>South</v>
      </c>
      <c r="K4653" t="s">
        <v>491</v>
      </c>
      <c r="L4653" t="s">
        <v>50</v>
      </c>
      <c r="M4653" t="s">
        <v>73</v>
      </c>
      <c r="N4653" t="str">
        <f>INDEX(Products!B:B,MATCH(OrdersTable[[#This Row],[Product ID]],Products!A:A,0))</f>
        <v>Hydrating Face Wash</v>
      </c>
      <c r="O4653" t="str">
        <f>INDEX(Products!C:C,MATCH(OrdersTable[[#This Row],[Product ID]],Products!A:A,0))</f>
        <v>Skincare</v>
      </c>
      <c r="P4653">
        <v>2</v>
      </c>
      <c r="Q4653" s="5">
        <v>299</v>
      </c>
      <c r="R4653" s="74">
        <v>0</v>
      </c>
      <c r="S4653" s="75">
        <f>OrdersTable[[#This Row],[Quantity]]*OrdersTable[[#This Row],[Unit Price]]</f>
        <v>598</v>
      </c>
      <c r="T4653" s="5">
        <f>OrdersTable[[#This Row],[Gross Sale]]*OrdersTable[[#This Row],[Discount_Clean2]]</f>
        <v>0</v>
      </c>
      <c r="U4653" s="5">
        <f>OrdersTable[[#This Row],[Gross Sale]]-OrdersTable[[#This Row],[Discount Amount]]</f>
        <v>598</v>
      </c>
      <c r="V4653" s="77">
        <f>INDEX(Products!E:E,MATCH(OrdersTable[[#This Row],[Product ID]],Products!A:A,0))</f>
        <v>90</v>
      </c>
      <c r="W4653" s="77">
        <f>OrdersTable[[#This Row],[Quantity]]*OrdersTable[[#This Row],[Unit Cost]]</f>
        <v>180</v>
      </c>
      <c r="X4653" s="77">
        <f>'Dropdown Lists'!$I$2*(1+OrdersTable[[#This Row],[Returned]])</f>
        <v>120</v>
      </c>
      <c r="Y4653" s="76">
        <f>OrdersTable[[#This Row],[Net Revenue]]-OrdersTable[[#This Row],[COGS]]-OrdersTable[[#This Row],[Shipping Cost]]</f>
        <v>298</v>
      </c>
      <c r="Z4653" s="78">
        <f>IFERROR(OrdersTable[[#This Row],[Profit]]/OrdersTable[[#This Row],[Net Revenue]],0)</f>
        <v>0.49832775919732442</v>
      </c>
      <c r="AA4653" t="s">
        <v>2522</v>
      </c>
      <c r="AB4653" s="79">
        <v>45998</v>
      </c>
      <c r="AC4653">
        <f>OrdersTable[[#This Row],[Delivery Date]]-OrdersTable[[#This Row],[Order Date]]</f>
        <v>4</v>
      </c>
      <c r="AD4653" t="str">
        <f>IF(OrdersTable[[#This Row],[Delivery Days]]&lt;=2, "Express (≤2d)", IF(OrdersTable[[#This Row],[Delivery Days]]&lt;=4, "Standard (3-4d)", "Delayed (5d+)"))</f>
        <v>Standard (3-4d)</v>
      </c>
      <c r="AE4653">
        <v>5</v>
      </c>
      <c r="AF4653">
        <v>1</v>
      </c>
    </row>
    <row r="4654" spans="1:32" ht="15" x14ac:dyDescent="0.35">
      <c r="A4654" t="s">
        <v>6032</v>
      </c>
      <c r="B4654" s="1">
        <v>45994</v>
      </c>
      <c r="C4654">
        <f>YEAR(OrdersTable[[#This Row],[Order Date]])</f>
        <v>2025</v>
      </c>
      <c r="D4654" s="2">
        <f>DATE(YEAR(OrdersTable[[#This Row],[Order Date]]),MONTH(OrdersTable[[#This Row],[Order Date]]),1)</f>
        <v>45992</v>
      </c>
      <c r="E4654">
        <f>MONTH(OrdersTable[[#This Row],[Order Date]])</f>
        <v>12</v>
      </c>
      <c r="F4654" t="s">
        <v>2519</v>
      </c>
      <c r="G4654" t="str">
        <f>IF(OrdersTable[[#This Row],[Order Date]]=_xlfn.MINIFS(Order_Date, Customer_ID, OrdersTable[[#This Row],[Customer ID]]), "New", "Repeat")</f>
        <v>New</v>
      </c>
      <c r="H4654" t="s">
        <v>316</v>
      </c>
      <c r="I4654" t="str">
        <f>INDEX(State!B:B,MATCH(OrdersTable[[#This Row],[State]],State!A:A,0))</f>
        <v>KL</v>
      </c>
      <c r="J4654" t="str">
        <f>INDEX(State!C:C,MATCH(OrdersTable[[#This Row],[State Code]],State!B:B,0))</f>
        <v>South</v>
      </c>
      <c r="K4654" t="s">
        <v>338</v>
      </c>
      <c r="L4654" t="s">
        <v>50</v>
      </c>
      <c r="M4654" t="s">
        <v>109</v>
      </c>
      <c r="N4654" t="str">
        <f>INDEX(Products!B:B,MATCH(OrdersTable[[#This Row],[Product ID]],Products!A:A,0))</f>
        <v>Onion Hair Oil</v>
      </c>
      <c r="O4654" t="str">
        <f>INDEX(Products!C:C,MATCH(OrdersTable[[#This Row],[Product ID]],Products!A:A,0))</f>
        <v>Haircare</v>
      </c>
      <c r="P4654">
        <v>2</v>
      </c>
      <c r="Q4654" s="5">
        <v>349</v>
      </c>
      <c r="R4654" s="74">
        <v>0.35</v>
      </c>
      <c r="S4654" s="75">
        <f>OrdersTable[[#This Row],[Quantity]]*OrdersTable[[#This Row],[Unit Price]]</f>
        <v>698</v>
      </c>
      <c r="T4654" s="5">
        <f>OrdersTable[[#This Row],[Gross Sale]]*OrdersTable[[#This Row],[Discount_Clean2]]</f>
        <v>244.29999999999998</v>
      </c>
      <c r="U4654" s="5">
        <f>OrdersTable[[#This Row],[Gross Sale]]-OrdersTable[[#This Row],[Discount Amount]]</f>
        <v>453.70000000000005</v>
      </c>
      <c r="V4654" s="77">
        <f>INDEX(Products!E:E,MATCH(OrdersTable[[#This Row],[Product ID]],Products!A:A,0))</f>
        <v>105</v>
      </c>
      <c r="W4654" s="77">
        <f>OrdersTable[[#This Row],[Quantity]]*OrdersTable[[#This Row],[Unit Cost]]</f>
        <v>210</v>
      </c>
      <c r="X4654" s="77">
        <f>'Dropdown Lists'!$I$2*(1+OrdersTable[[#This Row],[Returned]])</f>
        <v>60</v>
      </c>
      <c r="Y4654" s="76">
        <f>OrdersTable[[#This Row],[Net Revenue]]-OrdersTable[[#This Row],[COGS]]-OrdersTable[[#This Row],[Shipping Cost]]</f>
        <v>183.70000000000005</v>
      </c>
      <c r="Z4654" s="78">
        <f>IFERROR(OrdersTable[[#This Row],[Profit]]/OrdersTable[[#This Row],[Net Revenue]],0)</f>
        <v>0.40489310116817284</v>
      </c>
      <c r="AA4654" t="s">
        <v>18</v>
      </c>
      <c r="AB4654" s="79">
        <v>45996</v>
      </c>
      <c r="AC4654">
        <f>OrdersTable[[#This Row],[Delivery Date]]-OrdersTable[[#This Row],[Order Date]]</f>
        <v>2</v>
      </c>
      <c r="AD4654" t="str">
        <f>IF(OrdersTable[[#This Row],[Delivery Days]]&lt;=2, "Express (≤2d)", IF(OrdersTable[[#This Row],[Delivery Days]]&lt;=4, "Standard (3-4d)", "Delayed (5d+)"))</f>
        <v>Express (≤2d)</v>
      </c>
      <c r="AF4654">
        <v>0</v>
      </c>
    </row>
    <row r="4655" spans="1:32" ht="15" x14ac:dyDescent="0.35">
      <c r="A4655" t="s">
        <v>5285</v>
      </c>
      <c r="B4655" s="1">
        <v>45994</v>
      </c>
      <c r="C4655">
        <f>YEAR(OrdersTable[[#This Row],[Order Date]])</f>
        <v>2025</v>
      </c>
      <c r="D4655" s="2">
        <f>DATE(YEAR(OrdersTable[[#This Row],[Order Date]]),MONTH(OrdersTable[[#This Row],[Order Date]]),1)</f>
        <v>45992</v>
      </c>
      <c r="E4655">
        <f>MONTH(OrdersTable[[#This Row],[Order Date]])</f>
        <v>12</v>
      </c>
      <c r="F4655" t="s">
        <v>590</v>
      </c>
      <c r="G4655" t="str">
        <f>IF(OrdersTable[[#This Row],[Order Date]]=_xlfn.MINIFS(Order_Date, Customer_ID, OrdersTable[[#This Row],[Customer ID]]), "New", "Repeat")</f>
        <v>Repeat</v>
      </c>
      <c r="H4655" t="s">
        <v>316</v>
      </c>
      <c r="I4655" t="str">
        <f>INDEX(State!B:B,MATCH(OrdersTable[[#This Row],[State]],State!A:A,0))</f>
        <v>KL</v>
      </c>
      <c r="J4655" t="str">
        <f>INDEX(State!C:C,MATCH(OrdersTable[[#This Row],[State Code]],State!B:B,0))</f>
        <v>South</v>
      </c>
      <c r="K4655" t="s">
        <v>317</v>
      </c>
      <c r="L4655" t="s">
        <v>23</v>
      </c>
      <c r="M4655" t="s">
        <v>29</v>
      </c>
      <c r="N4655" t="str">
        <f>INDEX(Products!B:B,MATCH(OrdersTable[[#This Row],[Product ID]],Products!A:A,0))</f>
        <v>Joggers</v>
      </c>
      <c r="O4655" t="str">
        <f>INDEX(Products!C:C,MATCH(OrdersTable[[#This Row],[Product ID]],Products!A:A,0))</f>
        <v>Apparel</v>
      </c>
      <c r="P4655">
        <v>2</v>
      </c>
      <c r="Q4655" s="5">
        <v>1199</v>
      </c>
      <c r="R4655" s="74">
        <v>0.2</v>
      </c>
      <c r="S4655" s="75">
        <f>OrdersTable[[#This Row],[Quantity]]*OrdersTable[[#This Row],[Unit Price]]</f>
        <v>2398</v>
      </c>
      <c r="T4655" s="5">
        <f>OrdersTable[[#This Row],[Gross Sale]]*OrdersTable[[#This Row],[Discount_Clean2]]</f>
        <v>479.6</v>
      </c>
      <c r="U4655" s="5">
        <f>OrdersTable[[#This Row],[Gross Sale]]-OrdersTable[[#This Row],[Discount Amount]]</f>
        <v>1918.4</v>
      </c>
      <c r="V4655" s="77">
        <f>INDEX(Products!E:E,MATCH(OrdersTable[[#This Row],[Product ID]],Products!A:A,0))</f>
        <v>492</v>
      </c>
      <c r="W4655" s="77">
        <f>OrdersTable[[#This Row],[Quantity]]*OrdersTable[[#This Row],[Unit Cost]]</f>
        <v>984</v>
      </c>
      <c r="X4655" s="77">
        <f>'Dropdown Lists'!$I$2*(1+OrdersTable[[#This Row],[Returned]])</f>
        <v>60</v>
      </c>
      <c r="Y4655" s="76">
        <f>OrdersTable[[#This Row],[Net Revenue]]-OrdersTable[[#This Row],[COGS]]-OrdersTable[[#This Row],[Shipping Cost]]</f>
        <v>874.40000000000009</v>
      </c>
      <c r="Z4655" s="78">
        <f>IFERROR(OrdersTable[[#This Row],[Profit]]/OrdersTable[[#This Row],[Net Revenue]],0)</f>
        <v>0.45579649708090075</v>
      </c>
      <c r="AA4655" t="s">
        <v>3495</v>
      </c>
      <c r="AB4655" s="79">
        <v>45996</v>
      </c>
      <c r="AC4655">
        <f>OrdersTable[[#This Row],[Delivery Date]]-OrdersTable[[#This Row],[Order Date]]</f>
        <v>2</v>
      </c>
      <c r="AD4655" t="str">
        <f>IF(OrdersTable[[#This Row],[Delivery Days]]&lt;=2, "Express (≤2d)", IF(OrdersTable[[#This Row],[Delivery Days]]&lt;=4, "Standard (3-4d)", "Delayed (5d+)"))</f>
        <v>Express (≤2d)</v>
      </c>
      <c r="AE4655">
        <v>4</v>
      </c>
      <c r="AF4655">
        <v>0</v>
      </c>
    </row>
    <row r="4656" spans="1:32" ht="15" x14ac:dyDescent="0.35">
      <c r="A4656" t="s">
        <v>7141</v>
      </c>
      <c r="B4656" s="1">
        <v>45994</v>
      </c>
      <c r="C4656">
        <f>YEAR(OrdersTable[[#This Row],[Order Date]])</f>
        <v>2025</v>
      </c>
      <c r="D4656" s="2">
        <f>DATE(YEAR(OrdersTable[[#This Row],[Order Date]]),MONTH(OrdersTable[[#This Row],[Order Date]]),1)</f>
        <v>45992</v>
      </c>
      <c r="E4656">
        <f>MONTH(OrdersTable[[#This Row],[Order Date]])</f>
        <v>12</v>
      </c>
      <c r="F4656" t="s">
        <v>2394</v>
      </c>
      <c r="G4656" t="str">
        <f>IF(OrdersTable[[#This Row],[Order Date]]=_xlfn.MINIFS(Order_Date, Customer_ID, OrdersTable[[#This Row],[Customer ID]]), "New", "Repeat")</f>
        <v>Repeat</v>
      </c>
      <c r="H4656" t="s">
        <v>316</v>
      </c>
      <c r="I4656" t="str">
        <f>INDEX(State!B:B,MATCH(OrdersTable[[#This Row],[State]],State!A:A,0))</f>
        <v>KL</v>
      </c>
      <c r="J4656" t="str">
        <f>INDEX(State!C:C,MATCH(OrdersTable[[#This Row],[State Code]],State!B:B,0))</f>
        <v>South</v>
      </c>
      <c r="K4656" t="s">
        <v>317</v>
      </c>
      <c r="L4656" t="s">
        <v>65</v>
      </c>
      <c r="M4656" t="s">
        <v>87</v>
      </c>
      <c r="N4656" t="str">
        <f>INDEX(Products!B:B,MATCH(OrdersTable[[#This Row],[Product ID]],Products!A:A,0))</f>
        <v>Linen Kurta</v>
      </c>
      <c r="O4656" t="str">
        <f>INDEX(Products!C:C,MATCH(OrdersTable[[#This Row],[Product ID]],Products!A:A,0))</f>
        <v>Apparel</v>
      </c>
      <c r="P4656">
        <v>4</v>
      </c>
      <c r="Q4656" s="5">
        <v>1499</v>
      </c>
      <c r="R4656" s="74">
        <v>0.3</v>
      </c>
      <c r="S4656" s="75">
        <f>OrdersTable[[#This Row],[Quantity]]*OrdersTable[[#This Row],[Unit Price]]</f>
        <v>5996</v>
      </c>
      <c r="T4656" s="5">
        <f>OrdersTable[[#This Row],[Gross Sale]]*OrdersTable[[#This Row],[Discount_Clean2]]</f>
        <v>1798.8</v>
      </c>
      <c r="U4656" s="5">
        <f>OrdersTable[[#This Row],[Gross Sale]]-OrdersTable[[#This Row],[Discount Amount]]</f>
        <v>4197.2</v>
      </c>
      <c r="V4656" s="77">
        <f>INDEX(Products!E:E,MATCH(OrdersTable[[#This Row],[Product ID]],Products!A:A,0))</f>
        <v>630</v>
      </c>
      <c r="W4656" s="77">
        <f>OrdersTable[[#This Row],[Quantity]]*OrdersTable[[#This Row],[Unit Cost]]</f>
        <v>2520</v>
      </c>
      <c r="X4656" s="77">
        <f>'Dropdown Lists'!$I$2*(1+OrdersTable[[#This Row],[Returned]])</f>
        <v>60</v>
      </c>
      <c r="Y4656" s="76">
        <f>OrdersTable[[#This Row],[Net Revenue]]-OrdersTable[[#This Row],[COGS]]-OrdersTable[[#This Row],[Shipping Cost]]</f>
        <v>1617.1999999999998</v>
      </c>
      <c r="Z4656" s="78">
        <f>IFERROR(OrdersTable[[#This Row],[Profit]]/OrdersTable[[#This Row],[Net Revenue]],0)</f>
        <v>0.38530448870675688</v>
      </c>
      <c r="AA4656" t="s">
        <v>18</v>
      </c>
      <c r="AB4656" s="79">
        <v>45998</v>
      </c>
      <c r="AC4656">
        <f>OrdersTable[[#This Row],[Delivery Date]]-OrdersTable[[#This Row],[Order Date]]</f>
        <v>4</v>
      </c>
      <c r="AD4656" t="str">
        <f>IF(OrdersTable[[#This Row],[Delivery Days]]&lt;=2, "Express (≤2d)", IF(OrdersTable[[#This Row],[Delivery Days]]&lt;=4, "Standard (3-4d)", "Delayed (5d+)"))</f>
        <v>Standard (3-4d)</v>
      </c>
      <c r="AE4656">
        <v>3</v>
      </c>
      <c r="AF4656">
        <v>0</v>
      </c>
    </row>
    <row r="4657" spans="1:32" ht="15" x14ac:dyDescent="0.35">
      <c r="A4657" t="s">
        <v>6033</v>
      </c>
      <c r="B4657" s="1">
        <v>45994</v>
      </c>
      <c r="C4657">
        <f>YEAR(OrdersTable[[#This Row],[Order Date]])</f>
        <v>2025</v>
      </c>
      <c r="D4657" s="2">
        <f>DATE(YEAR(OrdersTable[[#This Row],[Order Date]]),MONTH(OrdersTable[[#This Row],[Order Date]]),1)</f>
        <v>45992</v>
      </c>
      <c r="E4657">
        <f>MONTH(OrdersTable[[#This Row],[Order Date]])</f>
        <v>12</v>
      </c>
      <c r="F4657" t="s">
        <v>6034</v>
      </c>
      <c r="G4657" t="str">
        <f>IF(OrdersTable[[#This Row],[Order Date]]=_xlfn.MINIFS(Order_Date, Customer_ID, OrdersTable[[#This Row],[Customer ID]]), "New", "Repeat")</f>
        <v>New</v>
      </c>
      <c r="H4657" t="s">
        <v>59</v>
      </c>
      <c r="I4657" t="str">
        <f>INDEX(State!B:B,MATCH(OrdersTable[[#This Row],[State]],State!A:A,0))</f>
        <v>TN</v>
      </c>
      <c r="J4657" t="str">
        <f>INDEX(State!C:C,MATCH(OrdersTable[[#This Row],[State Code]],State!B:B,0))</f>
        <v>South</v>
      </c>
      <c r="K4657" t="s">
        <v>64</v>
      </c>
      <c r="L4657" t="s">
        <v>65</v>
      </c>
      <c r="M4657" t="s">
        <v>24</v>
      </c>
      <c r="N4657" t="str">
        <f>INDEX(Products!B:B,MATCH(OrdersTable[[#This Row],[Product ID]],Products!A:A,0))</f>
        <v>Scented Candle Set</v>
      </c>
      <c r="O4657" t="str">
        <f>INDEX(Products!C:C,MATCH(OrdersTable[[#This Row],[Product ID]],Products!A:A,0))</f>
        <v>Home &amp; Kitchen</v>
      </c>
      <c r="P4657">
        <v>2</v>
      </c>
      <c r="Q4657" s="5">
        <v>699</v>
      </c>
      <c r="R4657" s="74">
        <v>0.25</v>
      </c>
      <c r="S4657" s="75">
        <f>OrdersTable[[#This Row],[Quantity]]*OrdersTable[[#This Row],[Unit Price]]</f>
        <v>1398</v>
      </c>
      <c r="T4657" s="5">
        <f>OrdersTable[[#This Row],[Gross Sale]]*OrdersTable[[#This Row],[Discount_Clean2]]</f>
        <v>349.5</v>
      </c>
      <c r="U4657" s="5">
        <f>OrdersTable[[#This Row],[Gross Sale]]-OrdersTable[[#This Row],[Discount Amount]]</f>
        <v>1048.5</v>
      </c>
      <c r="V4657" s="77">
        <f>INDEX(Products!E:E,MATCH(OrdersTable[[#This Row],[Product ID]],Products!A:A,0))</f>
        <v>245</v>
      </c>
      <c r="W4657" s="77">
        <f>OrdersTable[[#This Row],[Quantity]]*OrdersTable[[#This Row],[Unit Cost]]</f>
        <v>490</v>
      </c>
      <c r="X4657" s="77">
        <f>'Dropdown Lists'!$I$2*(1+OrdersTable[[#This Row],[Returned]])</f>
        <v>60</v>
      </c>
      <c r="Y4657" s="76">
        <f>OrdersTable[[#This Row],[Net Revenue]]-OrdersTable[[#This Row],[COGS]]-OrdersTable[[#This Row],[Shipping Cost]]</f>
        <v>498.5</v>
      </c>
      <c r="Z4657" s="78">
        <f>IFERROR(OrdersTable[[#This Row],[Profit]]/OrdersTable[[#This Row],[Net Revenue]],0)</f>
        <v>0.47544110634239389</v>
      </c>
      <c r="AA4657" t="s">
        <v>18</v>
      </c>
      <c r="AB4657" s="79">
        <v>45998</v>
      </c>
      <c r="AC4657">
        <f>OrdersTable[[#This Row],[Delivery Date]]-OrdersTable[[#This Row],[Order Date]]</f>
        <v>4</v>
      </c>
      <c r="AD4657" t="str">
        <f>IF(OrdersTable[[#This Row],[Delivery Days]]&lt;=2, "Express (≤2d)", IF(OrdersTable[[#This Row],[Delivery Days]]&lt;=4, "Standard (3-4d)", "Delayed (5d+)"))</f>
        <v>Standard (3-4d)</v>
      </c>
      <c r="AF4657">
        <v>0</v>
      </c>
    </row>
    <row r="4658" spans="1:32" ht="15" x14ac:dyDescent="0.35">
      <c r="A4658" t="s">
        <v>413</v>
      </c>
      <c r="B4658" s="1">
        <v>45995</v>
      </c>
      <c r="C4658">
        <f>YEAR(OrdersTable[[#This Row],[Order Date]])</f>
        <v>2025</v>
      </c>
      <c r="D4658" s="2">
        <f>DATE(YEAR(OrdersTable[[#This Row],[Order Date]]),MONTH(OrdersTable[[#This Row],[Order Date]]),1)</f>
        <v>45992</v>
      </c>
      <c r="E4658">
        <f>MONTH(OrdersTable[[#This Row],[Order Date]])</f>
        <v>12</v>
      </c>
      <c r="F4658" t="s">
        <v>414</v>
      </c>
      <c r="G4658" t="str">
        <f>IF(OrdersTable[[#This Row],[Order Date]]=_xlfn.MINIFS(Order_Date, Customer_ID, OrdersTable[[#This Row],[Customer ID]]), "New", "Repeat")</f>
        <v>New</v>
      </c>
      <c r="H4658" t="s">
        <v>210</v>
      </c>
      <c r="I4658" t="str">
        <f>INDEX(State!B:B,MATCH(OrdersTable[[#This Row],[State]],State!A:A,0))</f>
        <v>JK</v>
      </c>
      <c r="J4658" t="str">
        <f>INDEX(State!C:C,MATCH(OrdersTable[[#This Row],[State Code]],State!B:B,0))</f>
        <v>North</v>
      </c>
      <c r="K4658" t="s">
        <v>415</v>
      </c>
      <c r="L4658" t="s">
        <v>39</v>
      </c>
      <c r="M4658" t="s">
        <v>205</v>
      </c>
      <c r="N4658" t="str">
        <f>INDEX(Products!B:B,MATCH(OrdersTable[[#This Row],[Product ID]],Products!A:A,0))</f>
        <v>Running Shoes</v>
      </c>
      <c r="O4658" t="str">
        <f>INDEX(Products!C:C,MATCH(OrdersTable[[#This Row],[Product ID]],Products!A:A,0))</f>
        <v>Footwear</v>
      </c>
      <c r="P4658">
        <v>1</v>
      </c>
      <c r="Q4658" s="5">
        <v>2999</v>
      </c>
      <c r="R4658" s="74">
        <v>0.25</v>
      </c>
      <c r="S4658" s="75">
        <f>OrdersTable[[#This Row],[Quantity]]*OrdersTable[[#This Row],[Unit Price]]</f>
        <v>2999</v>
      </c>
      <c r="T4658" s="5">
        <f>OrdersTable[[#This Row],[Gross Sale]]*OrdersTable[[#This Row],[Discount_Clean2]]</f>
        <v>749.75</v>
      </c>
      <c r="U4658" s="5">
        <f>OrdersTable[[#This Row],[Gross Sale]]-OrdersTable[[#This Row],[Discount Amount]]</f>
        <v>2249.25</v>
      </c>
      <c r="V4658" s="77">
        <f>INDEX(Products!E:E,MATCH(OrdersTable[[#This Row],[Product ID]],Products!A:A,0))</f>
        <v>1440</v>
      </c>
      <c r="W4658" s="77">
        <f>OrdersTable[[#This Row],[Quantity]]*OrdersTable[[#This Row],[Unit Cost]]</f>
        <v>1440</v>
      </c>
      <c r="X4658" s="77">
        <f>'Dropdown Lists'!$I$2*(1+OrdersTable[[#This Row],[Returned]])</f>
        <v>60</v>
      </c>
      <c r="Y4658" s="76">
        <f>OrdersTable[[#This Row],[Net Revenue]]-OrdersTable[[#This Row],[COGS]]-OrdersTable[[#This Row],[Shipping Cost]]</f>
        <v>749.25</v>
      </c>
      <c r="Z4658" s="78">
        <f>IFERROR(OrdersTable[[#This Row],[Profit]]/OrdersTable[[#This Row],[Net Revenue]],0)</f>
        <v>0.33311103701233746</v>
      </c>
      <c r="AA4658" t="s">
        <v>18</v>
      </c>
      <c r="AB4658" s="79">
        <v>46000</v>
      </c>
      <c r="AC4658">
        <f>OrdersTable[[#This Row],[Delivery Date]]-OrdersTable[[#This Row],[Order Date]]</f>
        <v>5</v>
      </c>
      <c r="AD4658" t="str">
        <f>IF(OrdersTable[[#This Row],[Delivery Days]]&lt;=2, "Express (≤2d)", IF(OrdersTable[[#This Row],[Delivery Days]]&lt;=4, "Standard (3-4d)", "Delayed (5d+)"))</f>
        <v>Delayed (5d+)</v>
      </c>
      <c r="AE4658">
        <v>4</v>
      </c>
      <c r="AF4658">
        <v>0</v>
      </c>
    </row>
    <row r="4659" spans="1:32" ht="15" x14ac:dyDescent="0.35">
      <c r="A4659" t="s">
        <v>6834</v>
      </c>
      <c r="B4659" s="1">
        <v>45995</v>
      </c>
      <c r="C4659">
        <f>YEAR(OrdersTable[[#This Row],[Order Date]])</f>
        <v>2025</v>
      </c>
      <c r="D4659" s="2">
        <f>DATE(YEAR(OrdersTable[[#This Row],[Order Date]]),MONTH(OrdersTable[[#This Row],[Order Date]]),1)</f>
        <v>45992</v>
      </c>
      <c r="E4659">
        <f>MONTH(OrdersTable[[#This Row],[Order Date]])</f>
        <v>12</v>
      </c>
      <c r="F4659" t="s">
        <v>89</v>
      </c>
      <c r="G4659" t="str">
        <f>IF(OrdersTable[[#This Row],[Order Date]]=_xlfn.MINIFS(Order_Date, Customer_ID, OrdersTable[[#This Row],[Customer ID]]), "New", "Repeat")</f>
        <v>Repeat</v>
      </c>
      <c r="H4659" t="s">
        <v>158</v>
      </c>
      <c r="I4659" t="str">
        <f>INDEX(State!B:B,MATCH(OrdersTable[[#This Row],[State]],State!A:A,0))</f>
        <v>HP</v>
      </c>
      <c r="J4659" t="str">
        <f>INDEX(State!C:C,MATCH(OrdersTable[[#This Row],[State Code]],State!B:B,0))</f>
        <v>North</v>
      </c>
      <c r="K4659" t="s">
        <v>159</v>
      </c>
      <c r="L4659" t="s">
        <v>65</v>
      </c>
      <c r="M4659" t="s">
        <v>576</v>
      </c>
      <c r="N4659" t="str">
        <f>INDEX(Products!B:B,MATCH(OrdersTable[[#This Row],[Product ID]],Products!A:A,0))</f>
        <v>Printed Saree</v>
      </c>
      <c r="O4659" t="str">
        <f>INDEX(Products!C:C,MATCH(OrdersTable[[#This Row],[Product ID]],Products!A:A,0))</f>
        <v>Apparel</v>
      </c>
      <c r="P4659">
        <v>3</v>
      </c>
      <c r="Q4659" s="5">
        <v>1999</v>
      </c>
      <c r="R4659" s="74">
        <v>0.15</v>
      </c>
      <c r="S4659" s="75">
        <f>OrdersTable[[#This Row],[Quantity]]*OrdersTable[[#This Row],[Unit Price]]</f>
        <v>5997</v>
      </c>
      <c r="T4659" s="5">
        <f>OrdersTable[[#This Row],[Gross Sale]]*OrdersTable[[#This Row],[Discount_Clean2]]</f>
        <v>899.55</v>
      </c>
      <c r="U4659" s="5">
        <f>OrdersTable[[#This Row],[Gross Sale]]-OrdersTable[[#This Row],[Discount Amount]]</f>
        <v>5097.45</v>
      </c>
      <c r="V4659" s="77">
        <f>INDEX(Products!E:E,MATCH(OrdersTable[[#This Row],[Product ID]],Products!A:A,0))</f>
        <v>880</v>
      </c>
      <c r="W4659" s="77">
        <f>OrdersTable[[#This Row],[Quantity]]*OrdersTable[[#This Row],[Unit Cost]]</f>
        <v>2640</v>
      </c>
      <c r="X4659" s="77">
        <f>'Dropdown Lists'!$I$2*(1+OrdersTable[[#This Row],[Returned]])</f>
        <v>120</v>
      </c>
      <c r="Y4659" s="76">
        <f>OrdersTable[[#This Row],[Net Revenue]]-OrdersTable[[#This Row],[COGS]]-OrdersTable[[#This Row],[Shipping Cost]]</f>
        <v>2337.4499999999998</v>
      </c>
      <c r="Z4659" s="78">
        <f>IFERROR(OrdersTable[[#This Row],[Profit]]/OrdersTable[[#This Row],[Net Revenue]],0)</f>
        <v>0.458552805814672</v>
      </c>
      <c r="AA4659" t="s">
        <v>3495</v>
      </c>
      <c r="AB4659" s="79">
        <v>45999</v>
      </c>
      <c r="AC4659">
        <f>OrdersTable[[#This Row],[Delivery Date]]-OrdersTable[[#This Row],[Order Date]]</f>
        <v>4</v>
      </c>
      <c r="AD4659" t="str">
        <f>IF(OrdersTable[[#This Row],[Delivery Days]]&lt;=2, "Express (≤2d)", IF(OrdersTable[[#This Row],[Delivery Days]]&lt;=4, "Standard (3-4d)", "Delayed (5d+)"))</f>
        <v>Standard (3-4d)</v>
      </c>
      <c r="AE4659">
        <v>4</v>
      </c>
      <c r="AF4659">
        <v>1</v>
      </c>
    </row>
    <row r="4660" spans="1:32" ht="15" x14ac:dyDescent="0.35">
      <c r="A4660" t="s">
        <v>4060</v>
      </c>
      <c r="B4660" s="1">
        <v>45995</v>
      </c>
      <c r="C4660">
        <f>YEAR(OrdersTable[[#This Row],[Order Date]])</f>
        <v>2025</v>
      </c>
      <c r="D4660" s="2">
        <f>DATE(YEAR(OrdersTable[[#This Row],[Order Date]]),MONTH(OrdersTable[[#This Row],[Order Date]]),1)</f>
        <v>45992</v>
      </c>
      <c r="E4660">
        <f>MONTH(OrdersTable[[#This Row],[Order Date]])</f>
        <v>12</v>
      </c>
      <c r="F4660" t="s">
        <v>877</v>
      </c>
      <c r="G4660" t="str">
        <f>IF(OrdersTable[[#This Row],[Order Date]]=_xlfn.MINIFS(Order_Date, Customer_ID, OrdersTable[[#This Row],[Customer ID]]), "New", "Repeat")</f>
        <v>Repeat</v>
      </c>
      <c r="H4660" t="s">
        <v>48</v>
      </c>
      <c r="I4660" t="str">
        <f>INDEX(State!B:B,MATCH(OrdersTable[[#This Row],[State]],State!A:A,0))</f>
        <v>HR</v>
      </c>
      <c r="J4660" t="str">
        <f>INDEX(State!C:C,MATCH(OrdersTable[[#This Row],[State Code]],State!B:B,0))</f>
        <v>North</v>
      </c>
      <c r="K4660" t="s">
        <v>151</v>
      </c>
      <c r="L4660" t="s">
        <v>16</v>
      </c>
      <c r="M4660" t="s">
        <v>176</v>
      </c>
      <c r="N4660" t="str">
        <f>INDEX(Products!B:B,MATCH(OrdersTable[[#This Row],[Product ID]],Products!A:A,0))</f>
        <v>Denim Jacket</v>
      </c>
      <c r="O4660" t="str">
        <f>INDEX(Products!C:C,MATCH(OrdersTable[[#This Row],[Product ID]],Products!A:A,0))</f>
        <v>Apparel</v>
      </c>
      <c r="P4660">
        <v>1</v>
      </c>
      <c r="Q4660" s="5">
        <v>2499</v>
      </c>
      <c r="R4660" s="74">
        <v>0.05</v>
      </c>
      <c r="S4660" s="75">
        <f>OrdersTable[[#This Row],[Quantity]]*OrdersTable[[#This Row],[Unit Price]]</f>
        <v>2499</v>
      </c>
      <c r="T4660" s="5">
        <f>OrdersTable[[#This Row],[Gross Sale]]*OrdersTable[[#This Row],[Discount_Clean2]]</f>
        <v>124.95</v>
      </c>
      <c r="U4660" s="5">
        <f>OrdersTable[[#This Row],[Gross Sale]]-OrdersTable[[#This Row],[Discount Amount]]</f>
        <v>2374.0500000000002</v>
      </c>
      <c r="V4660" s="77">
        <f>INDEX(Products!E:E,MATCH(OrdersTable[[#This Row],[Product ID]],Products!A:A,0))</f>
        <v>1125</v>
      </c>
      <c r="W4660" s="77">
        <f>OrdersTable[[#This Row],[Quantity]]*OrdersTable[[#This Row],[Unit Cost]]</f>
        <v>1125</v>
      </c>
      <c r="X4660" s="77">
        <f>'Dropdown Lists'!$I$2*(1+OrdersTable[[#This Row],[Returned]])</f>
        <v>60</v>
      </c>
      <c r="Y4660" s="76">
        <f>OrdersTable[[#This Row],[Net Revenue]]-OrdersTable[[#This Row],[COGS]]-OrdersTable[[#This Row],[Shipping Cost]]</f>
        <v>1189.0500000000002</v>
      </c>
      <c r="Z4660" s="78">
        <f>IFERROR(OrdersTable[[#This Row],[Profit]]/OrdersTable[[#This Row],[Net Revenue]],0)</f>
        <v>0.50085297276805463</v>
      </c>
      <c r="AA4660" t="s">
        <v>3495</v>
      </c>
      <c r="AB4660" s="79">
        <v>45996</v>
      </c>
      <c r="AC4660">
        <f>OrdersTable[[#This Row],[Delivery Date]]-OrdersTable[[#This Row],[Order Date]]</f>
        <v>1</v>
      </c>
      <c r="AD4660" t="str">
        <f>IF(OrdersTable[[#This Row],[Delivery Days]]&lt;=2, "Express (≤2d)", IF(OrdersTable[[#This Row],[Delivery Days]]&lt;=4, "Standard (3-4d)", "Delayed (5d+)"))</f>
        <v>Express (≤2d)</v>
      </c>
      <c r="AE4660">
        <v>5</v>
      </c>
      <c r="AF4660">
        <v>0</v>
      </c>
    </row>
    <row r="4661" spans="1:32" ht="15" x14ac:dyDescent="0.35">
      <c r="A4661" t="s">
        <v>1321</v>
      </c>
      <c r="B4661" s="1">
        <v>45995</v>
      </c>
      <c r="C4661">
        <f>YEAR(OrdersTable[[#This Row],[Order Date]])</f>
        <v>2025</v>
      </c>
      <c r="D4661" s="2">
        <f>DATE(YEAR(OrdersTable[[#This Row],[Order Date]]),MONTH(OrdersTable[[#This Row],[Order Date]]),1)</f>
        <v>45992</v>
      </c>
      <c r="E4661">
        <f>MONTH(OrdersTable[[#This Row],[Order Date]])</f>
        <v>12</v>
      </c>
      <c r="F4661" t="s">
        <v>1322</v>
      </c>
      <c r="G4661" t="str">
        <f>IF(OrdersTable[[#This Row],[Order Date]]=_xlfn.MINIFS(Order_Date, Customer_ID, OrdersTable[[#This Row],[Customer ID]]), "New", "Repeat")</f>
        <v>Repeat</v>
      </c>
      <c r="H4661" t="s">
        <v>128</v>
      </c>
      <c r="I4661" t="str">
        <f>INDEX(State!B:B,MATCH(OrdersTable[[#This Row],[State]],State!A:A,0))</f>
        <v>DL</v>
      </c>
      <c r="J4661" t="str">
        <f>INDEX(State!C:C,MATCH(OrdersTable[[#This Row],[State Code]],State!B:B,0))</f>
        <v>North</v>
      </c>
      <c r="K4661" t="s">
        <v>129</v>
      </c>
      <c r="L4661" t="s">
        <v>16</v>
      </c>
      <c r="M4661" t="s">
        <v>255</v>
      </c>
      <c r="N4661" t="str">
        <f>INDEX(Products!B:B,MATCH(OrdersTable[[#This Row],[Product ID]],Products!A:A,0))</f>
        <v>Cotton Oversized T-Shirt</v>
      </c>
      <c r="O4661" t="str">
        <f>INDEX(Products!C:C,MATCH(OrdersTable[[#This Row],[Product ID]],Products!A:A,0))</f>
        <v>Apparel</v>
      </c>
      <c r="P4661">
        <v>1</v>
      </c>
      <c r="Q4661" s="5">
        <v>799</v>
      </c>
      <c r="R4661" s="74">
        <v>0</v>
      </c>
      <c r="S4661" s="75">
        <f>OrdersTable[[#This Row],[Quantity]]*OrdersTable[[#This Row],[Unit Price]]</f>
        <v>799</v>
      </c>
      <c r="T4661" s="5">
        <f>OrdersTable[[#This Row],[Gross Sale]]*OrdersTable[[#This Row],[Discount_Clean2]]</f>
        <v>0</v>
      </c>
      <c r="U4661" s="5">
        <f>OrdersTable[[#This Row],[Gross Sale]]-OrdersTable[[#This Row],[Discount Amount]]</f>
        <v>799</v>
      </c>
      <c r="V4661" s="77">
        <f>INDEX(Products!E:E,MATCH(OrdersTable[[#This Row],[Product ID]],Products!A:A,0))</f>
        <v>320</v>
      </c>
      <c r="W4661" s="77">
        <f>OrdersTable[[#This Row],[Quantity]]*OrdersTable[[#This Row],[Unit Cost]]</f>
        <v>320</v>
      </c>
      <c r="X4661" s="77">
        <f>'Dropdown Lists'!$I$2*(1+OrdersTable[[#This Row],[Returned]])</f>
        <v>60</v>
      </c>
      <c r="Y4661" s="76">
        <f>OrdersTable[[#This Row],[Net Revenue]]-OrdersTable[[#This Row],[COGS]]-OrdersTable[[#This Row],[Shipping Cost]]</f>
        <v>419</v>
      </c>
      <c r="Z4661" s="78">
        <f>IFERROR(OrdersTable[[#This Row],[Profit]]/OrdersTable[[#This Row],[Net Revenue]],0)</f>
        <v>0.52440550688360454</v>
      </c>
      <c r="AA4661" t="s">
        <v>18</v>
      </c>
      <c r="AB4661" s="79">
        <v>45996</v>
      </c>
      <c r="AC4661">
        <f>OrdersTable[[#This Row],[Delivery Date]]-OrdersTable[[#This Row],[Order Date]]</f>
        <v>1</v>
      </c>
      <c r="AD4661" t="str">
        <f>IF(OrdersTable[[#This Row],[Delivery Days]]&lt;=2, "Express (≤2d)", IF(OrdersTable[[#This Row],[Delivery Days]]&lt;=4, "Standard (3-4d)", "Delayed (5d+)"))</f>
        <v>Express (≤2d)</v>
      </c>
      <c r="AF4661">
        <v>0</v>
      </c>
    </row>
    <row r="4662" spans="1:32" ht="15" x14ac:dyDescent="0.35">
      <c r="A4662" t="s">
        <v>5054</v>
      </c>
      <c r="B4662" s="1">
        <v>45995</v>
      </c>
      <c r="C4662">
        <f>YEAR(OrdersTable[[#This Row],[Order Date]])</f>
        <v>2025</v>
      </c>
      <c r="D4662" s="2">
        <f>DATE(YEAR(OrdersTable[[#This Row],[Order Date]]),MONTH(OrdersTable[[#This Row],[Order Date]]),1)</f>
        <v>45992</v>
      </c>
      <c r="E4662">
        <f>MONTH(OrdersTable[[#This Row],[Order Date]])</f>
        <v>12</v>
      </c>
      <c r="F4662" t="s">
        <v>5055</v>
      </c>
      <c r="G4662" t="str">
        <f>IF(OrdersTable[[#This Row],[Order Date]]=_xlfn.MINIFS(Order_Date, Customer_ID, OrdersTable[[#This Row],[Customer ID]]), "New", "Repeat")</f>
        <v>Repeat</v>
      </c>
      <c r="H4662" t="s">
        <v>71</v>
      </c>
      <c r="I4662" t="str">
        <f>INDEX(State!B:B,MATCH(OrdersTable[[#This Row],[State]],State!A:A,0))</f>
        <v>MH</v>
      </c>
      <c r="J4662" t="str">
        <f>INDEX(State!C:C,MATCH(OrdersTable[[#This Row],[State Code]],State!B:B,0))</f>
        <v>West</v>
      </c>
      <c r="K4662" t="s">
        <v>102</v>
      </c>
      <c r="L4662" t="s">
        <v>23</v>
      </c>
      <c r="M4662" t="s">
        <v>51</v>
      </c>
      <c r="N4662" t="str">
        <f>INDEX(Products!B:B,MATCH(OrdersTable[[#This Row],[Product ID]],Products!A:A,0))</f>
        <v>Anti-Dandruff Conditioner</v>
      </c>
      <c r="O4662" t="str">
        <f>INDEX(Products!C:C,MATCH(OrdersTable[[#This Row],[Product ID]],Products!A:A,0))</f>
        <v>Haircare</v>
      </c>
      <c r="P4662">
        <v>2</v>
      </c>
      <c r="Q4662" s="5">
        <v>399</v>
      </c>
      <c r="R4662" s="74">
        <v>0.35</v>
      </c>
      <c r="S4662" s="75">
        <f>OrdersTable[[#This Row],[Quantity]]*OrdersTable[[#This Row],[Unit Price]]</f>
        <v>798</v>
      </c>
      <c r="T4662" s="5">
        <f>OrdersTable[[#This Row],[Gross Sale]]*OrdersTable[[#This Row],[Discount_Clean2]]</f>
        <v>279.29999999999995</v>
      </c>
      <c r="U4662" s="5">
        <f>OrdersTable[[#This Row],[Gross Sale]]-OrdersTable[[#This Row],[Discount Amount]]</f>
        <v>518.70000000000005</v>
      </c>
      <c r="V4662" s="77">
        <f>INDEX(Products!E:E,MATCH(OrdersTable[[#This Row],[Product ID]],Products!A:A,0))</f>
        <v>136</v>
      </c>
      <c r="W4662" s="77">
        <f>OrdersTable[[#This Row],[Quantity]]*OrdersTable[[#This Row],[Unit Cost]]</f>
        <v>272</v>
      </c>
      <c r="X4662" s="77">
        <f>'Dropdown Lists'!$I$2*(1+OrdersTable[[#This Row],[Returned]])</f>
        <v>60</v>
      </c>
      <c r="Y4662" s="76">
        <f>OrdersTable[[#This Row],[Net Revenue]]-OrdersTable[[#This Row],[COGS]]-OrdersTable[[#This Row],[Shipping Cost]]</f>
        <v>186.70000000000005</v>
      </c>
      <c r="Z4662" s="78">
        <f>IFERROR(OrdersTable[[#This Row],[Profit]]/OrdersTable[[#This Row],[Net Revenue]],0)</f>
        <v>0.35993830730672843</v>
      </c>
      <c r="AA4662" t="s">
        <v>4074</v>
      </c>
      <c r="AB4662" s="79">
        <v>45997</v>
      </c>
      <c r="AC4662">
        <f>OrdersTable[[#This Row],[Delivery Date]]-OrdersTable[[#This Row],[Order Date]]</f>
        <v>2</v>
      </c>
      <c r="AD4662" t="str">
        <f>IF(OrdersTable[[#This Row],[Delivery Days]]&lt;=2, "Express (≤2d)", IF(OrdersTable[[#This Row],[Delivery Days]]&lt;=4, "Standard (3-4d)", "Delayed (5d+)"))</f>
        <v>Express (≤2d)</v>
      </c>
      <c r="AE4662">
        <v>5</v>
      </c>
      <c r="AF4662">
        <v>0</v>
      </c>
    </row>
    <row r="4663" spans="1:32" ht="15" x14ac:dyDescent="0.35">
      <c r="A4663" t="s">
        <v>4203</v>
      </c>
      <c r="B4663" s="1">
        <v>45995</v>
      </c>
      <c r="C4663">
        <f>YEAR(OrdersTable[[#This Row],[Order Date]])</f>
        <v>2025</v>
      </c>
      <c r="D4663" s="2">
        <f>DATE(YEAR(OrdersTable[[#This Row],[Order Date]]),MONTH(OrdersTable[[#This Row],[Order Date]]),1)</f>
        <v>45992</v>
      </c>
      <c r="E4663">
        <f>MONTH(OrdersTable[[#This Row],[Order Date]])</f>
        <v>12</v>
      </c>
      <c r="F4663" t="s">
        <v>4204</v>
      </c>
      <c r="G4663" t="str">
        <f>IF(OrdersTable[[#This Row],[Order Date]]=_xlfn.MINIFS(Order_Date, Customer_ID, OrdersTable[[#This Row],[Customer ID]]), "New", "Repeat")</f>
        <v>Repeat</v>
      </c>
      <c r="H4663" t="s">
        <v>71</v>
      </c>
      <c r="I4663" t="str">
        <f>INDEX(State!B:B,MATCH(OrdersTable[[#This Row],[State]],State!A:A,0))</f>
        <v>MH</v>
      </c>
      <c r="J4663" t="str">
        <f>INDEX(State!C:C,MATCH(OrdersTable[[#This Row],[State Code]],State!B:B,0))</f>
        <v>West</v>
      </c>
      <c r="K4663" t="s">
        <v>81</v>
      </c>
      <c r="L4663" t="s">
        <v>39</v>
      </c>
      <c r="M4663" t="s">
        <v>84</v>
      </c>
      <c r="N4663" t="str">
        <f>INDEX(Products!B:B,MATCH(OrdersTable[[#This Row],[Product ID]],Products!A:A,0))</f>
        <v>Cotton Bedsheet</v>
      </c>
      <c r="O4663" t="str">
        <f>INDEX(Products!C:C,MATCH(OrdersTable[[#This Row],[Product ID]],Products!A:A,0))</f>
        <v>Home &amp; Kitchen</v>
      </c>
      <c r="P4663">
        <v>1</v>
      </c>
      <c r="Q4663" s="5">
        <v>1299</v>
      </c>
      <c r="R4663" s="74">
        <v>0</v>
      </c>
      <c r="S4663" s="75">
        <f>OrdersTable[[#This Row],[Quantity]]*OrdersTable[[#This Row],[Unit Price]]</f>
        <v>1299</v>
      </c>
      <c r="T4663" s="5">
        <f>OrdersTable[[#This Row],[Gross Sale]]*OrdersTable[[#This Row],[Discount_Clean2]]</f>
        <v>0</v>
      </c>
      <c r="U4663" s="5">
        <f>OrdersTable[[#This Row],[Gross Sale]]-OrdersTable[[#This Row],[Discount Amount]]</f>
        <v>1299</v>
      </c>
      <c r="V4663" s="77">
        <f>INDEX(Products!E:E,MATCH(OrdersTable[[#This Row],[Product ID]],Products!A:A,0))</f>
        <v>585</v>
      </c>
      <c r="W4663" s="77">
        <f>OrdersTable[[#This Row],[Quantity]]*OrdersTable[[#This Row],[Unit Cost]]</f>
        <v>585</v>
      </c>
      <c r="X4663" s="77">
        <f>'Dropdown Lists'!$I$2*(1+OrdersTable[[#This Row],[Returned]])</f>
        <v>60</v>
      </c>
      <c r="Y4663" s="76">
        <f>OrdersTable[[#This Row],[Net Revenue]]-OrdersTable[[#This Row],[COGS]]-OrdersTable[[#This Row],[Shipping Cost]]</f>
        <v>654</v>
      </c>
      <c r="Z4663" s="78">
        <f>IFERROR(OrdersTable[[#This Row],[Profit]]/OrdersTable[[#This Row],[Net Revenue]],0)</f>
        <v>0.50346420323325636</v>
      </c>
      <c r="AA4663" t="s">
        <v>4074</v>
      </c>
      <c r="AB4663" s="79">
        <v>45997</v>
      </c>
      <c r="AC4663">
        <f>OrdersTable[[#This Row],[Delivery Date]]-OrdersTable[[#This Row],[Order Date]]</f>
        <v>2</v>
      </c>
      <c r="AD4663" t="str">
        <f>IF(OrdersTable[[#This Row],[Delivery Days]]&lt;=2, "Express (≤2d)", IF(OrdersTable[[#This Row],[Delivery Days]]&lt;=4, "Standard (3-4d)", "Delayed (5d+)"))</f>
        <v>Express (≤2d)</v>
      </c>
      <c r="AE4663">
        <v>5</v>
      </c>
      <c r="AF4663">
        <v>0</v>
      </c>
    </row>
    <row r="4664" spans="1:32" ht="15" x14ac:dyDescent="0.35">
      <c r="A4664" t="s">
        <v>7040</v>
      </c>
      <c r="B4664" s="1">
        <v>45995</v>
      </c>
      <c r="C4664">
        <f>YEAR(OrdersTable[[#This Row],[Order Date]])</f>
        <v>2025</v>
      </c>
      <c r="D4664" s="2">
        <f>DATE(YEAR(OrdersTable[[#This Row],[Order Date]]),MONTH(OrdersTable[[#This Row],[Order Date]]),1)</f>
        <v>45992</v>
      </c>
      <c r="E4664">
        <f>MONTH(OrdersTable[[#This Row],[Order Date]])</f>
        <v>12</v>
      </c>
      <c r="F4664" t="s">
        <v>1933</v>
      </c>
      <c r="G4664" t="str">
        <f>IF(OrdersTable[[#This Row],[Order Date]]=_xlfn.MINIFS(Order_Date, Customer_ID, OrdersTable[[#This Row],[Customer ID]]), "New", "Repeat")</f>
        <v>Repeat</v>
      </c>
      <c r="H4664" t="s">
        <v>167</v>
      </c>
      <c r="I4664" t="str">
        <f>INDEX(State!B:B,MATCH(OrdersTable[[#This Row],[State]],State!A:A,0))</f>
        <v>KA</v>
      </c>
      <c r="J4664" t="str">
        <f>INDEX(State!C:C,MATCH(OrdersTable[[#This Row],[State Code]],State!B:B,0))</f>
        <v>South</v>
      </c>
      <c r="K4664" t="s">
        <v>168</v>
      </c>
      <c r="L4664" t="s">
        <v>65</v>
      </c>
      <c r="M4664" t="s">
        <v>45</v>
      </c>
      <c r="N4664" t="str">
        <f>INDEX(Products!B:B,MATCH(OrdersTable[[#This Row],[Product ID]],Products!A:A,0))</f>
        <v>Argan Shampoo</v>
      </c>
      <c r="O4664" t="str">
        <f>INDEX(Products!C:C,MATCH(OrdersTable[[#This Row],[Product ID]],Products!A:A,0))</f>
        <v>Haircare</v>
      </c>
      <c r="P4664">
        <v>4</v>
      </c>
      <c r="Q4664" s="5">
        <v>449</v>
      </c>
      <c r="R4664" s="74">
        <v>0.15</v>
      </c>
      <c r="S4664" s="75">
        <f>OrdersTable[[#This Row],[Quantity]]*OrdersTable[[#This Row],[Unit Price]]</f>
        <v>1796</v>
      </c>
      <c r="T4664" s="5">
        <f>OrdersTable[[#This Row],[Gross Sale]]*OrdersTable[[#This Row],[Discount_Clean2]]</f>
        <v>269.39999999999998</v>
      </c>
      <c r="U4664" s="5">
        <f>OrdersTable[[#This Row],[Gross Sale]]-OrdersTable[[#This Row],[Discount Amount]]</f>
        <v>1526.6</v>
      </c>
      <c r="V4664" s="77">
        <f>INDEX(Products!E:E,MATCH(OrdersTable[[#This Row],[Product ID]],Products!A:A,0))</f>
        <v>148</v>
      </c>
      <c r="W4664" s="77">
        <f>OrdersTable[[#This Row],[Quantity]]*OrdersTable[[#This Row],[Unit Cost]]</f>
        <v>592</v>
      </c>
      <c r="X4664" s="77">
        <f>'Dropdown Lists'!$I$2*(1+OrdersTable[[#This Row],[Returned]])</f>
        <v>60</v>
      </c>
      <c r="Y4664" s="76">
        <f>OrdersTable[[#This Row],[Net Revenue]]-OrdersTable[[#This Row],[COGS]]-OrdersTable[[#This Row],[Shipping Cost]]</f>
        <v>874.59999999999991</v>
      </c>
      <c r="Z4664" s="78">
        <f>IFERROR(OrdersTable[[#This Row],[Profit]]/OrdersTable[[#This Row],[Net Revenue]],0)</f>
        <v>0.57290711384776627</v>
      </c>
      <c r="AA4664" t="s">
        <v>3495</v>
      </c>
      <c r="AB4664" s="79">
        <v>45997</v>
      </c>
      <c r="AC4664">
        <f>OrdersTable[[#This Row],[Delivery Date]]-OrdersTable[[#This Row],[Order Date]]</f>
        <v>2</v>
      </c>
      <c r="AD4664" t="str">
        <f>IF(OrdersTable[[#This Row],[Delivery Days]]&lt;=2, "Express (≤2d)", IF(OrdersTable[[#This Row],[Delivery Days]]&lt;=4, "Standard (3-4d)", "Delayed (5d+)"))</f>
        <v>Express (≤2d)</v>
      </c>
      <c r="AE4664">
        <v>4</v>
      </c>
      <c r="AF4664">
        <v>0</v>
      </c>
    </row>
    <row r="4665" spans="1:32" ht="15" x14ac:dyDescent="0.35">
      <c r="A4665" t="s">
        <v>6835</v>
      </c>
      <c r="B4665" s="1">
        <v>45996</v>
      </c>
      <c r="C4665">
        <f>YEAR(OrdersTable[[#This Row],[Order Date]])</f>
        <v>2025</v>
      </c>
      <c r="D4665" s="2">
        <f>DATE(YEAR(OrdersTable[[#This Row],[Order Date]]),MONTH(OrdersTable[[#This Row],[Order Date]]),1)</f>
        <v>45992</v>
      </c>
      <c r="E4665">
        <f>MONTH(OrdersTable[[#This Row],[Order Date]])</f>
        <v>12</v>
      </c>
      <c r="F4665" t="s">
        <v>1842</v>
      </c>
      <c r="G4665" t="str">
        <f>IF(OrdersTable[[#This Row],[Order Date]]=_xlfn.MINIFS(Order_Date, Customer_ID, OrdersTable[[#This Row],[Customer ID]]), "New", "Repeat")</f>
        <v>Repeat</v>
      </c>
      <c r="H4665" t="s">
        <v>210</v>
      </c>
      <c r="I4665" t="str">
        <f>INDEX(State!B:B,MATCH(OrdersTable[[#This Row],[State]],State!A:A,0))</f>
        <v>JK</v>
      </c>
      <c r="J4665" t="str">
        <f>INDEX(State!C:C,MATCH(OrdersTable[[#This Row],[State Code]],State!B:B,0))</f>
        <v>North</v>
      </c>
      <c r="K4665" t="s">
        <v>211</v>
      </c>
      <c r="L4665" t="s">
        <v>39</v>
      </c>
      <c r="M4665" t="s">
        <v>61</v>
      </c>
      <c r="N4665" t="str">
        <f>INDEX(Products!B:B,MATCH(OrdersTable[[#This Row],[Product ID]],Products!A:A,0))</f>
        <v>Multivitamin Gummies</v>
      </c>
      <c r="O4665" t="str">
        <f>INDEX(Products!C:C,MATCH(OrdersTable[[#This Row],[Product ID]],Products!A:A,0))</f>
        <v>Wellness</v>
      </c>
      <c r="P4665">
        <v>3</v>
      </c>
      <c r="Q4665" s="5">
        <v>699</v>
      </c>
      <c r="R4665" s="74">
        <v>0.1</v>
      </c>
      <c r="S4665" s="75">
        <f>OrdersTable[[#This Row],[Quantity]]*OrdersTable[[#This Row],[Unit Price]]</f>
        <v>2097</v>
      </c>
      <c r="T4665" s="5">
        <f>OrdersTable[[#This Row],[Gross Sale]]*OrdersTable[[#This Row],[Discount_Clean2]]</f>
        <v>209.70000000000002</v>
      </c>
      <c r="U4665" s="5">
        <f>OrdersTable[[#This Row],[Gross Sale]]-OrdersTable[[#This Row],[Discount Amount]]</f>
        <v>1887.3</v>
      </c>
      <c r="V4665" s="77">
        <f>INDEX(Products!E:E,MATCH(OrdersTable[[#This Row],[Product ID]],Products!A:A,0))</f>
        <v>238</v>
      </c>
      <c r="W4665" s="77">
        <f>OrdersTable[[#This Row],[Quantity]]*OrdersTable[[#This Row],[Unit Cost]]</f>
        <v>714</v>
      </c>
      <c r="X4665" s="77">
        <f>'Dropdown Lists'!$I$2*(1+OrdersTable[[#This Row],[Returned]])</f>
        <v>60</v>
      </c>
      <c r="Y4665" s="76">
        <f>OrdersTable[[#This Row],[Net Revenue]]-OrdersTable[[#This Row],[COGS]]-OrdersTable[[#This Row],[Shipping Cost]]</f>
        <v>1113.3</v>
      </c>
      <c r="Z4665" s="78">
        <f>IFERROR(OrdersTable[[#This Row],[Profit]]/OrdersTable[[#This Row],[Net Revenue]],0)</f>
        <v>0.58989031950405335</v>
      </c>
      <c r="AA4665" t="s">
        <v>3495</v>
      </c>
      <c r="AB4665" s="79">
        <v>46003</v>
      </c>
      <c r="AC4665">
        <f>OrdersTable[[#This Row],[Delivery Date]]-OrdersTable[[#This Row],[Order Date]]</f>
        <v>7</v>
      </c>
      <c r="AD4665" t="str">
        <f>IF(OrdersTable[[#This Row],[Delivery Days]]&lt;=2, "Express (≤2d)", IF(OrdersTable[[#This Row],[Delivery Days]]&lt;=4, "Standard (3-4d)", "Delayed (5d+)"))</f>
        <v>Delayed (5d+)</v>
      </c>
      <c r="AF4665">
        <v>0</v>
      </c>
    </row>
    <row r="4666" spans="1:32" ht="15" x14ac:dyDescent="0.35">
      <c r="A4666" t="s">
        <v>1814</v>
      </c>
      <c r="B4666" s="1">
        <v>45996</v>
      </c>
      <c r="C4666">
        <f>YEAR(OrdersTable[[#This Row],[Order Date]])</f>
        <v>2025</v>
      </c>
      <c r="D4666" s="2">
        <f>DATE(YEAR(OrdersTable[[#This Row],[Order Date]]),MONTH(OrdersTable[[#This Row],[Order Date]]),1)</f>
        <v>45992</v>
      </c>
      <c r="E4666">
        <f>MONTH(OrdersTable[[#This Row],[Order Date]])</f>
        <v>12</v>
      </c>
      <c r="F4666" t="s">
        <v>1815</v>
      </c>
      <c r="G4666" t="str">
        <f>IF(OrdersTable[[#This Row],[Order Date]]=_xlfn.MINIFS(Order_Date, Customer_ID, OrdersTable[[#This Row],[Customer ID]]), "New", "Repeat")</f>
        <v>New</v>
      </c>
      <c r="H4666" t="s">
        <v>32</v>
      </c>
      <c r="I4666" t="str">
        <f>INDEX(State!B:B,MATCH(OrdersTable[[#This Row],[State]],State!A:A,0))</f>
        <v>BR</v>
      </c>
      <c r="J4666" t="str">
        <f>INDEX(State!C:C,MATCH(OrdersTable[[#This Row],[State Code]],State!B:B,0))</f>
        <v>East</v>
      </c>
      <c r="K4666" t="s">
        <v>33</v>
      </c>
      <c r="L4666" t="s">
        <v>65</v>
      </c>
      <c r="M4666" t="s">
        <v>34</v>
      </c>
      <c r="N4666" t="str">
        <f>INDEX(Products!B:B,MATCH(OrdersTable[[#This Row],[Product ID]],Products!A:A,0))</f>
        <v>Flip Flops</v>
      </c>
      <c r="O4666" t="str">
        <f>INDEX(Products!C:C,MATCH(OrdersTable[[#This Row],[Product ID]],Products!A:A,0))</f>
        <v>Footwear</v>
      </c>
      <c r="P4666">
        <v>1</v>
      </c>
      <c r="Q4666" s="5">
        <v>399</v>
      </c>
      <c r="R4666" s="74">
        <v>0.1</v>
      </c>
      <c r="S4666" s="75">
        <f>OrdersTable[[#This Row],[Quantity]]*OrdersTable[[#This Row],[Unit Price]]</f>
        <v>399</v>
      </c>
      <c r="T4666" s="5">
        <f>OrdersTable[[#This Row],[Gross Sale]]*OrdersTable[[#This Row],[Discount_Clean2]]</f>
        <v>39.900000000000006</v>
      </c>
      <c r="U4666" s="5">
        <f>OrdersTable[[#This Row],[Gross Sale]]-OrdersTable[[#This Row],[Discount Amount]]</f>
        <v>359.1</v>
      </c>
      <c r="V4666" s="77">
        <f>INDEX(Products!E:E,MATCH(OrdersTable[[#This Row],[Product ID]],Products!A:A,0))</f>
        <v>152</v>
      </c>
      <c r="W4666" s="77">
        <f>OrdersTable[[#This Row],[Quantity]]*OrdersTable[[#This Row],[Unit Cost]]</f>
        <v>152</v>
      </c>
      <c r="X4666" s="77">
        <f>'Dropdown Lists'!$I$2*(1+OrdersTable[[#This Row],[Returned]])</f>
        <v>120</v>
      </c>
      <c r="Y4666" s="76">
        <f>OrdersTable[[#This Row],[Net Revenue]]-OrdersTable[[#This Row],[COGS]]-OrdersTable[[#This Row],[Shipping Cost]]</f>
        <v>87.100000000000023</v>
      </c>
      <c r="Z4666" s="78">
        <f>IFERROR(OrdersTable[[#This Row],[Profit]]/OrdersTable[[#This Row],[Net Revenue]],0)</f>
        <v>0.24255082149818996</v>
      </c>
      <c r="AA4666" t="s">
        <v>18</v>
      </c>
      <c r="AB4666" s="79">
        <v>45999</v>
      </c>
      <c r="AC4666">
        <f>OrdersTable[[#This Row],[Delivery Date]]-OrdersTable[[#This Row],[Order Date]]</f>
        <v>3</v>
      </c>
      <c r="AD4666" t="str">
        <f>IF(OrdersTable[[#This Row],[Delivery Days]]&lt;=2, "Express (≤2d)", IF(OrdersTable[[#This Row],[Delivery Days]]&lt;=4, "Standard (3-4d)", "Delayed (5d+)"))</f>
        <v>Standard (3-4d)</v>
      </c>
      <c r="AF4666">
        <v>1</v>
      </c>
    </row>
    <row r="4667" spans="1:32" ht="15" x14ac:dyDescent="0.35">
      <c r="A4667" t="s">
        <v>3372</v>
      </c>
      <c r="B4667" s="1">
        <v>45996</v>
      </c>
      <c r="C4667">
        <f>YEAR(OrdersTable[[#This Row],[Order Date]])</f>
        <v>2025</v>
      </c>
      <c r="D4667" s="2">
        <f>DATE(YEAR(OrdersTable[[#This Row],[Order Date]]),MONTH(OrdersTable[[#This Row],[Order Date]]),1)</f>
        <v>45992</v>
      </c>
      <c r="E4667">
        <f>MONTH(OrdersTable[[#This Row],[Order Date]])</f>
        <v>12</v>
      </c>
      <c r="F4667" t="s">
        <v>3373</v>
      </c>
      <c r="G4667" t="str">
        <f>IF(OrdersTable[[#This Row],[Order Date]]=_xlfn.MINIFS(Order_Date, Customer_ID, OrdersTable[[#This Row],[Customer ID]]), "New", "Repeat")</f>
        <v>New</v>
      </c>
      <c r="H4667" t="s">
        <v>132</v>
      </c>
      <c r="I4667" t="str">
        <f>INDEX(State!B:B,MATCH(OrdersTable[[#This Row],[State]],State!A:A,0))</f>
        <v>AS</v>
      </c>
      <c r="J4667" t="str">
        <f>INDEX(State!C:C,MATCH(OrdersTable[[#This Row],[State Code]],State!B:B,0))</f>
        <v>East</v>
      </c>
      <c r="K4667" t="s">
        <v>133</v>
      </c>
      <c r="L4667" t="s">
        <v>16</v>
      </c>
      <c r="M4667" t="s">
        <v>29</v>
      </c>
      <c r="N4667" t="str">
        <f>INDEX(Products!B:B,MATCH(OrdersTable[[#This Row],[Product ID]],Products!A:A,0))</f>
        <v>Joggers</v>
      </c>
      <c r="O4667" t="str">
        <f>INDEX(Products!C:C,MATCH(OrdersTable[[#This Row],[Product ID]],Products!A:A,0))</f>
        <v>Apparel</v>
      </c>
      <c r="P4667">
        <v>1</v>
      </c>
      <c r="Q4667" s="5">
        <v>1199</v>
      </c>
      <c r="R4667" s="74">
        <v>0.05</v>
      </c>
      <c r="S4667" s="75">
        <f>OrdersTable[[#This Row],[Quantity]]*OrdersTable[[#This Row],[Unit Price]]</f>
        <v>1199</v>
      </c>
      <c r="T4667" s="5">
        <f>OrdersTable[[#This Row],[Gross Sale]]*OrdersTable[[#This Row],[Discount_Clean2]]</f>
        <v>59.95</v>
      </c>
      <c r="U4667" s="5">
        <f>OrdersTable[[#This Row],[Gross Sale]]-OrdersTable[[#This Row],[Discount Amount]]</f>
        <v>1139.05</v>
      </c>
      <c r="V4667" s="77">
        <f>INDEX(Products!E:E,MATCH(OrdersTable[[#This Row],[Product ID]],Products!A:A,0))</f>
        <v>492</v>
      </c>
      <c r="W4667" s="77">
        <f>OrdersTable[[#This Row],[Quantity]]*OrdersTable[[#This Row],[Unit Cost]]</f>
        <v>492</v>
      </c>
      <c r="X4667" s="77">
        <f>'Dropdown Lists'!$I$2*(1+OrdersTable[[#This Row],[Returned]])</f>
        <v>60</v>
      </c>
      <c r="Y4667" s="76">
        <f>OrdersTable[[#This Row],[Net Revenue]]-OrdersTable[[#This Row],[COGS]]-OrdersTable[[#This Row],[Shipping Cost]]</f>
        <v>587.04999999999995</v>
      </c>
      <c r="Z4667" s="78">
        <f>IFERROR(OrdersTable[[#This Row],[Profit]]/OrdersTable[[#This Row],[Net Revenue]],0)</f>
        <v>0.51538562837452262</v>
      </c>
      <c r="AA4667" t="s">
        <v>2522</v>
      </c>
      <c r="AB4667" s="79">
        <v>46002</v>
      </c>
      <c r="AC4667">
        <f>OrdersTable[[#This Row],[Delivery Date]]-OrdersTable[[#This Row],[Order Date]]</f>
        <v>6</v>
      </c>
      <c r="AD4667" t="str">
        <f>IF(OrdersTable[[#This Row],[Delivery Days]]&lt;=2, "Express (≤2d)", IF(OrdersTable[[#This Row],[Delivery Days]]&lt;=4, "Standard (3-4d)", "Delayed (5d+)"))</f>
        <v>Delayed (5d+)</v>
      </c>
      <c r="AE4667">
        <v>4</v>
      </c>
      <c r="AF4667">
        <v>0</v>
      </c>
    </row>
    <row r="4668" spans="1:32" ht="15" x14ac:dyDescent="0.35">
      <c r="A4668" t="s">
        <v>3374</v>
      </c>
      <c r="B4668" s="1">
        <v>45996</v>
      </c>
      <c r="C4668">
        <f>YEAR(OrdersTable[[#This Row],[Order Date]])</f>
        <v>2025</v>
      </c>
      <c r="D4668" s="2">
        <f>DATE(YEAR(OrdersTable[[#This Row],[Order Date]]),MONTH(OrdersTable[[#This Row],[Order Date]]),1)</f>
        <v>45992</v>
      </c>
      <c r="E4668">
        <f>MONTH(OrdersTable[[#This Row],[Order Date]])</f>
        <v>12</v>
      </c>
      <c r="F4668" t="s">
        <v>1262</v>
      </c>
      <c r="G4668" t="str">
        <f>IF(OrdersTable[[#This Row],[Order Date]]=_xlfn.MINIFS(Order_Date, Customer_ID, OrdersTable[[#This Row],[Customer ID]]), "New", "Repeat")</f>
        <v>Repeat</v>
      </c>
      <c r="H4668" t="s">
        <v>37</v>
      </c>
      <c r="I4668" t="str">
        <f>INDEX(State!B:B,MATCH(OrdersTable[[#This Row],[State]],State!A:A,0))</f>
        <v>GJ</v>
      </c>
      <c r="J4668" t="str">
        <f>INDEX(State!C:C,MATCH(OrdersTable[[#This Row],[State Code]],State!B:B,0))</f>
        <v>West</v>
      </c>
      <c r="K4668" t="s">
        <v>38</v>
      </c>
      <c r="L4668" t="s">
        <v>50</v>
      </c>
      <c r="M4668" t="s">
        <v>51</v>
      </c>
      <c r="N4668" t="str">
        <f>INDEX(Products!B:B,MATCH(OrdersTable[[#This Row],[Product ID]],Products!A:A,0))</f>
        <v>Anti-Dandruff Conditioner</v>
      </c>
      <c r="O4668" t="str">
        <f>INDEX(Products!C:C,MATCH(OrdersTable[[#This Row],[Product ID]],Products!A:A,0))</f>
        <v>Haircare</v>
      </c>
      <c r="P4668">
        <v>1</v>
      </c>
      <c r="Q4668" s="5">
        <v>399</v>
      </c>
      <c r="R4668" s="74">
        <v>0.3</v>
      </c>
      <c r="S4668" s="75">
        <f>OrdersTable[[#This Row],[Quantity]]*OrdersTable[[#This Row],[Unit Price]]</f>
        <v>399</v>
      </c>
      <c r="T4668" s="5">
        <f>OrdersTable[[#This Row],[Gross Sale]]*OrdersTable[[#This Row],[Discount_Clean2]]</f>
        <v>119.69999999999999</v>
      </c>
      <c r="U4668" s="5">
        <f>OrdersTable[[#This Row],[Gross Sale]]-OrdersTable[[#This Row],[Discount Amount]]</f>
        <v>279.3</v>
      </c>
      <c r="V4668" s="77">
        <f>INDEX(Products!E:E,MATCH(OrdersTable[[#This Row],[Product ID]],Products!A:A,0))</f>
        <v>136</v>
      </c>
      <c r="W4668" s="77">
        <f>OrdersTable[[#This Row],[Quantity]]*OrdersTable[[#This Row],[Unit Cost]]</f>
        <v>136</v>
      </c>
      <c r="X4668" s="77">
        <f>'Dropdown Lists'!$I$2*(1+OrdersTable[[#This Row],[Returned]])</f>
        <v>120</v>
      </c>
      <c r="Y4668" s="76">
        <f>OrdersTable[[#This Row],[Net Revenue]]-OrdersTable[[#This Row],[COGS]]-OrdersTable[[#This Row],[Shipping Cost]]</f>
        <v>23.300000000000011</v>
      </c>
      <c r="Z4668" s="78">
        <f>IFERROR(OrdersTable[[#This Row],[Profit]]/OrdersTable[[#This Row],[Net Revenue]],0)</f>
        <v>8.3422842821339105E-2</v>
      </c>
      <c r="AA4668" t="s">
        <v>2522</v>
      </c>
      <c r="AB4668" s="79">
        <v>45999</v>
      </c>
      <c r="AC4668">
        <f>OrdersTable[[#This Row],[Delivery Date]]-OrdersTable[[#This Row],[Order Date]]</f>
        <v>3</v>
      </c>
      <c r="AD4668" t="str">
        <f>IF(OrdersTable[[#This Row],[Delivery Days]]&lt;=2, "Express (≤2d)", IF(OrdersTable[[#This Row],[Delivery Days]]&lt;=4, "Standard (3-4d)", "Delayed (5d+)"))</f>
        <v>Standard (3-4d)</v>
      </c>
      <c r="AE4668">
        <v>4</v>
      </c>
      <c r="AF4668">
        <v>1</v>
      </c>
    </row>
    <row r="4669" spans="1:32" ht="15" x14ac:dyDescent="0.35">
      <c r="A4669" t="s">
        <v>416</v>
      </c>
      <c r="B4669" s="1">
        <v>45996</v>
      </c>
      <c r="C4669">
        <f>YEAR(OrdersTable[[#This Row],[Order Date]])</f>
        <v>2025</v>
      </c>
      <c r="D4669" s="2">
        <f>DATE(YEAR(OrdersTable[[#This Row],[Order Date]]),MONTH(OrdersTable[[#This Row],[Order Date]]),1)</f>
        <v>45992</v>
      </c>
      <c r="E4669">
        <f>MONTH(OrdersTable[[#This Row],[Order Date]])</f>
        <v>12</v>
      </c>
      <c r="F4669" t="s">
        <v>417</v>
      </c>
      <c r="G4669" t="str">
        <f>IF(OrdersTable[[#This Row],[Order Date]]=_xlfn.MINIFS(Order_Date, Customer_ID, OrdersTable[[#This Row],[Customer ID]]), "New", "Repeat")</f>
        <v>Repeat</v>
      </c>
      <c r="H4669" t="s">
        <v>71</v>
      </c>
      <c r="I4669" t="str">
        <f>INDEX(State!B:B,MATCH(OrdersTable[[#This Row],[State]],State!A:A,0))</f>
        <v>MH</v>
      </c>
      <c r="J4669" t="str">
        <f>INDEX(State!C:C,MATCH(OrdersTable[[#This Row],[State Code]],State!B:B,0))</f>
        <v>West</v>
      </c>
      <c r="K4669" t="s">
        <v>72</v>
      </c>
      <c r="L4669" t="s">
        <v>50</v>
      </c>
      <c r="M4669" t="s">
        <v>106</v>
      </c>
      <c r="N4669" t="str">
        <f>INDEX(Products!B:B,MATCH(OrdersTable[[#This Row],[Product ID]],Products!A:A,0))</f>
        <v>Keratin Hair Mask</v>
      </c>
      <c r="O4669" t="str">
        <f>INDEX(Products!C:C,MATCH(OrdersTable[[#This Row],[Product ID]],Products!A:A,0))</f>
        <v>Haircare</v>
      </c>
      <c r="P4669">
        <v>1</v>
      </c>
      <c r="Q4669" s="5">
        <v>549</v>
      </c>
      <c r="R4669" s="74">
        <v>0.15</v>
      </c>
      <c r="S4669" s="75">
        <f>OrdersTable[[#This Row],[Quantity]]*OrdersTable[[#This Row],[Unit Price]]</f>
        <v>549</v>
      </c>
      <c r="T4669" s="5">
        <f>OrdersTable[[#This Row],[Gross Sale]]*OrdersTable[[#This Row],[Discount_Clean2]]</f>
        <v>82.35</v>
      </c>
      <c r="U4669" s="5">
        <f>OrdersTable[[#This Row],[Gross Sale]]-OrdersTable[[#This Row],[Discount Amount]]</f>
        <v>466.65</v>
      </c>
      <c r="V4669" s="77">
        <f>INDEX(Products!E:E,MATCH(OrdersTable[[#This Row],[Product ID]],Products!A:A,0))</f>
        <v>170</v>
      </c>
      <c r="W4669" s="77">
        <f>OrdersTable[[#This Row],[Quantity]]*OrdersTable[[#This Row],[Unit Cost]]</f>
        <v>170</v>
      </c>
      <c r="X4669" s="77">
        <f>'Dropdown Lists'!$I$2*(1+OrdersTable[[#This Row],[Returned]])</f>
        <v>60</v>
      </c>
      <c r="Y4669" s="76">
        <f>OrdersTable[[#This Row],[Net Revenue]]-OrdersTable[[#This Row],[COGS]]-OrdersTable[[#This Row],[Shipping Cost]]</f>
        <v>236.64999999999998</v>
      </c>
      <c r="Z4669" s="78">
        <f>IFERROR(OrdersTable[[#This Row],[Profit]]/OrdersTable[[#This Row],[Net Revenue]],0)</f>
        <v>0.50712525447337398</v>
      </c>
      <c r="AA4669" t="s">
        <v>18</v>
      </c>
      <c r="AB4669" s="79">
        <v>45999</v>
      </c>
      <c r="AC4669">
        <f>OrdersTable[[#This Row],[Delivery Date]]-OrdersTable[[#This Row],[Order Date]]</f>
        <v>3</v>
      </c>
      <c r="AD4669" t="str">
        <f>IF(OrdersTable[[#This Row],[Delivery Days]]&lt;=2, "Express (≤2d)", IF(OrdersTable[[#This Row],[Delivery Days]]&lt;=4, "Standard (3-4d)", "Delayed (5d+)"))</f>
        <v>Standard (3-4d)</v>
      </c>
      <c r="AE4669">
        <v>4</v>
      </c>
      <c r="AF4669">
        <v>0</v>
      </c>
    </row>
    <row r="4670" spans="1:32" ht="15" x14ac:dyDescent="0.35">
      <c r="A4670" t="s">
        <v>2858</v>
      </c>
      <c r="B4670" s="1">
        <v>45997</v>
      </c>
      <c r="C4670">
        <f>YEAR(OrdersTable[[#This Row],[Order Date]])</f>
        <v>2025</v>
      </c>
      <c r="D4670" s="2">
        <f>DATE(YEAR(OrdersTable[[#This Row],[Order Date]]),MONTH(OrdersTable[[#This Row],[Order Date]]),1)</f>
        <v>45992</v>
      </c>
      <c r="E4670">
        <f>MONTH(OrdersTable[[#This Row],[Order Date]])</f>
        <v>12</v>
      </c>
      <c r="F4670" t="s">
        <v>2859</v>
      </c>
      <c r="G4670" t="str">
        <f>IF(OrdersTable[[#This Row],[Order Date]]=_xlfn.MINIFS(Order_Date, Customer_ID, OrdersTable[[#This Row],[Customer ID]]), "New", "Repeat")</f>
        <v>Repeat</v>
      </c>
      <c r="H4670" t="s">
        <v>27</v>
      </c>
      <c r="I4670" t="str">
        <f>INDEX(State!B:B,MATCH(OrdersTable[[#This Row],[State]],State!A:A,0))</f>
        <v>WB</v>
      </c>
      <c r="J4670" t="str">
        <f>INDEX(State!C:C,MATCH(OrdersTable[[#This Row],[State Code]],State!B:B,0))</f>
        <v>East</v>
      </c>
      <c r="K4670" t="s">
        <v>28</v>
      </c>
      <c r="L4670" t="s">
        <v>23</v>
      </c>
      <c r="M4670" t="s">
        <v>125</v>
      </c>
      <c r="N4670" t="str">
        <f>INDEX(Products!B:B,MATCH(OrdersTable[[#This Row],[Product ID]],Products!A:A,0))</f>
        <v>Copper Water Bottle</v>
      </c>
      <c r="O4670" t="str">
        <f>INDEX(Products!C:C,MATCH(OrdersTable[[#This Row],[Product ID]],Products!A:A,0))</f>
        <v>Home &amp; Kitchen</v>
      </c>
      <c r="P4670">
        <v>1</v>
      </c>
      <c r="Q4670" s="5">
        <v>899</v>
      </c>
      <c r="R4670" s="74">
        <v>0</v>
      </c>
      <c r="S4670" s="75">
        <f>OrdersTable[[#This Row],[Quantity]]*OrdersTable[[#This Row],[Unit Price]]</f>
        <v>899</v>
      </c>
      <c r="T4670" s="5">
        <f>OrdersTable[[#This Row],[Gross Sale]]*OrdersTable[[#This Row],[Discount_Clean2]]</f>
        <v>0</v>
      </c>
      <c r="U4670" s="5">
        <f>OrdersTable[[#This Row],[Gross Sale]]-OrdersTable[[#This Row],[Discount Amount]]</f>
        <v>899</v>
      </c>
      <c r="V4670" s="77">
        <f>INDEX(Products!E:E,MATCH(OrdersTable[[#This Row],[Product ID]],Products!A:A,0))</f>
        <v>378</v>
      </c>
      <c r="W4670" s="77">
        <f>OrdersTable[[#This Row],[Quantity]]*OrdersTable[[#This Row],[Unit Cost]]</f>
        <v>378</v>
      </c>
      <c r="X4670" s="77">
        <f>'Dropdown Lists'!$I$2*(1+OrdersTable[[#This Row],[Returned]])</f>
        <v>60</v>
      </c>
      <c r="Y4670" s="76">
        <f>OrdersTable[[#This Row],[Net Revenue]]-OrdersTable[[#This Row],[COGS]]-OrdersTable[[#This Row],[Shipping Cost]]</f>
        <v>461</v>
      </c>
      <c r="Z4670" s="78">
        <f>IFERROR(OrdersTable[[#This Row],[Profit]]/OrdersTable[[#This Row],[Net Revenue]],0)</f>
        <v>0.51279199110122353</v>
      </c>
      <c r="AA4670" t="s">
        <v>2522</v>
      </c>
      <c r="AB4670" s="79">
        <v>46000</v>
      </c>
      <c r="AC4670">
        <f>OrdersTable[[#This Row],[Delivery Date]]-OrdersTable[[#This Row],[Order Date]]</f>
        <v>3</v>
      </c>
      <c r="AD4670" t="str">
        <f>IF(OrdersTable[[#This Row],[Delivery Days]]&lt;=2, "Express (≤2d)", IF(OrdersTable[[#This Row],[Delivery Days]]&lt;=4, "Standard (3-4d)", "Delayed (5d+)"))</f>
        <v>Standard (3-4d)</v>
      </c>
      <c r="AE4670">
        <v>3</v>
      </c>
      <c r="AF4670">
        <v>0</v>
      </c>
    </row>
    <row r="4671" spans="1:32" ht="15" x14ac:dyDescent="0.35">
      <c r="A4671" t="s">
        <v>4636</v>
      </c>
      <c r="B4671" s="1">
        <v>45997</v>
      </c>
      <c r="C4671">
        <f>YEAR(OrdersTable[[#This Row],[Order Date]])</f>
        <v>2025</v>
      </c>
      <c r="D4671" s="2">
        <f>DATE(YEAR(OrdersTable[[#This Row],[Order Date]]),MONTH(OrdersTable[[#This Row],[Order Date]]),1)</f>
        <v>45992</v>
      </c>
      <c r="E4671">
        <f>MONTH(OrdersTable[[#This Row],[Order Date]])</f>
        <v>12</v>
      </c>
      <c r="F4671" t="s">
        <v>4637</v>
      </c>
      <c r="G4671" t="str">
        <f>IF(OrdersTable[[#This Row],[Order Date]]=_xlfn.MINIFS(Order_Date, Customer_ID, OrdersTable[[#This Row],[Customer ID]]), "New", "Repeat")</f>
        <v>New</v>
      </c>
      <c r="H4671" t="s">
        <v>71</v>
      </c>
      <c r="I4671" t="str">
        <f>INDEX(State!B:B,MATCH(OrdersTable[[#This Row],[State]],State!A:A,0))</f>
        <v>MH</v>
      </c>
      <c r="J4671" t="str">
        <f>INDEX(State!C:C,MATCH(OrdersTable[[#This Row],[State Code]],State!B:B,0))</f>
        <v>West</v>
      </c>
      <c r="K4671" t="s">
        <v>102</v>
      </c>
      <c r="L4671" t="s">
        <v>65</v>
      </c>
      <c r="M4671" t="s">
        <v>125</v>
      </c>
      <c r="N4671" t="str">
        <f>INDEX(Products!B:B,MATCH(OrdersTable[[#This Row],[Product ID]],Products!A:A,0))</f>
        <v>Copper Water Bottle</v>
      </c>
      <c r="O4671" t="str">
        <f>INDEX(Products!C:C,MATCH(OrdersTable[[#This Row],[Product ID]],Products!A:A,0))</f>
        <v>Home &amp; Kitchen</v>
      </c>
      <c r="P4671">
        <v>1</v>
      </c>
      <c r="Q4671" s="5">
        <v>899</v>
      </c>
      <c r="R4671" s="74">
        <v>0.15</v>
      </c>
      <c r="S4671" s="75">
        <f>OrdersTable[[#This Row],[Quantity]]*OrdersTable[[#This Row],[Unit Price]]</f>
        <v>899</v>
      </c>
      <c r="T4671" s="5">
        <f>OrdersTable[[#This Row],[Gross Sale]]*OrdersTable[[#This Row],[Discount_Clean2]]</f>
        <v>134.85</v>
      </c>
      <c r="U4671" s="5">
        <f>OrdersTable[[#This Row],[Gross Sale]]-OrdersTable[[#This Row],[Discount Amount]]</f>
        <v>764.15</v>
      </c>
      <c r="V4671" s="77">
        <f>INDEX(Products!E:E,MATCH(OrdersTable[[#This Row],[Product ID]],Products!A:A,0))</f>
        <v>378</v>
      </c>
      <c r="W4671" s="77">
        <f>OrdersTable[[#This Row],[Quantity]]*OrdersTable[[#This Row],[Unit Cost]]</f>
        <v>378</v>
      </c>
      <c r="X4671" s="77">
        <f>'Dropdown Lists'!$I$2*(1+OrdersTable[[#This Row],[Returned]])</f>
        <v>60</v>
      </c>
      <c r="Y4671" s="76">
        <f>OrdersTable[[#This Row],[Net Revenue]]-OrdersTable[[#This Row],[COGS]]-OrdersTable[[#This Row],[Shipping Cost]]</f>
        <v>326.14999999999998</v>
      </c>
      <c r="Z4671" s="78">
        <f>IFERROR(OrdersTable[[#This Row],[Profit]]/OrdersTable[[#This Row],[Net Revenue]],0)</f>
        <v>0.42681410717791007</v>
      </c>
      <c r="AA4671" t="s">
        <v>4450</v>
      </c>
      <c r="AB4671" s="79">
        <v>46001</v>
      </c>
      <c r="AC4671">
        <f>OrdersTable[[#This Row],[Delivery Date]]-OrdersTable[[#This Row],[Order Date]]</f>
        <v>4</v>
      </c>
      <c r="AD4671" t="str">
        <f>IF(OrdersTable[[#This Row],[Delivery Days]]&lt;=2, "Express (≤2d)", IF(OrdersTable[[#This Row],[Delivery Days]]&lt;=4, "Standard (3-4d)", "Delayed (5d+)"))</f>
        <v>Standard (3-4d)</v>
      </c>
      <c r="AF4671">
        <v>0</v>
      </c>
    </row>
    <row r="4672" spans="1:32" ht="15" x14ac:dyDescent="0.35">
      <c r="A4672" t="s">
        <v>1612</v>
      </c>
      <c r="B4672" s="1">
        <v>45997</v>
      </c>
      <c r="C4672">
        <f>YEAR(OrdersTable[[#This Row],[Order Date]])</f>
        <v>2025</v>
      </c>
      <c r="D4672" s="2">
        <f>DATE(YEAR(OrdersTable[[#This Row],[Order Date]]),MONTH(OrdersTable[[#This Row],[Order Date]]),1)</f>
        <v>45992</v>
      </c>
      <c r="E4672">
        <f>MONTH(OrdersTable[[#This Row],[Order Date]])</f>
        <v>12</v>
      </c>
      <c r="F4672" t="s">
        <v>1613</v>
      </c>
      <c r="G4672" t="str">
        <f>IF(OrdersTable[[#This Row],[Order Date]]=_xlfn.MINIFS(Order_Date, Customer_ID, OrdersTable[[#This Row],[Customer ID]]), "New", "Repeat")</f>
        <v>Repeat</v>
      </c>
      <c r="H4672" t="s">
        <v>95</v>
      </c>
      <c r="I4672" t="str">
        <f>INDEX(State!B:B,MATCH(OrdersTable[[#This Row],[State]],State!A:A,0))</f>
        <v>TG</v>
      </c>
      <c r="J4672" t="str">
        <f>INDEX(State!C:C,MATCH(OrdersTable[[#This Row],[State Code]],State!B:B,0))</f>
        <v>South</v>
      </c>
      <c r="K4672" t="s">
        <v>96</v>
      </c>
      <c r="L4672" t="s">
        <v>39</v>
      </c>
      <c r="M4672" t="s">
        <v>148</v>
      </c>
      <c r="N4672" t="str">
        <f>INDEX(Products!B:B,MATCH(OrdersTable[[#This Row],[Product ID]],Products!A:A,0))</f>
        <v>Smartwatch Strap</v>
      </c>
      <c r="O4672" t="str">
        <f>INDEX(Products!C:C,MATCH(OrdersTable[[#This Row],[Product ID]],Products!A:A,0))</f>
        <v>Electronics</v>
      </c>
      <c r="P4672">
        <v>1</v>
      </c>
      <c r="Q4672" s="5">
        <v>499</v>
      </c>
      <c r="R4672" s="74">
        <v>0.1</v>
      </c>
      <c r="S4672" s="75">
        <f>OrdersTable[[#This Row],[Quantity]]*OrdersTable[[#This Row],[Unit Price]]</f>
        <v>499</v>
      </c>
      <c r="T4672" s="5">
        <f>OrdersTable[[#This Row],[Gross Sale]]*OrdersTable[[#This Row],[Discount_Clean2]]</f>
        <v>49.900000000000006</v>
      </c>
      <c r="U4672" s="5">
        <f>OrdersTable[[#This Row],[Gross Sale]]-OrdersTable[[#This Row],[Discount Amount]]</f>
        <v>449.1</v>
      </c>
      <c r="V4672" s="77">
        <f>INDEX(Products!E:E,MATCH(OrdersTable[[#This Row],[Product ID]],Products!A:A,0))</f>
        <v>200</v>
      </c>
      <c r="W4672" s="77">
        <f>OrdersTable[[#This Row],[Quantity]]*OrdersTable[[#This Row],[Unit Cost]]</f>
        <v>200</v>
      </c>
      <c r="X4672" s="77">
        <f>'Dropdown Lists'!$I$2*(1+OrdersTable[[#This Row],[Returned]])</f>
        <v>60</v>
      </c>
      <c r="Y4672" s="76">
        <f>OrdersTable[[#This Row],[Net Revenue]]-OrdersTable[[#This Row],[COGS]]-OrdersTable[[#This Row],[Shipping Cost]]</f>
        <v>189.10000000000002</v>
      </c>
      <c r="Z4672" s="78">
        <f>IFERROR(OrdersTable[[#This Row],[Profit]]/OrdersTable[[#This Row],[Net Revenue]],0)</f>
        <v>0.42106435092407041</v>
      </c>
      <c r="AA4672" t="s">
        <v>18</v>
      </c>
      <c r="AB4672" s="79">
        <v>46001</v>
      </c>
      <c r="AC4672">
        <f>OrdersTable[[#This Row],[Delivery Date]]-OrdersTable[[#This Row],[Order Date]]</f>
        <v>4</v>
      </c>
      <c r="AD4672" t="str">
        <f>IF(OrdersTable[[#This Row],[Delivery Days]]&lt;=2, "Express (≤2d)", IF(OrdersTable[[#This Row],[Delivery Days]]&lt;=4, "Standard (3-4d)", "Delayed (5d+)"))</f>
        <v>Standard (3-4d)</v>
      </c>
      <c r="AF4672">
        <v>0</v>
      </c>
    </row>
    <row r="4673" spans="1:32" ht="15" x14ac:dyDescent="0.35">
      <c r="A4673" t="s">
        <v>5286</v>
      </c>
      <c r="B4673" s="1">
        <v>45997</v>
      </c>
      <c r="C4673">
        <f>YEAR(OrdersTable[[#This Row],[Order Date]])</f>
        <v>2025</v>
      </c>
      <c r="D4673" s="2">
        <f>DATE(YEAR(OrdersTable[[#This Row],[Order Date]]),MONTH(OrdersTable[[#This Row],[Order Date]]),1)</f>
        <v>45992</v>
      </c>
      <c r="E4673">
        <f>MONTH(OrdersTable[[#This Row],[Order Date]])</f>
        <v>12</v>
      </c>
      <c r="F4673" t="s">
        <v>3377</v>
      </c>
      <c r="G4673" t="str">
        <f>IF(OrdersTable[[#This Row],[Order Date]]=_xlfn.MINIFS(Order_Date, Customer_ID, OrdersTable[[#This Row],[Customer ID]]), "New", "Repeat")</f>
        <v>Repeat</v>
      </c>
      <c r="H4673" t="s">
        <v>59</v>
      </c>
      <c r="I4673" t="str">
        <f>INDEX(State!B:B,MATCH(OrdersTable[[#This Row],[State]],State!A:A,0))</f>
        <v>TN</v>
      </c>
      <c r="J4673" t="str">
        <f>INDEX(State!C:C,MATCH(OrdersTable[[#This Row],[State Code]],State!B:B,0))</f>
        <v>South</v>
      </c>
      <c r="K4673" t="s">
        <v>60</v>
      </c>
      <c r="L4673" t="s">
        <v>39</v>
      </c>
      <c r="M4673" t="s">
        <v>66</v>
      </c>
      <c r="N4673" t="str">
        <f>INDEX(Products!B:B,MATCH(OrdersTable[[#This Row],[Product ID]],Products!A:A,0))</f>
        <v>Sunscreen SPF 50</v>
      </c>
      <c r="O4673" t="str">
        <f>INDEX(Products!C:C,MATCH(OrdersTable[[#This Row],[Product ID]],Products!A:A,0))</f>
        <v>Skincare</v>
      </c>
      <c r="P4673">
        <v>2</v>
      </c>
      <c r="Q4673" s="5">
        <v>449</v>
      </c>
      <c r="R4673" s="74">
        <v>0</v>
      </c>
      <c r="S4673" s="75">
        <f>OrdersTable[[#This Row],[Quantity]]*OrdersTable[[#This Row],[Unit Price]]</f>
        <v>898</v>
      </c>
      <c r="T4673" s="5">
        <f>OrdersTable[[#This Row],[Gross Sale]]*OrdersTable[[#This Row],[Discount_Clean2]]</f>
        <v>0</v>
      </c>
      <c r="U4673" s="5">
        <f>OrdersTable[[#This Row],[Gross Sale]]-OrdersTable[[#This Row],[Discount Amount]]</f>
        <v>898</v>
      </c>
      <c r="V4673" s="77">
        <f>INDEX(Products!E:E,MATCH(OrdersTable[[#This Row],[Product ID]],Products!A:A,0))</f>
        <v>144</v>
      </c>
      <c r="W4673" s="77">
        <f>OrdersTable[[#This Row],[Quantity]]*OrdersTable[[#This Row],[Unit Cost]]</f>
        <v>288</v>
      </c>
      <c r="X4673" s="77">
        <f>'Dropdown Lists'!$I$2*(1+OrdersTable[[#This Row],[Returned]])</f>
        <v>120</v>
      </c>
      <c r="Y4673" s="76">
        <f>OrdersTable[[#This Row],[Net Revenue]]-OrdersTable[[#This Row],[COGS]]-OrdersTable[[#This Row],[Shipping Cost]]</f>
        <v>490</v>
      </c>
      <c r="Z4673" s="78">
        <f>IFERROR(OrdersTable[[#This Row],[Profit]]/OrdersTable[[#This Row],[Net Revenue]],0)</f>
        <v>0.54565701559020041</v>
      </c>
      <c r="AA4673" t="s">
        <v>3495</v>
      </c>
      <c r="AB4673" s="79">
        <v>46001</v>
      </c>
      <c r="AC4673">
        <f>OrdersTable[[#This Row],[Delivery Date]]-OrdersTable[[#This Row],[Order Date]]</f>
        <v>4</v>
      </c>
      <c r="AD4673" t="str">
        <f>IF(OrdersTable[[#This Row],[Delivery Days]]&lt;=2, "Express (≤2d)", IF(OrdersTable[[#This Row],[Delivery Days]]&lt;=4, "Standard (3-4d)", "Delayed (5d+)"))</f>
        <v>Standard (3-4d)</v>
      </c>
      <c r="AE4673">
        <v>5</v>
      </c>
      <c r="AF4673">
        <v>1</v>
      </c>
    </row>
    <row r="4674" spans="1:32" ht="15" x14ac:dyDescent="0.35">
      <c r="A4674" t="s">
        <v>6445</v>
      </c>
      <c r="B4674" s="1">
        <v>45998</v>
      </c>
      <c r="C4674">
        <f>YEAR(OrdersTable[[#This Row],[Order Date]])</f>
        <v>2025</v>
      </c>
      <c r="D4674" s="2">
        <f>DATE(YEAR(OrdersTable[[#This Row],[Order Date]]),MONTH(OrdersTable[[#This Row],[Order Date]]),1)</f>
        <v>45992</v>
      </c>
      <c r="E4674">
        <f>MONTH(OrdersTable[[#This Row],[Order Date]])</f>
        <v>12</v>
      </c>
      <c r="F4674" t="s">
        <v>3520</v>
      </c>
      <c r="G4674" t="str">
        <f>IF(OrdersTable[[#This Row],[Order Date]]=_xlfn.MINIFS(Order_Date, Customer_ID, OrdersTable[[#This Row],[Customer ID]]), "New", "Repeat")</f>
        <v>Repeat</v>
      </c>
      <c r="H4674" t="s">
        <v>21</v>
      </c>
      <c r="I4674" t="str">
        <f>INDEX(State!B:B,MATCH(OrdersTable[[#This Row],[State]],State!A:A,0))</f>
        <v>PB</v>
      </c>
      <c r="J4674" t="str">
        <f>INDEX(State!C:C,MATCH(OrdersTable[[#This Row],[State Code]],State!B:B,0))</f>
        <v>North</v>
      </c>
      <c r="K4674" t="s">
        <v>22</v>
      </c>
      <c r="L4674" t="s">
        <v>23</v>
      </c>
      <c r="M4674" t="s">
        <v>51</v>
      </c>
      <c r="N4674" t="str">
        <f>INDEX(Products!B:B,MATCH(OrdersTable[[#This Row],[Product ID]],Products!A:A,0))</f>
        <v>Anti-Dandruff Conditioner</v>
      </c>
      <c r="O4674" t="str">
        <f>INDEX(Products!C:C,MATCH(OrdersTable[[#This Row],[Product ID]],Products!A:A,0))</f>
        <v>Haircare</v>
      </c>
      <c r="P4674">
        <v>2</v>
      </c>
      <c r="Q4674" s="5">
        <v>399</v>
      </c>
      <c r="R4674" s="74">
        <v>0.45</v>
      </c>
      <c r="S4674" s="75">
        <f>OrdersTable[[#This Row],[Quantity]]*OrdersTable[[#This Row],[Unit Price]]</f>
        <v>798</v>
      </c>
      <c r="T4674" s="5">
        <f>OrdersTable[[#This Row],[Gross Sale]]*OrdersTable[[#This Row],[Discount_Clean2]]</f>
        <v>359.1</v>
      </c>
      <c r="U4674" s="5">
        <f>OrdersTable[[#This Row],[Gross Sale]]-OrdersTable[[#This Row],[Discount Amount]]</f>
        <v>438.9</v>
      </c>
      <c r="V4674" s="77">
        <f>INDEX(Products!E:E,MATCH(OrdersTable[[#This Row],[Product ID]],Products!A:A,0))</f>
        <v>136</v>
      </c>
      <c r="W4674" s="77">
        <f>OrdersTable[[#This Row],[Quantity]]*OrdersTable[[#This Row],[Unit Cost]]</f>
        <v>272</v>
      </c>
      <c r="X4674" s="77">
        <f>'Dropdown Lists'!$I$2*(1+OrdersTable[[#This Row],[Returned]])</f>
        <v>60</v>
      </c>
      <c r="Y4674" s="76">
        <f>OrdersTable[[#This Row],[Net Revenue]]-OrdersTable[[#This Row],[COGS]]-OrdersTable[[#This Row],[Shipping Cost]]</f>
        <v>106.89999999999998</v>
      </c>
      <c r="Z4674" s="78">
        <f>IFERROR(OrdersTable[[#This Row],[Profit]]/OrdersTable[[#This Row],[Net Revenue]],0)</f>
        <v>0.24356345408976984</v>
      </c>
      <c r="AA4674" t="s">
        <v>18</v>
      </c>
      <c r="AB4674" s="79">
        <v>46002</v>
      </c>
      <c r="AC4674">
        <f>OrdersTable[[#This Row],[Delivery Date]]-OrdersTable[[#This Row],[Order Date]]</f>
        <v>4</v>
      </c>
      <c r="AD4674" t="str">
        <f>IF(OrdersTable[[#This Row],[Delivery Days]]&lt;=2, "Express (≤2d)", IF(OrdersTable[[#This Row],[Delivery Days]]&lt;=4, "Standard (3-4d)", "Delayed (5d+)"))</f>
        <v>Standard (3-4d)</v>
      </c>
      <c r="AE4674">
        <v>4</v>
      </c>
      <c r="AF4674">
        <v>0</v>
      </c>
    </row>
    <row r="4675" spans="1:32" ht="15" x14ac:dyDescent="0.35">
      <c r="A4675" t="s">
        <v>2860</v>
      </c>
      <c r="B4675" s="1">
        <v>45998</v>
      </c>
      <c r="C4675">
        <f>YEAR(OrdersTable[[#This Row],[Order Date]])</f>
        <v>2025</v>
      </c>
      <c r="D4675" s="2">
        <f>DATE(YEAR(OrdersTable[[#This Row],[Order Date]]),MONTH(OrdersTable[[#This Row],[Order Date]]),1)</f>
        <v>45992</v>
      </c>
      <c r="E4675">
        <f>MONTH(OrdersTable[[#This Row],[Order Date]])</f>
        <v>12</v>
      </c>
      <c r="F4675" t="s">
        <v>1631</v>
      </c>
      <c r="G4675" t="str">
        <f>IF(OrdersTable[[#This Row],[Order Date]]=_xlfn.MINIFS(Order_Date, Customer_ID, OrdersTable[[#This Row],[Customer ID]]), "New", "Repeat")</f>
        <v>Repeat</v>
      </c>
      <c r="H4675" t="s">
        <v>123</v>
      </c>
      <c r="I4675" t="str">
        <f>INDEX(State!B:B,MATCH(OrdersTable[[#This Row],[State]],State!A:A,0))</f>
        <v>JH</v>
      </c>
      <c r="J4675" t="str">
        <f>INDEX(State!C:C,MATCH(OrdersTable[[#This Row],[State Code]],State!B:B,0))</f>
        <v>East</v>
      </c>
      <c r="K4675" t="s">
        <v>124</v>
      </c>
      <c r="L4675" t="s">
        <v>16</v>
      </c>
      <c r="M4675" t="s">
        <v>29</v>
      </c>
      <c r="N4675" t="str">
        <f>INDEX(Products!B:B,MATCH(OrdersTable[[#This Row],[Product ID]],Products!A:A,0))</f>
        <v>Joggers</v>
      </c>
      <c r="O4675" t="str">
        <f>INDEX(Products!C:C,MATCH(OrdersTable[[#This Row],[Product ID]],Products!A:A,0))</f>
        <v>Apparel</v>
      </c>
      <c r="P4675">
        <v>1</v>
      </c>
      <c r="Q4675" s="5">
        <v>1199</v>
      </c>
      <c r="R4675" s="74">
        <v>0.05</v>
      </c>
      <c r="S4675" s="75">
        <f>OrdersTable[[#This Row],[Quantity]]*OrdersTable[[#This Row],[Unit Price]]</f>
        <v>1199</v>
      </c>
      <c r="T4675" s="5">
        <f>OrdersTable[[#This Row],[Gross Sale]]*OrdersTable[[#This Row],[Discount_Clean2]]</f>
        <v>59.95</v>
      </c>
      <c r="U4675" s="5">
        <f>OrdersTable[[#This Row],[Gross Sale]]-OrdersTable[[#This Row],[Discount Amount]]</f>
        <v>1139.05</v>
      </c>
      <c r="V4675" s="77">
        <f>INDEX(Products!E:E,MATCH(OrdersTable[[#This Row],[Product ID]],Products!A:A,0))</f>
        <v>492</v>
      </c>
      <c r="W4675" s="77">
        <f>OrdersTable[[#This Row],[Quantity]]*OrdersTable[[#This Row],[Unit Cost]]</f>
        <v>492</v>
      </c>
      <c r="X4675" s="77">
        <f>'Dropdown Lists'!$I$2*(1+OrdersTable[[#This Row],[Returned]])</f>
        <v>120</v>
      </c>
      <c r="Y4675" s="76">
        <f>OrdersTable[[#This Row],[Net Revenue]]-OrdersTable[[#This Row],[COGS]]-OrdersTable[[#This Row],[Shipping Cost]]</f>
        <v>527.04999999999995</v>
      </c>
      <c r="Z4675" s="78">
        <f>IFERROR(OrdersTable[[#This Row],[Profit]]/OrdersTable[[#This Row],[Net Revenue]],0)</f>
        <v>0.46271015319784026</v>
      </c>
      <c r="AA4675" t="s">
        <v>2522</v>
      </c>
      <c r="AB4675" s="79">
        <v>46003</v>
      </c>
      <c r="AC4675">
        <f>OrdersTable[[#This Row],[Delivery Date]]-OrdersTable[[#This Row],[Order Date]]</f>
        <v>5</v>
      </c>
      <c r="AD4675" t="str">
        <f>IF(OrdersTable[[#This Row],[Delivery Days]]&lt;=2, "Express (≤2d)", IF(OrdersTable[[#This Row],[Delivery Days]]&lt;=4, "Standard (3-4d)", "Delayed (5d+)"))</f>
        <v>Delayed (5d+)</v>
      </c>
      <c r="AE4675">
        <v>3</v>
      </c>
      <c r="AF4675">
        <v>1</v>
      </c>
    </row>
    <row r="4676" spans="1:32" ht="15" x14ac:dyDescent="0.35">
      <c r="A4676" t="s">
        <v>6237</v>
      </c>
      <c r="B4676" s="1">
        <v>45998</v>
      </c>
      <c r="C4676">
        <f>YEAR(OrdersTable[[#This Row],[Order Date]])</f>
        <v>2025</v>
      </c>
      <c r="D4676" s="2">
        <f>DATE(YEAR(OrdersTable[[#This Row],[Order Date]]),MONTH(OrdersTable[[#This Row],[Order Date]]),1)</f>
        <v>45992</v>
      </c>
      <c r="E4676">
        <f>MONTH(OrdersTable[[#This Row],[Order Date]])</f>
        <v>12</v>
      </c>
      <c r="F4676" t="s">
        <v>534</v>
      </c>
      <c r="G4676" t="str">
        <f>IF(OrdersTable[[#This Row],[Order Date]]=_xlfn.MINIFS(Order_Date, Customer_ID, OrdersTable[[#This Row],[Customer ID]]), "New", "Repeat")</f>
        <v>Repeat</v>
      </c>
      <c r="H4676" t="s">
        <v>71</v>
      </c>
      <c r="I4676" t="str">
        <f>INDEX(State!B:B,MATCH(OrdersTable[[#This Row],[State]],State!A:A,0))</f>
        <v>MH</v>
      </c>
      <c r="J4676" t="str">
        <f>INDEX(State!C:C,MATCH(OrdersTable[[#This Row],[State Code]],State!B:B,0))</f>
        <v>West</v>
      </c>
      <c r="K4676" t="s">
        <v>81</v>
      </c>
      <c r="L4676" t="s">
        <v>39</v>
      </c>
      <c r="M4676" t="s">
        <v>56</v>
      </c>
      <c r="N4676" t="str">
        <f>INDEX(Products!B:B,MATCH(OrdersTable[[#This Row],[Product ID]],Products!A:A,0))</f>
        <v>Vitamin C Face Serum</v>
      </c>
      <c r="O4676" t="str">
        <f>INDEX(Products!C:C,MATCH(OrdersTable[[#This Row],[Product ID]],Products!A:A,0))</f>
        <v>Skincare</v>
      </c>
      <c r="P4676">
        <v>2</v>
      </c>
      <c r="Q4676" s="5">
        <v>599</v>
      </c>
      <c r="R4676" s="74">
        <v>0.1</v>
      </c>
      <c r="S4676" s="75">
        <f>OrdersTable[[#This Row],[Quantity]]*OrdersTable[[#This Row],[Unit Price]]</f>
        <v>1198</v>
      </c>
      <c r="T4676" s="5">
        <f>OrdersTable[[#This Row],[Gross Sale]]*OrdersTable[[#This Row],[Discount_Clean2]]</f>
        <v>119.80000000000001</v>
      </c>
      <c r="U4676" s="5">
        <f>OrdersTable[[#This Row],[Gross Sale]]-OrdersTable[[#This Row],[Discount Amount]]</f>
        <v>1078.2</v>
      </c>
      <c r="V4676" s="77">
        <f>INDEX(Products!E:E,MATCH(OrdersTable[[#This Row],[Product ID]],Products!A:A,0))</f>
        <v>180</v>
      </c>
      <c r="W4676" s="77">
        <f>OrdersTable[[#This Row],[Quantity]]*OrdersTable[[#This Row],[Unit Cost]]</f>
        <v>360</v>
      </c>
      <c r="X4676" s="77">
        <f>'Dropdown Lists'!$I$2*(1+OrdersTable[[#This Row],[Returned]])</f>
        <v>60</v>
      </c>
      <c r="Y4676" s="76">
        <f>OrdersTable[[#This Row],[Net Revenue]]-OrdersTable[[#This Row],[COGS]]-OrdersTable[[#This Row],[Shipping Cost]]</f>
        <v>658.2</v>
      </c>
      <c r="Z4676" s="78">
        <f>IFERROR(OrdersTable[[#This Row],[Profit]]/OrdersTable[[#This Row],[Net Revenue]],0)</f>
        <v>0.6104618809126322</v>
      </c>
      <c r="AA4676" t="s">
        <v>18</v>
      </c>
      <c r="AB4676" s="79">
        <v>46001</v>
      </c>
      <c r="AC4676">
        <f>OrdersTable[[#This Row],[Delivery Date]]-OrdersTable[[#This Row],[Order Date]]</f>
        <v>3</v>
      </c>
      <c r="AD4676" t="str">
        <f>IF(OrdersTable[[#This Row],[Delivery Days]]&lt;=2, "Express (≤2d)", IF(OrdersTable[[#This Row],[Delivery Days]]&lt;=4, "Standard (3-4d)", "Delayed (5d+)"))</f>
        <v>Standard (3-4d)</v>
      </c>
      <c r="AE4676">
        <v>4</v>
      </c>
      <c r="AF4676">
        <v>0</v>
      </c>
    </row>
    <row r="4677" spans="1:32" ht="15" x14ac:dyDescent="0.35">
      <c r="A4677" t="s">
        <v>4638</v>
      </c>
      <c r="B4677" s="1">
        <v>45998</v>
      </c>
      <c r="C4677">
        <f>YEAR(OrdersTable[[#This Row],[Order Date]])</f>
        <v>2025</v>
      </c>
      <c r="D4677" s="2">
        <f>DATE(YEAR(OrdersTable[[#This Row],[Order Date]]),MONTH(OrdersTable[[#This Row],[Order Date]]),1)</f>
        <v>45992</v>
      </c>
      <c r="E4677">
        <f>MONTH(OrdersTable[[#This Row],[Order Date]])</f>
        <v>12</v>
      </c>
      <c r="F4677" t="s">
        <v>3705</v>
      </c>
      <c r="G4677" t="str">
        <f>IF(OrdersTable[[#This Row],[Order Date]]=_xlfn.MINIFS(Order_Date, Customer_ID, OrdersTable[[#This Row],[Customer ID]]), "New", "Repeat")</f>
        <v>Repeat</v>
      </c>
      <c r="H4677" t="s">
        <v>71</v>
      </c>
      <c r="I4677" t="str">
        <f>INDEX(State!B:B,MATCH(OrdersTable[[#This Row],[State]],State!A:A,0))</f>
        <v>MH</v>
      </c>
      <c r="J4677" t="str">
        <f>INDEX(State!C:C,MATCH(OrdersTable[[#This Row],[State Code]],State!B:B,0))</f>
        <v>West</v>
      </c>
      <c r="K4677" t="s">
        <v>81</v>
      </c>
      <c r="L4677" t="s">
        <v>39</v>
      </c>
      <c r="M4677" t="s">
        <v>73</v>
      </c>
      <c r="N4677" t="str">
        <f>INDEX(Products!B:B,MATCH(OrdersTable[[#This Row],[Product ID]],Products!A:A,0))</f>
        <v>Hydrating Face Wash</v>
      </c>
      <c r="O4677" t="str">
        <f>INDEX(Products!C:C,MATCH(OrdersTable[[#This Row],[Product ID]],Products!A:A,0))</f>
        <v>Skincare</v>
      </c>
      <c r="P4677">
        <v>1</v>
      </c>
      <c r="Q4677" s="5">
        <v>299</v>
      </c>
      <c r="R4677" s="74">
        <v>0</v>
      </c>
      <c r="S4677" s="75">
        <f>OrdersTable[[#This Row],[Quantity]]*OrdersTable[[#This Row],[Unit Price]]</f>
        <v>299</v>
      </c>
      <c r="T4677" s="5">
        <f>OrdersTable[[#This Row],[Gross Sale]]*OrdersTable[[#This Row],[Discount_Clean2]]</f>
        <v>0</v>
      </c>
      <c r="U4677" s="5">
        <f>OrdersTable[[#This Row],[Gross Sale]]-OrdersTable[[#This Row],[Discount Amount]]</f>
        <v>299</v>
      </c>
      <c r="V4677" s="77">
        <f>INDEX(Products!E:E,MATCH(OrdersTable[[#This Row],[Product ID]],Products!A:A,0))</f>
        <v>90</v>
      </c>
      <c r="W4677" s="77">
        <f>OrdersTable[[#This Row],[Quantity]]*OrdersTable[[#This Row],[Unit Cost]]</f>
        <v>90</v>
      </c>
      <c r="X4677" s="77">
        <f>'Dropdown Lists'!$I$2*(1+OrdersTable[[#This Row],[Returned]])</f>
        <v>60</v>
      </c>
      <c r="Y4677" s="76">
        <f>OrdersTable[[#This Row],[Net Revenue]]-OrdersTable[[#This Row],[COGS]]-OrdersTable[[#This Row],[Shipping Cost]]</f>
        <v>149</v>
      </c>
      <c r="Z4677" s="78">
        <f>IFERROR(OrdersTable[[#This Row],[Profit]]/OrdersTable[[#This Row],[Net Revenue]],0)</f>
        <v>0.49832775919732442</v>
      </c>
      <c r="AA4677" t="s">
        <v>4450</v>
      </c>
      <c r="AB4677" s="79">
        <v>46003</v>
      </c>
      <c r="AC4677">
        <f>OrdersTable[[#This Row],[Delivery Date]]-OrdersTable[[#This Row],[Order Date]]</f>
        <v>5</v>
      </c>
      <c r="AD4677" t="str">
        <f>IF(OrdersTable[[#This Row],[Delivery Days]]&lt;=2, "Express (≤2d)", IF(OrdersTable[[#This Row],[Delivery Days]]&lt;=4, "Standard (3-4d)", "Delayed (5d+)"))</f>
        <v>Delayed (5d+)</v>
      </c>
      <c r="AF4677">
        <v>0</v>
      </c>
    </row>
    <row r="4678" spans="1:32" ht="15" x14ac:dyDescent="0.35">
      <c r="A4678" t="s">
        <v>5462</v>
      </c>
      <c r="B4678" s="1">
        <v>45998</v>
      </c>
      <c r="C4678">
        <f>YEAR(OrdersTable[[#This Row],[Order Date]])</f>
        <v>2025</v>
      </c>
      <c r="D4678" s="2">
        <f>DATE(YEAR(OrdersTable[[#This Row],[Order Date]]),MONTH(OrdersTable[[#This Row],[Order Date]]),1)</f>
        <v>45992</v>
      </c>
      <c r="E4678">
        <f>MONTH(OrdersTable[[#This Row],[Order Date]])</f>
        <v>12</v>
      </c>
      <c r="F4678" t="s">
        <v>75</v>
      </c>
      <c r="G4678" t="str">
        <f>IF(OrdersTable[[#This Row],[Order Date]]=_xlfn.MINIFS(Order_Date, Customer_ID, OrdersTable[[#This Row],[Customer ID]]), "New", "Repeat")</f>
        <v>Repeat</v>
      </c>
      <c r="H4678" t="s">
        <v>95</v>
      </c>
      <c r="I4678" t="str">
        <f>INDEX(State!B:B,MATCH(OrdersTable[[#This Row],[State]],State!A:A,0))</f>
        <v>TG</v>
      </c>
      <c r="J4678" t="str">
        <f>INDEX(State!C:C,MATCH(OrdersTable[[#This Row],[State Code]],State!B:B,0))</f>
        <v>South</v>
      </c>
      <c r="K4678" t="s">
        <v>96</v>
      </c>
      <c r="L4678" t="s">
        <v>23</v>
      </c>
      <c r="M4678" t="s">
        <v>423</v>
      </c>
      <c r="N4678" t="str">
        <f>INDEX(Products!B:B,MATCH(OrdersTable[[#This Row],[Product ID]],Products!A:A,0))</f>
        <v>Power Bank 20000mAh</v>
      </c>
      <c r="O4678" t="str">
        <f>INDEX(Products!C:C,MATCH(OrdersTable[[#This Row],[Product ID]],Products!A:A,0))</f>
        <v>Electronics</v>
      </c>
      <c r="P4678">
        <v>2</v>
      </c>
      <c r="Q4678" s="5">
        <v>1799</v>
      </c>
      <c r="R4678" s="74">
        <v>0.4</v>
      </c>
      <c r="S4678" s="75">
        <f>OrdersTable[[#This Row],[Quantity]]*OrdersTable[[#This Row],[Unit Price]]</f>
        <v>3598</v>
      </c>
      <c r="T4678" s="5">
        <f>OrdersTable[[#This Row],[Gross Sale]]*OrdersTable[[#This Row],[Discount_Clean2]]</f>
        <v>1439.2</v>
      </c>
      <c r="U4678" s="5">
        <f>OrdersTable[[#This Row],[Gross Sale]]-OrdersTable[[#This Row],[Discount Amount]]</f>
        <v>2158.8000000000002</v>
      </c>
      <c r="V4678" s="77">
        <f>INDEX(Products!E:E,MATCH(OrdersTable[[#This Row],[Product ID]],Products!A:A,0))</f>
        <v>1079</v>
      </c>
      <c r="W4678" s="77">
        <f>OrdersTable[[#This Row],[Quantity]]*OrdersTable[[#This Row],[Unit Cost]]</f>
        <v>2158</v>
      </c>
      <c r="X4678" s="77">
        <f>'Dropdown Lists'!$I$2*(1+OrdersTable[[#This Row],[Returned]])</f>
        <v>60</v>
      </c>
      <c r="Y4678" s="76">
        <f>OrdersTable[[#This Row],[Net Revenue]]-OrdersTable[[#This Row],[COGS]]-OrdersTable[[#This Row],[Shipping Cost]]</f>
        <v>-59.199999999999818</v>
      </c>
      <c r="Z4678" s="78">
        <f>IFERROR(OrdersTable[[#This Row],[Profit]]/OrdersTable[[#This Row],[Net Revenue]],0)</f>
        <v>-2.742264220863434E-2</v>
      </c>
      <c r="AA4678" t="s">
        <v>2522</v>
      </c>
      <c r="AB4678" s="79">
        <v>46001</v>
      </c>
      <c r="AC4678">
        <f>OrdersTable[[#This Row],[Delivery Date]]-OrdersTable[[#This Row],[Order Date]]</f>
        <v>3</v>
      </c>
      <c r="AD4678" t="str">
        <f>IF(OrdersTable[[#This Row],[Delivery Days]]&lt;=2, "Express (≤2d)", IF(OrdersTable[[#This Row],[Delivery Days]]&lt;=4, "Standard (3-4d)", "Delayed (5d+)"))</f>
        <v>Standard (3-4d)</v>
      </c>
      <c r="AE4678">
        <v>3</v>
      </c>
      <c r="AF4678">
        <v>0</v>
      </c>
    </row>
    <row r="4679" spans="1:32" ht="15" x14ac:dyDescent="0.35">
      <c r="A4679" t="s">
        <v>3375</v>
      </c>
      <c r="B4679" s="1">
        <v>45998</v>
      </c>
      <c r="C4679">
        <f>YEAR(OrdersTable[[#This Row],[Order Date]])</f>
        <v>2025</v>
      </c>
      <c r="D4679" s="2">
        <f>DATE(YEAR(OrdersTable[[#This Row],[Order Date]]),MONTH(OrdersTable[[#This Row],[Order Date]]),1)</f>
        <v>45992</v>
      </c>
      <c r="E4679">
        <f>MONTH(OrdersTable[[#This Row],[Order Date]])</f>
        <v>12</v>
      </c>
      <c r="F4679" t="s">
        <v>1083</v>
      </c>
      <c r="G4679" t="str">
        <f>IF(OrdersTable[[#This Row],[Order Date]]=_xlfn.MINIFS(Order_Date, Customer_ID, OrdersTable[[#This Row],[Customer ID]]), "New", "Repeat")</f>
        <v>Repeat</v>
      </c>
      <c r="H4679" t="s">
        <v>167</v>
      </c>
      <c r="I4679" t="str">
        <f>INDEX(State!B:B,MATCH(OrdersTable[[#This Row],[State]],State!A:A,0))</f>
        <v>KA</v>
      </c>
      <c r="J4679" t="str">
        <f>INDEX(State!C:C,MATCH(OrdersTable[[#This Row],[State Code]],State!B:B,0))</f>
        <v>South</v>
      </c>
      <c r="K4679" t="s">
        <v>190</v>
      </c>
      <c r="L4679" t="s">
        <v>50</v>
      </c>
      <c r="M4679" t="s">
        <v>51</v>
      </c>
      <c r="N4679" t="str">
        <f>INDEX(Products!B:B,MATCH(OrdersTable[[#This Row],[Product ID]],Products!A:A,0))</f>
        <v>Anti-Dandruff Conditioner</v>
      </c>
      <c r="O4679" t="str">
        <f>INDEX(Products!C:C,MATCH(OrdersTable[[#This Row],[Product ID]],Products!A:A,0))</f>
        <v>Haircare</v>
      </c>
      <c r="P4679">
        <v>1</v>
      </c>
      <c r="Q4679" s="5">
        <v>399</v>
      </c>
      <c r="R4679" s="74">
        <v>0.35</v>
      </c>
      <c r="S4679" s="75">
        <f>OrdersTable[[#This Row],[Quantity]]*OrdersTable[[#This Row],[Unit Price]]</f>
        <v>399</v>
      </c>
      <c r="T4679" s="5">
        <f>OrdersTable[[#This Row],[Gross Sale]]*OrdersTable[[#This Row],[Discount_Clean2]]</f>
        <v>139.64999999999998</v>
      </c>
      <c r="U4679" s="5">
        <f>OrdersTable[[#This Row],[Gross Sale]]-OrdersTable[[#This Row],[Discount Amount]]</f>
        <v>259.35000000000002</v>
      </c>
      <c r="V4679" s="77">
        <f>INDEX(Products!E:E,MATCH(OrdersTable[[#This Row],[Product ID]],Products!A:A,0))</f>
        <v>136</v>
      </c>
      <c r="W4679" s="77">
        <f>OrdersTable[[#This Row],[Quantity]]*OrdersTable[[#This Row],[Unit Cost]]</f>
        <v>136</v>
      </c>
      <c r="X4679" s="77">
        <f>'Dropdown Lists'!$I$2*(1+OrdersTable[[#This Row],[Returned]])</f>
        <v>60</v>
      </c>
      <c r="Y4679" s="76">
        <f>OrdersTable[[#This Row],[Net Revenue]]-OrdersTable[[#This Row],[COGS]]-OrdersTable[[#This Row],[Shipping Cost]]</f>
        <v>63.350000000000023</v>
      </c>
      <c r="Z4679" s="78">
        <f>IFERROR(OrdersTable[[#This Row],[Profit]]/OrdersTable[[#This Row],[Net Revenue]],0)</f>
        <v>0.24426450742240222</v>
      </c>
      <c r="AA4679" t="s">
        <v>2522</v>
      </c>
      <c r="AB4679" s="79">
        <v>46001</v>
      </c>
      <c r="AC4679">
        <f>OrdersTable[[#This Row],[Delivery Date]]-OrdersTable[[#This Row],[Order Date]]</f>
        <v>3</v>
      </c>
      <c r="AD4679" t="str">
        <f>IF(OrdersTable[[#This Row],[Delivery Days]]&lt;=2, "Express (≤2d)", IF(OrdersTable[[#This Row],[Delivery Days]]&lt;=4, "Standard (3-4d)", "Delayed (5d+)"))</f>
        <v>Standard (3-4d)</v>
      </c>
      <c r="AE4679">
        <v>4</v>
      </c>
      <c r="AF4679">
        <v>0</v>
      </c>
    </row>
    <row r="4680" spans="1:32" ht="15" x14ac:dyDescent="0.35">
      <c r="A4680" t="s">
        <v>4311</v>
      </c>
      <c r="B4680" s="1">
        <v>45999</v>
      </c>
      <c r="C4680">
        <f>YEAR(OrdersTable[[#This Row],[Order Date]])</f>
        <v>2025</v>
      </c>
      <c r="D4680" s="2">
        <f>DATE(YEAR(OrdersTable[[#This Row],[Order Date]]),MONTH(OrdersTable[[#This Row],[Order Date]]),1)</f>
        <v>45992</v>
      </c>
      <c r="E4680">
        <f>MONTH(OrdersTable[[#This Row],[Order Date]])</f>
        <v>12</v>
      </c>
      <c r="F4680" t="s">
        <v>53</v>
      </c>
      <c r="G4680" t="str">
        <f>IF(OrdersTable[[#This Row],[Order Date]]=_xlfn.MINIFS(Order_Date, Customer_ID, OrdersTable[[#This Row],[Customer ID]]), "New", "Repeat")</f>
        <v>Repeat</v>
      </c>
      <c r="H4680" t="s">
        <v>76</v>
      </c>
      <c r="I4680" t="str">
        <f>INDEX(State!B:B,MATCH(OrdersTable[[#This Row],[State]],State!A:A,0))</f>
        <v>UP</v>
      </c>
      <c r="J4680" t="str">
        <f>INDEX(State!C:C,MATCH(OrdersTable[[#This Row],[State Code]],State!B:B,0))</f>
        <v>North</v>
      </c>
      <c r="K4680" t="s">
        <v>118</v>
      </c>
      <c r="L4680" t="s">
        <v>65</v>
      </c>
      <c r="M4680" t="s">
        <v>152</v>
      </c>
      <c r="N4680" t="str">
        <f>INDEX(Products!B:B,MATCH(OrdersTable[[#This Row],[Product ID]],Products!A:A,0))</f>
        <v>Green Tea (100 bags)</v>
      </c>
      <c r="O4680" t="str">
        <f>INDEX(Products!C:C,MATCH(OrdersTable[[#This Row],[Product ID]],Products!A:A,0))</f>
        <v>Wellness</v>
      </c>
      <c r="P4680">
        <v>1</v>
      </c>
      <c r="Q4680" s="5">
        <v>399</v>
      </c>
      <c r="R4680" s="74">
        <v>0.3</v>
      </c>
      <c r="S4680" s="75">
        <f>OrdersTable[[#This Row],[Quantity]]*OrdersTable[[#This Row],[Unit Price]]</f>
        <v>399</v>
      </c>
      <c r="T4680" s="5">
        <f>OrdersTable[[#This Row],[Gross Sale]]*OrdersTable[[#This Row],[Discount_Clean2]]</f>
        <v>119.69999999999999</v>
      </c>
      <c r="U4680" s="5">
        <f>OrdersTable[[#This Row],[Gross Sale]]-OrdersTable[[#This Row],[Discount Amount]]</f>
        <v>279.3</v>
      </c>
      <c r="V4680" s="77">
        <f>INDEX(Products!E:E,MATCH(OrdersTable[[#This Row],[Product ID]],Products!A:A,0))</f>
        <v>128</v>
      </c>
      <c r="W4680" s="77">
        <f>OrdersTable[[#This Row],[Quantity]]*OrdersTable[[#This Row],[Unit Cost]]</f>
        <v>128</v>
      </c>
      <c r="X4680" s="77">
        <f>'Dropdown Lists'!$I$2*(1+OrdersTable[[#This Row],[Returned]])</f>
        <v>60</v>
      </c>
      <c r="Y4680" s="76">
        <f>OrdersTable[[#This Row],[Net Revenue]]-OrdersTable[[#This Row],[COGS]]-OrdersTable[[#This Row],[Shipping Cost]]</f>
        <v>91.300000000000011</v>
      </c>
      <c r="Z4680" s="78">
        <f>IFERROR(OrdersTable[[#This Row],[Profit]]/OrdersTable[[#This Row],[Net Revenue]],0)</f>
        <v>0.32688865019692093</v>
      </c>
      <c r="AA4680" t="s">
        <v>4074</v>
      </c>
      <c r="AB4680" s="79">
        <v>46003</v>
      </c>
      <c r="AC4680">
        <f>OrdersTable[[#This Row],[Delivery Date]]-OrdersTable[[#This Row],[Order Date]]</f>
        <v>4</v>
      </c>
      <c r="AD4680" t="str">
        <f>IF(OrdersTable[[#This Row],[Delivery Days]]&lt;=2, "Express (≤2d)", IF(OrdersTable[[#This Row],[Delivery Days]]&lt;=4, "Standard (3-4d)", "Delayed (5d+)"))</f>
        <v>Standard (3-4d)</v>
      </c>
      <c r="AF4680">
        <v>0</v>
      </c>
    </row>
    <row r="4681" spans="1:32" ht="15" x14ac:dyDescent="0.35">
      <c r="A4681" t="s">
        <v>3490</v>
      </c>
      <c r="B4681" s="1">
        <v>45999</v>
      </c>
      <c r="C4681">
        <f>YEAR(OrdersTable[[#This Row],[Order Date]])</f>
        <v>2025</v>
      </c>
      <c r="D4681" s="2">
        <f>DATE(YEAR(OrdersTable[[#This Row],[Order Date]]),MONTH(OrdersTable[[#This Row],[Order Date]]),1)</f>
        <v>45992</v>
      </c>
      <c r="E4681">
        <f>MONTH(OrdersTable[[#This Row],[Order Date]])</f>
        <v>12</v>
      </c>
      <c r="F4681" t="s">
        <v>226</v>
      </c>
      <c r="G4681" t="str">
        <f>IF(OrdersTable[[#This Row],[Order Date]]=_xlfn.MINIFS(Order_Date, Customer_ID, OrdersTable[[#This Row],[Customer ID]]), "New", "Repeat")</f>
        <v>Repeat</v>
      </c>
      <c r="H4681" t="s">
        <v>32</v>
      </c>
      <c r="I4681" t="str">
        <f>INDEX(State!B:B,MATCH(OrdersTable[[#This Row],[State]],State!A:A,0))</f>
        <v>BR</v>
      </c>
      <c r="J4681" t="str">
        <f>INDEX(State!C:C,MATCH(OrdersTable[[#This Row],[State Code]],State!B:B,0))</f>
        <v>East</v>
      </c>
      <c r="K4681" t="s">
        <v>33</v>
      </c>
      <c r="L4681" t="s">
        <v>65</v>
      </c>
      <c r="M4681" t="s">
        <v>29</v>
      </c>
      <c r="N4681" t="str">
        <f>INDEX(Products!B:B,MATCH(OrdersTable[[#This Row],[Product ID]],Products!A:A,0))</f>
        <v>Joggers</v>
      </c>
      <c r="O4681" t="str">
        <f>INDEX(Products!C:C,MATCH(OrdersTable[[#This Row],[Product ID]],Products!A:A,0))</f>
        <v>Apparel</v>
      </c>
      <c r="P4681">
        <v>1</v>
      </c>
      <c r="Q4681" s="5">
        <v>1199</v>
      </c>
      <c r="R4681" s="74">
        <v>0.15</v>
      </c>
      <c r="S4681" s="75">
        <f>OrdersTable[[#This Row],[Quantity]]*OrdersTable[[#This Row],[Unit Price]]</f>
        <v>1199</v>
      </c>
      <c r="T4681" s="5">
        <f>OrdersTable[[#This Row],[Gross Sale]]*OrdersTable[[#This Row],[Discount_Clean2]]</f>
        <v>179.85</v>
      </c>
      <c r="U4681" s="5">
        <f>OrdersTable[[#This Row],[Gross Sale]]-OrdersTable[[#This Row],[Discount Amount]]</f>
        <v>1019.15</v>
      </c>
      <c r="V4681" s="77">
        <f>INDEX(Products!E:E,MATCH(OrdersTable[[#This Row],[Product ID]],Products!A:A,0))</f>
        <v>492</v>
      </c>
      <c r="W4681" s="77">
        <f>OrdersTable[[#This Row],[Quantity]]*OrdersTable[[#This Row],[Unit Cost]]</f>
        <v>492</v>
      </c>
      <c r="X4681" s="77">
        <f>'Dropdown Lists'!$I$2*(1+OrdersTable[[#This Row],[Returned]])</f>
        <v>60</v>
      </c>
      <c r="Y4681" s="76">
        <f>OrdersTable[[#This Row],[Net Revenue]]-OrdersTable[[#This Row],[COGS]]-OrdersTable[[#This Row],[Shipping Cost]]</f>
        <v>467.15</v>
      </c>
      <c r="Z4681" s="78">
        <f>IFERROR(OrdersTable[[#This Row],[Profit]]/OrdersTable[[#This Row],[Net Revenue]],0)</f>
        <v>0.45837217288917231</v>
      </c>
      <c r="AA4681" t="s">
        <v>2522</v>
      </c>
      <c r="AB4681" s="79">
        <v>46004</v>
      </c>
      <c r="AC4681">
        <f>OrdersTable[[#This Row],[Delivery Date]]-OrdersTable[[#This Row],[Order Date]]</f>
        <v>5</v>
      </c>
      <c r="AD4681" t="str">
        <f>IF(OrdersTable[[#This Row],[Delivery Days]]&lt;=2, "Express (≤2d)", IF(OrdersTable[[#This Row],[Delivery Days]]&lt;=4, "Standard (3-4d)", "Delayed (5d+)"))</f>
        <v>Delayed (5d+)</v>
      </c>
      <c r="AE4681">
        <v>4</v>
      </c>
      <c r="AF4681">
        <v>0</v>
      </c>
    </row>
    <row r="4682" spans="1:32" ht="15" x14ac:dyDescent="0.35">
      <c r="A4682" t="s">
        <v>2518</v>
      </c>
      <c r="B4682" s="1">
        <v>45999</v>
      </c>
      <c r="C4682">
        <f>YEAR(OrdersTable[[#This Row],[Order Date]])</f>
        <v>2025</v>
      </c>
      <c r="D4682" s="2">
        <f>DATE(YEAR(OrdersTable[[#This Row],[Order Date]]),MONTH(OrdersTable[[#This Row],[Order Date]]),1)</f>
        <v>45992</v>
      </c>
      <c r="E4682">
        <f>MONTH(OrdersTable[[#This Row],[Order Date]])</f>
        <v>12</v>
      </c>
      <c r="F4682" t="s">
        <v>2519</v>
      </c>
      <c r="G4682" t="str">
        <f>IF(OrdersTable[[#This Row],[Order Date]]=_xlfn.MINIFS(Order_Date, Customer_ID, OrdersTable[[#This Row],[Customer ID]]), "New", "Repeat")</f>
        <v>Repeat</v>
      </c>
      <c r="H4682" t="s">
        <v>43</v>
      </c>
      <c r="I4682" t="str">
        <f>INDEX(State!B:B,MATCH(OrdersTable[[#This Row],[State]],State!A:A,0))</f>
        <v>MP</v>
      </c>
      <c r="J4682" t="str">
        <f>INDEX(State!C:C,MATCH(OrdersTable[[#This Row],[State Code]],State!B:B,0))</f>
        <v>West</v>
      </c>
      <c r="K4682" t="s">
        <v>250</v>
      </c>
      <c r="L4682" t="s">
        <v>23</v>
      </c>
      <c r="M4682" t="s">
        <v>61</v>
      </c>
      <c r="N4682" t="str">
        <f>INDEX(Products!B:B,MATCH(OrdersTable[[#This Row],[Product ID]],Products!A:A,0))</f>
        <v>Multivitamin Gummies</v>
      </c>
      <c r="O4682" t="str">
        <f>INDEX(Products!C:C,MATCH(OrdersTable[[#This Row],[Product ID]],Products!A:A,0))</f>
        <v>Wellness</v>
      </c>
      <c r="P4682">
        <v>1</v>
      </c>
      <c r="Q4682" s="5">
        <v>699</v>
      </c>
      <c r="R4682" s="74">
        <v>0.2</v>
      </c>
      <c r="S4682" s="75">
        <f>OrdersTable[[#This Row],[Quantity]]*OrdersTable[[#This Row],[Unit Price]]</f>
        <v>699</v>
      </c>
      <c r="T4682" s="5">
        <f>OrdersTable[[#This Row],[Gross Sale]]*OrdersTable[[#This Row],[Discount_Clean2]]</f>
        <v>139.80000000000001</v>
      </c>
      <c r="U4682" s="5">
        <f>OrdersTable[[#This Row],[Gross Sale]]-OrdersTable[[#This Row],[Discount Amount]]</f>
        <v>559.20000000000005</v>
      </c>
      <c r="V4682" s="77">
        <f>INDEX(Products!E:E,MATCH(OrdersTable[[#This Row],[Product ID]],Products!A:A,0))</f>
        <v>238</v>
      </c>
      <c r="W4682" s="77">
        <f>OrdersTable[[#This Row],[Quantity]]*OrdersTable[[#This Row],[Unit Cost]]</f>
        <v>238</v>
      </c>
      <c r="X4682" s="77">
        <f>'Dropdown Lists'!$I$2*(1+OrdersTable[[#This Row],[Returned]])</f>
        <v>120</v>
      </c>
      <c r="Y4682" s="76">
        <f>OrdersTable[[#This Row],[Net Revenue]]-OrdersTable[[#This Row],[COGS]]-OrdersTable[[#This Row],[Shipping Cost]]</f>
        <v>201.20000000000005</v>
      </c>
      <c r="Z4682" s="78">
        <f>IFERROR(OrdersTable[[#This Row],[Profit]]/OrdersTable[[#This Row],[Net Revenue]],0)</f>
        <v>0.35979971387696713</v>
      </c>
      <c r="AA4682" t="s">
        <v>18</v>
      </c>
      <c r="AB4682" s="79">
        <v>46004</v>
      </c>
      <c r="AC4682">
        <f>OrdersTable[[#This Row],[Delivery Date]]-OrdersTable[[#This Row],[Order Date]]</f>
        <v>5</v>
      </c>
      <c r="AD4682" t="str">
        <f>IF(OrdersTable[[#This Row],[Delivery Days]]&lt;=2, "Express (≤2d)", IF(OrdersTable[[#This Row],[Delivery Days]]&lt;=4, "Standard (3-4d)", "Delayed (5d+)"))</f>
        <v>Delayed (5d+)</v>
      </c>
      <c r="AE4682">
        <v>2</v>
      </c>
      <c r="AF4682">
        <v>1</v>
      </c>
    </row>
    <row r="4683" spans="1:32" ht="15" x14ac:dyDescent="0.35">
      <c r="A4683" t="s">
        <v>1816</v>
      </c>
      <c r="B4683" s="1">
        <v>45999</v>
      </c>
      <c r="C4683">
        <f>YEAR(OrdersTable[[#This Row],[Order Date]])</f>
        <v>2025</v>
      </c>
      <c r="D4683" s="2">
        <f>DATE(YEAR(OrdersTable[[#This Row],[Order Date]]),MONTH(OrdersTable[[#This Row],[Order Date]]),1)</f>
        <v>45992</v>
      </c>
      <c r="E4683">
        <f>MONTH(OrdersTable[[#This Row],[Order Date]])</f>
        <v>12</v>
      </c>
      <c r="F4683" t="s">
        <v>1817</v>
      </c>
      <c r="G4683" t="str">
        <f>IF(OrdersTable[[#This Row],[Order Date]]=_xlfn.MINIFS(Order_Date, Customer_ID, OrdersTable[[#This Row],[Customer ID]]), "New", "Repeat")</f>
        <v>Repeat</v>
      </c>
      <c r="H4683" t="s">
        <v>316</v>
      </c>
      <c r="I4683" t="str">
        <f>INDEX(State!B:B,MATCH(OrdersTable[[#This Row],[State]],State!A:A,0))</f>
        <v>KL</v>
      </c>
      <c r="J4683" t="str">
        <f>INDEX(State!C:C,MATCH(OrdersTable[[#This Row],[State Code]],State!B:B,0))</f>
        <v>South</v>
      </c>
      <c r="K4683" t="s">
        <v>317</v>
      </c>
      <c r="L4683" t="s">
        <v>65</v>
      </c>
      <c r="M4683" t="s">
        <v>61</v>
      </c>
      <c r="N4683" t="str">
        <f>INDEX(Products!B:B,MATCH(OrdersTable[[#This Row],[Product ID]],Products!A:A,0))</f>
        <v>Multivitamin Gummies</v>
      </c>
      <c r="O4683" t="str">
        <f>INDEX(Products!C:C,MATCH(OrdersTable[[#This Row],[Product ID]],Products!A:A,0))</f>
        <v>Wellness</v>
      </c>
      <c r="P4683">
        <v>1</v>
      </c>
      <c r="Q4683" s="5">
        <v>699</v>
      </c>
      <c r="R4683" s="74">
        <v>0.2</v>
      </c>
      <c r="S4683" s="75">
        <f>OrdersTable[[#This Row],[Quantity]]*OrdersTable[[#This Row],[Unit Price]]</f>
        <v>699</v>
      </c>
      <c r="T4683" s="5">
        <f>OrdersTable[[#This Row],[Gross Sale]]*OrdersTable[[#This Row],[Discount_Clean2]]</f>
        <v>139.80000000000001</v>
      </c>
      <c r="U4683" s="5">
        <f>OrdersTable[[#This Row],[Gross Sale]]-OrdersTable[[#This Row],[Discount Amount]]</f>
        <v>559.20000000000005</v>
      </c>
      <c r="V4683" s="77">
        <f>INDEX(Products!E:E,MATCH(OrdersTable[[#This Row],[Product ID]],Products!A:A,0))</f>
        <v>238</v>
      </c>
      <c r="W4683" s="77">
        <f>OrdersTable[[#This Row],[Quantity]]*OrdersTable[[#This Row],[Unit Cost]]</f>
        <v>238</v>
      </c>
      <c r="X4683" s="77">
        <f>'Dropdown Lists'!$I$2*(1+OrdersTable[[#This Row],[Returned]])</f>
        <v>60</v>
      </c>
      <c r="Y4683" s="76">
        <f>OrdersTable[[#This Row],[Net Revenue]]-OrdersTable[[#This Row],[COGS]]-OrdersTable[[#This Row],[Shipping Cost]]</f>
        <v>261.20000000000005</v>
      </c>
      <c r="Z4683" s="78">
        <f>IFERROR(OrdersTable[[#This Row],[Profit]]/OrdersTable[[#This Row],[Net Revenue]],0)</f>
        <v>0.46709585121602293</v>
      </c>
      <c r="AA4683" t="s">
        <v>18</v>
      </c>
      <c r="AB4683" s="79">
        <v>46003</v>
      </c>
      <c r="AC4683">
        <f>OrdersTable[[#This Row],[Delivery Date]]-OrdersTable[[#This Row],[Order Date]]</f>
        <v>4</v>
      </c>
      <c r="AD4683" t="str">
        <f>IF(OrdersTable[[#This Row],[Delivery Days]]&lt;=2, "Express (≤2d)", IF(OrdersTable[[#This Row],[Delivery Days]]&lt;=4, "Standard (3-4d)", "Delayed (5d+)"))</f>
        <v>Standard (3-4d)</v>
      </c>
      <c r="AF4683">
        <v>0</v>
      </c>
    </row>
    <row r="4684" spans="1:32" ht="15" x14ac:dyDescent="0.35">
      <c r="A4684" t="s">
        <v>1207</v>
      </c>
      <c r="B4684" s="1">
        <v>46000</v>
      </c>
      <c r="C4684">
        <f>YEAR(OrdersTable[[#This Row],[Order Date]])</f>
        <v>2025</v>
      </c>
      <c r="D4684" s="2">
        <f>DATE(YEAR(OrdersTable[[#This Row],[Order Date]]),MONTH(OrdersTable[[#This Row],[Order Date]]),1)</f>
        <v>45992</v>
      </c>
      <c r="E4684">
        <f>MONTH(OrdersTable[[#This Row],[Order Date]])</f>
        <v>12</v>
      </c>
      <c r="F4684" t="s">
        <v>1208</v>
      </c>
      <c r="G4684" t="str">
        <f>IF(OrdersTable[[#This Row],[Order Date]]=_xlfn.MINIFS(Order_Date, Customer_ID, OrdersTable[[#This Row],[Customer ID]]), "New", "Repeat")</f>
        <v>Repeat</v>
      </c>
      <c r="H4684" t="s">
        <v>210</v>
      </c>
      <c r="I4684" t="str">
        <f>INDEX(State!B:B,MATCH(OrdersTable[[#This Row],[State]],State!A:A,0))</f>
        <v>JK</v>
      </c>
      <c r="J4684" t="str">
        <f>INDEX(State!C:C,MATCH(OrdersTable[[#This Row],[State Code]],State!B:B,0))</f>
        <v>North</v>
      </c>
      <c r="K4684" t="s">
        <v>415</v>
      </c>
      <c r="L4684" t="s">
        <v>50</v>
      </c>
      <c r="M4684" t="s">
        <v>78</v>
      </c>
      <c r="N4684" t="str">
        <f>INDEX(Products!B:B,MATCH(OrdersTable[[#This Row],[Product ID]],Products!A:A,0))</f>
        <v>Retinol Night Cream</v>
      </c>
      <c r="O4684" t="str">
        <f>INDEX(Products!C:C,MATCH(OrdersTable[[#This Row],[Product ID]],Products!A:A,0))</f>
        <v>Skincare</v>
      </c>
      <c r="P4684">
        <v>1</v>
      </c>
      <c r="Q4684" s="5">
        <v>799</v>
      </c>
      <c r="R4684" s="74">
        <v>0.1</v>
      </c>
      <c r="S4684" s="75">
        <f>OrdersTable[[#This Row],[Quantity]]*OrdersTable[[#This Row],[Unit Price]]</f>
        <v>799</v>
      </c>
      <c r="T4684" s="5">
        <f>OrdersTable[[#This Row],[Gross Sale]]*OrdersTable[[#This Row],[Discount_Clean2]]</f>
        <v>79.900000000000006</v>
      </c>
      <c r="U4684" s="5">
        <f>OrdersTable[[#This Row],[Gross Sale]]-OrdersTable[[#This Row],[Discount Amount]]</f>
        <v>719.1</v>
      </c>
      <c r="V4684" s="77">
        <f>INDEX(Products!E:E,MATCH(OrdersTable[[#This Row],[Product ID]],Products!A:A,0))</f>
        <v>216</v>
      </c>
      <c r="W4684" s="77">
        <f>OrdersTable[[#This Row],[Quantity]]*OrdersTable[[#This Row],[Unit Cost]]</f>
        <v>216</v>
      </c>
      <c r="X4684" s="77">
        <f>'Dropdown Lists'!$I$2*(1+OrdersTable[[#This Row],[Returned]])</f>
        <v>60</v>
      </c>
      <c r="Y4684" s="76">
        <f>OrdersTable[[#This Row],[Net Revenue]]-OrdersTable[[#This Row],[COGS]]-OrdersTable[[#This Row],[Shipping Cost]]</f>
        <v>443.1</v>
      </c>
      <c r="Z4684" s="78">
        <f>IFERROR(OrdersTable[[#This Row],[Profit]]/OrdersTable[[#This Row],[Net Revenue]],0)</f>
        <v>0.61618690029203171</v>
      </c>
      <c r="AA4684" t="s">
        <v>18</v>
      </c>
      <c r="AB4684" s="79">
        <v>46007</v>
      </c>
      <c r="AC4684">
        <f>OrdersTable[[#This Row],[Delivery Date]]-OrdersTable[[#This Row],[Order Date]]</f>
        <v>7</v>
      </c>
      <c r="AD4684" t="str">
        <f>IF(OrdersTable[[#This Row],[Delivery Days]]&lt;=2, "Express (≤2d)", IF(OrdersTable[[#This Row],[Delivery Days]]&lt;=4, "Standard (3-4d)", "Delayed (5d+)"))</f>
        <v>Delayed (5d+)</v>
      </c>
      <c r="AF4684">
        <v>0</v>
      </c>
    </row>
    <row r="4685" spans="1:32" ht="15" x14ac:dyDescent="0.35">
      <c r="A4685" t="s">
        <v>2063</v>
      </c>
      <c r="B4685" s="1">
        <v>46000</v>
      </c>
      <c r="C4685">
        <f>YEAR(OrdersTable[[#This Row],[Order Date]])</f>
        <v>2025</v>
      </c>
      <c r="D4685" s="2">
        <f>DATE(YEAR(OrdersTable[[#This Row],[Order Date]]),MONTH(OrdersTable[[#This Row],[Order Date]]),1)</f>
        <v>45992</v>
      </c>
      <c r="E4685">
        <f>MONTH(OrdersTable[[#This Row],[Order Date]])</f>
        <v>12</v>
      </c>
      <c r="F4685" t="s">
        <v>2064</v>
      </c>
      <c r="G4685" t="str">
        <f>IF(OrdersTable[[#This Row],[Order Date]]=_xlfn.MINIFS(Order_Date, Customer_ID, OrdersTable[[#This Row],[Customer ID]]), "New", "Repeat")</f>
        <v>Repeat</v>
      </c>
      <c r="H4685" t="s">
        <v>48</v>
      </c>
      <c r="I4685" t="str">
        <f>INDEX(State!B:B,MATCH(OrdersTable[[#This Row],[State]],State!A:A,0))</f>
        <v>HR</v>
      </c>
      <c r="J4685" t="str">
        <f>INDEX(State!C:C,MATCH(OrdersTable[[#This Row],[State Code]],State!B:B,0))</f>
        <v>North</v>
      </c>
      <c r="K4685" t="s">
        <v>49</v>
      </c>
      <c r="L4685" t="s">
        <v>50</v>
      </c>
      <c r="M4685" t="s">
        <v>45</v>
      </c>
      <c r="N4685" t="str">
        <f>INDEX(Products!B:B,MATCH(OrdersTable[[#This Row],[Product ID]],Products!A:A,0))</f>
        <v>Argan Shampoo</v>
      </c>
      <c r="O4685" t="str">
        <f>INDEX(Products!C:C,MATCH(OrdersTable[[#This Row],[Product ID]],Products!A:A,0))</f>
        <v>Haircare</v>
      </c>
      <c r="P4685">
        <v>1</v>
      </c>
      <c r="Q4685" s="5">
        <v>449</v>
      </c>
      <c r="R4685" s="74">
        <v>0.05</v>
      </c>
      <c r="S4685" s="75">
        <f>OrdersTable[[#This Row],[Quantity]]*OrdersTable[[#This Row],[Unit Price]]</f>
        <v>449</v>
      </c>
      <c r="T4685" s="5">
        <f>OrdersTable[[#This Row],[Gross Sale]]*OrdersTable[[#This Row],[Discount_Clean2]]</f>
        <v>22.450000000000003</v>
      </c>
      <c r="U4685" s="5">
        <f>OrdersTable[[#This Row],[Gross Sale]]-OrdersTable[[#This Row],[Discount Amount]]</f>
        <v>426.55</v>
      </c>
      <c r="V4685" s="77">
        <f>INDEX(Products!E:E,MATCH(OrdersTable[[#This Row],[Product ID]],Products!A:A,0))</f>
        <v>148</v>
      </c>
      <c r="W4685" s="77">
        <f>OrdersTable[[#This Row],[Quantity]]*OrdersTable[[#This Row],[Unit Cost]]</f>
        <v>148</v>
      </c>
      <c r="X4685" s="77">
        <f>'Dropdown Lists'!$I$2*(1+OrdersTable[[#This Row],[Returned]])</f>
        <v>60</v>
      </c>
      <c r="Y4685" s="76">
        <f>OrdersTable[[#This Row],[Net Revenue]]-OrdersTable[[#This Row],[COGS]]-OrdersTable[[#This Row],[Shipping Cost]]</f>
        <v>218.55</v>
      </c>
      <c r="Z4685" s="78">
        <f>IFERROR(OrdersTable[[#This Row],[Profit]]/OrdersTable[[#This Row],[Net Revenue]],0)</f>
        <v>0.51236666275934828</v>
      </c>
      <c r="AA4685" t="s">
        <v>18</v>
      </c>
      <c r="AB4685" s="79">
        <v>46003</v>
      </c>
      <c r="AC4685">
        <f>OrdersTable[[#This Row],[Delivery Date]]-OrdersTable[[#This Row],[Order Date]]</f>
        <v>3</v>
      </c>
      <c r="AD4685" t="str">
        <f>IF(OrdersTable[[#This Row],[Delivery Days]]&lt;=2, "Express (≤2d)", IF(OrdersTable[[#This Row],[Delivery Days]]&lt;=4, "Standard (3-4d)", "Delayed (5d+)"))</f>
        <v>Standard (3-4d)</v>
      </c>
      <c r="AE4685">
        <v>3</v>
      </c>
      <c r="AF4685">
        <v>0</v>
      </c>
    </row>
    <row r="4686" spans="1:32" ht="15" x14ac:dyDescent="0.35">
      <c r="A4686" t="s">
        <v>3376</v>
      </c>
      <c r="B4686" s="1">
        <v>46000</v>
      </c>
      <c r="C4686">
        <f>YEAR(OrdersTable[[#This Row],[Order Date]])</f>
        <v>2025</v>
      </c>
      <c r="D4686" s="2">
        <f>DATE(YEAR(OrdersTable[[#This Row],[Order Date]]),MONTH(OrdersTable[[#This Row],[Order Date]]),1)</f>
        <v>45992</v>
      </c>
      <c r="E4686">
        <f>MONTH(OrdersTable[[#This Row],[Order Date]])</f>
        <v>12</v>
      </c>
      <c r="F4686" t="s">
        <v>3377</v>
      </c>
      <c r="G4686" t="str">
        <f>IF(OrdersTable[[#This Row],[Order Date]]=_xlfn.MINIFS(Order_Date, Customer_ID, OrdersTable[[#This Row],[Customer ID]]), "New", "Repeat")</f>
        <v>Repeat</v>
      </c>
      <c r="H4686" t="s">
        <v>76</v>
      </c>
      <c r="I4686" t="str">
        <f>INDEX(State!B:B,MATCH(OrdersTable[[#This Row],[State]],State!A:A,0))</f>
        <v>UP</v>
      </c>
      <c r="J4686" t="str">
        <f>INDEX(State!C:C,MATCH(OrdersTable[[#This Row],[State Code]],State!B:B,0))</f>
        <v>North</v>
      </c>
      <c r="K4686" t="s">
        <v>118</v>
      </c>
      <c r="L4686" t="s">
        <v>39</v>
      </c>
      <c r="M4686" t="s">
        <v>106</v>
      </c>
      <c r="N4686" t="str">
        <f>INDEX(Products!B:B,MATCH(OrdersTable[[#This Row],[Product ID]],Products!A:A,0))</f>
        <v>Keratin Hair Mask</v>
      </c>
      <c r="O4686" t="str">
        <f>INDEX(Products!C:C,MATCH(OrdersTable[[#This Row],[Product ID]],Products!A:A,0))</f>
        <v>Haircare</v>
      </c>
      <c r="P4686">
        <v>1</v>
      </c>
      <c r="Q4686" s="5">
        <v>549</v>
      </c>
      <c r="R4686" s="74">
        <v>0.05</v>
      </c>
      <c r="S4686" s="75">
        <f>OrdersTable[[#This Row],[Quantity]]*OrdersTable[[#This Row],[Unit Price]]</f>
        <v>549</v>
      </c>
      <c r="T4686" s="5">
        <f>OrdersTable[[#This Row],[Gross Sale]]*OrdersTable[[#This Row],[Discount_Clean2]]</f>
        <v>27.450000000000003</v>
      </c>
      <c r="U4686" s="5">
        <f>OrdersTable[[#This Row],[Gross Sale]]-OrdersTable[[#This Row],[Discount Amount]]</f>
        <v>521.54999999999995</v>
      </c>
      <c r="V4686" s="77">
        <f>INDEX(Products!E:E,MATCH(OrdersTable[[#This Row],[Product ID]],Products!A:A,0))</f>
        <v>170</v>
      </c>
      <c r="W4686" s="77">
        <f>OrdersTable[[#This Row],[Quantity]]*OrdersTable[[#This Row],[Unit Cost]]</f>
        <v>170</v>
      </c>
      <c r="X4686" s="77">
        <f>'Dropdown Lists'!$I$2*(1+OrdersTable[[#This Row],[Returned]])</f>
        <v>60</v>
      </c>
      <c r="Y4686" s="76">
        <f>OrdersTable[[#This Row],[Net Revenue]]-OrdersTable[[#This Row],[COGS]]-OrdersTable[[#This Row],[Shipping Cost]]</f>
        <v>291.54999999999995</v>
      </c>
      <c r="Z4686" s="78">
        <f>IFERROR(OrdersTable[[#This Row],[Profit]]/OrdersTable[[#This Row],[Net Revenue]],0)</f>
        <v>0.55900680663407143</v>
      </c>
      <c r="AA4686" t="s">
        <v>2522</v>
      </c>
      <c r="AB4686" s="79">
        <v>46004</v>
      </c>
      <c r="AC4686">
        <f>OrdersTable[[#This Row],[Delivery Date]]-OrdersTable[[#This Row],[Order Date]]</f>
        <v>4</v>
      </c>
      <c r="AD4686" t="str">
        <f>IF(OrdersTable[[#This Row],[Delivery Days]]&lt;=2, "Express (≤2d)", IF(OrdersTable[[#This Row],[Delivery Days]]&lt;=4, "Standard (3-4d)", "Delayed (5d+)"))</f>
        <v>Standard (3-4d)</v>
      </c>
      <c r="AE4686">
        <v>4</v>
      </c>
      <c r="AF4686">
        <v>0</v>
      </c>
    </row>
    <row r="4687" spans="1:32" ht="15" x14ac:dyDescent="0.35">
      <c r="A4687" t="s">
        <v>3378</v>
      </c>
      <c r="B4687" s="1">
        <v>46000</v>
      </c>
      <c r="C4687">
        <f>YEAR(OrdersTable[[#This Row],[Order Date]])</f>
        <v>2025</v>
      </c>
      <c r="D4687" s="2">
        <f>DATE(YEAR(OrdersTable[[#This Row],[Order Date]]),MONTH(OrdersTable[[#This Row],[Order Date]]),1)</f>
        <v>45992</v>
      </c>
      <c r="E4687">
        <f>MONTH(OrdersTable[[#This Row],[Order Date]])</f>
        <v>12</v>
      </c>
      <c r="F4687" t="s">
        <v>1929</v>
      </c>
      <c r="G4687" t="str">
        <f>IF(OrdersTable[[#This Row],[Order Date]]=_xlfn.MINIFS(Order_Date, Customer_ID, OrdersTable[[#This Row],[Customer ID]]), "New", "Repeat")</f>
        <v>Repeat</v>
      </c>
      <c r="H4687" t="s">
        <v>27</v>
      </c>
      <c r="I4687" t="str">
        <f>INDEX(State!B:B,MATCH(OrdersTable[[#This Row],[State]],State!A:A,0))</f>
        <v>WB</v>
      </c>
      <c r="J4687" t="str">
        <f>INDEX(State!C:C,MATCH(OrdersTable[[#This Row],[State Code]],State!B:B,0))</f>
        <v>East</v>
      </c>
      <c r="K4687" t="s">
        <v>28</v>
      </c>
      <c r="L4687" t="s">
        <v>16</v>
      </c>
      <c r="M4687" t="s">
        <v>29</v>
      </c>
      <c r="N4687" t="str">
        <f>INDEX(Products!B:B,MATCH(OrdersTable[[#This Row],[Product ID]],Products!A:A,0))</f>
        <v>Joggers</v>
      </c>
      <c r="O4687" t="str">
        <f>INDEX(Products!C:C,MATCH(OrdersTable[[#This Row],[Product ID]],Products!A:A,0))</f>
        <v>Apparel</v>
      </c>
      <c r="P4687">
        <v>1</v>
      </c>
      <c r="Q4687" s="5">
        <v>1199</v>
      </c>
      <c r="R4687" s="74">
        <v>0.15</v>
      </c>
      <c r="S4687" s="75">
        <f>OrdersTable[[#This Row],[Quantity]]*OrdersTable[[#This Row],[Unit Price]]</f>
        <v>1199</v>
      </c>
      <c r="T4687" s="5">
        <f>OrdersTable[[#This Row],[Gross Sale]]*OrdersTable[[#This Row],[Discount_Clean2]]</f>
        <v>179.85</v>
      </c>
      <c r="U4687" s="5">
        <f>OrdersTable[[#This Row],[Gross Sale]]-OrdersTable[[#This Row],[Discount Amount]]</f>
        <v>1019.15</v>
      </c>
      <c r="V4687" s="77">
        <f>INDEX(Products!E:E,MATCH(OrdersTable[[#This Row],[Product ID]],Products!A:A,0))</f>
        <v>492</v>
      </c>
      <c r="W4687" s="77">
        <f>OrdersTable[[#This Row],[Quantity]]*OrdersTable[[#This Row],[Unit Cost]]</f>
        <v>492</v>
      </c>
      <c r="X4687" s="77">
        <f>'Dropdown Lists'!$I$2*(1+OrdersTable[[#This Row],[Returned]])</f>
        <v>60</v>
      </c>
      <c r="Y4687" s="76">
        <f>OrdersTable[[#This Row],[Net Revenue]]-OrdersTable[[#This Row],[COGS]]-OrdersTable[[#This Row],[Shipping Cost]]</f>
        <v>467.15</v>
      </c>
      <c r="Z4687" s="78">
        <f>IFERROR(OrdersTable[[#This Row],[Profit]]/OrdersTable[[#This Row],[Net Revenue]],0)</f>
        <v>0.45837217288917231</v>
      </c>
      <c r="AA4687" t="s">
        <v>2522</v>
      </c>
      <c r="AB4687" s="79">
        <v>46004</v>
      </c>
      <c r="AC4687">
        <f>OrdersTable[[#This Row],[Delivery Date]]-OrdersTable[[#This Row],[Order Date]]</f>
        <v>4</v>
      </c>
      <c r="AD4687" t="str">
        <f>IF(OrdersTable[[#This Row],[Delivery Days]]&lt;=2, "Express (≤2d)", IF(OrdersTable[[#This Row],[Delivery Days]]&lt;=4, "Standard (3-4d)", "Delayed (5d+)"))</f>
        <v>Standard (3-4d)</v>
      </c>
      <c r="AE4687">
        <v>4</v>
      </c>
      <c r="AF4687">
        <v>0</v>
      </c>
    </row>
    <row r="4688" spans="1:32" ht="15" x14ac:dyDescent="0.35">
      <c r="A4688" t="s">
        <v>4205</v>
      </c>
      <c r="B4688" s="1">
        <v>46000</v>
      </c>
      <c r="C4688">
        <f>YEAR(OrdersTable[[#This Row],[Order Date]])</f>
        <v>2025</v>
      </c>
      <c r="D4688" s="2">
        <f>DATE(YEAR(OrdersTable[[#This Row],[Order Date]]),MONTH(OrdersTable[[#This Row],[Order Date]]),1)</f>
        <v>45992</v>
      </c>
      <c r="E4688">
        <f>MONTH(OrdersTable[[#This Row],[Order Date]])</f>
        <v>12</v>
      </c>
      <c r="F4688" t="s">
        <v>1279</v>
      </c>
      <c r="G4688" t="str">
        <f>IF(OrdersTable[[#This Row],[Order Date]]=_xlfn.MINIFS(Order_Date, Customer_ID, OrdersTable[[#This Row],[Customer ID]]), "New", "Repeat")</f>
        <v>Repeat</v>
      </c>
      <c r="H4688" t="s">
        <v>27</v>
      </c>
      <c r="I4688" t="str">
        <f>INDEX(State!B:B,MATCH(OrdersTable[[#This Row],[State]],State!A:A,0))</f>
        <v>WB</v>
      </c>
      <c r="J4688" t="str">
        <f>INDEX(State!C:C,MATCH(OrdersTable[[#This Row],[State Code]],State!B:B,0))</f>
        <v>East</v>
      </c>
      <c r="K4688" t="s">
        <v>28</v>
      </c>
      <c r="L4688" t="s">
        <v>39</v>
      </c>
      <c r="M4688" t="s">
        <v>61</v>
      </c>
      <c r="N4688" t="str">
        <f>INDEX(Products!B:B,MATCH(OrdersTable[[#This Row],[Product ID]],Products!A:A,0))</f>
        <v>Multivitamin Gummies</v>
      </c>
      <c r="O4688" t="str">
        <f>INDEX(Products!C:C,MATCH(OrdersTable[[#This Row],[Product ID]],Products!A:A,0))</f>
        <v>Wellness</v>
      </c>
      <c r="P4688">
        <v>1</v>
      </c>
      <c r="Q4688" s="5">
        <v>699</v>
      </c>
      <c r="R4688" s="74">
        <v>0.1</v>
      </c>
      <c r="S4688" s="75">
        <f>OrdersTable[[#This Row],[Quantity]]*OrdersTable[[#This Row],[Unit Price]]</f>
        <v>699</v>
      </c>
      <c r="T4688" s="5">
        <f>OrdersTable[[#This Row],[Gross Sale]]*OrdersTable[[#This Row],[Discount_Clean2]]</f>
        <v>69.900000000000006</v>
      </c>
      <c r="U4688" s="5">
        <f>OrdersTable[[#This Row],[Gross Sale]]-OrdersTable[[#This Row],[Discount Amount]]</f>
        <v>629.1</v>
      </c>
      <c r="V4688" s="77">
        <f>INDEX(Products!E:E,MATCH(OrdersTable[[#This Row],[Product ID]],Products!A:A,0))</f>
        <v>238</v>
      </c>
      <c r="W4688" s="77">
        <f>OrdersTable[[#This Row],[Quantity]]*OrdersTable[[#This Row],[Unit Cost]]</f>
        <v>238</v>
      </c>
      <c r="X4688" s="77">
        <f>'Dropdown Lists'!$I$2*(1+OrdersTable[[#This Row],[Returned]])</f>
        <v>60</v>
      </c>
      <c r="Y4688" s="76">
        <f>OrdersTable[[#This Row],[Net Revenue]]-OrdersTable[[#This Row],[COGS]]-OrdersTable[[#This Row],[Shipping Cost]]</f>
        <v>331.1</v>
      </c>
      <c r="Z4688" s="78">
        <f>IFERROR(OrdersTable[[#This Row],[Profit]]/OrdersTable[[#This Row],[Net Revenue]],0)</f>
        <v>0.52630742330313152</v>
      </c>
      <c r="AA4688" t="s">
        <v>4074</v>
      </c>
      <c r="AB4688" s="79">
        <v>46002</v>
      </c>
      <c r="AC4688">
        <f>OrdersTable[[#This Row],[Delivery Date]]-OrdersTable[[#This Row],[Order Date]]</f>
        <v>2</v>
      </c>
      <c r="AD4688" t="str">
        <f>IF(OrdersTable[[#This Row],[Delivery Days]]&lt;=2, "Express (≤2d)", IF(OrdersTable[[#This Row],[Delivery Days]]&lt;=4, "Standard (3-4d)", "Delayed (5d+)"))</f>
        <v>Express (≤2d)</v>
      </c>
      <c r="AE4688">
        <v>5</v>
      </c>
      <c r="AF4688">
        <v>0</v>
      </c>
    </row>
    <row r="4689" spans="1:32" ht="15" x14ac:dyDescent="0.35">
      <c r="A4689" t="s">
        <v>4736</v>
      </c>
      <c r="B4689" s="1">
        <v>46000</v>
      </c>
      <c r="C4689">
        <f>YEAR(OrdersTable[[#This Row],[Order Date]])</f>
        <v>2025</v>
      </c>
      <c r="D4689" s="2">
        <f>DATE(YEAR(OrdersTable[[#This Row],[Order Date]]),MONTH(OrdersTable[[#This Row],[Order Date]]),1)</f>
        <v>45992</v>
      </c>
      <c r="E4689">
        <f>MONTH(OrdersTable[[#This Row],[Order Date]])</f>
        <v>12</v>
      </c>
      <c r="F4689" t="s">
        <v>3236</v>
      </c>
      <c r="G4689" t="str">
        <f>IF(OrdersTable[[#This Row],[Order Date]]=_xlfn.MINIFS(Order_Date, Customer_ID, OrdersTable[[#This Row],[Customer ID]]), "New", "Repeat")</f>
        <v>Repeat</v>
      </c>
      <c r="H4689" t="s">
        <v>71</v>
      </c>
      <c r="I4689" t="str">
        <f>INDEX(State!B:B,MATCH(OrdersTable[[#This Row],[State]],State!A:A,0))</f>
        <v>MH</v>
      </c>
      <c r="J4689" t="str">
        <f>INDEX(State!C:C,MATCH(OrdersTable[[#This Row],[State Code]],State!B:B,0))</f>
        <v>West</v>
      </c>
      <c r="K4689" t="s">
        <v>102</v>
      </c>
      <c r="L4689" t="s">
        <v>65</v>
      </c>
      <c r="M4689" t="s">
        <v>66</v>
      </c>
      <c r="N4689" t="str">
        <f>INDEX(Products!B:B,MATCH(OrdersTable[[#This Row],[Product ID]],Products!A:A,0))</f>
        <v>Sunscreen SPF 50</v>
      </c>
      <c r="O4689" t="str">
        <f>INDEX(Products!C:C,MATCH(OrdersTable[[#This Row],[Product ID]],Products!A:A,0))</f>
        <v>Skincare</v>
      </c>
      <c r="P4689">
        <v>1</v>
      </c>
      <c r="Q4689" s="5">
        <v>449</v>
      </c>
      <c r="R4689" s="74">
        <v>0.1</v>
      </c>
      <c r="S4689" s="75">
        <f>OrdersTable[[#This Row],[Quantity]]*OrdersTable[[#This Row],[Unit Price]]</f>
        <v>449</v>
      </c>
      <c r="T4689" s="5">
        <f>OrdersTable[[#This Row],[Gross Sale]]*OrdersTable[[#This Row],[Discount_Clean2]]</f>
        <v>44.900000000000006</v>
      </c>
      <c r="U4689" s="5">
        <f>OrdersTable[[#This Row],[Gross Sale]]-OrdersTable[[#This Row],[Discount Amount]]</f>
        <v>404.1</v>
      </c>
      <c r="V4689" s="77">
        <f>INDEX(Products!E:E,MATCH(OrdersTable[[#This Row],[Product ID]],Products!A:A,0))</f>
        <v>144</v>
      </c>
      <c r="W4689" s="77">
        <f>OrdersTable[[#This Row],[Quantity]]*OrdersTable[[#This Row],[Unit Cost]]</f>
        <v>144</v>
      </c>
      <c r="X4689" s="77">
        <f>'Dropdown Lists'!$I$2*(1+OrdersTable[[#This Row],[Returned]])</f>
        <v>60</v>
      </c>
      <c r="Y4689" s="76">
        <f>OrdersTable[[#This Row],[Net Revenue]]-OrdersTable[[#This Row],[COGS]]-OrdersTable[[#This Row],[Shipping Cost]]</f>
        <v>200.10000000000002</v>
      </c>
      <c r="Z4689" s="78">
        <f>IFERROR(OrdersTable[[#This Row],[Profit]]/OrdersTable[[#This Row],[Net Revenue]],0)</f>
        <v>0.4951744617668894</v>
      </c>
      <c r="AA4689" t="s">
        <v>4450</v>
      </c>
      <c r="AB4689" s="79">
        <v>46002</v>
      </c>
      <c r="AC4689">
        <f>OrdersTable[[#This Row],[Delivery Date]]-OrdersTable[[#This Row],[Order Date]]</f>
        <v>2</v>
      </c>
      <c r="AD4689" t="str">
        <f>IF(OrdersTable[[#This Row],[Delivery Days]]&lt;=2, "Express (≤2d)", IF(OrdersTable[[#This Row],[Delivery Days]]&lt;=4, "Standard (3-4d)", "Delayed (5d+)"))</f>
        <v>Express (≤2d)</v>
      </c>
      <c r="AE4689">
        <v>5</v>
      </c>
      <c r="AF4689">
        <v>0</v>
      </c>
    </row>
    <row r="4690" spans="1:32" ht="15" x14ac:dyDescent="0.35">
      <c r="A4690" t="s">
        <v>4206</v>
      </c>
      <c r="B4690" s="1">
        <v>46000</v>
      </c>
      <c r="C4690">
        <f>YEAR(OrdersTable[[#This Row],[Order Date]])</f>
        <v>2025</v>
      </c>
      <c r="D4690" s="2">
        <f>DATE(YEAR(OrdersTable[[#This Row],[Order Date]]),MONTH(OrdersTable[[#This Row],[Order Date]]),1)</f>
        <v>45992</v>
      </c>
      <c r="E4690">
        <f>MONTH(OrdersTable[[#This Row],[Order Date]])</f>
        <v>12</v>
      </c>
      <c r="F4690" t="s">
        <v>2238</v>
      </c>
      <c r="G4690" t="str">
        <f>IF(OrdersTable[[#This Row],[Order Date]]=_xlfn.MINIFS(Order_Date, Customer_ID, OrdersTable[[#This Row],[Customer ID]]), "New", "Repeat")</f>
        <v>Repeat</v>
      </c>
      <c r="H4690" t="s">
        <v>316</v>
      </c>
      <c r="I4690" t="str">
        <f>INDEX(State!B:B,MATCH(OrdersTable[[#This Row],[State]],State!A:A,0))</f>
        <v>KL</v>
      </c>
      <c r="J4690" t="str">
        <f>INDEX(State!C:C,MATCH(OrdersTable[[#This Row],[State Code]],State!B:B,0))</f>
        <v>South</v>
      </c>
      <c r="K4690" t="s">
        <v>338</v>
      </c>
      <c r="L4690" t="s">
        <v>39</v>
      </c>
      <c r="M4690" t="s">
        <v>423</v>
      </c>
      <c r="N4690" t="str">
        <f>INDEX(Products!B:B,MATCH(OrdersTable[[#This Row],[Product ID]],Products!A:A,0))</f>
        <v>Power Bank 20000mAh</v>
      </c>
      <c r="O4690" t="str">
        <f>INDEX(Products!C:C,MATCH(OrdersTable[[#This Row],[Product ID]],Products!A:A,0))</f>
        <v>Electronics</v>
      </c>
      <c r="P4690">
        <v>1</v>
      </c>
      <c r="Q4690" s="5">
        <v>1799</v>
      </c>
      <c r="R4690" s="74">
        <v>0.25</v>
      </c>
      <c r="S4690" s="75">
        <f>OrdersTable[[#This Row],[Quantity]]*OrdersTable[[#This Row],[Unit Price]]</f>
        <v>1799</v>
      </c>
      <c r="T4690" s="5">
        <f>OrdersTable[[#This Row],[Gross Sale]]*OrdersTable[[#This Row],[Discount_Clean2]]</f>
        <v>449.75</v>
      </c>
      <c r="U4690" s="5">
        <f>OrdersTable[[#This Row],[Gross Sale]]-OrdersTable[[#This Row],[Discount Amount]]</f>
        <v>1349.25</v>
      </c>
      <c r="V4690" s="77">
        <f>INDEX(Products!E:E,MATCH(OrdersTable[[#This Row],[Product ID]],Products!A:A,0))</f>
        <v>1079</v>
      </c>
      <c r="W4690" s="77">
        <f>OrdersTable[[#This Row],[Quantity]]*OrdersTable[[#This Row],[Unit Cost]]</f>
        <v>1079</v>
      </c>
      <c r="X4690" s="77">
        <f>'Dropdown Lists'!$I$2*(1+OrdersTable[[#This Row],[Returned]])</f>
        <v>60</v>
      </c>
      <c r="Y4690" s="76">
        <f>OrdersTable[[#This Row],[Net Revenue]]-OrdersTable[[#This Row],[COGS]]-OrdersTable[[#This Row],[Shipping Cost]]</f>
        <v>210.25</v>
      </c>
      <c r="Z4690" s="78">
        <f>IFERROR(OrdersTable[[#This Row],[Profit]]/OrdersTable[[#This Row],[Net Revenue]],0)</f>
        <v>0.15582731146933482</v>
      </c>
      <c r="AA4690" t="s">
        <v>4074</v>
      </c>
      <c r="AB4690" s="79">
        <v>46005</v>
      </c>
      <c r="AC4690">
        <f>OrdersTable[[#This Row],[Delivery Date]]-OrdersTable[[#This Row],[Order Date]]</f>
        <v>5</v>
      </c>
      <c r="AD4690" t="str">
        <f>IF(OrdersTable[[#This Row],[Delivery Days]]&lt;=2, "Express (≤2d)", IF(OrdersTable[[#This Row],[Delivery Days]]&lt;=4, "Standard (3-4d)", "Delayed (5d+)"))</f>
        <v>Delayed (5d+)</v>
      </c>
      <c r="AE4690">
        <v>3</v>
      </c>
      <c r="AF4690">
        <v>0</v>
      </c>
    </row>
    <row r="4691" spans="1:32" ht="15" x14ac:dyDescent="0.35">
      <c r="A4691" t="s">
        <v>3832</v>
      </c>
      <c r="B4691" s="1">
        <v>46001</v>
      </c>
      <c r="C4691">
        <f>YEAR(OrdersTable[[#This Row],[Order Date]])</f>
        <v>2025</v>
      </c>
      <c r="D4691" s="2">
        <f>DATE(YEAR(OrdersTable[[#This Row],[Order Date]]),MONTH(OrdersTable[[#This Row],[Order Date]]),1)</f>
        <v>45992</v>
      </c>
      <c r="E4691">
        <f>MONTH(OrdersTable[[#This Row],[Order Date]])</f>
        <v>12</v>
      </c>
      <c r="F4691" t="s">
        <v>3833</v>
      </c>
      <c r="G4691" t="str">
        <f>IF(OrdersTable[[#This Row],[Order Date]]=_xlfn.MINIFS(Order_Date, Customer_ID, OrdersTable[[#This Row],[Customer ID]]), "New", "Repeat")</f>
        <v>New</v>
      </c>
      <c r="H4691" t="s">
        <v>37</v>
      </c>
      <c r="I4691" t="str">
        <f>INDEX(State!B:B,MATCH(OrdersTable[[#This Row],[State]],State!A:A,0))</f>
        <v>GJ</v>
      </c>
      <c r="J4691" t="str">
        <f>INDEX(State!C:C,MATCH(OrdersTable[[#This Row],[State Code]],State!B:B,0))</f>
        <v>West</v>
      </c>
      <c r="K4691" t="s">
        <v>38</v>
      </c>
      <c r="L4691" t="s">
        <v>65</v>
      </c>
      <c r="M4691" t="s">
        <v>56</v>
      </c>
      <c r="N4691" t="str">
        <f>INDEX(Products!B:B,MATCH(OrdersTable[[#This Row],[Product ID]],Products!A:A,0))</f>
        <v>Vitamin C Face Serum</v>
      </c>
      <c r="O4691" t="str">
        <f>INDEX(Products!C:C,MATCH(OrdersTable[[#This Row],[Product ID]],Products!A:A,0))</f>
        <v>Skincare</v>
      </c>
      <c r="P4691">
        <v>1</v>
      </c>
      <c r="Q4691" s="5">
        <v>599</v>
      </c>
      <c r="R4691" s="74">
        <v>0.2</v>
      </c>
      <c r="S4691" s="75">
        <f>OrdersTable[[#This Row],[Quantity]]*OrdersTable[[#This Row],[Unit Price]]</f>
        <v>599</v>
      </c>
      <c r="T4691" s="5">
        <f>OrdersTable[[#This Row],[Gross Sale]]*OrdersTable[[#This Row],[Discount_Clean2]]</f>
        <v>119.80000000000001</v>
      </c>
      <c r="U4691" s="5">
        <f>OrdersTable[[#This Row],[Gross Sale]]-OrdersTable[[#This Row],[Discount Amount]]</f>
        <v>479.2</v>
      </c>
      <c r="V4691" s="77">
        <f>INDEX(Products!E:E,MATCH(OrdersTable[[#This Row],[Product ID]],Products!A:A,0))</f>
        <v>180</v>
      </c>
      <c r="W4691" s="77">
        <f>OrdersTable[[#This Row],[Quantity]]*OrdersTable[[#This Row],[Unit Cost]]</f>
        <v>180</v>
      </c>
      <c r="X4691" s="77">
        <f>'Dropdown Lists'!$I$2*(1+OrdersTable[[#This Row],[Returned]])</f>
        <v>60</v>
      </c>
      <c r="Y4691" s="76">
        <f>OrdersTable[[#This Row],[Net Revenue]]-OrdersTable[[#This Row],[COGS]]-OrdersTable[[#This Row],[Shipping Cost]]</f>
        <v>239.2</v>
      </c>
      <c r="Z4691" s="78">
        <f>IFERROR(OrdersTable[[#This Row],[Profit]]/OrdersTable[[#This Row],[Net Revenue]],0)</f>
        <v>0.4991652754590985</v>
      </c>
      <c r="AA4691" t="s">
        <v>3495</v>
      </c>
      <c r="AB4691" s="79">
        <v>46003</v>
      </c>
      <c r="AC4691">
        <f>OrdersTable[[#This Row],[Delivery Date]]-OrdersTable[[#This Row],[Order Date]]</f>
        <v>2</v>
      </c>
      <c r="AD4691" t="str">
        <f>IF(OrdersTable[[#This Row],[Delivery Days]]&lt;=2, "Express (≤2d)", IF(OrdersTable[[#This Row],[Delivery Days]]&lt;=4, "Standard (3-4d)", "Delayed (5d+)"))</f>
        <v>Express (≤2d)</v>
      </c>
      <c r="AF4691">
        <v>0</v>
      </c>
    </row>
    <row r="4692" spans="1:32" ht="15" x14ac:dyDescent="0.35">
      <c r="A4692" t="s">
        <v>5743</v>
      </c>
      <c r="B4692" s="1">
        <v>46001</v>
      </c>
      <c r="C4692">
        <f>YEAR(OrdersTable[[#This Row],[Order Date]])</f>
        <v>2025</v>
      </c>
      <c r="D4692" s="2">
        <f>DATE(YEAR(OrdersTable[[#This Row],[Order Date]]),MONTH(OrdersTable[[#This Row],[Order Date]]),1)</f>
        <v>45992</v>
      </c>
      <c r="E4692">
        <f>MONTH(OrdersTable[[#This Row],[Order Date]])</f>
        <v>12</v>
      </c>
      <c r="F4692" t="s">
        <v>5744</v>
      </c>
      <c r="G4692" t="str">
        <f>IF(OrdersTable[[#This Row],[Order Date]]=_xlfn.MINIFS(Order_Date, Customer_ID, OrdersTable[[#This Row],[Customer ID]]), "New", "Repeat")</f>
        <v>New</v>
      </c>
      <c r="H4692" t="s">
        <v>43</v>
      </c>
      <c r="I4692" t="str">
        <f>INDEX(State!B:B,MATCH(OrdersTable[[#This Row],[State]],State!A:A,0))</f>
        <v>MP</v>
      </c>
      <c r="J4692" t="str">
        <f>INDEX(State!C:C,MATCH(OrdersTable[[#This Row],[State Code]],State!B:B,0))</f>
        <v>West</v>
      </c>
      <c r="K4692" t="s">
        <v>44</v>
      </c>
      <c r="L4692" t="s">
        <v>50</v>
      </c>
      <c r="M4692" t="s">
        <v>61</v>
      </c>
      <c r="N4692" t="str">
        <f>INDEX(Products!B:B,MATCH(OrdersTable[[#This Row],[Product ID]],Products!A:A,0))</f>
        <v>Multivitamin Gummies</v>
      </c>
      <c r="O4692" t="str">
        <f>INDEX(Products!C:C,MATCH(OrdersTable[[#This Row],[Product ID]],Products!A:A,0))</f>
        <v>Wellness</v>
      </c>
      <c r="P4692">
        <v>2</v>
      </c>
      <c r="Q4692" s="5">
        <v>699</v>
      </c>
      <c r="R4692" s="74">
        <v>0.2</v>
      </c>
      <c r="S4692" s="75">
        <f>OrdersTable[[#This Row],[Quantity]]*OrdersTable[[#This Row],[Unit Price]]</f>
        <v>1398</v>
      </c>
      <c r="T4692" s="5">
        <f>OrdersTable[[#This Row],[Gross Sale]]*OrdersTable[[#This Row],[Discount_Clean2]]</f>
        <v>279.60000000000002</v>
      </c>
      <c r="U4692" s="5">
        <f>OrdersTable[[#This Row],[Gross Sale]]-OrdersTable[[#This Row],[Discount Amount]]</f>
        <v>1118.4000000000001</v>
      </c>
      <c r="V4692" s="77">
        <f>INDEX(Products!E:E,MATCH(OrdersTable[[#This Row],[Product ID]],Products!A:A,0))</f>
        <v>238</v>
      </c>
      <c r="W4692" s="77">
        <f>OrdersTable[[#This Row],[Quantity]]*OrdersTable[[#This Row],[Unit Cost]]</f>
        <v>476</v>
      </c>
      <c r="X4692" s="77">
        <f>'Dropdown Lists'!$I$2*(1+OrdersTable[[#This Row],[Returned]])</f>
        <v>60</v>
      </c>
      <c r="Y4692" s="76">
        <f>OrdersTable[[#This Row],[Net Revenue]]-OrdersTable[[#This Row],[COGS]]-OrdersTable[[#This Row],[Shipping Cost]]</f>
        <v>582.40000000000009</v>
      </c>
      <c r="Z4692" s="78">
        <f>IFERROR(OrdersTable[[#This Row],[Profit]]/OrdersTable[[#This Row],[Net Revenue]],0)</f>
        <v>0.5207439198855508</v>
      </c>
      <c r="AA4692" t="s">
        <v>18</v>
      </c>
      <c r="AB4692" s="79">
        <v>46005</v>
      </c>
      <c r="AC4692">
        <f>OrdersTable[[#This Row],[Delivery Date]]-OrdersTable[[#This Row],[Order Date]]</f>
        <v>4</v>
      </c>
      <c r="AD4692" t="str">
        <f>IF(OrdersTable[[#This Row],[Delivery Days]]&lt;=2, "Express (≤2d)", IF(OrdersTable[[#This Row],[Delivery Days]]&lt;=4, "Standard (3-4d)", "Delayed (5d+)"))</f>
        <v>Standard (3-4d)</v>
      </c>
      <c r="AE4692">
        <v>3</v>
      </c>
      <c r="AF4692">
        <v>0</v>
      </c>
    </row>
    <row r="4693" spans="1:32" ht="15" x14ac:dyDescent="0.35">
      <c r="A4693" t="s">
        <v>2187</v>
      </c>
      <c r="B4693" s="1">
        <v>46001</v>
      </c>
      <c r="C4693">
        <f>YEAR(OrdersTable[[#This Row],[Order Date]])</f>
        <v>2025</v>
      </c>
      <c r="D4693" s="2">
        <f>DATE(YEAR(OrdersTable[[#This Row],[Order Date]]),MONTH(OrdersTable[[#This Row],[Order Date]]),1)</f>
        <v>45992</v>
      </c>
      <c r="E4693">
        <f>MONTH(OrdersTable[[#This Row],[Order Date]])</f>
        <v>12</v>
      </c>
      <c r="F4693" t="s">
        <v>1626</v>
      </c>
      <c r="G4693" t="str">
        <f>IF(OrdersTable[[#This Row],[Order Date]]=_xlfn.MINIFS(Order_Date, Customer_ID, OrdersTable[[#This Row],[Customer ID]]), "New", "Repeat")</f>
        <v>Repeat</v>
      </c>
      <c r="H4693" t="s">
        <v>71</v>
      </c>
      <c r="I4693" t="str">
        <f>INDEX(State!B:B,MATCH(OrdersTable[[#This Row],[State]],State!A:A,0))</f>
        <v>MH</v>
      </c>
      <c r="J4693" t="str">
        <f>INDEX(State!C:C,MATCH(OrdersTable[[#This Row],[State Code]],State!B:B,0))</f>
        <v>West</v>
      </c>
      <c r="K4693" t="s">
        <v>102</v>
      </c>
      <c r="L4693" t="s">
        <v>23</v>
      </c>
      <c r="M4693" t="s">
        <v>78</v>
      </c>
      <c r="N4693" t="str">
        <f>INDEX(Products!B:B,MATCH(OrdersTable[[#This Row],[Product ID]],Products!A:A,0))</f>
        <v>Retinol Night Cream</v>
      </c>
      <c r="O4693" t="str">
        <f>INDEX(Products!C:C,MATCH(OrdersTable[[#This Row],[Product ID]],Products!A:A,0))</f>
        <v>Skincare</v>
      </c>
      <c r="P4693">
        <v>1</v>
      </c>
      <c r="Q4693" s="5">
        <v>799</v>
      </c>
      <c r="R4693" s="74">
        <v>0</v>
      </c>
      <c r="S4693" s="75">
        <f>OrdersTable[[#This Row],[Quantity]]*OrdersTable[[#This Row],[Unit Price]]</f>
        <v>799</v>
      </c>
      <c r="T4693" s="5">
        <f>OrdersTable[[#This Row],[Gross Sale]]*OrdersTable[[#This Row],[Discount_Clean2]]</f>
        <v>0</v>
      </c>
      <c r="U4693" s="5">
        <f>OrdersTable[[#This Row],[Gross Sale]]-OrdersTable[[#This Row],[Discount Amount]]</f>
        <v>799</v>
      </c>
      <c r="V4693" s="77">
        <f>INDEX(Products!E:E,MATCH(OrdersTable[[#This Row],[Product ID]],Products!A:A,0))</f>
        <v>216</v>
      </c>
      <c r="W4693" s="77">
        <f>OrdersTable[[#This Row],[Quantity]]*OrdersTable[[#This Row],[Unit Cost]]</f>
        <v>216</v>
      </c>
      <c r="X4693" s="77">
        <f>'Dropdown Lists'!$I$2*(1+OrdersTable[[#This Row],[Returned]])</f>
        <v>60</v>
      </c>
      <c r="Y4693" s="76">
        <f>OrdersTable[[#This Row],[Net Revenue]]-OrdersTable[[#This Row],[COGS]]-OrdersTable[[#This Row],[Shipping Cost]]</f>
        <v>523</v>
      </c>
      <c r="Z4693" s="78">
        <f>IFERROR(OrdersTable[[#This Row],[Profit]]/OrdersTable[[#This Row],[Net Revenue]],0)</f>
        <v>0.65456821026282852</v>
      </c>
      <c r="AA4693" t="s">
        <v>18</v>
      </c>
      <c r="AB4693" s="79">
        <v>46003</v>
      </c>
      <c r="AC4693">
        <f>OrdersTable[[#This Row],[Delivery Date]]-OrdersTable[[#This Row],[Order Date]]</f>
        <v>2</v>
      </c>
      <c r="AD4693" t="str">
        <f>IF(OrdersTable[[#This Row],[Delivery Days]]&lt;=2, "Express (≤2d)", IF(OrdersTable[[#This Row],[Delivery Days]]&lt;=4, "Standard (3-4d)", "Delayed (5d+)"))</f>
        <v>Express (≤2d)</v>
      </c>
      <c r="AE4693">
        <v>3</v>
      </c>
      <c r="AF4693">
        <v>0</v>
      </c>
    </row>
    <row r="4694" spans="1:32" ht="15" x14ac:dyDescent="0.35">
      <c r="A4694" t="s">
        <v>6238</v>
      </c>
      <c r="B4694" s="1">
        <v>46001</v>
      </c>
      <c r="C4694">
        <f>YEAR(OrdersTable[[#This Row],[Order Date]])</f>
        <v>2025</v>
      </c>
      <c r="D4694" s="2">
        <f>DATE(YEAR(OrdersTable[[#This Row],[Order Date]]),MONTH(OrdersTable[[#This Row],[Order Date]]),1)</f>
        <v>45992</v>
      </c>
      <c r="E4694">
        <f>MONTH(OrdersTable[[#This Row],[Order Date]])</f>
        <v>12</v>
      </c>
      <c r="F4694" t="s">
        <v>6239</v>
      </c>
      <c r="G4694" t="str">
        <f>IF(OrdersTable[[#This Row],[Order Date]]=_xlfn.MINIFS(Order_Date, Customer_ID, OrdersTable[[#This Row],[Customer ID]]), "New", "Repeat")</f>
        <v>New</v>
      </c>
      <c r="H4694" t="s">
        <v>71</v>
      </c>
      <c r="I4694" t="str">
        <f>INDEX(State!B:B,MATCH(OrdersTable[[#This Row],[State]],State!A:A,0))</f>
        <v>MH</v>
      </c>
      <c r="J4694" t="str">
        <f>INDEX(State!C:C,MATCH(OrdersTable[[#This Row],[State Code]],State!B:B,0))</f>
        <v>West</v>
      </c>
      <c r="K4694" t="s">
        <v>72</v>
      </c>
      <c r="L4694" t="s">
        <v>23</v>
      </c>
      <c r="M4694" t="s">
        <v>40</v>
      </c>
      <c r="N4694" t="str">
        <f>INDEX(Products!B:B,MATCH(OrdersTable[[#This Row],[Product ID]],Products!A:A,0))</f>
        <v>Ashwagandha Capsules</v>
      </c>
      <c r="O4694" t="str">
        <f>INDEX(Products!C:C,MATCH(OrdersTable[[#This Row],[Product ID]],Products!A:A,0))</f>
        <v>Wellness</v>
      </c>
      <c r="P4694">
        <v>2</v>
      </c>
      <c r="Q4694" s="5">
        <v>499</v>
      </c>
      <c r="R4694" s="74">
        <v>0.05</v>
      </c>
      <c r="S4694" s="75">
        <f>OrdersTable[[#This Row],[Quantity]]*OrdersTable[[#This Row],[Unit Price]]</f>
        <v>998</v>
      </c>
      <c r="T4694" s="5">
        <f>OrdersTable[[#This Row],[Gross Sale]]*OrdersTable[[#This Row],[Discount_Clean2]]</f>
        <v>49.900000000000006</v>
      </c>
      <c r="U4694" s="5">
        <f>OrdersTable[[#This Row],[Gross Sale]]-OrdersTable[[#This Row],[Discount Amount]]</f>
        <v>948.1</v>
      </c>
      <c r="V4694" s="77">
        <f>INDEX(Products!E:E,MATCH(OrdersTable[[#This Row],[Product ID]],Products!A:A,0))</f>
        <v>150</v>
      </c>
      <c r="W4694" s="77">
        <f>OrdersTable[[#This Row],[Quantity]]*OrdersTable[[#This Row],[Unit Cost]]</f>
        <v>300</v>
      </c>
      <c r="X4694" s="77">
        <f>'Dropdown Lists'!$I$2*(1+OrdersTable[[#This Row],[Returned]])</f>
        <v>60</v>
      </c>
      <c r="Y4694" s="76">
        <f>OrdersTable[[#This Row],[Net Revenue]]-OrdersTable[[#This Row],[COGS]]-OrdersTable[[#This Row],[Shipping Cost]]</f>
        <v>588.1</v>
      </c>
      <c r="Z4694" s="78">
        <f>IFERROR(OrdersTable[[#This Row],[Profit]]/OrdersTable[[#This Row],[Net Revenue]],0)</f>
        <v>0.62029321801497728</v>
      </c>
      <c r="AA4694" t="s">
        <v>18</v>
      </c>
      <c r="AB4694" s="79">
        <v>46002</v>
      </c>
      <c r="AC4694">
        <f>OrdersTable[[#This Row],[Delivery Date]]-OrdersTable[[#This Row],[Order Date]]</f>
        <v>1</v>
      </c>
      <c r="AD4694" t="str">
        <f>IF(OrdersTable[[#This Row],[Delivery Days]]&lt;=2, "Express (≤2d)", IF(OrdersTable[[#This Row],[Delivery Days]]&lt;=4, "Standard (3-4d)", "Delayed (5d+)"))</f>
        <v>Express (≤2d)</v>
      </c>
      <c r="AE4694">
        <v>4</v>
      </c>
      <c r="AF4694">
        <v>0</v>
      </c>
    </row>
    <row r="4695" spans="1:32" ht="15" x14ac:dyDescent="0.35">
      <c r="A4695" t="s">
        <v>4892</v>
      </c>
      <c r="B4695" s="1">
        <v>46001</v>
      </c>
      <c r="C4695">
        <f>YEAR(OrdersTable[[#This Row],[Order Date]])</f>
        <v>2025</v>
      </c>
      <c r="D4695" s="2">
        <f>DATE(YEAR(OrdersTable[[#This Row],[Order Date]]),MONTH(OrdersTable[[#This Row],[Order Date]]),1)</f>
        <v>45992</v>
      </c>
      <c r="E4695">
        <f>MONTH(OrdersTable[[#This Row],[Order Date]])</f>
        <v>12</v>
      </c>
      <c r="F4695" t="s">
        <v>4584</v>
      </c>
      <c r="G4695" t="str">
        <f>IF(OrdersTable[[#This Row],[Order Date]]=_xlfn.MINIFS(Order_Date, Customer_ID, OrdersTable[[#This Row],[Customer ID]]), "New", "Repeat")</f>
        <v>Repeat</v>
      </c>
      <c r="H4695" t="s">
        <v>275</v>
      </c>
      <c r="I4695" t="str">
        <f>INDEX(State!B:B,MATCH(OrdersTable[[#This Row],[State]],State!A:A,0))</f>
        <v>AP</v>
      </c>
      <c r="J4695" t="str">
        <f>INDEX(State!C:C,MATCH(OrdersTable[[#This Row],[State Code]],State!B:B,0))</f>
        <v>South</v>
      </c>
      <c r="K4695" t="s">
        <v>491</v>
      </c>
      <c r="L4695" t="s">
        <v>50</v>
      </c>
      <c r="M4695" t="s">
        <v>152</v>
      </c>
      <c r="N4695" t="str">
        <f>INDEX(Products!B:B,MATCH(OrdersTable[[#This Row],[Product ID]],Products!A:A,0))</f>
        <v>Green Tea (100 bags)</v>
      </c>
      <c r="O4695" t="str">
        <f>INDEX(Products!C:C,MATCH(OrdersTable[[#This Row],[Product ID]],Products!A:A,0))</f>
        <v>Wellness</v>
      </c>
      <c r="P4695">
        <v>2</v>
      </c>
      <c r="Q4695" s="5">
        <v>399</v>
      </c>
      <c r="R4695" s="74">
        <v>0.35</v>
      </c>
      <c r="S4695" s="75">
        <f>OrdersTable[[#This Row],[Quantity]]*OrdersTable[[#This Row],[Unit Price]]</f>
        <v>798</v>
      </c>
      <c r="T4695" s="5">
        <f>OrdersTable[[#This Row],[Gross Sale]]*OrdersTable[[#This Row],[Discount_Clean2]]</f>
        <v>279.29999999999995</v>
      </c>
      <c r="U4695" s="5">
        <f>OrdersTable[[#This Row],[Gross Sale]]-OrdersTable[[#This Row],[Discount Amount]]</f>
        <v>518.70000000000005</v>
      </c>
      <c r="V4695" s="77">
        <f>INDEX(Products!E:E,MATCH(OrdersTable[[#This Row],[Product ID]],Products!A:A,0))</f>
        <v>128</v>
      </c>
      <c r="W4695" s="77">
        <f>OrdersTable[[#This Row],[Quantity]]*OrdersTable[[#This Row],[Unit Cost]]</f>
        <v>256</v>
      </c>
      <c r="X4695" s="77">
        <f>'Dropdown Lists'!$I$2*(1+OrdersTable[[#This Row],[Returned]])</f>
        <v>60</v>
      </c>
      <c r="Y4695" s="76">
        <f>OrdersTable[[#This Row],[Net Revenue]]-OrdersTable[[#This Row],[COGS]]-OrdersTable[[#This Row],[Shipping Cost]]</f>
        <v>202.70000000000005</v>
      </c>
      <c r="Z4695" s="78">
        <f>IFERROR(OrdersTable[[#This Row],[Profit]]/OrdersTable[[#This Row],[Net Revenue]],0)</f>
        <v>0.39078465394254874</v>
      </c>
      <c r="AA4695" t="s">
        <v>4450</v>
      </c>
      <c r="AB4695" s="79">
        <v>46004</v>
      </c>
      <c r="AC4695">
        <f>OrdersTable[[#This Row],[Delivery Date]]-OrdersTable[[#This Row],[Order Date]]</f>
        <v>3</v>
      </c>
      <c r="AD4695" t="str">
        <f>IF(OrdersTable[[#This Row],[Delivery Days]]&lt;=2, "Express (≤2d)", IF(OrdersTable[[#This Row],[Delivery Days]]&lt;=4, "Standard (3-4d)", "Delayed (5d+)"))</f>
        <v>Standard (3-4d)</v>
      </c>
      <c r="AE4695">
        <v>5</v>
      </c>
      <c r="AF4695">
        <v>0</v>
      </c>
    </row>
    <row r="4696" spans="1:32" ht="15" x14ac:dyDescent="0.35">
      <c r="A4696" t="s">
        <v>884</v>
      </c>
      <c r="B4696" s="1">
        <v>46001</v>
      </c>
      <c r="C4696">
        <f>YEAR(OrdersTable[[#This Row],[Order Date]])</f>
        <v>2025</v>
      </c>
      <c r="D4696" s="2">
        <f>DATE(YEAR(OrdersTable[[#This Row],[Order Date]]),MONTH(OrdersTable[[#This Row],[Order Date]]),1)</f>
        <v>45992</v>
      </c>
      <c r="E4696">
        <f>MONTH(OrdersTable[[#This Row],[Order Date]])</f>
        <v>12</v>
      </c>
      <c r="F4696" t="s">
        <v>885</v>
      </c>
      <c r="G4696" t="str">
        <f>IF(OrdersTable[[#This Row],[Order Date]]=_xlfn.MINIFS(Order_Date, Customer_ID, OrdersTable[[#This Row],[Customer ID]]), "New", "Repeat")</f>
        <v>New</v>
      </c>
      <c r="H4696" t="s">
        <v>316</v>
      </c>
      <c r="I4696" t="str">
        <f>INDEX(State!B:B,MATCH(OrdersTable[[#This Row],[State]],State!A:A,0))</f>
        <v>KL</v>
      </c>
      <c r="J4696" t="str">
        <f>INDEX(State!C:C,MATCH(OrdersTable[[#This Row],[State Code]],State!B:B,0))</f>
        <v>South</v>
      </c>
      <c r="K4696" t="s">
        <v>338</v>
      </c>
      <c r="L4696" t="s">
        <v>23</v>
      </c>
      <c r="M4696" t="s">
        <v>40</v>
      </c>
      <c r="N4696" t="str">
        <f>INDEX(Products!B:B,MATCH(OrdersTable[[#This Row],[Product ID]],Products!A:A,0))</f>
        <v>Ashwagandha Capsules</v>
      </c>
      <c r="O4696" t="str">
        <f>INDEX(Products!C:C,MATCH(OrdersTable[[#This Row],[Product ID]],Products!A:A,0))</f>
        <v>Wellness</v>
      </c>
      <c r="P4696">
        <v>1</v>
      </c>
      <c r="Q4696" s="5">
        <v>499</v>
      </c>
      <c r="R4696" s="74">
        <v>0</v>
      </c>
      <c r="S4696" s="75">
        <f>OrdersTable[[#This Row],[Quantity]]*OrdersTable[[#This Row],[Unit Price]]</f>
        <v>499</v>
      </c>
      <c r="T4696" s="5">
        <f>OrdersTable[[#This Row],[Gross Sale]]*OrdersTable[[#This Row],[Discount_Clean2]]</f>
        <v>0</v>
      </c>
      <c r="U4696" s="5">
        <f>OrdersTable[[#This Row],[Gross Sale]]-OrdersTable[[#This Row],[Discount Amount]]</f>
        <v>499</v>
      </c>
      <c r="V4696" s="77">
        <f>INDEX(Products!E:E,MATCH(OrdersTable[[#This Row],[Product ID]],Products!A:A,0))</f>
        <v>150</v>
      </c>
      <c r="W4696" s="77">
        <f>OrdersTable[[#This Row],[Quantity]]*OrdersTable[[#This Row],[Unit Cost]]</f>
        <v>150</v>
      </c>
      <c r="X4696" s="77">
        <f>'Dropdown Lists'!$I$2*(1+OrdersTable[[#This Row],[Returned]])</f>
        <v>60</v>
      </c>
      <c r="Y4696" s="76">
        <f>OrdersTable[[#This Row],[Net Revenue]]-OrdersTable[[#This Row],[COGS]]-OrdersTable[[#This Row],[Shipping Cost]]</f>
        <v>289</v>
      </c>
      <c r="Z4696" s="78">
        <f>IFERROR(OrdersTable[[#This Row],[Profit]]/OrdersTable[[#This Row],[Net Revenue]],0)</f>
        <v>0.57915831663326656</v>
      </c>
      <c r="AA4696" t="s">
        <v>18</v>
      </c>
      <c r="AB4696" s="79">
        <v>46003</v>
      </c>
      <c r="AC4696">
        <f>OrdersTable[[#This Row],[Delivery Date]]-OrdersTable[[#This Row],[Order Date]]</f>
        <v>2</v>
      </c>
      <c r="AD4696" t="str">
        <f>IF(OrdersTable[[#This Row],[Delivery Days]]&lt;=2, "Express (≤2d)", IF(OrdersTable[[#This Row],[Delivery Days]]&lt;=4, "Standard (3-4d)", "Delayed (5d+)"))</f>
        <v>Express (≤2d)</v>
      </c>
      <c r="AE4696">
        <v>4</v>
      </c>
      <c r="AF4696">
        <v>0</v>
      </c>
    </row>
    <row r="4697" spans="1:32" ht="15" x14ac:dyDescent="0.35">
      <c r="A4697" t="s">
        <v>2487</v>
      </c>
      <c r="B4697" s="1">
        <v>46002</v>
      </c>
      <c r="C4697">
        <f>YEAR(OrdersTable[[#This Row],[Order Date]])</f>
        <v>2025</v>
      </c>
      <c r="D4697" s="2">
        <f>DATE(YEAR(OrdersTable[[#This Row],[Order Date]]),MONTH(OrdersTable[[#This Row],[Order Date]]),1)</f>
        <v>45992</v>
      </c>
      <c r="E4697">
        <f>MONTH(OrdersTable[[#This Row],[Order Date]])</f>
        <v>12</v>
      </c>
      <c r="F4697" t="s">
        <v>2488</v>
      </c>
      <c r="G4697" t="str">
        <f>IF(OrdersTable[[#This Row],[Order Date]]=_xlfn.MINIFS(Order_Date, Customer_ID, OrdersTable[[#This Row],[Customer ID]]), "New", "Repeat")</f>
        <v>Repeat</v>
      </c>
      <c r="H4697" t="s">
        <v>54</v>
      </c>
      <c r="I4697" t="str">
        <f>INDEX(State!B:B,MATCH(OrdersTable[[#This Row],[State]],State!A:A,0))</f>
        <v>RJ</v>
      </c>
      <c r="J4697" t="str">
        <f>INDEX(State!C:C,MATCH(OrdersTable[[#This Row],[State Code]],State!B:B,0))</f>
        <v>North</v>
      </c>
      <c r="K4697" t="s">
        <v>55</v>
      </c>
      <c r="L4697" t="s">
        <v>39</v>
      </c>
      <c r="M4697" t="s">
        <v>148</v>
      </c>
      <c r="N4697" t="str">
        <f>INDEX(Products!B:B,MATCH(OrdersTable[[#This Row],[Product ID]],Products!A:A,0))</f>
        <v>Smartwatch Strap</v>
      </c>
      <c r="O4697" t="str">
        <f>INDEX(Products!C:C,MATCH(OrdersTable[[#This Row],[Product ID]],Products!A:A,0))</f>
        <v>Electronics</v>
      </c>
      <c r="P4697">
        <v>1</v>
      </c>
      <c r="Q4697" s="5">
        <v>499</v>
      </c>
      <c r="R4697" s="74">
        <v>0.1</v>
      </c>
      <c r="S4697" s="75">
        <f>OrdersTable[[#This Row],[Quantity]]*OrdersTable[[#This Row],[Unit Price]]</f>
        <v>499</v>
      </c>
      <c r="T4697" s="5">
        <f>OrdersTable[[#This Row],[Gross Sale]]*OrdersTable[[#This Row],[Discount_Clean2]]</f>
        <v>49.900000000000006</v>
      </c>
      <c r="U4697" s="5">
        <f>OrdersTable[[#This Row],[Gross Sale]]-OrdersTable[[#This Row],[Discount Amount]]</f>
        <v>449.1</v>
      </c>
      <c r="V4697" s="77">
        <f>INDEX(Products!E:E,MATCH(OrdersTable[[#This Row],[Product ID]],Products!A:A,0))</f>
        <v>200</v>
      </c>
      <c r="W4697" s="77">
        <f>OrdersTable[[#This Row],[Quantity]]*OrdersTable[[#This Row],[Unit Cost]]</f>
        <v>200</v>
      </c>
      <c r="X4697" s="77">
        <f>'Dropdown Lists'!$I$2*(1+OrdersTable[[#This Row],[Returned]])</f>
        <v>120</v>
      </c>
      <c r="Y4697" s="76">
        <f>OrdersTable[[#This Row],[Net Revenue]]-OrdersTable[[#This Row],[COGS]]-OrdersTable[[#This Row],[Shipping Cost]]</f>
        <v>129.10000000000002</v>
      </c>
      <c r="Z4697" s="78">
        <f>IFERROR(OrdersTable[[#This Row],[Profit]]/OrdersTable[[#This Row],[Net Revenue]],0)</f>
        <v>0.28746381652193281</v>
      </c>
      <c r="AA4697" t="s">
        <v>18</v>
      </c>
      <c r="AB4697" s="79">
        <v>46006</v>
      </c>
      <c r="AC4697">
        <f>OrdersTable[[#This Row],[Delivery Date]]-OrdersTable[[#This Row],[Order Date]]</f>
        <v>4</v>
      </c>
      <c r="AD4697" t="str">
        <f>IF(OrdersTable[[#This Row],[Delivery Days]]&lt;=2, "Express (≤2d)", IF(OrdersTable[[#This Row],[Delivery Days]]&lt;=4, "Standard (3-4d)", "Delayed (5d+)"))</f>
        <v>Standard (3-4d)</v>
      </c>
      <c r="AE4697">
        <v>5</v>
      </c>
      <c r="AF4697">
        <v>1</v>
      </c>
    </row>
    <row r="4698" spans="1:32" ht="15" x14ac:dyDescent="0.35">
      <c r="A4698" t="s">
        <v>2065</v>
      </c>
      <c r="B4698" s="1">
        <v>46002</v>
      </c>
      <c r="C4698">
        <f>YEAR(OrdersTable[[#This Row],[Order Date]])</f>
        <v>2025</v>
      </c>
      <c r="D4698" s="2">
        <f>DATE(YEAR(OrdersTable[[#This Row],[Order Date]]),MONTH(OrdersTable[[#This Row],[Order Date]]),1)</f>
        <v>45992</v>
      </c>
      <c r="E4698">
        <f>MONTH(OrdersTable[[#This Row],[Order Date]])</f>
        <v>12</v>
      </c>
      <c r="F4698" t="s">
        <v>1255</v>
      </c>
      <c r="G4698" t="str">
        <f>IF(OrdersTable[[#This Row],[Order Date]]=_xlfn.MINIFS(Order_Date, Customer_ID, OrdersTable[[#This Row],[Customer ID]]), "New", "Repeat")</f>
        <v>Repeat</v>
      </c>
      <c r="H4698" t="s">
        <v>37</v>
      </c>
      <c r="I4698" t="str">
        <f>INDEX(State!B:B,MATCH(OrdersTable[[#This Row],[State]],State!A:A,0))</f>
        <v>GJ</v>
      </c>
      <c r="J4698" t="str">
        <f>INDEX(State!C:C,MATCH(OrdersTable[[#This Row],[State Code]],State!B:B,0))</f>
        <v>West</v>
      </c>
      <c r="K4698" t="s">
        <v>38</v>
      </c>
      <c r="L4698" t="s">
        <v>23</v>
      </c>
      <c r="M4698" t="s">
        <v>45</v>
      </c>
      <c r="N4698" t="str">
        <f>INDEX(Products!B:B,MATCH(OrdersTable[[#This Row],[Product ID]],Products!A:A,0))</f>
        <v>Argan Shampoo</v>
      </c>
      <c r="O4698" t="str">
        <f>INDEX(Products!C:C,MATCH(OrdersTable[[#This Row],[Product ID]],Products!A:A,0))</f>
        <v>Haircare</v>
      </c>
      <c r="P4698">
        <v>1</v>
      </c>
      <c r="Q4698" s="5">
        <v>449</v>
      </c>
      <c r="R4698" s="74">
        <v>0</v>
      </c>
      <c r="S4698" s="75">
        <f>OrdersTable[[#This Row],[Quantity]]*OrdersTable[[#This Row],[Unit Price]]</f>
        <v>449</v>
      </c>
      <c r="T4698" s="5">
        <f>OrdersTable[[#This Row],[Gross Sale]]*OrdersTable[[#This Row],[Discount_Clean2]]</f>
        <v>0</v>
      </c>
      <c r="U4698" s="5">
        <f>OrdersTable[[#This Row],[Gross Sale]]-OrdersTable[[#This Row],[Discount Amount]]</f>
        <v>449</v>
      </c>
      <c r="V4698" s="77">
        <f>INDEX(Products!E:E,MATCH(OrdersTable[[#This Row],[Product ID]],Products!A:A,0))</f>
        <v>148</v>
      </c>
      <c r="W4698" s="77">
        <f>OrdersTable[[#This Row],[Quantity]]*OrdersTable[[#This Row],[Unit Cost]]</f>
        <v>148</v>
      </c>
      <c r="X4698" s="77">
        <f>'Dropdown Lists'!$I$2*(1+OrdersTable[[#This Row],[Returned]])</f>
        <v>60</v>
      </c>
      <c r="Y4698" s="76">
        <f>OrdersTable[[#This Row],[Net Revenue]]-OrdersTable[[#This Row],[COGS]]-OrdersTable[[#This Row],[Shipping Cost]]</f>
        <v>241</v>
      </c>
      <c r="Z4698" s="78">
        <f>IFERROR(OrdersTable[[#This Row],[Profit]]/OrdersTable[[#This Row],[Net Revenue]],0)</f>
        <v>0.53674832962138086</v>
      </c>
      <c r="AA4698" t="s">
        <v>18</v>
      </c>
      <c r="AB4698" s="79">
        <v>46005</v>
      </c>
      <c r="AC4698">
        <f>OrdersTable[[#This Row],[Delivery Date]]-OrdersTable[[#This Row],[Order Date]]</f>
        <v>3</v>
      </c>
      <c r="AD4698" t="str">
        <f>IF(OrdersTable[[#This Row],[Delivery Days]]&lt;=2, "Express (≤2d)", IF(OrdersTable[[#This Row],[Delivery Days]]&lt;=4, "Standard (3-4d)", "Delayed (5d+)"))</f>
        <v>Standard (3-4d)</v>
      </c>
      <c r="AE4698">
        <v>3</v>
      </c>
      <c r="AF4698">
        <v>0</v>
      </c>
    </row>
    <row r="4699" spans="1:32" ht="15" x14ac:dyDescent="0.35">
      <c r="A4699" t="s">
        <v>4312</v>
      </c>
      <c r="B4699" s="1">
        <v>46002</v>
      </c>
      <c r="C4699">
        <f>YEAR(OrdersTable[[#This Row],[Order Date]])</f>
        <v>2025</v>
      </c>
      <c r="D4699" s="2">
        <f>DATE(YEAR(OrdersTable[[#This Row],[Order Date]]),MONTH(OrdersTable[[#This Row],[Order Date]]),1)</f>
        <v>45992</v>
      </c>
      <c r="E4699">
        <f>MONTH(OrdersTable[[#This Row],[Order Date]])</f>
        <v>12</v>
      </c>
      <c r="F4699" t="s">
        <v>4313</v>
      </c>
      <c r="G4699" t="str">
        <f>IF(OrdersTable[[#This Row],[Order Date]]=_xlfn.MINIFS(Order_Date, Customer_ID, OrdersTable[[#This Row],[Customer ID]]), "New", "Repeat")</f>
        <v>Repeat</v>
      </c>
      <c r="H4699" t="s">
        <v>27</v>
      </c>
      <c r="I4699" t="str">
        <f>INDEX(State!B:B,MATCH(OrdersTable[[#This Row],[State]],State!A:A,0))</f>
        <v>WB</v>
      </c>
      <c r="J4699" t="str">
        <f>INDEX(State!C:C,MATCH(OrdersTable[[#This Row],[State Code]],State!B:B,0))</f>
        <v>East</v>
      </c>
      <c r="K4699" t="s">
        <v>28</v>
      </c>
      <c r="L4699" t="s">
        <v>23</v>
      </c>
      <c r="M4699" t="s">
        <v>176</v>
      </c>
      <c r="N4699" t="str">
        <f>INDEX(Products!B:B,MATCH(OrdersTable[[#This Row],[Product ID]],Products!A:A,0))</f>
        <v>Denim Jacket</v>
      </c>
      <c r="O4699" t="str">
        <f>INDEX(Products!C:C,MATCH(OrdersTable[[#This Row],[Product ID]],Products!A:A,0))</f>
        <v>Apparel</v>
      </c>
      <c r="P4699">
        <v>1</v>
      </c>
      <c r="Q4699" s="5">
        <v>2499</v>
      </c>
      <c r="R4699" s="74">
        <v>0</v>
      </c>
      <c r="S4699" s="75">
        <f>OrdersTable[[#This Row],[Quantity]]*OrdersTable[[#This Row],[Unit Price]]</f>
        <v>2499</v>
      </c>
      <c r="T4699" s="5">
        <f>OrdersTable[[#This Row],[Gross Sale]]*OrdersTable[[#This Row],[Discount_Clean2]]</f>
        <v>0</v>
      </c>
      <c r="U4699" s="5">
        <f>OrdersTable[[#This Row],[Gross Sale]]-OrdersTable[[#This Row],[Discount Amount]]</f>
        <v>2499</v>
      </c>
      <c r="V4699" s="77">
        <f>INDEX(Products!E:E,MATCH(OrdersTable[[#This Row],[Product ID]],Products!A:A,0))</f>
        <v>1125</v>
      </c>
      <c r="W4699" s="77">
        <f>OrdersTable[[#This Row],[Quantity]]*OrdersTable[[#This Row],[Unit Cost]]</f>
        <v>1125</v>
      </c>
      <c r="X4699" s="77">
        <f>'Dropdown Lists'!$I$2*(1+OrdersTable[[#This Row],[Returned]])</f>
        <v>60</v>
      </c>
      <c r="Y4699" s="76">
        <f>OrdersTable[[#This Row],[Net Revenue]]-OrdersTable[[#This Row],[COGS]]-OrdersTable[[#This Row],[Shipping Cost]]</f>
        <v>1314</v>
      </c>
      <c r="Z4699" s="78">
        <f>IFERROR(OrdersTable[[#This Row],[Profit]]/OrdersTable[[#This Row],[Net Revenue]],0)</f>
        <v>0.5258103241296519</v>
      </c>
      <c r="AA4699" t="s">
        <v>4074</v>
      </c>
      <c r="AB4699" s="79">
        <v>46005</v>
      </c>
      <c r="AC4699">
        <f>OrdersTable[[#This Row],[Delivery Date]]-OrdersTable[[#This Row],[Order Date]]</f>
        <v>3</v>
      </c>
      <c r="AD4699" t="str">
        <f>IF(OrdersTable[[#This Row],[Delivery Days]]&lt;=2, "Express (≤2d)", IF(OrdersTable[[#This Row],[Delivery Days]]&lt;=4, "Standard (3-4d)", "Delayed (5d+)"))</f>
        <v>Standard (3-4d)</v>
      </c>
      <c r="AF4699">
        <v>0</v>
      </c>
    </row>
    <row r="4700" spans="1:32" ht="15" x14ac:dyDescent="0.35">
      <c r="A4700" t="s">
        <v>5463</v>
      </c>
      <c r="B4700" s="1">
        <v>46002</v>
      </c>
      <c r="C4700">
        <f>YEAR(OrdersTable[[#This Row],[Order Date]])</f>
        <v>2025</v>
      </c>
      <c r="D4700" s="2">
        <f>DATE(YEAR(OrdersTable[[#This Row],[Order Date]]),MONTH(OrdersTable[[#This Row],[Order Date]]),1)</f>
        <v>45992</v>
      </c>
      <c r="E4700">
        <f>MONTH(OrdersTable[[#This Row],[Order Date]])</f>
        <v>12</v>
      </c>
      <c r="F4700" t="s">
        <v>1271</v>
      </c>
      <c r="G4700" t="str">
        <f>IF(OrdersTable[[#This Row],[Order Date]]=_xlfn.MINIFS(Order_Date, Customer_ID, OrdersTable[[#This Row],[Customer ID]]), "New", "Repeat")</f>
        <v>Repeat</v>
      </c>
      <c r="H4700" t="s">
        <v>71</v>
      </c>
      <c r="I4700" t="str">
        <f>INDEX(State!B:B,MATCH(OrdersTable[[#This Row],[State]],State!A:A,0))</f>
        <v>MH</v>
      </c>
      <c r="J4700" t="str">
        <f>INDEX(State!C:C,MATCH(OrdersTable[[#This Row],[State Code]],State!B:B,0))</f>
        <v>West</v>
      </c>
      <c r="K4700" t="s">
        <v>81</v>
      </c>
      <c r="L4700" t="s">
        <v>16</v>
      </c>
      <c r="M4700" t="s">
        <v>92</v>
      </c>
      <c r="N4700" t="str">
        <f>INDEX(Products!B:B,MATCH(OrdersTable[[#This Row],[Product ID]],Products!A:A,0))</f>
        <v>Kolhapuri Sandals</v>
      </c>
      <c r="O4700" t="str">
        <f>INDEX(Products!C:C,MATCH(OrdersTable[[#This Row],[Product ID]],Products!A:A,0))</f>
        <v>Footwear</v>
      </c>
      <c r="P4700">
        <v>2</v>
      </c>
      <c r="Q4700" s="5">
        <v>999</v>
      </c>
      <c r="R4700" s="74">
        <v>0</v>
      </c>
      <c r="S4700" s="75">
        <f>OrdersTable[[#This Row],[Quantity]]*OrdersTable[[#This Row],[Unit Price]]</f>
        <v>1998</v>
      </c>
      <c r="T4700" s="5">
        <f>OrdersTable[[#This Row],[Gross Sale]]*OrdersTable[[#This Row],[Discount_Clean2]]</f>
        <v>0</v>
      </c>
      <c r="U4700" s="5">
        <f>OrdersTable[[#This Row],[Gross Sale]]-OrdersTable[[#This Row],[Discount Amount]]</f>
        <v>1998</v>
      </c>
      <c r="V4700" s="77">
        <f>INDEX(Products!E:E,MATCH(OrdersTable[[#This Row],[Product ID]],Products!A:A,0))</f>
        <v>400</v>
      </c>
      <c r="W4700" s="77">
        <f>OrdersTable[[#This Row],[Quantity]]*OrdersTable[[#This Row],[Unit Cost]]</f>
        <v>800</v>
      </c>
      <c r="X4700" s="77">
        <f>'Dropdown Lists'!$I$2*(1+OrdersTable[[#This Row],[Returned]])</f>
        <v>60</v>
      </c>
      <c r="Y4700" s="76">
        <f>OrdersTable[[#This Row],[Net Revenue]]-OrdersTable[[#This Row],[COGS]]-OrdersTable[[#This Row],[Shipping Cost]]</f>
        <v>1138</v>
      </c>
      <c r="Z4700" s="78">
        <f>IFERROR(OrdersTable[[#This Row],[Profit]]/OrdersTable[[#This Row],[Net Revenue]],0)</f>
        <v>0.56956956956956961</v>
      </c>
      <c r="AA4700" t="s">
        <v>2522</v>
      </c>
      <c r="AB4700" s="79">
        <v>46006</v>
      </c>
      <c r="AC4700">
        <f>OrdersTable[[#This Row],[Delivery Date]]-OrdersTable[[#This Row],[Order Date]]</f>
        <v>4</v>
      </c>
      <c r="AD4700" t="str">
        <f>IF(OrdersTable[[#This Row],[Delivery Days]]&lt;=2, "Express (≤2d)", IF(OrdersTable[[#This Row],[Delivery Days]]&lt;=4, "Standard (3-4d)", "Delayed (5d+)"))</f>
        <v>Standard (3-4d)</v>
      </c>
      <c r="AF4700">
        <v>0</v>
      </c>
    </row>
    <row r="4701" spans="1:32" ht="15" x14ac:dyDescent="0.35">
      <c r="A4701" t="s">
        <v>3379</v>
      </c>
      <c r="B4701" s="1">
        <v>46002</v>
      </c>
      <c r="C4701">
        <f>YEAR(OrdersTable[[#This Row],[Order Date]])</f>
        <v>2025</v>
      </c>
      <c r="D4701" s="2">
        <f>DATE(YEAR(OrdersTable[[#This Row],[Order Date]]),MONTH(OrdersTable[[#This Row],[Order Date]]),1)</f>
        <v>45992</v>
      </c>
      <c r="E4701">
        <f>MONTH(OrdersTable[[#This Row],[Order Date]])</f>
        <v>12</v>
      </c>
      <c r="F4701" t="s">
        <v>3380</v>
      </c>
      <c r="G4701" t="str">
        <f>IF(OrdersTable[[#This Row],[Order Date]]=_xlfn.MINIFS(Order_Date, Customer_ID, OrdersTable[[#This Row],[Customer ID]]), "New", "Repeat")</f>
        <v>Repeat</v>
      </c>
      <c r="H4701" t="s">
        <v>71</v>
      </c>
      <c r="I4701" t="str">
        <f>INDEX(State!B:B,MATCH(OrdersTable[[#This Row],[State]],State!A:A,0))</f>
        <v>MH</v>
      </c>
      <c r="J4701" t="str">
        <f>INDEX(State!C:C,MATCH(OrdersTable[[#This Row],[State Code]],State!B:B,0))</f>
        <v>West</v>
      </c>
      <c r="K4701" t="s">
        <v>72</v>
      </c>
      <c r="L4701" t="s">
        <v>23</v>
      </c>
      <c r="M4701" t="s">
        <v>56</v>
      </c>
      <c r="N4701" t="str">
        <f>INDEX(Products!B:B,MATCH(OrdersTable[[#This Row],[Product ID]],Products!A:A,0))</f>
        <v>Vitamin C Face Serum</v>
      </c>
      <c r="O4701" t="str">
        <f>INDEX(Products!C:C,MATCH(OrdersTable[[#This Row],[Product ID]],Products!A:A,0))</f>
        <v>Skincare</v>
      </c>
      <c r="P4701">
        <v>1</v>
      </c>
      <c r="Q4701" s="5">
        <v>599</v>
      </c>
      <c r="R4701" s="74">
        <v>0.2</v>
      </c>
      <c r="S4701" s="75">
        <f>OrdersTable[[#This Row],[Quantity]]*OrdersTable[[#This Row],[Unit Price]]</f>
        <v>599</v>
      </c>
      <c r="T4701" s="5">
        <f>OrdersTable[[#This Row],[Gross Sale]]*OrdersTable[[#This Row],[Discount_Clean2]]</f>
        <v>119.80000000000001</v>
      </c>
      <c r="U4701" s="5">
        <f>OrdersTable[[#This Row],[Gross Sale]]-OrdersTable[[#This Row],[Discount Amount]]</f>
        <v>479.2</v>
      </c>
      <c r="V4701" s="77">
        <f>INDEX(Products!E:E,MATCH(OrdersTable[[#This Row],[Product ID]],Products!A:A,0))</f>
        <v>180</v>
      </c>
      <c r="W4701" s="77">
        <f>OrdersTable[[#This Row],[Quantity]]*OrdersTable[[#This Row],[Unit Cost]]</f>
        <v>180</v>
      </c>
      <c r="X4701" s="77">
        <f>'Dropdown Lists'!$I$2*(1+OrdersTable[[#This Row],[Returned]])</f>
        <v>60</v>
      </c>
      <c r="Y4701" s="76">
        <f>OrdersTable[[#This Row],[Net Revenue]]-OrdersTable[[#This Row],[COGS]]-OrdersTable[[#This Row],[Shipping Cost]]</f>
        <v>239.2</v>
      </c>
      <c r="Z4701" s="78">
        <f>IFERROR(OrdersTable[[#This Row],[Profit]]/OrdersTable[[#This Row],[Net Revenue]],0)</f>
        <v>0.4991652754590985</v>
      </c>
      <c r="AA4701" t="s">
        <v>2522</v>
      </c>
      <c r="AB4701" s="79">
        <v>46005</v>
      </c>
      <c r="AC4701">
        <f>OrdersTable[[#This Row],[Delivery Date]]-OrdersTable[[#This Row],[Order Date]]</f>
        <v>3</v>
      </c>
      <c r="AD4701" t="str">
        <f>IF(OrdersTable[[#This Row],[Delivery Days]]&lt;=2, "Express (≤2d)", IF(OrdersTable[[#This Row],[Delivery Days]]&lt;=4, "Standard (3-4d)", "Delayed (5d+)"))</f>
        <v>Standard (3-4d)</v>
      </c>
      <c r="AE4701">
        <v>4</v>
      </c>
      <c r="AF4701">
        <v>0</v>
      </c>
    </row>
    <row r="4702" spans="1:32" ht="15" x14ac:dyDescent="0.35">
      <c r="A4702" t="s">
        <v>5842</v>
      </c>
      <c r="B4702" s="1">
        <v>46002</v>
      </c>
      <c r="C4702">
        <f>YEAR(OrdersTable[[#This Row],[Order Date]])</f>
        <v>2025</v>
      </c>
      <c r="D4702" s="2">
        <f>DATE(YEAR(OrdersTable[[#This Row],[Order Date]]),MONTH(OrdersTable[[#This Row],[Order Date]]),1)</f>
        <v>45992</v>
      </c>
      <c r="E4702">
        <f>MONTH(OrdersTable[[#This Row],[Order Date]])</f>
        <v>12</v>
      </c>
      <c r="F4702" t="s">
        <v>5354</v>
      </c>
      <c r="G4702" t="str">
        <f>IF(OrdersTable[[#This Row],[Order Date]]=_xlfn.MINIFS(Order_Date, Customer_ID, OrdersTable[[#This Row],[Customer ID]]), "New", "Repeat")</f>
        <v>Repeat</v>
      </c>
      <c r="H4702" t="s">
        <v>71</v>
      </c>
      <c r="I4702" t="str">
        <f>INDEX(State!B:B,MATCH(OrdersTable[[#This Row],[State]],State!A:A,0))</f>
        <v>MH</v>
      </c>
      <c r="J4702" t="str">
        <f>INDEX(State!C:C,MATCH(OrdersTable[[#This Row],[State Code]],State!B:B,0))</f>
        <v>West</v>
      </c>
      <c r="K4702" t="s">
        <v>102</v>
      </c>
      <c r="L4702" t="s">
        <v>23</v>
      </c>
      <c r="M4702" t="s">
        <v>148</v>
      </c>
      <c r="N4702" t="str">
        <f>INDEX(Products!B:B,MATCH(OrdersTable[[#This Row],[Product ID]],Products!A:A,0))</f>
        <v>Smartwatch Strap</v>
      </c>
      <c r="O4702" t="str">
        <f>INDEX(Products!C:C,MATCH(OrdersTable[[#This Row],[Product ID]],Products!A:A,0))</f>
        <v>Electronics</v>
      </c>
      <c r="P4702">
        <v>2</v>
      </c>
      <c r="Q4702" s="5">
        <v>499</v>
      </c>
      <c r="R4702" s="74">
        <v>0.1</v>
      </c>
      <c r="S4702" s="75">
        <f>OrdersTable[[#This Row],[Quantity]]*OrdersTable[[#This Row],[Unit Price]]</f>
        <v>998</v>
      </c>
      <c r="T4702" s="5">
        <f>OrdersTable[[#This Row],[Gross Sale]]*OrdersTable[[#This Row],[Discount_Clean2]]</f>
        <v>99.800000000000011</v>
      </c>
      <c r="U4702" s="5">
        <f>OrdersTable[[#This Row],[Gross Sale]]-OrdersTable[[#This Row],[Discount Amount]]</f>
        <v>898.2</v>
      </c>
      <c r="V4702" s="77">
        <f>INDEX(Products!E:E,MATCH(OrdersTable[[#This Row],[Product ID]],Products!A:A,0))</f>
        <v>200</v>
      </c>
      <c r="W4702" s="77">
        <f>OrdersTable[[#This Row],[Quantity]]*OrdersTable[[#This Row],[Unit Cost]]</f>
        <v>400</v>
      </c>
      <c r="X4702" s="77">
        <f>'Dropdown Lists'!$I$2*(1+OrdersTable[[#This Row],[Returned]])</f>
        <v>60</v>
      </c>
      <c r="Y4702" s="76">
        <f>OrdersTable[[#This Row],[Net Revenue]]-OrdersTable[[#This Row],[COGS]]-OrdersTable[[#This Row],[Shipping Cost]]</f>
        <v>438.20000000000005</v>
      </c>
      <c r="Z4702" s="78">
        <f>IFERROR(OrdersTable[[#This Row],[Profit]]/OrdersTable[[#This Row],[Net Revenue]],0)</f>
        <v>0.4878646181251392</v>
      </c>
      <c r="AA4702" t="s">
        <v>18</v>
      </c>
      <c r="AB4702" s="79">
        <v>46007</v>
      </c>
      <c r="AC4702">
        <f>OrdersTable[[#This Row],[Delivery Date]]-OrdersTable[[#This Row],[Order Date]]</f>
        <v>5</v>
      </c>
      <c r="AD4702" t="str">
        <f>IF(OrdersTable[[#This Row],[Delivery Days]]&lt;=2, "Express (≤2d)", IF(OrdersTable[[#This Row],[Delivery Days]]&lt;=4, "Standard (3-4d)", "Delayed (5d+)"))</f>
        <v>Delayed (5d+)</v>
      </c>
      <c r="AE4702">
        <v>5</v>
      </c>
      <c r="AF4702">
        <v>0</v>
      </c>
    </row>
    <row r="4703" spans="1:32" ht="15" x14ac:dyDescent="0.35">
      <c r="A4703" t="s">
        <v>7041</v>
      </c>
      <c r="B4703" s="1">
        <v>46002</v>
      </c>
      <c r="C4703">
        <f>YEAR(OrdersTable[[#This Row],[Order Date]])</f>
        <v>2025</v>
      </c>
      <c r="D4703" s="2">
        <f>DATE(YEAR(OrdersTable[[#This Row],[Order Date]]),MONTH(OrdersTable[[#This Row],[Order Date]]),1)</f>
        <v>45992</v>
      </c>
      <c r="E4703">
        <f>MONTH(OrdersTable[[#This Row],[Order Date]])</f>
        <v>12</v>
      </c>
      <c r="F4703" t="s">
        <v>1976</v>
      </c>
      <c r="G4703" t="str">
        <f>IF(OrdersTable[[#This Row],[Order Date]]=_xlfn.MINIFS(Order_Date, Customer_ID, OrdersTable[[#This Row],[Customer ID]]), "New", "Repeat")</f>
        <v>Repeat</v>
      </c>
      <c r="H4703" t="s">
        <v>167</v>
      </c>
      <c r="I4703" t="str">
        <f>INDEX(State!B:B,MATCH(OrdersTable[[#This Row],[State]],State!A:A,0))</f>
        <v>KA</v>
      </c>
      <c r="J4703" t="str">
        <f>INDEX(State!C:C,MATCH(OrdersTable[[#This Row],[State Code]],State!B:B,0))</f>
        <v>South</v>
      </c>
      <c r="K4703" t="s">
        <v>168</v>
      </c>
      <c r="L4703" t="s">
        <v>23</v>
      </c>
      <c r="M4703" t="s">
        <v>109</v>
      </c>
      <c r="N4703" t="str">
        <f>INDEX(Products!B:B,MATCH(OrdersTable[[#This Row],[Product ID]],Products!A:A,0))</f>
        <v>Onion Hair Oil</v>
      </c>
      <c r="O4703" t="str">
        <f>INDEX(Products!C:C,MATCH(OrdersTable[[#This Row],[Product ID]],Products!A:A,0))</f>
        <v>Haircare</v>
      </c>
      <c r="P4703">
        <v>4</v>
      </c>
      <c r="Q4703" s="5">
        <v>349</v>
      </c>
      <c r="R4703" s="74">
        <v>0.3</v>
      </c>
      <c r="S4703" s="75">
        <f>OrdersTable[[#This Row],[Quantity]]*OrdersTable[[#This Row],[Unit Price]]</f>
        <v>1396</v>
      </c>
      <c r="T4703" s="5">
        <f>OrdersTable[[#This Row],[Gross Sale]]*OrdersTable[[#This Row],[Discount_Clean2]]</f>
        <v>418.8</v>
      </c>
      <c r="U4703" s="5">
        <f>OrdersTable[[#This Row],[Gross Sale]]-OrdersTable[[#This Row],[Discount Amount]]</f>
        <v>977.2</v>
      </c>
      <c r="V4703" s="77">
        <f>INDEX(Products!E:E,MATCH(OrdersTable[[#This Row],[Product ID]],Products!A:A,0))</f>
        <v>105</v>
      </c>
      <c r="W4703" s="77">
        <f>OrdersTable[[#This Row],[Quantity]]*OrdersTable[[#This Row],[Unit Cost]]</f>
        <v>420</v>
      </c>
      <c r="X4703" s="77">
        <f>'Dropdown Lists'!$I$2*(1+OrdersTable[[#This Row],[Returned]])</f>
        <v>60</v>
      </c>
      <c r="Y4703" s="76">
        <f>OrdersTable[[#This Row],[Net Revenue]]-OrdersTable[[#This Row],[COGS]]-OrdersTable[[#This Row],[Shipping Cost]]</f>
        <v>497.20000000000005</v>
      </c>
      <c r="Z4703" s="78">
        <f>IFERROR(OrdersTable[[#This Row],[Profit]]/OrdersTable[[#This Row],[Net Revenue]],0)</f>
        <v>0.50880065493246007</v>
      </c>
      <c r="AA4703" t="s">
        <v>4450</v>
      </c>
      <c r="AB4703" s="79">
        <v>46004</v>
      </c>
      <c r="AC4703">
        <f>OrdersTable[[#This Row],[Delivery Date]]-OrdersTable[[#This Row],[Order Date]]</f>
        <v>2</v>
      </c>
      <c r="AD4703" t="str">
        <f>IF(OrdersTable[[#This Row],[Delivery Days]]&lt;=2, "Express (≤2d)", IF(OrdersTable[[#This Row],[Delivery Days]]&lt;=4, "Standard (3-4d)", "Delayed (5d+)"))</f>
        <v>Express (≤2d)</v>
      </c>
      <c r="AE4703">
        <v>4</v>
      </c>
      <c r="AF4703">
        <v>0</v>
      </c>
    </row>
    <row r="4704" spans="1:32" ht="15" x14ac:dyDescent="0.35">
      <c r="A4704" t="s">
        <v>5287</v>
      </c>
      <c r="B4704" s="1">
        <v>46002</v>
      </c>
      <c r="C4704">
        <f>YEAR(OrdersTable[[#This Row],[Order Date]])</f>
        <v>2025</v>
      </c>
      <c r="D4704" s="2">
        <f>DATE(YEAR(OrdersTable[[#This Row],[Order Date]]),MONTH(OrdersTable[[#This Row],[Order Date]]),1)</f>
        <v>45992</v>
      </c>
      <c r="E4704">
        <f>MONTH(OrdersTable[[#This Row],[Order Date]])</f>
        <v>12</v>
      </c>
      <c r="F4704" t="s">
        <v>5288</v>
      </c>
      <c r="G4704" t="str">
        <f>IF(OrdersTable[[#This Row],[Order Date]]=_xlfn.MINIFS(Order_Date, Customer_ID, OrdersTable[[#This Row],[Customer ID]]), "New", "Repeat")</f>
        <v>New</v>
      </c>
      <c r="H4704" t="s">
        <v>167</v>
      </c>
      <c r="I4704" t="str">
        <f>INDEX(State!B:B,MATCH(OrdersTable[[#This Row],[State]],State!A:A,0))</f>
        <v>KA</v>
      </c>
      <c r="J4704" t="str">
        <f>INDEX(State!C:C,MATCH(OrdersTable[[#This Row],[State Code]],State!B:B,0))</f>
        <v>South</v>
      </c>
      <c r="K4704" t="s">
        <v>190</v>
      </c>
      <c r="L4704" t="s">
        <v>23</v>
      </c>
      <c r="M4704" t="s">
        <v>51</v>
      </c>
      <c r="N4704" t="str">
        <f>INDEX(Products!B:B,MATCH(OrdersTable[[#This Row],[Product ID]],Products!A:A,0))</f>
        <v>Anti-Dandruff Conditioner</v>
      </c>
      <c r="O4704" t="str">
        <f>INDEX(Products!C:C,MATCH(OrdersTable[[#This Row],[Product ID]],Products!A:A,0))</f>
        <v>Haircare</v>
      </c>
      <c r="P4704">
        <v>2</v>
      </c>
      <c r="Q4704" s="5">
        <v>399</v>
      </c>
      <c r="R4704" s="74">
        <v>0.35</v>
      </c>
      <c r="S4704" s="75">
        <f>OrdersTable[[#This Row],[Quantity]]*OrdersTable[[#This Row],[Unit Price]]</f>
        <v>798</v>
      </c>
      <c r="T4704" s="5">
        <f>OrdersTable[[#This Row],[Gross Sale]]*OrdersTable[[#This Row],[Discount_Clean2]]</f>
        <v>279.29999999999995</v>
      </c>
      <c r="U4704" s="5">
        <f>OrdersTable[[#This Row],[Gross Sale]]-OrdersTable[[#This Row],[Discount Amount]]</f>
        <v>518.70000000000005</v>
      </c>
      <c r="V4704" s="77">
        <f>INDEX(Products!E:E,MATCH(OrdersTable[[#This Row],[Product ID]],Products!A:A,0))</f>
        <v>136</v>
      </c>
      <c r="W4704" s="77">
        <f>OrdersTable[[#This Row],[Quantity]]*OrdersTable[[#This Row],[Unit Cost]]</f>
        <v>272</v>
      </c>
      <c r="X4704" s="77">
        <f>'Dropdown Lists'!$I$2*(1+OrdersTable[[#This Row],[Returned]])</f>
        <v>60</v>
      </c>
      <c r="Y4704" s="76">
        <f>OrdersTable[[#This Row],[Net Revenue]]-OrdersTable[[#This Row],[COGS]]-OrdersTable[[#This Row],[Shipping Cost]]</f>
        <v>186.70000000000005</v>
      </c>
      <c r="Z4704" s="78">
        <f>IFERROR(OrdersTable[[#This Row],[Profit]]/OrdersTable[[#This Row],[Net Revenue]],0)</f>
        <v>0.35993830730672843</v>
      </c>
      <c r="AA4704" t="s">
        <v>3495</v>
      </c>
      <c r="AB4704" s="79">
        <v>46003</v>
      </c>
      <c r="AC4704">
        <f>OrdersTable[[#This Row],[Delivery Date]]-OrdersTable[[#This Row],[Order Date]]</f>
        <v>1</v>
      </c>
      <c r="AD4704" t="str">
        <f>IF(OrdersTable[[#This Row],[Delivery Days]]&lt;=2, "Express (≤2d)", IF(OrdersTable[[#This Row],[Delivery Days]]&lt;=4, "Standard (3-4d)", "Delayed (5d+)"))</f>
        <v>Express (≤2d)</v>
      </c>
      <c r="AE4704">
        <v>5</v>
      </c>
      <c r="AF4704">
        <v>0</v>
      </c>
    </row>
    <row r="4705" spans="1:32" ht="15" x14ac:dyDescent="0.35">
      <c r="A4705" t="s">
        <v>2188</v>
      </c>
      <c r="B4705" s="1">
        <v>46002</v>
      </c>
      <c r="C4705">
        <f>YEAR(OrdersTable[[#This Row],[Order Date]])</f>
        <v>2025</v>
      </c>
      <c r="D4705" s="2">
        <f>DATE(YEAR(OrdersTable[[#This Row],[Order Date]]),MONTH(OrdersTable[[#This Row],[Order Date]]),1)</f>
        <v>45992</v>
      </c>
      <c r="E4705">
        <f>MONTH(OrdersTable[[#This Row],[Order Date]])</f>
        <v>12</v>
      </c>
      <c r="F4705" t="s">
        <v>2189</v>
      </c>
      <c r="G4705" t="str">
        <f>IF(OrdersTable[[#This Row],[Order Date]]=_xlfn.MINIFS(Order_Date, Customer_ID, OrdersTable[[#This Row],[Customer ID]]), "New", "Repeat")</f>
        <v>New</v>
      </c>
      <c r="H4705" t="s">
        <v>316</v>
      </c>
      <c r="I4705" t="str">
        <f>INDEX(State!B:B,MATCH(OrdersTable[[#This Row],[State]],State!A:A,0))</f>
        <v>KL</v>
      </c>
      <c r="J4705" t="str">
        <f>INDEX(State!C:C,MATCH(OrdersTable[[#This Row],[State Code]],State!B:B,0))</f>
        <v>South</v>
      </c>
      <c r="K4705" t="s">
        <v>338</v>
      </c>
      <c r="L4705" t="s">
        <v>39</v>
      </c>
      <c r="M4705" t="s">
        <v>160</v>
      </c>
      <c r="N4705" t="str">
        <f>INDEX(Products!B:B,MATCH(OrdersTable[[#This Row],[Product ID]],Products!A:A,0))</f>
        <v>Niacinamide Toner</v>
      </c>
      <c r="O4705" t="str">
        <f>INDEX(Products!C:C,MATCH(OrdersTable[[#This Row],[Product ID]],Products!A:A,0))</f>
        <v>Skincare</v>
      </c>
      <c r="P4705">
        <v>1</v>
      </c>
      <c r="Q4705" s="5">
        <v>399</v>
      </c>
      <c r="R4705" s="74">
        <v>0.15</v>
      </c>
      <c r="S4705" s="75">
        <f>OrdersTable[[#This Row],[Quantity]]*OrdersTable[[#This Row],[Unit Price]]</f>
        <v>399</v>
      </c>
      <c r="T4705" s="5">
        <f>OrdersTable[[#This Row],[Gross Sale]]*OrdersTable[[#This Row],[Discount_Clean2]]</f>
        <v>59.849999999999994</v>
      </c>
      <c r="U4705" s="5">
        <f>OrdersTable[[#This Row],[Gross Sale]]-OrdersTable[[#This Row],[Discount Amount]]</f>
        <v>339.15</v>
      </c>
      <c r="V4705" s="77">
        <f>INDEX(Products!E:E,MATCH(OrdersTable[[#This Row],[Product ID]],Products!A:A,0))</f>
        <v>112</v>
      </c>
      <c r="W4705" s="77">
        <f>OrdersTable[[#This Row],[Quantity]]*OrdersTable[[#This Row],[Unit Cost]]</f>
        <v>112</v>
      </c>
      <c r="X4705" s="77">
        <f>'Dropdown Lists'!$I$2*(1+OrdersTable[[#This Row],[Returned]])</f>
        <v>60</v>
      </c>
      <c r="Y4705" s="76">
        <f>OrdersTable[[#This Row],[Net Revenue]]-OrdersTable[[#This Row],[COGS]]-OrdersTable[[#This Row],[Shipping Cost]]</f>
        <v>167.14999999999998</v>
      </c>
      <c r="Z4705" s="78">
        <f>IFERROR(OrdersTable[[#This Row],[Profit]]/OrdersTable[[#This Row],[Net Revenue]],0)</f>
        <v>0.49284977148754233</v>
      </c>
      <c r="AA4705" t="s">
        <v>18</v>
      </c>
      <c r="AB4705" s="79">
        <v>46005</v>
      </c>
      <c r="AC4705">
        <f>OrdersTable[[#This Row],[Delivery Date]]-OrdersTable[[#This Row],[Order Date]]</f>
        <v>3</v>
      </c>
      <c r="AD4705" t="str">
        <f>IF(OrdersTable[[#This Row],[Delivery Days]]&lt;=2, "Express (≤2d)", IF(OrdersTable[[#This Row],[Delivery Days]]&lt;=4, "Standard (3-4d)", "Delayed (5d+)"))</f>
        <v>Standard (3-4d)</v>
      </c>
      <c r="AE4705">
        <v>3</v>
      </c>
      <c r="AF4705">
        <v>0</v>
      </c>
    </row>
    <row r="4706" spans="1:32" ht="15" x14ac:dyDescent="0.35">
      <c r="A4706" t="s">
        <v>7042</v>
      </c>
      <c r="B4706" s="1">
        <v>46003</v>
      </c>
      <c r="C4706">
        <f>YEAR(OrdersTable[[#This Row],[Order Date]])</f>
        <v>2025</v>
      </c>
      <c r="D4706" s="2">
        <f>DATE(YEAR(OrdersTable[[#This Row],[Order Date]]),MONTH(OrdersTable[[#This Row],[Order Date]]),1)</f>
        <v>45992</v>
      </c>
      <c r="E4706">
        <f>MONTH(OrdersTable[[#This Row],[Order Date]])</f>
        <v>12</v>
      </c>
      <c r="F4706" t="s">
        <v>525</v>
      </c>
      <c r="G4706" t="str">
        <f>IF(OrdersTable[[#This Row],[Order Date]]=_xlfn.MINIFS(Order_Date, Customer_ID, OrdersTable[[#This Row],[Customer ID]]), "New", "Repeat")</f>
        <v>Repeat</v>
      </c>
      <c r="H4706" t="s">
        <v>21</v>
      </c>
      <c r="I4706" t="str">
        <f>INDEX(State!B:B,MATCH(OrdersTable[[#This Row],[State]],State!A:A,0))</f>
        <v>PB</v>
      </c>
      <c r="J4706" t="str">
        <f>INDEX(State!C:C,MATCH(OrdersTable[[#This Row],[State Code]],State!B:B,0))</f>
        <v>North</v>
      </c>
      <c r="K4706" t="s">
        <v>260</v>
      </c>
      <c r="L4706" t="s">
        <v>16</v>
      </c>
      <c r="M4706" t="s">
        <v>255</v>
      </c>
      <c r="N4706" t="str">
        <f>INDEX(Products!B:B,MATCH(OrdersTable[[#This Row],[Product ID]],Products!A:A,0))</f>
        <v>Cotton Oversized T-Shirt</v>
      </c>
      <c r="O4706" t="str">
        <f>INDEX(Products!C:C,MATCH(OrdersTable[[#This Row],[Product ID]],Products!A:A,0))</f>
        <v>Apparel</v>
      </c>
      <c r="P4706">
        <v>4</v>
      </c>
      <c r="Q4706" s="5">
        <v>799</v>
      </c>
      <c r="R4706" s="74">
        <v>0</v>
      </c>
      <c r="S4706" s="75">
        <f>OrdersTable[[#This Row],[Quantity]]*OrdersTable[[#This Row],[Unit Price]]</f>
        <v>3196</v>
      </c>
      <c r="T4706" s="5">
        <f>OrdersTable[[#This Row],[Gross Sale]]*OrdersTable[[#This Row],[Discount_Clean2]]</f>
        <v>0</v>
      </c>
      <c r="U4706" s="5">
        <f>OrdersTable[[#This Row],[Gross Sale]]-OrdersTable[[#This Row],[Discount Amount]]</f>
        <v>3196</v>
      </c>
      <c r="V4706" s="77">
        <f>INDEX(Products!E:E,MATCH(OrdersTable[[#This Row],[Product ID]],Products!A:A,0))</f>
        <v>320</v>
      </c>
      <c r="W4706" s="77">
        <f>OrdersTable[[#This Row],[Quantity]]*OrdersTable[[#This Row],[Unit Cost]]</f>
        <v>1280</v>
      </c>
      <c r="X4706" s="77">
        <f>'Dropdown Lists'!$I$2*(1+OrdersTable[[#This Row],[Returned]])</f>
        <v>60</v>
      </c>
      <c r="Y4706" s="76">
        <f>OrdersTable[[#This Row],[Net Revenue]]-OrdersTable[[#This Row],[COGS]]-OrdersTable[[#This Row],[Shipping Cost]]</f>
        <v>1856</v>
      </c>
      <c r="Z4706" s="78">
        <f>IFERROR(OrdersTable[[#This Row],[Profit]]/OrdersTable[[#This Row],[Net Revenue]],0)</f>
        <v>0.58072590738423024</v>
      </c>
      <c r="AA4706" t="s">
        <v>2522</v>
      </c>
      <c r="AB4706" s="79">
        <v>46007</v>
      </c>
      <c r="AC4706">
        <f>OrdersTable[[#This Row],[Delivery Date]]-OrdersTable[[#This Row],[Order Date]]</f>
        <v>4</v>
      </c>
      <c r="AD4706" t="str">
        <f>IF(OrdersTable[[#This Row],[Delivery Days]]&lt;=2, "Express (≤2d)", IF(OrdersTable[[#This Row],[Delivery Days]]&lt;=4, "Standard (3-4d)", "Delayed (5d+)"))</f>
        <v>Standard (3-4d)</v>
      </c>
      <c r="AE4706">
        <v>3</v>
      </c>
      <c r="AF4706">
        <v>0</v>
      </c>
    </row>
    <row r="4707" spans="1:32" ht="15" x14ac:dyDescent="0.35">
      <c r="A4707" t="s">
        <v>1455</v>
      </c>
      <c r="B4707" s="1">
        <v>46003</v>
      </c>
      <c r="C4707">
        <f>YEAR(OrdersTable[[#This Row],[Order Date]])</f>
        <v>2025</v>
      </c>
      <c r="D4707" s="2">
        <f>DATE(YEAR(OrdersTable[[#This Row],[Order Date]]),MONTH(OrdersTable[[#This Row],[Order Date]]),1)</f>
        <v>45992</v>
      </c>
      <c r="E4707">
        <f>MONTH(OrdersTable[[#This Row],[Order Date]])</f>
        <v>12</v>
      </c>
      <c r="F4707" t="s">
        <v>1456</v>
      </c>
      <c r="G4707" t="str">
        <f>IF(OrdersTable[[#This Row],[Order Date]]=_xlfn.MINIFS(Order_Date, Customer_ID, OrdersTable[[#This Row],[Customer ID]]), "New", "Repeat")</f>
        <v>New</v>
      </c>
      <c r="H4707" t="s">
        <v>54</v>
      </c>
      <c r="I4707" t="str">
        <f>INDEX(State!B:B,MATCH(OrdersTable[[#This Row],[State]],State!A:A,0))</f>
        <v>RJ</v>
      </c>
      <c r="J4707" t="str">
        <f>INDEX(State!C:C,MATCH(OrdersTable[[#This Row],[State Code]],State!B:B,0))</f>
        <v>North</v>
      </c>
      <c r="K4707" t="s">
        <v>227</v>
      </c>
      <c r="L4707" t="s">
        <v>23</v>
      </c>
      <c r="M4707" t="s">
        <v>51</v>
      </c>
      <c r="N4707" t="str">
        <f>INDEX(Products!B:B,MATCH(OrdersTable[[#This Row],[Product ID]],Products!A:A,0))</f>
        <v>Anti-Dandruff Conditioner</v>
      </c>
      <c r="O4707" t="str">
        <f>INDEX(Products!C:C,MATCH(OrdersTable[[#This Row],[Product ID]],Products!A:A,0))</f>
        <v>Haircare</v>
      </c>
      <c r="P4707">
        <v>1</v>
      </c>
      <c r="Q4707" s="5">
        <v>399</v>
      </c>
      <c r="R4707" s="74">
        <v>0.35</v>
      </c>
      <c r="S4707" s="75">
        <f>OrdersTable[[#This Row],[Quantity]]*OrdersTable[[#This Row],[Unit Price]]</f>
        <v>399</v>
      </c>
      <c r="T4707" s="5">
        <f>OrdersTable[[#This Row],[Gross Sale]]*OrdersTable[[#This Row],[Discount_Clean2]]</f>
        <v>139.64999999999998</v>
      </c>
      <c r="U4707" s="5">
        <f>OrdersTable[[#This Row],[Gross Sale]]-OrdersTable[[#This Row],[Discount Amount]]</f>
        <v>259.35000000000002</v>
      </c>
      <c r="V4707" s="77">
        <f>INDEX(Products!E:E,MATCH(OrdersTable[[#This Row],[Product ID]],Products!A:A,0))</f>
        <v>136</v>
      </c>
      <c r="W4707" s="77">
        <f>OrdersTable[[#This Row],[Quantity]]*OrdersTable[[#This Row],[Unit Cost]]</f>
        <v>136</v>
      </c>
      <c r="X4707" s="77">
        <f>'Dropdown Lists'!$I$2*(1+OrdersTable[[#This Row],[Returned]])</f>
        <v>60</v>
      </c>
      <c r="Y4707" s="76">
        <f>OrdersTable[[#This Row],[Net Revenue]]-OrdersTable[[#This Row],[COGS]]-OrdersTable[[#This Row],[Shipping Cost]]</f>
        <v>63.350000000000023</v>
      </c>
      <c r="Z4707" s="78">
        <f>IFERROR(OrdersTable[[#This Row],[Profit]]/OrdersTable[[#This Row],[Net Revenue]],0)</f>
        <v>0.24426450742240222</v>
      </c>
      <c r="AA4707" t="s">
        <v>18</v>
      </c>
      <c r="AB4707" s="79">
        <v>46008</v>
      </c>
      <c r="AC4707">
        <f>OrdersTable[[#This Row],[Delivery Date]]-OrdersTable[[#This Row],[Order Date]]</f>
        <v>5</v>
      </c>
      <c r="AD4707" t="str">
        <f>IF(OrdersTable[[#This Row],[Delivery Days]]&lt;=2, "Express (≤2d)", IF(OrdersTable[[#This Row],[Delivery Days]]&lt;=4, "Standard (3-4d)", "Delayed (5d+)"))</f>
        <v>Delayed (5d+)</v>
      </c>
      <c r="AF4707">
        <v>0</v>
      </c>
    </row>
    <row r="4708" spans="1:32" ht="15" x14ac:dyDescent="0.35">
      <c r="A4708" t="s">
        <v>2677</v>
      </c>
      <c r="B4708" s="1">
        <v>46003</v>
      </c>
      <c r="C4708">
        <f>YEAR(OrdersTable[[#This Row],[Order Date]])</f>
        <v>2025</v>
      </c>
      <c r="D4708" s="2">
        <f>DATE(YEAR(OrdersTable[[#This Row],[Order Date]]),MONTH(OrdersTable[[#This Row],[Order Date]]),1)</f>
        <v>45992</v>
      </c>
      <c r="E4708">
        <f>MONTH(OrdersTable[[#This Row],[Order Date]])</f>
        <v>12</v>
      </c>
      <c r="F4708" t="s">
        <v>2678</v>
      </c>
      <c r="G4708" t="str">
        <f>IF(OrdersTable[[#This Row],[Order Date]]=_xlfn.MINIFS(Order_Date, Customer_ID, OrdersTable[[#This Row],[Customer ID]]), "New", "Repeat")</f>
        <v>Repeat</v>
      </c>
      <c r="H4708" t="s">
        <v>128</v>
      </c>
      <c r="I4708" t="str">
        <f>INDEX(State!B:B,MATCH(OrdersTable[[#This Row],[State]],State!A:A,0))</f>
        <v>DL</v>
      </c>
      <c r="J4708" t="str">
        <f>INDEX(State!C:C,MATCH(OrdersTable[[#This Row],[State Code]],State!B:B,0))</f>
        <v>North</v>
      </c>
      <c r="K4708" t="s">
        <v>129</v>
      </c>
      <c r="L4708" t="s">
        <v>50</v>
      </c>
      <c r="M4708" t="s">
        <v>66</v>
      </c>
      <c r="N4708" t="str">
        <f>INDEX(Products!B:B,MATCH(OrdersTable[[#This Row],[Product ID]],Products!A:A,0))</f>
        <v>Sunscreen SPF 50</v>
      </c>
      <c r="O4708" t="str">
        <f>INDEX(Products!C:C,MATCH(OrdersTable[[#This Row],[Product ID]],Products!A:A,0))</f>
        <v>Skincare</v>
      </c>
      <c r="P4708">
        <v>1</v>
      </c>
      <c r="Q4708" s="5">
        <v>449</v>
      </c>
      <c r="R4708" s="74">
        <v>0.05</v>
      </c>
      <c r="S4708" s="75">
        <f>OrdersTable[[#This Row],[Quantity]]*OrdersTable[[#This Row],[Unit Price]]</f>
        <v>449</v>
      </c>
      <c r="T4708" s="5">
        <f>OrdersTable[[#This Row],[Gross Sale]]*OrdersTable[[#This Row],[Discount_Clean2]]</f>
        <v>22.450000000000003</v>
      </c>
      <c r="U4708" s="5">
        <f>OrdersTable[[#This Row],[Gross Sale]]-OrdersTable[[#This Row],[Discount Amount]]</f>
        <v>426.55</v>
      </c>
      <c r="V4708" s="77">
        <f>INDEX(Products!E:E,MATCH(OrdersTable[[#This Row],[Product ID]],Products!A:A,0))</f>
        <v>144</v>
      </c>
      <c r="W4708" s="77">
        <f>OrdersTable[[#This Row],[Quantity]]*OrdersTable[[#This Row],[Unit Cost]]</f>
        <v>144</v>
      </c>
      <c r="X4708" s="77">
        <f>'Dropdown Lists'!$I$2*(1+OrdersTable[[#This Row],[Returned]])</f>
        <v>60</v>
      </c>
      <c r="Y4708" s="76">
        <f>OrdersTable[[#This Row],[Net Revenue]]-OrdersTable[[#This Row],[COGS]]-OrdersTable[[#This Row],[Shipping Cost]]</f>
        <v>222.55</v>
      </c>
      <c r="Z4708" s="78">
        <f>IFERROR(OrdersTable[[#This Row],[Profit]]/OrdersTable[[#This Row],[Net Revenue]],0)</f>
        <v>0.52174422693705313</v>
      </c>
      <c r="AA4708" t="s">
        <v>2522</v>
      </c>
      <c r="AB4708" s="79">
        <v>46005</v>
      </c>
      <c r="AC4708">
        <f>OrdersTable[[#This Row],[Delivery Date]]-OrdersTable[[#This Row],[Order Date]]</f>
        <v>2</v>
      </c>
      <c r="AD4708" t="str">
        <f>IF(OrdersTable[[#This Row],[Delivery Days]]&lt;=2, "Express (≤2d)", IF(OrdersTable[[#This Row],[Delivery Days]]&lt;=4, "Standard (3-4d)", "Delayed (5d+)"))</f>
        <v>Express (≤2d)</v>
      </c>
      <c r="AE4708">
        <v>5</v>
      </c>
      <c r="AF4708">
        <v>0</v>
      </c>
    </row>
    <row r="4709" spans="1:32" ht="15" x14ac:dyDescent="0.35">
      <c r="A4709" t="s">
        <v>2679</v>
      </c>
      <c r="B4709" s="1">
        <v>46003</v>
      </c>
      <c r="C4709">
        <f>YEAR(OrdersTable[[#This Row],[Order Date]])</f>
        <v>2025</v>
      </c>
      <c r="D4709" s="2">
        <f>DATE(YEAR(OrdersTable[[#This Row],[Order Date]]),MONTH(OrdersTable[[#This Row],[Order Date]]),1)</f>
        <v>45992</v>
      </c>
      <c r="E4709">
        <f>MONTH(OrdersTable[[#This Row],[Order Date]])</f>
        <v>12</v>
      </c>
      <c r="F4709" t="s">
        <v>2680</v>
      </c>
      <c r="G4709" t="str">
        <f>IF(OrdersTable[[#This Row],[Order Date]]=_xlfn.MINIFS(Order_Date, Customer_ID, OrdersTable[[#This Row],[Customer ID]]), "New", "Repeat")</f>
        <v>Repeat</v>
      </c>
      <c r="H4709" t="s">
        <v>32</v>
      </c>
      <c r="I4709" t="str">
        <f>INDEX(State!B:B,MATCH(OrdersTable[[#This Row],[State]],State!A:A,0))</f>
        <v>BR</v>
      </c>
      <c r="J4709" t="str">
        <f>INDEX(State!C:C,MATCH(OrdersTable[[#This Row],[State Code]],State!B:B,0))</f>
        <v>East</v>
      </c>
      <c r="K4709" t="s">
        <v>33</v>
      </c>
      <c r="L4709" t="s">
        <v>23</v>
      </c>
      <c r="M4709" t="s">
        <v>160</v>
      </c>
      <c r="N4709" t="str">
        <f>INDEX(Products!B:B,MATCH(OrdersTable[[#This Row],[Product ID]],Products!A:A,0))</f>
        <v>Niacinamide Toner</v>
      </c>
      <c r="O4709" t="str">
        <f>INDEX(Products!C:C,MATCH(OrdersTable[[#This Row],[Product ID]],Products!A:A,0))</f>
        <v>Skincare</v>
      </c>
      <c r="P4709">
        <v>1</v>
      </c>
      <c r="Q4709" s="5">
        <v>399</v>
      </c>
      <c r="R4709" s="74">
        <v>0.15</v>
      </c>
      <c r="S4709" s="75">
        <f>OrdersTable[[#This Row],[Quantity]]*OrdersTable[[#This Row],[Unit Price]]</f>
        <v>399</v>
      </c>
      <c r="T4709" s="5">
        <f>OrdersTable[[#This Row],[Gross Sale]]*OrdersTable[[#This Row],[Discount_Clean2]]</f>
        <v>59.849999999999994</v>
      </c>
      <c r="U4709" s="5">
        <f>OrdersTable[[#This Row],[Gross Sale]]-OrdersTable[[#This Row],[Discount Amount]]</f>
        <v>339.15</v>
      </c>
      <c r="V4709" s="77">
        <f>INDEX(Products!E:E,MATCH(OrdersTable[[#This Row],[Product ID]],Products!A:A,0))</f>
        <v>112</v>
      </c>
      <c r="W4709" s="77">
        <f>OrdersTable[[#This Row],[Quantity]]*OrdersTable[[#This Row],[Unit Cost]]</f>
        <v>112</v>
      </c>
      <c r="X4709" s="77">
        <f>'Dropdown Lists'!$I$2*(1+OrdersTable[[#This Row],[Returned]])</f>
        <v>60</v>
      </c>
      <c r="Y4709" s="76">
        <f>OrdersTable[[#This Row],[Net Revenue]]-OrdersTable[[#This Row],[COGS]]-OrdersTable[[#This Row],[Shipping Cost]]</f>
        <v>167.14999999999998</v>
      </c>
      <c r="Z4709" s="78">
        <f>IFERROR(OrdersTable[[#This Row],[Profit]]/OrdersTable[[#This Row],[Net Revenue]],0)</f>
        <v>0.49284977148754233</v>
      </c>
      <c r="AA4709" t="s">
        <v>2522</v>
      </c>
      <c r="AB4709" s="79">
        <v>46009</v>
      </c>
      <c r="AC4709">
        <f>OrdersTable[[#This Row],[Delivery Date]]-OrdersTable[[#This Row],[Order Date]]</f>
        <v>6</v>
      </c>
      <c r="AD4709" t="str">
        <f>IF(OrdersTable[[#This Row],[Delivery Days]]&lt;=2, "Express (≤2d)", IF(OrdersTable[[#This Row],[Delivery Days]]&lt;=4, "Standard (3-4d)", "Delayed (5d+)"))</f>
        <v>Delayed (5d+)</v>
      </c>
      <c r="AE4709">
        <v>5</v>
      </c>
      <c r="AF4709">
        <v>0</v>
      </c>
    </row>
    <row r="4710" spans="1:32" ht="15" x14ac:dyDescent="0.35">
      <c r="A4710" t="s">
        <v>7043</v>
      </c>
      <c r="B4710" s="1">
        <v>46003</v>
      </c>
      <c r="C4710">
        <f>YEAR(OrdersTable[[#This Row],[Order Date]])</f>
        <v>2025</v>
      </c>
      <c r="D4710" s="2">
        <f>DATE(YEAR(OrdersTable[[#This Row],[Order Date]]),MONTH(OrdersTable[[#This Row],[Order Date]]),1)</f>
        <v>45992</v>
      </c>
      <c r="E4710">
        <f>MONTH(OrdersTable[[#This Row],[Order Date]])</f>
        <v>12</v>
      </c>
      <c r="F4710" t="s">
        <v>3219</v>
      </c>
      <c r="G4710" t="str">
        <f>IF(OrdersTable[[#This Row],[Order Date]]=_xlfn.MINIFS(Order_Date, Customer_ID, OrdersTable[[#This Row],[Customer ID]]), "New", "Repeat")</f>
        <v>Repeat</v>
      </c>
      <c r="H4710" t="s">
        <v>71</v>
      </c>
      <c r="I4710" t="str">
        <f>INDEX(State!B:B,MATCH(OrdersTable[[#This Row],[State]],State!A:A,0))</f>
        <v>MH</v>
      </c>
      <c r="J4710" t="str">
        <f>INDEX(State!C:C,MATCH(OrdersTable[[#This Row],[State Code]],State!B:B,0))</f>
        <v>West</v>
      </c>
      <c r="K4710" t="s">
        <v>81</v>
      </c>
      <c r="L4710" t="s">
        <v>65</v>
      </c>
      <c r="M4710" t="s">
        <v>24</v>
      </c>
      <c r="N4710" t="str">
        <f>INDEX(Products!B:B,MATCH(OrdersTable[[#This Row],[Product ID]],Products!A:A,0))</f>
        <v>Scented Candle Set</v>
      </c>
      <c r="O4710" t="str">
        <f>INDEX(Products!C:C,MATCH(OrdersTable[[#This Row],[Product ID]],Products!A:A,0))</f>
        <v>Home &amp; Kitchen</v>
      </c>
      <c r="P4710">
        <v>4</v>
      </c>
      <c r="Q4710" s="5">
        <v>699</v>
      </c>
      <c r="R4710" s="74">
        <v>0.2</v>
      </c>
      <c r="S4710" s="75">
        <f>OrdersTable[[#This Row],[Quantity]]*OrdersTable[[#This Row],[Unit Price]]</f>
        <v>2796</v>
      </c>
      <c r="T4710" s="5">
        <f>OrdersTable[[#This Row],[Gross Sale]]*OrdersTable[[#This Row],[Discount_Clean2]]</f>
        <v>559.20000000000005</v>
      </c>
      <c r="U4710" s="5">
        <f>OrdersTable[[#This Row],[Gross Sale]]-OrdersTable[[#This Row],[Discount Amount]]</f>
        <v>2236.8000000000002</v>
      </c>
      <c r="V4710" s="77">
        <f>INDEX(Products!E:E,MATCH(OrdersTable[[#This Row],[Product ID]],Products!A:A,0))</f>
        <v>245</v>
      </c>
      <c r="W4710" s="77">
        <f>OrdersTable[[#This Row],[Quantity]]*OrdersTable[[#This Row],[Unit Cost]]</f>
        <v>980</v>
      </c>
      <c r="X4710" s="77">
        <f>'Dropdown Lists'!$I$2*(1+OrdersTable[[#This Row],[Returned]])</f>
        <v>60</v>
      </c>
      <c r="Y4710" s="76">
        <f>OrdersTable[[#This Row],[Net Revenue]]-OrdersTable[[#This Row],[COGS]]-OrdersTable[[#This Row],[Shipping Cost]]</f>
        <v>1196.8000000000002</v>
      </c>
      <c r="Z4710" s="78">
        <f>IFERROR(OrdersTable[[#This Row],[Profit]]/OrdersTable[[#This Row],[Net Revenue]],0)</f>
        <v>0.53505007153075823</v>
      </c>
      <c r="AA4710" t="s">
        <v>3495</v>
      </c>
      <c r="AB4710" s="79">
        <v>46005</v>
      </c>
      <c r="AC4710">
        <f>OrdersTable[[#This Row],[Delivery Date]]-OrdersTable[[#This Row],[Order Date]]</f>
        <v>2</v>
      </c>
      <c r="AD4710" t="str">
        <f>IF(OrdersTable[[#This Row],[Delivery Days]]&lt;=2, "Express (≤2d)", IF(OrdersTable[[#This Row],[Delivery Days]]&lt;=4, "Standard (3-4d)", "Delayed (5d+)"))</f>
        <v>Express (≤2d)</v>
      </c>
      <c r="AE4710">
        <v>3</v>
      </c>
      <c r="AF4710">
        <v>0</v>
      </c>
    </row>
    <row r="4711" spans="1:32" ht="15" x14ac:dyDescent="0.35">
      <c r="A4711" t="s">
        <v>5645</v>
      </c>
      <c r="B4711" s="1">
        <v>46003</v>
      </c>
      <c r="C4711">
        <f>YEAR(OrdersTable[[#This Row],[Order Date]])</f>
        <v>2025</v>
      </c>
      <c r="D4711" s="2">
        <f>DATE(YEAR(OrdersTable[[#This Row],[Order Date]]),MONTH(OrdersTable[[#This Row],[Order Date]]),1)</f>
        <v>45992</v>
      </c>
      <c r="E4711">
        <f>MONTH(OrdersTable[[#This Row],[Order Date]])</f>
        <v>12</v>
      </c>
      <c r="F4711" t="s">
        <v>1089</v>
      </c>
      <c r="G4711" t="str">
        <f>IF(OrdersTable[[#This Row],[Order Date]]=_xlfn.MINIFS(Order_Date, Customer_ID, OrdersTable[[#This Row],[Customer ID]]), "New", "Repeat")</f>
        <v>Repeat</v>
      </c>
      <c r="H4711" t="s">
        <v>95</v>
      </c>
      <c r="I4711" t="str">
        <f>INDEX(State!B:B,MATCH(OrdersTable[[#This Row],[State]],State!A:A,0))</f>
        <v>TG</v>
      </c>
      <c r="J4711" t="str">
        <f>INDEX(State!C:C,MATCH(OrdersTable[[#This Row],[State Code]],State!B:B,0))</f>
        <v>South</v>
      </c>
      <c r="K4711" t="s">
        <v>96</v>
      </c>
      <c r="L4711" t="s">
        <v>50</v>
      </c>
      <c r="M4711" t="s">
        <v>51</v>
      </c>
      <c r="N4711" t="str">
        <f>INDEX(Products!B:B,MATCH(OrdersTable[[#This Row],[Product ID]],Products!A:A,0))</f>
        <v>Anti-Dandruff Conditioner</v>
      </c>
      <c r="O4711" t="str">
        <f>INDEX(Products!C:C,MATCH(OrdersTable[[#This Row],[Product ID]],Products!A:A,0))</f>
        <v>Haircare</v>
      </c>
      <c r="P4711">
        <v>2</v>
      </c>
      <c r="Q4711" s="5">
        <v>399</v>
      </c>
      <c r="R4711" s="74">
        <v>0.35</v>
      </c>
      <c r="S4711" s="75">
        <f>OrdersTable[[#This Row],[Quantity]]*OrdersTable[[#This Row],[Unit Price]]</f>
        <v>798</v>
      </c>
      <c r="T4711" s="5">
        <f>OrdersTable[[#This Row],[Gross Sale]]*OrdersTable[[#This Row],[Discount_Clean2]]</f>
        <v>279.29999999999995</v>
      </c>
      <c r="U4711" s="5">
        <f>OrdersTable[[#This Row],[Gross Sale]]-OrdersTable[[#This Row],[Discount Amount]]</f>
        <v>518.70000000000005</v>
      </c>
      <c r="V4711" s="77">
        <f>INDEX(Products!E:E,MATCH(OrdersTable[[#This Row],[Product ID]],Products!A:A,0))</f>
        <v>136</v>
      </c>
      <c r="W4711" s="77">
        <f>OrdersTable[[#This Row],[Quantity]]*OrdersTable[[#This Row],[Unit Cost]]</f>
        <v>272</v>
      </c>
      <c r="X4711" s="77">
        <f>'Dropdown Lists'!$I$2*(1+OrdersTable[[#This Row],[Returned]])</f>
        <v>60</v>
      </c>
      <c r="Y4711" s="76">
        <f>OrdersTable[[#This Row],[Net Revenue]]-OrdersTable[[#This Row],[COGS]]-OrdersTable[[#This Row],[Shipping Cost]]</f>
        <v>186.70000000000005</v>
      </c>
      <c r="Z4711" s="78">
        <f>IFERROR(OrdersTable[[#This Row],[Profit]]/OrdersTable[[#This Row],[Net Revenue]],0)</f>
        <v>0.35993830730672843</v>
      </c>
      <c r="AA4711" t="s">
        <v>2522</v>
      </c>
      <c r="AB4711" s="79">
        <v>46004</v>
      </c>
      <c r="AC4711">
        <f>OrdersTable[[#This Row],[Delivery Date]]-OrdersTable[[#This Row],[Order Date]]</f>
        <v>1</v>
      </c>
      <c r="AD4711" t="str">
        <f>IF(OrdersTable[[#This Row],[Delivery Days]]&lt;=2, "Express (≤2d)", IF(OrdersTable[[#This Row],[Delivery Days]]&lt;=4, "Standard (3-4d)", "Delayed (5d+)"))</f>
        <v>Express (≤2d)</v>
      </c>
      <c r="AF4711">
        <v>0</v>
      </c>
    </row>
    <row r="4712" spans="1:32" ht="15" x14ac:dyDescent="0.35">
      <c r="A4712" t="s">
        <v>4314</v>
      </c>
      <c r="B4712" s="1">
        <v>46004</v>
      </c>
      <c r="C4712">
        <f>YEAR(OrdersTable[[#This Row],[Order Date]])</f>
        <v>2025</v>
      </c>
      <c r="D4712" s="2">
        <f>DATE(YEAR(OrdersTable[[#This Row],[Order Date]]),MONTH(OrdersTable[[#This Row],[Order Date]]),1)</f>
        <v>45992</v>
      </c>
      <c r="E4712">
        <f>MONTH(OrdersTable[[#This Row],[Order Date]])</f>
        <v>12</v>
      </c>
      <c r="F4712" t="s">
        <v>4315</v>
      </c>
      <c r="G4712" t="str">
        <f>IF(OrdersTable[[#This Row],[Order Date]]=_xlfn.MINIFS(Order_Date, Customer_ID, OrdersTable[[#This Row],[Customer ID]]), "New", "Repeat")</f>
        <v>Repeat</v>
      </c>
      <c r="H4712" t="s">
        <v>37</v>
      </c>
      <c r="I4712" t="str">
        <f>INDEX(State!B:B,MATCH(OrdersTable[[#This Row],[State]],State!A:A,0))</f>
        <v>GJ</v>
      </c>
      <c r="J4712" t="str">
        <f>INDEX(State!C:C,MATCH(OrdersTable[[#This Row],[State Code]],State!B:B,0))</f>
        <v>West</v>
      </c>
      <c r="K4712" t="s">
        <v>247</v>
      </c>
      <c r="L4712" t="s">
        <v>23</v>
      </c>
      <c r="M4712" t="s">
        <v>73</v>
      </c>
      <c r="N4712" t="str">
        <f>INDEX(Products!B:B,MATCH(OrdersTable[[#This Row],[Product ID]],Products!A:A,0))</f>
        <v>Hydrating Face Wash</v>
      </c>
      <c r="O4712" t="str">
        <f>INDEX(Products!C:C,MATCH(OrdersTable[[#This Row],[Product ID]],Products!A:A,0))</f>
        <v>Skincare</v>
      </c>
      <c r="P4712">
        <v>1</v>
      </c>
      <c r="Q4712" s="5">
        <v>299</v>
      </c>
      <c r="R4712" s="74">
        <v>0</v>
      </c>
      <c r="S4712" s="75">
        <f>OrdersTable[[#This Row],[Quantity]]*OrdersTable[[#This Row],[Unit Price]]</f>
        <v>299</v>
      </c>
      <c r="T4712" s="5">
        <f>OrdersTable[[#This Row],[Gross Sale]]*OrdersTable[[#This Row],[Discount_Clean2]]</f>
        <v>0</v>
      </c>
      <c r="U4712" s="5">
        <f>OrdersTable[[#This Row],[Gross Sale]]-OrdersTable[[#This Row],[Discount Amount]]</f>
        <v>299</v>
      </c>
      <c r="V4712" s="77">
        <f>INDEX(Products!E:E,MATCH(OrdersTable[[#This Row],[Product ID]],Products!A:A,0))</f>
        <v>90</v>
      </c>
      <c r="W4712" s="77">
        <f>OrdersTable[[#This Row],[Quantity]]*OrdersTable[[#This Row],[Unit Cost]]</f>
        <v>90</v>
      </c>
      <c r="X4712" s="77">
        <f>'Dropdown Lists'!$I$2*(1+OrdersTable[[#This Row],[Returned]])</f>
        <v>60</v>
      </c>
      <c r="Y4712" s="76">
        <f>OrdersTable[[#This Row],[Net Revenue]]-OrdersTable[[#This Row],[COGS]]-OrdersTable[[#This Row],[Shipping Cost]]</f>
        <v>149</v>
      </c>
      <c r="Z4712" s="78">
        <f>IFERROR(OrdersTable[[#This Row],[Profit]]/OrdersTable[[#This Row],[Net Revenue]],0)</f>
        <v>0.49832775919732442</v>
      </c>
      <c r="AA4712" t="s">
        <v>4074</v>
      </c>
      <c r="AB4712" s="79">
        <v>46007</v>
      </c>
      <c r="AC4712">
        <f>OrdersTable[[#This Row],[Delivery Date]]-OrdersTable[[#This Row],[Order Date]]</f>
        <v>3</v>
      </c>
      <c r="AD4712" t="str">
        <f>IF(OrdersTable[[#This Row],[Delivery Days]]&lt;=2, "Express (≤2d)", IF(OrdersTable[[#This Row],[Delivery Days]]&lt;=4, "Standard (3-4d)", "Delayed (5d+)"))</f>
        <v>Standard (3-4d)</v>
      </c>
      <c r="AF4712">
        <v>0</v>
      </c>
    </row>
    <row r="4713" spans="1:32" ht="15" x14ac:dyDescent="0.35">
      <c r="A4713" t="s">
        <v>4316</v>
      </c>
      <c r="B4713" s="1">
        <v>46004</v>
      </c>
      <c r="C4713">
        <f>YEAR(OrdersTable[[#This Row],[Order Date]])</f>
        <v>2025</v>
      </c>
      <c r="D4713" s="2">
        <f>DATE(YEAR(OrdersTable[[#This Row],[Order Date]]),MONTH(OrdersTable[[#This Row],[Order Date]]),1)</f>
        <v>45992</v>
      </c>
      <c r="E4713">
        <f>MONTH(OrdersTable[[#This Row],[Order Date]])</f>
        <v>12</v>
      </c>
      <c r="F4713" t="s">
        <v>4317</v>
      </c>
      <c r="G4713" t="str">
        <f>IF(OrdersTable[[#This Row],[Order Date]]=_xlfn.MINIFS(Order_Date, Customer_ID, OrdersTable[[#This Row],[Customer ID]]), "New", "Repeat")</f>
        <v>New</v>
      </c>
      <c r="H4713" t="s">
        <v>37</v>
      </c>
      <c r="I4713" t="str">
        <f>INDEX(State!B:B,MATCH(OrdersTable[[#This Row],[State]],State!A:A,0))</f>
        <v>GJ</v>
      </c>
      <c r="J4713" t="str">
        <f>INDEX(State!C:C,MATCH(OrdersTable[[#This Row],[State Code]],State!B:B,0))</f>
        <v>West</v>
      </c>
      <c r="K4713" t="s">
        <v>38</v>
      </c>
      <c r="L4713" t="s">
        <v>65</v>
      </c>
      <c r="M4713" t="s">
        <v>109</v>
      </c>
      <c r="N4713" t="str">
        <f>INDEX(Products!B:B,MATCH(OrdersTable[[#This Row],[Product ID]],Products!A:A,0))</f>
        <v>Onion Hair Oil</v>
      </c>
      <c r="O4713" t="str">
        <f>INDEX(Products!C:C,MATCH(OrdersTable[[#This Row],[Product ID]],Products!A:A,0))</f>
        <v>Haircare</v>
      </c>
      <c r="P4713">
        <v>1</v>
      </c>
      <c r="Q4713" s="5">
        <v>349</v>
      </c>
      <c r="R4713" s="74">
        <v>0.25</v>
      </c>
      <c r="S4713" s="75">
        <f>OrdersTable[[#This Row],[Quantity]]*OrdersTable[[#This Row],[Unit Price]]</f>
        <v>349</v>
      </c>
      <c r="T4713" s="5">
        <f>OrdersTable[[#This Row],[Gross Sale]]*OrdersTable[[#This Row],[Discount_Clean2]]</f>
        <v>87.25</v>
      </c>
      <c r="U4713" s="5">
        <f>OrdersTable[[#This Row],[Gross Sale]]-OrdersTable[[#This Row],[Discount Amount]]</f>
        <v>261.75</v>
      </c>
      <c r="V4713" s="77">
        <f>INDEX(Products!E:E,MATCH(OrdersTable[[#This Row],[Product ID]],Products!A:A,0))</f>
        <v>105</v>
      </c>
      <c r="W4713" s="77">
        <f>OrdersTable[[#This Row],[Quantity]]*OrdersTable[[#This Row],[Unit Cost]]</f>
        <v>105</v>
      </c>
      <c r="X4713" s="77">
        <f>'Dropdown Lists'!$I$2*(1+OrdersTable[[#This Row],[Returned]])</f>
        <v>60</v>
      </c>
      <c r="Y4713" s="76">
        <f>OrdersTable[[#This Row],[Net Revenue]]-OrdersTable[[#This Row],[COGS]]-OrdersTable[[#This Row],[Shipping Cost]]</f>
        <v>96.75</v>
      </c>
      <c r="Z4713" s="78">
        <f>IFERROR(OrdersTable[[#This Row],[Profit]]/OrdersTable[[#This Row],[Net Revenue]],0)</f>
        <v>0.36962750716332377</v>
      </c>
      <c r="AA4713" t="s">
        <v>4074</v>
      </c>
      <c r="AB4713" s="79">
        <v>46008</v>
      </c>
      <c r="AC4713">
        <f>OrdersTable[[#This Row],[Delivery Date]]-OrdersTable[[#This Row],[Order Date]]</f>
        <v>4</v>
      </c>
      <c r="AD4713" t="str">
        <f>IF(OrdersTable[[#This Row],[Delivery Days]]&lt;=2, "Express (≤2d)", IF(OrdersTable[[#This Row],[Delivery Days]]&lt;=4, "Standard (3-4d)", "Delayed (5d+)"))</f>
        <v>Standard (3-4d)</v>
      </c>
      <c r="AF4713">
        <v>0</v>
      </c>
    </row>
    <row r="4714" spans="1:32" ht="15" x14ac:dyDescent="0.35">
      <c r="A4714" t="s">
        <v>2066</v>
      </c>
      <c r="B4714" s="1">
        <v>46004</v>
      </c>
      <c r="C4714">
        <f>YEAR(OrdersTable[[#This Row],[Order Date]])</f>
        <v>2025</v>
      </c>
      <c r="D4714" s="2">
        <f>DATE(YEAR(OrdersTable[[#This Row],[Order Date]]),MONTH(OrdersTable[[#This Row],[Order Date]]),1)</f>
        <v>45992</v>
      </c>
      <c r="E4714">
        <f>MONTH(OrdersTable[[#This Row],[Order Date]])</f>
        <v>12</v>
      </c>
      <c r="F4714" t="s">
        <v>1241</v>
      </c>
      <c r="G4714" t="str">
        <f>IF(OrdersTable[[#This Row],[Order Date]]=_xlfn.MINIFS(Order_Date, Customer_ID, OrdersTable[[#This Row],[Customer ID]]), "New", "Repeat")</f>
        <v>Repeat</v>
      </c>
      <c r="H4714" t="s">
        <v>27</v>
      </c>
      <c r="I4714" t="str">
        <f>INDEX(State!B:B,MATCH(OrdersTable[[#This Row],[State]],State!A:A,0))</f>
        <v>WB</v>
      </c>
      <c r="J4714" t="str">
        <f>INDEX(State!C:C,MATCH(OrdersTable[[#This Row],[State Code]],State!B:B,0))</f>
        <v>East</v>
      </c>
      <c r="K4714" t="s">
        <v>28</v>
      </c>
      <c r="L4714" t="s">
        <v>16</v>
      </c>
      <c r="M4714" t="s">
        <v>29</v>
      </c>
      <c r="N4714" t="str">
        <f>INDEX(Products!B:B,MATCH(OrdersTable[[#This Row],[Product ID]],Products!A:A,0))</f>
        <v>Joggers</v>
      </c>
      <c r="O4714" t="str">
        <f>INDEX(Products!C:C,MATCH(OrdersTable[[#This Row],[Product ID]],Products!A:A,0))</f>
        <v>Apparel</v>
      </c>
      <c r="P4714">
        <v>1</v>
      </c>
      <c r="Q4714" s="5">
        <v>1199</v>
      </c>
      <c r="R4714" s="74">
        <v>0.1</v>
      </c>
      <c r="S4714" s="75">
        <f>OrdersTable[[#This Row],[Quantity]]*OrdersTable[[#This Row],[Unit Price]]</f>
        <v>1199</v>
      </c>
      <c r="T4714" s="5">
        <f>OrdersTable[[#This Row],[Gross Sale]]*OrdersTable[[#This Row],[Discount_Clean2]]</f>
        <v>119.9</v>
      </c>
      <c r="U4714" s="5">
        <f>OrdersTable[[#This Row],[Gross Sale]]-OrdersTable[[#This Row],[Discount Amount]]</f>
        <v>1079.0999999999999</v>
      </c>
      <c r="V4714" s="77">
        <f>INDEX(Products!E:E,MATCH(OrdersTable[[#This Row],[Product ID]],Products!A:A,0))</f>
        <v>492</v>
      </c>
      <c r="W4714" s="77">
        <f>OrdersTable[[#This Row],[Quantity]]*OrdersTable[[#This Row],[Unit Cost]]</f>
        <v>492</v>
      </c>
      <c r="X4714" s="77">
        <f>'Dropdown Lists'!$I$2*(1+OrdersTable[[#This Row],[Returned]])</f>
        <v>60</v>
      </c>
      <c r="Y4714" s="76">
        <f>OrdersTable[[#This Row],[Net Revenue]]-OrdersTable[[#This Row],[COGS]]-OrdersTable[[#This Row],[Shipping Cost]]</f>
        <v>527.09999999999991</v>
      </c>
      <c r="Z4714" s="78">
        <f>IFERROR(OrdersTable[[#This Row],[Profit]]/OrdersTable[[#This Row],[Net Revenue]],0)</f>
        <v>0.48846260772866273</v>
      </c>
      <c r="AA4714" t="s">
        <v>18</v>
      </c>
      <c r="AB4714" s="79">
        <v>46008</v>
      </c>
      <c r="AC4714">
        <f>OrdersTable[[#This Row],[Delivery Date]]-OrdersTable[[#This Row],[Order Date]]</f>
        <v>4</v>
      </c>
      <c r="AD4714" t="str">
        <f>IF(OrdersTable[[#This Row],[Delivery Days]]&lt;=2, "Express (≤2d)", IF(OrdersTable[[#This Row],[Delivery Days]]&lt;=4, "Standard (3-4d)", "Delayed (5d+)"))</f>
        <v>Standard (3-4d)</v>
      </c>
      <c r="AE4714">
        <v>3</v>
      </c>
      <c r="AF4714">
        <v>0</v>
      </c>
    </row>
    <row r="4715" spans="1:32" ht="15" x14ac:dyDescent="0.35">
      <c r="A4715" t="s">
        <v>5560</v>
      </c>
      <c r="B4715" s="1">
        <v>46004</v>
      </c>
      <c r="C4715">
        <f>YEAR(OrdersTable[[#This Row],[Order Date]])</f>
        <v>2025</v>
      </c>
      <c r="D4715" s="2">
        <f>DATE(YEAR(OrdersTable[[#This Row],[Order Date]]),MONTH(OrdersTable[[#This Row],[Order Date]]),1)</f>
        <v>45992</v>
      </c>
      <c r="E4715">
        <f>MONTH(OrdersTable[[#This Row],[Order Date]])</f>
        <v>12</v>
      </c>
      <c r="F4715" t="s">
        <v>1412</v>
      </c>
      <c r="G4715" t="str">
        <f>IF(OrdersTable[[#This Row],[Order Date]]=_xlfn.MINIFS(Order_Date, Customer_ID, OrdersTable[[#This Row],[Customer ID]]), "New", "Repeat")</f>
        <v>Repeat</v>
      </c>
      <c r="H4715" t="s">
        <v>71</v>
      </c>
      <c r="I4715" t="str">
        <f>INDEX(State!B:B,MATCH(OrdersTable[[#This Row],[State]],State!A:A,0))</f>
        <v>MH</v>
      </c>
      <c r="J4715" t="str">
        <f>INDEX(State!C:C,MATCH(OrdersTable[[#This Row],[State Code]],State!B:B,0))</f>
        <v>West</v>
      </c>
      <c r="K4715" t="s">
        <v>72</v>
      </c>
      <c r="L4715" t="s">
        <v>16</v>
      </c>
      <c r="M4715" t="s">
        <v>87</v>
      </c>
      <c r="N4715" t="str">
        <f>INDEX(Products!B:B,MATCH(OrdersTable[[#This Row],[Product ID]],Products!A:A,0))</f>
        <v>Linen Kurta</v>
      </c>
      <c r="O4715" t="str">
        <f>INDEX(Products!C:C,MATCH(OrdersTable[[#This Row],[Product ID]],Products!A:A,0))</f>
        <v>Apparel</v>
      </c>
      <c r="P4715">
        <v>2</v>
      </c>
      <c r="Q4715" s="5">
        <v>1499</v>
      </c>
      <c r="R4715" s="74">
        <v>0.3</v>
      </c>
      <c r="S4715" s="75">
        <f>OrdersTable[[#This Row],[Quantity]]*OrdersTable[[#This Row],[Unit Price]]</f>
        <v>2998</v>
      </c>
      <c r="T4715" s="5">
        <f>OrdersTable[[#This Row],[Gross Sale]]*OrdersTable[[#This Row],[Discount_Clean2]]</f>
        <v>899.4</v>
      </c>
      <c r="U4715" s="5">
        <f>OrdersTable[[#This Row],[Gross Sale]]-OrdersTable[[#This Row],[Discount Amount]]</f>
        <v>2098.6</v>
      </c>
      <c r="V4715" s="77">
        <f>INDEX(Products!E:E,MATCH(OrdersTable[[#This Row],[Product ID]],Products!A:A,0))</f>
        <v>630</v>
      </c>
      <c r="W4715" s="77">
        <f>OrdersTable[[#This Row],[Quantity]]*OrdersTable[[#This Row],[Unit Cost]]</f>
        <v>1260</v>
      </c>
      <c r="X4715" s="77">
        <f>'Dropdown Lists'!$I$2*(1+OrdersTable[[#This Row],[Returned]])</f>
        <v>60</v>
      </c>
      <c r="Y4715" s="76">
        <f>OrdersTable[[#This Row],[Net Revenue]]-OrdersTable[[#This Row],[COGS]]-OrdersTable[[#This Row],[Shipping Cost]]</f>
        <v>778.59999999999991</v>
      </c>
      <c r="Z4715" s="78">
        <f>IFERROR(OrdersTable[[#This Row],[Profit]]/OrdersTable[[#This Row],[Net Revenue]],0)</f>
        <v>0.3710092442580768</v>
      </c>
      <c r="AA4715" t="s">
        <v>2522</v>
      </c>
      <c r="AB4715" s="79">
        <v>46005</v>
      </c>
      <c r="AC4715">
        <f>OrdersTable[[#This Row],[Delivery Date]]-OrdersTable[[#This Row],[Order Date]]</f>
        <v>1</v>
      </c>
      <c r="AD4715" t="str">
        <f>IF(OrdersTable[[#This Row],[Delivery Days]]&lt;=2, "Express (≤2d)", IF(OrdersTable[[#This Row],[Delivery Days]]&lt;=4, "Standard (3-4d)", "Delayed (5d+)"))</f>
        <v>Express (≤2d)</v>
      </c>
      <c r="AE4715">
        <v>4</v>
      </c>
      <c r="AF4715">
        <v>0</v>
      </c>
    </row>
    <row r="4716" spans="1:32" ht="15" x14ac:dyDescent="0.35">
      <c r="A4716" t="s">
        <v>3381</v>
      </c>
      <c r="B4716" s="1">
        <v>46004</v>
      </c>
      <c r="C4716">
        <f>YEAR(OrdersTable[[#This Row],[Order Date]])</f>
        <v>2025</v>
      </c>
      <c r="D4716" s="2">
        <f>DATE(YEAR(OrdersTable[[#This Row],[Order Date]]),MONTH(OrdersTable[[#This Row],[Order Date]]),1)</f>
        <v>45992</v>
      </c>
      <c r="E4716">
        <f>MONTH(OrdersTable[[#This Row],[Order Date]])</f>
        <v>12</v>
      </c>
      <c r="F4716" t="s">
        <v>588</v>
      </c>
      <c r="G4716" t="str">
        <f>IF(OrdersTable[[#This Row],[Order Date]]=_xlfn.MINIFS(Order_Date, Customer_ID, OrdersTable[[#This Row],[Customer ID]]), "New", "Repeat")</f>
        <v>Repeat</v>
      </c>
      <c r="H4716" t="s">
        <v>90</v>
      </c>
      <c r="I4716" t="str">
        <f>INDEX(State!B:B,MATCH(OrdersTable[[#This Row],[State]],State!A:A,0))</f>
        <v>GA</v>
      </c>
      <c r="J4716" t="str">
        <f>INDEX(State!C:C,MATCH(OrdersTable[[#This Row],[State Code]],State!B:B,0))</f>
        <v>West</v>
      </c>
      <c r="K4716" t="s">
        <v>91</v>
      </c>
      <c r="L4716" t="s">
        <v>16</v>
      </c>
      <c r="M4716" t="s">
        <v>576</v>
      </c>
      <c r="N4716" t="str">
        <f>INDEX(Products!B:B,MATCH(OrdersTable[[#This Row],[Product ID]],Products!A:A,0))</f>
        <v>Printed Saree</v>
      </c>
      <c r="O4716" t="str">
        <f>INDEX(Products!C:C,MATCH(OrdersTable[[#This Row],[Product ID]],Products!A:A,0))</f>
        <v>Apparel</v>
      </c>
      <c r="P4716">
        <v>1</v>
      </c>
      <c r="Q4716" s="5">
        <v>1999</v>
      </c>
      <c r="R4716" s="74">
        <v>0.1</v>
      </c>
      <c r="S4716" s="75">
        <f>OrdersTable[[#This Row],[Quantity]]*OrdersTable[[#This Row],[Unit Price]]</f>
        <v>1999</v>
      </c>
      <c r="T4716" s="5">
        <f>OrdersTable[[#This Row],[Gross Sale]]*OrdersTable[[#This Row],[Discount_Clean2]]</f>
        <v>199.9</v>
      </c>
      <c r="U4716" s="5">
        <f>OrdersTable[[#This Row],[Gross Sale]]-OrdersTable[[#This Row],[Discount Amount]]</f>
        <v>1799.1</v>
      </c>
      <c r="V4716" s="77">
        <f>INDEX(Products!E:E,MATCH(OrdersTable[[#This Row],[Product ID]],Products!A:A,0))</f>
        <v>880</v>
      </c>
      <c r="W4716" s="77">
        <f>OrdersTable[[#This Row],[Quantity]]*OrdersTable[[#This Row],[Unit Cost]]</f>
        <v>880</v>
      </c>
      <c r="X4716" s="77">
        <f>'Dropdown Lists'!$I$2*(1+OrdersTable[[#This Row],[Returned]])</f>
        <v>60</v>
      </c>
      <c r="Y4716" s="76">
        <f>OrdersTable[[#This Row],[Net Revenue]]-OrdersTable[[#This Row],[COGS]]-OrdersTable[[#This Row],[Shipping Cost]]</f>
        <v>859.09999999999991</v>
      </c>
      <c r="Z4716" s="78">
        <f>IFERROR(OrdersTable[[#This Row],[Profit]]/OrdersTable[[#This Row],[Net Revenue]],0)</f>
        <v>0.47751653604580063</v>
      </c>
      <c r="AA4716" t="s">
        <v>2522</v>
      </c>
      <c r="AB4716" s="79">
        <v>46008</v>
      </c>
      <c r="AC4716">
        <f>OrdersTable[[#This Row],[Delivery Date]]-OrdersTable[[#This Row],[Order Date]]</f>
        <v>4</v>
      </c>
      <c r="AD4716" t="str">
        <f>IF(OrdersTable[[#This Row],[Delivery Days]]&lt;=2, "Express (≤2d)", IF(OrdersTable[[#This Row],[Delivery Days]]&lt;=4, "Standard (3-4d)", "Delayed (5d+)"))</f>
        <v>Standard (3-4d)</v>
      </c>
      <c r="AE4716">
        <v>4</v>
      </c>
      <c r="AF4716">
        <v>0</v>
      </c>
    </row>
    <row r="4717" spans="1:32" ht="15" x14ac:dyDescent="0.35">
      <c r="A4717" t="s">
        <v>711</v>
      </c>
      <c r="B4717" s="1">
        <v>46005</v>
      </c>
      <c r="C4717">
        <f>YEAR(OrdersTable[[#This Row],[Order Date]])</f>
        <v>2025</v>
      </c>
      <c r="D4717" s="2">
        <f>DATE(YEAR(OrdersTable[[#This Row],[Order Date]]),MONTH(OrdersTable[[#This Row],[Order Date]]),1)</f>
        <v>45992</v>
      </c>
      <c r="E4717">
        <f>MONTH(OrdersTable[[#This Row],[Order Date]])</f>
        <v>12</v>
      </c>
      <c r="F4717" t="s">
        <v>356</v>
      </c>
      <c r="G4717" t="str">
        <f>IF(OrdersTable[[#This Row],[Order Date]]=_xlfn.MINIFS(Order_Date, Customer_ID, OrdersTable[[#This Row],[Customer ID]]), "New", "Repeat")</f>
        <v>Repeat</v>
      </c>
      <c r="H4717" t="s">
        <v>54</v>
      </c>
      <c r="I4717" t="str">
        <f>INDEX(State!B:B,MATCH(OrdersTable[[#This Row],[State]],State!A:A,0))</f>
        <v>RJ</v>
      </c>
      <c r="J4717" t="str">
        <f>INDEX(State!C:C,MATCH(OrdersTable[[#This Row],[State Code]],State!B:B,0))</f>
        <v>North</v>
      </c>
      <c r="K4717" t="s">
        <v>227</v>
      </c>
      <c r="L4717" t="s">
        <v>65</v>
      </c>
      <c r="M4717" t="s">
        <v>73</v>
      </c>
      <c r="N4717" t="str">
        <f>INDEX(Products!B:B,MATCH(OrdersTable[[#This Row],[Product ID]],Products!A:A,0))</f>
        <v>Hydrating Face Wash</v>
      </c>
      <c r="O4717" t="str">
        <f>INDEX(Products!C:C,MATCH(OrdersTable[[#This Row],[Product ID]],Products!A:A,0))</f>
        <v>Skincare</v>
      </c>
      <c r="P4717">
        <v>1</v>
      </c>
      <c r="Q4717" s="5">
        <v>299</v>
      </c>
      <c r="R4717" s="74">
        <v>0</v>
      </c>
      <c r="S4717" s="75">
        <f>OrdersTable[[#This Row],[Quantity]]*OrdersTable[[#This Row],[Unit Price]]</f>
        <v>299</v>
      </c>
      <c r="T4717" s="5">
        <f>OrdersTable[[#This Row],[Gross Sale]]*OrdersTable[[#This Row],[Discount_Clean2]]</f>
        <v>0</v>
      </c>
      <c r="U4717" s="5">
        <f>OrdersTable[[#This Row],[Gross Sale]]-OrdersTable[[#This Row],[Discount Amount]]</f>
        <v>299</v>
      </c>
      <c r="V4717" s="77">
        <f>INDEX(Products!E:E,MATCH(OrdersTable[[#This Row],[Product ID]],Products!A:A,0))</f>
        <v>90</v>
      </c>
      <c r="W4717" s="77">
        <f>OrdersTable[[#This Row],[Quantity]]*OrdersTable[[#This Row],[Unit Cost]]</f>
        <v>90</v>
      </c>
      <c r="X4717" s="77">
        <f>'Dropdown Lists'!$I$2*(1+OrdersTable[[#This Row],[Returned]])</f>
        <v>60</v>
      </c>
      <c r="Y4717" s="76">
        <f>OrdersTable[[#This Row],[Net Revenue]]-OrdersTable[[#This Row],[COGS]]-OrdersTable[[#This Row],[Shipping Cost]]</f>
        <v>149</v>
      </c>
      <c r="Z4717" s="78">
        <f>IFERROR(OrdersTable[[#This Row],[Profit]]/OrdersTable[[#This Row],[Net Revenue]],0)</f>
        <v>0.49832775919732442</v>
      </c>
      <c r="AA4717" t="s">
        <v>18</v>
      </c>
      <c r="AB4717" s="79">
        <v>46009</v>
      </c>
      <c r="AC4717">
        <f>OrdersTable[[#This Row],[Delivery Date]]-OrdersTable[[#This Row],[Order Date]]</f>
        <v>4</v>
      </c>
      <c r="AD4717" t="str">
        <f>IF(OrdersTable[[#This Row],[Delivery Days]]&lt;=2, "Express (≤2d)", IF(OrdersTable[[#This Row],[Delivery Days]]&lt;=4, "Standard (3-4d)", "Delayed (5d+)"))</f>
        <v>Standard (3-4d)</v>
      </c>
      <c r="AE4717">
        <v>4</v>
      </c>
      <c r="AF4717">
        <v>0</v>
      </c>
    </row>
    <row r="4718" spans="1:32" ht="15" x14ac:dyDescent="0.35">
      <c r="A4718" t="s">
        <v>6751</v>
      </c>
      <c r="B4718" s="1">
        <v>46005</v>
      </c>
      <c r="C4718">
        <f>YEAR(OrdersTable[[#This Row],[Order Date]])</f>
        <v>2025</v>
      </c>
      <c r="D4718" s="2">
        <f>DATE(YEAR(OrdersTable[[#This Row],[Order Date]]),MONTH(OrdersTable[[#This Row],[Order Date]]),1)</f>
        <v>45992</v>
      </c>
      <c r="E4718">
        <f>MONTH(OrdersTable[[#This Row],[Order Date]])</f>
        <v>12</v>
      </c>
      <c r="F4718" t="s">
        <v>362</v>
      </c>
      <c r="G4718" t="str">
        <f>IF(OrdersTable[[#This Row],[Order Date]]=_xlfn.MINIFS(Order_Date, Customer_ID, OrdersTable[[#This Row],[Customer ID]]), "New", "Repeat")</f>
        <v>Repeat</v>
      </c>
      <c r="H4718" t="s">
        <v>54</v>
      </c>
      <c r="I4718" t="str">
        <f>INDEX(State!B:B,MATCH(OrdersTable[[#This Row],[State]],State!A:A,0))</f>
        <v>RJ</v>
      </c>
      <c r="J4718" t="str">
        <f>INDEX(State!C:C,MATCH(OrdersTable[[#This Row],[State Code]],State!B:B,0))</f>
        <v>North</v>
      </c>
      <c r="K4718" t="s">
        <v>55</v>
      </c>
      <c r="L4718" t="s">
        <v>65</v>
      </c>
      <c r="M4718" t="s">
        <v>92</v>
      </c>
      <c r="N4718" t="str">
        <f>INDEX(Products!B:B,MATCH(OrdersTable[[#This Row],[Product ID]],Products!A:A,0))</f>
        <v>Kolhapuri Sandals</v>
      </c>
      <c r="O4718" t="str">
        <f>INDEX(Products!C:C,MATCH(OrdersTable[[#This Row],[Product ID]],Products!A:A,0))</f>
        <v>Footwear</v>
      </c>
      <c r="P4718">
        <v>3</v>
      </c>
      <c r="Q4718" s="5">
        <v>999</v>
      </c>
      <c r="R4718" s="74">
        <v>0.15</v>
      </c>
      <c r="S4718" s="75">
        <f>OrdersTable[[#This Row],[Quantity]]*OrdersTable[[#This Row],[Unit Price]]</f>
        <v>2997</v>
      </c>
      <c r="T4718" s="5">
        <f>OrdersTable[[#This Row],[Gross Sale]]*OrdersTable[[#This Row],[Discount_Clean2]]</f>
        <v>449.55</v>
      </c>
      <c r="U4718" s="5">
        <f>OrdersTable[[#This Row],[Gross Sale]]-OrdersTable[[#This Row],[Discount Amount]]</f>
        <v>2547.4499999999998</v>
      </c>
      <c r="V4718" s="77">
        <f>INDEX(Products!E:E,MATCH(OrdersTable[[#This Row],[Product ID]],Products!A:A,0))</f>
        <v>400</v>
      </c>
      <c r="W4718" s="77">
        <f>OrdersTable[[#This Row],[Quantity]]*OrdersTable[[#This Row],[Unit Cost]]</f>
        <v>1200</v>
      </c>
      <c r="X4718" s="77">
        <f>'Dropdown Lists'!$I$2*(1+OrdersTable[[#This Row],[Returned]])</f>
        <v>60</v>
      </c>
      <c r="Y4718" s="76">
        <f>OrdersTable[[#This Row],[Net Revenue]]-OrdersTable[[#This Row],[COGS]]-OrdersTable[[#This Row],[Shipping Cost]]</f>
        <v>1287.4499999999998</v>
      </c>
      <c r="Z4718" s="78">
        <f>IFERROR(OrdersTable[[#This Row],[Profit]]/OrdersTable[[#This Row],[Net Revenue]],0)</f>
        <v>0.50538774068185832</v>
      </c>
      <c r="AA4718" t="s">
        <v>2522</v>
      </c>
      <c r="AB4718" s="79">
        <v>46010</v>
      </c>
      <c r="AC4718">
        <f>OrdersTable[[#This Row],[Delivery Date]]-OrdersTable[[#This Row],[Order Date]]</f>
        <v>5</v>
      </c>
      <c r="AD4718" t="str">
        <f>IF(OrdersTable[[#This Row],[Delivery Days]]&lt;=2, "Express (≤2d)", IF(OrdersTable[[#This Row],[Delivery Days]]&lt;=4, "Standard (3-4d)", "Delayed (5d+)"))</f>
        <v>Delayed (5d+)</v>
      </c>
      <c r="AE4718">
        <v>4</v>
      </c>
      <c r="AF4718">
        <v>0</v>
      </c>
    </row>
    <row r="4719" spans="1:32" ht="15" x14ac:dyDescent="0.35">
      <c r="A4719" t="s">
        <v>5289</v>
      </c>
      <c r="B4719" s="1">
        <v>46005</v>
      </c>
      <c r="C4719">
        <f>YEAR(OrdersTable[[#This Row],[Order Date]])</f>
        <v>2025</v>
      </c>
      <c r="D4719" s="2">
        <f>DATE(YEAR(OrdersTable[[#This Row],[Order Date]]),MONTH(OrdersTable[[#This Row],[Order Date]]),1)</f>
        <v>45992</v>
      </c>
      <c r="E4719">
        <f>MONTH(OrdersTable[[#This Row],[Order Date]])</f>
        <v>12</v>
      </c>
      <c r="F4719" t="s">
        <v>4519</v>
      </c>
      <c r="G4719" t="str">
        <f>IF(OrdersTable[[#This Row],[Order Date]]=_xlfn.MINIFS(Order_Date, Customer_ID, OrdersTable[[#This Row],[Customer ID]]), "New", "Repeat")</f>
        <v>Repeat</v>
      </c>
      <c r="H4719" t="s">
        <v>48</v>
      </c>
      <c r="I4719" t="str">
        <f>INDEX(State!B:B,MATCH(OrdersTable[[#This Row],[State]],State!A:A,0))</f>
        <v>HR</v>
      </c>
      <c r="J4719" t="str">
        <f>INDEX(State!C:C,MATCH(OrdersTable[[#This Row],[State Code]],State!B:B,0))</f>
        <v>North</v>
      </c>
      <c r="K4719" t="s">
        <v>49</v>
      </c>
      <c r="L4719" t="s">
        <v>39</v>
      </c>
      <c r="M4719" t="s">
        <v>255</v>
      </c>
      <c r="N4719" t="str">
        <f>INDEX(Products!B:B,MATCH(OrdersTable[[#This Row],[Product ID]],Products!A:A,0))</f>
        <v>Cotton Oversized T-Shirt</v>
      </c>
      <c r="O4719" t="str">
        <f>INDEX(Products!C:C,MATCH(OrdersTable[[#This Row],[Product ID]],Products!A:A,0))</f>
        <v>Apparel</v>
      </c>
      <c r="P4719">
        <v>2</v>
      </c>
      <c r="Q4719" s="5">
        <v>799</v>
      </c>
      <c r="R4719" s="74">
        <v>0</v>
      </c>
      <c r="S4719" s="75">
        <f>OrdersTable[[#This Row],[Quantity]]*OrdersTable[[#This Row],[Unit Price]]</f>
        <v>1598</v>
      </c>
      <c r="T4719" s="5">
        <f>OrdersTable[[#This Row],[Gross Sale]]*OrdersTable[[#This Row],[Discount_Clean2]]</f>
        <v>0</v>
      </c>
      <c r="U4719" s="5">
        <f>OrdersTable[[#This Row],[Gross Sale]]-OrdersTable[[#This Row],[Discount Amount]]</f>
        <v>1598</v>
      </c>
      <c r="V4719" s="77">
        <f>INDEX(Products!E:E,MATCH(OrdersTable[[#This Row],[Product ID]],Products!A:A,0))</f>
        <v>320</v>
      </c>
      <c r="W4719" s="77">
        <f>OrdersTable[[#This Row],[Quantity]]*OrdersTable[[#This Row],[Unit Cost]]</f>
        <v>640</v>
      </c>
      <c r="X4719" s="77">
        <f>'Dropdown Lists'!$I$2*(1+OrdersTable[[#This Row],[Returned]])</f>
        <v>60</v>
      </c>
      <c r="Y4719" s="76">
        <f>OrdersTable[[#This Row],[Net Revenue]]-OrdersTable[[#This Row],[COGS]]-OrdersTable[[#This Row],[Shipping Cost]]</f>
        <v>898</v>
      </c>
      <c r="Z4719" s="78">
        <f>IFERROR(OrdersTable[[#This Row],[Profit]]/OrdersTable[[#This Row],[Net Revenue]],0)</f>
        <v>0.56195244055068838</v>
      </c>
      <c r="AA4719" t="s">
        <v>3495</v>
      </c>
      <c r="AB4719" s="79">
        <v>46008</v>
      </c>
      <c r="AC4719">
        <f>OrdersTable[[#This Row],[Delivery Date]]-OrdersTable[[#This Row],[Order Date]]</f>
        <v>3</v>
      </c>
      <c r="AD4719" t="str">
        <f>IF(OrdersTable[[#This Row],[Delivery Days]]&lt;=2, "Express (≤2d)", IF(OrdersTable[[#This Row],[Delivery Days]]&lt;=4, "Standard (3-4d)", "Delayed (5d+)"))</f>
        <v>Standard (3-4d)</v>
      </c>
      <c r="AE4719">
        <v>3</v>
      </c>
      <c r="AF4719">
        <v>0</v>
      </c>
    </row>
    <row r="4720" spans="1:32" ht="15" x14ac:dyDescent="0.35">
      <c r="A4720" t="s">
        <v>1323</v>
      </c>
      <c r="B4720" s="1">
        <v>46005</v>
      </c>
      <c r="C4720">
        <f>YEAR(OrdersTable[[#This Row],[Order Date]])</f>
        <v>2025</v>
      </c>
      <c r="D4720" s="2">
        <f>DATE(YEAR(OrdersTable[[#This Row],[Order Date]]),MONTH(OrdersTable[[#This Row],[Order Date]]),1)</f>
        <v>45992</v>
      </c>
      <c r="E4720">
        <f>MONTH(OrdersTable[[#This Row],[Order Date]])</f>
        <v>12</v>
      </c>
      <c r="F4720" t="s">
        <v>1324</v>
      </c>
      <c r="G4720" t="str">
        <f>IF(OrdersTable[[#This Row],[Order Date]]=_xlfn.MINIFS(Order_Date, Customer_ID, OrdersTable[[#This Row],[Customer ID]]), "New", "Repeat")</f>
        <v>Repeat</v>
      </c>
      <c r="H4720" t="s">
        <v>128</v>
      </c>
      <c r="I4720" t="str">
        <f>INDEX(State!B:B,MATCH(OrdersTable[[#This Row],[State]],State!A:A,0))</f>
        <v>DL</v>
      </c>
      <c r="J4720" t="str">
        <f>INDEX(State!C:C,MATCH(OrdersTable[[#This Row],[State Code]],State!B:B,0))</f>
        <v>North</v>
      </c>
      <c r="K4720" t="s">
        <v>129</v>
      </c>
      <c r="L4720" t="s">
        <v>16</v>
      </c>
      <c r="M4720" t="s">
        <v>34</v>
      </c>
      <c r="N4720" t="str">
        <f>INDEX(Products!B:B,MATCH(OrdersTable[[#This Row],[Product ID]],Products!A:A,0))</f>
        <v>Flip Flops</v>
      </c>
      <c r="O4720" t="str">
        <f>INDEX(Products!C:C,MATCH(OrdersTable[[#This Row],[Product ID]],Products!A:A,0))</f>
        <v>Footwear</v>
      </c>
      <c r="P4720">
        <v>1</v>
      </c>
      <c r="Q4720" s="5">
        <v>399</v>
      </c>
      <c r="R4720" s="74">
        <v>0.1</v>
      </c>
      <c r="S4720" s="75">
        <f>OrdersTable[[#This Row],[Quantity]]*OrdersTable[[#This Row],[Unit Price]]</f>
        <v>399</v>
      </c>
      <c r="T4720" s="5">
        <f>OrdersTable[[#This Row],[Gross Sale]]*OrdersTable[[#This Row],[Discount_Clean2]]</f>
        <v>39.900000000000006</v>
      </c>
      <c r="U4720" s="5">
        <f>OrdersTable[[#This Row],[Gross Sale]]-OrdersTable[[#This Row],[Discount Amount]]</f>
        <v>359.1</v>
      </c>
      <c r="V4720" s="77">
        <f>INDEX(Products!E:E,MATCH(OrdersTable[[#This Row],[Product ID]],Products!A:A,0))</f>
        <v>152</v>
      </c>
      <c r="W4720" s="77">
        <f>OrdersTable[[#This Row],[Quantity]]*OrdersTable[[#This Row],[Unit Cost]]</f>
        <v>152</v>
      </c>
      <c r="X4720" s="77">
        <f>'Dropdown Lists'!$I$2*(1+OrdersTable[[#This Row],[Returned]])</f>
        <v>60</v>
      </c>
      <c r="Y4720" s="76">
        <f>OrdersTable[[#This Row],[Net Revenue]]-OrdersTable[[#This Row],[COGS]]-OrdersTable[[#This Row],[Shipping Cost]]</f>
        <v>147.10000000000002</v>
      </c>
      <c r="Z4720" s="78">
        <f>IFERROR(OrdersTable[[#This Row],[Profit]]/OrdersTable[[#This Row],[Net Revenue]],0)</f>
        <v>0.40963519910888335</v>
      </c>
      <c r="AA4720" t="s">
        <v>18</v>
      </c>
      <c r="AB4720" s="79">
        <v>46006</v>
      </c>
      <c r="AC4720">
        <f>OrdersTable[[#This Row],[Delivery Date]]-OrdersTable[[#This Row],[Order Date]]</f>
        <v>1</v>
      </c>
      <c r="AD4720" t="str">
        <f>IF(OrdersTable[[#This Row],[Delivery Days]]&lt;=2, "Express (≤2d)", IF(OrdersTable[[#This Row],[Delivery Days]]&lt;=4, "Standard (3-4d)", "Delayed (5d+)"))</f>
        <v>Express (≤2d)</v>
      </c>
      <c r="AF4720">
        <v>0</v>
      </c>
    </row>
    <row r="4721" spans="1:32" ht="15" x14ac:dyDescent="0.35">
      <c r="A4721" t="s">
        <v>7044</v>
      </c>
      <c r="B4721" s="1">
        <v>46005</v>
      </c>
      <c r="C4721">
        <f>YEAR(OrdersTable[[#This Row],[Order Date]])</f>
        <v>2025</v>
      </c>
      <c r="D4721" s="2">
        <f>DATE(YEAR(OrdersTable[[#This Row],[Order Date]]),MONTH(OrdersTable[[#This Row],[Order Date]]),1)</f>
        <v>45992</v>
      </c>
      <c r="E4721">
        <f>MONTH(OrdersTable[[#This Row],[Order Date]])</f>
        <v>12</v>
      </c>
      <c r="F4721" t="s">
        <v>1993</v>
      </c>
      <c r="G4721" t="str">
        <f>IF(OrdersTable[[#This Row],[Order Date]]=_xlfn.MINIFS(Order_Date, Customer_ID, OrdersTable[[#This Row],[Customer ID]]), "New", "Repeat")</f>
        <v>Repeat</v>
      </c>
      <c r="H4721" t="s">
        <v>128</v>
      </c>
      <c r="I4721" t="str">
        <f>INDEX(State!B:B,MATCH(OrdersTable[[#This Row],[State]],State!A:A,0))</f>
        <v>DL</v>
      </c>
      <c r="J4721" t="str">
        <f>INDEX(State!C:C,MATCH(OrdersTable[[#This Row],[State Code]],State!B:B,0))</f>
        <v>North</v>
      </c>
      <c r="K4721" t="s">
        <v>129</v>
      </c>
      <c r="L4721" t="s">
        <v>16</v>
      </c>
      <c r="M4721" t="s">
        <v>92</v>
      </c>
      <c r="N4721" t="str">
        <f>INDEX(Products!B:B,MATCH(OrdersTable[[#This Row],[Product ID]],Products!A:A,0))</f>
        <v>Kolhapuri Sandals</v>
      </c>
      <c r="O4721" t="str">
        <f>INDEX(Products!C:C,MATCH(OrdersTable[[#This Row],[Product ID]],Products!A:A,0))</f>
        <v>Footwear</v>
      </c>
      <c r="P4721">
        <v>4</v>
      </c>
      <c r="Q4721" s="5">
        <v>999</v>
      </c>
      <c r="R4721" s="74">
        <v>0.15</v>
      </c>
      <c r="S4721" s="75">
        <f>OrdersTable[[#This Row],[Quantity]]*OrdersTable[[#This Row],[Unit Price]]</f>
        <v>3996</v>
      </c>
      <c r="T4721" s="5">
        <f>OrdersTable[[#This Row],[Gross Sale]]*OrdersTable[[#This Row],[Discount_Clean2]]</f>
        <v>599.4</v>
      </c>
      <c r="U4721" s="5">
        <f>OrdersTable[[#This Row],[Gross Sale]]-OrdersTable[[#This Row],[Discount Amount]]</f>
        <v>3396.6</v>
      </c>
      <c r="V4721" s="77">
        <f>INDEX(Products!E:E,MATCH(OrdersTable[[#This Row],[Product ID]],Products!A:A,0))</f>
        <v>400</v>
      </c>
      <c r="W4721" s="77">
        <f>OrdersTable[[#This Row],[Quantity]]*OrdersTable[[#This Row],[Unit Cost]]</f>
        <v>1600</v>
      </c>
      <c r="X4721" s="77">
        <f>'Dropdown Lists'!$I$2*(1+OrdersTable[[#This Row],[Returned]])</f>
        <v>60</v>
      </c>
      <c r="Y4721" s="76">
        <f>OrdersTable[[#This Row],[Net Revenue]]-OrdersTable[[#This Row],[COGS]]-OrdersTable[[#This Row],[Shipping Cost]]</f>
        <v>1736.6</v>
      </c>
      <c r="Z4721" s="78">
        <f>IFERROR(OrdersTable[[#This Row],[Profit]]/OrdersTable[[#This Row],[Net Revenue]],0)</f>
        <v>0.51127598186421719</v>
      </c>
      <c r="AA4721" t="s">
        <v>2522</v>
      </c>
      <c r="AB4721" s="79">
        <v>46008</v>
      </c>
      <c r="AC4721">
        <f>OrdersTable[[#This Row],[Delivery Date]]-OrdersTable[[#This Row],[Order Date]]</f>
        <v>3</v>
      </c>
      <c r="AD4721" t="str">
        <f>IF(OrdersTable[[#This Row],[Delivery Days]]&lt;=2, "Express (≤2d)", IF(OrdersTable[[#This Row],[Delivery Days]]&lt;=4, "Standard (3-4d)", "Delayed (5d+)"))</f>
        <v>Standard (3-4d)</v>
      </c>
      <c r="AE4721">
        <v>5</v>
      </c>
      <c r="AF4721">
        <v>0</v>
      </c>
    </row>
    <row r="4722" spans="1:32" ht="15" x14ac:dyDescent="0.35">
      <c r="A4722" t="s">
        <v>4444</v>
      </c>
      <c r="B4722" s="1">
        <v>46005</v>
      </c>
      <c r="C4722">
        <f>YEAR(OrdersTable[[#This Row],[Order Date]])</f>
        <v>2025</v>
      </c>
      <c r="D4722" s="2">
        <f>DATE(YEAR(OrdersTable[[#This Row],[Order Date]]),MONTH(OrdersTable[[#This Row],[Order Date]]),1)</f>
        <v>45992</v>
      </c>
      <c r="E4722">
        <f>MONTH(OrdersTable[[#This Row],[Order Date]])</f>
        <v>12</v>
      </c>
      <c r="F4722" t="s">
        <v>1062</v>
      </c>
      <c r="G4722" t="str">
        <f>IF(OrdersTable[[#This Row],[Order Date]]=_xlfn.MINIFS(Order_Date, Customer_ID, OrdersTable[[#This Row],[Customer ID]]), "New", "Repeat")</f>
        <v>Repeat</v>
      </c>
      <c r="H4722" t="s">
        <v>76</v>
      </c>
      <c r="I4722" t="str">
        <f>INDEX(State!B:B,MATCH(OrdersTable[[#This Row],[State]],State!A:A,0))</f>
        <v>UP</v>
      </c>
      <c r="J4722" t="str">
        <f>INDEX(State!C:C,MATCH(OrdersTable[[#This Row],[State Code]],State!B:B,0))</f>
        <v>North</v>
      </c>
      <c r="K4722" t="s">
        <v>77</v>
      </c>
      <c r="L4722" t="s">
        <v>65</v>
      </c>
      <c r="M4722" t="s">
        <v>255</v>
      </c>
      <c r="N4722" t="str">
        <f>INDEX(Products!B:B,MATCH(OrdersTable[[#This Row],[Product ID]],Products!A:A,0))</f>
        <v>Cotton Oversized T-Shirt</v>
      </c>
      <c r="O4722" t="str">
        <f>INDEX(Products!C:C,MATCH(OrdersTable[[#This Row],[Product ID]],Products!A:A,0))</f>
        <v>Apparel</v>
      </c>
      <c r="P4722">
        <v>1</v>
      </c>
      <c r="Q4722" s="5">
        <v>799</v>
      </c>
      <c r="R4722" s="74">
        <v>0.1</v>
      </c>
      <c r="S4722" s="75">
        <f>OrdersTable[[#This Row],[Quantity]]*OrdersTable[[#This Row],[Unit Price]]</f>
        <v>799</v>
      </c>
      <c r="T4722" s="5">
        <f>OrdersTable[[#This Row],[Gross Sale]]*OrdersTable[[#This Row],[Discount_Clean2]]</f>
        <v>79.900000000000006</v>
      </c>
      <c r="U4722" s="5">
        <f>OrdersTable[[#This Row],[Gross Sale]]-OrdersTable[[#This Row],[Discount Amount]]</f>
        <v>719.1</v>
      </c>
      <c r="V4722" s="77">
        <f>INDEX(Products!E:E,MATCH(OrdersTable[[#This Row],[Product ID]],Products!A:A,0))</f>
        <v>320</v>
      </c>
      <c r="W4722" s="77">
        <f>OrdersTable[[#This Row],[Quantity]]*OrdersTable[[#This Row],[Unit Cost]]</f>
        <v>320</v>
      </c>
      <c r="X4722" s="77">
        <f>'Dropdown Lists'!$I$2*(1+OrdersTable[[#This Row],[Returned]])</f>
        <v>60</v>
      </c>
      <c r="Y4722" s="76">
        <f>OrdersTable[[#This Row],[Net Revenue]]-OrdersTable[[#This Row],[COGS]]-OrdersTable[[#This Row],[Shipping Cost]]</f>
        <v>339.1</v>
      </c>
      <c r="Z4722" s="78">
        <f>IFERROR(OrdersTable[[#This Row],[Profit]]/OrdersTable[[#This Row],[Net Revenue]],0)</f>
        <v>0.47156167431511614</v>
      </c>
      <c r="AA4722" t="s">
        <v>4074</v>
      </c>
      <c r="AB4722" s="79">
        <v>46009</v>
      </c>
      <c r="AC4722">
        <f>OrdersTable[[#This Row],[Delivery Date]]-OrdersTable[[#This Row],[Order Date]]</f>
        <v>4</v>
      </c>
      <c r="AD4722" t="str">
        <f>IF(OrdersTable[[#This Row],[Delivery Days]]&lt;=2, "Express (≤2d)", IF(OrdersTable[[#This Row],[Delivery Days]]&lt;=4, "Standard (3-4d)", "Delayed (5d+)"))</f>
        <v>Standard (3-4d)</v>
      </c>
      <c r="AE4722">
        <v>4</v>
      </c>
      <c r="AF4722">
        <v>0</v>
      </c>
    </row>
    <row r="4723" spans="1:32" ht="15" x14ac:dyDescent="0.35">
      <c r="A4723" t="s">
        <v>6446</v>
      </c>
      <c r="B4723" s="1">
        <v>46005</v>
      </c>
      <c r="C4723">
        <f>YEAR(OrdersTable[[#This Row],[Order Date]])</f>
        <v>2025</v>
      </c>
      <c r="D4723" s="2">
        <f>DATE(YEAR(OrdersTable[[#This Row],[Order Date]]),MONTH(OrdersTable[[#This Row],[Order Date]]),1)</f>
        <v>45992</v>
      </c>
      <c r="E4723">
        <f>MONTH(OrdersTable[[#This Row],[Order Date]])</f>
        <v>12</v>
      </c>
      <c r="F4723" t="s">
        <v>696</v>
      </c>
      <c r="G4723" t="str">
        <f>IF(OrdersTable[[#This Row],[Order Date]]=_xlfn.MINIFS(Order_Date, Customer_ID, OrdersTable[[#This Row],[Customer ID]]), "New", "Repeat")</f>
        <v>Repeat</v>
      </c>
      <c r="H4723" t="s">
        <v>32</v>
      </c>
      <c r="I4723" t="str">
        <f>INDEX(State!B:B,MATCH(OrdersTable[[#This Row],[State]],State!A:A,0))</f>
        <v>BR</v>
      </c>
      <c r="J4723" t="str">
        <f>INDEX(State!C:C,MATCH(OrdersTable[[#This Row],[State Code]],State!B:B,0))</f>
        <v>East</v>
      </c>
      <c r="K4723" t="s">
        <v>33</v>
      </c>
      <c r="L4723" t="s">
        <v>50</v>
      </c>
      <c r="M4723" t="s">
        <v>152</v>
      </c>
      <c r="N4723" t="str">
        <f>INDEX(Products!B:B,MATCH(OrdersTable[[#This Row],[Product ID]],Products!A:A,0))</f>
        <v>Green Tea (100 bags)</v>
      </c>
      <c r="O4723" t="str">
        <f>INDEX(Products!C:C,MATCH(OrdersTable[[#This Row],[Product ID]],Products!A:A,0))</f>
        <v>Wellness</v>
      </c>
      <c r="P4723">
        <v>2</v>
      </c>
      <c r="Q4723" s="5">
        <v>399</v>
      </c>
      <c r="R4723" s="74">
        <v>0.3</v>
      </c>
      <c r="S4723" s="75">
        <f>OrdersTable[[#This Row],[Quantity]]*OrdersTable[[#This Row],[Unit Price]]</f>
        <v>798</v>
      </c>
      <c r="T4723" s="5">
        <f>OrdersTable[[#This Row],[Gross Sale]]*OrdersTable[[#This Row],[Discount_Clean2]]</f>
        <v>239.39999999999998</v>
      </c>
      <c r="U4723" s="5">
        <f>OrdersTable[[#This Row],[Gross Sale]]-OrdersTable[[#This Row],[Discount Amount]]</f>
        <v>558.6</v>
      </c>
      <c r="V4723" s="77">
        <f>INDEX(Products!E:E,MATCH(OrdersTable[[#This Row],[Product ID]],Products!A:A,0))</f>
        <v>128</v>
      </c>
      <c r="W4723" s="77">
        <f>OrdersTable[[#This Row],[Quantity]]*OrdersTable[[#This Row],[Unit Cost]]</f>
        <v>256</v>
      </c>
      <c r="X4723" s="77">
        <f>'Dropdown Lists'!$I$2*(1+OrdersTable[[#This Row],[Returned]])</f>
        <v>60</v>
      </c>
      <c r="Y4723" s="76">
        <f>OrdersTable[[#This Row],[Net Revenue]]-OrdersTable[[#This Row],[COGS]]-OrdersTable[[#This Row],[Shipping Cost]]</f>
        <v>242.60000000000002</v>
      </c>
      <c r="Z4723" s="78">
        <f>IFERROR(OrdersTable[[#This Row],[Profit]]/OrdersTable[[#This Row],[Net Revenue]],0)</f>
        <v>0.43430003580379523</v>
      </c>
      <c r="AA4723" t="s">
        <v>18</v>
      </c>
      <c r="AB4723" s="79">
        <v>46010</v>
      </c>
      <c r="AC4723">
        <f>OrdersTable[[#This Row],[Delivery Date]]-OrdersTable[[#This Row],[Order Date]]</f>
        <v>5</v>
      </c>
      <c r="AD4723" t="str">
        <f>IF(OrdersTable[[#This Row],[Delivery Days]]&lt;=2, "Express (≤2d)", IF(OrdersTable[[#This Row],[Delivery Days]]&lt;=4, "Standard (3-4d)", "Delayed (5d+)"))</f>
        <v>Delayed (5d+)</v>
      </c>
      <c r="AE4723">
        <v>3</v>
      </c>
      <c r="AF4723">
        <v>0</v>
      </c>
    </row>
    <row r="4724" spans="1:32" ht="15" x14ac:dyDescent="0.35">
      <c r="A4724" t="s">
        <v>5745</v>
      </c>
      <c r="B4724" s="1">
        <v>46005</v>
      </c>
      <c r="C4724">
        <f>YEAR(OrdersTable[[#This Row],[Order Date]])</f>
        <v>2025</v>
      </c>
      <c r="D4724" s="2">
        <f>DATE(YEAR(OrdersTable[[#This Row],[Order Date]]),MONTH(OrdersTable[[#This Row],[Order Date]]),1)</f>
        <v>45992</v>
      </c>
      <c r="E4724">
        <f>MONTH(OrdersTable[[#This Row],[Order Date]])</f>
        <v>12</v>
      </c>
      <c r="F4724" t="s">
        <v>754</v>
      </c>
      <c r="G4724" t="str">
        <f>IF(OrdersTable[[#This Row],[Order Date]]=_xlfn.MINIFS(Order_Date, Customer_ID, OrdersTable[[#This Row],[Customer ID]]), "New", "Repeat")</f>
        <v>Repeat</v>
      </c>
      <c r="H4724" t="s">
        <v>132</v>
      </c>
      <c r="I4724" t="str">
        <f>INDEX(State!B:B,MATCH(OrdersTable[[#This Row],[State]],State!A:A,0))</f>
        <v>AS</v>
      </c>
      <c r="J4724" t="str">
        <f>INDEX(State!C:C,MATCH(OrdersTable[[#This Row],[State Code]],State!B:B,0))</f>
        <v>East</v>
      </c>
      <c r="K4724" t="s">
        <v>133</v>
      </c>
      <c r="L4724" t="s">
        <v>65</v>
      </c>
      <c r="M4724" t="s">
        <v>179</v>
      </c>
      <c r="N4724" t="str">
        <f>INDEX(Products!B:B,MATCH(OrdersTable[[#This Row],[Product ID]],Products!A:A,0))</f>
        <v>Whey Protein 1kg</v>
      </c>
      <c r="O4724" t="str">
        <f>INDEX(Products!C:C,MATCH(OrdersTable[[#This Row],[Product ID]],Products!A:A,0))</f>
        <v>Wellness</v>
      </c>
      <c r="P4724">
        <v>2</v>
      </c>
      <c r="Q4724" s="5">
        <v>2299</v>
      </c>
      <c r="R4724" s="74">
        <v>0.3</v>
      </c>
      <c r="S4724" s="75">
        <f>OrdersTable[[#This Row],[Quantity]]*OrdersTable[[#This Row],[Unit Price]]</f>
        <v>4598</v>
      </c>
      <c r="T4724" s="5">
        <f>OrdersTable[[#This Row],[Gross Sale]]*OrdersTable[[#This Row],[Discount_Clean2]]</f>
        <v>1379.3999999999999</v>
      </c>
      <c r="U4724" s="5">
        <f>OrdersTable[[#This Row],[Gross Sale]]-OrdersTable[[#This Row],[Discount Amount]]</f>
        <v>3218.6000000000004</v>
      </c>
      <c r="V4724" s="77">
        <f>INDEX(Products!E:E,MATCH(OrdersTable[[#This Row],[Product ID]],Products!A:A,0))</f>
        <v>1333</v>
      </c>
      <c r="W4724" s="77">
        <f>OrdersTable[[#This Row],[Quantity]]*OrdersTable[[#This Row],[Unit Cost]]</f>
        <v>2666</v>
      </c>
      <c r="X4724" s="77">
        <f>'Dropdown Lists'!$I$2*(1+OrdersTable[[#This Row],[Returned]])</f>
        <v>60</v>
      </c>
      <c r="Y4724" s="76">
        <f>OrdersTable[[#This Row],[Net Revenue]]-OrdersTable[[#This Row],[COGS]]-OrdersTable[[#This Row],[Shipping Cost]]</f>
        <v>492.60000000000036</v>
      </c>
      <c r="Z4724" s="78">
        <f>IFERROR(OrdersTable[[#This Row],[Profit]]/OrdersTable[[#This Row],[Net Revenue]],0)</f>
        <v>0.15304790902877036</v>
      </c>
      <c r="AA4724" t="s">
        <v>18</v>
      </c>
      <c r="AB4724" s="79">
        <v>46013</v>
      </c>
      <c r="AC4724">
        <f>OrdersTable[[#This Row],[Delivery Date]]-OrdersTable[[#This Row],[Order Date]]</f>
        <v>8</v>
      </c>
      <c r="AD4724" t="str">
        <f>IF(OrdersTable[[#This Row],[Delivery Days]]&lt;=2, "Express (≤2d)", IF(OrdersTable[[#This Row],[Delivery Days]]&lt;=4, "Standard (3-4d)", "Delayed (5d+)"))</f>
        <v>Delayed (5d+)</v>
      </c>
      <c r="AE4724">
        <v>3</v>
      </c>
      <c r="AF4724">
        <v>0</v>
      </c>
    </row>
    <row r="4725" spans="1:32" ht="15" x14ac:dyDescent="0.35">
      <c r="A4725" t="s">
        <v>2067</v>
      </c>
      <c r="B4725" s="1">
        <v>46005</v>
      </c>
      <c r="C4725">
        <f>YEAR(OrdersTable[[#This Row],[Order Date]])</f>
        <v>2025</v>
      </c>
      <c r="D4725" s="2">
        <f>DATE(YEAR(OrdersTable[[#This Row],[Order Date]]),MONTH(OrdersTable[[#This Row],[Order Date]]),1)</f>
        <v>45992</v>
      </c>
      <c r="E4725">
        <f>MONTH(OrdersTable[[#This Row],[Order Date]])</f>
        <v>12</v>
      </c>
      <c r="F4725" t="s">
        <v>2068</v>
      </c>
      <c r="G4725" t="str">
        <f>IF(OrdersTable[[#This Row],[Order Date]]=_xlfn.MINIFS(Order_Date, Customer_ID, OrdersTable[[#This Row],[Customer ID]]), "New", "Repeat")</f>
        <v>Repeat</v>
      </c>
      <c r="H4725" t="s">
        <v>37</v>
      </c>
      <c r="I4725" t="str">
        <f>INDEX(State!B:B,MATCH(OrdersTable[[#This Row],[State]],State!A:A,0))</f>
        <v>GJ</v>
      </c>
      <c r="J4725" t="str">
        <f>INDEX(State!C:C,MATCH(OrdersTable[[#This Row],[State Code]],State!B:B,0))</f>
        <v>West</v>
      </c>
      <c r="K4725" t="s">
        <v>247</v>
      </c>
      <c r="L4725" t="s">
        <v>65</v>
      </c>
      <c r="M4725" t="s">
        <v>106</v>
      </c>
      <c r="N4725" t="str">
        <f>INDEX(Products!B:B,MATCH(OrdersTable[[#This Row],[Product ID]],Products!A:A,0))</f>
        <v>Keratin Hair Mask</v>
      </c>
      <c r="O4725" t="str">
        <f>INDEX(Products!C:C,MATCH(OrdersTable[[#This Row],[Product ID]],Products!A:A,0))</f>
        <v>Haircare</v>
      </c>
      <c r="P4725">
        <v>1</v>
      </c>
      <c r="Q4725" s="5">
        <v>549</v>
      </c>
      <c r="R4725" s="74">
        <v>0.15</v>
      </c>
      <c r="S4725" s="75">
        <f>OrdersTable[[#This Row],[Quantity]]*OrdersTable[[#This Row],[Unit Price]]</f>
        <v>549</v>
      </c>
      <c r="T4725" s="5">
        <f>OrdersTable[[#This Row],[Gross Sale]]*OrdersTable[[#This Row],[Discount_Clean2]]</f>
        <v>82.35</v>
      </c>
      <c r="U4725" s="5">
        <f>OrdersTable[[#This Row],[Gross Sale]]-OrdersTable[[#This Row],[Discount Amount]]</f>
        <v>466.65</v>
      </c>
      <c r="V4725" s="77">
        <f>INDEX(Products!E:E,MATCH(OrdersTable[[#This Row],[Product ID]],Products!A:A,0))</f>
        <v>170</v>
      </c>
      <c r="W4725" s="77">
        <f>OrdersTable[[#This Row],[Quantity]]*OrdersTable[[#This Row],[Unit Cost]]</f>
        <v>170</v>
      </c>
      <c r="X4725" s="77">
        <f>'Dropdown Lists'!$I$2*(1+OrdersTable[[#This Row],[Returned]])</f>
        <v>60</v>
      </c>
      <c r="Y4725" s="76">
        <f>OrdersTable[[#This Row],[Net Revenue]]-OrdersTable[[#This Row],[COGS]]-OrdersTable[[#This Row],[Shipping Cost]]</f>
        <v>236.64999999999998</v>
      </c>
      <c r="Z4725" s="78">
        <f>IFERROR(OrdersTable[[#This Row],[Profit]]/OrdersTable[[#This Row],[Net Revenue]],0)</f>
        <v>0.50712525447337398</v>
      </c>
      <c r="AA4725" t="s">
        <v>18</v>
      </c>
      <c r="AB4725" s="79">
        <v>46010</v>
      </c>
      <c r="AC4725">
        <f>OrdersTable[[#This Row],[Delivery Date]]-OrdersTable[[#This Row],[Order Date]]</f>
        <v>5</v>
      </c>
      <c r="AD4725" t="str">
        <f>IF(OrdersTable[[#This Row],[Delivery Days]]&lt;=2, "Express (≤2d)", IF(OrdersTable[[#This Row],[Delivery Days]]&lt;=4, "Standard (3-4d)", "Delayed (5d+)"))</f>
        <v>Delayed (5d+)</v>
      </c>
      <c r="AE4725">
        <v>3</v>
      </c>
      <c r="AF4725">
        <v>0</v>
      </c>
    </row>
    <row r="4726" spans="1:32" ht="15" x14ac:dyDescent="0.35">
      <c r="A4726" t="s">
        <v>2861</v>
      </c>
      <c r="B4726" s="1">
        <v>46005</v>
      </c>
      <c r="C4726">
        <f>YEAR(OrdersTable[[#This Row],[Order Date]])</f>
        <v>2025</v>
      </c>
      <c r="D4726" s="2">
        <f>DATE(YEAR(OrdersTable[[#This Row],[Order Date]]),MONTH(OrdersTable[[#This Row],[Order Date]]),1)</f>
        <v>45992</v>
      </c>
      <c r="E4726">
        <f>MONTH(OrdersTable[[#This Row],[Order Date]])</f>
        <v>12</v>
      </c>
      <c r="F4726" t="s">
        <v>2207</v>
      </c>
      <c r="G4726" t="str">
        <f>IF(OrdersTable[[#This Row],[Order Date]]=_xlfn.MINIFS(Order_Date, Customer_ID, OrdersTable[[#This Row],[Customer ID]]), "New", "Repeat")</f>
        <v>Repeat</v>
      </c>
      <c r="H4726" t="s">
        <v>43</v>
      </c>
      <c r="I4726" t="str">
        <f>INDEX(State!B:B,MATCH(OrdersTable[[#This Row],[State]],State!A:A,0))</f>
        <v>MP</v>
      </c>
      <c r="J4726" t="str">
        <f>INDEX(State!C:C,MATCH(OrdersTable[[#This Row],[State Code]],State!B:B,0))</f>
        <v>West</v>
      </c>
      <c r="K4726" t="s">
        <v>44</v>
      </c>
      <c r="L4726" t="s">
        <v>65</v>
      </c>
      <c r="M4726" t="s">
        <v>24</v>
      </c>
      <c r="N4726" t="str">
        <f>INDEX(Products!B:B,MATCH(OrdersTable[[#This Row],[Product ID]],Products!A:A,0))</f>
        <v>Scented Candle Set</v>
      </c>
      <c r="O4726" t="str">
        <f>INDEX(Products!C:C,MATCH(OrdersTable[[#This Row],[Product ID]],Products!A:A,0))</f>
        <v>Home &amp; Kitchen</v>
      </c>
      <c r="P4726">
        <v>1</v>
      </c>
      <c r="Q4726" s="5">
        <v>699</v>
      </c>
      <c r="R4726" s="74">
        <v>0.2</v>
      </c>
      <c r="S4726" s="75">
        <f>OrdersTable[[#This Row],[Quantity]]*OrdersTable[[#This Row],[Unit Price]]</f>
        <v>699</v>
      </c>
      <c r="T4726" s="5">
        <f>OrdersTable[[#This Row],[Gross Sale]]*OrdersTable[[#This Row],[Discount_Clean2]]</f>
        <v>139.80000000000001</v>
      </c>
      <c r="U4726" s="5">
        <f>OrdersTable[[#This Row],[Gross Sale]]-OrdersTable[[#This Row],[Discount Amount]]</f>
        <v>559.20000000000005</v>
      </c>
      <c r="V4726" s="77">
        <f>INDEX(Products!E:E,MATCH(OrdersTable[[#This Row],[Product ID]],Products!A:A,0))</f>
        <v>245</v>
      </c>
      <c r="W4726" s="77">
        <f>OrdersTable[[#This Row],[Quantity]]*OrdersTable[[#This Row],[Unit Cost]]</f>
        <v>245</v>
      </c>
      <c r="X4726" s="77">
        <f>'Dropdown Lists'!$I$2*(1+OrdersTable[[#This Row],[Returned]])</f>
        <v>60</v>
      </c>
      <c r="Y4726" s="76">
        <f>OrdersTable[[#This Row],[Net Revenue]]-OrdersTable[[#This Row],[COGS]]-OrdersTable[[#This Row],[Shipping Cost]]</f>
        <v>254.20000000000005</v>
      </c>
      <c r="Z4726" s="78">
        <f>IFERROR(OrdersTable[[#This Row],[Profit]]/OrdersTable[[#This Row],[Net Revenue]],0)</f>
        <v>0.45457796852646642</v>
      </c>
      <c r="AA4726" t="s">
        <v>2522</v>
      </c>
      <c r="AB4726" s="79">
        <v>46009</v>
      </c>
      <c r="AC4726">
        <f>OrdersTable[[#This Row],[Delivery Date]]-OrdersTable[[#This Row],[Order Date]]</f>
        <v>4</v>
      </c>
      <c r="AD4726" t="str">
        <f>IF(OrdersTable[[#This Row],[Delivery Days]]&lt;=2, "Express (≤2d)", IF(OrdersTable[[#This Row],[Delivery Days]]&lt;=4, "Standard (3-4d)", "Delayed (5d+)"))</f>
        <v>Standard (3-4d)</v>
      </c>
      <c r="AE4726">
        <v>3</v>
      </c>
      <c r="AF4726">
        <v>0</v>
      </c>
    </row>
    <row r="4727" spans="1:32" ht="15" x14ac:dyDescent="0.35">
      <c r="A4727" t="s">
        <v>1036</v>
      </c>
      <c r="B4727" s="1">
        <v>46005</v>
      </c>
      <c r="C4727">
        <f>YEAR(OrdersTable[[#This Row],[Order Date]])</f>
        <v>2025</v>
      </c>
      <c r="D4727" s="2">
        <f>DATE(YEAR(OrdersTable[[#This Row],[Order Date]]),MONTH(OrdersTable[[#This Row],[Order Date]]),1)</f>
        <v>45992</v>
      </c>
      <c r="E4727">
        <f>MONTH(OrdersTable[[#This Row],[Order Date]])</f>
        <v>12</v>
      </c>
      <c r="F4727" t="s">
        <v>1037</v>
      </c>
      <c r="G4727" t="str">
        <f>IF(OrdersTable[[#This Row],[Order Date]]=_xlfn.MINIFS(Order_Date, Customer_ID, OrdersTable[[#This Row],[Customer ID]]), "New", "Repeat")</f>
        <v>Repeat</v>
      </c>
      <c r="H4727" t="s">
        <v>27</v>
      </c>
      <c r="I4727" t="str">
        <f>INDEX(State!B:B,MATCH(OrdersTable[[#This Row],[State]],State!A:A,0))</f>
        <v>WB</v>
      </c>
      <c r="J4727" t="str">
        <f>INDEX(State!C:C,MATCH(OrdersTable[[#This Row],[State Code]],State!B:B,0))</f>
        <v>East</v>
      </c>
      <c r="K4727" t="s">
        <v>28</v>
      </c>
      <c r="L4727" t="s">
        <v>65</v>
      </c>
      <c r="M4727" t="s">
        <v>73</v>
      </c>
      <c r="N4727" t="str">
        <f>INDEX(Products!B:B,MATCH(OrdersTable[[#This Row],[Product ID]],Products!A:A,0))</f>
        <v>Hydrating Face Wash</v>
      </c>
      <c r="O4727" t="str">
        <f>INDEX(Products!C:C,MATCH(OrdersTable[[#This Row],[Product ID]],Products!A:A,0))</f>
        <v>Skincare</v>
      </c>
      <c r="P4727">
        <v>1</v>
      </c>
      <c r="Q4727" s="5">
        <v>299</v>
      </c>
      <c r="R4727" s="74">
        <v>0.1</v>
      </c>
      <c r="S4727" s="75">
        <f>OrdersTable[[#This Row],[Quantity]]*OrdersTable[[#This Row],[Unit Price]]</f>
        <v>299</v>
      </c>
      <c r="T4727" s="5">
        <f>OrdersTable[[#This Row],[Gross Sale]]*OrdersTable[[#This Row],[Discount_Clean2]]</f>
        <v>29.900000000000002</v>
      </c>
      <c r="U4727" s="5">
        <f>OrdersTable[[#This Row],[Gross Sale]]-OrdersTable[[#This Row],[Discount Amount]]</f>
        <v>269.10000000000002</v>
      </c>
      <c r="V4727" s="77">
        <f>INDEX(Products!E:E,MATCH(OrdersTable[[#This Row],[Product ID]],Products!A:A,0))</f>
        <v>90</v>
      </c>
      <c r="W4727" s="77">
        <f>OrdersTable[[#This Row],[Quantity]]*OrdersTable[[#This Row],[Unit Cost]]</f>
        <v>90</v>
      </c>
      <c r="X4727" s="77">
        <f>'Dropdown Lists'!$I$2*(1+OrdersTable[[#This Row],[Returned]])</f>
        <v>60</v>
      </c>
      <c r="Y4727" s="76">
        <f>OrdersTable[[#This Row],[Net Revenue]]-OrdersTable[[#This Row],[COGS]]-OrdersTable[[#This Row],[Shipping Cost]]</f>
        <v>119.10000000000002</v>
      </c>
      <c r="Z4727" s="78">
        <f>IFERROR(OrdersTable[[#This Row],[Profit]]/OrdersTable[[#This Row],[Net Revenue]],0)</f>
        <v>0.4425863991081383</v>
      </c>
      <c r="AA4727" t="s">
        <v>18</v>
      </c>
      <c r="AB4727" s="79">
        <v>46009</v>
      </c>
      <c r="AC4727">
        <f>OrdersTable[[#This Row],[Delivery Date]]-OrdersTable[[#This Row],[Order Date]]</f>
        <v>4</v>
      </c>
      <c r="AD4727" t="str">
        <f>IF(OrdersTable[[#This Row],[Delivery Days]]&lt;=2, "Express (≤2d)", IF(OrdersTable[[#This Row],[Delivery Days]]&lt;=4, "Standard (3-4d)", "Delayed (5d+)"))</f>
        <v>Standard (3-4d)</v>
      </c>
      <c r="AE4727">
        <v>4</v>
      </c>
      <c r="AF4727">
        <v>0</v>
      </c>
    </row>
    <row r="4728" spans="1:32" ht="15" x14ac:dyDescent="0.35">
      <c r="A4728" t="s">
        <v>6836</v>
      </c>
      <c r="B4728" s="1">
        <v>46005</v>
      </c>
      <c r="C4728">
        <f>YEAR(OrdersTable[[#This Row],[Order Date]])</f>
        <v>2025</v>
      </c>
      <c r="D4728" s="2">
        <f>DATE(YEAR(OrdersTable[[#This Row],[Order Date]]),MONTH(OrdersTable[[#This Row],[Order Date]]),1)</f>
        <v>45992</v>
      </c>
      <c r="E4728">
        <f>MONTH(OrdersTable[[#This Row],[Order Date]])</f>
        <v>12</v>
      </c>
      <c r="F4728" t="s">
        <v>1666</v>
      </c>
      <c r="G4728" t="str">
        <f>IF(OrdersTable[[#This Row],[Order Date]]=_xlfn.MINIFS(Order_Date, Customer_ID, OrdersTable[[#This Row],[Customer ID]]), "New", "Repeat")</f>
        <v>Repeat</v>
      </c>
      <c r="H4728" t="s">
        <v>90</v>
      </c>
      <c r="I4728" t="str">
        <f>INDEX(State!B:B,MATCH(OrdersTable[[#This Row],[State]],State!A:A,0))</f>
        <v>GA</v>
      </c>
      <c r="J4728" t="str">
        <f>INDEX(State!C:C,MATCH(OrdersTable[[#This Row],[State Code]],State!B:B,0))</f>
        <v>West</v>
      </c>
      <c r="K4728" t="s">
        <v>91</v>
      </c>
      <c r="L4728" t="s">
        <v>39</v>
      </c>
      <c r="M4728" t="s">
        <v>29</v>
      </c>
      <c r="N4728" t="str">
        <f>INDEX(Products!B:B,MATCH(OrdersTable[[#This Row],[Product ID]],Products!A:A,0))</f>
        <v>Joggers</v>
      </c>
      <c r="O4728" t="str">
        <f>INDEX(Products!C:C,MATCH(OrdersTable[[#This Row],[Product ID]],Products!A:A,0))</f>
        <v>Apparel</v>
      </c>
      <c r="P4728">
        <v>3</v>
      </c>
      <c r="Q4728" s="5">
        <v>1199</v>
      </c>
      <c r="R4728" s="74">
        <v>0.15</v>
      </c>
      <c r="S4728" s="75">
        <f>OrdersTable[[#This Row],[Quantity]]*OrdersTable[[#This Row],[Unit Price]]</f>
        <v>3597</v>
      </c>
      <c r="T4728" s="5">
        <f>OrdersTable[[#This Row],[Gross Sale]]*OrdersTable[[#This Row],[Discount_Clean2]]</f>
        <v>539.54999999999995</v>
      </c>
      <c r="U4728" s="5">
        <f>OrdersTable[[#This Row],[Gross Sale]]-OrdersTable[[#This Row],[Discount Amount]]</f>
        <v>3057.45</v>
      </c>
      <c r="V4728" s="77">
        <f>INDEX(Products!E:E,MATCH(OrdersTable[[#This Row],[Product ID]],Products!A:A,0))</f>
        <v>492</v>
      </c>
      <c r="W4728" s="77">
        <f>OrdersTable[[#This Row],[Quantity]]*OrdersTable[[#This Row],[Unit Cost]]</f>
        <v>1476</v>
      </c>
      <c r="X4728" s="77">
        <f>'Dropdown Lists'!$I$2*(1+OrdersTable[[#This Row],[Returned]])</f>
        <v>60</v>
      </c>
      <c r="Y4728" s="76">
        <f>OrdersTable[[#This Row],[Net Revenue]]-OrdersTable[[#This Row],[COGS]]-OrdersTable[[#This Row],[Shipping Cost]]</f>
        <v>1521.4499999999998</v>
      </c>
      <c r="Z4728" s="78">
        <f>IFERROR(OrdersTable[[#This Row],[Profit]]/OrdersTable[[#This Row],[Net Revenue]],0)</f>
        <v>0.49762056615807287</v>
      </c>
      <c r="AA4728" t="s">
        <v>3495</v>
      </c>
      <c r="AB4728" s="79">
        <v>46010</v>
      </c>
      <c r="AC4728">
        <f>OrdersTable[[#This Row],[Delivery Date]]-OrdersTable[[#This Row],[Order Date]]</f>
        <v>5</v>
      </c>
      <c r="AD4728" t="str">
        <f>IF(OrdersTable[[#This Row],[Delivery Days]]&lt;=2, "Express (≤2d)", IF(OrdersTable[[#This Row],[Delivery Days]]&lt;=4, "Standard (3-4d)", "Delayed (5d+)"))</f>
        <v>Delayed (5d+)</v>
      </c>
      <c r="AE4728">
        <v>3</v>
      </c>
      <c r="AF4728">
        <v>0</v>
      </c>
    </row>
    <row r="4729" spans="1:32" ht="15" x14ac:dyDescent="0.35">
      <c r="A4729" t="s">
        <v>2489</v>
      </c>
      <c r="B4729" s="1">
        <v>46005</v>
      </c>
      <c r="C4729">
        <f>YEAR(OrdersTable[[#This Row],[Order Date]])</f>
        <v>2025</v>
      </c>
      <c r="D4729" s="2">
        <f>DATE(YEAR(OrdersTable[[#This Row],[Order Date]]),MONTH(OrdersTable[[#This Row],[Order Date]]),1)</f>
        <v>45992</v>
      </c>
      <c r="E4729">
        <f>MONTH(OrdersTable[[#This Row],[Order Date]])</f>
        <v>12</v>
      </c>
      <c r="F4729" t="s">
        <v>593</v>
      </c>
      <c r="G4729" t="str">
        <f>IF(OrdersTable[[#This Row],[Order Date]]=_xlfn.MINIFS(Order_Date, Customer_ID, OrdersTable[[#This Row],[Customer ID]]), "New", "Repeat")</f>
        <v>Repeat</v>
      </c>
      <c r="H4729" t="s">
        <v>59</v>
      </c>
      <c r="I4729" t="str">
        <f>INDEX(State!B:B,MATCH(OrdersTable[[#This Row],[State]],State!A:A,0))</f>
        <v>TN</v>
      </c>
      <c r="J4729" t="str">
        <f>INDEX(State!C:C,MATCH(OrdersTable[[#This Row],[State Code]],State!B:B,0))</f>
        <v>South</v>
      </c>
      <c r="K4729" t="s">
        <v>60</v>
      </c>
      <c r="L4729" t="s">
        <v>23</v>
      </c>
      <c r="M4729" t="s">
        <v>84</v>
      </c>
      <c r="N4729" t="str">
        <f>INDEX(Products!B:B,MATCH(OrdersTable[[#This Row],[Product ID]],Products!A:A,0))</f>
        <v>Cotton Bedsheet</v>
      </c>
      <c r="O4729" t="str">
        <f>INDEX(Products!C:C,MATCH(OrdersTable[[#This Row],[Product ID]],Products!A:A,0))</f>
        <v>Home &amp; Kitchen</v>
      </c>
      <c r="P4729">
        <v>1</v>
      </c>
      <c r="Q4729" s="5">
        <v>1299</v>
      </c>
      <c r="R4729" s="74">
        <v>0</v>
      </c>
      <c r="S4729" s="75">
        <f>OrdersTable[[#This Row],[Quantity]]*OrdersTable[[#This Row],[Unit Price]]</f>
        <v>1299</v>
      </c>
      <c r="T4729" s="5">
        <f>OrdersTable[[#This Row],[Gross Sale]]*OrdersTable[[#This Row],[Discount_Clean2]]</f>
        <v>0</v>
      </c>
      <c r="U4729" s="5">
        <f>OrdersTable[[#This Row],[Gross Sale]]-OrdersTable[[#This Row],[Discount Amount]]</f>
        <v>1299</v>
      </c>
      <c r="V4729" s="77">
        <f>INDEX(Products!E:E,MATCH(OrdersTable[[#This Row],[Product ID]],Products!A:A,0))</f>
        <v>585</v>
      </c>
      <c r="W4729" s="77">
        <f>OrdersTable[[#This Row],[Quantity]]*OrdersTable[[#This Row],[Unit Cost]]</f>
        <v>585</v>
      </c>
      <c r="X4729" s="77">
        <f>'Dropdown Lists'!$I$2*(1+OrdersTable[[#This Row],[Returned]])</f>
        <v>120</v>
      </c>
      <c r="Y4729" s="76">
        <f>OrdersTable[[#This Row],[Net Revenue]]-OrdersTable[[#This Row],[COGS]]-OrdersTable[[#This Row],[Shipping Cost]]</f>
        <v>594</v>
      </c>
      <c r="Z4729" s="78">
        <f>IFERROR(OrdersTable[[#This Row],[Profit]]/OrdersTable[[#This Row],[Net Revenue]],0)</f>
        <v>0.45727482678983833</v>
      </c>
      <c r="AA4729" t="s">
        <v>18</v>
      </c>
      <c r="AB4729" s="79">
        <v>46007</v>
      </c>
      <c r="AC4729">
        <f>OrdersTable[[#This Row],[Delivery Date]]-OrdersTable[[#This Row],[Order Date]]</f>
        <v>2</v>
      </c>
      <c r="AD4729" t="str">
        <f>IF(OrdersTable[[#This Row],[Delivery Days]]&lt;=2, "Express (≤2d)", IF(OrdersTable[[#This Row],[Delivery Days]]&lt;=4, "Standard (3-4d)", "Delayed (5d+)"))</f>
        <v>Express (≤2d)</v>
      </c>
      <c r="AE4729">
        <v>5</v>
      </c>
      <c r="AF4729">
        <v>1</v>
      </c>
    </row>
    <row r="4730" spans="1:32" ht="15" x14ac:dyDescent="0.35">
      <c r="A4730" t="s">
        <v>5746</v>
      </c>
      <c r="B4730" s="1">
        <v>46006</v>
      </c>
      <c r="C4730">
        <f>YEAR(OrdersTable[[#This Row],[Order Date]])</f>
        <v>2025</v>
      </c>
      <c r="D4730" s="2">
        <f>DATE(YEAR(OrdersTable[[#This Row],[Order Date]]),MONTH(OrdersTable[[#This Row],[Order Date]]),1)</f>
        <v>45992</v>
      </c>
      <c r="E4730">
        <f>MONTH(OrdersTable[[#This Row],[Order Date]])</f>
        <v>12</v>
      </c>
      <c r="F4730" t="s">
        <v>1110</v>
      </c>
      <c r="G4730" t="str">
        <f>IF(OrdersTable[[#This Row],[Order Date]]=_xlfn.MINIFS(Order_Date, Customer_ID, OrdersTable[[#This Row],[Customer ID]]), "New", "Repeat")</f>
        <v>Repeat</v>
      </c>
      <c r="H4730" t="s">
        <v>14</v>
      </c>
      <c r="I4730" t="str">
        <f>INDEX(State!B:B,MATCH(OrdersTable[[#This Row],[State]],State!A:A,0))</f>
        <v>OD</v>
      </c>
      <c r="J4730" t="str">
        <f>INDEX(State!C:C,MATCH(OrdersTable[[#This Row],[State Code]],State!B:B,0))</f>
        <v>East</v>
      </c>
      <c r="K4730" t="s">
        <v>15</v>
      </c>
      <c r="L4730" t="s">
        <v>23</v>
      </c>
      <c r="M4730" t="s">
        <v>255</v>
      </c>
      <c r="N4730" t="str">
        <f>INDEX(Products!B:B,MATCH(OrdersTable[[#This Row],[Product ID]],Products!A:A,0))</f>
        <v>Cotton Oversized T-Shirt</v>
      </c>
      <c r="O4730" t="str">
        <f>INDEX(Products!C:C,MATCH(OrdersTable[[#This Row],[Product ID]],Products!A:A,0))</f>
        <v>Apparel</v>
      </c>
      <c r="P4730">
        <v>2</v>
      </c>
      <c r="Q4730" s="5">
        <v>799</v>
      </c>
      <c r="R4730" s="74">
        <v>0</v>
      </c>
      <c r="S4730" s="75">
        <f>OrdersTable[[#This Row],[Quantity]]*OrdersTable[[#This Row],[Unit Price]]</f>
        <v>1598</v>
      </c>
      <c r="T4730" s="5">
        <f>OrdersTable[[#This Row],[Gross Sale]]*OrdersTable[[#This Row],[Discount_Clean2]]</f>
        <v>0</v>
      </c>
      <c r="U4730" s="5">
        <f>OrdersTable[[#This Row],[Gross Sale]]-OrdersTable[[#This Row],[Discount Amount]]</f>
        <v>1598</v>
      </c>
      <c r="V4730" s="77">
        <f>INDEX(Products!E:E,MATCH(OrdersTable[[#This Row],[Product ID]],Products!A:A,0))</f>
        <v>320</v>
      </c>
      <c r="W4730" s="77">
        <f>OrdersTable[[#This Row],[Quantity]]*OrdersTable[[#This Row],[Unit Cost]]</f>
        <v>640</v>
      </c>
      <c r="X4730" s="77">
        <f>'Dropdown Lists'!$I$2*(1+OrdersTable[[#This Row],[Returned]])</f>
        <v>60</v>
      </c>
      <c r="Y4730" s="76">
        <f>OrdersTable[[#This Row],[Net Revenue]]-OrdersTable[[#This Row],[COGS]]-OrdersTable[[#This Row],[Shipping Cost]]</f>
        <v>898</v>
      </c>
      <c r="Z4730" s="78">
        <f>IFERROR(OrdersTable[[#This Row],[Profit]]/OrdersTable[[#This Row],[Net Revenue]],0)</f>
        <v>0.56195244055068838</v>
      </c>
      <c r="AA4730" t="s">
        <v>18</v>
      </c>
      <c r="AB4730" s="79">
        <v>46011</v>
      </c>
      <c r="AC4730">
        <f>OrdersTable[[#This Row],[Delivery Date]]-OrdersTable[[#This Row],[Order Date]]</f>
        <v>5</v>
      </c>
      <c r="AD4730" t="str">
        <f>IF(OrdersTable[[#This Row],[Delivery Days]]&lt;=2, "Express (≤2d)", IF(OrdersTable[[#This Row],[Delivery Days]]&lt;=4, "Standard (3-4d)", "Delayed (5d+)"))</f>
        <v>Delayed (5d+)</v>
      </c>
      <c r="AE4730">
        <v>3</v>
      </c>
      <c r="AF4730">
        <v>0</v>
      </c>
    </row>
    <row r="4731" spans="1:32" ht="15" x14ac:dyDescent="0.35">
      <c r="A4731" t="s">
        <v>5464</v>
      </c>
      <c r="B4731" s="1">
        <v>46006</v>
      </c>
      <c r="C4731">
        <f>YEAR(OrdersTable[[#This Row],[Order Date]])</f>
        <v>2025</v>
      </c>
      <c r="D4731" s="2">
        <f>DATE(YEAR(OrdersTable[[#This Row],[Order Date]]),MONTH(OrdersTable[[#This Row],[Order Date]]),1)</f>
        <v>45992</v>
      </c>
      <c r="E4731">
        <f>MONTH(OrdersTable[[#This Row],[Order Date]])</f>
        <v>12</v>
      </c>
      <c r="F4731" t="s">
        <v>2988</v>
      </c>
      <c r="G4731" t="str">
        <f>IF(OrdersTable[[#This Row],[Order Date]]=_xlfn.MINIFS(Order_Date, Customer_ID, OrdersTable[[#This Row],[Customer ID]]), "New", "Repeat")</f>
        <v>Repeat</v>
      </c>
      <c r="H4731" t="s">
        <v>167</v>
      </c>
      <c r="I4731" t="str">
        <f>INDEX(State!B:B,MATCH(OrdersTable[[#This Row],[State]],State!A:A,0))</f>
        <v>KA</v>
      </c>
      <c r="J4731" t="str">
        <f>INDEX(State!C:C,MATCH(OrdersTable[[#This Row],[State Code]],State!B:B,0))</f>
        <v>South</v>
      </c>
      <c r="K4731" t="s">
        <v>168</v>
      </c>
      <c r="L4731" t="s">
        <v>50</v>
      </c>
      <c r="M4731" t="s">
        <v>109</v>
      </c>
      <c r="N4731" t="str">
        <f>INDEX(Products!B:B,MATCH(OrdersTable[[#This Row],[Product ID]],Products!A:A,0))</f>
        <v>Onion Hair Oil</v>
      </c>
      <c r="O4731" t="str">
        <f>INDEX(Products!C:C,MATCH(OrdersTable[[#This Row],[Product ID]],Products!A:A,0))</f>
        <v>Haircare</v>
      </c>
      <c r="P4731">
        <v>2</v>
      </c>
      <c r="Q4731" s="5">
        <v>349</v>
      </c>
      <c r="R4731" s="74">
        <v>0.4</v>
      </c>
      <c r="S4731" s="75">
        <f>OrdersTable[[#This Row],[Quantity]]*OrdersTable[[#This Row],[Unit Price]]</f>
        <v>698</v>
      </c>
      <c r="T4731" s="5">
        <f>OrdersTable[[#This Row],[Gross Sale]]*OrdersTable[[#This Row],[Discount_Clean2]]</f>
        <v>279.2</v>
      </c>
      <c r="U4731" s="5">
        <f>OrdersTable[[#This Row],[Gross Sale]]-OrdersTable[[#This Row],[Discount Amount]]</f>
        <v>418.8</v>
      </c>
      <c r="V4731" s="77">
        <f>INDEX(Products!E:E,MATCH(OrdersTable[[#This Row],[Product ID]],Products!A:A,0))</f>
        <v>105</v>
      </c>
      <c r="W4731" s="77">
        <f>OrdersTable[[#This Row],[Quantity]]*OrdersTable[[#This Row],[Unit Cost]]</f>
        <v>210</v>
      </c>
      <c r="X4731" s="77">
        <f>'Dropdown Lists'!$I$2*(1+OrdersTable[[#This Row],[Returned]])</f>
        <v>60</v>
      </c>
      <c r="Y4731" s="76">
        <f>OrdersTable[[#This Row],[Net Revenue]]-OrdersTable[[#This Row],[COGS]]-OrdersTable[[#This Row],[Shipping Cost]]</f>
        <v>148.80000000000001</v>
      </c>
      <c r="Z4731" s="78">
        <f>IFERROR(OrdersTable[[#This Row],[Profit]]/OrdersTable[[#This Row],[Net Revenue]],0)</f>
        <v>0.35530085959885388</v>
      </c>
      <c r="AA4731" t="s">
        <v>2522</v>
      </c>
      <c r="AB4731" s="79">
        <v>46008</v>
      </c>
      <c r="AC4731">
        <f>OrdersTable[[#This Row],[Delivery Date]]-OrdersTable[[#This Row],[Order Date]]</f>
        <v>2</v>
      </c>
      <c r="AD4731" t="str">
        <f>IF(OrdersTable[[#This Row],[Delivery Days]]&lt;=2, "Express (≤2d)", IF(OrdersTable[[#This Row],[Delivery Days]]&lt;=4, "Standard (3-4d)", "Delayed (5d+)"))</f>
        <v>Express (≤2d)</v>
      </c>
      <c r="AF4731">
        <v>0</v>
      </c>
    </row>
    <row r="4732" spans="1:32" ht="15" x14ac:dyDescent="0.35">
      <c r="A4732" t="s">
        <v>5747</v>
      </c>
      <c r="B4732" s="1">
        <v>46006</v>
      </c>
      <c r="C4732">
        <f>YEAR(OrdersTable[[#This Row],[Order Date]])</f>
        <v>2025</v>
      </c>
      <c r="D4732" s="2">
        <f>DATE(YEAR(OrdersTable[[#This Row],[Order Date]]),MONTH(OrdersTable[[#This Row],[Order Date]]),1)</f>
        <v>45992</v>
      </c>
      <c r="E4732">
        <f>MONTH(OrdersTable[[#This Row],[Order Date]])</f>
        <v>12</v>
      </c>
      <c r="F4732" t="s">
        <v>5748</v>
      </c>
      <c r="G4732" t="str">
        <f>IF(OrdersTable[[#This Row],[Order Date]]=_xlfn.MINIFS(Order_Date, Customer_ID, OrdersTable[[#This Row],[Customer ID]]), "New", "Repeat")</f>
        <v>New</v>
      </c>
      <c r="H4732" t="s">
        <v>275</v>
      </c>
      <c r="I4732" t="str">
        <f>INDEX(State!B:B,MATCH(OrdersTable[[#This Row],[State]],State!A:A,0))</f>
        <v>AP</v>
      </c>
      <c r="J4732" t="str">
        <f>INDEX(State!C:C,MATCH(OrdersTable[[#This Row],[State Code]],State!B:B,0))</f>
        <v>South</v>
      </c>
      <c r="K4732" t="s">
        <v>276</v>
      </c>
      <c r="L4732" t="s">
        <v>39</v>
      </c>
      <c r="M4732" t="s">
        <v>61</v>
      </c>
      <c r="N4732" t="str">
        <f>INDEX(Products!B:B,MATCH(OrdersTable[[#This Row],[Product ID]],Products!A:A,0))</f>
        <v>Multivitamin Gummies</v>
      </c>
      <c r="O4732" t="str">
        <f>INDEX(Products!C:C,MATCH(OrdersTable[[#This Row],[Product ID]],Products!A:A,0))</f>
        <v>Wellness</v>
      </c>
      <c r="P4732">
        <v>2</v>
      </c>
      <c r="Q4732" s="5">
        <v>699</v>
      </c>
      <c r="R4732" s="74">
        <v>0.25</v>
      </c>
      <c r="S4732" s="75">
        <f>OrdersTable[[#This Row],[Quantity]]*OrdersTable[[#This Row],[Unit Price]]</f>
        <v>1398</v>
      </c>
      <c r="T4732" s="5">
        <f>OrdersTable[[#This Row],[Gross Sale]]*OrdersTable[[#This Row],[Discount_Clean2]]</f>
        <v>349.5</v>
      </c>
      <c r="U4732" s="5">
        <f>OrdersTable[[#This Row],[Gross Sale]]-OrdersTable[[#This Row],[Discount Amount]]</f>
        <v>1048.5</v>
      </c>
      <c r="V4732" s="77">
        <f>INDEX(Products!E:E,MATCH(OrdersTable[[#This Row],[Product ID]],Products!A:A,0))</f>
        <v>238</v>
      </c>
      <c r="W4732" s="77">
        <f>OrdersTable[[#This Row],[Quantity]]*OrdersTable[[#This Row],[Unit Cost]]</f>
        <v>476</v>
      </c>
      <c r="X4732" s="77">
        <f>'Dropdown Lists'!$I$2*(1+OrdersTable[[#This Row],[Returned]])</f>
        <v>60</v>
      </c>
      <c r="Y4732" s="76">
        <f>OrdersTable[[#This Row],[Net Revenue]]-OrdersTable[[#This Row],[COGS]]-OrdersTable[[#This Row],[Shipping Cost]]</f>
        <v>512.5</v>
      </c>
      <c r="Z4732" s="78">
        <f>IFERROR(OrdersTable[[#This Row],[Profit]]/OrdersTable[[#This Row],[Net Revenue]],0)</f>
        <v>0.48879351454458753</v>
      </c>
      <c r="AA4732" t="s">
        <v>18</v>
      </c>
      <c r="AB4732" s="79">
        <v>46011</v>
      </c>
      <c r="AC4732">
        <f>OrdersTable[[#This Row],[Delivery Date]]-OrdersTable[[#This Row],[Order Date]]</f>
        <v>5</v>
      </c>
      <c r="AD4732" t="str">
        <f>IF(OrdersTable[[#This Row],[Delivery Days]]&lt;=2, "Express (≤2d)", IF(OrdersTable[[#This Row],[Delivery Days]]&lt;=4, "Standard (3-4d)", "Delayed (5d+)"))</f>
        <v>Delayed (5d+)</v>
      </c>
      <c r="AE4732">
        <v>3</v>
      </c>
      <c r="AF4732">
        <v>0</v>
      </c>
    </row>
    <row r="4733" spans="1:32" ht="15" x14ac:dyDescent="0.35">
      <c r="A4733" t="s">
        <v>2534</v>
      </c>
      <c r="B4733" s="1">
        <v>46007</v>
      </c>
      <c r="C4733">
        <f>YEAR(OrdersTable[[#This Row],[Order Date]])</f>
        <v>2025</v>
      </c>
      <c r="D4733" s="2">
        <f>DATE(YEAR(OrdersTable[[#This Row],[Order Date]]),MONTH(OrdersTable[[#This Row],[Order Date]]),1)</f>
        <v>45992</v>
      </c>
      <c r="E4733">
        <f>MONTH(OrdersTable[[#This Row],[Order Date]])</f>
        <v>12</v>
      </c>
      <c r="F4733" t="s">
        <v>1770</v>
      </c>
      <c r="G4733" t="str">
        <f>IF(OrdersTable[[#This Row],[Order Date]]=_xlfn.MINIFS(Order_Date, Customer_ID, OrdersTable[[#This Row],[Customer ID]]), "New", "Repeat")</f>
        <v>Repeat</v>
      </c>
      <c r="H4733" t="s">
        <v>37</v>
      </c>
      <c r="I4733" t="str">
        <f>INDEX(State!B:B,MATCH(OrdersTable[[#This Row],[State]],State!A:A,0))</f>
        <v>GJ</v>
      </c>
      <c r="J4733" t="str">
        <f>INDEX(State!C:C,MATCH(OrdersTable[[#This Row],[State Code]],State!B:B,0))</f>
        <v>West</v>
      </c>
      <c r="K4733" t="s">
        <v>38</v>
      </c>
      <c r="L4733" t="s">
        <v>23</v>
      </c>
      <c r="M4733" t="s">
        <v>78</v>
      </c>
      <c r="N4733" t="str">
        <f>INDEX(Products!B:B,MATCH(OrdersTable[[#This Row],[Product ID]],Products!A:A,0))</f>
        <v>Retinol Night Cream</v>
      </c>
      <c r="O4733" t="str">
        <f>INDEX(Products!C:C,MATCH(OrdersTable[[#This Row],[Product ID]],Products!A:A,0))</f>
        <v>Skincare</v>
      </c>
      <c r="P4733">
        <v>1</v>
      </c>
      <c r="Q4733" s="5">
        <v>799</v>
      </c>
      <c r="R4733" s="74">
        <v>0.05</v>
      </c>
      <c r="S4733" s="75">
        <f>OrdersTable[[#This Row],[Quantity]]*OrdersTable[[#This Row],[Unit Price]]</f>
        <v>799</v>
      </c>
      <c r="T4733" s="5">
        <f>OrdersTable[[#This Row],[Gross Sale]]*OrdersTable[[#This Row],[Discount_Clean2]]</f>
        <v>39.950000000000003</v>
      </c>
      <c r="U4733" s="5">
        <f>OrdersTable[[#This Row],[Gross Sale]]-OrdersTable[[#This Row],[Discount Amount]]</f>
        <v>759.05</v>
      </c>
      <c r="V4733" s="77">
        <f>INDEX(Products!E:E,MATCH(OrdersTable[[#This Row],[Product ID]],Products!A:A,0))</f>
        <v>216</v>
      </c>
      <c r="W4733" s="77">
        <f>OrdersTable[[#This Row],[Quantity]]*OrdersTable[[#This Row],[Unit Cost]]</f>
        <v>216</v>
      </c>
      <c r="X4733" s="77">
        <f>'Dropdown Lists'!$I$2*(1+OrdersTable[[#This Row],[Returned]])</f>
        <v>60</v>
      </c>
      <c r="Y4733" s="76">
        <f>OrdersTable[[#This Row],[Net Revenue]]-OrdersTable[[#This Row],[COGS]]-OrdersTable[[#This Row],[Shipping Cost]]</f>
        <v>483.04999999999995</v>
      </c>
      <c r="Z4733" s="78">
        <f>IFERROR(OrdersTable[[#This Row],[Profit]]/OrdersTable[[#This Row],[Net Revenue]],0)</f>
        <v>0.63638758975034582</v>
      </c>
      <c r="AA4733" t="s">
        <v>2522</v>
      </c>
      <c r="AB4733" s="79">
        <v>46011</v>
      </c>
      <c r="AC4733">
        <f>OrdersTable[[#This Row],[Delivery Date]]-OrdersTable[[#This Row],[Order Date]]</f>
        <v>4</v>
      </c>
      <c r="AD4733" t="str">
        <f>IF(OrdersTable[[#This Row],[Delivery Days]]&lt;=2, "Express (≤2d)", IF(OrdersTable[[#This Row],[Delivery Days]]&lt;=4, "Standard (3-4d)", "Delayed (5d+)"))</f>
        <v>Standard (3-4d)</v>
      </c>
      <c r="AE4733">
        <v>2</v>
      </c>
      <c r="AF4733">
        <v>0</v>
      </c>
    </row>
    <row r="4734" spans="1:32" ht="15" x14ac:dyDescent="0.35">
      <c r="A4734" t="s">
        <v>6240</v>
      </c>
      <c r="B4734" s="1">
        <v>46007</v>
      </c>
      <c r="C4734">
        <f>YEAR(OrdersTable[[#This Row],[Order Date]])</f>
        <v>2025</v>
      </c>
      <c r="D4734" s="2">
        <f>DATE(YEAR(OrdersTable[[#This Row],[Order Date]]),MONTH(OrdersTable[[#This Row],[Order Date]]),1)</f>
        <v>45992</v>
      </c>
      <c r="E4734">
        <f>MONTH(OrdersTable[[#This Row],[Order Date]])</f>
        <v>12</v>
      </c>
      <c r="F4734" t="s">
        <v>752</v>
      </c>
      <c r="G4734" t="str">
        <f>IF(OrdersTable[[#This Row],[Order Date]]=_xlfn.MINIFS(Order_Date, Customer_ID, OrdersTable[[#This Row],[Customer ID]]), "New", "Repeat")</f>
        <v>Repeat</v>
      </c>
      <c r="H4734" t="s">
        <v>14</v>
      </c>
      <c r="I4734" t="str">
        <f>INDEX(State!B:B,MATCH(OrdersTable[[#This Row],[State]],State!A:A,0))</f>
        <v>OD</v>
      </c>
      <c r="J4734" t="str">
        <f>INDEX(State!C:C,MATCH(OrdersTable[[#This Row],[State Code]],State!B:B,0))</f>
        <v>East</v>
      </c>
      <c r="K4734" t="s">
        <v>15</v>
      </c>
      <c r="L4734" t="s">
        <v>50</v>
      </c>
      <c r="M4734" t="s">
        <v>56</v>
      </c>
      <c r="N4734" t="str">
        <f>INDEX(Products!B:B,MATCH(OrdersTable[[#This Row],[Product ID]],Products!A:A,0))</f>
        <v>Vitamin C Face Serum</v>
      </c>
      <c r="O4734" t="str">
        <f>INDEX(Products!C:C,MATCH(OrdersTable[[#This Row],[Product ID]],Products!A:A,0))</f>
        <v>Skincare</v>
      </c>
      <c r="P4734">
        <v>2</v>
      </c>
      <c r="Q4734" s="5">
        <v>599</v>
      </c>
      <c r="R4734" s="74">
        <v>0.15</v>
      </c>
      <c r="S4734" s="75">
        <f>OrdersTable[[#This Row],[Quantity]]*OrdersTable[[#This Row],[Unit Price]]</f>
        <v>1198</v>
      </c>
      <c r="T4734" s="5">
        <f>OrdersTable[[#This Row],[Gross Sale]]*OrdersTable[[#This Row],[Discount_Clean2]]</f>
        <v>179.7</v>
      </c>
      <c r="U4734" s="5">
        <f>OrdersTable[[#This Row],[Gross Sale]]-OrdersTable[[#This Row],[Discount Amount]]</f>
        <v>1018.3</v>
      </c>
      <c r="V4734" s="77">
        <f>INDEX(Products!E:E,MATCH(OrdersTable[[#This Row],[Product ID]],Products!A:A,0))</f>
        <v>180</v>
      </c>
      <c r="W4734" s="77">
        <f>OrdersTable[[#This Row],[Quantity]]*OrdersTable[[#This Row],[Unit Cost]]</f>
        <v>360</v>
      </c>
      <c r="X4734" s="77">
        <f>'Dropdown Lists'!$I$2*(1+OrdersTable[[#This Row],[Returned]])</f>
        <v>60</v>
      </c>
      <c r="Y4734" s="76">
        <f>OrdersTable[[#This Row],[Net Revenue]]-OrdersTable[[#This Row],[COGS]]-OrdersTable[[#This Row],[Shipping Cost]]</f>
        <v>598.29999999999995</v>
      </c>
      <c r="Z4734" s="78">
        <f>IFERROR(OrdersTable[[#This Row],[Profit]]/OrdersTable[[#This Row],[Net Revenue]],0)</f>
        <v>0.58754787390749286</v>
      </c>
      <c r="AA4734" t="s">
        <v>18</v>
      </c>
      <c r="AB4734" s="79">
        <v>46011</v>
      </c>
      <c r="AC4734">
        <f>OrdersTable[[#This Row],[Delivery Date]]-OrdersTable[[#This Row],[Order Date]]</f>
        <v>4</v>
      </c>
      <c r="AD4734" t="str">
        <f>IF(OrdersTable[[#This Row],[Delivery Days]]&lt;=2, "Express (≤2d)", IF(OrdersTable[[#This Row],[Delivery Days]]&lt;=4, "Standard (3-4d)", "Delayed (5d+)"))</f>
        <v>Standard (3-4d)</v>
      </c>
      <c r="AE4734">
        <v>4</v>
      </c>
      <c r="AF4734">
        <v>0</v>
      </c>
    </row>
    <row r="4735" spans="1:32" ht="15" x14ac:dyDescent="0.35">
      <c r="A4735" t="s">
        <v>418</v>
      </c>
      <c r="B4735" s="1">
        <v>46007</v>
      </c>
      <c r="C4735">
        <f>YEAR(OrdersTable[[#This Row],[Order Date]])</f>
        <v>2025</v>
      </c>
      <c r="D4735" s="2">
        <f>DATE(YEAR(OrdersTable[[#This Row],[Order Date]]),MONTH(OrdersTable[[#This Row],[Order Date]]),1)</f>
        <v>45992</v>
      </c>
      <c r="E4735">
        <f>MONTH(OrdersTable[[#This Row],[Order Date]])</f>
        <v>12</v>
      </c>
      <c r="F4735" t="s">
        <v>419</v>
      </c>
      <c r="G4735" t="str">
        <f>IF(OrdersTable[[#This Row],[Order Date]]=_xlfn.MINIFS(Order_Date, Customer_ID, OrdersTable[[#This Row],[Customer ID]]), "New", "Repeat")</f>
        <v>Repeat</v>
      </c>
      <c r="H4735" t="s">
        <v>167</v>
      </c>
      <c r="I4735" t="str">
        <f>INDEX(State!B:B,MATCH(OrdersTable[[#This Row],[State]],State!A:A,0))</f>
        <v>KA</v>
      </c>
      <c r="J4735" t="str">
        <f>INDEX(State!C:C,MATCH(OrdersTable[[#This Row],[State Code]],State!B:B,0))</f>
        <v>South</v>
      </c>
      <c r="K4735" t="s">
        <v>190</v>
      </c>
      <c r="L4735" t="s">
        <v>39</v>
      </c>
      <c r="M4735" t="s">
        <v>255</v>
      </c>
      <c r="N4735" t="str">
        <f>INDEX(Products!B:B,MATCH(OrdersTable[[#This Row],[Product ID]],Products!A:A,0))</f>
        <v>Cotton Oversized T-Shirt</v>
      </c>
      <c r="O4735" t="str">
        <f>INDEX(Products!C:C,MATCH(OrdersTable[[#This Row],[Product ID]],Products!A:A,0))</f>
        <v>Apparel</v>
      </c>
      <c r="P4735">
        <v>1</v>
      </c>
      <c r="Q4735" s="5">
        <v>799</v>
      </c>
      <c r="R4735" s="74">
        <v>0</v>
      </c>
      <c r="S4735" s="75">
        <f>OrdersTable[[#This Row],[Quantity]]*OrdersTable[[#This Row],[Unit Price]]</f>
        <v>799</v>
      </c>
      <c r="T4735" s="5">
        <f>OrdersTable[[#This Row],[Gross Sale]]*OrdersTable[[#This Row],[Discount_Clean2]]</f>
        <v>0</v>
      </c>
      <c r="U4735" s="5">
        <f>OrdersTable[[#This Row],[Gross Sale]]-OrdersTable[[#This Row],[Discount Amount]]</f>
        <v>799</v>
      </c>
      <c r="V4735" s="77">
        <f>INDEX(Products!E:E,MATCH(OrdersTable[[#This Row],[Product ID]],Products!A:A,0))</f>
        <v>320</v>
      </c>
      <c r="W4735" s="77">
        <f>OrdersTable[[#This Row],[Quantity]]*OrdersTable[[#This Row],[Unit Cost]]</f>
        <v>320</v>
      </c>
      <c r="X4735" s="77">
        <f>'Dropdown Lists'!$I$2*(1+OrdersTable[[#This Row],[Returned]])</f>
        <v>60</v>
      </c>
      <c r="Y4735" s="76">
        <f>OrdersTable[[#This Row],[Net Revenue]]-OrdersTable[[#This Row],[COGS]]-OrdersTable[[#This Row],[Shipping Cost]]</f>
        <v>419</v>
      </c>
      <c r="Z4735" s="78">
        <f>IFERROR(OrdersTable[[#This Row],[Profit]]/OrdersTable[[#This Row],[Net Revenue]],0)</f>
        <v>0.52440550688360454</v>
      </c>
      <c r="AA4735" t="s">
        <v>18</v>
      </c>
      <c r="AB4735" s="79">
        <v>46010</v>
      </c>
      <c r="AC4735">
        <f>OrdersTable[[#This Row],[Delivery Date]]-OrdersTable[[#This Row],[Order Date]]</f>
        <v>3</v>
      </c>
      <c r="AD4735" t="str">
        <f>IF(OrdersTable[[#This Row],[Delivery Days]]&lt;=2, "Express (≤2d)", IF(OrdersTable[[#This Row],[Delivery Days]]&lt;=4, "Standard (3-4d)", "Delayed (5d+)"))</f>
        <v>Standard (3-4d)</v>
      </c>
      <c r="AE4735">
        <v>4</v>
      </c>
      <c r="AF4735">
        <v>0</v>
      </c>
    </row>
    <row r="4736" spans="1:32" ht="15" x14ac:dyDescent="0.35">
      <c r="A4736" t="s">
        <v>2490</v>
      </c>
      <c r="B4736" s="1">
        <v>46008</v>
      </c>
      <c r="C4736">
        <f>YEAR(OrdersTable[[#This Row],[Order Date]])</f>
        <v>2025</v>
      </c>
      <c r="D4736" s="2">
        <f>DATE(YEAR(OrdersTable[[#This Row],[Order Date]]),MONTH(OrdersTable[[#This Row],[Order Date]]),1)</f>
        <v>45992</v>
      </c>
      <c r="E4736">
        <f>MONTH(OrdersTable[[#This Row],[Order Date]])</f>
        <v>12</v>
      </c>
      <c r="F4736" t="s">
        <v>2491</v>
      </c>
      <c r="G4736" t="str">
        <f>IF(OrdersTable[[#This Row],[Order Date]]=_xlfn.MINIFS(Order_Date, Customer_ID, OrdersTable[[#This Row],[Customer ID]]), "New", "Repeat")</f>
        <v>New</v>
      </c>
      <c r="H4736" t="s">
        <v>128</v>
      </c>
      <c r="I4736" t="str">
        <f>INDEX(State!B:B,MATCH(OrdersTable[[#This Row],[State]],State!A:A,0))</f>
        <v>DL</v>
      </c>
      <c r="J4736" t="str">
        <f>INDEX(State!C:C,MATCH(OrdersTable[[#This Row],[State Code]],State!B:B,0))</f>
        <v>North</v>
      </c>
      <c r="K4736" t="s">
        <v>129</v>
      </c>
      <c r="L4736" t="s">
        <v>39</v>
      </c>
      <c r="M4736" t="s">
        <v>125</v>
      </c>
      <c r="N4736" t="str">
        <f>INDEX(Products!B:B,MATCH(OrdersTable[[#This Row],[Product ID]],Products!A:A,0))</f>
        <v>Copper Water Bottle</v>
      </c>
      <c r="O4736" t="str">
        <f>INDEX(Products!C:C,MATCH(OrdersTable[[#This Row],[Product ID]],Products!A:A,0))</f>
        <v>Home &amp; Kitchen</v>
      </c>
      <c r="P4736">
        <v>1</v>
      </c>
      <c r="Q4736" s="5">
        <v>899</v>
      </c>
      <c r="R4736" s="74">
        <v>0.1</v>
      </c>
      <c r="S4736" s="75">
        <f>OrdersTable[[#This Row],[Quantity]]*OrdersTable[[#This Row],[Unit Price]]</f>
        <v>899</v>
      </c>
      <c r="T4736" s="5">
        <f>OrdersTable[[#This Row],[Gross Sale]]*OrdersTable[[#This Row],[Discount_Clean2]]</f>
        <v>89.9</v>
      </c>
      <c r="U4736" s="5">
        <f>OrdersTable[[#This Row],[Gross Sale]]-OrdersTable[[#This Row],[Discount Amount]]</f>
        <v>809.1</v>
      </c>
      <c r="V4736" s="77">
        <f>INDEX(Products!E:E,MATCH(OrdersTable[[#This Row],[Product ID]],Products!A:A,0))</f>
        <v>378</v>
      </c>
      <c r="W4736" s="77">
        <f>OrdersTable[[#This Row],[Quantity]]*OrdersTable[[#This Row],[Unit Cost]]</f>
        <v>378</v>
      </c>
      <c r="X4736" s="77">
        <f>'Dropdown Lists'!$I$2*(1+OrdersTable[[#This Row],[Returned]])</f>
        <v>60</v>
      </c>
      <c r="Y4736" s="76">
        <f>OrdersTable[[#This Row],[Net Revenue]]-OrdersTable[[#This Row],[COGS]]-OrdersTable[[#This Row],[Shipping Cost]]</f>
        <v>371.1</v>
      </c>
      <c r="Z4736" s="78">
        <f>IFERROR(OrdersTable[[#This Row],[Profit]]/OrdersTable[[#This Row],[Net Revenue]],0)</f>
        <v>0.45865776789024842</v>
      </c>
      <c r="AA4736" t="s">
        <v>18</v>
      </c>
      <c r="AB4736" s="79">
        <v>46009</v>
      </c>
      <c r="AC4736">
        <f>OrdersTable[[#This Row],[Delivery Date]]-OrdersTable[[#This Row],[Order Date]]</f>
        <v>1</v>
      </c>
      <c r="AD4736" t="str">
        <f>IF(OrdersTable[[#This Row],[Delivery Days]]&lt;=2, "Express (≤2d)", IF(OrdersTable[[#This Row],[Delivery Days]]&lt;=4, "Standard (3-4d)", "Delayed (5d+)"))</f>
        <v>Express (≤2d)</v>
      </c>
      <c r="AE4736">
        <v>5</v>
      </c>
      <c r="AF4736">
        <v>0</v>
      </c>
    </row>
    <row r="4737" spans="1:32" ht="15" x14ac:dyDescent="0.35">
      <c r="A4737" t="s">
        <v>4639</v>
      </c>
      <c r="B4737" s="1">
        <v>46008</v>
      </c>
      <c r="C4737">
        <f>YEAR(OrdersTable[[#This Row],[Order Date]])</f>
        <v>2025</v>
      </c>
      <c r="D4737" s="2">
        <f>DATE(YEAR(OrdersTable[[#This Row],[Order Date]]),MONTH(OrdersTable[[#This Row],[Order Date]]),1)</f>
        <v>45992</v>
      </c>
      <c r="E4737">
        <f>MONTH(OrdersTable[[#This Row],[Order Date]])</f>
        <v>12</v>
      </c>
      <c r="F4737" t="s">
        <v>4640</v>
      </c>
      <c r="G4737" t="str">
        <f>IF(OrdersTable[[#This Row],[Order Date]]=_xlfn.MINIFS(Order_Date, Customer_ID, OrdersTable[[#This Row],[Customer ID]]), "New", "Repeat")</f>
        <v>New</v>
      </c>
      <c r="H4737" t="s">
        <v>37</v>
      </c>
      <c r="I4737" t="str">
        <f>INDEX(State!B:B,MATCH(OrdersTable[[#This Row],[State]],State!A:A,0))</f>
        <v>GJ</v>
      </c>
      <c r="J4737" t="str">
        <f>INDEX(State!C:C,MATCH(OrdersTable[[#This Row],[State Code]],State!B:B,0))</f>
        <v>West</v>
      </c>
      <c r="K4737" t="s">
        <v>247</v>
      </c>
      <c r="L4737" t="s">
        <v>65</v>
      </c>
      <c r="M4737" t="s">
        <v>228</v>
      </c>
      <c r="N4737" t="str">
        <f>INDEX(Products!B:B,MATCH(OrdersTable[[#This Row],[Product ID]],Products!A:A,0))</f>
        <v>Fast Charger 33W</v>
      </c>
      <c r="O4737" t="str">
        <f>INDEX(Products!C:C,MATCH(OrdersTable[[#This Row],[Product ID]],Products!A:A,0))</f>
        <v>Electronics</v>
      </c>
      <c r="P4737">
        <v>1</v>
      </c>
      <c r="Q4737" s="5">
        <v>899</v>
      </c>
      <c r="R4737" s="74">
        <v>0.15</v>
      </c>
      <c r="S4737" s="75">
        <f>OrdersTable[[#This Row],[Quantity]]*OrdersTable[[#This Row],[Unit Price]]</f>
        <v>899</v>
      </c>
      <c r="T4737" s="5">
        <f>OrdersTable[[#This Row],[Gross Sale]]*OrdersTable[[#This Row],[Discount_Clean2]]</f>
        <v>134.85</v>
      </c>
      <c r="U4737" s="5">
        <f>OrdersTable[[#This Row],[Gross Sale]]-OrdersTable[[#This Row],[Discount Amount]]</f>
        <v>764.15</v>
      </c>
      <c r="V4737" s="77">
        <f>INDEX(Products!E:E,MATCH(OrdersTable[[#This Row],[Product ID]],Products!A:A,0))</f>
        <v>494</v>
      </c>
      <c r="W4737" s="77">
        <f>OrdersTable[[#This Row],[Quantity]]*OrdersTable[[#This Row],[Unit Cost]]</f>
        <v>494</v>
      </c>
      <c r="X4737" s="77">
        <f>'Dropdown Lists'!$I$2*(1+OrdersTable[[#This Row],[Returned]])</f>
        <v>60</v>
      </c>
      <c r="Y4737" s="76">
        <f>OrdersTable[[#This Row],[Net Revenue]]-OrdersTable[[#This Row],[COGS]]-OrdersTable[[#This Row],[Shipping Cost]]</f>
        <v>210.14999999999998</v>
      </c>
      <c r="Z4737" s="78">
        <f>IFERROR(OrdersTable[[#This Row],[Profit]]/OrdersTable[[#This Row],[Net Revenue]],0)</f>
        <v>0.27501145063142052</v>
      </c>
      <c r="AA4737" t="s">
        <v>4450</v>
      </c>
      <c r="AB4737" s="79">
        <v>46011</v>
      </c>
      <c r="AC4737">
        <f>OrdersTable[[#This Row],[Delivery Date]]-OrdersTable[[#This Row],[Order Date]]</f>
        <v>3</v>
      </c>
      <c r="AD4737" t="str">
        <f>IF(OrdersTable[[#This Row],[Delivery Days]]&lt;=2, "Express (≤2d)", IF(OrdersTable[[#This Row],[Delivery Days]]&lt;=4, "Standard (3-4d)", "Delayed (5d+)"))</f>
        <v>Standard (3-4d)</v>
      </c>
      <c r="AF4737">
        <v>0</v>
      </c>
    </row>
    <row r="4738" spans="1:32" ht="15" x14ac:dyDescent="0.35">
      <c r="A4738" t="s">
        <v>420</v>
      </c>
      <c r="B4738" s="1">
        <v>46008</v>
      </c>
      <c r="C4738">
        <f>YEAR(OrdersTable[[#This Row],[Order Date]])</f>
        <v>2025</v>
      </c>
      <c r="D4738" s="2">
        <f>DATE(YEAR(OrdersTable[[#This Row],[Order Date]]),MONTH(OrdersTable[[#This Row],[Order Date]]),1)</f>
        <v>45992</v>
      </c>
      <c r="E4738">
        <f>MONTH(OrdersTable[[#This Row],[Order Date]])</f>
        <v>12</v>
      </c>
      <c r="F4738" t="s">
        <v>164</v>
      </c>
      <c r="G4738" t="str">
        <f>IF(OrdersTable[[#This Row],[Order Date]]=_xlfn.MINIFS(Order_Date, Customer_ID, OrdersTable[[#This Row],[Customer ID]]), "New", "Repeat")</f>
        <v>Repeat</v>
      </c>
      <c r="H4738" t="s">
        <v>43</v>
      </c>
      <c r="I4738" t="str">
        <f>INDEX(State!B:B,MATCH(OrdersTable[[#This Row],[State]],State!A:A,0))</f>
        <v>MP</v>
      </c>
      <c r="J4738" t="str">
        <f>INDEX(State!C:C,MATCH(OrdersTable[[#This Row],[State Code]],State!B:B,0))</f>
        <v>West</v>
      </c>
      <c r="K4738" t="s">
        <v>250</v>
      </c>
      <c r="L4738" t="s">
        <v>65</v>
      </c>
      <c r="M4738" t="s">
        <v>84</v>
      </c>
      <c r="N4738" t="str">
        <f>INDEX(Products!B:B,MATCH(OrdersTable[[#This Row],[Product ID]],Products!A:A,0))</f>
        <v>Cotton Bedsheet</v>
      </c>
      <c r="O4738" t="str">
        <f>INDEX(Products!C:C,MATCH(OrdersTable[[#This Row],[Product ID]],Products!A:A,0))</f>
        <v>Home &amp; Kitchen</v>
      </c>
      <c r="P4738">
        <v>1</v>
      </c>
      <c r="Q4738" s="5">
        <v>1299</v>
      </c>
      <c r="R4738" s="74">
        <v>0</v>
      </c>
      <c r="S4738" s="75">
        <f>OrdersTable[[#This Row],[Quantity]]*OrdersTable[[#This Row],[Unit Price]]</f>
        <v>1299</v>
      </c>
      <c r="T4738" s="5">
        <f>OrdersTable[[#This Row],[Gross Sale]]*OrdersTable[[#This Row],[Discount_Clean2]]</f>
        <v>0</v>
      </c>
      <c r="U4738" s="5">
        <f>OrdersTable[[#This Row],[Gross Sale]]-OrdersTable[[#This Row],[Discount Amount]]</f>
        <v>1299</v>
      </c>
      <c r="V4738" s="77">
        <f>INDEX(Products!E:E,MATCH(OrdersTable[[#This Row],[Product ID]],Products!A:A,0))</f>
        <v>585</v>
      </c>
      <c r="W4738" s="77">
        <f>OrdersTable[[#This Row],[Quantity]]*OrdersTable[[#This Row],[Unit Cost]]</f>
        <v>585</v>
      </c>
      <c r="X4738" s="77">
        <f>'Dropdown Lists'!$I$2*(1+OrdersTable[[#This Row],[Returned]])</f>
        <v>60</v>
      </c>
      <c r="Y4738" s="76">
        <f>OrdersTable[[#This Row],[Net Revenue]]-OrdersTable[[#This Row],[COGS]]-OrdersTable[[#This Row],[Shipping Cost]]</f>
        <v>654</v>
      </c>
      <c r="Z4738" s="78">
        <f>IFERROR(OrdersTable[[#This Row],[Profit]]/OrdersTable[[#This Row],[Net Revenue]],0)</f>
        <v>0.50346420323325636</v>
      </c>
      <c r="AA4738" t="s">
        <v>18</v>
      </c>
      <c r="AB4738" s="79">
        <v>46010</v>
      </c>
      <c r="AC4738">
        <f>OrdersTable[[#This Row],[Delivery Date]]-OrdersTable[[#This Row],[Order Date]]</f>
        <v>2</v>
      </c>
      <c r="AD4738" t="str">
        <f>IF(OrdersTable[[#This Row],[Delivery Days]]&lt;=2, "Express (≤2d)", IF(OrdersTable[[#This Row],[Delivery Days]]&lt;=4, "Standard (3-4d)", "Delayed (5d+)"))</f>
        <v>Express (≤2d)</v>
      </c>
      <c r="AE4738">
        <v>4</v>
      </c>
      <c r="AF4738">
        <v>0</v>
      </c>
    </row>
    <row r="4739" spans="1:32" ht="15" x14ac:dyDescent="0.35">
      <c r="A4739" t="s">
        <v>4641</v>
      </c>
      <c r="B4739" s="1">
        <v>46008</v>
      </c>
      <c r="C4739">
        <f>YEAR(OrdersTable[[#This Row],[Order Date]])</f>
        <v>2025</v>
      </c>
      <c r="D4739" s="2">
        <f>DATE(YEAR(OrdersTable[[#This Row],[Order Date]]),MONTH(OrdersTable[[#This Row],[Order Date]]),1)</f>
        <v>45992</v>
      </c>
      <c r="E4739">
        <f>MONTH(OrdersTable[[#This Row],[Order Date]])</f>
        <v>12</v>
      </c>
      <c r="F4739" t="s">
        <v>4051</v>
      </c>
      <c r="G4739" t="str">
        <f>IF(OrdersTable[[#This Row],[Order Date]]=_xlfn.MINIFS(Order_Date, Customer_ID, OrdersTable[[#This Row],[Customer ID]]), "New", "Repeat")</f>
        <v>Repeat</v>
      </c>
      <c r="H4739" t="s">
        <v>123</v>
      </c>
      <c r="I4739" t="str">
        <f>INDEX(State!B:B,MATCH(OrdersTable[[#This Row],[State]],State!A:A,0))</f>
        <v>JH</v>
      </c>
      <c r="J4739" t="str">
        <f>INDEX(State!C:C,MATCH(OrdersTable[[#This Row],[State Code]],State!B:B,0))</f>
        <v>East</v>
      </c>
      <c r="K4739" t="s">
        <v>124</v>
      </c>
      <c r="L4739" t="s">
        <v>65</v>
      </c>
      <c r="M4739" t="s">
        <v>148</v>
      </c>
      <c r="N4739" t="str">
        <f>INDEX(Products!B:B,MATCH(OrdersTable[[#This Row],[Product ID]],Products!A:A,0))</f>
        <v>Smartwatch Strap</v>
      </c>
      <c r="O4739" t="str">
        <f>INDEX(Products!C:C,MATCH(OrdersTable[[#This Row],[Product ID]],Products!A:A,0))</f>
        <v>Electronics</v>
      </c>
      <c r="P4739">
        <v>1</v>
      </c>
      <c r="Q4739" s="5">
        <v>499</v>
      </c>
      <c r="R4739" s="74">
        <v>0.15</v>
      </c>
      <c r="S4739" s="75">
        <f>OrdersTable[[#This Row],[Quantity]]*OrdersTable[[#This Row],[Unit Price]]</f>
        <v>499</v>
      </c>
      <c r="T4739" s="5">
        <f>OrdersTable[[#This Row],[Gross Sale]]*OrdersTable[[#This Row],[Discount_Clean2]]</f>
        <v>74.849999999999994</v>
      </c>
      <c r="U4739" s="5">
        <f>OrdersTable[[#This Row],[Gross Sale]]-OrdersTable[[#This Row],[Discount Amount]]</f>
        <v>424.15</v>
      </c>
      <c r="V4739" s="77">
        <f>INDEX(Products!E:E,MATCH(OrdersTable[[#This Row],[Product ID]],Products!A:A,0))</f>
        <v>200</v>
      </c>
      <c r="W4739" s="77">
        <f>OrdersTable[[#This Row],[Quantity]]*OrdersTable[[#This Row],[Unit Cost]]</f>
        <v>200</v>
      </c>
      <c r="X4739" s="77">
        <f>'Dropdown Lists'!$I$2*(1+OrdersTable[[#This Row],[Returned]])</f>
        <v>60</v>
      </c>
      <c r="Y4739" s="76">
        <f>OrdersTable[[#This Row],[Net Revenue]]-OrdersTable[[#This Row],[COGS]]-OrdersTable[[#This Row],[Shipping Cost]]</f>
        <v>164.14999999999998</v>
      </c>
      <c r="Z4739" s="78">
        <f>IFERROR(OrdersTable[[#This Row],[Profit]]/OrdersTable[[#This Row],[Net Revenue]],0)</f>
        <v>0.38700931274313327</v>
      </c>
      <c r="AA4739" t="s">
        <v>4450</v>
      </c>
      <c r="AB4739" s="79">
        <v>46014</v>
      </c>
      <c r="AC4739">
        <f>OrdersTable[[#This Row],[Delivery Date]]-OrdersTable[[#This Row],[Order Date]]</f>
        <v>6</v>
      </c>
      <c r="AD4739" t="str">
        <f>IF(OrdersTable[[#This Row],[Delivery Days]]&lt;=2, "Express (≤2d)", IF(OrdersTable[[#This Row],[Delivery Days]]&lt;=4, "Standard (3-4d)", "Delayed (5d+)"))</f>
        <v>Delayed (5d+)</v>
      </c>
      <c r="AF4739">
        <v>0</v>
      </c>
    </row>
    <row r="4740" spans="1:32" ht="15" x14ac:dyDescent="0.35">
      <c r="A4740" t="s">
        <v>4642</v>
      </c>
      <c r="B4740" s="1">
        <v>46008</v>
      </c>
      <c r="C4740">
        <f>YEAR(OrdersTable[[#This Row],[Order Date]])</f>
        <v>2025</v>
      </c>
      <c r="D4740" s="2">
        <f>DATE(YEAR(OrdersTable[[#This Row],[Order Date]]),MONTH(OrdersTable[[#This Row],[Order Date]]),1)</f>
        <v>45992</v>
      </c>
      <c r="E4740">
        <f>MONTH(OrdersTable[[#This Row],[Order Date]])</f>
        <v>12</v>
      </c>
      <c r="F4740" t="s">
        <v>94</v>
      </c>
      <c r="G4740" t="str">
        <f>IF(OrdersTable[[#This Row],[Order Date]]=_xlfn.MINIFS(Order_Date, Customer_ID, OrdersTable[[#This Row],[Customer ID]]), "New", "Repeat")</f>
        <v>Repeat</v>
      </c>
      <c r="H4740" t="s">
        <v>27</v>
      </c>
      <c r="I4740" t="str">
        <f>INDEX(State!B:B,MATCH(OrdersTable[[#This Row],[State]],State!A:A,0))</f>
        <v>WB</v>
      </c>
      <c r="J4740" t="str">
        <f>INDEX(State!C:C,MATCH(OrdersTable[[#This Row],[State Code]],State!B:B,0))</f>
        <v>East</v>
      </c>
      <c r="K4740" t="s">
        <v>28</v>
      </c>
      <c r="L4740" t="s">
        <v>65</v>
      </c>
      <c r="M4740" t="s">
        <v>61</v>
      </c>
      <c r="N4740" t="str">
        <f>INDEX(Products!B:B,MATCH(OrdersTable[[#This Row],[Product ID]],Products!A:A,0))</f>
        <v>Multivitamin Gummies</v>
      </c>
      <c r="O4740" t="str">
        <f>INDEX(Products!C:C,MATCH(OrdersTable[[#This Row],[Product ID]],Products!A:A,0))</f>
        <v>Wellness</v>
      </c>
      <c r="P4740">
        <v>1</v>
      </c>
      <c r="Q4740" s="5">
        <v>699</v>
      </c>
      <c r="R4740" s="74">
        <v>0.25</v>
      </c>
      <c r="S4740" s="75">
        <f>OrdersTable[[#This Row],[Quantity]]*OrdersTable[[#This Row],[Unit Price]]</f>
        <v>699</v>
      </c>
      <c r="T4740" s="5">
        <f>OrdersTable[[#This Row],[Gross Sale]]*OrdersTable[[#This Row],[Discount_Clean2]]</f>
        <v>174.75</v>
      </c>
      <c r="U4740" s="5">
        <f>OrdersTable[[#This Row],[Gross Sale]]-OrdersTable[[#This Row],[Discount Amount]]</f>
        <v>524.25</v>
      </c>
      <c r="V4740" s="77">
        <f>INDEX(Products!E:E,MATCH(OrdersTable[[#This Row],[Product ID]],Products!A:A,0))</f>
        <v>238</v>
      </c>
      <c r="W4740" s="77">
        <f>OrdersTable[[#This Row],[Quantity]]*OrdersTable[[#This Row],[Unit Cost]]</f>
        <v>238</v>
      </c>
      <c r="X4740" s="77">
        <f>'Dropdown Lists'!$I$2*(1+OrdersTable[[#This Row],[Returned]])</f>
        <v>60</v>
      </c>
      <c r="Y4740" s="76">
        <f>OrdersTable[[#This Row],[Net Revenue]]-OrdersTable[[#This Row],[COGS]]-OrdersTable[[#This Row],[Shipping Cost]]</f>
        <v>226.25</v>
      </c>
      <c r="Z4740" s="78">
        <f>IFERROR(OrdersTable[[#This Row],[Profit]]/OrdersTable[[#This Row],[Net Revenue]],0)</f>
        <v>0.43156890796375774</v>
      </c>
      <c r="AA4740" t="s">
        <v>4450</v>
      </c>
      <c r="AB4740" s="79">
        <v>46013</v>
      </c>
      <c r="AC4740">
        <f>OrdersTable[[#This Row],[Delivery Date]]-OrdersTable[[#This Row],[Order Date]]</f>
        <v>5</v>
      </c>
      <c r="AD4740" t="str">
        <f>IF(OrdersTable[[#This Row],[Delivery Days]]&lt;=2, "Express (≤2d)", IF(OrdersTable[[#This Row],[Delivery Days]]&lt;=4, "Standard (3-4d)", "Delayed (5d+)"))</f>
        <v>Delayed (5d+)</v>
      </c>
      <c r="AF4740">
        <v>0</v>
      </c>
    </row>
    <row r="4741" spans="1:32" ht="15" x14ac:dyDescent="0.35">
      <c r="A4741" t="s">
        <v>1818</v>
      </c>
      <c r="B4741" s="1">
        <v>46008</v>
      </c>
      <c r="C4741">
        <f>YEAR(OrdersTable[[#This Row],[Order Date]])</f>
        <v>2025</v>
      </c>
      <c r="D4741" s="2">
        <f>DATE(YEAR(OrdersTable[[#This Row],[Order Date]]),MONTH(OrdersTable[[#This Row],[Order Date]]),1)</f>
        <v>45992</v>
      </c>
      <c r="E4741">
        <f>MONTH(OrdersTable[[#This Row],[Order Date]])</f>
        <v>12</v>
      </c>
      <c r="F4741" t="s">
        <v>1819</v>
      </c>
      <c r="G4741" t="str">
        <f>IF(OrdersTable[[#This Row],[Order Date]]=_xlfn.MINIFS(Order_Date, Customer_ID, OrdersTable[[#This Row],[Customer ID]]), "New", "Repeat")</f>
        <v>New</v>
      </c>
      <c r="H4741" t="s">
        <v>27</v>
      </c>
      <c r="I4741" t="str">
        <f>INDEX(State!B:B,MATCH(OrdersTable[[#This Row],[State]],State!A:A,0))</f>
        <v>WB</v>
      </c>
      <c r="J4741" t="str">
        <f>INDEX(State!C:C,MATCH(OrdersTable[[#This Row],[State Code]],State!B:B,0))</f>
        <v>East</v>
      </c>
      <c r="K4741" t="s">
        <v>28</v>
      </c>
      <c r="L4741" t="s">
        <v>65</v>
      </c>
      <c r="M4741" t="s">
        <v>24</v>
      </c>
      <c r="N4741" t="str">
        <f>INDEX(Products!B:B,MATCH(OrdersTable[[#This Row],[Product ID]],Products!A:A,0))</f>
        <v>Scented Candle Set</v>
      </c>
      <c r="O4741" t="str">
        <f>INDEX(Products!C:C,MATCH(OrdersTable[[#This Row],[Product ID]],Products!A:A,0))</f>
        <v>Home &amp; Kitchen</v>
      </c>
      <c r="P4741">
        <v>1</v>
      </c>
      <c r="Q4741" s="5">
        <v>699</v>
      </c>
      <c r="R4741" s="74">
        <v>0.15</v>
      </c>
      <c r="S4741" s="75">
        <f>OrdersTable[[#This Row],[Quantity]]*OrdersTable[[#This Row],[Unit Price]]</f>
        <v>699</v>
      </c>
      <c r="T4741" s="5">
        <f>OrdersTable[[#This Row],[Gross Sale]]*OrdersTable[[#This Row],[Discount_Clean2]]</f>
        <v>104.85</v>
      </c>
      <c r="U4741" s="5">
        <f>OrdersTable[[#This Row],[Gross Sale]]-OrdersTable[[#This Row],[Discount Amount]]</f>
        <v>594.15</v>
      </c>
      <c r="V4741" s="77">
        <f>INDEX(Products!E:E,MATCH(OrdersTable[[#This Row],[Product ID]],Products!A:A,0))</f>
        <v>245</v>
      </c>
      <c r="W4741" s="77">
        <f>OrdersTable[[#This Row],[Quantity]]*OrdersTable[[#This Row],[Unit Cost]]</f>
        <v>245</v>
      </c>
      <c r="X4741" s="77">
        <f>'Dropdown Lists'!$I$2*(1+OrdersTable[[#This Row],[Returned]])</f>
        <v>60</v>
      </c>
      <c r="Y4741" s="76">
        <f>OrdersTable[[#This Row],[Net Revenue]]-OrdersTable[[#This Row],[COGS]]-OrdersTable[[#This Row],[Shipping Cost]]</f>
        <v>289.14999999999998</v>
      </c>
      <c r="Z4741" s="78">
        <f>IFERROR(OrdersTable[[#This Row],[Profit]]/OrdersTable[[#This Row],[Net Revenue]],0)</f>
        <v>0.48666161743667424</v>
      </c>
      <c r="AA4741" t="s">
        <v>18</v>
      </c>
      <c r="AB4741" s="79">
        <v>46012</v>
      </c>
      <c r="AC4741">
        <f>OrdersTable[[#This Row],[Delivery Date]]-OrdersTable[[#This Row],[Order Date]]</f>
        <v>4</v>
      </c>
      <c r="AD4741" t="str">
        <f>IF(OrdersTable[[#This Row],[Delivery Days]]&lt;=2, "Express (≤2d)", IF(OrdersTable[[#This Row],[Delivery Days]]&lt;=4, "Standard (3-4d)", "Delayed (5d+)"))</f>
        <v>Standard (3-4d)</v>
      </c>
      <c r="AF4741">
        <v>0</v>
      </c>
    </row>
    <row r="4742" spans="1:32" ht="15" x14ac:dyDescent="0.35">
      <c r="A4742" t="s">
        <v>3834</v>
      </c>
      <c r="B4742" s="1">
        <v>46008</v>
      </c>
      <c r="C4742">
        <f>YEAR(OrdersTable[[#This Row],[Order Date]])</f>
        <v>2025</v>
      </c>
      <c r="D4742" s="2">
        <f>DATE(YEAR(OrdersTable[[#This Row],[Order Date]]),MONTH(OrdersTable[[#This Row],[Order Date]]),1)</f>
        <v>45992</v>
      </c>
      <c r="E4742">
        <f>MONTH(OrdersTable[[#This Row],[Order Date]])</f>
        <v>12</v>
      </c>
      <c r="F4742" t="s">
        <v>303</v>
      </c>
      <c r="G4742" t="str">
        <f>IF(OrdersTable[[#This Row],[Order Date]]=_xlfn.MINIFS(Order_Date, Customer_ID, OrdersTable[[#This Row],[Customer ID]]), "New", "Repeat")</f>
        <v>Repeat</v>
      </c>
      <c r="H4742" t="s">
        <v>14</v>
      </c>
      <c r="I4742" t="str">
        <f>INDEX(State!B:B,MATCH(OrdersTable[[#This Row],[State]],State!A:A,0))</f>
        <v>OD</v>
      </c>
      <c r="J4742" t="str">
        <f>INDEX(State!C:C,MATCH(OrdersTable[[#This Row],[State Code]],State!B:B,0))</f>
        <v>East</v>
      </c>
      <c r="K4742" t="s">
        <v>15</v>
      </c>
      <c r="L4742" t="s">
        <v>16</v>
      </c>
      <c r="M4742" t="s">
        <v>87</v>
      </c>
      <c r="N4742" t="str">
        <f>INDEX(Products!B:B,MATCH(OrdersTable[[#This Row],[Product ID]],Products!A:A,0))</f>
        <v>Linen Kurta</v>
      </c>
      <c r="O4742" t="str">
        <f>INDEX(Products!C:C,MATCH(OrdersTable[[#This Row],[Product ID]],Products!A:A,0))</f>
        <v>Apparel</v>
      </c>
      <c r="P4742">
        <v>1</v>
      </c>
      <c r="Q4742" s="5">
        <v>1499</v>
      </c>
      <c r="R4742" s="74">
        <v>0.25</v>
      </c>
      <c r="S4742" s="75">
        <f>OrdersTable[[#This Row],[Quantity]]*OrdersTable[[#This Row],[Unit Price]]</f>
        <v>1499</v>
      </c>
      <c r="T4742" s="5">
        <f>OrdersTable[[#This Row],[Gross Sale]]*OrdersTable[[#This Row],[Discount_Clean2]]</f>
        <v>374.75</v>
      </c>
      <c r="U4742" s="5">
        <f>OrdersTable[[#This Row],[Gross Sale]]-OrdersTable[[#This Row],[Discount Amount]]</f>
        <v>1124.25</v>
      </c>
      <c r="V4742" s="77">
        <f>INDEX(Products!E:E,MATCH(OrdersTable[[#This Row],[Product ID]],Products!A:A,0))</f>
        <v>630</v>
      </c>
      <c r="W4742" s="77">
        <f>OrdersTable[[#This Row],[Quantity]]*OrdersTable[[#This Row],[Unit Cost]]</f>
        <v>630</v>
      </c>
      <c r="X4742" s="77">
        <f>'Dropdown Lists'!$I$2*(1+OrdersTable[[#This Row],[Returned]])</f>
        <v>120</v>
      </c>
      <c r="Y4742" s="76">
        <f>OrdersTable[[#This Row],[Net Revenue]]-OrdersTable[[#This Row],[COGS]]-OrdersTable[[#This Row],[Shipping Cost]]</f>
        <v>374.25</v>
      </c>
      <c r="Z4742" s="78">
        <f>IFERROR(OrdersTable[[#This Row],[Profit]]/OrdersTable[[#This Row],[Net Revenue]],0)</f>
        <v>0.33288859239492996</v>
      </c>
      <c r="AA4742" t="s">
        <v>3495</v>
      </c>
      <c r="AB4742" s="79">
        <v>46013</v>
      </c>
      <c r="AC4742">
        <f>OrdersTable[[#This Row],[Delivery Date]]-OrdersTable[[#This Row],[Order Date]]</f>
        <v>5</v>
      </c>
      <c r="AD4742" t="str">
        <f>IF(OrdersTable[[#This Row],[Delivery Days]]&lt;=2, "Express (≤2d)", IF(OrdersTable[[#This Row],[Delivery Days]]&lt;=4, "Standard (3-4d)", "Delayed (5d+)"))</f>
        <v>Delayed (5d+)</v>
      </c>
      <c r="AF4742">
        <v>1</v>
      </c>
    </row>
    <row r="4743" spans="1:32" ht="15" x14ac:dyDescent="0.35">
      <c r="A4743" t="s">
        <v>5561</v>
      </c>
      <c r="B4743" s="1">
        <v>46008</v>
      </c>
      <c r="C4743">
        <f>YEAR(OrdersTable[[#This Row],[Order Date]])</f>
        <v>2025</v>
      </c>
      <c r="D4743" s="2">
        <f>DATE(YEAR(OrdersTable[[#This Row],[Order Date]]),MONTH(OrdersTable[[#This Row],[Order Date]]),1)</f>
        <v>45992</v>
      </c>
      <c r="E4743">
        <f>MONTH(OrdersTable[[#This Row],[Order Date]])</f>
        <v>12</v>
      </c>
      <c r="F4743" t="s">
        <v>4880</v>
      </c>
      <c r="G4743" t="str">
        <f>IF(OrdersTable[[#This Row],[Order Date]]=_xlfn.MINIFS(Order_Date, Customer_ID, OrdersTable[[#This Row],[Customer ID]]), "New", "Repeat")</f>
        <v>Repeat</v>
      </c>
      <c r="H4743" t="s">
        <v>275</v>
      </c>
      <c r="I4743" t="str">
        <f>INDEX(State!B:B,MATCH(OrdersTable[[#This Row],[State]],State!A:A,0))</f>
        <v>AP</v>
      </c>
      <c r="J4743" t="str">
        <f>INDEX(State!C:C,MATCH(OrdersTable[[#This Row],[State Code]],State!B:B,0))</f>
        <v>South</v>
      </c>
      <c r="K4743" t="s">
        <v>491</v>
      </c>
      <c r="L4743" t="s">
        <v>39</v>
      </c>
      <c r="M4743" t="s">
        <v>24</v>
      </c>
      <c r="N4743" t="str">
        <f>INDEX(Products!B:B,MATCH(OrdersTable[[#This Row],[Product ID]],Products!A:A,0))</f>
        <v>Scented Candle Set</v>
      </c>
      <c r="O4743" t="str">
        <f>INDEX(Products!C:C,MATCH(OrdersTable[[#This Row],[Product ID]],Products!A:A,0))</f>
        <v>Home &amp; Kitchen</v>
      </c>
      <c r="P4743">
        <v>2</v>
      </c>
      <c r="Q4743" s="5">
        <v>699</v>
      </c>
      <c r="R4743" s="74">
        <v>0.1</v>
      </c>
      <c r="S4743" s="75">
        <f>OrdersTable[[#This Row],[Quantity]]*OrdersTable[[#This Row],[Unit Price]]</f>
        <v>1398</v>
      </c>
      <c r="T4743" s="5">
        <f>OrdersTable[[#This Row],[Gross Sale]]*OrdersTable[[#This Row],[Discount_Clean2]]</f>
        <v>139.80000000000001</v>
      </c>
      <c r="U4743" s="5">
        <f>OrdersTable[[#This Row],[Gross Sale]]-OrdersTable[[#This Row],[Discount Amount]]</f>
        <v>1258.2</v>
      </c>
      <c r="V4743" s="77">
        <f>INDEX(Products!E:E,MATCH(OrdersTable[[#This Row],[Product ID]],Products!A:A,0))</f>
        <v>245</v>
      </c>
      <c r="W4743" s="77">
        <f>OrdersTable[[#This Row],[Quantity]]*OrdersTable[[#This Row],[Unit Cost]]</f>
        <v>490</v>
      </c>
      <c r="X4743" s="77">
        <f>'Dropdown Lists'!$I$2*(1+OrdersTable[[#This Row],[Returned]])</f>
        <v>60</v>
      </c>
      <c r="Y4743" s="76">
        <f>OrdersTable[[#This Row],[Net Revenue]]-OrdersTable[[#This Row],[COGS]]-OrdersTable[[#This Row],[Shipping Cost]]</f>
        <v>708.2</v>
      </c>
      <c r="Z4743" s="78">
        <f>IFERROR(OrdersTable[[#This Row],[Profit]]/OrdersTable[[#This Row],[Net Revenue]],0)</f>
        <v>0.5628675886186616</v>
      </c>
      <c r="AA4743" t="s">
        <v>2522</v>
      </c>
      <c r="AB4743" s="79">
        <v>46011</v>
      </c>
      <c r="AC4743">
        <f>OrdersTable[[#This Row],[Delivery Date]]-OrdersTable[[#This Row],[Order Date]]</f>
        <v>3</v>
      </c>
      <c r="AD4743" t="str">
        <f>IF(OrdersTable[[#This Row],[Delivery Days]]&lt;=2, "Express (≤2d)", IF(OrdersTable[[#This Row],[Delivery Days]]&lt;=4, "Standard (3-4d)", "Delayed (5d+)"))</f>
        <v>Standard (3-4d)</v>
      </c>
      <c r="AE4743">
        <v>4</v>
      </c>
      <c r="AF4743">
        <v>0</v>
      </c>
    </row>
    <row r="4744" spans="1:32" ht="15" x14ac:dyDescent="0.35">
      <c r="A4744" t="s">
        <v>1457</v>
      </c>
      <c r="B4744" s="1">
        <v>46009</v>
      </c>
      <c r="C4744">
        <f>YEAR(OrdersTable[[#This Row],[Order Date]])</f>
        <v>2025</v>
      </c>
      <c r="D4744" s="2">
        <f>DATE(YEAR(OrdersTable[[#This Row],[Order Date]]),MONTH(OrdersTable[[#This Row],[Order Date]]),1)</f>
        <v>45992</v>
      </c>
      <c r="E4744">
        <f>MONTH(OrdersTable[[#This Row],[Order Date]])</f>
        <v>12</v>
      </c>
      <c r="F4744" t="s">
        <v>1458</v>
      </c>
      <c r="G4744" t="str">
        <f>IF(OrdersTable[[#This Row],[Order Date]]=_xlfn.MINIFS(Order_Date, Customer_ID, OrdersTable[[#This Row],[Customer ID]]), "New", "Repeat")</f>
        <v>Repeat</v>
      </c>
      <c r="H4744" t="s">
        <v>54</v>
      </c>
      <c r="I4744" t="str">
        <f>INDEX(State!B:B,MATCH(OrdersTable[[#This Row],[State]],State!A:A,0))</f>
        <v>RJ</v>
      </c>
      <c r="J4744" t="str">
        <f>INDEX(State!C:C,MATCH(OrdersTable[[#This Row],[State Code]],State!B:B,0))</f>
        <v>North</v>
      </c>
      <c r="K4744" t="s">
        <v>55</v>
      </c>
      <c r="L4744" t="s">
        <v>23</v>
      </c>
      <c r="M4744" t="s">
        <v>160</v>
      </c>
      <c r="N4744" t="str">
        <f>INDEX(Products!B:B,MATCH(OrdersTable[[#This Row],[Product ID]],Products!A:A,0))</f>
        <v>Niacinamide Toner</v>
      </c>
      <c r="O4744" t="str">
        <f>INDEX(Products!C:C,MATCH(OrdersTable[[#This Row],[Product ID]],Products!A:A,0))</f>
        <v>Skincare</v>
      </c>
      <c r="P4744">
        <v>1</v>
      </c>
      <c r="Q4744" s="5">
        <v>399</v>
      </c>
      <c r="R4744" s="74">
        <v>0.15</v>
      </c>
      <c r="S4744" s="75">
        <f>OrdersTable[[#This Row],[Quantity]]*OrdersTable[[#This Row],[Unit Price]]</f>
        <v>399</v>
      </c>
      <c r="T4744" s="5">
        <f>OrdersTable[[#This Row],[Gross Sale]]*OrdersTable[[#This Row],[Discount_Clean2]]</f>
        <v>59.849999999999994</v>
      </c>
      <c r="U4744" s="5">
        <f>OrdersTable[[#This Row],[Gross Sale]]-OrdersTable[[#This Row],[Discount Amount]]</f>
        <v>339.15</v>
      </c>
      <c r="V4744" s="77">
        <f>INDEX(Products!E:E,MATCH(OrdersTable[[#This Row],[Product ID]],Products!A:A,0))</f>
        <v>112</v>
      </c>
      <c r="W4744" s="77">
        <f>OrdersTable[[#This Row],[Quantity]]*OrdersTable[[#This Row],[Unit Cost]]</f>
        <v>112</v>
      </c>
      <c r="X4744" s="77">
        <f>'Dropdown Lists'!$I$2*(1+OrdersTable[[#This Row],[Returned]])</f>
        <v>60</v>
      </c>
      <c r="Y4744" s="76">
        <f>OrdersTable[[#This Row],[Net Revenue]]-OrdersTable[[#This Row],[COGS]]-OrdersTable[[#This Row],[Shipping Cost]]</f>
        <v>167.14999999999998</v>
      </c>
      <c r="Z4744" s="78">
        <f>IFERROR(OrdersTable[[#This Row],[Profit]]/OrdersTable[[#This Row],[Net Revenue]],0)</f>
        <v>0.49284977148754233</v>
      </c>
      <c r="AA4744" t="s">
        <v>18</v>
      </c>
      <c r="AB4744" s="79">
        <v>46012</v>
      </c>
      <c r="AC4744">
        <f>OrdersTable[[#This Row],[Delivery Date]]-OrdersTable[[#This Row],[Order Date]]</f>
        <v>3</v>
      </c>
      <c r="AD4744" t="str">
        <f>IF(OrdersTable[[#This Row],[Delivery Days]]&lt;=2, "Express (≤2d)", IF(OrdersTable[[#This Row],[Delivery Days]]&lt;=4, "Standard (3-4d)", "Delayed (5d+)"))</f>
        <v>Standard (3-4d)</v>
      </c>
      <c r="AF4744">
        <v>0</v>
      </c>
    </row>
    <row r="4745" spans="1:32" ht="15" x14ac:dyDescent="0.35">
      <c r="A4745" t="s">
        <v>3696</v>
      </c>
      <c r="B4745" s="1">
        <v>46009</v>
      </c>
      <c r="C4745">
        <f>YEAR(OrdersTable[[#This Row],[Order Date]])</f>
        <v>2025</v>
      </c>
      <c r="D4745" s="2">
        <f>DATE(YEAR(OrdersTable[[#This Row],[Order Date]]),MONTH(OrdersTable[[#This Row],[Order Date]]),1)</f>
        <v>45992</v>
      </c>
      <c r="E4745">
        <f>MONTH(OrdersTable[[#This Row],[Order Date]])</f>
        <v>12</v>
      </c>
      <c r="F4745" t="s">
        <v>1641</v>
      </c>
      <c r="G4745" t="str">
        <f>IF(OrdersTable[[#This Row],[Order Date]]=_xlfn.MINIFS(Order_Date, Customer_ID, OrdersTable[[#This Row],[Customer ID]]), "New", "Repeat")</f>
        <v>Repeat</v>
      </c>
      <c r="H4745" t="s">
        <v>48</v>
      </c>
      <c r="I4745" t="str">
        <f>INDEX(State!B:B,MATCH(OrdersTable[[#This Row],[State]],State!A:A,0))</f>
        <v>HR</v>
      </c>
      <c r="J4745" t="str">
        <f>INDEX(State!C:C,MATCH(OrdersTable[[#This Row],[State Code]],State!B:B,0))</f>
        <v>North</v>
      </c>
      <c r="K4745" t="s">
        <v>49</v>
      </c>
      <c r="L4745" t="s">
        <v>65</v>
      </c>
      <c r="M4745" t="s">
        <v>61</v>
      </c>
      <c r="N4745" t="str">
        <f>INDEX(Products!B:B,MATCH(OrdersTable[[#This Row],[Product ID]],Products!A:A,0))</f>
        <v>Multivitamin Gummies</v>
      </c>
      <c r="O4745" t="str">
        <f>INDEX(Products!C:C,MATCH(OrdersTable[[#This Row],[Product ID]],Products!A:A,0))</f>
        <v>Wellness</v>
      </c>
      <c r="P4745">
        <v>1</v>
      </c>
      <c r="Q4745" s="5">
        <v>699</v>
      </c>
      <c r="R4745" s="74">
        <v>0.2</v>
      </c>
      <c r="S4745" s="75">
        <f>OrdersTable[[#This Row],[Quantity]]*OrdersTable[[#This Row],[Unit Price]]</f>
        <v>699</v>
      </c>
      <c r="T4745" s="5">
        <f>OrdersTable[[#This Row],[Gross Sale]]*OrdersTable[[#This Row],[Discount_Clean2]]</f>
        <v>139.80000000000001</v>
      </c>
      <c r="U4745" s="5">
        <f>OrdersTable[[#This Row],[Gross Sale]]-OrdersTable[[#This Row],[Discount Amount]]</f>
        <v>559.20000000000005</v>
      </c>
      <c r="V4745" s="77">
        <f>INDEX(Products!E:E,MATCH(OrdersTable[[#This Row],[Product ID]],Products!A:A,0))</f>
        <v>238</v>
      </c>
      <c r="W4745" s="77">
        <f>OrdersTable[[#This Row],[Quantity]]*OrdersTable[[#This Row],[Unit Cost]]</f>
        <v>238</v>
      </c>
      <c r="X4745" s="77">
        <f>'Dropdown Lists'!$I$2*(1+OrdersTable[[#This Row],[Returned]])</f>
        <v>60</v>
      </c>
      <c r="Y4745" s="76">
        <f>OrdersTable[[#This Row],[Net Revenue]]-OrdersTable[[#This Row],[COGS]]-OrdersTable[[#This Row],[Shipping Cost]]</f>
        <v>261.20000000000005</v>
      </c>
      <c r="Z4745" s="78">
        <f>IFERROR(OrdersTable[[#This Row],[Profit]]/OrdersTable[[#This Row],[Net Revenue]],0)</f>
        <v>0.46709585121602293</v>
      </c>
      <c r="AA4745" t="s">
        <v>3495</v>
      </c>
      <c r="AB4745" s="79">
        <v>46013</v>
      </c>
      <c r="AC4745">
        <f>OrdersTable[[#This Row],[Delivery Date]]-OrdersTable[[#This Row],[Order Date]]</f>
        <v>4</v>
      </c>
      <c r="AD4745" t="str">
        <f>IF(OrdersTable[[#This Row],[Delivery Days]]&lt;=2, "Express (≤2d)", IF(OrdersTable[[#This Row],[Delivery Days]]&lt;=4, "Standard (3-4d)", "Delayed (5d+)"))</f>
        <v>Standard (3-4d)</v>
      </c>
      <c r="AE4745">
        <v>4</v>
      </c>
      <c r="AF4745">
        <v>0</v>
      </c>
    </row>
    <row r="4746" spans="1:32" ht="15" x14ac:dyDescent="0.35">
      <c r="A4746" t="s">
        <v>6752</v>
      </c>
      <c r="B4746" s="1">
        <v>46009</v>
      </c>
      <c r="C4746">
        <f>YEAR(OrdersTable[[#This Row],[Order Date]])</f>
        <v>2025</v>
      </c>
      <c r="D4746" s="2">
        <f>DATE(YEAR(OrdersTable[[#This Row],[Order Date]]),MONTH(OrdersTable[[#This Row],[Order Date]]),1)</f>
        <v>45992</v>
      </c>
      <c r="E4746">
        <f>MONTH(OrdersTable[[#This Row],[Order Date]])</f>
        <v>12</v>
      </c>
      <c r="F4746" t="s">
        <v>866</v>
      </c>
      <c r="G4746" t="str">
        <f>IF(OrdersTable[[#This Row],[Order Date]]=_xlfn.MINIFS(Order_Date, Customer_ID, OrdersTable[[#This Row],[Customer ID]]), "New", "Repeat")</f>
        <v>Repeat</v>
      </c>
      <c r="H4746" t="s">
        <v>128</v>
      </c>
      <c r="I4746" t="str">
        <f>INDEX(State!B:B,MATCH(OrdersTable[[#This Row],[State]],State!A:A,0))</f>
        <v>DL</v>
      </c>
      <c r="J4746" t="str">
        <f>INDEX(State!C:C,MATCH(OrdersTable[[#This Row],[State Code]],State!B:B,0))</f>
        <v>North</v>
      </c>
      <c r="K4746" t="s">
        <v>129</v>
      </c>
      <c r="L4746" t="s">
        <v>39</v>
      </c>
      <c r="M4746" t="s">
        <v>24</v>
      </c>
      <c r="N4746" t="str">
        <f>INDEX(Products!B:B,MATCH(OrdersTable[[#This Row],[Product ID]],Products!A:A,0))</f>
        <v>Scented Candle Set</v>
      </c>
      <c r="O4746" t="str">
        <f>INDEX(Products!C:C,MATCH(OrdersTable[[#This Row],[Product ID]],Products!A:A,0))</f>
        <v>Home &amp; Kitchen</v>
      </c>
      <c r="P4746">
        <v>3</v>
      </c>
      <c r="Q4746" s="5">
        <v>699</v>
      </c>
      <c r="R4746" s="74">
        <v>0.2</v>
      </c>
      <c r="S4746" s="75">
        <f>OrdersTable[[#This Row],[Quantity]]*OrdersTable[[#This Row],[Unit Price]]</f>
        <v>2097</v>
      </c>
      <c r="T4746" s="5">
        <f>OrdersTable[[#This Row],[Gross Sale]]*OrdersTable[[#This Row],[Discount_Clean2]]</f>
        <v>419.40000000000003</v>
      </c>
      <c r="U4746" s="5">
        <f>OrdersTable[[#This Row],[Gross Sale]]-OrdersTable[[#This Row],[Discount Amount]]</f>
        <v>1677.6</v>
      </c>
      <c r="V4746" s="77">
        <f>INDEX(Products!E:E,MATCH(OrdersTable[[#This Row],[Product ID]],Products!A:A,0))</f>
        <v>245</v>
      </c>
      <c r="W4746" s="77">
        <f>OrdersTable[[#This Row],[Quantity]]*OrdersTable[[#This Row],[Unit Cost]]</f>
        <v>735</v>
      </c>
      <c r="X4746" s="77">
        <f>'Dropdown Lists'!$I$2*(1+OrdersTable[[#This Row],[Returned]])</f>
        <v>60</v>
      </c>
      <c r="Y4746" s="76">
        <f>OrdersTable[[#This Row],[Net Revenue]]-OrdersTable[[#This Row],[COGS]]-OrdersTable[[#This Row],[Shipping Cost]]</f>
        <v>882.59999999999991</v>
      </c>
      <c r="Z4746" s="78">
        <f>IFERROR(OrdersTable[[#This Row],[Profit]]/OrdersTable[[#This Row],[Net Revenue]],0)</f>
        <v>0.52610872675250353</v>
      </c>
      <c r="AA4746" t="s">
        <v>2522</v>
      </c>
      <c r="AB4746" s="79">
        <v>46010</v>
      </c>
      <c r="AC4746">
        <f>OrdersTable[[#This Row],[Delivery Date]]-OrdersTable[[#This Row],[Order Date]]</f>
        <v>1</v>
      </c>
      <c r="AD4746" t="str">
        <f>IF(OrdersTable[[#This Row],[Delivery Days]]&lt;=2, "Express (≤2d)", IF(OrdersTable[[#This Row],[Delivery Days]]&lt;=4, "Standard (3-4d)", "Delayed (5d+)"))</f>
        <v>Express (≤2d)</v>
      </c>
      <c r="AE4746">
        <v>5</v>
      </c>
      <c r="AF4746">
        <v>0</v>
      </c>
    </row>
    <row r="4747" spans="1:32" ht="15" x14ac:dyDescent="0.35">
      <c r="A4747" t="s">
        <v>3136</v>
      </c>
      <c r="B4747" s="1">
        <v>46009</v>
      </c>
      <c r="C4747">
        <f>YEAR(OrdersTable[[#This Row],[Order Date]])</f>
        <v>2025</v>
      </c>
      <c r="D4747" s="2">
        <f>DATE(YEAR(OrdersTable[[#This Row],[Order Date]]),MONTH(OrdersTable[[#This Row],[Order Date]]),1)</f>
        <v>45992</v>
      </c>
      <c r="E4747">
        <f>MONTH(OrdersTable[[#This Row],[Order Date]])</f>
        <v>12</v>
      </c>
      <c r="F4747" t="s">
        <v>3137</v>
      </c>
      <c r="G4747" t="str">
        <f>IF(OrdersTable[[#This Row],[Order Date]]=_xlfn.MINIFS(Order_Date, Customer_ID, OrdersTable[[#This Row],[Customer ID]]), "New", "Repeat")</f>
        <v>Repeat</v>
      </c>
      <c r="H4747" t="s">
        <v>128</v>
      </c>
      <c r="I4747" t="str">
        <f>INDEX(State!B:B,MATCH(OrdersTable[[#This Row],[State]],State!A:A,0))</f>
        <v>DL</v>
      </c>
      <c r="J4747" t="str">
        <f>INDEX(State!C:C,MATCH(OrdersTable[[#This Row],[State Code]],State!B:B,0))</f>
        <v>North</v>
      </c>
      <c r="K4747" t="s">
        <v>129</v>
      </c>
      <c r="L4747" t="s">
        <v>65</v>
      </c>
      <c r="M4747" t="s">
        <v>40</v>
      </c>
      <c r="N4747" t="str">
        <f>INDEX(Products!B:B,MATCH(OrdersTable[[#This Row],[Product ID]],Products!A:A,0))</f>
        <v>Ashwagandha Capsules</v>
      </c>
      <c r="O4747" t="str">
        <f>INDEX(Products!C:C,MATCH(OrdersTable[[#This Row],[Product ID]],Products!A:A,0))</f>
        <v>Wellness</v>
      </c>
      <c r="P4747">
        <v>1</v>
      </c>
      <c r="Q4747" s="5">
        <v>499</v>
      </c>
      <c r="R4747" s="74">
        <v>0</v>
      </c>
      <c r="S4747" s="75">
        <f>OrdersTable[[#This Row],[Quantity]]*OrdersTable[[#This Row],[Unit Price]]</f>
        <v>499</v>
      </c>
      <c r="T4747" s="5">
        <f>OrdersTable[[#This Row],[Gross Sale]]*OrdersTable[[#This Row],[Discount_Clean2]]</f>
        <v>0</v>
      </c>
      <c r="U4747" s="5">
        <f>OrdersTable[[#This Row],[Gross Sale]]-OrdersTable[[#This Row],[Discount Amount]]</f>
        <v>499</v>
      </c>
      <c r="V4747" s="77">
        <f>INDEX(Products!E:E,MATCH(OrdersTable[[#This Row],[Product ID]],Products!A:A,0))</f>
        <v>150</v>
      </c>
      <c r="W4747" s="77">
        <f>OrdersTable[[#This Row],[Quantity]]*OrdersTable[[#This Row],[Unit Cost]]</f>
        <v>150</v>
      </c>
      <c r="X4747" s="77">
        <f>'Dropdown Lists'!$I$2*(1+OrdersTable[[#This Row],[Returned]])</f>
        <v>60</v>
      </c>
      <c r="Y4747" s="76">
        <f>OrdersTable[[#This Row],[Net Revenue]]-OrdersTable[[#This Row],[COGS]]-OrdersTable[[#This Row],[Shipping Cost]]</f>
        <v>289</v>
      </c>
      <c r="Z4747" s="78">
        <f>IFERROR(OrdersTable[[#This Row],[Profit]]/OrdersTable[[#This Row],[Net Revenue]],0)</f>
        <v>0.57915831663326656</v>
      </c>
      <c r="AA4747" t="s">
        <v>2522</v>
      </c>
      <c r="AB4747" s="79">
        <v>46010</v>
      </c>
      <c r="AC4747">
        <f>OrdersTable[[#This Row],[Delivery Date]]-OrdersTable[[#This Row],[Order Date]]</f>
        <v>1</v>
      </c>
      <c r="AD4747" t="str">
        <f>IF(OrdersTable[[#This Row],[Delivery Days]]&lt;=2, "Express (≤2d)", IF(OrdersTable[[#This Row],[Delivery Days]]&lt;=4, "Standard (3-4d)", "Delayed (5d+)"))</f>
        <v>Express (≤2d)</v>
      </c>
      <c r="AF4747">
        <v>0</v>
      </c>
    </row>
    <row r="4748" spans="1:32" ht="15" x14ac:dyDescent="0.35">
      <c r="A4748" t="s">
        <v>2190</v>
      </c>
      <c r="B4748" s="1">
        <v>46009</v>
      </c>
      <c r="C4748">
        <f>YEAR(OrdersTable[[#This Row],[Order Date]])</f>
        <v>2025</v>
      </c>
      <c r="D4748" s="2">
        <f>DATE(YEAR(OrdersTable[[#This Row],[Order Date]]),MONTH(OrdersTable[[#This Row],[Order Date]]),1)</f>
        <v>45992</v>
      </c>
      <c r="E4748">
        <f>MONTH(OrdersTable[[#This Row],[Order Date]])</f>
        <v>12</v>
      </c>
      <c r="F4748" t="s">
        <v>2191</v>
      </c>
      <c r="G4748" t="str">
        <f>IF(OrdersTable[[#This Row],[Order Date]]=_xlfn.MINIFS(Order_Date, Customer_ID, OrdersTable[[#This Row],[Customer ID]]), "New", "Repeat")</f>
        <v>Repeat</v>
      </c>
      <c r="H4748" t="s">
        <v>128</v>
      </c>
      <c r="I4748" t="str">
        <f>INDEX(State!B:B,MATCH(OrdersTable[[#This Row],[State]],State!A:A,0))</f>
        <v>DL</v>
      </c>
      <c r="J4748" t="str">
        <f>INDEX(State!C:C,MATCH(OrdersTable[[#This Row],[State Code]],State!B:B,0))</f>
        <v>North</v>
      </c>
      <c r="K4748" t="s">
        <v>129</v>
      </c>
      <c r="L4748" t="s">
        <v>65</v>
      </c>
      <c r="M4748" t="s">
        <v>29</v>
      </c>
      <c r="N4748" t="str">
        <f>INDEX(Products!B:B,MATCH(OrdersTable[[#This Row],[Product ID]],Products!A:A,0))</f>
        <v>Joggers</v>
      </c>
      <c r="O4748" t="str">
        <f>INDEX(Products!C:C,MATCH(OrdersTable[[#This Row],[Product ID]],Products!A:A,0))</f>
        <v>Apparel</v>
      </c>
      <c r="P4748">
        <v>1</v>
      </c>
      <c r="Q4748" s="5">
        <v>1199</v>
      </c>
      <c r="R4748" s="74">
        <v>0.05</v>
      </c>
      <c r="S4748" s="75">
        <f>OrdersTable[[#This Row],[Quantity]]*OrdersTable[[#This Row],[Unit Price]]</f>
        <v>1199</v>
      </c>
      <c r="T4748" s="5">
        <f>OrdersTable[[#This Row],[Gross Sale]]*OrdersTable[[#This Row],[Discount_Clean2]]</f>
        <v>59.95</v>
      </c>
      <c r="U4748" s="5">
        <f>OrdersTable[[#This Row],[Gross Sale]]-OrdersTable[[#This Row],[Discount Amount]]</f>
        <v>1139.05</v>
      </c>
      <c r="V4748" s="77">
        <f>INDEX(Products!E:E,MATCH(OrdersTable[[#This Row],[Product ID]],Products!A:A,0))</f>
        <v>492</v>
      </c>
      <c r="W4748" s="77">
        <f>OrdersTable[[#This Row],[Quantity]]*OrdersTable[[#This Row],[Unit Cost]]</f>
        <v>492</v>
      </c>
      <c r="X4748" s="77">
        <f>'Dropdown Lists'!$I$2*(1+OrdersTable[[#This Row],[Returned]])</f>
        <v>60</v>
      </c>
      <c r="Y4748" s="76">
        <f>OrdersTable[[#This Row],[Net Revenue]]-OrdersTable[[#This Row],[COGS]]-OrdersTable[[#This Row],[Shipping Cost]]</f>
        <v>587.04999999999995</v>
      </c>
      <c r="Z4748" s="78">
        <f>IFERROR(OrdersTable[[#This Row],[Profit]]/OrdersTable[[#This Row],[Net Revenue]],0)</f>
        <v>0.51538562837452262</v>
      </c>
      <c r="AA4748" t="s">
        <v>18</v>
      </c>
      <c r="AB4748" s="79">
        <v>46012</v>
      </c>
      <c r="AC4748">
        <f>OrdersTable[[#This Row],[Delivery Date]]-OrdersTable[[#This Row],[Order Date]]</f>
        <v>3</v>
      </c>
      <c r="AD4748" t="str">
        <f>IF(OrdersTable[[#This Row],[Delivery Days]]&lt;=2, "Express (≤2d)", IF(OrdersTable[[#This Row],[Delivery Days]]&lt;=4, "Standard (3-4d)", "Delayed (5d+)"))</f>
        <v>Standard (3-4d)</v>
      </c>
      <c r="AE4748">
        <v>3</v>
      </c>
      <c r="AF4748">
        <v>0</v>
      </c>
    </row>
    <row r="4749" spans="1:32" ht="15" x14ac:dyDescent="0.35">
      <c r="A4749" t="s">
        <v>1459</v>
      </c>
      <c r="B4749" s="1">
        <v>46009</v>
      </c>
      <c r="C4749">
        <f>YEAR(OrdersTable[[#This Row],[Order Date]])</f>
        <v>2025</v>
      </c>
      <c r="D4749" s="2">
        <f>DATE(YEAR(OrdersTable[[#This Row],[Order Date]]),MONTH(OrdersTable[[#This Row],[Order Date]]),1)</f>
        <v>45992</v>
      </c>
      <c r="E4749">
        <f>MONTH(OrdersTable[[#This Row],[Order Date]])</f>
        <v>12</v>
      </c>
      <c r="F4749" t="s">
        <v>1460</v>
      </c>
      <c r="G4749" t="str">
        <f>IF(OrdersTable[[#This Row],[Order Date]]=_xlfn.MINIFS(Order_Date, Customer_ID, OrdersTable[[#This Row],[Customer ID]]), "New", "Repeat")</f>
        <v>Repeat</v>
      </c>
      <c r="H4749" t="s">
        <v>32</v>
      </c>
      <c r="I4749" t="str">
        <f>INDEX(State!B:B,MATCH(OrdersTable[[#This Row],[State]],State!A:A,0))</f>
        <v>BR</v>
      </c>
      <c r="J4749" t="str">
        <f>INDEX(State!C:C,MATCH(OrdersTable[[#This Row],[State Code]],State!B:B,0))</f>
        <v>East</v>
      </c>
      <c r="K4749" t="s">
        <v>33</v>
      </c>
      <c r="L4749" t="s">
        <v>23</v>
      </c>
      <c r="M4749" t="s">
        <v>148</v>
      </c>
      <c r="N4749" t="str">
        <f>INDEX(Products!B:B,MATCH(OrdersTable[[#This Row],[Product ID]],Products!A:A,0))</f>
        <v>Smartwatch Strap</v>
      </c>
      <c r="O4749" t="str">
        <f>INDEX(Products!C:C,MATCH(OrdersTable[[#This Row],[Product ID]],Products!A:A,0))</f>
        <v>Electronics</v>
      </c>
      <c r="P4749">
        <v>1</v>
      </c>
      <c r="Q4749" s="5">
        <v>499</v>
      </c>
      <c r="R4749" s="74">
        <v>0.1</v>
      </c>
      <c r="S4749" s="75">
        <f>OrdersTable[[#This Row],[Quantity]]*OrdersTable[[#This Row],[Unit Price]]</f>
        <v>499</v>
      </c>
      <c r="T4749" s="5">
        <f>OrdersTable[[#This Row],[Gross Sale]]*OrdersTable[[#This Row],[Discount_Clean2]]</f>
        <v>49.900000000000006</v>
      </c>
      <c r="U4749" s="5">
        <f>OrdersTable[[#This Row],[Gross Sale]]-OrdersTable[[#This Row],[Discount Amount]]</f>
        <v>449.1</v>
      </c>
      <c r="V4749" s="77">
        <f>INDEX(Products!E:E,MATCH(OrdersTable[[#This Row],[Product ID]],Products!A:A,0))</f>
        <v>200</v>
      </c>
      <c r="W4749" s="77">
        <f>OrdersTable[[#This Row],[Quantity]]*OrdersTable[[#This Row],[Unit Cost]]</f>
        <v>200</v>
      </c>
      <c r="X4749" s="77">
        <f>'Dropdown Lists'!$I$2*(1+OrdersTable[[#This Row],[Returned]])</f>
        <v>60</v>
      </c>
      <c r="Y4749" s="76">
        <f>OrdersTable[[#This Row],[Net Revenue]]-OrdersTable[[#This Row],[COGS]]-OrdersTable[[#This Row],[Shipping Cost]]</f>
        <v>189.10000000000002</v>
      </c>
      <c r="Z4749" s="78">
        <f>IFERROR(OrdersTable[[#This Row],[Profit]]/OrdersTable[[#This Row],[Net Revenue]],0)</f>
        <v>0.42106435092407041</v>
      </c>
      <c r="AA4749" t="s">
        <v>18</v>
      </c>
      <c r="AB4749" s="79">
        <v>46013</v>
      </c>
      <c r="AC4749">
        <f>OrdersTable[[#This Row],[Delivery Date]]-OrdersTable[[#This Row],[Order Date]]</f>
        <v>4</v>
      </c>
      <c r="AD4749" t="str">
        <f>IF(OrdersTable[[#This Row],[Delivery Days]]&lt;=2, "Express (≤2d)", IF(OrdersTable[[#This Row],[Delivery Days]]&lt;=4, "Standard (3-4d)", "Delayed (5d+)"))</f>
        <v>Standard (3-4d)</v>
      </c>
      <c r="AF4749">
        <v>0</v>
      </c>
    </row>
    <row r="4750" spans="1:32" ht="15" x14ac:dyDescent="0.35">
      <c r="A4750" t="s">
        <v>5843</v>
      </c>
      <c r="B4750" s="1">
        <v>46009</v>
      </c>
      <c r="C4750">
        <f>YEAR(OrdersTable[[#This Row],[Order Date]])</f>
        <v>2025</v>
      </c>
      <c r="D4750" s="2">
        <f>DATE(YEAR(OrdersTable[[#This Row],[Order Date]]),MONTH(OrdersTable[[#This Row],[Order Date]]),1)</f>
        <v>45992</v>
      </c>
      <c r="E4750">
        <f>MONTH(OrdersTable[[#This Row],[Order Date]])</f>
        <v>12</v>
      </c>
      <c r="F4750" t="s">
        <v>5190</v>
      </c>
      <c r="G4750" t="str">
        <f>IF(OrdersTable[[#This Row],[Order Date]]=_xlfn.MINIFS(Order_Date, Customer_ID, OrdersTable[[#This Row],[Customer ID]]), "New", "Repeat")</f>
        <v>Repeat</v>
      </c>
      <c r="H4750" t="s">
        <v>27</v>
      </c>
      <c r="I4750" t="str">
        <f>INDEX(State!B:B,MATCH(OrdersTable[[#This Row],[State]],State!A:A,0))</f>
        <v>WB</v>
      </c>
      <c r="J4750" t="str">
        <f>INDEX(State!C:C,MATCH(OrdersTable[[#This Row],[State Code]],State!B:B,0))</f>
        <v>East</v>
      </c>
      <c r="K4750" t="s">
        <v>28</v>
      </c>
      <c r="L4750" t="s">
        <v>65</v>
      </c>
      <c r="M4750" t="s">
        <v>45</v>
      </c>
      <c r="N4750" t="str">
        <f>INDEX(Products!B:B,MATCH(OrdersTable[[#This Row],[Product ID]],Products!A:A,0))</f>
        <v>Argan Shampoo</v>
      </c>
      <c r="O4750" t="str">
        <f>INDEX(Products!C:C,MATCH(OrdersTable[[#This Row],[Product ID]],Products!A:A,0))</f>
        <v>Haircare</v>
      </c>
      <c r="P4750">
        <v>2</v>
      </c>
      <c r="Q4750" s="5">
        <v>449</v>
      </c>
      <c r="R4750" s="74">
        <v>0</v>
      </c>
      <c r="S4750" s="75">
        <f>OrdersTable[[#This Row],[Quantity]]*OrdersTable[[#This Row],[Unit Price]]</f>
        <v>898</v>
      </c>
      <c r="T4750" s="5">
        <f>OrdersTable[[#This Row],[Gross Sale]]*OrdersTable[[#This Row],[Discount_Clean2]]</f>
        <v>0</v>
      </c>
      <c r="U4750" s="5">
        <f>OrdersTable[[#This Row],[Gross Sale]]-OrdersTable[[#This Row],[Discount Amount]]</f>
        <v>898</v>
      </c>
      <c r="V4750" s="77">
        <f>INDEX(Products!E:E,MATCH(OrdersTable[[#This Row],[Product ID]],Products!A:A,0))</f>
        <v>148</v>
      </c>
      <c r="W4750" s="77">
        <f>OrdersTable[[#This Row],[Quantity]]*OrdersTable[[#This Row],[Unit Cost]]</f>
        <v>296</v>
      </c>
      <c r="X4750" s="77">
        <f>'Dropdown Lists'!$I$2*(1+OrdersTable[[#This Row],[Returned]])</f>
        <v>60</v>
      </c>
      <c r="Y4750" s="76">
        <f>OrdersTable[[#This Row],[Net Revenue]]-OrdersTable[[#This Row],[COGS]]-OrdersTable[[#This Row],[Shipping Cost]]</f>
        <v>542</v>
      </c>
      <c r="Z4750" s="78">
        <f>IFERROR(OrdersTable[[#This Row],[Profit]]/OrdersTable[[#This Row],[Net Revenue]],0)</f>
        <v>0.60356347438752789</v>
      </c>
      <c r="AA4750" t="s">
        <v>18</v>
      </c>
      <c r="AB4750" s="79">
        <v>46012</v>
      </c>
      <c r="AC4750">
        <f>OrdersTable[[#This Row],[Delivery Date]]-OrdersTable[[#This Row],[Order Date]]</f>
        <v>3</v>
      </c>
      <c r="AD4750" t="str">
        <f>IF(OrdersTable[[#This Row],[Delivery Days]]&lt;=2, "Express (≤2d)", IF(OrdersTable[[#This Row],[Delivery Days]]&lt;=4, "Standard (3-4d)", "Delayed (5d+)"))</f>
        <v>Standard (3-4d)</v>
      </c>
      <c r="AE4750">
        <v>5</v>
      </c>
      <c r="AF4750">
        <v>0</v>
      </c>
    </row>
    <row r="4751" spans="1:32" ht="15" x14ac:dyDescent="0.35">
      <c r="A4751" t="s">
        <v>712</v>
      </c>
      <c r="B4751" s="1">
        <v>46009</v>
      </c>
      <c r="C4751">
        <f>YEAR(OrdersTable[[#This Row],[Order Date]])</f>
        <v>2025</v>
      </c>
      <c r="D4751" s="2">
        <f>DATE(YEAR(OrdersTable[[#This Row],[Order Date]]),MONTH(OrdersTable[[#This Row],[Order Date]]),1)</f>
        <v>45992</v>
      </c>
      <c r="E4751">
        <f>MONTH(OrdersTable[[#This Row],[Order Date]])</f>
        <v>12</v>
      </c>
      <c r="F4751" t="s">
        <v>713</v>
      </c>
      <c r="G4751" t="str">
        <f>IF(OrdersTable[[#This Row],[Order Date]]=_xlfn.MINIFS(Order_Date, Customer_ID, OrdersTable[[#This Row],[Customer ID]]), "New", "Repeat")</f>
        <v>New</v>
      </c>
      <c r="H4751" t="s">
        <v>27</v>
      </c>
      <c r="I4751" t="str">
        <f>INDEX(State!B:B,MATCH(OrdersTable[[#This Row],[State]],State!A:A,0))</f>
        <v>WB</v>
      </c>
      <c r="J4751" t="str">
        <f>INDEX(State!C:C,MATCH(OrdersTable[[#This Row],[State Code]],State!B:B,0))</f>
        <v>East</v>
      </c>
      <c r="K4751" t="s">
        <v>28</v>
      </c>
      <c r="L4751" t="s">
        <v>65</v>
      </c>
      <c r="M4751" t="s">
        <v>66</v>
      </c>
      <c r="N4751" t="str">
        <f>INDEX(Products!B:B,MATCH(OrdersTable[[#This Row],[Product ID]],Products!A:A,0))</f>
        <v>Sunscreen SPF 50</v>
      </c>
      <c r="O4751" t="str">
        <f>INDEX(Products!C:C,MATCH(OrdersTable[[#This Row],[Product ID]],Products!A:A,0))</f>
        <v>Skincare</v>
      </c>
      <c r="P4751">
        <v>1</v>
      </c>
      <c r="Q4751" s="5">
        <v>449</v>
      </c>
      <c r="R4751" s="74">
        <v>0.05</v>
      </c>
      <c r="S4751" s="75">
        <f>OrdersTable[[#This Row],[Quantity]]*OrdersTable[[#This Row],[Unit Price]]</f>
        <v>449</v>
      </c>
      <c r="T4751" s="5">
        <f>OrdersTable[[#This Row],[Gross Sale]]*OrdersTable[[#This Row],[Discount_Clean2]]</f>
        <v>22.450000000000003</v>
      </c>
      <c r="U4751" s="5">
        <f>OrdersTable[[#This Row],[Gross Sale]]-OrdersTable[[#This Row],[Discount Amount]]</f>
        <v>426.55</v>
      </c>
      <c r="V4751" s="77">
        <f>INDEX(Products!E:E,MATCH(OrdersTable[[#This Row],[Product ID]],Products!A:A,0))</f>
        <v>144</v>
      </c>
      <c r="W4751" s="77">
        <f>OrdersTable[[#This Row],[Quantity]]*OrdersTable[[#This Row],[Unit Cost]]</f>
        <v>144</v>
      </c>
      <c r="X4751" s="77">
        <f>'Dropdown Lists'!$I$2*(1+OrdersTable[[#This Row],[Returned]])</f>
        <v>60</v>
      </c>
      <c r="Y4751" s="76">
        <f>OrdersTable[[#This Row],[Net Revenue]]-OrdersTable[[#This Row],[COGS]]-OrdersTable[[#This Row],[Shipping Cost]]</f>
        <v>222.55</v>
      </c>
      <c r="Z4751" s="78">
        <f>IFERROR(OrdersTable[[#This Row],[Profit]]/OrdersTable[[#This Row],[Net Revenue]],0)</f>
        <v>0.52174422693705313</v>
      </c>
      <c r="AA4751" t="s">
        <v>18</v>
      </c>
      <c r="AB4751" s="79">
        <v>46011</v>
      </c>
      <c r="AC4751">
        <f>OrdersTable[[#This Row],[Delivery Date]]-OrdersTable[[#This Row],[Order Date]]</f>
        <v>2</v>
      </c>
      <c r="AD4751" t="str">
        <f>IF(OrdersTable[[#This Row],[Delivery Days]]&lt;=2, "Express (≤2d)", IF(OrdersTable[[#This Row],[Delivery Days]]&lt;=4, "Standard (3-4d)", "Delayed (5d+)"))</f>
        <v>Express (≤2d)</v>
      </c>
      <c r="AE4751">
        <v>4</v>
      </c>
      <c r="AF4751">
        <v>0</v>
      </c>
    </row>
    <row r="4752" spans="1:32" ht="15" x14ac:dyDescent="0.35">
      <c r="A4752" t="s">
        <v>5562</v>
      </c>
      <c r="B4752" s="1">
        <v>46009</v>
      </c>
      <c r="C4752">
        <f>YEAR(OrdersTable[[#This Row],[Order Date]])</f>
        <v>2025</v>
      </c>
      <c r="D4752" s="2">
        <f>DATE(YEAR(OrdersTable[[#This Row],[Order Date]]),MONTH(OrdersTable[[#This Row],[Order Date]]),1)</f>
        <v>45992</v>
      </c>
      <c r="E4752">
        <f>MONTH(OrdersTable[[#This Row],[Order Date]])</f>
        <v>12</v>
      </c>
      <c r="F4752" t="s">
        <v>1313</v>
      </c>
      <c r="G4752" t="str">
        <f>IF(OrdersTable[[#This Row],[Order Date]]=_xlfn.MINIFS(Order_Date, Customer_ID, OrdersTable[[#This Row],[Customer ID]]), "New", "Repeat")</f>
        <v>Repeat</v>
      </c>
      <c r="H4752" t="s">
        <v>167</v>
      </c>
      <c r="I4752" t="str">
        <f>INDEX(State!B:B,MATCH(OrdersTable[[#This Row],[State]],State!A:A,0))</f>
        <v>KA</v>
      </c>
      <c r="J4752" t="str">
        <f>INDEX(State!C:C,MATCH(OrdersTable[[#This Row],[State Code]],State!B:B,0))</f>
        <v>South</v>
      </c>
      <c r="K4752" t="s">
        <v>168</v>
      </c>
      <c r="L4752" t="s">
        <v>16</v>
      </c>
      <c r="M4752" t="s">
        <v>87</v>
      </c>
      <c r="N4752" t="str">
        <f>INDEX(Products!B:B,MATCH(OrdersTable[[#This Row],[Product ID]],Products!A:A,0))</f>
        <v>Linen Kurta</v>
      </c>
      <c r="O4752" t="str">
        <f>INDEX(Products!C:C,MATCH(OrdersTable[[#This Row],[Product ID]],Products!A:A,0))</f>
        <v>Apparel</v>
      </c>
      <c r="P4752">
        <v>2</v>
      </c>
      <c r="Q4752" s="5">
        <v>1499</v>
      </c>
      <c r="R4752" s="74">
        <v>0.35</v>
      </c>
      <c r="S4752" s="75">
        <f>OrdersTable[[#This Row],[Quantity]]*OrdersTable[[#This Row],[Unit Price]]</f>
        <v>2998</v>
      </c>
      <c r="T4752" s="5">
        <f>OrdersTable[[#This Row],[Gross Sale]]*OrdersTable[[#This Row],[Discount_Clean2]]</f>
        <v>1049.3</v>
      </c>
      <c r="U4752" s="5">
        <f>OrdersTable[[#This Row],[Gross Sale]]-OrdersTable[[#This Row],[Discount Amount]]</f>
        <v>1948.7</v>
      </c>
      <c r="V4752" s="77">
        <f>INDEX(Products!E:E,MATCH(OrdersTable[[#This Row],[Product ID]],Products!A:A,0))</f>
        <v>630</v>
      </c>
      <c r="W4752" s="77">
        <f>OrdersTable[[#This Row],[Quantity]]*OrdersTable[[#This Row],[Unit Cost]]</f>
        <v>1260</v>
      </c>
      <c r="X4752" s="77">
        <f>'Dropdown Lists'!$I$2*(1+OrdersTable[[#This Row],[Returned]])</f>
        <v>60</v>
      </c>
      <c r="Y4752" s="76">
        <f>OrdersTable[[#This Row],[Net Revenue]]-OrdersTable[[#This Row],[COGS]]-OrdersTable[[#This Row],[Shipping Cost]]</f>
        <v>628.70000000000005</v>
      </c>
      <c r="Z4752" s="78">
        <f>IFERROR(OrdersTable[[#This Row],[Profit]]/OrdersTable[[#This Row],[Net Revenue]],0)</f>
        <v>0.32262533997023657</v>
      </c>
      <c r="AA4752" t="s">
        <v>2522</v>
      </c>
      <c r="AB4752" s="79">
        <v>46012</v>
      </c>
      <c r="AC4752">
        <f>OrdersTable[[#This Row],[Delivery Date]]-OrdersTable[[#This Row],[Order Date]]</f>
        <v>3</v>
      </c>
      <c r="AD4752" t="str">
        <f>IF(OrdersTable[[#This Row],[Delivery Days]]&lt;=2, "Express (≤2d)", IF(OrdersTable[[#This Row],[Delivery Days]]&lt;=4, "Standard (3-4d)", "Delayed (5d+)"))</f>
        <v>Standard (3-4d)</v>
      </c>
      <c r="AE4752">
        <v>4</v>
      </c>
      <c r="AF4752">
        <v>0</v>
      </c>
    </row>
    <row r="4753" spans="1:32" ht="15" x14ac:dyDescent="0.35">
      <c r="A4753" t="s">
        <v>5646</v>
      </c>
      <c r="B4753" s="1">
        <v>46009</v>
      </c>
      <c r="C4753">
        <f>YEAR(OrdersTable[[#This Row],[Order Date]])</f>
        <v>2025</v>
      </c>
      <c r="D4753" s="2">
        <f>DATE(YEAR(OrdersTable[[#This Row],[Order Date]]),MONTH(OrdersTable[[#This Row],[Order Date]]),1)</f>
        <v>45992</v>
      </c>
      <c r="E4753">
        <f>MONTH(OrdersTable[[#This Row],[Order Date]])</f>
        <v>12</v>
      </c>
      <c r="F4753" t="s">
        <v>5647</v>
      </c>
      <c r="G4753" t="str">
        <f>IF(OrdersTable[[#This Row],[Order Date]]=_xlfn.MINIFS(Order_Date, Customer_ID, OrdersTable[[#This Row],[Customer ID]]), "New", "Repeat")</f>
        <v>New</v>
      </c>
      <c r="H4753" t="s">
        <v>59</v>
      </c>
      <c r="I4753" t="str">
        <f>INDEX(State!B:B,MATCH(OrdersTable[[#This Row],[State]],State!A:A,0))</f>
        <v>TN</v>
      </c>
      <c r="J4753" t="str">
        <f>INDEX(State!C:C,MATCH(OrdersTable[[#This Row],[State Code]],State!B:B,0))</f>
        <v>South</v>
      </c>
      <c r="K4753" t="s">
        <v>64</v>
      </c>
      <c r="L4753" t="s">
        <v>65</v>
      </c>
      <c r="M4753" t="s">
        <v>152</v>
      </c>
      <c r="N4753" t="str">
        <f>INDEX(Products!B:B,MATCH(OrdersTable[[#This Row],[Product ID]],Products!A:A,0))</f>
        <v>Green Tea (100 bags)</v>
      </c>
      <c r="O4753" t="str">
        <f>INDEX(Products!C:C,MATCH(OrdersTable[[#This Row],[Product ID]],Products!A:A,0))</f>
        <v>Wellness</v>
      </c>
      <c r="P4753">
        <v>2</v>
      </c>
      <c r="Q4753" s="5">
        <v>399</v>
      </c>
      <c r="R4753" s="74">
        <v>0.45</v>
      </c>
      <c r="S4753" s="75">
        <f>OrdersTable[[#This Row],[Quantity]]*OrdersTable[[#This Row],[Unit Price]]</f>
        <v>798</v>
      </c>
      <c r="T4753" s="5">
        <f>OrdersTable[[#This Row],[Gross Sale]]*OrdersTable[[#This Row],[Discount_Clean2]]</f>
        <v>359.1</v>
      </c>
      <c r="U4753" s="5">
        <f>OrdersTable[[#This Row],[Gross Sale]]-OrdersTable[[#This Row],[Discount Amount]]</f>
        <v>438.9</v>
      </c>
      <c r="V4753" s="77">
        <f>INDEX(Products!E:E,MATCH(OrdersTable[[#This Row],[Product ID]],Products!A:A,0))</f>
        <v>128</v>
      </c>
      <c r="W4753" s="77">
        <f>OrdersTable[[#This Row],[Quantity]]*OrdersTable[[#This Row],[Unit Cost]]</f>
        <v>256</v>
      </c>
      <c r="X4753" s="77">
        <f>'Dropdown Lists'!$I$2*(1+OrdersTable[[#This Row],[Returned]])</f>
        <v>60</v>
      </c>
      <c r="Y4753" s="76">
        <f>OrdersTable[[#This Row],[Net Revenue]]-OrdersTable[[#This Row],[COGS]]-OrdersTable[[#This Row],[Shipping Cost]]</f>
        <v>122.89999999999998</v>
      </c>
      <c r="Z4753" s="78">
        <f>IFERROR(OrdersTable[[#This Row],[Profit]]/OrdersTable[[#This Row],[Net Revenue]],0)</f>
        <v>0.28001822738664839</v>
      </c>
      <c r="AA4753" t="s">
        <v>2522</v>
      </c>
      <c r="AB4753" s="79">
        <v>46011</v>
      </c>
      <c r="AC4753">
        <f>OrdersTable[[#This Row],[Delivery Date]]-OrdersTable[[#This Row],[Order Date]]</f>
        <v>2</v>
      </c>
      <c r="AD4753" t="str">
        <f>IF(OrdersTable[[#This Row],[Delivery Days]]&lt;=2, "Express (≤2d)", IF(OrdersTable[[#This Row],[Delivery Days]]&lt;=4, "Standard (3-4d)", "Delayed (5d+)"))</f>
        <v>Express (≤2d)</v>
      </c>
      <c r="AF4753">
        <v>0</v>
      </c>
    </row>
    <row r="4754" spans="1:32" ht="15" x14ac:dyDescent="0.35">
      <c r="A4754" t="s">
        <v>6650</v>
      </c>
      <c r="B4754" s="1">
        <v>46010</v>
      </c>
      <c r="C4754">
        <f>YEAR(OrdersTable[[#This Row],[Order Date]])</f>
        <v>2025</v>
      </c>
      <c r="D4754" s="2">
        <f>DATE(YEAR(OrdersTable[[#This Row],[Order Date]]),MONTH(OrdersTable[[#This Row],[Order Date]]),1)</f>
        <v>45992</v>
      </c>
      <c r="E4754">
        <f>MONTH(OrdersTable[[#This Row],[Order Date]])</f>
        <v>12</v>
      </c>
      <c r="F4754" t="s">
        <v>3454</v>
      </c>
      <c r="G4754" t="str">
        <f>IF(OrdersTable[[#This Row],[Order Date]]=_xlfn.MINIFS(Order_Date, Customer_ID, OrdersTable[[#This Row],[Customer ID]]), "New", "Repeat")</f>
        <v>Repeat</v>
      </c>
      <c r="H4754" t="s">
        <v>76</v>
      </c>
      <c r="I4754" t="str">
        <f>INDEX(State!B:B,MATCH(OrdersTable[[#This Row],[State]],State!A:A,0))</f>
        <v>UP</v>
      </c>
      <c r="J4754" t="str">
        <f>INDEX(State!C:C,MATCH(OrdersTable[[#This Row],[State Code]],State!B:B,0))</f>
        <v>North</v>
      </c>
      <c r="K4754" t="s">
        <v>105</v>
      </c>
      <c r="L4754" t="s">
        <v>39</v>
      </c>
      <c r="M4754" t="s">
        <v>78</v>
      </c>
      <c r="N4754" t="str">
        <f>INDEX(Products!B:B,MATCH(OrdersTable[[#This Row],[Product ID]],Products!A:A,0))</f>
        <v>Retinol Night Cream</v>
      </c>
      <c r="O4754" t="str">
        <f>INDEX(Products!C:C,MATCH(OrdersTable[[#This Row],[Product ID]],Products!A:A,0))</f>
        <v>Skincare</v>
      </c>
      <c r="P4754">
        <v>3</v>
      </c>
      <c r="Q4754" s="5">
        <v>799</v>
      </c>
      <c r="R4754" s="74">
        <v>0</v>
      </c>
      <c r="S4754" s="75">
        <f>OrdersTable[[#This Row],[Quantity]]*OrdersTable[[#This Row],[Unit Price]]</f>
        <v>2397</v>
      </c>
      <c r="T4754" s="5">
        <f>OrdersTable[[#This Row],[Gross Sale]]*OrdersTable[[#This Row],[Discount_Clean2]]</f>
        <v>0</v>
      </c>
      <c r="U4754" s="5">
        <f>OrdersTable[[#This Row],[Gross Sale]]-OrdersTable[[#This Row],[Discount Amount]]</f>
        <v>2397</v>
      </c>
      <c r="V4754" s="77">
        <f>INDEX(Products!E:E,MATCH(OrdersTable[[#This Row],[Product ID]],Products!A:A,0))</f>
        <v>216</v>
      </c>
      <c r="W4754" s="77">
        <f>OrdersTable[[#This Row],[Quantity]]*OrdersTable[[#This Row],[Unit Cost]]</f>
        <v>648</v>
      </c>
      <c r="X4754" s="77">
        <f>'Dropdown Lists'!$I$2*(1+OrdersTable[[#This Row],[Returned]])</f>
        <v>60</v>
      </c>
      <c r="Y4754" s="76">
        <f>OrdersTable[[#This Row],[Net Revenue]]-OrdersTable[[#This Row],[COGS]]-OrdersTable[[#This Row],[Shipping Cost]]</f>
        <v>1689</v>
      </c>
      <c r="Z4754" s="78">
        <f>IFERROR(OrdersTable[[#This Row],[Profit]]/OrdersTable[[#This Row],[Net Revenue]],0)</f>
        <v>0.70463078848560701</v>
      </c>
      <c r="AA4754" t="s">
        <v>18</v>
      </c>
      <c r="AB4754" s="79">
        <v>46014</v>
      </c>
      <c r="AC4754">
        <f>OrdersTable[[#This Row],[Delivery Date]]-OrdersTable[[#This Row],[Order Date]]</f>
        <v>4</v>
      </c>
      <c r="AD4754" t="str">
        <f>IF(OrdersTable[[#This Row],[Delivery Days]]&lt;=2, "Express (≤2d)", IF(OrdersTable[[#This Row],[Delivery Days]]&lt;=4, "Standard (3-4d)", "Delayed (5d+)"))</f>
        <v>Standard (3-4d)</v>
      </c>
      <c r="AE4754">
        <v>4</v>
      </c>
      <c r="AF4754">
        <v>0</v>
      </c>
    </row>
    <row r="4755" spans="1:32" ht="15" x14ac:dyDescent="0.35">
      <c r="A4755" t="s">
        <v>6447</v>
      </c>
      <c r="B4755" s="1">
        <v>46010</v>
      </c>
      <c r="C4755">
        <f>YEAR(OrdersTable[[#This Row],[Order Date]])</f>
        <v>2025</v>
      </c>
      <c r="D4755" s="2">
        <f>DATE(YEAR(OrdersTable[[#This Row],[Order Date]]),MONTH(OrdersTable[[#This Row],[Order Date]]),1)</f>
        <v>45992</v>
      </c>
      <c r="E4755">
        <f>MONTH(OrdersTable[[#This Row],[Order Date]])</f>
        <v>12</v>
      </c>
      <c r="F4755" t="s">
        <v>3563</v>
      </c>
      <c r="G4755" t="str">
        <f>IF(OrdersTable[[#This Row],[Order Date]]=_xlfn.MINIFS(Order_Date, Customer_ID, OrdersTable[[#This Row],[Customer ID]]), "New", "Repeat")</f>
        <v>Repeat</v>
      </c>
      <c r="H4755" t="s">
        <v>32</v>
      </c>
      <c r="I4755" t="str">
        <f>INDEX(State!B:B,MATCH(OrdersTable[[#This Row],[State]],State!A:A,0))</f>
        <v>BR</v>
      </c>
      <c r="J4755" t="str">
        <f>INDEX(State!C:C,MATCH(OrdersTable[[#This Row],[State Code]],State!B:B,0))</f>
        <v>East</v>
      </c>
      <c r="K4755" t="s">
        <v>33</v>
      </c>
      <c r="L4755" t="s">
        <v>50</v>
      </c>
      <c r="M4755" t="s">
        <v>152</v>
      </c>
      <c r="N4755" t="str">
        <f>INDEX(Products!B:B,MATCH(OrdersTable[[#This Row],[Product ID]],Products!A:A,0))</f>
        <v>Green Tea (100 bags)</v>
      </c>
      <c r="O4755" t="str">
        <f>INDEX(Products!C:C,MATCH(OrdersTable[[#This Row],[Product ID]],Products!A:A,0))</f>
        <v>Wellness</v>
      </c>
      <c r="P4755">
        <v>2</v>
      </c>
      <c r="Q4755" s="5">
        <v>399</v>
      </c>
      <c r="R4755" s="74">
        <v>0.35</v>
      </c>
      <c r="S4755" s="75">
        <f>OrdersTable[[#This Row],[Quantity]]*OrdersTable[[#This Row],[Unit Price]]</f>
        <v>798</v>
      </c>
      <c r="T4755" s="5">
        <f>OrdersTable[[#This Row],[Gross Sale]]*OrdersTable[[#This Row],[Discount_Clean2]]</f>
        <v>279.29999999999995</v>
      </c>
      <c r="U4755" s="5">
        <f>OrdersTable[[#This Row],[Gross Sale]]-OrdersTable[[#This Row],[Discount Amount]]</f>
        <v>518.70000000000005</v>
      </c>
      <c r="V4755" s="77">
        <f>INDEX(Products!E:E,MATCH(OrdersTable[[#This Row],[Product ID]],Products!A:A,0))</f>
        <v>128</v>
      </c>
      <c r="W4755" s="77">
        <f>OrdersTable[[#This Row],[Quantity]]*OrdersTable[[#This Row],[Unit Cost]]</f>
        <v>256</v>
      </c>
      <c r="X4755" s="77">
        <f>'Dropdown Lists'!$I$2*(1+OrdersTable[[#This Row],[Returned]])</f>
        <v>60</v>
      </c>
      <c r="Y4755" s="76">
        <f>OrdersTable[[#This Row],[Net Revenue]]-OrdersTable[[#This Row],[COGS]]-OrdersTable[[#This Row],[Shipping Cost]]</f>
        <v>202.70000000000005</v>
      </c>
      <c r="Z4755" s="78">
        <f>IFERROR(OrdersTable[[#This Row],[Profit]]/OrdersTable[[#This Row],[Net Revenue]],0)</f>
        <v>0.39078465394254874</v>
      </c>
      <c r="AA4755" t="s">
        <v>18</v>
      </c>
      <c r="AB4755" s="79">
        <v>46015</v>
      </c>
      <c r="AC4755">
        <f>OrdersTable[[#This Row],[Delivery Date]]-OrdersTable[[#This Row],[Order Date]]</f>
        <v>5</v>
      </c>
      <c r="AD4755" t="str">
        <f>IF(OrdersTable[[#This Row],[Delivery Days]]&lt;=2, "Express (≤2d)", IF(OrdersTable[[#This Row],[Delivery Days]]&lt;=4, "Standard (3-4d)", "Delayed (5d+)"))</f>
        <v>Delayed (5d+)</v>
      </c>
      <c r="AE4755">
        <v>4</v>
      </c>
      <c r="AF4755">
        <v>0</v>
      </c>
    </row>
    <row r="4756" spans="1:32" ht="15" x14ac:dyDescent="0.35">
      <c r="A4756" t="s">
        <v>3382</v>
      </c>
      <c r="B4756" s="1">
        <v>46010</v>
      </c>
      <c r="C4756">
        <f>YEAR(OrdersTable[[#This Row],[Order Date]])</f>
        <v>2025</v>
      </c>
      <c r="D4756" s="2">
        <f>DATE(YEAR(OrdersTable[[#This Row],[Order Date]]),MONTH(OrdersTable[[#This Row],[Order Date]]),1)</f>
        <v>45992</v>
      </c>
      <c r="E4756">
        <f>MONTH(OrdersTable[[#This Row],[Order Date]])</f>
        <v>12</v>
      </c>
      <c r="F4756" t="s">
        <v>3383</v>
      </c>
      <c r="G4756" t="str">
        <f>IF(OrdersTable[[#This Row],[Order Date]]=_xlfn.MINIFS(Order_Date, Customer_ID, OrdersTable[[#This Row],[Customer ID]]), "New", "Repeat")</f>
        <v>Repeat</v>
      </c>
      <c r="H4756" t="s">
        <v>482</v>
      </c>
      <c r="I4756" t="str">
        <f>INDEX(State!B:B,MATCH(OrdersTable[[#This Row],[State]],State!A:A,0))</f>
        <v>CG</v>
      </c>
      <c r="J4756" t="str">
        <f>INDEX(State!C:C,MATCH(OrdersTable[[#This Row],[State Code]],State!B:B,0))</f>
        <v>East</v>
      </c>
      <c r="K4756" t="s">
        <v>483</v>
      </c>
      <c r="L4756" t="s">
        <v>50</v>
      </c>
      <c r="M4756" t="s">
        <v>78</v>
      </c>
      <c r="N4756" t="str">
        <f>INDEX(Products!B:B,MATCH(OrdersTable[[#This Row],[Product ID]],Products!A:A,0))</f>
        <v>Retinol Night Cream</v>
      </c>
      <c r="O4756" t="str">
        <f>INDEX(Products!C:C,MATCH(OrdersTable[[#This Row],[Product ID]],Products!A:A,0))</f>
        <v>Skincare</v>
      </c>
      <c r="P4756">
        <v>1</v>
      </c>
      <c r="Q4756" s="5">
        <v>799</v>
      </c>
      <c r="R4756" s="74">
        <v>0</v>
      </c>
      <c r="S4756" s="75">
        <f>OrdersTable[[#This Row],[Quantity]]*OrdersTable[[#This Row],[Unit Price]]</f>
        <v>799</v>
      </c>
      <c r="T4756" s="5">
        <f>OrdersTable[[#This Row],[Gross Sale]]*OrdersTable[[#This Row],[Discount_Clean2]]</f>
        <v>0</v>
      </c>
      <c r="U4756" s="5">
        <f>OrdersTable[[#This Row],[Gross Sale]]-OrdersTable[[#This Row],[Discount Amount]]</f>
        <v>799</v>
      </c>
      <c r="V4756" s="77">
        <f>INDEX(Products!E:E,MATCH(OrdersTable[[#This Row],[Product ID]],Products!A:A,0))</f>
        <v>216</v>
      </c>
      <c r="W4756" s="77">
        <f>OrdersTable[[#This Row],[Quantity]]*OrdersTable[[#This Row],[Unit Cost]]</f>
        <v>216</v>
      </c>
      <c r="X4756" s="77">
        <f>'Dropdown Lists'!$I$2*(1+OrdersTable[[#This Row],[Returned]])</f>
        <v>60</v>
      </c>
      <c r="Y4756" s="76">
        <f>OrdersTable[[#This Row],[Net Revenue]]-OrdersTable[[#This Row],[COGS]]-OrdersTable[[#This Row],[Shipping Cost]]</f>
        <v>523</v>
      </c>
      <c r="Z4756" s="78">
        <f>IFERROR(OrdersTable[[#This Row],[Profit]]/OrdersTable[[#This Row],[Net Revenue]],0)</f>
        <v>0.65456821026282852</v>
      </c>
      <c r="AA4756" t="s">
        <v>2522</v>
      </c>
      <c r="AB4756" s="79">
        <v>46013</v>
      </c>
      <c r="AC4756">
        <f>OrdersTable[[#This Row],[Delivery Date]]-OrdersTable[[#This Row],[Order Date]]</f>
        <v>3</v>
      </c>
      <c r="AD4756" t="str">
        <f>IF(OrdersTable[[#This Row],[Delivery Days]]&lt;=2, "Express (≤2d)", IF(OrdersTable[[#This Row],[Delivery Days]]&lt;=4, "Standard (3-4d)", "Delayed (5d+)"))</f>
        <v>Standard (3-4d)</v>
      </c>
      <c r="AE4756">
        <v>4</v>
      </c>
      <c r="AF4756">
        <v>0</v>
      </c>
    </row>
    <row r="4757" spans="1:32" ht="15" x14ac:dyDescent="0.35">
      <c r="A4757" t="s">
        <v>3491</v>
      </c>
      <c r="B4757" s="1">
        <v>46010</v>
      </c>
      <c r="C4757">
        <f>YEAR(OrdersTable[[#This Row],[Order Date]])</f>
        <v>2025</v>
      </c>
      <c r="D4757" s="2">
        <f>DATE(YEAR(OrdersTable[[#This Row],[Order Date]]),MONTH(OrdersTable[[#This Row],[Order Date]]),1)</f>
        <v>45992</v>
      </c>
      <c r="E4757">
        <f>MONTH(OrdersTable[[#This Row],[Order Date]])</f>
        <v>12</v>
      </c>
      <c r="F4757" t="s">
        <v>719</v>
      </c>
      <c r="G4757" t="str">
        <f>IF(OrdersTable[[#This Row],[Order Date]]=_xlfn.MINIFS(Order_Date, Customer_ID, OrdersTable[[#This Row],[Customer ID]]), "New", "Repeat")</f>
        <v>Repeat</v>
      </c>
      <c r="H4757" t="s">
        <v>71</v>
      </c>
      <c r="I4757" t="str">
        <f>INDEX(State!B:B,MATCH(OrdersTable[[#This Row],[State]],State!A:A,0))</f>
        <v>MH</v>
      </c>
      <c r="J4757" t="str">
        <f>INDEX(State!C:C,MATCH(OrdersTable[[#This Row],[State Code]],State!B:B,0))</f>
        <v>West</v>
      </c>
      <c r="K4757" t="s">
        <v>72</v>
      </c>
      <c r="L4757" t="s">
        <v>65</v>
      </c>
      <c r="M4757" t="s">
        <v>24</v>
      </c>
      <c r="N4757" t="str">
        <f>INDEX(Products!B:B,MATCH(OrdersTable[[#This Row],[Product ID]],Products!A:A,0))</f>
        <v>Scented Candle Set</v>
      </c>
      <c r="O4757" t="str">
        <f>INDEX(Products!C:C,MATCH(OrdersTable[[#This Row],[Product ID]],Products!A:A,0))</f>
        <v>Home &amp; Kitchen</v>
      </c>
      <c r="P4757">
        <v>1</v>
      </c>
      <c r="Q4757" s="5">
        <v>699</v>
      </c>
      <c r="R4757" s="74">
        <v>0.15</v>
      </c>
      <c r="S4757" s="75">
        <f>OrdersTable[[#This Row],[Quantity]]*OrdersTable[[#This Row],[Unit Price]]</f>
        <v>699</v>
      </c>
      <c r="T4757" s="5">
        <f>OrdersTable[[#This Row],[Gross Sale]]*OrdersTable[[#This Row],[Discount_Clean2]]</f>
        <v>104.85</v>
      </c>
      <c r="U4757" s="5">
        <f>OrdersTable[[#This Row],[Gross Sale]]-OrdersTable[[#This Row],[Discount Amount]]</f>
        <v>594.15</v>
      </c>
      <c r="V4757" s="77">
        <f>INDEX(Products!E:E,MATCH(OrdersTable[[#This Row],[Product ID]],Products!A:A,0))</f>
        <v>245</v>
      </c>
      <c r="W4757" s="77">
        <f>OrdersTable[[#This Row],[Quantity]]*OrdersTable[[#This Row],[Unit Cost]]</f>
        <v>245</v>
      </c>
      <c r="X4757" s="77">
        <f>'Dropdown Lists'!$I$2*(1+OrdersTable[[#This Row],[Returned]])</f>
        <v>60</v>
      </c>
      <c r="Y4757" s="76">
        <f>OrdersTable[[#This Row],[Net Revenue]]-OrdersTable[[#This Row],[COGS]]-OrdersTable[[#This Row],[Shipping Cost]]</f>
        <v>289.14999999999998</v>
      </c>
      <c r="Z4757" s="78">
        <f>IFERROR(OrdersTable[[#This Row],[Profit]]/OrdersTable[[#This Row],[Net Revenue]],0)</f>
        <v>0.48666161743667424</v>
      </c>
      <c r="AA4757" t="s">
        <v>2522</v>
      </c>
      <c r="AB4757" s="79">
        <v>46012</v>
      </c>
      <c r="AC4757">
        <f>OrdersTable[[#This Row],[Delivery Date]]-OrdersTable[[#This Row],[Order Date]]</f>
        <v>2</v>
      </c>
      <c r="AD4757" t="str">
        <f>IF(OrdersTable[[#This Row],[Delivery Days]]&lt;=2, "Express (≤2d)", IF(OrdersTable[[#This Row],[Delivery Days]]&lt;=4, "Standard (3-4d)", "Delayed (5d+)"))</f>
        <v>Express (≤2d)</v>
      </c>
      <c r="AE4757">
        <v>4</v>
      </c>
      <c r="AF4757">
        <v>0</v>
      </c>
    </row>
    <row r="4758" spans="1:32" ht="15" x14ac:dyDescent="0.35">
      <c r="A4758" t="s">
        <v>4737</v>
      </c>
      <c r="B4758" s="1">
        <v>46010</v>
      </c>
      <c r="C4758">
        <f>YEAR(OrdersTable[[#This Row],[Order Date]])</f>
        <v>2025</v>
      </c>
      <c r="D4758" s="2">
        <f>DATE(YEAR(OrdersTable[[#This Row],[Order Date]]),MONTH(OrdersTable[[#This Row],[Order Date]]),1)</f>
        <v>45992</v>
      </c>
      <c r="E4758">
        <f>MONTH(OrdersTable[[#This Row],[Order Date]])</f>
        <v>12</v>
      </c>
      <c r="F4758" t="s">
        <v>4738</v>
      </c>
      <c r="G4758" t="str">
        <f>IF(OrdersTable[[#This Row],[Order Date]]=_xlfn.MINIFS(Order_Date, Customer_ID, OrdersTable[[#This Row],[Customer ID]]), "New", "Repeat")</f>
        <v>New</v>
      </c>
      <c r="H4758" t="s">
        <v>275</v>
      </c>
      <c r="I4758" t="str">
        <f>INDEX(State!B:B,MATCH(OrdersTable[[#This Row],[State]],State!A:A,0))</f>
        <v>AP</v>
      </c>
      <c r="J4758" t="str">
        <f>INDEX(State!C:C,MATCH(OrdersTable[[#This Row],[State Code]],State!B:B,0))</f>
        <v>South</v>
      </c>
      <c r="K4758" t="s">
        <v>491</v>
      </c>
      <c r="L4758" t="s">
        <v>23</v>
      </c>
      <c r="M4758" t="s">
        <v>34</v>
      </c>
      <c r="N4758" t="str">
        <f>INDEX(Products!B:B,MATCH(OrdersTable[[#This Row],[Product ID]],Products!A:A,0))</f>
        <v>Flip Flops</v>
      </c>
      <c r="O4758" t="str">
        <f>INDEX(Products!C:C,MATCH(OrdersTable[[#This Row],[Product ID]],Products!A:A,0))</f>
        <v>Footwear</v>
      </c>
      <c r="P4758">
        <v>1</v>
      </c>
      <c r="Q4758" s="5">
        <v>399</v>
      </c>
      <c r="R4758" s="74">
        <v>0.2</v>
      </c>
      <c r="S4758" s="75">
        <f>OrdersTable[[#This Row],[Quantity]]*OrdersTable[[#This Row],[Unit Price]]</f>
        <v>399</v>
      </c>
      <c r="T4758" s="5">
        <f>OrdersTable[[#This Row],[Gross Sale]]*OrdersTable[[#This Row],[Discount_Clean2]]</f>
        <v>79.800000000000011</v>
      </c>
      <c r="U4758" s="5">
        <f>OrdersTable[[#This Row],[Gross Sale]]-OrdersTable[[#This Row],[Discount Amount]]</f>
        <v>319.2</v>
      </c>
      <c r="V4758" s="77">
        <f>INDEX(Products!E:E,MATCH(OrdersTable[[#This Row],[Product ID]],Products!A:A,0))</f>
        <v>152</v>
      </c>
      <c r="W4758" s="77">
        <f>OrdersTable[[#This Row],[Quantity]]*OrdersTable[[#This Row],[Unit Cost]]</f>
        <v>152</v>
      </c>
      <c r="X4758" s="77">
        <f>'Dropdown Lists'!$I$2*(1+OrdersTable[[#This Row],[Returned]])</f>
        <v>60</v>
      </c>
      <c r="Y4758" s="76">
        <f>OrdersTable[[#This Row],[Net Revenue]]-OrdersTable[[#This Row],[COGS]]-OrdersTable[[#This Row],[Shipping Cost]]</f>
        <v>107.19999999999999</v>
      </c>
      <c r="Z4758" s="78">
        <f>IFERROR(OrdersTable[[#This Row],[Profit]]/OrdersTable[[#This Row],[Net Revenue]],0)</f>
        <v>0.33583959899749372</v>
      </c>
      <c r="AA4758" t="s">
        <v>4450</v>
      </c>
      <c r="AB4758" s="79">
        <v>46014</v>
      </c>
      <c r="AC4758">
        <f>OrdersTable[[#This Row],[Delivery Date]]-OrdersTable[[#This Row],[Order Date]]</f>
        <v>4</v>
      </c>
      <c r="AD4758" t="str">
        <f>IF(OrdersTable[[#This Row],[Delivery Days]]&lt;=2, "Express (≤2d)", IF(OrdersTable[[#This Row],[Delivery Days]]&lt;=4, "Standard (3-4d)", "Delayed (5d+)"))</f>
        <v>Standard (3-4d)</v>
      </c>
      <c r="AE4758">
        <v>3</v>
      </c>
      <c r="AF4758">
        <v>0</v>
      </c>
    </row>
    <row r="4759" spans="1:32" ht="15" x14ac:dyDescent="0.35">
      <c r="A4759" t="s">
        <v>2681</v>
      </c>
      <c r="B4759" s="1">
        <v>46010</v>
      </c>
      <c r="C4759">
        <f>YEAR(OrdersTable[[#This Row],[Order Date]])</f>
        <v>2025</v>
      </c>
      <c r="D4759" s="2">
        <f>DATE(YEAR(OrdersTable[[#This Row],[Order Date]]),MONTH(OrdersTable[[#This Row],[Order Date]]),1)</f>
        <v>45992</v>
      </c>
      <c r="E4759">
        <f>MONTH(OrdersTable[[#This Row],[Order Date]])</f>
        <v>12</v>
      </c>
      <c r="F4759" t="s">
        <v>2682</v>
      </c>
      <c r="G4759" t="str">
        <f>IF(OrdersTable[[#This Row],[Order Date]]=_xlfn.MINIFS(Order_Date, Customer_ID, OrdersTable[[#This Row],[Customer ID]]), "New", "Repeat")</f>
        <v>Repeat</v>
      </c>
      <c r="H4759" t="s">
        <v>59</v>
      </c>
      <c r="I4759" t="str">
        <f>INDEX(State!B:B,MATCH(OrdersTable[[#This Row],[State]],State!A:A,0))</f>
        <v>TN</v>
      </c>
      <c r="J4759" t="str">
        <f>INDEX(State!C:C,MATCH(OrdersTable[[#This Row],[State Code]],State!B:B,0))</f>
        <v>South</v>
      </c>
      <c r="K4759" t="s">
        <v>64</v>
      </c>
      <c r="L4759" t="s">
        <v>23</v>
      </c>
      <c r="M4759" t="s">
        <v>73</v>
      </c>
      <c r="N4759" t="str">
        <f>INDEX(Products!B:B,MATCH(OrdersTable[[#This Row],[Product ID]],Products!A:A,0))</f>
        <v>Hydrating Face Wash</v>
      </c>
      <c r="O4759" t="str">
        <f>INDEX(Products!C:C,MATCH(OrdersTable[[#This Row],[Product ID]],Products!A:A,0))</f>
        <v>Skincare</v>
      </c>
      <c r="P4759">
        <v>1</v>
      </c>
      <c r="Q4759" s="5">
        <v>299</v>
      </c>
      <c r="R4759" s="74">
        <v>0</v>
      </c>
      <c r="S4759" s="75">
        <f>OrdersTable[[#This Row],[Quantity]]*OrdersTable[[#This Row],[Unit Price]]</f>
        <v>299</v>
      </c>
      <c r="T4759" s="5">
        <f>OrdersTable[[#This Row],[Gross Sale]]*OrdersTable[[#This Row],[Discount_Clean2]]</f>
        <v>0</v>
      </c>
      <c r="U4759" s="5">
        <f>OrdersTable[[#This Row],[Gross Sale]]-OrdersTable[[#This Row],[Discount Amount]]</f>
        <v>299</v>
      </c>
      <c r="V4759" s="77">
        <f>INDEX(Products!E:E,MATCH(OrdersTable[[#This Row],[Product ID]],Products!A:A,0))</f>
        <v>90</v>
      </c>
      <c r="W4759" s="77">
        <f>OrdersTable[[#This Row],[Quantity]]*OrdersTable[[#This Row],[Unit Cost]]</f>
        <v>90</v>
      </c>
      <c r="X4759" s="77">
        <f>'Dropdown Lists'!$I$2*(1+OrdersTable[[#This Row],[Returned]])</f>
        <v>60</v>
      </c>
      <c r="Y4759" s="76">
        <f>OrdersTable[[#This Row],[Net Revenue]]-OrdersTable[[#This Row],[COGS]]-OrdersTable[[#This Row],[Shipping Cost]]</f>
        <v>149</v>
      </c>
      <c r="Z4759" s="78">
        <f>IFERROR(OrdersTable[[#This Row],[Profit]]/OrdersTable[[#This Row],[Net Revenue]],0)</f>
        <v>0.49832775919732442</v>
      </c>
      <c r="AA4759" t="s">
        <v>2522</v>
      </c>
      <c r="AB4759" s="79">
        <v>46012</v>
      </c>
      <c r="AC4759">
        <f>OrdersTable[[#This Row],[Delivery Date]]-OrdersTable[[#This Row],[Order Date]]</f>
        <v>2</v>
      </c>
      <c r="AD4759" t="str">
        <f>IF(OrdersTable[[#This Row],[Delivery Days]]&lt;=2, "Express (≤2d)", IF(OrdersTable[[#This Row],[Delivery Days]]&lt;=4, "Standard (3-4d)", "Delayed (5d+)"))</f>
        <v>Express (≤2d)</v>
      </c>
      <c r="AE4759">
        <v>5</v>
      </c>
      <c r="AF4759">
        <v>0</v>
      </c>
    </row>
    <row r="4760" spans="1:32" ht="15" x14ac:dyDescent="0.35">
      <c r="A4760" t="s">
        <v>4318</v>
      </c>
      <c r="B4760" s="1">
        <v>46011</v>
      </c>
      <c r="C4760">
        <f>YEAR(OrdersTable[[#This Row],[Order Date]])</f>
        <v>2025</v>
      </c>
      <c r="D4760" s="2">
        <f>DATE(YEAR(OrdersTable[[#This Row],[Order Date]]),MONTH(OrdersTable[[#This Row],[Order Date]]),1)</f>
        <v>45992</v>
      </c>
      <c r="E4760">
        <f>MONTH(OrdersTable[[#This Row],[Order Date]])</f>
        <v>12</v>
      </c>
      <c r="F4760" t="s">
        <v>4244</v>
      </c>
      <c r="G4760" t="str">
        <f>IF(OrdersTable[[#This Row],[Order Date]]=_xlfn.MINIFS(Order_Date, Customer_ID, OrdersTable[[#This Row],[Customer ID]]), "New", "Repeat")</f>
        <v>Repeat</v>
      </c>
      <c r="H4760" t="s">
        <v>21</v>
      </c>
      <c r="I4760" t="str">
        <f>INDEX(State!B:B,MATCH(OrdersTable[[#This Row],[State]],State!A:A,0))</f>
        <v>PB</v>
      </c>
      <c r="J4760" t="str">
        <f>INDEX(State!C:C,MATCH(OrdersTable[[#This Row],[State Code]],State!B:B,0))</f>
        <v>North</v>
      </c>
      <c r="K4760" t="s">
        <v>22</v>
      </c>
      <c r="L4760" t="s">
        <v>23</v>
      </c>
      <c r="M4760" t="s">
        <v>45</v>
      </c>
      <c r="N4760" t="str">
        <f>INDEX(Products!B:B,MATCH(OrdersTable[[#This Row],[Product ID]],Products!A:A,0))</f>
        <v>Argan Shampoo</v>
      </c>
      <c r="O4760" t="str">
        <f>INDEX(Products!C:C,MATCH(OrdersTable[[#This Row],[Product ID]],Products!A:A,0))</f>
        <v>Haircare</v>
      </c>
      <c r="P4760">
        <v>1</v>
      </c>
      <c r="Q4760" s="5">
        <v>449</v>
      </c>
      <c r="R4760" s="74">
        <v>0.15</v>
      </c>
      <c r="S4760" s="75">
        <f>OrdersTable[[#This Row],[Quantity]]*OrdersTable[[#This Row],[Unit Price]]</f>
        <v>449</v>
      </c>
      <c r="T4760" s="5">
        <f>OrdersTable[[#This Row],[Gross Sale]]*OrdersTable[[#This Row],[Discount_Clean2]]</f>
        <v>67.349999999999994</v>
      </c>
      <c r="U4760" s="5">
        <f>OrdersTable[[#This Row],[Gross Sale]]-OrdersTable[[#This Row],[Discount Amount]]</f>
        <v>381.65</v>
      </c>
      <c r="V4760" s="77">
        <f>INDEX(Products!E:E,MATCH(OrdersTable[[#This Row],[Product ID]],Products!A:A,0))</f>
        <v>148</v>
      </c>
      <c r="W4760" s="77">
        <f>OrdersTable[[#This Row],[Quantity]]*OrdersTable[[#This Row],[Unit Cost]]</f>
        <v>148</v>
      </c>
      <c r="X4760" s="77">
        <f>'Dropdown Lists'!$I$2*(1+OrdersTable[[#This Row],[Returned]])</f>
        <v>60</v>
      </c>
      <c r="Y4760" s="76">
        <f>OrdersTable[[#This Row],[Net Revenue]]-OrdersTable[[#This Row],[COGS]]-OrdersTable[[#This Row],[Shipping Cost]]</f>
        <v>173.64999999999998</v>
      </c>
      <c r="Z4760" s="78">
        <f>IFERROR(OrdersTable[[#This Row],[Profit]]/OrdersTable[[#This Row],[Net Revenue]],0)</f>
        <v>0.45499803484868334</v>
      </c>
      <c r="AA4760" t="s">
        <v>4074</v>
      </c>
      <c r="AB4760" s="79">
        <v>46014</v>
      </c>
      <c r="AC4760">
        <f>OrdersTable[[#This Row],[Delivery Date]]-OrdersTable[[#This Row],[Order Date]]</f>
        <v>3</v>
      </c>
      <c r="AD4760" t="str">
        <f>IF(OrdersTable[[#This Row],[Delivery Days]]&lt;=2, "Express (≤2d)", IF(OrdersTable[[#This Row],[Delivery Days]]&lt;=4, "Standard (3-4d)", "Delayed (5d+)"))</f>
        <v>Standard (3-4d)</v>
      </c>
      <c r="AF4760">
        <v>0</v>
      </c>
    </row>
    <row r="4761" spans="1:32" ht="15" x14ac:dyDescent="0.35">
      <c r="A4761" t="s">
        <v>3384</v>
      </c>
      <c r="B4761" s="1">
        <v>46011</v>
      </c>
      <c r="C4761">
        <f>YEAR(OrdersTable[[#This Row],[Order Date]])</f>
        <v>2025</v>
      </c>
      <c r="D4761" s="2">
        <f>DATE(YEAR(OrdersTable[[#This Row],[Order Date]]),MONTH(OrdersTable[[#This Row],[Order Date]]),1)</f>
        <v>45992</v>
      </c>
      <c r="E4761">
        <f>MONTH(OrdersTable[[#This Row],[Order Date]])</f>
        <v>12</v>
      </c>
      <c r="F4761" t="s">
        <v>3385</v>
      </c>
      <c r="G4761" t="str">
        <f>IF(OrdersTable[[#This Row],[Order Date]]=_xlfn.MINIFS(Order_Date, Customer_ID, OrdersTable[[#This Row],[Customer ID]]), "New", "Repeat")</f>
        <v>New</v>
      </c>
      <c r="H4761" t="s">
        <v>37</v>
      </c>
      <c r="I4761" t="str">
        <f>INDEX(State!B:B,MATCH(OrdersTable[[#This Row],[State]],State!A:A,0))</f>
        <v>GJ</v>
      </c>
      <c r="J4761" t="str">
        <f>INDEX(State!C:C,MATCH(OrdersTable[[#This Row],[State Code]],State!B:B,0))</f>
        <v>West</v>
      </c>
      <c r="K4761" t="s">
        <v>38</v>
      </c>
      <c r="L4761" t="s">
        <v>16</v>
      </c>
      <c r="M4761" t="s">
        <v>255</v>
      </c>
      <c r="N4761" t="str">
        <f>INDEX(Products!B:B,MATCH(OrdersTable[[#This Row],[Product ID]],Products!A:A,0))</f>
        <v>Cotton Oversized T-Shirt</v>
      </c>
      <c r="O4761" t="str">
        <f>INDEX(Products!C:C,MATCH(OrdersTable[[#This Row],[Product ID]],Products!A:A,0))</f>
        <v>Apparel</v>
      </c>
      <c r="P4761">
        <v>1</v>
      </c>
      <c r="Q4761" s="5">
        <v>799</v>
      </c>
      <c r="R4761" s="74">
        <v>0</v>
      </c>
      <c r="S4761" s="75">
        <f>OrdersTable[[#This Row],[Quantity]]*OrdersTable[[#This Row],[Unit Price]]</f>
        <v>799</v>
      </c>
      <c r="T4761" s="5">
        <f>OrdersTable[[#This Row],[Gross Sale]]*OrdersTable[[#This Row],[Discount_Clean2]]</f>
        <v>0</v>
      </c>
      <c r="U4761" s="5">
        <f>OrdersTable[[#This Row],[Gross Sale]]-OrdersTable[[#This Row],[Discount Amount]]</f>
        <v>799</v>
      </c>
      <c r="V4761" s="77">
        <f>INDEX(Products!E:E,MATCH(OrdersTable[[#This Row],[Product ID]],Products!A:A,0))</f>
        <v>320</v>
      </c>
      <c r="W4761" s="77">
        <f>OrdersTable[[#This Row],[Quantity]]*OrdersTable[[#This Row],[Unit Cost]]</f>
        <v>320</v>
      </c>
      <c r="X4761" s="77">
        <f>'Dropdown Lists'!$I$2*(1+OrdersTable[[#This Row],[Returned]])</f>
        <v>60</v>
      </c>
      <c r="Y4761" s="76">
        <f>OrdersTable[[#This Row],[Net Revenue]]-OrdersTable[[#This Row],[COGS]]-OrdersTable[[#This Row],[Shipping Cost]]</f>
        <v>419</v>
      </c>
      <c r="Z4761" s="78">
        <f>IFERROR(OrdersTable[[#This Row],[Profit]]/OrdersTable[[#This Row],[Net Revenue]],0)</f>
        <v>0.52440550688360454</v>
      </c>
      <c r="AA4761" t="s">
        <v>2522</v>
      </c>
      <c r="AB4761" s="79">
        <v>46014</v>
      </c>
      <c r="AC4761">
        <f>OrdersTable[[#This Row],[Delivery Date]]-OrdersTable[[#This Row],[Order Date]]</f>
        <v>3</v>
      </c>
      <c r="AD4761" t="str">
        <f>IF(OrdersTable[[#This Row],[Delivery Days]]&lt;=2, "Express (≤2d)", IF(OrdersTable[[#This Row],[Delivery Days]]&lt;=4, "Standard (3-4d)", "Delayed (5d+)"))</f>
        <v>Standard (3-4d)</v>
      </c>
      <c r="AE4761">
        <v>4</v>
      </c>
      <c r="AF4761">
        <v>0</v>
      </c>
    </row>
    <row r="4762" spans="1:32" ht="15" x14ac:dyDescent="0.35">
      <c r="A4762" t="s">
        <v>3945</v>
      </c>
      <c r="B4762" s="1">
        <v>46011</v>
      </c>
      <c r="C4762">
        <f>YEAR(OrdersTable[[#This Row],[Order Date]])</f>
        <v>2025</v>
      </c>
      <c r="D4762" s="2">
        <f>DATE(YEAR(OrdersTable[[#This Row],[Order Date]]),MONTH(OrdersTable[[#This Row],[Order Date]]),1)</f>
        <v>45992</v>
      </c>
      <c r="E4762">
        <f>MONTH(OrdersTable[[#This Row],[Order Date]])</f>
        <v>12</v>
      </c>
      <c r="F4762" t="s">
        <v>3946</v>
      </c>
      <c r="G4762" t="str">
        <f>IF(OrdersTable[[#This Row],[Order Date]]=_xlfn.MINIFS(Order_Date, Customer_ID, OrdersTable[[#This Row],[Customer ID]]), "New", "Repeat")</f>
        <v>New</v>
      </c>
      <c r="H4762" t="s">
        <v>27</v>
      </c>
      <c r="I4762" t="str">
        <f>INDEX(State!B:B,MATCH(OrdersTable[[#This Row],[State]],State!A:A,0))</f>
        <v>WB</v>
      </c>
      <c r="J4762" t="str">
        <f>INDEX(State!C:C,MATCH(OrdersTable[[#This Row],[State Code]],State!B:B,0))</f>
        <v>East</v>
      </c>
      <c r="K4762" t="s">
        <v>28</v>
      </c>
      <c r="L4762" t="s">
        <v>16</v>
      </c>
      <c r="M4762" t="s">
        <v>576</v>
      </c>
      <c r="N4762" t="str">
        <f>INDEX(Products!B:B,MATCH(OrdersTable[[#This Row],[Product ID]],Products!A:A,0))</f>
        <v>Printed Saree</v>
      </c>
      <c r="O4762" t="str">
        <f>INDEX(Products!C:C,MATCH(OrdersTable[[#This Row],[Product ID]],Products!A:A,0))</f>
        <v>Apparel</v>
      </c>
      <c r="P4762">
        <v>1</v>
      </c>
      <c r="Q4762" s="5">
        <v>1999</v>
      </c>
      <c r="R4762" s="74">
        <v>0.05</v>
      </c>
      <c r="S4762" s="75">
        <f>OrdersTable[[#This Row],[Quantity]]*OrdersTable[[#This Row],[Unit Price]]</f>
        <v>1999</v>
      </c>
      <c r="T4762" s="5">
        <f>OrdersTable[[#This Row],[Gross Sale]]*OrdersTable[[#This Row],[Discount_Clean2]]</f>
        <v>99.95</v>
      </c>
      <c r="U4762" s="5">
        <f>OrdersTable[[#This Row],[Gross Sale]]-OrdersTable[[#This Row],[Discount Amount]]</f>
        <v>1899.05</v>
      </c>
      <c r="V4762" s="77">
        <f>INDEX(Products!E:E,MATCH(OrdersTable[[#This Row],[Product ID]],Products!A:A,0))</f>
        <v>880</v>
      </c>
      <c r="W4762" s="77">
        <f>OrdersTable[[#This Row],[Quantity]]*OrdersTable[[#This Row],[Unit Cost]]</f>
        <v>880</v>
      </c>
      <c r="X4762" s="77">
        <f>'Dropdown Lists'!$I$2*(1+OrdersTable[[#This Row],[Returned]])</f>
        <v>60</v>
      </c>
      <c r="Y4762" s="76">
        <f>OrdersTable[[#This Row],[Net Revenue]]-OrdersTable[[#This Row],[COGS]]-OrdersTable[[#This Row],[Shipping Cost]]</f>
        <v>959.05</v>
      </c>
      <c r="Z4762" s="78">
        <f>IFERROR(OrdersTable[[#This Row],[Profit]]/OrdersTable[[#This Row],[Net Revenue]],0)</f>
        <v>0.50501566572760059</v>
      </c>
      <c r="AA4762" t="s">
        <v>3495</v>
      </c>
      <c r="AB4762" s="79">
        <v>46014</v>
      </c>
      <c r="AC4762">
        <f>OrdersTable[[#This Row],[Delivery Date]]-OrdersTable[[#This Row],[Order Date]]</f>
        <v>3</v>
      </c>
      <c r="AD4762" t="str">
        <f>IF(OrdersTable[[#This Row],[Delivery Days]]&lt;=2, "Express (≤2d)", IF(OrdersTable[[#This Row],[Delivery Days]]&lt;=4, "Standard (3-4d)", "Delayed (5d+)"))</f>
        <v>Standard (3-4d)</v>
      </c>
      <c r="AE4762">
        <v>3</v>
      </c>
      <c r="AF4762">
        <v>0</v>
      </c>
    </row>
    <row r="4763" spans="1:32" ht="15" x14ac:dyDescent="0.35">
      <c r="A4763" t="s">
        <v>3835</v>
      </c>
      <c r="B4763" s="1">
        <v>46011</v>
      </c>
      <c r="C4763">
        <f>YEAR(OrdersTable[[#This Row],[Order Date]])</f>
        <v>2025</v>
      </c>
      <c r="D4763" s="2">
        <f>DATE(YEAR(OrdersTable[[#This Row],[Order Date]]),MONTH(OrdersTable[[#This Row],[Order Date]]),1)</f>
        <v>45992</v>
      </c>
      <c r="E4763">
        <f>MONTH(OrdersTable[[#This Row],[Order Date]])</f>
        <v>12</v>
      </c>
      <c r="F4763" t="s">
        <v>3397</v>
      </c>
      <c r="G4763" t="str">
        <f>IF(OrdersTable[[#This Row],[Order Date]]=_xlfn.MINIFS(Order_Date, Customer_ID, OrdersTable[[#This Row],[Customer ID]]), "New", "Repeat")</f>
        <v>Repeat</v>
      </c>
      <c r="H4763" t="s">
        <v>14</v>
      </c>
      <c r="I4763" t="str">
        <f>INDEX(State!B:B,MATCH(OrdersTable[[#This Row],[State]],State!A:A,0))</f>
        <v>OD</v>
      </c>
      <c r="J4763" t="str">
        <f>INDEX(State!C:C,MATCH(OrdersTable[[#This Row],[State Code]],State!B:B,0))</f>
        <v>East</v>
      </c>
      <c r="K4763" t="s">
        <v>15</v>
      </c>
      <c r="L4763" t="s">
        <v>23</v>
      </c>
      <c r="M4763" t="s">
        <v>73</v>
      </c>
      <c r="N4763" t="str">
        <f>INDEX(Products!B:B,MATCH(OrdersTable[[#This Row],[Product ID]],Products!A:A,0))</f>
        <v>Hydrating Face Wash</v>
      </c>
      <c r="O4763" t="str">
        <f>INDEX(Products!C:C,MATCH(OrdersTable[[#This Row],[Product ID]],Products!A:A,0))</f>
        <v>Skincare</v>
      </c>
      <c r="P4763">
        <v>1</v>
      </c>
      <c r="Q4763" s="5">
        <v>299</v>
      </c>
      <c r="R4763" s="74">
        <v>0</v>
      </c>
      <c r="S4763" s="75">
        <f>OrdersTable[[#This Row],[Quantity]]*OrdersTable[[#This Row],[Unit Price]]</f>
        <v>299</v>
      </c>
      <c r="T4763" s="5">
        <f>OrdersTable[[#This Row],[Gross Sale]]*OrdersTable[[#This Row],[Discount_Clean2]]</f>
        <v>0</v>
      </c>
      <c r="U4763" s="5">
        <f>OrdersTable[[#This Row],[Gross Sale]]-OrdersTable[[#This Row],[Discount Amount]]</f>
        <v>299</v>
      </c>
      <c r="V4763" s="77">
        <f>INDEX(Products!E:E,MATCH(OrdersTable[[#This Row],[Product ID]],Products!A:A,0))</f>
        <v>90</v>
      </c>
      <c r="W4763" s="77">
        <f>OrdersTable[[#This Row],[Quantity]]*OrdersTable[[#This Row],[Unit Cost]]</f>
        <v>90</v>
      </c>
      <c r="X4763" s="77">
        <f>'Dropdown Lists'!$I$2*(1+OrdersTable[[#This Row],[Returned]])</f>
        <v>60</v>
      </c>
      <c r="Y4763" s="76">
        <f>OrdersTable[[#This Row],[Net Revenue]]-OrdersTable[[#This Row],[COGS]]-OrdersTable[[#This Row],[Shipping Cost]]</f>
        <v>149</v>
      </c>
      <c r="Z4763" s="78">
        <f>IFERROR(OrdersTable[[#This Row],[Profit]]/OrdersTable[[#This Row],[Net Revenue]],0)</f>
        <v>0.49832775919732442</v>
      </c>
      <c r="AA4763" t="s">
        <v>3495</v>
      </c>
      <c r="AB4763" s="79">
        <v>46017</v>
      </c>
      <c r="AC4763">
        <f>OrdersTable[[#This Row],[Delivery Date]]-OrdersTable[[#This Row],[Order Date]]</f>
        <v>6</v>
      </c>
      <c r="AD4763" t="str">
        <f>IF(OrdersTable[[#This Row],[Delivery Days]]&lt;=2, "Express (≤2d)", IF(OrdersTable[[#This Row],[Delivery Days]]&lt;=4, "Standard (3-4d)", "Delayed (5d+)"))</f>
        <v>Delayed (5d+)</v>
      </c>
      <c r="AF4763">
        <v>0</v>
      </c>
    </row>
    <row r="4764" spans="1:32" ht="15" x14ac:dyDescent="0.35">
      <c r="A4764" t="s">
        <v>3697</v>
      </c>
      <c r="B4764" s="1">
        <v>46011</v>
      </c>
      <c r="C4764">
        <f>YEAR(OrdersTable[[#This Row],[Order Date]])</f>
        <v>2025</v>
      </c>
      <c r="D4764" s="2">
        <f>DATE(YEAR(OrdersTable[[#This Row],[Order Date]]),MONTH(OrdersTable[[#This Row],[Order Date]]),1)</f>
        <v>45992</v>
      </c>
      <c r="E4764">
        <f>MONTH(OrdersTable[[#This Row],[Order Date]])</f>
        <v>12</v>
      </c>
      <c r="F4764" t="s">
        <v>1772</v>
      </c>
      <c r="G4764" t="str">
        <f>IF(OrdersTable[[#This Row],[Order Date]]=_xlfn.MINIFS(Order_Date, Customer_ID, OrdersTable[[#This Row],[Customer ID]]), "New", "Repeat")</f>
        <v>Repeat</v>
      </c>
      <c r="H4764" t="s">
        <v>275</v>
      </c>
      <c r="I4764" t="str">
        <f>INDEX(State!B:B,MATCH(OrdersTable[[#This Row],[State]],State!A:A,0))</f>
        <v>AP</v>
      </c>
      <c r="J4764" t="str">
        <f>INDEX(State!C:C,MATCH(OrdersTable[[#This Row],[State Code]],State!B:B,0))</f>
        <v>South</v>
      </c>
      <c r="K4764" t="s">
        <v>491</v>
      </c>
      <c r="L4764" t="s">
        <v>23</v>
      </c>
      <c r="M4764" t="s">
        <v>24</v>
      </c>
      <c r="N4764" t="str">
        <f>INDEX(Products!B:B,MATCH(OrdersTable[[#This Row],[Product ID]],Products!A:A,0))</f>
        <v>Scented Candle Set</v>
      </c>
      <c r="O4764" t="str">
        <f>INDEX(Products!C:C,MATCH(OrdersTable[[#This Row],[Product ID]],Products!A:A,0))</f>
        <v>Home &amp; Kitchen</v>
      </c>
      <c r="P4764">
        <v>1</v>
      </c>
      <c r="Q4764" s="5">
        <v>699</v>
      </c>
      <c r="R4764" s="74">
        <v>0.25</v>
      </c>
      <c r="S4764" s="75">
        <f>OrdersTable[[#This Row],[Quantity]]*OrdersTable[[#This Row],[Unit Price]]</f>
        <v>699</v>
      </c>
      <c r="T4764" s="5">
        <f>OrdersTable[[#This Row],[Gross Sale]]*OrdersTable[[#This Row],[Discount_Clean2]]</f>
        <v>174.75</v>
      </c>
      <c r="U4764" s="5">
        <f>OrdersTable[[#This Row],[Gross Sale]]-OrdersTable[[#This Row],[Discount Amount]]</f>
        <v>524.25</v>
      </c>
      <c r="V4764" s="77">
        <f>INDEX(Products!E:E,MATCH(OrdersTable[[#This Row],[Product ID]],Products!A:A,0))</f>
        <v>245</v>
      </c>
      <c r="W4764" s="77">
        <f>OrdersTable[[#This Row],[Quantity]]*OrdersTable[[#This Row],[Unit Cost]]</f>
        <v>245</v>
      </c>
      <c r="X4764" s="77">
        <f>'Dropdown Lists'!$I$2*(1+OrdersTable[[#This Row],[Returned]])</f>
        <v>60</v>
      </c>
      <c r="Y4764" s="76">
        <f>OrdersTable[[#This Row],[Net Revenue]]-OrdersTable[[#This Row],[COGS]]-OrdersTable[[#This Row],[Shipping Cost]]</f>
        <v>219.25</v>
      </c>
      <c r="Z4764" s="78">
        <f>IFERROR(OrdersTable[[#This Row],[Profit]]/OrdersTable[[#This Row],[Net Revenue]],0)</f>
        <v>0.41821649976156416</v>
      </c>
      <c r="AA4764" t="s">
        <v>3495</v>
      </c>
      <c r="AB4764" s="79">
        <v>46013</v>
      </c>
      <c r="AC4764">
        <f>OrdersTable[[#This Row],[Delivery Date]]-OrdersTable[[#This Row],[Order Date]]</f>
        <v>2</v>
      </c>
      <c r="AD4764" t="str">
        <f>IF(OrdersTable[[#This Row],[Delivery Days]]&lt;=2, "Express (≤2d)", IF(OrdersTable[[#This Row],[Delivery Days]]&lt;=4, "Standard (3-4d)", "Delayed (5d+)"))</f>
        <v>Express (≤2d)</v>
      </c>
      <c r="AE4764">
        <v>4</v>
      </c>
      <c r="AF4764">
        <v>0</v>
      </c>
    </row>
    <row r="4765" spans="1:32" ht="15" x14ac:dyDescent="0.35">
      <c r="A4765" t="s">
        <v>4549</v>
      </c>
      <c r="B4765" s="1">
        <v>46011</v>
      </c>
      <c r="C4765">
        <f>YEAR(OrdersTable[[#This Row],[Order Date]])</f>
        <v>2025</v>
      </c>
      <c r="D4765" s="2">
        <f>DATE(YEAR(OrdersTable[[#This Row],[Order Date]]),MONTH(OrdersTable[[#This Row],[Order Date]]),1)</f>
        <v>45992</v>
      </c>
      <c r="E4765">
        <f>MONTH(OrdersTable[[#This Row],[Order Date]])</f>
        <v>12</v>
      </c>
      <c r="F4765" t="s">
        <v>4550</v>
      </c>
      <c r="G4765" t="str">
        <f>IF(OrdersTable[[#This Row],[Order Date]]=_xlfn.MINIFS(Order_Date, Customer_ID, OrdersTable[[#This Row],[Customer ID]]), "New", "Repeat")</f>
        <v>New</v>
      </c>
      <c r="H4765" t="s">
        <v>316</v>
      </c>
      <c r="I4765" t="str">
        <f>INDEX(State!B:B,MATCH(OrdersTable[[#This Row],[State]],State!A:A,0))</f>
        <v>KL</v>
      </c>
      <c r="J4765" t="str">
        <f>INDEX(State!C:C,MATCH(OrdersTable[[#This Row],[State Code]],State!B:B,0))</f>
        <v>South</v>
      </c>
      <c r="K4765" t="s">
        <v>338</v>
      </c>
      <c r="L4765" t="s">
        <v>39</v>
      </c>
      <c r="M4765" t="s">
        <v>160</v>
      </c>
      <c r="N4765" t="str">
        <f>INDEX(Products!B:B,MATCH(OrdersTable[[#This Row],[Product ID]],Products!A:A,0))</f>
        <v>Niacinamide Toner</v>
      </c>
      <c r="O4765" t="str">
        <f>INDEX(Products!C:C,MATCH(OrdersTable[[#This Row],[Product ID]],Products!A:A,0))</f>
        <v>Skincare</v>
      </c>
      <c r="P4765">
        <v>1</v>
      </c>
      <c r="Q4765" s="5">
        <v>399</v>
      </c>
      <c r="R4765" s="74">
        <v>0.1</v>
      </c>
      <c r="S4765" s="75">
        <f>OrdersTable[[#This Row],[Quantity]]*OrdersTable[[#This Row],[Unit Price]]</f>
        <v>399</v>
      </c>
      <c r="T4765" s="5">
        <f>OrdersTable[[#This Row],[Gross Sale]]*OrdersTable[[#This Row],[Discount_Clean2]]</f>
        <v>39.900000000000006</v>
      </c>
      <c r="U4765" s="5">
        <f>OrdersTable[[#This Row],[Gross Sale]]-OrdersTable[[#This Row],[Discount Amount]]</f>
        <v>359.1</v>
      </c>
      <c r="V4765" s="77">
        <f>INDEX(Products!E:E,MATCH(OrdersTable[[#This Row],[Product ID]],Products!A:A,0))</f>
        <v>112</v>
      </c>
      <c r="W4765" s="77">
        <f>OrdersTable[[#This Row],[Quantity]]*OrdersTable[[#This Row],[Unit Cost]]</f>
        <v>112</v>
      </c>
      <c r="X4765" s="77">
        <f>'Dropdown Lists'!$I$2*(1+OrdersTable[[#This Row],[Returned]])</f>
        <v>60</v>
      </c>
      <c r="Y4765" s="76">
        <f>OrdersTable[[#This Row],[Net Revenue]]-OrdersTable[[#This Row],[COGS]]-OrdersTable[[#This Row],[Shipping Cost]]</f>
        <v>187.10000000000002</v>
      </c>
      <c r="Z4765" s="78">
        <f>IFERROR(OrdersTable[[#This Row],[Profit]]/OrdersTable[[#This Row],[Net Revenue]],0)</f>
        <v>0.52102478418267895</v>
      </c>
      <c r="AA4765" t="s">
        <v>4450</v>
      </c>
      <c r="AB4765" s="79">
        <v>46016</v>
      </c>
      <c r="AC4765">
        <f>OrdersTable[[#This Row],[Delivery Date]]-OrdersTable[[#This Row],[Order Date]]</f>
        <v>5</v>
      </c>
      <c r="AD4765" t="str">
        <f>IF(OrdersTable[[#This Row],[Delivery Days]]&lt;=2, "Express (≤2d)", IF(OrdersTable[[#This Row],[Delivery Days]]&lt;=4, "Standard (3-4d)", "Delayed (5d+)"))</f>
        <v>Delayed (5d+)</v>
      </c>
      <c r="AE4765">
        <v>4</v>
      </c>
      <c r="AF4765">
        <v>0</v>
      </c>
    </row>
    <row r="4766" spans="1:32" ht="15" x14ac:dyDescent="0.35">
      <c r="A4766" t="s">
        <v>2683</v>
      </c>
      <c r="B4766" s="1">
        <v>46011</v>
      </c>
      <c r="C4766">
        <f>YEAR(OrdersTable[[#This Row],[Order Date]])</f>
        <v>2025</v>
      </c>
      <c r="D4766" s="2">
        <f>DATE(YEAR(OrdersTable[[#This Row],[Order Date]]),MONTH(OrdersTable[[#This Row],[Order Date]]),1)</f>
        <v>45992</v>
      </c>
      <c r="E4766">
        <f>MONTH(OrdersTable[[#This Row],[Order Date]])</f>
        <v>12</v>
      </c>
      <c r="F4766" t="s">
        <v>2401</v>
      </c>
      <c r="G4766" t="str">
        <f>IF(OrdersTable[[#This Row],[Order Date]]=_xlfn.MINIFS(Order_Date, Customer_ID, OrdersTable[[#This Row],[Customer ID]]), "New", "Repeat")</f>
        <v>Repeat</v>
      </c>
      <c r="H4766" t="s">
        <v>59</v>
      </c>
      <c r="I4766" t="str">
        <f>INDEX(State!B:B,MATCH(OrdersTable[[#This Row],[State]],State!A:A,0))</f>
        <v>TN</v>
      </c>
      <c r="J4766" t="str">
        <f>INDEX(State!C:C,MATCH(OrdersTable[[#This Row],[State Code]],State!B:B,0))</f>
        <v>South</v>
      </c>
      <c r="K4766" t="s">
        <v>60</v>
      </c>
      <c r="L4766" t="s">
        <v>23</v>
      </c>
      <c r="M4766" t="s">
        <v>160</v>
      </c>
      <c r="N4766" t="str">
        <f>INDEX(Products!B:B,MATCH(OrdersTable[[#This Row],[Product ID]],Products!A:A,0))</f>
        <v>Niacinamide Toner</v>
      </c>
      <c r="O4766" t="str">
        <f>INDEX(Products!C:C,MATCH(OrdersTable[[#This Row],[Product ID]],Products!A:A,0))</f>
        <v>Skincare</v>
      </c>
      <c r="P4766">
        <v>1</v>
      </c>
      <c r="Q4766" s="5">
        <v>399</v>
      </c>
      <c r="R4766" s="74">
        <v>0.2</v>
      </c>
      <c r="S4766" s="75">
        <f>OrdersTable[[#This Row],[Quantity]]*OrdersTable[[#This Row],[Unit Price]]</f>
        <v>399</v>
      </c>
      <c r="T4766" s="5">
        <f>OrdersTable[[#This Row],[Gross Sale]]*OrdersTable[[#This Row],[Discount_Clean2]]</f>
        <v>79.800000000000011</v>
      </c>
      <c r="U4766" s="5">
        <f>OrdersTable[[#This Row],[Gross Sale]]-OrdersTable[[#This Row],[Discount Amount]]</f>
        <v>319.2</v>
      </c>
      <c r="V4766" s="77">
        <f>INDEX(Products!E:E,MATCH(OrdersTable[[#This Row],[Product ID]],Products!A:A,0))</f>
        <v>112</v>
      </c>
      <c r="W4766" s="77">
        <f>OrdersTable[[#This Row],[Quantity]]*OrdersTable[[#This Row],[Unit Cost]]</f>
        <v>112</v>
      </c>
      <c r="X4766" s="77">
        <f>'Dropdown Lists'!$I$2*(1+OrdersTable[[#This Row],[Returned]])</f>
        <v>60</v>
      </c>
      <c r="Y4766" s="76">
        <f>OrdersTable[[#This Row],[Net Revenue]]-OrdersTable[[#This Row],[COGS]]-OrdersTable[[#This Row],[Shipping Cost]]</f>
        <v>147.19999999999999</v>
      </c>
      <c r="Z4766" s="78">
        <f>IFERROR(OrdersTable[[#This Row],[Profit]]/OrdersTable[[#This Row],[Net Revenue]],0)</f>
        <v>0.46115288220551376</v>
      </c>
      <c r="AA4766" t="s">
        <v>2522</v>
      </c>
      <c r="AB4766" s="79">
        <v>46015</v>
      </c>
      <c r="AC4766">
        <f>OrdersTable[[#This Row],[Delivery Date]]-OrdersTable[[#This Row],[Order Date]]</f>
        <v>4</v>
      </c>
      <c r="AD4766" t="str">
        <f>IF(OrdersTable[[#This Row],[Delivery Days]]&lt;=2, "Express (≤2d)", IF(OrdersTable[[#This Row],[Delivery Days]]&lt;=4, "Standard (3-4d)", "Delayed (5d+)"))</f>
        <v>Standard (3-4d)</v>
      </c>
      <c r="AE4766">
        <v>5</v>
      </c>
      <c r="AF4766">
        <v>0</v>
      </c>
    </row>
    <row r="4767" spans="1:32" ht="15" x14ac:dyDescent="0.35">
      <c r="A4767" t="s">
        <v>4893</v>
      </c>
      <c r="B4767" s="1">
        <v>46012</v>
      </c>
      <c r="C4767">
        <f>YEAR(OrdersTable[[#This Row],[Order Date]])</f>
        <v>2025</v>
      </c>
      <c r="D4767" s="2">
        <f>DATE(YEAR(OrdersTable[[#This Row],[Order Date]]),MONTH(OrdersTable[[#This Row],[Order Date]]),1)</f>
        <v>45992</v>
      </c>
      <c r="E4767">
        <f>MONTH(OrdersTable[[#This Row],[Order Date]])</f>
        <v>12</v>
      </c>
      <c r="F4767" t="s">
        <v>4894</v>
      </c>
      <c r="G4767" t="str">
        <f>IF(OrdersTable[[#This Row],[Order Date]]=_xlfn.MINIFS(Order_Date, Customer_ID, OrdersTable[[#This Row],[Customer ID]]), "New", "Repeat")</f>
        <v>New</v>
      </c>
      <c r="H4767" t="s">
        <v>32</v>
      </c>
      <c r="I4767" t="str">
        <f>INDEX(State!B:B,MATCH(OrdersTable[[#This Row],[State]],State!A:A,0))</f>
        <v>BR</v>
      </c>
      <c r="J4767" t="str">
        <f>INDEX(State!C:C,MATCH(OrdersTable[[#This Row],[State Code]],State!B:B,0))</f>
        <v>East</v>
      </c>
      <c r="K4767" t="s">
        <v>33</v>
      </c>
      <c r="L4767" t="s">
        <v>23</v>
      </c>
      <c r="M4767" t="s">
        <v>45</v>
      </c>
      <c r="N4767" t="str">
        <f>INDEX(Products!B:B,MATCH(OrdersTable[[#This Row],[Product ID]],Products!A:A,0))</f>
        <v>Argan Shampoo</v>
      </c>
      <c r="O4767" t="str">
        <f>INDEX(Products!C:C,MATCH(OrdersTable[[#This Row],[Product ID]],Products!A:A,0))</f>
        <v>Haircare</v>
      </c>
      <c r="P4767">
        <v>2</v>
      </c>
      <c r="Q4767" s="5">
        <v>449</v>
      </c>
      <c r="R4767" s="74">
        <v>0</v>
      </c>
      <c r="S4767" s="75">
        <f>OrdersTable[[#This Row],[Quantity]]*OrdersTable[[#This Row],[Unit Price]]</f>
        <v>898</v>
      </c>
      <c r="T4767" s="5">
        <f>OrdersTable[[#This Row],[Gross Sale]]*OrdersTable[[#This Row],[Discount_Clean2]]</f>
        <v>0</v>
      </c>
      <c r="U4767" s="5">
        <f>OrdersTable[[#This Row],[Gross Sale]]-OrdersTable[[#This Row],[Discount Amount]]</f>
        <v>898</v>
      </c>
      <c r="V4767" s="77">
        <f>INDEX(Products!E:E,MATCH(OrdersTable[[#This Row],[Product ID]],Products!A:A,0))</f>
        <v>148</v>
      </c>
      <c r="W4767" s="77">
        <f>OrdersTable[[#This Row],[Quantity]]*OrdersTable[[#This Row],[Unit Cost]]</f>
        <v>296</v>
      </c>
      <c r="X4767" s="77">
        <f>'Dropdown Lists'!$I$2*(1+OrdersTable[[#This Row],[Returned]])</f>
        <v>60</v>
      </c>
      <c r="Y4767" s="76">
        <f>OrdersTable[[#This Row],[Net Revenue]]-OrdersTable[[#This Row],[COGS]]-OrdersTable[[#This Row],[Shipping Cost]]</f>
        <v>542</v>
      </c>
      <c r="Z4767" s="78">
        <f>IFERROR(OrdersTable[[#This Row],[Profit]]/OrdersTable[[#This Row],[Net Revenue]],0)</f>
        <v>0.60356347438752789</v>
      </c>
      <c r="AA4767" t="s">
        <v>4450</v>
      </c>
      <c r="AB4767" s="79">
        <v>46016</v>
      </c>
      <c r="AC4767">
        <f>OrdersTable[[#This Row],[Delivery Date]]-OrdersTable[[#This Row],[Order Date]]</f>
        <v>4</v>
      </c>
      <c r="AD4767" t="str">
        <f>IF(OrdersTable[[#This Row],[Delivery Days]]&lt;=2, "Express (≤2d)", IF(OrdersTable[[#This Row],[Delivery Days]]&lt;=4, "Standard (3-4d)", "Delayed (5d+)"))</f>
        <v>Standard (3-4d)</v>
      </c>
      <c r="AE4767">
        <v>3</v>
      </c>
      <c r="AF4767">
        <v>0</v>
      </c>
    </row>
    <row r="4768" spans="1:32" ht="15" x14ac:dyDescent="0.35">
      <c r="A4768" t="s">
        <v>6035</v>
      </c>
      <c r="B4768" s="1">
        <v>46012</v>
      </c>
      <c r="C4768">
        <f>YEAR(OrdersTable[[#This Row],[Order Date]])</f>
        <v>2025</v>
      </c>
      <c r="D4768" s="2">
        <f>DATE(YEAR(OrdersTable[[#This Row],[Order Date]]),MONTH(OrdersTable[[#This Row],[Order Date]]),1)</f>
        <v>45992</v>
      </c>
      <c r="E4768">
        <f>MONTH(OrdersTable[[#This Row],[Order Date]])</f>
        <v>12</v>
      </c>
      <c r="F4768" t="s">
        <v>1588</v>
      </c>
      <c r="G4768" t="str">
        <f>IF(OrdersTable[[#This Row],[Order Date]]=_xlfn.MINIFS(Order_Date, Customer_ID, OrdersTable[[#This Row],[Customer ID]]), "New", "Repeat")</f>
        <v>Repeat</v>
      </c>
      <c r="H4768" t="s">
        <v>43</v>
      </c>
      <c r="I4768" t="str">
        <f>INDEX(State!B:B,MATCH(OrdersTable[[#This Row],[State]],State!A:A,0))</f>
        <v>MP</v>
      </c>
      <c r="J4768" t="str">
        <f>INDEX(State!C:C,MATCH(OrdersTable[[#This Row],[State Code]],State!B:B,0))</f>
        <v>West</v>
      </c>
      <c r="K4768" t="s">
        <v>44</v>
      </c>
      <c r="L4768" t="s">
        <v>50</v>
      </c>
      <c r="M4768" t="s">
        <v>40</v>
      </c>
      <c r="N4768" t="str">
        <f>INDEX(Products!B:B,MATCH(OrdersTable[[#This Row],[Product ID]],Products!A:A,0))</f>
        <v>Ashwagandha Capsules</v>
      </c>
      <c r="O4768" t="str">
        <f>INDEX(Products!C:C,MATCH(OrdersTable[[#This Row],[Product ID]],Products!A:A,0))</f>
        <v>Wellness</v>
      </c>
      <c r="P4768">
        <v>2</v>
      </c>
      <c r="Q4768" s="5">
        <v>499</v>
      </c>
      <c r="R4768" s="74">
        <v>0</v>
      </c>
      <c r="S4768" s="75">
        <f>OrdersTable[[#This Row],[Quantity]]*OrdersTable[[#This Row],[Unit Price]]</f>
        <v>998</v>
      </c>
      <c r="T4768" s="5">
        <f>OrdersTable[[#This Row],[Gross Sale]]*OrdersTable[[#This Row],[Discount_Clean2]]</f>
        <v>0</v>
      </c>
      <c r="U4768" s="5">
        <f>OrdersTable[[#This Row],[Gross Sale]]-OrdersTable[[#This Row],[Discount Amount]]</f>
        <v>998</v>
      </c>
      <c r="V4768" s="77">
        <f>INDEX(Products!E:E,MATCH(OrdersTable[[#This Row],[Product ID]],Products!A:A,0))</f>
        <v>150</v>
      </c>
      <c r="W4768" s="77">
        <f>OrdersTable[[#This Row],[Quantity]]*OrdersTable[[#This Row],[Unit Cost]]</f>
        <v>300</v>
      </c>
      <c r="X4768" s="77">
        <f>'Dropdown Lists'!$I$2*(1+OrdersTable[[#This Row],[Returned]])</f>
        <v>60</v>
      </c>
      <c r="Y4768" s="76">
        <f>OrdersTable[[#This Row],[Net Revenue]]-OrdersTable[[#This Row],[COGS]]-OrdersTable[[#This Row],[Shipping Cost]]</f>
        <v>638</v>
      </c>
      <c r="Z4768" s="78">
        <f>IFERROR(OrdersTable[[#This Row],[Profit]]/OrdersTable[[#This Row],[Net Revenue]],0)</f>
        <v>0.63927855711422843</v>
      </c>
      <c r="AA4768" t="s">
        <v>18</v>
      </c>
      <c r="AB4768" s="79">
        <v>46017</v>
      </c>
      <c r="AC4768">
        <f>OrdersTable[[#This Row],[Delivery Date]]-OrdersTable[[#This Row],[Order Date]]</f>
        <v>5</v>
      </c>
      <c r="AD4768" t="str">
        <f>IF(OrdersTable[[#This Row],[Delivery Days]]&lt;=2, "Express (≤2d)", IF(OrdersTable[[#This Row],[Delivery Days]]&lt;=4, "Standard (3-4d)", "Delayed (5d+)"))</f>
        <v>Delayed (5d+)</v>
      </c>
      <c r="AF4768">
        <v>0</v>
      </c>
    </row>
    <row r="4769" spans="1:32" ht="15" x14ac:dyDescent="0.35">
      <c r="A4769" t="s">
        <v>3492</v>
      </c>
      <c r="B4769" s="1">
        <v>46012</v>
      </c>
      <c r="C4769">
        <f>YEAR(OrdersTable[[#This Row],[Order Date]])</f>
        <v>2025</v>
      </c>
      <c r="D4769" s="2">
        <f>DATE(YEAR(OrdersTable[[#This Row],[Order Date]]),MONTH(OrdersTable[[#This Row],[Order Date]]),1)</f>
        <v>45992</v>
      </c>
      <c r="E4769">
        <f>MONTH(OrdersTable[[#This Row],[Order Date]])</f>
        <v>12</v>
      </c>
      <c r="F4769" t="s">
        <v>3493</v>
      </c>
      <c r="G4769" t="str">
        <f>IF(OrdersTable[[#This Row],[Order Date]]=_xlfn.MINIFS(Order_Date, Customer_ID, OrdersTable[[#This Row],[Customer ID]]), "New", "Repeat")</f>
        <v>Repeat</v>
      </c>
      <c r="H4769" t="s">
        <v>316</v>
      </c>
      <c r="I4769" t="str">
        <f>INDEX(State!B:B,MATCH(OrdersTable[[#This Row],[State]],State!A:A,0))</f>
        <v>KL</v>
      </c>
      <c r="J4769" t="str">
        <f>INDEX(State!C:C,MATCH(OrdersTable[[#This Row],[State Code]],State!B:B,0))</f>
        <v>South</v>
      </c>
      <c r="K4769" t="s">
        <v>317</v>
      </c>
      <c r="L4769" t="s">
        <v>65</v>
      </c>
      <c r="M4769" t="s">
        <v>66</v>
      </c>
      <c r="N4769" t="str">
        <f>INDEX(Products!B:B,MATCH(OrdersTable[[#This Row],[Product ID]],Products!A:A,0))</f>
        <v>Sunscreen SPF 50</v>
      </c>
      <c r="O4769" t="str">
        <f>INDEX(Products!C:C,MATCH(OrdersTable[[#This Row],[Product ID]],Products!A:A,0))</f>
        <v>Skincare</v>
      </c>
      <c r="P4769">
        <v>1</v>
      </c>
      <c r="Q4769" s="5">
        <v>449</v>
      </c>
      <c r="R4769" s="74">
        <v>0.05</v>
      </c>
      <c r="S4769" s="75">
        <f>OrdersTable[[#This Row],[Quantity]]*OrdersTable[[#This Row],[Unit Price]]</f>
        <v>449</v>
      </c>
      <c r="T4769" s="5">
        <f>OrdersTable[[#This Row],[Gross Sale]]*OrdersTable[[#This Row],[Discount_Clean2]]</f>
        <v>22.450000000000003</v>
      </c>
      <c r="U4769" s="5">
        <f>OrdersTable[[#This Row],[Gross Sale]]-OrdersTable[[#This Row],[Discount Amount]]</f>
        <v>426.55</v>
      </c>
      <c r="V4769" s="77">
        <f>INDEX(Products!E:E,MATCH(OrdersTable[[#This Row],[Product ID]],Products!A:A,0))</f>
        <v>144</v>
      </c>
      <c r="W4769" s="77">
        <f>OrdersTable[[#This Row],[Quantity]]*OrdersTable[[#This Row],[Unit Cost]]</f>
        <v>144</v>
      </c>
      <c r="X4769" s="77">
        <f>'Dropdown Lists'!$I$2*(1+OrdersTable[[#This Row],[Returned]])</f>
        <v>120</v>
      </c>
      <c r="Y4769" s="76">
        <f>OrdersTable[[#This Row],[Net Revenue]]-OrdersTable[[#This Row],[COGS]]-OrdersTable[[#This Row],[Shipping Cost]]</f>
        <v>162.55000000000001</v>
      </c>
      <c r="Z4769" s="78">
        <f>IFERROR(OrdersTable[[#This Row],[Profit]]/OrdersTable[[#This Row],[Net Revenue]],0)</f>
        <v>0.38108076427148052</v>
      </c>
      <c r="AA4769" t="s">
        <v>2522</v>
      </c>
      <c r="AB4769" s="79">
        <v>46015</v>
      </c>
      <c r="AC4769">
        <f>OrdersTable[[#This Row],[Delivery Date]]-OrdersTable[[#This Row],[Order Date]]</f>
        <v>3</v>
      </c>
      <c r="AD4769" t="str">
        <f>IF(OrdersTable[[#This Row],[Delivery Days]]&lt;=2, "Express (≤2d)", IF(OrdersTable[[#This Row],[Delivery Days]]&lt;=4, "Standard (3-4d)", "Delayed (5d+)"))</f>
        <v>Standard (3-4d)</v>
      </c>
      <c r="AE4769">
        <v>4</v>
      </c>
      <c r="AF4769">
        <v>1</v>
      </c>
    </row>
    <row r="4770" spans="1:32" ht="15" x14ac:dyDescent="0.35">
      <c r="A4770" t="s">
        <v>6448</v>
      </c>
      <c r="B4770" s="1">
        <v>46014</v>
      </c>
      <c r="C4770">
        <f>YEAR(OrdersTable[[#This Row],[Order Date]])</f>
        <v>2025</v>
      </c>
      <c r="D4770" s="2">
        <f>DATE(YEAR(OrdersTable[[#This Row],[Order Date]]),MONTH(OrdersTable[[#This Row],[Order Date]]),1)</f>
        <v>45992</v>
      </c>
      <c r="E4770">
        <f>MONTH(OrdersTable[[#This Row],[Order Date]])</f>
        <v>12</v>
      </c>
      <c r="F4770" t="s">
        <v>407</v>
      </c>
      <c r="G4770" t="str">
        <f>IF(OrdersTable[[#This Row],[Order Date]]=_xlfn.MINIFS(Order_Date, Customer_ID, OrdersTable[[#This Row],[Customer ID]]), "New", "Repeat")</f>
        <v>Repeat</v>
      </c>
      <c r="H4770" t="s">
        <v>54</v>
      </c>
      <c r="I4770" t="str">
        <f>INDEX(State!B:B,MATCH(OrdersTable[[#This Row],[State]],State!A:A,0))</f>
        <v>RJ</v>
      </c>
      <c r="J4770" t="str">
        <f>INDEX(State!C:C,MATCH(OrdersTable[[#This Row],[State Code]],State!B:B,0))</f>
        <v>North</v>
      </c>
      <c r="K4770" t="s">
        <v>55</v>
      </c>
      <c r="L4770" t="s">
        <v>23</v>
      </c>
      <c r="M4770" t="s">
        <v>51</v>
      </c>
      <c r="N4770" t="str">
        <f>INDEX(Products!B:B,MATCH(OrdersTable[[#This Row],[Product ID]],Products!A:A,0))</f>
        <v>Anti-Dandruff Conditioner</v>
      </c>
      <c r="O4770" t="str">
        <f>INDEX(Products!C:C,MATCH(OrdersTable[[#This Row],[Product ID]],Products!A:A,0))</f>
        <v>Haircare</v>
      </c>
      <c r="P4770">
        <v>2</v>
      </c>
      <c r="Q4770" s="5">
        <v>399</v>
      </c>
      <c r="R4770" s="74">
        <v>0.3</v>
      </c>
      <c r="S4770" s="75">
        <f>OrdersTable[[#This Row],[Quantity]]*OrdersTable[[#This Row],[Unit Price]]</f>
        <v>798</v>
      </c>
      <c r="T4770" s="5">
        <f>OrdersTable[[#This Row],[Gross Sale]]*OrdersTable[[#This Row],[Discount_Clean2]]</f>
        <v>239.39999999999998</v>
      </c>
      <c r="U4770" s="5">
        <f>OrdersTable[[#This Row],[Gross Sale]]-OrdersTable[[#This Row],[Discount Amount]]</f>
        <v>558.6</v>
      </c>
      <c r="V4770" s="77">
        <f>INDEX(Products!E:E,MATCH(OrdersTable[[#This Row],[Product ID]],Products!A:A,0))</f>
        <v>136</v>
      </c>
      <c r="W4770" s="77">
        <f>OrdersTable[[#This Row],[Quantity]]*OrdersTable[[#This Row],[Unit Cost]]</f>
        <v>272</v>
      </c>
      <c r="X4770" s="77">
        <f>'Dropdown Lists'!$I$2*(1+OrdersTable[[#This Row],[Returned]])</f>
        <v>60</v>
      </c>
      <c r="Y4770" s="76">
        <f>OrdersTable[[#This Row],[Net Revenue]]-OrdersTable[[#This Row],[COGS]]-OrdersTable[[#This Row],[Shipping Cost]]</f>
        <v>226.60000000000002</v>
      </c>
      <c r="Z4770" s="78">
        <f>IFERROR(OrdersTable[[#This Row],[Profit]]/OrdersTable[[#This Row],[Net Revenue]],0)</f>
        <v>0.40565699964196206</v>
      </c>
      <c r="AA4770" t="s">
        <v>18</v>
      </c>
      <c r="AB4770" s="79">
        <v>46017</v>
      </c>
      <c r="AC4770">
        <f>OrdersTable[[#This Row],[Delivery Date]]-OrdersTable[[#This Row],[Order Date]]</f>
        <v>3</v>
      </c>
      <c r="AD4770" t="str">
        <f>IF(OrdersTable[[#This Row],[Delivery Days]]&lt;=2, "Express (≤2d)", IF(OrdersTable[[#This Row],[Delivery Days]]&lt;=4, "Standard (3-4d)", "Delayed (5d+)"))</f>
        <v>Standard (3-4d)</v>
      </c>
      <c r="AE4770">
        <v>4</v>
      </c>
      <c r="AF4770">
        <v>0</v>
      </c>
    </row>
    <row r="4771" spans="1:32" ht="15" x14ac:dyDescent="0.35">
      <c r="A4771" t="s">
        <v>4551</v>
      </c>
      <c r="B4771" s="1">
        <v>46014</v>
      </c>
      <c r="C4771">
        <f>YEAR(OrdersTable[[#This Row],[Order Date]])</f>
        <v>2025</v>
      </c>
      <c r="D4771" s="2">
        <f>DATE(YEAR(OrdersTable[[#This Row],[Order Date]]),MONTH(OrdersTable[[#This Row],[Order Date]]),1)</f>
        <v>45992</v>
      </c>
      <c r="E4771">
        <f>MONTH(OrdersTable[[#This Row],[Order Date]])</f>
        <v>12</v>
      </c>
      <c r="F4771" t="s">
        <v>297</v>
      </c>
      <c r="G4771" t="str">
        <f>IF(OrdersTable[[#This Row],[Order Date]]=_xlfn.MINIFS(Order_Date, Customer_ID, OrdersTable[[#This Row],[Customer ID]]), "New", "Repeat")</f>
        <v>Repeat</v>
      </c>
      <c r="H4771" t="s">
        <v>128</v>
      </c>
      <c r="I4771" t="str">
        <f>INDEX(State!B:B,MATCH(OrdersTable[[#This Row],[State]],State!A:A,0))</f>
        <v>DL</v>
      </c>
      <c r="J4771" t="str">
        <f>INDEX(State!C:C,MATCH(OrdersTable[[#This Row],[State Code]],State!B:B,0))</f>
        <v>North</v>
      </c>
      <c r="K4771" t="s">
        <v>129</v>
      </c>
      <c r="L4771" t="s">
        <v>50</v>
      </c>
      <c r="M4771" t="s">
        <v>160</v>
      </c>
      <c r="N4771" t="str">
        <f>INDEX(Products!B:B,MATCH(OrdersTable[[#This Row],[Product ID]],Products!A:A,0))</f>
        <v>Niacinamide Toner</v>
      </c>
      <c r="O4771" t="str">
        <f>INDEX(Products!C:C,MATCH(OrdersTable[[#This Row],[Product ID]],Products!A:A,0))</f>
        <v>Skincare</v>
      </c>
      <c r="P4771">
        <v>1</v>
      </c>
      <c r="Q4771" s="5">
        <v>399</v>
      </c>
      <c r="R4771" s="74">
        <v>0.2</v>
      </c>
      <c r="S4771" s="75">
        <f>OrdersTable[[#This Row],[Quantity]]*OrdersTable[[#This Row],[Unit Price]]</f>
        <v>399</v>
      </c>
      <c r="T4771" s="5">
        <f>OrdersTable[[#This Row],[Gross Sale]]*OrdersTable[[#This Row],[Discount_Clean2]]</f>
        <v>79.800000000000011</v>
      </c>
      <c r="U4771" s="5">
        <f>OrdersTable[[#This Row],[Gross Sale]]-OrdersTable[[#This Row],[Discount Amount]]</f>
        <v>319.2</v>
      </c>
      <c r="V4771" s="77">
        <f>INDEX(Products!E:E,MATCH(OrdersTable[[#This Row],[Product ID]],Products!A:A,0))</f>
        <v>112</v>
      </c>
      <c r="W4771" s="77">
        <f>OrdersTable[[#This Row],[Quantity]]*OrdersTable[[#This Row],[Unit Cost]]</f>
        <v>112</v>
      </c>
      <c r="X4771" s="77">
        <f>'Dropdown Lists'!$I$2*(1+OrdersTable[[#This Row],[Returned]])</f>
        <v>60</v>
      </c>
      <c r="Y4771" s="76">
        <f>OrdersTable[[#This Row],[Net Revenue]]-OrdersTable[[#This Row],[COGS]]-OrdersTable[[#This Row],[Shipping Cost]]</f>
        <v>147.19999999999999</v>
      </c>
      <c r="Z4771" s="78">
        <f>IFERROR(OrdersTable[[#This Row],[Profit]]/OrdersTable[[#This Row],[Net Revenue]],0)</f>
        <v>0.46115288220551376</v>
      </c>
      <c r="AA4771" t="s">
        <v>4450</v>
      </c>
      <c r="AB4771" s="79">
        <v>46017</v>
      </c>
      <c r="AC4771">
        <f>OrdersTable[[#This Row],[Delivery Date]]-OrdersTable[[#This Row],[Order Date]]</f>
        <v>3</v>
      </c>
      <c r="AD4771" t="str">
        <f>IF(OrdersTable[[#This Row],[Delivery Days]]&lt;=2, "Express (≤2d)", IF(OrdersTable[[#This Row],[Delivery Days]]&lt;=4, "Standard (3-4d)", "Delayed (5d+)"))</f>
        <v>Standard (3-4d)</v>
      </c>
      <c r="AE4771">
        <v>4</v>
      </c>
      <c r="AF4771">
        <v>0</v>
      </c>
    </row>
    <row r="4772" spans="1:32" ht="15" x14ac:dyDescent="0.35">
      <c r="A4772" t="s">
        <v>714</v>
      </c>
      <c r="B4772" s="1">
        <v>46014</v>
      </c>
      <c r="C4772">
        <f>YEAR(OrdersTable[[#This Row],[Order Date]])</f>
        <v>2025</v>
      </c>
      <c r="D4772" s="2">
        <f>DATE(YEAR(OrdersTable[[#This Row],[Order Date]]),MONTH(OrdersTable[[#This Row],[Order Date]]),1)</f>
        <v>45992</v>
      </c>
      <c r="E4772">
        <f>MONTH(OrdersTable[[#This Row],[Order Date]])</f>
        <v>12</v>
      </c>
      <c r="F4772" t="s">
        <v>715</v>
      </c>
      <c r="G4772" t="str">
        <f>IF(OrdersTable[[#This Row],[Order Date]]=_xlfn.MINIFS(Order_Date, Customer_ID, OrdersTable[[#This Row],[Customer ID]]), "New", "Repeat")</f>
        <v>Repeat</v>
      </c>
      <c r="H4772" t="s">
        <v>128</v>
      </c>
      <c r="I4772" t="str">
        <f>INDEX(State!B:B,MATCH(OrdersTable[[#This Row],[State]],State!A:A,0))</f>
        <v>DL</v>
      </c>
      <c r="J4772" t="str">
        <f>INDEX(State!C:C,MATCH(OrdersTable[[#This Row],[State Code]],State!B:B,0))</f>
        <v>North</v>
      </c>
      <c r="K4772" t="s">
        <v>129</v>
      </c>
      <c r="L4772" t="s">
        <v>65</v>
      </c>
      <c r="M4772" t="s">
        <v>73</v>
      </c>
      <c r="N4772" t="str">
        <f>INDEX(Products!B:B,MATCH(OrdersTable[[#This Row],[Product ID]],Products!A:A,0))</f>
        <v>Hydrating Face Wash</v>
      </c>
      <c r="O4772" t="str">
        <f>INDEX(Products!C:C,MATCH(OrdersTable[[#This Row],[Product ID]],Products!A:A,0))</f>
        <v>Skincare</v>
      </c>
      <c r="P4772">
        <v>1</v>
      </c>
      <c r="Q4772" s="5">
        <v>299</v>
      </c>
      <c r="R4772" s="74">
        <v>0</v>
      </c>
      <c r="S4772" s="75">
        <f>OrdersTable[[#This Row],[Quantity]]*OrdersTable[[#This Row],[Unit Price]]</f>
        <v>299</v>
      </c>
      <c r="T4772" s="5">
        <f>OrdersTable[[#This Row],[Gross Sale]]*OrdersTable[[#This Row],[Discount_Clean2]]</f>
        <v>0</v>
      </c>
      <c r="U4772" s="5">
        <f>OrdersTable[[#This Row],[Gross Sale]]-OrdersTable[[#This Row],[Discount Amount]]</f>
        <v>299</v>
      </c>
      <c r="V4772" s="77">
        <f>INDEX(Products!E:E,MATCH(OrdersTable[[#This Row],[Product ID]],Products!A:A,0))</f>
        <v>90</v>
      </c>
      <c r="W4772" s="77">
        <f>OrdersTable[[#This Row],[Quantity]]*OrdersTable[[#This Row],[Unit Cost]]</f>
        <v>90</v>
      </c>
      <c r="X4772" s="77">
        <f>'Dropdown Lists'!$I$2*(1+OrdersTable[[#This Row],[Returned]])</f>
        <v>60</v>
      </c>
      <c r="Y4772" s="76">
        <f>OrdersTable[[#This Row],[Net Revenue]]-OrdersTable[[#This Row],[COGS]]-OrdersTable[[#This Row],[Shipping Cost]]</f>
        <v>149</v>
      </c>
      <c r="Z4772" s="78">
        <f>IFERROR(OrdersTable[[#This Row],[Profit]]/OrdersTable[[#This Row],[Net Revenue]],0)</f>
        <v>0.49832775919732442</v>
      </c>
      <c r="AA4772" t="s">
        <v>18</v>
      </c>
      <c r="AB4772" s="79">
        <v>46017</v>
      </c>
      <c r="AC4772">
        <f>OrdersTable[[#This Row],[Delivery Date]]-OrdersTable[[#This Row],[Order Date]]</f>
        <v>3</v>
      </c>
      <c r="AD4772" t="str">
        <f>IF(OrdersTable[[#This Row],[Delivery Days]]&lt;=2, "Express (≤2d)", IF(OrdersTable[[#This Row],[Delivery Days]]&lt;=4, "Standard (3-4d)", "Delayed (5d+)"))</f>
        <v>Standard (3-4d)</v>
      </c>
      <c r="AE4772">
        <v>4</v>
      </c>
      <c r="AF4772">
        <v>0</v>
      </c>
    </row>
    <row r="4773" spans="1:32" ht="15" x14ac:dyDescent="0.35">
      <c r="A4773" t="s">
        <v>5290</v>
      </c>
      <c r="B4773" s="1">
        <v>46014</v>
      </c>
      <c r="C4773">
        <f>YEAR(OrdersTable[[#This Row],[Order Date]])</f>
        <v>2025</v>
      </c>
      <c r="D4773" s="2">
        <f>DATE(YEAR(OrdersTable[[#This Row],[Order Date]]),MONTH(OrdersTable[[#This Row],[Order Date]]),1)</f>
        <v>45992</v>
      </c>
      <c r="E4773">
        <f>MONTH(OrdersTable[[#This Row],[Order Date]])</f>
        <v>12</v>
      </c>
      <c r="F4773" t="s">
        <v>3876</v>
      </c>
      <c r="G4773" t="str">
        <f>IF(OrdersTable[[#This Row],[Order Date]]=_xlfn.MINIFS(Order_Date, Customer_ID, OrdersTable[[#This Row],[Customer ID]]), "New", "Repeat")</f>
        <v>Repeat</v>
      </c>
      <c r="H4773" t="s">
        <v>128</v>
      </c>
      <c r="I4773" t="str">
        <f>INDEX(State!B:B,MATCH(OrdersTable[[#This Row],[State]],State!A:A,0))</f>
        <v>DL</v>
      </c>
      <c r="J4773" t="str">
        <f>INDEX(State!C:C,MATCH(OrdersTable[[#This Row],[State Code]],State!B:B,0))</f>
        <v>North</v>
      </c>
      <c r="K4773" t="s">
        <v>129</v>
      </c>
      <c r="L4773" t="s">
        <v>16</v>
      </c>
      <c r="M4773" t="s">
        <v>87</v>
      </c>
      <c r="N4773" t="str">
        <f>INDEX(Products!B:B,MATCH(OrdersTable[[#This Row],[Product ID]],Products!A:A,0))</f>
        <v>Linen Kurta</v>
      </c>
      <c r="O4773" t="str">
        <f>INDEX(Products!C:C,MATCH(OrdersTable[[#This Row],[Product ID]],Products!A:A,0))</f>
        <v>Apparel</v>
      </c>
      <c r="P4773">
        <v>2</v>
      </c>
      <c r="Q4773" s="5">
        <v>1499</v>
      </c>
      <c r="R4773" s="74">
        <v>0.3</v>
      </c>
      <c r="S4773" s="75">
        <f>OrdersTable[[#This Row],[Quantity]]*OrdersTable[[#This Row],[Unit Price]]</f>
        <v>2998</v>
      </c>
      <c r="T4773" s="5">
        <f>OrdersTable[[#This Row],[Gross Sale]]*OrdersTable[[#This Row],[Discount_Clean2]]</f>
        <v>899.4</v>
      </c>
      <c r="U4773" s="5">
        <f>OrdersTable[[#This Row],[Gross Sale]]-OrdersTable[[#This Row],[Discount Amount]]</f>
        <v>2098.6</v>
      </c>
      <c r="V4773" s="77">
        <f>INDEX(Products!E:E,MATCH(OrdersTable[[#This Row],[Product ID]],Products!A:A,0))</f>
        <v>630</v>
      </c>
      <c r="W4773" s="77">
        <f>OrdersTable[[#This Row],[Quantity]]*OrdersTable[[#This Row],[Unit Cost]]</f>
        <v>1260</v>
      </c>
      <c r="X4773" s="77">
        <f>'Dropdown Lists'!$I$2*(1+OrdersTable[[#This Row],[Returned]])</f>
        <v>60</v>
      </c>
      <c r="Y4773" s="76">
        <f>OrdersTable[[#This Row],[Net Revenue]]-OrdersTable[[#This Row],[COGS]]-OrdersTable[[#This Row],[Shipping Cost]]</f>
        <v>778.59999999999991</v>
      </c>
      <c r="Z4773" s="78">
        <f>IFERROR(OrdersTable[[#This Row],[Profit]]/OrdersTable[[#This Row],[Net Revenue]],0)</f>
        <v>0.3710092442580768</v>
      </c>
      <c r="AA4773" t="s">
        <v>3495</v>
      </c>
      <c r="AB4773" s="79">
        <v>46015</v>
      </c>
      <c r="AC4773">
        <f>OrdersTable[[#This Row],[Delivery Date]]-OrdersTable[[#This Row],[Order Date]]</f>
        <v>1</v>
      </c>
      <c r="AD4773" t="str">
        <f>IF(OrdersTable[[#This Row],[Delivery Days]]&lt;=2, "Express (≤2d)", IF(OrdersTable[[#This Row],[Delivery Days]]&lt;=4, "Standard (3-4d)", "Delayed (5d+)"))</f>
        <v>Express (≤2d)</v>
      </c>
      <c r="AF4773">
        <v>0</v>
      </c>
    </row>
    <row r="4774" spans="1:32" ht="15" x14ac:dyDescent="0.35">
      <c r="A4774" t="s">
        <v>3836</v>
      </c>
      <c r="B4774" s="1">
        <v>46014</v>
      </c>
      <c r="C4774">
        <f>YEAR(OrdersTable[[#This Row],[Order Date]])</f>
        <v>2025</v>
      </c>
      <c r="D4774" s="2">
        <f>DATE(YEAR(OrdersTable[[#This Row],[Order Date]]),MONTH(OrdersTable[[#This Row],[Order Date]]),1)</f>
        <v>45992</v>
      </c>
      <c r="E4774">
        <f>MONTH(OrdersTable[[#This Row],[Order Date]])</f>
        <v>12</v>
      </c>
      <c r="F4774" t="s">
        <v>1336</v>
      </c>
      <c r="G4774" t="str">
        <f>IF(OrdersTable[[#This Row],[Order Date]]=_xlfn.MINIFS(Order_Date, Customer_ID, OrdersTable[[#This Row],[Customer ID]]), "New", "Repeat")</f>
        <v>Repeat</v>
      </c>
      <c r="H4774" t="s">
        <v>32</v>
      </c>
      <c r="I4774" t="str">
        <f>INDEX(State!B:B,MATCH(OrdersTable[[#This Row],[State]],State!A:A,0))</f>
        <v>BR</v>
      </c>
      <c r="J4774" t="str">
        <f>INDEX(State!C:C,MATCH(OrdersTable[[#This Row],[State Code]],State!B:B,0))</f>
        <v>East</v>
      </c>
      <c r="K4774" t="s">
        <v>33</v>
      </c>
      <c r="L4774" t="s">
        <v>23</v>
      </c>
      <c r="M4774" t="s">
        <v>40</v>
      </c>
      <c r="N4774" t="str">
        <f>INDEX(Products!B:B,MATCH(OrdersTable[[#This Row],[Product ID]],Products!A:A,0))</f>
        <v>Ashwagandha Capsules</v>
      </c>
      <c r="O4774" t="str">
        <f>INDEX(Products!C:C,MATCH(OrdersTable[[#This Row],[Product ID]],Products!A:A,0))</f>
        <v>Wellness</v>
      </c>
      <c r="P4774">
        <v>1</v>
      </c>
      <c r="Q4774" s="5">
        <v>499</v>
      </c>
      <c r="R4774" s="74">
        <v>0.1</v>
      </c>
      <c r="S4774" s="75">
        <f>OrdersTable[[#This Row],[Quantity]]*OrdersTable[[#This Row],[Unit Price]]</f>
        <v>499</v>
      </c>
      <c r="T4774" s="5">
        <f>OrdersTable[[#This Row],[Gross Sale]]*OrdersTable[[#This Row],[Discount_Clean2]]</f>
        <v>49.900000000000006</v>
      </c>
      <c r="U4774" s="5">
        <f>OrdersTable[[#This Row],[Gross Sale]]-OrdersTable[[#This Row],[Discount Amount]]</f>
        <v>449.1</v>
      </c>
      <c r="V4774" s="77">
        <f>INDEX(Products!E:E,MATCH(OrdersTable[[#This Row],[Product ID]],Products!A:A,0))</f>
        <v>150</v>
      </c>
      <c r="W4774" s="77">
        <f>OrdersTable[[#This Row],[Quantity]]*OrdersTable[[#This Row],[Unit Cost]]</f>
        <v>150</v>
      </c>
      <c r="X4774" s="77">
        <f>'Dropdown Lists'!$I$2*(1+OrdersTable[[#This Row],[Returned]])</f>
        <v>60</v>
      </c>
      <c r="Y4774" s="76">
        <f>OrdersTable[[#This Row],[Net Revenue]]-OrdersTable[[#This Row],[COGS]]-OrdersTable[[#This Row],[Shipping Cost]]</f>
        <v>239.10000000000002</v>
      </c>
      <c r="Z4774" s="78">
        <f>IFERROR(OrdersTable[[#This Row],[Profit]]/OrdersTable[[#This Row],[Net Revenue]],0)</f>
        <v>0.53239812959251842</v>
      </c>
      <c r="AA4774" t="s">
        <v>3495</v>
      </c>
      <c r="AB4774" s="79">
        <v>46019</v>
      </c>
      <c r="AC4774">
        <f>OrdersTable[[#This Row],[Delivery Date]]-OrdersTable[[#This Row],[Order Date]]</f>
        <v>5</v>
      </c>
      <c r="AD4774" t="str">
        <f>IF(OrdersTable[[#This Row],[Delivery Days]]&lt;=2, "Express (≤2d)", IF(OrdersTable[[#This Row],[Delivery Days]]&lt;=4, "Standard (3-4d)", "Delayed (5d+)"))</f>
        <v>Delayed (5d+)</v>
      </c>
      <c r="AF4774">
        <v>0</v>
      </c>
    </row>
    <row r="4775" spans="1:32" ht="15" x14ac:dyDescent="0.35">
      <c r="A4775" t="s">
        <v>1820</v>
      </c>
      <c r="B4775" s="1">
        <v>46014</v>
      </c>
      <c r="C4775">
        <f>YEAR(OrdersTable[[#This Row],[Order Date]])</f>
        <v>2025</v>
      </c>
      <c r="D4775" s="2">
        <f>DATE(YEAR(OrdersTable[[#This Row],[Order Date]]),MONTH(OrdersTable[[#This Row],[Order Date]]),1)</f>
        <v>45992</v>
      </c>
      <c r="E4775">
        <f>MONTH(OrdersTable[[#This Row],[Order Date]])</f>
        <v>12</v>
      </c>
      <c r="F4775" t="s">
        <v>1821</v>
      </c>
      <c r="G4775" t="str">
        <f>IF(OrdersTable[[#This Row],[Order Date]]=_xlfn.MINIFS(Order_Date, Customer_ID, OrdersTable[[#This Row],[Customer ID]]), "New", "Repeat")</f>
        <v>Repeat</v>
      </c>
      <c r="H4775" t="s">
        <v>167</v>
      </c>
      <c r="I4775" t="str">
        <f>INDEX(State!B:B,MATCH(OrdersTable[[#This Row],[State]],State!A:A,0))</f>
        <v>KA</v>
      </c>
      <c r="J4775" t="str">
        <f>INDEX(State!C:C,MATCH(OrdersTable[[#This Row],[State Code]],State!B:B,0))</f>
        <v>South</v>
      </c>
      <c r="K4775" t="s">
        <v>190</v>
      </c>
      <c r="L4775" t="s">
        <v>65</v>
      </c>
      <c r="M4775" t="s">
        <v>84</v>
      </c>
      <c r="N4775" t="str">
        <f>INDEX(Products!B:B,MATCH(OrdersTable[[#This Row],[Product ID]],Products!A:A,0))</f>
        <v>Cotton Bedsheet</v>
      </c>
      <c r="O4775" t="str">
        <f>INDEX(Products!C:C,MATCH(OrdersTable[[#This Row],[Product ID]],Products!A:A,0))</f>
        <v>Home &amp; Kitchen</v>
      </c>
      <c r="P4775">
        <v>1</v>
      </c>
      <c r="Q4775" s="5">
        <v>1299</v>
      </c>
      <c r="R4775" s="74">
        <v>0</v>
      </c>
      <c r="S4775" s="75">
        <f>OrdersTable[[#This Row],[Quantity]]*OrdersTable[[#This Row],[Unit Price]]</f>
        <v>1299</v>
      </c>
      <c r="T4775" s="5">
        <f>OrdersTable[[#This Row],[Gross Sale]]*OrdersTable[[#This Row],[Discount_Clean2]]</f>
        <v>0</v>
      </c>
      <c r="U4775" s="5">
        <f>OrdersTable[[#This Row],[Gross Sale]]-OrdersTable[[#This Row],[Discount Amount]]</f>
        <v>1299</v>
      </c>
      <c r="V4775" s="77">
        <f>INDEX(Products!E:E,MATCH(OrdersTable[[#This Row],[Product ID]],Products!A:A,0))</f>
        <v>585</v>
      </c>
      <c r="W4775" s="77">
        <f>OrdersTable[[#This Row],[Quantity]]*OrdersTable[[#This Row],[Unit Cost]]</f>
        <v>585</v>
      </c>
      <c r="X4775" s="77">
        <f>'Dropdown Lists'!$I$2*(1+OrdersTable[[#This Row],[Returned]])</f>
        <v>60</v>
      </c>
      <c r="Y4775" s="76">
        <f>OrdersTable[[#This Row],[Net Revenue]]-OrdersTable[[#This Row],[COGS]]-OrdersTable[[#This Row],[Shipping Cost]]</f>
        <v>654</v>
      </c>
      <c r="Z4775" s="78">
        <f>IFERROR(OrdersTable[[#This Row],[Profit]]/OrdersTable[[#This Row],[Net Revenue]],0)</f>
        <v>0.50346420323325636</v>
      </c>
      <c r="AA4775" t="s">
        <v>18</v>
      </c>
      <c r="AB4775" s="79">
        <v>46016</v>
      </c>
      <c r="AC4775">
        <f>OrdersTable[[#This Row],[Delivery Date]]-OrdersTable[[#This Row],[Order Date]]</f>
        <v>2</v>
      </c>
      <c r="AD4775" t="str">
        <f>IF(OrdersTable[[#This Row],[Delivery Days]]&lt;=2, "Express (≤2d)", IF(OrdersTable[[#This Row],[Delivery Days]]&lt;=4, "Standard (3-4d)", "Delayed (5d+)"))</f>
        <v>Express (≤2d)</v>
      </c>
      <c r="AF4775">
        <v>0</v>
      </c>
    </row>
    <row r="4776" spans="1:32" ht="15" x14ac:dyDescent="0.35">
      <c r="A4776" t="s">
        <v>5465</v>
      </c>
      <c r="B4776" s="1">
        <v>46014</v>
      </c>
      <c r="C4776">
        <f>YEAR(OrdersTable[[#This Row],[Order Date]])</f>
        <v>2025</v>
      </c>
      <c r="D4776" s="2">
        <f>DATE(YEAR(OrdersTable[[#This Row],[Order Date]]),MONTH(OrdersTable[[#This Row],[Order Date]]),1)</f>
        <v>45992</v>
      </c>
      <c r="E4776">
        <f>MONTH(OrdersTable[[#This Row],[Order Date]])</f>
        <v>12</v>
      </c>
      <c r="F4776" t="s">
        <v>5466</v>
      </c>
      <c r="G4776" t="str">
        <f>IF(OrdersTable[[#This Row],[Order Date]]=_xlfn.MINIFS(Order_Date, Customer_ID, OrdersTable[[#This Row],[Customer ID]]), "New", "Repeat")</f>
        <v>New</v>
      </c>
      <c r="H4776" t="s">
        <v>316</v>
      </c>
      <c r="I4776" t="str">
        <f>INDEX(State!B:B,MATCH(OrdersTable[[#This Row],[State]],State!A:A,0))</f>
        <v>KL</v>
      </c>
      <c r="J4776" t="str">
        <f>INDEX(State!C:C,MATCH(OrdersTable[[#This Row],[State Code]],State!B:B,0))</f>
        <v>South</v>
      </c>
      <c r="K4776" t="s">
        <v>338</v>
      </c>
      <c r="L4776" t="s">
        <v>50</v>
      </c>
      <c r="M4776" t="s">
        <v>179</v>
      </c>
      <c r="N4776" t="str">
        <f>INDEX(Products!B:B,MATCH(OrdersTable[[#This Row],[Product ID]],Products!A:A,0))</f>
        <v>Whey Protein 1kg</v>
      </c>
      <c r="O4776" t="str">
        <f>INDEX(Products!C:C,MATCH(OrdersTable[[#This Row],[Product ID]],Products!A:A,0))</f>
        <v>Wellness</v>
      </c>
      <c r="P4776">
        <v>2</v>
      </c>
      <c r="Q4776" s="5">
        <v>2299</v>
      </c>
      <c r="R4776" s="74">
        <v>0.35</v>
      </c>
      <c r="S4776" s="75">
        <f>OrdersTable[[#This Row],[Quantity]]*OrdersTable[[#This Row],[Unit Price]]</f>
        <v>4598</v>
      </c>
      <c r="T4776" s="5">
        <f>OrdersTable[[#This Row],[Gross Sale]]*OrdersTable[[#This Row],[Discount_Clean2]]</f>
        <v>1609.3</v>
      </c>
      <c r="U4776" s="5">
        <f>OrdersTable[[#This Row],[Gross Sale]]-OrdersTable[[#This Row],[Discount Amount]]</f>
        <v>2988.7</v>
      </c>
      <c r="V4776" s="77">
        <f>INDEX(Products!E:E,MATCH(OrdersTable[[#This Row],[Product ID]],Products!A:A,0))</f>
        <v>1333</v>
      </c>
      <c r="W4776" s="77">
        <f>OrdersTable[[#This Row],[Quantity]]*OrdersTable[[#This Row],[Unit Cost]]</f>
        <v>2666</v>
      </c>
      <c r="X4776" s="77">
        <f>'Dropdown Lists'!$I$2*(1+OrdersTable[[#This Row],[Returned]])</f>
        <v>60</v>
      </c>
      <c r="Y4776" s="76">
        <f>OrdersTable[[#This Row],[Net Revenue]]-OrdersTable[[#This Row],[COGS]]-OrdersTable[[#This Row],[Shipping Cost]]</f>
        <v>262.69999999999982</v>
      </c>
      <c r="Z4776" s="78">
        <f>IFERROR(OrdersTable[[#This Row],[Profit]]/OrdersTable[[#This Row],[Net Revenue]],0)</f>
        <v>8.7897748184829469E-2</v>
      </c>
      <c r="AA4776" t="s">
        <v>2522</v>
      </c>
      <c r="AB4776" s="79">
        <v>46016</v>
      </c>
      <c r="AC4776">
        <f>OrdersTable[[#This Row],[Delivery Date]]-OrdersTable[[#This Row],[Order Date]]</f>
        <v>2</v>
      </c>
      <c r="AD4776" t="str">
        <f>IF(OrdersTable[[#This Row],[Delivery Days]]&lt;=2, "Express (≤2d)", IF(OrdersTable[[#This Row],[Delivery Days]]&lt;=4, "Standard (3-4d)", "Delayed (5d+)"))</f>
        <v>Express (≤2d)</v>
      </c>
      <c r="AE4776">
        <v>3</v>
      </c>
      <c r="AF4776">
        <v>0</v>
      </c>
    </row>
    <row r="4777" spans="1:32" ht="15" x14ac:dyDescent="0.35">
      <c r="A4777" t="s">
        <v>4895</v>
      </c>
      <c r="B4777" s="1">
        <v>46015</v>
      </c>
      <c r="C4777">
        <f>YEAR(OrdersTable[[#This Row],[Order Date]])</f>
        <v>2025</v>
      </c>
      <c r="D4777" s="2">
        <f>DATE(YEAR(OrdersTable[[#This Row],[Order Date]]),MONTH(OrdersTable[[#This Row],[Order Date]]),1)</f>
        <v>45992</v>
      </c>
      <c r="E4777">
        <f>MONTH(OrdersTable[[#This Row],[Order Date]])</f>
        <v>12</v>
      </c>
      <c r="F4777" t="s">
        <v>2203</v>
      </c>
      <c r="G4777" t="str">
        <f>IF(OrdersTable[[#This Row],[Order Date]]=_xlfn.MINIFS(Order_Date, Customer_ID, OrdersTable[[#This Row],[Customer ID]]), "New", "Repeat")</f>
        <v>Repeat</v>
      </c>
      <c r="H4777" t="s">
        <v>54</v>
      </c>
      <c r="I4777" t="str">
        <f>INDEX(State!B:B,MATCH(OrdersTable[[#This Row],[State]],State!A:A,0))</f>
        <v>RJ</v>
      </c>
      <c r="J4777" t="str">
        <f>INDEX(State!C:C,MATCH(OrdersTable[[#This Row],[State Code]],State!B:B,0))</f>
        <v>North</v>
      </c>
      <c r="K4777" t="s">
        <v>55</v>
      </c>
      <c r="L4777" t="s">
        <v>23</v>
      </c>
      <c r="M4777" t="s">
        <v>205</v>
      </c>
      <c r="N4777" t="str">
        <f>INDEX(Products!B:B,MATCH(OrdersTable[[#This Row],[Product ID]],Products!A:A,0))</f>
        <v>Running Shoes</v>
      </c>
      <c r="O4777" t="str">
        <f>INDEX(Products!C:C,MATCH(OrdersTable[[#This Row],[Product ID]],Products!A:A,0))</f>
        <v>Footwear</v>
      </c>
      <c r="P4777">
        <v>2</v>
      </c>
      <c r="Q4777" s="5">
        <v>2999</v>
      </c>
      <c r="R4777" s="74">
        <v>0.3</v>
      </c>
      <c r="S4777" s="75">
        <f>OrdersTable[[#This Row],[Quantity]]*OrdersTable[[#This Row],[Unit Price]]</f>
        <v>5998</v>
      </c>
      <c r="T4777" s="5">
        <f>OrdersTable[[#This Row],[Gross Sale]]*OrdersTable[[#This Row],[Discount_Clean2]]</f>
        <v>1799.3999999999999</v>
      </c>
      <c r="U4777" s="5">
        <f>OrdersTable[[#This Row],[Gross Sale]]-OrdersTable[[#This Row],[Discount Amount]]</f>
        <v>4198.6000000000004</v>
      </c>
      <c r="V4777" s="77">
        <f>INDEX(Products!E:E,MATCH(OrdersTable[[#This Row],[Product ID]],Products!A:A,0))</f>
        <v>1440</v>
      </c>
      <c r="W4777" s="77">
        <f>OrdersTable[[#This Row],[Quantity]]*OrdersTable[[#This Row],[Unit Cost]]</f>
        <v>2880</v>
      </c>
      <c r="X4777" s="77">
        <f>'Dropdown Lists'!$I$2*(1+OrdersTable[[#This Row],[Returned]])</f>
        <v>60</v>
      </c>
      <c r="Y4777" s="76">
        <f>OrdersTable[[#This Row],[Net Revenue]]-OrdersTable[[#This Row],[COGS]]-OrdersTable[[#This Row],[Shipping Cost]]</f>
        <v>1258.6000000000004</v>
      </c>
      <c r="Z4777" s="78">
        <f>IFERROR(OrdersTable[[#This Row],[Profit]]/OrdersTable[[#This Row],[Net Revenue]],0)</f>
        <v>0.29976658886295438</v>
      </c>
      <c r="AA4777" t="s">
        <v>4450</v>
      </c>
      <c r="AB4777" s="79">
        <v>46019</v>
      </c>
      <c r="AC4777">
        <f>OrdersTable[[#This Row],[Delivery Date]]-OrdersTable[[#This Row],[Order Date]]</f>
        <v>4</v>
      </c>
      <c r="AD4777" t="str">
        <f>IF(OrdersTable[[#This Row],[Delivery Days]]&lt;=2, "Express (≤2d)", IF(OrdersTable[[#This Row],[Delivery Days]]&lt;=4, "Standard (3-4d)", "Delayed (5d+)"))</f>
        <v>Standard (3-4d)</v>
      </c>
      <c r="AF4777">
        <v>0</v>
      </c>
    </row>
    <row r="4778" spans="1:32" ht="15" x14ac:dyDescent="0.35">
      <c r="A4778" t="s">
        <v>1614</v>
      </c>
      <c r="B4778" s="1">
        <v>46015</v>
      </c>
      <c r="C4778">
        <f>YEAR(OrdersTable[[#This Row],[Order Date]])</f>
        <v>2025</v>
      </c>
      <c r="D4778" s="2">
        <f>DATE(YEAR(OrdersTable[[#This Row],[Order Date]]),MONTH(OrdersTable[[#This Row],[Order Date]]),1)</f>
        <v>45992</v>
      </c>
      <c r="E4778">
        <f>MONTH(OrdersTable[[#This Row],[Order Date]])</f>
        <v>12</v>
      </c>
      <c r="F4778" t="s">
        <v>1615</v>
      </c>
      <c r="G4778" t="str">
        <f>IF(OrdersTable[[#This Row],[Order Date]]=_xlfn.MINIFS(Order_Date, Customer_ID, OrdersTable[[#This Row],[Customer ID]]), "New", "Repeat")</f>
        <v>Repeat</v>
      </c>
      <c r="H4778" t="s">
        <v>48</v>
      </c>
      <c r="I4778" t="str">
        <f>INDEX(State!B:B,MATCH(OrdersTable[[#This Row],[State]],State!A:A,0))</f>
        <v>HR</v>
      </c>
      <c r="J4778" t="str">
        <f>INDEX(State!C:C,MATCH(OrdersTable[[#This Row],[State Code]],State!B:B,0))</f>
        <v>North</v>
      </c>
      <c r="K4778" t="s">
        <v>49</v>
      </c>
      <c r="L4778" t="s">
        <v>39</v>
      </c>
      <c r="M4778" t="s">
        <v>51</v>
      </c>
      <c r="N4778" t="str">
        <f>INDEX(Products!B:B,MATCH(OrdersTable[[#This Row],[Product ID]],Products!A:A,0))</f>
        <v>Anti-Dandruff Conditioner</v>
      </c>
      <c r="O4778" t="str">
        <f>INDEX(Products!C:C,MATCH(OrdersTable[[#This Row],[Product ID]],Products!A:A,0))</f>
        <v>Haircare</v>
      </c>
      <c r="P4778">
        <v>1</v>
      </c>
      <c r="Q4778" s="5">
        <v>399</v>
      </c>
      <c r="R4778" s="74">
        <v>0.3</v>
      </c>
      <c r="S4778" s="75">
        <f>OrdersTable[[#This Row],[Quantity]]*OrdersTable[[#This Row],[Unit Price]]</f>
        <v>399</v>
      </c>
      <c r="T4778" s="5">
        <f>OrdersTable[[#This Row],[Gross Sale]]*OrdersTable[[#This Row],[Discount_Clean2]]</f>
        <v>119.69999999999999</v>
      </c>
      <c r="U4778" s="5">
        <f>OrdersTable[[#This Row],[Gross Sale]]-OrdersTable[[#This Row],[Discount Amount]]</f>
        <v>279.3</v>
      </c>
      <c r="V4778" s="77">
        <f>INDEX(Products!E:E,MATCH(OrdersTable[[#This Row],[Product ID]],Products!A:A,0))</f>
        <v>136</v>
      </c>
      <c r="W4778" s="77">
        <f>OrdersTable[[#This Row],[Quantity]]*OrdersTable[[#This Row],[Unit Cost]]</f>
        <v>136</v>
      </c>
      <c r="X4778" s="77">
        <f>'Dropdown Lists'!$I$2*(1+OrdersTable[[#This Row],[Returned]])</f>
        <v>60</v>
      </c>
      <c r="Y4778" s="76">
        <f>OrdersTable[[#This Row],[Net Revenue]]-OrdersTable[[#This Row],[COGS]]-OrdersTable[[#This Row],[Shipping Cost]]</f>
        <v>83.300000000000011</v>
      </c>
      <c r="Z4778" s="78">
        <f>IFERROR(OrdersTable[[#This Row],[Profit]]/OrdersTable[[#This Row],[Net Revenue]],0)</f>
        <v>0.29824561403508776</v>
      </c>
      <c r="AA4778" t="s">
        <v>18</v>
      </c>
      <c r="AB4778" s="79">
        <v>46016</v>
      </c>
      <c r="AC4778">
        <f>OrdersTable[[#This Row],[Delivery Date]]-OrdersTable[[#This Row],[Order Date]]</f>
        <v>1</v>
      </c>
      <c r="AD4778" t="str">
        <f>IF(OrdersTable[[#This Row],[Delivery Days]]&lt;=2, "Express (≤2d)", IF(OrdersTable[[#This Row],[Delivery Days]]&lt;=4, "Standard (3-4d)", "Delayed (5d+)"))</f>
        <v>Express (≤2d)</v>
      </c>
      <c r="AF4778">
        <v>0</v>
      </c>
    </row>
    <row r="4779" spans="1:32" ht="15" x14ac:dyDescent="0.35">
      <c r="A4779" t="s">
        <v>716</v>
      </c>
      <c r="B4779" s="1">
        <v>46015</v>
      </c>
      <c r="C4779">
        <f>YEAR(OrdersTable[[#This Row],[Order Date]])</f>
        <v>2025</v>
      </c>
      <c r="D4779" s="2">
        <f>DATE(YEAR(OrdersTable[[#This Row],[Order Date]]),MONTH(OrdersTable[[#This Row],[Order Date]]),1)</f>
        <v>45992</v>
      </c>
      <c r="E4779">
        <f>MONTH(OrdersTable[[#This Row],[Order Date]])</f>
        <v>12</v>
      </c>
      <c r="F4779" t="s">
        <v>717</v>
      </c>
      <c r="G4779" t="str">
        <f>IF(OrdersTable[[#This Row],[Order Date]]=_xlfn.MINIFS(Order_Date, Customer_ID, OrdersTable[[#This Row],[Customer ID]]), "New", "Repeat")</f>
        <v>Repeat</v>
      </c>
      <c r="H4779" t="s">
        <v>128</v>
      </c>
      <c r="I4779" t="str">
        <f>INDEX(State!B:B,MATCH(OrdersTable[[#This Row],[State]],State!A:A,0))</f>
        <v>DL</v>
      </c>
      <c r="J4779" t="str">
        <f>INDEX(State!C:C,MATCH(OrdersTable[[#This Row],[State Code]],State!B:B,0))</f>
        <v>North</v>
      </c>
      <c r="K4779" t="s">
        <v>129</v>
      </c>
      <c r="L4779" t="s">
        <v>16</v>
      </c>
      <c r="M4779" t="s">
        <v>29</v>
      </c>
      <c r="N4779" t="str">
        <f>INDEX(Products!B:B,MATCH(OrdersTable[[#This Row],[Product ID]],Products!A:A,0))</f>
        <v>Joggers</v>
      </c>
      <c r="O4779" t="str">
        <f>INDEX(Products!C:C,MATCH(OrdersTable[[#This Row],[Product ID]],Products!A:A,0))</f>
        <v>Apparel</v>
      </c>
      <c r="P4779">
        <v>1</v>
      </c>
      <c r="Q4779" s="5">
        <v>1199</v>
      </c>
      <c r="R4779" s="74">
        <v>0.1</v>
      </c>
      <c r="S4779" s="75">
        <f>OrdersTable[[#This Row],[Quantity]]*OrdersTable[[#This Row],[Unit Price]]</f>
        <v>1199</v>
      </c>
      <c r="T4779" s="5">
        <f>OrdersTable[[#This Row],[Gross Sale]]*OrdersTable[[#This Row],[Discount_Clean2]]</f>
        <v>119.9</v>
      </c>
      <c r="U4779" s="5">
        <f>OrdersTable[[#This Row],[Gross Sale]]-OrdersTable[[#This Row],[Discount Amount]]</f>
        <v>1079.0999999999999</v>
      </c>
      <c r="V4779" s="77">
        <f>INDEX(Products!E:E,MATCH(OrdersTable[[#This Row],[Product ID]],Products!A:A,0))</f>
        <v>492</v>
      </c>
      <c r="W4779" s="77">
        <f>OrdersTable[[#This Row],[Quantity]]*OrdersTable[[#This Row],[Unit Cost]]</f>
        <v>492</v>
      </c>
      <c r="X4779" s="77">
        <f>'Dropdown Lists'!$I$2*(1+OrdersTable[[#This Row],[Returned]])</f>
        <v>60</v>
      </c>
      <c r="Y4779" s="76">
        <f>OrdersTable[[#This Row],[Net Revenue]]-OrdersTable[[#This Row],[COGS]]-OrdersTable[[#This Row],[Shipping Cost]]</f>
        <v>527.09999999999991</v>
      </c>
      <c r="Z4779" s="78">
        <f>IFERROR(OrdersTable[[#This Row],[Profit]]/OrdersTable[[#This Row],[Net Revenue]],0)</f>
        <v>0.48846260772866273</v>
      </c>
      <c r="AA4779" t="s">
        <v>18</v>
      </c>
      <c r="AB4779" s="79">
        <v>46017</v>
      </c>
      <c r="AC4779">
        <f>OrdersTable[[#This Row],[Delivery Date]]-OrdersTable[[#This Row],[Order Date]]</f>
        <v>2</v>
      </c>
      <c r="AD4779" t="str">
        <f>IF(OrdersTable[[#This Row],[Delivery Days]]&lt;=2, "Express (≤2d)", IF(OrdersTable[[#This Row],[Delivery Days]]&lt;=4, "Standard (3-4d)", "Delayed (5d+)"))</f>
        <v>Express (≤2d)</v>
      </c>
      <c r="AE4779">
        <v>4</v>
      </c>
      <c r="AF4779">
        <v>0</v>
      </c>
    </row>
    <row r="4780" spans="1:32" ht="15" x14ac:dyDescent="0.35">
      <c r="A4780" t="s">
        <v>1325</v>
      </c>
      <c r="B4780" s="1">
        <v>46015</v>
      </c>
      <c r="C4780">
        <f>YEAR(OrdersTable[[#This Row],[Order Date]])</f>
        <v>2025</v>
      </c>
      <c r="D4780" s="2">
        <f>DATE(YEAR(OrdersTable[[#This Row],[Order Date]]),MONTH(OrdersTable[[#This Row],[Order Date]]),1)</f>
        <v>45992</v>
      </c>
      <c r="E4780">
        <f>MONTH(OrdersTable[[#This Row],[Order Date]])</f>
        <v>12</v>
      </c>
      <c r="F4780" t="s">
        <v>1326</v>
      </c>
      <c r="G4780" t="str">
        <f>IF(OrdersTable[[#This Row],[Order Date]]=_xlfn.MINIFS(Order_Date, Customer_ID, OrdersTable[[#This Row],[Customer ID]]), "New", "Repeat")</f>
        <v>Repeat</v>
      </c>
      <c r="H4780" t="s">
        <v>32</v>
      </c>
      <c r="I4780" t="str">
        <f>INDEX(State!B:B,MATCH(OrdersTable[[#This Row],[State]],State!A:A,0))</f>
        <v>BR</v>
      </c>
      <c r="J4780" t="str">
        <f>INDEX(State!C:C,MATCH(OrdersTable[[#This Row],[State Code]],State!B:B,0))</f>
        <v>East</v>
      </c>
      <c r="K4780" t="s">
        <v>33</v>
      </c>
      <c r="L4780" t="s">
        <v>16</v>
      </c>
      <c r="M4780" t="s">
        <v>255</v>
      </c>
      <c r="N4780" t="str">
        <f>INDEX(Products!B:B,MATCH(OrdersTable[[#This Row],[Product ID]],Products!A:A,0))</f>
        <v>Cotton Oversized T-Shirt</v>
      </c>
      <c r="O4780" t="str">
        <f>INDEX(Products!C:C,MATCH(OrdersTable[[#This Row],[Product ID]],Products!A:A,0))</f>
        <v>Apparel</v>
      </c>
      <c r="P4780">
        <v>1</v>
      </c>
      <c r="Q4780" s="5">
        <v>799</v>
      </c>
      <c r="R4780" s="74">
        <v>0</v>
      </c>
      <c r="S4780" s="75">
        <f>OrdersTable[[#This Row],[Quantity]]*OrdersTable[[#This Row],[Unit Price]]</f>
        <v>799</v>
      </c>
      <c r="T4780" s="5">
        <f>OrdersTable[[#This Row],[Gross Sale]]*OrdersTable[[#This Row],[Discount_Clean2]]</f>
        <v>0</v>
      </c>
      <c r="U4780" s="5">
        <f>OrdersTable[[#This Row],[Gross Sale]]-OrdersTable[[#This Row],[Discount Amount]]</f>
        <v>799</v>
      </c>
      <c r="V4780" s="77">
        <f>INDEX(Products!E:E,MATCH(OrdersTable[[#This Row],[Product ID]],Products!A:A,0))</f>
        <v>320</v>
      </c>
      <c r="W4780" s="77">
        <f>OrdersTable[[#This Row],[Quantity]]*OrdersTable[[#This Row],[Unit Cost]]</f>
        <v>320</v>
      </c>
      <c r="X4780" s="77">
        <f>'Dropdown Lists'!$I$2*(1+OrdersTable[[#This Row],[Returned]])</f>
        <v>60</v>
      </c>
      <c r="Y4780" s="76">
        <f>OrdersTable[[#This Row],[Net Revenue]]-OrdersTable[[#This Row],[COGS]]-OrdersTable[[#This Row],[Shipping Cost]]</f>
        <v>419</v>
      </c>
      <c r="Z4780" s="78">
        <f>IFERROR(OrdersTable[[#This Row],[Profit]]/OrdersTable[[#This Row],[Net Revenue]],0)</f>
        <v>0.52440550688360454</v>
      </c>
      <c r="AA4780" t="s">
        <v>18</v>
      </c>
      <c r="AB4780" s="79">
        <v>46020</v>
      </c>
      <c r="AC4780">
        <f>OrdersTable[[#This Row],[Delivery Date]]-OrdersTable[[#This Row],[Order Date]]</f>
        <v>5</v>
      </c>
      <c r="AD4780" t="str">
        <f>IF(OrdersTable[[#This Row],[Delivery Days]]&lt;=2, "Express (≤2d)", IF(OrdersTable[[#This Row],[Delivery Days]]&lt;=4, "Standard (3-4d)", "Delayed (5d+)"))</f>
        <v>Delayed (5d+)</v>
      </c>
      <c r="AF4780">
        <v>0</v>
      </c>
    </row>
    <row r="4781" spans="1:32" ht="15" x14ac:dyDescent="0.35">
      <c r="A4781" t="s">
        <v>3386</v>
      </c>
      <c r="B4781" s="1">
        <v>46015</v>
      </c>
      <c r="C4781">
        <f>YEAR(OrdersTable[[#This Row],[Order Date]])</f>
        <v>2025</v>
      </c>
      <c r="D4781" s="2">
        <f>DATE(YEAR(OrdersTable[[#This Row],[Order Date]]),MONTH(OrdersTable[[#This Row],[Order Date]]),1)</f>
        <v>45992</v>
      </c>
      <c r="E4781">
        <f>MONTH(OrdersTable[[#This Row],[Order Date]])</f>
        <v>12</v>
      </c>
      <c r="F4781" t="s">
        <v>1368</v>
      </c>
      <c r="G4781" t="str">
        <f>IF(OrdersTable[[#This Row],[Order Date]]=_xlfn.MINIFS(Order_Date, Customer_ID, OrdersTable[[#This Row],[Customer ID]]), "New", "Repeat")</f>
        <v>Repeat</v>
      </c>
      <c r="H4781" t="s">
        <v>43</v>
      </c>
      <c r="I4781" t="str">
        <f>INDEX(State!B:B,MATCH(OrdersTable[[#This Row],[State]],State!A:A,0))</f>
        <v>MP</v>
      </c>
      <c r="J4781" t="str">
        <f>INDEX(State!C:C,MATCH(OrdersTable[[#This Row],[State Code]],State!B:B,0))</f>
        <v>West</v>
      </c>
      <c r="K4781" t="s">
        <v>44</v>
      </c>
      <c r="L4781" t="s">
        <v>23</v>
      </c>
      <c r="M4781" t="s">
        <v>73</v>
      </c>
      <c r="N4781" t="str">
        <f>INDEX(Products!B:B,MATCH(OrdersTable[[#This Row],[Product ID]],Products!A:A,0))</f>
        <v>Hydrating Face Wash</v>
      </c>
      <c r="O4781" t="str">
        <f>INDEX(Products!C:C,MATCH(OrdersTable[[#This Row],[Product ID]],Products!A:A,0))</f>
        <v>Skincare</v>
      </c>
      <c r="P4781">
        <v>1</v>
      </c>
      <c r="Q4781" s="5">
        <v>299</v>
      </c>
      <c r="R4781" s="74">
        <v>0.1</v>
      </c>
      <c r="S4781" s="75">
        <f>OrdersTable[[#This Row],[Quantity]]*OrdersTable[[#This Row],[Unit Price]]</f>
        <v>299</v>
      </c>
      <c r="T4781" s="5">
        <f>OrdersTable[[#This Row],[Gross Sale]]*OrdersTable[[#This Row],[Discount_Clean2]]</f>
        <v>29.900000000000002</v>
      </c>
      <c r="U4781" s="5">
        <f>OrdersTable[[#This Row],[Gross Sale]]-OrdersTable[[#This Row],[Discount Amount]]</f>
        <v>269.10000000000002</v>
      </c>
      <c r="V4781" s="77">
        <f>INDEX(Products!E:E,MATCH(OrdersTable[[#This Row],[Product ID]],Products!A:A,0))</f>
        <v>90</v>
      </c>
      <c r="W4781" s="77">
        <f>OrdersTable[[#This Row],[Quantity]]*OrdersTable[[#This Row],[Unit Cost]]</f>
        <v>90</v>
      </c>
      <c r="X4781" s="77">
        <f>'Dropdown Lists'!$I$2*(1+OrdersTable[[#This Row],[Returned]])</f>
        <v>120</v>
      </c>
      <c r="Y4781" s="76">
        <f>OrdersTable[[#This Row],[Net Revenue]]-OrdersTable[[#This Row],[COGS]]-OrdersTable[[#This Row],[Shipping Cost]]</f>
        <v>59.100000000000023</v>
      </c>
      <c r="Z4781" s="78">
        <f>IFERROR(OrdersTable[[#This Row],[Profit]]/OrdersTable[[#This Row],[Net Revenue]],0)</f>
        <v>0.21962095875139359</v>
      </c>
      <c r="AA4781" t="s">
        <v>2522</v>
      </c>
      <c r="AB4781" s="79">
        <v>46019</v>
      </c>
      <c r="AC4781">
        <f>OrdersTable[[#This Row],[Delivery Date]]-OrdersTable[[#This Row],[Order Date]]</f>
        <v>4</v>
      </c>
      <c r="AD4781" t="str">
        <f>IF(OrdersTable[[#This Row],[Delivery Days]]&lt;=2, "Express (≤2d)", IF(OrdersTable[[#This Row],[Delivery Days]]&lt;=4, "Standard (3-4d)", "Delayed (5d+)"))</f>
        <v>Standard (3-4d)</v>
      </c>
      <c r="AE4781">
        <v>4</v>
      </c>
      <c r="AF4781">
        <v>1</v>
      </c>
    </row>
    <row r="4782" spans="1:32" ht="15" x14ac:dyDescent="0.35">
      <c r="A4782" t="s">
        <v>4445</v>
      </c>
      <c r="B4782" s="1">
        <v>46015</v>
      </c>
      <c r="C4782">
        <f>YEAR(OrdersTable[[#This Row],[Order Date]])</f>
        <v>2025</v>
      </c>
      <c r="D4782" s="2">
        <f>DATE(YEAR(OrdersTable[[#This Row],[Order Date]]),MONTH(OrdersTable[[#This Row],[Order Date]]),1)</f>
        <v>45992</v>
      </c>
      <c r="E4782">
        <f>MONTH(OrdersTable[[#This Row],[Order Date]])</f>
        <v>12</v>
      </c>
      <c r="F4782" t="s">
        <v>957</v>
      </c>
      <c r="G4782" t="str">
        <f>IF(OrdersTable[[#This Row],[Order Date]]=_xlfn.MINIFS(Order_Date, Customer_ID, OrdersTable[[#This Row],[Customer ID]]), "New", "Repeat")</f>
        <v>Repeat</v>
      </c>
      <c r="H4782" t="s">
        <v>71</v>
      </c>
      <c r="I4782" t="str">
        <f>INDEX(State!B:B,MATCH(OrdersTable[[#This Row],[State]],State!A:A,0))</f>
        <v>MH</v>
      </c>
      <c r="J4782" t="str">
        <f>INDEX(State!C:C,MATCH(OrdersTable[[#This Row],[State Code]],State!B:B,0))</f>
        <v>West</v>
      </c>
      <c r="K4782" t="s">
        <v>102</v>
      </c>
      <c r="L4782" t="s">
        <v>65</v>
      </c>
      <c r="M4782" t="s">
        <v>73</v>
      </c>
      <c r="N4782" t="str">
        <f>INDEX(Products!B:B,MATCH(OrdersTable[[#This Row],[Product ID]],Products!A:A,0))</f>
        <v>Hydrating Face Wash</v>
      </c>
      <c r="O4782" t="str">
        <f>INDEX(Products!C:C,MATCH(OrdersTable[[#This Row],[Product ID]],Products!A:A,0))</f>
        <v>Skincare</v>
      </c>
      <c r="P4782">
        <v>1</v>
      </c>
      <c r="Q4782" s="5">
        <v>299</v>
      </c>
      <c r="R4782" s="74">
        <v>0</v>
      </c>
      <c r="S4782" s="75">
        <f>OrdersTable[[#This Row],[Quantity]]*OrdersTable[[#This Row],[Unit Price]]</f>
        <v>299</v>
      </c>
      <c r="T4782" s="5">
        <f>OrdersTable[[#This Row],[Gross Sale]]*OrdersTable[[#This Row],[Discount_Clean2]]</f>
        <v>0</v>
      </c>
      <c r="U4782" s="5">
        <f>OrdersTable[[#This Row],[Gross Sale]]-OrdersTable[[#This Row],[Discount Amount]]</f>
        <v>299</v>
      </c>
      <c r="V4782" s="77">
        <f>INDEX(Products!E:E,MATCH(OrdersTable[[#This Row],[Product ID]],Products!A:A,0))</f>
        <v>90</v>
      </c>
      <c r="W4782" s="77">
        <f>OrdersTable[[#This Row],[Quantity]]*OrdersTable[[#This Row],[Unit Cost]]</f>
        <v>90</v>
      </c>
      <c r="X4782" s="77">
        <f>'Dropdown Lists'!$I$2*(1+OrdersTable[[#This Row],[Returned]])</f>
        <v>60</v>
      </c>
      <c r="Y4782" s="76">
        <f>OrdersTable[[#This Row],[Net Revenue]]-OrdersTable[[#This Row],[COGS]]-OrdersTable[[#This Row],[Shipping Cost]]</f>
        <v>149</v>
      </c>
      <c r="Z4782" s="78">
        <f>IFERROR(OrdersTable[[#This Row],[Profit]]/OrdersTable[[#This Row],[Net Revenue]],0)</f>
        <v>0.49832775919732442</v>
      </c>
      <c r="AA4782" t="s">
        <v>4074</v>
      </c>
      <c r="AB4782" s="79">
        <v>46016</v>
      </c>
      <c r="AC4782">
        <f>OrdersTable[[#This Row],[Delivery Date]]-OrdersTable[[#This Row],[Order Date]]</f>
        <v>1</v>
      </c>
      <c r="AD4782" t="str">
        <f>IF(OrdersTable[[#This Row],[Delivery Days]]&lt;=2, "Express (≤2d)", IF(OrdersTable[[#This Row],[Delivery Days]]&lt;=4, "Standard (3-4d)", "Delayed (5d+)"))</f>
        <v>Express (≤2d)</v>
      </c>
      <c r="AE4782">
        <v>4</v>
      </c>
      <c r="AF4782">
        <v>0</v>
      </c>
    </row>
    <row r="4783" spans="1:32" ht="15" x14ac:dyDescent="0.35">
      <c r="A4783" t="s">
        <v>5291</v>
      </c>
      <c r="B4783" s="1">
        <v>46015</v>
      </c>
      <c r="C4783">
        <f>YEAR(OrdersTable[[#This Row],[Order Date]])</f>
        <v>2025</v>
      </c>
      <c r="D4783" s="2">
        <f>DATE(YEAR(OrdersTable[[#This Row],[Order Date]]),MONTH(OrdersTable[[#This Row],[Order Date]]),1)</f>
        <v>45992</v>
      </c>
      <c r="E4783">
        <f>MONTH(OrdersTable[[#This Row],[Order Date]])</f>
        <v>12</v>
      </c>
      <c r="F4783" t="s">
        <v>137</v>
      </c>
      <c r="G4783" t="str">
        <f>IF(OrdersTable[[#This Row],[Order Date]]=_xlfn.MINIFS(Order_Date, Customer_ID, OrdersTable[[#This Row],[Customer ID]]), "New", "Repeat")</f>
        <v>Repeat</v>
      </c>
      <c r="H4783" t="s">
        <v>316</v>
      </c>
      <c r="I4783" t="str">
        <f>INDEX(State!B:B,MATCH(OrdersTable[[#This Row],[State]],State!A:A,0))</f>
        <v>KL</v>
      </c>
      <c r="J4783" t="str">
        <f>INDEX(State!C:C,MATCH(OrdersTable[[#This Row],[State Code]],State!B:B,0))</f>
        <v>South</v>
      </c>
      <c r="K4783" t="s">
        <v>338</v>
      </c>
      <c r="L4783" t="s">
        <v>39</v>
      </c>
      <c r="M4783" t="s">
        <v>173</v>
      </c>
      <c r="N4783" t="str">
        <f>INDEX(Products!B:B,MATCH(OrdersTable[[#This Row],[Product ID]],Products!A:A,0))</f>
        <v>Wireless Earbuds</v>
      </c>
      <c r="O4783" t="str">
        <f>INDEX(Products!C:C,MATCH(OrdersTable[[#This Row],[Product ID]],Products!A:A,0))</f>
        <v>Electronics</v>
      </c>
      <c r="P4783">
        <v>2</v>
      </c>
      <c r="Q4783" s="5">
        <v>1999</v>
      </c>
      <c r="R4783" s="74">
        <v>0.35</v>
      </c>
      <c r="S4783" s="75">
        <f>OrdersTable[[#This Row],[Quantity]]*OrdersTable[[#This Row],[Unit Price]]</f>
        <v>3998</v>
      </c>
      <c r="T4783" s="5">
        <f>OrdersTable[[#This Row],[Gross Sale]]*OrdersTable[[#This Row],[Discount_Clean2]]</f>
        <v>1399.3</v>
      </c>
      <c r="U4783" s="5">
        <f>OrdersTable[[#This Row],[Gross Sale]]-OrdersTable[[#This Row],[Discount Amount]]</f>
        <v>2598.6999999999998</v>
      </c>
      <c r="V4783" s="77">
        <f>INDEX(Products!E:E,MATCH(OrdersTable[[#This Row],[Product ID]],Products!A:A,0))</f>
        <v>1239</v>
      </c>
      <c r="W4783" s="77">
        <f>OrdersTable[[#This Row],[Quantity]]*OrdersTable[[#This Row],[Unit Cost]]</f>
        <v>2478</v>
      </c>
      <c r="X4783" s="77">
        <f>'Dropdown Lists'!$I$2*(1+OrdersTable[[#This Row],[Returned]])</f>
        <v>60</v>
      </c>
      <c r="Y4783" s="76">
        <f>OrdersTable[[#This Row],[Net Revenue]]-OrdersTable[[#This Row],[COGS]]-OrdersTable[[#This Row],[Shipping Cost]]</f>
        <v>60.699999999999818</v>
      </c>
      <c r="Z4783" s="78">
        <f>IFERROR(OrdersTable[[#This Row],[Profit]]/OrdersTable[[#This Row],[Net Revenue]],0)</f>
        <v>2.3357832762535044E-2</v>
      </c>
      <c r="AA4783" t="s">
        <v>3495</v>
      </c>
      <c r="AB4783" s="79">
        <v>46019</v>
      </c>
      <c r="AC4783">
        <f>OrdersTable[[#This Row],[Delivery Date]]-OrdersTable[[#This Row],[Order Date]]</f>
        <v>4</v>
      </c>
      <c r="AD4783" t="str">
        <f>IF(OrdersTable[[#This Row],[Delivery Days]]&lt;=2, "Express (≤2d)", IF(OrdersTable[[#This Row],[Delivery Days]]&lt;=4, "Standard (3-4d)", "Delayed (5d+)"))</f>
        <v>Standard (3-4d)</v>
      </c>
      <c r="AF4783">
        <v>0</v>
      </c>
    </row>
    <row r="4784" spans="1:32" ht="15" x14ac:dyDescent="0.35">
      <c r="A4784" t="s">
        <v>2684</v>
      </c>
      <c r="B4784" s="1">
        <v>46015</v>
      </c>
      <c r="C4784">
        <f>YEAR(OrdersTable[[#This Row],[Order Date]])</f>
        <v>2025</v>
      </c>
      <c r="D4784" s="2">
        <f>DATE(YEAR(OrdersTable[[#This Row],[Order Date]]),MONTH(OrdersTable[[#This Row],[Order Date]]),1)</f>
        <v>45992</v>
      </c>
      <c r="E4784">
        <f>MONTH(OrdersTable[[#This Row],[Order Date]])</f>
        <v>12</v>
      </c>
      <c r="F4784" t="s">
        <v>2685</v>
      </c>
      <c r="G4784" t="str">
        <f>IF(OrdersTable[[#This Row],[Order Date]]=_xlfn.MINIFS(Order_Date, Customer_ID, OrdersTable[[#This Row],[Customer ID]]), "New", "Repeat")</f>
        <v>Repeat</v>
      </c>
      <c r="H4784" t="s">
        <v>59</v>
      </c>
      <c r="I4784" t="str">
        <f>INDEX(State!B:B,MATCH(OrdersTable[[#This Row],[State]],State!A:A,0))</f>
        <v>TN</v>
      </c>
      <c r="J4784" t="str">
        <f>INDEX(State!C:C,MATCH(OrdersTable[[#This Row],[State Code]],State!B:B,0))</f>
        <v>South</v>
      </c>
      <c r="K4784" t="s">
        <v>64</v>
      </c>
      <c r="L4784" t="s">
        <v>39</v>
      </c>
      <c r="M4784" t="s">
        <v>179</v>
      </c>
      <c r="N4784" t="str">
        <f>INDEX(Products!B:B,MATCH(OrdersTable[[#This Row],[Product ID]],Products!A:A,0))</f>
        <v>Whey Protein 1kg</v>
      </c>
      <c r="O4784" t="str">
        <f>INDEX(Products!C:C,MATCH(OrdersTable[[#This Row],[Product ID]],Products!A:A,0))</f>
        <v>Wellness</v>
      </c>
      <c r="P4784">
        <v>1</v>
      </c>
      <c r="Q4784" s="5">
        <v>2299</v>
      </c>
      <c r="R4784" s="74">
        <v>0.35</v>
      </c>
      <c r="S4784" s="75">
        <f>OrdersTable[[#This Row],[Quantity]]*OrdersTable[[#This Row],[Unit Price]]</f>
        <v>2299</v>
      </c>
      <c r="T4784" s="5">
        <f>OrdersTable[[#This Row],[Gross Sale]]*OrdersTable[[#This Row],[Discount_Clean2]]</f>
        <v>804.65</v>
      </c>
      <c r="U4784" s="5">
        <f>OrdersTable[[#This Row],[Gross Sale]]-OrdersTable[[#This Row],[Discount Amount]]</f>
        <v>1494.35</v>
      </c>
      <c r="V4784" s="77">
        <f>INDEX(Products!E:E,MATCH(OrdersTable[[#This Row],[Product ID]],Products!A:A,0))</f>
        <v>1333</v>
      </c>
      <c r="W4784" s="77">
        <f>OrdersTable[[#This Row],[Quantity]]*OrdersTable[[#This Row],[Unit Cost]]</f>
        <v>1333</v>
      </c>
      <c r="X4784" s="77">
        <f>'Dropdown Lists'!$I$2*(1+OrdersTable[[#This Row],[Returned]])</f>
        <v>60</v>
      </c>
      <c r="Y4784" s="76">
        <f>OrdersTable[[#This Row],[Net Revenue]]-OrdersTable[[#This Row],[COGS]]-OrdersTable[[#This Row],[Shipping Cost]]</f>
        <v>101.34999999999991</v>
      </c>
      <c r="Z4784" s="78">
        <f>IFERROR(OrdersTable[[#This Row],[Profit]]/OrdersTable[[#This Row],[Net Revenue]],0)</f>
        <v>6.7822130023086902E-2</v>
      </c>
      <c r="AA4784" t="s">
        <v>2522</v>
      </c>
      <c r="AB4784" s="79">
        <v>46018</v>
      </c>
      <c r="AC4784">
        <f>OrdersTable[[#This Row],[Delivery Date]]-OrdersTable[[#This Row],[Order Date]]</f>
        <v>3</v>
      </c>
      <c r="AD4784" t="str">
        <f>IF(OrdersTable[[#This Row],[Delivery Days]]&lt;=2, "Express (≤2d)", IF(OrdersTable[[#This Row],[Delivery Days]]&lt;=4, "Standard (3-4d)", "Delayed (5d+)"))</f>
        <v>Standard (3-4d)</v>
      </c>
      <c r="AE4784">
        <v>5</v>
      </c>
      <c r="AF4784">
        <v>0</v>
      </c>
    </row>
    <row r="4785" spans="1:32" ht="15" x14ac:dyDescent="0.35">
      <c r="A4785" t="s">
        <v>6449</v>
      </c>
      <c r="B4785" s="1">
        <v>46016</v>
      </c>
      <c r="C4785">
        <f>YEAR(OrdersTable[[#This Row],[Order Date]])</f>
        <v>2025</v>
      </c>
      <c r="D4785" s="2">
        <f>DATE(YEAR(OrdersTable[[#This Row],[Order Date]]),MONTH(OrdersTable[[#This Row],[Order Date]]),1)</f>
        <v>45992</v>
      </c>
      <c r="E4785">
        <f>MONTH(OrdersTable[[#This Row],[Order Date]])</f>
        <v>12</v>
      </c>
      <c r="F4785" t="s">
        <v>2740</v>
      </c>
      <c r="G4785" t="str">
        <f>IF(OrdersTable[[#This Row],[Order Date]]=_xlfn.MINIFS(Order_Date, Customer_ID, OrdersTable[[#This Row],[Customer ID]]), "New", "Repeat")</f>
        <v>Repeat</v>
      </c>
      <c r="H4785" t="s">
        <v>48</v>
      </c>
      <c r="I4785" t="str">
        <f>INDEX(State!B:B,MATCH(OrdersTable[[#This Row],[State]],State!A:A,0))</f>
        <v>HR</v>
      </c>
      <c r="J4785" t="str">
        <f>INDEX(State!C:C,MATCH(OrdersTable[[#This Row],[State Code]],State!B:B,0))</f>
        <v>North</v>
      </c>
      <c r="K4785" t="s">
        <v>151</v>
      </c>
      <c r="L4785" t="s">
        <v>23</v>
      </c>
      <c r="M4785" t="s">
        <v>51</v>
      </c>
      <c r="N4785" t="str">
        <f>INDEX(Products!B:B,MATCH(OrdersTable[[#This Row],[Product ID]],Products!A:A,0))</f>
        <v>Anti-Dandruff Conditioner</v>
      </c>
      <c r="O4785" t="str">
        <f>INDEX(Products!C:C,MATCH(OrdersTable[[#This Row],[Product ID]],Products!A:A,0))</f>
        <v>Haircare</v>
      </c>
      <c r="P4785">
        <v>2</v>
      </c>
      <c r="Q4785" s="5">
        <v>399</v>
      </c>
      <c r="R4785" s="74">
        <v>0.35</v>
      </c>
      <c r="S4785" s="75">
        <f>OrdersTable[[#This Row],[Quantity]]*OrdersTable[[#This Row],[Unit Price]]</f>
        <v>798</v>
      </c>
      <c r="T4785" s="5">
        <f>OrdersTable[[#This Row],[Gross Sale]]*OrdersTable[[#This Row],[Discount_Clean2]]</f>
        <v>279.29999999999995</v>
      </c>
      <c r="U4785" s="5">
        <f>OrdersTable[[#This Row],[Gross Sale]]-OrdersTable[[#This Row],[Discount Amount]]</f>
        <v>518.70000000000005</v>
      </c>
      <c r="V4785" s="77">
        <f>INDEX(Products!E:E,MATCH(OrdersTable[[#This Row],[Product ID]],Products!A:A,0))</f>
        <v>136</v>
      </c>
      <c r="W4785" s="77">
        <f>OrdersTable[[#This Row],[Quantity]]*OrdersTable[[#This Row],[Unit Cost]]</f>
        <v>272</v>
      </c>
      <c r="X4785" s="77">
        <f>'Dropdown Lists'!$I$2*(1+OrdersTable[[#This Row],[Returned]])</f>
        <v>60</v>
      </c>
      <c r="Y4785" s="76">
        <f>OrdersTable[[#This Row],[Net Revenue]]-OrdersTable[[#This Row],[COGS]]-OrdersTable[[#This Row],[Shipping Cost]]</f>
        <v>186.70000000000005</v>
      </c>
      <c r="Z4785" s="78">
        <f>IFERROR(OrdersTable[[#This Row],[Profit]]/OrdersTable[[#This Row],[Net Revenue]],0)</f>
        <v>0.35993830730672843</v>
      </c>
      <c r="AA4785" t="s">
        <v>18</v>
      </c>
      <c r="AB4785" s="79">
        <v>46019</v>
      </c>
      <c r="AC4785">
        <f>OrdersTable[[#This Row],[Delivery Date]]-OrdersTable[[#This Row],[Order Date]]</f>
        <v>3</v>
      </c>
      <c r="AD4785" t="str">
        <f>IF(OrdersTable[[#This Row],[Delivery Days]]&lt;=2, "Express (≤2d)", IF(OrdersTable[[#This Row],[Delivery Days]]&lt;=4, "Standard (3-4d)", "Delayed (5d+)"))</f>
        <v>Standard (3-4d)</v>
      </c>
      <c r="AF4785">
        <v>0</v>
      </c>
    </row>
    <row r="4786" spans="1:32" ht="15" x14ac:dyDescent="0.35">
      <c r="A4786" t="s">
        <v>3387</v>
      </c>
      <c r="B4786" s="1">
        <v>46016</v>
      </c>
      <c r="C4786">
        <f>YEAR(OrdersTable[[#This Row],[Order Date]])</f>
        <v>2025</v>
      </c>
      <c r="D4786" s="2">
        <f>DATE(YEAR(OrdersTable[[#This Row],[Order Date]]),MONTH(OrdersTable[[#This Row],[Order Date]]),1)</f>
        <v>45992</v>
      </c>
      <c r="E4786">
        <f>MONTH(OrdersTable[[#This Row],[Order Date]])</f>
        <v>12</v>
      </c>
      <c r="F4786" t="s">
        <v>2152</v>
      </c>
      <c r="G4786" t="str">
        <f>IF(OrdersTable[[#This Row],[Order Date]]=_xlfn.MINIFS(Order_Date, Customer_ID, OrdersTable[[#This Row],[Customer ID]]), "New", "Repeat")</f>
        <v>Repeat</v>
      </c>
      <c r="H4786" t="s">
        <v>71</v>
      </c>
      <c r="I4786" t="str">
        <f>INDEX(State!B:B,MATCH(OrdersTable[[#This Row],[State]],State!A:A,0))</f>
        <v>MH</v>
      </c>
      <c r="J4786" t="str">
        <f>INDEX(State!C:C,MATCH(OrdersTable[[#This Row],[State Code]],State!B:B,0))</f>
        <v>West</v>
      </c>
      <c r="K4786" t="s">
        <v>102</v>
      </c>
      <c r="L4786" t="s">
        <v>23</v>
      </c>
      <c r="M4786" t="s">
        <v>66</v>
      </c>
      <c r="N4786" t="str">
        <f>INDEX(Products!B:B,MATCH(OrdersTable[[#This Row],[Product ID]],Products!A:A,0))</f>
        <v>Sunscreen SPF 50</v>
      </c>
      <c r="O4786" t="str">
        <f>INDEX(Products!C:C,MATCH(OrdersTable[[#This Row],[Product ID]],Products!A:A,0))</f>
        <v>Skincare</v>
      </c>
      <c r="P4786">
        <v>1</v>
      </c>
      <c r="Q4786" s="5">
        <v>449</v>
      </c>
      <c r="R4786" s="74">
        <v>0</v>
      </c>
      <c r="S4786" s="75">
        <f>OrdersTable[[#This Row],[Quantity]]*OrdersTable[[#This Row],[Unit Price]]</f>
        <v>449</v>
      </c>
      <c r="T4786" s="5">
        <f>OrdersTable[[#This Row],[Gross Sale]]*OrdersTable[[#This Row],[Discount_Clean2]]</f>
        <v>0</v>
      </c>
      <c r="U4786" s="5">
        <f>OrdersTable[[#This Row],[Gross Sale]]-OrdersTable[[#This Row],[Discount Amount]]</f>
        <v>449</v>
      </c>
      <c r="V4786" s="77">
        <f>INDEX(Products!E:E,MATCH(OrdersTable[[#This Row],[Product ID]],Products!A:A,0))</f>
        <v>144</v>
      </c>
      <c r="W4786" s="77">
        <f>OrdersTable[[#This Row],[Quantity]]*OrdersTable[[#This Row],[Unit Cost]]</f>
        <v>144</v>
      </c>
      <c r="X4786" s="77">
        <f>'Dropdown Lists'!$I$2*(1+OrdersTable[[#This Row],[Returned]])</f>
        <v>60</v>
      </c>
      <c r="Y4786" s="76">
        <f>OrdersTable[[#This Row],[Net Revenue]]-OrdersTable[[#This Row],[COGS]]-OrdersTable[[#This Row],[Shipping Cost]]</f>
        <v>245</v>
      </c>
      <c r="Z4786" s="78">
        <f>IFERROR(OrdersTable[[#This Row],[Profit]]/OrdersTable[[#This Row],[Net Revenue]],0)</f>
        <v>0.54565701559020041</v>
      </c>
      <c r="AA4786" t="s">
        <v>2522</v>
      </c>
      <c r="AB4786" s="79">
        <v>46017</v>
      </c>
      <c r="AC4786">
        <f>OrdersTable[[#This Row],[Delivery Date]]-OrdersTable[[#This Row],[Order Date]]</f>
        <v>1</v>
      </c>
      <c r="AD4786" t="str">
        <f>IF(OrdersTable[[#This Row],[Delivery Days]]&lt;=2, "Express (≤2d)", IF(OrdersTable[[#This Row],[Delivery Days]]&lt;=4, "Standard (3-4d)", "Delayed (5d+)"))</f>
        <v>Express (≤2d)</v>
      </c>
      <c r="AE4786">
        <v>4</v>
      </c>
      <c r="AF4786">
        <v>0</v>
      </c>
    </row>
    <row r="4787" spans="1:32" ht="15" x14ac:dyDescent="0.35">
      <c r="A4787" t="s">
        <v>4319</v>
      </c>
      <c r="B4787" s="1">
        <v>46016</v>
      </c>
      <c r="C4787">
        <f>YEAR(OrdersTable[[#This Row],[Order Date]])</f>
        <v>2025</v>
      </c>
      <c r="D4787" s="2">
        <f>DATE(YEAR(OrdersTable[[#This Row],[Order Date]]),MONTH(OrdersTable[[#This Row],[Order Date]]),1)</f>
        <v>45992</v>
      </c>
      <c r="E4787">
        <f>MONTH(OrdersTable[[#This Row],[Order Date]])</f>
        <v>12</v>
      </c>
      <c r="F4787" t="s">
        <v>2401</v>
      </c>
      <c r="G4787" t="str">
        <f>IF(OrdersTable[[#This Row],[Order Date]]=_xlfn.MINIFS(Order_Date, Customer_ID, OrdersTable[[#This Row],[Customer ID]]), "New", "Repeat")</f>
        <v>Repeat</v>
      </c>
      <c r="H4787" t="s">
        <v>71</v>
      </c>
      <c r="I4787" t="str">
        <f>INDEX(State!B:B,MATCH(OrdersTable[[#This Row],[State]],State!A:A,0))</f>
        <v>MH</v>
      </c>
      <c r="J4787" t="str">
        <f>INDEX(State!C:C,MATCH(OrdersTable[[#This Row],[State Code]],State!B:B,0))</f>
        <v>West</v>
      </c>
      <c r="K4787" t="s">
        <v>81</v>
      </c>
      <c r="L4787" t="s">
        <v>16</v>
      </c>
      <c r="M4787" t="s">
        <v>255</v>
      </c>
      <c r="N4787" t="str">
        <f>INDEX(Products!B:B,MATCH(OrdersTable[[#This Row],[Product ID]],Products!A:A,0))</f>
        <v>Cotton Oversized T-Shirt</v>
      </c>
      <c r="O4787" t="str">
        <f>INDEX(Products!C:C,MATCH(OrdersTable[[#This Row],[Product ID]],Products!A:A,0))</f>
        <v>Apparel</v>
      </c>
      <c r="P4787">
        <v>1</v>
      </c>
      <c r="Q4787" s="5">
        <v>799</v>
      </c>
      <c r="R4787" s="74">
        <v>0.05</v>
      </c>
      <c r="S4787" s="75">
        <f>OrdersTable[[#This Row],[Quantity]]*OrdersTable[[#This Row],[Unit Price]]</f>
        <v>799</v>
      </c>
      <c r="T4787" s="5">
        <f>OrdersTable[[#This Row],[Gross Sale]]*OrdersTable[[#This Row],[Discount_Clean2]]</f>
        <v>39.950000000000003</v>
      </c>
      <c r="U4787" s="5">
        <f>OrdersTable[[#This Row],[Gross Sale]]-OrdersTable[[#This Row],[Discount Amount]]</f>
        <v>759.05</v>
      </c>
      <c r="V4787" s="77">
        <f>INDEX(Products!E:E,MATCH(OrdersTable[[#This Row],[Product ID]],Products!A:A,0))</f>
        <v>320</v>
      </c>
      <c r="W4787" s="77">
        <f>OrdersTable[[#This Row],[Quantity]]*OrdersTable[[#This Row],[Unit Cost]]</f>
        <v>320</v>
      </c>
      <c r="X4787" s="77">
        <f>'Dropdown Lists'!$I$2*(1+OrdersTable[[#This Row],[Returned]])</f>
        <v>60</v>
      </c>
      <c r="Y4787" s="76">
        <f>OrdersTable[[#This Row],[Net Revenue]]-OrdersTable[[#This Row],[COGS]]-OrdersTable[[#This Row],[Shipping Cost]]</f>
        <v>379.04999999999995</v>
      </c>
      <c r="Z4787" s="78">
        <f>IFERROR(OrdersTable[[#This Row],[Profit]]/OrdersTable[[#This Row],[Net Revenue]],0)</f>
        <v>0.49937421777221525</v>
      </c>
      <c r="AA4787" t="s">
        <v>4074</v>
      </c>
      <c r="AB4787" s="79">
        <v>46020</v>
      </c>
      <c r="AC4787">
        <f>OrdersTable[[#This Row],[Delivery Date]]-OrdersTable[[#This Row],[Order Date]]</f>
        <v>4</v>
      </c>
      <c r="AD4787" t="str">
        <f>IF(OrdersTable[[#This Row],[Delivery Days]]&lt;=2, "Express (≤2d)", IF(OrdersTable[[#This Row],[Delivery Days]]&lt;=4, "Standard (3-4d)", "Delayed (5d+)"))</f>
        <v>Standard (3-4d)</v>
      </c>
      <c r="AF4787">
        <v>0</v>
      </c>
    </row>
    <row r="4788" spans="1:32" ht="15" x14ac:dyDescent="0.35">
      <c r="A4788" t="s">
        <v>6651</v>
      </c>
      <c r="B4788" s="1">
        <v>46016</v>
      </c>
      <c r="C4788">
        <f>YEAR(OrdersTable[[#This Row],[Order Date]])</f>
        <v>2025</v>
      </c>
      <c r="D4788" s="2">
        <f>DATE(YEAR(OrdersTable[[#This Row],[Order Date]]),MONTH(OrdersTable[[#This Row],[Order Date]]),1)</f>
        <v>45992</v>
      </c>
      <c r="E4788">
        <f>MONTH(OrdersTable[[#This Row],[Order Date]])</f>
        <v>12</v>
      </c>
      <c r="F4788" t="s">
        <v>6652</v>
      </c>
      <c r="G4788" t="str">
        <f>IF(OrdersTable[[#This Row],[Order Date]]=_xlfn.MINIFS(Order_Date, Customer_ID, OrdersTable[[#This Row],[Customer ID]]), "New", "Repeat")</f>
        <v>New</v>
      </c>
      <c r="H4788" t="s">
        <v>14</v>
      </c>
      <c r="I4788" t="str">
        <f>INDEX(State!B:B,MATCH(OrdersTable[[#This Row],[State]],State!A:A,0))</f>
        <v>OD</v>
      </c>
      <c r="J4788" t="str">
        <f>INDEX(State!C:C,MATCH(OrdersTable[[#This Row],[State Code]],State!B:B,0))</f>
        <v>East</v>
      </c>
      <c r="K4788" t="s">
        <v>15</v>
      </c>
      <c r="L4788" t="s">
        <v>23</v>
      </c>
      <c r="M4788" t="s">
        <v>106</v>
      </c>
      <c r="N4788" t="str">
        <f>INDEX(Products!B:B,MATCH(OrdersTable[[#This Row],[Product ID]],Products!A:A,0))</f>
        <v>Keratin Hair Mask</v>
      </c>
      <c r="O4788" t="str">
        <f>INDEX(Products!C:C,MATCH(OrdersTable[[#This Row],[Product ID]],Products!A:A,0))</f>
        <v>Haircare</v>
      </c>
      <c r="P4788">
        <v>3</v>
      </c>
      <c r="Q4788" s="5">
        <v>549</v>
      </c>
      <c r="R4788" s="74">
        <v>0.1</v>
      </c>
      <c r="S4788" s="75">
        <f>OrdersTable[[#This Row],[Quantity]]*OrdersTable[[#This Row],[Unit Price]]</f>
        <v>1647</v>
      </c>
      <c r="T4788" s="5">
        <f>OrdersTable[[#This Row],[Gross Sale]]*OrdersTable[[#This Row],[Discount_Clean2]]</f>
        <v>164.70000000000002</v>
      </c>
      <c r="U4788" s="5">
        <f>OrdersTable[[#This Row],[Gross Sale]]-OrdersTable[[#This Row],[Discount Amount]]</f>
        <v>1482.3</v>
      </c>
      <c r="V4788" s="77">
        <f>INDEX(Products!E:E,MATCH(OrdersTable[[#This Row],[Product ID]],Products!A:A,0))</f>
        <v>170</v>
      </c>
      <c r="W4788" s="77">
        <f>OrdersTable[[#This Row],[Quantity]]*OrdersTable[[#This Row],[Unit Cost]]</f>
        <v>510</v>
      </c>
      <c r="X4788" s="77">
        <f>'Dropdown Lists'!$I$2*(1+OrdersTable[[#This Row],[Returned]])</f>
        <v>60</v>
      </c>
      <c r="Y4788" s="76">
        <f>OrdersTable[[#This Row],[Net Revenue]]-OrdersTable[[#This Row],[COGS]]-OrdersTable[[#This Row],[Shipping Cost]]</f>
        <v>912.3</v>
      </c>
      <c r="Z4788" s="78">
        <f>IFERROR(OrdersTable[[#This Row],[Profit]]/OrdersTable[[#This Row],[Net Revenue]],0)</f>
        <v>0.61546245699251168</v>
      </c>
      <c r="AA4788" t="s">
        <v>18</v>
      </c>
      <c r="AB4788" s="79">
        <v>46022</v>
      </c>
      <c r="AC4788">
        <f>OrdersTable[[#This Row],[Delivery Date]]-OrdersTable[[#This Row],[Order Date]]</f>
        <v>6</v>
      </c>
      <c r="AD4788" t="str">
        <f>IF(OrdersTable[[#This Row],[Delivery Days]]&lt;=2, "Express (≤2d)", IF(OrdersTable[[#This Row],[Delivery Days]]&lt;=4, "Standard (3-4d)", "Delayed (5d+)"))</f>
        <v>Delayed (5d+)</v>
      </c>
      <c r="AE4788">
        <v>2</v>
      </c>
      <c r="AF4788">
        <v>0</v>
      </c>
    </row>
    <row r="4789" spans="1:32" ht="15" x14ac:dyDescent="0.35">
      <c r="A4789" t="s">
        <v>4446</v>
      </c>
      <c r="B4789" s="1">
        <v>46016</v>
      </c>
      <c r="C4789">
        <f>YEAR(OrdersTable[[#This Row],[Order Date]])</f>
        <v>2025</v>
      </c>
      <c r="D4789" s="2">
        <f>DATE(YEAR(OrdersTable[[#This Row],[Order Date]]),MONTH(OrdersTable[[#This Row],[Order Date]]),1)</f>
        <v>45992</v>
      </c>
      <c r="E4789">
        <f>MONTH(OrdersTable[[#This Row],[Order Date]])</f>
        <v>12</v>
      </c>
      <c r="F4789" t="s">
        <v>466</v>
      </c>
      <c r="G4789" t="str">
        <f>IF(OrdersTable[[#This Row],[Order Date]]=_xlfn.MINIFS(Order_Date, Customer_ID, OrdersTable[[#This Row],[Customer ID]]), "New", "Repeat")</f>
        <v>Repeat</v>
      </c>
      <c r="H4789" t="s">
        <v>275</v>
      </c>
      <c r="I4789" t="str">
        <f>INDEX(State!B:B,MATCH(OrdersTable[[#This Row],[State]],State!A:A,0))</f>
        <v>AP</v>
      </c>
      <c r="J4789" t="str">
        <f>INDEX(State!C:C,MATCH(OrdersTable[[#This Row],[State Code]],State!B:B,0))</f>
        <v>South</v>
      </c>
      <c r="K4789" t="s">
        <v>276</v>
      </c>
      <c r="L4789" t="s">
        <v>39</v>
      </c>
      <c r="M4789" t="s">
        <v>34</v>
      </c>
      <c r="N4789" t="str">
        <f>INDEX(Products!B:B,MATCH(OrdersTable[[#This Row],[Product ID]],Products!A:A,0))</f>
        <v>Flip Flops</v>
      </c>
      <c r="O4789" t="str">
        <f>INDEX(Products!C:C,MATCH(OrdersTable[[#This Row],[Product ID]],Products!A:A,0))</f>
        <v>Footwear</v>
      </c>
      <c r="P4789">
        <v>1</v>
      </c>
      <c r="Q4789" s="5">
        <v>399</v>
      </c>
      <c r="R4789" s="74">
        <v>0.05</v>
      </c>
      <c r="S4789" s="75">
        <f>OrdersTable[[#This Row],[Quantity]]*OrdersTable[[#This Row],[Unit Price]]</f>
        <v>399</v>
      </c>
      <c r="T4789" s="5">
        <f>OrdersTable[[#This Row],[Gross Sale]]*OrdersTable[[#This Row],[Discount_Clean2]]</f>
        <v>19.950000000000003</v>
      </c>
      <c r="U4789" s="5">
        <f>OrdersTable[[#This Row],[Gross Sale]]-OrdersTable[[#This Row],[Discount Amount]]</f>
        <v>379.05</v>
      </c>
      <c r="V4789" s="77">
        <f>INDEX(Products!E:E,MATCH(OrdersTable[[#This Row],[Product ID]],Products!A:A,0))</f>
        <v>152</v>
      </c>
      <c r="W4789" s="77">
        <f>OrdersTable[[#This Row],[Quantity]]*OrdersTable[[#This Row],[Unit Cost]]</f>
        <v>152</v>
      </c>
      <c r="X4789" s="77">
        <f>'Dropdown Lists'!$I$2*(1+OrdersTable[[#This Row],[Returned]])</f>
        <v>60</v>
      </c>
      <c r="Y4789" s="76">
        <f>OrdersTable[[#This Row],[Net Revenue]]-OrdersTable[[#This Row],[COGS]]-OrdersTable[[#This Row],[Shipping Cost]]</f>
        <v>167.05</v>
      </c>
      <c r="Z4789" s="78">
        <f>IFERROR(OrdersTable[[#This Row],[Profit]]/OrdersTable[[#This Row],[Net Revenue]],0)</f>
        <v>0.44070703073473161</v>
      </c>
      <c r="AA4789" t="s">
        <v>4074</v>
      </c>
      <c r="AB4789" s="79">
        <v>46020</v>
      </c>
      <c r="AC4789">
        <f>OrdersTable[[#This Row],[Delivery Date]]-OrdersTable[[#This Row],[Order Date]]</f>
        <v>4</v>
      </c>
      <c r="AD4789" t="str">
        <f>IF(OrdersTable[[#This Row],[Delivery Days]]&lt;=2, "Express (≤2d)", IF(OrdersTable[[#This Row],[Delivery Days]]&lt;=4, "Standard (3-4d)", "Delayed (5d+)"))</f>
        <v>Standard (3-4d)</v>
      </c>
      <c r="AE4789">
        <v>4</v>
      </c>
      <c r="AF4789">
        <v>0</v>
      </c>
    </row>
    <row r="4790" spans="1:32" ht="15" x14ac:dyDescent="0.35">
      <c r="A4790" t="s">
        <v>3698</v>
      </c>
      <c r="B4790" s="1">
        <v>46016</v>
      </c>
      <c r="C4790">
        <f>YEAR(OrdersTable[[#This Row],[Order Date]])</f>
        <v>2025</v>
      </c>
      <c r="D4790" s="2">
        <f>DATE(YEAR(OrdersTable[[#This Row],[Order Date]]),MONTH(OrdersTable[[#This Row],[Order Date]]),1)</f>
        <v>45992</v>
      </c>
      <c r="E4790">
        <f>MONTH(OrdersTable[[#This Row],[Order Date]])</f>
        <v>12</v>
      </c>
      <c r="F4790" t="s">
        <v>1378</v>
      </c>
      <c r="G4790" t="str">
        <f>IF(OrdersTable[[#This Row],[Order Date]]=_xlfn.MINIFS(Order_Date, Customer_ID, OrdersTable[[#This Row],[Customer ID]]), "New", "Repeat")</f>
        <v>Repeat</v>
      </c>
      <c r="H4790" t="s">
        <v>59</v>
      </c>
      <c r="I4790" t="str">
        <f>INDEX(State!B:B,MATCH(OrdersTable[[#This Row],[State]],State!A:A,0))</f>
        <v>TN</v>
      </c>
      <c r="J4790" t="str">
        <f>INDEX(State!C:C,MATCH(OrdersTable[[#This Row],[State Code]],State!B:B,0))</f>
        <v>South</v>
      </c>
      <c r="K4790" t="s">
        <v>64</v>
      </c>
      <c r="L4790" t="s">
        <v>16</v>
      </c>
      <c r="M4790" t="s">
        <v>92</v>
      </c>
      <c r="N4790" t="str">
        <f>INDEX(Products!B:B,MATCH(OrdersTable[[#This Row],[Product ID]],Products!A:A,0))</f>
        <v>Kolhapuri Sandals</v>
      </c>
      <c r="O4790" t="str">
        <f>INDEX(Products!C:C,MATCH(OrdersTable[[#This Row],[Product ID]],Products!A:A,0))</f>
        <v>Footwear</v>
      </c>
      <c r="P4790">
        <v>1</v>
      </c>
      <c r="Q4790" s="5">
        <v>999</v>
      </c>
      <c r="R4790" s="74">
        <v>0</v>
      </c>
      <c r="S4790" s="75">
        <f>OrdersTable[[#This Row],[Quantity]]*OrdersTable[[#This Row],[Unit Price]]</f>
        <v>999</v>
      </c>
      <c r="T4790" s="5">
        <f>OrdersTable[[#This Row],[Gross Sale]]*OrdersTable[[#This Row],[Discount_Clean2]]</f>
        <v>0</v>
      </c>
      <c r="U4790" s="5">
        <f>OrdersTable[[#This Row],[Gross Sale]]-OrdersTable[[#This Row],[Discount Amount]]</f>
        <v>999</v>
      </c>
      <c r="V4790" s="77">
        <f>INDEX(Products!E:E,MATCH(OrdersTable[[#This Row],[Product ID]],Products!A:A,0))</f>
        <v>400</v>
      </c>
      <c r="W4790" s="77">
        <f>OrdersTable[[#This Row],[Quantity]]*OrdersTable[[#This Row],[Unit Cost]]</f>
        <v>400</v>
      </c>
      <c r="X4790" s="77">
        <f>'Dropdown Lists'!$I$2*(1+OrdersTable[[#This Row],[Returned]])</f>
        <v>60</v>
      </c>
      <c r="Y4790" s="76">
        <f>OrdersTable[[#This Row],[Net Revenue]]-OrdersTable[[#This Row],[COGS]]-OrdersTable[[#This Row],[Shipping Cost]]</f>
        <v>539</v>
      </c>
      <c r="Z4790" s="78">
        <f>IFERROR(OrdersTable[[#This Row],[Profit]]/OrdersTable[[#This Row],[Net Revenue]],0)</f>
        <v>0.53953953953953959</v>
      </c>
      <c r="AA4790" t="s">
        <v>3495</v>
      </c>
      <c r="AB4790" s="79">
        <v>46019</v>
      </c>
      <c r="AC4790">
        <f>OrdersTable[[#This Row],[Delivery Date]]-OrdersTable[[#This Row],[Order Date]]</f>
        <v>3</v>
      </c>
      <c r="AD4790" t="str">
        <f>IF(OrdersTable[[#This Row],[Delivery Days]]&lt;=2, "Express (≤2d)", IF(OrdersTable[[#This Row],[Delivery Days]]&lt;=4, "Standard (3-4d)", "Delayed (5d+)"))</f>
        <v>Standard (3-4d)</v>
      </c>
      <c r="AE4790">
        <v>4</v>
      </c>
      <c r="AF4790">
        <v>0</v>
      </c>
    </row>
    <row r="4791" spans="1:32" ht="15" x14ac:dyDescent="0.35">
      <c r="A4791" t="s">
        <v>1461</v>
      </c>
      <c r="B4791" s="1">
        <v>46017</v>
      </c>
      <c r="C4791">
        <f>YEAR(OrdersTable[[#This Row],[Order Date]])</f>
        <v>2025</v>
      </c>
      <c r="D4791" s="2">
        <f>DATE(YEAR(OrdersTable[[#This Row],[Order Date]]),MONTH(OrdersTable[[#This Row],[Order Date]]),1)</f>
        <v>45992</v>
      </c>
      <c r="E4791">
        <f>MONTH(OrdersTable[[#This Row],[Order Date]])</f>
        <v>12</v>
      </c>
      <c r="F4791" t="s">
        <v>1035</v>
      </c>
      <c r="G4791" t="str">
        <f>IF(OrdersTable[[#This Row],[Order Date]]=_xlfn.MINIFS(Order_Date, Customer_ID, OrdersTable[[#This Row],[Customer ID]]), "New", "Repeat")</f>
        <v>Repeat</v>
      </c>
      <c r="H4791" t="s">
        <v>158</v>
      </c>
      <c r="I4791" t="str">
        <f>INDEX(State!B:B,MATCH(OrdersTable[[#This Row],[State]],State!A:A,0))</f>
        <v>HP</v>
      </c>
      <c r="J4791" t="str">
        <f>INDEX(State!C:C,MATCH(OrdersTable[[#This Row],[State Code]],State!B:B,0))</f>
        <v>North</v>
      </c>
      <c r="K4791" t="s">
        <v>159</v>
      </c>
      <c r="L4791" t="s">
        <v>23</v>
      </c>
      <c r="M4791" t="s">
        <v>56</v>
      </c>
      <c r="N4791" t="str">
        <f>INDEX(Products!B:B,MATCH(OrdersTable[[#This Row],[Product ID]],Products!A:A,0))</f>
        <v>Vitamin C Face Serum</v>
      </c>
      <c r="O4791" t="str">
        <f>INDEX(Products!C:C,MATCH(OrdersTable[[#This Row],[Product ID]],Products!A:A,0))</f>
        <v>Skincare</v>
      </c>
      <c r="P4791">
        <v>1</v>
      </c>
      <c r="Q4791" s="5">
        <v>599</v>
      </c>
      <c r="R4791" s="74">
        <v>0.15</v>
      </c>
      <c r="S4791" s="75">
        <f>OrdersTable[[#This Row],[Quantity]]*OrdersTable[[#This Row],[Unit Price]]</f>
        <v>599</v>
      </c>
      <c r="T4791" s="5">
        <f>OrdersTable[[#This Row],[Gross Sale]]*OrdersTable[[#This Row],[Discount_Clean2]]</f>
        <v>89.85</v>
      </c>
      <c r="U4791" s="5">
        <f>OrdersTable[[#This Row],[Gross Sale]]-OrdersTable[[#This Row],[Discount Amount]]</f>
        <v>509.15</v>
      </c>
      <c r="V4791" s="77">
        <f>INDEX(Products!E:E,MATCH(OrdersTable[[#This Row],[Product ID]],Products!A:A,0))</f>
        <v>180</v>
      </c>
      <c r="W4791" s="77">
        <f>OrdersTable[[#This Row],[Quantity]]*OrdersTable[[#This Row],[Unit Cost]]</f>
        <v>180</v>
      </c>
      <c r="X4791" s="77">
        <f>'Dropdown Lists'!$I$2*(1+OrdersTable[[#This Row],[Returned]])</f>
        <v>60</v>
      </c>
      <c r="Y4791" s="76">
        <f>OrdersTable[[#This Row],[Net Revenue]]-OrdersTable[[#This Row],[COGS]]-OrdersTable[[#This Row],[Shipping Cost]]</f>
        <v>269.14999999999998</v>
      </c>
      <c r="Z4791" s="78">
        <f>IFERROR(OrdersTable[[#This Row],[Profit]]/OrdersTable[[#This Row],[Net Revenue]],0)</f>
        <v>0.52862614160856325</v>
      </c>
      <c r="AA4791" t="s">
        <v>18</v>
      </c>
      <c r="AB4791" s="79">
        <v>46022</v>
      </c>
      <c r="AC4791">
        <f>OrdersTable[[#This Row],[Delivery Date]]-OrdersTable[[#This Row],[Order Date]]</f>
        <v>5</v>
      </c>
      <c r="AD4791" t="str">
        <f>IF(OrdersTable[[#This Row],[Delivery Days]]&lt;=2, "Express (≤2d)", IF(OrdersTable[[#This Row],[Delivery Days]]&lt;=4, "Standard (3-4d)", "Delayed (5d+)"))</f>
        <v>Delayed (5d+)</v>
      </c>
      <c r="AF4791">
        <v>0</v>
      </c>
    </row>
    <row r="4792" spans="1:32" ht="15" x14ac:dyDescent="0.35">
      <c r="A4792" t="s">
        <v>3138</v>
      </c>
      <c r="B4792" s="1">
        <v>46017</v>
      </c>
      <c r="C4792">
        <f>YEAR(OrdersTable[[#This Row],[Order Date]])</f>
        <v>2025</v>
      </c>
      <c r="D4792" s="2">
        <f>DATE(YEAR(OrdersTable[[#This Row],[Order Date]]),MONTH(OrdersTable[[#This Row],[Order Date]]),1)</f>
        <v>45992</v>
      </c>
      <c r="E4792">
        <f>MONTH(OrdersTable[[#This Row],[Order Date]])</f>
        <v>12</v>
      </c>
      <c r="F4792" t="s">
        <v>2250</v>
      </c>
      <c r="G4792" t="str">
        <f>IF(OrdersTable[[#This Row],[Order Date]]=_xlfn.MINIFS(Order_Date, Customer_ID, OrdersTable[[#This Row],[Customer ID]]), "New", "Repeat")</f>
        <v>Repeat</v>
      </c>
      <c r="H4792" t="s">
        <v>54</v>
      </c>
      <c r="I4792" t="str">
        <f>INDEX(State!B:B,MATCH(OrdersTable[[#This Row],[State]],State!A:A,0))</f>
        <v>RJ</v>
      </c>
      <c r="J4792" t="str">
        <f>INDEX(State!C:C,MATCH(OrdersTable[[#This Row],[State Code]],State!B:B,0))</f>
        <v>North</v>
      </c>
      <c r="K4792" t="s">
        <v>55</v>
      </c>
      <c r="L4792" t="s">
        <v>39</v>
      </c>
      <c r="M4792" t="s">
        <v>173</v>
      </c>
      <c r="N4792" t="str">
        <f>INDEX(Products!B:B,MATCH(OrdersTable[[#This Row],[Product ID]],Products!A:A,0))</f>
        <v>Wireless Earbuds</v>
      </c>
      <c r="O4792" t="str">
        <f>INDEX(Products!C:C,MATCH(OrdersTable[[#This Row],[Product ID]],Products!A:A,0))</f>
        <v>Electronics</v>
      </c>
      <c r="P4792">
        <v>1</v>
      </c>
      <c r="Q4792" s="5">
        <v>1999</v>
      </c>
      <c r="R4792" s="74">
        <v>0.3</v>
      </c>
      <c r="S4792" s="75">
        <f>OrdersTable[[#This Row],[Quantity]]*OrdersTable[[#This Row],[Unit Price]]</f>
        <v>1999</v>
      </c>
      <c r="T4792" s="5">
        <f>OrdersTable[[#This Row],[Gross Sale]]*OrdersTable[[#This Row],[Discount_Clean2]]</f>
        <v>599.69999999999993</v>
      </c>
      <c r="U4792" s="5">
        <f>OrdersTable[[#This Row],[Gross Sale]]-OrdersTable[[#This Row],[Discount Amount]]</f>
        <v>1399.3000000000002</v>
      </c>
      <c r="V4792" s="77">
        <f>INDEX(Products!E:E,MATCH(OrdersTable[[#This Row],[Product ID]],Products!A:A,0))</f>
        <v>1239</v>
      </c>
      <c r="W4792" s="77">
        <f>OrdersTable[[#This Row],[Quantity]]*OrdersTable[[#This Row],[Unit Cost]]</f>
        <v>1239</v>
      </c>
      <c r="X4792" s="77">
        <f>'Dropdown Lists'!$I$2*(1+OrdersTable[[#This Row],[Returned]])</f>
        <v>60</v>
      </c>
      <c r="Y4792" s="76">
        <f>OrdersTable[[#This Row],[Net Revenue]]-OrdersTable[[#This Row],[COGS]]-OrdersTable[[#This Row],[Shipping Cost]]</f>
        <v>100.30000000000018</v>
      </c>
      <c r="Z4792" s="78">
        <f>IFERROR(OrdersTable[[#This Row],[Profit]]/OrdersTable[[#This Row],[Net Revenue]],0)</f>
        <v>7.1678696491102811E-2</v>
      </c>
      <c r="AA4792" t="s">
        <v>2522</v>
      </c>
      <c r="AB4792" s="79">
        <v>46022</v>
      </c>
      <c r="AC4792">
        <f>OrdersTable[[#This Row],[Delivery Date]]-OrdersTable[[#This Row],[Order Date]]</f>
        <v>5</v>
      </c>
      <c r="AD4792" t="str">
        <f>IF(OrdersTable[[#This Row],[Delivery Days]]&lt;=2, "Express (≤2d)", IF(OrdersTable[[#This Row],[Delivery Days]]&lt;=4, "Standard (3-4d)", "Delayed (5d+)"))</f>
        <v>Delayed (5d+)</v>
      </c>
      <c r="AF4792">
        <v>0</v>
      </c>
    </row>
    <row r="4793" spans="1:32" ht="15" x14ac:dyDescent="0.35">
      <c r="A4793" t="s">
        <v>421</v>
      </c>
      <c r="B4793" s="1">
        <v>46017</v>
      </c>
      <c r="C4793">
        <f>YEAR(OrdersTable[[#This Row],[Order Date]])</f>
        <v>2025</v>
      </c>
      <c r="D4793" s="2">
        <f>DATE(YEAR(OrdersTable[[#This Row],[Order Date]]),MONTH(OrdersTable[[#This Row],[Order Date]]),1)</f>
        <v>45992</v>
      </c>
      <c r="E4793">
        <f>MONTH(OrdersTable[[#This Row],[Order Date]])</f>
        <v>12</v>
      </c>
      <c r="F4793" t="s">
        <v>422</v>
      </c>
      <c r="G4793" t="str">
        <f>IF(OrdersTable[[#This Row],[Order Date]]=_xlfn.MINIFS(Order_Date, Customer_ID, OrdersTable[[#This Row],[Customer ID]]), "New", "Repeat")</f>
        <v>Repeat</v>
      </c>
      <c r="H4793" t="s">
        <v>54</v>
      </c>
      <c r="I4793" t="str">
        <f>INDEX(State!B:B,MATCH(OrdersTable[[#This Row],[State]],State!A:A,0))</f>
        <v>RJ</v>
      </c>
      <c r="J4793" t="str">
        <f>INDEX(State!C:C,MATCH(OrdersTable[[#This Row],[State Code]],State!B:B,0))</f>
        <v>North</v>
      </c>
      <c r="K4793" t="s">
        <v>227</v>
      </c>
      <c r="L4793" t="s">
        <v>39</v>
      </c>
      <c r="M4793" t="s">
        <v>423</v>
      </c>
      <c r="N4793" t="str">
        <f>INDEX(Products!B:B,MATCH(OrdersTable[[#This Row],[Product ID]],Products!A:A,0))</f>
        <v>Power Bank 20000mAh</v>
      </c>
      <c r="O4793" t="str">
        <f>INDEX(Products!C:C,MATCH(OrdersTable[[#This Row],[Product ID]],Products!A:A,0))</f>
        <v>Electronics</v>
      </c>
      <c r="P4793">
        <v>1</v>
      </c>
      <c r="Q4793" s="5">
        <v>1799</v>
      </c>
      <c r="R4793" s="74">
        <v>0.25</v>
      </c>
      <c r="S4793" s="75">
        <f>OrdersTable[[#This Row],[Quantity]]*OrdersTable[[#This Row],[Unit Price]]</f>
        <v>1799</v>
      </c>
      <c r="T4793" s="5">
        <f>OrdersTable[[#This Row],[Gross Sale]]*OrdersTable[[#This Row],[Discount_Clean2]]</f>
        <v>449.75</v>
      </c>
      <c r="U4793" s="5">
        <f>OrdersTable[[#This Row],[Gross Sale]]-OrdersTable[[#This Row],[Discount Amount]]</f>
        <v>1349.25</v>
      </c>
      <c r="V4793" s="77">
        <f>INDEX(Products!E:E,MATCH(OrdersTable[[#This Row],[Product ID]],Products!A:A,0))</f>
        <v>1079</v>
      </c>
      <c r="W4793" s="77">
        <f>OrdersTable[[#This Row],[Quantity]]*OrdersTable[[#This Row],[Unit Cost]]</f>
        <v>1079</v>
      </c>
      <c r="X4793" s="77">
        <f>'Dropdown Lists'!$I$2*(1+OrdersTable[[#This Row],[Returned]])</f>
        <v>60</v>
      </c>
      <c r="Y4793" s="76">
        <f>OrdersTable[[#This Row],[Net Revenue]]-OrdersTable[[#This Row],[COGS]]-OrdersTable[[#This Row],[Shipping Cost]]</f>
        <v>210.25</v>
      </c>
      <c r="Z4793" s="78">
        <f>IFERROR(OrdersTable[[#This Row],[Profit]]/OrdersTable[[#This Row],[Net Revenue]],0)</f>
        <v>0.15582731146933482</v>
      </c>
      <c r="AA4793" t="s">
        <v>18</v>
      </c>
      <c r="AB4793" s="79">
        <v>46021</v>
      </c>
      <c r="AC4793">
        <f>OrdersTable[[#This Row],[Delivery Date]]-OrdersTable[[#This Row],[Order Date]]</f>
        <v>4</v>
      </c>
      <c r="AD4793" t="str">
        <f>IF(OrdersTable[[#This Row],[Delivery Days]]&lt;=2, "Express (≤2d)", IF(OrdersTable[[#This Row],[Delivery Days]]&lt;=4, "Standard (3-4d)", "Delayed (5d+)"))</f>
        <v>Standard (3-4d)</v>
      </c>
      <c r="AE4793">
        <v>4</v>
      </c>
      <c r="AF4793">
        <v>0</v>
      </c>
    </row>
    <row r="4794" spans="1:32" ht="15" x14ac:dyDescent="0.35">
      <c r="A4794" t="s">
        <v>3947</v>
      </c>
      <c r="B4794" s="1">
        <v>46017</v>
      </c>
      <c r="C4794">
        <f>YEAR(OrdersTable[[#This Row],[Order Date]])</f>
        <v>2025</v>
      </c>
      <c r="D4794" s="2">
        <f>DATE(YEAR(OrdersTable[[#This Row],[Order Date]]),MONTH(OrdersTable[[#This Row],[Order Date]]),1)</f>
        <v>45992</v>
      </c>
      <c r="E4794">
        <f>MONTH(OrdersTable[[#This Row],[Order Date]])</f>
        <v>12</v>
      </c>
      <c r="F4794" t="s">
        <v>3948</v>
      </c>
      <c r="G4794" t="str">
        <f>IF(OrdersTable[[#This Row],[Order Date]]=_xlfn.MINIFS(Order_Date, Customer_ID, OrdersTable[[#This Row],[Customer ID]]), "New", "Repeat")</f>
        <v>Repeat</v>
      </c>
      <c r="H4794" t="s">
        <v>37</v>
      </c>
      <c r="I4794" t="str">
        <f>INDEX(State!B:B,MATCH(OrdersTable[[#This Row],[State]],State!A:A,0))</f>
        <v>GJ</v>
      </c>
      <c r="J4794" t="str">
        <f>INDEX(State!C:C,MATCH(OrdersTable[[#This Row],[State Code]],State!B:B,0))</f>
        <v>West</v>
      </c>
      <c r="K4794" t="s">
        <v>38</v>
      </c>
      <c r="L4794" t="s">
        <v>65</v>
      </c>
      <c r="M4794" t="s">
        <v>160</v>
      </c>
      <c r="N4794" t="str">
        <f>INDEX(Products!B:B,MATCH(OrdersTable[[#This Row],[Product ID]],Products!A:A,0))</f>
        <v>Niacinamide Toner</v>
      </c>
      <c r="O4794" t="str">
        <f>INDEX(Products!C:C,MATCH(OrdersTable[[#This Row],[Product ID]],Products!A:A,0))</f>
        <v>Skincare</v>
      </c>
      <c r="P4794">
        <v>1</v>
      </c>
      <c r="Q4794" s="5">
        <v>399</v>
      </c>
      <c r="R4794" s="74">
        <v>0.15</v>
      </c>
      <c r="S4794" s="75">
        <f>OrdersTable[[#This Row],[Quantity]]*OrdersTable[[#This Row],[Unit Price]]</f>
        <v>399</v>
      </c>
      <c r="T4794" s="5">
        <f>OrdersTable[[#This Row],[Gross Sale]]*OrdersTable[[#This Row],[Discount_Clean2]]</f>
        <v>59.849999999999994</v>
      </c>
      <c r="U4794" s="5">
        <f>OrdersTable[[#This Row],[Gross Sale]]-OrdersTable[[#This Row],[Discount Amount]]</f>
        <v>339.15</v>
      </c>
      <c r="V4794" s="77">
        <f>INDEX(Products!E:E,MATCH(OrdersTable[[#This Row],[Product ID]],Products!A:A,0))</f>
        <v>112</v>
      </c>
      <c r="W4794" s="77">
        <f>OrdersTable[[#This Row],[Quantity]]*OrdersTable[[#This Row],[Unit Cost]]</f>
        <v>112</v>
      </c>
      <c r="X4794" s="77">
        <f>'Dropdown Lists'!$I$2*(1+OrdersTable[[#This Row],[Returned]])</f>
        <v>60</v>
      </c>
      <c r="Y4794" s="76">
        <f>OrdersTable[[#This Row],[Net Revenue]]-OrdersTable[[#This Row],[COGS]]-OrdersTable[[#This Row],[Shipping Cost]]</f>
        <v>167.14999999999998</v>
      </c>
      <c r="Z4794" s="78">
        <f>IFERROR(OrdersTable[[#This Row],[Profit]]/OrdersTable[[#This Row],[Net Revenue]],0)</f>
        <v>0.49284977148754233</v>
      </c>
      <c r="AA4794" t="s">
        <v>3495</v>
      </c>
      <c r="AB4794" s="79">
        <v>46019</v>
      </c>
      <c r="AC4794">
        <f>OrdersTable[[#This Row],[Delivery Date]]-OrdersTable[[#This Row],[Order Date]]</f>
        <v>2</v>
      </c>
      <c r="AD4794" t="str">
        <f>IF(OrdersTable[[#This Row],[Delivery Days]]&lt;=2, "Express (≤2d)", IF(OrdersTable[[#This Row],[Delivery Days]]&lt;=4, "Standard (3-4d)", "Delayed (5d+)"))</f>
        <v>Express (≤2d)</v>
      </c>
      <c r="AE4794">
        <v>3</v>
      </c>
      <c r="AF4794">
        <v>0</v>
      </c>
    </row>
    <row r="4795" spans="1:32" ht="15" x14ac:dyDescent="0.35">
      <c r="A4795" t="s">
        <v>4643</v>
      </c>
      <c r="B4795" s="1">
        <v>46017</v>
      </c>
      <c r="C4795">
        <f>YEAR(OrdersTable[[#This Row],[Order Date]])</f>
        <v>2025</v>
      </c>
      <c r="D4795" s="2">
        <f>DATE(YEAR(OrdersTable[[#This Row],[Order Date]]),MONTH(OrdersTable[[#This Row],[Order Date]]),1)</f>
        <v>45992</v>
      </c>
      <c r="E4795">
        <f>MONTH(OrdersTable[[#This Row],[Order Date]])</f>
        <v>12</v>
      </c>
      <c r="F4795" t="s">
        <v>143</v>
      </c>
      <c r="G4795" t="str">
        <f>IF(OrdersTable[[#This Row],[Order Date]]=_xlfn.MINIFS(Order_Date, Customer_ID, OrdersTable[[#This Row],[Customer ID]]), "New", "Repeat")</f>
        <v>Repeat</v>
      </c>
      <c r="H4795" t="s">
        <v>27</v>
      </c>
      <c r="I4795" t="str">
        <f>INDEX(State!B:B,MATCH(OrdersTable[[#This Row],[State]],State!A:A,0))</f>
        <v>WB</v>
      </c>
      <c r="J4795" t="str">
        <f>INDEX(State!C:C,MATCH(OrdersTable[[#This Row],[State Code]],State!B:B,0))</f>
        <v>East</v>
      </c>
      <c r="K4795" t="s">
        <v>28</v>
      </c>
      <c r="L4795" t="s">
        <v>23</v>
      </c>
      <c r="M4795" t="s">
        <v>125</v>
      </c>
      <c r="N4795" t="str">
        <f>INDEX(Products!B:B,MATCH(OrdersTable[[#This Row],[Product ID]],Products!A:A,0))</f>
        <v>Copper Water Bottle</v>
      </c>
      <c r="O4795" t="str">
        <f>INDEX(Products!C:C,MATCH(OrdersTable[[#This Row],[Product ID]],Products!A:A,0))</f>
        <v>Home &amp; Kitchen</v>
      </c>
      <c r="P4795">
        <v>1</v>
      </c>
      <c r="Q4795" s="5">
        <v>899</v>
      </c>
      <c r="R4795" s="74">
        <v>0</v>
      </c>
      <c r="S4795" s="75">
        <f>OrdersTable[[#This Row],[Quantity]]*OrdersTable[[#This Row],[Unit Price]]</f>
        <v>899</v>
      </c>
      <c r="T4795" s="5">
        <f>OrdersTable[[#This Row],[Gross Sale]]*OrdersTable[[#This Row],[Discount_Clean2]]</f>
        <v>0</v>
      </c>
      <c r="U4795" s="5">
        <f>OrdersTable[[#This Row],[Gross Sale]]-OrdersTable[[#This Row],[Discount Amount]]</f>
        <v>899</v>
      </c>
      <c r="V4795" s="77">
        <f>INDEX(Products!E:E,MATCH(OrdersTable[[#This Row],[Product ID]],Products!A:A,0))</f>
        <v>378</v>
      </c>
      <c r="W4795" s="77">
        <f>OrdersTable[[#This Row],[Quantity]]*OrdersTable[[#This Row],[Unit Cost]]</f>
        <v>378</v>
      </c>
      <c r="X4795" s="77">
        <f>'Dropdown Lists'!$I$2*(1+OrdersTable[[#This Row],[Returned]])</f>
        <v>60</v>
      </c>
      <c r="Y4795" s="76">
        <f>OrdersTable[[#This Row],[Net Revenue]]-OrdersTable[[#This Row],[COGS]]-OrdersTable[[#This Row],[Shipping Cost]]</f>
        <v>461</v>
      </c>
      <c r="Z4795" s="78">
        <f>IFERROR(OrdersTable[[#This Row],[Profit]]/OrdersTable[[#This Row],[Net Revenue]],0)</f>
        <v>0.51279199110122353</v>
      </c>
      <c r="AA4795" t="s">
        <v>4450</v>
      </c>
      <c r="AB4795" s="79">
        <v>46019</v>
      </c>
      <c r="AC4795">
        <f>OrdersTable[[#This Row],[Delivery Date]]-OrdersTable[[#This Row],[Order Date]]</f>
        <v>2</v>
      </c>
      <c r="AD4795" t="str">
        <f>IF(OrdersTable[[#This Row],[Delivery Days]]&lt;=2, "Express (≤2d)", IF(OrdersTable[[#This Row],[Delivery Days]]&lt;=4, "Standard (3-4d)", "Delayed (5d+)"))</f>
        <v>Express (≤2d)</v>
      </c>
      <c r="AF4795">
        <v>0</v>
      </c>
    </row>
    <row r="4796" spans="1:32" ht="15" x14ac:dyDescent="0.35">
      <c r="A4796" t="s">
        <v>718</v>
      </c>
      <c r="B4796" s="1">
        <v>46017</v>
      </c>
      <c r="C4796">
        <f>YEAR(OrdersTable[[#This Row],[Order Date]])</f>
        <v>2025</v>
      </c>
      <c r="D4796" s="2">
        <f>DATE(YEAR(OrdersTable[[#This Row],[Order Date]]),MONTH(OrdersTable[[#This Row],[Order Date]]),1)</f>
        <v>45992</v>
      </c>
      <c r="E4796">
        <f>MONTH(OrdersTable[[#This Row],[Order Date]])</f>
        <v>12</v>
      </c>
      <c r="F4796" t="s">
        <v>719</v>
      </c>
      <c r="G4796" t="str">
        <f>IF(OrdersTable[[#This Row],[Order Date]]=_xlfn.MINIFS(Order_Date, Customer_ID, OrdersTable[[#This Row],[Customer ID]]), "New", "Repeat")</f>
        <v>Repeat</v>
      </c>
      <c r="H4796" t="s">
        <v>71</v>
      </c>
      <c r="I4796" t="str">
        <f>INDEX(State!B:B,MATCH(OrdersTable[[#This Row],[State]],State!A:A,0))</f>
        <v>MH</v>
      </c>
      <c r="J4796" t="str">
        <f>INDEX(State!C:C,MATCH(OrdersTable[[#This Row],[State Code]],State!B:B,0))</f>
        <v>West</v>
      </c>
      <c r="K4796" t="s">
        <v>102</v>
      </c>
      <c r="L4796" t="s">
        <v>23</v>
      </c>
      <c r="M4796" t="s">
        <v>148</v>
      </c>
      <c r="N4796" t="str">
        <f>INDEX(Products!B:B,MATCH(OrdersTable[[#This Row],[Product ID]],Products!A:A,0))</f>
        <v>Smartwatch Strap</v>
      </c>
      <c r="O4796" t="str">
        <f>INDEX(Products!C:C,MATCH(OrdersTable[[#This Row],[Product ID]],Products!A:A,0))</f>
        <v>Electronics</v>
      </c>
      <c r="P4796">
        <v>1</v>
      </c>
      <c r="Q4796" s="5">
        <v>499</v>
      </c>
      <c r="R4796" s="74">
        <v>0.15</v>
      </c>
      <c r="S4796" s="75">
        <f>OrdersTable[[#This Row],[Quantity]]*OrdersTable[[#This Row],[Unit Price]]</f>
        <v>499</v>
      </c>
      <c r="T4796" s="5">
        <f>OrdersTable[[#This Row],[Gross Sale]]*OrdersTable[[#This Row],[Discount_Clean2]]</f>
        <v>74.849999999999994</v>
      </c>
      <c r="U4796" s="5">
        <f>OrdersTable[[#This Row],[Gross Sale]]-OrdersTable[[#This Row],[Discount Amount]]</f>
        <v>424.15</v>
      </c>
      <c r="V4796" s="77">
        <f>INDEX(Products!E:E,MATCH(OrdersTable[[#This Row],[Product ID]],Products!A:A,0))</f>
        <v>200</v>
      </c>
      <c r="W4796" s="77">
        <f>OrdersTable[[#This Row],[Quantity]]*OrdersTable[[#This Row],[Unit Cost]]</f>
        <v>200</v>
      </c>
      <c r="X4796" s="77">
        <f>'Dropdown Lists'!$I$2*(1+OrdersTable[[#This Row],[Returned]])</f>
        <v>60</v>
      </c>
      <c r="Y4796" s="76">
        <f>OrdersTable[[#This Row],[Net Revenue]]-OrdersTable[[#This Row],[COGS]]-OrdersTable[[#This Row],[Shipping Cost]]</f>
        <v>164.14999999999998</v>
      </c>
      <c r="Z4796" s="78">
        <f>IFERROR(OrdersTable[[#This Row],[Profit]]/OrdersTable[[#This Row],[Net Revenue]],0)</f>
        <v>0.38700931274313327</v>
      </c>
      <c r="AA4796" t="s">
        <v>18</v>
      </c>
      <c r="AB4796" s="79">
        <v>46018</v>
      </c>
      <c r="AC4796">
        <f>OrdersTable[[#This Row],[Delivery Date]]-OrdersTable[[#This Row],[Order Date]]</f>
        <v>1</v>
      </c>
      <c r="AD4796" t="str">
        <f>IF(OrdersTable[[#This Row],[Delivery Days]]&lt;=2, "Express (≤2d)", IF(OrdersTable[[#This Row],[Delivery Days]]&lt;=4, "Standard (3-4d)", "Delayed (5d+)"))</f>
        <v>Express (≤2d)</v>
      </c>
      <c r="AE4796">
        <v>4</v>
      </c>
      <c r="AF4796">
        <v>0</v>
      </c>
    </row>
    <row r="4797" spans="1:32" ht="15" x14ac:dyDescent="0.35">
      <c r="A4797" t="s">
        <v>5467</v>
      </c>
      <c r="B4797" s="1">
        <v>46017</v>
      </c>
      <c r="C4797">
        <f>YEAR(OrdersTable[[#This Row],[Order Date]])</f>
        <v>2025</v>
      </c>
      <c r="D4797" s="2">
        <f>DATE(YEAR(OrdersTable[[#This Row],[Order Date]]),MONTH(OrdersTable[[#This Row],[Order Date]]),1)</f>
        <v>45992</v>
      </c>
      <c r="E4797">
        <f>MONTH(OrdersTable[[#This Row],[Order Date]])</f>
        <v>12</v>
      </c>
      <c r="F4797" t="s">
        <v>5468</v>
      </c>
      <c r="G4797" t="str">
        <f>IF(OrdersTable[[#This Row],[Order Date]]=_xlfn.MINIFS(Order_Date, Customer_ID, OrdersTable[[#This Row],[Customer ID]]), "New", "Repeat")</f>
        <v>New</v>
      </c>
      <c r="H4797" t="s">
        <v>167</v>
      </c>
      <c r="I4797" t="str">
        <f>INDEX(State!B:B,MATCH(OrdersTable[[#This Row],[State]],State!A:A,0))</f>
        <v>KA</v>
      </c>
      <c r="J4797" t="str">
        <f>INDEX(State!C:C,MATCH(OrdersTable[[#This Row],[State Code]],State!B:B,0))</f>
        <v>South</v>
      </c>
      <c r="K4797" t="s">
        <v>168</v>
      </c>
      <c r="L4797" t="s">
        <v>16</v>
      </c>
      <c r="M4797" t="s">
        <v>176</v>
      </c>
      <c r="N4797" t="str">
        <f>INDEX(Products!B:B,MATCH(OrdersTable[[#This Row],[Product ID]],Products!A:A,0))</f>
        <v>Denim Jacket</v>
      </c>
      <c r="O4797" t="str">
        <f>INDEX(Products!C:C,MATCH(OrdersTable[[#This Row],[Product ID]],Products!A:A,0))</f>
        <v>Apparel</v>
      </c>
      <c r="P4797">
        <v>2</v>
      </c>
      <c r="Q4797" s="5">
        <v>2499</v>
      </c>
      <c r="R4797" s="74">
        <v>0</v>
      </c>
      <c r="S4797" s="75">
        <f>OrdersTable[[#This Row],[Quantity]]*OrdersTable[[#This Row],[Unit Price]]</f>
        <v>4998</v>
      </c>
      <c r="T4797" s="5">
        <f>OrdersTable[[#This Row],[Gross Sale]]*OrdersTable[[#This Row],[Discount_Clean2]]</f>
        <v>0</v>
      </c>
      <c r="U4797" s="5">
        <f>OrdersTable[[#This Row],[Gross Sale]]-OrdersTable[[#This Row],[Discount Amount]]</f>
        <v>4998</v>
      </c>
      <c r="V4797" s="77">
        <f>INDEX(Products!E:E,MATCH(OrdersTable[[#This Row],[Product ID]],Products!A:A,0))</f>
        <v>1125</v>
      </c>
      <c r="W4797" s="77">
        <f>OrdersTable[[#This Row],[Quantity]]*OrdersTable[[#This Row],[Unit Cost]]</f>
        <v>2250</v>
      </c>
      <c r="X4797" s="77">
        <f>'Dropdown Lists'!$I$2*(1+OrdersTable[[#This Row],[Returned]])</f>
        <v>60</v>
      </c>
      <c r="Y4797" s="76">
        <f>OrdersTable[[#This Row],[Net Revenue]]-OrdersTable[[#This Row],[COGS]]-OrdersTable[[#This Row],[Shipping Cost]]</f>
        <v>2688</v>
      </c>
      <c r="Z4797" s="78">
        <f>IFERROR(OrdersTable[[#This Row],[Profit]]/OrdersTable[[#This Row],[Net Revenue]],0)</f>
        <v>0.53781512605042014</v>
      </c>
      <c r="AA4797" t="s">
        <v>2522</v>
      </c>
      <c r="AB4797" s="79">
        <v>46018</v>
      </c>
      <c r="AC4797">
        <f>OrdersTable[[#This Row],[Delivery Date]]-OrdersTable[[#This Row],[Order Date]]</f>
        <v>1</v>
      </c>
      <c r="AD4797" t="str">
        <f>IF(OrdersTable[[#This Row],[Delivery Days]]&lt;=2, "Express (≤2d)", IF(OrdersTable[[#This Row],[Delivery Days]]&lt;=4, "Standard (3-4d)", "Delayed (5d+)"))</f>
        <v>Express (≤2d)</v>
      </c>
      <c r="AE4797">
        <v>5</v>
      </c>
      <c r="AF4797">
        <v>0</v>
      </c>
    </row>
    <row r="4798" spans="1:32" ht="15" x14ac:dyDescent="0.35">
      <c r="A4798" t="s">
        <v>2492</v>
      </c>
      <c r="B4798" s="1">
        <v>46017</v>
      </c>
      <c r="C4798">
        <f>YEAR(OrdersTable[[#This Row],[Order Date]])</f>
        <v>2025</v>
      </c>
      <c r="D4798" s="2">
        <f>DATE(YEAR(OrdersTable[[#This Row],[Order Date]]),MONTH(OrdersTable[[#This Row],[Order Date]]),1)</f>
        <v>45992</v>
      </c>
      <c r="E4798">
        <f>MONTH(OrdersTable[[#This Row],[Order Date]])</f>
        <v>12</v>
      </c>
      <c r="F4798" t="s">
        <v>181</v>
      </c>
      <c r="G4798" t="str">
        <f>IF(OrdersTable[[#This Row],[Order Date]]=_xlfn.MINIFS(Order_Date, Customer_ID, OrdersTable[[#This Row],[Customer ID]]), "New", "Repeat")</f>
        <v>Repeat</v>
      </c>
      <c r="H4798" t="s">
        <v>316</v>
      </c>
      <c r="I4798" t="str">
        <f>INDEX(State!B:B,MATCH(OrdersTable[[#This Row],[State]],State!A:A,0))</f>
        <v>KL</v>
      </c>
      <c r="J4798" t="str">
        <f>INDEX(State!C:C,MATCH(OrdersTable[[#This Row],[State Code]],State!B:B,0))</f>
        <v>South</v>
      </c>
      <c r="K4798" t="s">
        <v>338</v>
      </c>
      <c r="L4798" t="s">
        <v>16</v>
      </c>
      <c r="M4798" t="s">
        <v>34</v>
      </c>
      <c r="N4798" t="str">
        <f>INDEX(Products!B:B,MATCH(OrdersTable[[#This Row],[Product ID]],Products!A:A,0))</f>
        <v>Flip Flops</v>
      </c>
      <c r="O4798" t="str">
        <f>INDEX(Products!C:C,MATCH(OrdersTable[[#This Row],[Product ID]],Products!A:A,0))</f>
        <v>Footwear</v>
      </c>
      <c r="P4798">
        <v>1</v>
      </c>
      <c r="Q4798" s="5">
        <v>399</v>
      </c>
      <c r="R4798" s="74">
        <v>0.1</v>
      </c>
      <c r="S4798" s="75">
        <f>OrdersTable[[#This Row],[Quantity]]*OrdersTable[[#This Row],[Unit Price]]</f>
        <v>399</v>
      </c>
      <c r="T4798" s="5">
        <f>OrdersTable[[#This Row],[Gross Sale]]*OrdersTable[[#This Row],[Discount_Clean2]]</f>
        <v>39.900000000000006</v>
      </c>
      <c r="U4798" s="5">
        <f>OrdersTable[[#This Row],[Gross Sale]]-OrdersTable[[#This Row],[Discount Amount]]</f>
        <v>359.1</v>
      </c>
      <c r="V4798" s="77">
        <f>INDEX(Products!E:E,MATCH(OrdersTable[[#This Row],[Product ID]],Products!A:A,0))</f>
        <v>152</v>
      </c>
      <c r="W4798" s="77">
        <f>OrdersTable[[#This Row],[Quantity]]*OrdersTable[[#This Row],[Unit Cost]]</f>
        <v>152</v>
      </c>
      <c r="X4798" s="77">
        <f>'Dropdown Lists'!$I$2*(1+OrdersTable[[#This Row],[Returned]])</f>
        <v>60</v>
      </c>
      <c r="Y4798" s="76">
        <f>OrdersTable[[#This Row],[Net Revenue]]-OrdersTable[[#This Row],[COGS]]-OrdersTable[[#This Row],[Shipping Cost]]</f>
        <v>147.10000000000002</v>
      </c>
      <c r="Z4798" s="78">
        <f>IFERROR(OrdersTable[[#This Row],[Profit]]/OrdersTable[[#This Row],[Net Revenue]],0)</f>
        <v>0.40963519910888335</v>
      </c>
      <c r="AA4798" t="s">
        <v>18</v>
      </c>
      <c r="AB4798" s="79">
        <v>46018</v>
      </c>
      <c r="AC4798">
        <f>OrdersTable[[#This Row],[Delivery Date]]-OrdersTable[[#This Row],[Order Date]]</f>
        <v>1</v>
      </c>
      <c r="AD4798" t="str">
        <f>IF(OrdersTable[[#This Row],[Delivery Days]]&lt;=2, "Express (≤2d)", IF(OrdersTable[[#This Row],[Delivery Days]]&lt;=4, "Standard (3-4d)", "Delayed (5d+)"))</f>
        <v>Express (≤2d)</v>
      </c>
      <c r="AE4798">
        <v>5</v>
      </c>
      <c r="AF4798">
        <v>0</v>
      </c>
    </row>
    <row r="4799" spans="1:32" ht="15" x14ac:dyDescent="0.35">
      <c r="A4799" t="s">
        <v>6653</v>
      </c>
      <c r="B4799" s="1">
        <v>46017</v>
      </c>
      <c r="C4799">
        <f>YEAR(OrdersTable[[#This Row],[Order Date]])</f>
        <v>2025</v>
      </c>
      <c r="D4799" s="2">
        <f>DATE(YEAR(OrdersTable[[#This Row],[Order Date]]),MONTH(OrdersTable[[#This Row],[Order Date]]),1)</f>
        <v>45992</v>
      </c>
      <c r="E4799">
        <f>MONTH(OrdersTable[[#This Row],[Order Date]])</f>
        <v>12</v>
      </c>
      <c r="F4799" t="s">
        <v>1235</v>
      </c>
      <c r="G4799" t="str">
        <f>IF(OrdersTable[[#This Row],[Order Date]]=_xlfn.MINIFS(Order_Date, Customer_ID, OrdersTable[[#This Row],[Customer ID]]), "New", "Repeat")</f>
        <v>Repeat</v>
      </c>
      <c r="H4799" t="s">
        <v>59</v>
      </c>
      <c r="I4799" t="str">
        <f>INDEX(State!B:B,MATCH(OrdersTable[[#This Row],[State]],State!A:A,0))</f>
        <v>TN</v>
      </c>
      <c r="J4799" t="str">
        <f>INDEX(State!C:C,MATCH(OrdersTable[[#This Row],[State Code]],State!B:B,0))</f>
        <v>South</v>
      </c>
      <c r="K4799" t="s">
        <v>64</v>
      </c>
      <c r="L4799" t="s">
        <v>65</v>
      </c>
      <c r="M4799" t="s">
        <v>61</v>
      </c>
      <c r="N4799" t="str">
        <f>INDEX(Products!B:B,MATCH(OrdersTable[[#This Row],[Product ID]],Products!A:A,0))</f>
        <v>Multivitamin Gummies</v>
      </c>
      <c r="O4799" t="str">
        <f>INDEX(Products!C:C,MATCH(OrdersTable[[#This Row],[Product ID]],Products!A:A,0))</f>
        <v>Wellness</v>
      </c>
      <c r="P4799">
        <v>3</v>
      </c>
      <c r="Q4799" s="5">
        <v>699</v>
      </c>
      <c r="R4799" s="74">
        <v>0.2</v>
      </c>
      <c r="S4799" s="75">
        <f>OrdersTable[[#This Row],[Quantity]]*OrdersTable[[#This Row],[Unit Price]]</f>
        <v>2097</v>
      </c>
      <c r="T4799" s="5">
        <f>OrdersTable[[#This Row],[Gross Sale]]*OrdersTable[[#This Row],[Discount_Clean2]]</f>
        <v>419.40000000000003</v>
      </c>
      <c r="U4799" s="5">
        <f>OrdersTable[[#This Row],[Gross Sale]]-OrdersTable[[#This Row],[Discount Amount]]</f>
        <v>1677.6</v>
      </c>
      <c r="V4799" s="77">
        <f>INDEX(Products!E:E,MATCH(OrdersTable[[#This Row],[Product ID]],Products!A:A,0))</f>
        <v>238</v>
      </c>
      <c r="W4799" s="77">
        <f>OrdersTable[[#This Row],[Quantity]]*OrdersTable[[#This Row],[Unit Cost]]</f>
        <v>714</v>
      </c>
      <c r="X4799" s="77">
        <f>'Dropdown Lists'!$I$2*(1+OrdersTable[[#This Row],[Returned]])</f>
        <v>60</v>
      </c>
      <c r="Y4799" s="76">
        <f>OrdersTable[[#This Row],[Net Revenue]]-OrdersTable[[#This Row],[COGS]]-OrdersTable[[#This Row],[Shipping Cost]]</f>
        <v>903.59999999999991</v>
      </c>
      <c r="Z4799" s="78">
        <f>IFERROR(OrdersTable[[#This Row],[Profit]]/OrdersTable[[#This Row],[Net Revenue]],0)</f>
        <v>0.53862660944206009</v>
      </c>
      <c r="AA4799" t="s">
        <v>18</v>
      </c>
      <c r="AB4799" s="79">
        <v>46020</v>
      </c>
      <c r="AC4799">
        <f>OrdersTable[[#This Row],[Delivery Date]]-OrdersTable[[#This Row],[Order Date]]</f>
        <v>3</v>
      </c>
      <c r="AD4799" t="str">
        <f>IF(OrdersTable[[#This Row],[Delivery Days]]&lt;=2, "Express (≤2d)", IF(OrdersTable[[#This Row],[Delivery Days]]&lt;=4, "Standard (3-4d)", "Delayed (5d+)"))</f>
        <v>Standard (3-4d)</v>
      </c>
      <c r="AE4799">
        <v>5</v>
      </c>
      <c r="AF4799">
        <v>0</v>
      </c>
    </row>
    <row r="4800" spans="1:32" ht="15" x14ac:dyDescent="0.35">
      <c r="A4800" t="s">
        <v>5844</v>
      </c>
      <c r="B4800" s="1">
        <v>46018</v>
      </c>
      <c r="C4800">
        <f>YEAR(OrdersTable[[#This Row],[Order Date]])</f>
        <v>2025</v>
      </c>
      <c r="D4800" s="2">
        <f>DATE(YEAR(OrdersTable[[#This Row],[Order Date]]),MONTH(OrdersTable[[#This Row],[Order Date]]),1)</f>
        <v>45992</v>
      </c>
      <c r="E4800">
        <f>MONTH(OrdersTable[[#This Row],[Order Date]])</f>
        <v>12</v>
      </c>
      <c r="F4800" t="s">
        <v>5845</v>
      </c>
      <c r="G4800" t="str">
        <f>IF(OrdersTable[[#This Row],[Order Date]]=_xlfn.MINIFS(Order_Date, Customer_ID, OrdersTable[[#This Row],[Customer ID]]), "New", "Repeat")</f>
        <v>New</v>
      </c>
      <c r="H4800" t="s">
        <v>48</v>
      </c>
      <c r="I4800" t="str">
        <f>INDEX(State!B:B,MATCH(OrdersTable[[#This Row],[State]],State!A:A,0))</f>
        <v>HR</v>
      </c>
      <c r="J4800" t="str">
        <f>INDEX(State!C:C,MATCH(OrdersTable[[#This Row],[State Code]],State!B:B,0))</f>
        <v>North</v>
      </c>
      <c r="K4800" t="s">
        <v>49</v>
      </c>
      <c r="L4800" t="s">
        <v>39</v>
      </c>
      <c r="M4800" t="s">
        <v>73</v>
      </c>
      <c r="N4800" t="str">
        <f>INDEX(Products!B:B,MATCH(OrdersTable[[#This Row],[Product ID]],Products!A:A,0))</f>
        <v>Hydrating Face Wash</v>
      </c>
      <c r="O4800" t="str">
        <f>INDEX(Products!C:C,MATCH(OrdersTable[[#This Row],[Product ID]],Products!A:A,0))</f>
        <v>Skincare</v>
      </c>
      <c r="P4800">
        <v>2</v>
      </c>
      <c r="Q4800" s="5">
        <v>299</v>
      </c>
      <c r="R4800" s="74">
        <v>0.05</v>
      </c>
      <c r="S4800" s="75">
        <f>OrdersTable[[#This Row],[Quantity]]*OrdersTable[[#This Row],[Unit Price]]</f>
        <v>598</v>
      </c>
      <c r="T4800" s="5">
        <f>OrdersTable[[#This Row],[Gross Sale]]*OrdersTable[[#This Row],[Discount_Clean2]]</f>
        <v>29.900000000000002</v>
      </c>
      <c r="U4800" s="5">
        <f>OrdersTable[[#This Row],[Gross Sale]]-OrdersTable[[#This Row],[Discount Amount]]</f>
        <v>568.1</v>
      </c>
      <c r="V4800" s="77">
        <f>INDEX(Products!E:E,MATCH(OrdersTable[[#This Row],[Product ID]],Products!A:A,0))</f>
        <v>90</v>
      </c>
      <c r="W4800" s="77">
        <f>OrdersTable[[#This Row],[Quantity]]*OrdersTable[[#This Row],[Unit Cost]]</f>
        <v>180</v>
      </c>
      <c r="X4800" s="77">
        <f>'Dropdown Lists'!$I$2*(1+OrdersTable[[#This Row],[Returned]])</f>
        <v>60</v>
      </c>
      <c r="Y4800" s="76">
        <f>OrdersTable[[#This Row],[Net Revenue]]-OrdersTable[[#This Row],[COGS]]-OrdersTable[[#This Row],[Shipping Cost]]</f>
        <v>328.1</v>
      </c>
      <c r="Z4800" s="78">
        <f>IFERROR(OrdersTable[[#This Row],[Profit]]/OrdersTable[[#This Row],[Net Revenue]],0)</f>
        <v>0.57753916563985219</v>
      </c>
      <c r="AA4800" t="s">
        <v>18</v>
      </c>
      <c r="AB4800" s="79">
        <v>46020</v>
      </c>
      <c r="AC4800">
        <f>OrdersTable[[#This Row],[Delivery Date]]-OrdersTable[[#This Row],[Order Date]]</f>
        <v>2</v>
      </c>
      <c r="AD4800" t="str">
        <f>IF(OrdersTable[[#This Row],[Delivery Days]]&lt;=2, "Express (≤2d)", IF(OrdersTable[[#This Row],[Delivery Days]]&lt;=4, "Standard (3-4d)", "Delayed (5d+)"))</f>
        <v>Express (≤2d)</v>
      </c>
      <c r="AE4800">
        <v>5</v>
      </c>
      <c r="AF4800">
        <v>0</v>
      </c>
    </row>
    <row r="4801" spans="1:32" ht="15" x14ac:dyDescent="0.35">
      <c r="A4801" t="s">
        <v>3837</v>
      </c>
      <c r="B4801" s="1">
        <v>46018</v>
      </c>
      <c r="C4801">
        <f>YEAR(OrdersTable[[#This Row],[Order Date]])</f>
        <v>2025</v>
      </c>
      <c r="D4801" s="2">
        <f>DATE(YEAR(OrdersTable[[#This Row],[Order Date]]),MONTH(OrdersTable[[#This Row],[Order Date]]),1)</f>
        <v>45992</v>
      </c>
      <c r="E4801">
        <f>MONTH(OrdersTable[[#This Row],[Order Date]])</f>
        <v>12</v>
      </c>
      <c r="F4801" t="s">
        <v>575</v>
      </c>
      <c r="G4801" t="str">
        <f>IF(OrdersTable[[#This Row],[Order Date]]=_xlfn.MINIFS(Order_Date, Customer_ID, OrdersTable[[#This Row],[Customer ID]]), "New", "Repeat")</f>
        <v>Repeat</v>
      </c>
      <c r="H4801" t="s">
        <v>132</v>
      </c>
      <c r="I4801" t="str">
        <f>INDEX(State!B:B,MATCH(OrdersTable[[#This Row],[State]],State!A:A,0))</f>
        <v>AS</v>
      </c>
      <c r="J4801" t="str">
        <f>INDEX(State!C:C,MATCH(OrdersTable[[#This Row],[State Code]],State!B:B,0))</f>
        <v>East</v>
      </c>
      <c r="K4801" t="s">
        <v>133</v>
      </c>
      <c r="L4801" t="s">
        <v>50</v>
      </c>
      <c r="M4801" t="s">
        <v>66</v>
      </c>
      <c r="N4801" t="str">
        <f>INDEX(Products!B:B,MATCH(OrdersTable[[#This Row],[Product ID]],Products!A:A,0))</f>
        <v>Sunscreen SPF 50</v>
      </c>
      <c r="O4801" t="str">
        <f>INDEX(Products!C:C,MATCH(OrdersTable[[#This Row],[Product ID]],Products!A:A,0))</f>
        <v>Skincare</v>
      </c>
      <c r="P4801">
        <v>1</v>
      </c>
      <c r="Q4801" s="5">
        <v>449</v>
      </c>
      <c r="R4801" s="74">
        <v>0.1</v>
      </c>
      <c r="S4801" s="75">
        <f>OrdersTable[[#This Row],[Quantity]]*OrdersTable[[#This Row],[Unit Price]]</f>
        <v>449</v>
      </c>
      <c r="T4801" s="5">
        <f>OrdersTable[[#This Row],[Gross Sale]]*OrdersTable[[#This Row],[Discount_Clean2]]</f>
        <v>44.900000000000006</v>
      </c>
      <c r="U4801" s="5">
        <f>OrdersTable[[#This Row],[Gross Sale]]-OrdersTable[[#This Row],[Discount Amount]]</f>
        <v>404.1</v>
      </c>
      <c r="V4801" s="77">
        <f>INDEX(Products!E:E,MATCH(OrdersTable[[#This Row],[Product ID]],Products!A:A,0))</f>
        <v>144</v>
      </c>
      <c r="W4801" s="77">
        <f>OrdersTable[[#This Row],[Quantity]]*OrdersTable[[#This Row],[Unit Cost]]</f>
        <v>144</v>
      </c>
      <c r="X4801" s="77">
        <f>'Dropdown Lists'!$I$2*(1+OrdersTable[[#This Row],[Returned]])</f>
        <v>60</v>
      </c>
      <c r="Y4801" s="76">
        <f>OrdersTable[[#This Row],[Net Revenue]]-OrdersTable[[#This Row],[COGS]]-OrdersTable[[#This Row],[Shipping Cost]]</f>
        <v>200.10000000000002</v>
      </c>
      <c r="Z4801" s="78">
        <f>IFERROR(OrdersTable[[#This Row],[Profit]]/OrdersTable[[#This Row],[Net Revenue]],0)</f>
        <v>0.4951744617668894</v>
      </c>
      <c r="AA4801" t="s">
        <v>3495</v>
      </c>
      <c r="AB4801" s="79">
        <v>46025</v>
      </c>
      <c r="AC4801">
        <f>OrdersTable[[#This Row],[Delivery Date]]-OrdersTable[[#This Row],[Order Date]]</f>
        <v>7</v>
      </c>
      <c r="AD4801" t="str">
        <f>IF(OrdersTable[[#This Row],[Delivery Days]]&lt;=2, "Express (≤2d)", IF(OrdersTable[[#This Row],[Delivery Days]]&lt;=4, "Standard (3-4d)", "Delayed (5d+)"))</f>
        <v>Delayed (5d+)</v>
      </c>
      <c r="AF4801">
        <v>0</v>
      </c>
    </row>
    <row r="4802" spans="1:32" ht="15" x14ac:dyDescent="0.35">
      <c r="A4802" t="s">
        <v>4447</v>
      </c>
      <c r="B4802" s="1">
        <v>46018</v>
      </c>
      <c r="C4802">
        <f>YEAR(OrdersTable[[#This Row],[Order Date]])</f>
        <v>2025</v>
      </c>
      <c r="D4802" s="2">
        <f>DATE(YEAR(OrdersTable[[#This Row],[Order Date]]),MONTH(OrdersTable[[#This Row],[Order Date]]),1)</f>
        <v>45992</v>
      </c>
      <c r="E4802">
        <f>MONTH(OrdersTable[[#This Row],[Order Date]])</f>
        <v>12</v>
      </c>
      <c r="F4802" t="s">
        <v>1887</v>
      </c>
      <c r="G4802" t="str">
        <f>IF(OrdersTable[[#This Row],[Order Date]]=_xlfn.MINIFS(Order_Date, Customer_ID, OrdersTable[[#This Row],[Customer ID]]), "New", "Repeat")</f>
        <v>Repeat</v>
      </c>
      <c r="H4802" t="s">
        <v>132</v>
      </c>
      <c r="I4802" t="str">
        <f>INDEX(State!B:B,MATCH(OrdersTable[[#This Row],[State]],State!A:A,0))</f>
        <v>AS</v>
      </c>
      <c r="J4802" t="str">
        <f>INDEX(State!C:C,MATCH(OrdersTable[[#This Row],[State Code]],State!B:B,0))</f>
        <v>East</v>
      </c>
      <c r="K4802" t="s">
        <v>133</v>
      </c>
      <c r="L4802" t="s">
        <v>50</v>
      </c>
      <c r="M4802" t="s">
        <v>51</v>
      </c>
      <c r="N4802" t="str">
        <f>INDEX(Products!B:B,MATCH(OrdersTable[[#This Row],[Product ID]],Products!A:A,0))</f>
        <v>Anti-Dandruff Conditioner</v>
      </c>
      <c r="O4802" t="str">
        <f>INDEX(Products!C:C,MATCH(OrdersTable[[#This Row],[Product ID]],Products!A:A,0))</f>
        <v>Haircare</v>
      </c>
      <c r="P4802">
        <v>1</v>
      </c>
      <c r="Q4802" s="5">
        <v>399</v>
      </c>
      <c r="R4802" s="74">
        <v>0.45</v>
      </c>
      <c r="S4802" s="75">
        <f>OrdersTable[[#This Row],[Quantity]]*OrdersTable[[#This Row],[Unit Price]]</f>
        <v>399</v>
      </c>
      <c r="T4802" s="5">
        <f>OrdersTable[[#This Row],[Gross Sale]]*OrdersTable[[#This Row],[Discount_Clean2]]</f>
        <v>179.55</v>
      </c>
      <c r="U4802" s="5">
        <f>OrdersTable[[#This Row],[Gross Sale]]-OrdersTable[[#This Row],[Discount Amount]]</f>
        <v>219.45</v>
      </c>
      <c r="V4802" s="77">
        <f>INDEX(Products!E:E,MATCH(OrdersTable[[#This Row],[Product ID]],Products!A:A,0))</f>
        <v>136</v>
      </c>
      <c r="W4802" s="77">
        <f>OrdersTable[[#This Row],[Quantity]]*OrdersTable[[#This Row],[Unit Cost]]</f>
        <v>136</v>
      </c>
      <c r="X4802" s="77">
        <f>'Dropdown Lists'!$I$2*(1+OrdersTable[[#This Row],[Returned]])</f>
        <v>60</v>
      </c>
      <c r="Y4802" s="76">
        <f>OrdersTable[[#This Row],[Net Revenue]]-OrdersTable[[#This Row],[COGS]]-OrdersTable[[#This Row],[Shipping Cost]]</f>
        <v>23.449999999999989</v>
      </c>
      <c r="Z4802" s="78">
        <f>IFERROR(OrdersTable[[#This Row],[Profit]]/OrdersTable[[#This Row],[Net Revenue]],0)</f>
        <v>0.10685805422647524</v>
      </c>
      <c r="AA4802" t="s">
        <v>4074</v>
      </c>
      <c r="AB4802" s="79">
        <v>46024</v>
      </c>
      <c r="AC4802">
        <f>OrdersTable[[#This Row],[Delivery Date]]-OrdersTable[[#This Row],[Order Date]]</f>
        <v>6</v>
      </c>
      <c r="AD4802" t="str">
        <f>IF(OrdersTable[[#This Row],[Delivery Days]]&lt;=2, "Express (≤2d)", IF(OrdersTable[[#This Row],[Delivery Days]]&lt;=4, "Standard (3-4d)", "Delayed (5d+)"))</f>
        <v>Delayed (5d+)</v>
      </c>
      <c r="AE4802">
        <v>4</v>
      </c>
      <c r="AF4802">
        <v>0</v>
      </c>
    </row>
    <row r="4803" spans="1:32" ht="15" x14ac:dyDescent="0.35">
      <c r="A4803" t="s">
        <v>6654</v>
      </c>
      <c r="B4803" s="1">
        <v>46018</v>
      </c>
      <c r="C4803">
        <f>YEAR(OrdersTable[[#This Row],[Order Date]])</f>
        <v>2025</v>
      </c>
      <c r="D4803" s="2">
        <f>DATE(YEAR(OrdersTable[[#This Row],[Order Date]]),MONTH(OrdersTable[[#This Row],[Order Date]]),1)</f>
        <v>45992</v>
      </c>
      <c r="E4803">
        <f>MONTH(OrdersTable[[#This Row],[Order Date]])</f>
        <v>12</v>
      </c>
      <c r="F4803" t="s">
        <v>2587</v>
      </c>
      <c r="G4803" t="str">
        <f>IF(OrdersTable[[#This Row],[Order Date]]=_xlfn.MINIFS(Order_Date, Customer_ID, OrdersTable[[#This Row],[Customer ID]]), "New", "Repeat")</f>
        <v>Repeat</v>
      </c>
      <c r="H4803" t="s">
        <v>14</v>
      </c>
      <c r="I4803" t="str">
        <f>INDEX(State!B:B,MATCH(OrdersTable[[#This Row],[State]],State!A:A,0))</f>
        <v>OD</v>
      </c>
      <c r="J4803" t="str">
        <f>INDEX(State!C:C,MATCH(OrdersTable[[#This Row],[State Code]],State!B:B,0))</f>
        <v>East</v>
      </c>
      <c r="K4803" t="s">
        <v>15</v>
      </c>
      <c r="L4803" t="s">
        <v>23</v>
      </c>
      <c r="M4803" t="s">
        <v>109</v>
      </c>
      <c r="N4803" t="str">
        <f>INDEX(Products!B:B,MATCH(OrdersTable[[#This Row],[Product ID]],Products!A:A,0))</f>
        <v>Onion Hair Oil</v>
      </c>
      <c r="O4803" t="str">
        <f>INDEX(Products!C:C,MATCH(OrdersTable[[#This Row],[Product ID]],Products!A:A,0))</f>
        <v>Haircare</v>
      </c>
      <c r="P4803">
        <v>3</v>
      </c>
      <c r="Q4803" s="5">
        <v>349</v>
      </c>
      <c r="R4803" s="74">
        <v>0.3</v>
      </c>
      <c r="S4803" s="75">
        <f>OrdersTable[[#This Row],[Quantity]]*OrdersTable[[#This Row],[Unit Price]]</f>
        <v>1047</v>
      </c>
      <c r="T4803" s="5">
        <f>OrdersTable[[#This Row],[Gross Sale]]*OrdersTable[[#This Row],[Discount_Clean2]]</f>
        <v>314.09999999999997</v>
      </c>
      <c r="U4803" s="5">
        <f>OrdersTable[[#This Row],[Gross Sale]]-OrdersTable[[#This Row],[Discount Amount]]</f>
        <v>732.90000000000009</v>
      </c>
      <c r="V4803" s="77">
        <f>INDEX(Products!E:E,MATCH(OrdersTable[[#This Row],[Product ID]],Products!A:A,0))</f>
        <v>105</v>
      </c>
      <c r="W4803" s="77">
        <f>OrdersTable[[#This Row],[Quantity]]*OrdersTable[[#This Row],[Unit Cost]]</f>
        <v>315</v>
      </c>
      <c r="X4803" s="77">
        <f>'Dropdown Lists'!$I$2*(1+OrdersTable[[#This Row],[Returned]])</f>
        <v>60</v>
      </c>
      <c r="Y4803" s="76">
        <f>OrdersTable[[#This Row],[Net Revenue]]-OrdersTable[[#This Row],[COGS]]-OrdersTable[[#This Row],[Shipping Cost]]</f>
        <v>357.90000000000009</v>
      </c>
      <c r="Z4803" s="78">
        <f>IFERROR(OrdersTable[[#This Row],[Profit]]/OrdersTable[[#This Row],[Net Revenue]],0)</f>
        <v>0.48833401555464601</v>
      </c>
      <c r="AA4803" t="s">
        <v>18</v>
      </c>
      <c r="AB4803" s="79">
        <v>46022</v>
      </c>
      <c r="AC4803">
        <f>OrdersTable[[#This Row],[Delivery Date]]-OrdersTable[[#This Row],[Order Date]]</f>
        <v>4</v>
      </c>
      <c r="AD4803" t="str">
        <f>IF(OrdersTable[[#This Row],[Delivery Days]]&lt;=2, "Express (≤2d)", IF(OrdersTable[[#This Row],[Delivery Days]]&lt;=4, "Standard (3-4d)", "Delayed (5d+)"))</f>
        <v>Standard (3-4d)</v>
      </c>
      <c r="AE4803">
        <v>4</v>
      </c>
      <c r="AF4803">
        <v>0</v>
      </c>
    </row>
    <row r="4804" spans="1:32" ht="15" x14ac:dyDescent="0.35">
      <c r="A4804" t="s">
        <v>2192</v>
      </c>
      <c r="B4804" s="1">
        <v>46018</v>
      </c>
      <c r="C4804">
        <f>YEAR(OrdersTable[[#This Row],[Order Date]])</f>
        <v>2025</v>
      </c>
      <c r="D4804" s="2">
        <f>DATE(YEAR(OrdersTable[[#This Row],[Order Date]]),MONTH(OrdersTable[[#This Row],[Order Date]]),1)</f>
        <v>45992</v>
      </c>
      <c r="E4804">
        <f>MONTH(OrdersTable[[#This Row],[Order Date]])</f>
        <v>12</v>
      </c>
      <c r="F4804" t="s">
        <v>798</v>
      </c>
      <c r="G4804" t="str">
        <f>IF(OrdersTable[[#This Row],[Order Date]]=_xlfn.MINIFS(Order_Date, Customer_ID, OrdersTable[[#This Row],[Customer ID]]), "New", "Repeat")</f>
        <v>Repeat</v>
      </c>
      <c r="H4804" t="s">
        <v>275</v>
      </c>
      <c r="I4804" t="str">
        <f>INDEX(State!B:B,MATCH(OrdersTable[[#This Row],[State]],State!A:A,0))</f>
        <v>AP</v>
      </c>
      <c r="J4804" t="str">
        <f>INDEX(State!C:C,MATCH(OrdersTable[[#This Row],[State Code]],State!B:B,0))</f>
        <v>South</v>
      </c>
      <c r="K4804" t="s">
        <v>276</v>
      </c>
      <c r="L4804" t="s">
        <v>65</v>
      </c>
      <c r="M4804" t="s">
        <v>109</v>
      </c>
      <c r="N4804" t="str">
        <f>INDEX(Products!B:B,MATCH(OrdersTable[[#This Row],[Product ID]],Products!A:A,0))</f>
        <v>Onion Hair Oil</v>
      </c>
      <c r="O4804" t="str">
        <f>INDEX(Products!C:C,MATCH(OrdersTable[[#This Row],[Product ID]],Products!A:A,0))</f>
        <v>Haircare</v>
      </c>
      <c r="P4804">
        <v>1</v>
      </c>
      <c r="Q4804" s="5">
        <v>349</v>
      </c>
      <c r="R4804" s="74">
        <v>0.3</v>
      </c>
      <c r="S4804" s="75">
        <f>OrdersTable[[#This Row],[Quantity]]*OrdersTable[[#This Row],[Unit Price]]</f>
        <v>349</v>
      </c>
      <c r="T4804" s="5">
        <f>OrdersTable[[#This Row],[Gross Sale]]*OrdersTable[[#This Row],[Discount_Clean2]]</f>
        <v>104.7</v>
      </c>
      <c r="U4804" s="5">
        <f>OrdersTable[[#This Row],[Gross Sale]]-OrdersTable[[#This Row],[Discount Amount]]</f>
        <v>244.3</v>
      </c>
      <c r="V4804" s="77">
        <f>INDEX(Products!E:E,MATCH(OrdersTable[[#This Row],[Product ID]],Products!A:A,0))</f>
        <v>105</v>
      </c>
      <c r="W4804" s="77">
        <f>OrdersTable[[#This Row],[Quantity]]*OrdersTable[[#This Row],[Unit Cost]]</f>
        <v>105</v>
      </c>
      <c r="X4804" s="77">
        <f>'Dropdown Lists'!$I$2*(1+OrdersTable[[#This Row],[Returned]])</f>
        <v>60</v>
      </c>
      <c r="Y4804" s="76">
        <f>OrdersTable[[#This Row],[Net Revenue]]-OrdersTable[[#This Row],[COGS]]-OrdersTable[[#This Row],[Shipping Cost]]</f>
        <v>79.300000000000011</v>
      </c>
      <c r="Z4804" s="78">
        <f>IFERROR(OrdersTable[[#This Row],[Profit]]/OrdersTable[[#This Row],[Net Revenue]],0)</f>
        <v>0.32460090053213264</v>
      </c>
      <c r="AA4804" t="s">
        <v>18</v>
      </c>
      <c r="AB4804" s="79">
        <v>46021</v>
      </c>
      <c r="AC4804">
        <f>OrdersTable[[#This Row],[Delivery Date]]-OrdersTable[[#This Row],[Order Date]]</f>
        <v>3</v>
      </c>
      <c r="AD4804" t="str">
        <f>IF(OrdersTable[[#This Row],[Delivery Days]]&lt;=2, "Express (≤2d)", IF(OrdersTable[[#This Row],[Delivery Days]]&lt;=4, "Standard (3-4d)", "Delayed (5d+)"))</f>
        <v>Standard (3-4d)</v>
      </c>
      <c r="AE4804">
        <v>3</v>
      </c>
      <c r="AF4804">
        <v>0</v>
      </c>
    </row>
    <row r="4805" spans="1:32" ht="15" x14ac:dyDescent="0.35">
      <c r="A4805" t="s">
        <v>4061</v>
      </c>
      <c r="B4805" s="1">
        <v>46018</v>
      </c>
      <c r="C4805">
        <f>YEAR(OrdersTable[[#This Row],[Order Date]])</f>
        <v>2025</v>
      </c>
      <c r="D4805" s="2">
        <f>DATE(YEAR(OrdersTable[[#This Row],[Order Date]]),MONTH(OrdersTable[[#This Row],[Order Date]]),1)</f>
        <v>45992</v>
      </c>
      <c r="E4805">
        <f>MONTH(OrdersTable[[#This Row],[Order Date]])</f>
        <v>12</v>
      </c>
      <c r="F4805" t="s">
        <v>286</v>
      </c>
      <c r="G4805" t="str">
        <f>IF(OrdersTable[[#This Row],[Order Date]]=_xlfn.MINIFS(Order_Date, Customer_ID, OrdersTable[[#This Row],[Customer ID]]), "New", "Repeat")</f>
        <v>Repeat</v>
      </c>
      <c r="H4805" t="s">
        <v>59</v>
      </c>
      <c r="I4805" t="str">
        <f>INDEX(State!B:B,MATCH(OrdersTable[[#This Row],[State]],State!A:A,0))</f>
        <v>TN</v>
      </c>
      <c r="J4805" t="str">
        <f>INDEX(State!C:C,MATCH(OrdersTable[[#This Row],[State Code]],State!B:B,0))</f>
        <v>South</v>
      </c>
      <c r="K4805" t="s">
        <v>64</v>
      </c>
      <c r="L4805" t="s">
        <v>16</v>
      </c>
      <c r="M4805" t="s">
        <v>17</v>
      </c>
      <c r="N4805" t="str">
        <f>INDEX(Products!B:B,MATCH(OrdersTable[[#This Row],[Product ID]],Products!A:A,0))</f>
        <v>Casual Sneakers</v>
      </c>
      <c r="O4805" t="str">
        <f>INDEX(Products!C:C,MATCH(OrdersTable[[#This Row],[Product ID]],Products!A:A,0))</f>
        <v>Footwear</v>
      </c>
      <c r="P4805">
        <v>1</v>
      </c>
      <c r="Q4805" s="5">
        <v>2199</v>
      </c>
      <c r="R4805" s="74">
        <v>0.2</v>
      </c>
      <c r="S4805" s="75">
        <f>OrdersTable[[#This Row],[Quantity]]*OrdersTable[[#This Row],[Unit Price]]</f>
        <v>2199</v>
      </c>
      <c r="T4805" s="5">
        <f>OrdersTable[[#This Row],[Gross Sale]]*OrdersTable[[#This Row],[Discount_Clean2]]</f>
        <v>439.8</v>
      </c>
      <c r="U4805" s="5">
        <f>OrdersTable[[#This Row],[Gross Sale]]-OrdersTable[[#This Row],[Discount Amount]]</f>
        <v>1759.2</v>
      </c>
      <c r="V4805" s="77">
        <f>INDEX(Products!E:E,MATCH(OrdersTable[[#This Row],[Product ID]],Products!A:A,0))</f>
        <v>1034</v>
      </c>
      <c r="W4805" s="77">
        <f>OrdersTable[[#This Row],[Quantity]]*OrdersTable[[#This Row],[Unit Cost]]</f>
        <v>1034</v>
      </c>
      <c r="X4805" s="77">
        <f>'Dropdown Lists'!$I$2*(1+OrdersTable[[#This Row],[Returned]])</f>
        <v>60</v>
      </c>
      <c r="Y4805" s="76">
        <f>OrdersTable[[#This Row],[Net Revenue]]-OrdersTable[[#This Row],[COGS]]-OrdersTable[[#This Row],[Shipping Cost]]</f>
        <v>665.2</v>
      </c>
      <c r="Z4805" s="78">
        <f>IFERROR(OrdersTable[[#This Row],[Profit]]/OrdersTable[[#This Row],[Net Revenue]],0)</f>
        <v>0.37812642110050027</v>
      </c>
      <c r="AA4805" t="s">
        <v>3495</v>
      </c>
      <c r="AB4805" s="79">
        <v>46020</v>
      </c>
      <c r="AC4805">
        <f>OrdersTable[[#This Row],[Delivery Date]]-OrdersTable[[#This Row],[Order Date]]</f>
        <v>2</v>
      </c>
      <c r="AD4805" t="str">
        <f>IF(OrdersTable[[#This Row],[Delivery Days]]&lt;=2, "Express (≤2d)", IF(OrdersTable[[#This Row],[Delivery Days]]&lt;=4, "Standard (3-4d)", "Delayed (5d+)"))</f>
        <v>Express (≤2d)</v>
      </c>
      <c r="AE4805">
        <v>5</v>
      </c>
      <c r="AF4805">
        <v>0</v>
      </c>
    </row>
    <row r="4806" spans="1:32" ht="15" x14ac:dyDescent="0.35">
      <c r="A4806" t="s">
        <v>4207</v>
      </c>
      <c r="B4806" s="1">
        <v>46019</v>
      </c>
      <c r="C4806">
        <f>YEAR(OrdersTable[[#This Row],[Order Date]])</f>
        <v>2025</v>
      </c>
      <c r="D4806" s="2">
        <f>DATE(YEAR(OrdersTable[[#This Row],[Order Date]]),MONTH(OrdersTable[[#This Row],[Order Date]]),1)</f>
        <v>45992</v>
      </c>
      <c r="E4806">
        <f>MONTH(OrdersTable[[#This Row],[Order Date]])</f>
        <v>12</v>
      </c>
      <c r="F4806" t="s">
        <v>4208</v>
      </c>
      <c r="G4806" t="str">
        <f>IF(OrdersTable[[#This Row],[Order Date]]=_xlfn.MINIFS(Order_Date, Customer_ID, OrdersTable[[#This Row],[Customer ID]]), "New", "Repeat")</f>
        <v>Repeat</v>
      </c>
      <c r="H4806" t="s">
        <v>54</v>
      </c>
      <c r="I4806" t="str">
        <f>INDEX(State!B:B,MATCH(OrdersTable[[#This Row],[State]],State!A:A,0))</f>
        <v>RJ</v>
      </c>
      <c r="J4806" t="str">
        <f>INDEX(State!C:C,MATCH(OrdersTable[[#This Row],[State Code]],State!B:B,0))</f>
        <v>North</v>
      </c>
      <c r="K4806" t="s">
        <v>227</v>
      </c>
      <c r="L4806" t="s">
        <v>16</v>
      </c>
      <c r="M4806" t="s">
        <v>34</v>
      </c>
      <c r="N4806" t="str">
        <f>INDEX(Products!B:B,MATCH(OrdersTable[[#This Row],[Product ID]],Products!A:A,0))</f>
        <v>Flip Flops</v>
      </c>
      <c r="O4806" t="str">
        <f>INDEX(Products!C:C,MATCH(OrdersTable[[#This Row],[Product ID]],Products!A:A,0))</f>
        <v>Footwear</v>
      </c>
      <c r="P4806">
        <v>1</v>
      </c>
      <c r="Q4806" s="5">
        <v>399</v>
      </c>
      <c r="R4806" s="74">
        <v>0.1</v>
      </c>
      <c r="S4806" s="75">
        <f>OrdersTable[[#This Row],[Quantity]]*OrdersTable[[#This Row],[Unit Price]]</f>
        <v>399</v>
      </c>
      <c r="T4806" s="5">
        <f>OrdersTable[[#This Row],[Gross Sale]]*OrdersTable[[#This Row],[Discount_Clean2]]</f>
        <v>39.900000000000006</v>
      </c>
      <c r="U4806" s="5">
        <f>OrdersTable[[#This Row],[Gross Sale]]-OrdersTable[[#This Row],[Discount Amount]]</f>
        <v>359.1</v>
      </c>
      <c r="V4806" s="77">
        <f>INDEX(Products!E:E,MATCH(OrdersTable[[#This Row],[Product ID]],Products!A:A,0))</f>
        <v>152</v>
      </c>
      <c r="W4806" s="77">
        <f>OrdersTable[[#This Row],[Quantity]]*OrdersTable[[#This Row],[Unit Cost]]</f>
        <v>152</v>
      </c>
      <c r="X4806" s="77">
        <f>'Dropdown Lists'!$I$2*(1+OrdersTable[[#This Row],[Returned]])</f>
        <v>60</v>
      </c>
      <c r="Y4806" s="76">
        <f>OrdersTable[[#This Row],[Net Revenue]]-OrdersTable[[#This Row],[COGS]]-OrdersTable[[#This Row],[Shipping Cost]]</f>
        <v>147.10000000000002</v>
      </c>
      <c r="Z4806" s="78">
        <f>IFERROR(OrdersTable[[#This Row],[Profit]]/OrdersTable[[#This Row],[Net Revenue]],0)</f>
        <v>0.40963519910888335</v>
      </c>
      <c r="AA4806" t="s">
        <v>4074</v>
      </c>
      <c r="AB4806" s="79">
        <v>46023</v>
      </c>
      <c r="AC4806">
        <f>OrdersTable[[#This Row],[Delivery Date]]-OrdersTable[[#This Row],[Order Date]]</f>
        <v>4</v>
      </c>
      <c r="AD4806" t="str">
        <f>IF(OrdersTable[[#This Row],[Delivery Days]]&lt;=2, "Express (≤2d)", IF(OrdersTable[[#This Row],[Delivery Days]]&lt;=4, "Standard (3-4d)", "Delayed (5d+)"))</f>
        <v>Standard (3-4d)</v>
      </c>
      <c r="AE4806">
        <v>3</v>
      </c>
      <c r="AF4806">
        <v>0</v>
      </c>
    </row>
    <row r="4807" spans="1:32" ht="15" x14ac:dyDescent="0.35">
      <c r="A4807" t="s">
        <v>6933</v>
      </c>
      <c r="B4807" s="1">
        <v>46019</v>
      </c>
      <c r="C4807">
        <f>YEAR(OrdersTable[[#This Row],[Order Date]])</f>
        <v>2025</v>
      </c>
      <c r="D4807" s="2">
        <f>DATE(YEAR(OrdersTable[[#This Row],[Order Date]]),MONTH(OrdersTable[[#This Row],[Order Date]]),1)</f>
        <v>45992</v>
      </c>
      <c r="E4807">
        <f>MONTH(OrdersTable[[#This Row],[Order Date]])</f>
        <v>12</v>
      </c>
      <c r="F4807" t="s">
        <v>6071</v>
      </c>
      <c r="G4807" t="str">
        <f>IF(OrdersTable[[#This Row],[Order Date]]=_xlfn.MINIFS(Order_Date, Customer_ID, OrdersTable[[#This Row],[Customer ID]]), "New", "Repeat")</f>
        <v>Repeat</v>
      </c>
      <c r="H4807" t="s">
        <v>32</v>
      </c>
      <c r="I4807" t="str">
        <f>INDEX(State!B:B,MATCH(OrdersTable[[#This Row],[State]],State!A:A,0))</f>
        <v>BR</v>
      </c>
      <c r="J4807" t="str">
        <f>INDEX(State!C:C,MATCH(OrdersTable[[#This Row],[State Code]],State!B:B,0))</f>
        <v>East</v>
      </c>
      <c r="K4807" t="s">
        <v>33</v>
      </c>
      <c r="L4807" t="s">
        <v>65</v>
      </c>
      <c r="M4807" t="s">
        <v>66</v>
      </c>
      <c r="N4807" t="str">
        <f>INDEX(Products!B:B,MATCH(OrdersTable[[#This Row],[Product ID]],Products!A:A,0))</f>
        <v>Sunscreen SPF 50</v>
      </c>
      <c r="O4807" t="str">
        <f>INDEX(Products!C:C,MATCH(OrdersTable[[#This Row],[Product ID]],Products!A:A,0))</f>
        <v>Skincare</v>
      </c>
      <c r="P4807">
        <v>3</v>
      </c>
      <c r="Q4807" s="5">
        <v>449</v>
      </c>
      <c r="R4807" s="74">
        <v>0.15</v>
      </c>
      <c r="S4807" s="75">
        <f>OrdersTable[[#This Row],[Quantity]]*OrdersTable[[#This Row],[Unit Price]]</f>
        <v>1347</v>
      </c>
      <c r="T4807" s="5">
        <f>OrdersTable[[#This Row],[Gross Sale]]*OrdersTable[[#This Row],[Discount_Clean2]]</f>
        <v>202.04999999999998</v>
      </c>
      <c r="U4807" s="5">
        <f>OrdersTable[[#This Row],[Gross Sale]]-OrdersTable[[#This Row],[Discount Amount]]</f>
        <v>1144.95</v>
      </c>
      <c r="V4807" s="77">
        <f>INDEX(Products!E:E,MATCH(OrdersTable[[#This Row],[Product ID]],Products!A:A,0))</f>
        <v>144</v>
      </c>
      <c r="W4807" s="77">
        <f>OrdersTable[[#This Row],[Quantity]]*OrdersTable[[#This Row],[Unit Cost]]</f>
        <v>432</v>
      </c>
      <c r="X4807" s="77">
        <f>'Dropdown Lists'!$I$2*(1+OrdersTable[[#This Row],[Returned]])</f>
        <v>60</v>
      </c>
      <c r="Y4807" s="76">
        <f>OrdersTable[[#This Row],[Net Revenue]]-OrdersTable[[#This Row],[COGS]]-OrdersTable[[#This Row],[Shipping Cost]]</f>
        <v>652.95000000000005</v>
      </c>
      <c r="Z4807" s="78">
        <f>IFERROR(OrdersTable[[#This Row],[Profit]]/OrdersTable[[#This Row],[Net Revenue]],0)</f>
        <v>0.57028691209223115</v>
      </c>
      <c r="AA4807" t="s">
        <v>4074</v>
      </c>
      <c r="AB4807" s="79">
        <v>46026</v>
      </c>
      <c r="AC4807">
        <f>OrdersTable[[#This Row],[Delivery Date]]-OrdersTable[[#This Row],[Order Date]]</f>
        <v>7</v>
      </c>
      <c r="AD4807" t="str">
        <f>IF(OrdersTable[[#This Row],[Delivery Days]]&lt;=2, "Express (≤2d)", IF(OrdersTable[[#This Row],[Delivery Days]]&lt;=4, "Standard (3-4d)", "Delayed (5d+)"))</f>
        <v>Delayed (5d+)</v>
      </c>
      <c r="AE4807">
        <v>3</v>
      </c>
      <c r="AF4807">
        <v>0</v>
      </c>
    </row>
    <row r="4808" spans="1:32" ht="15" x14ac:dyDescent="0.35">
      <c r="A4808" t="s">
        <v>3699</v>
      </c>
      <c r="B4808" s="1">
        <v>46019</v>
      </c>
      <c r="C4808">
        <f>YEAR(OrdersTable[[#This Row],[Order Date]])</f>
        <v>2025</v>
      </c>
      <c r="D4808" s="2">
        <f>DATE(YEAR(OrdersTable[[#This Row],[Order Date]]),MONTH(OrdersTable[[#This Row],[Order Date]]),1)</f>
        <v>45992</v>
      </c>
      <c r="E4808">
        <f>MONTH(OrdersTable[[#This Row],[Order Date]])</f>
        <v>12</v>
      </c>
      <c r="F4808" t="s">
        <v>3700</v>
      </c>
      <c r="G4808" t="str">
        <f>IF(OrdersTable[[#This Row],[Order Date]]=_xlfn.MINIFS(Order_Date, Customer_ID, OrdersTable[[#This Row],[Customer ID]]), "New", "Repeat")</f>
        <v>New</v>
      </c>
      <c r="H4808" t="s">
        <v>132</v>
      </c>
      <c r="I4808" t="str">
        <f>INDEX(State!B:B,MATCH(OrdersTable[[#This Row],[State]],State!A:A,0))</f>
        <v>AS</v>
      </c>
      <c r="J4808" t="str">
        <f>INDEX(State!C:C,MATCH(OrdersTable[[#This Row],[State Code]],State!B:B,0))</f>
        <v>East</v>
      </c>
      <c r="K4808" t="s">
        <v>133</v>
      </c>
      <c r="L4808" t="s">
        <v>65</v>
      </c>
      <c r="M4808" t="s">
        <v>179</v>
      </c>
      <c r="N4808" t="str">
        <f>INDEX(Products!B:B,MATCH(OrdersTable[[#This Row],[Product ID]],Products!A:A,0))</f>
        <v>Whey Protein 1kg</v>
      </c>
      <c r="O4808" t="str">
        <f>INDEX(Products!C:C,MATCH(OrdersTable[[#This Row],[Product ID]],Products!A:A,0))</f>
        <v>Wellness</v>
      </c>
      <c r="P4808">
        <v>1</v>
      </c>
      <c r="Q4808" s="5">
        <v>2299</v>
      </c>
      <c r="R4808" s="74">
        <v>0.35</v>
      </c>
      <c r="S4808" s="75">
        <f>OrdersTable[[#This Row],[Quantity]]*OrdersTable[[#This Row],[Unit Price]]</f>
        <v>2299</v>
      </c>
      <c r="T4808" s="5">
        <f>OrdersTable[[#This Row],[Gross Sale]]*OrdersTable[[#This Row],[Discount_Clean2]]</f>
        <v>804.65</v>
      </c>
      <c r="U4808" s="5">
        <f>OrdersTable[[#This Row],[Gross Sale]]-OrdersTable[[#This Row],[Discount Amount]]</f>
        <v>1494.35</v>
      </c>
      <c r="V4808" s="77">
        <f>INDEX(Products!E:E,MATCH(OrdersTable[[#This Row],[Product ID]],Products!A:A,0))</f>
        <v>1333</v>
      </c>
      <c r="W4808" s="77">
        <f>OrdersTable[[#This Row],[Quantity]]*OrdersTable[[#This Row],[Unit Cost]]</f>
        <v>1333</v>
      </c>
      <c r="X4808" s="77">
        <f>'Dropdown Lists'!$I$2*(1+OrdersTable[[#This Row],[Returned]])</f>
        <v>60</v>
      </c>
      <c r="Y4808" s="76">
        <f>OrdersTable[[#This Row],[Net Revenue]]-OrdersTable[[#This Row],[COGS]]-OrdersTable[[#This Row],[Shipping Cost]]</f>
        <v>101.34999999999991</v>
      </c>
      <c r="Z4808" s="78">
        <f>IFERROR(OrdersTable[[#This Row],[Profit]]/OrdersTable[[#This Row],[Net Revenue]],0)</f>
        <v>6.7822130023086902E-2</v>
      </c>
      <c r="AA4808" t="s">
        <v>3495</v>
      </c>
      <c r="AB4808" s="79">
        <v>46026</v>
      </c>
      <c r="AC4808">
        <f>OrdersTable[[#This Row],[Delivery Date]]-OrdersTable[[#This Row],[Order Date]]</f>
        <v>7</v>
      </c>
      <c r="AD4808" t="str">
        <f>IF(OrdersTable[[#This Row],[Delivery Days]]&lt;=2, "Express (≤2d)", IF(OrdersTable[[#This Row],[Delivery Days]]&lt;=4, "Standard (3-4d)", "Delayed (5d+)"))</f>
        <v>Delayed (5d+)</v>
      </c>
      <c r="AE4808">
        <v>4</v>
      </c>
      <c r="AF4808">
        <v>0</v>
      </c>
    </row>
    <row r="4809" spans="1:32" ht="15" x14ac:dyDescent="0.35">
      <c r="A4809" t="s">
        <v>1327</v>
      </c>
      <c r="B4809" s="1">
        <v>46019</v>
      </c>
      <c r="C4809">
        <f>YEAR(OrdersTable[[#This Row],[Order Date]])</f>
        <v>2025</v>
      </c>
      <c r="D4809" s="2">
        <f>DATE(YEAR(OrdersTable[[#This Row],[Order Date]]),MONTH(OrdersTable[[#This Row],[Order Date]]),1)</f>
        <v>45992</v>
      </c>
      <c r="E4809">
        <f>MONTH(OrdersTable[[#This Row],[Order Date]])</f>
        <v>12</v>
      </c>
      <c r="F4809" t="s">
        <v>1328</v>
      </c>
      <c r="G4809" t="str">
        <f>IF(OrdersTable[[#This Row],[Order Date]]=_xlfn.MINIFS(Order_Date, Customer_ID, OrdersTable[[#This Row],[Customer ID]]), "New", "Repeat")</f>
        <v>Repeat</v>
      </c>
      <c r="H4809" t="s">
        <v>14</v>
      </c>
      <c r="I4809" t="str">
        <f>INDEX(State!B:B,MATCH(OrdersTable[[#This Row],[State]],State!A:A,0))</f>
        <v>OD</v>
      </c>
      <c r="J4809" t="str">
        <f>INDEX(State!C:C,MATCH(OrdersTable[[#This Row],[State Code]],State!B:B,0))</f>
        <v>East</v>
      </c>
      <c r="K4809" t="s">
        <v>15</v>
      </c>
      <c r="L4809" t="s">
        <v>16</v>
      </c>
      <c r="M4809" t="s">
        <v>176</v>
      </c>
      <c r="N4809" t="str">
        <f>INDEX(Products!B:B,MATCH(OrdersTable[[#This Row],[Product ID]],Products!A:A,0))</f>
        <v>Denim Jacket</v>
      </c>
      <c r="O4809" t="str">
        <f>INDEX(Products!C:C,MATCH(OrdersTable[[#This Row],[Product ID]],Products!A:A,0))</f>
        <v>Apparel</v>
      </c>
      <c r="P4809">
        <v>1</v>
      </c>
      <c r="Q4809" s="5">
        <v>2499</v>
      </c>
      <c r="R4809" s="74">
        <v>0</v>
      </c>
      <c r="S4809" s="75">
        <f>OrdersTable[[#This Row],[Quantity]]*OrdersTable[[#This Row],[Unit Price]]</f>
        <v>2499</v>
      </c>
      <c r="T4809" s="5">
        <f>OrdersTable[[#This Row],[Gross Sale]]*OrdersTable[[#This Row],[Discount_Clean2]]</f>
        <v>0</v>
      </c>
      <c r="U4809" s="5">
        <f>OrdersTable[[#This Row],[Gross Sale]]-OrdersTable[[#This Row],[Discount Amount]]</f>
        <v>2499</v>
      </c>
      <c r="V4809" s="77">
        <f>INDEX(Products!E:E,MATCH(OrdersTable[[#This Row],[Product ID]],Products!A:A,0))</f>
        <v>1125</v>
      </c>
      <c r="W4809" s="77">
        <f>OrdersTable[[#This Row],[Quantity]]*OrdersTable[[#This Row],[Unit Cost]]</f>
        <v>1125</v>
      </c>
      <c r="X4809" s="77">
        <f>'Dropdown Lists'!$I$2*(1+OrdersTable[[#This Row],[Returned]])</f>
        <v>60</v>
      </c>
      <c r="Y4809" s="76">
        <f>OrdersTable[[#This Row],[Net Revenue]]-OrdersTable[[#This Row],[COGS]]-OrdersTable[[#This Row],[Shipping Cost]]</f>
        <v>1314</v>
      </c>
      <c r="Z4809" s="78">
        <f>IFERROR(OrdersTable[[#This Row],[Profit]]/OrdersTable[[#This Row],[Net Revenue]],0)</f>
        <v>0.5258103241296519</v>
      </c>
      <c r="AA4809" t="s">
        <v>18</v>
      </c>
      <c r="AB4809" s="79">
        <v>46024</v>
      </c>
      <c r="AC4809">
        <f>OrdersTable[[#This Row],[Delivery Date]]-OrdersTable[[#This Row],[Order Date]]</f>
        <v>5</v>
      </c>
      <c r="AD4809" t="str">
        <f>IF(OrdersTable[[#This Row],[Delivery Days]]&lt;=2, "Express (≤2d)", IF(OrdersTable[[#This Row],[Delivery Days]]&lt;=4, "Standard (3-4d)", "Delayed (5d+)"))</f>
        <v>Delayed (5d+)</v>
      </c>
      <c r="AF4809">
        <v>0</v>
      </c>
    </row>
    <row r="4810" spans="1:32" ht="15" x14ac:dyDescent="0.35">
      <c r="A4810" t="s">
        <v>424</v>
      </c>
      <c r="B4810" s="1">
        <v>46020</v>
      </c>
      <c r="C4810">
        <f>YEAR(OrdersTable[[#This Row],[Order Date]])</f>
        <v>2025</v>
      </c>
      <c r="D4810" s="2">
        <f>DATE(YEAR(OrdersTable[[#This Row],[Order Date]]),MONTH(OrdersTable[[#This Row],[Order Date]]),1)</f>
        <v>45992</v>
      </c>
      <c r="E4810">
        <f>MONTH(OrdersTable[[#This Row],[Order Date]])</f>
        <v>12</v>
      </c>
      <c r="F4810" t="s">
        <v>425</v>
      </c>
      <c r="G4810" t="str">
        <f>IF(OrdersTable[[#This Row],[Order Date]]=_xlfn.MINIFS(Order_Date, Customer_ID, OrdersTable[[#This Row],[Customer ID]]), "New", "Repeat")</f>
        <v>Repeat</v>
      </c>
      <c r="H4810" t="s">
        <v>21</v>
      </c>
      <c r="I4810" t="str">
        <f>INDEX(State!B:B,MATCH(OrdersTable[[#This Row],[State]],State!A:A,0))</f>
        <v>PB</v>
      </c>
      <c r="J4810" t="str">
        <f>INDEX(State!C:C,MATCH(OrdersTable[[#This Row],[State Code]],State!B:B,0))</f>
        <v>North</v>
      </c>
      <c r="K4810" t="s">
        <v>22</v>
      </c>
      <c r="L4810" t="s">
        <v>50</v>
      </c>
      <c r="M4810" t="s">
        <v>73</v>
      </c>
      <c r="N4810" t="str">
        <f>INDEX(Products!B:B,MATCH(OrdersTable[[#This Row],[Product ID]],Products!A:A,0))</f>
        <v>Hydrating Face Wash</v>
      </c>
      <c r="O4810" t="str">
        <f>INDEX(Products!C:C,MATCH(OrdersTable[[#This Row],[Product ID]],Products!A:A,0))</f>
        <v>Skincare</v>
      </c>
      <c r="P4810">
        <v>1</v>
      </c>
      <c r="Q4810" s="5">
        <v>299</v>
      </c>
      <c r="R4810" s="74">
        <v>0</v>
      </c>
      <c r="S4810" s="75">
        <f>OrdersTable[[#This Row],[Quantity]]*OrdersTable[[#This Row],[Unit Price]]</f>
        <v>299</v>
      </c>
      <c r="T4810" s="5">
        <f>OrdersTable[[#This Row],[Gross Sale]]*OrdersTable[[#This Row],[Discount_Clean2]]</f>
        <v>0</v>
      </c>
      <c r="U4810" s="5">
        <f>OrdersTable[[#This Row],[Gross Sale]]-OrdersTable[[#This Row],[Discount Amount]]</f>
        <v>299</v>
      </c>
      <c r="V4810" s="77">
        <f>INDEX(Products!E:E,MATCH(OrdersTable[[#This Row],[Product ID]],Products!A:A,0))</f>
        <v>90</v>
      </c>
      <c r="W4810" s="77">
        <f>OrdersTable[[#This Row],[Quantity]]*OrdersTable[[#This Row],[Unit Cost]]</f>
        <v>90</v>
      </c>
      <c r="X4810" s="77">
        <f>'Dropdown Lists'!$I$2*(1+OrdersTable[[#This Row],[Returned]])</f>
        <v>60</v>
      </c>
      <c r="Y4810" s="76">
        <f>OrdersTable[[#This Row],[Net Revenue]]-OrdersTable[[#This Row],[COGS]]-OrdersTable[[#This Row],[Shipping Cost]]</f>
        <v>149</v>
      </c>
      <c r="Z4810" s="78">
        <f>IFERROR(OrdersTable[[#This Row],[Profit]]/OrdersTable[[#This Row],[Net Revenue]],0)</f>
        <v>0.49832775919732442</v>
      </c>
      <c r="AA4810" t="s">
        <v>18</v>
      </c>
      <c r="AB4810" s="79">
        <v>46024</v>
      </c>
      <c r="AC4810">
        <f>OrdersTable[[#This Row],[Delivery Date]]-OrdersTable[[#This Row],[Order Date]]</f>
        <v>4</v>
      </c>
      <c r="AD4810" t="str">
        <f>IF(OrdersTable[[#This Row],[Delivery Days]]&lt;=2, "Express (≤2d)", IF(OrdersTable[[#This Row],[Delivery Days]]&lt;=4, "Standard (3-4d)", "Delayed (5d+)"))</f>
        <v>Standard (3-4d)</v>
      </c>
      <c r="AE4810">
        <v>4</v>
      </c>
      <c r="AF4810">
        <v>0</v>
      </c>
    </row>
    <row r="4811" spans="1:32" ht="15" x14ac:dyDescent="0.35">
      <c r="A4811" t="s">
        <v>1209</v>
      </c>
      <c r="B4811" s="1">
        <v>46020</v>
      </c>
      <c r="C4811">
        <f>YEAR(OrdersTable[[#This Row],[Order Date]])</f>
        <v>2025</v>
      </c>
      <c r="D4811" s="2">
        <f>DATE(YEAR(OrdersTable[[#This Row],[Order Date]]),MONTH(OrdersTable[[#This Row],[Order Date]]),1)</f>
        <v>45992</v>
      </c>
      <c r="E4811">
        <f>MONTH(OrdersTable[[#This Row],[Order Date]])</f>
        <v>12</v>
      </c>
      <c r="F4811" t="s">
        <v>1210</v>
      </c>
      <c r="G4811" t="str">
        <f>IF(OrdersTable[[#This Row],[Order Date]]=_xlfn.MINIFS(Order_Date, Customer_ID, OrdersTable[[#This Row],[Customer ID]]), "New", "Repeat")</f>
        <v>Repeat</v>
      </c>
      <c r="H4811" t="s">
        <v>32</v>
      </c>
      <c r="I4811" t="str">
        <f>INDEX(State!B:B,MATCH(OrdersTable[[#This Row],[State]],State!A:A,0))</f>
        <v>BR</v>
      </c>
      <c r="J4811" t="str">
        <f>INDEX(State!C:C,MATCH(OrdersTable[[#This Row],[State Code]],State!B:B,0))</f>
        <v>East</v>
      </c>
      <c r="K4811" t="s">
        <v>33</v>
      </c>
      <c r="L4811" t="s">
        <v>50</v>
      </c>
      <c r="M4811" t="s">
        <v>106</v>
      </c>
      <c r="N4811" t="str">
        <f>INDEX(Products!B:B,MATCH(OrdersTable[[#This Row],[Product ID]],Products!A:A,0))</f>
        <v>Keratin Hair Mask</v>
      </c>
      <c r="O4811" t="str">
        <f>INDEX(Products!C:C,MATCH(OrdersTable[[#This Row],[Product ID]],Products!A:A,0))</f>
        <v>Haircare</v>
      </c>
      <c r="P4811">
        <v>1</v>
      </c>
      <c r="Q4811" s="5">
        <v>549</v>
      </c>
      <c r="R4811" s="74">
        <v>0.2</v>
      </c>
      <c r="S4811" s="75">
        <f>OrdersTable[[#This Row],[Quantity]]*OrdersTable[[#This Row],[Unit Price]]</f>
        <v>549</v>
      </c>
      <c r="T4811" s="5">
        <f>OrdersTable[[#This Row],[Gross Sale]]*OrdersTable[[#This Row],[Discount_Clean2]]</f>
        <v>109.80000000000001</v>
      </c>
      <c r="U4811" s="5">
        <f>OrdersTable[[#This Row],[Gross Sale]]-OrdersTable[[#This Row],[Discount Amount]]</f>
        <v>439.2</v>
      </c>
      <c r="V4811" s="77">
        <f>INDEX(Products!E:E,MATCH(OrdersTable[[#This Row],[Product ID]],Products!A:A,0))</f>
        <v>170</v>
      </c>
      <c r="W4811" s="77">
        <f>OrdersTable[[#This Row],[Quantity]]*OrdersTable[[#This Row],[Unit Cost]]</f>
        <v>170</v>
      </c>
      <c r="X4811" s="77">
        <f>'Dropdown Lists'!$I$2*(1+OrdersTable[[#This Row],[Returned]])</f>
        <v>60</v>
      </c>
      <c r="Y4811" s="76">
        <f>OrdersTable[[#This Row],[Net Revenue]]-OrdersTable[[#This Row],[COGS]]-OrdersTable[[#This Row],[Shipping Cost]]</f>
        <v>209.2</v>
      </c>
      <c r="Z4811" s="78">
        <f>IFERROR(OrdersTable[[#This Row],[Profit]]/OrdersTable[[#This Row],[Net Revenue]],0)</f>
        <v>0.47632058287795992</v>
      </c>
      <c r="AA4811" t="s">
        <v>18</v>
      </c>
      <c r="AB4811" s="79">
        <v>46025</v>
      </c>
      <c r="AC4811">
        <f>OrdersTable[[#This Row],[Delivery Date]]-OrdersTable[[#This Row],[Order Date]]</f>
        <v>5</v>
      </c>
      <c r="AD4811" t="str">
        <f>IF(OrdersTable[[#This Row],[Delivery Days]]&lt;=2, "Express (≤2d)", IF(OrdersTable[[#This Row],[Delivery Days]]&lt;=4, "Standard (3-4d)", "Delayed (5d+)"))</f>
        <v>Delayed (5d+)</v>
      </c>
      <c r="AF4811">
        <v>0</v>
      </c>
    </row>
    <row r="4812" spans="1:32" ht="15" x14ac:dyDescent="0.35">
      <c r="A4812" t="s">
        <v>6753</v>
      </c>
      <c r="B4812" s="1">
        <v>46020</v>
      </c>
      <c r="C4812">
        <f>YEAR(OrdersTable[[#This Row],[Order Date]])</f>
        <v>2025</v>
      </c>
      <c r="D4812" s="2">
        <f>DATE(YEAR(OrdersTable[[#This Row],[Order Date]]),MONTH(OrdersTable[[#This Row],[Order Date]]),1)</f>
        <v>45992</v>
      </c>
      <c r="E4812">
        <f>MONTH(OrdersTable[[#This Row],[Order Date]])</f>
        <v>12</v>
      </c>
      <c r="F4812" t="s">
        <v>6754</v>
      </c>
      <c r="G4812" t="str">
        <f>IF(OrdersTable[[#This Row],[Order Date]]=_xlfn.MINIFS(Order_Date, Customer_ID, OrdersTable[[#This Row],[Customer ID]]), "New", "Repeat")</f>
        <v>New</v>
      </c>
      <c r="H4812" t="s">
        <v>27</v>
      </c>
      <c r="I4812" t="str">
        <f>INDEX(State!B:B,MATCH(OrdersTable[[#This Row],[State]],State!A:A,0))</f>
        <v>WB</v>
      </c>
      <c r="J4812" t="str">
        <f>INDEX(State!C:C,MATCH(OrdersTable[[#This Row],[State Code]],State!B:B,0))</f>
        <v>East</v>
      </c>
      <c r="K4812" t="s">
        <v>28</v>
      </c>
      <c r="L4812" t="s">
        <v>23</v>
      </c>
      <c r="M4812" t="s">
        <v>160</v>
      </c>
      <c r="N4812" t="str">
        <f>INDEX(Products!B:B,MATCH(OrdersTable[[#This Row],[Product ID]],Products!A:A,0))</f>
        <v>Niacinamide Toner</v>
      </c>
      <c r="O4812" t="str">
        <f>INDEX(Products!C:C,MATCH(OrdersTable[[#This Row],[Product ID]],Products!A:A,0))</f>
        <v>Skincare</v>
      </c>
      <c r="P4812">
        <v>3</v>
      </c>
      <c r="Q4812" s="5">
        <v>399</v>
      </c>
      <c r="R4812" s="74">
        <v>0.3</v>
      </c>
      <c r="S4812" s="75">
        <f>OrdersTable[[#This Row],[Quantity]]*OrdersTable[[#This Row],[Unit Price]]</f>
        <v>1197</v>
      </c>
      <c r="T4812" s="5">
        <f>OrdersTable[[#This Row],[Gross Sale]]*OrdersTable[[#This Row],[Discount_Clean2]]</f>
        <v>359.09999999999997</v>
      </c>
      <c r="U4812" s="5">
        <f>OrdersTable[[#This Row],[Gross Sale]]-OrdersTable[[#This Row],[Discount Amount]]</f>
        <v>837.90000000000009</v>
      </c>
      <c r="V4812" s="77">
        <f>INDEX(Products!E:E,MATCH(OrdersTable[[#This Row],[Product ID]],Products!A:A,0))</f>
        <v>112</v>
      </c>
      <c r="W4812" s="77">
        <f>OrdersTable[[#This Row],[Quantity]]*OrdersTable[[#This Row],[Unit Cost]]</f>
        <v>336</v>
      </c>
      <c r="X4812" s="77">
        <f>'Dropdown Lists'!$I$2*(1+OrdersTable[[#This Row],[Returned]])</f>
        <v>60</v>
      </c>
      <c r="Y4812" s="76">
        <f>OrdersTable[[#This Row],[Net Revenue]]-OrdersTable[[#This Row],[COGS]]-OrdersTable[[#This Row],[Shipping Cost]]</f>
        <v>441.90000000000009</v>
      </c>
      <c r="Z4812" s="78">
        <f>IFERROR(OrdersTable[[#This Row],[Profit]]/OrdersTable[[#This Row],[Net Revenue]],0)</f>
        <v>0.527389903329753</v>
      </c>
      <c r="AA4812" t="s">
        <v>2522</v>
      </c>
      <c r="AB4812" s="79">
        <v>46024</v>
      </c>
      <c r="AC4812">
        <f>OrdersTable[[#This Row],[Delivery Date]]-OrdersTable[[#This Row],[Order Date]]</f>
        <v>4</v>
      </c>
      <c r="AD4812" t="str">
        <f>IF(OrdersTable[[#This Row],[Delivery Days]]&lt;=2, "Express (≤2d)", IF(OrdersTable[[#This Row],[Delivery Days]]&lt;=4, "Standard (3-4d)", "Delayed (5d+)"))</f>
        <v>Standard (3-4d)</v>
      </c>
      <c r="AF4812">
        <v>0</v>
      </c>
    </row>
    <row r="4813" spans="1:32" ht="15" x14ac:dyDescent="0.35">
      <c r="A4813" t="s">
        <v>1822</v>
      </c>
      <c r="B4813" s="1">
        <v>46020</v>
      </c>
      <c r="C4813">
        <f>YEAR(OrdersTable[[#This Row],[Order Date]])</f>
        <v>2025</v>
      </c>
      <c r="D4813" s="2">
        <f>DATE(YEAR(OrdersTable[[#This Row],[Order Date]]),MONTH(OrdersTable[[#This Row],[Order Date]]),1)</f>
        <v>45992</v>
      </c>
      <c r="E4813">
        <f>MONTH(OrdersTable[[#This Row],[Order Date]])</f>
        <v>12</v>
      </c>
      <c r="F4813" t="s">
        <v>319</v>
      </c>
      <c r="G4813" t="str">
        <f>IF(OrdersTable[[#This Row],[Order Date]]=_xlfn.MINIFS(Order_Date, Customer_ID, OrdersTable[[#This Row],[Customer ID]]), "New", "Repeat")</f>
        <v>Repeat</v>
      </c>
      <c r="H4813" t="s">
        <v>95</v>
      </c>
      <c r="I4813" t="str">
        <f>INDEX(State!B:B,MATCH(OrdersTable[[#This Row],[State]],State!A:A,0))</f>
        <v>TG</v>
      </c>
      <c r="J4813" t="str">
        <f>INDEX(State!C:C,MATCH(OrdersTable[[#This Row],[State Code]],State!B:B,0))</f>
        <v>South</v>
      </c>
      <c r="K4813" t="s">
        <v>96</v>
      </c>
      <c r="L4813" t="s">
        <v>65</v>
      </c>
      <c r="M4813" t="s">
        <v>34</v>
      </c>
      <c r="N4813" t="str">
        <f>INDEX(Products!B:B,MATCH(OrdersTable[[#This Row],[Product ID]],Products!A:A,0))</f>
        <v>Flip Flops</v>
      </c>
      <c r="O4813" t="str">
        <f>INDEX(Products!C:C,MATCH(OrdersTable[[#This Row],[Product ID]],Products!A:A,0))</f>
        <v>Footwear</v>
      </c>
      <c r="P4813">
        <v>1</v>
      </c>
      <c r="Q4813" s="5">
        <v>399</v>
      </c>
      <c r="R4813" s="74">
        <v>0.1</v>
      </c>
      <c r="S4813" s="75">
        <f>OrdersTable[[#This Row],[Quantity]]*OrdersTable[[#This Row],[Unit Price]]</f>
        <v>399</v>
      </c>
      <c r="T4813" s="5">
        <f>OrdersTable[[#This Row],[Gross Sale]]*OrdersTable[[#This Row],[Discount_Clean2]]</f>
        <v>39.900000000000006</v>
      </c>
      <c r="U4813" s="5">
        <f>OrdersTable[[#This Row],[Gross Sale]]-OrdersTable[[#This Row],[Discount Amount]]</f>
        <v>359.1</v>
      </c>
      <c r="V4813" s="77">
        <f>INDEX(Products!E:E,MATCH(OrdersTable[[#This Row],[Product ID]],Products!A:A,0))</f>
        <v>152</v>
      </c>
      <c r="W4813" s="77">
        <f>OrdersTable[[#This Row],[Quantity]]*OrdersTable[[#This Row],[Unit Cost]]</f>
        <v>152</v>
      </c>
      <c r="X4813" s="77">
        <f>'Dropdown Lists'!$I$2*(1+OrdersTable[[#This Row],[Returned]])</f>
        <v>60</v>
      </c>
      <c r="Y4813" s="76">
        <f>OrdersTable[[#This Row],[Net Revenue]]-OrdersTable[[#This Row],[COGS]]-OrdersTable[[#This Row],[Shipping Cost]]</f>
        <v>147.10000000000002</v>
      </c>
      <c r="Z4813" s="78">
        <f>IFERROR(OrdersTable[[#This Row],[Profit]]/OrdersTable[[#This Row],[Net Revenue]],0)</f>
        <v>0.40963519910888335</v>
      </c>
      <c r="AA4813" t="s">
        <v>18</v>
      </c>
      <c r="AB4813" s="79">
        <v>46024</v>
      </c>
      <c r="AC4813">
        <f>OrdersTable[[#This Row],[Delivery Date]]-OrdersTable[[#This Row],[Order Date]]</f>
        <v>4</v>
      </c>
      <c r="AD4813" t="str">
        <f>IF(OrdersTable[[#This Row],[Delivery Days]]&lt;=2, "Express (≤2d)", IF(OrdersTable[[#This Row],[Delivery Days]]&lt;=4, "Standard (3-4d)", "Delayed (5d+)"))</f>
        <v>Standard (3-4d)</v>
      </c>
      <c r="AF4813">
        <v>0</v>
      </c>
    </row>
    <row r="4814" spans="1:32" ht="15" x14ac:dyDescent="0.35">
      <c r="A4814" t="s">
        <v>3139</v>
      </c>
      <c r="B4814" s="1">
        <v>46020</v>
      </c>
      <c r="C4814">
        <f>YEAR(OrdersTable[[#This Row],[Order Date]])</f>
        <v>2025</v>
      </c>
      <c r="D4814" s="2">
        <f>DATE(YEAR(OrdersTable[[#This Row],[Order Date]]),MONTH(OrdersTable[[#This Row],[Order Date]]),1)</f>
        <v>45992</v>
      </c>
      <c r="E4814">
        <f>MONTH(OrdersTable[[#This Row],[Order Date]])</f>
        <v>12</v>
      </c>
      <c r="F4814" t="s">
        <v>854</v>
      </c>
      <c r="G4814" t="str">
        <f>IF(OrdersTable[[#This Row],[Order Date]]=_xlfn.MINIFS(Order_Date, Customer_ID, OrdersTable[[#This Row],[Customer ID]]), "New", "Repeat")</f>
        <v>Repeat</v>
      </c>
      <c r="H4814" t="s">
        <v>59</v>
      </c>
      <c r="I4814" t="str">
        <f>INDEX(State!B:B,MATCH(OrdersTable[[#This Row],[State]],State!A:A,0))</f>
        <v>TN</v>
      </c>
      <c r="J4814" t="str">
        <f>INDEX(State!C:C,MATCH(OrdersTable[[#This Row],[State Code]],State!B:B,0))</f>
        <v>South</v>
      </c>
      <c r="K4814" t="s">
        <v>64</v>
      </c>
      <c r="L4814" t="s">
        <v>16</v>
      </c>
      <c r="M4814" t="s">
        <v>92</v>
      </c>
      <c r="N4814" t="str">
        <f>INDEX(Products!B:B,MATCH(OrdersTable[[#This Row],[Product ID]],Products!A:A,0))</f>
        <v>Kolhapuri Sandals</v>
      </c>
      <c r="O4814" t="str">
        <f>INDEX(Products!C:C,MATCH(OrdersTable[[#This Row],[Product ID]],Products!A:A,0))</f>
        <v>Footwear</v>
      </c>
      <c r="P4814">
        <v>1</v>
      </c>
      <c r="Q4814" s="5">
        <v>999</v>
      </c>
      <c r="R4814" s="74">
        <v>0.15</v>
      </c>
      <c r="S4814" s="75">
        <f>OrdersTable[[#This Row],[Quantity]]*OrdersTable[[#This Row],[Unit Price]]</f>
        <v>999</v>
      </c>
      <c r="T4814" s="5">
        <f>OrdersTable[[#This Row],[Gross Sale]]*OrdersTable[[#This Row],[Discount_Clean2]]</f>
        <v>149.85</v>
      </c>
      <c r="U4814" s="5">
        <f>OrdersTable[[#This Row],[Gross Sale]]-OrdersTable[[#This Row],[Discount Amount]]</f>
        <v>849.15</v>
      </c>
      <c r="V4814" s="77">
        <f>INDEX(Products!E:E,MATCH(OrdersTable[[#This Row],[Product ID]],Products!A:A,0))</f>
        <v>400</v>
      </c>
      <c r="W4814" s="77">
        <f>OrdersTable[[#This Row],[Quantity]]*OrdersTable[[#This Row],[Unit Cost]]</f>
        <v>400</v>
      </c>
      <c r="X4814" s="77">
        <f>'Dropdown Lists'!$I$2*(1+OrdersTable[[#This Row],[Returned]])</f>
        <v>60</v>
      </c>
      <c r="Y4814" s="76">
        <f>OrdersTable[[#This Row],[Net Revenue]]-OrdersTable[[#This Row],[COGS]]-OrdersTable[[#This Row],[Shipping Cost]]</f>
        <v>389.15</v>
      </c>
      <c r="Z4814" s="78">
        <f>IFERROR(OrdersTable[[#This Row],[Profit]]/OrdersTable[[#This Row],[Net Revenue]],0)</f>
        <v>0.45828181122298767</v>
      </c>
      <c r="AA4814" t="s">
        <v>2522</v>
      </c>
      <c r="AB4814" s="79">
        <v>46024</v>
      </c>
      <c r="AC4814">
        <f>OrdersTable[[#This Row],[Delivery Date]]-OrdersTable[[#This Row],[Order Date]]</f>
        <v>4</v>
      </c>
      <c r="AD4814" t="str">
        <f>IF(OrdersTable[[#This Row],[Delivery Days]]&lt;=2, "Express (≤2d)", IF(OrdersTable[[#This Row],[Delivery Days]]&lt;=4, "Standard (3-4d)", "Delayed (5d+)"))</f>
        <v>Standard (3-4d)</v>
      </c>
      <c r="AF4814">
        <v>0</v>
      </c>
    </row>
    <row r="4815" spans="1:32" ht="15" x14ac:dyDescent="0.35">
      <c r="A4815" t="s">
        <v>2862</v>
      </c>
      <c r="B4815" s="1">
        <v>46021</v>
      </c>
      <c r="C4815">
        <f>YEAR(OrdersTable[[#This Row],[Order Date]])</f>
        <v>2025</v>
      </c>
      <c r="D4815" s="2">
        <f>DATE(YEAR(OrdersTable[[#This Row],[Order Date]]),MONTH(OrdersTable[[#This Row],[Order Date]]),1)</f>
        <v>45992</v>
      </c>
      <c r="E4815">
        <f>MONTH(OrdersTable[[#This Row],[Order Date]])</f>
        <v>12</v>
      </c>
      <c r="F4815" t="s">
        <v>2542</v>
      </c>
      <c r="G4815" t="str">
        <f>IF(OrdersTable[[#This Row],[Order Date]]=_xlfn.MINIFS(Order_Date, Customer_ID, OrdersTable[[#This Row],[Customer ID]]), "New", "Repeat")</f>
        <v>Repeat</v>
      </c>
      <c r="H4815" t="s">
        <v>54</v>
      </c>
      <c r="I4815" t="str">
        <f>INDEX(State!B:B,MATCH(OrdersTable[[#This Row],[State]],State!A:A,0))</f>
        <v>RJ</v>
      </c>
      <c r="J4815" t="str">
        <f>INDEX(State!C:C,MATCH(OrdersTable[[#This Row],[State Code]],State!B:B,0))</f>
        <v>North</v>
      </c>
      <c r="K4815" t="s">
        <v>55</v>
      </c>
      <c r="L4815" t="s">
        <v>39</v>
      </c>
      <c r="M4815" t="s">
        <v>423</v>
      </c>
      <c r="N4815" t="str">
        <f>INDEX(Products!B:B,MATCH(OrdersTable[[#This Row],[Product ID]],Products!A:A,0))</f>
        <v>Power Bank 20000mAh</v>
      </c>
      <c r="O4815" t="str">
        <f>INDEX(Products!C:C,MATCH(OrdersTable[[#This Row],[Product ID]],Products!A:A,0))</f>
        <v>Electronics</v>
      </c>
      <c r="P4815">
        <v>1</v>
      </c>
      <c r="Q4815" s="5">
        <v>1799</v>
      </c>
      <c r="R4815" s="74">
        <v>0.25</v>
      </c>
      <c r="S4815" s="75">
        <f>OrdersTable[[#This Row],[Quantity]]*OrdersTable[[#This Row],[Unit Price]]</f>
        <v>1799</v>
      </c>
      <c r="T4815" s="5">
        <f>OrdersTable[[#This Row],[Gross Sale]]*OrdersTable[[#This Row],[Discount_Clean2]]</f>
        <v>449.75</v>
      </c>
      <c r="U4815" s="5">
        <f>OrdersTable[[#This Row],[Gross Sale]]-OrdersTable[[#This Row],[Discount Amount]]</f>
        <v>1349.25</v>
      </c>
      <c r="V4815" s="77">
        <f>INDEX(Products!E:E,MATCH(OrdersTable[[#This Row],[Product ID]],Products!A:A,0))</f>
        <v>1079</v>
      </c>
      <c r="W4815" s="77">
        <f>OrdersTable[[#This Row],[Quantity]]*OrdersTable[[#This Row],[Unit Cost]]</f>
        <v>1079</v>
      </c>
      <c r="X4815" s="77">
        <f>'Dropdown Lists'!$I$2*(1+OrdersTable[[#This Row],[Returned]])</f>
        <v>60</v>
      </c>
      <c r="Y4815" s="76">
        <f>OrdersTable[[#This Row],[Net Revenue]]-OrdersTable[[#This Row],[COGS]]-OrdersTable[[#This Row],[Shipping Cost]]</f>
        <v>210.25</v>
      </c>
      <c r="Z4815" s="78">
        <f>IFERROR(OrdersTable[[#This Row],[Profit]]/OrdersTable[[#This Row],[Net Revenue]],0)</f>
        <v>0.15582731146933482</v>
      </c>
      <c r="AA4815" t="s">
        <v>2522</v>
      </c>
      <c r="AB4815" s="79">
        <v>46028</v>
      </c>
      <c r="AC4815">
        <f>OrdersTable[[#This Row],[Delivery Date]]-OrdersTable[[#This Row],[Order Date]]</f>
        <v>7</v>
      </c>
      <c r="AD4815" t="str">
        <f>IF(OrdersTable[[#This Row],[Delivery Days]]&lt;=2, "Express (≤2d)", IF(OrdersTable[[#This Row],[Delivery Days]]&lt;=4, "Standard (3-4d)", "Delayed (5d+)"))</f>
        <v>Delayed (5d+)</v>
      </c>
      <c r="AE4815">
        <v>3</v>
      </c>
      <c r="AF4815">
        <v>0</v>
      </c>
    </row>
    <row r="4816" spans="1:32" ht="15" x14ac:dyDescent="0.35">
      <c r="A4816" t="s">
        <v>6241</v>
      </c>
      <c r="B4816" s="1">
        <v>46021</v>
      </c>
      <c r="C4816">
        <f>YEAR(OrdersTable[[#This Row],[Order Date]])</f>
        <v>2025</v>
      </c>
      <c r="D4816" s="2">
        <f>DATE(YEAR(OrdersTable[[#This Row],[Order Date]]),MONTH(OrdersTable[[#This Row],[Order Date]]),1)</f>
        <v>45992</v>
      </c>
      <c r="E4816">
        <f>MONTH(OrdersTable[[#This Row],[Order Date]])</f>
        <v>12</v>
      </c>
      <c r="F4816" t="s">
        <v>737</v>
      </c>
      <c r="G4816" t="str">
        <f>IF(OrdersTable[[#This Row],[Order Date]]=_xlfn.MINIFS(Order_Date, Customer_ID, OrdersTable[[#This Row],[Customer ID]]), "New", "Repeat")</f>
        <v>Repeat</v>
      </c>
      <c r="H4816" t="s">
        <v>37</v>
      </c>
      <c r="I4816" t="str">
        <f>INDEX(State!B:B,MATCH(OrdersTable[[#This Row],[State]],State!A:A,0))</f>
        <v>GJ</v>
      </c>
      <c r="J4816" t="str">
        <f>INDEX(State!C:C,MATCH(OrdersTable[[#This Row],[State Code]],State!B:B,0))</f>
        <v>West</v>
      </c>
      <c r="K4816" t="s">
        <v>38</v>
      </c>
      <c r="L4816" t="s">
        <v>16</v>
      </c>
      <c r="M4816" t="s">
        <v>87</v>
      </c>
      <c r="N4816" t="str">
        <f>INDEX(Products!B:B,MATCH(OrdersTable[[#This Row],[Product ID]],Products!A:A,0))</f>
        <v>Linen Kurta</v>
      </c>
      <c r="O4816" t="str">
        <f>INDEX(Products!C:C,MATCH(OrdersTable[[#This Row],[Product ID]],Products!A:A,0))</f>
        <v>Apparel</v>
      </c>
      <c r="P4816">
        <v>2</v>
      </c>
      <c r="Q4816" s="5">
        <v>1499</v>
      </c>
      <c r="R4816" s="74">
        <v>0.35</v>
      </c>
      <c r="S4816" s="75">
        <f>OrdersTable[[#This Row],[Quantity]]*OrdersTable[[#This Row],[Unit Price]]</f>
        <v>2998</v>
      </c>
      <c r="T4816" s="5">
        <f>OrdersTable[[#This Row],[Gross Sale]]*OrdersTable[[#This Row],[Discount_Clean2]]</f>
        <v>1049.3</v>
      </c>
      <c r="U4816" s="5">
        <f>OrdersTable[[#This Row],[Gross Sale]]-OrdersTable[[#This Row],[Discount Amount]]</f>
        <v>1948.7</v>
      </c>
      <c r="V4816" s="77">
        <f>INDEX(Products!E:E,MATCH(OrdersTable[[#This Row],[Product ID]],Products!A:A,0))</f>
        <v>630</v>
      </c>
      <c r="W4816" s="77">
        <f>OrdersTable[[#This Row],[Quantity]]*OrdersTable[[#This Row],[Unit Cost]]</f>
        <v>1260</v>
      </c>
      <c r="X4816" s="77">
        <f>'Dropdown Lists'!$I$2*(1+OrdersTable[[#This Row],[Returned]])</f>
        <v>60</v>
      </c>
      <c r="Y4816" s="76">
        <f>OrdersTable[[#This Row],[Net Revenue]]-OrdersTable[[#This Row],[COGS]]-OrdersTable[[#This Row],[Shipping Cost]]</f>
        <v>628.70000000000005</v>
      </c>
      <c r="Z4816" s="78">
        <f>IFERROR(OrdersTable[[#This Row],[Profit]]/OrdersTable[[#This Row],[Net Revenue]],0)</f>
        <v>0.32262533997023657</v>
      </c>
      <c r="AA4816" t="s">
        <v>18</v>
      </c>
      <c r="AB4816" s="79">
        <v>46025</v>
      </c>
      <c r="AC4816">
        <f>OrdersTable[[#This Row],[Delivery Date]]-OrdersTable[[#This Row],[Order Date]]</f>
        <v>4</v>
      </c>
      <c r="AD4816" t="str">
        <f>IF(OrdersTable[[#This Row],[Delivery Days]]&lt;=2, "Express (≤2d)", IF(OrdersTable[[#This Row],[Delivery Days]]&lt;=4, "Standard (3-4d)", "Delayed (5d+)"))</f>
        <v>Standard (3-4d)</v>
      </c>
      <c r="AE4816">
        <v>4</v>
      </c>
      <c r="AF4816">
        <v>0</v>
      </c>
    </row>
    <row r="4817" spans="1:32" ht="15" x14ac:dyDescent="0.35">
      <c r="A4817" t="s">
        <v>3701</v>
      </c>
      <c r="B4817" s="1">
        <v>46021</v>
      </c>
      <c r="C4817">
        <f>YEAR(OrdersTable[[#This Row],[Order Date]])</f>
        <v>2025</v>
      </c>
      <c r="D4817" s="2">
        <f>DATE(YEAR(OrdersTable[[#This Row],[Order Date]]),MONTH(OrdersTable[[#This Row],[Order Date]]),1)</f>
        <v>45992</v>
      </c>
      <c r="E4817">
        <f>MONTH(OrdersTable[[#This Row],[Order Date]])</f>
        <v>12</v>
      </c>
      <c r="F4817" t="s">
        <v>1228</v>
      </c>
      <c r="G4817" t="str">
        <f>IF(OrdersTable[[#This Row],[Order Date]]=_xlfn.MINIFS(Order_Date, Customer_ID, OrdersTable[[#This Row],[Customer ID]]), "New", "Repeat")</f>
        <v>Repeat</v>
      </c>
      <c r="H4817" t="s">
        <v>27</v>
      </c>
      <c r="I4817" t="str">
        <f>INDEX(State!B:B,MATCH(OrdersTable[[#This Row],[State]],State!A:A,0))</f>
        <v>WB</v>
      </c>
      <c r="J4817" t="str">
        <f>INDEX(State!C:C,MATCH(OrdersTable[[#This Row],[State Code]],State!B:B,0))</f>
        <v>East</v>
      </c>
      <c r="K4817" t="s">
        <v>28</v>
      </c>
      <c r="L4817" t="s">
        <v>50</v>
      </c>
      <c r="M4817" t="s">
        <v>106</v>
      </c>
      <c r="N4817" t="str">
        <f>INDEX(Products!B:B,MATCH(OrdersTable[[#This Row],[Product ID]],Products!A:A,0))</f>
        <v>Keratin Hair Mask</v>
      </c>
      <c r="O4817" t="str">
        <f>INDEX(Products!C:C,MATCH(OrdersTable[[#This Row],[Product ID]],Products!A:A,0))</f>
        <v>Haircare</v>
      </c>
      <c r="P4817">
        <v>1</v>
      </c>
      <c r="Q4817" s="5">
        <v>549</v>
      </c>
      <c r="R4817" s="74">
        <v>0.1</v>
      </c>
      <c r="S4817" s="75">
        <f>OrdersTable[[#This Row],[Quantity]]*OrdersTable[[#This Row],[Unit Price]]</f>
        <v>549</v>
      </c>
      <c r="T4817" s="5">
        <f>OrdersTable[[#This Row],[Gross Sale]]*OrdersTable[[#This Row],[Discount_Clean2]]</f>
        <v>54.900000000000006</v>
      </c>
      <c r="U4817" s="5">
        <f>OrdersTable[[#This Row],[Gross Sale]]-OrdersTable[[#This Row],[Discount Amount]]</f>
        <v>494.1</v>
      </c>
      <c r="V4817" s="77">
        <f>INDEX(Products!E:E,MATCH(OrdersTable[[#This Row],[Product ID]],Products!A:A,0))</f>
        <v>170</v>
      </c>
      <c r="W4817" s="77">
        <f>OrdersTable[[#This Row],[Quantity]]*OrdersTable[[#This Row],[Unit Cost]]</f>
        <v>170</v>
      </c>
      <c r="X4817" s="77">
        <f>'Dropdown Lists'!$I$2*(1+OrdersTable[[#This Row],[Returned]])</f>
        <v>60</v>
      </c>
      <c r="Y4817" s="76">
        <f>OrdersTable[[#This Row],[Net Revenue]]-OrdersTable[[#This Row],[COGS]]-OrdersTable[[#This Row],[Shipping Cost]]</f>
        <v>264.10000000000002</v>
      </c>
      <c r="Z4817" s="78">
        <f>IFERROR(OrdersTable[[#This Row],[Profit]]/OrdersTable[[#This Row],[Net Revenue]],0)</f>
        <v>0.53450718478040882</v>
      </c>
      <c r="AA4817" t="s">
        <v>3495</v>
      </c>
      <c r="AB4817" s="79">
        <v>46024</v>
      </c>
      <c r="AC4817">
        <f>OrdersTable[[#This Row],[Delivery Date]]-OrdersTable[[#This Row],[Order Date]]</f>
        <v>3</v>
      </c>
      <c r="AD4817" t="str">
        <f>IF(OrdersTable[[#This Row],[Delivery Days]]&lt;=2, "Express (≤2d)", IF(OrdersTable[[#This Row],[Delivery Days]]&lt;=4, "Standard (3-4d)", "Delayed (5d+)"))</f>
        <v>Standard (3-4d)</v>
      </c>
      <c r="AE4817">
        <v>4</v>
      </c>
      <c r="AF4817">
        <v>0</v>
      </c>
    </row>
    <row r="4818" spans="1:32" ht="15" x14ac:dyDescent="0.35">
      <c r="A4818" t="s">
        <v>6036</v>
      </c>
      <c r="B4818" s="1">
        <v>46021</v>
      </c>
      <c r="C4818">
        <f>YEAR(OrdersTable[[#This Row],[Order Date]])</f>
        <v>2025</v>
      </c>
      <c r="D4818" s="2">
        <f>DATE(YEAR(OrdersTable[[#This Row],[Order Date]]),MONTH(OrdersTable[[#This Row],[Order Date]]),1)</f>
        <v>45992</v>
      </c>
      <c r="E4818">
        <f>MONTH(OrdersTable[[#This Row],[Order Date]])</f>
        <v>12</v>
      </c>
      <c r="F4818" t="s">
        <v>3351</v>
      </c>
      <c r="G4818" t="str">
        <f>IF(OrdersTable[[#This Row],[Order Date]]=_xlfn.MINIFS(Order_Date, Customer_ID, OrdersTable[[#This Row],[Customer ID]]), "New", "Repeat")</f>
        <v>Repeat</v>
      </c>
      <c r="H4818" t="s">
        <v>71</v>
      </c>
      <c r="I4818" t="str">
        <f>INDEX(State!B:B,MATCH(OrdersTable[[#This Row],[State]],State!A:A,0))</f>
        <v>MH</v>
      </c>
      <c r="J4818" t="str">
        <f>INDEX(State!C:C,MATCH(OrdersTable[[#This Row],[State Code]],State!B:B,0))</f>
        <v>West</v>
      </c>
      <c r="K4818" t="s">
        <v>72</v>
      </c>
      <c r="L4818" t="s">
        <v>23</v>
      </c>
      <c r="M4818" t="s">
        <v>40</v>
      </c>
      <c r="N4818" t="str">
        <f>INDEX(Products!B:B,MATCH(OrdersTable[[#This Row],[Product ID]],Products!A:A,0))</f>
        <v>Ashwagandha Capsules</v>
      </c>
      <c r="O4818" t="str">
        <f>INDEX(Products!C:C,MATCH(OrdersTable[[#This Row],[Product ID]],Products!A:A,0))</f>
        <v>Wellness</v>
      </c>
      <c r="P4818">
        <v>2</v>
      </c>
      <c r="Q4818" s="5">
        <v>499</v>
      </c>
      <c r="R4818" s="74">
        <v>0</v>
      </c>
      <c r="S4818" s="75">
        <f>OrdersTable[[#This Row],[Quantity]]*OrdersTable[[#This Row],[Unit Price]]</f>
        <v>998</v>
      </c>
      <c r="T4818" s="5">
        <f>OrdersTable[[#This Row],[Gross Sale]]*OrdersTable[[#This Row],[Discount_Clean2]]</f>
        <v>0</v>
      </c>
      <c r="U4818" s="5">
        <f>OrdersTable[[#This Row],[Gross Sale]]-OrdersTable[[#This Row],[Discount Amount]]</f>
        <v>998</v>
      </c>
      <c r="V4818" s="77">
        <f>INDEX(Products!E:E,MATCH(OrdersTable[[#This Row],[Product ID]],Products!A:A,0))</f>
        <v>150</v>
      </c>
      <c r="W4818" s="77">
        <f>OrdersTable[[#This Row],[Quantity]]*OrdersTable[[#This Row],[Unit Cost]]</f>
        <v>300</v>
      </c>
      <c r="X4818" s="77">
        <f>'Dropdown Lists'!$I$2*(1+OrdersTable[[#This Row],[Returned]])</f>
        <v>120</v>
      </c>
      <c r="Y4818" s="76">
        <f>OrdersTable[[#This Row],[Net Revenue]]-OrdersTable[[#This Row],[COGS]]-OrdersTable[[#This Row],[Shipping Cost]]</f>
        <v>578</v>
      </c>
      <c r="Z4818" s="78">
        <f>IFERROR(OrdersTable[[#This Row],[Profit]]/OrdersTable[[#This Row],[Net Revenue]],0)</f>
        <v>0.57915831663326656</v>
      </c>
      <c r="AA4818" t="s">
        <v>18</v>
      </c>
      <c r="AB4818" s="79">
        <v>46023</v>
      </c>
      <c r="AC4818">
        <f>OrdersTable[[#This Row],[Delivery Date]]-OrdersTable[[#This Row],[Order Date]]</f>
        <v>2</v>
      </c>
      <c r="AD4818" t="str">
        <f>IF(OrdersTable[[#This Row],[Delivery Days]]&lt;=2, "Express (≤2d)", IF(OrdersTable[[#This Row],[Delivery Days]]&lt;=4, "Standard (3-4d)", "Delayed (5d+)"))</f>
        <v>Express (≤2d)</v>
      </c>
      <c r="AF4818">
        <v>1</v>
      </c>
    </row>
    <row r="4819" spans="1:32" ht="15" x14ac:dyDescent="0.35">
      <c r="A4819" t="s">
        <v>426</v>
      </c>
      <c r="B4819" s="1">
        <v>46021</v>
      </c>
      <c r="C4819">
        <f>YEAR(OrdersTable[[#This Row],[Order Date]])</f>
        <v>2025</v>
      </c>
      <c r="D4819" s="2">
        <f>DATE(YEAR(OrdersTable[[#This Row],[Order Date]]),MONTH(OrdersTable[[#This Row],[Order Date]]),1)</f>
        <v>45992</v>
      </c>
      <c r="E4819">
        <f>MONTH(OrdersTable[[#This Row],[Order Date]])</f>
        <v>12</v>
      </c>
      <c r="F4819" t="s">
        <v>427</v>
      </c>
      <c r="G4819" t="str">
        <f>IF(OrdersTable[[#This Row],[Order Date]]=_xlfn.MINIFS(Order_Date, Customer_ID, OrdersTable[[#This Row],[Customer ID]]), "New", "Repeat")</f>
        <v>Repeat</v>
      </c>
      <c r="H4819" t="s">
        <v>71</v>
      </c>
      <c r="I4819" t="str">
        <f>INDEX(State!B:B,MATCH(OrdersTable[[#This Row],[State]],State!A:A,0))</f>
        <v>MH</v>
      </c>
      <c r="J4819" t="str">
        <f>INDEX(State!C:C,MATCH(OrdersTable[[#This Row],[State Code]],State!B:B,0))</f>
        <v>West</v>
      </c>
      <c r="K4819" t="s">
        <v>72</v>
      </c>
      <c r="L4819" t="s">
        <v>50</v>
      </c>
      <c r="M4819" t="s">
        <v>109</v>
      </c>
      <c r="N4819" t="str">
        <f>INDEX(Products!B:B,MATCH(OrdersTable[[#This Row],[Product ID]],Products!A:A,0))</f>
        <v>Onion Hair Oil</v>
      </c>
      <c r="O4819" t="str">
        <f>INDEX(Products!C:C,MATCH(OrdersTable[[#This Row],[Product ID]],Products!A:A,0))</f>
        <v>Haircare</v>
      </c>
      <c r="P4819">
        <v>1</v>
      </c>
      <c r="Q4819" s="5">
        <v>349</v>
      </c>
      <c r="R4819" s="74">
        <v>0.25</v>
      </c>
      <c r="S4819" s="75">
        <f>OrdersTable[[#This Row],[Quantity]]*OrdersTable[[#This Row],[Unit Price]]</f>
        <v>349</v>
      </c>
      <c r="T4819" s="5">
        <f>OrdersTable[[#This Row],[Gross Sale]]*OrdersTable[[#This Row],[Discount_Clean2]]</f>
        <v>87.25</v>
      </c>
      <c r="U4819" s="5">
        <f>OrdersTable[[#This Row],[Gross Sale]]-OrdersTable[[#This Row],[Discount Amount]]</f>
        <v>261.75</v>
      </c>
      <c r="V4819" s="77">
        <f>INDEX(Products!E:E,MATCH(OrdersTable[[#This Row],[Product ID]],Products!A:A,0))</f>
        <v>105</v>
      </c>
      <c r="W4819" s="77">
        <f>OrdersTable[[#This Row],[Quantity]]*OrdersTable[[#This Row],[Unit Cost]]</f>
        <v>105</v>
      </c>
      <c r="X4819" s="77">
        <f>'Dropdown Lists'!$I$2*(1+OrdersTable[[#This Row],[Returned]])</f>
        <v>60</v>
      </c>
      <c r="Y4819" s="76">
        <f>OrdersTable[[#This Row],[Net Revenue]]-OrdersTable[[#This Row],[COGS]]-OrdersTable[[#This Row],[Shipping Cost]]</f>
        <v>96.75</v>
      </c>
      <c r="Z4819" s="78">
        <f>IFERROR(OrdersTable[[#This Row],[Profit]]/OrdersTable[[#This Row],[Net Revenue]],0)</f>
        <v>0.36962750716332377</v>
      </c>
      <c r="AA4819" t="s">
        <v>18</v>
      </c>
      <c r="AB4819" s="79">
        <v>46023</v>
      </c>
      <c r="AC4819">
        <f>OrdersTable[[#This Row],[Delivery Date]]-OrdersTable[[#This Row],[Order Date]]</f>
        <v>2</v>
      </c>
      <c r="AD4819" t="str">
        <f>IF(OrdersTable[[#This Row],[Delivery Days]]&lt;=2, "Express (≤2d)", IF(OrdersTable[[#This Row],[Delivery Days]]&lt;=4, "Standard (3-4d)", "Delayed (5d+)"))</f>
        <v>Express (≤2d)</v>
      </c>
      <c r="AE4819">
        <v>4</v>
      </c>
      <c r="AF4819">
        <v>0</v>
      </c>
    </row>
    <row r="4820" spans="1:32" ht="15" x14ac:dyDescent="0.35">
      <c r="A4820" t="s">
        <v>720</v>
      </c>
      <c r="B4820" s="1">
        <v>46021</v>
      </c>
      <c r="C4820">
        <f>YEAR(OrdersTable[[#This Row],[Order Date]])</f>
        <v>2025</v>
      </c>
      <c r="D4820" s="2">
        <f>DATE(YEAR(OrdersTable[[#This Row],[Order Date]]),MONTH(OrdersTable[[#This Row],[Order Date]]),1)</f>
        <v>45992</v>
      </c>
      <c r="E4820">
        <f>MONTH(OrdersTable[[#This Row],[Order Date]])</f>
        <v>12</v>
      </c>
      <c r="F4820" t="s">
        <v>721</v>
      </c>
      <c r="G4820" t="str">
        <f>IF(OrdersTable[[#This Row],[Order Date]]=_xlfn.MINIFS(Order_Date, Customer_ID, OrdersTable[[#This Row],[Customer ID]]), "New", "Repeat")</f>
        <v>New</v>
      </c>
      <c r="H4820" t="s">
        <v>275</v>
      </c>
      <c r="I4820" t="str">
        <f>INDEX(State!B:B,MATCH(OrdersTable[[#This Row],[State]],State!A:A,0))</f>
        <v>AP</v>
      </c>
      <c r="J4820" t="str">
        <f>INDEX(State!C:C,MATCH(OrdersTable[[#This Row],[State Code]],State!B:B,0))</f>
        <v>South</v>
      </c>
      <c r="K4820" t="s">
        <v>276</v>
      </c>
      <c r="L4820" t="s">
        <v>65</v>
      </c>
      <c r="M4820" t="s">
        <v>106</v>
      </c>
      <c r="N4820" t="str">
        <f>INDEX(Products!B:B,MATCH(OrdersTable[[#This Row],[Product ID]],Products!A:A,0))</f>
        <v>Keratin Hair Mask</v>
      </c>
      <c r="O4820" t="str">
        <f>INDEX(Products!C:C,MATCH(OrdersTable[[#This Row],[Product ID]],Products!A:A,0))</f>
        <v>Haircare</v>
      </c>
      <c r="P4820">
        <v>1</v>
      </c>
      <c r="Q4820" s="5">
        <v>549</v>
      </c>
      <c r="R4820" s="74">
        <v>0.15</v>
      </c>
      <c r="S4820" s="75">
        <f>OrdersTable[[#This Row],[Quantity]]*OrdersTable[[#This Row],[Unit Price]]</f>
        <v>549</v>
      </c>
      <c r="T4820" s="5">
        <f>OrdersTable[[#This Row],[Gross Sale]]*OrdersTable[[#This Row],[Discount_Clean2]]</f>
        <v>82.35</v>
      </c>
      <c r="U4820" s="5">
        <f>OrdersTable[[#This Row],[Gross Sale]]-OrdersTable[[#This Row],[Discount Amount]]</f>
        <v>466.65</v>
      </c>
      <c r="V4820" s="77">
        <f>INDEX(Products!E:E,MATCH(OrdersTable[[#This Row],[Product ID]],Products!A:A,0))</f>
        <v>170</v>
      </c>
      <c r="W4820" s="77">
        <f>OrdersTable[[#This Row],[Quantity]]*OrdersTable[[#This Row],[Unit Cost]]</f>
        <v>170</v>
      </c>
      <c r="X4820" s="77">
        <f>'Dropdown Lists'!$I$2*(1+OrdersTable[[#This Row],[Returned]])</f>
        <v>60</v>
      </c>
      <c r="Y4820" s="76">
        <f>OrdersTable[[#This Row],[Net Revenue]]-OrdersTable[[#This Row],[COGS]]-OrdersTable[[#This Row],[Shipping Cost]]</f>
        <v>236.64999999999998</v>
      </c>
      <c r="Z4820" s="78">
        <f>IFERROR(OrdersTable[[#This Row],[Profit]]/OrdersTable[[#This Row],[Net Revenue]],0)</f>
        <v>0.50712525447337398</v>
      </c>
      <c r="AA4820" t="s">
        <v>18</v>
      </c>
      <c r="AB4820" s="79">
        <v>46025</v>
      </c>
      <c r="AC4820">
        <f>OrdersTable[[#This Row],[Delivery Date]]-OrdersTable[[#This Row],[Order Date]]</f>
        <v>4</v>
      </c>
      <c r="AD4820" t="str">
        <f>IF(OrdersTable[[#This Row],[Delivery Days]]&lt;=2, "Express (≤2d)", IF(OrdersTable[[#This Row],[Delivery Days]]&lt;=4, "Standard (3-4d)", "Delayed (5d+)"))</f>
        <v>Standard (3-4d)</v>
      </c>
      <c r="AE4820">
        <v>4</v>
      </c>
      <c r="AF4820">
        <v>0</v>
      </c>
    </row>
    <row r="4821" spans="1:32" ht="15" x14ac:dyDescent="0.35">
      <c r="A4821" t="s">
        <v>6242</v>
      </c>
      <c r="B4821" s="1">
        <v>46021</v>
      </c>
      <c r="C4821">
        <f>YEAR(OrdersTable[[#This Row],[Order Date]])</f>
        <v>2025</v>
      </c>
      <c r="D4821" s="2">
        <f>DATE(YEAR(OrdersTable[[#This Row],[Order Date]]),MONTH(OrdersTable[[#This Row],[Order Date]]),1)</f>
        <v>45992</v>
      </c>
      <c r="E4821">
        <f>MONTH(OrdersTable[[#This Row],[Order Date]])</f>
        <v>12</v>
      </c>
      <c r="F4821" t="s">
        <v>6243</v>
      </c>
      <c r="G4821" t="str">
        <f>IF(OrdersTable[[#This Row],[Order Date]]=_xlfn.MINIFS(Order_Date, Customer_ID, OrdersTable[[#This Row],[Customer ID]]), "New", "Repeat")</f>
        <v>New</v>
      </c>
      <c r="H4821" t="s">
        <v>275</v>
      </c>
      <c r="I4821" t="str">
        <f>INDEX(State!B:B,MATCH(OrdersTable[[#This Row],[State]],State!A:A,0))</f>
        <v>AP</v>
      </c>
      <c r="J4821" t="str">
        <f>INDEX(State!C:C,MATCH(OrdersTable[[#This Row],[State Code]],State!B:B,0))</f>
        <v>South</v>
      </c>
      <c r="K4821" t="s">
        <v>491</v>
      </c>
      <c r="L4821" t="s">
        <v>23</v>
      </c>
      <c r="M4821" t="s">
        <v>61</v>
      </c>
      <c r="N4821" t="str">
        <f>INDEX(Products!B:B,MATCH(OrdersTable[[#This Row],[Product ID]],Products!A:A,0))</f>
        <v>Multivitamin Gummies</v>
      </c>
      <c r="O4821" t="str">
        <f>INDEX(Products!C:C,MATCH(OrdersTable[[#This Row],[Product ID]],Products!A:A,0))</f>
        <v>Wellness</v>
      </c>
      <c r="P4821">
        <v>2</v>
      </c>
      <c r="Q4821" s="5">
        <v>699</v>
      </c>
      <c r="R4821" s="74">
        <v>0.3</v>
      </c>
      <c r="S4821" s="75">
        <f>OrdersTable[[#This Row],[Quantity]]*OrdersTable[[#This Row],[Unit Price]]</f>
        <v>1398</v>
      </c>
      <c r="T4821" s="5">
        <f>OrdersTable[[#This Row],[Gross Sale]]*OrdersTable[[#This Row],[Discount_Clean2]]</f>
        <v>419.4</v>
      </c>
      <c r="U4821" s="5">
        <f>OrdersTable[[#This Row],[Gross Sale]]-OrdersTable[[#This Row],[Discount Amount]]</f>
        <v>978.6</v>
      </c>
      <c r="V4821" s="77">
        <f>INDEX(Products!E:E,MATCH(OrdersTable[[#This Row],[Product ID]],Products!A:A,0))</f>
        <v>238</v>
      </c>
      <c r="W4821" s="77">
        <f>OrdersTable[[#This Row],[Quantity]]*OrdersTable[[#This Row],[Unit Cost]]</f>
        <v>476</v>
      </c>
      <c r="X4821" s="77">
        <f>'Dropdown Lists'!$I$2*(1+OrdersTable[[#This Row],[Returned]])</f>
        <v>60</v>
      </c>
      <c r="Y4821" s="76">
        <f>OrdersTable[[#This Row],[Net Revenue]]-OrdersTable[[#This Row],[COGS]]-OrdersTable[[#This Row],[Shipping Cost]]</f>
        <v>442.6</v>
      </c>
      <c r="Z4821" s="78">
        <f>IFERROR(OrdersTable[[#This Row],[Profit]]/OrdersTable[[#This Row],[Net Revenue]],0)</f>
        <v>0.45227876558348662</v>
      </c>
      <c r="AA4821" t="s">
        <v>18</v>
      </c>
      <c r="AB4821" s="79">
        <v>46025</v>
      </c>
      <c r="AC4821">
        <f>OrdersTable[[#This Row],[Delivery Date]]-OrdersTable[[#This Row],[Order Date]]</f>
        <v>4</v>
      </c>
      <c r="AD4821" t="str">
        <f>IF(OrdersTable[[#This Row],[Delivery Days]]&lt;=2, "Express (≤2d)", IF(OrdersTable[[#This Row],[Delivery Days]]&lt;=4, "Standard (3-4d)", "Delayed (5d+)"))</f>
        <v>Standard (3-4d)</v>
      </c>
      <c r="AE4821">
        <v>4</v>
      </c>
      <c r="AF4821">
        <v>0</v>
      </c>
    </row>
    <row r="4822" spans="1:32" ht="15" x14ac:dyDescent="0.35">
      <c r="A4822" t="s">
        <v>6934</v>
      </c>
      <c r="B4822" s="1">
        <v>46022</v>
      </c>
      <c r="C4822">
        <f>YEAR(OrdersTable[[#This Row],[Order Date]])</f>
        <v>2025</v>
      </c>
      <c r="D4822" s="2">
        <f>DATE(YEAR(OrdersTable[[#This Row],[Order Date]]),MONTH(OrdersTable[[#This Row],[Order Date]]),1)</f>
        <v>45992</v>
      </c>
      <c r="E4822">
        <f>MONTH(OrdersTable[[#This Row],[Order Date]])</f>
        <v>12</v>
      </c>
      <c r="F4822" t="s">
        <v>819</v>
      </c>
      <c r="G4822" t="str">
        <f>IF(OrdersTable[[#This Row],[Order Date]]=_xlfn.MINIFS(Order_Date, Customer_ID, OrdersTable[[#This Row],[Customer ID]]), "New", "Repeat")</f>
        <v>Repeat</v>
      </c>
      <c r="H4822" t="s">
        <v>210</v>
      </c>
      <c r="I4822" t="str">
        <f>INDEX(State!B:B,MATCH(OrdersTable[[#This Row],[State]],State!A:A,0))</f>
        <v>JK</v>
      </c>
      <c r="J4822" t="str">
        <f>INDEX(State!C:C,MATCH(OrdersTable[[#This Row],[State Code]],State!B:B,0))</f>
        <v>North</v>
      </c>
      <c r="K4822" t="s">
        <v>211</v>
      </c>
      <c r="L4822" t="s">
        <v>23</v>
      </c>
      <c r="M4822" t="s">
        <v>56</v>
      </c>
      <c r="N4822" t="str">
        <f>INDEX(Products!B:B,MATCH(OrdersTable[[#This Row],[Product ID]],Products!A:A,0))</f>
        <v>Vitamin C Face Serum</v>
      </c>
      <c r="O4822" t="str">
        <f>INDEX(Products!C:C,MATCH(OrdersTable[[#This Row],[Product ID]],Products!A:A,0))</f>
        <v>Skincare</v>
      </c>
      <c r="P4822">
        <v>3</v>
      </c>
      <c r="Q4822" s="5">
        <v>599</v>
      </c>
      <c r="R4822" s="74">
        <v>0.2</v>
      </c>
      <c r="S4822" s="75">
        <f>OrdersTable[[#This Row],[Quantity]]*OrdersTable[[#This Row],[Unit Price]]</f>
        <v>1797</v>
      </c>
      <c r="T4822" s="5">
        <f>OrdersTable[[#This Row],[Gross Sale]]*OrdersTable[[#This Row],[Discount_Clean2]]</f>
        <v>359.40000000000003</v>
      </c>
      <c r="U4822" s="5">
        <f>OrdersTable[[#This Row],[Gross Sale]]-OrdersTable[[#This Row],[Discount Amount]]</f>
        <v>1437.6</v>
      </c>
      <c r="V4822" s="77">
        <f>INDEX(Products!E:E,MATCH(OrdersTable[[#This Row],[Product ID]],Products!A:A,0))</f>
        <v>180</v>
      </c>
      <c r="W4822" s="77">
        <f>OrdersTable[[#This Row],[Quantity]]*OrdersTable[[#This Row],[Unit Cost]]</f>
        <v>540</v>
      </c>
      <c r="X4822" s="77">
        <f>'Dropdown Lists'!$I$2*(1+OrdersTable[[#This Row],[Returned]])</f>
        <v>60</v>
      </c>
      <c r="Y4822" s="76">
        <f>OrdersTable[[#This Row],[Net Revenue]]-OrdersTable[[#This Row],[COGS]]-OrdersTable[[#This Row],[Shipping Cost]]</f>
        <v>837.59999999999991</v>
      </c>
      <c r="Z4822" s="78">
        <f>IFERROR(OrdersTable[[#This Row],[Profit]]/OrdersTable[[#This Row],[Net Revenue]],0)</f>
        <v>0.58263772954924875</v>
      </c>
      <c r="AA4822" t="s">
        <v>4450</v>
      </c>
      <c r="AB4822" s="79">
        <v>46026</v>
      </c>
      <c r="AC4822">
        <f>OrdersTable[[#This Row],[Delivery Date]]-OrdersTable[[#This Row],[Order Date]]</f>
        <v>4</v>
      </c>
      <c r="AD4822" t="str">
        <f>IF(OrdersTable[[#This Row],[Delivery Days]]&lt;=2, "Express (≤2d)", IF(OrdersTable[[#This Row],[Delivery Days]]&lt;=4, "Standard (3-4d)", "Delayed (5d+)"))</f>
        <v>Standard (3-4d)</v>
      </c>
      <c r="AE4822">
        <v>3</v>
      </c>
      <c r="AF4822">
        <v>0</v>
      </c>
    </row>
    <row r="4823" spans="1:32" ht="15" x14ac:dyDescent="0.35">
      <c r="A4823" t="s">
        <v>6244</v>
      </c>
      <c r="B4823" s="1">
        <v>46022</v>
      </c>
      <c r="C4823">
        <f>YEAR(OrdersTable[[#This Row],[Order Date]])</f>
        <v>2025</v>
      </c>
      <c r="D4823" s="2">
        <f>DATE(YEAR(OrdersTable[[#This Row],[Order Date]]),MONTH(OrdersTable[[#This Row],[Order Date]]),1)</f>
        <v>45992</v>
      </c>
      <c r="E4823">
        <f>MONTH(OrdersTable[[#This Row],[Order Date]])</f>
        <v>12</v>
      </c>
      <c r="F4823" t="s">
        <v>280</v>
      </c>
      <c r="G4823" t="str">
        <f>IF(OrdersTable[[#This Row],[Order Date]]=_xlfn.MINIFS(Order_Date, Customer_ID, OrdersTable[[#This Row],[Customer ID]]), "New", "Repeat")</f>
        <v>Repeat</v>
      </c>
      <c r="H4823" t="s">
        <v>54</v>
      </c>
      <c r="I4823" t="str">
        <f>INDEX(State!B:B,MATCH(OrdersTable[[#This Row],[State]],State!A:A,0))</f>
        <v>RJ</v>
      </c>
      <c r="J4823" t="str">
        <f>INDEX(State!C:C,MATCH(OrdersTable[[#This Row],[State Code]],State!B:B,0))</f>
        <v>North</v>
      </c>
      <c r="K4823" t="s">
        <v>227</v>
      </c>
      <c r="L4823" t="s">
        <v>23</v>
      </c>
      <c r="M4823" t="s">
        <v>73</v>
      </c>
      <c r="N4823" t="str">
        <f>INDEX(Products!B:B,MATCH(OrdersTable[[#This Row],[Product ID]],Products!A:A,0))</f>
        <v>Hydrating Face Wash</v>
      </c>
      <c r="O4823" t="str">
        <f>INDEX(Products!C:C,MATCH(OrdersTable[[#This Row],[Product ID]],Products!A:A,0))</f>
        <v>Skincare</v>
      </c>
      <c r="P4823">
        <v>2</v>
      </c>
      <c r="Q4823" s="5">
        <v>299</v>
      </c>
      <c r="R4823" s="74">
        <v>0</v>
      </c>
      <c r="S4823" s="75">
        <f>OrdersTable[[#This Row],[Quantity]]*OrdersTable[[#This Row],[Unit Price]]</f>
        <v>598</v>
      </c>
      <c r="T4823" s="5">
        <f>OrdersTable[[#This Row],[Gross Sale]]*OrdersTable[[#This Row],[Discount_Clean2]]</f>
        <v>0</v>
      </c>
      <c r="U4823" s="5">
        <f>OrdersTable[[#This Row],[Gross Sale]]-OrdersTable[[#This Row],[Discount Amount]]</f>
        <v>598</v>
      </c>
      <c r="V4823" s="77">
        <f>INDEX(Products!E:E,MATCH(OrdersTable[[#This Row],[Product ID]],Products!A:A,0))</f>
        <v>90</v>
      </c>
      <c r="W4823" s="77">
        <f>OrdersTable[[#This Row],[Quantity]]*OrdersTable[[#This Row],[Unit Cost]]</f>
        <v>180</v>
      </c>
      <c r="X4823" s="77">
        <f>'Dropdown Lists'!$I$2*(1+OrdersTable[[#This Row],[Returned]])</f>
        <v>60</v>
      </c>
      <c r="Y4823" s="76">
        <f>OrdersTable[[#This Row],[Net Revenue]]-OrdersTable[[#This Row],[COGS]]-OrdersTable[[#This Row],[Shipping Cost]]</f>
        <v>358</v>
      </c>
      <c r="Z4823" s="78">
        <f>IFERROR(OrdersTable[[#This Row],[Profit]]/OrdersTable[[#This Row],[Net Revenue]],0)</f>
        <v>0.59866220735785958</v>
      </c>
      <c r="AA4823" t="s">
        <v>18</v>
      </c>
      <c r="AB4823" s="79">
        <v>46025</v>
      </c>
      <c r="AC4823">
        <f>OrdersTable[[#This Row],[Delivery Date]]-OrdersTable[[#This Row],[Order Date]]</f>
        <v>3</v>
      </c>
      <c r="AD4823" t="str">
        <f>IF(OrdersTable[[#This Row],[Delivery Days]]&lt;=2, "Express (≤2d)", IF(OrdersTable[[#This Row],[Delivery Days]]&lt;=4, "Standard (3-4d)", "Delayed (5d+)"))</f>
        <v>Standard (3-4d)</v>
      </c>
      <c r="AE4823">
        <v>4</v>
      </c>
      <c r="AF4823">
        <v>0</v>
      </c>
    </row>
    <row r="4824" spans="1:32" ht="15" x14ac:dyDescent="0.35">
      <c r="A4824" t="s">
        <v>4896</v>
      </c>
      <c r="B4824" s="1">
        <v>46022</v>
      </c>
      <c r="C4824">
        <f>YEAR(OrdersTable[[#This Row],[Order Date]])</f>
        <v>2025</v>
      </c>
      <c r="D4824" s="2">
        <f>DATE(YEAR(OrdersTable[[#This Row],[Order Date]]),MONTH(OrdersTable[[#This Row],[Order Date]]),1)</f>
        <v>45992</v>
      </c>
      <c r="E4824">
        <f>MONTH(OrdersTable[[#This Row],[Order Date]])</f>
        <v>12</v>
      </c>
      <c r="F4824" t="s">
        <v>3445</v>
      </c>
      <c r="G4824" t="str">
        <f>IF(OrdersTable[[#This Row],[Order Date]]=_xlfn.MINIFS(Order_Date, Customer_ID, OrdersTable[[#This Row],[Customer ID]]), "New", "Repeat")</f>
        <v>Repeat</v>
      </c>
      <c r="H4824" t="s">
        <v>54</v>
      </c>
      <c r="I4824" t="str">
        <f>INDEX(State!B:B,MATCH(OrdersTable[[#This Row],[State]],State!A:A,0))</f>
        <v>RJ</v>
      </c>
      <c r="J4824" t="str">
        <f>INDEX(State!C:C,MATCH(OrdersTable[[#This Row],[State Code]],State!B:B,0))</f>
        <v>North</v>
      </c>
      <c r="K4824" t="s">
        <v>227</v>
      </c>
      <c r="L4824" t="s">
        <v>65</v>
      </c>
      <c r="M4824" t="s">
        <v>148</v>
      </c>
      <c r="N4824" t="str">
        <f>INDEX(Products!B:B,MATCH(OrdersTable[[#This Row],[Product ID]],Products!A:A,0))</f>
        <v>Smartwatch Strap</v>
      </c>
      <c r="O4824" t="str">
        <f>INDEX(Products!C:C,MATCH(OrdersTable[[#This Row],[Product ID]],Products!A:A,0))</f>
        <v>Electronics</v>
      </c>
      <c r="P4824">
        <v>2</v>
      </c>
      <c r="Q4824" s="5">
        <v>499</v>
      </c>
      <c r="R4824" s="74">
        <v>0.1</v>
      </c>
      <c r="S4824" s="75">
        <f>OrdersTable[[#This Row],[Quantity]]*OrdersTable[[#This Row],[Unit Price]]</f>
        <v>998</v>
      </c>
      <c r="T4824" s="5">
        <f>OrdersTable[[#This Row],[Gross Sale]]*OrdersTable[[#This Row],[Discount_Clean2]]</f>
        <v>99.800000000000011</v>
      </c>
      <c r="U4824" s="5">
        <f>OrdersTable[[#This Row],[Gross Sale]]-OrdersTable[[#This Row],[Discount Amount]]</f>
        <v>898.2</v>
      </c>
      <c r="V4824" s="77">
        <f>INDEX(Products!E:E,MATCH(OrdersTable[[#This Row],[Product ID]],Products!A:A,0))</f>
        <v>200</v>
      </c>
      <c r="W4824" s="77">
        <f>OrdersTable[[#This Row],[Quantity]]*OrdersTable[[#This Row],[Unit Cost]]</f>
        <v>400</v>
      </c>
      <c r="X4824" s="77">
        <f>'Dropdown Lists'!$I$2*(1+OrdersTable[[#This Row],[Returned]])</f>
        <v>60</v>
      </c>
      <c r="Y4824" s="76">
        <f>OrdersTable[[#This Row],[Net Revenue]]-OrdersTable[[#This Row],[COGS]]-OrdersTable[[#This Row],[Shipping Cost]]</f>
        <v>438.20000000000005</v>
      </c>
      <c r="Z4824" s="78">
        <f>IFERROR(OrdersTable[[#This Row],[Profit]]/OrdersTable[[#This Row],[Net Revenue]],0)</f>
        <v>0.4878646181251392</v>
      </c>
      <c r="AA4824" t="s">
        <v>4450</v>
      </c>
      <c r="AB4824" s="79">
        <v>46027</v>
      </c>
      <c r="AC4824">
        <f>OrdersTable[[#This Row],[Delivery Date]]-OrdersTable[[#This Row],[Order Date]]</f>
        <v>5</v>
      </c>
      <c r="AD4824" t="str">
        <f>IF(OrdersTable[[#This Row],[Delivery Days]]&lt;=2, "Express (≤2d)", IF(OrdersTable[[#This Row],[Delivery Days]]&lt;=4, "Standard (3-4d)", "Delayed (5d+)"))</f>
        <v>Delayed (5d+)</v>
      </c>
      <c r="AE4824">
        <v>4</v>
      </c>
      <c r="AF4824">
        <v>0</v>
      </c>
    </row>
    <row r="4825" spans="1:32" ht="15" x14ac:dyDescent="0.35">
      <c r="A4825" t="s">
        <v>2535</v>
      </c>
      <c r="B4825" s="1">
        <v>46022</v>
      </c>
      <c r="C4825">
        <f>YEAR(OrdersTable[[#This Row],[Order Date]])</f>
        <v>2025</v>
      </c>
      <c r="D4825" s="2">
        <f>DATE(YEAR(OrdersTable[[#This Row],[Order Date]]),MONTH(OrdersTable[[#This Row],[Order Date]]),1)</f>
        <v>45992</v>
      </c>
      <c r="E4825">
        <f>MONTH(OrdersTable[[#This Row],[Order Date]])</f>
        <v>12</v>
      </c>
      <c r="F4825" t="s">
        <v>2536</v>
      </c>
      <c r="G4825" t="str">
        <f>IF(OrdersTable[[#This Row],[Order Date]]=_xlfn.MINIFS(Order_Date, Customer_ID, OrdersTable[[#This Row],[Customer ID]]), "New", "Repeat")</f>
        <v>Repeat</v>
      </c>
      <c r="H4825" t="s">
        <v>32</v>
      </c>
      <c r="I4825" t="str">
        <f>INDEX(State!B:B,MATCH(OrdersTable[[#This Row],[State]],State!A:A,0))</f>
        <v>BR</v>
      </c>
      <c r="J4825" t="str">
        <f>INDEX(State!C:C,MATCH(OrdersTable[[#This Row],[State Code]],State!B:B,0))</f>
        <v>East</v>
      </c>
      <c r="K4825" t="s">
        <v>33</v>
      </c>
      <c r="L4825" t="s">
        <v>23</v>
      </c>
      <c r="M4825" t="s">
        <v>34</v>
      </c>
      <c r="N4825" t="str">
        <f>INDEX(Products!B:B,MATCH(OrdersTable[[#This Row],[Product ID]],Products!A:A,0))</f>
        <v>Flip Flops</v>
      </c>
      <c r="O4825" t="str">
        <f>INDEX(Products!C:C,MATCH(OrdersTable[[#This Row],[Product ID]],Products!A:A,0))</f>
        <v>Footwear</v>
      </c>
      <c r="P4825">
        <v>1</v>
      </c>
      <c r="Q4825" s="5">
        <v>399</v>
      </c>
      <c r="R4825" s="74">
        <v>0.15</v>
      </c>
      <c r="S4825" s="75">
        <f>OrdersTable[[#This Row],[Quantity]]*OrdersTable[[#This Row],[Unit Price]]</f>
        <v>399</v>
      </c>
      <c r="T4825" s="5">
        <f>OrdersTable[[#This Row],[Gross Sale]]*OrdersTable[[#This Row],[Discount_Clean2]]</f>
        <v>59.849999999999994</v>
      </c>
      <c r="U4825" s="5">
        <f>OrdersTable[[#This Row],[Gross Sale]]-OrdersTable[[#This Row],[Discount Amount]]</f>
        <v>339.15</v>
      </c>
      <c r="V4825" s="77">
        <f>INDEX(Products!E:E,MATCH(OrdersTable[[#This Row],[Product ID]],Products!A:A,0))</f>
        <v>152</v>
      </c>
      <c r="W4825" s="77">
        <f>OrdersTable[[#This Row],[Quantity]]*OrdersTable[[#This Row],[Unit Cost]]</f>
        <v>152</v>
      </c>
      <c r="X4825" s="77">
        <f>'Dropdown Lists'!$I$2*(1+OrdersTable[[#This Row],[Returned]])</f>
        <v>60</v>
      </c>
      <c r="Y4825" s="76">
        <f>OrdersTable[[#This Row],[Net Revenue]]-OrdersTable[[#This Row],[COGS]]-OrdersTable[[#This Row],[Shipping Cost]]</f>
        <v>127.14999999999998</v>
      </c>
      <c r="Z4825" s="78">
        <f>IFERROR(OrdersTable[[#This Row],[Profit]]/OrdersTable[[#This Row],[Net Revenue]],0)</f>
        <v>0.37490785787999409</v>
      </c>
      <c r="AA4825" t="s">
        <v>2522</v>
      </c>
      <c r="AB4825" s="79">
        <v>46027</v>
      </c>
      <c r="AC4825">
        <f>OrdersTable[[#This Row],[Delivery Date]]-OrdersTable[[#This Row],[Order Date]]</f>
        <v>5</v>
      </c>
      <c r="AD4825" t="str">
        <f>IF(OrdersTable[[#This Row],[Delivery Days]]&lt;=2, "Express (≤2d)", IF(OrdersTable[[#This Row],[Delivery Days]]&lt;=4, "Standard (3-4d)", "Delayed (5d+)"))</f>
        <v>Delayed (5d+)</v>
      </c>
      <c r="AE4825">
        <v>2</v>
      </c>
      <c r="AF4825">
        <v>0</v>
      </c>
    </row>
    <row r="4826" spans="1:32" ht="15" x14ac:dyDescent="0.35">
      <c r="A4826" t="s">
        <v>4209</v>
      </c>
      <c r="B4826" s="1">
        <v>46022</v>
      </c>
      <c r="C4826">
        <f>YEAR(OrdersTable[[#This Row],[Order Date]])</f>
        <v>2025</v>
      </c>
      <c r="D4826" s="2">
        <f>DATE(YEAR(OrdersTable[[#This Row],[Order Date]]),MONTH(OrdersTable[[#This Row],[Order Date]]),1)</f>
        <v>45992</v>
      </c>
      <c r="E4826">
        <f>MONTH(OrdersTable[[#This Row],[Order Date]])</f>
        <v>12</v>
      </c>
      <c r="F4826" t="s">
        <v>477</v>
      </c>
      <c r="G4826" t="str">
        <f>IF(OrdersTable[[#This Row],[Order Date]]=_xlfn.MINIFS(Order_Date, Customer_ID, OrdersTable[[#This Row],[Customer ID]]), "New", "Repeat")</f>
        <v>Repeat</v>
      </c>
      <c r="H4826" t="s">
        <v>132</v>
      </c>
      <c r="I4826" t="str">
        <f>INDEX(State!B:B,MATCH(OrdersTable[[#This Row],[State]],State!A:A,0))</f>
        <v>AS</v>
      </c>
      <c r="J4826" t="str">
        <f>INDEX(State!C:C,MATCH(OrdersTable[[#This Row],[State Code]],State!B:B,0))</f>
        <v>East</v>
      </c>
      <c r="K4826" t="s">
        <v>133</v>
      </c>
      <c r="L4826" t="s">
        <v>16</v>
      </c>
      <c r="M4826" t="s">
        <v>34</v>
      </c>
      <c r="N4826" t="str">
        <f>INDEX(Products!B:B,MATCH(OrdersTable[[#This Row],[Product ID]],Products!A:A,0))</f>
        <v>Flip Flops</v>
      </c>
      <c r="O4826" t="str">
        <f>INDEX(Products!C:C,MATCH(OrdersTable[[#This Row],[Product ID]],Products!A:A,0))</f>
        <v>Footwear</v>
      </c>
      <c r="P4826">
        <v>1</v>
      </c>
      <c r="Q4826" s="5">
        <v>399</v>
      </c>
      <c r="R4826" s="74">
        <v>0.1</v>
      </c>
      <c r="S4826" s="75">
        <f>OrdersTable[[#This Row],[Quantity]]*OrdersTable[[#This Row],[Unit Price]]</f>
        <v>399</v>
      </c>
      <c r="T4826" s="5">
        <f>OrdersTable[[#This Row],[Gross Sale]]*OrdersTable[[#This Row],[Discount_Clean2]]</f>
        <v>39.900000000000006</v>
      </c>
      <c r="U4826" s="5">
        <f>OrdersTable[[#This Row],[Gross Sale]]-OrdersTable[[#This Row],[Discount Amount]]</f>
        <v>359.1</v>
      </c>
      <c r="V4826" s="77">
        <f>INDEX(Products!E:E,MATCH(OrdersTable[[#This Row],[Product ID]],Products!A:A,0))</f>
        <v>152</v>
      </c>
      <c r="W4826" s="77">
        <f>OrdersTable[[#This Row],[Quantity]]*OrdersTable[[#This Row],[Unit Cost]]</f>
        <v>152</v>
      </c>
      <c r="X4826" s="77">
        <f>'Dropdown Lists'!$I$2*(1+OrdersTable[[#This Row],[Returned]])</f>
        <v>120</v>
      </c>
      <c r="Y4826" s="76">
        <f>OrdersTable[[#This Row],[Net Revenue]]-OrdersTable[[#This Row],[COGS]]-OrdersTable[[#This Row],[Shipping Cost]]</f>
        <v>87.100000000000023</v>
      </c>
      <c r="Z4826" s="78">
        <f>IFERROR(OrdersTable[[#This Row],[Profit]]/OrdersTable[[#This Row],[Net Revenue]],0)</f>
        <v>0.24255082149818996</v>
      </c>
      <c r="AA4826" t="s">
        <v>4074</v>
      </c>
      <c r="AB4826" s="79">
        <v>46030</v>
      </c>
      <c r="AC4826">
        <f>OrdersTable[[#This Row],[Delivery Date]]-OrdersTable[[#This Row],[Order Date]]</f>
        <v>8</v>
      </c>
      <c r="AD4826" t="str">
        <f>IF(OrdersTable[[#This Row],[Delivery Days]]&lt;=2, "Express (≤2d)", IF(OrdersTable[[#This Row],[Delivery Days]]&lt;=4, "Standard (3-4d)", "Delayed (5d+)"))</f>
        <v>Delayed (5d+)</v>
      </c>
      <c r="AE4826">
        <v>3</v>
      </c>
      <c r="AF4826">
        <v>1</v>
      </c>
    </row>
    <row r="4827" spans="1:32" ht="15" x14ac:dyDescent="0.35">
      <c r="A4827" t="s">
        <v>5056</v>
      </c>
      <c r="B4827" s="1">
        <v>46022</v>
      </c>
      <c r="C4827">
        <f>YEAR(OrdersTable[[#This Row],[Order Date]])</f>
        <v>2025</v>
      </c>
      <c r="D4827" s="2">
        <f>DATE(YEAR(OrdersTable[[#This Row],[Order Date]]),MONTH(OrdersTable[[#This Row],[Order Date]]),1)</f>
        <v>45992</v>
      </c>
      <c r="E4827">
        <f>MONTH(OrdersTable[[#This Row],[Order Date]])</f>
        <v>12</v>
      </c>
      <c r="F4827" t="s">
        <v>4548</v>
      </c>
      <c r="G4827" t="str">
        <f>IF(OrdersTable[[#This Row],[Order Date]]=_xlfn.MINIFS(Order_Date, Customer_ID, OrdersTable[[#This Row],[Customer ID]]), "New", "Repeat")</f>
        <v>Repeat</v>
      </c>
      <c r="H4827" t="s">
        <v>71</v>
      </c>
      <c r="I4827" t="str">
        <f>INDEX(State!B:B,MATCH(OrdersTable[[#This Row],[State]],State!A:A,0))</f>
        <v>MH</v>
      </c>
      <c r="J4827" t="str">
        <f>INDEX(State!C:C,MATCH(OrdersTable[[#This Row],[State Code]],State!B:B,0))</f>
        <v>West</v>
      </c>
      <c r="K4827" t="s">
        <v>72</v>
      </c>
      <c r="L4827" t="s">
        <v>23</v>
      </c>
      <c r="M4827" t="s">
        <v>109</v>
      </c>
      <c r="N4827" t="str">
        <f>INDEX(Products!B:B,MATCH(OrdersTable[[#This Row],[Product ID]],Products!A:A,0))</f>
        <v>Onion Hair Oil</v>
      </c>
      <c r="O4827" t="str">
        <f>INDEX(Products!C:C,MATCH(OrdersTable[[#This Row],[Product ID]],Products!A:A,0))</f>
        <v>Haircare</v>
      </c>
      <c r="P4827">
        <v>2</v>
      </c>
      <c r="Q4827" s="5">
        <v>349</v>
      </c>
      <c r="R4827" s="74">
        <v>0.3</v>
      </c>
      <c r="S4827" s="75">
        <f>OrdersTable[[#This Row],[Quantity]]*OrdersTable[[#This Row],[Unit Price]]</f>
        <v>698</v>
      </c>
      <c r="T4827" s="5">
        <f>OrdersTable[[#This Row],[Gross Sale]]*OrdersTable[[#This Row],[Discount_Clean2]]</f>
        <v>209.4</v>
      </c>
      <c r="U4827" s="5">
        <f>OrdersTable[[#This Row],[Gross Sale]]-OrdersTable[[#This Row],[Discount Amount]]</f>
        <v>488.6</v>
      </c>
      <c r="V4827" s="77">
        <f>INDEX(Products!E:E,MATCH(OrdersTable[[#This Row],[Product ID]],Products!A:A,0))</f>
        <v>105</v>
      </c>
      <c r="W4827" s="77">
        <f>OrdersTable[[#This Row],[Quantity]]*OrdersTable[[#This Row],[Unit Cost]]</f>
        <v>210</v>
      </c>
      <c r="X4827" s="77">
        <f>'Dropdown Lists'!$I$2*(1+OrdersTable[[#This Row],[Returned]])</f>
        <v>60</v>
      </c>
      <c r="Y4827" s="76">
        <f>OrdersTable[[#This Row],[Net Revenue]]-OrdersTable[[#This Row],[COGS]]-OrdersTable[[#This Row],[Shipping Cost]]</f>
        <v>218.60000000000002</v>
      </c>
      <c r="Z4827" s="78">
        <f>IFERROR(OrdersTable[[#This Row],[Profit]]/OrdersTable[[#This Row],[Net Revenue]],0)</f>
        <v>0.44740073679901765</v>
      </c>
      <c r="AA4827" t="s">
        <v>4074</v>
      </c>
      <c r="AB4827" s="79">
        <v>46023</v>
      </c>
      <c r="AC4827">
        <f>OrdersTable[[#This Row],[Delivery Date]]-OrdersTable[[#This Row],[Order Date]]</f>
        <v>1</v>
      </c>
      <c r="AD4827" t="str">
        <f>IF(OrdersTable[[#This Row],[Delivery Days]]&lt;=2, "Express (≤2d)", IF(OrdersTable[[#This Row],[Delivery Days]]&lt;=4, "Standard (3-4d)", "Delayed (5d+)"))</f>
        <v>Express (≤2d)</v>
      </c>
      <c r="AE4827">
        <v>4</v>
      </c>
      <c r="AF4827">
        <v>0</v>
      </c>
    </row>
    <row r="4828" spans="1:32" ht="15" x14ac:dyDescent="0.35">
      <c r="A4828" t="s">
        <v>6655</v>
      </c>
      <c r="B4828" s="1">
        <v>46022</v>
      </c>
      <c r="C4828">
        <f>YEAR(OrdersTable[[#This Row],[Order Date]])</f>
        <v>2025</v>
      </c>
      <c r="D4828" s="2">
        <f>DATE(YEAR(OrdersTable[[#This Row],[Order Date]]),MONTH(OrdersTable[[#This Row],[Order Date]]),1)</f>
        <v>45992</v>
      </c>
      <c r="E4828">
        <f>MONTH(OrdersTable[[#This Row],[Order Date]])</f>
        <v>12</v>
      </c>
      <c r="F4828" t="s">
        <v>6656</v>
      </c>
      <c r="G4828" t="str">
        <f>IF(OrdersTable[[#This Row],[Order Date]]=_xlfn.MINIFS(Order_Date, Customer_ID, OrdersTable[[#This Row],[Customer ID]]), "New", "Repeat")</f>
        <v>New</v>
      </c>
      <c r="H4828" t="s">
        <v>71</v>
      </c>
      <c r="I4828" t="str">
        <f>INDEX(State!B:B,MATCH(OrdersTable[[#This Row],[State]],State!A:A,0))</f>
        <v>MH</v>
      </c>
      <c r="J4828" t="str">
        <f>INDEX(State!C:C,MATCH(OrdersTable[[#This Row],[State Code]],State!B:B,0))</f>
        <v>West</v>
      </c>
      <c r="K4828" t="s">
        <v>102</v>
      </c>
      <c r="L4828" t="s">
        <v>50</v>
      </c>
      <c r="M4828" t="s">
        <v>109</v>
      </c>
      <c r="N4828" t="str">
        <f>INDEX(Products!B:B,MATCH(OrdersTable[[#This Row],[Product ID]],Products!A:A,0))</f>
        <v>Onion Hair Oil</v>
      </c>
      <c r="O4828" t="str">
        <f>INDEX(Products!C:C,MATCH(OrdersTable[[#This Row],[Product ID]],Products!A:A,0))</f>
        <v>Haircare</v>
      </c>
      <c r="P4828">
        <v>3</v>
      </c>
      <c r="Q4828" s="5">
        <v>349</v>
      </c>
      <c r="R4828" s="74">
        <v>0.4</v>
      </c>
      <c r="S4828" s="75">
        <f>OrdersTable[[#This Row],[Quantity]]*OrdersTable[[#This Row],[Unit Price]]</f>
        <v>1047</v>
      </c>
      <c r="T4828" s="5">
        <f>OrdersTable[[#This Row],[Gross Sale]]*OrdersTable[[#This Row],[Discount_Clean2]]</f>
        <v>418.8</v>
      </c>
      <c r="U4828" s="5">
        <f>OrdersTable[[#This Row],[Gross Sale]]-OrdersTable[[#This Row],[Discount Amount]]</f>
        <v>628.20000000000005</v>
      </c>
      <c r="V4828" s="77">
        <f>INDEX(Products!E:E,MATCH(OrdersTable[[#This Row],[Product ID]],Products!A:A,0))</f>
        <v>105</v>
      </c>
      <c r="W4828" s="77">
        <f>OrdersTable[[#This Row],[Quantity]]*OrdersTable[[#This Row],[Unit Cost]]</f>
        <v>315</v>
      </c>
      <c r="X4828" s="77">
        <f>'Dropdown Lists'!$I$2*(1+OrdersTable[[#This Row],[Returned]])</f>
        <v>60</v>
      </c>
      <c r="Y4828" s="76">
        <f>OrdersTable[[#This Row],[Net Revenue]]-OrdersTable[[#This Row],[COGS]]-OrdersTable[[#This Row],[Shipping Cost]]</f>
        <v>253.20000000000005</v>
      </c>
      <c r="Z4828" s="78">
        <f>IFERROR(OrdersTable[[#This Row],[Profit]]/OrdersTable[[#This Row],[Net Revenue]],0)</f>
        <v>0.40305635148042029</v>
      </c>
      <c r="AA4828" t="s">
        <v>18</v>
      </c>
      <c r="AB4828" s="79">
        <v>46024</v>
      </c>
      <c r="AC4828">
        <f>OrdersTable[[#This Row],[Delivery Date]]-OrdersTable[[#This Row],[Order Date]]</f>
        <v>2</v>
      </c>
      <c r="AD4828" t="str">
        <f>IF(OrdersTable[[#This Row],[Delivery Days]]&lt;=2, "Express (≤2d)", IF(OrdersTable[[#This Row],[Delivery Days]]&lt;=4, "Standard (3-4d)", "Delayed (5d+)"))</f>
        <v>Express (≤2d)</v>
      </c>
      <c r="AF4828">
        <v>0</v>
      </c>
    </row>
    <row r="4829" spans="1:32" ht="15" x14ac:dyDescent="0.35">
      <c r="A4829" t="s">
        <v>6657</v>
      </c>
      <c r="B4829" s="1">
        <v>46022</v>
      </c>
      <c r="C4829">
        <f>YEAR(OrdersTable[[#This Row],[Order Date]])</f>
        <v>2025</v>
      </c>
      <c r="D4829" s="2">
        <f>DATE(YEAR(OrdersTable[[#This Row],[Order Date]]),MONTH(OrdersTable[[#This Row],[Order Date]]),1)</f>
        <v>45992</v>
      </c>
      <c r="E4829">
        <f>MONTH(OrdersTable[[#This Row],[Order Date]])</f>
        <v>12</v>
      </c>
      <c r="F4829" t="s">
        <v>6658</v>
      </c>
      <c r="G4829" t="str">
        <f>IF(OrdersTable[[#This Row],[Order Date]]=_xlfn.MINIFS(Order_Date, Customer_ID, OrdersTable[[#This Row],[Customer ID]]), "New", "Repeat")</f>
        <v>Repeat</v>
      </c>
      <c r="H4829" t="s">
        <v>95</v>
      </c>
      <c r="I4829" t="str">
        <f>INDEX(State!B:B,MATCH(OrdersTable[[#This Row],[State]],State!A:A,0))</f>
        <v>TG</v>
      </c>
      <c r="J4829" t="str">
        <f>INDEX(State!C:C,MATCH(OrdersTable[[#This Row],[State Code]],State!B:B,0))</f>
        <v>South</v>
      </c>
      <c r="K4829" t="s">
        <v>96</v>
      </c>
      <c r="L4829" t="s">
        <v>65</v>
      </c>
      <c r="M4829" t="s">
        <v>92</v>
      </c>
      <c r="N4829" t="str">
        <f>INDEX(Products!B:B,MATCH(OrdersTable[[#This Row],[Product ID]],Products!A:A,0))</f>
        <v>Kolhapuri Sandals</v>
      </c>
      <c r="O4829" t="str">
        <f>INDEX(Products!C:C,MATCH(OrdersTable[[#This Row],[Product ID]],Products!A:A,0))</f>
        <v>Footwear</v>
      </c>
      <c r="P4829">
        <v>3</v>
      </c>
      <c r="Q4829" s="5">
        <v>999</v>
      </c>
      <c r="R4829" s="74">
        <v>0</v>
      </c>
      <c r="S4829" s="75">
        <f>OrdersTable[[#This Row],[Quantity]]*OrdersTable[[#This Row],[Unit Price]]</f>
        <v>2997</v>
      </c>
      <c r="T4829" s="5">
        <f>OrdersTable[[#This Row],[Gross Sale]]*OrdersTable[[#This Row],[Discount_Clean2]]</f>
        <v>0</v>
      </c>
      <c r="U4829" s="5">
        <f>OrdersTable[[#This Row],[Gross Sale]]-OrdersTable[[#This Row],[Discount Amount]]</f>
        <v>2997</v>
      </c>
      <c r="V4829" s="77">
        <f>INDEX(Products!E:E,MATCH(OrdersTable[[#This Row],[Product ID]],Products!A:A,0))</f>
        <v>400</v>
      </c>
      <c r="W4829" s="77">
        <f>OrdersTable[[#This Row],[Quantity]]*OrdersTable[[#This Row],[Unit Cost]]</f>
        <v>1200</v>
      </c>
      <c r="X4829" s="77">
        <f>'Dropdown Lists'!$I$2*(1+OrdersTable[[#This Row],[Returned]])</f>
        <v>60</v>
      </c>
      <c r="Y4829" s="76">
        <f>OrdersTable[[#This Row],[Net Revenue]]-OrdersTable[[#This Row],[COGS]]-OrdersTable[[#This Row],[Shipping Cost]]</f>
        <v>1737</v>
      </c>
      <c r="Z4829" s="78">
        <f>IFERROR(OrdersTable[[#This Row],[Profit]]/OrdersTable[[#This Row],[Net Revenue]],0)</f>
        <v>0.57957957957957962</v>
      </c>
      <c r="AA4829" t="s">
        <v>18</v>
      </c>
      <c r="AB4829" s="79">
        <v>46024</v>
      </c>
      <c r="AC4829">
        <f>OrdersTable[[#This Row],[Delivery Date]]-OrdersTable[[#This Row],[Order Date]]</f>
        <v>2</v>
      </c>
      <c r="AD4829" t="str">
        <f>IF(OrdersTable[[#This Row],[Delivery Days]]&lt;=2, "Express (≤2d)", IF(OrdersTable[[#This Row],[Delivery Days]]&lt;=4, "Standard (3-4d)", "Delayed (5d+)"))</f>
        <v>Express (≤2d)</v>
      </c>
      <c r="AE4829">
        <v>4</v>
      </c>
      <c r="AF4829">
        <v>0</v>
      </c>
    </row>
    <row r="4830" spans="1:32" ht="15" x14ac:dyDescent="0.35">
      <c r="A4830" t="s">
        <v>2493</v>
      </c>
      <c r="B4830" s="1">
        <v>46022</v>
      </c>
      <c r="C4830">
        <f>YEAR(OrdersTable[[#This Row],[Order Date]])</f>
        <v>2025</v>
      </c>
      <c r="D4830" s="2">
        <f>DATE(YEAR(OrdersTable[[#This Row],[Order Date]]),MONTH(OrdersTable[[#This Row],[Order Date]]),1)</f>
        <v>45992</v>
      </c>
      <c r="E4830">
        <f>MONTH(OrdersTable[[#This Row],[Order Date]])</f>
        <v>12</v>
      </c>
      <c r="F4830" t="s">
        <v>2494</v>
      </c>
      <c r="G4830" t="str">
        <f>IF(OrdersTable[[#This Row],[Order Date]]=_xlfn.MINIFS(Order_Date, Customer_ID, OrdersTable[[#This Row],[Customer ID]]), "New", "Repeat")</f>
        <v>Repeat</v>
      </c>
      <c r="H4830" t="s">
        <v>95</v>
      </c>
      <c r="I4830" t="str">
        <f>INDEX(State!B:B,MATCH(OrdersTable[[#This Row],[State]],State!A:A,0))</f>
        <v>TG</v>
      </c>
      <c r="J4830" t="str">
        <f>INDEX(State!C:C,MATCH(OrdersTable[[#This Row],[State Code]],State!B:B,0))</f>
        <v>South</v>
      </c>
      <c r="K4830" t="s">
        <v>96</v>
      </c>
      <c r="L4830" t="s">
        <v>65</v>
      </c>
      <c r="M4830" t="s">
        <v>109</v>
      </c>
      <c r="N4830" t="str">
        <f>INDEX(Products!B:B,MATCH(OrdersTable[[#This Row],[Product ID]],Products!A:A,0))</f>
        <v>Onion Hair Oil</v>
      </c>
      <c r="O4830" t="str">
        <f>INDEX(Products!C:C,MATCH(OrdersTable[[#This Row],[Product ID]],Products!A:A,0))</f>
        <v>Haircare</v>
      </c>
      <c r="P4830">
        <v>1</v>
      </c>
      <c r="Q4830" s="5">
        <v>349</v>
      </c>
      <c r="R4830" s="74">
        <v>0.3</v>
      </c>
      <c r="S4830" s="75">
        <f>OrdersTable[[#This Row],[Quantity]]*OrdersTable[[#This Row],[Unit Price]]</f>
        <v>349</v>
      </c>
      <c r="T4830" s="5">
        <f>OrdersTable[[#This Row],[Gross Sale]]*OrdersTable[[#This Row],[Discount_Clean2]]</f>
        <v>104.7</v>
      </c>
      <c r="U4830" s="5">
        <f>OrdersTable[[#This Row],[Gross Sale]]-OrdersTable[[#This Row],[Discount Amount]]</f>
        <v>244.3</v>
      </c>
      <c r="V4830" s="77">
        <f>INDEX(Products!E:E,MATCH(OrdersTable[[#This Row],[Product ID]],Products!A:A,0))</f>
        <v>105</v>
      </c>
      <c r="W4830" s="77">
        <f>OrdersTable[[#This Row],[Quantity]]*OrdersTable[[#This Row],[Unit Cost]]</f>
        <v>105</v>
      </c>
      <c r="X4830" s="77">
        <f>'Dropdown Lists'!$I$2*(1+OrdersTable[[#This Row],[Returned]])</f>
        <v>60</v>
      </c>
      <c r="Y4830" s="76">
        <f>OrdersTable[[#This Row],[Net Revenue]]-OrdersTable[[#This Row],[COGS]]-OrdersTable[[#This Row],[Shipping Cost]]</f>
        <v>79.300000000000011</v>
      </c>
      <c r="Z4830" s="78">
        <f>IFERROR(OrdersTable[[#This Row],[Profit]]/OrdersTable[[#This Row],[Net Revenue]],0)</f>
        <v>0.32460090053213264</v>
      </c>
      <c r="AA4830" t="s">
        <v>18</v>
      </c>
      <c r="AB4830" s="79">
        <v>46024</v>
      </c>
      <c r="AC4830">
        <f>OrdersTable[[#This Row],[Delivery Date]]-OrdersTable[[#This Row],[Order Date]]</f>
        <v>2</v>
      </c>
      <c r="AD4830" t="str">
        <f>IF(OrdersTable[[#This Row],[Delivery Days]]&lt;=2, "Express (≤2d)", IF(OrdersTable[[#This Row],[Delivery Days]]&lt;=4, "Standard (3-4d)", "Delayed (5d+)"))</f>
        <v>Express (≤2d)</v>
      </c>
      <c r="AE4830">
        <v>5</v>
      </c>
      <c r="AF4830">
        <v>0</v>
      </c>
    </row>
    <row r="4831" spans="1:32" ht="15" x14ac:dyDescent="0.35">
      <c r="A4831" t="s">
        <v>7167</v>
      </c>
      <c r="B4831" s="1">
        <v>46022</v>
      </c>
      <c r="C4831">
        <f>YEAR(OrdersTable[[#This Row],[Order Date]])</f>
        <v>2025</v>
      </c>
      <c r="D4831" s="2">
        <f>DATE(YEAR(OrdersTable[[#This Row],[Order Date]]),MONTH(OrdersTable[[#This Row],[Order Date]]),1)</f>
        <v>45992</v>
      </c>
      <c r="E4831">
        <f>MONTH(OrdersTable[[#This Row],[Order Date]])</f>
        <v>12</v>
      </c>
      <c r="F4831" t="s">
        <v>5450</v>
      </c>
      <c r="G4831" t="str">
        <f>IF(OrdersTable[[#This Row],[Order Date]]=_xlfn.MINIFS(Order_Date, Customer_ID, OrdersTable[[#This Row],[Customer ID]]), "New", "Repeat")</f>
        <v>Repeat</v>
      </c>
      <c r="H4831" t="s">
        <v>90</v>
      </c>
      <c r="I4831" t="str">
        <f>INDEX(State!B:B,MATCH(OrdersTable[[#This Row],[State]],State!A:A,0))</f>
        <v>GA</v>
      </c>
      <c r="J4831" t="str">
        <f>INDEX(State!C:C,MATCH(OrdersTable[[#This Row],[State Code]],State!B:B,0))</f>
        <v>West</v>
      </c>
      <c r="K4831" t="s">
        <v>91</v>
      </c>
      <c r="L4831" t="s">
        <v>65</v>
      </c>
      <c r="M4831" t="s">
        <v>179</v>
      </c>
      <c r="N4831" t="str">
        <f>INDEX(Products!B:B,MATCH(OrdersTable[[#This Row],[Product ID]],Products!A:A,0))</f>
        <v>Whey Protein 1kg</v>
      </c>
      <c r="O4831" t="str">
        <f>INDEX(Products!C:C,MATCH(OrdersTable[[#This Row],[Product ID]],Products!A:A,0))</f>
        <v>Wellness</v>
      </c>
      <c r="P4831">
        <v>5</v>
      </c>
      <c r="Q4831" s="5">
        <v>2299</v>
      </c>
      <c r="R4831" s="74">
        <v>0.3</v>
      </c>
      <c r="S4831" s="75">
        <f>OrdersTable[[#This Row],[Quantity]]*OrdersTable[[#This Row],[Unit Price]]</f>
        <v>11495</v>
      </c>
      <c r="T4831" s="5">
        <f>OrdersTable[[#This Row],[Gross Sale]]*OrdersTable[[#This Row],[Discount_Clean2]]</f>
        <v>3448.5</v>
      </c>
      <c r="U4831" s="5">
        <f>OrdersTable[[#This Row],[Gross Sale]]-OrdersTable[[#This Row],[Discount Amount]]</f>
        <v>8046.5</v>
      </c>
      <c r="V4831" s="77">
        <f>INDEX(Products!E:E,MATCH(OrdersTable[[#This Row],[Product ID]],Products!A:A,0))</f>
        <v>1333</v>
      </c>
      <c r="W4831" s="77">
        <f>OrdersTable[[#This Row],[Quantity]]*OrdersTable[[#This Row],[Unit Cost]]</f>
        <v>6665</v>
      </c>
      <c r="X4831" s="77">
        <f>'Dropdown Lists'!$I$2*(1+OrdersTable[[#This Row],[Returned]])</f>
        <v>60</v>
      </c>
      <c r="Y4831" s="76">
        <f>OrdersTable[[#This Row],[Net Revenue]]-OrdersTable[[#This Row],[COGS]]-OrdersTable[[#This Row],[Shipping Cost]]</f>
        <v>1321.5</v>
      </c>
      <c r="Z4831" s="78">
        <f>IFERROR(OrdersTable[[#This Row],[Profit]]/OrdersTable[[#This Row],[Net Revenue]],0)</f>
        <v>0.16423289629031257</v>
      </c>
      <c r="AA4831" t="s">
        <v>18</v>
      </c>
      <c r="AB4831" s="79">
        <v>46024</v>
      </c>
      <c r="AC4831">
        <f>OrdersTable[[#This Row],[Delivery Date]]-OrdersTable[[#This Row],[Order Date]]</f>
        <v>2</v>
      </c>
      <c r="AD4831" t="str">
        <f>IF(OrdersTable[[#This Row],[Delivery Days]]&lt;=2, "Express (≤2d)", IF(OrdersTable[[#This Row],[Delivery Days]]&lt;=4, "Standard (3-4d)", "Delayed (5d+)"))</f>
        <v>Express (≤2d)</v>
      </c>
      <c r="AF4831">
        <v>0</v>
      </c>
    </row>
    <row r="4832" spans="1:32" ht="15" x14ac:dyDescent="0.35">
      <c r="A4832" t="s">
        <v>3140</v>
      </c>
      <c r="B4832" s="1">
        <v>46022</v>
      </c>
      <c r="C4832">
        <f>YEAR(OrdersTable[[#This Row],[Order Date]])</f>
        <v>2025</v>
      </c>
      <c r="D4832" s="2">
        <f>DATE(YEAR(OrdersTable[[#This Row],[Order Date]]),MONTH(OrdersTable[[#This Row],[Order Date]]),1)</f>
        <v>45992</v>
      </c>
      <c r="E4832">
        <f>MONTH(OrdersTable[[#This Row],[Order Date]])</f>
        <v>12</v>
      </c>
      <c r="F4832" t="s">
        <v>487</v>
      </c>
      <c r="G4832" t="str">
        <f>IF(OrdersTable[[#This Row],[Order Date]]=_xlfn.MINIFS(Order_Date, Customer_ID, OrdersTable[[#This Row],[Customer ID]]), "New", "Repeat")</f>
        <v>Repeat</v>
      </c>
      <c r="H4832" t="s">
        <v>167</v>
      </c>
      <c r="I4832" t="str">
        <f>INDEX(State!B:B,MATCH(OrdersTable[[#This Row],[State]],State!A:A,0))</f>
        <v>KA</v>
      </c>
      <c r="J4832" t="str">
        <f>INDEX(State!C:C,MATCH(OrdersTable[[#This Row],[State Code]],State!B:B,0))</f>
        <v>South</v>
      </c>
      <c r="K4832" t="s">
        <v>168</v>
      </c>
      <c r="L4832" t="s">
        <v>16</v>
      </c>
      <c r="M4832" t="s">
        <v>576</v>
      </c>
      <c r="N4832" t="str">
        <f>INDEX(Products!B:B,MATCH(OrdersTable[[#This Row],[Product ID]],Products!A:A,0))</f>
        <v>Printed Saree</v>
      </c>
      <c r="O4832" t="str">
        <f>INDEX(Products!C:C,MATCH(OrdersTable[[#This Row],[Product ID]],Products!A:A,0))</f>
        <v>Apparel</v>
      </c>
      <c r="P4832">
        <v>1</v>
      </c>
      <c r="Q4832" s="5">
        <v>1999</v>
      </c>
      <c r="R4832" s="74">
        <v>0.05</v>
      </c>
      <c r="S4832" s="75">
        <f>OrdersTable[[#This Row],[Quantity]]*OrdersTable[[#This Row],[Unit Price]]</f>
        <v>1999</v>
      </c>
      <c r="T4832" s="5">
        <f>OrdersTable[[#This Row],[Gross Sale]]*OrdersTable[[#This Row],[Discount_Clean2]]</f>
        <v>99.95</v>
      </c>
      <c r="U4832" s="5">
        <f>OrdersTable[[#This Row],[Gross Sale]]-OrdersTable[[#This Row],[Discount Amount]]</f>
        <v>1899.05</v>
      </c>
      <c r="V4832" s="77">
        <f>INDEX(Products!E:E,MATCH(OrdersTable[[#This Row],[Product ID]],Products!A:A,0))</f>
        <v>880</v>
      </c>
      <c r="W4832" s="77">
        <f>OrdersTable[[#This Row],[Quantity]]*OrdersTable[[#This Row],[Unit Cost]]</f>
        <v>880</v>
      </c>
      <c r="X4832" s="77">
        <f>'Dropdown Lists'!$I$2*(1+OrdersTable[[#This Row],[Returned]])</f>
        <v>120</v>
      </c>
      <c r="Y4832" s="76">
        <f>OrdersTable[[#This Row],[Net Revenue]]-OrdersTable[[#This Row],[COGS]]-OrdersTable[[#This Row],[Shipping Cost]]</f>
        <v>899.05</v>
      </c>
      <c r="Z4832" s="78">
        <f>IFERROR(OrdersTable[[#This Row],[Profit]]/OrdersTable[[#This Row],[Net Revenue]],0)</f>
        <v>0.47342092098680916</v>
      </c>
      <c r="AA4832" t="s">
        <v>2522</v>
      </c>
      <c r="AB4832" s="79">
        <v>46023</v>
      </c>
      <c r="AC4832">
        <f>OrdersTable[[#This Row],[Delivery Date]]-OrdersTable[[#This Row],[Order Date]]</f>
        <v>1</v>
      </c>
      <c r="AD4832" t="str">
        <f>IF(OrdersTable[[#This Row],[Delivery Days]]&lt;=2, "Express (≤2d)", IF(OrdersTable[[#This Row],[Delivery Days]]&lt;=4, "Standard (3-4d)", "Delayed (5d+)"))</f>
        <v>Express (≤2d)</v>
      </c>
      <c r="AF4832">
        <v>1</v>
      </c>
    </row>
    <row r="4833" spans="1:32" ht="15" x14ac:dyDescent="0.35">
      <c r="A4833" t="s">
        <v>4552</v>
      </c>
      <c r="B4833" s="1">
        <v>46022</v>
      </c>
      <c r="C4833">
        <f>YEAR(OrdersTable[[#This Row],[Order Date]])</f>
        <v>2025</v>
      </c>
      <c r="D4833" s="2">
        <f>DATE(YEAR(OrdersTable[[#This Row],[Order Date]]),MONTH(OrdersTable[[#This Row],[Order Date]]),1)</f>
        <v>45992</v>
      </c>
      <c r="E4833">
        <f>MONTH(OrdersTable[[#This Row],[Order Date]])</f>
        <v>12</v>
      </c>
      <c r="F4833" t="s">
        <v>1115</v>
      </c>
      <c r="G4833" t="str">
        <f>IF(OrdersTable[[#This Row],[Order Date]]=_xlfn.MINIFS(Order_Date, Customer_ID, OrdersTable[[#This Row],[Customer ID]]), "New", "Repeat")</f>
        <v>Repeat</v>
      </c>
      <c r="H4833" t="s">
        <v>316</v>
      </c>
      <c r="I4833" t="str">
        <f>INDEX(State!B:B,MATCH(OrdersTable[[#This Row],[State]],State!A:A,0))</f>
        <v>KL</v>
      </c>
      <c r="J4833" t="str">
        <f>INDEX(State!C:C,MATCH(OrdersTable[[#This Row],[State Code]],State!B:B,0))</f>
        <v>South</v>
      </c>
      <c r="K4833" t="s">
        <v>338</v>
      </c>
      <c r="L4833" t="s">
        <v>16</v>
      </c>
      <c r="M4833" t="s">
        <v>205</v>
      </c>
      <c r="N4833" t="str">
        <f>INDEX(Products!B:B,MATCH(OrdersTable[[#This Row],[Product ID]],Products!A:A,0))</f>
        <v>Running Shoes</v>
      </c>
      <c r="O4833" t="str">
        <f>INDEX(Products!C:C,MATCH(OrdersTable[[#This Row],[Product ID]],Products!A:A,0))</f>
        <v>Footwear</v>
      </c>
      <c r="P4833">
        <v>1</v>
      </c>
      <c r="Q4833" s="5">
        <v>2999</v>
      </c>
      <c r="R4833" s="74">
        <v>0.25</v>
      </c>
      <c r="S4833" s="75">
        <f>OrdersTable[[#This Row],[Quantity]]*OrdersTable[[#This Row],[Unit Price]]</f>
        <v>2999</v>
      </c>
      <c r="T4833" s="5">
        <f>OrdersTable[[#This Row],[Gross Sale]]*OrdersTable[[#This Row],[Discount_Clean2]]</f>
        <v>749.75</v>
      </c>
      <c r="U4833" s="5">
        <f>OrdersTable[[#This Row],[Gross Sale]]-OrdersTable[[#This Row],[Discount Amount]]</f>
        <v>2249.25</v>
      </c>
      <c r="V4833" s="77">
        <f>INDEX(Products!E:E,MATCH(OrdersTable[[#This Row],[Product ID]],Products!A:A,0))</f>
        <v>1440</v>
      </c>
      <c r="W4833" s="77">
        <f>OrdersTable[[#This Row],[Quantity]]*OrdersTable[[#This Row],[Unit Cost]]</f>
        <v>1440</v>
      </c>
      <c r="X4833" s="77">
        <f>'Dropdown Lists'!$I$2*(1+OrdersTable[[#This Row],[Returned]])</f>
        <v>60</v>
      </c>
      <c r="Y4833" s="76">
        <f>OrdersTable[[#This Row],[Net Revenue]]-OrdersTable[[#This Row],[COGS]]-OrdersTable[[#This Row],[Shipping Cost]]</f>
        <v>749.25</v>
      </c>
      <c r="Z4833" s="78">
        <f>IFERROR(OrdersTable[[#This Row],[Profit]]/OrdersTable[[#This Row],[Net Revenue]],0)</f>
        <v>0.33311103701233746</v>
      </c>
      <c r="AA4833" t="s">
        <v>4450</v>
      </c>
      <c r="AB4833" s="79">
        <v>46025</v>
      </c>
      <c r="AC4833">
        <f>OrdersTable[[#This Row],[Delivery Date]]-OrdersTable[[#This Row],[Order Date]]</f>
        <v>3</v>
      </c>
      <c r="AD4833" t="str">
        <f>IF(OrdersTable[[#This Row],[Delivery Days]]&lt;=2, "Express (≤2d)", IF(OrdersTable[[#This Row],[Delivery Days]]&lt;=4, "Standard (3-4d)", "Delayed (5d+)"))</f>
        <v>Standard (3-4d)</v>
      </c>
      <c r="AE4833">
        <v>4</v>
      </c>
      <c r="AF4833">
        <v>0</v>
      </c>
    </row>
    <row r="4834" spans="1:32" ht="15" x14ac:dyDescent="0.35">
      <c r="A4834" t="s">
        <v>886</v>
      </c>
      <c r="B4834" s="1">
        <v>46022</v>
      </c>
      <c r="C4834">
        <f>YEAR(OrdersTable[[#This Row],[Order Date]])</f>
        <v>2025</v>
      </c>
      <c r="D4834" s="2">
        <f>DATE(YEAR(OrdersTable[[#This Row],[Order Date]]),MONTH(OrdersTable[[#This Row],[Order Date]]),1)</f>
        <v>45992</v>
      </c>
      <c r="E4834">
        <f>MONTH(OrdersTable[[#This Row],[Order Date]])</f>
        <v>12</v>
      </c>
      <c r="F4834" t="s">
        <v>887</v>
      </c>
      <c r="G4834" t="str">
        <f>IF(OrdersTable[[#This Row],[Order Date]]=_xlfn.MINIFS(Order_Date, Customer_ID, OrdersTable[[#This Row],[Customer ID]]), "New", "Repeat")</f>
        <v>Repeat</v>
      </c>
      <c r="H4834" t="s">
        <v>59</v>
      </c>
      <c r="I4834" t="str">
        <f>INDEX(State!B:B,MATCH(OrdersTable[[#This Row],[State]],State!A:A,0))</f>
        <v>TN</v>
      </c>
      <c r="J4834" t="str">
        <f>INDEX(State!C:C,MATCH(OrdersTable[[#This Row],[State Code]],State!B:B,0))</f>
        <v>South</v>
      </c>
      <c r="K4834" t="s">
        <v>60</v>
      </c>
      <c r="L4834" t="s">
        <v>39</v>
      </c>
      <c r="M4834" t="s">
        <v>45</v>
      </c>
      <c r="N4834" t="str">
        <f>INDEX(Products!B:B,MATCH(OrdersTable[[#This Row],[Product ID]],Products!A:A,0))</f>
        <v>Argan Shampoo</v>
      </c>
      <c r="O4834" t="str">
        <f>INDEX(Products!C:C,MATCH(OrdersTable[[#This Row],[Product ID]],Products!A:A,0))</f>
        <v>Haircare</v>
      </c>
      <c r="P4834">
        <v>1</v>
      </c>
      <c r="Q4834" s="5">
        <v>449</v>
      </c>
      <c r="R4834" s="74">
        <v>0</v>
      </c>
      <c r="S4834" s="75">
        <f>OrdersTable[[#This Row],[Quantity]]*OrdersTable[[#This Row],[Unit Price]]</f>
        <v>449</v>
      </c>
      <c r="T4834" s="5">
        <f>OrdersTable[[#This Row],[Gross Sale]]*OrdersTable[[#This Row],[Discount_Clean2]]</f>
        <v>0</v>
      </c>
      <c r="U4834" s="5">
        <f>OrdersTable[[#This Row],[Gross Sale]]-OrdersTable[[#This Row],[Discount Amount]]</f>
        <v>449</v>
      </c>
      <c r="V4834" s="77">
        <f>INDEX(Products!E:E,MATCH(OrdersTable[[#This Row],[Product ID]],Products!A:A,0))</f>
        <v>148</v>
      </c>
      <c r="W4834" s="77">
        <f>OrdersTable[[#This Row],[Quantity]]*OrdersTable[[#This Row],[Unit Cost]]</f>
        <v>148</v>
      </c>
      <c r="X4834" s="77">
        <f>'Dropdown Lists'!$I$2*(1+OrdersTable[[#This Row],[Returned]])</f>
        <v>60</v>
      </c>
      <c r="Y4834" s="76">
        <f>OrdersTable[[#This Row],[Net Revenue]]-OrdersTable[[#This Row],[COGS]]-OrdersTable[[#This Row],[Shipping Cost]]</f>
        <v>241</v>
      </c>
      <c r="Z4834" s="78">
        <f>IFERROR(OrdersTable[[#This Row],[Profit]]/OrdersTable[[#This Row],[Net Revenue]],0)</f>
        <v>0.53674832962138086</v>
      </c>
      <c r="AA4834" t="s">
        <v>18</v>
      </c>
      <c r="AB4834" s="79">
        <v>46026</v>
      </c>
      <c r="AC4834">
        <f>OrdersTable[[#This Row],[Delivery Date]]-OrdersTable[[#This Row],[Order Date]]</f>
        <v>4</v>
      </c>
      <c r="AD4834" t="str">
        <f>IF(OrdersTable[[#This Row],[Delivery Days]]&lt;=2, "Express (≤2d)", IF(OrdersTable[[#This Row],[Delivery Days]]&lt;=4, "Standard (3-4d)", "Delayed (5d+)"))</f>
        <v>Standard (3-4d)</v>
      </c>
      <c r="AE4834">
        <v>4</v>
      </c>
      <c r="AF4834">
        <v>0</v>
      </c>
    </row>
  </sheetData>
  <phoneticPr fontId="4" type="noConversion"/>
  <conditionalFormatting sqref="G2:G4834">
    <cfRule type="expression" dxfId="230" priority="12">
      <formula>$X2&lt;0</formula>
    </cfRule>
  </conditionalFormatting>
  <conditionalFormatting sqref="R2:R4834">
    <cfRule type="expression" dxfId="229" priority="2">
      <formula>$Y2&lt;0</formula>
    </cfRule>
  </conditionalFormatting>
  <conditionalFormatting sqref="U2:U4834">
    <cfRule type="dataBar" priority="7">
      <dataBar>
        <cfvo type="min"/>
        <cfvo type="max"/>
        <color rgb="FF008AEF"/>
      </dataBar>
      <extLst>
        <ext xmlns:x14="http://schemas.microsoft.com/office/spreadsheetml/2009/9/main" uri="{B025F937-C7B1-47D3-B67F-A62EFF666E3E}">
          <x14:id>{217F20C6-DB66-4162-B743-542D023C1A8D}</x14:id>
        </ext>
      </extLst>
    </cfRule>
  </conditionalFormatting>
  <conditionalFormatting sqref="Z2:Z4834">
    <cfRule type="colorScale" priority="3">
      <colorScale>
        <cfvo type="num" val="0"/>
        <cfvo type="num" val="0.4"/>
        <cfvo type="num" val="0.7"/>
        <color rgb="FFF8696B"/>
        <color rgb="FFFFEB84"/>
        <color rgb="FF63BE7B"/>
      </colorScale>
    </cfRule>
  </conditionalFormatting>
  <conditionalFormatting sqref="AB2:AB4834">
    <cfRule type="expression" dxfId="228" priority="1">
      <formula>$X2&lt;0</formula>
    </cfRule>
  </conditionalFormatting>
  <conditionalFormatting sqref="AD2:AD4834">
    <cfRule type="expression" dxfId="227" priority="13">
      <formula>$Y2&lt;0</formula>
    </cfRule>
  </conditionalFormatting>
  <conditionalFormatting sqref="AE2:AE4834">
    <cfRule type="iconSet" priority="5">
      <iconSet iconSet="3Symbols">
        <cfvo type="percent" val="0"/>
        <cfvo type="num" val="3"/>
        <cfvo type="num" val="4"/>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17F20C6-DB66-4162-B743-542D023C1A8D}">
            <x14:dataBar minLength="0" maxLength="100" border="1" negativeBarBorderColorSameAsPositive="0">
              <x14:cfvo type="autoMin"/>
              <x14:cfvo type="autoMax"/>
              <x14:borderColor rgb="FF008AEF"/>
              <x14:negativeFillColor rgb="FFFF0000"/>
              <x14:negativeBorderColor rgb="FFFF0000"/>
              <x14:axisColor rgb="FF000000"/>
            </x14:dataBar>
          </x14:cfRule>
          <xm:sqref>U2:U4834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8AFD-B50F-463A-92F3-092046772DE5}">
  <dimension ref="A1:E31"/>
  <sheetViews>
    <sheetView workbookViewId="0">
      <selection activeCell="B11" sqref="B11"/>
    </sheetView>
  </sheetViews>
  <sheetFormatPr defaultColWidth="22.77734375" defaultRowHeight="14.4" x14ac:dyDescent="0.3"/>
  <cols>
    <col min="1" max="1" width="12.109375" bestFit="1" customWidth="1"/>
    <col min="2" max="2" width="22.44140625" bestFit="1" customWidth="1"/>
    <col min="3" max="3" width="14.21875" bestFit="1" customWidth="1"/>
    <col min="4" max="4" width="10" style="3" bestFit="1" customWidth="1"/>
    <col min="5" max="5" width="13.6640625" style="3" bestFit="1" customWidth="1"/>
  </cols>
  <sheetData>
    <row r="1" spans="1:5" x14ac:dyDescent="0.3">
      <c r="A1" t="s">
        <v>6</v>
      </c>
      <c r="B1" t="s">
        <v>7168</v>
      </c>
      <c r="C1" t="s">
        <v>7169</v>
      </c>
      <c r="D1" s="3" t="s">
        <v>7170</v>
      </c>
      <c r="E1" s="3" t="s">
        <v>7171</v>
      </c>
    </row>
    <row r="2" spans="1:5" x14ac:dyDescent="0.3">
      <c r="A2" t="s">
        <v>56</v>
      </c>
      <c r="B2" t="s">
        <v>7172</v>
      </c>
      <c r="C2" t="s">
        <v>7173</v>
      </c>
      <c r="D2" s="3">
        <v>599</v>
      </c>
      <c r="E2" s="3">
        <v>180</v>
      </c>
    </row>
    <row r="3" spans="1:5" x14ac:dyDescent="0.3">
      <c r="A3" t="s">
        <v>66</v>
      </c>
      <c r="B3" t="s">
        <v>7174</v>
      </c>
      <c r="C3" t="s">
        <v>7173</v>
      </c>
      <c r="D3" s="3">
        <v>449</v>
      </c>
      <c r="E3" s="3">
        <v>144</v>
      </c>
    </row>
    <row r="4" spans="1:5" x14ac:dyDescent="0.3">
      <c r="A4" t="s">
        <v>160</v>
      </c>
      <c r="B4" t="s">
        <v>7175</v>
      </c>
      <c r="C4" t="s">
        <v>7173</v>
      </c>
      <c r="D4" s="3">
        <v>399</v>
      </c>
      <c r="E4" s="3">
        <v>112</v>
      </c>
    </row>
    <row r="5" spans="1:5" x14ac:dyDescent="0.3">
      <c r="A5" t="s">
        <v>73</v>
      </c>
      <c r="B5" t="s">
        <v>7176</v>
      </c>
      <c r="C5" t="s">
        <v>7173</v>
      </c>
      <c r="D5" s="3">
        <v>299</v>
      </c>
      <c r="E5" s="3">
        <v>90</v>
      </c>
    </row>
    <row r="6" spans="1:5" x14ac:dyDescent="0.3">
      <c r="A6" t="s">
        <v>78</v>
      </c>
      <c r="B6" t="s">
        <v>7177</v>
      </c>
      <c r="C6" t="s">
        <v>7173</v>
      </c>
      <c r="D6" s="3">
        <v>799</v>
      </c>
      <c r="E6" s="3">
        <v>216</v>
      </c>
    </row>
    <row r="7" spans="1:5" x14ac:dyDescent="0.3">
      <c r="A7" t="s">
        <v>109</v>
      </c>
      <c r="B7" t="s">
        <v>7178</v>
      </c>
      <c r="C7" t="s">
        <v>7179</v>
      </c>
      <c r="D7" s="3">
        <v>349</v>
      </c>
      <c r="E7" s="3">
        <v>105</v>
      </c>
    </row>
    <row r="8" spans="1:5" x14ac:dyDescent="0.3">
      <c r="A8" t="s">
        <v>45</v>
      </c>
      <c r="B8" t="s">
        <v>7180</v>
      </c>
      <c r="C8" t="s">
        <v>7179</v>
      </c>
      <c r="D8" s="3">
        <v>449</v>
      </c>
      <c r="E8" s="3">
        <v>148</v>
      </c>
    </row>
    <row r="9" spans="1:5" x14ac:dyDescent="0.3">
      <c r="A9" t="s">
        <v>106</v>
      </c>
      <c r="B9" t="s">
        <v>7181</v>
      </c>
      <c r="C9" t="s">
        <v>7179</v>
      </c>
      <c r="D9" s="3">
        <v>549</v>
      </c>
      <c r="E9" s="3">
        <v>170</v>
      </c>
    </row>
    <row r="10" spans="1:5" x14ac:dyDescent="0.3">
      <c r="A10" t="s">
        <v>51</v>
      </c>
      <c r="B10" t="s">
        <v>7182</v>
      </c>
      <c r="C10" t="s">
        <v>7179</v>
      </c>
      <c r="D10" s="3">
        <v>399</v>
      </c>
      <c r="E10" s="3">
        <v>136</v>
      </c>
    </row>
    <row r="11" spans="1:5" x14ac:dyDescent="0.3">
      <c r="A11" t="s">
        <v>255</v>
      </c>
      <c r="B11" t="s">
        <v>7183</v>
      </c>
      <c r="C11" t="s">
        <v>7184</v>
      </c>
      <c r="D11" s="3">
        <v>799</v>
      </c>
      <c r="E11" s="3">
        <v>320</v>
      </c>
    </row>
    <row r="12" spans="1:5" x14ac:dyDescent="0.3">
      <c r="A12" t="s">
        <v>87</v>
      </c>
      <c r="B12" t="s">
        <v>7185</v>
      </c>
      <c r="C12" t="s">
        <v>7184</v>
      </c>
      <c r="D12" s="3">
        <v>1499</v>
      </c>
      <c r="E12" s="3">
        <v>630</v>
      </c>
    </row>
    <row r="13" spans="1:5" x14ac:dyDescent="0.3">
      <c r="A13" t="s">
        <v>29</v>
      </c>
      <c r="B13" t="s">
        <v>7186</v>
      </c>
      <c r="C13" t="s">
        <v>7184</v>
      </c>
      <c r="D13" s="3">
        <v>1199</v>
      </c>
      <c r="E13" s="3">
        <v>492</v>
      </c>
    </row>
    <row r="14" spans="1:5" x14ac:dyDescent="0.3">
      <c r="A14" t="s">
        <v>176</v>
      </c>
      <c r="B14" t="s">
        <v>7187</v>
      </c>
      <c r="C14" t="s">
        <v>7184</v>
      </c>
      <c r="D14" s="3">
        <v>2499</v>
      </c>
      <c r="E14" s="3">
        <v>1125</v>
      </c>
    </row>
    <row r="15" spans="1:5" x14ac:dyDescent="0.3">
      <c r="A15" t="s">
        <v>576</v>
      </c>
      <c r="B15" t="s">
        <v>7188</v>
      </c>
      <c r="C15" t="s">
        <v>7184</v>
      </c>
      <c r="D15" s="3">
        <v>1999</v>
      </c>
      <c r="E15" s="3">
        <v>880</v>
      </c>
    </row>
    <row r="16" spans="1:5" x14ac:dyDescent="0.3">
      <c r="A16" t="s">
        <v>205</v>
      </c>
      <c r="B16" t="s">
        <v>7189</v>
      </c>
      <c r="C16" t="s">
        <v>7190</v>
      </c>
      <c r="D16" s="3">
        <v>2999</v>
      </c>
      <c r="E16" s="3">
        <v>1440</v>
      </c>
    </row>
    <row r="17" spans="1:5" x14ac:dyDescent="0.3">
      <c r="A17" t="s">
        <v>17</v>
      </c>
      <c r="B17" t="s">
        <v>7191</v>
      </c>
      <c r="C17" t="s">
        <v>7190</v>
      </c>
      <c r="D17" s="3">
        <v>2199</v>
      </c>
      <c r="E17" s="3">
        <v>1034</v>
      </c>
    </row>
    <row r="18" spans="1:5" x14ac:dyDescent="0.3">
      <c r="A18" t="s">
        <v>92</v>
      </c>
      <c r="B18" t="s">
        <v>7192</v>
      </c>
      <c r="C18" t="s">
        <v>7190</v>
      </c>
      <c r="D18" s="3">
        <v>999</v>
      </c>
      <c r="E18" s="3">
        <v>400</v>
      </c>
    </row>
    <row r="19" spans="1:5" x14ac:dyDescent="0.3">
      <c r="A19" t="s">
        <v>34</v>
      </c>
      <c r="B19" t="s">
        <v>7193</v>
      </c>
      <c r="C19" t="s">
        <v>7190</v>
      </c>
      <c r="D19" s="3">
        <v>399</v>
      </c>
      <c r="E19" s="3">
        <v>152</v>
      </c>
    </row>
    <row r="20" spans="1:5" x14ac:dyDescent="0.3">
      <c r="A20" t="s">
        <v>125</v>
      </c>
      <c r="B20" t="s">
        <v>7194</v>
      </c>
      <c r="C20" t="s">
        <v>7195</v>
      </c>
      <c r="D20" s="3">
        <v>899</v>
      </c>
      <c r="E20" s="3">
        <v>378</v>
      </c>
    </row>
    <row r="21" spans="1:5" x14ac:dyDescent="0.3">
      <c r="A21" t="s">
        <v>565</v>
      </c>
      <c r="B21" t="s">
        <v>7196</v>
      </c>
      <c r="C21" t="s">
        <v>7195</v>
      </c>
      <c r="D21" s="3">
        <v>2499</v>
      </c>
      <c r="E21" s="3">
        <v>1250</v>
      </c>
    </row>
    <row r="22" spans="1:5" x14ac:dyDescent="0.3">
      <c r="A22" t="s">
        <v>24</v>
      </c>
      <c r="B22" t="s">
        <v>7197</v>
      </c>
      <c r="C22" t="s">
        <v>7195</v>
      </c>
      <c r="D22" s="3">
        <v>699</v>
      </c>
      <c r="E22" s="3">
        <v>245</v>
      </c>
    </row>
    <row r="23" spans="1:5" x14ac:dyDescent="0.3">
      <c r="A23" t="s">
        <v>84</v>
      </c>
      <c r="B23" t="s">
        <v>7198</v>
      </c>
      <c r="C23" t="s">
        <v>7195</v>
      </c>
      <c r="D23" s="3">
        <v>1299</v>
      </c>
      <c r="E23" s="3">
        <v>585</v>
      </c>
    </row>
    <row r="24" spans="1:5" x14ac:dyDescent="0.3">
      <c r="A24" t="s">
        <v>173</v>
      </c>
      <c r="B24" t="s">
        <v>7199</v>
      </c>
      <c r="C24" t="s">
        <v>7200</v>
      </c>
      <c r="D24" s="3">
        <v>1999</v>
      </c>
      <c r="E24" s="3">
        <v>1239</v>
      </c>
    </row>
    <row r="25" spans="1:5" x14ac:dyDescent="0.3">
      <c r="A25" t="s">
        <v>228</v>
      </c>
      <c r="B25" t="s">
        <v>7201</v>
      </c>
      <c r="C25" t="s">
        <v>7200</v>
      </c>
      <c r="D25" s="3">
        <v>899</v>
      </c>
      <c r="E25" s="3">
        <v>494</v>
      </c>
    </row>
    <row r="26" spans="1:5" x14ac:dyDescent="0.3">
      <c r="A26" t="s">
        <v>148</v>
      </c>
      <c r="B26" t="s">
        <v>7202</v>
      </c>
      <c r="C26" t="s">
        <v>7200</v>
      </c>
      <c r="D26" s="3">
        <v>499</v>
      </c>
      <c r="E26" s="3">
        <v>200</v>
      </c>
    </row>
    <row r="27" spans="1:5" x14ac:dyDescent="0.3">
      <c r="A27" t="s">
        <v>423</v>
      </c>
      <c r="B27" t="s">
        <v>7203</v>
      </c>
      <c r="C27" t="s">
        <v>7200</v>
      </c>
      <c r="D27" s="3">
        <v>1799</v>
      </c>
      <c r="E27" s="3">
        <v>1079</v>
      </c>
    </row>
    <row r="28" spans="1:5" x14ac:dyDescent="0.3">
      <c r="A28" t="s">
        <v>40</v>
      </c>
      <c r="B28" t="s">
        <v>7204</v>
      </c>
      <c r="C28" t="s">
        <v>7205</v>
      </c>
      <c r="D28" s="3">
        <v>499</v>
      </c>
      <c r="E28" s="3">
        <v>150</v>
      </c>
    </row>
    <row r="29" spans="1:5" x14ac:dyDescent="0.3">
      <c r="A29" t="s">
        <v>179</v>
      </c>
      <c r="B29" t="s">
        <v>7206</v>
      </c>
      <c r="C29" t="s">
        <v>7205</v>
      </c>
      <c r="D29" s="3">
        <v>2299</v>
      </c>
      <c r="E29" s="3">
        <v>1333</v>
      </c>
    </row>
    <row r="30" spans="1:5" x14ac:dyDescent="0.3">
      <c r="A30" t="s">
        <v>152</v>
      </c>
      <c r="B30" t="s">
        <v>7207</v>
      </c>
      <c r="C30" t="s">
        <v>7205</v>
      </c>
      <c r="D30" s="3">
        <v>399</v>
      </c>
      <c r="E30" s="3">
        <v>128</v>
      </c>
    </row>
    <row r="31" spans="1:5" x14ac:dyDescent="0.3">
      <c r="A31" t="s">
        <v>61</v>
      </c>
      <c r="B31" t="s">
        <v>7208</v>
      </c>
      <c r="C31" t="s">
        <v>7205</v>
      </c>
      <c r="D31" s="3">
        <v>699</v>
      </c>
      <c r="E31" s="3">
        <v>238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666B-DD1C-4733-A232-09887B0B31DE}">
  <dimension ref="A1:C24"/>
  <sheetViews>
    <sheetView workbookViewId="0">
      <selection activeCell="A2" sqref="A2:XFD3"/>
    </sheetView>
  </sheetViews>
  <sheetFormatPr defaultRowHeight="14.4" x14ac:dyDescent="0.3"/>
  <cols>
    <col min="1" max="1" width="15.5546875" bestFit="1" customWidth="1"/>
    <col min="2" max="2" width="12.33203125" bestFit="1" customWidth="1"/>
    <col min="3" max="3" width="9" bestFit="1" customWidth="1"/>
    <col min="4" max="4" width="15.5546875" bestFit="1" customWidth="1"/>
    <col min="5" max="6" width="10.77734375" bestFit="1" customWidth="1"/>
  </cols>
  <sheetData>
    <row r="1" spans="1:3" x14ac:dyDescent="0.3">
      <c r="A1" t="s">
        <v>3</v>
      </c>
      <c r="B1" t="s">
        <v>7209</v>
      </c>
      <c r="C1" t="s">
        <v>7210</v>
      </c>
    </row>
    <row r="2" spans="1:3" x14ac:dyDescent="0.3">
      <c r="A2" t="s">
        <v>210</v>
      </c>
      <c r="B2" t="s">
        <v>7211</v>
      </c>
      <c r="C2" t="s">
        <v>7212</v>
      </c>
    </row>
    <row r="3" spans="1:3" x14ac:dyDescent="0.3">
      <c r="A3" t="s">
        <v>21</v>
      </c>
      <c r="B3" t="s">
        <v>7213</v>
      </c>
      <c r="C3" t="s">
        <v>7212</v>
      </c>
    </row>
    <row r="4" spans="1:3" x14ac:dyDescent="0.3">
      <c r="A4" t="s">
        <v>158</v>
      </c>
      <c r="B4" t="s">
        <v>7214</v>
      </c>
      <c r="C4" t="s">
        <v>7212</v>
      </c>
    </row>
    <row r="5" spans="1:3" x14ac:dyDescent="0.3">
      <c r="A5" t="s">
        <v>184</v>
      </c>
      <c r="B5" t="s">
        <v>7215</v>
      </c>
      <c r="C5" t="s">
        <v>7212</v>
      </c>
    </row>
    <row r="6" spans="1:3" x14ac:dyDescent="0.3">
      <c r="A6" t="s">
        <v>54</v>
      </c>
      <c r="B6" t="s">
        <v>7216</v>
      </c>
      <c r="C6" t="s">
        <v>7212</v>
      </c>
    </row>
    <row r="7" spans="1:3" x14ac:dyDescent="0.3">
      <c r="A7" t="s">
        <v>48</v>
      </c>
      <c r="B7" t="s">
        <v>7217</v>
      </c>
      <c r="C7" t="s">
        <v>7212</v>
      </c>
    </row>
    <row r="8" spans="1:3" x14ac:dyDescent="0.3">
      <c r="A8" t="s">
        <v>128</v>
      </c>
      <c r="B8" t="s">
        <v>7218</v>
      </c>
      <c r="C8" t="s">
        <v>7212</v>
      </c>
    </row>
    <row r="9" spans="1:3" x14ac:dyDescent="0.3">
      <c r="A9" t="s">
        <v>76</v>
      </c>
      <c r="B9" t="s">
        <v>7219</v>
      </c>
      <c r="C9" t="s">
        <v>7212</v>
      </c>
    </row>
    <row r="10" spans="1:3" x14ac:dyDescent="0.3">
      <c r="A10" t="s">
        <v>32</v>
      </c>
      <c r="B10" t="s">
        <v>7220</v>
      </c>
      <c r="C10" t="s">
        <v>7221</v>
      </c>
    </row>
    <row r="11" spans="1:3" x14ac:dyDescent="0.3">
      <c r="A11" t="s">
        <v>132</v>
      </c>
      <c r="B11" t="s">
        <v>7222</v>
      </c>
      <c r="C11" t="s">
        <v>7221</v>
      </c>
    </row>
    <row r="12" spans="1:3" x14ac:dyDescent="0.3">
      <c r="A12" t="s">
        <v>37</v>
      </c>
      <c r="B12" t="s">
        <v>7223</v>
      </c>
      <c r="C12" t="s">
        <v>7224</v>
      </c>
    </row>
    <row r="13" spans="1:3" x14ac:dyDescent="0.3">
      <c r="A13" t="s">
        <v>43</v>
      </c>
      <c r="B13" t="s">
        <v>7225</v>
      </c>
      <c r="C13" t="s">
        <v>7224</v>
      </c>
    </row>
    <row r="14" spans="1:3" x14ac:dyDescent="0.3">
      <c r="A14" t="s">
        <v>482</v>
      </c>
      <c r="B14" t="s">
        <v>7226</v>
      </c>
      <c r="C14" t="s">
        <v>7221</v>
      </c>
    </row>
    <row r="15" spans="1:3" x14ac:dyDescent="0.3">
      <c r="A15" t="s">
        <v>123</v>
      </c>
      <c r="B15" t="s">
        <v>7227</v>
      </c>
      <c r="C15" t="s">
        <v>7221</v>
      </c>
    </row>
    <row r="16" spans="1:3" x14ac:dyDescent="0.3">
      <c r="A16" t="s">
        <v>27</v>
      </c>
      <c r="B16" t="s">
        <v>7228</v>
      </c>
      <c r="C16" t="s">
        <v>7221</v>
      </c>
    </row>
    <row r="17" spans="1:3" x14ac:dyDescent="0.3">
      <c r="A17" t="s">
        <v>71</v>
      </c>
      <c r="B17" t="s">
        <v>7229</v>
      </c>
      <c r="C17" t="s">
        <v>7224</v>
      </c>
    </row>
    <row r="18" spans="1:3" x14ac:dyDescent="0.3">
      <c r="A18" t="s">
        <v>95</v>
      </c>
      <c r="B18" t="s">
        <v>7230</v>
      </c>
      <c r="C18" t="s">
        <v>7231</v>
      </c>
    </row>
    <row r="19" spans="1:3" x14ac:dyDescent="0.3">
      <c r="A19" t="s">
        <v>14</v>
      </c>
      <c r="B19" t="s">
        <v>7232</v>
      </c>
      <c r="C19" t="s">
        <v>7221</v>
      </c>
    </row>
    <row r="20" spans="1:3" x14ac:dyDescent="0.3">
      <c r="A20" t="s">
        <v>90</v>
      </c>
      <c r="B20" t="s">
        <v>7233</v>
      </c>
      <c r="C20" t="s">
        <v>7224</v>
      </c>
    </row>
    <row r="21" spans="1:3" x14ac:dyDescent="0.3">
      <c r="A21" t="s">
        <v>167</v>
      </c>
      <c r="B21" t="s">
        <v>7234</v>
      </c>
      <c r="C21" t="s">
        <v>7231</v>
      </c>
    </row>
    <row r="22" spans="1:3" x14ac:dyDescent="0.3">
      <c r="A22" t="s">
        <v>275</v>
      </c>
      <c r="B22" t="s">
        <v>7235</v>
      </c>
      <c r="C22" t="s">
        <v>7231</v>
      </c>
    </row>
    <row r="23" spans="1:3" x14ac:dyDescent="0.3">
      <c r="A23" t="s">
        <v>316</v>
      </c>
      <c r="B23" t="s">
        <v>7236</v>
      </c>
      <c r="C23" t="s">
        <v>7231</v>
      </c>
    </row>
    <row r="24" spans="1:3" x14ac:dyDescent="0.3">
      <c r="A24" t="s">
        <v>59</v>
      </c>
      <c r="B24" t="s">
        <v>7237</v>
      </c>
      <c r="C24" t="s">
        <v>7231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DAAA8-4309-46B9-934D-003635779158}">
  <dimension ref="A1:F553"/>
  <sheetViews>
    <sheetView workbookViewId="0">
      <selection activeCell="D19" sqref="A2:F553"/>
    </sheetView>
  </sheetViews>
  <sheetFormatPr defaultColWidth="17.77734375" defaultRowHeight="14.4" x14ac:dyDescent="0.3"/>
  <cols>
    <col min="1" max="1" width="10.33203125" style="21" bestFit="1" customWidth="1"/>
    <col min="2" max="2" width="15.5546875" bestFit="1" customWidth="1"/>
    <col min="3" max="3" width="14.109375" bestFit="1" customWidth="1"/>
  </cols>
  <sheetData>
    <row r="1" spans="1:6" x14ac:dyDescent="0.3">
      <c r="A1" s="21" t="s">
        <v>7365</v>
      </c>
      <c r="B1" t="s">
        <v>7364</v>
      </c>
      <c r="C1" t="s">
        <v>7363</v>
      </c>
      <c r="D1" t="s">
        <v>7362</v>
      </c>
      <c r="E1" t="s">
        <v>7361</v>
      </c>
      <c r="F1" t="s">
        <v>7239</v>
      </c>
    </row>
    <row r="2" spans="1:6" x14ac:dyDescent="0.3">
      <c r="A2" s="21">
        <v>45292</v>
      </c>
      <c r="B2" t="s">
        <v>210</v>
      </c>
      <c r="C2" t="s">
        <v>7211</v>
      </c>
      <c r="D2" t="str">
        <f>INDEX(State!$C$2:$C$24,MATCH(C2,State!$B$2:$B$24,0))</f>
        <v>North</v>
      </c>
      <c r="E2">
        <f t="shared" ref="E2:E65" si="0">YEAR(A2)</f>
        <v>2024</v>
      </c>
      <c r="F2">
        <v>830</v>
      </c>
    </row>
    <row r="3" spans="1:6" x14ac:dyDescent="0.3">
      <c r="A3" s="21">
        <v>45323</v>
      </c>
      <c r="B3" t="s">
        <v>210</v>
      </c>
      <c r="C3" t="s">
        <v>7211</v>
      </c>
      <c r="D3" t="str">
        <f>INDEX(State!$C$2:$C$24,MATCH(C3,State!$B$2:$B$24,0))</f>
        <v>North</v>
      </c>
      <c r="E3">
        <f t="shared" si="0"/>
        <v>2024</v>
      </c>
      <c r="F3">
        <v>370</v>
      </c>
    </row>
    <row r="4" spans="1:6" x14ac:dyDescent="0.3">
      <c r="A4" s="21">
        <v>45352</v>
      </c>
      <c r="B4" t="s">
        <v>210</v>
      </c>
      <c r="C4" t="s">
        <v>7211</v>
      </c>
      <c r="D4" t="str">
        <f>INDEX(State!$C$2:$C$24,MATCH(C4,State!$B$2:$B$24,0))</f>
        <v>North</v>
      </c>
      <c r="E4">
        <f t="shared" si="0"/>
        <v>2024</v>
      </c>
      <c r="F4">
        <v>450</v>
      </c>
    </row>
    <row r="5" spans="1:6" x14ac:dyDescent="0.3">
      <c r="A5" s="21">
        <v>45383</v>
      </c>
      <c r="B5" t="s">
        <v>210</v>
      </c>
      <c r="C5" t="s">
        <v>7211</v>
      </c>
      <c r="D5" t="str">
        <f>INDEX(State!$C$2:$C$24,MATCH(C5,State!$B$2:$B$24,0))</f>
        <v>North</v>
      </c>
      <c r="E5">
        <f t="shared" si="0"/>
        <v>2024</v>
      </c>
      <c r="F5">
        <v>470</v>
      </c>
    </row>
    <row r="6" spans="1:6" x14ac:dyDescent="0.3">
      <c r="A6" s="21">
        <v>45413</v>
      </c>
      <c r="B6" t="s">
        <v>210</v>
      </c>
      <c r="C6" t="s">
        <v>7211</v>
      </c>
      <c r="D6" t="str">
        <f>INDEX(State!$C$2:$C$24,MATCH(C6,State!$B$2:$B$24,0))</f>
        <v>North</v>
      </c>
      <c r="E6">
        <f t="shared" si="0"/>
        <v>2024</v>
      </c>
      <c r="F6">
        <v>350</v>
      </c>
    </row>
    <row r="7" spans="1:6" x14ac:dyDescent="0.3">
      <c r="A7" s="21">
        <v>45444</v>
      </c>
      <c r="B7" t="s">
        <v>210</v>
      </c>
      <c r="C7" t="s">
        <v>7211</v>
      </c>
      <c r="D7" t="str">
        <f>INDEX(State!$C$2:$C$24,MATCH(C7,State!$B$2:$B$24,0))</f>
        <v>North</v>
      </c>
      <c r="E7">
        <f t="shared" si="0"/>
        <v>2024</v>
      </c>
      <c r="F7">
        <v>470</v>
      </c>
    </row>
    <row r="8" spans="1:6" x14ac:dyDescent="0.3">
      <c r="A8" s="21">
        <v>45474</v>
      </c>
      <c r="B8" t="s">
        <v>210</v>
      </c>
      <c r="C8" t="s">
        <v>7211</v>
      </c>
      <c r="D8" t="str">
        <f>INDEX(State!$C$2:$C$24,MATCH(C8,State!$B$2:$B$24,0))</f>
        <v>North</v>
      </c>
      <c r="E8">
        <f t="shared" si="0"/>
        <v>2024</v>
      </c>
      <c r="F8">
        <v>520</v>
      </c>
    </row>
    <row r="9" spans="1:6" x14ac:dyDescent="0.3">
      <c r="A9" s="21">
        <v>45505</v>
      </c>
      <c r="B9" t="s">
        <v>210</v>
      </c>
      <c r="C9" t="s">
        <v>7211</v>
      </c>
      <c r="D9" t="str">
        <f>INDEX(State!$C$2:$C$24,MATCH(C9,State!$B$2:$B$24,0))</f>
        <v>North</v>
      </c>
      <c r="E9">
        <f t="shared" si="0"/>
        <v>2024</v>
      </c>
      <c r="F9">
        <v>300</v>
      </c>
    </row>
    <row r="10" spans="1:6" x14ac:dyDescent="0.3">
      <c r="A10" s="21">
        <v>45536</v>
      </c>
      <c r="B10" t="s">
        <v>210</v>
      </c>
      <c r="C10" t="s">
        <v>7211</v>
      </c>
      <c r="D10" t="str">
        <f>INDEX(State!$C$2:$C$24,MATCH(C10,State!$B$2:$B$24,0))</f>
        <v>North</v>
      </c>
      <c r="E10">
        <f t="shared" si="0"/>
        <v>2024</v>
      </c>
      <c r="F10">
        <v>720</v>
      </c>
    </row>
    <row r="11" spans="1:6" x14ac:dyDescent="0.3">
      <c r="A11" s="21">
        <v>45566</v>
      </c>
      <c r="B11" t="s">
        <v>210</v>
      </c>
      <c r="C11" t="s">
        <v>7211</v>
      </c>
      <c r="D11" t="str">
        <f>INDEX(State!$C$2:$C$24,MATCH(C11,State!$B$2:$B$24,0))</f>
        <v>North</v>
      </c>
      <c r="E11">
        <f t="shared" si="0"/>
        <v>2024</v>
      </c>
      <c r="F11">
        <v>900</v>
      </c>
    </row>
    <row r="12" spans="1:6" x14ac:dyDescent="0.3">
      <c r="A12" s="21">
        <v>45597</v>
      </c>
      <c r="B12" t="s">
        <v>210</v>
      </c>
      <c r="C12" t="s">
        <v>7211</v>
      </c>
      <c r="D12" t="str">
        <f>INDEX(State!$C$2:$C$24,MATCH(C12,State!$B$2:$B$24,0))</f>
        <v>North</v>
      </c>
      <c r="E12">
        <f t="shared" si="0"/>
        <v>2024</v>
      </c>
      <c r="F12">
        <v>600</v>
      </c>
    </row>
    <row r="13" spans="1:6" x14ac:dyDescent="0.3">
      <c r="A13" s="21">
        <v>45627</v>
      </c>
      <c r="B13" t="s">
        <v>210</v>
      </c>
      <c r="C13" t="s">
        <v>7211</v>
      </c>
      <c r="D13" t="str">
        <f>INDEX(State!$C$2:$C$24,MATCH(C13,State!$B$2:$B$24,0))</f>
        <v>North</v>
      </c>
      <c r="E13">
        <f t="shared" si="0"/>
        <v>2024</v>
      </c>
      <c r="F13">
        <v>540</v>
      </c>
    </row>
    <row r="14" spans="1:6" x14ac:dyDescent="0.3">
      <c r="A14" s="21">
        <v>45658</v>
      </c>
      <c r="B14" t="s">
        <v>210</v>
      </c>
      <c r="C14" t="s">
        <v>7211</v>
      </c>
      <c r="D14" t="str">
        <f>INDEX(State!$C$2:$C$24,MATCH(C14,State!$B$2:$B$24,0))</f>
        <v>North</v>
      </c>
      <c r="E14">
        <f t="shared" si="0"/>
        <v>2025</v>
      </c>
      <c r="F14">
        <v>740</v>
      </c>
    </row>
    <row r="15" spans="1:6" x14ac:dyDescent="0.3">
      <c r="A15" s="21">
        <v>45689</v>
      </c>
      <c r="B15" t="s">
        <v>210</v>
      </c>
      <c r="C15" t="s">
        <v>7211</v>
      </c>
      <c r="D15" t="str">
        <f>INDEX(State!$C$2:$C$24,MATCH(C15,State!$B$2:$B$24,0))</f>
        <v>North</v>
      </c>
      <c r="E15">
        <f t="shared" si="0"/>
        <v>2025</v>
      </c>
      <c r="F15">
        <v>480</v>
      </c>
    </row>
    <row r="16" spans="1:6" x14ac:dyDescent="0.3">
      <c r="A16" s="21">
        <v>45717</v>
      </c>
      <c r="B16" t="s">
        <v>210</v>
      </c>
      <c r="C16" t="s">
        <v>7211</v>
      </c>
      <c r="D16" t="str">
        <f>INDEX(State!$C$2:$C$24,MATCH(C16,State!$B$2:$B$24,0))</f>
        <v>North</v>
      </c>
      <c r="E16">
        <f t="shared" si="0"/>
        <v>2025</v>
      </c>
      <c r="F16">
        <v>520</v>
      </c>
    </row>
    <row r="17" spans="1:6" x14ac:dyDescent="0.3">
      <c r="A17" s="21">
        <v>45748</v>
      </c>
      <c r="B17" t="s">
        <v>210</v>
      </c>
      <c r="C17" t="s">
        <v>7211</v>
      </c>
      <c r="D17" t="str">
        <f>INDEX(State!$C$2:$C$24,MATCH(C17,State!$B$2:$B$24,0))</f>
        <v>North</v>
      </c>
      <c r="E17">
        <f t="shared" si="0"/>
        <v>2025</v>
      </c>
      <c r="F17">
        <v>350</v>
      </c>
    </row>
    <row r="18" spans="1:6" x14ac:dyDescent="0.3">
      <c r="A18" s="21">
        <v>45778</v>
      </c>
      <c r="B18" t="s">
        <v>210</v>
      </c>
      <c r="C18" t="s">
        <v>7211</v>
      </c>
      <c r="D18" t="str">
        <f>INDEX(State!$C$2:$C$24,MATCH(C18,State!$B$2:$B$24,0))</f>
        <v>North</v>
      </c>
      <c r="E18">
        <f t="shared" si="0"/>
        <v>2025</v>
      </c>
      <c r="F18">
        <v>650</v>
      </c>
    </row>
    <row r="19" spans="1:6" x14ac:dyDescent="0.3">
      <c r="A19" s="21">
        <v>45809</v>
      </c>
      <c r="B19" t="s">
        <v>210</v>
      </c>
      <c r="C19" t="s">
        <v>7211</v>
      </c>
      <c r="D19" t="str">
        <f>INDEX(State!$C$2:$C$24,MATCH(C19,State!$B$2:$B$24,0))</f>
        <v>North</v>
      </c>
      <c r="E19">
        <f t="shared" si="0"/>
        <v>2025</v>
      </c>
      <c r="F19">
        <v>600</v>
      </c>
    </row>
    <row r="20" spans="1:6" x14ac:dyDescent="0.3">
      <c r="A20" s="21">
        <v>45839</v>
      </c>
      <c r="B20" t="s">
        <v>210</v>
      </c>
      <c r="C20" t="s">
        <v>7211</v>
      </c>
      <c r="D20" t="str">
        <f>INDEX(State!$C$2:$C$24,MATCH(C20,State!$B$2:$B$24,0))</f>
        <v>North</v>
      </c>
      <c r="E20">
        <f t="shared" si="0"/>
        <v>2025</v>
      </c>
      <c r="F20">
        <v>700</v>
      </c>
    </row>
    <row r="21" spans="1:6" x14ac:dyDescent="0.3">
      <c r="A21" s="21">
        <v>45870</v>
      </c>
      <c r="B21" t="s">
        <v>210</v>
      </c>
      <c r="C21" t="s">
        <v>7211</v>
      </c>
      <c r="D21" t="str">
        <f>INDEX(State!$C$2:$C$24,MATCH(C21,State!$B$2:$B$24,0))</f>
        <v>North</v>
      </c>
      <c r="E21">
        <f t="shared" si="0"/>
        <v>2025</v>
      </c>
      <c r="F21">
        <v>400</v>
      </c>
    </row>
    <row r="22" spans="1:6" x14ac:dyDescent="0.3">
      <c r="A22" s="21">
        <v>45901</v>
      </c>
      <c r="B22" t="s">
        <v>210</v>
      </c>
      <c r="C22" t="s">
        <v>7211</v>
      </c>
      <c r="D22" t="str">
        <f>INDEX(State!$C$2:$C$24,MATCH(C22,State!$B$2:$B$24,0))</f>
        <v>North</v>
      </c>
      <c r="E22">
        <f t="shared" si="0"/>
        <v>2025</v>
      </c>
      <c r="F22">
        <v>1070</v>
      </c>
    </row>
    <row r="23" spans="1:6" x14ac:dyDescent="0.3">
      <c r="A23" s="21">
        <v>45931</v>
      </c>
      <c r="B23" t="s">
        <v>210</v>
      </c>
      <c r="C23" t="s">
        <v>7211</v>
      </c>
      <c r="D23" t="str">
        <f>INDEX(State!$C$2:$C$24,MATCH(C23,State!$B$2:$B$24,0))</f>
        <v>North</v>
      </c>
      <c r="E23">
        <f t="shared" si="0"/>
        <v>2025</v>
      </c>
      <c r="F23">
        <v>990</v>
      </c>
    </row>
    <row r="24" spans="1:6" x14ac:dyDescent="0.3">
      <c r="A24" s="21">
        <v>45962</v>
      </c>
      <c r="B24" t="s">
        <v>210</v>
      </c>
      <c r="C24" t="s">
        <v>7211</v>
      </c>
      <c r="D24" t="str">
        <f>INDEX(State!$C$2:$C$24,MATCH(C24,State!$B$2:$B$24,0))</f>
        <v>North</v>
      </c>
      <c r="E24">
        <f t="shared" si="0"/>
        <v>2025</v>
      </c>
      <c r="F24">
        <v>800</v>
      </c>
    </row>
    <row r="25" spans="1:6" x14ac:dyDescent="0.3">
      <c r="A25" s="21">
        <v>45992</v>
      </c>
      <c r="B25" t="s">
        <v>210</v>
      </c>
      <c r="C25" t="s">
        <v>7211</v>
      </c>
      <c r="D25" t="str">
        <f>INDEX(State!$C$2:$C$24,MATCH(C25,State!$B$2:$B$24,0))</f>
        <v>North</v>
      </c>
      <c r="E25">
        <f t="shared" si="0"/>
        <v>2025</v>
      </c>
      <c r="F25">
        <v>1250</v>
      </c>
    </row>
    <row r="26" spans="1:6" x14ac:dyDescent="0.3">
      <c r="A26" s="21">
        <v>45292</v>
      </c>
      <c r="B26" t="s">
        <v>21</v>
      </c>
      <c r="C26" t="s">
        <v>7213</v>
      </c>
      <c r="D26" t="str">
        <f>INDEX(State!$C$2:$C$24,MATCH(C26,State!$B$2:$B$24,0))</f>
        <v>North</v>
      </c>
      <c r="E26">
        <f t="shared" si="0"/>
        <v>2024</v>
      </c>
      <c r="F26">
        <v>1020</v>
      </c>
    </row>
    <row r="27" spans="1:6" x14ac:dyDescent="0.3">
      <c r="A27" s="21">
        <v>45323</v>
      </c>
      <c r="B27" t="s">
        <v>21</v>
      </c>
      <c r="C27" t="s">
        <v>7213</v>
      </c>
      <c r="D27" t="str">
        <f>INDEX(State!$C$2:$C$24,MATCH(C27,State!$B$2:$B$24,0))</f>
        <v>North</v>
      </c>
      <c r="E27">
        <f t="shared" si="0"/>
        <v>2024</v>
      </c>
      <c r="F27">
        <v>560</v>
      </c>
    </row>
    <row r="28" spans="1:6" x14ac:dyDescent="0.3">
      <c r="A28" s="21">
        <v>45352</v>
      </c>
      <c r="B28" t="s">
        <v>21</v>
      </c>
      <c r="C28" t="s">
        <v>7213</v>
      </c>
      <c r="D28" t="str">
        <f>INDEX(State!$C$2:$C$24,MATCH(C28,State!$B$2:$B$24,0))</f>
        <v>North</v>
      </c>
      <c r="E28">
        <f t="shared" si="0"/>
        <v>2024</v>
      </c>
      <c r="F28">
        <v>790</v>
      </c>
    </row>
    <row r="29" spans="1:6" x14ac:dyDescent="0.3">
      <c r="A29" s="21">
        <v>45383</v>
      </c>
      <c r="B29" t="s">
        <v>21</v>
      </c>
      <c r="C29" t="s">
        <v>7213</v>
      </c>
      <c r="D29" t="str">
        <f>INDEX(State!$C$2:$C$24,MATCH(C29,State!$B$2:$B$24,0))</f>
        <v>North</v>
      </c>
      <c r="E29">
        <f t="shared" si="0"/>
        <v>2024</v>
      </c>
      <c r="F29">
        <v>440</v>
      </c>
    </row>
    <row r="30" spans="1:6" x14ac:dyDescent="0.3">
      <c r="A30" s="21">
        <v>45413</v>
      </c>
      <c r="B30" t="s">
        <v>21</v>
      </c>
      <c r="C30" t="s">
        <v>7213</v>
      </c>
      <c r="D30" t="str">
        <f>INDEX(State!$C$2:$C$24,MATCH(C30,State!$B$2:$B$24,0))</f>
        <v>North</v>
      </c>
      <c r="E30">
        <f t="shared" si="0"/>
        <v>2024</v>
      </c>
      <c r="F30">
        <v>1190</v>
      </c>
    </row>
    <row r="31" spans="1:6" x14ac:dyDescent="0.3">
      <c r="A31" s="21">
        <v>45444</v>
      </c>
      <c r="B31" t="s">
        <v>21</v>
      </c>
      <c r="C31" t="s">
        <v>7213</v>
      </c>
      <c r="D31" t="str">
        <f>INDEX(State!$C$2:$C$24,MATCH(C31,State!$B$2:$B$24,0))</f>
        <v>North</v>
      </c>
      <c r="E31">
        <f t="shared" si="0"/>
        <v>2024</v>
      </c>
      <c r="F31">
        <v>830</v>
      </c>
    </row>
    <row r="32" spans="1:6" x14ac:dyDescent="0.3">
      <c r="A32" s="21">
        <v>45474</v>
      </c>
      <c r="B32" t="s">
        <v>21</v>
      </c>
      <c r="C32" t="s">
        <v>7213</v>
      </c>
      <c r="D32" t="str">
        <f>INDEX(State!$C$2:$C$24,MATCH(C32,State!$B$2:$B$24,0))</f>
        <v>North</v>
      </c>
      <c r="E32">
        <f t="shared" si="0"/>
        <v>2024</v>
      </c>
      <c r="F32">
        <v>840</v>
      </c>
    </row>
    <row r="33" spans="1:6" x14ac:dyDescent="0.3">
      <c r="A33" s="21">
        <v>45505</v>
      </c>
      <c r="B33" t="s">
        <v>21</v>
      </c>
      <c r="C33" t="s">
        <v>7213</v>
      </c>
      <c r="D33" t="str">
        <f>INDEX(State!$C$2:$C$24,MATCH(C33,State!$B$2:$B$24,0))</f>
        <v>North</v>
      </c>
      <c r="E33">
        <f t="shared" si="0"/>
        <v>2024</v>
      </c>
      <c r="F33">
        <v>1330</v>
      </c>
    </row>
    <row r="34" spans="1:6" x14ac:dyDescent="0.3">
      <c r="A34" s="21">
        <v>45536</v>
      </c>
      <c r="B34" t="s">
        <v>21</v>
      </c>
      <c r="C34" t="s">
        <v>7213</v>
      </c>
      <c r="D34" t="str">
        <f>INDEX(State!$C$2:$C$24,MATCH(C34,State!$B$2:$B$24,0))</f>
        <v>North</v>
      </c>
      <c r="E34">
        <f t="shared" si="0"/>
        <v>2024</v>
      </c>
      <c r="F34">
        <v>680</v>
      </c>
    </row>
    <row r="35" spans="1:6" x14ac:dyDescent="0.3">
      <c r="A35" s="21">
        <v>45566</v>
      </c>
      <c r="B35" t="s">
        <v>21</v>
      </c>
      <c r="C35" t="s">
        <v>7213</v>
      </c>
      <c r="D35" t="str">
        <f>INDEX(State!$C$2:$C$24,MATCH(C35,State!$B$2:$B$24,0))</f>
        <v>North</v>
      </c>
      <c r="E35">
        <f t="shared" si="0"/>
        <v>2024</v>
      </c>
      <c r="F35">
        <v>1770</v>
      </c>
    </row>
    <row r="36" spans="1:6" x14ac:dyDescent="0.3">
      <c r="A36" s="21">
        <v>45597</v>
      </c>
      <c r="B36" t="s">
        <v>21</v>
      </c>
      <c r="C36" t="s">
        <v>7213</v>
      </c>
      <c r="D36" t="str">
        <f>INDEX(State!$C$2:$C$24,MATCH(C36,State!$B$2:$B$24,0))</f>
        <v>North</v>
      </c>
      <c r="E36">
        <f t="shared" si="0"/>
        <v>2024</v>
      </c>
      <c r="F36">
        <v>800</v>
      </c>
    </row>
    <row r="37" spans="1:6" x14ac:dyDescent="0.3">
      <c r="A37" s="21">
        <v>45627</v>
      </c>
      <c r="B37" t="s">
        <v>21</v>
      </c>
      <c r="C37" t="s">
        <v>7213</v>
      </c>
      <c r="D37" t="str">
        <f>INDEX(State!$C$2:$C$24,MATCH(C37,State!$B$2:$B$24,0))</f>
        <v>North</v>
      </c>
      <c r="E37">
        <f t="shared" si="0"/>
        <v>2024</v>
      </c>
      <c r="F37">
        <v>940</v>
      </c>
    </row>
    <row r="38" spans="1:6" x14ac:dyDescent="0.3">
      <c r="A38" s="21">
        <v>45658</v>
      </c>
      <c r="B38" t="s">
        <v>21</v>
      </c>
      <c r="C38" t="s">
        <v>7213</v>
      </c>
      <c r="D38" t="str">
        <f>INDEX(State!$C$2:$C$24,MATCH(C38,State!$B$2:$B$24,0))</f>
        <v>North</v>
      </c>
      <c r="E38">
        <f t="shared" si="0"/>
        <v>2025</v>
      </c>
      <c r="F38">
        <v>920</v>
      </c>
    </row>
    <row r="39" spans="1:6" x14ac:dyDescent="0.3">
      <c r="A39" s="21">
        <v>45689</v>
      </c>
      <c r="B39" t="s">
        <v>21</v>
      </c>
      <c r="C39" t="s">
        <v>7213</v>
      </c>
      <c r="D39" t="str">
        <f>INDEX(State!$C$2:$C$24,MATCH(C39,State!$B$2:$B$24,0))</f>
        <v>North</v>
      </c>
      <c r="E39">
        <f t="shared" si="0"/>
        <v>2025</v>
      </c>
      <c r="F39">
        <v>1570</v>
      </c>
    </row>
    <row r="40" spans="1:6" x14ac:dyDescent="0.3">
      <c r="A40" s="21">
        <v>45717</v>
      </c>
      <c r="B40" t="s">
        <v>21</v>
      </c>
      <c r="C40" t="s">
        <v>7213</v>
      </c>
      <c r="D40" t="str">
        <f>INDEX(State!$C$2:$C$24,MATCH(C40,State!$B$2:$B$24,0))</f>
        <v>North</v>
      </c>
      <c r="E40">
        <f t="shared" si="0"/>
        <v>2025</v>
      </c>
      <c r="F40">
        <v>1810</v>
      </c>
    </row>
    <row r="41" spans="1:6" x14ac:dyDescent="0.3">
      <c r="A41" s="21">
        <v>45748</v>
      </c>
      <c r="B41" t="s">
        <v>21</v>
      </c>
      <c r="C41" t="s">
        <v>7213</v>
      </c>
      <c r="D41" t="str">
        <f>INDEX(State!$C$2:$C$24,MATCH(C41,State!$B$2:$B$24,0))</f>
        <v>North</v>
      </c>
      <c r="E41">
        <f t="shared" si="0"/>
        <v>2025</v>
      </c>
      <c r="F41">
        <v>950</v>
      </c>
    </row>
    <row r="42" spans="1:6" x14ac:dyDescent="0.3">
      <c r="A42" s="21">
        <v>45778</v>
      </c>
      <c r="B42" t="s">
        <v>21</v>
      </c>
      <c r="C42" t="s">
        <v>7213</v>
      </c>
      <c r="D42" t="str">
        <f>INDEX(State!$C$2:$C$24,MATCH(C42,State!$B$2:$B$24,0))</f>
        <v>North</v>
      </c>
      <c r="E42">
        <f t="shared" si="0"/>
        <v>2025</v>
      </c>
      <c r="F42">
        <v>1400</v>
      </c>
    </row>
    <row r="43" spans="1:6" x14ac:dyDescent="0.3">
      <c r="A43" s="21">
        <v>45809</v>
      </c>
      <c r="B43" t="s">
        <v>21</v>
      </c>
      <c r="C43" t="s">
        <v>7213</v>
      </c>
      <c r="D43" t="str">
        <f>INDEX(State!$C$2:$C$24,MATCH(C43,State!$B$2:$B$24,0))</f>
        <v>North</v>
      </c>
      <c r="E43">
        <f t="shared" si="0"/>
        <v>2025</v>
      </c>
      <c r="F43">
        <v>1110</v>
      </c>
    </row>
    <row r="44" spans="1:6" x14ac:dyDescent="0.3">
      <c r="A44" s="21">
        <v>45839</v>
      </c>
      <c r="B44" t="s">
        <v>21</v>
      </c>
      <c r="C44" t="s">
        <v>7213</v>
      </c>
      <c r="D44" t="str">
        <f>INDEX(State!$C$2:$C$24,MATCH(C44,State!$B$2:$B$24,0))</f>
        <v>North</v>
      </c>
      <c r="E44">
        <f t="shared" si="0"/>
        <v>2025</v>
      </c>
      <c r="F44">
        <v>1510</v>
      </c>
    </row>
    <row r="45" spans="1:6" x14ac:dyDescent="0.3">
      <c r="A45" s="21">
        <v>45870</v>
      </c>
      <c r="B45" t="s">
        <v>21</v>
      </c>
      <c r="C45" t="s">
        <v>7213</v>
      </c>
      <c r="D45" t="str">
        <f>INDEX(State!$C$2:$C$24,MATCH(C45,State!$B$2:$B$24,0))</f>
        <v>North</v>
      </c>
      <c r="E45">
        <f t="shared" si="0"/>
        <v>2025</v>
      </c>
      <c r="F45">
        <v>990</v>
      </c>
    </row>
    <row r="46" spans="1:6" x14ac:dyDescent="0.3">
      <c r="A46" s="21">
        <v>45901</v>
      </c>
      <c r="B46" t="s">
        <v>21</v>
      </c>
      <c r="C46" t="s">
        <v>7213</v>
      </c>
      <c r="D46" t="str">
        <f>INDEX(State!$C$2:$C$24,MATCH(C46,State!$B$2:$B$24,0))</f>
        <v>North</v>
      </c>
      <c r="E46">
        <f t="shared" si="0"/>
        <v>2025</v>
      </c>
      <c r="F46">
        <v>840</v>
      </c>
    </row>
    <row r="47" spans="1:6" x14ac:dyDescent="0.3">
      <c r="A47" s="21">
        <v>45931</v>
      </c>
      <c r="B47" t="s">
        <v>21</v>
      </c>
      <c r="C47" t="s">
        <v>7213</v>
      </c>
      <c r="D47" t="str">
        <f>INDEX(State!$C$2:$C$24,MATCH(C47,State!$B$2:$B$24,0))</f>
        <v>North</v>
      </c>
      <c r="E47">
        <f t="shared" si="0"/>
        <v>2025</v>
      </c>
      <c r="F47">
        <v>1150</v>
      </c>
    </row>
    <row r="48" spans="1:6" x14ac:dyDescent="0.3">
      <c r="A48" s="21">
        <v>45962</v>
      </c>
      <c r="B48" t="s">
        <v>21</v>
      </c>
      <c r="C48" t="s">
        <v>7213</v>
      </c>
      <c r="D48" t="str">
        <f>INDEX(State!$C$2:$C$24,MATCH(C48,State!$B$2:$B$24,0))</f>
        <v>North</v>
      </c>
      <c r="E48">
        <f t="shared" si="0"/>
        <v>2025</v>
      </c>
      <c r="F48">
        <v>1980</v>
      </c>
    </row>
    <row r="49" spans="1:6" x14ac:dyDescent="0.3">
      <c r="A49" s="21">
        <v>45992</v>
      </c>
      <c r="B49" t="s">
        <v>21</v>
      </c>
      <c r="C49" t="s">
        <v>7213</v>
      </c>
      <c r="D49" t="str">
        <f>INDEX(State!$C$2:$C$24,MATCH(C49,State!$B$2:$B$24,0))</f>
        <v>North</v>
      </c>
      <c r="E49">
        <f t="shared" si="0"/>
        <v>2025</v>
      </c>
      <c r="F49">
        <v>2650</v>
      </c>
    </row>
    <row r="50" spans="1:6" x14ac:dyDescent="0.3">
      <c r="A50" s="21">
        <v>45292</v>
      </c>
      <c r="B50" t="s">
        <v>158</v>
      </c>
      <c r="C50" t="s">
        <v>7214</v>
      </c>
      <c r="D50" t="str">
        <f>INDEX(State!$C$2:$C$24,MATCH(C50,State!$B$2:$B$24,0))</f>
        <v>North</v>
      </c>
      <c r="E50">
        <f t="shared" si="0"/>
        <v>2024</v>
      </c>
      <c r="F50">
        <v>460</v>
      </c>
    </row>
    <row r="51" spans="1:6" x14ac:dyDescent="0.3">
      <c r="A51" s="21">
        <v>45323</v>
      </c>
      <c r="B51" t="s">
        <v>158</v>
      </c>
      <c r="C51" t="s">
        <v>7214</v>
      </c>
      <c r="D51" t="str">
        <f>INDEX(State!$C$2:$C$24,MATCH(C51,State!$B$2:$B$24,0))</f>
        <v>North</v>
      </c>
      <c r="E51">
        <f t="shared" si="0"/>
        <v>2024</v>
      </c>
      <c r="F51">
        <v>300</v>
      </c>
    </row>
    <row r="52" spans="1:6" x14ac:dyDescent="0.3">
      <c r="A52" s="21">
        <v>45352</v>
      </c>
      <c r="B52" t="s">
        <v>158</v>
      </c>
      <c r="C52" t="s">
        <v>7214</v>
      </c>
      <c r="D52" t="str">
        <f>INDEX(State!$C$2:$C$24,MATCH(C52,State!$B$2:$B$24,0))</f>
        <v>North</v>
      </c>
      <c r="E52">
        <f t="shared" si="0"/>
        <v>2024</v>
      </c>
      <c r="F52">
        <v>630</v>
      </c>
    </row>
    <row r="53" spans="1:6" x14ac:dyDescent="0.3">
      <c r="A53" s="21">
        <v>45383</v>
      </c>
      <c r="B53" t="s">
        <v>158</v>
      </c>
      <c r="C53" t="s">
        <v>7214</v>
      </c>
      <c r="D53" t="str">
        <f>INDEX(State!$C$2:$C$24,MATCH(C53,State!$B$2:$B$24,0))</f>
        <v>North</v>
      </c>
      <c r="E53">
        <f t="shared" si="0"/>
        <v>2024</v>
      </c>
      <c r="F53">
        <v>370</v>
      </c>
    </row>
    <row r="54" spans="1:6" x14ac:dyDescent="0.3">
      <c r="A54" s="21">
        <v>45413</v>
      </c>
      <c r="B54" t="s">
        <v>158</v>
      </c>
      <c r="C54" t="s">
        <v>7214</v>
      </c>
      <c r="D54" t="str">
        <f>INDEX(State!$C$2:$C$24,MATCH(C54,State!$B$2:$B$24,0))</f>
        <v>North</v>
      </c>
      <c r="E54">
        <f t="shared" si="0"/>
        <v>2024</v>
      </c>
      <c r="F54">
        <v>380</v>
      </c>
    </row>
    <row r="55" spans="1:6" x14ac:dyDescent="0.3">
      <c r="A55" s="21">
        <v>45444</v>
      </c>
      <c r="B55" t="s">
        <v>158</v>
      </c>
      <c r="C55" t="s">
        <v>7214</v>
      </c>
      <c r="D55" t="str">
        <f>INDEX(State!$C$2:$C$24,MATCH(C55,State!$B$2:$B$24,0))</f>
        <v>North</v>
      </c>
      <c r="E55">
        <f t="shared" si="0"/>
        <v>2024</v>
      </c>
      <c r="F55">
        <v>420</v>
      </c>
    </row>
    <row r="56" spans="1:6" x14ac:dyDescent="0.3">
      <c r="A56" s="21">
        <v>45474</v>
      </c>
      <c r="B56" t="s">
        <v>158</v>
      </c>
      <c r="C56" t="s">
        <v>7214</v>
      </c>
      <c r="D56" t="str">
        <f>INDEX(State!$C$2:$C$24,MATCH(C56,State!$B$2:$B$24,0))</f>
        <v>North</v>
      </c>
      <c r="E56">
        <f t="shared" si="0"/>
        <v>2024</v>
      </c>
      <c r="F56">
        <v>410</v>
      </c>
    </row>
    <row r="57" spans="1:6" x14ac:dyDescent="0.3">
      <c r="A57" s="21">
        <v>45505</v>
      </c>
      <c r="B57" t="s">
        <v>158</v>
      </c>
      <c r="C57" t="s">
        <v>7214</v>
      </c>
      <c r="D57" t="str">
        <f>INDEX(State!$C$2:$C$24,MATCH(C57,State!$B$2:$B$24,0))</f>
        <v>North</v>
      </c>
      <c r="E57">
        <f t="shared" si="0"/>
        <v>2024</v>
      </c>
      <c r="F57">
        <v>380</v>
      </c>
    </row>
    <row r="58" spans="1:6" x14ac:dyDescent="0.3">
      <c r="A58" s="21">
        <v>45536</v>
      </c>
      <c r="B58" t="s">
        <v>158</v>
      </c>
      <c r="C58" t="s">
        <v>7214</v>
      </c>
      <c r="D58" t="str">
        <f>INDEX(State!$C$2:$C$24,MATCH(C58,State!$B$2:$B$24,0))</f>
        <v>North</v>
      </c>
      <c r="E58">
        <f t="shared" si="0"/>
        <v>2024</v>
      </c>
      <c r="F58">
        <v>300</v>
      </c>
    </row>
    <row r="59" spans="1:6" x14ac:dyDescent="0.3">
      <c r="A59" s="21">
        <v>45566</v>
      </c>
      <c r="B59" t="s">
        <v>158</v>
      </c>
      <c r="C59" t="s">
        <v>7214</v>
      </c>
      <c r="D59" t="str">
        <f>INDEX(State!$C$2:$C$24,MATCH(C59,State!$B$2:$B$24,0))</f>
        <v>North</v>
      </c>
      <c r="E59">
        <f t="shared" si="0"/>
        <v>2024</v>
      </c>
      <c r="F59">
        <v>730</v>
      </c>
    </row>
    <row r="60" spans="1:6" x14ac:dyDescent="0.3">
      <c r="A60" s="21">
        <v>45597</v>
      </c>
      <c r="B60" t="s">
        <v>158</v>
      </c>
      <c r="C60" t="s">
        <v>7214</v>
      </c>
      <c r="D60" t="str">
        <f>INDEX(State!$C$2:$C$24,MATCH(C60,State!$B$2:$B$24,0))</f>
        <v>North</v>
      </c>
      <c r="E60">
        <f t="shared" si="0"/>
        <v>2024</v>
      </c>
      <c r="F60">
        <v>580</v>
      </c>
    </row>
    <row r="61" spans="1:6" x14ac:dyDescent="0.3">
      <c r="A61" s="21">
        <v>45627</v>
      </c>
      <c r="B61" t="s">
        <v>158</v>
      </c>
      <c r="C61" t="s">
        <v>7214</v>
      </c>
      <c r="D61" t="str">
        <f>INDEX(State!$C$2:$C$24,MATCH(C61,State!$B$2:$B$24,0))</f>
        <v>North</v>
      </c>
      <c r="E61">
        <f t="shared" si="0"/>
        <v>2024</v>
      </c>
      <c r="F61">
        <v>660</v>
      </c>
    </row>
    <row r="62" spans="1:6" x14ac:dyDescent="0.3">
      <c r="A62" s="21">
        <v>45658</v>
      </c>
      <c r="B62" t="s">
        <v>158</v>
      </c>
      <c r="C62" t="s">
        <v>7214</v>
      </c>
      <c r="D62" t="str">
        <f>INDEX(State!$C$2:$C$24,MATCH(C62,State!$B$2:$B$24,0))</f>
        <v>North</v>
      </c>
      <c r="E62">
        <f t="shared" si="0"/>
        <v>2025</v>
      </c>
      <c r="F62">
        <v>480</v>
      </c>
    </row>
    <row r="63" spans="1:6" x14ac:dyDescent="0.3">
      <c r="A63" s="21">
        <v>45689</v>
      </c>
      <c r="B63" t="s">
        <v>158</v>
      </c>
      <c r="C63" t="s">
        <v>7214</v>
      </c>
      <c r="D63" t="str">
        <f>INDEX(State!$C$2:$C$24,MATCH(C63,State!$B$2:$B$24,0))</f>
        <v>North</v>
      </c>
      <c r="E63">
        <f t="shared" si="0"/>
        <v>2025</v>
      </c>
      <c r="F63">
        <v>250</v>
      </c>
    </row>
    <row r="64" spans="1:6" x14ac:dyDescent="0.3">
      <c r="A64" s="21">
        <v>45717</v>
      </c>
      <c r="B64" t="s">
        <v>158</v>
      </c>
      <c r="C64" t="s">
        <v>7214</v>
      </c>
      <c r="D64" t="str">
        <f>INDEX(State!$C$2:$C$24,MATCH(C64,State!$B$2:$B$24,0))</f>
        <v>North</v>
      </c>
      <c r="E64">
        <f t="shared" si="0"/>
        <v>2025</v>
      </c>
      <c r="F64">
        <v>450</v>
      </c>
    </row>
    <row r="65" spans="1:6" x14ac:dyDescent="0.3">
      <c r="A65" s="21">
        <v>45748</v>
      </c>
      <c r="B65" t="s">
        <v>158</v>
      </c>
      <c r="C65" t="s">
        <v>7214</v>
      </c>
      <c r="D65" t="str">
        <f>INDEX(State!$C$2:$C$24,MATCH(C65,State!$B$2:$B$24,0))</f>
        <v>North</v>
      </c>
      <c r="E65">
        <f t="shared" si="0"/>
        <v>2025</v>
      </c>
      <c r="F65">
        <v>700</v>
      </c>
    </row>
    <row r="66" spans="1:6" x14ac:dyDescent="0.3">
      <c r="A66" s="21">
        <v>45778</v>
      </c>
      <c r="B66" t="s">
        <v>158</v>
      </c>
      <c r="C66" t="s">
        <v>7214</v>
      </c>
      <c r="D66" t="str">
        <f>INDEX(State!$C$2:$C$24,MATCH(C66,State!$B$2:$B$24,0))</f>
        <v>North</v>
      </c>
      <c r="E66">
        <f t="shared" ref="E66:E129" si="1">YEAR(A66)</f>
        <v>2025</v>
      </c>
      <c r="F66">
        <v>410</v>
      </c>
    </row>
    <row r="67" spans="1:6" x14ac:dyDescent="0.3">
      <c r="A67" s="21">
        <v>45809</v>
      </c>
      <c r="B67" t="s">
        <v>158</v>
      </c>
      <c r="C67" t="s">
        <v>7214</v>
      </c>
      <c r="D67" t="str">
        <f>INDEX(State!$C$2:$C$24,MATCH(C67,State!$B$2:$B$24,0))</f>
        <v>North</v>
      </c>
      <c r="E67">
        <f t="shared" si="1"/>
        <v>2025</v>
      </c>
      <c r="F67">
        <v>380</v>
      </c>
    </row>
    <row r="68" spans="1:6" x14ac:dyDescent="0.3">
      <c r="A68" s="21">
        <v>45839</v>
      </c>
      <c r="B68" t="s">
        <v>158</v>
      </c>
      <c r="C68" t="s">
        <v>7214</v>
      </c>
      <c r="D68" t="str">
        <f>INDEX(State!$C$2:$C$24,MATCH(C68,State!$B$2:$B$24,0))</f>
        <v>North</v>
      </c>
      <c r="E68">
        <f t="shared" si="1"/>
        <v>2025</v>
      </c>
      <c r="F68">
        <v>380</v>
      </c>
    </row>
    <row r="69" spans="1:6" x14ac:dyDescent="0.3">
      <c r="A69" s="21">
        <v>45870</v>
      </c>
      <c r="B69" t="s">
        <v>158</v>
      </c>
      <c r="C69" t="s">
        <v>7214</v>
      </c>
      <c r="D69" t="str">
        <f>INDEX(State!$C$2:$C$24,MATCH(C69,State!$B$2:$B$24,0))</f>
        <v>North</v>
      </c>
      <c r="E69">
        <f t="shared" si="1"/>
        <v>2025</v>
      </c>
      <c r="F69">
        <v>380</v>
      </c>
    </row>
    <row r="70" spans="1:6" x14ac:dyDescent="0.3">
      <c r="A70" s="21">
        <v>45901</v>
      </c>
      <c r="B70" t="s">
        <v>158</v>
      </c>
      <c r="C70" t="s">
        <v>7214</v>
      </c>
      <c r="D70" t="str">
        <f>INDEX(State!$C$2:$C$24,MATCH(C70,State!$B$2:$B$24,0))</f>
        <v>North</v>
      </c>
      <c r="E70">
        <f t="shared" si="1"/>
        <v>2025</v>
      </c>
      <c r="F70">
        <v>520</v>
      </c>
    </row>
    <row r="71" spans="1:6" x14ac:dyDescent="0.3">
      <c r="A71" s="21">
        <v>45931</v>
      </c>
      <c r="B71" t="s">
        <v>158</v>
      </c>
      <c r="C71" t="s">
        <v>7214</v>
      </c>
      <c r="D71" t="str">
        <f>INDEX(State!$C$2:$C$24,MATCH(C71,State!$B$2:$B$24,0))</f>
        <v>North</v>
      </c>
      <c r="E71">
        <f t="shared" si="1"/>
        <v>2025</v>
      </c>
      <c r="F71">
        <v>570</v>
      </c>
    </row>
    <row r="72" spans="1:6" x14ac:dyDescent="0.3">
      <c r="A72" s="21">
        <v>45962</v>
      </c>
      <c r="B72" t="s">
        <v>158</v>
      </c>
      <c r="C72" t="s">
        <v>7214</v>
      </c>
      <c r="D72" t="str">
        <f>INDEX(State!$C$2:$C$24,MATCH(C72,State!$B$2:$B$24,0))</f>
        <v>North</v>
      </c>
      <c r="E72">
        <f t="shared" si="1"/>
        <v>2025</v>
      </c>
      <c r="F72">
        <v>1130</v>
      </c>
    </row>
    <row r="73" spans="1:6" x14ac:dyDescent="0.3">
      <c r="A73" s="21">
        <v>45992</v>
      </c>
      <c r="B73" t="s">
        <v>158</v>
      </c>
      <c r="C73" t="s">
        <v>7214</v>
      </c>
      <c r="D73" t="str">
        <f>INDEX(State!$C$2:$C$24,MATCH(C73,State!$B$2:$B$24,0))</f>
        <v>North</v>
      </c>
      <c r="E73">
        <f t="shared" si="1"/>
        <v>2025</v>
      </c>
      <c r="F73">
        <v>540</v>
      </c>
    </row>
    <row r="74" spans="1:6" x14ac:dyDescent="0.3">
      <c r="A74" s="21">
        <v>45292</v>
      </c>
      <c r="B74" t="s">
        <v>184</v>
      </c>
      <c r="C74" t="s">
        <v>7215</v>
      </c>
      <c r="D74" t="str">
        <f>INDEX(State!$C$2:$C$24,MATCH(C74,State!$B$2:$B$24,0))</f>
        <v>North</v>
      </c>
      <c r="E74">
        <f t="shared" si="1"/>
        <v>2024</v>
      </c>
      <c r="F74">
        <v>530</v>
      </c>
    </row>
    <row r="75" spans="1:6" x14ac:dyDescent="0.3">
      <c r="A75" s="21">
        <v>45323</v>
      </c>
      <c r="B75" t="s">
        <v>184</v>
      </c>
      <c r="C75" t="s">
        <v>7215</v>
      </c>
      <c r="D75" t="str">
        <f>INDEX(State!$C$2:$C$24,MATCH(C75,State!$B$2:$B$24,0))</f>
        <v>North</v>
      </c>
      <c r="E75">
        <f t="shared" si="1"/>
        <v>2024</v>
      </c>
      <c r="F75">
        <v>620</v>
      </c>
    </row>
    <row r="76" spans="1:6" x14ac:dyDescent="0.3">
      <c r="A76" s="21">
        <v>45352</v>
      </c>
      <c r="B76" t="s">
        <v>184</v>
      </c>
      <c r="C76" t="s">
        <v>7215</v>
      </c>
      <c r="D76" t="str">
        <f>INDEX(State!$C$2:$C$24,MATCH(C76,State!$B$2:$B$24,0))</f>
        <v>North</v>
      </c>
      <c r="E76">
        <f t="shared" si="1"/>
        <v>2024</v>
      </c>
      <c r="F76">
        <v>670</v>
      </c>
    </row>
    <row r="77" spans="1:6" x14ac:dyDescent="0.3">
      <c r="A77" s="21">
        <v>45383</v>
      </c>
      <c r="B77" t="s">
        <v>184</v>
      </c>
      <c r="C77" t="s">
        <v>7215</v>
      </c>
      <c r="D77" t="str">
        <f>INDEX(State!$C$2:$C$24,MATCH(C77,State!$B$2:$B$24,0))</f>
        <v>North</v>
      </c>
      <c r="E77">
        <f t="shared" si="1"/>
        <v>2024</v>
      </c>
      <c r="F77">
        <v>390</v>
      </c>
    </row>
    <row r="78" spans="1:6" x14ac:dyDescent="0.3">
      <c r="A78" s="21">
        <v>45413</v>
      </c>
      <c r="B78" t="s">
        <v>184</v>
      </c>
      <c r="C78" t="s">
        <v>7215</v>
      </c>
      <c r="D78" t="str">
        <f>INDEX(State!$C$2:$C$24,MATCH(C78,State!$B$2:$B$24,0))</f>
        <v>North</v>
      </c>
      <c r="E78">
        <f t="shared" si="1"/>
        <v>2024</v>
      </c>
      <c r="F78">
        <v>480</v>
      </c>
    </row>
    <row r="79" spans="1:6" x14ac:dyDescent="0.3">
      <c r="A79" s="21">
        <v>45444</v>
      </c>
      <c r="B79" t="s">
        <v>184</v>
      </c>
      <c r="C79" t="s">
        <v>7215</v>
      </c>
      <c r="D79" t="str">
        <f>INDEX(State!$C$2:$C$24,MATCH(C79,State!$B$2:$B$24,0))</f>
        <v>North</v>
      </c>
      <c r="E79">
        <f t="shared" si="1"/>
        <v>2024</v>
      </c>
      <c r="F79">
        <v>570</v>
      </c>
    </row>
    <row r="80" spans="1:6" x14ac:dyDescent="0.3">
      <c r="A80" s="21">
        <v>45474</v>
      </c>
      <c r="B80" t="s">
        <v>184</v>
      </c>
      <c r="C80" t="s">
        <v>7215</v>
      </c>
      <c r="D80" t="str">
        <f>INDEX(State!$C$2:$C$24,MATCH(C80,State!$B$2:$B$24,0))</f>
        <v>North</v>
      </c>
      <c r="E80">
        <f t="shared" si="1"/>
        <v>2024</v>
      </c>
      <c r="F80">
        <v>490</v>
      </c>
    </row>
    <row r="81" spans="1:6" x14ac:dyDescent="0.3">
      <c r="A81" s="21">
        <v>45505</v>
      </c>
      <c r="B81" t="s">
        <v>184</v>
      </c>
      <c r="C81" t="s">
        <v>7215</v>
      </c>
      <c r="D81" t="str">
        <f>INDEX(State!$C$2:$C$24,MATCH(C81,State!$B$2:$B$24,0))</f>
        <v>North</v>
      </c>
      <c r="E81">
        <f t="shared" si="1"/>
        <v>2024</v>
      </c>
      <c r="F81">
        <v>300</v>
      </c>
    </row>
    <row r="82" spans="1:6" x14ac:dyDescent="0.3">
      <c r="A82" s="21">
        <v>45536</v>
      </c>
      <c r="B82" t="s">
        <v>184</v>
      </c>
      <c r="C82" t="s">
        <v>7215</v>
      </c>
      <c r="D82" t="str">
        <f>INDEX(State!$C$2:$C$24,MATCH(C82,State!$B$2:$B$24,0))</f>
        <v>North</v>
      </c>
      <c r="E82">
        <f t="shared" si="1"/>
        <v>2024</v>
      </c>
      <c r="F82">
        <v>650</v>
      </c>
    </row>
    <row r="83" spans="1:6" x14ac:dyDescent="0.3">
      <c r="A83" s="21">
        <v>45566</v>
      </c>
      <c r="B83" t="s">
        <v>184</v>
      </c>
      <c r="C83" t="s">
        <v>7215</v>
      </c>
      <c r="D83" t="str">
        <f>INDEX(State!$C$2:$C$24,MATCH(C83,State!$B$2:$B$24,0))</f>
        <v>North</v>
      </c>
      <c r="E83">
        <f t="shared" si="1"/>
        <v>2024</v>
      </c>
      <c r="F83">
        <v>980</v>
      </c>
    </row>
    <row r="84" spans="1:6" x14ac:dyDescent="0.3">
      <c r="A84" s="21">
        <v>45597</v>
      </c>
      <c r="B84" t="s">
        <v>184</v>
      </c>
      <c r="C84" t="s">
        <v>7215</v>
      </c>
      <c r="D84" t="str">
        <f>INDEX(State!$C$2:$C$24,MATCH(C84,State!$B$2:$B$24,0))</f>
        <v>North</v>
      </c>
      <c r="E84">
        <f t="shared" si="1"/>
        <v>2024</v>
      </c>
      <c r="F84">
        <v>800</v>
      </c>
    </row>
    <row r="85" spans="1:6" x14ac:dyDescent="0.3">
      <c r="A85" s="21">
        <v>45627</v>
      </c>
      <c r="B85" t="s">
        <v>184</v>
      </c>
      <c r="C85" t="s">
        <v>7215</v>
      </c>
      <c r="D85" t="str">
        <f>INDEX(State!$C$2:$C$24,MATCH(C85,State!$B$2:$B$24,0))</f>
        <v>North</v>
      </c>
      <c r="E85">
        <f t="shared" si="1"/>
        <v>2024</v>
      </c>
      <c r="F85">
        <v>440</v>
      </c>
    </row>
    <row r="86" spans="1:6" x14ac:dyDescent="0.3">
      <c r="A86" s="21">
        <v>45658</v>
      </c>
      <c r="B86" t="s">
        <v>184</v>
      </c>
      <c r="C86" t="s">
        <v>7215</v>
      </c>
      <c r="D86" t="str">
        <f>INDEX(State!$C$2:$C$24,MATCH(C86,State!$B$2:$B$24,0))</f>
        <v>North</v>
      </c>
      <c r="E86">
        <f t="shared" si="1"/>
        <v>2025</v>
      </c>
      <c r="F86">
        <v>610</v>
      </c>
    </row>
    <row r="87" spans="1:6" x14ac:dyDescent="0.3">
      <c r="A87" s="21">
        <v>45689</v>
      </c>
      <c r="B87" t="s">
        <v>184</v>
      </c>
      <c r="C87" t="s">
        <v>7215</v>
      </c>
      <c r="D87" t="str">
        <f>INDEX(State!$C$2:$C$24,MATCH(C87,State!$B$2:$B$24,0))</f>
        <v>North</v>
      </c>
      <c r="E87">
        <f t="shared" si="1"/>
        <v>2025</v>
      </c>
      <c r="F87">
        <v>440</v>
      </c>
    </row>
    <row r="88" spans="1:6" x14ac:dyDescent="0.3">
      <c r="A88" s="21">
        <v>45717</v>
      </c>
      <c r="B88" t="s">
        <v>184</v>
      </c>
      <c r="C88" t="s">
        <v>7215</v>
      </c>
      <c r="D88" t="str">
        <f>INDEX(State!$C$2:$C$24,MATCH(C88,State!$B$2:$B$24,0))</f>
        <v>North</v>
      </c>
      <c r="E88">
        <f t="shared" si="1"/>
        <v>2025</v>
      </c>
      <c r="F88">
        <v>510</v>
      </c>
    </row>
    <row r="89" spans="1:6" x14ac:dyDescent="0.3">
      <c r="A89" s="21">
        <v>45748</v>
      </c>
      <c r="B89" t="s">
        <v>184</v>
      </c>
      <c r="C89" t="s">
        <v>7215</v>
      </c>
      <c r="D89" t="str">
        <f>INDEX(State!$C$2:$C$24,MATCH(C89,State!$B$2:$B$24,0))</f>
        <v>North</v>
      </c>
      <c r="E89">
        <f t="shared" si="1"/>
        <v>2025</v>
      </c>
      <c r="F89">
        <v>750</v>
      </c>
    </row>
    <row r="90" spans="1:6" x14ac:dyDescent="0.3">
      <c r="A90" s="21">
        <v>45778</v>
      </c>
      <c r="B90" t="s">
        <v>184</v>
      </c>
      <c r="C90" t="s">
        <v>7215</v>
      </c>
      <c r="D90" t="str">
        <f>INDEX(State!$C$2:$C$24,MATCH(C90,State!$B$2:$B$24,0))</f>
        <v>North</v>
      </c>
      <c r="E90">
        <f t="shared" si="1"/>
        <v>2025</v>
      </c>
      <c r="F90">
        <v>850</v>
      </c>
    </row>
    <row r="91" spans="1:6" x14ac:dyDescent="0.3">
      <c r="A91" s="21">
        <v>45809</v>
      </c>
      <c r="B91" t="s">
        <v>184</v>
      </c>
      <c r="C91" t="s">
        <v>7215</v>
      </c>
      <c r="D91" t="str">
        <f>INDEX(State!$C$2:$C$24,MATCH(C91,State!$B$2:$B$24,0))</f>
        <v>North</v>
      </c>
      <c r="E91">
        <f t="shared" si="1"/>
        <v>2025</v>
      </c>
      <c r="F91">
        <v>700</v>
      </c>
    </row>
    <row r="92" spans="1:6" x14ac:dyDescent="0.3">
      <c r="A92" s="21">
        <v>45839</v>
      </c>
      <c r="B92" t="s">
        <v>184</v>
      </c>
      <c r="C92" t="s">
        <v>7215</v>
      </c>
      <c r="D92" t="str">
        <f>INDEX(State!$C$2:$C$24,MATCH(C92,State!$B$2:$B$24,0))</f>
        <v>North</v>
      </c>
      <c r="E92">
        <f t="shared" si="1"/>
        <v>2025</v>
      </c>
      <c r="F92">
        <v>750</v>
      </c>
    </row>
    <row r="93" spans="1:6" x14ac:dyDescent="0.3">
      <c r="A93" s="21">
        <v>45870</v>
      </c>
      <c r="B93" t="s">
        <v>184</v>
      </c>
      <c r="C93" t="s">
        <v>7215</v>
      </c>
      <c r="D93" t="str">
        <f>INDEX(State!$C$2:$C$24,MATCH(C93,State!$B$2:$B$24,0))</f>
        <v>North</v>
      </c>
      <c r="E93">
        <f t="shared" si="1"/>
        <v>2025</v>
      </c>
      <c r="F93">
        <v>740</v>
      </c>
    </row>
    <row r="94" spans="1:6" x14ac:dyDescent="0.3">
      <c r="A94" s="21">
        <v>45901</v>
      </c>
      <c r="B94" t="s">
        <v>184</v>
      </c>
      <c r="C94" t="s">
        <v>7215</v>
      </c>
      <c r="D94" t="str">
        <f>INDEX(State!$C$2:$C$24,MATCH(C94,State!$B$2:$B$24,0))</f>
        <v>North</v>
      </c>
      <c r="E94">
        <f t="shared" si="1"/>
        <v>2025</v>
      </c>
      <c r="F94">
        <v>670</v>
      </c>
    </row>
    <row r="95" spans="1:6" x14ac:dyDescent="0.3">
      <c r="A95" s="21">
        <v>45931</v>
      </c>
      <c r="B95" t="s">
        <v>184</v>
      </c>
      <c r="C95" t="s">
        <v>7215</v>
      </c>
      <c r="D95" t="str">
        <f>INDEX(State!$C$2:$C$24,MATCH(C95,State!$B$2:$B$24,0))</f>
        <v>North</v>
      </c>
      <c r="E95">
        <f t="shared" si="1"/>
        <v>2025</v>
      </c>
      <c r="F95">
        <v>930</v>
      </c>
    </row>
    <row r="96" spans="1:6" x14ac:dyDescent="0.3">
      <c r="A96" s="21">
        <v>45962</v>
      </c>
      <c r="B96" t="s">
        <v>184</v>
      </c>
      <c r="C96" t="s">
        <v>7215</v>
      </c>
      <c r="D96" t="str">
        <f>INDEX(State!$C$2:$C$24,MATCH(C96,State!$B$2:$B$24,0))</f>
        <v>North</v>
      </c>
      <c r="E96">
        <f t="shared" si="1"/>
        <v>2025</v>
      </c>
      <c r="F96">
        <v>740</v>
      </c>
    </row>
    <row r="97" spans="1:6" x14ac:dyDescent="0.3">
      <c r="A97" s="21">
        <v>45992</v>
      </c>
      <c r="B97" t="s">
        <v>184</v>
      </c>
      <c r="C97" t="s">
        <v>7215</v>
      </c>
      <c r="D97" t="str">
        <f>INDEX(State!$C$2:$C$24,MATCH(C97,State!$B$2:$B$24,0))</f>
        <v>North</v>
      </c>
      <c r="E97">
        <f t="shared" si="1"/>
        <v>2025</v>
      </c>
      <c r="F97">
        <v>690</v>
      </c>
    </row>
    <row r="98" spans="1:6" x14ac:dyDescent="0.3">
      <c r="A98" s="21">
        <v>45292</v>
      </c>
      <c r="B98" t="s">
        <v>54</v>
      </c>
      <c r="C98" t="s">
        <v>7216</v>
      </c>
      <c r="D98" t="str">
        <f>INDEX(State!$C$2:$C$24,MATCH(C98,State!$B$2:$B$24,0))</f>
        <v>North</v>
      </c>
      <c r="E98">
        <f t="shared" si="1"/>
        <v>2024</v>
      </c>
      <c r="F98">
        <v>3240</v>
      </c>
    </row>
    <row r="99" spans="1:6" x14ac:dyDescent="0.3">
      <c r="A99" s="21">
        <v>45323</v>
      </c>
      <c r="B99" t="s">
        <v>54</v>
      </c>
      <c r="C99" t="s">
        <v>7216</v>
      </c>
      <c r="D99" t="str">
        <f>INDEX(State!$C$2:$C$24,MATCH(C99,State!$B$2:$B$24,0))</f>
        <v>North</v>
      </c>
      <c r="E99">
        <f t="shared" si="1"/>
        <v>2024</v>
      </c>
      <c r="F99">
        <v>1770</v>
      </c>
    </row>
    <row r="100" spans="1:6" x14ac:dyDescent="0.3">
      <c r="A100" s="21">
        <v>45352</v>
      </c>
      <c r="B100" t="s">
        <v>54</v>
      </c>
      <c r="C100" t="s">
        <v>7216</v>
      </c>
      <c r="D100" t="str">
        <f>INDEX(State!$C$2:$C$24,MATCH(C100,State!$B$2:$B$24,0))</f>
        <v>North</v>
      </c>
      <c r="E100">
        <f t="shared" si="1"/>
        <v>2024</v>
      </c>
      <c r="F100">
        <v>1340</v>
      </c>
    </row>
    <row r="101" spans="1:6" x14ac:dyDescent="0.3">
      <c r="A101" s="21">
        <v>45383</v>
      </c>
      <c r="B101" t="s">
        <v>54</v>
      </c>
      <c r="C101" t="s">
        <v>7216</v>
      </c>
      <c r="D101" t="str">
        <f>INDEX(State!$C$2:$C$24,MATCH(C101,State!$B$2:$B$24,0))</f>
        <v>North</v>
      </c>
      <c r="E101">
        <f t="shared" si="1"/>
        <v>2024</v>
      </c>
      <c r="F101">
        <v>1220</v>
      </c>
    </row>
    <row r="102" spans="1:6" x14ac:dyDescent="0.3">
      <c r="A102" s="21">
        <v>45413</v>
      </c>
      <c r="B102" t="s">
        <v>54</v>
      </c>
      <c r="C102" t="s">
        <v>7216</v>
      </c>
      <c r="D102" t="str">
        <f>INDEX(State!$C$2:$C$24,MATCH(C102,State!$B$2:$B$24,0))</f>
        <v>North</v>
      </c>
      <c r="E102">
        <f t="shared" si="1"/>
        <v>2024</v>
      </c>
      <c r="F102">
        <v>1160</v>
      </c>
    </row>
    <row r="103" spans="1:6" x14ac:dyDescent="0.3">
      <c r="A103" s="21">
        <v>45444</v>
      </c>
      <c r="B103" t="s">
        <v>54</v>
      </c>
      <c r="C103" t="s">
        <v>7216</v>
      </c>
      <c r="D103" t="str">
        <f>INDEX(State!$C$2:$C$24,MATCH(C103,State!$B$2:$B$24,0))</f>
        <v>North</v>
      </c>
      <c r="E103">
        <f t="shared" si="1"/>
        <v>2024</v>
      </c>
      <c r="F103">
        <v>1730</v>
      </c>
    </row>
    <row r="104" spans="1:6" x14ac:dyDescent="0.3">
      <c r="A104" s="21">
        <v>45474</v>
      </c>
      <c r="B104" t="s">
        <v>54</v>
      </c>
      <c r="C104" t="s">
        <v>7216</v>
      </c>
      <c r="D104" t="str">
        <f>INDEX(State!$C$2:$C$24,MATCH(C104,State!$B$2:$B$24,0))</f>
        <v>North</v>
      </c>
      <c r="E104">
        <f t="shared" si="1"/>
        <v>2024</v>
      </c>
      <c r="F104">
        <v>1920</v>
      </c>
    </row>
    <row r="105" spans="1:6" x14ac:dyDescent="0.3">
      <c r="A105" s="21">
        <v>45505</v>
      </c>
      <c r="B105" t="s">
        <v>54</v>
      </c>
      <c r="C105" t="s">
        <v>7216</v>
      </c>
      <c r="D105" t="str">
        <f>INDEX(State!$C$2:$C$24,MATCH(C105,State!$B$2:$B$24,0))</f>
        <v>North</v>
      </c>
      <c r="E105">
        <f t="shared" si="1"/>
        <v>2024</v>
      </c>
      <c r="F105">
        <v>1090</v>
      </c>
    </row>
    <row r="106" spans="1:6" x14ac:dyDescent="0.3">
      <c r="A106" s="21">
        <v>45536</v>
      </c>
      <c r="B106" t="s">
        <v>54</v>
      </c>
      <c r="C106" t="s">
        <v>7216</v>
      </c>
      <c r="D106" t="str">
        <f>INDEX(State!$C$2:$C$24,MATCH(C106,State!$B$2:$B$24,0))</f>
        <v>North</v>
      </c>
      <c r="E106">
        <f t="shared" si="1"/>
        <v>2024</v>
      </c>
      <c r="F106">
        <v>2060</v>
      </c>
    </row>
    <row r="107" spans="1:6" x14ac:dyDescent="0.3">
      <c r="A107" s="21">
        <v>45566</v>
      </c>
      <c r="B107" t="s">
        <v>54</v>
      </c>
      <c r="C107" t="s">
        <v>7216</v>
      </c>
      <c r="D107" t="str">
        <f>INDEX(State!$C$2:$C$24,MATCH(C107,State!$B$2:$B$24,0))</f>
        <v>North</v>
      </c>
      <c r="E107">
        <f t="shared" si="1"/>
        <v>2024</v>
      </c>
      <c r="F107">
        <v>2160</v>
      </c>
    </row>
    <row r="108" spans="1:6" x14ac:dyDescent="0.3">
      <c r="A108" s="21">
        <v>45597</v>
      </c>
      <c r="B108" t="s">
        <v>54</v>
      </c>
      <c r="C108" t="s">
        <v>7216</v>
      </c>
      <c r="D108" t="str">
        <f>INDEX(State!$C$2:$C$24,MATCH(C108,State!$B$2:$B$24,0))</f>
        <v>North</v>
      </c>
      <c r="E108">
        <f t="shared" si="1"/>
        <v>2024</v>
      </c>
      <c r="F108">
        <v>3540</v>
      </c>
    </row>
    <row r="109" spans="1:6" x14ac:dyDescent="0.3">
      <c r="A109" s="21">
        <v>45627</v>
      </c>
      <c r="B109" t="s">
        <v>54</v>
      </c>
      <c r="C109" t="s">
        <v>7216</v>
      </c>
      <c r="D109" t="str">
        <f>INDEX(State!$C$2:$C$24,MATCH(C109,State!$B$2:$B$24,0))</f>
        <v>North</v>
      </c>
      <c r="E109">
        <f t="shared" si="1"/>
        <v>2024</v>
      </c>
      <c r="F109">
        <v>1970</v>
      </c>
    </row>
    <row r="110" spans="1:6" x14ac:dyDescent="0.3">
      <c r="A110" s="21">
        <v>45658</v>
      </c>
      <c r="B110" t="s">
        <v>54</v>
      </c>
      <c r="C110" t="s">
        <v>7216</v>
      </c>
      <c r="D110" t="str">
        <f>INDEX(State!$C$2:$C$24,MATCH(C110,State!$B$2:$B$24,0))</f>
        <v>North</v>
      </c>
      <c r="E110">
        <f t="shared" si="1"/>
        <v>2025</v>
      </c>
      <c r="F110">
        <v>3470</v>
      </c>
    </row>
    <row r="111" spans="1:6" x14ac:dyDescent="0.3">
      <c r="A111" s="21">
        <v>45689</v>
      </c>
      <c r="B111" t="s">
        <v>54</v>
      </c>
      <c r="C111" t="s">
        <v>7216</v>
      </c>
      <c r="D111" t="str">
        <f>INDEX(State!$C$2:$C$24,MATCH(C111,State!$B$2:$B$24,0))</f>
        <v>North</v>
      </c>
      <c r="E111">
        <f t="shared" si="1"/>
        <v>2025</v>
      </c>
      <c r="F111">
        <v>1530</v>
      </c>
    </row>
    <row r="112" spans="1:6" x14ac:dyDescent="0.3">
      <c r="A112" s="21">
        <v>45717</v>
      </c>
      <c r="B112" t="s">
        <v>54</v>
      </c>
      <c r="C112" t="s">
        <v>7216</v>
      </c>
      <c r="D112" t="str">
        <f>INDEX(State!$C$2:$C$24,MATCH(C112,State!$B$2:$B$24,0))</f>
        <v>North</v>
      </c>
      <c r="E112">
        <f t="shared" si="1"/>
        <v>2025</v>
      </c>
      <c r="F112">
        <v>1700</v>
      </c>
    </row>
    <row r="113" spans="1:6" x14ac:dyDescent="0.3">
      <c r="A113" s="21">
        <v>45748</v>
      </c>
      <c r="B113" t="s">
        <v>54</v>
      </c>
      <c r="C113" t="s">
        <v>7216</v>
      </c>
      <c r="D113" t="str">
        <f>INDEX(State!$C$2:$C$24,MATCH(C113,State!$B$2:$B$24,0))</f>
        <v>North</v>
      </c>
      <c r="E113">
        <f t="shared" si="1"/>
        <v>2025</v>
      </c>
      <c r="F113">
        <v>1890</v>
      </c>
    </row>
    <row r="114" spans="1:6" x14ac:dyDescent="0.3">
      <c r="A114" s="21">
        <v>45778</v>
      </c>
      <c r="B114" t="s">
        <v>54</v>
      </c>
      <c r="C114" t="s">
        <v>7216</v>
      </c>
      <c r="D114" t="str">
        <f>INDEX(State!$C$2:$C$24,MATCH(C114,State!$B$2:$B$24,0))</f>
        <v>North</v>
      </c>
      <c r="E114">
        <f t="shared" si="1"/>
        <v>2025</v>
      </c>
      <c r="F114">
        <v>2470</v>
      </c>
    </row>
    <row r="115" spans="1:6" x14ac:dyDescent="0.3">
      <c r="A115" s="21">
        <v>45809</v>
      </c>
      <c r="B115" t="s">
        <v>54</v>
      </c>
      <c r="C115" t="s">
        <v>7216</v>
      </c>
      <c r="D115" t="str">
        <f>INDEX(State!$C$2:$C$24,MATCH(C115,State!$B$2:$B$24,0))</f>
        <v>North</v>
      </c>
      <c r="E115">
        <f t="shared" si="1"/>
        <v>2025</v>
      </c>
      <c r="F115">
        <v>2280</v>
      </c>
    </row>
    <row r="116" spans="1:6" x14ac:dyDescent="0.3">
      <c r="A116" s="21">
        <v>45839</v>
      </c>
      <c r="B116" t="s">
        <v>54</v>
      </c>
      <c r="C116" t="s">
        <v>7216</v>
      </c>
      <c r="D116" t="str">
        <f>INDEX(State!$C$2:$C$24,MATCH(C116,State!$B$2:$B$24,0))</f>
        <v>North</v>
      </c>
      <c r="E116">
        <f t="shared" si="1"/>
        <v>2025</v>
      </c>
      <c r="F116">
        <v>1520</v>
      </c>
    </row>
    <row r="117" spans="1:6" x14ac:dyDescent="0.3">
      <c r="A117" s="21">
        <v>45870</v>
      </c>
      <c r="B117" t="s">
        <v>54</v>
      </c>
      <c r="C117" t="s">
        <v>7216</v>
      </c>
      <c r="D117" t="str">
        <f>INDEX(State!$C$2:$C$24,MATCH(C117,State!$B$2:$B$24,0))</f>
        <v>North</v>
      </c>
      <c r="E117">
        <f t="shared" si="1"/>
        <v>2025</v>
      </c>
      <c r="F117">
        <v>2150</v>
      </c>
    </row>
    <row r="118" spans="1:6" x14ac:dyDescent="0.3">
      <c r="A118" s="21">
        <v>45901</v>
      </c>
      <c r="B118" t="s">
        <v>54</v>
      </c>
      <c r="C118" t="s">
        <v>7216</v>
      </c>
      <c r="D118" t="str">
        <f>INDEX(State!$C$2:$C$24,MATCH(C118,State!$B$2:$B$24,0))</f>
        <v>North</v>
      </c>
      <c r="E118">
        <f t="shared" si="1"/>
        <v>2025</v>
      </c>
      <c r="F118">
        <v>2260</v>
      </c>
    </row>
    <row r="119" spans="1:6" x14ac:dyDescent="0.3">
      <c r="A119" s="21">
        <v>45931</v>
      </c>
      <c r="B119" t="s">
        <v>54</v>
      </c>
      <c r="C119" t="s">
        <v>7216</v>
      </c>
      <c r="D119" t="str">
        <f>INDEX(State!$C$2:$C$24,MATCH(C119,State!$B$2:$B$24,0))</f>
        <v>North</v>
      </c>
      <c r="E119">
        <f t="shared" si="1"/>
        <v>2025</v>
      </c>
      <c r="F119">
        <v>2810</v>
      </c>
    </row>
    <row r="120" spans="1:6" x14ac:dyDescent="0.3">
      <c r="A120" s="21">
        <v>45962</v>
      </c>
      <c r="B120" t="s">
        <v>54</v>
      </c>
      <c r="C120" t="s">
        <v>7216</v>
      </c>
      <c r="D120" t="str">
        <f>INDEX(State!$C$2:$C$24,MATCH(C120,State!$B$2:$B$24,0))</f>
        <v>North</v>
      </c>
      <c r="E120">
        <f t="shared" si="1"/>
        <v>2025</v>
      </c>
      <c r="F120">
        <v>2470</v>
      </c>
    </row>
    <row r="121" spans="1:6" x14ac:dyDescent="0.3">
      <c r="A121" s="21">
        <v>45992</v>
      </c>
      <c r="B121" t="s">
        <v>54</v>
      </c>
      <c r="C121" t="s">
        <v>7216</v>
      </c>
      <c r="D121" t="str">
        <f>INDEX(State!$C$2:$C$24,MATCH(C121,State!$B$2:$B$24,0))</f>
        <v>North</v>
      </c>
      <c r="E121">
        <f t="shared" si="1"/>
        <v>2025</v>
      </c>
      <c r="F121">
        <v>3840</v>
      </c>
    </row>
    <row r="122" spans="1:6" x14ac:dyDescent="0.3">
      <c r="A122" s="21">
        <v>45292</v>
      </c>
      <c r="B122" t="s">
        <v>48</v>
      </c>
      <c r="C122" t="s">
        <v>7217</v>
      </c>
      <c r="D122" t="str">
        <f>INDEX(State!$C$2:$C$24,MATCH(C122,State!$B$2:$B$24,0))</f>
        <v>North</v>
      </c>
      <c r="E122">
        <f t="shared" si="1"/>
        <v>2024</v>
      </c>
      <c r="F122">
        <v>1230</v>
      </c>
    </row>
    <row r="123" spans="1:6" x14ac:dyDescent="0.3">
      <c r="A123" s="21">
        <v>45323</v>
      </c>
      <c r="B123" t="s">
        <v>48</v>
      </c>
      <c r="C123" t="s">
        <v>7217</v>
      </c>
      <c r="D123" t="str">
        <f>INDEX(State!$C$2:$C$24,MATCH(C123,State!$B$2:$B$24,0))</f>
        <v>North</v>
      </c>
      <c r="E123">
        <f t="shared" si="1"/>
        <v>2024</v>
      </c>
      <c r="F123">
        <v>880</v>
      </c>
    </row>
    <row r="124" spans="1:6" x14ac:dyDescent="0.3">
      <c r="A124" s="21">
        <v>45352</v>
      </c>
      <c r="B124" t="s">
        <v>48</v>
      </c>
      <c r="C124" t="s">
        <v>7217</v>
      </c>
      <c r="D124" t="str">
        <f>INDEX(State!$C$2:$C$24,MATCH(C124,State!$B$2:$B$24,0))</f>
        <v>North</v>
      </c>
      <c r="E124">
        <f t="shared" si="1"/>
        <v>2024</v>
      </c>
      <c r="F124">
        <v>1410</v>
      </c>
    </row>
    <row r="125" spans="1:6" x14ac:dyDescent="0.3">
      <c r="A125" s="21">
        <v>45383</v>
      </c>
      <c r="B125" t="s">
        <v>48</v>
      </c>
      <c r="C125" t="s">
        <v>7217</v>
      </c>
      <c r="D125" t="str">
        <f>INDEX(State!$C$2:$C$24,MATCH(C125,State!$B$2:$B$24,0))</f>
        <v>North</v>
      </c>
      <c r="E125">
        <f t="shared" si="1"/>
        <v>2024</v>
      </c>
      <c r="F125">
        <v>1150</v>
      </c>
    </row>
    <row r="126" spans="1:6" x14ac:dyDescent="0.3">
      <c r="A126" s="21">
        <v>45413</v>
      </c>
      <c r="B126" t="s">
        <v>48</v>
      </c>
      <c r="C126" t="s">
        <v>7217</v>
      </c>
      <c r="D126" t="str">
        <f>INDEX(State!$C$2:$C$24,MATCH(C126,State!$B$2:$B$24,0))</f>
        <v>North</v>
      </c>
      <c r="E126">
        <f t="shared" si="1"/>
        <v>2024</v>
      </c>
      <c r="F126">
        <v>1150</v>
      </c>
    </row>
    <row r="127" spans="1:6" x14ac:dyDescent="0.3">
      <c r="A127" s="21">
        <v>45444</v>
      </c>
      <c r="B127" t="s">
        <v>48</v>
      </c>
      <c r="C127" t="s">
        <v>7217</v>
      </c>
      <c r="D127" t="str">
        <f>INDEX(State!$C$2:$C$24,MATCH(C127,State!$B$2:$B$24,0))</f>
        <v>North</v>
      </c>
      <c r="E127">
        <f t="shared" si="1"/>
        <v>2024</v>
      </c>
      <c r="F127">
        <v>1550</v>
      </c>
    </row>
    <row r="128" spans="1:6" x14ac:dyDescent="0.3">
      <c r="A128" s="21">
        <v>45474</v>
      </c>
      <c r="B128" t="s">
        <v>48</v>
      </c>
      <c r="C128" t="s">
        <v>7217</v>
      </c>
      <c r="D128" t="str">
        <f>INDEX(State!$C$2:$C$24,MATCH(C128,State!$B$2:$B$24,0))</f>
        <v>North</v>
      </c>
      <c r="E128">
        <f t="shared" si="1"/>
        <v>2024</v>
      </c>
      <c r="F128">
        <v>1580</v>
      </c>
    </row>
    <row r="129" spans="1:6" x14ac:dyDescent="0.3">
      <c r="A129" s="21">
        <v>45505</v>
      </c>
      <c r="B129" t="s">
        <v>48</v>
      </c>
      <c r="C129" t="s">
        <v>7217</v>
      </c>
      <c r="D129" t="str">
        <f>INDEX(State!$C$2:$C$24,MATCH(C129,State!$B$2:$B$24,0))</f>
        <v>North</v>
      </c>
      <c r="E129">
        <f t="shared" si="1"/>
        <v>2024</v>
      </c>
      <c r="F129">
        <v>1450</v>
      </c>
    </row>
    <row r="130" spans="1:6" x14ac:dyDescent="0.3">
      <c r="A130" s="21">
        <v>45536</v>
      </c>
      <c r="B130" t="s">
        <v>48</v>
      </c>
      <c r="C130" t="s">
        <v>7217</v>
      </c>
      <c r="D130" t="str">
        <f>INDEX(State!$C$2:$C$24,MATCH(C130,State!$B$2:$B$24,0))</f>
        <v>North</v>
      </c>
      <c r="E130">
        <f t="shared" ref="E130:E193" si="2">YEAR(A130)</f>
        <v>2024</v>
      </c>
      <c r="F130">
        <v>1890</v>
      </c>
    </row>
    <row r="131" spans="1:6" x14ac:dyDescent="0.3">
      <c r="A131" s="21">
        <v>45566</v>
      </c>
      <c r="B131" t="s">
        <v>48</v>
      </c>
      <c r="C131" t="s">
        <v>7217</v>
      </c>
      <c r="D131" t="str">
        <f>INDEX(State!$C$2:$C$24,MATCH(C131,State!$B$2:$B$24,0))</f>
        <v>North</v>
      </c>
      <c r="E131">
        <f t="shared" si="2"/>
        <v>2024</v>
      </c>
      <c r="F131">
        <v>2200</v>
      </c>
    </row>
    <row r="132" spans="1:6" x14ac:dyDescent="0.3">
      <c r="A132" s="21">
        <v>45597</v>
      </c>
      <c r="B132" t="s">
        <v>48</v>
      </c>
      <c r="C132" t="s">
        <v>7217</v>
      </c>
      <c r="D132" t="str">
        <f>INDEX(State!$C$2:$C$24,MATCH(C132,State!$B$2:$B$24,0))</f>
        <v>North</v>
      </c>
      <c r="E132">
        <f t="shared" si="2"/>
        <v>2024</v>
      </c>
      <c r="F132">
        <v>1600</v>
      </c>
    </row>
    <row r="133" spans="1:6" x14ac:dyDescent="0.3">
      <c r="A133" s="21">
        <v>45627</v>
      </c>
      <c r="B133" t="s">
        <v>48</v>
      </c>
      <c r="C133" t="s">
        <v>7217</v>
      </c>
      <c r="D133" t="str">
        <f>INDEX(State!$C$2:$C$24,MATCH(C133,State!$B$2:$B$24,0))</f>
        <v>North</v>
      </c>
      <c r="E133">
        <f t="shared" si="2"/>
        <v>2024</v>
      </c>
      <c r="F133">
        <v>1360</v>
      </c>
    </row>
    <row r="134" spans="1:6" x14ac:dyDescent="0.3">
      <c r="A134" s="21">
        <v>45658</v>
      </c>
      <c r="B134" t="s">
        <v>48</v>
      </c>
      <c r="C134" t="s">
        <v>7217</v>
      </c>
      <c r="D134" t="str">
        <f>INDEX(State!$C$2:$C$24,MATCH(C134,State!$B$2:$B$24,0))</f>
        <v>North</v>
      </c>
      <c r="E134">
        <f t="shared" si="2"/>
        <v>2025</v>
      </c>
      <c r="F134">
        <v>1480</v>
      </c>
    </row>
    <row r="135" spans="1:6" x14ac:dyDescent="0.3">
      <c r="A135" s="21">
        <v>45689</v>
      </c>
      <c r="B135" t="s">
        <v>48</v>
      </c>
      <c r="C135" t="s">
        <v>7217</v>
      </c>
      <c r="D135" t="str">
        <f>INDEX(State!$C$2:$C$24,MATCH(C135,State!$B$2:$B$24,0))</f>
        <v>North</v>
      </c>
      <c r="E135">
        <f t="shared" si="2"/>
        <v>2025</v>
      </c>
      <c r="F135">
        <v>1480</v>
      </c>
    </row>
    <row r="136" spans="1:6" x14ac:dyDescent="0.3">
      <c r="A136" s="21">
        <v>45717</v>
      </c>
      <c r="B136" t="s">
        <v>48</v>
      </c>
      <c r="C136" t="s">
        <v>7217</v>
      </c>
      <c r="D136" t="str">
        <f>INDEX(State!$C$2:$C$24,MATCH(C136,State!$B$2:$B$24,0))</f>
        <v>North</v>
      </c>
      <c r="E136">
        <f t="shared" si="2"/>
        <v>2025</v>
      </c>
      <c r="F136">
        <v>1090</v>
      </c>
    </row>
    <row r="137" spans="1:6" x14ac:dyDescent="0.3">
      <c r="A137" s="21">
        <v>45748</v>
      </c>
      <c r="B137" t="s">
        <v>48</v>
      </c>
      <c r="C137" t="s">
        <v>7217</v>
      </c>
      <c r="D137" t="str">
        <f>INDEX(State!$C$2:$C$24,MATCH(C137,State!$B$2:$B$24,0))</f>
        <v>North</v>
      </c>
      <c r="E137">
        <f t="shared" si="2"/>
        <v>2025</v>
      </c>
      <c r="F137">
        <v>830</v>
      </c>
    </row>
    <row r="138" spans="1:6" x14ac:dyDescent="0.3">
      <c r="A138" s="21">
        <v>45778</v>
      </c>
      <c r="B138" t="s">
        <v>48</v>
      </c>
      <c r="C138" t="s">
        <v>7217</v>
      </c>
      <c r="D138" t="str">
        <f>INDEX(State!$C$2:$C$24,MATCH(C138,State!$B$2:$B$24,0))</f>
        <v>North</v>
      </c>
      <c r="E138">
        <f t="shared" si="2"/>
        <v>2025</v>
      </c>
      <c r="F138">
        <v>1510</v>
      </c>
    </row>
    <row r="139" spans="1:6" x14ac:dyDescent="0.3">
      <c r="A139" s="21">
        <v>45809</v>
      </c>
      <c r="B139" t="s">
        <v>48</v>
      </c>
      <c r="C139" t="s">
        <v>7217</v>
      </c>
      <c r="D139" t="str">
        <f>INDEX(State!$C$2:$C$24,MATCH(C139,State!$B$2:$B$24,0))</f>
        <v>North</v>
      </c>
      <c r="E139">
        <f t="shared" si="2"/>
        <v>2025</v>
      </c>
      <c r="F139">
        <v>1070</v>
      </c>
    </row>
    <row r="140" spans="1:6" x14ac:dyDescent="0.3">
      <c r="A140" s="21">
        <v>45839</v>
      </c>
      <c r="B140" t="s">
        <v>48</v>
      </c>
      <c r="C140" t="s">
        <v>7217</v>
      </c>
      <c r="D140" t="str">
        <f>INDEX(State!$C$2:$C$24,MATCH(C140,State!$B$2:$B$24,0))</f>
        <v>North</v>
      </c>
      <c r="E140">
        <f t="shared" si="2"/>
        <v>2025</v>
      </c>
      <c r="F140">
        <v>990</v>
      </c>
    </row>
    <row r="141" spans="1:6" x14ac:dyDescent="0.3">
      <c r="A141" s="21">
        <v>45870</v>
      </c>
      <c r="B141" t="s">
        <v>48</v>
      </c>
      <c r="C141" t="s">
        <v>7217</v>
      </c>
      <c r="D141" t="str">
        <f>INDEX(State!$C$2:$C$24,MATCH(C141,State!$B$2:$B$24,0))</f>
        <v>North</v>
      </c>
      <c r="E141">
        <f t="shared" si="2"/>
        <v>2025</v>
      </c>
      <c r="F141">
        <v>1820</v>
      </c>
    </row>
    <row r="142" spans="1:6" x14ac:dyDescent="0.3">
      <c r="A142" s="21">
        <v>45901</v>
      </c>
      <c r="B142" t="s">
        <v>48</v>
      </c>
      <c r="C142" t="s">
        <v>7217</v>
      </c>
      <c r="D142" t="str">
        <f>INDEX(State!$C$2:$C$24,MATCH(C142,State!$B$2:$B$24,0))</f>
        <v>North</v>
      </c>
      <c r="E142">
        <f t="shared" si="2"/>
        <v>2025</v>
      </c>
      <c r="F142">
        <v>1480</v>
      </c>
    </row>
    <row r="143" spans="1:6" x14ac:dyDescent="0.3">
      <c r="A143" s="21">
        <v>45931</v>
      </c>
      <c r="B143" t="s">
        <v>48</v>
      </c>
      <c r="C143" t="s">
        <v>7217</v>
      </c>
      <c r="D143" t="str">
        <f>INDEX(State!$C$2:$C$24,MATCH(C143,State!$B$2:$B$24,0))</f>
        <v>North</v>
      </c>
      <c r="E143">
        <f t="shared" si="2"/>
        <v>2025</v>
      </c>
      <c r="F143">
        <v>2910</v>
      </c>
    </row>
    <row r="144" spans="1:6" x14ac:dyDescent="0.3">
      <c r="A144" s="21">
        <v>45962</v>
      </c>
      <c r="B144" t="s">
        <v>48</v>
      </c>
      <c r="C144" t="s">
        <v>7217</v>
      </c>
      <c r="D144" t="str">
        <f>INDEX(State!$C$2:$C$24,MATCH(C144,State!$B$2:$B$24,0))</f>
        <v>North</v>
      </c>
      <c r="E144">
        <f t="shared" si="2"/>
        <v>2025</v>
      </c>
      <c r="F144">
        <v>2050</v>
      </c>
    </row>
    <row r="145" spans="1:6" x14ac:dyDescent="0.3">
      <c r="A145" s="21">
        <v>45992</v>
      </c>
      <c r="B145" t="s">
        <v>48</v>
      </c>
      <c r="C145" t="s">
        <v>7217</v>
      </c>
      <c r="D145" t="str">
        <f>INDEX(State!$C$2:$C$24,MATCH(C145,State!$B$2:$B$24,0))</f>
        <v>North</v>
      </c>
      <c r="E145">
        <f t="shared" si="2"/>
        <v>2025</v>
      </c>
      <c r="F145">
        <v>1370</v>
      </c>
    </row>
    <row r="146" spans="1:6" x14ac:dyDescent="0.3">
      <c r="A146" s="21">
        <v>45292</v>
      </c>
      <c r="B146" t="s">
        <v>128</v>
      </c>
      <c r="C146" t="s">
        <v>7218</v>
      </c>
      <c r="D146" t="str">
        <f>INDEX(State!$C$2:$C$24,MATCH(C146,State!$B$2:$B$24,0))</f>
        <v>North</v>
      </c>
      <c r="E146">
        <f t="shared" si="2"/>
        <v>2024</v>
      </c>
      <c r="F146">
        <v>2120</v>
      </c>
    </row>
    <row r="147" spans="1:6" x14ac:dyDescent="0.3">
      <c r="A147" s="21">
        <v>45323</v>
      </c>
      <c r="B147" t="s">
        <v>128</v>
      </c>
      <c r="C147" t="s">
        <v>7218</v>
      </c>
      <c r="D147" t="str">
        <f>INDEX(State!$C$2:$C$24,MATCH(C147,State!$B$2:$B$24,0))</f>
        <v>North</v>
      </c>
      <c r="E147">
        <f t="shared" si="2"/>
        <v>2024</v>
      </c>
      <c r="F147">
        <v>2110</v>
      </c>
    </row>
    <row r="148" spans="1:6" x14ac:dyDescent="0.3">
      <c r="A148" s="21">
        <v>45352</v>
      </c>
      <c r="B148" t="s">
        <v>128</v>
      </c>
      <c r="C148" t="s">
        <v>7218</v>
      </c>
      <c r="D148" t="str">
        <f>INDEX(State!$C$2:$C$24,MATCH(C148,State!$B$2:$B$24,0))</f>
        <v>North</v>
      </c>
      <c r="E148">
        <f t="shared" si="2"/>
        <v>2024</v>
      </c>
      <c r="F148">
        <v>2390</v>
      </c>
    </row>
    <row r="149" spans="1:6" x14ac:dyDescent="0.3">
      <c r="A149" s="21">
        <v>45383</v>
      </c>
      <c r="B149" t="s">
        <v>128</v>
      </c>
      <c r="C149" t="s">
        <v>7218</v>
      </c>
      <c r="D149" t="str">
        <f>INDEX(State!$C$2:$C$24,MATCH(C149,State!$B$2:$B$24,0))</f>
        <v>North</v>
      </c>
      <c r="E149">
        <f t="shared" si="2"/>
        <v>2024</v>
      </c>
      <c r="F149">
        <v>1930</v>
      </c>
    </row>
    <row r="150" spans="1:6" x14ac:dyDescent="0.3">
      <c r="A150" s="21">
        <v>45413</v>
      </c>
      <c r="B150" t="s">
        <v>128</v>
      </c>
      <c r="C150" t="s">
        <v>7218</v>
      </c>
      <c r="D150" t="str">
        <f>INDEX(State!$C$2:$C$24,MATCH(C150,State!$B$2:$B$24,0))</f>
        <v>North</v>
      </c>
      <c r="E150">
        <f t="shared" si="2"/>
        <v>2024</v>
      </c>
      <c r="F150">
        <v>2380</v>
      </c>
    </row>
    <row r="151" spans="1:6" x14ac:dyDescent="0.3">
      <c r="A151" s="21">
        <v>45444</v>
      </c>
      <c r="B151" t="s">
        <v>128</v>
      </c>
      <c r="C151" t="s">
        <v>7218</v>
      </c>
      <c r="D151" t="str">
        <f>INDEX(State!$C$2:$C$24,MATCH(C151,State!$B$2:$B$24,0))</f>
        <v>North</v>
      </c>
      <c r="E151">
        <f t="shared" si="2"/>
        <v>2024</v>
      </c>
      <c r="F151">
        <v>1770</v>
      </c>
    </row>
    <row r="152" spans="1:6" x14ac:dyDescent="0.3">
      <c r="A152" s="21">
        <v>45474</v>
      </c>
      <c r="B152" t="s">
        <v>128</v>
      </c>
      <c r="C152" t="s">
        <v>7218</v>
      </c>
      <c r="D152" t="str">
        <f>INDEX(State!$C$2:$C$24,MATCH(C152,State!$B$2:$B$24,0))</f>
        <v>North</v>
      </c>
      <c r="E152">
        <f t="shared" si="2"/>
        <v>2024</v>
      </c>
      <c r="F152">
        <v>3020</v>
      </c>
    </row>
    <row r="153" spans="1:6" x14ac:dyDescent="0.3">
      <c r="A153" s="21">
        <v>45505</v>
      </c>
      <c r="B153" t="s">
        <v>128</v>
      </c>
      <c r="C153" t="s">
        <v>7218</v>
      </c>
      <c r="D153" t="str">
        <f>INDEX(State!$C$2:$C$24,MATCH(C153,State!$B$2:$B$24,0))</f>
        <v>North</v>
      </c>
      <c r="E153">
        <f t="shared" si="2"/>
        <v>2024</v>
      </c>
      <c r="F153">
        <v>1730</v>
      </c>
    </row>
    <row r="154" spans="1:6" x14ac:dyDescent="0.3">
      <c r="A154" s="21">
        <v>45536</v>
      </c>
      <c r="B154" t="s">
        <v>128</v>
      </c>
      <c r="C154" t="s">
        <v>7218</v>
      </c>
      <c r="D154" t="str">
        <f>INDEX(State!$C$2:$C$24,MATCH(C154,State!$B$2:$B$24,0))</f>
        <v>North</v>
      </c>
      <c r="E154">
        <f t="shared" si="2"/>
        <v>2024</v>
      </c>
      <c r="F154">
        <v>2980</v>
      </c>
    </row>
    <row r="155" spans="1:6" x14ac:dyDescent="0.3">
      <c r="A155" s="21">
        <v>45566</v>
      </c>
      <c r="B155" t="s">
        <v>128</v>
      </c>
      <c r="C155" t="s">
        <v>7218</v>
      </c>
      <c r="D155" t="str">
        <f>INDEX(State!$C$2:$C$24,MATCH(C155,State!$B$2:$B$24,0))</f>
        <v>North</v>
      </c>
      <c r="E155">
        <f t="shared" si="2"/>
        <v>2024</v>
      </c>
      <c r="F155" s="17">
        <v>5400</v>
      </c>
    </row>
    <row r="156" spans="1:6" x14ac:dyDescent="0.3">
      <c r="A156" s="21">
        <v>45597</v>
      </c>
      <c r="B156" t="s">
        <v>128</v>
      </c>
      <c r="C156" t="s">
        <v>7218</v>
      </c>
      <c r="D156" t="str">
        <f>INDEX(State!$C$2:$C$24,MATCH(C156,State!$B$2:$B$24,0))</f>
        <v>North</v>
      </c>
      <c r="E156">
        <f t="shared" si="2"/>
        <v>2024</v>
      </c>
      <c r="F156" s="17">
        <v>5640</v>
      </c>
    </row>
    <row r="157" spans="1:6" x14ac:dyDescent="0.3">
      <c r="A157" s="21">
        <v>45627</v>
      </c>
      <c r="B157" t="s">
        <v>128</v>
      </c>
      <c r="C157" t="s">
        <v>7218</v>
      </c>
      <c r="D157" t="str">
        <f>INDEX(State!$C$2:$C$24,MATCH(C157,State!$B$2:$B$24,0))</f>
        <v>North</v>
      </c>
      <c r="E157">
        <f t="shared" si="2"/>
        <v>2024</v>
      </c>
      <c r="F157" s="17">
        <v>5320</v>
      </c>
    </row>
    <row r="158" spans="1:6" x14ac:dyDescent="0.3">
      <c r="A158" s="21">
        <v>45658</v>
      </c>
      <c r="B158" t="s">
        <v>128</v>
      </c>
      <c r="C158" t="s">
        <v>7218</v>
      </c>
      <c r="D158" t="str">
        <f>INDEX(State!$C$2:$C$24,MATCH(C158,State!$B$2:$B$24,0))</f>
        <v>North</v>
      </c>
      <c r="E158">
        <f t="shared" si="2"/>
        <v>2025</v>
      </c>
      <c r="F158" s="17">
        <v>2430</v>
      </c>
    </row>
    <row r="159" spans="1:6" x14ac:dyDescent="0.3">
      <c r="A159" s="21">
        <v>45689</v>
      </c>
      <c r="B159" t="s">
        <v>128</v>
      </c>
      <c r="C159" t="s">
        <v>7218</v>
      </c>
      <c r="D159" t="str">
        <f>INDEX(State!$C$2:$C$24,MATCH(C159,State!$B$2:$B$24,0))</f>
        <v>North</v>
      </c>
      <c r="E159">
        <f t="shared" si="2"/>
        <v>2025</v>
      </c>
      <c r="F159" s="17">
        <v>3760</v>
      </c>
    </row>
    <row r="160" spans="1:6" x14ac:dyDescent="0.3">
      <c r="A160" s="21">
        <v>45717</v>
      </c>
      <c r="B160" t="s">
        <v>128</v>
      </c>
      <c r="C160" t="s">
        <v>7218</v>
      </c>
      <c r="D160" t="str">
        <f>INDEX(State!$C$2:$C$24,MATCH(C160,State!$B$2:$B$24,0))</f>
        <v>North</v>
      </c>
      <c r="E160">
        <f t="shared" si="2"/>
        <v>2025</v>
      </c>
      <c r="F160" s="17">
        <v>4520</v>
      </c>
    </row>
    <row r="161" spans="1:6" x14ac:dyDescent="0.3">
      <c r="A161" s="21">
        <v>45748</v>
      </c>
      <c r="B161" t="s">
        <v>128</v>
      </c>
      <c r="C161" t="s">
        <v>7218</v>
      </c>
      <c r="D161" t="str">
        <f>INDEX(State!$C$2:$C$24,MATCH(C161,State!$B$2:$B$24,0))</f>
        <v>North</v>
      </c>
      <c r="E161">
        <f t="shared" si="2"/>
        <v>2025</v>
      </c>
      <c r="F161" s="17">
        <v>4000</v>
      </c>
    </row>
    <row r="162" spans="1:6" x14ac:dyDescent="0.3">
      <c r="A162" s="21">
        <v>45778</v>
      </c>
      <c r="B162" t="s">
        <v>128</v>
      </c>
      <c r="C162" t="s">
        <v>7218</v>
      </c>
      <c r="D162" t="str">
        <f>INDEX(State!$C$2:$C$24,MATCH(C162,State!$B$2:$B$24,0))</f>
        <v>North</v>
      </c>
      <c r="E162">
        <f t="shared" si="2"/>
        <v>2025</v>
      </c>
      <c r="F162" s="17">
        <v>2480</v>
      </c>
    </row>
    <row r="163" spans="1:6" x14ac:dyDescent="0.3">
      <c r="A163" s="21">
        <v>45809</v>
      </c>
      <c r="B163" t="s">
        <v>128</v>
      </c>
      <c r="C163" t="s">
        <v>7218</v>
      </c>
      <c r="D163" t="str">
        <f>INDEX(State!$C$2:$C$24,MATCH(C163,State!$B$2:$B$24,0))</f>
        <v>North</v>
      </c>
      <c r="E163">
        <f t="shared" si="2"/>
        <v>2025</v>
      </c>
      <c r="F163" s="17">
        <v>3820</v>
      </c>
    </row>
    <row r="164" spans="1:6" x14ac:dyDescent="0.3">
      <c r="A164" s="21">
        <v>45839</v>
      </c>
      <c r="B164" t="s">
        <v>128</v>
      </c>
      <c r="C164" t="s">
        <v>7218</v>
      </c>
      <c r="D164" t="str">
        <f>INDEX(State!$C$2:$C$24,MATCH(C164,State!$B$2:$B$24,0))</f>
        <v>North</v>
      </c>
      <c r="E164">
        <f t="shared" si="2"/>
        <v>2025</v>
      </c>
      <c r="F164" s="17">
        <v>6330</v>
      </c>
    </row>
    <row r="165" spans="1:6" x14ac:dyDescent="0.3">
      <c r="A165" s="21">
        <v>45870</v>
      </c>
      <c r="B165" t="s">
        <v>128</v>
      </c>
      <c r="C165" t="s">
        <v>7218</v>
      </c>
      <c r="D165" t="str">
        <f>INDEX(State!$C$2:$C$24,MATCH(C165,State!$B$2:$B$24,0))</f>
        <v>North</v>
      </c>
      <c r="E165">
        <f t="shared" si="2"/>
        <v>2025</v>
      </c>
      <c r="F165" s="17">
        <v>2350</v>
      </c>
    </row>
    <row r="166" spans="1:6" x14ac:dyDescent="0.3">
      <c r="A166" s="21">
        <v>45901</v>
      </c>
      <c r="B166" t="s">
        <v>128</v>
      </c>
      <c r="C166" t="s">
        <v>7218</v>
      </c>
      <c r="D166" t="str">
        <f>INDEX(State!$C$2:$C$24,MATCH(C166,State!$B$2:$B$24,0))</f>
        <v>North</v>
      </c>
      <c r="E166">
        <f t="shared" si="2"/>
        <v>2025</v>
      </c>
      <c r="F166" s="17">
        <v>4500</v>
      </c>
    </row>
    <row r="167" spans="1:6" x14ac:dyDescent="0.3">
      <c r="A167" s="21">
        <v>45931</v>
      </c>
      <c r="B167" t="s">
        <v>128</v>
      </c>
      <c r="C167" t="s">
        <v>7218</v>
      </c>
      <c r="D167" t="str">
        <f>INDEX(State!$C$2:$C$24,MATCH(C167,State!$B$2:$B$24,0))</f>
        <v>North</v>
      </c>
      <c r="E167">
        <f t="shared" si="2"/>
        <v>2025</v>
      </c>
      <c r="F167" s="17">
        <v>7580</v>
      </c>
    </row>
    <row r="168" spans="1:6" x14ac:dyDescent="0.3">
      <c r="A168" s="21">
        <v>45962</v>
      </c>
      <c r="B168" t="s">
        <v>128</v>
      </c>
      <c r="C168" t="s">
        <v>7218</v>
      </c>
      <c r="D168" t="str">
        <f>INDEX(State!$C$2:$C$24,MATCH(C168,State!$B$2:$B$24,0))</f>
        <v>North</v>
      </c>
      <c r="E168">
        <f t="shared" si="2"/>
        <v>2025</v>
      </c>
      <c r="F168" s="17">
        <v>4270</v>
      </c>
    </row>
    <row r="169" spans="1:6" x14ac:dyDescent="0.3">
      <c r="A169" s="21">
        <v>45992</v>
      </c>
      <c r="B169" t="s">
        <v>128</v>
      </c>
      <c r="C169" t="s">
        <v>7218</v>
      </c>
      <c r="D169" t="str">
        <f>INDEX(State!$C$2:$C$24,MATCH(C169,State!$B$2:$B$24,0))</f>
        <v>North</v>
      </c>
      <c r="E169">
        <f t="shared" si="2"/>
        <v>2025</v>
      </c>
      <c r="F169" s="17">
        <v>4850</v>
      </c>
    </row>
    <row r="170" spans="1:6" x14ac:dyDescent="0.3">
      <c r="A170" s="21">
        <v>45292</v>
      </c>
      <c r="B170" t="s">
        <v>76</v>
      </c>
      <c r="C170" t="s">
        <v>7219</v>
      </c>
      <c r="D170" t="str">
        <f>INDEX(State!$C$2:$C$24,MATCH(C170,State!$B$2:$B$24,0))</f>
        <v>North</v>
      </c>
      <c r="E170">
        <f t="shared" si="2"/>
        <v>2024</v>
      </c>
      <c r="F170" s="17">
        <v>2040</v>
      </c>
    </row>
    <row r="171" spans="1:6" x14ac:dyDescent="0.3">
      <c r="A171" s="21">
        <v>45323</v>
      </c>
      <c r="B171" t="s">
        <v>76</v>
      </c>
      <c r="C171" t="s">
        <v>7219</v>
      </c>
      <c r="D171" t="str">
        <f>INDEX(State!$C$2:$C$24,MATCH(C171,State!$B$2:$B$24,0))</f>
        <v>North</v>
      </c>
      <c r="E171">
        <f t="shared" si="2"/>
        <v>2024</v>
      </c>
      <c r="F171" s="17">
        <v>1770</v>
      </c>
    </row>
    <row r="172" spans="1:6" x14ac:dyDescent="0.3">
      <c r="A172" s="21">
        <v>45352</v>
      </c>
      <c r="B172" t="s">
        <v>76</v>
      </c>
      <c r="C172" t="s">
        <v>7219</v>
      </c>
      <c r="D172" t="str">
        <f>INDEX(State!$C$2:$C$24,MATCH(C172,State!$B$2:$B$24,0))</f>
        <v>North</v>
      </c>
      <c r="E172">
        <f t="shared" si="2"/>
        <v>2024</v>
      </c>
      <c r="F172" s="17">
        <v>1870</v>
      </c>
    </row>
    <row r="173" spans="1:6" x14ac:dyDescent="0.3">
      <c r="A173" s="21">
        <v>45383</v>
      </c>
      <c r="B173" t="s">
        <v>76</v>
      </c>
      <c r="C173" t="s">
        <v>7219</v>
      </c>
      <c r="D173" t="str">
        <f>INDEX(State!$C$2:$C$24,MATCH(C173,State!$B$2:$B$24,0))</f>
        <v>North</v>
      </c>
      <c r="E173">
        <f t="shared" si="2"/>
        <v>2024</v>
      </c>
      <c r="F173" s="17">
        <v>2350</v>
      </c>
    </row>
    <row r="174" spans="1:6" x14ac:dyDescent="0.3">
      <c r="A174" s="21">
        <v>45413</v>
      </c>
      <c r="B174" t="s">
        <v>76</v>
      </c>
      <c r="C174" t="s">
        <v>7219</v>
      </c>
      <c r="D174" t="str">
        <f>INDEX(State!$C$2:$C$24,MATCH(C174,State!$B$2:$B$24,0))</f>
        <v>North</v>
      </c>
      <c r="E174">
        <f t="shared" si="2"/>
        <v>2024</v>
      </c>
      <c r="F174" s="17">
        <v>2300</v>
      </c>
    </row>
    <row r="175" spans="1:6" x14ac:dyDescent="0.3">
      <c r="A175" s="21">
        <v>45444</v>
      </c>
      <c r="B175" t="s">
        <v>76</v>
      </c>
      <c r="C175" t="s">
        <v>7219</v>
      </c>
      <c r="D175" t="str">
        <f>INDEX(State!$C$2:$C$24,MATCH(C175,State!$B$2:$B$24,0))</f>
        <v>North</v>
      </c>
      <c r="E175">
        <f t="shared" si="2"/>
        <v>2024</v>
      </c>
      <c r="F175" s="17">
        <v>3250</v>
      </c>
    </row>
    <row r="176" spans="1:6" x14ac:dyDescent="0.3">
      <c r="A176" s="21">
        <v>45474</v>
      </c>
      <c r="B176" t="s">
        <v>76</v>
      </c>
      <c r="C176" t="s">
        <v>7219</v>
      </c>
      <c r="D176" t="str">
        <f>INDEX(State!$C$2:$C$24,MATCH(C176,State!$B$2:$B$24,0))</f>
        <v>North</v>
      </c>
      <c r="E176">
        <f t="shared" si="2"/>
        <v>2024</v>
      </c>
      <c r="F176" s="17">
        <v>2110</v>
      </c>
    </row>
    <row r="177" spans="1:6" x14ac:dyDescent="0.3">
      <c r="A177" s="21">
        <v>45505</v>
      </c>
      <c r="B177" t="s">
        <v>76</v>
      </c>
      <c r="C177" t="s">
        <v>7219</v>
      </c>
      <c r="D177" t="str">
        <f>INDEX(State!$C$2:$C$24,MATCH(C177,State!$B$2:$B$24,0))</f>
        <v>North</v>
      </c>
      <c r="E177">
        <f t="shared" si="2"/>
        <v>2024</v>
      </c>
      <c r="F177" s="17">
        <v>2520</v>
      </c>
    </row>
    <row r="178" spans="1:6" x14ac:dyDescent="0.3">
      <c r="A178" s="21">
        <v>45536</v>
      </c>
      <c r="B178" t="s">
        <v>76</v>
      </c>
      <c r="C178" t="s">
        <v>7219</v>
      </c>
      <c r="D178" t="str">
        <f>INDEX(State!$C$2:$C$24,MATCH(C178,State!$B$2:$B$24,0))</f>
        <v>North</v>
      </c>
      <c r="E178">
        <f t="shared" si="2"/>
        <v>2024</v>
      </c>
      <c r="F178" s="17">
        <v>3770</v>
      </c>
    </row>
    <row r="179" spans="1:6" x14ac:dyDescent="0.3">
      <c r="A179" s="21">
        <v>45566</v>
      </c>
      <c r="B179" t="s">
        <v>76</v>
      </c>
      <c r="C179" t="s">
        <v>7219</v>
      </c>
      <c r="D179" t="str">
        <f>INDEX(State!$C$2:$C$24,MATCH(C179,State!$B$2:$B$24,0))</f>
        <v>North</v>
      </c>
      <c r="E179">
        <f t="shared" si="2"/>
        <v>2024</v>
      </c>
      <c r="F179" s="17">
        <v>4750</v>
      </c>
    </row>
    <row r="180" spans="1:6" x14ac:dyDescent="0.3">
      <c r="A180" s="21">
        <v>45597</v>
      </c>
      <c r="B180" t="s">
        <v>76</v>
      </c>
      <c r="C180" t="s">
        <v>7219</v>
      </c>
      <c r="D180" t="str">
        <f>INDEX(State!$C$2:$C$24,MATCH(C180,State!$B$2:$B$24,0))</f>
        <v>North</v>
      </c>
      <c r="E180">
        <f t="shared" si="2"/>
        <v>2024</v>
      </c>
      <c r="F180" s="17">
        <v>2620</v>
      </c>
    </row>
    <row r="181" spans="1:6" x14ac:dyDescent="0.3">
      <c r="A181" s="21">
        <v>45627</v>
      </c>
      <c r="B181" t="s">
        <v>76</v>
      </c>
      <c r="C181" t="s">
        <v>7219</v>
      </c>
      <c r="D181" t="str">
        <f>INDEX(State!$C$2:$C$24,MATCH(C181,State!$B$2:$B$24,0))</f>
        <v>North</v>
      </c>
      <c r="E181">
        <f t="shared" si="2"/>
        <v>2024</v>
      </c>
      <c r="F181" s="17">
        <v>3630</v>
      </c>
    </row>
    <row r="182" spans="1:6" x14ac:dyDescent="0.3">
      <c r="A182" s="21">
        <v>45658</v>
      </c>
      <c r="B182" t="s">
        <v>76</v>
      </c>
      <c r="C182" t="s">
        <v>7219</v>
      </c>
      <c r="D182" t="str">
        <f>INDEX(State!$C$2:$C$24,MATCH(C182,State!$B$2:$B$24,0))</f>
        <v>North</v>
      </c>
      <c r="E182">
        <f t="shared" si="2"/>
        <v>2025</v>
      </c>
      <c r="F182" s="17">
        <v>3010</v>
      </c>
    </row>
    <row r="183" spans="1:6" x14ac:dyDescent="0.3">
      <c r="A183" s="21">
        <v>45689</v>
      </c>
      <c r="B183" t="s">
        <v>76</v>
      </c>
      <c r="C183" t="s">
        <v>7219</v>
      </c>
      <c r="D183" t="str">
        <f>INDEX(State!$C$2:$C$24,MATCH(C183,State!$B$2:$B$24,0))</f>
        <v>North</v>
      </c>
      <c r="E183">
        <f t="shared" si="2"/>
        <v>2025</v>
      </c>
      <c r="F183" s="17">
        <v>3100</v>
      </c>
    </row>
    <row r="184" spans="1:6" x14ac:dyDescent="0.3">
      <c r="A184" s="21">
        <v>45717</v>
      </c>
      <c r="B184" t="s">
        <v>76</v>
      </c>
      <c r="C184" t="s">
        <v>7219</v>
      </c>
      <c r="D184" t="str">
        <f>INDEX(State!$C$2:$C$24,MATCH(C184,State!$B$2:$B$24,0))</f>
        <v>North</v>
      </c>
      <c r="E184">
        <f t="shared" si="2"/>
        <v>2025</v>
      </c>
      <c r="F184" s="17">
        <v>3200</v>
      </c>
    </row>
    <row r="185" spans="1:6" x14ac:dyDescent="0.3">
      <c r="A185" s="21">
        <v>45748</v>
      </c>
      <c r="B185" t="s">
        <v>76</v>
      </c>
      <c r="C185" t="s">
        <v>7219</v>
      </c>
      <c r="D185" t="str">
        <f>INDEX(State!$C$2:$C$24,MATCH(C185,State!$B$2:$B$24,0))</f>
        <v>North</v>
      </c>
      <c r="E185">
        <f t="shared" si="2"/>
        <v>2025</v>
      </c>
      <c r="F185" s="17">
        <v>3910</v>
      </c>
    </row>
    <row r="186" spans="1:6" x14ac:dyDescent="0.3">
      <c r="A186" s="21">
        <v>45778</v>
      </c>
      <c r="B186" t="s">
        <v>76</v>
      </c>
      <c r="C186" t="s">
        <v>7219</v>
      </c>
      <c r="D186" t="str">
        <f>INDEX(State!$C$2:$C$24,MATCH(C186,State!$B$2:$B$24,0))</f>
        <v>North</v>
      </c>
      <c r="E186">
        <f t="shared" si="2"/>
        <v>2025</v>
      </c>
      <c r="F186" s="17">
        <v>3040</v>
      </c>
    </row>
    <row r="187" spans="1:6" x14ac:dyDescent="0.3">
      <c r="A187" s="21">
        <v>45809</v>
      </c>
      <c r="B187" t="s">
        <v>76</v>
      </c>
      <c r="C187" t="s">
        <v>7219</v>
      </c>
      <c r="D187" t="str">
        <f>INDEX(State!$C$2:$C$24,MATCH(C187,State!$B$2:$B$24,0))</f>
        <v>North</v>
      </c>
      <c r="E187">
        <f t="shared" si="2"/>
        <v>2025</v>
      </c>
      <c r="F187" s="17">
        <v>1850</v>
      </c>
    </row>
    <row r="188" spans="1:6" x14ac:dyDescent="0.3">
      <c r="A188" s="21">
        <v>45839</v>
      </c>
      <c r="B188" t="s">
        <v>76</v>
      </c>
      <c r="C188" t="s">
        <v>7219</v>
      </c>
      <c r="D188" t="str">
        <f>INDEX(State!$C$2:$C$24,MATCH(C188,State!$B$2:$B$24,0))</f>
        <v>North</v>
      </c>
      <c r="E188">
        <f t="shared" si="2"/>
        <v>2025</v>
      </c>
      <c r="F188" s="17">
        <v>2340</v>
      </c>
    </row>
    <row r="189" spans="1:6" x14ac:dyDescent="0.3">
      <c r="A189" s="21">
        <v>45870</v>
      </c>
      <c r="B189" t="s">
        <v>76</v>
      </c>
      <c r="C189" t="s">
        <v>7219</v>
      </c>
      <c r="D189" t="str">
        <f>INDEX(State!$C$2:$C$24,MATCH(C189,State!$B$2:$B$24,0))</f>
        <v>North</v>
      </c>
      <c r="E189">
        <f t="shared" si="2"/>
        <v>2025</v>
      </c>
      <c r="F189" s="17">
        <v>4020</v>
      </c>
    </row>
    <row r="190" spans="1:6" x14ac:dyDescent="0.3">
      <c r="A190" s="21">
        <v>45901</v>
      </c>
      <c r="B190" t="s">
        <v>76</v>
      </c>
      <c r="C190" t="s">
        <v>7219</v>
      </c>
      <c r="D190" t="str">
        <f>INDEX(State!$C$2:$C$24,MATCH(C190,State!$B$2:$B$24,0))</f>
        <v>North</v>
      </c>
      <c r="E190">
        <f t="shared" si="2"/>
        <v>2025</v>
      </c>
      <c r="F190" s="17">
        <v>3350</v>
      </c>
    </row>
    <row r="191" spans="1:6" x14ac:dyDescent="0.3">
      <c r="A191" s="21">
        <v>45931</v>
      </c>
      <c r="B191" t="s">
        <v>76</v>
      </c>
      <c r="C191" t="s">
        <v>7219</v>
      </c>
      <c r="D191" t="str">
        <f>INDEX(State!$C$2:$C$24,MATCH(C191,State!$B$2:$B$24,0))</f>
        <v>North</v>
      </c>
      <c r="E191">
        <f t="shared" si="2"/>
        <v>2025</v>
      </c>
      <c r="F191" s="17">
        <v>6980</v>
      </c>
    </row>
    <row r="192" spans="1:6" x14ac:dyDescent="0.3">
      <c r="A192" s="21">
        <v>45962</v>
      </c>
      <c r="B192" t="s">
        <v>76</v>
      </c>
      <c r="C192" t="s">
        <v>7219</v>
      </c>
      <c r="D192" t="str">
        <f>INDEX(State!$C$2:$C$24,MATCH(C192,State!$B$2:$B$24,0))</f>
        <v>North</v>
      </c>
      <c r="E192">
        <f t="shared" si="2"/>
        <v>2025</v>
      </c>
      <c r="F192" s="17">
        <v>5120</v>
      </c>
    </row>
    <row r="193" spans="1:6" x14ac:dyDescent="0.3">
      <c r="A193" s="21">
        <v>45992</v>
      </c>
      <c r="B193" t="s">
        <v>76</v>
      </c>
      <c r="C193" t="s">
        <v>7219</v>
      </c>
      <c r="D193" t="str">
        <f>INDEX(State!$C$2:$C$24,MATCH(C193,State!$B$2:$B$24,0))</f>
        <v>North</v>
      </c>
      <c r="E193">
        <f t="shared" si="2"/>
        <v>2025</v>
      </c>
      <c r="F193" s="17">
        <v>3050</v>
      </c>
    </row>
    <row r="194" spans="1:6" x14ac:dyDescent="0.3">
      <c r="A194" s="21">
        <v>45292</v>
      </c>
      <c r="B194" t="s">
        <v>32</v>
      </c>
      <c r="C194" t="s">
        <v>7220</v>
      </c>
      <c r="D194" t="str">
        <f>INDEX(State!$C$2:$C$24,MATCH(C194,State!$B$2:$B$24,0))</f>
        <v>East</v>
      </c>
      <c r="E194">
        <f t="shared" ref="E194:E257" si="3">YEAR(A194)</f>
        <v>2024</v>
      </c>
      <c r="F194" s="17">
        <v>1630</v>
      </c>
    </row>
    <row r="195" spans="1:6" x14ac:dyDescent="0.3">
      <c r="A195" s="21">
        <v>45323</v>
      </c>
      <c r="B195" t="s">
        <v>32</v>
      </c>
      <c r="C195" t="s">
        <v>7220</v>
      </c>
      <c r="D195" t="str">
        <f>INDEX(State!$C$2:$C$24,MATCH(C195,State!$B$2:$B$24,0))</f>
        <v>East</v>
      </c>
      <c r="E195">
        <f t="shared" si="3"/>
        <v>2024</v>
      </c>
      <c r="F195" s="17">
        <v>780</v>
      </c>
    </row>
    <row r="196" spans="1:6" x14ac:dyDescent="0.3">
      <c r="A196" s="21">
        <v>45352</v>
      </c>
      <c r="B196" t="s">
        <v>32</v>
      </c>
      <c r="C196" t="s">
        <v>7220</v>
      </c>
      <c r="D196" t="str">
        <f>INDEX(State!$C$2:$C$24,MATCH(C196,State!$B$2:$B$24,0))</f>
        <v>East</v>
      </c>
      <c r="E196">
        <f t="shared" si="3"/>
        <v>2024</v>
      </c>
      <c r="F196" s="17">
        <v>580</v>
      </c>
    </row>
    <row r="197" spans="1:6" x14ac:dyDescent="0.3">
      <c r="A197" s="21">
        <v>45383</v>
      </c>
      <c r="B197" t="s">
        <v>32</v>
      </c>
      <c r="C197" t="s">
        <v>7220</v>
      </c>
      <c r="D197" t="str">
        <f>INDEX(State!$C$2:$C$24,MATCH(C197,State!$B$2:$B$24,0))</f>
        <v>East</v>
      </c>
      <c r="E197">
        <f t="shared" si="3"/>
        <v>2024</v>
      </c>
      <c r="F197" s="17">
        <v>1740</v>
      </c>
    </row>
    <row r="198" spans="1:6" x14ac:dyDescent="0.3">
      <c r="A198" s="21">
        <v>45413</v>
      </c>
      <c r="B198" t="s">
        <v>32</v>
      </c>
      <c r="C198" t="s">
        <v>7220</v>
      </c>
      <c r="D198" t="str">
        <f>INDEX(State!$C$2:$C$24,MATCH(C198,State!$B$2:$B$24,0))</f>
        <v>East</v>
      </c>
      <c r="E198">
        <f t="shared" si="3"/>
        <v>2024</v>
      </c>
      <c r="F198" s="17">
        <v>600</v>
      </c>
    </row>
    <row r="199" spans="1:6" x14ac:dyDescent="0.3">
      <c r="A199" s="21">
        <v>45444</v>
      </c>
      <c r="B199" t="s">
        <v>32</v>
      </c>
      <c r="C199" t="s">
        <v>7220</v>
      </c>
      <c r="D199" t="str">
        <f>INDEX(State!$C$2:$C$24,MATCH(C199,State!$B$2:$B$24,0))</f>
        <v>East</v>
      </c>
      <c r="E199">
        <f t="shared" si="3"/>
        <v>2024</v>
      </c>
      <c r="F199" s="17">
        <v>1300</v>
      </c>
    </row>
    <row r="200" spans="1:6" x14ac:dyDescent="0.3">
      <c r="A200" s="21">
        <v>45474</v>
      </c>
      <c r="B200" t="s">
        <v>32</v>
      </c>
      <c r="C200" t="s">
        <v>7220</v>
      </c>
      <c r="D200" t="str">
        <f>INDEX(State!$C$2:$C$24,MATCH(C200,State!$B$2:$B$24,0))</f>
        <v>East</v>
      </c>
      <c r="E200">
        <f t="shared" si="3"/>
        <v>2024</v>
      </c>
      <c r="F200" s="17">
        <v>1560</v>
      </c>
    </row>
    <row r="201" spans="1:6" x14ac:dyDescent="0.3">
      <c r="A201" s="21">
        <v>45505</v>
      </c>
      <c r="B201" t="s">
        <v>32</v>
      </c>
      <c r="C201" t="s">
        <v>7220</v>
      </c>
      <c r="D201" t="str">
        <f>INDEX(State!$C$2:$C$24,MATCH(C201,State!$B$2:$B$24,0))</f>
        <v>East</v>
      </c>
      <c r="E201">
        <f t="shared" si="3"/>
        <v>2024</v>
      </c>
      <c r="F201" s="17">
        <v>1190</v>
      </c>
    </row>
    <row r="202" spans="1:6" x14ac:dyDescent="0.3">
      <c r="A202" s="21">
        <v>45536</v>
      </c>
      <c r="B202" t="s">
        <v>32</v>
      </c>
      <c r="C202" t="s">
        <v>7220</v>
      </c>
      <c r="D202" t="str">
        <f>INDEX(State!$C$2:$C$24,MATCH(C202,State!$B$2:$B$24,0))</f>
        <v>East</v>
      </c>
      <c r="E202">
        <f t="shared" si="3"/>
        <v>2024</v>
      </c>
      <c r="F202" s="17">
        <v>790</v>
      </c>
    </row>
    <row r="203" spans="1:6" x14ac:dyDescent="0.3">
      <c r="A203" s="21">
        <v>45566</v>
      </c>
      <c r="B203" t="s">
        <v>32</v>
      </c>
      <c r="C203" t="s">
        <v>7220</v>
      </c>
      <c r="D203" t="str">
        <f>INDEX(State!$C$2:$C$24,MATCH(C203,State!$B$2:$B$24,0))</f>
        <v>East</v>
      </c>
      <c r="E203">
        <f t="shared" si="3"/>
        <v>2024</v>
      </c>
      <c r="F203" s="17">
        <v>2360</v>
      </c>
    </row>
    <row r="204" spans="1:6" x14ac:dyDescent="0.3">
      <c r="A204" s="21">
        <v>45597</v>
      </c>
      <c r="B204" t="s">
        <v>32</v>
      </c>
      <c r="C204" t="s">
        <v>7220</v>
      </c>
      <c r="D204" t="str">
        <f>INDEX(State!$C$2:$C$24,MATCH(C204,State!$B$2:$B$24,0))</f>
        <v>East</v>
      </c>
      <c r="E204">
        <f t="shared" si="3"/>
        <v>2024</v>
      </c>
      <c r="F204" s="17">
        <v>1110</v>
      </c>
    </row>
    <row r="205" spans="1:6" x14ac:dyDescent="0.3">
      <c r="A205" s="21">
        <v>45627</v>
      </c>
      <c r="B205" t="s">
        <v>32</v>
      </c>
      <c r="C205" t="s">
        <v>7220</v>
      </c>
      <c r="D205" t="str">
        <f>INDEX(State!$C$2:$C$24,MATCH(C205,State!$B$2:$B$24,0))</f>
        <v>East</v>
      </c>
      <c r="E205">
        <f t="shared" si="3"/>
        <v>2024</v>
      </c>
      <c r="F205" s="17">
        <v>900</v>
      </c>
    </row>
    <row r="206" spans="1:6" x14ac:dyDescent="0.3">
      <c r="A206" s="21">
        <v>45658</v>
      </c>
      <c r="B206" t="s">
        <v>32</v>
      </c>
      <c r="C206" t="s">
        <v>7220</v>
      </c>
      <c r="D206" t="str">
        <f>INDEX(State!$C$2:$C$24,MATCH(C206,State!$B$2:$B$24,0))</f>
        <v>East</v>
      </c>
      <c r="E206">
        <f t="shared" si="3"/>
        <v>2025</v>
      </c>
      <c r="F206" s="17">
        <v>1360</v>
      </c>
    </row>
    <row r="207" spans="1:6" x14ac:dyDescent="0.3">
      <c r="A207" s="21">
        <v>45689</v>
      </c>
      <c r="B207" t="s">
        <v>32</v>
      </c>
      <c r="C207" t="s">
        <v>7220</v>
      </c>
      <c r="D207" t="str">
        <f>INDEX(State!$C$2:$C$24,MATCH(C207,State!$B$2:$B$24,0))</f>
        <v>East</v>
      </c>
      <c r="E207">
        <f t="shared" si="3"/>
        <v>2025</v>
      </c>
      <c r="F207" s="17">
        <v>1520</v>
      </c>
    </row>
    <row r="208" spans="1:6" x14ac:dyDescent="0.3">
      <c r="A208" s="21">
        <v>45717</v>
      </c>
      <c r="B208" t="s">
        <v>32</v>
      </c>
      <c r="C208" t="s">
        <v>7220</v>
      </c>
      <c r="D208" t="str">
        <f>INDEX(State!$C$2:$C$24,MATCH(C208,State!$B$2:$B$24,0))</f>
        <v>East</v>
      </c>
      <c r="E208">
        <f t="shared" si="3"/>
        <v>2025</v>
      </c>
      <c r="F208" s="17">
        <v>1400</v>
      </c>
    </row>
    <row r="209" spans="1:6" x14ac:dyDescent="0.3">
      <c r="A209" s="21">
        <v>45748</v>
      </c>
      <c r="B209" t="s">
        <v>32</v>
      </c>
      <c r="C209" t="s">
        <v>7220</v>
      </c>
      <c r="D209" t="str">
        <f>INDEX(State!$C$2:$C$24,MATCH(C209,State!$B$2:$B$24,0))</f>
        <v>East</v>
      </c>
      <c r="E209">
        <f t="shared" si="3"/>
        <v>2025</v>
      </c>
      <c r="F209" s="17">
        <v>1530</v>
      </c>
    </row>
    <row r="210" spans="1:6" x14ac:dyDescent="0.3">
      <c r="A210" s="21">
        <v>45778</v>
      </c>
      <c r="B210" t="s">
        <v>32</v>
      </c>
      <c r="C210" t="s">
        <v>7220</v>
      </c>
      <c r="D210" t="str">
        <f>INDEX(State!$C$2:$C$24,MATCH(C210,State!$B$2:$B$24,0))</f>
        <v>East</v>
      </c>
      <c r="E210">
        <f t="shared" si="3"/>
        <v>2025</v>
      </c>
      <c r="F210" s="17">
        <v>1140</v>
      </c>
    </row>
    <row r="211" spans="1:6" x14ac:dyDescent="0.3">
      <c r="A211" s="21">
        <v>45809</v>
      </c>
      <c r="B211" t="s">
        <v>32</v>
      </c>
      <c r="C211" t="s">
        <v>7220</v>
      </c>
      <c r="D211" t="str">
        <f>INDEX(State!$C$2:$C$24,MATCH(C211,State!$B$2:$B$24,0))</f>
        <v>East</v>
      </c>
      <c r="E211">
        <f t="shared" si="3"/>
        <v>2025</v>
      </c>
      <c r="F211" s="17">
        <v>1300</v>
      </c>
    </row>
    <row r="212" spans="1:6" x14ac:dyDescent="0.3">
      <c r="A212" s="21">
        <v>45839</v>
      </c>
      <c r="B212" t="s">
        <v>32</v>
      </c>
      <c r="C212" t="s">
        <v>7220</v>
      </c>
      <c r="D212" t="str">
        <f>INDEX(State!$C$2:$C$24,MATCH(C212,State!$B$2:$B$24,0))</f>
        <v>East</v>
      </c>
      <c r="E212">
        <f t="shared" si="3"/>
        <v>2025</v>
      </c>
      <c r="F212" s="17">
        <v>1090</v>
      </c>
    </row>
    <row r="213" spans="1:6" x14ac:dyDescent="0.3">
      <c r="A213" s="21">
        <v>45870</v>
      </c>
      <c r="B213" t="s">
        <v>32</v>
      </c>
      <c r="C213" t="s">
        <v>7220</v>
      </c>
      <c r="D213" t="str">
        <f>INDEX(State!$C$2:$C$24,MATCH(C213,State!$B$2:$B$24,0))</f>
        <v>East</v>
      </c>
      <c r="E213">
        <f t="shared" si="3"/>
        <v>2025</v>
      </c>
      <c r="F213" s="17">
        <v>1310</v>
      </c>
    </row>
    <row r="214" spans="1:6" x14ac:dyDescent="0.3">
      <c r="A214" s="21">
        <v>45901</v>
      </c>
      <c r="B214" t="s">
        <v>32</v>
      </c>
      <c r="C214" t="s">
        <v>7220</v>
      </c>
      <c r="D214" t="str">
        <f>INDEX(State!$C$2:$C$24,MATCH(C214,State!$B$2:$B$24,0))</f>
        <v>East</v>
      </c>
      <c r="E214">
        <f t="shared" si="3"/>
        <v>2025</v>
      </c>
      <c r="F214" s="17">
        <v>1860</v>
      </c>
    </row>
    <row r="215" spans="1:6" x14ac:dyDescent="0.3">
      <c r="A215" s="21">
        <v>45931</v>
      </c>
      <c r="B215" t="s">
        <v>32</v>
      </c>
      <c r="C215" t="s">
        <v>7220</v>
      </c>
      <c r="D215" t="str">
        <f>INDEX(State!$C$2:$C$24,MATCH(C215,State!$B$2:$B$24,0))</f>
        <v>East</v>
      </c>
      <c r="E215">
        <f t="shared" si="3"/>
        <v>2025</v>
      </c>
      <c r="F215" s="17">
        <v>2040</v>
      </c>
    </row>
    <row r="216" spans="1:6" x14ac:dyDescent="0.3">
      <c r="A216" s="21">
        <v>45962</v>
      </c>
      <c r="B216" t="s">
        <v>32</v>
      </c>
      <c r="C216" t="s">
        <v>7220</v>
      </c>
      <c r="D216" t="str">
        <f>INDEX(State!$C$2:$C$24,MATCH(C216,State!$B$2:$B$24,0))</f>
        <v>East</v>
      </c>
      <c r="E216">
        <f t="shared" si="3"/>
        <v>2025</v>
      </c>
      <c r="F216" s="17">
        <v>2370</v>
      </c>
    </row>
    <row r="217" spans="1:6" x14ac:dyDescent="0.3">
      <c r="A217" s="21">
        <v>45992</v>
      </c>
      <c r="B217" t="s">
        <v>32</v>
      </c>
      <c r="C217" t="s">
        <v>7220</v>
      </c>
      <c r="D217" t="str">
        <f>INDEX(State!$C$2:$C$24,MATCH(C217,State!$B$2:$B$24,0))</f>
        <v>East</v>
      </c>
      <c r="E217">
        <f t="shared" si="3"/>
        <v>2025</v>
      </c>
      <c r="F217" s="17">
        <v>1400</v>
      </c>
    </row>
    <row r="218" spans="1:6" x14ac:dyDescent="0.3">
      <c r="A218" s="21">
        <v>45292</v>
      </c>
      <c r="B218" t="s">
        <v>132</v>
      </c>
      <c r="C218" t="s">
        <v>7222</v>
      </c>
      <c r="D218" t="str">
        <f>INDEX(State!$C$2:$C$24,MATCH(C218,State!$B$2:$B$24,0))</f>
        <v>East</v>
      </c>
      <c r="E218">
        <f t="shared" si="3"/>
        <v>2024</v>
      </c>
      <c r="F218" s="17">
        <v>510</v>
      </c>
    </row>
    <row r="219" spans="1:6" x14ac:dyDescent="0.3">
      <c r="A219" s="21">
        <v>45323</v>
      </c>
      <c r="B219" t="s">
        <v>132</v>
      </c>
      <c r="C219" t="s">
        <v>7222</v>
      </c>
      <c r="D219" t="str">
        <f>INDEX(State!$C$2:$C$24,MATCH(C219,State!$B$2:$B$24,0))</f>
        <v>East</v>
      </c>
      <c r="E219">
        <f t="shared" si="3"/>
        <v>2024</v>
      </c>
      <c r="F219" s="17">
        <v>490</v>
      </c>
    </row>
    <row r="220" spans="1:6" x14ac:dyDescent="0.3">
      <c r="A220" s="21">
        <v>45352</v>
      </c>
      <c r="B220" t="s">
        <v>132</v>
      </c>
      <c r="C220" t="s">
        <v>7222</v>
      </c>
      <c r="D220" t="str">
        <f>INDEX(State!$C$2:$C$24,MATCH(C220,State!$B$2:$B$24,0))</f>
        <v>East</v>
      </c>
      <c r="E220">
        <f t="shared" si="3"/>
        <v>2024</v>
      </c>
      <c r="F220" s="17">
        <v>490</v>
      </c>
    </row>
    <row r="221" spans="1:6" x14ac:dyDescent="0.3">
      <c r="A221" s="21">
        <v>45383</v>
      </c>
      <c r="B221" t="s">
        <v>132</v>
      </c>
      <c r="C221" t="s">
        <v>7222</v>
      </c>
      <c r="D221" t="str">
        <f>INDEX(State!$C$2:$C$24,MATCH(C221,State!$B$2:$B$24,0))</f>
        <v>East</v>
      </c>
      <c r="E221">
        <f t="shared" si="3"/>
        <v>2024</v>
      </c>
      <c r="F221" s="17">
        <v>570</v>
      </c>
    </row>
    <row r="222" spans="1:6" x14ac:dyDescent="0.3">
      <c r="A222" s="21">
        <v>45413</v>
      </c>
      <c r="B222" t="s">
        <v>132</v>
      </c>
      <c r="C222" t="s">
        <v>7222</v>
      </c>
      <c r="D222" t="str">
        <f>INDEX(State!$C$2:$C$24,MATCH(C222,State!$B$2:$B$24,0))</f>
        <v>East</v>
      </c>
      <c r="E222">
        <f t="shared" si="3"/>
        <v>2024</v>
      </c>
      <c r="F222" s="17">
        <v>540</v>
      </c>
    </row>
    <row r="223" spans="1:6" x14ac:dyDescent="0.3">
      <c r="A223" s="21">
        <v>45444</v>
      </c>
      <c r="B223" t="s">
        <v>132</v>
      </c>
      <c r="C223" t="s">
        <v>7222</v>
      </c>
      <c r="D223" t="str">
        <f>INDEX(State!$C$2:$C$24,MATCH(C223,State!$B$2:$B$24,0))</f>
        <v>East</v>
      </c>
      <c r="E223">
        <f t="shared" si="3"/>
        <v>2024</v>
      </c>
      <c r="F223" s="17">
        <v>890</v>
      </c>
    </row>
    <row r="224" spans="1:6" x14ac:dyDescent="0.3">
      <c r="A224" s="21">
        <v>45474</v>
      </c>
      <c r="B224" t="s">
        <v>132</v>
      </c>
      <c r="C224" t="s">
        <v>7222</v>
      </c>
      <c r="D224" t="str">
        <f>INDEX(State!$C$2:$C$24,MATCH(C224,State!$B$2:$B$24,0))</f>
        <v>East</v>
      </c>
      <c r="E224">
        <f t="shared" si="3"/>
        <v>2024</v>
      </c>
      <c r="F224" s="17">
        <v>570</v>
      </c>
    </row>
    <row r="225" spans="1:6" x14ac:dyDescent="0.3">
      <c r="A225" s="21">
        <v>45505</v>
      </c>
      <c r="B225" t="s">
        <v>132</v>
      </c>
      <c r="C225" t="s">
        <v>7222</v>
      </c>
      <c r="D225" t="str">
        <f>INDEX(State!$C$2:$C$24,MATCH(C225,State!$B$2:$B$24,0))</f>
        <v>East</v>
      </c>
      <c r="E225">
        <f t="shared" si="3"/>
        <v>2024</v>
      </c>
      <c r="F225" s="17">
        <v>540</v>
      </c>
    </row>
    <row r="226" spans="1:6" x14ac:dyDescent="0.3">
      <c r="A226" s="21">
        <v>45536</v>
      </c>
      <c r="B226" t="s">
        <v>132</v>
      </c>
      <c r="C226" t="s">
        <v>7222</v>
      </c>
      <c r="D226" t="str">
        <f>INDEX(State!$C$2:$C$24,MATCH(C226,State!$B$2:$B$24,0))</f>
        <v>East</v>
      </c>
      <c r="E226">
        <f t="shared" si="3"/>
        <v>2024</v>
      </c>
      <c r="F226" s="17">
        <v>470</v>
      </c>
    </row>
    <row r="227" spans="1:6" x14ac:dyDescent="0.3">
      <c r="A227" s="21">
        <v>45566</v>
      </c>
      <c r="B227" t="s">
        <v>132</v>
      </c>
      <c r="C227" t="s">
        <v>7222</v>
      </c>
      <c r="D227" t="str">
        <f>INDEX(State!$C$2:$C$24,MATCH(C227,State!$B$2:$B$24,0))</f>
        <v>East</v>
      </c>
      <c r="E227">
        <f t="shared" si="3"/>
        <v>2024</v>
      </c>
      <c r="F227" s="17">
        <v>890</v>
      </c>
    </row>
    <row r="228" spans="1:6" x14ac:dyDescent="0.3">
      <c r="A228" s="21">
        <v>45597</v>
      </c>
      <c r="B228" t="s">
        <v>132</v>
      </c>
      <c r="C228" t="s">
        <v>7222</v>
      </c>
      <c r="D228" t="str">
        <f>INDEX(State!$C$2:$C$24,MATCH(C228,State!$B$2:$B$24,0))</f>
        <v>East</v>
      </c>
      <c r="E228">
        <f t="shared" si="3"/>
        <v>2024</v>
      </c>
      <c r="F228" s="17">
        <v>1010</v>
      </c>
    </row>
    <row r="229" spans="1:6" x14ac:dyDescent="0.3">
      <c r="A229" s="21">
        <v>45627</v>
      </c>
      <c r="B229" t="s">
        <v>132</v>
      </c>
      <c r="C229" t="s">
        <v>7222</v>
      </c>
      <c r="D229" t="str">
        <f>INDEX(State!$C$2:$C$24,MATCH(C229,State!$B$2:$B$24,0))</f>
        <v>East</v>
      </c>
      <c r="E229">
        <f t="shared" si="3"/>
        <v>2024</v>
      </c>
      <c r="F229" s="17">
        <v>540</v>
      </c>
    </row>
    <row r="230" spans="1:6" x14ac:dyDescent="0.3">
      <c r="A230" s="21">
        <v>45658</v>
      </c>
      <c r="B230" t="s">
        <v>132</v>
      </c>
      <c r="C230" t="s">
        <v>7222</v>
      </c>
      <c r="D230" t="str">
        <f>INDEX(State!$C$2:$C$24,MATCH(C230,State!$B$2:$B$24,0))</f>
        <v>East</v>
      </c>
      <c r="E230">
        <f t="shared" si="3"/>
        <v>2025</v>
      </c>
      <c r="F230" s="17">
        <v>740</v>
      </c>
    </row>
    <row r="231" spans="1:6" x14ac:dyDescent="0.3">
      <c r="A231" s="21">
        <v>45689</v>
      </c>
      <c r="B231" t="s">
        <v>132</v>
      </c>
      <c r="C231" t="s">
        <v>7222</v>
      </c>
      <c r="D231" t="str">
        <f>INDEX(State!$C$2:$C$24,MATCH(C231,State!$B$2:$B$24,0))</f>
        <v>East</v>
      </c>
      <c r="E231">
        <f t="shared" si="3"/>
        <v>2025</v>
      </c>
      <c r="F231" s="17">
        <v>740</v>
      </c>
    </row>
    <row r="232" spans="1:6" x14ac:dyDescent="0.3">
      <c r="A232" s="21">
        <v>45717</v>
      </c>
      <c r="B232" t="s">
        <v>132</v>
      </c>
      <c r="C232" t="s">
        <v>7222</v>
      </c>
      <c r="D232" t="str">
        <f>INDEX(State!$C$2:$C$24,MATCH(C232,State!$B$2:$B$24,0))</f>
        <v>East</v>
      </c>
      <c r="E232">
        <f t="shared" si="3"/>
        <v>2025</v>
      </c>
      <c r="F232" s="17">
        <v>620</v>
      </c>
    </row>
    <row r="233" spans="1:6" x14ac:dyDescent="0.3">
      <c r="A233" s="21">
        <v>45748</v>
      </c>
      <c r="B233" t="s">
        <v>132</v>
      </c>
      <c r="C233" t="s">
        <v>7222</v>
      </c>
      <c r="D233" t="str">
        <f>INDEX(State!$C$2:$C$24,MATCH(C233,State!$B$2:$B$24,0))</f>
        <v>East</v>
      </c>
      <c r="E233">
        <f t="shared" si="3"/>
        <v>2025</v>
      </c>
      <c r="F233" s="17">
        <v>530</v>
      </c>
    </row>
    <row r="234" spans="1:6" x14ac:dyDescent="0.3">
      <c r="A234" s="21">
        <v>45778</v>
      </c>
      <c r="B234" t="s">
        <v>132</v>
      </c>
      <c r="C234" t="s">
        <v>7222</v>
      </c>
      <c r="D234" t="str">
        <f>INDEX(State!$C$2:$C$24,MATCH(C234,State!$B$2:$B$24,0))</f>
        <v>East</v>
      </c>
      <c r="E234">
        <f t="shared" si="3"/>
        <v>2025</v>
      </c>
      <c r="F234" s="17">
        <v>850</v>
      </c>
    </row>
    <row r="235" spans="1:6" x14ac:dyDescent="0.3">
      <c r="A235" s="21">
        <v>45809</v>
      </c>
      <c r="B235" t="s">
        <v>132</v>
      </c>
      <c r="C235" t="s">
        <v>7222</v>
      </c>
      <c r="D235" t="str">
        <f>INDEX(State!$C$2:$C$24,MATCH(C235,State!$B$2:$B$24,0))</f>
        <v>East</v>
      </c>
      <c r="E235">
        <f t="shared" si="3"/>
        <v>2025</v>
      </c>
      <c r="F235" s="17">
        <v>700</v>
      </c>
    </row>
    <row r="236" spans="1:6" x14ac:dyDescent="0.3">
      <c r="A236" s="21">
        <v>45839</v>
      </c>
      <c r="B236" t="s">
        <v>132</v>
      </c>
      <c r="C236" t="s">
        <v>7222</v>
      </c>
      <c r="D236" t="str">
        <f>INDEX(State!$C$2:$C$24,MATCH(C236,State!$B$2:$B$24,0))</f>
        <v>East</v>
      </c>
      <c r="E236">
        <f t="shared" si="3"/>
        <v>2025</v>
      </c>
      <c r="F236" s="17">
        <v>840</v>
      </c>
    </row>
    <row r="237" spans="1:6" x14ac:dyDescent="0.3">
      <c r="A237" s="21">
        <v>45870</v>
      </c>
      <c r="B237" t="s">
        <v>132</v>
      </c>
      <c r="C237" t="s">
        <v>7222</v>
      </c>
      <c r="D237" t="str">
        <f>INDEX(State!$C$2:$C$24,MATCH(C237,State!$B$2:$B$24,0))</f>
        <v>East</v>
      </c>
      <c r="E237">
        <f t="shared" si="3"/>
        <v>2025</v>
      </c>
      <c r="F237" s="17">
        <v>990</v>
      </c>
    </row>
    <row r="238" spans="1:6" x14ac:dyDescent="0.3">
      <c r="A238" s="21">
        <v>45901</v>
      </c>
      <c r="B238" t="s">
        <v>132</v>
      </c>
      <c r="C238" t="s">
        <v>7222</v>
      </c>
      <c r="D238" t="str">
        <f>INDEX(State!$C$2:$C$24,MATCH(C238,State!$B$2:$B$24,0))</f>
        <v>East</v>
      </c>
      <c r="E238">
        <f t="shared" si="3"/>
        <v>2025</v>
      </c>
      <c r="F238" s="17">
        <v>1090</v>
      </c>
    </row>
    <row r="239" spans="1:6" x14ac:dyDescent="0.3">
      <c r="A239" s="21">
        <v>45931</v>
      </c>
      <c r="B239" t="s">
        <v>132</v>
      </c>
      <c r="C239" t="s">
        <v>7222</v>
      </c>
      <c r="D239" t="str">
        <f>INDEX(State!$C$2:$C$24,MATCH(C239,State!$B$2:$B$24,0))</f>
        <v>East</v>
      </c>
      <c r="E239">
        <f t="shared" si="3"/>
        <v>2025</v>
      </c>
      <c r="F239" s="17">
        <v>1010</v>
      </c>
    </row>
    <row r="240" spans="1:6" x14ac:dyDescent="0.3">
      <c r="A240" s="21">
        <v>45962</v>
      </c>
      <c r="B240" t="s">
        <v>132</v>
      </c>
      <c r="C240" t="s">
        <v>7222</v>
      </c>
      <c r="D240" t="str">
        <f>INDEX(State!$C$2:$C$24,MATCH(C240,State!$B$2:$B$24,0))</f>
        <v>East</v>
      </c>
      <c r="E240">
        <f t="shared" si="3"/>
        <v>2025</v>
      </c>
      <c r="F240" s="17">
        <v>900</v>
      </c>
    </row>
    <row r="241" spans="1:6" x14ac:dyDescent="0.3">
      <c r="A241" s="21">
        <v>45992</v>
      </c>
      <c r="B241" t="s">
        <v>132</v>
      </c>
      <c r="C241" t="s">
        <v>7222</v>
      </c>
      <c r="D241" t="str">
        <f>INDEX(State!$C$2:$C$24,MATCH(C241,State!$B$2:$B$24,0))</f>
        <v>East</v>
      </c>
      <c r="E241">
        <f t="shared" si="3"/>
        <v>2025</v>
      </c>
      <c r="F241" s="17">
        <v>890</v>
      </c>
    </row>
    <row r="242" spans="1:6" x14ac:dyDescent="0.3">
      <c r="A242" s="21">
        <v>45292</v>
      </c>
      <c r="B242" t="s">
        <v>37</v>
      </c>
      <c r="C242" t="s">
        <v>7223</v>
      </c>
      <c r="D242" t="str">
        <f>INDEX(State!$C$2:$C$24,MATCH(C242,State!$B$2:$B$24,0))</f>
        <v>West</v>
      </c>
      <c r="E242">
        <f t="shared" si="3"/>
        <v>2024</v>
      </c>
      <c r="F242" s="17">
        <v>2480</v>
      </c>
    </row>
    <row r="243" spans="1:6" x14ac:dyDescent="0.3">
      <c r="A243" s="21">
        <v>45323</v>
      </c>
      <c r="B243" t="s">
        <v>37</v>
      </c>
      <c r="C243" t="s">
        <v>7223</v>
      </c>
      <c r="D243" t="str">
        <f>INDEX(State!$C$2:$C$24,MATCH(C243,State!$B$2:$B$24,0))</f>
        <v>West</v>
      </c>
      <c r="E243">
        <f t="shared" si="3"/>
        <v>2024</v>
      </c>
      <c r="F243" s="17">
        <v>1230</v>
      </c>
    </row>
    <row r="244" spans="1:6" x14ac:dyDescent="0.3">
      <c r="A244" s="21">
        <v>45352</v>
      </c>
      <c r="B244" t="s">
        <v>37</v>
      </c>
      <c r="C244" t="s">
        <v>7223</v>
      </c>
      <c r="D244" t="str">
        <f>INDEX(State!$C$2:$C$24,MATCH(C244,State!$B$2:$B$24,0))</f>
        <v>West</v>
      </c>
      <c r="E244">
        <f t="shared" si="3"/>
        <v>2024</v>
      </c>
      <c r="F244" s="17">
        <v>3160</v>
      </c>
    </row>
    <row r="245" spans="1:6" x14ac:dyDescent="0.3">
      <c r="A245" s="21">
        <v>45383</v>
      </c>
      <c r="B245" t="s">
        <v>37</v>
      </c>
      <c r="C245" t="s">
        <v>7223</v>
      </c>
      <c r="D245" t="str">
        <f>INDEX(State!$C$2:$C$24,MATCH(C245,State!$B$2:$B$24,0))</f>
        <v>West</v>
      </c>
      <c r="E245">
        <f t="shared" si="3"/>
        <v>2024</v>
      </c>
      <c r="F245" s="17">
        <v>2100</v>
      </c>
    </row>
    <row r="246" spans="1:6" x14ac:dyDescent="0.3">
      <c r="A246" s="21">
        <v>45413</v>
      </c>
      <c r="B246" t="s">
        <v>37</v>
      </c>
      <c r="C246" t="s">
        <v>7223</v>
      </c>
      <c r="D246" t="str">
        <f>INDEX(State!$C$2:$C$24,MATCH(C246,State!$B$2:$B$24,0))</f>
        <v>West</v>
      </c>
      <c r="E246">
        <f t="shared" si="3"/>
        <v>2024</v>
      </c>
      <c r="F246" s="17">
        <v>2710</v>
      </c>
    </row>
    <row r="247" spans="1:6" x14ac:dyDescent="0.3">
      <c r="A247" s="21">
        <v>45444</v>
      </c>
      <c r="B247" t="s">
        <v>37</v>
      </c>
      <c r="C247" t="s">
        <v>7223</v>
      </c>
      <c r="D247" t="str">
        <f>INDEX(State!$C$2:$C$24,MATCH(C247,State!$B$2:$B$24,0))</f>
        <v>West</v>
      </c>
      <c r="E247">
        <f t="shared" si="3"/>
        <v>2024</v>
      </c>
      <c r="F247" s="17">
        <v>1680</v>
      </c>
    </row>
    <row r="248" spans="1:6" x14ac:dyDescent="0.3">
      <c r="A248" s="21">
        <v>45474</v>
      </c>
      <c r="B248" t="s">
        <v>37</v>
      </c>
      <c r="C248" t="s">
        <v>7223</v>
      </c>
      <c r="D248" t="str">
        <f>INDEX(State!$C$2:$C$24,MATCH(C248,State!$B$2:$B$24,0))</f>
        <v>West</v>
      </c>
      <c r="E248">
        <f t="shared" si="3"/>
        <v>2024</v>
      </c>
      <c r="F248" s="17">
        <v>3700</v>
      </c>
    </row>
    <row r="249" spans="1:6" x14ac:dyDescent="0.3">
      <c r="A249" s="21">
        <v>45505</v>
      </c>
      <c r="B249" t="s">
        <v>37</v>
      </c>
      <c r="C249" t="s">
        <v>7223</v>
      </c>
      <c r="D249" t="str">
        <f>INDEX(State!$C$2:$C$24,MATCH(C249,State!$B$2:$B$24,0))</f>
        <v>West</v>
      </c>
      <c r="E249">
        <f t="shared" si="3"/>
        <v>2024</v>
      </c>
      <c r="F249" s="17">
        <v>2080</v>
      </c>
    </row>
    <row r="250" spans="1:6" x14ac:dyDescent="0.3">
      <c r="A250" s="21">
        <v>45536</v>
      </c>
      <c r="B250" t="s">
        <v>37</v>
      </c>
      <c r="C250" t="s">
        <v>7223</v>
      </c>
      <c r="D250" t="str">
        <f>INDEX(State!$C$2:$C$24,MATCH(C250,State!$B$2:$B$24,0))</f>
        <v>West</v>
      </c>
      <c r="E250">
        <f t="shared" si="3"/>
        <v>2024</v>
      </c>
      <c r="F250" s="17">
        <v>2620</v>
      </c>
    </row>
    <row r="251" spans="1:6" x14ac:dyDescent="0.3">
      <c r="A251" s="21">
        <v>45566</v>
      </c>
      <c r="B251" t="s">
        <v>37</v>
      </c>
      <c r="C251" t="s">
        <v>7223</v>
      </c>
      <c r="D251" t="str">
        <f>INDEX(State!$C$2:$C$24,MATCH(C251,State!$B$2:$B$24,0))</f>
        <v>West</v>
      </c>
      <c r="E251">
        <f t="shared" si="3"/>
        <v>2024</v>
      </c>
      <c r="F251" s="17">
        <v>2570</v>
      </c>
    </row>
    <row r="252" spans="1:6" x14ac:dyDescent="0.3">
      <c r="A252" s="21">
        <v>45597</v>
      </c>
      <c r="B252" t="s">
        <v>37</v>
      </c>
      <c r="C252" t="s">
        <v>7223</v>
      </c>
      <c r="D252" t="str">
        <f>INDEX(State!$C$2:$C$24,MATCH(C252,State!$B$2:$B$24,0))</f>
        <v>West</v>
      </c>
      <c r="E252">
        <f t="shared" si="3"/>
        <v>2024</v>
      </c>
      <c r="F252" s="17">
        <v>3400</v>
      </c>
    </row>
    <row r="253" spans="1:6" x14ac:dyDescent="0.3">
      <c r="A253" s="21">
        <v>45627</v>
      </c>
      <c r="B253" t="s">
        <v>37</v>
      </c>
      <c r="C253" t="s">
        <v>7223</v>
      </c>
      <c r="D253" t="str">
        <f>INDEX(State!$C$2:$C$24,MATCH(C253,State!$B$2:$B$24,0))</f>
        <v>West</v>
      </c>
      <c r="E253">
        <f t="shared" si="3"/>
        <v>2024</v>
      </c>
      <c r="F253" s="17">
        <v>2650</v>
      </c>
    </row>
    <row r="254" spans="1:6" x14ac:dyDescent="0.3">
      <c r="A254" s="21">
        <v>45658</v>
      </c>
      <c r="B254" t="s">
        <v>37</v>
      </c>
      <c r="C254" t="s">
        <v>7223</v>
      </c>
      <c r="D254" t="str">
        <f>INDEX(State!$C$2:$C$24,MATCH(C254,State!$B$2:$B$24,0))</f>
        <v>West</v>
      </c>
      <c r="E254">
        <f t="shared" si="3"/>
        <v>2025</v>
      </c>
      <c r="F254" s="17">
        <v>3060</v>
      </c>
    </row>
    <row r="255" spans="1:6" x14ac:dyDescent="0.3">
      <c r="A255" s="21">
        <v>45689</v>
      </c>
      <c r="B255" t="s">
        <v>37</v>
      </c>
      <c r="C255" t="s">
        <v>7223</v>
      </c>
      <c r="D255" t="str">
        <f>INDEX(State!$C$2:$C$24,MATCH(C255,State!$B$2:$B$24,0))</f>
        <v>West</v>
      </c>
      <c r="E255">
        <f t="shared" si="3"/>
        <v>2025</v>
      </c>
      <c r="F255" s="17">
        <v>2950</v>
      </c>
    </row>
    <row r="256" spans="1:6" x14ac:dyDescent="0.3">
      <c r="A256" s="21">
        <v>45717</v>
      </c>
      <c r="B256" t="s">
        <v>37</v>
      </c>
      <c r="C256" t="s">
        <v>7223</v>
      </c>
      <c r="D256" t="str">
        <f>INDEX(State!$C$2:$C$24,MATCH(C256,State!$B$2:$B$24,0))</f>
        <v>West</v>
      </c>
      <c r="E256">
        <f t="shared" si="3"/>
        <v>2025</v>
      </c>
      <c r="F256" s="17">
        <v>2810</v>
      </c>
    </row>
    <row r="257" spans="1:6" x14ac:dyDescent="0.3">
      <c r="A257" s="21">
        <v>45748</v>
      </c>
      <c r="B257" t="s">
        <v>37</v>
      </c>
      <c r="C257" t="s">
        <v>7223</v>
      </c>
      <c r="D257" t="str">
        <f>INDEX(State!$C$2:$C$24,MATCH(C257,State!$B$2:$B$24,0))</f>
        <v>West</v>
      </c>
      <c r="E257">
        <f t="shared" si="3"/>
        <v>2025</v>
      </c>
      <c r="F257" s="17">
        <v>3430</v>
      </c>
    </row>
    <row r="258" spans="1:6" x14ac:dyDescent="0.3">
      <c r="A258" s="21">
        <v>45778</v>
      </c>
      <c r="B258" t="s">
        <v>37</v>
      </c>
      <c r="C258" t="s">
        <v>7223</v>
      </c>
      <c r="D258" t="str">
        <f>INDEX(State!$C$2:$C$24,MATCH(C258,State!$B$2:$B$24,0))</f>
        <v>West</v>
      </c>
      <c r="E258">
        <f t="shared" ref="E258:E321" si="4">YEAR(A258)</f>
        <v>2025</v>
      </c>
      <c r="F258" s="17">
        <v>2420</v>
      </c>
    </row>
    <row r="259" spans="1:6" x14ac:dyDescent="0.3">
      <c r="A259" s="21">
        <v>45809</v>
      </c>
      <c r="B259" t="s">
        <v>37</v>
      </c>
      <c r="C259" t="s">
        <v>7223</v>
      </c>
      <c r="D259" t="str">
        <f>INDEX(State!$C$2:$C$24,MATCH(C259,State!$B$2:$B$24,0))</f>
        <v>West</v>
      </c>
      <c r="E259">
        <f t="shared" si="4"/>
        <v>2025</v>
      </c>
      <c r="F259" s="17">
        <v>2210</v>
      </c>
    </row>
    <row r="260" spans="1:6" x14ac:dyDescent="0.3">
      <c r="A260" s="21">
        <v>45839</v>
      </c>
      <c r="B260" t="s">
        <v>37</v>
      </c>
      <c r="C260" t="s">
        <v>7223</v>
      </c>
      <c r="D260" t="str">
        <f>INDEX(State!$C$2:$C$24,MATCH(C260,State!$B$2:$B$24,0))</f>
        <v>West</v>
      </c>
      <c r="E260">
        <f t="shared" si="4"/>
        <v>2025</v>
      </c>
      <c r="F260" s="17">
        <v>3200</v>
      </c>
    </row>
    <row r="261" spans="1:6" x14ac:dyDescent="0.3">
      <c r="A261" s="21">
        <v>45870</v>
      </c>
      <c r="B261" t="s">
        <v>37</v>
      </c>
      <c r="C261" t="s">
        <v>7223</v>
      </c>
      <c r="D261" t="str">
        <f>INDEX(State!$C$2:$C$24,MATCH(C261,State!$B$2:$B$24,0))</f>
        <v>West</v>
      </c>
      <c r="E261">
        <f t="shared" si="4"/>
        <v>2025</v>
      </c>
      <c r="F261" s="17">
        <v>3660</v>
      </c>
    </row>
    <row r="262" spans="1:6" x14ac:dyDescent="0.3">
      <c r="A262" s="21">
        <v>45901</v>
      </c>
      <c r="B262" t="s">
        <v>37</v>
      </c>
      <c r="C262" t="s">
        <v>7223</v>
      </c>
      <c r="D262" t="str">
        <f>INDEX(State!$C$2:$C$24,MATCH(C262,State!$B$2:$B$24,0))</f>
        <v>West</v>
      </c>
      <c r="E262">
        <f t="shared" si="4"/>
        <v>2025</v>
      </c>
      <c r="F262" s="17">
        <v>4780</v>
      </c>
    </row>
    <row r="263" spans="1:6" x14ac:dyDescent="0.3">
      <c r="A263" s="21">
        <v>45931</v>
      </c>
      <c r="B263" t="s">
        <v>37</v>
      </c>
      <c r="C263" t="s">
        <v>7223</v>
      </c>
      <c r="D263" t="str">
        <f>INDEX(State!$C$2:$C$24,MATCH(C263,State!$B$2:$B$24,0))</f>
        <v>West</v>
      </c>
      <c r="E263">
        <f t="shared" si="4"/>
        <v>2025</v>
      </c>
      <c r="F263" s="17">
        <v>5970</v>
      </c>
    </row>
    <row r="264" spans="1:6" x14ac:dyDescent="0.3">
      <c r="A264" s="21">
        <v>45962</v>
      </c>
      <c r="B264" t="s">
        <v>37</v>
      </c>
      <c r="C264" t="s">
        <v>7223</v>
      </c>
      <c r="D264" t="str">
        <f>INDEX(State!$C$2:$C$24,MATCH(C264,State!$B$2:$B$24,0))</f>
        <v>West</v>
      </c>
      <c r="E264">
        <f t="shared" si="4"/>
        <v>2025</v>
      </c>
      <c r="F264" s="17">
        <v>2710</v>
      </c>
    </row>
    <row r="265" spans="1:6" x14ac:dyDescent="0.3">
      <c r="A265" s="21">
        <v>45992</v>
      </c>
      <c r="B265" t="s">
        <v>37</v>
      </c>
      <c r="C265" t="s">
        <v>7223</v>
      </c>
      <c r="D265" t="str">
        <f>INDEX(State!$C$2:$C$24,MATCH(C265,State!$B$2:$B$24,0))</f>
        <v>West</v>
      </c>
      <c r="E265">
        <f t="shared" si="4"/>
        <v>2025</v>
      </c>
      <c r="F265" s="17">
        <v>3920</v>
      </c>
    </row>
    <row r="266" spans="1:6" x14ac:dyDescent="0.3">
      <c r="A266" s="21">
        <v>45292</v>
      </c>
      <c r="B266" t="s">
        <v>43</v>
      </c>
      <c r="C266" t="s">
        <v>7225</v>
      </c>
      <c r="D266" t="str">
        <f>INDEX(State!$C$2:$C$24,MATCH(C266,State!$B$2:$B$24,0))</f>
        <v>West</v>
      </c>
      <c r="E266">
        <f t="shared" si="4"/>
        <v>2024</v>
      </c>
      <c r="F266" s="17">
        <v>2330</v>
      </c>
    </row>
    <row r="267" spans="1:6" x14ac:dyDescent="0.3">
      <c r="A267" s="21">
        <v>45323</v>
      </c>
      <c r="B267" t="s">
        <v>43</v>
      </c>
      <c r="C267" t="s">
        <v>7225</v>
      </c>
      <c r="D267" t="str">
        <f>INDEX(State!$C$2:$C$24,MATCH(C267,State!$B$2:$B$24,0))</f>
        <v>West</v>
      </c>
      <c r="E267">
        <f t="shared" si="4"/>
        <v>2024</v>
      </c>
      <c r="F267" s="17">
        <v>1270</v>
      </c>
    </row>
    <row r="268" spans="1:6" x14ac:dyDescent="0.3">
      <c r="A268" s="21">
        <v>45352</v>
      </c>
      <c r="B268" t="s">
        <v>43</v>
      </c>
      <c r="C268" t="s">
        <v>7225</v>
      </c>
      <c r="D268" t="str">
        <f>INDEX(State!$C$2:$C$24,MATCH(C268,State!$B$2:$B$24,0))</f>
        <v>West</v>
      </c>
      <c r="E268">
        <f t="shared" si="4"/>
        <v>2024</v>
      </c>
      <c r="F268" s="17">
        <v>1150</v>
      </c>
    </row>
    <row r="269" spans="1:6" x14ac:dyDescent="0.3">
      <c r="A269" s="21">
        <v>45383</v>
      </c>
      <c r="B269" t="s">
        <v>43</v>
      </c>
      <c r="C269" t="s">
        <v>7225</v>
      </c>
      <c r="D269" t="str">
        <f>INDEX(State!$C$2:$C$24,MATCH(C269,State!$B$2:$B$24,0))</f>
        <v>West</v>
      </c>
      <c r="E269">
        <f t="shared" si="4"/>
        <v>2024</v>
      </c>
      <c r="F269" s="17">
        <v>1370</v>
      </c>
    </row>
    <row r="270" spans="1:6" x14ac:dyDescent="0.3">
      <c r="A270" s="21">
        <v>45413</v>
      </c>
      <c r="B270" t="s">
        <v>43</v>
      </c>
      <c r="C270" t="s">
        <v>7225</v>
      </c>
      <c r="D270" t="str">
        <f>INDEX(State!$C$2:$C$24,MATCH(C270,State!$B$2:$B$24,0))</f>
        <v>West</v>
      </c>
      <c r="E270">
        <f t="shared" si="4"/>
        <v>2024</v>
      </c>
      <c r="F270" s="17">
        <v>1150</v>
      </c>
    </row>
    <row r="271" spans="1:6" x14ac:dyDescent="0.3">
      <c r="A271" s="21">
        <v>45444</v>
      </c>
      <c r="B271" t="s">
        <v>43</v>
      </c>
      <c r="C271" t="s">
        <v>7225</v>
      </c>
      <c r="D271" t="str">
        <f>INDEX(State!$C$2:$C$24,MATCH(C271,State!$B$2:$B$24,0))</f>
        <v>West</v>
      </c>
      <c r="E271">
        <f t="shared" si="4"/>
        <v>2024</v>
      </c>
      <c r="F271" s="17">
        <v>1670</v>
      </c>
    </row>
    <row r="272" spans="1:6" x14ac:dyDescent="0.3">
      <c r="A272" s="21">
        <v>45474</v>
      </c>
      <c r="B272" t="s">
        <v>43</v>
      </c>
      <c r="C272" t="s">
        <v>7225</v>
      </c>
      <c r="D272" t="str">
        <f>INDEX(State!$C$2:$C$24,MATCH(C272,State!$B$2:$B$24,0))</f>
        <v>West</v>
      </c>
      <c r="E272">
        <f t="shared" si="4"/>
        <v>2024</v>
      </c>
      <c r="F272" s="17">
        <v>1540</v>
      </c>
    </row>
    <row r="273" spans="1:6" x14ac:dyDescent="0.3">
      <c r="A273" s="21">
        <v>45505</v>
      </c>
      <c r="B273" t="s">
        <v>43</v>
      </c>
      <c r="C273" t="s">
        <v>7225</v>
      </c>
      <c r="D273" t="str">
        <f>INDEX(State!$C$2:$C$24,MATCH(C273,State!$B$2:$B$24,0))</f>
        <v>West</v>
      </c>
      <c r="E273">
        <f t="shared" si="4"/>
        <v>2024</v>
      </c>
      <c r="F273" s="17">
        <v>2180</v>
      </c>
    </row>
    <row r="274" spans="1:6" x14ac:dyDescent="0.3">
      <c r="A274" s="21">
        <v>45536</v>
      </c>
      <c r="B274" t="s">
        <v>43</v>
      </c>
      <c r="C274" t="s">
        <v>7225</v>
      </c>
      <c r="D274" t="str">
        <f>INDEX(State!$C$2:$C$24,MATCH(C274,State!$B$2:$B$24,0))</f>
        <v>West</v>
      </c>
      <c r="E274">
        <f t="shared" si="4"/>
        <v>2024</v>
      </c>
      <c r="F274" s="17">
        <v>1860</v>
      </c>
    </row>
    <row r="275" spans="1:6" x14ac:dyDescent="0.3">
      <c r="A275" s="21">
        <v>45566</v>
      </c>
      <c r="B275" t="s">
        <v>43</v>
      </c>
      <c r="C275" t="s">
        <v>7225</v>
      </c>
      <c r="D275" t="str">
        <f>INDEX(State!$C$2:$C$24,MATCH(C275,State!$B$2:$B$24,0))</f>
        <v>West</v>
      </c>
      <c r="E275">
        <f t="shared" si="4"/>
        <v>2024</v>
      </c>
      <c r="F275" s="17">
        <v>1860</v>
      </c>
    </row>
    <row r="276" spans="1:6" x14ac:dyDescent="0.3">
      <c r="A276" s="21">
        <v>45597</v>
      </c>
      <c r="B276" t="s">
        <v>43</v>
      </c>
      <c r="C276" t="s">
        <v>7225</v>
      </c>
      <c r="D276" t="str">
        <f>INDEX(State!$C$2:$C$24,MATCH(C276,State!$B$2:$B$24,0))</f>
        <v>West</v>
      </c>
      <c r="E276">
        <f t="shared" si="4"/>
        <v>2024</v>
      </c>
      <c r="F276" s="17">
        <v>2530</v>
      </c>
    </row>
    <row r="277" spans="1:6" x14ac:dyDescent="0.3">
      <c r="A277" s="21">
        <v>45627</v>
      </c>
      <c r="B277" t="s">
        <v>43</v>
      </c>
      <c r="C277" t="s">
        <v>7225</v>
      </c>
      <c r="D277" t="str">
        <f>INDEX(State!$C$2:$C$24,MATCH(C277,State!$B$2:$B$24,0))</f>
        <v>West</v>
      </c>
      <c r="E277">
        <f t="shared" si="4"/>
        <v>2024</v>
      </c>
      <c r="F277" s="17">
        <v>2200</v>
      </c>
    </row>
    <row r="278" spans="1:6" x14ac:dyDescent="0.3">
      <c r="A278" s="21">
        <v>45658</v>
      </c>
      <c r="B278" t="s">
        <v>43</v>
      </c>
      <c r="C278" t="s">
        <v>7225</v>
      </c>
      <c r="D278" t="str">
        <f>INDEX(State!$C$2:$C$24,MATCH(C278,State!$B$2:$B$24,0))</f>
        <v>West</v>
      </c>
      <c r="E278">
        <f t="shared" si="4"/>
        <v>2025</v>
      </c>
      <c r="F278" s="17">
        <v>1650</v>
      </c>
    </row>
    <row r="279" spans="1:6" x14ac:dyDescent="0.3">
      <c r="A279" s="21">
        <v>45689</v>
      </c>
      <c r="B279" t="s">
        <v>43</v>
      </c>
      <c r="C279" t="s">
        <v>7225</v>
      </c>
      <c r="D279" t="str">
        <f>INDEX(State!$C$2:$C$24,MATCH(C279,State!$B$2:$B$24,0))</f>
        <v>West</v>
      </c>
      <c r="E279">
        <f t="shared" si="4"/>
        <v>2025</v>
      </c>
      <c r="F279" s="17">
        <v>1390</v>
      </c>
    </row>
    <row r="280" spans="1:6" x14ac:dyDescent="0.3">
      <c r="A280" s="21">
        <v>45717</v>
      </c>
      <c r="B280" t="s">
        <v>43</v>
      </c>
      <c r="C280" t="s">
        <v>7225</v>
      </c>
      <c r="D280" t="str">
        <f>INDEX(State!$C$2:$C$24,MATCH(C280,State!$B$2:$B$24,0))</f>
        <v>West</v>
      </c>
      <c r="E280">
        <f t="shared" si="4"/>
        <v>2025</v>
      </c>
      <c r="F280" s="17">
        <v>870</v>
      </c>
    </row>
    <row r="281" spans="1:6" x14ac:dyDescent="0.3">
      <c r="A281" s="21">
        <v>45748</v>
      </c>
      <c r="B281" t="s">
        <v>43</v>
      </c>
      <c r="C281" t="s">
        <v>7225</v>
      </c>
      <c r="D281" t="str">
        <f>INDEX(State!$C$2:$C$24,MATCH(C281,State!$B$2:$B$24,0))</f>
        <v>West</v>
      </c>
      <c r="E281">
        <f t="shared" si="4"/>
        <v>2025</v>
      </c>
      <c r="F281" s="17">
        <v>2020</v>
      </c>
    </row>
    <row r="282" spans="1:6" x14ac:dyDescent="0.3">
      <c r="A282" s="21">
        <v>45778</v>
      </c>
      <c r="B282" t="s">
        <v>43</v>
      </c>
      <c r="C282" t="s">
        <v>7225</v>
      </c>
      <c r="D282" t="str">
        <f>INDEX(State!$C$2:$C$24,MATCH(C282,State!$B$2:$B$24,0))</f>
        <v>West</v>
      </c>
      <c r="E282">
        <f t="shared" si="4"/>
        <v>2025</v>
      </c>
      <c r="F282" s="17">
        <v>1410</v>
      </c>
    </row>
    <row r="283" spans="1:6" x14ac:dyDescent="0.3">
      <c r="A283" s="21">
        <v>45809</v>
      </c>
      <c r="B283" t="s">
        <v>43</v>
      </c>
      <c r="C283" t="s">
        <v>7225</v>
      </c>
      <c r="D283" t="str">
        <f>INDEX(State!$C$2:$C$24,MATCH(C283,State!$B$2:$B$24,0))</f>
        <v>West</v>
      </c>
      <c r="E283">
        <f t="shared" si="4"/>
        <v>2025</v>
      </c>
      <c r="F283" s="17">
        <v>970</v>
      </c>
    </row>
    <row r="284" spans="1:6" x14ac:dyDescent="0.3">
      <c r="A284" s="21">
        <v>45839</v>
      </c>
      <c r="B284" t="s">
        <v>43</v>
      </c>
      <c r="C284" t="s">
        <v>7225</v>
      </c>
      <c r="D284" t="str">
        <f>INDEX(State!$C$2:$C$24,MATCH(C284,State!$B$2:$B$24,0))</f>
        <v>West</v>
      </c>
      <c r="E284">
        <f t="shared" si="4"/>
        <v>2025</v>
      </c>
      <c r="F284" s="17">
        <v>1180</v>
      </c>
    </row>
    <row r="285" spans="1:6" x14ac:dyDescent="0.3">
      <c r="A285" s="21">
        <v>45870</v>
      </c>
      <c r="B285" t="s">
        <v>43</v>
      </c>
      <c r="C285" t="s">
        <v>7225</v>
      </c>
      <c r="D285" t="str">
        <f>INDEX(State!$C$2:$C$24,MATCH(C285,State!$B$2:$B$24,0))</f>
        <v>West</v>
      </c>
      <c r="E285">
        <f t="shared" si="4"/>
        <v>2025</v>
      </c>
      <c r="F285" s="17">
        <v>1730</v>
      </c>
    </row>
    <row r="286" spans="1:6" x14ac:dyDescent="0.3">
      <c r="A286" s="21">
        <v>45901</v>
      </c>
      <c r="B286" t="s">
        <v>43</v>
      </c>
      <c r="C286" t="s">
        <v>7225</v>
      </c>
      <c r="D286" t="str">
        <f>INDEX(State!$C$2:$C$24,MATCH(C286,State!$B$2:$B$24,0))</f>
        <v>West</v>
      </c>
      <c r="E286">
        <f t="shared" si="4"/>
        <v>2025</v>
      </c>
      <c r="F286" s="17">
        <v>2510</v>
      </c>
    </row>
    <row r="287" spans="1:6" x14ac:dyDescent="0.3">
      <c r="A287" s="21">
        <v>45931</v>
      </c>
      <c r="B287" t="s">
        <v>43</v>
      </c>
      <c r="C287" t="s">
        <v>7225</v>
      </c>
      <c r="D287" t="str">
        <f>INDEX(State!$C$2:$C$24,MATCH(C287,State!$B$2:$B$24,0))</f>
        <v>West</v>
      </c>
      <c r="E287">
        <f t="shared" si="4"/>
        <v>2025</v>
      </c>
      <c r="F287" s="17">
        <v>2780</v>
      </c>
    </row>
    <row r="288" spans="1:6" x14ac:dyDescent="0.3">
      <c r="A288" s="21">
        <v>45962</v>
      </c>
      <c r="B288" t="s">
        <v>43</v>
      </c>
      <c r="C288" t="s">
        <v>7225</v>
      </c>
      <c r="D288" t="str">
        <f>INDEX(State!$C$2:$C$24,MATCH(C288,State!$B$2:$B$24,0))</f>
        <v>West</v>
      </c>
      <c r="E288">
        <f t="shared" si="4"/>
        <v>2025</v>
      </c>
      <c r="F288" s="17">
        <v>3050</v>
      </c>
    </row>
    <row r="289" spans="1:6" x14ac:dyDescent="0.3">
      <c r="A289" s="21">
        <v>45992</v>
      </c>
      <c r="B289" t="s">
        <v>43</v>
      </c>
      <c r="C289" t="s">
        <v>7225</v>
      </c>
      <c r="D289" t="str">
        <f>INDEX(State!$C$2:$C$24,MATCH(C289,State!$B$2:$B$24,0))</f>
        <v>West</v>
      </c>
      <c r="E289">
        <f t="shared" si="4"/>
        <v>2025</v>
      </c>
      <c r="F289" s="17">
        <v>1560</v>
      </c>
    </row>
    <row r="290" spans="1:6" x14ac:dyDescent="0.3">
      <c r="A290" s="21">
        <v>45292</v>
      </c>
      <c r="B290" t="s">
        <v>482</v>
      </c>
      <c r="C290" t="s">
        <v>7226</v>
      </c>
      <c r="D290" t="str">
        <f>INDEX(State!$C$2:$C$24,MATCH(C290,State!$B$2:$B$24,0))</f>
        <v>East</v>
      </c>
      <c r="E290">
        <f t="shared" si="4"/>
        <v>2024</v>
      </c>
      <c r="F290" s="17">
        <v>410</v>
      </c>
    </row>
    <row r="291" spans="1:6" x14ac:dyDescent="0.3">
      <c r="A291" s="21">
        <v>45323</v>
      </c>
      <c r="B291" t="s">
        <v>482</v>
      </c>
      <c r="C291" t="s">
        <v>7226</v>
      </c>
      <c r="D291" t="str">
        <f>INDEX(State!$C$2:$C$24,MATCH(C291,State!$B$2:$B$24,0))</f>
        <v>East</v>
      </c>
      <c r="E291">
        <f t="shared" si="4"/>
        <v>2024</v>
      </c>
      <c r="F291" s="17">
        <v>620</v>
      </c>
    </row>
    <row r="292" spans="1:6" x14ac:dyDescent="0.3">
      <c r="A292" s="21">
        <v>45352</v>
      </c>
      <c r="B292" t="s">
        <v>482</v>
      </c>
      <c r="C292" t="s">
        <v>7226</v>
      </c>
      <c r="D292" t="str">
        <f>INDEX(State!$C$2:$C$24,MATCH(C292,State!$B$2:$B$24,0))</f>
        <v>East</v>
      </c>
      <c r="E292">
        <f t="shared" si="4"/>
        <v>2024</v>
      </c>
      <c r="F292" s="17">
        <v>590</v>
      </c>
    </row>
    <row r="293" spans="1:6" x14ac:dyDescent="0.3">
      <c r="A293" s="21">
        <v>45383</v>
      </c>
      <c r="B293" t="s">
        <v>482</v>
      </c>
      <c r="C293" t="s">
        <v>7226</v>
      </c>
      <c r="D293" t="str">
        <f>INDEX(State!$C$2:$C$24,MATCH(C293,State!$B$2:$B$24,0))</f>
        <v>East</v>
      </c>
      <c r="E293">
        <f t="shared" si="4"/>
        <v>2024</v>
      </c>
      <c r="F293" s="17">
        <v>480</v>
      </c>
    </row>
    <row r="294" spans="1:6" x14ac:dyDescent="0.3">
      <c r="A294" s="21">
        <v>45413</v>
      </c>
      <c r="B294" t="s">
        <v>482</v>
      </c>
      <c r="C294" t="s">
        <v>7226</v>
      </c>
      <c r="D294" t="str">
        <f>INDEX(State!$C$2:$C$24,MATCH(C294,State!$B$2:$B$24,0))</f>
        <v>East</v>
      </c>
      <c r="E294">
        <f t="shared" si="4"/>
        <v>2024</v>
      </c>
      <c r="F294" s="17">
        <v>740</v>
      </c>
    </row>
    <row r="295" spans="1:6" x14ac:dyDescent="0.3">
      <c r="A295" s="21">
        <v>45444</v>
      </c>
      <c r="B295" t="s">
        <v>482</v>
      </c>
      <c r="C295" t="s">
        <v>7226</v>
      </c>
      <c r="D295" t="str">
        <f>INDEX(State!$C$2:$C$24,MATCH(C295,State!$B$2:$B$24,0))</f>
        <v>East</v>
      </c>
      <c r="E295">
        <f t="shared" si="4"/>
        <v>2024</v>
      </c>
      <c r="F295" s="17">
        <v>420</v>
      </c>
    </row>
    <row r="296" spans="1:6" x14ac:dyDescent="0.3">
      <c r="A296" s="21">
        <v>45474</v>
      </c>
      <c r="B296" t="s">
        <v>482</v>
      </c>
      <c r="C296" t="s">
        <v>7226</v>
      </c>
      <c r="D296" t="str">
        <f>INDEX(State!$C$2:$C$24,MATCH(C296,State!$B$2:$B$24,0))</f>
        <v>East</v>
      </c>
      <c r="E296">
        <f t="shared" si="4"/>
        <v>2024</v>
      </c>
      <c r="F296" s="17">
        <v>530</v>
      </c>
    </row>
    <row r="297" spans="1:6" x14ac:dyDescent="0.3">
      <c r="A297" s="21">
        <v>45505</v>
      </c>
      <c r="B297" t="s">
        <v>482</v>
      </c>
      <c r="C297" t="s">
        <v>7226</v>
      </c>
      <c r="D297" t="str">
        <f>INDEX(State!$C$2:$C$24,MATCH(C297,State!$B$2:$B$24,0))</f>
        <v>East</v>
      </c>
      <c r="E297">
        <f t="shared" si="4"/>
        <v>2024</v>
      </c>
      <c r="F297" s="17">
        <v>760</v>
      </c>
    </row>
    <row r="298" spans="1:6" x14ac:dyDescent="0.3">
      <c r="A298" s="21">
        <v>45536</v>
      </c>
      <c r="B298" t="s">
        <v>482</v>
      </c>
      <c r="C298" t="s">
        <v>7226</v>
      </c>
      <c r="D298" t="str">
        <f>INDEX(State!$C$2:$C$24,MATCH(C298,State!$B$2:$B$24,0))</f>
        <v>East</v>
      </c>
      <c r="E298">
        <f t="shared" si="4"/>
        <v>2024</v>
      </c>
      <c r="F298" s="17">
        <v>1050</v>
      </c>
    </row>
    <row r="299" spans="1:6" x14ac:dyDescent="0.3">
      <c r="A299" s="21">
        <v>45566</v>
      </c>
      <c r="B299" t="s">
        <v>482</v>
      </c>
      <c r="C299" t="s">
        <v>7226</v>
      </c>
      <c r="D299" t="str">
        <f>INDEX(State!$C$2:$C$24,MATCH(C299,State!$B$2:$B$24,0))</f>
        <v>East</v>
      </c>
      <c r="E299">
        <f t="shared" si="4"/>
        <v>2024</v>
      </c>
      <c r="F299" s="17">
        <v>890</v>
      </c>
    </row>
    <row r="300" spans="1:6" x14ac:dyDescent="0.3">
      <c r="A300" s="21">
        <v>45597</v>
      </c>
      <c r="B300" t="s">
        <v>482</v>
      </c>
      <c r="C300" t="s">
        <v>7226</v>
      </c>
      <c r="D300" t="str">
        <f>INDEX(State!$C$2:$C$24,MATCH(C300,State!$B$2:$B$24,0))</f>
        <v>East</v>
      </c>
      <c r="E300">
        <f t="shared" si="4"/>
        <v>2024</v>
      </c>
      <c r="F300" s="17">
        <v>1330</v>
      </c>
    </row>
    <row r="301" spans="1:6" x14ac:dyDescent="0.3">
      <c r="A301" s="21">
        <v>45627</v>
      </c>
      <c r="B301" t="s">
        <v>482</v>
      </c>
      <c r="C301" t="s">
        <v>7226</v>
      </c>
      <c r="D301" t="str">
        <f>INDEX(State!$C$2:$C$24,MATCH(C301,State!$B$2:$B$24,0))</f>
        <v>East</v>
      </c>
      <c r="E301">
        <f t="shared" si="4"/>
        <v>2024</v>
      </c>
      <c r="F301" s="17">
        <v>560</v>
      </c>
    </row>
    <row r="302" spans="1:6" x14ac:dyDescent="0.3">
      <c r="A302" s="21">
        <v>45658</v>
      </c>
      <c r="B302" t="s">
        <v>482</v>
      </c>
      <c r="C302" t="s">
        <v>7226</v>
      </c>
      <c r="D302" t="str">
        <f>INDEX(State!$C$2:$C$24,MATCH(C302,State!$B$2:$B$24,0))</f>
        <v>East</v>
      </c>
      <c r="E302">
        <f t="shared" si="4"/>
        <v>2025</v>
      </c>
      <c r="F302" s="17">
        <v>820</v>
      </c>
    </row>
    <row r="303" spans="1:6" x14ac:dyDescent="0.3">
      <c r="A303" s="21">
        <v>45689</v>
      </c>
      <c r="B303" t="s">
        <v>482</v>
      </c>
      <c r="C303" t="s">
        <v>7226</v>
      </c>
      <c r="D303" t="str">
        <f>INDEX(State!$C$2:$C$24,MATCH(C303,State!$B$2:$B$24,0))</f>
        <v>East</v>
      </c>
      <c r="E303">
        <f t="shared" si="4"/>
        <v>2025</v>
      </c>
      <c r="F303" s="17">
        <v>580</v>
      </c>
    </row>
    <row r="304" spans="1:6" x14ac:dyDescent="0.3">
      <c r="A304" s="21">
        <v>45717</v>
      </c>
      <c r="B304" t="s">
        <v>482</v>
      </c>
      <c r="C304" t="s">
        <v>7226</v>
      </c>
      <c r="D304" t="str">
        <f>INDEX(State!$C$2:$C$24,MATCH(C304,State!$B$2:$B$24,0))</f>
        <v>East</v>
      </c>
      <c r="E304">
        <f t="shared" si="4"/>
        <v>2025</v>
      </c>
      <c r="F304" s="17">
        <v>410</v>
      </c>
    </row>
    <row r="305" spans="1:6" x14ac:dyDescent="0.3">
      <c r="A305" s="21">
        <v>45748</v>
      </c>
      <c r="B305" t="s">
        <v>482</v>
      </c>
      <c r="C305" t="s">
        <v>7226</v>
      </c>
      <c r="D305" t="str">
        <f>INDEX(State!$C$2:$C$24,MATCH(C305,State!$B$2:$B$24,0))</f>
        <v>East</v>
      </c>
      <c r="E305">
        <f t="shared" si="4"/>
        <v>2025</v>
      </c>
      <c r="F305" s="17">
        <v>650</v>
      </c>
    </row>
    <row r="306" spans="1:6" x14ac:dyDescent="0.3">
      <c r="A306" s="21">
        <v>45778</v>
      </c>
      <c r="B306" t="s">
        <v>482</v>
      </c>
      <c r="C306" t="s">
        <v>7226</v>
      </c>
      <c r="D306" t="str">
        <f>INDEX(State!$C$2:$C$24,MATCH(C306,State!$B$2:$B$24,0))</f>
        <v>East</v>
      </c>
      <c r="E306">
        <f t="shared" si="4"/>
        <v>2025</v>
      </c>
      <c r="F306" s="17">
        <v>840</v>
      </c>
    </row>
    <row r="307" spans="1:6" x14ac:dyDescent="0.3">
      <c r="A307" s="21">
        <v>45809</v>
      </c>
      <c r="B307" t="s">
        <v>482</v>
      </c>
      <c r="C307" t="s">
        <v>7226</v>
      </c>
      <c r="D307" t="str">
        <f>INDEX(State!$C$2:$C$24,MATCH(C307,State!$B$2:$B$24,0))</f>
        <v>East</v>
      </c>
      <c r="E307">
        <f t="shared" si="4"/>
        <v>2025</v>
      </c>
      <c r="F307" s="17">
        <v>650</v>
      </c>
    </row>
    <row r="308" spans="1:6" x14ac:dyDescent="0.3">
      <c r="A308" s="21">
        <v>45839</v>
      </c>
      <c r="B308" t="s">
        <v>482</v>
      </c>
      <c r="C308" t="s">
        <v>7226</v>
      </c>
      <c r="D308" t="str">
        <f>INDEX(State!$C$2:$C$24,MATCH(C308,State!$B$2:$B$24,0))</f>
        <v>East</v>
      </c>
      <c r="E308">
        <f t="shared" si="4"/>
        <v>2025</v>
      </c>
      <c r="F308" s="17">
        <v>740</v>
      </c>
    </row>
    <row r="309" spans="1:6" x14ac:dyDescent="0.3">
      <c r="A309" s="21">
        <v>45870</v>
      </c>
      <c r="B309" t="s">
        <v>482</v>
      </c>
      <c r="C309" t="s">
        <v>7226</v>
      </c>
      <c r="D309" t="str">
        <f>INDEX(State!$C$2:$C$24,MATCH(C309,State!$B$2:$B$24,0))</f>
        <v>East</v>
      </c>
      <c r="E309">
        <f t="shared" si="4"/>
        <v>2025</v>
      </c>
      <c r="F309" s="17">
        <v>1060</v>
      </c>
    </row>
    <row r="310" spans="1:6" x14ac:dyDescent="0.3">
      <c r="A310" s="21">
        <v>45901</v>
      </c>
      <c r="B310" t="s">
        <v>482</v>
      </c>
      <c r="C310" t="s">
        <v>7226</v>
      </c>
      <c r="D310" t="str">
        <f>INDEX(State!$C$2:$C$24,MATCH(C310,State!$B$2:$B$24,0))</f>
        <v>East</v>
      </c>
      <c r="E310">
        <f t="shared" si="4"/>
        <v>2025</v>
      </c>
      <c r="F310" s="17">
        <v>550</v>
      </c>
    </row>
    <row r="311" spans="1:6" x14ac:dyDescent="0.3">
      <c r="A311" s="21">
        <v>45931</v>
      </c>
      <c r="B311" t="s">
        <v>482</v>
      </c>
      <c r="C311" t="s">
        <v>7226</v>
      </c>
      <c r="D311" t="str">
        <f>INDEX(State!$C$2:$C$24,MATCH(C311,State!$B$2:$B$24,0))</f>
        <v>East</v>
      </c>
      <c r="E311">
        <f t="shared" si="4"/>
        <v>2025</v>
      </c>
      <c r="F311" s="17">
        <v>730</v>
      </c>
    </row>
    <row r="312" spans="1:6" x14ac:dyDescent="0.3">
      <c r="A312" s="21">
        <v>45962</v>
      </c>
      <c r="B312" t="s">
        <v>482</v>
      </c>
      <c r="C312" t="s">
        <v>7226</v>
      </c>
      <c r="D312" t="str">
        <f>INDEX(State!$C$2:$C$24,MATCH(C312,State!$B$2:$B$24,0))</f>
        <v>East</v>
      </c>
      <c r="E312">
        <f t="shared" si="4"/>
        <v>2025</v>
      </c>
      <c r="F312" s="17">
        <v>860</v>
      </c>
    </row>
    <row r="313" spans="1:6" x14ac:dyDescent="0.3">
      <c r="A313" s="21">
        <v>45992</v>
      </c>
      <c r="B313" t="s">
        <v>482</v>
      </c>
      <c r="C313" t="s">
        <v>7226</v>
      </c>
      <c r="D313" t="str">
        <f>INDEX(State!$C$2:$C$24,MATCH(C313,State!$B$2:$B$24,0))</f>
        <v>East</v>
      </c>
      <c r="E313">
        <f t="shared" si="4"/>
        <v>2025</v>
      </c>
      <c r="F313" s="17">
        <v>590</v>
      </c>
    </row>
    <row r="314" spans="1:6" x14ac:dyDescent="0.3">
      <c r="A314" s="21">
        <v>45292</v>
      </c>
      <c r="B314" t="s">
        <v>123</v>
      </c>
      <c r="C314" t="s">
        <v>7227</v>
      </c>
      <c r="D314" t="str">
        <f>INDEX(State!$C$2:$C$24,MATCH(C314,State!$B$2:$B$24,0))</f>
        <v>East</v>
      </c>
      <c r="E314">
        <f t="shared" si="4"/>
        <v>2024</v>
      </c>
      <c r="F314" s="17">
        <v>1000</v>
      </c>
    </row>
    <row r="315" spans="1:6" x14ac:dyDescent="0.3">
      <c r="A315" s="21">
        <v>45323</v>
      </c>
      <c r="B315" t="s">
        <v>123</v>
      </c>
      <c r="C315" t="s">
        <v>7227</v>
      </c>
      <c r="D315" t="str">
        <f>INDEX(State!$C$2:$C$24,MATCH(C315,State!$B$2:$B$24,0))</f>
        <v>East</v>
      </c>
      <c r="E315">
        <f t="shared" si="4"/>
        <v>2024</v>
      </c>
      <c r="F315" s="17">
        <v>610</v>
      </c>
    </row>
    <row r="316" spans="1:6" x14ac:dyDescent="0.3">
      <c r="A316" s="21">
        <v>45352</v>
      </c>
      <c r="B316" t="s">
        <v>123</v>
      </c>
      <c r="C316" t="s">
        <v>7227</v>
      </c>
      <c r="D316" t="str">
        <f>INDEX(State!$C$2:$C$24,MATCH(C316,State!$B$2:$B$24,0))</f>
        <v>East</v>
      </c>
      <c r="E316">
        <f t="shared" si="4"/>
        <v>2024</v>
      </c>
      <c r="F316" s="17">
        <v>460</v>
      </c>
    </row>
    <row r="317" spans="1:6" x14ac:dyDescent="0.3">
      <c r="A317" s="21">
        <v>45383</v>
      </c>
      <c r="B317" t="s">
        <v>123</v>
      </c>
      <c r="C317" t="s">
        <v>7227</v>
      </c>
      <c r="D317" t="str">
        <f>INDEX(State!$C$2:$C$24,MATCH(C317,State!$B$2:$B$24,0))</f>
        <v>East</v>
      </c>
      <c r="E317">
        <f t="shared" si="4"/>
        <v>2024</v>
      </c>
      <c r="F317" s="17">
        <v>470</v>
      </c>
    </row>
    <row r="318" spans="1:6" x14ac:dyDescent="0.3">
      <c r="A318" s="21">
        <v>45413</v>
      </c>
      <c r="B318" t="s">
        <v>123</v>
      </c>
      <c r="C318" t="s">
        <v>7227</v>
      </c>
      <c r="D318" t="str">
        <f>INDEX(State!$C$2:$C$24,MATCH(C318,State!$B$2:$B$24,0))</f>
        <v>East</v>
      </c>
      <c r="E318">
        <f t="shared" si="4"/>
        <v>2024</v>
      </c>
      <c r="F318" s="17">
        <v>1310</v>
      </c>
    </row>
    <row r="319" spans="1:6" x14ac:dyDescent="0.3">
      <c r="A319" s="21">
        <v>45444</v>
      </c>
      <c r="B319" t="s">
        <v>123</v>
      </c>
      <c r="C319" t="s">
        <v>7227</v>
      </c>
      <c r="D319" t="str">
        <f>INDEX(State!$C$2:$C$24,MATCH(C319,State!$B$2:$B$24,0))</f>
        <v>East</v>
      </c>
      <c r="E319">
        <f t="shared" si="4"/>
        <v>2024</v>
      </c>
      <c r="F319" s="17">
        <v>520</v>
      </c>
    </row>
    <row r="320" spans="1:6" x14ac:dyDescent="0.3">
      <c r="A320" s="21">
        <v>45474</v>
      </c>
      <c r="B320" t="s">
        <v>123</v>
      </c>
      <c r="C320" t="s">
        <v>7227</v>
      </c>
      <c r="D320" t="str">
        <f>INDEX(State!$C$2:$C$24,MATCH(C320,State!$B$2:$B$24,0))</f>
        <v>East</v>
      </c>
      <c r="E320">
        <f t="shared" si="4"/>
        <v>2024</v>
      </c>
      <c r="F320" s="17">
        <v>560</v>
      </c>
    </row>
    <row r="321" spans="1:6" x14ac:dyDescent="0.3">
      <c r="A321" s="21">
        <v>45505</v>
      </c>
      <c r="B321" t="s">
        <v>123</v>
      </c>
      <c r="C321" t="s">
        <v>7227</v>
      </c>
      <c r="D321" t="str">
        <f>INDEX(State!$C$2:$C$24,MATCH(C321,State!$B$2:$B$24,0))</f>
        <v>East</v>
      </c>
      <c r="E321">
        <f t="shared" si="4"/>
        <v>2024</v>
      </c>
      <c r="F321" s="17">
        <v>710</v>
      </c>
    </row>
    <row r="322" spans="1:6" x14ac:dyDescent="0.3">
      <c r="A322" s="21">
        <v>45536</v>
      </c>
      <c r="B322" t="s">
        <v>123</v>
      </c>
      <c r="C322" t="s">
        <v>7227</v>
      </c>
      <c r="D322" t="str">
        <f>INDEX(State!$C$2:$C$24,MATCH(C322,State!$B$2:$B$24,0))</f>
        <v>East</v>
      </c>
      <c r="E322">
        <f t="shared" ref="E322:E385" si="5">YEAR(A322)</f>
        <v>2024</v>
      </c>
      <c r="F322" s="17">
        <v>860</v>
      </c>
    </row>
    <row r="323" spans="1:6" x14ac:dyDescent="0.3">
      <c r="A323" s="21">
        <v>45566</v>
      </c>
      <c r="B323" t="s">
        <v>123</v>
      </c>
      <c r="C323" t="s">
        <v>7227</v>
      </c>
      <c r="D323" t="str">
        <f>INDEX(State!$C$2:$C$24,MATCH(C323,State!$B$2:$B$24,0))</f>
        <v>East</v>
      </c>
      <c r="E323">
        <f t="shared" si="5"/>
        <v>2024</v>
      </c>
      <c r="F323" s="17">
        <v>1080</v>
      </c>
    </row>
    <row r="324" spans="1:6" x14ac:dyDescent="0.3">
      <c r="A324" s="21">
        <v>45597</v>
      </c>
      <c r="B324" t="s">
        <v>123</v>
      </c>
      <c r="C324" t="s">
        <v>7227</v>
      </c>
      <c r="D324" t="str">
        <f>INDEX(State!$C$2:$C$24,MATCH(C324,State!$B$2:$B$24,0))</f>
        <v>East</v>
      </c>
      <c r="E324">
        <f t="shared" si="5"/>
        <v>2024</v>
      </c>
      <c r="F324" s="17">
        <v>740</v>
      </c>
    </row>
    <row r="325" spans="1:6" x14ac:dyDescent="0.3">
      <c r="A325" s="21">
        <v>45627</v>
      </c>
      <c r="B325" t="s">
        <v>123</v>
      </c>
      <c r="C325" t="s">
        <v>7227</v>
      </c>
      <c r="D325" t="str">
        <f>INDEX(State!$C$2:$C$24,MATCH(C325,State!$B$2:$B$24,0))</f>
        <v>East</v>
      </c>
      <c r="E325">
        <f t="shared" si="5"/>
        <v>2024</v>
      </c>
      <c r="F325" s="17">
        <v>540</v>
      </c>
    </row>
    <row r="326" spans="1:6" x14ac:dyDescent="0.3">
      <c r="A326" s="21">
        <v>45658</v>
      </c>
      <c r="B326" t="s">
        <v>123</v>
      </c>
      <c r="C326" t="s">
        <v>7227</v>
      </c>
      <c r="D326" t="str">
        <f>INDEX(State!$C$2:$C$24,MATCH(C326,State!$B$2:$B$24,0))</f>
        <v>East</v>
      </c>
      <c r="E326">
        <f t="shared" si="5"/>
        <v>2025</v>
      </c>
      <c r="F326" s="17">
        <v>1020</v>
      </c>
    </row>
    <row r="327" spans="1:6" x14ac:dyDescent="0.3">
      <c r="A327" s="21">
        <v>45689</v>
      </c>
      <c r="B327" t="s">
        <v>123</v>
      </c>
      <c r="C327" t="s">
        <v>7227</v>
      </c>
      <c r="D327" t="str">
        <f>INDEX(State!$C$2:$C$24,MATCH(C327,State!$B$2:$B$24,0))</f>
        <v>East</v>
      </c>
      <c r="E327">
        <f t="shared" si="5"/>
        <v>2025</v>
      </c>
      <c r="F327" s="17">
        <v>680</v>
      </c>
    </row>
    <row r="328" spans="1:6" x14ac:dyDescent="0.3">
      <c r="A328" s="21">
        <v>45717</v>
      </c>
      <c r="B328" t="s">
        <v>123</v>
      </c>
      <c r="C328" t="s">
        <v>7227</v>
      </c>
      <c r="D328" t="str">
        <f>INDEX(State!$C$2:$C$24,MATCH(C328,State!$B$2:$B$24,0))</f>
        <v>East</v>
      </c>
      <c r="E328">
        <f t="shared" si="5"/>
        <v>2025</v>
      </c>
      <c r="F328" s="17">
        <v>470</v>
      </c>
    </row>
    <row r="329" spans="1:6" x14ac:dyDescent="0.3">
      <c r="A329" s="21">
        <v>45748</v>
      </c>
      <c r="B329" t="s">
        <v>123</v>
      </c>
      <c r="C329" t="s">
        <v>7227</v>
      </c>
      <c r="D329" t="str">
        <f>INDEX(State!$C$2:$C$24,MATCH(C329,State!$B$2:$B$24,0))</f>
        <v>East</v>
      </c>
      <c r="E329">
        <f t="shared" si="5"/>
        <v>2025</v>
      </c>
      <c r="F329" s="17">
        <v>970</v>
      </c>
    </row>
    <row r="330" spans="1:6" x14ac:dyDescent="0.3">
      <c r="A330" s="21">
        <v>45778</v>
      </c>
      <c r="B330" t="s">
        <v>123</v>
      </c>
      <c r="C330" t="s">
        <v>7227</v>
      </c>
      <c r="D330" t="str">
        <f>INDEX(State!$C$2:$C$24,MATCH(C330,State!$B$2:$B$24,0))</f>
        <v>East</v>
      </c>
      <c r="E330">
        <f t="shared" si="5"/>
        <v>2025</v>
      </c>
      <c r="F330" s="17">
        <v>910</v>
      </c>
    </row>
    <row r="331" spans="1:6" x14ac:dyDescent="0.3">
      <c r="A331" s="21">
        <v>45809</v>
      </c>
      <c r="B331" t="s">
        <v>123</v>
      </c>
      <c r="C331" t="s">
        <v>7227</v>
      </c>
      <c r="D331" t="str">
        <f>INDEX(State!$C$2:$C$24,MATCH(C331,State!$B$2:$B$24,0))</f>
        <v>East</v>
      </c>
      <c r="E331">
        <f t="shared" si="5"/>
        <v>2025</v>
      </c>
      <c r="F331" s="17">
        <v>730</v>
      </c>
    </row>
    <row r="332" spans="1:6" x14ac:dyDescent="0.3">
      <c r="A332" s="21">
        <v>45839</v>
      </c>
      <c r="B332" t="s">
        <v>123</v>
      </c>
      <c r="C332" t="s">
        <v>7227</v>
      </c>
      <c r="D332" t="str">
        <f>INDEX(State!$C$2:$C$24,MATCH(C332,State!$B$2:$B$24,0))</f>
        <v>East</v>
      </c>
      <c r="E332">
        <f t="shared" si="5"/>
        <v>2025</v>
      </c>
      <c r="F332" s="17">
        <v>800</v>
      </c>
    </row>
    <row r="333" spans="1:6" x14ac:dyDescent="0.3">
      <c r="A333" s="21">
        <v>45870</v>
      </c>
      <c r="B333" t="s">
        <v>123</v>
      </c>
      <c r="C333" t="s">
        <v>7227</v>
      </c>
      <c r="D333" t="str">
        <f>INDEX(State!$C$2:$C$24,MATCH(C333,State!$B$2:$B$24,0))</f>
        <v>East</v>
      </c>
      <c r="E333">
        <f t="shared" si="5"/>
        <v>2025</v>
      </c>
      <c r="F333" s="17">
        <v>870</v>
      </c>
    </row>
    <row r="334" spans="1:6" x14ac:dyDescent="0.3">
      <c r="A334" s="21">
        <v>45901</v>
      </c>
      <c r="B334" t="s">
        <v>123</v>
      </c>
      <c r="C334" t="s">
        <v>7227</v>
      </c>
      <c r="D334" t="str">
        <f>INDEX(State!$C$2:$C$24,MATCH(C334,State!$B$2:$B$24,0))</f>
        <v>East</v>
      </c>
      <c r="E334">
        <f t="shared" si="5"/>
        <v>2025</v>
      </c>
      <c r="F334" s="17">
        <v>740</v>
      </c>
    </row>
    <row r="335" spans="1:6" x14ac:dyDescent="0.3">
      <c r="A335" s="21">
        <v>45931</v>
      </c>
      <c r="B335" t="s">
        <v>123</v>
      </c>
      <c r="C335" t="s">
        <v>7227</v>
      </c>
      <c r="D335" t="str">
        <f>INDEX(State!$C$2:$C$24,MATCH(C335,State!$B$2:$B$24,0))</f>
        <v>East</v>
      </c>
      <c r="E335">
        <f t="shared" si="5"/>
        <v>2025</v>
      </c>
      <c r="F335" s="17">
        <v>870</v>
      </c>
    </row>
    <row r="336" spans="1:6" x14ac:dyDescent="0.3">
      <c r="A336" s="21">
        <v>45962</v>
      </c>
      <c r="B336" t="s">
        <v>123</v>
      </c>
      <c r="C336" t="s">
        <v>7227</v>
      </c>
      <c r="D336" t="str">
        <f>INDEX(State!$C$2:$C$24,MATCH(C336,State!$B$2:$B$24,0))</f>
        <v>East</v>
      </c>
      <c r="E336">
        <f t="shared" si="5"/>
        <v>2025</v>
      </c>
      <c r="F336" s="17">
        <v>1300</v>
      </c>
    </row>
    <row r="337" spans="1:6" x14ac:dyDescent="0.3">
      <c r="A337" s="21">
        <v>45992</v>
      </c>
      <c r="B337" t="s">
        <v>123</v>
      </c>
      <c r="C337" t="s">
        <v>7227</v>
      </c>
      <c r="D337" t="str">
        <f>INDEX(State!$C$2:$C$24,MATCH(C337,State!$B$2:$B$24,0))</f>
        <v>East</v>
      </c>
      <c r="E337">
        <f t="shared" si="5"/>
        <v>2025</v>
      </c>
      <c r="F337" s="17">
        <v>630</v>
      </c>
    </row>
    <row r="338" spans="1:6" x14ac:dyDescent="0.3">
      <c r="A338" s="21">
        <v>45292</v>
      </c>
      <c r="B338" t="s">
        <v>27</v>
      </c>
      <c r="C338" t="s">
        <v>7228</v>
      </c>
      <c r="D338" t="str">
        <f>INDEX(State!$C$2:$C$24,MATCH(C338,State!$B$2:$B$24,0))</f>
        <v>East</v>
      </c>
      <c r="E338">
        <f t="shared" si="5"/>
        <v>2024</v>
      </c>
      <c r="F338" s="17">
        <v>2680</v>
      </c>
    </row>
    <row r="339" spans="1:6" x14ac:dyDescent="0.3">
      <c r="A339" s="21">
        <v>45323</v>
      </c>
      <c r="B339" t="s">
        <v>27</v>
      </c>
      <c r="C339" t="s">
        <v>7228</v>
      </c>
      <c r="D339" t="str">
        <f>INDEX(State!$C$2:$C$24,MATCH(C339,State!$B$2:$B$24,0))</f>
        <v>East</v>
      </c>
      <c r="E339">
        <f t="shared" si="5"/>
        <v>2024</v>
      </c>
      <c r="F339" s="17">
        <v>1300</v>
      </c>
    </row>
    <row r="340" spans="1:6" x14ac:dyDescent="0.3">
      <c r="A340" s="21">
        <v>45352</v>
      </c>
      <c r="B340" t="s">
        <v>27</v>
      </c>
      <c r="C340" t="s">
        <v>7228</v>
      </c>
      <c r="D340" t="str">
        <f>INDEX(State!$C$2:$C$24,MATCH(C340,State!$B$2:$B$24,0))</f>
        <v>East</v>
      </c>
      <c r="E340">
        <f t="shared" si="5"/>
        <v>2024</v>
      </c>
      <c r="F340" s="17">
        <v>2010</v>
      </c>
    </row>
    <row r="341" spans="1:6" x14ac:dyDescent="0.3">
      <c r="A341" s="21">
        <v>45383</v>
      </c>
      <c r="B341" t="s">
        <v>27</v>
      </c>
      <c r="C341" t="s">
        <v>7228</v>
      </c>
      <c r="D341" t="str">
        <f>INDEX(State!$C$2:$C$24,MATCH(C341,State!$B$2:$B$24,0))</f>
        <v>East</v>
      </c>
      <c r="E341">
        <f t="shared" si="5"/>
        <v>2024</v>
      </c>
      <c r="F341" s="17">
        <v>1870</v>
      </c>
    </row>
    <row r="342" spans="1:6" x14ac:dyDescent="0.3">
      <c r="A342" s="21">
        <v>45413</v>
      </c>
      <c r="B342" t="s">
        <v>27</v>
      </c>
      <c r="C342" t="s">
        <v>7228</v>
      </c>
      <c r="D342" t="str">
        <f>INDEX(State!$C$2:$C$24,MATCH(C342,State!$B$2:$B$24,0))</f>
        <v>East</v>
      </c>
      <c r="E342">
        <f t="shared" si="5"/>
        <v>2024</v>
      </c>
      <c r="F342" s="17">
        <v>3400</v>
      </c>
    </row>
    <row r="343" spans="1:6" x14ac:dyDescent="0.3">
      <c r="A343" s="21">
        <v>45444</v>
      </c>
      <c r="B343" t="s">
        <v>27</v>
      </c>
      <c r="C343" t="s">
        <v>7228</v>
      </c>
      <c r="D343" t="str">
        <f>INDEX(State!$C$2:$C$24,MATCH(C343,State!$B$2:$B$24,0))</f>
        <v>East</v>
      </c>
      <c r="E343">
        <f t="shared" si="5"/>
        <v>2024</v>
      </c>
      <c r="F343" s="17">
        <v>1620</v>
      </c>
    </row>
    <row r="344" spans="1:6" x14ac:dyDescent="0.3">
      <c r="A344" s="21">
        <v>45474</v>
      </c>
      <c r="B344" t="s">
        <v>27</v>
      </c>
      <c r="C344" t="s">
        <v>7228</v>
      </c>
      <c r="D344" t="str">
        <f>INDEX(State!$C$2:$C$24,MATCH(C344,State!$B$2:$B$24,0))</f>
        <v>East</v>
      </c>
      <c r="E344">
        <f t="shared" si="5"/>
        <v>2024</v>
      </c>
      <c r="F344" s="17">
        <v>1620</v>
      </c>
    </row>
    <row r="345" spans="1:6" x14ac:dyDescent="0.3">
      <c r="A345" s="21">
        <v>45505</v>
      </c>
      <c r="B345" t="s">
        <v>27</v>
      </c>
      <c r="C345" t="s">
        <v>7228</v>
      </c>
      <c r="D345" t="str">
        <f>INDEX(State!$C$2:$C$24,MATCH(C345,State!$B$2:$B$24,0))</f>
        <v>East</v>
      </c>
      <c r="E345">
        <f t="shared" si="5"/>
        <v>2024</v>
      </c>
      <c r="F345" s="17">
        <v>1910</v>
      </c>
    </row>
    <row r="346" spans="1:6" x14ac:dyDescent="0.3">
      <c r="A346" s="21">
        <v>45536</v>
      </c>
      <c r="B346" t="s">
        <v>27</v>
      </c>
      <c r="C346" t="s">
        <v>7228</v>
      </c>
      <c r="D346" t="str">
        <f>INDEX(State!$C$2:$C$24,MATCH(C346,State!$B$2:$B$24,0))</f>
        <v>East</v>
      </c>
      <c r="E346">
        <f t="shared" si="5"/>
        <v>2024</v>
      </c>
      <c r="F346" s="17">
        <v>1840</v>
      </c>
    </row>
    <row r="347" spans="1:6" x14ac:dyDescent="0.3">
      <c r="A347" s="21">
        <v>45566</v>
      </c>
      <c r="B347" t="s">
        <v>27</v>
      </c>
      <c r="C347" t="s">
        <v>7228</v>
      </c>
      <c r="D347" t="str">
        <f>INDEX(State!$C$2:$C$24,MATCH(C347,State!$B$2:$B$24,0))</f>
        <v>East</v>
      </c>
      <c r="E347">
        <f t="shared" si="5"/>
        <v>2024</v>
      </c>
      <c r="F347" s="17">
        <v>3010</v>
      </c>
    </row>
    <row r="348" spans="1:6" x14ac:dyDescent="0.3">
      <c r="A348" s="21">
        <v>45597</v>
      </c>
      <c r="B348" t="s">
        <v>27</v>
      </c>
      <c r="C348" t="s">
        <v>7228</v>
      </c>
      <c r="D348" t="str">
        <f>INDEX(State!$C$2:$C$24,MATCH(C348,State!$B$2:$B$24,0))</f>
        <v>East</v>
      </c>
      <c r="E348">
        <f t="shared" si="5"/>
        <v>2024</v>
      </c>
      <c r="F348" s="17">
        <v>3740</v>
      </c>
    </row>
    <row r="349" spans="1:6" x14ac:dyDescent="0.3">
      <c r="A349" s="21">
        <v>45627</v>
      </c>
      <c r="B349" t="s">
        <v>27</v>
      </c>
      <c r="C349" t="s">
        <v>7228</v>
      </c>
      <c r="D349" t="str">
        <f>INDEX(State!$C$2:$C$24,MATCH(C349,State!$B$2:$B$24,0))</f>
        <v>East</v>
      </c>
      <c r="E349">
        <f t="shared" si="5"/>
        <v>2024</v>
      </c>
      <c r="F349" s="17">
        <v>3270</v>
      </c>
    </row>
    <row r="350" spans="1:6" x14ac:dyDescent="0.3">
      <c r="A350" s="21">
        <v>45658</v>
      </c>
      <c r="B350" t="s">
        <v>27</v>
      </c>
      <c r="C350" t="s">
        <v>7228</v>
      </c>
      <c r="D350" t="str">
        <f>INDEX(State!$C$2:$C$24,MATCH(C350,State!$B$2:$B$24,0))</f>
        <v>East</v>
      </c>
      <c r="E350">
        <f t="shared" si="5"/>
        <v>2025</v>
      </c>
      <c r="F350" s="17">
        <v>4790</v>
      </c>
    </row>
    <row r="351" spans="1:6" x14ac:dyDescent="0.3">
      <c r="A351" s="21">
        <v>45689</v>
      </c>
      <c r="B351" t="s">
        <v>27</v>
      </c>
      <c r="C351" t="s">
        <v>7228</v>
      </c>
      <c r="D351" t="str">
        <f>INDEX(State!$C$2:$C$24,MATCH(C351,State!$B$2:$B$24,0))</f>
        <v>East</v>
      </c>
      <c r="E351">
        <f t="shared" si="5"/>
        <v>2025</v>
      </c>
      <c r="F351" s="17">
        <v>1980</v>
      </c>
    </row>
    <row r="352" spans="1:6" x14ac:dyDescent="0.3">
      <c r="A352" s="21">
        <v>45717</v>
      </c>
      <c r="B352" t="s">
        <v>27</v>
      </c>
      <c r="C352" t="s">
        <v>7228</v>
      </c>
      <c r="D352" t="str">
        <f>INDEX(State!$C$2:$C$24,MATCH(C352,State!$B$2:$B$24,0))</f>
        <v>East</v>
      </c>
      <c r="E352">
        <f t="shared" si="5"/>
        <v>2025</v>
      </c>
      <c r="F352" s="17">
        <v>5400</v>
      </c>
    </row>
    <row r="353" spans="1:6" x14ac:dyDescent="0.3">
      <c r="A353" s="21">
        <v>45748</v>
      </c>
      <c r="B353" t="s">
        <v>27</v>
      </c>
      <c r="C353" t="s">
        <v>7228</v>
      </c>
      <c r="D353" t="str">
        <f>INDEX(State!$C$2:$C$24,MATCH(C353,State!$B$2:$B$24,0))</f>
        <v>East</v>
      </c>
      <c r="E353">
        <f t="shared" si="5"/>
        <v>2025</v>
      </c>
      <c r="F353" s="17">
        <v>4240</v>
      </c>
    </row>
    <row r="354" spans="1:6" x14ac:dyDescent="0.3">
      <c r="A354" s="21">
        <v>45778</v>
      </c>
      <c r="B354" t="s">
        <v>27</v>
      </c>
      <c r="C354" t="s">
        <v>7228</v>
      </c>
      <c r="D354" t="str">
        <f>INDEX(State!$C$2:$C$24,MATCH(C354,State!$B$2:$B$24,0))</f>
        <v>East</v>
      </c>
      <c r="E354">
        <f t="shared" si="5"/>
        <v>2025</v>
      </c>
      <c r="F354" s="17">
        <v>2430</v>
      </c>
    </row>
    <row r="355" spans="1:6" x14ac:dyDescent="0.3">
      <c r="A355" s="21">
        <v>45809</v>
      </c>
      <c r="B355" t="s">
        <v>27</v>
      </c>
      <c r="C355" t="s">
        <v>7228</v>
      </c>
      <c r="D355" t="str">
        <f>INDEX(State!$C$2:$C$24,MATCH(C355,State!$B$2:$B$24,0))</f>
        <v>East</v>
      </c>
      <c r="E355">
        <f t="shared" si="5"/>
        <v>2025</v>
      </c>
      <c r="F355" s="17">
        <v>1430</v>
      </c>
    </row>
    <row r="356" spans="1:6" x14ac:dyDescent="0.3">
      <c r="A356" s="21">
        <v>45839</v>
      </c>
      <c r="B356" t="s">
        <v>27</v>
      </c>
      <c r="C356" t="s">
        <v>7228</v>
      </c>
      <c r="D356" t="str">
        <f>INDEX(State!$C$2:$C$24,MATCH(C356,State!$B$2:$B$24,0))</f>
        <v>East</v>
      </c>
      <c r="E356">
        <f t="shared" si="5"/>
        <v>2025</v>
      </c>
      <c r="F356" s="17">
        <v>2940</v>
      </c>
    </row>
    <row r="357" spans="1:6" x14ac:dyDescent="0.3">
      <c r="A357" s="21">
        <v>45870</v>
      </c>
      <c r="B357" t="s">
        <v>27</v>
      </c>
      <c r="C357" t="s">
        <v>7228</v>
      </c>
      <c r="D357" t="str">
        <f>INDEX(State!$C$2:$C$24,MATCH(C357,State!$B$2:$B$24,0))</f>
        <v>East</v>
      </c>
      <c r="E357">
        <f t="shared" si="5"/>
        <v>2025</v>
      </c>
      <c r="F357" s="17">
        <v>2920</v>
      </c>
    </row>
    <row r="358" spans="1:6" x14ac:dyDescent="0.3">
      <c r="A358" s="21">
        <v>45901</v>
      </c>
      <c r="B358" t="s">
        <v>27</v>
      </c>
      <c r="C358" t="s">
        <v>7228</v>
      </c>
      <c r="D358" t="str">
        <f>INDEX(State!$C$2:$C$24,MATCH(C358,State!$B$2:$B$24,0))</f>
        <v>East</v>
      </c>
      <c r="E358">
        <f t="shared" si="5"/>
        <v>2025</v>
      </c>
      <c r="F358" s="17">
        <v>1650</v>
      </c>
    </row>
    <row r="359" spans="1:6" x14ac:dyDescent="0.3">
      <c r="A359" s="21">
        <v>45931</v>
      </c>
      <c r="B359" t="s">
        <v>27</v>
      </c>
      <c r="C359" t="s">
        <v>7228</v>
      </c>
      <c r="D359" t="str">
        <f>INDEX(State!$C$2:$C$24,MATCH(C359,State!$B$2:$B$24,0))</f>
        <v>East</v>
      </c>
      <c r="E359">
        <f t="shared" si="5"/>
        <v>2025</v>
      </c>
      <c r="F359" s="17">
        <v>4530</v>
      </c>
    </row>
    <row r="360" spans="1:6" x14ac:dyDescent="0.3">
      <c r="A360" s="21">
        <v>45962</v>
      </c>
      <c r="B360" t="s">
        <v>27</v>
      </c>
      <c r="C360" t="s">
        <v>7228</v>
      </c>
      <c r="D360" t="str">
        <f>INDEX(State!$C$2:$C$24,MATCH(C360,State!$B$2:$B$24,0))</f>
        <v>East</v>
      </c>
      <c r="E360">
        <f t="shared" si="5"/>
        <v>2025</v>
      </c>
      <c r="F360" s="17">
        <v>3930</v>
      </c>
    </row>
    <row r="361" spans="1:6" x14ac:dyDescent="0.3">
      <c r="A361" s="21">
        <v>45992</v>
      </c>
      <c r="B361" t="s">
        <v>27</v>
      </c>
      <c r="C361" t="s">
        <v>7228</v>
      </c>
      <c r="D361" t="str">
        <f>INDEX(State!$C$2:$C$24,MATCH(C361,State!$B$2:$B$24,0))</f>
        <v>East</v>
      </c>
      <c r="E361">
        <f t="shared" si="5"/>
        <v>2025</v>
      </c>
      <c r="F361" s="17">
        <v>2640</v>
      </c>
    </row>
    <row r="362" spans="1:6" x14ac:dyDescent="0.3">
      <c r="A362" s="21">
        <v>45292</v>
      </c>
      <c r="B362" t="s">
        <v>71</v>
      </c>
      <c r="C362" t="s">
        <v>7229</v>
      </c>
      <c r="D362" t="str">
        <f>INDEX(State!$C$2:$C$24,MATCH(C362,State!$B$2:$B$24,0))</f>
        <v>West</v>
      </c>
      <c r="E362">
        <f t="shared" si="5"/>
        <v>2024</v>
      </c>
      <c r="F362" s="17">
        <v>5120</v>
      </c>
    </row>
    <row r="363" spans="1:6" x14ac:dyDescent="0.3">
      <c r="A363" s="21">
        <v>45323</v>
      </c>
      <c r="B363" t="s">
        <v>71</v>
      </c>
      <c r="C363" t="s">
        <v>7229</v>
      </c>
      <c r="D363" t="str">
        <f>INDEX(State!$C$2:$C$24,MATCH(C363,State!$B$2:$B$24,0))</f>
        <v>West</v>
      </c>
      <c r="E363">
        <f t="shared" si="5"/>
        <v>2024</v>
      </c>
      <c r="F363" s="17">
        <v>4610</v>
      </c>
    </row>
    <row r="364" spans="1:6" x14ac:dyDescent="0.3">
      <c r="A364" s="21">
        <v>45352</v>
      </c>
      <c r="B364" t="s">
        <v>71</v>
      </c>
      <c r="C364" t="s">
        <v>7229</v>
      </c>
      <c r="D364" t="str">
        <f>INDEX(State!$C$2:$C$24,MATCH(C364,State!$B$2:$B$24,0))</f>
        <v>West</v>
      </c>
      <c r="E364">
        <f t="shared" si="5"/>
        <v>2024</v>
      </c>
      <c r="F364" s="17">
        <v>3210</v>
      </c>
    </row>
    <row r="365" spans="1:6" x14ac:dyDescent="0.3">
      <c r="A365" s="21">
        <v>45383</v>
      </c>
      <c r="B365" t="s">
        <v>71</v>
      </c>
      <c r="C365" t="s">
        <v>7229</v>
      </c>
      <c r="D365" t="str">
        <f>INDEX(State!$C$2:$C$24,MATCH(C365,State!$B$2:$B$24,0))</f>
        <v>West</v>
      </c>
      <c r="E365">
        <f t="shared" si="5"/>
        <v>2024</v>
      </c>
      <c r="F365" s="17">
        <v>3710</v>
      </c>
    </row>
    <row r="366" spans="1:6" x14ac:dyDescent="0.3">
      <c r="A366" s="21">
        <v>45413</v>
      </c>
      <c r="B366" t="s">
        <v>71</v>
      </c>
      <c r="C366" t="s">
        <v>7229</v>
      </c>
      <c r="D366" t="str">
        <f>INDEX(State!$C$2:$C$24,MATCH(C366,State!$B$2:$B$24,0))</f>
        <v>West</v>
      </c>
      <c r="E366">
        <f t="shared" si="5"/>
        <v>2024</v>
      </c>
      <c r="F366" s="17">
        <v>3070</v>
      </c>
    </row>
    <row r="367" spans="1:6" x14ac:dyDescent="0.3">
      <c r="A367" s="21">
        <v>45444</v>
      </c>
      <c r="B367" t="s">
        <v>71</v>
      </c>
      <c r="C367" t="s">
        <v>7229</v>
      </c>
      <c r="D367" t="str">
        <f>INDEX(State!$C$2:$C$24,MATCH(C367,State!$B$2:$B$24,0))</f>
        <v>West</v>
      </c>
      <c r="E367">
        <f t="shared" si="5"/>
        <v>2024</v>
      </c>
      <c r="F367" s="17">
        <v>3120</v>
      </c>
    </row>
    <row r="368" spans="1:6" x14ac:dyDescent="0.3">
      <c r="A368" s="21">
        <v>45474</v>
      </c>
      <c r="B368" t="s">
        <v>71</v>
      </c>
      <c r="C368" t="s">
        <v>7229</v>
      </c>
      <c r="D368" t="str">
        <f>INDEX(State!$C$2:$C$24,MATCH(C368,State!$B$2:$B$24,0))</f>
        <v>West</v>
      </c>
      <c r="E368">
        <f t="shared" si="5"/>
        <v>2024</v>
      </c>
      <c r="F368" s="17">
        <v>4390</v>
      </c>
    </row>
    <row r="369" spans="1:6" x14ac:dyDescent="0.3">
      <c r="A369" s="21">
        <v>45505</v>
      </c>
      <c r="B369" t="s">
        <v>71</v>
      </c>
      <c r="C369" t="s">
        <v>7229</v>
      </c>
      <c r="D369" t="str">
        <f>INDEX(State!$C$2:$C$24,MATCH(C369,State!$B$2:$B$24,0))</f>
        <v>West</v>
      </c>
      <c r="E369">
        <f t="shared" si="5"/>
        <v>2024</v>
      </c>
      <c r="F369" s="17">
        <v>4740</v>
      </c>
    </row>
    <row r="370" spans="1:6" x14ac:dyDescent="0.3">
      <c r="A370" s="21">
        <v>45536</v>
      </c>
      <c r="B370" t="s">
        <v>71</v>
      </c>
      <c r="C370" t="s">
        <v>7229</v>
      </c>
      <c r="D370" t="str">
        <f>INDEX(State!$C$2:$C$24,MATCH(C370,State!$B$2:$B$24,0))</f>
        <v>West</v>
      </c>
      <c r="E370">
        <f t="shared" si="5"/>
        <v>2024</v>
      </c>
      <c r="F370" s="17">
        <v>3840</v>
      </c>
    </row>
    <row r="371" spans="1:6" x14ac:dyDescent="0.3">
      <c r="A371" s="21">
        <v>45566</v>
      </c>
      <c r="B371" t="s">
        <v>71</v>
      </c>
      <c r="C371" t="s">
        <v>7229</v>
      </c>
      <c r="D371" t="str">
        <f>INDEX(State!$C$2:$C$24,MATCH(C371,State!$B$2:$B$24,0))</f>
        <v>West</v>
      </c>
      <c r="E371">
        <f t="shared" si="5"/>
        <v>2024</v>
      </c>
      <c r="F371" s="17">
        <v>3410</v>
      </c>
    </row>
    <row r="372" spans="1:6" x14ac:dyDescent="0.3">
      <c r="A372" s="21">
        <v>45597</v>
      </c>
      <c r="B372" t="s">
        <v>71</v>
      </c>
      <c r="C372" t="s">
        <v>7229</v>
      </c>
      <c r="D372" t="str">
        <f>INDEX(State!$C$2:$C$24,MATCH(C372,State!$B$2:$B$24,0))</f>
        <v>West</v>
      </c>
      <c r="E372">
        <f t="shared" si="5"/>
        <v>2024</v>
      </c>
      <c r="F372" s="17">
        <v>6990</v>
      </c>
    </row>
    <row r="373" spans="1:6" x14ac:dyDescent="0.3">
      <c r="A373" s="21">
        <v>45627</v>
      </c>
      <c r="B373" t="s">
        <v>71</v>
      </c>
      <c r="C373" t="s">
        <v>7229</v>
      </c>
      <c r="D373" t="str">
        <f>INDEX(State!$C$2:$C$24,MATCH(C373,State!$B$2:$B$24,0))</f>
        <v>West</v>
      </c>
      <c r="E373">
        <f t="shared" si="5"/>
        <v>2024</v>
      </c>
      <c r="F373" s="17">
        <v>3010</v>
      </c>
    </row>
    <row r="374" spans="1:6" x14ac:dyDescent="0.3">
      <c r="A374" s="21">
        <v>45658</v>
      </c>
      <c r="B374" t="s">
        <v>71</v>
      </c>
      <c r="C374" t="s">
        <v>7229</v>
      </c>
      <c r="D374" t="str">
        <f>INDEX(State!$C$2:$C$24,MATCH(C374,State!$B$2:$B$24,0))</f>
        <v>West</v>
      </c>
      <c r="E374">
        <f t="shared" si="5"/>
        <v>2025</v>
      </c>
      <c r="F374" s="17">
        <v>5560</v>
      </c>
    </row>
    <row r="375" spans="1:6" x14ac:dyDescent="0.3">
      <c r="A375" s="21">
        <v>45689</v>
      </c>
      <c r="B375" t="s">
        <v>71</v>
      </c>
      <c r="C375" t="s">
        <v>7229</v>
      </c>
      <c r="D375" t="str">
        <f>INDEX(State!$C$2:$C$24,MATCH(C375,State!$B$2:$B$24,0))</f>
        <v>West</v>
      </c>
      <c r="E375">
        <f t="shared" si="5"/>
        <v>2025</v>
      </c>
      <c r="F375" s="17">
        <v>7150</v>
      </c>
    </row>
    <row r="376" spans="1:6" x14ac:dyDescent="0.3">
      <c r="A376" s="21">
        <v>45717</v>
      </c>
      <c r="B376" t="s">
        <v>71</v>
      </c>
      <c r="C376" t="s">
        <v>7229</v>
      </c>
      <c r="D376" t="str">
        <f>INDEX(State!$C$2:$C$24,MATCH(C376,State!$B$2:$B$24,0))</f>
        <v>West</v>
      </c>
      <c r="E376">
        <f t="shared" si="5"/>
        <v>2025</v>
      </c>
      <c r="F376" s="17">
        <v>4580</v>
      </c>
    </row>
    <row r="377" spans="1:6" x14ac:dyDescent="0.3">
      <c r="A377" s="21">
        <v>45748</v>
      </c>
      <c r="B377" t="s">
        <v>71</v>
      </c>
      <c r="C377" t="s">
        <v>7229</v>
      </c>
      <c r="D377" t="str">
        <f>INDEX(State!$C$2:$C$24,MATCH(C377,State!$B$2:$B$24,0))</f>
        <v>West</v>
      </c>
      <c r="E377">
        <f t="shared" si="5"/>
        <v>2025</v>
      </c>
      <c r="F377" s="17">
        <v>3120</v>
      </c>
    </row>
    <row r="378" spans="1:6" x14ac:dyDescent="0.3">
      <c r="A378" s="21">
        <v>45778</v>
      </c>
      <c r="B378" t="s">
        <v>71</v>
      </c>
      <c r="C378" t="s">
        <v>7229</v>
      </c>
      <c r="D378" t="str">
        <f>INDEX(State!$C$2:$C$24,MATCH(C378,State!$B$2:$B$24,0))</f>
        <v>West</v>
      </c>
      <c r="E378">
        <f t="shared" si="5"/>
        <v>2025</v>
      </c>
      <c r="F378" s="17">
        <v>3060</v>
      </c>
    </row>
    <row r="379" spans="1:6" x14ac:dyDescent="0.3">
      <c r="A379" s="21">
        <v>45809</v>
      </c>
      <c r="B379" t="s">
        <v>71</v>
      </c>
      <c r="C379" t="s">
        <v>7229</v>
      </c>
      <c r="D379" t="str">
        <f>INDEX(State!$C$2:$C$24,MATCH(C379,State!$B$2:$B$24,0))</f>
        <v>West</v>
      </c>
      <c r="E379">
        <f t="shared" si="5"/>
        <v>2025</v>
      </c>
      <c r="F379" s="17">
        <v>6740</v>
      </c>
    </row>
    <row r="380" spans="1:6" x14ac:dyDescent="0.3">
      <c r="A380" s="21">
        <v>45839</v>
      </c>
      <c r="B380" t="s">
        <v>71</v>
      </c>
      <c r="C380" t="s">
        <v>7229</v>
      </c>
      <c r="D380" t="str">
        <f>INDEX(State!$C$2:$C$24,MATCH(C380,State!$B$2:$B$24,0))</f>
        <v>West</v>
      </c>
      <c r="E380">
        <f t="shared" si="5"/>
        <v>2025</v>
      </c>
      <c r="F380" s="17">
        <v>5340</v>
      </c>
    </row>
    <row r="381" spans="1:6" x14ac:dyDescent="0.3">
      <c r="A381" s="21">
        <v>45870</v>
      </c>
      <c r="B381" t="s">
        <v>71</v>
      </c>
      <c r="C381" t="s">
        <v>7229</v>
      </c>
      <c r="D381" t="str">
        <f>INDEX(State!$C$2:$C$24,MATCH(C381,State!$B$2:$B$24,0))</f>
        <v>West</v>
      </c>
      <c r="E381">
        <f t="shared" si="5"/>
        <v>2025</v>
      </c>
      <c r="F381" s="17">
        <v>5950</v>
      </c>
    </row>
    <row r="382" spans="1:6" x14ac:dyDescent="0.3">
      <c r="A382" s="21">
        <v>45901</v>
      </c>
      <c r="B382" t="s">
        <v>71</v>
      </c>
      <c r="C382" t="s">
        <v>7229</v>
      </c>
      <c r="D382" t="str">
        <f>INDEX(State!$C$2:$C$24,MATCH(C382,State!$B$2:$B$24,0))</f>
        <v>West</v>
      </c>
      <c r="E382">
        <f t="shared" si="5"/>
        <v>2025</v>
      </c>
      <c r="F382" s="17">
        <v>7290</v>
      </c>
    </row>
    <row r="383" spans="1:6" x14ac:dyDescent="0.3">
      <c r="A383" s="21">
        <v>45931</v>
      </c>
      <c r="B383" t="s">
        <v>71</v>
      </c>
      <c r="C383" t="s">
        <v>7229</v>
      </c>
      <c r="D383" t="str">
        <f>INDEX(State!$C$2:$C$24,MATCH(C383,State!$B$2:$B$24,0))</f>
        <v>West</v>
      </c>
      <c r="E383">
        <f t="shared" si="5"/>
        <v>2025</v>
      </c>
      <c r="F383" s="17">
        <v>7820</v>
      </c>
    </row>
    <row r="384" spans="1:6" x14ac:dyDescent="0.3">
      <c r="A384" s="21">
        <v>45962</v>
      </c>
      <c r="B384" t="s">
        <v>71</v>
      </c>
      <c r="C384" t="s">
        <v>7229</v>
      </c>
      <c r="D384" t="str">
        <f>INDEX(State!$C$2:$C$24,MATCH(C384,State!$B$2:$B$24,0))</f>
        <v>West</v>
      </c>
      <c r="E384">
        <f t="shared" si="5"/>
        <v>2025</v>
      </c>
      <c r="F384" s="17">
        <v>6800</v>
      </c>
    </row>
    <row r="385" spans="1:6" x14ac:dyDescent="0.3">
      <c r="A385" s="21">
        <v>45992</v>
      </c>
      <c r="B385" t="s">
        <v>71</v>
      </c>
      <c r="C385" t="s">
        <v>7229</v>
      </c>
      <c r="D385" t="str">
        <f>INDEX(State!$C$2:$C$24,MATCH(C385,State!$B$2:$B$24,0))</f>
        <v>West</v>
      </c>
      <c r="E385">
        <f t="shared" si="5"/>
        <v>2025</v>
      </c>
      <c r="F385" s="17">
        <v>4510</v>
      </c>
    </row>
    <row r="386" spans="1:6" x14ac:dyDescent="0.3">
      <c r="A386" s="21">
        <v>45292</v>
      </c>
      <c r="B386" t="s">
        <v>95</v>
      </c>
      <c r="C386" t="s">
        <v>7230</v>
      </c>
      <c r="D386" t="str">
        <f>INDEX(State!$C$2:$C$24,MATCH(C386,State!$B$2:$B$24,0))</f>
        <v>South</v>
      </c>
      <c r="E386">
        <f t="shared" ref="E386:E449" si="6">YEAR(A386)</f>
        <v>2024</v>
      </c>
      <c r="F386" s="17">
        <v>940</v>
      </c>
    </row>
    <row r="387" spans="1:6" x14ac:dyDescent="0.3">
      <c r="A387" s="21">
        <v>45323</v>
      </c>
      <c r="B387" t="s">
        <v>95</v>
      </c>
      <c r="C387" t="s">
        <v>7230</v>
      </c>
      <c r="D387" t="str">
        <f>INDEX(State!$C$2:$C$24,MATCH(C387,State!$B$2:$B$24,0))</f>
        <v>South</v>
      </c>
      <c r="E387">
        <f t="shared" si="6"/>
        <v>2024</v>
      </c>
      <c r="F387" s="17">
        <v>1180</v>
      </c>
    </row>
    <row r="388" spans="1:6" x14ac:dyDescent="0.3">
      <c r="A388" s="21">
        <v>45352</v>
      </c>
      <c r="B388" t="s">
        <v>95</v>
      </c>
      <c r="C388" t="s">
        <v>7230</v>
      </c>
      <c r="D388" t="str">
        <f>INDEX(State!$C$2:$C$24,MATCH(C388,State!$B$2:$B$24,0))</f>
        <v>South</v>
      </c>
      <c r="E388">
        <f t="shared" si="6"/>
        <v>2024</v>
      </c>
      <c r="F388" s="17">
        <v>1880</v>
      </c>
    </row>
    <row r="389" spans="1:6" x14ac:dyDescent="0.3">
      <c r="A389" s="21">
        <v>45383</v>
      </c>
      <c r="B389" t="s">
        <v>95</v>
      </c>
      <c r="C389" t="s">
        <v>7230</v>
      </c>
      <c r="D389" t="str">
        <f>INDEX(State!$C$2:$C$24,MATCH(C389,State!$B$2:$B$24,0))</f>
        <v>South</v>
      </c>
      <c r="E389">
        <f t="shared" si="6"/>
        <v>2024</v>
      </c>
      <c r="F389" s="17">
        <v>1720</v>
      </c>
    </row>
    <row r="390" spans="1:6" x14ac:dyDescent="0.3">
      <c r="A390" s="21">
        <v>45413</v>
      </c>
      <c r="B390" t="s">
        <v>95</v>
      </c>
      <c r="C390" t="s">
        <v>7230</v>
      </c>
      <c r="D390" t="str">
        <f>INDEX(State!$C$2:$C$24,MATCH(C390,State!$B$2:$B$24,0))</f>
        <v>South</v>
      </c>
      <c r="E390">
        <f t="shared" si="6"/>
        <v>2024</v>
      </c>
      <c r="F390" s="17">
        <v>2140</v>
      </c>
    </row>
    <row r="391" spans="1:6" x14ac:dyDescent="0.3">
      <c r="A391" s="21">
        <v>45444</v>
      </c>
      <c r="B391" t="s">
        <v>95</v>
      </c>
      <c r="C391" t="s">
        <v>7230</v>
      </c>
      <c r="D391" t="str">
        <f>INDEX(State!$C$2:$C$24,MATCH(C391,State!$B$2:$B$24,0))</f>
        <v>South</v>
      </c>
      <c r="E391">
        <f t="shared" si="6"/>
        <v>2024</v>
      </c>
      <c r="F391" s="17">
        <v>1950</v>
      </c>
    </row>
    <row r="392" spans="1:6" x14ac:dyDescent="0.3">
      <c r="A392" s="21">
        <v>45474</v>
      </c>
      <c r="B392" t="s">
        <v>95</v>
      </c>
      <c r="C392" t="s">
        <v>7230</v>
      </c>
      <c r="D392" t="str">
        <f>INDEX(State!$C$2:$C$24,MATCH(C392,State!$B$2:$B$24,0))</f>
        <v>South</v>
      </c>
      <c r="E392">
        <f t="shared" si="6"/>
        <v>2024</v>
      </c>
      <c r="F392" s="17">
        <v>2340</v>
      </c>
    </row>
    <row r="393" spans="1:6" x14ac:dyDescent="0.3">
      <c r="A393" s="21">
        <v>45505</v>
      </c>
      <c r="B393" t="s">
        <v>95</v>
      </c>
      <c r="C393" t="s">
        <v>7230</v>
      </c>
      <c r="D393" t="str">
        <f>INDEX(State!$C$2:$C$24,MATCH(C393,State!$B$2:$B$24,0))</f>
        <v>South</v>
      </c>
      <c r="E393">
        <f t="shared" si="6"/>
        <v>2024</v>
      </c>
      <c r="F393" s="17">
        <v>2650</v>
      </c>
    </row>
    <row r="394" spans="1:6" x14ac:dyDescent="0.3">
      <c r="A394" s="21">
        <v>45536</v>
      </c>
      <c r="B394" t="s">
        <v>95</v>
      </c>
      <c r="C394" t="s">
        <v>7230</v>
      </c>
      <c r="D394" t="str">
        <f>INDEX(State!$C$2:$C$24,MATCH(C394,State!$B$2:$B$24,0))</f>
        <v>South</v>
      </c>
      <c r="E394">
        <f t="shared" si="6"/>
        <v>2024</v>
      </c>
      <c r="F394" s="17">
        <v>1830</v>
      </c>
    </row>
    <row r="395" spans="1:6" x14ac:dyDescent="0.3">
      <c r="A395" s="21">
        <v>45566</v>
      </c>
      <c r="B395" t="s">
        <v>95</v>
      </c>
      <c r="C395" t="s">
        <v>7230</v>
      </c>
      <c r="D395" t="str">
        <f>INDEX(State!$C$2:$C$24,MATCH(C395,State!$B$2:$B$24,0))</f>
        <v>South</v>
      </c>
      <c r="E395">
        <f t="shared" si="6"/>
        <v>2024</v>
      </c>
      <c r="F395" s="17">
        <v>3040</v>
      </c>
    </row>
    <row r="396" spans="1:6" x14ac:dyDescent="0.3">
      <c r="A396" s="21">
        <v>45597</v>
      </c>
      <c r="B396" t="s">
        <v>95</v>
      </c>
      <c r="C396" t="s">
        <v>7230</v>
      </c>
      <c r="D396" t="str">
        <f>INDEX(State!$C$2:$C$24,MATCH(C396,State!$B$2:$B$24,0))</f>
        <v>South</v>
      </c>
      <c r="E396">
        <f t="shared" si="6"/>
        <v>2024</v>
      </c>
      <c r="F396" s="17">
        <v>1970</v>
      </c>
    </row>
    <row r="397" spans="1:6" x14ac:dyDescent="0.3">
      <c r="A397" s="21">
        <v>45627</v>
      </c>
      <c r="B397" t="s">
        <v>95</v>
      </c>
      <c r="C397" t="s">
        <v>7230</v>
      </c>
      <c r="D397" t="str">
        <f>INDEX(State!$C$2:$C$24,MATCH(C397,State!$B$2:$B$24,0))</f>
        <v>South</v>
      </c>
      <c r="E397">
        <f t="shared" si="6"/>
        <v>2024</v>
      </c>
      <c r="F397" s="17">
        <v>3210</v>
      </c>
    </row>
    <row r="398" spans="1:6" x14ac:dyDescent="0.3">
      <c r="A398" s="21">
        <v>45658</v>
      </c>
      <c r="B398" t="s">
        <v>95</v>
      </c>
      <c r="C398" t="s">
        <v>7230</v>
      </c>
      <c r="D398" t="str">
        <f>INDEX(State!$C$2:$C$24,MATCH(C398,State!$B$2:$B$24,0))</f>
        <v>South</v>
      </c>
      <c r="E398">
        <f t="shared" si="6"/>
        <v>2025</v>
      </c>
      <c r="F398" s="17">
        <v>2820</v>
      </c>
    </row>
    <row r="399" spans="1:6" x14ac:dyDescent="0.3">
      <c r="A399" s="21">
        <v>45689</v>
      </c>
      <c r="B399" t="s">
        <v>95</v>
      </c>
      <c r="C399" t="s">
        <v>7230</v>
      </c>
      <c r="D399" t="str">
        <f>INDEX(State!$C$2:$C$24,MATCH(C399,State!$B$2:$B$24,0))</f>
        <v>South</v>
      </c>
      <c r="E399">
        <f t="shared" si="6"/>
        <v>2025</v>
      </c>
      <c r="F399" s="17">
        <v>2590</v>
      </c>
    </row>
    <row r="400" spans="1:6" x14ac:dyDescent="0.3">
      <c r="A400" s="21">
        <v>45717</v>
      </c>
      <c r="B400" t="s">
        <v>95</v>
      </c>
      <c r="C400" t="s">
        <v>7230</v>
      </c>
      <c r="D400" t="str">
        <f>INDEX(State!$C$2:$C$24,MATCH(C400,State!$B$2:$B$24,0))</f>
        <v>South</v>
      </c>
      <c r="E400">
        <f t="shared" si="6"/>
        <v>2025</v>
      </c>
      <c r="F400" s="17">
        <v>3690</v>
      </c>
    </row>
    <row r="401" spans="1:6" x14ac:dyDescent="0.3">
      <c r="A401" s="21">
        <v>45748</v>
      </c>
      <c r="B401" t="s">
        <v>95</v>
      </c>
      <c r="C401" t="s">
        <v>7230</v>
      </c>
      <c r="D401" t="str">
        <f>INDEX(State!$C$2:$C$24,MATCH(C401,State!$B$2:$B$24,0))</f>
        <v>South</v>
      </c>
      <c r="E401">
        <f t="shared" si="6"/>
        <v>2025</v>
      </c>
      <c r="F401" s="17">
        <v>3060</v>
      </c>
    </row>
    <row r="402" spans="1:6" x14ac:dyDescent="0.3">
      <c r="A402" s="21">
        <v>45778</v>
      </c>
      <c r="B402" t="s">
        <v>95</v>
      </c>
      <c r="C402" t="s">
        <v>7230</v>
      </c>
      <c r="D402" t="str">
        <f>INDEX(State!$C$2:$C$24,MATCH(C402,State!$B$2:$B$24,0))</f>
        <v>South</v>
      </c>
      <c r="E402">
        <f t="shared" si="6"/>
        <v>2025</v>
      </c>
      <c r="F402" s="17">
        <v>2350</v>
      </c>
    </row>
    <row r="403" spans="1:6" x14ac:dyDescent="0.3">
      <c r="A403" s="21">
        <v>45809</v>
      </c>
      <c r="B403" t="s">
        <v>95</v>
      </c>
      <c r="C403" t="s">
        <v>7230</v>
      </c>
      <c r="D403" t="str">
        <f>INDEX(State!$C$2:$C$24,MATCH(C403,State!$B$2:$B$24,0))</f>
        <v>South</v>
      </c>
      <c r="E403">
        <f t="shared" si="6"/>
        <v>2025</v>
      </c>
      <c r="F403" s="17">
        <v>3150</v>
      </c>
    </row>
    <row r="404" spans="1:6" x14ac:dyDescent="0.3">
      <c r="A404" s="21">
        <v>45839</v>
      </c>
      <c r="B404" t="s">
        <v>95</v>
      </c>
      <c r="C404" t="s">
        <v>7230</v>
      </c>
      <c r="D404" t="str">
        <f>INDEX(State!$C$2:$C$24,MATCH(C404,State!$B$2:$B$24,0))</f>
        <v>South</v>
      </c>
      <c r="E404">
        <f t="shared" si="6"/>
        <v>2025</v>
      </c>
      <c r="F404" s="17">
        <v>1870</v>
      </c>
    </row>
    <row r="405" spans="1:6" x14ac:dyDescent="0.3">
      <c r="A405" s="21">
        <v>45870</v>
      </c>
      <c r="B405" t="s">
        <v>95</v>
      </c>
      <c r="C405" t="s">
        <v>7230</v>
      </c>
      <c r="D405" t="str">
        <f>INDEX(State!$C$2:$C$24,MATCH(C405,State!$B$2:$B$24,0))</f>
        <v>South</v>
      </c>
      <c r="E405">
        <f t="shared" si="6"/>
        <v>2025</v>
      </c>
      <c r="F405" s="17">
        <v>3000</v>
      </c>
    </row>
    <row r="406" spans="1:6" x14ac:dyDescent="0.3">
      <c r="A406" s="21">
        <v>45901</v>
      </c>
      <c r="B406" t="s">
        <v>95</v>
      </c>
      <c r="C406" t="s">
        <v>7230</v>
      </c>
      <c r="D406" t="str">
        <f>INDEX(State!$C$2:$C$24,MATCH(C406,State!$B$2:$B$24,0))</f>
        <v>South</v>
      </c>
      <c r="E406">
        <f t="shared" si="6"/>
        <v>2025</v>
      </c>
      <c r="F406" s="17">
        <v>3040</v>
      </c>
    </row>
    <row r="407" spans="1:6" x14ac:dyDescent="0.3">
      <c r="A407" s="21">
        <v>45931</v>
      </c>
      <c r="B407" t="s">
        <v>95</v>
      </c>
      <c r="C407" t="s">
        <v>7230</v>
      </c>
      <c r="D407" t="str">
        <f>INDEX(State!$C$2:$C$24,MATCH(C407,State!$B$2:$B$24,0))</f>
        <v>South</v>
      </c>
      <c r="E407">
        <f t="shared" si="6"/>
        <v>2025</v>
      </c>
      <c r="F407" s="17">
        <v>2620</v>
      </c>
    </row>
    <row r="408" spans="1:6" x14ac:dyDescent="0.3">
      <c r="A408" s="21">
        <v>45962</v>
      </c>
      <c r="B408" t="s">
        <v>95</v>
      </c>
      <c r="C408" t="s">
        <v>7230</v>
      </c>
      <c r="D408" t="str">
        <f>INDEX(State!$C$2:$C$24,MATCH(C408,State!$B$2:$B$24,0))</f>
        <v>South</v>
      </c>
      <c r="E408">
        <f t="shared" si="6"/>
        <v>2025</v>
      </c>
      <c r="F408" s="17">
        <v>5610</v>
      </c>
    </row>
    <row r="409" spans="1:6" x14ac:dyDescent="0.3">
      <c r="A409" s="21">
        <v>45992</v>
      </c>
      <c r="B409" t="s">
        <v>95</v>
      </c>
      <c r="C409" t="s">
        <v>7230</v>
      </c>
      <c r="D409" t="str">
        <f>INDEX(State!$C$2:$C$24,MATCH(C409,State!$B$2:$B$24,0))</f>
        <v>South</v>
      </c>
      <c r="E409">
        <f t="shared" si="6"/>
        <v>2025</v>
      </c>
      <c r="F409" s="17">
        <v>2510</v>
      </c>
    </row>
    <row r="410" spans="1:6" x14ac:dyDescent="0.3">
      <c r="A410" s="21">
        <v>45292</v>
      </c>
      <c r="B410" t="s">
        <v>14</v>
      </c>
      <c r="C410" t="s">
        <v>7232</v>
      </c>
      <c r="D410" t="str">
        <f>INDEX(State!$C$2:$C$24,MATCH(C410,State!$B$2:$B$24,0))</f>
        <v>East</v>
      </c>
      <c r="E410">
        <f t="shared" si="6"/>
        <v>2024</v>
      </c>
      <c r="F410" s="17">
        <v>1040</v>
      </c>
    </row>
    <row r="411" spans="1:6" x14ac:dyDescent="0.3">
      <c r="A411" s="21">
        <v>45323</v>
      </c>
      <c r="B411" t="s">
        <v>14</v>
      </c>
      <c r="C411" t="s">
        <v>7232</v>
      </c>
      <c r="D411" t="str">
        <f>INDEX(State!$C$2:$C$24,MATCH(C411,State!$B$2:$B$24,0))</f>
        <v>East</v>
      </c>
      <c r="E411">
        <f t="shared" si="6"/>
        <v>2024</v>
      </c>
      <c r="F411" s="17">
        <v>620</v>
      </c>
    </row>
    <row r="412" spans="1:6" x14ac:dyDescent="0.3">
      <c r="A412" s="21">
        <v>45352</v>
      </c>
      <c r="B412" t="s">
        <v>14</v>
      </c>
      <c r="C412" t="s">
        <v>7232</v>
      </c>
      <c r="D412" t="str">
        <f>INDEX(State!$C$2:$C$24,MATCH(C412,State!$B$2:$B$24,0))</f>
        <v>East</v>
      </c>
      <c r="E412">
        <f t="shared" si="6"/>
        <v>2024</v>
      </c>
      <c r="F412" s="17">
        <v>970</v>
      </c>
    </row>
    <row r="413" spans="1:6" x14ac:dyDescent="0.3">
      <c r="A413" s="21">
        <v>45383</v>
      </c>
      <c r="B413" t="s">
        <v>14</v>
      </c>
      <c r="C413" t="s">
        <v>7232</v>
      </c>
      <c r="D413" t="str">
        <f>INDEX(State!$C$2:$C$24,MATCH(C413,State!$B$2:$B$24,0))</f>
        <v>East</v>
      </c>
      <c r="E413">
        <f t="shared" si="6"/>
        <v>2024</v>
      </c>
      <c r="F413" s="17">
        <v>1000</v>
      </c>
    </row>
    <row r="414" spans="1:6" x14ac:dyDescent="0.3">
      <c r="A414" s="21">
        <v>45413</v>
      </c>
      <c r="B414" t="s">
        <v>14</v>
      </c>
      <c r="C414" t="s">
        <v>7232</v>
      </c>
      <c r="D414" t="str">
        <f>INDEX(State!$C$2:$C$24,MATCH(C414,State!$B$2:$B$24,0))</f>
        <v>East</v>
      </c>
      <c r="E414">
        <f t="shared" si="6"/>
        <v>2024</v>
      </c>
      <c r="F414" s="17">
        <v>580</v>
      </c>
    </row>
    <row r="415" spans="1:6" x14ac:dyDescent="0.3">
      <c r="A415" s="21">
        <v>45444</v>
      </c>
      <c r="B415" t="s">
        <v>14</v>
      </c>
      <c r="C415" t="s">
        <v>7232</v>
      </c>
      <c r="D415" t="str">
        <f>INDEX(State!$C$2:$C$24,MATCH(C415,State!$B$2:$B$24,0))</f>
        <v>East</v>
      </c>
      <c r="E415">
        <f t="shared" si="6"/>
        <v>2024</v>
      </c>
      <c r="F415" s="17">
        <v>510</v>
      </c>
    </row>
    <row r="416" spans="1:6" x14ac:dyDescent="0.3">
      <c r="A416" s="21">
        <v>45474</v>
      </c>
      <c r="B416" t="s">
        <v>14</v>
      </c>
      <c r="C416" t="s">
        <v>7232</v>
      </c>
      <c r="D416" t="str">
        <f>INDEX(State!$C$2:$C$24,MATCH(C416,State!$B$2:$B$24,0))</f>
        <v>East</v>
      </c>
      <c r="E416">
        <f t="shared" si="6"/>
        <v>2024</v>
      </c>
      <c r="F416" s="17">
        <v>830</v>
      </c>
    </row>
    <row r="417" spans="1:6" x14ac:dyDescent="0.3">
      <c r="A417" s="21">
        <v>45505</v>
      </c>
      <c r="B417" t="s">
        <v>14</v>
      </c>
      <c r="C417" t="s">
        <v>7232</v>
      </c>
      <c r="D417" t="str">
        <f>INDEX(State!$C$2:$C$24,MATCH(C417,State!$B$2:$B$24,0))</f>
        <v>East</v>
      </c>
      <c r="E417">
        <f t="shared" si="6"/>
        <v>2024</v>
      </c>
      <c r="F417" s="17">
        <v>1040</v>
      </c>
    </row>
    <row r="418" spans="1:6" x14ac:dyDescent="0.3">
      <c r="A418" s="21">
        <v>45536</v>
      </c>
      <c r="B418" t="s">
        <v>14</v>
      </c>
      <c r="C418" t="s">
        <v>7232</v>
      </c>
      <c r="D418" t="str">
        <f>INDEX(State!$C$2:$C$24,MATCH(C418,State!$B$2:$B$24,0))</f>
        <v>East</v>
      </c>
      <c r="E418">
        <f t="shared" si="6"/>
        <v>2024</v>
      </c>
      <c r="F418" s="17">
        <v>810</v>
      </c>
    </row>
    <row r="419" spans="1:6" x14ac:dyDescent="0.3">
      <c r="A419" s="21">
        <v>45566</v>
      </c>
      <c r="B419" t="s">
        <v>14</v>
      </c>
      <c r="C419" t="s">
        <v>7232</v>
      </c>
      <c r="D419" t="str">
        <f>INDEX(State!$C$2:$C$24,MATCH(C419,State!$B$2:$B$24,0))</f>
        <v>East</v>
      </c>
      <c r="E419">
        <f t="shared" si="6"/>
        <v>2024</v>
      </c>
      <c r="F419" s="17">
        <v>1070</v>
      </c>
    </row>
    <row r="420" spans="1:6" x14ac:dyDescent="0.3">
      <c r="A420" s="21">
        <v>45597</v>
      </c>
      <c r="B420" t="s">
        <v>14</v>
      </c>
      <c r="C420" t="s">
        <v>7232</v>
      </c>
      <c r="D420" t="str">
        <f>INDEX(State!$C$2:$C$24,MATCH(C420,State!$B$2:$B$24,0))</f>
        <v>East</v>
      </c>
      <c r="E420">
        <f t="shared" si="6"/>
        <v>2024</v>
      </c>
      <c r="F420" s="17">
        <v>1360</v>
      </c>
    </row>
    <row r="421" spans="1:6" x14ac:dyDescent="0.3">
      <c r="A421" s="21">
        <v>45627</v>
      </c>
      <c r="B421" t="s">
        <v>14</v>
      </c>
      <c r="C421" t="s">
        <v>7232</v>
      </c>
      <c r="D421" t="str">
        <f>INDEX(State!$C$2:$C$24,MATCH(C421,State!$B$2:$B$24,0))</f>
        <v>East</v>
      </c>
      <c r="E421">
        <f t="shared" si="6"/>
        <v>2024</v>
      </c>
      <c r="F421" s="17">
        <v>430</v>
      </c>
    </row>
    <row r="422" spans="1:6" x14ac:dyDescent="0.3">
      <c r="A422" s="21">
        <v>45658</v>
      </c>
      <c r="B422" t="s">
        <v>14</v>
      </c>
      <c r="C422" t="s">
        <v>7232</v>
      </c>
      <c r="D422" t="str">
        <f>INDEX(State!$C$2:$C$24,MATCH(C422,State!$B$2:$B$24,0))</f>
        <v>East</v>
      </c>
      <c r="E422">
        <f t="shared" si="6"/>
        <v>2025</v>
      </c>
      <c r="F422" s="17">
        <v>890</v>
      </c>
    </row>
    <row r="423" spans="1:6" x14ac:dyDescent="0.3">
      <c r="A423" s="21">
        <v>45689</v>
      </c>
      <c r="B423" t="s">
        <v>14</v>
      </c>
      <c r="C423" t="s">
        <v>7232</v>
      </c>
      <c r="D423" t="str">
        <f>INDEX(State!$C$2:$C$24,MATCH(C423,State!$B$2:$B$24,0))</f>
        <v>East</v>
      </c>
      <c r="E423">
        <f t="shared" si="6"/>
        <v>2025</v>
      </c>
      <c r="F423" s="17">
        <v>590</v>
      </c>
    </row>
    <row r="424" spans="1:6" x14ac:dyDescent="0.3">
      <c r="A424" s="21">
        <v>45717</v>
      </c>
      <c r="B424" t="s">
        <v>14</v>
      </c>
      <c r="C424" t="s">
        <v>7232</v>
      </c>
      <c r="D424" t="str">
        <f>INDEX(State!$C$2:$C$24,MATCH(C424,State!$B$2:$B$24,0))</f>
        <v>East</v>
      </c>
      <c r="E424">
        <f t="shared" si="6"/>
        <v>2025</v>
      </c>
      <c r="F424" s="17">
        <v>1000</v>
      </c>
    </row>
    <row r="425" spans="1:6" x14ac:dyDescent="0.3">
      <c r="A425" s="21">
        <v>45748</v>
      </c>
      <c r="B425" t="s">
        <v>14</v>
      </c>
      <c r="C425" t="s">
        <v>7232</v>
      </c>
      <c r="D425" t="str">
        <f>INDEX(State!$C$2:$C$24,MATCH(C425,State!$B$2:$B$24,0))</f>
        <v>East</v>
      </c>
      <c r="E425">
        <f t="shared" si="6"/>
        <v>2025</v>
      </c>
      <c r="F425" s="17">
        <v>710</v>
      </c>
    </row>
    <row r="426" spans="1:6" x14ac:dyDescent="0.3">
      <c r="A426" s="21">
        <v>45778</v>
      </c>
      <c r="B426" t="s">
        <v>14</v>
      </c>
      <c r="C426" t="s">
        <v>7232</v>
      </c>
      <c r="D426" t="str">
        <f>INDEX(State!$C$2:$C$24,MATCH(C426,State!$B$2:$B$24,0))</f>
        <v>East</v>
      </c>
      <c r="E426">
        <f t="shared" si="6"/>
        <v>2025</v>
      </c>
      <c r="F426" s="17">
        <v>670</v>
      </c>
    </row>
    <row r="427" spans="1:6" x14ac:dyDescent="0.3">
      <c r="A427" s="21">
        <v>45809</v>
      </c>
      <c r="B427" t="s">
        <v>14</v>
      </c>
      <c r="C427" t="s">
        <v>7232</v>
      </c>
      <c r="D427" t="str">
        <f>INDEX(State!$C$2:$C$24,MATCH(C427,State!$B$2:$B$24,0))</f>
        <v>East</v>
      </c>
      <c r="E427">
        <f t="shared" si="6"/>
        <v>2025</v>
      </c>
      <c r="F427" s="17">
        <v>880</v>
      </c>
    </row>
    <row r="428" spans="1:6" x14ac:dyDescent="0.3">
      <c r="A428" s="21">
        <v>45839</v>
      </c>
      <c r="B428" t="s">
        <v>14</v>
      </c>
      <c r="C428" t="s">
        <v>7232</v>
      </c>
      <c r="D428" t="str">
        <f>INDEX(State!$C$2:$C$24,MATCH(C428,State!$B$2:$B$24,0))</f>
        <v>East</v>
      </c>
      <c r="E428">
        <f t="shared" si="6"/>
        <v>2025</v>
      </c>
      <c r="F428" s="17">
        <v>710</v>
      </c>
    </row>
    <row r="429" spans="1:6" x14ac:dyDescent="0.3">
      <c r="A429" s="21">
        <v>45870</v>
      </c>
      <c r="B429" t="s">
        <v>14</v>
      </c>
      <c r="C429" t="s">
        <v>7232</v>
      </c>
      <c r="D429" t="str">
        <f>INDEX(State!$C$2:$C$24,MATCH(C429,State!$B$2:$B$24,0))</f>
        <v>East</v>
      </c>
      <c r="E429">
        <f t="shared" si="6"/>
        <v>2025</v>
      </c>
      <c r="F429" s="17">
        <v>1020</v>
      </c>
    </row>
    <row r="430" spans="1:6" x14ac:dyDescent="0.3">
      <c r="A430" s="21">
        <v>45901</v>
      </c>
      <c r="B430" t="s">
        <v>14</v>
      </c>
      <c r="C430" t="s">
        <v>7232</v>
      </c>
      <c r="D430" t="str">
        <f>INDEX(State!$C$2:$C$24,MATCH(C430,State!$B$2:$B$24,0))</f>
        <v>East</v>
      </c>
      <c r="E430">
        <f t="shared" si="6"/>
        <v>2025</v>
      </c>
      <c r="F430" s="17">
        <v>930</v>
      </c>
    </row>
    <row r="431" spans="1:6" x14ac:dyDescent="0.3">
      <c r="A431" s="21">
        <v>45931</v>
      </c>
      <c r="B431" t="s">
        <v>14</v>
      </c>
      <c r="C431" t="s">
        <v>7232</v>
      </c>
      <c r="D431" t="str">
        <f>INDEX(State!$C$2:$C$24,MATCH(C431,State!$B$2:$B$24,0))</f>
        <v>East</v>
      </c>
      <c r="E431">
        <f t="shared" si="6"/>
        <v>2025</v>
      </c>
      <c r="F431" s="17">
        <v>1430</v>
      </c>
    </row>
    <row r="432" spans="1:6" x14ac:dyDescent="0.3">
      <c r="A432" s="21">
        <v>45962</v>
      </c>
      <c r="B432" t="s">
        <v>14</v>
      </c>
      <c r="C432" t="s">
        <v>7232</v>
      </c>
      <c r="D432" t="str">
        <f>INDEX(State!$C$2:$C$24,MATCH(C432,State!$B$2:$B$24,0))</f>
        <v>East</v>
      </c>
      <c r="E432">
        <f t="shared" si="6"/>
        <v>2025</v>
      </c>
      <c r="F432" s="17">
        <v>1210</v>
      </c>
    </row>
    <row r="433" spans="1:6" x14ac:dyDescent="0.3">
      <c r="A433" s="21">
        <v>45992</v>
      </c>
      <c r="B433" t="s">
        <v>14</v>
      </c>
      <c r="C433" t="s">
        <v>7232</v>
      </c>
      <c r="D433" t="str">
        <f>INDEX(State!$C$2:$C$24,MATCH(C433,State!$B$2:$B$24,0))</f>
        <v>East</v>
      </c>
      <c r="E433">
        <f t="shared" si="6"/>
        <v>2025</v>
      </c>
      <c r="F433" s="17">
        <v>1520</v>
      </c>
    </row>
    <row r="434" spans="1:6" x14ac:dyDescent="0.3">
      <c r="A434" s="21">
        <v>45292</v>
      </c>
      <c r="B434" t="s">
        <v>90</v>
      </c>
      <c r="C434" t="s">
        <v>7233</v>
      </c>
      <c r="D434" t="str">
        <f>INDEX(State!$C$2:$C$24,MATCH(C434,State!$B$2:$B$24,0))</f>
        <v>West</v>
      </c>
      <c r="E434">
        <f t="shared" si="6"/>
        <v>2024</v>
      </c>
      <c r="F434" s="17">
        <v>420</v>
      </c>
    </row>
    <row r="435" spans="1:6" x14ac:dyDescent="0.3">
      <c r="A435" s="21">
        <v>45323</v>
      </c>
      <c r="B435" t="s">
        <v>90</v>
      </c>
      <c r="C435" t="s">
        <v>7233</v>
      </c>
      <c r="D435" t="str">
        <f>INDEX(State!$C$2:$C$24,MATCH(C435,State!$B$2:$B$24,0))</f>
        <v>West</v>
      </c>
      <c r="E435">
        <f t="shared" si="6"/>
        <v>2024</v>
      </c>
      <c r="F435" s="17">
        <v>400</v>
      </c>
    </row>
    <row r="436" spans="1:6" x14ac:dyDescent="0.3">
      <c r="A436" s="21">
        <v>45352</v>
      </c>
      <c r="B436" t="s">
        <v>90</v>
      </c>
      <c r="C436" t="s">
        <v>7233</v>
      </c>
      <c r="D436" t="str">
        <f>INDEX(State!$C$2:$C$24,MATCH(C436,State!$B$2:$B$24,0))</f>
        <v>West</v>
      </c>
      <c r="E436">
        <f t="shared" si="6"/>
        <v>2024</v>
      </c>
      <c r="F436" s="17">
        <v>420</v>
      </c>
    </row>
    <row r="437" spans="1:6" x14ac:dyDescent="0.3">
      <c r="A437" s="21">
        <v>45383</v>
      </c>
      <c r="B437" t="s">
        <v>90</v>
      </c>
      <c r="C437" t="s">
        <v>7233</v>
      </c>
      <c r="D437" t="str">
        <f>INDEX(State!$C$2:$C$24,MATCH(C437,State!$B$2:$B$24,0))</f>
        <v>West</v>
      </c>
      <c r="E437">
        <f t="shared" si="6"/>
        <v>2024</v>
      </c>
      <c r="F437" s="17">
        <v>280</v>
      </c>
    </row>
    <row r="438" spans="1:6" x14ac:dyDescent="0.3">
      <c r="A438" s="21">
        <v>45413</v>
      </c>
      <c r="B438" t="s">
        <v>90</v>
      </c>
      <c r="C438" t="s">
        <v>7233</v>
      </c>
      <c r="D438" t="str">
        <f>INDEX(State!$C$2:$C$24,MATCH(C438,State!$B$2:$B$24,0))</f>
        <v>West</v>
      </c>
      <c r="E438">
        <f t="shared" si="6"/>
        <v>2024</v>
      </c>
      <c r="F438" s="17">
        <v>430</v>
      </c>
    </row>
    <row r="439" spans="1:6" x14ac:dyDescent="0.3">
      <c r="A439" s="21">
        <v>45444</v>
      </c>
      <c r="B439" t="s">
        <v>90</v>
      </c>
      <c r="C439" t="s">
        <v>7233</v>
      </c>
      <c r="D439" t="str">
        <f>INDEX(State!$C$2:$C$24,MATCH(C439,State!$B$2:$B$24,0))</f>
        <v>West</v>
      </c>
      <c r="E439">
        <f t="shared" si="6"/>
        <v>2024</v>
      </c>
      <c r="F439" s="17">
        <v>430</v>
      </c>
    </row>
    <row r="440" spans="1:6" x14ac:dyDescent="0.3">
      <c r="A440" s="21">
        <v>45474</v>
      </c>
      <c r="B440" t="s">
        <v>90</v>
      </c>
      <c r="C440" t="s">
        <v>7233</v>
      </c>
      <c r="D440" t="str">
        <f>INDEX(State!$C$2:$C$24,MATCH(C440,State!$B$2:$B$24,0))</f>
        <v>West</v>
      </c>
      <c r="E440">
        <f t="shared" si="6"/>
        <v>2024</v>
      </c>
      <c r="F440" s="17">
        <v>470</v>
      </c>
    </row>
    <row r="441" spans="1:6" x14ac:dyDescent="0.3">
      <c r="A441" s="21">
        <v>45505</v>
      </c>
      <c r="B441" t="s">
        <v>90</v>
      </c>
      <c r="C441" t="s">
        <v>7233</v>
      </c>
      <c r="D441" t="str">
        <f>INDEX(State!$C$2:$C$24,MATCH(C441,State!$B$2:$B$24,0))</f>
        <v>West</v>
      </c>
      <c r="E441">
        <f t="shared" si="6"/>
        <v>2024</v>
      </c>
      <c r="F441" s="17">
        <v>370</v>
      </c>
    </row>
    <row r="442" spans="1:6" x14ac:dyDescent="0.3">
      <c r="A442" s="21">
        <v>45536</v>
      </c>
      <c r="B442" t="s">
        <v>90</v>
      </c>
      <c r="C442" t="s">
        <v>7233</v>
      </c>
      <c r="D442" t="str">
        <f>INDEX(State!$C$2:$C$24,MATCH(C442,State!$B$2:$B$24,0))</f>
        <v>West</v>
      </c>
      <c r="E442">
        <f t="shared" si="6"/>
        <v>2024</v>
      </c>
      <c r="F442" s="17">
        <v>400</v>
      </c>
    </row>
    <row r="443" spans="1:6" x14ac:dyDescent="0.3">
      <c r="A443" s="21">
        <v>45566</v>
      </c>
      <c r="B443" t="s">
        <v>90</v>
      </c>
      <c r="C443" t="s">
        <v>7233</v>
      </c>
      <c r="D443" t="str">
        <f>INDEX(State!$C$2:$C$24,MATCH(C443,State!$B$2:$B$24,0))</f>
        <v>West</v>
      </c>
      <c r="E443">
        <f t="shared" si="6"/>
        <v>2024</v>
      </c>
      <c r="F443" s="17">
        <v>790</v>
      </c>
    </row>
    <row r="444" spans="1:6" x14ac:dyDescent="0.3">
      <c r="A444" s="21">
        <v>45597</v>
      </c>
      <c r="B444" t="s">
        <v>90</v>
      </c>
      <c r="C444" t="s">
        <v>7233</v>
      </c>
      <c r="D444" t="str">
        <f>INDEX(State!$C$2:$C$24,MATCH(C444,State!$B$2:$B$24,0))</f>
        <v>West</v>
      </c>
      <c r="E444">
        <f t="shared" si="6"/>
        <v>2024</v>
      </c>
      <c r="F444" s="17">
        <v>1090</v>
      </c>
    </row>
    <row r="445" spans="1:6" x14ac:dyDescent="0.3">
      <c r="A445" s="21">
        <v>45627</v>
      </c>
      <c r="B445" t="s">
        <v>90</v>
      </c>
      <c r="C445" t="s">
        <v>7233</v>
      </c>
      <c r="D445" t="str">
        <f>INDEX(State!$C$2:$C$24,MATCH(C445,State!$B$2:$B$24,0))</f>
        <v>West</v>
      </c>
      <c r="E445">
        <f t="shared" si="6"/>
        <v>2024</v>
      </c>
      <c r="F445" s="17">
        <v>370</v>
      </c>
    </row>
    <row r="446" spans="1:6" x14ac:dyDescent="0.3">
      <c r="A446" s="21">
        <v>45658</v>
      </c>
      <c r="B446" t="s">
        <v>90</v>
      </c>
      <c r="C446" t="s">
        <v>7233</v>
      </c>
      <c r="D446" t="str">
        <f>INDEX(State!$C$2:$C$24,MATCH(C446,State!$B$2:$B$24,0))</f>
        <v>West</v>
      </c>
      <c r="E446">
        <f t="shared" si="6"/>
        <v>2025</v>
      </c>
      <c r="F446" s="17">
        <v>620</v>
      </c>
    </row>
    <row r="447" spans="1:6" x14ac:dyDescent="0.3">
      <c r="A447" s="21">
        <v>45689</v>
      </c>
      <c r="B447" t="s">
        <v>90</v>
      </c>
      <c r="C447" t="s">
        <v>7233</v>
      </c>
      <c r="D447" t="str">
        <f>INDEX(State!$C$2:$C$24,MATCH(C447,State!$B$2:$B$24,0))</f>
        <v>West</v>
      </c>
      <c r="E447">
        <f t="shared" si="6"/>
        <v>2025</v>
      </c>
      <c r="F447" s="17">
        <v>390</v>
      </c>
    </row>
    <row r="448" spans="1:6" x14ac:dyDescent="0.3">
      <c r="A448" s="21">
        <v>45717</v>
      </c>
      <c r="B448" t="s">
        <v>90</v>
      </c>
      <c r="C448" t="s">
        <v>7233</v>
      </c>
      <c r="D448" t="str">
        <f>INDEX(State!$C$2:$C$24,MATCH(C448,State!$B$2:$B$24,0))</f>
        <v>West</v>
      </c>
      <c r="E448">
        <f t="shared" si="6"/>
        <v>2025</v>
      </c>
      <c r="F448" s="17">
        <v>570</v>
      </c>
    </row>
    <row r="449" spans="1:6" x14ac:dyDescent="0.3">
      <c r="A449" s="21">
        <v>45748</v>
      </c>
      <c r="B449" t="s">
        <v>90</v>
      </c>
      <c r="C449" t="s">
        <v>7233</v>
      </c>
      <c r="D449" t="str">
        <f>INDEX(State!$C$2:$C$24,MATCH(C449,State!$B$2:$B$24,0))</f>
        <v>West</v>
      </c>
      <c r="E449">
        <f t="shared" si="6"/>
        <v>2025</v>
      </c>
      <c r="F449" s="17">
        <v>490</v>
      </c>
    </row>
    <row r="450" spans="1:6" x14ac:dyDescent="0.3">
      <c r="A450" s="21">
        <v>45778</v>
      </c>
      <c r="B450" t="s">
        <v>90</v>
      </c>
      <c r="C450" t="s">
        <v>7233</v>
      </c>
      <c r="D450" t="str">
        <f>INDEX(State!$C$2:$C$24,MATCH(C450,State!$B$2:$B$24,0))</f>
        <v>West</v>
      </c>
      <c r="E450">
        <f t="shared" ref="E450:E513" si="7">YEAR(A450)</f>
        <v>2025</v>
      </c>
      <c r="F450" s="17">
        <v>620</v>
      </c>
    </row>
    <row r="451" spans="1:6" x14ac:dyDescent="0.3">
      <c r="A451" s="21">
        <v>45809</v>
      </c>
      <c r="B451" t="s">
        <v>90</v>
      </c>
      <c r="C451" t="s">
        <v>7233</v>
      </c>
      <c r="D451" t="str">
        <f>INDEX(State!$C$2:$C$24,MATCH(C451,State!$B$2:$B$24,0))</f>
        <v>West</v>
      </c>
      <c r="E451">
        <f t="shared" si="7"/>
        <v>2025</v>
      </c>
      <c r="F451" s="17">
        <v>220</v>
      </c>
    </row>
    <row r="452" spans="1:6" x14ac:dyDescent="0.3">
      <c r="A452" s="21">
        <v>45839</v>
      </c>
      <c r="B452" t="s">
        <v>90</v>
      </c>
      <c r="C452" t="s">
        <v>7233</v>
      </c>
      <c r="D452" t="str">
        <f>INDEX(State!$C$2:$C$24,MATCH(C452,State!$B$2:$B$24,0))</f>
        <v>West</v>
      </c>
      <c r="E452">
        <f t="shared" si="7"/>
        <v>2025</v>
      </c>
      <c r="F452" s="17">
        <v>450</v>
      </c>
    </row>
    <row r="453" spans="1:6" x14ac:dyDescent="0.3">
      <c r="A453" s="21">
        <v>45870</v>
      </c>
      <c r="B453" t="s">
        <v>90</v>
      </c>
      <c r="C453" t="s">
        <v>7233</v>
      </c>
      <c r="D453" t="str">
        <f>INDEX(State!$C$2:$C$24,MATCH(C453,State!$B$2:$B$24,0))</f>
        <v>West</v>
      </c>
      <c r="E453">
        <f t="shared" si="7"/>
        <v>2025</v>
      </c>
      <c r="F453" s="17">
        <v>390</v>
      </c>
    </row>
    <row r="454" spans="1:6" x14ac:dyDescent="0.3">
      <c r="A454" s="21">
        <v>45901</v>
      </c>
      <c r="B454" t="s">
        <v>90</v>
      </c>
      <c r="C454" t="s">
        <v>7233</v>
      </c>
      <c r="D454" t="str">
        <f>INDEX(State!$C$2:$C$24,MATCH(C454,State!$B$2:$B$24,0))</f>
        <v>West</v>
      </c>
      <c r="E454">
        <f t="shared" si="7"/>
        <v>2025</v>
      </c>
      <c r="F454" s="17">
        <v>550</v>
      </c>
    </row>
    <row r="455" spans="1:6" x14ac:dyDescent="0.3">
      <c r="A455" s="21">
        <v>45931</v>
      </c>
      <c r="B455" t="s">
        <v>90</v>
      </c>
      <c r="C455" t="s">
        <v>7233</v>
      </c>
      <c r="D455" t="str">
        <f>INDEX(State!$C$2:$C$24,MATCH(C455,State!$B$2:$B$24,0))</f>
        <v>West</v>
      </c>
      <c r="E455">
        <f t="shared" si="7"/>
        <v>2025</v>
      </c>
      <c r="F455" s="17">
        <v>650</v>
      </c>
    </row>
    <row r="456" spans="1:6" x14ac:dyDescent="0.3">
      <c r="A456" s="21">
        <v>45962</v>
      </c>
      <c r="B456" t="s">
        <v>90</v>
      </c>
      <c r="C456" t="s">
        <v>7233</v>
      </c>
      <c r="D456" t="str">
        <f>INDEX(State!$C$2:$C$24,MATCH(C456,State!$B$2:$B$24,0))</f>
        <v>West</v>
      </c>
      <c r="E456">
        <f t="shared" si="7"/>
        <v>2025</v>
      </c>
      <c r="F456" s="17">
        <v>620</v>
      </c>
    </row>
    <row r="457" spans="1:6" x14ac:dyDescent="0.3">
      <c r="A457" s="21">
        <v>45992</v>
      </c>
      <c r="B457" t="s">
        <v>90</v>
      </c>
      <c r="C457" t="s">
        <v>7233</v>
      </c>
      <c r="D457" t="str">
        <f>INDEX(State!$C$2:$C$24,MATCH(C457,State!$B$2:$B$24,0))</f>
        <v>West</v>
      </c>
      <c r="E457">
        <f t="shared" si="7"/>
        <v>2025</v>
      </c>
      <c r="F457" s="17">
        <v>710</v>
      </c>
    </row>
    <row r="458" spans="1:6" x14ac:dyDescent="0.3">
      <c r="A458" s="21">
        <v>45292</v>
      </c>
      <c r="B458" t="s">
        <v>167</v>
      </c>
      <c r="C458" t="s">
        <v>7234</v>
      </c>
      <c r="D458" t="str">
        <f>INDEX(State!$C$2:$C$24,MATCH(C458,State!$B$2:$B$24,0))</f>
        <v>South</v>
      </c>
      <c r="E458">
        <f t="shared" si="7"/>
        <v>2024</v>
      </c>
      <c r="F458" s="17">
        <v>6150</v>
      </c>
    </row>
    <row r="459" spans="1:6" x14ac:dyDescent="0.3">
      <c r="A459" s="21">
        <v>45323</v>
      </c>
      <c r="B459" t="s">
        <v>167</v>
      </c>
      <c r="C459" t="s">
        <v>7234</v>
      </c>
      <c r="D459" t="str">
        <f>INDEX(State!$C$2:$C$24,MATCH(C459,State!$B$2:$B$24,0))</f>
        <v>South</v>
      </c>
      <c r="E459">
        <f t="shared" si="7"/>
        <v>2024</v>
      </c>
      <c r="F459" s="17">
        <v>1320</v>
      </c>
    </row>
    <row r="460" spans="1:6" x14ac:dyDescent="0.3">
      <c r="A460" s="21">
        <v>45352</v>
      </c>
      <c r="B460" t="s">
        <v>167</v>
      </c>
      <c r="C460" t="s">
        <v>7234</v>
      </c>
      <c r="D460" t="str">
        <f>INDEX(State!$C$2:$C$24,MATCH(C460,State!$B$2:$B$24,0))</f>
        <v>South</v>
      </c>
      <c r="E460">
        <f t="shared" si="7"/>
        <v>2024</v>
      </c>
      <c r="F460" s="17">
        <v>2840</v>
      </c>
    </row>
    <row r="461" spans="1:6" x14ac:dyDescent="0.3">
      <c r="A461" s="21">
        <v>45383</v>
      </c>
      <c r="B461" t="s">
        <v>167</v>
      </c>
      <c r="C461" t="s">
        <v>7234</v>
      </c>
      <c r="D461" t="str">
        <f>INDEX(State!$C$2:$C$24,MATCH(C461,State!$B$2:$B$24,0))</f>
        <v>South</v>
      </c>
      <c r="E461">
        <f t="shared" si="7"/>
        <v>2024</v>
      </c>
      <c r="F461" s="17">
        <v>3190</v>
      </c>
    </row>
    <row r="462" spans="1:6" x14ac:dyDescent="0.3">
      <c r="A462" s="21">
        <v>45413</v>
      </c>
      <c r="B462" t="s">
        <v>167</v>
      </c>
      <c r="C462" t="s">
        <v>7234</v>
      </c>
      <c r="D462" t="str">
        <f>INDEX(State!$C$2:$C$24,MATCH(C462,State!$B$2:$B$24,0))</f>
        <v>South</v>
      </c>
      <c r="E462">
        <f t="shared" si="7"/>
        <v>2024</v>
      </c>
      <c r="F462" s="17">
        <v>3100</v>
      </c>
    </row>
    <row r="463" spans="1:6" x14ac:dyDescent="0.3">
      <c r="A463" s="21">
        <v>45444</v>
      </c>
      <c r="B463" t="s">
        <v>167</v>
      </c>
      <c r="C463" t="s">
        <v>7234</v>
      </c>
      <c r="D463" t="str">
        <f>INDEX(State!$C$2:$C$24,MATCH(C463,State!$B$2:$B$24,0))</f>
        <v>South</v>
      </c>
      <c r="E463">
        <f t="shared" si="7"/>
        <v>2024</v>
      </c>
      <c r="F463" s="17">
        <v>2960</v>
      </c>
    </row>
    <row r="464" spans="1:6" x14ac:dyDescent="0.3">
      <c r="A464" s="21">
        <v>45474</v>
      </c>
      <c r="B464" t="s">
        <v>167</v>
      </c>
      <c r="C464" t="s">
        <v>7234</v>
      </c>
      <c r="D464" t="str">
        <f>INDEX(State!$C$2:$C$24,MATCH(C464,State!$B$2:$B$24,0))</f>
        <v>South</v>
      </c>
      <c r="E464">
        <f t="shared" si="7"/>
        <v>2024</v>
      </c>
      <c r="F464" s="17">
        <v>2470</v>
      </c>
    </row>
    <row r="465" spans="1:6" x14ac:dyDescent="0.3">
      <c r="A465" s="21">
        <v>45505</v>
      </c>
      <c r="B465" t="s">
        <v>167</v>
      </c>
      <c r="C465" t="s">
        <v>7234</v>
      </c>
      <c r="D465" t="str">
        <f>INDEX(State!$C$2:$C$24,MATCH(C465,State!$B$2:$B$24,0))</f>
        <v>South</v>
      </c>
      <c r="E465">
        <f t="shared" si="7"/>
        <v>2024</v>
      </c>
      <c r="F465" s="17">
        <v>2640</v>
      </c>
    </row>
    <row r="466" spans="1:6" x14ac:dyDescent="0.3">
      <c r="A466" s="21">
        <v>45536</v>
      </c>
      <c r="B466" t="s">
        <v>167</v>
      </c>
      <c r="C466" t="s">
        <v>7234</v>
      </c>
      <c r="D466" t="str">
        <f>INDEX(State!$C$2:$C$24,MATCH(C466,State!$B$2:$B$24,0))</f>
        <v>South</v>
      </c>
      <c r="E466">
        <f t="shared" si="7"/>
        <v>2024</v>
      </c>
      <c r="F466" s="17">
        <v>4630</v>
      </c>
    </row>
    <row r="467" spans="1:6" x14ac:dyDescent="0.3">
      <c r="A467" s="21">
        <v>45566</v>
      </c>
      <c r="B467" t="s">
        <v>167</v>
      </c>
      <c r="C467" t="s">
        <v>7234</v>
      </c>
      <c r="D467" t="str">
        <f>INDEX(State!$C$2:$C$24,MATCH(C467,State!$B$2:$B$24,0))</f>
        <v>South</v>
      </c>
      <c r="E467">
        <f t="shared" si="7"/>
        <v>2024</v>
      </c>
      <c r="F467" s="17">
        <v>7200</v>
      </c>
    </row>
    <row r="468" spans="1:6" x14ac:dyDescent="0.3">
      <c r="A468" s="21">
        <v>45597</v>
      </c>
      <c r="B468" t="s">
        <v>167</v>
      </c>
      <c r="C468" t="s">
        <v>7234</v>
      </c>
      <c r="D468" t="str">
        <f>INDEX(State!$C$2:$C$24,MATCH(C468,State!$B$2:$B$24,0))</f>
        <v>South</v>
      </c>
      <c r="E468">
        <f t="shared" si="7"/>
        <v>2024</v>
      </c>
      <c r="F468" s="17">
        <v>5120</v>
      </c>
    </row>
    <row r="469" spans="1:6" x14ac:dyDescent="0.3">
      <c r="A469" s="21">
        <v>45627</v>
      </c>
      <c r="B469" t="s">
        <v>167</v>
      </c>
      <c r="C469" t="s">
        <v>7234</v>
      </c>
      <c r="D469" t="str">
        <f>INDEX(State!$C$2:$C$24,MATCH(C469,State!$B$2:$B$24,0))</f>
        <v>South</v>
      </c>
      <c r="E469">
        <f t="shared" si="7"/>
        <v>2024</v>
      </c>
      <c r="F469" s="17">
        <v>3130</v>
      </c>
    </row>
    <row r="470" spans="1:6" x14ac:dyDescent="0.3">
      <c r="A470" s="21">
        <v>45658</v>
      </c>
      <c r="B470" t="s">
        <v>167</v>
      </c>
      <c r="C470" t="s">
        <v>7234</v>
      </c>
      <c r="D470" t="str">
        <f>INDEX(State!$C$2:$C$24,MATCH(C470,State!$B$2:$B$24,0))</f>
        <v>South</v>
      </c>
      <c r="E470">
        <f t="shared" si="7"/>
        <v>2025</v>
      </c>
      <c r="F470" s="17">
        <v>4630</v>
      </c>
    </row>
    <row r="471" spans="1:6" x14ac:dyDescent="0.3">
      <c r="A471" s="21">
        <v>45689</v>
      </c>
      <c r="B471" t="s">
        <v>167</v>
      </c>
      <c r="C471" t="s">
        <v>7234</v>
      </c>
      <c r="D471" t="str">
        <f>INDEX(State!$C$2:$C$24,MATCH(C471,State!$B$2:$B$24,0))</f>
        <v>South</v>
      </c>
      <c r="E471">
        <f t="shared" si="7"/>
        <v>2025</v>
      </c>
      <c r="F471" s="17">
        <v>3410</v>
      </c>
    </row>
    <row r="472" spans="1:6" x14ac:dyDescent="0.3">
      <c r="A472" s="21">
        <v>45717</v>
      </c>
      <c r="B472" t="s">
        <v>167</v>
      </c>
      <c r="C472" t="s">
        <v>7234</v>
      </c>
      <c r="D472" t="str">
        <f>INDEX(State!$C$2:$C$24,MATCH(C472,State!$B$2:$B$24,0))</f>
        <v>South</v>
      </c>
      <c r="E472">
        <f t="shared" si="7"/>
        <v>2025</v>
      </c>
      <c r="F472" s="17">
        <v>4500</v>
      </c>
    </row>
    <row r="473" spans="1:6" x14ac:dyDescent="0.3">
      <c r="A473" s="21">
        <v>45748</v>
      </c>
      <c r="B473" t="s">
        <v>167</v>
      </c>
      <c r="C473" t="s">
        <v>7234</v>
      </c>
      <c r="D473" t="str">
        <f>INDEX(State!$C$2:$C$24,MATCH(C473,State!$B$2:$B$24,0))</f>
        <v>South</v>
      </c>
      <c r="E473">
        <f t="shared" si="7"/>
        <v>2025</v>
      </c>
      <c r="F473" s="17">
        <v>3770</v>
      </c>
    </row>
    <row r="474" spans="1:6" x14ac:dyDescent="0.3">
      <c r="A474" s="21">
        <v>45778</v>
      </c>
      <c r="B474" t="s">
        <v>167</v>
      </c>
      <c r="C474" t="s">
        <v>7234</v>
      </c>
      <c r="D474" t="str">
        <f>INDEX(State!$C$2:$C$24,MATCH(C474,State!$B$2:$B$24,0))</f>
        <v>South</v>
      </c>
      <c r="E474">
        <f t="shared" si="7"/>
        <v>2025</v>
      </c>
      <c r="F474" s="17">
        <v>3250</v>
      </c>
    </row>
    <row r="475" spans="1:6" x14ac:dyDescent="0.3">
      <c r="A475" s="21">
        <v>45809</v>
      </c>
      <c r="B475" t="s">
        <v>167</v>
      </c>
      <c r="C475" t="s">
        <v>7234</v>
      </c>
      <c r="D475" t="str">
        <f>INDEX(State!$C$2:$C$24,MATCH(C475,State!$B$2:$B$24,0))</f>
        <v>South</v>
      </c>
      <c r="E475">
        <f t="shared" si="7"/>
        <v>2025</v>
      </c>
      <c r="F475" s="17">
        <v>4300</v>
      </c>
    </row>
    <row r="476" spans="1:6" x14ac:dyDescent="0.3">
      <c r="A476" s="21">
        <v>45839</v>
      </c>
      <c r="B476" t="s">
        <v>167</v>
      </c>
      <c r="C476" t="s">
        <v>7234</v>
      </c>
      <c r="D476" t="str">
        <f>INDEX(State!$C$2:$C$24,MATCH(C476,State!$B$2:$B$24,0))</f>
        <v>South</v>
      </c>
      <c r="E476">
        <f t="shared" si="7"/>
        <v>2025</v>
      </c>
      <c r="F476" s="17">
        <v>3240</v>
      </c>
    </row>
    <row r="477" spans="1:6" x14ac:dyDescent="0.3">
      <c r="A477" s="21">
        <v>45870</v>
      </c>
      <c r="B477" t="s">
        <v>167</v>
      </c>
      <c r="C477" t="s">
        <v>7234</v>
      </c>
      <c r="D477" t="str">
        <f>INDEX(State!$C$2:$C$24,MATCH(C477,State!$B$2:$B$24,0))</f>
        <v>South</v>
      </c>
      <c r="E477">
        <f t="shared" si="7"/>
        <v>2025</v>
      </c>
      <c r="F477" s="17">
        <v>5400</v>
      </c>
    </row>
    <row r="478" spans="1:6" x14ac:dyDescent="0.3">
      <c r="A478" s="21">
        <v>45901</v>
      </c>
      <c r="B478" t="s">
        <v>167</v>
      </c>
      <c r="C478" t="s">
        <v>7234</v>
      </c>
      <c r="D478" t="str">
        <f>INDEX(State!$C$2:$C$24,MATCH(C478,State!$B$2:$B$24,0))</f>
        <v>South</v>
      </c>
      <c r="E478">
        <f t="shared" si="7"/>
        <v>2025</v>
      </c>
      <c r="F478" s="17">
        <v>6580</v>
      </c>
    </row>
    <row r="479" spans="1:6" x14ac:dyDescent="0.3">
      <c r="A479" s="21">
        <v>45931</v>
      </c>
      <c r="B479" t="s">
        <v>167</v>
      </c>
      <c r="C479" t="s">
        <v>7234</v>
      </c>
      <c r="D479" t="str">
        <f>INDEX(State!$C$2:$C$24,MATCH(C479,State!$B$2:$B$24,0))</f>
        <v>South</v>
      </c>
      <c r="E479">
        <f t="shared" si="7"/>
        <v>2025</v>
      </c>
      <c r="F479" s="17">
        <v>4790</v>
      </c>
    </row>
    <row r="480" spans="1:6" x14ac:dyDescent="0.3">
      <c r="A480" s="21">
        <v>45962</v>
      </c>
      <c r="B480" t="s">
        <v>167</v>
      </c>
      <c r="C480" t="s">
        <v>7234</v>
      </c>
      <c r="D480" t="str">
        <f>INDEX(State!$C$2:$C$24,MATCH(C480,State!$B$2:$B$24,0))</f>
        <v>South</v>
      </c>
      <c r="E480">
        <f t="shared" si="7"/>
        <v>2025</v>
      </c>
      <c r="F480" s="17">
        <v>7010</v>
      </c>
    </row>
    <row r="481" spans="1:6" x14ac:dyDescent="0.3">
      <c r="A481" s="21">
        <v>45992</v>
      </c>
      <c r="B481" t="s">
        <v>167</v>
      </c>
      <c r="C481" t="s">
        <v>7234</v>
      </c>
      <c r="D481" t="str">
        <f>INDEX(State!$C$2:$C$24,MATCH(C481,State!$B$2:$B$24,0))</f>
        <v>South</v>
      </c>
      <c r="E481">
        <f t="shared" si="7"/>
        <v>2025</v>
      </c>
      <c r="F481" s="17">
        <v>3740</v>
      </c>
    </row>
    <row r="482" spans="1:6" x14ac:dyDescent="0.3">
      <c r="A482" s="21">
        <v>45292</v>
      </c>
      <c r="B482" t="s">
        <v>275</v>
      </c>
      <c r="C482" t="s">
        <v>7235</v>
      </c>
      <c r="D482" t="str">
        <f>INDEX(State!$C$2:$C$24,MATCH(C482,State!$B$2:$B$24,0))</f>
        <v>South</v>
      </c>
      <c r="E482">
        <f t="shared" si="7"/>
        <v>2024</v>
      </c>
      <c r="F482" s="17">
        <v>1860</v>
      </c>
    </row>
    <row r="483" spans="1:6" x14ac:dyDescent="0.3">
      <c r="A483" s="21">
        <v>45323</v>
      </c>
      <c r="B483" t="s">
        <v>275</v>
      </c>
      <c r="C483" t="s">
        <v>7235</v>
      </c>
      <c r="D483" t="str">
        <f>INDEX(State!$C$2:$C$24,MATCH(C483,State!$B$2:$B$24,0))</f>
        <v>South</v>
      </c>
      <c r="E483">
        <f t="shared" si="7"/>
        <v>2024</v>
      </c>
      <c r="F483" s="17">
        <v>1430</v>
      </c>
    </row>
    <row r="484" spans="1:6" x14ac:dyDescent="0.3">
      <c r="A484" s="21">
        <v>45352</v>
      </c>
      <c r="B484" t="s">
        <v>275</v>
      </c>
      <c r="C484" t="s">
        <v>7235</v>
      </c>
      <c r="D484" t="str">
        <f>INDEX(State!$C$2:$C$24,MATCH(C484,State!$B$2:$B$24,0))</f>
        <v>South</v>
      </c>
      <c r="E484">
        <f t="shared" si="7"/>
        <v>2024</v>
      </c>
      <c r="F484" s="17">
        <v>1100</v>
      </c>
    </row>
    <row r="485" spans="1:6" x14ac:dyDescent="0.3">
      <c r="A485" s="21">
        <v>45383</v>
      </c>
      <c r="B485" t="s">
        <v>275</v>
      </c>
      <c r="C485" t="s">
        <v>7235</v>
      </c>
      <c r="D485" t="str">
        <f>INDEX(State!$C$2:$C$24,MATCH(C485,State!$B$2:$B$24,0))</f>
        <v>South</v>
      </c>
      <c r="E485">
        <f t="shared" si="7"/>
        <v>2024</v>
      </c>
      <c r="F485" s="17">
        <v>1470</v>
      </c>
    </row>
    <row r="486" spans="1:6" x14ac:dyDescent="0.3">
      <c r="A486" s="21">
        <v>45413</v>
      </c>
      <c r="B486" t="s">
        <v>275</v>
      </c>
      <c r="C486" t="s">
        <v>7235</v>
      </c>
      <c r="D486" t="str">
        <f>INDEX(State!$C$2:$C$24,MATCH(C486,State!$B$2:$B$24,0))</f>
        <v>South</v>
      </c>
      <c r="E486">
        <f t="shared" si="7"/>
        <v>2024</v>
      </c>
      <c r="F486" s="17">
        <v>1040</v>
      </c>
    </row>
    <row r="487" spans="1:6" x14ac:dyDescent="0.3">
      <c r="A487" s="21">
        <v>45444</v>
      </c>
      <c r="B487" t="s">
        <v>275</v>
      </c>
      <c r="C487" t="s">
        <v>7235</v>
      </c>
      <c r="D487" t="str">
        <f>INDEX(State!$C$2:$C$24,MATCH(C487,State!$B$2:$B$24,0))</f>
        <v>South</v>
      </c>
      <c r="E487">
        <f t="shared" si="7"/>
        <v>2024</v>
      </c>
      <c r="F487" s="17">
        <v>1040</v>
      </c>
    </row>
    <row r="488" spans="1:6" x14ac:dyDescent="0.3">
      <c r="A488" s="21">
        <v>45474</v>
      </c>
      <c r="B488" t="s">
        <v>275</v>
      </c>
      <c r="C488" t="s">
        <v>7235</v>
      </c>
      <c r="D488" t="str">
        <f>INDEX(State!$C$2:$C$24,MATCH(C488,State!$B$2:$B$24,0))</f>
        <v>South</v>
      </c>
      <c r="E488">
        <f t="shared" si="7"/>
        <v>2024</v>
      </c>
      <c r="F488" s="17">
        <v>1170</v>
      </c>
    </row>
    <row r="489" spans="1:6" x14ac:dyDescent="0.3">
      <c r="A489" s="21">
        <v>45505</v>
      </c>
      <c r="B489" t="s">
        <v>275</v>
      </c>
      <c r="C489" t="s">
        <v>7235</v>
      </c>
      <c r="D489" t="str">
        <f>INDEX(State!$C$2:$C$24,MATCH(C489,State!$B$2:$B$24,0))</f>
        <v>South</v>
      </c>
      <c r="E489">
        <f t="shared" si="7"/>
        <v>2024</v>
      </c>
      <c r="F489" s="17">
        <v>1260</v>
      </c>
    </row>
    <row r="490" spans="1:6" x14ac:dyDescent="0.3">
      <c r="A490" s="21">
        <v>45536</v>
      </c>
      <c r="B490" t="s">
        <v>275</v>
      </c>
      <c r="C490" t="s">
        <v>7235</v>
      </c>
      <c r="D490" t="str">
        <f>INDEX(State!$C$2:$C$24,MATCH(C490,State!$B$2:$B$24,0))</f>
        <v>South</v>
      </c>
      <c r="E490">
        <f t="shared" si="7"/>
        <v>2024</v>
      </c>
      <c r="F490" s="17">
        <v>1320</v>
      </c>
    </row>
    <row r="491" spans="1:6" x14ac:dyDescent="0.3">
      <c r="A491" s="21">
        <v>45566</v>
      </c>
      <c r="B491" t="s">
        <v>275</v>
      </c>
      <c r="C491" t="s">
        <v>7235</v>
      </c>
      <c r="D491" t="str">
        <f>INDEX(State!$C$2:$C$24,MATCH(C491,State!$B$2:$B$24,0))</f>
        <v>South</v>
      </c>
      <c r="E491">
        <f t="shared" si="7"/>
        <v>2024</v>
      </c>
      <c r="F491" s="17">
        <v>2120</v>
      </c>
    </row>
    <row r="492" spans="1:6" x14ac:dyDescent="0.3">
      <c r="A492" s="21">
        <v>45597</v>
      </c>
      <c r="B492" t="s">
        <v>275</v>
      </c>
      <c r="C492" t="s">
        <v>7235</v>
      </c>
      <c r="D492" t="str">
        <f>INDEX(State!$C$2:$C$24,MATCH(C492,State!$B$2:$B$24,0))</f>
        <v>South</v>
      </c>
      <c r="E492">
        <f t="shared" si="7"/>
        <v>2024</v>
      </c>
      <c r="F492" s="17">
        <v>1600</v>
      </c>
    </row>
    <row r="493" spans="1:6" x14ac:dyDescent="0.3">
      <c r="A493" s="21">
        <v>45627</v>
      </c>
      <c r="B493" t="s">
        <v>275</v>
      </c>
      <c r="C493" t="s">
        <v>7235</v>
      </c>
      <c r="D493" t="str">
        <f>INDEX(State!$C$2:$C$24,MATCH(C493,State!$B$2:$B$24,0))</f>
        <v>South</v>
      </c>
      <c r="E493">
        <f t="shared" si="7"/>
        <v>2024</v>
      </c>
      <c r="F493" s="17">
        <v>1860</v>
      </c>
    </row>
    <row r="494" spans="1:6" x14ac:dyDescent="0.3">
      <c r="A494" s="21">
        <v>45658</v>
      </c>
      <c r="B494" t="s">
        <v>275</v>
      </c>
      <c r="C494" t="s">
        <v>7235</v>
      </c>
      <c r="D494" t="str">
        <f>INDEX(State!$C$2:$C$24,MATCH(C494,State!$B$2:$B$24,0))</f>
        <v>South</v>
      </c>
      <c r="E494">
        <f t="shared" si="7"/>
        <v>2025</v>
      </c>
      <c r="F494" s="17">
        <v>2290</v>
      </c>
    </row>
    <row r="495" spans="1:6" x14ac:dyDescent="0.3">
      <c r="A495" s="21">
        <v>45689</v>
      </c>
      <c r="B495" t="s">
        <v>275</v>
      </c>
      <c r="C495" t="s">
        <v>7235</v>
      </c>
      <c r="D495" t="str">
        <f>INDEX(State!$C$2:$C$24,MATCH(C495,State!$B$2:$B$24,0))</f>
        <v>South</v>
      </c>
      <c r="E495">
        <f t="shared" si="7"/>
        <v>2025</v>
      </c>
      <c r="F495" s="17">
        <v>1210</v>
      </c>
    </row>
    <row r="496" spans="1:6" x14ac:dyDescent="0.3">
      <c r="A496" s="21">
        <v>45717</v>
      </c>
      <c r="B496" t="s">
        <v>275</v>
      </c>
      <c r="C496" t="s">
        <v>7235</v>
      </c>
      <c r="D496" t="str">
        <f>INDEX(State!$C$2:$C$24,MATCH(C496,State!$B$2:$B$24,0))</f>
        <v>South</v>
      </c>
      <c r="E496">
        <f t="shared" si="7"/>
        <v>2025</v>
      </c>
      <c r="F496" s="17">
        <v>990</v>
      </c>
    </row>
    <row r="497" spans="1:6" x14ac:dyDescent="0.3">
      <c r="A497" s="21">
        <v>45748</v>
      </c>
      <c r="B497" t="s">
        <v>275</v>
      </c>
      <c r="C497" t="s">
        <v>7235</v>
      </c>
      <c r="D497" t="str">
        <f>INDEX(State!$C$2:$C$24,MATCH(C497,State!$B$2:$B$24,0))</f>
        <v>South</v>
      </c>
      <c r="E497">
        <f t="shared" si="7"/>
        <v>2025</v>
      </c>
      <c r="F497" s="17">
        <v>1700</v>
      </c>
    </row>
    <row r="498" spans="1:6" x14ac:dyDescent="0.3">
      <c r="A498" s="21">
        <v>45778</v>
      </c>
      <c r="B498" t="s">
        <v>275</v>
      </c>
      <c r="C498" t="s">
        <v>7235</v>
      </c>
      <c r="D498" t="str">
        <f>INDEX(State!$C$2:$C$24,MATCH(C498,State!$B$2:$B$24,0))</f>
        <v>South</v>
      </c>
      <c r="E498">
        <f t="shared" si="7"/>
        <v>2025</v>
      </c>
      <c r="F498" s="17">
        <v>2030</v>
      </c>
    </row>
    <row r="499" spans="1:6" x14ac:dyDescent="0.3">
      <c r="A499" s="21">
        <v>45809</v>
      </c>
      <c r="B499" t="s">
        <v>275</v>
      </c>
      <c r="C499" t="s">
        <v>7235</v>
      </c>
      <c r="D499" t="str">
        <f>INDEX(State!$C$2:$C$24,MATCH(C499,State!$B$2:$B$24,0))</f>
        <v>South</v>
      </c>
      <c r="E499">
        <f t="shared" si="7"/>
        <v>2025</v>
      </c>
      <c r="F499" s="17">
        <v>1490</v>
      </c>
    </row>
    <row r="500" spans="1:6" x14ac:dyDescent="0.3">
      <c r="A500" s="21">
        <v>45839</v>
      </c>
      <c r="B500" t="s">
        <v>275</v>
      </c>
      <c r="C500" t="s">
        <v>7235</v>
      </c>
      <c r="D500" t="str">
        <f>INDEX(State!$C$2:$C$24,MATCH(C500,State!$B$2:$B$24,0))</f>
        <v>South</v>
      </c>
      <c r="E500">
        <f t="shared" si="7"/>
        <v>2025</v>
      </c>
      <c r="F500" s="17">
        <v>1200</v>
      </c>
    </row>
    <row r="501" spans="1:6" x14ac:dyDescent="0.3">
      <c r="A501" s="21">
        <v>45870</v>
      </c>
      <c r="B501" t="s">
        <v>275</v>
      </c>
      <c r="C501" t="s">
        <v>7235</v>
      </c>
      <c r="D501" t="str">
        <f>INDEX(State!$C$2:$C$24,MATCH(C501,State!$B$2:$B$24,0))</f>
        <v>South</v>
      </c>
      <c r="E501">
        <f t="shared" si="7"/>
        <v>2025</v>
      </c>
      <c r="F501" s="17">
        <v>1760</v>
      </c>
    </row>
    <row r="502" spans="1:6" x14ac:dyDescent="0.3">
      <c r="A502" s="21">
        <v>45901</v>
      </c>
      <c r="B502" t="s">
        <v>275</v>
      </c>
      <c r="C502" t="s">
        <v>7235</v>
      </c>
      <c r="D502" t="str">
        <f>INDEX(State!$C$2:$C$24,MATCH(C502,State!$B$2:$B$24,0))</f>
        <v>South</v>
      </c>
      <c r="E502">
        <f t="shared" si="7"/>
        <v>2025</v>
      </c>
      <c r="F502" s="17">
        <v>2760</v>
      </c>
    </row>
    <row r="503" spans="1:6" x14ac:dyDescent="0.3">
      <c r="A503" s="21">
        <v>45931</v>
      </c>
      <c r="B503" t="s">
        <v>275</v>
      </c>
      <c r="C503" t="s">
        <v>7235</v>
      </c>
      <c r="D503" t="str">
        <f>INDEX(State!$C$2:$C$24,MATCH(C503,State!$B$2:$B$24,0))</f>
        <v>South</v>
      </c>
      <c r="E503">
        <f t="shared" si="7"/>
        <v>2025</v>
      </c>
      <c r="F503" s="17">
        <v>1500</v>
      </c>
    </row>
    <row r="504" spans="1:6" x14ac:dyDescent="0.3">
      <c r="A504" s="21">
        <v>45962</v>
      </c>
      <c r="B504" t="s">
        <v>275</v>
      </c>
      <c r="C504" t="s">
        <v>7235</v>
      </c>
      <c r="D504" t="str">
        <f>INDEX(State!$C$2:$C$24,MATCH(C504,State!$B$2:$B$24,0))</f>
        <v>South</v>
      </c>
      <c r="E504">
        <f t="shared" si="7"/>
        <v>2025</v>
      </c>
      <c r="F504" s="17">
        <v>2710</v>
      </c>
    </row>
    <row r="505" spans="1:6" x14ac:dyDescent="0.3">
      <c r="A505" s="21">
        <v>45992</v>
      </c>
      <c r="B505" t="s">
        <v>275</v>
      </c>
      <c r="C505" t="s">
        <v>7235</v>
      </c>
      <c r="D505" t="str">
        <f>INDEX(State!$C$2:$C$24,MATCH(C505,State!$B$2:$B$24,0))</f>
        <v>South</v>
      </c>
      <c r="E505">
        <f t="shared" si="7"/>
        <v>2025</v>
      </c>
      <c r="F505" s="17">
        <v>1720</v>
      </c>
    </row>
    <row r="506" spans="1:6" x14ac:dyDescent="0.3">
      <c r="A506" s="21">
        <v>45292</v>
      </c>
      <c r="B506" t="s">
        <v>316</v>
      </c>
      <c r="C506" t="s">
        <v>7236</v>
      </c>
      <c r="D506" t="str">
        <f>INDEX(State!$C$2:$C$24,MATCH(C506,State!$B$2:$B$24,0))</f>
        <v>South</v>
      </c>
      <c r="E506">
        <f t="shared" si="7"/>
        <v>2024</v>
      </c>
      <c r="F506" s="17">
        <v>1150</v>
      </c>
    </row>
    <row r="507" spans="1:6" x14ac:dyDescent="0.3">
      <c r="A507" s="21">
        <v>45323</v>
      </c>
      <c r="B507" t="s">
        <v>316</v>
      </c>
      <c r="C507" t="s">
        <v>7236</v>
      </c>
      <c r="D507" t="str">
        <f>INDEX(State!$C$2:$C$24,MATCH(C507,State!$B$2:$B$24,0))</f>
        <v>South</v>
      </c>
      <c r="E507">
        <f t="shared" si="7"/>
        <v>2024</v>
      </c>
      <c r="F507" s="17">
        <v>1360</v>
      </c>
    </row>
    <row r="508" spans="1:6" x14ac:dyDescent="0.3">
      <c r="A508" s="21">
        <v>45352</v>
      </c>
      <c r="B508" t="s">
        <v>316</v>
      </c>
      <c r="C508" t="s">
        <v>7236</v>
      </c>
      <c r="D508" t="str">
        <f>INDEX(State!$C$2:$C$24,MATCH(C508,State!$B$2:$B$24,0))</f>
        <v>South</v>
      </c>
      <c r="E508">
        <f t="shared" si="7"/>
        <v>2024</v>
      </c>
      <c r="F508" s="17">
        <v>870</v>
      </c>
    </row>
    <row r="509" spans="1:6" x14ac:dyDescent="0.3">
      <c r="A509" s="21">
        <v>45383</v>
      </c>
      <c r="B509" t="s">
        <v>316</v>
      </c>
      <c r="C509" t="s">
        <v>7236</v>
      </c>
      <c r="D509" t="str">
        <f>INDEX(State!$C$2:$C$24,MATCH(C509,State!$B$2:$B$24,0))</f>
        <v>South</v>
      </c>
      <c r="E509">
        <f t="shared" si="7"/>
        <v>2024</v>
      </c>
      <c r="F509" s="17">
        <v>1280</v>
      </c>
    </row>
    <row r="510" spans="1:6" x14ac:dyDescent="0.3">
      <c r="A510" s="21">
        <v>45413</v>
      </c>
      <c r="B510" t="s">
        <v>316</v>
      </c>
      <c r="C510" t="s">
        <v>7236</v>
      </c>
      <c r="D510" t="str">
        <f>INDEX(State!$C$2:$C$24,MATCH(C510,State!$B$2:$B$24,0))</f>
        <v>South</v>
      </c>
      <c r="E510">
        <f t="shared" si="7"/>
        <v>2024</v>
      </c>
      <c r="F510" s="17">
        <v>1810</v>
      </c>
    </row>
    <row r="511" spans="1:6" x14ac:dyDescent="0.3">
      <c r="A511" s="21">
        <v>45444</v>
      </c>
      <c r="B511" t="s">
        <v>316</v>
      </c>
      <c r="C511" t="s">
        <v>7236</v>
      </c>
      <c r="D511" t="str">
        <f>INDEX(State!$C$2:$C$24,MATCH(C511,State!$B$2:$B$24,0))</f>
        <v>South</v>
      </c>
      <c r="E511">
        <f t="shared" si="7"/>
        <v>2024</v>
      </c>
      <c r="F511" s="17">
        <v>1390</v>
      </c>
    </row>
    <row r="512" spans="1:6" x14ac:dyDescent="0.3">
      <c r="A512" s="21">
        <v>45474</v>
      </c>
      <c r="B512" t="s">
        <v>316</v>
      </c>
      <c r="C512" t="s">
        <v>7236</v>
      </c>
      <c r="D512" t="str">
        <f>INDEX(State!$C$2:$C$24,MATCH(C512,State!$B$2:$B$24,0))</f>
        <v>South</v>
      </c>
      <c r="E512">
        <f t="shared" si="7"/>
        <v>2024</v>
      </c>
      <c r="F512" s="17">
        <v>1140</v>
      </c>
    </row>
    <row r="513" spans="1:6" x14ac:dyDescent="0.3">
      <c r="A513" s="21">
        <v>45505</v>
      </c>
      <c r="B513" t="s">
        <v>316</v>
      </c>
      <c r="C513" t="s">
        <v>7236</v>
      </c>
      <c r="D513" t="str">
        <f>INDEX(State!$C$2:$C$24,MATCH(C513,State!$B$2:$B$24,0))</f>
        <v>South</v>
      </c>
      <c r="E513">
        <f t="shared" si="7"/>
        <v>2024</v>
      </c>
      <c r="F513" s="17">
        <v>850</v>
      </c>
    </row>
    <row r="514" spans="1:6" x14ac:dyDescent="0.3">
      <c r="A514" s="21">
        <v>45536</v>
      </c>
      <c r="B514" t="s">
        <v>316</v>
      </c>
      <c r="C514" t="s">
        <v>7236</v>
      </c>
      <c r="D514" t="str">
        <f>INDEX(State!$C$2:$C$24,MATCH(C514,State!$B$2:$B$24,0))</f>
        <v>South</v>
      </c>
      <c r="E514">
        <f t="shared" ref="E514:E553" si="8">YEAR(A514)</f>
        <v>2024</v>
      </c>
      <c r="F514" s="17">
        <v>1070</v>
      </c>
    </row>
    <row r="515" spans="1:6" x14ac:dyDescent="0.3">
      <c r="A515" s="21">
        <v>45566</v>
      </c>
      <c r="B515" t="s">
        <v>316</v>
      </c>
      <c r="C515" t="s">
        <v>7236</v>
      </c>
      <c r="D515" t="str">
        <f>INDEX(State!$C$2:$C$24,MATCH(C515,State!$B$2:$B$24,0))</f>
        <v>South</v>
      </c>
      <c r="E515">
        <f t="shared" si="8"/>
        <v>2024</v>
      </c>
      <c r="F515" s="17">
        <v>1290</v>
      </c>
    </row>
    <row r="516" spans="1:6" x14ac:dyDescent="0.3">
      <c r="A516" s="21">
        <v>45597</v>
      </c>
      <c r="B516" t="s">
        <v>316</v>
      </c>
      <c r="C516" t="s">
        <v>7236</v>
      </c>
      <c r="D516" t="str">
        <f>INDEX(State!$C$2:$C$24,MATCH(C516,State!$B$2:$B$24,0))</f>
        <v>South</v>
      </c>
      <c r="E516">
        <f t="shared" si="8"/>
        <v>2024</v>
      </c>
      <c r="F516" s="17">
        <v>3160</v>
      </c>
    </row>
    <row r="517" spans="1:6" x14ac:dyDescent="0.3">
      <c r="A517" s="21">
        <v>45627</v>
      </c>
      <c r="B517" t="s">
        <v>316</v>
      </c>
      <c r="C517" t="s">
        <v>7236</v>
      </c>
      <c r="D517" t="str">
        <f>INDEX(State!$C$2:$C$24,MATCH(C517,State!$B$2:$B$24,0))</f>
        <v>South</v>
      </c>
      <c r="E517">
        <f t="shared" si="8"/>
        <v>2024</v>
      </c>
      <c r="F517" s="17">
        <v>1490</v>
      </c>
    </row>
    <row r="518" spans="1:6" x14ac:dyDescent="0.3">
      <c r="A518" s="21">
        <v>45658</v>
      </c>
      <c r="B518" t="s">
        <v>316</v>
      </c>
      <c r="C518" t="s">
        <v>7236</v>
      </c>
      <c r="D518" t="str">
        <f>INDEX(State!$C$2:$C$24,MATCH(C518,State!$B$2:$B$24,0))</f>
        <v>South</v>
      </c>
      <c r="E518">
        <f t="shared" si="8"/>
        <v>2025</v>
      </c>
      <c r="F518" s="17">
        <v>1360</v>
      </c>
    </row>
    <row r="519" spans="1:6" x14ac:dyDescent="0.3">
      <c r="A519" s="21">
        <v>45689</v>
      </c>
      <c r="B519" t="s">
        <v>316</v>
      </c>
      <c r="C519" t="s">
        <v>7236</v>
      </c>
      <c r="D519" t="str">
        <f>INDEX(State!$C$2:$C$24,MATCH(C519,State!$B$2:$B$24,0))</f>
        <v>South</v>
      </c>
      <c r="E519">
        <f t="shared" si="8"/>
        <v>2025</v>
      </c>
      <c r="F519" s="17">
        <v>1030</v>
      </c>
    </row>
    <row r="520" spans="1:6" x14ac:dyDescent="0.3">
      <c r="A520" s="21">
        <v>45717</v>
      </c>
      <c r="B520" t="s">
        <v>316</v>
      </c>
      <c r="C520" t="s">
        <v>7236</v>
      </c>
      <c r="D520" t="str">
        <f>INDEX(State!$C$2:$C$24,MATCH(C520,State!$B$2:$B$24,0))</f>
        <v>South</v>
      </c>
      <c r="E520">
        <f t="shared" si="8"/>
        <v>2025</v>
      </c>
      <c r="F520" s="17">
        <v>1160</v>
      </c>
    </row>
    <row r="521" spans="1:6" x14ac:dyDescent="0.3">
      <c r="A521" s="21">
        <v>45748</v>
      </c>
      <c r="B521" t="s">
        <v>316</v>
      </c>
      <c r="C521" t="s">
        <v>7236</v>
      </c>
      <c r="D521" t="str">
        <f>INDEX(State!$C$2:$C$24,MATCH(C521,State!$B$2:$B$24,0))</f>
        <v>South</v>
      </c>
      <c r="E521">
        <f t="shared" si="8"/>
        <v>2025</v>
      </c>
      <c r="F521" s="17">
        <v>1350</v>
      </c>
    </row>
    <row r="522" spans="1:6" x14ac:dyDescent="0.3">
      <c r="A522" s="21">
        <v>45778</v>
      </c>
      <c r="B522" t="s">
        <v>316</v>
      </c>
      <c r="C522" t="s">
        <v>7236</v>
      </c>
      <c r="D522" t="str">
        <f>INDEX(State!$C$2:$C$24,MATCH(C522,State!$B$2:$B$24,0))</f>
        <v>South</v>
      </c>
      <c r="E522">
        <f t="shared" si="8"/>
        <v>2025</v>
      </c>
      <c r="F522" s="17">
        <v>1090</v>
      </c>
    </row>
    <row r="523" spans="1:6" x14ac:dyDescent="0.3">
      <c r="A523" s="21">
        <v>45809</v>
      </c>
      <c r="B523" t="s">
        <v>316</v>
      </c>
      <c r="C523" t="s">
        <v>7236</v>
      </c>
      <c r="D523" t="str">
        <f>INDEX(State!$C$2:$C$24,MATCH(C523,State!$B$2:$B$24,0))</f>
        <v>South</v>
      </c>
      <c r="E523">
        <f t="shared" si="8"/>
        <v>2025</v>
      </c>
      <c r="F523" s="17">
        <v>2640</v>
      </c>
    </row>
    <row r="524" spans="1:6" x14ac:dyDescent="0.3">
      <c r="A524" s="21">
        <v>45839</v>
      </c>
      <c r="B524" t="s">
        <v>316</v>
      </c>
      <c r="C524" t="s">
        <v>7236</v>
      </c>
      <c r="D524" t="str">
        <f>INDEX(State!$C$2:$C$24,MATCH(C524,State!$B$2:$B$24,0))</f>
        <v>South</v>
      </c>
      <c r="E524">
        <f t="shared" si="8"/>
        <v>2025</v>
      </c>
      <c r="F524" s="17">
        <v>1480</v>
      </c>
    </row>
    <row r="525" spans="1:6" x14ac:dyDescent="0.3">
      <c r="A525" s="21">
        <v>45870</v>
      </c>
      <c r="B525" t="s">
        <v>316</v>
      </c>
      <c r="C525" t="s">
        <v>7236</v>
      </c>
      <c r="D525" t="str">
        <f>INDEX(State!$C$2:$C$24,MATCH(C525,State!$B$2:$B$24,0))</f>
        <v>South</v>
      </c>
      <c r="E525">
        <f t="shared" si="8"/>
        <v>2025</v>
      </c>
      <c r="F525" s="17">
        <v>1400</v>
      </c>
    </row>
    <row r="526" spans="1:6" x14ac:dyDescent="0.3">
      <c r="A526" s="21">
        <v>45901</v>
      </c>
      <c r="B526" t="s">
        <v>316</v>
      </c>
      <c r="C526" t="s">
        <v>7236</v>
      </c>
      <c r="D526" t="str">
        <f>INDEX(State!$C$2:$C$24,MATCH(C526,State!$B$2:$B$24,0))</f>
        <v>South</v>
      </c>
      <c r="E526">
        <f t="shared" si="8"/>
        <v>2025</v>
      </c>
      <c r="F526" s="17">
        <v>2080</v>
      </c>
    </row>
    <row r="527" spans="1:6" x14ac:dyDescent="0.3">
      <c r="A527" s="21">
        <v>45931</v>
      </c>
      <c r="B527" t="s">
        <v>316</v>
      </c>
      <c r="C527" t="s">
        <v>7236</v>
      </c>
      <c r="D527" t="str">
        <f>INDEX(State!$C$2:$C$24,MATCH(C527,State!$B$2:$B$24,0))</f>
        <v>South</v>
      </c>
      <c r="E527">
        <f t="shared" si="8"/>
        <v>2025</v>
      </c>
      <c r="F527" s="17">
        <v>4050</v>
      </c>
    </row>
    <row r="528" spans="1:6" x14ac:dyDescent="0.3">
      <c r="A528" s="21">
        <v>45962</v>
      </c>
      <c r="B528" t="s">
        <v>316</v>
      </c>
      <c r="C528" t="s">
        <v>7236</v>
      </c>
      <c r="D528" t="str">
        <f>INDEX(State!$C$2:$C$24,MATCH(C528,State!$B$2:$B$24,0))</f>
        <v>South</v>
      </c>
      <c r="E528">
        <f t="shared" si="8"/>
        <v>2025</v>
      </c>
      <c r="F528" s="17">
        <v>3650</v>
      </c>
    </row>
    <row r="529" spans="1:6" x14ac:dyDescent="0.3">
      <c r="A529" s="21">
        <v>45992</v>
      </c>
      <c r="B529" t="s">
        <v>316</v>
      </c>
      <c r="C529" t="s">
        <v>7236</v>
      </c>
      <c r="D529" t="str">
        <f>INDEX(State!$C$2:$C$24,MATCH(C529,State!$B$2:$B$24,0))</f>
        <v>South</v>
      </c>
      <c r="E529">
        <f t="shared" si="8"/>
        <v>2025</v>
      </c>
      <c r="F529" s="17">
        <v>1740</v>
      </c>
    </row>
    <row r="530" spans="1:6" x14ac:dyDescent="0.3">
      <c r="A530" s="21">
        <v>45292</v>
      </c>
      <c r="B530" t="s">
        <v>59</v>
      </c>
      <c r="C530" t="s">
        <v>7237</v>
      </c>
      <c r="D530" t="str">
        <f>INDEX(State!$C$2:$C$24,MATCH(C530,State!$B$2:$B$24,0))</f>
        <v>South</v>
      </c>
      <c r="E530">
        <f t="shared" si="8"/>
        <v>2024</v>
      </c>
      <c r="F530" s="17">
        <v>3320</v>
      </c>
    </row>
    <row r="531" spans="1:6" x14ac:dyDescent="0.3">
      <c r="A531" s="21">
        <v>45323</v>
      </c>
      <c r="B531" t="s">
        <v>59</v>
      </c>
      <c r="C531" t="s">
        <v>7237</v>
      </c>
      <c r="D531" t="str">
        <f>INDEX(State!$C$2:$C$24,MATCH(C531,State!$B$2:$B$24,0))</f>
        <v>South</v>
      </c>
      <c r="E531">
        <f t="shared" si="8"/>
        <v>2024</v>
      </c>
      <c r="F531" s="17">
        <v>2610</v>
      </c>
    </row>
    <row r="532" spans="1:6" x14ac:dyDescent="0.3">
      <c r="A532" s="21">
        <v>45352</v>
      </c>
      <c r="B532" t="s">
        <v>59</v>
      </c>
      <c r="C532" t="s">
        <v>7237</v>
      </c>
      <c r="D532" t="str">
        <f>INDEX(State!$C$2:$C$24,MATCH(C532,State!$B$2:$B$24,0))</f>
        <v>South</v>
      </c>
      <c r="E532">
        <f t="shared" si="8"/>
        <v>2024</v>
      </c>
      <c r="F532" s="17">
        <v>3070</v>
      </c>
    </row>
    <row r="533" spans="1:6" x14ac:dyDescent="0.3">
      <c r="A533" s="21">
        <v>45383</v>
      </c>
      <c r="B533" t="s">
        <v>59</v>
      </c>
      <c r="C533" t="s">
        <v>7237</v>
      </c>
      <c r="D533" t="str">
        <f>INDEX(State!$C$2:$C$24,MATCH(C533,State!$B$2:$B$24,0))</f>
        <v>South</v>
      </c>
      <c r="E533">
        <f t="shared" si="8"/>
        <v>2024</v>
      </c>
      <c r="F533" s="17">
        <v>2690</v>
      </c>
    </row>
    <row r="534" spans="1:6" x14ac:dyDescent="0.3">
      <c r="A534" s="21">
        <v>45413</v>
      </c>
      <c r="B534" t="s">
        <v>59</v>
      </c>
      <c r="C534" t="s">
        <v>7237</v>
      </c>
      <c r="D534" t="str">
        <f>INDEX(State!$C$2:$C$24,MATCH(C534,State!$B$2:$B$24,0))</f>
        <v>South</v>
      </c>
      <c r="E534">
        <f t="shared" si="8"/>
        <v>2024</v>
      </c>
      <c r="F534" s="17">
        <v>2040</v>
      </c>
    </row>
    <row r="535" spans="1:6" x14ac:dyDescent="0.3">
      <c r="A535" s="21">
        <v>45444</v>
      </c>
      <c r="B535" t="s">
        <v>59</v>
      </c>
      <c r="C535" t="s">
        <v>7237</v>
      </c>
      <c r="D535" t="str">
        <f>INDEX(State!$C$2:$C$24,MATCH(C535,State!$B$2:$B$24,0))</f>
        <v>South</v>
      </c>
      <c r="E535">
        <f t="shared" si="8"/>
        <v>2024</v>
      </c>
      <c r="F535" s="17">
        <v>1970</v>
      </c>
    </row>
    <row r="536" spans="1:6" x14ac:dyDescent="0.3">
      <c r="A536" s="21">
        <v>45474</v>
      </c>
      <c r="B536" t="s">
        <v>59</v>
      </c>
      <c r="C536" t="s">
        <v>7237</v>
      </c>
      <c r="D536" t="str">
        <f>INDEX(State!$C$2:$C$24,MATCH(C536,State!$B$2:$B$24,0))</f>
        <v>South</v>
      </c>
      <c r="E536">
        <f t="shared" si="8"/>
        <v>2024</v>
      </c>
      <c r="F536" s="17">
        <v>3250</v>
      </c>
    </row>
    <row r="537" spans="1:6" x14ac:dyDescent="0.3">
      <c r="A537" s="21">
        <v>45505</v>
      </c>
      <c r="B537" t="s">
        <v>59</v>
      </c>
      <c r="C537" t="s">
        <v>7237</v>
      </c>
      <c r="D537" t="str">
        <f>INDEX(State!$C$2:$C$24,MATCH(C537,State!$B$2:$B$24,0))</f>
        <v>South</v>
      </c>
      <c r="E537">
        <f t="shared" si="8"/>
        <v>2024</v>
      </c>
      <c r="F537" s="17">
        <v>2110</v>
      </c>
    </row>
    <row r="538" spans="1:6" x14ac:dyDescent="0.3">
      <c r="A538" s="21">
        <v>45536</v>
      </c>
      <c r="B538" t="s">
        <v>59</v>
      </c>
      <c r="C538" t="s">
        <v>7237</v>
      </c>
      <c r="D538" t="str">
        <f>INDEX(State!$C$2:$C$24,MATCH(C538,State!$B$2:$B$24,0))</f>
        <v>South</v>
      </c>
      <c r="E538">
        <f t="shared" si="8"/>
        <v>2024</v>
      </c>
      <c r="F538" s="17">
        <v>4750</v>
      </c>
    </row>
    <row r="539" spans="1:6" x14ac:dyDescent="0.3">
      <c r="A539" s="21">
        <v>45566</v>
      </c>
      <c r="B539" t="s">
        <v>59</v>
      </c>
      <c r="C539" t="s">
        <v>7237</v>
      </c>
      <c r="D539" t="str">
        <f>INDEX(State!$C$2:$C$24,MATCH(C539,State!$B$2:$B$24,0))</f>
        <v>South</v>
      </c>
      <c r="E539">
        <f t="shared" si="8"/>
        <v>2024</v>
      </c>
      <c r="F539" s="17">
        <v>4620</v>
      </c>
    </row>
    <row r="540" spans="1:6" x14ac:dyDescent="0.3">
      <c r="A540" s="21">
        <v>45597</v>
      </c>
      <c r="B540" t="s">
        <v>59</v>
      </c>
      <c r="C540" t="s">
        <v>7237</v>
      </c>
      <c r="D540" t="str">
        <f>INDEX(State!$C$2:$C$24,MATCH(C540,State!$B$2:$B$24,0))</f>
        <v>South</v>
      </c>
      <c r="E540">
        <f t="shared" si="8"/>
        <v>2024</v>
      </c>
      <c r="F540" s="17">
        <v>3200</v>
      </c>
    </row>
    <row r="541" spans="1:6" x14ac:dyDescent="0.3">
      <c r="A541" s="21">
        <v>45627</v>
      </c>
      <c r="B541" t="s">
        <v>59</v>
      </c>
      <c r="C541" t="s">
        <v>7237</v>
      </c>
      <c r="D541" t="str">
        <f>INDEX(State!$C$2:$C$24,MATCH(C541,State!$B$2:$B$24,0))</f>
        <v>South</v>
      </c>
      <c r="E541">
        <f t="shared" si="8"/>
        <v>2024</v>
      </c>
      <c r="F541" s="17">
        <v>3100</v>
      </c>
    </row>
    <row r="542" spans="1:6" x14ac:dyDescent="0.3">
      <c r="A542" s="21">
        <v>45658</v>
      </c>
      <c r="B542" t="s">
        <v>59</v>
      </c>
      <c r="C542" t="s">
        <v>7237</v>
      </c>
      <c r="D542" t="str">
        <f>INDEX(State!$C$2:$C$24,MATCH(C542,State!$B$2:$B$24,0))</f>
        <v>South</v>
      </c>
      <c r="E542">
        <f t="shared" si="8"/>
        <v>2025</v>
      </c>
      <c r="F542" s="17">
        <v>3350</v>
      </c>
    </row>
    <row r="543" spans="1:6" x14ac:dyDescent="0.3">
      <c r="A543" s="21">
        <v>45689</v>
      </c>
      <c r="B543" t="s">
        <v>59</v>
      </c>
      <c r="C543" t="s">
        <v>7237</v>
      </c>
      <c r="D543" t="str">
        <f>INDEX(State!$C$2:$C$24,MATCH(C543,State!$B$2:$B$24,0))</f>
        <v>South</v>
      </c>
      <c r="E543">
        <f t="shared" si="8"/>
        <v>2025</v>
      </c>
      <c r="F543" s="17">
        <v>3020</v>
      </c>
    </row>
    <row r="544" spans="1:6" x14ac:dyDescent="0.3">
      <c r="A544" s="21">
        <v>45717</v>
      </c>
      <c r="B544" t="s">
        <v>59</v>
      </c>
      <c r="C544" t="s">
        <v>7237</v>
      </c>
      <c r="D544" t="str">
        <f>INDEX(State!$C$2:$C$24,MATCH(C544,State!$B$2:$B$24,0))</f>
        <v>South</v>
      </c>
      <c r="E544">
        <f t="shared" si="8"/>
        <v>2025</v>
      </c>
      <c r="F544" s="17">
        <v>4320</v>
      </c>
    </row>
    <row r="545" spans="1:6" x14ac:dyDescent="0.3">
      <c r="A545" s="21">
        <v>45748</v>
      </c>
      <c r="B545" t="s">
        <v>59</v>
      </c>
      <c r="C545" t="s">
        <v>7237</v>
      </c>
      <c r="D545" t="str">
        <f>INDEX(State!$C$2:$C$24,MATCH(C545,State!$B$2:$B$24,0))</f>
        <v>South</v>
      </c>
      <c r="E545">
        <f t="shared" si="8"/>
        <v>2025</v>
      </c>
      <c r="F545" s="17">
        <v>2090</v>
      </c>
    </row>
    <row r="546" spans="1:6" x14ac:dyDescent="0.3">
      <c r="A546" s="21">
        <v>45778</v>
      </c>
      <c r="B546" t="s">
        <v>59</v>
      </c>
      <c r="C546" t="s">
        <v>7237</v>
      </c>
      <c r="D546" t="str">
        <f>INDEX(State!$C$2:$C$24,MATCH(C546,State!$B$2:$B$24,0))</f>
        <v>South</v>
      </c>
      <c r="E546">
        <f t="shared" si="8"/>
        <v>2025</v>
      </c>
      <c r="F546" s="17">
        <v>1960</v>
      </c>
    </row>
    <row r="547" spans="1:6" x14ac:dyDescent="0.3">
      <c r="A547" s="21">
        <v>45809</v>
      </c>
      <c r="B547" t="s">
        <v>59</v>
      </c>
      <c r="C547" t="s">
        <v>7237</v>
      </c>
      <c r="D547" t="str">
        <f>INDEX(State!$C$2:$C$24,MATCH(C547,State!$B$2:$B$24,0))</f>
        <v>South</v>
      </c>
      <c r="E547">
        <f t="shared" si="8"/>
        <v>2025</v>
      </c>
      <c r="F547" s="17">
        <v>3840</v>
      </c>
    </row>
    <row r="548" spans="1:6" x14ac:dyDescent="0.3">
      <c r="A548" s="21">
        <v>45839</v>
      </c>
      <c r="B548" t="s">
        <v>59</v>
      </c>
      <c r="C548" t="s">
        <v>7237</v>
      </c>
      <c r="D548" t="str">
        <f>INDEX(State!$C$2:$C$24,MATCH(C548,State!$B$2:$B$24,0))</f>
        <v>South</v>
      </c>
      <c r="E548">
        <f t="shared" si="8"/>
        <v>2025</v>
      </c>
      <c r="F548" s="17">
        <v>3680</v>
      </c>
    </row>
    <row r="549" spans="1:6" x14ac:dyDescent="0.3">
      <c r="A549" s="21">
        <v>45870</v>
      </c>
      <c r="B549" t="s">
        <v>59</v>
      </c>
      <c r="C549" t="s">
        <v>7237</v>
      </c>
      <c r="D549" t="str">
        <f>INDEX(State!$C$2:$C$24,MATCH(C549,State!$B$2:$B$24,0))</f>
        <v>South</v>
      </c>
      <c r="E549">
        <f t="shared" si="8"/>
        <v>2025</v>
      </c>
      <c r="F549" s="17">
        <v>3850</v>
      </c>
    </row>
    <row r="550" spans="1:6" x14ac:dyDescent="0.3">
      <c r="A550" s="21">
        <v>45901</v>
      </c>
      <c r="B550" t="s">
        <v>59</v>
      </c>
      <c r="C550" t="s">
        <v>7237</v>
      </c>
      <c r="D550" t="str">
        <f>INDEX(State!$C$2:$C$24,MATCH(C550,State!$B$2:$B$24,0))</f>
        <v>South</v>
      </c>
      <c r="E550">
        <f t="shared" si="8"/>
        <v>2025</v>
      </c>
      <c r="F550" s="17">
        <v>4590</v>
      </c>
    </row>
    <row r="551" spans="1:6" x14ac:dyDescent="0.3">
      <c r="A551" s="21">
        <v>45931</v>
      </c>
      <c r="B551" t="s">
        <v>59</v>
      </c>
      <c r="C551" t="s">
        <v>7237</v>
      </c>
      <c r="D551" t="str">
        <f>INDEX(State!$C$2:$C$24,MATCH(C551,State!$B$2:$B$24,0))</f>
        <v>South</v>
      </c>
      <c r="E551">
        <f t="shared" si="8"/>
        <v>2025</v>
      </c>
      <c r="F551" s="17">
        <v>5420</v>
      </c>
    </row>
    <row r="552" spans="1:6" x14ac:dyDescent="0.3">
      <c r="A552" s="21">
        <v>45962</v>
      </c>
      <c r="B552" t="s">
        <v>59</v>
      </c>
      <c r="C552" t="s">
        <v>7237</v>
      </c>
      <c r="D552" t="str">
        <f>INDEX(State!$C$2:$C$24,MATCH(C552,State!$B$2:$B$24,0))</f>
        <v>South</v>
      </c>
      <c r="E552">
        <f t="shared" si="8"/>
        <v>2025</v>
      </c>
      <c r="F552" s="17">
        <v>6680</v>
      </c>
    </row>
    <row r="553" spans="1:6" x14ac:dyDescent="0.3">
      <c r="A553" s="21">
        <v>45992</v>
      </c>
      <c r="B553" t="s">
        <v>59</v>
      </c>
      <c r="C553" t="s">
        <v>7237</v>
      </c>
      <c r="D553" t="str">
        <f>INDEX(State!$C$2:$C$24,MATCH(C553,State!$B$2:$B$24,0))</f>
        <v>South</v>
      </c>
      <c r="E553">
        <f t="shared" si="8"/>
        <v>2025</v>
      </c>
      <c r="F553" s="17">
        <v>3300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0CE2-F6BB-46E5-8C72-259F81B36707}">
  <dimension ref="A1:I9"/>
  <sheetViews>
    <sheetView workbookViewId="0">
      <selection activeCell="G24" sqref="G24"/>
    </sheetView>
  </sheetViews>
  <sheetFormatPr defaultRowHeight="14.4" x14ac:dyDescent="0.3"/>
  <cols>
    <col min="5" max="5" width="22" customWidth="1"/>
    <col min="8" max="8" width="44" customWidth="1"/>
  </cols>
  <sheetData>
    <row r="1" spans="1:9" x14ac:dyDescent="0.3">
      <c r="A1" s="6" t="s">
        <v>7241</v>
      </c>
      <c r="B1" s="6" t="s">
        <v>7210</v>
      </c>
      <c r="C1" s="6" t="s">
        <v>7250</v>
      </c>
      <c r="D1" s="6" t="s">
        <v>7169</v>
      </c>
      <c r="E1" s="6" t="s">
        <v>7251</v>
      </c>
      <c r="F1" s="6" t="s">
        <v>7252</v>
      </c>
      <c r="H1" s="6" t="s">
        <v>7253</v>
      </c>
      <c r="I1" s="6" t="s">
        <v>7254</v>
      </c>
    </row>
    <row r="2" spans="1:9" x14ac:dyDescent="0.3">
      <c r="A2" t="s">
        <v>7255</v>
      </c>
      <c r="B2" t="s">
        <v>7255</v>
      </c>
      <c r="C2" t="s">
        <v>7255</v>
      </c>
      <c r="D2" t="s">
        <v>7255</v>
      </c>
      <c r="E2" t="s">
        <v>7256</v>
      </c>
      <c r="F2">
        <v>5</v>
      </c>
      <c r="H2" t="s">
        <v>7257</v>
      </c>
      <c r="I2" s="7">
        <v>60</v>
      </c>
    </row>
    <row r="3" spans="1:9" x14ac:dyDescent="0.3">
      <c r="A3">
        <v>2024</v>
      </c>
      <c r="B3" t="s">
        <v>7212</v>
      </c>
      <c r="C3" t="s">
        <v>65</v>
      </c>
      <c r="D3" t="s">
        <v>7173</v>
      </c>
      <c r="E3" t="s">
        <v>7258</v>
      </c>
      <c r="F3">
        <v>10</v>
      </c>
    </row>
    <row r="4" spans="1:9" x14ac:dyDescent="0.3">
      <c r="A4">
        <v>2025</v>
      </c>
      <c r="B4" t="s">
        <v>7231</v>
      </c>
      <c r="C4" t="s">
        <v>23</v>
      </c>
      <c r="D4" t="s">
        <v>7179</v>
      </c>
      <c r="E4" t="s">
        <v>7259</v>
      </c>
      <c r="F4">
        <v>15</v>
      </c>
    </row>
    <row r="5" spans="1:9" x14ac:dyDescent="0.3">
      <c r="B5" t="s">
        <v>7221</v>
      </c>
      <c r="C5" t="s">
        <v>39</v>
      </c>
      <c r="D5" t="s">
        <v>7184</v>
      </c>
      <c r="E5" t="s">
        <v>7260</v>
      </c>
    </row>
    <row r="6" spans="1:9" x14ac:dyDescent="0.3">
      <c r="B6" t="s">
        <v>7224</v>
      </c>
      <c r="C6" t="s">
        <v>16</v>
      </c>
      <c r="D6" t="s">
        <v>7190</v>
      </c>
      <c r="E6" t="s">
        <v>7261</v>
      </c>
    </row>
    <row r="7" spans="1:9" x14ac:dyDescent="0.3">
      <c r="C7" t="s">
        <v>50</v>
      </c>
      <c r="D7" t="s">
        <v>7195</v>
      </c>
      <c r="E7" t="s">
        <v>7262</v>
      </c>
    </row>
    <row r="8" spans="1:9" x14ac:dyDescent="0.3">
      <c r="D8" t="s">
        <v>7200</v>
      </c>
      <c r="E8" t="s">
        <v>7263</v>
      </c>
    </row>
    <row r="9" spans="1:9" x14ac:dyDescent="0.3">
      <c r="D9" t="s">
        <v>7205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8F05A3-BA71-42A7-8440-7FD95B0BA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48</vt:i4>
      </vt:variant>
    </vt:vector>
  </HeadingPairs>
  <TitlesOfParts>
    <vt:vector size="59" baseType="lpstr">
      <vt:lpstr>Detail2</vt:lpstr>
      <vt:lpstr>Dashboard</vt:lpstr>
      <vt:lpstr>Detail1</vt:lpstr>
      <vt:lpstr>Analysis</vt:lpstr>
      <vt:lpstr>Detail3</vt:lpstr>
      <vt:lpstr>Pivot_Analysis</vt:lpstr>
      <vt:lpstr>Orders</vt:lpstr>
      <vt:lpstr>Products</vt:lpstr>
      <vt:lpstr>State</vt:lpstr>
      <vt:lpstr>Market</vt:lpstr>
      <vt:lpstr>Dropdown Lists</vt:lpstr>
      <vt:lpstr>Ad_Month</vt:lpstr>
      <vt:lpstr>Ad_Region</vt:lpstr>
      <vt:lpstr>Ad_Spend</vt:lpstr>
      <vt:lpstr>Ad_State</vt:lpstr>
      <vt:lpstr>Ad_State_Code</vt:lpstr>
      <vt:lpstr>Ad_Year</vt:lpstr>
      <vt:lpstr>Category</vt:lpstr>
      <vt:lpstr>cCat</vt:lpstr>
      <vt:lpstr>cChannel</vt:lpstr>
      <vt:lpstr>City</vt:lpstr>
      <vt:lpstr>COGS</vt:lpstr>
      <vt:lpstr>cRegion</vt:lpstr>
      <vt:lpstr>Customer_ID</vt:lpstr>
      <vt:lpstr>Customer_Rating</vt:lpstr>
      <vt:lpstr>Customer_Type</vt:lpstr>
      <vt:lpstr>cYear</vt:lpstr>
      <vt:lpstr>Delivery_Date</vt:lpstr>
      <vt:lpstr>Delivery_Days</vt:lpstr>
      <vt:lpstr>Delivery_Speed</vt:lpstr>
      <vt:lpstr>Discount_Amount</vt:lpstr>
      <vt:lpstr>Discount_Clean2</vt:lpstr>
      <vt:lpstr>Gross_Sale</vt:lpstr>
      <vt:lpstr>Margin</vt:lpstr>
      <vt:lpstr>Month</vt:lpstr>
      <vt:lpstr>Month_No</vt:lpstr>
      <vt:lpstr>Net_Revenue</vt:lpstr>
      <vt:lpstr>Order_Date</vt:lpstr>
      <vt:lpstr>Order_ID</vt:lpstr>
      <vt:lpstr>Payment_Method</vt:lpstr>
      <vt:lpstr>Product_ID</vt:lpstr>
      <vt:lpstr>Product_Name</vt:lpstr>
      <vt:lpstr>Profit</vt:lpstr>
      <vt:lpstr>Quantity</vt:lpstr>
      <vt:lpstr>Region</vt:lpstr>
      <vt:lpstr>Returned</vt:lpstr>
      <vt:lpstr>Sales_Channel</vt:lpstr>
      <vt:lpstr>selCategory</vt:lpstr>
      <vt:lpstr>selChannel</vt:lpstr>
      <vt:lpstr>selMetric</vt:lpstr>
      <vt:lpstr>selRegion</vt:lpstr>
      <vt:lpstr>selTopN</vt:lpstr>
      <vt:lpstr>selYear</vt:lpstr>
      <vt:lpstr>Shipping_Cost</vt:lpstr>
      <vt:lpstr>State</vt:lpstr>
      <vt:lpstr>State_Code</vt:lpstr>
      <vt:lpstr>Unit_Cost</vt:lpstr>
      <vt:lpstr>Unit_Price</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Deepam Aggarwal</dc:creator>
  <cp:lastModifiedBy>Deepam Aggarwal</cp:lastModifiedBy>
  <dcterms:created xsi:type="dcterms:W3CDTF">2026-10-10T13:03:23Z</dcterms:created>
  <dcterms:modified xsi:type="dcterms:W3CDTF">2026-10-24T19:19:51Z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5835cbe0-1f3f-4768-980b-5f8dfc601241</vt:lpwstr>
  </property>
</Properties>
</file>